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9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\\GINO\Desktop\LICITAÇÕES 2023\CONCORRÊNCIA\CONCORRENCIA 06-2023 - RECAPE SANTA EDWIRGES E CENTRAL PARK\"/>
    </mc:Choice>
  </mc:AlternateContent>
  <xr:revisionPtr revIDLastSave="0" documentId="8_{20AD7750-D86F-4E5C-B572-07828B8F7F7A}" xr6:coauthVersionLast="46" xr6:coauthVersionMax="46" xr10:uidLastSave="{00000000-0000-0000-0000-000000000000}"/>
  <bookViews>
    <workbookView xWindow="-120" yWindow="-120" windowWidth="24240" windowHeight="13140" firstSheet="4" activeTab="7" xr2:uid="{00000000-000D-0000-FFFF-FFFF00000000}"/>
  </bookViews>
  <sheets>
    <sheet name="LIGANTES" sheetId="17" r:id="rId1"/>
    <sheet name="Prazos e Áreas" sheetId="10" r:id="rId2"/>
    <sheet name="Cronograma SFM" sheetId="12" r:id="rId3"/>
    <sheet name="Cronograma PAM" sheetId="11" r:id="rId4"/>
    <sheet name="Grandes_Itens" sheetId="7" r:id="rId5"/>
    <sheet name="BDI" sheetId="14" r:id="rId6"/>
    <sheet name="DMT" sheetId="22" r:id="rId7"/>
    <sheet name="GLOBAL_DER_FEV_2023" sheetId="1" r:id="rId8"/>
    <sheet name="RES. CENTRAL PARK" sheetId="31" r:id="rId9"/>
    <sheet name="CONS. JD STA EDW. E RES. P. " sheetId="32" r:id="rId10"/>
    <sheet name="RUA_FINAL" sheetId="19" r:id="rId11"/>
    <sheet name="Novos_Traços_CBUQ" sheetId="25" r:id="rId12"/>
    <sheet name="viab-pav" sheetId="8" r:id="rId13"/>
    <sheet name="viab-praça" sheetId="9" r:id="rId14"/>
    <sheet name="ENSAIOS DE ORÇAMENTO" sheetId="2" r:id="rId15"/>
  </sheets>
  <externalReferences>
    <externalReference r:id="rId16"/>
    <externalReference r:id="rId17"/>
    <externalReference r:id="rId18"/>
  </externalReferences>
  <definedNames>
    <definedName name="_xlnm._FilterDatabase" localSheetId="9" hidden="1">'CONS. JD STA EDW. E RES. P. '!$A$18:$AY$2561</definedName>
    <definedName name="_xlnm._FilterDatabase" localSheetId="6" hidden="1">DMT!$A$6:$H$6</definedName>
    <definedName name="_xlnm._FilterDatabase" localSheetId="14" hidden="1">'ENSAIOS DE ORÇAMENTO'!$A$4:$Z$4</definedName>
    <definedName name="_xlnm._FilterDatabase" localSheetId="7" hidden="1">GLOBAL_DER_FEV_2023!$A$18:$Y$2561</definedName>
    <definedName name="_xlnm._FilterDatabase" localSheetId="4" hidden="1">Grandes_Itens!$A$4:$G$4</definedName>
    <definedName name="_xlnm._FilterDatabase" localSheetId="8" hidden="1">'RES. CENTRAL PARK'!$A$18:$AY$2561</definedName>
    <definedName name="_xlnm._FilterDatabase" localSheetId="10" hidden="1">RUA_FINAL!$A$18:$AY$18</definedName>
    <definedName name="_xlnm.Print_Area" localSheetId="5">BDI!$A$1:$C$22</definedName>
    <definedName name="_xlnm.Print_Area" localSheetId="9">'CONS. JD STA EDW. E RES. P. '!$B$1:$O$2560</definedName>
    <definedName name="_xlnm.Print_Area" localSheetId="3">'Cronograma PAM'!$A$1:$T$56</definedName>
    <definedName name="_xlnm.Print_Area" localSheetId="2">'Cronograma SFM'!$A$1:$T$56</definedName>
    <definedName name="_xlnm.Print_Area" localSheetId="6">DMT!$A$1:$G$62</definedName>
    <definedName name="_xlnm.Print_Area" localSheetId="14">'ENSAIOS DE ORÇAMENTO'!#REF!</definedName>
    <definedName name="_xlnm.Print_Area" localSheetId="7">GLOBAL_DER_FEV_2023!$B$12:$O$2548</definedName>
    <definedName name="_xlnm.Print_Area" localSheetId="4">Grandes_Itens!$A$1:$G$21</definedName>
    <definedName name="_xlnm.Print_Area" localSheetId="8">'RES. CENTRAL PARK'!$B$1:$O$2560</definedName>
    <definedName name="_xlnm.Print_Area" localSheetId="10">RUA_FINAL!$B$1:$O$2560</definedName>
    <definedName name="d" localSheetId="9">[1]proposta!#REF!</definedName>
    <definedName name="d" localSheetId="0">[1]proposta!#REF!</definedName>
    <definedName name="d" localSheetId="8">[1]proposta!#REF!</definedName>
    <definedName name="d">[1]proposta!#REF!</definedName>
    <definedName name="j" localSheetId="9">'CONS. JD STA EDW. E RES. P. '!$B$1</definedName>
    <definedName name="j" localSheetId="8">'RES. CENTRAL PARK'!$B$1</definedName>
    <definedName name="j" localSheetId="10">RUA_FINAL!$B$1</definedName>
    <definedName name="j" localSheetId="12">[2]PROPOSTA!#REF!</definedName>
    <definedName name="j" localSheetId="13">[2]PROPOSTA!#REF!</definedName>
    <definedName name="j">GLOBAL_DER_FEV_2023!$B$1</definedName>
    <definedName name="_xlnm.Print_Titles" localSheetId="9">'CONS. JD STA EDW. E RES. P. '!$17:$18</definedName>
    <definedName name="_xlnm.Print_Titles" localSheetId="14">'ENSAIOS DE ORÇAMENTO'!#REF!</definedName>
    <definedName name="_xlnm.Print_Titles" localSheetId="7">GLOBAL_DER_FEV_2023!$17:$18</definedName>
    <definedName name="_xlnm.Print_Titles" localSheetId="4">Grandes_Itens!$4:$4</definedName>
    <definedName name="_xlnm.Print_Titles" localSheetId="8">'RES. CENTRAL PARK'!$17:$18</definedName>
    <definedName name="_xlnm.Print_Titles" localSheetId="10">RUA_FINAL!$17:$18</definedName>
  </definedNames>
  <calcPr calcId="191029" iterate="1" iterateCount="10000"/>
</workbook>
</file>

<file path=xl/calcChain.xml><?xml version="1.0" encoding="utf-8"?>
<calcChain xmlns="http://schemas.openxmlformats.org/spreadsheetml/2006/main">
  <c r="L420" i="32" l="1"/>
  <c r="L408" i="32"/>
  <c r="L408" i="31"/>
  <c r="L420" i="31"/>
  <c r="L236" i="32"/>
  <c r="I2556" i="32" l="1"/>
  <c r="I2555" i="32"/>
  <c r="I2554" i="32"/>
  <c r="I2553" i="32"/>
  <c r="I2552" i="32"/>
  <c r="I2551" i="32"/>
  <c r="S2547" i="32"/>
  <c r="R2547" i="32"/>
  <c r="Q2547" i="32"/>
  <c r="N2546" i="32"/>
  <c r="R2546" i="32" s="1"/>
  <c r="M2546" i="32"/>
  <c r="K2546" i="32"/>
  <c r="H2546" i="32"/>
  <c r="G2546" i="32"/>
  <c r="F2546" i="32"/>
  <c r="E2546" i="32"/>
  <c r="D2546" i="32"/>
  <c r="C2546" i="32"/>
  <c r="B2546" i="32"/>
  <c r="N2545" i="32"/>
  <c r="S2545" i="32" s="1"/>
  <c r="M2545" i="32"/>
  <c r="K2545" i="32"/>
  <c r="H2545" i="32"/>
  <c r="G2545" i="32"/>
  <c r="F2545" i="32"/>
  <c r="E2545" i="32"/>
  <c r="D2545" i="32"/>
  <c r="C2545" i="32"/>
  <c r="B2545" i="32"/>
  <c r="N2544" i="32"/>
  <c r="S2544" i="32" s="1"/>
  <c r="M2544" i="32"/>
  <c r="K2544" i="32"/>
  <c r="H2544" i="32"/>
  <c r="G2544" i="32"/>
  <c r="F2544" i="32"/>
  <c r="E2544" i="32"/>
  <c r="D2544" i="32"/>
  <c r="C2544" i="32"/>
  <c r="B2544" i="32"/>
  <c r="N2543" i="32"/>
  <c r="R2543" i="32" s="1"/>
  <c r="M2543" i="32"/>
  <c r="K2543" i="32"/>
  <c r="H2543" i="32"/>
  <c r="G2543" i="32"/>
  <c r="F2543" i="32"/>
  <c r="E2543" i="32"/>
  <c r="D2543" i="32"/>
  <c r="C2543" i="32"/>
  <c r="B2543" i="32"/>
  <c r="N2542" i="32"/>
  <c r="S2542" i="32" s="1"/>
  <c r="M2542" i="32"/>
  <c r="K2542" i="32"/>
  <c r="H2542" i="32"/>
  <c r="G2542" i="32"/>
  <c r="F2542" i="32"/>
  <c r="E2542" i="32"/>
  <c r="D2542" i="32"/>
  <c r="C2542" i="32"/>
  <c r="B2542" i="32"/>
  <c r="N2541" i="32"/>
  <c r="M2541" i="32"/>
  <c r="K2541" i="32"/>
  <c r="H2541" i="32"/>
  <c r="G2541" i="32"/>
  <c r="F2541" i="32"/>
  <c r="E2541" i="32"/>
  <c r="D2541" i="32"/>
  <c r="C2541" i="32"/>
  <c r="B2541" i="32"/>
  <c r="N2540" i="32"/>
  <c r="S2540" i="32" s="1"/>
  <c r="M2540" i="32"/>
  <c r="K2540" i="32"/>
  <c r="H2540" i="32"/>
  <c r="G2540" i="32"/>
  <c r="F2540" i="32"/>
  <c r="E2540" i="32"/>
  <c r="D2540" i="32"/>
  <c r="C2540" i="32"/>
  <c r="B2540" i="32"/>
  <c r="N2539" i="32"/>
  <c r="Q2539" i="32" s="1"/>
  <c r="M2539" i="32"/>
  <c r="K2539" i="32"/>
  <c r="H2539" i="32"/>
  <c r="G2539" i="32"/>
  <c r="F2539" i="32"/>
  <c r="E2539" i="32"/>
  <c r="D2539" i="32"/>
  <c r="C2539" i="32"/>
  <c r="B2539" i="32"/>
  <c r="N2538" i="32"/>
  <c r="M2538" i="32"/>
  <c r="K2538" i="32"/>
  <c r="H2538" i="32"/>
  <c r="G2538" i="32"/>
  <c r="F2538" i="32"/>
  <c r="E2538" i="32"/>
  <c r="D2538" i="32"/>
  <c r="C2538" i="32"/>
  <c r="B2538" i="32"/>
  <c r="N2537" i="32"/>
  <c r="S2537" i="32" s="1"/>
  <c r="M2537" i="32"/>
  <c r="K2537" i="32"/>
  <c r="H2537" i="32"/>
  <c r="G2537" i="32"/>
  <c r="F2537" i="32"/>
  <c r="E2537" i="32"/>
  <c r="D2537" i="32"/>
  <c r="C2537" i="32"/>
  <c r="B2537" i="32"/>
  <c r="N2536" i="32"/>
  <c r="S2536" i="32" s="1"/>
  <c r="M2536" i="32"/>
  <c r="K2536" i="32"/>
  <c r="H2536" i="32"/>
  <c r="G2536" i="32"/>
  <c r="F2536" i="32"/>
  <c r="E2536" i="32"/>
  <c r="D2536" i="32"/>
  <c r="C2536" i="32"/>
  <c r="B2536" i="32"/>
  <c r="N2535" i="32"/>
  <c r="M2535" i="32"/>
  <c r="K2535" i="32"/>
  <c r="H2535" i="32"/>
  <c r="G2535" i="32"/>
  <c r="F2535" i="32"/>
  <c r="E2535" i="32"/>
  <c r="D2535" i="32"/>
  <c r="C2535" i="32"/>
  <c r="B2535" i="32"/>
  <c r="N2534" i="32"/>
  <c r="S2534" i="32" s="1"/>
  <c r="M2534" i="32"/>
  <c r="K2534" i="32"/>
  <c r="H2534" i="32"/>
  <c r="G2534" i="32"/>
  <c r="F2534" i="32"/>
  <c r="E2534" i="32"/>
  <c r="D2534" i="32"/>
  <c r="C2534" i="32"/>
  <c r="B2534" i="32"/>
  <c r="N2533" i="32"/>
  <c r="M2533" i="32"/>
  <c r="K2533" i="32"/>
  <c r="H2533" i="32"/>
  <c r="G2533" i="32"/>
  <c r="F2533" i="32"/>
  <c r="E2533" i="32"/>
  <c r="D2533" i="32"/>
  <c r="C2533" i="32"/>
  <c r="B2533" i="32"/>
  <c r="N2532" i="32"/>
  <c r="S2532" i="32" s="1"/>
  <c r="M2532" i="32"/>
  <c r="K2532" i="32"/>
  <c r="H2532" i="32"/>
  <c r="G2532" i="32"/>
  <c r="F2532" i="32"/>
  <c r="E2532" i="32"/>
  <c r="D2532" i="32"/>
  <c r="C2532" i="32"/>
  <c r="B2532" i="32"/>
  <c r="N2531" i="32"/>
  <c r="Q2531" i="32" s="1"/>
  <c r="M2531" i="32"/>
  <c r="K2531" i="32"/>
  <c r="H2531" i="32"/>
  <c r="G2531" i="32"/>
  <c r="F2531" i="32"/>
  <c r="E2531" i="32"/>
  <c r="D2531" i="32"/>
  <c r="C2531" i="32"/>
  <c r="B2531" i="32"/>
  <c r="N2530" i="32"/>
  <c r="M2530" i="32"/>
  <c r="K2530" i="32"/>
  <c r="H2530" i="32"/>
  <c r="G2530" i="32"/>
  <c r="F2530" i="32"/>
  <c r="E2530" i="32"/>
  <c r="D2530" i="32"/>
  <c r="C2530" i="32"/>
  <c r="B2530" i="32"/>
  <c r="N2529" i="32"/>
  <c r="S2529" i="32" s="1"/>
  <c r="M2529" i="32"/>
  <c r="K2529" i="32"/>
  <c r="H2529" i="32"/>
  <c r="G2529" i="32"/>
  <c r="F2529" i="32"/>
  <c r="E2529" i="32"/>
  <c r="D2529" i="32"/>
  <c r="C2529" i="32"/>
  <c r="B2529" i="32"/>
  <c r="N2528" i="32"/>
  <c r="S2528" i="32" s="1"/>
  <c r="M2528" i="32"/>
  <c r="K2528" i="32"/>
  <c r="H2528" i="32"/>
  <c r="G2528" i="32"/>
  <c r="F2528" i="32"/>
  <c r="E2528" i="32"/>
  <c r="D2528" i="32"/>
  <c r="C2528" i="32"/>
  <c r="B2528" i="32"/>
  <c r="N2527" i="32"/>
  <c r="M2527" i="32"/>
  <c r="K2527" i="32"/>
  <c r="H2527" i="32"/>
  <c r="G2527" i="32"/>
  <c r="F2527" i="32"/>
  <c r="E2527" i="32"/>
  <c r="D2527" i="32"/>
  <c r="C2527" i="32"/>
  <c r="B2527" i="32"/>
  <c r="N2526" i="32"/>
  <c r="S2526" i="32" s="1"/>
  <c r="M2526" i="32"/>
  <c r="K2526" i="32"/>
  <c r="H2526" i="32"/>
  <c r="G2526" i="32"/>
  <c r="F2526" i="32"/>
  <c r="E2526" i="32"/>
  <c r="D2526" i="32"/>
  <c r="C2526" i="32"/>
  <c r="B2526" i="32"/>
  <c r="N2525" i="32"/>
  <c r="M2525" i="32"/>
  <c r="K2525" i="32"/>
  <c r="H2525" i="32"/>
  <c r="G2525" i="32"/>
  <c r="F2525" i="32"/>
  <c r="E2525" i="32"/>
  <c r="D2525" i="32"/>
  <c r="C2525" i="32"/>
  <c r="B2525" i="32"/>
  <c r="N2524" i="32"/>
  <c r="S2524" i="32" s="1"/>
  <c r="M2524" i="32"/>
  <c r="K2524" i="32"/>
  <c r="H2524" i="32"/>
  <c r="G2524" i="32"/>
  <c r="F2524" i="32"/>
  <c r="E2524" i="32"/>
  <c r="D2524" i="32"/>
  <c r="C2524" i="32"/>
  <c r="B2524" i="32"/>
  <c r="N2523" i="32"/>
  <c r="Q2523" i="32" s="1"/>
  <c r="M2523" i="32"/>
  <c r="K2523" i="32"/>
  <c r="H2523" i="32"/>
  <c r="G2523" i="32"/>
  <c r="F2523" i="32"/>
  <c r="E2523" i="32"/>
  <c r="D2523" i="32"/>
  <c r="C2523" i="32"/>
  <c r="B2523" i="32"/>
  <c r="N2522" i="32"/>
  <c r="Q2522" i="32" s="1"/>
  <c r="M2522" i="32"/>
  <c r="K2522" i="32"/>
  <c r="H2522" i="32"/>
  <c r="G2522" i="32"/>
  <c r="F2522" i="32"/>
  <c r="E2522" i="32"/>
  <c r="D2522" i="32"/>
  <c r="C2522" i="32"/>
  <c r="B2522" i="32"/>
  <c r="N2521" i="32"/>
  <c r="S2521" i="32" s="1"/>
  <c r="M2521" i="32"/>
  <c r="K2521" i="32"/>
  <c r="H2521" i="32"/>
  <c r="G2521" i="32"/>
  <c r="F2521" i="32"/>
  <c r="E2521" i="32"/>
  <c r="D2521" i="32"/>
  <c r="C2521" i="32"/>
  <c r="B2521" i="32"/>
  <c r="N2520" i="32"/>
  <c r="S2520" i="32" s="1"/>
  <c r="M2520" i="32"/>
  <c r="K2520" i="32"/>
  <c r="H2520" i="32"/>
  <c r="G2520" i="32"/>
  <c r="F2520" i="32"/>
  <c r="E2520" i="32"/>
  <c r="D2520" i="32"/>
  <c r="C2520" i="32"/>
  <c r="B2520" i="32"/>
  <c r="N2519" i="32"/>
  <c r="S2519" i="32" s="1"/>
  <c r="M2519" i="32"/>
  <c r="K2519" i="32"/>
  <c r="H2519" i="32"/>
  <c r="G2519" i="32"/>
  <c r="F2519" i="32"/>
  <c r="E2519" i="32"/>
  <c r="D2519" i="32"/>
  <c r="C2519" i="32"/>
  <c r="B2519" i="32"/>
  <c r="N2518" i="32"/>
  <c r="S2518" i="32" s="1"/>
  <c r="M2518" i="32"/>
  <c r="K2518" i="32"/>
  <c r="H2518" i="32"/>
  <c r="G2518" i="32"/>
  <c r="F2518" i="32"/>
  <c r="E2518" i="32"/>
  <c r="D2518" i="32"/>
  <c r="C2518" i="32"/>
  <c r="B2518" i="32"/>
  <c r="N2517" i="32"/>
  <c r="M2517" i="32"/>
  <c r="K2517" i="32"/>
  <c r="H2517" i="32"/>
  <c r="G2517" i="32"/>
  <c r="F2517" i="32"/>
  <c r="E2517" i="32"/>
  <c r="D2517" i="32"/>
  <c r="C2517" i="32"/>
  <c r="B2517" i="32"/>
  <c r="N2516" i="32"/>
  <c r="S2516" i="32" s="1"/>
  <c r="M2516" i="32"/>
  <c r="K2516" i="32"/>
  <c r="H2516" i="32"/>
  <c r="G2516" i="32"/>
  <c r="F2516" i="32"/>
  <c r="E2516" i="32"/>
  <c r="D2516" i="32"/>
  <c r="C2516" i="32"/>
  <c r="B2516" i="32"/>
  <c r="N2515" i="32"/>
  <c r="M2515" i="32"/>
  <c r="J2515" i="32"/>
  <c r="I2515" i="32"/>
  <c r="H2515" i="32"/>
  <c r="G2515" i="32"/>
  <c r="F2515" i="32"/>
  <c r="E2515" i="32"/>
  <c r="H2514" i="32"/>
  <c r="G2514" i="32"/>
  <c r="F2514" i="32"/>
  <c r="E2514" i="32"/>
  <c r="H2513" i="32"/>
  <c r="G2513" i="32"/>
  <c r="F2513" i="32"/>
  <c r="E2513" i="32"/>
  <c r="H2512" i="32"/>
  <c r="G2512" i="32"/>
  <c r="F2512" i="32"/>
  <c r="E2512" i="32"/>
  <c r="H2511" i="32"/>
  <c r="G2511" i="32"/>
  <c r="F2511" i="32"/>
  <c r="E2511" i="32"/>
  <c r="H2510" i="32"/>
  <c r="G2510" i="32"/>
  <c r="F2510" i="32"/>
  <c r="E2510" i="32"/>
  <c r="N2509" i="32"/>
  <c r="Q2509" i="32" s="1"/>
  <c r="M2509" i="32"/>
  <c r="H2509" i="32"/>
  <c r="G2509" i="32"/>
  <c r="F2509" i="32"/>
  <c r="E2509" i="32"/>
  <c r="N2508" i="32"/>
  <c r="S2508" i="32" s="1"/>
  <c r="M2508" i="32"/>
  <c r="H2508" i="32"/>
  <c r="G2508" i="32"/>
  <c r="F2508" i="32"/>
  <c r="E2508" i="32"/>
  <c r="H2507" i="32"/>
  <c r="G2507" i="32"/>
  <c r="F2507" i="32"/>
  <c r="E2507" i="32"/>
  <c r="H2506" i="32"/>
  <c r="G2506" i="32"/>
  <c r="F2506" i="32"/>
  <c r="E2506" i="32"/>
  <c r="N2505" i="32"/>
  <c r="S2505" i="32" s="1"/>
  <c r="M2505" i="32"/>
  <c r="H2505" i="32"/>
  <c r="G2505" i="32"/>
  <c r="F2505" i="32"/>
  <c r="E2505" i="32"/>
  <c r="N2504" i="32"/>
  <c r="M2504" i="32"/>
  <c r="H2504" i="32"/>
  <c r="G2504" i="32"/>
  <c r="F2504" i="32"/>
  <c r="E2504" i="32"/>
  <c r="H2503" i="32"/>
  <c r="G2503" i="32"/>
  <c r="F2503" i="32"/>
  <c r="E2503" i="32"/>
  <c r="H2502" i="32"/>
  <c r="G2502" i="32"/>
  <c r="F2502" i="32"/>
  <c r="E2502" i="32"/>
  <c r="H2501" i="32"/>
  <c r="G2501" i="32"/>
  <c r="F2501" i="32"/>
  <c r="E2501" i="32"/>
  <c r="N2500" i="32"/>
  <c r="M2500" i="32"/>
  <c r="J2500" i="32"/>
  <c r="I2500" i="32"/>
  <c r="H2500" i="32"/>
  <c r="E2500" i="32"/>
  <c r="N2499" i="32"/>
  <c r="M2499" i="32"/>
  <c r="J2499" i="32"/>
  <c r="I2499" i="32"/>
  <c r="H2499" i="32"/>
  <c r="E2499" i="32"/>
  <c r="N2498" i="32"/>
  <c r="M2498" i="32"/>
  <c r="K2498" i="32"/>
  <c r="H2498" i="32"/>
  <c r="G2498" i="32"/>
  <c r="F2498" i="32"/>
  <c r="E2498" i="32"/>
  <c r="D2498" i="32"/>
  <c r="C2498" i="32"/>
  <c r="B2498" i="32"/>
  <c r="N2497" i="32"/>
  <c r="M2497" i="32"/>
  <c r="K2497" i="32"/>
  <c r="H2497" i="32"/>
  <c r="G2497" i="32"/>
  <c r="F2497" i="32"/>
  <c r="E2497" i="32"/>
  <c r="D2497" i="32"/>
  <c r="C2497" i="32"/>
  <c r="B2497" i="32"/>
  <c r="N2496" i="32"/>
  <c r="S2496" i="32" s="1"/>
  <c r="M2496" i="32"/>
  <c r="K2496" i="32"/>
  <c r="H2496" i="32"/>
  <c r="G2496" i="32"/>
  <c r="F2496" i="32"/>
  <c r="E2496" i="32"/>
  <c r="D2496" i="32"/>
  <c r="C2496" i="32"/>
  <c r="B2496" i="32"/>
  <c r="N2495" i="32"/>
  <c r="Q2495" i="32" s="1"/>
  <c r="M2495" i="32"/>
  <c r="K2495" i="32"/>
  <c r="H2495" i="32"/>
  <c r="G2495" i="32"/>
  <c r="F2495" i="32"/>
  <c r="E2495" i="32"/>
  <c r="D2495" i="32"/>
  <c r="C2495" i="32"/>
  <c r="B2495" i="32"/>
  <c r="N2494" i="32"/>
  <c r="S2494" i="32" s="1"/>
  <c r="M2494" i="32"/>
  <c r="K2494" i="32"/>
  <c r="H2494" i="32"/>
  <c r="G2494" i="32"/>
  <c r="F2494" i="32"/>
  <c r="E2494" i="32"/>
  <c r="D2494" i="32"/>
  <c r="C2494" i="32"/>
  <c r="B2494" i="32"/>
  <c r="N2493" i="32"/>
  <c r="R2493" i="32" s="1"/>
  <c r="M2493" i="32"/>
  <c r="K2493" i="32"/>
  <c r="H2493" i="32"/>
  <c r="G2493" i="32"/>
  <c r="F2493" i="32"/>
  <c r="E2493" i="32"/>
  <c r="D2493" i="32"/>
  <c r="C2493" i="32"/>
  <c r="B2493" i="32"/>
  <c r="N2492" i="32"/>
  <c r="S2492" i="32" s="1"/>
  <c r="M2492" i="32"/>
  <c r="K2492" i="32"/>
  <c r="H2492" i="32"/>
  <c r="G2492" i="32"/>
  <c r="F2492" i="32"/>
  <c r="E2492" i="32"/>
  <c r="D2492" i="32"/>
  <c r="C2492" i="32"/>
  <c r="B2492" i="32"/>
  <c r="N2491" i="32"/>
  <c r="S2491" i="32" s="1"/>
  <c r="M2491" i="32"/>
  <c r="K2491" i="32"/>
  <c r="H2491" i="32"/>
  <c r="G2491" i="32"/>
  <c r="F2491" i="32"/>
  <c r="E2491" i="32"/>
  <c r="D2491" i="32"/>
  <c r="C2491" i="32"/>
  <c r="B2491" i="32"/>
  <c r="N2490" i="32"/>
  <c r="M2490" i="32"/>
  <c r="K2490" i="32"/>
  <c r="H2490" i="32"/>
  <c r="G2490" i="32"/>
  <c r="F2490" i="32"/>
  <c r="E2490" i="32"/>
  <c r="D2490" i="32"/>
  <c r="C2490" i="32"/>
  <c r="B2490" i="32"/>
  <c r="N2489" i="32"/>
  <c r="M2489" i="32"/>
  <c r="K2489" i="32"/>
  <c r="H2489" i="32"/>
  <c r="G2489" i="32"/>
  <c r="F2489" i="32"/>
  <c r="E2489" i="32"/>
  <c r="D2489" i="32"/>
  <c r="C2489" i="32"/>
  <c r="B2489" i="32"/>
  <c r="N2488" i="32"/>
  <c r="S2488" i="32" s="1"/>
  <c r="M2488" i="32"/>
  <c r="K2488" i="32"/>
  <c r="H2488" i="32"/>
  <c r="G2488" i="32"/>
  <c r="F2488" i="32"/>
  <c r="E2488" i="32"/>
  <c r="D2488" i="32"/>
  <c r="C2488" i="32"/>
  <c r="B2488" i="32"/>
  <c r="N2487" i="32"/>
  <c r="R2487" i="32" s="1"/>
  <c r="M2487" i="32"/>
  <c r="K2487" i="32"/>
  <c r="H2487" i="32"/>
  <c r="G2487" i="32"/>
  <c r="F2487" i="32"/>
  <c r="E2487" i="32"/>
  <c r="D2487" i="32"/>
  <c r="C2487" i="32"/>
  <c r="B2487" i="32"/>
  <c r="N2486" i="32"/>
  <c r="S2486" i="32" s="1"/>
  <c r="M2486" i="32"/>
  <c r="K2486" i="32"/>
  <c r="H2486" i="32"/>
  <c r="G2486" i="32"/>
  <c r="F2486" i="32"/>
  <c r="E2486" i="32"/>
  <c r="D2486" i="32"/>
  <c r="C2486" i="32"/>
  <c r="B2486" i="32"/>
  <c r="N2485" i="32"/>
  <c r="R2485" i="32" s="1"/>
  <c r="M2485" i="32"/>
  <c r="K2485" i="32"/>
  <c r="H2485" i="32"/>
  <c r="G2485" i="32"/>
  <c r="F2485" i="32"/>
  <c r="E2485" i="32"/>
  <c r="D2485" i="32"/>
  <c r="C2485" i="32"/>
  <c r="B2485" i="32"/>
  <c r="N2484" i="32"/>
  <c r="S2484" i="32" s="1"/>
  <c r="M2484" i="32"/>
  <c r="K2484" i="32"/>
  <c r="H2484" i="32"/>
  <c r="G2484" i="32"/>
  <c r="F2484" i="32"/>
  <c r="E2484" i="32"/>
  <c r="D2484" i="32"/>
  <c r="C2484" i="32"/>
  <c r="B2484" i="32"/>
  <c r="N2483" i="32"/>
  <c r="S2483" i="32" s="1"/>
  <c r="M2483" i="32"/>
  <c r="K2483" i="32"/>
  <c r="H2483" i="32"/>
  <c r="G2483" i="32"/>
  <c r="F2483" i="32"/>
  <c r="E2483" i="32"/>
  <c r="D2483" i="32"/>
  <c r="C2483" i="32"/>
  <c r="B2483" i="32"/>
  <c r="N2482" i="32"/>
  <c r="M2482" i="32"/>
  <c r="K2482" i="32"/>
  <c r="H2482" i="32"/>
  <c r="G2482" i="32"/>
  <c r="F2482" i="32"/>
  <c r="E2482" i="32"/>
  <c r="D2482" i="32"/>
  <c r="C2482" i="32"/>
  <c r="B2482" i="32"/>
  <c r="N2481" i="32"/>
  <c r="M2481" i="32"/>
  <c r="K2481" i="32"/>
  <c r="H2481" i="32"/>
  <c r="G2481" i="32"/>
  <c r="F2481" i="32"/>
  <c r="E2481" i="32"/>
  <c r="D2481" i="32"/>
  <c r="C2481" i="32"/>
  <c r="B2481" i="32"/>
  <c r="N2480" i="32"/>
  <c r="S2480" i="32" s="1"/>
  <c r="M2480" i="32"/>
  <c r="K2480" i="32"/>
  <c r="H2480" i="32"/>
  <c r="G2480" i="32"/>
  <c r="F2480" i="32"/>
  <c r="E2480" i="32"/>
  <c r="D2480" i="32"/>
  <c r="C2480" i="32"/>
  <c r="B2480" i="32"/>
  <c r="N2479" i="32"/>
  <c r="S2479" i="32" s="1"/>
  <c r="M2479" i="32"/>
  <c r="K2479" i="32"/>
  <c r="H2479" i="32"/>
  <c r="G2479" i="32"/>
  <c r="F2479" i="32"/>
  <c r="E2479" i="32"/>
  <c r="D2479" i="32"/>
  <c r="C2479" i="32"/>
  <c r="B2479" i="32"/>
  <c r="N2478" i="32"/>
  <c r="M2478" i="32"/>
  <c r="K2478" i="32"/>
  <c r="H2478" i="32"/>
  <c r="G2478" i="32"/>
  <c r="F2478" i="32"/>
  <c r="E2478" i="32"/>
  <c r="D2478" i="32"/>
  <c r="C2478" i="32"/>
  <c r="B2478" i="32"/>
  <c r="N2477" i="32"/>
  <c r="R2477" i="32" s="1"/>
  <c r="M2477" i="32"/>
  <c r="K2477" i="32"/>
  <c r="H2477" i="32"/>
  <c r="G2477" i="32"/>
  <c r="F2477" i="32"/>
  <c r="E2477" i="32"/>
  <c r="D2477" i="32"/>
  <c r="C2477" i="32"/>
  <c r="B2477" i="32"/>
  <c r="N2476" i="32"/>
  <c r="S2476" i="32" s="1"/>
  <c r="M2476" i="32"/>
  <c r="K2476" i="32"/>
  <c r="H2476" i="32"/>
  <c r="G2476" i="32"/>
  <c r="F2476" i="32"/>
  <c r="E2476" i="32"/>
  <c r="D2476" i="32"/>
  <c r="C2476" i="32"/>
  <c r="B2476" i="32"/>
  <c r="N2475" i="32"/>
  <c r="S2475" i="32" s="1"/>
  <c r="M2475" i="32"/>
  <c r="K2475" i="32"/>
  <c r="H2475" i="32"/>
  <c r="G2475" i="32"/>
  <c r="F2475" i="32"/>
  <c r="E2475" i="32"/>
  <c r="D2475" i="32"/>
  <c r="C2475" i="32"/>
  <c r="B2475" i="32"/>
  <c r="N2474" i="32"/>
  <c r="M2474" i="32"/>
  <c r="K2474" i="32"/>
  <c r="H2474" i="32"/>
  <c r="G2474" i="32"/>
  <c r="F2474" i="32"/>
  <c r="E2474" i="32"/>
  <c r="D2474" i="32"/>
  <c r="C2474" i="32"/>
  <c r="B2474" i="32"/>
  <c r="N2473" i="32"/>
  <c r="M2473" i="32"/>
  <c r="K2473" i="32"/>
  <c r="H2473" i="32"/>
  <c r="G2473" i="32"/>
  <c r="F2473" i="32"/>
  <c r="E2473" i="32"/>
  <c r="D2473" i="32"/>
  <c r="C2473" i="32"/>
  <c r="B2473" i="32"/>
  <c r="N2472" i="32"/>
  <c r="S2472" i="32" s="1"/>
  <c r="M2472" i="32"/>
  <c r="K2472" i="32"/>
  <c r="H2472" i="32"/>
  <c r="G2472" i="32"/>
  <c r="F2472" i="32"/>
  <c r="E2472" i="32"/>
  <c r="D2472" i="32"/>
  <c r="C2472" i="32"/>
  <c r="B2472" i="32"/>
  <c r="N2471" i="32"/>
  <c r="M2471" i="32"/>
  <c r="K2471" i="32"/>
  <c r="H2471" i="32"/>
  <c r="G2471" i="32"/>
  <c r="F2471" i="32"/>
  <c r="E2471" i="32"/>
  <c r="D2471" i="32"/>
  <c r="C2471" i="32"/>
  <c r="B2471" i="32"/>
  <c r="N2470" i="32"/>
  <c r="S2470" i="32" s="1"/>
  <c r="M2470" i="32"/>
  <c r="K2470" i="32"/>
  <c r="H2470" i="32"/>
  <c r="G2470" i="32"/>
  <c r="F2470" i="32"/>
  <c r="E2470" i="32"/>
  <c r="D2470" i="32"/>
  <c r="C2470" i="32"/>
  <c r="B2470" i="32"/>
  <c r="K2469" i="32"/>
  <c r="H2469" i="32"/>
  <c r="G2469" i="32"/>
  <c r="F2469" i="32"/>
  <c r="E2469" i="32"/>
  <c r="D2469" i="32"/>
  <c r="C2469" i="32"/>
  <c r="B2469" i="32"/>
  <c r="K2468" i="32"/>
  <c r="H2468" i="32"/>
  <c r="G2468" i="32"/>
  <c r="F2468" i="32"/>
  <c r="E2468" i="32"/>
  <c r="D2468" i="32"/>
  <c r="C2468" i="32"/>
  <c r="B2468" i="32"/>
  <c r="N2467" i="32"/>
  <c r="M2467" i="32"/>
  <c r="J2467" i="32"/>
  <c r="I2467" i="32"/>
  <c r="H2467" i="32"/>
  <c r="G2467" i="32"/>
  <c r="F2467" i="32"/>
  <c r="E2467" i="32"/>
  <c r="N2466" i="32"/>
  <c r="M2466" i="32"/>
  <c r="H2466" i="32"/>
  <c r="N2465" i="32"/>
  <c r="M2465" i="32"/>
  <c r="H2465" i="32"/>
  <c r="N2464" i="32"/>
  <c r="M2464" i="32"/>
  <c r="H2464" i="32"/>
  <c r="N2463" i="32"/>
  <c r="M2463" i="32"/>
  <c r="H2463" i="32"/>
  <c r="N2462" i="32"/>
  <c r="M2462" i="32"/>
  <c r="H2462" i="32"/>
  <c r="N2461" i="32"/>
  <c r="P2464" i="32" s="1"/>
  <c r="M2461" i="32"/>
  <c r="H2461" i="32"/>
  <c r="F2461" i="32"/>
  <c r="E2461" i="32"/>
  <c r="D2461" i="32"/>
  <c r="N2460" i="32"/>
  <c r="M2460" i="32"/>
  <c r="H2460" i="32"/>
  <c r="N2459" i="32"/>
  <c r="M2459" i="32"/>
  <c r="H2459" i="32"/>
  <c r="N2458" i="32"/>
  <c r="M2458" i="32"/>
  <c r="H2458" i="32"/>
  <c r="N2457" i="32"/>
  <c r="M2457" i="32"/>
  <c r="H2457" i="32"/>
  <c r="N2456" i="32"/>
  <c r="M2456" i="32"/>
  <c r="H2456" i="32"/>
  <c r="N2455" i="32"/>
  <c r="M2455" i="32"/>
  <c r="H2455" i="32"/>
  <c r="F2455" i="32"/>
  <c r="E2455" i="32"/>
  <c r="D2455" i="32"/>
  <c r="N2454" i="32"/>
  <c r="M2454" i="32"/>
  <c r="H2454" i="32"/>
  <c r="N2453" i="32"/>
  <c r="M2453" i="32"/>
  <c r="H2453" i="32"/>
  <c r="N2452" i="32"/>
  <c r="M2452" i="32"/>
  <c r="H2452" i="32"/>
  <c r="N2451" i="32"/>
  <c r="M2451" i="32"/>
  <c r="H2451" i="32"/>
  <c r="N2450" i="32"/>
  <c r="M2450" i="32"/>
  <c r="H2450" i="32"/>
  <c r="N2449" i="32"/>
  <c r="M2449" i="32"/>
  <c r="H2449" i="32"/>
  <c r="F2449" i="32"/>
  <c r="E2449" i="32"/>
  <c r="D2449" i="32"/>
  <c r="N2448" i="32"/>
  <c r="M2448" i="32"/>
  <c r="H2448" i="32"/>
  <c r="N2447" i="32"/>
  <c r="M2447" i="32"/>
  <c r="H2447" i="32"/>
  <c r="N2446" i="32"/>
  <c r="M2446" i="32"/>
  <c r="H2446" i="32"/>
  <c r="N2445" i="32"/>
  <c r="M2445" i="32"/>
  <c r="H2445" i="32"/>
  <c r="N2444" i="32"/>
  <c r="M2444" i="32"/>
  <c r="H2444" i="32"/>
  <c r="N2443" i="32"/>
  <c r="S2443" i="32" s="1"/>
  <c r="M2443" i="32"/>
  <c r="H2443" i="32"/>
  <c r="F2443" i="32"/>
  <c r="E2443" i="32"/>
  <c r="D2443" i="32"/>
  <c r="N2442" i="32"/>
  <c r="M2442" i="32"/>
  <c r="H2442" i="32"/>
  <c r="N2441" i="32"/>
  <c r="M2441" i="32"/>
  <c r="H2441" i="32"/>
  <c r="N2440" i="32"/>
  <c r="M2440" i="32"/>
  <c r="H2440" i="32"/>
  <c r="N2439" i="32"/>
  <c r="M2439" i="32"/>
  <c r="H2439" i="32"/>
  <c r="N2438" i="32"/>
  <c r="M2438" i="32"/>
  <c r="H2438" i="32"/>
  <c r="N2437" i="32"/>
  <c r="M2437" i="32"/>
  <c r="H2437" i="32"/>
  <c r="F2437" i="32"/>
  <c r="E2437" i="32"/>
  <c r="D2437" i="32"/>
  <c r="N2436" i="32"/>
  <c r="M2436" i="32"/>
  <c r="H2436" i="32"/>
  <c r="N2435" i="32"/>
  <c r="M2435" i="32"/>
  <c r="H2435" i="32"/>
  <c r="N2434" i="32"/>
  <c r="M2434" i="32"/>
  <c r="H2434" i="32"/>
  <c r="N2433" i="32"/>
  <c r="M2433" i="32"/>
  <c r="H2433" i="32"/>
  <c r="N2432" i="32"/>
  <c r="M2432" i="32"/>
  <c r="H2432" i="32"/>
  <c r="N2431" i="32"/>
  <c r="S2431" i="32" s="1"/>
  <c r="M2431" i="32"/>
  <c r="H2431" i="32"/>
  <c r="F2431" i="32"/>
  <c r="E2431" i="32"/>
  <c r="D2431" i="32"/>
  <c r="N2430" i="32"/>
  <c r="M2430" i="32"/>
  <c r="H2430" i="32"/>
  <c r="N2429" i="32"/>
  <c r="M2429" i="32"/>
  <c r="H2429" i="32"/>
  <c r="N2428" i="32"/>
  <c r="M2428" i="32"/>
  <c r="H2428" i="32"/>
  <c r="N2427" i="32"/>
  <c r="M2427" i="32"/>
  <c r="H2427" i="32"/>
  <c r="N2426" i="32"/>
  <c r="M2426" i="32"/>
  <c r="H2426" i="32"/>
  <c r="N2425" i="32"/>
  <c r="P2428" i="32" s="1"/>
  <c r="M2425" i="32"/>
  <c r="H2425" i="32"/>
  <c r="F2425" i="32"/>
  <c r="E2425" i="32"/>
  <c r="D2425" i="32"/>
  <c r="N2424" i="32"/>
  <c r="M2424" i="32"/>
  <c r="H2424" i="32"/>
  <c r="N2423" i="32"/>
  <c r="M2423" i="32"/>
  <c r="H2423" i="32"/>
  <c r="N2422" i="32"/>
  <c r="M2422" i="32"/>
  <c r="H2422" i="32"/>
  <c r="N2421" i="32"/>
  <c r="M2421" i="32"/>
  <c r="H2421" i="32"/>
  <c r="N2420" i="32"/>
  <c r="M2420" i="32"/>
  <c r="H2420" i="32"/>
  <c r="N2419" i="32"/>
  <c r="P2424" i="32" s="1"/>
  <c r="M2419" i="32"/>
  <c r="H2419" i="32"/>
  <c r="F2419" i="32"/>
  <c r="E2419" i="32"/>
  <c r="D2419" i="32"/>
  <c r="N2418" i="32"/>
  <c r="M2418" i="32"/>
  <c r="H2418" i="32"/>
  <c r="N2417" i="32"/>
  <c r="M2417" i="32"/>
  <c r="H2417" i="32"/>
  <c r="N2416" i="32"/>
  <c r="M2416" i="32"/>
  <c r="H2416" i="32"/>
  <c r="N2415" i="32"/>
  <c r="M2415" i="32"/>
  <c r="H2415" i="32"/>
  <c r="N2414" i="32"/>
  <c r="M2414" i="32"/>
  <c r="H2414" i="32"/>
  <c r="N2413" i="32"/>
  <c r="P2417" i="32" s="1"/>
  <c r="M2413" i="32"/>
  <c r="H2413" i="32"/>
  <c r="F2413" i="32"/>
  <c r="E2413" i="32"/>
  <c r="D2413" i="32"/>
  <c r="N2412" i="32"/>
  <c r="M2412" i="32"/>
  <c r="H2412" i="32"/>
  <c r="N2411" i="32"/>
  <c r="M2411" i="32"/>
  <c r="H2411" i="32"/>
  <c r="N2410" i="32"/>
  <c r="M2410" i="32"/>
  <c r="H2410" i="32"/>
  <c r="N2409" i="32"/>
  <c r="M2409" i="32"/>
  <c r="H2409" i="32"/>
  <c r="N2408" i="32"/>
  <c r="M2408" i="32"/>
  <c r="H2408" i="32"/>
  <c r="N2407" i="32"/>
  <c r="M2407" i="32"/>
  <c r="H2407" i="32"/>
  <c r="F2407" i="32"/>
  <c r="E2407" i="32"/>
  <c r="D2407" i="32"/>
  <c r="N2406" i="32"/>
  <c r="M2406" i="32"/>
  <c r="I2406" i="32"/>
  <c r="H2406" i="32"/>
  <c r="N2405" i="32"/>
  <c r="M2405" i="32"/>
  <c r="I2405" i="32"/>
  <c r="H2405" i="32"/>
  <c r="N2404" i="32"/>
  <c r="M2404" i="32"/>
  <c r="I2404" i="32"/>
  <c r="H2404" i="32"/>
  <c r="N2403" i="32"/>
  <c r="M2403" i="32"/>
  <c r="H2403" i="32"/>
  <c r="F2403" i="32"/>
  <c r="E2403" i="32"/>
  <c r="N2402" i="32"/>
  <c r="M2402" i="32"/>
  <c r="I2402" i="32"/>
  <c r="H2402" i="32"/>
  <c r="N2401" i="32"/>
  <c r="M2401" i="32"/>
  <c r="I2401" i="32"/>
  <c r="H2401" i="32"/>
  <c r="N2400" i="32"/>
  <c r="M2400" i="32"/>
  <c r="I2400" i="32"/>
  <c r="H2400" i="32"/>
  <c r="H2399" i="32"/>
  <c r="F2399" i="32"/>
  <c r="E2399" i="32"/>
  <c r="N2398" i="32"/>
  <c r="M2398" i="32"/>
  <c r="I2398" i="32"/>
  <c r="H2398" i="32"/>
  <c r="N2397" i="32"/>
  <c r="M2397" i="32"/>
  <c r="I2397" i="32"/>
  <c r="H2397" i="32"/>
  <c r="N2396" i="32"/>
  <c r="M2396" i="32"/>
  <c r="I2396" i="32"/>
  <c r="H2396" i="32"/>
  <c r="N2395" i="32"/>
  <c r="P2398" i="32" s="1"/>
  <c r="M2395" i="32"/>
  <c r="H2395" i="32"/>
  <c r="F2395" i="32"/>
  <c r="E2395" i="32"/>
  <c r="N2394" i="32"/>
  <c r="M2394" i="32"/>
  <c r="I2394" i="32"/>
  <c r="H2394" i="32"/>
  <c r="N2393" i="32"/>
  <c r="M2393" i="32"/>
  <c r="I2393" i="32"/>
  <c r="H2393" i="32"/>
  <c r="N2392" i="32"/>
  <c r="M2392" i="32"/>
  <c r="I2392" i="32"/>
  <c r="H2392" i="32"/>
  <c r="N2391" i="32"/>
  <c r="Q2391" i="32" s="1"/>
  <c r="M2391" i="32"/>
  <c r="H2391" i="32"/>
  <c r="F2391" i="32"/>
  <c r="E2391" i="32"/>
  <c r="N2390" i="32"/>
  <c r="M2390" i="32"/>
  <c r="I2390" i="32"/>
  <c r="H2390" i="32"/>
  <c r="N2389" i="32"/>
  <c r="M2389" i="32"/>
  <c r="I2389" i="32"/>
  <c r="H2389" i="32"/>
  <c r="N2388" i="32"/>
  <c r="M2388" i="32"/>
  <c r="I2388" i="32"/>
  <c r="H2388" i="32"/>
  <c r="N2387" i="32"/>
  <c r="M2387" i="32"/>
  <c r="H2387" i="32"/>
  <c r="F2387" i="32"/>
  <c r="E2387" i="32"/>
  <c r="N2386" i="32"/>
  <c r="M2386" i="32"/>
  <c r="I2386" i="32"/>
  <c r="H2386" i="32"/>
  <c r="N2385" i="32"/>
  <c r="M2385" i="32"/>
  <c r="I2385" i="32"/>
  <c r="H2385" i="32"/>
  <c r="N2384" i="32"/>
  <c r="M2384" i="32"/>
  <c r="I2384" i="32"/>
  <c r="H2384" i="32"/>
  <c r="N2383" i="32"/>
  <c r="Q2383" i="32" s="1"/>
  <c r="M2383" i="32"/>
  <c r="H2383" i="32"/>
  <c r="F2383" i="32"/>
  <c r="E2383" i="32"/>
  <c r="N2382" i="32"/>
  <c r="M2382" i="32"/>
  <c r="I2382" i="32"/>
  <c r="H2382" i="32"/>
  <c r="N2381" i="32"/>
  <c r="M2381" i="32"/>
  <c r="I2381" i="32"/>
  <c r="H2381" i="32"/>
  <c r="N2380" i="32"/>
  <c r="M2380" i="32"/>
  <c r="I2380" i="32"/>
  <c r="H2380" i="32"/>
  <c r="N2379" i="32"/>
  <c r="R2379" i="32" s="1"/>
  <c r="M2379" i="32"/>
  <c r="H2379" i="32"/>
  <c r="F2379" i="32"/>
  <c r="E2379" i="32"/>
  <c r="N2378" i="32"/>
  <c r="M2378" i="32"/>
  <c r="I2378" i="32"/>
  <c r="H2378" i="32"/>
  <c r="N2377" i="32"/>
  <c r="M2377" i="32"/>
  <c r="I2377" i="32"/>
  <c r="H2377" i="32"/>
  <c r="N2376" i="32"/>
  <c r="M2376" i="32"/>
  <c r="I2376" i="32"/>
  <c r="H2376" i="32"/>
  <c r="N2375" i="32"/>
  <c r="M2375" i="32"/>
  <c r="H2375" i="32"/>
  <c r="F2375" i="32"/>
  <c r="E2375" i="32"/>
  <c r="N2374" i="32"/>
  <c r="M2374" i="32"/>
  <c r="I2374" i="32"/>
  <c r="H2374" i="32"/>
  <c r="N2373" i="32"/>
  <c r="M2373" i="32"/>
  <c r="I2373" i="32"/>
  <c r="H2373" i="32"/>
  <c r="N2372" i="32"/>
  <c r="M2372" i="32"/>
  <c r="I2372" i="32"/>
  <c r="H2372" i="32"/>
  <c r="N2371" i="32"/>
  <c r="M2371" i="32"/>
  <c r="H2371" i="32"/>
  <c r="F2371" i="32"/>
  <c r="E2371" i="32"/>
  <c r="N2370" i="32"/>
  <c r="M2370" i="32"/>
  <c r="I2370" i="32"/>
  <c r="H2370" i="32"/>
  <c r="N2369" i="32"/>
  <c r="M2369" i="32"/>
  <c r="I2369" i="32"/>
  <c r="H2369" i="32"/>
  <c r="N2368" i="32"/>
  <c r="M2368" i="32"/>
  <c r="I2368" i="32"/>
  <c r="H2368" i="32"/>
  <c r="N2367" i="32"/>
  <c r="S2367" i="32" s="1"/>
  <c r="M2367" i="32"/>
  <c r="H2367" i="32"/>
  <c r="F2367" i="32"/>
  <c r="E2367" i="32"/>
  <c r="N2366" i="32"/>
  <c r="M2366" i="32"/>
  <c r="I2366" i="32"/>
  <c r="H2366" i="32"/>
  <c r="N2365" i="32"/>
  <c r="M2365" i="32"/>
  <c r="I2365" i="32"/>
  <c r="H2365" i="32"/>
  <c r="N2364" i="32"/>
  <c r="M2364" i="32"/>
  <c r="I2364" i="32"/>
  <c r="H2364" i="32"/>
  <c r="N2363" i="32"/>
  <c r="M2363" i="32"/>
  <c r="H2363" i="32"/>
  <c r="F2363" i="32"/>
  <c r="E2363" i="32"/>
  <c r="N2362" i="32"/>
  <c r="M2362" i="32"/>
  <c r="I2362" i="32"/>
  <c r="H2362" i="32"/>
  <c r="N2361" i="32"/>
  <c r="M2361" i="32"/>
  <c r="I2361" i="32"/>
  <c r="H2361" i="32"/>
  <c r="N2360" i="32"/>
  <c r="M2360" i="32"/>
  <c r="I2360" i="32"/>
  <c r="H2360" i="32"/>
  <c r="N2359" i="32"/>
  <c r="R2359" i="32" s="1"/>
  <c r="M2359" i="32"/>
  <c r="H2359" i="32"/>
  <c r="F2359" i="32"/>
  <c r="E2359" i="32"/>
  <c r="N2358" i="32"/>
  <c r="M2358" i="32"/>
  <c r="I2358" i="32"/>
  <c r="H2358" i="32"/>
  <c r="N2357" i="32"/>
  <c r="M2357" i="32"/>
  <c r="I2357" i="32"/>
  <c r="H2357" i="32"/>
  <c r="N2356" i="32"/>
  <c r="M2356" i="32"/>
  <c r="I2356" i="32"/>
  <c r="H2356" i="32"/>
  <c r="N2355" i="32"/>
  <c r="M2355" i="32"/>
  <c r="H2355" i="32"/>
  <c r="F2355" i="32"/>
  <c r="E2355" i="32"/>
  <c r="N2354" i="32"/>
  <c r="M2354" i="32"/>
  <c r="I2354" i="32"/>
  <c r="H2354" i="32"/>
  <c r="N2353" i="32"/>
  <c r="M2353" i="32"/>
  <c r="I2353" i="32"/>
  <c r="H2353" i="32"/>
  <c r="N2352" i="32"/>
  <c r="M2352" i="32"/>
  <c r="I2352" i="32"/>
  <c r="H2352" i="32"/>
  <c r="N2351" i="32"/>
  <c r="P2352" i="32" s="1"/>
  <c r="M2351" i="32"/>
  <c r="H2351" i="32"/>
  <c r="F2351" i="32"/>
  <c r="E2351" i="32"/>
  <c r="N2350" i="32"/>
  <c r="M2350" i="32"/>
  <c r="I2350" i="32"/>
  <c r="H2350" i="32"/>
  <c r="N2349" i="32"/>
  <c r="M2349" i="32"/>
  <c r="I2349" i="32"/>
  <c r="H2349" i="32"/>
  <c r="N2348" i="32"/>
  <c r="M2348" i="32"/>
  <c r="I2348" i="32"/>
  <c r="H2348" i="32"/>
  <c r="N2347" i="32"/>
  <c r="P2350" i="32" s="1"/>
  <c r="M2347" i="32"/>
  <c r="H2347" i="32"/>
  <c r="F2347" i="32"/>
  <c r="E2347" i="32"/>
  <c r="N2346" i="32"/>
  <c r="M2346" i="32"/>
  <c r="I2346" i="32"/>
  <c r="H2346" i="32"/>
  <c r="N2345" i="32"/>
  <c r="M2345" i="32"/>
  <c r="I2345" i="32"/>
  <c r="H2345" i="32"/>
  <c r="N2344" i="32"/>
  <c r="M2344" i="32"/>
  <c r="I2344" i="32"/>
  <c r="H2344" i="32"/>
  <c r="N2343" i="32"/>
  <c r="M2343" i="32"/>
  <c r="H2343" i="32"/>
  <c r="F2343" i="32"/>
  <c r="E2343" i="32"/>
  <c r="N2342" i="32"/>
  <c r="M2342" i="32"/>
  <c r="I2342" i="32"/>
  <c r="H2342" i="32"/>
  <c r="N2341" i="32"/>
  <c r="M2341" i="32"/>
  <c r="I2341" i="32"/>
  <c r="H2341" i="32"/>
  <c r="N2340" i="32"/>
  <c r="M2340" i="32"/>
  <c r="I2340" i="32"/>
  <c r="H2340" i="32"/>
  <c r="N2339" i="32"/>
  <c r="M2339" i="32"/>
  <c r="H2339" i="32"/>
  <c r="F2339" i="32"/>
  <c r="E2339" i="32"/>
  <c r="N2338" i="32"/>
  <c r="M2338" i="32"/>
  <c r="I2338" i="32"/>
  <c r="H2338" i="32"/>
  <c r="N2337" i="32"/>
  <c r="M2337" i="32"/>
  <c r="I2337" i="32"/>
  <c r="H2337" i="32"/>
  <c r="N2336" i="32"/>
  <c r="M2336" i="32"/>
  <c r="I2336" i="32"/>
  <c r="H2336" i="32"/>
  <c r="N2335" i="32"/>
  <c r="P2337" i="32" s="1"/>
  <c r="M2335" i="32"/>
  <c r="H2335" i="32"/>
  <c r="F2335" i="32"/>
  <c r="E2335" i="32"/>
  <c r="N2334" i="32"/>
  <c r="M2334" i="32"/>
  <c r="I2334" i="32"/>
  <c r="H2334" i="32"/>
  <c r="N2333" i="32"/>
  <c r="M2333" i="32"/>
  <c r="I2333" i="32"/>
  <c r="H2333" i="32"/>
  <c r="N2332" i="32"/>
  <c r="M2332" i="32"/>
  <c r="I2332" i="32"/>
  <c r="H2332" i="32"/>
  <c r="N2331" i="32"/>
  <c r="P2334" i="32" s="1"/>
  <c r="M2331" i="32"/>
  <c r="H2331" i="32"/>
  <c r="F2331" i="32"/>
  <c r="E2331" i="32"/>
  <c r="N2330" i="32"/>
  <c r="M2330" i="32"/>
  <c r="I2330" i="32"/>
  <c r="H2330" i="32"/>
  <c r="N2329" i="32"/>
  <c r="M2329" i="32"/>
  <c r="I2329" i="32"/>
  <c r="H2329" i="32"/>
  <c r="N2328" i="32"/>
  <c r="M2328" i="32"/>
  <c r="I2328" i="32"/>
  <c r="H2328" i="32"/>
  <c r="N2327" i="32"/>
  <c r="S2327" i="32" s="1"/>
  <c r="M2327" i="32"/>
  <c r="H2327" i="32"/>
  <c r="F2327" i="32"/>
  <c r="E2327" i="32"/>
  <c r="N2326" i="32"/>
  <c r="M2326" i="32"/>
  <c r="I2326" i="32"/>
  <c r="H2326" i="32"/>
  <c r="N2325" i="32"/>
  <c r="M2325" i="32"/>
  <c r="I2325" i="32"/>
  <c r="H2325" i="32"/>
  <c r="N2324" i="32"/>
  <c r="M2324" i="32"/>
  <c r="I2324" i="32"/>
  <c r="H2324" i="32"/>
  <c r="N2323" i="32"/>
  <c r="S2323" i="32" s="1"/>
  <c r="M2323" i="32"/>
  <c r="H2323" i="32"/>
  <c r="F2323" i="32"/>
  <c r="E2323" i="32"/>
  <c r="N2322" i="32"/>
  <c r="M2322" i="32"/>
  <c r="I2322" i="32"/>
  <c r="H2322" i="32"/>
  <c r="N2321" i="32"/>
  <c r="M2321" i="32"/>
  <c r="I2321" i="32"/>
  <c r="H2321" i="32"/>
  <c r="N2320" i="32"/>
  <c r="M2320" i="32"/>
  <c r="I2320" i="32"/>
  <c r="H2320" i="32"/>
  <c r="N2319" i="32"/>
  <c r="M2319" i="32"/>
  <c r="I2319" i="32"/>
  <c r="H2319" i="32"/>
  <c r="N2318" i="32"/>
  <c r="M2318" i="32"/>
  <c r="I2318" i="32"/>
  <c r="H2318" i="32"/>
  <c r="N2317" i="32"/>
  <c r="P2322" i="32" s="1"/>
  <c r="M2317" i="32"/>
  <c r="H2317" i="32"/>
  <c r="F2317" i="32"/>
  <c r="E2317" i="32"/>
  <c r="N2316" i="32"/>
  <c r="M2316" i="32"/>
  <c r="I2316" i="32"/>
  <c r="H2316" i="32"/>
  <c r="N2315" i="32"/>
  <c r="M2315" i="32"/>
  <c r="I2315" i="32"/>
  <c r="H2315" i="32"/>
  <c r="N2314" i="32"/>
  <c r="M2314" i="32"/>
  <c r="I2314" i="32"/>
  <c r="H2314" i="32"/>
  <c r="N2313" i="32"/>
  <c r="M2313" i="32"/>
  <c r="I2313" i="32"/>
  <c r="H2313" i="32"/>
  <c r="N2312" i="32"/>
  <c r="M2312" i="32"/>
  <c r="I2312" i="32"/>
  <c r="H2312" i="32"/>
  <c r="H2311" i="32"/>
  <c r="F2311" i="32"/>
  <c r="E2311" i="32"/>
  <c r="N2310" i="32"/>
  <c r="M2310" i="32"/>
  <c r="I2310" i="32"/>
  <c r="H2310" i="32"/>
  <c r="N2309" i="32"/>
  <c r="M2309" i="32"/>
  <c r="I2309" i="32"/>
  <c r="H2309" i="32"/>
  <c r="N2308" i="32"/>
  <c r="M2308" i="32"/>
  <c r="I2308" i="32"/>
  <c r="H2308" i="32"/>
  <c r="N2307" i="32"/>
  <c r="M2307" i="32"/>
  <c r="I2307" i="32"/>
  <c r="H2307" i="32"/>
  <c r="N2306" i="32"/>
  <c r="M2306" i="32"/>
  <c r="I2306" i="32"/>
  <c r="H2306" i="32"/>
  <c r="N2305" i="32"/>
  <c r="P2309" i="32" s="1"/>
  <c r="M2305" i="32"/>
  <c r="H2305" i="32"/>
  <c r="F2305" i="32"/>
  <c r="E2305" i="32"/>
  <c r="N2304" i="32"/>
  <c r="M2304" i="32"/>
  <c r="I2304" i="32"/>
  <c r="H2304" i="32"/>
  <c r="N2303" i="32"/>
  <c r="M2303" i="32"/>
  <c r="I2303" i="32"/>
  <c r="H2303" i="32"/>
  <c r="N2302" i="32"/>
  <c r="M2302" i="32"/>
  <c r="I2302" i="32"/>
  <c r="H2302" i="32"/>
  <c r="N2301" i="32"/>
  <c r="M2301" i="32"/>
  <c r="I2301" i="32"/>
  <c r="H2301" i="32"/>
  <c r="N2300" i="32"/>
  <c r="M2300" i="32"/>
  <c r="I2300" i="32"/>
  <c r="H2300" i="32"/>
  <c r="N2299" i="32"/>
  <c r="P2300" i="32" s="1"/>
  <c r="M2299" i="32"/>
  <c r="H2299" i="32"/>
  <c r="F2299" i="32"/>
  <c r="E2299" i="32"/>
  <c r="N2298" i="32"/>
  <c r="M2298" i="32"/>
  <c r="I2298" i="32"/>
  <c r="H2298" i="32"/>
  <c r="N2297" i="32"/>
  <c r="M2297" i="32"/>
  <c r="I2297" i="32"/>
  <c r="H2297" i="32"/>
  <c r="N2296" i="32"/>
  <c r="M2296" i="32"/>
  <c r="I2296" i="32"/>
  <c r="H2296" i="32"/>
  <c r="N2295" i="32"/>
  <c r="M2295" i="32"/>
  <c r="I2295" i="32"/>
  <c r="H2295" i="32"/>
  <c r="N2294" i="32"/>
  <c r="M2294" i="32"/>
  <c r="I2294" i="32"/>
  <c r="H2294" i="32"/>
  <c r="N2293" i="32"/>
  <c r="P2297" i="32" s="1"/>
  <c r="M2293" i="32"/>
  <c r="H2293" i="32"/>
  <c r="F2293" i="32"/>
  <c r="E2293" i="32"/>
  <c r="N2292" i="32"/>
  <c r="M2292" i="32"/>
  <c r="I2292" i="32"/>
  <c r="H2292" i="32"/>
  <c r="N2291" i="32"/>
  <c r="M2291" i="32"/>
  <c r="I2291" i="32"/>
  <c r="H2291" i="32"/>
  <c r="N2290" i="32"/>
  <c r="M2290" i="32"/>
  <c r="I2290" i="32"/>
  <c r="H2290" i="32"/>
  <c r="N2289" i="32"/>
  <c r="M2289" i="32"/>
  <c r="H2289" i="32"/>
  <c r="F2289" i="32"/>
  <c r="E2289" i="32"/>
  <c r="N2288" i="32"/>
  <c r="M2288" i="32"/>
  <c r="I2288" i="32"/>
  <c r="H2288" i="32"/>
  <c r="N2287" i="32"/>
  <c r="M2287" i="32"/>
  <c r="I2287" i="32"/>
  <c r="H2287" i="32"/>
  <c r="N2286" i="32"/>
  <c r="M2286" i="32"/>
  <c r="I2286" i="32"/>
  <c r="H2286" i="32"/>
  <c r="N2285" i="32"/>
  <c r="P2286" i="32" s="1"/>
  <c r="M2285" i="32"/>
  <c r="H2285" i="32"/>
  <c r="F2285" i="32"/>
  <c r="E2285" i="32"/>
  <c r="N2284" i="32"/>
  <c r="M2284" i="32"/>
  <c r="I2284" i="32"/>
  <c r="H2284" i="32"/>
  <c r="N2283" i="32"/>
  <c r="M2283" i="32"/>
  <c r="I2283" i="32"/>
  <c r="H2283" i="32"/>
  <c r="N2282" i="32"/>
  <c r="M2282" i="32"/>
  <c r="I2282" i="32"/>
  <c r="H2282" i="32"/>
  <c r="N2281" i="32"/>
  <c r="M2281" i="32"/>
  <c r="H2281" i="32"/>
  <c r="F2281" i="32"/>
  <c r="E2281" i="32"/>
  <c r="N2280" i="32"/>
  <c r="M2280" i="32"/>
  <c r="I2280" i="32"/>
  <c r="H2280" i="32"/>
  <c r="N2279" i="32"/>
  <c r="M2279" i="32"/>
  <c r="I2279" i="32"/>
  <c r="H2279" i="32"/>
  <c r="N2278" i="32"/>
  <c r="M2278" i="32"/>
  <c r="I2278" i="32"/>
  <c r="H2278" i="32"/>
  <c r="N2277" i="32"/>
  <c r="P2278" i="32" s="1"/>
  <c r="M2277" i="32"/>
  <c r="H2277" i="32"/>
  <c r="F2277" i="32"/>
  <c r="E2277" i="32"/>
  <c r="N2276" i="32"/>
  <c r="M2276" i="32"/>
  <c r="I2276" i="32"/>
  <c r="H2276" i="32"/>
  <c r="N2275" i="32"/>
  <c r="M2275" i="32"/>
  <c r="I2275" i="32"/>
  <c r="H2275" i="32"/>
  <c r="N2274" i="32"/>
  <c r="M2274" i="32"/>
  <c r="I2274" i="32"/>
  <c r="H2274" i="32"/>
  <c r="N2273" i="32"/>
  <c r="S2273" i="32" s="1"/>
  <c r="M2273" i="32"/>
  <c r="H2273" i="32"/>
  <c r="F2273" i="32"/>
  <c r="E2273" i="32"/>
  <c r="N2272" i="32"/>
  <c r="M2272" i="32"/>
  <c r="I2272" i="32"/>
  <c r="H2272" i="32"/>
  <c r="N2271" i="32"/>
  <c r="M2271" i="32"/>
  <c r="I2271" i="32"/>
  <c r="H2271" i="32"/>
  <c r="N2270" i="32"/>
  <c r="M2270" i="32"/>
  <c r="I2270" i="32"/>
  <c r="H2270" i="32"/>
  <c r="N2269" i="32"/>
  <c r="M2269" i="32"/>
  <c r="H2269" i="32"/>
  <c r="F2269" i="32"/>
  <c r="E2269" i="32"/>
  <c r="N2268" i="32"/>
  <c r="M2268" i="32"/>
  <c r="I2268" i="32"/>
  <c r="H2268" i="32"/>
  <c r="N2267" i="32"/>
  <c r="M2267" i="32"/>
  <c r="I2267" i="32"/>
  <c r="H2267" i="32"/>
  <c r="N2266" i="32"/>
  <c r="M2266" i="32"/>
  <c r="I2266" i="32"/>
  <c r="H2266" i="32"/>
  <c r="N2265" i="32"/>
  <c r="P2267" i="32" s="1"/>
  <c r="M2265" i="32"/>
  <c r="H2265" i="32"/>
  <c r="F2265" i="32"/>
  <c r="E2265" i="32"/>
  <c r="N2264" i="32"/>
  <c r="M2264" i="32"/>
  <c r="I2264" i="32"/>
  <c r="H2264" i="32"/>
  <c r="N2263" i="32"/>
  <c r="M2263" i="32"/>
  <c r="I2263" i="32"/>
  <c r="H2263" i="32"/>
  <c r="N2262" i="32"/>
  <c r="M2262" i="32"/>
  <c r="I2262" i="32"/>
  <c r="H2262" i="32"/>
  <c r="N2261" i="32"/>
  <c r="P2263" i="32" s="1"/>
  <c r="M2261" i="32"/>
  <c r="H2261" i="32"/>
  <c r="F2261" i="32"/>
  <c r="E2261" i="32"/>
  <c r="N2260" i="32"/>
  <c r="M2260" i="32"/>
  <c r="I2260" i="32"/>
  <c r="H2260" i="32"/>
  <c r="N2259" i="32"/>
  <c r="M2259" i="32"/>
  <c r="I2259" i="32"/>
  <c r="H2259" i="32"/>
  <c r="N2258" i="32"/>
  <c r="M2258" i="32"/>
  <c r="I2258" i="32"/>
  <c r="H2258" i="32"/>
  <c r="N2257" i="32"/>
  <c r="M2257" i="32"/>
  <c r="H2257" i="32"/>
  <c r="F2257" i="32"/>
  <c r="E2257" i="32"/>
  <c r="N2256" i="32"/>
  <c r="M2256" i="32"/>
  <c r="I2256" i="32"/>
  <c r="H2256" i="32"/>
  <c r="N2255" i="32"/>
  <c r="M2255" i="32"/>
  <c r="I2255" i="32"/>
  <c r="H2255" i="32"/>
  <c r="N2254" i="32"/>
  <c r="M2254" i="32"/>
  <c r="I2254" i="32"/>
  <c r="H2254" i="32"/>
  <c r="N2253" i="32"/>
  <c r="P2254" i="32" s="1"/>
  <c r="M2253" i="32"/>
  <c r="H2253" i="32"/>
  <c r="F2253" i="32"/>
  <c r="E2253" i="32"/>
  <c r="N2252" i="32"/>
  <c r="M2252" i="32"/>
  <c r="I2252" i="32"/>
  <c r="H2252" i="32"/>
  <c r="N2251" i="32"/>
  <c r="M2251" i="32"/>
  <c r="I2251" i="32"/>
  <c r="H2251" i="32"/>
  <c r="N2250" i="32"/>
  <c r="M2250" i="32"/>
  <c r="I2250" i="32"/>
  <c r="H2250" i="32"/>
  <c r="N2249" i="32"/>
  <c r="M2249" i="32"/>
  <c r="H2249" i="32"/>
  <c r="F2249" i="32"/>
  <c r="E2249" i="32"/>
  <c r="N2248" i="32"/>
  <c r="M2248" i="32"/>
  <c r="I2248" i="32"/>
  <c r="H2248" i="32"/>
  <c r="N2247" i="32"/>
  <c r="M2247" i="32"/>
  <c r="I2247" i="32"/>
  <c r="H2247" i="32"/>
  <c r="N2246" i="32"/>
  <c r="M2246" i="32"/>
  <c r="I2246" i="32"/>
  <c r="H2246" i="32"/>
  <c r="N2245" i="32"/>
  <c r="P2248" i="32" s="1"/>
  <c r="M2245" i="32"/>
  <c r="H2245" i="32"/>
  <c r="F2245" i="32"/>
  <c r="E2245" i="32"/>
  <c r="N2244" i="32"/>
  <c r="M2244" i="32"/>
  <c r="I2244" i="32"/>
  <c r="H2244" i="32"/>
  <c r="N2243" i="32"/>
  <c r="M2243" i="32"/>
  <c r="I2243" i="32"/>
  <c r="H2243" i="32"/>
  <c r="N2242" i="32"/>
  <c r="M2242" i="32"/>
  <c r="I2242" i="32"/>
  <c r="H2242" i="32"/>
  <c r="N2241" i="32"/>
  <c r="M2241" i="32"/>
  <c r="I2241" i="32"/>
  <c r="H2241" i="32"/>
  <c r="N2240" i="32"/>
  <c r="M2240" i="32"/>
  <c r="I2240" i="32"/>
  <c r="H2240" i="32"/>
  <c r="N2239" i="32"/>
  <c r="M2239" i="32"/>
  <c r="H2239" i="32"/>
  <c r="F2239" i="32"/>
  <c r="E2239" i="32"/>
  <c r="N2238" i="32"/>
  <c r="M2238" i="32"/>
  <c r="I2238" i="32"/>
  <c r="H2238" i="32"/>
  <c r="N2237" i="32"/>
  <c r="M2237" i="32"/>
  <c r="I2237" i="32"/>
  <c r="H2237" i="32"/>
  <c r="N2236" i="32"/>
  <c r="M2236" i="32"/>
  <c r="I2236" i="32"/>
  <c r="H2236" i="32"/>
  <c r="N2235" i="32"/>
  <c r="M2235" i="32"/>
  <c r="I2235" i="32"/>
  <c r="H2235" i="32"/>
  <c r="N2234" i="32"/>
  <c r="M2234" i="32"/>
  <c r="I2234" i="32"/>
  <c r="H2234" i="32"/>
  <c r="H2233" i="32"/>
  <c r="F2233" i="32"/>
  <c r="E2233" i="32"/>
  <c r="N2232" i="32"/>
  <c r="M2232" i="32"/>
  <c r="I2232" i="32"/>
  <c r="H2232" i="32"/>
  <c r="N2231" i="32"/>
  <c r="M2231" i="32"/>
  <c r="I2231" i="32"/>
  <c r="H2231" i="32"/>
  <c r="N2230" i="32"/>
  <c r="M2230" i="32"/>
  <c r="I2230" i="32"/>
  <c r="H2230" i="32"/>
  <c r="N2229" i="32"/>
  <c r="M2229" i="32"/>
  <c r="I2229" i="32"/>
  <c r="H2229" i="32"/>
  <c r="N2228" i="32"/>
  <c r="M2228" i="32"/>
  <c r="I2228" i="32"/>
  <c r="H2228" i="32"/>
  <c r="N2227" i="32"/>
  <c r="P2231" i="32" s="1"/>
  <c r="M2227" i="32"/>
  <c r="H2227" i="32"/>
  <c r="F2227" i="32"/>
  <c r="E2227" i="32"/>
  <c r="N2226" i="32"/>
  <c r="M2226" i="32"/>
  <c r="I2226" i="32"/>
  <c r="H2226" i="32"/>
  <c r="N2225" i="32"/>
  <c r="M2225" i="32"/>
  <c r="I2225" i="32"/>
  <c r="H2225" i="32"/>
  <c r="N2224" i="32"/>
  <c r="M2224" i="32"/>
  <c r="I2224" i="32"/>
  <c r="H2224" i="32"/>
  <c r="N2223" i="32"/>
  <c r="M2223" i="32"/>
  <c r="I2223" i="32"/>
  <c r="H2223" i="32"/>
  <c r="N2222" i="32"/>
  <c r="M2222" i="32"/>
  <c r="I2222" i="32"/>
  <c r="H2222" i="32"/>
  <c r="N2221" i="32"/>
  <c r="S2221" i="32" s="1"/>
  <c r="M2221" i="32"/>
  <c r="H2221" i="32"/>
  <c r="F2221" i="32"/>
  <c r="E2221" i="32"/>
  <c r="N2220" i="32"/>
  <c r="M2220" i="32"/>
  <c r="I2220" i="32"/>
  <c r="H2220" i="32"/>
  <c r="N2219" i="32"/>
  <c r="M2219" i="32"/>
  <c r="I2219" i="32"/>
  <c r="H2219" i="32"/>
  <c r="N2218" i="32"/>
  <c r="M2218" i="32"/>
  <c r="I2218" i="32"/>
  <c r="H2218" i="32"/>
  <c r="N2217" i="32"/>
  <c r="M2217" i="32"/>
  <c r="I2217" i="32"/>
  <c r="H2217" i="32"/>
  <c r="N2216" i="32"/>
  <c r="M2216" i="32"/>
  <c r="I2216" i="32"/>
  <c r="H2216" i="32"/>
  <c r="N2215" i="32"/>
  <c r="P2220" i="32" s="1"/>
  <c r="M2215" i="32"/>
  <c r="H2215" i="32"/>
  <c r="F2215" i="32"/>
  <c r="E2215" i="32"/>
  <c r="N2214" i="32"/>
  <c r="M2214" i="32"/>
  <c r="I2214" i="32"/>
  <c r="H2214" i="32"/>
  <c r="N2213" i="32"/>
  <c r="M2213" i="32"/>
  <c r="I2213" i="32"/>
  <c r="H2213" i="32"/>
  <c r="N2212" i="32"/>
  <c r="M2212" i="32"/>
  <c r="I2212" i="32"/>
  <c r="H2212" i="32"/>
  <c r="N2211" i="32"/>
  <c r="P2213" i="32" s="1"/>
  <c r="M2211" i="32"/>
  <c r="H2211" i="32"/>
  <c r="F2211" i="32"/>
  <c r="E2211" i="32"/>
  <c r="N2210" i="32"/>
  <c r="M2210" i="32"/>
  <c r="I2210" i="32"/>
  <c r="H2210" i="32"/>
  <c r="N2209" i="32"/>
  <c r="M2209" i="32"/>
  <c r="I2209" i="32"/>
  <c r="H2209" i="32"/>
  <c r="N2208" i="32"/>
  <c r="M2208" i="32"/>
  <c r="I2208" i="32"/>
  <c r="H2208" i="32"/>
  <c r="N2207" i="32"/>
  <c r="M2207" i="32"/>
  <c r="H2207" i="32"/>
  <c r="F2207" i="32"/>
  <c r="E2207" i="32"/>
  <c r="N2206" i="32"/>
  <c r="M2206" i="32"/>
  <c r="I2206" i="32"/>
  <c r="H2206" i="32"/>
  <c r="N2205" i="32"/>
  <c r="M2205" i="32"/>
  <c r="I2205" i="32"/>
  <c r="H2205" i="32"/>
  <c r="N2204" i="32"/>
  <c r="M2204" i="32"/>
  <c r="I2204" i="32"/>
  <c r="H2204" i="32"/>
  <c r="N2203" i="32"/>
  <c r="M2203" i="32"/>
  <c r="H2203" i="32"/>
  <c r="F2203" i="32"/>
  <c r="E2203" i="32"/>
  <c r="N2202" i="32"/>
  <c r="M2202" i="32"/>
  <c r="I2202" i="32"/>
  <c r="H2202" i="32"/>
  <c r="N2201" i="32"/>
  <c r="M2201" i="32"/>
  <c r="I2201" i="32"/>
  <c r="H2201" i="32"/>
  <c r="N2200" i="32"/>
  <c r="M2200" i="32"/>
  <c r="I2200" i="32"/>
  <c r="H2200" i="32"/>
  <c r="N2199" i="32"/>
  <c r="P2202" i="32" s="1"/>
  <c r="M2199" i="32"/>
  <c r="H2199" i="32"/>
  <c r="F2199" i="32"/>
  <c r="E2199" i="32"/>
  <c r="N2198" i="32"/>
  <c r="M2198" i="32"/>
  <c r="I2198" i="32"/>
  <c r="H2198" i="32"/>
  <c r="N2197" i="32"/>
  <c r="M2197" i="32"/>
  <c r="I2197" i="32"/>
  <c r="H2197" i="32"/>
  <c r="N2196" i="32"/>
  <c r="M2196" i="32"/>
  <c r="I2196" i="32"/>
  <c r="H2196" i="32"/>
  <c r="N2195" i="32"/>
  <c r="Q2195" i="32" s="1"/>
  <c r="M2195" i="32"/>
  <c r="H2195" i="32"/>
  <c r="F2195" i="32"/>
  <c r="E2195" i="32"/>
  <c r="N2194" i="32"/>
  <c r="M2194" i="32"/>
  <c r="I2194" i="32"/>
  <c r="H2194" i="32"/>
  <c r="N2193" i="32"/>
  <c r="M2193" i="32"/>
  <c r="I2193" i="32"/>
  <c r="H2193" i="32"/>
  <c r="N2192" i="32"/>
  <c r="M2192" i="32"/>
  <c r="I2192" i="32"/>
  <c r="H2192" i="32"/>
  <c r="N2191" i="32"/>
  <c r="P2192" i="32" s="1"/>
  <c r="M2191" i="32"/>
  <c r="H2191" i="32"/>
  <c r="F2191" i="32"/>
  <c r="E2191" i="32"/>
  <c r="N2190" i="32"/>
  <c r="M2190" i="32"/>
  <c r="I2190" i="32"/>
  <c r="H2190" i="32"/>
  <c r="N2189" i="32"/>
  <c r="M2189" i="32"/>
  <c r="I2189" i="32"/>
  <c r="H2189" i="32"/>
  <c r="N2188" i="32"/>
  <c r="M2188" i="32"/>
  <c r="I2188" i="32"/>
  <c r="H2188" i="32"/>
  <c r="N2187" i="32"/>
  <c r="P2190" i="32" s="1"/>
  <c r="M2187" i="32"/>
  <c r="H2187" i="32"/>
  <c r="F2187" i="32"/>
  <c r="E2187" i="32"/>
  <c r="N2186" i="32"/>
  <c r="M2186" i="32"/>
  <c r="I2186" i="32"/>
  <c r="H2186" i="32"/>
  <c r="N2185" i="32"/>
  <c r="M2185" i="32"/>
  <c r="I2185" i="32"/>
  <c r="H2185" i="32"/>
  <c r="N2184" i="32"/>
  <c r="M2184" i="32"/>
  <c r="I2184" i="32"/>
  <c r="H2184" i="32"/>
  <c r="N2183" i="32"/>
  <c r="P2184" i="32" s="1"/>
  <c r="M2183" i="32"/>
  <c r="H2183" i="32"/>
  <c r="F2183" i="32"/>
  <c r="E2183" i="32"/>
  <c r="N2182" i="32"/>
  <c r="M2182" i="32"/>
  <c r="I2182" i="32"/>
  <c r="H2182" i="32"/>
  <c r="N2181" i="32"/>
  <c r="M2181" i="32"/>
  <c r="I2181" i="32"/>
  <c r="H2181" i="32"/>
  <c r="N2180" i="32"/>
  <c r="M2180" i="32"/>
  <c r="I2180" i="32"/>
  <c r="H2180" i="32"/>
  <c r="N2179" i="32"/>
  <c r="M2179" i="32"/>
  <c r="I2179" i="32"/>
  <c r="H2179" i="32"/>
  <c r="N2178" i="32"/>
  <c r="M2178" i="32"/>
  <c r="I2178" i="32"/>
  <c r="H2178" i="32"/>
  <c r="N2177" i="32"/>
  <c r="P2181" i="32" s="1"/>
  <c r="M2177" i="32"/>
  <c r="H2177" i="32"/>
  <c r="F2177" i="32"/>
  <c r="E2177" i="32"/>
  <c r="N2176" i="32"/>
  <c r="M2176" i="32"/>
  <c r="I2176" i="32"/>
  <c r="H2176" i="32"/>
  <c r="N2175" i="32"/>
  <c r="M2175" i="32"/>
  <c r="I2175" i="32"/>
  <c r="H2175" i="32"/>
  <c r="N2174" i="32"/>
  <c r="M2174" i="32"/>
  <c r="I2174" i="32"/>
  <c r="H2174" i="32"/>
  <c r="N2173" i="32"/>
  <c r="M2173" i="32"/>
  <c r="I2173" i="32"/>
  <c r="H2173" i="32"/>
  <c r="N2172" i="32"/>
  <c r="M2172" i="32"/>
  <c r="I2172" i="32"/>
  <c r="H2172" i="32"/>
  <c r="N2171" i="32"/>
  <c r="M2171" i="32"/>
  <c r="H2171" i="32"/>
  <c r="F2171" i="32"/>
  <c r="E2171" i="32"/>
  <c r="N2170" i="32"/>
  <c r="M2170" i="32"/>
  <c r="I2170" i="32"/>
  <c r="H2170" i="32"/>
  <c r="N2169" i="32"/>
  <c r="M2169" i="32"/>
  <c r="I2169" i="32"/>
  <c r="H2169" i="32"/>
  <c r="N2168" i="32"/>
  <c r="M2168" i="32"/>
  <c r="I2168" i="32"/>
  <c r="H2168" i="32"/>
  <c r="N2167" i="32"/>
  <c r="M2167" i="32"/>
  <c r="I2167" i="32"/>
  <c r="H2167" i="32"/>
  <c r="N2166" i="32"/>
  <c r="M2166" i="32"/>
  <c r="I2166" i="32"/>
  <c r="H2166" i="32"/>
  <c r="N2165" i="32"/>
  <c r="P2167" i="32" s="1"/>
  <c r="M2165" i="32"/>
  <c r="H2165" i="32"/>
  <c r="F2165" i="32"/>
  <c r="E2165" i="32"/>
  <c r="N2164" i="32"/>
  <c r="M2164" i="32"/>
  <c r="I2164" i="32"/>
  <c r="H2164" i="32"/>
  <c r="N2163" i="32"/>
  <c r="M2163" i="32"/>
  <c r="I2163" i="32"/>
  <c r="H2163" i="32"/>
  <c r="N2162" i="32"/>
  <c r="M2162" i="32"/>
  <c r="I2162" i="32"/>
  <c r="H2162" i="32"/>
  <c r="N2161" i="32"/>
  <c r="M2161" i="32"/>
  <c r="I2161" i="32"/>
  <c r="H2161" i="32"/>
  <c r="N2160" i="32"/>
  <c r="M2160" i="32"/>
  <c r="I2160" i="32"/>
  <c r="H2160" i="32"/>
  <c r="N2159" i="32"/>
  <c r="M2159" i="32"/>
  <c r="H2159" i="32"/>
  <c r="F2159" i="32"/>
  <c r="E2159" i="32"/>
  <c r="N2158" i="32"/>
  <c r="M2158" i="32"/>
  <c r="I2158" i="32"/>
  <c r="H2158" i="32"/>
  <c r="N2157" i="32"/>
  <c r="M2157" i="32"/>
  <c r="I2157" i="32"/>
  <c r="H2157" i="32"/>
  <c r="N2156" i="32"/>
  <c r="M2156" i="32"/>
  <c r="I2156" i="32"/>
  <c r="H2156" i="32"/>
  <c r="N2155" i="32"/>
  <c r="P2156" i="32" s="1"/>
  <c r="M2155" i="32"/>
  <c r="H2155" i="32"/>
  <c r="F2155" i="32"/>
  <c r="E2155" i="32"/>
  <c r="N2154" i="32"/>
  <c r="M2154" i="32"/>
  <c r="I2154" i="32"/>
  <c r="H2154" i="32"/>
  <c r="N2153" i="32"/>
  <c r="M2153" i="32"/>
  <c r="I2153" i="32"/>
  <c r="H2153" i="32"/>
  <c r="N2152" i="32"/>
  <c r="M2152" i="32"/>
  <c r="I2152" i="32"/>
  <c r="H2152" i="32"/>
  <c r="N2151" i="32"/>
  <c r="P2152" i="32" s="1"/>
  <c r="M2151" i="32"/>
  <c r="H2151" i="32"/>
  <c r="F2151" i="32"/>
  <c r="E2151" i="32"/>
  <c r="N2150" i="32"/>
  <c r="M2150" i="32"/>
  <c r="I2150" i="32"/>
  <c r="H2150" i="32"/>
  <c r="N2149" i="32"/>
  <c r="M2149" i="32"/>
  <c r="I2149" i="32"/>
  <c r="H2149" i="32"/>
  <c r="N2148" i="32"/>
  <c r="M2148" i="32"/>
  <c r="I2148" i="32"/>
  <c r="H2148" i="32"/>
  <c r="N2147" i="32"/>
  <c r="P2149" i="32" s="1"/>
  <c r="M2147" i="32"/>
  <c r="H2147" i="32"/>
  <c r="F2147" i="32"/>
  <c r="E2147" i="32"/>
  <c r="N2146" i="32"/>
  <c r="M2146" i="32"/>
  <c r="I2146" i="32"/>
  <c r="H2146" i="32"/>
  <c r="N2145" i="32"/>
  <c r="M2145" i="32"/>
  <c r="I2145" i="32"/>
  <c r="H2145" i="32"/>
  <c r="N2144" i="32"/>
  <c r="M2144" i="32"/>
  <c r="I2144" i="32"/>
  <c r="H2144" i="32"/>
  <c r="N2143" i="32"/>
  <c r="P2145" i="32" s="1"/>
  <c r="M2143" i="32"/>
  <c r="H2143" i="32"/>
  <c r="F2143" i="32"/>
  <c r="E2143" i="32"/>
  <c r="N2142" i="32"/>
  <c r="M2142" i="32"/>
  <c r="I2142" i="32"/>
  <c r="H2142" i="32"/>
  <c r="N2141" i="32"/>
  <c r="M2141" i="32"/>
  <c r="I2141" i="32"/>
  <c r="H2141" i="32"/>
  <c r="N2140" i="32"/>
  <c r="M2140" i="32"/>
  <c r="I2140" i="32"/>
  <c r="H2140" i="32"/>
  <c r="N2139" i="32"/>
  <c r="S2139" i="32" s="1"/>
  <c r="M2139" i="32"/>
  <c r="H2139" i="32"/>
  <c r="F2139" i="32"/>
  <c r="E2139" i="32"/>
  <c r="N2138" i="32"/>
  <c r="M2138" i="32"/>
  <c r="I2138" i="32"/>
  <c r="H2138" i="32"/>
  <c r="N2137" i="32"/>
  <c r="M2137" i="32"/>
  <c r="I2137" i="32"/>
  <c r="H2137" i="32"/>
  <c r="N2136" i="32"/>
  <c r="M2136" i="32"/>
  <c r="I2136" i="32"/>
  <c r="H2136" i="32"/>
  <c r="N2135" i="32"/>
  <c r="P2138" i="32" s="1"/>
  <c r="M2135" i="32"/>
  <c r="H2135" i="32"/>
  <c r="F2135" i="32"/>
  <c r="E2135" i="32"/>
  <c r="N2134" i="32"/>
  <c r="M2134" i="32"/>
  <c r="I2134" i="32"/>
  <c r="H2134" i="32"/>
  <c r="N2133" i="32"/>
  <c r="M2133" i="32"/>
  <c r="I2133" i="32"/>
  <c r="H2133" i="32"/>
  <c r="N2132" i="32"/>
  <c r="M2132" i="32"/>
  <c r="I2132" i="32"/>
  <c r="H2132" i="32"/>
  <c r="N2131" i="32"/>
  <c r="P2133" i="32" s="1"/>
  <c r="M2131" i="32"/>
  <c r="H2131" i="32"/>
  <c r="F2131" i="32"/>
  <c r="E2131" i="32"/>
  <c r="N2130" i="32"/>
  <c r="M2130" i="32"/>
  <c r="I2130" i="32"/>
  <c r="H2130" i="32"/>
  <c r="N2129" i="32"/>
  <c r="M2129" i="32"/>
  <c r="I2129" i="32"/>
  <c r="H2129" i="32"/>
  <c r="N2128" i="32"/>
  <c r="M2128" i="32"/>
  <c r="I2128" i="32"/>
  <c r="H2128" i="32"/>
  <c r="N2127" i="32"/>
  <c r="M2127" i="32"/>
  <c r="H2127" i="32"/>
  <c r="F2127" i="32"/>
  <c r="E2127" i="32"/>
  <c r="N2126" i="32"/>
  <c r="M2126" i="32"/>
  <c r="I2126" i="32"/>
  <c r="H2126" i="32"/>
  <c r="N2125" i="32"/>
  <c r="M2125" i="32"/>
  <c r="I2125" i="32"/>
  <c r="H2125" i="32"/>
  <c r="N2124" i="32"/>
  <c r="M2124" i="32"/>
  <c r="I2124" i="32"/>
  <c r="H2124" i="32"/>
  <c r="N2123" i="32"/>
  <c r="M2123" i="32"/>
  <c r="I2123" i="32"/>
  <c r="H2123" i="32"/>
  <c r="N2122" i="32"/>
  <c r="M2122" i="32"/>
  <c r="I2122" i="32"/>
  <c r="H2122" i="32"/>
  <c r="N2121" i="32"/>
  <c r="S2121" i="32" s="1"/>
  <c r="M2121" i="32"/>
  <c r="H2121" i="32"/>
  <c r="F2121" i="32"/>
  <c r="E2121" i="32"/>
  <c r="N2120" i="32"/>
  <c r="M2120" i="32"/>
  <c r="I2120" i="32"/>
  <c r="H2120" i="32"/>
  <c r="N2119" i="32"/>
  <c r="M2119" i="32"/>
  <c r="I2119" i="32"/>
  <c r="H2119" i="32"/>
  <c r="N2118" i="32"/>
  <c r="M2118" i="32"/>
  <c r="I2118" i="32"/>
  <c r="H2118" i="32"/>
  <c r="N2117" i="32"/>
  <c r="M2117" i="32"/>
  <c r="I2117" i="32"/>
  <c r="H2117" i="32"/>
  <c r="N2116" i="32"/>
  <c r="M2116" i="32"/>
  <c r="I2116" i="32"/>
  <c r="H2116" i="32"/>
  <c r="N2115" i="32"/>
  <c r="M2115" i="32"/>
  <c r="H2115" i="32"/>
  <c r="F2115" i="32"/>
  <c r="E2115" i="32"/>
  <c r="N2114" i="32"/>
  <c r="M2114" i="32"/>
  <c r="I2114" i="32"/>
  <c r="H2114" i="32"/>
  <c r="N2113" i="32"/>
  <c r="M2113" i="32"/>
  <c r="I2113" i="32"/>
  <c r="H2113" i="32"/>
  <c r="N2112" i="32"/>
  <c r="M2112" i="32"/>
  <c r="I2112" i="32"/>
  <c r="H2112" i="32"/>
  <c r="N2111" i="32"/>
  <c r="M2111" i="32"/>
  <c r="I2111" i="32"/>
  <c r="H2111" i="32"/>
  <c r="N2110" i="32"/>
  <c r="M2110" i="32"/>
  <c r="I2110" i="32"/>
  <c r="H2110" i="32"/>
  <c r="H2109" i="32"/>
  <c r="F2109" i="32"/>
  <c r="E2109" i="32"/>
  <c r="N2108" i="32"/>
  <c r="M2108" i="32"/>
  <c r="I2108" i="32"/>
  <c r="H2108" i="32"/>
  <c r="N2107" i="32"/>
  <c r="M2107" i="32"/>
  <c r="I2107" i="32"/>
  <c r="H2107" i="32"/>
  <c r="N2106" i="32"/>
  <c r="M2106" i="32"/>
  <c r="I2106" i="32"/>
  <c r="H2106" i="32"/>
  <c r="N2105" i="32"/>
  <c r="M2105" i="32"/>
  <c r="I2105" i="32"/>
  <c r="H2105" i="32"/>
  <c r="N2104" i="32"/>
  <c r="M2104" i="32"/>
  <c r="I2104" i="32"/>
  <c r="H2104" i="32"/>
  <c r="N2103" i="32"/>
  <c r="M2103" i="32"/>
  <c r="H2103" i="32"/>
  <c r="F2103" i="32"/>
  <c r="E2103" i="32"/>
  <c r="N2102" i="32"/>
  <c r="M2102" i="32"/>
  <c r="I2102" i="32"/>
  <c r="H2102" i="32"/>
  <c r="F2102" i="32"/>
  <c r="N2101" i="32"/>
  <c r="M2101" i="32"/>
  <c r="I2101" i="32"/>
  <c r="H2101" i="32"/>
  <c r="F2101" i="32"/>
  <c r="N2100" i="32"/>
  <c r="M2100" i="32"/>
  <c r="I2100" i="32"/>
  <c r="H2100" i="32"/>
  <c r="F2100" i="32"/>
  <c r="N2099" i="32"/>
  <c r="M2099" i="32"/>
  <c r="I2099" i="32"/>
  <c r="H2099" i="32"/>
  <c r="F2099" i="32"/>
  <c r="N2098" i="32"/>
  <c r="P2102" i="32" s="1"/>
  <c r="M2098" i="32"/>
  <c r="H2098" i="32"/>
  <c r="F2098" i="32"/>
  <c r="E2098" i="32"/>
  <c r="N2097" i="32"/>
  <c r="M2097" i="32"/>
  <c r="I2097" i="32"/>
  <c r="H2097" i="32"/>
  <c r="F2097" i="32"/>
  <c r="N2096" i="32"/>
  <c r="M2096" i="32"/>
  <c r="I2096" i="32"/>
  <c r="H2096" i="32"/>
  <c r="F2096" i="32"/>
  <c r="N2095" i="32"/>
  <c r="M2095" i="32"/>
  <c r="I2095" i="32"/>
  <c r="H2095" i="32"/>
  <c r="F2095" i="32"/>
  <c r="N2094" i="32"/>
  <c r="M2094" i="32"/>
  <c r="I2094" i="32"/>
  <c r="H2094" i="32"/>
  <c r="F2094" i="32"/>
  <c r="N2093" i="32"/>
  <c r="P2094" i="32" s="1"/>
  <c r="M2093" i="32"/>
  <c r="H2093" i="32"/>
  <c r="F2093" i="32"/>
  <c r="E2093" i="32"/>
  <c r="N2092" i="32"/>
  <c r="M2092" i="32"/>
  <c r="I2092" i="32"/>
  <c r="H2092" i="32"/>
  <c r="F2092" i="32"/>
  <c r="N2091" i="32"/>
  <c r="M2091" i="32"/>
  <c r="I2091" i="32"/>
  <c r="H2091" i="32"/>
  <c r="F2091" i="32"/>
  <c r="N2090" i="32"/>
  <c r="M2090" i="32"/>
  <c r="I2090" i="32"/>
  <c r="H2090" i="32"/>
  <c r="F2090" i="32"/>
  <c r="N2089" i="32"/>
  <c r="M2089" i="32"/>
  <c r="I2089" i="32"/>
  <c r="H2089" i="32"/>
  <c r="F2089" i="32"/>
  <c r="N2088" i="32"/>
  <c r="P2091" i="32" s="1"/>
  <c r="M2088" i="32"/>
  <c r="H2088" i="32"/>
  <c r="F2088" i="32"/>
  <c r="E2088" i="32"/>
  <c r="N2087" i="32"/>
  <c r="M2087" i="32"/>
  <c r="I2087" i="32"/>
  <c r="H2087" i="32"/>
  <c r="F2087" i="32"/>
  <c r="N2086" i="32"/>
  <c r="M2086" i="32"/>
  <c r="I2086" i="32"/>
  <c r="H2086" i="32"/>
  <c r="F2086" i="32"/>
  <c r="N2085" i="32"/>
  <c r="M2085" i="32"/>
  <c r="I2085" i="32"/>
  <c r="H2085" i="32"/>
  <c r="F2085" i="32"/>
  <c r="N2084" i="32"/>
  <c r="M2084" i="32"/>
  <c r="I2084" i="32"/>
  <c r="H2084" i="32"/>
  <c r="F2084" i="32"/>
  <c r="N2083" i="32"/>
  <c r="P2084" i="32" s="1"/>
  <c r="M2083" i="32"/>
  <c r="H2083" i="32"/>
  <c r="F2083" i="32"/>
  <c r="E2083" i="32"/>
  <c r="N2082" i="32"/>
  <c r="M2082" i="32"/>
  <c r="I2082" i="32"/>
  <c r="H2082" i="32"/>
  <c r="F2082" i="32"/>
  <c r="N2081" i="32"/>
  <c r="M2081" i="32"/>
  <c r="I2081" i="32"/>
  <c r="H2081" i="32"/>
  <c r="F2081" i="32"/>
  <c r="N2080" i="32"/>
  <c r="M2080" i="32"/>
  <c r="I2080" i="32"/>
  <c r="H2080" i="32"/>
  <c r="F2080" i="32"/>
  <c r="N2079" i="32"/>
  <c r="M2079" i="32"/>
  <c r="I2079" i="32"/>
  <c r="H2079" i="32"/>
  <c r="F2079" i="32"/>
  <c r="N2078" i="32"/>
  <c r="P2080" i="32" s="1"/>
  <c r="M2078" i="32"/>
  <c r="H2078" i="32"/>
  <c r="F2078" i="32"/>
  <c r="E2078" i="32"/>
  <c r="N2077" i="32"/>
  <c r="M2077" i="32"/>
  <c r="I2077" i="32"/>
  <c r="H2077" i="32"/>
  <c r="F2077" i="32"/>
  <c r="N2076" i="32"/>
  <c r="M2076" i="32"/>
  <c r="I2076" i="32"/>
  <c r="H2076" i="32"/>
  <c r="F2076" i="32"/>
  <c r="N2075" i="32"/>
  <c r="M2075" i="32"/>
  <c r="I2075" i="32"/>
  <c r="H2075" i="32"/>
  <c r="F2075" i="32"/>
  <c r="N2074" i="32"/>
  <c r="M2074" i="32"/>
  <c r="I2074" i="32"/>
  <c r="H2074" i="32"/>
  <c r="F2074" i="32"/>
  <c r="N2073" i="32"/>
  <c r="Q2073" i="32" s="1"/>
  <c r="M2073" i="32"/>
  <c r="H2073" i="32"/>
  <c r="F2073" i="32"/>
  <c r="E2073" i="32"/>
  <c r="N2072" i="32"/>
  <c r="M2072" i="32"/>
  <c r="I2072" i="32"/>
  <c r="H2072" i="32"/>
  <c r="F2072" i="32"/>
  <c r="N2071" i="32"/>
  <c r="M2071" i="32"/>
  <c r="I2071" i="32"/>
  <c r="H2071" i="32"/>
  <c r="F2071" i="32"/>
  <c r="N2070" i="32"/>
  <c r="M2070" i="32"/>
  <c r="I2070" i="32"/>
  <c r="H2070" i="32"/>
  <c r="F2070" i="32"/>
  <c r="N2069" i="32"/>
  <c r="M2069" i="32"/>
  <c r="I2069" i="32"/>
  <c r="H2069" i="32"/>
  <c r="F2069" i="32"/>
  <c r="N2068" i="32"/>
  <c r="P2069" i="32" s="1"/>
  <c r="M2068" i="32"/>
  <c r="H2068" i="32"/>
  <c r="F2068" i="32"/>
  <c r="E2068" i="32"/>
  <c r="N2067" i="32"/>
  <c r="M2067" i="32"/>
  <c r="I2067" i="32"/>
  <c r="H2067" i="32"/>
  <c r="F2067" i="32"/>
  <c r="N2066" i="32"/>
  <c r="M2066" i="32"/>
  <c r="I2066" i="32"/>
  <c r="H2066" i="32"/>
  <c r="F2066" i="32"/>
  <c r="N2065" i="32"/>
  <c r="M2065" i="32"/>
  <c r="I2065" i="32"/>
  <c r="H2065" i="32"/>
  <c r="F2065" i="32"/>
  <c r="N2064" i="32"/>
  <c r="M2064" i="32"/>
  <c r="I2064" i="32"/>
  <c r="H2064" i="32"/>
  <c r="F2064" i="32"/>
  <c r="N2063" i="32"/>
  <c r="S2063" i="32" s="1"/>
  <c r="M2063" i="32"/>
  <c r="H2063" i="32"/>
  <c r="F2063" i="32"/>
  <c r="E2063" i="32"/>
  <c r="N2062" i="32"/>
  <c r="M2062" i="32"/>
  <c r="I2062" i="32"/>
  <c r="H2062" i="32"/>
  <c r="F2062" i="32"/>
  <c r="N2061" i="32"/>
  <c r="M2061" i="32"/>
  <c r="I2061" i="32"/>
  <c r="H2061" i="32"/>
  <c r="F2061" i="32"/>
  <c r="N2060" i="32"/>
  <c r="M2060" i="32"/>
  <c r="I2060" i="32"/>
  <c r="H2060" i="32"/>
  <c r="F2060" i="32"/>
  <c r="N2059" i="32"/>
  <c r="M2059" i="32"/>
  <c r="I2059" i="32"/>
  <c r="H2059" i="32"/>
  <c r="F2059" i="32"/>
  <c r="N2058" i="32"/>
  <c r="M2058" i="32"/>
  <c r="H2058" i="32"/>
  <c r="F2058" i="32"/>
  <c r="E2058" i="32"/>
  <c r="N2057" i="32"/>
  <c r="M2057" i="32"/>
  <c r="I2057" i="32"/>
  <c r="H2057" i="32"/>
  <c r="F2057" i="32"/>
  <c r="N2056" i="32"/>
  <c r="M2056" i="32"/>
  <c r="I2056" i="32"/>
  <c r="H2056" i="32"/>
  <c r="F2056" i="32"/>
  <c r="N2055" i="32"/>
  <c r="M2055" i="32"/>
  <c r="I2055" i="32"/>
  <c r="H2055" i="32"/>
  <c r="F2055" i="32"/>
  <c r="N2054" i="32"/>
  <c r="M2054" i="32"/>
  <c r="I2054" i="32"/>
  <c r="H2054" i="32"/>
  <c r="F2054" i="32"/>
  <c r="N2053" i="32"/>
  <c r="S2053" i="32" s="1"/>
  <c r="M2053" i="32"/>
  <c r="H2053" i="32"/>
  <c r="F2053" i="32"/>
  <c r="E2053" i="32"/>
  <c r="N2052" i="32"/>
  <c r="M2052" i="32"/>
  <c r="I2052" i="32"/>
  <c r="H2052" i="32"/>
  <c r="F2052" i="32"/>
  <c r="N2051" i="32"/>
  <c r="M2051" i="32"/>
  <c r="I2051" i="32"/>
  <c r="H2051" i="32"/>
  <c r="F2051" i="32"/>
  <c r="N2050" i="32"/>
  <c r="M2050" i="32"/>
  <c r="I2050" i="32"/>
  <c r="H2050" i="32"/>
  <c r="F2050" i="32"/>
  <c r="N2049" i="32"/>
  <c r="M2049" i="32"/>
  <c r="I2049" i="32"/>
  <c r="H2049" i="32"/>
  <c r="F2049" i="32"/>
  <c r="N2048" i="32"/>
  <c r="P2051" i="32" s="1"/>
  <c r="M2048" i="32"/>
  <c r="H2048" i="32"/>
  <c r="F2048" i="32"/>
  <c r="E2048" i="32"/>
  <c r="N2047" i="32"/>
  <c r="M2047" i="32"/>
  <c r="I2047" i="32"/>
  <c r="H2047" i="32"/>
  <c r="F2047" i="32"/>
  <c r="N2046" i="32"/>
  <c r="M2046" i="32"/>
  <c r="I2046" i="32"/>
  <c r="H2046" i="32"/>
  <c r="F2046" i="32"/>
  <c r="N2045" i="32"/>
  <c r="M2045" i="32"/>
  <c r="I2045" i="32"/>
  <c r="H2045" i="32"/>
  <c r="F2045" i="32"/>
  <c r="N2044" i="32"/>
  <c r="Q2044" i="32" s="1"/>
  <c r="M2044" i="32"/>
  <c r="H2044" i="32"/>
  <c r="F2044" i="32"/>
  <c r="E2044" i="32"/>
  <c r="N2043" i="32"/>
  <c r="M2043" i="32"/>
  <c r="I2043" i="32"/>
  <c r="H2043" i="32"/>
  <c r="F2043" i="32"/>
  <c r="N2042" i="32"/>
  <c r="M2042" i="32"/>
  <c r="I2042" i="32"/>
  <c r="H2042" i="32"/>
  <c r="F2042" i="32"/>
  <c r="N2041" i="32"/>
  <c r="M2041" i="32"/>
  <c r="I2041" i="32"/>
  <c r="H2041" i="32"/>
  <c r="F2041" i="32"/>
  <c r="N2040" i="32"/>
  <c r="M2040" i="32"/>
  <c r="H2040" i="32"/>
  <c r="F2040" i="32"/>
  <c r="E2040" i="32"/>
  <c r="N2039" i="32"/>
  <c r="M2039" i="32"/>
  <c r="H2039" i="32"/>
  <c r="F2039" i="32"/>
  <c r="N2038" i="32"/>
  <c r="M2038" i="32"/>
  <c r="H2038" i="32"/>
  <c r="F2038" i="32"/>
  <c r="N2037" i="32"/>
  <c r="M2037" i="32"/>
  <c r="H2037" i="32"/>
  <c r="F2037" i="32"/>
  <c r="N2036" i="32"/>
  <c r="S2036" i="32" s="1"/>
  <c r="M2036" i="32"/>
  <c r="H2036" i="32"/>
  <c r="F2036" i="32"/>
  <c r="E2036" i="32"/>
  <c r="N2035" i="32"/>
  <c r="M2035" i="32"/>
  <c r="I2035" i="32"/>
  <c r="H2035" i="32"/>
  <c r="F2035" i="32"/>
  <c r="N2034" i="32"/>
  <c r="M2034" i="32"/>
  <c r="I2034" i="32"/>
  <c r="H2034" i="32"/>
  <c r="F2034" i="32"/>
  <c r="N2033" i="32"/>
  <c r="M2033" i="32"/>
  <c r="I2033" i="32"/>
  <c r="H2033" i="32"/>
  <c r="F2033" i="32"/>
  <c r="N2032" i="32"/>
  <c r="P2033" i="32" s="1"/>
  <c r="M2032" i="32"/>
  <c r="H2032" i="32"/>
  <c r="F2032" i="32"/>
  <c r="E2032" i="32"/>
  <c r="N2031" i="32"/>
  <c r="M2031" i="32"/>
  <c r="I2031" i="32"/>
  <c r="H2031" i="32"/>
  <c r="F2031" i="32"/>
  <c r="N2030" i="32"/>
  <c r="M2030" i="32"/>
  <c r="I2030" i="32"/>
  <c r="H2030" i="32"/>
  <c r="F2030" i="32"/>
  <c r="N2029" i="32"/>
  <c r="M2029" i="32"/>
  <c r="I2029" i="32"/>
  <c r="H2029" i="32"/>
  <c r="F2029" i="32"/>
  <c r="N2028" i="32"/>
  <c r="S2028" i="32" s="1"/>
  <c r="M2028" i="32"/>
  <c r="H2028" i="32"/>
  <c r="F2028" i="32"/>
  <c r="E2028" i="32"/>
  <c r="N2027" i="32"/>
  <c r="M2027" i="32"/>
  <c r="I2027" i="32"/>
  <c r="H2027" i="32"/>
  <c r="F2027" i="32"/>
  <c r="N2026" i="32"/>
  <c r="M2026" i="32"/>
  <c r="I2026" i="32"/>
  <c r="H2026" i="32"/>
  <c r="F2026" i="32"/>
  <c r="N2025" i="32"/>
  <c r="M2025" i="32"/>
  <c r="I2025" i="32"/>
  <c r="H2025" i="32"/>
  <c r="F2025" i="32"/>
  <c r="N2024" i="32"/>
  <c r="M2024" i="32"/>
  <c r="H2024" i="32"/>
  <c r="F2024" i="32"/>
  <c r="E2024" i="32"/>
  <c r="N2023" i="32"/>
  <c r="M2023" i="32"/>
  <c r="I2023" i="32"/>
  <c r="H2023" i="32"/>
  <c r="F2023" i="32"/>
  <c r="N2022" i="32"/>
  <c r="M2022" i="32"/>
  <c r="I2022" i="32"/>
  <c r="H2022" i="32"/>
  <c r="F2022" i="32"/>
  <c r="N2021" i="32"/>
  <c r="M2021" i="32"/>
  <c r="I2021" i="32"/>
  <c r="H2021" i="32"/>
  <c r="F2021" i="32"/>
  <c r="N2020" i="32"/>
  <c r="S2020" i="32" s="1"/>
  <c r="M2020" i="32"/>
  <c r="H2020" i="32"/>
  <c r="F2020" i="32"/>
  <c r="E2020" i="32"/>
  <c r="N2019" i="32"/>
  <c r="M2019" i="32"/>
  <c r="I2019" i="32"/>
  <c r="H2019" i="32"/>
  <c r="F2019" i="32"/>
  <c r="N2018" i="32"/>
  <c r="M2018" i="32"/>
  <c r="I2018" i="32"/>
  <c r="H2018" i="32"/>
  <c r="F2018" i="32"/>
  <c r="N2017" i="32"/>
  <c r="M2017" i="32"/>
  <c r="I2017" i="32"/>
  <c r="H2017" i="32"/>
  <c r="F2017" i="32"/>
  <c r="N2016" i="32"/>
  <c r="M2016" i="32"/>
  <c r="H2016" i="32"/>
  <c r="F2016" i="32"/>
  <c r="E2016" i="32"/>
  <c r="N2015" i="32"/>
  <c r="M2015" i="32"/>
  <c r="I2015" i="32"/>
  <c r="H2015" i="32"/>
  <c r="F2015" i="32"/>
  <c r="N2014" i="32"/>
  <c r="M2014" i="32"/>
  <c r="I2014" i="32"/>
  <c r="H2014" i="32"/>
  <c r="F2014" i="32"/>
  <c r="N2013" i="32"/>
  <c r="M2013" i="32"/>
  <c r="I2013" i="32"/>
  <c r="H2013" i="32"/>
  <c r="F2013" i="32"/>
  <c r="N2012" i="32"/>
  <c r="M2012" i="32"/>
  <c r="H2012" i="32"/>
  <c r="F2012" i="32"/>
  <c r="E2012" i="32"/>
  <c r="N2011" i="32"/>
  <c r="M2011" i="32"/>
  <c r="I2011" i="32"/>
  <c r="H2011" i="32"/>
  <c r="F2011" i="32"/>
  <c r="N2010" i="32"/>
  <c r="M2010" i="32"/>
  <c r="I2010" i="32"/>
  <c r="H2010" i="32"/>
  <c r="F2010" i="32"/>
  <c r="N2009" i="32"/>
  <c r="M2009" i="32"/>
  <c r="I2009" i="32"/>
  <c r="H2009" i="32"/>
  <c r="F2009" i="32"/>
  <c r="N2008" i="32"/>
  <c r="P2009" i="32" s="1"/>
  <c r="M2008" i="32"/>
  <c r="H2008" i="32"/>
  <c r="F2008" i="32"/>
  <c r="E2008" i="32"/>
  <c r="N2007" i="32"/>
  <c r="M2007" i="32"/>
  <c r="I2007" i="32"/>
  <c r="H2007" i="32"/>
  <c r="F2007" i="32"/>
  <c r="N2006" i="32"/>
  <c r="M2006" i="32"/>
  <c r="I2006" i="32"/>
  <c r="H2006" i="32"/>
  <c r="F2006" i="32"/>
  <c r="N2005" i="32"/>
  <c r="M2005" i="32"/>
  <c r="I2005" i="32"/>
  <c r="H2005" i="32"/>
  <c r="F2005" i="32"/>
  <c r="N2004" i="32"/>
  <c r="P2005" i="32" s="1"/>
  <c r="M2004" i="32"/>
  <c r="H2004" i="32"/>
  <c r="F2004" i="32"/>
  <c r="E2004" i="32"/>
  <c r="N2003" i="32"/>
  <c r="M2003" i="32"/>
  <c r="I2003" i="32"/>
  <c r="H2003" i="32"/>
  <c r="F2003" i="32"/>
  <c r="N2002" i="32"/>
  <c r="M2002" i="32"/>
  <c r="I2002" i="32"/>
  <c r="H2002" i="32"/>
  <c r="F2002" i="32"/>
  <c r="N2001" i="32"/>
  <c r="M2001" i="32"/>
  <c r="I2001" i="32"/>
  <c r="H2001" i="32"/>
  <c r="F2001" i="32"/>
  <c r="N2000" i="32"/>
  <c r="P2002" i="32" s="1"/>
  <c r="M2000" i="32"/>
  <c r="H2000" i="32"/>
  <c r="F2000" i="32"/>
  <c r="E2000" i="32"/>
  <c r="N1999" i="32"/>
  <c r="M1999" i="32"/>
  <c r="I1999" i="32"/>
  <c r="H1999" i="32"/>
  <c r="F1999" i="32"/>
  <c r="N1998" i="32"/>
  <c r="M1998" i="32"/>
  <c r="I1998" i="32"/>
  <c r="H1998" i="32"/>
  <c r="F1998" i="32"/>
  <c r="N1997" i="32"/>
  <c r="M1997" i="32"/>
  <c r="I1997" i="32"/>
  <c r="H1997" i="32"/>
  <c r="F1997" i="32"/>
  <c r="N1996" i="32"/>
  <c r="S1996" i="32" s="1"/>
  <c r="M1996" i="32"/>
  <c r="H1996" i="32"/>
  <c r="F1996" i="32"/>
  <c r="E1996" i="32"/>
  <c r="N1995" i="32"/>
  <c r="M1995" i="32"/>
  <c r="I1995" i="32"/>
  <c r="H1995" i="32"/>
  <c r="F1995" i="32"/>
  <c r="N1994" i="32"/>
  <c r="M1994" i="32"/>
  <c r="I1994" i="32"/>
  <c r="H1994" i="32"/>
  <c r="F1994" i="32"/>
  <c r="N1993" i="32"/>
  <c r="M1993" i="32"/>
  <c r="I1993" i="32"/>
  <c r="H1993" i="32"/>
  <c r="F1993" i="32"/>
  <c r="N1992" i="32"/>
  <c r="M1992" i="32"/>
  <c r="H1992" i="32"/>
  <c r="F1992" i="32"/>
  <c r="E1992" i="32"/>
  <c r="N1991" i="32"/>
  <c r="M1991" i="32"/>
  <c r="I1991" i="32"/>
  <c r="H1991" i="32"/>
  <c r="F1991" i="32"/>
  <c r="N1990" i="32"/>
  <c r="M1990" i="32"/>
  <c r="I1990" i="32"/>
  <c r="H1990" i="32"/>
  <c r="F1990" i="32"/>
  <c r="N1989" i="32"/>
  <c r="M1989" i="32"/>
  <c r="I1989" i="32"/>
  <c r="H1989" i="32"/>
  <c r="F1989" i="32"/>
  <c r="N1988" i="32"/>
  <c r="Q1988" i="32" s="1"/>
  <c r="M1988" i="32"/>
  <c r="H1988" i="32"/>
  <c r="F1988" i="32"/>
  <c r="E1988" i="32"/>
  <c r="N1987" i="32"/>
  <c r="M1987" i="32"/>
  <c r="I1987" i="32"/>
  <c r="H1987" i="32"/>
  <c r="F1987" i="32"/>
  <c r="N1986" i="32"/>
  <c r="M1986" i="32"/>
  <c r="I1986" i="32"/>
  <c r="H1986" i="32"/>
  <c r="F1986" i="32"/>
  <c r="N1985" i="32"/>
  <c r="M1985" i="32"/>
  <c r="I1985" i="32"/>
  <c r="H1985" i="32"/>
  <c r="F1985" i="32"/>
  <c r="H1984" i="32"/>
  <c r="F1984" i="32"/>
  <c r="E1984" i="32"/>
  <c r="N1983" i="32"/>
  <c r="M1983" i="32"/>
  <c r="I1983" i="32"/>
  <c r="H1983" i="32"/>
  <c r="F1983" i="32"/>
  <c r="N1982" i="32"/>
  <c r="M1982" i="32"/>
  <c r="I1982" i="32"/>
  <c r="H1982" i="32"/>
  <c r="F1982" i="32"/>
  <c r="N1981" i="32"/>
  <c r="M1981" i="32"/>
  <c r="I1981" i="32"/>
  <c r="H1981" i="32"/>
  <c r="F1981" i="32"/>
  <c r="N1980" i="32"/>
  <c r="P1983" i="32" s="1"/>
  <c r="M1980" i="32"/>
  <c r="H1980" i="32"/>
  <c r="F1980" i="32"/>
  <c r="E1980" i="32"/>
  <c r="N1979" i="32"/>
  <c r="M1979" i="32"/>
  <c r="I1979" i="32"/>
  <c r="H1979" i="32"/>
  <c r="F1979" i="32"/>
  <c r="N1978" i="32"/>
  <c r="M1978" i="32"/>
  <c r="I1978" i="32"/>
  <c r="H1978" i="32"/>
  <c r="F1978" i="32"/>
  <c r="N1977" i="32"/>
  <c r="M1977" i="32"/>
  <c r="I1977" i="32"/>
  <c r="H1977" i="32"/>
  <c r="F1977" i="32"/>
  <c r="N1976" i="32"/>
  <c r="S1976" i="32" s="1"/>
  <c r="M1976" i="32"/>
  <c r="H1976" i="32"/>
  <c r="F1976" i="32"/>
  <c r="E1976" i="32"/>
  <c r="N1975" i="32"/>
  <c r="M1975" i="32"/>
  <c r="I1975" i="32"/>
  <c r="H1975" i="32"/>
  <c r="F1975" i="32"/>
  <c r="N1974" i="32"/>
  <c r="M1974" i="32"/>
  <c r="I1974" i="32"/>
  <c r="H1974" i="32"/>
  <c r="F1974" i="32"/>
  <c r="N1973" i="32"/>
  <c r="M1973" i="32"/>
  <c r="I1973" i="32"/>
  <c r="H1973" i="32"/>
  <c r="F1973" i="32"/>
  <c r="N1972" i="32"/>
  <c r="P1974" i="32" s="1"/>
  <c r="M1972" i="32"/>
  <c r="H1972" i="32"/>
  <c r="F1972" i="32"/>
  <c r="E1972" i="32"/>
  <c r="N1971" i="32"/>
  <c r="M1971" i="32"/>
  <c r="I1971" i="32"/>
  <c r="H1971" i="32"/>
  <c r="F1971" i="32"/>
  <c r="N1970" i="32"/>
  <c r="M1970" i="32"/>
  <c r="I1970" i="32"/>
  <c r="H1970" i="32"/>
  <c r="F1970" i="32"/>
  <c r="N1969" i="32"/>
  <c r="M1969" i="32"/>
  <c r="I1969" i="32"/>
  <c r="H1969" i="32"/>
  <c r="F1969" i="32"/>
  <c r="H1968" i="32"/>
  <c r="F1968" i="32"/>
  <c r="E1968" i="32"/>
  <c r="N1967" i="32"/>
  <c r="M1967" i="32"/>
  <c r="I1967" i="32"/>
  <c r="H1967" i="32"/>
  <c r="F1967" i="32"/>
  <c r="N1966" i="32"/>
  <c r="M1966" i="32"/>
  <c r="I1966" i="32"/>
  <c r="H1966" i="32"/>
  <c r="F1966" i="32"/>
  <c r="N1965" i="32"/>
  <c r="M1965" i="32"/>
  <c r="I1965" i="32"/>
  <c r="H1965" i="32"/>
  <c r="F1965" i="32"/>
  <c r="N1964" i="32"/>
  <c r="S1964" i="32" s="1"/>
  <c r="M1964" i="32"/>
  <c r="H1964" i="32"/>
  <c r="F1964" i="32"/>
  <c r="E1964" i="32"/>
  <c r="N1963" i="32"/>
  <c r="M1963" i="32"/>
  <c r="I1963" i="32"/>
  <c r="H1963" i="32"/>
  <c r="F1963" i="32"/>
  <c r="N1962" i="32"/>
  <c r="M1962" i="32"/>
  <c r="I1962" i="32"/>
  <c r="H1962" i="32"/>
  <c r="F1962" i="32"/>
  <c r="N1961" i="32"/>
  <c r="M1961" i="32"/>
  <c r="I1961" i="32"/>
  <c r="H1961" i="32"/>
  <c r="F1961" i="32"/>
  <c r="H1960" i="32"/>
  <c r="F1960" i="32"/>
  <c r="E1960" i="32"/>
  <c r="N1959" i="32"/>
  <c r="M1959" i="32"/>
  <c r="I1959" i="32"/>
  <c r="H1959" i="32"/>
  <c r="F1959" i="32"/>
  <c r="N1958" i="32"/>
  <c r="M1958" i="32"/>
  <c r="I1958" i="32"/>
  <c r="H1958" i="32"/>
  <c r="F1958" i="32"/>
  <c r="N1957" i="32"/>
  <c r="M1957" i="32"/>
  <c r="I1957" i="32"/>
  <c r="H1957" i="32"/>
  <c r="F1957" i="32"/>
  <c r="H1956" i="32"/>
  <c r="F1956" i="32"/>
  <c r="E1956" i="32"/>
  <c r="N1955" i="32"/>
  <c r="M1955" i="32"/>
  <c r="I1955" i="32"/>
  <c r="H1955" i="32"/>
  <c r="F1955" i="32"/>
  <c r="N1954" i="32"/>
  <c r="M1954" i="32"/>
  <c r="I1954" i="32"/>
  <c r="H1954" i="32"/>
  <c r="F1954" i="32"/>
  <c r="N1953" i="32"/>
  <c r="M1953" i="32"/>
  <c r="I1953" i="32"/>
  <c r="H1953" i="32"/>
  <c r="F1953" i="32"/>
  <c r="N1952" i="32"/>
  <c r="P1955" i="32" s="1"/>
  <c r="M1952" i="32"/>
  <c r="H1952" i="32"/>
  <c r="F1952" i="32"/>
  <c r="E1952" i="32"/>
  <c r="N1951" i="32"/>
  <c r="M1951" i="32"/>
  <c r="I1951" i="32"/>
  <c r="H1951" i="32"/>
  <c r="F1951" i="32"/>
  <c r="N1950" i="32"/>
  <c r="M1950" i="32"/>
  <c r="I1950" i="32"/>
  <c r="H1950" i="32"/>
  <c r="F1950" i="32"/>
  <c r="N1949" i="32"/>
  <c r="M1949" i="32"/>
  <c r="I1949" i="32"/>
  <c r="H1949" i="32"/>
  <c r="F1949" i="32"/>
  <c r="H1948" i="32"/>
  <c r="F1948" i="32"/>
  <c r="E1948" i="32"/>
  <c r="N1947" i="32"/>
  <c r="M1947" i="32"/>
  <c r="I1947" i="32"/>
  <c r="H1947" i="32"/>
  <c r="F1947" i="32"/>
  <c r="N1946" i="32"/>
  <c r="M1946" i="32"/>
  <c r="I1946" i="32"/>
  <c r="H1946" i="32"/>
  <c r="F1946" i="32"/>
  <c r="N1945" i="32"/>
  <c r="M1945" i="32"/>
  <c r="I1945" i="32"/>
  <c r="H1945" i="32"/>
  <c r="F1945" i="32"/>
  <c r="N1944" i="32"/>
  <c r="P1945" i="32" s="1"/>
  <c r="M1944" i="32"/>
  <c r="H1944" i="32"/>
  <c r="F1944" i="32"/>
  <c r="E1944" i="32"/>
  <c r="N1943" i="32"/>
  <c r="M1943" i="32"/>
  <c r="I1943" i="32"/>
  <c r="H1943" i="32"/>
  <c r="F1943" i="32"/>
  <c r="N1942" i="32"/>
  <c r="M1942" i="32"/>
  <c r="I1942" i="32"/>
  <c r="H1942" i="32"/>
  <c r="F1942" i="32"/>
  <c r="N1941" i="32"/>
  <c r="M1941" i="32"/>
  <c r="I1941" i="32"/>
  <c r="H1941" i="32"/>
  <c r="F1941" i="32"/>
  <c r="H1940" i="32"/>
  <c r="F1940" i="32"/>
  <c r="E1940" i="32"/>
  <c r="N1939" i="32"/>
  <c r="M1939" i="32"/>
  <c r="I1939" i="32"/>
  <c r="H1939" i="32"/>
  <c r="F1939" i="32"/>
  <c r="N1938" i="32"/>
  <c r="M1938" i="32"/>
  <c r="I1938" i="32"/>
  <c r="H1938" i="32"/>
  <c r="F1938" i="32"/>
  <c r="N1937" i="32"/>
  <c r="M1937" i="32"/>
  <c r="I1937" i="32"/>
  <c r="H1937" i="32"/>
  <c r="F1937" i="32"/>
  <c r="N1936" i="32"/>
  <c r="M1936" i="32"/>
  <c r="H1936" i="32"/>
  <c r="F1936" i="32"/>
  <c r="E1936" i="32"/>
  <c r="N1935" i="32"/>
  <c r="M1935" i="32"/>
  <c r="I1935" i="32"/>
  <c r="H1935" i="32"/>
  <c r="F1935" i="32"/>
  <c r="N1934" i="32"/>
  <c r="M1934" i="32"/>
  <c r="I1934" i="32"/>
  <c r="H1934" i="32"/>
  <c r="F1934" i="32"/>
  <c r="N1933" i="32"/>
  <c r="M1933" i="32"/>
  <c r="I1933" i="32"/>
  <c r="H1933" i="32"/>
  <c r="F1933" i="32"/>
  <c r="N1932" i="32"/>
  <c r="S1932" i="32" s="1"/>
  <c r="M1932" i="32"/>
  <c r="H1932" i="32"/>
  <c r="F1932" i="32"/>
  <c r="E1932" i="32"/>
  <c r="N1931" i="32"/>
  <c r="M1931" i="32"/>
  <c r="I1931" i="32"/>
  <c r="H1931" i="32"/>
  <c r="F1931" i="32"/>
  <c r="N1930" i="32"/>
  <c r="M1930" i="32"/>
  <c r="I1930" i="32"/>
  <c r="H1930" i="32"/>
  <c r="F1930" i="32"/>
  <c r="N1929" i="32"/>
  <c r="M1929" i="32"/>
  <c r="I1929" i="32"/>
  <c r="H1929" i="32"/>
  <c r="F1929" i="32"/>
  <c r="N1928" i="32"/>
  <c r="P1931" i="32" s="1"/>
  <c r="M1928" i="32"/>
  <c r="H1928" i="32"/>
  <c r="F1928" i="32"/>
  <c r="E1928" i="32"/>
  <c r="N1927" i="32"/>
  <c r="M1927" i="32"/>
  <c r="I1927" i="32"/>
  <c r="H1927" i="32"/>
  <c r="F1927" i="32"/>
  <c r="N1926" i="32"/>
  <c r="M1926" i="32"/>
  <c r="I1926" i="32"/>
  <c r="H1926" i="32"/>
  <c r="F1926" i="32"/>
  <c r="N1925" i="32"/>
  <c r="M1925" i="32"/>
  <c r="I1925" i="32"/>
  <c r="H1925" i="32"/>
  <c r="F1925" i="32"/>
  <c r="N1924" i="32"/>
  <c r="Q1924" i="32" s="1"/>
  <c r="M1924" i="32"/>
  <c r="H1924" i="32"/>
  <c r="F1924" i="32"/>
  <c r="E1924" i="32"/>
  <c r="N1923" i="32"/>
  <c r="M1923" i="32"/>
  <c r="I1923" i="32"/>
  <c r="H1923" i="32"/>
  <c r="F1923" i="32"/>
  <c r="N1922" i="32"/>
  <c r="M1922" i="32"/>
  <c r="I1922" i="32"/>
  <c r="H1922" i="32"/>
  <c r="F1922" i="32"/>
  <c r="N1921" i="32"/>
  <c r="M1921" i="32"/>
  <c r="I1921" i="32"/>
  <c r="H1921" i="32"/>
  <c r="F1921" i="32"/>
  <c r="N1920" i="32"/>
  <c r="P1923" i="32" s="1"/>
  <c r="M1920" i="32"/>
  <c r="H1920" i="32"/>
  <c r="F1920" i="32"/>
  <c r="E1920" i="32"/>
  <c r="N1919" i="32"/>
  <c r="M1919" i="32"/>
  <c r="I1919" i="32"/>
  <c r="H1919" i="32"/>
  <c r="F1919" i="32"/>
  <c r="N1918" i="32"/>
  <c r="M1918" i="32"/>
  <c r="I1918" i="32"/>
  <c r="H1918" i="32"/>
  <c r="F1918" i="32"/>
  <c r="N1917" i="32"/>
  <c r="M1917" i="32"/>
  <c r="I1917" i="32"/>
  <c r="H1917" i="32"/>
  <c r="F1917" i="32"/>
  <c r="N1916" i="32"/>
  <c r="M1916" i="32"/>
  <c r="H1916" i="32"/>
  <c r="F1916" i="32"/>
  <c r="E1916" i="32"/>
  <c r="N1915" i="32"/>
  <c r="M1915" i="32"/>
  <c r="I1915" i="32"/>
  <c r="H1915" i="32"/>
  <c r="F1915" i="32"/>
  <c r="N1914" i="32"/>
  <c r="M1914" i="32"/>
  <c r="I1914" i="32"/>
  <c r="H1914" i="32"/>
  <c r="F1914" i="32"/>
  <c r="N1913" i="32"/>
  <c r="M1913" i="32"/>
  <c r="I1913" i="32"/>
  <c r="H1913" i="32"/>
  <c r="F1913" i="32"/>
  <c r="N1912" i="32"/>
  <c r="M1912" i="32"/>
  <c r="H1912" i="32"/>
  <c r="F1912" i="32"/>
  <c r="E1912" i="32"/>
  <c r="N1911" i="32"/>
  <c r="M1911" i="32"/>
  <c r="I1911" i="32"/>
  <c r="H1911" i="32"/>
  <c r="F1911" i="32"/>
  <c r="N1910" i="32"/>
  <c r="M1910" i="32"/>
  <c r="I1910" i="32"/>
  <c r="H1910" i="32"/>
  <c r="F1910" i="32"/>
  <c r="N1909" i="32"/>
  <c r="M1909" i="32"/>
  <c r="I1909" i="32"/>
  <c r="H1909" i="32"/>
  <c r="F1909" i="32"/>
  <c r="N1908" i="32"/>
  <c r="P1910" i="32" s="1"/>
  <c r="M1908" i="32"/>
  <c r="H1908" i="32"/>
  <c r="F1908" i="32"/>
  <c r="E1908" i="32"/>
  <c r="N1907" i="32"/>
  <c r="M1907" i="32"/>
  <c r="I1907" i="32"/>
  <c r="H1907" i="32"/>
  <c r="F1907" i="32"/>
  <c r="N1906" i="32"/>
  <c r="M1906" i="32"/>
  <c r="I1906" i="32"/>
  <c r="H1906" i="32"/>
  <c r="F1906" i="32"/>
  <c r="N1905" i="32"/>
  <c r="M1905" i="32"/>
  <c r="I1905" i="32"/>
  <c r="H1905" i="32"/>
  <c r="F1905" i="32"/>
  <c r="N1904" i="32"/>
  <c r="P1906" i="32" s="1"/>
  <c r="M1904" i="32"/>
  <c r="H1904" i="32"/>
  <c r="F1904" i="32"/>
  <c r="E1904" i="32"/>
  <c r="N1903" i="32"/>
  <c r="M1903" i="32"/>
  <c r="I1903" i="32"/>
  <c r="H1903" i="32"/>
  <c r="F1903" i="32"/>
  <c r="N1902" i="32"/>
  <c r="M1902" i="32"/>
  <c r="I1902" i="32"/>
  <c r="H1902" i="32"/>
  <c r="F1902" i="32"/>
  <c r="N1901" i="32"/>
  <c r="M1901" i="32"/>
  <c r="I1901" i="32"/>
  <c r="H1901" i="32"/>
  <c r="F1901" i="32"/>
  <c r="N1900" i="32"/>
  <c r="S1900" i="32" s="1"/>
  <c r="M1900" i="32"/>
  <c r="H1900" i="32"/>
  <c r="F1900" i="32"/>
  <c r="E1900" i="32"/>
  <c r="N1899" i="32"/>
  <c r="M1899" i="32"/>
  <c r="I1899" i="32"/>
  <c r="H1899" i="32"/>
  <c r="F1899" i="32"/>
  <c r="N1898" i="32"/>
  <c r="M1898" i="32"/>
  <c r="I1898" i="32"/>
  <c r="H1898" i="32"/>
  <c r="F1898" i="32"/>
  <c r="N1897" i="32"/>
  <c r="M1897" i="32"/>
  <c r="I1897" i="32"/>
  <c r="H1897" i="32"/>
  <c r="F1897" i="32"/>
  <c r="N1896" i="32"/>
  <c r="M1896" i="32"/>
  <c r="H1896" i="32"/>
  <c r="F1896" i="32"/>
  <c r="E1896" i="32"/>
  <c r="N1895" i="32"/>
  <c r="M1895" i="32"/>
  <c r="I1895" i="32"/>
  <c r="H1895" i="32"/>
  <c r="F1895" i="32"/>
  <c r="N1894" i="32"/>
  <c r="M1894" i="32"/>
  <c r="I1894" i="32"/>
  <c r="H1894" i="32"/>
  <c r="F1894" i="32"/>
  <c r="N1893" i="32"/>
  <c r="M1893" i="32"/>
  <c r="I1893" i="32"/>
  <c r="H1893" i="32"/>
  <c r="F1893" i="32"/>
  <c r="N1892" i="32"/>
  <c r="P1894" i="32" s="1"/>
  <c r="M1892" i="32"/>
  <c r="H1892" i="32"/>
  <c r="F1892" i="32"/>
  <c r="E1892" i="32"/>
  <c r="N1891" i="32"/>
  <c r="M1891" i="32"/>
  <c r="I1891" i="32"/>
  <c r="H1891" i="32"/>
  <c r="F1891" i="32"/>
  <c r="N1890" i="32"/>
  <c r="M1890" i="32"/>
  <c r="I1890" i="32"/>
  <c r="H1890" i="32"/>
  <c r="F1890" i="32"/>
  <c r="N1889" i="32"/>
  <c r="M1889" i="32"/>
  <c r="I1889" i="32"/>
  <c r="H1889" i="32"/>
  <c r="F1889" i="32"/>
  <c r="N1888" i="32"/>
  <c r="P1891" i="32" s="1"/>
  <c r="M1888" i="32"/>
  <c r="H1888" i="32"/>
  <c r="F1888" i="32"/>
  <c r="E1888" i="32"/>
  <c r="N1887" i="32"/>
  <c r="M1887" i="32"/>
  <c r="I1887" i="32"/>
  <c r="H1887" i="32"/>
  <c r="F1887" i="32"/>
  <c r="N1886" i="32"/>
  <c r="M1886" i="32"/>
  <c r="I1886" i="32"/>
  <c r="H1886" i="32"/>
  <c r="F1886" i="32"/>
  <c r="N1885" i="32"/>
  <c r="M1885" i="32"/>
  <c r="I1885" i="32"/>
  <c r="H1885" i="32"/>
  <c r="F1885" i="32"/>
  <c r="N1884" i="32"/>
  <c r="P1886" i="32" s="1"/>
  <c r="M1884" i="32"/>
  <c r="H1884" i="32"/>
  <c r="F1884" i="32"/>
  <c r="E1884" i="32"/>
  <c r="N1883" i="32"/>
  <c r="M1883" i="32"/>
  <c r="I1883" i="32"/>
  <c r="H1883" i="32"/>
  <c r="F1883" i="32"/>
  <c r="N1882" i="32"/>
  <c r="M1882" i="32"/>
  <c r="I1882" i="32"/>
  <c r="H1882" i="32"/>
  <c r="F1882" i="32"/>
  <c r="N1881" i="32"/>
  <c r="M1881" i="32"/>
  <c r="I1881" i="32"/>
  <c r="H1881" i="32"/>
  <c r="F1881" i="32"/>
  <c r="N1880" i="32"/>
  <c r="P1881" i="32" s="1"/>
  <c r="M1880" i="32"/>
  <c r="H1880" i="32"/>
  <c r="F1880" i="32"/>
  <c r="E1880" i="32"/>
  <c r="N1879" i="32"/>
  <c r="M1879" i="32"/>
  <c r="I1879" i="32"/>
  <c r="H1879" i="32"/>
  <c r="F1879" i="32"/>
  <c r="N1878" i="32"/>
  <c r="M1878" i="32"/>
  <c r="I1878" i="32"/>
  <c r="H1878" i="32"/>
  <c r="F1878" i="32"/>
  <c r="N1877" i="32"/>
  <c r="M1877" i="32"/>
  <c r="I1877" i="32"/>
  <c r="H1877" i="32"/>
  <c r="F1877" i="32"/>
  <c r="N1876" i="32"/>
  <c r="P1878" i="32" s="1"/>
  <c r="M1876" i="32"/>
  <c r="H1876" i="32"/>
  <c r="F1876" i="32"/>
  <c r="E1876" i="32"/>
  <c r="N1875" i="32"/>
  <c r="M1875" i="32"/>
  <c r="I1875" i="32"/>
  <c r="H1875" i="32"/>
  <c r="F1875" i="32"/>
  <c r="N1874" i="32"/>
  <c r="M1874" i="32"/>
  <c r="I1874" i="32"/>
  <c r="H1874" i="32"/>
  <c r="F1874" i="32"/>
  <c r="N1873" i="32"/>
  <c r="M1873" i="32"/>
  <c r="I1873" i="32"/>
  <c r="H1873" i="32"/>
  <c r="F1873" i="32"/>
  <c r="N1872" i="32"/>
  <c r="M1872" i="32"/>
  <c r="H1872" i="32"/>
  <c r="F1872" i="32"/>
  <c r="E1872" i="32"/>
  <c r="N1871" i="32"/>
  <c r="M1871" i="32"/>
  <c r="I1871" i="32"/>
  <c r="H1871" i="32"/>
  <c r="F1871" i="32"/>
  <c r="N1870" i="32"/>
  <c r="M1870" i="32"/>
  <c r="I1870" i="32"/>
  <c r="H1870" i="32"/>
  <c r="F1870" i="32"/>
  <c r="N1869" i="32"/>
  <c r="M1869" i="32"/>
  <c r="I1869" i="32"/>
  <c r="H1869" i="32"/>
  <c r="F1869" i="32"/>
  <c r="N1868" i="32"/>
  <c r="M1868" i="32"/>
  <c r="H1868" i="32"/>
  <c r="F1868" i="32"/>
  <c r="E1868" i="32"/>
  <c r="N1867" i="32"/>
  <c r="M1867" i="32"/>
  <c r="I1867" i="32"/>
  <c r="H1867" i="32"/>
  <c r="F1867" i="32"/>
  <c r="N1866" i="32"/>
  <c r="M1866" i="32"/>
  <c r="I1866" i="32"/>
  <c r="H1866" i="32"/>
  <c r="F1866" i="32"/>
  <c r="N1865" i="32"/>
  <c r="M1865" i="32"/>
  <c r="I1865" i="32"/>
  <c r="H1865" i="32"/>
  <c r="F1865" i="32"/>
  <c r="N1864" i="32"/>
  <c r="Q1864" i="32" s="1"/>
  <c r="M1864" i="32"/>
  <c r="H1864" i="32"/>
  <c r="F1864" i="32"/>
  <c r="E1864" i="32"/>
  <c r="N1863" i="32"/>
  <c r="M1863" i="32"/>
  <c r="I1863" i="32"/>
  <c r="H1863" i="32"/>
  <c r="F1863" i="32"/>
  <c r="N1862" i="32"/>
  <c r="M1862" i="32"/>
  <c r="I1862" i="32"/>
  <c r="H1862" i="32"/>
  <c r="F1862" i="32"/>
  <c r="N1861" i="32"/>
  <c r="M1861" i="32"/>
  <c r="I1861" i="32"/>
  <c r="H1861" i="32"/>
  <c r="F1861" i="32"/>
  <c r="N1860" i="32"/>
  <c r="P1862" i="32" s="1"/>
  <c r="M1860" i="32"/>
  <c r="H1860" i="32"/>
  <c r="F1860" i="32"/>
  <c r="E1860" i="32"/>
  <c r="N1859" i="32"/>
  <c r="M1859" i="32"/>
  <c r="I1859" i="32"/>
  <c r="H1859" i="32"/>
  <c r="F1859" i="32"/>
  <c r="N1858" i="32"/>
  <c r="M1858" i="32"/>
  <c r="I1858" i="32"/>
  <c r="H1858" i="32"/>
  <c r="F1858" i="32"/>
  <c r="N1857" i="32"/>
  <c r="M1857" i="32"/>
  <c r="I1857" i="32"/>
  <c r="H1857" i="32"/>
  <c r="F1857" i="32"/>
  <c r="N1856" i="32"/>
  <c r="M1856" i="32"/>
  <c r="H1856" i="32"/>
  <c r="F1856" i="32"/>
  <c r="E1856" i="32"/>
  <c r="N1855" i="32"/>
  <c r="M1855" i="32"/>
  <c r="I1855" i="32"/>
  <c r="H1855" i="32"/>
  <c r="F1855" i="32"/>
  <c r="N1854" i="32"/>
  <c r="M1854" i="32"/>
  <c r="I1854" i="32"/>
  <c r="H1854" i="32"/>
  <c r="F1854" i="32"/>
  <c r="N1853" i="32"/>
  <c r="M1853" i="32"/>
  <c r="I1853" i="32"/>
  <c r="H1853" i="32"/>
  <c r="F1853" i="32"/>
  <c r="N1852" i="32"/>
  <c r="M1852" i="32"/>
  <c r="H1852" i="32"/>
  <c r="F1852" i="32"/>
  <c r="E1852" i="32"/>
  <c r="N1851" i="32"/>
  <c r="M1851" i="32"/>
  <c r="I1851" i="32"/>
  <c r="H1851" i="32"/>
  <c r="F1851" i="32"/>
  <c r="N1850" i="32"/>
  <c r="M1850" i="32"/>
  <c r="I1850" i="32"/>
  <c r="H1850" i="32"/>
  <c r="F1850" i="32"/>
  <c r="N1849" i="32"/>
  <c r="M1849" i="32"/>
  <c r="I1849" i="32"/>
  <c r="H1849" i="32"/>
  <c r="F1849" i="32"/>
  <c r="N1848" i="32"/>
  <c r="M1848" i="32"/>
  <c r="H1848" i="32"/>
  <c r="F1848" i="32"/>
  <c r="E1848" i="32"/>
  <c r="N1847" i="32"/>
  <c r="M1847" i="32"/>
  <c r="I1847" i="32"/>
  <c r="H1847" i="32"/>
  <c r="F1847" i="32"/>
  <c r="N1846" i="32"/>
  <c r="M1846" i="32"/>
  <c r="I1846" i="32"/>
  <c r="H1846" i="32"/>
  <c r="F1846" i="32"/>
  <c r="N1845" i="32"/>
  <c r="M1845" i="32"/>
  <c r="I1845" i="32"/>
  <c r="H1845" i="32"/>
  <c r="F1845" i="32"/>
  <c r="N1844" i="32"/>
  <c r="M1844" i="32"/>
  <c r="H1844" i="32"/>
  <c r="F1844" i="32"/>
  <c r="E1844" i="32"/>
  <c r="N1843" i="32"/>
  <c r="M1843" i="32"/>
  <c r="I1843" i="32"/>
  <c r="H1843" i="32"/>
  <c r="F1843" i="32"/>
  <c r="N1842" i="32"/>
  <c r="M1842" i="32"/>
  <c r="I1842" i="32"/>
  <c r="H1842" i="32"/>
  <c r="F1842" i="32"/>
  <c r="N1841" i="32"/>
  <c r="M1841" i="32"/>
  <c r="I1841" i="32"/>
  <c r="H1841" i="32"/>
  <c r="F1841" i="32"/>
  <c r="N1840" i="32"/>
  <c r="M1840" i="32"/>
  <c r="I1840" i="32"/>
  <c r="H1840" i="32"/>
  <c r="F1840" i="32"/>
  <c r="N1839" i="32"/>
  <c r="Q1839" i="32" s="1"/>
  <c r="M1839" i="32"/>
  <c r="H1839" i="32"/>
  <c r="F1839" i="32"/>
  <c r="E1839" i="32"/>
  <c r="N1838" i="32"/>
  <c r="M1838" i="32"/>
  <c r="I1838" i="32"/>
  <c r="H1838" i="32"/>
  <c r="F1838" i="32"/>
  <c r="N1837" i="32"/>
  <c r="M1837" i="32"/>
  <c r="I1837" i="32"/>
  <c r="H1837" i="32"/>
  <c r="F1837" i="32"/>
  <c r="N1836" i="32"/>
  <c r="M1836" i="32"/>
  <c r="I1836" i="32"/>
  <c r="H1836" i="32"/>
  <c r="F1836" i="32"/>
  <c r="N1835" i="32"/>
  <c r="P1837" i="32" s="1"/>
  <c r="M1835" i="32"/>
  <c r="H1835" i="32"/>
  <c r="F1835" i="32"/>
  <c r="E1835" i="32"/>
  <c r="N1834" i="32"/>
  <c r="M1834" i="32"/>
  <c r="I1834" i="32"/>
  <c r="H1834" i="32"/>
  <c r="F1834" i="32"/>
  <c r="N1833" i="32"/>
  <c r="M1833" i="32"/>
  <c r="I1833" i="32"/>
  <c r="H1833" i="32"/>
  <c r="F1833" i="32"/>
  <c r="N1832" i="32"/>
  <c r="M1832" i="32"/>
  <c r="I1832" i="32"/>
  <c r="H1832" i="32"/>
  <c r="F1832" i="32"/>
  <c r="N1831" i="32"/>
  <c r="M1831" i="32"/>
  <c r="H1831" i="32"/>
  <c r="F1831" i="32"/>
  <c r="E1831" i="32"/>
  <c r="N1830" i="32"/>
  <c r="M1830" i="32"/>
  <c r="I1830" i="32"/>
  <c r="H1830" i="32"/>
  <c r="F1830" i="32"/>
  <c r="N1829" i="32"/>
  <c r="M1829" i="32"/>
  <c r="I1829" i="32"/>
  <c r="H1829" i="32"/>
  <c r="F1829" i="32"/>
  <c r="N1828" i="32"/>
  <c r="M1828" i="32"/>
  <c r="I1828" i="32"/>
  <c r="H1828" i="32"/>
  <c r="F1828" i="32"/>
  <c r="N1827" i="32"/>
  <c r="P1828" i="32" s="1"/>
  <c r="M1827" i="32"/>
  <c r="H1827" i="32"/>
  <c r="F1827" i="32"/>
  <c r="E1827" i="32"/>
  <c r="N1826" i="32"/>
  <c r="M1826" i="32"/>
  <c r="I1826" i="32"/>
  <c r="H1826" i="32"/>
  <c r="F1826" i="32"/>
  <c r="N1825" i="32"/>
  <c r="M1825" i="32"/>
  <c r="I1825" i="32"/>
  <c r="H1825" i="32"/>
  <c r="F1825" i="32"/>
  <c r="N1824" i="32"/>
  <c r="M1824" i="32"/>
  <c r="I1824" i="32"/>
  <c r="H1824" i="32"/>
  <c r="F1824" i="32"/>
  <c r="N1823" i="32"/>
  <c r="Q1823" i="32" s="1"/>
  <c r="M1823" i="32"/>
  <c r="H1823" i="32"/>
  <c r="F1823" i="32"/>
  <c r="E1823" i="32"/>
  <c r="N1822" i="32"/>
  <c r="M1822" i="32"/>
  <c r="I1822" i="32"/>
  <c r="H1822" i="32"/>
  <c r="F1822" i="32"/>
  <c r="N1821" i="32"/>
  <c r="M1821" i="32"/>
  <c r="I1821" i="32"/>
  <c r="H1821" i="32"/>
  <c r="F1821" i="32"/>
  <c r="N1820" i="32"/>
  <c r="M1820" i="32"/>
  <c r="I1820" i="32"/>
  <c r="H1820" i="32"/>
  <c r="F1820" i="32"/>
  <c r="N1819" i="32"/>
  <c r="P1821" i="32" s="1"/>
  <c r="M1819" i="32"/>
  <c r="H1819" i="32"/>
  <c r="F1819" i="32"/>
  <c r="E1819" i="32"/>
  <c r="N1818" i="32"/>
  <c r="M1818" i="32"/>
  <c r="I1818" i="32"/>
  <c r="H1818" i="32"/>
  <c r="F1818" i="32"/>
  <c r="N1817" i="32"/>
  <c r="M1817" i="32"/>
  <c r="I1817" i="32"/>
  <c r="H1817" i="32"/>
  <c r="F1817" i="32"/>
  <c r="N1816" i="32"/>
  <c r="M1816" i="32"/>
  <c r="I1816" i="32"/>
  <c r="H1816" i="32"/>
  <c r="F1816" i="32"/>
  <c r="N1815" i="32"/>
  <c r="S1815" i="32" s="1"/>
  <c r="M1815" i="32"/>
  <c r="H1815" i="32"/>
  <c r="F1815" i="32"/>
  <c r="E1815" i="32"/>
  <c r="N1814" i="32"/>
  <c r="M1814" i="32"/>
  <c r="I1814" i="32"/>
  <c r="H1814" i="32"/>
  <c r="F1814" i="32"/>
  <c r="N1813" i="32"/>
  <c r="M1813" i="32"/>
  <c r="I1813" i="32"/>
  <c r="H1813" i="32"/>
  <c r="F1813" i="32"/>
  <c r="N1812" i="32"/>
  <c r="M1812" i="32"/>
  <c r="I1812" i="32"/>
  <c r="H1812" i="32"/>
  <c r="F1812" i="32"/>
  <c r="N1811" i="32"/>
  <c r="Q1811" i="32" s="1"/>
  <c r="M1811" i="32"/>
  <c r="H1811" i="32"/>
  <c r="F1811" i="32"/>
  <c r="E1811" i="32"/>
  <c r="N1810" i="32"/>
  <c r="M1810" i="32"/>
  <c r="I1810" i="32"/>
  <c r="H1810" i="32"/>
  <c r="F1810" i="32"/>
  <c r="N1809" i="32"/>
  <c r="M1809" i="32"/>
  <c r="I1809" i="32"/>
  <c r="H1809" i="32"/>
  <c r="F1809" i="32"/>
  <c r="N1808" i="32"/>
  <c r="M1808" i="32"/>
  <c r="I1808" i="32"/>
  <c r="H1808" i="32"/>
  <c r="F1808" i="32"/>
  <c r="N1807" i="32"/>
  <c r="P1810" i="32" s="1"/>
  <c r="M1807" i="32"/>
  <c r="H1807" i="32"/>
  <c r="F1807" i="32"/>
  <c r="E1807" i="32"/>
  <c r="N1806" i="32"/>
  <c r="M1806" i="32"/>
  <c r="I1806" i="32"/>
  <c r="H1806" i="32"/>
  <c r="F1806" i="32"/>
  <c r="N1805" i="32"/>
  <c r="M1805" i="32"/>
  <c r="I1805" i="32"/>
  <c r="H1805" i="32"/>
  <c r="F1805" i="32"/>
  <c r="N1804" i="32"/>
  <c r="M1804" i="32"/>
  <c r="I1804" i="32"/>
  <c r="H1804" i="32"/>
  <c r="F1804" i="32"/>
  <c r="N1803" i="32"/>
  <c r="P1805" i="32" s="1"/>
  <c r="M1803" i="32"/>
  <c r="H1803" i="32"/>
  <c r="F1803" i="32"/>
  <c r="E1803" i="32"/>
  <c r="N1802" i="32"/>
  <c r="M1802" i="32"/>
  <c r="I1802" i="32"/>
  <c r="H1802" i="32"/>
  <c r="F1802" i="32"/>
  <c r="N1801" i="32"/>
  <c r="M1801" i="32"/>
  <c r="I1801" i="32"/>
  <c r="H1801" i="32"/>
  <c r="F1801" i="32"/>
  <c r="N1800" i="32"/>
  <c r="M1800" i="32"/>
  <c r="I1800" i="32"/>
  <c r="H1800" i="32"/>
  <c r="F1800" i="32"/>
  <c r="N1799" i="32"/>
  <c r="M1799" i="32"/>
  <c r="H1799" i="32"/>
  <c r="F1799" i="32"/>
  <c r="E1799" i="32"/>
  <c r="N1798" i="32"/>
  <c r="M1798" i="32"/>
  <c r="I1798" i="32"/>
  <c r="H1798" i="32"/>
  <c r="F1798" i="32"/>
  <c r="N1797" i="32"/>
  <c r="M1797" i="32"/>
  <c r="I1797" i="32"/>
  <c r="H1797" i="32"/>
  <c r="F1797" i="32"/>
  <c r="N1796" i="32"/>
  <c r="M1796" i="32"/>
  <c r="I1796" i="32"/>
  <c r="H1796" i="32"/>
  <c r="F1796" i="32"/>
  <c r="N1795" i="32"/>
  <c r="P1796" i="32" s="1"/>
  <c r="M1795" i="32"/>
  <c r="H1795" i="32"/>
  <c r="F1795" i="32"/>
  <c r="E1795" i="32"/>
  <c r="N1794" i="32"/>
  <c r="M1794" i="32"/>
  <c r="I1794" i="32"/>
  <c r="H1794" i="32"/>
  <c r="F1794" i="32"/>
  <c r="N1793" i="32"/>
  <c r="M1793" i="32"/>
  <c r="I1793" i="32"/>
  <c r="H1793" i="32"/>
  <c r="F1793" i="32"/>
  <c r="N1792" i="32"/>
  <c r="M1792" i="32"/>
  <c r="I1792" i="32"/>
  <c r="H1792" i="32"/>
  <c r="F1792" i="32"/>
  <c r="N1791" i="32"/>
  <c r="Q1791" i="32" s="1"/>
  <c r="M1791" i="32"/>
  <c r="H1791" i="32"/>
  <c r="F1791" i="32"/>
  <c r="E1791" i="32"/>
  <c r="N1790" i="32"/>
  <c r="M1790" i="32"/>
  <c r="I1790" i="32"/>
  <c r="H1790" i="32"/>
  <c r="F1790" i="32"/>
  <c r="N1789" i="32"/>
  <c r="M1789" i="32"/>
  <c r="I1789" i="32"/>
  <c r="H1789" i="32"/>
  <c r="F1789" i="32"/>
  <c r="N1788" i="32"/>
  <c r="P1789" i="32" s="1"/>
  <c r="M1788" i="32"/>
  <c r="H1788" i="32"/>
  <c r="F1788" i="32"/>
  <c r="E1788" i="32"/>
  <c r="N1787" i="32"/>
  <c r="M1787" i="32"/>
  <c r="I1787" i="32"/>
  <c r="H1787" i="32"/>
  <c r="F1787" i="32"/>
  <c r="N1786" i="32"/>
  <c r="M1786" i="32"/>
  <c r="I1786" i="32"/>
  <c r="H1786" i="32"/>
  <c r="F1786" i="32"/>
  <c r="N1785" i="32"/>
  <c r="P1787" i="32" s="1"/>
  <c r="M1785" i="32"/>
  <c r="H1785" i="32"/>
  <c r="F1785" i="32"/>
  <c r="E1785" i="32"/>
  <c r="N1784" i="32"/>
  <c r="M1784" i="32"/>
  <c r="I1784" i="32"/>
  <c r="H1784" i="32"/>
  <c r="F1784" i="32"/>
  <c r="N1783" i="32"/>
  <c r="M1783" i="32"/>
  <c r="I1783" i="32"/>
  <c r="H1783" i="32"/>
  <c r="F1783" i="32"/>
  <c r="N1782" i="32"/>
  <c r="P1784" i="32" s="1"/>
  <c r="M1782" i="32"/>
  <c r="H1782" i="32"/>
  <c r="F1782" i="32"/>
  <c r="E1782" i="32"/>
  <c r="N1781" i="32"/>
  <c r="Q1781" i="32" s="1"/>
  <c r="M1781" i="32"/>
  <c r="H1781" i="32"/>
  <c r="F1781" i="32"/>
  <c r="E1781" i="32"/>
  <c r="N1780" i="32"/>
  <c r="R1780" i="32" s="1"/>
  <c r="M1780" i="32"/>
  <c r="H1780" i="32"/>
  <c r="F1780" i="32"/>
  <c r="E1780" i="32"/>
  <c r="N1779" i="32"/>
  <c r="M1779" i="32"/>
  <c r="I1779" i="32"/>
  <c r="H1779" i="32"/>
  <c r="F1779" i="32"/>
  <c r="N1778" i="32"/>
  <c r="M1778" i="32"/>
  <c r="I1778" i="32"/>
  <c r="H1778" i="32"/>
  <c r="F1778" i="32"/>
  <c r="N1777" i="32"/>
  <c r="M1777" i="32"/>
  <c r="I1777" i="32"/>
  <c r="H1777" i="32"/>
  <c r="F1777" i="32"/>
  <c r="N1776" i="32"/>
  <c r="M1776" i="32"/>
  <c r="H1776" i="32"/>
  <c r="F1776" i="32"/>
  <c r="E1776" i="32"/>
  <c r="N1775" i="32"/>
  <c r="M1775" i="32"/>
  <c r="H1775" i="32"/>
  <c r="F1775" i="32"/>
  <c r="N1774" i="32"/>
  <c r="M1774" i="32"/>
  <c r="H1774" i="32"/>
  <c r="F1774" i="32"/>
  <c r="N1773" i="32"/>
  <c r="M1773" i="32"/>
  <c r="H1773" i="32"/>
  <c r="F1773" i="32"/>
  <c r="N1772" i="32"/>
  <c r="S1772" i="32" s="1"/>
  <c r="M1772" i="32"/>
  <c r="H1772" i="32"/>
  <c r="F1772" i="32"/>
  <c r="N1771" i="32"/>
  <c r="M1771" i="32"/>
  <c r="I1771" i="32"/>
  <c r="H1771" i="32"/>
  <c r="F1771" i="32"/>
  <c r="N1770" i="32"/>
  <c r="M1770" i="32"/>
  <c r="I1770" i="32"/>
  <c r="H1770" i="32"/>
  <c r="F1770" i="32"/>
  <c r="N1769" i="32"/>
  <c r="M1769" i="32"/>
  <c r="I1769" i="32"/>
  <c r="H1769" i="32"/>
  <c r="F1769" i="32"/>
  <c r="N1768" i="32"/>
  <c r="M1768" i="32"/>
  <c r="H1768" i="32"/>
  <c r="F1768" i="32"/>
  <c r="E1768" i="32"/>
  <c r="N1767" i="32"/>
  <c r="R1767" i="32" s="1"/>
  <c r="M1767" i="32"/>
  <c r="H1767" i="32"/>
  <c r="F1767" i="32"/>
  <c r="E1767" i="32"/>
  <c r="N1766" i="32"/>
  <c r="M1766" i="32"/>
  <c r="H1766" i="32"/>
  <c r="F1766" i="32"/>
  <c r="E1766" i="32"/>
  <c r="N1765" i="32"/>
  <c r="S1765" i="32" s="1"/>
  <c r="M1765" i="32"/>
  <c r="H1765" i="32"/>
  <c r="F1765" i="32"/>
  <c r="E1765" i="32"/>
  <c r="N1764" i="32"/>
  <c r="M1764" i="32"/>
  <c r="H1764" i="32"/>
  <c r="F1764" i="32"/>
  <c r="E1764" i="32"/>
  <c r="N1763" i="32"/>
  <c r="S1763" i="32" s="1"/>
  <c r="M1763" i="32"/>
  <c r="H1763" i="32"/>
  <c r="F1763" i="32"/>
  <c r="E1763" i="32"/>
  <c r="N1762" i="32"/>
  <c r="S1762" i="32" s="1"/>
  <c r="M1762" i="32"/>
  <c r="H1762" i="32"/>
  <c r="G1762" i="32"/>
  <c r="F1762" i="32"/>
  <c r="E1762" i="32"/>
  <c r="N1761" i="32"/>
  <c r="S1761" i="32" s="1"/>
  <c r="M1761" i="32"/>
  <c r="H1761" i="32"/>
  <c r="G1761" i="32"/>
  <c r="F1761" i="32"/>
  <c r="E1761" i="32"/>
  <c r="N1760" i="32"/>
  <c r="M1760" i="32"/>
  <c r="H1760" i="32"/>
  <c r="G1760" i="32"/>
  <c r="F1760" i="32"/>
  <c r="E1760" i="32"/>
  <c r="N1759" i="32"/>
  <c r="R1759" i="32" s="1"/>
  <c r="M1759" i="32"/>
  <c r="H1759" i="32"/>
  <c r="G1759" i="32"/>
  <c r="F1759" i="32"/>
  <c r="E1759" i="32"/>
  <c r="H1758" i="32"/>
  <c r="G1758" i="32"/>
  <c r="F1758" i="32"/>
  <c r="E1758" i="32"/>
  <c r="N1757" i="32"/>
  <c r="M1757" i="32"/>
  <c r="I1757" i="32"/>
  <c r="H1757" i="32"/>
  <c r="F1757" i="32"/>
  <c r="N1756" i="32"/>
  <c r="M1756" i="32"/>
  <c r="I1756" i="32"/>
  <c r="H1756" i="32"/>
  <c r="F1756" i="32"/>
  <c r="N1755" i="32"/>
  <c r="M1755" i="32"/>
  <c r="H1755" i="32"/>
  <c r="F1755" i="32"/>
  <c r="E1755" i="32"/>
  <c r="N1754" i="32"/>
  <c r="M1754" i="32"/>
  <c r="I1754" i="32"/>
  <c r="H1754" i="32"/>
  <c r="F1754" i="32"/>
  <c r="N1753" i="32"/>
  <c r="M1753" i="32"/>
  <c r="I1753" i="32"/>
  <c r="H1753" i="32"/>
  <c r="F1753" i="32"/>
  <c r="N1752" i="32"/>
  <c r="Q1752" i="32" s="1"/>
  <c r="M1752" i="32"/>
  <c r="H1752" i="32"/>
  <c r="F1752" i="32"/>
  <c r="E1752" i="32"/>
  <c r="N1751" i="32"/>
  <c r="M1751" i="32"/>
  <c r="I1751" i="32"/>
  <c r="H1751" i="32"/>
  <c r="F1751" i="32"/>
  <c r="N1750" i="32"/>
  <c r="M1750" i="32"/>
  <c r="I1750" i="32"/>
  <c r="H1750" i="32"/>
  <c r="F1750" i="32"/>
  <c r="N1749" i="32"/>
  <c r="R1749" i="32" s="1"/>
  <c r="M1749" i="32"/>
  <c r="H1749" i="32"/>
  <c r="F1749" i="32"/>
  <c r="E1749" i="32"/>
  <c r="N1748" i="32"/>
  <c r="M1748" i="32"/>
  <c r="I1748" i="32"/>
  <c r="H1748" i="32"/>
  <c r="F1748" i="32"/>
  <c r="N1747" i="32"/>
  <c r="M1747" i="32"/>
  <c r="I1747" i="32"/>
  <c r="H1747" i="32"/>
  <c r="F1747" i="32"/>
  <c r="N1746" i="32"/>
  <c r="M1746" i="32"/>
  <c r="H1746" i="32"/>
  <c r="F1746" i="32"/>
  <c r="E1746" i="32"/>
  <c r="N1745" i="32"/>
  <c r="M1745" i="32"/>
  <c r="I1745" i="32"/>
  <c r="H1745" i="32"/>
  <c r="F1745" i="32"/>
  <c r="N1744" i="32"/>
  <c r="M1744" i="32"/>
  <c r="I1744" i="32"/>
  <c r="H1744" i="32"/>
  <c r="F1744" i="32"/>
  <c r="N1743" i="32"/>
  <c r="P1745" i="32" s="1"/>
  <c r="M1743" i="32"/>
  <c r="H1743" i="32"/>
  <c r="F1743" i="32"/>
  <c r="E1743" i="32"/>
  <c r="N1742" i="32"/>
  <c r="M1742" i="32"/>
  <c r="J1742" i="32"/>
  <c r="I1742" i="32"/>
  <c r="H1742" i="32"/>
  <c r="F1742" i="32"/>
  <c r="N1741" i="32"/>
  <c r="M1741" i="32"/>
  <c r="J1741" i="32"/>
  <c r="I1741" i="32"/>
  <c r="H1741" i="32"/>
  <c r="F1741" i="32"/>
  <c r="N1740" i="32"/>
  <c r="M1740" i="32"/>
  <c r="H1740" i="32"/>
  <c r="F1740" i="32"/>
  <c r="E1740" i="32"/>
  <c r="N1739" i="32"/>
  <c r="M1739" i="32"/>
  <c r="J1739" i="32"/>
  <c r="I1739" i="32"/>
  <c r="H1739" i="32"/>
  <c r="F1739" i="32"/>
  <c r="N1738" i="32"/>
  <c r="M1738" i="32"/>
  <c r="J1738" i="32"/>
  <c r="I1738" i="32"/>
  <c r="H1738" i="32"/>
  <c r="F1738" i="32"/>
  <c r="N1737" i="32"/>
  <c r="M1737" i="32"/>
  <c r="H1737" i="32"/>
  <c r="F1737" i="32"/>
  <c r="E1737" i="32"/>
  <c r="N1736" i="32"/>
  <c r="S1736" i="32" s="1"/>
  <c r="M1736" i="32"/>
  <c r="H1736" i="32"/>
  <c r="F1736" i="32"/>
  <c r="E1736" i="32"/>
  <c r="N1735" i="32"/>
  <c r="M1735" i="32"/>
  <c r="H1735" i="32"/>
  <c r="F1735" i="32"/>
  <c r="E1735" i="32"/>
  <c r="N1734" i="32"/>
  <c r="M1734" i="32"/>
  <c r="H1734" i="32"/>
  <c r="F1734" i="32"/>
  <c r="E1734" i="32"/>
  <c r="N1733" i="32"/>
  <c r="R1733" i="32" s="1"/>
  <c r="M1733" i="32"/>
  <c r="H1733" i="32"/>
  <c r="F1733" i="32"/>
  <c r="E1733" i="32"/>
  <c r="N1732" i="32"/>
  <c r="S1732" i="32" s="1"/>
  <c r="M1732" i="32"/>
  <c r="H1732" i="32"/>
  <c r="F1732" i="32"/>
  <c r="E1732" i="32"/>
  <c r="N1731" i="32"/>
  <c r="M1731" i="32"/>
  <c r="H1731" i="32"/>
  <c r="F1731" i="32"/>
  <c r="E1731" i="32"/>
  <c r="N1730" i="32"/>
  <c r="M1730" i="32"/>
  <c r="H1730" i="32"/>
  <c r="F1730" i="32"/>
  <c r="E1730" i="32"/>
  <c r="N1729" i="32"/>
  <c r="M1729" i="32"/>
  <c r="H1729" i="32"/>
  <c r="F1729" i="32"/>
  <c r="E1729" i="32"/>
  <c r="N1728" i="32"/>
  <c r="S1728" i="32" s="1"/>
  <c r="M1728" i="32"/>
  <c r="H1728" i="32"/>
  <c r="F1728" i="32"/>
  <c r="E1728" i="32"/>
  <c r="N1727" i="32"/>
  <c r="Q1727" i="32" s="1"/>
  <c r="M1727" i="32"/>
  <c r="H1727" i="32"/>
  <c r="F1727" i="32"/>
  <c r="E1727" i="32"/>
  <c r="N1726" i="32"/>
  <c r="M1726" i="32"/>
  <c r="H1726" i="32"/>
  <c r="F1726" i="32"/>
  <c r="E1726" i="32"/>
  <c r="N1725" i="32"/>
  <c r="R1725" i="32" s="1"/>
  <c r="M1725" i="32"/>
  <c r="H1725" i="32"/>
  <c r="F1725" i="32"/>
  <c r="E1725" i="32"/>
  <c r="N1724" i="32"/>
  <c r="M1724" i="32"/>
  <c r="H1724" i="32"/>
  <c r="F1724" i="32"/>
  <c r="E1724" i="32"/>
  <c r="N1723" i="32"/>
  <c r="S1723" i="32" s="1"/>
  <c r="M1723" i="32"/>
  <c r="H1723" i="32"/>
  <c r="F1723" i="32"/>
  <c r="E1723" i="32"/>
  <c r="N1722" i="32"/>
  <c r="Q1722" i="32" s="1"/>
  <c r="M1722" i="32"/>
  <c r="H1722" i="32"/>
  <c r="F1722" i="32"/>
  <c r="E1722" i="32"/>
  <c r="N1721" i="32"/>
  <c r="S1721" i="32" s="1"/>
  <c r="M1721" i="32"/>
  <c r="H1721" i="32"/>
  <c r="F1721" i="32"/>
  <c r="E1721" i="32"/>
  <c r="N1720" i="32"/>
  <c r="M1720" i="32"/>
  <c r="J1720" i="32"/>
  <c r="I1720" i="32"/>
  <c r="H1720" i="32"/>
  <c r="E1720" i="32"/>
  <c r="N1719" i="32"/>
  <c r="S1719" i="32" s="1"/>
  <c r="M1719" i="32"/>
  <c r="K1719" i="32"/>
  <c r="H1719" i="32"/>
  <c r="G1719" i="32"/>
  <c r="F1719" i="32"/>
  <c r="E1719" i="32"/>
  <c r="D1719" i="32"/>
  <c r="C1719" i="32"/>
  <c r="B1719" i="32"/>
  <c r="N1718" i="32"/>
  <c r="R1718" i="32" s="1"/>
  <c r="M1718" i="32"/>
  <c r="K1718" i="32"/>
  <c r="H1718" i="32"/>
  <c r="G1718" i="32"/>
  <c r="F1718" i="32"/>
  <c r="E1718" i="32"/>
  <c r="D1718" i="32"/>
  <c r="C1718" i="32"/>
  <c r="B1718" i="32"/>
  <c r="N1717" i="32"/>
  <c r="M1717" i="32"/>
  <c r="K1717" i="32"/>
  <c r="H1717" i="32"/>
  <c r="G1717" i="32"/>
  <c r="F1717" i="32"/>
  <c r="E1717" i="32"/>
  <c r="D1717" i="32"/>
  <c r="C1717" i="32"/>
  <c r="B1717" i="32"/>
  <c r="N1716" i="32"/>
  <c r="M1716" i="32"/>
  <c r="K1716" i="32"/>
  <c r="H1716" i="32"/>
  <c r="G1716" i="32"/>
  <c r="F1716" i="32"/>
  <c r="E1716" i="32"/>
  <c r="D1716" i="32"/>
  <c r="C1716" i="32"/>
  <c r="B1716" i="32"/>
  <c r="N1715" i="32"/>
  <c r="S1715" i="32" s="1"/>
  <c r="M1715" i="32"/>
  <c r="K1715" i="32"/>
  <c r="H1715" i="32"/>
  <c r="G1715" i="32"/>
  <c r="F1715" i="32"/>
  <c r="E1715" i="32"/>
  <c r="D1715" i="32"/>
  <c r="C1715" i="32"/>
  <c r="B1715" i="32"/>
  <c r="N1714" i="32"/>
  <c r="M1714" i="32"/>
  <c r="K1714" i="32"/>
  <c r="H1714" i="32"/>
  <c r="G1714" i="32"/>
  <c r="F1714" i="32"/>
  <c r="E1714" i="32"/>
  <c r="D1714" i="32"/>
  <c r="C1714" i="32"/>
  <c r="B1714" i="32"/>
  <c r="N1713" i="32"/>
  <c r="S1713" i="32" s="1"/>
  <c r="M1713" i="32"/>
  <c r="K1713" i="32"/>
  <c r="H1713" i="32"/>
  <c r="G1713" i="32"/>
  <c r="F1713" i="32"/>
  <c r="E1713" i="32"/>
  <c r="D1713" i="32"/>
  <c r="C1713" i="32"/>
  <c r="B1713" i="32"/>
  <c r="N1712" i="32"/>
  <c r="S1712" i="32" s="1"/>
  <c r="M1712" i="32"/>
  <c r="K1712" i="32"/>
  <c r="H1712" i="32"/>
  <c r="G1712" i="32"/>
  <c r="F1712" i="32"/>
  <c r="E1712" i="32"/>
  <c r="D1712" i="32"/>
  <c r="C1712" i="32"/>
  <c r="B1712" i="32"/>
  <c r="N1711" i="32"/>
  <c r="S1711" i="32" s="1"/>
  <c r="M1711" i="32"/>
  <c r="K1711" i="32"/>
  <c r="H1711" i="32"/>
  <c r="G1711" i="32"/>
  <c r="F1711" i="32"/>
  <c r="E1711" i="32"/>
  <c r="D1711" i="32"/>
  <c r="C1711" i="32"/>
  <c r="B1711" i="32"/>
  <c r="N1710" i="32"/>
  <c r="M1710" i="32"/>
  <c r="K1710" i="32"/>
  <c r="H1710" i="32"/>
  <c r="G1710" i="32"/>
  <c r="F1710" i="32"/>
  <c r="E1710" i="32"/>
  <c r="D1710" i="32"/>
  <c r="C1710" i="32"/>
  <c r="B1710" i="32"/>
  <c r="N1709" i="32"/>
  <c r="R1709" i="32" s="1"/>
  <c r="M1709" i="32"/>
  <c r="K1709" i="32"/>
  <c r="H1709" i="32"/>
  <c r="G1709" i="32"/>
  <c r="F1709" i="32"/>
  <c r="E1709" i="32"/>
  <c r="D1709" i="32"/>
  <c r="C1709" i="32"/>
  <c r="B1709" i="32"/>
  <c r="N1708" i="32"/>
  <c r="M1708" i="32"/>
  <c r="K1708" i="32"/>
  <c r="H1708" i="32"/>
  <c r="G1708" i="32"/>
  <c r="F1708" i="32"/>
  <c r="E1708" i="32"/>
  <c r="D1708" i="32"/>
  <c r="C1708" i="32"/>
  <c r="B1708" i="32"/>
  <c r="N1707" i="32"/>
  <c r="M1707" i="32"/>
  <c r="K1707" i="32"/>
  <c r="H1707" i="32"/>
  <c r="G1707" i="32"/>
  <c r="F1707" i="32"/>
  <c r="E1707" i="32"/>
  <c r="D1707" i="32"/>
  <c r="C1707" i="32"/>
  <c r="B1707" i="32"/>
  <c r="N1706" i="32"/>
  <c r="M1706" i="32"/>
  <c r="K1706" i="32"/>
  <c r="H1706" i="32"/>
  <c r="G1706" i="32"/>
  <c r="F1706" i="32"/>
  <c r="E1706" i="32"/>
  <c r="D1706" i="32"/>
  <c r="C1706" i="32"/>
  <c r="B1706" i="32"/>
  <c r="N1705" i="32"/>
  <c r="S1705" i="32" s="1"/>
  <c r="M1705" i="32"/>
  <c r="K1705" i="32"/>
  <c r="H1705" i="32"/>
  <c r="G1705" i="32"/>
  <c r="F1705" i="32"/>
  <c r="E1705" i="32"/>
  <c r="D1705" i="32"/>
  <c r="C1705" i="32"/>
  <c r="B1705" i="32"/>
  <c r="N1704" i="32"/>
  <c r="S1704" i="32" s="1"/>
  <c r="M1704" i="32"/>
  <c r="K1704" i="32"/>
  <c r="H1704" i="32"/>
  <c r="G1704" i="32"/>
  <c r="F1704" i="32"/>
  <c r="E1704" i="32"/>
  <c r="D1704" i="32"/>
  <c r="C1704" i="32"/>
  <c r="B1704" i="32"/>
  <c r="N1703" i="32"/>
  <c r="R1703" i="32" s="1"/>
  <c r="M1703" i="32"/>
  <c r="K1703" i="32"/>
  <c r="H1703" i="32"/>
  <c r="G1703" i="32"/>
  <c r="F1703" i="32"/>
  <c r="E1703" i="32"/>
  <c r="D1703" i="32"/>
  <c r="C1703" i="32"/>
  <c r="B1703" i="32"/>
  <c r="N1702" i="32"/>
  <c r="M1702" i="32"/>
  <c r="K1702" i="32"/>
  <c r="H1702" i="32"/>
  <c r="G1702" i="32"/>
  <c r="F1702" i="32"/>
  <c r="E1702" i="32"/>
  <c r="D1702" i="32"/>
  <c r="C1702" i="32"/>
  <c r="B1702" i="32"/>
  <c r="N1701" i="32"/>
  <c r="R1701" i="32" s="1"/>
  <c r="M1701" i="32"/>
  <c r="K1701" i="32"/>
  <c r="H1701" i="32"/>
  <c r="G1701" i="32"/>
  <c r="F1701" i="32"/>
  <c r="E1701" i="32"/>
  <c r="D1701" i="32"/>
  <c r="C1701" i="32"/>
  <c r="B1701" i="32"/>
  <c r="N1700" i="32"/>
  <c r="S1700" i="32" s="1"/>
  <c r="M1700" i="32"/>
  <c r="K1700" i="32"/>
  <c r="H1700" i="32"/>
  <c r="G1700" i="32"/>
  <c r="F1700" i="32"/>
  <c r="E1700" i="32"/>
  <c r="D1700" i="32"/>
  <c r="C1700" i="32"/>
  <c r="B1700" i="32"/>
  <c r="N1699" i="32"/>
  <c r="S1699" i="32" s="1"/>
  <c r="M1699" i="32"/>
  <c r="K1699" i="32"/>
  <c r="H1699" i="32"/>
  <c r="G1699" i="32"/>
  <c r="F1699" i="32"/>
  <c r="E1699" i="32"/>
  <c r="D1699" i="32"/>
  <c r="C1699" i="32"/>
  <c r="B1699" i="32"/>
  <c r="N1698" i="32"/>
  <c r="M1698" i="32"/>
  <c r="K1698" i="32"/>
  <c r="H1698" i="32"/>
  <c r="G1698" i="32"/>
  <c r="F1698" i="32"/>
  <c r="E1698" i="32"/>
  <c r="D1698" i="32"/>
  <c r="C1698" i="32"/>
  <c r="B1698" i="32"/>
  <c r="N1697" i="32"/>
  <c r="S1697" i="32" s="1"/>
  <c r="M1697" i="32"/>
  <c r="K1697" i="32"/>
  <c r="H1697" i="32"/>
  <c r="G1697" i="32"/>
  <c r="F1697" i="32"/>
  <c r="E1697" i="32"/>
  <c r="D1697" i="32"/>
  <c r="C1697" i="32"/>
  <c r="B1697" i="32"/>
  <c r="N1696" i="32"/>
  <c r="M1696" i="32"/>
  <c r="K1696" i="32"/>
  <c r="H1696" i="32"/>
  <c r="G1696" i="32"/>
  <c r="F1696" i="32"/>
  <c r="E1696" i="32"/>
  <c r="D1696" i="32"/>
  <c r="C1696" i="32"/>
  <c r="B1696" i="32"/>
  <c r="N1695" i="32"/>
  <c r="S1695" i="32" s="1"/>
  <c r="M1695" i="32"/>
  <c r="K1695" i="32"/>
  <c r="H1695" i="32"/>
  <c r="G1695" i="32"/>
  <c r="F1695" i="32"/>
  <c r="E1695" i="32"/>
  <c r="D1695" i="32"/>
  <c r="C1695" i="32"/>
  <c r="B1695" i="32"/>
  <c r="N1694" i="32"/>
  <c r="M1694" i="32"/>
  <c r="K1694" i="32"/>
  <c r="H1694" i="32"/>
  <c r="G1694" i="32"/>
  <c r="F1694" i="32"/>
  <c r="E1694" i="32"/>
  <c r="D1694" i="32"/>
  <c r="C1694" i="32"/>
  <c r="B1694" i="32"/>
  <c r="N1693" i="32"/>
  <c r="R1693" i="32" s="1"/>
  <c r="M1693" i="32"/>
  <c r="K1693" i="32"/>
  <c r="H1693" i="32"/>
  <c r="G1693" i="32"/>
  <c r="F1693" i="32"/>
  <c r="E1693" i="32"/>
  <c r="D1693" i="32"/>
  <c r="C1693" i="32"/>
  <c r="B1693" i="32"/>
  <c r="K1692" i="32"/>
  <c r="H1692" i="32"/>
  <c r="G1692" i="32"/>
  <c r="F1692" i="32"/>
  <c r="E1692" i="32"/>
  <c r="D1692" i="32"/>
  <c r="C1692" i="32"/>
  <c r="B1692" i="32"/>
  <c r="K1691" i="32"/>
  <c r="H1691" i="32"/>
  <c r="G1691" i="32"/>
  <c r="F1691" i="32"/>
  <c r="E1691" i="32"/>
  <c r="D1691" i="32"/>
  <c r="C1691" i="32"/>
  <c r="B1691" i="32"/>
  <c r="K1690" i="32"/>
  <c r="H1690" i="32"/>
  <c r="G1690" i="32"/>
  <c r="F1690" i="32"/>
  <c r="E1690" i="32"/>
  <c r="D1690" i="32"/>
  <c r="C1690" i="32"/>
  <c r="B1690" i="32"/>
  <c r="K1689" i="32"/>
  <c r="H1689" i="32"/>
  <c r="G1689" i="32"/>
  <c r="F1689" i="32"/>
  <c r="E1689" i="32"/>
  <c r="D1689" i="32"/>
  <c r="C1689" i="32"/>
  <c r="B1689" i="32"/>
  <c r="K1688" i="32"/>
  <c r="H1688" i="32"/>
  <c r="G1688" i="32"/>
  <c r="F1688" i="32"/>
  <c r="E1688" i="32"/>
  <c r="D1688" i="32"/>
  <c r="C1688" i="32"/>
  <c r="B1688" i="32"/>
  <c r="N1687" i="32"/>
  <c r="M1687" i="32"/>
  <c r="I1687" i="32"/>
  <c r="H1687" i="32"/>
  <c r="G1687" i="32"/>
  <c r="F1687" i="32"/>
  <c r="E1687" i="32"/>
  <c r="N1686" i="32"/>
  <c r="M1686" i="32"/>
  <c r="H1686" i="32"/>
  <c r="G1686" i="32"/>
  <c r="F1686" i="32"/>
  <c r="E1686" i="32"/>
  <c r="N1685" i="32"/>
  <c r="S1685" i="32" s="1"/>
  <c r="M1685" i="32"/>
  <c r="H1685" i="32"/>
  <c r="G1685" i="32"/>
  <c r="F1685" i="32"/>
  <c r="E1685" i="32"/>
  <c r="N1684" i="32"/>
  <c r="M1684" i="32"/>
  <c r="H1684" i="32"/>
  <c r="G1684" i="32"/>
  <c r="F1684" i="32"/>
  <c r="E1684" i="32"/>
  <c r="N1683" i="32"/>
  <c r="M1683" i="32"/>
  <c r="H1683" i="32"/>
  <c r="F1683" i="32"/>
  <c r="N1682" i="32"/>
  <c r="R1682" i="32" s="1"/>
  <c r="M1682" i="32"/>
  <c r="H1682" i="32"/>
  <c r="G1682" i="32"/>
  <c r="F1682" i="32"/>
  <c r="E1682" i="32"/>
  <c r="N1681" i="32"/>
  <c r="M1681" i="32"/>
  <c r="H1681" i="32"/>
  <c r="G1681" i="32"/>
  <c r="F1681" i="32"/>
  <c r="E1681" i="32"/>
  <c r="N1680" i="32"/>
  <c r="S1680" i="32" s="1"/>
  <c r="M1680" i="32"/>
  <c r="H1680" i="32"/>
  <c r="G1680" i="32"/>
  <c r="F1680" i="32"/>
  <c r="E1680" i="32"/>
  <c r="N1679" i="32"/>
  <c r="S1679" i="32" s="1"/>
  <c r="M1679" i="32"/>
  <c r="H1679" i="32"/>
  <c r="G1679" i="32"/>
  <c r="F1679" i="32"/>
  <c r="E1679" i="32"/>
  <c r="N1678" i="32"/>
  <c r="M1678" i="32"/>
  <c r="H1678" i="32"/>
  <c r="G1678" i="32"/>
  <c r="F1678" i="32"/>
  <c r="E1678" i="32"/>
  <c r="N1677" i="32"/>
  <c r="S1677" i="32" s="1"/>
  <c r="M1677" i="32"/>
  <c r="H1677" i="32"/>
  <c r="G1677" i="32"/>
  <c r="F1677" i="32"/>
  <c r="E1677" i="32"/>
  <c r="N1676" i="32"/>
  <c r="S1676" i="32" s="1"/>
  <c r="M1676" i="32"/>
  <c r="H1676" i="32"/>
  <c r="G1676" i="32"/>
  <c r="F1676" i="32"/>
  <c r="E1676" i="32"/>
  <c r="N1675" i="32"/>
  <c r="M1675" i="32"/>
  <c r="H1675" i="32"/>
  <c r="G1675" i="32"/>
  <c r="F1675" i="32"/>
  <c r="E1675" i="32"/>
  <c r="N1674" i="32"/>
  <c r="R1674" i="32" s="1"/>
  <c r="M1674" i="32"/>
  <c r="H1674" i="32"/>
  <c r="G1674" i="32"/>
  <c r="F1674" i="32"/>
  <c r="E1674" i="32"/>
  <c r="N1673" i="32"/>
  <c r="S1673" i="32" s="1"/>
  <c r="M1673" i="32"/>
  <c r="H1673" i="32"/>
  <c r="F1673" i="32"/>
  <c r="N1672" i="32"/>
  <c r="M1672" i="32"/>
  <c r="H1672" i="32"/>
  <c r="F1672" i="32"/>
  <c r="N1671" i="32"/>
  <c r="M1671" i="32"/>
  <c r="H1671" i="32"/>
  <c r="G1671" i="32"/>
  <c r="F1671" i="32"/>
  <c r="E1671" i="32"/>
  <c r="N1670" i="32"/>
  <c r="S1670" i="32" s="1"/>
  <c r="M1670" i="32"/>
  <c r="H1670" i="32"/>
  <c r="G1670" i="32"/>
  <c r="F1670" i="32"/>
  <c r="E1670" i="32"/>
  <c r="N1669" i="32"/>
  <c r="R1669" i="32" s="1"/>
  <c r="M1669" i="32"/>
  <c r="H1669" i="32"/>
  <c r="G1669" i="32"/>
  <c r="F1669" i="32"/>
  <c r="E1669" i="32"/>
  <c r="N1668" i="32"/>
  <c r="M1668" i="32"/>
  <c r="H1668" i="32"/>
  <c r="G1668" i="32"/>
  <c r="F1668" i="32"/>
  <c r="E1668" i="32"/>
  <c r="N1667" i="32"/>
  <c r="M1667" i="32"/>
  <c r="H1667" i="32"/>
  <c r="G1667" i="32"/>
  <c r="F1667" i="32"/>
  <c r="E1667" i="32"/>
  <c r="N1666" i="32"/>
  <c r="R1666" i="32" s="1"/>
  <c r="M1666" i="32"/>
  <c r="H1666" i="32"/>
  <c r="G1666" i="32"/>
  <c r="F1666" i="32"/>
  <c r="E1666" i="32"/>
  <c r="N1665" i="32"/>
  <c r="M1665" i="32"/>
  <c r="H1665" i="32"/>
  <c r="G1665" i="32"/>
  <c r="F1665" i="32"/>
  <c r="E1665" i="32"/>
  <c r="N1664" i="32"/>
  <c r="S1664" i="32" s="1"/>
  <c r="M1664" i="32"/>
  <c r="H1664" i="32"/>
  <c r="G1664" i="32"/>
  <c r="F1664" i="32"/>
  <c r="E1664" i="32"/>
  <c r="N1663" i="32"/>
  <c r="M1663" i="32"/>
  <c r="H1663" i="32"/>
  <c r="G1663" i="32"/>
  <c r="F1663" i="32"/>
  <c r="E1663" i="32"/>
  <c r="N1662" i="32"/>
  <c r="M1662" i="32"/>
  <c r="H1662" i="32"/>
  <c r="G1662" i="32"/>
  <c r="F1662" i="32"/>
  <c r="E1662" i="32"/>
  <c r="N1661" i="32"/>
  <c r="M1661" i="32"/>
  <c r="J1661" i="32"/>
  <c r="I1661" i="32"/>
  <c r="H1661" i="32"/>
  <c r="F1661" i="32"/>
  <c r="N1660" i="32"/>
  <c r="M1660" i="32"/>
  <c r="J1660" i="32"/>
  <c r="I1660" i="32"/>
  <c r="H1660" i="32"/>
  <c r="F1660" i="32"/>
  <c r="N1659" i="32"/>
  <c r="M1659" i="32"/>
  <c r="J1659" i="32"/>
  <c r="I1659" i="32"/>
  <c r="H1659" i="32"/>
  <c r="F1659" i="32"/>
  <c r="N1658" i="32"/>
  <c r="M1658" i="32"/>
  <c r="H1658" i="32"/>
  <c r="F1658" i="32"/>
  <c r="E1658" i="32"/>
  <c r="N1657" i="32"/>
  <c r="M1657" i="32"/>
  <c r="J1657" i="32"/>
  <c r="I1657" i="32"/>
  <c r="H1657" i="32"/>
  <c r="F1657" i="32"/>
  <c r="N1656" i="32"/>
  <c r="M1656" i="32"/>
  <c r="J1656" i="32"/>
  <c r="I1656" i="32"/>
  <c r="H1656" i="32"/>
  <c r="F1656" i="32"/>
  <c r="N1655" i="32"/>
  <c r="M1655" i="32"/>
  <c r="J1655" i="32"/>
  <c r="I1655" i="32"/>
  <c r="H1655" i="32"/>
  <c r="F1655" i="32"/>
  <c r="N1654" i="32"/>
  <c r="S1654" i="32" s="1"/>
  <c r="M1654" i="32"/>
  <c r="H1654" i="32"/>
  <c r="F1654" i="32"/>
  <c r="E1654" i="32"/>
  <c r="N1653" i="32"/>
  <c r="M1653" i="32"/>
  <c r="J1653" i="32"/>
  <c r="I1653" i="32"/>
  <c r="H1653" i="32"/>
  <c r="F1653" i="32"/>
  <c r="N1652" i="32"/>
  <c r="M1652" i="32"/>
  <c r="J1652" i="32"/>
  <c r="I1652" i="32"/>
  <c r="H1652" i="32"/>
  <c r="F1652" i="32"/>
  <c r="N1651" i="32"/>
  <c r="M1651" i="32"/>
  <c r="J1651" i="32"/>
  <c r="I1651" i="32"/>
  <c r="H1651" i="32"/>
  <c r="F1651" i="32"/>
  <c r="N1650" i="32"/>
  <c r="P1653" i="32" s="1"/>
  <c r="M1650" i="32"/>
  <c r="H1650" i="32"/>
  <c r="F1650" i="32"/>
  <c r="E1650" i="32"/>
  <c r="N1649" i="32"/>
  <c r="M1649" i="32"/>
  <c r="J1649" i="32"/>
  <c r="I1649" i="32"/>
  <c r="H1649" i="32"/>
  <c r="F1649" i="32"/>
  <c r="N1648" i="32"/>
  <c r="M1648" i="32"/>
  <c r="J1648" i="32"/>
  <c r="I1648" i="32"/>
  <c r="H1648" i="32"/>
  <c r="F1648" i="32"/>
  <c r="N1647" i="32"/>
  <c r="M1647" i="32"/>
  <c r="J1647" i="32"/>
  <c r="I1647" i="32"/>
  <c r="H1647" i="32"/>
  <c r="F1647" i="32"/>
  <c r="N1646" i="32"/>
  <c r="P1649" i="32" s="1"/>
  <c r="M1646" i="32"/>
  <c r="H1646" i="32"/>
  <c r="F1646" i="32"/>
  <c r="E1646" i="32"/>
  <c r="N1645" i="32"/>
  <c r="M1645" i="32"/>
  <c r="J1645" i="32"/>
  <c r="I1645" i="32"/>
  <c r="H1645" i="32"/>
  <c r="F1645" i="32"/>
  <c r="N1644" i="32"/>
  <c r="M1644" i="32"/>
  <c r="J1644" i="32"/>
  <c r="I1644" i="32"/>
  <c r="H1644" i="32"/>
  <c r="F1644" i="32"/>
  <c r="N1643" i="32"/>
  <c r="M1643" i="32"/>
  <c r="J1643" i="32"/>
  <c r="I1643" i="32"/>
  <c r="H1643" i="32"/>
  <c r="F1643" i="32"/>
  <c r="N1642" i="32"/>
  <c r="M1642" i="32"/>
  <c r="H1642" i="32"/>
  <c r="F1642" i="32"/>
  <c r="E1642" i="32"/>
  <c r="N1641" i="32"/>
  <c r="S1641" i="32" s="1"/>
  <c r="M1641" i="32"/>
  <c r="H1641" i="32"/>
  <c r="F1641" i="32"/>
  <c r="N1640" i="32"/>
  <c r="M1640" i="32"/>
  <c r="H1640" i="32"/>
  <c r="N1639" i="32"/>
  <c r="M1639" i="32"/>
  <c r="H1639" i="32"/>
  <c r="F1639" i="32"/>
  <c r="N1638" i="32"/>
  <c r="M1638" i="32"/>
  <c r="H1638" i="32"/>
  <c r="F1638" i="32"/>
  <c r="N1637" i="32"/>
  <c r="M1637" i="32"/>
  <c r="J1637" i="32"/>
  <c r="I1637" i="32"/>
  <c r="H1637" i="32"/>
  <c r="F1637" i="32"/>
  <c r="N1636" i="32"/>
  <c r="M1636" i="32"/>
  <c r="J1636" i="32"/>
  <c r="I1636" i="32"/>
  <c r="H1636" i="32"/>
  <c r="F1636" i="32"/>
  <c r="N1635" i="32"/>
  <c r="M1635" i="32"/>
  <c r="J1635" i="32"/>
  <c r="I1635" i="32"/>
  <c r="H1635" i="32"/>
  <c r="F1635" i="32"/>
  <c r="N1634" i="32"/>
  <c r="M1634" i="32"/>
  <c r="H1634" i="32"/>
  <c r="F1634" i="32"/>
  <c r="E1634" i="32"/>
  <c r="N1633" i="32"/>
  <c r="S1633" i="32" s="1"/>
  <c r="M1633" i="32"/>
  <c r="H1633" i="32"/>
  <c r="F1633" i="32"/>
  <c r="N1632" i="32"/>
  <c r="S1632" i="32" s="1"/>
  <c r="M1632" i="32"/>
  <c r="H1632" i="32"/>
  <c r="F1632" i="32"/>
  <c r="N1631" i="32"/>
  <c r="R1631" i="32" s="1"/>
  <c r="M1631" i="32"/>
  <c r="H1631" i="32"/>
  <c r="E1631" i="32"/>
  <c r="N1630" i="32"/>
  <c r="R1630" i="32" s="1"/>
  <c r="M1630" i="32"/>
  <c r="H1630" i="32"/>
  <c r="E1630" i="32"/>
  <c r="N1629" i="32"/>
  <c r="M1629" i="32"/>
  <c r="H1629" i="32"/>
  <c r="G1629" i="32"/>
  <c r="F1629" i="32"/>
  <c r="E1629" i="32"/>
  <c r="N1628" i="32"/>
  <c r="R1628" i="32" s="1"/>
  <c r="M1628" i="32"/>
  <c r="H1628" i="32"/>
  <c r="G1628" i="32"/>
  <c r="F1628" i="32"/>
  <c r="E1628" i="32"/>
  <c r="N1627" i="32"/>
  <c r="R1627" i="32" s="1"/>
  <c r="M1627" i="32"/>
  <c r="H1627" i="32"/>
  <c r="G1627" i="32"/>
  <c r="F1627" i="32"/>
  <c r="E1627" i="32"/>
  <c r="N1626" i="32"/>
  <c r="S1626" i="32" s="1"/>
  <c r="M1626" i="32"/>
  <c r="H1626" i="32"/>
  <c r="F1626" i="32"/>
  <c r="N1625" i="32"/>
  <c r="M1625" i="32"/>
  <c r="J1625" i="32"/>
  <c r="I1625" i="32"/>
  <c r="H1625" i="32"/>
  <c r="E1625" i="32"/>
  <c r="N1624" i="32"/>
  <c r="S1624" i="32" s="1"/>
  <c r="M1624" i="32"/>
  <c r="K1624" i="32"/>
  <c r="H1624" i="32"/>
  <c r="G1624" i="32"/>
  <c r="F1624" i="32"/>
  <c r="E1624" i="32"/>
  <c r="D1624" i="32"/>
  <c r="C1624" i="32"/>
  <c r="B1624" i="32"/>
  <c r="N1623" i="32"/>
  <c r="M1623" i="32"/>
  <c r="K1623" i="32"/>
  <c r="H1623" i="32"/>
  <c r="G1623" i="32"/>
  <c r="F1623" i="32"/>
  <c r="E1623" i="32"/>
  <c r="D1623" i="32"/>
  <c r="C1623" i="32"/>
  <c r="B1623" i="32"/>
  <c r="N1622" i="32"/>
  <c r="M1622" i="32"/>
  <c r="K1622" i="32"/>
  <c r="H1622" i="32"/>
  <c r="G1622" i="32"/>
  <c r="F1622" i="32"/>
  <c r="E1622" i="32"/>
  <c r="D1622" i="32"/>
  <c r="C1622" i="32"/>
  <c r="B1622" i="32"/>
  <c r="N1621" i="32"/>
  <c r="S1621" i="32" s="1"/>
  <c r="M1621" i="32"/>
  <c r="K1621" i="32"/>
  <c r="H1621" i="32"/>
  <c r="G1621" i="32"/>
  <c r="F1621" i="32"/>
  <c r="E1621" i="32"/>
  <c r="D1621" i="32"/>
  <c r="C1621" i="32"/>
  <c r="B1621" i="32"/>
  <c r="N1620" i="32"/>
  <c r="R1620" i="32" s="1"/>
  <c r="M1620" i="32"/>
  <c r="K1620" i="32"/>
  <c r="H1620" i="32"/>
  <c r="G1620" i="32"/>
  <c r="F1620" i="32"/>
  <c r="E1620" i="32"/>
  <c r="D1620" i="32"/>
  <c r="C1620" i="32"/>
  <c r="B1620" i="32"/>
  <c r="N1619" i="32"/>
  <c r="R1619" i="32" s="1"/>
  <c r="M1619" i="32"/>
  <c r="K1619" i="32"/>
  <c r="H1619" i="32"/>
  <c r="G1619" i="32"/>
  <c r="F1619" i="32"/>
  <c r="E1619" i="32"/>
  <c r="D1619" i="32"/>
  <c r="C1619" i="32"/>
  <c r="B1619" i="32"/>
  <c r="N1618" i="32"/>
  <c r="M1618" i="32"/>
  <c r="K1618" i="32"/>
  <c r="H1618" i="32"/>
  <c r="G1618" i="32"/>
  <c r="F1618" i="32"/>
  <c r="E1618" i="32"/>
  <c r="D1618" i="32"/>
  <c r="C1618" i="32"/>
  <c r="B1618" i="32"/>
  <c r="N1617" i="32"/>
  <c r="M1617" i="32"/>
  <c r="K1617" i="32"/>
  <c r="H1617" i="32"/>
  <c r="G1617" i="32"/>
  <c r="F1617" i="32"/>
  <c r="E1617" i="32"/>
  <c r="D1617" i="32"/>
  <c r="C1617" i="32"/>
  <c r="B1617" i="32"/>
  <c r="N1616" i="32"/>
  <c r="M1616" i="32"/>
  <c r="K1616" i="32"/>
  <c r="H1616" i="32"/>
  <c r="G1616" i="32"/>
  <c r="F1616" i="32"/>
  <c r="E1616" i="32"/>
  <c r="D1616" i="32"/>
  <c r="C1616" i="32"/>
  <c r="B1616" i="32"/>
  <c r="N1615" i="32"/>
  <c r="M1615" i="32"/>
  <c r="K1615" i="32"/>
  <c r="H1615" i="32"/>
  <c r="G1615" i="32"/>
  <c r="F1615" i="32"/>
  <c r="E1615" i="32"/>
  <c r="D1615" i="32"/>
  <c r="C1615" i="32"/>
  <c r="B1615" i="32"/>
  <c r="N1614" i="32"/>
  <c r="R1614" i="32" s="1"/>
  <c r="M1614" i="32"/>
  <c r="K1614" i="32"/>
  <c r="H1614" i="32"/>
  <c r="G1614" i="32"/>
  <c r="F1614" i="32"/>
  <c r="E1614" i="32"/>
  <c r="D1614" i="32"/>
  <c r="C1614" i="32"/>
  <c r="B1614" i="32"/>
  <c r="N1613" i="32"/>
  <c r="S1613" i="32" s="1"/>
  <c r="M1613" i="32"/>
  <c r="K1613" i="32"/>
  <c r="H1613" i="32"/>
  <c r="G1613" i="32"/>
  <c r="F1613" i="32"/>
  <c r="E1613" i="32"/>
  <c r="D1613" i="32"/>
  <c r="C1613" i="32"/>
  <c r="B1613" i="32"/>
  <c r="N1612" i="32"/>
  <c r="R1612" i="32" s="1"/>
  <c r="M1612" i="32"/>
  <c r="K1612" i="32"/>
  <c r="H1612" i="32"/>
  <c r="G1612" i="32"/>
  <c r="F1612" i="32"/>
  <c r="E1612" i="32"/>
  <c r="D1612" i="32"/>
  <c r="C1612" i="32"/>
  <c r="B1612" i="32"/>
  <c r="N1611" i="32"/>
  <c r="M1611" i="32"/>
  <c r="K1611" i="32"/>
  <c r="H1611" i="32"/>
  <c r="G1611" i="32"/>
  <c r="F1611" i="32"/>
  <c r="E1611" i="32"/>
  <c r="D1611" i="32"/>
  <c r="C1611" i="32"/>
  <c r="B1611" i="32"/>
  <c r="N1610" i="32"/>
  <c r="S1610" i="32" s="1"/>
  <c r="M1610" i="32"/>
  <c r="K1610" i="32"/>
  <c r="H1610" i="32"/>
  <c r="G1610" i="32"/>
  <c r="F1610" i="32"/>
  <c r="E1610" i="32"/>
  <c r="D1610" i="32"/>
  <c r="C1610" i="32"/>
  <c r="B1610" i="32"/>
  <c r="N1609" i="32"/>
  <c r="M1609" i="32"/>
  <c r="K1609" i="32"/>
  <c r="H1609" i="32"/>
  <c r="G1609" i="32"/>
  <c r="F1609" i="32"/>
  <c r="E1609" i="32"/>
  <c r="D1609" i="32"/>
  <c r="C1609" i="32"/>
  <c r="B1609" i="32"/>
  <c r="N1608" i="32"/>
  <c r="S1608" i="32" s="1"/>
  <c r="M1608" i="32"/>
  <c r="K1608" i="32"/>
  <c r="H1608" i="32"/>
  <c r="G1608" i="32"/>
  <c r="F1608" i="32"/>
  <c r="E1608" i="32"/>
  <c r="D1608" i="32"/>
  <c r="C1608" i="32"/>
  <c r="B1608" i="32"/>
  <c r="N1607" i="32"/>
  <c r="R1607" i="32" s="1"/>
  <c r="M1607" i="32"/>
  <c r="K1607" i="32"/>
  <c r="H1607" i="32"/>
  <c r="G1607" i="32"/>
  <c r="F1607" i="32"/>
  <c r="E1607" i="32"/>
  <c r="D1607" i="32"/>
  <c r="C1607" i="32"/>
  <c r="B1607" i="32"/>
  <c r="N1606" i="32"/>
  <c r="R1606" i="32" s="1"/>
  <c r="M1606" i="32"/>
  <c r="K1606" i="32"/>
  <c r="H1606" i="32"/>
  <c r="G1606" i="32"/>
  <c r="F1606" i="32"/>
  <c r="E1606" i="32"/>
  <c r="D1606" i="32"/>
  <c r="C1606" i="32"/>
  <c r="B1606" i="32"/>
  <c r="N1605" i="32"/>
  <c r="S1605" i="32" s="1"/>
  <c r="M1605" i="32"/>
  <c r="K1605" i="32"/>
  <c r="H1605" i="32"/>
  <c r="G1605" i="32"/>
  <c r="F1605" i="32"/>
  <c r="E1605" i="32"/>
  <c r="D1605" i="32"/>
  <c r="C1605" i="32"/>
  <c r="B1605" i="32"/>
  <c r="N1604" i="32"/>
  <c r="S1604" i="32" s="1"/>
  <c r="M1604" i="32"/>
  <c r="K1604" i="32"/>
  <c r="H1604" i="32"/>
  <c r="G1604" i="32"/>
  <c r="F1604" i="32"/>
  <c r="E1604" i="32"/>
  <c r="D1604" i="32"/>
  <c r="C1604" i="32"/>
  <c r="B1604" i="32"/>
  <c r="N1603" i="32"/>
  <c r="R1603" i="32" s="1"/>
  <c r="M1603" i="32"/>
  <c r="K1603" i="32"/>
  <c r="H1603" i="32"/>
  <c r="G1603" i="32"/>
  <c r="F1603" i="32"/>
  <c r="E1603" i="32"/>
  <c r="D1603" i="32"/>
  <c r="C1603" i="32"/>
  <c r="B1603" i="32"/>
  <c r="N1602" i="32"/>
  <c r="S1602" i="32" s="1"/>
  <c r="M1602" i="32"/>
  <c r="K1602" i="32"/>
  <c r="H1602" i="32"/>
  <c r="G1602" i="32"/>
  <c r="F1602" i="32"/>
  <c r="E1602" i="32"/>
  <c r="D1602" i="32"/>
  <c r="C1602" i="32"/>
  <c r="B1602" i="32"/>
  <c r="N1601" i="32"/>
  <c r="S1601" i="32" s="1"/>
  <c r="M1601" i="32"/>
  <c r="K1601" i="32"/>
  <c r="H1601" i="32"/>
  <c r="G1601" i="32"/>
  <c r="F1601" i="32"/>
  <c r="E1601" i="32"/>
  <c r="D1601" i="32"/>
  <c r="C1601" i="32"/>
  <c r="B1601" i="32"/>
  <c r="N1600" i="32"/>
  <c r="S1600" i="32" s="1"/>
  <c r="M1600" i="32"/>
  <c r="K1600" i="32"/>
  <c r="H1600" i="32"/>
  <c r="G1600" i="32"/>
  <c r="F1600" i="32"/>
  <c r="E1600" i="32"/>
  <c r="D1600" i="32"/>
  <c r="C1600" i="32"/>
  <c r="B1600" i="32"/>
  <c r="N1599" i="32"/>
  <c r="M1599" i="32"/>
  <c r="K1599" i="32"/>
  <c r="H1599" i="32"/>
  <c r="G1599" i="32"/>
  <c r="F1599" i="32"/>
  <c r="E1599" i="32"/>
  <c r="D1599" i="32"/>
  <c r="C1599" i="32"/>
  <c r="B1599" i="32"/>
  <c r="N1598" i="32"/>
  <c r="R1598" i="32" s="1"/>
  <c r="M1598" i="32"/>
  <c r="K1598" i="32"/>
  <c r="H1598" i="32"/>
  <c r="G1598" i="32"/>
  <c r="F1598" i="32"/>
  <c r="E1598" i="32"/>
  <c r="D1598" i="32"/>
  <c r="C1598" i="32"/>
  <c r="B1598" i="32"/>
  <c r="N1597" i="32"/>
  <c r="M1597" i="32"/>
  <c r="K1597" i="32"/>
  <c r="H1597" i="32"/>
  <c r="G1597" i="32"/>
  <c r="F1597" i="32"/>
  <c r="E1597" i="32"/>
  <c r="D1597" i="32"/>
  <c r="C1597" i="32"/>
  <c r="B1597" i="32"/>
  <c r="N1596" i="32"/>
  <c r="S1596" i="32" s="1"/>
  <c r="M1596" i="32"/>
  <c r="K1596" i="32"/>
  <c r="H1596" i="32"/>
  <c r="G1596" i="32"/>
  <c r="F1596" i="32"/>
  <c r="E1596" i="32"/>
  <c r="D1596" i="32"/>
  <c r="C1596" i="32"/>
  <c r="B1596" i="32"/>
  <c r="N1595" i="32"/>
  <c r="M1595" i="32"/>
  <c r="K1595" i="32"/>
  <c r="H1595" i="32"/>
  <c r="G1595" i="32"/>
  <c r="F1595" i="32"/>
  <c r="E1595" i="32"/>
  <c r="D1595" i="32"/>
  <c r="C1595" i="32"/>
  <c r="B1595" i="32"/>
  <c r="N1594" i="32"/>
  <c r="S1594" i="32" s="1"/>
  <c r="M1594" i="32"/>
  <c r="K1594" i="32"/>
  <c r="H1594" i="32"/>
  <c r="G1594" i="32"/>
  <c r="F1594" i="32"/>
  <c r="E1594" i="32"/>
  <c r="D1594" i="32"/>
  <c r="C1594" i="32"/>
  <c r="B1594" i="32"/>
  <c r="N1593" i="32"/>
  <c r="S1593" i="32" s="1"/>
  <c r="M1593" i="32"/>
  <c r="K1593" i="32"/>
  <c r="H1593" i="32"/>
  <c r="G1593" i="32"/>
  <c r="F1593" i="32"/>
  <c r="E1593" i="32"/>
  <c r="D1593" i="32"/>
  <c r="C1593" i="32"/>
  <c r="B1593" i="32"/>
  <c r="N1592" i="32"/>
  <c r="M1592" i="32"/>
  <c r="I1592" i="32"/>
  <c r="H1592" i="32"/>
  <c r="G1592" i="32"/>
  <c r="F1592" i="32"/>
  <c r="E1592" i="32"/>
  <c r="N1591" i="32"/>
  <c r="S1591" i="32" s="1"/>
  <c r="M1591" i="32"/>
  <c r="H1591" i="32"/>
  <c r="G1591" i="32"/>
  <c r="F1591" i="32"/>
  <c r="E1591" i="32"/>
  <c r="N1590" i="32"/>
  <c r="M1590" i="32"/>
  <c r="H1590" i="32"/>
  <c r="G1590" i="32"/>
  <c r="F1590" i="32"/>
  <c r="E1590" i="32"/>
  <c r="N1589" i="32"/>
  <c r="S1589" i="32" s="1"/>
  <c r="M1589" i="32"/>
  <c r="H1589" i="32"/>
  <c r="G1589" i="32"/>
  <c r="F1589" i="32"/>
  <c r="E1589" i="32"/>
  <c r="N1588" i="32"/>
  <c r="M1588" i="32"/>
  <c r="H1588" i="32"/>
  <c r="G1588" i="32"/>
  <c r="F1588" i="32"/>
  <c r="E1588" i="32"/>
  <c r="N1587" i="32"/>
  <c r="R1587" i="32" s="1"/>
  <c r="M1587" i="32"/>
  <c r="H1587" i="32"/>
  <c r="G1587" i="32"/>
  <c r="F1587" i="32"/>
  <c r="E1587" i="32"/>
  <c r="N1586" i="32"/>
  <c r="S1586" i="32" s="1"/>
  <c r="M1586" i="32"/>
  <c r="H1586" i="32"/>
  <c r="G1586" i="32"/>
  <c r="F1586" i="32"/>
  <c r="E1586" i="32"/>
  <c r="N1585" i="32"/>
  <c r="S1585" i="32" s="1"/>
  <c r="M1585" i="32"/>
  <c r="H1585" i="32"/>
  <c r="G1585" i="32"/>
  <c r="F1585" i="32"/>
  <c r="E1585" i="32"/>
  <c r="N1584" i="32"/>
  <c r="R1584" i="32" s="1"/>
  <c r="M1584" i="32"/>
  <c r="H1584" i="32"/>
  <c r="G1584" i="32"/>
  <c r="F1584" i="32"/>
  <c r="E1584" i="32"/>
  <c r="N1583" i="32"/>
  <c r="S1583" i="32" s="1"/>
  <c r="M1583" i="32"/>
  <c r="H1583" i="32"/>
  <c r="G1583" i="32"/>
  <c r="F1583" i="32"/>
  <c r="E1583" i="32"/>
  <c r="N1582" i="32"/>
  <c r="S1582" i="32" s="1"/>
  <c r="M1582" i="32"/>
  <c r="H1582" i="32"/>
  <c r="G1582" i="32"/>
  <c r="F1582" i="32"/>
  <c r="E1582" i="32"/>
  <c r="N1581" i="32"/>
  <c r="M1581" i="32"/>
  <c r="H1581" i="32"/>
  <c r="G1581" i="32"/>
  <c r="F1581" i="32"/>
  <c r="E1581" i="32"/>
  <c r="N1580" i="32"/>
  <c r="R1580" i="32" s="1"/>
  <c r="M1580" i="32"/>
  <c r="H1580" i="32"/>
  <c r="G1580" i="32"/>
  <c r="F1580" i="32"/>
  <c r="E1580" i="32"/>
  <c r="N1579" i="32"/>
  <c r="R1579" i="32" s="1"/>
  <c r="M1579" i="32"/>
  <c r="H1579" i="32"/>
  <c r="G1579" i="32"/>
  <c r="F1579" i="32"/>
  <c r="E1579" i="32"/>
  <c r="N1578" i="32"/>
  <c r="M1578" i="32"/>
  <c r="H1578" i="32"/>
  <c r="G1578" i="32"/>
  <c r="F1578" i="32"/>
  <c r="E1578" i="32"/>
  <c r="N1577" i="32"/>
  <c r="S1577" i="32" s="1"/>
  <c r="M1577" i="32"/>
  <c r="H1577" i="32"/>
  <c r="G1577" i="32"/>
  <c r="F1577" i="32"/>
  <c r="E1577" i="32"/>
  <c r="N1576" i="32"/>
  <c r="R1576" i="32" s="1"/>
  <c r="M1576" i="32"/>
  <c r="H1576" i="32"/>
  <c r="G1576" i="32"/>
  <c r="F1576" i="32"/>
  <c r="E1576" i="32"/>
  <c r="N1575" i="32"/>
  <c r="M1575" i="32"/>
  <c r="H1575" i="32"/>
  <c r="G1575" i="32"/>
  <c r="F1575" i="32"/>
  <c r="E1575" i="32"/>
  <c r="N1574" i="32"/>
  <c r="M1574" i="32"/>
  <c r="H1574" i="32"/>
  <c r="G1574" i="32"/>
  <c r="F1574" i="32"/>
  <c r="E1574" i="32"/>
  <c r="N1573" i="32"/>
  <c r="Q1573" i="32" s="1"/>
  <c r="M1573" i="32"/>
  <c r="H1573" i="32"/>
  <c r="G1573" i="32"/>
  <c r="F1573" i="32"/>
  <c r="E1573" i="32"/>
  <c r="N1572" i="32"/>
  <c r="R1572" i="32" s="1"/>
  <c r="M1572" i="32"/>
  <c r="H1572" i="32"/>
  <c r="G1572" i="32"/>
  <c r="F1572" i="32"/>
  <c r="E1572" i="32"/>
  <c r="N1571" i="32"/>
  <c r="R1571" i="32" s="1"/>
  <c r="M1571" i="32"/>
  <c r="H1571" i="32"/>
  <c r="G1571" i="32"/>
  <c r="F1571" i="32"/>
  <c r="E1571" i="32"/>
  <c r="N1570" i="32"/>
  <c r="M1570" i="32"/>
  <c r="H1570" i="32"/>
  <c r="G1570" i="32"/>
  <c r="F1570" i="32"/>
  <c r="E1570" i="32"/>
  <c r="N1569" i="32"/>
  <c r="Q1569" i="32" s="1"/>
  <c r="M1569" i="32"/>
  <c r="H1569" i="32"/>
  <c r="G1569" i="32"/>
  <c r="F1569" i="32"/>
  <c r="E1569" i="32"/>
  <c r="N1568" i="32"/>
  <c r="M1568" i="32"/>
  <c r="H1568" i="32"/>
  <c r="G1568" i="32"/>
  <c r="F1568" i="32"/>
  <c r="E1568" i="32"/>
  <c r="N1567" i="32"/>
  <c r="M1567" i="32"/>
  <c r="H1567" i="32"/>
  <c r="G1567" i="32"/>
  <c r="F1567" i="32"/>
  <c r="E1567" i="32"/>
  <c r="N1566" i="32"/>
  <c r="S1566" i="32" s="1"/>
  <c r="M1566" i="32"/>
  <c r="H1566" i="32"/>
  <c r="G1566" i="32"/>
  <c r="F1566" i="32"/>
  <c r="E1566" i="32"/>
  <c r="N1565" i="32"/>
  <c r="R1565" i="32" s="1"/>
  <c r="M1565" i="32"/>
  <c r="H1565" i="32"/>
  <c r="G1565" i="32"/>
  <c r="F1565" i="32"/>
  <c r="E1565" i="32"/>
  <c r="N1564" i="32"/>
  <c r="M1564" i="32"/>
  <c r="H1564" i="32"/>
  <c r="G1564" i="32"/>
  <c r="F1564" i="32"/>
  <c r="E1564" i="32"/>
  <c r="N1563" i="32"/>
  <c r="S1563" i="32" s="1"/>
  <c r="M1563" i="32"/>
  <c r="H1563" i="32"/>
  <c r="G1563" i="32"/>
  <c r="F1563" i="32"/>
  <c r="E1563" i="32"/>
  <c r="N1562" i="32"/>
  <c r="Q1562" i="32" s="1"/>
  <c r="M1562" i="32"/>
  <c r="H1562" i="32"/>
  <c r="G1562" i="32"/>
  <c r="F1562" i="32"/>
  <c r="E1562" i="32"/>
  <c r="N1561" i="32"/>
  <c r="Q1561" i="32" s="1"/>
  <c r="M1561" i="32"/>
  <c r="H1561" i="32"/>
  <c r="G1561" i="32"/>
  <c r="F1561" i="32"/>
  <c r="E1561" i="32"/>
  <c r="N1560" i="32"/>
  <c r="S1560" i="32" s="1"/>
  <c r="M1560" i="32"/>
  <c r="H1560" i="32"/>
  <c r="G1560" i="32"/>
  <c r="F1560" i="32"/>
  <c r="E1560" i="32"/>
  <c r="N1559" i="32"/>
  <c r="S1559" i="32" s="1"/>
  <c r="M1559" i="32"/>
  <c r="H1559" i="32"/>
  <c r="G1559" i="32"/>
  <c r="F1559" i="32"/>
  <c r="E1559" i="32"/>
  <c r="N1558" i="32"/>
  <c r="S1558" i="32" s="1"/>
  <c r="M1558" i="32"/>
  <c r="H1558" i="32"/>
  <c r="G1558" i="32"/>
  <c r="F1558" i="32"/>
  <c r="E1558" i="32"/>
  <c r="N1557" i="32"/>
  <c r="M1557" i="32"/>
  <c r="H1557" i="32"/>
  <c r="G1557" i="32"/>
  <c r="F1557" i="32"/>
  <c r="E1557" i="32"/>
  <c r="N1556" i="32"/>
  <c r="R1556" i="32" s="1"/>
  <c r="M1556" i="32"/>
  <c r="H1556" i="32"/>
  <c r="G1556" i="32"/>
  <c r="F1556" i="32"/>
  <c r="E1556" i="32"/>
  <c r="N1555" i="32"/>
  <c r="M1555" i="32"/>
  <c r="H1555" i="32"/>
  <c r="G1555" i="32"/>
  <c r="F1555" i="32"/>
  <c r="E1555" i="32"/>
  <c r="N1554" i="32"/>
  <c r="M1554" i="32"/>
  <c r="H1554" i="32"/>
  <c r="G1554" i="32"/>
  <c r="F1554" i="32"/>
  <c r="E1554" i="32"/>
  <c r="N1553" i="32"/>
  <c r="Q1553" i="32" s="1"/>
  <c r="M1553" i="32"/>
  <c r="H1553" i="32"/>
  <c r="G1553" i="32"/>
  <c r="F1553" i="32"/>
  <c r="E1553" i="32"/>
  <c r="N1552" i="32"/>
  <c r="S1552" i="32" s="1"/>
  <c r="M1552" i="32"/>
  <c r="H1552" i="32"/>
  <c r="G1552" i="32"/>
  <c r="F1552" i="32"/>
  <c r="E1552" i="32"/>
  <c r="N1551" i="32"/>
  <c r="S1551" i="32" s="1"/>
  <c r="M1551" i="32"/>
  <c r="H1551" i="32"/>
  <c r="G1551" i="32"/>
  <c r="F1551" i="32"/>
  <c r="E1551" i="32"/>
  <c r="N1550" i="32"/>
  <c r="S1550" i="32" s="1"/>
  <c r="M1550" i="32"/>
  <c r="H1550" i="32"/>
  <c r="G1550" i="32"/>
  <c r="F1550" i="32"/>
  <c r="E1550" i="32"/>
  <c r="N1549" i="32"/>
  <c r="R1549" i="32" s="1"/>
  <c r="M1549" i="32"/>
  <c r="H1549" i="32"/>
  <c r="G1549" i="32"/>
  <c r="F1549" i="32"/>
  <c r="E1549" i="32"/>
  <c r="N1548" i="32"/>
  <c r="R1548" i="32" s="1"/>
  <c r="M1548" i="32"/>
  <c r="H1548" i="32"/>
  <c r="G1548" i="32"/>
  <c r="F1548" i="32"/>
  <c r="E1548" i="32"/>
  <c r="N1547" i="32"/>
  <c r="M1547" i="32"/>
  <c r="H1547" i="32"/>
  <c r="G1547" i="32"/>
  <c r="F1547" i="32"/>
  <c r="E1547" i="32"/>
  <c r="N1546" i="32"/>
  <c r="Q1546" i="32" s="1"/>
  <c r="M1546" i="32"/>
  <c r="H1546" i="32"/>
  <c r="G1546" i="32"/>
  <c r="F1546" i="32"/>
  <c r="E1546" i="32"/>
  <c r="N1545" i="32"/>
  <c r="M1545" i="32"/>
  <c r="H1545" i="32"/>
  <c r="G1545" i="32"/>
  <c r="F1545" i="32"/>
  <c r="E1545" i="32"/>
  <c r="N1544" i="32"/>
  <c r="R1544" i="32" s="1"/>
  <c r="M1544" i="32"/>
  <c r="H1544" i="32"/>
  <c r="G1544" i="32"/>
  <c r="F1544" i="32"/>
  <c r="E1544" i="32"/>
  <c r="N1543" i="32"/>
  <c r="M1543" i="32"/>
  <c r="H1543" i="32"/>
  <c r="G1543" i="32"/>
  <c r="F1543" i="32"/>
  <c r="E1543" i="32"/>
  <c r="N1542" i="32"/>
  <c r="S1542" i="32" s="1"/>
  <c r="M1542" i="32"/>
  <c r="H1542" i="32"/>
  <c r="G1542" i="32"/>
  <c r="F1542" i="32"/>
  <c r="E1542" i="32"/>
  <c r="N1541" i="32"/>
  <c r="S1541" i="32" s="1"/>
  <c r="M1541" i="32"/>
  <c r="H1541" i="32"/>
  <c r="G1541" i="32"/>
  <c r="F1541" i="32"/>
  <c r="E1541" i="32"/>
  <c r="N1540" i="32"/>
  <c r="S1540" i="32" s="1"/>
  <c r="M1540" i="32"/>
  <c r="H1540" i="32"/>
  <c r="G1540" i="32"/>
  <c r="F1540" i="32"/>
  <c r="E1540" i="32"/>
  <c r="N1539" i="32"/>
  <c r="S1539" i="32" s="1"/>
  <c r="M1539" i="32"/>
  <c r="H1539" i="32"/>
  <c r="G1539" i="32"/>
  <c r="F1539" i="32"/>
  <c r="E1539" i="32"/>
  <c r="N1538" i="32"/>
  <c r="R1538" i="32" s="1"/>
  <c r="M1538" i="32"/>
  <c r="H1538" i="32"/>
  <c r="G1538" i="32"/>
  <c r="F1538" i="32"/>
  <c r="E1538" i="32"/>
  <c r="N1537" i="32"/>
  <c r="M1537" i="32"/>
  <c r="H1537" i="32"/>
  <c r="G1537" i="32"/>
  <c r="F1537" i="32"/>
  <c r="E1537" i="32"/>
  <c r="N1536" i="32"/>
  <c r="R1536" i="32" s="1"/>
  <c r="M1536" i="32"/>
  <c r="H1536" i="32"/>
  <c r="G1536" i="32"/>
  <c r="F1536" i="32"/>
  <c r="E1536" i="32"/>
  <c r="N1535" i="32"/>
  <c r="M1535" i="32"/>
  <c r="H1535" i="32"/>
  <c r="G1535" i="32"/>
  <c r="F1535" i="32"/>
  <c r="E1535" i="32"/>
  <c r="N1534" i="32"/>
  <c r="S1534" i="32" s="1"/>
  <c r="M1534" i="32"/>
  <c r="H1534" i="32"/>
  <c r="G1534" i="32"/>
  <c r="F1534" i="32"/>
  <c r="E1534" i="32"/>
  <c r="N1533" i="32"/>
  <c r="M1533" i="32"/>
  <c r="H1533" i="32"/>
  <c r="G1533" i="32"/>
  <c r="F1533" i="32"/>
  <c r="E1533" i="32"/>
  <c r="N1532" i="32"/>
  <c r="S1532" i="32" s="1"/>
  <c r="M1532" i="32"/>
  <c r="H1532" i="32"/>
  <c r="G1532" i="32"/>
  <c r="F1532" i="32"/>
  <c r="E1532" i="32"/>
  <c r="N1531" i="32"/>
  <c r="M1531" i="32"/>
  <c r="H1531" i="32"/>
  <c r="G1531" i="32"/>
  <c r="F1531" i="32"/>
  <c r="E1531" i="32"/>
  <c r="N1530" i="32"/>
  <c r="R1530" i="32" s="1"/>
  <c r="M1530" i="32"/>
  <c r="H1530" i="32"/>
  <c r="G1530" i="32"/>
  <c r="F1530" i="32"/>
  <c r="E1530" i="32"/>
  <c r="N1529" i="32"/>
  <c r="R1529" i="32" s="1"/>
  <c r="M1529" i="32"/>
  <c r="H1529" i="32"/>
  <c r="G1529" i="32"/>
  <c r="F1529" i="32"/>
  <c r="E1529" i="32"/>
  <c r="N1528" i="32"/>
  <c r="M1528" i="32"/>
  <c r="H1528" i="32"/>
  <c r="G1528" i="32"/>
  <c r="F1528" i="32"/>
  <c r="E1528" i="32"/>
  <c r="N1527" i="32"/>
  <c r="M1527" i="32"/>
  <c r="H1527" i="32"/>
  <c r="G1527" i="32"/>
  <c r="F1527" i="32"/>
  <c r="E1527" i="32"/>
  <c r="N1526" i="32"/>
  <c r="S1526" i="32" s="1"/>
  <c r="M1526" i="32"/>
  <c r="H1526" i="32"/>
  <c r="G1526" i="32"/>
  <c r="F1526" i="32"/>
  <c r="E1526" i="32"/>
  <c r="N1525" i="32"/>
  <c r="S1525" i="32" s="1"/>
  <c r="M1525" i="32"/>
  <c r="H1525" i="32"/>
  <c r="G1525" i="32"/>
  <c r="F1525" i="32"/>
  <c r="E1525" i="32"/>
  <c r="N1524" i="32"/>
  <c r="S1524" i="32" s="1"/>
  <c r="M1524" i="32"/>
  <c r="H1524" i="32"/>
  <c r="G1524" i="32"/>
  <c r="F1524" i="32"/>
  <c r="E1524" i="32"/>
  <c r="N1523" i="32"/>
  <c r="S1523" i="32" s="1"/>
  <c r="M1523" i="32"/>
  <c r="H1523" i="32"/>
  <c r="G1523" i="32"/>
  <c r="F1523" i="32"/>
  <c r="E1523" i="32"/>
  <c r="N1522" i="32"/>
  <c r="R1522" i="32" s="1"/>
  <c r="M1522" i="32"/>
  <c r="H1522" i="32"/>
  <c r="G1522" i="32"/>
  <c r="F1522" i="32"/>
  <c r="E1522" i="32"/>
  <c r="N1521" i="32"/>
  <c r="M1521" i="32"/>
  <c r="H1521" i="32"/>
  <c r="G1521" i="32"/>
  <c r="F1521" i="32"/>
  <c r="E1521" i="32"/>
  <c r="N1520" i="32"/>
  <c r="M1520" i="32"/>
  <c r="H1520" i="32"/>
  <c r="G1520" i="32"/>
  <c r="F1520" i="32"/>
  <c r="E1520" i="32"/>
  <c r="N1519" i="32"/>
  <c r="M1519" i="32"/>
  <c r="H1519" i="32"/>
  <c r="G1519" i="32"/>
  <c r="F1519" i="32"/>
  <c r="E1519" i="32"/>
  <c r="N1518" i="32"/>
  <c r="S1518" i="32" s="1"/>
  <c r="M1518" i="32"/>
  <c r="H1518" i="32"/>
  <c r="G1518" i="32"/>
  <c r="F1518" i="32"/>
  <c r="E1518" i="32"/>
  <c r="N1517" i="32"/>
  <c r="M1517" i="32"/>
  <c r="H1517" i="32"/>
  <c r="G1517" i="32"/>
  <c r="F1517" i="32"/>
  <c r="E1517" i="32"/>
  <c r="N1516" i="32"/>
  <c r="Q1516" i="32" s="1"/>
  <c r="M1516" i="32"/>
  <c r="H1516" i="32"/>
  <c r="G1516" i="32"/>
  <c r="F1516" i="32"/>
  <c r="E1516" i="32"/>
  <c r="N1515" i="32"/>
  <c r="M1515" i="32"/>
  <c r="H1515" i="32"/>
  <c r="G1515" i="32"/>
  <c r="F1515" i="32"/>
  <c r="E1515" i="32"/>
  <c r="N1514" i="32"/>
  <c r="R1514" i="32" s="1"/>
  <c r="M1514" i="32"/>
  <c r="H1514" i="32"/>
  <c r="G1514" i="32"/>
  <c r="F1514" i="32"/>
  <c r="E1514" i="32"/>
  <c r="N1513" i="32"/>
  <c r="R1513" i="32" s="1"/>
  <c r="M1513" i="32"/>
  <c r="H1513" i="32"/>
  <c r="G1513" i="32"/>
  <c r="F1513" i="32"/>
  <c r="E1513" i="32"/>
  <c r="N1512" i="32"/>
  <c r="M1512" i="32"/>
  <c r="H1512" i="32"/>
  <c r="G1512" i="32"/>
  <c r="F1512" i="32"/>
  <c r="E1512" i="32"/>
  <c r="N1511" i="32"/>
  <c r="M1511" i="32"/>
  <c r="H1511" i="32"/>
  <c r="G1511" i="32"/>
  <c r="F1511" i="32"/>
  <c r="E1511" i="32"/>
  <c r="N1510" i="32"/>
  <c r="S1510" i="32" s="1"/>
  <c r="M1510" i="32"/>
  <c r="H1510" i="32"/>
  <c r="G1510" i="32"/>
  <c r="F1510" i="32"/>
  <c r="E1510" i="32"/>
  <c r="N1509" i="32"/>
  <c r="S1509" i="32" s="1"/>
  <c r="M1509" i="32"/>
  <c r="H1509" i="32"/>
  <c r="G1509" i="32"/>
  <c r="F1509" i="32"/>
  <c r="E1509" i="32"/>
  <c r="N1508" i="32"/>
  <c r="Q1508" i="32" s="1"/>
  <c r="M1508" i="32"/>
  <c r="H1508" i="32"/>
  <c r="G1508" i="32"/>
  <c r="F1508" i="32"/>
  <c r="E1508" i="32"/>
  <c r="N1507" i="32"/>
  <c r="M1507" i="32"/>
  <c r="H1507" i="32"/>
  <c r="G1507" i="32"/>
  <c r="F1507" i="32"/>
  <c r="E1507" i="32"/>
  <c r="N1506" i="32"/>
  <c r="R1506" i="32" s="1"/>
  <c r="M1506" i="32"/>
  <c r="H1506" i="32"/>
  <c r="G1506" i="32"/>
  <c r="F1506" i="32"/>
  <c r="E1506" i="32"/>
  <c r="N1505" i="32"/>
  <c r="M1505" i="32"/>
  <c r="H1505" i="32"/>
  <c r="G1505" i="32"/>
  <c r="F1505" i="32"/>
  <c r="E1505" i="32"/>
  <c r="N1504" i="32"/>
  <c r="R1504" i="32" s="1"/>
  <c r="M1504" i="32"/>
  <c r="H1504" i="32"/>
  <c r="G1504" i="32"/>
  <c r="F1504" i="32"/>
  <c r="E1504" i="32"/>
  <c r="N1503" i="32"/>
  <c r="M1503" i="32"/>
  <c r="H1503" i="32"/>
  <c r="G1503" i="32"/>
  <c r="F1503" i="32"/>
  <c r="E1503" i="32"/>
  <c r="N1502" i="32"/>
  <c r="S1502" i="32" s="1"/>
  <c r="M1502" i="32"/>
  <c r="H1502" i="32"/>
  <c r="G1502" i="32"/>
  <c r="F1502" i="32"/>
  <c r="E1502" i="32"/>
  <c r="N1501" i="32"/>
  <c r="M1501" i="32"/>
  <c r="H1501" i="32"/>
  <c r="G1501" i="32"/>
  <c r="F1501" i="32"/>
  <c r="E1501" i="32"/>
  <c r="N1500" i="32"/>
  <c r="S1500" i="32" s="1"/>
  <c r="M1500" i="32"/>
  <c r="H1500" i="32"/>
  <c r="G1500" i="32"/>
  <c r="F1500" i="32"/>
  <c r="E1500" i="32"/>
  <c r="N1499" i="32"/>
  <c r="S1499" i="32" s="1"/>
  <c r="M1499" i="32"/>
  <c r="H1499" i="32"/>
  <c r="G1499" i="32"/>
  <c r="F1499" i="32"/>
  <c r="E1499" i="32"/>
  <c r="N1498" i="32"/>
  <c r="M1498" i="32"/>
  <c r="H1498" i="32"/>
  <c r="G1498" i="32"/>
  <c r="F1498" i="32"/>
  <c r="E1498" i="32"/>
  <c r="N1497" i="32"/>
  <c r="M1497" i="32"/>
  <c r="H1497" i="32"/>
  <c r="G1497" i="32"/>
  <c r="F1497" i="32"/>
  <c r="E1497" i="32"/>
  <c r="N1496" i="32"/>
  <c r="R1496" i="32" s="1"/>
  <c r="M1496" i="32"/>
  <c r="H1496" i="32"/>
  <c r="G1496" i="32"/>
  <c r="F1496" i="32"/>
  <c r="E1496" i="32"/>
  <c r="N1495" i="32"/>
  <c r="M1495" i="32"/>
  <c r="H1495" i="32"/>
  <c r="G1495" i="32"/>
  <c r="F1495" i="32"/>
  <c r="E1495" i="32"/>
  <c r="N1494" i="32"/>
  <c r="M1494" i="32"/>
  <c r="H1494" i="32"/>
  <c r="G1494" i="32"/>
  <c r="F1494" i="32"/>
  <c r="E1494" i="32"/>
  <c r="N1493" i="32"/>
  <c r="S1493" i="32" s="1"/>
  <c r="M1493" i="32"/>
  <c r="H1493" i="32"/>
  <c r="G1493" i="32"/>
  <c r="F1493" i="32"/>
  <c r="E1493" i="32"/>
  <c r="N1492" i="32"/>
  <c r="M1492" i="32"/>
  <c r="H1492" i="32"/>
  <c r="G1492" i="32"/>
  <c r="F1492" i="32"/>
  <c r="E1492" i="32"/>
  <c r="N1491" i="32"/>
  <c r="M1491" i="32"/>
  <c r="H1491" i="32"/>
  <c r="G1491" i="32"/>
  <c r="F1491" i="32"/>
  <c r="E1491" i="32"/>
  <c r="N1490" i="32"/>
  <c r="R1490" i="32" s="1"/>
  <c r="M1490" i="32"/>
  <c r="H1490" i="32"/>
  <c r="G1490" i="32"/>
  <c r="F1490" i="32"/>
  <c r="E1490" i="32"/>
  <c r="N1489" i="32"/>
  <c r="M1489" i="32"/>
  <c r="H1489" i="32"/>
  <c r="G1489" i="32"/>
  <c r="F1489" i="32"/>
  <c r="E1489" i="32"/>
  <c r="N1488" i="32"/>
  <c r="R1488" i="32" s="1"/>
  <c r="M1488" i="32"/>
  <c r="H1488" i="32"/>
  <c r="G1488" i="32"/>
  <c r="F1488" i="32"/>
  <c r="E1488" i="32"/>
  <c r="N1487" i="32"/>
  <c r="S1487" i="32" s="1"/>
  <c r="M1487" i="32"/>
  <c r="H1487" i="32"/>
  <c r="G1487" i="32"/>
  <c r="F1487" i="32"/>
  <c r="E1487" i="32"/>
  <c r="N1486" i="32"/>
  <c r="M1486" i="32"/>
  <c r="H1486" i="32"/>
  <c r="G1486" i="32"/>
  <c r="F1486" i="32"/>
  <c r="E1486" i="32"/>
  <c r="N1485" i="32"/>
  <c r="M1485" i="32"/>
  <c r="H1485" i="32"/>
  <c r="G1485" i="32"/>
  <c r="F1485" i="32"/>
  <c r="E1485" i="32"/>
  <c r="N1484" i="32"/>
  <c r="Q1484" i="32" s="1"/>
  <c r="M1484" i="32"/>
  <c r="H1484" i="32"/>
  <c r="G1484" i="32"/>
  <c r="F1484" i="32"/>
  <c r="E1484" i="32"/>
  <c r="N1483" i="32"/>
  <c r="M1483" i="32"/>
  <c r="H1483" i="32"/>
  <c r="G1483" i="32"/>
  <c r="F1483" i="32"/>
  <c r="E1483" i="32"/>
  <c r="N1482" i="32"/>
  <c r="S1482" i="32" s="1"/>
  <c r="M1482" i="32"/>
  <c r="H1482" i="32"/>
  <c r="G1482" i="32"/>
  <c r="F1482" i="32"/>
  <c r="E1482" i="32"/>
  <c r="N1481" i="32"/>
  <c r="Q1481" i="32" s="1"/>
  <c r="M1481" i="32"/>
  <c r="H1481" i="32"/>
  <c r="G1481" i="32"/>
  <c r="F1481" i="32"/>
  <c r="E1481" i="32"/>
  <c r="N1480" i="32"/>
  <c r="M1480" i="32"/>
  <c r="H1480" i="32"/>
  <c r="G1480" i="32"/>
  <c r="F1480" i="32"/>
  <c r="E1480" i="32"/>
  <c r="N1479" i="32"/>
  <c r="S1479" i="32" s="1"/>
  <c r="M1479" i="32"/>
  <c r="H1479" i="32"/>
  <c r="G1479" i="32"/>
  <c r="F1479" i="32"/>
  <c r="E1479" i="32"/>
  <c r="N1478" i="32"/>
  <c r="M1478" i="32"/>
  <c r="H1478" i="32"/>
  <c r="G1478" i="32"/>
  <c r="F1478" i="32"/>
  <c r="E1478" i="32"/>
  <c r="N1477" i="32"/>
  <c r="S1477" i="32" s="1"/>
  <c r="M1477" i="32"/>
  <c r="H1477" i="32"/>
  <c r="G1477" i="32"/>
  <c r="F1477" i="32"/>
  <c r="E1477" i="32"/>
  <c r="N1476" i="32"/>
  <c r="M1476" i="32"/>
  <c r="H1476" i="32"/>
  <c r="G1476" i="32"/>
  <c r="F1476" i="32"/>
  <c r="E1476" i="32"/>
  <c r="N1475" i="32"/>
  <c r="S1475" i="32" s="1"/>
  <c r="M1475" i="32"/>
  <c r="H1475" i="32"/>
  <c r="G1475" i="32"/>
  <c r="F1475" i="32"/>
  <c r="E1475" i="32"/>
  <c r="N1474" i="32"/>
  <c r="R1474" i="32" s="1"/>
  <c r="M1474" i="32"/>
  <c r="H1474" i="32"/>
  <c r="G1474" i="32"/>
  <c r="F1474" i="32"/>
  <c r="E1474" i="32"/>
  <c r="N1473" i="32"/>
  <c r="M1473" i="32"/>
  <c r="H1473" i="32"/>
  <c r="G1473" i="32"/>
  <c r="F1473" i="32"/>
  <c r="E1473" i="32"/>
  <c r="N1472" i="32"/>
  <c r="R1472" i="32" s="1"/>
  <c r="M1472" i="32"/>
  <c r="H1472" i="32"/>
  <c r="G1472" i="32"/>
  <c r="F1472" i="32"/>
  <c r="E1472" i="32"/>
  <c r="N1471" i="32"/>
  <c r="S1471" i="32" s="1"/>
  <c r="M1471" i="32"/>
  <c r="H1471" i="32"/>
  <c r="G1471" i="32"/>
  <c r="F1471" i="32"/>
  <c r="E1471" i="32"/>
  <c r="N1470" i="32"/>
  <c r="M1470" i="32"/>
  <c r="H1470" i="32"/>
  <c r="G1470" i="32"/>
  <c r="F1470" i="32"/>
  <c r="E1470" i="32"/>
  <c r="N1469" i="32"/>
  <c r="S1469" i="32" s="1"/>
  <c r="M1469" i="32"/>
  <c r="H1469" i="32"/>
  <c r="G1469" i="32"/>
  <c r="F1469" i="32"/>
  <c r="E1469" i="32"/>
  <c r="N1468" i="32"/>
  <c r="M1468" i="32"/>
  <c r="H1468" i="32"/>
  <c r="G1468" i="32"/>
  <c r="F1468" i="32"/>
  <c r="E1468" i="32"/>
  <c r="N1467" i="32"/>
  <c r="S1467" i="32" s="1"/>
  <c r="M1467" i="32"/>
  <c r="H1467" i="32"/>
  <c r="G1467" i="32"/>
  <c r="F1467" i="32"/>
  <c r="E1467" i="32"/>
  <c r="N1466" i="32"/>
  <c r="M1466" i="32"/>
  <c r="H1466" i="32"/>
  <c r="G1466" i="32"/>
  <c r="F1466" i="32"/>
  <c r="E1466" i="32"/>
  <c r="N1465" i="32"/>
  <c r="R1465" i="32" s="1"/>
  <c r="M1465" i="32"/>
  <c r="H1465" i="32"/>
  <c r="G1465" i="32"/>
  <c r="F1465" i="32"/>
  <c r="E1465" i="32"/>
  <c r="N1464" i="32"/>
  <c r="M1464" i="32"/>
  <c r="H1464" i="32"/>
  <c r="G1464" i="32"/>
  <c r="F1464" i="32"/>
  <c r="E1464" i="32"/>
  <c r="N1463" i="32"/>
  <c r="S1463" i="32" s="1"/>
  <c r="M1463" i="32"/>
  <c r="H1463" i="32"/>
  <c r="G1463" i="32"/>
  <c r="F1463" i="32"/>
  <c r="E1463" i="32"/>
  <c r="N1462" i="32"/>
  <c r="M1462" i="32"/>
  <c r="H1462" i="32"/>
  <c r="G1462" i="32"/>
  <c r="F1462" i="32"/>
  <c r="E1462" i="32"/>
  <c r="N1461" i="32"/>
  <c r="M1461" i="32"/>
  <c r="H1461" i="32"/>
  <c r="G1461" i="32"/>
  <c r="F1461" i="32"/>
  <c r="E1461" i="32"/>
  <c r="N1460" i="32"/>
  <c r="S1460" i="32" s="1"/>
  <c r="M1460" i="32"/>
  <c r="H1460" i="32"/>
  <c r="G1460" i="32"/>
  <c r="F1460" i="32"/>
  <c r="E1460" i="32"/>
  <c r="N1459" i="32"/>
  <c r="S1459" i="32" s="1"/>
  <c r="M1459" i="32"/>
  <c r="H1459" i="32"/>
  <c r="G1459" i="32"/>
  <c r="F1459" i="32"/>
  <c r="E1459" i="32"/>
  <c r="N1458" i="32"/>
  <c r="S1458" i="32" s="1"/>
  <c r="M1458" i="32"/>
  <c r="H1458" i="32"/>
  <c r="G1458" i="32"/>
  <c r="F1458" i="32"/>
  <c r="E1458" i="32"/>
  <c r="N1457" i="32"/>
  <c r="M1457" i="32"/>
  <c r="H1457" i="32"/>
  <c r="G1457" i="32"/>
  <c r="F1457" i="32"/>
  <c r="E1457" i="32"/>
  <c r="N1456" i="32"/>
  <c r="S1456" i="32" s="1"/>
  <c r="M1456" i="32"/>
  <c r="H1456" i="32"/>
  <c r="G1456" i="32"/>
  <c r="F1456" i="32"/>
  <c r="E1456" i="32"/>
  <c r="N1455" i="32"/>
  <c r="M1455" i="32"/>
  <c r="H1455" i="32"/>
  <c r="G1455" i="32"/>
  <c r="F1455" i="32"/>
  <c r="E1455" i="32"/>
  <c r="N1454" i="32"/>
  <c r="M1454" i="32"/>
  <c r="H1454" i="32"/>
  <c r="G1454" i="32"/>
  <c r="F1454" i="32"/>
  <c r="E1454" i="32"/>
  <c r="N1453" i="32"/>
  <c r="S1453" i="32" s="1"/>
  <c r="M1453" i="32"/>
  <c r="H1453" i="32"/>
  <c r="G1453" i="32"/>
  <c r="F1453" i="32"/>
  <c r="E1453" i="32"/>
  <c r="N1452" i="32"/>
  <c r="S1452" i="32" s="1"/>
  <c r="M1452" i="32"/>
  <c r="H1452" i="32"/>
  <c r="G1452" i="32"/>
  <c r="F1452" i="32"/>
  <c r="E1452" i="32"/>
  <c r="N1451" i="32"/>
  <c r="S1451" i="32" s="1"/>
  <c r="M1451" i="32"/>
  <c r="H1451" i="32"/>
  <c r="G1451" i="32"/>
  <c r="F1451" i="32"/>
  <c r="E1451" i="32"/>
  <c r="N1450" i="32"/>
  <c r="R1450" i="32" s="1"/>
  <c r="M1450" i="32"/>
  <c r="H1450" i="32"/>
  <c r="G1450" i="32"/>
  <c r="F1450" i="32"/>
  <c r="E1450" i="32"/>
  <c r="N1449" i="32"/>
  <c r="M1449" i="32"/>
  <c r="H1449" i="32"/>
  <c r="G1449" i="32"/>
  <c r="F1449" i="32"/>
  <c r="E1449" i="32"/>
  <c r="N1448" i="32"/>
  <c r="S1448" i="32" s="1"/>
  <c r="M1448" i="32"/>
  <c r="H1448" i="32"/>
  <c r="G1448" i="32"/>
  <c r="F1448" i="32"/>
  <c r="E1448" i="32"/>
  <c r="N1447" i="32"/>
  <c r="M1447" i="32"/>
  <c r="H1447" i="32"/>
  <c r="G1447" i="32"/>
  <c r="F1447" i="32"/>
  <c r="E1447" i="32"/>
  <c r="N1446" i="32"/>
  <c r="R1446" i="32" s="1"/>
  <c r="M1446" i="32"/>
  <c r="H1446" i="32"/>
  <c r="G1446" i="32"/>
  <c r="F1446" i="32"/>
  <c r="E1446" i="32"/>
  <c r="N1445" i="32"/>
  <c r="M1445" i="32"/>
  <c r="H1445" i="32"/>
  <c r="G1445" i="32"/>
  <c r="F1445" i="32"/>
  <c r="E1445" i="32"/>
  <c r="N1444" i="32"/>
  <c r="Q1444" i="32" s="1"/>
  <c r="M1444" i="32"/>
  <c r="H1444" i="32"/>
  <c r="G1444" i="32"/>
  <c r="F1444" i="32"/>
  <c r="E1444" i="32"/>
  <c r="N1443" i="32"/>
  <c r="S1443" i="32" s="1"/>
  <c r="M1443" i="32"/>
  <c r="H1443" i="32"/>
  <c r="G1443" i="32"/>
  <c r="F1443" i="32"/>
  <c r="E1443" i="32"/>
  <c r="N1442" i="32"/>
  <c r="S1442" i="32" s="1"/>
  <c r="M1442" i="32"/>
  <c r="H1442" i="32"/>
  <c r="G1442" i="32"/>
  <c r="F1442" i="32"/>
  <c r="E1442" i="32"/>
  <c r="N1441" i="32"/>
  <c r="S1441" i="32" s="1"/>
  <c r="M1441" i="32"/>
  <c r="H1441" i="32"/>
  <c r="G1441" i="32"/>
  <c r="F1441" i="32"/>
  <c r="E1441" i="32"/>
  <c r="N1440" i="32"/>
  <c r="S1440" i="32" s="1"/>
  <c r="M1440" i="32"/>
  <c r="H1440" i="32"/>
  <c r="G1440" i="32"/>
  <c r="F1440" i="32"/>
  <c r="E1440" i="32"/>
  <c r="N1439" i="32"/>
  <c r="S1439" i="32" s="1"/>
  <c r="M1439" i="32"/>
  <c r="H1439" i="32"/>
  <c r="G1439" i="32"/>
  <c r="F1439" i="32"/>
  <c r="E1439" i="32"/>
  <c r="N1438" i="32"/>
  <c r="M1438" i="32"/>
  <c r="H1438" i="32"/>
  <c r="G1438" i="32"/>
  <c r="F1438" i="32"/>
  <c r="E1438" i="32"/>
  <c r="N1437" i="32"/>
  <c r="S1437" i="32" s="1"/>
  <c r="M1437" i="32"/>
  <c r="H1437" i="32"/>
  <c r="G1437" i="32"/>
  <c r="F1437" i="32"/>
  <c r="E1437" i="32"/>
  <c r="N1436" i="32"/>
  <c r="Q1436" i="32" s="1"/>
  <c r="M1436" i="32"/>
  <c r="H1436" i="32"/>
  <c r="G1436" i="32"/>
  <c r="F1436" i="32"/>
  <c r="E1436" i="32"/>
  <c r="N1435" i="32"/>
  <c r="S1435" i="32" s="1"/>
  <c r="M1435" i="32"/>
  <c r="H1435" i="32"/>
  <c r="G1435" i="32"/>
  <c r="F1435" i="32"/>
  <c r="E1435" i="32"/>
  <c r="N1434" i="32"/>
  <c r="M1434" i="32"/>
  <c r="H1434" i="32"/>
  <c r="G1434" i="32"/>
  <c r="F1434" i="32"/>
  <c r="E1434" i="32"/>
  <c r="N1433" i="32"/>
  <c r="M1433" i="32"/>
  <c r="H1433" i="32"/>
  <c r="G1433" i="32"/>
  <c r="F1433" i="32"/>
  <c r="E1433" i="32"/>
  <c r="N1432" i="32"/>
  <c r="S1432" i="32" s="1"/>
  <c r="M1432" i="32"/>
  <c r="H1432" i="32"/>
  <c r="G1432" i="32"/>
  <c r="F1432" i="32"/>
  <c r="E1432" i="32"/>
  <c r="N1431" i="32"/>
  <c r="M1431" i="32"/>
  <c r="H1431" i="32"/>
  <c r="G1431" i="32"/>
  <c r="F1431" i="32"/>
  <c r="E1431" i="32"/>
  <c r="N1430" i="32"/>
  <c r="R1430" i="32" s="1"/>
  <c r="M1430" i="32"/>
  <c r="H1430" i="32"/>
  <c r="G1430" i="32"/>
  <c r="F1430" i="32"/>
  <c r="E1430" i="32"/>
  <c r="N1429" i="32"/>
  <c r="S1429" i="32" s="1"/>
  <c r="M1429" i="32"/>
  <c r="H1429" i="32"/>
  <c r="G1429" i="32"/>
  <c r="F1429" i="32"/>
  <c r="E1429" i="32"/>
  <c r="N1428" i="32"/>
  <c r="Q1428" i="32" s="1"/>
  <c r="M1428" i="32"/>
  <c r="H1428" i="32"/>
  <c r="G1428" i="32"/>
  <c r="F1428" i="32"/>
  <c r="E1428" i="32"/>
  <c r="N1427" i="32"/>
  <c r="S1427" i="32" s="1"/>
  <c r="M1427" i="32"/>
  <c r="H1427" i="32"/>
  <c r="G1427" i="32"/>
  <c r="F1427" i="32"/>
  <c r="E1427" i="32"/>
  <c r="N1426" i="32"/>
  <c r="M1426" i="32"/>
  <c r="H1426" i="32"/>
  <c r="G1426" i="32"/>
  <c r="F1426" i="32"/>
  <c r="E1426" i="32"/>
  <c r="N1425" i="32"/>
  <c r="S1425" i="32" s="1"/>
  <c r="M1425" i="32"/>
  <c r="H1425" i="32"/>
  <c r="G1425" i="32"/>
  <c r="F1425" i="32"/>
  <c r="E1425" i="32"/>
  <c r="N1424" i="32"/>
  <c r="S1424" i="32" s="1"/>
  <c r="M1424" i="32"/>
  <c r="H1424" i="32"/>
  <c r="G1424" i="32"/>
  <c r="F1424" i="32"/>
  <c r="E1424" i="32"/>
  <c r="N1423" i="32"/>
  <c r="S1423" i="32" s="1"/>
  <c r="M1423" i="32"/>
  <c r="H1423" i="32"/>
  <c r="G1423" i="32"/>
  <c r="F1423" i="32"/>
  <c r="E1423" i="32"/>
  <c r="N1422" i="32"/>
  <c r="M1422" i="32"/>
  <c r="H1422" i="32"/>
  <c r="G1422" i="32"/>
  <c r="F1422" i="32"/>
  <c r="E1422" i="32"/>
  <c r="N1421" i="32"/>
  <c r="S1421" i="32" s="1"/>
  <c r="M1421" i="32"/>
  <c r="H1421" i="32"/>
  <c r="G1421" i="32"/>
  <c r="F1421" i="32"/>
  <c r="E1421" i="32"/>
  <c r="N1420" i="32"/>
  <c r="S1420" i="32" s="1"/>
  <c r="M1420" i="32"/>
  <c r="H1420" i="32"/>
  <c r="G1420" i="32"/>
  <c r="F1420" i="32"/>
  <c r="E1420" i="32"/>
  <c r="N1419" i="32"/>
  <c r="S1419" i="32" s="1"/>
  <c r="M1419" i="32"/>
  <c r="H1419" i="32"/>
  <c r="G1419" i="32"/>
  <c r="F1419" i="32"/>
  <c r="E1419" i="32"/>
  <c r="N1418" i="32"/>
  <c r="S1418" i="32" s="1"/>
  <c r="M1418" i="32"/>
  <c r="H1418" i="32"/>
  <c r="G1418" i="32"/>
  <c r="F1418" i="32"/>
  <c r="E1418" i="32"/>
  <c r="N1417" i="32"/>
  <c r="M1417" i="32"/>
  <c r="H1417" i="32"/>
  <c r="G1417" i="32"/>
  <c r="F1417" i="32"/>
  <c r="E1417" i="32"/>
  <c r="N1416" i="32"/>
  <c r="S1416" i="32" s="1"/>
  <c r="M1416" i="32"/>
  <c r="H1416" i="32"/>
  <c r="G1416" i="32"/>
  <c r="F1416" i="32"/>
  <c r="E1416" i="32"/>
  <c r="N1415" i="32"/>
  <c r="M1415" i="32"/>
  <c r="H1415" i="32"/>
  <c r="G1415" i="32"/>
  <c r="F1415" i="32"/>
  <c r="E1415" i="32"/>
  <c r="N1414" i="32"/>
  <c r="R1414" i="32" s="1"/>
  <c r="M1414" i="32"/>
  <c r="H1414" i="32"/>
  <c r="G1414" i="32"/>
  <c r="F1414" i="32"/>
  <c r="E1414" i="32"/>
  <c r="N1413" i="32"/>
  <c r="S1413" i="32" s="1"/>
  <c r="M1413" i="32"/>
  <c r="H1413" i="32"/>
  <c r="G1413" i="32"/>
  <c r="F1413" i="32"/>
  <c r="E1413" i="32"/>
  <c r="N1412" i="32"/>
  <c r="M1412" i="32"/>
  <c r="H1412" i="32"/>
  <c r="G1412" i="32"/>
  <c r="F1412" i="32"/>
  <c r="E1412" i="32"/>
  <c r="N1411" i="32"/>
  <c r="S1411" i="32" s="1"/>
  <c r="M1411" i="32"/>
  <c r="H1411" i="32"/>
  <c r="G1411" i="32"/>
  <c r="F1411" i="32"/>
  <c r="E1411" i="32"/>
  <c r="N1410" i="32"/>
  <c r="M1410" i="32"/>
  <c r="H1410" i="32"/>
  <c r="G1410" i="32"/>
  <c r="F1410" i="32"/>
  <c r="E1410" i="32"/>
  <c r="N1409" i="32"/>
  <c r="Q1409" i="32" s="1"/>
  <c r="M1409" i="32"/>
  <c r="H1409" i="32"/>
  <c r="G1409" i="32"/>
  <c r="F1409" i="32"/>
  <c r="E1409" i="32"/>
  <c r="N1408" i="32"/>
  <c r="S1408" i="32" s="1"/>
  <c r="M1408" i="32"/>
  <c r="H1408" i="32"/>
  <c r="G1408" i="32"/>
  <c r="F1408" i="32"/>
  <c r="E1408" i="32"/>
  <c r="N1407" i="32"/>
  <c r="M1407" i="32"/>
  <c r="H1407" i="32"/>
  <c r="G1407" i="32"/>
  <c r="F1407" i="32"/>
  <c r="E1407" i="32"/>
  <c r="N1406" i="32"/>
  <c r="M1406" i="32"/>
  <c r="H1406" i="32"/>
  <c r="G1406" i="32"/>
  <c r="F1406" i="32"/>
  <c r="E1406" i="32"/>
  <c r="N1405" i="32"/>
  <c r="S1405" i="32" s="1"/>
  <c r="M1405" i="32"/>
  <c r="H1405" i="32"/>
  <c r="G1405" i="32"/>
  <c r="F1405" i="32"/>
  <c r="E1405" i="32"/>
  <c r="N1404" i="32"/>
  <c r="Q1404" i="32" s="1"/>
  <c r="M1404" i="32"/>
  <c r="H1404" i="32"/>
  <c r="G1404" i="32"/>
  <c r="F1404" i="32"/>
  <c r="E1404" i="32"/>
  <c r="N1403" i="32"/>
  <c r="S1403" i="32" s="1"/>
  <c r="M1403" i="32"/>
  <c r="H1403" i="32"/>
  <c r="G1403" i="32"/>
  <c r="F1403" i="32"/>
  <c r="E1403" i="32"/>
  <c r="N1402" i="32"/>
  <c r="M1402" i="32"/>
  <c r="H1402" i="32"/>
  <c r="G1402" i="32"/>
  <c r="F1402" i="32"/>
  <c r="E1402" i="32"/>
  <c r="N1401" i="32"/>
  <c r="Q1401" i="32" s="1"/>
  <c r="M1401" i="32"/>
  <c r="H1401" i="32"/>
  <c r="G1401" i="32"/>
  <c r="F1401" i="32"/>
  <c r="E1401" i="32"/>
  <c r="N1400" i="32"/>
  <c r="M1400" i="32"/>
  <c r="H1400" i="32"/>
  <c r="G1400" i="32"/>
  <c r="F1400" i="32"/>
  <c r="E1400" i="32"/>
  <c r="N1399" i="32"/>
  <c r="S1399" i="32" s="1"/>
  <c r="M1399" i="32"/>
  <c r="H1399" i="32"/>
  <c r="G1399" i="32"/>
  <c r="F1399" i="32"/>
  <c r="E1399" i="32"/>
  <c r="N1398" i="32"/>
  <c r="M1398" i="32"/>
  <c r="H1398" i="32"/>
  <c r="G1398" i="32"/>
  <c r="F1398" i="32"/>
  <c r="E1398" i="32"/>
  <c r="N1397" i="32"/>
  <c r="S1397" i="32" s="1"/>
  <c r="M1397" i="32"/>
  <c r="H1397" i="32"/>
  <c r="G1397" i="32"/>
  <c r="F1397" i="32"/>
  <c r="E1397" i="32"/>
  <c r="N1396" i="32"/>
  <c r="S1396" i="32" s="1"/>
  <c r="M1396" i="32"/>
  <c r="H1396" i="32"/>
  <c r="G1396" i="32"/>
  <c r="F1396" i="32"/>
  <c r="E1396" i="32"/>
  <c r="N1395" i="32"/>
  <c r="S1395" i="32" s="1"/>
  <c r="M1395" i="32"/>
  <c r="H1395" i="32"/>
  <c r="G1395" i="32"/>
  <c r="F1395" i="32"/>
  <c r="E1395" i="32"/>
  <c r="N1394" i="32"/>
  <c r="S1394" i="32" s="1"/>
  <c r="M1394" i="32"/>
  <c r="H1394" i="32"/>
  <c r="G1394" i="32"/>
  <c r="F1394" i="32"/>
  <c r="E1394" i="32"/>
  <c r="N1393" i="32"/>
  <c r="M1393" i="32"/>
  <c r="H1393" i="32"/>
  <c r="G1393" i="32"/>
  <c r="F1393" i="32"/>
  <c r="E1393" i="32"/>
  <c r="N1392" i="32"/>
  <c r="M1392" i="32"/>
  <c r="H1392" i="32"/>
  <c r="G1392" i="32"/>
  <c r="F1392" i="32"/>
  <c r="E1392" i="32"/>
  <c r="N1391" i="32"/>
  <c r="M1391" i="32"/>
  <c r="H1391" i="32"/>
  <c r="G1391" i="32"/>
  <c r="F1391" i="32"/>
  <c r="E1391" i="32"/>
  <c r="N1390" i="32"/>
  <c r="R1390" i="32" s="1"/>
  <c r="M1390" i="32"/>
  <c r="H1390" i="32"/>
  <c r="G1390" i="32"/>
  <c r="F1390" i="32"/>
  <c r="E1390" i="32"/>
  <c r="N1389" i="32"/>
  <c r="S1389" i="32" s="1"/>
  <c r="M1389" i="32"/>
  <c r="H1389" i="32"/>
  <c r="G1389" i="32"/>
  <c r="F1389" i="32"/>
  <c r="E1389" i="32"/>
  <c r="N1388" i="32"/>
  <c r="S1388" i="32" s="1"/>
  <c r="M1388" i="32"/>
  <c r="H1388" i="32"/>
  <c r="G1388" i="32"/>
  <c r="F1388" i="32"/>
  <c r="E1388" i="32"/>
  <c r="N1387" i="32"/>
  <c r="M1387" i="32"/>
  <c r="H1387" i="32"/>
  <c r="G1387" i="32"/>
  <c r="F1387" i="32"/>
  <c r="E1387" i="32"/>
  <c r="N1386" i="32"/>
  <c r="M1386" i="32"/>
  <c r="H1386" i="32"/>
  <c r="G1386" i="32"/>
  <c r="F1386" i="32"/>
  <c r="E1386" i="32"/>
  <c r="N1385" i="32"/>
  <c r="S1385" i="32" s="1"/>
  <c r="M1385" i="32"/>
  <c r="H1385" i="32"/>
  <c r="G1385" i="32"/>
  <c r="F1385" i="32"/>
  <c r="E1385" i="32"/>
  <c r="N1384" i="32"/>
  <c r="S1384" i="32" s="1"/>
  <c r="M1384" i="32"/>
  <c r="H1384" i="32"/>
  <c r="G1384" i="32"/>
  <c r="F1384" i="32"/>
  <c r="E1384" i="32"/>
  <c r="N1383" i="32"/>
  <c r="M1383" i="32"/>
  <c r="H1383" i="32"/>
  <c r="G1383" i="32"/>
  <c r="F1383" i="32"/>
  <c r="E1383" i="32"/>
  <c r="N1382" i="32"/>
  <c r="R1382" i="32" s="1"/>
  <c r="M1382" i="32"/>
  <c r="H1382" i="32"/>
  <c r="G1382" i="32"/>
  <c r="F1382" i="32"/>
  <c r="E1382" i="32"/>
  <c r="N1381" i="32"/>
  <c r="M1381" i="32"/>
  <c r="H1381" i="32"/>
  <c r="G1381" i="32"/>
  <c r="F1381" i="32"/>
  <c r="E1381" i="32"/>
  <c r="N1380" i="32"/>
  <c r="Q1380" i="32" s="1"/>
  <c r="M1380" i="32"/>
  <c r="H1380" i="32"/>
  <c r="G1380" i="32"/>
  <c r="F1380" i="32"/>
  <c r="E1380" i="32"/>
  <c r="N1379" i="32"/>
  <c r="S1379" i="32" s="1"/>
  <c r="M1379" i="32"/>
  <c r="H1379" i="32"/>
  <c r="G1379" i="32"/>
  <c r="F1379" i="32"/>
  <c r="E1379" i="32"/>
  <c r="N1378" i="32"/>
  <c r="R1378" i="32" s="1"/>
  <c r="M1378" i="32"/>
  <c r="H1378" i="32"/>
  <c r="G1378" i="32"/>
  <c r="F1378" i="32"/>
  <c r="E1378" i="32"/>
  <c r="N1377" i="32"/>
  <c r="Q1377" i="32" s="1"/>
  <c r="M1377" i="32"/>
  <c r="H1377" i="32"/>
  <c r="G1377" i="32"/>
  <c r="F1377" i="32"/>
  <c r="E1377" i="32"/>
  <c r="N1376" i="32"/>
  <c r="M1376" i="32"/>
  <c r="H1376" i="32"/>
  <c r="G1376" i="32"/>
  <c r="F1376" i="32"/>
  <c r="E1376" i="32"/>
  <c r="N1375" i="32"/>
  <c r="M1375" i="32"/>
  <c r="H1375" i="32"/>
  <c r="G1375" i="32"/>
  <c r="F1375" i="32"/>
  <c r="E1375" i="32"/>
  <c r="N1374" i="32"/>
  <c r="M1374" i="32"/>
  <c r="H1374" i="32"/>
  <c r="G1374" i="32"/>
  <c r="F1374" i="32"/>
  <c r="E1374" i="32"/>
  <c r="N1373" i="32"/>
  <c r="M1373" i="32"/>
  <c r="H1373" i="32"/>
  <c r="G1373" i="32"/>
  <c r="F1373" i="32"/>
  <c r="E1373" i="32"/>
  <c r="N1372" i="32"/>
  <c r="Q1372" i="32" s="1"/>
  <c r="M1372" i="32"/>
  <c r="H1372" i="32"/>
  <c r="G1372" i="32"/>
  <c r="F1372" i="32"/>
  <c r="E1372" i="32"/>
  <c r="N1371" i="32"/>
  <c r="M1371" i="32"/>
  <c r="H1371" i="32"/>
  <c r="G1371" i="32"/>
  <c r="F1371" i="32"/>
  <c r="E1371" i="32"/>
  <c r="N1370" i="32"/>
  <c r="R1370" i="32" s="1"/>
  <c r="M1370" i="32"/>
  <c r="H1370" i="32"/>
  <c r="G1370" i="32"/>
  <c r="F1370" i="32"/>
  <c r="E1370" i="32"/>
  <c r="N1369" i="32"/>
  <c r="Q1369" i="32" s="1"/>
  <c r="M1369" i="32"/>
  <c r="H1369" i="32"/>
  <c r="G1369" i="32"/>
  <c r="F1369" i="32"/>
  <c r="E1369" i="32"/>
  <c r="N1368" i="32"/>
  <c r="M1368" i="32"/>
  <c r="H1368" i="32"/>
  <c r="G1368" i="32"/>
  <c r="F1368" i="32"/>
  <c r="E1368" i="32"/>
  <c r="N1367" i="32"/>
  <c r="M1367" i="32"/>
  <c r="H1367" i="32"/>
  <c r="G1367" i="32"/>
  <c r="F1367" i="32"/>
  <c r="E1367" i="32"/>
  <c r="N1366" i="32"/>
  <c r="M1366" i="32"/>
  <c r="H1366" i="32"/>
  <c r="G1366" i="32"/>
  <c r="F1366" i="32"/>
  <c r="E1366" i="32"/>
  <c r="N1365" i="32"/>
  <c r="R1365" i="32" s="1"/>
  <c r="M1365" i="32"/>
  <c r="H1365" i="32"/>
  <c r="G1365" i="32"/>
  <c r="F1365" i="32"/>
  <c r="E1365" i="32"/>
  <c r="N1364" i="32"/>
  <c r="S1364" i="32" s="1"/>
  <c r="M1364" i="32"/>
  <c r="H1364" i="32"/>
  <c r="G1364" i="32"/>
  <c r="F1364" i="32"/>
  <c r="E1364" i="32"/>
  <c r="N1363" i="32"/>
  <c r="M1363" i="32"/>
  <c r="H1363" i="32"/>
  <c r="G1363" i="32"/>
  <c r="F1363" i="32"/>
  <c r="E1363" i="32"/>
  <c r="N1362" i="32"/>
  <c r="M1362" i="32"/>
  <c r="H1362" i="32"/>
  <c r="G1362" i="32"/>
  <c r="F1362" i="32"/>
  <c r="E1362" i="32"/>
  <c r="N1361" i="32"/>
  <c r="S1361" i="32" s="1"/>
  <c r="M1361" i="32"/>
  <c r="H1361" i="32"/>
  <c r="G1361" i="32"/>
  <c r="F1361" i="32"/>
  <c r="E1361" i="32"/>
  <c r="N1360" i="32"/>
  <c r="R1360" i="32" s="1"/>
  <c r="M1360" i="32"/>
  <c r="H1360" i="32"/>
  <c r="G1360" i="32"/>
  <c r="F1360" i="32"/>
  <c r="E1360" i="32"/>
  <c r="N1359" i="32"/>
  <c r="S1359" i="32" s="1"/>
  <c r="M1359" i="32"/>
  <c r="H1359" i="32"/>
  <c r="G1359" i="32"/>
  <c r="F1359" i="32"/>
  <c r="E1359" i="32"/>
  <c r="N1358" i="32"/>
  <c r="Q1358" i="32" s="1"/>
  <c r="M1358" i="32"/>
  <c r="H1358" i="32"/>
  <c r="G1358" i="32"/>
  <c r="F1358" i="32"/>
  <c r="E1358" i="32"/>
  <c r="N1357" i="32"/>
  <c r="R1357" i="32" s="1"/>
  <c r="M1357" i="32"/>
  <c r="H1357" i="32"/>
  <c r="G1357" i="32"/>
  <c r="F1357" i="32"/>
  <c r="E1357" i="32"/>
  <c r="N1356" i="32"/>
  <c r="S1356" i="32" s="1"/>
  <c r="M1356" i="32"/>
  <c r="H1356" i="32"/>
  <c r="G1356" i="32"/>
  <c r="F1356" i="32"/>
  <c r="E1356" i="32"/>
  <c r="N1355" i="32"/>
  <c r="M1355" i="32"/>
  <c r="H1355" i="32"/>
  <c r="G1355" i="32"/>
  <c r="F1355" i="32"/>
  <c r="E1355" i="32"/>
  <c r="N1354" i="32"/>
  <c r="M1354" i="32"/>
  <c r="H1354" i="32"/>
  <c r="G1354" i="32"/>
  <c r="F1354" i="32"/>
  <c r="E1354" i="32"/>
  <c r="N1353" i="32"/>
  <c r="Q1353" i="32" s="1"/>
  <c r="M1353" i="32"/>
  <c r="H1353" i="32"/>
  <c r="G1353" i="32"/>
  <c r="F1353" i="32"/>
  <c r="E1353" i="32"/>
  <c r="N1352" i="32"/>
  <c r="M1352" i="32"/>
  <c r="H1352" i="32"/>
  <c r="G1352" i="32"/>
  <c r="F1352" i="32"/>
  <c r="E1352" i="32"/>
  <c r="N1351" i="32"/>
  <c r="M1351" i="32"/>
  <c r="H1351" i="32"/>
  <c r="G1351" i="32"/>
  <c r="F1351" i="32"/>
  <c r="E1351" i="32"/>
  <c r="N1350" i="32"/>
  <c r="Q1350" i="32" s="1"/>
  <c r="M1350" i="32"/>
  <c r="H1350" i="32"/>
  <c r="G1350" i="32"/>
  <c r="F1350" i="32"/>
  <c r="E1350" i="32"/>
  <c r="N1349" i="32"/>
  <c r="M1349" i="32"/>
  <c r="H1349" i="32"/>
  <c r="G1349" i="32"/>
  <c r="F1349" i="32"/>
  <c r="E1349" i="32"/>
  <c r="N1348" i="32"/>
  <c r="S1348" i="32" s="1"/>
  <c r="M1348" i="32"/>
  <c r="H1348" i="32"/>
  <c r="G1348" i="32"/>
  <c r="F1348" i="32"/>
  <c r="E1348" i="32"/>
  <c r="N1347" i="32"/>
  <c r="S1347" i="32" s="1"/>
  <c r="M1347" i="32"/>
  <c r="H1347" i="32"/>
  <c r="G1347" i="32"/>
  <c r="F1347" i="32"/>
  <c r="E1347" i="32"/>
  <c r="N1346" i="32"/>
  <c r="M1346" i="32"/>
  <c r="H1346" i="32"/>
  <c r="G1346" i="32"/>
  <c r="F1346" i="32"/>
  <c r="E1346" i="32"/>
  <c r="N1345" i="32"/>
  <c r="S1345" i="32" s="1"/>
  <c r="M1345" i="32"/>
  <c r="H1345" i="32"/>
  <c r="G1345" i="32"/>
  <c r="F1345" i="32"/>
  <c r="E1345" i="32"/>
  <c r="N1344" i="32"/>
  <c r="R1344" i="32" s="1"/>
  <c r="M1344" i="32"/>
  <c r="H1344" i="32"/>
  <c r="G1344" i="32"/>
  <c r="F1344" i="32"/>
  <c r="E1344" i="32"/>
  <c r="N1343" i="32"/>
  <c r="S1343" i="32" s="1"/>
  <c r="M1343" i="32"/>
  <c r="H1343" i="32"/>
  <c r="G1343" i="32"/>
  <c r="F1343" i="32"/>
  <c r="E1343" i="32"/>
  <c r="N1342" i="32"/>
  <c r="Q1342" i="32" s="1"/>
  <c r="M1342" i="32"/>
  <c r="H1342" i="32"/>
  <c r="G1342" i="32"/>
  <c r="F1342" i="32"/>
  <c r="E1342" i="32"/>
  <c r="N1341" i="32"/>
  <c r="R1341" i="32" s="1"/>
  <c r="M1341" i="32"/>
  <c r="H1341" i="32"/>
  <c r="G1341" i="32"/>
  <c r="F1341" i="32"/>
  <c r="E1341" i="32"/>
  <c r="N1340" i="32"/>
  <c r="S1340" i="32" s="1"/>
  <c r="M1340" i="32"/>
  <c r="H1340" i="32"/>
  <c r="G1340" i="32"/>
  <c r="F1340" i="32"/>
  <c r="E1340" i="32"/>
  <c r="N1339" i="32"/>
  <c r="M1339" i="32"/>
  <c r="H1339" i="32"/>
  <c r="G1339" i="32"/>
  <c r="F1339" i="32"/>
  <c r="E1339" i="32"/>
  <c r="N1338" i="32"/>
  <c r="S1338" i="32" s="1"/>
  <c r="M1338" i="32"/>
  <c r="H1338" i="32"/>
  <c r="G1338" i="32"/>
  <c r="F1338" i="32"/>
  <c r="E1338" i="32"/>
  <c r="N1337" i="32"/>
  <c r="M1337" i="32"/>
  <c r="H1337" i="32"/>
  <c r="G1337" i="32"/>
  <c r="F1337" i="32"/>
  <c r="E1337" i="32"/>
  <c r="N1336" i="32"/>
  <c r="R1336" i="32" s="1"/>
  <c r="M1336" i="32"/>
  <c r="H1336" i="32"/>
  <c r="G1336" i="32"/>
  <c r="F1336" i="32"/>
  <c r="E1336" i="32"/>
  <c r="N1335" i="32"/>
  <c r="M1335" i="32"/>
  <c r="H1335" i="32"/>
  <c r="G1335" i="32"/>
  <c r="F1335" i="32"/>
  <c r="E1335" i="32"/>
  <c r="N1334" i="32"/>
  <c r="M1334" i="32"/>
  <c r="H1334" i="32"/>
  <c r="G1334" i="32"/>
  <c r="F1334" i="32"/>
  <c r="E1334" i="32"/>
  <c r="N1333" i="32"/>
  <c r="R1333" i="32" s="1"/>
  <c r="M1333" i="32"/>
  <c r="H1333" i="32"/>
  <c r="G1333" i="32"/>
  <c r="F1333" i="32"/>
  <c r="E1333" i="32"/>
  <c r="N1332" i="32"/>
  <c r="S1332" i="32" s="1"/>
  <c r="M1332" i="32"/>
  <c r="H1332" i="32"/>
  <c r="G1332" i="32"/>
  <c r="F1332" i="32"/>
  <c r="E1332" i="32"/>
  <c r="N1331" i="32"/>
  <c r="S1331" i="32" s="1"/>
  <c r="M1331" i="32"/>
  <c r="H1331" i="32"/>
  <c r="G1331" i="32"/>
  <c r="F1331" i="32"/>
  <c r="E1331" i="32"/>
  <c r="N1330" i="32"/>
  <c r="S1330" i="32" s="1"/>
  <c r="M1330" i="32"/>
  <c r="H1330" i="32"/>
  <c r="G1330" i="32"/>
  <c r="F1330" i="32"/>
  <c r="E1330" i="32"/>
  <c r="N1329" i="32"/>
  <c r="M1329" i="32"/>
  <c r="H1329" i="32"/>
  <c r="G1329" i="32"/>
  <c r="F1329" i="32"/>
  <c r="E1329" i="32"/>
  <c r="N1328" i="32"/>
  <c r="R1328" i="32" s="1"/>
  <c r="M1328" i="32"/>
  <c r="H1328" i="32"/>
  <c r="G1328" i="32"/>
  <c r="F1328" i="32"/>
  <c r="E1328" i="32"/>
  <c r="N1327" i="32"/>
  <c r="S1327" i="32" s="1"/>
  <c r="M1327" i="32"/>
  <c r="H1327" i="32"/>
  <c r="G1327" i="32"/>
  <c r="F1327" i="32"/>
  <c r="E1327" i="32"/>
  <c r="N1326" i="32"/>
  <c r="M1326" i="32"/>
  <c r="H1326" i="32"/>
  <c r="G1326" i="32"/>
  <c r="F1326" i="32"/>
  <c r="E1326" i="32"/>
  <c r="N1325" i="32"/>
  <c r="M1325" i="32"/>
  <c r="H1325" i="32"/>
  <c r="G1325" i="32"/>
  <c r="F1325" i="32"/>
  <c r="E1325" i="32"/>
  <c r="N1324" i="32"/>
  <c r="S1324" i="32" s="1"/>
  <c r="M1324" i="32"/>
  <c r="H1324" i="32"/>
  <c r="G1324" i="32"/>
  <c r="F1324" i="32"/>
  <c r="E1324" i="32"/>
  <c r="N1323" i="32"/>
  <c r="M1323" i="32"/>
  <c r="H1323" i="32"/>
  <c r="G1323" i="32"/>
  <c r="F1323" i="32"/>
  <c r="E1323" i="32"/>
  <c r="N1322" i="32"/>
  <c r="M1322" i="32"/>
  <c r="H1322" i="32"/>
  <c r="G1322" i="32"/>
  <c r="F1322" i="32"/>
  <c r="E1322" i="32"/>
  <c r="N1321" i="32"/>
  <c r="M1321" i="32"/>
  <c r="H1321" i="32"/>
  <c r="G1321" i="32"/>
  <c r="F1321" i="32"/>
  <c r="E1321" i="32"/>
  <c r="N1320" i="32"/>
  <c r="R1320" i="32" s="1"/>
  <c r="M1320" i="32"/>
  <c r="H1320" i="32"/>
  <c r="G1320" i="32"/>
  <c r="F1320" i="32"/>
  <c r="E1320" i="32"/>
  <c r="N1319" i="32"/>
  <c r="M1319" i="32"/>
  <c r="H1319" i="32"/>
  <c r="G1319" i="32"/>
  <c r="F1319" i="32"/>
  <c r="E1319" i="32"/>
  <c r="N1318" i="32"/>
  <c r="Q1318" i="32" s="1"/>
  <c r="M1318" i="32"/>
  <c r="H1318" i="32"/>
  <c r="G1318" i="32"/>
  <c r="F1318" i="32"/>
  <c r="E1318" i="32"/>
  <c r="N1317" i="32"/>
  <c r="R1317" i="32" s="1"/>
  <c r="M1317" i="32"/>
  <c r="H1317" i="32"/>
  <c r="G1317" i="32"/>
  <c r="F1317" i="32"/>
  <c r="E1317" i="32"/>
  <c r="N1316" i="32"/>
  <c r="M1316" i="32"/>
  <c r="H1316" i="32"/>
  <c r="G1316" i="32"/>
  <c r="F1316" i="32"/>
  <c r="E1316" i="32"/>
  <c r="N1315" i="32"/>
  <c r="S1315" i="32" s="1"/>
  <c r="M1315" i="32"/>
  <c r="H1315" i="32"/>
  <c r="G1315" i="32"/>
  <c r="F1315" i="32"/>
  <c r="E1315" i="32"/>
  <c r="N1314" i="32"/>
  <c r="S1314" i="32" s="1"/>
  <c r="M1314" i="32"/>
  <c r="H1314" i="32"/>
  <c r="G1314" i="32"/>
  <c r="F1314" i="32"/>
  <c r="E1314" i="32"/>
  <c r="N1313" i="32"/>
  <c r="S1313" i="32" s="1"/>
  <c r="M1313" i="32"/>
  <c r="H1313" i="32"/>
  <c r="G1313" i="32"/>
  <c r="F1313" i="32"/>
  <c r="E1313" i="32"/>
  <c r="N1312" i="32"/>
  <c r="R1312" i="32" s="1"/>
  <c r="M1312" i="32"/>
  <c r="H1312" i="32"/>
  <c r="G1312" i="32"/>
  <c r="F1312" i="32"/>
  <c r="E1312" i="32"/>
  <c r="N1311" i="32"/>
  <c r="S1311" i="32" s="1"/>
  <c r="M1311" i="32"/>
  <c r="H1311" i="32"/>
  <c r="G1311" i="32"/>
  <c r="F1311" i="32"/>
  <c r="E1311" i="32"/>
  <c r="N1310" i="32"/>
  <c r="M1310" i="32"/>
  <c r="H1310" i="32"/>
  <c r="G1310" i="32"/>
  <c r="F1310" i="32"/>
  <c r="E1310" i="32"/>
  <c r="N1309" i="32"/>
  <c r="M1309" i="32"/>
  <c r="H1309" i="32"/>
  <c r="G1309" i="32"/>
  <c r="F1309" i="32"/>
  <c r="E1309" i="32"/>
  <c r="N1308" i="32"/>
  <c r="M1308" i="32"/>
  <c r="H1308" i="32"/>
  <c r="G1308" i="32"/>
  <c r="F1308" i="32"/>
  <c r="E1308" i="32"/>
  <c r="N1307" i="32"/>
  <c r="M1307" i="32"/>
  <c r="H1307" i="32"/>
  <c r="G1307" i="32"/>
  <c r="F1307" i="32"/>
  <c r="E1307" i="32"/>
  <c r="N1306" i="32"/>
  <c r="S1306" i="32" s="1"/>
  <c r="M1306" i="32"/>
  <c r="H1306" i="32"/>
  <c r="G1306" i="32"/>
  <c r="F1306" i="32"/>
  <c r="E1306" i="32"/>
  <c r="N1305" i="32"/>
  <c r="M1305" i="32"/>
  <c r="H1305" i="32"/>
  <c r="G1305" i="32"/>
  <c r="F1305" i="32"/>
  <c r="E1305" i="32"/>
  <c r="N1304" i="32"/>
  <c r="S1304" i="32" s="1"/>
  <c r="M1304" i="32"/>
  <c r="H1304" i="32"/>
  <c r="G1304" i="32"/>
  <c r="F1304" i="32"/>
  <c r="E1304" i="32"/>
  <c r="N1303" i="32"/>
  <c r="M1303" i="32"/>
  <c r="H1303" i="32"/>
  <c r="G1303" i="32"/>
  <c r="F1303" i="32"/>
  <c r="E1303" i="32"/>
  <c r="N1302" i="32"/>
  <c r="S1302" i="32" s="1"/>
  <c r="M1302" i="32"/>
  <c r="H1302" i="32"/>
  <c r="G1302" i="32"/>
  <c r="F1302" i="32"/>
  <c r="E1302" i="32"/>
  <c r="N1301" i="32"/>
  <c r="Q1301" i="32" s="1"/>
  <c r="M1301" i="32"/>
  <c r="H1301" i="32"/>
  <c r="G1301" i="32"/>
  <c r="F1301" i="32"/>
  <c r="E1301" i="32"/>
  <c r="N1300" i="32"/>
  <c r="Q1300" i="32" s="1"/>
  <c r="M1300" i="32"/>
  <c r="H1300" i="32"/>
  <c r="G1300" i="32"/>
  <c r="F1300" i="32"/>
  <c r="E1300" i="32"/>
  <c r="N1299" i="32"/>
  <c r="M1299" i="32"/>
  <c r="H1299" i="32"/>
  <c r="G1299" i="32"/>
  <c r="F1299" i="32"/>
  <c r="E1299" i="32"/>
  <c r="N1298" i="32"/>
  <c r="S1298" i="32" s="1"/>
  <c r="M1298" i="32"/>
  <c r="H1298" i="32"/>
  <c r="G1298" i="32"/>
  <c r="F1298" i="32"/>
  <c r="E1298" i="32"/>
  <c r="N1297" i="32"/>
  <c r="M1297" i="32"/>
  <c r="H1297" i="32"/>
  <c r="G1297" i="32"/>
  <c r="F1297" i="32"/>
  <c r="E1297" i="32"/>
  <c r="N1296" i="32"/>
  <c r="S1296" i="32" s="1"/>
  <c r="M1296" i="32"/>
  <c r="H1296" i="32"/>
  <c r="G1296" i="32"/>
  <c r="F1296" i="32"/>
  <c r="E1296" i="32"/>
  <c r="N1295" i="32"/>
  <c r="M1295" i="32"/>
  <c r="H1295" i="32"/>
  <c r="G1295" i="32"/>
  <c r="F1295" i="32"/>
  <c r="E1295" i="32"/>
  <c r="N1294" i="32"/>
  <c r="M1294" i="32"/>
  <c r="H1294" i="32"/>
  <c r="G1294" i="32"/>
  <c r="F1294" i="32"/>
  <c r="E1294" i="32"/>
  <c r="N1293" i="32"/>
  <c r="Q1293" i="32" s="1"/>
  <c r="M1293" i="32"/>
  <c r="H1293" i="32"/>
  <c r="G1293" i="32"/>
  <c r="F1293" i="32"/>
  <c r="E1293" i="32"/>
  <c r="N1292" i="32"/>
  <c r="S1292" i="32" s="1"/>
  <c r="M1292" i="32"/>
  <c r="H1292" i="32"/>
  <c r="G1292" i="32"/>
  <c r="F1292" i="32"/>
  <c r="E1292" i="32"/>
  <c r="N1291" i="32"/>
  <c r="M1291" i="32"/>
  <c r="H1291" i="32"/>
  <c r="G1291" i="32"/>
  <c r="F1291" i="32"/>
  <c r="E1291" i="32"/>
  <c r="N1290" i="32"/>
  <c r="S1290" i="32" s="1"/>
  <c r="M1290" i="32"/>
  <c r="H1290" i="32"/>
  <c r="G1290" i="32"/>
  <c r="F1290" i="32"/>
  <c r="E1290" i="32"/>
  <c r="N1289" i="32"/>
  <c r="R1289" i="32" s="1"/>
  <c r="M1289" i="32"/>
  <c r="H1289" i="32"/>
  <c r="G1289" i="32"/>
  <c r="F1289" i="32"/>
  <c r="E1289" i="32"/>
  <c r="N1288" i="32"/>
  <c r="S1288" i="32" s="1"/>
  <c r="M1288" i="32"/>
  <c r="H1288" i="32"/>
  <c r="G1288" i="32"/>
  <c r="F1288" i="32"/>
  <c r="E1288" i="32"/>
  <c r="N1287" i="32"/>
  <c r="M1287" i="32"/>
  <c r="H1287" i="32"/>
  <c r="G1287" i="32"/>
  <c r="F1287" i="32"/>
  <c r="E1287" i="32"/>
  <c r="N1286" i="32"/>
  <c r="S1286" i="32" s="1"/>
  <c r="M1286" i="32"/>
  <c r="H1286" i="32"/>
  <c r="G1286" i="32"/>
  <c r="F1286" i="32"/>
  <c r="E1286" i="32"/>
  <c r="N1285" i="32"/>
  <c r="M1285" i="32"/>
  <c r="H1285" i="32"/>
  <c r="G1285" i="32"/>
  <c r="F1285" i="32"/>
  <c r="E1285" i="32"/>
  <c r="N1284" i="32"/>
  <c r="M1284" i="32"/>
  <c r="H1284" i="32"/>
  <c r="G1284" i="32"/>
  <c r="F1284" i="32"/>
  <c r="E1284" i="32"/>
  <c r="N1283" i="32"/>
  <c r="M1283" i="32"/>
  <c r="H1283" i="32"/>
  <c r="G1283" i="32"/>
  <c r="F1283" i="32"/>
  <c r="E1283" i="32"/>
  <c r="N1282" i="32"/>
  <c r="S1282" i="32" s="1"/>
  <c r="M1282" i="32"/>
  <c r="H1282" i="32"/>
  <c r="G1282" i="32"/>
  <c r="F1282" i="32"/>
  <c r="E1282" i="32"/>
  <c r="N1281" i="32"/>
  <c r="S1281" i="32" s="1"/>
  <c r="M1281" i="32"/>
  <c r="H1281" i="32"/>
  <c r="G1281" i="32"/>
  <c r="F1281" i="32"/>
  <c r="E1281" i="32"/>
  <c r="N1280" i="32"/>
  <c r="S1280" i="32" s="1"/>
  <c r="M1280" i="32"/>
  <c r="H1280" i="32"/>
  <c r="G1280" i="32"/>
  <c r="F1280" i="32"/>
  <c r="E1280" i="32"/>
  <c r="N1279" i="32"/>
  <c r="Q1279" i="32" s="1"/>
  <c r="M1279" i="32"/>
  <c r="H1279" i="32"/>
  <c r="G1279" i="32"/>
  <c r="F1279" i="32"/>
  <c r="E1279" i="32"/>
  <c r="N1278" i="32"/>
  <c r="M1278" i="32"/>
  <c r="H1278" i="32"/>
  <c r="G1278" i="32"/>
  <c r="F1278" i="32"/>
  <c r="E1278" i="32"/>
  <c r="N1277" i="32"/>
  <c r="R1277" i="32" s="1"/>
  <c r="M1277" i="32"/>
  <c r="H1277" i="32"/>
  <c r="G1277" i="32"/>
  <c r="F1277" i="32"/>
  <c r="E1277" i="32"/>
  <c r="N1276" i="32"/>
  <c r="M1276" i="32"/>
  <c r="H1276" i="32"/>
  <c r="G1276" i="32"/>
  <c r="F1276" i="32"/>
  <c r="E1276" i="32"/>
  <c r="N1275" i="32"/>
  <c r="M1275" i="32"/>
  <c r="H1275" i="32"/>
  <c r="G1275" i="32"/>
  <c r="F1275" i="32"/>
  <c r="E1275" i="32"/>
  <c r="N1274" i="32"/>
  <c r="M1274" i="32"/>
  <c r="H1274" i="32"/>
  <c r="G1274" i="32"/>
  <c r="F1274" i="32"/>
  <c r="E1274" i="32"/>
  <c r="N1273" i="32"/>
  <c r="R1273" i="32" s="1"/>
  <c r="M1273" i="32"/>
  <c r="H1273" i="32"/>
  <c r="G1273" i="32"/>
  <c r="F1273" i="32"/>
  <c r="E1273" i="32"/>
  <c r="N1272" i="32"/>
  <c r="S1272" i="32" s="1"/>
  <c r="M1272" i="32"/>
  <c r="H1272" i="32"/>
  <c r="G1272" i="32"/>
  <c r="F1272" i="32"/>
  <c r="E1272" i="32"/>
  <c r="N1271" i="32"/>
  <c r="R1271" i="32" s="1"/>
  <c r="M1271" i="32"/>
  <c r="H1271" i="32"/>
  <c r="G1271" i="32"/>
  <c r="F1271" i="32"/>
  <c r="E1271" i="32"/>
  <c r="N1270" i="32"/>
  <c r="M1270" i="32"/>
  <c r="H1270" i="32"/>
  <c r="G1270" i="32"/>
  <c r="F1270" i="32"/>
  <c r="E1270" i="32"/>
  <c r="N1269" i="32"/>
  <c r="Q1269" i="32" s="1"/>
  <c r="M1269" i="32"/>
  <c r="H1269" i="32"/>
  <c r="G1269" i="32"/>
  <c r="F1269" i="32"/>
  <c r="E1269" i="32"/>
  <c r="N1268" i="32"/>
  <c r="M1268" i="32"/>
  <c r="H1268" i="32"/>
  <c r="G1268" i="32"/>
  <c r="F1268" i="32"/>
  <c r="E1268" i="32"/>
  <c r="N1267" i="32"/>
  <c r="M1267" i="32"/>
  <c r="H1267" i="32"/>
  <c r="G1267" i="32"/>
  <c r="F1267" i="32"/>
  <c r="E1267" i="32"/>
  <c r="N1266" i="32"/>
  <c r="S1266" i="32" s="1"/>
  <c r="M1266" i="32"/>
  <c r="H1266" i="32"/>
  <c r="G1266" i="32"/>
  <c r="F1266" i="32"/>
  <c r="E1266" i="32"/>
  <c r="N1265" i="32"/>
  <c r="Q1265" i="32" s="1"/>
  <c r="M1265" i="32"/>
  <c r="H1265" i="32"/>
  <c r="G1265" i="32"/>
  <c r="F1265" i="32"/>
  <c r="E1265" i="32"/>
  <c r="N1264" i="32"/>
  <c r="S1264" i="32" s="1"/>
  <c r="M1264" i="32"/>
  <c r="H1264" i="32"/>
  <c r="G1264" i="32"/>
  <c r="F1264" i="32"/>
  <c r="E1264" i="32"/>
  <c r="N1263" i="32"/>
  <c r="R1263" i="32" s="1"/>
  <c r="M1263" i="32"/>
  <c r="H1263" i="32"/>
  <c r="G1263" i="32"/>
  <c r="F1263" i="32"/>
  <c r="E1263" i="32"/>
  <c r="N1262" i="32"/>
  <c r="M1262" i="32"/>
  <c r="H1262" i="32"/>
  <c r="G1262" i="32"/>
  <c r="F1262" i="32"/>
  <c r="E1262" i="32"/>
  <c r="N1261" i="32"/>
  <c r="M1261" i="32"/>
  <c r="H1261" i="32"/>
  <c r="G1261" i="32"/>
  <c r="F1261" i="32"/>
  <c r="E1261" i="32"/>
  <c r="N1260" i="32"/>
  <c r="Q1260" i="32" s="1"/>
  <c r="M1260" i="32"/>
  <c r="H1260" i="32"/>
  <c r="G1260" i="32"/>
  <c r="F1260" i="32"/>
  <c r="E1260" i="32"/>
  <c r="N1259" i="32"/>
  <c r="M1259" i="32"/>
  <c r="H1259" i="32"/>
  <c r="G1259" i="32"/>
  <c r="F1259" i="32"/>
  <c r="E1259" i="32"/>
  <c r="N1258" i="32"/>
  <c r="M1258" i="32"/>
  <c r="H1258" i="32"/>
  <c r="G1258" i="32"/>
  <c r="F1258" i="32"/>
  <c r="E1258" i="32"/>
  <c r="N1257" i="32"/>
  <c r="Q1257" i="32" s="1"/>
  <c r="M1257" i="32"/>
  <c r="H1257" i="32"/>
  <c r="G1257" i="32"/>
  <c r="F1257" i="32"/>
  <c r="E1257" i="32"/>
  <c r="N1256" i="32"/>
  <c r="S1256" i="32" s="1"/>
  <c r="M1256" i="32"/>
  <c r="H1256" i="32"/>
  <c r="G1256" i="32"/>
  <c r="F1256" i="32"/>
  <c r="E1256" i="32"/>
  <c r="N1255" i="32"/>
  <c r="M1255" i="32"/>
  <c r="H1255" i="32"/>
  <c r="G1255" i="32"/>
  <c r="F1255" i="32"/>
  <c r="E1255" i="32"/>
  <c r="N1254" i="32"/>
  <c r="S1254" i="32" s="1"/>
  <c r="M1254" i="32"/>
  <c r="H1254" i="32"/>
  <c r="G1254" i="32"/>
  <c r="F1254" i="32"/>
  <c r="E1254" i="32"/>
  <c r="N1253" i="32"/>
  <c r="M1253" i="32"/>
  <c r="H1253" i="32"/>
  <c r="G1253" i="32"/>
  <c r="F1253" i="32"/>
  <c r="E1253" i="32"/>
  <c r="N1252" i="32"/>
  <c r="Q1252" i="32" s="1"/>
  <c r="M1252" i="32"/>
  <c r="H1252" i="32"/>
  <c r="G1252" i="32"/>
  <c r="F1252" i="32"/>
  <c r="E1252" i="32"/>
  <c r="N1251" i="32"/>
  <c r="M1251" i="32"/>
  <c r="H1251" i="32"/>
  <c r="G1251" i="32"/>
  <c r="F1251" i="32"/>
  <c r="E1251" i="32"/>
  <c r="N1250" i="32"/>
  <c r="M1250" i="32"/>
  <c r="H1250" i="32"/>
  <c r="G1250" i="32"/>
  <c r="F1250" i="32"/>
  <c r="E1250" i="32"/>
  <c r="N1249" i="32"/>
  <c r="R1249" i="32" s="1"/>
  <c r="M1249" i="32"/>
  <c r="H1249" i="32"/>
  <c r="G1249" i="32"/>
  <c r="F1249" i="32"/>
  <c r="E1249" i="32"/>
  <c r="N1248" i="32"/>
  <c r="S1248" i="32" s="1"/>
  <c r="M1248" i="32"/>
  <c r="H1248" i="32"/>
  <c r="G1248" i="32"/>
  <c r="F1248" i="32"/>
  <c r="E1248" i="32"/>
  <c r="N1247" i="32"/>
  <c r="Q1247" i="32" s="1"/>
  <c r="M1247" i="32"/>
  <c r="H1247" i="32"/>
  <c r="G1247" i="32"/>
  <c r="F1247" i="32"/>
  <c r="E1247" i="32"/>
  <c r="N1246" i="32"/>
  <c r="S1246" i="32" s="1"/>
  <c r="M1246" i="32"/>
  <c r="H1246" i="32"/>
  <c r="G1246" i="32"/>
  <c r="F1246" i="32"/>
  <c r="E1246" i="32"/>
  <c r="N1245" i="32"/>
  <c r="S1245" i="32" s="1"/>
  <c r="M1245" i="32"/>
  <c r="H1245" i="32"/>
  <c r="G1245" i="32"/>
  <c r="F1245" i="32"/>
  <c r="E1245" i="32"/>
  <c r="N1244" i="32"/>
  <c r="R1244" i="32" s="1"/>
  <c r="M1244" i="32"/>
  <c r="H1244" i="32"/>
  <c r="G1244" i="32"/>
  <c r="F1244" i="32"/>
  <c r="E1244" i="32"/>
  <c r="N1243" i="32"/>
  <c r="M1243" i="32"/>
  <c r="H1243" i="32"/>
  <c r="G1243" i="32"/>
  <c r="F1243" i="32"/>
  <c r="E1243" i="32"/>
  <c r="N1242" i="32"/>
  <c r="S1242" i="32" s="1"/>
  <c r="M1242" i="32"/>
  <c r="H1242" i="32"/>
  <c r="G1242" i="32"/>
  <c r="F1242" i="32"/>
  <c r="E1242" i="32"/>
  <c r="N1241" i="32"/>
  <c r="Q1241" i="32" s="1"/>
  <c r="M1241" i="32"/>
  <c r="H1241" i="32"/>
  <c r="G1241" i="32"/>
  <c r="F1241" i="32"/>
  <c r="E1241" i="32"/>
  <c r="N1240" i="32"/>
  <c r="S1240" i="32" s="1"/>
  <c r="M1240" i="32"/>
  <c r="H1240" i="32"/>
  <c r="G1240" i="32"/>
  <c r="F1240" i="32"/>
  <c r="E1240" i="32"/>
  <c r="N1239" i="32"/>
  <c r="S1239" i="32" s="1"/>
  <c r="M1239" i="32"/>
  <c r="H1239" i="32"/>
  <c r="G1239" i="32"/>
  <c r="F1239" i="32"/>
  <c r="E1239" i="32"/>
  <c r="N1238" i="32"/>
  <c r="S1238" i="32" s="1"/>
  <c r="M1238" i="32"/>
  <c r="H1238" i="32"/>
  <c r="G1238" i="32"/>
  <c r="F1238" i="32"/>
  <c r="E1238" i="32"/>
  <c r="N1237" i="32"/>
  <c r="M1237" i="32"/>
  <c r="H1237" i="32"/>
  <c r="G1237" i="32"/>
  <c r="F1237" i="32"/>
  <c r="E1237" i="32"/>
  <c r="N1236" i="32"/>
  <c r="M1236" i="32"/>
  <c r="H1236" i="32"/>
  <c r="G1236" i="32"/>
  <c r="F1236" i="32"/>
  <c r="E1236" i="32"/>
  <c r="N1235" i="32"/>
  <c r="M1235" i="32"/>
  <c r="H1235" i="32"/>
  <c r="G1235" i="32"/>
  <c r="F1235" i="32"/>
  <c r="E1235" i="32"/>
  <c r="N1234" i="32"/>
  <c r="M1234" i="32"/>
  <c r="H1234" i="32"/>
  <c r="G1234" i="32"/>
  <c r="F1234" i="32"/>
  <c r="E1234" i="32"/>
  <c r="N1233" i="32"/>
  <c r="R1233" i="32" s="1"/>
  <c r="M1233" i="32"/>
  <c r="H1233" i="32"/>
  <c r="G1233" i="32"/>
  <c r="F1233" i="32"/>
  <c r="E1233" i="32"/>
  <c r="N1232" i="32"/>
  <c r="S1232" i="32" s="1"/>
  <c r="M1232" i="32"/>
  <c r="H1232" i="32"/>
  <c r="G1232" i="32"/>
  <c r="F1232" i="32"/>
  <c r="E1232" i="32"/>
  <c r="N1231" i="32"/>
  <c r="M1231" i="32"/>
  <c r="H1231" i="32"/>
  <c r="G1231" i="32"/>
  <c r="F1231" i="32"/>
  <c r="E1231" i="32"/>
  <c r="N1230" i="32"/>
  <c r="M1230" i="32"/>
  <c r="H1230" i="32"/>
  <c r="G1230" i="32"/>
  <c r="F1230" i="32"/>
  <c r="E1230" i="32"/>
  <c r="N1229" i="32"/>
  <c r="Q1229" i="32" s="1"/>
  <c r="M1229" i="32"/>
  <c r="H1229" i="32"/>
  <c r="G1229" i="32"/>
  <c r="F1229" i="32"/>
  <c r="E1229" i="32"/>
  <c r="N1228" i="32"/>
  <c r="R1228" i="32" s="1"/>
  <c r="M1228" i="32"/>
  <c r="H1228" i="32"/>
  <c r="G1228" i="32"/>
  <c r="F1228" i="32"/>
  <c r="E1228" i="32"/>
  <c r="N1227" i="32"/>
  <c r="M1227" i="32"/>
  <c r="H1227" i="32"/>
  <c r="G1227" i="32"/>
  <c r="F1227" i="32"/>
  <c r="E1227" i="32"/>
  <c r="N1226" i="32"/>
  <c r="M1226" i="32"/>
  <c r="H1226" i="32"/>
  <c r="G1226" i="32"/>
  <c r="F1226" i="32"/>
  <c r="E1226" i="32"/>
  <c r="N1225" i="32"/>
  <c r="R1225" i="32" s="1"/>
  <c r="M1225" i="32"/>
  <c r="H1225" i="32"/>
  <c r="G1225" i="32"/>
  <c r="F1225" i="32"/>
  <c r="E1225" i="32"/>
  <c r="N1224" i="32"/>
  <c r="S1224" i="32" s="1"/>
  <c r="M1224" i="32"/>
  <c r="H1224" i="32"/>
  <c r="G1224" i="32"/>
  <c r="F1224" i="32"/>
  <c r="E1224" i="32"/>
  <c r="N1223" i="32"/>
  <c r="R1223" i="32" s="1"/>
  <c r="M1223" i="32"/>
  <c r="H1223" i="32"/>
  <c r="G1223" i="32"/>
  <c r="F1223" i="32"/>
  <c r="E1223" i="32"/>
  <c r="N1222" i="32"/>
  <c r="M1222" i="32"/>
  <c r="H1222" i="32"/>
  <c r="G1222" i="32"/>
  <c r="F1222" i="32"/>
  <c r="E1222" i="32"/>
  <c r="N1221" i="32"/>
  <c r="M1221" i="32"/>
  <c r="H1221" i="32"/>
  <c r="G1221" i="32"/>
  <c r="F1221" i="32"/>
  <c r="E1221" i="32"/>
  <c r="N1220" i="32"/>
  <c r="Q1220" i="32" s="1"/>
  <c r="M1220" i="32"/>
  <c r="H1220" i="32"/>
  <c r="G1220" i="32"/>
  <c r="F1220" i="32"/>
  <c r="E1220" i="32"/>
  <c r="N1219" i="32"/>
  <c r="M1219" i="32"/>
  <c r="H1219" i="32"/>
  <c r="G1219" i="32"/>
  <c r="F1219" i="32"/>
  <c r="E1219" i="32"/>
  <c r="N1218" i="32"/>
  <c r="M1218" i="32"/>
  <c r="H1218" i="32"/>
  <c r="G1218" i="32"/>
  <c r="F1218" i="32"/>
  <c r="E1218" i="32"/>
  <c r="N1217" i="32"/>
  <c r="M1217" i="32"/>
  <c r="H1217" i="32"/>
  <c r="G1217" i="32"/>
  <c r="F1217" i="32"/>
  <c r="E1217" i="32"/>
  <c r="N1216" i="32"/>
  <c r="S1216" i="32" s="1"/>
  <c r="M1216" i="32"/>
  <c r="H1216" i="32"/>
  <c r="G1216" i="32"/>
  <c r="F1216" i="32"/>
  <c r="E1216" i="32"/>
  <c r="N1215" i="32"/>
  <c r="R1215" i="32" s="1"/>
  <c r="M1215" i="32"/>
  <c r="H1215" i="32"/>
  <c r="G1215" i="32"/>
  <c r="F1215" i="32"/>
  <c r="E1215" i="32"/>
  <c r="N1214" i="32"/>
  <c r="S1214" i="32" s="1"/>
  <c r="M1214" i="32"/>
  <c r="H1214" i="32"/>
  <c r="G1214" i="32"/>
  <c r="F1214" i="32"/>
  <c r="E1214" i="32"/>
  <c r="N1213" i="32"/>
  <c r="R1213" i="32" s="1"/>
  <c r="M1213" i="32"/>
  <c r="H1213" i="32"/>
  <c r="G1213" i="32"/>
  <c r="F1213" i="32"/>
  <c r="E1213" i="32"/>
  <c r="N1212" i="32"/>
  <c r="Q1212" i="32" s="1"/>
  <c r="M1212" i="32"/>
  <c r="H1212" i="32"/>
  <c r="G1212" i="32"/>
  <c r="F1212" i="32"/>
  <c r="E1212" i="32"/>
  <c r="N1211" i="32"/>
  <c r="M1211" i="32"/>
  <c r="H1211" i="32"/>
  <c r="G1211" i="32"/>
  <c r="F1211" i="32"/>
  <c r="E1211" i="32"/>
  <c r="N1210" i="32"/>
  <c r="M1210" i="32"/>
  <c r="H1210" i="32"/>
  <c r="G1210" i="32"/>
  <c r="F1210" i="32"/>
  <c r="E1210" i="32"/>
  <c r="N1209" i="32"/>
  <c r="Q1209" i="32" s="1"/>
  <c r="M1209" i="32"/>
  <c r="H1209" i="32"/>
  <c r="G1209" i="32"/>
  <c r="F1209" i="32"/>
  <c r="E1209" i="32"/>
  <c r="N1208" i="32"/>
  <c r="S1208" i="32" s="1"/>
  <c r="M1208" i="32"/>
  <c r="H1208" i="32"/>
  <c r="G1208" i="32"/>
  <c r="F1208" i="32"/>
  <c r="E1208" i="32"/>
  <c r="N1207" i="32"/>
  <c r="M1207" i="32"/>
  <c r="H1207" i="32"/>
  <c r="G1207" i="32"/>
  <c r="F1207" i="32"/>
  <c r="E1207" i="32"/>
  <c r="N1206" i="32"/>
  <c r="S1206" i="32" s="1"/>
  <c r="M1206" i="32"/>
  <c r="H1206" i="32"/>
  <c r="G1206" i="32"/>
  <c r="F1206" i="32"/>
  <c r="E1206" i="32"/>
  <c r="N1205" i="32"/>
  <c r="S1205" i="32" s="1"/>
  <c r="M1205" i="32"/>
  <c r="H1205" i="32"/>
  <c r="G1205" i="32"/>
  <c r="F1205" i="32"/>
  <c r="E1205" i="32"/>
  <c r="N1204" i="32"/>
  <c r="Q1204" i="32" s="1"/>
  <c r="M1204" i="32"/>
  <c r="H1204" i="32"/>
  <c r="G1204" i="32"/>
  <c r="F1204" i="32"/>
  <c r="E1204" i="32"/>
  <c r="N1203" i="32"/>
  <c r="M1203" i="32"/>
  <c r="H1203" i="32"/>
  <c r="G1203" i="32"/>
  <c r="F1203" i="32"/>
  <c r="E1203" i="32"/>
  <c r="N1202" i="32"/>
  <c r="M1202" i="32"/>
  <c r="H1202" i="32"/>
  <c r="G1202" i="32"/>
  <c r="F1202" i="32"/>
  <c r="E1202" i="32"/>
  <c r="N1201" i="32"/>
  <c r="R1201" i="32" s="1"/>
  <c r="M1201" i="32"/>
  <c r="H1201" i="32"/>
  <c r="G1201" i="32"/>
  <c r="F1201" i="32"/>
  <c r="E1201" i="32"/>
  <c r="N1200" i="32"/>
  <c r="S1200" i="32" s="1"/>
  <c r="M1200" i="32"/>
  <c r="H1200" i="32"/>
  <c r="G1200" i="32"/>
  <c r="F1200" i="32"/>
  <c r="E1200" i="32"/>
  <c r="N1199" i="32"/>
  <c r="Q1199" i="32" s="1"/>
  <c r="M1199" i="32"/>
  <c r="H1199" i="32"/>
  <c r="G1199" i="32"/>
  <c r="F1199" i="32"/>
  <c r="E1199" i="32"/>
  <c r="N1198" i="32"/>
  <c r="S1198" i="32" s="1"/>
  <c r="M1198" i="32"/>
  <c r="H1198" i="32"/>
  <c r="G1198" i="32"/>
  <c r="F1198" i="32"/>
  <c r="E1198" i="32"/>
  <c r="N1197" i="32"/>
  <c r="S1197" i="32" s="1"/>
  <c r="M1197" i="32"/>
  <c r="H1197" i="32"/>
  <c r="G1197" i="32"/>
  <c r="F1197" i="32"/>
  <c r="E1197" i="32"/>
  <c r="N1196" i="32"/>
  <c r="R1196" i="32" s="1"/>
  <c r="M1196" i="32"/>
  <c r="H1196" i="32"/>
  <c r="G1196" i="32"/>
  <c r="F1196" i="32"/>
  <c r="E1196" i="32"/>
  <c r="N1195" i="32"/>
  <c r="M1195" i="32"/>
  <c r="H1195" i="32"/>
  <c r="G1195" i="32"/>
  <c r="F1195" i="32"/>
  <c r="E1195" i="32"/>
  <c r="N1194" i="32"/>
  <c r="S1194" i="32" s="1"/>
  <c r="M1194" i="32"/>
  <c r="H1194" i="32"/>
  <c r="G1194" i="32"/>
  <c r="F1194" i="32"/>
  <c r="E1194" i="32"/>
  <c r="N1193" i="32"/>
  <c r="M1193" i="32"/>
  <c r="H1193" i="32"/>
  <c r="G1193" i="32"/>
  <c r="F1193" i="32"/>
  <c r="E1193" i="32"/>
  <c r="N1192" i="32"/>
  <c r="S1192" i="32" s="1"/>
  <c r="M1192" i="32"/>
  <c r="H1192" i="32"/>
  <c r="G1192" i="32"/>
  <c r="F1192" i="32"/>
  <c r="E1192" i="32"/>
  <c r="N1191" i="32"/>
  <c r="M1191" i="32"/>
  <c r="H1191" i="32"/>
  <c r="G1191" i="32"/>
  <c r="F1191" i="32"/>
  <c r="E1191" i="32"/>
  <c r="N1190" i="32"/>
  <c r="S1190" i="32" s="1"/>
  <c r="M1190" i="32"/>
  <c r="H1190" i="32"/>
  <c r="G1190" i="32"/>
  <c r="F1190" i="32"/>
  <c r="E1190" i="32"/>
  <c r="N1189" i="32"/>
  <c r="R1189" i="32" s="1"/>
  <c r="M1189" i="32"/>
  <c r="H1189" i="32"/>
  <c r="G1189" i="32"/>
  <c r="F1189" i="32"/>
  <c r="E1189" i="32"/>
  <c r="N1188" i="32"/>
  <c r="M1188" i="32"/>
  <c r="H1188" i="32"/>
  <c r="G1188" i="32"/>
  <c r="F1188" i="32"/>
  <c r="E1188" i="32"/>
  <c r="N1187" i="32"/>
  <c r="M1187" i="32"/>
  <c r="H1187" i="32"/>
  <c r="G1187" i="32"/>
  <c r="F1187" i="32"/>
  <c r="E1187" i="32"/>
  <c r="N1186" i="32"/>
  <c r="S1186" i="32" s="1"/>
  <c r="M1186" i="32"/>
  <c r="H1186" i="32"/>
  <c r="G1186" i="32"/>
  <c r="F1186" i="32"/>
  <c r="E1186" i="32"/>
  <c r="N1185" i="32"/>
  <c r="M1185" i="32"/>
  <c r="H1185" i="32"/>
  <c r="G1185" i="32"/>
  <c r="F1185" i="32"/>
  <c r="E1185" i="32"/>
  <c r="N1184" i="32"/>
  <c r="S1184" i="32" s="1"/>
  <c r="M1184" i="32"/>
  <c r="H1184" i="32"/>
  <c r="G1184" i="32"/>
  <c r="F1184" i="32"/>
  <c r="E1184" i="32"/>
  <c r="N1183" i="32"/>
  <c r="R1183" i="32" s="1"/>
  <c r="M1183" i="32"/>
  <c r="H1183" i="32"/>
  <c r="G1183" i="32"/>
  <c r="F1183" i="32"/>
  <c r="E1183" i="32"/>
  <c r="N1182" i="32"/>
  <c r="S1182" i="32" s="1"/>
  <c r="M1182" i="32"/>
  <c r="H1182" i="32"/>
  <c r="G1182" i="32"/>
  <c r="F1182" i="32"/>
  <c r="E1182" i="32"/>
  <c r="N1181" i="32"/>
  <c r="R1181" i="32" s="1"/>
  <c r="M1181" i="32"/>
  <c r="H1181" i="32"/>
  <c r="G1181" i="32"/>
  <c r="F1181" i="32"/>
  <c r="E1181" i="32"/>
  <c r="N1180" i="32"/>
  <c r="Q1180" i="32" s="1"/>
  <c r="M1180" i="32"/>
  <c r="H1180" i="32"/>
  <c r="G1180" i="32"/>
  <c r="F1180" i="32"/>
  <c r="E1180" i="32"/>
  <c r="N1179" i="32"/>
  <c r="M1179" i="32"/>
  <c r="H1179" i="32"/>
  <c r="G1179" i="32"/>
  <c r="F1179" i="32"/>
  <c r="E1179" i="32"/>
  <c r="N1178" i="32"/>
  <c r="S1178" i="32" s="1"/>
  <c r="M1178" i="32"/>
  <c r="H1178" i="32"/>
  <c r="G1178" i="32"/>
  <c r="F1178" i="32"/>
  <c r="E1178" i="32"/>
  <c r="N1177" i="32"/>
  <c r="M1177" i="32"/>
  <c r="H1177" i="32"/>
  <c r="G1177" i="32"/>
  <c r="F1177" i="32"/>
  <c r="E1177" i="32"/>
  <c r="N1176" i="32"/>
  <c r="S1176" i="32" s="1"/>
  <c r="M1176" i="32"/>
  <c r="H1176" i="32"/>
  <c r="G1176" i="32"/>
  <c r="F1176" i="32"/>
  <c r="E1176" i="32"/>
  <c r="N1175" i="32"/>
  <c r="M1175" i="32"/>
  <c r="H1175" i="32"/>
  <c r="G1175" i="32"/>
  <c r="F1175" i="32"/>
  <c r="E1175" i="32"/>
  <c r="N1174" i="32"/>
  <c r="S1174" i="32" s="1"/>
  <c r="M1174" i="32"/>
  <c r="H1174" i="32"/>
  <c r="G1174" i="32"/>
  <c r="F1174" i="32"/>
  <c r="E1174" i="32"/>
  <c r="N1173" i="32"/>
  <c r="M1173" i="32"/>
  <c r="H1173" i="32"/>
  <c r="G1173" i="32"/>
  <c r="F1173" i="32"/>
  <c r="E1173" i="32"/>
  <c r="N1172" i="32"/>
  <c r="Q1172" i="32" s="1"/>
  <c r="M1172" i="32"/>
  <c r="H1172" i="32"/>
  <c r="G1172" i="32"/>
  <c r="F1172" i="32"/>
  <c r="E1172" i="32"/>
  <c r="N1171" i="32"/>
  <c r="M1171" i="32"/>
  <c r="H1171" i="32"/>
  <c r="G1171" i="32"/>
  <c r="F1171" i="32"/>
  <c r="E1171" i="32"/>
  <c r="N1170" i="32"/>
  <c r="S1170" i="32" s="1"/>
  <c r="M1170" i="32"/>
  <c r="H1170" i="32"/>
  <c r="G1170" i="32"/>
  <c r="F1170" i="32"/>
  <c r="E1170" i="32"/>
  <c r="N1169" i="32"/>
  <c r="R1169" i="32" s="1"/>
  <c r="M1169" i="32"/>
  <c r="H1169" i="32"/>
  <c r="G1169" i="32"/>
  <c r="F1169" i="32"/>
  <c r="E1169" i="32"/>
  <c r="N1168" i="32"/>
  <c r="S1168" i="32" s="1"/>
  <c r="M1168" i="32"/>
  <c r="H1168" i="32"/>
  <c r="G1168" i="32"/>
  <c r="F1168" i="32"/>
  <c r="E1168" i="32"/>
  <c r="N1167" i="32"/>
  <c r="S1167" i="32" s="1"/>
  <c r="M1167" i="32"/>
  <c r="H1167" i="32"/>
  <c r="G1167" i="32"/>
  <c r="F1167" i="32"/>
  <c r="E1167" i="32"/>
  <c r="N1166" i="32"/>
  <c r="S1166" i="32" s="1"/>
  <c r="M1166" i="32"/>
  <c r="H1166" i="32"/>
  <c r="G1166" i="32"/>
  <c r="F1166" i="32"/>
  <c r="E1166" i="32"/>
  <c r="N1165" i="32"/>
  <c r="R1165" i="32" s="1"/>
  <c r="M1165" i="32"/>
  <c r="H1165" i="32"/>
  <c r="G1165" i="32"/>
  <c r="F1165" i="32"/>
  <c r="E1165" i="32"/>
  <c r="N1164" i="32"/>
  <c r="M1164" i="32"/>
  <c r="H1164" i="32"/>
  <c r="G1164" i="32"/>
  <c r="F1164" i="32"/>
  <c r="E1164" i="32"/>
  <c r="N1163" i="32"/>
  <c r="M1163" i="32"/>
  <c r="H1163" i="32"/>
  <c r="G1163" i="32"/>
  <c r="F1163" i="32"/>
  <c r="E1163" i="32"/>
  <c r="N1162" i="32"/>
  <c r="S1162" i="32" s="1"/>
  <c r="M1162" i="32"/>
  <c r="H1162" i="32"/>
  <c r="G1162" i="32"/>
  <c r="F1162" i="32"/>
  <c r="E1162" i="32"/>
  <c r="N1161" i="32"/>
  <c r="R1161" i="32" s="1"/>
  <c r="M1161" i="32"/>
  <c r="H1161" i="32"/>
  <c r="G1161" i="32"/>
  <c r="F1161" i="32"/>
  <c r="E1161" i="32"/>
  <c r="N1160" i="32"/>
  <c r="S1160" i="32" s="1"/>
  <c r="M1160" i="32"/>
  <c r="H1160" i="32"/>
  <c r="G1160" i="32"/>
  <c r="F1160" i="32"/>
  <c r="E1160" i="32"/>
  <c r="N1159" i="32"/>
  <c r="S1159" i="32" s="1"/>
  <c r="M1159" i="32"/>
  <c r="H1159" i="32"/>
  <c r="G1159" i="32"/>
  <c r="F1159" i="32"/>
  <c r="E1159" i="32"/>
  <c r="N1158" i="32"/>
  <c r="M1158" i="32"/>
  <c r="H1158" i="32"/>
  <c r="G1158" i="32"/>
  <c r="F1158" i="32"/>
  <c r="E1158" i="32"/>
  <c r="N1157" i="32"/>
  <c r="M1157" i="32"/>
  <c r="H1157" i="32"/>
  <c r="G1157" i="32"/>
  <c r="F1157" i="32"/>
  <c r="E1157" i="32"/>
  <c r="N1156" i="32"/>
  <c r="Q1156" i="32" s="1"/>
  <c r="M1156" i="32"/>
  <c r="H1156" i="32"/>
  <c r="G1156" i="32"/>
  <c r="F1156" i="32"/>
  <c r="E1156" i="32"/>
  <c r="N1155" i="32"/>
  <c r="M1155" i="32"/>
  <c r="H1155" i="32"/>
  <c r="G1155" i="32"/>
  <c r="F1155" i="32"/>
  <c r="E1155" i="32"/>
  <c r="N1154" i="32"/>
  <c r="S1154" i="32" s="1"/>
  <c r="M1154" i="32"/>
  <c r="H1154" i="32"/>
  <c r="G1154" i="32"/>
  <c r="F1154" i="32"/>
  <c r="E1154" i="32"/>
  <c r="N1153" i="32"/>
  <c r="R1153" i="32" s="1"/>
  <c r="M1153" i="32"/>
  <c r="H1153" i="32"/>
  <c r="G1153" i="32"/>
  <c r="F1153" i="32"/>
  <c r="E1153" i="32"/>
  <c r="N1152" i="32"/>
  <c r="S1152" i="32" s="1"/>
  <c r="M1152" i="32"/>
  <c r="H1152" i="32"/>
  <c r="G1152" i="32"/>
  <c r="F1152" i="32"/>
  <c r="E1152" i="32"/>
  <c r="N1151" i="32"/>
  <c r="S1151" i="32" s="1"/>
  <c r="M1151" i="32"/>
  <c r="H1151" i="32"/>
  <c r="G1151" i="32"/>
  <c r="F1151" i="32"/>
  <c r="E1151" i="32"/>
  <c r="N1150" i="32"/>
  <c r="S1150" i="32" s="1"/>
  <c r="M1150" i="32"/>
  <c r="H1150" i="32"/>
  <c r="G1150" i="32"/>
  <c r="F1150" i="32"/>
  <c r="E1150" i="32"/>
  <c r="N1149" i="32"/>
  <c r="M1149" i="32"/>
  <c r="H1149" i="32"/>
  <c r="G1149" i="32"/>
  <c r="F1149" i="32"/>
  <c r="E1149" i="32"/>
  <c r="N1148" i="32"/>
  <c r="S1148" i="32" s="1"/>
  <c r="M1148" i="32"/>
  <c r="H1148" i="32"/>
  <c r="G1148" i="32"/>
  <c r="F1148" i="32"/>
  <c r="E1148" i="32"/>
  <c r="N1147" i="32"/>
  <c r="M1147" i="32"/>
  <c r="H1147" i="32"/>
  <c r="G1147" i="32"/>
  <c r="F1147" i="32"/>
  <c r="E1147" i="32"/>
  <c r="N1146" i="32"/>
  <c r="S1146" i="32" s="1"/>
  <c r="M1146" i="32"/>
  <c r="H1146" i="32"/>
  <c r="G1146" i="32"/>
  <c r="F1146" i="32"/>
  <c r="E1146" i="32"/>
  <c r="N1145" i="32"/>
  <c r="R1145" i="32" s="1"/>
  <c r="M1145" i="32"/>
  <c r="H1145" i="32"/>
  <c r="G1145" i="32"/>
  <c r="F1145" i="32"/>
  <c r="E1145" i="32"/>
  <c r="N1144" i="32"/>
  <c r="S1144" i="32" s="1"/>
  <c r="M1144" i="32"/>
  <c r="H1144" i="32"/>
  <c r="G1144" i="32"/>
  <c r="F1144" i="32"/>
  <c r="E1144" i="32"/>
  <c r="N1143" i="32"/>
  <c r="R1143" i="32" s="1"/>
  <c r="M1143" i="32"/>
  <c r="H1143" i="32"/>
  <c r="G1143" i="32"/>
  <c r="F1143" i="32"/>
  <c r="E1143" i="32"/>
  <c r="N1142" i="32"/>
  <c r="S1142" i="32" s="1"/>
  <c r="M1142" i="32"/>
  <c r="H1142" i="32"/>
  <c r="G1142" i="32"/>
  <c r="F1142" i="32"/>
  <c r="E1142" i="32"/>
  <c r="N1141" i="32"/>
  <c r="S1141" i="32" s="1"/>
  <c r="M1141" i="32"/>
  <c r="H1141" i="32"/>
  <c r="G1141" i="32"/>
  <c r="F1141" i="32"/>
  <c r="E1141" i="32"/>
  <c r="N1140" i="32"/>
  <c r="R1140" i="32" s="1"/>
  <c r="M1140" i="32"/>
  <c r="H1140" i="32"/>
  <c r="G1140" i="32"/>
  <c r="F1140" i="32"/>
  <c r="E1140" i="32"/>
  <c r="N1139" i="32"/>
  <c r="M1139" i="32"/>
  <c r="H1139" i="32"/>
  <c r="G1139" i="32"/>
  <c r="F1139" i="32"/>
  <c r="E1139" i="32"/>
  <c r="N1138" i="32"/>
  <c r="S1138" i="32" s="1"/>
  <c r="M1138" i="32"/>
  <c r="H1138" i="32"/>
  <c r="G1138" i="32"/>
  <c r="F1138" i="32"/>
  <c r="E1138" i="32"/>
  <c r="N1137" i="32"/>
  <c r="R1137" i="32" s="1"/>
  <c r="M1137" i="32"/>
  <c r="H1137" i="32"/>
  <c r="G1137" i="32"/>
  <c r="F1137" i="32"/>
  <c r="E1137" i="32"/>
  <c r="N1136" i="32"/>
  <c r="S1136" i="32" s="1"/>
  <c r="M1136" i="32"/>
  <c r="H1136" i="32"/>
  <c r="G1136" i="32"/>
  <c r="F1136" i="32"/>
  <c r="E1136" i="32"/>
  <c r="N1135" i="32"/>
  <c r="S1135" i="32" s="1"/>
  <c r="M1135" i="32"/>
  <c r="H1135" i="32"/>
  <c r="G1135" i="32"/>
  <c r="F1135" i="32"/>
  <c r="E1135" i="32"/>
  <c r="N1134" i="32"/>
  <c r="S1134" i="32" s="1"/>
  <c r="M1134" i="32"/>
  <c r="H1134" i="32"/>
  <c r="G1134" i="32"/>
  <c r="F1134" i="32"/>
  <c r="E1134" i="32"/>
  <c r="N1133" i="32"/>
  <c r="M1133" i="32"/>
  <c r="H1133" i="32"/>
  <c r="G1133" i="32"/>
  <c r="F1133" i="32"/>
  <c r="E1133" i="32"/>
  <c r="N1132" i="32"/>
  <c r="M1132" i="32"/>
  <c r="H1132" i="32"/>
  <c r="G1132" i="32"/>
  <c r="F1132" i="32"/>
  <c r="E1132" i="32"/>
  <c r="N1131" i="32"/>
  <c r="M1131" i="32"/>
  <c r="H1131" i="32"/>
  <c r="G1131" i="32"/>
  <c r="F1131" i="32"/>
  <c r="E1131" i="32"/>
  <c r="N1130" i="32"/>
  <c r="S1130" i="32" s="1"/>
  <c r="M1130" i="32"/>
  <c r="H1130" i="32"/>
  <c r="G1130" i="32"/>
  <c r="F1130" i="32"/>
  <c r="E1130" i="32"/>
  <c r="N1129" i="32"/>
  <c r="R1129" i="32" s="1"/>
  <c r="M1129" i="32"/>
  <c r="H1129" i="32"/>
  <c r="G1129" i="32"/>
  <c r="F1129" i="32"/>
  <c r="E1129" i="32"/>
  <c r="N1128" i="32"/>
  <c r="S1128" i="32" s="1"/>
  <c r="M1128" i="32"/>
  <c r="H1128" i="32"/>
  <c r="G1128" i="32"/>
  <c r="F1128" i="32"/>
  <c r="E1128" i="32"/>
  <c r="N1127" i="32"/>
  <c r="M1127" i="32"/>
  <c r="H1127" i="32"/>
  <c r="G1127" i="32"/>
  <c r="F1127" i="32"/>
  <c r="E1127" i="32"/>
  <c r="N1126" i="32"/>
  <c r="Q1126" i="32" s="1"/>
  <c r="M1126" i="32"/>
  <c r="H1126" i="32"/>
  <c r="G1126" i="32"/>
  <c r="F1126" i="32"/>
  <c r="E1126" i="32"/>
  <c r="N1125" i="32"/>
  <c r="M1125" i="32"/>
  <c r="H1125" i="32"/>
  <c r="G1125" i="32"/>
  <c r="F1125" i="32"/>
  <c r="E1125" i="32"/>
  <c r="N1124" i="32"/>
  <c r="R1124" i="32" s="1"/>
  <c r="M1124" i="32"/>
  <c r="H1124" i="32"/>
  <c r="G1124" i="32"/>
  <c r="F1124" i="32"/>
  <c r="E1124" i="32"/>
  <c r="N1123" i="32"/>
  <c r="M1123" i="32"/>
  <c r="H1123" i="32"/>
  <c r="G1123" i="32"/>
  <c r="F1123" i="32"/>
  <c r="E1123" i="32"/>
  <c r="N1122" i="32"/>
  <c r="S1122" i="32" s="1"/>
  <c r="M1122" i="32"/>
  <c r="H1122" i="32"/>
  <c r="G1122" i="32"/>
  <c r="F1122" i="32"/>
  <c r="E1122" i="32"/>
  <c r="N1121" i="32"/>
  <c r="S1121" i="32" s="1"/>
  <c r="M1121" i="32"/>
  <c r="H1121" i="32"/>
  <c r="G1121" i="32"/>
  <c r="F1121" i="32"/>
  <c r="E1121" i="32"/>
  <c r="N1120" i="32"/>
  <c r="M1120" i="32"/>
  <c r="H1120" i="32"/>
  <c r="G1120" i="32"/>
  <c r="F1120" i="32"/>
  <c r="E1120" i="32"/>
  <c r="N1119" i="32"/>
  <c r="R1119" i="32" s="1"/>
  <c r="M1119" i="32"/>
  <c r="H1119" i="32"/>
  <c r="G1119" i="32"/>
  <c r="F1119" i="32"/>
  <c r="E1119" i="32"/>
  <c r="N1118" i="32"/>
  <c r="Q1118" i="32" s="1"/>
  <c r="M1118" i="32"/>
  <c r="H1118" i="32"/>
  <c r="G1118" i="32"/>
  <c r="F1118" i="32"/>
  <c r="E1118" i="32"/>
  <c r="N1117" i="32"/>
  <c r="M1117" i="32"/>
  <c r="H1117" i="32"/>
  <c r="G1117" i="32"/>
  <c r="F1117" i="32"/>
  <c r="E1117" i="32"/>
  <c r="N1116" i="32"/>
  <c r="M1116" i="32"/>
  <c r="H1116" i="32"/>
  <c r="G1116" i="32"/>
  <c r="F1116" i="32"/>
  <c r="E1116" i="32"/>
  <c r="N1115" i="32"/>
  <c r="S1115" i="32" s="1"/>
  <c r="M1115" i="32"/>
  <c r="H1115" i="32"/>
  <c r="G1115" i="32"/>
  <c r="F1115" i="32"/>
  <c r="E1115" i="32"/>
  <c r="N1114" i="32"/>
  <c r="R1114" i="32" s="1"/>
  <c r="M1114" i="32"/>
  <c r="H1114" i="32"/>
  <c r="G1114" i="32"/>
  <c r="F1114" i="32"/>
  <c r="E1114" i="32"/>
  <c r="N1113" i="32"/>
  <c r="M1113" i="32"/>
  <c r="H1113" i="32"/>
  <c r="G1113" i="32"/>
  <c r="F1113" i="32"/>
  <c r="E1113" i="32"/>
  <c r="N1112" i="32"/>
  <c r="S1112" i="32" s="1"/>
  <c r="M1112" i="32"/>
  <c r="H1112" i="32"/>
  <c r="G1112" i="32"/>
  <c r="F1112" i="32"/>
  <c r="E1112" i="32"/>
  <c r="N1111" i="32"/>
  <c r="Q1111" i="32" s="1"/>
  <c r="M1111" i="32"/>
  <c r="H1111" i="32"/>
  <c r="G1111" i="32"/>
  <c r="F1111" i="32"/>
  <c r="E1111" i="32"/>
  <c r="N1110" i="32"/>
  <c r="Q1110" i="32" s="1"/>
  <c r="M1110" i="32"/>
  <c r="H1110" i="32"/>
  <c r="G1110" i="32"/>
  <c r="F1110" i="32"/>
  <c r="E1110" i="32"/>
  <c r="N1109" i="32"/>
  <c r="R1109" i="32" s="1"/>
  <c r="M1109" i="32"/>
  <c r="H1109" i="32"/>
  <c r="G1109" i="32"/>
  <c r="F1109" i="32"/>
  <c r="E1109" i="32"/>
  <c r="N1108" i="32"/>
  <c r="M1108" i="32"/>
  <c r="H1108" i="32"/>
  <c r="G1108" i="32"/>
  <c r="F1108" i="32"/>
  <c r="E1108" i="32"/>
  <c r="N1107" i="32"/>
  <c r="M1107" i="32"/>
  <c r="H1107" i="32"/>
  <c r="G1107" i="32"/>
  <c r="F1107" i="32"/>
  <c r="E1107" i="32"/>
  <c r="N1106" i="32"/>
  <c r="R1106" i="32" s="1"/>
  <c r="M1106" i="32"/>
  <c r="H1106" i="32"/>
  <c r="G1106" i="32"/>
  <c r="F1106" i="32"/>
  <c r="E1106" i="32"/>
  <c r="N1105" i="32"/>
  <c r="R1105" i="32" s="1"/>
  <c r="M1105" i="32"/>
  <c r="H1105" i="32"/>
  <c r="G1105" i="32"/>
  <c r="F1105" i="32"/>
  <c r="E1105" i="32"/>
  <c r="N1104" i="32"/>
  <c r="M1104" i="32"/>
  <c r="H1104" i="32"/>
  <c r="G1104" i="32"/>
  <c r="F1104" i="32"/>
  <c r="E1104" i="32"/>
  <c r="N1103" i="32"/>
  <c r="M1103" i="32"/>
  <c r="H1103" i="32"/>
  <c r="G1103" i="32"/>
  <c r="F1103" i="32"/>
  <c r="E1103" i="32"/>
  <c r="N1102" i="32"/>
  <c r="S1102" i="32" s="1"/>
  <c r="M1102" i="32"/>
  <c r="H1102" i="32"/>
  <c r="G1102" i="32"/>
  <c r="F1102" i="32"/>
  <c r="E1102" i="32"/>
  <c r="N1101" i="32"/>
  <c r="M1101" i="32"/>
  <c r="H1101" i="32"/>
  <c r="G1101" i="32"/>
  <c r="F1101" i="32"/>
  <c r="E1101" i="32"/>
  <c r="N1100" i="32"/>
  <c r="Q1100" i="32" s="1"/>
  <c r="M1100" i="32"/>
  <c r="H1100" i="32"/>
  <c r="G1100" i="32"/>
  <c r="F1100" i="32"/>
  <c r="E1100" i="32"/>
  <c r="N1099" i="32"/>
  <c r="M1099" i="32"/>
  <c r="H1099" i="32"/>
  <c r="G1099" i="32"/>
  <c r="F1099" i="32"/>
  <c r="E1099" i="32"/>
  <c r="N1098" i="32"/>
  <c r="M1098" i="32"/>
  <c r="H1098" i="32"/>
  <c r="G1098" i="32"/>
  <c r="F1098" i="32"/>
  <c r="E1098" i="32"/>
  <c r="N1097" i="32"/>
  <c r="R1097" i="32" s="1"/>
  <c r="M1097" i="32"/>
  <c r="H1097" i="32"/>
  <c r="G1097" i="32"/>
  <c r="F1097" i="32"/>
  <c r="E1097" i="32"/>
  <c r="N1096" i="32"/>
  <c r="Q1096" i="32" s="1"/>
  <c r="M1096" i="32"/>
  <c r="H1096" i="32"/>
  <c r="G1096" i="32"/>
  <c r="F1096" i="32"/>
  <c r="E1096" i="32"/>
  <c r="N1095" i="32"/>
  <c r="M1095" i="32"/>
  <c r="H1095" i="32"/>
  <c r="G1095" i="32"/>
  <c r="F1095" i="32"/>
  <c r="E1095" i="32"/>
  <c r="N1094" i="32"/>
  <c r="S1094" i="32" s="1"/>
  <c r="M1094" i="32"/>
  <c r="H1094" i="32"/>
  <c r="G1094" i="32"/>
  <c r="F1094" i="32"/>
  <c r="E1094" i="32"/>
  <c r="N1093" i="32"/>
  <c r="R1093" i="32" s="1"/>
  <c r="M1093" i="32"/>
  <c r="H1093" i="32"/>
  <c r="G1093" i="32"/>
  <c r="F1093" i="32"/>
  <c r="E1093" i="32"/>
  <c r="N1092" i="32"/>
  <c r="Q1092" i="32" s="1"/>
  <c r="M1092" i="32"/>
  <c r="H1092" i="32"/>
  <c r="G1092" i="32"/>
  <c r="F1092" i="32"/>
  <c r="E1092" i="32"/>
  <c r="N1091" i="32"/>
  <c r="R1091" i="32" s="1"/>
  <c r="M1091" i="32"/>
  <c r="H1091" i="32"/>
  <c r="G1091" i="32"/>
  <c r="F1091" i="32"/>
  <c r="E1091" i="32"/>
  <c r="N1090" i="32"/>
  <c r="M1090" i="32"/>
  <c r="H1090" i="32"/>
  <c r="G1090" i="32"/>
  <c r="F1090" i="32"/>
  <c r="E1090" i="32"/>
  <c r="N1089" i="32"/>
  <c r="S1089" i="32" s="1"/>
  <c r="M1089" i="32"/>
  <c r="H1089" i="32"/>
  <c r="G1089" i="32"/>
  <c r="F1089" i="32"/>
  <c r="E1089" i="32"/>
  <c r="N1088" i="32"/>
  <c r="M1088" i="32"/>
  <c r="H1088" i="32"/>
  <c r="G1088" i="32"/>
  <c r="F1088" i="32"/>
  <c r="E1088" i="32"/>
  <c r="N1087" i="32"/>
  <c r="S1087" i="32" s="1"/>
  <c r="M1087" i="32"/>
  <c r="H1087" i="32"/>
  <c r="G1087" i="32"/>
  <c r="F1087" i="32"/>
  <c r="E1087" i="32"/>
  <c r="N1086" i="32"/>
  <c r="M1086" i="32"/>
  <c r="H1086" i="32"/>
  <c r="G1086" i="32"/>
  <c r="F1086" i="32"/>
  <c r="E1086" i="32"/>
  <c r="N1085" i="32"/>
  <c r="Q1085" i="32" s="1"/>
  <c r="M1085" i="32"/>
  <c r="H1085" i="32"/>
  <c r="G1085" i="32"/>
  <c r="F1085" i="32"/>
  <c r="E1085" i="32"/>
  <c r="N1084" i="32"/>
  <c r="M1084" i="32"/>
  <c r="H1084" i="32"/>
  <c r="G1084" i="32"/>
  <c r="F1084" i="32"/>
  <c r="E1084" i="32"/>
  <c r="N1083" i="32"/>
  <c r="S1083" i="32" s="1"/>
  <c r="M1083" i="32"/>
  <c r="H1083" i="32"/>
  <c r="G1083" i="32"/>
  <c r="F1083" i="32"/>
  <c r="E1083" i="32"/>
  <c r="N1082" i="32"/>
  <c r="R1082" i="32" s="1"/>
  <c r="M1082" i="32"/>
  <c r="H1082" i="32"/>
  <c r="G1082" i="32"/>
  <c r="F1082" i="32"/>
  <c r="E1082" i="32"/>
  <c r="N1081" i="32"/>
  <c r="S1081" i="32" s="1"/>
  <c r="M1081" i="32"/>
  <c r="H1081" i="32"/>
  <c r="G1081" i="32"/>
  <c r="F1081" i="32"/>
  <c r="E1081" i="32"/>
  <c r="N1080" i="32"/>
  <c r="R1080" i="32" s="1"/>
  <c r="M1080" i="32"/>
  <c r="H1080" i="32"/>
  <c r="G1080" i="32"/>
  <c r="F1080" i="32"/>
  <c r="E1080" i="32"/>
  <c r="N1079" i="32"/>
  <c r="S1079" i="32" s="1"/>
  <c r="M1079" i="32"/>
  <c r="H1079" i="32"/>
  <c r="G1079" i="32"/>
  <c r="F1079" i="32"/>
  <c r="E1079" i="32"/>
  <c r="N1078" i="32"/>
  <c r="R1078" i="32" s="1"/>
  <c r="M1078" i="32"/>
  <c r="H1078" i="32"/>
  <c r="G1078" i="32"/>
  <c r="F1078" i="32"/>
  <c r="E1078" i="32"/>
  <c r="N1077" i="32"/>
  <c r="Q1077" i="32" s="1"/>
  <c r="M1077" i="32"/>
  <c r="H1077" i="32"/>
  <c r="G1077" i="32"/>
  <c r="F1077" i="32"/>
  <c r="E1077" i="32"/>
  <c r="N1076" i="32"/>
  <c r="M1076" i="32"/>
  <c r="H1076" i="32"/>
  <c r="G1076" i="32"/>
  <c r="F1076" i="32"/>
  <c r="E1076" i="32"/>
  <c r="N1075" i="32"/>
  <c r="M1075" i="32"/>
  <c r="H1075" i="32"/>
  <c r="G1075" i="32"/>
  <c r="F1075" i="32"/>
  <c r="E1075" i="32"/>
  <c r="N1074" i="32"/>
  <c r="S1074" i="32" s="1"/>
  <c r="M1074" i="32"/>
  <c r="H1074" i="32"/>
  <c r="G1074" i="32"/>
  <c r="F1074" i="32"/>
  <c r="E1074" i="32"/>
  <c r="N1073" i="32"/>
  <c r="S1073" i="32" s="1"/>
  <c r="M1073" i="32"/>
  <c r="H1073" i="32"/>
  <c r="G1073" i="32"/>
  <c r="F1073" i="32"/>
  <c r="E1073" i="32"/>
  <c r="N1072" i="32"/>
  <c r="M1072" i="32"/>
  <c r="H1072" i="32"/>
  <c r="G1072" i="32"/>
  <c r="F1072" i="32"/>
  <c r="E1072" i="32"/>
  <c r="N1071" i="32"/>
  <c r="S1071" i="32" s="1"/>
  <c r="M1071" i="32"/>
  <c r="H1071" i="32"/>
  <c r="G1071" i="32"/>
  <c r="F1071" i="32"/>
  <c r="E1071" i="32"/>
  <c r="N1070" i="32"/>
  <c r="M1070" i="32"/>
  <c r="H1070" i="32"/>
  <c r="G1070" i="32"/>
  <c r="F1070" i="32"/>
  <c r="E1070" i="32"/>
  <c r="N1069" i="32"/>
  <c r="Q1069" i="32" s="1"/>
  <c r="M1069" i="32"/>
  <c r="H1069" i="32"/>
  <c r="G1069" i="32"/>
  <c r="F1069" i="32"/>
  <c r="E1069" i="32"/>
  <c r="N1068" i="32"/>
  <c r="M1068" i="32"/>
  <c r="H1068" i="32"/>
  <c r="G1068" i="32"/>
  <c r="F1068" i="32"/>
  <c r="E1068" i="32"/>
  <c r="N1067" i="32"/>
  <c r="R1067" i="32" s="1"/>
  <c r="M1067" i="32"/>
  <c r="H1067" i="32"/>
  <c r="G1067" i="32"/>
  <c r="F1067" i="32"/>
  <c r="E1067" i="32"/>
  <c r="N1066" i="32"/>
  <c r="S1066" i="32" s="1"/>
  <c r="M1066" i="32"/>
  <c r="H1066" i="32"/>
  <c r="G1066" i="32"/>
  <c r="F1066" i="32"/>
  <c r="E1066" i="32"/>
  <c r="N1065" i="32"/>
  <c r="S1065" i="32" s="1"/>
  <c r="M1065" i="32"/>
  <c r="H1065" i="32"/>
  <c r="G1065" i="32"/>
  <c r="F1065" i="32"/>
  <c r="E1065" i="32"/>
  <c r="N1064" i="32"/>
  <c r="M1064" i="32"/>
  <c r="H1064" i="32"/>
  <c r="G1064" i="32"/>
  <c r="F1064" i="32"/>
  <c r="E1064" i="32"/>
  <c r="N1063" i="32"/>
  <c r="S1063" i="32" s="1"/>
  <c r="M1063" i="32"/>
  <c r="H1063" i="32"/>
  <c r="G1063" i="32"/>
  <c r="F1063" i="32"/>
  <c r="E1063" i="32"/>
  <c r="N1062" i="32"/>
  <c r="R1062" i="32" s="1"/>
  <c r="M1062" i="32"/>
  <c r="H1062" i="32"/>
  <c r="G1062" i="32"/>
  <c r="F1062" i="32"/>
  <c r="E1062" i="32"/>
  <c r="N1061" i="32"/>
  <c r="M1061" i="32"/>
  <c r="H1061" i="32"/>
  <c r="G1061" i="32"/>
  <c r="F1061" i="32"/>
  <c r="E1061" i="32"/>
  <c r="N1060" i="32"/>
  <c r="M1060" i="32"/>
  <c r="H1060" i="32"/>
  <c r="G1060" i="32"/>
  <c r="F1060" i="32"/>
  <c r="E1060" i="32"/>
  <c r="N1059" i="32"/>
  <c r="R1059" i="32" s="1"/>
  <c r="M1059" i="32"/>
  <c r="H1059" i="32"/>
  <c r="G1059" i="32"/>
  <c r="F1059" i="32"/>
  <c r="E1059" i="32"/>
  <c r="N1058" i="32"/>
  <c r="R1058" i="32" s="1"/>
  <c r="M1058" i="32"/>
  <c r="H1058" i="32"/>
  <c r="G1058" i="32"/>
  <c r="F1058" i="32"/>
  <c r="E1058" i="32"/>
  <c r="N1057" i="32"/>
  <c r="S1057" i="32" s="1"/>
  <c r="M1057" i="32"/>
  <c r="H1057" i="32"/>
  <c r="G1057" i="32"/>
  <c r="F1057" i="32"/>
  <c r="E1057" i="32"/>
  <c r="N1056" i="32"/>
  <c r="Q1056" i="32" s="1"/>
  <c r="M1056" i="32"/>
  <c r="H1056" i="32"/>
  <c r="G1056" i="32"/>
  <c r="F1056" i="32"/>
  <c r="E1056" i="32"/>
  <c r="N1055" i="32"/>
  <c r="Q1055" i="32" s="1"/>
  <c r="M1055" i="32"/>
  <c r="H1055" i="32"/>
  <c r="G1055" i="32"/>
  <c r="F1055" i="32"/>
  <c r="E1055" i="32"/>
  <c r="N1054" i="32"/>
  <c r="R1054" i="32" s="1"/>
  <c r="M1054" i="32"/>
  <c r="H1054" i="32"/>
  <c r="G1054" i="32"/>
  <c r="F1054" i="32"/>
  <c r="E1054" i="32"/>
  <c r="N1053" i="32"/>
  <c r="Q1053" i="32" s="1"/>
  <c r="M1053" i="32"/>
  <c r="H1053" i="32"/>
  <c r="G1053" i="32"/>
  <c r="F1053" i="32"/>
  <c r="E1053" i="32"/>
  <c r="N1052" i="32"/>
  <c r="M1052" i="32"/>
  <c r="H1052" i="32"/>
  <c r="G1052" i="32"/>
  <c r="F1052" i="32"/>
  <c r="E1052" i="32"/>
  <c r="N1051" i="32"/>
  <c r="M1051" i="32"/>
  <c r="H1051" i="32"/>
  <c r="G1051" i="32"/>
  <c r="F1051" i="32"/>
  <c r="E1051" i="32"/>
  <c r="N1050" i="32"/>
  <c r="R1050" i="32" s="1"/>
  <c r="M1050" i="32"/>
  <c r="H1050" i="32"/>
  <c r="G1050" i="32"/>
  <c r="F1050" i="32"/>
  <c r="E1050" i="32"/>
  <c r="N1049" i="32"/>
  <c r="S1049" i="32" s="1"/>
  <c r="M1049" i="32"/>
  <c r="H1049" i="32"/>
  <c r="G1049" i="32"/>
  <c r="F1049" i="32"/>
  <c r="E1049" i="32"/>
  <c r="N1048" i="32"/>
  <c r="R1048" i="32" s="1"/>
  <c r="M1048" i="32"/>
  <c r="H1048" i="32"/>
  <c r="G1048" i="32"/>
  <c r="F1048" i="32"/>
  <c r="E1048" i="32"/>
  <c r="N1047" i="32"/>
  <c r="S1047" i="32" s="1"/>
  <c r="M1047" i="32"/>
  <c r="H1047" i="32"/>
  <c r="G1047" i="32"/>
  <c r="F1047" i="32"/>
  <c r="E1047" i="32"/>
  <c r="N1046" i="32"/>
  <c r="M1046" i="32"/>
  <c r="H1046" i="32"/>
  <c r="G1046" i="32"/>
  <c r="F1046" i="32"/>
  <c r="E1046" i="32"/>
  <c r="N1045" i="32"/>
  <c r="M1045" i="32"/>
  <c r="H1045" i="32"/>
  <c r="G1045" i="32"/>
  <c r="F1045" i="32"/>
  <c r="E1045" i="32"/>
  <c r="N1044" i="32"/>
  <c r="M1044" i="32"/>
  <c r="H1044" i="32"/>
  <c r="G1044" i="32"/>
  <c r="F1044" i="32"/>
  <c r="E1044" i="32"/>
  <c r="N1043" i="32"/>
  <c r="S1043" i="32" s="1"/>
  <c r="M1043" i="32"/>
  <c r="H1043" i="32"/>
  <c r="G1043" i="32"/>
  <c r="F1043" i="32"/>
  <c r="E1043" i="32"/>
  <c r="N1042" i="32"/>
  <c r="S1042" i="32" s="1"/>
  <c r="M1042" i="32"/>
  <c r="H1042" i="32"/>
  <c r="G1042" i="32"/>
  <c r="F1042" i="32"/>
  <c r="E1042" i="32"/>
  <c r="N1041" i="32"/>
  <c r="S1041" i="32" s="1"/>
  <c r="M1041" i="32"/>
  <c r="H1041" i="32"/>
  <c r="G1041" i="32"/>
  <c r="F1041" i="32"/>
  <c r="E1041" i="32"/>
  <c r="N1040" i="32"/>
  <c r="M1040" i="32"/>
  <c r="H1040" i="32"/>
  <c r="G1040" i="32"/>
  <c r="F1040" i="32"/>
  <c r="E1040" i="32"/>
  <c r="N1039" i="32"/>
  <c r="M1039" i="32"/>
  <c r="H1039" i="32"/>
  <c r="G1039" i="32"/>
  <c r="F1039" i="32"/>
  <c r="E1039" i="32"/>
  <c r="N1038" i="32"/>
  <c r="R1038" i="32" s="1"/>
  <c r="M1038" i="32"/>
  <c r="H1038" i="32"/>
  <c r="G1038" i="32"/>
  <c r="F1038" i="32"/>
  <c r="E1038" i="32"/>
  <c r="N1037" i="32"/>
  <c r="M1037" i="32"/>
  <c r="H1037" i="32"/>
  <c r="G1037" i="32"/>
  <c r="F1037" i="32"/>
  <c r="E1037" i="32"/>
  <c r="N1036" i="32"/>
  <c r="M1036" i="32"/>
  <c r="H1036" i="32"/>
  <c r="G1036" i="32"/>
  <c r="F1036" i="32"/>
  <c r="E1036" i="32"/>
  <c r="N1035" i="32"/>
  <c r="M1035" i="32"/>
  <c r="H1035" i="32"/>
  <c r="G1035" i="32"/>
  <c r="F1035" i="32"/>
  <c r="E1035" i="32"/>
  <c r="N1034" i="32"/>
  <c r="R1034" i="32" s="1"/>
  <c r="M1034" i="32"/>
  <c r="H1034" i="32"/>
  <c r="G1034" i="32"/>
  <c r="F1034" i="32"/>
  <c r="E1034" i="32"/>
  <c r="N1033" i="32"/>
  <c r="S1033" i="32" s="1"/>
  <c r="M1033" i="32"/>
  <c r="H1033" i="32"/>
  <c r="G1033" i="32"/>
  <c r="F1033" i="32"/>
  <c r="E1033" i="32"/>
  <c r="N1032" i="32"/>
  <c r="R1032" i="32" s="1"/>
  <c r="M1032" i="32"/>
  <c r="H1032" i="32"/>
  <c r="G1032" i="32"/>
  <c r="F1032" i="32"/>
  <c r="E1032" i="32"/>
  <c r="N1031" i="32"/>
  <c r="S1031" i="32" s="1"/>
  <c r="M1031" i="32"/>
  <c r="H1031" i="32"/>
  <c r="G1031" i="32"/>
  <c r="F1031" i="32"/>
  <c r="E1031" i="32"/>
  <c r="N1030" i="32"/>
  <c r="M1030" i="32"/>
  <c r="H1030" i="32"/>
  <c r="G1030" i="32"/>
  <c r="F1030" i="32"/>
  <c r="E1030" i="32"/>
  <c r="N1029" i="32"/>
  <c r="S1029" i="32" s="1"/>
  <c r="M1029" i="32"/>
  <c r="H1029" i="32"/>
  <c r="G1029" i="32"/>
  <c r="F1029" i="32"/>
  <c r="E1029" i="32"/>
  <c r="N1028" i="32"/>
  <c r="M1028" i="32"/>
  <c r="H1028" i="32"/>
  <c r="G1028" i="32"/>
  <c r="F1028" i="32"/>
  <c r="E1028" i="32"/>
  <c r="D1028" i="32"/>
  <c r="C1028" i="32"/>
  <c r="B1028" i="32"/>
  <c r="N1027" i="32"/>
  <c r="M1027" i="32"/>
  <c r="H1027" i="32"/>
  <c r="G1027" i="32"/>
  <c r="F1027" i="32"/>
  <c r="E1027" i="32"/>
  <c r="D1027" i="32"/>
  <c r="C1027" i="32"/>
  <c r="B1027" i="32"/>
  <c r="N1026" i="32"/>
  <c r="M1026" i="32"/>
  <c r="H1026" i="32"/>
  <c r="G1026" i="32"/>
  <c r="F1026" i="32"/>
  <c r="E1026" i="32"/>
  <c r="D1026" i="32"/>
  <c r="C1026" i="32"/>
  <c r="B1026" i="32"/>
  <c r="N1025" i="32"/>
  <c r="M1025" i="32"/>
  <c r="H1025" i="32"/>
  <c r="G1025" i="32"/>
  <c r="F1025" i="32"/>
  <c r="E1025" i="32"/>
  <c r="D1025" i="32"/>
  <c r="C1025" i="32"/>
  <c r="B1025" i="32"/>
  <c r="N1024" i="32"/>
  <c r="M1024" i="32"/>
  <c r="H1024" i="32"/>
  <c r="G1024" i="32"/>
  <c r="F1024" i="32"/>
  <c r="E1024" i="32"/>
  <c r="D1024" i="32"/>
  <c r="C1024" i="32"/>
  <c r="B1024" i="32"/>
  <c r="N1023" i="32"/>
  <c r="M1023" i="32"/>
  <c r="H1023" i="32"/>
  <c r="G1023" i="32"/>
  <c r="F1023" i="32"/>
  <c r="E1023" i="32"/>
  <c r="D1023" i="32"/>
  <c r="C1023" i="32"/>
  <c r="B1023" i="32"/>
  <c r="N1022" i="32"/>
  <c r="M1022" i="32"/>
  <c r="H1022" i="32"/>
  <c r="G1022" i="32"/>
  <c r="F1022" i="32"/>
  <c r="E1022" i="32"/>
  <c r="N1021" i="32"/>
  <c r="M1021" i="32"/>
  <c r="H1021" i="32"/>
  <c r="G1021" i="32"/>
  <c r="F1021" i="32"/>
  <c r="E1021" i="32"/>
  <c r="N1020" i="32"/>
  <c r="Q1020" i="32" s="1"/>
  <c r="M1020" i="32"/>
  <c r="H1020" i="32"/>
  <c r="G1020" i="32"/>
  <c r="F1020" i="32"/>
  <c r="E1020" i="32"/>
  <c r="N1019" i="32"/>
  <c r="S1019" i="32" s="1"/>
  <c r="M1019" i="32"/>
  <c r="H1019" i="32"/>
  <c r="G1019" i="32"/>
  <c r="F1019" i="32"/>
  <c r="E1019" i="32"/>
  <c r="N1018" i="32"/>
  <c r="Q1018" i="32" s="1"/>
  <c r="M1018" i="32"/>
  <c r="H1018" i="32"/>
  <c r="G1018" i="32"/>
  <c r="F1018" i="32"/>
  <c r="E1018" i="32"/>
  <c r="N1017" i="32"/>
  <c r="S1017" i="32" s="1"/>
  <c r="M1017" i="32"/>
  <c r="H1017" i="32"/>
  <c r="G1017" i="32"/>
  <c r="F1017" i="32"/>
  <c r="E1017" i="32"/>
  <c r="N1016" i="32"/>
  <c r="M1016" i="32"/>
  <c r="H1016" i="32"/>
  <c r="G1016" i="32"/>
  <c r="F1016" i="32"/>
  <c r="E1016" i="32"/>
  <c r="N1015" i="32"/>
  <c r="S1015" i="32" s="1"/>
  <c r="M1015" i="32"/>
  <c r="H1015" i="32"/>
  <c r="G1015" i="32"/>
  <c r="F1015" i="32"/>
  <c r="E1015" i="32"/>
  <c r="N1014" i="32"/>
  <c r="M1014" i="32"/>
  <c r="H1014" i="32"/>
  <c r="G1014" i="32"/>
  <c r="F1014" i="32"/>
  <c r="E1014" i="32"/>
  <c r="N1013" i="32"/>
  <c r="M1013" i="32"/>
  <c r="H1013" i="32"/>
  <c r="G1013" i="32"/>
  <c r="F1013" i="32"/>
  <c r="E1013" i="32"/>
  <c r="N1012" i="32"/>
  <c r="S1012" i="32" s="1"/>
  <c r="M1012" i="32"/>
  <c r="H1012" i="32"/>
  <c r="G1012" i="32"/>
  <c r="F1012" i="32"/>
  <c r="E1012" i="32"/>
  <c r="N1011" i="32"/>
  <c r="S1011" i="32" s="1"/>
  <c r="M1011" i="32"/>
  <c r="H1011" i="32"/>
  <c r="G1011" i="32"/>
  <c r="F1011" i="32"/>
  <c r="E1011" i="32"/>
  <c r="N1010" i="32"/>
  <c r="M1010" i="32"/>
  <c r="H1010" i="32"/>
  <c r="G1010" i="32"/>
  <c r="F1010" i="32"/>
  <c r="E1010" i="32"/>
  <c r="N1009" i="32"/>
  <c r="S1009" i="32" s="1"/>
  <c r="M1009" i="32"/>
  <c r="H1009" i="32"/>
  <c r="G1009" i="32"/>
  <c r="F1009" i="32"/>
  <c r="E1009" i="32"/>
  <c r="N1008" i="32"/>
  <c r="M1008" i="32"/>
  <c r="H1008" i="32"/>
  <c r="G1008" i="32"/>
  <c r="F1008" i="32"/>
  <c r="E1008" i="32"/>
  <c r="N1007" i="32"/>
  <c r="S1007" i="32" s="1"/>
  <c r="M1007" i="32"/>
  <c r="H1007" i="32"/>
  <c r="G1007" i="32"/>
  <c r="F1007" i="32"/>
  <c r="E1007" i="32"/>
  <c r="N1006" i="32"/>
  <c r="M1006" i="32"/>
  <c r="H1006" i="32"/>
  <c r="G1006" i="32"/>
  <c r="F1006" i="32"/>
  <c r="E1006" i="32"/>
  <c r="N1005" i="32"/>
  <c r="M1005" i="32"/>
  <c r="H1005" i="32"/>
  <c r="G1005" i="32"/>
  <c r="F1005" i="32"/>
  <c r="E1005" i="32"/>
  <c r="N1004" i="32"/>
  <c r="M1004" i="32"/>
  <c r="H1004" i="32"/>
  <c r="G1004" i="32"/>
  <c r="F1004" i="32"/>
  <c r="E1004" i="32"/>
  <c r="N1003" i="32"/>
  <c r="S1003" i="32" s="1"/>
  <c r="M1003" i="32"/>
  <c r="H1003" i="32"/>
  <c r="G1003" i="32"/>
  <c r="F1003" i="32"/>
  <c r="E1003" i="32"/>
  <c r="N1002" i="32"/>
  <c r="M1002" i="32"/>
  <c r="H1002" i="32"/>
  <c r="G1002" i="32"/>
  <c r="F1002" i="32"/>
  <c r="E1002" i="32"/>
  <c r="N1001" i="32"/>
  <c r="S1001" i="32" s="1"/>
  <c r="M1001" i="32"/>
  <c r="H1001" i="32"/>
  <c r="G1001" i="32"/>
  <c r="F1001" i="32"/>
  <c r="E1001" i="32"/>
  <c r="N1000" i="32"/>
  <c r="R1000" i="32" s="1"/>
  <c r="M1000" i="32"/>
  <c r="H1000" i="32"/>
  <c r="G1000" i="32"/>
  <c r="F1000" i="32"/>
  <c r="E1000" i="32"/>
  <c r="N999" i="32"/>
  <c r="S999" i="32" s="1"/>
  <c r="M999" i="32"/>
  <c r="H999" i="32"/>
  <c r="G999" i="32"/>
  <c r="F999" i="32"/>
  <c r="E999" i="32"/>
  <c r="N998" i="32"/>
  <c r="M998" i="32"/>
  <c r="H998" i="32"/>
  <c r="G998" i="32"/>
  <c r="F998" i="32"/>
  <c r="E998" i="32"/>
  <c r="N997" i="32"/>
  <c r="M997" i="32"/>
  <c r="H997" i="32"/>
  <c r="G997" i="32"/>
  <c r="F997" i="32"/>
  <c r="E997" i="32"/>
  <c r="N996" i="32"/>
  <c r="R996" i="32" s="1"/>
  <c r="M996" i="32"/>
  <c r="H996" i="32"/>
  <c r="G996" i="32"/>
  <c r="F996" i="32"/>
  <c r="E996" i="32"/>
  <c r="N995" i="32"/>
  <c r="S995" i="32" s="1"/>
  <c r="M995" i="32"/>
  <c r="H995" i="32"/>
  <c r="G995" i="32"/>
  <c r="F995" i="32"/>
  <c r="E995" i="32"/>
  <c r="N994" i="32"/>
  <c r="R994" i="32" s="1"/>
  <c r="M994" i="32"/>
  <c r="H994" i="32"/>
  <c r="G994" i="32"/>
  <c r="F994" i="32"/>
  <c r="E994" i="32"/>
  <c r="N993" i="32"/>
  <c r="S993" i="32" s="1"/>
  <c r="M993" i="32"/>
  <c r="H993" i="32"/>
  <c r="G993" i="32"/>
  <c r="F993" i="32"/>
  <c r="E993" i="32"/>
  <c r="N992" i="32"/>
  <c r="M992" i="32"/>
  <c r="H992" i="32"/>
  <c r="G992" i="32"/>
  <c r="F992" i="32"/>
  <c r="E992" i="32"/>
  <c r="N991" i="32"/>
  <c r="M991" i="32"/>
  <c r="H991" i="32"/>
  <c r="G991" i="32"/>
  <c r="F991" i="32"/>
  <c r="E991" i="32"/>
  <c r="N990" i="32"/>
  <c r="M990" i="32"/>
  <c r="H990" i="32"/>
  <c r="G990" i="32"/>
  <c r="F990" i="32"/>
  <c r="E990" i="32"/>
  <c r="N989" i="32"/>
  <c r="R989" i="32" s="1"/>
  <c r="M989" i="32"/>
  <c r="H989" i="32"/>
  <c r="G989" i="32"/>
  <c r="F989" i="32"/>
  <c r="E989" i="32"/>
  <c r="N988" i="32"/>
  <c r="S988" i="32" s="1"/>
  <c r="M988" i="32"/>
  <c r="H988" i="32"/>
  <c r="G988" i="32"/>
  <c r="F988" i="32"/>
  <c r="E988" i="32"/>
  <c r="N987" i="32"/>
  <c r="S987" i="32" s="1"/>
  <c r="M987" i="32"/>
  <c r="H987" i="32"/>
  <c r="G987" i="32"/>
  <c r="F987" i="32"/>
  <c r="E987" i="32"/>
  <c r="N986" i="32"/>
  <c r="M986" i="32"/>
  <c r="H986" i="32"/>
  <c r="G986" i="32"/>
  <c r="F986" i="32"/>
  <c r="E986" i="32"/>
  <c r="N985" i="32"/>
  <c r="S985" i="32" s="1"/>
  <c r="M985" i="32"/>
  <c r="H985" i="32"/>
  <c r="G985" i="32"/>
  <c r="F985" i="32"/>
  <c r="E985" i="32"/>
  <c r="N984" i="32"/>
  <c r="M984" i="32"/>
  <c r="H984" i="32"/>
  <c r="G984" i="32"/>
  <c r="F984" i="32"/>
  <c r="E984" i="32"/>
  <c r="N983" i="32"/>
  <c r="M983" i="32"/>
  <c r="H983" i="32"/>
  <c r="G983" i="32"/>
  <c r="F983" i="32"/>
  <c r="E983" i="32"/>
  <c r="N982" i="32"/>
  <c r="M982" i="32"/>
  <c r="H982" i="32"/>
  <c r="G982" i="32"/>
  <c r="F982" i="32"/>
  <c r="E982" i="32"/>
  <c r="N981" i="32"/>
  <c r="S981" i="32" s="1"/>
  <c r="M981" i="32"/>
  <c r="H981" i="32"/>
  <c r="G981" i="32"/>
  <c r="F981" i="32"/>
  <c r="E981" i="32"/>
  <c r="N980" i="32"/>
  <c r="S980" i="32" s="1"/>
  <c r="M980" i="32"/>
  <c r="H980" i="32"/>
  <c r="G980" i="32"/>
  <c r="F980" i="32"/>
  <c r="E980" i="32"/>
  <c r="N979" i="32"/>
  <c r="S979" i="32" s="1"/>
  <c r="M979" i="32"/>
  <c r="H979" i="32"/>
  <c r="G979" i="32"/>
  <c r="F979" i="32"/>
  <c r="E979" i="32"/>
  <c r="N978" i="32"/>
  <c r="M978" i="32"/>
  <c r="H978" i="32"/>
  <c r="G978" i="32"/>
  <c r="F978" i="32"/>
  <c r="E978" i="32"/>
  <c r="N977" i="32"/>
  <c r="M977" i="32"/>
  <c r="H977" i="32"/>
  <c r="G977" i="32"/>
  <c r="F977" i="32"/>
  <c r="E977" i="32"/>
  <c r="N976" i="32"/>
  <c r="R976" i="32" s="1"/>
  <c r="M976" i="32"/>
  <c r="H976" i="32"/>
  <c r="G976" i="32"/>
  <c r="F976" i="32"/>
  <c r="E976" i="32"/>
  <c r="N975" i="32"/>
  <c r="S975" i="32" s="1"/>
  <c r="M975" i="32"/>
  <c r="H975" i="32"/>
  <c r="G975" i="32"/>
  <c r="F975" i="32"/>
  <c r="E975" i="32"/>
  <c r="N974" i="32"/>
  <c r="M974" i="32"/>
  <c r="H974" i="32"/>
  <c r="G974" i="32"/>
  <c r="F974" i="32"/>
  <c r="E974" i="32"/>
  <c r="N973" i="32"/>
  <c r="S973" i="32" s="1"/>
  <c r="M973" i="32"/>
  <c r="H973" i="32"/>
  <c r="G973" i="32"/>
  <c r="F973" i="32"/>
  <c r="E973" i="32"/>
  <c r="N972" i="32"/>
  <c r="M972" i="32"/>
  <c r="H972" i="32"/>
  <c r="G972" i="32"/>
  <c r="F972" i="32"/>
  <c r="E972" i="32"/>
  <c r="N971" i="32"/>
  <c r="M971" i="32"/>
  <c r="H971" i="32"/>
  <c r="G971" i="32"/>
  <c r="F971" i="32"/>
  <c r="E971" i="32"/>
  <c r="N970" i="32"/>
  <c r="M970" i="32"/>
  <c r="H970" i="32"/>
  <c r="G970" i="32"/>
  <c r="F970" i="32"/>
  <c r="E970" i="32"/>
  <c r="N969" i="32"/>
  <c r="M969" i="32"/>
  <c r="H969" i="32"/>
  <c r="G969" i="32"/>
  <c r="F969" i="32"/>
  <c r="E969" i="32"/>
  <c r="N968" i="32"/>
  <c r="R968" i="32" s="1"/>
  <c r="M968" i="32"/>
  <c r="H968" i="32"/>
  <c r="G968" i="32"/>
  <c r="F968" i="32"/>
  <c r="E968" i="32"/>
  <c r="N967" i="32"/>
  <c r="M967" i="32"/>
  <c r="H967" i="32"/>
  <c r="G967" i="32"/>
  <c r="F967" i="32"/>
  <c r="E967" i="32"/>
  <c r="N966" i="32"/>
  <c r="Q966" i="32" s="1"/>
  <c r="M966" i="32"/>
  <c r="H966" i="32"/>
  <c r="G966" i="32"/>
  <c r="F966" i="32"/>
  <c r="E966" i="32"/>
  <c r="N965" i="32"/>
  <c r="R965" i="32" s="1"/>
  <c r="M965" i="32"/>
  <c r="H965" i="32"/>
  <c r="G965" i="32"/>
  <c r="F965" i="32"/>
  <c r="E965" i="32"/>
  <c r="N964" i="32"/>
  <c r="R964" i="32" s="1"/>
  <c r="M964" i="32"/>
  <c r="H964" i="32"/>
  <c r="G964" i="32"/>
  <c r="F964" i="32"/>
  <c r="E964" i="32"/>
  <c r="N963" i="32"/>
  <c r="M963" i="32"/>
  <c r="H963" i="32"/>
  <c r="G963" i="32"/>
  <c r="F963" i="32"/>
  <c r="E963" i="32"/>
  <c r="N962" i="32"/>
  <c r="R962" i="32" s="1"/>
  <c r="M962" i="32"/>
  <c r="H962" i="32"/>
  <c r="G962" i="32"/>
  <c r="F962" i="32"/>
  <c r="E962" i="32"/>
  <c r="N961" i="32"/>
  <c r="S961" i="32" s="1"/>
  <c r="M961" i="32"/>
  <c r="H961" i="32"/>
  <c r="G961" i="32"/>
  <c r="F961" i="32"/>
  <c r="E961" i="32"/>
  <c r="N960" i="32"/>
  <c r="M960" i="32"/>
  <c r="H960" i="32"/>
  <c r="G960" i="32"/>
  <c r="F960" i="32"/>
  <c r="E960" i="32"/>
  <c r="N959" i="32"/>
  <c r="S959" i="32" s="1"/>
  <c r="M959" i="32"/>
  <c r="H959" i="32"/>
  <c r="G959" i="32"/>
  <c r="F959" i="32"/>
  <c r="E959" i="32"/>
  <c r="N958" i="32"/>
  <c r="M958" i="32"/>
  <c r="H958" i="32"/>
  <c r="G958" i="32"/>
  <c r="F958" i="32"/>
  <c r="E958" i="32"/>
  <c r="N957" i="32"/>
  <c r="M957" i="32"/>
  <c r="H957" i="32"/>
  <c r="G957" i="32"/>
  <c r="F957" i="32"/>
  <c r="E957" i="32"/>
  <c r="N956" i="32"/>
  <c r="R956" i="32" s="1"/>
  <c r="M956" i="32"/>
  <c r="H956" i="32"/>
  <c r="G956" i="32"/>
  <c r="F956" i="32"/>
  <c r="E956" i="32"/>
  <c r="N955" i="32"/>
  <c r="M955" i="32"/>
  <c r="H955" i="32"/>
  <c r="G955" i="32"/>
  <c r="F955" i="32"/>
  <c r="E955" i="32"/>
  <c r="N954" i="32"/>
  <c r="S954" i="32" s="1"/>
  <c r="M954" i="32"/>
  <c r="H954" i="32"/>
  <c r="G954" i="32"/>
  <c r="F954" i="32"/>
  <c r="E954" i="32"/>
  <c r="N953" i="32"/>
  <c r="M953" i="32"/>
  <c r="H953" i="32"/>
  <c r="G953" i="32"/>
  <c r="F953" i="32"/>
  <c r="E953" i="32"/>
  <c r="N952" i="32"/>
  <c r="R952" i="32" s="1"/>
  <c r="M952" i="32"/>
  <c r="H952" i="32"/>
  <c r="G952" i="32"/>
  <c r="F952" i="32"/>
  <c r="E952" i="32"/>
  <c r="N951" i="32"/>
  <c r="M951" i="32"/>
  <c r="H951" i="32"/>
  <c r="G951" i="32"/>
  <c r="F951" i="32"/>
  <c r="E951" i="32"/>
  <c r="N950" i="32"/>
  <c r="Q950" i="32" s="1"/>
  <c r="M950" i="32"/>
  <c r="H950" i="32"/>
  <c r="G950" i="32"/>
  <c r="F950" i="32"/>
  <c r="E950" i="32"/>
  <c r="N949" i="32"/>
  <c r="M949" i="32"/>
  <c r="H949" i="32"/>
  <c r="G949" i="32"/>
  <c r="F949" i="32"/>
  <c r="E949" i="32"/>
  <c r="N948" i="32"/>
  <c r="R948" i="32" s="1"/>
  <c r="M948" i="32"/>
  <c r="H948" i="32"/>
  <c r="G948" i="32"/>
  <c r="F948" i="32"/>
  <c r="E948" i="32"/>
  <c r="N947" i="32"/>
  <c r="M947" i="32"/>
  <c r="H947" i="32"/>
  <c r="G947" i="32"/>
  <c r="F947" i="32"/>
  <c r="E947" i="32"/>
  <c r="N946" i="32"/>
  <c r="M946" i="32"/>
  <c r="H946" i="32"/>
  <c r="G946" i="32"/>
  <c r="F946" i="32"/>
  <c r="E946" i="32"/>
  <c r="N945" i="32"/>
  <c r="S945" i="32" s="1"/>
  <c r="M945" i="32"/>
  <c r="H945" i="32"/>
  <c r="G945" i="32"/>
  <c r="F945" i="32"/>
  <c r="E945" i="32"/>
  <c r="N944" i="32"/>
  <c r="M944" i="32"/>
  <c r="H944" i="32"/>
  <c r="G944" i="32"/>
  <c r="F944" i="32"/>
  <c r="E944" i="32"/>
  <c r="N943" i="32"/>
  <c r="S943" i="32" s="1"/>
  <c r="M943" i="32"/>
  <c r="H943" i="32"/>
  <c r="G943" i="32"/>
  <c r="F943" i="32"/>
  <c r="E943" i="32"/>
  <c r="N942" i="32"/>
  <c r="Q942" i="32" s="1"/>
  <c r="M942" i="32"/>
  <c r="H942" i="32"/>
  <c r="G942" i="32"/>
  <c r="F942" i="32"/>
  <c r="E942" i="32"/>
  <c r="N941" i="32"/>
  <c r="S941" i="32" s="1"/>
  <c r="M941" i="32"/>
  <c r="H941" i="32"/>
  <c r="G941" i="32"/>
  <c r="F941" i="32"/>
  <c r="E941" i="32"/>
  <c r="N940" i="32"/>
  <c r="M940" i="32"/>
  <c r="H940" i="32"/>
  <c r="G940" i="32"/>
  <c r="F940" i="32"/>
  <c r="E940" i="32"/>
  <c r="N939" i="32"/>
  <c r="M939" i="32"/>
  <c r="H939" i="32"/>
  <c r="G939" i="32"/>
  <c r="F939" i="32"/>
  <c r="E939" i="32"/>
  <c r="N938" i="32"/>
  <c r="R938" i="32" s="1"/>
  <c r="M938" i="32"/>
  <c r="H938" i="32"/>
  <c r="G938" i="32"/>
  <c r="F938" i="32"/>
  <c r="E938" i="32"/>
  <c r="N937" i="32"/>
  <c r="Q937" i="32" s="1"/>
  <c r="M937" i="32"/>
  <c r="H937" i="32"/>
  <c r="G937" i="32"/>
  <c r="F937" i="32"/>
  <c r="E937" i="32"/>
  <c r="N936" i="32"/>
  <c r="Q936" i="32" s="1"/>
  <c r="M936" i="32"/>
  <c r="H936" i="32"/>
  <c r="G936" i="32"/>
  <c r="F936" i="32"/>
  <c r="E936" i="32"/>
  <c r="N935" i="32"/>
  <c r="M935" i="32"/>
  <c r="H935" i="32"/>
  <c r="G935" i="32"/>
  <c r="F935" i="32"/>
  <c r="E935" i="32"/>
  <c r="N934" i="32"/>
  <c r="M934" i="32"/>
  <c r="H934" i="32"/>
  <c r="G934" i="32"/>
  <c r="F934" i="32"/>
  <c r="E934" i="32"/>
  <c r="N933" i="32"/>
  <c r="S933" i="32" s="1"/>
  <c r="M933" i="32"/>
  <c r="H933" i="32"/>
  <c r="G933" i="32"/>
  <c r="F933" i="32"/>
  <c r="E933" i="32"/>
  <c r="N932" i="32"/>
  <c r="R932" i="32" s="1"/>
  <c r="M932" i="32"/>
  <c r="H932" i="32"/>
  <c r="G932" i="32"/>
  <c r="F932" i="32"/>
  <c r="E932" i="32"/>
  <c r="N931" i="32"/>
  <c r="M931" i="32"/>
  <c r="H931" i="32"/>
  <c r="G931" i="32"/>
  <c r="F931" i="32"/>
  <c r="E931" i="32"/>
  <c r="N930" i="32"/>
  <c r="M930" i="32"/>
  <c r="H930" i="32"/>
  <c r="G930" i="32"/>
  <c r="F930" i="32"/>
  <c r="E930" i="32"/>
  <c r="N929" i="32"/>
  <c r="M929" i="32"/>
  <c r="H929" i="32"/>
  <c r="G929" i="32"/>
  <c r="F929" i="32"/>
  <c r="E929" i="32"/>
  <c r="N928" i="32"/>
  <c r="S928" i="32" s="1"/>
  <c r="M928" i="32"/>
  <c r="H928" i="32"/>
  <c r="G928" i="32"/>
  <c r="F928" i="32"/>
  <c r="E928" i="32"/>
  <c r="N927" i="32"/>
  <c r="M927" i="32"/>
  <c r="H927" i="32"/>
  <c r="G927" i="32"/>
  <c r="F927" i="32"/>
  <c r="E927" i="32"/>
  <c r="N926" i="32"/>
  <c r="Q926" i="32" s="1"/>
  <c r="M926" i="32"/>
  <c r="H926" i="32"/>
  <c r="G926" i="32"/>
  <c r="F926" i="32"/>
  <c r="E926" i="32"/>
  <c r="N925" i="32"/>
  <c r="Q925" i="32" s="1"/>
  <c r="M925" i="32"/>
  <c r="H925" i="32"/>
  <c r="G925" i="32"/>
  <c r="F925" i="32"/>
  <c r="E925" i="32"/>
  <c r="N924" i="32"/>
  <c r="M924" i="32"/>
  <c r="H924" i="32"/>
  <c r="G924" i="32"/>
  <c r="F924" i="32"/>
  <c r="E924" i="32"/>
  <c r="N923" i="32"/>
  <c r="M923" i="32"/>
  <c r="H923" i="32"/>
  <c r="G923" i="32"/>
  <c r="F923" i="32"/>
  <c r="E923" i="32"/>
  <c r="N922" i="32"/>
  <c r="S922" i="32" s="1"/>
  <c r="M922" i="32"/>
  <c r="H922" i="32"/>
  <c r="G922" i="32"/>
  <c r="F922" i="32"/>
  <c r="E922" i="32"/>
  <c r="N921" i="32"/>
  <c r="R921" i="32" s="1"/>
  <c r="M921" i="32"/>
  <c r="H921" i="32"/>
  <c r="G921" i="32"/>
  <c r="F921" i="32"/>
  <c r="E921" i="32"/>
  <c r="N920" i="32"/>
  <c r="Q920" i="32" s="1"/>
  <c r="M920" i="32"/>
  <c r="H920" i="32"/>
  <c r="G920" i="32"/>
  <c r="F920" i="32"/>
  <c r="E920" i="32"/>
  <c r="N919" i="32"/>
  <c r="S919" i="32" s="1"/>
  <c r="M919" i="32"/>
  <c r="H919" i="32"/>
  <c r="G919" i="32"/>
  <c r="F919" i="32"/>
  <c r="E919" i="32"/>
  <c r="N918" i="32"/>
  <c r="M918" i="32"/>
  <c r="H918" i="32"/>
  <c r="G918" i="32"/>
  <c r="F918" i="32"/>
  <c r="E918" i="32"/>
  <c r="N917" i="32"/>
  <c r="S917" i="32" s="1"/>
  <c r="M917" i="32"/>
  <c r="H917" i="32"/>
  <c r="G917" i="32"/>
  <c r="F917" i="32"/>
  <c r="E917" i="32"/>
  <c r="N916" i="32"/>
  <c r="M916" i="32"/>
  <c r="H916" i="32"/>
  <c r="G916" i="32"/>
  <c r="F916" i="32"/>
  <c r="E916" i="32"/>
  <c r="N915" i="32"/>
  <c r="M915" i="32"/>
  <c r="H915" i="32"/>
  <c r="G915" i="32"/>
  <c r="F915" i="32"/>
  <c r="E915" i="32"/>
  <c r="N914" i="32"/>
  <c r="M914" i="32"/>
  <c r="H914" i="32"/>
  <c r="G914" i="32"/>
  <c r="F914" i="32"/>
  <c r="E914" i="32"/>
  <c r="N913" i="32"/>
  <c r="J913" i="32"/>
  <c r="I913" i="32"/>
  <c r="H913" i="32"/>
  <c r="E913" i="32"/>
  <c r="N912" i="32"/>
  <c r="M912" i="32"/>
  <c r="K912" i="32"/>
  <c r="H912" i="32"/>
  <c r="G912" i="32"/>
  <c r="F912" i="32"/>
  <c r="E912" i="32"/>
  <c r="D912" i="32"/>
  <c r="C912" i="32"/>
  <c r="B912" i="32"/>
  <c r="N911" i="32"/>
  <c r="M911" i="32"/>
  <c r="K911" i="32"/>
  <c r="H911" i="32"/>
  <c r="G911" i="32"/>
  <c r="F911" i="32"/>
  <c r="E911" i="32"/>
  <c r="D911" i="32"/>
  <c r="C911" i="32"/>
  <c r="B911" i="32"/>
  <c r="N910" i="32"/>
  <c r="M910" i="32"/>
  <c r="K910" i="32"/>
  <c r="H910" i="32"/>
  <c r="G910" i="32"/>
  <c r="F910" i="32"/>
  <c r="E910" i="32"/>
  <c r="D910" i="32"/>
  <c r="C910" i="32"/>
  <c r="B910" i="32"/>
  <c r="N909" i="32"/>
  <c r="Q909" i="32" s="1"/>
  <c r="M909" i="32"/>
  <c r="K909" i="32"/>
  <c r="H909" i="32"/>
  <c r="G909" i="32"/>
  <c r="F909" i="32"/>
  <c r="E909" i="32"/>
  <c r="D909" i="32"/>
  <c r="C909" i="32"/>
  <c r="B909" i="32"/>
  <c r="N908" i="32"/>
  <c r="R908" i="32" s="1"/>
  <c r="M908" i="32"/>
  <c r="K908" i="32"/>
  <c r="H908" i="32"/>
  <c r="G908" i="32"/>
  <c r="F908" i="32"/>
  <c r="E908" i="32"/>
  <c r="D908" i="32"/>
  <c r="C908" i="32"/>
  <c r="B908" i="32"/>
  <c r="N907" i="32"/>
  <c r="Q907" i="32" s="1"/>
  <c r="M907" i="32"/>
  <c r="K907" i="32"/>
  <c r="H907" i="32"/>
  <c r="G907" i="32"/>
  <c r="F907" i="32"/>
  <c r="E907" i="32"/>
  <c r="D907" i="32"/>
  <c r="C907" i="32"/>
  <c r="B907" i="32"/>
  <c r="N906" i="32"/>
  <c r="Q906" i="32" s="1"/>
  <c r="M906" i="32"/>
  <c r="K906" i="32"/>
  <c r="H906" i="32"/>
  <c r="G906" i="32"/>
  <c r="F906" i="32"/>
  <c r="E906" i="32"/>
  <c r="D906" i="32"/>
  <c r="C906" i="32"/>
  <c r="B906" i="32"/>
  <c r="N905" i="32"/>
  <c r="M905" i="32"/>
  <c r="K905" i="32"/>
  <c r="H905" i="32"/>
  <c r="G905" i="32"/>
  <c r="F905" i="32"/>
  <c r="E905" i="32"/>
  <c r="D905" i="32"/>
  <c r="C905" i="32"/>
  <c r="B905" i="32"/>
  <c r="N904" i="32"/>
  <c r="M904" i="32"/>
  <c r="K904" i="32"/>
  <c r="H904" i="32"/>
  <c r="G904" i="32"/>
  <c r="F904" i="32"/>
  <c r="E904" i="32"/>
  <c r="D904" i="32"/>
  <c r="C904" i="32"/>
  <c r="B904" i="32"/>
  <c r="N903" i="32"/>
  <c r="Q903" i="32" s="1"/>
  <c r="M903" i="32"/>
  <c r="K903" i="32"/>
  <c r="H903" i="32"/>
  <c r="G903" i="32"/>
  <c r="F903" i="32"/>
  <c r="E903" i="32"/>
  <c r="D903" i="32"/>
  <c r="C903" i="32"/>
  <c r="B903" i="32"/>
  <c r="N902" i="32"/>
  <c r="M902" i="32"/>
  <c r="K902" i="32"/>
  <c r="H902" i="32"/>
  <c r="G902" i="32"/>
  <c r="F902" i="32"/>
  <c r="E902" i="32"/>
  <c r="D902" i="32"/>
  <c r="C902" i="32"/>
  <c r="B902" i="32"/>
  <c r="N901" i="32"/>
  <c r="Q901" i="32" s="1"/>
  <c r="M901" i="32"/>
  <c r="K901" i="32"/>
  <c r="H901" i="32"/>
  <c r="G901" i="32"/>
  <c r="F901" i="32"/>
  <c r="E901" i="32"/>
  <c r="D901" i="32"/>
  <c r="C901" i="32"/>
  <c r="B901" i="32"/>
  <c r="N900" i="32"/>
  <c r="M900" i="32"/>
  <c r="K900" i="32"/>
  <c r="H900" i="32"/>
  <c r="G900" i="32"/>
  <c r="F900" i="32"/>
  <c r="E900" i="32"/>
  <c r="D900" i="32"/>
  <c r="C900" i="32"/>
  <c r="B900" i="32"/>
  <c r="N899" i="32"/>
  <c r="M899" i="32"/>
  <c r="K899" i="32"/>
  <c r="H899" i="32"/>
  <c r="G899" i="32"/>
  <c r="F899" i="32"/>
  <c r="E899" i="32"/>
  <c r="D899" i="32"/>
  <c r="C899" i="32"/>
  <c r="B899" i="32"/>
  <c r="N898" i="32"/>
  <c r="M898" i="32"/>
  <c r="K898" i="32"/>
  <c r="H898" i="32"/>
  <c r="G898" i="32"/>
  <c r="F898" i="32"/>
  <c r="E898" i="32"/>
  <c r="D898" i="32"/>
  <c r="C898" i="32"/>
  <c r="B898" i="32"/>
  <c r="N897" i="32"/>
  <c r="M897" i="32"/>
  <c r="K897" i="32"/>
  <c r="H897" i="32"/>
  <c r="G897" i="32"/>
  <c r="F897" i="32"/>
  <c r="E897" i="32"/>
  <c r="D897" i="32"/>
  <c r="C897" i="32"/>
  <c r="B897" i="32"/>
  <c r="N896" i="32"/>
  <c r="R896" i="32" s="1"/>
  <c r="M896" i="32"/>
  <c r="K896" i="32"/>
  <c r="H896" i="32"/>
  <c r="G896" i="32"/>
  <c r="F896" i="32"/>
  <c r="E896" i="32"/>
  <c r="D896" i="32"/>
  <c r="C896" i="32"/>
  <c r="B896" i="32"/>
  <c r="N895" i="32"/>
  <c r="Q895" i="32" s="1"/>
  <c r="M895" i="32"/>
  <c r="K895" i="32"/>
  <c r="H895" i="32"/>
  <c r="G895" i="32"/>
  <c r="F895" i="32"/>
  <c r="E895" i="32"/>
  <c r="D895" i="32"/>
  <c r="C895" i="32"/>
  <c r="B895" i="32"/>
  <c r="N894" i="32"/>
  <c r="S894" i="32" s="1"/>
  <c r="M894" i="32"/>
  <c r="K894" i="32"/>
  <c r="H894" i="32"/>
  <c r="G894" i="32"/>
  <c r="F894" i="32"/>
  <c r="E894" i="32"/>
  <c r="D894" i="32"/>
  <c r="C894" i="32"/>
  <c r="B894" i="32"/>
  <c r="N893" i="32"/>
  <c r="Q893" i="32" s="1"/>
  <c r="M893" i="32"/>
  <c r="K893" i="32"/>
  <c r="H893" i="32"/>
  <c r="G893" i="32"/>
  <c r="F893" i="32"/>
  <c r="E893" i="32"/>
  <c r="D893" i="32"/>
  <c r="C893" i="32"/>
  <c r="B893" i="32"/>
  <c r="N892" i="32"/>
  <c r="M892" i="32"/>
  <c r="K892" i="32"/>
  <c r="H892" i="32"/>
  <c r="G892" i="32"/>
  <c r="F892" i="32"/>
  <c r="E892" i="32"/>
  <c r="D892" i="32"/>
  <c r="C892" i="32"/>
  <c r="B892" i="32"/>
  <c r="N891" i="32"/>
  <c r="R891" i="32" s="1"/>
  <c r="M891" i="32"/>
  <c r="K891" i="32"/>
  <c r="H891" i="32"/>
  <c r="G891" i="32"/>
  <c r="F891" i="32"/>
  <c r="E891" i="32"/>
  <c r="D891" i="32"/>
  <c r="C891" i="32"/>
  <c r="B891" i="32"/>
  <c r="N890" i="32"/>
  <c r="M890" i="32"/>
  <c r="K890" i="32"/>
  <c r="H890" i="32"/>
  <c r="G890" i="32"/>
  <c r="F890" i="32"/>
  <c r="E890" i="32"/>
  <c r="D890" i="32"/>
  <c r="C890" i="32"/>
  <c r="B890" i="32"/>
  <c r="N889" i="32"/>
  <c r="R889" i="32" s="1"/>
  <c r="M889" i="32"/>
  <c r="K889" i="32"/>
  <c r="H889" i="32"/>
  <c r="G889" i="32"/>
  <c r="F889" i="32"/>
  <c r="E889" i="32"/>
  <c r="D889" i="32"/>
  <c r="C889" i="32"/>
  <c r="B889" i="32"/>
  <c r="N888" i="32"/>
  <c r="S888" i="32" s="1"/>
  <c r="M888" i="32"/>
  <c r="K888" i="32"/>
  <c r="H888" i="32"/>
  <c r="G888" i="32"/>
  <c r="F888" i="32"/>
  <c r="E888" i="32"/>
  <c r="D888" i="32"/>
  <c r="C888" i="32"/>
  <c r="B888" i="32"/>
  <c r="N887" i="32"/>
  <c r="M887" i="32"/>
  <c r="K887" i="32"/>
  <c r="H887" i="32"/>
  <c r="G887" i="32"/>
  <c r="F887" i="32"/>
  <c r="E887" i="32"/>
  <c r="D887" i="32"/>
  <c r="C887" i="32"/>
  <c r="B887" i="32"/>
  <c r="N886" i="32"/>
  <c r="S886" i="32" s="1"/>
  <c r="M886" i="32"/>
  <c r="K886" i="32"/>
  <c r="H886" i="32"/>
  <c r="G886" i="32"/>
  <c r="F886" i="32"/>
  <c r="E886" i="32"/>
  <c r="D886" i="32"/>
  <c r="C886" i="32"/>
  <c r="B886" i="32"/>
  <c r="N885" i="32"/>
  <c r="Q885" i="32" s="1"/>
  <c r="M885" i="32"/>
  <c r="K885" i="32"/>
  <c r="H885" i="32"/>
  <c r="G885" i="32"/>
  <c r="F885" i="32"/>
  <c r="E885" i="32"/>
  <c r="D885" i="32"/>
  <c r="C885" i="32"/>
  <c r="B885" i="32"/>
  <c r="N884" i="32"/>
  <c r="M884" i="32"/>
  <c r="K884" i="32"/>
  <c r="H884" i="32"/>
  <c r="G884" i="32"/>
  <c r="F884" i="32"/>
  <c r="E884" i="32"/>
  <c r="D884" i="32"/>
  <c r="C884" i="32"/>
  <c r="B884" i="32"/>
  <c r="N883" i="32"/>
  <c r="S883" i="32" s="1"/>
  <c r="M883" i="32"/>
  <c r="K883" i="32"/>
  <c r="H883" i="32"/>
  <c r="G883" i="32"/>
  <c r="F883" i="32"/>
  <c r="E883" i="32"/>
  <c r="D883" i="32"/>
  <c r="C883" i="32"/>
  <c r="B883" i="32"/>
  <c r="N882" i="32"/>
  <c r="R882" i="32" s="1"/>
  <c r="M882" i="32"/>
  <c r="K882" i="32"/>
  <c r="H882" i="32"/>
  <c r="G882" i="32"/>
  <c r="F882" i="32"/>
  <c r="E882" i="32"/>
  <c r="D882" i="32"/>
  <c r="C882" i="32"/>
  <c r="B882" i="32"/>
  <c r="N881" i="32"/>
  <c r="S881" i="32" s="1"/>
  <c r="M881" i="32"/>
  <c r="K881" i="32"/>
  <c r="H881" i="32"/>
  <c r="G881" i="32"/>
  <c r="F881" i="32"/>
  <c r="E881" i="32"/>
  <c r="D881" i="32"/>
  <c r="C881" i="32"/>
  <c r="B881" i="32"/>
  <c r="N880" i="32"/>
  <c r="M880" i="32"/>
  <c r="J880" i="32"/>
  <c r="I880" i="32"/>
  <c r="H880" i="32"/>
  <c r="G880" i="32"/>
  <c r="F880" i="32"/>
  <c r="E880" i="32"/>
  <c r="H879" i="32"/>
  <c r="G879" i="32"/>
  <c r="F879" i="32"/>
  <c r="E879" i="32"/>
  <c r="N878" i="32"/>
  <c r="M878" i="32"/>
  <c r="H878" i="32"/>
  <c r="G878" i="32"/>
  <c r="F878" i="32"/>
  <c r="E878" i="32"/>
  <c r="H877" i="32"/>
  <c r="G877" i="32"/>
  <c r="F877" i="32"/>
  <c r="E877" i="32"/>
  <c r="N876" i="32"/>
  <c r="S876" i="32" s="1"/>
  <c r="M876" i="32"/>
  <c r="H876" i="32"/>
  <c r="G876" i="32"/>
  <c r="F876" i="32"/>
  <c r="E876" i="32"/>
  <c r="N875" i="32"/>
  <c r="M875" i="32"/>
  <c r="H875" i="32"/>
  <c r="G875" i="32"/>
  <c r="F875" i="32"/>
  <c r="E875" i="32"/>
  <c r="N874" i="32"/>
  <c r="R874" i="32" s="1"/>
  <c r="M874" i="32"/>
  <c r="H874" i="32"/>
  <c r="G874" i="32"/>
  <c r="F874" i="32"/>
  <c r="E874" i="32"/>
  <c r="N873" i="32"/>
  <c r="S873" i="32" s="1"/>
  <c r="M873" i="32"/>
  <c r="H873" i="32"/>
  <c r="G873" i="32"/>
  <c r="F873" i="32"/>
  <c r="E873" i="32"/>
  <c r="N872" i="32"/>
  <c r="Q872" i="32" s="1"/>
  <c r="M872" i="32"/>
  <c r="H872" i="32"/>
  <c r="G872" i="32"/>
  <c r="F872" i="32"/>
  <c r="E872" i="32"/>
  <c r="N871" i="32"/>
  <c r="M871" i="32"/>
  <c r="H871" i="32"/>
  <c r="G871" i="32"/>
  <c r="F871" i="32"/>
  <c r="E871" i="32"/>
  <c r="N870" i="32"/>
  <c r="M870" i="32"/>
  <c r="H870" i="32"/>
  <c r="G870" i="32"/>
  <c r="F870" i="32"/>
  <c r="E870" i="32"/>
  <c r="N869" i="32"/>
  <c r="M869" i="32"/>
  <c r="H869" i="32"/>
  <c r="G869" i="32"/>
  <c r="F869" i="32"/>
  <c r="E869" i="32"/>
  <c r="N868" i="32"/>
  <c r="R868" i="32" s="1"/>
  <c r="M868" i="32"/>
  <c r="H868" i="32"/>
  <c r="G868" i="32"/>
  <c r="F868" i="32"/>
  <c r="E868" i="32"/>
  <c r="H867" i="32"/>
  <c r="G867" i="32"/>
  <c r="F867" i="32"/>
  <c r="E867" i="32"/>
  <c r="N866" i="32"/>
  <c r="R866" i="32" s="1"/>
  <c r="M866" i="32"/>
  <c r="H866" i="32"/>
  <c r="G866" i="32"/>
  <c r="F866" i="32"/>
  <c r="E866" i="32"/>
  <c r="N865" i="32"/>
  <c r="Q865" i="32" s="1"/>
  <c r="M865" i="32"/>
  <c r="H865" i="32"/>
  <c r="G865" i="32"/>
  <c r="F865" i="32"/>
  <c r="E865" i="32"/>
  <c r="N864" i="32"/>
  <c r="M864" i="32"/>
  <c r="H864" i="32"/>
  <c r="G864" i="32"/>
  <c r="F864" i="32"/>
  <c r="E864" i="32"/>
  <c r="N863" i="32"/>
  <c r="M863" i="32"/>
  <c r="H863" i="32"/>
  <c r="G863" i="32"/>
  <c r="F863" i="32"/>
  <c r="E863" i="32"/>
  <c r="N862" i="32"/>
  <c r="M862" i="32"/>
  <c r="H862" i="32"/>
  <c r="G862" i="32"/>
  <c r="F862" i="32"/>
  <c r="E862" i="32"/>
  <c r="N861" i="32"/>
  <c r="M861" i="32"/>
  <c r="J861" i="32"/>
  <c r="I861" i="32"/>
  <c r="H861" i="32"/>
  <c r="F861" i="32"/>
  <c r="N860" i="32"/>
  <c r="M860" i="32"/>
  <c r="J860" i="32"/>
  <c r="I860" i="32"/>
  <c r="H860" i="32"/>
  <c r="F860" i="32"/>
  <c r="N859" i="32"/>
  <c r="M859" i="32"/>
  <c r="J859" i="32"/>
  <c r="I859" i="32"/>
  <c r="H859" i="32"/>
  <c r="F859" i="32"/>
  <c r="N858" i="32"/>
  <c r="P859" i="32" s="1"/>
  <c r="M858" i="32"/>
  <c r="H858" i="32"/>
  <c r="F858" i="32"/>
  <c r="E858" i="32"/>
  <c r="N857" i="32"/>
  <c r="M857" i="32"/>
  <c r="J857" i="32"/>
  <c r="I857" i="32"/>
  <c r="H857" i="32"/>
  <c r="F857" i="32"/>
  <c r="N856" i="32"/>
  <c r="M856" i="32"/>
  <c r="J856" i="32"/>
  <c r="I856" i="32"/>
  <c r="H856" i="32"/>
  <c r="F856" i="32"/>
  <c r="N855" i="32"/>
  <c r="M855" i="32"/>
  <c r="J855" i="32"/>
  <c r="I855" i="32"/>
  <c r="H855" i="32"/>
  <c r="F855" i="32"/>
  <c r="N854" i="32"/>
  <c r="Q854" i="32" s="1"/>
  <c r="M854" i="32"/>
  <c r="H854" i="32"/>
  <c r="F854" i="32"/>
  <c r="E854" i="32"/>
  <c r="N853" i="32"/>
  <c r="J853" i="32"/>
  <c r="I853" i="32"/>
  <c r="H853" i="32"/>
  <c r="E853" i="32"/>
  <c r="N852" i="32"/>
  <c r="M852" i="32"/>
  <c r="K852" i="32"/>
  <c r="H852" i="32"/>
  <c r="G852" i="32"/>
  <c r="F852" i="32"/>
  <c r="E852" i="32"/>
  <c r="D852" i="32"/>
  <c r="C852" i="32"/>
  <c r="B852" i="32"/>
  <c r="N851" i="32"/>
  <c r="M851" i="32"/>
  <c r="K851" i="32"/>
  <c r="H851" i="32"/>
  <c r="G851" i="32"/>
  <c r="F851" i="32"/>
  <c r="E851" i="32"/>
  <c r="D851" i="32"/>
  <c r="C851" i="32"/>
  <c r="B851" i="32"/>
  <c r="N850" i="32"/>
  <c r="M850" i="32"/>
  <c r="K850" i="32"/>
  <c r="H850" i="32"/>
  <c r="G850" i="32"/>
  <c r="F850" i="32"/>
  <c r="E850" i="32"/>
  <c r="D850" i="32"/>
  <c r="C850" i="32"/>
  <c r="B850" i="32"/>
  <c r="N849" i="32"/>
  <c r="R849" i="32" s="1"/>
  <c r="M849" i="32"/>
  <c r="K849" i="32"/>
  <c r="H849" i="32"/>
  <c r="G849" i="32"/>
  <c r="F849" i="32"/>
  <c r="E849" i="32"/>
  <c r="D849" i="32"/>
  <c r="C849" i="32"/>
  <c r="B849" i="32"/>
  <c r="N848" i="32"/>
  <c r="M848" i="32"/>
  <c r="K848" i="32"/>
  <c r="H848" i="32"/>
  <c r="G848" i="32"/>
  <c r="F848" i="32"/>
  <c r="E848" i="32"/>
  <c r="D848" i="32"/>
  <c r="C848" i="32"/>
  <c r="B848" i="32"/>
  <c r="N847" i="32"/>
  <c r="M847" i="32"/>
  <c r="K847" i="32"/>
  <c r="H847" i="32"/>
  <c r="G847" i="32"/>
  <c r="F847" i="32"/>
  <c r="E847" i="32"/>
  <c r="D847" i="32"/>
  <c r="C847" i="32"/>
  <c r="B847" i="32"/>
  <c r="N846" i="32"/>
  <c r="M846" i="32"/>
  <c r="K846" i="32"/>
  <c r="H846" i="32"/>
  <c r="G846" i="32"/>
  <c r="F846" i="32"/>
  <c r="E846" i="32"/>
  <c r="D846" i="32"/>
  <c r="C846" i="32"/>
  <c r="B846" i="32"/>
  <c r="N845" i="32"/>
  <c r="M845" i="32"/>
  <c r="K845" i="32"/>
  <c r="H845" i="32"/>
  <c r="G845" i="32"/>
  <c r="F845" i="32"/>
  <c r="E845" i="32"/>
  <c r="D845" i="32"/>
  <c r="C845" i="32"/>
  <c r="B845" i="32"/>
  <c r="N844" i="32"/>
  <c r="M844" i="32"/>
  <c r="K844" i="32"/>
  <c r="H844" i="32"/>
  <c r="G844" i="32"/>
  <c r="F844" i="32"/>
  <c r="E844" i="32"/>
  <c r="D844" i="32"/>
  <c r="C844" i="32"/>
  <c r="B844" i="32"/>
  <c r="N843" i="32"/>
  <c r="S843" i="32" s="1"/>
  <c r="M843" i="32"/>
  <c r="K843" i="32"/>
  <c r="H843" i="32"/>
  <c r="G843" i="32"/>
  <c r="F843" i="32"/>
  <c r="E843" i="32"/>
  <c r="D843" i="32"/>
  <c r="C843" i="32"/>
  <c r="B843" i="32"/>
  <c r="N842" i="32"/>
  <c r="M842" i="32"/>
  <c r="K842" i="32"/>
  <c r="H842" i="32"/>
  <c r="G842" i="32"/>
  <c r="F842" i="32"/>
  <c r="E842" i="32"/>
  <c r="D842" i="32"/>
  <c r="C842" i="32"/>
  <c r="B842" i="32"/>
  <c r="N841" i="32"/>
  <c r="R841" i="32" s="1"/>
  <c r="M841" i="32"/>
  <c r="K841" i="32"/>
  <c r="H841" i="32"/>
  <c r="G841" i="32"/>
  <c r="F841" i="32"/>
  <c r="E841" i="32"/>
  <c r="D841" i="32"/>
  <c r="C841" i="32"/>
  <c r="B841" i="32"/>
  <c r="N840" i="32"/>
  <c r="M840" i="32"/>
  <c r="K840" i="32"/>
  <c r="H840" i="32"/>
  <c r="G840" i="32"/>
  <c r="F840" i="32"/>
  <c r="E840" i="32"/>
  <c r="D840" i="32"/>
  <c r="C840" i="32"/>
  <c r="B840" i="32"/>
  <c r="N839" i="32"/>
  <c r="M839" i="32"/>
  <c r="K839" i="32"/>
  <c r="H839" i="32"/>
  <c r="G839" i="32"/>
  <c r="F839" i="32"/>
  <c r="E839" i="32"/>
  <c r="D839" i="32"/>
  <c r="C839" i="32"/>
  <c r="B839" i="32"/>
  <c r="N838" i="32"/>
  <c r="R838" i="32" s="1"/>
  <c r="M838" i="32"/>
  <c r="K838" i="32"/>
  <c r="H838" i="32"/>
  <c r="G838" i="32"/>
  <c r="F838" i="32"/>
  <c r="E838" i="32"/>
  <c r="D838" i="32"/>
  <c r="C838" i="32"/>
  <c r="B838" i="32"/>
  <c r="N837" i="32"/>
  <c r="M837" i="32"/>
  <c r="K837" i="32"/>
  <c r="H837" i="32"/>
  <c r="G837" i="32"/>
  <c r="F837" i="32"/>
  <c r="E837" i="32"/>
  <c r="D837" i="32"/>
  <c r="C837" i="32"/>
  <c r="B837" i="32"/>
  <c r="N836" i="32"/>
  <c r="M836" i="32"/>
  <c r="K836" i="32"/>
  <c r="H836" i="32"/>
  <c r="G836" i="32"/>
  <c r="F836" i="32"/>
  <c r="E836" i="32"/>
  <c r="D836" i="32"/>
  <c r="C836" i="32"/>
  <c r="B836" i="32"/>
  <c r="N835" i="32"/>
  <c r="S835" i="32" s="1"/>
  <c r="M835" i="32"/>
  <c r="K835" i="32"/>
  <c r="H835" i="32"/>
  <c r="G835" i="32"/>
  <c r="F835" i="32"/>
  <c r="E835" i="32"/>
  <c r="D835" i="32"/>
  <c r="C835" i="32"/>
  <c r="B835" i="32"/>
  <c r="N834" i="32"/>
  <c r="M834" i="32"/>
  <c r="K834" i="32"/>
  <c r="H834" i="32"/>
  <c r="G834" i="32"/>
  <c r="F834" i="32"/>
  <c r="E834" i="32"/>
  <c r="D834" i="32"/>
  <c r="C834" i="32"/>
  <c r="B834" i="32"/>
  <c r="N833" i="32"/>
  <c r="Q833" i="32" s="1"/>
  <c r="M833" i="32"/>
  <c r="K833" i="32"/>
  <c r="H833" i="32"/>
  <c r="G833" i="32"/>
  <c r="F833" i="32"/>
  <c r="E833" i="32"/>
  <c r="D833" i="32"/>
  <c r="C833" i="32"/>
  <c r="B833" i="32"/>
  <c r="N832" i="32"/>
  <c r="M832" i="32"/>
  <c r="K832" i="32"/>
  <c r="H832" i="32"/>
  <c r="G832" i="32"/>
  <c r="F832" i="32"/>
  <c r="E832" i="32"/>
  <c r="D832" i="32"/>
  <c r="C832" i="32"/>
  <c r="B832" i="32"/>
  <c r="N831" i="32"/>
  <c r="Q831" i="32" s="1"/>
  <c r="M831" i="32"/>
  <c r="K831" i="32"/>
  <c r="H831" i="32"/>
  <c r="G831" i="32"/>
  <c r="F831" i="32"/>
  <c r="E831" i="32"/>
  <c r="D831" i="32"/>
  <c r="C831" i="32"/>
  <c r="B831" i="32"/>
  <c r="N830" i="32"/>
  <c r="R830" i="32" s="1"/>
  <c r="M830" i="32"/>
  <c r="K830" i="32"/>
  <c r="H830" i="32"/>
  <c r="G830" i="32"/>
  <c r="F830" i="32"/>
  <c r="E830" i="32"/>
  <c r="D830" i="32"/>
  <c r="C830" i="32"/>
  <c r="B830" i="32"/>
  <c r="N829" i="32"/>
  <c r="M829" i="32"/>
  <c r="K829" i="32"/>
  <c r="H829" i="32"/>
  <c r="G829" i="32"/>
  <c r="F829" i="32"/>
  <c r="E829" i="32"/>
  <c r="D829" i="32"/>
  <c r="C829" i="32"/>
  <c r="B829" i="32"/>
  <c r="N828" i="32"/>
  <c r="M828" i="32"/>
  <c r="K828" i="32"/>
  <c r="H828" i="32"/>
  <c r="G828" i="32"/>
  <c r="F828" i="32"/>
  <c r="E828" i="32"/>
  <c r="D828" i="32"/>
  <c r="C828" i="32"/>
  <c r="B828" i="32"/>
  <c r="N827" i="32"/>
  <c r="M827" i="32"/>
  <c r="K827" i="32"/>
  <c r="H827" i="32"/>
  <c r="G827" i="32"/>
  <c r="F827" i="32"/>
  <c r="E827" i="32"/>
  <c r="D827" i="32"/>
  <c r="C827" i="32"/>
  <c r="B827" i="32"/>
  <c r="N826" i="32"/>
  <c r="M826" i="32"/>
  <c r="K826" i="32"/>
  <c r="H826" i="32"/>
  <c r="G826" i="32"/>
  <c r="F826" i="32"/>
  <c r="E826" i="32"/>
  <c r="D826" i="32"/>
  <c r="C826" i="32"/>
  <c r="B826" i="32"/>
  <c r="K825" i="32"/>
  <c r="H825" i="32"/>
  <c r="G825" i="32"/>
  <c r="F825" i="32"/>
  <c r="E825" i="32"/>
  <c r="D825" i="32"/>
  <c r="C825" i="32"/>
  <c r="B825" i="32"/>
  <c r="N824" i="32"/>
  <c r="Q824" i="32" s="1"/>
  <c r="M824" i="32"/>
  <c r="K824" i="32"/>
  <c r="H824" i="32"/>
  <c r="F824" i="32"/>
  <c r="E824" i="32"/>
  <c r="D824" i="32"/>
  <c r="C824" i="32"/>
  <c r="B824" i="32"/>
  <c r="N823" i="32"/>
  <c r="Q823" i="32" s="1"/>
  <c r="M823" i="32"/>
  <c r="K823" i="32"/>
  <c r="H823" i="32"/>
  <c r="F823" i="32"/>
  <c r="E823" i="32"/>
  <c r="D823" i="32"/>
  <c r="C823" i="32"/>
  <c r="B823" i="32"/>
  <c r="N822" i="32"/>
  <c r="R822" i="32" s="1"/>
  <c r="M822" i="32"/>
  <c r="K822" i="32"/>
  <c r="H822" i="32"/>
  <c r="F822" i="32"/>
  <c r="E822" i="32"/>
  <c r="D822" i="32"/>
  <c r="C822" i="32"/>
  <c r="B822" i="32"/>
  <c r="K821" i="32"/>
  <c r="H821" i="32"/>
  <c r="F821" i="32"/>
  <c r="E821" i="32"/>
  <c r="D821" i="32"/>
  <c r="C821" i="32"/>
  <c r="B821" i="32"/>
  <c r="N820" i="32"/>
  <c r="M820" i="32"/>
  <c r="I820" i="32"/>
  <c r="H820" i="32"/>
  <c r="G820" i="32"/>
  <c r="F820" i="32"/>
  <c r="E820" i="32"/>
  <c r="N819" i="32"/>
  <c r="R819" i="32" s="1"/>
  <c r="M819" i="32"/>
  <c r="H819" i="32"/>
  <c r="G819" i="32"/>
  <c r="F819" i="32"/>
  <c r="E819" i="32"/>
  <c r="N818" i="32"/>
  <c r="M818" i="32"/>
  <c r="H818" i="32"/>
  <c r="G818" i="32"/>
  <c r="F818" i="32"/>
  <c r="E818" i="32"/>
  <c r="N817" i="32"/>
  <c r="M817" i="32"/>
  <c r="H817" i="32"/>
  <c r="G817" i="32"/>
  <c r="F817" i="32"/>
  <c r="E817" i="32"/>
  <c r="N816" i="32"/>
  <c r="R816" i="32" s="1"/>
  <c r="M816" i="32"/>
  <c r="H816" i="32"/>
  <c r="G816" i="32"/>
  <c r="F816" i="32"/>
  <c r="E816" i="32"/>
  <c r="N815" i="32"/>
  <c r="S815" i="32" s="1"/>
  <c r="M815" i="32"/>
  <c r="H815" i="32"/>
  <c r="G815" i="32"/>
  <c r="F815" i="32"/>
  <c r="E815" i="32"/>
  <c r="N814" i="32"/>
  <c r="S814" i="32" s="1"/>
  <c r="M814" i="32"/>
  <c r="H814" i="32"/>
  <c r="G814" i="32"/>
  <c r="F814" i="32"/>
  <c r="E814" i="32"/>
  <c r="N813" i="32"/>
  <c r="M813" i="32"/>
  <c r="H813" i="32"/>
  <c r="G813" i="32"/>
  <c r="F813" i="32"/>
  <c r="E813" i="32"/>
  <c r="N812" i="32"/>
  <c r="S812" i="32" s="1"/>
  <c r="M812" i="32"/>
  <c r="H812" i="32"/>
  <c r="G812" i="32"/>
  <c r="F812" i="32"/>
  <c r="E812" i="32"/>
  <c r="H811" i="32"/>
  <c r="G811" i="32"/>
  <c r="F811" i="32"/>
  <c r="E811" i="32"/>
  <c r="N810" i="32"/>
  <c r="S810" i="32" s="1"/>
  <c r="M810" i="32"/>
  <c r="H810" i="32"/>
  <c r="G810" i="32"/>
  <c r="F810" i="32"/>
  <c r="E810" i="32"/>
  <c r="N809" i="32"/>
  <c r="M809" i="32"/>
  <c r="H809" i="32"/>
  <c r="G809" i="32"/>
  <c r="F809" i="32"/>
  <c r="E809" i="32"/>
  <c r="H808" i="32"/>
  <c r="G808" i="32"/>
  <c r="F808" i="32"/>
  <c r="E808" i="32"/>
  <c r="N807" i="32"/>
  <c r="S807" i="32" s="1"/>
  <c r="M807" i="32"/>
  <c r="H807" i="32"/>
  <c r="G807" i="32"/>
  <c r="F807" i="32"/>
  <c r="E807" i="32"/>
  <c r="N806" i="32"/>
  <c r="S806" i="32" s="1"/>
  <c r="M806" i="32"/>
  <c r="H806" i="32"/>
  <c r="F806" i="32"/>
  <c r="N805" i="32"/>
  <c r="Q805" i="32" s="1"/>
  <c r="M805" i="32"/>
  <c r="H805" i="32"/>
  <c r="F805" i="32"/>
  <c r="N804" i="32"/>
  <c r="M804" i="32"/>
  <c r="H804" i="32"/>
  <c r="F804" i="32"/>
  <c r="N803" i="32"/>
  <c r="M803" i="32"/>
  <c r="H803" i="32"/>
  <c r="F803" i="32"/>
  <c r="N802" i="32"/>
  <c r="S802" i="32" s="1"/>
  <c r="M802" i="32"/>
  <c r="H802" i="32"/>
  <c r="F802" i="32"/>
  <c r="N801" i="32"/>
  <c r="M801" i="32"/>
  <c r="H801" i="32"/>
  <c r="F801" i="32"/>
  <c r="N800" i="32"/>
  <c r="M800" i="32"/>
  <c r="H800" i="32"/>
  <c r="F800" i="32"/>
  <c r="N799" i="32"/>
  <c r="S799" i="32" s="1"/>
  <c r="M799" i="32"/>
  <c r="H799" i="32"/>
  <c r="N798" i="32"/>
  <c r="M798" i="32"/>
  <c r="H798" i="32"/>
  <c r="N797" i="32"/>
  <c r="S797" i="32" s="1"/>
  <c r="M797" i="32"/>
  <c r="H797" i="32"/>
  <c r="N796" i="32"/>
  <c r="M796" i="32"/>
  <c r="H796" i="32"/>
  <c r="N795" i="32"/>
  <c r="R795" i="32" s="1"/>
  <c r="M795" i="32"/>
  <c r="H795" i="32"/>
  <c r="N794" i="32"/>
  <c r="Q794" i="32" s="1"/>
  <c r="M794" i="32"/>
  <c r="H794" i="32"/>
  <c r="N793" i="32"/>
  <c r="M793" i="32"/>
  <c r="H793" i="32"/>
  <c r="F793" i="32"/>
  <c r="N792" i="32"/>
  <c r="M792" i="32"/>
  <c r="H792" i="32"/>
  <c r="F792" i="32"/>
  <c r="E792" i="32"/>
  <c r="N791" i="32"/>
  <c r="M791" i="32"/>
  <c r="H791" i="32"/>
  <c r="F791" i="32"/>
  <c r="E791" i="32"/>
  <c r="N790" i="32"/>
  <c r="S790" i="32" s="1"/>
  <c r="M790" i="32"/>
  <c r="H790" i="32"/>
  <c r="F790" i="32"/>
  <c r="N789" i="32"/>
  <c r="Q789" i="32" s="1"/>
  <c r="M789" i="32"/>
  <c r="H789" i="32"/>
  <c r="F789" i="32"/>
  <c r="H788" i="32"/>
  <c r="F788" i="32"/>
  <c r="D788" i="32"/>
  <c r="C788" i="32"/>
  <c r="B788" i="32"/>
  <c r="N787" i="32"/>
  <c r="M787" i="32"/>
  <c r="J787" i="32"/>
  <c r="I787" i="32"/>
  <c r="H787" i="32"/>
  <c r="D787" i="32"/>
  <c r="C787" i="32"/>
  <c r="B787" i="32"/>
  <c r="N786" i="32"/>
  <c r="M786" i="32"/>
  <c r="J786" i="32"/>
  <c r="I786" i="32"/>
  <c r="H786" i="32"/>
  <c r="D786" i="32"/>
  <c r="C786" i="32"/>
  <c r="B786" i="32"/>
  <c r="N785" i="32"/>
  <c r="M785" i="32"/>
  <c r="J785" i="32"/>
  <c r="I785" i="32"/>
  <c r="H785" i="32"/>
  <c r="D785" i="32"/>
  <c r="C785" i="32"/>
  <c r="B785" i="32"/>
  <c r="N784" i="32"/>
  <c r="M784" i="32"/>
  <c r="J784" i="32"/>
  <c r="I784" i="32"/>
  <c r="H784" i="32"/>
  <c r="D784" i="32"/>
  <c r="C784" i="32"/>
  <c r="B784" i="32"/>
  <c r="N783" i="32"/>
  <c r="M783" i="32"/>
  <c r="H783" i="32"/>
  <c r="E783" i="32"/>
  <c r="C783" i="32"/>
  <c r="B783" i="32"/>
  <c r="H782" i="32"/>
  <c r="F782" i="32"/>
  <c r="D782" i="32"/>
  <c r="C782" i="32"/>
  <c r="B782" i="32"/>
  <c r="N781" i="32"/>
  <c r="M781" i="32"/>
  <c r="J781" i="32"/>
  <c r="I781" i="32"/>
  <c r="H781" i="32"/>
  <c r="D781" i="32"/>
  <c r="C781" i="32"/>
  <c r="B781" i="32"/>
  <c r="N780" i="32"/>
  <c r="M780" i="32"/>
  <c r="J780" i="32"/>
  <c r="I780" i="32"/>
  <c r="H780" i="32"/>
  <c r="D780" i="32"/>
  <c r="C780" i="32"/>
  <c r="B780" i="32"/>
  <c r="N779" i="32"/>
  <c r="M779" i="32"/>
  <c r="J779" i="32"/>
  <c r="I779" i="32"/>
  <c r="H779" i="32"/>
  <c r="D779" i="32"/>
  <c r="C779" i="32"/>
  <c r="B779" i="32"/>
  <c r="N778" i="32"/>
  <c r="M778" i="32"/>
  <c r="J778" i="32"/>
  <c r="I778" i="32"/>
  <c r="H778" i="32"/>
  <c r="D778" i="32"/>
  <c r="C778" i="32"/>
  <c r="B778" i="32"/>
  <c r="N777" i="32"/>
  <c r="P779" i="32" s="1"/>
  <c r="M777" i="32"/>
  <c r="H777" i="32"/>
  <c r="E777" i="32"/>
  <c r="C777" i="32"/>
  <c r="B777" i="32"/>
  <c r="H776" i="32"/>
  <c r="F776" i="32"/>
  <c r="D776" i="32"/>
  <c r="C776" i="32"/>
  <c r="B776" i="32"/>
  <c r="N775" i="32"/>
  <c r="M775" i="32"/>
  <c r="J775" i="32"/>
  <c r="I775" i="32"/>
  <c r="H775" i="32"/>
  <c r="D775" i="32"/>
  <c r="C775" i="32"/>
  <c r="B775" i="32"/>
  <c r="N774" i="32"/>
  <c r="M774" i="32"/>
  <c r="J774" i="32"/>
  <c r="I774" i="32"/>
  <c r="H774" i="32"/>
  <c r="F774" i="32"/>
  <c r="D774" i="32"/>
  <c r="C774" i="32"/>
  <c r="B774" i="32"/>
  <c r="N773" i="32"/>
  <c r="M773" i="32"/>
  <c r="J773" i="32"/>
  <c r="I773" i="32"/>
  <c r="H773" i="32"/>
  <c r="F773" i="32"/>
  <c r="D773" i="32"/>
  <c r="C773" i="32"/>
  <c r="B773" i="32"/>
  <c r="N772" i="32"/>
  <c r="M772" i="32"/>
  <c r="J772" i="32"/>
  <c r="I772" i="32"/>
  <c r="H772" i="32"/>
  <c r="F772" i="32"/>
  <c r="D772" i="32"/>
  <c r="C772" i="32"/>
  <c r="B772" i="32"/>
  <c r="N771" i="32"/>
  <c r="P775" i="32" s="1"/>
  <c r="M771" i="32"/>
  <c r="H771" i="32"/>
  <c r="F771" i="32"/>
  <c r="L776" i="32" s="1"/>
  <c r="E771" i="32"/>
  <c r="D771" i="32"/>
  <c r="C771" i="32"/>
  <c r="B771" i="32"/>
  <c r="H770" i="32"/>
  <c r="F770" i="32"/>
  <c r="D770" i="32"/>
  <c r="C770" i="32"/>
  <c r="B770" i="32"/>
  <c r="N769" i="32"/>
  <c r="M769" i="32"/>
  <c r="J769" i="32"/>
  <c r="I769" i="32"/>
  <c r="H769" i="32"/>
  <c r="D769" i="32"/>
  <c r="C769" i="32"/>
  <c r="B769" i="32"/>
  <c r="N768" i="32"/>
  <c r="M768" i="32"/>
  <c r="J768" i="32"/>
  <c r="I768" i="32"/>
  <c r="H768" i="32"/>
  <c r="F768" i="32"/>
  <c r="D768" i="32"/>
  <c r="C768" i="32"/>
  <c r="B768" i="32"/>
  <c r="N767" i="32"/>
  <c r="M767" i="32"/>
  <c r="J767" i="32"/>
  <c r="I767" i="32"/>
  <c r="H767" i="32"/>
  <c r="F767" i="32"/>
  <c r="D767" i="32"/>
  <c r="C767" i="32"/>
  <c r="B767" i="32"/>
  <c r="N766" i="32"/>
  <c r="M766" i="32"/>
  <c r="J766" i="32"/>
  <c r="I766" i="32"/>
  <c r="H766" i="32"/>
  <c r="F766" i="32"/>
  <c r="D766" i="32"/>
  <c r="C766" i="32"/>
  <c r="B766" i="32"/>
  <c r="N765" i="32"/>
  <c r="M765" i="32"/>
  <c r="H765" i="32"/>
  <c r="F765" i="32"/>
  <c r="L770" i="32" s="1"/>
  <c r="M770" i="32" s="1"/>
  <c r="E765" i="32"/>
  <c r="D765" i="32"/>
  <c r="C765" i="32"/>
  <c r="B765" i="32"/>
  <c r="H764" i="32"/>
  <c r="F764" i="32"/>
  <c r="N763" i="32"/>
  <c r="M763" i="32"/>
  <c r="J763" i="32"/>
  <c r="I763" i="32"/>
  <c r="H763" i="32"/>
  <c r="N762" i="32"/>
  <c r="M762" i="32"/>
  <c r="J762" i="32"/>
  <c r="I762" i="32"/>
  <c r="H762" i="32"/>
  <c r="F762" i="32"/>
  <c r="N761" i="32"/>
  <c r="M761" i="32"/>
  <c r="J761" i="32"/>
  <c r="I761" i="32"/>
  <c r="H761" i="32"/>
  <c r="F761" i="32"/>
  <c r="N760" i="32"/>
  <c r="M760" i="32"/>
  <c r="J760" i="32"/>
  <c r="I760" i="32"/>
  <c r="H760" i="32"/>
  <c r="G760" i="32"/>
  <c r="F760" i="32"/>
  <c r="N759" i="32"/>
  <c r="M759" i="32"/>
  <c r="H759" i="32"/>
  <c r="F759" i="32"/>
  <c r="L764" i="32" s="1"/>
  <c r="E759" i="32"/>
  <c r="H758" i="32"/>
  <c r="F758" i="32"/>
  <c r="N757" i="32"/>
  <c r="M757" i="32"/>
  <c r="J757" i="32"/>
  <c r="I757" i="32"/>
  <c r="H757" i="32"/>
  <c r="F757" i="32"/>
  <c r="N756" i="32"/>
  <c r="M756" i="32"/>
  <c r="J756" i="32"/>
  <c r="I756" i="32"/>
  <c r="H756" i="32"/>
  <c r="F756" i="32"/>
  <c r="N755" i="32"/>
  <c r="M755" i="32"/>
  <c r="J755" i="32"/>
  <c r="I755" i="32"/>
  <c r="H755" i="32"/>
  <c r="F755" i="32"/>
  <c r="N754" i="32"/>
  <c r="M754" i="32"/>
  <c r="J754" i="32"/>
  <c r="I754" i="32"/>
  <c r="H754" i="32"/>
  <c r="G754" i="32"/>
  <c r="F754" i="32"/>
  <c r="N753" i="32"/>
  <c r="M753" i="32"/>
  <c r="H753" i="32"/>
  <c r="F753" i="32"/>
  <c r="L758" i="32" s="1"/>
  <c r="E753" i="32"/>
  <c r="H752" i="32"/>
  <c r="F752" i="32"/>
  <c r="N751" i="32"/>
  <c r="M751" i="32"/>
  <c r="J751" i="32"/>
  <c r="I751" i="32"/>
  <c r="H751" i="32"/>
  <c r="N750" i="32"/>
  <c r="M750" i="32"/>
  <c r="J750" i="32"/>
  <c r="I750" i="32"/>
  <c r="H750" i="32"/>
  <c r="F750" i="32"/>
  <c r="N749" i="32"/>
  <c r="M749" i="32"/>
  <c r="J749" i="32"/>
  <c r="I749" i="32"/>
  <c r="H749" i="32"/>
  <c r="F749" i="32"/>
  <c r="N748" i="32"/>
  <c r="M748" i="32"/>
  <c r="J748" i="32"/>
  <c r="I748" i="32"/>
  <c r="H748" i="32"/>
  <c r="F748" i="32"/>
  <c r="N747" i="32"/>
  <c r="P751" i="32" s="1"/>
  <c r="M747" i="32"/>
  <c r="H747" i="32"/>
  <c r="F747" i="32"/>
  <c r="L752" i="32" s="1"/>
  <c r="E747" i="32"/>
  <c r="H746" i="32"/>
  <c r="F746" i="32"/>
  <c r="N745" i="32"/>
  <c r="M745" i="32"/>
  <c r="J745" i="32"/>
  <c r="I745" i="32"/>
  <c r="H745" i="32"/>
  <c r="N744" i="32"/>
  <c r="M744" i="32"/>
  <c r="J744" i="32"/>
  <c r="I744" i="32"/>
  <c r="H744" i="32"/>
  <c r="F744" i="32"/>
  <c r="N743" i="32"/>
  <c r="M743" i="32"/>
  <c r="J743" i="32"/>
  <c r="I743" i="32"/>
  <c r="H743" i="32"/>
  <c r="G743" i="32"/>
  <c r="F743" i="32"/>
  <c r="N742" i="32"/>
  <c r="M742" i="32"/>
  <c r="J742" i="32"/>
  <c r="I742" i="32"/>
  <c r="H742" i="32"/>
  <c r="F742" i="32"/>
  <c r="N741" i="32"/>
  <c r="P745" i="32" s="1"/>
  <c r="M741" i="32"/>
  <c r="H741" i="32"/>
  <c r="F741" i="32"/>
  <c r="L746" i="32" s="1"/>
  <c r="E741" i="32"/>
  <c r="H740" i="32"/>
  <c r="F740" i="32"/>
  <c r="N739" i="32"/>
  <c r="M739" i="32"/>
  <c r="J739" i="32"/>
  <c r="I739" i="32"/>
  <c r="H739" i="32"/>
  <c r="N738" i="32"/>
  <c r="M738" i="32"/>
  <c r="J738" i="32"/>
  <c r="I738" i="32"/>
  <c r="H738" i="32"/>
  <c r="F738" i="32"/>
  <c r="N737" i="32"/>
  <c r="M737" i="32"/>
  <c r="J737" i="32"/>
  <c r="I737" i="32"/>
  <c r="H737" i="32"/>
  <c r="G737" i="32"/>
  <c r="F737" i="32"/>
  <c r="N736" i="32"/>
  <c r="M736" i="32"/>
  <c r="J736" i="32"/>
  <c r="I736" i="32"/>
  <c r="H736" i="32"/>
  <c r="F736" i="32"/>
  <c r="N735" i="32"/>
  <c r="M735" i="32"/>
  <c r="H735" i="32"/>
  <c r="F735" i="32"/>
  <c r="L740" i="32" s="1"/>
  <c r="E735" i="32"/>
  <c r="H734" i="32"/>
  <c r="F734" i="32"/>
  <c r="N733" i="32"/>
  <c r="M733" i="32"/>
  <c r="J733" i="32"/>
  <c r="I733" i="32"/>
  <c r="H733" i="32"/>
  <c r="N732" i="32"/>
  <c r="M732" i="32"/>
  <c r="J732" i="32"/>
  <c r="I732" i="32"/>
  <c r="H732" i="32"/>
  <c r="F732" i="32"/>
  <c r="N731" i="32"/>
  <c r="M731" i="32"/>
  <c r="J731" i="32"/>
  <c r="I731" i="32"/>
  <c r="H731" i="32"/>
  <c r="G731" i="32"/>
  <c r="F731" i="32"/>
  <c r="N730" i="32"/>
  <c r="M730" i="32"/>
  <c r="J730" i="32"/>
  <c r="I730" i="32"/>
  <c r="H730" i="32"/>
  <c r="G730" i="32"/>
  <c r="F730" i="32"/>
  <c r="N729" i="32"/>
  <c r="P733" i="32" s="1"/>
  <c r="M729" i="32"/>
  <c r="H729" i="32"/>
  <c r="F729" i="32"/>
  <c r="L734" i="32" s="1"/>
  <c r="E729" i="32"/>
  <c r="H728" i="32"/>
  <c r="F728" i="32"/>
  <c r="N727" i="32"/>
  <c r="M727" i="32"/>
  <c r="J727" i="32"/>
  <c r="I727" i="32"/>
  <c r="H727" i="32"/>
  <c r="N726" i="32"/>
  <c r="M726" i="32"/>
  <c r="J726" i="32"/>
  <c r="I726" i="32"/>
  <c r="H726" i="32"/>
  <c r="F726" i="32"/>
  <c r="N725" i="32"/>
  <c r="M725" i="32"/>
  <c r="J725" i="32"/>
  <c r="I725" i="32"/>
  <c r="H725" i="32"/>
  <c r="G725" i="32"/>
  <c r="F725" i="32"/>
  <c r="N724" i="32"/>
  <c r="M724" i="32"/>
  <c r="J724" i="32"/>
  <c r="I724" i="32"/>
  <c r="H724" i="32"/>
  <c r="G724" i="32"/>
  <c r="F724" i="32"/>
  <c r="N723" i="32"/>
  <c r="P727" i="32" s="1"/>
  <c r="M723" i="32"/>
  <c r="H723" i="32"/>
  <c r="F723" i="32"/>
  <c r="L728" i="32" s="1"/>
  <c r="E723" i="32"/>
  <c r="H722" i="32"/>
  <c r="F722" i="32"/>
  <c r="N721" i="32"/>
  <c r="M721" i="32"/>
  <c r="J721" i="32"/>
  <c r="I721" i="32"/>
  <c r="H721" i="32"/>
  <c r="N720" i="32"/>
  <c r="M720" i="32"/>
  <c r="J720" i="32"/>
  <c r="I720" i="32"/>
  <c r="H720" i="32"/>
  <c r="F720" i="32"/>
  <c r="N719" i="32"/>
  <c r="M719" i="32"/>
  <c r="J719" i="32"/>
  <c r="I719" i="32"/>
  <c r="H719" i="32"/>
  <c r="G719" i="32"/>
  <c r="F719" i="32"/>
  <c r="N718" i="32"/>
  <c r="M718" i="32"/>
  <c r="J718" i="32"/>
  <c r="I718" i="32"/>
  <c r="H718" i="32"/>
  <c r="G718" i="32"/>
  <c r="F718" i="32"/>
  <c r="N717" i="32"/>
  <c r="P721" i="32" s="1"/>
  <c r="M717" i="32"/>
  <c r="H717" i="32"/>
  <c r="F717" i="32"/>
  <c r="L722" i="32" s="1"/>
  <c r="E717" i="32"/>
  <c r="H716" i="32"/>
  <c r="F716" i="32"/>
  <c r="N715" i="32"/>
  <c r="M715" i="32"/>
  <c r="J715" i="32"/>
  <c r="I715" i="32"/>
  <c r="H715" i="32"/>
  <c r="N714" i="32"/>
  <c r="M714" i="32"/>
  <c r="J714" i="32"/>
  <c r="I714" i="32"/>
  <c r="H714" i="32"/>
  <c r="F714" i="32"/>
  <c r="N713" i="32"/>
  <c r="M713" i="32"/>
  <c r="J713" i="32"/>
  <c r="I713" i="32"/>
  <c r="H713" i="32"/>
  <c r="G713" i="32"/>
  <c r="F713" i="32"/>
  <c r="N712" i="32"/>
  <c r="M712" i="32"/>
  <c r="J712" i="32"/>
  <c r="I712" i="32"/>
  <c r="H712" i="32"/>
  <c r="G712" i="32"/>
  <c r="F712" i="32"/>
  <c r="N711" i="32"/>
  <c r="M711" i="32"/>
  <c r="H711" i="32"/>
  <c r="F711" i="32"/>
  <c r="L716" i="32" s="1"/>
  <c r="M716" i="32" s="1"/>
  <c r="E711" i="32"/>
  <c r="H710" i="32"/>
  <c r="F710" i="32"/>
  <c r="N709" i="32"/>
  <c r="M709" i="32"/>
  <c r="J709" i="32"/>
  <c r="I709" i="32"/>
  <c r="H709" i="32"/>
  <c r="N708" i="32"/>
  <c r="M708" i="32"/>
  <c r="J708" i="32"/>
  <c r="I708" i="32"/>
  <c r="H708" i="32"/>
  <c r="F708" i="32"/>
  <c r="N707" i="32"/>
  <c r="M707" i="32"/>
  <c r="J707" i="32"/>
  <c r="I707" i="32"/>
  <c r="H707" i="32"/>
  <c r="G707" i="32"/>
  <c r="F707" i="32"/>
  <c r="N706" i="32"/>
  <c r="M706" i="32"/>
  <c r="J706" i="32"/>
  <c r="I706" i="32"/>
  <c r="H706" i="32"/>
  <c r="G706" i="32"/>
  <c r="F706" i="32"/>
  <c r="N705" i="32"/>
  <c r="P709" i="32" s="1"/>
  <c r="M705" i="32"/>
  <c r="H705" i="32"/>
  <c r="F705" i="32"/>
  <c r="L710" i="32" s="1"/>
  <c r="E705" i="32"/>
  <c r="H704" i="32"/>
  <c r="F704" i="32"/>
  <c r="N703" i="32"/>
  <c r="M703" i="32"/>
  <c r="J703" i="32"/>
  <c r="I703" i="32"/>
  <c r="H703" i="32"/>
  <c r="F703" i="32"/>
  <c r="N702" i="32"/>
  <c r="R702" i="32" s="1"/>
  <c r="M702" i="32"/>
  <c r="H702" i="32"/>
  <c r="F702" i="32"/>
  <c r="L704" i="32" s="1"/>
  <c r="M704" i="32" s="1"/>
  <c r="E702" i="32"/>
  <c r="H701" i="32"/>
  <c r="F701" i="32"/>
  <c r="N700" i="32"/>
  <c r="M700" i="32"/>
  <c r="H700" i="32"/>
  <c r="G700" i="32"/>
  <c r="F700" i="32"/>
  <c r="L701" i="32" s="1"/>
  <c r="E700" i="32"/>
  <c r="H699" i="32"/>
  <c r="F699" i="32"/>
  <c r="N698" i="32"/>
  <c r="Q698" i="32" s="1"/>
  <c r="M698" i="32"/>
  <c r="H698" i="32"/>
  <c r="G698" i="32"/>
  <c r="F698" i="32"/>
  <c r="L699" i="32" s="1"/>
  <c r="E698" i="32"/>
  <c r="H697" i="32"/>
  <c r="F697" i="32"/>
  <c r="N696" i="32"/>
  <c r="S696" i="32" s="1"/>
  <c r="M696" i="32"/>
  <c r="H696" i="32"/>
  <c r="G696" i="32"/>
  <c r="F696" i="32"/>
  <c r="L697" i="32" s="1"/>
  <c r="E696" i="32"/>
  <c r="H695" i="32"/>
  <c r="F695" i="32"/>
  <c r="N694" i="32"/>
  <c r="S694" i="32" s="1"/>
  <c r="M694" i="32"/>
  <c r="H694" i="32"/>
  <c r="G694" i="32"/>
  <c r="F694" i="32"/>
  <c r="L695" i="32" s="1"/>
  <c r="E694" i="32"/>
  <c r="N693" i="32"/>
  <c r="M693" i="32"/>
  <c r="H693" i="32"/>
  <c r="F693" i="32"/>
  <c r="N692" i="32"/>
  <c r="M692" i="32"/>
  <c r="H692" i="32"/>
  <c r="F692" i="32"/>
  <c r="N691" i="32"/>
  <c r="Q691" i="32" s="1"/>
  <c r="M691" i="32"/>
  <c r="H691" i="32"/>
  <c r="F691" i="32"/>
  <c r="D691" i="32"/>
  <c r="C691" i="32"/>
  <c r="B691" i="32"/>
  <c r="N690" i="32"/>
  <c r="Q690" i="32" s="1"/>
  <c r="M690" i="32"/>
  <c r="H690" i="32"/>
  <c r="F690" i="32"/>
  <c r="D690" i="32"/>
  <c r="C690" i="32"/>
  <c r="B690" i="32"/>
  <c r="N689" i="32"/>
  <c r="M689" i="32"/>
  <c r="H689" i="32"/>
  <c r="F689" i="32"/>
  <c r="N688" i="32"/>
  <c r="M688" i="32"/>
  <c r="H688" i="32"/>
  <c r="F688" i="32"/>
  <c r="E688" i="32"/>
  <c r="N687" i="32"/>
  <c r="S687" i="32" s="1"/>
  <c r="M687" i="32"/>
  <c r="H687" i="32"/>
  <c r="F687" i="32"/>
  <c r="N686" i="32"/>
  <c r="S686" i="32" s="1"/>
  <c r="M686" i="32"/>
  <c r="H686" i="32"/>
  <c r="F686" i="32"/>
  <c r="N685" i="32"/>
  <c r="Q685" i="32" s="1"/>
  <c r="M685" i="32"/>
  <c r="H685" i="32"/>
  <c r="E685" i="32"/>
  <c r="N684" i="32"/>
  <c r="M684" i="32"/>
  <c r="H684" i="32"/>
  <c r="E684" i="32"/>
  <c r="N683" i="32"/>
  <c r="S683" i="32" s="1"/>
  <c r="M683" i="32"/>
  <c r="H683" i="32"/>
  <c r="G683" i="32"/>
  <c r="F683" i="32"/>
  <c r="E683" i="32"/>
  <c r="N682" i="32"/>
  <c r="M682" i="32"/>
  <c r="H682" i="32"/>
  <c r="G682" i="32"/>
  <c r="F682" i="32"/>
  <c r="E682" i="32"/>
  <c r="N681" i="32"/>
  <c r="M681" i="32"/>
  <c r="J681" i="32"/>
  <c r="I681" i="32"/>
  <c r="H681" i="32"/>
  <c r="N680" i="32"/>
  <c r="M680" i="32"/>
  <c r="J680" i="32"/>
  <c r="I680" i="32"/>
  <c r="H680" i="32"/>
  <c r="N679" i="32"/>
  <c r="M679" i="32"/>
  <c r="J679" i="32"/>
  <c r="I679" i="32"/>
  <c r="H679" i="32"/>
  <c r="N678" i="32"/>
  <c r="P680" i="32" s="1"/>
  <c r="M678" i="32"/>
  <c r="H678" i="32"/>
  <c r="F678" i="32"/>
  <c r="E678" i="32"/>
  <c r="N677" i="32"/>
  <c r="M677" i="32"/>
  <c r="J677" i="32"/>
  <c r="H677" i="32"/>
  <c r="N676" i="32"/>
  <c r="M676" i="32"/>
  <c r="J676" i="32"/>
  <c r="H676" i="32"/>
  <c r="N675" i="32"/>
  <c r="M675" i="32"/>
  <c r="J675" i="32"/>
  <c r="H675" i="32"/>
  <c r="N674" i="32"/>
  <c r="S674" i="32" s="1"/>
  <c r="M674" i="32"/>
  <c r="H674" i="32"/>
  <c r="F674" i="32"/>
  <c r="E674" i="32"/>
  <c r="N673" i="32"/>
  <c r="M673" i="32"/>
  <c r="J673" i="32"/>
  <c r="H673" i="32"/>
  <c r="N672" i="32"/>
  <c r="M672" i="32"/>
  <c r="J672" i="32"/>
  <c r="H672" i="32"/>
  <c r="N671" i="32"/>
  <c r="M671" i="32"/>
  <c r="J671" i="32"/>
  <c r="H671" i="32"/>
  <c r="H670" i="32"/>
  <c r="F670" i="32"/>
  <c r="E670" i="32"/>
  <c r="N669" i="32"/>
  <c r="M669" i="32"/>
  <c r="J669" i="32"/>
  <c r="H669" i="32"/>
  <c r="N668" i="32"/>
  <c r="M668" i="32"/>
  <c r="J668" i="32"/>
  <c r="H668" i="32"/>
  <c r="N667" i="32"/>
  <c r="M667" i="32"/>
  <c r="J667" i="32"/>
  <c r="H667" i="32"/>
  <c r="N666" i="32"/>
  <c r="P669" i="32" s="1"/>
  <c r="M666" i="32"/>
  <c r="H666" i="32"/>
  <c r="F666" i="32"/>
  <c r="E666" i="32"/>
  <c r="N665" i="32"/>
  <c r="M665" i="32"/>
  <c r="H665" i="32"/>
  <c r="F665" i="32"/>
  <c r="E665" i="32"/>
  <c r="N664" i="32"/>
  <c r="S664" i="32" s="1"/>
  <c r="M664" i="32"/>
  <c r="H664" i="32"/>
  <c r="F664" i="32"/>
  <c r="E664" i="32"/>
  <c r="N663" i="32"/>
  <c r="R663" i="32" s="1"/>
  <c r="M663" i="32"/>
  <c r="H663" i="32"/>
  <c r="F663" i="32"/>
  <c r="E663" i="32"/>
  <c r="N662" i="32"/>
  <c r="S662" i="32" s="1"/>
  <c r="M662" i="32"/>
  <c r="H662" i="32"/>
  <c r="F662" i="32"/>
  <c r="E662" i="32"/>
  <c r="N661" i="32"/>
  <c r="M661" i="32"/>
  <c r="H661" i="32"/>
  <c r="F661" i="32"/>
  <c r="N660" i="32"/>
  <c r="S660" i="32" s="1"/>
  <c r="M660" i="32"/>
  <c r="H660" i="32"/>
  <c r="N659" i="32"/>
  <c r="M659" i="32"/>
  <c r="H659" i="32"/>
  <c r="F659" i="32"/>
  <c r="N658" i="32"/>
  <c r="Q658" i="32" s="1"/>
  <c r="M658" i="32"/>
  <c r="H658" i="32"/>
  <c r="F658" i="32"/>
  <c r="N657" i="32"/>
  <c r="M657" i="32"/>
  <c r="J657" i="32"/>
  <c r="I657" i="32"/>
  <c r="H657" i="32"/>
  <c r="F657" i="32"/>
  <c r="N656" i="32"/>
  <c r="M656" i="32"/>
  <c r="J656" i="32"/>
  <c r="I656" i="32"/>
  <c r="H656" i="32"/>
  <c r="F656" i="32"/>
  <c r="N655" i="32"/>
  <c r="M655" i="32"/>
  <c r="J655" i="32"/>
  <c r="I655" i="32"/>
  <c r="H655" i="32"/>
  <c r="F655" i="32"/>
  <c r="N654" i="32"/>
  <c r="M654" i="32"/>
  <c r="H654" i="32"/>
  <c r="F654" i="32"/>
  <c r="E654" i="32"/>
  <c r="H653" i="32"/>
  <c r="F653" i="32"/>
  <c r="N652" i="32"/>
  <c r="M652" i="32"/>
  <c r="H652" i="32"/>
  <c r="F652" i="32"/>
  <c r="N651" i="32"/>
  <c r="R651" i="32" s="1"/>
  <c r="M651" i="32"/>
  <c r="H651" i="32"/>
  <c r="F651" i="32"/>
  <c r="E651" i="32"/>
  <c r="N650" i="32"/>
  <c r="S650" i="32" s="1"/>
  <c r="M650" i="32"/>
  <c r="H650" i="32"/>
  <c r="F650" i="32"/>
  <c r="E650" i="32"/>
  <c r="N649" i="32"/>
  <c r="M649" i="32"/>
  <c r="H649" i="32"/>
  <c r="F649" i="32"/>
  <c r="E649" i="32"/>
  <c r="N648" i="32"/>
  <c r="M648" i="32"/>
  <c r="H648" i="32"/>
  <c r="D648" i="32"/>
  <c r="C648" i="32"/>
  <c r="B648" i="32"/>
  <c r="N647" i="32"/>
  <c r="S647" i="32" s="1"/>
  <c r="M647" i="32"/>
  <c r="H647" i="32"/>
  <c r="N646" i="32"/>
  <c r="Q646" i="32" s="1"/>
  <c r="M646" i="32"/>
  <c r="H646" i="32"/>
  <c r="N645" i="32"/>
  <c r="M645" i="32"/>
  <c r="H645" i="32"/>
  <c r="N644" i="32"/>
  <c r="J644" i="32"/>
  <c r="I644" i="32"/>
  <c r="H644" i="32"/>
  <c r="E644" i="32"/>
  <c r="N643" i="32"/>
  <c r="M643" i="32"/>
  <c r="K643" i="32"/>
  <c r="H643" i="32"/>
  <c r="G643" i="32"/>
  <c r="F643" i="32"/>
  <c r="E643" i="32"/>
  <c r="D643" i="32"/>
  <c r="C643" i="32"/>
  <c r="B643" i="32"/>
  <c r="N642" i="32"/>
  <c r="M642" i="32"/>
  <c r="K642" i="32"/>
  <c r="H642" i="32"/>
  <c r="G642" i="32"/>
  <c r="F642" i="32"/>
  <c r="E642" i="32"/>
  <c r="D642" i="32"/>
  <c r="C642" i="32"/>
  <c r="B642" i="32"/>
  <c r="N641" i="32"/>
  <c r="Q641" i="32" s="1"/>
  <c r="M641" i="32"/>
  <c r="K641" i="32"/>
  <c r="H641" i="32"/>
  <c r="G641" i="32"/>
  <c r="F641" i="32"/>
  <c r="E641" i="32"/>
  <c r="D641" i="32"/>
  <c r="C641" i="32"/>
  <c r="B641" i="32"/>
  <c r="N640" i="32"/>
  <c r="S640" i="32" s="1"/>
  <c r="M640" i="32"/>
  <c r="K640" i="32"/>
  <c r="H640" i="32"/>
  <c r="G640" i="32"/>
  <c r="F640" i="32"/>
  <c r="E640" i="32"/>
  <c r="D640" i="32"/>
  <c r="C640" i="32"/>
  <c r="B640" i="32"/>
  <c r="N639" i="32"/>
  <c r="M639" i="32"/>
  <c r="K639" i="32"/>
  <c r="H639" i="32"/>
  <c r="G639" i="32"/>
  <c r="F639" i="32"/>
  <c r="E639" i="32"/>
  <c r="D639" i="32"/>
  <c r="C639" i="32"/>
  <c r="B639" i="32"/>
  <c r="N638" i="32"/>
  <c r="S638" i="32" s="1"/>
  <c r="M638" i="32"/>
  <c r="K638" i="32"/>
  <c r="H638" i="32"/>
  <c r="G638" i="32"/>
  <c r="F638" i="32"/>
  <c r="E638" i="32"/>
  <c r="D638" i="32"/>
  <c r="C638" i="32"/>
  <c r="B638" i="32"/>
  <c r="N637" i="32"/>
  <c r="M637" i="32"/>
  <c r="K637" i="32"/>
  <c r="H637" i="32"/>
  <c r="G637" i="32"/>
  <c r="F637" i="32"/>
  <c r="E637" i="32"/>
  <c r="D637" i="32"/>
  <c r="C637" i="32"/>
  <c r="B637" i="32"/>
  <c r="N636" i="32"/>
  <c r="Q636" i="32" s="1"/>
  <c r="M636" i="32"/>
  <c r="K636" i="32"/>
  <c r="H636" i="32"/>
  <c r="G636" i="32"/>
  <c r="F636" i="32"/>
  <c r="E636" i="32"/>
  <c r="D636" i="32"/>
  <c r="C636" i="32"/>
  <c r="B636" i="32"/>
  <c r="N635" i="32"/>
  <c r="M635" i="32"/>
  <c r="K635" i="32"/>
  <c r="H635" i="32"/>
  <c r="G635" i="32"/>
  <c r="F635" i="32"/>
  <c r="E635" i="32"/>
  <c r="D635" i="32"/>
  <c r="C635" i="32"/>
  <c r="B635" i="32"/>
  <c r="N634" i="32"/>
  <c r="S634" i="32" s="1"/>
  <c r="M634" i="32"/>
  <c r="K634" i="32"/>
  <c r="H634" i="32"/>
  <c r="G634" i="32"/>
  <c r="F634" i="32"/>
  <c r="E634" i="32"/>
  <c r="D634" i="32"/>
  <c r="C634" i="32"/>
  <c r="B634" i="32"/>
  <c r="N633" i="32"/>
  <c r="S633" i="32" s="1"/>
  <c r="M633" i="32"/>
  <c r="K633" i="32"/>
  <c r="H633" i="32"/>
  <c r="G633" i="32"/>
  <c r="F633" i="32"/>
  <c r="E633" i="32"/>
  <c r="D633" i="32"/>
  <c r="C633" i="32"/>
  <c r="B633" i="32"/>
  <c r="N632" i="32"/>
  <c r="S632" i="32" s="1"/>
  <c r="M632" i="32"/>
  <c r="K632" i="32"/>
  <c r="H632" i="32"/>
  <c r="G632" i="32"/>
  <c r="F632" i="32"/>
  <c r="E632" i="32"/>
  <c r="D632" i="32"/>
  <c r="C632" i="32"/>
  <c r="B632" i="32"/>
  <c r="N631" i="32"/>
  <c r="M631" i="32"/>
  <c r="K631" i="32"/>
  <c r="H631" i="32"/>
  <c r="G631" i="32"/>
  <c r="F631" i="32"/>
  <c r="E631" i="32"/>
  <c r="D631" i="32"/>
  <c r="C631" i="32"/>
  <c r="B631" i="32"/>
  <c r="N630" i="32"/>
  <c r="S630" i="32" s="1"/>
  <c r="M630" i="32"/>
  <c r="K630" i="32"/>
  <c r="H630" i="32"/>
  <c r="G630" i="32"/>
  <c r="F630" i="32"/>
  <c r="E630" i="32"/>
  <c r="D630" i="32"/>
  <c r="C630" i="32"/>
  <c r="B630" i="32"/>
  <c r="N629" i="32"/>
  <c r="M629" i="32"/>
  <c r="K629" i="32"/>
  <c r="H629" i="32"/>
  <c r="G629" i="32"/>
  <c r="F629" i="32"/>
  <c r="E629" i="32"/>
  <c r="D629" i="32"/>
  <c r="C629" i="32"/>
  <c r="B629" i="32"/>
  <c r="N628" i="32"/>
  <c r="Q628" i="32" s="1"/>
  <c r="M628" i="32"/>
  <c r="K628" i="32"/>
  <c r="H628" i="32"/>
  <c r="G628" i="32"/>
  <c r="F628" i="32"/>
  <c r="E628" i="32"/>
  <c r="D628" i="32"/>
  <c r="C628" i="32"/>
  <c r="B628" i="32"/>
  <c r="N627" i="32"/>
  <c r="R627" i="32" s="1"/>
  <c r="M627" i="32"/>
  <c r="K627" i="32"/>
  <c r="H627" i="32"/>
  <c r="G627" i="32"/>
  <c r="F627" i="32"/>
  <c r="E627" i="32"/>
  <c r="D627" i="32"/>
  <c r="C627" i="32"/>
  <c r="B627" i="32"/>
  <c r="N626" i="32"/>
  <c r="M626" i="32"/>
  <c r="K626" i="32"/>
  <c r="H626" i="32"/>
  <c r="G626" i="32"/>
  <c r="F626" i="32"/>
  <c r="E626" i="32"/>
  <c r="D626" i="32"/>
  <c r="C626" i="32"/>
  <c r="B626" i="32"/>
  <c r="N625" i="32"/>
  <c r="S625" i="32" s="1"/>
  <c r="M625" i="32"/>
  <c r="K625" i="32"/>
  <c r="H625" i="32"/>
  <c r="G625" i="32"/>
  <c r="F625" i="32"/>
  <c r="E625" i="32"/>
  <c r="D625" i="32"/>
  <c r="C625" i="32"/>
  <c r="B625" i="32"/>
  <c r="N624" i="32"/>
  <c r="S624" i="32" s="1"/>
  <c r="M624" i="32"/>
  <c r="K624" i="32"/>
  <c r="H624" i="32"/>
  <c r="G624" i="32"/>
  <c r="F624" i="32"/>
  <c r="E624" i="32"/>
  <c r="D624" i="32"/>
  <c r="C624" i="32"/>
  <c r="B624" i="32"/>
  <c r="N623" i="32"/>
  <c r="M623" i="32"/>
  <c r="K623" i="32"/>
  <c r="H623" i="32"/>
  <c r="G623" i="32"/>
  <c r="F623" i="32"/>
  <c r="E623" i="32"/>
  <c r="D623" i="32"/>
  <c r="C623" i="32"/>
  <c r="B623" i="32"/>
  <c r="N622" i="32"/>
  <c r="S622" i="32" s="1"/>
  <c r="M622" i="32"/>
  <c r="K622" i="32"/>
  <c r="H622" i="32"/>
  <c r="G622" i="32"/>
  <c r="F622" i="32"/>
  <c r="E622" i="32"/>
  <c r="D622" i="32"/>
  <c r="C622" i="32"/>
  <c r="B622" i="32"/>
  <c r="N621" i="32"/>
  <c r="R621" i="32" s="1"/>
  <c r="M621" i="32"/>
  <c r="K621" i="32"/>
  <c r="H621" i="32"/>
  <c r="G621" i="32"/>
  <c r="F621" i="32"/>
  <c r="E621" i="32"/>
  <c r="D621" i="32"/>
  <c r="C621" i="32"/>
  <c r="B621" i="32"/>
  <c r="N620" i="32"/>
  <c r="R620" i="32" s="1"/>
  <c r="M620" i="32"/>
  <c r="K620" i="32"/>
  <c r="H620" i="32"/>
  <c r="G620" i="32"/>
  <c r="F620" i="32"/>
  <c r="E620" i="32"/>
  <c r="D620" i="32"/>
  <c r="C620" i="32"/>
  <c r="B620" i="32"/>
  <c r="N619" i="32"/>
  <c r="R619" i="32" s="1"/>
  <c r="M619" i="32"/>
  <c r="K619" i="32"/>
  <c r="H619" i="32"/>
  <c r="G619" i="32"/>
  <c r="F619" i="32"/>
  <c r="E619" i="32"/>
  <c r="D619" i="32"/>
  <c r="C619" i="32"/>
  <c r="B619" i="32"/>
  <c r="N618" i="32"/>
  <c r="J618" i="32"/>
  <c r="I618" i="32"/>
  <c r="H618" i="32"/>
  <c r="G618" i="32"/>
  <c r="F618" i="32"/>
  <c r="E618" i="32"/>
  <c r="N617" i="32"/>
  <c r="Q617" i="32" s="1"/>
  <c r="M617" i="32"/>
  <c r="H617" i="32"/>
  <c r="F617" i="32"/>
  <c r="N616" i="32"/>
  <c r="M616" i="32"/>
  <c r="J616" i="32"/>
  <c r="I616" i="32"/>
  <c r="H616" i="32"/>
  <c r="N615" i="32"/>
  <c r="M615" i="32"/>
  <c r="J615" i="32"/>
  <c r="I615" i="32"/>
  <c r="H615" i="32"/>
  <c r="N614" i="32"/>
  <c r="M614" i="32"/>
  <c r="J614" i="32"/>
  <c r="I614" i="32"/>
  <c r="H614" i="32"/>
  <c r="N613" i="32"/>
  <c r="P614" i="32" s="1"/>
  <c r="M613" i="32"/>
  <c r="H613" i="32"/>
  <c r="F613" i="32"/>
  <c r="E613" i="32"/>
  <c r="N612" i="32"/>
  <c r="M612" i="32"/>
  <c r="H612" i="32"/>
  <c r="F612" i="32"/>
  <c r="N611" i="32"/>
  <c r="M611" i="32"/>
  <c r="J611" i="32"/>
  <c r="I611" i="32"/>
  <c r="H611" i="32"/>
  <c r="N610" i="32"/>
  <c r="M610" i="32"/>
  <c r="J610" i="32"/>
  <c r="I610" i="32"/>
  <c r="H610" i="32"/>
  <c r="N609" i="32"/>
  <c r="M609" i="32"/>
  <c r="J609" i="32"/>
  <c r="I609" i="32"/>
  <c r="H609" i="32"/>
  <c r="N608" i="32"/>
  <c r="P611" i="32" s="1"/>
  <c r="M608" i="32"/>
  <c r="H608" i="32"/>
  <c r="F608" i="32"/>
  <c r="E608" i="32"/>
  <c r="N607" i="32"/>
  <c r="Q607" i="32" s="1"/>
  <c r="M607" i="32"/>
  <c r="H607" i="32"/>
  <c r="F607" i="32"/>
  <c r="N606" i="32"/>
  <c r="M606" i="32"/>
  <c r="J606" i="32"/>
  <c r="I606" i="32"/>
  <c r="H606" i="32"/>
  <c r="N605" i="32"/>
  <c r="M605" i="32"/>
  <c r="J605" i="32"/>
  <c r="I605" i="32"/>
  <c r="H605" i="32"/>
  <c r="N604" i="32"/>
  <c r="M604" i="32"/>
  <c r="J604" i="32"/>
  <c r="I604" i="32"/>
  <c r="H604" i="32"/>
  <c r="N603" i="32"/>
  <c r="P604" i="32" s="1"/>
  <c r="M603" i="32"/>
  <c r="H603" i="32"/>
  <c r="F603" i="32"/>
  <c r="E603" i="32"/>
  <c r="N602" i="32"/>
  <c r="M602" i="32"/>
  <c r="H602" i="32"/>
  <c r="F602" i="32"/>
  <c r="N601" i="32"/>
  <c r="M601" i="32"/>
  <c r="J601" i="32"/>
  <c r="I601" i="32"/>
  <c r="H601" i="32"/>
  <c r="N600" i="32"/>
  <c r="M600" i="32"/>
  <c r="J600" i="32"/>
  <c r="I600" i="32"/>
  <c r="H600" i="32"/>
  <c r="N599" i="32"/>
  <c r="M599" i="32"/>
  <c r="J599" i="32"/>
  <c r="I599" i="32"/>
  <c r="H599" i="32"/>
  <c r="H598" i="32"/>
  <c r="F598" i="32"/>
  <c r="E598" i="32"/>
  <c r="N597" i="32"/>
  <c r="M597" i="32"/>
  <c r="H597" i="32"/>
  <c r="N596" i="32"/>
  <c r="M596" i="32"/>
  <c r="J596" i="32"/>
  <c r="I596" i="32"/>
  <c r="H596" i="32"/>
  <c r="N595" i="32"/>
  <c r="M595" i="32"/>
  <c r="J595" i="32"/>
  <c r="I595" i="32"/>
  <c r="H595" i="32"/>
  <c r="N594" i="32"/>
  <c r="M594" i="32"/>
  <c r="J594" i="32"/>
  <c r="I594" i="32"/>
  <c r="H594" i="32"/>
  <c r="N593" i="32"/>
  <c r="P594" i="32" s="1"/>
  <c r="M593" i="32"/>
  <c r="H593" i="32"/>
  <c r="F593" i="32"/>
  <c r="E593" i="32"/>
  <c r="N592" i="32"/>
  <c r="Q592" i="32" s="1"/>
  <c r="M592" i="32"/>
  <c r="H592" i="32"/>
  <c r="F592" i="32"/>
  <c r="N591" i="32"/>
  <c r="Q591" i="32" s="1"/>
  <c r="M591" i="32"/>
  <c r="H591" i="32"/>
  <c r="G591" i="32"/>
  <c r="F591" i="32"/>
  <c r="E591" i="32"/>
  <c r="D591" i="32"/>
  <c r="C591" i="32"/>
  <c r="B591" i="32"/>
  <c r="N590" i="32"/>
  <c r="Q590" i="32" s="1"/>
  <c r="M590" i="32"/>
  <c r="H590" i="32"/>
  <c r="G590" i="32"/>
  <c r="F590" i="32"/>
  <c r="E590" i="32"/>
  <c r="D590" i="32"/>
  <c r="C590" i="32"/>
  <c r="B590" i="32"/>
  <c r="N589" i="32"/>
  <c r="J589" i="32"/>
  <c r="I589" i="32"/>
  <c r="H589" i="32"/>
  <c r="E589" i="32"/>
  <c r="N588" i="32"/>
  <c r="S588" i="32" s="1"/>
  <c r="M588" i="32"/>
  <c r="K588" i="32"/>
  <c r="H588" i="32"/>
  <c r="G588" i="32"/>
  <c r="F588" i="32"/>
  <c r="E588" i="32"/>
  <c r="D588" i="32"/>
  <c r="C588" i="32"/>
  <c r="B588" i="32"/>
  <c r="N587" i="32"/>
  <c r="M587" i="32"/>
  <c r="K587" i="32"/>
  <c r="H587" i="32"/>
  <c r="G587" i="32"/>
  <c r="F587" i="32"/>
  <c r="E587" i="32"/>
  <c r="D587" i="32"/>
  <c r="C587" i="32"/>
  <c r="B587" i="32"/>
  <c r="N586" i="32"/>
  <c r="S586" i="32" s="1"/>
  <c r="M586" i="32"/>
  <c r="K586" i="32"/>
  <c r="H586" i="32"/>
  <c r="G586" i="32"/>
  <c r="F586" i="32"/>
  <c r="E586" i="32"/>
  <c r="D586" i="32"/>
  <c r="C586" i="32"/>
  <c r="B586" i="32"/>
  <c r="N585" i="32"/>
  <c r="R585" i="32" s="1"/>
  <c r="M585" i="32"/>
  <c r="K585" i="32"/>
  <c r="H585" i="32"/>
  <c r="G585" i="32"/>
  <c r="F585" i="32"/>
  <c r="E585" i="32"/>
  <c r="D585" i="32"/>
  <c r="C585" i="32"/>
  <c r="B585" i="32"/>
  <c r="N584" i="32"/>
  <c r="Q584" i="32" s="1"/>
  <c r="M584" i="32"/>
  <c r="K584" i="32"/>
  <c r="H584" i="32"/>
  <c r="G584" i="32"/>
  <c r="F584" i="32"/>
  <c r="E584" i="32"/>
  <c r="D584" i="32"/>
  <c r="C584" i="32"/>
  <c r="B584" i="32"/>
  <c r="N583" i="32"/>
  <c r="M583" i="32"/>
  <c r="K583" i="32"/>
  <c r="H583" i="32"/>
  <c r="G583" i="32"/>
  <c r="F583" i="32"/>
  <c r="E583" i="32"/>
  <c r="D583" i="32"/>
  <c r="C583" i="32"/>
  <c r="B583" i="32"/>
  <c r="N582" i="32"/>
  <c r="S582" i="32" s="1"/>
  <c r="M582" i="32"/>
  <c r="K582" i="32"/>
  <c r="H582" i="32"/>
  <c r="G582" i="32"/>
  <c r="F582" i="32"/>
  <c r="E582" i="32"/>
  <c r="D582" i="32"/>
  <c r="C582" i="32"/>
  <c r="B582" i="32"/>
  <c r="N581" i="32"/>
  <c r="R581" i="32" s="1"/>
  <c r="M581" i="32"/>
  <c r="K581" i="32"/>
  <c r="H581" i="32"/>
  <c r="G581" i="32"/>
  <c r="F581" i="32"/>
  <c r="E581" i="32"/>
  <c r="D581" i="32"/>
  <c r="C581" i="32"/>
  <c r="B581" i="32"/>
  <c r="N580" i="32"/>
  <c r="S580" i="32" s="1"/>
  <c r="M580" i="32"/>
  <c r="K580" i="32"/>
  <c r="H580" i="32"/>
  <c r="G580" i="32"/>
  <c r="F580" i="32"/>
  <c r="E580" i="32"/>
  <c r="D580" i="32"/>
  <c r="C580" i="32"/>
  <c r="B580" i="32"/>
  <c r="N579" i="32"/>
  <c r="M579" i="32"/>
  <c r="K579" i="32"/>
  <c r="H579" i="32"/>
  <c r="G579" i="32"/>
  <c r="F579" i="32"/>
  <c r="E579" i="32"/>
  <c r="D579" i="32"/>
  <c r="C579" i="32"/>
  <c r="B579" i="32"/>
  <c r="N578" i="32"/>
  <c r="M578" i="32"/>
  <c r="K578" i="32"/>
  <c r="H578" i="32"/>
  <c r="G578" i="32"/>
  <c r="F578" i="32"/>
  <c r="E578" i="32"/>
  <c r="D578" i="32"/>
  <c r="C578" i="32"/>
  <c r="B578" i="32"/>
  <c r="N577" i="32"/>
  <c r="S577" i="32" s="1"/>
  <c r="M577" i="32"/>
  <c r="K577" i="32"/>
  <c r="H577" i="32"/>
  <c r="G577" i="32"/>
  <c r="F577" i="32"/>
  <c r="E577" i="32"/>
  <c r="D577" i="32"/>
  <c r="C577" i="32"/>
  <c r="B577" i="32"/>
  <c r="N576" i="32"/>
  <c r="M576" i="32"/>
  <c r="K576" i="32"/>
  <c r="H576" i="32"/>
  <c r="G576" i="32"/>
  <c r="F576" i="32"/>
  <c r="E576" i="32"/>
  <c r="D576" i="32"/>
  <c r="C576" i="32"/>
  <c r="B576" i="32"/>
  <c r="N575" i="32"/>
  <c r="R575" i="32" s="1"/>
  <c r="M575" i="32"/>
  <c r="K575" i="32"/>
  <c r="H575" i="32"/>
  <c r="G575" i="32"/>
  <c r="F575" i="32"/>
  <c r="E575" i="32"/>
  <c r="D575" i="32"/>
  <c r="C575" i="32"/>
  <c r="B575" i="32"/>
  <c r="N574" i="32"/>
  <c r="Q574" i="32" s="1"/>
  <c r="M574" i="32"/>
  <c r="K574" i="32"/>
  <c r="H574" i="32"/>
  <c r="G574" i="32"/>
  <c r="F574" i="32"/>
  <c r="E574" i="32"/>
  <c r="D574" i="32"/>
  <c r="C574" i="32"/>
  <c r="B574" i="32"/>
  <c r="N573" i="32"/>
  <c r="M573" i="32"/>
  <c r="K573" i="32"/>
  <c r="H573" i="32"/>
  <c r="G573" i="32"/>
  <c r="F573" i="32"/>
  <c r="E573" i="32"/>
  <c r="D573" i="32"/>
  <c r="C573" i="32"/>
  <c r="B573" i="32"/>
  <c r="N572" i="32"/>
  <c r="S572" i="32" s="1"/>
  <c r="M572" i="32"/>
  <c r="K572" i="32"/>
  <c r="H572" i="32"/>
  <c r="G572" i="32"/>
  <c r="F572" i="32"/>
  <c r="E572" i="32"/>
  <c r="D572" i="32"/>
  <c r="C572" i="32"/>
  <c r="B572" i="32"/>
  <c r="N571" i="32"/>
  <c r="M571" i="32"/>
  <c r="K571" i="32"/>
  <c r="H571" i="32"/>
  <c r="G571" i="32"/>
  <c r="F571" i="32"/>
  <c r="E571" i="32"/>
  <c r="D571" i="32"/>
  <c r="C571" i="32"/>
  <c r="B571" i="32"/>
  <c r="N570" i="32"/>
  <c r="S570" i="32" s="1"/>
  <c r="M570" i="32"/>
  <c r="K570" i="32"/>
  <c r="H570" i="32"/>
  <c r="G570" i="32"/>
  <c r="F570" i="32"/>
  <c r="E570" i="32"/>
  <c r="D570" i="32"/>
  <c r="C570" i="32"/>
  <c r="B570" i="32"/>
  <c r="N569" i="32"/>
  <c r="M569" i="32"/>
  <c r="K569" i="32"/>
  <c r="H569" i="32"/>
  <c r="G569" i="32"/>
  <c r="F569" i="32"/>
  <c r="E569" i="32"/>
  <c r="D569" i="32"/>
  <c r="C569" i="32"/>
  <c r="B569" i="32"/>
  <c r="N568" i="32"/>
  <c r="Q568" i="32" s="1"/>
  <c r="M568" i="32"/>
  <c r="K568" i="32"/>
  <c r="H568" i="32"/>
  <c r="G568" i="32"/>
  <c r="F568" i="32"/>
  <c r="E568" i="32"/>
  <c r="D568" i="32"/>
  <c r="C568" i="32"/>
  <c r="B568" i="32"/>
  <c r="N567" i="32"/>
  <c r="R567" i="32" s="1"/>
  <c r="M567" i="32"/>
  <c r="K567" i="32"/>
  <c r="H567" i="32"/>
  <c r="G567" i="32"/>
  <c r="F567" i="32"/>
  <c r="E567" i="32"/>
  <c r="D567" i="32"/>
  <c r="C567" i="32"/>
  <c r="B567" i="32"/>
  <c r="N566" i="32"/>
  <c r="M566" i="32"/>
  <c r="K566" i="32"/>
  <c r="H566" i="32"/>
  <c r="G566" i="32"/>
  <c r="F566" i="32"/>
  <c r="E566" i="32"/>
  <c r="D566" i="32"/>
  <c r="C566" i="32"/>
  <c r="B566" i="32"/>
  <c r="N565" i="32"/>
  <c r="S565" i="32" s="1"/>
  <c r="M565" i="32"/>
  <c r="K565" i="32"/>
  <c r="H565" i="32"/>
  <c r="G565" i="32"/>
  <c r="F565" i="32"/>
  <c r="E565" i="32"/>
  <c r="D565" i="32"/>
  <c r="C565" i="32"/>
  <c r="B565" i="32"/>
  <c r="N564" i="32"/>
  <c r="S564" i="32" s="1"/>
  <c r="M564" i="32"/>
  <c r="K564" i="32"/>
  <c r="H564" i="32"/>
  <c r="G564" i="32"/>
  <c r="F564" i="32"/>
  <c r="E564" i="32"/>
  <c r="D564" i="32"/>
  <c r="C564" i="32"/>
  <c r="B564" i="32"/>
  <c r="N563" i="32"/>
  <c r="J563" i="32"/>
  <c r="I563" i="32"/>
  <c r="H563" i="32"/>
  <c r="G563" i="32"/>
  <c r="F563" i="32"/>
  <c r="E563" i="32"/>
  <c r="N562" i="32"/>
  <c r="Q562" i="32" s="1"/>
  <c r="M562" i="32"/>
  <c r="H562" i="32"/>
  <c r="F562" i="32"/>
  <c r="N561" i="32"/>
  <c r="M561" i="32"/>
  <c r="H561" i="32"/>
  <c r="F561" i="32"/>
  <c r="N560" i="32"/>
  <c r="S560" i="32" s="1"/>
  <c r="M560" i="32"/>
  <c r="H560" i="32"/>
  <c r="F560" i="32"/>
  <c r="E560" i="32"/>
  <c r="N559" i="32"/>
  <c r="R559" i="32" s="1"/>
  <c r="M559" i="32"/>
  <c r="H559" i="32"/>
  <c r="F559" i="32"/>
  <c r="E559" i="32"/>
  <c r="N558" i="32"/>
  <c r="S558" i="32" s="1"/>
  <c r="M558" i="32"/>
  <c r="H558" i="32"/>
  <c r="F558" i="32"/>
  <c r="E558" i="32"/>
  <c r="N557" i="32"/>
  <c r="M557" i="32"/>
  <c r="H557" i="32"/>
  <c r="F557" i="32"/>
  <c r="E557" i="32"/>
  <c r="N556" i="32"/>
  <c r="M556" i="32"/>
  <c r="H556" i="32"/>
  <c r="F556" i="32"/>
  <c r="E556" i="32"/>
  <c r="N555" i="32"/>
  <c r="M555" i="32"/>
  <c r="H555" i="32"/>
  <c r="F555" i="32"/>
  <c r="E555" i="32"/>
  <c r="N554" i="32"/>
  <c r="M554" i="32"/>
  <c r="H554" i="32"/>
  <c r="F554" i="32"/>
  <c r="E554" i="32"/>
  <c r="N553" i="32"/>
  <c r="R553" i="32" s="1"/>
  <c r="M553" i="32"/>
  <c r="H553" i="32"/>
  <c r="F553" i="32"/>
  <c r="E553" i="32"/>
  <c r="N552" i="32"/>
  <c r="R552" i="32" s="1"/>
  <c r="M552" i="32"/>
  <c r="H552" i="32"/>
  <c r="F552" i="32"/>
  <c r="E552" i="32"/>
  <c r="N551" i="32"/>
  <c r="M551" i="32"/>
  <c r="H551" i="32"/>
  <c r="N550" i="32"/>
  <c r="S550" i="32" s="1"/>
  <c r="M550" i="32"/>
  <c r="H550" i="32"/>
  <c r="N549" i="32"/>
  <c r="Q549" i="32" s="1"/>
  <c r="M549" i="32"/>
  <c r="H549" i="32"/>
  <c r="N548" i="32"/>
  <c r="M548" i="32"/>
  <c r="H548" i="32"/>
  <c r="N547" i="32"/>
  <c r="M547" i="32"/>
  <c r="H547" i="32"/>
  <c r="N546" i="32"/>
  <c r="S546" i="32" s="1"/>
  <c r="M546" i="32"/>
  <c r="H546" i="32"/>
  <c r="N545" i="32"/>
  <c r="Q545" i="32" s="1"/>
  <c r="M545" i="32"/>
  <c r="H545" i="32"/>
  <c r="N544" i="32"/>
  <c r="R544" i="32" s="1"/>
  <c r="M544" i="32"/>
  <c r="H544" i="32"/>
  <c r="N543" i="32"/>
  <c r="M543" i="32"/>
  <c r="H543" i="32"/>
  <c r="N542" i="32"/>
  <c r="M542" i="32"/>
  <c r="J542" i="32"/>
  <c r="I542" i="32"/>
  <c r="H542" i="32"/>
  <c r="N541" i="32"/>
  <c r="M541" i="32"/>
  <c r="J541" i="32"/>
  <c r="I541" i="32"/>
  <c r="H541" i="32"/>
  <c r="F541" i="32"/>
  <c r="N540" i="32"/>
  <c r="M540" i="32"/>
  <c r="J540" i="32"/>
  <c r="I540" i="32"/>
  <c r="H540" i="32"/>
  <c r="F540" i="32"/>
  <c r="N539" i="32"/>
  <c r="M539" i="32"/>
  <c r="J539" i="32"/>
  <c r="I539" i="32"/>
  <c r="H539" i="32"/>
  <c r="F539" i="32"/>
  <c r="N538" i="32"/>
  <c r="M538" i="32"/>
  <c r="H538" i="32"/>
  <c r="F538" i="32"/>
  <c r="E538" i="32"/>
  <c r="N537" i="32"/>
  <c r="P541" i="32" s="1"/>
  <c r="M537" i="32"/>
  <c r="J537" i="32"/>
  <c r="I537" i="32"/>
  <c r="H537" i="32"/>
  <c r="N536" i="32"/>
  <c r="M536" i="32"/>
  <c r="J536" i="32"/>
  <c r="I536" i="32"/>
  <c r="H536" i="32"/>
  <c r="F536" i="32"/>
  <c r="N535" i="32"/>
  <c r="M535" i="32"/>
  <c r="J535" i="32"/>
  <c r="I535" i="32"/>
  <c r="H535" i="32"/>
  <c r="F535" i="32"/>
  <c r="N534" i="32"/>
  <c r="M534" i="32"/>
  <c r="J534" i="32"/>
  <c r="I534" i="32"/>
  <c r="H534" i="32"/>
  <c r="F534" i="32"/>
  <c r="N533" i="32"/>
  <c r="Q533" i="32" s="1"/>
  <c r="M533" i="32"/>
  <c r="H533" i="32"/>
  <c r="F533" i="32"/>
  <c r="E533" i="32"/>
  <c r="N532" i="32"/>
  <c r="Q532" i="32" s="1"/>
  <c r="M532" i="32"/>
  <c r="H532" i="32"/>
  <c r="F532" i="32"/>
  <c r="E532" i="32"/>
  <c r="N531" i="32"/>
  <c r="M531" i="32"/>
  <c r="H531" i="32"/>
  <c r="F531" i="32"/>
  <c r="E531" i="32"/>
  <c r="N530" i="32"/>
  <c r="R530" i="32" s="1"/>
  <c r="M530" i="32"/>
  <c r="H530" i="32"/>
  <c r="F530" i="32"/>
  <c r="E530" i="32"/>
  <c r="N529" i="32"/>
  <c r="M529" i="32"/>
  <c r="H529" i="32"/>
  <c r="F529" i="32"/>
  <c r="E529" i="32"/>
  <c r="N528" i="32"/>
  <c r="M528" i="32"/>
  <c r="H528" i="32"/>
  <c r="F528" i="32"/>
  <c r="E528" i="32"/>
  <c r="N527" i="32"/>
  <c r="R527" i="32" s="1"/>
  <c r="M527" i="32"/>
  <c r="H527" i="32"/>
  <c r="F527" i="32"/>
  <c r="E527" i="32"/>
  <c r="N526" i="32"/>
  <c r="S526" i="32" s="1"/>
  <c r="M526" i="32"/>
  <c r="H526" i="32"/>
  <c r="F526" i="32"/>
  <c r="E526" i="32"/>
  <c r="N525" i="32"/>
  <c r="M525" i="32"/>
  <c r="H525" i="32"/>
  <c r="F525" i="32"/>
  <c r="E525" i="32"/>
  <c r="N524" i="32"/>
  <c r="Q524" i="32" s="1"/>
  <c r="M524" i="32"/>
  <c r="H524" i="32"/>
  <c r="F524" i="32"/>
  <c r="E524" i="32"/>
  <c r="N523" i="32"/>
  <c r="M523" i="32"/>
  <c r="H523" i="32"/>
  <c r="F523" i="32"/>
  <c r="E523" i="32"/>
  <c r="N522" i="32"/>
  <c r="Q522" i="32" s="1"/>
  <c r="M522" i="32"/>
  <c r="H522" i="32"/>
  <c r="F522" i="32"/>
  <c r="E522" i="32"/>
  <c r="N521" i="32"/>
  <c r="M521" i="32"/>
  <c r="H521" i="32"/>
  <c r="F521" i="32"/>
  <c r="E521" i="32"/>
  <c r="N520" i="32"/>
  <c r="M520" i="32"/>
  <c r="H520" i="32"/>
  <c r="F520" i="32"/>
  <c r="E520" i="32"/>
  <c r="N519" i="32"/>
  <c r="R519" i="32" s="1"/>
  <c r="M519" i="32"/>
  <c r="H519" i="32"/>
  <c r="F519" i="32"/>
  <c r="E519" i="32"/>
  <c r="N518" i="32"/>
  <c r="M518" i="32"/>
  <c r="J518" i="32"/>
  <c r="I518" i="32"/>
  <c r="H518" i="32"/>
  <c r="N517" i="32"/>
  <c r="M517" i="32"/>
  <c r="J517" i="32"/>
  <c r="I517" i="32"/>
  <c r="H517" i="32"/>
  <c r="F517" i="32"/>
  <c r="N516" i="32"/>
  <c r="M516" i="32"/>
  <c r="J516" i="32"/>
  <c r="I516" i="32"/>
  <c r="H516" i="32"/>
  <c r="F516" i="32"/>
  <c r="N515" i="32"/>
  <c r="M515" i="32"/>
  <c r="J515" i="32"/>
  <c r="I515" i="32"/>
  <c r="H515" i="32"/>
  <c r="F515" i="32"/>
  <c r="N514" i="32"/>
  <c r="P515" i="32" s="1"/>
  <c r="M514" i="32"/>
  <c r="H514" i="32"/>
  <c r="F514" i="32"/>
  <c r="E514" i="32"/>
  <c r="N513" i="32"/>
  <c r="M513" i="32"/>
  <c r="J513" i="32"/>
  <c r="I513" i="32"/>
  <c r="H513" i="32"/>
  <c r="N512" i="32"/>
  <c r="M512" i="32"/>
  <c r="J512" i="32"/>
  <c r="I512" i="32"/>
  <c r="H512" i="32"/>
  <c r="F512" i="32"/>
  <c r="N511" i="32"/>
  <c r="M511" i="32"/>
  <c r="J511" i="32"/>
  <c r="I511" i="32"/>
  <c r="H511" i="32"/>
  <c r="F511" i="32"/>
  <c r="N510" i="32"/>
  <c r="M510" i="32"/>
  <c r="J510" i="32"/>
  <c r="I510" i="32"/>
  <c r="H510" i="32"/>
  <c r="F510" i="32"/>
  <c r="N509" i="32"/>
  <c r="P511" i="32" s="1"/>
  <c r="M509" i="32"/>
  <c r="H509" i="32"/>
  <c r="F509" i="32"/>
  <c r="E509" i="32"/>
  <c r="N508" i="32"/>
  <c r="M508" i="32"/>
  <c r="J508" i="32"/>
  <c r="I508" i="32"/>
  <c r="H508" i="32"/>
  <c r="N507" i="32"/>
  <c r="M507" i="32"/>
  <c r="J507" i="32"/>
  <c r="I507" i="32"/>
  <c r="H507" i="32"/>
  <c r="F507" i="32"/>
  <c r="N506" i="32"/>
  <c r="M506" i="32"/>
  <c r="J506" i="32"/>
  <c r="I506" i="32"/>
  <c r="H506" i="32"/>
  <c r="F506" i="32"/>
  <c r="N505" i="32"/>
  <c r="M505" i="32"/>
  <c r="J505" i="32"/>
  <c r="I505" i="32"/>
  <c r="H505" i="32"/>
  <c r="F505" i="32"/>
  <c r="N504" i="32"/>
  <c r="P507" i="32" s="1"/>
  <c r="M504" i="32"/>
  <c r="H504" i="32"/>
  <c r="F504" i="32"/>
  <c r="E504" i="32"/>
  <c r="H503" i="32"/>
  <c r="F503" i="32"/>
  <c r="N502" i="32"/>
  <c r="M502" i="32"/>
  <c r="J502" i="32"/>
  <c r="I502" i="32"/>
  <c r="H502" i="32"/>
  <c r="N501" i="32"/>
  <c r="M501" i="32"/>
  <c r="J501" i="32"/>
  <c r="I501" i="32"/>
  <c r="H501" i="32"/>
  <c r="F501" i="32"/>
  <c r="N500" i="32"/>
  <c r="M500" i="32"/>
  <c r="J500" i="32"/>
  <c r="I500" i="32"/>
  <c r="H500" i="32"/>
  <c r="F500" i="32"/>
  <c r="N499" i="32"/>
  <c r="M499" i="32"/>
  <c r="J499" i="32"/>
  <c r="I499" i="32"/>
  <c r="H499" i="32"/>
  <c r="F499" i="32"/>
  <c r="N498" i="32"/>
  <c r="M498" i="32"/>
  <c r="H498" i="32"/>
  <c r="F498" i="32"/>
  <c r="L503" i="32" s="1"/>
  <c r="M503" i="32" s="1"/>
  <c r="N503" i="32" s="1"/>
  <c r="E498" i="32"/>
  <c r="H497" i="32"/>
  <c r="F497" i="32"/>
  <c r="N496" i="32"/>
  <c r="M496" i="32"/>
  <c r="J496" i="32"/>
  <c r="I496" i="32"/>
  <c r="H496" i="32"/>
  <c r="N495" i="32"/>
  <c r="M495" i="32"/>
  <c r="J495" i="32"/>
  <c r="I495" i="32"/>
  <c r="H495" i="32"/>
  <c r="F495" i="32"/>
  <c r="N494" i="32"/>
  <c r="M494" i="32"/>
  <c r="J494" i="32"/>
  <c r="I494" i="32"/>
  <c r="H494" i="32"/>
  <c r="F494" i="32"/>
  <c r="N493" i="32"/>
  <c r="M493" i="32"/>
  <c r="J493" i="32"/>
  <c r="I493" i="32"/>
  <c r="H493" i="32"/>
  <c r="F493" i="32"/>
  <c r="N492" i="32"/>
  <c r="M492" i="32"/>
  <c r="H492" i="32"/>
  <c r="F492" i="32"/>
  <c r="L497" i="32" s="1"/>
  <c r="E492" i="32"/>
  <c r="H491" i="32"/>
  <c r="F491" i="32"/>
  <c r="D491" i="32"/>
  <c r="C491" i="32"/>
  <c r="B491" i="32"/>
  <c r="N490" i="32"/>
  <c r="M490" i="32"/>
  <c r="J490" i="32"/>
  <c r="I490" i="32"/>
  <c r="H490" i="32"/>
  <c r="D490" i="32"/>
  <c r="C490" i="32"/>
  <c r="B490" i="32"/>
  <c r="N489" i="32"/>
  <c r="M489" i="32"/>
  <c r="J489" i="32"/>
  <c r="I489" i="32"/>
  <c r="H489" i="32"/>
  <c r="D489" i="32"/>
  <c r="C489" i="32"/>
  <c r="B489" i="32"/>
  <c r="N488" i="32"/>
  <c r="M488" i="32"/>
  <c r="J488" i="32"/>
  <c r="I488" i="32"/>
  <c r="H488" i="32"/>
  <c r="D488" i="32"/>
  <c r="C488" i="32"/>
  <c r="B488" i="32"/>
  <c r="N487" i="32"/>
  <c r="M487" i="32"/>
  <c r="J487" i="32"/>
  <c r="I487" i="32"/>
  <c r="H487" i="32"/>
  <c r="D487" i="32"/>
  <c r="C487" i="32"/>
  <c r="B487" i="32"/>
  <c r="N486" i="32"/>
  <c r="P490" i="32" s="1"/>
  <c r="M486" i="32"/>
  <c r="H486" i="32"/>
  <c r="E486" i="32"/>
  <c r="C486" i="32"/>
  <c r="B486" i="32"/>
  <c r="H485" i="32"/>
  <c r="F485" i="32"/>
  <c r="N484" i="32"/>
  <c r="M484" i="32"/>
  <c r="J484" i="32"/>
  <c r="I484" i="32"/>
  <c r="H484" i="32"/>
  <c r="N483" i="32"/>
  <c r="M483" i="32"/>
  <c r="J483" i="32"/>
  <c r="I483" i="32"/>
  <c r="H483" i="32"/>
  <c r="F483" i="32"/>
  <c r="N482" i="32"/>
  <c r="M482" i="32"/>
  <c r="J482" i="32"/>
  <c r="I482" i="32"/>
  <c r="H482" i="32"/>
  <c r="F482" i="32"/>
  <c r="N481" i="32"/>
  <c r="M481" i="32"/>
  <c r="J481" i="32"/>
  <c r="I481" i="32"/>
  <c r="H481" i="32"/>
  <c r="F481" i="32"/>
  <c r="N480" i="32"/>
  <c r="M480" i="32"/>
  <c r="H480" i="32"/>
  <c r="F480" i="32"/>
  <c r="L485" i="32" s="1"/>
  <c r="E480" i="32"/>
  <c r="H479" i="32"/>
  <c r="F479" i="32"/>
  <c r="N478" i="32"/>
  <c r="M478" i="32"/>
  <c r="J478" i="32"/>
  <c r="I478" i="32"/>
  <c r="H478" i="32"/>
  <c r="N477" i="32"/>
  <c r="M477" i="32"/>
  <c r="J477" i="32"/>
  <c r="I477" i="32"/>
  <c r="H477" i="32"/>
  <c r="F477" i="32"/>
  <c r="N476" i="32"/>
  <c r="M476" i="32"/>
  <c r="J476" i="32"/>
  <c r="I476" i="32"/>
  <c r="H476" i="32"/>
  <c r="F476" i="32"/>
  <c r="N475" i="32"/>
  <c r="M475" i="32"/>
  <c r="J475" i="32"/>
  <c r="I475" i="32"/>
  <c r="H475" i="32"/>
  <c r="F475" i="32"/>
  <c r="N474" i="32"/>
  <c r="M474" i="32"/>
  <c r="H474" i="32"/>
  <c r="F474" i="32"/>
  <c r="L479" i="32" s="1"/>
  <c r="E474" i="32"/>
  <c r="H473" i="32"/>
  <c r="F473" i="32"/>
  <c r="N472" i="32"/>
  <c r="M472" i="32"/>
  <c r="J472" i="32"/>
  <c r="I472" i="32"/>
  <c r="H472" i="32"/>
  <c r="N471" i="32"/>
  <c r="M471" i="32"/>
  <c r="J471" i="32"/>
  <c r="I471" i="32"/>
  <c r="H471" i="32"/>
  <c r="F471" i="32"/>
  <c r="N470" i="32"/>
  <c r="M470" i="32"/>
  <c r="J470" i="32"/>
  <c r="I470" i="32"/>
  <c r="H470" i="32"/>
  <c r="F470" i="32"/>
  <c r="N469" i="32"/>
  <c r="M469" i="32"/>
  <c r="J469" i="32"/>
  <c r="I469" i="32"/>
  <c r="H469" i="32"/>
  <c r="F469" i="32"/>
  <c r="H468" i="32"/>
  <c r="F468" i="32"/>
  <c r="E468" i="32"/>
  <c r="H467" i="32"/>
  <c r="F467" i="32"/>
  <c r="D467" i="32"/>
  <c r="C467" i="32"/>
  <c r="B467" i="32"/>
  <c r="N466" i="32"/>
  <c r="M466" i="32"/>
  <c r="J466" i="32"/>
  <c r="I466" i="32"/>
  <c r="H466" i="32"/>
  <c r="D466" i="32"/>
  <c r="C466" i="32"/>
  <c r="B466" i="32"/>
  <c r="N465" i="32"/>
  <c r="M465" i="32"/>
  <c r="J465" i="32"/>
  <c r="I465" i="32"/>
  <c r="H465" i="32"/>
  <c r="D465" i="32"/>
  <c r="C465" i="32"/>
  <c r="B465" i="32"/>
  <c r="N464" i="32"/>
  <c r="M464" i="32"/>
  <c r="J464" i="32"/>
  <c r="I464" i="32"/>
  <c r="H464" i="32"/>
  <c r="D464" i="32"/>
  <c r="C464" i="32"/>
  <c r="B464" i="32"/>
  <c r="N463" i="32"/>
  <c r="M463" i="32"/>
  <c r="J463" i="32"/>
  <c r="I463" i="32"/>
  <c r="H463" i="32"/>
  <c r="D463" i="32"/>
  <c r="C463" i="32"/>
  <c r="B463" i="32"/>
  <c r="N462" i="32"/>
  <c r="M462" i="32"/>
  <c r="H462" i="32"/>
  <c r="E462" i="32"/>
  <c r="C462" i="32"/>
  <c r="B462" i="32"/>
  <c r="H461" i="32"/>
  <c r="F461" i="32"/>
  <c r="D461" i="32"/>
  <c r="C461" i="32"/>
  <c r="B461" i="32"/>
  <c r="N460" i="32"/>
  <c r="M460" i="32"/>
  <c r="J460" i="32"/>
  <c r="I460" i="32"/>
  <c r="H460" i="32"/>
  <c r="D460" i="32"/>
  <c r="C460" i="32"/>
  <c r="B460" i="32"/>
  <c r="N459" i="32"/>
  <c r="M459" i="32"/>
  <c r="J459" i="32"/>
  <c r="I459" i="32"/>
  <c r="H459" i="32"/>
  <c r="D459" i="32"/>
  <c r="C459" i="32"/>
  <c r="B459" i="32"/>
  <c r="N458" i="32"/>
  <c r="M458" i="32"/>
  <c r="J458" i="32"/>
  <c r="I458" i="32"/>
  <c r="H458" i="32"/>
  <c r="D458" i="32"/>
  <c r="C458" i="32"/>
  <c r="B458" i="32"/>
  <c r="N457" i="32"/>
  <c r="M457" i="32"/>
  <c r="J457" i="32"/>
  <c r="I457" i="32"/>
  <c r="H457" i="32"/>
  <c r="D457" i="32"/>
  <c r="C457" i="32"/>
  <c r="B457" i="32"/>
  <c r="N456" i="32"/>
  <c r="P458" i="32" s="1"/>
  <c r="M456" i="32"/>
  <c r="H456" i="32"/>
  <c r="E456" i="32"/>
  <c r="C456" i="32"/>
  <c r="B456" i="32"/>
  <c r="H455" i="32"/>
  <c r="F455" i="32"/>
  <c r="D455" i="32"/>
  <c r="C455" i="32"/>
  <c r="B455" i="32"/>
  <c r="N454" i="32"/>
  <c r="M454" i="32"/>
  <c r="J454" i="32"/>
  <c r="I454" i="32"/>
  <c r="H454" i="32"/>
  <c r="D454" i="32"/>
  <c r="C454" i="32"/>
  <c r="B454" i="32"/>
  <c r="N453" i="32"/>
  <c r="M453" i="32"/>
  <c r="J453" i="32"/>
  <c r="I453" i="32"/>
  <c r="H453" i="32"/>
  <c r="D453" i="32"/>
  <c r="C453" i="32"/>
  <c r="B453" i="32"/>
  <c r="N452" i="32"/>
  <c r="M452" i="32"/>
  <c r="J452" i="32"/>
  <c r="I452" i="32"/>
  <c r="H452" i="32"/>
  <c r="D452" i="32"/>
  <c r="C452" i="32"/>
  <c r="B452" i="32"/>
  <c r="N451" i="32"/>
  <c r="M451" i="32"/>
  <c r="J451" i="32"/>
  <c r="I451" i="32"/>
  <c r="H451" i="32"/>
  <c r="D451" i="32"/>
  <c r="C451" i="32"/>
  <c r="B451" i="32"/>
  <c r="N450" i="32"/>
  <c r="M450" i="32"/>
  <c r="H450" i="32"/>
  <c r="E450" i="32"/>
  <c r="C450" i="32"/>
  <c r="B450" i="32"/>
  <c r="H449" i="32"/>
  <c r="F449" i="32"/>
  <c r="D449" i="32"/>
  <c r="C449" i="32"/>
  <c r="B449" i="32"/>
  <c r="N448" i="32"/>
  <c r="M448" i="32"/>
  <c r="J448" i="32"/>
  <c r="I448" i="32"/>
  <c r="H448" i="32"/>
  <c r="D448" i="32"/>
  <c r="C448" i="32"/>
  <c r="B448" i="32"/>
  <c r="N447" i="32"/>
  <c r="M447" i="32"/>
  <c r="J447" i="32"/>
  <c r="I447" i="32"/>
  <c r="H447" i="32"/>
  <c r="D447" i="32"/>
  <c r="C447" i="32"/>
  <c r="B447" i="32"/>
  <c r="N446" i="32"/>
  <c r="M446" i="32"/>
  <c r="J446" i="32"/>
  <c r="I446" i="32"/>
  <c r="H446" i="32"/>
  <c r="D446" i="32"/>
  <c r="C446" i="32"/>
  <c r="B446" i="32"/>
  <c r="N445" i="32"/>
  <c r="M445" i="32"/>
  <c r="J445" i="32"/>
  <c r="I445" i="32"/>
  <c r="H445" i="32"/>
  <c r="D445" i="32"/>
  <c r="C445" i="32"/>
  <c r="B445" i="32"/>
  <c r="N444" i="32"/>
  <c r="P445" i="32" s="1"/>
  <c r="M444" i="32"/>
  <c r="H444" i="32"/>
  <c r="E444" i="32"/>
  <c r="C444" i="32"/>
  <c r="B444" i="32"/>
  <c r="H443" i="32"/>
  <c r="F443" i="32"/>
  <c r="D443" i="32"/>
  <c r="C443" i="32"/>
  <c r="B443" i="32"/>
  <c r="N442" i="32"/>
  <c r="M442" i="32"/>
  <c r="J442" i="32"/>
  <c r="I442" i="32"/>
  <c r="H442" i="32"/>
  <c r="D442" i="32"/>
  <c r="C442" i="32"/>
  <c r="B442" i="32"/>
  <c r="N441" i="32"/>
  <c r="M441" i="32"/>
  <c r="J441" i="32"/>
  <c r="I441" i="32"/>
  <c r="H441" i="32"/>
  <c r="D441" i="32"/>
  <c r="C441" i="32"/>
  <c r="B441" i="32"/>
  <c r="N440" i="32"/>
  <c r="M440" i="32"/>
  <c r="J440" i="32"/>
  <c r="I440" i="32"/>
  <c r="H440" i="32"/>
  <c r="D440" i="32"/>
  <c r="C440" i="32"/>
  <c r="B440" i="32"/>
  <c r="N439" i="32"/>
  <c r="M439" i="32"/>
  <c r="J439" i="32"/>
  <c r="I439" i="32"/>
  <c r="H439" i="32"/>
  <c r="D439" i="32"/>
  <c r="C439" i="32"/>
  <c r="B439" i="32"/>
  <c r="N438" i="32"/>
  <c r="P443" i="32" s="1"/>
  <c r="M438" i="32"/>
  <c r="H438" i="32"/>
  <c r="E438" i="32"/>
  <c r="C438" i="32"/>
  <c r="B438" i="32"/>
  <c r="H437" i="32"/>
  <c r="F437" i="32"/>
  <c r="D437" i="32"/>
  <c r="C437" i="32"/>
  <c r="B437" i="32"/>
  <c r="N436" i="32"/>
  <c r="M436" i="32"/>
  <c r="J436" i="32"/>
  <c r="I436" i="32"/>
  <c r="H436" i="32"/>
  <c r="D436" i="32"/>
  <c r="C436" i="32"/>
  <c r="B436" i="32"/>
  <c r="N435" i="32"/>
  <c r="M435" i="32"/>
  <c r="J435" i="32"/>
  <c r="I435" i="32"/>
  <c r="H435" i="32"/>
  <c r="F435" i="32"/>
  <c r="D435" i="32"/>
  <c r="C435" i="32"/>
  <c r="B435" i="32"/>
  <c r="N434" i="32"/>
  <c r="M434" i="32"/>
  <c r="J434" i="32"/>
  <c r="I434" i="32"/>
  <c r="H434" i="32"/>
  <c r="F434" i="32"/>
  <c r="D434" i="32"/>
  <c r="C434" i="32"/>
  <c r="B434" i="32"/>
  <c r="N433" i="32"/>
  <c r="M433" i="32"/>
  <c r="J433" i="32"/>
  <c r="I433" i="32"/>
  <c r="H433" i="32"/>
  <c r="F433" i="32"/>
  <c r="D433" i="32"/>
  <c r="C433" i="32"/>
  <c r="B433" i="32"/>
  <c r="N432" i="32"/>
  <c r="P434" i="32" s="1"/>
  <c r="M432" i="32"/>
  <c r="H432" i="32"/>
  <c r="F432" i="32"/>
  <c r="L437" i="32" s="1"/>
  <c r="E432" i="32"/>
  <c r="D432" i="32"/>
  <c r="C432" i="32"/>
  <c r="B432" i="32"/>
  <c r="H431" i="32"/>
  <c r="F431" i="32"/>
  <c r="D431" i="32"/>
  <c r="C431" i="32"/>
  <c r="B431" i="32"/>
  <c r="N430" i="32"/>
  <c r="M430" i="32"/>
  <c r="J430" i="32"/>
  <c r="I430" i="32"/>
  <c r="H430" i="32"/>
  <c r="D430" i="32"/>
  <c r="C430" i="32"/>
  <c r="B430" i="32"/>
  <c r="N429" i="32"/>
  <c r="M429" i="32"/>
  <c r="J429" i="32"/>
  <c r="I429" i="32"/>
  <c r="H429" i="32"/>
  <c r="F429" i="32"/>
  <c r="D429" i="32"/>
  <c r="C429" i="32"/>
  <c r="B429" i="32"/>
  <c r="N428" i="32"/>
  <c r="M428" i="32"/>
  <c r="J428" i="32"/>
  <c r="I428" i="32"/>
  <c r="H428" i="32"/>
  <c r="F428" i="32"/>
  <c r="D428" i="32"/>
  <c r="C428" i="32"/>
  <c r="B428" i="32"/>
  <c r="N427" i="32"/>
  <c r="M427" i="32"/>
  <c r="J427" i="32"/>
  <c r="I427" i="32"/>
  <c r="H427" i="32"/>
  <c r="F427" i="32"/>
  <c r="D427" i="32"/>
  <c r="C427" i="32"/>
  <c r="B427" i="32"/>
  <c r="N426" i="32"/>
  <c r="M426" i="32"/>
  <c r="H426" i="32"/>
  <c r="F426" i="32"/>
  <c r="L431" i="32" s="1"/>
  <c r="M431" i="32" s="1"/>
  <c r="E426" i="32"/>
  <c r="D426" i="32"/>
  <c r="C426" i="32"/>
  <c r="B426" i="32"/>
  <c r="H425" i="32"/>
  <c r="F425" i="32"/>
  <c r="D425" i="32"/>
  <c r="C425" i="32"/>
  <c r="B425" i="32"/>
  <c r="N424" i="32"/>
  <c r="M424" i="32"/>
  <c r="J424" i="32"/>
  <c r="I424" i="32"/>
  <c r="H424" i="32"/>
  <c r="D424" i="32"/>
  <c r="C424" i="32"/>
  <c r="B424" i="32"/>
  <c r="N423" i="32"/>
  <c r="M423" i="32"/>
  <c r="J423" i="32"/>
  <c r="I423" i="32"/>
  <c r="H423" i="32"/>
  <c r="D423" i="32"/>
  <c r="C423" i="32"/>
  <c r="B423" i="32"/>
  <c r="N422" i="32"/>
  <c r="M422" i="32"/>
  <c r="J422" i="32"/>
  <c r="I422" i="32"/>
  <c r="H422" i="32"/>
  <c r="F422" i="32"/>
  <c r="D422" i="32"/>
  <c r="C422" i="32"/>
  <c r="B422" i="32"/>
  <c r="N421" i="32"/>
  <c r="M421" i="32"/>
  <c r="J421" i="32"/>
  <c r="I421" i="32"/>
  <c r="H421" i="32"/>
  <c r="F421" i="32"/>
  <c r="D421" i="32"/>
  <c r="C421" i="32"/>
  <c r="B421" i="32"/>
  <c r="H420" i="32"/>
  <c r="F420" i="32"/>
  <c r="L425" i="32" s="1"/>
  <c r="E420" i="32"/>
  <c r="D420" i="32"/>
  <c r="C420" i="32"/>
  <c r="B420" i="32"/>
  <c r="H419" i="32"/>
  <c r="F419" i="32"/>
  <c r="D419" i="32"/>
  <c r="C419" i="32"/>
  <c r="B419" i="32"/>
  <c r="N418" i="32"/>
  <c r="M418" i="32"/>
  <c r="J418" i="32"/>
  <c r="I418" i="32"/>
  <c r="H418" i="32"/>
  <c r="D418" i="32"/>
  <c r="C418" i="32"/>
  <c r="B418" i="32"/>
  <c r="N417" i="32"/>
  <c r="M417" i="32"/>
  <c r="J417" i="32"/>
  <c r="I417" i="32"/>
  <c r="H417" i="32"/>
  <c r="D417" i="32"/>
  <c r="C417" i="32"/>
  <c r="B417" i="32"/>
  <c r="N416" i="32"/>
  <c r="M416" i="32"/>
  <c r="J416" i="32"/>
  <c r="I416" i="32"/>
  <c r="H416" i="32"/>
  <c r="D416" i="32"/>
  <c r="C416" i="32"/>
  <c r="B416" i="32"/>
  <c r="N415" i="32"/>
  <c r="M415" i="32"/>
  <c r="J415" i="32"/>
  <c r="I415" i="32"/>
  <c r="H415" i="32"/>
  <c r="D415" i="32"/>
  <c r="C415" i="32"/>
  <c r="B415" i="32"/>
  <c r="N414" i="32"/>
  <c r="P419" i="32" s="1"/>
  <c r="M414" i="32"/>
  <c r="H414" i="32"/>
  <c r="E414" i="32"/>
  <c r="C414" i="32"/>
  <c r="B414" i="32"/>
  <c r="H413" i="32"/>
  <c r="F413" i="32"/>
  <c r="D413" i="32"/>
  <c r="C413" i="32"/>
  <c r="B413" i="32"/>
  <c r="N412" i="32"/>
  <c r="M412" i="32"/>
  <c r="J412" i="32"/>
  <c r="I412" i="32"/>
  <c r="H412" i="32"/>
  <c r="D412" i="32"/>
  <c r="C412" i="32"/>
  <c r="B412" i="32"/>
  <c r="N411" i="32"/>
  <c r="M411" i="32"/>
  <c r="J411" i="32"/>
  <c r="I411" i="32"/>
  <c r="H411" i="32"/>
  <c r="D411" i="32"/>
  <c r="C411" i="32"/>
  <c r="B411" i="32"/>
  <c r="N410" i="32"/>
  <c r="M410" i="32"/>
  <c r="J410" i="32"/>
  <c r="I410" i="32"/>
  <c r="H410" i="32"/>
  <c r="D410" i="32"/>
  <c r="C410" i="32"/>
  <c r="B410" i="32"/>
  <c r="N409" i="32"/>
  <c r="M409" i="32"/>
  <c r="J409" i="32"/>
  <c r="I409" i="32"/>
  <c r="H409" i="32"/>
  <c r="D409" i="32"/>
  <c r="C409" i="32"/>
  <c r="B409" i="32"/>
  <c r="H408" i="32"/>
  <c r="E408" i="32"/>
  <c r="C408" i="32"/>
  <c r="B408" i="32"/>
  <c r="H407" i="32"/>
  <c r="F407" i="32"/>
  <c r="N406" i="32"/>
  <c r="M406" i="32"/>
  <c r="J406" i="32"/>
  <c r="I406" i="32"/>
  <c r="H406" i="32"/>
  <c r="N405" i="32"/>
  <c r="M405" i="32"/>
  <c r="J405" i="32"/>
  <c r="I405" i="32"/>
  <c r="H405" i="32"/>
  <c r="F405" i="32"/>
  <c r="N404" i="32"/>
  <c r="M404" i="32"/>
  <c r="J404" i="32"/>
  <c r="I404" i="32"/>
  <c r="H404" i="32"/>
  <c r="F404" i="32"/>
  <c r="N403" i="32"/>
  <c r="M403" i="32"/>
  <c r="J403" i="32"/>
  <c r="I403" i="32"/>
  <c r="H403" i="32"/>
  <c r="F403" i="32"/>
  <c r="N402" i="32"/>
  <c r="M402" i="32"/>
  <c r="H402" i="32"/>
  <c r="F402" i="32"/>
  <c r="L407" i="32" s="1"/>
  <c r="M407" i="32" s="1"/>
  <c r="E402" i="32"/>
  <c r="H401" i="32"/>
  <c r="F401" i="32"/>
  <c r="N400" i="32"/>
  <c r="M400" i="32"/>
  <c r="J400" i="32"/>
  <c r="I400" i="32"/>
  <c r="H400" i="32"/>
  <c r="N399" i="32"/>
  <c r="M399" i="32"/>
  <c r="J399" i="32"/>
  <c r="I399" i="32"/>
  <c r="H399" i="32"/>
  <c r="F399" i="32"/>
  <c r="N398" i="32"/>
  <c r="M398" i="32"/>
  <c r="J398" i="32"/>
  <c r="I398" i="32"/>
  <c r="H398" i="32"/>
  <c r="F398" i="32"/>
  <c r="N397" i="32"/>
  <c r="M397" i="32"/>
  <c r="J397" i="32"/>
  <c r="I397" i="32"/>
  <c r="H397" i="32"/>
  <c r="F397" i="32"/>
  <c r="N396" i="32"/>
  <c r="P400" i="32" s="1"/>
  <c r="M396" i="32"/>
  <c r="H396" i="32"/>
  <c r="F396" i="32"/>
  <c r="L401" i="32" s="1"/>
  <c r="E396" i="32"/>
  <c r="H395" i="32"/>
  <c r="F395" i="32"/>
  <c r="D395" i="32"/>
  <c r="C395" i="32"/>
  <c r="B395" i="32"/>
  <c r="N394" i="32"/>
  <c r="M394" i="32"/>
  <c r="J394" i="32"/>
  <c r="I394" i="32"/>
  <c r="H394" i="32"/>
  <c r="D394" i="32"/>
  <c r="C394" i="32"/>
  <c r="B394" i="32"/>
  <c r="N393" i="32"/>
  <c r="M393" i="32"/>
  <c r="J393" i="32"/>
  <c r="I393" i="32"/>
  <c r="H393" i="32"/>
  <c r="D393" i="32"/>
  <c r="C393" i="32"/>
  <c r="B393" i="32"/>
  <c r="N392" i="32"/>
  <c r="M392" i="32"/>
  <c r="J392" i="32"/>
  <c r="I392" i="32"/>
  <c r="H392" i="32"/>
  <c r="D392" i="32"/>
  <c r="C392" i="32"/>
  <c r="B392" i="32"/>
  <c r="N391" i="32"/>
  <c r="M391" i="32"/>
  <c r="J391" i="32"/>
  <c r="I391" i="32"/>
  <c r="H391" i="32"/>
  <c r="D391" i="32"/>
  <c r="C391" i="32"/>
  <c r="B391" i="32"/>
  <c r="N390" i="32"/>
  <c r="M390" i="32"/>
  <c r="H390" i="32"/>
  <c r="E390" i="32"/>
  <c r="C390" i="32"/>
  <c r="B390" i="32"/>
  <c r="H389" i="32"/>
  <c r="F389" i="32"/>
  <c r="D389" i="32"/>
  <c r="C389" i="32"/>
  <c r="B389" i="32"/>
  <c r="N388" i="32"/>
  <c r="M388" i="32"/>
  <c r="J388" i="32"/>
  <c r="I388" i="32"/>
  <c r="H388" i="32"/>
  <c r="D388" i="32"/>
  <c r="C388" i="32"/>
  <c r="B388" i="32"/>
  <c r="N387" i="32"/>
  <c r="M387" i="32"/>
  <c r="J387" i="32"/>
  <c r="I387" i="32"/>
  <c r="H387" i="32"/>
  <c r="D387" i="32"/>
  <c r="C387" i="32"/>
  <c r="B387" i="32"/>
  <c r="N386" i="32"/>
  <c r="M386" i="32"/>
  <c r="J386" i="32"/>
  <c r="I386" i="32"/>
  <c r="H386" i="32"/>
  <c r="D386" i="32"/>
  <c r="C386" i="32"/>
  <c r="B386" i="32"/>
  <c r="N385" i="32"/>
  <c r="M385" i="32"/>
  <c r="J385" i="32"/>
  <c r="I385" i="32"/>
  <c r="H385" i="32"/>
  <c r="D385" i="32"/>
  <c r="C385" i="32"/>
  <c r="B385" i="32"/>
  <c r="N384" i="32"/>
  <c r="P387" i="32" s="1"/>
  <c r="M384" i="32"/>
  <c r="H384" i="32"/>
  <c r="E384" i="32"/>
  <c r="C384" i="32"/>
  <c r="B384" i="32"/>
  <c r="H383" i="32"/>
  <c r="F383" i="32"/>
  <c r="N382" i="32"/>
  <c r="M382" i="32"/>
  <c r="J382" i="32"/>
  <c r="I382" i="32"/>
  <c r="H382" i="32"/>
  <c r="N381" i="32"/>
  <c r="M381" i="32"/>
  <c r="J381" i="32"/>
  <c r="I381" i="32"/>
  <c r="H381" i="32"/>
  <c r="F381" i="32"/>
  <c r="N380" i="32"/>
  <c r="M380" i="32"/>
  <c r="J380" i="32"/>
  <c r="I380" i="32"/>
  <c r="H380" i="32"/>
  <c r="F380" i="32"/>
  <c r="N379" i="32"/>
  <c r="M379" i="32"/>
  <c r="J379" i="32"/>
  <c r="I379" i="32"/>
  <c r="H379" i="32"/>
  <c r="F379" i="32"/>
  <c r="N378" i="32"/>
  <c r="M378" i="32"/>
  <c r="H378" i="32"/>
  <c r="F378" i="32"/>
  <c r="L383" i="32" s="1"/>
  <c r="E378" i="32"/>
  <c r="H377" i="32"/>
  <c r="F377" i="32"/>
  <c r="N376" i="32"/>
  <c r="M376" i="32"/>
  <c r="J376" i="32"/>
  <c r="I376" i="32"/>
  <c r="H376" i="32"/>
  <c r="N375" i="32"/>
  <c r="M375" i="32"/>
  <c r="J375" i="32"/>
  <c r="I375" i="32"/>
  <c r="H375" i="32"/>
  <c r="F375" i="32"/>
  <c r="N374" i="32"/>
  <c r="M374" i="32"/>
  <c r="J374" i="32"/>
  <c r="I374" i="32"/>
  <c r="H374" i="32"/>
  <c r="F374" i="32"/>
  <c r="N373" i="32"/>
  <c r="M373" i="32"/>
  <c r="J373" i="32"/>
  <c r="I373" i="32"/>
  <c r="H373" i="32"/>
  <c r="F373" i="32"/>
  <c r="N372" i="32"/>
  <c r="M372" i="32"/>
  <c r="H372" i="32"/>
  <c r="F372" i="32"/>
  <c r="L377" i="32" s="1"/>
  <c r="M377" i="32" s="1"/>
  <c r="E372" i="32"/>
  <c r="H371" i="32"/>
  <c r="F371" i="32"/>
  <c r="N370" i="32"/>
  <c r="M370" i="32"/>
  <c r="J370" i="32"/>
  <c r="I370" i="32"/>
  <c r="H370" i="32"/>
  <c r="N369" i="32"/>
  <c r="M369" i="32"/>
  <c r="J369" i="32"/>
  <c r="I369" i="32"/>
  <c r="H369" i="32"/>
  <c r="F369" i="32"/>
  <c r="N368" i="32"/>
  <c r="M368" i="32"/>
  <c r="J368" i="32"/>
  <c r="I368" i="32"/>
  <c r="H368" i="32"/>
  <c r="F368" i="32"/>
  <c r="N367" i="32"/>
  <c r="M367" i="32"/>
  <c r="J367" i="32"/>
  <c r="I367" i="32"/>
  <c r="H367" i="32"/>
  <c r="F367" i="32"/>
  <c r="N366" i="32"/>
  <c r="M366" i="32"/>
  <c r="H366" i="32"/>
  <c r="F366" i="32"/>
  <c r="L371" i="32" s="1"/>
  <c r="E366" i="32"/>
  <c r="H365" i="32"/>
  <c r="F365" i="32"/>
  <c r="N364" i="32"/>
  <c r="M364" i="32"/>
  <c r="J364" i="32"/>
  <c r="I364" i="32"/>
  <c r="H364" i="32"/>
  <c r="N363" i="32"/>
  <c r="M363" i="32"/>
  <c r="J363" i="32"/>
  <c r="I363" i="32"/>
  <c r="H363" i="32"/>
  <c r="F363" i="32"/>
  <c r="N362" i="32"/>
  <c r="M362" i="32"/>
  <c r="J362" i="32"/>
  <c r="I362" i="32"/>
  <c r="H362" i="32"/>
  <c r="F362" i="32"/>
  <c r="N361" i="32"/>
  <c r="M361" i="32"/>
  <c r="J361" i="32"/>
  <c r="I361" i="32"/>
  <c r="H361" i="32"/>
  <c r="F361" i="32"/>
  <c r="N360" i="32"/>
  <c r="P362" i="32" s="1"/>
  <c r="M360" i="32"/>
  <c r="H360" i="32"/>
  <c r="F360" i="32"/>
  <c r="L365" i="32" s="1"/>
  <c r="M365" i="32" s="1"/>
  <c r="N365" i="32" s="1"/>
  <c r="E360" i="32"/>
  <c r="H359" i="32"/>
  <c r="F359" i="32"/>
  <c r="N358" i="32"/>
  <c r="M358" i="32"/>
  <c r="J358" i="32"/>
  <c r="I358" i="32"/>
  <c r="H358" i="32"/>
  <c r="F358" i="32"/>
  <c r="N357" i="32"/>
  <c r="M357" i="32"/>
  <c r="J357" i="32"/>
  <c r="I357" i="32"/>
  <c r="H357" i="32"/>
  <c r="F357" i="32"/>
  <c r="N356" i="32"/>
  <c r="M356" i="32"/>
  <c r="J356" i="32"/>
  <c r="I356" i="32"/>
  <c r="H356" i="32"/>
  <c r="F356" i="32"/>
  <c r="N355" i="32"/>
  <c r="M355" i="32"/>
  <c r="J355" i="32"/>
  <c r="I355" i="32"/>
  <c r="H355" i="32"/>
  <c r="F355" i="32"/>
  <c r="N354" i="32"/>
  <c r="P358" i="32" s="1"/>
  <c r="M354" i="32"/>
  <c r="H354" i="32"/>
  <c r="F354" i="32"/>
  <c r="L359" i="32" s="1"/>
  <c r="E354" i="32"/>
  <c r="H353" i="32"/>
  <c r="F353" i="32"/>
  <c r="N352" i="32"/>
  <c r="M352" i="32"/>
  <c r="J352" i="32"/>
  <c r="I352" i="32"/>
  <c r="H352" i="32"/>
  <c r="N351" i="32"/>
  <c r="M351" i="32"/>
  <c r="J351" i="32"/>
  <c r="I351" i="32"/>
  <c r="H351" i="32"/>
  <c r="F351" i="32"/>
  <c r="N350" i="32"/>
  <c r="M350" i="32"/>
  <c r="J350" i="32"/>
  <c r="I350" i="32"/>
  <c r="H350" i="32"/>
  <c r="F350" i="32"/>
  <c r="N349" i="32"/>
  <c r="M349" i="32"/>
  <c r="J349" i="32"/>
  <c r="I349" i="32"/>
  <c r="H349" i="32"/>
  <c r="F349" i="32"/>
  <c r="N348" i="32"/>
  <c r="P350" i="32" s="1"/>
  <c r="M348" i="32"/>
  <c r="H348" i="32"/>
  <c r="F348" i="32"/>
  <c r="L353" i="32" s="1"/>
  <c r="E348" i="32"/>
  <c r="H347" i="32"/>
  <c r="F347" i="32"/>
  <c r="N346" i="32"/>
  <c r="M346" i="32"/>
  <c r="J346" i="32"/>
  <c r="I346" i="32"/>
  <c r="H346" i="32"/>
  <c r="N345" i="32"/>
  <c r="M345" i="32"/>
  <c r="J345" i="32"/>
  <c r="I345" i="32"/>
  <c r="H345" i="32"/>
  <c r="F345" i="32"/>
  <c r="N344" i="32"/>
  <c r="M344" i="32"/>
  <c r="J344" i="32"/>
  <c r="I344" i="32"/>
  <c r="H344" i="32"/>
  <c r="F344" i="32"/>
  <c r="N343" i="32"/>
  <c r="M343" i="32"/>
  <c r="J343" i="32"/>
  <c r="I343" i="32"/>
  <c r="H343" i="32"/>
  <c r="F343" i="32"/>
  <c r="N342" i="32"/>
  <c r="P346" i="32" s="1"/>
  <c r="M342" i="32"/>
  <c r="H342" i="32"/>
  <c r="F342" i="32"/>
  <c r="L347" i="32" s="1"/>
  <c r="E342" i="32"/>
  <c r="H341" i="32"/>
  <c r="F341" i="32"/>
  <c r="N340" i="32"/>
  <c r="M340" i="32"/>
  <c r="J340" i="32"/>
  <c r="I340" i="32"/>
  <c r="H340" i="32"/>
  <c r="N339" i="32"/>
  <c r="M339" i="32"/>
  <c r="J339" i="32"/>
  <c r="I339" i="32"/>
  <c r="H339" i="32"/>
  <c r="F339" i="32"/>
  <c r="N338" i="32"/>
  <c r="M338" i="32"/>
  <c r="J338" i="32"/>
  <c r="I338" i="32"/>
  <c r="H338" i="32"/>
  <c r="F338" i="32"/>
  <c r="N337" i="32"/>
  <c r="M337" i="32"/>
  <c r="J337" i="32"/>
  <c r="I337" i="32"/>
  <c r="H337" i="32"/>
  <c r="F337" i="32"/>
  <c r="N336" i="32"/>
  <c r="P338" i="32" s="1"/>
  <c r="M336" i="32"/>
  <c r="H336" i="32"/>
  <c r="F336" i="32"/>
  <c r="L341" i="32" s="1"/>
  <c r="E336" i="32"/>
  <c r="H335" i="32"/>
  <c r="F335" i="32"/>
  <c r="N334" i="32"/>
  <c r="M334" i="32"/>
  <c r="J334" i="32"/>
  <c r="I334" i="32"/>
  <c r="H334" i="32"/>
  <c r="N333" i="32"/>
  <c r="M333" i="32"/>
  <c r="J333" i="32"/>
  <c r="I333" i="32"/>
  <c r="H333" i="32"/>
  <c r="F333" i="32"/>
  <c r="N332" i="32"/>
  <c r="M332" i="32"/>
  <c r="J332" i="32"/>
  <c r="I332" i="32"/>
  <c r="H332" i="32"/>
  <c r="F332" i="32"/>
  <c r="N331" i="32"/>
  <c r="M331" i="32"/>
  <c r="J331" i="32"/>
  <c r="I331" i="32"/>
  <c r="H331" i="32"/>
  <c r="F331" i="32"/>
  <c r="N330" i="32"/>
  <c r="P334" i="32" s="1"/>
  <c r="M330" i="32"/>
  <c r="H330" i="32"/>
  <c r="F330" i="32"/>
  <c r="L335" i="32" s="1"/>
  <c r="E330" i="32"/>
  <c r="H329" i="32"/>
  <c r="F329" i="32"/>
  <c r="N328" i="32"/>
  <c r="M328" i="32"/>
  <c r="J328" i="32"/>
  <c r="I328" i="32"/>
  <c r="H328" i="32"/>
  <c r="N327" i="32"/>
  <c r="M327" i="32"/>
  <c r="J327" i="32"/>
  <c r="I327" i="32"/>
  <c r="H327" i="32"/>
  <c r="F327" i="32"/>
  <c r="N326" i="32"/>
  <c r="M326" i="32"/>
  <c r="J326" i="32"/>
  <c r="I326" i="32"/>
  <c r="H326" i="32"/>
  <c r="F326" i="32"/>
  <c r="N325" i="32"/>
  <c r="M325" i="32"/>
  <c r="J325" i="32"/>
  <c r="I325" i="32"/>
  <c r="H325" i="32"/>
  <c r="F325" i="32"/>
  <c r="N324" i="32"/>
  <c r="M324" i="32"/>
  <c r="H324" i="32"/>
  <c r="F324" i="32"/>
  <c r="L329" i="32" s="1"/>
  <c r="M329" i="32" s="1"/>
  <c r="E324" i="32"/>
  <c r="H323" i="32"/>
  <c r="F323" i="32"/>
  <c r="N322" i="32"/>
  <c r="M322" i="32"/>
  <c r="J322" i="32"/>
  <c r="I322" i="32"/>
  <c r="H322" i="32"/>
  <c r="N321" i="32"/>
  <c r="M321" i="32"/>
  <c r="J321" i="32"/>
  <c r="I321" i="32"/>
  <c r="H321" i="32"/>
  <c r="F321" i="32"/>
  <c r="N320" i="32"/>
  <c r="M320" i="32"/>
  <c r="J320" i="32"/>
  <c r="I320" i="32"/>
  <c r="H320" i="32"/>
  <c r="F320" i="32"/>
  <c r="N319" i="32"/>
  <c r="M319" i="32"/>
  <c r="J319" i="32"/>
  <c r="I319" i="32"/>
  <c r="H319" i="32"/>
  <c r="F319" i="32"/>
  <c r="N318" i="32"/>
  <c r="M318" i="32"/>
  <c r="H318" i="32"/>
  <c r="F318" i="32"/>
  <c r="L323" i="32" s="1"/>
  <c r="M323" i="32" s="1"/>
  <c r="E318" i="32"/>
  <c r="H317" i="32"/>
  <c r="F317" i="32"/>
  <c r="N316" i="32"/>
  <c r="M316" i="32"/>
  <c r="J316" i="32"/>
  <c r="I316" i="32"/>
  <c r="H316" i="32"/>
  <c r="N315" i="32"/>
  <c r="M315" i="32"/>
  <c r="J315" i="32"/>
  <c r="I315" i="32"/>
  <c r="H315" i="32"/>
  <c r="F315" i="32"/>
  <c r="N314" i="32"/>
  <c r="M314" i="32"/>
  <c r="J314" i="32"/>
  <c r="I314" i="32"/>
  <c r="H314" i="32"/>
  <c r="F314" i="32"/>
  <c r="N313" i="32"/>
  <c r="M313" i="32"/>
  <c r="J313" i="32"/>
  <c r="I313" i="32"/>
  <c r="H313" i="32"/>
  <c r="F313" i="32"/>
  <c r="N312" i="32"/>
  <c r="P314" i="32" s="1"/>
  <c r="M312" i="32"/>
  <c r="H312" i="32"/>
  <c r="F312" i="32"/>
  <c r="L317" i="32" s="1"/>
  <c r="E312" i="32"/>
  <c r="H311" i="32"/>
  <c r="F311" i="32"/>
  <c r="N310" i="32"/>
  <c r="M310" i="32"/>
  <c r="J310" i="32"/>
  <c r="I310" i="32"/>
  <c r="H310" i="32"/>
  <c r="N309" i="32"/>
  <c r="M309" i="32"/>
  <c r="J309" i="32"/>
  <c r="I309" i="32"/>
  <c r="H309" i="32"/>
  <c r="F309" i="32"/>
  <c r="N308" i="32"/>
  <c r="M308" i="32"/>
  <c r="J308" i="32"/>
  <c r="I308" i="32"/>
  <c r="H308" i="32"/>
  <c r="F308" i="32"/>
  <c r="N307" i="32"/>
  <c r="M307" i="32"/>
  <c r="J307" i="32"/>
  <c r="I307" i="32"/>
  <c r="H307" i="32"/>
  <c r="F307" i="32"/>
  <c r="N306" i="32"/>
  <c r="P309" i="32" s="1"/>
  <c r="M306" i="32"/>
  <c r="H306" i="32"/>
  <c r="F306" i="32"/>
  <c r="L311" i="32" s="1"/>
  <c r="E306" i="32"/>
  <c r="H305" i="32"/>
  <c r="F305" i="32"/>
  <c r="N304" i="32"/>
  <c r="M304" i="32"/>
  <c r="J304" i="32"/>
  <c r="I304" i="32"/>
  <c r="H304" i="32"/>
  <c r="F304" i="32"/>
  <c r="N303" i="32"/>
  <c r="P304" i="32" s="1"/>
  <c r="M303" i="32"/>
  <c r="H303" i="32"/>
  <c r="F303" i="32"/>
  <c r="L305" i="32" s="1"/>
  <c r="E303" i="32"/>
  <c r="H302" i="32"/>
  <c r="F302" i="32"/>
  <c r="N301" i="32"/>
  <c r="M301" i="32"/>
  <c r="J301" i="32"/>
  <c r="I301" i="32"/>
  <c r="H301" i="32"/>
  <c r="F301" i="32"/>
  <c r="N300" i="32"/>
  <c r="Q300" i="32" s="1"/>
  <c r="M300" i="32"/>
  <c r="H300" i="32"/>
  <c r="F300" i="32"/>
  <c r="L302" i="32" s="1"/>
  <c r="E300" i="32"/>
  <c r="H299" i="32"/>
  <c r="F299" i="32"/>
  <c r="N298" i="32"/>
  <c r="M298" i="32"/>
  <c r="J298" i="32"/>
  <c r="I298" i="32"/>
  <c r="H298" i="32"/>
  <c r="F298" i="32"/>
  <c r="N297" i="32"/>
  <c r="P299" i="32" s="1"/>
  <c r="M297" i="32"/>
  <c r="H297" i="32"/>
  <c r="F297" i="32"/>
  <c r="L299" i="32" s="1"/>
  <c r="E297" i="32"/>
  <c r="H296" i="32"/>
  <c r="F296" i="32"/>
  <c r="N295" i="32"/>
  <c r="M295" i="32"/>
  <c r="J295" i="32"/>
  <c r="I295" i="32"/>
  <c r="H295" i="32"/>
  <c r="F295" i="32"/>
  <c r="N294" i="32"/>
  <c r="P296" i="32" s="1"/>
  <c r="M294" i="32"/>
  <c r="H294" i="32"/>
  <c r="F294" i="32"/>
  <c r="L296" i="32" s="1"/>
  <c r="E294" i="32"/>
  <c r="H293" i="32"/>
  <c r="F293" i="32"/>
  <c r="N292" i="32"/>
  <c r="M292" i="32"/>
  <c r="J292" i="32"/>
  <c r="I292" i="32"/>
  <c r="H292" i="32"/>
  <c r="F292" i="32"/>
  <c r="N291" i="32"/>
  <c r="M291" i="32"/>
  <c r="H291" i="32"/>
  <c r="F291" i="32"/>
  <c r="L293" i="32" s="1"/>
  <c r="E291" i="32"/>
  <c r="H290" i="32"/>
  <c r="F290" i="32"/>
  <c r="N289" i="32"/>
  <c r="M289" i="32"/>
  <c r="J289" i="32"/>
  <c r="I289" i="32"/>
  <c r="H289" i="32"/>
  <c r="F289" i="32"/>
  <c r="N288" i="32"/>
  <c r="Q288" i="32" s="1"/>
  <c r="M288" i="32"/>
  <c r="H288" i="32"/>
  <c r="F288" i="32"/>
  <c r="L290" i="32" s="1"/>
  <c r="E288" i="32"/>
  <c r="H287" i="32"/>
  <c r="F287" i="32"/>
  <c r="N286" i="32"/>
  <c r="M286" i="32"/>
  <c r="J286" i="32"/>
  <c r="I286" i="32"/>
  <c r="H286" i="32"/>
  <c r="F286" i="32"/>
  <c r="N285" i="32"/>
  <c r="S285" i="32" s="1"/>
  <c r="M285" i="32"/>
  <c r="H285" i="32"/>
  <c r="F285" i="32"/>
  <c r="L287" i="32" s="1"/>
  <c r="E285" i="32"/>
  <c r="H284" i="32"/>
  <c r="F284" i="32"/>
  <c r="N283" i="32"/>
  <c r="M283" i="32"/>
  <c r="J283" i="32"/>
  <c r="I283" i="32"/>
  <c r="H283" i="32"/>
  <c r="F283" i="32"/>
  <c r="N282" i="32"/>
  <c r="P284" i="32" s="1"/>
  <c r="M282" i="32"/>
  <c r="H282" i="32"/>
  <c r="F282" i="32"/>
  <c r="L284" i="32" s="1"/>
  <c r="E282" i="32"/>
  <c r="H281" i="32"/>
  <c r="F281" i="32"/>
  <c r="N280" i="32"/>
  <c r="M280" i="32"/>
  <c r="J280" i="32"/>
  <c r="I280" i="32"/>
  <c r="H280" i="32"/>
  <c r="F280" i="32"/>
  <c r="N279" i="32"/>
  <c r="M279" i="32"/>
  <c r="H279" i="32"/>
  <c r="F279" i="32"/>
  <c r="L281" i="32" s="1"/>
  <c r="E279" i="32"/>
  <c r="H278" i="32"/>
  <c r="F278" i="32"/>
  <c r="N277" i="32"/>
  <c r="M277" i="32"/>
  <c r="J277" i="32"/>
  <c r="I277" i="32"/>
  <c r="H277" i="32"/>
  <c r="F277" i="32"/>
  <c r="N276" i="32"/>
  <c r="Q276" i="32" s="1"/>
  <c r="M276" i="32"/>
  <c r="H276" i="32"/>
  <c r="F276" i="32"/>
  <c r="L278" i="32" s="1"/>
  <c r="E276" i="32"/>
  <c r="H275" i="32"/>
  <c r="F275" i="32"/>
  <c r="N274" i="32"/>
  <c r="M274" i="32"/>
  <c r="J274" i="32"/>
  <c r="I274" i="32"/>
  <c r="H274" i="32"/>
  <c r="F274" i="32"/>
  <c r="N273" i="32"/>
  <c r="M273" i="32"/>
  <c r="J273" i="32"/>
  <c r="I273" i="32"/>
  <c r="H273" i="32"/>
  <c r="F273" i="32"/>
  <c r="N272" i="32"/>
  <c r="M272" i="32"/>
  <c r="J272" i="32"/>
  <c r="I272" i="32"/>
  <c r="H272" i="32"/>
  <c r="F272" i="32"/>
  <c r="N271" i="32"/>
  <c r="P273" i="32" s="1"/>
  <c r="M271" i="32"/>
  <c r="H271" i="32"/>
  <c r="F271" i="32"/>
  <c r="L275" i="32" s="1"/>
  <c r="M275" i="32" s="1"/>
  <c r="E271" i="32"/>
  <c r="H270" i="32"/>
  <c r="F270" i="32"/>
  <c r="N269" i="32"/>
  <c r="M269" i="32"/>
  <c r="J269" i="32"/>
  <c r="I269" i="32"/>
  <c r="H269" i="32"/>
  <c r="F269" i="32"/>
  <c r="N268" i="32"/>
  <c r="M268" i="32"/>
  <c r="J268" i="32"/>
  <c r="I268" i="32"/>
  <c r="H268" i="32"/>
  <c r="F268" i="32"/>
  <c r="N267" i="32"/>
  <c r="M267" i="32"/>
  <c r="J267" i="32"/>
  <c r="I267" i="32"/>
  <c r="H267" i="32"/>
  <c r="F267" i="32"/>
  <c r="N266" i="32"/>
  <c r="S266" i="32" s="1"/>
  <c r="M266" i="32"/>
  <c r="H266" i="32"/>
  <c r="F266" i="32"/>
  <c r="L270" i="32" s="1"/>
  <c r="E266" i="32"/>
  <c r="H265" i="32"/>
  <c r="F265" i="32"/>
  <c r="N264" i="32"/>
  <c r="M264" i="32"/>
  <c r="J264" i="32"/>
  <c r="I264" i="32"/>
  <c r="H264" i="32"/>
  <c r="F264" i="32"/>
  <c r="N263" i="32"/>
  <c r="M263" i="32"/>
  <c r="J263" i="32"/>
  <c r="I263" i="32"/>
  <c r="H263" i="32"/>
  <c r="F263" i="32"/>
  <c r="N262" i="32"/>
  <c r="M262" i="32"/>
  <c r="J262" i="32"/>
  <c r="I262" i="32"/>
  <c r="H262" i="32"/>
  <c r="F262" i="32"/>
  <c r="N261" i="32"/>
  <c r="P263" i="32" s="1"/>
  <c r="M261" i="32"/>
  <c r="H261" i="32"/>
  <c r="F261" i="32"/>
  <c r="L265" i="32" s="1"/>
  <c r="E261" i="32"/>
  <c r="H260" i="32"/>
  <c r="F260" i="32"/>
  <c r="N259" i="32"/>
  <c r="M259" i="32"/>
  <c r="J259" i="32"/>
  <c r="I259" i="32"/>
  <c r="H259" i="32"/>
  <c r="F259" i="32"/>
  <c r="N258" i="32"/>
  <c r="M258" i="32"/>
  <c r="J258" i="32"/>
  <c r="I258" i="32"/>
  <c r="H258" i="32"/>
  <c r="F258" i="32"/>
  <c r="N257" i="32"/>
  <c r="M257" i="32"/>
  <c r="J257" i="32"/>
  <c r="I257" i="32"/>
  <c r="H257" i="32"/>
  <c r="F257" i="32"/>
  <c r="N256" i="32"/>
  <c r="P260" i="32" s="1"/>
  <c r="M256" i="32"/>
  <c r="H256" i="32"/>
  <c r="F256" i="32"/>
  <c r="L260" i="32" s="1"/>
  <c r="E256" i="32"/>
  <c r="N255" i="32"/>
  <c r="S255" i="32" s="1"/>
  <c r="M255" i="32"/>
  <c r="H255" i="32"/>
  <c r="F255" i="32"/>
  <c r="N254" i="32"/>
  <c r="R254" i="32" s="1"/>
  <c r="M254" i="32"/>
  <c r="H254" i="32"/>
  <c r="F254" i="32"/>
  <c r="N253" i="32"/>
  <c r="Q253" i="32" s="1"/>
  <c r="M253" i="32"/>
  <c r="H253" i="32"/>
  <c r="F253" i="32"/>
  <c r="N252" i="32"/>
  <c r="S252" i="32" s="1"/>
  <c r="M252" i="32"/>
  <c r="H252" i="32"/>
  <c r="F252" i="32"/>
  <c r="N251" i="32"/>
  <c r="M251" i="32"/>
  <c r="H251" i="32"/>
  <c r="F251" i="32"/>
  <c r="N250" i="32"/>
  <c r="S250" i="32" s="1"/>
  <c r="M250" i="32"/>
  <c r="H250" i="32"/>
  <c r="F250" i="32"/>
  <c r="N249" i="32"/>
  <c r="M249" i="32"/>
  <c r="H249" i="32"/>
  <c r="F249" i="32"/>
  <c r="N248" i="32"/>
  <c r="Q248" i="32" s="1"/>
  <c r="M248" i="32"/>
  <c r="H248" i="32"/>
  <c r="N247" i="32"/>
  <c r="S247" i="32" s="1"/>
  <c r="M247" i="32"/>
  <c r="H247" i="32"/>
  <c r="N246" i="32"/>
  <c r="M246" i="32"/>
  <c r="H246" i="32"/>
  <c r="N245" i="32"/>
  <c r="M245" i="32"/>
  <c r="H245" i="32"/>
  <c r="N244" i="32"/>
  <c r="S244" i="32" s="1"/>
  <c r="M244" i="32"/>
  <c r="H244" i="32"/>
  <c r="N243" i="32"/>
  <c r="M243" i="32"/>
  <c r="H243" i="32"/>
  <c r="N242" i="32"/>
  <c r="S242" i="32" s="1"/>
  <c r="M242" i="32"/>
  <c r="H242" i="32"/>
  <c r="F242" i="32"/>
  <c r="N241" i="32"/>
  <c r="M241" i="32"/>
  <c r="H241" i="32"/>
  <c r="G241" i="32"/>
  <c r="F241" i="32"/>
  <c r="E241" i="32"/>
  <c r="N240" i="32"/>
  <c r="Q240" i="32" s="1"/>
  <c r="M240" i="32"/>
  <c r="H240" i="32"/>
  <c r="G240" i="32"/>
  <c r="F240" i="32"/>
  <c r="E240" i="32"/>
  <c r="N239" i="32"/>
  <c r="S239" i="32" s="1"/>
  <c r="M239" i="32"/>
  <c r="H239" i="32"/>
  <c r="F239" i="32"/>
  <c r="N238" i="32"/>
  <c r="S238" i="32" s="1"/>
  <c r="M238" i="32"/>
  <c r="H238" i="32"/>
  <c r="F238" i="32"/>
  <c r="H237" i="32"/>
  <c r="F237" i="32"/>
  <c r="H236" i="32"/>
  <c r="G236" i="32"/>
  <c r="F236" i="32"/>
  <c r="E236" i="32"/>
  <c r="H235" i="32"/>
  <c r="F235" i="32"/>
  <c r="H234" i="32"/>
  <c r="G234" i="32"/>
  <c r="F234" i="32"/>
  <c r="E234" i="32"/>
  <c r="H233" i="32"/>
  <c r="F233" i="32"/>
  <c r="N232" i="32"/>
  <c r="S232" i="32" s="1"/>
  <c r="M232" i="32"/>
  <c r="H232" i="32"/>
  <c r="G232" i="32"/>
  <c r="F232" i="32"/>
  <c r="L233" i="32" s="1"/>
  <c r="E232" i="32"/>
  <c r="H231" i="32"/>
  <c r="F231" i="32"/>
  <c r="H230" i="32"/>
  <c r="G230" i="32"/>
  <c r="F230" i="32"/>
  <c r="E230" i="32"/>
  <c r="H229" i="32"/>
  <c r="G229" i="32"/>
  <c r="F229" i="32"/>
  <c r="E229" i="32"/>
  <c r="D229" i="32"/>
  <c r="C229" i="32"/>
  <c r="B229" i="32"/>
  <c r="N228" i="32"/>
  <c r="J228" i="32"/>
  <c r="I228" i="32"/>
  <c r="H228" i="32"/>
  <c r="E228" i="32"/>
  <c r="N227" i="32"/>
  <c r="S227" i="32" s="1"/>
  <c r="M227" i="32"/>
  <c r="K227" i="32"/>
  <c r="H227" i="32"/>
  <c r="G227" i="32"/>
  <c r="F227" i="32"/>
  <c r="E227" i="32"/>
  <c r="D227" i="32"/>
  <c r="C227" i="32"/>
  <c r="B227" i="32"/>
  <c r="N226" i="32"/>
  <c r="R226" i="32" s="1"/>
  <c r="M226" i="32"/>
  <c r="K226" i="32"/>
  <c r="H226" i="32"/>
  <c r="G226" i="32"/>
  <c r="F226" i="32"/>
  <c r="E226" i="32"/>
  <c r="D226" i="32"/>
  <c r="C226" i="32"/>
  <c r="B226" i="32"/>
  <c r="N225" i="32"/>
  <c r="M225" i="32"/>
  <c r="K225" i="32"/>
  <c r="H225" i="32"/>
  <c r="G225" i="32"/>
  <c r="F225" i="32"/>
  <c r="E225" i="32"/>
  <c r="D225" i="32"/>
  <c r="C225" i="32"/>
  <c r="B225" i="32"/>
  <c r="N224" i="32"/>
  <c r="M224" i="32"/>
  <c r="K224" i="32"/>
  <c r="H224" i="32"/>
  <c r="G224" i="32"/>
  <c r="F224" i="32"/>
  <c r="E224" i="32"/>
  <c r="D224" i="32"/>
  <c r="C224" i="32"/>
  <c r="B224" i="32"/>
  <c r="N223" i="32"/>
  <c r="M223" i="32"/>
  <c r="K223" i="32"/>
  <c r="H223" i="32"/>
  <c r="G223" i="32"/>
  <c r="F223" i="32"/>
  <c r="E223" i="32"/>
  <c r="D223" i="32"/>
  <c r="C223" i="32"/>
  <c r="B223" i="32"/>
  <c r="N222" i="32"/>
  <c r="Q222" i="32" s="1"/>
  <c r="M222" i="32"/>
  <c r="K222" i="32"/>
  <c r="H222" i="32"/>
  <c r="G222" i="32"/>
  <c r="F222" i="32"/>
  <c r="E222" i="32"/>
  <c r="D222" i="32"/>
  <c r="C222" i="32"/>
  <c r="B222" i="32"/>
  <c r="N221" i="32"/>
  <c r="S221" i="32" s="1"/>
  <c r="M221" i="32"/>
  <c r="K221" i="32"/>
  <c r="H221" i="32"/>
  <c r="G221" i="32"/>
  <c r="F221" i="32"/>
  <c r="E221" i="32"/>
  <c r="D221" i="32"/>
  <c r="C221" i="32"/>
  <c r="B221" i="32"/>
  <c r="N220" i="32"/>
  <c r="R220" i="32" s="1"/>
  <c r="M220" i="32"/>
  <c r="K220" i="32"/>
  <c r="H220" i="32"/>
  <c r="G220" i="32"/>
  <c r="F220" i="32"/>
  <c r="E220" i="32"/>
  <c r="D220" i="32"/>
  <c r="C220" i="32"/>
  <c r="B220" i="32"/>
  <c r="N219" i="32"/>
  <c r="M219" i="32"/>
  <c r="K219" i="32"/>
  <c r="H219" i="32"/>
  <c r="G219" i="32"/>
  <c r="F219" i="32"/>
  <c r="E219" i="32"/>
  <c r="D219" i="32"/>
  <c r="C219" i="32"/>
  <c r="B219" i="32"/>
  <c r="N218" i="32"/>
  <c r="R218" i="32" s="1"/>
  <c r="M218" i="32"/>
  <c r="K218" i="32"/>
  <c r="H218" i="32"/>
  <c r="G218" i="32"/>
  <c r="F218" i="32"/>
  <c r="E218" i="32"/>
  <c r="D218" i="32"/>
  <c r="C218" i="32"/>
  <c r="B218" i="32"/>
  <c r="N217" i="32"/>
  <c r="S217" i="32" s="1"/>
  <c r="M217" i="32"/>
  <c r="K217" i="32"/>
  <c r="H217" i="32"/>
  <c r="G217" i="32"/>
  <c r="F217" i="32"/>
  <c r="E217" i="32"/>
  <c r="D217" i="32"/>
  <c r="C217" i="32"/>
  <c r="B217" i="32"/>
  <c r="N216" i="32"/>
  <c r="M216" i="32"/>
  <c r="K216" i="32"/>
  <c r="H216" i="32"/>
  <c r="G216" i="32"/>
  <c r="F216" i="32"/>
  <c r="E216" i="32"/>
  <c r="D216" i="32"/>
  <c r="C216" i="32"/>
  <c r="B216" i="32"/>
  <c r="N215" i="32"/>
  <c r="M215" i="32"/>
  <c r="K215" i="32"/>
  <c r="H215" i="32"/>
  <c r="G215" i="32"/>
  <c r="F215" i="32"/>
  <c r="E215" i="32"/>
  <c r="D215" i="32"/>
  <c r="C215" i="32"/>
  <c r="B215" i="32"/>
  <c r="N214" i="32"/>
  <c r="Q214" i="32" s="1"/>
  <c r="M214" i="32"/>
  <c r="K214" i="32"/>
  <c r="H214" i="32"/>
  <c r="G214" i="32"/>
  <c r="F214" i="32"/>
  <c r="E214" i="32"/>
  <c r="D214" i="32"/>
  <c r="C214" i="32"/>
  <c r="B214" i="32"/>
  <c r="N213" i="32"/>
  <c r="S213" i="32" s="1"/>
  <c r="M213" i="32"/>
  <c r="K213" i="32"/>
  <c r="H213" i="32"/>
  <c r="G213" i="32"/>
  <c r="F213" i="32"/>
  <c r="E213" i="32"/>
  <c r="D213" i="32"/>
  <c r="C213" i="32"/>
  <c r="B213" i="32"/>
  <c r="N212" i="32"/>
  <c r="R212" i="32" s="1"/>
  <c r="M212" i="32"/>
  <c r="K212" i="32"/>
  <c r="H212" i="32"/>
  <c r="G212" i="32"/>
  <c r="F212" i="32"/>
  <c r="E212" i="32"/>
  <c r="D212" i="32"/>
  <c r="C212" i="32"/>
  <c r="B212" i="32"/>
  <c r="N211" i="32"/>
  <c r="M211" i="32"/>
  <c r="K211" i="32"/>
  <c r="H211" i="32"/>
  <c r="G211" i="32"/>
  <c r="F211" i="32"/>
  <c r="E211" i="32"/>
  <c r="D211" i="32"/>
  <c r="C211" i="32"/>
  <c r="B211" i="32"/>
  <c r="N210" i="32"/>
  <c r="M210" i="32"/>
  <c r="K210" i="32"/>
  <c r="H210" i="32"/>
  <c r="G210" i="32"/>
  <c r="F210" i="32"/>
  <c r="E210" i="32"/>
  <c r="D210" i="32"/>
  <c r="C210" i="32"/>
  <c r="B210" i="32"/>
  <c r="N209" i="32"/>
  <c r="S209" i="32" s="1"/>
  <c r="M209" i="32"/>
  <c r="K209" i="32"/>
  <c r="H209" i="32"/>
  <c r="G209" i="32"/>
  <c r="F209" i="32"/>
  <c r="E209" i="32"/>
  <c r="D209" i="32"/>
  <c r="C209" i="32"/>
  <c r="B209" i="32"/>
  <c r="N208" i="32"/>
  <c r="M208" i="32"/>
  <c r="K208" i="32"/>
  <c r="H208" i="32"/>
  <c r="G208" i="32"/>
  <c r="F208" i="32"/>
  <c r="E208" i="32"/>
  <c r="D208" i="32"/>
  <c r="C208" i="32"/>
  <c r="B208" i="32"/>
  <c r="N207" i="32"/>
  <c r="Q207" i="32" s="1"/>
  <c r="M207" i="32"/>
  <c r="K207" i="32"/>
  <c r="H207" i="32"/>
  <c r="G207" i="32"/>
  <c r="F207" i="32"/>
  <c r="E207" i="32"/>
  <c r="D207" i="32"/>
  <c r="C207" i="32"/>
  <c r="B207" i="32"/>
  <c r="N206" i="32"/>
  <c r="Q206" i="32" s="1"/>
  <c r="M206" i="32"/>
  <c r="K206" i="32"/>
  <c r="H206" i="32"/>
  <c r="G206" i="32"/>
  <c r="F206" i="32"/>
  <c r="E206" i="32"/>
  <c r="D206" i="32"/>
  <c r="C206" i="32"/>
  <c r="B206" i="32"/>
  <c r="N205" i="32"/>
  <c r="S205" i="32" s="1"/>
  <c r="M205" i="32"/>
  <c r="K205" i="32"/>
  <c r="H205" i="32"/>
  <c r="G205" i="32"/>
  <c r="F205" i="32"/>
  <c r="E205" i="32"/>
  <c r="D205" i="32"/>
  <c r="C205" i="32"/>
  <c r="B205" i="32"/>
  <c r="N204" i="32"/>
  <c r="R204" i="32" s="1"/>
  <c r="M204" i="32"/>
  <c r="K204" i="32"/>
  <c r="H204" i="32"/>
  <c r="G204" i="32"/>
  <c r="F204" i="32"/>
  <c r="E204" i="32"/>
  <c r="D204" i="32"/>
  <c r="C204" i="32"/>
  <c r="B204" i="32"/>
  <c r="N203" i="32"/>
  <c r="S203" i="32" s="1"/>
  <c r="M203" i="32"/>
  <c r="K203" i="32"/>
  <c r="H203" i="32"/>
  <c r="G203" i="32"/>
  <c r="F203" i="32"/>
  <c r="E203" i="32"/>
  <c r="D203" i="32"/>
  <c r="C203" i="32"/>
  <c r="B203" i="32"/>
  <c r="N202" i="32"/>
  <c r="J202" i="32"/>
  <c r="I202" i="32"/>
  <c r="H202" i="32"/>
  <c r="G202" i="32"/>
  <c r="F202" i="32"/>
  <c r="E202" i="32"/>
  <c r="N201" i="32"/>
  <c r="M201" i="32"/>
  <c r="H201" i="32"/>
  <c r="F201" i="32"/>
  <c r="N200" i="32"/>
  <c r="M200" i="32"/>
  <c r="H200" i="32"/>
  <c r="F200" i="32"/>
  <c r="N199" i="32"/>
  <c r="M199" i="32"/>
  <c r="I199" i="32"/>
  <c r="H199" i="32"/>
  <c r="F199" i="32"/>
  <c r="N198" i="32"/>
  <c r="M198" i="32"/>
  <c r="I198" i="32"/>
  <c r="H198" i="32"/>
  <c r="F198" i="32"/>
  <c r="N197" i="32"/>
  <c r="M197" i="32"/>
  <c r="H197" i="32"/>
  <c r="F197" i="32"/>
  <c r="E197" i="32"/>
  <c r="N196" i="32"/>
  <c r="M196" i="32"/>
  <c r="I196" i="32"/>
  <c r="H196" i="32"/>
  <c r="F196" i="32"/>
  <c r="N195" i="32"/>
  <c r="M195" i="32"/>
  <c r="I195" i="32"/>
  <c r="H195" i="32"/>
  <c r="F195" i="32"/>
  <c r="N194" i="32"/>
  <c r="P196" i="32" s="1"/>
  <c r="M194" i="32"/>
  <c r="H194" i="32"/>
  <c r="F194" i="32"/>
  <c r="E194" i="32"/>
  <c r="N193" i="32"/>
  <c r="M193" i="32"/>
  <c r="I193" i="32"/>
  <c r="H193" i="32"/>
  <c r="F193" i="32"/>
  <c r="N192" i="32"/>
  <c r="M192" i="32"/>
  <c r="I192" i="32"/>
  <c r="H192" i="32"/>
  <c r="F192" i="32"/>
  <c r="E192" i="32"/>
  <c r="N191" i="32"/>
  <c r="M191" i="32"/>
  <c r="I191" i="32"/>
  <c r="H191" i="32"/>
  <c r="F191" i="32"/>
  <c r="N190" i="32"/>
  <c r="Q190" i="32" s="1"/>
  <c r="M190" i="32"/>
  <c r="H190" i="32"/>
  <c r="F190" i="32"/>
  <c r="E190" i="32"/>
  <c r="H189" i="32"/>
  <c r="F189" i="32"/>
  <c r="N188" i="32"/>
  <c r="M188" i="32"/>
  <c r="H188" i="32"/>
  <c r="F188" i="32"/>
  <c r="N187" i="32"/>
  <c r="M187" i="32"/>
  <c r="H187" i="32"/>
  <c r="F187" i="32"/>
  <c r="N186" i="32"/>
  <c r="S186" i="32" s="1"/>
  <c r="M186" i="32"/>
  <c r="H186" i="32"/>
  <c r="F186" i="32"/>
  <c r="D186" i="32"/>
  <c r="C186" i="32"/>
  <c r="B186" i="32"/>
  <c r="N185" i="32"/>
  <c r="S185" i="32" s="1"/>
  <c r="M185" i="32"/>
  <c r="H185" i="32"/>
  <c r="F185" i="32"/>
  <c r="D185" i="32"/>
  <c r="C185" i="32"/>
  <c r="B185" i="32"/>
  <c r="H184" i="32"/>
  <c r="F184" i="32"/>
  <c r="N183" i="32"/>
  <c r="M183" i="32"/>
  <c r="I183" i="32"/>
  <c r="H183" i="32"/>
  <c r="F183" i="32"/>
  <c r="N182" i="32"/>
  <c r="M182" i="32"/>
  <c r="I182" i="32"/>
  <c r="H182" i="32"/>
  <c r="F182" i="32"/>
  <c r="N181" i="32"/>
  <c r="M181" i="32"/>
  <c r="I181" i="32"/>
  <c r="H181" i="32"/>
  <c r="F181" i="32"/>
  <c r="N180" i="32"/>
  <c r="M180" i="32"/>
  <c r="H180" i="32"/>
  <c r="F180" i="32"/>
  <c r="E180" i="32"/>
  <c r="N179" i="32"/>
  <c r="M179" i="32"/>
  <c r="I179" i="32"/>
  <c r="H179" i="32"/>
  <c r="F179" i="32"/>
  <c r="N178" i="32"/>
  <c r="M178" i="32"/>
  <c r="I178" i="32"/>
  <c r="H178" i="32"/>
  <c r="F178" i="32"/>
  <c r="N177" i="32"/>
  <c r="M177" i="32"/>
  <c r="I177" i="32"/>
  <c r="H177" i="32"/>
  <c r="F177" i="32"/>
  <c r="N176" i="32"/>
  <c r="R176" i="32" s="1"/>
  <c r="M176" i="32"/>
  <c r="H176" i="32"/>
  <c r="F176" i="32"/>
  <c r="E176" i="32"/>
  <c r="N175" i="32"/>
  <c r="M175" i="32"/>
  <c r="I175" i="32"/>
  <c r="H175" i="32"/>
  <c r="F175" i="32"/>
  <c r="N174" i="32"/>
  <c r="M174" i="32"/>
  <c r="I174" i="32"/>
  <c r="H174" i="32"/>
  <c r="F174" i="32"/>
  <c r="N173" i="32"/>
  <c r="M173" i="32"/>
  <c r="I173" i="32"/>
  <c r="H173" i="32"/>
  <c r="F173" i="32"/>
  <c r="N172" i="32"/>
  <c r="S172" i="32" s="1"/>
  <c r="M172" i="32"/>
  <c r="H172" i="32"/>
  <c r="F172" i="32"/>
  <c r="E172" i="32"/>
  <c r="N171" i="32"/>
  <c r="M171" i="32"/>
  <c r="I171" i="32"/>
  <c r="H171" i="32"/>
  <c r="F171" i="32"/>
  <c r="N170" i="32"/>
  <c r="M170" i="32"/>
  <c r="I170" i="32"/>
  <c r="H170" i="32"/>
  <c r="F170" i="32"/>
  <c r="N169" i="32"/>
  <c r="M169" i="32"/>
  <c r="I169" i="32"/>
  <c r="H169" i="32"/>
  <c r="F169" i="32"/>
  <c r="N168" i="32"/>
  <c r="P169" i="32" s="1"/>
  <c r="M168" i="32"/>
  <c r="H168" i="32"/>
  <c r="F168" i="32"/>
  <c r="E168" i="32"/>
  <c r="N167" i="32"/>
  <c r="M167" i="32"/>
  <c r="I167" i="32"/>
  <c r="H167" i="32"/>
  <c r="F167" i="32"/>
  <c r="N166" i="32"/>
  <c r="M166" i="32"/>
  <c r="I166" i="32"/>
  <c r="H166" i="32"/>
  <c r="F166" i="32"/>
  <c r="N165" i="32"/>
  <c r="M165" i="32"/>
  <c r="I165" i="32"/>
  <c r="H165" i="32"/>
  <c r="F165" i="32"/>
  <c r="N164" i="32"/>
  <c r="M164" i="32"/>
  <c r="H164" i="32"/>
  <c r="F164" i="32"/>
  <c r="E164" i="32"/>
  <c r="N163" i="32"/>
  <c r="M163" i="32"/>
  <c r="I163" i="32"/>
  <c r="H163" i="32"/>
  <c r="F163" i="32"/>
  <c r="N162" i="32"/>
  <c r="M162" i="32"/>
  <c r="I162" i="32"/>
  <c r="H162" i="32"/>
  <c r="F162" i="32"/>
  <c r="N161" i="32"/>
  <c r="M161" i="32"/>
  <c r="I161" i="32"/>
  <c r="H161" i="32"/>
  <c r="F161" i="32"/>
  <c r="N160" i="32"/>
  <c r="R160" i="32" s="1"/>
  <c r="M160" i="32"/>
  <c r="H160" i="32"/>
  <c r="F160" i="32"/>
  <c r="E160" i="32"/>
  <c r="N159" i="32"/>
  <c r="M159" i="32"/>
  <c r="I159" i="32"/>
  <c r="H159" i="32"/>
  <c r="F159" i="32"/>
  <c r="N158" i="32"/>
  <c r="M158" i="32"/>
  <c r="I158" i="32"/>
  <c r="H158" i="32"/>
  <c r="F158" i="32"/>
  <c r="N157" i="32"/>
  <c r="M157" i="32"/>
  <c r="H157" i="32"/>
  <c r="F157" i="32"/>
  <c r="E157" i="32"/>
  <c r="N156" i="32"/>
  <c r="M156" i="32"/>
  <c r="I156" i="32"/>
  <c r="H156" i="32"/>
  <c r="F156" i="32"/>
  <c r="N155" i="32"/>
  <c r="M155" i="32"/>
  <c r="I155" i="32"/>
  <c r="H155" i="32"/>
  <c r="F155" i="32"/>
  <c r="N154" i="32"/>
  <c r="S154" i="32" s="1"/>
  <c r="M154" i="32"/>
  <c r="H154" i="32"/>
  <c r="F154" i="32"/>
  <c r="E154" i="32"/>
  <c r="N153" i="32"/>
  <c r="M153" i="32"/>
  <c r="I153" i="32"/>
  <c r="H153" i="32"/>
  <c r="F153" i="32"/>
  <c r="N152" i="32"/>
  <c r="M152" i="32"/>
  <c r="I152" i="32"/>
  <c r="H152" i="32"/>
  <c r="F152" i="32"/>
  <c r="N151" i="32"/>
  <c r="S151" i="32" s="1"/>
  <c r="M151" i="32"/>
  <c r="H151" i="32"/>
  <c r="F151" i="32"/>
  <c r="E151" i="32"/>
  <c r="N150" i="32"/>
  <c r="M150" i="32"/>
  <c r="I150" i="32"/>
  <c r="H150" i="32"/>
  <c r="F150" i="32"/>
  <c r="N149" i="32"/>
  <c r="M149" i="32"/>
  <c r="I149" i="32"/>
  <c r="H149" i="32"/>
  <c r="F149" i="32"/>
  <c r="N148" i="32"/>
  <c r="Q148" i="32" s="1"/>
  <c r="M148" i="32"/>
  <c r="H148" i="32"/>
  <c r="F148" i="32"/>
  <c r="E148" i="32"/>
  <c r="N147" i="32"/>
  <c r="M147" i="32"/>
  <c r="I147" i="32"/>
  <c r="H147" i="32"/>
  <c r="F147" i="32"/>
  <c r="N146" i="32"/>
  <c r="M146" i="32"/>
  <c r="I146" i="32"/>
  <c r="H146" i="32"/>
  <c r="F146" i="32"/>
  <c r="N145" i="32"/>
  <c r="Q145" i="32" s="1"/>
  <c r="M145" i="32"/>
  <c r="H145" i="32"/>
  <c r="F145" i="32"/>
  <c r="E145" i="32"/>
  <c r="N144" i="32"/>
  <c r="M144" i="32"/>
  <c r="I144" i="32"/>
  <c r="H144" i="32"/>
  <c r="F144" i="32"/>
  <c r="N143" i="32"/>
  <c r="M143" i="32"/>
  <c r="I143" i="32"/>
  <c r="H143" i="32"/>
  <c r="F143" i="32"/>
  <c r="N142" i="32"/>
  <c r="P183" i="32" s="1"/>
  <c r="M142" i="32"/>
  <c r="H142" i="32"/>
  <c r="F142" i="32"/>
  <c r="E142" i="32"/>
  <c r="N141" i="32"/>
  <c r="M141" i="32"/>
  <c r="H141" i="32"/>
  <c r="F141" i="32"/>
  <c r="E141" i="32"/>
  <c r="N140" i="32"/>
  <c r="S140" i="32" s="1"/>
  <c r="M140" i="32"/>
  <c r="H140" i="32"/>
  <c r="F140" i="32"/>
  <c r="E140" i="32"/>
  <c r="N139" i="32"/>
  <c r="S139" i="32" s="1"/>
  <c r="M139" i="32"/>
  <c r="H139" i="32"/>
  <c r="F139" i="32"/>
  <c r="E139" i="32"/>
  <c r="N138" i="32"/>
  <c r="Q138" i="32" s="1"/>
  <c r="M138" i="32"/>
  <c r="H138" i="32"/>
  <c r="G138" i="32"/>
  <c r="F138" i="32"/>
  <c r="E138" i="32"/>
  <c r="N137" i="32"/>
  <c r="S137" i="32" s="1"/>
  <c r="M137" i="32"/>
  <c r="H137" i="32"/>
  <c r="G137" i="32"/>
  <c r="F137" i="32"/>
  <c r="E137" i="32"/>
  <c r="N136" i="32"/>
  <c r="M136" i="32"/>
  <c r="H136" i="32"/>
  <c r="G136" i="32"/>
  <c r="F136" i="32"/>
  <c r="E136" i="32"/>
  <c r="H135" i="32"/>
  <c r="G135" i="32"/>
  <c r="F135" i="32"/>
  <c r="E135" i="32"/>
  <c r="N134" i="32"/>
  <c r="M134" i="32"/>
  <c r="H134" i="32"/>
  <c r="F134" i="32"/>
  <c r="N133" i="32"/>
  <c r="Q133" i="32" s="1"/>
  <c r="M133" i="32"/>
  <c r="H133" i="32"/>
  <c r="F133" i="32"/>
  <c r="N132" i="32"/>
  <c r="S132" i="32" s="1"/>
  <c r="M132" i="32"/>
  <c r="H132" i="32"/>
  <c r="G132" i="32"/>
  <c r="F132" i="32"/>
  <c r="E132" i="32"/>
  <c r="N131" i="32"/>
  <c r="S131" i="32" s="1"/>
  <c r="M131" i="32"/>
  <c r="H131" i="32"/>
  <c r="F131" i="32"/>
  <c r="N130" i="32"/>
  <c r="R130" i="32" s="1"/>
  <c r="M130" i="32"/>
  <c r="H130" i="32"/>
  <c r="N129" i="32"/>
  <c r="S129" i="32" s="1"/>
  <c r="M129" i="32"/>
  <c r="H129" i="32"/>
  <c r="F129" i="32"/>
  <c r="N128" i="32"/>
  <c r="R128" i="32" s="1"/>
  <c r="M128" i="32"/>
  <c r="H128" i="32"/>
  <c r="F128" i="32"/>
  <c r="N127" i="32"/>
  <c r="M127" i="32"/>
  <c r="I127" i="32"/>
  <c r="H127" i="32"/>
  <c r="F127" i="32"/>
  <c r="N126" i="32"/>
  <c r="M126" i="32"/>
  <c r="I126" i="32"/>
  <c r="H126" i="32"/>
  <c r="F126" i="32"/>
  <c r="N125" i="32"/>
  <c r="M125" i="32"/>
  <c r="I125" i="32"/>
  <c r="H125" i="32"/>
  <c r="F125" i="32"/>
  <c r="N124" i="32"/>
  <c r="M124" i="32"/>
  <c r="H124" i="32"/>
  <c r="F124" i="32"/>
  <c r="E124" i="32"/>
  <c r="N123" i="32"/>
  <c r="S123" i="32" s="1"/>
  <c r="M123" i="32"/>
  <c r="H123" i="32"/>
  <c r="F123" i="32"/>
  <c r="N122" i="32"/>
  <c r="S122" i="32" s="1"/>
  <c r="M122" i="32"/>
  <c r="H122" i="32"/>
  <c r="F122" i="32"/>
  <c r="N121" i="32"/>
  <c r="M121" i="32"/>
  <c r="H121" i="32"/>
  <c r="F121" i="32"/>
  <c r="E121" i="32"/>
  <c r="N120" i="32"/>
  <c r="S120" i="32" s="1"/>
  <c r="M120" i="32"/>
  <c r="H120" i="32"/>
  <c r="F120" i="32"/>
  <c r="E120" i="32"/>
  <c r="N119" i="32"/>
  <c r="R119" i="32" s="1"/>
  <c r="M119" i="32"/>
  <c r="H119" i="32"/>
  <c r="E119" i="32"/>
  <c r="N118" i="32"/>
  <c r="M118" i="32"/>
  <c r="H118" i="32"/>
  <c r="E118" i="32"/>
  <c r="N117" i="32"/>
  <c r="J117" i="32"/>
  <c r="I117" i="32"/>
  <c r="H117" i="32"/>
  <c r="E117" i="32"/>
  <c r="N116" i="32"/>
  <c r="M116" i="32"/>
  <c r="K116" i="32"/>
  <c r="H116" i="32"/>
  <c r="G116" i="32"/>
  <c r="F116" i="32"/>
  <c r="E116" i="32"/>
  <c r="D116" i="32"/>
  <c r="C116" i="32"/>
  <c r="B116" i="32"/>
  <c r="N115" i="32"/>
  <c r="Q115" i="32" s="1"/>
  <c r="M115" i="32"/>
  <c r="K115" i="32"/>
  <c r="H115" i="32"/>
  <c r="G115" i="32"/>
  <c r="F115" i="32"/>
  <c r="E115" i="32"/>
  <c r="D115" i="32"/>
  <c r="C115" i="32"/>
  <c r="B115" i="32"/>
  <c r="N114" i="32"/>
  <c r="R114" i="32" s="1"/>
  <c r="M114" i="32"/>
  <c r="K114" i="32"/>
  <c r="H114" i="32"/>
  <c r="G114" i="32"/>
  <c r="F114" i="32"/>
  <c r="E114" i="32"/>
  <c r="D114" i="32"/>
  <c r="C114" i="32"/>
  <c r="B114" i="32"/>
  <c r="N113" i="32"/>
  <c r="M113" i="32"/>
  <c r="K113" i="32"/>
  <c r="H113" i="32"/>
  <c r="G113" i="32"/>
  <c r="F113" i="32"/>
  <c r="E113" i="32"/>
  <c r="D113" i="32"/>
  <c r="C113" i="32"/>
  <c r="B113" i="32"/>
  <c r="N112" i="32"/>
  <c r="R112" i="32" s="1"/>
  <c r="M112" i="32"/>
  <c r="K112" i="32"/>
  <c r="H112" i="32"/>
  <c r="G112" i="32"/>
  <c r="F112" i="32"/>
  <c r="E112" i="32"/>
  <c r="D112" i="32"/>
  <c r="C112" i="32"/>
  <c r="B112" i="32"/>
  <c r="N111" i="32"/>
  <c r="S111" i="32" s="1"/>
  <c r="M111" i="32"/>
  <c r="K111" i="32"/>
  <c r="H111" i="32"/>
  <c r="G111" i="32"/>
  <c r="F111" i="32"/>
  <c r="E111" i="32"/>
  <c r="D111" i="32"/>
  <c r="C111" i="32"/>
  <c r="B111" i="32"/>
  <c r="N110" i="32"/>
  <c r="S110" i="32" s="1"/>
  <c r="M110" i="32"/>
  <c r="K110" i="32"/>
  <c r="H110" i="32"/>
  <c r="G110" i="32"/>
  <c r="F110" i="32"/>
  <c r="E110" i="32"/>
  <c r="D110" i="32"/>
  <c r="C110" i="32"/>
  <c r="B110" i="32"/>
  <c r="N109" i="32"/>
  <c r="S109" i="32" s="1"/>
  <c r="M109" i="32"/>
  <c r="K109" i="32"/>
  <c r="H109" i="32"/>
  <c r="G109" i="32"/>
  <c r="F109" i="32"/>
  <c r="E109" i="32"/>
  <c r="D109" i="32"/>
  <c r="C109" i="32"/>
  <c r="B109" i="32"/>
  <c r="N108" i="32"/>
  <c r="S108" i="32" s="1"/>
  <c r="M108" i="32"/>
  <c r="K108" i="32"/>
  <c r="H108" i="32"/>
  <c r="G108" i="32"/>
  <c r="F108" i="32"/>
  <c r="E108" i="32"/>
  <c r="D108" i="32"/>
  <c r="C108" i="32"/>
  <c r="B108" i="32"/>
  <c r="N107" i="32"/>
  <c r="M107" i="32"/>
  <c r="K107" i="32"/>
  <c r="H107" i="32"/>
  <c r="G107" i="32"/>
  <c r="F107" i="32"/>
  <c r="E107" i="32"/>
  <c r="D107" i="32"/>
  <c r="C107" i="32"/>
  <c r="B107" i="32"/>
  <c r="N106" i="32"/>
  <c r="R106" i="32" s="1"/>
  <c r="M106" i="32"/>
  <c r="K106" i="32"/>
  <c r="H106" i="32"/>
  <c r="G106" i="32"/>
  <c r="F106" i="32"/>
  <c r="E106" i="32"/>
  <c r="D106" i="32"/>
  <c r="C106" i="32"/>
  <c r="B106" i="32"/>
  <c r="N105" i="32"/>
  <c r="S105" i="32" s="1"/>
  <c r="M105" i="32"/>
  <c r="K105" i="32"/>
  <c r="H105" i="32"/>
  <c r="G105" i="32"/>
  <c r="F105" i="32"/>
  <c r="E105" i="32"/>
  <c r="D105" i="32"/>
  <c r="C105" i="32"/>
  <c r="B105" i="32"/>
  <c r="N104" i="32"/>
  <c r="M104" i="32"/>
  <c r="K104" i="32"/>
  <c r="H104" i="32"/>
  <c r="G104" i="32"/>
  <c r="F104" i="32"/>
  <c r="E104" i="32"/>
  <c r="D104" i="32"/>
  <c r="C104" i="32"/>
  <c r="B104" i="32"/>
  <c r="N103" i="32"/>
  <c r="S103" i="32" s="1"/>
  <c r="M103" i="32"/>
  <c r="K103" i="32"/>
  <c r="H103" i="32"/>
  <c r="G103" i="32"/>
  <c r="F103" i="32"/>
  <c r="E103" i="32"/>
  <c r="D103" i="32"/>
  <c r="C103" i="32"/>
  <c r="B103" i="32"/>
  <c r="N102" i="32"/>
  <c r="S102" i="32" s="1"/>
  <c r="M102" i="32"/>
  <c r="K102" i="32"/>
  <c r="H102" i="32"/>
  <c r="G102" i="32"/>
  <c r="F102" i="32"/>
  <c r="E102" i="32"/>
  <c r="D102" i="32"/>
  <c r="C102" i="32"/>
  <c r="B102" i="32"/>
  <c r="N101" i="32"/>
  <c r="M101" i="32"/>
  <c r="K101" i="32"/>
  <c r="H101" i="32"/>
  <c r="G101" i="32"/>
  <c r="F101" i="32"/>
  <c r="E101" i="32"/>
  <c r="D101" i="32"/>
  <c r="C101" i="32"/>
  <c r="B101" i="32"/>
  <c r="N100" i="32"/>
  <c r="R100" i="32" s="1"/>
  <c r="M100" i="32"/>
  <c r="K100" i="32"/>
  <c r="H100" i="32"/>
  <c r="G100" i="32"/>
  <c r="F100" i="32"/>
  <c r="E100" i="32"/>
  <c r="D100" i="32"/>
  <c r="C100" i="32"/>
  <c r="B100" i="32"/>
  <c r="N99" i="32"/>
  <c r="Q99" i="32" s="1"/>
  <c r="M99" i="32"/>
  <c r="K99" i="32"/>
  <c r="H99" i="32"/>
  <c r="G99" i="32"/>
  <c r="F99" i="32"/>
  <c r="E99" i="32"/>
  <c r="D99" i="32"/>
  <c r="C99" i="32"/>
  <c r="B99" i="32"/>
  <c r="N98" i="32"/>
  <c r="Q98" i="32" s="1"/>
  <c r="M98" i="32"/>
  <c r="K98" i="32"/>
  <c r="H98" i="32"/>
  <c r="G98" i="32"/>
  <c r="F98" i="32"/>
  <c r="E98" i="32"/>
  <c r="D98" i="32"/>
  <c r="C98" i="32"/>
  <c r="B98" i="32"/>
  <c r="N97" i="32"/>
  <c r="S97" i="32" s="1"/>
  <c r="M97" i="32"/>
  <c r="K97" i="32"/>
  <c r="H97" i="32"/>
  <c r="G97" i="32"/>
  <c r="F97" i="32"/>
  <c r="E97" i="32"/>
  <c r="D97" i="32"/>
  <c r="C97" i="32"/>
  <c r="B97" i="32"/>
  <c r="N96" i="32"/>
  <c r="R96" i="32" s="1"/>
  <c r="M96" i="32"/>
  <c r="K96" i="32"/>
  <c r="H96" i="32"/>
  <c r="G96" i="32"/>
  <c r="F96" i="32"/>
  <c r="E96" i="32"/>
  <c r="D96" i="32"/>
  <c r="C96" i="32"/>
  <c r="B96" i="32"/>
  <c r="N95" i="32"/>
  <c r="S95" i="32" s="1"/>
  <c r="M95" i="32"/>
  <c r="K95" i="32"/>
  <c r="H95" i="32"/>
  <c r="G95" i="32"/>
  <c r="F95" i="32"/>
  <c r="E95" i="32"/>
  <c r="D95" i="32"/>
  <c r="C95" i="32"/>
  <c r="B95" i="32"/>
  <c r="N94" i="32"/>
  <c r="M94" i="32"/>
  <c r="K94" i="32"/>
  <c r="H94" i="32"/>
  <c r="G94" i="32"/>
  <c r="F94" i="32"/>
  <c r="E94" i="32"/>
  <c r="D94" i="32"/>
  <c r="C94" i="32"/>
  <c r="B94" i="32"/>
  <c r="N93" i="32"/>
  <c r="S93" i="32" s="1"/>
  <c r="M93" i="32"/>
  <c r="K93" i="32"/>
  <c r="H93" i="32"/>
  <c r="G93" i="32"/>
  <c r="F93" i="32"/>
  <c r="E93" i="32"/>
  <c r="D93" i="32"/>
  <c r="C93" i="32"/>
  <c r="B93" i="32"/>
  <c r="N92" i="32"/>
  <c r="Q92" i="32" s="1"/>
  <c r="M92" i="32"/>
  <c r="K92" i="32"/>
  <c r="H92" i="32"/>
  <c r="G92" i="32"/>
  <c r="F92" i="32"/>
  <c r="E92" i="32"/>
  <c r="D92" i="32"/>
  <c r="C92" i="32"/>
  <c r="B92" i="32"/>
  <c r="N91" i="32"/>
  <c r="M91" i="32"/>
  <c r="J91" i="32"/>
  <c r="I91" i="32"/>
  <c r="H91" i="32"/>
  <c r="G91" i="32"/>
  <c r="F91" i="32"/>
  <c r="E91" i="32"/>
  <c r="N90" i="32"/>
  <c r="S90" i="32" s="1"/>
  <c r="M90" i="32"/>
  <c r="H90" i="32"/>
  <c r="F90" i="32"/>
  <c r="E90" i="32"/>
  <c r="H89" i="32"/>
  <c r="F89" i="32"/>
  <c r="E89" i="32"/>
  <c r="N88" i="32"/>
  <c r="Q88" i="32" s="1"/>
  <c r="M88" i="32"/>
  <c r="H88" i="32"/>
  <c r="G88" i="32"/>
  <c r="F88" i="32"/>
  <c r="E88" i="32"/>
  <c r="N87" i="32"/>
  <c r="S87" i="32" s="1"/>
  <c r="M87" i="32"/>
  <c r="H87" i="32"/>
  <c r="F87" i="32"/>
  <c r="E87" i="32"/>
  <c r="N86" i="32"/>
  <c r="S86" i="32" s="1"/>
  <c r="M86" i="32"/>
  <c r="H86" i="32"/>
  <c r="F86" i="32"/>
  <c r="E86" i="32"/>
  <c r="N85" i="32"/>
  <c r="R85" i="32" s="1"/>
  <c r="M85" i="32"/>
  <c r="H85" i="32"/>
  <c r="F85" i="32"/>
  <c r="E85" i="32"/>
  <c r="N84" i="32"/>
  <c r="S84" i="32" s="1"/>
  <c r="M84" i="32"/>
  <c r="H84" i="32"/>
  <c r="G84" i="32"/>
  <c r="F84" i="32"/>
  <c r="E84" i="32"/>
  <c r="N83" i="32"/>
  <c r="Q83" i="32" s="1"/>
  <c r="M83" i="32"/>
  <c r="H83" i="32"/>
  <c r="G83" i="32"/>
  <c r="F83" i="32"/>
  <c r="E83" i="32"/>
  <c r="N82" i="32"/>
  <c r="S82" i="32" s="1"/>
  <c r="M82" i="32"/>
  <c r="H82" i="32"/>
  <c r="G82" i="32"/>
  <c r="F82" i="32"/>
  <c r="E82" i="32"/>
  <c r="N81" i="32"/>
  <c r="S81" i="32" s="1"/>
  <c r="M81" i="32"/>
  <c r="H81" i="32"/>
  <c r="G81" i="32"/>
  <c r="F81" i="32"/>
  <c r="E81" i="32"/>
  <c r="D81" i="32"/>
  <c r="C81" i="32"/>
  <c r="B81" i="32"/>
  <c r="N80" i="32"/>
  <c r="R80" i="32" s="1"/>
  <c r="M80" i="32"/>
  <c r="H80" i="32"/>
  <c r="G80" i="32"/>
  <c r="F80" i="32"/>
  <c r="E80" i="32"/>
  <c r="N79" i="32"/>
  <c r="Q79" i="32" s="1"/>
  <c r="M79" i="32"/>
  <c r="H79" i="32"/>
  <c r="G79" i="32"/>
  <c r="F79" i="32"/>
  <c r="E79" i="32"/>
  <c r="N78" i="32"/>
  <c r="S78" i="32" s="1"/>
  <c r="M78" i="32"/>
  <c r="H78" i="32"/>
  <c r="G78" i="32"/>
  <c r="F78" i="32"/>
  <c r="E78" i="32"/>
  <c r="N77" i="32"/>
  <c r="S77" i="32" s="1"/>
  <c r="M77" i="32"/>
  <c r="H77" i="32"/>
  <c r="F77" i="32"/>
  <c r="E77" i="32"/>
  <c r="N76" i="32"/>
  <c r="M76" i="32"/>
  <c r="H76" i="32"/>
  <c r="G76" i="32"/>
  <c r="F76" i="32"/>
  <c r="E76" i="32"/>
  <c r="N75" i="32"/>
  <c r="S75" i="32" s="1"/>
  <c r="M75" i="32"/>
  <c r="H75" i="32"/>
  <c r="G75" i="32"/>
  <c r="F75" i="32"/>
  <c r="E75" i="32"/>
  <c r="N74" i="32"/>
  <c r="S74" i="32" s="1"/>
  <c r="M74" i="32"/>
  <c r="H74" i="32"/>
  <c r="G74" i="32"/>
  <c r="F74" i="32"/>
  <c r="E74" i="32"/>
  <c r="N73" i="32"/>
  <c r="S73" i="32" s="1"/>
  <c r="M73" i="32"/>
  <c r="H73" i="32"/>
  <c r="G73" i="32"/>
  <c r="F73" i="32"/>
  <c r="E73" i="32"/>
  <c r="N72" i="32"/>
  <c r="M72" i="32"/>
  <c r="H72" i="32"/>
  <c r="G72" i="32"/>
  <c r="F72" i="32"/>
  <c r="E72" i="32"/>
  <c r="N71" i="32"/>
  <c r="Q71" i="32" s="1"/>
  <c r="M71" i="32"/>
  <c r="H71" i="32"/>
  <c r="G71" i="32"/>
  <c r="F71" i="32"/>
  <c r="E71" i="32"/>
  <c r="N70" i="32"/>
  <c r="S70" i="32" s="1"/>
  <c r="M70" i="32"/>
  <c r="H70" i="32"/>
  <c r="F70" i="32"/>
  <c r="N69" i="32"/>
  <c r="M69" i="32"/>
  <c r="J69" i="32"/>
  <c r="I69" i="32"/>
  <c r="H69" i="32"/>
  <c r="G69" i="32"/>
  <c r="F69" i="32"/>
  <c r="N68" i="32"/>
  <c r="Q68" i="32" s="1"/>
  <c r="M68" i="32"/>
  <c r="K68" i="32"/>
  <c r="H68" i="32"/>
  <c r="G68" i="32"/>
  <c r="F68" i="32"/>
  <c r="E68" i="32"/>
  <c r="D68" i="32"/>
  <c r="C68" i="32"/>
  <c r="B68" i="32"/>
  <c r="N67" i="32"/>
  <c r="M67" i="32"/>
  <c r="K67" i="32"/>
  <c r="H67" i="32"/>
  <c r="G67" i="32"/>
  <c r="F67" i="32"/>
  <c r="E67" i="32"/>
  <c r="D67" i="32"/>
  <c r="C67" i="32"/>
  <c r="B67" i="32"/>
  <c r="N66" i="32"/>
  <c r="S66" i="32" s="1"/>
  <c r="M66" i="32"/>
  <c r="K66" i="32"/>
  <c r="H66" i="32"/>
  <c r="G66" i="32"/>
  <c r="F66" i="32"/>
  <c r="E66" i="32"/>
  <c r="D66" i="32"/>
  <c r="C66" i="32"/>
  <c r="B66" i="32"/>
  <c r="N65" i="32"/>
  <c r="R65" i="32" s="1"/>
  <c r="M65" i="32"/>
  <c r="K65" i="32"/>
  <c r="H65" i="32"/>
  <c r="G65" i="32"/>
  <c r="F65" i="32"/>
  <c r="E65" i="32"/>
  <c r="D65" i="32"/>
  <c r="C65" i="32"/>
  <c r="B65" i="32"/>
  <c r="N64" i="32"/>
  <c r="S64" i="32" s="1"/>
  <c r="M64" i="32"/>
  <c r="K64" i="32"/>
  <c r="H64" i="32"/>
  <c r="G64" i="32"/>
  <c r="F64" i="32"/>
  <c r="E64" i="32"/>
  <c r="D64" i="32"/>
  <c r="C64" i="32"/>
  <c r="B64" i="32"/>
  <c r="N63" i="32"/>
  <c r="S63" i="32" s="1"/>
  <c r="M63" i="32"/>
  <c r="K63" i="32"/>
  <c r="H63" i="32"/>
  <c r="G63" i="32"/>
  <c r="F63" i="32"/>
  <c r="E63" i="32"/>
  <c r="D63" i="32"/>
  <c r="C63" i="32"/>
  <c r="B63" i="32"/>
  <c r="N62" i="32"/>
  <c r="M62" i="32"/>
  <c r="K62" i="32"/>
  <c r="H62" i="32"/>
  <c r="G62" i="32"/>
  <c r="F62" i="32"/>
  <c r="E62" i="32"/>
  <c r="D62" i="32"/>
  <c r="C62" i="32"/>
  <c r="B62" i="32"/>
  <c r="N61" i="32"/>
  <c r="M61" i="32"/>
  <c r="K61" i="32"/>
  <c r="H61" i="32"/>
  <c r="G61" i="32"/>
  <c r="F61" i="32"/>
  <c r="E61" i="32"/>
  <c r="D61" i="32"/>
  <c r="C61" i="32"/>
  <c r="B61" i="32"/>
  <c r="N60" i="32"/>
  <c r="Q60" i="32" s="1"/>
  <c r="M60" i="32"/>
  <c r="K60" i="32"/>
  <c r="H60" i="32"/>
  <c r="G60" i="32"/>
  <c r="F60" i="32"/>
  <c r="E60" i="32"/>
  <c r="D60" i="32"/>
  <c r="C60" i="32"/>
  <c r="B60" i="32"/>
  <c r="N59" i="32"/>
  <c r="S59" i="32" s="1"/>
  <c r="M59" i="32"/>
  <c r="K59" i="32"/>
  <c r="H59" i="32"/>
  <c r="G59" i="32"/>
  <c r="F59" i="32"/>
  <c r="E59" i="32"/>
  <c r="D59" i="32"/>
  <c r="C59" i="32"/>
  <c r="B59" i="32"/>
  <c r="N58" i="32"/>
  <c r="S58" i="32" s="1"/>
  <c r="M58" i="32"/>
  <c r="K58" i="32"/>
  <c r="H58" i="32"/>
  <c r="G58" i="32"/>
  <c r="F58" i="32"/>
  <c r="E58" i="32"/>
  <c r="D58" i="32"/>
  <c r="C58" i="32"/>
  <c r="B58" i="32"/>
  <c r="N57" i="32"/>
  <c r="M57" i="32"/>
  <c r="K57" i="32"/>
  <c r="H57" i="32"/>
  <c r="G57" i="32"/>
  <c r="F57" i="32"/>
  <c r="E57" i="32"/>
  <c r="D57" i="32"/>
  <c r="C57" i="32"/>
  <c r="B57" i="32"/>
  <c r="N56" i="32"/>
  <c r="S56" i="32" s="1"/>
  <c r="M56" i="32"/>
  <c r="K56" i="32"/>
  <c r="H56" i="32"/>
  <c r="G56" i="32"/>
  <c r="F56" i="32"/>
  <c r="E56" i="32"/>
  <c r="D56" i="32"/>
  <c r="C56" i="32"/>
  <c r="B56" i="32"/>
  <c r="N55" i="32"/>
  <c r="S55" i="32" s="1"/>
  <c r="M55" i="32"/>
  <c r="K55" i="32"/>
  <c r="H55" i="32"/>
  <c r="G55" i="32"/>
  <c r="F55" i="32"/>
  <c r="E55" i="32"/>
  <c r="D55" i="32"/>
  <c r="C55" i="32"/>
  <c r="B55" i="32"/>
  <c r="N54" i="32"/>
  <c r="S54" i="32" s="1"/>
  <c r="M54" i="32"/>
  <c r="K54" i="32"/>
  <c r="H54" i="32"/>
  <c r="G54" i="32"/>
  <c r="F54" i="32"/>
  <c r="E54" i="32"/>
  <c r="D54" i="32"/>
  <c r="C54" i="32"/>
  <c r="B54" i="32"/>
  <c r="N53" i="32"/>
  <c r="Q53" i="32" s="1"/>
  <c r="M53" i="32"/>
  <c r="K53" i="32"/>
  <c r="H53" i="32"/>
  <c r="G53" i="32"/>
  <c r="F53" i="32"/>
  <c r="E53" i="32"/>
  <c r="D53" i="32"/>
  <c r="C53" i="32"/>
  <c r="B53" i="32"/>
  <c r="N52" i="32"/>
  <c r="Q52" i="32" s="1"/>
  <c r="M52" i="32"/>
  <c r="K52" i="32"/>
  <c r="H52" i="32"/>
  <c r="G52" i="32"/>
  <c r="F52" i="32"/>
  <c r="E52" i="32"/>
  <c r="D52" i="32"/>
  <c r="C52" i="32"/>
  <c r="B52" i="32"/>
  <c r="N51" i="32"/>
  <c r="M51" i="32"/>
  <c r="K51" i="32"/>
  <c r="H51" i="32"/>
  <c r="G51" i="32"/>
  <c r="F51" i="32"/>
  <c r="E51" i="32"/>
  <c r="D51" i="32"/>
  <c r="C51" i="32"/>
  <c r="B51" i="32"/>
  <c r="N50" i="32"/>
  <c r="S50" i="32" s="1"/>
  <c r="M50" i="32"/>
  <c r="K50" i="32"/>
  <c r="H50" i="32"/>
  <c r="G50" i="32"/>
  <c r="F50" i="32"/>
  <c r="E50" i="32"/>
  <c r="D50" i="32"/>
  <c r="C50" i="32"/>
  <c r="B50" i="32"/>
  <c r="N49" i="32"/>
  <c r="R49" i="32" s="1"/>
  <c r="M49" i="32"/>
  <c r="K49" i="32"/>
  <c r="H49" i="32"/>
  <c r="G49" i="32"/>
  <c r="F49" i="32"/>
  <c r="E49" i="32"/>
  <c r="D49" i="32"/>
  <c r="C49" i="32"/>
  <c r="B49" i="32"/>
  <c r="N48" i="32"/>
  <c r="S48" i="32" s="1"/>
  <c r="M48" i="32"/>
  <c r="K48" i="32"/>
  <c r="H48" i="32"/>
  <c r="G48" i="32"/>
  <c r="F48" i="32"/>
  <c r="E48" i="32"/>
  <c r="D48" i="32"/>
  <c r="C48" i="32"/>
  <c r="B48" i="32"/>
  <c r="N47" i="32"/>
  <c r="M47" i="32"/>
  <c r="K47" i="32"/>
  <c r="H47" i="32"/>
  <c r="G47" i="32"/>
  <c r="F47" i="32"/>
  <c r="E47" i="32"/>
  <c r="D47" i="32"/>
  <c r="C47" i="32"/>
  <c r="B47" i="32"/>
  <c r="N46" i="32"/>
  <c r="S46" i="32" s="1"/>
  <c r="M46" i="32"/>
  <c r="K46" i="32"/>
  <c r="H46" i="32"/>
  <c r="G46" i="32"/>
  <c r="F46" i="32"/>
  <c r="E46" i="32"/>
  <c r="D46" i="32"/>
  <c r="C46" i="32"/>
  <c r="B46" i="32"/>
  <c r="N45" i="32"/>
  <c r="Q45" i="32" s="1"/>
  <c r="M45" i="32"/>
  <c r="K45" i="32"/>
  <c r="H45" i="32"/>
  <c r="G45" i="32"/>
  <c r="F45" i="32"/>
  <c r="E45" i="32"/>
  <c r="D45" i="32"/>
  <c r="C45" i="32"/>
  <c r="B45" i="32"/>
  <c r="N44" i="32"/>
  <c r="Q44" i="32" s="1"/>
  <c r="M44" i="32"/>
  <c r="K44" i="32"/>
  <c r="H44" i="32"/>
  <c r="G44" i="32"/>
  <c r="F44" i="32"/>
  <c r="E44" i="32"/>
  <c r="D44" i="32"/>
  <c r="C44" i="32"/>
  <c r="B44" i="32"/>
  <c r="N43" i="32"/>
  <c r="J43" i="32"/>
  <c r="I43" i="32"/>
  <c r="H43" i="32"/>
  <c r="G43" i="32"/>
  <c r="F43" i="32"/>
  <c r="D43" i="32"/>
  <c r="C43" i="32"/>
  <c r="B43" i="32"/>
  <c r="N42" i="32"/>
  <c r="Q42" i="32" s="1"/>
  <c r="M42" i="32"/>
  <c r="H42" i="32"/>
  <c r="G42" i="32"/>
  <c r="F42" i="32"/>
  <c r="E42" i="32"/>
  <c r="D42" i="32"/>
  <c r="C42" i="32"/>
  <c r="B42" i="32"/>
  <c r="N41" i="32"/>
  <c r="M41" i="32"/>
  <c r="H41" i="32"/>
  <c r="G41" i="32"/>
  <c r="F41" i="32"/>
  <c r="E41" i="32"/>
  <c r="D41" i="32"/>
  <c r="C41" i="32"/>
  <c r="B41" i="32"/>
  <c r="N40" i="32"/>
  <c r="Q40" i="32" s="1"/>
  <c r="M40" i="32"/>
  <c r="H40" i="32"/>
  <c r="G40" i="32"/>
  <c r="F40" i="32"/>
  <c r="E40" i="32"/>
  <c r="D40" i="32"/>
  <c r="C40" i="32"/>
  <c r="B40" i="32"/>
  <c r="N39" i="32"/>
  <c r="M39" i="32"/>
  <c r="H39" i="32"/>
  <c r="G39" i="32"/>
  <c r="F39" i="32"/>
  <c r="E39" i="32"/>
  <c r="D39" i="32"/>
  <c r="C39" i="32"/>
  <c r="B39" i="32"/>
  <c r="N38" i="32"/>
  <c r="Q38" i="32" s="1"/>
  <c r="M38" i="32"/>
  <c r="H38" i="32"/>
  <c r="G38" i="32"/>
  <c r="F38" i="32"/>
  <c r="E38" i="32"/>
  <c r="D38" i="32"/>
  <c r="C38" i="32"/>
  <c r="B38" i="32"/>
  <c r="N37" i="32"/>
  <c r="M37" i="32"/>
  <c r="H37" i="32"/>
  <c r="G37" i="32"/>
  <c r="F37" i="32"/>
  <c r="E37" i="32"/>
  <c r="D37" i="32"/>
  <c r="C37" i="32"/>
  <c r="B37" i="32"/>
  <c r="N36" i="32"/>
  <c r="Q36" i="32" s="1"/>
  <c r="M36" i="32"/>
  <c r="H36" i="32"/>
  <c r="G36" i="32"/>
  <c r="F36" i="32"/>
  <c r="E36" i="32"/>
  <c r="D36" i="32"/>
  <c r="C36" i="32"/>
  <c r="B36" i="32"/>
  <c r="N35" i="32"/>
  <c r="M35" i="32"/>
  <c r="H35" i="32"/>
  <c r="G35" i="32"/>
  <c r="F35" i="32"/>
  <c r="E35" i="32"/>
  <c r="D35" i="32"/>
  <c r="C35" i="32"/>
  <c r="B35" i="32"/>
  <c r="N34" i="32"/>
  <c r="Q34" i="32" s="1"/>
  <c r="M34" i="32"/>
  <c r="H34" i="32"/>
  <c r="G34" i="32"/>
  <c r="F34" i="32"/>
  <c r="E34" i="32"/>
  <c r="D34" i="32"/>
  <c r="C34" i="32"/>
  <c r="B34" i="32"/>
  <c r="N33" i="32"/>
  <c r="Q33" i="32" s="1"/>
  <c r="M33" i="32"/>
  <c r="H33" i="32"/>
  <c r="G33" i="32"/>
  <c r="F33" i="32"/>
  <c r="E33" i="32"/>
  <c r="D33" i="32"/>
  <c r="C33" i="32"/>
  <c r="B33" i="32"/>
  <c r="N32" i="32"/>
  <c r="Q32" i="32" s="1"/>
  <c r="M32" i="32"/>
  <c r="H32" i="32"/>
  <c r="G32" i="32"/>
  <c r="F32" i="32"/>
  <c r="E32" i="32"/>
  <c r="D32" i="32"/>
  <c r="C32" i="32"/>
  <c r="B32" i="32"/>
  <c r="N31" i="32"/>
  <c r="Q31" i="32" s="1"/>
  <c r="M31" i="32"/>
  <c r="H31" i="32"/>
  <c r="G31" i="32"/>
  <c r="F31" i="32"/>
  <c r="E31" i="32"/>
  <c r="D31" i="32"/>
  <c r="C31" i="32"/>
  <c r="B31" i="32"/>
  <c r="N30" i="32"/>
  <c r="Q30" i="32" s="1"/>
  <c r="M30" i="32"/>
  <c r="H30" i="32"/>
  <c r="G30" i="32"/>
  <c r="F30" i="32"/>
  <c r="E30" i="32"/>
  <c r="D30" i="32"/>
  <c r="C30" i="32"/>
  <c r="B30" i="32"/>
  <c r="N29" i="32"/>
  <c r="Q29" i="32" s="1"/>
  <c r="M29" i="32"/>
  <c r="H29" i="32"/>
  <c r="D29" i="32"/>
  <c r="C29" i="32"/>
  <c r="B29" i="32"/>
  <c r="N28" i="32"/>
  <c r="Q28" i="32" s="1"/>
  <c r="M28" i="32"/>
  <c r="H28" i="32"/>
  <c r="D28" i="32"/>
  <c r="C28" i="32"/>
  <c r="B28" i="32"/>
  <c r="N27" i="32"/>
  <c r="Q27" i="32" s="1"/>
  <c r="M27" i="32"/>
  <c r="H27" i="32"/>
  <c r="D27" i="32"/>
  <c r="C27" i="32"/>
  <c r="B27" i="32"/>
  <c r="N26" i="32"/>
  <c r="Q26" i="32" s="1"/>
  <c r="M26" i="32"/>
  <c r="H26" i="32"/>
  <c r="D26" i="32"/>
  <c r="C26" i="32"/>
  <c r="B26" i="32"/>
  <c r="N25" i="32"/>
  <c r="Q25" i="32" s="1"/>
  <c r="M25" i="32"/>
  <c r="H25" i="32"/>
  <c r="F25" i="32"/>
  <c r="D25" i="32"/>
  <c r="C25" i="32"/>
  <c r="B25" i="32"/>
  <c r="N24" i="32"/>
  <c r="Q24" i="32" s="1"/>
  <c r="M24" i="32"/>
  <c r="H24" i="32"/>
  <c r="F24" i="32"/>
  <c r="D24" i="32"/>
  <c r="C24" i="32"/>
  <c r="B24" i="32"/>
  <c r="N23" i="32"/>
  <c r="Q23" i="32" s="1"/>
  <c r="M23" i="32"/>
  <c r="H23" i="32"/>
  <c r="G23" i="32"/>
  <c r="F23" i="32"/>
  <c r="E23" i="32"/>
  <c r="D23" i="32"/>
  <c r="C23" i="32"/>
  <c r="B23" i="32"/>
  <c r="N22" i="32"/>
  <c r="Q22" i="32" s="1"/>
  <c r="M22" i="32"/>
  <c r="H22" i="32"/>
  <c r="G22" i="32"/>
  <c r="F22" i="32"/>
  <c r="E22" i="32"/>
  <c r="D22" i="32"/>
  <c r="C22" i="32"/>
  <c r="B22" i="32"/>
  <c r="N21" i="32"/>
  <c r="Q21" i="32" s="1"/>
  <c r="M21" i="32"/>
  <c r="H21" i="32"/>
  <c r="G21" i="32"/>
  <c r="F21" i="32"/>
  <c r="E21" i="32"/>
  <c r="D21" i="32"/>
  <c r="C21" i="32"/>
  <c r="B21" i="32"/>
  <c r="N20" i="32"/>
  <c r="R20" i="32" s="1"/>
  <c r="M20" i="32"/>
  <c r="H20" i="32"/>
  <c r="G20" i="32"/>
  <c r="F20" i="32"/>
  <c r="E20" i="32"/>
  <c r="D20" i="32"/>
  <c r="C20" i="32"/>
  <c r="B20" i="32"/>
  <c r="O16" i="32"/>
  <c r="O15" i="32"/>
  <c r="B2" i="32" s="1"/>
  <c r="O14" i="32"/>
  <c r="C14" i="32"/>
  <c r="O13" i="32"/>
  <c r="C13" i="32"/>
  <c r="I2556" i="31"/>
  <c r="I2555" i="31"/>
  <c r="I2554" i="31"/>
  <c r="I2553" i="31"/>
  <c r="I2552" i="31"/>
  <c r="I2551" i="31"/>
  <c r="S2547" i="31"/>
  <c r="R2547" i="31"/>
  <c r="Q2547" i="31"/>
  <c r="N2546" i="31"/>
  <c r="R2546" i="31" s="1"/>
  <c r="M2546" i="31"/>
  <c r="K2546" i="31"/>
  <c r="H2546" i="31"/>
  <c r="G2546" i="31"/>
  <c r="F2546" i="31"/>
  <c r="E2546" i="31"/>
  <c r="D2546" i="31"/>
  <c r="C2546" i="31"/>
  <c r="B2546" i="31"/>
  <c r="N2545" i="31"/>
  <c r="S2545" i="31" s="1"/>
  <c r="M2545" i="31"/>
  <c r="K2545" i="31"/>
  <c r="H2545" i="31"/>
  <c r="G2545" i="31"/>
  <c r="F2545" i="31"/>
  <c r="E2545" i="31"/>
  <c r="D2545" i="31"/>
  <c r="C2545" i="31"/>
  <c r="B2545" i="31"/>
  <c r="N2544" i="31"/>
  <c r="M2544" i="31"/>
  <c r="K2544" i="31"/>
  <c r="H2544" i="31"/>
  <c r="G2544" i="31"/>
  <c r="F2544" i="31"/>
  <c r="E2544" i="31"/>
  <c r="D2544" i="31"/>
  <c r="C2544" i="31"/>
  <c r="B2544" i="31"/>
  <c r="N2543" i="31"/>
  <c r="S2543" i="31" s="1"/>
  <c r="M2543" i="31"/>
  <c r="K2543" i="31"/>
  <c r="H2543" i="31"/>
  <c r="G2543" i="31"/>
  <c r="F2543" i="31"/>
  <c r="E2543" i="31"/>
  <c r="D2543" i="31"/>
  <c r="C2543" i="31"/>
  <c r="B2543" i="31"/>
  <c r="N2542" i="31"/>
  <c r="M2542" i="31"/>
  <c r="K2542" i="31"/>
  <c r="H2542" i="31"/>
  <c r="G2542" i="31"/>
  <c r="F2542" i="31"/>
  <c r="E2542" i="31"/>
  <c r="D2542" i="31"/>
  <c r="C2542" i="31"/>
  <c r="B2542" i="31"/>
  <c r="N2541" i="31"/>
  <c r="M2541" i="31"/>
  <c r="K2541" i="31"/>
  <c r="H2541" i="31"/>
  <c r="G2541" i="31"/>
  <c r="F2541" i="31"/>
  <c r="E2541" i="31"/>
  <c r="D2541" i="31"/>
  <c r="C2541" i="31"/>
  <c r="B2541" i="31"/>
  <c r="N2540" i="31"/>
  <c r="S2540" i="31" s="1"/>
  <c r="M2540" i="31"/>
  <c r="K2540" i="31"/>
  <c r="H2540" i="31"/>
  <c r="G2540" i="31"/>
  <c r="F2540" i="31"/>
  <c r="E2540" i="31"/>
  <c r="D2540" i="31"/>
  <c r="C2540" i="31"/>
  <c r="B2540" i="31"/>
  <c r="N2539" i="31"/>
  <c r="M2539" i="31"/>
  <c r="K2539" i="31"/>
  <c r="H2539" i="31"/>
  <c r="G2539" i="31"/>
  <c r="F2539" i="31"/>
  <c r="E2539" i="31"/>
  <c r="D2539" i="31"/>
  <c r="C2539" i="31"/>
  <c r="B2539" i="31"/>
  <c r="N2538" i="31"/>
  <c r="S2538" i="31" s="1"/>
  <c r="M2538" i="31"/>
  <c r="K2538" i="31"/>
  <c r="H2538" i="31"/>
  <c r="G2538" i="31"/>
  <c r="F2538" i="31"/>
  <c r="E2538" i="31"/>
  <c r="D2538" i="31"/>
  <c r="C2538" i="31"/>
  <c r="B2538" i="31"/>
  <c r="N2537" i="31"/>
  <c r="S2537" i="31" s="1"/>
  <c r="M2537" i="31"/>
  <c r="K2537" i="31"/>
  <c r="H2537" i="31"/>
  <c r="G2537" i="31"/>
  <c r="F2537" i="31"/>
  <c r="E2537" i="31"/>
  <c r="D2537" i="31"/>
  <c r="C2537" i="31"/>
  <c r="B2537" i="31"/>
  <c r="N2536" i="31"/>
  <c r="R2536" i="31" s="1"/>
  <c r="M2536" i="31"/>
  <c r="K2536" i="31"/>
  <c r="H2536" i="31"/>
  <c r="G2536" i="31"/>
  <c r="F2536" i="31"/>
  <c r="E2536" i="31"/>
  <c r="D2536" i="31"/>
  <c r="C2536" i="31"/>
  <c r="B2536" i="31"/>
  <c r="N2535" i="31"/>
  <c r="S2535" i="31" s="1"/>
  <c r="M2535" i="31"/>
  <c r="K2535" i="31"/>
  <c r="H2535" i="31"/>
  <c r="G2535" i="31"/>
  <c r="F2535" i="31"/>
  <c r="E2535" i="31"/>
  <c r="D2535" i="31"/>
  <c r="C2535" i="31"/>
  <c r="B2535" i="31"/>
  <c r="N2534" i="31"/>
  <c r="M2534" i="31"/>
  <c r="K2534" i="31"/>
  <c r="H2534" i="31"/>
  <c r="G2534" i="31"/>
  <c r="F2534" i="31"/>
  <c r="E2534" i="31"/>
  <c r="D2534" i="31"/>
  <c r="C2534" i="31"/>
  <c r="B2534" i="31"/>
  <c r="N2533" i="31"/>
  <c r="M2533" i="31"/>
  <c r="K2533" i="31"/>
  <c r="H2533" i="31"/>
  <c r="G2533" i="31"/>
  <c r="F2533" i="31"/>
  <c r="E2533" i="31"/>
  <c r="D2533" i="31"/>
  <c r="C2533" i="31"/>
  <c r="B2533" i="31"/>
  <c r="N2532" i="31"/>
  <c r="Q2532" i="31" s="1"/>
  <c r="M2532" i="31"/>
  <c r="K2532" i="31"/>
  <c r="H2532" i="31"/>
  <c r="G2532" i="31"/>
  <c r="F2532" i="31"/>
  <c r="E2532" i="31"/>
  <c r="D2532" i="31"/>
  <c r="C2532" i="31"/>
  <c r="B2532" i="31"/>
  <c r="N2531" i="31"/>
  <c r="Q2531" i="31" s="1"/>
  <c r="M2531" i="31"/>
  <c r="K2531" i="31"/>
  <c r="H2531" i="31"/>
  <c r="G2531" i="31"/>
  <c r="F2531" i="31"/>
  <c r="E2531" i="31"/>
  <c r="D2531" i="31"/>
  <c r="C2531" i="31"/>
  <c r="B2531" i="31"/>
  <c r="N2530" i="31"/>
  <c r="R2530" i="31" s="1"/>
  <c r="M2530" i="31"/>
  <c r="K2530" i="31"/>
  <c r="H2530" i="31"/>
  <c r="G2530" i="31"/>
  <c r="F2530" i="31"/>
  <c r="E2530" i="31"/>
  <c r="D2530" i="31"/>
  <c r="C2530" i="31"/>
  <c r="B2530" i="31"/>
  <c r="N2529" i="31"/>
  <c r="S2529" i="31" s="1"/>
  <c r="M2529" i="31"/>
  <c r="K2529" i="31"/>
  <c r="H2529" i="31"/>
  <c r="G2529" i="31"/>
  <c r="F2529" i="31"/>
  <c r="E2529" i="31"/>
  <c r="D2529" i="31"/>
  <c r="C2529" i="31"/>
  <c r="B2529" i="31"/>
  <c r="N2528" i="31"/>
  <c r="R2528" i="31" s="1"/>
  <c r="M2528" i="31"/>
  <c r="K2528" i="31"/>
  <c r="H2528" i="31"/>
  <c r="G2528" i="31"/>
  <c r="F2528" i="31"/>
  <c r="E2528" i="31"/>
  <c r="D2528" i="31"/>
  <c r="C2528" i="31"/>
  <c r="B2528" i="31"/>
  <c r="N2527" i="31"/>
  <c r="S2527" i="31" s="1"/>
  <c r="M2527" i="31"/>
  <c r="K2527" i="31"/>
  <c r="H2527" i="31"/>
  <c r="G2527" i="31"/>
  <c r="F2527" i="31"/>
  <c r="E2527" i="31"/>
  <c r="D2527" i="31"/>
  <c r="C2527" i="31"/>
  <c r="B2527" i="31"/>
  <c r="N2526" i="31"/>
  <c r="M2526" i="31"/>
  <c r="K2526" i="31"/>
  <c r="H2526" i="31"/>
  <c r="G2526" i="31"/>
  <c r="F2526" i="31"/>
  <c r="E2526" i="31"/>
  <c r="D2526" i="31"/>
  <c r="C2526" i="31"/>
  <c r="B2526" i="31"/>
  <c r="N2525" i="31"/>
  <c r="M2525" i="31"/>
  <c r="K2525" i="31"/>
  <c r="H2525" i="31"/>
  <c r="G2525" i="31"/>
  <c r="F2525" i="31"/>
  <c r="E2525" i="31"/>
  <c r="D2525" i="31"/>
  <c r="C2525" i="31"/>
  <c r="B2525" i="31"/>
  <c r="N2524" i="31"/>
  <c r="S2524" i="31" s="1"/>
  <c r="M2524" i="31"/>
  <c r="K2524" i="31"/>
  <c r="H2524" i="31"/>
  <c r="G2524" i="31"/>
  <c r="F2524" i="31"/>
  <c r="E2524" i="31"/>
  <c r="D2524" i="31"/>
  <c r="C2524" i="31"/>
  <c r="B2524" i="31"/>
  <c r="N2523" i="31"/>
  <c r="M2523" i="31"/>
  <c r="K2523" i="31"/>
  <c r="H2523" i="31"/>
  <c r="G2523" i="31"/>
  <c r="F2523" i="31"/>
  <c r="E2523" i="31"/>
  <c r="D2523" i="31"/>
  <c r="C2523" i="31"/>
  <c r="B2523" i="31"/>
  <c r="N2522" i="31"/>
  <c r="M2522" i="31"/>
  <c r="K2522" i="31"/>
  <c r="H2522" i="31"/>
  <c r="G2522" i="31"/>
  <c r="F2522" i="31"/>
  <c r="E2522" i="31"/>
  <c r="D2522" i="31"/>
  <c r="C2522" i="31"/>
  <c r="B2522" i="31"/>
  <c r="N2521" i="31"/>
  <c r="S2521" i="31" s="1"/>
  <c r="M2521" i="31"/>
  <c r="K2521" i="31"/>
  <c r="H2521" i="31"/>
  <c r="G2521" i="31"/>
  <c r="F2521" i="31"/>
  <c r="E2521" i="31"/>
  <c r="D2521" i="31"/>
  <c r="C2521" i="31"/>
  <c r="B2521" i="31"/>
  <c r="N2520" i="31"/>
  <c r="S2520" i="31" s="1"/>
  <c r="M2520" i="31"/>
  <c r="K2520" i="31"/>
  <c r="H2520" i="31"/>
  <c r="G2520" i="31"/>
  <c r="F2520" i="31"/>
  <c r="E2520" i="31"/>
  <c r="D2520" i="31"/>
  <c r="C2520" i="31"/>
  <c r="B2520" i="31"/>
  <c r="N2519" i="31"/>
  <c r="S2519" i="31" s="1"/>
  <c r="M2519" i="31"/>
  <c r="K2519" i="31"/>
  <c r="H2519" i="31"/>
  <c r="G2519" i="31"/>
  <c r="F2519" i="31"/>
  <c r="E2519" i="31"/>
  <c r="D2519" i="31"/>
  <c r="C2519" i="31"/>
  <c r="B2519" i="31"/>
  <c r="N2518" i="31"/>
  <c r="M2518" i="31"/>
  <c r="K2518" i="31"/>
  <c r="H2518" i="31"/>
  <c r="G2518" i="31"/>
  <c r="F2518" i="31"/>
  <c r="E2518" i="31"/>
  <c r="D2518" i="31"/>
  <c r="C2518" i="31"/>
  <c r="B2518" i="31"/>
  <c r="N2517" i="31"/>
  <c r="M2517" i="31"/>
  <c r="K2517" i="31"/>
  <c r="H2517" i="31"/>
  <c r="G2517" i="31"/>
  <c r="F2517" i="31"/>
  <c r="E2517" i="31"/>
  <c r="D2517" i="31"/>
  <c r="C2517" i="31"/>
  <c r="B2517" i="31"/>
  <c r="N2516" i="31"/>
  <c r="Q2516" i="31" s="1"/>
  <c r="M2516" i="31"/>
  <c r="K2516" i="31"/>
  <c r="H2516" i="31"/>
  <c r="G2516" i="31"/>
  <c r="F2516" i="31"/>
  <c r="E2516" i="31"/>
  <c r="D2516" i="31"/>
  <c r="C2516" i="31"/>
  <c r="B2516" i="31"/>
  <c r="N2515" i="31"/>
  <c r="M2515" i="31"/>
  <c r="J2515" i="31"/>
  <c r="I2515" i="31"/>
  <c r="H2515" i="31"/>
  <c r="G2515" i="31"/>
  <c r="F2515" i="31"/>
  <c r="E2515" i="31"/>
  <c r="H2514" i="31"/>
  <c r="G2514" i="31"/>
  <c r="F2514" i="31"/>
  <c r="E2514" i="31"/>
  <c r="H2513" i="31"/>
  <c r="G2513" i="31"/>
  <c r="F2513" i="31"/>
  <c r="E2513" i="31"/>
  <c r="H2512" i="31"/>
  <c r="G2512" i="31"/>
  <c r="F2512" i="31"/>
  <c r="E2512" i="31"/>
  <c r="H2511" i="31"/>
  <c r="G2511" i="31"/>
  <c r="F2511" i="31"/>
  <c r="E2511" i="31"/>
  <c r="H2510" i="31"/>
  <c r="G2510" i="31"/>
  <c r="F2510" i="31"/>
  <c r="E2510" i="31"/>
  <c r="N2509" i="31"/>
  <c r="R2509" i="31" s="1"/>
  <c r="M2509" i="31"/>
  <c r="H2509" i="31"/>
  <c r="G2509" i="31"/>
  <c r="F2509" i="31"/>
  <c r="E2509" i="31"/>
  <c r="N2508" i="31"/>
  <c r="M2508" i="31"/>
  <c r="H2508" i="31"/>
  <c r="G2508" i="31"/>
  <c r="F2508" i="31"/>
  <c r="E2508" i="31"/>
  <c r="H2507" i="31"/>
  <c r="G2507" i="31"/>
  <c r="F2507" i="31"/>
  <c r="E2507" i="31"/>
  <c r="H2506" i="31"/>
  <c r="G2506" i="31"/>
  <c r="F2506" i="31"/>
  <c r="E2506" i="31"/>
  <c r="N2505" i="31"/>
  <c r="S2505" i="31" s="1"/>
  <c r="M2505" i="31"/>
  <c r="H2505" i="31"/>
  <c r="G2505" i="31"/>
  <c r="F2505" i="31"/>
  <c r="E2505" i="31"/>
  <c r="N2504" i="31"/>
  <c r="Q2504" i="31" s="1"/>
  <c r="M2504" i="31"/>
  <c r="H2504" i="31"/>
  <c r="G2504" i="31"/>
  <c r="F2504" i="31"/>
  <c r="E2504" i="31"/>
  <c r="H2503" i="31"/>
  <c r="G2503" i="31"/>
  <c r="F2503" i="31"/>
  <c r="E2503" i="31"/>
  <c r="H2502" i="31"/>
  <c r="G2502" i="31"/>
  <c r="F2502" i="31"/>
  <c r="E2502" i="31"/>
  <c r="H2501" i="31"/>
  <c r="G2501" i="31"/>
  <c r="F2501" i="31"/>
  <c r="E2501" i="31"/>
  <c r="N2500" i="31"/>
  <c r="M2500" i="31"/>
  <c r="J2500" i="31"/>
  <c r="I2500" i="31"/>
  <c r="H2500" i="31"/>
  <c r="E2500" i="31"/>
  <c r="N2499" i="31"/>
  <c r="M2499" i="31"/>
  <c r="J2499" i="31"/>
  <c r="I2499" i="31"/>
  <c r="H2499" i="31"/>
  <c r="E2499" i="31"/>
  <c r="N2498" i="31"/>
  <c r="M2498" i="31"/>
  <c r="K2498" i="31"/>
  <c r="H2498" i="31"/>
  <c r="G2498" i="31"/>
  <c r="F2498" i="31"/>
  <c r="E2498" i="31"/>
  <c r="D2498" i="31"/>
  <c r="C2498" i="31"/>
  <c r="B2498" i="31"/>
  <c r="N2497" i="31"/>
  <c r="M2497" i="31"/>
  <c r="K2497" i="31"/>
  <c r="H2497" i="31"/>
  <c r="G2497" i="31"/>
  <c r="F2497" i="31"/>
  <c r="E2497" i="31"/>
  <c r="D2497" i="31"/>
  <c r="C2497" i="31"/>
  <c r="B2497" i="31"/>
  <c r="N2496" i="31"/>
  <c r="Q2496" i="31" s="1"/>
  <c r="M2496" i="31"/>
  <c r="K2496" i="31"/>
  <c r="H2496" i="31"/>
  <c r="G2496" i="31"/>
  <c r="F2496" i="31"/>
  <c r="E2496" i="31"/>
  <c r="D2496" i="31"/>
  <c r="C2496" i="31"/>
  <c r="B2496" i="31"/>
  <c r="N2495" i="31"/>
  <c r="R2495" i="31" s="1"/>
  <c r="M2495" i="31"/>
  <c r="K2495" i="31"/>
  <c r="H2495" i="31"/>
  <c r="G2495" i="31"/>
  <c r="F2495" i="31"/>
  <c r="E2495" i="31"/>
  <c r="D2495" i="31"/>
  <c r="C2495" i="31"/>
  <c r="B2495" i="31"/>
  <c r="N2494" i="31"/>
  <c r="M2494" i="31"/>
  <c r="K2494" i="31"/>
  <c r="H2494" i="31"/>
  <c r="G2494" i="31"/>
  <c r="F2494" i="31"/>
  <c r="E2494" i="31"/>
  <c r="D2494" i="31"/>
  <c r="C2494" i="31"/>
  <c r="B2494" i="31"/>
  <c r="N2493" i="31"/>
  <c r="S2493" i="31" s="1"/>
  <c r="M2493" i="31"/>
  <c r="K2493" i="31"/>
  <c r="H2493" i="31"/>
  <c r="G2493" i="31"/>
  <c r="F2493" i="31"/>
  <c r="E2493" i="31"/>
  <c r="D2493" i="31"/>
  <c r="C2493" i="31"/>
  <c r="B2493" i="31"/>
  <c r="N2492" i="31"/>
  <c r="S2492" i="31" s="1"/>
  <c r="M2492" i="31"/>
  <c r="K2492" i="31"/>
  <c r="H2492" i="31"/>
  <c r="G2492" i="31"/>
  <c r="F2492" i="31"/>
  <c r="E2492" i="31"/>
  <c r="D2492" i="31"/>
  <c r="C2492" i="31"/>
  <c r="B2492" i="31"/>
  <c r="N2491" i="31"/>
  <c r="S2491" i="31" s="1"/>
  <c r="M2491" i="31"/>
  <c r="K2491" i="31"/>
  <c r="H2491" i="31"/>
  <c r="G2491" i="31"/>
  <c r="F2491" i="31"/>
  <c r="E2491" i="31"/>
  <c r="D2491" i="31"/>
  <c r="C2491" i="31"/>
  <c r="B2491" i="31"/>
  <c r="N2490" i="31"/>
  <c r="M2490" i="31"/>
  <c r="K2490" i="31"/>
  <c r="H2490" i="31"/>
  <c r="G2490" i="31"/>
  <c r="F2490" i="31"/>
  <c r="E2490" i="31"/>
  <c r="D2490" i="31"/>
  <c r="C2490" i="31"/>
  <c r="B2490" i="31"/>
  <c r="N2489" i="31"/>
  <c r="M2489" i="31"/>
  <c r="K2489" i="31"/>
  <c r="H2489" i="31"/>
  <c r="G2489" i="31"/>
  <c r="F2489" i="31"/>
  <c r="E2489" i="31"/>
  <c r="D2489" i="31"/>
  <c r="C2489" i="31"/>
  <c r="B2489" i="31"/>
  <c r="N2488" i="31"/>
  <c r="S2488" i="31" s="1"/>
  <c r="M2488" i="31"/>
  <c r="K2488" i="31"/>
  <c r="H2488" i="31"/>
  <c r="G2488" i="31"/>
  <c r="F2488" i="31"/>
  <c r="E2488" i="31"/>
  <c r="D2488" i="31"/>
  <c r="C2488" i="31"/>
  <c r="B2488" i="31"/>
  <c r="N2487" i="31"/>
  <c r="Q2487" i="31" s="1"/>
  <c r="M2487" i="31"/>
  <c r="K2487" i="31"/>
  <c r="H2487" i="31"/>
  <c r="G2487" i="31"/>
  <c r="F2487" i="31"/>
  <c r="E2487" i="31"/>
  <c r="D2487" i="31"/>
  <c r="C2487" i="31"/>
  <c r="B2487" i="31"/>
  <c r="N2486" i="31"/>
  <c r="S2486" i="31" s="1"/>
  <c r="M2486" i="31"/>
  <c r="K2486" i="31"/>
  <c r="H2486" i="31"/>
  <c r="G2486" i="31"/>
  <c r="F2486" i="31"/>
  <c r="E2486" i="31"/>
  <c r="D2486" i="31"/>
  <c r="C2486" i="31"/>
  <c r="B2486" i="31"/>
  <c r="N2485" i="31"/>
  <c r="S2485" i="31" s="1"/>
  <c r="M2485" i="31"/>
  <c r="K2485" i="31"/>
  <c r="H2485" i="31"/>
  <c r="G2485" i="31"/>
  <c r="F2485" i="31"/>
  <c r="E2485" i="31"/>
  <c r="D2485" i="31"/>
  <c r="C2485" i="31"/>
  <c r="B2485" i="31"/>
  <c r="N2484" i="31"/>
  <c r="S2484" i="31" s="1"/>
  <c r="M2484" i="31"/>
  <c r="K2484" i="31"/>
  <c r="H2484" i="31"/>
  <c r="G2484" i="31"/>
  <c r="F2484" i="31"/>
  <c r="E2484" i="31"/>
  <c r="D2484" i="31"/>
  <c r="C2484" i="31"/>
  <c r="B2484" i="31"/>
  <c r="N2483" i="31"/>
  <c r="M2483" i="31"/>
  <c r="K2483" i="31"/>
  <c r="H2483" i="31"/>
  <c r="G2483" i="31"/>
  <c r="F2483" i="31"/>
  <c r="E2483" i="31"/>
  <c r="D2483" i="31"/>
  <c r="C2483" i="31"/>
  <c r="B2483" i="31"/>
  <c r="N2482" i="31"/>
  <c r="M2482" i="31"/>
  <c r="K2482" i="31"/>
  <c r="H2482" i="31"/>
  <c r="G2482" i="31"/>
  <c r="F2482" i="31"/>
  <c r="E2482" i="31"/>
  <c r="D2482" i="31"/>
  <c r="C2482" i="31"/>
  <c r="B2482" i="31"/>
  <c r="N2481" i="31"/>
  <c r="Q2481" i="31" s="1"/>
  <c r="M2481" i="31"/>
  <c r="K2481" i="31"/>
  <c r="H2481" i="31"/>
  <c r="G2481" i="31"/>
  <c r="F2481" i="31"/>
  <c r="E2481" i="31"/>
  <c r="D2481" i="31"/>
  <c r="C2481" i="31"/>
  <c r="B2481" i="31"/>
  <c r="N2480" i="31"/>
  <c r="M2480" i="31"/>
  <c r="K2480" i="31"/>
  <c r="H2480" i="31"/>
  <c r="G2480" i="31"/>
  <c r="F2480" i="31"/>
  <c r="E2480" i="31"/>
  <c r="D2480" i="31"/>
  <c r="C2480" i="31"/>
  <c r="B2480" i="31"/>
  <c r="N2479" i="31"/>
  <c r="Q2479" i="31" s="1"/>
  <c r="M2479" i="31"/>
  <c r="K2479" i="31"/>
  <c r="H2479" i="31"/>
  <c r="G2479" i="31"/>
  <c r="F2479" i="31"/>
  <c r="E2479" i="31"/>
  <c r="D2479" i="31"/>
  <c r="C2479" i="31"/>
  <c r="B2479" i="31"/>
  <c r="N2478" i="31"/>
  <c r="R2478" i="31" s="1"/>
  <c r="M2478" i="31"/>
  <c r="K2478" i="31"/>
  <c r="H2478" i="31"/>
  <c r="G2478" i="31"/>
  <c r="F2478" i="31"/>
  <c r="E2478" i="31"/>
  <c r="D2478" i="31"/>
  <c r="C2478" i="31"/>
  <c r="B2478" i="31"/>
  <c r="N2477" i="31"/>
  <c r="S2477" i="31" s="1"/>
  <c r="M2477" i="31"/>
  <c r="K2477" i="31"/>
  <c r="H2477" i="31"/>
  <c r="G2477" i="31"/>
  <c r="F2477" i="31"/>
  <c r="E2477" i="31"/>
  <c r="D2477" i="31"/>
  <c r="C2477" i="31"/>
  <c r="B2477" i="31"/>
  <c r="N2476" i="31"/>
  <c r="S2476" i="31" s="1"/>
  <c r="M2476" i="31"/>
  <c r="K2476" i="31"/>
  <c r="H2476" i="31"/>
  <c r="G2476" i="31"/>
  <c r="F2476" i="31"/>
  <c r="E2476" i="31"/>
  <c r="D2476" i="31"/>
  <c r="C2476" i="31"/>
  <c r="B2476" i="31"/>
  <c r="N2475" i="31"/>
  <c r="S2475" i="31" s="1"/>
  <c r="M2475" i="31"/>
  <c r="K2475" i="31"/>
  <c r="H2475" i="31"/>
  <c r="G2475" i="31"/>
  <c r="F2475" i="31"/>
  <c r="E2475" i="31"/>
  <c r="D2475" i="31"/>
  <c r="C2475" i="31"/>
  <c r="B2475" i="31"/>
  <c r="N2474" i="31"/>
  <c r="M2474" i="31"/>
  <c r="K2474" i="31"/>
  <c r="H2474" i="31"/>
  <c r="G2474" i="31"/>
  <c r="F2474" i="31"/>
  <c r="E2474" i="31"/>
  <c r="D2474" i="31"/>
  <c r="C2474" i="31"/>
  <c r="B2474" i="31"/>
  <c r="N2473" i="31"/>
  <c r="Q2473" i="31" s="1"/>
  <c r="M2473" i="31"/>
  <c r="K2473" i="31"/>
  <c r="H2473" i="31"/>
  <c r="G2473" i="31"/>
  <c r="F2473" i="31"/>
  <c r="E2473" i="31"/>
  <c r="D2473" i="31"/>
  <c r="C2473" i="31"/>
  <c r="B2473" i="31"/>
  <c r="N2472" i="31"/>
  <c r="S2472" i="31" s="1"/>
  <c r="M2472" i="31"/>
  <c r="K2472" i="31"/>
  <c r="H2472" i="31"/>
  <c r="G2472" i="31"/>
  <c r="F2472" i="31"/>
  <c r="E2472" i="31"/>
  <c r="D2472" i="31"/>
  <c r="C2472" i="31"/>
  <c r="B2472" i="31"/>
  <c r="N2471" i="31"/>
  <c r="M2471" i="31"/>
  <c r="K2471" i="31"/>
  <c r="H2471" i="31"/>
  <c r="G2471" i="31"/>
  <c r="F2471" i="31"/>
  <c r="E2471" i="31"/>
  <c r="D2471" i="31"/>
  <c r="C2471" i="31"/>
  <c r="B2471" i="31"/>
  <c r="N2470" i="31"/>
  <c r="S2470" i="31" s="1"/>
  <c r="M2470" i="31"/>
  <c r="K2470" i="31"/>
  <c r="H2470" i="31"/>
  <c r="G2470" i="31"/>
  <c r="F2470" i="31"/>
  <c r="E2470" i="31"/>
  <c r="D2470" i="31"/>
  <c r="C2470" i="31"/>
  <c r="B2470" i="31"/>
  <c r="K2469" i="31"/>
  <c r="H2469" i="31"/>
  <c r="G2469" i="31"/>
  <c r="F2469" i="31"/>
  <c r="E2469" i="31"/>
  <c r="D2469" i="31"/>
  <c r="C2469" i="31"/>
  <c r="B2469" i="31"/>
  <c r="N2468" i="31"/>
  <c r="S2468" i="31" s="1"/>
  <c r="M2468" i="31"/>
  <c r="K2468" i="31"/>
  <c r="H2468" i="31"/>
  <c r="G2468" i="31"/>
  <c r="F2468" i="31"/>
  <c r="E2468" i="31"/>
  <c r="D2468" i="31"/>
  <c r="C2468" i="31"/>
  <c r="B2468" i="31"/>
  <c r="N2467" i="31"/>
  <c r="M2467" i="31"/>
  <c r="J2467" i="31"/>
  <c r="I2467" i="31"/>
  <c r="H2467" i="31"/>
  <c r="G2467" i="31"/>
  <c r="F2467" i="31"/>
  <c r="E2467" i="31"/>
  <c r="N2466" i="31"/>
  <c r="M2466" i="31"/>
  <c r="H2466" i="31"/>
  <c r="N2465" i="31"/>
  <c r="M2465" i="31"/>
  <c r="H2465" i="31"/>
  <c r="N2464" i="31"/>
  <c r="M2464" i="31"/>
  <c r="H2464" i="31"/>
  <c r="N2463" i="31"/>
  <c r="M2463" i="31"/>
  <c r="H2463" i="31"/>
  <c r="N2462" i="31"/>
  <c r="M2462" i="31"/>
  <c r="H2462" i="31"/>
  <c r="N2461" i="31"/>
  <c r="M2461" i="31"/>
  <c r="H2461" i="31"/>
  <c r="F2461" i="31"/>
  <c r="E2461" i="31"/>
  <c r="D2461" i="31"/>
  <c r="N2460" i="31"/>
  <c r="M2460" i="31"/>
  <c r="H2460" i="31"/>
  <c r="N2459" i="31"/>
  <c r="M2459" i="31"/>
  <c r="H2459" i="31"/>
  <c r="N2458" i="31"/>
  <c r="M2458" i="31"/>
  <c r="H2458" i="31"/>
  <c r="N2457" i="31"/>
  <c r="M2457" i="31"/>
  <c r="H2457" i="31"/>
  <c r="N2456" i="31"/>
  <c r="M2456" i="31"/>
  <c r="H2456" i="31"/>
  <c r="N2455" i="31"/>
  <c r="S2455" i="31" s="1"/>
  <c r="M2455" i="31"/>
  <c r="H2455" i="31"/>
  <c r="F2455" i="31"/>
  <c r="E2455" i="31"/>
  <c r="D2455" i="31"/>
  <c r="N2454" i="31"/>
  <c r="M2454" i="31"/>
  <c r="H2454" i="31"/>
  <c r="N2453" i="31"/>
  <c r="M2453" i="31"/>
  <c r="H2453" i="31"/>
  <c r="N2452" i="31"/>
  <c r="M2452" i="31"/>
  <c r="H2452" i="31"/>
  <c r="N2451" i="31"/>
  <c r="M2451" i="31"/>
  <c r="H2451" i="31"/>
  <c r="N2450" i="31"/>
  <c r="M2450" i="31"/>
  <c r="H2450" i="31"/>
  <c r="N2449" i="31"/>
  <c r="Q2449" i="31" s="1"/>
  <c r="M2449" i="31"/>
  <c r="H2449" i="31"/>
  <c r="F2449" i="31"/>
  <c r="E2449" i="31"/>
  <c r="D2449" i="31"/>
  <c r="N2448" i="31"/>
  <c r="M2448" i="31"/>
  <c r="H2448" i="31"/>
  <c r="N2447" i="31"/>
  <c r="M2447" i="31"/>
  <c r="H2447" i="31"/>
  <c r="N2446" i="31"/>
  <c r="M2446" i="31"/>
  <c r="H2446" i="31"/>
  <c r="N2445" i="31"/>
  <c r="M2445" i="31"/>
  <c r="H2445" i="31"/>
  <c r="N2444" i="31"/>
  <c r="M2444" i="31"/>
  <c r="H2444" i="31"/>
  <c r="N2443" i="31"/>
  <c r="Q2443" i="31" s="1"/>
  <c r="M2443" i="31"/>
  <c r="H2443" i="31"/>
  <c r="F2443" i="31"/>
  <c r="E2443" i="31"/>
  <c r="D2443" i="31"/>
  <c r="N2442" i="31"/>
  <c r="M2442" i="31"/>
  <c r="H2442" i="31"/>
  <c r="N2441" i="31"/>
  <c r="M2441" i="31"/>
  <c r="H2441" i="31"/>
  <c r="N2440" i="31"/>
  <c r="M2440" i="31"/>
  <c r="H2440" i="31"/>
  <c r="N2439" i="31"/>
  <c r="M2439" i="31"/>
  <c r="H2439" i="31"/>
  <c r="N2438" i="31"/>
  <c r="M2438" i="31"/>
  <c r="H2438" i="31"/>
  <c r="N2437" i="31"/>
  <c r="P2442" i="31" s="1"/>
  <c r="M2437" i="31"/>
  <c r="H2437" i="31"/>
  <c r="F2437" i="31"/>
  <c r="E2437" i="31"/>
  <c r="D2437" i="31"/>
  <c r="N2436" i="31"/>
  <c r="M2436" i="31"/>
  <c r="H2436" i="31"/>
  <c r="N2435" i="31"/>
  <c r="M2435" i="31"/>
  <c r="H2435" i="31"/>
  <c r="N2434" i="31"/>
  <c r="M2434" i="31"/>
  <c r="H2434" i="31"/>
  <c r="N2433" i="31"/>
  <c r="M2433" i="31"/>
  <c r="H2433" i="31"/>
  <c r="N2432" i="31"/>
  <c r="M2432" i="31"/>
  <c r="H2432" i="31"/>
  <c r="N2431" i="31"/>
  <c r="S2431" i="31" s="1"/>
  <c r="M2431" i="31"/>
  <c r="H2431" i="31"/>
  <c r="F2431" i="31"/>
  <c r="E2431" i="31"/>
  <c r="D2431" i="31"/>
  <c r="N2430" i="31"/>
  <c r="M2430" i="31"/>
  <c r="H2430" i="31"/>
  <c r="N2429" i="31"/>
  <c r="M2429" i="31"/>
  <c r="H2429" i="31"/>
  <c r="N2428" i="31"/>
  <c r="M2428" i="31"/>
  <c r="H2428" i="31"/>
  <c r="N2427" i="31"/>
  <c r="M2427" i="31"/>
  <c r="H2427" i="31"/>
  <c r="N2426" i="31"/>
  <c r="M2426" i="31"/>
  <c r="H2426" i="31"/>
  <c r="N2425" i="31"/>
  <c r="Q2425" i="31" s="1"/>
  <c r="M2425" i="31"/>
  <c r="H2425" i="31"/>
  <c r="F2425" i="31"/>
  <c r="E2425" i="31"/>
  <c r="D2425" i="31"/>
  <c r="N2424" i="31"/>
  <c r="M2424" i="31"/>
  <c r="H2424" i="31"/>
  <c r="N2423" i="31"/>
  <c r="M2423" i="31"/>
  <c r="H2423" i="31"/>
  <c r="N2422" i="31"/>
  <c r="M2422" i="31"/>
  <c r="H2422" i="31"/>
  <c r="N2421" i="31"/>
  <c r="M2421" i="31"/>
  <c r="H2421" i="31"/>
  <c r="N2420" i="31"/>
  <c r="M2420" i="31"/>
  <c r="H2420" i="31"/>
  <c r="N2419" i="31"/>
  <c r="P2421" i="31" s="1"/>
  <c r="M2419" i="31"/>
  <c r="H2419" i="31"/>
  <c r="F2419" i="31"/>
  <c r="E2419" i="31"/>
  <c r="D2419" i="31"/>
  <c r="N2418" i="31"/>
  <c r="M2418" i="31"/>
  <c r="H2418" i="31"/>
  <c r="N2417" i="31"/>
  <c r="M2417" i="31"/>
  <c r="H2417" i="31"/>
  <c r="N2416" i="31"/>
  <c r="M2416" i="31"/>
  <c r="H2416" i="31"/>
  <c r="N2415" i="31"/>
  <c r="M2415" i="31"/>
  <c r="H2415" i="31"/>
  <c r="N2414" i="31"/>
  <c r="M2414" i="31"/>
  <c r="H2414" i="31"/>
  <c r="N2413" i="31"/>
  <c r="R2413" i="31" s="1"/>
  <c r="M2413" i="31"/>
  <c r="H2413" i="31"/>
  <c r="F2413" i="31"/>
  <c r="E2413" i="31"/>
  <c r="D2413" i="31"/>
  <c r="N2412" i="31"/>
  <c r="M2412" i="31"/>
  <c r="H2412" i="31"/>
  <c r="N2411" i="31"/>
  <c r="M2411" i="31"/>
  <c r="H2411" i="31"/>
  <c r="N2410" i="31"/>
  <c r="M2410" i="31"/>
  <c r="H2410" i="31"/>
  <c r="N2409" i="31"/>
  <c r="M2409" i="31"/>
  <c r="H2409" i="31"/>
  <c r="N2408" i="31"/>
  <c r="M2408" i="31"/>
  <c r="H2408" i="31"/>
  <c r="N2407" i="31"/>
  <c r="P2409" i="31" s="1"/>
  <c r="M2407" i="31"/>
  <c r="H2407" i="31"/>
  <c r="F2407" i="31"/>
  <c r="E2407" i="31"/>
  <c r="D2407" i="31"/>
  <c r="N2406" i="31"/>
  <c r="M2406" i="31"/>
  <c r="I2406" i="31"/>
  <c r="H2406" i="31"/>
  <c r="N2405" i="31"/>
  <c r="M2405" i="31"/>
  <c r="I2405" i="31"/>
  <c r="H2405" i="31"/>
  <c r="N2404" i="31"/>
  <c r="M2404" i="31"/>
  <c r="I2404" i="31"/>
  <c r="H2404" i="31"/>
  <c r="N2403" i="31"/>
  <c r="P2405" i="31" s="1"/>
  <c r="M2403" i="31"/>
  <c r="H2403" i="31"/>
  <c r="F2403" i="31"/>
  <c r="E2403" i="31"/>
  <c r="N2402" i="31"/>
  <c r="M2402" i="31"/>
  <c r="I2402" i="31"/>
  <c r="H2402" i="31"/>
  <c r="N2401" i="31"/>
  <c r="M2401" i="31"/>
  <c r="I2401" i="31"/>
  <c r="H2401" i="31"/>
  <c r="N2400" i="31"/>
  <c r="M2400" i="31"/>
  <c r="I2400" i="31"/>
  <c r="H2400" i="31"/>
  <c r="N2399" i="31"/>
  <c r="P2400" i="31" s="1"/>
  <c r="M2399" i="31"/>
  <c r="H2399" i="31"/>
  <c r="F2399" i="31"/>
  <c r="E2399" i="31"/>
  <c r="N2398" i="31"/>
  <c r="M2398" i="31"/>
  <c r="I2398" i="31"/>
  <c r="H2398" i="31"/>
  <c r="N2397" i="31"/>
  <c r="M2397" i="31"/>
  <c r="I2397" i="31"/>
  <c r="H2397" i="31"/>
  <c r="N2396" i="31"/>
  <c r="M2396" i="31"/>
  <c r="I2396" i="31"/>
  <c r="H2396" i="31"/>
  <c r="H2395" i="31"/>
  <c r="F2395" i="31"/>
  <c r="E2395" i="31"/>
  <c r="N2394" i="31"/>
  <c r="M2394" i="31"/>
  <c r="I2394" i="31"/>
  <c r="H2394" i="31"/>
  <c r="N2393" i="31"/>
  <c r="M2393" i="31"/>
  <c r="I2393" i="31"/>
  <c r="H2393" i="31"/>
  <c r="N2392" i="31"/>
  <c r="M2392" i="31"/>
  <c r="I2392" i="31"/>
  <c r="H2392" i="31"/>
  <c r="N2391" i="31"/>
  <c r="Q2391" i="31" s="1"/>
  <c r="M2391" i="31"/>
  <c r="H2391" i="31"/>
  <c r="F2391" i="31"/>
  <c r="E2391" i="31"/>
  <c r="N2390" i="31"/>
  <c r="M2390" i="31"/>
  <c r="I2390" i="31"/>
  <c r="H2390" i="31"/>
  <c r="N2389" i="31"/>
  <c r="M2389" i="31"/>
  <c r="I2389" i="31"/>
  <c r="H2389" i="31"/>
  <c r="N2388" i="31"/>
  <c r="M2388" i="31"/>
  <c r="I2388" i="31"/>
  <c r="H2388" i="31"/>
  <c r="N2387" i="31"/>
  <c r="M2387" i="31"/>
  <c r="H2387" i="31"/>
  <c r="F2387" i="31"/>
  <c r="E2387" i="31"/>
  <c r="N2386" i="31"/>
  <c r="M2386" i="31"/>
  <c r="I2386" i="31"/>
  <c r="H2386" i="31"/>
  <c r="N2385" i="31"/>
  <c r="M2385" i="31"/>
  <c r="I2385" i="31"/>
  <c r="H2385" i="31"/>
  <c r="N2384" i="31"/>
  <c r="M2384" i="31"/>
  <c r="I2384" i="31"/>
  <c r="H2384" i="31"/>
  <c r="N2383" i="31"/>
  <c r="M2383" i="31"/>
  <c r="H2383" i="31"/>
  <c r="F2383" i="31"/>
  <c r="E2383" i="31"/>
  <c r="N2382" i="31"/>
  <c r="M2382" i="31"/>
  <c r="I2382" i="31"/>
  <c r="H2382" i="31"/>
  <c r="N2381" i="31"/>
  <c r="M2381" i="31"/>
  <c r="I2381" i="31"/>
  <c r="H2381" i="31"/>
  <c r="N2380" i="31"/>
  <c r="M2380" i="31"/>
  <c r="I2380" i="31"/>
  <c r="H2380" i="31"/>
  <c r="N2379" i="31"/>
  <c r="Q2379" i="31" s="1"/>
  <c r="M2379" i="31"/>
  <c r="H2379" i="31"/>
  <c r="F2379" i="31"/>
  <c r="E2379" i="31"/>
  <c r="N2378" i="31"/>
  <c r="M2378" i="31"/>
  <c r="I2378" i="31"/>
  <c r="H2378" i="31"/>
  <c r="N2377" i="31"/>
  <c r="M2377" i="31"/>
  <c r="I2377" i="31"/>
  <c r="H2377" i="31"/>
  <c r="N2376" i="31"/>
  <c r="M2376" i="31"/>
  <c r="I2376" i="31"/>
  <c r="H2376" i="31"/>
  <c r="N2375" i="31"/>
  <c r="P2378" i="31" s="1"/>
  <c r="M2375" i="31"/>
  <c r="H2375" i="31"/>
  <c r="F2375" i="31"/>
  <c r="E2375" i="31"/>
  <c r="N2374" i="31"/>
  <c r="M2374" i="31"/>
  <c r="I2374" i="31"/>
  <c r="H2374" i="31"/>
  <c r="N2373" i="31"/>
  <c r="M2373" i="31"/>
  <c r="I2373" i="31"/>
  <c r="H2373" i="31"/>
  <c r="N2372" i="31"/>
  <c r="M2372" i="31"/>
  <c r="I2372" i="31"/>
  <c r="H2372" i="31"/>
  <c r="N2371" i="31"/>
  <c r="M2371" i="31"/>
  <c r="H2371" i="31"/>
  <c r="F2371" i="31"/>
  <c r="E2371" i="31"/>
  <c r="N2370" i="31"/>
  <c r="M2370" i="31"/>
  <c r="I2370" i="31"/>
  <c r="H2370" i="31"/>
  <c r="N2369" i="31"/>
  <c r="M2369" i="31"/>
  <c r="I2369" i="31"/>
  <c r="H2369" i="31"/>
  <c r="N2368" i="31"/>
  <c r="M2368" i="31"/>
  <c r="I2368" i="31"/>
  <c r="H2368" i="31"/>
  <c r="N2367" i="31"/>
  <c r="M2367" i="31"/>
  <c r="H2367" i="31"/>
  <c r="F2367" i="31"/>
  <c r="E2367" i="31"/>
  <c r="N2366" i="31"/>
  <c r="M2366" i="31"/>
  <c r="I2366" i="31"/>
  <c r="H2366" i="31"/>
  <c r="N2365" i="31"/>
  <c r="M2365" i="31"/>
  <c r="I2365" i="31"/>
  <c r="H2365" i="31"/>
  <c r="N2364" i="31"/>
  <c r="M2364" i="31"/>
  <c r="I2364" i="31"/>
  <c r="H2364" i="31"/>
  <c r="N2363" i="31"/>
  <c r="M2363" i="31"/>
  <c r="H2363" i="31"/>
  <c r="F2363" i="31"/>
  <c r="E2363" i="31"/>
  <c r="N2362" i="31"/>
  <c r="M2362" i="31"/>
  <c r="I2362" i="31"/>
  <c r="H2362" i="31"/>
  <c r="N2361" i="31"/>
  <c r="M2361" i="31"/>
  <c r="I2361" i="31"/>
  <c r="H2361" i="31"/>
  <c r="N2360" i="31"/>
  <c r="M2360" i="31"/>
  <c r="I2360" i="31"/>
  <c r="H2360" i="31"/>
  <c r="N2359" i="31"/>
  <c r="Q2359" i="31" s="1"/>
  <c r="M2359" i="31"/>
  <c r="H2359" i="31"/>
  <c r="F2359" i="31"/>
  <c r="E2359" i="31"/>
  <c r="N2358" i="31"/>
  <c r="M2358" i="31"/>
  <c r="I2358" i="31"/>
  <c r="H2358" i="31"/>
  <c r="N2357" i="31"/>
  <c r="M2357" i="31"/>
  <c r="I2357" i="31"/>
  <c r="H2357" i="31"/>
  <c r="N2356" i="31"/>
  <c r="M2356" i="31"/>
  <c r="I2356" i="31"/>
  <c r="H2356" i="31"/>
  <c r="N2355" i="31"/>
  <c r="P2357" i="31" s="1"/>
  <c r="M2355" i="31"/>
  <c r="H2355" i="31"/>
  <c r="F2355" i="31"/>
  <c r="E2355" i="31"/>
  <c r="N2354" i="31"/>
  <c r="M2354" i="31"/>
  <c r="I2354" i="31"/>
  <c r="H2354" i="31"/>
  <c r="N2353" i="31"/>
  <c r="M2353" i="31"/>
  <c r="I2353" i="31"/>
  <c r="H2353" i="31"/>
  <c r="N2352" i="31"/>
  <c r="M2352" i="31"/>
  <c r="I2352" i="31"/>
  <c r="H2352" i="31"/>
  <c r="N2351" i="31"/>
  <c r="P2354" i="31" s="1"/>
  <c r="M2351" i="31"/>
  <c r="H2351" i="31"/>
  <c r="F2351" i="31"/>
  <c r="E2351" i="31"/>
  <c r="N2350" i="31"/>
  <c r="M2350" i="31"/>
  <c r="I2350" i="31"/>
  <c r="H2350" i="31"/>
  <c r="N2349" i="31"/>
  <c r="M2349" i="31"/>
  <c r="I2349" i="31"/>
  <c r="H2349" i="31"/>
  <c r="N2348" i="31"/>
  <c r="M2348" i="31"/>
  <c r="I2348" i="31"/>
  <c r="H2348" i="31"/>
  <c r="N2347" i="31"/>
  <c r="P2349" i="31" s="1"/>
  <c r="M2347" i="31"/>
  <c r="H2347" i="31"/>
  <c r="F2347" i="31"/>
  <c r="E2347" i="31"/>
  <c r="N2346" i="31"/>
  <c r="M2346" i="31"/>
  <c r="I2346" i="31"/>
  <c r="H2346" i="31"/>
  <c r="N2345" i="31"/>
  <c r="M2345" i="31"/>
  <c r="I2345" i="31"/>
  <c r="H2345" i="31"/>
  <c r="N2344" i="31"/>
  <c r="M2344" i="31"/>
  <c r="I2344" i="31"/>
  <c r="H2344" i="31"/>
  <c r="N2343" i="31"/>
  <c r="Q2343" i="31" s="1"/>
  <c r="M2343" i="31"/>
  <c r="H2343" i="31"/>
  <c r="F2343" i="31"/>
  <c r="E2343" i="31"/>
  <c r="N2342" i="31"/>
  <c r="M2342" i="31"/>
  <c r="I2342" i="31"/>
  <c r="H2342" i="31"/>
  <c r="N2341" i="31"/>
  <c r="M2341" i="31"/>
  <c r="I2341" i="31"/>
  <c r="H2341" i="31"/>
  <c r="N2340" i="31"/>
  <c r="M2340" i="31"/>
  <c r="I2340" i="31"/>
  <c r="H2340" i="31"/>
  <c r="N2339" i="31"/>
  <c r="P2341" i="31" s="1"/>
  <c r="M2339" i="31"/>
  <c r="H2339" i="31"/>
  <c r="F2339" i="31"/>
  <c r="E2339" i="31"/>
  <c r="N2338" i="31"/>
  <c r="M2338" i="31"/>
  <c r="I2338" i="31"/>
  <c r="H2338" i="31"/>
  <c r="N2337" i="31"/>
  <c r="M2337" i="31"/>
  <c r="I2337" i="31"/>
  <c r="H2337" i="31"/>
  <c r="N2336" i="31"/>
  <c r="M2336" i="31"/>
  <c r="I2336" i="31"/>
  <c r="H2336" i="31"/>
  <c r="N2335" i="31"/>
  <c r="P2338" i="31" s="1"/>
  <c r="M2335" i="31"/>
  <c r="H2335" i="31"/>
  <c r="F2335" i="31"/>
  <c r="E2335" i="31"/>
  <c r="N2334" i="31"/>
  <c r="M2334" i="31"/>
  <c r="I2334" i="31"/>
  <c r="H2334" i="31"/>
  <c r="N2333" i="31"/>
  <c r="M2333" i="31"/>
  <c r="I2333" i="31"/>
  <c r="H2333" i="31"/>
  <c r="N2332" i="31"/>
  <c r="M2332" i="31"/>
  <c r="I2332" i="31"/>
  <c r="H2332" i="31"/>
  <c r="N2331" i="31"/>
  <c r="R2331" i="31" s="1"/>
  <c r="M2331" i="31"/>
  <c r="H2331" i="31"/>
  <c r="F2331" i="31"/>
  <c r="E2331" i="31"/>
  <c r="N2330" i="31"/>
  <c r="M2330" i="31"/>
  <c r="I2330" i="31"/>
  <c r="H2330" i="31"/>
  <c r="N2329" i="31"/>
  <c r="M2329" i="31"/>
  <c r="I2329" i="31"/>
  <c r="H2329" i="31"/>
  <c r="N2328" i="31"/>
  <c r="M2328" i="31"/>
  <c r="I2328" i="31"/>
  <c r="H2328" i="31"/>
  <c r="N2327" i="31"/>
  <c r="S2327" i="31" s="1"/>
  <c r="M2327" i="31"/>
  <c r="H2327" i="31"/>
  <c r="F2327" i="31"/>
  <c r="E2327" i="31"/>
  <c r="N2326" i="31"/>
  <c r="M2326" i="31"/>
  <c r="I2326" i="31"/>
  <c r="H2326" i="31"/>
  <c r="N2325" i="31"/>
  <c r="M2325" i="31"/>
  <c r="I2325" i="31"/>
  <c r="H2325" i="31"/>
  <c r="N2324" i="31"/>
  <c r="M2324" i="31"/>
  <c r="I2324" i="31"/>
  <c r="H2324" i="31"/>
  <c r="N2323" i="31"/>
  <c r="P2326" i="31" s="1"/>
  <c r="M2323" i="31"/>
  <c r="H2323" i="31"/>
  <c r="F2323" i="31"/>
  <c r="E2323" i="31"/>
  <c r="N2322" i="31"/>
  <c r="M2322" i="31"/>
  <c r="I2322" i="31"/>
  <c r="H2322" i="31"/>
  <c r="N2321" i="31"/>
  <c r="M2321" i="31"/>
  <c r="I2321" i="31"/>
  <c r="H2321" i="31"/>
  <c r="N2320" i="31"/>
  <c r="M2320" i="31"/>
  <c r="I2320" i="31"/>
  <c r="H2320" i="31"/>
  <c r="N2319" i="31"/>
  <c r="M2319" i="31"/>
  <c r="I2319" i="31"/>
  <c r="H2319" i="31"/>
  <c r="N2318" i="31"/>
  <c r="M2318" i="31"/>
  <c r="I2318" i="31"/>
  <c r="H2318" i="31"/>
  <c r="N2317" i="31"/>
  <c r="P2318" i="31" s="1"/>
  <c r="M2317" i="31"/>
  <c r="H2317" i="31"/>
  <c r="F2317" i="31"/>
  <c r="E2317" i="31"/>
  <c r="N2316" i="31"/>
  <c r="M2316" i="31"/>
  <c r="I2316" i="31"/>
  <c r="H2316" i="31"/>
  <c r="N2315" i="31"/>
  <c r="M2315" i="31"/>
  <c r="I2315" i="31"/>
  <c r="H2315" i="31"/>
  <c r="N2314" i="31"/>
  <c r="M2314" i="31"/>
  <c r="I2314" i="31"/>
  <c r="H2314" i="31"/>
  <c r="N2313" i="31"/>
  <c r="M2313" i="31"/>
  <c r="I2313" i="31"/>
  <c r="H2313" i="31"/>
  <c r="M2312" i="31"/>
  <c r="N2312" i="31" s="1"/>
  <c r="I2312" i="31"/>
  <c r="H2312" i="31"/>
  <c r="H2311" i="31"/>
  <c r="F2311" i="31"/>
  <c r="E2311" i="31"/>
  <c r="N2310" i="31"/>
  <c r="M2310" i="31"/>
  <c r="I2310" i="31"/>
  <c r="H2310" i="31"/>
  <c r="N2309" i="31"/>
  <c r="M2309" i="31"/>
  <c r="I2309" i="31"/>
  <c r="H2309" i="31"/>
  <c r="N2308" i="31"/>
  <c r="M2308" i="31"/>
  <c r="I2308" i="31"/>
  <c r="H2308" i="31"/>
  <c r="N2307" i="31"/>
  <c r="M2307" i="31"/>
  <c r="I2307" i="31"/>
  <c r="H2307" i="31"/>
  <c r="N2306" i="31"/>
  <c r="M2306" i="31"/>
  <c r="I2306" i="31"/>
  <c r="H2306" i="31"/>
  <c r="N2305" i="31"/>
  <c r="M2305" i="31"/>
  <c r="H2305" i="31"/>
  <c r="F2305" i="31"/>
  <c r="E2305" i="31"/>
  <c r="N2304" i="31"/>
  <c r="M2304" i="31"/>
  <c r="I2304" i="31"/>
  <c r="H2304" i="31"/>
  <c r="N2303" i="31"/>
  <c r="M2303" i="31"/>
  <c r="I2303" i="31"/>
  <c r="H2303" i="31"/>
  <c r="N2302" i="31"/>
  <c r="M2302" i="31"/>
  <c r="I2302" i="31"/>
  <c r="H2302" i="31"/>
  <c r="N2301" i="31"/>
  <c r="M2301" i="31"/>
  <c r="I2301" i="31"/>
  <c r="H2301" i="31"/>
  <c r="N2300" i="31"/>
  <c r="M2300" i="31"/>
  <c r="I2300" i="31"/>
  <c r="H2300" i="31"/>
  <c r="N2299" i="31"/>
  <c r="M2299" i="31"/>
  <c r="H2299" i="31"/>
  <c r="F2299" i="31"/>
  <c r="E2299" i="31"/>
  <c r="N2298" i="31"/>
  <c r="M2298" i="31"/>
  <c r="I2298" i="31"/>
  <c r="H2298" i="31"/>
  <c r="N2297" i="31"/>
  <c r="M2297" i="31"/>
  <c r="I2297" i="31"/>
  <c r="H2297" i="31"/>
  <c r="N2296" i="31"/>
  <c r="M2296" i="31"/>
  <c r="I2296" i="31"/>
  <c r="H2296" i="31"/>
  <c r="N2295" i="31"/>
  <c r="M2295" i="31"/>
  <c r="I2295" i="31"/>
  <c r="H2295" i="31"/>
  <c r="N2294" i="31"/>
  <c r="M2294" i="31"/>
  <c r="I2294" i="31"/>
  <c r="H2294" i="31"/>
  <c r="N2293" i="31"/>
  <c r="P2297" i="31" s="1"/>
  <c r="M2293" i="31"/>
  <c r="H2293" i="31"/>
  <c r="F2293" i="31"/>
  <c r="E2293" i="31"/>
  <c r="N2292" i="31"/>
  <c r="M2292" i="31"/>
  <c r="I2292" i="31"/>
  <c r="H2292" i="31"/>
  <c r="N2291" i="31"/>
  <c r="M2291" i="31"/>
  <c r="I2291" i="31"/>
  <c r="H2291" i="31"/>
  <c r="N2290" i="31"/>
  <c r="M2290" i="31"/>
  <c r="I2290" i="31"/>
  <c r="H2290" i="31"/>
  <c r="N2289" i="31"/>
  <c r="M2289" i="31"/>
  <c r="H2289" i="31"/>
  <c r="F2289" i="31"/>
  <c r="E2289" i="31"/>
  <c r="N2288" i="31"/>
  <c r="M2288" i="31"/>
  <c r="I2288" i="31"/>
  <c r="H2288" i="31"/>
  <c r="N2287" i="31"/>
  <c r="M2287" i="31"/>
  <c r="I2287" i="31"/>
  <c r="H2287" i="31"/>
  <c r="N2286" i="31"/>
  <c r="M2286" i="31"/>
  <c r="I2286" i="31"/>
  <c r="H2286" i="31"/>
  <c r="N2285" i="31"/>
  <c r="R2285" i="31" s="1"/>
  <c r="M2285" i="31"/>
  <c r="H2285" i="31"/>
  <c r="F2285" i="31"/>
  <c r="E2285" i="31"/>
  <c r="N2284" i="31"/>
  <c r="M2284" i="31"/>
  <c r="I2284" i="31"/>
  <c r="H2284" i="31"/>
  <c r="N2283" i="31"/>
  <c r="M2283" i="31"/>
  <c r="I2283" i="31"/>
  <c r="H2283" i="31"/>
  <c r="N2282" i="31"/>
  <c r="M2282" i="31"/>
  <c r="I2282" i="31"/>
  <c r="H2282" i="31"/>
  <c r="N2281" i="31"/>
  <c r="P2282" i="31" s="1"/>
  <c r="M2281" i="31"/>
  <c r="H2281" i="31"/>
  <c r="F2281" i="31"/>
  <c r="E2281" i="31"/>
  <c r="N2280" i="31"/>
  <c r="M2280" i="31"/>
  <c r="I2280" i="31"/>
  <c r="H2280" i="31"/>
  <c r="N2279" i="31"/>
  <c r="M2279" i="31"/>
  <c r="I2279" i="31"/>
  <c r="H2279" i="31"/>
  <c r="N2278" i="31"/>
  <c r="M2278" i="31"/>
  <c r="I2278" i="31"/>
  <c r="H2278" i="31"/>
  <c r="N2277" i="31"/>
  <c r="M2277" i="31"/>
  <c r="H2277" i="31"/>
  <c r="F2277" i="31"/>
  <c r="E2277" i="31"/>
  <c r="N2276" i="31"/>
  <c r="M2276" i="31"/>
  <c r="I2276" i="31"/>
  <c r="H2276" i="31"/>
  <c r="N2275" i="31"/>
  <c r="M2275" i="31"/>
  <c r="I2275" i="31"/>
  <c r="H2275" i="31"/>
  <c r="N2274" i="31"/>
  <c r="M2274" i="31"/>
  <c r="I2274" i="31"/>
  <c r="H2274" i="31"/>
  <c r="N2273" i="31"/>
  <c r="P2276" i="31" s="1"/>
  <c r="M2273" i="31"/>
  <c r="H2273" i="31"/>
  <c r="F2273" i="31"/>
  <c r="E2273" i="31"/>
  <c r="N2272" i="31"/>
  <c r="M2272" i="31"/>
  <c r="I2272" i="31"/>
  <c r="H2272" i="31"/>
  <c r="N2271" i="31"/>
  <c r="M2271" i="31"/>
  <c r="I2271" i="31"/>
  <c r="H2271" i="31"/>
  <c r="N2270" i="31"/>
  <c r="M2270" i="31"/>
  <c r="I2270" i="31"/>
  <c r="H2270" i="31"/>
  <c r="N2269" i="31"/>
  <c r="P2270" i="31" s="1"/>
  <c r="M2269" i="31"/>
  <c r="H2269" i="31"/>
  <c r="F2269" i="31"/>
  <c r="E2269" i="31"/>
  <c r="N2268" i="31"/>
  <c r="M2268" i="31"/>
  <c r="I2268" i="31"/>
  <c r="H2268" i="31"/>
  <c r="N2267" i="31"/>
  <c r="M2267" i="31"/>
  <c r="I2267" i="31"/>
  <c r="H2267" i="31"/>
  <c r="N2266" i="31"/>
  <c r="M2266" i="31"/>
  <c r="I2266" i="31"/>
  <c r="H2266" i="31"/>
  <c r="N2265" i="31"/>
  <c r="M2265" i="31"/>
  <c r="H2265" i="31"/>
  <c r="F2265" i="31"/>
  <c r="E2265" i="31"/>
  <c r="N2264" i="31"/>
  <c r="M2264" i="31"/>
  <c r="I2264" i="31"/>
  <c r="H2264" i="31"/>
  <c r="N2263" i="31"/>
  <c r="M2263" i="31"/>
  <c r="I2263" i="31"/>
  <c r="H2263" i="31"/>
  <c r="N2262" i="31"/>
  <c r="M2262" i="31"/>
  <c r="I2262" i="31"/>
  <c r="H2262" i="31"/>
  <c r="N2261" i="31"/>
  <c r="P2264" i="31" s="1"/>
  <c r="M2261" i="31"/>
  <c r="H2261" i="31"/>
  <c r="F2261" i="31"/>
  <c r="E2261" i="31"/>
  <c r="N2260" i="31"/>
  <c r="M2260" i="31"/>
  <c r="I2260" i="31"/>
  <c r="H2260" i="31"/>
  <c r="N2259" i="31"/>
  <c r="M2259" i="31"/>
  <c r="I2259" i="31"/>
  <c r="H2259" i="31"/>
  <c r="N2258" i="31"/>
  <c r="M2258" i="31"/>
  <c r="I2258" i="31"/>
  <c r="H2258" i="31"/>
  <c r="N2257" i="31"/>
  <c r="M2257" i="31"/>
  <c r="H2257" i="31"/>
  <c r="F2257" i="31"/>
  <c r="E2257" i="31"/>
  <c r="N2256" i="31"/>
  <c r="M2256" i="31"/>
  <c r="I2256" i="31"/>
  <c r="H2256" i="31"/>
  <c r="N2255" i="31"/>
  <c r="M2255" i="31"/>
  <c r="I2255" i="31"/>
  <c r="H2255" i="31"/>
  <c r="N2254" i="31"/>
  <c r="M2254" i="31"/>
  <c r="I2254" i="31"/>
  <c r="H2254" i="31"/>
  <c r="N2253" i="31"/>
  <c r="S2253" i="31" s="1"/>
  <c r="M2253" i="31"/>
  <c r="H2253" i="31"/>
  <c r="F2253" i="31"/>
  <c r="E2253" i="31"/>
  <c r="N2252" i="31"/>
  <c r="M2252" i="31"/>
  <c r="I2252" i="31"/>
  <c r="H2252" i="31"/>
  <c r="N2251" i="31"/>
  <c r="M2251" i="31"/>
  <c r="I2251" i="31"/>
  <c r="H2251" i="31"/>
  <c r="N2250" i="31"/>
  <c r="M2250" i="31"/>
  <c r="I2250" i="31"/>
  <c r="H2250" i="31"/>
  <c r="N2249" i="31"/>
  <c r="P2252" i="31" s="1"/>
  <c r="M2249" i="31"/>
  <c r="H2249" i="31"/>
  <c r="F2249" i="31"/>
  <c r="E2249" i="31"/>
  <c r="N2248" i="31"/>
  <c r="M2248" i="31"/>
  <c r="I2248" i="31"/>
  <c r="H2248" i="31"/>
  <c r="N2247" i="31"/>
  <c r="M2247" i="31"/>
  <c r="I2247" i="31"/>
  <c r="H2247" i="31"/>
  <c r="N2246" i="31"/>
  <c r="M2246" i="31"/>
  <c r="I2246" i="31"/>
  <c r="H2246" i="31"/>
  <c r="N2245" i="31"/>
  <c r="Q2245" i="31" s="1"/>
  <c r="M2245" i="31"/>
  <c r="H2245" i="31"/>
  <c r="F2245" i="31"/>
  <c r="E2245" i="31"/>
  <c r="N2244" i="31"/>
  <c r="M2244" i="31"/>
  <c r="I2244" i="31"/>
  <c r="H2244" i="31"/>
  <c r="N2243" i="31"/>
  <c r="M2243" i="31"/>
  <c r="I2243" i="31"/>
  <c r="H2243" i="31"/>
  <c r="N2242" i="31"/>
  <c r="M2242" i="31"/>
  <c r="I2242" i="31"/>
  <c r="H2242" i="31"/>
  <c r="N2241" i="31"/>
  <c r="M2241" i="31"/>
  <c r="I2241" i="31"/>
  <c r="H2241" i="31"/>
  <c r="N2240" i="31"/>
  <c r="M2240" i="31"/>
  <c r="I2240" i="31"/>
  <c r="H2240" i="31"/>
  <c r="N2239" i="31"/>
  <c r="P2241" i="31" s="1"/>
  <c r="M2239" i="31"/>
  <c r="H2239" i="31"/>
  <c r="F2239" i="31"/>
  <c r="E2239" i="31"/>
  <c r="N2238" i="31"/>
  <c r="M2238" i="31"/>
  <c r="I2238" i="31"/>
  <c r="H2238" i="31"/>
  <c r="N2237" i="31"/>
  <c r="M2237" i="31"/>
  <c r="I2237" i="31"/>
  <c r="H2237" i="31"/>
  <c r="N2236" i="31"/>
  <c r="M2236" i="31"/>
  <c r="I2236" i="31"/>
  <c r="H2236" i="31"/>
  <c r="N2235" i="31"/>
  <c r="M2235" i="31"/>
  <c r="I2235" i="31"/>
  <c r="H2235" i="31"/>
  <c r="N2234" i="31"/>
  <c r="M2234" i="31"/>
  <c r="I2234" i="31"/>
  <c r="H2234" i="31"/>
  <c r="H2233" i="31"/>
  <c r="F2233" i="31"/>
  <c r="E2233" i="31"/>
  <c r="N2232" i="31"/>
  <c r="M2232" i="31"/>
  <c r="I2232" i="31"/>
  <c r="H2232" i="31"/>
  <c r="N2231" i="31"/>
  <c r="M2231" i="31"/>
  <c r="I2231" i="31"/>
  <c r="H2231" i="31"/>
  <c r="N2230" i="31"/>
  <c r="M2230" i="31"/>
  <c r="I2230" i="31"/>
  <c r="H2230" i="31"/>
  <c r="N2229" i="31"/>
  <c r="M2229" i="31"/>
  <c r="I2229" i="31"/>
  <c r="H2229" i="31"/>
  <c r="N2228" i="31"/>
  <c r="M2228" i="31"/>
  <c r="I2228" i="31"/>
  <c r="H2228" i="31"/>
  <c r="N2227" i="31"/>
  <c r="M2227" i="31"/>
  <c r="H2227" i="31"/>
  <c r="F2227" i="31"/>
  <c r="E2227" i="31"/>
  <c r="N2226" i="31"/>
  <c r="M2226" i="31"/>
  <c r="I2226" i="31"/>
  <c r="H2226" i="31"/>
  <c r="N2225" i="31"/>
  <c r="M2225" i="31"/>
  <c r="I2225" i="31"/>
  <c r="H2225" i="31"/>
  <c r="N2224" i="31"/>
  <c r="M2224" i="31"/>
  <c r="I2224" i="31"/>
  <c r="H2224" i="31"/>
  <c r="N2223" i="31"/>
  <c r="M2223" i="31"/>
  <c r="I2223" i="31"/>
  <c r="H2223" i="31"/>
  <c r="N2222" i="31"/>
  <c r="M2222" i="31"/>
  <c r="I2222" i="31"/>
  <c r="H2222" i="31"/>
  <c r="N2221" i="31"/>
  <c r="M2221" i="31"/>
  <c r="H2221" i="31"/>
  <c r="F2221" i="31"/>
  <c r="E2221" i="31"/>
  <c r="N2220" i="31"/>
  <c r="M2220" i="31"/>
  <c r="I2220" i="31"/>
  <c r="H2220" i="31"/>
  <c r="N2219" i="31"/>
  <c r="M2219" i="31"/>
  <c r="I2219" i="31"/>
  <c r="H2219" i="31"/>
  <c r="N2218" i="31"/>
  <c r="M2218" i="31"/>
  <c r="I2218" i="31"/>
  <c r="H2218" i="31"/>
  <c r="N2217" i="31"/>
  <c r="M2217" i="31"/>
  <c r="I2217" i="31"/>
  <c r="H2217" i="31"/>
  <c r="N2216" i="31"/>
  <c r="M2216" i="31"/>
  <c r="I2216" i="31"/>
  <c r="H2216" i="31"/>
  <c r="N2215" i="31"/>
  <c r="Q2215" i="31" s="1"/>
  <c r="M2215" i="31"/>
  <c r="H2215" i="31"/>
  <c r="F2215" i="31"/>
  <c r="E2215" i="31"/>
  <c r="N2214" i="31"/>
  <c r="M2214" i="31"/>
  <c r="I2214" i="31"/>
  <c r="H2214" i="31"/>
  <c r="N2213" i="31"/>
  <c r="M2213" i="31"/>
  <c r="I2213" i="31"/>
  <c r="H2213" i="31"/>
  <c r="N2212" i="31"/>
  <c r="M2212" i="31"/>
  <c r="I2212" i="31"/>
  <c r="H2212" i="31"/>
  <c r="N2211" i="31"/>
  <c r="R2211" i="31" s="1"/>
  <c r="M2211" i="31"/>
  <c r="H2211" i="31"/>
  <c r="F2211" i="31"/>
  <c r="E2211" i="31"/>
  <c r="N2210" i="31"/>
  <c r="M2210" i="31"/>
  <c r="I2210" i="31"/>
  <c r="H2210" i="31"/>
  <c r="N2209" i="31"/>
  <c r="M2209" i="31"/>
  <c r="I2209" i="31"/>
  <c r="H2209" i="31"/>
  <c r="N2208" i="31"/>
  <c r="M2208" i="31"/>
  <c r="I2208" i="31"/>
  <c r="H2208" i="31"/>
  <c r="N2207" i="31"/>
  <c r="S2207" i="31" s="1"/>
  <c r="M2207" i="31"/>
  <c r="H2207" i="31"/>
  <c r="F2207" i="31"/>
  <c r="E2207" i="31"/>
  <c r="N2206" i="31"/>
  <c r="M2206" i="31"/>
  <c r="I2206" i="31"/>
  <c r="H2206" i="31"/>
  <c r="N2205" i="31"/>
  <c r="M2205" i="31"/>
  <c r="I2205" i="31"/>
  <c r="H2205" i="31"/>
  <c r="N2204" i="31"/>
  <c r="M2204" i="31"/>
  <c r="I2204" i="31"/>
  <c r="H2204" i="31"/>
  <c r="N2203" i="31"/>
  <c r="M2203" i="31"/>
  <c r="H2203" i="31"/>
  <c r="F2203" i="31"/>
  <c r="E2203" i="31"/>
  <c r="N2202" i="31"/>
  <c r="M2202" i="31"/>
  <c r="I2202" i="31"/>
  <c r="H2202" i="31"/>
  <c r="N2201" i="31"/>
  <c r="M2201" i="31"/>
  <c r="I2201" i="31"/>
  <c r="H2201" i="31"/>
  <c r="N2200" i="31"/>
  <c r="M2200" i="31"/>
  <c r="I2200" i="31"/>
  <c r="H2200" i="31"/>
  <c r="N2199" i="31"/>
  <c r="P2201" i="31" s="1"/>
  <c r="M2199" i="31"/>
  <c r="H2199" i="31"/>
  <c r="F2199" i="31"/>
  <c r="E2199" i="31"/>
  <c r="N2198" i="31"/>
  <c r="M2198" i="31"/>
  <c r="I2198" i="31"/>
  <c r="H2198" i="31"/>
  <c r="N2197" i="31"/>
  <c r="M2197" i="31"/>
  <c r="I2197" i="31"/>
  <c r="H2197" i="31"/>
  <c r="N2196" i="31"/>
  <c r="M2196" i="31"/>
  <c r="I2196" i="31"/>
  <c r="H2196" i="31"/>
  <c r="N2195" i="31"/>
  <c r="P2197" i="31" s="1"/>
  <c r="M2195" i="31"/>
  <c r="H2195" i="31"/>
  <c r="F2195" i="31"/>
  <c r="E2195" i="31"/>
  <c r="N2194" i="31"/>
  <c r="M2194" i="31"/>
  <c r="I2194" i="31"/>
  <c r="H2194" i="31"/>
  <c r="N2193" i="31"/>
  <c r="M2193" i="31"/>
  <c r="I2193" i="31"/>
  <c r="H2193" i="31"/>
  <c r="N2192" i="31"/>
  <c r="M2192" i="31"/>
  <c r="I2192" i="31"/>
  <c r="H2192" i="31"/>
  <c r="N2191" i="31"/>
  <c r="M2191" i="31"/>
  <c r="H2191" i="31"/>
  <c r="F2191" i="31"/>
  <c r="E2191" i="31"/>
  <c r="N2190" i="31"/>
  <c r="M2190" i="31"/>
  <c r="I2190" i="31"/>
  <c r="H2190" i="31"/>
  <c r="N2189" i="31"/>
  <c r="M2189" i="31"/>
  <c r="I2189" i="31"/>
  <c r="H2189" i="31"/>
  <c r="N2188" i="31"/>
  <c r="M2188" i="31"/>
  <c r="I2188" i="31"/>
  <c r="H2188" i="31"/>
  <c r="N2187" i="31"/>
  <c r="P2189" i="31" s="1"/>
  <c r="M2187" i="31"/>
  <c r="H2187" i="31"/>
  <c r="F2187" i="31"/>
  <c r="E2187" i="31"/>
  <c r="N2186" i="31"/>
  <c r="M2186" i="31"/>
  <c r="I2186" i="31"/>
  <c r="H2186" i="31"/>
  <c r="N2185" i="31"/>
  <c r="M2185" i="31"/>
  <c r="I2185" i="31"/>
  <c r="H2185" i="31"/>
  <c r="N2184" i="31"/>
  <c r="M2184" i="31"/>
  <c r="I2184" i="31"/>
  <c r="H2184" i="31"/>
  <c r="N2183" i="31"/>
  <c r="M2183" i="31"/>
  <c r="H2183" i="31"/>
  <c r="F2183" i="31"/>
  <c r="E2183" i="31"/>
  <c r="N2182" i="31"/>
  <c r="M2182" i="31"/>
  <c r="I2182" i="31"/>
  <c r="H2182" i="31"/>
  <c r="N2181" i="31"/>
  <c r="M2181" i="31"/>
  <c r="I2181" i="31"/>
  <c r="H2181" i="31"/>
  <c r="N2180" i="31"/>
  <c r="M2180" i="31"/>
  <c r="I2180" i="31"/>
  <c r="H2180" i="31"/>
  <c r="N2179" i="31"/>
  <c r="M2179" i="31"/>
  <c r="I2179" i="31"/>
  <c r="H2179" i="31"/>
  <c r="N2178" i="31"/>
  <c r="M2178" i="31"/>
  <c r="I2178" i="31"/>
  <c r="H2178" i="31"/>
  <c r="N2177" i="31"/>
  <c r="M2177" i="31"/>
  <c r="H2177" i="31"/>
  <c r="F2177" i="31"/>
  <c r="E2177" i="31"/>
  <c r="N2176" i="31"/>
  <c r="M2176" i="31"/>
  <c r="I2176" i="31"/>
  <c r="H2176" i="31"/>
  <c r="N2175" i="31"/>
  <c r="M2175" i="31"/>
  <c r="I2175" i="31"/>
  <c r="H2175" i="31"/>
  <c r="N2174" i="31"/>
  <c r="M2174" i="31"/>
  <c r="I2174" i="31"/>
  <c r="H2174" i="31"/>
  <c r="N2173" i="31"/>
  <c r="M2173" i="31"/>
  <c r="I2173" i="31"/>
  <c r="H2173" i="31"/>
  <c r="N2172" i="31"/>
  <c r="M2172" i="31"/>
  <c r="I2172" i="31"/>
  <c r="H2172" i="31"/>
  <c r="N2171" i="31"/>
  <c r="M2171" i="31"/>
  <c r="H2171" i="31"/>
  <c r="F2171" i="31"/>
  <c r="E2171" i="31"/>
  <c r="N2170" i="31"/>
  <c r="M2170" i="31"/>
  <c r="I2170" i="31"/>
  <c r="H2170" i="31"/>
  <c r="N2169" i="31"/>
  <c r="M2169" i="31"/>
  <c r="I2169" i="31"/>
  <c r="H2169" i="31"/>
  <c r="N2168" i="31"/>
  <c r="M2168" i="31"/>
  <c r="I2168" i="31"/>
  <c r="H2168" i="31"/>
  <c r="N2167" i="31"/>
  <c r="M2167" i="31"/>
  <c r="I2167" i="31"/>
  <c r="H2167" i="31"/>
  <c r="N2166" i="31"/>
  <c r="M2166" i="31"/>
  <c r="I2166" i="31"/>
  <c r="H2166" i="31"/>
  <c r="N2165" i="31"/>
  <c r="P2167" i="31" s="1"/>
  <c r="M2165" i="31"/>
  <c r="H2165" i="31"/>
  <c r="F2165" i="31"/>
  <c r="E2165" i="31"/>
  <c r="N2164" i="31"/>
  <c r="M2164" i="31"/>
  <c r="I2164" i="31"/>
  <c r="H2164" i="31"/>
  <c r="N2163" i="31"/>
  <c r="M2163" i="31"/>
  <c r="I2163" i="31"/>
  <c r="H2163" i="31"/>
  <c r="N2162" i="31"/>
  <c r="M2162" i="31"/>
  <c r="I2162" i="31"/>
  <c r="H2162" i="31"/>
  <c r="N2161" i="31"/>
  <c r="M2161" i="31"/>
  <c r="I2161" i="31"/>
  <c r="H2161" i="31"/>
  <c r="N2160" i="31"/>
  <c r="M2160" i="31"/>
  <c r="I2160" i="31"/>
  <c r="H2160" i="31"/>
  <c r="N2159" i="31"/>
  <c r="M2159" i="31"/>
  <c r="H2159" i="31"/>
  <c r="F2159" i="31"/>
  <c r="E2159" i="31"/>
  <c r="N2158" i="31"/>
  <c r="M2158" i="31"/>
  <c r="I2158" i="31"/>
  <c r="H2158" i="31"/>
  <c r="N2157" i="31"/>
  <c r="M2157" i="31"/>
  <c r="I2157" i="31"/>
  <c r="H2157" i="31"/>
  <c r="N2156" i="31"/>
  <c r="M2156" i="31"/>
  <c r="I2156" i="31"/>
  <c r="H2156" i="31"/>
  <c r="N2155" i="31"/>
  <c r="P2158" i="31" s="1"/>
  <c r="M2155" i="31"/>
  <c r="H2155" i="31"/>
  <c r="F2155" i="31"/>
  <c r="E2155" i="31"/>
  <c r="N2154" i="31"/>
  <c r="M2154" i="31"/>
  <c r="I2154" i="31"/>
  <c r="H2154" i="31"/>
  <c r="N2153" i="31"/>
  <c r="M2153" i="31"/>
  <c r="I2153" i="31"/>
  <c r="H2153" i="31"/>
  <c r="N2152" i="31"/>
  <c r="M2152" i="31"/>
  <c r="I2152" i="31"/>
  <c r="H2152" i="31"/>
  <c r="N2151" i="31"/>
  <c r="P2152" i="31" s="1"/>
  <c r="M2151" i="31"/>
  <c r="H2151" i="31"/>
  <c r="F2151" i="31"/>
  <c r="E2151" i="31"/>
  <c r="N2150" i="31"/>
  <c r="M2150" i="31"/>
  <c r="I2150" i="31"/>
  <c r="H2150" i="31"/>
  <c r="N2149" i="31"/>
  <c r="M2149" i="31"/>
  <c r="I2149" i="31"/>
  <c r="H2149" i="31"/>
  <c r="N2148" i="31"/>
  <c r="M2148" i="31"/>
  <c r="I2148" i="31"/>
  <c r="H2148" i="31"/>
  <c r="N2147" i="31"/>
  <c r="M2147" i="31"/>
  <c r="H2147" i="31"/>
  <c r="F2147" i="31"/>
  <c r="E2147" i="31"/>
  <c r="N2146" i="31"/>
  <c r="M2146" i="31"/>
  <c r="I2146" i="31"/>
  <c r="H2146" i="31"/>
  <c r="N2145" i="31"/>
  <c r="M2145" i="31"/>
  <c r="I2145" i="31"/>
  <c r="H2145" i="31"/>
  <c r="N2144" i="31"/>
  <c r="M2144" i="31"/>
  <c r="I2144" i="31"/>
  <c r="H2144" i="31"/>
  <c r="N2143" i="31"/>
  <c r="S2143" i="31" s="1"/>
  <c r="M2143" i="31"/>
  <c r="H2143" i="31"/>
  <c r="F2143" i="31"/>
  <c r="E2143" i="31"/>
  <c r="N2142" i="31"/>
  <c r="M2142" i="31"/>
  <c r="I2142" i="31"/>
  <c r="H2142" i="31"/>
  <c r="N2141" i="31"/>
  <c r="M2141" i="31"/>
  <c r="I2141" i="31"/>
  <c r="H2141" i="31"/>
  <c r="N2140" i="31"/>
  <c r="M2140" i="31"/>
  <c r="I2140" i="31"/>
  <c r="H2140" i="31"/>
  <c r="N2139" i="31"/>
  <c r="S2139" i="31" s="1"/>
  <c r="M2139" i="31"/>
  <c r="H2139" i="31"/>
  <c r="F2139" i="31"/>
  <c r="E2139" i="31"/>
  <c r="N2138" i="31"/>
  <c r="M2138" i="31"/>
  <c r="I2138" i="31"/>
  <c r="H2138" i="31"/>
  <c r="N2137" i="31"/>
  <c r="M2137" i="31"/>
  <c r="I2137" i="31"/>
  <c r="H2137" i="31"/>
  <c r="N2136" i="31"/>
  <c r="M2136" i="31"/>
  <c r="I2136" i="31"/>
  <c r="H2136" i="31"/>
  <c r="N2135" i="31"/>
  <c r="P2138" i="31" s="1"/>
  <c r="M2135" i="31"/>
  <c r="H2135" i="31"/>
  <c r="F2135" i="31"/>
  <c r="E2135" i="31"/>
  <c r="N2134" i="31"/>
  <c r="M2134" i="31"/>
  <c r="I2134" i="31"/>
  <c r="H2134" i="31"/>
  <c r="N2133" i="31"/>
  <c r="M2133" i="31"/>
  <c r="I2133" i="31"/>
  <c r="H2133" i="31"/>
  <c r="N2132" i="31"/>
  <c r="M2132" i="31"/>
  <c r="I2132" i="31"/>
  <c r="H2132" i="31"/>
  <c r="N2131" i="31"/>
  <c r="R2131" i="31" s="1"/>
  <c r="M2131" i="31"/>
  <c r="H2131" i="31"/>
  <c r="F2131" i="31"/>
  <c r="E2131" i="31"/>
  <c r="N2130" i="31"/>
  <c r="M2130" i="31"/>
  <c r="I2130" i="31"/>
  <c r="H2130" i="31"/>
  <c r="N2129" i="31"/>
  <c r="M2129" i="31"/>
  <c r="I2129" i="31"/>
  <c r="H2129" i="31"/>
  <c r="N2128" i="31"/>
  <c r="M2128" i="31"/>
  <c r="I2128" i="31"/>
  <c r="H2128" i="31"/>
  <c r="N2127" i="31"/>
  <c r="P2128" i="31" s="1"/>
  <c r="M2127" i="31"/>
  <c r="H2127" i="31"/>
  <c r="F2127" i="31"/>
  <c r="E2127" i="31"/>
  <c r="N2126" i="31"/>
  <c r="M2126" i="31"/>
  <c r="I2126" i="31"/>
  <c r="H2126" i="31"/>
  <c r="N2125" i="31"/>
  <c r="M2125" i="31"/>
  <c r="I2125" i="31"/>
  <c r="H2125" i="31"/>
  <c r="N2124" i="31"/>
  <c r="M2124" i="31"/>
  <c r="I2124" i="31"/>
  <c r="H2124" i="31"/>
  <c r="N2123" i="31"/>
  <c r="M2123" i="31"/>
  <c r="I2123" i="31"/>
  <c r="H2123" i="31"/>
  <c r="N2122" i="31"/>
  <c r="M2122" i="31"/>
  <c r="I2122" i="31"/>
  <c r="H2122" i="31"/>
  <c r="N2121" i="31"/>
  <c r="M2121" i="31"/>
  <c r="H2121" i="31"/>
  <c r="F2121" i="31"/>
  <c r="E2121" i="31"/>
  <c r="N2120" i="31"/>
  <c r="M2120" i="31"/>
  <c r="I2120" i="31"/>
  <c r="H2120" i="31"/>
  <c r="N2119" i="31"/>
  <c r="M2119" i="31"/>
  <c r="I2119" i="31"/>
  <c r="H2119" i="31"/>
  <c r="N2118" i="31"/>
  <c r="M2118" i="31"/>
  <c r="I2118" i="31"/>
  <c r="H2118" i="31"/>
  <c r="N2117" i="31"/>
  <c r="M2117" i="31"/>
  <c r="I2117" i="31"/>
  <c r="H2117" i="31"/>
  <c r="N2116" i="31"/>
  <c r="M2116" i="31"/>
  <c r="I2116" i="31"/>
  <c r="H2116" i="31"/>
  <c r="N2115" i="31"/>
  <c r="M2115" i="31"/>
  <c r="H2115" i="31"/>
  <c r="F2115" i="31"/>
  <c r="E2115" i="31"/>
  <c r="N2114" i="31"/>
  <c r="M2114" i="31"/>
  <c r="I2114" i="31"/>
  <c r="H2114" i="31"/>
  <c r="N2113" i="31"/>
  <c r="M2113" i="31"/>
  <c r="I2113" i="31"/>
  <c r="H2113" i="31"/>
  <c r="N2112" i="31"/>
  <c r="M2112" i="31"/>
  <c r="I2112" i="31"/>
  <c r="H2112" i="31"/>
  <c r="N2111" i="31"/>
  <c r="M2111" i="31"/>
  <c r="I2111" i="31"/>
  <c r="H2111" i="31"/>
  <c r="N2110" i="31"/>
  <c r="M2110" i="31"/>
  <c r="I2110" i="31"/>
  <c r="H2110" i="31"/>
  <c r="H2109" i="31"/>
  <c r="F2109" i="31"/>
  <c r="E2109" i="31"/>
  <c r="N2108" i="31"/>
  <c r="M2108" i="31"/>
  <c r="I2108" i="31"/>
  <c r="H2108" i="31"/>
  <c r="N2107" i="31"/>
  <c r="M2107" i="31"/>
  <c r="I2107" i="31"/>
  <c r="H2107" i="31"/>
  <c r="N2106" i="31"/>
  <c r="M2106" i="31"/>
  <c r="I2106" i="31"/>
  <c r="H2106" i="31"/>
  <c r="N2105" i="31"/>
  <c r="M2105" i="31"/>
  <c r="I2105" i="31"/>
  <c r="H2105" i="31"/>
  <c r="N2104" i="31"/>
  <c r="M2104" i="31"/>
  <c r="I2104" i="31"/>
  <c r="H2104" i="31"/>
  <c r="N2103" i="31"/>
  <c r="P2108" i="31" s="1"/>
  <c r="M2103" i="31"/>
  <c r="H2103" i="31"/>
  <c r="F2103" i="31"/>
  <c r="E2103" i="31"/>
  <c r="N2102" i="31"/>
  <c r="M2102" i="31"/>
  <c r="I2102" i="31"/>
  <c r="H2102" i="31"/>
  <c r="F2102" i="31"/>
  <c r="N2101" i="31"/>
  <c r="M2101" i="31"/>
  <c r="I2101" i="31"/>
  <c r="H2101" i="31"/>
  <c r="F2101" i="31"/>
  <c r="N2100" i="31"/>
  <c r="M2100" i="31"/>
  <c r="I2100" i="31"/>
  <c r="H2100" i="31"/>
  <c r="F2100" i="31"/>
  <c r="N2099" i="31"/>
  <c r="M2099" i="31"/>
  <c r="I2099" i="31"/>
  <c r="H2099" i="31"/>
  <c r="F2099" i="31"/>
  <c r="N2098" i="31"/>
  <c r="M2098" i="31"/>
  <c r="H2098" i="31"/>
  <c r="F2098" i="31"/>
  <c r="E2098" i="31"/>
  <c r="N2097" i="31"/>
  <c r="M2097" i="31"/>
  <c r="I2097" i="31"/>
  <c r="H2097" i="31"/>
  <c r="F2097" i="31"/>
  <c r="N2096" i="31"/>
  <c r="M2096" i="31"/>
  <c r="I2096" i="31"/>
  <c r="H2096" i="31"/>
  <c r="F2096" i="31"/>
  <c r="N2095" i="31"/>
  <c r="M2095" i="31"/>
  <c r="I2095" i="31"/>
  <c r="H2095" i="31"/>
  <c r="F2095" i="31"/>
  <c r="N2094" i="31"/>
  <c r="M2094" i="31"/>
  <c r="I2094" i="31"/>
  <c r="H2094" i="31"/>
  <c r="F2094" i="31"/>
  <c r="N2093" i="31"/>
  <c r="P2095" i="31" s="1"/>
  <c r="M2093" i="31"/>
  <c r="H2093" i="31"/>
  <c r="F2093" i="31"/>
  <c r="E2093" i="31"/>
  <c r="N2092" i="31"/>
  <c r="M2092" i="31"/>
  <c r="I2092" i="31"/>
  <c r="H2092" i="31"/>
  <c r="F2092" i="31"/>
  <c r="N2091" i="31"/>
  <c r="M2091" i="31"/>
  <c r="I2091" i="31"/>
  <c r="H2091" i="31"/>
  <c r="F2091" i="31"/>
  <c r="N2090" i="31"/>
  <c r="M2090" i="31"/>
  <c r="I2090" i="31"/>
  <c r="H2090" i="31"/>
  <c r="F2090" i="31"/>
  <c r="N2089" i="31"/>
  <c r="M2089" i="31"/>
  <c r="I2089" i="31"/>
  <c r="H2089" i="31"/>
  <c r="F2089" i="31"/>
  <c r="N2088" i="31"/>
  <c r="P2092" i="31" s="1"/>
  <c r="M2088" i="31"/>
  <c r="H2088" i="31"/>
  <c r="F2088" i="31"/>
  <c r="E2088" i="31"/>
  <c r="N2087" i="31"/>
  <c r="M2087" i="31"/>
  <c r="I2087" i="31"/>
  <c r="H2087" i="31"/>
  <c r="F2087" i="31"/>
  <c r="N2086" i="31"/>
  <c r="M2086" i="31"/>
  <c r="I2086" i="31"/>
  <c r="H2086" i="31"/>
  <c r="F2086" i="31"/>
  <c r="N2085" i="31"/>
  <c r="M2085" i="31"/>
  <c r="I2085" i="31"/>
  <c r="H2085" i="31"/>
  <c r="F2085" i="31"/>
  <c r="N2084" i="31"/>
  <c r="M2084" i="31"/>
  <c r="I2084" i="31"/>
  <c r="H2084" i="31"/>
  <c r="F2084" i="31"/>
  <c r="N2083" i="31"/>
  <c r="P2085" i="31" s="1"/>
  <c r="M2083" i="31"/>
  <c r="H2083" i="31"/>
  <c r="F2083" i="31"/>
  <c r="E2083" i="31"/>
  <c r="N2082" i="31"/>
  <c r="M2082" i="31"/>
  <c r="I2082" i="31"/>
  <c r="H2082" i="31"/>
  <c r="F2082" i="31"/>
  <c r="N2081" i="31"/>
  <c r="M2081" i="31"/>
  <c r="I2081" i="31"/>
  <c r="H2081" i="31"/>
  <c r="F2081" i="31"/>
  <c r="N2080" i="31"/>
  <c r="M2080" i="31"/>
  <c r="I2080" i="31"/>
  <c r="H2080" i="31"/>
  <c r="F2080" i="31"/>
  <c r="N2079" i="31"/>
  <c r="M2079" i="31"/>
  <c r="I2079" i="31"/>
  <c r="H2079" i="31"/>
  <c r="F2079" i="31"/>
  <c r="N2078" i="31"/>
  <c r="P2082" i="31" s="1"/>
  <c r="M2078" i="31"/>
  <c r="H2078" i="31"/>
  <c r="F2078" i="31"/>
  <c r="E2078" i="31"/>
  <c r="N2077" i="31"/>
  <c r="M2077" i="31"/>
  <c r="I2077" i="31"/>
  <c r="H2077" i="31"/>
  <c r="F2077" i="31"/>
  <c r="N2076" i="31"/>
  <c r="M2076" i="31"/>
  <c r="I2076" i="31"/>
  <c r="H2076" i="31"/>
  <c r="F2076" i="31"/>
  <c r="N2075" i="31"/>
  <c r="M2075" i="31"/>
  <c r="I2075" i="31"/>
  <c r="H2075" i="31"/>
  <c r="F2075" i="31"/>
  <c r="N2074" i="31"/>
  <c r="M2074" i="31"/>
  <c r="I2074" i="31"/>
  <c r="H2074" i="31"/>
  <c r="F2074" i="31"/>
  <c r="N2073" i="31"/>
  <c r="P2077" i="31" s="1"/>
  <c r="M2073" i="31"/>
  <c r="H2073" i="31"/>
  <c r="F2073" i="31"/>
  <c r="E2073" i="31"/>
  <c r="N2072" i="31"/>
  <c r="M2072" i="31"/>
  <c r="I2072" i="31"/>
  <c r="H2072" i="31"/>
  <c r="F2072" i="31"/>
  <c r="N2071" i="31"/>
  <c r="M2071" i="31"/>
  <c r="I2071" i="31"/>
  <c r="H2071" i="31"/>
  <c r="F2071" i="31"/>
  <c r="N2070" i="31"/>
  <c r="M2070" i="31"/>
  <c r="I2070" i="31"/>
  <c r="H2070" i="31"/>
  <c r="F2070" i="31"/>
  <c r="N2069" i="31"/>
  <c r="M2069" i="31"/>
  <c r="I2069" i="31"/>
  <c r="H2069" i="31"/>
  <c r="F2069" i="31"/>
  <c r="N2068" i="31"/>
  <c r="P2070" i="31" s="1"/>
  <c r="M2068" i="31"/>
  <c r="H2068" i="31"/>
  <c r="F2068" i="31"/>
  <c r="E2068" i="31"/>
  <c r="N2067" i="31"/>
  <c r="M2067" i="31"/>
  <c r="I2067" i="31"/>
  <c r="H2067" i="31"/>
  <c r="F2067" i="31"/>
  <c r="N2066" i="31"/>
  <c r="M2066" i="31"/>
  <c r="I2066" i="31"/>
  <c r="H2066" i="31"/>
  <c r="F2066" i="31"/>
  <c r="N2065" i="31"/>
  <c r="M2065" i="31"/>
  <c r="I2065" i="31"/>
  <c r="H2065" i="31"/>
  <c r="F2065" i="31"/>
  <c r="N2064" i="31"/>
  <c r="M2064" i="31"/>
  <c r="I2064" i="31"/>
  <c r="H2064" i="31"/>
  <c r="F2064" i="31"/>
  <c r="N2063" i="31"/>
  <c r="M2063" i="31"/>
  <c r="H2063" i="31"/>
  <c r="F2063" i="31"/>
  <c r="E2063" i="31"/>
  <c r="N2062" i="31"/>
  <c r="M2062" i="31"/>
  <c r="I2062" i="31"/>
  <c r="H2062" i="31"/>
  <c r="F2062" i="31"/>
  <c r="N2061" i="31"/>
  <c r="M2061" i="31"/>
  <c r="I2061" i="31"/>
  <c r="H2061" i="31"/>
  <c r="F2061" i="31"/>
  <c r="N2060" i="31"/>
  <c r="M2060" i="31"/>
  <c r="I2060" i="31"/>
  <c r="H2060" i="31"/>
  <c r="F2060" i="31"/>
  <c r="N2059" i="31"/>
  <c r="M2059" i="31"/>
  <c r="I2059" i="31"/>
  <c r="H2059" i="31"/>
  <c r="F2059" i="31"/>
  <c r="N2058" i="31"/>
  <c r="P2060" i="31" s="1"/>
  <c r="M2058" i="31"/>
  <c r="H2058" i="31"/>
  <c r="F2058" i="31"/>
  <c r="E2058" i="31"/>
  <c r="N2057" i="31"/>
  <c r="M2057" i="31"/>
  <c r="I2057" i="31"/>
  <c r="H2057" i="31"/>
  <c r="F2057" i="31"/>
  <c r="N2056" i="31"/>
  <c r="M2056" i="31"/>
  <c r="I2056" i="31"/>
  <c r="H2056" i="31"/>
  <c r="F2056" i="31"/>
  <c r="N2055" i="31"/>
  <c r="M2055" i="31"/>
  <c r="I2055" i="31"/>
  <c r="H2055" i="31"/>
  <c r="F2055" i="31"/>
  <c r="N2054" i="31"/>
  <c r="M2054" i="31"/>
  <c r="I2054" i="31"/>
  <c r="H2054" i="31"/>
  <c r="F2054" i="31"/>
  <c r="N2053" i="31"/>
  <c r="P2056" i="31" s="1"/>
  <c r="M2053" i="31"/>
  <c r="H2053" i="31"/>
  <c r="F2053" i="31"/>
  <c r="E2053" i="31"/>
  <c r="N2052" i="31"/>
  <c r="M2052" i="31"/>
  <c r="I2052" i="31"/>
  <c r="H2052" i="31"/>
  <c r="F2052" i="31"/>
  <c r="N2051" i="31"/>
  <c r="M2051" i="31"/>
  <c r="I2051" i="31"/>
  <c r="H2051" i="31"/>
  <c r="F2051" i="31"/>
  <c r="N2050" i="31"/>
  <c r="M2050" i="31"/>
  <c r="I2050" i="31"/>
  <c r="H2050" i="31"/>
  <c r="F2050" i="31"/>
  <c r="N2049" i="31"/>
  <c r="M2049" i="31"/>
  <c r="I2049" i="31"/>
  <c r="H2049" i="31"/>
  <c r="F2049" i="31"/>
  <c r="N2048" i="31"/>
  <c r="P2052" i="31" s="1"/>
  <c r="M2048" i="31"/>
  <c r="H2048" i="31"/>
  <c r="F2048" i="31"/>
  <c r="E2048" i="31"/>
  <c r="N2047" i="31"/>
  <c r="M2047" i="31"/>
  <c r="I2047" i="31"/>
  <c r="H2047" i="31"/>
  <c r="F2047" i="31"/>
  <c r="N2046" i="31"/>
  <c r="M2046" i="31"/>
  <c r="I2046" i="31"/>
  <c r="H2046" i="31"/>
  <c r="F2046" i="31"/>
  <c r="N2045" i="31"/>
  <c r="M2045" i="31"/>
  <c r="I2045" i="31"/>
  <c r="H2045" i="31"/>
  <c r="F2045" i="31"/>
  <c r="N2044" i="31"/>
  <c r="P2047" i="31" s="1"/>
  <c r="M2044" i="31"/>
  <c r="H2044" i="31"/>
  <c r="F2044" i="31"/>
  <c r="E2044" i="31"/>
  <c r="N2043" i="31"/>
  <c r="M2043" i="31"/>
  <c r="I2043" i="31"/>
  <c r="H2043" i="31"/>
  <c r="F2043" i="31"/>
  <c r="N2042" i="31"/>
  <c r="M2042" i="31"/>
  <c r="I2042" i="31"/>
  <c r="H2042" i="31"/>
  <c r="F2042" i="31"/>
  <c r="N2041" i="31"/>
  <c r="M2041" i="31"/>
  <c r="I2041" i="31"/>
  <c r="H2041" i="31"/>
  <c r="F2041" i="31"/>
  <c r="N2040" i="31"/>
  <c r="P2042" i="31" s="1"/>
  <c r="M2040" i="31"/>
  <c r="H2040" i="31"/>
  <c r="F2040" i="31"/>
  <c r="E2040" i="31"/>
  <c r="N2039" i="31"/>
  <c r="M2039" i="31"/>
  <c r="H2039" i="31"/>
  <c r="F2039" i="31"/>
  <c r="N2038" i="31"/>
  <c r="M2038" i="31"/>
  <c r="H2038" i="31"/>
  <c r="F2038" i="31"/>
  <c r="N2037" i="31"/>
  <c r="M2037" i="31"/>
  <c r="H2037" i="31"/>
  <c r="F2037" i="31"/>
  <c r="N2036" i="31"/>
  <c r="M2036" i="31"/>
  <c r="H2036" i="31"/>
  <c r="F2036" i="31"/>
  <c r="E2036" i="31"/>
  <c r="N2035" i="31"/>
  <c r="M2035" i="31"/>
  <c r="I2035" i="31"/>
  <c r="H2035" i="31"/>
  <c r="F2035" i="31"/>
  <c r="N2034" i="31"/>
  <c r="M2034" i="31"/>
  <c r="I2034" i="31"/>
  <c r="H2034" i="31"/>
  <c r="F2034" i="31"/>
  <c r="N2033" i="31"/>
  <c r="M2033" i="31"/>
  <c r="I2033" i="31"/>
  <c r="H2033" i="31"/>
  <c r="F2033" i="31"/>
  <c r="N2032" i="31"/>
  <c r="M2032" i="31"/>
  <c r="H2032" i="31"/>
  <c r="F2032" i="31"/>
  <c r="E2032" i="31"/>
  <c r="N2031" i="31"/>
  <c r="M2031" i="31"/>
  <c r="I2031" i="31"/>
  <c r="H2031" i="31"/>
  <c r="F2031" i="31"/>
  <c r="N2030" i="31"/>
  <c r="M2030" i="31"/>
  <c r="I2030" i="31"/>
  <c r="H2030" i="31"/>
  <c r="F2030" i="31"/>
  <c r="N2029" i="31"/>
  <c r="M2029" i="31"/>
  <c r="I2029" i="31"/>
  <c r="H2029" i="31"/>
  <c r="F2029" i="31"/>
  <c r="N2028" i="31"/>
  <c r="P2031" i="31" s="1"/>
  <c r="M2028" i="31"/>
  <c r="H2028" i="31"/>
  <c r="F2028" i="31"/>
  <c r="E2028" i="31"/>
  <c r="N2027" i="31"/>
  <c r="M2027" i="31"/>
  <c r="I2027" i="31"/>
  <c r="H2027" i="31"/>
  <c r="F2027" i="31"/>
  <c r="N2026" i="31"/>
  <c r="M2026" i="31"/>
  <c r="I2026" i="31"/>
  <c r="H2026" i="31"/>
  <c r="F2026" i="31"/>
  <c r="N2025" i="31"/>
  <c r="M2025" i="31"/>
  <c r="I2025" i="31"/>
  <c r="H2025" i="31"/>
  <c r="F2025" i="31"/>
  <c r="N2024" i="31"/>
  <c r="P2026" i="31" s="1"/>
  <c r="M2024" i="31"/>
  <c r="H2024" i="31"/>
  <c r="F2024" i="31"/>
  <c r="E2024" i="31"/>
  <c r="N2023" i="31"/>
  <c r="M2023" i="31"/>
  <c r="I2023" i="31"/>
  <c r="H2023" i="31"/>
  <c r="F2023" i="31"/>
  <c r="N2022" i="31"/>
  <c r="M2022" i="31"/>
  <c r="I2022" i="31"/>
  <c r="H2022" i="31"/>
  <c r="F2022" i="31"/>
  <c r="N2021" i="31"/>
  <c r="M2021" i="31"/>
  <c r="I2021" i="31"/>
  <c r="H2021" i="31"/>
  <c r="F2021" i="31"/>
  <c r="N2020" i="31"/>
  <c r="P2023" i="31" s="1"/>
  <c r="M2020" i="31"/>
  <c r="H2020" i="31"/>
  <c r="F2020" i="31"/>
  <c r="E2020" i="31"/>
  <c r="N2019" i="31"/>
  <c r="M2019" i="31"/>
  <c r="I2019" i="31"/>
  <c r="H2019" i="31"/>
  <c r="F2019" i="31"/>
  <c r="N2018" i="31"/>
  <c r="M2018" i="31"/>
  <c r="I2018" i="31"/>
  <c r="H2018" i="31"/>
  <c r="F2018" i="31"/>
  <c r="N2017" i="31"/>
  <c r="M2017" i="31"/>
  <c r="I2017" i="31"/>
  <c r="H2017" i="31"/>
  <c r="F2017" i="31"/>
  <c r="N2016" i="31"/>
  <c r="P2017" i="31" s="1"/>
  <c r="M2016" i="31"/>
  <c r="H2016" i="31"/>
  <c r="F2016" i="31"/>
  <c r="E2016" i="31"/>
  <c r="N2015" i="31"/>
  <c r="M2015" i="31"/>
  <c r="I2015" i="31"/>
  <c r="H2015" i="31"/>
  <c r="F2015" i="31"/>
  <c r="N2014" i="31"/>
  <c r="M2014" i="31"/>
  <c r="I2014" i="31"/>
  <c r="H2014" i="31"/>
  <c r="F2014" i="31"/>
  <c r="N2013" i="31"/>
  <c r="M2013" i="31"/>
  <c r="I2013" i="31"/>
  <c r="H2013" i="31"/>
  <c r="F2013" i="31"/>
  <c r="N2012" i="31"/>
  <c r="P2014" i="31" s="1"/>
  <c r="M2012" i="31"/>
  <c r="H2012" i="31"/>
  <c r="F2012" i="31"/>
  <c r="E2012" i="31"/>
  <c r="N2011" i="31"/>
  <c r="M2011" i="31"/>
  <c r="I2011" i="31"/>
  <c r="H2011" i="31"/>
  <c r="F2011" i="31"/>
  <c r="N2010" i="31"/>
  <c r="M2010" i="31"/>
  <c r="I2010" i="31"/>
  <c r="H2010" i="31"/>
  <c r="F2010" i="31"/>
  <c r="N2009" i="31"/>
  <c r="M2009" i="31"/>
  <c r="I2009" i="31"/>
  <c r="H2009" i="31"/>
  <c r="F2009" i="31"/>
  <c r="N2008" i="31"/>
  <c r="M2008" i="31"/>
  <c r="H2008" i="31"/>
  <c r="F2008" i="31"/>
  <c r="E2008" i="31"/>
  <c r="N2007" i="31"/>
  <c r="M2007" i="31"/>
  <c r="I2007" i="31"/>
  <c r="H2007" i="31"/>
  <c r="F2007" i="31"/>
  <c r="N2006" i="31"/>
  <c r="M2006" i="31"/>
  <c r="I2006" i="31"/>
  <c r="H2006" i="31"/>
  <c r="F2006" i="31"/>
  <c r="N2005" i="31"/>
  <c r="M2005" i="31"/>
  <c r="I2005" i="31"/>
  <c r="H2005" i="31"/>
  <c r="F2005" i="31"/>
  <c r="N2004" i="31"/>
  <c r="M2004" i="31"/>
  <c r="H2004" i="31"/>
  <c r="F2004" i="31"/>
  <c r="E2004" i="31"/>
  <c r="N2003" i="31"/>
  <c r="M2003" i="31"/>
  <c r="I2003" i="31"/>
  <c r="H2003" i="31"/>
  <c r="F2003" i="31"/>
  <c r="N2002" i="31"/>
  <c r="M2002" i="31"/>
  <c r="I2002" i="31"/>
  <c r="H2002" i="31"/>
  <c r="F2002" i="31"/>
  <c r="N2001" i="31"/>
  <c r="M2001" i="31"/>
  <c r="I2001" i="31"/>
  <c r="H2001" i="31"/>
  <c r="F2001" i="31"/>
  <c r="N2000" i="31"/>
  <c r="P2003" i="31" s="1"/>
  <c r="M2000" i="31"/>
  <c r="H2000" i="31"/>
  <c r="F2000" i="31"/>
  <c r="E2000" i="31"/>
  <c r="N1999" i="31"/>
  <c r="M1999" i="31"/>
  <c r="I1999" i="31"/>
  <c r="H1999" i="31"/>
  <c r="F1999" i="31"/>
  <c r="N1998" i="31"/>
  <c r="M1998" i="31"/>
  <c r="I1998" i="31"/>
  <c r="H1998" i="31"/>
  <c r="F1998" i="31"/>
  <c r="N1997" i="31"/>
  <c r="M1997" i="31"/>
  <c r="I1997" i="31"/>
  <c r="H1997" i="31"/>
  <c r="F1997" i="31"/>
  <c r="N1996" i="31"/>
  <c r="M1996" i="31"/>
  <c r="H1996" i="31"/>
  <c r="F1996" i="31"/>
  <c r="E1996" i="31"/>
  <c r="N1995" i="31"/>
  <c r="M1995" i="31"/>
  <c r="I1995" i="31"/>
  <c r="H1995" i="31"/>
  <c r="F1995" i="31"/>
  <c r="N1994" i="31"/>
  <c r="M1994" i="31"/>
  <c r="I1994" i="31"/>
  <c r="H1994" i="31"/>
  <c r="F1994" i="31"/>
  <c r="N1993" i="31"/>
  <c r="M1993" i="31"/>
  <c r="I1993" i="31"/>
  <c r="H1993" i="31"/>
  <c r="F1993" i="31"/>
  <c r="N1992" i="31"/>
  <c r="M1992" i="31"/>
  <c r="H1992" i="31"/>
  <c r="F1992" i="31"/>
  <c r="E1992" i="31"/>
  <c r="N1991" i="31"/>
  <c r="M1991" i="31"/>
  <c r="I1991" i="31"/>
  <c r="H1991" i="31"/>
  <c r="F1991" i="31"/>
  <c r="N1990" i="31"/>
  <c r="M1990" i="31"/>
  <c r="I1990" i="31"/>
  <c r="H1990" i="31"/>
  <c r="F1990" i="31"/>
  <c r="N1989" i="31"/>
  <c r="M1989" i="31"/>
  <c r="I1989" i="31"/>
  <c r="H1989" i="31"/>
  <c r="F1989" i="31"/>
  <c r="H1988" i="31"/>
  <c r="F1988" i="31"/>
  <c r="E1988" i="31"/>
  <c r="N1987" i="31"/>
  <c r="M1987" i="31"/>
  <c r="I1987" i="31"/>
  <c r="H1987" i="31"/>
  <c r="F1987" i="31"/>
  <c r="N1986" i="31"/>
  <c r="M1986" i="31"/>
  <c r="I1986" i="31"/>
  <c r="H1986" i="31"/>
  <c r="F1986" i="31"/>
  <c r="N1985" i="31"/>
  <c r="M1985" i="31"/>
  <c r="I1985" i="31"/>
  <c r="H1985" i="31"/>
  <c r="F1985" i="31"/>
  <c r="N1984" i="31"/>
  <c r="P1985" i="31" s="1"/>
  <c r="M1984" i="31"/>
  <c r="H1984" i="31"/>
  <c r="F1984" i="31"/>
  <c r="E1984" i="31"/>
  <c r="N1983" i="31"/>
  <c r="M1983" i="31"/>
  <c r="I1983" i="31"/>
  <c r="H1983" i="31"/>
  <c r="F1983" i="31"/>
  <c r="N1982" i="31"/>
  <c r="M1982" i="31"/>
  <c r="I1982" i="31"/>
  <c r="H1982" i="31"/>
  <c r="F1982" i="31"/>
  <c r="N1981" i="31"/>
  <c r="M1981" i="31"/>
  <c r="I1981" i="31"/>
  <c r="H1981" i="31"/>
  <c r="F1981" i="31"/>
  <c r="N1980" i="31"/>
  <c r="P1982" i="31" s="1"/>
  <c r="M1980" i="31"/>
  <c r="H1980" i="31"/>
  <c r="F1980" i="31"/>
  <c r="E1980" i="31"/>
  <c r="N1979" i="31"/>
  <c r="M1979" i="31"/>
  <c r="I1979" i="31"/>
  <c r="H1979" i="31"/>
  <c r="F1979" i="31"/>
  <c r="N1978" i="31"/>
  <c r="M1978" i="31"/>
  <c r="I1978" i="31"/>
  <c r="H1978" i="31"/>
  <c r="F1978" i="31"/>
  <c r="N1977" i="31"/>
  <c r="M1977" i="31"/>
  <c r="I1977" i="31"/>
  <c r="H1977" i="31"/>
  <c r="F1977" i="31"/>
  <c r="N1976" i="31"/>
  <c r="P1978" i="31" s="1"/>
  <c r="M1976" i="31"/>
  <c r="H1976" i="31"/>
  <c r="F1976" i="31"/>
  <c r="E1976" i="31"/>
  <c r="N1975" i="31"/>
  <c r="M1975" i="31"/>
  <c r="I1975" i="31"/>
  <c r="H1975" i="31"/>
  <c r="F1975" i="31"/>
  <c r="N1974" i="31"/>
  <c r="M1974" i="31"/>
  <c r="I1974" i="31"/>
  <c r="H1974" i="31"/>
  <c r="F1974" i="31"/>
  <c r="N1973" i="31"/>
  <c r="M1973" i="31"/>
  <c r="I1973" i="31"/>
  <c r="H1973" i="31"/>
  <c r="F1973" i="31"/>
  <c r="N1972" i="31"/>
  <c r="M1972" i="31"/>
  <c r="H1972" i="31"/>
  <c r="F1972" i="31"/>
  <c r="E1972" i="31"/>
  <c r="N1971" i="31"/>
  <c r="M1971" i="31"/>
  <c r="I1971" i="31"/>
  <c r="H1971" i="31"/>
  <c r="F1971" i="31"/>
  <c r="N1970" i="31"/>
  <c r="M1970" i="31"/>
  <c r="I1970" i="31"/>
  <c r="H1970" i="31"/>
  <c r="F1970" i="31"/>
  <c r="N1969" i="31"/>
  <c r="M1969" i="31"/>
  <c r="I1969" i="31"/>
  <c r="H1969" i="31"/>
  <c r="F1969" i="31"/>
  <c r="M1968" i="31"/>
  <c r="N1968" i="31" s="1"/>
  <c r="H1968" i="31"/>
  <c r="F1968" i="31"/>
  <c r="E1968" i="31"/>
  <c r="N1967" i="31"/>
  <c r="M1967" i="31"/>
  <c r="I1967" i="31"/>
  <c r="H1967" i="31"/>
  <c r="F1967" i="31"/>
  <c r="N1966" i="31"/>
  <c r="M1966" i="31"/>
  <c r="I1966" i="31"/>
  <c r="H1966" i="31"/>
  <c r="F1966" i="31"/>
  <c r="N1965" i="31"/>
  <c r="M1965" i="31"/>
  <c r="I1965" i="31"/>
  <c r="H1965" i="31"/>
  <c r="F1965" i="31"/>
  <c r="N1964" i="31"/>
  <c r="Q1964" i="31" s="1"/>
  <c r="M1964" i="31"/>
  <c r="H1964" i="31"/>
  <c r="F1964" i="31"/>
  <c r="E1964" i="31"/>
  <c r="N1963" i="31"/>
  <c r="M1963" i="31"/>
  <c r="I1963" i="31"/>
  <c r="H1963" i="31"/>
  <c r="F1963" i="31"/>
  <c r="N1962" i="31"/>
  <c r="M1962" i="31"/>
  <c r="I1962" i="31"/>
  <c r="H1962" i="31"/>
  <c r="F1962" i="31"/>
  <c r="N1961" i="31"/>
  <c r="M1961" i="31"/>
  <c r="I1961" i="31"/>
  <c r="H1961" i="31"/>
  <c r="F1961" i="31"/>
  <c r="H1960" i="31"/>
  <c r="F1960" i="31"/>
  <c r="E1960" i="31"/>
  <c r="N1959" i="31"/>
  <c r="M1959" i="31"/>
  <c r="I1959" i="31"/>
  <c r="H1959" i="31"/>
  <c r="F1959" i="31"/>
  <c r="N1958" i="31"/>
  <c r="M1958" i="31"/>
  <c r="I1958" i="31"/>
  <c r="H1958" i="31"/>
  <c r="F1958" i="31"/>
  <c r="N1957" i="31"/>
  <c r="M1957" i="31"/>
  <c r="I1957" i="31"/>
  <c r="H1957" i="31"/>
  <c r="F1957" i="31"/>
  <c r="N1956" i="31"/>
  <c r="M1956" i="31"/>
  <c r="H1956" i="31"/>
  <c r="F1956" i="31"/>
  <c r="E1956" i="31"/>
  <c r="N1955" i="31"/>
  <c r="M1955" i="31"/>
  <c r="I1955" i="31"/>
  <c r="H1955" i="31"/>
  <c r="F1955" i="31"/>
  <c r="N1954" i="31"/>
  <c r="M1954" i="31"/>
  <c r="I1954" i="31"/>
  <c r="H1954" i="31"/>
  <c r="F1954" i="31"/>
  <c r="N1953" i="31"/>
  <c r="M1953" i="31"/>
  <c r="I1953" i="31"/>
  <c r="H1953" i="31"/>
  <c r="F1953" i="31"/>
  <c r="N1952" i="31"/>
  <c r="P1953" i="31" s="1"/>
  <c r="M1952" i="31"/>
  <c r="H1952" i="31"/>
  <c r="F1952" i="31"/>
  <c r="E1952" i="31"/>
  <c r="N1951" i="31"/>
  <c r="M1951" i="31"/>
  <c r="I1951" i="31"/>
  <c r="H1951" i="31"/>
  <c r="F1951" i="31"/>
  <c r="N1950" i="31"/>
  <c r="M1950" i="31"/>
  <c r="I1950" i="31"/>
  <c r="H1950" i="31"/>
  <c r="F1950" i="31"/>
  <c r="N1949" i="31"/>
  <c r="M1949" i="31"/>
  <c r="I1949" i="31"/>
  <c r="H1949" i="31"/>
  <c r="F1949" i="31"/>
  <c r="N1948" i="31"/>
  <c r="P1950" i="31" s="1"/>
  <c r="M1948" i="31"/>
  <c r="H1948" i="31"/>
  <c r="F1948" i="31"/>
  <c r="E1948" i="31"/>
  <c r="N1947" i="31"/>
  <c r="M1947" i="31"/>
  <c r="I1947" i="31"/>
  <c r="H1947" i="31"/>
  <c r="F1947" i="31"/>
  <c r="N1946" i="31"/>
  <c r="M1946" i="31"/>
  <c r="I1946" i="31"/>
  <c r="H1946" i="31"/>
  <c r="F1946" i="31"/>
  <c r="N1945" i="31"/>
  <c r="M1945" i="31"/>
  <c r="I1945" i="31"/>
  <c r="H1945" i="31"/>
  <c r="F1945" i="31"/>
  <c r="N1944" i="31"/>
  <c r="M1944" i="31"/>
  <c r="H1944" i="31"/>
  <c r="F1944" i="31"/>
  <c r="E1944" i="31"/>
  <c r="N1943" i="31"/>
  <c r="M1943" i="31"/>
  <c r="I1943" i="31"/>
  <c r="H1943" i="31"/>
  <c r="F1943" i="31"/>
  <c r="N1942" i="31"/>
  <c r="M1942" i="31"/>
  <c r="I1942" i="31"/>
  <c r="H1942" i="31"/>
  <c r="F1942" i="31"/>
  <c r="N1941" i="31"/>
  <c r="M1941" i="31"/>
  <c r="I1941" i="31"/>
  <c r="H1941" i="31"/>
  <c r="F1941" i="31"/>
  <c r="H1940" i="31"/>
  <c r="F1940" i="31"/>
  <c r="E1940" i="31"/>
  <c r="N1939" i="31"/>
  <c r="M1939" i="31"/>
  <c r="I1939" i="31"/>
  <c r="H1939" i="31"/>
  <c r="F1939" i="31"/>
  <c r="N1938" i="31"/>
  <c r="M1938" i="31"/>
  <c r="I1938" i="31"/>
  <c r="H1938" i="31"/>
  <c r="F1938" i="31"/>
  <c r="N1937" i="31"/>
  <c r="M1937" i="31"/>
  <c r="I1937" i="31"/>
  <c r="H1937" i="31"/>
  <c r="F1937" i="31"/>
  <c r="N1936" i="31"/>
  <c r="Q1936" i="31" s="1"/>
  <c r="M1936" i="31"/>
  <c r="H1936" i="31"/>
  <c r="F1936" i="31"/>
  <c r="E1936" i="31"/>
  <c r="N1935" i="31"/>
  <c r="M1935" i="31"/>
  <c r="I1935" i="31"/>
  <c r="H1935" i="31"/>
  <c r="F1935" i="31"/>
  <c r="N1934" i="31"/>
  <c r="M1934" i="31"/>
  <c r="I1934" i="31"/>
  <c r="H1934" i="31"/>
  <c r="F1934" i="31"/>
  <c r="N1933" i="31"/>
  <c r="M1933" i="31"/>
  <c r="I1933" i="31"/>
  <c r="H1933" i="31"/>
  <c r="F1933" i="31"/>
  <c r="N1932" i="31"/>
  <c r="P1934" i="31" s="1"/>
  <c r="M1932" i="31"/>
  <c r="H1932" i="31"/>
  <c r="F1932" i="31"/>
  <c r="E1932" i="31"/>
  <c r="N1931" i="31"/>
  <c r="M1931" i="31"/>
  <c r="I1931" i="31"/>
  <c r="H1931" i="31"/>
  <c r="F1931" i="31"/>
  <c r="N1930" i="31"/>
  <c r="M1930" i="31"/>
  <c r="I1930" i="31"/>
  <c r="H1930" i="31"/>
  <c r="F1930" i="31"/>
  <c r="N1929" i="31"/>
  <c r="M1929" i="31"/>
  <c r="I1929" i="31"/>
  <c r="H1929" i="31"/>
  <c r="F1929" i="31"/>
  <c r="N1928" i="31"/>
  <c r="Q1928" i="31" s="1"/>
  <c r="M1928" i="31"/>
  <c r="H1928" i="31"/>
  <c r="F1928" i="31"/>
  <c r="E1928" i="31"/>
  <c r="N1927" i="31"/>
  <c r="M1927" i="31"/>
  <c r="I1927" i="31"/>
  <c r="H1927" i="31"/>
  <c r="F1927" i="31"/>
  <c r="N1926" i="31"/>
  <c r="M1926" i="31"/>
  <c r="I1926" i="31"/>
  <c r="H1926" i="31"/>
  <c r="F1926" i="31"/>
  <c r="N1925" i="31"/>
  <c r="M1925" i="31"/>
  <c r="I1925" i="31"/>
  <c r="H1925" i="31"/>
  <c r="F1925" i="31"/>
  <c r="N1924" i="31"/>
  <c r="P1926" i="31" s="1"/>
  <c r="M1924" i="31"/>
  <c r="H1924" i="31"/>
  <c r="F1924" i="31"/>
  <c r="E1924" i="31"/>
  <c r="N1923" i="31"/>
  <c r="M1923" i="31"/>
  <c r="I1923" i="31"/>
  <c r="H1923" i="31"/>
  <c r="F1923" i="31"/>
  <c r="N1922" i="31"/>
  <c r="M1922" i="31"/>
  <c r="I1922" i="31"/>
  <c r="H1922" i="31"/>
  <c r="F1922" i="31"/>
  <c r="N1921" i="31"/>
  <c r="M1921" i="31"/>
  <c r="I1921" i="31"/>
  <c r="H1921" i="31"/>
  <c r="F1921" i="31"/>
  <c r="N1920" i="31"/>
  <c r="M1920" i="31"/>
  <c r="H1920" i="31"/>
  <c r="F1920" i="31"/>
  <c r="E1920" i="31"/>
  <c r="N1919" i="31"/>
  <c r="M1919" i="31"/>
  <c r="I1919" i="31"/>
  <c r="H1919" i="31"/>
  <c r="F1919" i="31"/>
  <c r="N1918" i="31"/>
  <c r="M1918" i="31"/>
  <c r="I1918" i="31"/>
  <c r="H1918" i="31"/>
  <c r="F1918" i="31"/>
  <c r="N1917" i="31"/>
  <c r="M1917" i="31"/>
  <c r="I1917" i="31"/>
  <c r="H1917" i="31"/>
  <c r="F1917" i="31"/>
  <c r="N1916" i="31"/>
  <c r="M1916" i="31"/>
  <c r="H1916" i="31"/>
  <c r="F1916" i="31"/>
  <c r="E1916" i="31"/>
  <c r="N1915" i="31"/>
  <c r="M1915" i="31"/>
  <c r="I1915" i="31"/>
  <c r="H1915" i="31"/>
  <c r="F1915" i="31"/>
  <c r="N1914" i="31"/>
  <c r="M1914" i="31"/>
  <c r="I1914" i="31"/>
  <c r="H1914" i="31"/>
  <c r="F1914" i="31"/>
  <c r="N1913" i="31"/>
  <c r="M1913" i="31"/>
  <c r="I1913" i="31"/>
  <c r="H1913" i="31"/>
  <c r="F1913" i="31"/>
  <c r="N1912" i="31"/>
  <c r="S1912" i="31" s="1"/>
  <c r="M1912" i="31"/>
  <c r="H1912" i="31"/>
  <c r="F1912" i="31"/>
  <c r="E1912" i="31"/>
  <c r="N1911" i="31"/>
  <c r="M1911" i="31"/>
  <c r="I1911" i="31"/>
  <c r="H1911" i="31"/>
  <c r="F1911" i="31"/>
  <c r="N1910" i="31"/>
  <c r="M1910" i="31"/>
  <c r="I1910" i="31"/>
  <c r="H1910" i="31"/>
  <c r="F1910" i="31"/>
  <c r="N1909" i="31"/>
  <c r="M1909" i="31"/>
  <c r="I1909" i="31"/>
  <c r="H1909" i="31"/>
  <c r="F1909" i="31"/>
  <c r="N1908" i="31"/>
  <c r="M1908" i="31"/>
  <c r="H1908" i="31"/>
  <c r="F1908" i="31"/>
  <c r="E1908" i="31"/>
  <c r="N1907" i="31"/>
  <c r="M1907" i="31"/>
  <c r="I1907" i="31"/>
  <c r="H1907" i="31"/>
  <c r="F1907" i="31"/>
  <c r="N1906" i="31"/>
  <c r="M1906" i="31"/>
  <c r="I1906" i="31"/>
  <c r="H1906" i="31"/>
  <c r="F1906" i="31"/>
  <c r="N1905" i="31"/>
  <c r="M1905" i="31"/>
  <c r="I1905" i="31"/>
  <c r="H1905" i="31"/>
  <c r="F1905" i="31"/>
  <c r="N1904" i="31"/>
  <c r="P1905" i="31" s="1"/>
  <c r="M1904" i="31"/>
  <c r="H1904" i="31"/>
  <c r="F1904" i="31"/>
  <c r="E1904" i="31"/>
  <c r="N1903" i="31"/>
  <c r="M1903" i="31"/>
  <c r="I1903" i="31"/>
  <c r="H1903" i="31"/>
  <c r="F1903" i="31"/>
  <c r="N1902" i="31"/>
  <c r="M1902" i="31"/>
  <c r="I1902" i="31"/>
  <c r="H1902" i="31"/>
  <c r="F1902" i="31"/>
  <c r="N1901" i="31"/>
  <c r="M1901" i="31"/>
  <c r="I1901" i="31"/>
  <c r="H1901" i="31"/>
  <c r="F1901" i="31"/>
  <c r="N1900" i="31"/>
  <c r="M1900" i="31"/>
  <c r="H1900" i="31"/>
  <c r="F1900" i="31"/>
  <c r="E1900" i="31"/>
  <c r="N1899" i="31"/>
  <c r="M1899" i="31"/>
  <c r="I1899" i="31"/>
  <c r="H1899" i="31"/>
  <c r="F1899" i="31"/>
  <c r="N1898" i="31"/>
  <c r="M1898" i="31"/>
  <c r="I1898" i="31"/>
  <c r="H1898" i="31"/>
  <c r="F1898" i="31"/>
  <c r="N1897" i="31"/>
  <c r="M1897" i="31"/>
  <c r="I1897" i="31"/>
  <c r="H1897" i="31"/>
  <c r="F1897" i="31"/>
  <c r="N1896" i="31"/>
  <c r="P1898" i="31" s="1"/>
  <c r="M1896" i="31"/>
  <c r="H1896" i="31"/>
  <c r="F1896" i="31"/>
  <c r="E1896" i="31"/>
  <c r="N1895" i="31"/>
  <c r="M1895" i="31"/>
  <c r="I1895" i="31"/>
  <c r="H1895" i="31"/>
  <c r="F1895" i="31"/>
  <c r="N1894" i="31"/>
  <c r="M1894" i="31"/>
  <c r="I1894" i="31"/>
  <c r="H1894" i="31"/>
  <c r="F1894" i="31"/>
  <c r="N1893" i="31"/>
  <c r="M1893" i="31"/>
  <c r="I1893" i="31"/>
  <c r="H1893" i="31"/>
  <c r="F1893" i="31"/>
  <c r="N1892" i="31"/>
  <c r="S1892" i="31" s="1"/>
  <c r="M1892" i="31"/>
  <c r="H1892" i="31"/>
  <c r="F1892" i="31"/>
  <c r="E1892" i="31"/>
  <c r="N1891" i="31"/>
  <c r="M1891" i="31"/>
  <c r="I1891" i="31"/>
  <c r="H1891" i="31"/>
  <c r="F1891" i="31"/>
  <c r="N1890" i="31"/>
  <c r="M1890" i="31"/>
  <c r="I1890" i="31"/>
  <c r="H1890" i="31"/>
  <c r="F1890" i="31"/>
  <c r="N1889" i="31"/>
  <c r="M1889" i="31"/>
  <c r="I1889" i="31"/>
  <c r="H1889" i="31"/>
  <c r="F1889" i="31"/>
  <c r="N1888" i="31"/>
  <c r="P1891" i="31" s="1"/>
  <c r="M1888" i="31"/>
  <c r="H1888" i="31"/>
  <c r="F1888" i="31"/>
  <c r="E1888" i="31"/>
  <c r="N1887" i="31"/>
  <c r="M1887" i="31"/>
  <c r="I1887" i="31"/>
  <c r="H1887" i="31"/>
  <c r="F1887" i="31"/>
  <c r="N1886" i="31"/>
  <c r="M1886" i="31"/>
  <c r="I1886" i="31"/>
  <c r="H1886" i="31"/>
  <c r="F1886" i="31"/>
  <c r="N1885" i="31"/>
  <c r="M1885" i="31"/>
  <c r="I1885" i="31"/>
  <c r="H1885" i="31"/>
  <c r="F1885" i="31"/>
  <c r="N1884" i="31"/>
  <c r="Q1884" i="31" s="1"/>
  <c r="M1884" i="31"/>
  <c r="H1884" i="31"/>
  <c r="F1884" i="31"/>
  <c r="E1884" i="31"/>
  <c r="N1883" i="31"/>
  <c r="M1883" i="31"/>
  <c r="I1883" i="31"/>
  <c r="H1883" i="31"/>
  <c r="F1883" i="31"/>
  <c r="N1882" i="31"/>
  <c r="M1882" i="31"/>
  <c r="I1882" i="31"/>
  <c r="H1882" i="31"/>
  <c r="F1882" i="31"/>
  <c r="N1881" i="31"/>
  <c r="M1881" i="31"/>
  <c r="I1881" i="31"/>
  <c r="H1881" i="31"/>
  <c r="F1881" i="31"/>
  <c r="N1880" i="31"/>
  <c r="P1882" i="31" s="1"/>
  <c r="M1880" i="31"/>
  <c r="H1880" i="31"/>
  <c r="F1880" i="31"/>
  <c r="E1880" i="31"/>
  <c r="N1879" i="31"/>
  <c r="M1879" i="31"/>
  <c r="I1879" i="31"/>
  <c r="H1879" i="31"/>
  <c r="F1879" i="31"/>
  <c r="N1878" i="31"/>
  <c r="M1878" i="31"/>
  <c r="I1878" i="31"/>
  <c r="H1878" i="31"/>
  <c r="F1878" i="31"/>
  <c r="N1877" i="31"/>
  <c r="M1877" i="31"/>
  <c r="I1877" i="31"/>
  <c r="H1877" i="31"/>
  <c r="F1877" i="31"/>
  <c r="N1876" i="31"/>
  <c r="P1877" i="31" s="1"/>
  <c r="M1876" i="31"/>
  <c r="H1876" i="31"/>
  <c r="F1876" i="31"/>
  <c r="E1876" i="31"/>
  <c r="N1875" i="31"/>
  <c r="M1875" i="31"/>
  <c r="I1875" i="31"/>
  <c r="H1875" i="31"/>
  <c r="F1875" i="31"/>
  <c r="N1874" i="31"/>
  <c r="M1874" i="31"/>
  <c r="I1874" i="31"/>
  <c r="H1874" i="31"/>
  <c r="F1874" i="31"/>
  <c r="N1873" i="31"/>
  <c r="M1873" i="31"/>
  <c r="I1873" i="31"/>
  <c r="H1873" i="31"/>
  <c r="F1873" i="31"/>
  <c r="N1872" i="31"/>
  <c r="P1873" i="31" s="1"/>
  <c r="M1872" i="31"/>
  <c r="H1872" i="31"/>
  <c r="F1872" i="31"/>
  <c r="E1872" i="31"/>
  <c r="N1871" i="31"/>
  <c r="M1871" i="31"/>
  <c r="I1871" i="31"/>
  <c r="H1871" i="31"/>
  <c r="F1871" i="31"/>
  <c r="N1870" i="31"/>
  <c r="M1870" i="31"/>
  <c r="I1870" i="31"/>
  <c r="H1870" i="31"/>
  <c r="F1870" i="31"/>
  <c r="N1869" i="31"/>
  <c r="M1869" i="31"/>
  <c r="I1869" i="31"/>
  <c r="H1869" i="31"/>
  <c r="F1869" i="31"/>
  <c r="N1868" i="31"/>
  <c r="M1868" i="31"/>
  <c r="H1868" i="31"/>
  <c r="F1868" i="31"/>
  <c r="E1868" i="31"/>
  <c r="N1867" i="31"/>
  <c r="M1867" i="31"/>
  <c r="I1867" i="31"/>
  <c r="H1867" i="31"/>
  <c r="F1867" i="31"/>
  <c r="N1866" i="31"/>
  <c r="M1866" i="31"/>
  <c r="I1866" i="31"/>
  <c r="H1866" i="31"/>
  <c r="F1866" i="31"/>
  <c r="N1865" i="31"/>
  <c r="M1865" i="31"/>
  <c r="I1865" i="31"/>
  <c r="H1865" i="31"/>
  <c r="F1865" i="31"/>
  <c r="N1864" i="31"/>
  <c r="P1866" i="31" s="1"/>
  <c r="M1864" i="31"/>
  <c r="H1864" i="31"/>
  <c r="F1864" i="31"/>
  <c r="E1864" i="31"/>
  <c r="N1863" i="31"/>
  <c r="M1863" i="31"/>
  <c r="I1863" i="31"/>
  <c r="H1863" i="31"/>
  <c r="F1863" i="31"/>
  <c r="N1862" i="31"/>
  <c r="M1862" i="31"/>
  <c r="I1862" i="31"/>
  <c r="H1862" i="31"/>
  <c r="F1862" i="31"/>
  <c r="N1861" i="31"/>
  <c r="M1861" i="31"/>
  <c r="I1861" i="31"/>
  <c r="H1861" i="31"/>
  <c r="F1861" i="31"/>
  <c r="N1860" i="31"/>
  <c r="M1860" i="31"/>
  <c r="H1860" i="31"/>
  <c r="F1860" i="31"/>
  <c r="E1860" i="31"/>
  <c r="N1859" i="31"/>
  <c r="M1859" i="31"/>
  <c r="I1859" i="31"/>
  <c r="H1859" i="31"/>
  <c r="F1859" i="31"/>
  <c r="N1858" i="31"/>
  <c r="M1858" i="31"/>
  <c r="I1858" i="31"/>
  <c r="H1858" i="31"/>
  <c r="F1858" i="31"/>
  <c r="N1857" i="31"/>
  <c r="M1857" i="31"/>
  <c r="I1857" i="31"/>
  <c r="H1857" i="31"/>
  <c r="F1857" i="31"/>
  <c r="N1856" i="31"/>
  <c r="P1859" i="31" s="1"/>
  <c r="M1856" i="31"/>
  <c r="H1856" i="31"/>
  <c r="F1856" i="31"/>
  <c r="E1856" i="31"/>
  <c r="N1855" i="31"/>
  <c r="M1855" i="31"/>
  <c r="I1855" i="31"/>
  <c r="H1855" i="31"/>
  <c r="F1855" i="31"/>
  <c r="N1854" i="31"/>
  <c r="M1854" i="31"/>
  <c r="I1854" i="31"/>
  <c r="H1854" i="31"/>
  <c r="F1854" i="31"/>
  <c r="N1853" i="31"/>
  <c r="M1853" i="31"/>
  <c r="I1853" i="31"/>
  <c r="H1853" i="31"/>
  <c r="F1853" i="31"/>
  <c r="N1852" i="31"/>
  <c r="M1852" i="31"/>
  <c r="H1852" i="31"/>
  <c r="F1852" i="31"/>
  <c r="E1852" i="31"/>
  <c r="N1851" i="31"/>
  <c r="M1851" i="31"/>
  <c r="I1851" i="31"/>
  <c r="H1851" i="31"/>
  <c r="F1851" i="31"/>
  <c r="N1850" i="31"/>
  <c r="M1850" i="31"/>
  <c r="I1850" i="31"/>
  <c r="H1850" i="31"/>
  <c r="F1850" i="31"/>
  <c r="N1849" i="31"/>
  <c r="M1849" i="31"/>
  <c r="I1849" i="31"/>
  <c r="H1849" i="31"/>
  <c r="F1849" i="31"/>
  <c r="N1848" i="31"/>
  <c r="Q1848" i="31" s="1"/>
  <c r="M1848" i="31"/>
  <c r="H1848" i="31"/>
  <c r="F1848" i="31"/>
  <c r="E1848" i="31"/>
  <c r="N1847" i="31"/>
  <c r="M1847" i="31"/>
  <c r="I1847" i="31"/>
  <c r="H1847" i="31"/>
  <c r="F1847" i="31"/>
  <c r="N1846" i="31"/>
  <c r="M1846" i="31"/>
  <c r="I1846" i="31"/>
  <c r="H1846" i="31"/>
  <c r="F1846" i="31"/>
  <c r="N1845" i="31"/>
  <c r="M1845" i="31"/>
  <c r="I1845" i="31"/>
  <c r="H1845" i="31"/>
  <c r="F1845" i="31"/>
  <c r="N1844" i="31"/>
  <c r="P1845" i="31" s="1"/>
  <c r="M1844" i="31"/>
  <c r="H1844" i="31"/>
  <c r="F1844" i="31"/>
  <c r="E1844" i="31"/>
  <c r="N1843" i="31"/>
  <c r="M1843" i="31"/>
  <c r="I1843" i="31"/>
  <c r="H1843" i="31"/>
  <c r="F1843" i="31"/>
  <c r="N1842" i="31"/>
  <c r="M1842" i="31"/>
  <c r="I1842" i="31"/>
  <c r="H1842" i="31"/>
  <c r="F1842" i="31"/>
  <c r="N1841" i="31"/>
  <c r="M1841" i="31"/>
  <c r="I1841" i="31"/>
  <c r="H1841" i="31"/>
  <c r="F1841" i="31"/>
  <c r="N1840" i="31"/>
  <c r="M1840" i="31"/>
  <c r="I1840" i="31"/>
  <c r="H1840" i="31"/>
  <c r="F1840" i="31"/>
  <c r="N1839" i="31"/>
  <c r="P1841" i="31" s="1"/>
  <c r="M1839" i="31"/>
  <c r="H1839" i="31"/>
  <c r="F1839" i="31"/>
  <c r="E1839" i="31"/>
  <c r="N1838" i="31"/>
  <c r="M1838" i="31"/>
  <c r="I1838" i="31"/>
  <c r="H1838" i="31"/>
  <c r="F1838" i="31"/>
  <c r="N1837" i="31"/>
  <c r="M1837" i="31"/>
  <c r="I1837" i="31"/>
  <c r="H1837" i="31"/>
  <c r="F1837" i="31"/>
  <c r="N1836" i="31"/>
  <c r="M1836" i="31"/>
  <c r="I1836" i="31"/>
  <c r="H1836" i="31"/>
  <c r="F1836" i="31"/>
  <c r="N1835" i="31"/>
  <c r="M1835" i="31"/>
  <c r="H1835" i="31"/>
  <c r="F1835" i="31"/>
  <c r="E1835" i="31"/>
  <c r="N1834" i="31"/>
  <c r="M1834" i="31"/>
  <c r="I1834" i="31"/>
  <c r="H1834" i="31"/>
  <c r="F1834" i="31"/>
  <c r="N1833" i="31"/>
  <c r="M1833" i="31"/>
  <c r="I1833" i="31"/>
  <c r="H1833" i="31"/>
  <c r="F1833" i="31"/>
  <c r="N1832" i="31"/>
  <c r="M1832" i="31"/>
  <c r="I1832" i="31"/>
  <c r="H1832" i="31"/>
  <c r="F1832" i="31"/>
  <c r="N1831" i="31"/>
  <c r="P1834" i="31" s="1"/>
  <c r="M1831" i="31"/>
  <c r="H1831" i="31"/>
  <c r="F1831" i="31"/>
  <c r="E1831" i="31"/>
  <c r="N1830" i="31"/>
  <c r="M1830" i="31"/>
  <c r="I1830" i="31"/>
  <c r="H1830" i="31"/>
  <c r="F1830" i="31"/>
  <c r="N1829" i="31"/>
  <c r="M1829" i="31"/>
  <c r="I1829" i="31"/>
  <c r="H1829" i="31"/>
  <c r="F1829" i="31"/>
  <c r="N1828" i="31"/>
  <c r="M1828" i="31"/>
  <c r="I1828" i="31"/>
  <c r="H1828" i="31"/>
  <c r="F1828" i="31"/>
  <c r="N1827" i="31"/>
  <c r="P1830" i="31" s="1"/>
  <c r="M1827" i="31"/>
  <c r="H1827" i="31"/>
  <c r="F1827" i="31"/>
  <c r="E1827" i="31"/>
  <c r="N1826" i="31"/>
  <c r="M1826" i="31"/>
  <c r="I1826" i="31"/>
  <c r="H1826" i="31"/>
  <c r="F1826" i="31"/>
  <c r="N1825" i="31"/>
  <c r="M1825" i="31"/>
  <c r="I1825" i="31"/>
  <c r="H1825" i="31"/>
  <c r="F1825" i="31"/>
  <c r="N1824" i="31"/>
  <c r="M1824" i="31"/>
  <c r="I1824" i="31"/>
  <c r="H1824" i="31"/>
  <c r="F1824" i="31"/>
  <c r="N1823" i="31"/>
  <c r="S1823" i="31" s="1"/>
  <c r="M1823" i="31"/>
  <c r="H1823" i="31"/>
  <c r="F1823" i="31"/>
  <c r="E1823" i="31"/>
  <c r="N1822" i="31"/>
  <c r="M1822" i="31"/>
  <c r="I1822" i="31"/>
  <c r="H1822" i="31"/>
  <c r="F1822" i="31"/>
  <c r="N1821" i="31"/>
  <c r="M1821" i="31"/>
  <c r="I1821" i="31"/>
  <c r="H1821" i="31"/>
  <c r="F1821" i="31"/>
  <c r="N1820" i="31"/>
  <c r="M1820" i="31"/>
  <c r="I1820" i="31"/>
  <c r="H1820" i="31"/>
  <c r="F1820" i="31"/>
  <c r="N1819" i="31"/>
  <c r="M1819" i="31"/>
  <c r="H1819" i="31"/>
  <c r="F1819" i="31"/>
  <c r="E1819" i="31"/>
  <c r="N1818" i="31"/>
  <c r="M1818" i="31"/>
  <c r="I1818" i="31"/>
  <c r="H1818" i="31"/>
  <c r="F1818" i="31"/>
  <c r="N1817" i="31"/>
  <c r="M1817" i="31"/>
  <c r="I1817" i="31"/>
  <c r="H1817" i="31"/>
  <c r="F1817" i="31"/>
  <c r="N1816" i="31"/>
  <c r="M1816" i="31"/>
  <c r="I1816" i="31"/>
  <c r="H1816" i="31"/>
  <c r="F1816" i="31"/>
  <c r="N1815" i="31"/>
  <c r="M1815" i="31"/>
  <c r="H1815" i="31"/>
  <c r="F1815" i="31"/>
  <c r="E1815" i="31"/>
  <c r="N1814" i="31"/>
  <c r="M1814" i="31"/>
  <c r="I1814" i="31"/>
  <c r="H1814" i="31"/>
  <c r="F1814" i="31"/>
  <c r="N1813" i="31"/>
  <c r="M1813" i="31"/>
  <c r="I1813" i="31"/>
  <c r="H1813" i="31"/>
  <c r="F1813" i="31"/>
  <c r="N1812" i="31"/>
  <c r="M1812" i="31"/>
  <c r="I1812" i="31"/>
  <c r="H1812" i="31"/>
  <c r="F1812" i="31"/>
  <c r="N1811" i="31"/>
  <c r="M1811" i="31"/>
  <c r="H1811" i="31"/>
  <c r="F1811" i="31"/>
  <c r="E1811" i="31"/>
  <c r="N1810" i="31"/>
  <c r="M1810" i="31"/>
  <c r="I1810" i="31"/>
  <c r="H1810" i="31"/>
  <c r="F1810" i="31"/>
  <c r="N1809" i="31"/>
  <c r="M1809" i="31"/>
  <c r="I1809" i="31"/>
  <c r="H1809" i="31"/>
  <c r="F1809" i="31"/>
  <c r="N1808" i="31"/>
  <c r="M1808" i="31"/>
  <c r="I1808" i="31"/>
  <c r="H1808" i="31"/>
  <c r="F1808" i="31"/>
  <c r="N1807" i="31"/>
  <c r="M1807" i="31"/>
  <c r="H1807" i="31"/>
  <c r="F1807" i="31"/>
  <c r="E1807" i="31"/>
  <c r="N1806" i="31"/>
  <c r="M1806" i="31"/>
  <c r="I1806" i="31"/>
  <c r="H1806" i="31"/>
  <c r="F1806" i="31"/>
  <c r="N1805" i="31"/>
  <c r="M1805" i="31"/>
  <c r="I1805" i="31"/>
  <c r="H1805" i="31"/>
  <c r="F1805" i="31"/>
  <c r="N1804" i="31"/>
  <c r="M1804" i="31"/>
  <c r="I1804" i="31"/>
  <c r="H1804" i="31"/>
  <c r="F1804" i="31"/>
  <c r="N1803" i="31"/>
  <c r="M1803" i="31"/>
  <c r="H1803" i="31"/>
  <c r="F1803" i="31"/>
  <c r="E1803" i="31"/>
  <c r="N1802" i="31"/>
  <c r="M1802" i="31"/>
  <c r="I1802" i="31"/>
  <c r="H1802" i="31"/>
  <c r="F1802" i="31"/>
  <c r="N1801" i="31"/>
  <c r="M1801" i="31"/>
  <c r="I1801" i="31"/>
  <c r="H1801" i="31"/>
  <c r="F1801" i="31"/>
  <c r="N1800" i="31"/>
  <c r="M1800" i="31"/>
  <c r="I1800" i="31"/>
  <c r="H1800" i="31"/>
  <c r="F1800" i="31"/>
  <c r="N1799" i="31"/>
  <c r="M1799" i="31"/>
  <c r="H1799" i="31"/>
  <c r="F1799" i="31"/>
  <c r="E1799" i="31"/>
  <c r="N1798" i="31"/>
  <c r="M1798" i="31"/>
  <c r="I1798" i="31"/>
  <c r="H1798" i="31"/>
  <c r="F1798" i="31"/>
  <c r="N1797" i="31"/>
  <c r="M1797" i="31"/>
  <c r="I1797" i="31"/>
  <c r="H1797" i="31"/>
  <c r="F1797" i="31"/>
  <c r="N1796" i="31"/>
  <c r="M1796" i="31"/>
  <c r="I1796" i="31"/>
  <c r="H1796" i="31"/>
  <c r="F1796" i="31"/>
  <c r="N1795" i="31"/>
  <c r="P1797" i="31" s="1"/>
  <c r="M1795" i="31"/>
  <c r="H1795" i="31"/>
  <c r="F1795" i="31"/>
  <c r="E1795" i="31"/>
  <c r="N1794" i="31"/>
  <c r="M1794" i="31"/>
  <c r="I1794" i="31"/>
  <c r="H1794" i="31"/>
  <c r="F1794" i="31"/>
  <c r="N1793" i="31"/>
  <c r="M1793" i="31"/>
  <c r="I1793" i="31"/>
  <c r="H1793" i="31"/>
  <c r="F1793" i="31"/>
  <c r="N1792" i="31"/>
  <c r="M1792" i="31"/>
  <c r="I1792" i="31"/>
  <c r="H1792" i="31"/>
  <c r="F1792" i="31"/>
  <c r="N1791" i="31"/>
  <c r="P1793" i="31" s="1"/>
  <c r="M1791" i="31"/>
  <c r="H1791" i="31"/>
  <c r="F1791" i="31"/>
  <c r="E1791" i="31"/>
  <c r="N1790" i="31"/>
  <c r="M1790" i="31"/>
  <c r="I1790" i="31"/>
  <c r="H1790" i="31"/>
  <c r="F1790" i="31"/>
  <c r="N1789" i="31"/>
  <c r="M1789" i="31"/>
  <c r="I1789" i="31"/>
  <c r="H1789" i="31"/>
  <c r="F1789" i="31"/>
  <c r="N1788" i="31"/>
  <c r="M1788" i="31"/>
  <c r="H1788" i="31"/>
  <c r="F1788" i="31"/>
  <c r="E1788" i="31"/>
  <c r="N1787" i="31"/>
  <c r="M1787" i="31"/>
  <c r="I1787" i="31"/>
  <c r="H1787" i="31"/>
  <c r="F1787" i="31"/>
  <c r="N1786" i="31"/>
  <c r="M1786" i="31"/>
  <c r="I1786" i="31"/>
  <c r="H1786" i="31"/>
  <c r="F1786" i="31"/>
  <c r="N1785" i="31"/>
  <c r="R1785" i="31" s="1"/>
  <c r="M1785" i="31"/>
  <c r="H1785" i="31"/>
  <c r="F1785" i="31"/>
  <c r="E1785" i="31"/>
  <c r="N1784" i="31"/>
  <c r="M1784" i="31"/>
  <c r="I1784" i="31"/>
  <c r="H1784" i="31"/>
  <c r="F1784" i="31"/>
  <c r="N1783" i="31"/>
  <c r="M1783" i="31"/>
  <c r="I1783" i="31"/>
  <c r="H1783" i="31"/>
  <c r="F1783" i="31"/>
  <c r="N1782" i="31"/>
  <c r="P1783" i="31" s="1"/>
  <c r="M1782" i="31"/>
  <c r="H1782" i="31"/>
  <c r="F1782" i="31"/>
  <c r="E1782" i="31"/>
  <c r="N1781" i="31"/>
  <c r="S1781" i="31" s="1"/>
  <c r="M1781" i="31"/>
  <c r="H1781" i="31"/>
  <c r="F1781" i="31"/>
  <c r="E1781" i="31"/>
  <c r="N1780" i="31"/>
  <c r="Q1780" i="31" s="1"/>
  <c r="M1780" i="31"/>
  <c r="H1780" i="31"/>
  <c r="F1780" i="31"/>
  <c r="E1780" i="31"/>
  <c r="N1779" i="31"/>
  <c r="M1779" i="31"/>
  <c r="I1779" i="31"/>
  <c r="H1779" i="31"/>
  <c r="F1779" i="31"/>
  <c r="N1778" i="31"/>
  <c r="M1778" i="31"/>
  <c r="I1778" i="31"/>
  <c r="H1778" i="31"/>
  <c r="F1778" i="31"/>
  <c r="N1777" i="31"/>
  <c r="M1777" i="31"/>
  <c r="I1777" i="31"/>
  <c r="H1777" i="31"/>
  <c r="F1777" i="31"/>
  <c r="N1776" i="31"/>
  <c r="M1776" i="31"/>
  <c r="H1776" i="31"/>
  <c r="F1776" i="31"/>
  <c r="E1776" i="31"/>
  <c r="N1775" i="31"/>
  <c r="S1775" i="31" s="1"/>
  <c r="M1775" i="31"/>
  <c r="H1775" i="31"/>
  <c r="F1775" i="31"/>
  <c r="N1774" i="31"/>
  <c r="M1774" i="31"/>
  <c r="H1774" i="31"/>
  <c r="F1774" i="31"/>
  <c r="N1773" i="31"/>
  <c r="S1773" i="31" s="1"/>
  <c r="M1773" i="31"/>
  <c r="H1773" i="31"/>
  <c r="F1773" i="31"/>
  <c r="N1772" i="31"/>
  <c r="S1772" i="31" s="1"/>
  <c r="M1772" i="31"/>
  <c r="H1772" i="31"/>
  <c r="F1772" i="31"/>
  <c r="N1771" i="31"/>
  <c r="M1771" i="31"/>
  <c r="I1771" i="31"/>
  <c r="H1771" i="31"/>
  <c r="F1771" i="31"/>
  <c r="N1770" i="31"/>
  <c r="M1770" i="31"/>
  <c r="I1770" i="31"/>
  <c r="H1770" i="31"/>
  <c r="F1770" i="31"/>
  <c r="N1769" i="31"/>
  <c r="M1769" i="31"/>
  <c r="I1769" i="31"/>
  <c r="H1769" i="31"/>
  <c r="F1769" i="31"/>
  <c r="N1768" i="31"/>
  <c r="P1770" i="31" s="1"/>
  <c r="M1768" i="31"/>
  <c r="H1768" i="31"/>
  <c r="F1768" i="31"/>
  <c r="E1768" i="31"/>
  <c r="N1767" i="31"/>
  <c r="M1767" i="31"/>
  <c r="H1767" i="31"/>
  <c r="F1767" i="31"/>
  <c r="E1767" i="31"/>
  <c r="N1766" i="31"/>
  <c r="S1766" i="31" s="1"/>
  <c r="M1766" i="31"/>
  <c r="H1766" i="31"/>
  <c r="F1766" i="31"/>
  <c r="E1766" i="31"/>
  <c r="N1765" i="31"/>
  <c r="M1765" i="31"/>
  <c r="H1765" i="31"/>
  <c r="F1765" i="31"/>
  <c r="E1765" i="31"/>
  <c r="N1764" i="31"/>
  <c r="S1764" i="31" s="1"/>
  <c r="M1764" i="31"/>
  <c r="H1764" i="31"/>
  <c r="F1764" i="31"/>
  <c r="E1764" i="31"/>
  <c r="N1763" i="31"/>
  <c r="S1763" i="31" s="1"/>
  <c r="M1763" i="31"/>
  <c r="H1763" i="31"/>
  <c r="F1763" i="31"/>
  <c r="E1763" i="31"/>
  <c r="N1762" i="31"/>
  <c r="Q1762" i="31" s="1"/>
  <c r="M1762" i="31"/>
  <c r="H1762" i="31"/>
  <c r="G1762" i="31"/>
  <c r="F1762" i="31"/>
  <c r="E1762" i="31"/>
  <c r="N1761" i="31"/>
  <c r="M1761" i="31"/>
  <c r="H1761" i="31"/>
  <c r="G1761" i="31"/>
  <c r="F1761" i="31"/>
  <c r="E1761" i="31"/>
  <c r="N1760" i="31"/>
  <c r="M1760" i="31"/>
  <c r="H1760" i="31"/>
  <c r="G1760" i="31"/>
  <c r="F1760" i="31"/>
  <c r="E1760" i="31"/>
  <c r="N1759" i="31"/>
  <c r="S1759" i="31" s="1"/>
  <c r="M1759" i="31"/>
  <c r="H1759" i="31"/>
  <c r="G1759" i="31"/>
  <c r="F1759" i="31"/>
  <c r="E1759" i="31"/>
  <c r="H1758" i="31"/>
  <c r="G1758" i="31"/>
  <c r="F1758" i="31"/>
  <c r="E1758" i="31"/>
  <c r="N1757" i="31"/>
  <c r="M1757" i="31"/>
  <c r="I1757" i="31"/>
  <c r="H1757" i="31"/>
  <c r="F1757" i="31"/>
  <c r="N1756" i="31"/>
  <c r="M1756" i="31"/>
  <c r="I1756" i="31"/>
  <c r="H1756" i="31"/>
  <c r="F1756" i="31"/>
  <c r="N1755" i="31"/>
  <c r="S1755" i="31" s="1"/>
  <c r="M1755" i="31"/>
  <c r="H1755" i="31"/>
  <c r="F1755" i="31"/>
  <c r="E1755" i="31"/>
  <c r="N1754" i="31"/>
  <c r="M1754" i="31"/>
  <c r="I1754" i="31"/>
  <c r="H1754" i="31"/>
  <c r="F1754" i="31"/>
  <c r="N1753" i="31"/>
  <c r="M1753" i="31"/>
  <c r="I1753" i="31"/>
  <c r="H1753" i="31"/>
  <c r="F1753" i="31"/>
  <c r="N1752" i="31"/>
  <c r="P1753" i="31" s="1"/>
  <c r="M1752" i="31"/>
  <c r="H1752" i="31"/>
  <c r="F1752" i="31"/>
  <c r="E1752" i="31"/>
  <c r="N1751" i="31"/>
  <c r="M1751" i="31"/>
  <c r="I1751" i="31"/>
  <c r="H1751" i="31"/>
  <c r="F1751" i="31"/>
  <c r="N1750" i="31"/>
  <c r="M1750" i="31"/>
  <c r="I1750" i="31"/>
  <c r="H1750" i="31"/>
  <c r="F1750" i="31"/>
  <c r="N1749" i="31"/>
  <c r="S1749" i="31" s="1"/>
  <c r="M1749" i="31"/>
  <c r="H1749" i="31"/>
  <c r="F1749" i="31"/>
  <c r="E1749" i="31"/>
  <c r="N1748" i="31"/>
  <c r="M1748" i="31"/>
  <c r="I1748" i="31"/>
  <c r="H1748" i="31"/>
  <c r="F1748" i="31"/>
  <c r="N1747" i="31"/>
  <c r="M1747" i="31"/>
  <c r="I1747" i="31"/>
  <c r="H1747" i="31"/>
  <c r="F1747" i="31"/>
  <c r="N1746" i="31"/>
  <c r="Q1746" i="31" s="1"/>
  <c r="M1746" i="31"/>
  <c r="H1746" i="31"/>
  <c r="F1746" i="31"/>
  <c r="E1746" i="31"/>
  <c r="N1745" i="31"/>
  <c r="M1745" i="31"/>
  <c r="I1745" i="31"/>
  <c r="H1745" i="31"/>
  <c r="F1745" i="31"/>
  <c r="N1744" i="31"/>
  <c r="M1744" i="31"/>
  <c r="I1744" i="31"/>
  <c r="H1744" i="31"/>
  <c r="F1744" i="31"/>
  <c r="N1743" i="31"/>
  <c r="M1743" i="31"/>
  <c r="H1743" i="31"/>
  <c r="F1743" i="31"/>
  <c r="E1743" i="31"/>
  <c r="N1742" i="31"/>
  <c r="M1742" i="31"/>
  <c r="J1742" i="31"/>
  <c r="I1742" i="31"/>
  <c r="H1742" i="31"/>
  <c r="F1742" i="31"/>
  <c r="N1741" i="31"/>
  <c r="M1741" i="31"/>
  <c r="J1741" i="31"/>
  <c r="I1741" i="31"/>
  <c r="H1741" i="31"/>
  <c r="F1741" i="31"/>
  <c r="N1740" i="31"/>
  <c r="S1740" i="31" s="1"/>
  <c r="M1740" i="31"/>
  <c r="H1740" i="31"/>
  <c r="F1740" i="31"/>
  <c r="E1740" i="31"/>
  <c r="N1739" i="31"/>
  <c r="M1739" i="31"/>
  <c r="J1739" i="31"/>
  <c r="I1739" i="31"/>
  <c r="H1739" i="31"/>
  <c r="F1739" i="31"/>
  <c r="N1738" i="31"/>
  <c r="M1738" i="31"/>
  <c r="J1738" i="31"/>
  <c r="I1738" i="31"/>
  <c r="H1738" i="31"/>
  <c r="F1738" i="31"/>
  <c r="N1737" i="31"/>
  <c r="P1739" i="31" s="1"/>
  <c r="M1737" i="31"/>
  <c r="H1737" i="31"/>
  <c r="F1737" i="31"/>
  <c r="E1737" i="31"/>
  <c r="N1736" i="31"/>
  <c r="M1736" i="31"/>
  <c r="H1736" i="31"/>
  <c r="F1736" i="31"/>
  <c r="E1736" i="31"/>
  <c r="N1735" i="31"/>
  <c r="R1735" i="31" s="1"/>
  <c r="M1735" i="31"/>
  <c r="H1735" i="31"/>
  <c r="F1735" i="31"/>
  <c r="E1735" i="31"/>
  <c r="N1734" i="31"/>
  <c r="M1734" i="31"/>
  <c r="H1734" i="31"/>
  <c r="F1734" i="31"/>
  <c r="E1734" i="31"/>
  <c r="N1733" i="31"/>
  <c r="S1733" i="31" s="1"/>
  <c r="M1733" i="31"/>
  <c r="H1733" i="31"/>
  <c r="F1733" i="31"/>
  <c r="E1733" i="31"/>
  <c r="N1732" i="31"/>
  <c r="M1732" i="31"/>
  <c r="H1732" i="31"/>
  <c r="F1732" i="31"/>
  <c r="E1732" i="31"/>
  <c r="N1731" i="31"/>
  <c r="R1731" i="31" s="1"/>
  <c r="M1731" i="31"/>
  <c r="H1731" i="31"/>
  <c r="F1731" i="31"/>
  <c r="E1731" i="31"/>
  <c r="N1730" i="31"/>
  <c r="S1730" i="31" s="1"/>
  <c r="M1730" i="31"/>
  <c r="H1730" i="31"/>
  <c r="F1730" i="31"/>
  <c r="E1730" i="31"/>
  <c r="N1729" i="31"/>
  <c r="S1729" i="31" s="1"/>
  <c r="M1729" i="31"/>
  <c r="H1729" i="31"/>
  <c r="F1729" i="31"/>
  <c r="E1729" i="31"/>
  <c r="N1728" i="31"/>
  <c r="Q1728" i="31" s="1"/>
  <c r="M1728" i="31"/>
  <c r="H1728" i="31"/>
  <c r="F1728" i="31"/>
  <c r="E1728" i="31"/>
  <c r="N1727" i="31"/>
  <c r="S1727" i="31" s="1"/>
  <c r="M1727" i="31"/>
  <c r="H1727" i="31"/>
  <c r="F1727" i="31"/>
  <c r="E1727" i="31"/>
  <c r="N1726" i="31"/>
  <c r="S1726" i="31" s="1"/>
  <c r="M1726" i="31"/>
  <c r="H1726" i="31"/>
  <c r="F1726" i="31"/>
  <c r="E1726" i="31"/>
  <c r="N1725" i="31"/>
  <c r="S1725" i="31" s="1"/>
  <c r="M1725" i="31"/>
  <c r="H1725" i="31"/>
  <c r="F1725" i="31"/>
  <c r="E1725" i="31"/>
  <c r="N1724" i="31"/>
  <c r="M1724" i="31"/>
  <c r="H1724" i="31"/>
  <c r="F1724" i="31"/>
  <c r="E1724" i="31"/>
  <c r="N1723" i="31"/>
  <c r="R1723" i="31" s="1"/>
  <c r="M1723" i="31"/>
  <c r="H1723" i="31"/>
  <c r="F1723" i="31"/>
  <c r="E1723" i="31"/>
  <c r="N1722" i="31"/>
  <c r="S1722" i="31" s="1"/>
  <c r="M1722" i="31"/>
  <c r="H1722" i="31"/>
  <c r="F1722" i="31"/>
  <c r="E1722" i="31"/>
  <c r="N1721" i="31"/>
  <c r="S1721" i="31" s="1"/>
  <c r="M1721" i="31"/>
  <c r="H1721" i="31"/>
  <c r="F1721" i="31"/>
  <c r="E1721" i="31"/>
  <c r="N1720" i="31"/>
  <c r="M1720" i="31"/>
  <c r="J1720" i="31"/>
  <c r="I1720" i="31"/>
  <c r="H1720" i="31"/>
  <c r="E1720" i="31"/>
  <c r="N1719" i="31"/>
  <c r="Q1719" i="31" s="1"/>
  <c r="M1719" i="31"/>
  <c r="K1719" i="31"/>
  <c r="H1719" i="31"/>
  <c r="G1719" i="31"/>
  <c r="F1719" i="31"/>
  <c r="E1719" i="31"/>
  <c r="D1719" i="31"/>
  <c r="C1719" i="31"/>
  <c r="B1719" i="31"/>
  <c r="N1718" i="31"/>
  <c r="S1718" i="31" s="1"/>
  <c r="M1718" i="31"/>
  <c r="K1718" i="31"/>
  <c r="H1718" i="31"/>
  <c r="G1718" i="31"/>
  <c r="F1718" i="31"/>
  <c r="E1718" i="31"/>
  <c r="D1718" i="31"/>
  <c r="C1718" i="31"/>
  <c r="B1718" i="31"/>
  <c r="N1717" i="31"/>
  <c r="S1717" i="31" s="1"/>
  <c r="M1717" i="31"/>
  <c r="K1717" i="31"/>
  <c r="H1717" i="31"/>
  <c r="G1717" i="31"/>
  <c r="F1717" i="31"/>
  <c r="E1717" i="31"/>
  <c r="D1717" i="31"/>
  <c r="C1717" i="31"/>
  <c r="B1717" i="31"/>
  <c r="N1716" i="31"/>
  <c r="M1716" i="31"/>
  <c r="K1716" i="31"/>
  <c r="H1716" i="31"/>
  <c r="G1716" i="31"/>
  <c r="F1716" i="31"/>
  <c r="E1716" i="31"/>
  <c r="D1716" i="31"/>
  <c r="C1716" i="31"/>
  <c r="B1716" i="31"/>
  <c r="N1715" i="31"/>
  <c r="R1715" i="31" s="1"/>
  <c r="M1715" i="31"/>
  <c r="K1715" i="31"/>
  <c r="H1715" i="31"/>
  <c r="G1715" i="31"/>
  <c r="F1715" i="31"/>
  <c r="E1715" i="31"/>
  <c r="D1715" i="31"/>
  <c r="C1715" i="31"/>
  <c r="B1715" i="31"/>
  <c r="N1714" i="31"/>
  <c r="M1714" i="31"/>
  <c r="K1714" i="31"/>
  <c r="H1714" i="31"/>
  <c r="G1714" i="31"/>
  <c r="F1714" i="31"/>
  <c r="E1714" i="31"/>
  <c r="D1714" i="31"/>
  <c r="C1714" i="31"/>
  <c r="B1714" i="31"/>
  <c r="N1713" i="31"/>
  <c r="S1713" i="31" s="1"/>
  <c r="M1713" i="31"/>
  <c r="K1713" i="31"/>
  <c r="H1713" i="31"/>
  <c r="G1713" i="31"/>
  <c r="F1713" i="31"/>
  <c r="E1713" i="31"/>
  <c r="D1713" i="31"/>
  <c r="C1713" i="31"/>
  <c r="B1713" i="31"/>
  <c r="N1712" i="31"/>
  <c r="M1712" i="31"/>
  <c r="K1712" i="31"/>
  <c r="H1712" i="31"/>
  <c r="G1712" i="31"/>
  <c r="F1712" i="31"/>
  <c r="E1712" i="31"/>
  <c r="D1712" i="31"/>
  <c r="C1712" i="31"/>
  <c r="B1712" i="31"/>
  <c r="N1711" i="31"/>
  <c r="S1711" i="31" s="1"/>
  <c r="M1711" i="31"/>
  <c r="K1711" i="31"/>
  <c r="H1711" i="31"/>
  <c r="G1711" i="31"/>
  <c r="F1711" i="31"/>
  <c r="E1711" i="31"/>
  <c r="D1711" i="31"/>
  <c r="C1711" i="31"/>
  <c r="B1711" i="31"/>
  <c r="N1710" i="31"/>
  <c r="S1710" i="31" s="1"/>
  <c r="M1710" i="31"/>
  <c r="K1710" i="31"/>
  <c r="H1710" i="31"/>
  <c r="G1710" i="31"/>
  <c r="F1710" i="31"/>
  <c r="E1710" i="31"/>
  <c r="D1710" i="31"/>
  <c r="C1710" i="31"/>
  <c r="B1710" i="31"/>
  <c r="N1709" i="31"/>
  <c r="M1709" i="31"/>
  <c r="K1709" i="31"/>
  <c r="H1709" i="31"/>
  <c r="G1709" i="31"/>
  <c r="F1709" i="31"/>
  <c r="E1709" i="31"/>
  <c r="D1709" i="31"/>
  <c r="C1709" i="31"/>
  <c r="B1709" i="31"/>
  <c r="N1708" i="31"/>
  <c r="Q1708" i="31" s="1"/>
  <c r="M1708" i="31"/>
  <c r="K1708" i="31"/>
  <c r="H1708" i="31"/>
  <c r="G1708" i="31"/>
  <c r="F1708" i="31"/>
  <c r="E1708" i="31"/>
  <c r="D1708" i="31"/>
  <c r="C1708" i="31"/>
  <c r="B1708" i="31"/>
  <c r="N1707" i="31"/>
  <c r="M1707" i="31"/>
  <c r="K1707" i="31"/>
  <c r="H1707" i="31"/>
  <c r="G1707" i="31"/>
  <c r="F1707" i="31"/>
  <c r="E1707" i="31"/>
  <c r="D1707" i="31"/>
  <c r="C1707" i="31"/>
  <c r="B1707" i="31"/>
  <c r="N1706" i="31"/>
  <c r="M1706" i="31"/>
  <c r="K1706" i="31"/>
  <c r="H1706" i="31"/>
  <c r="G1706" i="31"/>
  <c r="F1706" i="31"/>
  <c r="E1706" i="31"/>
  <c r="D1706" i="31"/>
  <c r="C1706" i="31"/>
  <c r="B1706" i="31"/>
  <c r="N1705" i="31"/>
  <c r="S1705" i="31" s="1"/>
  <c r="M1705" i="31"/>
  <c r="K1705" i="31"/>
  <c r="H1705" i="31"/>
  <c r="G1705" i="31"/>
  <c r="F1705" i="31"/>
  <c r="E1705" i="31"/>
  <c r="D1705" i="31"/>
  <c r="C1705" i="31"/>
  <c r="B1705" i="31"/>
  <c r="N1704" i="31"/>
  <c r="R1704" i="31" s="1"/>
  <c r="M1704" i="31"/>
  <c r="K1704" i="31"/>
  <c r="H1704" i="31"/>
  <c r="G1704" i="31"/>
  <c r="F1704" i="31"/>
  <c r="E1704" i="31"/>
  <c r="D1704" i="31"/>
  <c r="C1704" i="31"/>
  <c r="B1704" i="31"/>
  <c r="N1703" i="31"/>
  <c r="M1703" i="31"/>
  <c r="K1703" i="31"/>
  <c r="H1703" i="31"/>
  <c r="G1703" i="31"/>
  <c r="F1703" i="31"/>
  <c r="E1703" i="31"/>
  <c r="D1703" i="31"/>
  <c r="C1703" i="31"/>
  <c r="B1703" i="31"/>
  <c r="N1702" i="31"/>
  <c r="S1702" i="31" s="1"/>
  <c r="M1702" i="31"/>
  <c r="K1702" i="31"/>
  <c r="H1702" i="31"/>
  <c r="G1702" i="31"/>
  <c r="F1702" i="31"/>
  <c r="E1702" i="31"/>
  <c r="D1702" i="31"/>
  <c r="C1702" i="31"/>
  <c r="B1702" i="31"/>
  <c r="N1701" i="31"/>
  <c r="R1701" i="31" s="1"/>
  <c r="M1701" i="31"/>
  <c r="K1701" i="31"/>
  <c r="H1701" i="31"/>
  <c r="G1701" i="31"/>
  <c r="F1701" i="31"/>
  <c r="E1701" i="31"/>
  <c r="D1701" i="31"/>
  <c r="C1701" i="31"/>
  <c r="B1701" i="31"/>
  <c r="N1700" i="31"/>
  <c r="M1700" i="31"/>
  <c r="K1700" i="31"/>
  <c r="H1700" i="31"/>
  <c r="G1700" i="31"/>
  <c r="F1700" i="31"/>
  <c r="E1700" i="31"/>
  <c r="D1700" i="31"/>
  <c r="C1700" i="31"/>
  <c r="B1700" i="31"/>
  <c r="N1699" i="31"/>
  <c r="R1699" i="31" s="1"/>
  <c r="M1699" i="31"/>
  <c r="K1699" i="31"/>
  <c r="H1699" i="31"/>
  <c r="G1699" i="31"/>
  <c r="F1699" i="31"/>
  <c r="E1699" i="31"/>
  <c r="D1699" i="31"/>
  <c r="C1699" i="31"/>
  <c r="B1699" i="31"/>
  <c r="N1698" i="31"/>
  <c r="S1698" i="31" s="1"/>
  <c r="M1698" i="31"/>
  <c r="K1698" i="31"/>
  <c r="H1698" i="31"/>
  <c r="G1698" i="31"/>
  <c r="F1698" i="31"/>
  <c r="E1698" i="31"/>
  <c r="D1698" i="31"/>
  <c r="C1698" i="31"/>
  <c r="B1698" i="31"/>
  <c r="N1697" i="31"/>
  <c r="S1697" i="31" s="1"/>
  <c r="M1697" i="31"/>
  <c r="K1697" i="31"/>
  <c r="H1697" i="31"/>
  <c r="G1697" i="31"/>
  <c r="F1697" i="31"/>
  <c r="E1697" i="31"/>
  <c r="D1697" i="31"/>
  <c r="C1697" i="31"/>
  <c r="B1697" i="31"/>
  <c r="N1696" i="31"/>
  <c r="R1696" i="31" s="1"/>
  <c r="M1696" i="31"/>
  <c r="K1696" i="31"/>
  <c r="H1696" i="31"/>
  <c r="G1696" i="31"/>
  <c r="F1696" i="31"/>
  <c r="E1696" i="31"/>
  <c r="D1696" i="31"/>
  <c r="C1696" i="31"/>
  <c r="B1696" i="31"/>
  <c r="N1695" i="31"/>
  <c r="S1695" i="31" s="1"/>
  <c r="M1695" i="31"/>
  <c r="K1695" i="31"/>
  <c r="H1695" i="31"/>
  <c r="G1695" i="31"/>
  <c r="F1695" i="31"/>
  <c r="E1695" i="31"/>
  <c r="D1695" i="31"/>
  <c r="C1695" i="31"/>
  <c r="B1695" i="31"/>
  <c r="N1694" i="31"/>
  <c r="S1694" i="31" s="1"/>
  <c r="M1694" i="31"/>
  <c r="K1694" i="31"/>
  <c r="H1694" i="31"/>
  <c r="G1694" i="31"/>
  <c r="F1694" i="31"/>
  <c r="E1694" i="31"/>
  <c r="D1694" i="31"/>
  <c r="C1694" i="31"/>
  <c r="B1694" i="31"/>
  <c r="N1693" i="31"/>
  <c r="S1693" i="31" s="1"/>
  <c r="M1693" i="31"/>
  <c r="K1693" i="31"/>
  <c r="H1693" i="31"/>
  <c r="G1693" i="31"/>
  <c r="F1693" i="31"/>
  <c r="E1693" i="31"/>
  <c r="D1693" i="31"/>
  <c r="C1693" i="31"/>
  <c r="B1693" i="31"/>
  <c r="K1692" i="31"/>
  <c r="H1692" i="31"/>
  <c r="G1692" i="31"/>
  <c r="F1692" i="31"/>
  <c r="E1692" i="31"/>
  <c r="D1692" i="31"/>
  <c r="C1692" i="31"/>
  <c r="B1692" i="31"/>
  <c r="K1691" i="31"/>
  <c r="H1691" i="31"/>
  <c r="G1691" i="31"/>
  <c r="F1691" i="31"/>
  <c r="E1691" i="31"/>
  <c r="D1691" i="31"/>
  <c r="C1691" i="31"/>
  <c r="B1691" i="31"/>
  <c r="K1690" i="31"/>
  <c r="H1690" i="31"/>
  <c r="G1690" i="31"/>
  <c r="F1690" i="31"/>
  <c r="E1690" i="31"/>
  <c r="D1690" i="31"/>
  <c r="C1690" i="31"/>
  <c r="B1690" i="31"/>
  <c r="K1689" i="31"/>
  <c r="H1689" i="31"/>
  <c r="G1689" i="31"/>
  <c r="F1689" i="31"/>
  <c r="E1689" i="31"/>
  <c r="D1689" i="31"/>
  <c r="C1689" i="31"/>
  <c r="B1689" i="31"/>
  <c r="K1688" i="31"/>
  <c r="H1688" i="31"/>
  <c r="G1688" i="31"/>
  <c r="F1688" i="31"/>
  <c r="E1688" i="31"/>
  <c r="D1688" i="31"/>
  <c r="C1688" i="31"/>
  <c r="B1688" i="31"/>
  <c r="N1687" i="31"/>
  <c r="M1687" i="31"/>
  <c r="I1687" i="31"/>
  <c r="H1687" i="31"/>
  <c r="G1687" i="31"/>
  <c r="F1687" i="31"/>
  <c r="E1687" i="31"/>
  <c r="N1686" i="31"/>
  <c r="S1686" i="31" s="1"/>
  <c r="M1686" i="31"/>
  <c r="H1686" i="31"/>
  <c r="G1686" i="31"/>
  <c r="F1686" i="31"/>
  <c r="E1686" i="31"/>
  <c r="N1685" i="31"/>
  <c r="M1685" i="31"/>
  <c r="H1685" i="31"/>
  <c r="G1685" i="31"/>
  <c r="F1685" i="31"/>
  <c r="E1685" i="31"/>
  <c r="N1684" i="31"/>
  <c r="M1684" i="31"/>
  <c r="H1684" i="31"/>
  <c r="G1684" i="31"/>
  <c r="F1684" i="31"/>
  <c r="E1684" i="31"/>
  <c r="N1683" i="31"/>
  <c r="S1683" i="31" s="1"/>
  <c r="M1683" i="31"/>
  <c r="H1683" i="31"/>
  <c r="F1683" i="31"/>
  <c r="N1682" i="31"/>
  <c r="M1682" i="31"/>
  <c r="H1682" i="31"/>
  <c r="G1682" i="31"/>
  <c r="F1682" i="31"/>
  <c r="E1682" i="31"/>
  <c r="N1681" i="31"/>
  <c r="M1681" i="31"/>
  <c r="H1681" i="31"/>
  <c r="G1681" i="31"/>
  <c r="F1681" i="31"/>
  <c r="E1681" i="31"/>
  <c r="N1680" i="31"/>
  <c r="R1680" i="31" s="1"/>
  <c r="M1680" i="31"/>
  <c r="H1680" i="31"/>
  <c r="G1680" i="31"/>
  <c r="F1680" i="31"/>
  <c r="E1680" i="31"/>
  <c r="N1679" i="31"/>
  <c r="S1679" i="31" s="1"/>
  <c r="M1679" i="31"/>
  <c r="H1679" i="31"/>
  <c r="G1679" i="31"/>
  <c r="F1679" i="31"/>
  <c r="E1679" i="31"/>
  <c r="N1678" i="31"/>
  <c r="S1678" i="31" s="1"/>
  <c r="M1678" i="31"/>
  <c r="H1678" i="31"/>
  <c r="G1678" i="31"/>
  <c r="F1678" i="31"/>
  <c r="E1678" i="31"/>
  <c r="N1677" i="31"/>
  <c r="Q1677" i="31" s="1"/>
  <c r="M1677" i="31"/>
  <c r="H1677" i="31"/>
  <c r="G1677" i="31"/>
  <c r="F1677" i="31"/>
  <c r="E1677" i="31"/>
  <c r="N1676" i="31"/>
  <c r="S1676" i="31" s="1"/>
  <c r="M1676" i="31"/>
  <c r="H1676" i="31"/>
  <c r="G1676" i="31"/>
  <c r="F1676" i="31"/>
  <c r="E1676" i="31"/>
  <c r="N1675" i="31"/>
  <c r="S1675" i="31" s="1"/>
  <c r="M1675" i="31"/>
  <c r="H1675" i="31"/>
  <c r="G1675" i="31"/>
  <c r="F1675" i="31"/>
  <c r="E1675" i="31"/>
  <c r="N1674" i="31"/>
  <c r="S1674" i="31" s="1"/>
  <c r="M1674" i="31"/>
  <c r="H1674" i="31"/>
  <c r="G1674" i="31"/>
  <c r="F1674" i="31"/>
  <c r="E1674" i="31"/>
  <c r="N1673" i="31"/>
  <c r="R1673" i="31" s="1"/>
  <c r="M1673" i="31"/>
  <c r="H1673" i="31"/>
  <c r="F1673" i="31"/>
  <c r="N1672" i="31"/>
  <c r="R1672" i="31" s="1"/>
  <c r="M1672" i="31"/>
  <c r="H1672" i="31"/>
  <c r="F1672" i="31"/>
  <c r="N1671" i="31"/>
  <c r="S1671" i="31" s="1"/>
  <c r="M1671" i="31"/>
  <c r="H1671" i="31"/>
  <c r="G1671" i="31"/>
  <c r="F1671" i="31"/>
  <c r="E1671" i="31"/>
  <c r="N1670" i="31"/>
  <c r="S1670" i="31" s="1"/>
  <c r="M1670" i="31"/>
  <c r="H1670" i="31"/>
  <c r="G1670" i="31"/>
  <c r="F1670" i="31"/>
  <c r="E1670" i="31"/>
  <c r="N1669" i="31"/>
  <c r="Q1669" i="31" s="1"/>
  <c r="M1669" i="31"/>
  <c r="H1669" i="31"/>
  <c r="G1669" i="31"/>
  <c r="F1669" i="31"/>
  <c r="E1669" i="31"/>
  <c r="N1668" i="31"/>
  <c r="Q1668" i="31" s="1"/>
  <c r="M1668" i="31"/>
  <c r="H1668" i="31"/>
  <c r="G1668" i="31"/>
  <c r="F1668" i="31"/>
  <c r="E1668" i="31"/>
  <c r="N1667" i="31"/>
  <c r="M1667" i="31"/>
  <c r="H1667" i="31"/>
  <c r="G1667" i="31"/>
  <c r="F1667" i="31"/>
  <c r="E1667" i="31"/>
  <c r="N1666" i="31"/>
  <c r="Q1666" i="31" s="1"/>
  <c r="M1666" i="31"/>
  <c r="H1666" i="31"/>
  <c r="G1666" i="31"/>
  <c r="F1666" i="31"/>
  <c r="E1666" i="31"/>
  <c r="N1665" i="31"/>
  <c r="M1665" i="31"/>
  <c r="H1665" i="31"/>
  <c r="G1665" i="31"/>
  <c r="F1665" i="31"/>
  <c r="E1665" i="31"/>
  <c r="N1664" i="31"/>
  <c r="R1664" i="31" s="1"/>
  <c r="M1664" i="31"/>
  <c r="H1664" i="31"/>
  <c r="G1664" i="31"/>
  <c r="F1664" i="31"/>
  <c r="E1664" i="31"/>
  <c r="N1663" i="31"/>
  <c r="S1663" i="31" s="1"/>
  <c r="M1663" i="31"/>
  <c r="H1663" i="31"/>
  <c r="G1663" i="31"/>
  <c r="F1663" i="31"/>
  <c r="E1663" i="31"/>
  <c r="N1662" i="31"/>
  <c r="S1662" i="31" s="1"/>
  <c r="M1662" i="31"/>
  <c r="H1662" i="31"/>
  <c r="G1662" i="31"/>
  <c r="F1662" i="31"/>
  <c r="E1662" i="31"/>
  <c r="N1661" i="31"/>
  <c r="M1661" i="31"/>
  <c r="J1661" i="31"/>
  <c r="I1661" i="31"/>
  <c r="H1661" i="31"/>
  <c r="F1661" i="31"/>
  <c r="N1660" i="31"/>
  <c r="M1660" i="31"/>
  <c r="J1660" i="31"/>
  <c r="I1660" i="31"/>
  <c r="H1660" i="31"/>
  <c r="F1660" i="31"/>
  <c r="N1659" i="31"/>
  <c r="M1659" i="31"/>
  <c r="J1659" i="31"/>
  <c r="I1659" i="31"/>
  <c r="H1659" i="31"/>
  <c r="F1659" i="31"/>
  <c r="N1658" i="31"/>
  <c r="S1658" i="31" s="1"/>
  <c r="M1658" i="31"/>
  <c r="H1658" i="31"/>
  <c r="F1658" i="31"/>
  <c r="E1658" i="31"/>
  <c r="N1657" i="31"/>
  <c r="M1657" i="31"/>
  <c r="J1657" i="31"/>
  <c r="I1657" i="31"/>
  <c r="H1657" i="31"/>
  <c r="F1657" i="31"/>
  <c r="N1656" i="31"/>
  <c r="M1656" i="31"/>
  <c r="J1656" i="31"/>
  <c r="I1656" i="31"/>
  <c r="H1656" i="31"/>
  <c r="F1656" i="31"/>
  <c r="N1655" i="31"/>
  <c r="M1655" i="31"/>
  <c r="J1655" i="31"/>
  <c r="I1655" i="31"/>
  <c r="H1655" i="31"/>
  <c r="F1655" i="31"/>
  <c r="N1654" i="31"/>
  <c r="P1657" i="31" s="1"/>
  <c r="M1654" i="31"/>
  <c r="H1654" i="31"/>
  <c r="F1654" i="31"/>
  <c r="E1654" i="31"/>
  <c r="N1653" i="31"/>
  <c r="M1653" i="31"/>
  <c r="J1653" i="31"/>
  <c r="I1653" i="31"/>
  <c r="H1653" i="31"/>
  <c r="F1653" i="31"/>
  <c r="N1652" i="31"/>
  <c r="M1652" i="31"/>
  <c r="J1652" i="31"/>
  <c r="I1652" i="31"/>
  <c r="H1652" i="31"/>
  <c r="F1652" i="31"/>
  <c r="N1651" i="31"/>
  <c r="M1651" i="31"/>
  <c r="J1651" i="31"/>
  <c r="I1651" i="31"/>
  <c r="H1651" i="31"/>
  <c r="F1651" i="31"/>
  <c r="N1650" i="31"/>
  <c r="Q1650" i="31" s="1"/>
  <c r="M1650" i="31"/>
  <c r="H1650" i="31"/>
  <c r="F1650" i="31"/>
  <c r="E1650" i="31"/>
  <c r="N1649" i="31"/>
  <c r="M1649" i="31"/>
  <c r="J1649" i="31"/>
  <c r="I1649" i="31"/>
  <c r="H1649" i="31"/>
  <c r="F1649" i="31"/>
  <c r="N1648" i="31"/>
  <c r="M1648" i="31"/>
  <c r="J1648" i="31"/>
  <c r="I1648" i="31"/>
  <c r="H1648" i="31"/>
  <c r="F1648" i="31"/>
  <c r="N1647" i="31"/>
  <c r="M1647" i="31"/>
  <c r="J1647" i="31"/>
  <c r="I1647" i="31"/>
  <c r="H1647" i="31"/>
  <c r="F1647" i="31"/>
  <c r="N1646" i="31"/>
  <c r="R1646" i="31" s="1"/>
  <c r="M1646" i="31"/>
  <c r="H1646" i="31"/>
  <c r="F1646" i="31"/>
  <c r="E1646" i="31"/>
  <c r="N1645" i="31"/>
  <c r="M1645" i="31"/>
  <c r="J1645" i="31"/>
  <c r="I1645" i="31"/>
  <c r="H1645" i="31"/>
  <c r="F1645" i="31"/>
  <c r="N1644" i="31"/>
  <c r="M1644" i="31"/>
  <c r="J1644" i="31"/>
  <c r="I1644" i="31"/>
  <c r="H1644" i="31"/>
  <c r="F1644" i="31"/>
  <c r="N1643" i="31"/>
  <c r="M1643" i="31"/>
  <c r="J1643" i="31"/>
  <c r="I1643" i="31"/>
  <c r="H1643" i="31"/>
  <c r="F1643" i="31"/>
  <c r="N1642" i="31"/>
  <c r="P1643" i="31" s="1"/>
  <c r="M1642" i="31"/>
  <c r="H1642" i="31"/>
  <c r="F1642" i="31"/>
  <c r="E1642" i="31"/>
  <c r="N1641" i="31"/>
  <c r="S1641" i="31" s="1"/>
  <c r="M1641" i="31"/>
  <c r="H1641" i="31"/>
  <c r="F1641" i="31"/>
  <c r="N1640" i="31"/>
  <c r="M1640" i="31"/>
  <c r="H1640" i="31"/>
  <c r="N1639" i="31"/>
  <c r="M1639" i="31"/>
  <c r="H1639" i="31"/>
  <c r="F1639" i="31"/>
  <c r="N1638" i="31"/>
  <c r="S1638" i="31" s="1"/>
  <c r="M1638" i="31"/>
  <c r="H1638" i="31"/>
  <c r="F1638" i="31"/>
  <c r="N1637" i="31"/>
  <c r="M1637" i="31"/>
  <c r="J1637" i="31"/>
  <c r="I1637" i="31"/>
  <c r="H1637" i="31"/>
  <c r="F1637" i="31"/>
  <c r="N1636" i="31"/>
  <c r="M1636" i="31"/>
  <c r="J1636" i="31"/>
  <c r="I1636" i="31"/>
  <c r="H1636" i="31"/>
  <c r="F1636" i="31"/>
  <c r="N1635" i="31"/>
  <c r="M1635" i="31"/>
  <c r="J1635" i="31"/>
  <c r="I1635" i="31"/>
  <c r="H1635" i="31"/>
  <c r="F1635" i="31"/>
  <c r="N1634" i="31"/>
  <c r="P1637" i="31" s="1"/>
  <c r="M1634" i="31"/>
  <c r="H1634" i="31"/>
  <c r="F1634" i="31"/>
  <c r="E1634" i="31"/>
  <c r="N1633" i="31"/>
  <c r="S1633" i="31" s="1"/>
  <c r="M1633" i="31"/>
  <c r="H1633" i="31"/>
  <c r="F1633" i="31"/>
  <c r="N1632" i="31"/>
  <c r="S1632" i="31" s="1"/>
  <c r="M1632" i="31"/>
  <c r="H1632" i="31"/>
  <c r="F1632" i="31"/>
  <c r="N1631" i="31"/>
  <c r="M1631" i="31"/>
  <c r="H1631" i="31"/>
  <c r="E1631" i="31"/>
  <c r="N1630" i="31"/>
  <c r="M1630" i="31"/>
  <c r="H1630" i="31"/>
  <c r="E1630" i="31"/>
  <c r="N1629" i="31"/>
  <c r="S1629" i="31" s="1"/>
  <c r="M1629" i="31"/>
  <c r="H1629" i="31"/>
  <c r="G1629" i="31"/>
  <c r="F1629" i="31"/>
  <c r="E1629" i="31"/>
  <c r="N1628" i="31"/>
  <c r="S1628" i="31" s="1"/>
  <c r="M1628" i="31"/>
  <c r="H1628" i="31"/>
  <c r="G1628" i="31"/>
  <c r="F1628" i="31"/>
  <c r="E1628" i="31"/>
  <c r="N1627" i="31"/>
  <c r="M1627" i="31"/>
  <c r="H1627" i="31"/>
  <c r="G1627" i="31"/>
  <c r="F1627" i="31"/>
  <c r="E1627" i="31"/>
  <c r="N1626" i="31"/>
  <c r="R1626" i="31" s="1"/>
  <c r="M1626" i="31"/>
  <c r="H1626" i="31"/>
  <c r="F1626" i="31"/>
  <c r="N1625" i="31"/>
  <c r="M1625" i="31"/>
  <c r="J1625" i="31"/>
  <c r="I1625" i="31"/>
  <c r="H1625" i="31"/>
  <c r="E1625" i="31"/>
  <c r="N1624" i="31"/>
  <c r="S1624" i="31" s="1"/>
  <c r="M1624" i="31"/>
  <c r="K1624" i="31"/>
  <c r="H1624" i="31"/>
  <c r="G1624" i="31"/>
  <c r="F1624" i="31"/>
  <c r="E1624" i="31"/>
  <c r="D1624" i="31"/>
  <c r="C1624" i="31"/>
  <c r="B1624" i="31"/>
  <c r="N1623" i="31"/>
  <c r="R1623" i="31" s="1"/>
  <c r="M1623" i="31"/>
  <c r="K1623" i="31"/>
  <c r="H1623" i="31"/>
  <c r="G1623" i="31"/>
  <c r="F1623" i="31"/>
  <c r="E1623" i="31"/>
  <c r="D1623" i="31"/>
  <c r="C1623" i="31"/>
  <c r="B1623" i="31"/>
  <c r="N1622" i="31"/>
  <c r="S1622" i="31" s="1"/>
  <c r="M1622" i="31"/>
  <c r="K1622" i="31"/>
  <c r="H1622" i="31"/>
  <c r="G1622" i="31"/>
  <c r="F1622" i="31"/>
  <c r="E1622" i="31"/>
  <c r="D1622" i="31"/>
  <c r="C1622" i="31"/>
  <c r="B1622" i="31"/>
  <c r="N1621" i="31"/>
  <c r="S1621" i="31" s="1"/>
  <c r="M1621" i="31"/>
  <c r="K1621" i="31"/>
  <c r="H1621" i="31"/>
  <c r="G1621" i="31"/>
  <c r="F1621" i="31"/>
  <c r="E1621" i="31"/>
  <c r="D1621" i="31"/>
  <c r="C1621" i="31"/>
  <c r="B1621" i="31"/>
  <c r="N1620" i="31"/>
  <c r="M1620" i="31"/>
  <c r="K1620" i="31"/>
  <c r="H1620" i="31"/>
  <c r="G1620" i="31"/>
  <c r="F1620" i="31"/>
  <c r="E1620" i="31"/>
  <c r="D1620" i="31"/>
  <c r="C1620" i="31"/>
  <c r="B1620" i="31"/>
  <c r="N1619" i="31"/>
  <c r="Q1619" i="31" s="1"/>
  <c r="M1619" i="31"/>
  <c r="K1619" i="31"/>
  <c r="H1619" i="31"/>
  <c r="G1619" i="31"/>
  <c r="F1619" i="31"/>
  <c r="E1619" i="31"/>
  <c r="D1619" i="31"/>
  <c r="C1619" i="31"/>
  <c r="B1619" i="31"/>
  <c r="N1618" i="31"/>
  <c r="R1618" i="31" s="1"/>
  <c r="M1618" i="31"/>
  <c r="K1618" i="31"/>
  <c r="H1618" i="31"/>
  <c r="G1618" i="31"/>
  <c r="F1618" i="31"/>
  <c r="E1618" i="31"/>
  <c r="D1618" i="31"/>
  <c r="C1618" i="31"/>
  <c r="B1618" i="31"/>
  <c r="N1617" i="31"/>
  <c r="Q1617" i="31" s="1"/>
  <c r="M1617" i="31"/>
  <c r="K1617" i="31"/>
  <c r="H1617" i="31"/>
  <c r="G1617" i="31"/>
  <c r="F1617" i="31"/>
  <c r="E1617" i="31"/>
  <c r="D1617" i="31"/>
  <c r="C1617" i="31"/>
  <c r="B1617" i="31"/>
  <c r="N1616" i="31"/>
  <c r="S1616" i="31" s="1"/>
  <c r="M1616" i="31"/>
  <c r="K1616" i="31"/>
  <c r="H1616" i="31"/>
  <c r="G1616" i="31"/>
  <c r="F1616" i="31"/>
  <c r="E1616" i="31"/>
  <c r="D1616" i="31"/>
  <c r="C1616" i="31"/>
  <c r="B1616" i="31"/>
  <c r="N1615" i="31"/>
  <c r="R1615" i="31" s="1"/>
  <c r="M1615" i="31"/>
  <c r="K1615" i="31"/>
  <c r="H1615" i="31"/>
  <c r="G1615" i="31"/>
  <c r="F1615" i="31"/>
  <c r="E1615" i="31"/>
  <c r="D1615" i="31"/>
  <c r="C1615" i="31"/>
  <c r="B1615" i="31"/>
  <c r="N1614" i="31"/>
  <c r="M1614" i="31"/>
  <c r="K1614" i="31"/>
  <c r="H1614" i="31"/>
  <c r="G1614" i="31"/>
  <c r="F1614" i="31"/>
  <c r="E1614" i="31"/>
  <c r="D1614" i="31"/>
  <c r="C1614" i="31"/>
  <c r="B1614" i="31"/>
  <c r="N1613" i="31"/>
  <c r="M1613" i="31"/>
  <c r="K1613" i="31"/>
  <c r="H1613" i="31"/>
  <c r="G1613" i="31"/>
  <c r="F1613" i="31"/>
  <c r="E1613" i="31"/>
  <c r="D1613" i="31"/>
  <c r="C1613" i="31"/>
  <c r="B1613" i="31"/>
  <c r="N1612" i="31"/>
  <c r="S1612" i="31" s="1"/>
  <c r="M1612" i="31"/>
  <c r="K1612" i="31"/>
  <c r="H1612" i="31"/>
  <c r="G1612" i="31"/>
  <c r="F1612" i="31"/>
  <c r="E1612" i="31"/>
  <c r="D1612" i="31"/>
  <c r="C1612" i="31"/>
  <c r="B1612" i="31"/>
  <c r="N1611" i="31"/>
  <c r="Q1611" i="31" s="1"/>
  <c r="M1611" i="31"/>
  <c r="K1611" i="31"/>
  <c r="H1611" i="31"/>
  <c r="G1611" i="31"/>
  <c r="F1611" i="31"/>
  <c r="E1611" i="31"/>
  <c r="D1611" i="31"/>
  <c r="C1611" i="31"/>
  <c r="B1611" i="31"/>
  <c r="N1610" i="31"/>
  <c r="R1610" i="31" s="1"/>
  <c r="M1610" i="31"/>
  <c r="K1610" i="31"/>
  <c r="H1610" i="31"/>
  <c r="G1610" i="31"/>
  <c r="F1610" i="31"/>
  <c r="E1610" i="31"/>
  <c r="D1610" i="31"/>
  <c r="C1610" i="31"/>
  <c r="B1610" i="31"/>
  <c r="N1609" i="31"/>
  <c r="Q1609" i="31" s="1"/>
  <c r="M1609" i="31"/>
  <c r="K1609" i="31"/>
  <c r="H1609" i="31"/>
  <c r="G1609" i="31"/>
  <c r="F1609" i="31"/>
  <c r="E1609" i="31"/>
  <c r="D1609" i="31"/>
  <c r="C1609" i="31"/>
  <c r="B1609" i="31"/>
  <c r="N1608" i="31"/>
  <c r="M1608" i="31"/>
  <c r="K1608" i="31"/>
  <c r="H1608" i="31"/>
  <c r="G1608" i="31"/>
  <c r="F1608" i="31"/>
  <c r="E1608" i="31"/>
  <c r="D1608" i="31"/>
  <c r="C1608" i="31"/>
  <c r="B1608" i="31"/>
  <c r="N1607" i="31"/>
  <c r="M1607" i="31"/>
  <c r="K1607" i="31"/>
  <c r="H1607" i="31"/>
  <c r="G1607" i="31"/>
  <c r="F1607" i="31"/>
  <c r="E1607" i="31"/>
  <c r="D1607" i="31"/>
  <c r="C1607" i="31"/>
  <c r="B1607" i="31"/>
  <c r="N1606" i="31"/>
  <c r="S1606" i="31" s="1"/>
  <c r="M1606" i="31"/>
  <c r="K1606" i="31"/>
  <c r="H1606" i="31"/>
  <c r="G1606" i="31"/>
  <c r="F1606" i="31"/>
  <c r="E1606" i="31"/>
  <c r="D1606" i="31"/>
  <c r="C1606" i="31"/>
  <c r="B1606" i="31"/>
  <c r="N1605" i="31"/>
  <c r="M1605" i="31"/>
  <c r="K1605" i="31"/>
  <c r="H1605" i="31"/>
  <c r="G1605" i="31"/>
  <c r="F1605" i="31"/>
  <c r="E1605" i="31"/>
  <c r="D1605" i="31"/>
  <c r="C1605" i="31"/>
  <c r="B1605" i="31"/>
  <c r="N1604" i="31"/>
  <c r="M1604" i="31"/>
  <c r="K1604" i="31"/>
  <c r="H1604" i="31"/>
  <c r="G1604" i="31"/>
  <c r="F1604" i="31"/>
  <c r="E1604" i="31"/>
  <c r="D1604" i="31"/>
  <c r="C1604" i="31"/>
  <c r="B1604" i="31"/>
  <c r="N1603" i="31"/>
  <c r="Q1603" i="31" s="1"/>
  <c r="M1603" i="31"/>
  <c r="K1603" i="31"/>
  <c r="H1603" i="31"/>
  <c r="G1603" i="31"/>
  <c r="F1603" i="31"/>
  <c r="E1603" i="31"/>
  <c r="D1603" i="31"/>
  <c r="C1603" i="31"/>
  <c r="B1603" i="31"/>
  <c r="N1602" i="31"/>
  <c r="R1602" i="31" s="1"/>
  <c r="M1602" i="31"/>
  <c r="K1602" i="31"/>
  <c r="H1602" i="31"/>
  <c r="G1602" i="31"/>
  <c r="F1602" i="31"/>
  <c r="E1602" i="31"/>
  <c r="D1602" i="31"/>
  <c r="C1602" i="31"/>
  <c r="B1602" i="31"/>
  <c r="N1601" i="31"/>
  <c r="M1601" i="31"/>
  <c r="K1601" i="31"/>
  <c r="H1601" i="31"/>
  <c r="G1601" i="31"/>
  <c r="F1601" i="31"/>
  <c r="E1601" i="31"/>
  <c r="D1601" i="31"/>
  <c r="C1601" i="31"/>
  <c r="B1601" i="31"/>
  <c r="N1600" i="31"/>
  <c r="S1600" i="31" s="1"/>
  <c r="M1600" i="31"/>
  <c r="K1600" i="31"/>
  <c r="H1600" i="31"/>
  <c r="G1600" i="31"/>
  <c r="F1600" i="31"/>
  <c r="E1600" i="31"/>
  <c r="D1600" i="31"/>
  <c r="C1600" i="31"/>
  <c r="B1600" i="31"/>
  <c r="N1599" i="31"/>
  <c r="R1599" i="31" s="1"/>
  <c r="M1599" i="31"/>
  <c r="K1599" i="31"/>
  <c r="H1599" i="31"/>
  <c r="G1599" i="31"/>
  <c r="F1599" i="31"/>
  <c r="E1599" i="31"/>
  <c r="D1599" i="31"/>
  <c r="C1599" i="31"/>
  <c r="B1599" i="31"/>
  <c r="N1598" i="31"/>
  <c r="M1598" i="31"/>
  <c r="K1598" i="31"/>
  <c r="H1598" i="31"/>
  <c r="G1598" i="31"/>
  <c r="F1598" i="31"/>
  <c r="E1598" i="31"/>
  <c r="D1598" i="31"/>
  <c r="C1598" i="31"/>
  <c r="B1598" i="31"/>
  <c r="N1597" i="31"/>
  <c r="S1597" i="31" s="1"/>
  <c r="M1597" i="31"/>
  <c r="K1597" i="31"/>
  <c r="H1597" i="31"/>
  <c r="G1597" i="31"/>
  <c r="F1597" i="31"/>
  <c r="E1597" i="31"/>
  <c r="D1597" i="31"/>
  <c r="C1597" i="31"/>
  <c r="B1597" i="31"/>
  <c r="N1596" i="31"/>
  <c r="R1596" i="31" s="1"/>
  <c r="M1596" i="31"/>
  <c r="K1596" i="31"/>
  <c r="H1596" i="31"/>
  <c r="G1596" i="31"/>
  <c r="F1596" i="31"/>
  <c r="E1596" i="31"/>
  <c r="D1596" i="31"/>
  <c r="C1596" i="31"/>
  <c r="B1596" i="31"/>
  <c r="N1595" i="31"/>
  <c r="M1595" i="31"/>
  <c r="K1595" i="31"/>
  <c r="H1595" i="31"/>
  <c r="G1595" i="31"/>
  <c r="F1595" i="31"/>
  <c r="E1595" i="31"/>
  <c r="D1595" i="31"/>
  <c r="C1595" i="31"/>
  <c r="B1595" i="31"/>
  <c r="N1594" i="31"/>
  <c r="Q1594" i="31" s="1"/>
  <c r="M1594" i="31"/>
  <c r="K1594" i="31"/>
  <c r="H1594" i="31"/>
  <c r="G1594" i="31"/>
  <c r="F1594" i="31"/>
  <c r="E1594" i="31"/>
  <c r="D1594" i="31"/>
  <c r="C1594" i="31"/>
  <c r="B1594" i="31"/>
  <c r="N1593" i="31"/>
  <c r="S1593" i="31" s="1"/>
  <c r="M1593" i="31"/>
  <c r="K1593" i="31"/>
  <c r="H1593" i="31"/>
  <c r="G1593" i="31"/>
  <c r="F1593" i="31"/>
  <c r="E1593" i="31"/>
  <c r="D1593" i="31"/>
  <c r="C1593" i="31"/>
  <c r="B1593" i="31"/>
  <c r="N1592" i="31"/>
  <c r="M1592" i="31"/>
  <c r="I1592" i="31"/>
  <c r="H1592" i="31"/>
  <c r="G1592" i="31"/>
  <c r="F1592" i="31"/>
  <c r="E1592" i="31"/>
  <c r="N1591" i="31"/>
  <c r="R1591" i="31" s="1"/>
  <c r="M1591" i="31"/>
  <c r="H1591" i="31"/>
  <c r="G1591" i="31"/>
  <c r="F1591" i="31"/>
  <c r="E1591" i="31"/>
  <c r="N1590" i="31"/>
  <c r="S1590" i="31" s="1"/>
  <c r="M1590" i="31"/>
  <c r="H1590" i="31"/>
  <c r="G1590" i="31"/>
  <c r="F1590" i="31"/>
  <c r="E1590" i="31"/>
  <c r="N1589" i="31"/>
  <c r="M1589" i="31"/>
  <c r="H1589" i="31"/>
  <c r="G1589" i="31"/>
  <c r="F1589" i="31"/>
  <c r="E1589" i="31"/>
  <c r="N1588" i="31"/>
  <c r="R1588" i="31" s="1"/>
  <c r="M1588" i="31"/>
  <c r="H1588" i="31"/>
  <c r="G1588" i="31"/>
  <c r="F1588" i="31"/>
  <c r="E1588" i="31"/>
  <c r="N1587" i="31"/>
  <c r="Q1587" i="31" s="1"/>
  <c r="M1587" i="31"/>
  <c r="H1587" i="31"/>
  <c r="G1587" i="31"/>
  <c r="F1587" i="31"/>
  <c r="E1587" i="31"/>
  <c r="N1586" i="31"/>
  <c r="M1586" i="31"/>
  <c r="H1586" i="31"/>
  <c r="G1586" i="31"/>
  <c r="F1586" i="31"/>
  <c r="E1586" i="31"/>
  <c r="N1585" i="31"/>
  <c r="R1585" i="31" s="1"/>
  <c r="M1585" i="31"/>
  <c r="H1585" i="31"/>
  <c r="G1585" i="31"/>
  <c r="F1585" i="31"/>
  <c r="E1585" i="31"/>
  <c r="N1584" i="31"/>
  <c r="M1584" i="31"/>
  <c r="H1584" i="31"/>
  <c r="G1584" i="31"/>
  <c r="F1584" i="31"/>
  <c r="E1584" i="31"/>
  <c r="N1583" i="31"/>
  <c r="R1583" i="31" s="1"/>
  <c r="M1583" i="31"/>
  <c r="H1583" i="31"/>
  <c r="G1583" i="31"/>
  <c r="F1583" i="31"/>
  <c r="E1583" i="31"/>
  <c r="N1582" i="31"/>
  <c r="S1582" i="31" s="1"/>
  <c r="M1582" i="31"/>
  <c r="H1582" i="31"/>
  <c r="G1582" i="31"/>
  <c r="F1582" i="31"/>
  <c r="E1582" i="31"/>
  <c r="N1581" i="31"/>
  <c r="Q1581" i="31" s="1"/>
  <c r="M1581" i="31"/>
  <c r="H1581" i="31"/>
  <c r="G1581" i="31"/>
  <c r="F1581" i="31"/>
  <c r="E1581" i="31"/>
  <c r="N1580" i="31"/>
  <c r="R1580" i="31" s="1"/>
  <c r="M1580" i="31"/>
  <c r="H1580" i="31"/>
  <c r="G1580" i="31"/>
  <c r="F1580" i="31"/>
  <c r="E1580" i="31"/>
  <c r="N1579" i="31"/>
  <c r="S1579" i="31" s="1"/>
  <c r="M1579" i="31"/>
  <c r="H1579" i="31"/>
  <c r="G1579" i="31"/>
  <c r="F1579" i="31"/>
  <c r="E1579" i="31"/>
  <c r="N1578" i="31"/>
  <c r="M1578" i="31"/>
  <c r="H1578" i="31"/>
  <c r="G1578" i="31"/>
  <c r="F1578" i="31"/>
  <c r="E1578" i="31"/>
  <c r="N1577" i="31"/>
  <c r="R1577" i="31" s="1"/>
  <c r="M1577" i="31"/>
  <c r="H1577" i="31"/>
  <c r="G1577" i="31"/>
  <c r="F1577" i="31"/>
  <c r="E1577" i="31"/>
  <c r="N1576" i="31"/>
  <c r="R1576" i="31" s="1"/>
  <c r="M1576" i="31"/>
  <c r="H1576" i="31"/>
  <c r="G1576" i="31"/>
  <c r="F1576" i="31"/>
  <c r="E1576" i="31"/>
  <c r="N1575" i="31"/>
  <c r="R1575" i="31" s="1"/>
  <c r="M1575" i="31"/>
  <c r="H1575" i="31"/>
  <c r="G1575" i="31"/>
  <c r="F1575" i="31"/>
  <c r="E1575" i="31"/>
  <c r="N1574" i="31"/>
  <c r="M1574" i="31"/>
  <c r="H1574" i="31"/>
  <c r="G1574" i="31"/>
  <c r="F1574" i="31"/>
  <c r="E1574" i="31"/>
  <c r="N1573" i="31"/>
  <c r="M1573" i="31"/>
  <c r="H1573" i="31"/>
  <c r="G1573" i="31"/>
  <c r="F1573" i="31"/>
  <c r="E1573" i="31"/>
  <c r="N1572" i="31"/>
  <c r="M1572" i="31"/>
  <c r="H1572" i="31"/>
  <c r="G1572" i="31"/>
  <c r="F1572" i="31"/>
  <c r="E1572" i="31"/>
  <c r="N1571" i="31"/>
  <c r="M1571" i="31"/>
  <c r="H1571" i="31"/>
  <c r="G1571" i="31"/>
  <c r="F1571" i="31"/>
  <c r="E1571" i="31"/>
  <c r="N1570" i="31"/>
  <c r="M1570" i="31"/>
  <c r="H1570" i="31"/>
  <c r="G1570" i="31"/>
  <c r="F1570" i="31"/>
  <c r="E1570" i="31"/>
  <c r="N1569" i="31"/>
  <c r="R1569" i="31" s="1"/>
  <c r="M1569" i="31"/>
  <c r="H1569" i="31"/>
  <c r="G1569" i="31"/>
  <c r="F1569" i="31"/>
  <c r="E1569" i="31"/>
  <c r="N1568" i="31"/>
  <c r="M1568" i="31"/>
  <c r="H1568" i="31"/>
  <c r="G1568" i="31"/>
  <c r="F1568" i="31"/>
  <c r="E1568" i="31"/>
  <c r="N1567" i="31"/>
  <c r="R1567" i="31" s="1"/>
  <c r="M1567" i="31"/>
  <c r="H1567" i="31"/>
  <c r="G1567" i="31"/>
  <c r="F1567" i="31"/>
  <c r="E1567" i="31"/>
  <c r="N1566" i="31"/>
  <c r="Q1566" i="31" s="1"/>
  <c r="M1566" i="31"/>
  <c r="H1566" i="31"/>
  <c r="G1566" i="31"/>
  <c r="F1566" i="31"/>
  <c r="E1566" i="31"/>
  <c r="N1565" i="31"/>
  <c r="Q1565" i="31" s="1"/>
  <c r="M1565" i="31"/>
  <c r="H1565" i="31"/>
  <c r="G1565" i="31"/>
  <c r="F1565" i="31"/>
  <c r="E1565" i="31"/>
  <c r="N1564" i="31"/>
  <c r="R1564" i="31" s="1"/>
  <c r="M1564" i="31"/>
  <c r="H1564" i="31"/>
  <c r="G1564" i="31"/>
  <c r="F1564" i="31"/>
  <c r="E1564" i="31"/>
  <c r="N1563" i="31"/>
  <c r="M1563" i="31"/>
  <c r="H1563" i="31"/>
  <c r="G1563" i="31"/>
  <c r="F1563" i="31"/>
  <c r="E1563" i="31"/>
  <c r="N1562" i="31"/>
  <c r="S1562" i="31" s="1"/>
  <c r="M1562" i="31"/>
  <c r="H1562" i="31"/>
  <c r="G1562" i="31"/>
  <c r="F1562" i="31"/>
  <c r="E1562" i="31"/>
  <c r="N1561" i="31"/>
  <c r="S1561" i="31" s="1"/>
  <c r="M1561" i="31"/>
  <c r="H1561" i="31"/>
  <c r="G1561" i="31"/>
  <c r="F1561" i="31"/>
  <c r="E1561" i="31"/>
  <c r="N1560" i="31"/>
  <c r="R1560" i="31" s="1"/>
  <c r="M1560" i="31"/>
  <c r="H1560" i="31"/>
  <c r="G1560" i="31"/>
  <c r="F1560" i="31"/>
  <c r="E1560" i="31"/>
  <c r="N1559" i="31"/>
  <c r="R1559" i="31" s="1"/>
  <c r="M1559" i="31"/>
  <c r="H1559" i="31"/>
  <c r="G1559" i="31"/>
  <c r="F1559" i="31"/>
  <c r="E1559" i="31"/>
  <c r="N1558" i="31"/>
  <c r="R1558" i="31" s="1"/>
  <c r="M1558" i="31"/>
  <c r="H1558" i="31"/>
  <c r="G1558" i="31"/>
  <c r="F1558" i="31"/>
  <c r="E1558" i="31"/>
  <c r="N1557" i="31"/>
  <c r="S1557" i="31" s="1"/>
  <c r="M1557" i="31"/>
  <c r="H1557" i="31"/>
  <c r="G1557" i="31"/>
  <c r="F1557" i="31"/>
  <c r="E1557" i="31"/>
  <c r="N1556" i="31"/>
  <c r="Q1556" i="31" s="1"/>
  <c r="M1556" i="31"/>
  <c r="H1556" i="31"/>
  <c r="G1556" i="31"/>
  <c r="F1556" i="31"/>
  <c r="E1556" i="31"/>
  <c r="N1555" i="31"/>
  <c r="M1555" i="31"/>
  <c r="H1555" i="31"/>
  <c r="G1555" i="31"/>
  <c r="F1555" i="31"/>
  <c r="E1555" i="31"/>
  <c r="N1554" i="31"/>
  <c r="S1554" i="31" s="1"/>
  <c r="M1554" i="31"/>
  <c r="H1554" i="31"/>
  <c r="G1554" i="31"/>
  <c r="F1554" i="31"/>
  <c r="E1554" i="31"/>
  <c r="N1553" i="31"/>
  <c r="Q1553" i="31" s="1"/>
  <c r="M1553" i="31"/>
  <c r="H1553" i="31"/>
  <c r="G1553" i="31"/>
  <c r="F1553" i="31"/>
  <c r="E1553" i="31"/>
  <c r="N1552" i="31"/>
  <c r="M1552" i="31"/>
  <c r="H1552" i="31"/>
  <c r="G1552" i="31"/>
  <c r="F1552" i="31"/>
  <c r="E1552" i="31"/>
  <c r="N1551" i="31"/>
  <c r="S1551" i="31" s="1"/>
  <c r="M1551" i="31"/>
  <c r="H1551" i="31"/>
  <c r="G1551" i="31"/>
  <c r="F1551" i="31"/>
  <c r="E1551" i="31"/>
  <c r="N1550" i="31"/>
  <c r="M1550" i="31"/>
  <c r="H1550" i="31"/>
  <c r="G1550" i="31"/>
  <c r="F1550" i="31"/>
  <c r="E1550" i="31"/>
  <c r="N1549" i="31"/>
  <c r="S1549" i="31" s="1"/>
  <c r="M1549" i="31"/>
  <c r="H1549" i="31"/>
  <c r="G1549" i="31"/>
  <c r="F1549" i="31"/>
  <c r="E1549" i="31"/>
  <c r="N1548" i="31"/>
  <c r="R1548" i="31" s="1"/>
  <c r="M1548" i="31"/>
  <c r="H1548" i="31"/>
  <c r="G1548" i="31"/>
  <c r="F1548" i="31"/>
  <c r="E1548" i="31"/>
  <c r="N1547" i="31"/>
  <c r="S1547" i="31" s="1"/>
  <c r="M1547" i="31"/>
  <c r="H1547" i="31"/>
  <c r="G1547" i="31"/>
  <c r="F1547" i="31"/>
  <c r="E1547" i="31"/>
  <c r="N1546" i="31"/>
  <c r="M1546" i="31"/>
  <c r="H1546" i="31"/>
  <c r="G1546" i="31"/>
  <c r="F1546" i="31"/>
  <c r="E1546" i="31"/>
  <c r="N1545" i="31"/>
  <c r="M1545" i="31"/>
  <c r="H1545" i="31"/>
  <c r="G1545" i="31"/>
  <c r="F1545" i="31"/>
  <c r="E1545" i="31"/>
  <c r="N1544" i="31"/>
  <c r="M1544" i="31"/>
  <c r="H1544" i="31"/>
  <c r="G1544" i="31"/>
  <c r="F1544" i="31"/>
  <c r="E1544" i="31"/>
  <c r="N1543" i="31"/>
  <c r="S1543" i="31" s="1"/>
  <c r="M1543" i="31"/>
  <c r="H1543" i="31"/>
  <c r="G1543" i="31"/>
  <c r="F1543" i="31"/>
  <c r="E1543" i="31"/>
  <c r="N1542" i="31"/>
  <c r="R1542" i="31" s="1"/>
  <c r="M1542" i="31"/>
  <c r="H1542" i="31"/>
  <c r="G1542" i="31"/>
  <c r="F1542" i="31"/>
  <c r="E1542" i="31"/>
  <c r="N1541" i="31"/>
  <c r="S1541" i="31" s="1"/>
  <c r="M1541" i="31"/>
  <c r="H1541" i="31"/>
  <c r="G1541" i="31"/>
  <c r="F1541" i="31"/>
  <c r="E1541" i="31"/>
  <c r="N1540" i="31"/>
  <c r="R1540" i="31" s="1"/>
  <c r="M1540" i="31"/>
  <c r="H1540" i="31"/>
  <c r="G1540" i="31"/>
  <c r="F1540" i="31"/>
  <c r="E1540" i="31"/>
  <c r="N1539" i="31"/>
  <c r="S1539" i="31" s="1"/>
  <c r="M1539" i="31"/>
  <c r="H1539" i="31"/>
  <c r="G1539" i="31"/>
  <c r="F1539" i="31"/>
  <c r="E1539" i="31"/>
  <c r="N1538" i="31"/>
  <c r="M1538" i="31"/>
  <c r="H1538" i="31"/>
  <c r="G1538" i="31"/>
  <c r="F1538" i="31"/>
  <c r="E1538" i="31"/>
  <c r="N1537" i="31"/>
  <c r="M1537" i="31"/>
  <c r="H1537" i="31"/>
  <c r="G1537" i="31"/>
  <c r="F1537" i="31"/>
  <c r="E1537" i="31"/>
  <c r="N1536" i="31"/>
  <c r="M1536" i="31"/>
  <c r="H1536" i="31"/>
  <c r="G1536" i="31"/>
  <c r="F1536" i="31"/>
  <c r="E1536" i="31"/>
  <c r="N1535" i="31"/>
  <c r="S1535" i="31" s="1"/>
  <c r="M1535" i="31"/>
  <c r="H1535" i="31"/>
  <c r="G1535" i="31"/>
  <c r="F1535" i="31"/>
  <c r="E1535" i="31"/>
  <c r="N1534" i="31"/>
  <c r="R1534" i="31" s="1"/>
  <c r="M1534" i="31"/>
  <c r="H1534" i="31"/>
  <c r="G1534" i="31"/>
  <c r="F1534" i="31"/>
  <c r="E1534" i="31"/>
  <c r="N1533" i="31"/>
  <c r="S1533" i="31" s="1"/>
  <c r="M1533" i="31"/>
  <c r="H1533" i="31"/>
  <c r="G1533" i="31"/>
  <c r="F1533" i="31"/>
  <c r="E1533" i="31"/>
  <c r="N1532" i="31"/>
  <c r="M1532" i="31"/>
  <c r="H1532" i="31"/>
  <c r="G1532" i="31"/>
  <c r="F1532" i="31"/>
  <c r="E1532" i="31"/>
  <c r="N1531" i="31"/>
  <c r="S1531" i="31" s="1"/>
  <c r="M1531" i="31"/>
  <c r="H1531" i="31"/>
  <c r="G1531" i="31"/>
  <c r="F1531" i="31"/>
  <c r="E1531" i="31"/>
  <c r="N1530" i="31"/>
  <c r="S1530" i="31" s="1"/>
  <c r="M1530" i="31"/>
  <c r="H1530" i="31"/>
  <c r="G1530" i="31"/>
  <c r="F1530" i="31"/>
  <c r="E1530" i="31"/>
  <c r="N1529" i="31"/>
  <c r="M1529" i="31"/>
  <c r="H1529" i="31"/>
  <c r="G1529" i="31"/>
  <c r="F1529" i="31"/>
  <c r="E1529" i="31"/>
  <c r="N1528" i="31"/>
  <c r="M1528" i="31"/>
  <c r="H1528" i="31"/>
  <c r="G1528" i="31"/>
  <c r="F1528" i="31"/>
  <c r="E1528" i="31"/>
  <c r="N1527" i="31"/>
  <c r="S1527" i="31" s="1"/>
  <c r="M1527" i="31"/>
  <c r="H1527" i="31"/>
  <c r="G1527" i="31"/>
  <c r="F1527" i="31"/>
  <c r="E1527" i="31"/>
  <c r="N1526" i="31"/>
  <c r="M1526" i="31"/>
  <c r="H1526" i="31"/>
  <c r="G1526" i="31"/>
  <c r="F1526" i="31"/>
  <c r="E1526" i="31"/>
  <c r="N1525" i="31"/>
  <c r="S1525" i="31" s="1"/>
  <c r="M1525" i="31"/>
  <c r="H1525" i="31"/>
  <c r="G1525" i="31"/>
  <c r="F1525" i="31"/>
  <c r="E1525" i="31"/>
  <c r="N1524" i="31"/>
  <c r="R1524" i="31" s="1"/>
  <c r="M1524" i="31"/>
  <c r="H1524" i="31"/>
  <c r="G1524" i="31"/>
  <c r="F1524" i="31"/>
  <c r="E1524" i="31"/>
  <c r="N1523" i="31"/>
  <c r="S1523" i="31" s="1"/>
  <c r="M1523" i="31"/>
  <c r="H1523" i="31"/>
  <c r="G1523" i="31"/>
  <c r="F1523" i="31"/>
  <c r="E1523" i="31"/>
  <c r="N1522" i="31"/>
  <c r="M1522" i="31"/>
  <c r="H1522" i="31"/>
  <c r="G1522" i="31"/>
  <c r="F1522" i="31"/>
  <c r="E1522" i="31"/>
  <c r="N1521" i="31"/>
  <c r="M1521" i="31"/>
  <c r="H1521" i="31"/>
  <c r="G1521" i="31"/>
  <c r="F1521" i="31"/>
  <c r="E1521" i="31"/>
  <c r="N1520" i="31"/>
  <c r="M1520" i="31"/>
  <c r="H1520" i="31"/>
  <c r="G1520" i="31"/>
  <c r="F1520" i="31"/>
  <c r="E1520" i="31"/>
  <c r="N1519" i="31"/>
  <c r="S1519" i="31" s="1"/>
  <c r="M1519" i="31"/>
  <c r="H1519" i="31"/>
  <c r="G1519" i="31"/>
  <c r="F1519" i="31"/>
  <c r="E1519" i="31"/>
  <c r="N1518" i="31"/>
  <c r="S1518" i="31" s="1"/>
  <c r="M1518" i="31"/>
  <c r="H1518" i="31"/>
  <c r="G1518" i="31"/>
  <c r="F1518" i="31"/>
  <c r="E1518" i="31"/>
  <c r="N1517" i="31"/>
  <c r="S1517" i="31" s="1"/>
  <c r="M1517" i="31"/>
  <c r="H1517" i="31"/>
  <c r="G1517" i="31"/>
  <c r="F1517" i="31"/>
  <c r="E1517" i="31"/>
  <c r="N1516" i="31"/>
  <c r="R1516" i="31" s="1"/>
  <c r="M1516" i="31"/>
  <c r="H1516" i="31"/>
  <c r="G1516" i="31"/>
  <c r="F1516" i="31"/>
  <c r="E1516" i="31"/>
  <c r="N1515" i="31"/>
  <c r="M1515" i="31"/>
  <c r="H1515" i="31"/>
  <c r="G1515" i="31"/>
  <c r="F1515" i="31"/>
  <c r="E1515" i="31"/>
  <c r="N1514" i="31"/>
  <c r="S1514" i="31" s="1"/>
  <c r="M1514" i="31"/>
  <c r="H1514" i="31"/>
  <c r="G1514" i="31"/>
  <c r="F1514" i="31"/>
  <c r="E1514" i="31"/>
  <c r="N1513" i="31"/>
  <c r="Q1513" i="31" s="1"/>
  <c r="M1513" i="31"/>
  <c r="H1513" i="31"/>
  <c r="G1513" i="31"/>
  <c r="F1513" i="31"/>
  <c r="E1513" i="31"/>
  <c r="N1512" i="31"/>
  <c r="M1512" i="31"/>
  <c r="H1512" i="31"/>
  <c r="G1512" i="31"/>
  <c r="F1512" i="31"/>
  <c r="E1512" i="31"/>
  <c r="N1511" i="31"/>
  <c r="S1511" i="31" s="1"/>
  <c r="M1511" i="31"/>
  <c r="H1511" i="31"/>
  <c r="G1511" i="31"/>
  <c r="F1511" i="31"/>
  <c r="E1511" i="31"/>
  <c r="N1510" i="31"/>
  <c r="Q1510" i="31" s="1"/>
  <c r="M1510" i="31"/>
  <c r="H1510" i="31"/>
  <c r="G1510" i="31"/>
  <c r="F1510" i="31"/>
  <c r="E1510" i="31"/>
  <c r="N1509" i="31"/>
  <c r="S1509" i="31" s="1"/>
  <c r="M1509" i="31"/>
  <c r="H1509" i="31"/>
  <c r="G1509" i="31"/>
  <c r="F1509" i="31"/>
  <c r="E1509" i="31"/>
  <c r="N1508" i="31"/>
  <c r="M1508" i="31"/>
  <c r="H1508" i="31"/>
  <c r="G1508" i="31"/>
  <c r="F1508" i="31"/>
  <c r="E1508" i="31"/>
  <c r="N1507" i="31"/>
  <c r="S1507" i="31" s="1"/>
  <c r="M1507" i="31"/>
  <c r="H1507" i="31"/>
  <c r="G1507" i="31"/>
  <c r="F1507" i="31"/>
  <c r="E1507" i="31"/>
  <c r="N1506" i="31"/>
  <c r="S1506" i="31" s="1"/>
  <c r="M1506" i="31"/>
  <c r="H1506" i="31"/>
  <c r="G1506" i="31"/>
  <c r="F1506" i="31"/>
  <c r="E1506" i="31"/>
  <c r="N1505" i="31"/>
  <c r="Q1505" i="31" s="1"/>
  <c r="M1505" i="31"/>
  <c r="H1505" i="31"/>
  <c r="G1505" i="31"/>
  <c r="F1505" i="31"/>
  <c r="E1505" i="31"/>
  <c r="N1504" i="31"/>
  <c r="M1504" i="31"/>
  <c r="H1504" i="31"/>
  <c r="G1504" i="31"/>
  <c r="F1504" i="31"/>
  <c r="E1504" i="31"/>
  <c r="N1503" i="31"/>
  <c r="S1503" i="31" s="1"/>
  <c r="M1503" i="31"/>
  <c r="H1503" i="31"/>
  <c r="G1503" i="31"/>
  <c r="F1503" i="31"/>
  <c r="E1503" i="31"/>
  <c r="N1502" i="31"/>
  <c r="Q1502" i="31" s="1"/>
  <c r="M1502" i="31"/>
  <c r="H1502" i="31"/>
  <c r="G1502" i="31"/>
  <c r="F1502" i="31"/>
  <c r="E1502" i="31"/>
  <c r="N1501" i="31"/>
  <c r="S1501" i="31" s="1"/>
  <c r="M1501" i="31"/>
  <c r="H1501" i="31"/>
  <c r="G1501" i="31"/>
  <c r="F1501" i="31"/>
  <c r="E1501" i="31"/>
  <c r="N1500" i="31"/>
  <c r="M1500" i="31"/>
  <c r="H1500" i="31"/>
  <c r="G1500" i="31"/>
  <c r="F1500" i="31"/>
  <c r="E1500" i="31"/>
  <c r="N1499" i="31"/>
  <c r="S1499" i="31" s="1"/>
  <c r="M1499" i="31"/>
  <c r="H1499" i="31"/>
  <c r="G1499" i="31"/>
  <c r="F1499" i="31"/>
  <c r="E1499" i="31"/>
  <c r="N1498" i="31"/>
  <c r="S1498" i="31" s="1"/>
  <c r="M1498" i="31"/>
  <c r="H1498" i="31"/>
  <c r="G1498" i="31"/>
  <c r="F1498" i="31"/>
  <c r="E1498" i="31"/>
  <c r="N1497" i="31"/>
  <c r="M1497" i="31"/>
  <c r="H1497" i="31"/>
  <c r="G1497" i="31"/>
  <c r="F1497" i="31"/>
  <c r="E1497" i="31"/>
  <c r="N1496" i="31"/>
  <c r="M1496" i="31"/>
  <c r="H1496" i="31"/>
  <c r="G1496" i="31"/>
  <c r="F1496" i="31"/>
  <c r="E1496" i="31"/>
  <c r="N1495" i="31"/>
  <c r="S1495" i="31" s="1"/>
  <c r="M1495" i="31"/>
  <c r="H1495" i="31"/>
  <c r="G1495" i="31"/>
  <c r="F1495" i="31"/>
  <c r="E1495" i="31"/>
  <c r="N1494" i="31"/>
  <c r="M1494" i="31"/>
  <c r="H1494" i="31"/>
  <c r="G1494" i="31"/>
  <c r="F1494" i="31"/>
  <c r="E1494" i="31"/>
  <c r="N1493" i="31"/>
  <c r="S1493" i="31" s="1"/>
  <c r="M1493" i="31"/>
  <c r="H1493" i="31"/>
  <c r="G1493" i="31"/>
  <c r="F1493" i="31"/>
  <c r="E1493" i="31"/>
  <c r="N1492" i="31"/>
  <c r="R1492" i="31" s="1"/>
  <c r="M1492" i="31"/>
  <c r="H1492" i="31"/>
  <c r="G1492" i="31"/>
  <c r="F1492" i="31"/>
  <c r="E1492" i="31"/>
  <c r="N1491" i="31"/>
  <c r="M1491" i="31"/>
  <c r="H1491" i="31"/>
  <c r="G1491" i="31"/>
  <c r="F1491" i="31"/>
  <c r="E1491" i="31"/>
  <c r="N1490" i="31"/>
  <c r="S1490" i="31" s="1"/>
  <c r="M1490" i="31"/>
  <c r="H1490" i="31"/>
  <c r="G1490" i="31"/>
  <c r="F1490" i="31"/>
  <c r="E1490" i="31"/>
  <c r="N1489" i="31"/>
  <c r="Q1489" i="31" s="1"/>
  <c r="M1489" i="31"/>
  <c r="H1489" i="31"/>
  <c r="G1489" i="31"/>
  <c r="F1489" i="31"/>
  <c r="E1489" i="31"/>
  <c r="N1488" i="31"/>
  <c r="M1488" i="31"/>
  <c r="H1488" i="31"/>
  <c r="G1488" i="31"/>
  <c r="F1488" i="31"/>
  <c r="E1488" i="31"/>
  <c r="N1487" i="31"/>
  <c r="S1487" i="31" s="1"/>
  <c r="M1487" i="31"/>
  <c r="H1487" i="31"/>
  <c r="G1487" i="31"/>
  <c r="F1487" i="31"/>
  <c r="E1487" i="31"/>
  <c r="N1486" i="31"/>
  <c r="Q1486" i="31" s="1"/>
  <c r="M1486" i="31"/>
  <c r="H1486" i="31"/>
  <c r="G1486" i="31"/>
  <c r="F1486" i="31"/>
  <c r="E1486" i="31"/>
  <c r="N1485" i="31"/>
  <c r="S1485" i="31" s="1"/>
  <c r="M1485" i="31"/>
  <c r="H1485" i="31"/>
  <c r="G1485" i="31"/>
  <c r="F1485" i="31"/>
  <c r="E1485" i="31"/>
  <c r="N1484" i="31"/>
  <c r="Q1484" i="31" s="1"/>
  <c r="M1484" i="31"/>
  <c r="H1484" i="31"/>
  <c r="G1484" i="31"/>
  <c r="F1484" i="31"/>
  <c r="E1484" i="31"/>
  <c r="N1483" i="31"/>
  <c r="S1483" i="31" s="1"/>
  <c r="M1483" i="31"/>
  <c r="H1483" i="31"/>
  <c r="G1483" i="31"/>
  <c r="F1483" i="31"/>
  <c r="E1483" i="31"/>
  <c r="N1482" i="31"/>
  <c r="S1482" i="31" s="1"/>
  <c r="M1482" i="31"/>
  <c r="H1482" i="31"/>
  <c r="G1482" i="31"/>
  <c r="F1482" i="31"/>
  <c r="E1482" i="31"/>
  <c r="N1481" i="31"/>
  <c r="M1481" i="31"/>
  <c r="H1481" i="31"/>
  <c r="G1481" i="31"/>
  <c r="F1481" i="31"/>
  <c r="E1481" i="31"/>
  <c r="N1480" i="31"/>
  <c r="M1480" i="31"/>
  <c r="H1480" i="31"/>
  <c r="G1480" i="31"/>
  <c r="F1480" i="31"/>
  <c r="E1480" i="31"/>
  <c r="N1479" i="31"/>
  <c r="S1479" i="31" s="1"/>
  <c r="M1479" i="31"/>
  <c r="H1479" i="31"/>
  <c r="G1479" i="31"/>
  <c r="F1479" i="31"/>
  <c r="E1479" i="31"/>
  <c r="N1478" i="31"/>
  <c r="Q1478" i="31" s="1"/>
  <c r="M1478" i="31"/>
  <c r="H1478" i="31"/>
  <c r="G1478" i="31"/>
  <c r="F1478" i="31"/>
  <c r="E1478" i="31"/>
  <c r="N1477" i="31"/>
  <c r="M1477" i="31"/>
  <c r="H1477" i="31"/>
  <c r="G1477" i="31"/>
  <c r="F1477" i="31"/>
  <c r="E1477" i="31"/>
  <c r="N1476" i="31"/>
  <c r="M1476" i="31"/>
  <c r="H1476" i="31"/>
  <c r="G1476" i="31"/>
  <c r="F1476" i="31"/>
  <c r="E1476" i="31"/>
  <c r="N1475" i="31"/>
  <c r="S1475" i="31" s="1"/>
  <c r="M1475" i="31"/>
  <c r="H1475" i="31"/>
  <c r="G1475" i="31"/>
  <c r="F1475" i="31"/>
  <c r="E1475" i="31"/>
  <c r="N1474" i="31"/>
  <c r="S1474" i="31" s="1"/>
  <c r="M1474" i="31"/>
  <c r="H1474" i="31"/>
  <c r="G1474" i="31"/>
  <c r="F1474" i="31"/>
  <c r="E1474" i="31"/>
  <c r="N1473" i="31"/>
  <c r="M1473" i="31"/>
  <c r="H1473" i="31"/>
  <c r="G1473" i="31"/>
  <c r="F1473" i="31"/>
  <c r="E1473" i="31"/>
  <c r="N1472" i="31"/>
  <c r="M1472" i="31"/>
  <c r="H1472" i="31"/>
  <c r="G1472" i="31"/>
  <c r="F1472" i="31"/>
  <c r="E1472" i="31"/>
  <c r="N1471" i="31"/>
  <c r="S1471" i="31" s="1"/>
  <c r="M1471" i="31"/>
  <c r="H1471" i="31"/>
  <c r="G1471" i="31"/>
  <c r="F1471" i="31"/>
  <c r="E1471" i="31"/>
  <c r="N1470" i="31"/>
  <c r="Q1470" i="31" s="1"/>
  <c r="M1470" i="31"/>
  <c r="H1470" i="31"/>
  <c r="G1470" i="31"/>
  <c r="F1470" i="31"/>
  <c r="E1470" i="31"/>
  <c r="N1469" i="31"/>
  <c r="M1469" i="31"/>
  <c r="H1469" i="31"/>
  <c r="G1469" i="31"/>
  <c r="F1469" i="31"/>
  <c r="E1469" i="31"/>
  <c r="N1468" i="31"/>
  <c r="M1468" i="31"/>
  <c r="H1468" i="31"/>
  <c r="G1468" i="31"/>
  <c r="F1468" i="31"/>
  <c r="E1468" i="31"/>
  <c r="N1467" i="31"/>
  <c r="M1467" i="31"/>
  <c r="H1467" i="31"/>
  <c r="G1467" i="31"/>
  <c r="F1467" i="31"/>
  <c r="E1467" i="31"/>
  <c r="N1466" i="31"/>
  <c r="S1466" i="31" s="1"/>
  <c r="M1466" i="31"/>
  <c r="H1466" i="31"/>
  <c r="G1466" i="31"/>
  <c r="F1466" i="31"/>
  <c r="E1466" i="31"/>
  <c r="N1465" i="31"/>
  <c r="Q1465" i="31" s="1"/>
  <c r="M1465" i="31"/>
  <c r="H1465" i="31"/>
  <c r="G1465" i="31"/>
  <c r="F1465" i="31"/>
  <c r="E1465" i="31"/>
  <c r="N1464" i="31"/>
  <c r="M1464" i="31"/>
  <c r="H1464" i="31"/>
  <c r="G1464" i="31"/>
  <c r="F1464" i="31"/>
  <c r="E1464" i="31"/>
  <c r="N1463" i="31"/>
  <c r="S1463" i="31" s="1"/>
  <c r="M1463" i="31"/>
  <c r="H1463" i="31"/>
  <c r="G1463" i="31"/>
  <c r="F1463" i="31"/>
  <c r="E1463" i="31"/>
  <c r="N1462" i="31"/>
  <c r="R1462" i="31" s="1"/>
  <c r="M1462" i="31"/>
  <c r="H1462" i="31"/>
  <c r="G1462" i="31"/>
  <c r="F1462" i="31"/>
  <c r="E1462" i="31"/>
  <c r="N1461" i="31"/>
  <c r="M1461" i="31"/>
  <c r="H1461" i="31"/>
  <c r="G1461" i="31"/>
  <c r="F1461" i="31"/>
  <c r="E1461" i="31"/>
  <c r="N1460" i="31"/>
  <c r="Q1460" i="31" s="1"/>
  <c r="M1460" i="31"/>
  <c r="H1460" i="31"/>
  <c r="G1460" i="31"/>
  <c r="F1460" i="31"/>
  <c r="E1460" i="31"/>
  <c r="N1459" i="31"/>
  <c r="S1459" i="31" s="1"/>
  <c r="M1459" i="31"/>
  <c r="H1459" i="31"/>
  <c r="G1459" i="31"/>
  <c r="F1459" i="31"/>
  <c r="E1459" i="31"/>
  <c r="N1458" i="31"/>
  <c r="M1458" i="31"/>
  <c r="H1458" i="31"/>
  <c r="G1458" i="31"/>
  <c r="F1458" i="31"/>
  <c r="E1458" i="31"/>
  <c r="N1457" i="31"/>
  <c r="Q1457" i="31" s="1"/>
  <c r="M1457" i="31"/>
  <c r="H1457" i="31"/>
  <c r="G1457" i="31"/>
  <c r="F1457" i="31"/>
  <c r="E1457" i="31"/>
  <c r="N1456" i="31"/>
  <c r="M1456" i="31"/>
  <c r="H1456" i="31"/>
  <c r="G1456" i="31"/>
  <c r="F1456" i="31"/>
  <c r="E1456" i="31"/>
  <c r="N1455" i="31"/>
  <c r="S1455" i="31" s="1"/>
  <c r="M1455" i="31"/>
  <c r="H1455" i="31"/>
  <c r="G1455" i="31"/>
  <c r="F1455" i="31"/>
  <c r="E1455" i="31"/>
  <c r="N1454" i="31"/>
  <c r="M1454" i="31"/>
  <c r="H1454" i="31"/>
  <c r="G1454" i="31"/>
  <c r="F1454" i="31"/>
  <c r="E1454" i="31"/>
  <c r="N1453" i="31"/>
  <c r="M1453" i="31"/>
  <c r="H1453" i="31"/>
  <c r="G1453" i="31"/>
  <c r="F1453" i="31"/>
  <c r="E1453" i="31"/>
  <c r="N1452" i="31"/>
  <c r="R1452" i="31" s="1"/>
  <c r="M1452" i="31"/>
  <c r="H1452" i="31"/>
  <c r="G1452" i="31"/>
  <c r="F1452" i="31"/>
  <c r="E1452" i="31"/>
  <c r="N1451" i="31"/>
  <c r="S1451" i="31" s="1"/>
  <c r="M1451" i="31"/>
  <c r="H1451" i="31"/>
  <c r="G1451" i="31"/>
  <c r="F1451" i="31"/>
  <c r="E1451" i="31"/>
  <c r="N1450" i="31"/>
  <c r="S1450" i="31" s="1"/>
  <c r="M1450" i="31"/>
  <c r="H1450" i="31"/>
  <c r="G1450" i="31"/>
  <c r="F1450" i="31"/>
  <c r="E1450" i="31"/>
  <c r="N1449" i="31"/>
  <c r="R1449" i="31" s="1"/>
  <c r="M1449" i="31"/>
  <c r="H1449" i="31"/>
  <c r="G1449" i="31"/>
  <c r="F1449" i="31"/>
  <c r="E1449" i="31"/>
  <c r="N1448" i="31"/>
  <c r="Q1448" i="31" s="1"/>
  <c r="M1448" i="31"/>
  <c r="H1448" i="31"/>
  <c r="G1448" i="31"/>
  <c r="F1448" i="31"/>
  <c r="E1448" i="31"/>
  <c r="N1447" i="31"/>
  <c r="S1447" i="31" s="1"/>
  <c r="M1447" i="31"/>
  <c r="H1447" i="31"/>
  <c r="G1447" i="31"/>
  <c r="F1447" i="31"/>
  <c r="E1447" i="31"/>
  <c r="N1446" i="31"/>
  <c r="R1446" i="31" s="1"/>
  <c r="M1446" i="31"/>
  <c r="H1446" i="31"/>
  <c r="G1446" i="31"/>
  <c r="F1446" i="31"/>
  <c r="E1446" i="31"/>
  <c r="N1445" i="31"/>
  <c r="M1445" i="31"/>
  <c r="H1445" i="31"/>
  <c r="G1445" i="31"/>
  <c r="F1445" i="31"/>
  <c r="E1445" i="31"/>
  <c r="N1444" i="31"/>
  <c r="M1444" i="31"/>
  <c r="H1444" i="31"/>
  <c r="G1444" i="31"/>
  <c r="F1444" i="31"/>
  <c r="E1444" i="31"/>
  <c r="N1443" i="31"/>
  <c r="S1443" i="31" s="1"/>
  <c r="M1443" i="31"/>
  <c r="H1443" i="31"/>
  <c r="G1443" i="31"/>
  <c r="F1443" i="31"/>
  <c r="E1443" i="31"/>
  <c r="N1442" i="31"/>
  <c r="M1442" i="31"/>
  <c r="H1442" i="31"/>
  <c r="G1442" i="31"/>
  <c r="F1442" i="31"/>
  <c r="E1442" i="31"/>
  <c r="N1441" i="31"/>
  <c r="M1441" i="31"/>
  <c r="H1441" i="31"/>
  <c r="G1441" i="31"/>
  <c r="F1441" i="31"/>
  <c r="E1441" i="31"/>
  <c r="N1440" i="31"/>
  <c r="Q1440" i="31" s="1"/>
  <c r="M1440" i="31"/>
  <c r="H1440" i="31"/>
  <c r="G1440" i="31"/>
  <c r="F1440" i="31"/>
  <c r="E1440" i="31"/>
  <c r="N1439" i="31"/>
  <c r="S1439" i="31" s="1"/>
  <c r="M1439" i="31"/>
  <c r="H1439" i="31"/>
  <c r="G1439" i="31"/>
  <c r="F1439" i="31"/>
  <c r="E1439" i="31"/>
  <c r="N1438" i="31"/>
  <c r="M1438" i="31"/>
  <c r="H1438" i="31"/>
  <c r="G1438" i="31"/>
  <c r="F1438" i="31"/>
  <c r="E1438" i="31"/>
  <c r="N1437" i="31"/>
  <c r="M1437" i="31"/>
  <c r="H1437" i="31"/>
  <c r="G1437" i="31"/>
  <c r="F1437" i="31"/>
  <c r="E1437" i="31"/>
  <c r="N1436" i="31"/>
  <c r="Q1436" i="31" s="1"/>
  <c r="M1436" i="31"/>
  <c r="H1436" i="31"/>
  <c r="G1436" i="31"/>
  <c r="F1436" i="31"/>
  <c r="E1436" i="31"/>
  <c r="N1435" i="31"/>
  <c r="S1435" i="31" s="1"/>
  <c r="M1435" i="31"/>
  <c r="H1435" i="31"/>
  <c r="G1435" i="31"/>
  <c r="F1435" i="31"/>
  <c r="E1435" i="31"/>
  <c r="N1434" i="31"/>
  <c r="S1434" i="31" s="1"/>
  <c r="M1434" i="31"/>
  <c r="H1434" i="31"/>
  <c r="G1434" i="31"/>
  <c r="F1434" i="31"/>
  <c r="E1434" i="31"/>
  <c r="N1433" i="31"/>
  <c r="M1433" i="31"/>
  <c r="H1433" i="31"/>
  <c r="G1433" i="31"/>
  <c r="F1433" i="31"/>
  <c r="E1433" i="31"/>
  <c r="N1432" i="31"/>
  <c r="Q1432" i="31" s="1"/>
  <c r="M1432" i="31"/>
  <c r="H1432" i="31"/>
  <c r="G1432" i="31"/>
  <c r="F1432" i="31"/>
  <c r="E1432" i="31"/>
  <c r="N1431" i="31"/>
  <c r="S1431" i="31" s="1"/>
  <c r="M1431" i="31"/>
  <c r="H1431" i="31"/>
  <c r="G1431" i="31"/>
  <c r="F1431" i="31"/>
  <c r="E1431" i="31"/>
  <c r="N1430" i="31"/>
  <c r="S1430" i="31" s="1"/>
  <c r="M1430" i="31"/>
  <c r="H1430" i="31"/>
  <c r="G1430" i="31"/>
  <c r="F1430" i="31"/>
  <c r="E1430" i="31"/>
  <c r="N1429" i="31"/>
  <c r="M1429" i="31"/>
  <c r="H1429" i="31"/>
  <c r="G1429" i="31"/>
  <c r="F1429" i="31"/>
  <c r="E1429" i="31"/>
  <c r="N1428" i="31"/>
  <c r="M1428" i="31"/>
  <c r="H1428" i="31"/>
  <c r="G1428" i="31"/>
  <c r="F1428" i="31"/>
  <c r="E1428" i="31"/>
  <c r="N1427" i="31"/>
  <c r="S1427" i="31" s="1"/>
  <c r="M1427" i="31"/>
  <c r="H1427" i="31"/>
  <c r="G1427" i="31"/>
  <c r="F1427" i="31"/>
  <c r="E1427" i="31"/>
  <c r="N1426" i="31"/>
  <c r="M1426" i="31"/>
  <c r="H1426" i="31"/>
  <c r="G1426" i="31"/>
  <c r="F1426" i="31"/>
  <c r="E1426" i="31"/>
  <c r="N1425" i="31"/>
  <c r="Q1425" i="31" s="1"/>
  <c r="M1425" i="31"/>
  <c r="H1425" i="31"/>
  <c r="G1425" i="31"/>
  <c r="F1425" i="31"/>
  <c r="E1425" i="31"/>
  <c r="N1424" i="31"/>
  <c r="Q1424" i="31" s="1"/>
  <c r="M1424" i="31"/>
  <c r="H1424" i="31"/>
  <c r="G1424" i="31"/>
  <c r="F1424" i="31"/>
  <c r="E1424" i="31"/>
  <c r="N1423" i="31"/>
  <c r="S1423" i="31" s="1"/>
  <c r="M1423" i="31"/>
  <c r="H1423" i="31"/>
  <c r="G1423" i="31"/>
  <c r="F1423" i="31"/>
  <c r="E1423" i="31"/>
  <c r="N1422" i="31"/>
  <c r="M1422" i="31"/>
  <c r="H1422" i="31"/>
  <c r="G1422" i="31"/>
  <c r="F1422" i="31"/>
  <c r="E1422" i="31"/>
  <c r="N1421" i="31"/>
  <c r="M1421" i="31"/>
  <c r="H1421" i="31"/>
  <c r="G1421" i="31"/>
  <c r="F1421" i="31"/>
  <c r="E1421" i="31"/>
  <c r="N1420" i="31"/>
  <c r="S1420" i="31" s="1"/>
  <c r="M1420" i="31"/>
  <c r="H1420" i="31"/>
  <c r="G1420" i="31"/>
  <c r="F1420" i="31"/>
  <c r="E1420" i="31"/>
  <c r="N1419" i="31"/>
  <c r="S1419" i="31" s="1"/>
  <c r="M1419" i="31"/>
  <c r="H1419" i="31"/>
  <c r="G1419" i="31"/>
  <c r="F1419" i="31"/>
  <c r="E1419" i="31"/>
  <c r="N1418" i="31"/>
  <c r="S1418" i="31" s="1"/>
  <c r="M1418" i="31"/>
  <c r="H1418" i="31"/>
  <c r="G1418" i="31"/>
  <c r="F1418" i="31"/>
  <c r="E1418" i="31"/>
  <c r="N1417" i="31"/>
  <c r="R1417" i="31" s="1"/>
  <c r="M1417" i="31"/>
  <c r="H1417" i="31"/>
  <c r="G1417" i="31"/>
  <c r="F1417" i="31"/>
  <c r="E1417" i="31"/>
  <c r="N1416" i="31"/>
  <c r="Q1416" i="31" s="1"/>
  <c r="M1416" i="31"/>
  <c r="H1416" i="31"/>
  <c r="G1416" i="31"/>
  <c r="F1416" i="31"/>
  <c r="E1416" i="31"/>
  <c r="N1415" i="31"/>
  <c r="S1415" i="31" s="1"/>
  <c r="M1415" i="31"/>
  <c r="H1415" i="31"/>
  <c r="G1415" i="31"/>
  <c r="F1415" i="31"/>
  <c r="E1415" i="31"/>
  <c r="N1414" i="31"/>
  <c r="Q1414" i="31" s="1"/>
  <c r="M1414" i="31"/>
  <c r="H1414" i="31"/>
  <c r="G1414" i="31"/>
  <c r="F1414" i="31"/>
  <c r="E1414" i="31"/>
  <c r="N1413" i="31"/>
  <c r="M1413" i="31"/>
  <c r="H1413" i="31"/>
  <c r="G1413" i="31"/>
  <c r="F1413" i="31"/>
  <c r="E1413" i="31"/>
  <c r="N1412" i="31"/>
  <c r="M1412" i="31"/>
  <c r="H1412" i="31"/>
  <c r="G1412" i="31"/>
  <c r="F1412" i="31"/>
  <c r="E1412" i="31"/>
  <c r="N1411" i="31"/>
  <c r="S1411" i="31" s="1"/>
  <c r="M1411" i="31"/>
  <c r="H1411" i="31"/>
  <c r="G1411" i="31"/>
  <c r="F1411" i="31"/>
  <c r="E1411" i="31"/>
  <c r="N1410" i="31"/>
  <c r="R1410" i="31" s="1"/>
  <c r="M1410" i="31"/>
  <c r="H1410" i="31"/>
  <c r="G1410" i="31"/>
  <c r="F1410" i="31"/>
  <c r="E1410" i="31"/>
  <c r="N1409" i="31"/>
  <c r="Q1409" i="31" s="1"/>
  <c r="M1409" i="31"/>
  <c r="H1409" i="31"/>
  <c r="G1409" i="31"/>
  <c r="F1409" i="31"/>
  <c r="E1409" i="31"/>
  <c r="N1408" i="31"/>
  <c r="M1408" i="31"/>
  <c r="H1408" i="31"/>
  <c r="G1408" i="31"/>
  <c r="F1408" i="31"/>
  <c r="E1408" i="31"/>
  <c r="N1407" i="31"/>
  <c r="S1407" i="31" s="1"/>
  <c r="M1407" i="31"/>
  <c r="H1407" i="31"/>
  <c r="G1407" i="31"/>
  <c r="F1407" i="31"/>
  <c r="E1407" i="31"/>
  <c r="N1406" i="31"/>
  <c r="Q1406" i="31" s="1"/>
  <c r="M1406" i="31"/>
  <c r="H1406" i="31"/>
  <c r="G1406" i="31"/>
  <c r="F1406" i="31"/>
  <c r="E1406" i="31"/>
  <c r="N1405" i="31"/>
  <c r="M1405" i="31"/>
  <c r="H1405" i="31"/>
  <c r="G1405" i="31"/>
  <c r="F1405" i="31"/>
  <c r="E1405" i="31"/>
  <c r="N1404" i="31"/>
  <c r="S1404" i="31" s="1"/>
  <c r="M1404" i="31"/>
  <c r="H1404" i="31"/>
  <c r="G1404" i="31"/>
  <c r="F1404" i="31"/>
  <c r="E1404" i="31"/>
  <c r="N1403" i="31"/>
  <c r="S1403" i="31" s="1"/>
  <c r="M1403" i="31"/>
  <c r="H1403" i="31"/>
  <c r="G1403" i="31"/>
  <c r="F1403" i="31"/>
  <c r="E1403" i="31"/>
  <c r="N1402" i="31"/>
  <c r="M1402" i="31"/>
  <c r="H1402" i="31"/>
  <c r="G1402" i="31"/>
  <c r="F1402" i="31"/>
  <c r="E1402" i="31"/>
  <c r="N1401" i="31"/>
  <c r="Q1401" i="31" s="1"/>
  <c r="M1401" i="31"/>
  <c r="H1401" i="31"/>
  <c r="G1401" i="31"/>
  <c r="F1401" i="31"/>
  <c r="E1401" i="31"/>
  <c r="N1400" i="31"/>
  <c r="M1400" i="31"/>
  <c r="H1400" i="31"/>
  <c r="G1400" i="31"/>
  <c r="F1400" i="31"/>
  <c r="E1400" i="31"/>
  <c r="N1399" i="31"/>
  <c r="S1399" i="31" s="1"/>
  <c r="M1399" i="31"/>
  <c r="H1399" i="31"/>
  <c r="G1399" i="31"/>
  <c r="F1399" i="31"/>
  <c r="E1399" i="31"/>
  <c r="N1398" i="31"/>
  <c r="S1398" i="31" s="1"/>
  <c r="M1398" i="31"/>
  <c r="H1398" i="31"/>
  <c r="G1398" i="31"/>
  <c r="F1398" i="31"/>
  <c r="E1398" i="31"/>
  <c r="N1397" i="31"/>
  <c r="M1397" i="31"/>
  <c r="H1397" i="31"/>
  <c r="G1397" i="31"/>
  <c r="F1397" i="31"/>
  <c r="E1397" i="31"/>
  <c r="N1396" i="31"/>
  <c r="M1396" i="31"/>
  <c r="H1396" i="31"/>
  <c r="G1396" i="31"/>
  <c r="F1396" i="31"/>
  <c r="E1396" i="31"/>
  <c r="N1395" i="31"/>
  <c r="S1395" i="31" s="1"/>
  <c r="M1395" i="31"/>
  <c r="H1395" i="31"/>
  <c r="G1395" i="31"/>
  <c r="F1395" i="31"/>
  <c r="E1395" i="31"/>
  <c r="N1394" i="31"/>
  <c r="R1394" i="31" s="1"/>
  <c r="M1394" i="31"/>
  <c r="H1394" i="31"/>
  <c r="G1394" i="31"/>
  <c r="F1394" i="31"/>
  <c r="E1394" i="31"/>
  <c r="N1393" i="31"/>
  <c r="M1393" i="31"/>
  <c r="H1393" i="31"/>
  <c r="G1393" i="31"/>
  <c r="F1393" i="31"/>
  <c r="E1393" i="31"/>
  <c r="N1392" i="31"/>
  <c r="Q1392" i="31" s="1"/>
  <c r="M1392" i="31"/>
  <c r="H1392" i="31"/>
  <c r="G1392" i="31"/>
  <c r="F1392" i="31"/>
  <c r="E1392" i="31"/>
  <c r="N1391" i="31"/>
  <c r="S1391" i="31" s="1"/>
  <c r="M1391" i="31"/>
  <c r="H1391" i="31"/>
  <c r="G1391" i="31"/>
  <c r="F1391" i="31"/>
  <c r="E1391" i="31"/>
  <c r="N1390" i="31"/>
  <c r="S1390" i="31" s="1"/>
  <c r="M1390" i="31"/>
  <c r="H1390" i="31"/>
  <c r="G1390" i="31"/>
  <c r="F1390" i="31"/>
  <c r="E1390" i="31"/>
  <c r="N1389" i="31"/>
  <c r="M1389" i="31"/>
  <c r="H1389" i="31"/>
  <c r="G1389" i="31"/>
  <c r="F1389" i="31"/>
  <c r="E1389" i="31"/>
  <c r="N1388" i="31"/>
  <c r="S1388" i="31" s="1"/>
  <c r="M1388" i="31"/>
  <c r="H1388" i="31"/>
  <c r="G1388" i="31"/>
  <c r="F1388" i="31"/>
  <c r="E1388" i="31"/>
  <c r="N1387" i="31"/>
  <c r="M1387" i="31"/>
  <c r="H1387" i="31"/>
  <c r="G1387" i="31"/>
  <c r="F1387" i="31"/>
  <c r="E1387" i="31"/>
  <c r="N1386" i="31"/>
  <c r="M1386" i="31"/>
  <c r="H1386" i="31"/>
  <c r="G1386" i="31"/>
  <c r="F1386" i="31"/>
  <c r="E1386" i="31"/>
  <c r="N1385" i="31"/>
  <c r="Q1385" i="31" s="1"/>
  <c r="M1385" i="31"/>
  <c r="H1385" i="31"/>
  <c r="G1385" i="31"/>
  <c r="F1385" i="31"/>
  <c r="E1385" i="31"/>
  <c r="N1384" i="31"/>
  <c r="M1384" i="31"/>
  <c r="H1384" i="31"/>
  <c r="G1384" i="31"/>
  <c r="F1384" i="31"/>
  <c r="E1384" i="31"/>
  <c r="N1383" i="31"/>
  <c r="S1383" i="31" s="1"/>
  <c r="M1383" i="31"/>
  <c r="H1383" i="31"/>
  <c r="G1383" i="31"/>
  <c r="F1383" i="31"/>
  <c r="E1383" i="31"/>
  <c r="N1382" i="31"/>
  <c r="Q1382" i="31" s="1"/>
  <c r="M1382" i="31"/>
  <c r="H1382" i="31"/>
  <c r="G1382" i="31"/>
  <c r="F1382" i="31"/>
  <c r="E1382" i="31"/>
  <c r="N1381" i="31"/>
  <c r="M1381" i="31"/>
  <c r="H1381" i="31"/>
  <c r="G1381" i="31"/>
  <c r="F1381" i="31"/>
  <c r="E1381" i="31"/>
  <c r="N1380" i="31"/>
  <c r="M1380" i="31"/>
  <c r="H1380" i="31"/>
  <c r="G1380" i="31"/>
  <c r="F1380" i="31"/>
  <c r="E1380" i="31"/>
  <c r="N1379" i="31"/>
  <c r="S1379" i="31" s="1"/>
  <c r="M1379" i="31"/>
  <c r="H1379" i="31"/>
  <c r="G1379" i="31"/>
  <c r="F1379" i="31"/>
  <c r="E1379" i="31"/>
  <c r="N1378" i="31"/>
  <c r="R1378" i="31" s="1"/>
  <c r="M1378" i="31"/>
  <c r="H1378" i="31"/>
  <c r="G1378" i="31"/>
  <c r="F1378" i="31"/>
  <c r="E1378" i="31"/>
  <c r="N1377" i="31"/>
  <c r="M1377" i="31"/>
  <c r="H1377" i="31"/>
  <c r="G1377" i="31"/>
  <c r="F1377" i="31"/>
  <c r="E1377" i="31"/>
  <c r="N1376" i="31"/>
  <c r="M1376" i="31"/>
  <c r="H1376" i="31"/>
  <c r="G1376" i="31"/>
  <c r="F1376" i="31"/>
  <c r="E1376" i="31"/>
  <c r="N1375" i="31"/>
  <c r="S1375" i="31" s="1"/>
  <c r="M1375" i="31"/>
  <c r="H1375" i="31"/>
  <c r="G1375" i="31"/>
  <c r="F1375" i="31"/>
  <c r="E1375" i="31"/>
  <c r="N1374" i="31"/>
  <c r="S1374" i="31" s="1"/>
  <c r="M1374" i="31"/>
  <c r="H1374" i="31"/>
  <c r="G1374" i="31"/>
  <c r="F1374" i="31"/>
  <c r="E1374" i="31"/>
  <c r="N1373" i="31"/>
  <c r="M1373" i="31"/>
  <c r="H1373" i="31"/>
  <c r="G1373" i="31"/>
  <c r="F1373" i="31"/>
  <c r="E1373" i="31"/>
  <c r="N1372" i="31"/>
  <c r="M1372" i="31"/>
  <c r="H1372" i="31"/>
  <c r="G1372" i="31"/>
  <c r="F1372" i="31"/>
  <c r="E1372" i="31"/>
  <c r="N1371" i="31"/>
  <c r="S1371" i="31" s="1"/>
  <c r="M1371" i="31"/>
  <c r="H1371" i="31"/>
  <c r="G1371" i="31"/>
  <c r="F1371" i="31"/>
  <c r="E1371" i="31"/>
  <c r="N1370" i="31"/>
  <c r="Q1370" i="31" s="1"/>
  <c r="M1370" i="31"/>
  <c r="H1370" i="31"/>
  <c r="G1370" i="31"/>
  <c r="F1370" i="31"/>
  <c r="E1370" i="31"/>
  <c r="N1369" i="31"/>
  <c r="Q1369" i="31" s="1"/>
  <c r="M1369" i="31"/>
  <c r="H1369" i="31"/>
  <c r="G1369" i="31"/>
  <c r="F1369" i="31"/>
  <c r="E1369" i="31"/>
  <c r="N1368" i="31"/>
  <c r="Q1368" i="31" s="1"/>
  <c r="M1368" i="31"/>
  <c r="H1368" i="31"/>
  <c r="G1368" i="31"/>
  <c r="F1368" i="31"/>
  <c r="E1368" i="31"/>
  <c r="N1367" i="31"/>
  <c r="S1367" i="31" s="1"/>
  <c r="M1367" i="31"/>
  <c r="H1367" i="31"/>
  <c r="G1367" i="31"/>
  <c r="F1367" i="31"/>
  <c r="E1367" i="31"/>
  <c r="N1366" i="31"/>
  <c r="M1366" i="31"/>
  <c r="H1366" i="31"/>
  <c r="G1366" i="31"/>
  <c r="F1366" i="31"/>
  <c r="E1366" i="31"/>
  <c r="N1365" i="31"/>
  <c r="M1365" i="31"/>
  <c r="H1365" i="31"/>
  <c r="G1365" i="31"/>
  <c r="F1365" i="31"/>
  <c r="E1365" i="31"/>
  <c r="N1364" i="31"/>
  <c r="S1364" i="31" s="1"/>
  <c r="M1364" i="31"/>
  <c r="H1364" i="31"/>
  <c r="G1364" i="31"/>
  <c r="F1364" i="31"/>
  <c r="E1364" i="31"/>
  <c r="N1363" i="31"/>
  <c r="S1363" i="31" s="1"/>
  <c r="M1363" i="31"/>
  <c r="H1363" i="31"/>
  <c r="G1363" i="31"/>
  <c r="F1363" i="31"/>
  <c r="E1363" i="31"/>
  <c r="N1362" i="31"/>
  <c r="R1362" i="31" s="1"/>
  <c r="M1362" i="31"/>
  <c r="H1362" i="31"/>
  <c r="G1362" i="31"/>
  <c r="F1362" i="31"/>
  <c r="E1362" i="31"/>
  <c r="N1361" i="31"/>
  <c r="Q1361" i="31" s="1"/>
  <c r="M1361" i="31"/>
  <c r="H1361" i="31"/>
  <c r="G1361" i="31"/>
  <c r="F1361" i="31"/>
  <c r="E1361" i="31"/>
  <c r="N1360" i="31"/>
  <c r="Q1360" i="31" s="1"/>
  <c r="M1360" i="31"/>
  <c r="H1360" i="31"/>
  <c r="G1360" i="31"/>
  <c r="F1360" i="31"/>
  <c r="E1360" i="31"/>
  <c r="N1359" i="31"/>
  <c r="M1359" i="31"/>
  <c r="H1359" i="31"/>
  <c r="G1359" i="31"/>
  <c r="F1359" i="31"/>
  <c r="E1359" i="31"/>
  <c r="N1358" i="31"/>
  <c r="S1358" i="31" s="1"/>
  <c r="M1358" i="31"/>
  <c r="H1358" i="31"/>
  <c r="G1358" i="31"/>
  <c r="F1358" i="31"/>
  <c r="E1358" i="31"/>
  <c r="N1357" i="31"/>
  <c r="R1357" i="31" s="1"/>
  <c r="M1357" i="31"/>
  <c r="H1357" i="31"/>
  <c r="G1357" i="31"/>
  <c r="F1357" i="31"/>
  <c r="E1357" i="31"/>
  <c r="N1356" i="31"/>
  <c r="S1356" i="31" s="1"/>
  <c r="M1356" i="31"/>
  <c r="H1356" i="31"/>
  <c r="G1356" i="31"/>
  <c r="F1356" i="31"/>
  <c r="E1356" i="31"/>
  <c r="N1355" i="31"/>
  <c r="M1355" i="31"/>
  <c r="H1355" i="31"/>
  <c r="G1355" i="31"/>
  <c r="F1355" i="31"/>
  <c r="E1355" i="31"/>
  <c r="N1354" i="31"/>
  <c r="M1354" i="31"/>
  <c r="H1354" i="31"/>
  <c r="G1354" i="31"/>
  <c r="F1354" i="31"/>
  <c r="E1354" i="31"/>
  <c r="N1353" i="31"/>
  <c r="Q1353" i="31" s="1"/>
  <c r="M1353" i="31"/>
  <c r="H1353" i="31"/>
  <c r="G1353" i="31"/>
  <c r="F1353" i="31"/>
  <c r="E1353" i="31"/>
  <c r="N1352" i="31"/>
  <c r="M1352" i="31"/>
  <c r="H1352" i="31"/>
  <c r="G1352" i="31"/>
  <c r="F1352" i="31"/>
  <c r="E1352" i="31"/>
  <c r="N1351" i="31"/>
  <c r="R1351" i="31" s="1"/>
  <c r="M1351" i="31"/>
  <c r="H1351" i="31"/>
  <c r="G1351" i="31"/>
  <c r="F1351" i="31"/>
  <c r="E1351" i="31"/>
  <c r="N1350" i="31"/>
  <c r="S1350" i="31" s="1"/>
  <c r="M1350" i="31"/>
  <c r="H1350" i="31"/>
  <c r="G1350" i="31"/>
  <c r="F1350" i="31"/>
  <c r="E1350" i="31"/>
  <c r="N1349" i="31"/>
  <c r="M1349" i="31"/>
  <c r="H1349" i="31"/>
  <c r="G1349" i="31"/>
  <c r="F1349" i="31"/>
  <c r="E1349" i="31"/>
  <c r="N1348" i="31"/>
  <c r="M1348" i="31"/>
  <c r="H1348" i="31"/>
  <c r="G1348" i="31"/>
  <c r="F1348" i="31"/>
  <c r="E1348" i="31"/>
  <c r="N1347" i="31"/>
  <c r="S1347" i="31" s="1"/>
  <c r="M1347" i="31"/>
  <c r="H1347" i="31"/>
  <c r="G1347" i="31"/>
  <c r="F1347" i="31"/>
  <c r="E1347" i="31"/>
  <c r="N1346" i="31"/>
  <c r="R1346" i="31" s="1"/>
  <c r="M1346" i="31"/>
  <c r="H1346" i="31"/>
  <c r="G1346" i="31"/>
  <c r="F1346" i="31"/>
  <c r="E1346" i="31"/>
  <c r="N1345" i="31"/>
  <c r="M1345" i="31"/>
  <c r="H1345" i="31"/>
  <c r="G1345" i="31"/>
  <c r="F1345" i="31"/>
  <c r="E1345" i="31"/>
  <c r="N1344" i="31"/>
  <c r="R1344" i="31" s="1"/>
  <c r="M1344" i="31"/>
  <c r="H1344" i="31"/>
  <c r="G1344" i="31"/>
  <c r="F1344" i="31"/>
  <c r="E1344" i="31"/>
  <c r="N1343" i="31"/>
  <c r="M1343" i="31"/>
  <c r="H1343" i="31"/>
  <c r="G1343" i="31"/>
  <c r="F1343" i="31"/>
  <c r="E1343" i="31"/>
  <c r="N1342" i="31"/>
  <c r="Q1342" i="31" s="1"/>
  <c r="M1342" i="31"/>
  <c r="H1342" i="31"/>
  <c r="G1342" i="31"/>
  <c r="F1342" i="31"/>
  <c r="E1342" i="31"/>
  <c r="N1341" i="31"/>
  <c r="S1341" i="31" s="1"/>
  <c r="M1341" i="31"/>
  <c r="H1341" i="31"/>
  <c r="G1341" i="31"/>
  <c r="F1341" i="31"/>
  <c r="E1341" i="31"/>
  <c r="N1340" i="31"/>
  <c r="M1340" i="31"/>
  <c r="H1340" i="31"/>
  <c r="G1340" i="31"/>
  <c r="F1340" i="31"/>
  <c r="E1340" i="31"/>
  <c r="N1339" i="31"/>
  <c r="Q1339" i="31" s="1"/>
  <c r="M1339" i="31"/>
  <c r="H1339" i="31"/>
  <c r="G1339" i="31"/>
  <c r="F1339" i="31"/>
  <c r="E1339" i="31"/>
  <c r="N1338" i="31"/>
  <c r="R1338" i="31" s="1"/>
  <c r="M1338" i="31"/>
  <c r="H1338" i="31"/>
  <c r="G1338" i="31"/>
  <c r="F1338" i="31"/>
  <c r="E1338" i="31"/>
  <c r="N1337" i="31"/>
  <c r="Q1337" i="31" s="1"/>
  <c r="M1337" i="31"/>
  <c r="H1337" i="31"/>
  <c r="G1337" i="31"/>
  <c r="F1337" i="31"/>
  <c r="E1337" i="31"/>
  <c r="N1336" i="31"/>
  <c r="R1336" i="31" s="1"/>
  <c r="M1336" i="31"/>
  <c r="H1336" i="31"/>
  <c r="G1336" i="31"/>
  <c r="F1336" i="31"/>
  <c r="E1336" i="31"/>
  <c r="N1335" i="31"/>
  <c r="M1335" i="31"/>
  <c r="H1335" i="31"/>
  <c r="G1335" i="31"/>
  <c r="F1335" i="31"/>
  <c r="E1335" i="31"/>
  <c r="N1334" i="31"/>
  <c r="R1334" i="31" s="1"/>
  <c r="M1334" i="31"/>
  <c r="H1334" i="31"/>
  <c r="G1334" i="31"/>
  <c r="F1334" i="31"/>
  <c r="E1334" i="31"/>
  <c r="N1333" i="31"/>
  <c r="S1333" i="31" s="1"/>
  <c r="M1333" i="31"/>
  <c r="H1333" i="31"/>
  <c r="G1333" i="31"/>
  <c r="F1333" i="31"/>
  <c r="E1333" i="31"/>
  <c r="N1332" i="31"/>
  <c r="S1332" i="31" s="1"/>
  <c r="M1332" i="31"/>
  <c r="H1332" i="31"/>
  <c r="G1332" i="31"/>
  <c r="F1332" i="31"/>
  <c r="E1332" i="31"/>
  <c r="N1331" i="31"/>
  <c r="S1331" i="31" s="1"/>
  <c r="M1331" i="31"/>
  <c r="H1331" i="31"/>
  <c r="G1331" i="31"/>
  <c r="F1331" i="31"/>
  <c r="E1331" i="31"/>
  <c r="N1330" i="31"/>
  <c r="M1330" i="31"/>
  <c r="H1330" i="31"/>
  <c r="G1330" i="31"/>
  <c r="F1330" i="31"/>
  <c r="E1330" i="31"/>
  <c r="N1329" i="31"/>
  <c r="Q1329" i="31" s="1"/>
  <c r="M1329" i="31"/>
  <c r="H1329" i="31"/>
  <c r="G1329" i="31"/>
  <c r="F1329" i="31"/>
  <c r="E1329" i="31"/>
  <c r="N1328" i="31"/>
  <c r="R1328" i="31" s="1"/>
  <c r="M1328" i="31"/>
  <c r="H1328" i="31"/>
  <c r="G1328" i="31"/>
  <c r="F1328" i="31"/>
  <c r="E1328" i="31"/>
  <c r="N1327" i="31"/>
  <c r="R1327" i="31" s="1"/>
  <c r="M1327" i="31"/>
  <c r="H1327" i="31"/>
  <c r="G1327" i="31"/>
  <c r="F1327" i="31"/>
  <c r="E1327" i="31"/>
  <c r="N1326" i="31"/>
  <c r="S1326" i="31" s="1"/>
  <c r="M1326" i="31"/>
  <c r="H1326" i="31"/>
  <c r="G1326" i="31"/>
  <c r="F1326" i="31"/>
  <c r="E1326" i="31"/>
  <c r="N1325" i="31"/>
  <c r="S1325" i="31" s="1"/>
  <c r="M1325" i="31"/>
  <c r="H1325" i="31"/>
  <c r="G1325" i="31"/>
  <c r="F1325" i="31"/>
  <c r="E1325" i="31"/>
  <c r="N1324" i="31"/>
  <c r="S1324" i="31" s="1"/>
  <c r="M1324" i="31"/>
  <c r="H1324" i="31"/>
  <c r="G1324" i="31"/>
  <c r="F1324" i="31"/>
  <c r="E1324" i="31"/>
  <c r="N1323" i="31"/>
  <c r="S1323" i="31" s="1"/>
  <c r="M1323" i="31"/>
  <c r="H1323" i="31"/>
  <c r="G1323" i="31"/>
  <c r="F1323" i="31"/>
  <c r="E1323" i="31"/>
  <c r="N1322" i="31"/>
  <c r="R1322" i="31" s="1"/>
  <c r="M1322" i="31"/>
  <c r="H1322" i="31"/>
  <c r="G1322" i="31"/>
  <c r="F1322" i="31"/>
  <c r="E1322" i="31"/>
  <c r="N1321" i="31"/>
  <c r="Q1321" i="31" s="1"/>
  <c r="M1321" i="31"/>
  <c r="H1321" i="31"/>
  <c r="G1321" i="31"/>
  <c r="F1321" i="31"/>
  <c r="E1321" i="31"/>
  <c r="N1320" i="31"/>
  <c r="Q1320" i="31" s="1"/>
  <c r="M1320" i="31"/>
  <c r="H1320" i="31"/>
  <c r="G1320" i="31"/>
  <c r="F1320" i="31"/>
  <c r="E1320" i="31"/>
  <c r="N1319" i="31"/>
  <c r="M1319" i="31"/>
  <c r="H1319" i="31"/>
  <c r="G1319" i="31"/>
  <c r="F1319" i="31"/>
  <c r="E1319" i="31"/>
  <c r="N1318" i="31"/>
  <c r="R1318" i="31" s="1"/>
  <c r="M1318" i="31"/>
  <c r="H1318" i="31"/>
  <c r="G1318" i="31"/>
  <c r="F1318" i="31"/>
  <c r="E1318" i="31"/>
  <c r="N1317" i="31"/>
  <c r="S1317" i="31" s="1"/>
  <c r="M1317" i="31"/>
  <c r="H1317" i="31"/>
  <c r="G1317" i="31"/>
  <c r="F1317" i="31"/>
  <c r="E1317" i="31"/>
  <c r="N1316" i="31"/>
  <c r="S1316" i="31" s="1"/>
  <c r="M1316" i="31"/>
  <c r="H1316" i="31"/>
  <c r="G1316" i="31"/>
  <c r="F1316" i="31"/>
  <c r="E1316" i="31"/>
  <c r="N1315" i="31"/>
  <c r="M1315" i="31"/>
  <c r="H1315" i="31"/>
  <c r="G1315" i="31"/>
  <c r="F1315" i="31"/>
  <c r="E1315" i="31"/>
  <c r="N1314" i="31"/>
  <c r="R1314" i="31" s="1"/>
  <c r="M1314" i="31"/>
  <c r="H1314" i="31"/>
  <c r="G1314" i="31"/>
  <c r="F1314" i="31"/>
  <c r="E1314" i="31"/>
  <c r="N1313" i="31"/>
  <c r="Q1313" i="31" s="1"/>
  <c r="M1313" i="31"/>
  <c r="H1313" i="31"/>
  <c r="G1313" i="31"/>
  <c r="F1313" i="31"/>
  <c r="E1313" i="31"/>
  <c r="N1312" i="31"/>
  <c r="M1312" i="31"/>
  <c r="H1312" i="31"/>
  <c r="G1312" i="31"/>
  <c r="F1312" i="31"/>
  <c r="E1312" i="31"/>
  <c r="N1311" i="31"/>
  <c r="M1311" i="31"/>
  <c r="H1311" i="31"/>
  <c r="G1311" i="31"/>
  <c r="F1311" i="31"/>
  <c r="E1311" i="31"/>
  <c r="N1310" i="31"/>
  <c r="Q1310" i="31" s="1"/>
  <c r="M1310" i="31"/>
  <c r="H1310" i="31"/>
  <c r="G1310" i="31"/>
  <c r="F1310" i="31"/>
  <c r="E1310" i="31"/>
  <c r="N1309" i="31"/>
  <c r="S1309" i="31" s="1"/>
  <c r="M1309" i="31"/>
  <c r="H1309" i="31"/>
  <c r="G1309" i="31"/>
  <c r="F1309" i="31"/>
  <c r="E1309" i="31"/>
  <c r="N1308" i="31"/>
  <c r="R1308" i="31" s="1"/>
  <c r="M1308" i="31"/>
  <c r="H1308" i="31"/>
  <c r="G1308" i="31"/>
  <c r="F1308" i="31"/>
  <c r="E1308" i="31"/>
  <c r="N1307" i="31"/>
  <c r="S1307" i="31" s="1"/>
  <c r="M1307" i="31"/>
  <c r="H1307" i="31"/>
  <c r="G1307" i="31"/>
  <c r="F1307" i="31"/>
  <c r="E1307" i="31"/>
  <c r="N1306" i="31"/>
  <c r="R1306" i="31" s="1"/>
  <c r="M1306" i="31"/>
  <c r="H1306" i="31"/>
  <c r="G1306" i="31"/>
  <c r="F1306" i="31"/>
  <c r="E1306" i="31"/>
  <c r="N1305" i="31"/>
  <c r="Q1305" i="31" s="1"/>
  <c r="M1305" i="31"/>
  <c r="H1305" i="31"/>
  <c r="G1305" i="31"/>
  <c r="F1305" i="31"/>
  <c r="E1305" i="31"/>
  <c r="N1304" i="31"/>
  <c r="S1304" i="31" s="1"/>
  <c r="M1304" i="31"/>
  <c r="H1304" i="31"/>
  <c r="G1304" i="31"/>
  <c r="F1304" i="31"/>
  <c r="E1304" i="31"/>
  <c r="N1303" i="31"/>
  <c r="R1303" i="31" s="1"/>
  <c r="M1303" i="31"/>
  <c r="H1303" i="31"/>
  <c r="G1303" i="31"/>
  <c r="F1303" i="31"/>
  <c r="E1303" i="31"/>
  <c r="N1302" i="31"/>
  <c r="S1302" i="31" s="1"/>
  <c r="M1302" i="31"/>
  <c r="H1302" i="31"/>
  <c r="G1302" i="31"/>
  <c r="F1302" i="31"/>
  <c r="E1302" i="31"/>
  <c r="N1301" i="31"/>
  <c r="S1301" i="31" s="1"/>
  <c r="M1301" i="31"/>
  <c r="H1301" i="31"/>
  <c r="G1301" i="31"/>
  <c r="F1301" i="31"/>
  <c r="E1301" i="31"/>
  <c r="N1300" i="31"/>
  <c r="Q1300" i="31" s="1"/>
  <c r="M1300" i="31"/>
  <c r="H1300" i="31"/>
  <c r="G1300" i="31"/>
  <c r="F1300" i="31"/>
  <c r="E1300" i="31"/>
  <c r="N1299" i="31"/>
  <c r="S1299" i="31" s="1"/>
  <c r="M1299" i="31"/>
  <c r="H1299" i="31"/>
  <c r="G1299" i="31"/>
  <c r="F1299" i="31"/>
  <c r="E1299" i="31"/>
  <c r="N1298" i="31"/>
  <c r="R1298" i="31" s="1"/>
  <c r="M1298" i="31"/>
  <c r="H1298" i="31"/>
  <c r="G1298" i="31"/>
  <c r="F1298" i="31"/>
  <c r="E1298" i="31"/>
  <c r="N1297" i="31"/>
  <c r="S1297" i="31" s="1"/>
  <c r="M1297" i="31"/>
  <c r="H1297" i="31"/>
  <c r="G1297" i="31"/>
  <c r="F1297" i="31"/>
  <c r="E1297" i="31"/>
  <c r="N1296" i="31"/>
  <c r="M1296" i="31"/>
  <c r="H1296" i="31"/>
  <c r="G1296" i="31"/>
  <c r="F1296" i="31"/>
  <c r="E1296" i="31"/>
  <c r="N1295" i="31"/>
  <c r="S1295" i="31" s="1"/>
  <c r="M1295" i="31"/>
  <c r="H1295" i="31"/>
  <c r="G1295" i="31"/>
  <c r="F1295" i="31"/>
  <c r="E1295" i="31"/>
  <c r="N1294" i="31"/>
  <c r="S1294" i="31" s="1"/>
  <c r="M1294" i="31"/>
  <c r="H1294" i="31"/>
  <c r="G1294" i="31"/>
  <c r="F1294" i="31"/>
  <c r="E1294" i="31"/>
  <c r="N1293" i="31"/>
  <c r="S1293" i="31" s="1"/>
  <c r="M1293" i="31"/>
  <c r="H1293" i="31"/>
  <c r="G1293" i="31"/>
  <c r="F1293" i="31"/>
  <c r="E1293" i="31"/>
  <c r="N1292" i="31"/>
  <c r="Q1292" i="31" s="1"/>
  <c r="M1292" i="31"/>
  <c r="H1292" i="31"/>
  <c r="G1292" i="31"/>
  <c r="F1292" i="31"/>
  <c r="E1292" i="31"/>
  <c r="N1291" i="31"/>
  <c r="S1291" i="31" s="1"/>
  <c r="M1291" i="31"/>
  <c r="H1291" i="31"/>
  <c r="G1291" i="31"/>
  <c r="F1291" i="31"/>
  <c r="E1291" i="31"/>
  <c r="N1290" i="31"/>
  <c r="R1290" i="31" s="1"/>
  <c r="M1290" i="31"/>
  <c r="H1290" i="31"/>
  <c r="G1290" i="31"/>
  <c r="F1290" i="31"/>
  <c r="E1290" i="31"/>
  <c r="N1289" i="31"/>
  <c r="R1289" i="31" s="1"/>
  <c r="M1289" i="31"/>
  <c r="H1289" i="31"/>
  <c r="G1289" i="31"/>
  <c r="F1289" i="31"/>
  <c r="E1289" i="31"/>
  <c r="N1288" i="31"/>
  <c r="M1288" i="31"/>
  <c r="H1288" i="31"/>
  <c r="G1288" i="31"/>
  <c r="F1288" i="31"/>
  <c r="E1288" i="31"/>
  <c r="N1287" i="31"/>
  <c r="R1287" i="31" s="1"/>
  <c r="M1287" i="31"/>
  <c r="H1287" i="31"/>
  <c r="G1287" i="31"/>
  <c r="F1287" i="31"/>
  <c r="E1287" i="31"/>
  <c r="N1286" i="31"/>
  <c r="S1286" i="31" s="1"/>
  <c r="M1286" i="31"/>
  <c r="H1286" i="31"/>
  <c r="G1286" i="31"/>
  <c r="F1286" i="31"/>
  <c r="E1286" i="31"/>
  <c r="N1285" i="31"/>
  <c r="S1285" i="31" s="1"/>
  <c r="M1285" i="31"/>
  <c r="H1285" i="31"/>
  <c r="G1285" i="31"/>
  <c r="F1285" i="31"/>
  <c r="E1285" i="31"/>
  <c r="N1284" i="31"/>
  <c r="Q1284" i="31" s="1"/>
  <c r="M1284" i="31"/>
  <c r="H1284" i="31"/>
  <c r="G1284" i="31"/>
  <c r="F1284" i="31"/>
  <c r="E1284" i="31"/>
  <c r="N1283" i="31"/>
  <c r="S1283" i="31" s="1"/>
  <c r="M1283" i="31"/>
  <c r="H1283" i="31"/>
  <c r="G1283" i="31"/>
  <c r="F1283" i="31"/>
  <c r="E1283" i="31"/>
  <c r="N1282" i="31"/>
  <c r="Q1282" i="31" s="1"/>
  <c r="M1282" i="31"/>
  <c r="H1282" i="31"/>
  <c r="G1282" i="31"/>
  <c r="F1282" i="31"/>
  <c r="E1282" i="31"/>
  <c r="N1281" i="31"/>
  <c r="M1281" i="31"/>
  <c r="H1281" i="31"/>
  <c r="G1281" i="31"/>
  <c r="F1281" i="31"/>
  <c r="E1281" i="31"/>
  <c r="N1280" i="31"/>
  <c r="S1280" i="31" s="1"/>
  <c r="M1280" i="31"/>
  <c r="H1280" i="31"/>
  <c r="G1280" i="31"/>
  <c r="F1280" i="31"/>
  <c r="E1280" i="31"/>
  <c r="N1279" i="31"/>
  <c r="R1279" i="31" s="1"/>
  <c r="M1279" i="31"/>
  <c r="H1279" i="31"/>
  <c r="G1279" i="31"/>
  <c r="F1279" i="31"/>
  <c r="E1279" i="31"/>
  <c r="N1278" i="31"/>
  <c r="S1278" i="31" s="1"/>
  <c r="M1278" i="31"/>
  <c r="H1278" i="31"/>
  <c r="G1278" i="31"/>
  <c r="F1278" i="31"/>
  <c r="E1278" i="31"/>
  <c r="N1277" i="31"/>
  <c r="S1277" i="31" s="1"/>
  <c r="M1277" i="31"/>
  <c r="H1277" i="31"/>
  <c r="G1277" i="31"/>
  <c r="F1277" i="31"/>
  <c r="E1277" i="31"/>
  <c r="N1276" i="31"/>
  <c r="Q1276" i="31" s="1"/>
  <c r="M1276" i="31"/>
  <c r="H1276" i="31"/>
  <c r="G1276" i="31"/>
  <c r="F1276" i="31"/>
  <c r="E1276" i="31"/>
  <c r="N1275" i="31"/>
  <c r="S1275" i="31" s="1"/>
  <c r="M1275" i="31"/>
  <c r="H1275" i="31"/>
  <c r="G1275" i="31"/>
  <c r="F1275" i="31"/>
  <c r="E1275" i="31"/>
  <c r="N1274" i="31"/>
  <c r="Q1274" i="31" s="1"/>
  <c r="M1274" i="31"/>
  <c r="H1274" i="31"/>
  <c r="G1274" i="31"/>
  <c r="F1274" i="31"/>
  <c r="E1274" i="31"/>
  <c r="N1273" i="31"/>
  <c r="M1273" i="31"/>
  <c r="H1273" i="31"/>
  <c r="G1273" i="31"/>
  <c r="F1273" i="31"/>
  <c r="E1273" i="31"/>
  <c r="N1272" i="31"/>
  <c r="S1272" i="31" s="1"/>
  <c r="M1272" i="31"/>
  <c r="H1272" i="31"/>
  <c r="G1272" i="31"/>
  <c r="F1272" i="31"/>
  <c r="E1272" i="31"/>
  <c r="N1271" i="31"/>
  <c r="S1271" i="31" s="1"/>
  <c r="M1271" i="31"/>
  <c r="H1271" i="31"/>
  <c r="G1271" i="31"/>
  <c r="F1271" i="31"/>
  <c r="E1271" i="31"/>
  <c r="N1270" i="31"/>
  <c r="S1270" i="31" s="1"/>
  <c r="M1270" i="31"/>
  <c r="H1270" i="31"/>
  <c r="G1270" i="31"/>
  <c r="F1270" i="31"/>
  <c r="E1270" i="31"/>
  <c r="N1269" i="31"/>
  <c r="S1269" i="31" s="1"/>
  <c r="M1269" i="31"/>
  <c r="H1269" i="31"/>
  <c r="G1269" i="31"/>
  <c r="F1269" i="31"/>
  <c r="E1269" i="31"/>
  <c r="N1268" i="31"/>
  <c r="Q1268" i="31" s="1"/>
  <c r="M1268" i="31"/>
  <c r="H1268" i="31"/>
  <c r="G1268" i="31"/>
  <c r="F1268" i="31"/>
  <c r="E1268" i="31"/>
  <c r="N1267" i="31"/>
  <c r="S1267" i="31" s="1"/>
  <c r="M1267" i="31"/>
  <c r="H1267" i="31"/>
  <c r="G1267" i="31"/>
  <c r="F1267" i="31"/>
  <c r="E1267" i="31"/>
  <c r="N1266" i="31"/>
  <c r="Q1266" i="31" s="1"/>
  <c r="M1266" i="31"/>
  <c r="H1266" i="31"/>
  <c r="G1266" i="31"/>
  <c r="F1266" i="31"/>
  <c r="E1266" i="31"/>
  <c r="N1265" i="31"/>
  <c r="S1265" i="31" s="1"/>
  <c r="M1265" i="31"/>
  <c r="H1265" i="31"/>
  <c r="G1265" i="31"/>
  <c r="F1265" i="31"/>
  <c r="E1265" i="31"/>
  <c r="N1264" i="31"/>
  <c r="S1264" i="31" s="1"/>
  <c r="M1264" i="31"/>
  <c r="H1264" i="31"/>
  <c r="G1264" i="31"/>
  <c r="F1264" i="31"/>
  <c r="E1264" i="31"/>
  <c r="N1263" i="31"/>
  <c r="S1263" i="31" s="1"/>
  <c r="M1263" i="31"/>
  <c r="H1263" i="31"/>
  <c r="G1263" i="31"/>
  <c r="F1263" i="31"/>
  <c r="E1263" i="31"/>
  <c r="N1262" i="31"/>
  <c r="M1262" i="31"/>
  <c r="H1262" i="31"/>
  <c r="G1262" i="31"/>
  <c r="F1262" i="31"/>
  <c r="E1262" i="31"/>
  <c r="N1261" i="31"/>
  <c r="S1261" i="31" s="1"/>
  <c r="M1261" i="31"/>
  <c r="H1261" i="31"/>
  <c r="G1261" i="31"/>
  <c r="F1261" i="31"/>
  <c r="E1261" i="31"/>
  <c r="N1260" i="31"/>
  <c r="Q1260" i="31" s="1"/>
  <c r="M1260" i="31"/>
  <c r="H1260" i="31"/>
  <c r="G1260" i="31"/>
  <c r="F1260" i="31"/>
  <c r="E1260" i="31"/>
  <c r="N1259" i="31"/>
  <c r="S1259" i="31" s="1"/>
  <c r="M1259" i="31"/>
  <c r="H1259" i="31"/>
  <c r="G1259" i="31"/>
  <c r="F1259" i="31"/>
  <c r="E1259" i="31"/>
  <c r="N1258" i="31"/>
  <c r="Q1258" i="31" s="1"/>
  <c r="M1258" i="31"/>
  <c r="H1258" i="31"/>
  <c r="G1258" i="31"/>
  <c r="F1258" i="31"/>
  <c r="E1258" i="31"/>
  <c r="N1257" i="31"/>
  <c r="Q1257" i="31" s="1"/>
  <c r="M1257" i="31"/>
  <c r="H1257" i="31"/>
  <c r="G1257" i="31"/>
  <c r="F1257" i="31"/>
  <c r="E1257" i="31"/>
  <c r="N1256" i="31"/>
  <c r="S1256" i="31" s="1"/>
  <c r="M1256" i="31"/>
  <c r="H1256" i="31"/>
  <c r="G1256" i="31"/>
  <c r="F1256" i="31"/>
  <c r="E1256" i="31"/>
  <c r="N1255" i="31"/>
  <c r="R1255" i="31" s="1"/>
  <c r="M1255" i="31"/>
  <c r="H1255" i="31"/>
  <c r="G1255" i="31"/>
  <c r="F1255" i="31"/>
  <c r="E1255" i="31"/>
  <c r="N1254" i="31"/>
  <c r="M1254" i="31"/>
  <c r="H1254" i="31"/>
  <c r="G1254" i="31"/>
  <c r="F1254" i="31"/>
  <c r="E1254" i="31"/>
  <c r="N1253" i="31"/>
  <c r="S1253" i="31" s="1"/>
  <c r="M1253" i="31"/>
  <c r="H1253" i="31"/>
  <c r="G1253" i="31"/>
  <c r="F1253" i="31"/>
  <c r="E1253" i="31"/>
  <c r="N1252" i="31"/>
  <c r="Q1252" i="31" s="1"/>
  <c r="M1252" i="31"/>
  <c r="H1252" i="31"/>
  <c r="G1252" i="31"/>
  <c r="F1252" i="31"/>
  <c r="E1252" i="31"/>
  <c r="N1251" i="31"/>
  <c r="S1251" i="31" s="1"/>
  <c r="M1251" i="31"/>
  <c r="H1251" i="31"/>
  <c r="G1251" i="31"/>
  <c r="F1251" i="31"/>
  <c r="E1251" i="31"/>
  <c r="N1250" i="31"/>
  <c r="M1250" i="31"/>
  <c r="H1250" i="31"/>
  <c r="G1250" i="31"/>
  <c r="F1250" i="31"/>
  <c r="E1250" i="31"/>
  <c r="N1249" i="31"/>
  <c r="S1249" i="31" s="1"/>
  <c r="M1249" i="31"/>
  <c r="H1249" i="31"/>
  <c r="G1249" i="31"/>
  <c r="F1249" i="31"/>
  <c r="E1249" i="31"/>
  <c r="N1248" i="31"/>
  <c r="S1248" i="31" s="1"/>
  <c r="M1248" i="31"/>
  <c r="H1248" i="31"/>
  <c r="G1248" i="31"/>
  <c r="F1248" i="31"/>
  <c r="E1248" i="31"/>
  <c r="N1247" i="31"/>
  <c r="M1247" i="31"/>
  <c r="H1247" i="31"/>
  <c r="G1247" i="31"/>
  <c r="F1247" i="31"/>
  <c r="E1247" i="31"/>
  <c r="N1246" i="31"/>
  <c r="M1246" i="31"/>
  <c r="H1246" i="31"/>
  <c r="G1246" i="31"/>
  <c r="F1246" i="31"/>
  <c r="E1246" i="31"/>
  <c r="N1245" i="31"/>
  <c r="S1245" i="31" s="1"/>
  <c r="M1245" i="31"/>
  <c r="H1245" i="31"/>
  <c r="G1245" i="31"/>
  <c r="F1245" i="31"/>
  <c r="E1245" i="31"/>
  <c r="N1244" i="31"/>
  <c r="R1244" i="31" s="1"/>
  <c r="M1244" i="31"/>
  <c r="H1244" i="31"/>
  <c r="G1244" i="31"/>
  <c r="F1244" i="31"/>
  <c r="E1244" i="31"/>
  <c r="N1243" i="31"/>
  <c r="S1243" i="31" s="1"/>
  <c r="M1243" i="31"/>
  <c r="H1243" i="31"/>
  <c r="G1243" i="31"/>
  <c r="F1243" i="31"/>
  <c r="E1243" i="31"/>
  <c r="N1242" i="31"/>
  <c r="Q1242" i="31" s="1"/>
  <c r="M1242" i="31"/>
  <c r="H1242" i="31"/>
  <c r="G1242" i="31"/>
  <c r="F1242" i="31"/>
  <c r="E1242" i="31"/>
  <c r="N1241" i="31"/>
  <c r="S1241" i="31" s="1"/>
  <c r="M1241" i="31"/>
  <c r="H1241" i="31"/>
  <c r="G1241" i="31"/>
  <c r="F1241" i="31"/>
  <c r="E1241" i="31"/>
  <c r="N1240" i="31"/>
  <c r="S1240" i="31" s="1"/>
  <c r="M1240" i="31"/>
  <c r="H1240" i="31"/>
  <c r="G1240" i="31"/>
  <c r="F1240" i="31"/>
  <c r="E1240" i="31"/>
  <c r="N1239" i="31"/>
  <c r="M1239" i="31"/>
  <c r="H1239" i="31"/>
  <c r="G1239" i="31"/>
  <c r="F1239" i="31"/>
  <c r="E1239" i="31"/>
  <c r="N1238" i="31"/>
  <c r="M1238" i="31"/>
  <c r="H1238" i="31"/>
  <c r="G1238" i="31"/>
  <c r="F1238" i="31"/>
  <c r="E1238" i="31"/>
  <c r="N1237" i="31"/>
  <c r="S1237" i="31" s="1"/>
  <c r="M1237" i="31"/>
  <c r="H1237" i="31"/>
  <c r="G1237" i="31"/>
  <c r="F1237" i="31"/>
  <c r="E1237" i="31"/>
  <c r="N1236" i="31"/>
  <c r="Q1236" i="31" s="1"/>
  <c r="M1236" i="31"/>
  <c r="H1236" i="31"/>
  <c r="G1236" i="31"/>
  <c r="F1236" i="31"/>
  <c r="E1236" i="31"/>
  <c r="N1235" i="31"/>
  <c r="S1235" i="31" s="1"/>
  <c r="M1235" i="31"/>
  <c r="H1235" i="31"/>
  <c r="G1235" i="31"/>
  <c r="F1235" i="31"/>
  <c r="E1235" i="31"/>
  <c r="N1234" i="31"/>
  <c r="Q1234" i="31" s="1"/>
  <c r="M1234" i="31"/>
  <c r="H1234" i="31"/>
  <c r="G1234" i="31"/>
  <c r="F1234" i="31"/>
  <c r="E1234" i="31"/>
  <c r="N1233" i="31"/>
  <c r="M1233" i="31"/>
  <c r="H1233" i="31"/>
  <c r="G1233" i="31"/>
  <c r="F1233" i="31"/>
  <c r="E1233" i="31"/>
  <c r="N1232" i="31"/>
  <c r="M1232" i="31"/>
  <c r="H1232" i="31"/>
  <c r="G1232" i="31"/>
  <c r="F1232" i="31"/>
  <c r="E1232" i="31"/>
  <c r="N1231" i="31"/>
  <c r="S1231" i="31" s="1"/>
  <c r="M1231" i="31"/>
  <c r="H1231" i="31"/>
  <c r="G1231" i="31"/>
  <c r="F1231" i="31"/>
  <c r="E1231" i="31"/>
  <c r="N1230" i="31"/>
  <c r="M1230" i="31"/>
  <c r="H1230" i="31"/>
  <c r="G1230" i="31"/>
  <c r="F1230" i="31"/>
  <c r="E1230" i="31"/>
  <c r="N1229" i="31"/>
  <c r="S1229" i="31" s="1"/>
  <c r="M1229" i="31"/>
  <c r="H1229" i="31"/>
  <c r="G1229" i="31"/>
  <c r="F1229" i="31"/>
  <c r="E1229" i="31"/>
  <c r="N1228" i="31"/>
  <c r="Q1228" i="31" s="1"/>
  <c r="M1228" i="31"/>
  <c r="H1228" i="31"/>
  <c r="G1228" i="31"/>
  <c r="F1228" i="31"/>
  <c r="E1228" i="31"/>
  <c r="N1227" i="31"/>
  <c r="S1227" i="31" s="1"/>
  <c r="M1227" i="31"/>
  <c r="H1227" i="31"/>
  <c r="G1227" i="31"/>
  <c r="F1227" i="31"/>
  <c r="E1227" i="31"/>
  <c r="N1226" i="31"/>
  <c r="Q1226" i="31" s="1"/>
  <c r="M1226" i="31"/>
  <c r="H1226" i="31"/>
  <c r="G1226" i="31"/>
  <c r="F1226" i="31"/>
  <c r="E1226" i="31"/>
  <c r="N1225" i="31"/>
  <c r="M1225" i="31"/>
  <c r="H1225" i="31"/>
  <c r="G1225" i="31"/>
  <c r="F1225" i="31"/>
  <c r="E1225" i="31"/>
  <c r="N1224" i="31"/>
  <c r="S1224" i="31" s="1"/>
  <c r="M1224" i="31"/>
  <c r="H1224" i="31"/>
  <c r="G1224" i="31"/>
  <c r="F1224" i="31"/>
  <c r="E1224" i="31"/>
  <c r="N1223" i="31"/>
  <c r="S1223" i="31" s="1"/>
  <c r="M1223" i="31"/>
  <c r="H1223" i="31"/>
  <c r="G1223" i="31"/>
  <c r="F1223" i="31"/>
  <c r="E1223" i="31"/>
  <c r="N1222" i="31"/>
  <c r="M1222" i="31"/>
  <c r="H1222" i="31"/>
  <c r="G1222" i="31"/>
  <c r="F1222" i="31"/>
  <c r="E1222" i="31"/>
  <c r="N1221" i="31"/>
  <c r="S1221" i="31" s="1"/>
  <c r="M1221" i="31"/>
  <c r="H1221" i="31"/>
  <c r="G1221" i="31"/>
  <c r="F1221" i="31"/>
  <c r="E1221" i="31"/>
  <c r="N1220" i="31"/>
  <c r="M1220" i="31"/>
  <c r="H1220" i="31"/>
  <c r="G1220" i="31"/>
  <c r="F1220" i="31"/>
  <c r="E1220" i="31"/>
  <c r="N1219" i="31"/>
  <c r="M1219" i="31"/>
  <c r="H1219" i="31"/>
  <c r="G1219" i="31"/>
  <c r="F1219" i="31"/>
  <c r="E1219" i="31"/>
  <c r="N1218" i="31"/>
  <c r="M1218" i="31"/>
  <c r="H1218" i="31"/>
  <c r="G1218" i="31"/>
  <c r="F1218" i="31"/>
  <c r="E1218" i="31"/>
  <c r="N1217" i="31"/>
  <c r="R1217" i="31" s="1"/>
  <c r="M1217" i="31"/>
  <c r="H1217" i="31"/>
  <c r="G1217" i="31"/>
  <c r="F1217" i="31"/>
  <c r="E1217" i="31"/>
  <c r="N1216" i="31"/>
  <c r="S1216" i="31" s="1"/>
  <c r="M1216" i="31"/>
  <c r="H1216" i="31"/>
  <c r="G1216" i="31"/>
  <c r="F1216" i="31"/>
  <c r="E1216" i="31"/>
  <c r="N1215" i="31"/>
  <c r="S1215" i="31" s="1"/>
  <c r="M1215" i="31"/>
  <c r="H1215" i="31"/>
  <c r="G1215" i="31"/>
  <c r="F1215" i="31"/>
  <c r="E1215" i="31"/>
  <c r="N1214" i="31"/>
  <c r="M1214" i="31"/>
  <c r="H1214" i="31"/>
  <c r="G1214" i="31"/>
  <c r="F1214" i="31"/>
  <c r="E1214" i="31"/>
  <c r="N1213" i="31"/>
  <c r="S1213" i="31" s="1"/>
  <c r="M1213" i="31"/>
  <c r="H1213" i="31"/>
  <c r="G1213" i="31"/>
  <c r="F1213" i="31"/>
  <c r="E1213" i="31"/>
  <c r="N1212" i="31"/>
  <c r="R1212" i="31" s="1"/>
  <c r="M1212" i="31"/>
  <c r="H1212" i="31"/>
  <c r="G1212" i="31"/>
  <c r="F1212" i="31"/>
  <c r="E1212" i="31"/>
  <c r="N1211" i="31"/>
  <c r="M1211" i="31"/>
  <c r="H1211" i="31"/>
  <c r="G1211" i="31"/>
  <c r="F1211" i="31"/>
  <c r="E1211" i="31"/>
  <c r="N1210" i="31"/>
  <c r="Q1210" i="31" s="1"/>
  <c r="M1210" i="31"/>
  <c r="H1210" i="31"/>
  <c r="G1210" i="31"/>
  <c r="F1210" i="31"/>
  <c r="E1210" i="31"/>
  <c r="N1209" i="31"/>
  <c r="S1209" i="31" s="1"/>
  <c r="M1209" i="31"/>
  <c r="H1209" i="31"/>
  <c r="G1209" i="31"/>
  <c r="F1209" i="31"/>
  <c r="E1209" i="31"/>
  <c r="N1208" i="31"/>
  <c r="S1208" i="31" s="1"/>
  <c r="M1208" i="31"/>
  <c r="H1208" i="31"/>
  <c r="G1208" i="31"/>
  <c r="F1208" i="31"/>
  <c r="E1208" i="31"/>
  <c r="N1207" i="31"/>
  <c r="M1207" i="31"/>
  <c r="H1207" i="31"/>
  <c r="G1207" i="31"/>
  <c r="F1207" i="31"/>
  <c r="E1207" i="31"/>
  <c r="N1206" i="31"/>
  <c r="Q1206" i="31" s="1"/>
  <c r="M1206" i="31"/>
  <c r="H1206" i="31"/>
  <c r="G1206" i="31"/>
  <c r="F1206" i="31"/>
  <c r="E1206" i="31"/>
  <c r="N1205" i="31"/>
  <c r="S1205" i="31" s="1"/>
  <c r="M1205" i="31"/>
  <c r="H1205" i="31"/>
  <c r="G1205" i="31"/>
  <c r="F1205" i="31"/>
  <c r="E1205" i="31"/>
  <c r="N1204" i="31"/>
  <c r="Q1204" i="31" s="1"/>
  <c r="M1204" i="31"/>
  <c r="H1204" i="31"/>
  <c r="G1204" i="31"/>
  <c r="F1204" i="31"/>
  <c r="E1204" i="31"/>
  <c r="N1203" i="31"/>
  <c r="M1203" i="31"/>
  <c r="H1203" i="31"/>
  <c r="G1203" i="31"/>
  <c r="F1203" i="31"/>
  <c r="E1203" i="31"/>
  <c r="N1202" i="31"/>
  <c r="Q1202" i="31" s="1"/>
  <c r="M1202" i="31"/>
  <c r="H1202" i="31"/>
  <c r="G1202" i="31"/>
  <c r="F1202" i="31"/>
  <c r="E1202" i="31"/>
  <c r="N1201" i="31"/>
  <c r="M1201" i="31"/>
  <c r="H1201" i="31"/>
  <c r="G1201" i="31"/>
  <c r="F1201" i="31"/>
  <c r="E1201" i="31"/>
  <c r="N1200" i="31"/>
  <c r="M1200" i="31"/>
  <c r="H1200" i="31"/>
  <c r="G1200" i="31"/>
  <c r="F1200" i="31"/>
  <c r="E1200" i="31"/>
  <c r="N1199" i="31"/>
  <c r="Q1199" i="31" s="1"/>
  <c r="M1199" i="31"/>
  <c r="H1199" i="31"/>
  <c r="G1199" i="31"/>
  <c r="F1199" i="31"/>
  <c r="E1199" i="31"/>
  <c r="N1198" i="31"/>
  <c r="Q1198" i="31" s="1"/>
  <c r="M1198" i="31"/>
  <c r="H1198" i="31"/>
  <c r="G1198" i="31"/>
  <c r="F1198" i="31"/>
  <c r="E1198" i="31"/>
  <c r="N1197" i="31"/>
  <c r="S1197" i="31" s="1"/>
  <c r="M1197" i="31"/>
  <c r="H1197" i="31"/>
  <c r="G1197" i="31"/>
  <c r="F1197" i="31"/>
  <c r="E1197" i="31"/>
  <c r="N1196" i="31"/>
  <c r="Q1196" i="31" s="1"/>
  <c r="M1196" i="31"/>
  <c r="H1196" i="31"/>
  <c r="G1196" i="31"/>
  <c r="F1196" i="31"/>
  <c r="E1196" i="31"/>
  <c r="N1195" i="31"/>
  <c r="M1195" i="31"/>
  <c r="H1195" i="31"/>
  <c r="G1195" i="31"/>
  <c r="F1195" i="31"/>
  <c r="E1195" i="31"/>
  <c r="N1194" i="31"/>
  <c r="Q1194" i="31" s="1"/>
  <c r="M1194" i="31"/>
  <c r="H1194" i="31"/>
  <c r="G1194" i="31"/>
  <c r="F1194" i="31"/>
  <c r="E1194" i="31"/>
  <c r="N1193" i="31"/>
  <c r="S1193" i="31" s="1"/>
  <c r="M1193" i="31"/>
  <c r="H1193" i="31"/>
  <c r="G1193" i="31"/>
  <c r="F1193" i="31"/>
  <c r="E1193" i="31"/>
  <c r="N1192" i="31"/>
  <c r="M1192" i="31"/>
  <c r="H1192" i="31"/>
  <c r="G1192" i="31"/>
  <c r="F1192" i="31"/>
  <c r="E1192" i="31"/>
  <c r="N1191" i="31"/>
  <c r="S1191" i="31" s="1"/>
  <c r="M1191" i="31"/>
  <c r="H1191" i="31"/>
  <c r="G1191" i="31"/>
  <c r="F1191" i="31"/>
  <c r="E1191" i="31"/>
  <c r="N1190" i="31"/>
  <c r="Q1190" i="31" s="1"/>
  <c r="M1190" i="31"/>
  <c r="H1190" i="31"/>
  <c r="G1190" i="31"/>
  <c r="F1190" i="31"/>
  <c r="E1190" i="31"/>
  <c r="N1189" i="31"/>
  <c r="S1189" i="31" s="1"/>
  <c r="M1189" i="31"/>
  <c r="H1189" i="31"/>
  <c r="G1189" i="31"/>
  <c r="F1189" i="31"/>
  <c r="E1189" i="31"/>
  <c r="N1188" i="31"/>
  <c r="R1188" i="31" s="1"/>
  <c r="M1188" i="31"/>
  <c r="H1188" i="31"/>
  <c r="G1188" i="31"/>
  <c r="F1188" i="31"/>
  <c r="E1188" i="31"/>
  <c r="N1187" i="31"/>
  <c r="M1187" i="31"/>
  <c r="H1187" i="31"/>
  <c r="G1187" i="31"/>
  <c r="F1187" i="31"/>
  <c r="E1187" i="31"/>
  <c r="N1186" i="31"/>
  <c r="Q1186" i="31" s="1"/>
  <c r="M1186" i="31"/>
  <c r="H1186" i="31"/>
  <c r="G1186" i="31"/>
  <c r="F1186" i="31"/>
  <c r="E1186" i="31"/>
  <c r="N1185" i="31"/>
  <c r="S1185" i="31" s="1"/>
  <c r="M1185" i="31"/>
  <c r="H1185" i="31"/>
  <c r="G1185" i="31"/>
  <c r="F1185" i="31"/>
  <c r="E1185" i="31"/>
  <c r="N1184" i="31"/>
  <c r="S1184" i="31" s="1"/>
  <c r="M1184" i="31"/>
  <c r="H1184" i="31"/>
  <c r="G1184" i="31"/>
  <c r="F1184" i="31"/>
  <c r="E1184" i="31"/>
  <c r="N1183" i="31"/>
  <c r="M1183" i="31"/>
  <c r="H1183" i="31"/>
  <c r="G1183" i="31"/>
  <c r="F1183" i="31"/>
  <c r="E1183" i="31"/>
  <c r="N1182" i="31"/>
  <c r="M1182" i="31"/>
  <c r="H1182" i="31"/>
  <c r="G1182" i="31"/>
  <c r="F1182" i="31"/>
  <c r="E1182" i="31"/>
  <c r="N1181" i="31"/>
  <c r="S1181" i="31" s="1"/>
  <c r="M1181" i="31"/>
  <c r="H1181" i="31"/>
  <c r="G1181" i="31"/>
  <c r="F1181" i="31"/>
  <c r="E1181" i="31"/>
  <c r="N1180" i="31"/>
  <c r="Q1180" i="31" s="1"/>
  <c r="M1180" i="31"/>
  <c r="H1180" i="31"/>
  <c r="G1180" i="31"/>
  <c r="F1180" i="31"/>
  <c r="E1180" i="31"/>
  <c r="N1179" i="31"/>
  <c r="M1179" i="31"/>
  <c r="H1179" i="31"/>
  <c r="G1179" i="31"/>
  <c r="F1179" i="31"/>
  <c r="E1179" i="31"/>
  <c r="N1178" i="31"/>
  <c r="Q1178" i="31" s="1"/>
  <c r="M1178" i="31"/>
  <c r="H1178" i="31"/>
  <c r="G1178" i="31"/>
  <c r="F1178" i="31"/>
  <c r="E1178" i="31"/>
  <c r="N1177" i="31"/>
  <c r="S1177" i="31" s="1"/>
  <c r="M1177" i="31"/>
  <c r="H1177" i="31"/>
  <c r="G1177" i="31"/>
  <c r="F1177" i="31"/>
  <c r="E1177" i="31"/>
  <c r="N1176" i="31"/>
  <c r="M1176" i="31"/>
  <c r="H1176" i="31"/>
  <c r="G1176" i="31"/>
  <c r="F1176" i="31"/>
  <c r="E1176" i="31"/>
  <c r="N1175" i="31"/>
  <c r="M1175" i="31"/>
  <c r="H1175" i="31"/>
  <c r="G1175" i="31"/>
  <c r="F1175" i="31"/>
  <c r="E1175" i="31"/>
  <c r="N1174" i="31"/>
  <c r="M1174" i="31"/>
  <c r="H1174" i="31"/>
  <c r="G1174" i="31"/>
  <c r="F1174" i="31"/>
  <c r="E1174" i="31"/>
  <c r="N1173" i="31"/>
  <c r="S1173" i="31" s="1"/>
  <c r="M1173" i="31"/>
  <c r="H1173" i="31"/>
  <c r="G1173" i="31"/>
  <c r="F1173" i="31"/>
  <c r="E1173" i="31"/>
  <c r="N1172" i="31"/>
  <c r="Q1172" i="31" s="1"/>
  <c r="M1172" i="31"/>
  <c r="H1172" i="31"/>
  <c r="G1172" i="31"/>
  <c r="F1172" i="31"/>
  <c r="E1172" i="31"/>
  <c r="N1171" i="31"/>
  <c r="M1171" i="31"/>
  <c r="H1171" i="31"/>
  <c r="G1171" i="31"/>
  <c r="F1171" i="31"/>
  <c r="E1171" i="31"/>
  <c r="N1170" i="31"/>
  <c r="Q1170" i="31" s="1"/>
  <c r="M1170" i="31"/>
  <c r="H1170" i="31"/>
  <c r="G1170" i="31"/>
  <c r="F1170" i="31"/>
  <c r="E1170" i="31"/>
  <c r="N1169" i="31"/>
  <c r="M1169" i="31"/>
  <c r="H1169" i="31"/>
  <c r="G1169" i="31"/>
  <c r="F1169" i="31"/>
  <c r="E1169" i="31"/>
  <c r="N1168" i="31"/>
  <c r="S1168" i="31" s="1"/>
  <c r="M1168" i="31"/>
  <c r="H1168" i="31"/>
  <c r="G1168" i="31"/>
  <c r="F1168" i="31"/>
  <c r="E1168" i="31"/>
  <c r="N1167" i="31"/>
  <c r="R1167" i="31" s="1"/>
  <c r="M1167" i="31"/>
  <c r="H1167" i="31"/>
  <c r="G1167" i="31"/>
  <c r="F1167" i="31"/>
  <c r="E1167" i="31"/>
  <c r="N1166" i="31"/>
  <c r="Q1166" i="31" s="1"/>
  <c r="M1166" i="31"/>
  <c r="H1166" i="31"/>
  <c r="G1166" i="31"/>
  <c r="F1166" i="31"/>
  <c r="E1166" i="31"/>
  <c r="N1165" i="31"/>
  <c r="S1165" i="31" s="1"/>
  <c r="M1165" i="31"/>
  <c r="H1165" i="31"/>
  <c r="G1165" i="31"/>
  <c r="F1165" i="31"/>
  <c r="E1165" i="31"/>
  <c r="N1164" i="31"/>
  <c r="Q1164" i="31" s="1"/>
  <c r="M1164" i="31"/>
  <c r="H1164" i="31"/>
  <c r="G1164" i="31"/>
  <c r="F1164" i="31"/>
  <c r="E1164" i="31"/>
  <c r="N1163" i="31"/>
  <c r="M1163" i="31"/>
  <c r="H1163" i="31"/>
  <c r="G1163" i="31"/>
  <c r="F1163" i="31"/>
  <c r="E1163" i="31"/>
  <c r="N1162" i="31"/>
  <c r="M1162" i="31"/>
  <c r="H1162" i="31"/>
  <c r="G1162" i="31"/>
  <c r="F1162" i="31"/>
  <c r="E1162" i="31"/>
  <c r="N1161" i="31"/>
  <c r="S1161" i="31" s="1"/>
  <c r="M1161" i="31"/>
  <c r="H1161" i="31"/>
  <c r="G1161" i="31"/>
  <c r="F1161" i="31"/>
  <c r="E1161" i="31"/>
  <c r="N1160" i="31"/>
  <c r="S1160" i="31" s="1"/>
  <c r="M1160" i="31"/>
  <c r="H1160" i="31"/>
  <c r="G1160" i="31"/>
  <c r="F1160" i="31"/>
  <c r="E1160" i="31"/>
  <c r="N1159" i="31"/>
  <c r="R1159" i="31" s="1"/>
  <c r="M1159" i="31"/>
  <c r="H1159" i="31"/>
  <c r="G1159" i="31"/>
  <c r="F1159" i="31"/>
  <c r="E1159" i="31"/>
  <c r="N1158" i="31"/>
  <c r="Q1158" i="31" s="1"/>
  <c r="M1158" i="31"/>
  <c r="H1158" i="31"/>
  <c r="G1158" i="31"/>
  <c r="F1158" i="31"/>
  <c r="E1158" i="31"/>
  <c r="N1157" i="31"/>
  <c r="S1157" i="31" s="1"/>
  <c r="M1157" i="31"/>
  <c r="H1157" i="31"/>
  <c r="G1157" i="31"/>
  <c r="F1157" i="31"/>
  <c r="E1157" i="31"/>
  <c r="N1156" i="31"/>
  <c r="R1156" i="31" s="1"/>
  <c r="M1156" i="31"/>
  <c r="H1156" i="31"/>
  <c r="G1156" i="31"/>
  <c r="F1156" i="31"/>
  <c r="E1156" i="31"/>
  <c r="N1155" i="31"/>
  <c r="M1155" i="31"/>
  <c r="H1155" i="31"/>
  <c r="G1155" i="31"/>
  <c r="F1155" i="31"/>
  <c r="E1155" i="31"/>
  <c r="N1154" i="31"/>
  <c r="Q1154" i="31" s="1"/>
  <c r="M1154" i="31"/>
  <c r="H1154" i="31"/>
  <c r="G1154" i="31"/>
  <c r="F1154" i="31"/>
  <c r="E1154" i="31"/>
  <c r="N1153" i="31"/>
  <c r="S1153" i="31" s="1"/>
  <c r="M1153" i="31"/>
  <c r="H1153" i="31"/>
  <c r="G1153" i="31"/>
  <c r="F1153" i="31"/>
  <c r="E1153" i="31"/>
  <c r="N1152" i="31"/>
  <c r="S1152" i="31" s="1"/>
  <c r="M1152" i="31"/>
  <c r="H1152" i="31"/>
  <c r="G1152" i="31"/>
  <c r="F1152" i="31"/>
  <c r="E1152" i="31"/>
  <c r="N1151" i="31"/>
  <c r="M1151" i="31"/>
  <c r="H1151" i="31"/>
  <c r="G1151" i="31"/>
  <c r="F1151" i="31"/>
  <c r="E1151" i="31"/>
  <c r="N1150" i="31"/>
  <c r="Q1150" i="31" s="1"/>
  <c r="M1150" i="31"/>
  <c r="H1150" i="31"/>
  <c r="G1150" i="31"/>
  <c r="F1150" i="31"/>
  <c r="E1150" i="31"/>
  <c r="N1149" i="31"/>
  <c r="S1149" i="31" s="1"/>
  <c r="M1149" i="31"/>
  <c r="H1149" i="31"/>
  <c r="G1149" i="31"/>
  <c r="F1149" i="31"/>
  <c r="E1149" i="31"/>
  <c r="N1148" i="31"/>
  <c r="Q1148" i="31" s="1"/>
  <c r="M1148" i="31"/>
  <c r="H1148" i="31"/>
  <c r="G1148" i="31"/>
  <c r="F1148" i="31"/>
  <c r="E1148" i="31"/>
  <c r="N1147" i="31"/>
  <c r="M1147" i="31"/>
  <c r="H1147" i="31"/>
  <c r="G1147" i="31"/>
  <c r="F1147" i="31"/>
  <c r="E1147" i="31"/>
  <c r="N1146" i="31"/>
  <c r="M1146" i="31"/>
  <c r="H1146" i="31"/>
  <c r="G1146" i="31"/>
  <c r="F1146" i="31"/>
  <c r="E1146" i="31"/>
  <c r="N1145" i="31"/>
  <c r="S1145" i="31" s="1"/>
  <c r="M1145" i="31"/>
  <c r="H1145" i="31"/>
  <c r="G1145" i="31"/>
  <c r="F1145" i="31"/>
  <c r="E1145" i="31"/>
  <c r="N1144" i="31"/>
  <c r="M1144" i="31"/>
  <c r="H1144" i="31"/>
  <c r="G1144" i="31"/>
  <c r="F1144" i="31"/>
  <c r="E1144" i="31"/>
  <c r="N1143" i="31"/>
  <c r="S1143" i="31" s="1"/>
  <c r="M1143" i="31"/>
  <c r="H1143" i="31"/>
  <c r="G1143" i="31"/>
  <c r="F1143" i="31"/>
  <c r="E1143" i="31"/>
  <c r="N1142" i="31"/>
  <c r="M1142" i="31"/>
  <c r="H1142" i="31"/>
  <c r="G1142" i="31"/>
  <c r="F1142" i="31"/>
  <c r="E1142" i="31"/>
  <c r="N1141" i="31"/>
  <c r="S1141" i="31" s="1"/>
  <c r="M1141" i="31"/>
  <c r="H1141" i="31"/>
  <c r="G1141" i="31"/>
  <c r="F1141" i="31"/>
  <c r="E1141" i="31"/>
  <c r="N1140" i="31"/>
  <c r="Q1140" i="31" s="1"/>
  <c r="M1140" i="31"/>
  <c r="H1140" i="31"/>
  <c r="G1140" i="31"/>
  <c r="F1140" i="31"/>
  <c r="E1140" i="31"/>
  <c r="N1139" i="31"/>
  <c r="M1139" i="31"/>
  <c r="H1139" i="31"/>
  <c r="G1139" i="31"/>
  <c r="F1139" i="31"/>
  <c r="E1139" i="31"/>
  <c r="N1138" i="31"/>
  <c r="Q1138" i="31" s="1"/>
  <c r="M1138" i="31"/>
  <c r="H1138" i="31"/>
  <c r="G1138" i="31"/>
  <c r="F1138" i="31"/>
  <c r="E1138" i="31"/>
  <c r="N1137" i="31"/>
  <c r="Q1137" i="31" s="1"/>
  <c r="M1137" i="31"/>
  <c r="H1137" i="31"/>
  <c r="G1137" i="31"/>
  <c r="F1137" i="31"/>
  <c r="E1137" i="31"/>
  <c r="N1136" i="31"/>
  <c r="S1136" i="31" s="1"/>
  <c r="M1136" i="31"/>
  <c r="H1136" i="31"/>
  <c r="G1136" i="31"/>
  <c r="F1136" i="31"/>
  <c r="E1136" i="31"/>
  <c r="N1135" i="31"/>
  <c r="S1135" i="31" s="1"/>
  <c r="M1135" i="31"/>
  <c r="H1135" i="31"/>
  <c r="G1135" i="31"/>
  <c r="F1135" i="31"/>
  <c r="E1135" i="31"/>
  <c r="N1134" i="31"/>
  <c r="M1134" i="31"/>
  <c r="H1134" i="31"/>
  <c r="G1134" i="31"/>
  <c r="F1134" i="31"/>
  <c r="E1134" i="31"/>
  <c r="N1133" i="31"/>
  <c r="R1133" i="31" s="1"/>
  <c r="M1133" i="31"/>
  <c r="H1133" i="31"/>
  <c r="G1133" i="31"/>
  <c r="F1133" i="31"/>
  <c r="E1133" i="31"/>
  <c r="N1132" i="31"/>
  <c r="M1132" i="31"/>
  <c r="H1132" i="31"/>
  <c r="G1132" i="31"/>
  <c r="F1132" i="31"/>
  <c r="E1132" i="31"/>
  <c r="N1131" i="31"/>
  <c r="M1131" i="31"/>
  <c r="H1131" i="31"/>
  <c r="G1131" i="31"/>
  <c r="F1131" i="31"/>
  <c r="E1131" i="31"/>
  <c r="N1130" i="31"/>
  <c r="Q1130" i="31" s="1"/>
  <c r="M1130" i="31"/>
  <c r="H1130" i="31"/>
  <c r="G1130" i="31"/>
  <c r="F1130" i="31"/>
  <c r="E1130" i="31"/>
  <c r="N1129" i="31"/>
  <c r="M1129" i="31"/>
  <c r="H1129" i="31"/>
  <c r="G1129" i="31"/>
  <c r="F1129" i="31"/>
  <c r="E1129" i="31"/>
  <c r="N1128" i="31"/>
  <c r="S1128" i="31" s="1"/>
  <c r="M1128" i="31"/>
  <c r="H1128" i="31"/>
  <c r="G1128" i="31"/>
  <c r="F1128" i="31"/>
  <c r="E1128" i="31"/>
  <c r="N1127" i="31"/>
  <c r="M1127" i="31"/>
  <c r="H1127" i="31"/>
  <c r="G1127" i="31"/>
  <c r="F1127" i="31"/>
  <c r="E1127" i="31"/>
  <c r="N1126" i="31"/>
  <c r="M1126" i="31"/>
  <c r="H1126" i="31"/>
  <c r="G1126" i="31"/>
  <c r="F1126" i="31"/>
  <c r="E1126" i="31"/>
  <c r="N1125" i="31"/>
  <c r="R1125" i="31" s="1"/>
  <c r="M1125" i="31"/>
  <c r="H1125" i="31"/>
  <c r="G1125" i="31"/>
  <c r="F1125" i="31"/>
  <c r="E1125" i="31"/>
  <c r="N1124" i="31"/>
  <c r="Q1124" i="31" s="1"/>
  <c r="M1124" i="31"/>
  <c r="H1124" i="31"/>
  <c r="G1124" i="31"/>
  <c r="F1124" i="31"/>
  <c r="E1124" i="31"/>
  <c r="N1123" i="31"/>
  <c r="R1123" i="31" s="1"/>
  <c r="M1123" i="31"/>
  <c r="H1123" i="31"/>
  <c r="G1123" i="31"/>
  <c r="F1123" i="31"/>
  <c r="E1123" i="31"/>
  <c r="N1122" i="31"/>
  <c r="Q1122" i="31" s="1"/>
  <c r="M1122" i="31"/>
  <c r="H1122" i="31"/>
  <c r="G1122" i="31"/>
  <c r="F1122" i="31"/>
  <c r="E1122" i="31"/>
  <c r="N1121" i="31"/>
  <c r="S1121" i="31" s="1"/>
  <c r="M1121" i="31"/>
  <c r="H1121" i="31"/>
  <c r="G1121" i="31"/>
  <c r="F1121" i="31"/>
  <c r="E1121" i="31"/>
  <c r="N1120" i="31"/>
  <c r="M1120" i="31"/>
  <c r="H1120" i="31"/>
  <c r="G1120" i="31"/>
  <c r="F1120" i="31"/>
  <c r="E1120" i="31"/>
  <c r="N1119" i="31"/>
  <c r="S1119" i="31" s="1"/>
  <c r="M1119" i="31"/>
  <c r="H1119" i="31"/>
  <c r="G1119" i="31"/>
  <c r="F1119" i="31"/>
  <c r="E1119" i="31"/>
  <c r="N1118" i="31"/>
  <c r="R1118" i="31" s="1"/>
  <c r="M1118" i="31"/>
  <c r="H1118" i="31"/>
  <c r="G1118" i="31"/>
  <c r="F1118" i="31"/>
  <c r="E1118" i="31"/>
  <c r="N1117" i="31"/>
  <c r="M1117" i="31"/>
  <c r="H1117" i="31"/>
  <c r="G1117" i="31"/>
  <c r="F1117" i="31"/>
  <c r="E1117" i="31"/>
  <c r="N1116" i="31"/>
  <c r="Q1116" i="31" s="1"/>
  <c r="M1116" i="31"/>
  <c r="H1116" i="31"/>
  <c r="G1116" i="31"/>
  <c r="F1116" i="31"/>
  <c r="E1116" i="31"/>
  <c r="N1115" i="31"/>
  <c r="R1115" i="31" s="1"/>
  <c r="M1115" i="31"/>
  <c r="H1115" i="31"/>
  <c r="G1115" i="31"/>
  <c r="F1115" i="31"/>
  <c r="E1115" i="31"/>
  <c r="N1114" i="31"/>
  <c r="M1114" i="31"/>
  <c r="H1114" i="31"/>
  <c r="G1114" i="31"/>
  <c r="F1114" i="31"/>
  <c r="E1114" i="31"/>
  <c r="N1113" i="31"/>
  <c r="S1113" i="31" s="1"/>
  <c r="M1113" i="31"/>
  <c r="H1113" i="31"/>
  <c r="G1113" i="31"/>
  <c r="F1113" i="31"/>
  <c r="E1113" i="31"/>
  <c r="N1112" i="31"/>
  <c r="S1112" i="31" s="1"/>
  <c r="M1112" i="31"/>
  <c r="H1112" i="31"/>
  <c r="G1112" i="31"/>
  <c r="F1112" i="31"/>
  <c r="E1112" i="31"/>
  <c r="N1111" i="31"/>
  <c r="S1111" i="31" s="1"/>
  <c r="M1111" i="31"/>
  <c r="H1111" i="31"/>
  <c r="G1111" i="31"/>
  <c r="F1111" i="31"/>
  <c r="E1111" i="31"/>
  <c r="N1110" i="31"/>
  <c r="M1110" i="31"/>
  <c r="H1110" i="31"/>
  <c r="G1110" i="31"/>
  <c r="F1110" i="31"/>
  <c r="E1110" i="31"/>
  <c r="N1109" i="31"/>
  <c r="M1109" i="31"/>
  <c r="H1109" i="31"/>
  <c r="G1109" i="31"/>
  <c r="F1109" i="31"/>
  <c r="E1109" i="31"/>
  <c r="N1108" i="31"/>
  <c r="Q1108" i="31" s="1"/>
  <c r="M1108" i="31"/>
  <c r="H1108" i="31"/>
  <c r="G1108" i="31"/>
  <c r="F1108" i="31"/>
  <c r="E1108" i="31"/>
  <c r="N1107" i="31"/>
  <c r="R1107" i="31" s="1"/>
  <c r="M1107" i="31"/>
  <c r="H1107" i="31"/>
  <c r="G1107" i="31"/>
  <c r="F1107" i="31"/>
  <c r="E1107" i="31"/>
  <c r="N1106" i="31"/>
  <c r="Q1106" i="31" s="1"/>
  <c r="M1106" i="31"/>
  <c r="H1106" i="31"/>
  <c r="G1106" i="31"/>
  <c r="F1106" i="31"/>
  <c r="E1106" i="31"/>
  <c r="N1105" i="31"/>
  <c r="S1105" i="31" s="1"/>
  <c r="M1105" i="31"/>
  <c r="H1105" i="31"/>
  <c r="G1105" i="31"/>
  <c r="F1105" i="31"/>
  <c r="E1105" i="31"/>
  <c r="N1104" i="31"/>
  <c r="Q1104" i="31" s="1"/>
  <c r="M1104" i="31"/>
  <c r="H1104" i="31"/>
  <c r="G1104" i="31"/>
  <c r="F1104" i="31"/>
  <c r="E1104" i="31"/>
  <c r="N1103" i="31"/>
  <c r="M1103" i="31"/>
  <c r="H1103" i="31"/>
  <c r="G1103" i="31"/>
  <c r="F1103" i="31"/>
  <c r="E1103" i="31"/>
  <c r="N1102" i="31"/>
  <c r="S1102" i="31" s="1"/>
  <c r="M1102" i="31"/>
  <c r="H1102" i="31"/>
  <c r="G1102" i="31"/>
  <c r="F1102" i="31"/>
  <c r="E1102" i="31"/>
  <c r="N1101" i="31"/>
  <c r="M1101" i="31"/>
  <c r="H1101" i="31"/>
  <c r="G1101" i="31"/>
  <c r="F1101" i="31"/>
  <c r="E1101" i="31"/>
  <c r="N1100" i="31"/>
  <c r="Q1100" i="31" s="1"/>
  <c r="M1100" i="31"/>
  <c r="H1100" i="31"/>
  <c r="G1100" i="31"/>
  <c r="F1100" i="31"/>
  <c r="E1100" i="31"/>
  <c r="N1099" i="31"/>
  <c r="S1099" i="31" s="1"/>
  <c r="M1099" i="31"/>
  <c r="H1099" i="31"/>
  <c r="G1099" i="31"/>
  <c r="F1099" i="31"/>
  <c r="E1099" i="31"/>
  <c r="N1098" i="31"/>
  <c r="S1098" i="31" s="1"/>
  <c r="M1098" i="31"/>
  <c r="H1098" i="31"/>
  <c r="G1098" i="31"/>
  <c r="F1098" i="31"/>
  <c r="E1098" i="31"/>
  <c r="N1097" i="31"/>
  <c r="S1097" i="31" s="1"/>
  <c r="M1097" i="31"/>
  <c r="H1097" i="31"/>
  <c r="G1097" i="31"/>
  <c r="F1097" i="31"/>
  <c r="E1097" i="31"/>
  <c r="N1096" i="31"/>
  <c r="S1096" i="31" s="1"/>
  <c r="M1096" i="31"/>
  <c r="H1096" i="31"/>
  <c r="G1096" i="31"/>
  <c r="F1096" i="31"/>
  <c r="E1096" i="31"/>
  <c r="N1095" i="31"/>
  <c r="R1095" i="31" s="1"/>
  <c r="M1095" i="31"/>
  <c r="H1095" i="31"/>
  <c r="G1095" i="31"/>
  <c r="F1095" i="31"/>
  <c r="E1095" i="31"/>
  <c r="N1094" i="31"/>
  <c r="M1094" i="31"/>
  <c r="H1094" i="31"/>
  <c r="G1094" i="31"/>
  <c r="F1094" i="31"/>
  <c r="E1094" i="31"/>
  <c r="N1093" i="31"/>
  <c r="S1093" i="31" s="1"/>
  <c r="M1093" i="31"/>
  <c r="H1093" i="31"/>
  <c r="G1093" i="31"/>
  <c r="F1093" i="31"/>
  <c r="E1093" i="31"/>
  <c r="N1092" i="31"/>
  <c r="M1092" i="31"/>
  <c r="H1092" i="31"/>
  <c r="G1092" i="31"/>
  <c r="F1092" i="31"/>
  <c r="E1092" i="31"/>
  <c r="N1091" i="31"/>
  <c r="R1091" i="31" s="1"/>
  <c r="M1091" i="31"/>
  <c r="H1091" i="31"/>
  <c r="G1091" i="31"/>
  <c r="F1091" i="31"/>
  <c r="E1091" i="31"/>
  <c r="N1090" i="31"/>
  <c r="S1090" i="31" s="1"/>
  <c r="M1090" i="31"/>
  <c r="H1090" i="31"/>
  <c r="G1090" i="31"/>
  <c r="F1090" i="31"/>
  <c r="E1090" i="31"/>
  <c r="N1089" i="31"/>
  <c r="M1089" i="31"/>
  <c r="H1089" i="31"/>
  <c r="G1089" i="31"/>
  <c r="F1089" i="31"/>
  <c r="E1089" i="31"/>
  <c r="N1088" i="31"/>
  <c r="M1088" i="31"/>
  <c r="H1088" i="31"/>
  <c r="G1088" i="31"/>
  <c r="F1088" i="31"/>
  <c r="E1088" i="31"/>
  <c r="N1087" i="31"/>
  <c r="R1087" i="31" s="1"/>
  <c r="M1087" i="31"/>
  <c r="H1087" i="31"/>
  <c r="G1087" i="31"/>
  <c r="F1087" i="31"/>
  <c r="E1087" i="31"/>
  <c r="N1086" i="31"/>
  <c r="Q1086" i="31" s="1"/>
  <c r="M1086" i="31"/>
  <c r="H1086" i="31"/>
  <c r="G1086" i="31"/>
  <c r="F1086" i="31"/>
  <c r="E1086" i="31"/>
  <c r="N1085" i="31"/>
  <c r="S1085" i="31" s="1"/>
  <c r="M1085" i="31"/>
  <c r="H1085" i="31"/>
  <c r="G1085" i="31"/>
  <c r="F1085" i="31"/>
  <c r="E1085" i="31"/>
  <c r="N1084" i="31"/>
  <c r="M1084" i="31"/>
  <c r="H1084" i="31"/>
  <c r="G1084" i="31"/>
  <c r="F1084" i="31"/>
  <c r="E1084" i="31"/>
  <c r="N1083" i="31"/>
  <c r="R1083" i="31" s="1"/>
  <c r="M1083" i="31"/>
  <c r="H1083" i="31"/>
  <c r="G1083" i="31"/>
  <c r="F1083" i="31"/>
  <c r="E1083" i="31"/>
  <c r="N1082" i="31"/>
  <c r="S1082" i="31" s="1"/>
  <c r="M1082" i="31"/>
  <c r="H1082" i="31"/>
  <c r="G1082" i="31"/>
  <c r="F1082" i="31"/>
  <c r="E1082" i="31"/>
  <c r="N1081" i="31"/>
  <c r="S1081" i="31" s="1"/>
  <c r="M1081" i="31"/>
  <c r="H1081" i="31"/>
  <c r="G1081" i="31"/>
  <c r="F1081" i="31"/>
  <c r="E1081" i="31"/>
  <c r="N1080" i="31"/>
  <c r="S1080" i="31" s="1"/>
  <c r="M1080" i="31"/>
  <c r="H1080" i="31"/>
  <c r="G1080" i="31"/>
  <c r="F1080" i="31"/>
  <c r="E1080" i="31"/>
  <c r="N1079" i="31"/>
  <c r="R1079" i="31" s="1"/>
  <c r="M1079" i="31"/>
  <c r="H1079" i="31"/>
  <c r="G1079" i="31"/>
  <c r="F1079" i="31"/>
  <c r="E1079" i="31"/>
  <c r="N1078" i="31"/>
  <c r="M1078" i="31"/>
  <c r="H1078" i="31"/>
  <c r="G1078" i="31"/>
  <c r="F1078" i="31"/>
  <c r="E1078" i="31"/>
  <c r="N1077" i="31"/>
  <c r="S1077" i="31" s="1"/>
  <c r="M1077" i="31"/>
  <c r="H1077" i="31"/>
  <c r="G1077" i="31"/>
  <c r="F1077" i="31"/>
  <c r="E1077" i="31"/>
  <c r="N1076" i="31"/>
  <c r="Q1076" i="31" s="1"/>
  <c r="M1076" i="31"/>
  <c r="H1076" i="31"/>
  <c r="G1076" i="31"/>
  <c r="F1076" i="31"/>
  <c r="E1076" i="31"/>
  <c r="N1075" i="31"/>
  <c r="R1075" i="31" s="1"/>
  <c r="M1075" i="31"/>
  <c r="H1075" i="31"/>
  <c r="G1075" i="31"/>
  <c r="F1075" i="31"/>
  <c r="E1075" i="31"/>
  <c r="N1074" i="31"/>
  <c r="S1074" i="31" s="1"/>
  <c r="M1074" i="31"/>
  <c r="H1074" i="31"/>
  <c r="G1074" i="31"/>
  <c r="F1074" i="31"/>
  <c r="E1074" i="31"/>
  <c r="N1073" i="31"/>
  <c r="Q1073" i="31" s="1"/>
  <c r="M1073" i="31"/>
  <c r="H1073" i="31"/>
  <c r="G1073" i="31"/>
  <c r="F1073" i="31"/>
  <c r="E1073" i="31"/>
  <c r="N1072" i="31"/>
  <c r="S1072" i="31" s="1"/>
  <c r="M1072" i="31"/>
  <c r="H1072" i="31"/>
  <c r="G1072" i="31"/>
  <c r="F1072" i="31"/>
  <c r="E1072" i="31"/>
  <c r="N1071" i="31"/>
  <c r="R1071" i="31" s="1"/>
  <c r="M1071" i="31"/>
  <c r="H1071" i="31"/>
  <c r="G1071" i="31"/>
  <c r="F1071" i="31"/>
  <c r="E1071" i="31"/>
  <c r="N1070" i="31"/>
  <c r="Q1070" i="31" s="1"/>
  <c r="M1070" i="31"/>
  <c r="H1070" i="31"/>
  <c r="G1070" i="31"/>
  <c r="F1070" i="31"/>
  <c r="E1070" i="31"/>
  <c r="N1069" i="31"/>
  <c r="S1069" i="31" s="1"/>
  <c r="M1069" i="31"/>
  <c r="H1069" i="31"/>
  <c r="G1069" i="31"/>
  <c r="F1069" i="31"/>
  <c r="E1069" i="31"/>
  <c r="N1068" i="31"/>
  <c r="M1068" i="31"/>
  <c r="H1068" i="31"/>
  <c r="G1068" i="31"/>
  <c r="F1068" i="31"/>
  <c r="E1068" i="31"/>
  <c r="N1067" i="31"/>
  <c r="R1067" i="31" s="1"/>
  <c r="M1067" i="31"/>
  <c r="H1067" i="31"/>
  <c r="G1067" i="31"/>
  <c r="F1067" i="31"/>
  <c r="E1067" i="31"/>
  <c r="N1066" i="31"/>
  <c r="S1066" i="31" s="1"/>
  <c r="M1066" i="31"/>
  <c r="H1066" i="31"/>
  <c r="G1066" i="31"/>
  <c r="F1066" i="31"/>
  <c r="E1066" i="31"/>
  <c r="N1065" i="31"/>
  <c r="S1065" i="31" s="1"/>
  <c r="M1065" i="31"/>
  <c r="H1065" i="31"/>
  <c r="G1065" i="31"/>
  <c r="F1065" i="31"/>
  <c r="E1065" i="31"/>
  <c r="N1064" i="31"/>
  <c r="S1064" i="31" s="1"/>
  <c r="M1064" i="31"/>
  <c r="H1064" i="31"/>
  <c r="G1064" i="31"/>
  <c r="F1064" i="31"/>
  <c r="E1064" i="31"/>
  <c r="N1063" i="31"/>
  <c r="R1063" i="31" s="1"/>
  <c r="M1063" i="31"/>
  <c r="H1063" i="31"/>
  <c r="G1063" i="31"/>
  <c r="F1063" i="31"/>
  <c r="E1063" i="31"/>
  <c r="N1062" i="31"/>
  <c r="M1062" i="31"/>
  <c r="H1062" i="31"/>
  <c r="G1062" i="31"/>
  <c r="F1062" i="31"/>
  <c r="E1062" i="31"/>
  <c r="N1061" i="31"/>
  <c r="S1061" i="31" s="1"/>
  <c r="M1061" i="31"/>
  <c r="H1061" i="31"/>
  <c r="G1061" i="31"/>
  <c r="F1061" i="31"/>
  <c r="E1061" i="31"/>
  <c r="N1060" i="31"/>
  <c r="M1060" i="31"/>
  <c r="H1060" i="31"/>
  <c r="G1060" i="31"/>
  <c r="F1060" i="31"/>
  <c r="E1060" i="31"/>
  <c r="N1059" i="31"/>
  <c r="R1059" i="31" s="1"/>
  <c r="M1059" i="31"/>
  <c r="H1059" i="31"/>
  <c r="G1059" i="31"/>
  <c r="F1059" i="31"/>
  <c r="E1059" i="31"/>
  <c r="N1058" i="31"/>
  <c r="S1058" i="31" s="1"/>
  <c r="M1058" i="31"/>
  <c r="H1058" i="31"/>
  <c r="G1058" i="31"/>
  <c r="F1058" i="31"/>
  <c r="E1058" i="31"/>
  <c r="N1057" i="31"/>
  <c r="M1057" i="31"/>
  <c r="H1057" i="31"/>
  <c r="G1057" i="31"/>
  <c r="F1057" i="31"/>
  <c r="E1057" i="31"/>
  <c r="N1056" i="31"/>
  <c r="S1056" i="31" s="1"/>
  <c r="M1056" i="31"/>
  <c r="H1056" i="31"/>
  <c r="G1056" i="31"/>
  <c r="F1056" i="31"/>
  <c r="E1056" i="31"/>
  <c r="N1055" i="31"/>
  <c r="R1055" i="31" s="1"/>
  <c r="M1055" i="31"/>
  <c r="H1055" i="31"/>
  <c r="G1055" i="31"/>
  <c r="F1055" i="31"/>
  <c r="E1055" i="31"/>
  <c r="N1054" i="31"/>
  <c r="Q1054" i="31" s="1"/>
  <c r="M1054" i="31"/>
  <c r="H1054" i="31"/>
  <c r="G1054" i="31"/>
  <c r="F1054" i="31"/>
  <c r="E1054" i="31"/>
  <c r="N1053" i="31"/>
  <c r="S1053" i="31" s="1"/>
  <c r="M1053" i="31"/>
  <c r="H1053" i="31"/>
  <c r="G1053" i="31"/>
  <c r="F1053" i="31"/>
  <c r="E1053" i="31"/>
  <c r="N1052" i="31"/>
  <c r="M1052" i="31"/>
  <c r="H1052" i="31"/>
  <c r="G1052" i="31"/>
  <c r="F1052" i="31"/>
  <c r="E1052" i="31"/>
  <c r="N1051" i="31"/>
  <c r="R1051" i="31" s="1"/>
  <c r="M1051" i="31"/>
  <c r="H1051" i="31"/>
  <c r="G1051" i="31"/>
  <c r="F1051" i="31"/>
  <c r="E1051" i="31"/>
  <c r="N1050" i="31"/>
  <c r="S1050" i="31" s="1"/>
  <c r="M1050" i="31"/>
  <c r="H1050" i="31"/>
  <c r="G1050" i="31"/>
  <c r="F1050" i="31"/>
  <c r="E1050" i="31"/>
  <c r="N1049" i="31"/>
  <c r="S1049" i="31" s="1"/>
  <c r="M1049" i="31"/>
  <c r="H1049" i="31"/>
  <c r="G1049" i="31"/>
  <c r="F1049" i="31"/>
  <c r="E1049" i="31"/>
  <c r="N1048" i="31"/>
  <c r="S1048" i="31" s="1"/>
  <c r="M1048" i="31"/>
  <c r="H1048" i="31"/>
  <c r="G1048" i="31"/>
  <c r="F1048" i="31"/>
  <c r="E1048" i="31"/>
  <c r="N1047" i="31"/>
  <c r="M1047" i="31"/>
  <c r="H1047" i="31"/>
  <c r="G1047" i="31"/>
  <c r="F1047" i="31"/>
  <c r="E1047" i="31"/>
  <c r="N1046" i="31"/>
  <c r="Q1046" i="31" s="1"/>
  <c r="M1046" i="31"/>
  <c r="H1046" i="31"/>
  <c r="G1046" i="31"/>
  <c r="F1046" i="31"/>
  <c r="E1046" i="31"/>
  <c r="N1045" i="31"/>
  <c r="M1045" i="31"/>
  <c r="H1045" i="31"/>
  <c r="G1045" i="31"/>
  <c r="F1045" i="31"/>
  <c r="E1045" i="31"/>
  <c r="N1044" i="31"/>
  <c r="S1044" i="31" s="1"/>
  <c r="M1044" i="31"/>
  <c r="H1044" i="31"/>
  <c r="G1044" i="31"/>
  <c r="F1044" i="31"/>
  <c r="E1044" i="31"/>
  <c r="N1043" i="31"/>
  <c r="S1043" i="31" s="1"/>
  <c r="M1043" i="31"/>
  <c r="H1043" i="31"/>
  <c r="G1043" i="31"/>
  <c r="F1043" i="31"/>
  <c r="E1043" i="31"/>
  <c r="N1042" i="31"/>
  <c r="S1042" i="31" s="1"/>
  <c r="M1042" i="31"/>
  <c r="H1042" i="31"/>
  <c r="G1042" i="31"/>
  <c r="F1042" i="31"/>
  <c r="E1042" i="31"/>
  <c r="N1041" i="31"/>
  <c r="Q1041" i="31" s="1"/>
  <c r="M1041" i="31"/>
  <c r="H1041" i="31"/>
  <c r="G1041" i="31"/>
  <c r="F1041" i="31"/>
  <c r="E1041" i="31"/>
  <c r="N1040" i="31"/>
  <c r="S1040" i="31" s="1"/>
  <c r="M1040" i="31"/>
  <c r="H1040" i="31"/>
  <c r="G1040" i="31"/>
  <c r="F1040" i="31"/>
  <c r="E1040" i="31"/>
  <c r="N1039" i="31"/>
  <c r="R1039" i="31" s="1"/>
  <c r="M1039" i="31"/>
  <c r="H1039" i="31"/>
  <c r="G1039" i="31"/>
  <c r="F1039" i="31"/>
  <c r="E1039" i="31"/>
  <c r="N1038" i="31"/>
  <c r="M1038" i="31"/>
  <c r="H1038" i="31"/>
  <c r="G1038" i="31"/>
  <c r="F1038" i="31"/>
  <c r="E1038" i="31"/>
  <c r="N1037" i="31"/>
  <c r="M1037" i="31"/>
  <c r="H1037" i="31"/>
  <c r="G1037" i="31"/>
  <c r="F1037" i="31"/>
  <c r="E1037" i="31"/>
  <c r="N1036" i="31"/>
  <c r="Q1036" i="31" s="1"/>
  <c r="M1036" i="31"/>
  <c r="H1036" i="31"/>
  <c r="G1036" i="31"/>
  <c r="F1036" i="31"/>
  <c r="E1036" i="31"/>
  <c r="N1035" i="31"/>
  <c r="R1035" i="31" s="1"/>
  <c r="M1035" i="31"/>
  <c r="H1035" i="31"/>
  <c r="G1035" i="31"/>
  <c r="F1035" i="31"/>
  <c r="E1035" i="31"/>
  <c r="N1034" i="31"/>
  <c r="S1034" i="31" s="1"/>
  <c r="M1034" i="31"/>
  <c r="H1034" i="31"/>
  <c r="G1034" i="31"/>
  <c r="F1034" i="31"/>
  <c r="E1034" i="31"/>
  <c r="N1033" i="31"/>
  <c r="M1033" i="31"/>
  <c r="H1033" i="31"/>
  <c r="G1033" i="31"/>
  <c r="F1033" i="31"/>
  <c r="E1033" i="31"/>
  <c r="N1032" i="31"/>
  <c r="M1032" i="31"/>
  <c r="H1032" i="31"/>
  <c r="G1032" i="31"/>
  <c r="F1032" i="31"/>
  <c r="E1032" i="31"/>
  <c r="N1031" i="31"/>
  <c r="M1031" i="31"/>
  <c r="H1031" i="31"/>
  <c r="G1031" i="31"/>
  <c r="F1031" i="31"/>
  <c r="E1031" i="31"/>
  <c r="N1030" i="31"/>
  <c r="Q1030" i="31" s="1"/>
  <c r="M1030" i="31"/>
  <c r="H1030" i="31"/>
  <c r="G1030" i="31"/>
  <c r="F1030" i="31"/>
  <c r="E1030" i="31"/>
  <c r="N1029" i="31"/>
  <c r="S1029" i="31" s="1"/>
  <c r="M1029" i="31"/>
  <c r="H1029" i="31"/>
  <c r="G1029" i="31"/>
  <c r="F1029" i="31"/>
  <c r="E1029" i="31"/>
  <c r="N1028" i="31"/>
  <c r="M1028" i="31"/>
  <c r="H1028" i="31"/>
  <c r="G1028" i="31"/>
  <c r="F1028" i="31"/>
  <c r="E1028" i="31"/>
  <c r="D1028" i="31"/>
  <c r="C1028" i="31"/>
  <c r="B1028" i="31"/>
  <c r="N1027" i="31"/>
  <c r="M1027" i="31"/>
  <c r="H1027" i="31"/>
  <c r="G1027" i="31"/>
  <c r="F1027" i="31"/>
  <c r="E1027" i="31"/>
  <c r="D1027" i="31"/>
  <c r="C1027" i="31"/>
  <c r="B1027" i="31"/>
  <c r="N1026" i="31"/>
  <c r="Q1026" i="31" s="1"/>
  <c r="M1026" i="31"/>
  <c r="H1026" i="31"/>
  <c r="G1026" i="31"/>
  <c r="F1026" i="31"/>
  <c r="E1026" i="31"/>
  <c r="D1026" i="31"/>
  <c r="C1026" i="31"/>
  <c r="B1026" i="31"/>
  <c r="N1025" i="31"/>
  <c r="S1025" i="31" s="1"/>
  <c r="M1025" i="31"/>
  <c r="H1025" i="31"/>
  <c r="G1025" i="31"/>
  <c r="F1025" i="31"/>
  <c r="E1025" i="31"/>
  <c r="D1025" i="31"/>
  <c r="C1025" i="31"/>
  <c r="B1025" i="31"/>
  <c r="N1024" i="31"/>
  <c r="Q1024" i="31" s="1"/>
  <c r="M1024" i="31"/>
  <c r="H1024" i="31"/>
  <c r="G1024" i="31"/>
  <c r="F1024" i="31"/>
  <c r="E1024" i="31"/>
  <c r="D1024" i="31"/>
  <c r="C1024" i="31"/>
  <c r="B1024" i="31"/>
  <c r="N1023" i="31"/>
  <c r="Q1023" i="31" s="1"/>
  <c r="M1023" i="31"/>
  <c r="H1023" i="31"/>
  <c r="G1023" i="31"/>
  <c r="F1023" i="31"/>
  <c r="E1023" i="31"/>
  <c r="D1023" i="31"/>
  <c r="C1023" i="31"/>
  <c r="B1023" i="31"/>
  <c r="N1022" i="31"/>
  <c r="M1022" i="31"/>
  <c r="H1022" i="31"/>
  <c r="G1022" i="31"/>
  <c r="F1022" i="31"/>
  <c r="E1022" i="31"/>
  <c r="N1021" i="31"/>
  <c r="R1021" i="31" s="1"/>
  <c r="M1021" i="31"/>
  <c r="H1021" i="31"/>
  <c r="G1021" i="31"/>
  <c r="F1021" i="31"/>
  <c r="E1021" i="31"/>
  <c r="N1020" i="31"/>
  <c r="S1020" i="31" s="1"/>
  <c r="M1020" i="31"/>
  <c r="H1020" i="31"/>
  <c r="G1020" i="31"/>
  <c r="F1020" i="31"/>
  <c r="E1020" i="31"/>
  <c r="N1019" i="31"/>
  <c r="M1019" i="31"/>
  <c r="H1019" i="31"/>
  <c r="G1019" i="31"/>
  <c r="F1019" i="31"/>
  <c r="E1019" i="31"/>
  <c r="N1018" i="31"/>
  <c r="S1018" i="31" s="1"/>
  <c r="M1018" i="31"/>
  <c r="H1018" i="31"/>
  <c r="G1018" i="31"/>
  <c r="F1018" i="31"/>
  <c r="E1018" i="31"/>
  <c r="N1017" i="31"/>
  <c r="M1017" i="31"/>
  <c r="H1017" i="31"/>
  <c r="G1017" i="31"/>
  <c r="F1017" i="31"/>
  <c r="E1017" i="31"/>
  <c r="N1016" i="31"/>
  <c r="R1016" i="31" s="1"/>
  <c r="M1016" i="31"/>
  <c r="H1016" i="31"/>
  <c r="G1016" i="31"/>
  <c r="F1016" i="31"/>
  <c r="E1016" i="31"/>
  <c r="N1015" i="31"/>
  <c r="M1015" i="31"/>
  <c r="H1015" i="31"/>
  <c r="G1015" i="31"/>
  <c r="F1015" i="31"/>
  <c r="E1015" i="31"/>
  <c r="N1014" i="31"/>
  <c r="Q1014" i="31" s="1"/>
  <c r="M1014" i="31"/>
  <c r="H1014" i="31"/>
  <c r="G1014" i="31"/>
  <c r="F1014" i="31"/>
  <c r="E1014" i="31"/>
  <c r="N1013" i="31"/>
  <c r="R1013" i="31" s="1"/>
  <c r="M1013" i="31"/>
  <c r="H1013" i="31"/>
  <c r="G1013" i="31"/>
  <c r="F1013" i="31"/>
  <c r="E1013" i="31"/>
  <c r="N1012" i="31"/>
  <c r="S1012" i="31" s="1"/>
  <c r="M1012" i="31"/>
  <c r="H1012" i="31"/>
  <c r="G1012" i="31"/>
  <c r="F1012" i="31"/>
  <c r="E1012" i="31"/>
  <c r="N1011" i="31"/>
  <c r="S1011" i="31" s="1"/>
  <c r="M1011" i="31"/>
  <c r="H1011" i="31"/>
  <c r="G1011" i="31"/>
  <c r="F1011" i="31"/>
  <c r="E1011" i="31"/>
  <c r="N1010" i="31"/>
  <c r="S1010" i="31" s="1"/>
  <c r="M1010" i="31"/>
  <c r="H1010" i="31"/>
  <c r="G1010" i="31"/>
  <c r="F1010" i="31"/>
  <c r="E1010" i="31"/>
  <c r="N1009" i="31"/>
  <c r="M1009" i="31"/>
  <c r="H1009" i="31"/>
  <c r="G1009" i="31"/>
  <c r="F1009" i="31"/>
  <c r="E1009" i="31"/>
  <c r="N1008" i="31"/>
  <c r="R1008" i="31" s="1"/>
  <c r="M1008" i="31"/>
  <c r="H1008" i="31"/>
  <c r="G1008" i="31"/>
  <c r="F1008" i="31"/>
  <c r="E1008" i="31"/>
  <c r="N1007" i="31"/>
  <c r="M1007" i="31"/>
  <c r="H1007" i="31"/>
  <c r="G1007" i="31"/>
  <c r="F1007" i="31"/>
  <c r="E1007" i="31"/>
  <c r="N1006" i="31"/>
  <c r="M1006" i="31"/>
  <c r="H1006" i="31"/>
  <c r="G1006" i="31"/>
  <c r="F1006" i="31"/>
  <c r="E1006" i="31"/>
  <c r="N1005" i="31"/>
  <c r="M1005" i="31"/>
  <c r="H1005" i="31"/>
  <c r="G1005" i="31"/>
  <c r="F1005" i="31"/>
  <c r="E1005" i="31"/>
  <c r="N1004" i="31"/>
  <c r="S1004" i="31" s="1"/>
  <c r="M1004" i="31"/>
  <c r="H1004" i="31"/>
  <c r="G1004" i="31"/>
  <c r="F1004" i="31"/>
  <c r="E1004" i="31"/>
  <c r="N1003" i="31"/>
  <c r="M1003" i="31"/>
  <c r="H1003" i="31"/>
  <c r="G1003" i="31"/>
  <c r="F1003" i="31"/>
  <c r="E1003" i="31"/>
  <c r="N1002" i="31"/>
  <c r="S1002" i="31" s="1"/>
  <c r="M1002" i="31"/>
  <c r="H1002" i="31"/>
  <c r="G1002" i="31"/>
  <c r="F1002" i="31"/>
  <c r="E1002" i="31"/>
  <c r="N1001" i="31"/>
  <c r="R1001" i="31" s="1"/>
  <c r="M1001" i="31"/>
  <c r="H1001" i="31"/>
  <c r="G1001" i="31"/>
  <c r="F1001" i="31"/>
  <c r="E1001" i="31"/>
  <c r="N1000" i="31"/>
  <c r="R1000" i="31" s="1"/>
  <c r="M1000" i="31"/>
  <c r="H1000" i="31"/>
  <c r="G1000" i="31"/>
  <c r="F1000" i="31"/>
  <c r="E1000" i="31"/>
  <c r="N999" i="31"/>
  <c r="S999" i="31" s="1"/>
  <c r="M999" i="31"/>
  <c r="H999" i="31"/>
  <c r="G999" i="31"/>
  <c r="F999" i="31"/>
  <c r="E999" i="31"/>
  <c r="N998" i="31"/>
  <c r="M998" i="31"/>
  <c r="H998" i="31"/>
  <c r="G998" i="31"/>
  <c r="F998" i="31"/>
  <c r="E998" i="31"/>
  <c r="N997" i="31"/>
  <c r="S997" i="31" s="1"/>
  <c r="M997" i="31"/>
  <c r="H997" i="31"/>
  <c r="G997" i="31"/>
  <c r="F997" i="31"/>
  <c r="E997" i="31"/>
  <c r="N996" i="31"/>
  <c r="S996" i="31" s="1"/>
  <c r="M996" i="31"/>
  <c r="H996" i="31"/>
  <c r="G996" i="31"/>
  <c r="F996" i="31"/>
  <c r="E996" i="31"/>
  <c r="N995" i="31"/>
  <c r="Q995" i="31" s="1"/>
  <c r="M995" i="31"/>
  <c r="H995" i="31"/>
  <c r="G995" i="31"/>
  <c r="F995" i="31"/>
  <c r="E995" i="31"/>
  <c r="N994" i="31"/>
  <c r="Q994" i="31" s="1"/>
  <c r="M994" i="31"/>
  <c r="H994" i="31"/>
  <c r="G994" i="31"/>
  <c r="F994" i="31"/>
  <c r="E994" i="31"/>
  <c r="N993" i="31"/>
  <c r="M993" i="31"/>
  <c r="H993" i="31"/>
  <c r="G993" i="31"/>
  <c r="F993" i="31"/>
  <c r="E993" i="31"/>
  <c r="N992" i="31"/>
  <c r="R992" i="31" s="1"/>
  <c r="M992" i="31"/>
  <c r="H992" i="31"/>
  <c r="G992" i="31"/>
  <c r="F992" i="31"/>
  <c r="E992" i="31"/>
  <c r="N991" i="31"/>
  <c r="R991" i="31" s="1"/>
  <c r="M991" i="31"/>
  <c r="H991" i="31"/>
  <c r="G991" i="31"/>
  <c r="F991" i="31"/>
  <c r="E991" i="31"/>
  <c r="N990" i="31"/>
  <c r="S990" i="31" s="1"/>
  <c r="M990" i="31"/>
  <c r="H990" i="31"/>
  <c r="G990" i="31"/>
  <c r="F990" i="31"/>
  <c r="E990" i="31"/>
  <c r="N989" i="31"/>
  <c r="R989" i="31" s="1"/>
  <c r="M989" i="31"/>
  <c r="H989" i="31"/>
  <c r="G989" i="31"/>
  <c r="F989" i="31"/>
  <c r="E989" i="31"/>
  <c r="N988" i="31"/>
  <c r="M988" i="31"/>
  <c r="H988" i="31"/>
  <c r="G988" i="31"/>
  <c r="F988" i="31"/>
  <c r="E988" i="31"/>
  <c r="N987" i="31"/>
  <c r="M987" i="31"/>
  <c r="H987" i="31"/>
  <c r="G987" i="31"/>
  <c r="F987" i="31"/>
  <c r="E987" i="31"/>
  <c r="N986" i="31"/>
  <c r="Q986" i="31" s="1"/>
  <c r="M986" i="31"/>
  <c r="H986" i="31"/>
  <c r="G986" i="31"/>
  <c r="F986" i="31"/>
  <c r="E986" i="31"/>
  <c r="N985" i="31"/>
  <c r="S985" i="31" s="1"/>
  <c r="M985" i="31"/>
  <c r="H985" i="31"/>
  <c r="G985" i="31"/>
  <c r="F985" i="31"/>
  <c r="E985" i="31"/>
  <c r="N984" i="31"/>
  <c r="R984" i="31" s="1"/>
  <c r="M984" i="31"/>
  <c r="H984" i="31"/>
  <c r="G984" i="31"/>
  <c r="F984" i="31"/>
  <c r="E984" i="31"/>
  <c r="N983" i="31"/>
  <c r="S983" i="31" s="1"/>
  <c r="M983" i="31"/>
  <c r="H983" i="31"/>
  <c r="G983" i="31"/>
  <c r="F983" i="31"/>
  <c r="E983" i="31"/>
  <c r="N982" i="31"/>
  <c r="R982" i="31" s="1"/>
  <c r="M982" i="31"/>
  <c r="H982" i="31"/>
  <c r="G982" i="31"/>
  <c r="F982" i="31"/>
  <c r="E982" i="31"/>
  <c r="N981" i="31"/>
  <c r="M981" i="31"/>
  <c r="H981" i="31"/>
  <c r="G981" i="31"/>
  <c r="F981" i="31"/>
  <c r="E981" i="31"/>
  <c r="N980" i="31"/>
  <c r="S980" i="31" s="1"/>
  <c r="M980" i="31"/>
  <c r="H980" i="31"/>
  <c r="G980" i="31"/>
  <c r="F980" i="31"/>
  <c r="E980" i="31"/>
  <c r="N979" i="31"/>
  <c r="M979" i="31"/>
  <c r="H979" i="31"/>
  <c r="G979" i="31"/>
  <c r="F979" i="31"/>
  <c r="E979" i="31"/>
  <c r="N978" i="31"/>
  <c r="S978" i="31" s="1"/>
  <c r="M978" i="31"/>
  <c r="H978" i="31"/>
  <c r="G978" i="31"/>
  <c r="F978" i="31"/>
  <c r="E978" i="31"/>
  <c r="N977" i="31"/>
  <c r="S977" i="31" s="1"/>
  <c r="M977" i="31"/>
  <c r="H977" i="31"/>
  <c r="G977" i="31"/>
  <c r="F977" i="31"/>
  <c r="E977" i="31"/>
  <c r="N976" i="31"/>
  <c r="R976" i="31" s="1"/>
  <c r="M976" i="31"/>
  <c r="H976" i="31"/>
  <c r="G976" i="31"/>
  <c r="F976" i="31"/>
  <c r="E976" i="31"/>
  <c r="N975" i="31"/>
  <c r="S975" i="31" s="1"/>
  <c r="M975" i="31"/>
  <c r="H975" i="31"/>
  <c r="G975" i="31"/>
  <c r="F975" i="31"/>
  <c r="E975" i="31"/>
  <c r="N974" i="31"/>
  <c r="R974" i="31" s="1"/>
  <c r="M974" i="31"/>
  <c r="H974" i="31"/>
  <c r="G974" i="31"/>
  <c r="F974" i="31"/>
  <c r="E974" i="31"/>
  <c r="N973" i="31"/>
  <c r="R973" i="31" s="1"/>
  <c r="M973" i="31"/>
  <c r="H973" i="31"/>
  <c r="G973" i="31"/>
  <c r="F973" i="31"/>
  <c r="E973" i="31"/>
  <c r="N972" i="31"/>
  <c r="M972" i="31"/>
  <c r="H972" i="31"/>
  <c r="G972" i="31"/>
  <c r="F972" i="31"/>
  <c r="E972" i="31"/>
  <c r="N971" i="31"/>
  <c r="S971" i="31" s="1"/>
  <c r="M971" i="31"/>
  <c r="H971" i="31"/>
  <c r="G971" i="31"/>
  <c r="F971" i="31"/>
  <c r="E971" i="31"/>
  <c r="N970" i="31"/>
  <c r="Q970" i="31" s="1"/>
  <c r="M970" i="31"/>
  <c r="H970" i="31"/>
  <c r="G970" i="31"/>
  <c r="F970" i="31"/>
  <c r="E970" i="31"/>
  <c r="N969" i="31"/>
  <c r="S969" i="31" s="1"/>
  <c r="M969" i="31"/>
  <c r="H969" i="31"/>
  <c r="G969" i="31"/>
  <c r="F969" i="31"/>
  <c r="E969" i="31"/>
  <c r="N968" i="31"/>
  <c r="R968" i="31" s="1"/>
  <c r="M968" i="31"/>
  <c r="H968" i="31"/>
  <c r="G968" i="31"/>
  <c r="F968" i="31"/>
  <c r="E968" i="31"/>
  <c r="N967" i="31"/>
  <c r="S967" i="31" s="1"/>
  <c r="M967" i="31"/>
  <c r="H967" i="31"/>
  <c r="G967" i="31"/>
  <c r="F967" i="31"/>
  <c r="E967" i="31"/>
  <c r="N966" i="31"/>
  <c r="S966" i="31" s="1"/>
  <c r="M966" i="31"/>
  <c r="H966" i="31"/>
  <c r="G966" i="31"/>
  <c r="F966" i="31"/>
  <c r="E966" i="31"/>
  <c r="N965" i="31"/>
  <c r="M965" i="31"/>
  <c r="H965" i="31"/>
  <c r="G965" i="31"/>
  <c r="F965" i="31"/>
  <c r="E965" i="31"/>
  <c r="N964" i="31"/>
  <c r="M964" i="31"/>
  <c r="H964" i="31"/>
  <c r="G964" i="31"/>
  <c r="F964" i="31"/>
  <c r="E964" i="31"/>
  <c r="N963" i="31"/>
  <c r="S963" i="31" s="1"/>
  <c r="M963" i="31"/>
  <c r="H963" i="31"/>
  <c r="G963" i="31"/>
  <c r="F963" i="31"/>
  <c r="E963" i="31"/>
  <c r="N962" i="31"/>
  <c r="Q962" i="31" s="1"/>
  <c r="M962" i="31"/>
  <c r="H962" i="31"/>
  <c r="G962" i="31"/>
  <c r="F962" i="31"/>
  <c r="E962" i="31"/>
  <c r="N961" i="31"/>
  <c r="S961" i="31" s="1"/>
  <c r="M961" i="31"/>
  <c r="H961" i="31"/>
  <c r="G961" i="31"/>
  <c r="F961" i="31"/>
  <c r="E961" i="31"/>
  <c r="N960" i="31"/>
  <c r="R960" i="31" s="1"/>
  <c r="M960" i="31"/>
  <c r="H960" i="31"/>
  <c r="G960" i="31"/>
  <c r="F960" i="31"/>
  <c r="E960" i="31"/>
  <c r="N959" i="31"/>
  <c r="S959" i="31" s="1"/>
  <c r="M959" i="31"/>
  <c r="H959" i="31"/>
  <c r="G959" i="31"/>
  <c r="F959" i="31"/>
  <c r="E959" i="31"/>
  <c r="N958" i="31"/>
  <c r="S958" i="31" s="1"/>
  <c r="M958" i="31"/>
  <c r="H958" i="31"/>
  <c r="G958" i="31"/>
  <c r="F958" i="31"/>
  <c r="E958" i="31"/>
  <c r="N957" i="31"/>
  <c r="M957" i="31"/>
  <c r="H957" i="31"/>
  <c r="G957" i="31"/>
  <c r="F957" i="31"/>
  <c r="E957" i="31"/>
  <c r="N956" i="31"/>
  <c r="M956" i="31"/>
  <c r="H956" i="31"/>
  <c r="G956" i="31"/>
  <c r="F956" i="31"/>
  <c r="E956" i="31"/>
  <c r="N955" i="31"/>
  <c r="S955" i="31" s="1"/>
  <c r="M955" i="31"/>
  <c r="H955" i="31"/>
  <c r="G955" i="31"/>
  <c r="F955" i="31"/>
  <c r="E955" i="31"/>
  <c r="N954" i="31"/>
  <c r="Q954" i="31" s="1"/>
  <c r="M954" i="31"/>
  <c r="H954" i="31"/>
  <c r="G954" i="31"/>
  <c r="F954" i="31"/>
  <c r="E954" i="31"/>
  <c r="N953" i="31"/>
  <c r="S953" i="31" s="1"/>
  <c r="M953" i="31"/>
  <c r="H953" i="31"/>
  <c r="G953" i="31"/>
  <c r="F953" i="31"/>
  <c r="E953" i="31"/>
  <c r="N952" i="31"/>
  <c r="R952" i="31" s="1"/>
  <c r="M952" i="31"/>
  <c r="H952" i="31"/>
  <c r="G952" i="31"/>
  <c r="F952" i="31"/>
  <c r="E952" i="31"/>
  <c r="N951" i="31"/>
  <c r="M951" i="31"/>
  <c r="H951" i="31"/>
  <c r="G951" i="31"/>
  <c r="F951" i="31"/>
  <c r="E951" i="31"/>
  <c r="N950" i="31"/>
  <c r="M950" i="31"/>
  <c r="H950" i="31"/>
  <c r="G950" i="31"/>
  <c r="F950" i="31"/>
  <c r="E950" i="31"/>
  <c r="N949" i="31"/>
  <c r="M949" i="31"/>
  <c r="H949" i="31"/>
  <c r="G949" i="31"/>
  <c r="F949" i="31"/>
  <c r="E949" i="31"/>
  <c r="N948" i="31"/>
  <c r="M948" i="31"/>
  <c r="H948" i="31"/>
  <c r="G948" i="31"/>
  <c r="F948" i="31"/>
  <c r="E948" i="31"/>
  <c r="N947" i="31"/>
  <c r="M947" i="31"/>
  <c r="H947" i="31"/>
  <c r="G947" i="31"/>
  <c r="F947" i="31"/>
  <c r="E947" i="31"/>
  <c r="N946" i="31"/>
  <c r="Q946" i="31" s="1"/>
  <c r="M946" i="31"/>
  <c r="H946" i="31"/>
  <c r="G946" i="31"/>
  <c r="F946" i="31"/>
  <c r="E946" i="31"/>
  <c r="N945" i="31"/>
  <c r="S945" i="31" s="1"/>
  <c r="M945" i="31"/>
  <c r="H945" i="31"/>
  <c r="G945" i="31"/>
  <c r="F945" i="31"/>
  <c r="E945" i="31"/>
  <c r="N944" i="31"/>
  <c r="R944" i="31" s="1"/>
  <c r="M944" i="31"/>
  <c r="H944" i="31"/>
  <c r="G944" i="31"/>
  <c r="F944" i="31"/>
  <c r="E944" i="31"/>
  <c r="N943" i="31"/>
  <c r="Q943" i="31" s="1"/>
  <c r="M943" i="31"/>
  <c r="H943" i="31"/>
  <c r="G943" i="31"/>
  <c r="F943" i="31"/>
  <c r="E943" i="31"/>
  <c r="N942" i="31"/>
  <c r="M942" i="31"/>
  <c r="H942" i="31"/>
  <c r="G942" i="31"/>
  <c r="F942" i="31"/>
  <c r="E942" i="31"/>
  <c r="N941" i="31"/>
  <c r="R941" i="31" s="1"/>
  <c r="M941" i="31"/>
  <c r="H941" i="31"/>
  <c r="G941" i="31"/>
  <c r="F941" i="31"/>
  <c r="E941" i="31"/>
  <c r="N940" i="31"/>
  <c r="S940" i="31" s="1"/>
  <c r="M940" i="31"/>
  <c r="H940" i="31"/>
  <c r="G940" i="31"/>
  <c r="F940" i="31"/>
  <c r="E940" i="31"/>
  <c r="N939" i="31"/>
  <c r="R939" i="31" s="1"/>
  <c r="M939" i="31"/>
  <c r="H939" i="31"/>
  <c r="G939" i="31"/>
  <c r="F939" i="31"/>
  <c r="E939" i="31"/>
  <c r="N938" i="31"/>
  <c r="R938" i="31" s="1"/>
  <c r="M938" i="31"/>
  <c r="H938" i="31"/>
  <c r="G938" i="31"/>
  <c r="F938" i="31"/>
  <c r="E938" i="31"/>
  <c r="N937" i="31"/>
  <c r="S937" i="31" s="1"/>
  <c r="M937" i="31"/>
  <c r="H937" i="31"/>
  <c r="G937" i="31"/>
  <c r="F937" i="31"/>
  <c r="E937" i="31"/>
  <c r="N936" i="31"/>
  <c r="R936" i="31" s="1"/>
  <c r="M936" i="31"/>
  <c r="H936" i="31"/>
  <c r="G936" i="31"/>
  <c r="F936" i="31"/>
  <c r="E936" i="31"/>
  <c r="N935" i="31"/>
  <c r="S935" i="31" s="1"/>
  <c r="M935" i="31"/>
  <c r="H935" i="31"/>
  <c r="G935" i="31"/>
  <c r="F935" i="31"/>
  <c r="E935" i="31"/>
  <c r="N934" i="31"/>
  <c r="Q934" i="31" s="1"/>
  <c r="M934" i="31"/>
  <c r="H934" i="31"/>
  <c r="G934" i="31"/>
  <c r="F934" i="31"/>
  <c r="E934" i="31"/>
  <c r="N933" i="31"/>
  <c r="M933" i="31"/>
  <c r="H933" i="31"/>
  <c r="G933" i="31"/>
  <c r="F933" i="31"/>
  <c r="E933" i="31"/>
  <c r="N932" i="31"/>
  <c r="S932" i="31" s="1"/>
  <c r="M932" i="31"/>
  <c r="H932" i="31"/>
  <c r="G932" i="31"/>
  <c r="F932" i="31"/>
  <c r="E932" i="31"/>
  <c r="N931" i="31"/>
  <c r="R931" i="31" s="1"/>
  <c r="M931" i="31"/>
  <c r="H931" i="31"/>
  <c r="G931" i="31"/>
  <c r="F931" i="31"/>
  <c r="E931" i="31"/>
  <c r="N930" i="31"/>
  <c r="M930" i="31"/>
  <c r="H930" i="31"/>
  <c r="G930" i="31"/>
  <c r="F930" i="31"/>
  <c r="E930" i="31"/>
  <c r="N929" i="31"/>
  <c r="M929" i="31"/>
  <c r="H929" i="31"/>
  <c r="G929" i="31"/>
  <c r="F929" i="31"/>
  <c r="E929" i="31"/>
  <c r="N928" i="31"/>
  <c r="R928" i="31" s="1"/>
  <c r="M928" i="31"/>
  <c r="H928" i="31"/>
  <c r="G928" i="31"/>
  <c r="F928" i="31"/>
  <c r="E928" i="31"/>
  <c r="N927" i="31"/>
  <c r="S927" i="31" s="1"/>
  <c r="M927" i="31"/>
  <c r="H927" i="31"/>
  <c r="G927" i="31"/>
  <c r="F927" i="31"/>
  <c r="E927" i="31"/>
  <c r="N926" i="31"/>
  <c r="S926" i="31" s="1"/>
  <c r="M926" i="31"/>
  <c r="H926" i="31"/>
  <c r="G926" i="31"/>
  <c r="F926" i="31"/>
  <c r="E926" i="31"/>
  <c r="N925" i="31"/>
  <c r="R925" i="31" s="1"/>
  <c r="M925" i="31"/>
  <c r="H925" i="31"/>
  <c r="G925" i="31"/>
  <c r="F925" i="31"/>
  <c r="E925" i="31"/>
  <c r="N924" i="31"/>
  <c r="M924" i="31"/>
  <c r="H924" i="31"/>
  <c r="G924" i="31"/>
  <c r="F924" i="31"/>
  <c r="E924" i="31"/>
  <c r="N923" i="31"/>
  <c r="M923" i="31"/>
  <c r="H923" i="31"/>
  <c r="G923" i="31"/>
  <c r="F923" i="31"/>
  <c r="E923" i="31"/>
  <c r="N922" i="31"/>
  <c r="M922" i="31"/>
  <c r="H922" i="31"/>
  <c r="G922" i="31"/>
  <c r="F922" i="31"/>
  <c r="E922" i="31"/>
  <c r="N921" i="31"/>
  <c r="S921" i="31" s="1"/>
  <c r="M921" i="31"/>
  <c r="H921" i="31"/>
  <c r="G921" i="31"/>
  <c r="F921" i="31"/>
  <c r="E921" i="31"/>
  <c r="N920" i="31"/>
  <c r="M920" i="31"/>
  <c r="H920" i="31"/>
  <c r="G920" i="31"/>
  <c r="F920" i="31"/>
  <c r="E920" i="31"/>
  <c r="N919" i="31"/>
  <c r="M919" i="31"/>
  <c r="H919" i="31"/>
  <c r="G919" i="31"/>
  <c r="F919" i="31"/>
  <c r="E919" i="31"/>
  <c r="N918" i="31"/>
  <c r="M918" i="31"/>
  <c r="H918" i="31"/>
  <c r="G918" i="31"/>
  <c r="F918" i="31"/>
  <c r="E918" i="31"/>
  <c r="N917" i="31"/>
  <c r="S917" i="31" s="1"/>
  <c r="M917" i="31"/>
  <c r="H917" i="31"/>
  <c r="G917" i="31"/>
  <c r="F917" i="31"/>
  <c r="E917" i="31"/>
  <c r="N916" i="31"/>
  <c r="S916" i="31" s="1"/>
  <c r="M916" i="31"/>
  <c r="H916" i="31"/>
  <c r="G916" i="31"/>
  <c r="F916" i="31"/>
  <c r="E916" i="31"/>
  <c r="N915" i="31"/>
  <c r="R915" i="31" s="1"/>
  <c r="M915" i="31"/>
  <c r="H915" i="31"/>
  <c r="G915" i="31"/>
  <c r="F915" i="31"/>
  <c r="E915" i="31"/>
  <c r="N914" i="31"/>
  <c r="M914" i="31"/>
  <c r="H914" i="31"/>
  <c r="G914" i="31"/>
  <c r="F914" i="31"/>
  <c r="E914" i="31"/>
  <c r="N913" i="31"/>
  <c r="J913" i="31"/>
  <c r="I913" i="31"/>
  <c r="H913" i="31"/>
  <c r="E913" i="31"/>
  <c r="N912" i="31"/>
  <c r="M912" i="31"/>
  <c r="K912" i="31"/>
  <c r="H912" i="31"/>
  <c r="G912" i="31"/>
  <c r="F912" i="31"/>
  <c r="E912" i="31"/>
  <c r="D912" i="31"/>
  <c r="C912" i="31"/>
  <c r="B912" i="31"/>
  <c r="N911" i="31"/>
  <c r="M911" i="31"/>
  <c r="K911" i="31"/>
  <c r="H911" i="31"/>
  <c r="G911" i="31"/>
  <c r="F911" i="31"/>
  <c r="E911" i="31"/>
  <c r="D911" i="31"/>
  <c r="C911" i="31"/>
  <c r="B911" i="31"/>
  <c r="N910" i="31"/>
  <c r="M910" i="31"/>
  <c r="K910" i="31"/>
  <c r="H910" i="31"/>
  <c r="G910" i="31"/>
  <c r="F910" i="31"/>
  <c r="E910" i="31"/>
  <c r="D910" i="31"/>
  <c r="C910" i="31"/>
  <c r="B910" i="31"/>
  <c r="N909" i="31"/>
  <c r="M909" i="31"/>
  <c r="K909" i="31"/>
  <c r="H909" i="31"/>
  <c r="G909" i="31"/>
  <c r="F909" i="31"/>
  <c r="E909" i="31"/>
  <c r="D909" i="31"/>
  <c r="C909" i="31"/>
  <c r="B909" i="31"/>
  <c r="N908" i="31"/>
  <c r="S908" i="31" s="1"/>
  <c r="M908" i="31"/>
  <c r="K908" i="31"/>
  <c r="H908" i="31"/>
  <c r="G908" i="31"/>
  <c r="F908" i="31"/>
  <c r="E908" i="31"/>
  <c r="D908" i="31"/>
  <c r="C908" i="31"/>
  <c r="B908" i="31"/>
  <c r="N907" i="31"/>
  <c r="Q907" i="31" s="1"/>
  <c r="M907" i="31"/>
  <c r="K907" i="31"/>
  <c r="H907" i="31"/>
  <c r="G907" i="31"/>
  <c r="F907" i="31"/>
  <c r="E907" i="31"/>
  <c r="D907" i="31"/>
  <c r="C907" i="31"/>
  <c r="B907" i="31"/>
  <c r="N906" i="31"/>
  <c r="M906" i="31"/>
  <c r="K906" i="31"/>
  <c r="H906" i="31"/>
  <c r="G906" i="31"/>
  <c r="F906" i="31"/>
  <c r="E906" i="31"/>
  <c r="D906" i="31"/>
  <c r="C906" i="31"/>
  <c r="B906" i="31"/>
  <c r="N905" i="31"/>
  <c r="Q905" i="31" s="1"/>
  <c r="M905" i="31"/>
  <c r="K905" i="31"/>
  <c r="H905" i="31"/>
  <c r="G905" i="31"/>
  <c r="F905" i="31"/>
  <c r="E905" i="31"/>
  <c r="D905" i="31"/>
  <c r="C905" i="31"/>
  <c r="B905" i="31"/>
  <c r="N904" i="31"/>
  <c r="M904" i="31"/>
  <c r="K904" i="31"/>
  <c r="H904" i="31"/>
  <c r="G904" i="31"/>
  <c r="F904" i="31"/>
  <c r="E904" i="31"/>
  <c r="D904" i="31"/>
  <c r="C904" i="31"/>
  <c r="B904" i="31"/>
  <c r="N903" i="31"/>
  <c r="M903" i="31"/>
  <c r="K903" i="31"/>
  <c r="H903" i="31"/>
  <c r="G903" i="31"/>
  <c r="F903" i="31"/>
  <c r="E903" i="31"/>
  <c r="D903" i="31"/>
  <c r="C903" i="31"/>
  <c r="B903" i="31"/>
  <c r="N902" i="31"/>
  <c r="S902" i="31" s="1"/>
  <c r="M902" i="31"/>
  <c r="K902" i="31"/>
  <c r="H902" i="31"/>
  <c r="G902" i="31"/>
  <c r="F902" i="31"/>
  <c r="E902" i="31"/>
  <c r="D902" i="31"/>
  <c r="C902" i="31"/>
  <c r="B902" i="31"/>
  <c r="N901" i="31"/>
  <c r="S901" i="31" s="1"/>
  <c r="M901" i="31"/>
  <c r="K901" i="31"/>
  <c r="H901" i="31"/>
  <c r="G901" i="31"/>
  <c r="F901" i="31"/>
  <c r="E901" i="31"/>
  <c r="D901" i="31"/>
  <c r="C901" i="31"/>
  <c r="B901" i="31"/>
  <c r="N900" i="31"/>
  <c r="S900" i="31" s="1"/>
  <c r="M900" i="31"/>
  <c r="K900" i="31"/>
  <c r="H900" i="31"/>
  <c r="G900" i="31"/>
  <c r="F900" i="31"/>
  <c r="E900" i="31"/>
  <c r="D900" i="31"/>
  <c r="C900" i="31"/>
  <c r="B900" i="31"/>
  <c r="N899" i="31"/>
  <c r="M899" i="31"/>
  <c r="K899" i="31"/>
  <c r="H899" i="31"/>
  <c r="G899" i="31"/>
  <c r="F899" i="31"/>
  <c r="E899" i="31"/>
  <c r="D899" i="31"/>
  <c r="C899" i="31"/>
  <c r="B899" i="31"/>
  <c r="N898" i="31"/>
  <c r="M898" i="31"/>
  <c r="K898" i="31"/>
  <c r="H898" i="31"/>
  <c r="G898" i="31"/>
  <c r="F898" i="31"/>
  <c r="E898" i="31"/>
  <c r="D898" i="31"/>
  <c r="C898" i="31"/>
  <c r="B898" i="31"/>
  <c r="N897" i="31"/>
  <c r="Q897" i="31" s="1"/>
  <c r="M897" i="31"/>
  <c r="K897" i="31"/>
  <c r="H897" i="31"/>
  <c r="G897" i="31"/>
  <c r="F897" i="31"/>
  <c r="E897" i="31"/>
  <c r="D897" i="31"/>
  <c r="C897" i="31"/>
  <c r="B897" i="31"/>
  <c r="N896" i="31"/>
  <c r="Q896" i="31" s="1"/>
  <c r="M896" i="31"/>
  <c r="K896" i="31"/>
  <c r="H896" i="31"/>
  <c r="G896" i="31"/>
  <c r="F896" i="31"/>
  <c r="E896" i="31"/>
  <c r="D896" i="31"/>
  <c r="C896" i="31"/>
  <c r="B896" i="31"/>
  <c r="N895" i="31"/>
  <c r="M895" i="31"/>
  <c r="K895" i="31"/>
  <c r="H895" i="31"/>
  <c r="G895" i="31"/>
  <c r="F895" i="31"/>
  <c r="E895" i="31"/>
  <c r="D895" i="31"/>
  <c r="C895" i="31"/>
  <c r="B895" i="31"/>
  <c r="N894" i="31"/>
  <c r="Q894" i="31" s="1"/>
  <c r="M894" i="31"/>
  <c r="K894" i="31"/>
  <c r="H894" i="31"/>
  <c r="G894" i="31"/>
  <c r="F894" i="31"/>
  <c r="E894" i="31"/>
  <c r="D894" i="31"/>
  <c r="C894" i="31"/>
  <c r="B894" i="31"/>
  <c r="N893" i="31"/>
  <c r="S893" i="31" s="1"/>
  <c r="M893" i="31"/>
  <c r="K893" i="31"/>
  <c r="H893" i="31"/>
  <c r="G893" i="31"/>
  <c r="F893" i="31"/>
  <c r="E893" i="31"/>
  <c r="D893" i="31"/>
  <c r="C893" i="31"/>
  <c r="B893" i="31"/>
  <c r="N892" i="31"/>
  <c r="M892" i="31"/>
  <c r="K892" i="31"/>
  <c r="H892" i="31"/>
  <c r="G892" i="31"/>
  <c r="F892" i="31"/>
  <c r="E892" i="31"/>
  <c r="D892" i="31"/>
  <c r="C892" i="31"/>
  <c r="B892" i="31"/>
  <c r="N891" i="31"/>
  <c r="Q891" i="31" s="1"/>
  <c r="M891" i="31"/>
  <c r="K891" i="31"/>
  <c r="H891" i="31"/>
  <c r="G891" i="31"/>
  <c r="F891" i="31"/>
  <c r="E891" i="31"/>
  <c r="D891" i="31"/>
  <c r="C891" i="31"/>
  <c r="B891" i="31"/>
  <c r="N890" i="31"/>
  <c r="M890" i="31"/>
  <c r="K890" i="31"/>
  <c r="H890" i="31"/>
  <c r="G890" i="31"/>
  <c r="F890" i="31"/>
  <c r="E890" i="31"/>
  <c r="D890" i="31"/>
  <c r="C890" i="31"/>
  <c r="B890" i="31"/>
  <c r="N889" i="31"/>
  <c r="M889" i="31"/>
  <c r="K889" i="31"/>
  <c r="H889" i="31"/>
  <c r="G889" i="31"/>
  <c r="F889" i="31"/>
  <c r="E889" i="31"/>
  <c r="D889" i="31"/>
  <c r="C889" i="31"/>
  <c r="B889" i="31"/>
  <c r="N888" i="31"/>
  <c r="Q888" i="31" s="1"/>
  <c r="M888" i="31"/>
  <c r="K888" i="31"/>
  <c r="H888" i="31"/>
  <c r="G888" i="31"/>
  <c r="F888" i="31"/>
  <c r="E888" i="31"/>
  <c r="D888" i="31"/>
  <c r="C888" i="31"/>
  <c r="B888" i="31"/>
  <c r="N887" i="31"/>
  <c r="R887" i="31" s="1"/>
  <c r="M887" i="31"/>
  <c r="K887" i="31"/>
  <c r="H887" i="31"/>
  <c r="G887" i="31"/>
  <c r="F887" i="31"/>
  <c r="E887" i="31"/>
  <c r="D887" i="31"/>
  <c r="C887" i="31"/>
  <c r="B887" i="31"/>
  <c r="N886" i="31"/>
  <c r="M886" i="31"/>
  <c r="K886" i="31"/>
  <c r="H886" i="31"/>
  <c r="G886" i="31"/>
  <c r="F886" i="31"/>
  <c r="E886" i="31"/>
  <c r="D886" i="31"/>
  <c r="C886" i="31"/>
  <c r="B886" i="31"/>
  <c r="N885" i="31"/>
  <c r="M885" i="31"/>
  <c r="K885" i="31"/>
  <c r="H885" i="31"/>
  <c r="G885" i="31"/>
  <c r="F885" i="31"/>
  <c r="E885" i="31"/>
  <c r="D885" i="31"/>
  <c r="C885" i="31"/>
  <c r="B885" i="31"/>
  <c r="N884" i="31"/>
  <c r="S884" i="31" s="1"/>
  <c r="M884" i="31"/>
  <c r="K884" i="31"/>
  <c r="H884" i="31"/>
  <c r="G884" i="31"/>
  <c r="F884" i="31"/>
  <c r="E884" i="31"/>
  <c r="D884" i="31"/>
  <c r="C884" i="31"/>
  <c r="B884" i="31"/>
  <c r="N883" i="31"/>
  <c r="M883" i="31"/>
  <c r="K883" i="31"/>
  <c r="H883" i="31"/>
  <c r="G883" i="31"/>
  <c r="F883" i="31"/>
  <c r="E883" i="31"/>
  <c r="D883" i="31"/>
  <c r="C883" i="31"/>
  <c r="B883" i="31"/>
  <c r="N882" i="31"/>
  <c r="M882" i="31"/>
  <c r="K882" i="31"/>
  <c r="H882" i="31"/>
  <c r="G882" i="31"/>
  <c r="F882" i="31"/>
  <c r="E882" i="31"/>
  <c r="D882" i="31"/>
  <c r="C882" i="31"/>
  <c r="B882" i="31"/>
  <c r="N881" i="31"/>
  <c r="M881" i="31"/>
  <c r="K881" i="31"/>
  <c r="H881" i="31"/>
  <c r="G881" i="31"/>
  <c r="F881" i="31"/>
  <c r="E881" i="31"/>
  <c r="D881" i="31"/>
  <c r="C881" i="31"/>
  <c r="B881" i="31"/>
  <c r="N880" i="31"/>
  <c r="M880" i="31"/>
  <c r="J880" i="31"/>
  <c r="I880" i="31"/>
  <c r="H880" i="31"/>
  <c r="G880" i="31"/>
  <c r="F880" i="31"/>
  <c r="E880" i="31"/>
  <c r="H879" i="31"/>
  <c r="G879" i="31"/>
  <c r="F879" i="31"/>
  <c r="E879" i="31"/>
  <c r="N878" i="31"/>
  <c r="M878" i="31"/>
  <c r="H878" i="31"/>
  <c r="G878" i="31"/>
  <c r="F878" i="31"/>
  <c r="E878" i="31"/>
  <c r="H877" i="31"/>
  <c r="G877" i="31"/>
  <c r="F877" i="31"/>
  <c r="E877" i="31"/>
  <c r="N876" i="31"/>
  <c r="M876" i="31"/>
  <c r="H876" i="31"/>
  <c r="G876" i="31"/>
  <c r="F876" i="31"/>
  <c r="E876" i="31"/>
  <c r="N875" i="31"/>
  <c r="Q875" i="31" s="1"/>
  <c r="M875" i="31"/>
  <c r="H875" i="31"/>
  <c r="G875" i="31"/>
  <c r="F875" i="31"/>
  <c r="E875" i="31"/>
  <c r="N874" i="31"/>
  <c r="Q874" i="31" s="1"/>
  <c r="M874" i="31"/>
  <c r="H874" i="31"/>
  <c r="G874" i="31"/>
  <c r="F874" i="31"/>
  <c r="E874" i="31"/>
  <c r="N873" i="31"/>
  <c r="M873" i="31"/>
  <c r="H873" i="31"/>
  <c r="G873" i="31"/>
  <c r="F873" i="31"/>
  <c r="E873" i="31"/>
  <c r="N872" i="31"/>
  <c r="R872" i="31" s="1"/>
  <c r="M872" i="31"/>
  <c r="H872" i="31"/>
  <c r="G872" i="31"/>
  <c r="F872" i="31"/>
  <c r="E872" i="31"/>
  <c r="N871" i="31"/>
  <c r="S871" i="31" s="1"/>
  <c r="M871" i="31"/>
  <c r="H871" i="31"/>
  <c r="G871" i="31"/>
  <c r="F871" i="31"/>
  <c r="E871" i="31"/>
  <c r="N870" i="31"/>
  <c r="Q870" i="31" s="1"/>
  <c r="M870" i="31"/>
  <c r="H870" i="31"/>
  <c r="G870" i="31"/>
  <c r="F870" i="31"/>
  <c r="E870" i="31"/>
  <c r="N869" i="31"/>
  <c r="R869" i="31" s="1"/>
  <c r="M869" i="31"/>
  <c r="H869" i="31"/>
  <c r="G869" i="31"/>
  <c r="F869" i="31"/>
  <c r="E869" i="31"/>
  <c r="N868" i="31"/>
  <c r="Q868" i="31" s="1"/>
  <c r="M868" i="31"/>
  <c r="H868" i="31"/>
  <c r="G868" i="31"/>
  <c r="F868" i="31"/>
  <c r="E868" i="31"/>
  <c r="H867" i="31"/>
  <c r="G867" i="31"/>
  <c r="F867" i="31"/>
  <c r="E867" i="31"/>
  <c r="N866" i="31"/>
  <c r="M866" i="31"/>
  <c r="H866" i="31"/>
  <c r="G866" i="31"/>
  <c r="F866" i="31"/>
  <c r="E866" i="31"/>
  <c r="N865" i="31"/>
  <c r="M865" i="31"/>
  <c r="H865" i="31"/>
  <c r="G865" i="31"/>
  <c r="F865" i="31"/>
  <c r="E865" i="31"/>
  <c r="N864" i="31"/>
  <c r="R864" i="31" s="1"/>
  <c r="M864" i="31"/>
  <c r="H864" i="31"/>
  <c r="G864" i="31"/>
  <c r="F864" i="31"/>
  <c r="E864" i="31"/>
  <c r="N863" i="31"/>
  <c r="M863" i="31"/>
  <c r="H863" i="31"/>
  <c r="G863" i="31"/>
  <c r="F863" i="31"/>
  <c r="E863" i="31"/>
  <c r="N862" i="31"/>
  <c r="S862" i="31" s="1"/>
  <c r="M862" i="31"/>
  <c r="H862" i="31"/>
  <c r="G862" i="31"/>
  <c r="F862" i="31"/>
  <c r="E862" i="31"/>
  <c r="N861" i="31"/>
  <c r="M861" i="31"/>
  <c r="J861" i="31"/>
  <c r="I861" i="31"/>
  <c r="H861" i="31"/>
  <c r="F861" i="31"/>
  <c r="N860" i="31"/>
  <c r="M860" i="31"/>
  <c r="J860" i="31"/>
  <c r="I860" i="31"/>
  <c r="H860" i="31"/>
  <c r="F860" i="31"/>
  <c r="N859" i="31"/>
  <c r="M859" i="31"/>
  <c r="J859" i="31"/>
  <c r="I859" i="31"/>
  <c r="H859" i="31"/>
  <c r="F859" i="31"/>
  <c r="N858" i="31"/>
  <c r="P861" i="31" s="1"/>
  <c r="M858" i="31"/>
  <c r="H858" i="31"/>
  <c r="F858" i="31"/>
  <c r="E858" i="31"/>
  <c r="N857" i="31"/>
  <c r="M857" i="31"/>
  <c r="J857" i="31"/>
  <c r="I857" i="31"/>
  <c r="H857" i="31"/>
  <c r="F857" i="31"/>
  <c r="N856" i="31"/>
  <c r="M856" i="31"/>
  <c r="J856" i="31"/>
  <c r="I856" i="31"/>
  <c r="H856" i="31"/>
  <c r="F856" i="31"/>
  <c r="N855" i="31"/>
  <c r="M855" i="31"/>
  <c r="J855" i="31"/>
  <c r="I855" i="31"/>
  <c r="H855" i="31"/>
  <c r="F855" i="31"/>
  <c r="N854" i="31"/>
  <c r="P855" i="31" s="1"/>
  <c r="M854" i="31"/>
  <c r="H854" i="31"/>
  <c r="F854" i="31"/>
  <c r="E854" i="31"/>
  <c r="N853" i="31"/>
  <c r="J853" i="31"/>
  <c r="I853" i="31"/>
  <c r="H853" i="31"/>
  <c r="E853" i="31"/>
  <c r="N852" i="31"/>
  <c r="R852" i="31" s="1"/>
  <c r="M852" i="31"/>
  <c r="K852" i="31"/>
  <c r="H852" i="31"/>
  <c r="G852" i="31"/>
  <c r="F852" i="31"/>
  <c r="E852" i="31"/>
  <c r="D852" i="31"/>
  <c r="C852" i="31"/>
  <c r="B852" i="31"/>
  <c r="N851" i="31"/>
  <c r="S851" i="31" s="1"/>
  <c r="M851" i="31"/>
  <c r="K851" i="31"/>
  <c r="H851" i="31"/>
  <c r="G851" i="31"/>
  <c r="F851" i="31"/>
  <c r="E851" i="31"/>
  <c r="D851" i="31"/>
  <c r="C851" i="31"/>
  <c r="B851" i="31"/>
  <c r="N850" i="31"/>
  <c r="S850" i="31" s="1"/>
  <c r="M850" i="31"/>
  <c r="K850" i="31"/>
  <c r="H850" i="31"/>
  <c r="G850" i="31"/>
  <c r="F850" i="31"/>
  <c r="E850" i="31"/>
  <c r="D850" i="31"/>
  <c r="C850" i="31"/>
  <c r="B850" i="31"/>
  <c r="N849" i="31"/>
  <c r="S849" i="31" s="1"/>
  <c r="M849" i="31"/>
  <c r="K849" i="31"/>
  <c r="H849" i="31"/>
  <c r="G849" i="31"/>
  <c r="F849" i="31"/>
  <c r="E849" i="31"/>
  <c r="D849" i="31"/>
  <c r="C849" i="31"/>
  <c r="B849" i="31"/>
  <c r="N848" i="31"/>
  <c r="S848" i="31" s="1"/>
  <c r="M848" i="31"/>
  <c r="K848" i="31"/>
  <c r="H848" i="31"/>
  <c r="G848" i="31"/>
  <c r="F848" i="31"/>
  <c r="E848" i="31"/>
  <c r="D848" i="31"/>
  <c r="C848" i="31"/>
  <c r="B848" i="31"/>
  <c r="N847" i="31"/>
  <c r="S847" i="31" s="1"/>
  <c r="M847" i="31"/>
  <c r="K847" i="31"/>
  <c r="H847" i="31"/>
  <c r="G847" i="31"/>
  <c r="F847" i="31"/>
  <c r="E847" i="31"/>
  <c r="D847" i="31"/>
  <c r="C847" i="31"/>
  <c r="B847" i="31"/>
  <c r="N846" i="31"/>
  <c r="Q846" i="31" s="1"/>
  <c r="M846" i="31"/>
  <c r="K846" i="31"/>
  <c r="H846" i="31"/>
  <c r="G846" i="31"/>
  <c r="F846" i="31"/>
  <c r="E846" i="31"/>
  <c r="D846" i="31"/>
  <c r="C846" i="31"/>
  <c r="B846" i="31"/>
  <c r="N845" i="31"/>
  <c r="M845" i="31"/>
  <c r="K845" i="31"/>
  <c r="H845" i="31"/>
  <c r="G845" i="31"/>
  <c r="F845" i="31"/>
  <c r="E845" i="31"/>
  <c r="D845" i="31"/>
  <c r="C845" i="31"/>
  <c r="B845" i="31"/>
  <c r="N844" i="31"/>
  <c r="M844" i="31"/>
  <c r="K844" i="31"/>
  <c r="H844" i="31"/>
  <c r="G844" i="31"/>
  <c r="F844" i="31"/>
  <c r="E844" i="31"/>
  <c r="D844" i="31"/>
  <c r="C844" i="31"/>
  <c r="B844" i="31"/>
  <c r="N843" i="31"/>
  <c r="S843" i="31" s="1"/>
  <c r="M843" i="31"/>
  <c r="K843" i="31"/>
  <c r="H843" i="31"/>
  <c r="G843" i="31"/>
  <c r="F843" i="31"/>
  <c r="E843" i="31"/>
  <c r="D843" i="31"/>
  <c r="C843" i="31"/>
  <c r="B843" i="31"/>
  <c r="N842" i="31"/>
  <c r="Q842" i="31" s="1"/>
  <c r="M842" i="31"/>
  <c r="K842" i="31"/>
  <c r="H842" i="31"/>
  <c r="G842" i="31"/>
  <c r="F842" i="31"/>
  <c r="E842" i="31"/>
  <c r="D842" i="31"/>
  <c r="C842" i="31"/>
  <c r="B842" i="31"/>
  <c r="N841" i="31"/>
  <c r="S841" i="31" s="1"/>
  <c r="M841" i="31"/>
  <c r="K841" i="31"/>
  <c r="H841" i="31"/>
  <c r="G841" i="31"/>
  <c r="F841" i="31"/>
  <c r="E841" i="31"/>
  <c r="D841" i="31"/>
  <c r="C841" i="31"/>
  <c r="B841" i="31"/>
  <c r="N840" i="31"/>
  <c r="S840" i="31" s="1"/>
  <c r="M840" i="31"/>
  <c r="K840" i="31"/>
  <c r="H840" i="31"/>
  <c r="G840" i="31"/>
  <c r="F840" i="31"/>
  <c r="E840" i="31"/>
  <c r="D840" i="31"/>
  <c r="C840" i="31"/>
  <c r="B840" i="31"/>
  <c r="N839" i="31"/>
  <c r="S839" i="31" s="1"/>
  <c r="M839" i="31"/>
  <c r="K839" i="31"/>
  <c r="H839" i="31"/>
  <c r="G839" i="31"/>
  <c r="F839" i="31"/>
  <c r="E839" i="31"/>
  <c r="D839" i="31"/>
  <c r="C839" i="31"/>
  <c r="B839" i="31"/>
  <c r="N838" i="31"/>
  <c r="S838" i="31" s="1"/>
  <c r="M838" i="31"/>
  <c r="K838" i="31"/>
  <c r="H838" i="31"/>
  <c r="G838" i="31"/>
  <c r="F838" i="31"/>
  <c r="E838" i="31"/>
  <c r="D838" i="31"/>
  <c r="C838" i="31"/>
  <c r="B838" i="31"/>
  <c r="N837" i="31"/>
  <c r="Q837" i="31" s="1"/>
  <c r="M837" i="31"/>
  <c r="K837" i="31"/>
  <c r="H837" i="31"/>
  <c r="G837" i="31"/>
  <c r="F837" i="31"/>
  <c r="E837" i="31"/>
  <c r="D837" i="31"/>
  <c r="C837" i="31"/>
  <c r="B837" i="31"/>
  <c r="N836" i="31"/>
  <c r="R836" i="31" s="1"/>
  <c r="M836" i="31"/>
  <c r="K836" i="31"/>
  <c r="H836" i="31"/>
  <c r="G836" i="31"/>
  <c r="F836" i="31"/>
  <c r="E836" i="31"/>
  <c r="D836" i="31"/>
  <c r="C836" i="31"/>
  <c r="B836" i="31"/>
  <c r="N835" i="31"/>
  <c r="M835" i="31"/>
  <c r="K835" i="31"/>
  <c r="H835" i="31"/>
  <c r="G835" i="31"/>
  <c r="F835" i="31"/>
  <c r="E835" i="31"/>
  <c r="D835" i="31"/>
  <c r="C835" i="31"/>
  <c r="B835" i="31"/>
  <c r="N834" i="31"/>
  <c r="S834" i="31" s="1"/>
  <c r="M834" i="31"/>
  <c r="K834" i="31"/>
  <c r="H834" i="31"/>
  <c r="G834" i="31"/>
  <c r="F834" i="31"/>
  <c r="E834" i="31"/>
  <c r="D834" i="31"/>
  <c r="C834" i="31"/>
  <c r="B834" i="31"/>
  <c r="N833" i="31"/>
  <c r="S833" i="31" s="1"/>
  <c r="M833" i="31"/>
  <c r="K833" i="31"/>
  <c r="H833" i="31"/>
  <c r="G833" i="31"/>
  <c r="F833" i="31"/>
  <c r="E833" i="31"/>
  <c r="D833" i="31"/>
  <c r="C833" i="31"/>
  <c r="B833" i="31"/>
  <c r="N832" i="31"/>
  <c r="S832" i="31" s="1"/>
  <c r="M832" i="31"/>
  <c r="K832" i="31"/>
  <c r="H832" i="31"/>
  <c r="G832" i="31"/>
  <c r="F832" i="31"/>
  <c r="E832" i="31"/>
  <c r="D832" i="31"/>
  <c r="C832" i="31"/>
  <c r="B832" i="31"/>
  <c r="N831" i="31"/>
  <c r="S831" i="31" s="1"/>
  <c r="M831" i="31"/>
  <c r="K831" i="31"/>
  <c r="H831" i="31"/>
  <c r="G831" i="31"/>
  <c r="F831" i="31"/>
  <c r="E831" i="31"/>
  <c r="D831" i="31"/>
  <c r="C831" i="31"/>
  <c r="B831" i="31"/>
  <c r="N830" i="31"/>
  <c r="R830" i="31" s="1"/>
  <c r="M830" i="31"/>
  <c r="K830" i="31"/>
  <c r="H830" i="31"/>
  <c r="G830" i="31"/>
  <c r="F830" i="31"/>
  <c r="E830" i="31"/>
  <c r="D830" i="31"/>
  <c r="C830" i="31"/>
  <c r="B830" i="31"/>
  <c r="N829" i="31"/>
  <c r="Q829" i="31" s="1"/>
  <c r="M829" i="31"/>
  <c r="K829" i="31"/>
  <c r="H829" i="31"/>
  <c r="G829" i="31"/>
  <c r="F829" i="31"/>
  <c r="E829" i="31"/>
  <c r="D829" i="31"/>
  <c r="C829" i="31"/>
  <c r="B829" i="31"/>
  <c r="N828" i="31"/>
  <c r="R828" i="31" s="1"/>
  <c r="M828" i="31"/>
  <c r="K828" i="31"/>
  <c r="H828" i="31"/>
  <c r="G828" i="31"/>
  <c r="F828" i="31"/>
  <c r="E828" i="31"/>
  <c r="D828" i="31"/>
  <c r="C828" i="31"/>
  <c r="B828" i="31"/>
  <c r="N827" i="31"/>
  <c r="M827" i="31"/>
  <c r="K827" i="31"/>
  <c r="H827" i="31"/>
  <c r="G827" i="31"/>
  <c r="F827" i="31"/>
  <c r="E827" i="31"/>
  <c r="D827" i="31"/>
  <c r="C827" i="31"/>
  <c r="B827" i="31"/>
  <c r="N826" i="31"/>
  <c r="S826" i="31" s="1"/>
  <c r="M826" i="31"/>
  <c r="K826" i="31"/>
  <c r="H826" i="31"/>
  <c r="G826" i="31"/>
  <c r="F826" i="31"/>
  <c r="E826" i="31"/>
  <c r="D826" i="31"/>
  <c r="C826" i="31"/>
  <c r="B826" i="31"/>
  <c r="K825" i="31"/>
  <c r="H825" i="31"/>
  <c r="G825" i="31"/>
  <c r="F825" i="31"/>
  <c r="E825" i="31"/>
  <c r="D825" i="31"/>
  <c r="C825" i="31"/>
  <c r="B825" i="31"/>
  <c r="N824" i="31"/>
  <c r="S824" i="31" s="1"/>
  <c r="M824" i="31"/>
  <c r="K824" i="31"/>
  <c r="H824" i="31"/>
  <c r="F824" i="31"/>
  <c r="E824" i="31"/>
  <c r="D824" i="31"/>
  <c r="C824" i="31"/>
  <c r="B824" i="31"/>
  <c r="N823" i="31"/>
  <c r="M823" i="31"/>
  <c r="K823" i="31"/>
  <c r="H823" i="31"/>
  <c r="F823" i="31"/>
  <c r="E823" i="31"/>
  <c r="D823" i="31"/>
  <c r="C823" i="31"/>
  <c r="B823" i="31"/>
  <c r="N822" i="31"/>
  <c r="S822" i="31" s="1"/>
  <c r="M822" i="31"/>
  <c r="K822" i="31"/>
  <c r="H822" i="31"/>
  <c r="F822" i="31"/>
  <c r="E822" i="31"/>
  <c r="D822" i="31"/>
  <c r="C822" i="31"/>
  <c r="B822" i="31"/>
  <c r="K821" i="31"/>
  <c r="H821" i="31"/>
  <c r="F821" i="31"/>
  <c r="E821" i="31"/>
  <c r="D821" i="31"/>
  <c r="C821" i="31"/>
  <c r="B821" i="31"/>
  <c r="N820" i="31"/>
  <c r="M820" i="31"/>
  <c r="I820" i="31"/>
  <c r="H820" i="31"/>
  <c r="G820" i="31"/>
  <c r="F820" i="31"/>
  <c r="E820" i="31"/>
  <c r="N819" i="31"/>
  <c r="R819" i="31" s="1"/>
  <c r="M819" i="31"/>
  <c r="H819" i="31"/>
  <c r="G819" i="31"/>
  <c r="F819" i="31"/>
  <c r="E819" i="31"/>
  <c r="N818" i="31"/>
  <c r="S818" i="31" s="1"/>
  <c r="M818" i="31"/>
  <c r="H818" i="31"/>
  <c r="G818" i="31"/>
  <c r="F818" i="31"/>
  <c r="E818" i="31"/>
  <c r="N817" i="31"/>
  <c r="R817" i="31" s="1"/>
  <c r="M817" i="31"/>
  <c r="H817" i="31"/>
  <c r="G817" i="31"/>
  <c r="F817" i="31"/>
  <c r="E817" i="31"/>
  <c r="N816" i="31"/>
  <c r="S816" i="31" s="1"/>
  <c r="M816" i="31"/>
  <c r="H816" i="31"/>
  <c r="G816" i="31"/>
  <c r="F816" i="31"/>
  <c r="E816" i="31"/>
  <c r="N815" i="31"/>
  <c r="S815" i="31" s="1"/>
  <c r="M815" i="31"/>
  <c r="H815" i="31"/>
  <c r="G815" i="31"/>
  <c r="F815" i="31"/>
  <c r="E815" i="31"/>
  <c r="N814" i="31"/>
  <c r="Q814" i="31" s="1"/>
  <c r="M814" i="31"/>
  <c r="H814" i="31"/>
  <c r="G814" i="31"/>
  <c r="F814" i="31"/>
  <c r="E814" i="31"/>
  <c r="N813" i="31"/>
  <c r="S813" i="31" s="1"/>
  <c r="M813" i="31"/>
  <c r="H813" i="31"/>
  <c r="G813" i="31"/>
  <c r="F813" i="31"/>
  <c r="E813" i="31"/>
  <c r="N812" i="31"/>
  <c r="S812" i="31" s="1"/>
  <c r="M812" i="31"/>
  <c r="H812" i="31"/>
  <c r="G812" i="31"/>
  <c r="F812" i="31"/>
  <c r="E812" i="31"/>
  <c r="H811" i="31"/>
  <c r="G811" i="31"/>
  <c r="F811" i="31"/>
  <c r="E811" i="31"/>
  <c r="N810" i="31"/>
  <c r="S810" i="31" s="1"/>
  <c r="M810" i="31"/>
  <c r="H810" i="31"/>
  <c r="G810" i="31"/>
  <c r="F810" i="31"/>
  <c r="E810" i="31"/>
  <c r="N809" i="31"/>
  <c r="R809" i="31" s="1"/>
  <c r="M809" i="31"/>
  <c r="H809" i="31"/>
  <c r="G809" i="31"/>
  <c r="F809" i="31"/>
  <c r="E809" i="31"/>
  <c r="H808" i="31"/>
  <c r="G808" i="31"/>
  <c r="F808" i="31"/>
  <c r="E808" i="31"/>
  <c r="N807" i="31"/>
  <c r="M807" i="31"/>
  <c r="H807" i="31"/>
  <c r="G807" i="31"/>
  <c r="F807" i="31"/>
  <c r="E807" i="31"/>
  <c r="N806" i="31"/>
  <c r="Q806" i="31" s="1"/>
  <c r="M806" i="31"/>
  <c r="H806" i="31"/>
  <c r="F806" i="31"/>
  <c r="N805" i="31"/>
  <c r="S805" i="31" s="1"/>
  <c r="M805" i="31"/>
  <c r="H805" i="31"/>
  <c r="F805" i="31"/>
  <c r="N804" i="31"/>
  <c r="S804" i="31" s="1"/>
  <c r="M804" i="31"/>
  <c r="H804" i="31"/>
  <c r="F804" i="31"/>
  <c r="N803" i="31"/>
  <c r="Q803" i="31" s="1"/>
  <c r="M803" i="31"/>
  <c r="H803" i="31"/>
  <c r="F803" i="31"/>
  <c r="N802" i="31"/>
  <c r="S802" i="31" s="1"/>
  <c r="M802" i="31"/>
  <c r="H802" i="31"/>
  <c r="F802" i="31"/>
  <c r="N801" i="31"/>
  <c r="R801" i="31" s="1"/>
  <c r="M801" i="31"/>
  <c r="H801" i="31"/>
  <c r="F801" i="31"/>
  <c r="N800" i="31"/>
  <c r="S800" i="31" s="1"/>
  <c r="M800" i="31"/>
  <c r="H800" i="31"/>
  <c r="F800" i="31"/>
  <c r="N799" i="31"/>
  <c r="Q799" i="31" s="1"/>
  <c r="M799" i="31"/>
  <c r="H799" i="31"/>
  <c r="N798" i="31"/>
  <c r="Q798" i="31" s="1"/>
  <c r="M798" i="31"/>
  <c r="H798" i="31"/>
  <c r="N797" i="31"/>
  <c r="S797" i="31" s="1"/>
  <c r="M797" i="31"/>
  <c r="H797" i="31"/>
  <c r="N796" i="31"/>
  <c r="S796" i="31" s="1"/>
  <c r="M796" i="31"/>
  <c r="H796" i="31"/>
  <c r="N795" i="31"/>
  <c r="R795" i="31" s="1"/>
  <c r="M795" i="31"/>
  <c r="H795" i="31"/>
  <c r="N794" i="31"/>
  <c r="S794" i="31" s="1"/>
  <c r="M794" i="31"/>
  <c r="H794" i="31"/>
  <c r="N793" i="31"/>
  <c r="R793" i="31" s="1"/>
  <c r="M793" i="31"/>
  <c r="H793" i="31"/>
  <c r="F793" i="31"/>
  <c r="N792" i="31"/>
  <c r="S792" i="31" s="1"/>
  <c r="M792" i="31"/>
  <c r="H792" i="31"/>
  <c r="F792" i="31"/>
  <c r="E792" i="31"/>
  <c r="N791" i="31"/>
  <c r="S791" i="31" s="1"/>
  <c r="M791" i="31"/>
  <c r="H791" i="31"/>
  <c r="F791" i="31"/>
  <c r="E791" i="31"/>
  <c r="N790" i="31"/>
  <c r="Q790" i="31" s="1"/>
  <c r="M790" i="31"/>
  <c r="H790" i="31"/>
  <c r="F790" i="31"/>
  <c r="N789" i="31"/>
  <c r="S789" i="31" s="1"/>
  <c r="M789" i="31"/>
  <c r="H789" i="31"/>
  <c r="F789" i="31"/>
  <c r="H788" i="31"/>
  <c r="F788" i="31"/>
  <c r="D788" i="31"/>
  <c r="C788" i="31"/>
  <c r="B788" i="31"/>
  <c r="N787" i="31"/>
  <c r="M787" i="31"/>
  <c r="J787" i="31"/>
  <c r="I787" i="31"/>
  <c r="H787" i="31"/>
  <c r="D787" i="31"/>
  <c r="C787" i="31"/>
  <c r="B787" i="31"/>
  <c r="N786" i="31"/>
  <c r="M786" i="31"/>
  <c r="J786" i="31"/>
  <c r="I786" i="31"/>
  <c r="H786" i="31"/>
  <c r="D786" i="31"/>
  <c r="C786" i="31"/>
  <c r="B786" i="31"/>
  <c r="N785" i="31"/>
  <c r="M785" i="31"/>
  <c r="J785" i="31"/>
  <c r="I785" i="31"/>
  <c r="H785" i="31"/>
  <c r="D785" i="31"/>
  <c r="C785" i="31"/>
  <c r="B785" i="31"/>
  <c r="N784" i="31"/>
  <c r="M784" i="31"/>
  <c r="J784" i="31"/>
  <c r="I784" i="31"/>
  <c r="H784" i="31"/>
  <c r="D784" i="31"/>
  <c r="C784" i="31"/>
  <c r="B784" i="31"/>
  <c r="N783" i="31"/>
  <c r="M783" i="31"/>
  <c r="H783" i="31"/>
  <c r="E783" i="31"/>
  <c r="C783" i="31"/>
  <c r="B783" i="31"/>
  <c r="H782" i="31"/>
  <c r="F782" i="31"/>
  <c r="D782" i="31"/>
  <c r="C782" i="31"/>
  <c r="B782" i="31"/>
  <c r="N781" i="31"/>
  <c r="M781" i="31"/>
  <c r="J781" i="31"/>
  <c r="I781" i="31"/>
  <c r="H781" i="31"/>
  <c r="D781" i="31"/>
  <c r="C781" i="31"/>
  <c r="B781" i="31"/>
  <c r="N780" i="31"/>
  <c r="M780" i="31"/>
  <c r="J780" i="31"/>
  <c r="I780" i="31"/>
  <c r="H780" i="31"/>
  <c r="D780" i="31"/>
  <c r="C780" i="31"/>
  <c r="B780" i="31"/>
  <c r="N779" i="31"/>
  <c r="M779" i="31"/>
  <c r="J779" i="31"/>
  <c r="I779" i="31"/>
  <c r="H779" i="31"/>
  <c r="D779" i="31"/>
  <c r="C779" i="31"/>
  <c r="B779" i="31"/>
  <c r="N778" i="31"/>
  <c r="M778" i="31"/>
  <c r="J778" i="31"/>
  <c r="I778" i="31"/>
  <c r="H778" i="31"/>
  <c r="D778" i="31"/>
  <c r="C778" i="31"/>
  <c r="B778" i="31"/>
  <c r="N777" i="31"/>
  <c r="M777" i="31"/>
  <c r="H777" i="31"/>
  <c r="E777" i="31"/>
  <c r="C777" i="31"/>
  <c r="B777" i="31"/>
  <c r="H776" i="31"/>
  <c r="F776" i="31"/>
  <c r="D776" i="31"/>
  <c r="C776" i="31"/>
  <c r="B776" i="31"/>
  <c r="N775" i="31"/>
  <c r="M775" i="31"/>
  <c r="J775" i="31"/>
  <c r="I775" i="31"/>
  <c r="H775" i="31"/>
  <c r="D775" i="31"/>
  <c r="C775" i="31"/>
  <c r="B775" i="31"/>
  <c r="N774" i="31"/>
  <c r="M774" i="31"/>
  <c r="J774" i="31"/>
  <c r="I774" i="31"/>
  <c r="H774" i="31"/>
  <c r="F774" i="31"/>
  <c r="D774" i="31"/>
  <c r="C774" i="31"/>
  <c r="B774" i="31"/>
  <c r="N773" i="31"/>
  <c r="M773" i="31"/>
  <c r="J773" i="31"/>
  <c r="I773" i="31"/>
  <c r="H773" i="31"/>
  <c r="F773" i="31"/>
  <c r="D773" i="31"/>
  <c r="C773" i="31"/>
  <c r="B773" i="31"/>
  <c r="N772" i="31"/>
  <c r="M772" i="31"/>
  <c r="J772" i="31"/>
  <c r="I772" i="31"/>
  <c r="H772" i="31"/>
  <c r="F772" i="31"/>
  <c r="D772" i="31"/>
  <c r="C772" i="31"/>
  <c r="B772" i="31"/>
  <c r="N771" i="31"/>
  <c r="P775" i="31" s="1"/>
  <c r="M771" i="31"/>
  <c r="H771" i="31"/>
  <c r="F771" i="31"/>
  <c r="L776" i="31" s="1"/>
  <c r="E771" i="31"/>
  <c r="D771" i="31"/>
  <c r="C771" i="31"/>
  <c r="B771" i="31"/>
  <c r="H770" i="31"/>
  <c r="F770" i="31"/>
  <c r="D770" i="31"/>
  <c r="C770" i="31"/>
  <c r="B770" i="31"/>
  <c r="N769" i="31"/>
  <c r="M769" i="31"/>
  <c r="J769" i="31"/>
  <c r="I769" i="31"/>
  <c r="H769" i="31"/>
  <c r="D769" i="31"/>
  <c r="C769" i="31"/>
  <c r="B769" i="31"/>
  <c r="N768" i="31"/>
  <c r="M768" i="31"/>
  <c r="J768" i="31"/>
  <c r="I768" i="31"/>
  <c r="H768" i="31"/>
  <c r="F768" i="31"/>
  <c r="D768" i="31"/>
  <c r="C768" i="31"/>
  <c r="B768" i="31"/>
  <c r="N767" i="31"/>
  <c r="M767" i="31"/>
  <c r="J767" i="31"/>
  <c r="I767" i="31"/>
  <c r="H767" i="31"/>
  <c r="F767" i="31"/>
  <c r="D767" i="31"/>
  <c r="C767" i="31"/>
  <c r="B767" i="31"/>
  <c r="N766" i="31"/>
  <c r="M766" i="31"/>
  <c r="J766" i="31"/>
  <c r="I766" i="31"/>
  <c r="H766" i="31"/>
  <c r="F766" i="31"/>
  <c r="D766" i="31"/>
  <c r="C766" i="31"/>
  <c r="B766" i="31"/>
  <c r="N765" i="31"/>
  <c r="P770" i="31" s="1"/>
  <c r="M765" i="31"/>
  <c r="H765" i="31"/>
  <c r="F765" i="31"/>
  <c r="L770" i="31" s="1"/>
  <c r="E765" i="31"/>
  <c r="D765" i="31"/>
  <c r="C765" i="31"/>
  <c r="B765" i="31"/>
  <c r="H764" i="31"/>
  <c r="F764" i="31"/>
  <c r="N763" i="31"/>
  <c r="M763" i="31"/>
  <c r="J763" i="31"/>
  <c r="I763" i="31"/>
  <c r="H763" i="31"/>
  <c r="N762" i="31"/>
  <c r="M762" i="31"/>
  <c r="J762" i="31"/>
  <c r="I762" i="31"/>
  <c r="H762" i="31"/>
  <c r="F762" i="31"/>
  <c r="N761" i="31"/>
  <c r="M761" i="31"/>
  <c r="J761" i="31"/>
  <c r="I761" i="31"/>
  <c r="H761" i="31"/>
  <c r="F761" i="31"/>
  <c r="N760" i="31"/>
  <c r="M760" i="31"/>
  <c r="J760" i="31"/>
  <c r="I760" i="31"/>
  <c r="H760" i="31"/>
  <c r="G760" i="31"/>
  <c r="F760" i="31"/>
  <c r="N759" i="31"/>
  <c r="P762" i="31" s="1"/>
  <c r="M759" i="31"/>
  <c r="H759" i="31"/>
  <c r="F759" i="31"/>
  <c r="L764" i="31" s="1"/>
  <c r="E759" i="31"/>
  <c r="H758" i="31"/>
  <c r="F758" i="31"/>
  <c r="N757" i="31"/>
  <c r="M757" i="31"/>
  <c r="J757" i="31"/>
  <c r="I757" i="31"/>
  <c r="H757" i="31"/>
  <c r="F757" i="31"/>
  <c r="N756" i="31"/>
  <c r="M756" i="31"/>
  <c r="J756" i="31"/>
  <c r="I756" i="31"/>
  <c r="H756" i="31"/>
  <c r="F756" i="31"/>
  <c r="N755" i="31"/>
  <c r="M755" i="31"/>
  <c r="J755" i="31"/>
  <c r="I755" i="31"/>
  <c r="H755" i="31"/>
  <c r="F755" i="31"/>
  <c r="N754" i="31"/>
  <c r="M754" i="31"/>
  <c r="J754" i="31"/>
  <c r="I754" i="31"/>
  <c r="H754" i="31"/>
  <c r="G754" i="31"/>
  <c r="F754" i="31"/>
  <c r="N753" i="31"/>
  <c r="P754" i="31" s="1"/>
  <c r="M753" i="31"/>
  <c r="H753" i="31"/>
  <c r="F753" i="31"/>
  <c r="L758" i="31" s="1"/>
  <c r="M758" i="31" s="1"/>
  <c r="E753" i="31"/>
  <c r="H752" i="31"/>
  <c r="F752" i="31"/>
  <c r="N751" i="31"/>
  <c r="M751" i="31"/>
  <c r="J751" i="31"/>
  <c r="I751" i="31"/>
  <c r="H751" i="31"/>
  <c r="N750" i="31"/>
  <c r="M750" i="31"/>
  <c r="J750" i="31"/>
  <c r="I750" i="31"/>
  <c r="H750" i="31"/>
  <c r="F750" i="31"/>
  <c r="N749" i="31"/>
  <c r="M749" i="31"/>
  <c r="J749" i="31"/>
  <c r="I749" i="31"/>
  <c r="H749" i="31"/>
  <c r="F749" i="31"/>
  <c r="N748" i="31"/>
  <c r="M748" i="31"/>
  <c r="J748" i="31"/>
  <c r="I748" i="31"/>
  <c r="H748" i="31"/>
  <c r="F748" i="31"/>
  <c r="N747" i="31"/>
  <c r="P750" i="31" s="1"/>
  <c r="M747" i="31"/>
  <c r="H747" i="31"/>
  <c r="F747" i="31"/>
  <c r="L752" i="31" s="1"/>
  <c r="E747" i="31"/>
  <c r="H746" i="31"/>
  <c r="F746" i="31"/>
  <c r="N745" i="31"/>
  <c r="M745" i="31"/>
  <c r="J745" i="31"/>
  <c r="I745" i="31"/>
  <c r="H745" i="31"/>
  <c r="N744" i="31"/>
  <c r="M744" i="31"/>
  <c r="J744" i="31"/>
  <c r="I744" i="31"/>
  <c r="H744" i="31"/>
  <c r="F744" i="31"/>
  <c r="N743" i="31"/>
  <c r="M743" i="31"/>
  <c r="J743" i="31"/>
  <c r="I743" i="31"/>
  <c r="H743" i="31"/>
  <c r="G743" i="31"/>
  <c r="F743" i="31"/>
  <c r="N742" i="31"/>
  <c r="M742" i="31"/>
  <c r="J742" i="31"/>
  <c r="I742" i="31"/>
  <c r="H742" i="31"/>
  <c r="F742" i="31"/>
  <c r="N741" i="31"/>
  <c r="P742" i="31" s="1"/>
  <c r="M741" i="31"/>
  <c r="H741" i="31"/>
  <c r="F741" i="31"/>
  <c r="L746" i="31" s="1"/>
  <c r="E741" i="31"/>
  <c r="H740" i="31"/>
  <c r="F740" i="31"/>
  <c r="N739" i="31"/>
  <c r="M739" i="31"/>
  <c r="J739" i="31"/>
  <c r="I739" i="31"/>
  <c r="H739" i="31"/>
  <c r="N738" i="31"/>
  <c r="M738" i="31"/>
  <c r="J738" i="31"/>
  <c r="I738" i="31"/>
  <c r="H738" i="31"/>
  <c r="F738" i="31"/>
  <c r="N737" i="31"/>
  <c r="M737" i="31"/>
  <c r="J737" i="31"/>
  <c r="I737" i="31"/>
  <c r="H737" i="31"/>
  <c r="G737" i="31"/>
  <c r="F737" i="31"/>
  <c r="N736" i="31"/>
  <c r="M736" i="31"/>
  <c r="J736" i="31"/>
  <c r="I736" i="31"/>
  <c r="H736" i="31"/>
  <c r="F736" i="31"/>
  <c r="N735" i="31"/>
  <c r="P738" i="31" s="1"/>
  <c r="M735" i="31"/>
  <c r="H735" i="31"/>
  <c r="F735" i="31"/>
  <c r="L740" i="31" s="1"/>
  <c r="E735" i="31"/>
  <c r="H734" i="31"/>
  <c r="F734" i="31"/>
  <c r="N733" i="31"/>
  <c r="M733" i="31"/>
  <c r="J733" i="31"/>
  <c r="I733" i="31"/>
  <c r="H733" i="31"/>
  <c r="N732" i="31"/>
  <c r="M732" i="31"/>
  <c r="J732" i="31"/>
  <c r="I732" i="31"/>
  <c r="H732" i="31"/>
  <c r="F732" i="31"/>
  <c r="N731" i="31"/>
  <c r="M731" i="31"/>
  <c r="J731" i="31"/>
  <c r="I731" i="31"/>
  <c r="H731" i="31"/>
  <c r="G731" i="31"/>
  <c r="F731" i="31"/>
  <c r="N730" i="31"/>
  <c r="M730" i="31"/>
  <c r="J730" i="31"/>
  <c r="I730" i="31"/>
  <c r="H730" i="31"/>
  <c r="G730" i="31"/>
  <c r="F730" i="31"/>
  <c r="N729" i="31"/>
  <c r="P730" i="31" s="1"/>
  <c r="M729" i="31"/>
  <c r="H729" i="31"/>
  <c r="F729" i="31"/>
  <c r="L734" i="31" s="1"/>
  <c r="M734" i="31" s="1"/>
  <c r="E729" i="31"/>
  <c r="H728" i="31"/>
  <c r="F728" i="31"/>
  <c r="N727" i="31"/>
  <c r="M727" i="31"/>
  <c r="J727" i="31"/>
  <c r="I727" i="31"/>
  <c r="H727" i="31"/>
  <c r="N726" i="31"/>
  <c r="M726" i="31"/>
  <c r="J726" i="31"/>
  <c r="I726" i="31"/>
  <c r="H726" i="31"/>
  <c r="F726" i="31"/>
  <c r="N725" i="31"/>
  <c r="M725" i="31"/>
  <c r="J725" i="31"/>
  <c r="I725" i="31"/>
  <c r="H725" i="31"/>
  <c r="G725" i="31"/>
  <c r="F725" i="31"/>
  <c r="N724" i="31"/>
  <c r="M724" i="31"/>
  <c r="J724" i="31"/>
  <c r="I724" i="31"/>
  <c r="H724" i="31"/>
  <c r="G724" i="31"/>
  <c r="F724" i="31"/>
  <c r="N723" i="31"/>
  <c r="P725" i="31" s="1"/>
  <c r="M723" i="31"/>
  <c r="H723" i="31"/>
  <c r="F723" i="31"/>
  <c r="L728" i="31" s="1"/>
  <c r="E723" i="31"/>
  <c r="H722" i="31"/>
  <c r="F722" i="31"/>
  <c r="N721" i="31"/>
  <c r="M721" i="31"/>
  <c r="J721" i="31"/>
  <c r="I721" i="31"/>
  <c r="H721" i="31"/>
  <c r="N720" i="31"/>
  <c r="M720" i="31"/>
  <c r="J720" i="31"/>
  <c r="I720" i="31"/>
  <c r="H720" i="31"/>
  <c r="F720" i="31"/>
  <c r="N719" i="31"/>
  <c r="M719" i="31"/>
  <c r="J719" i="31"/>
  <c r="I719" i="31"/>
  <c r="H719" i="31"/>
  <c r="G719" i="31"/>
  <c r="F719" i="31"/>
  <c r="N718" i="31"/>
  <c r="M718" i="31"/>
  <c r="J718" i="31"/>
  <c r="I718" i="31"/>
  <c r="H718" i="31"/>
  <c r="G718" i="31"/>
  <c r="F718" i="31"/>
  <c r="N717" i="31"/>
  <c r="P718" i="31" s="1"/>
  <c r="M717" i="31"/>
  <c r="H717" i="31"/>
  <c r="F717" i="31"/>
  <c r="L722" i="31" s="1"/>
  <c r="M722" i="31" s="1"/>
  <c r="E717" i="31"/>
  <c r="H716" i="31"/>
  <c r="F716" i="31"/>
  <c r="N715" i="31"/>
  <c r="M715" i="31"/>
  <c r="J715" i="31"/>
  <c r="I715" i="31"/>
  <c r="H715" i="31"/>
  <c r="N714" i="31"/>
  <c r="M714" i="31"/>
  <c r="J714" i="31"/>
  <c r="I714" i="31"/>
  <c r="H714" i="31"/>
  <c r="F714" i="31"/>
  <c r="N713" i="31"/>
  <c r="M713" i="31"/>
  <c r="J713" i="31"/>
  <c r="I713" i="31"/>
  <c r="H713" i="31"/>
  <c r="G713" i="31"/>
  <c r="F713" i="31"/>
  <c r="N712" i="31"/>
  <c r="M712" i="31"/>
  <c r="J712" i="31"/>
  <c r="I712" i="31"/>
  <c r="H712" i="31"/>
  <c r="G712" i="31"/>
  <c r="F712" i="31"/>
  <c r="N711" i="31"/>
  <c r="P714" i="31" s="1"/>
  <c r="M711" i="31"/>
  <c r="H711" i="31"/>
  <c r="F711" i="31"/>
  <c r="L716" i="31" s="1"/>
  <c r="E711" i="31"/>
  <c r="H710" i="31"/>
  <c r="F710" i="31"/>
  <c r="N709" i="31"/>
  <c r="M709" i="31"/>
  <c r="J709" i="31"/>
  <c r="I709" i="31"/>
  <c r="H709" i="31"/>
  <c r="N708" i="31"/>
  <c r="M708" i="31"/>
  <c r="J708" i="31"/>
  <c r="I708" i="31"/>
  <c r="H708" i="31"/>
  <c r="F708" i="31"/>
  <c r="N707" i="31"/>
  <c r="M707" i="31"/>
  <c r="J707" i="31"/>
  <c r="I707" i="31"/>
  <c r="H707" i="31"/>
  <c r="G707" i="31"/>
  <c r="F707" i="31"/>
  <c r="N706" i="31"/>
  <c r="M706" i="31"/>
  <c r="J706" i="31"/>
  <c r="I706" i="31"/>
  <c r="H706" i="31"/>
  <c r="G706" i="31"/>
  <c r="F706" i="31"/>
  <c r="N705" i="31"/>
  <c r="P706" i="31" s="1"/>
  <c r="M705" i="31"/>
  <c r="H705" i="31"/>
  <c r="F705" i="31"/>
  <c r="L710" i="31" s="1"/>
  <c r="M710" i="31" s="1"/>
  <c r="E705" i="31"/>
  <c r="H704" i="31"/>
  <c r="F704" i="31"/>
  <c r="N703" i="31"/>
  <c r="M703" i="31"/>
  <c r="J703" i="31"/>
  <c r="I703" i="31"/>
  <c r="H703" i="31"/>
  <c r="F703" i="31"/>
  <c r="N702" i="31"/>
  <c r="P704" i="31" s="1"/>
  <c r="M702" i="31"/>
  <c r="H702" i="31"/>
  <c r="F702" i="31"/>
  <c r="L704" i="31" s="1"/>
  <c r="E702" i="31"/>
  <c r="H701" i="31"/>
  <c r="F701" i="31"/>
  <c r="N700" i="31"/>
  <c r="S700" i="31" s="1"/>
  <c r="M700" i="31"/>
  <c r="H700" i="31"/>
  <c r="G700" i="31"/>
  <c r="F700" i="31"/>
  <c r="L701" i="31" s="1"/>
  <c r="E700" i="31"/>
  <c r="H699" i="31"/>
  <c r="F699" i="31"/>
  <c r="N698" i="31"/>
  <c r="S698" i="31" s="1"/>
  <c r="M698" i="31"/>
  <c r="H698" i="31"/>
  <c r="G698" i="31"/>
  <c r="F698" i="31"/>
  <c r="L699" i="31" s="1"/>
  <c r="M699" i="31" s="1"/>
  <c r="E698" i="31"/>
  <c r="H697" i="31"/>
  <c r="F697" i="31"/>
  <c r="N696" i="31"/>
  <c r="Q696" i="31" s="1"/>
  <c r="M696" i="31"/>
  <c r="H696" i="31"/>
  <c r="G696" i="31"/>
  <c r="F696" i="31"/>
  <c r="L697" i="31" s="1"/>
  <c r="E696" i="31"/>
  <c r="H695" i="31"/>
  <c r="F695" i="31"/>
  <c r="N694" i="31"/>
  <c r="Q694" i="31" s="1"/>
  <c r="M694" i="31"/>
  <c r="H694" i="31"/>
  <c r="G694" i="31"/>
  <c r="F694" i="31"/>
  <c r="L695" i="31" s="1"/>
  <c r="E694" i="31"/>
  <c r="N693" i="31"/>
  <c r="Q693" i="31" s="1"/>
  <c r="M693" i="31"/>
  <c r="H693" i="31"/>
  <c r="F693" i="31"/>
  <c r="N692" i="31"/>
  <c r="S692" i="31" s="1"/>
  <c r="M692" i="31"/>
  <c r="H692" i="31"/>
  <c r="F692" i="31"/>
  <c r="N691" i="31"/>
  <c r="S691" i="31" s="1"/>
  <c r="M691" i="31"/>
  <c r="H691" i="31"/>
  <c r="F691" i="31"/>
  <c r="D691" i="31"/>
  <c r="C691" i="31"/>
  <c r="B691" i="31"/>
  <c r="N690" i="31"/>
  <c r="S690" i="31" s="1"/>
  <c r="M690" i="31"/>
  <c r="H690" i="31"/>
  <c r="F690" i="31"/>
  <c r="D690" i="31"/>
  <c r="C690" i="31"/>
  <c r="B690" i="31"/>
  <c r="N689" i="31"/>
  <c r="S689" i="31" s="1"/>
  <c r="M689" i="31"/>
  <c r="H689" i="31"/>
  <c r="F689" i="31"/>
  <c r="N688" i="31"/>
  <c r="S688" i="31" s="1"/>
  <c r="M688" i="31"/>
  <c r="H688" i="31"/>
  <c r="F688" i="31"/>
  <c r="E688" i="31"/>
  <c r="N687" i="31"/>
  <c r="S687" i="31" s="1"/>
  <c r="M687" i="31"/>
  <c r="H687" i="31"/>
  <c r="F687" i="31"/>
  <c r="N686" i="31"/>
  <c r="R686" i="31" s="1"/>
  <c r="M686" i="31"/>
  <c r="H686" i="31"/>
  <c r="F686" i="31"/>
  <c r="N685" i="31"/>
  <c r="S685" i="31" s="1"/>
  <c r="M685" i="31"/>
  <c r="H685" i="31"/>
  <c r="E685" i="31"/>
  <c r="N684" i="31"/>
  <c r="S684" i="31" s="1"/>
  <c r="M684" i="31"/>
  <c r="H684" i="31"/>
  <c r="E684" i="31"/>
  <c r="N683" i="31"/>
  <c r="Q683" i="31" s="1"/>
  <c r="M683" i="31"/>
  <c r="H683" i="31"/>
  <c r="G683" i="31"/>
  <c r="F683" i="31"/>
  <c r="E683" i="31"/>
  <c r="N682" i="31"/>
  <c r="S682" i="31" s="1"/>
  <c r="M682" i="31"/>
  <c r="H682" i="31"/>
  <c r="G682" i="31"/>
  <c r="F682" i="31"/>
  <c r="E682" i="31"/>
  <c r="N681" i="31"/>
  <c r="M681" i="31"/>
  <c r="J681" i="31"/>
  <c r="I681" i="31"/>
  <c r="H681" i="31"/>
  <c r="N680" i="31"/>
  <c r="M680" i="31"/>
  <c r="J680" i="31"/>
  <c r="I680" i="31"/>
  <c r="H680" i="31"/>
  <c r="N679" i="31"/>
  <c r="M679" i="31"/>
  <c r="J679" i="31"/>
  <c r="I679" i="31"/>
  <c r="H679" i="31"/>
  <c r="N678" i="31"/>
  <c r="M678" i="31"/>
  <c r="H678" i="31"/>
  <c r="F678" i="31"/>
  <c r="E678" i="31"/>
  <c r="N677" i="31"/>
  <c r="M677" i="31"/>
  <c r="J677" i="31"/>
  <c r="H677" i="31"/>
  <c r="N676" i="31"/>
  <c r="M676" i="31"/>
  <c r="J676" i="31"/>
  <c r="H676" i="31"/>
  <c r="N675" i="31"/>
  <c r="M675" i="31"/>
  <c r="J675" i="31"/>
  <c r="H675" i="31"/>
  <c r="N674" i="31"/>
  <c r="P676" i="31" s="1"/>
  <c r="M674" i="31"/>
  <c r="H674" i="31"/>
  <c r="F674" i="31"/>
  <c r="E674" i="31"/>
  <c r="N673" i="31"/>
  <c r="M673" i="31"/>
  <c r="J673" i="31"/>
  <c r="H673" i="31"/>
  <c r="N672" i="31"/>
  <c r="M672" i="31"/>
  <c r="J672" i="31"/>
  <c r="H672" i="31"/>
  <c r="N671" i="31"/>
  <c r="M671" i="31"/>
  <c r="J671" i="31"/>
  <c r="H671" i="31"/>
  <c r="H670" i="31"/>
  <c r="F670" i="31"/>
  <c r="E670" i="31"/>
  <c r="N669" i="31"/>
  <c r="M669" i="31"/>
  <c r="J669" i="31"/>
  <c r="H669" i="31"/>
  <c r="N668" i="31"/>
  <c r="M668" i="31"/>
  <c r="J668" i="31"/>
  <c r="H668" i="31"/>
  <c r="N667" i="31"/>
  <c r="M667" i="31"/>
  <c r="J667" i="31"/>
  <c r="H667" i="31"/>
  <c r="N666" i="31"/>
  <c r="P669" i="31" s="1"/>
  <c r="M666" i="31"/>
  <c r="H666" i="31"/>
  <c r="F666" i="31"/>
  <c r="E666" i="31"/>
  <c r="N665" i="31"/>
  <c r="M665" i="31"/>
  <c r="H665" i="31"/>
  <c r="F665" i="31"/>
  <c r="E665" i="31"/>
  <c r="N664" i="31"/>
  <c r="S664" i="31" s="1"/>
  <c r="M664" i="31"/>
  <c r="H664" i="31"/>
  <c r="F664" i="31"/>
  <c r="E664" i="31"/>
  <c r="N663" i="31"/>
  <c r="Q663" i="31" s="1"/>
  <c r="M663" i="31"/>
  <c r="H663" i="31"/>
  <c r="F663" i="31"/>
  <c r="E663" i="31"/>
  <c r="N662" i="31"/>
  <c r="S662" i="31" s="1"/>
  <c r="M662" i="31"/>
  <c r="H662" i="31"/>
  <c r="F662" i="31"/>
  <c r="E662" i="31"/>
  <c r="N661" i="31"/>
  <c r="S661" i="31" s="1"/>
  <c r="M661" i="31"/>
  <c r="H661" i="31"/>
  <c r="F661" i="31"/>
  <c r="N660" i="31"/>
  <c r="M660" i="31"/>
  <c r="H660" i="31"/>
  <c r="N659" i="31"/>
  <c r="R659" i="31" s="1"/>
  <c r="M659" i="31"/>
  <c r="H659" i="31"/>
  <c r="F659" i="31"/>
  <c r="N658" i="31"/>
  <c r="R658" i="31" s="1"/>
  <c r="M658" i="31"/>
  <c r="H658" i="31"/>
  <c r="F658" i="31"/>
  <c r="N657" i="31"/>
  <c r="M657" i="31"/>
  <c r="J657" i="31"/>
  <c r="I657" i="31"/>
  <c r="H657" i="31"/>
  <c r="F657" i="31"/>
  <c r="N656" i="31"/>
  <c r="M656" i="31"/>
  <c r="J656" i="31"/>
  <c r="I656" i="31"/>
  <c r="H656" i="31"/>
  <c r="F656" i="31"/>
  <c r="N655" i="31"/>
  <c r="M655" i="31"/>
  <c r="J655" i="31"/>
  <c r="I655" i="31"/>
  <c r="H655" i="31"/>
  <c r="F655" i="31"/>
  <c r="N654" i="31"/>
  <c r="Q654" i="31" s="1"/>
  <c r="M654" i="31"/>
  <c r="H654" i="31"/>
  <c r="F654" i="31"/>
  <c r="E654" i="31"/>
  <c r="H653" i="31"/>
  <c r="F653" i="31"/>
  <c r="N652" i="31"/>
  <c r="M652" i="31"/>
  <c r="H652" i="31"/>
  <c r="F652" i="31"/>
  <c r="N651" i="31"/>
  <c r="Q651" i="31" s="1"/>
  <c r="M651" i="31"/>
  <c r="H651" i="31"/>
  <c r="F651" i="31"/>
  <c r="E651" i="31"/>
  <c r="N650" i="31"/>
  <c r="R650" i="31" s="1"/>
  <c r="M650" i="31"/>
  <c r="H650" i="31"/>
  <c r="F650" i="31"/>
  <c r="E650" i="31"/>
  <c r="N649" i="31"/>
  <c r="M649" i="31"/>
  <c r="H649" i="31"/>
  <c r="F649" i="31"/>
  <c r="E649" i="31"/>
  <c r="N648" i="31"/>
  <c r="S648" i="31" s="1"/>
  <c r="M648" i="31"/>
  <c r="H648" i="31"/>
  <c r="D648" i="31"/>
  <c r="C648" i="31"/>
  <c r="B648" i="31"/>
  <c r="N647" i="31"/>
  <c r="S647" i="31" s="1"/>
  <c r="M647" i="31"/>
  <c r="H647" i="31"/>
  <c r="N646" i="31"/>
  <c r="Q646" i="31" s="1"/>
  <c r="M646" i="31"/>
  <c r="H646" i="31"/>
  <c r="N645" i="31"/>
  <c r="M645" i="31"/>
  <c r="H645" i="31"/>
  <c r="N644" i="31"/>
  <c r="J644" i="31"/>
  <c r="I644" i="31"/>
  <c r="H644" i="31"/>
  <c r="E644" i="31"/>
  <c r="N643" i="31"/>
  <c r="R643" i="31" s="1"/>
  <c r="M643" i="31"/>
  <c r="K643" i="31"/>
  <c r="H643" i="31"/>
  <c r="G643" i="31"/>
  <c r="F643" i="31"/>
  <c r="E643" i="31"/>
  <c r="D643" i="31"/>
  <c r="C643" i="31"/>
  <c r="B643" i="31"/>
  <c r="N642" i="31"/>
  <c r="R642" i="31" s="1"/>
  <c r="M642" i="31"/>
  <c r="K642" i="31"/>
  <c r="H642" i="31"/>
  <c r="G642" i="31"/>
  <c r="F642" i="31"/>
  <c r="E642" i="31"/>
  <c r="D642" i="31"/>
  <c r="C642" i="31"/>
  <c r="B642" i="31"/>
  <c r="N641" i="31"/>
  <c r="Q641" i="31" s="1"/>
  <c r="M641" i="31"/>
  <c r="K641" i="31"/>
  <c r="H641" i="31"/>
  <c r="G641" i="31"/>
  <c r="F641" i="31"/>
  <c r="E641" i="31"/>
  <c r="D641" i="31"/>
  <c r="C641" i="31"/>
  <c r="B641" i="31"/>
  <c r="N640" i="31"/>
  <c r="R640" i="31" s="1"/>
  <c r="M640" i="31"/>
  <c r="K640" i="31"/>
  <c r="H640" i="31"/>
  <c r="G640" i="31"/>
  <c r="F640" i="31"/>
  <c r="E640" i="31"/>
  <c r="D640" i="31"/>
  <c r="C640" i="31"/>
  <c r="B640" i="31"/>
  <c r="N639" i="31"/>
  <c r="S639" i="31" s="1"/>
  <c r="M639" i="31"/>
  <c r="K639" i="31"/>
  <c r="H639" i="31"/>
  <c r="G639" i="31"/>
  <c r="F639" i="31"/>
  <c r="E639" i="31"/>
  <c r="D639" i="31"/>
  <c r="C639" i="31"/>
  <c r="B639" i="31"/>
  <c r="N638" i="31"/>
  <c r="M638" i="31"/>
  <c r="K638" i="31"/>
  <c r="H638" i="31"/>
  <c r="G638" i="31"/>
  <c r="F638" i="31"/>
  <c r="E638" i="31"/>
  <c r="D638" i="31"/>
  <c r="C638" i="31"/>
  <c r="B638" i="31"/>
  <c r="N637" i="31"/>
  <c r="S637" i="31" s="1"/>
  <c r="M637" i="31"/>
  <c r="K637" i="31"/>
  <c r="H637" i="31"/>
  <c r="G637" i="31"/>
  <c r="F637" i="31"/>
  <c r="E637" i="31"/>
  <c r="D637" i="31"/>
  <c r="C637" i="31"/>
  <c r="B637" i="31"/>
  <c r="N636" i="31"/>
  <c r="S636" i="31" s="1"/>
  <c r="M636" i="31"/>
  <c r="K636" i="31"/>
  <c r="H636" i="31"/>
  <c r="G636" i="31"/>
  <c r="F636" i="31"/>
  <c r="E636" i="31"/>
  <c r="D636" i="31"/>
  <c r="C636" i="31"/>
  <c r="B636" i="31"/>
  <c r="N635" i="31"/>
  <c r="M635" i="31"/>
  <c r="K635" i="31"/>
  <c r="H635" i="31"/>
  <c r="G635" i="31"/>
  <c r="F635" i="31"/>
  <c r="E635" i="31"/>
  <c r="D635" i="31"/>
  <c r="C635" i="31"/>
  <c r="B635" i="31"/>
  <c r="N634" i="31"/>
  <c r="S634" i="31" s="1"/>
  <c r="M634" i="31"/>
  <c r="K634" i="31"/>
  <c r="H634" i="31"/>
  <c r="G634" i="31"/>
  <c r="F634" i="31"/>
  <c r="E634" i="31"/>
  <c r="D634" i="31"/>
  <c r="C634" i="31"/>
  <c r="B634" i="31"/>
  <c r="N633" i="31"/>
  <c r="M633" i="31"/>
  <c r="K633" i="31"/>
  <c r="H633" i="31"/>
  <c r="G633" i="31"/>
  <c r="F633" i="31"/>
  <c r="E633" i="31"/>
  <c r="D633" i="31"/>
  <c r="C633" i="31"/>
  <c r="B633" i="31"/>
  <c r="N632" i="31"/>
  <c r="M632" i="31"/>
  <c r="K632" i="31"/>
  <c r="H632" i="31"/>
  <c r="G632" i="31"/>
  <c r="F632" i="31"/>
  <c r="E632" i="31"/>
  <c r="D632" i="31"/>
  <c r="C632" i="31"/>
  <c r="B632" i="31"/>
  <c r="N631" i="31"/>
  <c r="Q631" i="31" s="1"/>
  <c r="M631" i="31"/>
  <c r="K631" i="31"/>
  <c r="H631" i="31"/>
  <c r="G631" i="31"/>
  <c r="F631" i="31"/>
  <c r="E631" i="31"/>
  <c r="D631" i="31"/>
  <c r="C631" i="31"/>
  <c r="B631" i="31"/>
  <c r="N630" i="31"/>
  <c r="M630" i="31"/>
  <c r="K630" i="31"/>
  <c r="H630" i="31"/>
  <c r="G630" i="31"/>
  <c r="F630" i="31"/>
  <c r="E630" i="31"/>
  <c r="D630" i="31"/>
  <c r="C630" i="31"/>
  <c r="B630" i="31"/>
  <c r="N629" i="31"/>
  <c r="Q629" i="31" s="1"/>
  <c r="M629" i="31"/>
  <c r="K629" i="31"/>
  <c r="H629" i="31"/>
  <c r="G629" i="31"/>
  <c r="F629" i="31"/>
  <c r="E629" i="31"/>
  <c r="D629" i="31"/>
  <c r="C629" i="31"/>
  <c r="B629" i="31"/>
  <c r="N628" i="31"/>
  <c r="S628" i="31" s="1"/>
  <c r="M628" i="31"/>
  <c r="K628" i="31"/>
  <c r="H628" i="31"/>
  <c r="G628" i="31"/>
  <c r="F628" i="31"/>
  <c r="E628" i="31"/>
  <c r="D628" i="31"/>
  <c r="C628" i="31"/>
  <c r="B628" i="31"/>
  <c r="N627" i="31"/>
  <c r="Q627" i="31" s="1"/>
  <c r="M627" i="31"/>
  <c r="K627" i="31"/>
  <c r="H627" i="31"/>
  <c r="G627" i="31"/>
  <c r="F627" i="31"/>
  <c r="E627" i="31"/>
  <c r="D627" i="31"/>
  <c r="C627" i="31"/>
  <c r="B627" i="31"/>
  <c r="N626" i="31"/>
  <c r="M626" i="31"/>
  <c r="K626" i="31"/>
  <c r="H626" i="31"/>
  <c r="G626" i="31"/>
  <c r="F626" i="31"/>
  <c r="E626" i="31"/>
  <c r="D626" i="31"/>
  <c r="C626" i="31"/>
  <c r="B626" i="31"/>
  <c r="N625" i="31"/>
  <c r="S625" i="31" s="1"/>
  <c r="M625" i="31"/>
  <c r="K625" i="31"/>
  <c r="H625" i="31"/>
  <c r="G625" i="31"/>
  <c r="F625" i="31"/>
  <c r="E625" i="31"/>
  <c r="D625" i="31"/>
  <c r="C625" i="31"/>
  <c r="B625" i="31"/>
  <c r="N624" i="31"/>
  <c r="S624" i="31" s="1"/>
  <c r="M624" i="31"/>
  <c r="K624" i="31"/>
  <c r="H624" i="31"/>
  <c r="G624" i="31"/>
  <c r="F624" i="31"/>
  <c r="E624" i="31"/>
  <c r="D624" i="31"/>
  <c r="C624" i="31"/>
  <c r="B624" i="31"/>
  <c r="N623" i="31"/>
  <c r="S623" i="31" s="1"/>
  <c r="M623" i="31"/>
  <c r="K623" i="31"/>
  <c r="H623" i="31"/>
  <c r="G623" i="31"/>
  <c r="F623" i="31"/>
  <c r="E623" i="31"/>
  <c r="D623" i="31"/>
  <c r="C623" i="31"/>
  <c r="B623" i="31"/>
  <c r="N622" i="31"/>
  <c r="Q622" i="31" s="1"/>
  <c r="M622" i="31"/>
  <c r="K622" i="31"/>
  <c r="H622" i="31"/>
  <c r="G622" i="31"/>
  <c r="F622" i="31"/>
  <c r="E622" i="31"/>
  <c r="D622" i="31"/>
  <c r="C622" i="31"/>
  <c r="B622" i="31"/>
  <c r="N621" i="31"/>
  <c r="Q621" i="31" s="1"/>
  <c r="M621" i="31"/>
  <c r="K621" i="31"/>
  <c r="H621" i="31"/>
  <c r="G621" i="31"/>
  <c r="F621" i="31"/>
  <c r="E621" i="31"/>
  <c r="D621" i="31"/>
  <c r="C621" i="31"/>
  <c r="B621" i="31"/>
  <c r="N620" i="31"/>
  <c r="M620" i="31"/>
  <c r="K620" i="31"/>
  <c r="H620" i="31"/>
  <c r="G620" i="31"/>
  <c r="F620" i="31"/>
  <c r="E620" i="31"/>
  <c r="D620" i="31"/>
  <c r="C620" i="31"/>
  <c r="B620" i="31"/>
  <c r="N619" i="31"/>
  <c r="Q619" i="31" s="1"/>
  <c r="M619" i="31"/>
  <c r="K619" i="31"/>
  <c r="H619" i="31"/>
  <c r="G619" i="31"/>
  <c r="F619" i="31"/>
  <c r="E619" i="31"/>
  <c r="D619" i="31"/>
  <c r="C619" i="31"/>
  <c r="B619" i="31"/>
  <c r="N618" i="31"/>
  <c r="J618" i="31"/>
  <c r="I618" i="31"/>
  <c r="H618" i="31"/>
  <c r="G618" i="31"/>
  <c r="F618" i="31"/>
  <c r="E618" i="31"/>
  <c r="N617" i="31"/>
  <c r="Q617" i="31" s="1"/>
  <c r="M617" i="31"/>
  <c r="H617" i="31"/>
  <c r="F617" i="31"/>
  <c r="N616" i="31"/>
  <c r="M616" i="31"/>
  <c r="J616" i="31"/>
  <c r="I616" i="31"/>
  <c r="H616" i="31"/>
  <c r="N615" i="31"/>
  <c r="M615" i="31"/>
  <c r="J615" i="31"/>
  <c r="I615" i="31"/>
  <c r="H615" i="31"/>
  <c r="N614" i="31"/>
  <c r="M614" i="31"/>
  <c r="J614" i="31"/>
  <c r="I614" i="31"/>
  <c r="H614" i="31"/>
  <c r="N613" i="31"/>
  <c r="P614" i="31" s="1"/>
  <c r="M613" i="31"/>
  <c r="H613" i="31"/>
  <c r="F613" i="31"/>
  <c r="E613" i="31"/>
  <c r="N612" i="31"/>
  <c r="S612" i="31" s="1"/>
  <c r="M612" i="31"/>
  <c r="H612" i="31"/>
  <c r="F612" i="31"/>
  <c r="N611" i="31"/>
  <c r="M611" i="31"/>
  <c r="J611" i="31"/>
  <c r="I611" i="31"/>
  <c r="H611" i="31"/>
  <c r="N610" i="31"/>
  <c r="M610" i="31"/>
  <c r="J610" i="31"/>
  <c r="I610" i="31"/>
  <c r="H610" i="31"/>
  <c r="N609" i="31"/>
  <c r="M609" i="31"/>
  <c r="J609" i="31"/>
  <c r="I609" i="31"/>
  <c r="H609" i="31"/>
  <c r="N608" i="31"/>
  <c r="P611" i="31" s="1"/>
  <c r="M608" i="31"/>
  <c r="H608" i="31"/>
  <c r="F608" i="31"/>
  <c r="E608" i="31"/>
  <c r="N607" i="31"/>
  <c r="Q607" i="31" s="1"/>
  <c r="M607" i="31"/>
  <c r="H607" i="31"/>
  <c r="F607" i="31"/>
  <c r="N606" i="31"/>
  <c r="M606" i="31"/>
  <c r="J606" i="31"/>
  <c r="I606" i="31"/>
  <c r="H606" i="31"/>
  <c r="N605" i="31"/>
  <c r="M605" i="31"/>
  <c r="J605" i="31"/>
  <c r="I605" i="31"/>
  <c r="H605" i="31"/>
  <c r="N604" i="31"/>
  <c r="M604" i="31"/>
  <c r="J604" i="31"/>
  <c r="I604" i="31"/>
  <c r="H604" i="31"/>
  <c r="N603" i="31"/>
  <c r="P604" i="31" s="1"/>
  <c r="M603" i="31"/>
  <c r="H603" i="31"/>
  <c r="F603" i="31"/>
  <c r="E603" i="31"/>
  <c r="N602" i="31"/>
  <c r="S602" i="31" s="1"/>
  <c r="M602" i="31"/>
  <c r="H602" i="31"/>
  <c r="F602" i="31"/>
  <c r="N601" i="31"/>
  <c r="M601" i="31"/>
  <c r="J601" i="31"/>
  <c r="I601" i="31"/>
  <c r="H601" i="31"/>
  <c r="N600" i="31"/>
  <c r="M600" i="31"/>
  <c r="J600" i="31"/>
  <c r="I600" i="31"/>
  <c r="H600" i="31"/>
  <c r="N599" i="31"/>
  <c r="M599" i="31"/>
  <c r="J599" i="31"/>
  <c r="I599" i="31"/>
  <c r="H599" i="31"/>
  <c r="H598" i="31"/>
  <c r="F598" i="31"/>
  <c r="E598" i="31"/>
  <c r="N597" i="31"/>
  <c r="Q597" i="31" s="1"/>
  <c r="M597" i="31"/>
  <c r="H597" i="31"/>
  <c r="N596" i="31"/>
  <c r="M596" i="31"/>
  <c r="J596" i="31"/>
  <c r="I596" i="31"/>
  <c r="H596" i="31"/>
  <c r="N595" i="31"/>
  <c r="M595" i="31"/>
  <c r="J595" i="31"/>
  <c r="I595" i="31"/>
  <c r="H595" i="31"/>
  <c r="N594" i="31"/>
  <c r="M594" i="31"/>
  <c r="J594" i="31"/>
  <c r="I594" i="31"/>
  <c r="H594" i="31"/>
  <c r="N593" i="31"/>
  <c r="P594" i="31" s="1"/>
  <c r="M593" i="31"/>
  <c r="H593" i="31"/>
  <c r="F593" i="31"/>
  <c r="E593" i="31"/>
  <c r="N592" i="31"/>
  <c r="S592" i="31" s="1"/>
  <c r="M592" i="31"/>
  <c r="H592" i="31"/>
  <c r="F592" i="31"/>
  <c r="N591" i="31"/>
  <c r="M591" i="31"/>
  <c r="H591" i="31"/>
  <c r="G591" i="31"/>
  <c r="F591" i="31"/>
  <c r="E591" i="31"/>
  <c r="D591" i="31"/>
  <c r="C591" i="31"/>
  <c r="B591" i="31"/>
  <c r="N590" i="31"/>
  <c r="R590" i="31" s="1"/>
  <c r="M590" i="31"/>
  <c r="H590" i="31"/>
  <c r="G590" i="31"/>
  <c r="F590" i="31"/>
  <c r="E590" i="31"/>
  <c r="D590" i="31"/>
  <c r="C590" i="31"/>
  <c r="B590" i="31"/>
  <c r="N589" i="31"/>
  <c r="J589" i="31"/>
  <c r="I589" i="31"/>
  <c r="H589" i="31"/>
  <c r="E589" i="31"/>
  <c r="N588" i="31"/>
  <c r="S588" i="31" s="1"/>
  <c r="M588" i="31"/>
  <c r="K588" i="31"/>
  <c r="H588" i="31"/>
  <c r="G588" i="31"/>
  <c r="F588" i="31"/>
  <c r="E588" i="31"/>
  <c r="D588" i="31"/>
  <c r="C588" i="31"/>
  <c r="B588" i="31"/>
  <c r="N587" i="31"/>
  <c r="M587" i="31"/>
  <c r="K587" i="31"/>
  <c r="H587" i="31"/>
  <c r="G587" i="31"/>
  <c r="F587" i="31"/>
  <c r="E587" i="31"/>
  <c r="D587" i="31"/>
  <c r="C587" i="31"/>
  <c r="B587" i="31"/>
  <c r="N586" i="31"/>
  <c r="S586" i="31" s="1"/>
  <c r="M586" i="31"/>
  <c r="K586" i="31"/>
  <c r="H586" i="31"/>
  <c r="G586" i="31"/>
  <c r="F586" i="31"/>
  <c r="E586" i="31"/>
  <c r="D586" i="31"/>
  <c r="C586" i="31"/>
  <c r="B586" i="31"/>
  <c r="N585" i="31"/>
  <c r="Q585" i="31" s="1"/>
  <c r="M585" i="31"/>
  <c r="K585" i="31"/>
  <c r="H585" i="31"/>
  <c r="G585" i="31"/>
  <c r="F585" i="31"/>
  <c r="E585" i="31"/>
  <c r="D585" i="31"/>
  <c r="C585" i="31"/>
  <c r="B585" i="31"/>
  <c r="N584" i="31"/>
  <c r="R584" i="31" s="1"/>
  <c r="M584" i="31"/>
  <c r="K584" i="31"/>
  <c r="H584" i="31"/>
  <c r="G584" i="31"/>
  <c r="F584" i="31"/>
  <c r="E584" i="31"/>
  <c r="D584" i="31"/>
  <c r="C584" i="31"/>
  <c r="B584" i="31"/>
  <c r="N583" i="31"/>
  <c r="S583" i="31" s="1"/>
  <c r="M583" i="31"/>
  <c r="K583" i="31"/>
  <c r="H583" i="31"/>
  <c r="G583" i="31"/>
  <c r="F583" i="31"/>
  <c r="E583" i="31"/>
  <c r="D583" i="31"/>
  <c r="C583" i="31"/>
  <c r="B583" i="31"/>
  <c r="N582" i="31"/>
  <c r="M582" i="31"/>
  <c r="K582" i="31"/>
  <c r="H582" i="31"/>
  <c r="G582" i="31"/>
  <c r="F582" i="31"/>
  <c r="E582" i="31"/>
  <c r="D582" i="31"/>
  <c r="C582" i="31"/>
  <c r="B582" i="31"/>
  <c r="N581" i="31"/>
  <c r="S581" i="31" s="1"/>
  <c r="M581" i="31"/>
  <c r="K581" i="31"/>
  <c r="H581" i="31"/>
  <c r="G581" i="31"/>
  <c r="F581" i="31"/>
  <c r="E581" i="31"/>
  <c r="D581" i="31"/>
  <c r="C581" i="31"/>
  <c r="B581" i="31"/>
  <c r="N580" i="31"/>
  <c r="S580" i="31" s="1"/>
  <c r="M580" i="31"/>
  <c r="K580" i="31"/>
  <c r="H580" i="31"/>
  <c r="G580" i="31"/>
  <c r="F580" i="31"/>
  <c r="E580" i="31"/>
  <c r="D580" i="31"/>
  <c r="C580" i="31"/>
  <c r="B580" i="31"/>
  <c r="N579" i="31"/>
  <c r="S579" i="31" s="1"/>
  <c r="M579" i="31"/>
  <c r="K579" i="31"/>
  <c r="H579" i="31"/>
  <c r="G579" i="31"/>
  <c r="F579" i="31"/>
  <c r="E579" i="31"/>
  <c r="D579" i="31"/>
  <c r="C579" i="31"/>
  <c r="B579" i="31"/>
  <c r="N578" i="31"/>
  <c r="Q578" i="31" s="1"/>
  <c r="M578" i="31"/>
  <c r="K578" i="31"/>
  <c r="H578" i="31"/>
  <c r="G578" i="31"/>
  <c r="F578" i="31"/>
  <c r="E578" i="31"/>
  <c r="D578" i="31"/>
  <c r="C578" i="31"/>
  <c r="B578" i="31"/>
  <c r="N577" i="31"/>
  <c r="Q577" i="31" s="1"/>
  <c r="M577" i="31"/>
  <c r="K577" i="31"/>
  <c r="H577" i="31"/>
  <c r="G577" i="31"/>
  <c r="F577" i="31"/>
  <c r="E577" i="31"/>
  <c r="D577" i="31"/>
  <c r="C577" i="31"/>
  <c r="B577" i="31"/>
  <c r="N576" i="31"/>
  <c r="R576" i="31" s="1"/>
  <c r="M576" i="31"/>
  <c r="K576" i="31"/>
  <c r="H576" i="31"/>
  <c r="G576" i="31"/>
  <c r="F576" i="31"/>
  <c r="E576" i="31"/>
  <c r="D576" i="31"/>
  <c r="C576" i="31"/>
  <c r="B576" i="31"/>
  <c r="N575" i="31"/>
  <c r="S575" i="31" s="1"/>
  <c r="M575" i="31"/>
  <c r="K575" i="31"/>
  <c r="H575" i="31"/>
  <c r="G575" i="31"/>
  <c r="F575" i="31"/>
  <c r="E575" i="31"/>
  <c r="D575" i="31"/>
  <c r="C575" i="31"/>
  <c r="B575" i="31"/>
  <c r="N574" i="31"/>
  <c r="M574" i="31"/>
  <c r="K574" i="31"/>
  <c r="H574" i="31"/>
  <c r="G574" i="31"/>
  <c r="F574" i="31"/>
  <c r="E574" i="31"/>
  <c r="D574" i="31"/>
  <c r="C574" i="31"/>
  <c r="B574" i="31"/>
  <c r="N573" i="31"/>
  <c r="S573" i="31" s="1"/>
  <c r="M573" i="31"/>
  <c r="K573" i="31"/>
  <c r="H573" i="31"/>
  <c r="G573" i="31"/>
  <c r="F573" i="31"/>
  <c r="E573" i="31"/>
  <c r="D573" i="31"/>
  <c r="C573" i="31"/>
  <c r="B573" i="31"/>
  <c r="N572" i="31"/>
  <c r="S572" i="31" s="1"/>
  <c r="M572" i="31"/>
  <c r="K572" i="31"/>
  <c r="H572" i="31"/>
  <c r="G572" i="31"/>
  <c r="F572" i="31"/>
  <c r="E572" i="31"/>
  <c r="D572" i="31"/>
  <c r="C572" i="31"/>
  <c r="B572" i="31"/>
  <c r="N571" i="31"/>
  <c r="S571" i="31" s="1"/>
  <c r="M571" i="31"/>
  <c r="K571" i="31"/>
  <c r="H571" i="31"/>
  <c r="G571" i="31"/>
  <c r="F571" i="31"/>
  <c r="E571" i="31"/>
  <c r="D571" i="31"/>
  <c r="C571" i="31"/>
  <c r="B571" i="31"/>
  <c r="N570" i="31"/>
  <c r="M570" i="31"/>
  <c r="K570" i="31"/>
  <c r="H570" i="31"/>
  <c r="G570" i="31"/>
  <c r="F570" i="31"/>
  <c r="E570" i="31"/>
  <c r="D570" i="31"/>
  <c r="C570" i="31"/>
  <c r="B570" i="31"/>
  <c r="N569" i="31"/>
  <c r="Q569" i="31" s="1"/>
  <c r="M569" i="31"/>
  <c r="K569" i="31"/>
  <c r="H569" i="31"/>
  <c r="G569" i="31"/>
  <c r="F569" i="31"/>
  <c r="E569" i="31"/>
  <c r="D569" i="31"/>
  <c r="C569" i="31"/>
  <c r="B569" i="31"/>
  <c r="N568" i="31"/>
  <c r="R568" i="31" s="1"/>
  <c r="M568" i="31"/>
  <c r="K568" i="31"/>
  <c r="H568" i="31"/>
  <c r="G568" i="31"/>
  <c r="F568" i="31"/>
  <c r="E568" i="31"/>
  <c r="D568" i="31"/>
  <c r="C568" i="31"/>
  <c r="B568" i="31"/>
  <c r="N567" i="31"/>
  <c r="S567" i="31" s="1"/>
  <c r="M567" i="31"/>
  <c r="K567" i="31"/>
  <c r="H567" i="31"/>
  <c r="G567" i="31"/>
  <c r="F567" i="31"/>
  <c r="E567" i="31"/>
  <c r="D567" i="31"/>
  <c r="C567" i="31"/>
  <c r="B567" i="31"/>
  <c r="N566" i="31"/>
  <c r="S566" i="31" s="1"/>
  <c r="M566" i="31"/>
  <c r="K566" i="31"/>
  <c r="H566" i="31"/>
  <c r="G566" i="31"/>
  <c r="F566" i="31"/>
  <c r="E566" i="31"/>
  <c r="D566" i="31"/>
  <c r="C566" i="31"/>
  <c r="B566" i="31"/>
  <c r="N565" i="31"/>
  <c r="S565" i="31" s="1"/>
  <c r="M565" i="31"/>
  <c r="K565" i="31"/>
  <c r="H565" i="31"/>
  <c r="G565" i="31"/>
  <c r="F565" i="31"/>
  <c r="E565" i="31"/>
  <c r="D565" i="31"/>
  <c r="C565" i="31"/>
  <c r="B565" i="31"/>
  <c r="N564" i="31"/>
  <c r="S564" i="31" s="1"/>
  <c r="M564" i="31"/>
  <c r="K564" i="31"/>
  <c r="H564" i="31"/>
  <c r="G564" i="31"/>
  <c r="F564" i="31"/>
  <c r="E564" i="31"/>
  <c r="D564" i="31"/>
  <c r="C564" i="31"/>
  <c r="B564" i="31"/>
  <c r="N563" i="31"/>
  <c r="J563" i="31"/>
  <c r="I563" i="31"/>
  <c r="H563" i="31"/>
  <c r="G563" i="31"/>
  <c r="F563" i="31"/>
  <c r="E563" i="31"/>
  <c r="N562" i="31"/>
  <c r="Q562" i="31" s="1"/>
  <c r="M562" i="31"/>
  <c r="H562" i="31"/>
  <c r="F562" i="31"/>
  <c r="N561" i="31"/>
  <c r="Q561" i="31" s="1"/>
  <c r="M561" i="31"/>
  <c r="H561" i="31"/>
  <c r="F561" i="31"/>
  <c r="N560" i="31"/>
  <c r="R560" i="31" s="1"/>
  <c r="M560" i="31"/>
  <c r="H560" i="31"/>
  <c r="F560" i="31"/>
  <c r="E560" i="31"/>
  <c r="N559" i="31"/>
  <c r="M559" i="31"/>
  <c r="H559" i="31"/>
  <c r="F559" i="31"/>
  <c r="E559" i="31"/>
  <c r="N558" i="31"/>
  <c r="M558" i="31"/>
  <c r="H558" i="31"/>
  <c r="F558" i="31"/>
  <c r="E558" i="31"/>
  <c r="N557" i="31"/>
  <c r="S557" i="31" s="1"/>
  <c r="M557" i="31"/>
  <c r="H557" i="31"/>
  <c r="F557" i="31"/>
  <c r="E557" i="31"/>
  <c r="N556" i="31"/>
  <c r="R556" i="31" s="1"/>
  <c r="M556" i="31"/>
  <c r="H556" i="31"/>
  <c r="F556" i="31"/>
  <c r="E556" i="31"/>
  <c r="N555" i="31"/>
  <c r="S555" i="31" s="1"/>
  <c r="M555" i="31"/>
  <c r="H555" i="31"/>
  <c r="F555" i="31"/>
  <c r="E555" i="31"/>
  <c r="N554" i="31"/>
  <c r="S554" i="31" s="1"/>
  <c r="M554" i="31"/>
  <c r="H554" i="31"/>
  <c r="F554" i="31"/>
  <c r="E554" i="31"/>
  <c r="N553" i="31"/>
  <c r="Q553" i="31" s="1"/>
  <c r="M553" i="31"/>
  <c r="H553" i="31"/>
  <c r="F553" i="31"/>
  <c r="E553" i="31"/>
  <c r="N552" i="31"/>
  <c r="M552" i="31"/>
  <c r="H552" i="31"/>
  <c r="F552" i="31"/>
  <c r="E552" i="31"/>
  <c r="N551" i="31"/>
  <c r="S551" i="31" s="1"/>
  <c r="M551" i="31"/>
  <c r="H551" i="31"/>
  <c r="N550" i="31"/>
  <c r="Q550" i="31" s="1"/>
  <c r="M550" i="31"/>
  <c r="H550" i="31"/>
  <c r="N549" i="31"/>
  <c r="S549" i="31" s="1"/>
  <c r="M549" i="31"/>
  <c r="H549" i="31"/>
  <c r="N548" i="31"/>
  <c r="R548" i="31" s="1"/>
  <c r="M548" i="31"/>
  <c r="H548" i="31"/>
  <c r="N547" i="31"/>
  <c r="S547" i="31" s="1"/>
  <c r="M547" i="31"/>
  <c r="H547" i="31"/>
  <c r="N546" i="31"/>
  <c r="Q546" i="31" s="1"/>
  <c r="M546" i="31"/>
  <c r="H546" i="31"/>
  <c r="N545" i="31"/>
  <c r="Q545" i="31" s="1"/>
  <c r="M545" i="31"/>
  <c r="H545" i="31"/>
  <c r="N544" i="31"/>
  <c r="R544" i="31" s="1"/>
  <c r="M544" i="31"/>
  <c r="H544" i="31"/>
  <c r="N543" i="31"/>
  <c r="M543" i="31"/>
  <c r="H543" i="31"/>
  <c r="N542" i="31"/>
  <c r="M542" i="31"/>
  <c r="J542" i="31"/>
  <c r="I542" i="31"/>
  <c r="H542" i="31"/>
  <c r="N541" i="31"/>
  <c r="M541" i="31"/>
  <c r="J541" i="31"/>
  <c r="I541" i="31"/>
  <c r="H541" i="31"/>
  <c r="F541" i="31"/>
  <c r="N540" i="31"/>
  <c r="M540" i="31"/>
  <c r="J540" i="31"/>
  <c r="I540" i="31"/>
  <c r="H540" i="31"/>
  <c r="F540" i="31"/>
  <c r="N539" i="31"/>
  <c r="M539" i="31"/>
  <c r="J539" i="31"/>
  <c r="I539" i="31"/>
  <c r="H539" i="31"/>
  <c r="F539" i="31"/>
  <c r="N538" i="31"/>
  <c r="P542" i="31" s="1"/>
  <c r="M538" i="31"/>
  <c r="H538" i="31"/>
  <c r="F538" i="31"/>
  <c r="E538" i="31"/>
  <c r="N537" i="31"/>
  <c r="P541" i="31" s="1"/>
  <c r="M537" i="31"/>
  <c r="J537" i="31"/>
  <c r="I537" i="31"/>
  <c r="H537" i="31"/>
  <c r="N536" i="31"/>
  <c r="M536" i="31"/>
  <c r="J536" i="31"/>
  <c r="I536" i="31"/>
  <c r="H536" i="31"/>
  <c r="F536" i="31"/>
  <c r="N535" i="31"/>
  <c r="M535" i="31"/>
  <c r="J535" i="31"/>
  <c r="I535" i="31"/>
  <c r="H535" i="31"/>
  <c r="F535" i="31"/>
  <c r="N534" i="31"/>
  <c r="M534" i="31"/>
  <c r="J534" i="31"/>
  <c r="I534" i="31"/>
  <c r="H534" i="31"/>
  <c r="F534" i="31"/>
  <c r="N533" i="31"/>
  <c r="P535" i="31" s="1"/>
  <c r="M533" i="31"/>
  <c r="H533" i="31"/>
  <c r="F533" i="31"/>
  <c r="E533" i="31"/>
  <c r="N532" i="31"/>
  <c r="R532" i="31" s="1"/>
  <c r="M532" i="31"/>
  <c r="H532" i="31"/>
  <c r="F532" i="31"/>
  <c r="E532" i="31"/>
  <c r="N531" i="31"/>
  <c r="M531" i="31"/>
  <c r="H531" i="31"/>
  <c r="F531" i="31"/>
  <c r="E531" i="31"/>
  <c r="N530" i="31"/>
  <c r="M530" i="31"/>
  <c r="H530" i="31"/>
  <c r="F530" i="31"/>
  <c r="E530" i="31"/>
  <c r="N529" i="31"/>
  <c r="Q529" i="31" s="1"/>
  <c r="M529" i="31"/>
  <c r="H529" i="31"/>
  <c r="F529" i="31"/>
  <c r="E529" i="31"/>
  <c r="N528" i="31"/>
  <c r="R528" i="31" s="1"/>
  <c r="M528" i="31"/>
  <c r="H528" i="31"/>
  <c r="F528" i="31"/>
  <c r="E528" i="31"/>
  <c r="N527" i="31"/>
  <c r="S527" i="31" s="1"/>
  <c r="M527" i="31"/>
  <c r="H527" i="31"/>
  <c r="F527" i="31"/>
  <c r="E527" i="31"/>
  <c r="N526" i="31"/>
  <c r="S526" i="31" s="1"/>
  <c r="M526" i="31"/>
  <c r="H526" i="31"/>
  <c r="F526" i="31"/>
  <c r="E526" i="31"/>
  <c r="N525" i="31"/>
  <c r="S525" i="31" s="1"/>
  <c r="M525" i="31"/>
  <c r="H525" i="31"/>
  <c r="F525" i="31"/>
  <c r="E525" i="31"/>
  <c r="N524" i="31"/>
  <c r="M524" i="31"/>
  <c r="H524" i="31"/>
  <c r="F524" i="31"/>
  <c r="E524" i="31"/>
  <c r="N523" i="31"/>
  <c r="S523" i="31" s="1"/>
  <c r="M523" i="31"/>
  <c r="H523" i="31"/>
  <c r="F523" i="31"/>
  <c r="E523" i="31"/>
  <c r="N522" i="31"/>
  <c r="S522" i="31" s="1"/>
  <c r="M522" i="31"/>
  <c r="H522" i="31"/>
  <c r="F522" i="31"/>
  <c r="E522" i="31"/>
  <c r="N521" i="31"/>
  <c r="Q521" i="31" s="1"/>
  <c r="M521" i="31"/>
  <c r="H521" i="31"/>
  <c r="F521" i="31"/>
  <c r="E521" i="31"/>
  <c r="N520" i="31"/>
  <c r="R520" i="31" s="1"/>
  <c r="M520" i="31"/>
  <c r="H520" i="31"/>
  <c r="F520" i="31"/>
  <c r="E520" i="31"/>
  <c r="N519" i="31"/>
  <c r="S519" i="31" s="1"/>
  <c r="M519" i="31"/>
  <c r="H519" i="31"/>
  <c r="F519" i="31"/>
  <c r="E519" i="31"/>
  <c r="N518" i="31"/>
  <c r="M518" i="31"/>
  <c r="J518" i="31"/>
  <c r="I518" i="31"/>
  <c r="H518" i="31"/>
  <c r="N517" i="31"/>
  <c r="M517" i="31"/>
  <c r="J517" i="31"/>
  <c r="I517" i="31"/>
  <c r="H517" i="31"/>
  <c r="F517" i="31"/>
  <c r="N516" i="31"/>
  <c r="M516" i="31"/>
  <c r="J516" i="31"/>
  <c r="I516" i="31"/>
  <c r="H516" i="31"/>
  <c r="F516" i="31"/>
  <c r="N515" i="31"/>
  <c r="M515" i="31"/>
  <c r="J515" i="31"/>
  <c r="I515" i="31"/>
  <c r="H515" i="31"/>
  <c r="F515" i="31"/>
  <c r="N514" i="31"/>
  <c r="P518" i="31" s="1"/>
  <c r="M514" i="31"/>
  <c r="H514" i="31"/>
  <c r="F514" i="31"/>
  <c r="E514" i="31"/>
  <c r="N513" i="31"/>
  <c r="M513" i="31"/>
  <c r="J513" i="31"/>
  <c r="I513" i="31"/>
  <c r="H513" i="31"/>
  <c r="N512" i="31"/>
  <c r="M512" i="31"/>
  <c r="J512" i="31"/>
  <c r="I512" i="31"/>
  <c r="H512" i="31"/>
  <c r="F512" i="31"/>
  <c r="N511" i="31"/>
  <c r="M511" i="31"/>
  <c r="J511" i="31"/>
  <c r="I511" i="31"/>
  <c r="H511" i="31"/>
  <c r="F511" i="31"/>
  <c r="N510" i="31"/>
  <c r="M510" i="31"/>
  <c r="J510" i="31"/>
  <c r="I510" i="31"/>
  <c r="H510" i="31"/>
  <c r="F510" i="31"/>
  <c r="N509" i="31"/>
  <c r="P511" i="31" s="1"/>
  <c r="M509" i="31"/>
  <c r="H509" i="31"/>
  <c r="F509" i="31"/>
  <c r="E509" i="31"/>
  <c r="N508" i="31"/>
  <c r="M508" i="31"/>
  <c r="J508" i="31"/>
  <c r="I508" i="31"/>
  <c r="H508" i="31"/>
  <c r="N507" i="31"/>
  <c r="M507" i="31"/>
  <c r="J507" i="31"/>
  <c r="I507" i="31"/>
  <c r="H507" i="31"/>
  <c r="F507" i="31"/>
  <c r="N506" i="31"/>
  <c r="M506" i="31"/>
  <c r="J506" i="31"/>
  <c r="I506" i="31"/>
  <c r="H506" i="31"/>
  <c r="F506" i="31"/>
  <c r="N505" i="31"/>
  <c r="M505" i="31"/>
  <c r="J505" i="31"/>
  <c r="I505" i="31"/>
  <c r="H505" i="31"/>
  <c r="F505" i="31"/>
  <c r="N504" i="31"/>
  <c r="P507" i="31" s="1"/>
  <c r="M504" i="31"/>
  <c r="H504" i="31"/>
  <c r="F504" i="31"/>
  <c r="E504" i="31"/>
  <c r="H503" i="31"/>
  <c r="F503" i="31"/>
  <c r="N502" i="31"/>
  <c r="M502" i="31"/>
  <c r="J502" i="31"/>
  <c r="I502" i="31"/>
  <c r="H502" i="31"/>
  <c r="N501" i="31"/>
  <c r="M501" i="31"/>
  <c r="J501" i="31"/>
  <c r="I501" i="31"/>
  <c r="H501" i="31"/>
  <c r="F501" i="31"/>
  <c r="N500" i="31"/>
  <c r="M500" i="31"/>
  <c r="J500" i="31"/>
  <c r="I500" i="31"/>
  <c r="H500" i="31"/>
  <c r="F500" i="31"/>
  <c r="N499" i="31"/>
  <c r="M499" i="31"/>
  <c r="J499" i="31"/>
  <c r="I499" i="31"/>
  <c r="H499" i="31"/>
  <c r="F499" i="31"/>
  <c r="N498" i="31"/>
  <c r="P499" i="31" s="1"/>
  <c r="M498" i="31"/>
  <c r="H498" i="31"/>
  <c r="F498" i="31"/>
  <c r="L503" i="31" s="1"/>
  <c r="E498" i="31"/>
  <c r="H497" i="31"/>
  <c r="F497" i="31"/>
  <c r="N496" i="31"/>
  <c r="M496" i="31"/>
  <c r="J496" i="31"/>
  <c r="I496" i="31"/>
  <c r="H496" i="31"/>
  <c r="N495" i="31"/>
  <c r="M495" i="31"/>
  <c r="J495" i="31"/>
  <c r="I495" i="31"/>
  <c r="H495" i="31"/>
  <c r="F495" i="31"/>
  <c r="N494" i="31"/>
  <c r="M494" i="31"/>
  <c r="J494" i="31"/>
  <c r="I494" i="31"/>
  <c r="H494" i="31"/>
  <c r="F494" i="31"/>
  <c r="N493" i="31"/>
  <c r="M493" i="31"/>
  <c r="J493" i="31"/>
  <c r="I493" i="31"/>
  <c r="H493" i="31"/>
  <c r="F493" i="31"/>
  <c r="N492" i="31"/>
  <c r="P494" i="31" s="1"/>
  <c r="M492" i="31"/>
  <c r="H492" i="31"/>
  <c r="F492" i="31"/>
  <c r="L497" i="31" s="1"/>
  <c r="E492" i="31"/>
  <c r="H491" i="31"/>
  <c r="F491" i="31"/>
  <c r="D491" i="31"/>
  <c r="C491" i="31"/>
  <c r="B491" i="31"/>
  <c r="N490" i="31"/>
  <c r="M490" i="31"/>
  <c r="J490" i="31"/>
  <c r="I490" i="31"/>
  <c r="H490" i="31"/>
  <c r="D490" i="31"/>
  <c r="C490" i="31"/>
  <c r="B490" i="31"/>
  <c r="N489" i="31"/>
  <c r="M489" i="31"/>
  <c r="J489" i="31"/>
  <c r="I489" i="31"/>
  <c r="H489" i="31"/>
  <c r="D489" i="31"/>
  <c r="C489" i="31"/>
  <c r="B489" i="31"/>
  <c r="N488" i="31"/>
  <c r="M488" i="31"/>
  <c r="J488" i="31"/>
  <c r="I488" i="31"/>
  <c r="H488" i="31"/>
  <c r="D488" i="31"/>
  <c r="C488" i="31"/>
  <c r="B488" i="31"/>
  <c r="N487" i="31"/>
  <c r="M487" i="31"/>
  <c r="J487" i="31"/>
  <c r="I487" i="31"/>
  <c r="H487" i="31"/>
  <c r="D487" i="31"/>
  <c r="C487" i="31"/>
  <c r="B487" i="31"/>
  <c r="N486" i="31"/>
  <c r="P490" i="31" s="1"/>
  <c r="M486" i="31"/>
  <c r="H486" i="31"/>
  <c r="E486" i="31"/>
  <c r="C486" i="31"/>
  <c r="B486" i="31"/>
  <c r="H485" i="31"/>
  <c r="F485" i="31"/>
  <c r="N484" i="31"/>
  <c r="M484" i="31"/>
  <c r="J484" i="31"/>
  <c r="I484" i="31"/>
  <c r="H484" i="31"/>
  <c r="N483" i="31"/>
  <c r="M483" i="31"/>
  <c r="J483" i="31"/>
  <c r="I483" i="31"/>
  <c r="H483" i="31"/>
  <c r="F483" i="31"/>
  <c r="N482" i="31"/>
  <c r="M482" i="31"/>
  <c r="J482" i="31"/>
  <c r="I482" i="31"/>
  <c r="H482" i="31"/>
  <c r="F482" i="31"/>
  <c r="N481" i="31"/>
  <c r="M481" i="31"/>
  <c r="J481" i="31"/>
  <c r="I481" i="31"/>
  <c r="H481" i="31"/>
  <c r="F481" i="31"/>
  <c r="N480" i="31"/>
  <c r="M480" i="31"/>
  <c r="H480" i="31"/>
  <c r="F480" i="31"/>
  <c r="L485" i="31" s="1"/>
  <c r="E480" i="31"/>
  <c r="H479" i="31"/>
  <c r="F479" i="31"/>
  <c r="N478" i="31"/>
  <c r="M478" i="31"/>
  <c r="J478" i="31"/>
  <c r="I478" i="31"/>
  <c r="H478" i="31"/>
  <c r="N477" i="31"/>
  <c r="M477" i="31"/>
  <c r="J477" i="31"/>
  <c r="I477" i="31"/>
  <c r="H477" i="31"/>
  <c r="F477" i="31"/>
  <c r="N476" i="31"/>
  <c r="M476" i="31"/>
  <c r="J476" i="31"/>
  <c r="I476" i="31"/>
  <c r="H476" i="31"/>
  <c r="F476" i="31"/>
  <c r="N475" i="31"/>
  <c r="M475" i="31"/>
  <c r="J475" i="31"/>
  <c r="I475" i="31"/>
  <c r="H475" i="31"/>
  <c r="F475" i="31"/>
  <c r="N474" i="31"/>
  <c r="P478" i="31" s="1"/>
  <c r="M474" i="31"/>
  <c r="H474" i="31"/>
  <c r="F474" i="31"/>
  <c r="L479" i="31" s="1"/>
  <c r="E474" i="31"/>
  <c r="H473" i="31"/>
  <c r="F473" i="31"/>
  <c r="N472" i="31"/>
  <c r="M472" i="31"/>
  <c r="J472" i="31"/>
  <c r="I472" i="31"/>
  <c r="H472" i="31"/>
  <c r="N471" i="31"/>
  <c r="M471" i="31"/>
  <c r="J471" i="31"/>
  <c r="I471" i="31"/>
  <c r="H471" i="31"/>
  <c r="F471" i="31"/>
  <c r="N470" i="31"/>
  <c r="M470" i="31"/>
  <c r="J470" i="31"/>
  <c r="I470" i="31"/>
  <c r="H470" i="31"/>
  <c r="F470" i="31"/>
  <c r="N469" i="31"/>
  <c r="M469" i="31"/>
  <c r="J469" i="31"/>
  <c r="I469" i="31"/>
  <c r="H469" i="31"/>
  <c r="F469" i="31"/>
  <c r="H468" i="31"/>
  <c r="F468" i="31"/>
  <c r="E468" i="31"/>
  <c r="H467" i="31"/>
  <c r="F467" i="31"/>
  <c r="D467" i="31"/>
  <c r="C467" i="31"/>
  <c r="B467" i="31"/>
  <c r="N466" i="31"/>
  <c r="M466" i="31"/>
  <c r="J466" i="31"/>
  <c r="I466" i="31"/>
  <c r="H466" i="31"/>
  <c r="D466" i="31"/>
  <c r="C466" i="31"/>
  <c r="B466" i="31"/>
  <c r="N465" i="31"/>
  <c r="M465" i="31"/>
  <c r="J465" i="31"/>
  <c r="I465" i="31"/>
  <c r="H465" i="31"/>
  <c r="D465" i="31"/>
  <c r="C465" i="31"/>
  <c r="B465" i="31"/>
  <c r="N464" i="31"/>
  <c r="M464" i="31"/>
  <c r="J464" i="31"/>
  <c r="I464" i="31"/>
  <c r="H464" i="31"/>
  <c r="D464" i="31"/>
  <c r="C464" i="31"/>
  <c r="B464" i="31"/>
  <c r="N463" i="31"/>
  <c r="M463" i="31"/>
  <c r="J463" i="31"/>
  <c r="I463" i="31"/>
  <c r="H463" i="31"/>
  <c r="D463" i="31"/>
  <c r="C463" i="31"/>
  <c r="B463" i="31"/>
  <c r="N462" i="31"/>
  <c r="P467" i="31" s="1"/>
  <c r="M462" i="31"/>
  <c r="H462" i="31"/>
  <c r="E462" i="31"/>
  <c r="C462" i="31"/>
  <c r="B462" i="31"/>
  <c r="H461" i="31"/>
  <c r="F461" i="31"/>
  <c r="D461" i="31"/>
  <c r="C461" i="31"/>
  <c r="B461" i="31"/>
  <c r="N460" i="31"/>
  <c r="M460" i="31"/>
  <c r="J460" i="31"/>
  <c r="I460" i="31"/>
  <c r="H460" i="31"/>
  <c r="D460" i="31"/>
  <c r="C460" i="31"/>
  <c r="B460" i="31"/>
  <c r="N459" i="31"/>
  <c r="M459" i="31"/>
  <c r="J459" i="31"/>
  <c r="I459" i="31"/>
  <c r="H459" i="31"/>
  <c r="D459" i="31"/>
  <c r="C459" i="31"/>
  <c r="B459" i="31"/>
  <c r="N458" i="31"/>
  <c r="M458" i="31"/>
  <c r="J458" i="31"/>
  <c r="I458" i="31"/>
  <c r="H458" i="31"/>
  <c r="D458" i="31"/>
  <c r="C458" i="31"/>
  <c r="B458" i="31"/>
  <c r="N457" i="31"/>
  <c r="M457" i="31"/>
  <c r="J457" i="31"/>
  <c r="I457" i="31"/>
  <c r="H457" i="31"/>
  <c r="D457" i="31"/>
  <c r="C457" i="31"/>
  <c r="B457" i="31"/>
  <c r="N456" i="31"/>
  <c r="Q456" i="31" s="1"/>
  <c r="M456" i="31"/>
  <c r="H456" i="31"/>
  <c r="E456" i="31"/>
  <c r="C456" i="31"/>
  <c r="B456" i="31"/>
  <c r="H455" i="31"/>
  <c r="F455" i="31"/>
  <c r="D455" i="31"/>
  <c r="C455" i="31"/>
  <c r="B455" i="31"/>
  <c r="N454" i="31"/>
  <c r="M454" i="31"/>
  <c r="J454" i="31"/>
  <c r="I454" i="31"/>
  <c r="H454" i="31"/>
  <c r="D454" i="31"/>
  <c r="C454" i="31"/>
  <c r="B454" i="31"/>
  <c r="N453" i="31"/>
  <c r="M453" i="31"/>
  <c r="J453" i="31"/>
  <c r="I453" i="31"/>
  <c r="H453" i="31"/>
  <c r="D453" i="31"/>
  <c r="C453" i="31"/>
  <c r="B453" i="31"/>
  <c r="N452" i="31"/>
  <c r="M452" i="31"/>
  <c r="J452" i="31"/>
  <c r="I452" i="31"/>
  <c r="H452" i="31"/>
  <c r="D452" i="31"/>
  <c r="C452" i="31"/>
  <c r="B452" i="31"/>
  <c r="N451" i="31"/>
  <c r="M451" i="31"/>
  <c r="J451" i="31"/>
  <c r="I451" i="31"/>
  <c r="H451" i="31"/>
  <c r="D451" i="31"/>
  <c r="C451" i="31"/>
  <c r="B451" i="31"/>
  <c r="N450" i="31"/>
  <c r="P453" i="31" s="1"/>
  <c r="M450" i="31"/>
  <c r="H450" i="31"/>
  <c r="E450" i="31"/>
  <c r="C450" i="31"/>
  <c r="B450" i="31"/>
  <c r="H449" i="31"/>
  <c r="F449" i="31"/>
  <c r="D449" i="31"/>
  <c r="C449" i="31"/>
  <c r="B449" i="31"/>
  <c r="N448" i="31"/>
  <c r="M448" i="31"/>
  <c r="J448" i="31"/>
  <c r="I448" i="31"/>
  <c r="H448" i="31"/>
  <c r="D448" i="31"/>
  <c r="C448" i="31"/>
  <c r="B448" i="31"/>
  <c r="N447" i="31"/>
  <c r="M447" i="31"/>
  <c r="J447" i="31"/>
  <c r="I447" i="31"/>
  <c r="H447" i="31"/>
  <c r="D447" i="31"/>
  <c r="C447" i="31"/>
  <c r="B447" i="31"/>
  <c r="N446" i="31"/>
  <c r="M446" i="31"/>
  <c r="J446" i="31"/>
  <c r="I446" i="31"/>
  <c r="H446" i="31"/>
  <c r="D446" i="31"/>
  <c r="C446" i="31"/>
  <c r="B446" i="31"/>
  <c r="N445" i="31"/>
  <c r="M445" i="31"/>
  <c r="J445" i="31"/>
  <c r="I445" i="31"/>
  <c r="H445" i="31"/>
  <c r="D445" i="31"/>
  <c r="C445" i="31"/>
  <c r="B445" i="31"/>
  <c r="N444" i="31"/>
  <c r="Q444" i="31" s="1"/>
  <c r="M444" i="31"/>
  <c r="H444" i="31"/>
  <c r="E444" i="31"/>
  <c r="C444" i="31"/>
  <c r="B444" i="31"/>
  <c r="H443" i="31"/>
  <c r="F443" i="31"/>
  <c r="D443" i="31"/>
  <c r="C443" i="31"/>
  <c r="B443" i="31"/>
  <c r="N442" i="31"/>
  <c r="M442" i="31"/>
  <c r="J442" i="31"/>
  <c r="I442" i="31"/>
  <c r="H442" i="31"/>
  <c r="D442" i="31"/>
  <c r="C442" i="31"/>
  <c r="B442" i="31"/>
  <c r="N441" i="31"/>
  <c r="M441" i="31"/>
  <c r="J441" i="31"/>
  <c r="I441" i="31"/>
  <c r="H441" i="31"/>
  <c r="D441" i="31"/>
  <c r="C441" i="31"/>
  <c r="B441" i="31"/>
  <c r="N440" i="31"/>
  <c r="M440" i="31"/>
  <c r="J440" i="31"/>
  <c r="I440" i="31"/>
  <c r="H440" i="31"/>
  <c r="D440" i="31"/>
  <c r="C440" i="31"/>
  <c r="B440" i="31"/>
  <c r="N439" i="31"/>
  <c r="M439" i="31"/>
  <c r="J439" i="31"/>
  <c r="I439" i="31"/>
  <c r="H439" i="31"/>
  <c r="D439" i="31"/>
  <c r="C439" i="31"/>
  <c r="B439" i="31"/>
  <c r="N438" i="31"/>
  <c r="P443" i="31" s="1"/>
  <c r="M438" i="31"/>
  <c r="H438" i="31"/>
  <c r="E438" i="31"/>
  <c r="C438" i="31"/>
  <c r="B438" i="31"/>
  <c r="H437" i="31"/>
  <c r="F437" i="31"/>
  <c r="D437" i="31"/>
  <c r="C437" i="31"/>
  <c r="B437" i="31"/>
  <c r="N436" i="31"/>
  <c r="M436" i="31"/>
  <c r="J436" i="31"/>
  <c r="I436" i="31"/>
  <c r="H436" i="31"/>
  <c r="D436" i="31"/>
  <c r="C436" i="31"/>
  <c r="B436" i="31"/>
  <c r="N435" i="31"/>
  <c r="M435" i="31"/>
  <c r="J435" i="31"/>
  <c r="I435" i="31"/>
  <c r="H435" i="31"/>
  <c r="F435" i="31"/>
  <c r="D435" i="31"/>
  <c r="C435" i="31"/>
  <c r="B435" i="31"/>
  <c r="N434" i="31"/>
  <c r="M434" i="31"/>
  <c r="J434" i="31"/>
  <c r="I434" i="31"/>
  <c r="H434" i="31"/>
  <c r="F434" i="31"/>
  <c r="D434" i="31"/>
  <c r="C434" i="31"/>
  <c r="B434" i="31"/>
  <c r="N433" i="31"/>
  <c r="M433" i="31"/>
  <c r="J433" i="31"/>
  <c r="I433" i="31"/>
  <c r="H433" i="31"/>
  <c r="F433" i="31"/>
  <c r="D433" i="31"/>
  <c r="C433" i="31"/>
  <c r="B433" i="31"/>
  <c r="N432" i="31"/>
  <c r="M432" i="31"/>
  <c r="H432" i="31"/>
  <c r="F432" i="31"/>
  <c r="L437" i="31" s="1"/>
  <c r="E432" i="31"/>
  <c r="D432" i="31"/>
  <c r="C432" i="31"/>
  <c r="B432" i="31"/>
  <c r="H431" i="31"/>
  <c r="F431" i="31"/>
  <c r="D431" i="31"/>
  <c r="C431" i="31"/>
  <c r="B431" i="31"/>
  <c r="N430" i="31"/>
  <c r="M430" i="31"/>
  <c r="J430" i="31"/>
  <c r="I430" i="31"/>
  <c r="H430" i="31"/>
  <c r="D430" i="31"/>
  <c r="C430" i="31"/>
  <c r="B430" i="31"/>
  <c r="N429" i="31"/>
  <c r="M429" i="31"/>
  <c r="J429" i="31"/>
  <c r="I429" i="31"/>
  <c r="H429" i="31"/>
  <c r="F429" i="31"/>
  <c r="D429" i="31"/>
  <c r="C429" i="31"/>
  <c r="B429" i="31"/>
  <c r="N428" i="31"/>
  <c r="M428" i="31"/>
  <c r="J428" i="31"/>
  <c r="I428" i="31"/>
  <c r="H428" i="31"/>
  <c r="F428" i="31"/>
  <c r="D428" i="31"/>
  <c r="C428" i="31"/>
  <c r="B428" i="31"/>
  <c r="N427" i="31"/>
  <c r="M427" i="31"/>
  <c r="J427" i="31"/>
  <c r="I427" i="31"/>
  <c r="H427" i="31"/>
  <c r="F427" i="31"/>
  <c r="D427" i="31"/>
  <c r="C427" i="31"/>
  <c r="B427" i="31"/>
  <c r="N426" i="31"/>
  <c r="P430" i="31" s="1"/>
  <c r="M426" i="31"/>
  <c r="H426" i="31"/>
  <c r="F426" i="31"/>
  <c r="L431" i="31" s="1"/>
  <c r="M431" i="31" s="1"/>
  <c r="E426" i="31"/>
  <c r="D426" i="31"/>
  <c r="C426" i="31"/>
  <c r="B426" i="31"/>
  <c r="H425" i="31"/>
  <c r="F425" i="31"/>
  <c r="D425" i="31"/>
  <c r="C425" i="31"/>
  <c r="B425" i="31"/>
  <c r="N424" i="31"/>
  <c r="M424" i="31"/>
  <c r="J424" i="31"/>
  <c r="I424" i="31"/>
  <c r="H424" i="31"/>
  <c r="D424" i="31"/>
  <c r="C424" i="31"/>
  <c r="B424" i="31"/>
  <c r="N423" i="31"/>
  <c r="M423" i="31"/>
  <c r="J423" i="31"/>
  <c r="I423" i="31"/>
  <c r="H423" i="31"/>
  <c r="D423" i="31"/>
  <c r="C423" i="31"/>
  <c r="B423" i="31"/>
  <c r="N422" i="31"/>
  <c r="M422" i="31"/>
  <c r="J422" i="31"/>
  <c r="I422" i="31"/>
  <c r="H422" i="31"/>
  <c r="F422" i="31"/>
  <c r="D422" i="31"/>
  <c r="C422" i="31"/>
  <c r="B422" i="31"/>
  <c r="N421" i="31"/>
  <c r="M421" i="31"/>
  <c r="J421" i="31"/>
  <c r="I421" i="31"/>
  <c r="H421" i="31"/>
  <c r="F421" i="31"/>
  <c r="D421" i="31"/>
  <c r="C421" i="31"/>
  <c r="B421" i="31"/>
  <c r="H420" i="31"/>
  <c r="F420" i="31"/>
  <c r="L425" i="31" s="1"/>
  <c r="E420" i="31"/>
  <c r="D420" i="31"/>
  <c r="C420" i="31"/>
  <c r="B420" i="31"/>
  <c r="H419" i="31"/>
  <c r="F419" i="31"/>
  <c r="D419" i="31"/>
  <c r="C419" i="31"/>
  <c r="B419" i="31"/>
  <c r="N418" i="31"/>
  <c r="M418" i="31"/>
  <c r="J418" i="31"/>
  <c r="I418" i="31"/>
  <c r="H418" i="31"/>
  <c r="D418" i="31"/>
  <c r="C418" i="31"/>
  <c r="B418" i="31"/>
  <c r="N417" i="31"/>
  <c r="M417" i="31"/>
  <c r="J417" i="31"/>
  <c r="I417" i="31"/>
  <c r="H417" i="31"/>
  <c r="D417" i="31"/>
  <c r="C417" i="31"/>
  <c r="B417" i="31"/>
  <c r="N416" i="31"/>
  <c r="M416" i="31"/>
  <c r="J416" i="31"/>
  <c r="I416" i="31"/>
  <c r="H416" i="31"/>
  <c r="D416" i="31"/>
  <c r="C416" i="31"/>
  <c r="B416" i="31"/>
  <c r="N415" i="31"/>
  <c r="M415" i="31"/>
  <c r="J415" i="31"/>
  <c r="I415" i="31"/>
  <c r="H415" i="31"/>
  <c r="D415" i="31"/>
  <c r="C415" i="31"/>
  <c r="B415" i="31"/>
  <c r="N414" i="31"/>
  <c r="M414" i="31"/>
  <c r="H414" i="31"/>
  <c r="E414" i="31"/>
  <c r="C414" i="31"/>
  <c r="B414" i="31"/>
  <c r="H413" i="31"/>
  <c r="F413" i="31"/>
  <c r="D413" i="31"/>
  <c r="C413" i="31"/>
  <c r="B413" i="31"/>
  <c r="N412" i="31"/>
  <c r="M412" i="31"/>
  <c r="J412" i="31"/>
  <c r="I412" i="31"/>
  <c r="H412" i="31"/>
  <c r="D412" i="31"/>
  <c r="C412" i="31"/>
  <c r="B412" i="31"/>
  <c r="N411" i="31"/>
  <c r="M411" i="31"/>
  <c r="J411" i="31"/>
  <c r="I411" i="31"/>
  <c r="H411" i="31"/>
  <c r="D411" i="31"/>
  <c r="C411" i="31"/>
  <c r="B411" i="31"/>
  <c r="N410" i="31"/>
  <c r="M410" i="31"/>
  <c r="J410" i="31"/>
  <c r="I410" i="31"/>
  <c r="H410" i="31"/>
  <c r="D410" i="31"/>
  <c r="C410" i="31"/>
  <c r="B410" i="31"/>
  <c r="N409" i="31"/>
  <c r="M409" i="31"/>
  <c r="J409" i="31"/>
  <c r="I409" i="31"/>
  <c r="H409" i="31"/>
  <c r="D409" i="31"/>
  <c r="C409" i="31"/>
  <c r="B409" i="31"/>
  <c r="H408" i="31"/>
  <c r="E408" i="31"/>
  <c r="C408" i="31"/>
  <c r="B408" i="31"/>
  <c r="H407" i="31"/>
  <c r="F407" i="31"/>
  <c r="N406" i="31"/>
  <c r="M406" i="31"/>
  <c r="J406" i="31"/>
  <c r="I406" i="31"/>
  <c r="H406" i="31"/>
  <c r="N405" i="31"/>
  <c r="M405" i="31"/>
  <c r="J405" i="31"/>
  <c r="I405" i="31"/>
  <c r="H405" i="31"/>
  <c r="F405" i="31"/>
  <c r="N404" i="31"/>
  <c r="M404" i="31"/>
  <c r="J404" i="31"/>
  <c r="I404" i="31"/>
  <c r="H404" i="31"/>
  <c r="F404" i="31"/>
  <c r="N403" i="31"/>
  <c r="M403" i="31"/>
  <c r="J403" i="31"/>
  <c r="I403" i="31"/>
  <c r="H403" i="31"/>
  <c r="F403" i="31"/>
  <c r="N402" i="31"/>
  <c r="P406" i="31" s="1"/>
  <c r="M402" i="31"/>
  <c r="H402" i="31"/>
  <c r="F402" i="31"/>
  <c r="L407" i="31" s="1"/>
  <c r="M407" i="31" s="1"/>
  <c r="E402" i="31"/>
  <c r="H401" i="31"/>
  <c r="F401" i="31"/>
  <c r="N400" i="31"/>
  <c r="M400" i="31"/>
  <c r="J400" i="31"/>
  <c r="I400" i="31"/>
  <c r="H400" i="31"/>
  <c r="N399" i="31"/>
  <c r="M399" i="31"/>
  <c r="J399" i="31"/>
  <c r="I399" i="31"/>
  <c r="H399" i="31"/>
  <c r="F399" i="31"/>
  <c r="N398" i="31"/>
  <c r="M398" i="31"/>
  <c r="J398" i="31"/>
  <c r="I398" i="31"/>
  <c r="H398" i="31"/>
  <c r="F398" i="31"/>
  <c r="N397" i="31"/>
  <c r="M397" i="31"/>
  <c r="J397" i="31"/>
  <c r="I397" i="31"/>
  <c r="H397" i="31"/>
  <c r="F397" i="31"/>
  <c r="N396" i="31"/>
  <c r="Q396" i="31" s="1"/>
  <c r="M396" i="31"/>
  <c r="H396" i="31"/>
  <c r="F396" i="31"/>
  <c r="L401" i="31" s="1"/>
  <c r="E396" i="31"/>
  <c r="H395" i="31"/>
  <c r="F395" i="31"/>
  <c r="D395" i="31"/>
  <c r="C395" i="31"/>
  <c r="B395" i="31"/>
  <c r="N394" i="31"/>
  <c r="M394" i="31"/>
  <c r="J394" i="31"/>
  <c r="I394" i="31"/>
  <c r="H394" i="31"/>
  <c r="D394" i="31"/>
  <c r="C394" i="31"/>
  <c r="B394" i="31"/>
  <c r="N393" i="31"/>
  <c r="M393" i="31"/>
  <c r="J393" i="31"/>
  <c r="I393" i="31"/>
  <c r="H393" i="31"/>
  <c r="D393" i="31"/>
  <c r="C393" i="31"/>
  <c r="B393" i="31"/>
  <c r="N392" i="31"/>
  <c r="M392" i="31"/>
  <c r="J392" i="31"/>
  <c r="I392" i="31"/>
  <c r="H392" i="31"/>
  <c r="D392" i="31"/>
  <c r="C392" i="31"/>
  <c r="B392" i="31"/>
  <c r="N391" i="31"/>
  <c r="M391" i="31"/>
  <c r="J391" i="31"/>
  <c r="I391" i="31"/>
  <c r="H391" i="31"/>
  <c r="D391" i="31"/>
  <c r="C391" i="31"/>
  <c r="B391" i="31"/>
  <c r="N390" i="31"/>
  <c r="R390" i="31" s="1"/>
  <c r="M390" i="31"/>
  <c r="H390" i="31"/>
  <c r="E390" i="31"/>
  <c r="C390" i="31"/>
  <c r="B390" i="31"/>
  <c r="H389" i="31"/>
  <c r="F389" i="31"/>
  <c r="D389" i="31"/>
  <c r="C389" i="31"/>
  <c r="B389" i="31"/>
  <c r="N388" i="31"/>
  <c r="M388" i="31"/>
  <c r="J388" i="31"/>
  <c r="I388" i="31"/>
  <c r="H388" i="31"/>
  <c r="D388" i="31"/>
  <c r="C388" i="31"/>
  <c r="B388" i="31"/>
  <c r="N387" i="31"/>
  <c r="M387" i="31"/>
  <c r="J387" i="31"/>
  <c r="I387" i="31"/>
  <c r="H387" i="31"/>
  <c r="D387" i="31"/>
  <c r="C387" i="31"/>
  <c r="B387" i="31"/>
  <c r="N386" i="31"/>
  <c r="M386" i="31"/>
  <c r="J386" i="31"/>
  <c r="I386" i="31"/>
  <c r="H386" i="31"/>
  <c r="D386" i="31"/>
  <c r="C386" i="31"/>
  <c r="B386" i="31"/>
  <c r="N385" i="31"/>
  <c r="M385" i="31"/>
  <c r="J385" i="31"/>
  <c r="I385" i="31"/>
  <c r="H385" i="31"/>
  <c r="D385" i="31"/>
  <c r="C385" i="31"/>
  <c r="B385" i="31"/>
  <c r="N384" i="31"/>
  <c r="P386" i="31" s="1"/>
  <c r="M384" i="31"/>
  <c r="H384" i="31"/>
  <c r="E384" i="31"/>
  <c r="C384" i="31"/>
  <c r="B384" i="31"/>
  <c r="H383" i="31"/>
  <c r="F383" i="31"/>
  <c r="N382" i="31"/>
  <c r="M382" i="31"/>
  <c r="J382" i="31"/>
  <c r="I382" i="31"/>
  <c r="H382" i="31"/>
  <c r="N381" i="31"/>
  <c r="M381" i="31"/>
  <c r="J381" i="31"/>
  <c r="I381" i="31"/>
  <c r="H381" i="31"/>
  <c r="F381" i="31"/>
  <c r="N380" i="31"/>
  <c r="M380" i="31"/>
  <c r="J380" i="31"/>
  <c r="I380" i="31"/>
  <c r="H380" i="31"/>
  <c r="F380" i="31"/>
  <c r="N379" i="31"/>
  <c r="M379" i="31"/>
  <c r="J379" i="31"/>
  <c r="I379" i="31"/>
  <c r="H379" i="31"/>
  <c r="F379" i="31"/>
  <c r="N378" i="31"/>
  <c r="M378" i="31"/>
  <c r="H378" i="31"/>
  <c r="F378" i="31"/>
  <c r="L383" i="31" s="1"/>
  <c r="E378" i="31"/>
  <c r="H377" i="31"/>
  <c r="F377" i="31"/>
  <c r="N376" i="31"/>
  <c r="M376" i="31"/>
  <c r="J376" i="31"/>
  <c r="I376" i="31"/>
  <c r="H376" i="31"/>
  <c r="N375" i="31"/>
  <c r="M375" i="31"/>
  <c r="J375" i="31"/>
  <c r="I375" i="31"/>
  <c r="H375" i="31"/>
  <c r="F375" i="31"/>
  <c r="N374" i="31"/>
  <c r="M374" i="31"/>
  <c r="J374" i="31"/>
  <c r="I374" i="31"/>
  <c r="H374" i="31"/>
  <c r="F374" i="31"/>
  <c r="N373" i="31"/>
  <c r="M373" i="31"/>
  <c r="J373" i="31"/>
  <c r="I373" i="31"/>
  <c r="H373" i="31"/>
  <c r="F373" i="31"/>
  <c r="N372" i="31"/>
  <c r="M372" i="31"/>
  <c r="H372" i="31"/>
  <c r="F372" i="31"/>
  <c r="L377" i="31" s="1"/>
  <c r="E372" i="31"/>
  <c r="H371" i="31"/>
  <c r="F371" i="31"/>
  <c r="N370" i="31"/>
  <c r="M370" i="31"/>
  <c r="J370" i="31"/>
  <c r="I370" i="31"/>
  <c r="H370" i="31"/>
  <c r="N369" i="31"/>
  <c r="M369" i="31"/>
  <c r="J369" i="31"/>
  <c r="I369" i="31"/>
  <c r="H369" i="31"/>
  <c r="F369" i="31"/>
  <c r="N368" i="31"/>
  <c r="M368" i="31"/>
  <c r="J368" i="31"/>
  <c r="I368" i="31"/>
  <c r="H368" i="31"/>
  <c r="F368" i="31"/>
  <c r="N367" i="31"/>
  <c r="M367" i="31"/>
  <c r="J367" i="31"/>
  <c r="I367" i="31"/>
  <c r="H367" i="31"/>
  <c r="F367" i="31"/>
  <c r="N366" i="31"/>
  <c r="M366" i="31"/>
  <c r="H366" i="31"/>
  <c r="F366" i="31"/>
  <c r="L371" i="31" s="1"/>
  <c r="E366" i="31"/>
  <c r="H365" i="31"/>
  <c r="F365" i="31"/>
  <c r="N364" i="31"/>
  <c r="M364" i="31"/>
  <c r="J364" i="31"/>
  <c r="I364" i="31"/>
  <c r="H364" i="31"/>
  <c r="N363" i="31"/>
  <c r="M363" i="31"/>
  <c r="J363" i="31"/>
  <c r="I363" i="31"/>
  <c r="H363" i="31"/>
  <c r="F363" i="31"/>
  <c r="N362" i="31"/>
  <c r="M362" i="31"/>
  <c r="J362" i="31"/>
  <c r="I362" i="31"/>
  <c r="H362" i="31"/>
  <c r="F362" i="31"/>
  <c r="N361" i="31"/>
  <c r="M361" i="31"/>
  <c r="J361" i="31"/>
  <c r="I361" i="31"/>
  <c r="H361" i="31"/>
  <c r="F361" i="31"/>
  <c r="N360" i="31"/>
  <c r="S360" i="31" s="1"/>
  <c r="M360" i="31"/>
  <c r="H360" i="31"/>
  <c r="F360" i="31"/>
  <c r="L365" i="31" s="1"/>
  <c r="E360" i="31"/>
  <c r="H359" i="31"/>
  <c r="F359" i="31"/>
  <c r="N358" i="31"/>
  <c r="M358" i="31"/>
  <c r="J358" i="31"/>
  <c r="I358" i="31"/>
  <c r="H358" i="31"/>
  <c r="F358" i="31"/>
  <c r="N357" i="31"/>
  <c r="M357" i="31"/>
  <c r="J357" i="31"/>
  <c r="I357" i="31"/>
  <c r="H357" i="31"/>
  <c r="F357" i="31"/>
  <c r="N356" i="31"/>
  <c r="M356" i="31"/>
  <c r="J356" i="31"/>
  <c r="I356" i="31"/>
  <c r="H356" i="31"/>
  <c r="F356" i="31"/>
  <c r="N355" i="31"/>
  <c r="M355" i="31"/>
  <c r="J355" i="31"/>
  <c r="I355" i="31"/>
  <c r="H355" i="31"/>
  <c r="F355" i="31"/>
  <c r="N354" i="31"/>
  <c r="P356" i="31" s="1"/>
  <c r="M354" i="31"/>
  <c r="H354" i="31"/>
  <c r="F354" i="31"/>
  <c r="L359" i="31" s="1"/>
  <c r="M359" i="31" s="1"/>
  <c r="E354" i="31"/>
  <c r="H353" i="31"/>
  <c r="F353" i="31"/>
  <c r="N352" i="31"/>
  <c r="M352" i="31"/>
  <c r="J352" i="31"/>
  <c r="I352" i="31"/>
  <c r="H352" i="31"/>
  <c r="N351" i="31"/>
  <c r="M351" i="31"/>
  <c r="J351" i="31"/>
  <c r="I351" i="31"/>
  <c r="H351" i="31"/>
  <c r="F351" i="31"/>
  <c r="N350" i="31"/>
  <c r="M350" i="31"/>
  <c r="J350" i="31"/>
  <c r="I350" i="31"/>
  <c r="H350" i="31"/>
  <c r="F350" i="31"/>
  <c r="N349" i="31"/>
  <c r="M349" i="31"/>
  <c r="J349" i="31"/>
  <c r="I349" i="31"/>
  <c r="H349" i="31"/>
  <c r="F349" i="31"/>
  <c r="N348" i="31"/>
  <c r="P351" i="31" s="1"/>
  <c r="M348" i="31"/>
  <c r="H348" i="31"/>
  <c r="F348" i="31"/>
  <c r="L353" i="31" s="1"/>
  <c r="E348" i="31"/>
  <c r="H347" i="31"/>
  <c r="F347" i="31"/>
  <c r="N346" i="31"/>
  <c r="M346" i="31"/>
  <c r="J346" i="31"/>
  <c r="I346" i="31"/>
  <c r="H346" i="31"/>
  <c r="N345" i="31"/>
  <c r="M345" i="31"/>
  <c r="J345" i="31"/>
  <c r="I345" i="31"/>
  <c r="H345" i="31"/>
  <c r="F345" i="31"/>
  <c r="N344" i="31"/>
  <c r="M344" i="31"/>
  <c r="J344" i="31"/>
  <c r="I344" i="31"/>
  <c r="H344" i="31"/>
  <c r="F344" i="31"/>
  <c r="N343" i="31"/>
  <c r="M343" i="31"/>
  <c r="J343" i="31"/>
  <c r="I343" i="31"/>
  <c r="H343" i="31"/>
  <c r="F343" i="31"/>
  <c r="N342" i="31"/>
  <c r="P343" i="31" s="1"/>
  <c r="M342" i="31"/>
  <c r="H342" i="31"/>
  <c r="F342" i="31"/>
  <c r="L347" i="31" s="1"/>
  <c r="E342" i="31"/>
  <c r="H341" i="31"/>
  <c r="F341" i="31"/>
  <c r="N340" i="31"/>
  <c r="M340" i="31"/>
  <c r="J340" i="31"/>
  <c r="I340" i="31"/>
  <c r="H340" i="31"/>
  <c r="N339" i="31"/>
  <c r="M339" i="31"/>
  <c r="J339" i="31"/>
  <c r="I339" i="31"/>
  <c r="H339" i="31"/>
  <c r="F339" i="31"/>
  <c r="N338" i="31"/>
  <c r="M338" i="31"/>
  <c r="J338" i="31"/>
  <c r="I338" i="31"/>
  <c r="H338" i="31"/>
  <c r="F338" i="31"/>
  <c r="N337" i="31"/>
  <c r="M337" i="31"/>
  <c r="J337" i="31"/>
  <c r="I337" i="31"/>
  <c r="H337" i="31"/>
  <c r="F337" i="31"/>
  <c r="N336" i="31"/>
  <c r="P340" i="31" s="1"/>
  <c r="M336" i="31"/>
  <c r="H336" i="31"/>
  <c r="F336" i="31"/>
  <c r="L341" i="31" s="1"/>
  <c r="E336" i="31"/>
  <c r="H335" i="31"/>
  <c r="F335" i="31"/>
  <c r="N334" i="31"/>
  <c r="M334" i="31"/>
  <c r="J334" i="31"/>
  <c r="I334" i="31"/>
  <c r="H334" i="31"/>
  <c r="N333" i="31"/>
  <c r="M333" i="31"/>
  <c r="J333" i="31"/>
  <c r="I333" i="31"/>
  <c r="H333" i="31"/>
  <c r="F333" i="31"/>
  <c r="N332" i="31"/>
  <c r="M332" i="31"/>
  <c r="J332" i="31"/>
  <c r="I332" i="31"/>
  <c r="H332" i="31"/>
  <c r="F332" i="31"/>
  <c r="N331" i="31"/>
  <c r="M331" i="31"/>
  <c r="J331" i="31"/>
  <c r="I331" i="31"/>
  <c r="H331" i="31"/>
  <c r="F331" i="31"/>
  <c r="N330" i="31"/>
  <c r="M330" i="31"/>
  <c r="H330" i="31"/>
  <c r="F330" i="31"/>
  <c r="L335" i="31" s="1"/>
  <c r="E330" i="31"/>
  <c r="H329" i="31"/>
  <c r="F329" i="31"/>
  <c r="N328" i="31"/>
  <c r="M328" i="31"/>
  <c r="J328" i="31"/>
  <c r="I328" i="31"/>
  <c r="H328" i="31"/>
  <c r="N327" i="31"/>
  <c r="M327" i="31"/>
  <c r="J327" i="31"/>
  <c r="I327" i="31"/>
  <c r="H327" i="31"/>
  <c r="F327" i="31"/>
  <c r="N326" i="31"/>
  <c r="M326" i="31"/>
  <c r="J326" i="31"/>
  <c r="I326" i="31"/>
  <c r="H326" i="31"/>
  <c r="F326" i="31"/>
  <c r="N325" i="31"/>
  <c r="M325" i="31"/>
  <c r="J325" i="31"/>
  <c r="I325" i="31"/>
  <c r="H325" i="31"/>
  <c r="F325" i="31"/>
  <c r="N324" i="31"/>
  <c r="P328" i="31" s="1"/>
  <c r="M324" i="31"/>
  <c r="H324" i="31"/>
  <c r="F324" i="31"/>
  <c r="L329" i="31" s="1"/>
  <c r="E324" i="31"/>
  <c r="H323" i="31"/>
  <c r="F323" i="31"/>
  <c r="N322" i="31"/>
  <c r="M322" i="31"/>
  <c r="J322" i="31"/>
  <c r="I322" i="31"/>
  <c r="H322" i="31"/>
  <c r="N321" i="31"/>
  <c r="M321" i="31"/>
  <c r="J321" i="31"/>
  <c r="I321" i="31"/>
  <c r="H321" i="31"/>
  <c r="F321" i="31"/>
  <c r="N320" i="31"/>
  <c r="M320" i="31"/>
  <c r="J320" i="31"/>
  <c r="I320" i="31"/>
  <c r="H320" i="31"/>
  <c r="F320" i="31"/>
  <c r="N319" i="31"/>
  <c r="M319" i="31"/>
  <c r="J319" i="31"/>
  <c r="I319" i="31"/>
  <c r="H319" i="31"/>
  <c r="F319" i="31"/>
  <c r="N318" i="31"/>
  <c r="P320" i="31" s="1"/>
  <c r="M318" i="31"/>
  <c r="H318" i="31"/>
  <c r="F318" i="31"/>
  <c r="L323" i="31" s="1"/>
  <c r="M323" i="31" s="1"/>
  <c r="E318" i="31"/>
  <c r="H317" i="31"/>
  <c r="F317" i="31"/>
  <c r="N316" i="31"/>
  <c r="M316" i="31"/>
  <c r="J316" i="31"/>
  <c r="I316" i="31"/>
  <c r="H316" i="31"/>
  <c r="N315" i="31"/>
  <c r="M315" i="31"/>
  <c r="J315" i="31"/>
  <c r="I315" i="31"/>
  <c r="H315" i="31"/>
  <c r="F315" i="31"/>
  <c r="N314" i="31"/>
  <c r="M314" i="31"/>
  <c r="J314" i="31"/>
  <c r="I314" i="31"/>
  <c r="H314" i="31"/>
  <c r="F314" i="31"/>
  <c r="N313" i="31"/>
  <c r="M313" i="31"/>
  <c r="J313" i="31"/>
  <c r="I313" i="31"/>
  <c r="H313" i="31"/>
  <c r="F313" i="31"/>
  <c r="N312" i="31"/>
  <c r="P316" i="31" s="1"/>
  <c r="M312" i="31"/>
  <c r="H312" i="31"/>
  <c r="F312" i="31"/>
  <c r="L317" i="31" s="1"/>
  <c r="E312" i="31"/>
  <c r="H311" i="31"/>
  <c r="F311" i="31"/>
  <c r="N310" i="31"/>
  <c r="M310" i="31"/>
  <c r="J310" i="31"/>
  <c r="I310" i="31"/>
  <c r="H310" i="31"/>
  <c r="N309" i="31"/>
  <c r="M309" i="31"/>
  <c r="J309" i="31"/>
  <c r="I309" i="31"/>
  <c r="H309" i="31"/>
  <c r="F309" i="31"/>
  <c r="N308" i="31"/>
  <c r="M308" i="31"/>
  <c r="J308" i="31"/>
  <c r="I308" i="31"/>
  <c r="H308" i="31"/>
  <c r="F308" i="31"/>
  <c r="N307" i="31"/>
  <c r="M307" i="31"/>
  <c r="J307" i="31"/>
  <c r="I307" i="31"/>
  <c r="H307" i="31"/>
  <c r="F307" i="31"/>
  <c r="N306" i="31"/>
  <c r="P310" i="31" s="1"/>
  <c r="M306" i="31"/>
  <c r="H306" i="31"/>
  <c r="F306" i="31"/>
  <c r="L311" i="31" s="1"/>
  <c r="M311" i="31" s="1"/>
  <c r="E306" i="31"/>
  <c r="H305" i="31"/>
  <c r="F305" i="31"/>
  <c r="N304" i="31"/>
  <c r="M304" i="31"/>
  <c r="J304" i="31"/>
  <c r="I304" i="31"/>
  <c r="H304" i="31"/>
  <c r="F304" i="31"/>
  <c r="N303" i="31"/>
  <c r="P304" i="31" s="1"/>
  <c r="M303" i="31"/>
  <c r="H303" i="31"/>
  <c r="F303" i="31"/>
  <c r="L305" i="31" s="1"/>
  <c r="E303" i="31"/>
  <c r="H302" i="31"/>
  <c r="F302" i="31"/>
  <c r="N301" i="31"/>
  <c r="M301" i="31"/>
  <c r="J301" i="31"/>
  <c r="I301" i="31"/>
  <c r="H301" i="31"/>
  <c r="F301" i="31"/>
  <c r="N300" i="31"/>
  <c r="P301" i="31" s="1"/>
  <c r="M300" i="31"/>
  <c r="H300" i="31"/>
  <c r="F300" i="31"/>
  <c r="L302" i="31" s="1"/>
  <c r="E300" i="31"/>
  <c r="H299" i="31"/>
  <c r="F299" i="31"/>
  <c r="N298" i="31"/>
  <c r="M298" i="31"/>
  <c r="J298" i="31"/>
  <c r="I298" i="31"/>
  <c r="H298" i="31"/>
  <c r="F298" i="31"/>
  <c r="N297" i="31"/>
  <c r="P298" i="31" s="1"/>
  <c r="M297" i="31"/>
  <c r="H297" i="31"/>
  <c r="F297" i="31"/>
  <c r="L299" i="31" s="1"/>
  <c r="E297" i="31"/>
  <c r="H296" i="31"/>
  <c r="F296" i="31"/>
  <c r="N295" i="31"/>
  <c r="M295" i="31"/>
  <c r="J295" i="31"/>
  <c r="I295" i="31"/>
  <c r="H295" i="31"/>
  <c r="F295" i="31"/>
  <c r="N294" i="31"/>
  <c r="R294" i="31" s="1"/>
  <c r="M294" i="31"/>
  <c r="H294" i="31"/>
  <c r="F294" i="31"/>
  <c r="L296" i="31" s="1"/>
  <c r="E294" i="31"/>
  <c r="H293" i="31"/>
  <c r="F293" i="31"/>
  <c r="N292" i="31"/>
  <c r="M292" i="31"/>
  <c r="J292" i="31"/>
  <c r="I292" i="31"/>
  <c r="H292" i="31"/>
  <c r="F292" i="31"/>
  <c r="N291" i="31"/>
  <c r="P292" i="31" s="1"/>
  <c r="M291" i="31"/>
  <c r="H291" i="31"/>
  <c r="F291" i="31"/>
  <c r="L293" i="31" s="1"/>
  <c r="E291" i="31"/>
  <c r="H290" i="31"/>
  <c r="F290" i="31"/>
  <c r="N289" i="31"/>
  <c r="M289" i="31"/>
  <c r="J289" i="31"/>
  <c r="I289" i="31"/>
  <c r="H289" i="31"/>
  <c r="F289" i="31"/>
  <c r="N288" i="31"/>
  <c r="P289" i="31" s="1"/>
  <c r="M288" i="31"/>
  <c r="H288" i="31"/>
  <c r="F288" i="31"/>
  <c r="L290" i="31" s="1"/>
  <c r="E288" i="31"/>
  <c r="H287" i="31"/>
  <c r="F287" i="31"/>
  <c r="N286" i="31"/>
  <c r="M286" i="31"/>
  <c r="J286" i="31"/>
  <c r="I286" i="31"/>
  <c r="H286" i="31"/>
  <c r="F286" i="31"/>
  <c r="N285" i="31"/>
  <c r="P286" i="31" s="1"/>
  <c r="M285" i="31"/>
  <c r="H285" i="31"/>
  <c r="F285" i="31"/>
  <c r="L287" i="31" s="1"/>
  <c r="M287" i="31" s="1"/>
  <c r="E285" i="31"/>
  <c r="H284" i="31"/>
  <c r="F284" i="31"/>
  <c r="N283" i="31"/>
  <c r="M283" i="31"/>
  <c r="J283" i="31"/>
  <c r="I283" i="31"/>
  <c r="H283" i="31"/>
  <c r="F283" i="31"/>
  <c r="N282" i="31"/>
  <c r="R282" i="31" s="1"/>
  <c r="M282" i="31"/>
  <c r="H282" i="31"/>
  <c r="F282" i="31"/>
  <c r="L284" i="31" s="1"/>
  <c r="E282" i="31"/>
  <c r="H281" i="31"/>
  <c r="F281" i="31"/>
  <c r="N280" i="31"/>
  <c r="M280" i="31"/>
  <c r="J280" i="31"/>
  <c r="I280" i="31"/>
  <c r="H280" i="31"/>
  <c r="F280" i="31"/>
  <c r="N279" i="31"/>
  <c r="P280" i="31" s="1"/>
  <c r="M279" i="31"/>
  <c r="H279" i="31"/>
  <c r="F279" i="31"/>
  <c r="L281" i="31" s="1"/>
  <c r="E279" i="31"/>
  <c r="H278" i="31"/>
  <c r="F278" i="31"/>
  <c r="N277" i="31"/>
  <c r="M277" i="31"/>
  <c r="J277" i="31"/>
  <c r="I277" i="31"/>
  <c r="H277" i="31"/>
  <c r="F277" i="31"/>
  <c r="N276" i="31"/>
  <c r="P277" i="31" s="1"/>
  <c r="M276" i="31"/>
  <c r="H276" i="31"/>
  <c r="F276" i="31"/>
  <c r="L278" i="31" s="1"/>
  <c r="E276" i="31"/>
  <c r="H275" i="31"/>
  <c r="F275" i="31"/>
  <c r="N274" i="31"/>
  <c r="M274" i="31"/>
  <c r="J274" i="31"/>
  <c r="I274" i="31"/>
  <c r="H274" i="31"/>
  <c r="F274" i="31"/>
  <c r="N273" i="31"/>
  <c r="M273" i="31"/>
  <c r="J273" i="31"/>
  <c r="I273" i="31"/>
  <c r="H273" i="31"/>
  <c r="F273" i="31"/>
  <c r="N272" i="31"/>
  <c r="M272" i="31"/>
  <c r="J272" i="31"/>
  <c r="I272" i="31"/>
  <c r="H272" i="31"/>
  <c r="F272" i="31"/>
  <c r="N271" i="31"/>
  <c r="P272" i="31" s="1"/>
  <c r="M271" i="31"/>
  <c r="H271" i="31"/>
  <c r="F271" i="31"/>
  <c r="L275" i="31" s="1"/>
  <c r="M275" i="31" s="1"/>
  <c r="N275" i="31" s="1"/>
  <c r="E271" i="31"/>
  <c r="H270" i="31"/>
  <c r="F270" i="31"/>
  <c r="N269" i="31"/>
  <c r="M269" i="31"/>
  <c r="J269" i="31"/>
  <c r="I269" i="31"/>
  <c r="H269" i="31"/>
  <c r="F269" i="31"/>
  <c r="N268" i="31"/>
  <c r="M268" i="31"/>
  <c r="J268" i="31"/>
  <c r="I268" i="31"/>
  <c r="H268" i="31"/>
  <c r="F268" i="31"/>
  <c r="N267" i="31"/>
  <c r="M267" i="31"/>
  <c r="J267" i="31"/>
  <c r="I267" i="31"/>
  <c r="H267" i="31"/>
  <c r="F267" i="31"/>
  <c r="N266" i="31"/>
  <c r="P270" i="31" s="1"/>
  <c r="M266" i="31"/>
  <c r="H266" i="31"/>
  <c r="F266" i="31"/>
  <c r="L270" i="31" s="1"/>
  <c r="E266" i="31"/>
  <c r="H265" i="31"/>
  <c r="F265" i="31"/>
  <c r="N264" i="31"/>
  <c r="M264" i="31"/>
  <c r="J264" i="31"/>
  <c r="I264" i="31"/>
  <c r="H264" i="31"/>
  <c r="F264" i="31"/>
  <c r="N263" i="31"/>
  <c r="M263" i="31"/>
  <c r="J263" i="31"/>
  <c r="I263" i="31"/>
  <c r="H263" i="31"/>
  <c r="F263" i="31"/>
  <c r="N262" i="31"/>
  <c r="M262" i="31"/>
  <c r="J262" i="31"/>
  <c r="I262" i="31"/>
  <c r="H262" i="31"/>
  <c r="F262" i="31"/>
  <c r="N261" i="31"/>
  <c r="P264" i="31" s="1"/>
  <c r="M261" i="31"/>
  <c r="H261" i="31"/>
  <c r="F261" i="31"/>
  <c r="L265" i="31" s="1"/>
  <c r="E261" i="31"/>
  <c r="H260" i="31"/>
  <c r="F260" i="31"/>
  <c r="N259" i="31"/>
  <c r="M259" i="31"/>
  <c r="J259" i="31"/>
  <c r="I259" i="31"/>
  <c r="H259" i="31"/>
  <c r="F259" i="31"/>
  <c r="N258" i="31"/>
  <c r="M258" i="31"/>
  <c r="J258" i="31"/>
  <c r="I258" i="31"/>
  <c r="H258" i="31"/>
  <c r="F258" i="31"/>
  <c r="N257" i="31"/>
  <c r="M257" i="31"/>
  <c r="J257" i="31"/>
  <c r="I257" i="31"/>
  <c r="H257" i="31"/>
  <c r="F257" i="31"/>
  <c r="N256" i="31"/>
  <c r="P257" i="31" s="1"/>
  <c r="M256" i="31"/>
  <c r="H256" i="31"/>
  <c r="F256" i="31"/>
  <c r="L260" i="31" s="1"/>
  <c r="E256" i="31"/>
  <c r="N255" i="31"/>
  <c r="S255" i="31" s="1"/>
  <c r="M255" i="31"/>
  <c r="H255" i="31"/>
  <c r="F255" i="31"/>
  <c r="N254" i="31"/>
  <c r="S254" i="31" s="1"/>
  <c r="M254" i="31"/>
  <c r="H254" i="31"/>
  <c r="F254" i="31"/>
  <c r="N253" i="31"/>
  <c r="M253" i="31"/>
  <c r="H253" i="31"/>
  <c r="F253" i="31"/>
  <c r="N252" i="31"/>
  <c r="S252" i="31" s="1"/>
  <c r="M252" i="31"/>
  <c r="H252" i="31"/>
  <c r="F252" i="31"/>
  <c r="N251" i="31"/>
  <c r="Q251" i="31" s="1"/>
  <c r="M251" i="31"/>
  <c r="H251" i="31"/>
  <c r="F251" i="31"/>
  <c r="N250" i="31"/>
  <c r="S250" i="31" s="1"/>
  <c r="M250" i="31"/>
  <c r="H250" i="31"/>
  <c r="F250" i="31"/>
  <c r="N249" i="31"/>
  <c r="Q249" i="31" s="1"/>
  <c r="M249" i="31"/>
  <c r="H249" i="31"/>
  <c r="F249" i="31"/>
  <c r="N248" i="31"/>
  <c r="S248" i="31" s="1"/>
  <c r="M248" i="31"/>
  <c r="H248" i="31"/>
  <c r="N247" i="31"/>
  <c r="S247" i="31" s="1"/>
  <c r="M247" i="31"/>
  <c r="H247" i="31"/>
  <c r="N246" i="31"/>
  <c r="Q246" i="31" s="1"/>
  <c r="M246" i="31"/>
  <c r="H246" i="31"/>
  <c r="N245" i="31"/>
  <c r="M245" i="31"/>
  <c r="H245" i="31"/>
  <c r="N244" i="31"/>
  <c r="S244" i="31" s="1"/>
  <c r="M244" i="31"/>
  <c r="H244" i="31"/>
  <c r="N243" i="31"/>
  <c r="Q243" i="31" s="1"/>
  <c r="M243" i="31"/>
  <c r="H243" i="31"/>
  <c r="N242" i="31"/>
  <c r="S242" i="31" s="1"/>
  <c r="M242" i="31"/>
  <c r="H242" i="31"/>
  <c r="F242" i="31"/>
  <c r="N241" i="31"/>
  <c r="S241" i="31" s="1"/>
  <c r="M241" i="31"/>
  <c r="H241" i="31"/>
  <c r="G241" i="31"/>
  <c r="F241" i="31"/>
  <c r="E241" i="31"/>
  <c r="N240" i="31"/>
  <c r="S240" i="31" s="1"/>
  <c r="M240" i="31"/>
  <c r="H240" i="31"/>
  <c r="G240" i="31"/>
  <c r="F240" i="31"/>
  <c r="E240" i="31"/>
  <c r="N239" i="31"/>
  <c r="S239" i="31" s="1"/>
  <c r="M239" i="31"/>
  <c r="H239" i="31"/>
  <c r="F239" i="31"/>
  <c r="N238" i="31"/>
  <c r="S238" i="31" s="1"/>
  <c r="M238" i="31"/>
  <c r="H238" i="31"/>
  <c r="F238" i="31"/>
  <c r="H237" i="31"/>
  <c r="F237" i="31"/>
  <c r="H236" i="31"/>
  <c r="G236" i="31"/>
  <c r="F236" i="31"/>
  <c r="E236" i="31"/>
  <c r="H235" i="31"/>
  <c r="F235" i="31"/>
  <c r="H234" i="31"/>
  <c r="G234" i="31"/>
  <c r="F234" i="31"/>
  <c r="E234" i="31"/>
  <c r="H233" i="31"/>
  <c r="F233" i="31"/>
  <c r="N232" i="31"/>
  <c r="S232" i="31" s="1"/>
  <c r="M232" i="31"/>
  <c r="H232" i="31"/>
  <c r="G232" i="31"/>
  <c r="F232" i="31"/>
  <c r="L233" i="31" s="1"/>
  <c r="M233" i="31" s="1"/>
  <c r="N233" i="31" s="1"/>
  <c r="E232" i="31"/>
  <c r="H231" i="31"/>
  <c r="F231" i="31"/>
  <c r="H230" i="31"/>
  <c r="G230" i="31"/>
  <c r="F230" i="31"/>
  <c r="E230" i="31"/>
  <c r="H229" i="31"/>
  <c r="G229" i="31"/>
  <c r="F229" i="31"/>
  <c r="E229" i="31"/>
  <c r="D229" i="31"/>
  <c r="C229" i="31"/>
  <c r="B229" i="31"/>
  <c r="N228" i="31"/>
  <c r="J228" i="31"/>
  <c r="I228" i="31"/>
  <c r="H228" i="31"/>
  <c r="E228" i="31"/>
  <c r="N227" i="31"/>
  <c r="Q227" i="31" s="1"/>
  <c r="M227" i="31"/>
  <c r="K227" i="31"/>
  <c r="H227" i="31"/>
  <c r="G227" i="31"/>
  <c r="F227" i="31"/>
  <c r="E227" i="31"/>
  <c r="D227" i="31"/>
  <c r="C227" i="31"/>
  <c r="B227" i="31"/>
  <c r="N226" i="31"/>
  <c r="S226" i="31" s="1"/>
  <c r="M226" i="31"/>
  <c r="K226" i="31"/>
  <c r="H226" i="31"/>
  <c r="G226" i="31"/>
  <c r="F226" i="31"/>
  <c r="E226" i="31"/>
  <c r="D226" i="31"/>
  <c r="C226" i="31"/>
  <c r="B226" i="31"/>
  <c r="N225" i="31"/>
  <c r="Q225" i="31" s="1"/>
  <c r="M225" i="31"/>
  <c r="K225" i="31"/>
  <c r="H225" i="31"/>
  <c r="G225" i="31"/>
  <c r="F225" i="31"/>
  <c r="E225" i="31"/>
  <c r="D225" i="31"/>
  <c r="C225" i="31"/>
  <c r="B225" i="31"/>
  <c r="N224" i="31"/>
  <c r="S224" i="31" s="1"/>
  <c r="M224" i="31"/>
  <c r="K224" i="31"/>
  <c r="H224" i="31"/>
  <c r="G224" i="31"/>
  <c r="F224" i="31"/>
  <c r="E224" i="31"/>
  <c r="D224" i="31"/>
  <c r="C224" i="31"/>
  <c r="B224" i="31"/>
  <c r="N223" i="31"/>
  <c r="S223" i="31" s="1"/>
  <c r="M223" i="31"/>
  <c r="K223" i="31"/>
  <c r="H223" i="31"/>
  <c r="G223" i="31"/>
  <c r="F223" i="31"/>
  <c r="E223" i="31"/>
  <c r="D223" i="31"/>
  <c r="C223" i="31"/>
  <c r="B223" i="31"/>
  <c r="N222" i="31"/>
  <c r="M222" i="31"/>
  <c r="K222" i="31"/>
  <c r="H222" i="31"/>
  <c r="G222" i="31"/>
  <c r="F222" i="31"/>
  <c r="E222" i="31"/>
  <c r="D222" i="31"/>
  <c r="C222" i="31"/>
  <c r="B222" i="31"/>
  <c r="N221" i="31"/>
  <c r="M221" i="31"/>
  <c r="K221" i="31"/>
  <c r="H221" i="31"/>
  <c r="G221" i="31"/>
  <c r="F221" i="31"/>
  <c r="E221" i="31"/>
  <c r="D221" i="31"/>
  <c r="C221" i="31"/>
  <c r="B221" i="31"/>
  <c r="N220" i="31"/>
  <c r="S220" i="31" s="1"/>
  <c r="M220" i="31"/>
  <c r="K220" i="31"/>
  <c r="H220" i="31"/>
  <c r="G220" i="31"/>
  <c r="F220" i="31"/>
  <c r="E220" i="31"/>
  <c r="D220" i="31"/>
  <c r="C220" i="31"/>
  <c r="B220" i="31"/>
  <c r="N219" i="31"/>
  <c r="S219" i="31" s="1"/>
  <c r="M219" i="31"/>
  <c r="K219" i="31"/>
  <c r="H219" i="31"/>
  <c r="G219" i="31"/>
  <c r="F219" i="31"/>
  <c r="E219" i="31"/>
  <c r="D219" i="31"/>
  <c r="C219" i="31"/>
  <c r="B219" i="31"/>
  <c r="N218" i="31"/>
  <c r="S218" i="31" s="1"/>
  <c r="M218" i="31"/>
  <c r="K218" i="31"/>
  <c r="H218" i="31"/>
  <c r="G218" i="31"/>
  <c r="F218" i="31"/>
  <c r="E218" i="31"/>
  <c r="D218" i="31"/>
  <c r="C218" i="31"/>
  <c r="B218" i="31"/>
  <c r="N217" i="31"/>
  <c r="S217" i="31" s="1"/>
  <c r="M217" i="31"/>
  <c r="K217" i="31"/>
  <c r="H217" i="31"/>
  <c r="G217" i="31"/>
  <c r="F217" i="31"/>
  <c r="E217" i="31"/>
  <c r="D217" i="31"/>
  <c r="C217" i="31"/>
  <c r="B217" i="31"/>
  <c r="N216" i="31"/>
  <c r="S216" i="31" s="1"/>
  <c r="M216" i="31"/>
  <c r="K216" i="31"/>
  <c r="H216" i="31"/>
  <c r="G216" i="31"/>
  <c r="F216" i="31"/>
  <c r="E216" i="31"/>
  <c r="D216" i="31"/>
  <c r="C216" i="31"/>
  <c r="B216" i="31"/>
  <c r="N215" i="31"/>
  <c r="S215" i="31" s="1"/>
  <c r="M215" i="31"/>
  <c r="K215" i="31"/>
  <c r="H215" i="31"/>
  <c r="G215" i="31"/>
  <c r="F215" i="31"/>
  <c r="E215" i="31"/>
  <c r="D215" i="31"/>
  <c r="C215" i="31"/>
  <c r="B215" i="31"/>
  <c r="N214" i="31"/>
  <c r="M214" i="31"/>
  <c r="K214" i="31"/>
  <c r="H214" i="31"/>
  <c r="G214" i="31"/>
  <c r="F214" i="31"/>
  <c r="E214" i="31"/>
  <c r="D214" i="31"/>
  <c r="C214" i="31"/>
  <c r="B214" i="31"/>
  <c r="N213" i="31"/>
  <c r="Q213" i="31" s="1"/>
  <c r="M213" i="31"/>
  <c r="K213" i="31"/>
  <c r="H213" i="31"/>
  <c r="G213" i="31"/>
  <c r="F213" i="31"/>
  <c r="E213" i="31"/>
  <c r="D213" i="31"/>
  <c r="C213" i="31"/>
  <c r="B213" i="31"/>
  <c r="N212" i="31"/>
  <c r="S212" i="31" s="1"/>
  <c r="M212" i="31"/>
  <c r="K212" i="31"/>
  <c r="H212" i="31"/>
  <c r="G212" i="31"/>
  <c r="F212" i="31"/>
  <c r="E212" i="31"/>
  <c r="D212" i="31"/>
  <c r="C212" i="31"/>
  <c r="B212" i="31"/>
  <c r="N211" i="31"/>
  <c r="S211" i="31" s="1"/>
  <c r="M211" i="31"/>
  <c r="K211" i="31"/>
  <c r="H211" i="31"/>
  <c r="G211" i="31"/>
  <c r="F211" i="31"/>
  <c r="E211" i="31"/>
  <c r="D211" i="31"/>
  <c r="C211" i="31"/>
  <c r="B211" i="31"/>
  <c r="N210" i="31"/>
  <c r="Q210" i="31" s="1"/>
  <c r="M210" i="31"/>
  <c r="K210" i="31"/>
  <c r="H210" i="31"/>
  <c r="G210" i="31"/>
  <c r="F210" i="31"/>
  <c r="E210" i="31"/>
  <c r="D210" i="31"/>
  <c r="C210" i="31"/>
  <c r="B210" i="31"/>
  <c r="N209" i="31"/>
  <c r="S209" i="31" s="1"/>
  <c r="M209" i="31"/>
  <c r="K209" i="31"/>
  <c r="H209" i="31"/>
  <c r="G209" i="31"/>
  <c r="F209" i="31"/>
  <c r="E209" i="31"/>
  <c r="D209" i="31"/>
  <c r="C209" i="31"/>
  <c r="B209" i="31"/>
  <c r="N208" i="31"/>
  <c r="S208" i="31" s="1"/>
  <c r="M208" i="31"/>
  <c r="K208" i="31"/>
  <c r="H208" i="31"/>
  <c r="G208" i="31"/>
  <c r="F208" i="31"/>
  <c r="E208" i="31"/>
  <c r="D208" i="31"/>
  <c r="C208" i="31"/>
  <c r="B208" i="31"/>
  <c r="N207" i="31"/>
  <c r="S207" i="31" s="1"/>
  <c r="M207" i="31"/>
  <c r="K207" i="31"/>
  <c r="H207" i="31"/>
  <c r="G207" i="31"/>
  <c r="F207" i="31"/>
  <c r="E207" i="31"/>
  <c r="D207" i="31"/>
  <c r="C207" i="31"/>
  <c r="B207" i="31"/>
  <c r="N206" i="31"/>
  <c r="M206" i="31"/>
  <c r="K206" i="31"/>
  <c r="H206" i="31"/>
  <c r="G206" i="31"/>
  <c r="F206" i="31"/>
  <c r="E206" i="31"/>
  <c r="D206" i="31"/>
  <c r="C206" i="31"/>
  <c r="B206" i="31"/>
  <c r="N205" i="31"/>
  <c r="M205" i="31"/>
  <c r="K205" i="31"/>
  <c r="H205" i="31"/>
  <c r="G205" i="31"/>
  <c r="F205" i="31"/>
  <c r="E205" i="31"/>
  <c r="D205" i="31"/>
  <c r="C205" i="31"/>
  <c r="B205" i="31"/>
  <c r="N204" i="31"/>
  <c r="S204" i="31" s="1"/>
  <c r="M204" i="31"/>
  <c r="K204" i="31"/>
  <c r="H204" i="31"/>
  <c r="G204" i="31"/>
  <c r="F204" i="31"/>
  <c r="E204" i="31"/>
  <c r="D204" i="31"/>
  <c r="C204" i="31"/>
  <c r="B204" i="31"/>
  <c r="N203" i="31"/>
  <c r="S203" i="31" s="1"/>
  <c r="M203" i="31"/>
  <c r="K203" i="31"/>
  <c r="H203" i="31"/>
  <c r="G203" i="31"/>
  <c r="F203" i="31"/>
  <c r="E203" i="31"/>
  <c r="D203" i="31"/>
  <c r="C203" i="31"/>
  <c r="B203" i="31"/>
  <c r="N202" i="31"/>
  <c r="J202" i="31"/>
  <c r="I202" i="31"/>
  <c r="H202" i="31"/>
  <c r="G202" i="31"/>
  <c r="F202" i="31"/>
  <c r="E202" i="31"/>
  <c r="N201" i="31"/>
  <c r="R201" i="31" s="1"/>
  <c r="M201" i="31"/>
  <c r="H201" i="31"/>
  <c r="F201" i="31"/>
  <c r="N200" i="31"/>
  <c r="M200" i="31"/>
  <c r="H200" i="31"/>
  <c r="F200" i="31"/>
  <c r="N199" i="31"/>
  <c r="M199" i="31"/>
  <c r="I199" i="31"/>
  <c r="H199" i="31"/>
  <c r="F199" i="31"/>
  <c r="N198" i="31"/>
  <c r="M198" i="31"/>
  <c r="I198" i="31"/>
  <c r="H198" i="31"/>
  <c r="F198" i="31"/>
  <c r="N197" i="31"/>
  <c r="P199" i="31" s="1"/>
  <c r="M197" i="31"/>
  <c r="H197" i="31"/>
  <c r="F197" i="31"/>
  <c r="E197" i="31"/>
  <c r="N196" i="31"/>
  <c r="M196" i="31"/>
  <c r="I196" i="31"/>
  <c r="H196" i="31"/>
  <c r="F196" i="31"/>
  <c r="N195" i="31"/>
  <c r="M195" i="31"/>
  <c r="I195" i="31"/>
  <c r="H195" i="31"/>
  <c r="F195" i="31"/>
  <c r="N194" i="31"/>
  <c r="M194" i="31"/>
  <c r="H194" i="31"/>
  <c r="F194" i="31"/>
  <c r="E194" i="31"/>
  <c r="N193" i="31"/>
  <c r="M193" i="31"/>
  <c r="I193" i="31"/>
  <c r="H193" i="31"/>
  <c r="F193" i="31"/>
  <c r="N192" i="31"/>
  <c r="M192" i="31"/>
  <c r="I192" i="31"/>
  <c r="H192" i="31"/>
  <c r="F192" i="31"/>
  <c r="E192" i="31"/>
  <c r="N191" i="31"/>
  <c r="M191" i="31"/>
  <c r="I191" i="31"/>
  <c r="H191" i="31"/>
  <c r="F191" i="31"/>
  <c r="N190" i="31"/>
  <c r="P192" i="31" s="1"/>
  <c r="M190" i="31"/>
  <c r="H190" i="31"/>
  <c r="F190" i="31"/>
  <c r="E190" i="31"/>
  <c r="H189" i="31"/>
  <c r="F189" i="31"/>
  <c r="N188" i="31"/>
  <c r="S188" i="31" s="1"/>
  <c r="M188" i="31"/>
  <c r="H188" i="31"/>
  <c r="F188" i="31"/>
  <c r="N187" i="31"/>
  <c r="S187" i="31" s="1"/>
  <c r="M187" i="31"/>
  <c r="H187" i="31"/>
  <c r="F187" i="31"/>
  <c r="N186" i="31"/>
  <c r="S186" i="31" s="1"/>
  <c r="M186" i="31"/>
  <c r="H186" i="31"/>
  <c r="F186" i="31"/>
  <c r="D186" i="31"/>
  <c r="C186" i="31"/>
  <c r="B186" i="31"/>
  <c r="N185" i="31"/>
  <c r="S185" i="31" s="1"/>
  <c r="M185" i="31"/>
  <c r="H185" i="31"/>
  <c r="F185" i="31"/>
  <c r="D185" i="31"/>
  <c r="C185" i="31"/>
  <c r="B185" i="31"/>
  <c r="H184" i="31"/>
  <c r="F184" i="31"/>
  <c r="N183" i="31"/>
  <c r="M183" i="31"/>
  <c r="I183" i="31"/>
  <c r="H183" i="31"/>
  <c r="F183" i="31"/>
  <c r="N182" i="31"/>
  <c r="M182" i="31"/>
  <c r="I182" i="31"/>
  <c r="H182" i="31"/>
  <c r="F182" i="31"/>
  <c r="N181" i="31"/>
  <c r="M181" i="31"/>
  <c r="I181" i="31"/>
  <c r="H181" i="31"/>
  <c r="F181" i="31"/>
  <c r="N180" i="31"/>
  <c r="P181" i="31" s="1"/>
  <c r="M180" i="31"/>
  <c r="H180" i="31"/>
  <c r="F180" i="31"/>
  <c r="E180" i="31"/>
  <c r="N179" i="31"/>
  <c r="M179" i="31"/>
  <c r="I179" i="31"/>
  <c r="H179" i="31"/>
  <c r="F179" i="31"/>
  <c r="N178" i="31"/>
  <c r="M178" i="31"/>
  <c r="I178" i="31"/>
  <c r="H178" i="31"/>
  <c r="F178" i="31"/>
  <c r="N177" i="31"/>
  <c r="M177" i="31"/>
  <c r="I177" i="31"/>
  <c r="H177" i="31"/>
  <c r="F177" i="31"/>
  <c r="N176" i="31"/>
  <c r="R176" i="31" s="1"/>
  <c r="M176" i="31"/>
  <c r="H176" i="31"/>
  <c r="F176" i="31"/>
  <c r="E176" i="31"/>
  <c r="N175" i="31"/>
  <c r="M175" i="31"/>
  <c r="I175" i="31"/>
  <c r="H175" i="31"/>
  <c r="F175" i="31"/>
  <c r="N174" i="31"/>
  <c r="M174" i="31"/>
  <c r="I174" i="31"/>
  <c r="H174" i="31"/>
  <c r="F174" i="31"/>
  <c r="N173" i="31"/>
  <c r="M173" i="31"/>
  <c r="I173" i="31"/>
  <c r="H173" i="31"/>
  <c r="F173" i="31"/>
  <c r="N172" i="31"/>
  <c r="M172" i="31"/>
  <c r="H172" i="31"/>
  <c r="F172" i="31"/>
  <c r="E172" i="31"/>
  <c r="N171" i="31"/>
  <c r="M171" i="31"/>
  <c r="I171" i="31"/>
  <c r="H171" i="31"/>
  <c r="F171" i="31"/>
  <c r="N170" i="31"/>
  <c r="M170" i="31"/>
  <c r="I170" i="31"/>
  <c r="H170" i="31"/>
  <c r="F170" i="31"/>
  <c r="N169" i="31"/>
  <c r="M169" i="31"/>
  <c r="I169" i="31"/>
  <c r="H169" i="31"/>
  <c r="F169" i="31"/>
  <c r="N168" i="31"/>
  <c r="Q168" i="31" s="1"/>
  <c r="M168" i="31"/>
  <c r="H168" i="31"/>
  <c r="F168" i="31"/>
  <c r="E168" i="31"/>
  <c r="N167" i="31"/>
  <c r="M167" i="31"/>
  <c r="I167" i="31"/>
  <c r="H167" i="31"/>
  <c r="F167" i="31"/>
  <c r="N166" i="31"/>
  <c r="M166" i="31"/>
  <c r="I166" i="31"/>
  <c r="H166" i="31"/>
  <c r="F166" i="31"/>
  <c r="N165" i="31"/>
  <c r="M165" i="31"/>
  <c r="I165" i="31"/>
  <c r="H165" i="31"/>
  <c r="F165" i="31"/>
  <c r="N164" i="31"/>
  <c r="P165" i="31" s="1"/>
  <c r="M164" i="31"/>
  <c r="H164" i="31"/>
  <c r="F164" i="31"/>
  <c r="E164" i="31"/>
  <c r="N163" i="31"/>
  <c r="M163" i="31"/>
  <c r="I163" i="31"/>
  <c r="H163" i="31"/>
  <c r="F163" i="31"/>
  <c r="N162" i="31"/>
  <c r="M162" i="31"/>
  <c r="I162" i="31"/>
  <c r="H162" i="31"/>
  <c r="F162" i="31"/>
  <c r="N161" i="31"/>
  <c r="M161" i="31"/>
  <c r="I161" i="31"/>
  <c r="H161" i="31"/>
  <c r="F161" i="31"/>
  <c r="N160" i="31"/>
  <c r="M160" i="31"/>
  <c r="H160" i="31"/>
  <c r="F160" i="31"/>
  <c r="E160" i="31"/>
  <c r="N159" i="31"/>
  <c r="M159" i="31"/>
  <c r="I159" i="31"/>
  <c r="H159" i="31"/>
  <c r="F159" i="31"/>
  <c r="N158" i="31"/>
  <c r="M158" i="31"/>
  <c r="I158" i="31"/>
  <c r="H158" i="31"/>
  <c r="F158" i="31"/>
  <c r="N157" i="31"/>
  <c r="P158" i="31" s="1"/>
  <c r="M157" i="31"/>
  <c r="H157" i="31"/>
  <c r="F157" i="31"/>
  <c r="E157" i="31"/>
  <c r="N156" i="31"/>
  <c r="M156" i="31"/>
  <c r="I156" i="31"/>
  <c r="H156" i="31"/>
  <c r="F156" i="31"/>
  <c r="N155" i="31"/>
  <c r="M155" i="31"/>
  <c r="I155" i="31"/>
  <c r="H155" i="31"/>
  <c r="F155" i="31"/>
  <c r="N154" i="31"/>
  <c r="P155" i="31" s="1"/>
  <c r="M154" i="31"/>
  <c r="H154" i="31"/>
  <c r="F154" i="31"/>
  <c r="E154" i="31"/>
  <c r="N153" i="31"/>
  <c r="M153" i="31"/>
  <c r="I153" i="31"/>
  <c r="H153" i="31"/>
  <c r="F153" i="31"/>
  <c r="N152" i="31"/>
  <c r="M152" i="31"/>
  <c r="I152" i="31"/>
  <c r="H152" i="31"/>
  <c r="F152" i="31"/>
  <c r="N151" i="31"/>
  <c r="Q151" i="31" s="1"/>
  <c r="M151" i="31"/>
  <c r="H151" i="31"/>
  <c r="F151" i="31"/>
  <c r="E151" i="31"/>
  <c r="N150" i="31"/>
  <c r="M150" i="31"/>
  <c r="I150" i="31"/>
  <c r="H150" i="31"/>
  <c r="F150" i="31"/>
  <c r="N149" i="31"/>
  <c r="M149" i="31"/>
  <c r="I149" i="31"/>
  <c r="H149" i="31"/>
  <c r="F149" i="31"/>
  <c r="N148" i="31"/>
  <c r="P149" i="31" s="1"/>
  <c r="M148" i="31"/>
  <c r="H148" i="31"/>
  <c r="F148" i="31"/>
  <c r="E148" i="31"/>
  <c r="N147" i="31"/>
  <c r="M147" i="31"/>
  <c r="I147" i="31"/>
  <c r="H147" i="31"/>
  <c r="F147" i="31"/>
  <c r="N146" i="31"/>
  <c r="M146" i="31"/>
  <c r="I146" i="31"/>
  <c r="H146" i="31"/>
  <c r="F146" i="31"/>
  <c r="N145" i="31"/>
  <c r="P146" i="31" s="1"/>
  <c r="M145" i="31"/>
  <c r="H145" i="31"/>
  <c r="F145" i="31"/>
  <c r="E145" i="31"/>
  <c r="N144" i="31"/>
  <c r="M144" i="31"/>
  <c r="I144" i="31"/>
  <c r="H144" i="31"/>
  <c r="F144" i="31"/>
  <c r="N143" i="31"/>
  <c r="M143" i="31"/>
  <c r="I143" i="31"/>
  <c r="H143" i="31"/>
  <c r="F143" i="31"/>
  <c r="N142" i="31"/>
  <c r="P163" i="31" s="1"/>
  <c r="M142" i="31"/>
  <c r="H142" i="31"/>
  <c r="F142" i="31"/>
  <c r="E142" i="31"/>
  <c r="N141" i="31"/>
  <c r="S141" i="31" s="1"/>
  <c r="M141" i="31"/>
  <c r="H141" i="31"/>
  <c r="F141" i="31"/>
  <c r="E141" i="31"/>
  <c r="N140" i="31"/>
  <c r="M140" i="31"/>
  <c r="H140" i="31"/>
  <c r="F140" i="31"/>
  <c r="E140" i="31"/>
  <c r="N139" i="31"/>
  <c r="S139" i="31" s="1"/>
  <c r="M139" i="31"/>
  <c r="H139" i="31"/>
  <c r="F139" i="31"/>
  <c r="E139" i="31"/>
  <c r="N138" i="31"/>
  <c r="S138" i="31" s="1"/>
  <c r="M138" i="31"/>
  <c r="H138" i="31"/>
  <c r="G138" i="31"/>
  <c r="F138" i="31"/>
  <c r="E138" i="31"/>
  <c r="N137" i="31"/>
  <c r="R137" i="31" s="1"/>
  <c r="M137" i="31"/>
  <c r="H137" i="31"/>
  <c r="G137" i="31"/>
  <c r="F137" i="31"/>
  <c r="E137" i="31"/>
  <c r="N136" i="31"/>
  <c r="S136" i="31" s="1"/>
  <c r="M136" i="31"/>
  <c r="H136" i="31"/>
  <c r="G136" i="31"/>
  <c r="F136" i="31"/>
  <c r="E136" i="31"/>
  <c r="H135" i="31"/>
  <c r="G135" i="31"/>
  <c r="F135" i="31"/>
  <c r="E135" i="31"/>
  <c r="N134" i="31"/>
  <c r="S134" i="31" s="1"/>
  <c r="M134" i="31"/>
  <c r="H134" i="31"/>
  <c r="F134" i="31"/>
  <c r="N133" i="31"/>
  <c r="Q133" i="31" s="1"/>
  <c r="M133" i="31"/>
  <c r="H133" i="31"/>
  <c r="F133" i="31"/>
  <c r="N132" i="31"/>
  <c r="M132" i="31"/>
  <c r="H132" i="31"/>
  <c r="G132" i="31"/>
  <c r="F132" i="31"/>
  <c r="E132" i="31"/>
  <c r="N131" i="31"/>
  <c r="Q131" i="31" s="1"/>
  <c r="M131" i="31"/>
  <c r="H131" i="31"/>
  <c r="F131" i="31"/>
  <c r="N130" i="31"/>
  <c r="S130" i="31" s="1"/>
  <c r="M130" i="31"/>
  <c r="H130" i="31"/>
  <c r="N129" i="31"/>
  <c r="S129" i="31" s="1"/>
  <c r="M129" i="31"/>
  <c r="H129" i="31"/>
  <c r="F129" i="31"/>
  <c r="N128" i="31"/>
  <c r="S128" i="31" s="1"/>
  <c r="M128" i="31"/>
  <c r="H128" i="31"/>
  <c r="F128" i="31"/>
  <c r="N127" i="31"/>
  <c r="M127" i="31"/>
  <c r="I127" i="31"/>
  <c r="H127" i="31"/>
  <c r="F127" i="31"/>
  <c r="N126" i="31"/>
  <c r="M126" i="31"/>
  <c r="I126" i="31"/>
  <c r="H126" i="31"/>
  <c r="F126" i="31"/>
  <c r="N125" i="31"/>
  <c r="M125" i="31"/>
  <c r="I125" i="31"/>
  <c r="H125" i="31"/>
  <c r="F125" i="31"/>
  <c r="N124" i="31"/>
  <c r="P125" i="31" s="1"/>
  <c r="M124" i="31"/>
  <c r="H124" i="31"/>
  <c r="F124" i="31"/>
  <c r="E124" i="31"/>
  <c r="N123" i="31"/>
  <c r="R123" i="31" s="1"/>
  <c r="M123" i="31"/>
  <c r="H123" i="31"/>
  <c r="F123" i="31"/>
  <c r="N122" i="31"/>
  <c r="Q122" i="31" s="1"/>
  <c r="M122" i="31"/>
  <c r="H122" i="31"/>
  <c r="F122" i="31"/>
  <c r="N121" i="31"/>
  <c r="S121" i="31" s="1"/>
  <c r="M121" i="31"/>
  <c r="H121" i="31"/>
  <c r="F121" i="31"/>
  <c r="E121" i="31"/>
  <c r="N120" i="31"/>
  <c r="S120" i="31" s="1"/>
  <c r="M120" i="31"/>
  <c r="H120" i="31"/>
  <c r="F120" i="31"/>
  <c r="E120" i="31"/>
  <c r="N119" i="31"/>
  <c r="S119" i="31" s="1"/>
  <c r="M119" i="31"/>
  <c r="H119" i="31"/>
  <c r="E119" i="31"/>
  <c r="N118" i="31"/>
  <c r="S118" i="31" s="1"/>
  <c r="M118" i="31"/>
  <c r="H118" i="31"/>
  <c r="E118" i="31"/>
  <c r="N117" i="31"/>
  <c r="J117" i="31"/>
  <c r="I117" i="31"/>
  <c r="H117" i="31"/>
  <c r="E117" i="31"/>
  <c r="N116" i="31"/>
  <c r="S116" i="31" s="1"/>
  <c r="M116" i="31"/>
  <c r="K116" i="31"/>
  <c r="H116" i="31"/>
  <c r="G116" i="31"/>
  <c r="F116" i="31"/>
  <c r="E116" i="31"/>
  <c r="D116" i="31"/>
  <c r="C116" i="31"/>
  <c r="B116" i="31"/>
  <c r="N115" i="31"/>
  <c r="S115" i="31" s="1"/>
  <c r="M115" i="31"/>
  <c r="K115" i="31"/>
  <c r="H115" i="31"/>
  <c r="G115" i="31"/>
  <c r="F115" i="31"/>
  <c r="E115" i="31"/>
  <c r="D115" i="31"/>
  <c r="C115" i="31"/>
  <c r="B115" i="31"/>
  <c r="N114" i="31"/>
  <c r="S114" i="31" s="1"/>
  <c r="M114" i="31"/>
  <c r="K114" i="31"/>
  <c r="H114" i="31"/>
  <c r="G114" i="31"/>
  <c r="F114" i="31"/>
  <c r="E114" i="31"/>
  <c r="D114" i="31"/>
  <c r="C114" i="31"/>
  <c r="B114" i="31"/>
  <c r="N113" i="31"/>
  <c r="Q113" i="31" s="1"/>
  <c r="M113" i="31"/>
  <c r="K113" i="31"/>
  <c r="H113" i="31"/>
  <c r="G113" i="31"/>
  <c r="F113" i="31"/>
  <c r="E113" i="31"/>
  <c r="D113" i="31"/>
  <c r="C113" i="31"/>
  <c r="B113" i="31"/>
  <c r="N112" i="31"/>
  <c r="S112" i="31" s="1"/>
  <c r="M112" i="31"/>
  <c r="K112" i="31"/>
  <c r="H112" i="31"/>
  <c r="G112" i="31"/>
  <c r="F112" i="31"/>
  <c r="E112" i="31"/>
  <c r="D112" i="31"/>
  <c r="C112" i="31"/>
  <c r="B112" i="31"/>
  <c r="N111" i="31"/>
  <c r="S111" i="31" s="1"/>
  <c r="M111" i="31"/>
  <c r="K111" i="31"/>
  <c r="H111" i="31"/>
  <c r="G111" i="31"/>
  <c r="F111" i="31"/>
  <c r="E111" i="31"/>
  <c r="D111" i="31"/>
  <c r="C111" i="31"/>
  <c r="B111" i="31"/>
  <c r="N110" i="31"/>
  <c r="R110" i="31" s="1"/>
  <c r="M110" i="31"/>
  <c r="K110" i="31"/>
  <c r="H110" i="31"/>
  <c r="G110" i="31"/>
  <c r="F110" i="31"/>
  <c r="E110" i="31"/>
  <c r="D110" i="31"/>
  <c r="C110" i="31"/>
  <c r="B110" i="31"/>
  <c r="N109" i="31"/>
  <c r="S109" i="31" s="1"/>
  <c r="M109" i="31"/>
  <c r="K109" i="31"/>
  <c r="H109" i="31"/>
  <c r="G109" i="31"/>
  <c r="F109" i="31"/>
  <c r="E109" i="31"/>
  <c r="D109" i="31"/>
  <c r="C109" i="31"/>
  <c r="B109" i="31"/>
  <c r="N108" i="31"/>
  <c r="S108" i="31" s="1"/>
  <c r="M108" i="31"/>
  <c r="K108" i="31"/>
  <c r="H108" i="31"/>
  <c r="G108" i="31"/>
  <c r="F108" i="31"/>
  <c r="E108" i="31"/>
  <c r="D108" i="31"/>
  <c r="C108" i="31"/>
  <c r="B108" i="31"/>
  <c r="N107" i="31"/>
  <c r="S107" i="31" s="1"/>
  <c r="M107" i="31"/>
  <c r="K107" i="31"/>
  <c r="H107" i="31"/>
  <c r="G107" i="31"/>
  <c r="F107" i="31"/>
  <c r="E107" i="31"/>
  <c r="D107" i="31"/>
  <c r="C107" i="31"/>
  <c r="B107" i="31"/>
  <c r="N106" i="31"/>
  <c r="S106" i="31" s="1"/>
  <c r="M106" i="31"/>
  <c r="K106" i="31"/>
  <c r="H106" i="31"/>
  <c r="G106" i="31"/>
  <c r="F106" i="31"/>
  <c r="E106" i="31"/>
  <c r="D106" i="31"/>
  <c r="C106" i="31"/>
  <c r="B106" i="31"/>
  <c r="N105" i="31"/>
  <c r="Q105" i="31" s="1"/>
  <c r="M105" i="31"/>
  <c r="K105" i="31"/>
  <c r="H105" i="31"/>
  <c r="G105" i="31"/>
  <c r="F105" i="31"/>
  <c r="E105" i="31"/>
  <c r="D105" i="31"/>
  <c r="C105" i="31"/>
  <c r="B105" i="31"/>
  <c r="N104" i="31"/>
  <c r="S104" i="31" s="1"/>
  <c r="M104" i="31"/>
  <c r="K104" i="31"/>
  <c r="H104" i="31"/>
  <c r="G104" i="31"/>
  <c r="F104" i="31"/>
  <c r="E104" i="31"/>
  <c r="D104" i="31"/>
  <c r="C104" i="31"/>
  <c r="B104" i="31"/>
  <c r="N103" i="31"/>
  <c r="S103" i="31" s="1"/>
  <c r="M103" i="31"/>
  <c r="K103" i="31"/>
  <c r="H103" i="31"/>
  <c r="G103" i="31"/>
  <c r="F103" i="31"/>
  <c r="E103" i="31"/>
  <c r="D103" i="31"/>
  <c r="C103" i="31"/>
  <c r="B103" i="31"/>
  <c r="N102" i="31"/>
  <c r="R102" i="31" s="1"/>
  <c r="M102" i="31"/>
  <c r="K102" i="31"/>
  <c r="H102" i="31"/>
  <c r="G102" i="31"/>
  <c r="F102" i="31"/>
  <c r="E102" i="31"/>
  <c r="D102" i="31"/>
  <c r="C102" i="31"/>
  <c r="B102" i="31"/>
  <c r="N101" i="31"/>
  <c r="S101" i="31" s="1"/>
  <c r="M101" i="31"/>
  <c r="K101" i="31"/>
  <c r="H101" i="31"/>
  <c r="G101" i="31"/>
  <c r="F101" i="31"/>
  <c r="E101" i="31"/>
  <c r="D101" i="31"/>
  <c r="C101" i="31"/>
  <c r="B101" i="31"/>
  <c r="N100" i="31"/>
  <c r="S100" i="31" s="1"/>
  <c r="M100" i="31"/>
  <c r="K100" i="31"/>
  <c r="H100" i="31"/>
  <c r="G100" i="31"/>
  <c r="F100" i="31"/>
  <c r="E100" i="31"/>
  <c r="D100" i="31"/>
  <c r="C100" i="31"/>
  <c r="B100" i="31"/>
  <c r="N99" i="31"/>
  <c r="S99" i="31" s="1"/>
  <c r="M99" i="31"/>
  <c r="K99" i="31"/>
  <c r="H99" i="31"/>
  <c r="G99" i="31"/>
  <c r="F99" i="31"/>
  <c r="E99" i="31"/>
  <c r="D99" i="31"/>
  <c r="C99" i="31"/>
  <c r="B99" i="31"/>
  <c r="N98" i="31"/>
  <c r="S98" i="31" s="1"/>
  <c r="M98" i="31"/>
  <c r="K98" i="31"/>
  <c r="H98" i="31"/>
  <c r="G98" i="31"/>
  <c r="F98" i="31"/>
  <c r="E98" i="31"/>
  <c r="D98" i="31"/>
  <c r="C98" i="31"/>
  <c r="B98" i="31"/>
  <c r="N97" i="31"/>
  <c r="Q97" i="31" s="1"/>
  <c r="M97" i="31"/>
  <c r="K97" i="31"/>
  <c r="H97" i="31"/>
  <c r="G97" i="31"/>
  <c r="F97" i="31"/>
  <c r="E97" i="31"/>
  <c r="D97" i="31"/>
  <c r="C97" i="31"/>
  <c r="B97" i="31"/>
  <c r="N96" i="31"/>
  <c r="S96" i="31" s="1"/>
  <c r="M96" i="31"/>
  <c r="K96" i="31"/>
  <c r="H96" i="31"/>
  <c r="G96" i="31"/>
  <c r="F96" i="31"/>
  <c r="E96" i="31"/>
  <c r="D96" i="31"/>
  <c r="C96" i="31"/>
  <c r="B96" i="31"/>
  <c r="N95" i="31"/>
  <c r="S95" i="31" s="1"/>
  <c r="M95" i="31"/>
  <c r="K95" i="31"/>
  <c r="H95" i="31"/>
  <c r="G95" i="31"/>
  <c r="F95" i="31"/>
  <c r="E95" i="31"/>
  <c r="D95" i="31"/>
  <c r="C95" i="31"/>
  <c r="B95" i="31"/>
  <c r="N94" i="31"/>
  <c r="R94" i="31" s="1"/>
  <c r="M94" i="31"/>
  <c r="K94" i="31"/>
  <c r="H94" i="31"/>
  <c r="G94" i="31"/>
  <c r="F94" i="31"/>
  <c r="E94" i="31"/>
  <c r="D94" i="31"/>
  <c r="C94" i="31"/>
  <c r="B94" i="31"/>
  <c r="N93" i="31"/>
  <c r="S93" i="31" s="1"/>
  <c r="M93" i="31"/>
  <c r="K93" i="31"/>
  <c r="H93" i="31"/>
  <c r="G93" i="31"/>
  <c r="F93" i="31"/>
  <c r="E93" i="31"/>
  <c r="D93" i="31"/>
  <c r="C93" i="31"/>
  <c r="B93" i="31"/>
  <c r="N92" i="31"/>
  <c r="S92" i="31" s="1"/>
  <c r="M92" i="31"/>
  <c r="K92" i="31"/>
  <c r="H92" i="31"/>
  <c r="G92" i="31"/>
  <c r="F92" i="31"/>
  <c r="E92" i="31"/>
  <c r="D92" i="31"/>
  <c r="C92" i="31"/>
  <c r="B92" i="31"/>
  <c r="N91" i="31"/>
  <c r="M91" i="31"/>
  <c r="J91" i="31"/>
  <c r="I91" i="31"/>
  <c r="H91" i="31"/>
  <c r="G91" i="31"/>
  <c r="F91" i="31"/>
  <c r="E91" i="31"/>
  <c r="N90" i="31"/>
  <c r="S90" i="31" s="1"/>
  <c r="M90" i="31"/>
  <c r="H90" i="31"/>
  <c r="F90" i="31"/>
  <c r="E90" i="31"/>
  <c r="H89" i="31"/>
  <c r="F89" i="31"/>
  <c r="E89" i="31"/>
  <c r="N88" i="31"/>
  <c r="S88" i="31" s="1"/>
  <c r="M88" i="31"/>
  <c r="H88" i="31"/>
  <c r="G88" i="31"/>
  <c r="F88" i="31"/>
  <c r="E88" i="31"/>
  <c r="N87" i="31"/>
  <c r="R87" i="31" s="1"/>
  <c r="M87" i="31"/>
  <c r="H87" i="31"/>
  <c r="F87" i="31"/>
  <c r="E87" i="31"/>
  <c r="N86" i="31"/>
  <c r="Q86" i="31" s="1"/>
  <c r="M86" i="31"/>
  <c r="H86" i="31"/>
  <c r="F86" i="31"/>
  <c r="E86" i="31"/>
  <c r="N85" i="31"/>
  <c r="S85" i="31" s="1"/>
  <c r="M85" i="31"/>
  <c r="H85" i="31"/>
  <c r="F85" i="31"/>
  <c r="E85" i="31"/>
  <c r="N84" i="31"/>
  <c r="S84" i="31" s="1"/>
  <c r="M84" i="31"/>
  <c r="H84" i="31"/>
  <c r="G84" i="31"/>
  <c r="F84" i="31"/>
  <c r="E84" i="31"/>
  <c r="N83" i="31"/>
  <c r="S83" i="31" s="1"/>
  <c r="M83" i="31"/>
  <c r="H83" i="31"/>
  <c r="G83" i="31"/>
  <c r="F83" i="31"/>
  <c r="E83" i="31"/>
  <c r="N82" i="31"/>
  <c r="S82" i="31" s="1"/>
  <c r="M82" i="31"/>
  <c r="H82" i="31"/>
  <c r="G82" i="31"/>
  <c r="F82" i="31"/>
  <c r="E82" i="31"/>
  <c r="N81" i="31"/>
  <c r="Q81" i="31" s="1"/>
  <c r="M81" i="31"/>
  <c r="H81" i="31"/>
  <c r="G81" i="31"/>
  <c r="F81" i="31"/>
  <c r="E81" i="31"/>
  <c r="D81" i="31"/>
  <c r="C81" i="31"/>
  <c r="B81" i="31"/>
  <c r="N80" i="31"/>
  <c r="Q80" i="31" s="1"/>
  <c r="M80" i="31"/>
  <c r="H80" i="31"/>
  <c r="G80" i="31"/>
  <c r="F80" i="31"/>
  <c r="E80" i="31"/>
  <c r="N79" i="31"/>
  <c r="Q79" i="31" s="1"/>
  <c r="M79" i="31"/>
  <c r="H79" i="31"/>
  <c r="G79" i="31"/>
  <c r="F79" i="31"/>
  <c r="E79" i="31"/>
  <c r="N78" i="31"/>
  <c r="R78" i="31" s="1"/>
  <c r="M78" i="31"/>
  <c r="H78" i="31"/>
  <c r="G78" i="31"/>
  <c r="F78" i="31"/>
  <c r="E78" i="31"/>
  <c r="N77" i="31"/>
  <c r="Q77" i="31" s="1"/>
  <c r="M77" i="31"/>
  <c r="H77" i="31"/>
  <c r="F77" i="31"/>
  <c r="E77" i="31"/>
  <c r="N76" i="31"/>
  <c r="S76" i="31" s="1"/>
  <c r="M76" i="31"/>
  <c r="H76" i="31"/>
  <c r="G76" i="31"/>
  <c r="F76" i="31"/>
  <c r="E76" i="31"/>
  <c r="N75" i="31"/>
  <c r="S75" i="31" s="1"/>
  <c r="M75" i="31"/>
  <c r="H75" i="31"/>
  <c r="G75" i="31"/>
  <c r="F75" i="31"/>
  <c r="E75" i="31"/>
  <c r="N74" i="31"/>
  <c r="S74" i="31" s="1"/>
  <c r="M74" i="31"/>
  <c r="H74" i="31"/>
  <c r="G74" i="31"/>
  <c r="F74" i="31"/>
  <c r="E74" i="31"/>
  <c r="N73" i="31"/>
  <c r="S73" i="31" s="1"/>
  <c r="M73" i="31"/>
  <c r="H73" i="31"/>
  <c r="G73" i="31"/>
  <c r="F73" i="31"/>
  <c r="E73" i="31"/>
  <c r="N72" i="31"/>
  <c r="R72" i="31" s="1"/>
  <c r="M72" i="31"/>
  <c r="H72" i="31"/>
  <c r="G72" i="31"/>
  <c r="F72" i="31"/>
  <c r="E72" i="31"/>
  <c r="N71" i="31"/>
  <c r="Q71" i="31" s="1"/>
  <c r="M71" i="31"/>
  <c r="H71" i="31"/>
  <c r="G71" i="31"/>
  <c r="F71" i="31"/>
  <c r="E71" i="31"/>
  <c r="N70" i="31"/>
  <c r="R70" i="31" s="1"/>
  <c r="M70" i="31"/>
  <c r="H70" i="31"/>
  <c r="F70" i="31"/>
  <c r="N69" i="31"/>
  <c r="M69" i="31"/>
  <c r="J69" i="31"/>
  <c r="I69" i="31"/>
  <c r="H69" i="31"/>
  <c r="G69" i="31"/>
  <c r="F69" i="31"/>
  <c r="N68" i="31"/>
  <c r="S68" i="31" s="1"/>
  <c r="M68" i="31"/>
  <c r="K68" i="31"/>
  <c r="H68" i="31"/>
  <c r="G68" i="31"/>
  <c r="F68" i="31"/>
  <c r="E68" i="31"/>
  <c r="D68" i="31"/>
  <c r="C68" i="31"/>
  <c r="B68" i="31"/>
  <c r="N67" i="31"/>
  <c r="S67" i="31" s="1"/>
  <c r="M67" i="31"/>
  <c r="K67" i="31"/>
  <c r="H67" i="31"/>
  <c r="G67" i="31"/>
  <c r="F67" i="31"/>
  <c r="E67" i="31"/>
  <c r="D67" i="31"/>
  <c r="C67" i="31"/>
  <c r="B67" i="31"/>
  <c r="N66" i="31"/>
  <c r="Q66" i="31" s="1"/>
  <c r="M66" i="31"/>
  <c r="K66" i="31"/>
  <c r="H66" i="31"/>
  <c r="G66" i="31"/>
  <c r="F66" i="31"/>
  <c r="E66" i="31"/>
  <c r="D66" i="31"/>
  <c r="C66" i="31"/>
  <c r="B66" i="31"/>
  <c r="N65" i="31"/>
  <c r="S65" i="31" s="1"/>
  <c r="M65" i="31"/>
  <c r="K65" i="31"/>
  <c r="H65" i="31"/>
  <c r="G65" i="31"/>
  <c r="F65" i="31"/>
  <c r="E65" i="31"/>
  <c r="D65" i="31"/>
  <c r="C65" i="31"/>
  <c r="B65" i="31"/>
  <c r="N64" i="31"/>
  <c r="S64" i="31" s="1"/>
  <c r="M64" i="31"/>
  <c r="K64" i="31"/>
  <c r="H64" i="31"/>
  <c r="G64" i="31"/>
  <c r="F64" i="31"/>
  <c r="E64" i="31"/>
  <c r="D64" i="31"/>
  <c r="C64" i="31"/>
  <c r="B64" i="31"/>
  <c r="N63" i="31"/>
  <c r="R63" i="31" s="1"/>
  <c r="M63" i="31"/>
  <c r="K63" i="31"/>
  <c r="H63" i="31"/>
  <c r="G63" i="31"/>
  <c r="F63" i="31"/>
  <c r="E63" i="31"/>
  <c r="D63" i="31"/>
  <c r="C63" i="31"/>
  <c r="B63" i="31"/>
  <c r="N62" i="31"/>
  <c r="S62" i="31" s="1"/>
  <c r="M62" i="31"/>
  <c r="K62" i="31"/>
  <c r="H62" i="31"/>
  <c r="G62" i="31"/>
  <c r="F62" i="31"/>
  <c r="E62" i="31"/>
  <c r="D62" i="31"/>
  <c r="C62" i="31"/>
  <c r="B62" i="31"/>
  <c r="N61" i="31"/>
  <c r="S61" i="31" s="1"/>
  <c r="M61" i="31"/>
  <c r="K61" i="31"/>
  <c r="H61" i="31"/>
  <c r="G61" i="31"/>
  <c r="F61" i="31"/>
  <c r="E61" i="31"/>
  <c r="D61" i="31"/>
  <c r="C61" i="31"/>
  <c r="B61" i="31"/>
  <c r="N60" i="31"/>
  <c r="S60" i="31" s="1"/>
  <c r="M60" i="31"/>
  <c r="K60" i="31"/>
  <c r="H60" i="31"/>
  <c r="G60" i="31"/>
  <c r="F60" i="31"/>
  <c r="E60" i="31"/>
  <c r="D60" i="31"/>
  <c r="C60" i="31"/>
  <c r="B60" i="31"/>
  <c r="N59" i="31"/>
  <c r="S59" i="31" s="1"/>
  <c r="M59" i="31"/>
  <c r="K59" i="31"/>
  <c r="H59" i="31"/>
  <c r="G59" i="31"/>
  <c r="F59" i="31"/>
  <c r="E59" i="31"/>
  <c r="D59" i="31"/>
  <c r="C59" i="31"/>
  <c r="B59" i="31"/>
  <c r="N58" i="31"/>
  <c r="Q58" i="31" s="1"/>
  <c r="M58" i="31"/>
  <c r="K58" i="31"/>
  <c r="H58" i="31"/>
  <c r="G58" i="31"/>
  <c r="F58" i="31"/>
  <c r="E58" i="31"/>
  <c r="D58" i="31"/>
  <c r="C58" i="31"/>
  <c r="B58" i="31"/>
  <c r="N57" i="31"/>
  <c r="S57" i="31" s="1"/>
  <c r="M57" i="31"/>
  <c r="K57" i="31"/>
  <c r="H57" i="31"/>
  <c r="G57" i="31"/>
  <c r="F57" i="31"/>
  <c r="E57" i="31"/>
  <c r="D57" i="31"/>
  <c r="C57" i="31"/>
  <c r="B57" i="31"/>
  <c r="N56" i="31"/>
  <c r="S56" i="31" s="1"/>
  <c r="M56" i="31"/>
  <c r="K56" i="31"/>
  <c r="H56" i="31"/>
  <c r="G56" i="31"/>
  <c r="F56" i="31"/>
  <c r="E56" i="31"/>
  <c r="D56" i="31"/>
  <c r="C56" i="31"/>
  <c r="B56" i="31"/>
  <c r="N55" i="31"/>
  <c r="R55" i="31" s="1"/>
  <c r="M55" i="31"/>
  <c r="K55" i="31"/>
  <c r="H55" i="31"/>
  <c r="G55" i="31"/>
  <c r="F55" i="31"/>
  <c r="E55" i="31"/>
  <c r="D55" i="31"/>
  <c r="C55" i="31"/>
  <c r="B55" i="31"/>
  <c r="N54" i="31"/>
  <c r="S54" i="31" s="1"/>
  <c r="M54" i="31"/>
  <c r="K54" i="31"/>
  <c r="H54" i="31"/>
  <c r="G54" i="31"/>
  <c r="F54" i="31"/>
  <c r="E54" i="31"/>
  <c r="D54" i="31"/>
  <c r="C54" i="31"/>
  <c r="B54" i="31"/>
  <c r="N53" i="31"/>
  <c r="S53" i="31" s="1"/>
  <c r="M53" i="31"/>
  <c r="K53" i="31"/>
  <c r="H53" i="31"/>
  <c r="G53" i="31"/>
  <c r="F53" i="31"/>
  <c r="E53" i="31"/>
  <c r="D53" i="31"/>
  <c r="C53" i="31"/>
  <c r="B53" i="31"/>
  <c r="N52" i="31"/>
  <c r="Q52" i="31" s="1"/>
  <c r="M52" i="31"/>
  <c r="K52" i="31"/>
  <c r="H52" i="31"/>
  <c r="G52" i="31"/>
  <c r="F52" i="31"/>
  <c r="E52" i="31"/>
  <c r="D52" i="31"/>
  <c r="C52" i="31"/>
  <c r="B52" i="31"/>
  <c r="N51" i="31"/>
  <c r="S51" i="31" s="1"/>
  <c r="M51" i="31"/>
  <c r="K51" i="31"/>
  <c r="H51" i="31"/>
  <c r="G51" i="31"/>
  <c r="F51" i="31"/>
  <c r="E51" i="31"/>
  <c r="D51" i="31"/>
  <c r="C51" i="31"/>
  <c r="B51" i="31"/>
  <c r="N50" i="31"/>
  <c r="Q50" i="31" s="1"/>
  <c r="M50" i="31"/>
  <c r="K50" i="31"/>
  <c r="H50" i="31"/>
  <c r="G50" i="31"/>
  <c r="F50" i="31"/>
  <c r="E50" i="31"/>
  <c r="D50" i="31"/>
  <c r="C50" i="31"/>
  <c r="B50" i="31"/>
  <c r="N49" i="31"/>
  <c r="S49" i="31" s="1"/>
  <c r="M49" i="31"/>
  <c r="K49" i="31"/>
  <c r="H49" i="31"/>
  <c r="G49" i="31"/>
  <c r="F49" i="31"/>
  <c r="E49" i="31"/>
  <c r="D49" i="31"/>
  <c r="C49" i="31"/>
  <c r="B49" i="31"/>
  <c r="N48" i="31"/>
  <c r="S48" i="31" s="1"/>
  <c r="M48" i="31"/>
  <c r="K48" i="31"/>
  <c r="H48" i="31"/>
  <c r="G48" i="31"/>
  <c r="F48" i="31"/>
  <c r="E48" i="31"/>
  <c r="D48" i="31"/>
  <c r="C48" i="31"/>
  <c r="B48" i="31"/>
  <c r="N47" i="31"/>
  <c r="R47" i="31" s="1"/>
  <c r="M47" i="31"/>
  <c r="K47" i="31"/>
  <c r="H47" i="31"/>
  <c r="G47" i="31"/>
  <c r="F47" i="31"/>
  <c r="E47" i="31"/>
  <c r="D47" i="31"/>
  <c r="C47" i="31"/>
  <c r="B47" i="31"/>
  <c r="N46" i="31"/>
  <c r="S46" i="31" s="1"/>
  <c r="M46" i="31"/>
  <c r="K46" i="31"/>
  <c r="H46" i="31"/>
  <c r="G46" i="31"/>
  <c r="F46" i="31"/>
  <c r="E46" i="31"/>
  <c r="D46" i="31"/>
  <c r="C46" i="31"/>
  <c r="B46" i="31"/>
  <c r="N45" i="31"/>
  <c r="S45" i="31" s="1"/>
  <c r="M45" i="31"/>
  <c r="K45" i="31"/>
  <c r="H45" i="31"/>
  <c r="G45" i="31"/>
  <c r="F45" i="31"/>
  <c r="E45" i="31"/>
  <c r="D45" i="31"/>
  <c r="C45" i="31"/>
  <c r="B45" i="31"/>
  <c r="N44" i="31"/>
  <c r="M44" i="31"/>
  <c r="K44" i="31"/>
  <c r="H44" i="31"/>
  <c r="G44" i="31"/>
  <c r="F44" i="31"/>
  <c r="E44" i="31"/>
  <c r="D44" i="31"/>
  <c r="C44" i="31"/>
  <c r="B44" i="31"/>
  <c r="N43" i="31"/>
  <c r="J43" i="31"/>
  <c r="I43" i="31"/>
  <c r="H43" i="31"/>
  <c r="G43" i="31"/>
  <c r="F43" i="31"/>
  <c r="D43" i="31"/>
  <c r="C43" i="31"/>
  <c r="B43" i="31"/>
  <c r="N42" i="31"/>
  <c r="Q42" i="31" s="1"/>
  <c r="M42" i="31"/>
  <c r="H42" i="31"/>
  <c r="G42" i="31"/>
  <c r="F42" i="31"/>
  <c r="E42" i="31"/>
  <c r="D42" i="31"/>
  <c r="C42" i="31"/>
  <c r="B42" i="31"/>
  <c r="N41" i="31"/>
  <c r="S41" i="31" s="1"/>
  <c r="M41" i="31"/>
  <c r="H41" i="31"/>
  <c r="G41" i="31"/>
  <c r="F41" i="31"/>
  <c r="E41" i="31"/>
  <c r="D41" i="31"/>
  <c r="C41" i="31"/>
  <c r="B41" i="31"/>
  <c r="N40" i="31"/>
  <c r="S40" i="31" s="1"/>
  <c r="M40" i="31"/>
  <c r="H40" i="31"/>
  <c r="G40" i="31"/>
  <c r="F40" i="31"/>
  <c r="E40" i="31"/>
  <c r="D40" i="31"/>
  <c r="C40" i="31"/>
  <c r="B40" i="31"/>
  <c r="N39" i="31"/>
  <c r="Q39" i="31" s="1"/>
  <c r="M39" i="31"/>
  <c r="H39" i="31"/>
  <c r="G39" i="31"/>
  <c r="F39" i="31"/>
  <c r="E39" i="31"/>
  <c r="D39" i="31"/>
  <c r="C39" i="31"/>
  <c r="B39" i="31"/>
  <c r="N38" i="31"/>
  <c r="S38" i="31" s="1"/>
  <c r="M38" i="31"/>
  <c r="H38" i="31"/>
  <c r="G38" i="31"/>
  <c r="F38" i="31"/>
  <c r="E38" i="31"/>
  <c r="D38" i="31"/>
  <c r="C38" i="31"/>
  <c r="B38" i="31"/>
  <c r="N37" i="31"/>
  <c r="S37" i="31" s="1"/>
  <c r="M37" i="31"/>
  <c r="H37" i="31"/>
  <c r="G37" i="31"/>
  <c r="F37" i="31"/>
  <c r="E37" i="31"/>
  <c r="D37" i="31"/>
  <c r="C37" i="31"/>
  <c r="B37" i="31"/>
  <c r="N36" i="31"/>
  <c r="Q36" i="31" s="1"/>
  <c r="M36" i="31"/>
  <c r="H36" i="31"/>
  <c r="G36" i="31"/>
  <c r="F36" i="31"/>
  <c r="E36" i="31"/>
  <c r="D36" i="31"/>
  <c r="C36" i="31"/>
  <c r="B36" i="31"/>
  <c r="N35" i="31"/>
  <c r="S35" i="31" s="1"/>
  <c r="M35" i="31"/>
  <c r="H35" i="31"/>
  <c r="G35" i="31"/>
  <c r="F35" i="31"/>
  <c r="E35" i="31"/>
  <c r="D35" i="31"/>
  <c r="C35" i="31"/>
  <c r="B35" i="31"/>
  <c r="N34" i="31"/>
  <c r="S34" i="31" s="1"/>
  <c r="M34" i="31"/>
  <c r="H34" i="31"/>
  <c r="G34" i="31"/>
  <c r="F34" i="31"/>
  <c r="E34" i="31"/>
  <c r="D34" i="31"/>
  <c r="C34" i="31"/>
  <c r="B34" i="31"/>
  <c r="N33" i="31"/>
  <c r="S33" i="31" s="1"/>
  <c r="M33" i="31"/>
  <c r="H33" i="31"/>
  <c r="G33" i="31"/>
  <c r="F33" i="31"/>
  <c r="E33" i="31"/>
  <c r="D33" i="31"/>
  <c r="C33" i="31"/>
  <c r="B33" i="31"/>
  <c r="N32" i="31"/>
  <c r="S32" i="31" s="1"/>
  <c r="M32" i="31"/>
  <c r="H32" i="31"/>
  <c r="G32" i="31"/>
  <c r="F32" i="31"/>
  <c r="E32" i="31"/>
  <c r="D32" i="31"/>
  <c r="C32" i="31"/>
  <c r="B32" i="31"/>
  <c r="N31" i="31"/>
  <c r="S31" i="31" s="1"/>
  <c r="M31" i="31"/>
  <c r="H31" i="31"/>
  <c r="G31" i="31"/>
  <c r="F31" i="31"/>
  <c r="E31" i="31"/>
  <c r="D31" i="31"/>
  <c r="C31" i="31"/>
  <c r="B31" i="31"/>
  <c r="N30" i="31"/>
  <c r="S30" i="31" s="1"/>
  <c r="M30" i="31"/>
  <c r="H30" i="31"/>
  <c r="G30" i="31"/>
  <c r="F30" i="31"/>
  <c r="E30" i="31"/>
  <c r="D30" i="31"/>
  <c r="C30" i="31"/>
  <c r="B30" i="31"/>
  <c r="N29" i="31"/>
  <c r="Q29" i="31" s="1"/>
  <c r="M29" i="31"/>
  <c r="H29" i="31"/>
  <c r="D29" i="31"/>
  <c r="C29" i="31"/>
  <c r="B29" i="31"/>
  <c r="N28" i="31"/>
  <c r="S28" i="31" s="1"/>
  <c r="M28" i="31"/>
  <c r="H28" i="31"/>
  <c r="D28" i="31"/>
  <c r="C28" i="31"/>
  <c r="B28" i="31"/>
  <c r="N27" i="31"/>
  <c r="Q27" i="31" s="1"/>
  <c r="M27" i="31"/>
  <c r="H27" i="31"/>
  <c r="D27" i="31"/>
  <c r="C27" i="31"/>
  <c r="B27" i="31"/>
  <c r="N26" i="31"/>
  <c r="S26" i="31" s="1"/>
  <c r="M26" i="31"/>
  <c r="H26" i="31"/>
  <c r="D26" i="31"/>
  <c r="C26" i="31"/>
  <c r="B26" i="31"/>
  <c r="N25" i="31"/>
  <c r="S25" i="31" s="1"/>
  <c r="M25" i="31"/>
  <c r="H25" i="31"/>
  <c r="F25" i="31"/>
  <c r="D25" i="31"/>
  <c r="C25" i="31"/>
  <c r="B25" i="31"/>
  <c r="N24" i="31"/>
  <c r="S24" i="31" s="1"/>
  <c r="M24" i="31"/>
  <c r="H24" i="31"/>
  <c r="F24" i="31"/>
  <c r="D24" i="31"/>
  <c r="C24" i="31"/>
  <c r="B24" i="31"/>
  <c r="N23" i="31"/>
  <c r="S23" i="31" s="1"/>
  <c r="M23" i="31"/>
  <c r="H23" i="31"/>
  <c r="G23" i="31"/>
  <c r="F23" i="31"/>
  <c r="E23" i="31"/>
  <c r="D23" i="31"/>
  <c r="C23" i="31"/>
  <c r="B23" i="31"/>
  <c r="N22" i="31"/>
  <c r="S22" i="31" s="1"/>
  <c r="M22" i="31"/>
  <c r="H22" i="31"/>
  <c r="G22" i="31"/>
  <c r="F22" i="31"/>
  <c r="E22" i="31"/>
  <c r="D22" i="31"/>
  <c r="C22" i="31"/>
  <c r="B22" i="31"/>
  <c r="N21" i="31"/>
  <c r="S21" i="31" s="1"/>
  <c r="M21" i="31"/>
  <c r="H21" i="31"/>
  <c r="G21" i="31"/>
  <c r="F21" i="31"/>
  <c r="E21" i="31"/>
  <c r="D21" i="31"/>
  <c r="C21" i="31"/>
  <c r="B21" i="31"/>
  <c r="N20" i="31"/>
  <c r="R20" i="31" s="1"/>
  <c r="M20" i="31"/>
  <c r="H20" i="31"/>
  <c r="G20" i="31"/>
  <c r="F20" i="31"/>
  <c r="E20" i="31"/>
  <c r="D20" i="31"/>
  <c r="C20" i="31"/>
  <c r="B20" i="31"/>
  <c r="O16" i="31"/>
  <c r="O15" i="31"/>
  <c r="B2" i="31" s="1"/>
  <c r="O14" i="31"/>
  <c r="C14" i="31"/>
  <c r="O13" i="31"/>
  <c r="C13" i="31"/>
  <c r="Q1785" i="31" l="1"/>
  <c r="Q2417" i="32"/>
  <c r="Q2421" i="31"/>
  <c r="R1041" i="31"/>
  <c r="Q292" i="31"/>
  <c r="R98" i="31"/>
  <c r="S725" i="31"/>
  <c r="Q2470" i="31"/>
  <c r="Q2407" i="31"/>
  <c r="Q163" i="31"/>
  <c r="R2014" i="31"/>
  <c r="S2341" i="31"/>
  <c r="S515" i="32"/>
  <c r="R1711" i="31"/>
  <c r="R1904" i="31"/>
  <c r="S1362" i="31"/>
  <c r="Q149" i="31"/>
  <c r="R2152" i="31"/>
  <c r="S747" i="31"/>
  <c r="R2189" i="31"/>
  <c r="S55" i="31"/>
  <c r="R192" i="31"/>
  <c r="Q199" i="31"/>
  <c r="R1332" i="31"/>
  <c r="Q1434" i="31"/>
  <c r="R1609" i="31"/>
  <c r="R1638" i="31"/>
  <c r="S1666" i="31"/>
  <c r="S2326" i="31"/>
  <c r="Q2270" i="31"/>
  <c r="R1619" i="31"/>
  <c r="S1524" i="31"/>
  <c r="Q1658" i="31"/>
  <c r="S1964" i="31"/>
  <c r="R971" i="31"/>
  <c r="R1658" i="31"/>
  <c r="Q1498" i="31"/>
  <c r="R846" i="31"/>
  <c r="R2056" i="31"/>
  <c r="R211" i="31"/>
  <c r="R641" i="31"/>
  <c r="Q791" i="31"/>
  <c r="S1287" i="31"/>
  <c r="R1579" i="31"/>
  <c r="S2379" i="31"/>
  <c r="S2496" i="31"/>
  <c r="Q155" i="31"/>
  <c r="Q250" i="31"/>
  <c r="Q356" i="31"/>
  <c r="R791" i="31"/>
  <c r="Q1985" i="31"/>
  <c r="Q2040" i="31"/>
  <c r="Q1087" i="32"/>
  <c r="Q1978" i="31"/>
  <c r="Q2070" i="31"/>
  <c r="Q316" i="31"/>
  <c r="R1483" i="31"/>
  <c r="R1950" i="31"/>
  <c r="Q2095" i="31"/>
  <c r="S1886" i="32"/>
  <c r="R812" i="31"/>
  <c r="Q839" i="31"/>
  <c r="Q858" i="31"/>
  <c r="S145" i="31"/>
  <c r="R1507" i="31"/>
  <c r="R1784" i="32"/>
  <c r="S196" i="32"/>
  <c r="R2009" i="32"/>
  <c r="R2184" i="32"/>
  <c r="S314" i="32"/>
  <c r="Q2080" i="32"/>
  <c r="S594" i="32"/>
  <c r="Q2091" i="32"/>
  <c r="R2213" i="32"/>
  <c r="S745" i="32"/>
  <c r="Q1420" i="32"/>
  <c r="S1353" i="32"/>
  <c r="R1649" i="32"/>
  <c r="S334" i="32"/>
  <c r="S1906" i="32"/>
  <c r="S2309" i="32"/>
  <c r="S2487" i="31"/>
  <c r="R958" i="31"/>
  <c r="S995" i="31"/>
  <c r="Q613" i="31"/>
  <c r="P147" i="31"/>
  <c r="Q147" i="31" s="1"/>
  <c r="R1236" i="31"/>
  <c r="Q1755" i="31"/>
  <c r="Q118" i="31"/>
  <c r="S257" i="31"/>
  <c r="S289" i="31"/>
  <c r="S986" i="31"/>
  <c r="Q1420" i="31"/>
  <c r="R1561" i="31"/>
  <c r="S1696" i="31"/>
  <c r="R1719" i="31"/>
  <c r="S2252" i="31"/>
  <c r="Q2351" i="31"/>
  <c r="R1420" i="31"/>
  <c r="R1457" i="31"/>
  <c r="R2351" i="31"/>
  <c r="R2496" i="31"/>
  <c r="R118" i="31"/>
  <c r="Q747" i="31"/>
  <c r="R1321" i="31"/>
  <c r="S1465" i="31"/>
  <c r="S1321" i="31"/>
  <c r="Q1576" i="31"/>
  <c r="S1841" i="31"/>
  <c r="S1898" i="31"/>
  <c r="Q2478" i="31"/>
  <c r="Q139" i="31"/>
  <c r="R613" i="31"/>
  <c r="S875" i="31"/>
  <c r="S1510" i="31"/>
  <c r="S1576" i="31"/>
  <c r="R139" i="31"/>
  <c r="R874" i="31"/>
  <c r="R1834" i="31"/>
  <c r="S1891" i="31"/>
  <c r="R2040" i="31"/>
  <c r="Q520" i="31"/>
  <c r="Q1723" i="31"/>
  <c r="P339" i="31"/>
  <c r="Q339" i="31" s="1"/>
  <c r="R685" i="31"/>
  <c r="S1289" i="31"/>
  <c r="S1952" i="31"/>
  <c r="Q2239" i="31"/>
  <c r="R2409" i="31"/>
  <c r="R93" i="31"/>
  <c r="Q112" i="31"/>
  <c r="S874" i="31"/>
  <c r="Q1287" i="31"/>
  <c r="P1796" i="31"/>
  <c r="Q1796" i="31" s="1"/>
  <c r="S2044" i="31"/>
  <c r="Q2088" i="31"/>
  <c r="P2255" i="31"/>
  <c r="Q2255" i="31" s="1"/>
  <c r="R112" i="31"/>
  <c r="S158" i="31"/>
  <c r="S266" i="31"/>
  <c r="P267" i="31"/>
  <c r="S267" i="31" s="1"/>
  <c r="P539" i="31"/>
  <c r="Q539" i="31" s="1"/>
  <c r="S1542" i="31"/>
  <c r="R1693" i="31"/>
  <c r="S2088" i="31"/>
  <c r="Q2520" i="31"/>
  <c r="Q2543" i="31"/>
  <c r="R2334" i="32"/>
  <c r="R647" i="31"/>
  <c r="Q830" i="31"/>
  <c r="R855" i="31"/>
  <c r="S925" i="31"/>
  <c r="S954" i="31"/>
  <c r="R1030" i="31"/>
  <c r="S1067" i="31"/>
  <c r="S1148" i="31"/>
  <c r="Q1410" i="31"/>
  <c r="S1457" i="31"/>
  <c r="Q1554" i="31"/>
  <c r="R1677" i="31"/>
  <c r="Q1768" i="31"/>
  <c r="P1965" i="31"/>
  <c r="R1965" i="31" s="1"/>
  <c r="Q2092" i="31"/>
  <c r="P2137" i="31"/>
  <c r="S2137" i="31" s="1"/>
  <c r="S798" i="31"/>
  <c r="S1410" i="31"/>
  <c r="R1932" i="31"/>
  <c r="P2408" i="31"/>
  <c r="Q2408" i="31" s="1"/>
  <c r="Q128" i="31"/>
  <c r="Q792" i="31"/>
  <c r="Q1540" i="31"/>
  <c r="R1884" i="31"/>
  <c r="S604" i="32"/>
  <c r="P1757" i="31"/>
  <c r="R1757" i="31" s="1"/>
  <c r="P1906" i="31"/>
  <c r="R1906" i="31" s="1"/>
  <c r="Q2254" i="32"/>
  <c r="R550" i="31"/>
  <c r="S1199" i="31"/>
  <c r="Q1289" i="31"/>
  <c r="P1756" i="31"/>
  <c r="S1756" i="31" s="1"/>
  <c r="P1826" i="31"/>
  <c r="S1826" i="31" s="1"/>
  <c r="P2041" i="31"/>
  <c r="R2041" i="31" s="1"/>
  <c r="P2090" i="31"/>
  <c r="S2090" i="31" s="1"/>
  <c r="P169" i="31"/>
  <c r="Q169" i="31" s="1"/>
  <c r="Q1092" i="31"/>
  <c r="S1092" i="31"/>
  <c r="R129" i="31"/>
  <c r="P329" i="31"/>
  <c r="R562" i="31"/>
  <c r="L235" i="31"/>
  <c r="S324" i="31"/>
  <c r="R462" i="31"/>
  <c r="S562" i="31"/>
  <c r="S613" i="31"/>
  <c r="R622" i="31"/>
  <c r="P782" i="31"/>
  <c r="P778" i="31"/>
  <c r="S778" i="31" s="1"/>
  <c r="Q98" i="31"/>
  <c r="P269" i="31"/>
  <c r="Q269" i="31" s="1"/>
  <c r="Q950" i="31"/>
  <c r="R950" i="31"/>
  <c r="S1192" i="31"/>
  <c r="Q1192" i="31"/>
  <c r="S1522" i="31"/>
  <c r="Q1522" i="31"/>
  <c r="S538" i="31"/>
  <c r="R1009" i="31"/>
  <c r="S1009" i="31"/>
  <c r="P749" i="31"/>
  <c r="R749" i="31" s="1"/>
  <c r="S931" i="31"/>
  <c r="R1056" i="31"/>
  <c r="Q1067" i="31"/>
  <c r="Q1220" i="31"/>
  <c r="S1220" i="31"/>
  <c r="Q1481" i="31"/>
  <c r="S1481" i="31"/>
  <c r="Q1500" i="31"/>
  <c r="S1500" i="31"/>
  <c r="S1021" i="31"/>
  <c r="R1352" i="31"/>
  <c r="S1352" i="31"/>
  <c r="Q1099" i="31"/>
  <c r="S1296" i="31"/>
  <c r="R1296" i="31"/>
  <c r="S1630" i="31"/>
  <c r="R1630" i="31"/>
  <c r="Q1630" i="31"/>
  <c r="Q801" i="31"/>
  <c r="S814" i="31"/>
  <c r="Q834" i="31"/>
  <c r="Q1146" i="31"/>
  <c r="R1146" i="31"/>
  <c r="Q804" i="31"/>
  <c r="R834" i="31"/>
  <c r="S888" i="31"/>
  <c r="S1372" i="31"/>
  <c r="R1372" i="31"/>
  <c r="S1458" i="31"/>
  <c r="Q1458" i="31"/>
  <c r="P2291" i="31"/>
  <c r="S2291" i="31" s="1"/>
  <c r="Q2289" i="31"/>
  <c r="P2389" i="31"/>
  <c r="S2389" i="31" s="1"/>
  <c r="R2387" i="31"/>
  <c r="S896" i="31"/>
  <c r="Q931" i="31"/>
  <c r="R986" i="31"/>
  <c r="Q1372" i="31"/>
  <c r="S1570" i="31"/>
  <c r="R1570" i="31"/>
  <c r="R1726" i="31"/>
  <c r="P2174" i="31"/>
  <c r="Q2174" i="31" s="1"/>
  <c r="P2176" i="31"/>
  <c r="S2176" i="31" s="1"/>
  <c r="Q1736" i="31"/>
  <c r="R1736" i="31"/>
  <c r="P1993" i="31"/>
  <c r="R1993" i="31" s="1"/>
  <c r="P1995" i="31"/>
  <c r="S1995" i="31" s="1"/>
  <c r="Q1992" i="31"/>
  <c r="S1819" i="31"/>
  <c r="P1822" i="31"/>
  <c r="Q1822" i="31" s="1"/>
  <c r="R1819" i="31"/>
  <c r="Q1685" i="31"/>
  <c r="R1685" i="31"/>
  <c r="P2417" i="31"/>
  <c r="S2417" i="31" s="1"/>
  <c r="P2414" i="31"/>
  <c r="R2414" i="31" s="1"/>
  <c r="S2413" i="31"/>
  <c r="S2443" i="31"/>
  <c r="P2445" i="31"/>
  <c r="Q2445" i="31" s="1"/>
  <c r="R2443" i="31"/>
  <c r="R1553" i="31"/>
  <c r="S1596" i="31"/>
  <c r="S1664" i="31"/>
  <c r="R1775" i="31"/>
  <c r="P2262" i="31"/>
  <c r="R2262" i="31" s="1"/>
  <c r="P2410" i="31"/>
  <c r="S2410" i="31" s="1"/>
  <c r="P1967" i="31"/>
  <c r="S1967" i="31" s="1"/>
  <c r="Q2199" i="31"/>
  <c r="P2334" i="31"/>
  <c r="Q2334" i="31" s="1"/>
  <c r="Q1256" i="31"/>
  <c r="S1394" i="31"/>
  <c r="R1436" i="31"/>
  <c r="Q1492" i="31"/>
  <c r="R1539" i="31"/>
  <c r="S1599" i="31"/>
  <c r="P1647" i="31"/>
  <c r="S1647" i="31" s="1"/>
  <c r="R2199" i="31"/>
  <c r="P2344" i="31"/>
  <c r="Q2344" i="31" s="1"/>
  <c r="Q2539" i="31"/>
  <c r="S2539" i="31"/>
  <c r="R1256" i="31"/>
  <c r="Q1332" i="31"/>
  <c r="R1403" i="31"/>
  <c r="S1492" i="31"/>
  <c r="S1770" i="31"/>
  <c r="S2199" i="31"/>
  <c r="S338" i="32"/>
  <c r="S362" i="32"/>
  <c r="P2202" i="31"/>
  <c r="R2202" i="31" s="1"/>
  <c r="S2509" i="31"/>
  <c r="L235" i="32"/>
  <c r="Q2051" i="32"/>
  <c r="R709" i="32"/>
  <c r="S2428" i="32"/>
  <c r="P2180" i="32"/>
  <c r="R2180" i="32" s="1"/>
  <c r="Q964" i="32"/>
  <c r="Q2479" i="32"/>
  <c r="R2032" i="32"/>
  <c r="P2179" i="32"/>
  <c r="S2179" i="32" s="1"/>
  <c r="P2274" i="32"/>
  <c r="S2274" i="32" s="1"/>
  <c r="S1553" i="32"/>
  <c r="S1803" i="32"/>
  <c r="Q1920" i="32"/>
  <c r="Q1121" i="32"/>
  <c r="R58" i="32"/>
  <c r="R1369" i="32"/>
  <c r="S2495" i="32"/>
  <c r="Q81" i="32"/>
  <c r="R1306" i="32"/>
  <c r="Q59" i="32"/>
  <c r="R109" i="32"/>
  <c r="Q558" i="32"/>
  <c r="S1260" i="32"/>
  <c r="P2200" i="32"/>
  <c r="S2200" i="32" s="1"/>
  <c r="R2277" i="32"/>
  <c r="S964" i="32"/>
  <c r="R1819" i="32"/>
  <c r="Q2098" i="32"/>
  <c r="Q2131" i="32"/>
  <c r="Q993" i="32"/>
  <c r="P1822" i="32"/>
  <c r="R1822" i="32" s="1"/>
  <c r="Q271" i="32"/>
  <c r="Q815" i="32"/>
  <c r="R1020" i="32"/>
  <c r="P2280" i="32"/>
  <c r="R2280" i="32" s="1"/>
  <c r="S2395" i="32"/>
  <c r="R562" i="32"/>
  <c r="S567" i="32"/>
  <c r="R271" i="32"/>
  <c r="R789" i="32"/>
  <c r="S1020" i="32"/>
  <c r="R1194" i="32"/>
  <c r="R1484" i="32"/>
  <c r="Q1788" i="32"/>
  <c r="S2359" i="32"/>
  <c r="S142" i="32"/>
  <c r="P272" i="32"/>
  <c r="S272" i="32" s="1"/>
  <c r="S342" i="32"/>
  <c r="S777" i="32"/>
  <c r="S858" i="32"/>
  <c r="Q1254" i="32"/>
  <c r="S1513" i="32"/>
  <c r="R1695" i="32"/>
  <c r="S1788" i="32"/>
  <c r="Q1789" i="32"/>
  <c r="P2362" i="32"/>
  <c r="S2362" i="32" s="1"/>
  <c r="R2509" i="32"/>
  <c r="S2509" i="32"/>
  <c r="S1067" i="32"/>
  <c r="P2396" i="32"/>
  <c r="S2396" i="32" s="1"/>
  <c r="S544" i="32"/>
  <c r="R617" i="32"/>
  <c r="P1889" i="32"/>
  <c r="Q1889" i="32" s="1"/>
  <c r="R82" i="31"/>
  <c r="S243" i="31"/>
  <c r="Q266" i="31"/>
  <c r="S528" i="31"/>
  <c r="R608" i="31"/>
  <c r="Q777" i="31"/>
  <c r="R790" i="31"/>
  <c r="R822" i="31"/>
  <c r="S1024" i="31"/>
  <c r="S1036" i="31"/>
  <c r="Q254" i="31"/>
  <c r="Q643" i="31"/>
  <c r="R674" i="31"/>
  <c r="S869" i="31"/>
  <c r="S950" i="31"/>
  <c r="Q990" i="31"/>
  <c r="Q1051" i="31"/>
  <c r="Q1111" i="31"/>
  <c r="R1164" i="31"/>
  <c r="Q1217" i="31"/>
  <c r="Q1263" i="31"/>
  <c r="S1300" i="31"/>
  <c r="S1339" i="31"/>
  <c r="R1414" i="31"/>
  <c r="S1436" i="31"/>
  <c r="R1486" i="31"/>
  <c r="S1513" i="31"/>
  <c r="S1553" i="31"/>
  <c r="S1609" i="31"/>
  <c r="P1635" i="31"/>
  <c r="S1635" i="31" s="1"/>
  <c r="Q1674" i="31"/>
  <c r="Q1704" i="31"/>
  <c r="S1719" i="31"/>
  <c r="S1723" i="31"/>
  <c r="S1884" i="31"/>
  <c r="S1992" i="31"/>
  <c r="R2245" i="31"/>
  <c r="S2293" i="31"/>
  <c r="P2360" i="31"/>
  <c r="R2360" i="31" s="1"/>
  <c r="Q2409" i="31"/>
  <c r="P2444" i="31"/>
  <c r="R2444" i="31" s="1"/>
  <c r="S58" i="31"/>
  <c r="R80" i="31"/>
  <c r="Q93" i="31"/>
  <c r="S146" i="31"/>
  <c r="R254" i="31"/>
  <c r="R348" i="31"/>
  <c r="Q685" i="31"/>
  <c r="S836" i="31"/>
  <c r="R990" i="31"/>
  <c r="S1051" i="31"/>
  <c r="Q1113" i="31"/>
  <c r="S1164" i="31"/>
  <c r="S1217" i="31"/>
  <c r="R1263" i="31"/>
  <c r="Q1318" i="31"/>
  <c r="Q1346" i="31"/>
  <c r="S1414" i="31"/>
  <c r="S1486" i="31"/>
  <c r="R1674" i="31"/>
  <c r="S1704" i="31"/>
  <c r="P1885" i="31"/>
  <c r="S1885" i="31" s="1"/>
  <c r="R2167" i="31"/>
  <c r="S2245" i="31"/>
  <c r="P2294" i="31"/>
  <c r="S2294" i="31" s="1"/>
  <c r="R204" i="31"/>
  <c r="R297" i="31"/>
  <c r="Q318" i="31"/>
  <c r="Q324" i="31"/>
  <c r="R474" i="31"/>
  <c r="Q560" i="31"/>
  <c r="S584" i="31"/>
  <c r="S650" i="31"/>
  <c r="R1113" i="31"/>
  <c r="Q1168" i="31"/>
  <c r="R1220" i="31"/>
  <c r="S1318" i="31"/>
  <c r="S1346" i="31"/>
  <c r="Q1394" i="31"/>
  <c r="Q1523" i="31"/>
  <c r="S1646" i="31"/>
  <c r="Q1676" i="31"/>
  <c r="R1695" i="31"/>
  <c r="S1735" i="31"/>
  <c r="P1887" i="31"/>
  <c r="Q1887" i="31" s="1"/>
  <c r="P2015" i="31"/>
  <c r="S2015" i="31" s="1"/>
  <c r="P2247" i="31"/>
  <c r="R2247" i="31" s="1"/>
  <c r="P321" i="31"/>
  <c r="S321" i="31" s="1"/>
  <c r="R324" i="31"/>
  <c r="R336" i="31"/>
  <c r="S386" i="31"/>
  <c r="S560" i="31"/>
  <c r="Q588" i="31"/>
  <c r="R1676" i="31"/>
  <c r="P2248" i="31"/>
  <c r="Q2248" i="31" s="1"/>
  <c r="Q2387" i="31"/>
  <c r="Q2509" i="31"/>
  <c r="Q2536" i="31"/>
  <c r="R2543" i="31"/>
  <c r="Q82" i="31"/>
  <c r="Q109" i="31"/>
  <c r="R128" i="31"/>
  <c r="P178" i="31"/>
  <c r="R178" i="31" s="1"/>
  <c r="R243" i="31"/>
  <c r="P327" i="31"/>
  <c r="Q327" i="31" s="1"/>
  <c r="Q328" i="31"/>
  <c r="S498" i="31"/>
  <c r="Q526" i="31"/>
  <c r="R571" i="31"/>
  <c r="R804" i="31"/>
  <c r="S819" i="31"/>
  <c r="Q822" i="31"/>
  <c r="Q980" i="31"/>
  <c r="R1018" i="31"/>
  <c r="R1024" i="31"/>
  <c r="R1026" i="31"/>
  <c r="R1036" i="31"/>
  <c r="Q1083" i="31"/>
  <c r="R1130" i="31"/>
  <c r="R1199" i="31"/>
  <c r="R1242" i="31"/>
  <c r="R1326" i="31"/>
  <c r="R1409" i="31"/>
  <c r="R1425" i="31"/>
  <c r="R1612" i="31"/>
  <c r="S2387" i="31"/>
  <c r="S2536" i="31"/>
  <c r="R246" i="31"/>
  <c r="Q384" i="31"/>
  <c r="Q453" i="31"/>
  <c r="Q795" i="31"/>
  <c r="Q828" i="31"/>
  <c r="Q926" i="31"/>
  <c r="S941" i="31"/>
  <c r="Q959" i="31"/>
  <c r="S973" i="31"/>
  <c r="R1010" i="31"/>
  <c r="Q1025" i="31"/>
  <c r="Q1093" i="31"/>
  <c r="Q1136" i="31"/>
  <c r="R1177" i="31"/>
  <c r="Q1308" i="31"/>
  <c r="Q1356" i="31"/>
  <c r="S1382" i="31"/>
  <c r="Q1404" i="31"/>
  <c r="Q1427" i="31"/>
  <c r="R1470" i="31"/>
  <c r="Q1514" i="31"/>
  <c r="Q1530" i="31"/>
  <c r="Q1547" i="31"/>
  <c r="S1680" i="31"/>
  <c r="Q1701" i="31"/>
  <c r="Q1727" i="31"/>
  <c r="Q1740" i="31"/>
  <c r="Q1759" i="31"/>
  <c r="R1780" i="31"/>
  <c r="P1847" i="31"/>
  <c r="Q1847" i="31" s="1"/>
  <c r="P1915" i="31"/>
  <c r="R1915" i="31" s="1"/>
  <c r="P2002" i="31"/>
  <c r="R2002" i="31" s="1"/>
  <c r="S2048" i="31"/>
  <c r="P2142" i="31"/>
  <c r="R2142" i="31" s="1"/>
  <c r="Q2273" i="31"/>
  <c r="S2339" i="31"/>
  <c r="R2341" i="31"/>
  <c r="S2355" i="31"/>
  <c r="Q2486" i="31"/>
  <c r="Q2530" i="31"/>
  <c r="Q176" i="31"/>
  <c r="Q220" i="31"/>
  <c r="S246" i="31"/>
  <c r="R285" i="31"/>
  <c r="S576" i="31"/>
  <c r="Q686" i="31"/>
  <c r="S795" i="31"/>
  <c r="R806" i="31"/>
  <c r="Q809" i="31"/>
  <c r="S828" i="31"/>
  <c r="R851" i="31"/>
  <c r="R905" i="31"/>
  <c r="Q927" i="31"/>
  <c r="R959" i="31"/>
  <c r="S974" i="31"/>
  <c r="R1011" i="31"/>
  <c r="R1025" i="31"/>
  <c r="R1046" i="31"/>
  <c r="R1072" i="31"/>
  <c r="R1093" i="31"/>
  <c r="R1119" i="31"/>
  <c r="Q1161" i="31"/>
  <c r="R1180" i="31"/>
  <c r="S1204" i="31"/>
  <c r="Q1224" i="31"/>
  <c r="Q1249" i="31"/>
  <c r="R1266" i="31"/>
  <c r="S1308" i="31"/>
  <c r="Q1324" i="31"/>
  <c r="Q1334" i="31"/>
  <c r="R1356" i="31"/>
  <c r="S1385" i="31"/>
  <c r="R1404" i="31"/>
  <c r="R1427" i="31"/>
  <c r="Q1474" i="31"/>
  <c r="R1489" i="31"/>
  <c r="R1505" i="31"/>
  <c r="Q1518" i="31"/>
  <c r="Q1531" i="31"/>
  <c r="R1547" i="31"/>
  <c r="Q1567" i="31"/>
  <c r="Q1583" i="31"/>
  <c r="S1602" i="31"/>
  <c r="Q1622" i="31"/>
  <c r="Q1626" i="31"/>
  <c r="Q1654" i="31"/>
  <c r="R1669" i="31"/>
  <c r="Q1683" i="31"/>
  <c r="S1701" i="31"/>
  <c r="R1727" i="31"/>
  <c r="R1740" i="31"/>
  <c r="R1762" i="31"/>
  <c r="P2050" i="31"/>
  <c r="S2050" i="31" s="1"/>
  <c r="Q2127" i="31"/>
  <c r="Q2341" i="31"/>
  <c r="P2356" i="31"/>
  <c r="S2356" i="31" s="1"/>
  <c r="P2412" i="31"/>
  <c r="S2412" i="31" s="1"/>
  <c r="P2446" i="31"/>
  <c r="S2446" i="31" s="1"/>
  <c r="Q2475" i="31"/>
  <c r="R2486" i="31"/>
  <c r="S2530" i="31"/>
  <c r="R2537" i="31"/>
  <c r="R142" i="31"/>
  <c r="Q211" i="31"/>
  <c r="R249" i="31"/>
  <c r="Q282" i="31"/>
  <c r="P464" i="31"/>
  <c r="Q464" i="31" s="1"/>
  <c r="S504" i="31"/>
  <c r="Q548" i="31"/>
  <c r="Q584" i="31"/>
  <c r="R593" i="31"/>
  <c r="Q603" i="31"/>
  <c r="Q648" i="31"/>
  <c r="Q689" i="31"/>
  <c r="R694" i="31"/>
  <c r="R798" i="31"/>
  <c r="S806" i="31"/>
  <c r="S809" i="31"/>
  <c r="R861" i="31"/>
  <c r="R896" i="31"/>
  <c r="R927" i="31"/>
  <c r="S946" i="31"/>
  <c r="S962" i="31"/>
  <c r="R975" i="31"/>
  <c r="R995" i="31"/>
  <c r="S1013" i="31"/>
  <c r="R1048" i="31"/>
  <c r="Q1077" i="31"/>
  <c r="S1095" i="31"/>
  <c r="Q1121" i="31"/>
  <c r="R1143" i="31"/>
  <c r="R1161" i="31"/>
  <c r="S1180" i="31"/>
  <c r="Q1231" i="31"/>
  <c r="R1252" i="31"/>
  <c r="S1268" i="31"/>
  <c r="Q1295" i="31"/>
  <c r="S1310" i="31"/>
  <c r="R1324" i="31"/>
  <c r="S1334" i="31"/>
  <c r="Q1390" i="31"/>
  <c r="Q1419" i="31"/>
  <c r="Q1430" i="31"/>
  <c r="Q1450" i="31"/>
  <c r="R1475" i="31"/>
  <c r="S1489" i="31"/>
  <c r="S1505" i="31"/>
  <c r="R1518" i="31"/>
  <c r="Q1534" i="31"/>
  <c r="Q1548" i="31"/>
  <c r="S1569" i="31"/>
  <c r="Q1585" i="31"/>
  <c r="Q1615" i="31"/>
  <c r="R1622" i="31"/>
  <c r="S1626" i="31"/>
  <c r="S1654" i="31"/>
  <c r="S1672" i="31"/>
  <c r="R1683" i="31"/>
  <c r="R1728" i="31"/>
  <c r="Q1749" i="31"/>
  <c r="Q1766" i="31"/>
  <c r="Q1872" i="31"/>
  <c r="P1886" i="31"/>
  <c r="S1886" i="31" s="1"/>
  <c r="S2028" i="31"/>
  <c r="R2078" i="31"/>
  <c r="P2097" i="31"/>
  <c r="S2097" i="31" s="1"/>
  <c r="R2127" i="31"/>
  <c r="P2166" i="31"/>
  <c r="S2166" i="31" s="1"/>
  <c r="P2254" i="31"/>
  <c r="Q2254" i="31" s="1"/>
  <c r="P2358" i="31"/>
  <c r="R2358" i="31" s="1"/>
  <c r="R2475" i="31"/>
  <c r="R66" i="31"/>
  <c r="Q72" i="31"/>
  <c r="R84" i="31"/>
  <c r="R689" i="31"/>
  <c r="R1077" i="31"/>
  <c r="R1121" i="31"/>
  <c r="Q1145" i="31"/>
  <c r="R1186" i="31"/>
  <c r="R1210" i="31"/>
  <c r="R1231" i="31"/>
  <c r="S1252" i="31"/>
  <c r="Q1280" i="31"/>
  <c r="R1295" i="31"/>
  <c r="Q1316" i="31"/>
  <c r="R1390" i="31"/>
  <c r="R1419" i="31"/>
  <c r="R1430" i="31"/>
  <c r="S1534" i="31"/>
  <c r="S1585" i="31"/>
  <c r="P1655" i="31"/>
  <c r="S1655" i="31" s="1"/>
  <c r="S1731" i="31"/>
  <c r="R1766" i="31"/>
  <c r="P1874" i="31"/>
  <c r="R1874" i="31" s="1"/>
  <c r="P2030" i="31"/>
  <c r="R2030" i="31" s="1"/>
  <c r="Q2031" i="31"/>
  <c r="S2078" i="31"/>
  <c r="S2127" i="31"/>
  <c r="Q2128" i="31"/>
  <c r="R2516" i="31"/>
  <c r="Q2527" i="31"/>
  <c r="S72" i="31"/>
  <c r="S86" i="31"/>
  <c r="R109" i="31"/>
  <c r="R210" i="31"/>
  <c r="Q238" i="31"/>
  <c r="S251" i="31"/>
  <c r="R266" i="31"/>
  <c r="Q294" i="31"/>
  <c r="P385" i="31"/>
  <c r="Q385" i="31" s="1"/>
  <c r="R522" i="31"/>
  <c r="R555" i="31"/>
  <c r="Q566" i="31"/>
  <c r="R575" i="31"/>
  <c r="Q586" i="31"/>
  <c r="P609" i="31"/>
  <c r="S609" i="31" s="1"/>
  <c r="R627" i="31"/>
  <c r="R651" i="31"/>
  <c r="Q666" i="31"/>
  <c r="P675" i="31"/>
  <c r="S675" i="31" s="1"/>
  <c r="S790" i="31"/>
  <c r="R799" i="31"/>
  <c r="Q817" i="31"/>
  <c r="S830" i="31"/>
  <c r="S837" i="31"/>
  <c r="Q850" i="31"/>
  <c r="R862" i="31"/>
  <c r="S870" i="31"/>
  <c r="Q893" i="31"/>
  <c r="Q915" i="31"/>
  <c r="Q966" i="31"/>
  <c r="Q999" i="31"/>
  <c r="S1079" i="31"/>
  <c r="R1145" i="31"/>
  <c r="R1280" i="31"/>
  <c r="Q1296" i="31"/>
  <c r="R1316" i="31"/>
  <c r="Q1326" i="31"/>
  <c r="R1510" i="31"/>
  <c r="Q1735" i="31"/>
  <c r="R1755" i="31"/>
  <c r="P1875" i="31"/>
  <c r="R1875" i="31" s="1"/>
  <c r="P1893" i="31"/>
  <c r="R1893" i="31" s="1"/>
  <c r="P2079" i="31"/>
  <c r="S2079" i="31" s="1"/>
  <c r="P2129" i="31"/>
  <c r="S2129" i="31" s="1"/>
  <c r="P2168" i="31"/>
  <c r="S2168" i="31" s="1"/>
  <c r="P2240" i="31"/>
  <c r="Q2240" i="31" s="1"/>
  <c r="Q2241" i="31"/>
  <c r="Q2261" i="31"/>
  <c r="R2289" i="31"/>
  <c r="Q2331" i="31"/>
  <c r="Q2347" i="31"/>
  <c r="R2375" i="31"/>
  <c r="P2456" i="31"/>
  <c r="Q2456" i="31" s="1"/>
  <c r="R2470" i="31"/>
  <c r="S2516" i="31"/>
  <c r="S210" i="31"/>
  <c r="R238" i="31"/>
  <c r="S294" i="31"/>
  <c r="P296" i="31"/>
  <c r="R566" i="31"/>
  <c r="R586" i="31"/>
  <c r="R646" i="31"/>
  <c r="P677" i="31"/>
  <c r="Q677" i="31" s="1"/>
  <c r="S817" i="31"/>
  <c r="R893" i="31"/>
  <c r="R966" i="31"/>
  <c r="R999" i="31"/>
  <c r="S1880" i="31"/>
  <c r="P1894" i="31"/>
  <c r="Q1894" i="31" s="1"/>
  <c r="P2080" i="31"/>
  <c r="R2080" i="31" s="1"/>
  <c r="P2130" i="31"/>
  <c r="S2130" i="31" s="1"/>
  <c r="P2242" i="31"/>
  <c r="R2242" i="31" s="1"/>
  <c r="R2261" i="31"/>
  <c r="S2289" i="31"/>
  <c r="P2332" i="31"/>
  <c r="Q2332" i="31" s="1"/>
  <c r="S2347" i="31"/>
  <c r="P2457" i="31"/>
  <c r="S2457" i="31" s="1"/>
  <c r="R2545" i="31"/>
  <c r="O19" i="31"/>
  <c r="P19" i="31" s="1"/>
  <c r="S137" i="31"/>
  <c r="Q164" i="31"/>
  <c r="Q203" i="31"/>
  <c r="Q223" i="31"/>
  <c r="P295" i="31"/>
  <c r="Q295" i="31" s="1"/>
  <c r="R803" i="31"/>
  <c r="Q819" i="31"/>
  <c r="R829" i="31"/>
  <c r="Q843" i="31"/>
  <c r="R888" i="31"/>
  <c r="Q935" i="31"/>
  <c r="Q958" i="31"/>
  <c r="R967" i="31"/>
  <c r="S1063" i="31"/>
  <c r="S1087" i="31"/>
  <c r="S1125" i="31"/>
  <c r="R1148" i="31"/>
  <c r="S1167" i="31"/>
  <c r="R1194" i="31"/>
  <c r="R1240" i="31"/>
  <c r="R1300" i="31"/>
  <c r="Q1350" i="31"/>
  <c r="R1500" i="31"/>
  <c r="R1513" i="31"/>
  <c r="Q1524" i="31"/>
  <c r="Q1542" i="31"/>
  <c r="S1558" i="31"/>
  <c r="Q1579" i="31"/>
  <c r="S1591" i="31"/>
  <c r="P2081" i="31"/>
  <c r="R2081" i="31" s="1"/>
  <c r="S2201" i="31"/>
  <c r="S2261" i="31"/>
  <c r="P2292" i="31"/>
  <c r="S2292" i="31" s="1"/>
  <c r="P2333" i="31"/>
  <c r="R2333" i="31" s="1"/>
  <c r="P2416" i="31"/>
  <c r="S2416" i="31" s="1"/>
  <c r="R2524" i="31"/>
  <c r="Q57" i="31"/>
  <c r="Q67" i="31"/>
  <c r="R73" i="31"/>
  <c r="S102" i="31"/>
  <c r="S131" i="31"/>
  <c r="P150" i="31"/>
  <c r="S150" i="31" s="1"/>
  <c r="Q188" i="31"/>
  <c r="Q209" i="31"/>
  <c r="R227" i="31"/>
  <c r="Q276" i="31"/>
  <c r="S282" i="31"/>
  <c r="P284" i="31"/>
  <c r="S336" i="31"/>
  <c r="S342" i="31"/>
  <c r="Q343" i="31"/>
  <c r="P347" i="31"/>
  <c r="R438" i="31"/>
  <c r="S474" i="31"/>
  <c r="P479" i="31"/>
  <c r="Q514" i="31"/>
  <c r="R527" i="31"/>
  <c r="Q544" i="31"/>
  <c r="S550" i="31"/>
  <c r="R578" i="31"/>
  <c r="R583" i="31"/>
  <c r="S593" i="31"/>
  <c r="Q637" i="31"/>
  <c r="S651" i="31"/>
  <c r="Q658" i="31"/>
  <c r="Q684" i="31"/>
  <c r="Q691" i="31"/>
  <c r="S711" i="31"/>
  <c r="Q735" i="31"/>
  <c r="P769" i="31"/>
  <c r="Q769" i="31" s="1"/>
  <c r="Q796" i="31"/>
  <c r="S803" i="31"/>
  <c r="Q815" i="31"/>
  <c r="Q826" i="31"/>
  <c r="Q838" i="31"/>
  <c r="R843" i="31"/>
  <c r="R854" i="31"/>
  <c r="Q871" i="31"/>
  <c r="R1005" i="31"/>
  <c r="S1005" i="31"/>
  <c r="Q1005" i="31"/>
  <c r="S1088" i="31"/>
  <c r="R1088" i="31"/>
  <c r="S1129" i="31"/>
  <c r="R1129" i="31"/>
  <c r="Q1129" i="31"/>
  <c r="R1330" i="31"/>
  <c r="S1330" i="31"/>
  <c r="S1639" i="31"/>
  <c r="R1639" i="31"/>
  <c r="Q1639" i="31"/>
  <c r="R1774" i="31"/>
  <c r="S1774" i="31"/>
  <c r="Q1774" i="31"/>
  <c r="Q49" i="31"/>
  <c r="Q54" i="31"/>
  <c r="R57" i="31"/>
  <c r="R67" i="31"/>
  <c r="R75" i="31"/>
  <c r="R81" i="31"/>
  <c r="Q90" i="31"/>
  <c r="S94" i="31"/>
  <c r="S97" i="31"/>
  <c r="R106" i="31"/>
  <c r="R114" i="31"/>
  <c r="R119" i="31"/>
  <c r="Q134" i="31"/>
  <c r="R188" i="31"/>
  <c r="P191" i="31"/>
  <c r="R191" i="31" s="1"/>
  <c r="R209" i="31"/>
  <c r="R217" i="31"/>
  <c r="Q226" i="31"/>
  <c r="S227" i="31"/>
  <c r="Q248" i="31"/>
  <c r="Q261" i="31"/>
  <c r="R276" i="31"/>
  <c r="P283" i="31"/>
  <c r="Q283" i="31" s="1"/>
  <c r="Q312" i="31"/>
  <c r="Q390" i="31"/>
  <c r="P475" i="31"/>
  <c r="R475" i="31" s="1"/>
  <c r="R514" i="31"/>
  <c r="S544" i="31"/>
  <c r="R551" i="31"/>
  <c r="Q568" i="31"/>
  <c r="S578" i="31"/>
  <c r="P596" i="31"/>
  <c r="Q596" i="31" s="1"/>
  <c r="R623" i="31"/>
  <c r="R637" i="31"/>
  <c r="Q642" i="31"/>
  <c r="S659" i="31"/>
  <c r="R684" i="31"/>
  <c r="R691" i="31"/>
  <c r="Q702" i="31"/>
  <c r="S759" i="31"/>
  <c r="R815" i="31"/>
  <c r="R826" i="31"/>
  <c r="S854" i="31"/>
  <c r="R871" i="31"/>
  <c r="S1175" i="31"/>
  <c r="R1175" i="31"/>
  <c r="Q1175" i="31"/>
  <c r="S1355" i="31"/>
  <c r="R1355" i="31"/>
  <c r="Q1377" i="31"/>
  <c r="S1377" i="31"/>
  <c r="R1377" i="31"/>
  <c r="S1468" i="31"/>
  <c r="R1468" i="31"/>
  <c r="Q1468" i="31"/>
  <c r="Q1529" i="31"/>
  <c r="S1529" i="31"/>
  <c r="R1529" i="31"/>
  <c r="S1546" i="31"/>
  <c r="Q1546" i="31"/>
  <c r="S1563" i="31"/>
  <c r="Q1563" i="31"/>
  <c r="S1598" i="31"/>
  <c r="R1598" i="31"/>
  <c r="Q1598" i="31"/>
  <c r="S1667" i="31"/>
  <c r="R1667" i="31"/>
  <c r="Q1667" i="31"/>
  <c r="Q46" i="31"/>
  <c r="R49" i="31"/>
  <c r="R54" i="31"/>
  <c r="R64" i="31"/>
  <c r="R77" i="31"/>
  <c r="S81" i="31"/>
  <c r="R90" i="31"/>
  <c r="Q96" i="31"/>
  <c r="R122" i="31"/>
  <c r="R134" i="31"/>
  <c r="R141" i="31"/>
  <c r="Q180" i="31"/>
  <c r="Q185" i="31"/>
  <c r="S201" i="31"/>
  <c r="R226" i="31"/>
  <c r="Q241" i="31"/>
  <c r="R248" i="31"/>
  <c r="R256" i="31"/>
  <c r="R261" i="31"/>
  <c r="S276" i="31"/>
  <c r="R312" i="31"/>
  <c r="P441" i="31"/>
  <c r="R441" i="31" s="1"/>
  <c r="R519" i="31"/>
  <c r="Q532" i="31"/>
  <c r="R546" i="31"/>
  <c r="Q554" i="31"/>
  <c r="S568" i="31"/>
  <c r="S590" i="31"/>
  <c r="R603" i="31"/>
  <c r="P616" i="31"/>
  <c r="Q616" i="31" s="1"/>
  <c r="Q634" i="31"/>
  <c r="S642" i="31"/>
  <c r="R661" i="31"/>
  <c r="Q674" i="31"/>
  <c r="S693" i="31"/>
  <c r="S696" i="31"/>
  <c r="Q700" i="31"/>
  <c r="Q816" i="31"/>
  <c r="S829" i="31"/>
  <c r="R837" i="31"/>
  <c r="R842" i="31"/>
  <c r="Q847" i="31"/>
  <c r="S852" i="31"/>
  <c r="R902" i="31"/>
  <c r="Q902" i="31"/>
  <c r="S1045" i="31"/>
  <c r="R1045" i="31"/>
  <c r="Q1045" i="31"/>
  <c r="S1200" i="31"/>
  <c r="Q1200" i="31"/>
  <c r="R1247" i="31"/>
  <c r="S1247" i="31"/>
  <c r="Q1247" i="31"/>
  <c r="Q1441" i="31"/>
  <c r="S1441" i="31"/>
  <c r="R1441" i="31"/>
  <c r="S1682" i="31"/>
  <c r="R1682" i="31"/>
  <c r="Q1682" i="31"/>
  <c r="S1714" i="31"/>
  <c r="R1714" i="31"/>
  <c r="Q1714" i="31"/>
  <c r="S1760" i="31"/>
  <c r="R1760" i="31"/>
  <c r="Q1760" i="31"/>
  <c r="P1918" i="31"/>
  <c r="S1918" i="31" s="1"/>
  <c r="P1919" i="31"/>
  <c r="Q1919" i="31" s="1"/>
  <c r="P1917" i="31"/>
  <c r="S1917" i="31" s="1"/>
  <c r="R46" i="31"/>
  <c r="S77" i="31"/>
  <c r="R96" i="31"/>
  <c r="S122" i="31"/>
  <c r="R180" i="31"/>
  <c r="R185" i="31"/>
  <c r="R241" i="31"/>
  <c r="S261" i="31"/>
  <c r="P265" i="31"/>
  <c r="S312" i="31"/>
  <c r="P463" i="31"/>
  <c r="Q463" i="31" s="1"/>
  <c r="S532" i="31"/>
  <c r="S546" i="31"/>
  <c r="Q580" i="31"/>
  <c r="R634" i="31"/>
  <c r="P856" i="31"/>
  <c r="Q856" i="31" s="1"/>
  <c r="S904" i="31"/>
  <c r="R904" i="31"/>
  <c r="S947" i="31"/>
  <c r="Q947" i="31"/>
  <c r="S1387" i="31"/>
  <c r="R1387" i="31"/>
  <c r="Q1387" i="31"/>
  <c r="R1743" i="31"/>
  <c r="P1744" i="31"/>
  <c r="S1744" i="31" s="1"/>
  <c r="S1743" i="31"/>
  <c r="Q1743" i="31"/>
  <c r="R2031" i="31"/>
  <c r="S939" i="31"/>
  <c r="Q939" i="31"/>
  <c r="R48" i="31"/>
  <c r="Q51" i="31"/>
  <c r="Q59" i="31"/>
  <c r="S78" i="31"/>
  <c r="S110" i="31"/>
  <c r="S113" i="31"/>
  <c r="Q124" i="31"/>
  <c r="Q137" i="31"/>
  <c r="R145" i="31"/>
  <c r="R168" i="31"/>
  <c r="R212" i="31"/>
  <c r="R225" i="31"/>
  <c r="S249" i="31"/>
  <c r="P263" i="31"/>
  <c r="Q263" i="31" s="1"/>
  <c r="P315" i="31"/>
  <c r="Q315" i="31" s="1"/>
  <c r="P317" i="31"/>
  <c r="P465" i="31"/>
  <c r="S465" i="31" s="1"/>
  <c r="Q522" i="31"/>
  <c r="R538" i="31"/>
  <c r="R547" i="31"/>
  <c r="S556" i="31"/>
  <c r="Q564" i="31"/>
  <c r="R567" i="31"/>
  <c r="Q572" i="31"/>
  <c r="S608" i="31"/>
  <c r="S622" i="31"/>
  <c r="S641" i="31"/>
  <c r="R648" i="31"/>
  <c r="S674" i="31"/>
  <c r="Q690" i="31"/>
  <c r="Q793" i="31"/>
  <c r="Q800" i="31"/>
  <c r="Q812" i="31"/>
  <c r="Q851" i="31"/>
  <c r="R875" i="31"/>
  <c r="R947" i="31"/>
  <c r="S948" i="31"/>
  <c r="Q948" i="31"/>
  <c r="Q963" i="31"/>
  <c r="R963" i="31"/>
  <c r="S1015" i="31"/>
  <c r="R1015" i="31"/>
  <c r="Q1015" i="31"/>
  <c r="S1273" i="31"/>
  <c r="R1273" i="31"/>
  <c r="Q1273" i="31"/>
  <c r="S1315" i="31"/>
  <c r="R1315" i="31"/>
  <c r="R1476" i="31"/>
  <c r="S1476" i="31"/>
  <c r="P1790" i="31"/>
  <c r="Q1790" i="31" s="1"/>
  <c r="P1789" i="31"/>
  <c r="Q1789" i="31" s="1"/>
  <c r="S1788" i="31"/>
  <c r="R1788" i="31"/>
  <c r="Q1788" i="31"/>
  <c r="P2067" i="31"/>
  <c r="Q2067" i="31" s="1"/>
  <c r="P2066" i="31"/>
  <c r="S2066" i="31" s="1"/>
  <c r="P2065" i="31"/>
  <c r="S2065" i="31" s="1"/>
  <c r="S2063" i="31"/>
  <c r="R2063" i="31"/>
  <c r="P2163" i="31"/>
  <c r="R2163" i="31" s="1"/>
  <c r="P2161" i="31"/>
  <c r="S2161" i="31" s="1"/>
  <c r="S2159" i="31"/>
  <c r="R2159" i="31"/>
  <c r="Q2159" i="31"/>
  <c r="R59" i="31"/>
  <c r="S70" i="31"/>
  <c r="S890" i="31"/>
  <c r="Q890" i="31"/>
  <c r="R910" i="31"/>
  <c r="Q910" i="31"/>
  <c r="S919" i="31"/>
  <c r="R919" i="31"/>
  <c r="R965" i="31"/>
  <c r="S965" i="31"/>
  <c r="Q965" i="31"/>
  <c r="R981" i="31"/>
  <c r="S981" i="31"/>
  <c r="Q981" i="31"/>
  <c r="Q1345" i="31"/>
  <c r="S1345" i="31"/>
  <c r="R1366" i="31"/>
  <c r="S1366" i="31"/>
  <c r="Q1537" i="31"/>
  <c r="S1537" i="31"/>
  <c r="R1537" i="31"/>
  <c r="S1571" i="31"/>
  <c r="R1571" i="31"/>
  <c r="Q1571" i="31"/>
  <c r="S1586" i="31"/>
  <c r="R1586" i="31"/>
  <c r="Q1586" i="31"/>
  <c r="R1707" i="31"/>
  <c r="S1707" i="31"/>
  <c r="Q1707" i="31"/>
  <c r="Q1732" i="31"/>
  <c r="S1732" i="31"/>
  <c r="R1732" i="31"/>
  <c r="P1800" i="31"/>
  <c r="Q1800" i="31" s="1"/>
  <c r="S1799" i="31"/>
  <c r="P1946" i="31"/>
  <c r="Q1946" i="31" s="1"/>
  <c r="R1944" i="31"/>
  <c r="Q1944" i="31"/>
  <c r="Q1060" i="31"/>
  <c r="S1060" i="31"/>
  <c r="S1555" i="31"/>
  <c r="R1555" i="31"/>
  <c r="Q1555" i="31"/>
  <c r="Q291" i="31"/>
  <c r="P299" i="31"/>
  <c r="Q336" i="31"/>
  <c r="Q462" i="31"/>
  <c r="Q474" i="31"/>
  <c r="Q498" i="31"/>
  <c r="Q504" i="31"/>
  <c r="R523" i="31"/>
  <c r="Q576" i="31"/>
  <c r="R579" i="31"/>
  <c r="Q593" i="31"/>
  <c r="R619" i="31"/>
  <c r="Q624" i="31"/>
  <c r="S640" i="31"/>
  <c r="Q647" i="31"/>
  <c r="Q688" i="31"/>
  <c r="R814" i="31"/>
  <c r="Q831" i="31"/>
  <c r="R870" i="31"/>
  <c r="R890" i="31"/>
  <c r="S910" i="31"/>
  <c r="R923" i="31"/>
  <c r="S923" i="31"/>
  <c r="Q923" i="31"/>
  <c r="R1031" i="31"/>
  <c r="S1031" i="31"/>
  <c r="S1233" i="31"/>
  <c r="R1233" i="31"/>
  <c r="Q1233" i="31"/>
  <c r="Q1393" i="31"/>
  <c r="S1393" i="31"/>
  <c r="S1494" i="31"/>
  <c r="R1494" i="31"/>
  <c r="Q1494" i="31"/>
  <c r="S1601" i="31"/>
  <c r="R1601" i="31"/>
  <c r="Q1601" i="31"/>
  <c r="P2259" i="31"/>
  <c r="Q2259" i="31" s="1"/>
  <c r="P2258" i="31"/>
  <c r="Q2258" i="31" s="1"/>
  <c r="S2257" i="31"/>
  <c r="R2257" i="31"/>
  <c r="Q2257" i="31"/>
  <c r="P2373" i="31"/>
  <c r="Q2373" i="31" s="1"/>
  <c r="P2372" i="31"/>
  <c r="R2372" i="31" s="1"/>
  <c r="S2371" i="31"/>
  <c r="Q2371" i="31"/>
  <c r="S905" i="31"/>
  <c r="Q971" i="31"/>
  <c r="Q1013" i="31"/>
  <c r="S1041" i="31"/>
  <c r="S1055" i="31"/>
  <c r="S1071" i="31"/>
  <c r="S1083" i="31"/>
  <c r="R1106" i="31"/>
  <c r="Q1119" i="31"/>
  <c r="R1124" i="31"/>
  <c r="Q1143" i="31"/>
  <c r="R1154" i="31"/>
  <c r="R1215" i="31"/>
  <c r="R1268" i="31"/>
  <c r="R1310" i="31"/>
  <c r="S1320" i="31"/>
  <c r="R1339" i="31"/>
  <c r="Q1352" i="31"/>
  <c r="Q1362" i="31"/>
  <c r="R1385" i="31"/>
  <c r="S1446" i="31"/>
  <c r="S1452" i="31"/>
  <c r="S1462" i="31"/>
  <c r="Q1475" i="31"/>
  <c r="S1516" i="31"/>
  <c r="Q1561" i="31"/>
  <c r="Q1570" i="31"/>
  <c r="S1577" i="31"/>
  <c r="Q1599" i="31"/>
  <c r="Q1602" i="31"/>
  <c r="Q1612" i="31"/>
  <c r="S1615" i="31"/>
  <c r="Q1638" i="31"/>
  <c r="P1648" i="31"/>
  <c r="S1648" i="31" s="1"/>
  <c r="R1666" i="31"/>
  <c r="S1673" i="31"/>
  <c r="Q1680" i="31"/>
  <c r="R1708" i="31"/>
  <c r="Q1731" i="31"/>
  <c r="S1795" i="31"/>
  <c r="P1825" i="31"/>
  <c r="Q1825" i="31" s="1"/>
  <c r="P1883" i="31"/>
  <c r="S1883" i="31" s="1"/>
  <c r="P1914" i="31"/>
  <c r="S1914" i="31" s="1"/>
  <c r="P1983" i="31"/>
  <c r="R1983" i="31" s="1"/>
  <c r="P2029" i="31"/>
  <c r="Q2029" i="31" s="1"/>
  <c r="Q2048" i="31"/>
  <c r="P2059" i="31"/>
  <c r="Q2059" i="31" s="1"/>
  <c r="S2331" i="31"/>
  <c r="R2487" i="31"/>
  <c r="S1026" i="31"/>
  <c r="R1111" i="31"/>
  <c r="R2403" i="31"/>
  <c r="Q2419" i="31"/>
  <c r="P2432" i="31"/>
  <c r="Q2432" i="31" s="1"/>
  <c r="Q2472" i="31"/>
  <c r="Q2491" i="31"/>
  <c r="R2527" i="31"/>
  <c r="R901" i="31"/>
  <c r="Q932" i="31"/>
  <c r="Q941" i="31"/>
  <c r="Q973" i="31"/>
  <c r="S1023" i="31"/>
  <c r="Q1061" i="31"/>
  <c r="S1076" i="31"/>
  <c r="Q1606" i="31"/>
  <c r="Q1629" i="31"/>
  <c r="Q1675" i="31"/>
  <c r="Q1699" i="31"/>
  <c r="Q1725" i="31"/>
  <c r="Q1880" i="31"/>
  <c r="Q1904" i="31"/>
  <c r="R1964" i="31"/>
  <c r="R2053" i="31"/>
  <c r="Q2083" i="31"/>
  <c r="P2188" i="31"/>
  <c r="Q2188" i="31" s="1"/>
  <c r="P2271" i="31"/>
  <c r="S2271" i="31" s="1"/>
  <c r="R2297" i="31"/>
  <c r="R2391" i="31"/>
  <c r="S2403" i="31"/>
  <c r="R2419" i="31"/>
  <c r="R2449" i="31"/>
  <c r="R2472" i="31"/>
  <c r="R1061" i="31"/>
  <c r="R1369" i="31"/>
  <c r="Q1378" i="31"/>
  <c r="Q1388" i="31"/>
  <c r="Q1443" i="31"/>
  <c r="Q1451" i="31"/>
  <c r="R1459" i="31"/>
  <c r="R1481" i="31"/>
  <c r="R1566" i="31"/>
  <c r="R1606" i="31"/>
  <c r="R1629" i="31"/>
  <c r="R1675" i="31"/>
  <c r="Q1693" i="31"/>
  <c r="Q1696" i="31"/>
  <c r="S1699" i="31"/>
  <c r="Q1775" i="31"/>
  <c r="R1880" i="31"/>
  <c r="S2053" i="31"/>
  <c r="P2084" i="31"/>
  <c r="S2084" i="31" s="1"/>
  <c r="Q2171" i="31"/>
  <c r="S2391" i="31"/>
  <c r="P2404" i="31"/>
  <c r="R2404" i="31" s="1"/>
  <c r="S2419" i="31"/>
  <c r="S2449" i="31"/>
  <c r="R2479" i="31"/>
  <c r="S2504" i="31"/>
  <c r="Q2546" i="31"/>
  <c r="Q1177" i="31"/>
  <c r="Q1193" i="31"/>
  <c r="S1236" i="31"/>
  <c r="R1249" i="31"/>
  <c r="R1276" i="31"/>
  <c r="S1369" i="31"/>
  <c r="S1378" i="31"/>
  <c r="R1388" i="31"/>
  <c r="Q1398" i="31"/>
  <c r="R1443" i="31"/>
  <c r="R1451" i="31"/>
  <c r="P2054" i="31"/>
  <c r="Q2054" i="31" s="1"/>
  <c r="S2060" i="31"/>
  <c r="S2171" i="31"/>
  <c r="Q2327" i="31"/>
  <c r="P2392" i="31"/>
  <c r="Q2392" i="31" s="1"/>
  <c r="P2406" i="31"/>
  <c r="Q2406" i="31" s="1"/>
  <c r="P2420" i="31"/>
  <c r="Q2420" i="31" s="1"/>
  <c r="P2450" i="31"/>
  <c r="S2450" i="31" s="1"/>
  <c r="S2546" i="31"/>
  <c r="S915" i="31"/>
  <c r="R926" i="31"/>
  <c r="R935" i="31"/>
  <c r="R946" i="31"/>
  <c r="R954" i="31"/>
  <c r="R962" i="31"/>
  <c r="Q967" i="31"/>
  <c r="Q975" i="31"/>
  <c r="Q1011" i="31"/>
  <c r="Q1021" i="31"/>
  <c r="R1122" i="31"/>
  <c r="R1193" i="31"/>
  <c r="Q1240" i="31"/>
  <c r="S1276" i="31"/>
  <c r="S1292" i="31"/>
  <c r="R1325" i="31"/>
  <c r="R1350" i="31"/>
  <c r="R1361" i="31"/>
  <c r="R1382" i="31"/>
  <c r="R1398" i="31"/>
  <c r="S1409" i="31"/>
  <c r="Q1418" i="31"/>
  <c r="S1425" i="31"/>
  <c r="R1435" i="31"/>
  <c r="Q1446" i="31"/>
  <c r="Q1452" i="31"/>
  <c r="Q1462" i="31"/>
  <c r="S1470" i="31"/>
  <c r="Q1482" i="31"/>
  <c r="Q1490" i="31"/>
  <c r="Q1499" i="31"/>
  <c r="Q1506" i="31"/>
  <c r="Q1516" i="31"/>
  <c r="R1523" i="31"/>
  <c r="R1531" i="31"/>
  <c r="S1540" i="31"/>
  <c r="S1548" i="31"/>
  <c r="Q1560" i="31"/>
  <c r="S1567" i="31"/>
  <c r="Q1577" i="31"/>
  <c r="S1583" i="31"/>
  <c r="Q1591" i="31"/>
  <c r="R1603" i="31"/>
  <c r="Q1618" i="31"/>
  <c r="Q1664" i="31"/>
  <c r="Q1672" i="31"/>
  <c r="R1698" i="31"/>
  <c r="P1750" i="31"/>
  <c r="Q1750" i="31" s="1"/>
  <c r="Q1795" i="31"/>
  <c r="S1856" i="31"/>
  <c r="P1881" i="31"/>
  <c r="R1881" i="31" s="1"/>
  <c r="P1907" i="31"/>
  <c r="S1907" i="31" s="1"/>
  <c r="P1933" i="31"/>
  <c r="R1933" i="31" s="1"/>
  <c r="R1980" i="31"/>
  <c r="S2031" i="31"/>
  <c r="Q2058" i="31"/>
  <c r="R2128" i="31"/>
  <c r="P2136" i="31"/>
  <c r="R2136" i="31" s="1"/>
  <c r="Q2165" i="31"/>
  <c r="P2172" i="31"/>
  <c r="S2172" i="31" s="1"/>
  <c r="P2283" i="31"/>
  <c r="Q2283" i="31" s="1"/>
  <c r="P2393" i="31"/>
  <c r="R2393" i="31" s="1"/>
  <c r="P2422" i="31"/>
  <c r="Q2422" i="31" s="1"/>
  <c r="P2452" i="31"/>
  <c r="S2452" i="31" s="1"/>
  <c r="R2535" i="31"/>
  <c r="Q2538" i="31"/>
  <c r="Q1215" i="31"/>
  <c r="S1361" i="31"/>
  <c r="R1499" i="31"/>
  <c r="S1560" i="31"/>
  <c r="S1618" i="31"/>
  <c r="R1795" i="31"/>
  <c r="P1824" i="31"/>
  <c r="S1824" i="31" s="1"/>
  <c r="P1857" i="31"/>
  <c r="Q1857" i="31" s="1"/>
  <c r="P1889" i="31"/>
  <c r="Q1889" i="31" s="1"/>
  <c r="P1913" i="31"/>
  <c r="R1913" i="31" s="1"/>
  <c r="P1935" i="31"/>
  <c r="S1935" i="31" s="1"/>
  <c r="P1981" i="31"/>
  <c r="S1981" i="31" s="1"/>
  <c r="Q2052" i="31"/>
  <c r="R2058" i="31"/>
  <c r="S2138" i="31"/>
  <c r="R2165" i="31"/>
  <c r="P2173" i="31"/>
  <c r="R2173" i="31" s="1"/>
  <c r="P2454" i="31"/>
  <c r="S2454" i="31" s="1"/>
  <c r="R2538" i="31"/>
  <c r="S320" i="31"/>
  <c r="R320" i="31"/>
  <c r="Q320" i="31"/>
  <c r="P419" i="31"/>
  <c r="P417" i="31"/>
  <c r="S417" i="31" s="1"/>
  <c r="R558" i="31"/>
  <c r="Q558" i="31"/>
  <c r="Q866" i="31"/>
  <c r="S866" i="31"/>
  <c r="R866" i="31"/>
  <c r="S47" i="31"/>
  <c r="R51" i="31"/>
  <c r="R56" i="31"/>
  <c r="Q62" i="31"/>
  <c r="Q65" i="31"/>
  <c r="S66" i="31"/>
  <c r="Q74" i="31"/>
  <c r="S80" i="31"/>
  <c r="R95" i="31"/>
  <c r="Q99" i="31"/>
  <c r="R105" i="31"/>
  <c r="R111" i="31"/>
  <c r="Q115" i="31"/>
  <c r="R133" i="31"/>
  <c r="Q138" i="31"/>
  <c r="S142" i="31"/>
  <c r="R155" i="31"/>
  <c r="P171" i="31"/>
  <c r="S171" i="31" s="1"/>
  <c r="R203" i="31"/>
  <c r="Q219" i="31"/>
  <c r="R220" i="31"/>
  <c r="S225" i="31"/>
  <c r="Q240" i="31"/>
  <c r="Q252" i="31"/>
  <c r="S256" i="31"/>
  <c r="M270" i="31"/>
  <c r="N270" i="31" s="1"/>
  <c r="S285" i="31"/>
  <c r="P287" i="31"/>
  <c r="S297" i="31"/>
  <c r="Q300" i="31"/>
  <c r="Q306" i="31"/>
  <c r="P309" i="31"/>
  <c r="R318" i="31"/>
  <c r="P333" i="31"/>
  <c r="Q333" i="31" s="1"/>
  <c r="P335" i="31"/>
  <c r="P332" i="31"/>
  <c r="P331" i="31"/>
  <c r="S331" i="31" s="1"/>
  <c r="S348" i="31"/>
  <c r="Q351" i="31"/>
  <c r="R414" i="31"/>
  <c r="P429" i="31"/>
  <c r="Q429" i="31" s="1"/>
  <c r="P437" i="31"/>
  <c r="Q432" i="31"/>
  <c r="R524" i="31"/>
  <c r="S524" i="31"/>
  <c r="Q524" i="31"/>
  <c r="S558" i="31"/>
  <c r="S559" i="31"/>
  <c r="R559" i="31"/>
  <c r="R574" i="31"/>
  <c r="Q574" i="31"/>
  <c r="S582" i="31"/>
  <c r="R582" i="31"/>
  <c r="Q582" i="31"/>
  <c r="S665" i="31"/>
  <c r="R665" i="31"/>
  <c r="Q665" i="31"/>
  <c r="S878" i="31"/>
  <c r="R878" i="31"/>
  <c r="Q878" i="31"/>
  <c r="Q889" i="31"/>
  <c r="S889" i="31"/>
  <c r="R889" i="31"/>
  <c r="S909" i="31"/>
  <c r="R909" i="31"/>
  <c r="Q909" i="31"/>
  <c r="Q922" i="31"/>
  <c r="S922" i="31"/>
  <c r="R922" i="31"/>
  <c r="S964" i="31"/>
  <c r="Q964" i="31"/>
  <c r="S1169" i="31"/>
  <c r="R1169" i="31"/>
  <c r="Q1169" i="31"/>
  <c r="S1312" i="31"/>
  <c r="R1312" i="31"/>
  <c r="Q1312" i="31"/>
  <c r="S1340" i="31"/>
  <c r="R1340" i="31"/>
  <c r="Q1340" i="31"/>
  <c r="R1386" i="31"/>
  <c r="S1386" i="31"/>
  <c r="Q1386" i="31"/>
  <c r="P43" i="31"/>
  <c r="Q43" i="31" s="1"/>
  <c r="R50" i="31"/>
  <c r="R62" i="31"/>
  <c r="R65" i="31"/>
  <c r="R74" i="31"/>
  <c r="Q83" i="31"/>
  <c r="Q101" i="31"/>
  <c r="Q104" i="31"/>
  <c r="S105" i="31"/>
  <c r="S123" i="31"/>
  <c r="S133" i="31"/>
  <c r="R138" i="31"/>
  <c r="P143" i="31"/>
  <c r="Q143" i="31" s="1"/>
  <c r="Q148" i="31"/>
  <c r="S155" i="31"/>
  <c r="P175" i="31"/>
  <c r="Q175" i="31" s="1"/>
  <c r="S180" i="31"/>
  <c r="S181" i="31"/>
  <c r="Q186" i="31"/>
  <c r="Q197" i="31"/>
  <c r="Q215" i="31"/>
  <c r="Q218" i="31"/>
  <c r="R219" i="31"/>
  <c r="R240" i="31"/>
  <c r="Q244" i="31"/>
  <c r="R252" i="31"/>
  <c r="P260" i="31"/>
  <c r="Q264" i="31"/>
  <c r="P268" i="31"/>
  <c r="Q271" i="31"/>
  <c r="Q288" i="31"/>
  <c r="R300" i="31"/>
  <c r="Q303" i="31"/>
  <c r="R306" i="31"/>
  <c r="R330" i="31"/>
  <c r="S354" i="31"/>
  <c r="P359" i="31"/>
  <c r="P365" i="31"/>
  <c r="P363" i="31"/>
  <c r="Q363" i="31" s="1"/>
  <c r="R360" i="31"/>
  <c r="Q360" i="31"/>
  <c r="S414" i="31"/>
  <c r="P451" i="31"/>
  <c r="Q451" i="31" s="1"/>
  <c r="P461" i="31"/>
  <c r="P457" i="31"/>
  <c r="S457" i="31" s="1"/>
  <c r="S574" i="31"/>
  <c r="S587" i="31"/>
  <c r="R587" i="31"/>
  <c r="R649" i="31"/>
  <c r="Q649" i="31"/>
  <c r="P784" i="31"/>
  <c r="R784" i="31" s="1"/>
  <c r="P787" i="31"/>
  <c r="S787" i="31" s="1"/>
  <c r="S783" i="31"/>
  <c r="P785" i="31"/>
  <c r="R785" i="31" s="1"/>
  <c r="R783" i="31"/>
  <c r="P786" i="31"/>
  <c r="S786" i="31" s="1"/>
  <c r="S835" i="31"/>
  <c r="R835" i="31"/>
  <c r="Q835" i="31"/>
  <c r="Q845" i="31"/>
  <c r="S845" i="31"/>
  <c r="R845" i="31"/>
  <c r="S882" i="31"/>
  <c r="Q882" i="31"/>
  <c r="R882" i="31"/>
  <c r="R949" i="31"/>
  <c r="S949" i="31"/>
  <c r="Q949" i="31"/>
  <c r="S1032" i="31"/>
  <c r="R1032" i="31"/>
  <c r="S1089" i="31"/>
  <c r="R1089" i="31"/>
  <c r="Q1089" i="31"/>
  <c r="S1120" i="31"/>
  <c r="Q1120" i="31"/>
  <c r="S1144" i="31"/>
  <c r="Q1144" i="31"/>
  <c r="S620" i="31"/>
  <c r="R620" i="31"/>
  <c r="Q620" i="31"/>
  <c r="S50" i="31"/>
  <c r="R83" i="31"/>
  <c r="R101" i="31"/>
  <c r="R104" i="31"/>
  <c r="Q114" i="31"/>
  <c r="P144" i="31"/>
  <c r="R144" i="31" s="1"/>
  <c r="R148" i="31"/>
  <c r="P182" i="31"/>
  <c r="Q182" i="31" s="1"/>
  <c r="R186" i="31"/>
  <c r="P198" i="31"/>
  <c r="R198" i="31" s="1"/>
  <c r="Q212" i="31"/>
  <c r="Q217" i="31"/>
  <c r="R218" i="31"/>
  <c r="R244" i="31"/>
  <c r="P259" i="31"/>
  <c r="S259" i="31" s="1"/>
  <c r="P275" i="31"/>
  <c r="S275" i="31" s="1"/>
  <c r="R288" i="31"/>
  <c r="S300" i="31"/>
  <c r="S306" i="31"/>
  <c r="P311" i="31"/>
  <c r="S330" i="31"/>
  <c r="P355" i="31"/>
  <c r="S355" i="31" s="1"/>
  <c r="S543" i="31"/>
  <c r="R543" i="31"/>
  <c r="R591" i="31"/>
  <c r="S591" i="31"/>
  <c r="Q591" i="31"/>
  <c r="Q633" i="31"/>
  <c r="S633" i="31"/>
  <c r="R633" i="31"/>
  <c r="S638" i="31"/>
  <c r="R638" i="31"/>
  <c r="Q638" i="31"/>
  <c r="P768" i="31"/>
  <c r="S768" i="31" s="1"/>
  <c r="P767" i="31"/>
  <c r="R765" i="31"/>
  <c r="Q765" i="31"/>
  <c r="P766" i="31"/>
  <c r="R886" i="31"/>
  <c r="S886" i="31"/>
  <c r="Q886" i="31"/>
  <c r="R1006" i="31"/>
  <c r="S1006" i="31"/>
  <c r="Q1006" i="31"/>
  <c r="Q1218" i="31"/>
  <c r="R1218" i="31"/>
  <c r="R494" i="31"/>
  <c r="S494" i="31"/>
  <c r="Q494" i="31"/>
  <c r="S827" i="31"/>
  <c r="R827" i="31"/>
  <c r="Q827" i="31"/>
  <c r="S956" i="31"/>
  <c r="Q956" i="31"/>
  <c r="S148" i="31"/>
  <c r="P183" i="31"/>
  <c r="Q183" i="31" s="1"/>
  <c r="S288" i="31"/>
  <c r="P307" i="31"/>
  <c r="Q307" i="31" s="1"/>
  <c r="R530" i="31"/>
  <c r="Q530" i="31"/>
  <c r="S626" i="31"/>
  <c r="R626" i="31"/>
  <c r="Q626" i="31"/>
  <c r="R942" i="31"/>
  <c r="S942" i="31"/>
  <c r="Q942" i="31"/>
  <c r="R1017" i="31"/>
  <c r="S1017" i="31"/>
  <c r="R1047" i="31"/>
  <c r="S1047" i="31"/>
  <c r="S1207" i="31"/>
  <c r="R1207" i="31"/>
  <c r="Q1207" i="31"/>
  <c r="S1348" i="31"/>
  <c r="R1348" i="31"/>
  <c r="Q1348" i="31"/>
  <c r="Q1497" i="31"/>
  <c r="S1497" i="31"/>
  <c r="R1497" i="31"/>
  <c r="S1028" i="31"/>
  <c r="Q1028" i="31"/>
  <c r="R1028" i="31"/>
  <c r="S1183" i="31"/>
  <c r="R1183" i="31"/>
  <c r="Q1183" i="31"/>
  <c r="R58" i="31"/>
  <c r="R86" i="31"/>
  <c r="P91" i="31"/>
  <c r="S91" i="31" s="1"/>
  <c r="R97" i="31"/>
  <c r="R103" i="31"/>
  <c r="Q107" i="31"/>
  <c r="R113" i="31"/>
  <c r="Q119" i="31"/>
  <c r="Q145" i="31"/>
  <c r="S149" i="31"/>
  <c r="Q187" i="31"/>
  <c r="Q207" i="31"/>
  <c r="Q279" i="31"/>
  <c r="P308" i="31"/>
  <c r="P345" i="31"/>
  <c r="R345" i="31" s="1"/>
  <c r="P344" i="31"/>
  <c r="P394" i="31"/>
  <c r="S394" i="31" s="1"/>
  <c r="P393" i="31"/>
  <c r="Q393" i="31" s="1"/>
  <c r="S390" i="31"/>
  <c r="P433" i="31"/>
  <c r="S433" i="31" s="1"/>
  <c r="P446" i="31"/>
  <c r="S446" i="31" s="1"/>
  <c r="P445" i="31"/>
  <c r="Q445" i="31" s="1"/>
  <c r="S530" i="31"/>
  <c r="S531" i="31"/>
  <c r="R531" i="31"/>
  <c r="R552" i="31"/>
  <c r="S552" i="31"/>
  <c r="Q552" i="31"/>
  <c r="R628" i="31"/>
  <c r="Q628" i="31"/>
  <c r="S898" i="31"/>
  <c r="R898" i="31"/>
  <c r="Q898" i="31"/>
  <c r="S1037" i="31"/>
  <c r="Q1037" i="31"/>
  <c r="R1037" i="31"/>
  <c r="Q1078" i="31"/>
  <c r="R1078" i="31"/>
  <c r="R1239" i="31"/>
  <c r="S1239" i="31"/>
  <c r="Q1239" i="31"/>
  <c r="R664" i="31"/>
  <c r="Q664" i="31"/>
  <c r="Q930" i="31"/>
  <c r="S930" i="31"/>
  <c r="R930" i="31"/>
  <c r="Q192" i="31"/>
  <c r="P454" i="31"/>
  <c r="S454" i="31" s="1"/>
  <c r="S450" i="31"/>
  <c r="R450" i="31"/>
  <c r="Q450" i="31"/>
  <c r="P482" i="31"/>
  <c r="S482" i="31" s="1"/>
  <c r="P481" i="31"/>
  <c r="S480" i="31"/>
  <c r="R480" i="31"/>
  <c r="Q480" i="31"/>
  <c r="P485" i="31"/>
  <c r="P495" i="31"/>
  <c r="S495" i="31" s="1"/>
  <c r="P497" i="31"/>
  <c r="Q492" i="31"/>
  <c r="S630" i="31"/>
  <c r="R630" i="31"/>
  <c r="Q630" i="31"/>
  <c r="S652" i="31"/>
  <c r="R652" i="31"/>
  <c r="Q652" i="31"/>
  <c r="S678" i="31"/>
  <c r="P680" i="31"/>
  <c r="Q680" i="31" s="1"/>
  <c r="M746" i="31"/>
  <c r="N746" i="31" s="1"/>
  <c r="S807" i="31"/>
  <c r="R807" i="31"/>
  <c r="Q807" i="31"/>
  <c r="S823" i="31"/>
  <c r="Q823" i="31"/>
  <c r="R844" i="31"/>
  <c r="S844" i="31"/>
  <c r="R987" i="31"/>
  <c r="S987" i="31"/>
  <c r="Q987" i="31"/>
  <c r="S1225" i="31"/>
  <c r="R1225" i="31"/>
  <c r="Q1225" i="31"/>
  <c r="S63" i="31"/>
  <c r="Q73" i="31"/>
  <c r="S87" i="31"/>
  <c r="Q106" i="31"/>
  <c r="R120" i="31"/>
  <c r="R131" i="31"/>
  <c r="Q142" i="31"/>
  <c r="P179" i="31"/>
  <c r="S179" i="31" s="1"/>
  <c r="Q190" i="31"/>
  <c r="Q204" i="31"/>
  <c r="Q242" i="31"/>
  <c r="R251" i="31"/>
  <c r="Q256" i="31"/>
  <c r="Q285" i="31"/>
  <c r="Q297" i="31"/>
  <c r="P322" i="31"/>
  <c r="S322" i="31" s="1"/>
  <c r="P323" i="31"/>
  <c r="P319" i="31"/>
  <c r="S319" i="31" s="1"/>
  <c r="S318" i="31"/>
  <c r="P352" i="31"/>
  <c r="Q352" i="31" s="1"/>
  <c r="Q348" i="31"/>
  <c r="S426" i="31"/>
  <c r="S492" i="31"/>
  <c r="S570" i="31"/>
  <c r="R570" i="31"/>
  <c r="Q570" i="31"/>
  <c r="S660" i="31"/>
  <c r="R660" i="31"/>
  <c r="Q660" i="31"/>
  <c r="P726" i="31"/>
  <c r="Q726" i="31" s="1"/>
  <c r="S723" i="31"/>
  <c r="Q723" i="31"/>
  <c r="S863" i="31"/>
  <c r="R863" i="31"/>
  <c r="Q863" i="31"/>
  <c r="S918" i="31"/>
  <c r="R918" i="31"/>
  <c r="Q918" i="31"/>
  <c r="S1052" i="31"/>
  <c r="R1052" i="31"/>
  <c r="Q1052" i="31"/>
  <c r="N699" i="31"/>
  <c r="S699" i="31" s="1"/>
  <c r="P713" i="31"/>
  <c r="S713" i="31" s="1"/>
  <c r="N734" i="31"/>
  <c r="P761" i="31"/>
  <c r="S761" i="31" s="1"/>
  <c r="S799" i="31"/>
  <c r="S842" i="31"/>
  <c r="S846" i="31"/>
  <c r="R957" i="31"/>
  <c r="S957" i="31"/>
  <c r="Q978" i="31"/>
  <c r="R978" i="31"/>
  <c r="R997" i="31"/>
  <c r="Q997" i="31"/>
  <c r="Q1038" i="31"/>
  <c r="R1038" i="31"/>
  <c r="R1110" i="31"/>
  <c r="S1110" i="31"/>
  <c r="R1151" i="31"/>
  <c r="S1151" i="31"/>
  <c r="Q1151" i="31"/>
  <c r="S1257" i="31"/>
  <c r="R1257" i="31"/>
  <c r="S1288" i="31"/>
  <c r="R1288" i="31"/>
  <c r="Q1288" i="31"/>
  <c r="S1724" i="31"/>
  <c r="R1724" i="31"/>
  <c r="Q1724" i="31"/>
  <c r="P2366" i="31"/>
  <c r="P2365" i="31"/>
  <c r="Q2365" i="31" s="1"/>
  <c r="S2363" i="31"/>
  <c r="S906" i="31"/>
  <c r="R906" i="31"/>
  <c r="Q906" i="31"/>
  <c r="Q938" i="31"/>
  <c r="S938" i="31"/>
  <c r="S943" i="31"/>
  <c r="R943" i="31"/>
  <c r="Q957" i="31"/>
  <c r="S979" i="31"/>
  <c r="R979" i="31"/>
  <c r="Q979" i="31"/>
  <c r="S988" i="31"/>
  <c r="Q988" i="31"/>
  <c r="S998" i="31"/>
  <c r="R998" i="31"/>
  <c r="Q998" i="31"/>
  <c r="S1007" i="31"/>
  <c r="R1007" i="31"/>
  <c r="Q1007" i="31"/>
  <c r="Q1062" i="31"/>
  <c r="R1062" i="31"/>
  <c r="S1127" i="31"/>
  <c r="R1127" i="31"/>
  <c r="Q1127" i="31"/>
  <c r="Q1156" i="31"/>
  <c r="S1156" i="31"/>
  <c r="Q1212" i="31"/>
  <c r="S1212" i="31"/>
  <c r="Q1716" i="31"/>
  <c r="R1716" i="31"/>
  <c r="S514" i="31"/>
  <c r="S520" i="31"/>
  <c r="R526" i="31"/>
  <c r="S548" i="31"/>
  <c r="R554" i="31"/>
  <c r="S603" i="31"/>
  <c r="P610" i="31"/>
  <c r="S610" i="31" s="1"/>
  <c r="S627" i="31"/>
  <c r="S646" i="31"/>
  <c r="R688" i="31"/>
  <c r="R690" i="31"/>
  <c r="S694" i="31"/>
  <c r="R700" i="31"/>
  <c r="R702" i="31"/>
  <c r="S735" i="31"/>
  <c r="R796" i="31"/>
  <c r="S801" i="31"/>
  <c r="R838" i="31"/>
  <c r="R850" i="31"/>
  <c r="S858" i="31"/>
  <c r="R894" i="31"/>
  <c r="S894" i="31"/>
  <c r="Q914" i="31"/>
  <c r="S914" i="31"/>
  <c r="R914" i="31"/>
  <c r="S951" i="31"/>
  <c r="R951" i="31"/>
  <c r="S972" i="31"/>
  <c r="Q972" i="31"/>
  <c r="S1019" i="31"/>
  <c r="R1019" i="31"/>
  <c r="Q1019" i="31"/>
  <c r="S1033" i="31"/>
  <c r="Q1033" i="31"/>
  <c r="R1043" i="31"/>
  <c r="Q1043" i="31"/>
  <c r="Q1094" i="31"/>
  <c r="R1094" i="31"/>
  <c r="P398" i="31"/>
  <c r="R398" i="31" s="1"/>
  <c r="P515" i="31"/>
  <c r="P606" i="31"/>
  <c r="R606" i="31" s="1"/>
  <c r="S702" i="31"/>
  <c r="N710" i="31"/>
  <c r="P737" i="31"/>
  <c r="S737" i="31" s="1"/>
  <c r="N758" i="31"/>
  <c r="M776" i="31"/>
  <c r="N776" i="31" s="1"/>
  <c r="S855" i="31"/>
  <c r="P859" i="31"/>
  <c r="S859" i="31" s="1"/>
  <c r="Q869" i="31"/>
  <c r="Q951" i="31"/>
  <c r="S982" i="31"/>
  <c r="Q982" i="31"/>
  <c r="S991" i="31"/>
  <c r="Q991" i="31"/>
  <c r="S1001" i="31"/>
  <c r="Q1002" i="31"/>
  <c r="R1002" i="31"/>
  <c r="S1027" i="31"/>
  <c r="R1027" i="31"/>
  <c r="Q1027" i="31"/>
  <c r="R1033" i="31"/>
  <c r="Q1068" i="31"/>
  <c r="S1068" i="31"/>
  <c r="R1068" i="31"/>
  <c r="Q1188" i="31"/>
  <c r="S1188" i="31"/>
  <c r="Q1250" i="31"/>
  <c r="R1250" i="31"/>
  <c r="P703" i="31"/>
  <c r="P776" i="31"/>
  <c r="S861" i="31"/>
  <c r="S885" i="31"/>
  <c r="R885" i="31"/>
  <c r="R912" i="31"/>
  <c r="Q912" i="31"/>
  <c r="S924" i="31"/>
  <c r="Q924" i="31"/>
  <c r="R933" i="31"/>
  <c r="Q933" i="31"/>
  <c r="R993" i="31"/>
  <c r="S993" i="31"/>
  <c r="S1003" i="31"/>
  <c r="R1003" i="31"/>
  <c r="Q1003" i="31"/>
  <c r="Q1022" i="31"/>
  <c r="S1022" i="31"/>
  <c r="S1057" i="31"/>
  <c r="R1057" i="31"/>
  <c r="Q1084" i="31"/>
  <c r="S1084" i="31"/>
  <c r="R1084" i="31"/>
  <c r="Q1132" i="31"/>
  <c r="S1132" i="31"/>
  <c r="R1132" i="31"/>
  <c r="S1201" i="31"/>
  <c r="R1201" i="31"/>
  <c r="Q1201" i="31"/>
  <c r="S438" i="31"/>
  <c r="S462" i="31"/>
  <c r="P506" i="31"/>
  <c r="P517" i="31"/>
  <c r="Q528" i="31"/>
  <c r="Q538" i="31"/>
  <c r="Q556" i="31"/>
  <c r="Q590" i="31"/>
  <c r="Q608" i="31"/>
  <c r="S619" i="31"/>
  <c r="Q661" i="31"/>
  <c r="P668" i="31"/>
  <c r="S668" i="31" s="1"/>
  <c r="Q711" i="31"/>
  <c r="N722" i="31"/>
  <c r="Q759" i="31"/>
  <c r="S793" i="31"/>
  <c r="Q836" i="31"/>
  <c r="Q862" i="31"/>
  <c r="Q885" i="31"/>
  <c r="Q901" i="31"/>
  <c r="Q904" i="31"/>
  <c r="S912" i="31"/>
  <c r="Q916" i="31"/>
  <c r="R917" i="31"/>
  <c r="Q917" i="31"/>
  <c r="S933" i="31"/>
  <c r="S934" i="31"/>
  <c r="R934" i="31"/>
  <c r="R955" i="31"/>
  <c r="Q955" i="31"/>
  <c r="R1022" i="31"/>
  <c r="Q1057" i="31"/>
  <c r="S1073" i="31"/>
  <c r="R1073" i="31"/>
  <c r="R1102" i="31"/>
  <c r="S1103" i="31"/>
  <c r="R1103" i="31"/>
  <c r="Q1103" i="31"/>
  <c r="Q1114" i="31"/>
  <c r="R1114" i="31"/>
  <c r="S1137" i="31"/>
  <c r="R1137" i="31"/>
  <c r="Q1162" i="31"/>
  <c r="R1162" i="31"/>
  <c r="S1176" i="31"/>
  <c r="Q1176" i="31"/>
  <c r="S1232" i="31"/>
  <c r="Q1232" i="31"/>
  <c r="Q1244" i="31"/>
  <c r="S1244" i="31"/>
  <c r="S1281" i="31"/>
  <c r="R1281" i="31"/>
  <c r="Q1281" i="31"/>
  <c r="R1607" i="31"/>
  <c r="S1607" i="31"/>
  <c r="Q1607" i="31"/>
  <c r="S1422" i="31"/>
  <c r="R1422" i="31"/>
  <c r="S1438" i="31"/>
  <c r="R1438" i="31"/>
  <c r="S1454" i="31"/>
  <c r="R1454" i="31"/>
  <c r="Q1473" i="31"/>
  <c r="S1473" i="31"/>
  <c r="R1473" i="31"/>
  <c r="S1491" i="31"/>
  <c r="R1491" i="31"/>
  <c r="Q1521" i="31"/>
  <c r="S1521" i="31"/>
  <c r="R1521" i="31"/>
  <c r="S1538" i="31"/>
  <c r="Q1538" i="31"/>
  <c r="S1604" i="31"/>
  <c r="R1604" i="31"/>
  <c r="Q1631" i="31"/>
  <c r="R1631" i="31"/>
  <c r="S1684" i="31"/>
  <c r="R1684" i="31"/>
  <c r="S1706" i="31"/>
  <c r="R1706" i="31"/>
  <c r="S1709" i="31"/>
  <c r="R1709" i="31"/>
  <c r="Q1709" i="31"/>
  <c r="Q2098" i="31"/>
  <c r="P2102" i="31"/>
  <c r="P2101" i="31"/>
  <c r="P2099" i="31"/>
  <c r="R2099" i="31" s="1"/>
  <c r="S2305" i="31"/>
  <c r="P2310" i="31"/>
  <c r="S2310" i="31" s="1"/>
  <c r="P2307" i="31"/>
  <c r="P2306" i="31"/>
  <c r="R2306" i="31" s="1"/>
  <c r="Q1264" i="31"/>
  <c r="Q1271" i="31"/>
  <c r="R1274" i="31"/>
  <c r="S1322" i="31"/>
  <c r="Q1364" i="31"/>
  <c r="Q1379" i="31"/>
  <c r="R1401" i="31"/>
  <c r="Q1417" i="31"/>
  <c r="S1417" i="31"/>
  <c r="Q1422" i="31"/>
  <c r="Q1438" i="31"/>
  <c r="Q1449" i="31"/>
  <c r="S1449" i="31"/>
  <c r="Q1454" i="31"/>
  <c r="R1484" i="31"/>
  <c r="S1484" i="31"/>
  <c r="Q1491" i="31"/>
  <c r="R1556" i="31"/>
  <c r="S1556" i="31"/>
  <c r="Q1573" i="31"/>
  <c r="R1573" i="31"/>
  <c r="S1587" i="31"/>
  <c r="R1587" i="31"/>
  <c r="Q1604" i="31"/>
  <c r="S1617" i="31"/>
  <c r="R1617" i="31"/>
  <c r="S1620" i="31"/>
  <c r="R1620" i="31"/>
  <c r="Q1620" i="31"/>
  <c r="R1665" i="31"/>
  <c r="S1665" i="31"/>
  <c r="Q1665" i="31"/>
  <c r="Q1684" i="31"/>
  <c r="Q1706" i="31"/>
  <c r="Q1733" i="31"/>
  <c r="S1734" i="31"/>
  <c r="R1734" i="31"/>
  <c r="Q1734" i="31"/>
  <c r="S1761" i="31"/>
  <c r="R1761" i="31"/>
  <c r="Q1761" i="31"/>
  <c r="P1816" i="31"/>
  <c r="P1818" i="31"/>
  <c r="S1818" i="31" s="1"/>
  <c r="P1817" i="31"/>
  <c r="R1817" i="31" s="1"/>
  <c r="R1815" i="31"/>
  <c r="Q1815" i="31"/>
  <c r="S1831" i="31"/>
  <c r="S1835" i="31"/>
  <c r="P1837" i="31"/>
  <c r="R1837" i="31" s="1"/>
  <c r="P1836" i="31"/>
  <c r="S1836" i="31" s="1"/>
  <c r="Q1835" i="31"/>
  <c r="S2098" i="31"/>
  <c r="Q2305" i="31"/>
  <c r="R2544" i="31"/>
  <c r="S2544" i="31"/>
  <c r="Q2544" i="31"/>
  <c r="R1264" i="31"/>
  <c r="R1271" i="31"/>
  <c r="R1364" i="31"/>
  <c r="R1379" i="31"/>
  <c r="S1380" i="31"/>
  <c r="R1380" i="31"/>
  <c r="S1401" i="31"/>
  <c r="R1402" i="31"/>
  <c r="S1402" i="31"/>
  <c r="Q1402" i="31"/>
  <c r="Q1433" i="31"/>
  <c r="S1433" i="31"/>
  <c r="S1515" i="31"/>
  <c r="R1515" i="31"/>
  <c r="Q1515" i="31"/>
  <c r="S1614" i="31"/>
  <c r="R1614" i="31"/>
  <c r="S1703" i="31"/>
  <c r="R1703" i="31"/>
  <c r="S2522" i="31"/>
  <c r="R2522" i="31"/>
  <c r="Q2522" i="31"/>
  <c r="Q1044" i="31"/>
  <c r="Q1049" i="31"/>
  <c r="Q1053" i="31"/>
  <c r="Q1059" i="31"/>
  <c r="R1064" i="31"/>
  <c r="Q1069" i="31"/>
  <c r="Q1075" i="31"/>
  <c r="R1080" i="31"/>
  <c r="Q1085" i="31"/>
  <c r="Q1091" i="31"/>
  <c r="R1096" i="31"/>
  <c r="R1116" i="31"/>
  <c r="S1133" i="31"/>
  <c r="R1138" i="31"/>
  <c r="Q1152" i="31"/>
  <c r="Q1159" i="31"/>
  <c r="R1170" i="31"/>
  <c r="Q1184" i="31"/>
  <c r="Q1191" i="31"/>
  <c r="R1196" i="31"/>
  <c r="Q1208" i="31"/>
  <c r="R1226" i="31"/>
  <c r="R1258" i="31"/>
  <c r="Q1265" i="31"/>
  <c r="R1282" i="31"/>
  <c r="Q1314" i="31"/>
  <c r="Q1328" i="31"/>
  <c r="R1342" i="31"/>
  <c r="Q1358" i="31"/>
  <c r="Q1374" i="31"/>
  <c r="Q1380" i="31"/>
  <c r="R1433" i="31"/>
  <c r="S1442" i="31"/>
  <c r="Q1442" i="31"/>
  <c r="Q1466" i="31"/>
  <c r="S1467" i="31"/>
  <c r="R1467" i="31"/>
  <c r="Q1467" i="31"/>
  <c r="S1508" i="31"/>
  <c r="R1508" i="31"/>
  <c r="S1532" i="31"/>
  <c r="R1532" i="31"/>
  <c r="Q1532" i="31"/>
  <c r="S1550" i="31"/>
  <c r="R1550" i="31"/>
  <c r="R1611" i="31"/>
  <c r="Q1614" i="31"/>
  <c r="R1627" i="31"/>
  <c r="S1627" i="31"/>
  <c r="R1681" i="31"/>
  <c r="S1681" i="31"/>
  <c r="Q1681" i="31"/>
  <c r="Q1700" i="31"/>
  <c r="R1700" i="31"/>
  <c r="Q2471" i="31"/>
  <c r="S2471" i="31"/>
  <c r="R2471" i="31"/>
  <c r="S2483" i="31"/>
  <c r="R2483" i="31"/>
  <c r="Q2483" i="31"/>
  <c r="R970" i="31"/>
  <c r="Q974" i="31"/>
  <c r="Q983" i="31"/>
  <c r="Q989" i="31"/>
  <c r="R994" i="31"/>
  <c r="R1014" i="31"/>
  <c r="Q1029" i="31"/>
  <c r="Q1035" i="31"/>
  <c r="S1039" i="31"/>
  <c r="R1044" i="31"/>
  <c r="R1049" i="31"/>
  <c r="R1053" i="31"/>
  <c r="S1059" i="31"/>
  <c r="Q1065" i="31"/>
  <c r="R1069" i="31"/>
  <c r="S1075" i="31"/>
  <c r="Q1081" i="31"/>
  <c r="R1085" i="31"/>
  <c r="S1091" i="31"/>
  <c r="Q1097" i="31"/>
  <c r="Q1105" i="31"/>
  <c r="S1116" i="31"/>
  <c r="Q1128" i="31"/>
  <c r="Q1135" i="31"/>
  <c r="R1140" i="31"/>
  <c r="Q1153" i="31"/>
  <c r="S1159" i="31"/>
  <c r="R1172" i="31"/>
  <c r="Q1185" i="31"/>
  <c r="R1191" i="31"/>
  <c r="S1196" i="31"/>
  <c r="R1202" i="31"/>
  <c r="Q1209" i="31"/>
  <c r="Q1223" i="31"/>
  <c r="R1228" i="31"/>
  <c r="Q1241" i="31"/>
  <c r="Q1248" i="31"/>
  <c r="Q1255" i="31"/>
  <c r="R1260" i="31"/>
  <c r="R1265" i="31"/>
  <c r="Q1272" i="31"/>
  <c r="Q1279" i="31"/>
  <c r="R1284" i="31"/>
  <c r="Q1297" i="31"/>
  <c r="S1314" i="31"/>
  <c r="S1328" i="31"/>
  <c r="S1342" i="31"/>
  <c r="R1358" i="31"/>
  <c r="R1374" i="31"/>
  <c r="Q1395" i="31"/>
  <c r="Q1411" i="31"/>
  <c r="S1426" i="31"/>
  <c r="Q1426" i="31"/>
  <c r="S1478" i="31"/>
  <c r="R1478" i="31"/>
  <c r="Q1508" i="31"/>
  <c r="Q1550" i="31"/>
  <c r="R1568" i="31"/>
  <c r="Q1568" i="31"/>
  <c r="R1584" i="31"/>
  <c r="S1584" i="31"/>
  <c r="Q1584" i="31"/>
  <c r="Q1627" i="31"/>
  <c r="P1922" i="31"/>
  <c r="R1922" i="31" s="1"/>
  <c r="P1921" i="31"/>
  <c r="Q1921" i="31" s="1"/>
  <c r="S1920" i="31"/>
  <c r="R1920" i="31"/>
  <c r="Q1920" i="31"/>
  <c r="Q1996" i="31"/>
  <c r="P1999" i="31"/>
  <c r="S1999" i="31" s="1"/>
  <c r="P1997" i="31"/>
  <c r="S1997" i="31" s="1"/>
  <c r="S1996" i="31"/>
  <c r="R1996" i="31"/>
  <c r="P2230" i="31"/>
  <c r="P2229" i="31"/>
  <c r="S2229" i="31" s="1"/>
  <c r="S2227" i="31"/>
  <c r="Q919" i="31"/>
  <c r="Q925" i="31"/>
  <c r="Q940" i="31"/>
  <c r="S970" i="31"/>
  <c r="R983" i="31"/>
  <c r="S989" i="31"/>
  <c r="S994" i="31"/>
  <c r="S1014" i="31"/>
  <c r="R1023" i="31"/>
  <c r="R1029" i="31"/>
  <c r="S1035" i="31"/>
  <c r="R1040" i="31"/>
  <c r="R1054" i="31"/>
  <c r="R1060" i="31"/>
  <c r="R1065" i="31"/>
  <c r="R1070" i="31"/>
  <c r="R1076" i="31"/>
  <c r="R1081" i="31"/>
  <c r="R1086" i="31"/>
  <c r="R1092" i="31"/>
  <c r="R1097" i="31"/>
  <c r="R1105" i="31"/>
  <c r="Q1112" i="31"/>
  <c r="S1118" i="31"/>
  <c r="R1135" i="31"/>
  <c r="S1140" i="31"/>
  <c r="R1153" i="31"/>
  <c r="Q1160" i="31"/>
  <c r="Q1167" i="31"/>
  <c r="S1172" i="31"/>
  <c r="R1178" i="31"/>
  <c r="R1185" i="31"/>
  <c r="R1204" i="31"/>
  <c r="R1209" i="31"/>
  <c r="Q1216" i="31"/>
  <c r="R1223" i="31"/>
  <c r="S1228" i="31"/>
  <c r="R1234" i="31"/>
  <c r="R1241" i="31"/>
  <c r="R1248" i="31"/>
  <c r="S1255" i="31"/>
  <c r="S1260" i="31"/>
  <c r="R1272" i="31"/>
  <c r="S1279" i="31"/>
  <c r="S1284" i="31"/>
  <c r="R1292" i="31"/>
  <c r="R1297" i="31"/>
  <c r="Q1315" i="31"/>
  <c r="R1320" i="31"/>
  <c r="Q1325" i="31"/>
  <c r="Q1330" i="31"/>
  <c r="R1395" i="31"/>
  <c r="S1396" i="31"/>
  <c r="R1396" i="31"/>
  <c r="Q1396" i="31"/>
  <c r="R1411" i="31"/>
  <c r="S1412" i="31"/>
  <c r="R1412" i="31"/>
  <c r="Q1412" i="31"/>
  <c r="S1444" i="31"/>
  <c r="R1444" i="31"/>
  <c r="Q1444" i="31"/>
  <c r="S1460" i="31"/>
  <c r="R1460" i="31"/>
  <c r="R1594" i="31"/>
  <c r="S1594" i="31"/>
  <c r="Q1640" i="31"/>
  <c r="R1640" i="31"/>
  <c r="S1668" i="31"/>
  <c r="R1668" i="31"/>
  <c r="S1712" i="31"/>
  <c r="R1712" i="31"/>
  <c r="Q1712" i="31"/>
  <c r="S1767" i="31"/>
  <c r="Q1767" i="31"/>
  <c r="S1972" i="31"/>
  <c r="P1974" i="31"/>
  <c r="S1974" i="31" s="1"/>
  <c r="S2004" i="31"/>
  <c r="P2006" i="31"/>
  <c r="S2006" i="31" s="1"/>
  <c r="P2384" i="31"/>
  <c r="S2384" i="31" s="1"/>
  <c r="P2386" i="31"/>
  <c r="R2386" i="31" s="1"/>
  <c r="P2385" i="31"/>
  <c r="S2385" i="31" s="1"/>
  <c r="R2383" i="31"/>
  <c r="Q2383" i="31"/>
  <c r="P2428" i="31"/>
  <c r="Q2428" i="31" s="1"/>
  <c r="P2430" i="31"/>
  <c r="R2430" i="31" s="1"/>
  <c r="P2429" i="31"/>
  <c r="Q2429" i="31" s="1"/>
  <c r="P2426" i="31"/>
  <c r="Q2426" i="31" s="1"/>
  <c r="S2425" i="31"/>
  <c r="R2425" i="31"/>
  <c r="R1354" i="31"/>
  <c r="S1354" i="31"/>
  <c r="Q1354" i="31"/>
  <c r="R1370" i="31"/>
  <c r="S1370" i="31"/>
  <c r="S1406" i="31"/>
  <c r="R1406" i="31"/>
  <c r="S1428" i="31"/>
  <c r="R1428" i="31"/>
  <c r="Q1428" i="31"/>
  <c r="S1502" i="31"/>
  <c r="R1502" i="31"/>
  <c r="S1526" i="31"/>
  <c r="R1526" i="31"/>
  <c r="Q1526" i="31"/>
  <c r="Q1545" i="31"/>
  <c r="S1545" i="31"/>
  <c r="R1545" i="31"/>
  <c r="S1578" i="31"/>
  <c r="R1578" i="31"/>
  <c r="Q1578" i="31"/>
  <c r="S1860" i="31"/>
  <c r="P1862" i="31"/>
  <c r="Q1862" i="31" s="1"/>
  <c r="P1861" i="31"/>
  <c r="Q1861" i="31" s="1"/>
  <c r="Q1860" i="31"/>
  <c r="P1909" i="31"/>
  <c r="R1909" i="31" s="1"/>
  <c r="P1911" i="31"/>
  <c r="S1911" i="31" s="1"/>
  <c r="R1908" i="31"/>
  <c r="P1649" i="31"/>
  <c r="S1649" i="31" s="1"/>
  <c r="P1659" i="31"/>
  <c r="P1742" i="31"/>
  <c r="S1742" i="31" s="1"/>
  <c r="S1768" i="31"/>
  <c r="P1771" i="31"/>
  <c r="S1771" i="31" s="1"/>
  <c r="P2010" i="31"/>
  <c r="Q2010" i="31" s="1"/>
  <c r="P2009" i="31"/>
  <c r="S2009" i="31" s="1"/>
  <c r="S2008" i="31"/>
  <c r="R2008" i="31"/>
  <c r="Q2008" i="31"/>
  <c r="S2121" i="31"/>
  <c r="P2123" i="31"/>
  <c r="P2126" i="31"/>
  <c r="Q2126" i="31" s="1"/>
  <c r="P2122" i="31"/>
  <c r="Q2122" i="31" s="1"/>
  <c r="R2121" i="31"/>
  <c r="R2349" i="31"/>
  <c r="S2349" i="31"/>
  <c r="Q2349" i="31"/>
  <c r="Q1366" i="31"/>
  <c r="Q1371" i="31"/>
  <c r="Q1539" i="31"/>
  <c r="Q1558" i="31"/>
  <c r="Q1562" i="31"/>
  <c r="Q1569" i="31"/>
  <c r="Q1575" i="31"/>
  <c r="Q1593" i="31"/>
  <c r="Q1596" i="31"/>
  <c r="Q1610" i="31"/>
  <c r="Q1623" i="31"/>
  <c r="Q1628" i="31"/>
  <c r="Q1634" i="31"/>
  <c r="Q1646" i="31"/>
  <c r="R1650" i="31"/>
  <c r="Q1715" i="31"/>
  <c r="P1751" i="31"/>
  <c r="S1751" i="31" s="1"/>
  <c r="S1776" i="31"/>
  <c r="P1778" i="31"/>
  <c r="S1778" i="31" s="1"/>
  <c r="P1777" i="31"/>
  <c r="Q1776" i="31"/>
  <c r="P1851" i="31"/>
  <c r="R1851" i="31" s="1"/>
  <c r="P1850" i="31"/>
  <c r="S1850" i="31" s="1"/>
  <c r="P1849" i="31"/>
  <c r="Q1849" i="31" s="1"/>
  <c r="S1848" i="31"/>
  <c r="R1848" i="31"/>
  <c r="Q2103" i="31"/>
  <c r="S2494" i="31"/>
  <c r="R2494" i="31"/>
  <c r="Q2494" i="31"/>
  <c r="R1371" i="31"/>
  <c r="R1393" i="31"/>
  <c r="Q1403" i="31"/>
  <c r="Q1435" i="31"/>
  <c r="R1562" i="31"/>
  <c r="S1575" i="31"/>
  <c r="R1593" i="31"/>
  <c r="S1610" i="31"/>
  <c r="S1623" i="31"/>
  <c r="R1628" i="31"/>
  <c r="S1634" i="31"/>
  <c r="P1653" i="31"/>
  <c r="S1653" i="31" s="1"/>
  <c r="S1715" i="31"/>
  <c r="R1768" i="31"/>
  <c r="S2016" i="31"/>
  <c r="P2124" i="31"/>
  <c r="S2273" i="31"/>
  <c r="P2275" i="31"/>
  <c r="P2274" i="31"/>
  <c r="Q2274" i="31" s="1"/>
  <c r="R2273" i="31"/>
  <c r="S2480" i="31"/>
  <c r="R2480" i="31"/>
  <c r="Q2480" i="31"/>
  <c r="P1660" i="31"/>
  <c r="S1660" i="31" s="1"/>
  <c r="R1765" i="31"/>
  <c r="S1765" i="31"/>
  <c r="P1787" i="31"/>
  <c r="Q1787" i="31" s="1"/>
  <c r="P1786" i="31"/>
  <c r="S1785" i="31"/>
  <c r="P1855" i="31"/>
  <c r="Q1855" i="31" s="1"/>
  <c r="P1854" i="31"/>
  <c r="S1854" i="31" s="1"/>
  <c r="P1853" i="31"/>
  <c r="S1853" i="31" s="1"/>
  <c r="S1852" i="31"/>
  <c r="R1852" i="31"/>
  <c r="S2508" i="31"/>
  <c r="R2508" i="31"/>
  <c r="Q2523" i="31"/>
  <c r="S2523" i="31"/>
  <c r="P1661" i="31"/>
  <c r="S1661" i="31" s="1"/>
  <c r="Q1673" i="31"/>
  <c r="Q1695" i="31"/>
  <c r="Q1698" i="31"/>
  <c r="Q1717" i="31"/>
  <c r="Q1726" i="31"/>
  <c r="R1746" i="31"/>
  <c r="Q1765" i="31"/>
  <c r="Q1852" i="31"/>
  <c r="P2280" i="31"/>
  <c r="S2280" i="31" s="1"/>
  <c r="P2278" i="31"/>
  <c r="S2278" i="31" s="1"/>
  <c r="Q2461" i="31"/>
  <c r="P2466" i="31"/>
  <c r="S2466" i="31" s="1"/>
  <c r="P2464" i="31"/>
  <c r="Q2464" i="31" s="1"/>
  <c r="P2462" i="31"/>
  <c r="S2462" i="31" s="1"/>
  <c r="S2461" i="31"/>
  <c r="Q2508" i="31"/>
  <c r="R2523" i="31"/>
  <c r="Q1459" i="31"/>
  <c r="R1465" i="31"/>
  <c r="Q1476" i="31"/>
  <c r="Q1483" i="31"/>
  <c r="Q1507" i="31"/>
  <c r="P1829" i="31"/>
  <c r="S1829" i="31" s="1"/>
  <c r="P1828" i="31"/>
  <c r="R1828" i="31" s="1"/>
  <c r="S1827" i="31"/>
  <c r="R1827" i="31"/>
  <c r="Q1827" i="31"/>
  <c r="P2219" i="31"/>
  <c r="S2219" i="31" s="1"/>
  <c r="P2220" i="31"/>
  <c r="Q2220" i="31" s="1"/>
  <c r="P2218" i="31"/>
  <c r="S2218" i="31" s="1"/>
  <c r="P2216" i="31"/>
  <c r="Q2216" i="31" s="1"/>
  <c r="S2215" i="31"/>
  <c r="R2215" i="31"/>
  <c r="S2264" i="31"/>
  <c r="R2264" i="31"/>
  <c r="S2277" i="31"/>
  <c r="R2461" i="31"/>
  <c r="Q2495" i="31"/>
  <c r="S2495" i="31"/>
  <c r="S2532" i="31"/>
  <c r="R2532" i="31"/>
  <c r="Q1823" i="31"/>
  <c r="R1876" i="31"/>
  <c r="Q1912" i="31"/>
  <c r="Q1916" i="31"/>
  <c r="R1936" i="31"/>
  <c r="R1948" i="31"/>
  <c r="Q1976" i="31"/>
  <c r="S1984" i="31"/>
  <c r="Q2024" i="31"/>
  <c r="P2043" i="31"/>
  <c r="S2043" i="31" s="1"/>
  <c r="R2093" i="31"/>
  <c r="R2139" i="31"/>
  <c r="Q2151" i="31"/>
  <c r="P2162" i="31"/>
  <c r="R2162" i="31" s="1"/>
  <c r="P2170" i="31"/>
  <c r="R2170" i="31" s="1"/>
  <c r="Q2187" i="31"/>
  <c r="P2200" i="31"/>
  <c r="S2200" i="31" s="1"/>
  <c r="S2249" i="31"/>
  <c r="P2263" i="31"/>
  <c r="Q2263" i="31" s="1"/>
  <c r="Q2281" i="31"/>
  <c r="P2290" i="31"/>
  <c r="S2290" i="31" s="1"/>
  <c r="P2295" i="31"/>
  <c r="S2295" i="31" s="1"/>
  <c r="S2323" i="31"/>
  <c r="Q2339" i="31"/>
  <c r="P2342" i="31"/>
  <c r="Q2342" i="31" s="1"/>
  <c r="R2359" i="31"/>
  <c r="P2388" i="31"/>
  <c r="R2388" i="31" s="1"/>
  <c r="R2437" i="31"/>
  <c r="R2504" i="31"/>
  <c r="Q2519" i="31"/>
  <c r="Q2528" i="31"/>
  <c r="R2531" i="31"/>
  <c r="R1823" i="31"/>
  <c r="P1879" i="31"/>
  <c r="S1879" i="31" s="1"/>
  <c r="S1888" i="31"/>
  <c r="R1912" i="31"/>
  <c r="R1916" i="31"/>
  <c r="S1936" i="31"/>
  <c r="P1949" i="31"/>
  <c r="S1949" i="31" s="1"/>
  <c r="R1976" i="31"/>
  <c r="R2024" i="31"/>
  <c r="P2055" i="31"/>
  <c r="R2055" i="31" s="1"/>
  <c r="P2061" i="31"/>
  <c r="S2061" i="31" s="1"/>
  <c r="R2085" i="31"/>
  <c r="S2093" i="31"/>
  <c r="P2140" i="31"/>
  <c r="S2140" i="31" s="1"/>
  <c r="R2151" i="31"/>
  <c r="R2187" i="31"/>
  <c r="S2241" i="31"/>
  <c r="P2244" i="31"/>
  <c r="R2244" i="31" s="1"/>
  <c r="P2251" i="31"/>
  <c r="S2251" i="31" s="1"/>
  <c r="S2281" i="31"/>
  <c r="P2296" i="31"/>
  <c r="P2325" i="31"/>
  <c r="S2325" i="31" s="1"/>
  <c r="R2339" i="31"/>
  <c r="S2359" i="31"/>
  <c r="P2390" i="31"/>
  <c r="P2394" i="31"/>
  <c r="S2437" i="31"/>
  <c r="R2519" i="31"/>
  <c r="S2528" i="31"/>
  <c r="S2531" i="31"/>
  <c r="S1916" i="31"/>
  <c r="P1939" i="31"/>
  <c r="Q1939" i="31" s="1"/>
  <c r="S1976" i="31"/>
  <c r="S2024" i="31"/>
  <c r="S2042" i="31"/>
  <c r="Q2063" i="31"/>
  <c r="Q2078" i="31"/>
  <c r="P2094" i="31"/>
  <c r="R2094" i="31" s="1"/>
  <c r="P2141" i="31"/>
  <c r="S2152" i="31"/>
  <c r="S2357" i="31"/>
  <c r="P2374" i="31"/>
  <c r="R2374" i="31" s="1"/>
  <c r="Q2405" i="31"/>
  <c r="R2407" i="31"/>
  <c r="P2424" i="31"/>
  <c r="P2439" i="31"/>
  <c r="S2439" i="31" s="1"/>
  <c r="P2458" i="31"/>
  <c r="S2458" i="31" s="1"/>
  <c r="S2479" i="31"/>
  <c r="Q2488" i="31"/>
  <c r="R2491" i="31"/>
  <c r="Q2540" i="31"/>
  <c r="R1934" i="31"/>
  <c r="P1951" i="31"/>
  <c r="S1951" i="31" s="1"/>
  <c r="P1977" i="31"/>
  <c r="R1977" i="31" s="1"/>
  <c r="R1992" i="31"/>
  <c r="Q2000" i="31"/>
  <c r="R2012" i="31"/>
  <c r="P2025" i="31"/>
  <c r="S2025" i="31" s="1"/>
  <c r="R2026" i="31"/>
  <c r="S2095" i="31"/>
  <c r="Q2135" i="31"/>
  <c r="P2154" i="31"/>
  <c r="S2154" i="31" s="1"/>
  <c r="R2239" i="31"/>
  <c r="P2260" i="31"/>
  <c r="Q2260" i="31" s="1"/>
  <c r="Q2269" i="31"/>
  <c r="Q2293" i="31"/>
  <c r="P2328" i="31"/>
  <c r="S2328" i="31" s="1"/>
  <c r="P2340" i="31"/>
  <c r="P2346" i="31"/>
  <c r="S2346" i="31" s="1"/>
  <c r="Q2355" i="31"/>
  <c r="P2361" i="31"/>
  <c r="R2361" i="31" s="1"/>
  <c r="Q2403" i="31"/>
  <c r="S2407" i="31"/>
  <c r="Q2413" i="31"/>
  <c r="P2418" i="31"/>
  <c r="S2418" i="31" s="1"/>
  <c r="P2448" i="31"/>
  <c r="R2448" i="31" s="1"/>
  <c r="Q2455" i="31"/>
  <c r="P2460" i="31"/>
  <c r="Q2460" i="31" s="1"/>
  <c r="R2488" i="31"/>
  <c r="R2540" i="31"/>
  <c r="R1844" i="31"/>
  <c r="R1872" i="31"/>
  <c r="Q1892" i="31"/>
  <c r="Q1932" i="31"/>
  <c r="Q1952" i="31"/>
  <c r="S2000" i="31"/>
  <c r="P2013" i="31"/>
  <c r="Q2013" i="31" s="1"/>
  <c r="P2027" i="31"/>
  <c r="R2027" i="31" s="1"/>
  <c r="S2135" i="31"/>
  <c r="P2190" i="31"/>
  <c r="S2190" i="31" s="1"/>
  <c r="S2239" i="31"/>
  <c r="P2246" i="31"/>
  <c r="S2246" i="31" s="1"/>
  <c r="R2293" i="31"/>
  <c r="P2298" i="31"/>
  <c r="R2298" i="31" s="1"/>
  <c r="P2329" i="31"/>
  <c r="S2329" i="31" s="1"/>
  <c r="R2355" i="31"/>
  <c r="P2362" i="31"/>
  <c r="Q2362" i="31" s="1"/>
  <c r="R2371" i="31"/>
  <c r="R2455" i="31"/>
  <c r="S2478" i="31"/>
  <c r="Q2524" i="31"/>
  <c r="Q2535" i="31"/>
  <c r="R2539" i="31"/>
  <c r="S31" i="32"/>
  <c r="Q581" i="32"/>
  <c r="S591" i="32"/>
  <c r="R646" i="32"/>
  <c r="R802" i="32"/>
  <c r="Q849" i="32"/>
  <c r="R895" i="32"/>
  <c r="S1145" i="32"/>
  <c r="R1315" i="32"/>
  <c r="Q1488" i="32"/>
  <c r="R1988" i="32"/>
  <c r="P2303" i="32"/>
  <c r="Q2303" i="32" s="1"/>
  <c r="R2317" i="32"/>
  <c r="Q2491" i="32"/>
  <c r="S895" i="32"/>
  <c r="S1988" i="32"/>
  <c r="P2320" i="32"/>
  <c r="S2320" i="32" s="1"/>
  <c r="S574" i="32"/>
  <c r="P860" i="32"/>
  <c r="S860" i="32" s="1"/>
  <c r="R872" i="32"/>
  <c r="Q888" i="32"/>
  <c r="S1054" i="32"/>
  <c r="S1225" i="32"/>
  <c r="Q1396" i="32"/>
  <c r="S1571" i="32"/>
  <c r="S1631" i="32"/>
  <c r="Q1761" i="32"/>
  <c r="S254" i="32"/>
  <c r="P781" i="32"/>
  <c r="S781" i="32" s="1"/>
  <c r="S872" i="32"/>
  <c r="R1241" i="32"/>
  <c r="S1401" i="32"/>
  <c r="R1591" i="32"/>
  <c r="R59" i="32"/>
  <c r="R717" i="32"/>
  <c r="S968" i="32"/>
  <c r="R2480" i="32"/>
  <c r="R142" i="32"/>
  <c r="S607" i="32"/>
  <c r="S651" i="32"/>
  <c r="R658" i="32"/>
  <c r="P676" i="32"/>
  <c r="S676" i="32" s="1"/>
  <c r="R797" i="32"/>
  <c r="R1083" i="32"/>
  <c r="Q1174" i="32"/>
  <c r="R1260" i="32"/>
  <c r="S1409" i="32"/>
  <c r="R1500" i="32"/>
  <c r="S1598" i="32"/>
  <c r="Q1630" i="32"/>
  <c r="R1765" i="32"/>
  <c r="Q1819" i="32"/>
  <c r="P1922" i="32"/>
  <c r="Q1922" i="32" s="1"/>
  <c r="Q1923" i="32"/>
  <c r="Q2032" i="32"/>
  <c r="S2199" i="32"/>
  <c r="S2317" i="32"/>
  <c r="Q2395" i="32"/>
  <c r="R2495" i="32"/>
  <c r="R522" i="32"/>
  <c r="Q1670" i="32"/>
  <c r="S2522" i="32"/>
  <c r="Q806" i="32"/>
  <c r="Q1360" i="32"/>
  <c r="P153" i="32"/>
  <c r="Q153" i="32" s="1"/>
  <c r="Q220" i="32"/>
  <c r="S248" i="32"/>
  <c r="S348" i="32"/>
  <c r="S432" i="32"/>
  <c r="S522" i="32"/>
  <c r="Q876" i="32"/>
  <c r="Q985" i="32"/>
  <c r="S1050" i="32"/>
  <c r="S1213" i="32"/>
  <c r="R1290" i="32"/>
  <c r="R1361" i="32"/>
  <c r="Q1452" i="32"/>
  <c r="R1540" i="32"/>
  <c r="R1680" i="32"/>
  <c r="Q1723" i="32"/>
  <c r="R1791" i="32"/>
  <c r="Q1835" i="32"/>
  <c r="P2097" i="32"/>
  <c r="Q2097" i="32" s="1"/>
  <c r="R2215" i="32"/>
  <c r="R2331" i="32"/>
  <c r="P2397" i="32"/>
  <c r="R2397" i="32" s="1"/>
  <c r="S300" i="32"/>
  <c r="S1038" i="32"/>
  <c r="Q1530" i="32"/>
  <c r="P2087" i="32"/>
  <c r="Q2087" i="32" s="1"/>
  <c r="Q2331" i="32"/>
  <c r="R1723" i="32"/>
  <c r="S1791" i="32"/>
  <c r="P1836" i="32"/>
  <c r="S1836" i="32" s="1"/>
  <c r="Q2227" i="32"/>
  <c r="P2332" i="32"/>
  <c r="R2332" i="32" s="1"/>
  <c r="Q2334" i="32"/>
  <c r="Q810" i="32"/>
  <c r="R1212" i="32"/>
  <c r="S85" i="32"/>
  <c r="Q176" i="32"/>
  <c r="R336" i="32"/>
  <c r="R545" i="32"/>
  <c r="S619" i="32"/>
  <c r="S948" i="32"/>
  <c r="R1012" i="32"/>
  <c r="Q1066" i="32"/>
  <c r="S1124" i="32"/>
  <c r="Q1314" i="32"/>
  <c r="S1380" i="32"/>
  <c r="R1460" i="32"/>
  <c r="R1566" i="32"/>
  <c r="Q1605" i="32"/>
  <c r="R1752" i="32"/>
  <c r="P1792" i="32"/>
  <c r="R1792" i="32" s="1"/>
  <c r="P1883" i="32"/>
  <c r="R1883" i="32" s="1"/>
  <c r="P2141" i="32"/>
  <c r="Q2141" i="32" s="1"/>
  <c r="S2227" i="32"/>
  <c r="S816" i="32"/>
  <c r="R1425" i="32"/>
  <c r="Q2215" i="32"/>
  <c r="S33" i="32"/>
  <c r="P178" i="32"/>
  <c r="R178" i="32" s="1"/>
  <c r="R1314" i="32"/>
  <c r="S1752" i="32"/>
  <c r="P1794" i="32"/>
  <c r="S1794" i="32" s="1"/>
  <c r="L231" i="32"/>
  <c r="Q282" i="32"/>
  <c r="S303" i="32"/>
  <c r="R607" i="32"/>
  <c r="Q1540" i="32"/>
  <c r="R1569" i="32"/>
  <c r="R1602" i="32"/>
  <c r="Q1631" i="32"/>
  <c r="R1722" i="32"/>
  <c r="Q1762" i="32"/>
  <c r="S1823" i="32"/>
  <c r="Q1944" i="32"/>
  <c r="R2000" i="32"/>
  <c r="Q2139" i="32"/>
  <c r="Q2211" i="32"/>
  <c r="P2295" i="32"/>
  <c r="S2295" i="32" s="1"/>
  <c r="Q2480" i="32"/>
  <c r="R131" i="32"/>
  <c r="Q250" i="32"/>
  <c r="Q294" i="32"/>
  <c r="Q530" i="32"/>
  <c r="Q608" i="32"/>
  <c r="P731" i="32"/>
  <c r="S731" i="32" s="1"/>
  <c r="P734" i="32"/>
  <c r="R790" i="32"/>
  <c r="Q881" i="32"/>
  <c r="S1000" i="32"/>
  <c r="R1056" i="32"/>
  <c r="R1092" i="32"/>
  <c r="S1129" i="32"/>
  <c r="S1180" i="32"/>
  <c r="S1229" i="32"/>
  <c r="Q1281" i="32"/>
  <c r="Q1330" i="32"/>
  <c r="R1372" i="32"/>
  <c r="R1469" i="32"/>
  <c r="S1516" i="32"/>
  <c r="S1548" i="32"/>
  <c r="Q1579" i="32"/>
  <c r="Q1619" i="32"/>
  <c r="Q1633" i="32"/>
  <c r="S1767" i="32"/>
  <c r="Q2147" i="32"/>
  <c r="Q2425" i="32"/>
  <c r="R2486" i="32"/>
  <c r="S133" i="32"/>
  <c r="Q209" i="32"/>
  <c r="R250" i="32"/>
  <c r="S530" i="32"/>
  <c r="R590" i="32"/>
  <c r="S698" i="32"/>
  <c r="Q795" i="32"/>
  <c r="R833" i="32"/>
  <c r="Q873" i="32"/>
  <c r="Q1009" i="32"/>
  <c r="Q1032" i="32"/>
  <c r="S1056" i="32"/>
  <c r="R1102" i="32"/>
  <c r="Q1141" i="32"/>
  <c r="R1186" i="32"/>
  <c r="S1233" i="32"/>
  <c r="Q1286" i="32"/>
  <c r="R1330" i="32"/>
  <c r="Q1378" i="32"/>
  <c r="Q1443" i="32"/>
  <c r="R1481" i="32"/>
  <c r="Q1523" i="32"/>
  <c r="Q1551" i="32"/>
  <c r="S1579" i="32"/>
  <c r="S1619" i="32"/>
  <c r="Q1641" i="32"/>
  <c r="P1744" i="32"/>
  <c r="S1744" i="32" s="1"/>
  <c r="Q1772" i="32"/>
  <c r="P1842" i="32"/>
  <c r="S1842" i="32" s="1"/>
  <c r="P2055" i="32"/>
  <c r="S2055" i="32" s="1"/>
  <c r="R2177" i="32"/>
  <c r="R2425" i="32"/>
  <c r="Q112" i="32"/>
  <c r="Q254" i="32"/>
  <c r="R261" i="32"/>
  <c r="P274" i="32"/>
  <c r="S274" i="32" s="1"/>
  <c r="Q486" i="32"/>
  <c r="S590" i="32"/>
  <c r="S1032" i="32"/>
  <c r="R1443" i="32"/>
  <c r="R1524" i="32"/>
  <c r="R1551" i="32"/>
  <c r="Q1582" i="32"/>
  <c r="Q1610" i="32"/>
  <c r="R1621" i="32"/>
  <c r="Q1654" i="32"/>
  <c r="S1749" i="32"/>
  <c r="S1781" i="32"/>
  <c r="R1815" i="32"/>
  <c r="S2425" i="32"/>
  <c r="S25" i="32"/>
  <c r="Q799" i="32"/>
  <c r="Q830" i="32"/>
  <c r="Q891" i="32"/>
  <c r="S938" i="32"/>
  <c r="Q980" i="32"/>
  <c r="Q1017" i="32"/>
  <c r="R1148" i="32"/>
  <c r="S1199" i="32"/>
  <c r="R1247" i="32"/>
  <c r="R1301" i="32"/>
  <c r="Q1348" i="32"/>
  <c r="R1582" i="32"/>
  <c r="Q1603" i="32"/>
  <c r="R1610" i="32"/>
  <c r="S1718" i="32"/>
  <c r="P2228" i="32"/>
  <c r="R2228" i="32" s="1"/>
  <c r="Q303" i="32"/>
  <c r="P343" i="32"/>
  <c r="R343" i="32" s="1"/>
  <c r="R546" i="32"/>
  <c r="R568" i="32"/>
  <c r="S581" i="32"/>
  <c r="Q634" i="32"/>
  <c r="S666" i="32"/>
  <c r="S830" i="32"/>
  <c r="S891" i="32"/>
  <c r="Q981" i="32"/>
  <c r="Q1047" i="32"/>
  <c r="Q1074" i="32"/>
  <c r="Q1119" i="32"/>
  <c r="Q1165" i="32"/>
  <c r="R1452" i="32"/>
  <c r="Q1499" i="32"/>
  <c r="Q1536" i="32"/>
  <c r="R1561" i="32"/>
  <c r="S1603" i="32"/>
  <c r="Q1821" i="32"/>
  <c r="P2229" i="32"/>
  <c r="S2229" i="32" s="1"/>
  <c r="Q2496" i="32"/>
  <c r="R303" i="32"/>
  <c r="P305" i="32"/>
  <c r="S552" i="32"/>
  <c r="R574" i="32"/>
  <c r="R636" i="32"/>
  <c r="R683" i="32"/>
  <c r="R981" i="32"/>
  <c r="R1047" i="32"/>
  <c r="S1119" i="32"/>
  <c r="S1165" i="32"/>
  <c r="R1499" i="32"/>
  <c r="S1536" i="32"/>
  <c r="R2496" i="32"/>
  <c r="P195" i="32"/>
  <c r="R195" i="32" s="1"/>
  <c r="S573" i="32"/>
  <c r="Q573" i="32"/>
  <c r="R792" i="32"/>
  <c r="S792" i="32"/>
  <c r="S1730" i="32"/>
  <c r="R1730" i="32"/>
  <c r="Q1730" i="32"/>
  <c r="S2504" i="32"/>
  <c r="Q2504" i="32"/>
  <c r="P2163" i="32"/>
  <c r="Q2163" i="32" s="1"/>
  <c r="P2160" i="32"/>
  <c r="Q2160" i="32" s="1"/>
  <c r="S2159" i="32"/>
  <c r="Q2159" i="32"/>
  <c r="S27" i="32"/>
  <c r="Q106" i="32"/>
  <c r="Q119" i="32"/>
  <c r="Q121" i="32"/>
  <c r="S121" i="32"/>
  <c r="R121" i="32"/>
  <c r="R210" i="32"/>
  <c r="S210" i="32"/>
  <c r="S256" i="32"/>
  <c r="S904" i="32"/>
  <c r="Q904" i="32"/>
  <c r="R930" i="32"/>
  <c r="S930" i="32"/>
  <c r="R970" i="32"/>
  <c r="Q970" i="32"/>
  <c r="S1386" i="32"/>
  <c r="R1386" i="32"/>
  <c r="Q1386" i="32"/>
  <c r="R1528" i="32"/>
  <c r="S1528" i="32"/>
  <c r="Q1528" i="32"/>
  <c r="S1668" i="32"/>
  <c r="Q1668" i="32"/>
  <c r="S36" i="32"/>
  <c r="S100" i="32"/>
  <c r="S276" i="32"/>
  <c r="Q839" i="32"/>
  <c r="R839" i="32"/>
  <c r="Q1848" i="32"/>
  <c r="P1850" i="32"/>
  <c r="S1850" i="32" s="1"/>
  <c r="Q245" i="32"/>
  <c r="S245" i="32"/>
  <c r="P429" i="32"/>
  <c r="R429" i="32" s="1"/>
  <c r="P430" i="32"/>
  <c r="S430" i="32" s="1"/>
  <c r="P427" i="32"/>
  <c r="Q427" i="32" s="1"/>
  <c r="S659" i="32"/>
  <c r="Q659" i="32"/>
  <c r="P770" i="32"/>
  <c r="Q765" i="32"/>
  <c r="R1040" i="32"/>
  <c r="Q1040" i="32"/>
  <c r="Q1117" i="32"/>
  <c r="S1117" i="32"/>
  <c r="R1117" i="32"/>
  <c r="S1489" i="32"/>
  <c r="R1489" i="32"/>
  <c r="Q1489" i="32"/>
  <c r="Q1554" i="32"/>
  <c r="R1554" i="32"/>
  <c r="S1616" i="32"/>
  <c r="Q1616" i="32"/>
  <c r="R1095" i="32"/>
  <c r="Q1095" i="32"/>
  <c r="Q887" i="32"/>
  <c r="R887" i="32"/>
  <c r="R1775" i="32"/>
  <c r="S1775" i="32"/>
  <c r="P2043" i="32"/>
  <c r="S2043" i="32" s="1"/>
  <c r="P2041" i="32"/>
  <c r="R2041" i="32" s="1"/>
  <c r="P2366" i="32"/>
  <c r="Q2366" i="32" s="1"/>
  <c r="S2363" i="32"/>
  <c r="S23" i="32"/>
  <c r="R81" i="32"/>
  <c r="R97" i="32"/>
  <c r="R245" i="32"/>
  <c r="Q548" i="32"/>
  <c r="S548" i="32"/>
  <c r="R548" i="32"/>
  <c r="R803" i="32"/>
  <c r="S803" i="32"/>
  <c r="R1075" i="32"/>
  <c r="S1075" i="32"/>
  <c r="S1681" i="32"/>
  <c r="R1681" i="32"/>
  <c r="P1757" i="32"/>
  <c r="R1757" i="32" s="1"/>
  <c r="P1756" i="32"/>
  <c r="Q1756" i="32" s="1"/>
  <c r="Q1755" i="32"/>
  <c r="R2530" i="32"/>
  <c r="S2530" i="32"/>
  <c r="Q194" i="32"/>
  <c r="R194" i="32"/>
  <c r="S1133" i="32"/>
  <c r="Q1133" i="32"/>
  <c r="S29" i="32"/>
  <c r="R1010" i="32"/>
  <c r="S1010" i="32"/>
  <c r="Q1010" i="32"/>
  <c r="R1193" i="32"/>
  <c r="S1193" i="32"/>
  <c r="Q1193" i="32"/>
  <c r="S101" i="32"/>
  <c r="R101" i="32"/>
  <c r="P501" i="32"/>
  <c r="S501" i="32" s="1"/>
  <c r="P500" i="32"/>
  <c r="S500" i="32" s="1"/>
  <c r="S498" i="32"/>
  <c r="S642" i="32"/>
  <c r="R642" i="32"/>
  <c r="R688" i="32"/>
  <c r="Q688" i="32"/>
  <c r="S953" i="32"/>
  <c r="R953" i="32"/>
  <c r="Q953" i="32"/>
  <c r="S1218" i="32"/>
  <c r="R1218" i="32"/>
  <c r="S1412" i="32"/>
  <c r="R1412" i="32"/>
  <c r="Q1412" i="32"/>
  <c r="R635" i="32"/>
  <c r="S635" i="32"/>
  <c r="Q1231" i="32"/>
  <c r="S1231" i="32"/>
  <c r="R1231" i="32"/>
  <c r="Q1433" i="32"/>
  <c r="S1433" i="32"/>
  <c r="R1473" i="32"/>
  <c r="S1473" i="32"/>
  <c r="S1634" i="32"/>
  <c r="P1635" i="32"/>
  <c r="R1635" i="32" s="1"/>
  <c r="R1634" i="32"/>
  <c r="Q1710" i="32"/>
  <c r="S1710" i="32"/>
  <c r="R53" i="32"/>
  <c r="R66" i="32"/>
  <c r="R73" i="32"/>
  <c r="Q85" i="32"/>
  <c r="P370" i="32"/>
  <c r="Q370" i="32" s="1"/>
  <c r="P369" i="32"/>
  <c r="R369" i="32" s="1"/>
  <c r="S578" i="32"/>
  <c r="Q578" i="32"/>
  <c r="S869" i="32"/>
  <c r="R869" i="32"/>
  <c r="Q869" i="32"/>
  <c r="S899" i="32"/>
  <c r="R899" i="32"/>
  <c r="Q899" i="32"/>
  <c r="R986" i="32"/>
  <c r="S986" i="32"/>
  <c r="Q986" i="32"/>
  <c r="R1362" i="32"/>
  <c r="Q1362" i="32"/>
  <c r="R1505" i="32"/>
  <c r="S1505" i="32"/>
  <c r="P1994" i="32"/>
  <c r="Q1994" i="32" s="1"/>
  <c r="S1992" i="32"/>
  <c r="P2105" i="32"/>
  <c r="S2105" i="32" s="1"/>
  <c r="P2108" i="32"/>
  <c r="S2108" i="32" s="1"/>
  <c r="P2104" i="32"/>
  <c r="Q2104" i="32" s="1"/>
  <c r="S2343" i="32"/>
  <c r="R2343" i="32"/>
  <c r="Q2343" i="32"/>
  <c r="S1597" i="32"/>
  <c r="R1597" i="32"/>
  <c r="Q1597" i="32"/>
  <c r="R50" i="32"/>
  <c r="R86" i="32"/>
  <c r="R77" i="32"/>
  <c r="S96" i="32"/>
  <c r="S225" i="32"/>
  <c r="Q225" i="32"/>
  <c r="M311" i="32"/>
  <c r="N311" i="32" s="1"/>
  <c r="P326" i="32"/>
  <c r="R326" i="32" s="1"/>
  <c r="P327" i="32"/>
  <c r="Q327" i="32" s="1"/>
  <c r="P325" i="32"/>
  <c r="S325" i="32" s="1"/>
  <c r="S324" i="32"/>
  <c r="R324" i="32"/>
  <c r="Q324" i="32"/>
  <c r="R914" i="32"/>
  <c r="Q914" i="32"/>
  <c r="S1274" i="32"/>
  <c r="R1274" i="32"/>
  <c r="S1321" i="32"/>
  <c r="R1321" i="32"/>
  <c r="Q1321" i="32"/>
  <c r="S1574" i="32"/>
  <c r="R1574" i="32"/>
  <c r="Q1574" i="32"/>
  <c r="S271" i="32"/>
  <c r="Q519" i="32"/>
  <c r="Q546" i="32"/>
  <c r="Q619" i="32"/>
  <c r="Q622" i="32"/>
  <c r="Q638" i="32"/>
  <c r="R696" i="32"/>
  <c r="Q790" i="32"/>
  <c r="Q802" i="32"/>
  <c r="Q819" i="32"/>
  <c r="S822" i="32"/>
  <c r="Q835" i="32"/>
  <c r="R883" i="32"/>
  <c r="R907" i="32"/>
  <c r="R945" i="32"/>
  <c r="R1001" i="32"/>
  <c r="S1034" i="32"/>
  <c r="R1071" i="32"/>
  <c r="Q1089" i="32"/>
  <c r="R1112" i="32"/>
  <c r="Q1129" i="32"/>
  <c r="R1156" i="32"/>
  <c r="Q1182" i="32"/>
  <c r="R1199" i="32"/>
  <c r="Q1213" i="32"/>
  <c r="R1229" i="32"/>
  <c r="R1266" i="32"/>
  <c r="S1289" i="32"/>
  <c r="Q1361" i="32"/>
  <c r="Q1379" i="32"/>
  <c r="R1405" i="32"/>
  <c r="R1429" i="32"/>
  <c r="S1465" i="32"/>
  <c r="S1484" i="32"/>
  <c r="Q1524" i="32"/>
  <c r="R1553" i="32"/>
  <c r="Q1571" i="32"/>
  <c r="P1652" i="32"/>
  <c r="R1652" i="32" s="1"/>
  <c r="Q1680" i="32"/>
  <c r="P2170" i="32"/>
  <c r="S2170" i="32" s="1"/>
  <c r="P2433" i="32"/>
  <c r="Q2433" i="32" s="1"/>
  <c r="S2461" i="32"/>
  <c r="R2522" i="32"/>
  <c r="P143" i="32"/>
  <c r="R143" i="32" s="1"/>
  <c r="P488" i="32"/>
  <c r="Q488" i="32" s="1"/>
  <c r="P491" i="32"/>
  <c r="Q509" i="32"/>
  <c r="S527" i="32"/>
  <c r="Q585" i="32"/>
  <c r="Q613" i="32"/>
  <c r="S621" i="32"/>
  <c r="R628" i="32"/>
  <c r="Q663" i="32"/>
  <c r="R741" i="32"/>
  <c r="R794" i="32"/>
  <c r="Q843" i="32"/>
  <c r="S906" i="32"/>
  <c r="Q917" i="32"/>
  <c r="Q933" i="32"/>
  <c r="Q973" i="32"/>
  <c r="R1043" i="32"/>
  <c r="Q1059" i="32"/>
  <c r="Q1079" i="32"/>
  <c r="S1097" i="32"/>
  <c r="Q1140" i="32"/>
  <c r="Q1167" i="32"/>
  <c r="Q1205" i="32"/>
  <c r="R1220" i="32"/>
  <c r="S1252" i="32"/>
  <c r="S1277" i="32"/>
  <c r="R1300" i="32"/>
  <c r="Q1345" i="32"/>
  <c r="R1436" i="32"/>
  <c r="R1475" i="32"/>
  <c r="R1509" i="32"/>
  <c r="S1544" i="32"/>
  <c r="R1558" i="32"/>
  <c r="Q1589" i="32"/>
  <c r="Q1669" i="32"/>
  <c r="Q1685" i="32"/>
  <c r="Q1780" i="32"/>
  <c r="Q1860" i="32"/>
  <c r="Q1928" i="32"/>
  <c r="R2044" i="32"/>
  <c r="Q2121" i="32"/>
  <c r="P2262" i="32"/>
  <c r="R2262" i="32" s="1"/>
  <c r="S2383" i="32"/>
  <c r="R2443" i="32"/>
  <c r="Q2494" i="32"/>
  <c r="Q2519" i="32"/>
  <c r="R2532" i="32"/>
  <c r="R214" i="32"/>
  <c r="Q227" i="32"/>
  <c r="Q342" i="32"/>
  <c r="P460" i="32"/>
  <c r="Q460" i="32" s="1"/>
  <c r="R509" i="32"/>
  <c r="S585" i="32"/>
  <c r="S663" i="32"/>
  <c r="P743" i="32"/>
  <c r="S743" i="32" s="1"/>
  <c r="R917" i="32"/>
  <c r="R933" i="32"/>
  <c r="R973" i="32"/>
  <c r="S1059" i="32"/>
  <c r="R1205" i="32"/>
  <c r="S1220" i="32"/>
  <c r="S1436" i="32"/>
  <c r="P1861" i="32"/>
  <c r="Q1861" i="32" s="1"/>
  <c r="R1862" i="32"/>
  <c r="P2264" i="32"/>
  <c r="S2264" i="32" s="1"/>
  <c r="R2323" i="32"/>
  <c r="Q2351" i="32"/>
  <c r="P2444" i="32"/>
  <c r="S2444" i="32" s="1"/>
  <c r="S2485" i="32"/>
  <c r="R2494" i="32"/>
  <c r="R2540" i="32"/>
  <c r="S214" i="32"/>
  <c r="R227" i="32"/>
  <c r="R342" i="32"/>
  <c r="S509" i="32"/>
  <c r="S553" i="32"/>
  <c r="Q570" i="32"/>
  <c r="Q575" i="32"/>
  <c r="Q582" i="32"/>
  <c r="Q625" i="32"/>
  <c r="R634" i="32"/>
  <c r="S641" i="32"/>
  <c r="S646" i="32"/>
  <c r="Q666" i="32"/>
  <c r="S702" i="32"/>
  <c r="P704" i="32"/>
  <c r="S717" i="32"/>
  <c r="R771" i="32"/>
  <c r="S795" i="32"/>
  <c r="R810" i="32"/>
  <c r="Q812" i="32"/>
  <c r="R823" i="32"/>
  <c r="S838" i="32"/>
  <c r="R903" i="32"/>
  <c r="R920" i="32"/>
  <c r="Q961" i="32"/>
  <c r="S976" i="32"/>
  <c r="Q994" i="32"/>
  <c r="S1062" i="32"/>
  <c r="Q1082" i="32"/>
  <c r="Q1109" i="32"/>
  <c r="Q1142" i="32"/>
  <c r="S1172" i="32"/>
  <c r="Q1197" i="32"/>
  <c r="R1209" i="32"/>
  <c r="S1223" i="32"/>
  <c r="Q1239" i="32"/>
  <c r="R1281" i="32"/>
  <c r="S1301" i="32"/>
  <c r="R1324" i="32"/>
  <c r="R1350" i="32"/>
  <c r="S1369" i="32"/>
  <c r="R1389" i="32"/>
  <c r="Q1459" i="32"/>
  <c r="S1481" i="32"/>
  <c r="Q1490" i="32"/>
  <c r="Q1514" i="32"/>
  <c r="Q1532" i="32"/>
  <c r="Q1549" i="32"/>
  <c r="R1563" i="32"/>
  <c r="Q1606" i="32"/>
  <c r="R1613" i="32"/>
  <c r="R1626" i="32"/>
  <c r="Q1650" i="32"/>
  <c r="Q1676" i="32"/>
  <c r="Q1705" i="32"/>
  <c r="R1732" i="32"/>
  <c r="R1761" i="32"/>
  <c r="R1782" i="32"/>
  <c r="R1807" i="32"/>
  <c r="S1827" i="32"/>
  <c r="R1864" i="32"/>
  <c r="Q1952" i="32"/>
  <c r="Q1980" i="32"/>
  <c r="P2001" i="32"/>
  <c r="S2001" i="32" s="1"/>
  <c r="P2071" i="32"/>
  <c r="S2071" i="32" s="1"/>
  <c r="P2132" i="32"/>
  <c r="Q2132" i="32" s="1"/>
  <c r="Q2165" i="32"/>
  <c r="Q2278" i="32"/>
  <c r="P2325" i="32"/>
  <c r="R2325" i="32" s="1"/>
  <c r="S2351" i="32"/>
  <c r="R334" i="32"/>
  <c r="P347" i="32"/>
  <c r="Q438" i="32"/>
  <c r="R445" i="32"/>
  <c r="P510" i="32"/>
  <c r="Q510" i="32" s="1"/>
  <c r="R582" i="32"/>
  <c r="R591" i="32"/>
  <c r="R625" i="32"/>
  <c r="R666" i="32"/>
  <c r="P703" i="32"/>
  <c r="S703" i="32" s="1"/>
  <c r="R705" i="32"/>
  <c r="P718" i="32"/>
  <c r="R718" i="32" s="1"/>
  <c r="S994" i="32"/>
  <c r="S1109" i="32"/>
  <c r="R1197" i="32"/>
  <c r="S1209" i="32"/>
  <c r="R1239" i="32"/>
  <c r="R1459" i="32"/>
  <c r="S1496" i="32"/>
  <c r="R1532" i="32"/>
  <c r="S1606" i="32"/>
  <c r="Q1624" i="32"/>
  <c r="S1650" i="32"/>
  <c r="R1676" i="32"/>
  <c r="P1829" i="32"/>
  <c r="S1829" i="32" s="1"/>
  <c r="S1880" i="32"/>
  <c r="P1953" i="32"/>
  <c r="R1953" i="32" s="1"/>
  <c r="R1980" i="32"/>
  <c r="P2022" i="32"/>
  <c r="Q2022" i="32" s="1"/>
  <c r="P2134" i="32"/>
  <c r="R2134" i="32" s="1"/>
  <c r="S2165" i="32"/>
  <c r="P1651" i="32"/>
  <c r="S1651" i="32" s="1"/>
  <c r="P2023" i="32"/>
  <c r="Q2023" i="32" s="1"/>
  <c r="P2166" i="32"/>
  <c r="S2166" i="32" s="1"/>
  <c r="S42" i="32"/>
  <c r="Q46" i="32"/>
  <c r="S53" i="32"/>
  <c r="Q74" i="32"/>
  <c r="S88" i="32"/>
  <c r="Q100" i="32"/>
  <c r="R243" i="32"/>
  <c r="Q243" i="32"/>
  <c r="M317" i="32"/>
  <c r="N317" i="32" s="1"/>
  <c r="Q864" i="32"/>
  <c r="S864" i="32"/>
  <c r="R864" i="32"/>
  <c r="Q911" i="32"/>
  <c r="R911" i="32"/>
  <c r="R946" i="32"/>
  <c r="S946" i="32"/>
  <c r="Q946" i="32"/>
  <c r="S1005" i="32"/>
  <c r="R1005" i="32"/>
  <c r="Q1005" i="32"/>
  <c r="Q1037" i="32"/>
  <c r="S1037" i="32"/>
  <c r="R1072" i="32"/>
  <c r="S1072" i="32"/>
  <c r="Q1072" i="32"/>
  <c r="S1157" i="32"/>
  <c r="R1157" i="32"/>
  <c r="Q1157" i="32"/>
  <c r="S1185" i="32"/>
  <c r="R1185" i="32"/>
  <c r="Q1185" i="32"/>
  <c r="S21" i="32"/>
  <c r="S652" i="32"/>
  <c r="R652" i="32"/>
  <c r="Q652" i="32"/>
  <c r="S693" i="32"/>
  <c r="R693" i="32"/>
  <c r="P786" i="32"/>
  <c r="R786" i="32" s="1"/>
  <c r="P788" i="32"/>
  <c r="P784" i="32"/>
  <c r="R784" i="32" s="1"/>
  <c r="P787" i="32"/>
  <c r="P785" i="32"/>
  <c r="Q785" i="32" s="1"/>
  <c r="Q783" i="32"/>
  <c r="S1662" i="32"/>
  <c r="Q1662" i="32"/>
  <c r="P1846" i="32"/>
  <c r="Q1846" i="32" s="1"/>
  <c r="P1847" i="32"/>
  <c r="R1847" i="32" s="1"/>
  <c r="P1845" i="32"/>
  <c r="R1845" i="32" s="1"/>
  <c r="Q1844" i="32"/>
  <c r="S79" i="32"/>
  <c r="Q82" i="32"/>
  <c r="Q90" i="32"/>
  <c r="Q114" i="32"/>
  <c r="S119" i="32"/>
  <c r="R136" i="32"/>
  <c r="S136" i="32"/>
  <c r="R187" i="32"/>
  <c r="Q187" i="32"/>
  <c r="S804" i="32"/>
  <c r="Q804" i="32"/>
  <c r="S1202" i="32"/>
  <c r="R1202" i="32"/>
  <c r="S1294" i="32"/>
  <c r="Q1294" i="32"/>
  <c r="S1363" i="32"/>
  <c r="R1363" i="32"/>
  <c r="Q1363" i="32"/>
  <c r="Q1434" i="32"/>
  <c r="S1434" i="32"/>
  <c r="R1434" i="32"/>
  <c r="S38" i="32"/>
  <c r="S60" i="32"/>
  <c r="Q80" i="32"/>
  <c r="R90" i="32"/>
  <c r="Q96" i="32"/>
  <c r="S99" i="32"/>
  <c r="Q109" i="32"/>
  <c r="S114" i="32"/>
  <c r="Q136" i="32"/>
  <c r="P156" i="32"/>
  <c r="R156" i="32" s="1"/>
  <c r="R154" i="32"/>
  <c r="Q154" i="32"/>
  <c r="S187" i="32"/>
  <c r="R188" i="32"/>
  <c r="Q188" i="32"/>
  <c r="R249" i="32"/>
  <c r="S249" i="32"/>
  <c r="R528" i="32"/>
  <c r="S528" i="32"/>
  <c r="S845" i="32"/>
  <c r="R845" i="32"/>
  <c r="Q1045" i="32"/>
  <c r="S1045" i="32"/>
  <c r="S1101" i="32"/>
  <c r="R1101" i="32"/>
  <c r="Q1101" i="32"/>
  <c r="O19" i="32"/>
  <c r="P19" i="32" s="1"/>
  <c r="P159" i="32"/>
  <c r="S159" i="32" s="1"/>
  <c r="S157" i="32"/>
  <c r="Q157" i="32"/>
  <c r="S211" i="32"/>
  <c r="Q211" i="32"/>
  <c r="P286" i="32"/>
  <c r="Q286" i="32" s="1"/>
  <c r="R285" i="32"/>
  <c r="Q285" i="32"/>
  <c r="P287" i="32"/>
  <c r="S827" i="32"/>
  <c r="Q827" i="32"/>
  <c r="S957" i="32"/>
  <c r="R957" i="32"/>
  <c r="Q957" i="32"/>
  <c r="S1222" i="32"/>
  <c r="Q1222" i="32"/>
  <c r="S1234" i="32"/>
  <c r="R1234" i="32"/>
  <c r="S20" i="32"/>
  <c r="S22" i="32"/>
  <c r="S24" i="32"/>
  <c r="S26" i="32"/>
  <c r="S28" i="32"/>
  <c r="S30" i="32"/>
  <c r="S32" i="32"/>
  <c r="S34" i="32"/>
  <c r="Q54" i="32"/>
  <c r="S68" i="32"/>
  <c r="S71" i="32"/>
  <c r="Q93" i="32"/>
  <c r="Q108" i="32"/>
  <c r="R139" i="32"/>
  <c r="Q141" i="32"/>
  <c r="S141" i="32"/>
  <c r="R157" i="32"/>
  <c r="P199" i="32"/>
  <c r="R199" i="32" s="1"/>
  <c r="R197" i="32"/>
  <c r="Q197" i="32"/>
  <c r="P198" i="32"/>
  <c r="S198" i="32" s="1"/>
  <c r="R211" i="32"/>
  <c r="P404" i="32"/>
  <c r="R404" i="32" s="1"/>
  <c r="P405" i="32"/>
  <c r="R405" i="32" s="1"/>
  <c r="P403" i="32"/>
  <c r="R403" i="32" s="1"/>
  <c r="S402" i="32"/>
  <c r="R402" i="32"/>
  <c r="Q402" i="32"/>
  <c r="R557" i="32"/>
  <c r="S557" i="32"/>
  <c r="Q557" i="32"/>
  <c r="P715" i="32"/>
  <c r="S715" i="32" s="1"/>
  <c r="P716" i="32"/>
  <c r="P712" i="32"/>
  <c r="Q712" i="32" s="1"/>
  <c r="R978" i="32"/>
  <c r="S978" i="32"/>
  <c r="Q978" i="32"/>
  <c r="S1064" i="32"/>
  <c r="R1064" i="32"/>
  <c r="Q1064" i="32"/>
  <c r="R1173" i="32"/>
  <c r="S1173" i="32"/>
  <c r="Q1173" i="32"/>
  <c r="S44" i="32"/>
  <c r="R54" i="32"/>
  <c r="Q73" i="32"/>
  <c r="R93" i="32"/>
  <c r="Q101" i="32"/>
  <c r="R108" i="32"/>
  <c r="S128" i="32"/>
  <c r="Q130" i="32"/>
  <c r="S130" i="32"/>
  <c r="P158" i="32"/>
  <c r="S158" i="32" s="1"/>
  <c r="S197" i="32"/>
  <c r="S798" i="32"/>
  <c r="R798" i="32"/>
  <c r="Q798" i="32"/>
  <c r="R840" i="32"/>
  <c r="S840" i="32"/>
  <c r="Q840" i="32"/>
  <c r="S940" i="32"/>
  <c r="R940" i="32"/>
  <c r="Q940" i="32"/>
  <c r="Q168" i="32"/>
  <c r="S168" i="32"/>
  <c r="R168" i="32"/>
  <c r="Q215" i="32"/>
  <c r="S215" i="32"/>
  <c r="R215" i="32"/>
  <c r="R238" i="32"/>
  <c r="Q238" i="32"/>
  <c r="S279" i="32"/>
  <c r="P281" i="32"/>
  <c r="P280" i="32"/>
  <c r="R280" i="32" s="1"/>
  <c r="R629" i="32"/>
  <c r="S629" i="32"/>
  <c r="Q629" i="32"/>
  <c r="R1088" i="32"/>
  <c r="S1088" i="32"/>
  <c r="S1149" i="32"/>
  <c r="R1149" i="32"/>
  <c r="Q1149" i="32"/>
  <c r="S1262" i="32"/>
  <c r="Q1262" i="32"/>
  <c r="Q261" i="32"/>
  <c r="P298" i="32"/>
  <c r="S298" i="32" s="1"/>
  <c r="Q336" i="32"/>
  <c r="S346" i="32"/>
  <c r="P459" i="32"/>
  <c r="R459" i="32" s="1"/>
  <c r="Q527" i="32"/>
  <c r="S545" i="32"/>
  <c r="Q553" i="32"/>
  <c r="S562" i="32"/>
  <c r="Q567" i="32"/>
  <c r="Q630" i="32"/>
  <c r="Q642" i="32"/>
  <c r="Q651" i="32"/>
  <c r="R698" i="32"/>
  <c r="Q705" i="32"/>
  <c r="P730" i="32"/>
  <c r="S730" i="32" s="1"/>
  <c r="Q741" i="32"/>
  <c r="P766" i="32"/>
  <c r="R766" i="32" s="1"/>
  <c r="Q771" i="32"/>
  <c r="S789" i="32"/>
  <c r="Q797" i="32"/>
  <c r="Q803" i="32"/>
  <c r="Q814" i="32"/>
  <c r="S833" i="32"/>
  <c r="Q883" i="32"/>
  <c r="R906" i="32"/>
  <c r="S907" i="32"/>
  <c r="Q930" i="32"/>
  <c r="Q938" i="32"/>
  <c r="Q945" i="32"/>
  <c r="Q1001" i="32"/>
  <c r="Q1012" i="32"/>
  <c r="Q1043" i="32"/>
  <c r="S1053" i="32"/>
  <c r="Q1071" i="32"/>
  <c r="S1078" i="32"/>
  <c r="S1085" i="32"/>
  <c r="Q1097" i="32"/>
  <c r="Q1148" i="32"/>
  <c r="S1161" i="32"/>
  <c r="R1172" i="32"/>
  <c r="Q1246" i="32"/>
  <c r="S1316" i="32"/>
  <c r="Q1316" i="32"/>
  <c r="S1381" i="32"/>
  <c r="R1381" i="32"/>
  <c r="Q1410" i="32"/>
  <c r="S1410" i="32"/>
  <c r="R1410" i="32"/>
  <c r="S1501" i="32"/>
  <c r="R1501" i="32"/>
  <c r="Q1702" i="32"/>
  <c r="S1702" i="32"/>
  <c r="R1702" i="32"/>
  <c r="P1899" i="32"/>
  <c r="R1899" i="32" s="1"/>
  <c r="Q1896" i="32"/>
  <c r="Q2471" i="32"/>
  <c r="S2471" i="32"/>
  <c r="P177" i="32"/>
  <c r="S177" i="32" s="1"/>
  <c r="S194" i="32"/>
  <c r="S261" i="32"/>
  <c r="S336" i="32"/>
  <c r="N377" i="32"/>
  <c r="P436" i="32"/>
  <c r="S688" i="32"/>
  <c r="S741" i="32"/>
  <c r="R815" i="32"/>
  <c r="S823" i="32"/>
  <c r="R888" i="32"/>
  <c r="S903" i="32"/>
  <c r="S920" i="32"/>
  <c r="R985" i="32"/>
  <c r="R993" i="32"/>
  <c r="R1079" i="32"/>
  <c r="S1140" i="32"/>
  <c r="S1212" i="32"/>
  <c r="S1247" i="32"/>
  <c r="Q1249" i="32"/>
  <c r="S1249" i="32"/>
  <c r="S1346" i="32"/>
  <c r="Q1346" i="32"/>
  <c r="Q1476" i="32"/>
  <c r="R1476" i="32"/>
  <c r="R1512" i="32"/>
  <c r="S1512" i="32"/>
  <c r="Q1512" i="32"/>
  <c r="R1545" i="32"/>
  <c r="S1545" i="32"/>
  <c r="Q1545" i="32"/>
  <c r="S1590" i="32"/>
  <c r="R1590" i="32"/>
  <c r="Q1590" i="32"/>
  <c r="P371" i="32"/>
  <c r="P742" i="32"/>
  <c r="R742" i="32" s="1"/>
  <c r="P774" i="32"/>
  <c r="S774" i="32" s="1"/>
  <c r="Q1228" i="32"/>
  <c r="S1228" i="32"/>
  <c r="Q1271" i="32"/>
  <c r="S1271" i="32"/>
  <c r="S1285" i="32"/>
  <c r="Q1285" i="32"/>
  <c r="S1457" i="32"/>
  <c r="R1457" i="32"/>
  <c r="Q1457" i="32"/>
  <c r="R1639" i="32"/>
  <c r="S1639" i="32"/>
  <c r="Q1639" i="32"/>
  <c r="S1686" i="32"/>
  <c r="Q1686" i="32"/>
  <c r="P2130" i="32"/>
  <c r="Q2130" i="32" s="1"/>
  <c r="P2129" i="32"/>
  <c r="S2129" i="32" s="1"/>
  <c r="S2127" i="32"/>
  <c r="R2127" i="32"/>
  <c r="Q2127" i="32"/>
  <c r="P2388" i="32"/>
  <c r="S2388" i="32" s="1"/>
  <c r="P2390" i="32"/>
  <c r="Q2390" i="32" s="1"/>
  <c r="P2389" i="32"/>
  <c r="S2389" i="32" s="1"/>
  <c r="S2387" i="32"/>
  <c r="R2538" i="32"/>
  <c r="Q2538" i="32"/>
  <c r="P359" i="32"/>
  <c r="S1253" i="32"/>
  <c r="R1253" i="32"/>
  <c r="S1287" i="32"/>
  <c r="R1287" i="32"/>
  <c r="S1393" i="32"/>
  <c r="Q1393" i="32"/>
  <c r="S1417" i="32"/>
  <c r="Q1417" i="32"/>
  <c r="S1492" i="32"/>
  <c r="Q1492" i="32"/>
  <c r="P2062" i="32"/>
  <c r="R2062" i="32" s="1"/>
  <c r="P2060" i="32"/>
  <c r="Q2060" i="32" s="1"/>
  <c r="P349" i="32"/>
  <c r="S349" i="32" s="1"/>
  <c r="Q350" i="32"/>
  <c r="P357" i="32"/>
  <c r="Q357" i="32" s="1"/>
  <c r="P447" i="32"/>
  <c r="S447" i="32" s="1"/>
  <c r="R486" i="32"/>
  <c r="P503" i="32"/>
  <c r="S503" i="32" s="1"/>
  <c r="S519" i="32"/>
  <c r="R549" i="32"/>
  <c r="Q559" i="32"/>
  <c r="R573" i="32"/>
  <c r="R592" i="32"/>
  <c r="Q603" i="32"/>
  <c r="S617" i="32"/>
  <c r="S628" i="32"/>
  <c r="S636" i="32"/>
  <c r="R659" i="32"/>
  <c r="Q678" i="32"/>
  <c r="P722" i="32"/>
  <c r="Q729" i="32"/>
  <c r="P746" i="32"/>
  <c r="S794" i="32"/>
  <c r="R799" i="32"/>
  <c r="Q807" i="32"/>
  <c r="R831" i="32"/>
  <c r="S839" i="32"/>
  <c r="Q866" i="32"/>
  <c r="R876" i="32"/>
  <c r="S914" i="32"/>
  <c r="R936" i="32"/>
  <c r="Q941" i="32"/>
  <c r="S952" i="32"/>
  <c r="R961" i="32"/>
  <c r="S970" i="32"/>
  <c r="R980" i="32"/>
  <c r="Q988" i="32"/>
  <c r="Q996" i="32"/>
  <c r="R1009" i="32"/>
  <c r="R1017" i="32"/>
  <c r="Q1031" i="32"/>
  <c r="Q1042" i="32"/>
  <c r="Q1048" i="32"/>
  <c r="R1066" i="32"/>
  <c r="R1074" i="32"/>
  <c r="S1082" i="32"/>
  <c r="Q1093" i="32"/>
  <c r="S1105" i="32"/>
  <c r="R1121" i="32"/>
  <c r="Q1135" i="32"/>
  <c r="Q1151" i="32"/>
  <c r="Q1159" i="32"/>
  <c r="R1167" i="32"/>
  <c r="R1178" i="32"/>
  <c r="S1189" i="32"/>
  <c r="Q1206" i="32"/>
  <c r="Q1214" i="32"/>
  <c r="S1241" i="32"/>
  <c r="Q1253" i="32"/>
  <c r="Q1287" i="32"/>
  <c r="S1310" i="32"/>
  <c r="Q1310" i="32"/>
  <c r="R1354" i="32"/>
  <c r="Q1354" i="32"/>
  <c r="Q1374" i="32"/>
  <c r="S1374" i="32"/>
  <c r="R1374" i="32"/>
  <c r="R1520" i="32"/>
  <c r="S1520" i="32"/>
  <c r="Q1520" i="32"/>
  <c r="S1567" i="32"/>
  <c r="R1567" i="32"/>
  <c r="Q1567" i="32"/>
  <c r="S1707" i="32"/>
  <c r="R1707" i="32"/>
  <c r="Q1707" i="32"/>
  <c r="S1872" i="32"/>
  <c r="P1875" i="32"/>
  <c r="Q1875" i="32" s="1"/>
  <c r="R1872" i="32"/>
  <c r="Q1872" i="32"/>
  <c r="P2015" i="32"/>
  <c r="Q2015" i="32" s="1"/>
  <c r="R2012" i="32"/>
  <c r="S226" i="32"/>
  <c r="Q244" i="32"/>
  <c r="P351" i="32"/>
  <c r="Q351" i="32" s="1"/>
  <c r="P428" i="32"/>
  <c r="P435" i="32"/>
  <c r="R435" i="32" s="1"/>
  <c r="S456" i="32"/>
  <c r="S549" i="32"/>
  <c r="S559" i="32"/>
  <c r="S592" i="32"/>
  <c r="P679" i="32"/>
  <c r="Q679" i="32" s="1"/>
  <c r="R729" i="32"/>
  <c r="R807" i="32"/>
  <c r="Q838" i="32"/>
  <c r="Q858" i="32"/>
  <c r="S866" i="32"/>
  <c r="S936" i="32"/>
  <c r="R941" i="32"/>
  <c r="Q962" i="32"/>
  <c r="R988" i="32"/>
  <c r="S996" i="32"/>
  <c r="R1031" i="32"/>
  <c r="R1042" i="32"/>
  <c r="S1048" i="32"/>
  <c r="S1058" i="32"/>
  <c r="Q1075" i="32"/>
  <c r="Q1083" i="32"/>
  <c r="S1093" i="32"/>
  <c r="R1135" i="32"/>
  <c r="Q1145" i="32"/>
  <c r="R1151" i="32"/>
  <c r="R1159" i="32"/>
  <c r="R1180" i="32"/>
  <c r="Q1190" i="32"/>
  <c r="S1215" i="32"/>
  <c r="R1245" i="32"/>
  <c r="Q1245" i="32"/>
  <c r="S1257" i="32"/>
  <c r="R1257" i="32"/>
  <c r="Q1277" i="32"/>
  <c r="S1402" i="32"/>
  <c r="Q1402" i="32"/>
  <c r="S1461" i="32"/>
  <c r="R1461" i="32"/>
  <c r="S1746" i="32"/>
  <c r="P1748" i="32"/>
  <c r="S1748" i="32" s="1"/>
  <c r="P1747" i="32"/>
  <c r="S1747" i="32" s="1"/>
  <c r="Q1746" i="32"/>
  <c r="S2455" i="32"/>
  <c r="P2456" i="32"/>
  <c r="Q2456" i="32" s="1"/>
  <c r="R2455" i="32"/>
  <c r="Q2455" i="32"/>
  <c r="P437" i="32"/>
  <c r="S729" i="32"/>
  <c r="S1279" i="32"/>
  <c r="R1279" i="32"/>
  <c r="Q1292" i="32"/>
  <c r="R1292" i="32"/>
  <c r="S1694" i="32"/>
  <c r="R1694" i="32"/>
  <c r="Q1694" i="32"/>
  <c r="Q1302" i="32"/>
  <c r="Q1324" i="32"/>
  <c r="R1331" i="32"/>
  <c r="S1344" i="32"/>
  <c r="R1353" i="32"/>
  <c r="Q1370" i="32"/>
  <c r="R1380" i="32"/>
  <c r="Q1388" i="32"/>
  <c r="R1401" i="32"/>
  <c r="R1409" i="32"/>
  <c r="R1413" i="32"/>
  <c r="Q1425" i="32"/>
  <c r="R1433" i="32"/>
  <c r="R1437" i="32"/>
  <c r="S1444" i="32"/>
  <c r="R1453" i="32"/>
  <c r="Q1460" i="32"/>
  <c r="R1467" i="32"/>
  <c r="Q1475" i="32"/>
  <c r="Q1500" i="32"/>
  <c r="R1508" i="32"/>
  <c r="R1516" i="32"/>
  <c r="R1525" i="32"/>
  <c r="Q1544" i="32"/>
  <c r="R1550" i="32"/>
  <c r="Q1558" i="32"/>
  <c r="Q1566" i="32"/>
  <c r="Q1572" i="32"/>
  <c r="S1580" i="32"/>
  <c r="S1587" i="32"/>
  <c r="R1594" i="32"/>
  <c r="Q1602" i="32"/>
  <c r="Q1613" i="32"/>
  <c r="S1614" i="32"/>
  <c r="Q1621" i="32"/>
  <c r="S1630" i="32"/>
  <c r="P1636" i="32"/>
  <c r="S1636" i="32" s="1"/>
  <c r="R1673" i="32"/>
  <c r="S1682" i="32"/>
  <c r="Q1695" i="32"/>
  <c r="S1703" i="32"/>
  <c r="R1710" i="32"/>
  <c r="S1722" i="32"/>
  <c r="Q1743" i="32"/>
  <c r="P1754" i="32"/>
  <c r="S1754" i="32" s="1"/>
  <c r="Q1765" i="32"/>
  <c r="Q1782" i="32"/>
  <c r="P1790" i="32"/>
  <c r="R1790" i="32" s="1"/>
  <c r="Q1815" i="32"/>
  <c r="R1823" i="32"/>
  <c r="R1839" i="32"/>
  <c r="P1863" i="32"/>
  <c r="S1863" i="32" s="1"/>
  <c r="S1888" i="32"/>
  <c r="P1935" i="32"/>
  <c r="Q1935" i="32" s="1"/>
  <c r="S2000" i="32"/>
  <c r="P2030" i="32"/>
  <c r="R2030" i="32" s="1"/>
  <c r="Q2033" i="32"/>
  <c r="P2047" i="32"/>
  <c r="R2047" i="32" s="1"/>
  <c r="S2088" i="32"/>
  <c r="R2159" i="32"/>
  <c r="P2193" i="32"/>
  <c r="Q2193" i="32" s="1"/>
  <c r="P2222" i="32"/>
  <c r="Q2222" i="32" s="1"/>
  <c r="Q2231" i="32"/>
  <c r="R2273" i="32"/>
  <c r="P2294" i="32"/>
  <c r="S2294" i="32" s="1"/>
  <c r="P2382" i="32"/>
  <c r="Q2382" i="32" s="1"/>
  <c r="R2431" i="32"/>
  <c r="R2483" i="32"/>
  <c r="Q2532" i="32"/>
  <c r="S1782" i="32"/>
  <c r="P1817" i="32"/>
  <c r="S1817" i="32" s="1"/>
  <c r="P1824" i="32"/>
  <c r="R1824" i="32" s="1"/>
  <c r="R1944" i="32"/>
  <c r="P2275" i="32"/>
  <c r="R2275" i="32" s="1"/>
  <c r="S1336" i="32"/>
  <c r="Q1347" i="32"/>
  <c r="Q1356" i="32"/>
  <c r="Q1394" i="32"/>
  <c r="Q1403" i="32"/>
  <c r="Q1418" i="32"/>
  <c r="Q1427" i="32"/>
  <c r="Q1441" i="32"/>
  <c r="Q1450" i="32"/>
  <c r="Q1472" i="32"/>
  <c r="R1477" i="32"/>
  <c r="R1493" i="32"/>
  <c r="Q1504" i="32"/>
  <c r="Q1529" i="32"/>
  <c r="Q1538" i="32"/>
  <c r="Q1552" i="32"/>
  <c r="Q1559" i="32"/>
  <c r="Q1583" i="32"/>
  <c r="S1612" i="32"/>
  <c r="Q1632" i="32"/>
  <c r="R1664" i="32"/>
  <c r="Q1699" i="32"/>
  <c r="R1712" i="32"/>
  <c r="Q1728" i="32"/>
  <c r="S1759" i="32"/>
  <c r="P1783" i="32"/>
  <c r="S1783" i="32" s="1"/>
  <c r="P1818" i="32"/>
  <c r="R1818" i="32" s="1"/>
  <c r="P1826" i="32"/>
  <c r="S1826" i="32" s="1"/>
  <c r="S1944" i="32"/>
  <c r="P1990" i="32"/>
  <c r="S1990" i="32" s="1"/>
  <c r="Q2020" i="32"/>
  <c r="Q2040" i="32"/>
  <c r="Q2063" i="32"/>
  <c r="S2299" i="32"/>
  <c r="P2326" i="32"/>
  <c r="R2326" i="32" s="1"/>
  <c r="S2334" i="32"/>
  <c r="P2344" i="32"/>
  <c r="Q2413" i="32"/>
  <c r="P2426" i="32"/>
  <c r="Q2426" i="32" s="1"/>
  <c r="Q2470" i="32"/>
  <c r="S2487" i="32"/>
  <c r="Q2524" i="32"/>
  <c r="R2531" i="32"/>
  <c r="Q1273" i="32"/>
  <c r="Q1289" i="32"/>
  <c r="R1298" i="32"/>
  <c r="Q1313" i="32"/>
  <c r="R1318" i="32"/>
  <c r="Q1328" i="32"/>
  <c r="R1347" i="32"/>
  <c r="Q1364" i="32"/>
  <c r="R1377" i="32"/>
  <c r="Q1385" i="32"/>
  <c r="Q1395" i="32"/>
  <c r="R1404" i="32"/>
  <c r="Q1411" i="32"/>
  <c r="Q1419" i="32"/>
  <c r="S1428" i="32"/>
  <c r="Q1435" i="32"/>
  <c r="Q1442" i="32"/>
  <c r="Q1451" i="32"/>
  <c r="Q1458" i="32"/>
  <c r="Q1465" i="32"/>
  <c r="Q1473" i="32"/>
  <c r="Q1496" i="32"/>
  <c r="Q1505" i="32"/>
  <c r="Q1513" i="32"/>
  <c r="Q1522" i="32"/>
  <c r="S1529" i="32"/>
  <c r="Q1539" i="32"/>
  <c r="R1546" i="32"/>
  <c r="R1559" i="32"/>
  <c r="R1583" i="32"/>
  <c r="S1666" i="32"/>
  <c r="Q1677" i="32"/>
  <c r="R1699" i="32"/>
  <c r="Q1805" i="32"/>
  <c r="P1947" i="32"/>
  <c r="R1947" i="32" s="1"/>
  <c r="P1991" i="32"/>
  <c r="S1991" i="32" s="1"/>
  <c r="R2020" i="32"/>
  <c r="R2040" i="32"/>
  <c r="R2063" i="32"/>
  <c r="R2098" i="32"/>
  <c r="R2147" i="32"/>
  <c r="P2161" i="32"/>
  <c r="S2161" i="32" s="1"/>
  <c r="R2187" i="32"/>
  <c r="P2212" i="32"/>
  <c r="S2212" i="32" s="1"/>
  <c r="Q2220" i="32"/>
  <c r="P2256" i="32"/>
  <c r="Q2256" i="32" s="1"/>
  <c r="R2263" i="32"/>
  <c r="Q2398" i="32"/>
  <c r="R2413" i="32"/>
  <c r="P2427" i="32"/>
  <c r="R2427" i="32" s="1"/>
  <c r="R2470" i="32"/>
  <c r="R2524" i="32"/>
  <c r="Q1238" i="32"/>
  <c r="R1252" i="32"/>
  <c r="S1273" i="32"/>
  <c r="R1313" i="32"/>
  <c r="R1395" i="32"/>
  <c r="S1404" i="32"/>
  <c r="R1419" i="32"/>
  <c r="R1458" i="32"/>
  <c r="S1569" i="32"/>
  <c r="Q1591" i="32"/>
  <c r="Q1598" i="32"/>
  <c r="Q1626" i="32"/>
  <c r="Q1634" i="32"/>
  <c r="S1701" i="32"/>
  <c r="P2021" i="32"/>
  <c r="S2021" i="32" s="1"/>
  <c r="S2040" i="32"/>
  <c r="P2065" i="32"/>
  <c r="S2065" i="32" s="1"/>
  <c r="S2098" i="32"/>
  <c r="S2147" i="32"/>
  <c r="Q2322" i="32"/>
  <c r="P2369" i="32"/>
  <c r="Q2369" i="32" s="1"/>
  <c r="S2413" i="32"/>
  <c r="P2430" i="32"/>
  <c r="R2430" i="32" s="1"/>
  <c r="Q2443" i="32"/>
  <c r="Q2530" i="32"/>
  <c r="P2101" i="32"/>
  <c r="Q2101" i="32" s="1"/>
  <c r="P2148" i="32"/>
  <c r="S2148" i="32" s="1"/>
  <c r="Q2191" i="32"/>
  <c r="P2287" i="32"/>
  <c r="R2287" i="32" s="1"/>
  <c r="S2305" i="32"/>
  <c r="Q1331" i="32"/>
  <c r="Q1344" i="32"/>
  <c r="R1397" i="32"/>
  <c r="R1421" i="32"/>
  <c r="R1444" i="32"/>
  <c r="Q1467" i="32"/>
  <c r="Q1474" i="32"/>
  <c r="Q1506" i="32"/>
  <c r="R1541" i="32"/>
  <c r="Q1550" i="32"/>
  <c r="Q1556" i="32"/>
  <c r="S1565" i="32"/>
  <c r="Q1580" i="32"/>
  <c r="Q1587" i="32"/>
  <c r="Q1594" i="32"/>
  <c r="Q1600" i="32"/>
  <c r="Q1614" i="32"/>
  <c r="S1745" i="32"/>
  <c r="Q1763" i="32"/>
  <c r="Q1888" i="32"/>
  <c r="Q1932" i="32"/>
  <c r="S2191" i="32"/>
  <c r="Q2221" i="32"/>
  <c r="Q2273" i="32"/>
  <c r="Q2293" i="32"/>
  <c r="Q2431" i="32"/>
  <c r="R2472" i="32"/>
  <c r="Q2483" i="32"/>
  <c r="Q2508" i="32"/>
  <c r="R2516" i="32"/>
  <c r="S2539" i="32"/>
  <c r="Q41" i="32"/>
  <c r="S41" i="32"/>
  <c r="S61" i="32"/>
  <c r="R61" i="32"/>
  <c r="Q61" i="32"/>
  <c r="S92" i="32"/>
  <c r="R92" i="32"/>
  <c r="S145" i="32"/>
  <c r="P146" i="32"/>
  <c r="R146" i="32" s="1"/>
  <c r="R145" i="32"/>
  <c r="P192" i="32"/>
  <c r="R192" i="32" s="1"/>
  <c r="P191" i="32"/>
  <c r="S191" i="32" s="1"/>
  <c r="S190" i="32"/>
  <c r="R190" i="32"/>
  <c r="P293" i="32"/>
  <c r="P292" i="32"/>
  <c r="R292" i="32" s="1"/>
  <c r="S291" i="32"/>
  <c r="R291" i="32"/>
  <c r="Q291" i="32"/>
  <c r="P453" i="32"/>
  <c r="Q453" i="32" s="1"/>
  <c r="P454" i="32"/>
  <c r="R454" i="32" s="1"/>
  <c r="P451" i="32"/>
  <c r="P452" i="32"/>
  <c r="R450" i="32"/>
  <c r="Q450" i="32"/>
  <c r="S566" i="32"/>
  <c r="R566" i="32"/>
  <c r="P563" i="32"/>
  <c r="S563" i="32" s="1"/>
  <c r="Q566" i="32"/>
  <c r="S113" i="32"/>
  <c r="R113" i="32"/>
  <c r="Q37" i="32"/>
  <c r="S37" i="32"/>
  <c r="Q49" i="32"/>
  <c r="S52" i="32"/>
  <c r="Q65" i="32"/>
  <c r="S80" i="32"/>
  <c r="R82" i="32"/>
  <c r="R83" i="32"/>
  <c r="S83" i="32"/>
  <c r="R105" i="32"/>
  <c r="R122" i="32"/>
  <c r="Q124" i="32"/>
  <c r="S124" i="32"/>
  <c r="S138" i="32"/>
  <c r="R138" i="32"/>
  <c r="Q204" i="32"/>
  <c r="Q217" i="32"/>
  <c r="S219" i="32"/>
  <c r="R219" i="32"/>
  <c r="Q219" i="32"/>
  <c r="S240" i="32"/>
  <c r="R241" i="32"/>
  <c r="S241" i="32"/>
  <c r="S507" i="32"/>
  <c r="Q507" i="32"/>
  <c r="P539" i="32"/>
  <c r="S539" i="32" s="1"/>
  <c r="Q538" i="32"/>
  <c r="R1295" i="32"/>
  <c r="Q1295" i="32"/>
  <c r="S1295" i="32"/>
  <c r="Q35" i="32"/>
  <c r="S35" i="32"/>
  <c r="S49" i="32"/>
  <c r="S57" i="32"/>
  <c r="R57" i="32"/>
  <c r="Q57" i="32"/>
  <c r="S65" i="32"/>
  <c r="Q107" i="32"/>
  <c r="S107" i="32"/>
  <c r="R251" i="32"/>
  <c r="Q251" i="32"/>
  <c r="S561" i="32"/>
  <c r="R561" i="32"/>
  <c r="Q561" i="32"/>
  <c r="R583" i="32"/>
  <c r="S583" i="32"/>
  <c r="Q583" i="32"/>
  <c r="Q1236" i="32"/>
  <c r="R1236" i="32"/>
  <c r="S1236" i="32"/>
  <c r="Q39" i="32"/>
  <c r="S39" i="32"/>
  <c r="S51" i="32"/>
  <c r="R51" i="32"/>
  <c r="S62" i="32"/>
  <c r="R62" i="32"/>
  <c r="S67" i="32"/>
  <c r="R67" i="32"/>
  <c r="Q67" i="32"/>
  <c r="R104" i="32"/>
  <c r="S104" i="32"/>
  <c r="S118" i="32"/>
  <c r="R118" i="32"/>
  <c r="Q118" i="32"/>
  <c r="P166" i="32"/>
  <c r="S166" i="32" s="1"/>
  <c r="P165" i="32"/>
  <c r="S165" i="32" s="1"/>
  <c r="S164" i="32"/>
  <c r="R164" i="32"/>
  <c r="Q164" i="32"/>
  <c r="S223" i="32"/>
  <c r="R223" i="32"/>
  <c r="P374" i="32"/>
  <c r="Q374" i="32" s="1"/>
  <c r="P375" i="32"/>
  <c r="P373" i="32"/>
  <c r="S373" i="32" s="1"/>
  <c r="S372" i="32"/>
  <c r="R372" i="32"/>
  <c r="Q372" i="32"/>
  <c r="P382" i="32"/>
  <c r="S382" i="32" s="1"/>
  <c r="P381" i="32"/>
  <c r="S381" i="32" s="1"/>
  <c r="P383" i="32"/>
  <c r="P379" i="32"/>
  <c r="R378" i="32"/>
  <c r="Q378" i="32"/>
  <c r="S648" i="32"/>
  <c r="Q648" i="32"/>
  <c r="S850" i="32"/>
  <c r="R850" i="32"/>
  <c r="Q850" i="32"/>
  <c r="S40" i="32"/>
  <c r="R46" i="32"/>
  <c r="Q51" i="32"/>
  <c r="Q62" i="32"/>
  <c r="R74" i="32"/>
  <c r="Q104" i="32"/>
  <c r="S180" i="32"/>
  <c r="P181" i="32"/>
  <c r="Q181" i="32" s="1"/>
  <c r="R180" i="32"/>
  <c r="Q180" i="32"/>
  <c r="Q223" i="32"/>
  <c r="P385" i="32"/>
  <c r="P386" i="32"/>
  <c r="Q386" i="32" s="1"/>
  <c r="S384" i="32"/>
  <c r="R384" i="32"/>
  <c r="S72" i="32"/>
  <c r="R72" i="32"/>
  <c r="Q72" i="32"/>
  <c r="R520" i="32"/>
  <c r="S520" i="32"/>
  <c r="S45" i="32"/>
  <c r="R45" i="32"/>
  <c r="S76" i="32"/>
  <c r="R76" i="32"/>
  <c r="Q76" i="32"/>
  <c r="R98" i="32"/>
  <c r="S98" i="32"/>
  <c r="S246" i="32"/>
  <c r="R246" i="32"/>
  <c r="Q246" i="32"/>
  <c r="P322" i="32"/>
  <c r="P323" i="32"/>
  <c r="P321" i="32"/>
  <c r="S321" i="32" s="1"/>
  <c r="P319" i="32"/>
  <c r="R319" i="32" s="1"/>
  <c r="R318" i="32"/>
  <c r="Q318" i="32"/>
  <c r="S529" i="32"/>
  <c r="R529" i="32"/>
  <c r="Q529" i="32"/>
  <c r="S554" i="32"/>
  <c r="R554" i="32"/>
  <c r="Q554" i="32"/>
  <c r="S637" i="32"/>
  <c r="R637" i="32"/>
  <c r="Q637" i="32"/>
  <c r="S1766" i="32"/>
  <c r="R1766" i="32"/>
  <c r="S116" i="32"/>
  <c r="R116" i="32"/>
  <c r="Q116" i="32"/>
  <c r="S134" i="32"/>
  <c r="R134" i="32"/>
  <c r="Q134" i="32"/>
  <c r="R169" i="32"/>
  <c r="Q169" i="32"/>
  <c r="S207" i="32"/>
  <c r="R207" i="32"/>
  <c r="P393" i="32"/>
  <c r="R393" i="32" s="1"/>
  <c r="P394" i="32"/>
  <c r="R394" i="32" s="1"/>
  <c r="P391" i="32"/>
  <c r="P392" i="32"/>
  <c r="R390" i="32"/>
  <c r="Q390" i="32"/>
  <c r="Q611" i="32"/>
  <c r="S611" i="32"/>
  <c r="R611" i="32"/>
  <c r="P333" i="32"/>
  <c r="S333" i="32" s="1"/>
  <c r="P335" i="32"/>
  <c r="P363" i="32"/>
  <c r="P399" i="32"/>
  <c r="S399" i="32" s="1"/>
  <c r="P415" i="32"/>
  <c r="Q415" i="32" s="1"/>
  <c r="Q504" i="32"/>
  <c r="S504" i="32"/>
  <c r="R504" i="32"/>
  <c r="Q620" i="32"/>
  <c r="S620" i="32"/>
  <c r="S791" i="32"/>
  <c r="R791" i="32"/>
  <c r="Q791" i="32"/>
  <c r="S805" i="32"/>
  <c r="R805" i="32"/>
  <c r="S929" i="32"/>
  <c r="R929" i="32"/>
  <c r="Q929" i="32"/>
  <c r="R944" i="32"/>
  <c r="S944" i="32"/>
  <c r="S1491" i="32"/>
  <c r="R1491" i="32"/>
  <c r="Q1491" i="32"/>
  <c r="Q304" i="32"/>
  <c r="P467" i="32"/>
  <c r="P463" i="32"/>
  <c r="S463" i="32" s="1"/>
  <c r="S480" i="32"/>
  <c r="P483" i="32"/>
  <c r="P482" i="32"/>
  <c r="R482" i="32" s="1"/>
  <c r="R480" i="32"/>
  <c r="S521" i="32"/>
  <c r="R521" i="32"/>
  <c r="Q521" i="32"/>
  <c r="R649" i="32"/>
  <c r="S649" i="32"/>
  <c r="Q649" i="32"/>
  <c r="S818" i="32"/>
  <c r="R818" i="32"/>
  <c r="S829" i="32"/>
  <c r="Q829" i="32"/>
  <c r="Q832" i="32"/>
  <c r="S832" i="32"/>
  <c r="R832" i="32"/>
  <c r="R1002" i="32"/>
  <c r="Q1002" i="32"/>
  <c r="S1125" i="32"/>
  <c r="R1125" i="32"/>
  <c r="Q1125" i="32"/>
  <c r="S1237" i="32"/>
  <c r="R1237" i="32"/>
  <c r="Q1237" i="32"/>
  <c r="S1250" i="32"/>
  <c r="R1250" i="32"/>
  <c r="S1258" i="32"/>
  <c r="R1258" i="32"/>
  <c r="S1297" i="32"/>
  <c r="R1297" i="32"/>
  <c r="Q1297" i="32"/>
  <c r="S288" i="32"/>
  <c r="S304" i="32"/>
  <c r="Q306" i="32"/>
  <c r="Q312" i="32"/>
  <c r="S358" i="32"/>
  <c r="R358" i="32"/>
  <c r="Q360" i="32"/>
  <c r="Q366" i="32"/>
  <c r="Q396" i="32"/>
  <c r="R444" i="32"/>
  <c r="Q462" i="32"/>
  <c r="Q480" i="32"/>
  <c r="R543" i="32"/>
  <c r="S543" i="32"/>
  <c r="Q543" i="32"/>
  <c r="S569" i="32"/>
  <c r="R569" i="32"/>
  <c r="Q569" i="32"/>
  <c r="Q577" i="32"/>
  <c r="Q602" i="32"/>
  <c r="S602" i="32"/>
  <c r="R602" i="32"/>
  <c r="S612" i="32"/>
  <c r="R612" i="32"/>
  <c r="Q633" i="32"/>
  <c r="Q645" i="32"/>
  <c r="S645" i="32"/>
  <c r="R800" i="32"/>
  <c r="S800" i="32"/>
  <c r="Q818" i="32"/>
  <c r="R829" i="32"/>
  <c r="S862" i="32"/>
  <c r="Q862" i="32"/>
  <c r="S870" i="32"/>
  <c r="R870" i="32"/>
  <c r="S878" i="32"/>
  <c r="Q878" i="32"/>
  <c r="R897" i="32"/>
  <c r="Q897" i="32"/>
  <c r="S900" i="32"/>
  <c r="Q900" i="32"/>
  <c r="R905" i="32"/>
  <c r="S905" i="32"/>
  <c r="S1002" i="32"/>
  <c r="S1004" i="32"/>
  <c r="Q1004" i="32"/>
  <c r="R1004" i="32"/>
  <c r="R1086" i="32"/>
  <c r="S1086" i="32"/>
  <c r="P155" i="32"/>
  <c r="S155" i="32" s="1"/>
  <c r="Q242" i="32"/>
  <c r="Q252" i="32"/>
  <c r="P262" i="32"/>
  <c r="S262" i="32" s="1"/>
  <c r="R312" i="32"/>
  <c r="Q330" i="32"/>
  <c r="P337" i="32"/>
  <c r="S337" i="32" s="1"/>
  <c r="Q354" i="32"/>
  <c r="R360" i="32"/>
  <c r="R366" i="32"/>
  <c r="R396" i="32"/>
  <c r="Q414" i="32"/>
  <c r="M437" i="32"/>
  <c r="N437" i="32" s="1"/>
  <c r="S444" i="32"/>
  <c r="P446" i="32"/>
  <c r="R446" i="32" s="1"/>
  <c r="P479" i="32"/>
  <c r="Q474" i="32"/>
  <c r="Q492" i="32"/>
  <c r="S492" i="32"/>
  <c r="R492" i="32"/>
  <c r="Q556" i="32"/>
  <c r="S556" i="32"/>
  <c r="R556" i="32"/>
  <c r="Q565" i="32"/>
  <c r="R577" i="32"/>
  <c r="Q593" i="32"/>
  <c r="S597" i="32"/>
  <c r="R597" i="32"/>
  <c r="Q612" i="32"/>
  <c r="Q627" i="32"/>
  <c r="R633" i="32"/>
  <c r="R645" i="32"/>
  <c r="Q660" i="32"/>
  <c r="R661" i="32"/>
  <c r="S661" i="32"/>
  <c r="Q661" i="32"/>
  <c r="S682" i="32"/>
  <c r="R682" i="32"/>
  <c r="Q682" i="32"/>
  <c r="Q847" i="32"/>
  <c r="R847" i="32"/>
  <c r="S847" i="32"/>
  <c r="R862" i="32"/>
  <c r="Q863" i="32"/>
  <c r="R863" i="32"/>
  <c r="Q870" i="32"/>
  <c r="Q889" i="32"/>
  <c r="S897" i="32"/>
  <c r="R900" i="32"/>
  <c r="Q905" i="32"/>
  <c r="S1055" i="32"/>
  <c r="R1055" i="32"/>
  <c r="S1098" i="32"/>
  <c r="R1098" i="32"/>
  <c r="Q1098" i="32"/>
  <c r="Q1196" i="32"/>
  <c r="S1196" i="32"/>
  <c r="S1221" i="32"/>
  <c r="Q1221" i="32"/>
  <c r="R1221" i="32"/>
  <c r="Q128" i="32"/>
  <c r="P170" i="32"/>
  <c r="R170" i="32" s="1"/>
  <c r="Q203" i="32"/>
  <c r="R206" i="32"/>
  <c r="R222" i="32"/>
  <c r="R242" i="32"/>
  <c r="R253" i="32"/>
  <c r="P264" i="32"/>
  <c r="R264" i="32" s="1"/>
  <c r="P265" i="32"/>
  <c r="P275" i="32"/>
  <c r="Q279" i="32"/>
  <c r="Q297" i="32"/>
  <c r="S312" i="32"/>
  <c r="R330" i="32"/>
  <c r="Q338" i="32"/>
  <c r="R354" i="32"/>
  <c r="S360" i="32"/>
  <c r="S366" i="32"/>
  <c r="P397" i="32"/>
  <c r="Q426" i="32"/>
  <c r="P439" i="32"/>
  <c r="S439" i="32" s="1"/>
  <c r="P495" i="32"/>
  <c r="R495" i="32" s="1"/>
  <c r="R524" i="32"/>
  <c r="R532" i="32"/>
  <c r="Q550" i="32"/>
  <c r="R551" i="32"/>
  <c r="S551" i="32"/>
  <c r="R565" i="32"/>
  <c r="Q597" i="32"/>
  <c r="S627" i="32"/>
  <c r="P655" i="32"/>
  <c r="R655" i="32" s="1"/>
  <c r="P657" i="32"/>
  <c r="S657" i="32" s="1"/>
  <c r="S654" i="32"/>
  <c r="S709" i="32"/>
  <c r="P752" i="32"/>
  <c r="P757" i="32"/>
  <c r="R757" i="32" s="1"/>
  <c r="P755" i="32"/>
  <c r="S755" i="32" s="1"/>
  <c r="P754" i="32"/>
  <c r="S753" i="32"/>
  <c r="P758" i="32"/>
  <c r="R753" i="32"/>
  <c r="S796" i="32"/>
  <c r="Q796" i="32"/>
  <c r="S813" i="32"/>
  <c r="R813" i="32"/>
  <c r="S826" i="32"/>
  <c r="R826" i="32"/>
  <c r="Q826" i="32"/>
  <c r="S842" i="32"/>
  <c r="R842" i="32"/>
  <c r="S1039" i="32"/>
  <c r="R1039" i="32"/>
  <c r="R1046" i="32"/>
  <c r="S1046" i="32"/>
  <c r="R203" i="32"/>
  <c r="S206" i="32"/>
  <c r="S222" i="32"/>
  <c r="S253" i="32"/>
  <c r="Q266" i="32"/>
  <c r="R279" i="32"/>
  <c r="R297" i="32"/>
  <c r="P313" i="32"/>
  <c r="R313" i="32" s="1"/>
  <c r="S330" i="32"/>
  <c r="P339" i="32"/>
  <c r="P345" i="32"/>
  <c r="S345" i="32" s="1"/>
  <c r="Q348" i="32"/>
  <c r="S354" i="32"/>
  <c r="P361" i="32"/>
  <c r="S361" i="32" s="1"/>
  <c r="P367" i="32"/>
  <c r="R426" i="32"/>
  <c r="M485" i="32"/>
  <c r="N485" i="32" s="1"/>
  <c r="S524" i="32"/>
  <c r="S525" i="32"/>
  <c r="R525" i="32"/>
  <c r="Q525" i="32"/>
  <c r="S532" i="32"/>
  <c r="P535" i="32"/>
  <c r="R535" i="32" s="1"/>
  <c r="P536" i="32"/>
  <c r="P534" i="32"/>
  <c r="S534" i="32" s="1"/>
  <c r="S533" i="32"/>
  <c r="R533" i="32"/>
  <c r="Q551" i="32"/>
  <c r="Q576" i="32"/>
  <c r="S576" i="32"/>
  <c r="R576" i="32"/>
  <c r="R584" i="32"/>
  <c r="Q621" i="32"/>
  <c r="R643" i="32"/>
  <c r="S643" i="32"/>
  <c r="Q643" i="32"/>
  <c r="Q654" i="32"/>
  <c r="S669" i="32"/>
  <c r="Q669" i="32"/>
  <c r="Q753" i="32"/>
  <c r="Q813" i="32"/>
  <c r="S824" i="32"/>
  <c r="R824" i="32"/>
  <c r="Q842" i="32"/>
  <c r="P856" i="32"/>
  <c r="P855" i="32"/>
  <c r="R855" i="32" s="1"/>
  <c r="R854" i="32"/>
  <c r="S972" i="32"/>
  <c r="Q972" i="32"/>
  <c r="R972" i="32"/>
  <c r="R1030" i="32"/>
  <c r="S1030" i="32"/>
  <c r="Q1039" i="32"/>
  <c r="P91" i="32"/>
  <c r="Q91" i="32" s="1"/>
  <c r="S106" i="32"/>
  <c r="S112" i="32"/>
  <c r="S115" i="32"/>
  <c r="Q212" i="32"/>
  <c r="S218" i="32"/>
  <c r="P268" i="32"/>
  <c r="R268" i="32" s="1"/>
  <c r="P270" i="32"/>
  <c r="S297" i="32"/>
  <c r="P315" i="32"/>
  <c r="P331" i="32"/>
  <c r="R331" i="32" s="1"/>
  <c r="M341" i="32"/>
  <c r="N341" i="32" s="1"/>
  <c r="R348" i="32"/>
  <c r="P355" i="32"/>
  <c r="R362" i="32"/>
  <c r="P401" i="32"/>
  <c r="S584" i="32"/>
  <c r="S608" i="32"/>
  <c r="P610" i="32"/>
  <c r="R610" i="32" s="1"/>
  <c r="P609" i="32"/>
  <c r="S609" i="32" s="1"/>
  <c r="R608" i="32"/>
  <c r="S626" i="32"/>
  <c r="R626" i="32"/>
  <c r="Q626" i="32"/>
  <c r="R654" i="32"/>
  <c r="S692" i="32"/>
  <c r="R692" i="32"/>
  <c r="Q692" i="32"/>
  <c r="P756" i="32"/>
  <c r="R1018" i="32"/>
  <c r="S1018" i="32"/>
  <c r="S1143" i="32"/>
  <c r="Q1143" i="32"/>
  <c r="S1158" i="32"/>
  <c r="Q1158" i="32"/>
  <c r="R1175" i="32"/>
  <c r="Q1175" i="32"/>
  <c r="S1175" i="32"/>
  <c r="S2094" i="32"/>
  <c r="Q2094" i="32"/>
  <c r="P2340" i="32"/>
  <c r="Q2340" i="32" s="1"/>
  <c r="S2339" i="32"/>
  <c r="P2356" i="32"/>
  <c r="R2356" i="32" s="1"/>
  <c r="P2358" i="32"/>
  <c r="Q2358" i="32" s="1"/>
  <c r="P2357" i="32"/>
  <c r="S2357" i="32" s="1"/>
  <c r="S2355" i="32"/>
  <c r="R2355" i="32"/>
  <c r="Q2355" i="32"/>
  <c r="P2453" i="32"/>
  <c r="Q2453" i="32" s="1"/>
  <c r="P2452" i="32"/>
  <c r="Q2452" i="32" s="1"/>
  <c r="S2449" i="32"/>
  <c r="R2449" i="32"/>
  <c r="S2527" i="32"/>
  <c r="R2527" i="32"/>
  <c r="Q2527" i="32"/>
  <c r="P461" i="32"/>
  <c r="P489" i="32"/>
  <c r="P512" i="32"/>
  <c r="P667" i="32"/>
  <c r="S667" i="32" s="1"/>
  <c r="S705" i="32"/>
  <c r="P710" i="32"/>
  <c r="S771" i="32"/>
  <c r="S908" i="32"/>
  <c r="Q908" i="32"/>
  <c r="S921" i="32"/>
  <c r="Q921" i="32"/>
  <c r="S932" i="32"/>
  <c r="Q932" i="32"/>
  <c r="R954" i="32"/>
  <c r="Q954" i="32"/>
  <c r="S1080" i="32"/>
  <c r="Q1080" i="32"/>
  <c r="R1111" i="32"/>
  <c r="S1111" i="32"/>
  <c r="S1177" i="32"/>
  <c r="R1177" i="32"/>
  <c r="Q1177" i="32"/>
  <c r="Q1188" i="32"/>
  <c r="S1188" i="32"/>
  <c r="R1188" i="32"/>
  <c r="R1337" i="32"/>
  <c r="Q1337" i="32"/>
  <c r="S1337" i="32"/>
  <c r="S1716" i="32"/>
  <c r="Q1716" i="32"/>
  <c r="S1729" i="32"/>
  <c r="Q1729" i="32"/>
  <c r="P668" i="32"/>
  <c r="S668" i="32" s="1"/>
  <c r="P706" i="32"/>
  <c r="N716" i="32"/>
  <c r="P719" i="32"/>
  <c r="S719" i="32" s="1"/>
  <c r="N770" i="32"/>
  <c r="S841" i="32"/>
  <c r="Q841" i="32"/>
  <c r="S865" i="32"/>
  <c r="R865" i="32"/>
  <c r="Q882" i="32"/>
  <c r="S882" i="32"/>
  <c r="S896" i="32"/>
  <c r="Q896" i="32"/>
  <c r="R922" i="32"/>
  <c r="Q922" i="32"/>
  <c r="S956" i="32"/>
  <c r="Q956" i="32"/>
  <c r="Q1090" i="32"/>
  <c r="S1090" i="32"/>
  <c r="S1127" i="32"/>
  <c r="R1127" i="32"/>
  <c r="Q1127" i="32"/>
  <c r="S1137" i="32"/>
  <c r="Q1137" i="32"/>
  <c r="S1153" i="32"/>
  <c r="Q1153" i="32"/>
  <c r="S1169" i="32"/>
  <c r="Q1169" i="32"/>
  <c r="S1230" i="32"/>
  <c r="Q1230" i="32"/>
  <c r="R1329" i="32"/>
  <c r="Q1329" i="32"/>
  <c r="S1329" i="32"/>
  <c r="S1678" i="32"/>
  <c r="Q1678" i="32"/>
  <c r="P720" i="32"/>
  <c r="P773" i="32"/>
  <c r="R773" i="32" s="1"/>
  <c r="S837" i="32"/>
  <c r="R837" i="32"/>
  <c r="R846" i="32"/>
  <c r="Q846" i="32"/>
  <c r="R875" i="32"/>
  <c r="Q875" i="32"/>
  <c r="S912" i="32"/>
  <c r="R912" i="32"/>
  <c r="S916" i="32"/>
  <c r="Q916" i="32"/>
  <c r="R924" i="32"/>
  <c r="Q924" i="32"/>
  <c r="S997" i="32"/>
  <c r="Q997" i="32"/>
  <c r="S1013" i="32"/>
  <c r="Q1013" i="32"/>
  <c r="R1021" i="32"/>
  <c r="Q1021" i="32"/>
  <c r="R1103" i="32"/>
  <c r="S1103" i="32"/>
  <c r="Q1103" i="32"/>
  <c r="S1113" i="32"/>
  <c r="R1113" i="32"/>
  <c r="Q1113" i="32"/>
  <c r="Q1164" i="32"/>
  <c r="S1164" i="32"/>
  <c r="S1191" i="32"/>
  <c r="Q1191" i="32"/>
  <c r="S1207" i="32"/>
  <c r="R1207" i="32"/>
  <c r="Q1207" i="32"/>
  <c r="S486" i="32"/>
  <c r="P499" i="32"/>
  <c r="R499" i="32" s="1"/>
  <c r="R511" i="32"/>
  <c r="Q514" i="32"/>
  <c r="Q526" i="32"/>
  <c r="S568" i="32"/>
  <c r="S575" i="32"/>
  <c r="Q586" i="32"/>
  <c r="Q635" i="32"/>
  <c r="R641" i="32"/>
  <c r="Q647" i="32"/>
  <c r="S658" i="32"/>
  <c r="P675" i="32"/>
  <c r="S675" i="32" s="1"/>
  <c r="Q683" i="32"/>
  <c r="Q693" i="32"/>
  <c r="Q696" i="32"/>
  <c r="Q702" i="32"/>
  <c r="Q717" i="32"/>
  <c r="P732" i="32"/>
  <c r="P744" i="32"/>
  <c r="P780" i="32"/>
  <c r="R783" i="32"/>
  <c r="R806" i="32"/>
  <c r="R814" i="32"/>
  <c r="S819" i="32"/>
  <c r="Q822" i="32"/>
  <c r="S831" i="32"/>
  <c r="Q837" i="32"/>
  <c r="S846" i="32"/>
  <c r="S849" i="32"/>
  <c r="S868" i="32"/>
  <c r="Q868" i="32"/>
  <c r="Q890" i="32"/>
  <c r="R890" i="32"/>
  <c r="Q898" i="32"/>
  <c r="S898" i="32"/>
  <c r="Q912" i="32"/>
  <c r="R916" i="32"/>
  <c r="S924" i="32"/>
  <c r="S925" i="32"/>
  <c r="R925" i="32"/>
  <c r="Q948" i="32"/>
  <c r="S965" i="32"/>
  <c r="Q965" i="32"/>
  <c r="S989" i="32"/>
  <c r="Q989" i="32"/>
  <c r="R997" i="32"/>
  <c r="R1008" i="32"/>
  <c r="S1008" i="32"/>
  <c r="R1013" i="32"/>
  <c r="S1021" i="32"/>
  <c r="Q1034" i="32"/>
  <c r="Q1050" i="32"/>
  <c r="S1120" i="32"/>
  <c r="R1120" i="32"/>
  <c r="R1164" i="32"/>
  <c r="S1181" i="32"/>
  <c r="Q1181" i="32"/>
  <c r="R1191" i="32"/>
  <c r="Q1215" i="32"/>
  <c r="Q1225" i="32"/>
  <c r="N704" i="32"/>
  <c r="P707" i="32"/>
  <c r="R707" i="32" s="1"/>
  <c r="P772" i="32"/>
  <c r="S834" i="32"/>
  <c r="Q834" i="32"/>
  <c r="S848" i="32"/>
  <c r="Q848" i="32"/>
  <c r="S949" i="32"/>
  <c r="Q949" i="32"/>
  <c r="S977" i="32"/>
  <c r="R977" i="32"/>
  <c r="R984" i="32"/>
  <c r="S984" i="32"/>
  <c r="R992" i="32"/>
  <c r="S992" i="32"/>
  <c r="R1016" i="32"/>
  <c r="S1016" i="32"/>
  <c r="S1035" i="32"/>
  <c r="R1035" i="32"/>
  <c r="Q1035" i="32"/>
  <c r="S1051" i="32"/>
  <c r="R1051" i="32"/>
  <c r="Q1051" i="32"/>
  <c r="R1107" i="32"/>
  <c r="Q1107" i="32"/>
  <c r="Q1116" i="32"/>
  <c r="S1116" i="32"/>
  <c r="S1132" i="32"/>
  <c r="Q1132" i="32"/>
  <c r="S1217" i="32"/>
  <c r="R1217" i="32"/>
  <c r="Q1217" i="32"/>
  <c r="S1226" i="32"/>
  <c r="R1226" i="32"/>
  <c r="Q1268" i="32"/>
  <c r="S1268" i="32"/>
  <c r="R1268" i="32"/>
  <c r="R1303" i="32"/>
  <c r="Q1303" i="32"/>
  <c r="S1507" i="32"/>
  <c r="R1507" i="32"/>
  <c r="Q1507" i="32"/>
  <c r="Q709" i="32"/>
  <c r="P708" i="32"/>
  <c r="R708" i="32" s="1"/>
  <c r="P776" i="32"/>
  <c r="R834" i="32"/>
  <c r="Q845" i="32"/>
  <c r="R848" i="32"/>
  <c r="S851" i="32"/>
  <c r="Q851" i="32"/>
  <c r="S884" i="32"/>
  <c r="Q884" i="32"/>
  <c r="Q928" i="32"/>
  <c r="R928" i="32"/>
  <c r="S937" i="32"/>
  <c r="R937" i="32"/>
  <c r="R949" i="32"/>
  <c r="R960" i="32"/>
  <c r="S960" i="32"/>
  <c r="S969" i="32"/>
  <c r="R969" i="32"/>
  <c r="Q969" i="32"/>
  <c r="Q977" i="32"/>
  <c r="Q1061" i="32"/>
  <c r="S1061" i="32"/>
  <c r="S1069" i="32"/>
  <c r="R1070" i="32"/>
  <c r="S1070" i="32"/>
  <c r="S1107" i="32"/>
  <c r="Q1108" i="32"/>
  <c r="R1108" i="32"/>
  <c r="R1116" i="32"/>
  <c r="R1132" i="32"/>
  <c r="S1201" i="32"/>
  <c r="Q1201" i="32"/>
  <c r="S1210" i="32"/>
  <c r="R1210" i="32"/>
  <c r="S1303" i="32"/>
  <c r="R1305" i="32"/>
  <c r="Q1305" i="32"/>
  <c r="S1305" i="32"/>
  <c r="S1371" i="32"/>
  <c r="R1371" i="32"/>
  <c r="Q1371" i="32"/>
  <c r="S1445" i="32"/>
  <c r="R1445" i="32"/>
  <c r="Q1468" i="32"/>
  <c r="S1468" i="32"/>
  <c r="R1468" i="32"/>
  <c r="S1483" i="32"/>
  <c r="R1483" i="32"/>
  <c r="Q1483" i="32"/>
  <c r="S1533" i="32"/>
  <c r="R1533" i="32"/>
  <c r="S1581" i="32"/>
  <c r="Q1581" i="32"/>
  <c r="R1588" i="32"/>
  <c r="S1588" i="32"/>
  <c r="Q1588" i="32"/>
  <c r="Q1276" i="32"/>
  <c r="S1276" i="32"/>
  <c r="R1276" i="32"/>
  <c r="R1338" i="32"/>
  <c r="Q1338" i="32"/>
  <c r="S1355" i="32"/>
  <c r="R1355" i="32"/>
  <c r="Q1355" i="32"/>
  <c r="S1426" i="32"/>
  <c r="R1426" i="32"/>
  <c r="Q1426" i="32"/>
  <c r="S1449" i="32"/>
  <c r="R1449" i="32"/>
  <c r="Q1449" i="32"/>
  <c r="S1517" i="32"/>
  <c r="R1517" i="32"/>
  <c r="S1618" i="32"/>
  <c r="R1618" i="32"/>
  <c r="Q1618" i="32"/>
  <c r="R1711" i="32"/>
  <c r="Q1711" i="32"/>
  <c r="R1261" i="32"/>
  <c r="Q1261" i="32"/>
  <c r="S1308" i="32"/>
  <c r="R1308" i="32"/>
  <c r="R1322" i="32"/>
  <c r="Q1322" i="32"/>
  <c r="S1339" i="32"/>
  <c r="Q1339" i="32"/>
  <c r="R1464" i="32"/>
  <c r="S1464" i="32"/>
  <c r="Q1464" i="32"/>
  <c r="S1485" i="32"/>
  <c r="R1485" i="32"/>
  <c r="S1537" i="32"/>
  <c r="R1537" i="32"/>
  <c r="Q1537" i="32"/>
  <c r="R1671" i="32"/>
  <c r="Q1671" i="32"/>
  <c r="S1696" i="32"/>
  <c r="R1696" i="32"/>
  <c r="S1731" i="32"/>
  <c r="R1731" i="32"/>
  <c r="Q1731" i="32"/>
  <c r="R904" i="32"/>
  <c r="S911" i="32"/>
  <c r="S1040" i="32"/>
  <c r="S1092" i="32"/>
  <c r="S1261" i="32"/>
  <c r="R1269" i="32"/>
  <c r="R1282" i="32"/>
  <c r="Q1284" i="32"/>
  <c r="S1284" i="32"/>
  <c r="R1284" i="32"/>
  <c r="Q1308" i="32"/>
  <c r="S1322" i="32"/>
  <c r="S1323" i="32"/>
  <c r="R1323" i="32"/>
  <c r="Q1323" i="32"/>
  <c r="R1339" i="32"/>
  <c r="R1340" i="32"/>
  <c r="Q1340" i="32"/>
  <c r="R1480" i="32"/>
  <c r="S1480" i="32"/>
  <c r="Q1480" i="32"/>
  <c r="S1521" i="32"/>
  <c r="R1521" i="32"/>
  <c r="Q1521" i="32"/>
  <c r="S1568" i="32"/>
  <c r="R1568" i="32"/>
  <c r="Q1568" i="32"/>
  <c r="S1575" i="32"/>
  <c r="R1575" i="32"/>
  <c r="Q1575" i="32"/>
  <c r="R1640" i="32"/>
  <c r="S1640" i="32"/>
  <c r="Q1640" i="32"/>
  <c r="S1671" i="32"/>
  <c r="S1672" i="32"/>
  <c r="R1672" i="32"/>
  <c r="Q1672" i="32"/>
  <c r="S1708" i="32"/>
  <c r="Q1708" i="32"/>
  <c r="R1717" i="32"/>
  <c r="S1717" i="32"/>
  <c r="P1853" i="32"/>
  <c r="Q1853" i="32" s="1"/>
  <c r="P1854" i="32"/>
  <c r="S1854" i="32" s="1"/>
  <c r="S1852" i="32"/>
  <c r="S1255" i="32"/>
  <c r="R1255" i="32"/>
  <c r="S1269" i="32"/>
  <c r="S1270" i="32"/>
  <c r="Q1270" i="32"/>
  <c r="S1278" i="32"/>
  <c r="Q1278" i="32"/>
  <c r="R1368" i="32"/>
  <c r="S1368" i="32"/>
  <c r="R1497" i="32"/>
  <c r="Q1497" i="32"/>
  <c r="S1547" i="32"/>
  <c r="R1547" i="32"/>
  <c r="Q1547" i="32"/>
  <c r="R1595" i="32"/>
  <c r="S1595" i="32"/>
  <c r="Q1595" i="32"/>
  <c r="P1643" i="32"/>
  <c r="S1642" i="32"/>
  <c r="R1642" i="32"/>
  <c r="Q1642" i="32"/>
  <c r="P1644" i="32"/>
  <c r="S1644" i="32" s="1"/>
  <c r="S1684" i="32"/>
  <c r="R1684" i="32"/>
  <c r="Q1684" i="32"/>
  <c r="Q1764" i="32"/>
  <c r="S1764" i="32"/>
  <c r="R1764" i="32"/>
  <c r="S887" i="32"/>
  <c r="S962" i="32"/>
  <c r="Q1058" i="32"/>
  <c r="Q1063" i="32"/>
  <c r="Q1067" i="32"/>
  <c r="S1077" i="32"/>
  <c r="Q1088" i="32"/>
  <c r="R1100" i="32"/>
  <c r="Q1105" i="32"/>
  <c r="Q1124" i="32"/>
  <c r="Q1134" i="32"/>
  <c r="Q1150" i="32"/>
  <c r="S1156" i="32"/>
  <c r="Q1161" i="32"/>
  <c r="Q1166" i="32"/>
  <c r="Q1183" i="32"/>
  <c r="Q1189" i="32"/>
  <c r="Q1198" i="32"/>
  <c r="R1204" i="32"/>
  <c r="Q1223" i="32"/>
  <c r="Q1233" i="32"/>
  <c r="R1242" i="32"/>
  <c r="Q1244" i="32"/>
  <c r="S1244" i="32"/>
  <c r="Q1255" i="32"/>
  <c r="Q1263" i="32"/>
  <c r="S1293" i="32"/>
  <c r="R1293" i="32"/>
  <c r="R1316" i="32"/>
  <c r="R1332" i="32"/>
  <c r="Q1332" i="32"/>
  <c r="R1352" i="32"/>
  <c r="Q1352" i="32"/>
  <c r="R1466" i="32"/>
  <c r="Q1466" i="32"/>
  <c r="S1497" i="32"/>
  <c r="R1498" i="32"/>
  <c r="Q1498" i="32"/>
  <c r="S1531" i="32"/>
  <c r="R1531" i="32"/>
  <c r="Q1531" i="32"/>
  <c r="R1622" i="32"/>
  <c r="S1622" i="32"/>
  <c r="Q1622" i="32"/>
  <c r="S1663" i="32"/>
  <c r="R1663" i="32"/>
  <c r="Q1663" i="32"/>
  <c r="R1063" i="32"/>
  <c r="S1100" i="32"/>
  <c r="S1183" i="32"/>
  <c r="S1204" i="32"/>
  <c r="S1263" i="32"/>
  <c r="S1265" i="32"/>
  <c r="R1265" i="32"/>
  <c r="Q1326" i="32"/>
  <c r="R1326" i="32"/>
  <c r="S1387" i="32"/>
  <c r="R1387" i="32"/>
  <c r="Q1387" i="32"/>
  <c r="R1482" i="32"/>
  <c r="Q1482" i="32"/>
  <c r="S1515" i="32"/>
  <c r="R1515" i="32"/>
  <c r="Q1515" i="32"/>
  <c r="R1564" i="32"/>
  <c r="S1564" i="32"/>
  <c r="Q1564" i="32"/>
  <c r="R1611" i="32"/>
  <c r="S1611" i="32"/>
  <c r="Q1611" i="32"/>
  <c r="P1645" i="32"/>
  <c r="R1645" i="32" s="1"/>
  <c r="S1665" i="32"/>
  <c r="R1665" i="32"/>
  <c r="S1724" i="32"/>
  <c r="R1724" i="32"/>
  <c r="R1345" i="32"/>
  <c r="R1348" i="32"/>
  <c r="S1360" i="32"/>
  <c r="R1364" i="32"/>
  <c r="S1377" i="32"/>
  <c r="R1393" i="32"/>
  <c r="R1396" i="32"/>
  <c r="R1402" i="32"/>
  <c r="R1411" i="32"/>
  <c r="R1417" i="32"/>
  <c r="R1420" i="32"/>
  <c r="R1435" i="32"/>
  <c r="R1441" i="32"/>
  <c r="R1451" i="32"/>
  <c r="S1472" i="32"/>
  <c r="S1476" i="32"/>
  <c r="R1523" i="32"/>
  <c r="R1539" i="32"/>
  <c r="S1549" i="32"/>
  <c r="P1657" i="32"/>
  <c r="Q1657" i="32" s="1"/>
  <c r="S2203" i="32"/>
  <c r="P2205" i="32"/>
  <c r="S2205" i="32" s="1"/>
  <c r="P2204" i="32"/>
  <c r="R2204" i="32" s="1"/>
  <c r="R2203" i="32"/>
  <c r="Q2203" i="32"/>
  <c r="R1285" i="32"/>
  <c r="S1300" i="32"/>
  <c r="R1310" i="32"/>
  <c r="S1318" i="32"/>
  <c r="R1346" i="32"/>
  <c r="R1356" i="32"/>
  <c r="S1372" i="32"/>
  <c r="R1379" i="32"/>
  <c r="R1385" i="32"/>
  <c r="R1388" i="32"/>
  <c r="R1394" i="32"/>
  <c r="R1403" i="32"/>
  <c r="R1418" i="32"/>
  <c r="R1427" i="32"/>
  <c r="R1442" i="32"/>
  <c r="S1488" i="32"/>
  <c r="R1492" i="32"/>
  <c r="S1504" i="32"/>
  <c r="S1508" i="32"/>
  <c r="S1556" i="32"/>
  <c r="S1572" i="32"/>
  <c r="R1605" i="32"/>
  <c r="R1633" i="32"/>
  <c r="R1654" i="32"/>
  <c r="R1668" i="32"/>
  <c r="Q1315" i="32"/>
  <c r="S1320" i="32"/>
  <c r="R1428" i="32"/>
  <c r="Q1608" i="32"/>
  <c r="S1620" i="32"/>
  <c r="S1628" i="32"/>
  <c r="P1637" i="32"/>
  <c r="Q1637" i="32" s="1"/>
  <c r="S1646" i="32"/>
  <c r="P1655" i="32"/>
  <c r="Q1655" i="32" s="1"/>
  <c r="Q1679" i="32"/>
  <c r="Q1700" i="32"/>
  <c r="R1704" i="32"/>
  <c r="Q1713" i="32"/>
  <c r="Q1719" i="32"/>
  <c r="S1725" i="32"/>
  <c r="S1733" i="32"/>
  <c r="Q1735" i="32"/>
  <c r="R1735" i="32"/>
  <c r="S1773" i="32"/>
  <c r="R1773" i="32"/>
  <c r="Q1773" i="32"/>
  <c r="P1938" i="32"/>
  <c r="S1938" i="32" s="1"/>
  <c r="S1936" i="32"/>
  <c r="S2269" i="32"/>
  <c r="Q2269" i="32"/>
  <c r="S2535" i="32"/>
  <c r="R2535" i="32"/>
  <c r="Q2535" i="32"/>
  <c r="S1649" i="32"/>
  <c r="R1653" i="32"/>
  <c r="P1656" i="32"/>
  <c r="R1679" i="32"/>
  <c r="S1693" i="32"/>
  <c r="Q1697" i="32"/>
  <c r="Q1703" i="32"/>
  <c r="S1709" i="32"/>
  <c r="Q1715" i="32"/>
  <c r="Q1718" i="32"/>
  <c r="R1719" i="32"/>
  <c r="Q1721" i="32"/>
  <c r="R1727" i="32"/>
  <c r="S1735" i="32"/>
  <c r="S1787" i="32"/>
  <c r="Q1787" i="32"/>
  <c r="P1913" i="32"/>
  <c r="S1913" i="32" s="1"/>
  <c r="P1914" i="32"/>
  <c r="S1914" i="32" s="1"/>
  <c r="S1912" i="32"/>
  <c r="R1912" i="32"/>
  <c r="Q1912" i="32"/>
  <c r="P1915" i="32"/>
  <c r="Q1915" i="32" s="1"/>
  <c r="P2377" i="32"/>
  <c r="Q2377" i="32" s="1"/>
  <c r="P2376" i="32"/>
  <c r="S2375" i="32"/>
  <c r="R2375" i="32"/>
  <c r="Q2375" i="32"/>
  <c r="P2378" i="32"/>
  <c r="S2378" i="32" s="1"/>
  <c r="Q1664" i="32"/>
  <c r="S1669" i="32"/>
  <c r="S1674" i="32"/>
  <c r="R1715" i="32"/>
  <c r="S1727" i="32"/>
  <c r="Q1736" i="32"/>
  <c r="P1738" i="32"/>
  <c r="S1738" i="32" s="1"/>
  <c r="P1739" i="32"/>
  <c r="Q1739" i="32" s="1"/>
  <c r="Q1737" i="32"/>
  <c r="P1918" i="32"/>
  <c r="S1918" i="32" s="1"/>
  <c r="P1919" i="32"/>
  <c r="S1919" i="32" s="1"/>
  <c r="P1917" i="32"/>
  <c r="Q1917" i="32" s="1"/>
  <c r="S1916" i="32"/>
  <c r="R1916" i="32"/>
  <c r="P2019" i="32"/>
  <c r="Q2019" i="32" s="1"/>
  <c r="P2017" i="32"/>
  <c r="S2017" i="32" s="1"/>
  <c r="S2016" i="32"/>
  <c r="R2016" i="32"/>
  <c r="Q2016" i="32"/>
  <c r="P2175" i="32"/>
  <c r="Q2175" i="32" s="1"/>
  <c r="P2173" i="32"/>
  <c r="Q2173" i="32" s="1"/>
  <c r="P2172" i="32"/>
  <c r="S2172" i="32" s="1"/>
  <c r="S2171" i="32"/>
  <c r="S2478" i="32"/>
  <c r="R2478" i="32"/>
  <c r="Q2478" i="32"/>
  <c r="S1743" i="32"/>
  <c r="S1755" i="32"/>
  <c r="S1784" i="32"/>
  <c r="R1803" i="32"/>
  <c r="P1820" i="32"/>
  <c r="S1820" i="32" s="1"/>
  <c r="S1835" i="32"/>
  <c r="S1844" i="32"/>
  <c r="S1860" i="32"/>
  <c r="P1874" i="32"/>
  <c r="S1874" i="32" s="1"/>
  <c r="S1891" i="32"/>
  <c r="P1921" i="32"/>
  <c r="P1933" i="32"/>
  <c r="S1933" i="32" s="1"/>
  <c r="S1952" i="32"/>
  <c r="P2029" i="32"/>
  <c r="S2029" i="32" s="1"/>
  <c r="P2086" i="32"/>
  <c r="S2086" i="32" s="1"/>
  <c r="S2091" i="32"/>
  <c r="S2131" i="32"/>
  <c r="R2285" i="32"/>
  <c r="P1804" i="32"/>
  <c r="S1804" i="32" s="1"/>
  <c r="P2061" i="32"/>
  <c r="R2061" i="32" s="1"/>
  <c r="P2276" i="32"/>
  <c r="R2276" i="32" s="1"/>
  <c r="P2288" i="32"/>
  <c r="R2288" i="32" s="1"/>
  <c r="P2296" i="32"/>
  <c r="R2296" i="32" s="1"/>
  <c r="P2345" i="32"/>
  <c r="S2345" i="32" s="1"/>
  <c r="P2434" i="32"/>
  <c r="R2434" i="32" s="1"/>
  <c r="R2479" i="32"/>
  <c r="R2491" i="32"/>
  <c r="R2504" i="32"/>
  <c r="R2508" i="32"/>
  <c r="R2519" i="32"/>
  <c r="S2538" i="32"/>
  <c r="P1753" i="32"/>
  <c r="R1753" i="32" s="1"/>
  <c r="Q1795" i="32"/>
  <c r="P1838" i="32"/>
  <c r="R1838" i="32" s="1"/>
  <c r="R1848" i="32"/>
  <c r="S1881" i="32"/>
  <c r="R1884" i="32"/>
  <c r="Q1900" i="32"/>
  <c r="P1954" i="32"/>
  <c r="Q1954" i="32" s="1"/>
  <c r="Q1964" i="32"/>
  <c r="P1989" i="32"/>
  <c r="R1989" i="32" s="1"/>
  <c r="Q1996" i="32"/>
  <c r="P2003" i="32"/>
  <c r="S2003" i="32" s="1"/>
  <c r="Q2048" i="32"/>
  <c r="Q2058" i="32"/>
  <c r="P2066" i="32"/>
  <c r="S2066" i="32" s="1"/>
  <c r="R2073" i="32"/>
  <c r="Q2088" i="32"/>
  <c r="Q2102" i="32"/>
  <c r="S2102" i="32"/>
  <c r="P2128" i="32"/>
  <c r="Q2128" i="32" s="1"/>
  <c r="S2135" i="32"/>
  <c r="R2151" i="32"/>
  <c r="P2162" i="32"/>
  <c r="S2162" i="32" s="1"/>
  <c r="Q2183" i="32"/>
  <c r="R2195" i="32"/>
  <c r="P2223" i="32"/>
  <c r="R2223" i="32" s="1"/>
  <c r="Q2253" i="32"/>
  <c r="Q2261" i="32"/>
  <c r="P2346" i="32"/>
  <c r="R2346" i="32" s="1"/>
  <c r="Q2363" i="32"/>
  <c r="R2391" i="32"/>
  <c r="P2415" i="32"/>
  <c r="R2415" i="32" s="1"/>
  <c r="P2457" i="32"/>
  <c r="Q2457" i="32" s="1"/>
  <c r="Q2475" i="32"/>
  <c r="Q2488" i="32"/>
  <c r="S2493" i="32"/>
  <c r="Q2516" i="32"/>
  <c r="Q2543" i="32"/>
  <c r="Q2546" i="32"/>
  <c r="S1795" i="32"/>
  <c r="P1806" i="32"/>
  <c r="S1806" i="32" s="1"/>
  <c r="S1848" i="32"/>
  <c r="Q1880" i="32"/>
  <c r="S1884" i="32"/>
  <c r="P1890" i="32"/>
  <c r="R1900" i="32"/>
  <c r="P1926" i="32"/>
  <c r="S1926" i="32" s="1"/>
  <c r="R1964" i="32"/>
  <c r="P1997" i="32"/>
  <c r="Q1997" i="32" s="1"/>
  <c r="S2048" i="32"/>
  <c r="R2058" i="32"/>
  <c r="P2076" i="32"/>
  <c r="R2076" i="32" s="1"/>
  <c r="P2136" i="32"/>
  <c r="S2136" i="32" s="1"/>
  <c r="P2154" i="32"/>
  <c r="S2154" i="32" s="1"/>
  <c r="P2164" i="32"/>
  <c r="Q2164" i="32" s="1"/>
  <c r="R2183" i="32"/>
  <c r="P2197" i="32"/>
  <c r="R2197" i="32" s="1"/>
  <c r="P2226" i="32"/>
  <c r="R2226" i="32" s="1"/>
  <c r="R2253" i="32"/>
  <c r="R2261" i="32"/>
  <c r="S2277" i="32"/>
  <c r="R2293" i="32"/>
  <c r="P2298" i="32"/>
  <c r="S2298" i="32" s="1"/>
  <c r="S2391" i="32"/>
  <c r="P2416" i="32"/>
  <c r="S2416" i="32" s="1"/>
  <c r="P2436" i="32"/>
  <c r="R2436" i="32" s="1"/>
  <c r="P2445" i="32"/>
  <c r="P2458" i="32"/>
  <c r="S2458" i="32" s="1"/>
  <c r="R2475" i="32"/>
  <c r="Q2487" i="32"/>
  <c r="R2488" i="32"/>
  <c r="S2543" i="32"/>
  <c r="S2546" i="32"/>
  <c r="P1797" i="32"/>
  <c r="Q1797" i="32" s="1"/>
  <c r="R1837" i="32"/>
  <c r="P1849" i="32"/>
  <c r="S1849" i="32" s="1"/>
  <c r="P1867" i="32"/>
  <c r="S1867" i="32" s="1"/>
  <c r="R1880" i="32"/>
  <c r="P1885" i="32"/>
  <c r="Q1885" i="32" s="1"/>
  <c r="P1901" i="32"/>
  <c r="R1901" i="32" s="1"/>
  <c r="P1965" i="32"/>
  <c r="S1965" i="32" s="1"/>
  <c r="P1998" i="32"/>
  <c r="Q1998" i="32" s="1"/>
  <c r="P2049" i="32"/>
  <c r="S2049" i="32" s="1"/>
  <c r="S2058" i="32"/>
  <c r="Q2068" i="32"/>
  <c r="P2090" i="32"/>
  <c r="Q2090" i="32" s="1"/>
  <c r="P2186" i="32"/>
  <c r="S2186" i="32" s="1"/>
  <c r="S2261" i="32"/>
  <c r="S2293" i="32"/>
  <c r="R2347" i="32"/>
  <c r="P2364" i="32"/>
  <c r="S2364" i="32" s="1"/>
  <c r="Q2387" i="32"/>
  <c r="P2392" i="32"/>
  <c r="S2392" i="32" s="1"/>
  <c r="P2432" i="32"/>
  <c r="Q2472" i="32"/>
  <c r="S2477" i="32"/>
  <c r="Q2486" i="32"/>
  <c r="Q2540" i="32"/>
  <c r="Q2545" i="32"/>
  <c r="Q1886" i="32"/>
  <c r="P1903" i="32"/>
  <c r="Q1903" i="32" s="1"/>
  <c r="P1967" i="32"/>
  <c r="Q1967" i="32" s="1"/>
  <c r="R2002" i="32"/>
  <c r="Q2008" i="32"/>
  <c r="P2035" i="32"/>
  <c r="Q2035" i="32" s="1"/>
  <c r="P2042" i="32"/>
  <c r="S2042" i="32" s="1"/>
  <c r="Q2053" i="32"/>
  <c r="P2059" i="32"/>
  <c r="P2064" i="32"/>
  <c r="R2068" i="32"/>
  <c r="Q2083" i="32"/>
  <c r="P2198" i="32"/>
  <c r="S2198" i="32" s="1"/>
  <c r="P2218" i="32"/>
  <c r="S2218" i="32" s="1"/>
  <c r="P2255" i="32"/>
  <c r="S2263" i="32"/>
  <c r="P2333" i="32"/>
  <c r="S2333" i="32" s="1"/>
  <c r="P2365" i="32"/>
  <c r="Q2365" i="32" s="1"/>
  <c r="R2387" i="32"/>
  <c r="P2394" i="32"/>
  <c r="Q2394" i="32" s="1"/>
  <c r="P2429" i="32"/>
  <c r="P2460" i="32"/>
  <c r="S2460" i="32" s="1"/>
  <c r="R2523" i="32"/>
  <c r="R2545" i="32"/>
  <c r="R1743" i="32"/>
  <c r="R1755" i="32"/>
  <c r="S1780" i="32"/>
  <c r="P1793" i="32"/>
  <c r="R1793" i="32" s="1"/>
  <c r="Q1803" i="32"/>
  <c r="S1819" i="32"/>
  <c r="P1825" i="32"/>
  <c r="R1825" i="32" s="1"/>
  <c r="R1835" i="32"/>
  <c r="R1844" i="32"/>
  <c r="P1851" i="32"/>
  <c r="R1860" i="32"/>
  <c r="P1882" i="32"/>
  <c r="Q1882" i="32" s="1"/>
  <c r="P1887" i="32"/>
  <c r="Q1887" i="32" s="1"/>
  <c r="R1891" i="32"/>
  <c r="S1904" i="32"/>
  <c r="S1920" i="32"/>
  <c r="R1932" i="32"/>
  <c r="P1946" i="32"/>
  <c r="R1952" i="32"/>
  <c r="Q2000" i="32"/>
  <c r="P2010" i="32"/>
  <c r="S2010" i="32" s="1"/>
  <c r="Q2028" i="32"/>
  <c r="P2054" i="32"/>
  <c r="S2054" i="32" s="1"/>
  <c r="P2070" i="32"/>
  <c r="R2083" i="32"/>
  <c r="R2091" i="32"/>
  <c r="P2099" i="32"/>
  <c r="Q2099" i="32" s="1"/>
  <c r="P2123" i="32"/>
  <c r="S2123" i="32" s="1"/>
  <c r="R2131" i="32"/>
  <c r="Q2177" i="32"/>
  <c r="Q2285" i="32"/>
  <c r="P2448" i="32"/>
  <c r="Q2448" i="32" s="1"/>
  <c r="R2471" i="32"/>
  <c r="S2523" i="32"/>
  <c r="S2531" i="32"/>
  <c r="R2539" i="32"/>
  <c r="L237" i="32"/>
  <c r="Q183" i="32"/>
  <c r="R183" i="32"/>
  <c r="S183" i="32"/>
  <c r="R21" i="32"/>
  <c r="R22" i="32"/>
  <c r="R23" i="32"/>
  <c r="R24" i="32"/>
  <c r="R25" i="32"/>
  <c r="R26" i="32"/>
  <c r="R27" i="32"/>
  <c r="R28" i="32"/>
  <c r="R29" i="32"/>
  <c r="R30" i="32"/>
  <c r="R31" i="32"/>
  <c r="R32" i="32"/>
  <c r="R33" i="32"/>
  <c r="R34" i="32"/>
  <c r="R35" i="32"/>
  <c r="R36" i="32"/>
  <c r="R37" i="32"/>
  <c r="R38" i="32"/>
  <c r="R39" i="32"/>
  <c r="R40" i="32"/>
  <c r="R41" i="32"/>
  <c r="R42" i="32"/>
  <c r="R44" i="32"/>
  <c r="R52" i="32"/>
  <c r="R60" i="32"/>
  <c r="R68" i="32"/>
  <c r="R71" i="32"/>
  <c r="R79" i="32"/>
  <c r="R88" i="32"/>
  <c r="R99" i="32"/>
  <c r="R107" i="32"/>
  <c r="R115" i="32"/>
  <c r="R124" i="32"/>
  <c r="P127" i="32"/>
  <c r="R133" i="32"/>
  <c r="R141" i="32"/>
  <c r="R148" i="32"/>
  <c r="S148" i="32"/>
  <c r="P163" i="32"/>
  <c r="Q172" i="32"/>
  <c r="P173" i="32"/>
  <c r="P174" i="32"/>
  <c r="R172" i="32"/>
  <c r="R185" i="32"/>
  <c r="Q185" i="32"/>
  <c r="M299" i="32"/>
  <c r="N299" i="32" s="1"/>
  <c r="Q47" i="32"/>
  <c r="Q55" i="32"/>
  <c r="Q63" i="32"/>
  <c r="Q70" i="32"/>
  <c r="Q78" i="32"/>
  <c r="Q87" i="32"/>
  <c r="Q94" i="32"/>
  <c r="Q102" i="32"/>
  <c r="Q110" i="32"/>
  <c r="Q123" i="32"/>
  <c r="P126" i="32"/>
  <c r="Q132" i="32"/>
  <c r="Q140" i="32"/>
  <c r="M233" i="32"/>
  <c r="N233" i="32" s="1"/>
  <c r="M270" i="32"/>
  <c r="N270" i="32" s="1"/>
  <c r="S273" i="32"/>
  <c r="R273" i="32"/>
  <c r="Q273" i="32"/>
  <c r="M278" i="32"/>
  <c r="N278" i="32" s="1"/>
  <c r="M296" i="32"/>
  <c r="N296" i="32" s="1"/>
  <c r="R47" i="32"/>
  <c r="Q48" i="32"/>
  <c r="R55" i="32"/>
  <c r="Q56" i="32"/>
  <c r="R63" i="32"/>
  <c r="Q64" i="32"/>
  <c r="R70" i="32"/>
  <c r="Q75" i="32"/>
  <c r="R78" i="32"/>
  <c r="Q84" i="32"/>
  <c r="R87" i="32"/>
  <c r="R94" i="32"/>
  <c r="Q95" i="32"/>
  <c r="R102" i="32"/>
  <c r="Q103" i="32"/>
  <c r="R110" i="32"/>
  <c r="Q111" i="32"/>
  <c r="Q120" i="32"/>
  <c r="R123" i="32"/>
  <c r="Q129" i="32"/>
  <c r="R132" i="32"/>
  <c r="Q137" i="32"/>
  <c r="R140" i="32"/>
  <c r="P179" i="32"/>
  <c r="P144" i="32"/>
  <c r="Q142" i="32"/>
  <c r="P193" i="32"/>
  <c r="P175" i="32"/>
  <c r="Q151" i="32"/>
  <c r="P152" i="32"/>
  <c r="R151" i="32"/>
  <c r="P167" i="32"/>
  <c r="S263" i="32"/>
  <c r="R263" i="32"/>
  <c r="Q263" i="32"/>
  <c r="M305" i="32"/>
  <c r="N305" i="32" s="1"/>
  <c r="S208" i="32"/>
  <c r="R208" i="32"/>
  <c r="Q208" i="32"/>
  <c r="S216" i="32"/>
  <c r="R216" i="32"/>
  <c r="Q216" i="32"/>
  <c r="S224" i="32"/>
  <c r="R224" i="32"/>
  <c r="Q224" i="32"/>
  <c r="S47" i="32"/>
  <c r="R48" i="32"/>
  <c r="R56" i="32"/>
  <c r="R64" i="32"/>
  <c r="R75" i="32"/>
  <c r="R84" i="32"/>
  <c r="S94" i="32"/>
  <c r="R95" i="32"/>
  <c r="R103" i="32"/>
  <c r="R111" i="32"/>
  <c r="R120" i="32"/>
  <c r="P125" i="32"/>
  <c r="R129" i="32"/>
  <c r="R137" i="32"/>
  <c r="P149" i="32"/>
  <c r="R186" i="32"/>
  <c r="Q186" i="32"/>
  <c r="R196" i="32"/>
  <c r="Q196" i="32"/>
  <c r="S200" i="32"/>
  <c r="R200" i="32"/>
  <c r="Q200" i="32"/>
  <c r="M287" i="32"/>
  <c r="N287" i="32" s="1"/>
  <c r="M302" i="32"/>
  <c r="N302" i="32" s="1"/>
  <c r="M281" i="32"/>
  <c r="N281" i="32" s="1"/>
  <c r="P43" i="32"/>
  <c r="Q50" i="32"/>
  <c r="Q58" i="32"/>
  <c r="Q66" i="32"/>
  <c r="Q77" i="32"/>
  <c r="Q86" i="32"/>
  <c r="Q97" i="32"/>
  <c r="Q105" i="32"/>
  <c r="Q113" i="32"/>
  <c r="Q122" i="32"/>
  <c r="Q131" i="32"/>
  <c r="Q139" i="32"/>
  <c r="Q201" i="32"/>
  <c r="R201" i="32"/>
  <c r="M265" i="32"/>
  <c r="N265" i="32" s="1"/>
  <c r="M284" i="32"/>
  <c r="N284" i="32" s="1"/>
  <c r="S309" i="32"/>
  <c r="R309" i="32"/>
  <c r="Q309" i="32"/>
  <c r="P161" i="32"/>
  <c r="P162" i="32"/>
  <c r="S160" i="32"/>
  <c r="P171" i="32"/>
  <c r="S201" i="32"/>
  <c r="M260" i="32"/>
  <c r="N260" i="32" s="1"/>
  <c r="M293" i="32"/>
  <c r="N293" i="32" s="1"/>
  <c r="Q20" i="32"/>
  <c r="P150" i="32"/>
  <c r="Q160" i="32"/>
  <c r="Q205" i="32"/>
  <c r="P202" i="32"/>
  <c r="R205" i="32"/>
  <c r="Q213" i="32"/>
  <c r="R213" i="32"/>
  <c r="Q221" i="32"/>
  <c r="R221" i="32"/>
  <c r="M290" i="32"/>
  <c r="N290" i="32" s="1"/>
  <c r="P147" i="32"/>
  <c r="S169" i="32"/>
  <c r="S176" i="32"/>
  <c r="P182" i="32"/>
  <c r="S188" i="32"/>
  <c r="S204" i="32"/>
  <c r="S212" i="32"/>
  <c r="S220" i="32"/>
  <c r="R240" i="32"/>
  <c r="S243" i="32"/>
  <c r="R248" i="32"/>
  <c r="S251" i="32"/>
  <c r="R256" i="32"/>
  <c r="P259" i="32"/>
  <c r="P267" i="32"/>
  <c r="N275" i="32"/>
  <c r="R276" i="32"/>
  <c r="P283" i="32"/>
  <c r="R288" i="32"/>
  <c r="P295" i="32"/>
  <c r="R300" i="32"/>
  <c r="R304" i="32"/>
  <c r="P307" i="32"/>
  <c r="N329" i="32"/>
  <c r="Q334" i="32"/>
  <c r="M359" i="32"/>
  <c r="N359" i="32" s="1"/>
  <c r="Q358" i="32"/>
  <c r="Q362" i="32"/>
  <c r="M371" i="32"/>
  <c r="N371" i="32" s="1"/>
  <c r="M383" i="32"/>
  <c r="N383" i="32" s="1"/>
  <c r="S400" i="32"/>
  <c r="Q400" i="32"/>
  <c r="R400" i="32"/>
  <c r="N407" i="32"/>
  <c r="S1006" i="32"/>
  <c r="R1006" i="32"/>
  <c r="Q1006" i="32"/>
  <c r="S458" i="32"/>
  <c r="R458" i="32"/>
  <c r="Q458" i="32"/>
  <c r="Q614" i="32"/>
  <c r="R614" i="32"/>
  <c r="M697" i="32"/>
  <c r="N697" i="32" s="1"/>
  <c r="Q232" i="32"/>
  <c r="Q239" i="32"/>
  <c r="Q247" i="32"/>
  <c r="Q255" i="32"/>
  <c r="P258" i="32"/>
  <c r="P310" i="32"/>
  <c r="P308" i="32"/>
  <c r="R338" i="32"/>
  <c r="M401" i="32"/>
  <c r="N401" i="32" s="1"/>
  <c r="S434" i="32"/>
  <c r="R434" i="32"/>
  <c r="Q434" i="32"/>
  <c r="M479" i="32"/>
  <c r="N479" i="32" s="1"/>
  <c r="S639" i="32"/>
  <c r="R639" i="32"/>
  <c r="Q639" i="32"/>
  <c r="S689" i="32"/>
  <c r="R689" i="32"/>
  <c r="Q689" i="32"/>
  <c r="M699" i="32"/>
  <c r="N699" i="32" s="1"/>
  <c r="S700" i="32"/>
  <c r="R700" i="32"/>
  <c r="Q700" i="32"/>
  <c r="S844" i="32"/>
  <c r="R844" i="32"/>
  <c r="Q844" i="32"/>
  <c r="R232" i="32"/>
  <c r="R239" i="32"/>
  <c r="R247" i="32"/>
  <c r="R255" i="32"/>
  <c r="P278" i="32"/>
  <c r="P290" i="32"/>
  <c r="P302" i="32"/>
  <c r="M347" i="32"/>
  <c r="N347" i="32" s="1"/>
  <c r="S445" i="32"/>
  <c r="Q445" i="32"/>
  <c r="M497" i="32"/>
  <c r="N497" i="32" s="1"/>
  <c r="S511" i="32"/>
  <c r="Q511" i="32"/>
  <c r="S523" i="32"/>
  <c r="R523" i="32"/>
  <c r="Q523" i="32"/>
  <c r="S614" i="32"/>
  <c r="S631" i="32"/>
  <c r="R631" i="32"/>
  <c r="Q631" i="32"/>
  <c r="R209" i="32"/>
  <c r="Q210" i="32"/>
  <c r="R217" i="32"/>
  <c r="Q218" i="32"/>
  <c r="R225" i="32"/>
  <c r="Q226" i="32"/>
  <c r="L473" i="32"/>
  <c r="Q241" i="32"/>
  <c r="R244" i="32"/>
  <c r="Q249" i="32"/>
  <c r="R252" i="32"/>
  <c r="P257" i="32"/>
  <c r="R266" i="32"/>
  <c r="P269" i="32"/>
  <c r="P277" i="32"/>
  <c r="R282" i="32"/>
  <c r="P289" i="32"/>
  <c r="R294" i="32"/>
  <c r="P301" i="32"/>
  <c r="R306" i="32"/>
  <c r="P311" i="32"/>
  <c r="M335" i="32"/>
  <c r="N335" i="32" s="1"/>
  <c r="M353" i="32"/>
  <c r="N353" i="32" s="1"/>
  <c r="S387" i="32"/>
  <c r="R387" i="32"/>
  <c r="Q387" i="32"/>
  <c r="Q515" i="32"/>
  <c r="R515" i="32"/>
  <c r="S531" i="32"/>
  <c r="R531" i="32"/>
  <c r="Q531" i="32"/>
  <c r="S623" i="32"/>
  <c r="R623" i="32"/>
  <c r="Q623" i="32"/>
  <c r="S680" i="32"/>
  <c r="Q680" i="32"/>
  <c r="S1026" i="32"/>
  <c r="R1026" i="32"/>
  <c r="Q1026" i="32"/>
  <c r="S282" i="32"/>
  <c r="S294" i="32"/>
  <c r="S306" i="32"/>
  <c r="N323" i="32"/>
  <c r="Q346" i="32"/>
  <c r="S665" i="32"/>
  <c r="R665" i="32"/>
  <c r="Q665" i="32"/>
  <c r="Q779" i="32"/>
  <c r="R779" i="32"/>
  <c r="S779" i="32"/>
  <c r="Q314" i="32"/>
  <c r="R346" i="32"/>
  <c r="S547" i="32"/>
  <c r="R547" i="32"/>
  <c r="Q547" i="32"/>
  <c r="Q594" i="32"/>
  <c r="R594" i="32"/>
  <c r="S684" i="32"/>
  <c r="R684" i="32"/>
  <c r="Q684" i="32"/>
  <c r="Q256" i="32"/>
  <c r="R314" i="32"/>
  <c r="S350" i="32"/>
  <c r="R350" i="32"/>
  <c r="N431" i="32"/>
  <c r="S490" i="32"/>
  <c r="Q490" i="32"/>
  <c r="R490" i="32"/>
  <c r="S541" i="32"/>
  <c r="R541" i="32"/>
  <c r="Q541" i="32"/>
  <c r="S555" i="32"/>
  <c r="R555" i="32"/>
  <c r="Q555" i="32"/>
  <c r="S571" i="32"/>
  <c r="R571" i="32"/>
  <c r="Q571" i="32"/>
  <c r="S579" i="32"/>
  <c r="R579" i="32"/>
  <c r="Q579" i="32"/>
  <c r="S587" i="32"/>
  <c r="R587" i="32"/>
  <c r="Q587" i="32"/>
  <c r="Q604" i="32"/>
  <c r="R604" i="32"/>
  <c r="R680" i="32"/>
  <c r="P478" i="32"/>
  <c r="P518" i="32"/>
  <c r="P542" i="32"/>
  <c r="R686" i="32"/>
  <c r="Q686" i="32"/>
  <c r="P713" i="32"/>
  <c r="S711" i="32"/>
  <c r="P714" i="32"/>
  <c r="R711" i="32"/>
  <c r="Q711" i="32"/>
  <c r="S727" i="32"/>
  <c r="R727" i="32"/>
  <c r="Q727" i="32"/>
  <c r="R733" i="32"/>
  <c r="Q733" i="32"/>
  <c r="P736" i="32"/>
  <c r="P737" i="32"/>
  <c r="S735" i="32"/>
  <c r="P738" i="32"/>
  <c r="R735" i="32"/>
  <c r="Q735" i="32"/>
  <c r="M752" i="32"/>
  <c r="N752" i="32" s="1"/>
  <c r="M758" i="32"/>
  <c r="N758" i="32" s="1"/>
  <c r="S836" i="32"/>
  <c r="R836" i="32"/>
  <c r="Q836" i="32"/>
  <c r="S859" i="32"/>
  <c r="R859" i="32"/>
  <c r="Q859" i="32"/>
  <c r="Q871" i="32"/>
  <c r="S871" i="32"/>
  <c r="R871" i="32"/>
  <c r="S892" i="32"/>
  <c r="R892" i="32"/>
  <c r="Q892" i="32"/>
  <c r="S958" i="32"/>
  <c r="R958" i="32"/>
  <c r="Q958" i="32"/>
  <c r="P317" i="32"/>
  <c r="S318" i="32"/>
  <c r="P329" i="32"/>
  <c r="P341" i="32"/>
  <c r="P353" i="32"/>
  <c r="P365" i="32"/>
  <c r="P377" i="32"/>
  <c r="S378" i="32"/>
  <c r="P388" i="32"/>
  <c r="P395" i="32"/>
  <c r="S396" i="32"/>
  <c r="P407" i="32"/>
  <c r="R414" i="32"/>
  <c r="P416" i="32"/>
  <c r="P431" i="32"/>
  <c r="R438" i="32"/>
  <c r="P440" i="32"/>
  <c r="P448" i="32"/>
  <c r="P455" i="32"/>
  <c r="R462" i="32"/>
  <c r="P464" i="32"/>
  <c r="R474" i="32"/>
  <c r="P477" i="32"/>
  <c r="P481" i="32"/>
  <c r="P494" i="32"/>
  <c r="P502" i="32"/>
  <c r="P506" i="32"/>
  <c r="R507" i="32"/>
  <c r="R514" i="32"/>
  <c r="P517" i="32"/>
  <c r="R526" i="32"/>
  <c r="R538" i="32"/>
  <c r="R550" i="32"/>
  <c r="R558" i="32"/>
  <c r="R570" i="32"/>
  <c r="R578" i="32"/>
  <c r="R586" i="32"/>
  <c r="R593" i="32"/>
  <c r="P596" i="32"/>
  <c r="R603" i="32"/>
  <c r="P606" i="32"/>
  <c r="R613" i="32"/>
  <c r="P616" i="32"/>
  <c r="R622" i="32"/>
  <c r="R630" i="32"/>
  <c r="R638" i="32"/>
  <c r="R647" i="32"/>
  <c r="R648" i="32"/>
  <c r="R660" i="32"/>
  <c r="R669" i="32"/>
  <c r="M701" i="32"/>
  <c r="N701" i="32" s="1"/>
  <c r="R721" i="32"/>
  <c r="Q721" i="32"/>
  <c r="P724" i="32"/>
  <c r="P725" i="32"/>
  <c r="S723" i="32"/>
  <c r="P726" i="32"/>
  <c r="R723" i="32"/>
  <c r="Q723" i="32"/>
  <c r="M740" i="32"/>
  <c r="N740" i="32" s="1"/>
  <c r="P760" i="32"/>
  <c r="P761" i="32"/>
  <c r="S759" i="32"/>
  <c r="P762" i="32"/>
  <c r="R759" i="32"/>
  <c r="Q759" i="32"/>
  <c r="P764" i="32"/>
  <c r="S852" i="32"/>
  <c r="R852" i="32"/>
  <c r="Q852" i="32"/>
  <c r="S1084" i="32"/>
  <c r="R1084" i="32"/>
  <c r="Q1084" i="32"/>
  <c r="P316" i="32"/>
  <c r="P320" i="32"/>
  <c r="P328" i="32"/>
  <c r="P332" i="32"/>
  <c r="P340" i="32"/>
  <c r="P344" i="32"/>
  <c r="P352" i="32"/>
  <c r="P356" i="32"/>
  <c r="P364" i="32"/>
  <c r="P368" i="32"/>
  <c r="P376" i="32"/>
  <c r="P380" i="32"/>
  <c r="P398" i="32"/>
  <c r="P406" i="32"/>
  <c r="S414" i="32"/>
  <c r="P417" i="32"/>
  <c r="Q432" i="32"/>
  <c r="P433" i="32"/>
  <c r="S438" i="32"/>
  <c r="P441" i="32"/>
  <c r="Q456" i="32"/>
  <c r="P457" i="32"/>
  <c r="S462" i="32"/>
  <c r="P465" i="32"/>
  <c r="S474" i="32"/>
  <c r="P485" i="32"/>
  <c r="Q498" i="32"/>
  <c r="P513" i="32"/>
  <c r="S514" i="32"/>
  <c r="Q520" i="32"/>
  <c r="Q528" i="32"/>
  <c r="P537" i="32"/>
  <c r="S538" i="32"/>
  <c r="Q544" i="32"/>
  <c r="Q552" i="32"/>
  <c r="Q560" i="32"/>
  <c r="Q564" i="32"/>
  <c r="Q572" i="32"/>
  <c r="Q580" i="32"/>
  <c r="Q588" i="32"/>
  <c r="S593" i="32"/>
  <c r="S603" i="32"/>
  <c r="S613" i="32"/>
  <c r="Q624" i="32"/>
  <c r="Q632" i="32"/>
  <c r="Q640" i="32"/>
  <c r="Q650" i="32"/>
  <c r="P656" i="32"/>
  <c r="Q662" i="32"/>
  <c r="Q687" i="32"/>
  <c r="S691" i="32"/>
  <c r="R691" i="32"/>
  <c r="M746" i="32"/>
  <c r="N746" i="32" s="1"/>
  <c r="S793" i="32"/>
  <c r="R793" i="32"/>
  <c r="Q793" i="32"/>
  <c r="S801" i="32"/>
  <c r="R801" i="32"/>
  <c r="Q801" i="32"/>
  <c r="S809" i="32"/>
  <c r="R809" i="32"/>
  <c r="Q809" i="32"/>
  <c r="S1024" i="32"/>
  <c r="R1024" i="32"/>
  <c r="Q1024" i="32"/>
  <c r="P389" i="32"/>
  <c r="P418" i="32"/>
  <c r="R432" i="32"/>
  <c r="P442" i="32"/>
  <c r="P449" i="32"/>
  <c r="R456" i="32"/>
  <c r="P466" i="32"/>
  <c r="P476" i="32"/>
  <c r="P484" i="32"/>
  <c r="P487" i="32"/>
  <c r="P493" i="32"/>
  <c r="R498" i="32"/>
  <c r="P505" i="32"/>
  <c r="P516" i="32"/>
  <c r="P540" i="32"/>
  <c r="R560" i="32"/>
  <c r="R564" i="32"/>
  <c r="R572" i="32"/>
  <c r="R580" i="32"/>
  <c r="R588" i="32"/>
  <c r="P595" i="32"/>
  <c r="P605" i="32"/>
  <c r="P615" i="32"/>
  <c r="P618" i="32"/>
  <c r="R624" i="32"/>
  <c r="R632" i="32"/>
  <c r="R640" i="32"/>
  <c r="R650" i="32"/>
  <c r="R662" i="32"/>
  <c r="R687" i="32"/>
  <c r="M710" i="32"/>
  <c r="N710" i="32" s="1"/>
  <c r="M728" i="32"/>
  <c r="N728" i="32" s="1"/>
  <c r="S751" i="32"/>
  <c r="R751" i="32"/>
  <c r="Q751" i="32"/>
  <c r="M764" i="32"/>
  <c r="N764" i="32" s="1"/>
  <c r="M776" i="32"/>
  <c r="N776" i="32" s="1"/>
  <c r="Q951" i="32"/>
  <c r="R951" i="32"/>
  <c r="S951" i="32"/>
  <c r="P497" i="32"/>
  <c r="Q664" i="32"/>
  <c r="Q674" i="32"/>
  <c r="R678" i="32"/>
  <c r="P681" i="32"/>
  <c r="R685" i="32"/>
  <c r="S733" i="32"/>
  <c r="M734" i="32"/>
  <c r="N734" i="32" s="1"/>
  <c r="P740" i="32"/>
  <c r="P763" i="32"/>
  <c r="S775" i="32"/>
  <c r="R775" i="32"/>
  <c r="Q775" i="32"/>
  <c r="S1022" i="32"/>
  <c r="R1022" i="32"/>
  <c r="Q1022" i="32"/>
  <c r="S1036" i="32"/>
  <c r="R1036" i="32"/>
  <c r="Q1036" i="32"/>
  <c r="P475" i="32"/>
  <c r="P496" i="32"/>
  <c r="P508" i="32"/>
  <c r="R664" i="32"/>
  <c r="R674" i="32"/>
  <c r="P677" i="32"/>
  <c r="S678" i="32"/>
  <c r="S685" i="32"/>
  <c r="S690" i="32"/>
  <c r="R690" i="32"/>
  <c r="Q694" i="32"/>
  <c r="P739" i="32"/>
  <c r="R745" i="32"/>
  <c r="Q745" i="32"/>
  <c r="P748" i="32"/>
  <c r="P749" i="32"/>
  <c r="S747" i="32"/>
  <c r="P750" i="32"/>
  <c r="R747" i="32"/>
  <c r="Q747" i="32"/>
  <c r="Q927" i="32"/>
  <c r="R927" i="32"/>
  <c r="S927" i="32"/>
  <c r="Q384" i="32"/>
  <c r="S390" i="32"/>
  <c r="S426" i="32"/>
  <c r="Q444" i="32"/>
  <c r="S450" i="32"/>
  <c r="R694" i="32"/>
  <c r="M695" i="32"/>
  <c r="N695" i="32" s="1"/>
  <c r="S721" i="32"/>
  <c r="M722" i="32"/>
  <c r="N722" i="32" s="1"/>
  <c r="P728" i="32"/>
  <c r="S817" i="32"/>
  <c r="R817" i="32"/>
  <c r="Q817" i="32"/>
  <c r="S828" i="32"/>
  <c r="R828" i="32"/>
  <c r="Q828" i="32"/>
  <c r="S1014" i="32"/>
  <c r="R1014" i="32"/>
  <c r="Q1014" i="32"/>
  <c r="S1028" i="32"/>
  <c r="R1028" i="32"/>
  <c r="Q1028" i="32"/>
  <c r="S893" i="32"/>
  <c r="R893" i="32"/>
  <c r="S901" i="32"/>
  <c r="R901" i="32"/>
  <c r="S923" i="32"/>
  <c r="R923" i="32"/>
  <c r="Q923" i="32"/>
  <c r="S947" i="32"/>
  <c r="R947" i="32"/>
  <c r="Q947" i="32"/>
  <c r="R1099" i="32"/>
  <c r="S1099" i="32"/>
  <c r="Q1099" i="32"/>
  <c r="S1195" i="32"/>
  <c r="R1195" i="32"/>
  <c r="Q1195" i="32"/>
  <c r="R765" i="32"/>
  <c r="P767" i="32"/>
  <c r="P782" i="32"/>
  <c r="R796" i="32"/>
  <c r="R804" i="32"/>
  <c r="R812" i="32"/>
  <c r="R827" i="32"/>
  <c r="R835" i="32"/>
  <c r="R843" i="32"/>
  <c r="R851" i="32"/>
  <c r="P857" i="32"/>
  <c r="R873" i="32"/>
  <c r="S875" i="32"/>
  <c r="R881" i="32"/>
  <c r="P880" i="32"/>
  <c r="R884" i="32"/>
  <c r="S934" i="32"/>
  <c r="R934" i="32"/>
  <c r="S955" i="32"/>
  <c r="R955" i="32"/>
  <c r="Q955" i="32"/>
  <c r="S998" i="32"/>
  <c r="R998" i="32"/>
  <c r="Q998" i="32"/>
  <c r="Q1007" i="32"/>
  <c r="R1007" i="32"/>
  <c r="Q1015" i="32"/>
  <c r="R1015" i="32"/>
  <c r="Q1029" i="32"/>
  <c r="R1029" i="32"/>
  <c r="S1076" i="32"/>
  <c r="R1076" i="32"/>
  <c r="Q1076" i="32"/>
  <c r="S765" i="32"/>
  <c r="P768" i="32"/>
  <c r="S931" i="32"/>
  <c r="R931" i="32"/>
  <c r="Q931" i="32"/>
  <c r="Q934" i="32"/>
  <c r="Q959" i="32"/>
  <c r="R959" i="32"/>
  <c r="S966" i="32"/>
  <c r="R966" i="32"/>
  <c r="S990" i="32"/>
  <c r="R990" i="32"/>
  <c r="Q990" i="32"/>
  <c r="Q999" i="32"/>
  <c r="R999" i="32"/>
  <c r="S1068" i="32"/>
  <c r="R1068" i="32"/>
  <c r="Q1068" i="32"/>
  <c r="P769" i="32"/>
  <c r="S910" i="32"/>
  <c r="R910" i="32"/>
  <c r="Q910" i="32"/>
  <c r="S918" i="32"/>
  <c r="R918" i="32"/>
  <c r="Q935" i="32"/>
  <c r="R935" i="32"/>
  <c r="S963" i="32"/>
  <c r="R963" i="32"/>
  <c r="Q963" i="32"/>
  <c r="S982" i="32"/>
  <c r="R982" i="32"/>
  <c r="Q982" i="32"/>
  <c r="Q991" i="32"/>
  <c r="R991" i="32"/>
  <c r="S1060" i="32"/>
  <c r="R1060" i="32"/>
  <c r="Q1060" i="32"/>
  <c r="Q777" i="32"/>
  <c r="P778" i="32"/>
  <c r="S783" i="32"/>
  <c r="Q792" i="32"/>
  <c r="Q800" i="32"/>
  <c r="Q816" i="32"/>
  <c r="S854" i="32"/>
  <c r="S863" i="32"/>
  <c r="Q874" i="32"/>
  <c r="R878" i="32"/>
  <c r="S889" i="32"/>
  <c r="S890" i="32"/>
  <c r="R898" i="32"/>
  <c r="S915" i="32"/>
  <c r="R915" i="32"/>
  <c r="Q915" i="32"/>
  <c r="Q918" i="32"/>
  <c r="S935" i="32"/>
  <c r="S942" i="32"/>
  <c r="R942" i="32"/>
  <c r="Q967" i="32"/>
  <c r="R967" i="32"/>
  <c r="S974" i="32"/>
  <c r="R974" i="32"/>
  <c r="Q974" i="32"/>
  <c r="Q983" i="32"/>
  <c r="R983" i="32"/>
  <c r="S991" i="32"/>
  <c r="S1023" i="32"/>
  <c r="R1023" i="32"/>
  <c r="Q1023" i="32"/>
  <c r="S1025" i="32"/>
  <c r="R1025" i="32"/>
  <c r="Q1025" i="32"/>
  <c r="S1027" i="32"/>
  <c r="R1027" i="32"/>
  <c r="Q1027" i="32"/>
  <c r="S1052" i="32"/>
  <c r="R1052" i="32"/>
  <c r="Q1052" i="32"/>
  <c r="R777" i="32"/>
  <c r="P861" i="32"/>
  <c r="R858" i="32"/>
  <c r="S874" i="32"/>
  <c r="R886" i="32"/>
  <c r="Q886" i="32"/>
  <c r="S902" i="32"/>
  <c r="R902" i="32"/>
  <c r="Q902" i="32"/>
  <c r="S909" i="32"/>
  <c r="R909" i="32"/>
  <c r="Q919" i="32"/>
  <c r="R919" i="32"/>
  <c r="S939" i="32"/>
  <c r="R939" i="32"/>
  <c r="Q939" i="32"/>
  <c r="S967" i="32"/>
  <c r="S971" i="32"/>
  <c r="R971" i="32"/>
  <c r="Q971" i="32"/>
  <c r="Q975" i="32"/>
  <c r="R975" i="32"/>
  <c r="S983" i="32"/>
  <c r="S885" i="32"/>
  <c r="R885" i="32"/>
  <c r="R894" i="32"/>
  <c r="Q894" i="32"/>
  <c r="N2553" i="32"/>
  <c r="S926" i="32"/>
  <c r="R926" i="32"/>
  <c r="Q943" i="32"/>
  <c r="R943" i="32"/>
  <c r="S950" i="32"/>
  <c r="R950" i="32"/>
  <c r="S1044" i="32"/>
  <c r="R1044" i="32"/>
  <c r="Q1044" i="32"/>
  <c r="S1163" i="32"/>
  <c r="R1163" i="32"/>
  <c r="Q1163" i="32"/>
  <c r="R1037" i="32"/>
  <c r="R1045" i="32"/>
  <c r="R1053" i="32"/>
  <c r="R1061" i="32"/>
  <c r="R1069" i="32"/>
  <c r="R1077" i="32"/>
  <c r="R1085" i="32"/>
  <c r="R1090" i="32"/>
  <c r="R1094" i="32"/>
  <c r="S1096" i="32"/>
  <c r="S1126" i="32"/>
  <c r="R1126" i="32"/>
  <c r="S1203" i="32"/>
  <c r="R1203" i="32"/>
  <c r="Q1203" i="32"/>
  <c r="S1267" i="32"/>
  <c r="R1267" i="32"/>
  <c r="Q1267" i="32"/>
  <c r="S1259" i="32"/>
  <c r="R1259" i="32"/>
  <c r="Q1259" i="32"/>
  <c r="R1087" i="32"/>
  <c r="S1106" i="32"/>
  <c r="Q1106" i="32"/>
  <c r="S1108" i="32"/>
  <c r="S1114" i="32"/>
  <c r="Q1114" i="32"/>
  <c r="S1123" i="32"/>
  <c r="R1123" i="32"/>
  <c r="Q1123" i="32"/>
  <c r="S1131" i="32"/>
  <c r="R1131" i="32"/>
  <c r="Q1131" i="32"/>
  <c r="S1187" i="32"/>
  <c r="R1187" i="32"/>
  <c r="Q1187" i="32"/>
  <c r="S1251" i="32"/>
  <c r="R1251" i="32"/>
  <c r="Q1251" i="32"/>
  <c r="R1400" i="32"/>
  <c r="Q1400" i="32"/>
  <c r="S1400" i="32"/>
  <c r="Q1431" i="32"/>
  <c r="R1431" i="32"/>
  <c r="S1431" i="32"/>
  <c r="Q979" i="32"/>
  <c r="Q987" i="32"/>
  <c r="Q995" i="32"/>
  <c r="Q1003" i="32"/>
  <c r="Q1011" i="32"/>
  <c r="Q1019" i="32"/>
  <c r="Q1033" i="32"/>
  <c r="Q1041" i="32"/>
  <c r="Q1049" i="32"/>
  <c r="Q1057" i="32"/>
  <c r="Q1065" i="32"/>
  <c r="Q1073" i="32"/>
  <c r="Q1081" i="32"/>
  <c r="S1155" i="32"/>
  <c r="R1155" i="32"/>
  <c r="Q1155" i="32"/>
  <c r="S1243" i="32"/>
  <c r="R1243" i="32"/>
  <c r="Q1243" i="32"/>
  <c r="S1307" i="32"/>
  <c r="R1307" i="32"/>
  <c r="Q1307" i="32"/>
  <c r="Q1511" i="32"/>
  <c r="S1511" i="32"/>
  <c r="R1511" i="32"/>
  <c r="Q944" i="32"/>
  <c r="Q952" i="32"/>
  <c r="Q960" i="32"/>
  <c r="Q968" i="32"/>
  <c r="Q976" i="32"/>
  <c r="R979" i="32"/>
  <c r="Q984" i="32"/>
  <c r="R987" i="32"/>
  <c r="Q992" i="32"/>
  <c r="R995" i="32"/>
  <c r="Q1000" i="32"/>
  <c r="R1003" i="32"/>
  <c r="Q1008" i="32"/>
  <c r="R1011" i="32"/>
  <c r="Q1016" i="32"/>
  <c r="R1019" i="32"/>
  <c r="Q1030" i="32"/>
  <c r="R1033" i="32"/>
  <c r="Q1038" i="32"/>
  <c r="R1041" i="32"/>
  <c r="Q1046" i="32"/>
  <c r="R1049" i="32"/>
  <c r="Q1054" i="32"/>
  <c r="R1057" i="32"/>
  <c r="Q1062" i="32"/>
  <c r="R1065" i="32"/>
  <c r="Q1070" i="32"/>
  <c r="R1073" i="32"/>
  <c r="Q1078" i="32"/>
  <c r="R1081" i="32"/>
  <c r="Q1086" i="32"/>
  <c r="R1089" i="32"/>
  <c r="Q1091" i="32"/>
  <c r="S1095" i="32"/>
  <c r="S1104" i="32"/>
  <c r="Q1104" i="32"/>
  <c r="S1147" i="32"/>
  <c r="R1147" i="32"/>
  <c r="Q1147" i="32"/>
  <c r="S1179" i="32"/>
  <c r="R1179" i="32"/>
  <c r="Q1179" i="32"/>
  <c r="S1235" i="32"/>
  <c r="R1235" i="32"/>
  <c r="Q1235" i="32"/>
  <c r="S1299" i="32"/>
  <c r="R1299" i="32"/>
  <c r="Q1299" i="32"/>
  <c r="S1349" i="32"/>
  <c r="Q1349" i="32"/>
  <c r="R1349" i="32"/>
  <c r="Q1543" i="32"/>
  <c r="S1543" i="32"/>
  <c r="R1543" i="32"/>
  <c r="S1091" i="32"/>
  <c r="Q1102" i="32"/>
  <c r="R1104" i="32"/>
  <c r="R1115" i="32"/>
  <c r="Q1115" i="32"/>
  <c r="S1118" i="32"/>
  <c r="R1118" i="32"/>
  <c r="S1227" i="32"/>
  <c r="R1227" i="32"/>
  <c r="Q1227" i="32"/>
  <c r="S1291" i="32"/>
  <c r="R1291" i="32"/>
  <c r="Q1291" i="32"/>
  <c r="Q1447" i="32"/>
  <c r="R1447" i="32"/>
  <c r="S1447" i="32"/>
  <c r="S1219" i="32"/>
  <c r="R1219" i="32"/>
  <c r="Q1219" i="32"/>
  <c r="S1283" i="32"/>
  <c r="R1283" i="32"/>
  <c r="Q1283" i="32"/>
  <c r="Q1366" i="32"/>
  <c r="S1366" i="32"/>
  <c r="R1366" i="32"/>
  <c r="O913" i="32"/>
  <c r="Q1094" i="32"/>
  <c r="R1096" i="32"/>
  <c r="S1110" i="32"/>
  <c r="R1110" i="32"/>
  <c r="S1139" i="32"/>
  <c r="R1139" i="32"/>
  <c r="Q1139" i="32"/>
  <c r="S1171" i="32"/>
  <c r="R1171" i="32"/>
  <c r="Q1171" i="32"/>
  <c r="S1211" i="32"/>
  <c r="R1211" i="32"/>
  <c r="Q1211" i="32"/>
  <c r="S1275" i="32"/>
  <c r="R1275" i="32"/>
  <c r="Q1275" i="32"/>
  <c r="S1309" i="32"/>
  <c r="Q1309" i="32"/>
  <c r="R1309" i="32"/>
  <c r="Q1334" i="32"/>
  <c r="S1334" i="32"/>
  <c r="R1334" i="32"/>
  <c r="Q1415" i="32"/>
  <c r="R1415" i="32"/>
  <c r="S1415" i="32"/>
  <c r="S1341" i="32"/>
  <c r="Q1341" i="32"/>
  <c r="S1357" i="32"/>
  <c r="Q1357" i="32"/>
  <c r="S1390" i="32"/>
  <c r="Q1390" i="32"/>
  <c r="R1424" i="32"/>
  <c r="Q1424" i="32"/>
  <c r="R1440" i="32"/>
  <c r="Q1440" i="32"/>
  <c r="Q1463" i="32"/>
  <c r="R1463" i="32"/>
  <c r="Q1471" i="32"/>
  <c r="R1471" i="32"/>
  <c r="Q1479" i="32"/>
  <c r="R1479" i="32"/>
  <c r="Q1555" i="32"/>
  <c r="S1555" i="32"/>
  <c r="R1555" i="32"/>
  <c r="R1134" i="32"/>
  <c r="R1142" i="32"/>
  <c r="R1150" i="32"/>
  <c r="R1158" i="32"/>
  <c r="R1166" i="32"/>
  <c r="R1174" i="32"/>
  <c r="R1182" i="32"/>
  <c r="R1190" i="32"/>
  <c r="R1198" i="32"/>
  <c r="R1206" i="32"/>
  <c r="R1214" i="32"/>
  <c r="R1222" i="32"/>
  <c r="R1230" i="32"/>
  <c r="R1238" i="32"/>
  <c r="R1246" i="32"/>
  <c r="R1254" i="32"/>
  <c r="R1262" i="32"/>
  <c r="R1270" i="32"/>
  <c r="R1278" i="32"/>
  <c r="R1286" i="32"/>
  <c r="R1294" i="32"/>
  <c r="R1302" i="32"/>
  <c r="Q1319" i="32"/>
  <c r="R1319" i="32"/>
  <c r="S1326" i="32"/>
  <c r="S1352" i="32"/>
  <c r="Q1375" i="32"/>
  <c r="R1375" i="32"/>
  <c r="Q1391" i="32"/>
  <c r="R1391" i="32"/>
  <c r="S1406" i="32"/>
  <c r="Q1406" i="32"/>
  <c r="S1454" i="32"/>
  <c r="Q1454" i="32"/>
  <c r="S1486" i="32"/>
  <c r="R1486" i="32"/>
  <c r="Q1486" i="32"/>
  <c r="Q1112" i="32"/>
  <c r="Q1120" i="32"/>
  <c r="Q1128" i="32"/>
  <c r="Q1136" i="32"/>
  <c r="Q1144" i="32"/>
  <c r="Q1152" i="32"/>
  <c r="Q1160" i="32"/>
  <c r="Q1168" i="32"/>
  <c r="Q1176" i="32"/>
  <c r="Q1184" i="32"/>
  <c r="Q1192" i="32"/>
  <c r="Q1200" i="32"/>
  <c r="Q1208" i="32"/>
  <c r="Q1216" i="32"/>
  <c r="Q1224" i="32"/>
  <c r="Q1232" i="32"/>
  <c r="Q1240" i="32"/>
  <c r="Q1248" i="32"/>
  <c r="Q1256" i="32"/>
  <c r="Q1264" i="32"/>
  <c r="Q1272" i="32"/>
  <c r="Q1280" i="32"/>
  <c r="Q1288" i="32"/>
  <c r="Q1296" i="32"/>
  <c r="Q1304" i="32"/>
  <c r="Q1312" i="32"/>
  <c r="S1319" i="32"/>
  <c r="Q1327" i="32"/>
  <c r="R1327" i="32"/>
  <c r="R1342" i="32"/>
  <c r="R1358" i="32"/>
  <c r="S1375" i="32"/>
  <c r="S1382" i="32"/>
  <c r="Q1382" i="32"/>
  <c r="S1391" i="32"/>
  <c r="R1406" i="32"/>
  <c r="R1416" i="32"/>
  <c r="Q1416" i="32"/>
  <c r="R1432" i="32"/>
  <c r="Q1432" i="32"/>
  <c r="R1448" i="32"/>
  <c r="Q1448" i="32"/>
  <c r="R1454" i="32"/>
  <c r="Q1487" i="32"/>
  <c r="R1487" i="32"/>
  <c r="S1494" i="32"/>
  <c r="R1494" i="32"/>
  <c r="Q1494" i="32"/>
  <c r="Q1535" i="32"/>
  <c r="S1535" i="32"/>
  <c r="R1535" i="32"/>
  <c r="R1557" i="32"/>
  <c r="Q1557" i="32"/>
  <c r="S1557" i="32"/>
  <c r="R1128" i="32"/>
  <c r="R1136" i="32"/>
  <c r="R1144" i="32"/>
  <c r="R1152" i="32"/>
  <c r="R1160" i="32"/>
  <c r="R1168" i="32"/>
  <c r="R1176" i="32"/>
  <c r="R1184" i="32"/>
  <c r="R1192" i="32"/>
  <c r="R1200" i="32"/>
  <c r="R1208" i="32"/>
  <c r="R1216" i="32"/>
  <c r="R1224" i="32"/>
  <c r="R1232" i="32"/>
  <c r="R1240" i="32"/>
  <c r="R1248" i="32"/>
  <c r="R1256" i="32"/>
  <c r="R1264" i="32"/>
  <c r="R1272" i="32"/>
  <c r="R1280" i="32"/>
  <c r="R1288" i="32"/>
  <c r="R1296" i="32"/>
  <c r="R1304" i="32"/>
  <c r="S1312" i="32"/>
  <c r="Q1335" i="32"/>
  <c r="R1335" i="32"/>
  <c r="S1342" i="32"/>
  <c r="S1358" i="32"/>
  <c r="Q1367" i="32"/>
  <c r="R1367" i="32"/>
  <c r="R1376" i="32"/>
  <c r="Q1376" i="32"/>
  <c r="R1392" i="32"/>
  <c r="Q1392" i="32"/>
  <c r="Q1407" i="32"/>
  <c r="R1407" i="32"/>
  <c r="S1422" i="32"/>
  <c r="Q1422" i="32"/>
  <c r="S1438" i="32"/>
  <c r="Q1438" i="32"/>
  <c r="Q1455" i="32"/>
  <c r="R1455" i="32"/>
  <c r="Q1495" i="32"/>
  <c r="R1495" i="32"/>
  <c r="Q1503" i="32"/>
  <c r="S1503" i="32"/>
  <c r="R1503" i="32"/>
  <c r="Q1122" i="32"/>
  <c r="Q1130" i="32"/>
  <c r="R1133" i="32"/>
  <c r="Q1138" i="32"/>
  <c r="R1141" i="32"/>
  <c r="Q1146" i="32"/>
  <c r="Q1154" i="32"/>
  <c r="Q1162" i="32"/>
  <c r="Q1170" i="32"/>
  <c r="Q1178" i="32"/>
  <c r="Q1186" i="32"/>
  <c r="Q1194" i="32"/>
  <c r="Q1202" i="32"/>
  <c r="Q1210" i="32"/>
  <c r="Q1218" i="32"/>
  <c r="Q1226" i="32"/>
  <c r="Q1234" i="32"/>
  <c r="Q1242" i="32"/>
  <c r="Q1250" i="32"/>
  <c r="Q1258" i="32"/>
  <c r="Q1266" i="32"/>
  <c r="Q1274" i="32"/>
  <c r="Q1282" i="32"/>
  <c r="Q1290" i="32"/>
  <c r="Q1298" i="32"/>
  <c r="Q1306" i="32"/>
  <c r="S1317" i="32"/>
  <c r="Q1317" i="32"/>
  <c r="Q1320" i="32"/>
  <c r="S1335" i="32"/>
  <c r="Q1343" i="32"/>
  <c r="R1343" i="32"/>
  <c r="S1350" i="32"/>
  <c r="Q1359" i="32"/>
  <c r="R1359" i="32"/>
  <c r="S1367" i="32"/>
  <c r="S1373" i="32"/>
  <c r="Q1373" i="32"/>
  <c r="S1376" i="32"/>
  <c r="Q1383" i="32"/>
  <c r="R1383" i="32"/>
  <c r="S1392" i="32"/>
  <c r="S1398" i="32"/>
  <c r="Q1398" i="32"/>
  <c r="S1407" i="32"/>
  <c r="R1422" i="32"/>
  <c r="R1438" i="32"/>
  <c r="S1455" i="32"/>
  <c r="S1495" i="32"/>
  <c r="Q1527" i="32"/>
  <c r="S1527" i="32"/>
  <c r="R1527" i="32"/>
  <c r="R1122" i="32"/>
  <c r="R1130" i="32"/>
  <c r="R1138" i="32"/>
  <c r="R1146" i="32"/>
  <c r="R1154" i="32"/>
  <c r="R1162" i="32"/>
  <c r="R1170" i="32"/>
  <c r="S1325" i="32"/>
  <c r="Q1325" i="32"/>
  <c r="Q1351" i="32"/>
  <c r="R1351" i="32"/>
  <c r="R1373" i="32"/>
  <c r="S1383" i="32"/>
  <c r="R1398" i="32"/>
  <c r="R1408" i="32"/>
  <c r="Q1408" i="32"/>
  <c r="Q1423" i="32"/>
  <c r="R1423" i="32"/>
  <c r="Q1439" i="32"/>
  <c r="R1439" i="32"/>
  <c r="R1456" i="32"/>
  <c r="Q1456" i="32"/>
  <c r="Q1311" i="32"/>
  <c r="R1311" i="32"/>
  <c r="R1325" i="32"/>
  <c r="S1328" i="32"/>
  <c r="S1333" i="32"/>
  <c r="Q1333" i="32"/>
  <c r="Q1336" i="32"/>
  <c r="S1351" i="32"/>
  <c r="S1365" i="32"/>
  <c r="Q1365" i="32"/>
  <c r="Q1368" i="32"/>
  <c r="R1384" i="32"/>
  <c r="Q1384" i="32"/>
  <c r="Q1399" i="32"/>
  <c r="R1399" i="32"/>
  <c r="S1414" i="32"/>
  <c r="Q1414" i="32"/>
  <c r="S1430" i="32"/>
  <c r="Q1430" i="32"/>
  <c r="S1446" i="32"/>
  <c r="Q1446" i="32"/>
  <c r="S1462" i="32"/>
  <c r="R1462" i="32"/>
  <c r="Q1462" i="32"/>
  <c r="S1470" i="32"/>
  <c r="R1470" i="32"/>
  <c r="Q1470" i="32"/>
  <c r="S1478" i="32"/>
  <c r="R1478" i="32"/>
  <c r="Q1478" i="32"/>
  <c r="Q1519" i="32"/>
  <c r="S1519" i="32"/>
  <c r="R1519" i="32"/>
  <c r="S1354" i="32"/>
  <c r="S1362" i="32"/>
  <c r="S1370" i="32"/>
  <c r="S1378" i="32"/>
  <c r="S1450" i="32"/>
  <c r="S1466" i="32"/>
  <c r="S1474" i="32"/>
  <c r="S1490" i="32"/>
  <c r="S1498" i="32"/>
  <c r="S1506" i="32"/>
  <c r="S1514" i="32"/>
  <c r="S1522" i="32"/>
  <c r="S1530" i="32"/>
  <c r="S1538" i="32"/>
  <c r="S1576" i="32"/>
  <c r="Q1576" i="32"/>
  <c r="R1596" i="32"/>
  <c r="Q1596" i="32"/>
  <c r="R1601" i="32"/>
  <c r="Q1601" i="32"/>
  <c r="Q1649" i="32"/>
  <c r="S1667" i="32"/>
  <c r="R1667" i="32"/>
  <c r="Q1667" i="32"/>
  <c r="S1734" i="32"/>
  <c r="R1734" i="32"/>
  <c r="Q1734" i="32"/>
  <c r="S1615" i="32"/>
  <c r="Q1615" i="32"/>
  <c r="S1623" i="32"/>
  <c r="Q1623" i="32"/>
  <c r="Q1653" i="32"/>
  <c r="S1653" i="32"/>
  <c r="P1741" i="32"/>
  <c r="P1742" i="32"/>
  <c r="S1740" i="32"/>
  <c r="R1740" i="32"/>
  <c r="Q1740" i="32"/>
  <c r="Q1502" i="32"/>
  <c r="Q1510" i="32"/>
  <c r="Q1518" i="32"/>
  <c r="Q1526" i="32"/>
  <c r="Q1534" i="32"/>
  <c r="Q1542" i="32"/>
  <c r="Q1560" i="32"/>
  <c r="R1562" i="32"/>
  <c r="R1577" i="32"/>
  <c r="Q1577" i="32"/>
  <c r="R1615" i="32"/>
  <c r="R1623" i="32"/>
  <c r="S1627" i="32"/>
  <c r="Q1627" i="32"/>
  <c r="S1638" i="32"/>
  <c r="R1638" i="32"/>
  <c r="Q1638" i="32"/>
  <c r="S1714" i="32"/>
  <c r="R1714" i="32"/>
  <c r="Q1714" i="32"/>
  <c r="S1726" i="32"/>
  <c r="R1726" i="32"/>
  <c r="Q1726" i="32"/>
  <c r="R1502" i="32"/>
  <c r="R1510" i="32"/>
  <c r="R1518" i="32"/>
  <c r="R1526" i="32"/>
  <c r="R1534" i="32"/>
  <c r="R1542" i="32"/>
  <c r="R1560" i="32"/>
  <c r="S1562" i="32"/>
  <c r="S1584" i="32"/>
  <c r="Q1584" i="32"/>
  <c r="R1604" i="32"/>
  <c r="Q1604" i="32"/>
  <c r="S1609" i="32"/>
  <c r="R1609" i="32"/>
  <c r="Q1609" i="32"/>
  <c r="S1617" i="32"/>
  <c r="R1617" i="32"/>
  <c r="Q1617" i="32"/>
  <c r="Q1745" i="32"/>
  <c r="R1745" i="32"/>
  <c r="R1578" i="32"/>
  <c r="Q1578" i="32"/>
  <c r="S1599" i="32"/>
  <c r="Q1599" i="32"/>
  <c r="P1659" i="32"/>
  <c r="P1660" i="32"/>
  <c r="S1658" i="32"/>
  <c r="P1661" i="32"/>
  <c r="R1658" i="32"/>
  <c r="Q1658" i="32"/>
  <c r="S1774" i="32"/>
  <c r="R1774" i="32"/>
  <c r="Q1774" i="32"/>
  <c r="Q1381" i="32"/>
  <c r="Q1389" i="32"/>
  <c r="Q1397" i="32"/>
  <c r="Q1405" i="32"/>
  <c r="Q1413" i="32"/>
  <c r="Q1421" i="32"/>
  <c r="Q1429" i="32"/>
  <c r="Q1437" i="32"/>
  <c r="Q1445" i="32"/>
  <c r="Q1453" i="32"/>
  <c r="Q1461" i="32"/>
  <c r="Q1469" i="32"/>
  <c r="Q1477" i="32"/>
  <c r="Q1485" i="32"/>
  <c r="Q1493" i="32"/>
  <c r="Q1501" i="32"/>
  <c r="Q1509" i="32"/>
  <c r="Q1517" i="32"/>
  <c r="Q1525" i="32"/>
  <c r="Q1533" i="32"/>
  <c r="Q1541" i="32"/>
  <c r="Q1548" i="32"/>
  <c r="R1552" i="32"/>
  <c r="S1554" i="32"/>
  <c r="Q1563" i="32"/>
  <c r="Q1565" i="32"/>
  <c r="S1578" i="32"/>
  <c r="R1585" i="32"/>
  <c r="Q1585" i="32"/>
  <c r="R1593" i="32"/>
  <c r="Q1593" i="32"/>
  <c r="P1592" i="32"/>
  <c r="R1599" i="32"/>
  <c r="S1629" i="32"/>
  <c r="R1629" i="32"/>
  <c r="Q1629" i="32"/>
  <c r="S1683" i="32"/>
  <c r="R1683" i="32"/>
  <c r="Q1683" i="32"/>
  <c r="S1706" i="32"/>
  <c r="R1706" i="32"/>
  <c r="Q1706" i="32"/>
  <c r="P1769" i="32"/>
  <c r="P1770" i="32"/>
  <c r="S1768" i="32"/>
  <c r="P1771" i="32"/>
  <c r="R1768" i="32"/>
  <c r="Q1768" i="32"/>
  <c r="P1857" i="32"/>
  <c r="P1858" i="32"/>
  <c r="S1856" i="32"/>
  <c r="P1859" i="32"/>
  <c r="R1856" i="32"/>
  <c r="Q1856" i="32"/>
  <c r="Q1878" i="32"/>
  <c r="S1878" i="32"/>
  <c r="R1878" i="32"/>
  <c r="R1570" i="32"/>
  <c r="Q1570" i="32"/>
  <c r="Q1776" i="32"/>
  <c r="P1779" i="32"/>
  <c r="P1777" i="32"/>
  <c r="S1776" i="32"/>
  <c r="P1778" i="32"/>
  <c r="R1776" i="32"/>
  <c r="S1546" i="32"/>
  <c r="S1561" i="32"/>
  <c r="S1570" i="32"/>
  <c r="S1573" i="32"/>
  <c r="R1573" i="32"/>
  <c r="R1586" i="32"/>
  <c r="Q1586" i="32"/>
  <c r="S1607" i="32"/>
  <c r="Q1607" i="32"/>
  <c r="S1675" i="32"/>
  <c r="R1675" i="32"/>
  <c r="Q1675" i="32"/>
  <c r="S1698" i="32"/>
  <c r="R1698" i="32"/>
  <c r="Q1698" i="32"/>
  <c r="S1760" i="32"/>
  <c r="R1760" i="32"/>
  <c r="Q1760" i="32"/>
  <c r="P1648" i="32"/>
  <c r="Q1665" i="32"/>
  <c r="Q1673" i="32"/>
  <c r="Q1681" i="32"/>
  <c r="Q1696" i="32"/>
  <c r="Q1704" i="32"/>
  <c r="Q1712" i="32"/>
  <c r="Q1724" i="32"/>
  <c r="Q1732" i="32"/>
  <c r="P1751" i="32"/>
  <c r="Q1766" i="32"/>
  <c r="Q1784" i="32"/>
  <c r="S1796" i="32"/>
  <c r="R1796" i="32"/>
  <c r="Q1807" i="32"/>
  <c r="P1808" i="32"/>
  <c r="P1809" i="32"/>
  <c r="S1807" i="32"/>
  <c r="P1814" i="32"/>
  <c r="R1811" i="32"/>
  <c r="P1812" i="32"/>
  <c r="P1813" i="32"/>
  <c r="S1821" i="32"/>
  <c r="R1821" i="32"/>
  <c r="R1581" i="32"/>
  <c r="R1589" i="32"/>
  <c r="R1600" i="32"/>
  <c r="R1608" i="32"/>
  <c r="R1616" i="32"/>
  <c r="R1624" i="32"/>
  <c r="R1632" i="32"/>
  <c r="R1641" i="32"/>
  <c r="P1647" i="32"/>
  <c r="R1662" i="32"/>
  <c r="R1670" i="32"/>
  <c r="R1678" i="32"/>
  <c r="R1686" i="32"/>
  <c r="R1697" i="32"/>
  <c r="R1705" i="32"/>
  <c r="R1713" i="32"/>
  <c r="R1721" i="32"/>
  <c r="R1729" i="32"/>
  <c r="R1737" i="32"/>
  <c r="P1750" i="32"/>
  <c r="R1763" i="32"/>
  <c r="R1772" i="32"/>
  <c r="R1787" i="32"/>
  <c r="S1811" i="32"/>
  <c r="P1832" i="32"/>
  <c r="P1833" i="32"/>
  <c r="S1831" i="32"/>
  <c r="P1834" i="32"/>
  <c r="R1831" i="32"/>
  <c r="Q1831" i="32"/>
  <c r="S1737" i="32"/>
  <c r="S1785" i="32"/>
  <c r="R1785" i="32"/>
  <c r="Q1785" i="32"/>
  <c r="S1789" i="32"/>
  <c r="R1789" i="32"/>
  <c r="R1805" i="32"/>
  <c r="S1828" i="32"/>
  <c r="R1828" i="32"/>
  <c r="P1801" i="32"/>
  <c r="S1799" i="32"/>
  <c r="P1802" i="32"/>
  <c r="R1799" i="32"/>
  <c r="Q1799" i="32"/>
  <c r="S1805" i="32"/>
  <c r="Q1612" i="32"/>
  <c r="Q1620" i="32"/>
  <c r="Q1628" i="32"/>
  <c r="Q1646" i="32"/>
  <c r="R1650" i="32"/>
  <c r="Q1666" i="32"/>
  <c r="Q1674" i="32"/>
  <c r="R1677" i="32"/>
  <c r="Q1682" i="32"/>
  <c r="R1685" i="32"/>
  <c r="Q1693" i="32"/>
  <c r="R1700" i="32"/>
  <c r="Q1701" i="32"/>
  <c r="R1708" i="32"/>
  <c r="Q1709" i="32"/>
  <c r="R1716" i="32"/>
  <c r="Q1717" i="32"/>
  <c r="Q1725" i="32"/>
  <c r="R1728" i="32"/>
  <c r="Q1733" i="32"/>
  <c r="R1736" i="32"/>
  <c r="R1746" i="32"/>
  <c r="Q1749" i="32"/>
  <c r="Q1759" i="32"/>
  <c r="R1762" i="32"/>
  <c r="Q1767" i="32"/>
  <c r="Q1796" i="32"/>
  <c r="P1871" i="32"/>
  <c r="R1868" i="32"/>
  <c r="Q1868" i="32"/>
  <c r="P1869" i="32"/>
  <c r="P1870" i="32"/>
  <c r="R1931" i="32"/>
  <c r="Q1931" i="32"/>
  <c r="S1931" i="32"/>
  <c r="R1646" i="32"/>
  <c r="Q1775" i="32"/>
  <c r="R1781" i="32"/>
  <c r="P1786" i="32"/>
  <c r="P1800" i="32"/>
  <c r="Q1828" i="32"/>
  <c r="S1862" i="32"/>
  <c r="Q1862" i="32"/>
  <c r="S1868" i="32"/>
  <c r="S1810" i="32"/>
  <c r="R1810" i="32"/>
  <c r="Q1810" i="32"/>
  <c r="S1837" i="32"/>
  <c r="Q1837" i="32"/>
  <c r="S1839" i="32"/>
  <c r="S1864" i="32"/>
  <c r="P1879" i="32"/>
  <c r="R1876" i="32"/>
  <c r="P1877" i="32"/>
  <c r="R1886" i="32"/>
  <c r="Q1974" i="32"/>
  <c r="S1974" i="32"/>
  <c r="R1974" i="32"/>
  <c r="P1816" i="32"/>
  <c r="Q1827" i="32"/>
  <c r="P1841" i="32"/>
  <c r="Q1852" i="32"/>
  <c r="P1866" i="32"/>
  <c r="P1873" i="32"/>
  <c r="Q1876" i="32"/>
  <c r="Q1892" i="32"/>
  <c r="P1893" i="32"/>
  <c r="S1892" i="32"/>
  <c r="P1895" i="32"/>
  <c r="R1892" i="32"/>
  <c r="S1908" i="32"/>
  <c r="P1911" i="32"/>
  <c r="R1908" i="32"/>
  <c r="Q1908" i="32"/>
  <c r="P1909" i="32"/>
  <c r="R1788" i="32"/>
  <c r="R1795" i="32"/>
  <c r="P1798" i="32"/>
  <c r="R1827" i="32"/>
  <c r="P1830" i="32"/>
  <c r="R1852" i="32"/>
  <c r="P1855" i="32"/>
  <c r="S1876" i="32"/>
  <c r="P1840" i="32"/>
  <c r="P1865" i="32"/>
  <c r="R1881" i="32"/>
  <c r="Q1881" i="32"/>
  <c r="R1906" i="32"/>
  <c r="Q1906" i="32"/>
  <c r="S1894" i="32"/>
  <c r="R1894" i="32"/>
  <c r="Q1894" i="32"/>
  <c r="Q1910" i="32"/>
  <c r="S1910" i="32"/>
  <c r="R1910" i="32"/>
  <c r="S1945" i="32"/>
  <c r="R1945" i="32"/>
  <c r="Q1945" i="32"/>
  <c r="P1843" i="32"/>
  <c r="S1923" i="32"/>
  <c r="R1923" i="32"/>
  <c r="Q1891" i="32"/>
  <c r="S1955" i="32"/>
  <c r="R1955" i="32"/>
  <c r="Q1955" i="32"/>
  <c r="S1896" i="32"/>
  <c r="P1902" i="32"/>
  <c r="R1924" i="32"/>
  <c r="P1927" i="32"/>
  <c r="S1928" i="32"/>
  <c r="P1934" i="32"/>
  <c r="P1966" i="32"/>
  <c r="P1973" i="32"/>
  <c r="P1977" i="32"/>
  <c r="P1979" i="32"/>
  <c r="R1976" i="32"/>
  <c r="S2002" i="32"/>
  <c r="S2009" i="32"/>
  <c r="S2080" i="32"/>
  <c r="R2080" i="32"/>
  <c r="Q2156" i="32"/>
  <c r="S2156" i="32"/>
  <c r="R2156" i="32"/>
  <c r="Q1884" i="32"/>
  <c r="R1888" i="32"/>
  <c r="P1898" i="32"/>
  <c r="P1905" i="32"/>
  <c r="Q1916" i="32"/>
  <c r="R1920" i="32"/>
  <c r="S1924" i="32"/>
  <c r="P1930" i="32"/>
  <c r="P1937" i="32"/>
  <c r="Q1976" i="32"/>
  <c r="P1978" i="32"/>
  <c r="P2026" i="32"/>
  <c r="S2024" i="32"/>
  <c r="P2027" i="32"/>
  <c r="R2024" i="32"/>
  <c r="Q2024" i="32"/>
  <c r="P2025" i="32"/>
  <c r="P1897" i="32"/>
  <c r="P1929" i="32"/>
  <c r="Q1972" i="32"/>
  <c r="Q1983" i="32"/>
  <c r="S2051" i="32"/>
  <c r="R2051" i="32"/>
  <c r="Q2084" i="32"/>
  <c r="S2084" i="32"/>
  <c r="R2084" i="32"/>
  <c r="Q1904" i="32"/>
  <c r="P1925" i="32"/>
  <c r="Q1936" i="32"/>
  <c r="R1972" i="32"/>
  <c r="P1975" i="32"/>
  <c r="R1983" i="32"/>
  <c r="P2006" i="32"/>
  <c r="P2007" i="32"/>
  <c r="R2004" i="32"/>
  <c r="Q2004" i="32"/>
  <c r="S2069" i="32"/>
  <c r="R2069" i="32"/>
  <c r="R1904" i="32"/>
  <c r="P1907" i="32"/>
  <c r="R1936" i="32"/>
  <c r="P1939" i="32"/>
  <c r="S1972" i="32"/>
  <c r="S1983" i="32"/>
  <c r="S2004" i="32"/>
  <c r="Q2012" i="32"/>
  <c r="P2013" i="32"/>
  <c r="P2014" i="32"/>
  <c r="S2012" i="32"/>
  <c r="P2037" i="32"/>
  <c r="P2038" i="32"/>
  <c r="P2039" i="32"/>
  <c r="R2036" i="32"/>
  <c r="Q2036" i="32"/>
  <c r="Q2002" i="32"/>
  <c r="Q2005" i="32"/>
  <c r="S2005" i="32"/>
  <c r="S2033" i="32"/>
  <c r="R2033" i="32"/>
  <c r="R1896" i="32"/>
  <c r="R1928" i="32"/>
  <c r="P1981" i="32"/>
  <c r="S1980" i="32"/>
  <c r="P1982" i="32"/>
  <c r="P1995" i="32"/>
  <c r="R1992" i="32"/>
  <c r="Q1992" i="32"/>
  <c r="P1993" i="32"/>
  <c r="R2005" i="32"/>
  <c r="Q2009" i="32"/>
  <c r="Q2069" i="32"/>
  <c r="R2008" i="32"/>
  <c r="P2011" i="32"/>
  <c r="P2018" i="32"/>
  <c r="S2044" i="32"/>
  <c r="P2050" i="32"/>
  <c r="P2072" i="32"/>
  <c r="S2073" i="32"/>
  <c r="P2079" i="32"/>
  <c r="P2120" i="32"/>
  <c r="P2116" i="32"/>
  <c r="P2117" i="32"/>
  <c r="S2115" i="32"/>
  <c r="P2118" i="32"/>
  <c r="R2115" i="32"/>
  <c r="Q2115" i="32"/>
  <c r="S2133" i="32"/>
  <c r="R2133" i="32"/>
  <c r="Q2133" i="32"/>
  <c r="Q2167" i="32"/>
  <c r="S2167" i="32"/>
  <c r="R2167" i="32"/>
  <c r="S2008" i="32"/>
  <c r="P2046" i="32"/>
  <c r="P2057" i="32"/>
  <c r="P2075" i="32"/>
  <c r="S2145" i="32"/>
  <c r="R2145" i="32"/>
  <c r="Q2145" i="32"/>
  <c r="Q2149" i="32"/>
  <c r="S2149" i="32"/>
  <c r="R2149" i="32"/>
  <c r="P2082" i="32"/>
  <c r="R1996" i="32"/>
  <c r="P1999" i="32"/>
  <c r="R2028" i="32"/>
  <c r="P2031" i="32"/>
  <c r="S2032" i="32"/>
  <c r="P2045" i="32"/>
  <c r="R2053" i="32"/>
  <c r="P2056" i="32"/>
  <c r="P2067" i="32"/>
  <c r="S2068" i="32"/>
  <c r="P2074" i="32"/>
  <c r="Q2078" i="32"/>
  <c r="P2095" i="32"/>
  <c r="S2093" i="32"/>
  <c r="P2096" i="32"/>
  <c r="R2093" i="32"/>
  <c r="Q2093" i="32"/>
  <c r="P2034" i="32"/>
  <c r="P2052" i="32"/>
  <c r="R2078" i="32"/>
  <c r="P2081" i="32"/>
  <c r="P2077" i="32"/>
  <c r="S2078" i="32"/>
  <c r="S2138" i="32"/>
  <c r="R2138" i="32"/>
  <c r="Q2138" i="32"/>
  <c r="S2152" i="32"/>
  <c r="R2152" i="32"/>
  <c r="Q2152" i="32"/>
  <c r="R2048" i="32"/>
  <c r="P2085" i="32"/>
  <c r="S2083" i="32"/>
  <c r="R2094" i="32"/>
  <c r="R2102" i="32"/>
  <c r="P2119" i="32"/>
  <c r="S2202" i="32"/>
  <c r="R2202" i="32"/>
  <c r="P2241" i="32"/>
  <c r="P2244" i="32"/>
  <c r="P2242" i="32"/>
  <c r="P2240" i="32"/>
  <c r="P2243" i="32"/>
  <c r="R2239" i="32"/>
  <c r="Q2239" i="32"/>
  <c r="Q2257" i="32"/>
  <c r="P2259" i="32"/>
  <c r="P2258" i="32"/>
  <c r="S2257" i="32"/>
  <c r="R2257" i="32"/>
  <c r="Q2289" i="32"/>
  <c r="P2290" i="32"/>
  <c r="P2291" i="32"/>
  <c r="S2289" i="32"/>
  <c r="R2289" i="32"/>
  <c r="P2292" i="32"/>
  <c r="S2490" i="32"/>
  <c r="R2490" i="32"/>
  <c r="Q2490" i="32"/>
  <c r="P2137" i="32"/>
  <c r="P2144" i="32"/>
  <c r="Q2155" i="32"/>
  <c r="S2190" i="32"/>
  <c r="R2190" i="32"/>
  <c r="S2239" i="32"/>
  <c r="R2286" i="32"/>
  <c r="S2286" i="32"/>
  <c r="Q2286" i="32"/>
  <c r="Q2437" i="32"/>
  <c r="P2442" i="32"/>
  <c r="P2438" i="32"/>
  <c r="P2439" i="32"/>
  <c r="P2441" i="32"/>
  <c r="S2437" i="32"/>
  <c r="P2440" i="32"/>
  <c r="R2437" i="32"/>
  <c r="P2089" i="32"/>
  <c r="P2100" i="32"/>
  <c r="P2122" i="32"/>
  <c r="P2126" i="32"/>
  <c r="P2140" i="32"/>
  <c r="Q2151" i="32"/>
  <c r="R2155" i="32"/>
  <c r="P2158" i="32"/>
  <c r="P2169" i="32"/>
  <c r="P2188" i="32"/>
  <c r="P2189" i="32"/>
  <c r="Q2187" i="32"/>
  <c r="Q2190" i="32"/>
  <c r="R2192" i="32"/>
  <c r="Q2192" i="32"/>
  <c r="S2220" i="32"/>
  <c r="R2220" i="32"/>
  <c r="R2248" i="32"/>
  <c r="S2248" i="32"/>
  <c r="Q2248" i="32"/>
  <c r="R2267" i="32"/>
  <c r="Q2267" i="32"/>
  <c r="S2267" i="32"/>
  <c r="R2297" i="32"/>
  <c r="S2297" i="32"/>
  <c r="R2424" i="32"/>
  <c r="Q2424" i="32"/>
  <c r="S2424" i="32"/>
  <c r="P2107" i="32"/>
  <c r="S2155" i="32"/>
  <c r="Q2181" i="32"/>
  <c r="S2181" i="32"/>
  <c r="P2252" i="32"/>
  <c r="R2249" i="32"/>
  <c r="P2250" i="32"/>
  <c r="S2249" i="32"/>
  <c r="Q2249" i="32"/>
  <c r="P2260" i="32"/>
  <c r="P2092" i="32"/>
  <c r="Q2103" i="32"/>
  <c r="P2125" i="32"/>
  <c r="Q2143" i="32"/>
  <c r="P2150" i="32"/>
  <c r="S2151" i="32"/>
  <c r="P2157" i="32"/>
  <c r="R2165" i="32"/>
  <c r="P2168" i="32"/>
  <c r="Q2184" i="32"/>
  <c r="S2187" i="32"/>
  <c r="Q2213" i="32"/>
  <c r="S2213" i="32"/>
  <c r="Q2297" i="32"/>
  <c r="R2103" i="32"/>
  <c r="P2106" i="32"/>
  <c r="R2143" i="32"/>
  <c r="P2146" i="32"/>
  <c r="P2153" i="32"/>
  <c r="P2174" i="32"/>
  <c r="P2176" i="32"/>
  <c r="S2184" i="32"/>
  <c r="Q2202" i="32"/>
  <c r="P2251" i="32"/>
  <c r="S2322" i="32"/>
  <c r="R2322" i="32"/>
  <c r="R2088" i="32"/>
  <c r="S2103" i="32"/>
  <c r="R2121" i="32"/>
  <c r="P2124" i="32"/>
  <c r="Q2135" i="32"/>
  <c r="R2139" i="32"/>
  <c r="P2142" i="32"/>
  <c r="S2143" i="32"/>
  <c r="Q2171" i="32"/>
  <c r="R2181" i="32"/>
  <c r="S2192" i="32"/>
  <c r="R2135" i="32"/>
  <c r="R2171" i="32"/>
  <c r="P2209" i="32"/>
  <c r="S2207" i="32"/>
  <c r="P2210" i="32"/>
  <c r="R2207" i="32"/>
  <c r="Q2207" i="32"/>
  <c r="P2208" i="32"/>
  <c r="S2231" i="32"/>
  <c r="R2231" i="32"/>
  <c r="P2247" i="32"/>
  <c r="Q2245" i="32"/>
  <c r="P2246" i="32"/>
  <c r="S2245" i="32"/>
  <c r="R2245" i="32"/>
  <c r="P2283" i="32"/>
  <c r="P2284" i="32"/>
  <c r="R2281" i="32"/>
  <c r="Q2281" i="32"/>
  <c r="P2282" i="32"/>
  <c r="S2281" i="32"/>
  <c r="R2337" i="32"/>
  <c r="S2337" i="32"/>
  <c r="Q2337" i="32"/>
  <c r="S2177" i="32"/>
  <c r="R2191" i="32"/>
  <c r="P2194" i="32"/>
  <c r="S2195" i="32"/>
  <c r="P2201" i="32"/>
  <c r="P2219" i="32"/>
  <c r="R2227" i="32"/>
  <c r="P2230" i="32"/>
  <c r="R2254" i="32"/>
  <c r="P2271" i="32"/>
  <c r="P2272" i="32"/>
  <c r="R2269" i="32"/>
  <c r="P2270" i="32"/>
  <c r="P2307" i="32"/>
  <c r="P2308" i="32"/>
  <c r="R2305" i="32"/>
  <c r="Q2305" i="32"/>
  <c r="P2310" i="32"/>
  <c r="P2306" i="32"/>
  <c r="S2481" i="32"/>
  <c r="R2481" i="32"/>
  <c r="Q2481" i="32"/>
  <c r="R2309" i="32"/>
  <c r="Q2309" i="32"/>
  <c r="P2329" i="32"/>
  <c r="P2330" i="32"/>
  <c r="R2327" i="32"/>
  <c r="Q2327" i="32"/>
  <c r="P2328" i="32"/>
  <c r="S2474" i="32"/>
  <c r="R2474" i="32"/>
  <c r="Q2474" i="32"/>
  <c r="S2398" i="32"/>
  <c r="R2398" i="32"/>
  <c r="P2178" i="32"/>
  <c r="P2182" i="32"/>
  <c r="S2183" i="32"/>
  <c r="P2196" i="32"/>
  <c r="R2211" i="32"/>
  <c r="P2214" i="32"/>
  <c r="S2215" i="32"/>
  <c r="P2225" i="32"/>
  <c r="P2301" i="32"/>
  <c r="P2302" i="32"/>
  <c r="R2299" i="32"/>
  <c r="Q2299" i="32"/>
  <c r="R2350" i="32"/>
  <c r="Q2350" i="32"/>
  <c r="S2350" i="32"/>
  <c r="P2185" i="32"/>
  <c r="S2211" i="32"/>
  <c r="P2217" i="32"/>
  <c r="P2232" i="32"/>
  <c r="P2409" i="32"/>
  <c r="S2407" i="32"/>
  <c r="P2410" i="32"/>
  <c r="R2407" i="32"/>
  <c r="Q2407" i="32"/>
  <c r="P2412" i="32"/>
  <c r="P2408" i="32"/>
  <c r="P2411" i="32"/>
  <c r="Q2199" i="32"/>
  <c r="P2206" i="32"/>
  <c r="R2221" i="32"/>
  <c r="P2224" i="32"/>
  <c r="S2265" i="32"/>
  <c r="Q2265" i="32"/>
  <c r="P2266" i="32"/>
  <c r="S2278" i="32"/>
  <c r="R2278" i="32"/>
  <c r="Q2300" i="32"/>
  <c r="S2300" i="32"/>
  <c r="P2373" i="32"/>
  <c r="S2371" i="32"/>
  <c r="P2374" i="32"/>
  <c r="R2371" i="32"/>
  <c r="Q2371" i="32"/>
  <c r="P2372" i="32"/>
  <c r="R2199" i="32"/>
  <c r="P2216" i="32"/>
  <c r="S2254" i="32"/>
  <c r="Q2263" i="32"/>
  <c r="R2265" i="32"/>
  <c r="P2268" i="32"/>
  <c r="R2300" i="32"/>
  <c r="P2304" i="32"/>
  <c r="Q2352" i="32"/>
  <c r="S2352" i="32"/>
  <c r="R2352" i="32"/>
  <c r="S2497" i="32"/>
  <c r="R2497" i="32"/>
  <c r="Q2497" i="32"/>
  <c r="P2321" i="32"/>
  <c r="P2338" i="32"/>
  <c r="S2417" i="32"/>
  <c r="R2417" i="32"/>
  <c r="S2253" i="32"/>
  <c r="Q2277" i="32"/>
  <c r="S2285" i="32"/>
  <c r="Q2317" i="32"/>
  <c r="P2324" i="32"/>
  <c r="P2348" i="32"/>
  <c r="P2349" i="32"/>
  <c r="S2347" i="32"/>
  <c r="Q2347" i="32"/>
  <c r="P2405" i="32"/>
  <c r="S2403" i="32"/>
  <c r="P2406" i="32"/>
  <c r="R2403" i="32"/>
  <c r="Q2403" i="32"/>
  <c r="P2404" i="32"/>
  <c r="S2464" i="32"/>
  <c r="R2464" i="32"/>
  <c r="Q2464" i="32"/>
  <c r="P2341" i="32"/>
  <c r="P2342" i="32"/>
  <c r="R2339" i="32"/>
  <c r="P2423" i="32"/>
  <c r="S2473" i="32"/>
  <c r="R2473" i="32"/>
  <c r="Q2473" i="32"/>
  <c r="S2482" i="32"/>
  <c r="R2482" i="32"/>
  <c r="Q2482" i="32"/>
  <c r="S2489" i="32"/>
  <c r="R2489" i="32"/>
  <c r="Q2489" i="32"/>
  <c r="S2498" i="32"/>
  <c r="R2498" i="32"/>
  <c r="Q2498" i="32"/>
  <c r="P2279" i="32"/>
  <c r="P2319" i="32"/>
  <c r="Q2323" i="32"/>
  <c r="S2331" i="32"/>
  <c r="Q2339" i="32"/>
  <c r="P2353" i="32"/>
  <c r="P2354" i="32"/>
  <c r="R2351" i="32"/>
  <c r="Q2359" i="32"/>
  <c r="P2360" i="32"/>
  <c r="P2361" i="32"/>
  <c r="S2335" i="32"/>
  <c r="Q2335" i="32"/>
  <c r="P2336" i="32"/>
  <c r="P2421" i="32"/>
  <c r="S2419" i="32"/>
  <c r="P2422" i="32"/>
  <c r="R2419" i="32"/>
  <c r="Q2419" i="32"/>
  <c r="P2420" i="32"/>
  <c r="S2533" i="32"/>
  <c r="R2533" i="32"/>
  <c r="Q2533" i="32"/>
  <c r="P2318" i="32"/>
  <c r="R2335" i="32"/>
  <c r="P2380" i="32"/>
  <c r="P2381" i="32"/>
  <c r="S2379" i="32"/>
  <c r="Q2379" i="32"/>
  <c r="P2384" i="32"/>
  <c r="P2385" i="32"/>
  <c r="P2386" i="32"/>
  <c r="R2383" i="32"/>
  <c r="R2428" i="32"/>
  <c r="Q2428" i="32"/>
  <c r="S2525" i="32"/>
  <c r="R2525" i="32"/>
  <c r="Q2525" i="32"/>
  <c r="P2368" i="32"/>
  <c r="P2393" i="32"/>
  <c r="Q2367" i="32"/>
  <c r="P2414" i="32"/>
  <c r="P2418" i="32"/>
  <c r="R2367" i="32"/>
  <c r="P2370" i="32"/>
  <c r="Q2461" i="32"/>
  <c r="P2466" i="32"/>
  <c r="P2462" i="32"/>
  <c r="P2463" i="32"/>
  <c r="P2515" i="32"/>
  <c r="S2517" i="32"/>
  <c r="R2517" i="32"/>
  <c r="Q2517" i="32"/>
  <c r="S2541" i="32"/>
  <c r="R2541" i="32"/>
  <c r="Q2541" i="32"/>
  <c r="R2363" i="32"/>
  <c r="R2395" i="32"/>
  <c r="Q2449" i="32"/>
  <c r="P2454" i="32"/>
  <c r="P2450" i="32"/>
  <c r="P2451" i="32"/>
  <c r="R2461" i="32"/>
  <c r="P2465" i="32"/>
  <c r="P2435" i="32"/>
  <c r="P2447" i="32"/>
  <c r="P2459" i="32"/>
  <c r="Q2518" i="32"/>
  <c r="Q2526" i="32"/>
  <c r="Q2534" i="32"/>
  <c r="Q2542" i="32"/>
  <c r="R2518" i="32"/>
  <c r="R2526" i="32"/>
  <c r="R2534" i="32"/>
  <c r="R2542" i="32"/>
  <c r="P2446" i="32"/>
  <c r="Q2476" i="32"/>
  <c r="Q2484" i="32"/>
  <c r="Q2492" i="32"/>
  <c r="Q2505" i="32"/>
  <c r="Q2520" i="32"/>
  <c r="Q2528" i="32"/>
  <c r="Q2536" i="32"/>
  <c r="Q2544" i="32"/>
  <c r="R2476" i="32"/>
  <c r="Q2477" i="32"/>
  <c r="R2484" i="32"/>
  <c r="Q2485" i="32"/>
  <c r="R2492" i="32"/>
  <c r="Q2493" i="32"/>
  <c r="R2505" i="32"/>
  <c r="R2520" i="32"/>
  <c r="Q2521" i="32"/>
  <c r="R2528" i="32"/>
  <c r="Q2529" i="32"/>
  <c r="R2536" i="32"/>
  <c r="Q2537" i="32"/>
  <c r="R2544" i="32"/>
  <c r="R2521" i="32"/>
  <c r="R2529" i="32"/>
  <c r="R2537" i="32"/>
  <c r="Q125" i="31"/>
  <c r="S125" i="31"/>
  <c r="R125" i="31"/>
  <c r="S165" i="31"/>
  <c r="R165" i="31"/>
  <c r="Q165" i="31"/>
  <c r="S233" i="31"/>
  <c r="R233" i="31"/>
  <c r="Q233" i="31"/>
  <c r="P152" i="31"/>
  <c r="P153" i="31"/>
  <c r="P195" i="31"/>
  <c r="P196" i="31"/>
  <c r="S194" i="31"/>
  <c r="Q194" i="31"/>
  <c r="R277" i="31"/>
  <c r="Q277" i="31"/>
  <c r="S286" i="31"/>
  <c r="R286" i="31"/>
  <c r="Q286" i="31"/>
  <c r="R301" i="31"/>
  <c r="Q301" i="31"/>
  <c r="S340" i="31"/>
  <c r="R340" i="31"/>
  <c r="S499" i="31"/>
  <c r="R499" i="31"/>
  <c r="Q499" i="31"/>
  <c r="S507" i="31"/>
  <c r="R507" i="31"/>
  <c r="Q507" i="31"/>
  <c r="Q26" i="31"/>
  <c r="Q30" i="31"/>
  <c r="Q41" i="31"/>
  <c r="Q88" i="31"/>
  <c r="S160" i="31"/>
  <c r="R160" i="31"/>
  <c r="Q160" i="31"/>
  <c r="R194" i="31"/>
  <c r="S206" i="31"/>
  <c r="R206" i="31"/>
  <c r="Q206" i="31"/>
  <c r="M265" i="31"/>
  <c r="N265" i="31" s="1"/>
  <c r="M293" i="31"/>
  <c r="N293" i="31" s="1"/>
  <c r="M329" i="31"/>
  <c r="N329" i="31" s="1"/>
  <c r="S343" i="31"/>
  <c r="M353" i="31"/>
  <c r="N353" i="31" s="1"/>
  <c r="Q22" i="31"/>
  <c r="Q35" i="31"/>
  <c r="Q44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4" i="31"/>
  <c r="Q45" i="31"/>
  <c r="R52" i="31"/>
  <c r="Q53" i="31"/>
  <c r="R60" i="31"/>
  <c r="Q61" i="31"/>
  <c r="R68" i="31"/>
  <c r="R71" i="31"/>
  <c r="Q76" i="31"/>
  <c r="R79" i="31"/>
  <c r="Q85" i="31"/>
  <c r="R88" i="31"/>
  <c r="Q92" i="31"/>
  <c r="R99" i="31"/>
  <c r="Q100" i="31"/>
  <c r="R107" i="31"/>
  <c r="Q108" i="31"/>
  <c r="R115" i="31"/>
  <c r="Q116" i="31"/>
  <c r="Q121" i="31"/>
  <c r="R124" i="31"/>
  <c r="P127" i="31"/>
  <c r="Q130" i="31"/>
  <c r="Q136" i="31"/>
  <c r="S140" i="31"/>
  <c r="R140" i="31"/>
  <c r="Q140" i="31"/>
  <c r="R146" i="31"/>
  <c r="Q146" i="31"/>
  <c r="R149" i="31"/>
  <c r="R151" i="31"/>
  <c r="Q158" i="31"/>
  <c r="R181" i="31"/>
  <c r="Q181" i="31"/>
  <c r="S214" i="31"/>
  <c r="R214" i="31"/>
  <c r="Q214" i="31"/>
  <c r="R257" i="31"/>
  <c r="Q257" i="31"/>
  <c r="M278" i="31"/>
  <c r="N278" i="31" s="1"/>
  <c r="N287" i="31"/>
  <c r="M296" i="31"/>
  <c r="N296" i="31" s="1"/>
  <c r="M302" i="31"/>
  <c r="N302" i="31" s="1"/>
  <c r="S316" i="31"/>
  <c r="R316" i="31"/>
  <c r="M341" i="31"/>
  <c r="N341" i="31" s="1"/>
  <c r="Q21" i="31"/>
  <c r="Q24" i="31"/>
  <c r="Q31" i="31"/>
  <c r="Q34" i="31"/>
  <c r="Q37" i="31"/>
  <c r="Q40" i="31"/>
  <c r="Q60" i="31"/>
  <c r="Q68" i="31"/>
  <c r="S20" i="31"/>
  <c r="S27" i="31"/>
  <c r="S29" i="31"/>
  <c r="S36" i="31"/>
  <c r="S42" i="31"/>
  <c r="R45" i="31"/>
  <c r="R53" i="31"/>
  <c r="R61" i="31"/>
  <c r="S71" i="31"/>
  <c r="R76" i="31"/>
  <c r="S79" i="31"/>
  <c r="R85" i="31"/>
  <c r="R92" i="31"/>
  <c r="R100" i="31"/>
  <c r="R108" i="31"/>
  <c r="R116" i="31"/>
  <c r="R121" i="31"/>
  <c r="S124" i="31"/>
  <c r="R130" i="31"/>
  <c r="R132" i="31"/>
  <c r="Q132" i="31"/>
  <c r="R136" i="31"/>
  <c r="S151" i="31"/>
  <c r="P156" i="31"/>
  <c r="S154" i="31"/>
  <c r="R158" i="31"/>
  <c r="P173" i="31"/>
  <c r="P174" i="31"/>
  <c r="R172" i="31"/>
  <c r="R199" i="31"/>
  <c r="S222" i="31"/>
  <c r="R222" i="31"/>
  <c r="Q222" i="31"/>
  <c r="S272" i="31"/>
  <c r="R272" i="31"/>
  <c r="S280" i="31"/>
  <c r="R280" i="31"/>
  <c r="S304" i="31"/>
  <c r="R304" i="31"/>
  <c r="N323" i="31"/>
  <c r="R430" i="31"/>
  <c r="Q430" i="31"/>
  <c r="S430" i="31"/>
  <c r="Q20" i="31"/>
  <c r="Q25" i="31"/>
  <c r="Q28" i="31"/>
  <c r="Q33" i="31"/>
  <c r="Q38" i="31"/>
  <c r="S39" i="31"/>
  <c r="S52" i="31"/>
  <c r="Q47" i="31"/>
  <c r="Q55" i="31"/>
  <c r="Q63" i="31"/>
  <c r="Q70" i="31"/>
  <c r="Q78" i="31"/>
  <c r="Q87" i="31"/>
  <c r="Q94" i="31"/>
  <c r="Q102" i="31"/>
  <c r="Q110" i="31"/>
  <c r="Q123" i="31"/>
  <c r="P126" i="31"/>
  <c r="S132" i="31"/>
  <c r="Q154" i="31"/>
  <c r="P161" i="31"/>
  <c r="R163" i="31"/>
  <c r="Q172" i="31"/>
  <c r="S199" i="31"/>
  <c r="S205" i="31"/>
  <c r="R205" i="31"/>
  <c r="M260" i="31"/>
  <c r="N260" i="31" s="1"/>
  <c r="S277" i="31"/>
  <c r="R289" i="31"/>
  <c r="Q289" i="31"/>
  <c r="S298" i="31"/>
  <c r="R298" i="31"/>
  <c r="Q298" i="31"/>
  <c r="S301" i="31"/>
  <c r="S310" i="31"/>
  <c r="R310" i="31"/>
  <c r="Q310" i="31"/>
  <c r="M317" i="31"/>
  <c r="N317" i="31" s="1"/>
  <c r="Q23" i="31"/>
  <c r="Q32" i="31"/>
  <c r="S44" i="31"/>
  <c r="Q48" i="31"/>
  <c r="Q56" i="31"/>
  <c r="Q64" i="31"/>
  <c r="Q75" i="31"/>
  <c r="Q84" i="31"/>
  <c r="Q95" i="31"/>
  <c r="Q103" i="31"/>
  <c r="Q111" i="31"/>
  <c r="Q120" i="31"/>
  <c r="Q129" i="31"/>
  <c r="Q141" i="31"/>
  <c r="R154" i="31"/>
  <c r="S163" i="31"/>
  <c r="P170" i="31"/>
  <c r="S168" i="31"/>
  <c r="S172" i="31"/>
  <c r="S192" i="31"/>
  <c r="S200" i="31"/>
  <c r="R200" i="31"/>
  <c r="Q200" i="31"/>
  <c r="P202" i="31"/>
  <c r="Q205" i="31"/>
  <c r="S213" i="31"/>
  <c r="R213" i="31"/>
  <c r="Q272" i="31"/>
  <c r="M281" i="31"/>
  <c r="N281" i="31" s="1"/>
  <c r="Q280" i="31"/>
  <c r="M305" i="31"/>
  <c r="N305" i="31" s="1"/>
  <c r="Q304" i="31"/>
  <c r="S351" i="31"/>
  <c r="S356" i="31"/>
  <c r="R356" i="31"/>
  <c r="M365" i="31"/>
  <c r="N365" i="31" s="1"/>
  <c r="P159" i="31"/>
  <c r="S157" i="31"/>
  <c r="R157" i="31"/>
  <c r="S221" i="31"/>
  <c r="R221" i="31"/>
  <c r="L237" i="31"/>
  <c r="S245" i="31"/>
  <c r="R245" i="31"/>
  <c r="Q245" i="31"/>
  <c r="M284" i="31"/>
  <c r="N284" i="31" s="1"/>
  <c r="M290" i="31"/>
  <c r="N290" i="31" s="1"/>
  <c r="N311" i="31"/>
  <c r="M347" i="31"/>
  <c r="N347" i="31" s="1"/>
  <c r="Q157" i="31"/>
  <c r="P162" i="31"/>
  <c r="P166" i="31"/>
  <c r="S164" i="31"/>
  <c r="R164" i="31"/>
  <c r="P177" i="31"/>
  <c r="S176" i="31"/>
  <c r="Q201" i="31"/>
  <c r="Q221" i="31"/>
  <c r="S253" i="31"/>
  <c r="R253" i="31"/>
  <c r="Q253" i="31"/>
  <c r="S264" i="31"/>
  <c r="R264" i="31"/>
  <c r="S292" i="31"/>
  <c r="R292" i="31"/>
  <c r="M299" i="31"/>
  <c r="N299" i="31" s="1"/>
  <c r="S328" i="31"/>
  <c r="R328" i="31"/>
  <c r="M335" i="31"/>
  <c r="N335" i="31" s="1"/>
  <c r="Q340" i="31"/>
  <c r="N359" i="31"/>
  <c r="Q366" i="31"/>
  <c r="P371" i="31"/>
  <c r="P367" i="31"/>
  <c r="S366" i="31"/>
  <c r="P369" i="31"/>
  <c r="R366" i="31"/>
  <c r="S372" i="31"/>
  <c r="P375" i="31"/>
  <c r="R372" i="31"/>
  <c r="Q372" i="31"/>
  <c r="P377" i="31"/>
  <c r="P373" i="31"/>
  <c r="Q378" i="31"/>
  <c r="P383" i="31"/>
  <c r="P379" i="31"/>
  <c r="S378" i="31"/>
  <c r="P381" i="31"/>
  <c r="R378" i="31"/>
  <c r="S406" i="31"/>
  <c r="R406" i="31"/>
  <c r="Q406" i="31"/>
  <c r="M437" i="31"/>
  <c r="N437" i="31" s="1"/>
  <c r="M485" i="31"/>
  <c r="N485" i="31" s="1"/>
  <c r="R594" i="31"/>
  <c r="Q594" i="31"/>
  <c r="S594" i="31"/>
  <c r="R614" i="31"/>
  <c r="Q614" i="31"/>
  <c r="S614" i="31"/>
  <c r="M503" i="31"/>
  <c r="N503" i="31" s="1"/>
  <c r="Q535" i="31"/>
  <c r="S535" i="31"/>
  <c r="R535" i="31"/>
  <c r="S541" i="31"/>
  <c r="R541" i="31"/>
  <c r="Q541" i="31"/>
  <c r="S542" i="31"/>
  <c r="R542" i="31"/>
  <c r="Q542" i="31"/>
  <c r="R611" i="31"/>
  <c r="Q611" i="31"/>
  <c r="S611" i="31"/>
  <c r="P167" i="31"/>
  <c r="R187" i="31"/>
  <c r="R190" i="31"/>
  <c r="P193" i="31"/>
  <c r="R197" i="31"/>
  <c r="R207" i="31"/>
  <c r="Q208" i="31"/>
  <c r="R215" i="31"/>
  <c r="Q216" i="31"/>
  <c r="R223" i="31"/>
  <c r="Q224" i="31"/>
  <c r="L231" i="31"/>
  <c r="Q232" i="31"/>
  <c r="Q239" i="31"/>
  <c r="R242" i="31"/>
  <c r="Q247" i="31"/>
  <c r="R250" i="31"/>
  <c r="Q255" i="31"/>
  <c r="P258" i="31"/>
  <c r="P262" i="31"/>
  <c r="R271" i="31"/>
  <c r="P274" i="31"/>
  <c r="R279" i="31"/>
  <c r="R291" i="31"/>
  <c r="R303" i="31"/>
  <c r="P314" i="31"/>
  <c r="P326" i="31"/>
  <c r="P334" i="31"/>
  <c r="P338" i="31"/>
  <c r="R343" i="31"/>
  <c r="P346" i="31"/>
  <c r="P350" i="31"/>
  <c r="R351" i="31"/>
  <c r="P358" i="31"/>
  <c r="P362" i="31"/>
  <c r="S478" i="31"/>
  <c r="R478" i="31"/>
  <c r="Q478" i="31"/>
  <c r="S190" i="31"/>
  <c r="S197" i="31"/>
  <c r="R208" i="31"/>
  <c r="R216" i="31"/>
  <c r="R224" i="31"/>
  <c r="R232" i="31"/>
  <c r="R239" i="31"/>
  <c r="R247" i="31"/>
  <c r="R255" i="31"/>
  <c r="S271" i="31"/>
  <c r="P278" i="31"/>
  <c r="S279" i="31"/>
  <c r="P290" i="31"/>
  <c r="S291" i="31"/>
  <c r="P302" i="31"/>
  <c r="S303" i="31"/>
  <c r="Q330" i="31"/>
  <c r="Q342" i="31"/>
  <c r="Q354" i="31"/>
  <c r="P368" i="31"/>
  <c r="P374" i="31"/>
  <c r="P380" i="31"/>
  <c r="R386" i="31"/>
  <c r="Q386" i="31"/>
  <c r="L473" i="31"/>
  <c r="P273" i="31"/>
  <c r="P313" i="31"/>
  <c r="P325" i="31"/>
  <c r="P337" i="31"/>
  <c r="R342" i="31"/>
  <c r="P349" i="31"/>
  <c r="R354" i="31"/>
  <c r="P357" i="31"/>
  <c r="P361" i="31"/>
  <c r="M401" i="31"/>
  <c r="N401" i="31" s="1"/>
  <c r="M479" i="31"/>
  <c r="N479" i="31" s="1"/>
  <c r="Q511" i="31"/>
  <c r="S511" i="31"/>
  <c r="R511" i="31"/>
  <c r="S518" i="31"/>
  <c r="R518" i="31"/>
  <c r="Q518" i="31"/>
  <c r="R604" i="31"/>
  <c r="Q604" i="31"/>
  <c r="S604" i="31"/>
  <c r="P281" i="31"/>
  <c r="P293" i="31"/>
  <c r="P305" i="31"/>
  <c r="P341" i="31"/>
  <c r="P353" i="31"/>
  <c r="P404" i="31"/>
  <c r="S402" i="31"/>
  <c r="P405" i="31"/>
  <c r="R402" i="31"/>
  <c r="Q402" i="31"/>
  <c r="P407" i="31"/>
  <c r="P403" i="31"/>
  <c r="M497" i="31"/>
  <c r="N497" i="31" s="1"/>
  <c r="P364" i="31"/>
  <c r="P370" i="31"/>
  <c r="M371" i="31"/>
  <c r="N371" i="31" s="1"/>
  <c r="P376" i="31"/>
  <c r="M377" i="31"/>
  <c r="N377" i="31" s="1"/>
  <c r="P382" i="31"/>
  <c r="M383" i="31"/>
  <c r="N383" i="31" s="1"/>
  <c r="Q490" i="31"/>
  <c r="S490" i="31"/>
  <c r="R490" i="31"/>
  <c r="S384" i="31"/>
  <c r="P387" i="31"/>
  <c r="R396" i="31"/>
  <c r="P399" i="31"/>
  <c r="N407" i="31"/>
  <c r="Q414" i="31"/>
  <c r="P415" i="31"/>
  <c r="N431" i="31"/>
  <c r="Q438" i="31"/>
  <c r="P439" i="31"/>
  <c r="S444" i="31"/>
  <c r="P447" i="31"/>
  <c r="R453" i="31"/>
  <c r="P491" i="31"/>
  <c r="P503" i="31"/>
  <c r="P510" i="31"/>
  <c r="R521" i="31"/>
  <c r="R529" i="31"/>
  <c r="P534" i="31"/>
  <c r="R545" i="31"/>
  <c r="R553" i="31"/>
  <c r="R561" i="31"/>
  <c r="P563" i="31"/>
  <c r="R569" i="31"/>
  <c r="R577" i="31"/>
  <c r="R585" i="31"/>
  <c r="R597" i="31"/>
  <c r="R607" i="31"/>
  <c r="R617" i="31"/>
  <c r="R621" i="31"/>
  <c r="R629" i="31"/>
  <c r="P388" i="31"/>
  <c r="P395" i="31"/>
  <c r="S396" i="31"/>
  <c r="P416" i="31"/>
  <c r="P431" i="31"/>
  <c r="P440" i="31"/>
  <c r="P448" i="31"/>
  <c r="S453" i="31"/>
  <c r="P455" i="31"/>
  <c r="P477" i="31"/>
  <c r="P502" i="31"/>
  <c r="S521" i="31"/>
  <c r="Q523" i="31"/>
  <c r="S529" i="31"/>
  <c r="Q531" i="31"/>
  <c r="S545" i="31"/>
  <c r="Q547" i="31"/>
  <c r="S553" i="31"/>
  <c r="Q555" i="31"/>
  <c r="S561" i="31"/>
  <c r="S569" i="31"/>
  <c r="Q571" i="31"/>
  <c r="S577" i="31"/>
  <c r="Q579" i="31"/>
  <c r="S585" i="31"/>
  <c r="Q587" i="31"/>
  <c r="S597" i="31"/>
  <c r="S607" i="31"/>
  <c r="S617" i="31"/>
  <c r="S621" i="31"/>
  <c r="Q623" i="31"/>
  <c r="S629" i="31"/>
  <c r="Q636" i="31"/>
  <c r="R636" i="31"/>
  <c r="M695" i="31"/>
  <c r="N695" i="31" s="1"/>
  <c r="M701" i="31"/>
  <c r="N701" i="31" s="1"/>
  <c r="M704" i="31"/>
  <c r="N704" i="31" s="1"/>
  <c r="S742" i="31"/>
  <c r="R742" i="31"/>
  <c r="Q742" i="31"/>
  <c r="S750" i="31"/>
  <c r="R750" i="31"/>
  <c r="Q750" i="31"/>
  <c r="P513" i="31"/>
  <c r="P537" i="31"/>
  <c r="R635" i="31"/>
  <c r="S635" i="31"/>
  <c r="S669" i="31"/>
  <c r="R669" i="31"/>
  <c r="Q669" i="31"/>
  <c r="S676" i="31"/>
  <c r="R676" i="31"/>
  <c r="Q676" i="31"/>
  <c r="M770" i="31"/>
  <c r="N770" i="31" s="1"/>
  <c r="P389" i="31"/>
  <c r="P418" i="31"/>
  <c r="R432" i="31"/>
  <c r="P434" i="31"/>
  <c r="P442" i="31"/>
  <c r="P449" i="31"/>
  <c r="R456" i="31"/>
  <c r="P458" i="31"/>
  <c r="P466" i="31"/>
  <c r="P476" i="31"/>
  <c r="P484" i="31"/>
  <c r="Q486" i="31"/>
  <c r="P487" i="31"/>
  <c r="P493" i="31"/>
  <c r="R498" i="31"/>
  <c r="P501" i="31"/>
  <c r="P505" i="31"/>
  <c r="Q509" i="31"/>
  <c r="P516" i="31"/>
  <c r="Q525" i="31"/>
  <c r="Q533" i="31"/>
  <c r="P540" i="31"/>
  <c r="Q549" i="31"/>
  <c r="Q557" i="31"/>
  <c r="R564" i="31"/>
  <c r="Q565" i="31"/>
  <c r="R572" i="31"/>
  <c r="Q573" i="31"/>
  <c r="R580" i="31"/>
  <c r="Q581" i="31"/>
  <c r="R588" i="31"/>
  <c r="Q592" i="31"/>
  <c r="P595" i="31"/>
  <c r="Q602" i="31"/>
  <c r="P605" i="31"/>
  <c r="Q612" i="31"/>
  <c r="P615" i="31"/>
  <c r="P618" i="31"/>
  <c r="R624" i="31"/>
  <c r="Q625" i="31"/>
  <c r="Q635" i="31"/>
  <c r="S706" i="31"/>
  <c r="R706" i="31"/>
  <c r="Q706" i="31"/>
  <c r="S714" i="31"/>
  <c r="R714" i="31"/>
  <c r="Q714" i="31"/>
  <c r="S754" i="31"/>
  <c r="R754" i="31"/>
  <c r="Q754" i="31"/>
  <c r="S762" i="31"/>
  <c r="R762" i="31"/>
  <c r="Q762" i="31"/>
  <c r="Q775" i="31"/>
  <c r="S775" i="31"/>
  <c r="R775" i="31"/>
  <c r="P391" i="31"/>
  <c r="P397" i="31"/>
  <c r="Q426" i="31"/>
  <c r="P427" i="31"/>
  <c r="S432" i="31"/>
  <c r="P435" i="31"/>
  <c r="S456" i="31"/>
  <c r="P459" i="31"/>
  <c r="R486" i="31"/>
  <c r="P488" i="31"/>
  <c r="R509" i="31"/>
  <c r="P512" i="31"/>
  <c r="R525" i="31"/>
  <c r="R533" i="31"/>
  <c r="P536" i="31"/>
  <c r="R549" i="31"/>
  <c r="R557" i="31"/>
  <c r="R565" i="31"/>
  <c r="R573" i="31"/>
  <c r="R581" i="31"/>
  <c r="R592" i="31"/>
  <c r="R602" i="31"/>
  <c r="R612" i="31"/>
  <c r="R625" i="31"/>
  <c r="P392" i="31"/>
  <c r="P401" i="31"/>
  <c r="R426" i="31"/>
  <c r="P428" i="31"/>
  <c r="P436" i="31"/>
  <c r="P452" i="31"/>
  <c r="P460" i="31"/>
  <c r="P483" i="31"/>
  <c r="S486" i="31"/>
  <c r="P489" i="31"/>
  <c r="P496" i="31"/>
  <c r="P500" i="31"/>
  <c r="P508" i="31"/>
  <c r="S509" i="31"/>
  <c r="Q519" i="31"/>
  <c r="Q527" i="31"/>
  <c r="S533" i="31"/>
  <c r="Q543" i="31"/>
  <c r="Q551" i="31"/>
  <c r="Q559" i="31"/>
  <c r="Q567" i="31"/>
  <c r="Q575" i="31"/>
  <c r="Q583" i="31"/>
  <c r="Q645" i="31"/>
  <c r="S645" i="31"/>
  <c r="R645" i="31"/>
  <c r="S718" i="31"/>
  <c r="R718" i="31"/>
  <c r="Q718" i="31"/>
  <c r="P400" i="31"/>
  <c r="R632" i="31"/>
  <c r="Q632" i="31"/>
  <c r="R384" i="31"/>
  <c r="R444" i="31"/>
  <c r="R492" i="31"/>
  <c r="R504" i="31"/>
  <c r="S631" i="31"/>
  <c r="R631" i="31"/>
  <c r="S632" i="31"/>
  <c r="S730" i="31"/>
  <c r="R730" i="31"/>
  <c r="Q730" i="31"/>
  <c r="S738" i="31"/>
  <c r="R738" i="31"/>
  <c r="Q738" i="31"/>
  <c r="S643" i="31"/>
  <c r="S649" i="31"/>
  <c r="R654" i="31"/>
  <c r="P657" i="31"/>
  <c r="S658" i="31"/>
  <c r="R663" i="31"/>
  <c r="S666" i="31"/>
  <c r="P679" i="31"/>
  <c r="R683" i="31"/>
  <c r="S686" i="31"/>
  <c r="R693" i="31"/>
  <c r="R696" i="31"/>
  <c r="P710" i="31"/>
  <c r="P722" i="31"/>
  <c r="P734" i="31"/>
  <c r="P746" i="31"/>
  <c r="P758" i="31"/>
  <c r="Q887" i="31"/>
  <c r="S887" i="31"/>
  <c r="R900" i="31"/>
  <c r="Q900" i="31"/>
  <c r="S654" i="31"/>
  <c r="S663" i="31"/>
  <c r="S683" i="31"/>
  <c r="P709" i="31"/>
  <c r="P721" i="31"/>
  <c r="P733" i="31"/>
  <c r="P745" i="31"/>
  <c r="P757" i="31"/>
  <c r="P880" i="31"/>
  <c r="Q881" i="31"/>
  <c r="Q639" i="31"/>
  <c r="P656" i="31"/>
  <c r="Q662" i="31"/>
  <c r="Q682" i="31"/>
  <c r="Q692" i="31"/>
  <c r="Q698" i="31"/>
  <c r="Q705" i="31"/>
  <c r="M716" i="31"/>
  <c r="N716" i="31" s="1"/>
  <c r="Q717" i="31"/>
  <c r="Q725" i="31"/>
  <c r="M728" i="31"/>
  <c r="N728" i="31" s="1"/>
  <c r="Q729" i="31"/>
  <c r="M740" i="31"/>
  <c r="N740" i="31" s="1"/>
  <c r="Q741" i="31"/>
  <c r="M752" i="31"/>
  <c r="N752" i="31" s="1"/>
  <c r="Q753" i="31"/>
  <c r="M764" i="31"/>
  <c r="N764" i="31" s="1"/>
  <c r="R777" i="31"/>
  <c r="P779" i="31"/>
  <c r="Q789" i="31"/>
  <c r="R792" i="31"/>
  <c r="Q797" i="31"/>
  <c r="R800" i="31"/>
  <c r="Q805" i="31"/>
  <c r="Q813" i="31"/>
  <c r="R816" i="31"/>
  <c r="R823" i="31"/>
  <c r="Q824" i="31"/>
  <c r="R831" i="31"/>
  <c r="Q832" i="31"/>
  <c r="R839" i="31"/>
  <c r="Q840" i="31"/>
  <c r="R847" i="31"/>
  <c r="Q848" i="31"/>
  <c r="R865" i="31"/>
  <c r="Q865" i="31"/>
  <c r="R881" i="31"/>
  <c r="R892" i="31"/>
  <c r="Q892" i="31"/>
  <c r="S899" i="31"/>
  <c r="R899" i="31"/>
  <c r="R639" i="31"/>
  <c r="Q640" i="31"/>
  <c r="Q650" i="31"/>
  <c r="Q659" i="31"/>
  <c r="R662" i="31"/>
  <c r="P667" i="31"/>
  <c r="Q678" i="31"/>
  <c r="R682" i="31"/>
  <c r="Q687" i="31"/>
  <c r="R692" i="31"/>
  <c r="M697" i="31"/>
  <c r="N697" i="31" s="1"/>
  <c r="R698" i="31"/>
  <c r="R705" i="31"/>
  <c r="P708" i="31"/>
  <c r="P712" i="31"/>
  <c r="R717" i="31"/>
  <c r="P720" i="31"/>
  <c r="P724" i="31"/>
  <c r="R725" i="31"/>
  <c r="R729" i="31"/>
  <c r="P732" i="31"/>
  <c r="P736" i="31"/>
  <c r="R741" i="31"/>
  <c r="P744" i="31"/>
  <c r="P748" i="31"/>
  <c r="R753" i="31"/>
  <c r="P756" i="31"/>
  <c r="P760" i="31"/>
  <c r="Q771" i="31"/>
  <c r="P772" i="31"/>
  <c r="S777" i="31"/>
  <c r="P780" i="31"/>
  <c r="R789" i="31"/>
  <c r="Q794" i="31"/>
  <c r="R797" i="31"/>
  <c r="Q802" i="31"/>
  <c r="R805" i="31"/>
  <c r="Q810" i="31"/>
  <c r="R813" i="31"/>
  <c r="Q818" i="31"/>
  <c r="R824" i="31"/>
  <c r="R832" i="31"/>
  <c r="Q833" i="31"/>
  <c r="R840" i="31"/>
  <c r="Q841" i="31"/>
  <c r="R848" i="31"/>
  <c r="Q849" i="31"/>
  <c r="P857" i="31"/>
  <c r="S865" i="31"/>
  <c r="Q872" i="31"/>
  <c r="S872" i="31"/>
  <c r="S881" i="31"/>
  <c r="S892" i="31"/>
  <c r="Q899" i="31"/>
  <c r="P655" i="31"/>
  <c r="R678" i="31"/>
  <c r="P681" i="31"/>
  <c r="R687" i="31"/>
  <c r="S705" i="31"/>
  <c r="P716" i="31"/>
  <c r="S717" i="31"/>
  <c r="P728" i="31"/>
  <c r="S729" i="31"/>
  <c r="P740" i="31"/>
  <c r="S741" i="31"/>
  <c r="P752" i="31"/>
  <c r="S753" i="31"/>
  <c r="P764" i="31"/>
  <c r="R771" i="31"/>
  <c r="P773" i="31"/>
  <c r="P781" i="31"/>
  <c r="P788" i="31"/>
  <c r="R794" i="31"/>
  <c r="R802" i="31"/>
  <c r="R810" i="31"/>
  <c r="R818" i="31"/>
  <c r="R833" i="31"/>
  <c r="R841" i="31"/>
  <c r="R849" i="31"/>
  <c r="Q855" i="31"/>
  <c r="R884" i="31"/>
  <c r="Q884" i="31"/>
  <c r="S891" i="31"/>
  <c r="R891" i="31"/>
  <c r="R903" i="31"/>
  <c r="Q903" i="31"/>
  <c r="S903" i="31"/>
  <c r="P707" i="31"/>
  <c r="P715" i="31"/>
  <c r="P719" i="31"/>
  <c r="P727" i="31"/>
  <c r="P731" i="31"/>
  <c r="P739" i="31"/>
  <c r="P743" i="31"/>
  <c r="P751" i="31"/>
  <c r="P755" i="31"/>
  <c r="P763" i="31"/>
  <c r="S771" i="31"/>
  <c r="P774" i="31"/>
  <c r="R908" i="31"/>
  <c r="Q908" i="31"/>
  <c r="Q844" i="31"/>
  <c r="Q852" i="31"/>
  <c r="R873" i="31"/>
  <c r="Q873" i="31"/>
  <c r="S876" i="31"/>
  <c r="R876" i="31"/>
  <c r="S883" i="31"/>
  <c r="R883" i="31"/>
  <c r="Q895" i="31"/>
  <c r="S895" i="31"/>
  <c r="R897" i="31"/>
  <c r="R920" i="31"/>
  <c r="Q920" i="31"/>
  <c r="O913" i="31"/>
  <c r="S920" i="31"/>
  <c r="R666" i="31"/>
  <c r="R711" i="31"/>
  <c r="R723" i="31"/>
  <c r="R735" i="31"/>
  <c r="R747" i="31"/>
  <c r="R759" i="31"/>
  <c r="S765" i="31"/>
  <c r="Q783" i="31"/>
  <c r="Q854" i="31"/>
  <c r="Q861" i="31"/>
  <c r="Q864" i="31"/>
  <c r="S864" i="31"/>
  <c r="S868" i="31"/>
  <c r="R868" i="31"/>
  <c r="S873" i="31"/>
  <c r="Q876" i="31"/>
  <c r="Q883" i="31"/>
  <c r="R895" i="31"/>
  <c r="S897" i="31"/>
  <c r="S907" i="31"/>
  <c r="R907" i="31"/>
  <c r="R911" i="31"/>
  <c r="Q911" i="31"/>
  <c r="S911" i="31"/>
  <c r="R921" i="31"/>
  <c r="Q921" i="31"/>
  <c r="S929" i="31"/>
  <c r="R929" i="31"/>
  <c r="Q929" i="31"/>
  <c r="P860" i="31"/>
  <c r="N2553" i="31"/>
  <c r="S928" i="31"/>
  <c r="S936" i="31"/>
  <c r="S944" i="31"/>
  <c r="S952" i="31"/>
  <c r="S960" i="31"/>
  <c r="S968" i="31"/>
  <c r="S976" i="31"/>
  <c r="S984" i="31"/>
  <c r="S992" i="31"/>
  <c r="S1000" i="31"/>
  <c r="S1008" i="31"/>
  <c r="Q1010" i="31"/>
  <c r="S1016" i="31"/>
  <c r="Q1018" i="31"/>
  <c r="S1030" i="31"/>
  <c r="Q1032" i="31"/>
  <c r="S1038" i="31"/>
  <c r="Q1040" i="31"/>
  <c r="S1046" i="31"/>
  <c r="Q1048" i="31"/>
  <c r="S1054" i="31"/>
  <c r="Q1056" i="31"/>
  <c r="S1062" i="31"/>
  <c r="Q1064" i="31"/>
  <c r="S1070" i="31"/>
  <c r="Q1072" i="31"/>
  <c r="S1078" i="31"/>
  <c r="Q1080" i="31"/>
  <c r="S1086" i="31"/>
  <c r="Q1088" i="31"/>
  <c r="S1094" i="31"/>
  <c r="Q1096" i="31"/>
  <c r="R1099" i="31"/>
  <c r="Q1102" i="31"/>
  <c r="S1107" i="31"/>
  <c r="Q1107" i="31"/>
  <c r="Q1110" i="31"/>
  <c r="S1124" i="31"/>
  <c r="S1150" i="31"/>
  <c r="R1150" i="31"/>
  <c r="S1190" i="31"/>
  <c r="R1190" i="31"/>
  <c r="S1230" i="31"/>
  <c r="R1230" i="31"/>
  <c r="Q1230" i="31"/>
  <c r="S1246" i="31"/>
  <c r="R1246" i="31"/>
  <c r="Q1246" i="31"/>
  <c r="S1262" i="31"/>
  <c r="R1262" i="31"/>
  <c r="Q1262" i="31"/>
  <c r="S1142" i="31"/>
  <c r="R1142" i="31"/>
  <c r="S1163" i="31"/>
  <c r="R1163" i="31"/>
  <c r="Q1163" i="31"/>
  <c r="S1182" i="31"/>
  <c r="R1182" i="31"/>
  <c r="S1219" i="31"/>
  <c r="R1219" i="31"/>
  <c r="Q1219" i="31"/>
  <c r="Q996" i="31"/>
  <c r="Q1004" i="31"/>
  <c r="Q1012" i="31"/>
  <c r="Q1020" i="31"/>
  <c r="Q1034" i="31"/>
  <c r="Q1042" i="31"/>
  <c r="Q1050" i="31"/>
  <c r="Q1058" i="31"/>
  <c r="Q1066" i="31"/>
  <c r="Q1074" i="31"/>
  <c r="Q1082" i="31"/>
  <c r="Q1090" i="31"/>
  <c r="Q1098" i="31"/>
  <c r="R1100" i="31"/>
  <c r="S1126" i="31"/>
  <c r="R1126" i="31"/>
  <c r="S1134" i="31"/>
  <c r="R1134" i="31"/>
  <c r="Q1142" i="31"/>
  <c r="S1174" i="31"/>
  <c r="R1174" i="31"/>
  <c r="Q1182" i="31"/>
  <c r="S1211" i="31"/>
  <c r="R1211" i="31"/>
  <c r="Q1211" i="31"/>
  <c r="R916" i="31"/>
  <c r="R924" i="31"/>
  <c r="R932" i="31"/>
  <c r="Q937" i="31"/>
  <c r="R940" i="31"/>
  <c r="Q945" i="31"/>
  <c r="R948" i="31"/>
  <c r="Q953" i="31"/>
  <c r="R956" i="31"/>
  <c r="Q961" i="31"/>
  <c r="R964" i="31"/>
  <c r="Q969" i="31"/>
  <c r="R972" i="31"/>
  <c r="Q977" i="31"/>
  <c r="R980" i="31"/>
  <c r="Q985" i="31"/>
  <c r="R988" i="31"/>
  <c r="Q993" i="31"/>
  <c r="R996" i="31"/>
  <c r="Q1001" i="31"/>
  <c r="R1004" i="31"/>
  <c r="Q1009" i="31"/>
  <c r="R1012" i="31"/>
  <c r="Q1017" i="31"/>
  <c r="R1020" i="31"/>
  <c r="Q1031" i="31"/>
  <c r="R1034" i="31"/>
  <c r="Q1039" i="31"/>
  <c r="R1042" i="31"/>
  <c r="Q1047" i="31"/>
  <c r="R1050" i="31"/>
  <c r="Q1055" i="31"/>
  <c r="R1058" i="31"/>
  <c r="Q1063" i="31"/>
  <c r="R1066" i="31"/>
  <c r="Q1071" i="31"/>
  <c r="R1074" i="31"/>
  <c r="Q1079" i="31"/>
  <c r="R1082" i="31"/>
  <c r="Q1087" i="31"/>
  <c r="R1090" i="31"/>
  <c r="Q1095" i="31"/>
  <c r="R1098" i="31"/>
  <c r="S1100" i="31"/>
  <c r="R1108" i="31"/>
  <c r="R1117" i="31"/>
  <c r="Q1117" i="31"/>
  <c r="Q1126" i="31"/>
  <c r="Q1134" i="31"/>
  <c r="S1155" i="31"/>
  <c r="R1155" i="31"/>
  <c r="Q1155" i="31"/>
  <c r="Q1174" i="31"/>
  <c r="S1203" i="31"/>
  <c r="R1203" i="31"/>
  <c r="Q1203" i="31"/>
  <c r="R937" i="31"/>
  <c r="R945" i="31"/>
  <c r="R953" i="31"/>
  <c r="R961" i="31"/>
  <c r="R969" i="31"/>
  <c r="R977" i="31"/>
  <c r="R985" i="31"/>
  <c r="S1108" i="31"/>
  <c r="S1117" i="31"/>
  <c r="S1123" i="31"/>
  <c r="Q1123" i="31"/>
  <c r="S1166" i="31"/>
  <c r="R1166" i="31"/>
  <c r="S1195" i="31"/>
  <c r="R1195" i="31"/>
  <c r="Q1195" i="31"/>
  <c r="S1222" i="31"/>
  <c r="R1222" i="31"/>
  <c r="Q1222" i="31"/>
  <c r="S1238" i="31"/>
  <c r="R1238" i="31"/>
  <c r="Q1238" i="31"/>
  <c r="S1254" i="31"/>
  <c r="R1254" i="31"/>
  <c r="Q1254" i="31"/>
  <c r="R1101" i="31"/>
  <c r="Q1101" i="31"/>
  <c r="R1109" i="31"/>
  <c r="Q1109" i="31"/>
  <c r="S1147" i="31"/>
  <c r="R1147" i="31"/>
  <c r="Q1147" i="31"/>
  <c r="S1187" i="31"/>
  <c r="R1187" i="31"/>
  <c r="Q1187" i="31"/>
  <c r="S1214" i="31"/>
  <c r="R1214" i="31"/>
  <c r="R858" i="31"/>
  <c r="Q928" i="31"/>
  <c r="Q936" i="31"/>
  <c r="Q944" i="31"/>
  <c r="Q952" i="31"/>
  <c r="Q960" i="31"/>
  <c r="Q968" i="31"/>
  <c r="Q976" i="31"/>
  <c r="Q984" i="31"/>
  <c r="Q992" i="31"/>
  <c r="Q1000" i="31"/>
  <c r="Q1008" i="31"/>
  <c r="Q1016" i="31"/>
  <c r="S1101" i="31"/>
  <c r="S1109" i="31"/>
  <c r="S1115" i="31"/>
  <c r="Q1115" i="31"/>
  <c r="Q1118" i="31"/>
  <c r="S1131" i="31"/>
  <c r="R1131" i="31"/>
  <c r="Q1131" i="31"/>
  <c r="S1139" i="31"/>
  <c r="R1139" i="31"/>
  <c r="Q1139" i="31"/>
  <c r="S1158" i="31"/>
  <c r="R1158" i="31"/>
  <c r="S1179" i="31"/>
  <c r="R1179" i="31"/>
  <c r="Q1179" i="31"/>
  <c r="S1206" i="31"/>
  <c r="R1206" i="31"/>
  <c r="Q1214" i="31"/>
  <c r="S1104" i="31"/>
  <c r="R1104" i="31"/>
  <c r="S1171" i="31"/>
  <c r="R1171" i="31"/>
  <c r="Q1171" i="31"/>
  <c r="S1198" i="31"/>
  <c r="R1198" i="31"/>
  <c r="S1106" i="31"/>
  <c r="S1114" i="31"/>
  <c r="S1122" i="31"/>
  <c r="S1130" i="31"/>
  <c r="S1138" i="31"/>
  <c r="S1146" i="31"/>
  <c r="S1154" i="31"/>
  <c r="S1162" i="31"/>
  <c r="S1170" i="31"/>
  <c r="S1178" i="31"/>
  <c r="S1186" i="31"/>
  <c r="S1194" i="31"/>
  <c r="S1202" i="31"/>
  <c r="S1210" i="31"/>
  <c r="S1218" i="31"/>
  <c r="S1226" i="31"/>
  <c r="S1234" i="31"/>
  <c r="S1242" i="31"/>
  <c r="S1250" i="31"/>
  <c r="S1258" i="31"/>
  <c r="S1266" i="31"/>
  <c r="S1274" i="31"/>
  <c r="S1282" i="31"/>
  <c r="S1290" i="31"/>
  <c r="S1298" i="31"/>
  <c r="Q1322" i="31"/>
  <c r="S1336" i="31"/>
  <c r="R1345" i="31"/>
  <c r="Q1355" i="31"/>
  <c r="S1368" i="31"/>
  <c r="R1368" i="31"/>
  <c r="S1397" i="31"/>
  <c r="R1397" i="31"/>
  <c r="Q1397" i="31"/>
  <c r="S1496" i="31"/>
  <c r="R1496" i="31"/>
  <c r="Q1496" i="31"/>
  <c r="S1343" i="31"/>
  <c r="Q1343" i="31"/>
  <c r="S1376" i="31"/>
  <c r="R1376" i="31"/>
  <c r="S1405" i="31"/>
  <c r="R1405" i="31"/>
  <c r="Q1405" i="31"/>
  <c r="S1477" i="31"/>
  <c r="R1477" i="31"/>
  <c r="Q1477" i="31"/>
  <c r="S1536" i="31"/>
  <c r="R1536" i="31"/>
  <c r="Q1536" i="31"/>
  <c r="S1552" i="31"/>
  <c r="R1552" i="31"/>
  <c r="Q1552" i="31"/>
  <c r="Q1270" i="31"/>
  <c r="Q1278" i="31"/>
  <c r="Q1286" i="31"/>
  <c r="Q1294" i="31"/>
  <c r="Q1302" i="31"/>
  <c r="Q1304" i="31"/>
  <c r="Q1306" i="31"/>
  <c r="Q1331" i="31"/>
  <c r="S1335" i="31"/>
  <c r="Q1335" i="31"/>
  <c r="R1337" i="31"/>
  <c r="Q1341" i="31"/>
  <c r="R1343" i="31"/>
  <c r="R1353" i="31"/>
  <c r="Q1376" i="31"/>
  <c r="S1384" i="31"/>
  <c r="R1384" i="31"/>
  <c r="S1413" i="31"/>
  <c r="R1413" i="31"/>
  <c r="Q1413" i="31"/>
  <c r="S1421" i="31"/>
  <c r="R1421" i="31"/>
  <c r="Q1421" i="31"/>
  <c r="S1429" i="31"/>
  <c r="R1429" i="31"/>
  <c r="Q1429" i="31"/>
  <c r="S1437" i="31"/>
  <c r="R1437" i="31"/>
  <c r="Q1437" i="31"/>
  <c r="S1445" i="31"/>
  <c r="R1445" i="31"/>
  <c r="Q1445" i="31"/>
  <c r="S1453" i="31"/>
  <c r="R1453" i="31"/>
  <c r="Q1453" i="31"/>
  <c r="S1461" i="31"/>
  <c r="R1461" i="31"/>
  <c r="Q1461" i="31"/>
  <c r="S1469" i="31"/>
  <c r="R1469" i="31"/>
  <c r="Q1469" i="31"/>
  <c r="S1512" i="31"/>
  <c r="R1512" i="31"/>
  <c r="Q1512" i="31"/>
  <c r="Q1572" i="31"/>
  <c r="S1572" i="31"/>
  <c r="R1572" i="31"/>
  <c r="Q1227" i="31"/>
  <c r="Q1235" i="31"/>
  <c r="Q1243" i="31"/>
  <c r="Q1251" i="31"/>
  <c r="Q1259" i="31"/>
  <c r="Q1267" i="31"/>
  <c r="R1270" i="31"/>
  <c r="Q1275" i="31"/>
  <c r="R1278" i="31"/>
  <c r="Q1283" i="31"/>
  <c r="R1286" i="31"/>
  <c r="Q1291" i="31"/>
  <c r="R1294" i="31"/>
  <c r="Q1299" i="31"/>
  <c r="R1302" i="31"/>
  <c r="R1304" i="31"/>
  <c r="S1306" i="31"/>
  <c r="Q1323" i="31"/>
  <c r="S1327" i="31"/>
  <c r="Q1327" i="31"/>
  <c r="R1329" i="31"/>
  <c r="R1331" i="31"/>
  <c r="Q1333" i="31"/>
  <c r="R1335" i="31"/>
  <c r="S1337" i="31"/>
  <c r="R1341" i="31"/>
  <c r="S1351" i="31"/>
  <c r="Q1351" i="31"/>
  <c r="S1353" i="31"/>
  <c r="Q1384" i="31"/>
  <c r="S1392" i="31"/>
  <c r="R1392" i="31"/>
  <c r="S1488" i="31"/>
  <c r="R1488" i="31"/>
  <c r="Q1488" i="31"/>
  <c r="R1227" i="31"/>
  <c r="R1235" i="31"/>
  <c r="R1243" i="31"/>
  <c r="R1251" i="31"/>
  <c r="R1259" i="31"/>
  <c r="R1267" i="31"/>
  <c r="R1275" i="31"/>
  <c r="R1283" i="31"/>
  <c r="R1291" i="31"/>
  <c r="R1299" i="31"/>
  <c r="S1319" i="31"/>
  <c r="Q1319" i="31"/>
  <c r="R1323" i="31"/>
  <c r="S1329" i="31"/>
  <c r="R1333" i="31"/>
  <c r="S1359" i="31"/>
  <c r="R1359" i="31"/>
  <c r="Q1359" i="31"/>
  <c r="S1365" i="31"/>
  <c r="R1365" i="31"/>
  <c r="Q1365" i="31"/>
  <c r="S1400" i="31"/>
  <c r="R1400" i="31"/>
  <c r="S1528" i="31"/>
  <c r="R1528" i="31"/>
  <c r="Q1528" i="31"/>
  <c r="R1112" i="31"/>
  <c r="R1120" i="31"/>
  <c r="Q1125" i="31"/>
  <c r="R1128" i="31"/>
  <c r="Q1133" i="31"/>
  <c r="R1136" i="31"/>
  <c r="Q1141" i="31"/>
  <c r="R1144" i="31"/>
  <c r="Q1149" i="31"/>
  <c r="R1152" i="31"/>
  <c r="Q1157" i="31"/>
  <c r="R1160" i="31"/>
  <c r="Q1165" i="31"/>
  <c r="R1168" i="31"/>
  <c r="Q1173" i="31"/>
  <c r="R1176" i="31"/>
  <c r="Q1181" i="31"/>
  <c r="R1184" i="31"/>
  <c r="Q1189" i="31"/>
  <c r="R1192" i="31"/>
  <c r="Q1197" i="31"/>
  <c r="R1200" i="31"/>
  <c r="Q1205" i="31"/>
  <c r="R1208" i="31"/>
  <c r="Q1213" i="31"/>
  <c r="R1216" i="31"/>
  <c r="Q1221" i="31"/>
  <c r="R1224" i="31"/>
  <c r="Q1229" i="31"/>
  <c r="R1232" i="31"/>
  <c r="Q1237" i="31"/>
  <c r="Q1245" i="31"/>
  <c r="Q1253" i="31"/>
  <c r="Q1261" i="31"/>
  <c r="Q1269" i="31"/>
  <c r="Q1277" i="31"/>
  <c r="Q1285" i="31"/>
  <c r="Q1293" i="31"/>
  <c r="Q1301" i="31"/>
  <c r="Q1307" i="31"/>
  <c r="S1311" i="31"/>
  <c r="Q1311" i="31"/>
  <c r="R1313" i="31"/>
  <c r="Q1317" i="31"/>
  <c r="R1319" i="31"/>
  <c r="Q1344" i="31"/>
  <c r="S1349" i="31"/>
  <c r="Q1349" i="31"/>
  <c r="S1373" i="31"/>
  <c r="R1373" i="31"/>
  <c r="Q1373" i="31"/>
  <c r="Q1400" i="31"/>
  <c r="S1408" i="31"/>
  <c r="R1408" i="31"/>
  <c r="S1480" i="31"/>
  <c r="R1480" i="31"/>
  <c r="S1504" i="31"/>
  <c r="R1504" i="31"/>
  <c r="Q1504" i="31"/>
  <c r="S1544" i="31"/>
  <c r="R1544" i="31"/>
  <c r="Q1544" i="31"/>
  <c r="R1141" i="31"/>
  <c r="R1149" i="31"/>
  <c r="R1157" i="31"/>
  <c r="R1165" i="31"/>
  <c r="R1173" i="31"/>
  <c r="R1181" i="31"/>
  <c r="R1189" i="31"/>
  <c r="R1197" i="31"/>
  <c r="R1205" i="31"/>
  <c r="R1213" i="31"/>
  <c r="R1221" i="31"/>
  <c r="R1229" i="31"/>
  <c r="R1237" i="31"/>
  <c r="R1245" i="31"/>
  <c r="R1253" i="31"/>
  <c r="R1261" i="31"/>
  <c r="R1269" i="31"/>
  <c r="R1277" i="31"/>
  <c r="R1285" i="31"/>
  <c r="Q1290" i="31"/>
  <c r="R1293" i="31"/>
  <c r="Q1298" i="31"/>
  <c r="R1301" i="31"/>
  <c r="S1303" i="31"/>
  <c r="Q1303" i="31"/>
  <c r="R1305" i="31"/>
  <c r="R1307" i="31"/>
  <c r="Q1309" i="31"/>
  <c r="R1311" i="31"/>
  <c r="S1313" i="31"/>
  <c r="R1317" i="31"/>
  <c r="Q1336" i="31"/>
  <c r="Q1338" i="31"/>
  <c r="S1344" i="31"/>
  <c r="Q1347" i="31"/>
  <c r="R1349" i="31"/>
  <c r="S1360" i="31"/>
  <c r="R1360" i="31"/>
  <c r="Q1363" i="31"/>
  <c r="S1381" i="31"/>
  <c r="R1381" i="31"/>
  <c r="Q1381" i="31"/>
  <c r="Q1408" i="31"/>
  <c r="S1416" i="31"/>
  <c r="R1416" i="31"/>
  <c r="S1424" i="31"/>
  <c r="R1424" i="31"/>
  <c r="S1432" i="31"/>
  <c r="R1432" i="31"/>
  <c r="S1440" i="31"/>
  <c r="R1440" i="31"/>
  <c r="S1448" i="31"/>
  <c r="R1448" i="31"/>
  <c r="S1456" i="31"/>
  <c r="R1456" i="31"/>
  <c r="S1464" i="31"/>
  <c r="R1464" i="31"/>
  <c r="S1472" i="31"/>
  <c r="R1472" i="31"/>
  <c r="Q1480" i="31"/>
  <c r="R1589" i="31"/>
  <c r="Q1589" i="31"/>
  <c r="S1589" i="31"/>
  <c r="S1305" i="31"/>
  <c r="R1309" i="31"/>
  <c r="S1338" i="31"/>
  <c r="R1347" i="31"/>
  <c r="S1357" i="31"/>
  <c r="Q1357" i="31"/>
  <c r="R1363" i="31"/>
  <c r="S1389" i="31"/>
  <c r="R1389" i="31"/>
  <c r="Q1389" i="31"/>
  <c r="Q1456" i="31"/>
  <c r="Q1464" i="31"/>
  <c r="Q1472" i="31"/>
  <c r="S1520" i="31"/>
  <c r="R1520" i="31"/>
  <c r="Q1520" i="31"/>
  <c r="Q1580" i="31"/>
  <c r="S1580" i="31"/>
  <c r="R1597" i="31"/>
  <c r="Q1597" i="31"/>
  <c r="S1657" i="31"/>
  <c r="R1657" i="31"/>
  <c r="Q1657" i="31"/>
  <c r="Q1595" i="31"/>
  <c r="S1595" i="31"/>
  <c r="S1793" i="31"/>
  <c r="R1793" i="31"/>
  <c r="Q1793" i="31"/>
  <c r="Q1797" i="31"/>
  <c r="S1797" i="31"/>
  <c r="R1797" i="31"/>
  <c r="Q1485" i="31"/>
  <c r="Q1493" i="31"/>
  <c r="Q1501" i="31"/>
  <c r="Q1509" i="31"/>
  <c r="Q1517" i="31"/>
  <c r="Q1525" i="31"/>
  <c r="Q1533" i="31"/>
  <c r="Q1541" i="31"/>
  <c r="Q1549" i="31"/>
  <c r="Q1557" i="31"/>
  <c r="R1565" i="31"/>
  <c r="R1581" i="31"/>
  <c r="R1590" i="31"/>
  <c r="Q1590" i="31"/>
  <c r="R1595" i="31"/>
  <c r="R1600" i="31"/>
  <c r="Q1600" i="31"/>
  <c r="S1739" i="31"/>
  <c r="R1739" i="31"/>
  <c r="Q1739" i="31"/>
  <c r="R1485" i="31"/>
  <c r="R1493" i="31"/>
  <c r="R1501" i="31"/>
  <c r="R1509" i="31"/>
  <c r="R1517" i="31"/>
  <c r="R1525" i="31"/>
  <c r="R1533" i="31"/>
  <c r="R1541" i="31"/>
  <c r="R1549" i="31"/>
  <c r="R1557" i="31"/>
  <c r="S1565" i="31"/>
  <c r="S1581" i="31"/>
  <c r="R1605" i="31"/>
  <c r="Q1605" i="31"/>
  <c r="Q1367" i="31"/>
  <c r="Q1375" i="31"/>
  <c r="Q1383" i="31"/>
  <c r="Q1391" i="31"/>
  <c r="Q1399" i="31"/>
  <c r="Q1407" i="31"/>
  <c r="Q1415" i="31"/>
  <c r="R1418" i="31"/>
  <c r="Q1423" i="31"/>
  <c r="R1426" i="31"/>
  <c r="Q1431" i="31"/>
  <c r="R1434" i="31"/>
  <c r="Q1439" i="31"/>
  <c r="R1442" i="31"/>
  <c r="Q1447" i="31"/>
  <c r="R1450" i="31"/>
  <c r="Q1455" i="31"/>
  <c r="R1458" i="31"/>
  <c r="Q1463" i="31"/>
  <c r="R1466" i="31"/>
  <c r="Q1471" i="31"/>
  <c r="R1474" i="31"/>
  <c r="Q1479" i="31"/>
  <c r="R1482" i="31"/>
  <c r="Q1487" i="31"/>
  <c r="R1490" i="31"/>
  <c r="Q1495" i="31"/>
  <c r="R1498" i="31"/>
  <c r="Q1503" i="31"/>
  <c r="R1506" i="31"/>
  <c r="Q1511" i="31"/>
  <c r="R1514" i="31"/>
  <c r="Q1519" i="31"/>
  <c r="R1522" i="31"/>
  <c r="Q1527" i="31"/>
  <c r="R1530" i="31"/>
  <c r="Q1535" i="31"/>
  <c r="R1538" i="31"/>
  <c r="Q1543" i="31"/>
  <c r="R1546" i="31"/>
  <c r="Q1551" i="31"/>
  <c r="R1554" i="31"/>
  <c r="Q1559" i="31"/>
  <c r="R1563" i="31"/>
  <c r="S1568" i="31"/>
  <c r="S1573" i="31"/>
  <c r="R1582" i="31"/>
  <c r="Q1582" i="31"/>
  <c r="S1605" i="31"/>
  <c r="S1608" i="31"/>
  <c r="R1608" i="31"/>
  <c r="Q1608" i="31"/>
  <c r="R1367" i="31"/>
  <c r="R1375" i="31"/>
  <c r="R1383" i="31"/>
  <c r="R1391" i="31"/>
  <c r="R1399" i="31"/>
  <c r="R1407" i="31"/>
  <c r="R1415" i="31"/>
  <c r="R1423" i="31"/>
  <c r="R1431" i="31"/>
  <c r="R1439" i="31"/>
  <c r="R1447" i="31"/>
  <c r="R1455" i="31"/>
  <c r="R1463" i="31"/>
  <c r="R1471" i="31"/>
  <c r="R1479" i="31"/>
  <c r="R1487" i="31"/>
  <c r="R1495" i="31"/>
  <c r="R1503" i="31"/>
  <c r="R1511" i="31"/>
  <c r="R1519" i="31"/>
  <c r="R1527" i="31"/>
  <c r="R1535" i="31"/>
  <c r="R1543" i="31"/>
  <c r="R1551" i="31"/>
  <c r="S1559" i="31"/>
  <c r="R1574" i="31"/>
  <c r="Q1574" i="31"/>
  <c r="S1613" i="31"/>
  <c r="R1613" i="31"/>
  <c r="Q1613" i="31"/>
  <c r="S1637" i="31"/>
  <c r="R1637" i="31"/>
  <c r="Q1637" i="31"/>
  <c r="Q1643" i="31"/>
  <c r="S1643" i="31"/>
  <c r="R1643" i="31"/>
  <c r="Q1564" i="31"/>
  <c r="S1564" i="31"/>
  <c r="S1566" i="31"/>
  <c r="S1574" i="31"/>
  <c r="Q1588" i="31"/>
  <c r="S1588" i="31"/>
  <c r="P1592" i="31"/>
  <c r="Q1753" i="31"/>
  <c r="S1753" i="31"/>
  <c r="R1753" i="31"/>
  <c r="Q1783" i="31"/>
  <c r="S1783" i="31"/>
  <c r="R1783" i="31"/>
  <c r="S1803" i="31"/>
  <c r="P1806" i="31"/>
  <c r="R1803" i="31"/>
  <c r="P1805" i="31"/>
  <c r="P1809" i="31"/>
  <c r="S1807" i="31"/>
  <c r="Q1807" i="31"/>
  <c r="P1808" i="31"/>
  <c r="Q1873" i="31"/>
  <c r="R1873" i="31"/>
  <c r="P1901" i="31"/>
  <c r="P1902" i="31"/>
  <c r="S1900" i="31"/>
  <c r="P1903" i="31"/>
  <c r="R1900" i="31"/>
  <c r="Q1900" i="31"/>
  <c r="S1603" i="31"/>
  <c r="S1611" i="31"/>
  <c r="S1619" i="31"/>
  <c r="Q1621" i="31"/>
  <c r="S1631" i="31"/>
  <c r="Q1633" i="31"/>
  <c r="P1636" i="31"/>
  <c r="S1640" i="31"/>
  <c r="Q1642" i="31"/>
  <c r="S1650" i="31"/>
  <c r="P1656" i="31"/>
  <c r="Q1663" i="31"/>
  <c r="S1669" i="31"/>
  <c r="Q1671" i="31"/>
  <c r="S1677" i="31"/>
  <c r="Q1679" i="31"/>
  <c r="S1685" i="31"/>
  <c r="Q1694" i="31"/>
  <c r="S1700" i="31"/>
  <c r="Q1702" i="31"/>
  <c r="S1708" i="31"/>
  <c r="Q1710" i="31"/>
  <c r="S1716" i="31"/>
  <c r="R1717" i="31"/>
  <c r="Q1718" i="31"/>
  <c r="Q1722" i="31"/>
  <c r="R1725" i="31"/>
  <c r="S1728" i="31"/>
  <c r="Q1730" i="31"/>
  <c r="R1733" i="31"/>
  <c r="S1736" i="31"/>
  <c r="P1738" i="31"/>
  <c r="P1745" i="31"/>
  <c r="S1746" i="31"/>
  <c r="R1749" i="31"/>
  <c r="Q1752" i="31"/>
  <c r="R1759" i="31"/>
  <c r="S1762" i="31"/>
  <c r="Q1764" i="31"/>
  <c r="R1767" i="31"/>
  <c r="Q1770" i="31"/>
  <c r="Q1773" i="31"/>
  <c r="R1776" i="31"/>
  <c r="P1779" i="31"/>
  <c r="S1780" i="31"/>
  <c r="Q1782" i="31"/>
  <c r="P1792" i="31"/>
  <c r="Q1803" i="31"/>
  <c r="R1807" i="31"/>
  <c r="P1810" i="31"/>
  <c r="Q1834" i="31"/>
  <c r="Q1841" i="31"/>
  <c r="R1841" i="31"/>
  <c r="Q1859" i="31"/>
  <c r="R1859" i="31"/>
  <c r="S1882" i="31"/>
  <c r="R1621" i="31"/>
  <c r="R1633" i="31"/>
  <c r="R1642" i="31"/>
  <c r="P1645" i="31"/>
  <c r="P1652" i="31"/>
  <c r="R1663" i="31"/>
  <c r="R1671" i="31"/>
  <c r="R1679" i="31"/>
  <c r="R1694" i="31"/>
  <c r="R1702" i="31"/>
  <c r="Q1703" i="31"/>
  <c r="R1710" i="31"/>
  <c r="Q1711" i="31"/>
  <c r="R1718" i="31"/>
  <c r="R1722" i="31"/>
  <c r="R1730" i="31"/>
  <c r="P1741" i="31"/>
  <c r="P1748" i="31"/>
  <c r="R1752" i="31"/>
  <c r="R1764" i="31"/>
  <c r="P1769" i="31"/>
  <c r="R1770" i="31"/>
  <c r="R1773" i="31"/>
  <c r="R1782" i="31"/>
  <c r="P1798" i="31"/>
  <c r="P1820" i="31"/>
  <c r="P1821" i="31"/>
  <c r="Q1819" i="31"/>
  <c r="Q1824" i="31"/>
  <c r="S1834" i="31"/>
  <c r="Q1905" i="31"/>
  <c r="S1905" i="31"/>
  <c r="R1905" i="31"/>
  <c r="S1642" i="31"/>
  <c r="S1752" i="31"/>
  <c r="S1782" i="31"/>
  <c r="P1813" i="31"/>
  <c r="P1814" i="31"/>
  <c r="R1811" i="31"/>
  <c r="S1830" i="31"/>
  <c r="Q1830" i="31"/>
  <c r="Q1866" i="31"/>
  <c r="R1866" i="31"/>
  <c r="S1873" i="31"/>
  <c r="Q1891" i="31"/>
  <c r="R1891" i="31"/>
  <c r="Q1616" i="31"/>
  <c r="Q1624" i="31"/>
  <c r="Q1632" i="31"/>
  <c r="Q1641" i="31"/>
  <c r="P1644" i="31"/>
  <c r="P1651" i="31"/>
  <c r="Q1662" i="31"/>
  <c r="Q1670" i="31"/>
  <c r="Q1678" i="31"/>
  <c r="Q1686" i="31"/>
  <c r="Q1697" i="31"/>
  <c r="Q1705" i="31"/>
  <c r="Q1713" i="31"/>
  <c r="Q1721" i="31"/>
  <c r="Q1729" i="31"/>
  <c r="Q1737" i="31"/>
  <c r="P1747" i="31"/>
  <c r="P1754" i="31"/>
  <c r="Q1763" i="31"/>
  <c r="Q1772" i="31"/>
  <c r="Q1781" i="31"/>
  <c r="P1784" i="31"/>
  <c r="Q1791" i="31"/>
  <c r="P1804" i="31"/>
  <c r="Q1811" i="31"/>
  <c r="R1830" i="31"/>
  <c r="R1616" i="31"/>
  <c r="R1624" i="31"/>
  <c r="R1632" i="31"/>
  <c r="R1641" i="31"/>
  <c r="R1662" i="31"/>
  <c r="R1670" i="31"/>
  <c r="R1678" i="31"/>
  <c r="R1686" i="31"/>
  <c r="R1697" i="31"/>
  <c r="R1705" i="31"/>
  <c r="R1713" i="31"/>
  <c r="R1721" i="31"/>
  <c r="R1729" i="31"/>
  <c r="R1737" i="31"/>
  <c r="R1763" i="31"/>
  <c r="R1772" i="31"/>
  <c r="R1781" i="31"/>
  <c r="R1791" i="31"/>
  <c r="P1794" i="31"/>
  <c r="S1811" i="31"/>
  <c r="R1845" i="31"/>
  <c r="Q1845" i="31"/>
  <c r="S1845" i="31"/>
  <c r="S1866" i="31"/>
  <c r="Q1898" i="31"/>
  <c r="R1898" i="31"/>
  <c r="R1926" i="31"/>
  <c r="Q1926" i="31"/>
  <c r="S1926" i="31"/>
  <c r="S1737" i="31"/>
  <c r="S1791" i="31"/>
  <c r="P1812" i="31"/>
  <c r="S1859" i="31"/>
  <c r="P1869" i="31"/>
  <c r="P1870" i="31"/>
  <c r="S1868" i="31"/>
  <c r="P1871" i="31"/>
  <c r="R1868" i="31"/>
  <c r="Q1868" i="31"/>
  <c r="R1634" i="31"/>
  <c r="R1654" i="31"/>
  <c r="P1802" i="31"/>
  <c r="R1799" i="31"/>
  <c r="Q1799" i="31"/>
  <c r="P1801" i="31"/>
  <c r="R1877" i="31"/>
  <c r="Q1877" i="31"/>
  <c r="S1877" i="31"/>
  <c r="P1833" i="31"/>
  <c r="P1840" i="31"/>
  <c r="Q1844" i="31"/>
  <c r="P1858" i="31"/>
  <c r="P1865" i="31"/>
  <c r="Q1876" i="31"/>
  <c r="P1890" i="31"/>
  <c r="P1897" i="31"/>
  <c r="Q1908" i="31"/>
  <c r="S2003" i="31"/>
  <c r="R2003" i="31"/>
  <c r="P2021" i="31"/>
  <c r="P2022" i="31"/>
  <c r="S2020" i="31"/>
  <c r="R2020" i="31"/>
  <c r="Q2020" i="31"/>
  <c r="P2120" i="31"/>
  <c r="P2116" i="31"/>
  <c r="P2117" i="31"/>
  <c r="S2115" i="31"/>
  <c r="P2119" i="31"/>
  <c r="P2118" i="31"/>
  <c r="R2115" i="31"/>
  <c r="Q2115" i="31"/>
  <c r="S1953" i="31"/>
  <c r="R1953" i="31"/>
  <c r="P1832" i="31"/>
  <c r="P1843" i="31"/>
  <c r="S1844" i="31"/>
  <c r="S1876" i="31"/>
  <c r="S1908" i="31"/>
  <c r="Q1982" i="31"/>
  <c r="S1982" i="31"/>
  <c r="Q2023" i="31"/>
  <c r="S2023" i="31"/>
  <c r="R2023" i="31"/>
  <c r="S2147" i="31"/>
  <c r="P2150" i="31"/>
  <c r="R2147" i="31"/>
  <c r="P2149" i="31"/>
  <c r="P2148" i="31"/>
  <c r="Q2147" i="31"/>
  <c r="S1815" i="31"/>
  <c r="Q1839" i="31"/>
  <c r="P1846" i="31"/>
  <c r="Q1864" i="31"/>
  <c r="S1872" i="31"/>
  <c r="P1878" i="31"/>
  <c r="Q1882" i="31"/>
  <c r="Q1896" i="31"/>
  <c r="S1904" i="31"/>
  <c r="P1910" i="31"/>
  <c r="S1978" i="31"/>
  <c r="R1978" i="31"/>
  <c r="R1839" i="31"/>
  <c r="P1842" i="31"/>
  <c r="R1864" i="31"/>
  <c r="P1867" i="31"/>
  <c r="R1882" i="31"/>
  <c r="R1896" i="31"/>
  <c r="P1899" i="31"/>
  <c r="Q1950" i="31"/>
  <c r="S1950" i="31"/>
  <c r="Q1953" i="31"/>
  <c r="S2017" i="31"/>
  <c r="R2017" i="31"/>
  <c r="Q1831" i="31"/>
  <c r="R1835" i="31"/>
  <c r="P1838" i="31"/>
  <c r="S1839" i="31"/>
  <c r="Q1856" i="31"/>
  <c r="R1860" i="31"/>
  <c r="P1863" i="31"/>
  <c r="S1864" i="31"/>
  <c r="Q1888" i="31"/>
  <c r="R1892" i="31"/>
  <c r="P1895" i="31"/>
  <c r="S1896" i="31"/>
  <c r="P1971" i="31"/>
  <c r="R1968" i="31"/>
  <c r="Q1968" i="31"/>
  <c r="P1969" i="31"/>
  <c r="P1970" i="31"/>
  <c r="R1982" i="31"/>
  <c r="Q2003" i="31"/>
  <c r="R1831" i="31"/>
  <c r="R1856" i="31"/>
  <c r="R1888" i="31"/>
  <c r="P1957" i="31"/>
  <c r="P1958" i="31"/>
  <c r="S1956" i="31"/>
  <c r="P1959" i="31"/>
  <c r="R1956" i="31"/>
  <c r="Q1956" i="31"/>
  <c r="S1968" i="31"/>
  <c r="Q2017" i="31"/>
  <c r="S2047" i="31"/>
  <c r="R2047" i="31"/>
  <c r="Q2047" i="31"/>
  <c r="P1925" i="31"/>
  <c r="S1924" i="31"/>
  <c r="P1927" i="31"/>
  <c r="R1924" i="31"/>
  <c r="Q1924" i="31"/>
  <c r="P1929" i="31"/>
  <c r="P1930" i="31"/>
  <c r="S1928" i="31"/>
  <c r="P1931" i="31"/>
  <c r="R1928" i="31"/>
  <c r="S1934" i="31"/>
  <c r="Q1934" i="31"/>
  <c r="S1985" i="31"/>
  <c r="R1985" i="31"/>
  <c r="Q2014" i="31"/>
  <c r="S2014" i="31"/>
  <c r="S1932" i="31"/>
  <c r="P1938" i="31"/>
  <c r="P1945" i="31"/>
  <c r="P2074" i="31"/>
  <c r="P2075" i="31"/>
  <c r="S2073" i="31"/>
  <c r="P2076" i="31"/>
  <c r="R2073" i="31"/>
  <c r="Q2073" i="31"/>
  <c r="P1966" i="31"/>
  <c r="P1973" i="31"/>
  <c r="Q1984" i="31"/>
  <c r="P1998" i="31"/>
  <c r="P2005" i="31"/>
  <c r="Q2016" i="31"/>
  <c r="S2026" i="31"/>
  <c r="Q2026" i="31"/>
  <c r="S2092" i="31"/>
  <c r="R2092" i="31"/>
  <c r="P1923" i="31"/>
  <c r="P1937" i="31"/>
  <c r="Q1948" i="31"/>
  <c r="R1952" i="31"/>
  <c r="P1955" i="31"/>
  <c r="Q1980" i="31"/>
  <c r="R1984" i="31"/>
  <c r="P1987" i="31"/>
  <c r="P1994" i="31"/>
  <c r="P2001" i="31"/>
  <c r="Q2012" i="31"/>
  <c r="R2016" i="31"/>
  <c r="P2019" i="31"/>
  <c r="P2034" i="31"/>
  <c r="S2032" i="31"/>
  <c r="P2035" i="31"/>
  <c r="R2032" i="31"/>
  <c r="Q2032" i="31"/>
  <c r="P2033" i="31"/>
  <c r="P2038" i="31"/>
  <c r="S2036" i="31"/>
  <c r="P2039" i="31"/>
  <c r="R2036" i="31"/>
  <c r="R2042" i="31"/>
  <c r="Q2042" i="31"/>
  <c r="S2077" i="31"/>
  <c r="R2077" i="31"/>
  <c r="Q2077" i="31"/>
  <c r="R2082" i="31"/>
  <c r="Q2082" i="31"/>
  <c r="P1947" i="31"/>
  <c r="S1948" i="31"/>
  <c r="P1954" i="31"/>
  <c r="Q1972" i="31"/>
  <c r="P1979" i="31"/>
  <c r="S1980" i="31"/>
  <c r="P1986" i="31"/>
  <c r="Q2004" i="31"/>
  <c r="P2011" i="31"/>
  <c r="S2012" i="31"/>
  <c r="P2018" i="31"/>
  <c r="Q2036" i="31"/>
  <c r="Q2056" i="31"/>
  <c r="S2056" i="31"/>
  <c r="R2060" i="31"/>
  <c r="Q2060" i="31"/>
  <c r="S2070" i="31"/>
  <c r="R2070" i="31"/>
  <c r="S2108" i="31"/>
  <c r="R2108" i="31"/>
  <c r="Q2108" i="31"/>
  <c r="S1944" i="31"/>
  <c r="R1972" i="31"/>
  <c r="P1975" i="31"/>
  <c r="R2004" i="31"/>
  <c r="P2007" i="31"/>
  <c r="P2037" i="31"/>
  <c r="P2045" i="31"/>
  <c r="P2046" i="31"/>
  <c r="Q2044" i="31"/>
  <c r="S2052" i="31"/>
  <c r="R2052" i="31"/>
  <c r="S2082" i="31"/>
  <c r="Q2085" i="31"/>
  <c r="S2085" i="31"/>
  <c r="S2158" i="31"/>
  <c r="R2158" i="31"/>
  <c r="Q2158" i="31"/>
  <c r="P2182" i="31"/>
  <c r="P2178" i="31"/>
  <c r="P2179" i="31"/>
  <c r="P2180" i="31"/>
  <c r="R2177" i="31"/>
  <c r="Q2177" i="31"/>
  <c r="P2181" i="31"/>
  <c r="S2177" i="31"/>
  <c r="R2000" i="31"/>
  <c r="R2044" i="31"/>
  <c r="R2048" i="31"/>
  <c r="P2051" i="31"/>
  <c r="P2062" i="31"/>
  <c r="P2069" i="31"/>
  <c r="R2088" i="31"/>
  <c r="P2091" i="31"/>
  <c r="S2128" i="31"/>
  <c r="Q2131" i="31"/>
  <c r="P2132" i="31"/>
  <c r="S2131" i="31"/>
  <c r="P2185" i="31"/>
  <c r="S2183" i="31"/>
  <c r="P2186" i="31"/>
  <c r="R2183" i="31"/>
  <c r="Q2183" i="31"/>
  <c r="P2184" i="31"/>
  <c r="S2197" i="31"/>
  <c r="R2197" i="31"/>
  <c r="Q2197" i="31"/>
  <c r="P2087" i="31"/>
  <c r="P2105" i="31"/>
  <c r="P2106" i="31"/>
  <c r="R2103" i="31"/>
  <c r="P2134" i="31"/>
  <c r="Q2167" i="31"/>
  <c r="S2167" i="31"/>
  <c r="P2072" i="31"/>
  <c r="P2156" i="31"/>
  <c r="P2157" i="31"/>
  <c r="Q2155" i="31"/>
  <c r="Q2338" i="31"/>
  <c r="S2338" i="31"/>
  <c r="R2338" i="31"/>
  <c r="S2040" i="31"/>
  <c r="P2057" i="31"/>
  <c r="S2058" i="31"/>
  <c r="P2064" i="31"/>
  <c r="Q2068" i="31"/>
  <c r="R2083" i="31"/>
  <c r="P2086" i="31"/>
  <c r="R2095" i="31"/>
  <c r="P2096" i="31"/>
  <c r="S2103" i="31"/>
  <c r="P2107" i="31"/>
  <c r="R2138" i="31"/>
  <c r="R2155" i="31"/>
  <c r="Q2028" i="31"/>
  <c r="P2049" i="31"/>
  <c r="Q2053" i="31"/>
  <c r="R2068" i="31"/>
  <c r="P2071" i="31"/>
  <c r="S2083" i="31"/>
  <c r="P2089" i="31"/>
  <c r="Q2093" i="31"/>
  <c r="R2098" i="31"/>
  <c r="P2100" i="31"/>
  <c r="P2145" i="31"/>
  <c r="P2146" i="31"/>
  <c r="R2143" i="31"/>
  <c r="Q2143" i="31"/>
  <c r="P2144" i="31"/>
  <c r="Q2152" i="31"/>
  <c r="S2155" i="31"/>
  <c r="R2028" i="31"/>
  <c r="S2068" i="31"/>
  <c r="P2104" i="31"/>
  <c r="Q2189" i="31"/>
  <c r="S2189" i="31"/>
  <c r="P2194" i="31"/>
  <c r="R2191" i="31"/>
  <c r="Q2191" i="31"/>
  <c r="P2192" i="31"/>
  <c r="P2193" i="31"/>
  <c r="S2191" i="31"/>
  <c r="P2205" i="31"/>
  <c r="S2203" i="31"/>
  <c r="Q2203" i="31"/>
  <c r="P2204" i="31"/>
  <c r="P2206" i="31"/>
  <c r="R2203" i="31"/>
  <c r="P2133" i="31"/>
  <c r="Q2138" i="31"/>
  <c r="P2223" i="31"/>
  <c r="S2221" i="31"/>
  <c r="P2224" i="31"/>
  <c r="R2221" i="31"/>
  <c r="Q2221" i="31"/>
  <c r="P2226" i="31"/>
  <c r="P2225" i="31"/>
  <c r="P2222" i="31"/>
  <c r="P2212" i="31"/>
  <c r="P2213" i="31"/>
  <c r="S2211" i="31"/>
  <c r="R2241" i="31"/>
  <c r="P2286" i="31"/>
  <c r="S2285" i="31"/>
  <c r="P2288" i="31"/>
  <c r="P2169" i="31"/>
  <c r="P2196" i="31"/>
  <c r="Q2211" i="31"/>
  <c r="P2214" i="31"/>
  <c r="Q2252" i="31"/>
  <c r="S2282" i="31"/>
  <c r="R2282" i="31"/>
  <c r="Q2282" i="31"/>
  <c r="Q2285" i="31"/>
  <c r="P2319" i="31"/>
  <c r="S2317" i="31"/>
  <c r="P2320" i="31"/>
  <c r="R2317" i="31"/>
  <c r="Q2317" i="31"/>
  <c r="P2322" i="31"/>
  <c r="R2252" i="31"/>
  <c r="Q2265" i="31"/>
  <c r="P2266" i="31"/>
  <c r="P2268" i="31"/>
  <c r="S2265" i="31"/>
  <c r="P2267" i="31"/>
  <c r="R2265" i="31"/>
  <c r="P2304" i="31"/>
  <c r="P2300" i="31"/>
  <c r="S2299" i="31"/>
  <c r="P2302" i="31"/>
  <c r="R2299" i="31"/>
  <c r="P2301" i="31"/>
  <c r="P2303" i="31"/>
  <c r="Q2299" i="31"/>
  <c r="S2318" i="31"/>
  <c r="R2318" i="31"/>
  <c r="Q2318" i="31"/>
  <c r="P2125" i="31"/>
  <c r="S2151" i="31"/>
  <c r="Q2201" i="31"/>
  <c r="R2270" i="31"/>
  <c r="Q2276" i="31"/>
  <c r="S2276" i="31"/>
  <c r="R2276" i="31"/>
  <c r="Q2121" i="31"/>
  <c r="Q2139" i="31"/>
  <c r="P2153" i="31"/>
  <c r="P2160" i="31"/>
  <c r="P2164" i="31"/>
  <c r="S2165" i="31"/>
  <c r="P2175" i="31"/>
  <c r="S2187" i="31"/>
  <c r="R2201" i="31"/>
  <c r="S2270" i="31"/>
  <c r="P2287" i="31"/>
  <c r="P2321" i="31"/>
  <c r="S2195" i="31"/>
  <c r="P2198" i="31"/>
  <c r="R2195" i="31"/>
  <c r="P2208" i="31"/>
  <c r="P2209" i="31"/>
  <c r="P2210" i="31"/>
  <c r="R2207" i="31"/>
  <c r="R2135" i="31"/>
  <c r="R2171" i="31"/>
  <c r="Q2195" i="31"/>
  <c r="Q2207" i="31"/>
  <c r="P2369" i="31"/>
  <c r="S2367" i="31"/>
  <c r="P2370" i="31"/>
  <c r="R2367" i="31"/>
  <c r="Q2367" i="31"/>
  <c r="P2368" i="31"/>
  <c r="P2217" i="31"/>
  <c r="P2228" i="31"/>
  <c r="P2232" i="31"/>
  <c r="P2243" i="31"/>
  <c r="P2250" i="31"/>
  <c r="P2272" i="31"/>
  <c r="R2269" i="31"/>
  <c r="Q2326" i="31"/>
  <c r="Q2297" i="31"/>
  <c r="S2297" i="31"/>
  <c r="R2326" i="31"/>
  <c r="Q2354" i="31"/>
  <c r="S2354" i="31"/>
  <c r="R2354" i="31"/>
  <c r="P2231" i="31"/>
  <c r="Q2253" i="31"/>
  <c r="S2269" i="31"/>
  <c r="S2335" i="31"/>
  <c r="P2336" i="31"/>
  <c r="R2335" i="31"/>
  <c r="P2337" i="31"/>
  <c r="Q2335" i="31"/>
  <c r="Q2227" i="31"/>
  <c r="Q2249" i="31"/>
  <c r="R2253" i="31"/>
  <c r="P2256" i="31"/>
  <c r="P2279" i="31"/>
  <c r="Q2277" i="31"/>
  <c r="R2227" i="31"/>
  <c r="R2249" i="31"/>
  <c r="Q2264" i="31"/>
  <c r="R2277" i="31"/>
  <c r="P2284" i="31"/>
  <c r="R2281" i="31"/>
  <c r="S2400" i="31"/>
  <c r="Q2400" i="31"/>
  <c r="R2400" i="31"/>
  <c r="P2401" i="31"/>
  <c r="S2399" i="31"/>
  <c r="P2402" i="31"/>
  <c r="R2399" i="31"/>
  <c r="Q2399" i="31"/>
  <c r="S2405" i="31"/>
  <c r="S2421" i="31"/>
  <c r="P2324" i="31"/>
  <c r="P2309" i="31"/>
  <c r="S2378" i="31"/>
  <c r="R2378" i="31"/>
  <c r="Q2378" i="31"/>
  <c r="S2409" i="31"/>
  <c r="S2490" i="31"/>
  <c r="R2490" i="31"/>
  <c r="Q2490" i="31"/>
  <c r="S2542" i="31"/>
  <c r="R2542" i="31"/>
  <c r="Q2542" i="31"/>
  <c r="R2305" i="31"/>
  <c r="P2308" i="31"/>
  <c r="Q2323" i="31"/>
  <c r="R2327" i="31"/>
  <c r="P2330" i="31"/>
  <c r="R2343" i="31"/>
  <c r="P2345" i="31"/>
  <c r="P2348" i="31"/>
  <c r="P2350" i="31"/>
  <c r="R2347" i="31"/>
  <c r="Q2357" i="31"/>
  <c r="P2376" i="31"/>
  <c r="P2377" i="31"/>
  <c r="S2375" i="31"/>
  <c r="Q2375" i="31"/>
  <c r="P2380" i="31"/>
  <c r="P2381" i="31"/>
  <c r="P2382" i="31"/>
  <c r="R2379" i="31"/>
  <c r="S2442" i="31"/>
  <c r="R2442" i="31"/>
  <c r="Q2442" i="31"/>
  <c r="R2323" i="31"/>
  <c r="S2343" i="31"/>
  <c r="P2352" i="31"/>
  <c r="S2351" i="31"/>
  <c r="P2353" i="31"/>
  <c r="R2357" i="31"/>
  <c r="R2405" i="31"/>
  <c r="R2421" i="31"/>
  <c r="S2526" i="31"/>
  <c r="R2526" i="31"/>
  <c r="Q2526" i="31"/>
  <c r="S2498" i="31"/>
  <c r="R2498" i="31"/>
  <c r="Q2498" i="31"/>
  <c r="S2534" i="31"/>
  <c r="R2534" i="31"/>
  <c r="Q2534" i="31"/>
  <c r="P2364" i="31"/>
  <c r="S2383" i="31"/>
  <c r="P2411" i="31"/>
  <c r="P2415" i="31"/>
  <c r="P2423" i="31"/>
  <c r="P2427" i="31"/>
  <c r="P2434" i="31"/>
  <c r="P2436" i="31"/>
  <c r="S2482" i="31"/>
  <c r="R2482" i="31"/>
  <c r="Q2482" i="31"/>
  <c r="S2518" i="31"/>
  <c r="R2518" i="31"/>
  <c r="Q2518" i="31"/>
  <c r="S2497" i="31"/>
  <c r="R2497" i="31"/>
  <c r="S2533" i="31"/>
  <c r="R2533" i="31"/>
  <c r="P2438" i="31"/>
  <c r="P2440" i="31"/>
  <c r="S2474" i="31"/>
  <c r="R2474" i="31"/>
  <c r="Q2474" i="31"/>
  <c r="S2489" i="31"/>
  <c r="R2489" i="31"/>
  <c r="Q2497" i="31"/>
  <c r="S2525" i="31"/>
  <c r="R2525" i="31"/>
  <c r="Q2533" i="31"/>
  <c r="S2541" i="31"/>
  <c r="R2541" i="31"/>
  <c r="Q2363" i="31"/>
  <c r="Q2431" i="31"/>
  <c r="P2433" i="31"/>
  <c r="S2481" i="31"/>
  <c r="R2481" i="31"/>
  <c r="Q2489" i="31"/>
  <c r="P2515" i="31"/>
  <c r="S2517" i="31"/>
  <c r="R2517" i="31"/>
  <c r="Q2525" i="31"/>
  <c r="Q2541" i="31"/>
  <c r="R2363" i="31"/>
  <c r="R2431" i="31"/>
  <c r="P2435" i="31"/>
  <c r="Q2517" i="31"/>
  <c r="Q2437" i="31"/>
  <c r="P2441" i="31"/>
  <c r="S2473" i="31"/>
  <c r="R2473" i="31"/>
  <c r="P2447" i="31"/>
  <c r="P2451" i="31"/>
  <c r="P2459" i="31"/>
  <c r="P2463" i="31"/>
  <c r="Q2468" i="31"/>
  <c r="Q2476" i="31"/>
  <c r="Q2484" i="31"/>
  <c r="Q2492" i="31"/>
  <c r="Q2505" i="31"/>
  <c r="R2468" i="31"/>
  <c r="R2476" i="31"/>
  <c r="Q2477" i="31"/>
  <c r="R2484" i="31"/>
  <c r="Q2485" i="31"/>
  <c r="R2492" i="31"/>
  <c r="Q2493" i="31"/>
  <c r="R2505" i="31"/>
  <c r="R2520" i="31"/>
  <c r="Q2521" i="31"/>
  <c r="Q2529" i="31"/>
  <c r="Q2537" i="31"/>
  <c r="Q2545" i="31"/>
  <c r="P2453" i="31"/>
  <c r="P2465" i="31"/>
  <c r="R2477" i="31"/>
  <c r="R2485" i="31"/>
  <c r="R2493" i="31"/>
  <c r="R2521" i="31"/>
  <c r="R2529" i="31"/>
  <c r="Q2136" i="31" l="1"/>
  <c r="S2180" i="32"/>
  <c r="Q2180" i="32"/>
  <c r="Q2360" i="31"/>
  <c r="R1857" i="31"/>
  <c r="S2247" i="31"/>
  <c r="S178" i="31"/>
  <c r="S2360" i="31"/>
  <c r="R2188" i="31"/>
  <c r="R1946" i="31"/>
  <c r="S2136" i="31"/>
  <c r="S1946" i="31"/>
  <c r="Q178" i="31"/>
  <c r="S1857" i="31"/>
  <c r="Q786" i="31"/>
  <c r="S2188" i="31"/>
  <c r="Q2247" i="31"/>
  <c r="R2458" i="31"/>
  <c r="S1909" i="31"/>
  <c r="Q1909" i="31"/>
  <c r="R2122" i="31"/>
  <c r="S2122" i="31"/>
  <c r="Q2130" i="31"/>
  <c r="R1824" i="31"/>
  <c r="Q2170" i="31"/>
  <c r="S2240" i="31"/>
  <c r="R1751" i="31"/>
  <c r="S2134" i="32"/>
  <c r="R2466" i="31"/>
  <c r="R2061" i="31"/>
  <c r="S2162" i="31"/>
  <c r="S539" i="31"/>
  <c r="S749" i="31"/>
  <c r="Q668" i="31"/>
  <c r="Q2306" i="31"/>
  <c r="Q345" i="31"/>
  <c r="R668" i="31"/>
  <c r="Q1826" i="31"/>
  <c r="Q2190" i="31"/>
  <c r="R1995" i="31"/>
  <c r="R1796" i="31"/>
  <c r="Q1995" i="31"/>
  <c r="S2306" i="31"/>
  <c r="R2190" i="31"/>
  <c r="Q1751" i="31"/>
  <c r="R539" i="31"/>
  <c r="Q749" i="31"/>
  <c r="S1796" i="31"/>
  <c r="R2067" i="31"/>
  <c r="Q2084" i="31"/>
  <c r="S2373" i="31"/>
  <c r="R2021" i="32"/>
  <c r="Q2218" i="31"/>
  <c r="Q2179" i="32"/>
  <c r="R501" i="32"/>
  <c r="S283" i="31"/>
  <c r="Q2298" i="32"/>
  <c r="R2160" i="32"/>
  <c r="Q2162" i="31"/>
  <c r="R43" i="31"/>
  <c r="Q2397" i="32"/>
  <c r="S43" i="31"/>
  <c r="R1826" i="31"/>
  <c r="R1789" i="31"/>
  <c r="R1887" i="31"/>
  <c r="R361" i="32"/>
  <c r="S1789" i="31"/>
  <c r="Q2452" i="31"/>
  <c r="S2382" i="32"/>
  <c r="R2464" i="31"/>
  <c r="S2163" i="32"/>
  <c r="Q2065" i="32"/>
  <c r="R1922" i="32"/>
  <c r="Q2280" i="32"/>
  <c r="S2280" i="32"/>
  <c r="Q2061" i="31"/>
  <c r="Q2030" i="31"/>
  <c r="S385" i="31"/>
  <c r="R385" i="31"/>
  <c r="S2030" i="31"/>
  <c r="Q2388" i="31"/>
  <c r="R2130" i="31"/>
  <c r="S2388" i="31"/>
  <c r="R464" i="31"/>
  <c r="S2332" i="32"/>
  <c r="Q2332" i="32"/>
  <c r="R2029" i="31"/>
  <c r="S2372" i="31"/>
  <c r="R1756" i="32"/>
  <c r="R2410" i="31"/>
  <c r="Q1967" i="31"/>
  <c r="R1967" i="31"/>
  <c r="S2460" i="31"/>
  <c r="Q1974" i="31"/>
  <c r="R1974" i="31"/>
  <c r="R2462" i="31"/>
  <c r="Q2462" i="31"/>
  <c r="Q2080" i="31"/>
  <c r="R2179" i="32"/>
  <c r="R415" i="32"/>
  <c r="R2295" i="32"/>
  <c r="R351" i="32"/>
  <c r="Q2223" i="32"/>
  <c r="R1744" i="32"/>
  <c r="R2274" i="32"/>
  <c r="Q1744" i="32"/>
  <c r="R1836" i="32"/>
  <c r="S2414" i="31"/>
  <c r="Q2414" i="31"/>
  <c r="R169" i="31"/>
  <c r="R147" i="31"/>
  <c r="R2392" i="31"/>
  <c r="S147" i="31"/>
  <c r="Q2361" i="31"/>
  <c r="S2361" i="31"/>
  <c r="S680" i="31"/>
  <c r="R680" i="31"/>
  <c r="R2385" i="31"/>
  <c r="S2126" i="31"/>
  <c r="Q761" i="31"/>
  <c r="R2254" i="31"/>
  <c r="S2254" i="31"/>
  <c r="R761" i="31"/>
  <c r="R1861" i="31"/>
  <c r="R183" i="31"/>
  <c r="R463" i="31"/>
  <c r="S2420" i="31"/>
  <c r="Q1885" i="31"/>
  <c r="S463" i="31"/>
  <c r="R91" i="31"/>
  <c r="R1921" i="31"/>
  <c r="R2428" i="31"/>
  <c r="S1921" i="31"/>
  <c r="S2428" i="31"/>
  <c r="Q1854" i="31"/>
  <c r="R786" i="31"/>
  <c r="R182" i="31"/>
  <c r="Q91" i="31"/>
  <c r="R1854" i="31"/>
  <c r="Q482" i="31"/>
  <c r="R1847" i="31"/>
  <c r="R482" i="31"/>
  <c r="R1885" i="31"/>
  <c r="R1818" i="31"/>
  <c r="Q1818" i="31"/>
  <c r="S182" i="31"/>
  <c r="R319" i="31"/>
  <c r="R2420" i="31"/>
  <c r="S2392" i="31"/>
  <c r="R2332" i="31"/>
  <c r="Q2129" i="31"/>
  <c r="S2332" i="31"/>
  <c r="R2129" i="31"/>
  <c r="Q1850" i="31"/>
  <c r="Q1757" i="31"/>
  <c r="R1850" i="31"/>
  <c r="Q2140" i="31"/>
  <c r="R2140" i="31"/>
  <c r="R2054" i="31"/>
  <c r="S2054" i="31"/>
  <c r="S677" i="31"/>
  <c r="S327" i="31"/>
  <c r="R1981" i="31"/>
  <c r="Q2163" i="31"/>
  <c r="R2460" i="31"/>
  <c r="Q2356" i="31"/>
  <c r="Q1981" i="31"/>
  <c r="S345" i="31"/>
  <c r="Q191" i="31"/>
  <c r="Q1914" i="31"/>
  <c r="Q675" i="31"/>
  <c r="S263" i="31"/>
  <c r="Q2450" i="31"/>
  <c r="R1914" i="31"/>
  <c r="R263" i="31"/>
  <c r="Q2439" i="31"/>
  <c r="R2439" i="31"/>
  <c r="R2065" i="32"/>
  <c r="Q2295" i="32"/>
  <c r="S2427" i="32"/>
  <c r="S2030" i="32"/>
  <c r="R731" i="32"/>
  <c r="R2186" i="32"/>
  <c r="S404" i="32"/>
  <c r="Q2454" i="31"/>
  <c r="Q275" i="31"/>
  <c r="R2432" i="31"/>
  <c r="R2325" i="31"/>
  <c r="R2090" i="31"/>
  <c r="R2015" i="31"/>
  <c r="Q859" i="31"/>
  <c r="R275" i="31"/>
  <c r="Q2015" i="31"/>
  <c r="R352" i="31"/>
  <c r="Q2090" i="31"/>
  <c r="R2010" i="31"/>
  <c r="S445" i="31"/>
  <c r="S2010" i="31"/>
  <c r="Q2176" i="31"/>
  <c r="S2464" i="31"/>
  <c r="R2454" i="31"/>
  <c r="S2163" i="31"/>
  <c r="R2452" i="31"/>
  <c r="Q171" i="31"/>
  <c r="S2445" i="31"/>
  <c r="S352" i="31"/>
  <c r="Q2446" i="31"/>
  <c r="R2445" i="31"/>
  <c r="R2446" i="31"/>
  <c r="R445" i="31"/>
  <c r="S2019" i="32"/>
  <c r="Q2105" i="32"/>
  <c r="R2163" i="32"/>
  <c r="S1756" i="32"/>
  <c r="S2027" i="31"/>
  <c r="R2320" i="32"/>
  <c r="S393" i="31"/>
  <c r="R2248" i="31"/>
  <c r="R2344" i="31"/>
  <c r="S2248" i="31"/>
  <c r="S2344" i="31"/>
  <c r="R272" i="32"/>
  <c r="R393" i="31"/>
  <c r="S1822" i="32"/>
  <c r="R1756" i="31"/>
  <c r="Q2025" i="31"/>
  <c r="S1889" i="32"/>
  <c r="S339" i="31"/>
  <c r="S398" i="31"/>
  <c r="R2366" i="32"/>
  <c r="R1889" i="32"/>
  <c r="S2366" i="32"/>
  <c r="R307" i="31"/>
  <c r="Q2228" i="32"/>
  <c r="Q1850" i="32"/>
  <c r="R321" i="31"/>
  <c r="Q1997" i="31"/>
  <c r="R2084" i="31"/>
  <c r="R769" i="31"/>
  <c r="S2076" i="32"/>
  <c r="S370" i="32"/>
  <c r="R1655" i="32"/>
  <c r="Q1881" i="31"/>
  <c r="Q2021" i="32"/>
  <c r="Q500" i="32"/>
  <c r="Q1965" i="31"/>
  <c r="Q404" i="32"/>
  <c r="Q274" i="32"/>
  <c r="S1881" i="31"/>
  <c r="S1965" i="31"/>
  <c r="R1997" i="31"/>
  <c r="Q2043" i="31"/>
  <c r="Q2389" i="31"/>
  <c r="R2378" i="32"/>
  <c r="S766" i="32"/>
  <c r="Q703" i="32"/>
  <c r="Q731" i="32"/>
  <c r="R1790" i="31"/>
  <c r="R2357" i="32"/>
  <c r="S1894" i="31"/>
  <c r="S1757" i="31"/>
  <c r="S307" i="31"/>
  <c r="R1647" i="31"/>
  <c r="R430" i="32"/>
  <c r="Q199" i="32"/>
  <c r="S351" i="32"/>
  <c r="Q447" i="32"/>
  <c r="R447" i="32"/>
  <c r="S746" i="32"/>
  <c r="S2456" i="32"/>
  <c r="R2340" i="32"/>
  <c r="Q459" i="32"/>
  <c r="R712" i="32"/>
  <c r="R2104" i="32"/>
  <c r="S1757" i="32"/>
  <c r="Q2050" i="31"/>
  <c r="S1847" i="31"/>
  <c r="R267" i="31"/>
  <c r="S363" i="31"/>
  <c r="S464" i="31"/>
  <c r="Q321" i="31"/>
  <c r="Q1756" i="31"/>
  <c r="Q267" i="31"/>
  <c r="R2050" i="31"/>
  <c r="S2334" i="31"/>
  <c r="R2456" i="31"/>
  <c r="R2258" i="31"/>
  <c r="R339" i="31"/>
  <c r="R295" i="31"/>
  <c r="S2059" i="31"/>
  <c r="R2137" i="31"/>
  <c r="R2334" i="31"/>
  <c r="S2456" i="31"/>
  <c r="R2168" i="31"/>
  <c r="Q2168" i="31"/>
  <c r="R2280" i="31"/>
  <c r="S2258" i="31"/>
  <c r="Q2161" i="31"/>
  <c r="R363" i="31"/>
  <c r="R259" i="31"/>
  <c r="S295" i="31"/>
  <c r="R2059" i="31"/>
  <c r="S1993" i="31"/>
  <c r="Q2099" i="31"/>
  <c r="Q2009" i="31"/>
  <c r="Q1993" i="31"/>
  <c r="Q1886" i="31"/>
  <c r="Q394" i="31"/>
  <c r="Q2137" i="31"/>
  <c r="S2099" i="31"/>
  <c r="R1886" i="31"/>
  <c r="R394" i="31"/>
  <c r="R2271" i="31"/>
  <c r="Q1879" i="31"/>
  <c r="Q2290" i="31"/>
  <c r="S2029" i="31"/>
  <c r="R1879" i="31"/>
  <c r="S1790" i="31"/>
  <c r="Q441" i="31"/>
  <c r="S1800" i="31"/>
  <c r="R2290" i="31"/>
  <c r="S1933" i="31"/>
  <c r="R616" i="31"/>
  <c r="Q2372" i="31"/>
  <c r="R2218" i="31"/>
  <c r="S441" i="31"/>
  <c r="Q2280" i="31"/>
  <c r="Q1913" i="31"/>
  <c r="R1800" i="31"/>
  <c r="S2055" i="31"/>
  <c r="S616" i="31"/>
  <c r="S2374" i="31"/>
  <c r="R2406" i="31"/>
  <c r="S2406" i="31"/>
  <c r="Q1983" i="31"/>
  <c r="S784" i="31"/>
  <c r="Q2229" i="31"/>
  <c r="R2025" i="31"/>
  <c r="R1907" i="31"/>
  <c r="S1889" i="31"/>
  <c r="Q1744" i="31"/>
  <c r="R726" i="31"/>
  <c r="R171" i="31"/>
  <c r="R2310" i="31"/>
  <c r="Q2262" i="31"/>
  <c r="R2255" i="31"/>
  <c r="S2173" i="31"/>
  <c r="Q2006" i="31"/>
  <c r="Q1907" i="31"/>
  <c r="S475" i="31"/>
  <c r="S1983" i="31"/>
  <c r="Q2172" i="31"/>
  <c r="R1889" i="31"/>
  <c r="R2373" i="31"/>
  <c r="S2429" i="31"/>
  <c r="R2172" i="31"/>
  <c r="S1822" i="31"/>
  <c r="R333" i="31"/>
  <c r="Q2173" i="31"/>
  <c r="R179" i="31"/>
  <c r="R2240" i="31"/>
  <c r="Q1951" i="31"/>
  <c r="S1825" i="31"/>
  <c r="R787" i="31"/>
  <c r="Q787" i="31"/>
  <c r="R2382" i="32"/>
  <c r="Q2274" i="32"/>
  <c r="Q2320" i="32"/>
  <c r="Q2457" i="31"/>
  <c r="R1894" i="31"/>
  <c r="S2444" i="31"/>
  <c r="R2389" i="31"/>
  <c r="S2432" i="31"/>
  <c r="Q2393" i="31"/>
  <c r="R1951" i="31"/>
  <c r="Q2027" i="31"/>
  <c r="R1825" i="31"/>
  <c r="Q1648" i="31"/>
  <c r="Q446" i="31"/>
  <c r="S323" i="31"/>
  <c r="S1825" i="32"/>
  <c r="R153" i="32"/>
  <c r="S2081" i="31"/>
  <c r="R2457" i="31"/>
  <c r="Q2081" i="31"/>
  <c r="S1874" i="31"/>
  <c r="Q2444" i="31"/>
  <c r="R2294" i="31"/>
  <c r="S2393" i="31"/>
  <c r="R446" i="31"/>
  <c r="R327" i="31"/>
  <c r="R283" i="31"/>
  <c r="Q2017" i="32"/>
  <c r="S153" i="32"/>
  <c r="S769" i="31"/>
  <c r="S2342" i="31"/>
  <c r="R1648" i="31"/>
  <c r="S311" i="31"/>
  <c r="Q2047" i="32"/>
  <c r="R2017" i="32"/>
  <c r="Q1825" i="32"/>
  <c r="Q2294" i="31"/>
  <c r="Q2466" i="31"/>
  <c r="R2426" i="31"/>
  <c r="R2342" i="31"/>
  <c r="Q2271" i="31"/>
  <c r="Q2358" i="31"/>
  <c r="S2244" i="31"/>
  <c r="Q1874" i="31"/>
  <c r="Q1918" i="31"/>
  <c r="S2426" i="31"/>
  <c r="Q1647" i="31"/>
  <c r="S2358" i="31"/>
  <c r="Q1906" i="31"/>
  <c r="R737" i="31"/>
  <c r="S1906" i="31"/>
  <c r="Q1915" i="31"/>
  <c r="R1918" i="31"/>
  <c r="R143" i="31"/>
  <c r="S1915" i="31"/>
  <c r="R2303" i="32"/>
  <c r="R2019" i="32"/>
  <c r="S156" i="32"/>
  <c r="R370" i="32"/>
  <c r="Q2416" i="32"/>
  <c r="S1901" i="32"/>
  <c r="R274" i="32"/>
  <c r="Q156" i="32"/>
  <c r="Q718" i="32"/>
  <c r="S2228" i="32"/>
  <c r="Q1883" i="32"/>
  <c r="S1883" i="32"/>
  <c r="Q305" i="32"/>
  <c r="R1850" i="32"/>
  <c r="Q1635" i="32"/>
  <c r="S770" i="32"/>
  <c r="R2457" i="32"/>
  <c r="S1635" i="32"/>
  <c r="S2303" i="32"/>
  <c r="R500" i="32"/>
  <c r="Q2357" i="32"/>
  <c r="R2141" i="32"/>
  <c r="S2022" i="32"/>
  <c r="Q539" i="32"/>
  <c r="S1922" i="32"/>
  <c r="Q1842" i="32"/>
  <c r="R781" i="32"/>
  <c r="R1842" i="32"/>
  <c r="R345" i="32"/>
  <c r="S2141" i="32"/>
  <c r="Q1754" i="32"/>
  <c r="R510" i="32"/>
  <c r="S510" i="32"/>
  <c r="S1899" i="32"/>
  <c r="R2022" i="32"/>
  <c r="Q781" i="32"/>
  <c r="R539" i="32"/>
  <c r="Q2392" i="32"/>
  <c r="R2105" i="32"/>
  <c r="Q429" i="32"/>
  <c r="R2392" i="32"/>
  <c r="Q2378" i="32"/>
  <c r="S2325" i="32"/>
  <c r="S429" i="32"/>
  <c r="S453" i="32"/>
  <c r="S2256" i="32"/>
  <c r="Q2172" i="32"/>
  <c r="Q1817" i="32"/>
  <c r="R1817" i="32"/>
  <c r="Q326" i="32"/>
  <c r="Q2362" i="32"/>
  <c r="R2172" i="32"/>
  <c r="S1655" i="32"/>
  <c r="S326" i="32"/>
  <c r="Q2325" i="32"/>
  <c r="R2170" i="32"/>
  <c r="Q2170" i="32"/>
  <c r="R2444" i="32"/>
  <c r="R191" i="32"/>
  <c r="R704" i="32"/>
  <c r="S2358" i="32"/>
  <c r="Q2356" i="32"/>
  <c r="Q2108" i="32"/>
  <c r="S1846" i="32"/>
  <c r="Q1651" i="32"/>
  <c r="Q563" i="32"/>
  <c r="R453" i="32"/>
  <c r="Q657" i="32"/>
  <c r="Q191" i="32"/>
  <c r="Q1826" i="32"/>
  <c r="R2362" i="32"/>
  <c r="S427" i="32"/>
  <c r="Q2294" i="32"/>
  <c r="R2108" i="32"/>
  <c r="Q1822" i="32"/>
  <c r="R1651" i="32"/>
  <c r="R563" i="32"/>
  <c r="Q349" i="32"/>
  <c r="R657" i="32"/>
  <c r="S195" i="32"/>
  <c r="R1826" i="32"/>
  <c r="Q704" i="32"/>
  <c r="Q272" i="32"/>
  <c r="S2041" i="32"/>
  <c r="S2397" i="32"/>
  <c r="R2416" i="32"/>
  <c r="Q2229" i="32"/>
  <c r="Q2200" i="32"/>
  <c r="R2060" i="32"/>
  <c r="Q325" i="32"/>
  <c r="S327" i="32"/>
  <c r="Q2043" i="32"/>
  <c r="R1794" i="32"/>
  <c r="Q430" i="32"/>
  <c r="S2326" i="32"/>
  <c r="R2229" i="32"/>
  <c r="R2200" i="32"/>
  <c r="S2130" i="32"/>
  <c r="Q2003" i="32"/>
  <c r="Q1794" i="32"/>
  <c r="Q1901" i="32"/>
  <c r="Q1757" i="32"/>
  <c r="Q1747" i="32"/>
  <c r="Q766" i="32"/>
  <c r="Q319" i="32"/>
  <c r="S2104" i="32"/>
  <c r="Q2041" i="32"/>
  <c r="R2433" i="32"/>
  <c r="R2003" i="32"/>
  <c r="Q1836" i="32"/>
  <c r="R1747" i="32"/>
  <c r="S319" i="32"/>
  <c r="S275" i="32"/>
  <c r="S2255" i="31"/>
  <c r="S2067" i="31"/>
  <c r="S1817" i="31"/>
  <c r="Q1817" i="31"/>
  <c r="Q699" i="31"/>
  <c r="S726" i="31"/>
  <c r="R479" i="31"/>
  <c r="Q495" i="31"/>
  <c r="Q284" i="31"/>
  <c r="Q2278" i="31"/>
  <c r="Q2097" i="31"/>
  <c r="Q1911" i="31"/>
  <c r="R699" i="31"/>
  <c r="R495" i="31"/>
  <c r="Q322" i="31"/>
  <c r="S2242" i="31"/>
  <c r="S1875" i="31"/>
  <c r="S596" i="31"/>
  <c r="S269" i="31"/>
  <c r="R2278" i="31"/>
  <c r="R2174" i="31"/>
  <c r="R2097" i="31"/>
  <c r="R2009" i="31"/>
  <c r="R1911" i="31"/>
  <c r="Q1875" i="31"/>
  <c r="R322" i="31"/>
  <c r="R1822" i="31"/>
  <c r="R1883" i="31"/>
  <c r="R269" i="31"/>
  <c r="S2262" i="31"/>
  <c r="Q2242" i="31"/>
  <c r="Q2292" i="31"/>
  <c r="S2174" i="31"/>
  <c r="R596" i="31"/>
  <c r="Q2430" i="31"/>
  <c r="R2263" i="31"/>
  <c r="R2292" i="31"/>
  <c r="S2142" i="31"/>
  <c r="Q179" i="31"/>
  <c r="S2430" i="31"/>
  <c r="Q2329" i="31"/>
  <c r="S2263" i="31"/>
  <c r="Q2142" i="31"/>
  <c r="Q2244" i="31"/>
  <c r="S2202" i="31"/>
  <c r="Q2202" i="31"/>
  <c r="R323" i="31"/>
  <c r="R2450" i="31"/>
  <c r="R2429" i="31"/>
  <c r="R2356" i="31"/>
  <c r="S2408" i="31"/>
  <c r="R2043" i="31"/>
  <c r="S2080" i="31"/>
  <c r="Q2002" i="31"/>
  <c r="R2006" i="31"/>
  <c r="Q1933" i="31"/>
  <c r="Q1635" i="31"/>
  <c r="R1742" i="31"/>
  <c r="S1861" i="31"/>
  <c r="Q398" i="31"/>
  <c r="S333" i="31"/>
  <c r="S2002" i="31"/>
  <c r="Q1883" i="31"/>
  <c r="R2291" i="31"/>
  <c r="Q2385" i="31"/>
  <c r="Q2374" i="31"/>
  <c r="Q2310" i="31"/>
  <c r="R2408" i="31"/>
  <c r="Q2325" i="31"/>
  <c r="S2170" i="31"/>
  <c r="R315" i="31"/>
  <c r="S175" i="31"/>
  <c r="S1887" i="31"/>
  <c r="Q2410" i="31"/>
  <c r="Q2295" i="31"/>
  <c r="R2229" i="31"/>
  <c r="R2176" i="31"/>
  <c r="R2161" i="31"/>
  <c r="Q1778" i="31"/>
  <c r="Q1742" i="31"/>
  <c r="Q1653" i="31"/>
  <c r="R175" i="31"/>
  <c r="S260" i="31"/>
  <c r="S2283" i="31"/>
  <c r="R2417" i="31"/>
  <c r="Q2041" i="31"/>
  <c r="Q2291" i="31"/>
  <c r="R2295" i="31"/>
  <c r="S2274" i="31"/>
  <c r="R1939" i="31"/>
  <c r="Q1999" i="31"/>
  <c r="S1893" i="31"/>
  <c r="Q778" i="31"/>
  <c r="R465" i="31"/>
  <c r="Q610" i="31"/>
  <c r="Q417" i="31"/>
  <c r="Q2417" i="31"/>
  <c r="S2041" i="31"/>
  <c r="S315" i="31"/>
  <c r="S2404" i="31"/>
  <c r="Q2404" i="31"/>
  <c r="R2283" i="31"/>
  <c r="R2274" i="31"/>
  <c r="Q2055" i="31"/>
  <c r="S1939" i="31"/>
  <c r="R1999" i="31"/>
  <c r="R1653" i="31"/>
  <c r="R429" i="31"/>
  <c r="R417" i="31"/>
  <c r="S191" i="31"/>
  <c r="S169" i="31"/>
  <c r="Q609" i="31"/>
  <c r="Q2066" i="31"/>
  <c r="R1778" i="31"/>
  <c r="R1635" i="31"/>
  <c r="R778" i="31"/>
  <c r="R609" i="31"/>
  <c r="S429" i="31"/>
  <c r="R355" i="31"/>
  <c r="R1967" i="32"/>
  <c r="S2433" i="32"/>
  <c r="S393" i="32"/>
  <c r="R677" i="31"/>
  <c r="Q655" i="32"/>
  <c r="R166" i="32"/>
  <c r="S2333" i="31"/>
  <c r="Q2186" i="32"/>
  <c r="S1967" i="32"/>
  <c r="Q1874" i="32"/>
  <c r="R327" i="32"/>
  <c r="Q195" i="32"/>
  <c r="Q2333" i="31"/>
  <c r="R2043" i="32"/>
  <c r="Q323" i="31"/>
  <c r="R311" i="31"/>
  <c r="Q2396" i="32"/>
  <c r="Q2205" i="32"/>
  <c r="Q2134" i="32"/>
  <c r="S2047" i="32"/>
  <c r="Q2010" i="32"/>
  <c r="Q1919" i="32"/>
  <c r="S357" i="32"/>
  <c r="Q333" i="32"/>
  <c r="Q2326" i="32"/>
  <c r="R2205" i="32"/>
  <c r="R2010" i="32"/>
  <c r="Q1926" i="32"/>
  <c r="R1919" i="32"/>
  <c r="R1644" i="32"/>
  <c r="Q381" i="32"/>
  <c r="Q383" i="32"/>
  <c r="R158" i="32"/>
  <c r="Q177" i="32"/>
  <c r="S460" i="32"/>
  <c r="Q1899" i="32"/>
  <c r="R381" i="32"/>
  <c r="Q158" i="32"/>
  <c r="R357" i="32"/>
  <c r="Q2262" i="32"/>
  <c r="Q1645" i="32"/>
  <c r="S722" i="32"/>
  <c r="Q2430" i="32"/>
  <c r="S2262" i="32"/>
  <c r="S1645" i="32"/>
  <c r="R460" i="32"/>
  <c r="R730" i="32"/>
  <c r="R2294" i="32"/>
  <c r="S1818" i="32"/>
  <c r="Q393" i="32"/>
  <c r="Q1918" i="32"/>
  <c r="R679" i="32"/>
  <c r="Q2166" i="32"/>
  <c r="Q2076" i="32"/>
  <c r="R1918" i="32"/>
  <c r="Q331" i="32"/>
  <c r="S679" i="32"/>
  <c r="Q2030" i="32"/>
  <c r="S2160" i="32"/>
  <c r="R2166" i="32"/>
  <c r="Q501" i="32"/>
  <c r="Q405" i="32"/>
  <c r="R1754" i="32"/>
  <c r="R703" i="32"/>
  <c r="R479" i="32"/>
  <c r="S1847" i="32"/>
  <c r="S1875" i="32"/>
  <c r="S143" i="32"/>
  <c r="S2061" i="32"/>
  <c r="Q143" i="32"/>
  <c r="Q1847" i="32"/>
  <c r="S2457" i="32"/>
  <c r="Q2460" i="32"/>
  <c r="S2390" i="32"/>
  <c r="S2062" i="32"/>
  <c r="R2460" i="32"/>
  <c r="R2396" i="32"/>
  <c r="R2298" i="32"/>
  <c r="Q2218" i="32"/>
  <c r="Q2042" i="32"/>
  <c r="S1935" i="32"/>
  <c r="Q1933" i="32"/>
  <c r="R675" i="32"/>
  <c r="S2426" i="32"/>
  <c r="R2218" i="32"/>
  <c r="R2042" i="32"/>
  <c r="R1933" i="32"/>
  <c r="Q1938" i="32"/>
  <c r="Q1652" i="32"/>
  <c r="R668" i="32"/>
  <c r="Q534" i="32"/>
  <c r="S2087" i="32"/>
  <c r="S2275" i="32"/>
  <c r="S2193" i="32"/>
  <c r="R2071" i="32"/>
  <c r="S1652" i="32"/>
  <c r="Q755" i="32"/>
  <c r="R534" i="32"/>
  <c r="R2390" i="32"/>
  <c r="Q2275" i="32"/>
  <c r="Q2062" i="32"/>
  <c r="R755" i="32"/>
  <c r="Q675" i="32"/>
  <c r="Q2055" i="32"/>
  <c r="Q2071" i="32"/>
  <c r="Q1806" i="32"/>
  <c r="R1806" i="32"/>
  <c r="Q668" i="32"/>
  <c r="S331" i="32"/>
  <c r="Q2346" i="32"/>
  <c r="Q2436" i="32"/>
  <c r="Q2389" i="32"/>
  <c r="S2097" i="32"/>
  <c r="Q1991" i="32"/>
  <c r="S2060" i="32"/>
  <c r="R1874" i="32"/>
  <c r="R770" i="32"/>
  <c r="R609" i="32"/>
  <c r="S415" i="32"/>
  <c r="Q463" i="32"/>
  <c r="S712" i="32"/>
  <c r="S199" i="32"/>
  <c r="R91" i="32"/>
  <c r="S2436" i="32"/>
  <c r="S2346" i="32"/>
  <c r="R2389" i="32"/>
  <c r="R1965" i="32"/>
  <c r="Q1965" i="32"/>
  <c r="Q770" i="32"/>
  <c r="R286" i="32"/>
  <c r="R463" i="32"/>
  <c r="S91" i="32"/>
  <c r="Q2287" i="32"/>
  <c r="S459" i="32"/>
  <c r="S718" i="32"/>
  <c r="S2287" i="32"/>
  <c r="Q609" i="32"/>
  <c r="R2358" i="32"/>
  <c r="R1991" i="32"/>
  <c r="S286" i="32"/>
  <c r="S403" i="32"/>
  <c r="Q345" i="32"/>
  <c r="R716" i="32"/>
  <c r="Q503" i="32"/>
  <c r="Q2029" i="32"/>
  <c r="R1935" i="32"/>
  <c r="R503" i="32"/>
  <c r="Q403" i="32"/>
  <c r="R2029" i="32"/>
  <c r="Q373" i="32"/>
  <c r="Q2276" i="32"/>
  <c r="S2276" i="32"/>
  <c r="Q2136" i="32"/>
  <c r="R1903" i="32"/>
  <c r="Q1854" i="32"/>
  <c r="S757" i="32"/>
  <c r="R373" i="32"/>
  <c r="R181" i="32"/>
  <c r="R177" i="32"/>
  <c r="R427" i="32"/>
  <c r="S1903" i="32"/>
  <c r="R1854" i="32"/>
  <c r="Q757" i="32"/>
  <c r="Q730" i="32"/>
  <c r="R2426" i="32"/>
  <c r="R1849" i="32"/>
  <c r="Q361" i="32"/>
  <c r="R2054" i="32"/>
  <c r="Q1947" i="32"/>
  <c r="R1926" i="32"/>
  <c r="R1885" i="32"/>
  <c r="R1938" i="32"/>
  <c r="R325" i="32"/>
  <c r="S181" i="32"/>
  <c r="Q1818" i="32"/>
  <c r="S1947" i="32"/>
  <c r="R2256" i="32"/>
  <c r="Q2427" i="32"/>
  <c r="Q2162" i="32"/>
  <c r="R2090" i="32"/>
  <c r="S1885" i="32"/>
  <c r="Q1838" i="32"/>
  <c r="R165" i="32"/>
  <c r="Q2444" i="32"/>
  <c r="R2136" i="32"/>
  <c r="S2090" i="32"/>
  <c r="Q165" i="32"/>
  <c r="R2456" i="32"/>
  <c r="Q2288" i="32"/>
  <c r="S2288" i="32"/>
  <c r="R2097" i="32"/>
  <c r="Q1863" i="32"/>
  <c r="S1792" i="32"/>
  <c r="S655" i="32"/>
  <c r="S313" i="32"/>
  <c r="S2035" i="32"/>
  <c r="Q1845" i="32"/>
  <c r="R323" i="32"/>
  <c r="Q178" i="32"/>
  <c r="R1875" i="32"/>
  <c r="R860" i="32"/>
  <c r="Q2388" i="32"/>
  <c r="R2132" i="32"/>
  <c r="S178" i="32"/>
  <c r="Q860" i="32"/>
  <c r="S343" i="32"/>
  <c r="Q784" i="32"/>
  <c r="Q343" i="32"/>
  <c r="S2132" i="32"/>
  <c r="R2388" i="32"/>
  <c r="Q2364" i="32"/>
  <c r="S1845" i="32"/>
  <c r="S405" i="32"/>
  <c r="S784" i="32"/>
  <c r="Q2264" i="32"/>
  <c r="R2101" i="32"/>
  <c r="Q2086" i="32"/>
  <c r="R1863" i="32"/>
  <c r="Q715" i="32"/>
  <c r="R2264" i="32"/>
  <c r="Q1953" i="32"/>
  <c r="S2101" i="32"/>
  <c r="R2086" i="32"/>
  <c r="S1953" i="32"/>
  <c r="Q1792" i="32"/>
  <c r="R715" i="32"/>
  <c r="Q313" i="32"/>
  <c r="Q359" i="31"/>
  <c r="R2329" i="31"/>
  <c r="R675" i="31"/>
  <c r="S2422" i="31"/>
  <c r="S2386" i="31"/>
  <c r="R2418" i="31"/>
  <c r="Q2219" i="31"/>
  <c r="Q2079" i="31"/>
  <c r="R2066" i="31"/>
  <c r="R2013" i="31"/>
  <c r="Q1837" i="31"/>
  <c r="R1655" i="31"/>
  <c r="Q768" i="31"/>
  <c r="R359" i="31"/>
  <c r="S359" i="31"/>
  <c r="Q2386" i="31"/>
  <c r="R331" i="31"/>
  <c r="Q2448" i="31"/>
  <c r="Q2384" i="31"/>
  <c r="Q2418" i="31"/>
  <c r="Q1935" i="31"/>
  <c r="S2013" i="31"/>
  <c r="S1837" i="31"/>
  <c r="R457" i="31"/>
  <c r="Q465" i="31"/>
  <c r="R768" i="31"/>
  <c r="Q150" i="31"/>
  <c r="Q2416" i="31"/>
  <c r="Q2065" i="31"/>
  <c r="Q475" i="31"/>
  <c r="R2384" i="31"/>
  <c r="S2260" i="31"/>
  <c r="R2260" i="31"/>
  <c r="Q2346" i="31"/>
  <c r="Q2166" i="31"/>
  <c r="R2065" i="31"/>
  <c r="R1935" i="31"/>
  <c r="Q1836" i="31"/>
  <c r="R1660" i="31"/>
  <c r="R150" i="31"/>
  <c r="Q2412" i="31"/>
  <c r="R2416" i="31"/>
  <c r="S2448" i="31"/>
  <c r="R2346" i="31"/>
  <c r="R2166" i="31"/>
  <c r="R1853" i="31"/>
  <c r="R1836" i="31"/>
  <c r="R1744" i="31"/>
  <c r="Q1655" i="31"/>
  <c r="Q1829" i="31"/>
  <c r="Q1660" i="31"/>
  <c r="Q454" i="31"/>
  <c r="S198" i="31"/>
  <c r="S1913" i="31"/>
  <c r="R2412" i="31"/>
  <c r="Q331" i="31"/>
  <c r="R2422" i="31"/>
  <c r="R2079" i="31"/>
  <c r="Q1893" i="31"/>
  <c r="R1829" i="31"/>
  <c r="Q737" i="31"/>
  <c r="R856" i="31"/>
  <c r="Q457" i="31"/>
  <c r="Q784" i="31"/>
  <c r="R454" i="31"/>
  <c r="Q1917" i="31"/>
  <c r="Q1853" i="31"/>
  <c r="S1750" i="31"/>
  <c r="R2219" i="31"/>
  <c r="R1917" i="31"/>
  <c r="Q1649" i="31"/>
  <c r="S856" i="31"/>
  <c r="Q198" i="31"/>
  <c r="R1750" i="31"/>
  <c r="S183" i="31"/>
  <c r="R2259" i="31"/>
  <c r="S2259" i="31"/>
  <c r="Q259" i="31"/>
  <c r="Q287" i="31"/>
  <c r="S1919" i="31"/>
  <c r="R1919" i="31"/>
  <c r="S299" i="31"/>
  <c r="R299" i="31"/>
  <c r="Q299" i="31"/>
  <c r="Q776" i="31"/>
  <c r="S776" i="31"/>
  <c r="R776" i="31"/>
  <c r="S704" i="31"/>
  <c r="R704" i="31"/>
  <c r="Q704" i="31"/>
  <c r="Q270" i="31"/>
  <c r="R270" i="31"/>
  <c r="S270" i="31"/>
  <c r="Q485" i="31"/>
  <c r="S437" i="31"/>
  <c r="R437" i="31"/>
  <c r="Q437" i="31"/>
  <c r="R515" i="31"/>
  <c r="Q515" i="31"/>
  <c r="R2246" i="31"/>
  <c r="Q2200" i="31"/>
  <c r="Q2154" i="31"/>
  <c r="Q2251" i="31"/>
  <c r="Q1949" i="31"/>
  <c r="R859" i="31"/>
  <c r="S485" i="31"/>
  <c r="S143" i="31"/>
  <c r="S1977" i="31"/>
  <c r="R2216" i="31"/>
  <c r="S2216" i="31"/>
  <c r="R1787" i="31"/>
  <c r="S1787" i="31"/>
  <c r="R2123" i="31"/>
  <c r="Q2123" i="31"/>
  <c r="S2123" i="31"/>
  <c r="S515" i="31"/>
  <c r="S144" i="31"/>
  <c r="Q144" i="31"/>
  <c r="S785" i="31"/>
  <c r="Q785" i="31"/>
  <c r="Q2328" i="31"/>
  <c r="R2154" i="31"/>
  <c r="R2251" i="31"/>
  <c r="R1949" i="31"/>
  <c r="Q433" i="31"/>
  <c r="R287" i="31"/>
  <c r="R2424" i="31"/>
  <c r="S2424" i="31"/>
  <c r="Q2424" i="31"/>
  <c r="S2275" i="31"/>
  <c r="R2275" i="31"/>
  <c r="Q2275" i="31"/>
  <c r="S1851" i="31"/>
  <c r="Q1851" i="31"/>
  <c r="Q2246" i="31"/>
  <c r="R2328" i="31"/>
  <c r="Q1977" i="31"/>
  <c r="Q713" i="31"/>
  <c r="R433" i="31"/>
  <c r="S2362" i="31"/>
  <c r="R2362" i="31"/>
  <c r="Q2141" i="31"/>
  <c r="S2141" i="31"/>
  <c r="R2141" i="31"/>
  <c r="R2220" i="31"/>
  <c r="S2220" i="31"/>
  <c r="S1828" i="31"/>
  <c r="Q1828" i="31"/>
  <c r="R1659" i="31"/>
  <c r="S1659" i="31"/>
  <c r="Q1659" i="31"/>
  <c r="S1862" i="31"/>
  <c r="R1862" i="31"/>
  <c r="R517" i="31"/>
  <c r="S517" i="31"/>
  <c r="Q517" i="31"/>
  <c r="R703" i="31"/>
  <c r="Q703" i="31"/>
  <c r="S703" i="31"/>
  <c r="S2307" i="31"/>
  <c r="R2307" i="31"/>
  <c r="Q2307" i="31"/>
  <c r="Q767" i="31"/>
  <c r="S767" i="31"/>
  <c r="R767" i="31"/>
  <c r="R332" i="31"/>
  <c r="S332" i="31"/>
  <c r="Q332" i="31"/>
  <c r="Q2458" i="31"/>
  <c r="R713" i="31"/>
  <c r="S287" i="31"/>
  <c r="S2094" i="31"/>
  <c r="Q2094" i="31"/>
  <c r="R1777" i="31"/>
  <c r="Q1777" i="31"/>
  <c r="S1777" i="31"/>
  <c r="R1816" i="31"/>
  <c r="S1816" i="31"/>
  <c r="Q1816" i="31"/>
  <c r="S2101" i="31"/>
  <c r="R2101" i="31"/>
  <c r="Q2101" i="31"/>
  <c r="R506" i="31"/>
  <c r="S506" i="31"/>
  <c r="Q506" i="31"/>
  <c r="Q319" i="31"/>
  <c r="R2365" i="31"/>
  <c r="S2365" i="31"/>
  <c r="R481" i="31"/>
  <c r="S481" i="31"/>
  <c r="Q481" i="31"/>
  <c r="S344" i="31"/>
  <c r="Q344" i="31"/>
  <c r="R344" i="31"/>
  <c r="S309" i="31"/>
  <c r="R309" i="31"/>
  <c r="Q309" i="31"/>
  <c r="R2390" i="31"/>
  <c r="S2390" i="31"/>
  <c r="Q2390" i="31"/>
  <c r="S1922" i="31"/>
  <c r="Q260" i="31"/>
  <c r="S2296" i="31"/>
  <c r="R2296" i="31"/>
  <c r="Q2296" i="31"/>
  <c r="Q1661" i="31"/>
  <c r="R1661" i="31"/>
  <c r="Q2124" i="31"/>
  <c r="S2124" i="31"/>
  <c r="R2124" i="31"/>
  <c r="Q2102" i="31"/>
  <c r="R2102" i="31"/>
  <c r="S2102" i="31"/>
  <c r="Q2366" i="31"/>
  <c r="S2366" i="31"/>
  <c r="R2366" i="31"/>
  <c r="R766" i="31"/>
  <c r="Q766" i="31"/>
  <c r="S766" i="31"/>
  <c r="Q355" i="31"/>
  <c r="S268" i="31"/>
  <c r="R268" i="31"/>
  <c r="Q268" i="31"/>
  <c r="S1786" i="31"/>
  <c r="Q1786" i="31"/>
  <c r="Q1771" i="31"/>
  <c r="R1771" i="31"/>
  <c r="Q1922" i="31"/>
  <c r="R260" i="31"/>
  <c r="S2298" i="31"/>
  <c r="Q2298" i="31"/>
  <c r="R2340" i="31"/>
  <c r="Q2340" i="31"/>
  <c r="S2340" i="31"/>
  <c r="S1855" i="31"/>
  <c r="R1855" i="31"/>
  <c r="R2230" i="31"/>
  <c r="S2230" i="31"/>
  <c r="Q2230" i="31"/>
  <c r="R1649" i="31"/>
  <c r="R308" i="31"/>
  <c r="S308" i="31"/>
  <c r="Q308" i="31"/>
  <c r="R610" i="31"/>
  <c r="S451" i="31"/>
  <c r="R451" i="31"/>
  <c r="R1849" i="31"/>
  <c r="S1849" i="31"/>
  <c r="R2200" i="31"/>
  <c r="R2126" i="31"/>
  <c r="R1786" i="31"/>
  <c r="R485" i="31"/>
  <c r="S2394" i="31"/>
  <c r="R2394" i="31"/>
  <c r="Q2394" i="31"/>
  <c r="S606" i="31"/>
  <c r="Q606" i="31"/>
  <c r="S734" i="32"/>
  <c r="R734" i="32"/>
  <c r="S2430" i="32"/>
  <c r="Q2345" i="32"/>
  <c r="R2087" i="32"/>
  <c r="R2035" i="32"/>
  <c r="R1846" i="32"/>
  <c r="S1824" i="32"/>
  <c r="Q1644" i="32"/>
  <c r="R667" i="32"/>
  <c r="S369" i="32"/>
  <c r="R2055" i="32"/>
  <c r="Q298" i="32"/>
  <c r="Q676" i="32"/>
  <c r="S2356" i="32"/>
  <c r="S2223" i="32"/>
  <c r="Q2123" i="32"/>
  <c r="R333" i="32"/>
  <c r="R2023" i="32"/>
  <c r="Q2198" i="32"/>
  <c r="R1917" i="32"/>
  <c r="R298" i="32"/>
  <c r="Q2001" i="32"/>
  <c r="R2198" i="32"/>
  <c r="R1994" i="32"/>
  <c r="S1917" i="32"/>
  <c r="Q1867" i="32"/>
  <c r="R1861" i="32"/>
  <c r="S786" i="32"/>
  <c r="R2123" i="32"/>
  <c r="S1994" i="32"/>
  <c r="R1783" i="32"/>
  <c r="R1867" i="32"/>
  <c r="R1853" i="32"/>
  <c r="Q786" i="32"/>
  <c r="Q719" i="32"/>
  <c r="R2345" i="32"/>
  <c r="Q1783" i="32"/>
  <c r="Q1824" i="32"/>
  <c r="S1853" i="32"/>
  <c r="Q667" i="32"/>
  <c r="R719" i="32"/>
  <c r="R676" i="32"/>
  <c r="Q369" i="32"/>
  <c r="S2023" i="32"/>
  <c r="S1861" i="32"/>
  <c r="Q1793" i="32"/>
  <c r="R382" i="32"/>
  <c r="S2222" i="32"/>
  <c r="R488" i="32"/>
  <c r="Q1790" i="32"/>
  <c r="Q743" i="32"/>
  <c r="Q1829" i="32"/>
  <c r="Q1748" i="32"/>
  <c r="S1790" i="32"/>
  <c r="R743" i="32"/>
  <c r="Q399" i="32"/>
  <c r="Q192" i="32"/>
  <c r="Q2212" i="32"/>
  <c r="R2129" i="32"/>
  <c r="R1829" i="32"/>
  <c r="R399" i="32"/>
  <c r="S170" i="32"/>
  <c r="S192" i="32"/>
  <c r="R1748" i="32"/>
  <c r="Q435" i="32"/>
  <c r="R2222" i="32"/>
  <c r="R2212" i="32"/>
  <c r="S1882" i="32"/>
  <c r="Q774" i="32"/>
  <c r="Q337" i="32"/>
  <c r="S435" i="32"/>
  <c r="R2001" i="32"/>
  <c r="R1882" i="32"/>
  <c r="R774" i="32"/>
  <c r="Q382" i="32"/>
  <c r="R337" i="32"/>
  <c r="Q170" i="32"/>
  <c r="Q2129" i="32"/>
  <c r="S1793" i="32"/>
  <c r="S1838" i="32"/>
  <c r="S488" i="32"/>
  <c r="Q299" i="32"/>
  <c r="S299" i="32"/>
  <c r="R299" i="32"/>
  <c r="S2452" i="32"/>
  <c r="S2415" i="32"/>
  <c r="R2193" i="32"/>
  <c r="R2130" i="32"/>
  <c r="Q2054" i="32"/>
  <c r="R2015" i="32"/>
  <c r="Q1849" i="32"/>
  <c r="Q275" i="32"/>
  <c r="Q436" i="32"/>
  <c r="S436" i="32"/>
  <c r="R436" i="32"/>
  <c r="Q2161" i="32"/>
  <c r="Q2148" i="32"/>
  <c r="R349" i="32"/>
  <c r="R159" i="32"/>
  <c r="Q742" i="32"/>
  <c r="R2344" i="32"/>
  <c r="S2344" i="32"/>
  <c r="Q2344" i="32"/>
  <c r="Q280" i="32"/>
  <c r="S280" i="32"/>
  <c r="R2148" i="32"/>
  <c r="Q159" i="32"/>
  <c r="R198" i="32"/>
  <c r="S146" i="32"/>
  <c r="S742" i="32"/>
  <c r="S293" i="32"/>
  <c r="R1636" i="32"/>
  <c r="Q1636" i="32"/>
  <c r="Q428" i="32"/>
  <c r="R428" i="32"/>
  <c r="S428" i="32"/>
  <c r="Q2154" i="32"/>
  <c r="Q1990" i="32"/>
  <c r="Q198" i="32"/>
  <c r="Q146" i="32"/>
  <c r="R785" i="32"/>
  <c r="S785" i="32"/>
  <c r="R1990" i="32"/>
  <c r="Q323" i="32"/>
  <c r="Q321" i="32"/>
  <c r="R2162" i="32"/>
  <c r="S787" i="32"/>
  <c r="R787" i="32"/>
  <c r="Q787" i="32"/>
  <c r="Q2415" i="32"/>
  <c r="R2161" i="32"/>
  <c r="S2015" i="32"/>
  <c r="Q722" i="32"/>
  <c r="R321" i="32"/>
  <c r="R2154" i="32"/>
  <c r="R2369" i="32"/>
  <c r="S2369" i="32"/>
  <c r="R347" i="32"/>
  <c r="S347" i="32"/>
  <c r="Q347" i="32"/>
  <c r="Q437" i="32"/>
  <c r="S437" i="32"/>
  <c r="R437" i="32"/>
  <c r="R2452" i="32"/>
  <c r="R2365" i="32"/>
  <c r="S2365" i="32"/>
  <c r="R1997" i="32"/>
  <c r="S707" i="32"/>
  <c r="S386" i="32"/>
  <c r="S535" i="32"/>
  <c r="S716" i="32"/>
  <c r="R305" i="32"/>
  <c r="R2394" i="32"/>
  <c r="S2394" i="32"/>
  <c r="S2226" i="32"/>
  <c r="Q2226" i="32"/>
  <c r="S2173" i="32"/>
  <c r="R2173" i="32"/>
  <c r="R2376" i="32"/>
  <c r="S2376" i="32"/>
  <c r="Q2376" i="32"/>
  <c r="R1914" i="32"/>
  <c r="Q1914" i="32"/>
  <c r="S772" i="32"/>
  <c r="Q772" i="32"/>
  <c r="R772" i="32"/>
  <c r="S720" i="32"/>
  <c r="R720" i="32"/>
  <c r="Q720" i="32"/>
  <c r="S610" i="32"/>
  <c r="Q610" i="32"/>
  <c r="R536" i="32"/>
  <c r="Q536" i="32"/>
  <c r="S536" i="32"/>
  <c r="S322" i="32"/>
  <c r="R322" i="32"/>
  <c r="Q322" i="32"/>
  <c r="Q2061" i="32"/>
  <c r="Q292" i="32"/>
  <c r="S292" i="32"/>
  <c r="R1946" i="32"/>
  <c r="Q1946" i="32"/>
  <c r="R512" i="32"/>
  <c r="Q512" i="32"/>
  <c r="S512" i="32"/>
  <c r="R375" i="32"/>
  <c r="Q375" i="32"/>
  <c r="S375" i="32"/>
  <c r="R2448" i="32"/>
  <c r="S2434" i="32"/>
  <c r="R2364" i="32"/>
  <c r="S2340" i="32"/>
  <c r="S2377" i="32"/>
  <c r="R2175" i="32"/>
  <c r="S1997" i="32"/>
  <c r="Q1913" i="32"/>
  <c r="R1820" i="32"/>
  <c r="S704" i="32"/>
  <c r="Q2333" i="32"/>
  <c r="R2333" i="32"/>
  <c r="R2064" i="32"/>
  <c r="Q2064" i="32"/>
  <c r="S2064" i="32"/>
  <c r="R2164" i="32"/>
  <c r="S2164" i="32"/>
  <c r="S1753" i="32"/>
  <c r="Q1753" i="32"/>
  <c r="S780" i="32"/>
  <c r="R780" i="32"/>
  <c r="Q780" i="32"/>
  <c r="S856" i="32"/>
  <c r="Q856" i="32"/>
  <c r="R856" i="32"/>
  <c r="S385" i="32"/>
  <c r="Q385" i="32"/>
  <c r="R385" i="32"/>
  <c r="S454" i="32"/>
  <c r="Q454" i="32"/>
  <c r="R355" i="32"/>
  <c r="Q355" i="32"/>
  <c r="S355" i="32"/>
  <c r="S374" i="32"/>
  <c r="R374" i="32"/>
  <c r="R451" i="32"/>
  <c r="Q451" i="32"/>
  <c r="S451" i="32"/>
  <c r="Q2434" i="32"/>
  <c r="S2448" i="32"/>
  <c r="R2377" i="32"/>
  <c r="S2175" i="32"/>
  <c r="R1954" i="32"/>
  <c r="R1913" i="32"/>
  <c r="R1738" i="32"/>
  <c r="Q439" i="32"/>
  <c r="R275" i="32"/>
  <c r="R2059" i="32"/>
  <c r="Q2059" i="32"/>
  <c r="S2059" i="32"/>
  <c r="S1998" i="32"/>
  <c r="R1998" i="32"/>
  <c r="R1915" i="32"/>
  <c r="S1915" i="32"/>
  <c r="R1643" i="32"/>
  <c r="S1643" i="32"/>
  <c r="Q1643" i="32"/>
  <c r="S744" i="32"/>
  <c r="R744" i="32"/>
  <c r="Q744" i="32"/>
  <c r="R339" i="32"/>
  <c r="Q339" i="32"/>
  <c r="S339" i="32"/>
  <c r="Q262" i="32"/>
  <c r="S482" i="32"/>
  <c r="Q482" i="32"/>
  <c r="Q1820" i="32"/>
  <c r="Q268" i="32"/>
  <c r="S268" i="32"/>
  <c r="R2453" i="32"/>
  <c r="Q2049" i="32"/>
  <c r="Q1738" i="32"/>
  <c r="R439" i="32"/>
  <c r="R262" i="32"/>
  <c r="Q293" i="32"/>
  <c r="S323" i="32"/>
  <c r="R2255" i="32"/>
  <c r="Q2255" i="32"/>
  <c r="S2255" i="32"/>
  <c r="Q2458" i="32"/>
  <c r="R2458" i="32"/>
  <c r="S2296" i="32"/>
  <c r="Q2296" i="32"/>
  <c r="R1804" i="32"/>
  <c r="Q1804" i="32"/>
  <c r="S708" i="32"/>
  <c r="Q708" i="32"/>
  <c r="S732" i="32"/>
  <c r="R732" i="32"/>
  <c r="Q732" i="32"/>
  <c r="Q264" i="32"/>
  <c r="S264" i="32"/>
  <c r="R155" i="32"/>
  <c r="Q155" i="32"/>
  <c r="Q483" i="32"/>
  <c r="S483" i="32"/>
  <c r="R483" i="32"/>
  <c r="R363" i="32"/>
  <c r="S363" i="32"/>
  <c r="Q363" i="32"/>
  <c r="Q392" i="32"/>
  <c r="S392" i="32"/>
  <c r="R392" i="32"/>
  <c r="S1851" i="32"/>
  <c r="Q1851" i="32"/>
  <c r="R1851" i="32"/>
  <c r="S2197" i="32"/>
  <c r="Q2197" i="32"/>
  <c r="R1921" i="32"/>
  <c r="Q1921" i="32"/>
  <c r="R379" i="32"/>
  <c r="S379" i="32"/>
  <c r="Q379" i="32"/>
  <c r="R706" i="32"/>
  <c r="S706" i="32"/>
  <c r="Q706" i="32"/>
  <c r="Q489" i="32"/>
  <c r="R489" i="32"/>
  <c r="S489" i="32"/>
  <c r="S2453" i="32"/>
  <c r="R2049" i="32"/>
  <c r="S1921" i="32"/>
  <c r="Q707" i="32"/>
  <c r="Q716" i="32"/>
  <c r="S479" i="32"/>
  <c r="Q166" i="32"/>
  <c r="R1887" i="32"/>
  <c r="S1887" i="32"/>
  <c r="Q2445" i="32"/>
  <c r="S2445" i="32"/>
  <c r="R2445" i="32"/>
  <c r="Q2066" i="32"/>
  <c r="R2066" i="32"/>
  <c r="S1989" i="32"/>
  <c r="Q1989" i="32"/>
  <c r="R1637" i="32"/>
  <c r="S1637" i="32"/>
  <c r="S2204" i="32"/>
  <c r="Q2204" i="32"/>
  <c r="S499" i="32"/>
  <c r="Q499" i="32"/>
  <c r="S756" i="32"/>
  <c r="R756" i="32"/>
  <c r="Q756" i="32"/>
  <c r="R315" i="32"/>
  <c r="Q315" i="32"/>
  <c r="S315" i="32"/>
  <c r="R754" i="32"/>
  <c r="S754" i="32"/>
  <c r="Q754" i="32"/>
  <c r="R397" i="32"/>
  <c r="S397" i="32"/>
  <c r="Q397" i="32"/>
  <c r="R391" i="32"/>
  <c r="Q391" i="32"/>
  <c r="S391" i="32"/>
  <c r="R2128" i="32"/>
  <c r="S2128" i="32"/>
  <c r="S1954" i="32"/>
  <c r="R1739" i="32"/>
  <c r="S1739" i="32"/>
  <c r="S446" i="32"/>
  <c r="Q446" i="32"/>
  <c r="Q452" i="32"/>
  <c r="R452" i="32"/>
  <c r="S452" i="32"/>
  <c r="R2070" i="32"/>
  <c r="Q2070" i="32"/>
  <c r="S2070" i="32"/>
  <c r="S855" i="32"/>
  <c r="Q855" i="32"/>
  <c r="S1946" i="32"/>
  <c r="Q734" i="32"/>
  <c r="R386" i="32"/>
  <c r="Q535" i="32"/>
  <c r="S305" i="32"/>
  <c r="R2099" i="32"/>
  <c r="S2099" i="32"/>
  <c r="S2429" i="32"/>
  <c r="Q2429" i="32"/>
  <c r="R2429" i="32"/>
  <c r="R2432" i="32"/>
  <c r="S2432" i="32"/>
  <c r="Q2432" i="32"/>
  <c r="R1797" i="32"/>
  <c r="S1797" i="32"/>
  <c r="Q1890" i="32"/>
  <c r="S1890" i="32"/>
  <c r="R1890" i="32"/>
  <c r="R1656" i="32"/>
  <c r="Q1656" i="32"/>
  <c r="S1656" i="32"/>
  <c r="R1657" i="32"/>
  <c r="S1657" i="32"/>
  <c r="S773" i="32"/>
  <c r="Q773" i="32"/>
  <c r="R367" i="32"/>
  <c r="Q367" i="32"/>
  <c r="S367" i="32"/>
  <c r="S495" i="32"/>
  <c r="Q495" i="32"/>
  <c r="S394" i="32"/>
  <c r="Q394" i="32"/>
  <c r="S776" i="32"/>
  <c r="Q776" i="32"/>
  <c r="R776" i="32"/>
  <c r="S359" i="32"/>
  <c r="R359" i="32"/>
  <c r="Q359" i="32"/>
  <c r="R287" i="32"/>
  <c r="S287" i="32"/>
  <c r="Q287" i="32"/>
  <c r="S270" i="32"/>
  <c r="Q270" i="32"/>
  <c r="R270" i="32"/>
  <c r="Q284" i="32"/>
  <c r="S284" i="32"/>
  <c r="R284" i="32"/>
  <c r="S233" i="32"/>
  <c r="R233" i="32"/>
  <c r="Q233" i="32"/>
  <c r="Q265" i="32"/>
  <c r="R265" i="32"/>
  <c r="S265" i="32"/>
  <c r="S296" i="32"/>
  <c r="R296" i="32"/>
  <c r="Q296" i="32"/>
  <c r="S758" i="32"/>
  <c r="R758" i="32"/>
  <c r="Q758" i="32"/>
  <c r="S710" i="32"/>
  <c r="Q710" i="32"/>
  <c r="R710" i="32"/>
  <c r="Q752" i="32"/>
  <c r="S752" i="32"/>
  <c r="R752" i="32"/>
  <c r="S697" i="32"/>
  <c r="R697" i="32"/>
  <c r="Q697" i="32"/>
  <c r="S371" i="32"/>
  <c r="R371" i="32"/>
  <c r="Q371" i="32"/>
  <c r="S335" i="32"/>
  <c r="R335" i="32"/>
  <c r="Q335" i="32"/>
  <c r="R401" i="32"/>
  <c r="S401" i="32"/>
  <c r="Q401" i="32"/>
  <c r="S260" i="32"/>
  <c r="R260" i="32"/>
  <c r="Q260" i="32"/>
  <c r="Q281" i="32"/>
  <c r="R281" i="32"/>
  <c r="S281" i="32"/>
  <c r="S2447" i="32"/>
  <c r="R2447" i="32"/>
  <c r="Q2447" i="32"/>
  <c r="Q2465" i="32"/>
  <c r="S2465" i="32"/>
  <c r="R2465" i="32"/>
  <c r="Q2515" i="32"/>
  <c r="S2515" i="32"/>
  <c r="R2515" i="32"/>
  <c r="Q2384" i="32"/>
  <c r="R2384" i="32"/>
  <c r="S2384" i="32"/>
  <c r="S2354" i="32"/>
  <c r="R2354" i="32"/>
  <c r="Q2354" i="32"/>
  <c r="R2406" i="32"/>
  <c r="Q2406" i="32"/>
  <c r="S2406" i="32"/>
  <c r="S2324" i="32"/>
  <c r="R2324" i="32"/>
  <c r="Q2324" i="32"/>
  <c r="Q2304" i="32"/>
  <c r="S2304" i="32"/>
  <c r="R2304" i="32"/>
  <c r="Q2268" i="32"/>
  <c r="S2268" i="32"/>
  <c r="R2268" i="32"/>
  <c r="R2185" i="32"/>
  <c r="Q2185" i="32"/>
  <c r="S2185" i="32"/>
  <c r="S2302" i="32"/>
  <c r="R2302" i="32"/>
  <c r="Q2302" i="32"/>
  <c r="S2214" i="32"/>
  <c r="R2214" i="32"/>
  <c r="Q2214" i="32"/>
  <c r="R2330" i="32"/>
  <c r="Q2330" i="32"/>
  <c r="S2330" i="32"/>
  <c r="R2308" i="32"/>
  <c r="S2308" i="32"/>
  <c r="Q2308" i="32"/>
  <c r="S2271" i="32"/>
  <c r="R2271" i="32"/>
  <c r="Q2271" i="32"/>
  <c r="S2246" i="32"/>
  <c r="R2246" i="32"/>
  <c r="Q2246" i="32"/>
  <c r="R2210" i="32"/>
  <c r="Q2210" i="32"/>
  <c r="S2210" i="32"/>
  <c r="Q2142" i="32"/>
  <c r="S2142" i="32"/>
  <c r="R2142" i="32"/>
  <c r="S2150" i="32"/>
  <c r="R2150" i="32"/>
  <c r="Q2150" i="32"/>
  <c r="Q2441" i="32"/>
  <c r="S2441" i="32"/>
  <c r="R2441" i="32"/>
  <c r="S2290" i="32"/>
  <c r="Q2290" i="32"/>
  <c r="R2290" i="32"/>
  <c r="S2096" i="32"/>
  <c r="R2096" i="32"/>
  <c r="Q2096" i="32"/>
  <c r="S2056" i="32"/>
  <c r="R2056" i="32"/>
  <c r="Q2056" i="32"/>
  <c r="R2117" i="32"/>
  <c r="Q2117" i="32"/>
  <c r="S2117" i="32"/>
  <c r="S2050" i="32"/>
  <c r="Q2050" i="32"/>
  <c r="R2050" i="32"/>
  <c r="Q1981" i="32"/>
  <c r="S1981" i="32"/>
  <c r="R1981" i="32"/>
  <c r="S2038" i="32"/>
  <c r="R2038" i="32"/>
  <c r="Q2038" i="32"/>
  <c r="S1925" i="32"/>
  <c r="R1925" i="32"/>
  <c r="Q1925" i="32"/>
  <c r="S1966" i="32"/>
  <c r="R1966" i="32"/>
  <c r="Q1966" i="32"/>
  <c r="S1934" i="32"/>
  <c r="Q1934" i="32"/>
  <c r="R1934" i="32"/>
  <c r="S1873" i="32"/>
  <c r="R1873" i="32"/>
  <c r="Q1873" i="32"/>
  <c r="S1870" i="32"/>
  <c r="R1870" i="32"/>
  <c r="Q1870" i="32"/>
  <c r="R1802" i="32"/>
  <c r="Q1802" i="32"/>
  <c r="S1802" i="32"/>
  <c r="S1769" i="32"/>
  <c r="Q1769" i="32"/>
  <c r="R1769" i="32"/>
  <c r="R1660" i="32"/>
  <c r="Q1660" i="32"/>
  <c r="S1660" i="32"/>
  <c r="R749" i="32"/>
  <c r="Q749" i="32"/>
  <c r="S749" i="32"/>
  <c r="Q496" i="32"/>
  <c r="R496" i="32"/>
  <c r="S496" i="32"/>
  <c r="S763" i="32"/>
  <c r="R763" i="32"/>
  <c r="Q763" i="32"/>
  <c r="R497" i="32"/>
  <c r="Q497" i="32"/>
  <c r="S497" i="32"/>
  <c r="S487" i="32"/>
  <c r="R487" i="32"/>
  <c r="Q487" i="32"/>
  <c r="S656" i="32"/>
  <c r="R656" i="32"/>
  <c r="Q656" i="32"/>
  <c r="S376" i="32"/>
  <c r="R376" i="32"/>
  <c r="Q376" i="32"/>
  <c r="Q328" i="32"/>
  <c r="S328" i="32"/>
  <c r="R328" i="32"/>
  <c r="S760" i="32"/>
  <c r="Q760" i="32"/>
  <c r="R760" i="32"/>
  <c r="S724" i="32"/>
  <c r="R724" i="32"/>
  <c r="Q724" i="32"/>
  <c r="S616" i="32"/>
  <c r="R616" i="32"/>
  <c r="Q616" i="32"/>
  <c r="S477" i="32"/>
  <c r="R477" i="32"/>
  <c r="Q477" i="32"/>
  <c r="S416" i="32"/>
  <c r="R416" i="32"/>
  <c r="Q416" i="32"/>
  <c r="S257" i="32"/>
  <c r="R257" i="32"/>
  <c r="Q257" i="32"/>
  <c r="S310" i="32"/>
  <c r="R310" i="32"/>
  <c r="Q310" i="32"/>
  <c r="Q479" i="32"/>
  <c r="S383" i="32"/>
  <c r="R383" i="32"/>
  <c r="S267" i="32"/>
  <c r="R267" i="32"/>
  <c r="Q267" i="32"/>
  <c r="S2435" i="32"/>
  <c r="R2435" i="32"/>
  <c r="Q2435" i="32"/>
  <c r="S2463" i="32"/>
  <c r="R2463" i="32"/>
  <c r="Q2463" i="32"/>
  <c r="S2420" i="32"/>
  <c r="Q2420" i="32"/>
  <c r="R2420" i="32"/>
  <c r="S2353" i="32"/>
  <c r="Q2353" i="32"/>
  <c r="R2353" i="32"/>
  <c r="Q2338" i="32"/>
  <c r="R2338" i="32"/>
  <c r="S2338" i="32"/>
  <c r="Q2206" i="32"/>
  <c r="S2206" i="32"/>
  <c r="R2206" i="32"/>
  <c r="S2301" i="32"/>
  <c r="Q2301" i="32"/>
  <c r="R2301" i="32"/>
  <c r="S2329" i="32"/>
  <c r="R2329" i="32"/>
  <c r="Q2329" i="32"/>
  <c r="S2307" i="32"/>
  <c r="R2307" i="32"/>
  <c r="Q2307" i="32"/>
  <c r="S2284" i="32"/>
  <c r="R2284" i="32"/>
  <c r="Q2284" i="32"/>
  <c r="S2126" i="32"/>
  <c r="R2126" i="32"/>
  <c r="Q2126" i="32"/>
  <c r="S2439" i="32"/>
  <c r="R2439" i="32"/>
  <c r="Q2439" i="32"/>
  <c r="S2243" i="32"/>
  <c r="R2243" i="32"/>
  <c r="Q2243" i="32"/>
  <c r="R2081" i="32"/>
  <c r="Q2081" i="32"/>
  <c r="S2081" i="32"/>
  <c r="S2116" i="32"/>
  <c r="R2116" i="32"/>
  <c r="Q2116" i="32"/>
  <c r="Q2037" i="32"/>
  <c r="S2037" i="32"/>
  <c r="R2037" i="32"/>
  <c r="R1866" i="32"/>
  <c r="Q1866" i="32"/>
  <c r="S1866" i="32"/>
  <c r="R1816" i="32"/>
  <c r="Q1816" i="32"/>
  <c r="S1816" i="32"/>
  <c r="S1869" i="32"/>
  <c r="Q1869" i="32"/>
  <c r="R1869" i="32"/>
  <c r="S1814" i="32"/>
  <c r="R1814" i="32"/>
  <c r="Q1814" i="32"/>
  <c r="S1858" i="32"/>
  <c r="R1858" i="32"/>
  <c r="Q1858" i="32"/>
  <c r="S1659" i="32"/>
  <c r="Q1659" i="32"/>
  <c r="R1659" i="32"/>
  <c r="S861" i="32"/>
  <c r="R861" i="32"/>
  <c r="Q861" i="32"/>
  <c r="S748" i="32"/>
  <c r="Q748" i="32"/>
  <c r="R748" i="32"/>
  <c r="Q475" i="32"/>
  <c r="R475" i="32"/>
  <c r="S475" i="32"/>
  <c r="S618" i="32"/>
  <c r="R618" i="32"/>
  <c r="Q618" i="32"/>
  <c r="S484" i="32"/>
  <c r="R484" i="32"/>
  <c r="Q484" i="32"/>
  <c r="S418" i="32"/>
  <c r="R418" i="32"/>
  <c r="Q418" i="32"/>
  <c r="S537" i="32"/>
  <c r="R537" i="32"/>
  <c r="Q537" i="32"/>
  <c r="S465" i="32"/>
  <c r="R465" i="32"/>
  <c r="Q465" i="32"/>
  <c r="S417" i="32"/>
  <c r="R417" i="32"/>
  <c r="Q417" i="32"/>
  <c r="S368" i="32"/>
  <c r="R368" i="32"/>
  <c r="Q368" i="32"/>
  <c r="Q320" i="32"/>
  <c r="R320" i="32"/>
  <c r="S320" i="32"/>
  <c r="S506" i="32"/>
  <c r="R506" i="32"/>
  <c r="Q506" i="32"/>
  <c r="S440" i="32"/>
  <c r="R440" i="32"/>
  <c r="Q440" i="32"/>
  <c r="S377" i="32"/>
  <c r="R377" i="32"/>
  <c r="Q377" i="32"/>
  <c r="S738" i="32"/>
  <c r="R738" i="32"/>
  <c r="Q738" i="32"/>
  <c r="R307" i="32"/>
  <c r="S307" i="32"/>
  <c r="Q307" i="32"/>
  <c r="S283" i="32"/>
  <c r="R283" i="32"/>
  <c r="Q283" i="32"/>
  <c r="S171" i="32"/>
  <c r="Q171" i="32"/>
  <c r="R171" i="32"/>
  <c r="S2462" i="32"/>
  <c r="Q2462" i="32"/>
  <c r="R2462" i="32"/>
  <c r="S2318" i="32"/>
  <c r="R2318" i="32"/>
  <c r="Q2318" i="32"/>
  <c r="S2405" i="32"/>
  <c r="R2405" i="32"/>
  <c r="Q2405" i="32"/>
  <c r="R2374" i="32"/>
  <c r="Q2374" i="32"/>
  <c r="S2374" i="32"/>
  <c r="R2410" i="32"/>
  <c r="Q2410" i="32"/>
  <c r="S2410" i="32"/>
  <c r="S2230" i="32"/>
  <c r="Q2230" i="32"/>
  <c r="R2230" i="32"/>
  <c r="S2283" i="32"/>
  <c r="Q2283" i="32"/>
  <c r="R2283" i="32"/>
  <c r="S2247" i="32"/>
  <c r="R2247" i="32"/>
  <c r="Q2247" i="32"/>
  <c r="S2209" i="32"/>
  <c r="R2209" i="32"/>
  <c r="Q2209" i="32"/>
  <c r="R2153" i="32"/>
  <c r="Q2153" i="32"/>
  <c r="S2153" i="32"/>
  <c r="S2168" i="32"/>
  <c r="R2168" i="32"/>
  <c r="Q2168" i="32"/>
  <c r="R2260" i="32"/>
  <c r="S2260" i="32"/>
  <c r="Q2260" i="32"/>
  <c r="S2189" i="32"/>
  <c r="R2189" i="32"/>
  <c r="Q2189" i="32"/>
  <c r="S2158" i="32"/>
  <c r="R2158" i="32"/>
  <c r="Q2158" i="32"/>
  <c r="S2122" i="32"/>
  <c r="R2122" i="32"/>
  <c r="Q2122" i="32"/>
  <c r="S2438" i="32"/>
  <c r="Q2438" i="32"/>
  <c r="R2438" i="32"/>
  <c r="Q2240" i="32"/>
  <c r="S2240" i="32"/>
  <c r="R2240" i="32"/>
  <c r="Q2095" i="32"/>
  <c r="S2095" i="32"/>
  <c r="R2095" i="32"/>
  <c r="S2045" i="32"/>
  <c r="R2045" i="32"/>
  <c r="Q2045" i="32"/>
  <c r="S2075" i="32"/>
  <c r="R2075" i="32"/>
  <c r="Q2075" i="32"/>
  <c r="S2120" i="32"/>
  <c r="R2120" i="32"/>
  <c r="Q2120" i="32"/>
  <c r="S1993" i="32"/>
  <c r="Q1993" i="32"/>
  <c r="R1993" i="32"/>
  <c r="S2007" i="32"/>
  <c r="R2007" i="32"/>
  <c r="Q2007" i="32"/>
  <c r="S2025" i="32"/>
  <c r="Q2025" i="32"/>
  <c r="R2025" i="32"/>
  <c r="S1927" i="32"/>
  <c r="Q1927" i="32"/>
  <c r="R1927" i="32"/>
  <c r="S1895" i="32"/>
  <c r="Q1895" i="32"/>
  <c r="R1895" i="32"/>
  <c r="S1801" i="32"/>
  <c r="Q1801" i="32"/>
  <c r="R1801" i="32"/>
  <c r="S1648" i="32"/>
  <c r="R1648" i="32"/>
  <c r="Q1648" i="32"/>
  <c r="Q1778" i="32"/>
  <c r="S1778" i="32"/>
  <c r="R1778" i="32"/>
  <c r="Q1857" i="32"/>
  <c r="S1857" i="32"/>
  <c r="R1857" i="32"/>
  <c r="R1742" i="32"/>
  <c r="Q1742" i="32"/>
  <c r="S1742" i="32"/>
  <c r="S880" i="32"/>
  <c r="R880" i="32"/>
  <c r="Q880" i="32"/>
  <c r="R681" i="32"/>
  <c r="Q681" i="32"/>
  <c r="S681" i="32"/>
  <c r="S615" i="32"/>
  <c r="R615" i="32"/>
  <c r="Q615" i="32"/>
  <c r="S476" i="32"/>
  <c r="R476" i="32"/>
  <c r="Q476" i="32"/>
  <c r="S364" i="32"/>
  <c r="R364" i="32"/>
  <c r="Q364" i="32"/>
  <c r="Q316" i="32"/>
  <c r="S316" i="32"/>
  <c r="R316" i="32"/>
  <c r="S764" i="32"/>
  <c r="R764" i="32"/>
  <c r="Q764" i="32"/>
  <c r="S502" i="32"/>
  <c r="R502" i="32"/>
  <c r="Q502" i="32"/>
  <c r="S464" i="32"/>
  <c r="R464" i="32"/>
  <c r="Q464" i="32"/>
  <c r="S365" i="32"/>
  <c r="R365" i="32"/>
  <c r="Q365" i="32"/>
  <c r="R722" i="32"/>
  <c r="S542" i="32"/>
  <c r="R542" i="32"/>
  <c r="Q542" i="32"/>
  <c r="Q311" i="32"/>
  <c r="S311" i="32"/>
  <c r="R311" i="32"/>
  <c r="S277" i="32"/>
  <c r="R277" i="32"/>
  <c r="Q277" i="32"/>
  <c r="S302" i="32"/>
  <c r="R302" i="32"/>
  <c r="Q302" i="32"/>
  <c r="S147" i="32"/>
  <c r="R147" i="32"/>
  <c r="Q147" i="32"/>
  <c r="R202" i="32"/>
  <c r="Q202" i="32"/>
  <c r="S202" i="32"/>
  <c r="Q149" i="32"/>
  <c r="S149" i="32"/>
  <c r="R149" i="32"/>
  <c r="R175" i="32"/>
  <c r="Q175" i="32"/>
  <c r="S175" i="32"/>
  <c r="S2451" i="32"/>
  <c r="R2451" i="32"/>
  <c r="Q2451" i="32"/>
  <c r="S2466" i="32"/>
  <c r="Q2466" i="32"/>
  <c r="R2466" i="32"/>
  <c r="R2418" i="32"/>
  <c r="Q2418" i="32"/>
  <c r="S2418" i="32"/>
  <c r="R2381" i="32"/>
  <c r="Q2381" i="32"/>
  <c r="S2381" i="32"/>
  <c r="S2321" i="32"/>
  <c r="Q2321" i="32"/>
  <c r="R2321" i="32"/>
  <c r="S2266" i="32"/>
  <c r="R2266" i="32"/>
  <c r="Q2266" i="32"/>
  <c r="R2146" i="32"/>
  <c r="Q2146" i="32"/>
  <c r="S2146" i="32"/>
  <c r="S2107" i="32"/>
  <c r="R2107" i="32"/>
  <c r="Q2107" i="32"/>
  <c r="Q2188" i="32"/>
  <c r="S2188" i="32"/>
  <c r="R2188" i="32"/>
  <c r="S2100" i="32"/>
  <c r="R2100" i="32"/>
  <c r="Q2100" i="32"/>
  <c r="S2442" i="32"/>
  <c r="Q2442" i="32"/>
  <c r="R2442" i="32"/>
  <c r="R2242" i="32"/>
  <c r="Q2242" i="32"/>
  <c r="S2242" i="32"/>
  <c r="S2119" i="32"/>
  <c r="R2119" i="32"/>
  <c r="Q2119" i="32"/>
  <c r="S2057" i="32"/>
  <c r="R2057" i="32"/>
  <c r="Q2057" i="32"/>
  <c r="S2079" i="32"/>
  <c r="R2079" i="32"/>
  <c r="Q2079" i="32"/>
  <c r="S2006" i="32"/>
  <c r="Q2006" i="32"/>
  <c r="R2006" i="32"/>
  <c r="S1929" i="32"/>
  <c r="R1929" i="32"/>
  <c r="Q1929" i="32"/>
  <c r="S1905" i="32"/>
  <c r="R1905" i="32"/>
  <c r="Q1905" i="32"/>
  <c r="S1855" i="32"/>
  <c r="Q1855" i="32"/>
  <c r="R1855" i="32"/>
  <c r="Q1800" i="32"/>
  <c r="S1800" i="32"/>
  <c r="R1800" i="32"/>
  <c r="R1834" i="32"/>
  <c r="Q1834" i="32"/>
  <c r="S1834" i="32"/>
  <c r="R1809" i="32"/>
  <c r="Q1809" i="32"/>
  <c r="S1809" i="32"/>
  <c r="S1741" i="32"/>
  <c r="Q1741" i="32"/>
  <c r="R1741" i="32"/>
  <c r="R778" i="32"/>
  <c r="Q778" i="32"/>
  <c r="S778" i="32"/>
  <c r="S767" i="32"/>
  <c r="R767" i="32"/>
  <c r="Q767" i="32"/>
  <c r="Q677" i="32"/>
  <c r="R677" i="32"/>
  <c r="S677" i="32"/>
  <c r="S540" i="32"/>
  <c r="R540" i="32"/>
  <c r="Q540" i="32"/>
  <c r="S466" i="32"/>
  <c r="R466" i="32"/>
  <c r="Q466" i="32"/>
  <c r="S457" i="32"/>
  <c r="R457" i="32"/>
  <c r="Q457" i="32"/>
  <c r="S356" i="32"/>
  <c r="R356" i="32"/>
  <c r="Q356" i="32"/>
  <c r="S606" i="32"/>
  <c r="R606" i="32"/>
  <c r="Q606" i="32"/>
  <c r="S407" i="32"/>
  <c r="R407" i="32"/>
  <c r="Q407" i="32"/>
  <c r="S353" i="32"/>
  <c r="R353" i="32"/>
  <c r="Q353" i="32"/>
  <c r="R737" i="32"/>
  <c r="Q737" i="32"/>
  <c r="S737" i="32"/>
  <c r="S518" i="32"/>
  <c r="R518" i="32"/>
  <c r="Q518" i="32"/>
  <c r="S259" i="32"/>
  <c r="R259" i="32"/>
  <c r="Q259" i="32"/>
  <c r="R162" i="32"/>
  <c r="S162" i="32"/>
  <c r="Q162" i="32"/>
  <c r="R43" i="32"/>
  <c r="Q43" i="32"/>
  <c r="S43" i="32"/>
  <c r="S193" i="32"/>
  <c r="R193" i="32"/>
  <c r="Q193" i="32"/>
  <c r="S174" i="32"/>
  <c r="R174" i="32"/>
  <c r="Q174" i="32"/>
  <c r="S2446" i="32"/>
  <c r="Q2446" i="32"/>
  <c r="R2446" i="32"/>
  <c r="S2450" i="32"/>
  <c r="Q2450" i="32"/>
  <c r="R2450" i="32"/>
  <c r="Q2370" i="32"/>
  <c r="S2370" i="32"/>
  <c r="R2370" i="32"/>
  <c r="R2414" i="32"/>
  <c r="Q2414" i="32"/>
  <c r="S2414" i="32"/>
  <c r="S2393" i="32"/>
  <c r="R2393" i="32"/>
  <c r="Q2393" i="32"/>
  <c r="S2380" i="32"/>
  <c r="R2380" i="32"/>
  <c r="Q2380" i="32"/>
  <c r="R2422" i="32"/>
  <c r="Q2422" i="32"/>
  <c r="S2422" i="32"/>
  <c r="S2361" i="32"/>
  <c r="R2361" i="32"/>
  <c r="Q2361" i="32"/>
  <c r="R2342" i="32"/>
  <c r="S2342" i="32"/>
  <c r="Q2342" i="32"/>
  <c r="S2373" i="32"/>
  <c r="Q2373" i="32"/>
  <c r="R2373" i="32"/>
  <c r="S2409" i="32"/>
  <c r="R2409" i="32"/>
  <c r="Q2409" i="32"/>
  <c r="S2196" i="32"/>
  <c r="R2196" i="32"/>
  <c r="Q2196" i="32"/>
  <c r="S2306" i="32"/>
  <c r="Q2306" i="32"/>
  <c r="R2306" i="32"/>
  <c r="S2219" i="32"/>
  <c r="Q2219" i="32"/>
  <c r="R2219" i="32"/>
  <c r="S2125" i="32"/>
  <c r="R2125" i="32"/>
  <c r="Q2125" i="32"/>
  <c r="S2089" i="32"/>
  <c r="R2089" i="32"/>
  <c r="Q2089" i="32"/>
  <c r="R2292" i="32"/>
  <c r="Q2292" i="32"/>
  <c r="S2292" i="32"/>
  <c r="S2258" i="32"/>
  <c r="Q2258" i="32"/>
  <c r="R2258" i="32"/>
  <c r="Q2244" i="32"/>
  <c r="S2244" i="32"/>
  <c r="R2244" i="32"/>
  <c r="R2052" i="32"/>
  <c r="Q2052" i="32"/>
  <c r="S2052" i="32"/>
  <c r="S2074" i="32"/>
  <c r="R2074" i="32"/>
  <c r="Q2074" i="32"/>
  <c r="S2031" i="32"/>
  <c r="R2031" i="32"/>
  <c r="Q2031" i="32"/>
  <c r="S2046" i="32"/>
  <c r="R2046" i="32"/>
  <c r="Q2046" i="32"/>
  <c r="S2018" i="32"/>
  <c r="Q2018" i="32"/>
  <c r="R2018" i="32"/>
  <c r="R1939" i="32"/>
  <c r="Q1939" i="32"/>
  <c r="S1939" i="32"/>
  <c r="R1897" i="32"/>
  <c r="Q1897" i="32"/>
  <c r="S1897" i="32"/>
  <c r="S1898" i="32"/>
  <c r="R1898" i="32"/>
  <c r="Q1898" i="32"/>
  <c r="S1979" i="32"/>
  <c r="R1979" i="32"/>
  <c r="Q1979" i="32"/>
  <c r="S1865" i="32"/>
  <c r="R1865" i="32"/>
  <c r="Q1865" i="32"/>
  <c r="S1909" i="32"/>
  <c r="Q1909" i="32"/>
  <c r="R1909" i="32"/>
  <c r="S1893" i="32"/>
  <c r="Q1893" i="32"/>
  <c r="R1893" i="32"/>
  <c r="Q1877" i="32"/>
  <c r="S1877" i="32"/>
  <c r="R1877" i="32"/>
  <c r="S1871" i="32"/>
  <c r="R1871" i="32"/>
  <c r="Q1871" i="32"/>
  <c r="S1808" i="32"/>
  <c r="R1808" i="32"/>
  <c r="Q1808" i="32"/>
  <c r="S1777" i="32"/>
  <c r="R1777" i="32"/>
  <c r="Q1777" i="32"/>
  <c r="S739" i="32"/>
  <c r="R739" i="32"/>
  <c r="Q739" i="32"/>
  <c r="S740" i="32"/>
  <c r="R740" i="32"/>
  <c r="Q740" i="32"/>
  <c r="R746" i="32"/>
  <c r="S605" i="32"/>
  <c r="R605" i="32"/>
  <c r="Q605" i="32"/>
  <c r="S516" i="32"/>
  <c r="R516" i="32"/>
  <c r="Q516" i="32"/>
  <c r="R352" i="32"/>
  <c r="Q352" i="32"/>
  <c r="S352" i="32"/>
  <c r="S431" i="32"/>
  <c r="R431" i="32"/>
  <c r="Q431" i="32"/>
  <c r="S341" i="32"/>
  <c r="R341" i="32"/>
  <c r="Q341" i="32"/>
  <c r="S736" i="32"/>
  <c r="R736" i="32"/>
  <c r="Q736" i="32"/>
  <c r="S478" i="32"/>
  <c r="R478" i="32"/>
  <c r="Q478" i="32"/>
  <c r="S301" i="32"/>
  <c r="R301" i="32"/>
  <c r="Q301" i="32"/>
  <c r="S290" i="32"/>
  <c r="R290" i="32"/>
  <c r="Q290" i="32"/>
  <c r="S258" i="32"/>
  <c r="R258" i="32"/>
  <c r="Q258" i="32"/>
  <c r="Q161" i="32"/>
  <c r="S161" i="32"/>
  <c r="R161" i="32"/>
  <c r="S173" i="32"/>
  <c r="Q173" i="32"/>
  <c r="R173" i="32"/>
  <c r="Q127" i="32"/>
  <c r="S127" i="32"/>
  <c r="R127" i="32"/>
  <c r="S2454" i="32"/>
  <c r="Q2454" i="32"/>
  <c r="R2454" i="32"/>
  <c r="S2368" i="32"/>
  <c r="R2368" i="32"/>
  <c r="Q2368" i="32"/>
  <c r="S2360" i="32"/>
  <c r="Q2360" i="32"/>
  <c r="R2360" i="32"/>
  <c r="R2319" i="32"/>
  <c r="S2319" i="32"/>
  <c r="Q2319" i="32"/>
  <c r="S2341" i="32"/>
  <c r="R2341" i="32"/>
  <c r="Q2341" i="32"/>
  <c r="S2404" i="32"/>
  <c r="Q2404" i="32"/>
  <c r="R2404" i="32"/>
  <c r="S2216" i="32"/>
  <c r="R2216" i="32"/>
  <c r="Q2216" i="32"/>
  <c r="S2411" i="32"/>
  <c r="R2411" i="32"/>
  <c r="Q2411" i="32"/>
  <c r="R2232" i="32"/>
  <c r="Q2232" i="32"/>
  <c r="S2232" i="32"/>
  <c r="S2225" i="32"/>
  <c r="R2225" i="32"/>
  <c r="Q2225" i="32"/>
  <c r="S2328" i="32"/>
  <c r="Q2328" i="32"/>
  <c r="R2328" i="32"/>
  <c r="S2310" i="32"/>
  <c r="Q2310" i="32"/>
  <c r="R2310" i="32"/>
  <c r="Q2270" i="32"/>
  <c r="S2270" i="32"/>
  <c r="R2270" i="32"/>
  <c r="S2201" i="32"/>
  <c r="Q2201" i="32"/>
  <c r="R2201" i="32"/>
  <c r="S2208" i="32"/>
  <c r="Q2208" i="32"/>
  <c r="R2208" i="32"/>
  <c r="Q2124" i="32"/>
  <c r="R2124" i="32"/>
  <c r="S2124" i="32"/>
  <c r="S2157" i="32"/>
  <c r="R2157" i="32"/>
  <c r="Q2157" i="32"/>
  <c r="Q2250" i="32"/>
  <c r="S2250" i="32"/>
  <c r="R2250" i="32"/>
  <c r="S2144" i="32"/>
  <c r="R2144" i="32"/>
  <c r="Q2144" i="32"/>
  <c r="S2259" i="32"/>
  <c r="R2259" i="32"/>
  <c r="Q2259" i="32"/>
  <c r="S2241" i="32"/>
  <c r="Q2241" i="32"/>
  <c r="R2241" i="32"/>
  <c r="S2085" i="32"/>
  <c r="Q2085" i="32"/>
  <c r="R2085" i="32"/>
  <c r="R2034" i="32"/>
  <c r="Q2034" i="32"/>
  <c r="S2034" i="32"/>
  <c r="S2082" i="32"/>
  <c r="R2082" i="32"/>
  <c r="Q2082" i="32"/>
  <c r="S2072" i="32"/>
  <c r="R2072" i="32"/>
  <c r="Q2072" i="32"/>
  <c r="S2011" i="32"/>
  <c r="Q2011" i="32"/>
  <c r="R2011" i="32"/>
  <c r="S1995" i="32"/>
  <c r="R1995" i="32"/>
  <c r="Q1995" i="32"/>
  <c r="S2014" i="32"/>
  <c r="R2014" i="32"/>
  <c r="Q2014" i="32"/>
  <c r="S1975" i="32"/>
  <c r="R1975" i="32"/>
  <c r="Q1975" i="32"/>
  <c r="R2027" i="32"/>
  <c r="Q2027" i="32"/>
  <c r="S2027" i="32"/>
  <c r="S1937" i="32"/>
  <c r="R1937" i="32"/>
  <c r="Q1937" i="32"/>
  <c r="S1977" i="32"/>
  <c r="R1977" i="32"/>
  <c r="Q1977" i="32"/>
  <c r="Q1843" i="32"/>
  <c r="S1843" i="32"/>
  <c r="R1843" i="32"/>
  <c r="S1840" i="32"/>
  <c r="R1840" i="32"/>
  <c r="Q1840" i="32"/>
  <c r="S1830" i="32"/>
  <c r="Q1830" i="32"/>
  <c r="R1830" i="32"/>
  <c r="R1841" i="32"/>
  <c r="Q1841" i="32"/>
  <c r="S1841" i="32"/>
  <c r="Q1786" i="32"/>
  <c r="S1786" i="32"/>
  <c r="R1786" i="32"/>
  <c r="S1833" i="32"/>
  <c r="R1833" i="32"/>
  <c r="Q1833" i="32"/>
  <c r="S1750" i="32"/>
  <c r="R1750" i="32"/>
  <c r="Q1750" i="32"/>
  <c r="S1647" i="32"/>
  <c r="R1647" i="32"/>
  <c r="Q1647" i="32"/>
  <c r="S1779" i="32"/>
  <c r="Q1779" i="32"/>
  <c r="R1779" i="32"/>
  <c r="S1771" i="32"/>
  <c r="R1771" i="32"/>
  <c r="Q1771" i="32"/>
  <c r="O2553" i="32"/>
  <c r="P913" i="32"/>
  <c r="S769" i="32"/>
  <c r="R769" i="32"/>
  <c r="Q769" i="32"/>
  <c r="S595" i="32"/>
  <c r="R595" i="32"/>
  <c r="Q595" i="32"/>
  <c r="S505" i="32"/>
  <c r="R505" i="32"/>
  <c r="Q505" i="32"/>
  <c r="S513" i="32"/>
  <c r="R513" i="32"/>
  <c r="Q513" i="32"/>
  <c r="S441" i="32"/>
  <c r="R441" i="32"/>
  <c r="Q441" i="32"/>
  <c r="S406" i="32"/>
  <c r="R406" i="32"/>
  <c r="Q406" i="32"/>
  <c r="R344" i="32"/>
  <c r="Q344" i="32"/>
  <c r="S344" i="32"/>
  <c r="S762" i="32"/>
  <c r="R762" i="32"/>
  <c r="Q762" i="32"/>
  <c r="S726" i="32"/>
  <c r="R726" i="32"/>
  <c r="Q726" i="32"/>
  <c r="S596" i="32"/>
  <c r="R596" i="32"/>
  <c r="Q596" i="32"/>
  <c r="S494" i="32"/>
  <c r="R494" i="32"/>
  <c r="Q494" i="32"/>
  <c r="R329" i="32"/>
  <c r="Q329" i="32"/>
  <c r="S329" i="32"/>
  <c r="S714" i="32"/>
  <c r="R714" i="32"/>
  <c r="Q714" i="32"/>
  <c r="S269" i="32"/>
  <c r="R269" i="32"/>
  <c r="Q269" i="32"/>
  <c r="S295" i="32"/>
  <c r="R295" i="32"/>
  <c r="Q295" i="32"/>
  <c r="S125" i="32"/>
  <c r="R125" i="32"/>
  <c r="Q125" i="32"/>
  <c r="S167" i="32"/>
  <c r="R167" i="32"/>
  <c r="Q167" i="32"/>
  <c r="Q144" i="32"/>
  <c r="S144" i="32"/>
  <c r="R144" i="32"/>
  <c r="R19" i="32"/>
  <c r="S19" i="32"/>
  <c r="Q19" i="32"/>
  <c r="S2386" i="32"/>
  <c r="R2386" i="32"/>
  <c r="Q2386" i="32"/>
  <c r="S2421" i="32"/>
  <c r="R2421" i="32"/>
  <c r="Q2421" i="32"/>
  <c r="R2279" i="32"/>
  <c r="S2279" i="32"/>
  <c r="Q2279" i="32"/>
  <c r="R2349" i="32"/>
  <c r="S2349" i="32"/>
  <c r="Q2349" i="32"/>
  <c r="S2408" i="32"/>
  <c r="Q2408" i="32"/>
  <c r="R2408" i="32"/>
  <c r="R2217" i="32"/>
  <c r="Q2217" i="32"/>
  <c r="S2217" i="32"/>
  <c r="S2182" i="32"/>
  <c r="R2182" i="32"/>
  <c r="Q2182" i="32"/>
  <c r="Q2282" i="32"/>
  <c r="S2282" i="32"/>
  <c r="R2282" i="32"/>
  <c r="S2251" i="32"/>
  <c r="Q2251" i="32"/>
  <c r="R2251" i="32"/>
  <c r="S2176" i="32"/>
  <c r="R2176" i="32"/>
  <c r="Q2176" i="32"/>
  <c r="R2092" i="32"/>
  <c r="Q2092" i="32"/>
  <c r="S2092" i="32"/>
  <c r="R2440" i="32"/>
  <c r="S2440" i="32"/>
  <c r="Q2440" i="32"/>
  <c r="S2118" i="32"/>
  <c r="R2118" i="32"/>
  <c r="Q2118" i="32"/>
  <c r="S1982" i="32"/>
  <c r="R1982" i="32"/>
  <c r="Q1982" i="32"/>
  <c r="S2013" i="32"/>
  <c r="Q2013" i="32"/>
  <c r="R2013" i="32"/>
  <c r="R1907" i="32"/>
  <c r="S1907" i="32"/>
  <c r="Q1907" i="32"/>
  <c r="R1978" i="32"/>
  <c r="Q1978" i="32"/>
  <c r="S1978" i="32"/>
  <c r="S1973" i="32"/>
  <c r="R1973" i="32"/>
  <c r="Q1973" i="32"/>
  <c r="S1902" i="32"/>
  <c r="Q1902" i="32"/>
  <c r="R1902" i="32"/>
  <c r="S1879" i="32"/>
  <c r="R1879" i="32"/>
  <c r="Q1879" i="32"/>
  <c r="Q1832" i="32"/>
  <c r="S1832" i="32"/>
  <c r="R1832" i="32"/>
  <c r="S1813" i="32"/>
  <c r="R1813" i="32"/>
  <c r="Q1813" i="32"/>
  <c r="S1661" i="32"/>
  <c r="R1661" i="32"/>
  <c r="Q1661" i="32"/>
  <c r="S768" i="32"/>
  <c r="R768" i="32"/>
  <c r="Q768" i="32"/>
  <c r="R857" i="32"/>
  <c r="S857" i="32"/>
  <c r="Q857" i="32"/>
  <c r="S728" i="32"/>
  <c r="R728" i="32"/>
  <c r="Q728" i="32"/>
  <c r="S750" i="32"/>
  <c r="R750" i="32"/>
  <c r="Q750" i="32"/>
  <c r="S442" i="32"/>
  <c r="R442" i="32"/>
  <c r="Q442" i="32"/>
  <c r="S398" i="32"/>
  <c r="R398" i="32"/>
  <c r="Q398" i="32"/>
  <c r="R340" i="32"/>
  <c r="Q340" i="32"/>
  <c r="S340" i="32"/>
  <c r="S517" i="32"/>
  <c r="R517" i="32"/>
  <c r="Q517" i="32"/>
  <c r="S278" i="32"/>
  <c r="R278" i="32"/>
  <c r="Q278" i="32"/>
  <c r="R699" i="32"/>
  <c r="S699" i="32"/>
  <c r="Q699" i="32"/>
  <c r="R182" i="32"/>
  <c r="S182" i="32"/>
  <c r="Q182" i="32"/>
  <c r="S179" i="32"/>
  <c r="Q179" i="32"/>
  <c r="R179" i="32"/>
  <c r="S126" i="32"/>
  <c r="R126" i="32"/>
  <c r="Q126" i="32"/>
  <c r="R163" i="32"/>
  <c r="Q163" i="32"/>
  <c r="S163" i="32"/>
  <c r="S2459" i="32"/>
  <c r="R2459" i="32"/>
  <c r="Q2459" i="32"/>
  <c r="S2385" i="32"/>
  <c r="R2385" i="32"/>
  <c r="Q2385" i="32"/>
  <c r="S2336" i="32"/>
  <c r="Q2336" i="32"/>
  <c r="R2336" i="32"/>
  <c r="S2423" i="32"/>
  <c r="R2423" i="32"/>
  <c r="Q2423" i="32"/>
  <c r="S2348" i="32"/>
  <c r="R2348" i="32"/>
  <c r="Q2348" i="32"/>
  <c r="S2372" i="32"/>
  <c r="Q2372" i="32"/>
  <c r="R2372" i="32"/>
  <c r="Q2224" i="32"/>
  <c r="S2224" i="32"/>
  <c r="R2224" i="32"/>
  <c r="S2412" i="32"/>
  <c r="Q2412" i="32"/>
  <c r="R2412" i="32"/>
  <c r="S2178" i="32"/>
  <c r="R2178" i="32"/>
  <c r="Q2178" i="32"/>
  <c r="R2272" i="32"/>
  <c r="Q2272" i="32"/>
  <c r="S2272" i="32"/>
  <c r="S2194" i="32"/>
  <c r="Q2194" i="32"/>
  <c r="R2194" i="32"/>
  <c r="R2174" i="32"/>
  <c r="Q2174" i="32"/>
  <c r="S2174" i="32"/>
  <c r="R2106" i="32"/>
  <c r="Q2106" i="32"/>
  <c r="S2106" i="32"/>
  <c r="S2252" i="32"/>
  <c r="Q2252" i="32"/>
  <c r="R2252" i="32"/>
  <c r="S2169" i="32"/>
  <c r="R2169" i="32"/>
  <c r="Q2169" i="32"/>
  <c r="S2140" i="32"/>
  <c r="R2140" i="32"/>
  <c r="Q2140" i="32"/>
  <c r="S2137" i="32"/>
  <c r="R2137" i="32"/>
  <c r="Q2137" i="32"/>
  <c r="S2291" i="32"/>
  <c r="R2291" i="32"/>
  <c r="Q2291" i="32"/>
  <c r="Q2077" i="32"/>
  <c r="S2077" i="32"/>
  <c r="R2077" i="32"/>
  <c r="S2067" i="32"/>
  <c r="R2067" i="32"/>
  <c r="Q2067" i="32"/>
  <c r="Q1999" i="32"/>
  <c r="S1999" i="32"/>
  <c r="R1999" i="32"/>
  <c r="S2039" i="32"/>
  <c r="R2039" i="32"/>
  <c r="Q2039" i="32"/>
  <c r="S2026" i="32"/>
  <c r="R2026" i="32"/>
  <c r="Q2026" i="32"/>
  <c r="S1930" i="32"/>
  <c r="R1930" i="32"/>
  <c r="Q1930" i="32"/>
  <c r="Q1798" i="32"/>
  <c r="S1798" i="32"/>
  <c r="R1798" i="32"/>
  <c r="S1911" i="32"/>
  <c r="Q1911" i="32"/>
  <c r="R1911" i="32"/>
  <c r="Q1812" i="32"/>
  <c r="S1812" i="32"/>
  <c r="R1812" i="32"/>
  <c r="S1751" i="32"/>
  <c r="R1751" i="32"/>
  <c r="Q1751" i="32"/>
  <c r="R1859" i="32"/>
  <c r="Q1859" i="32"/>
  <c r="S1859" i="32"/>
  <c r="R1770" i="32"/>
  <c r="Q1770" i="32"/>
  <c r="S1770" i="32"/>
  <c r="S1592" i="32"/>
  <c r="R1592" i="32"/>
  <c r="Q1592" i="32"/>
  <c r="Q746" i="32"/>
  <c r="S695" i="32"/>
  <c r="Q695" i="32"/>
  <c r="R695" i="32"/>
  <c r="Q508" i="32"/>
  <c r="R508" i="32"/>
  <c r="S508" i="32"/>
  <c r="S493" i="32"/>
  <c r="R493" i="32"/>
  <c r="Q493" i="32"/>
  <c r="S485" i="32"/>
  <c r="R485" i="32"/>
  <c r="Q485" i="32"/>
  <c r="S433" i="32"/>
  <c r="R433" i="32"/>
  <c r="Q433" i="32"/>
  <c r="S380" i="32"/>
  <c r="R380" i="32"/>
  <c r="Q380" i="32"/>
  <c r="Q332" i="32"/>
  <c r="S332" i="32"/>
  <c r="R332" i="32"/>
  <c r="R761" i="32"/>
  <c r="Q761" i="32"/>
  <c r="S761" i="32"/>
  <c r="R725" i="32"/>
  <c r="Q725" i="32"/>
  <c r="S725" i="32"/>
  <c r="S701" i="32"/>
  <c r="R701" i="32"/>
  <c r="Q701" i="32"/>
  <c r="S481" i="32"/>
  <c r="R481" i="32"/>
  <c r="Q481" i="32"/>
  <c r="S448" i="32"/>
  <c r="R448" i="32"/>
  <c r="Q448" i="32"/>
  <c r="S388" i="32"/>
  <c r="R388" i="32"/>
  <c r="Q388" i="32"/>
  <c r="R317" i="32"/>
  <c r="Q317" i="32"/>
  <c r="S317" i="32"/>
  <c r="Q713" i="32"/>
  <c r="S713" i="32"/>
  <c r="R713" i="32"/>
  <c r="S289" i="32"/>
  <c r="R289" i="32"/>
  <c r="Q289" i="32"/>
  <c r="S308" i="32"/>
  <c r="R308" i="32"/>
  <c r="Q308" i="32"/>
  <c r="S150" i="32"/>
  <c r="R150" i="32"/>
  <c r="Q150" i="32"/>
  <c r="S152" i="32"/>
  <c r="Q152" i="32"/>
  <c r="R152" i="32"/>
  <c r="R293" i="32"/>
  <c r="S695" i="31"/>
  <c r="R695" i="31"/>
  <c r="Q695" i="31"/>
  <c r="Q347" i="31"/>
  <c r="S347" i="31"/>
  <c r="R347" i="31"/>
  <c r="S770" i="31"/>
  <c r="Q770" i="31"/>
  <c r="R770" i="31"/>
  <c r="S697" i="31"/>
  <c r="R697" i="31"/>
  <c r="Q697" i="31"/>
  <c r="S296" i="31"/>
  <c r="R296" i="31"/>
  <c r="Q296" i="31"/>
  <c r="S265" i="31"/>
  <c r="R265" i="31"/>
  <c r="Q265" i="31"/>
  <c r="S329" i="31"/>
  <c r="R329" i="31"/>
  <c r="Q329" i="31"/>
  <c r="R497" i="31"/>
  <c r="S497" i="31"/>
  <c r="Q497" i="31"/>
  <c r="S335" i="31"/>
  <c r="Q335" i="31"/>
  <c r="R335" i="31"/>
  <c r="Q365" i="31"/>
  <c r="S365" i="31"/>
  <c r="R365" i="31"/>
  <c r="S2411" i="31"/>
  <c r="R2411" i="31"/>
  <c r="Q2411" i="31"/>
  <c r="R2402" i="31"/>
  <c r="Q2402" i="31"/>
  <c r="S2402" i="31"/>
  <c r="Q2336" i="31"/>
  <c r="S2336" i="31"/>
  <c r="R2336" i="31"/>
  <c r="S2272" i="31"/>
  <c r="R2272" i="31"/>
  <c r="Q2272" i="31"/>
  <c r="S2368" i="31"/>
  <c r="Q2368" i="31"/>
  <c r="R2368" i="31"/>
  <c r="R2208" i="31"/>
  <c r="Q2208" i="31"/>
  <c r="S2208" i="31"/>
  <c r="R2153" i="31"/>
  <c r="Q2153" i="31"/>
  <c r="S2153" i="31"/>
  <c r="S2125" i="31"/>
  <c r="Q2125" i="31"/>
  <c r="R2125" i="31"/>
  <c r="S2304" i="31"/>
  <c r="R2304" i="31"/>
  <c r="Q2304" i="31"/>
  <c r="S2322" i="31"/>
  <c r="R2322" i="31"/>
  <c r="Q2322" i="31"/>
  <c r="S2225" i="31"/>
  <c r="R2225" i="31"/>
  <c r="Q2225" i="31"/>
  <c r="S2072" i="31"/>
  <c r="R2072" i="31"/>
  <c r="Q2072" i="31"/>
  <c r="S2185" i="31"/>
  <c r="R2185" i="31"/>
  <c r="Q2185" i="31"/>
  <c r="Q2182" i="31"/>
  <c r="S2182" i="31"/>
  <c r="R2182" i="31"/>
  <c r="S2039" i="31"/>
  <c r="R2039" i="31"/>
  <c r="Q2039" i="31"/>
  <c r="Q2074" i="31"/>
  <c r="S2074" i="31"/>
  <c r="R2074" i="31"/>
  <c r="R1895" i="31"/>
  <c r="Q1895" i="31"/>
  <c r="S1895" i="31"/>
  <c r="S1899" i="31"/>
  <c r="R1899" i="31"/>
  <c r="Q1899" i="31"/>
  <c r="S1832" i="31"/>
  <c r="R1832" i="31"/>
  <c r="Q1832" i="31"/>
  <c r="R2118" i="31"/>
  <c r="Q2118" i="31"/>
  <c r="S2118" i="31"/>
  <c r="R1870" i="31"/>
  <c r="Q1870" i="31"/>
  <c r="S1870" i="31"/>
  <c r="S1747" i="31"/>
  <c r="R1747" i="31"/>
  <c r="Q1747" i="31"/>
  <c r="Q1813" i="31"/>
  <c r="S1813" i="31"/>
  <c r="R1813" i="31"/>
  <c r="R1810" i="31"/>
  <c r="Q1810" i="31"/>
  <c r="S1810" i="31"/>
  <c r="S1738" i="31"/>
  <c r="R1738" i="31"/>
  <c r="Q1738" i="31"/>
  <c r="R1809" i="31"/>
  <c r="S1809" i="31"/>
  <c r="Q1809" i="31"/>
  <c r="R774" i="31"/>
  <c r="Q774" i="31"/>
  <c r="S774" i="31"/>
  <c r="R727" i="31"/>
  <c r="Q727" i="31"/>
  <c r="S727" i="31"/>
  <c r="S780" i="31"/>
  <c r="R780" i="31"/>
  <c r="Q780" i="31"/>
  <c r="S756" i="31"/>
  <c r="R756" i="31"/>
  <c r="Q756" i="31"/>
  <c r="S732" i="31"/>
  <c r="R732" i="31"/>
  <c r="Q732" i="31"/>
  <c r="S708" i="31"/>
  <c r="R708" i="31"/>
  <c r="Q708" i="31"/>
  <c r="S721" i="31"/>
  <c r="R721" i="31"/>
  <c r="Q721" i="31"/>
  <c r="S710" i="31"/>
  <c r="R710" i="31"/>
  <c r="Q710" i="31"/>
  <c r="R508" i="31"/>
  <c r="Q508" i="31"/>
  <c r="S508" i="31"/>
  <c r="R452" i="31"/>
  <c r="Q452" i="31"/>
  <c r="S452" i="31"/>
  <c r="S488" i="31"/>
  <c r="R488" i="31"/>
  <c r="Q488" i="31"/>
  <c r="S435" i="31"/>
  <c r="R435" i="31"/>
  <c r="Q435" i="31"/>
  <c r="S540" i="31"/>
  <c r="R540" i="31"/>
  <c r="Q540" i="31"/>
  <c r="S493" i="31"/>
  <c r="R493" i="31"/>
  <c r="Q493" i="31"/>
  <c r="S416" i="31"/>
  <c r="R416" i="31"/>
  <c r="Q416" i="31"/>
  <c r="S364" i="31"/>
  <c r="R364" i="31"/>
  <c r="Q364" i="31"/>
  <c r="Q293" i="31"/>
  <c r="S293" i="31"/>
  <c r="R293" i="31"/>
  <c r="R313" i="31"/>
  <c r="Q313" i="31"/>
  <c r="S313" i="31"/>
  <c r="S346" i="31"/>
  <c r="R346" i="31"/>
  <c r="Q346" i="31"/>
  <c r="S326" i="31"/>
  <c r="R326" i="31"/>
  <c r="Q326" i="31"/>
  <c r="S381" i="31"/>
  <c r="Q381" i="31"/>
  <c r="R381" i="31"/>
  <c r="S317" i="31"/>
  <c r="R317" i="31"/>
  <c r="S161" i="31"/>
  <c r="R161" i="31"/>
  <c r="Q161" i="31"/>
  <c r="R174" i="31"/>
  <c r="Q174" i="31"/>
  <c r="S174" i="31"/>
  <c r="Q317" i="31"/>
  <c r="R284" i="31"/>
  <c r="R153" i="31"/>
  <c r="Q153" i="31"/>
  <c r="S153" i="31"/>
  <c r="Q2453" i="31"/>
  <c r="S2453" i="31"/>
  <c r="R2453" i="31"/>
  <c r="S2435" i="31"/>
  <c r="Q2435" i="31"/>
  <c r="R2435" i="31"/>
  <c r="Q2515" i="31"/>
  <c r="S2515" i="31"/>
  <c r="R2515" i="31"/>
  <c r="S2440" i="31"/>
  <c r="R2440" i="31"/>
  <c r="Q2440" i="31"/>
  <c r="S2353" i="31"/>
  <c r="R2353" i="31"/>
  <c r="Q2353" i="31"/>
  <c r="S2382" i="31"/>
  <c r="R2382" i="31"/>
  <c r="Q2382" i="31"/>
  <c r="Q2330" i="31"/>
  <c r="S2330" i="31"/>
  <c r="R2330" i="31"/>
  <c r="Q2279" i="31"/>
  <c r="S2279" i="31"/>
  <c r="R2279" i="31"/>
  <c r="S2250" i="31"/>
  <c r="R2250" i="31"/>
  <c r="Q2250" i="31"/>
  <c r="Q2196" i="31"/>
  <c r="S2196" i="31"/>
  <c r="R2196" i="31"/>
  <c r="S2286" i="31"/>
  <c r="R2286" i="31"/>
  <c r="Q2286" i="31"/>
  <c r="S2226" i="31"/>
  <c r="R2226" i="31"/>
  <c r="Q2226" i="31"/>
  <c r="Q2205" i="31"/>
  <c r="S2205" i="31"/>
  <c r="R2205" i="31"/>
  <c r="R2071" i="31"/>
  <c r="Q2071" i="31"/>
  <c r="S2071" i="31"/>
  <c r="R1986" i="31"/>
  <c r="Q1986" i="31"/>
  <c r="S1986" i="31"/>
  <c r="S2033" i="31"/>
  <c r="R2033" i="31"/>
  <c r="Q2033" i="31"/>
  <c r="S1945" i="31"/>
  <c r="R1945" i="31"/>
  <c r="Q1945" i="31"/>
  <c r="S1927" i="31"/>
  <c r="Q1927" i="31"/>
  <c r="R1927" i="31"/>
  <c r="S1842" i="31"/>
  <c r="R1842" i="31"/>
  <c r="Q1842" i="31"/>
  <c r="S1878" i="31"/>
  <c r="R1878" i="31"/>
  <c r="Q1878" i="31"/>
  <c r="S2119" i="31"/>
  <c r="R2119" i="31"/>
  <c r="Q2119" i="31"/>
  <c r="S2022" i="31"/>
  <c r="R2022" i="31"/>
  <c r="Q2022" i="31"/>
  <c r="S1890" i="31"/>
  <c r="R1890" i="31"/>
  <c r="Q1890" i="31"/>
  <c r="S1840" i="31"/>
  <c r="R1840" i="31"/>
  <c r="Q1840" i="31"/>
  <c r="S1869" i="31"/>
  <c r="Q1869" i="31"/>
  <c r="R1869" i="31"/>
  <c r="S1784" i="31"/>
  <c r="R1784" i="31"/>
  <c r="Q1784" i="31"/>
  <c r="S1644" i="31"/>
  <c r="R1644" i="31"/>
  <c r="Q1644" i="31"/>
  <c r="S1741" i="31"/>
  <c r="R1741" i="31"/>
  <c r="Q1741" i="31"/>
  <c r="S1645" i="31"/>
  <c r="R1645" i="31"/>
  <c r="Q1645" i="31"/>
  <c r="S1779" i="31"/>
  <c r="R1779" i="31"/>
  <c r="Q1779" i="31"/>
  <c r="S1656" i="31"/>
  <c r="R1656" i="31"/>
  <c r="Q1656" i="31"/>
  <c r="R1902" i="31"/>
  <c r="Q1902" i="31"/>
  <c r="S1902" i="31"/>
  <c r="S1805" i="31"/>
  <c r="R1805" i="31"/>
  <c r="Q1805" i="31"/>
  <c r="R719" i="31"/>
  <c r="Q719" i="31"/>
  <c r="S719" i="31"/>
  <c r="S764" i="31"/>
  <c r="R764" i="31"/>
  <c r="Q764" i="31"/>
  <c r="S716" i="31"/>
  <c r="R716" i="31"/>
  <c r="Q716" i="31"/>
  <c r="S709" i="31"/>
  <c r="R709" i="31"/>
  <c r="Q709" i="31"/>
  <c r="Q400" i="31"/>
  <c r="S400" i="31"/>
  <c r="R400" i="31"/>
  <c r="R500" i="31"/>
  <c r="Q500" i="31"/>
  <c r="S500" i="31"/>
  <c r="S487" i="31"/>
  <c r="R487" i="31"/>
  <c r="Q487" i="31"/>
  <c r="S434" i="31"/>
  <c r="R434" i="31"/>
  <c r="Q434" i="31"/>
  <c r="S448" i="31"/>
  <c r="R448" i="31"/>
  <c r="Q448" i="31"/>
  <c r="S447" i="31"/>
  <c r="R447" i="31"/>
  <c r="Q447" i="31"/>
  <c r="Q382" i="31"/>
  <c r="S382" i="31"/>
  <c r="R382" i="31"/>
  <c r="Q281" i="31"/>
  <c r="S281" i="31"/>
  <c r="R281" i="31"/>
  <c r="R361" i="31"/>
  <c r="Q361" i="31"/>
  <c r="S361" i="31"/>
  <c r="R273" i="31"/>
  <c r="Q273" i="31"/>
  <c r="S273" i="31"/>
  <c r="S302" i="31"/>
  <c r="R302" i="31"/>
  <c r="Q302" i="31"/>
  <c r="S362" i="31"/>
  <c r="R362" i="31"/>
  <c r="Q362" i="31"/>
  <c r="S375" i="31"/>
  <c r="Q375" i="31"/>
  <c r="R375" i="31"/>
  <c r="R173" i="31"/>
  <c r="Q173" i="31"/>
  <c r="S173" i="31"/>
  <c r="S284" i="31"/>
  <c r="S152" i="31"/>
  <c r="R152" i="31"/>
  <c r="Q152" i="31"/>
  <c r="Q2441" i="31"/>
  <c r="S2441" i="31"/>
  <c r="R2441" i="31"/>
  <c r="S2438" i="31"/>
  <c r="Q2438" i="31"/>
  <c r="R2438" i="31"/>
  <c r="S2381" i="31"/>
  <c r="R2381" i="31"/>
  <c r="Q2381" i="31"/>
  <c r="S2401" i="31"/>
  <c r="R2401" i="31"/>
  <c r="Q2401" i="31"/>
  <c r="S2243" i="31"/>
  <c r="R2243" i="31"/>
  <c r="Q2243" i="31"/>
  <c r="Q2198" i="31"/>
  <c r="R2198" i="31"/>
  <c r="S2198" i="31"/>
  <c r="S2287" i="31"/>
  <c r="R2287" i="31"/>
  <c r="Q2287" i="31"/>
  <c r="S2303" i="31"/>
  <c r="R2303" i="31"/>
  <c r="Q2303" i="31"/>
  <c r="R2267" i="31"/>
  <c r="S2267" i="31"/>
  <c r="Q2267" i="31"/>
  <c r="Q2104" i="31"/>
  <c r="S2104" i="31"/>
  <c r="R2104" i="31"/>
  <c r="S2100" i="31"/>
  <c r="R2100" i="31"/>
  <c r="Q2100" i="31"/>
  <c r="S2086" i="31"/>
  <c r="R2086" i="31"/>
  <c r="Q2086" i="31"/>
  <c r="S2057" i="31"/>
  <c r="R2057" i="31"/>
  <c r="Q2057" i="31"/>
  <c r="S2091" i="31"/>
  <c r="R2091" i="31"/>
  <c r="Q2091" i="31"/>
  <c r="R2181" i="31"/>
  <c r="Q2181" i="31"/>
  <c r="S2181" i="31"/>
  <c r="S2046" i="31"/>
  <c r="R2046" i="31"/>
  <c r="Q2046" i="31"/>
  <c r="R1947" i="31"/>
  <c r="Q1947" i="31"/>
  <c r="S1947" i="31"/>
  <c r="Q2038" i="31"/>
  <c r="S2038" i="31"/>
  <c r="R2038" i="31"/>
  <c r="S2001" i="31"/>
  <c r="R2001" i="31"/>
  <c r="Q2001" i="31"/>
  <c r="S1937" i="31"/>
  <c r="R1937" i="31"/>
  <c r="Q1937" i="31"/>
  <c r="R1938" i="31"/>
  <c r="Q1938" i="31"/>
  <c r="S1938" i="31"/>
  <c r="S1971" i="31"/>
  <c r="R1971" i="31"/>
  <c r="Q1971" i="31"/>
  <c r="Q2021" i="31"/>
  <c r="S2021" i="31"/>
  <c r="R2021" i="31"/>
  <c r="S1833" i="31"/>
  <c r="R1833" i="31"/>
  <c r="Q1833" i="31"/>
  <c r="S1901" i="31"/>
  <c r="Q1901" i="31"/>
  <c r="R1901" i="31"/>
  <c r="R763" i="31"/>
  <c r="Q763" i="31"/>
  <c r="S763" i="31"/>
  <c r="R715" i="31"/>
  <c r="Q715" i="31"/>
  <c r="S715" i="31"/>
  <c r="S667" i="31"/>
  <c r="R667" i="31"/>
  <c r="Q667" i="31"/>
  <c r="R880" i="31"/>
  <c r="S880" i="31"/>
  <c r="Q880" i="31"/>
  <c r="R436" i="31"/>
  <c r="Q436" i="31"/>
  <c r="S436" i="31"/>
  <c r="S427" i="31"/>
  <c r="R427" i="31"/>
  <c r="Q427" i="31"/>
  <c r="S605" i="31"/>
  <c r="R605" i="31"/>
  <c r="Q605" i="31"/>
  <c r="S458" i="31"/>
  <c r="R458" i="31"/>
  <c r="Q458" i="31"/>
  <c r="S701" i="31"/>
  <c r="R701" i="31"/>
  <c r="Q701" i="31"/>
  <c r="S510" i="31"/>
  <c r="R510" i="31"/>
  <c r="Q510" i="31"/>
  <c r="S387" i="31"/>
  <c r="Q387" i="31"/>
  <c r="R387" i="31"/>
  <c r="S405" i="31"/>
  <c r="R405" i="31"/>
  <c r="Q405" i="31"/>
  <c r="R357" i="31"/>
  <c r="Q357" i="31"/>
  <c r="S357" i="31"/>
  <c r="R167" i="31"/>
  <c r="Q167" i="31"/>
  <c r="S167" i="31"/>
  <c r="S379" i="31"/>
  <c r="Q379" i="31"/>
  <c r="R379" i="31"/>
  <c r="Q177" i="31"/>
  <c r="S177" i="31"/>
  <c r="R177" i="31"/>
  <c r="S2436" i="31"/>
  <c r="R2436" i="31"/>
  <c r="Q2436" i="31"/>
  <c r="S2364" i="31"/>
  <c r="R2364" i="31"/>
  <c r="Q2364" i="31"/>
  <c r="Q2352" i="31"/>
  <c r="S2352" i="31"/>
  <c r="R2352" i="31"/>
  <c r="Q2380" i="31"/>
  <c r="S2380" i="31"/>
  <c r="R2380" i="31"/>
  <c r="S2309" i="31"/>
  <c r="R2309" i="31"/>
  <c r="Q2309" i="31"/>
  <c r="S2284" i="31"/>
  <c r="R2284" i="31"/>
  <c r="Q2284" i="31"/>
  <c r="R2231" i="31"/>
  <c r="Q2231" i="31"/>
  <c r="S2231" i="31"/>
  <c r="S2232" i="31"/>
  <c r="R2232" i="31"/>
  <c r="Q2232" i="31"/>
  <c r="R2370" i="31"/>
  <c r="Q2370" i="31"/>
  <c r="S2370" i="31"/>
  <c r="R2175" i="31"/>
  <c r="Q2175" i="31"/>
  <c r="S2175" i="31"/>
  <c r="R2301" i="31"/>
  <c r="Q2301" i="31"/>
  <c r="S2301" i="31"/>
  <c r="S2320" i="31"/>
  <c r="R2320" i="31"/>
  <c r="Q2320" i="31"/>
  <c r="S2169" i="31"/>
  <c r="R2169" i="31"/>
  <c r="Q2169" i="31"/>
  <c r="R2193" i="31"/>
  <c r="S2193" i="31"/>
  <c r="Q2193" i="31"/>
  <c r="S2144" i="31"/>
  <c r="R2144" i="31"/>
  <c r="Q2144" i="31"/>
  <c r="S2184" i="31"/>
  <c r="Q2184" i="31"/>
  <c r="R2184" i="31"/>
  <c r="S2132" i="31"/>
  <c r="Q2132" i="31"/>
  <c r="R2132" i="31"/>
  <c r="Q2045" i="31"/>
  <c r="S2045" i="31"/>
  <c r="R2045" i="31"/>
  <c r="Q1975" i="31"/>
  <c r="S1975" i="31"/>
  <c r="R1975" i="31"/>
  <c r="R2018" i="31"/>
  <c r="Q2018" i="31"/>
  <c r="S2018" i="31"/>
  <c r="S1994" i="31"/>
  <c r="R1994" i="31"/>
  <c r="Q1994" i="31"/>
  <c r="S1923" i="31"/>
  <c r="R1923" i="31"/>
  <c r="Q1923" i="31"/>
  <c r="S1973" i="31"/>
  <c r="R1973" i="31"/>
  <c r="Q1973" i="31"/>
  <c r="R1931" i="31"/>
  <c r="Q1931" i="31"/>
  <c r="S1931" i="31"/>
  <c r="S1925" i="31"/>
  <c r="R1925" i="31"/>
  <c r="Q1925" i="31"/>
  <c r="S1910" i="31"/>
  <c r="R1910" i="31"/>
  <c r="Q1910" i="31"/>
  <c r="Q2148" i="31"/>
  <c r="S2148" i="31"/>
  <c r="R2148" i="31"/>
  <c r="R2117" i="31"/>
  <c r="S2117" i="31"/>
  <c r="Q2117" i="31"/>
  <c r="Q1806" i="31"/>
  <c r="S1806" i="31"/>
  <c r="R1806" i="31"/>
  <c r="R1592" i="31"/>
  <c r="Q1592" i="31"/>
  <c r="S1592" i="31"/>
  <c r="R755" i="31"/>
  <c r="Q755" i="31"/>
  <c r="S755" i="31"/>
  <c r="R707" i="31"/>
  <c r="Q707" i="31"/>
  <c r="S707" i="31"/>
  <c r="S752" i="31"/>
  <c r="R752" i="31"/>
  <c r="Q752" i="31"/>
  <c r="S772" i="31"/>
  <c r="R772" i="31"/>
  <c r="Q772" i="31"/>
  <c r="S748" i="31"/>
  <c r="R748" i="31"/>
  <c r="Q748" i="31"/>
  <c r="S724" i="31"/>
  <c r="R724" i="31"/>
  <c r="Q724" i="31"/>
  <c r="S657" i="31"/>
  <c r="R657" i="31"/>
  <c r="Q657" i="31"/>
  <c r="R496" i="31"/>
  <c r="Q496" i="31"/>
  <c r="S496" i="31"/>
  <c r="R428" i="31"/>
  <c r="Q428" i="31"/>
  <c r="S428" i="31"/>
  <c r="S536" i="31"/>
  <c r="R536" i="31"/>
  <c r="Q536" i="31"/>
  <c r="S516" i="31"/>
  <c r="R516" i="31"/>
  <c r="Q516" i="31"/>
  <c r="S537" i="31"/>
  <c r="R537" i="31"/>
  <c r="Q537" i="31"/>
  <c r="S440" i="31"/>
  <c r="R440" i="31"/>
  <c r="Q440" i="31"/>
  <c r="S563" i="31"/>
  <c r="R563" i="31"/>
  <c r="Q563" i="31"/>
  <c r="S503" i="31"/>
  <c r="R503" i="31"/>
  <c r="Q503" i="31"/>
  <c r="S415" i="31"/>
  <c r="Q415" i="31"/>
  <c r="R415" i="31"/>
  <c r="Q479" i="31"/>
  <c r="S358" i="31"/>
  <c r="R358" i="31"/>
  <c r="Q358" i="31"/>
  <c r="S338" i="31"/>
  <c r="R338" i="31"/>
  <c r="Q338" i="31"/>
  <c r="S262" i="31"/>
  <c r="R262" i="31"/>
  <c r="Q262" i="31"/>
  <c r="R383" i="31"/>
  <c r="S383" i="31"/>
  <c r="Q383" i="31"/>
  <c r="S159" i="31"/>
  <c r="R159" i="31"/>
  <c r="Q159" i="31"/>
  <c r="R202" i="31"/>
  <c r="Q202" i="31"/>
  <c r="S202" i="31"/>
  <c r="S2463" i="31"/>
  <c r="R2463" i="31"/>
  <c r="Q2463" i="31"/>
  <c r="S2434" i="31"/>
  <c r="Q2434" i="31"/>
  <c r="R2434" i="31"/>
  <c r="S2350" i="31"/>
  <c r="R2350" i="31"/>
  <c r="Q2350" i="31"/>
  <c r="S2324" i="31"/>
  <c r="R2324" i="31"/>
  <c r="Q2324" i="31"/>
  <c r="S2228" i="31"/>
  <c r="R2228" i="31"/>
  <c r="Q2228" i="31"/>
  <c r="Q2268" i="31"/>
  <c r="S2268" i="31"/>
  <c r="R2268" i="31"/>
  <c r="S2213" i="31"/>
  <c r="R2213" i="31"/>
  <c r="Q2213" i="31"/>
  <c r="S2224" i="31"/>
  <c r="R2224" i="31"/>
  <c r="Q2224" i="31"/>
  <c r="S2133" i="31"/>
  <c r="R2133" i="31"/>
  <c r="Q2133" i="31"/>
  <c r="S2192" i="31"/>
  <c r="R2192" i="31"/>
  <c r="Q2192" i="31"/>
  <c r="R2107" i="31"/>
  <c r="S2107" i="31"/>
  <c r="Q2107" i="31"/>
  <c r="S2157" i="31"/>
  <c r="R2157" i="31"/>
  <c r="Q2157" i="31"/>
  <c r="S2069" i="31"/>
  <c r="R2069" i="31"/>
  <c r="Q2069" i="31"/>
  <c r="Q2037" i="31"/>
  <c r="R2037" i="31"/>
  <c r="S2037" i="31"/>
  <c r="R1979" i="31"/>
  <c r="Q1979" i="31"/>
  <c r="S1979" i="31"/>
  <c r="R2035" i="31"/>
  <c r="Q2035" i="31"/>
  <c r="S2035" i="31"/>
  <c r="S1987" i="31"/>
  <c r="R1987" i="31"/>
  <c r="Q1987" i="31"/>
  <c r="S1966" i="31"/>
  <c r="R1966" i="31"/>
  <c r="Q1966" i="31"/>
  <c r="S1959" i="31"/>
  <c r="R1959" i="31"/>
  <c r="Q1959" i="31"/>
  <c r="Q2149" i="31"/>
  <c r="S2149" i="31"/>
  <c r="R2149" i="31"/>
  <c r="S2116" i="31"/>
  <c r="R2116" i="31"/>
  <c r="Q2116" i="31"/>
  <c r="S1865" i="31"/>
  <c r="R1865" i="31"/>
  <c r="Q1865" i="31"/>
  <c r="S1801" i="31"/>
  <c r="R1801" i="31"/>
  <c r="Q1801" i="31"/>
  <c r="S1821" i="31"/>
  <c r="R1821" i="31"/>
  <c r="Q1821" i="31"/>
  <c r="S1769" i="31"/>
  <c r="R1769" i="31"/>
  <c r="Q1769" i="31"/>
  <c r="S1792" i="31"/>
  <c r="R1792" i="31"/>
  <c r="Q1792" i="31"/>
  <c r="R751" i="31"/>
  <c r="Q751" i="31"/>
  <c r="S751" i="31"/>
  <c r="S681" i="31"/>
  <c r="R681" i="31"/>
  <c r="Q681" i="31"/>
  <c r="S744" i="31"/>
  <c r="R744" i="31"/>
  <c r="Q744" i="31"/>
  <c r="S720" i="31"/>
  <c r="R720" i="31"/>
  <c r="Q720" i="31"/>
  <c r="S779" i="31"/>
  <c r="R779" i="31"/>
  <c r="Q779" i="31"/>
  <c r="S758" i="31"/>
  <c r="R758" i="31"/>
  <c r="Q758" i="31"/>
  <c r="R489" i="31"/>
  <c r="Q489" i="31"/>
  <c r="S489" i="31"/>
  <c r="S459" i="31"/>
  <c r="R459" i="31"/>
  <c r="Q459" i="31"/>
  <c r="S618" i="31"/>
  <c r="R618" i="31"/>
  <c r="Q618" i="31"/>
  <c r="S484" i="31"/>
  <c r="R484" i="31"/>
  <c r="Q484" i="31"/>
  <c r="S418" i="31"/>
  <c r="R418" i="31"/>
  <c r="Q418" i="31"/>
  <c r="S513" i="31"/>
  <c r="R513" i="31"/>
  <c r="Q513" i="31"/>
  <c r="S502" i="31"/>
  <c r="R502" i="31"/>
  <c r="Q502" i="31"/>
  <c r="S431" i="31"/>
  <c r="R431" i="31"/>
  <c r="Q431" i="31"/>
  <c r="S388" i="31"/>
  <c r="R388" i="31"/>
  <c r="Q388" i="31"/>
  <c r="S439" i="31"/>
  <c r="R439" i="31"/>
  <c r="Q439" i="31"/>
  <c r="S376" i="31"/>
  <c r="R376" i="31"/>
  <c r="Q376" i="31"/>
  <c r="Q404" i="31"/>
  <c r="S404" i="31"/>
  <c r="R404" i="31"/>
  <c r="R349" i="31"/>
  <c r="Q349" i="31"/>
  <c r="S349" i="31"/>
  <c r="S290" i="31"/>
  <c r="R290" i="31"/>
  <c r="Q290" i="31"/>
  <c r="S314" i="31"/>
  <c r="R314" i="31"/>
  <c r="Q314" i="31"/>
  <c r="S369" i="31"/>
  <c r="Q369" i="31"/>
  <c r="R369" i="31"/>
  <c r="S126" i="31"/>
  <c r="R126" i="31"/>
  <c r="Q126" i="31"/>
  <c r="Q156" i="31"/>
  <c r="S156" i="31"/>
  <c r="R156" i="31"/>
  <c r="Q2465" i="31"/>
  <c r="R2465" i="31"/>
  <c r="S2465" i="31"/>
  <c r="S2459" i="31"/>
  <c r="R2459" i="31"/>
  <c r="Q2459" i="31"/>
  <c r="S2427" i="31"/>
  <c r="R2427" i="31"/>
  <c r="Q2427" i="31"/>
  <c r="S2348" i="31"/>
  <c r="R2348" i="31"/>
  <c r="Q2348" i="31"/>
  <c r="Q2256" i="31"/>
  <c r="S2256" i="31"/>
  <c r="R2256" i="31"/>
  <c r="S2217" i="31"/>
  <c r="R2217" i="31"/>
  <c r="Q2217" i="31"/>
  <c r="S2369" i="31"/>
  <c r="R2369" i="31"/>
  <c r="Q2369" i="31"/>
  <c r="S2302" i="31"/>
  <c r="Q2302" i="31"/>
  <c r="R2302" i="31"/>
  <c r="S2266" i="31"/>
  <c r="Q2266" i="31"/>
  <c r="R2266" i="31"/>
  <c r="Q2319" i="31"/>
  <c r="S2319" i="31"/>
  <c r="R2319" i="31"/>
  <c r="Q2212" i="31"/>
  <c r="S2212" i="31"/>
  <c r="R2212" i="31"/>
  <c r="S2206" i="31"/>
  <c r="R2206" i="31"/>
  <c r="Q2206" i="31"/>
  <c r="R2049" i="31"/>
  <c r="Q2049" i="31"/>
  <c r="S2049" i="31"/>
  <c r="Q2156" i="31"/>
  <c r="S2156" i="31"/>
  <c r="R2156" i="31"/>
  <c r="Q2134" i="31"/>
  <c r="S2134" i="31"/>
  <c r="R2134" i="31"/>
  <c r="R2106" i="31"/>
  <c r="S2106" i="31"/>
  <c r="Q2106" i="31"/>
  <c r="S2062" i="31"/>
  <c r="R2062" i="31"/>
  <c r="Q2062" i="31"/>
  <c r="S2180" i="31"/>
  <c r="R2180" i="31"/>
  <c r="Q2180" i="31"/>
  <c r="S2005" i="31"/>
  <c r="R2005" i="31"/>
  <c r="Q2005" i="31"/>
  <c r="S2076" i="31"/>
  <c r="R2076" i="31"/>
  <c r="Q2076" i="31"/>
  <c r="S1930" i="31"/>
  <c r="R1930" i="31"/>
  <c r="Q1930" i="31"/>
  <c r="Q1838" i="31"/>
  <c r="S1838" i="31"/>
  <c r="R1838" i="31"/>
  <c r="S1867" i="31"/>
  <c r="R1867" i="31"/>
  <c r="Q1867" i="31"/>
  <c r="S2120" i="31"/>
  <c r="R2120" i="31"/>
  <c r="Q2120" i="31"/>
  <c r="Q1820" i="31"/>
  <c r="S1820" i="31"/>
  <c r="R1820" i="31"/>
  <c r="S1808" i="31"/>
  <c r="R1808" i="31"/>
  <c r="Q1808" i="31"/>
  <c r="R743" i="31"/>
  <c r="Q743" i="31"/>
  <c r="S743" i="31"/>
  <c r="S781" i="31"/>
  <c r="R781" i="31"/>
  <c r="Q781" i="31"/>
  <c r="S740" i="31"/>
  <c r="R740" i="31"/>
  <c r="Q740" i="31"/>
  <c r="Q857" i="31"/>
  <c r="S857" i="31"/>
  <c r="R857" i="31"/>
  <c r="S757" i="31"/>
  <c r="R757" i="31"/>
  <c r="Q757" i="31"/>
  <c r="S746" i="31"/>
  <c r="R746" i="31"/>
  <c r="Q746" i="31"/>
  <c r="S595" i="31"/>
  <c r="R595" i="31"/>
  <c r="Q595" i="31"/>
  <c r="S505" i="31"/>
  <c r="R505" i="31"/>
  <c r="Q505" i="31"/>
  <c r="S476" i="31"/>
  <c r="R476" i="31"/>
  <c r="Q476" i="31"/>
  <c r="S479" i="31"/>
  <c r="Q353" i="31"/>
  <c r="S353" i="31"/>
  <c r="R353" i="31"/>
  <c r="S380" i="31"/>
  <c r="R380" i="31"/>
  <c r="Q380" i="31"/>
  <c r="S334" i="31"/>
  <c r="R334" i="31"/>
  <c r="Q334" i="31"/>
  <c r="Q311" i="31"/>
  <c r="S258" i="31"/>
  <c r="R258" i="31"/>
  <c r="Q258" i="31"/>
  <c r="S193" i="31"/>
  <c r="R193" i="31"/>
  <c r="Q193" i="31"/>
  <c r="S373" i="31"/>
  <c r="Q373" i="31"/>
  <c r="R373" i="31"/>
  <c r="R166" i="31"/>
  <c r="Q166" i="31"/>
  <c r="S166" i="31"/>
  <c r="S127" i="31"/>
  <c r="R127" i="31"/>
  <c r="Q127" i="31"/>
  <c r="S2451" i="31"/>
  <c r="R2451" i="31"/>
  <c r="Q2451" i="31"/>
  <c r="Q2433" i="31"/>
  <c r="S2433" i="31"/>
  <c r="R2433" i="31"/>
  <c r="S2423" i="31"/>
  <c r="R2423" i="31"/>
  <c r="Q2423" i="31"/>
  <c r="R2377" i="31"/>
  <c r="Q2377" i="31"/>
  <c r="S2377" i="31"/>
  <c r="Q2345" i="31"/>
  <c r="R2345" i="31"/>
  <c r="S2345" i="31"/>
  <c r="Q2308" i="31"/>
  <c r="S2308" i="31"/>
  <c r="R2308" i="31"/>
  <c r="S2337" i="31"/>
  <c r="R2337" i="31"/>
  <c r="Q2337" i="31"/>
  <c r="S2210" i="31"/>
  <c r="R2210" i="31"/>
  <c r="Q2210" i="31"/>
  <c r="S2321" i="31"/>
  <c r="R2321" i="31"/>
  <c r="Q2321" i="31"/>
  <c r="R2164" i="31"/>
  <c r="Q2164" i="31"/>
  <c r="S2164" i="31"/>
  <c r="S2214" i="31"/>
  <c r="R2214" i="31"/>
  <c r="Q2214" i="31"/>
  <c r="Q2223" i="31"/>
  <c r="R2223" i="31"/>
  <c r="S2223" i="31"/>
  <c r="S2204" i="31"/>
  <c r="R2204" i="31"/>
  <c r="Q2204" i="31"/>
  <c r="R2146" i="31"/>
  <c r="S2146" i="31"/>
  <c r="Q2146" i="31"/>
  <c r="R2089" i="31"/>
  <c r="Q2089" i="31"/>
  <c r="S2089" i="31"/>
  <c r="R2096" i="31"/>
  <c r="S2096" i="31"/>
  <c r="Q2096" i="31"/>
  <c r="S2105" i="31"/>
  <c r="R2105" i="31"/>
  <c r="Q2105" i="31"/>
  <c r="R2186" i="31"/>
  <c r="Q2186" i="31"/>
  <c r="S2186" i="31"/>
  <c r="S2051" i="31"/>
  <c r="R2051" i="31"/>
  <c r="Q2051" i="31"/>
  <c r="S2179" i="31"/>
  <c r="R2179" i="31"/>
  <c r="Q2179" i="31"/>
  <c r="R2011" i="31"/>
  <c r="Q2011" i="31"/>
  <c r="S2011" i="31"/>
  <c r="R2034" i="31"/>
  <c r="S2034" i="31"/>
  <c r="Q2034" i="31"/>
  <c r="Q1929" i="31"/>
  <c r="S1929" i="31"/>
  <c r="R1929" i="31"/>
  <c r="S1958" i="31"/>
  <c r="R1958" i="31"/>
  <c r="Q1958" i="31"/>
  <c r="S1970" i="31"/>
  <c r="R1970" i="31"/>
  <c r="Q1970" i="31"/>
  <c r="S2150" i="31"/>
  <c r="R2150" i="31"/>
  <c r="Q2150" i="31"/>
  <c r="S1858" i="31"/>
  <c r="R1858" i="31"/>
  <c r="Q1858" i="31"/>
  <c r="S1871" i="31"/>
  <c r="R1871" i="31"/>
  <c r="Q1871" i="31"/>
  <c r="S1804" i="31"/>
  <c r="R1804" i="31"/>
  <c r="Q1804" i="31"/>
  <c r="S1754" i="31"/>
  <c r="R1754" i="31"/>
  <c r="Q1754" i="31"/>
  <c r="S1798" i="31"/>
  <c r="R1798" i="31"/>
  <c r="Q1798" i="31"/>
  <c r="S1745" i="31"/>
  <c r="R1745" i="31"/>
  <c r="Q1745" i="31"/>
  <c r="S1636" i="31"/>
  <c r="R1636" i="31"/>
  <c r="Q1636" i="31"/>
  <c r="R739" i="31"/>
  <c r="Q739" i="31"/>
  <c r="S739" i="31"/>
  <c r="S773" i="31"/>
  <c r="R773" i="31"/>
  <c r="Q773" i="31"/>
  <c r="S655" i="31"/>
  <c r="R655" i="31"/>
  <c r="Q655" i="31"/>
  <c r="S656" i="31"/>
  <c r="R656" i="31"/>
  <c r="Q656" i="31"/>
  <c r="S745" i="31"/>
  <c r="R745" i="31"/>
  <c r="Q745" i="31"/>
  <c r="S734" i="31"/>
  <c r="R734" i="31"/>
  <c r="Q734" i="31"/>
  <c r="S679" i="31"/>
  <c r="R679" i="31"/>
  <c r="Q679" i="31"/>
  <c r="R483" i="31"/>
  <c r="Q483" i="31"/>
  <c r="S483" i="31"/>
  <c r="R401" i="31"/>
  <c r="Q401" i="31"/>
  <c r="S401" i="31"/>
  <c r="S512" i="31"/>
  <c r="R512" i="31"/>
  <c r="Q512" i="31"/>
  <c r="S397" i="31"/>
  <c r="R397" i="31"/>
  <c r="Q397" i="31"/>
  <c r="S615" i="31"/>
  <c r="R615" i="31"/>
  <c r="Q615" i="31"/>
  <c r="S501" i="31"/>
  <c r="R501" i="31"/>
  <c r="Q501" i="31"/>
  <c r="S477" i="31"/>
  <c r="R477" i="31"/>
  <c r="Q477" i="31"/>
  <c r="S399" i="31"/>
  <c r="Q399" i="31"/>
  <c r="R399" i="31"/>
  <c r="S403" i="31"/>
  <c r="Q403" i="31"/>
  <c r="R403" i="31"/>
  <c r="Q341" i="31"/>
  <c r="S341" i="31"/>
  <c r="R341" i="31"/>
  <c r="R337" i="31"/>
  <c r="Q337" i="31"/>
  <c r="S337" i="31"/>
  <c r="Q374" i="31"/>
  <c r="S374" i="31"/>
  <c r="R374" i="31"/>
  <c r="S350" i="31"/>
  <c r="R350" i="31"/>
  <c r="Q350" i="31"/>
  <c r="S377" i="31"/>
  <c r="R377" i="31"/>
  <c r="Q377" i="31"/>
  <c r="S367" i="31"/>
  <c r="Q367" i="31"/>
  <c r="R367" i="31"/>
  <c r="S162" i="31"/>
  <c r="R162" i="31"/>
  <c r="Q162" i="31"/>
  <c r="S19" i="31"/>
  <c r="R19" i="31"/>
  <c r="Q19" i="31"/>
  <c r="R196" i="31"/>
  <c r="Q196" i="31"/>
  <c r="S196" i="31"/>
  <c r="S2447" i="31"/>
  <c r="R2447" i="31"/>
  <c r="Q2447" i="31"/>
  <c r="S2415" i="31"/>
  <c r="R2415" i="31"/>
  <c r="Q2415" i="31"/>
  <c r="S2376" i="31"/>
  <c r="Q2376" i="31"/>
  <c r="R2376" i="31"/>
  <c r="R2209" i="31"/>
  <c r="Q2209" i="31"/>
  <c r="S2209" i="31"/>
  <c r="R2160" i="31"/>
  <c r="Q2160" i="31"/>
  <c r="S2160" i="31"/>
  <c r="S2300" i="31"/>
  <c r="R2300" i="31"/>
  <c r="Q2300" i="31"/>
  <c r="Q2288" i="31"/>
  <c r="S2288" i="31"/>
  <c r="R2288" i="31"/>
  <c r="S2222" i="31"/>
  <c r="R2222" i="31"/>
  <c r="Q2222" i="31"/>
  <c r="S2194" i="31"/>
  <c r="R2194" i="31"/>
  <c r="Q2194" i="31"/>
  <c r="R2145" i="31"/>
  <c r="S2145" i="31"/>
  <c r="Q2145" i="31"/>
  <c r="S2064" i="31"/>
  <c r="R2064" i="31"/>
  <c r="Q2064" i="31"/>
  <c r="S2087" i="31"/>
  <c r="R2087" i="31"/>
  <c r="Q2087" i="31"/>
  <c r="Q2178" i="31"/>
  <c r="S2178" i="31"/>
  <c r="R2178" i="31"/>
  <c r="Q2007" i="31"/>
  <c r="S2007" i="31"/>
  <c r="R2007" i="31"/>
  <c r="R1954" i="31"/>
  <c r="Q1954" i="31"/>
  <c r="S1954" i="31"/>
  <c r="S2019" i="31"/>
  <c r="R2019" i="31"/>
  <c r="Q2019" i="31"/>
  <c r="S1955" i="31"/>
  <c r="R1955" i="31"/>
  <c r="Q1955" i="31"/>
  <c r="S1998" i="31"/>
  <c r="R1998" i="31"/>
  <c r="Q1998" i="31"/>
  <c r="S2075" i="31"/>
  <c r="R2075" i="31"/>
  <c r="Q2075" i="31"/>
  <c r="Q1957" i="31"/>
  <c r="S1957" i="31"/>
  <c r="R1957" i="31"/>
  <c r="S1969" i="31"/>
  <c r="R1969" i="31"/>
  <c r="Q1969" i="31"/>
  <c r="R1863" i="31"/>
  <c r="Q1863" i="31"/>
  <c r="S1863" i="31"/>
  <c r="S1846" i="31"/>
  <c r="R1846" i="31"/>
  <c r="Q1846" i="31"/>
  <c r="S1843" i="31"/>
  <c r="R1843" i="31"/>
  <c r="Q1843" i="31"/>
  <c r="S1897" i="31"/>
  <c r="R1897" i="31"/>
  <c r="Q1897" i="31"/>
  <c r="S1802" i="31"/>
  <c r="R1802" i="31"/>
  <c r="Q1802" i="31"/>
  <c r="Q1812" i="31"/>
  <c r="R1812" i="31"/>
  <c r="S1812" i="31"/>
  <c r="R1794" i="31"/>
  <c r="Q1794" i="31"/>
  <c r="S1794" i="31"/>
  <c r="S1651" i="31"/>
  <c r="R1651" i="31"/>
  <c r="Q1651" i="31"/>
  <c r="S1814" i="31"/>
  <c r="R1814" i="31"/>
  <c r="Q1814" i="31"/>
  <c r="S1748" i="31"/>
  <c r="R1748" i="31"/>
  <c r="Q1748" i="31"/>
  <c r="S1652" i="31"/>
  <c r="R1652" i="31"/>
  <c r="Q1652" i="31"/>
  <c r="S1903" i="31"/>
  <c r="R1903" i="31"/>
  <c r="Q1903" i="31"/>
  <c r="S860" i="31"/>
  <c r="R860" i="31"/>
  <c r="Q860" i="31"/>
  <c r="O2553" i="31"/>
  <c r="P913" i="31"/>
  <c r="R731" i="31"/>
  <c r="Q731" i="31"/>
  <c r="S731" i="31"/>
  <c r="S728" i="31"/>
  <c r="R728" i="31"/>
  <c r="Q728" i="31"/>
  <c r="S760" i="31"/>
  <c r="R760" i="31"/>
  <c r="Q760" i="31"/>
  <c r="S736" i="31"/>
  <c r="R736" i="31"/>
  <c r="Q736" i="31"/>
  <c r="S712" i="31"/>
  <c r="R712" i="31"/>
  <c r="Q712" i="31"/>
  <c r="S733" i="31"/>
  <c r="R733" i="31"/>
  <c r="Q733" i="31"/>
  <c r="S722" i="31"/>
  <c r="R722" i="31"/>
  <c r="Q722" i="31"/>
  <c r="R460" i="31"/>
  <c r="Q460" i="31"/>
  <c r="S460" i="31"/>
  <c r="R392" i="31"/>
  <c r="Q392" i="31"/>
  <c r="S392" i="31"/>
  <c r="S391" i="31"/>
  <c r="R391" i="31"/>
  <c r="Q391" i="31"/>
  <c r="S466" i="31"/>
  <c r="R466" i="31"/>
  <c r="Q466" i="31"/>
  <c r="S442" i="31"/>
  <c r="R442" i="31"/>
  <c r="Q442" i="31"/>
  <c r="S534" i="31"/>
  <c r="R534" i="31"/>
  <c r="Q534" i="31"/>
  <c r="Q370" i="31"/>
  <c r="S370" i="31"/>
  <c r="R370" i="31"/>
  <c r="S407" i="31"/>
  <c r="R407" i="31"/>
  <c r="Q407" i="31"/>
  <c r="Q305" i="31"/>
  <c r="S305" i="31"/>
  <c r="R305" i="31"/>
  <c r="R325" i="31"/>
  <c r="Q325" i="31"/>
  <c r="S325" i="31"/>
  <c r="S368" i="31"/>
  <c r="R368" i="31"/>
  <c r="Q368" i="31"/>
  <c r="S278" i="31"/>
  <c r="R278" i="31"/>
  <c r="Q278" i="31"/>
  <c r="S274" i="31"/>
  <c r="R274" i="31"/>
  <c r="Q274" i="31"/>
  <c r="R371" i="31"/>
  <c r="S371" i="31"/>
  <c r="Q371" i="31"/>
  <c r="Q170" i="31"/>
  <c r="S170" i="31"/>
  <c r="R170" i="31"/>
  <c r="S195" i="31"/>
  <c r="R195" i="31"/>
  <c r="Q195" i="31"/>
  <c r="S913" i="32" l="1"/>
  <c r="Q913" i="32"/>
  <c r="R913" i="32"/>
  <c r="R913" i="31"/>
  <c r="Q913" i="31"/>
  <c r="S913" i="31"/>
  <c r="H26" i="19" l="1"/>
  <c r="F413" i="19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7" i="1"/>
  <c r="M787" i="1" s="1"/>
  <c r="N787" i="1" s="1"/>
  <c r="L786" i="1"/>
  <c r="L785" i="1"/>
  <c r="M785" i="1" s="1"/>
  <c r="N785" i="1" s="1"/>
  <c r="L784" i="1"/>
  <c r="L783" i="1"/>
  <c r="L781" i="1"/>
  <c r="L780" i="1"/>
  <c r="L779" i="1"/>
  <c r="L778" i="1"/>
  <c r="L777" i="1"/>
  <c r="L775" i="1"/>
  <c r="L774" i="1"/>
  <c r="L773" i="1"/>
  <c r="L772" i="1"/>
  <c r="L771" i="1"/>
  <c r="L769" i="1"/>
  <c r="L768" i="1"/>
  <c r="L767" i="1"/>
  <c r="L766" i="1"/>
  <c r="L765" i="1"/>
  <c r="L763" i="1"/>
  <c r="L762" i="1"/>
  <c r="L761" i="1"/>
  <c r="L760" i="1"/>
  <c r="L759" i="1"/>
  <c r="L757" i="1"/>
  <c r="L756" i="1"/>
  <c r="L755" i="1"/>
  <c r="L754" i="1"/>
  <c r="L753" i="1"/>
  <c r="L751" i="1"/>
  <c r="L750" i="1"/>
  <c r="L749" i="1"/>
  <c r="L748" i="1"/>
  <c r="L747" i="1"/>
  <c r="L745" i="1"/>
  <c r="L744" i="1"/>
  <c r="L743" i="1"/>
  <c r="L742" i="1"/>
  <c r="L741" i="1"/>
  <c r="L739" i="1"/>
  <c r="L738" i="1"/>
  <c r="L737" i="1"/>
  <c r="L736" i="1"/>
  <c r="L735" i="1"/>
  <c r="L733" i="1"/>
  <c r="L732" i="1"/>
  <c r="L731" i="1"/>
  <c r="L730" i="1"/>
  <c r="L729" i="1"/>
  <c r="L727" i="1"/>
  <c r="L726" i="1"/>
  <c r="L725" i="1"/>
  <c r="L724" i="1"/>
  <c r="L723" i="1"/>
  <c r="L721" i="1"/>
  <c r="L720" i="1"/>
  <c r="L719" i="1"/>
  <c r="L718" i="1"/>
  <c r="L717" i="1"/>
  <c r="L715" i="1"/>
  <c r="L714" i="1"/>
  <c r="L713" i="1"/>
  <c r="L712" i="1"/>
  <c r="L711" i="1"/>
  <c r="L709" i="1"/>
  <c r="L708" i="1"/>
  <c r="L707" i="1"/>
  <c r="L706" i="1"/>
  <c r="L705" i="1"/>
  <c r="L703" i="1"/>
  <c r="L702" i="1"/>
  <c r="L700" i="1"/>
  <c r="L698" i="1"/>
  <c r="L696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2" i="1"/>
  <c r="L501" i="1"/>
  <c r="L500" i="1"/>
  <c r="L499" i="1"/>
  <c r="L498" i="1"/>
  <c r="L496" i="1"/>
  <c r="L495" i="1"/>
  <c r="L494" i="1"/>
  <c r="L493" i="1"/>
  <c r="L492" i="1"/>
  <c r="L490" i="1"/>
  <c r="L489" i="1"/>
  <c r="L488" i="1"/>
  <c r="L487" i="1"/>
  <c r="L486" i="1"/>
  <c r="L484" i="1"/>
  <c r="L483" i="1"/>
  <c r="L482" i="1"/>
  <c r="L481" i="1"/>
  <c r="L480" i="1"/>
  <c r="L478" i="1"/>
  <c r="L477" i="1"/>
  <c r="L476" i="1"/>
  <c r="L475" i="1"/>
  <c r="L474" i="1"/>
  <c r="L472" i="1"/>
  <c r="L471" i="1"/>
  <c r="L470" i="1"/>
  <c r="L469" i="1"/>
  <c r="L468" i="1"/>
  <c r="L466" i="1"/>
  <c r="M466" i="1" s="1"/>
  <c r="N466" i="1" s="1"/>
  <c r="L465" i="1"/>
  <c r="L464" i="1"/>
  <c r="L463" i="1"/>
  <c r="L462" i="1"/>
  <c r="M462" i="1" s="1"/>
  <c r="N462" i="1" s="1"/>
  <c r="L460" i="1"/>
  <c r="M460" i="1" s="1"/>
  <c r="N460" i="1" s="1"/>
  <c r="L459" i="1"/>
  <c r="M459" i="1" s="1"/>
  <c r="L458" i="1"/>
  <c r="M458" i="1" s="1"/>
  <c r="L457" i="1"/>
  <c r="L456" i="1"/>
  <c r="L454" i="1"/>
  <c r="L453" i="1"/>
  <c r="M453" i="1" s="1"/>
  <c r="L452" i="1"/>
  <c r="M452" i="1" s="1"/>
  <c r="N452" i="1" s="1"/>
  <c r="L451" i="1"/>
  <c r="M451" i="1" s="1"/>
  <c r="L450" i="1"/>
  <c r="M450" i="1" s="1"/>
  <c r="L448" i="1"/>
  <c r="L447" i="1"/>
  <c r="M447" i="1" s="1"/>
  <c r="N447" i="1" s="1"/>
  <c r="L446" i="1"/>
  <c r="L445" i="1"/>
  <c r="M445" i="1" s="1"/>
  <c r="N445" i="1" s="1"/>
  <c r="L444" i="1"/>
  <c r="M444" i="1" s="1"/>
  <c r="N444" i="1" s="1"/>
  <c r="L442" i="1"/>
  <c r="L441" i="1"/>
  <c r="L440" i="1"/>
  <c r="L439" i="1"/>
  <c r="L438" i="1"/>
  <c r="L436" i="1"/>
  <c r="L435" i="1"/>
  <c r="L434" i="1"/>
  <c r="L433" i="1"/>
  <c r="L432" i="1"/>
  <c r="L430" i="1"/>
  <c r="L429" i="1"/>
  <c r="L428" i="1"/>
  <c r="L427" i="1"/>
  <c r="L426" i="1"/>
  <c r="L424" i="1"/>
  <c r="L423" i="1"/>
  <c r="L422" i="1"/>
  <c r="L421" i="1"/>
  <c r="L420" i="1"/>
  <c r="L418" i="1"/>
  <c r="L417" i="1"/>
  <c r="L416" i="1"/>
  <c r="L415" i="1"/>
  <c r="M415" i="1" s="1"/>
  <c r="N415" i="1" s="1"/>
  <c r="L414" i="1"/>
  <c r="M414" i="1" s="1"/>
  <c r="N414" i="1" s="1"/>
  <c r="L412" i="1"/>
  <c r="L411" i="1"/>
  <c r="L410" i="1"/>
  <c r="L409" i="1"/>
  <c r="L408" i="1"/>
  <c r="L406" i="1"/>
  <c r="L405" i="1"/>
  <c r="L404" i="1"/>
  <c r="L403" i="1"/>
  <c r="L402" i="1"/>
  <c r="L400" i="1"/>
  <c r="L399" i="1"/>
  <c r="L398" i="1"/>
  <c r="L397" i="1"/>
  <c r="L396" i="1"/>
  <c r="L394" i="1"/>
  <c r="L393" i="1"/>
  <c r="M393" i="1" s="1"/>
  <c r="N393" i="1" s="1"/>
  <c r="L392" i="1"/>
  <c r="L391" i="1"/>
  <c r="M391" i="1" s="1"/>
  <c r="N391" i="1" s="1"/>
  <c r="L390" i="1"/>
  <c r="M390" i="1" s="1"/>
  <c r="N390" i="1" s="1"/>
  <c r="L388" i="1"/>
  <c r="L387" i="1"/>
  <c r="L386" i="1"/>
  <c r="L385" i="1"/>
  <c r="L384" i="1"/>
  <c r="L382" i="1"/>
  <c r="L381" i="1"/>
  <c r="L380" i="1"/>
  <c r="L379" i="1"/>
  <c r="L378" i="1"/>
  <c r="L376" i="1"/>
  <c r="L375" i="1"/>
  <c r="L374" i="1"/>
  <c r="L373" i="1"/>
  <c r="L372" i="1"/>
  <c r="L370" i="1"/>
  <c r="L369" i="1"/>
  <c r="L368" i="1"/>
  <c r="L367" i="1"/>
  <c r="L366" i="1"/>
  <c r="L364" i="1"/>
  <c r="L363" i="1"/>
  <c r="L362" i="1"/>
  <c r="L361" i="1"/>
  <c r="L360" i="1"/>
  <c r="L358" i="1"/>
  <c r="L357" i="1"/>
  <c r="L356" i="1"/>
  <c r="L355" i="1"/>
  <c r="L354" i="1"/>
  <c r="L352" i="1"/>
  <c r="L351" i="1"/>
  <c r="L350" i="1"/>
  <c r="L349" i="1"/>
  <c r="L348" i="1"/>
  <c r="L346" i="1"/>
  <c r="L345" i="1"/>
  <c r="L344" i="1"/>
  <c r="L343" i="1"/>
  <c r="L342" i="1"/>
  <c r="L340" i="1"/>
  <c r="L339" i="1"/>
  <c r="L338" i="1"/>
  <c r="L337" i="1"/>
  <c r="L336" i="1"/>
  <c r="L334" i="1"/>
  <c r="L333" i="1"/>
  <c r="L332" i="1"/>
  <c r="L331" i="1"/>
  <c r="L330" i="1"/>
  <c r="L328" i="1"/>
  <c r="L327" i="1"/>
  <c r="L326" i="1"/>
  <c r="L325" i="1"/>
  <c r="L324" i="1"/>
  <c r="L322" i="1"/>
  <c r="L321" i="1"/>
  <c r="L320" i="1"/>
  <c r="L319" i="1"/>
  <c r="L318" i="1"/>
  <c r="L316" i="1"/>
  <c r="L315" i="1"/>
  <c r="L314" i="1"/>
  <c r="L313" i="1"/>
  <c r="L312" i="1"/>
  <c r="L310" i="1"/>
  <c r="L309" i="1"/>
  <c r="L308" i="1"/>
  <c r="L307" i="1"/>
  <c r="L306" i="1"/>
  <c r="L304" i="1"/>
  <c r="L303" i="1"/>
  <c r="L301" i="1"/>
  <c r="L300" i="1"/>
  <c r="L298" i="1"/>
  <c r="L297" i="1"/>
  <c r="L295" i="1"/>
  <c r="L294" i="1"/>
  <c r="L292" i="1"/>
  <c r="L291" i="1"/>
  <c r="L289" i="1"/>
  <c r="L288" i="1"/>
  <c r="L286" i="1"/>
  <c r="L285" i="1"/>
  <c r="L283" i="1"/>
  <c r="L282" i="1"/>
  <c r="L280" i="1"/>
  <c r="L279" i="1"/>
  <c r="L277" i="1"/>
  <c r="L276" i="1"/>
  <c r="L274" i="1"/>
  <c r="L273" i="1"/>
  <c r="L272" i="1"/>
  <c r="L271" i="1"/>
  <c r="L269" i="1"/>
  <c r="L268" i="1"/>
  <c r="L267" i="1"/>
  <c r="L266" i="1"/>
  <c r="L264" i="1"/>
  <c r="L263" i="1"/>
  <c r="L262" i="1"/>
  <c r="L261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6" i="1"/>
  <c r="L234" i="1"/>
  <c r="L232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F776" i="19"/>
  <c r="D776" i="19"/>
  <c r="C776" i="19"/>
  <c r="B776" i="19"/>
  <c r="D775" i="19"/>
  <c r="C775" i="19"/>
  <c r="B775" i="19"/>
  <c r="F774" i="19"/>
  <c r="D774" i="19"/>
  <c r="C774" i="19"/>
  <c r="B774" i="19"/>
  <c r="F773" i="19"/>
  <c r="D773" i="19"/>
  <c r="C773" i="19"/>
  <c r="B773" i="19"/>
  <c r="F772" i="19"/>
  <c r="D772" i="19"/>
  <c r="C772" i="19"/>
  <c r="B772" i="19"/>
  <c r="F771" i="19"/>
  <c r="E771" i="19"/>
  <c r="D771" i="19"/>
  <c r="C771" i="19"/>
  <c r="B771" i="19"/>
  <c r="F770" i="19"/>
  <c r="D770" i="19"/>
  <c r="C770" i="19"/>
  <c r="B770" i="19"/>
  <c r="D769" i="19"/>
  <c r="C769" i="19"/>
  <c r="B769" i="19"/>
  <c r="F768" i="19"/>
  <c r="D768" i="19"/>
  <c r="C768" i="19"/>
  <c r="B768" i="19"/>
  <c r="F767" i="19"/>
  <c r="D767" i="19"/>
  <c r="C767" i="19"/>
  <c r="B767" i="19"/>
  <c r="F766" i="19"/>
  <c r="D766" i="19"/>
  <c r="C766" i="19"/>
  <c r="B766" i="19"/>
  <c r="F765" i="19"/>
  <c r="E765" i="19"/>
  <c r="D765" i="19"/>
  <c r="C765" i="19"/>
  <c r="B765" i="19"/>
  <c r="F788" i="19"/>
  <c r="D788" i="19"/>
  <c r="C788" i="19"/>
  <c r="B788" i="19"/>
  <c r="D787" i="19"/>
  <c r="C787" i="19"/>
  <c r="B787" i="19"/>
  <c r="D786" i="19"/>
  <c r="C786" i="19"/>
  <c r="B786" i="19"/>
  <c r="D785" i="19"/>
  <c r="C785" i="19"/>
  <c r="B785" i="19"/>
  <c r="D784" i="19"/>
  <c r="C784" i="19"/>
  <c r="B784" i="19"/>
  <c r="E783" i="19"/>
  <c r="C783" i="19"/>
  <c r="B783" i="19"/>
  <c r="F782" i="19"/>
  <c r="D782" i="19"/>
  <c r="C782" i="19"/>
  <c r="B782" i="19"/>
  <c r="D781" i="19"/>
  <c r="C781" i="19"/>
  <c r="B781" i="19"/>
  <c r="D780" i="19"/>
  <c r="C780" i="19"/>
  <c r="B780" i="19"/>
  <c r="D779" i="19"/>
  <c r="C779" i="19"/>
  <c r="B779" i="19"/>
  <c r="D778" i="19"/>
  <c r="C778" i="19"/>
  <c r="B778" i="19"/>
  <c r="E777" i="19"/>
  <c r="C777" i="19"/>
  <c r="B777" i="19"/>
  <c r="D783" i="1"/>
  <c r="D777" i="1"/>
  <c r="N787" i="19"/>
  <c r="M787" i="19"/>
  <c r="J787" i="19"/>
  <c r="I787" i="19"/>
  <c r="N786" i="19"/>
  <c r="M786" i="19"/>
  <c r="J786" i="19"/>
  <c r="I786" i="19"/>
  <c r="N785" i="19"/>
  <c r="M785" i="19"/>
  <c r="J785" i="19"/>
  <c r="I785" i="19"/>
  <c r="N784" i="19"/>
  <c r="M784" i="19"/>
  <c r="J784" i="19"/>
  <c r="I784" i="19"/>
  <c r="N783" i="19"/>
  <c r="P785" i="19" s="1"/>
  <c r="M783" i="19"/>
  <c r="E788" i="1"/>
  <c r="E787" i="1"/>
  <c r="H786" i="19"/>
  <c r="E786" i="1"/>
  <c r="E785" i="1"/>
  <c r="E784" i="1"/>
  <c r="F491" i="19"/>
  <c r="D491" i="19"/>
  <c r="C491" i="19"/>
  <c r="B491" i="19"/>
  <c r="D490" i="19"/>
  <c r="C490" i="19"/>
  <c r="B490" i="19"/>
  <c r="D489" i="19"/>
  <c r="C489" i="19"/>
  <c r="B489" i="19"/>
  <c r="D488" i="19"/>
  <c r="C488" i="19"/>
  <c r="B488" i="19"/>
  <c r="D487" i="19"/>
  <c r="C487" i="19"/>
  <c r="B487" i="19"/>
  <c r="E486" i="19"/>
  <c r="C486" i="19"/>
  <c r="B486" i="19"/>
  <c r="D486" i="1"/>
  <c r="D462" i="1"/>
  <c r="F467" i="19"/>
  <c r="D467" i="19"/>
  <c r="C467" i="19"/>
  <c r="B467" i="19"/>
  <c r="N466" i="19"/>
  <c r="M466" i="19"/>
  <c r="J466" i="19"/>
  <c r="I466" i="19"/>
  <c r="D466" i="19"/>
  <c r="C466" i="19"/>
  <c r="B466" i="19"/>
  <c r="N465" i="19"/>
  <c r="M465" i="19"/>
  <c r="J465" i="19"/>
  <c r="I465" i="19"/>
  <c r="D465" i="19"/>
  <c r="C465" i="19"/>
  <c r="B465" i="19"/>
  <c r="N464" i="19"/>
  <c r="M464" i="19"/>
  <c r="J464" i="19"/>
  <c r="I464" i="19"/>
  <c r="D464" i="19"/>
  <c r="C464" i="19"/>
  <c r="B464" i="19"/>
  <c r="N463" i="19"/>
  <c r="M463" i="19"/>
  <c r="J463" i="19"/>
  <c r="I463" i="19"/>
  <c r="D463" i="19"/>
  <c r="C463" i="19"/>
  <c r="B463" i="19"/>
  <c r="N462" i="19"/>
  <c r="P467" i="19" s="1"/>
  <c r="M462" i="19"/>
  <c r="E462" i="19"/>
  <c r="C462" i="19"/>
  <c r="B462" i="19"/>
  <c r="E467" i="1"/>
  <c r="H466" i="19"/>
  <c r="E466" i="1"/>
  <c r="E465" i="1"/>
  <c r="H464" i="19"/>
  <c r="E464" i="1"/>
  <c r="E463" i="1"/>
  <c r="D456" i="1"/>
  <c r="D450" i="1"/>
  <c r="F461" i="19"/>
  <c r="D461" i="19"/>
  <c r="C461" i="19"/>
  <c r="B461" i="19"/>
  <c r="N460" i="19"/>
  <c r="M460" i="19"/>
  <c r="J460" i="19"/>
  <c r="I460" i="19"/>
  <c r="D460" i="19"/>
  <c r="C460" i="19"/>
  <c r="B460" i="19"/>
  <c r="N459" i="19"/>
  <c r="M459" i="19"/>
  <c r="J459" i="19"/>
  <c r="I459" i="19"/>
  <c r="D459" i="19"/>
  <c r="C459" i="19"/>
  <c r="B459" i="19"/>
  <c r="N458" i="19"/>
  <c r="M458" i="19"/>
  <c r="J458" i="19"/>
  <c r="I458" i="19"/>
  <c r="D458" i="19"/>
  <c r="C458" i="19"/>
  <c r="B458" i="19"/>
  <c r="N457" i="19"/>
  <c r="M457" i="19"/>
  <c r="J457" i="19"/>
  <c r="I457" i="19"/>
  <c r="D457" i="19"/>
  <c r="C457" i="19"/>
  <c r="B457" i="19"/>
  <c r="N456" i="19"/>
  <c r="P460" i="19" s="1"/>
  <c r="M456" i="19"/>
  <c r="E456" i="19"/>
  <c r="C456" i="19"/>
  <c r="B456" i="19"/>
  <c r="F455" i="19"/>
  <c r="D455" i="19"/>
  <c r="C455" i="19"/>
  <c r="B455" i="19"/>
  <c r="N454" i="19"/>
  <c r="M454" i="19"/>
  <c r="J454" i="19"/>
  <c r="I454" i="19"/>
  <c r="D454" i="19"/>
  <c r="C454" i="19"/>
  <c r="B454" i="19"/>
  <c r="N453" i="19"/>
  <c r="M453" i="19"/>
  <c r="J453" i="19"/>
  <c r="I453" i="19"/>
  <c r="D453" i="19"/>
  <c r="C453" i="19"/>
  <c r="B453" i="19"/>
  <c r="N452" i="19"/>
  <c r="M452" i="19"/>
  <c r="J452" i="19"/>
  <c r="I452" i="19"/>
  <c r="D452" i="19"/>
  <c r="C452" i="19"/>
  <c r="B452" i="19"/>
  <c r="N451" i="19"/>
  <c r="M451" i="19"/>
  <c r="J451" i="19"/>
  <c r="I451" i="19"/>
  <c r="D451" i="19"/>
  <c r="C451" i="19"/>
  <c r="B451" i="19"/>
  <c r="N450" i="19"/>
  <c r="P452" i="19" s="1"/>
  <c r="M450" i="19"/>
  <c r="E450" i="19"/>
  <c r="C450" i="19"/>
  <c r="B450" i="19"/>
  <c r="E461" i="1"/>
  <c r="E460" i="1"/>
  <c r="H459" i="19"/>
  <c r="E459" i="1"/>
  <c r="H458" i="19"/>
  <c r="E458" i="1"/>
  <c r="E457" i="1"/>
  <c r="E455" i="1"/>
  <c r="H454" i="19"/>
  <c r="E454" i="1"/>
  <c r="H453" i="19"/>
  <c r="E453" i="1"/>
  <c r="E452" i="1"/>
  <c r="E451" i="1"/>
  <c r="F449" i="19"/>
  <c r="D449" i="19"/>
  <c r="D448" i="19"/>
  <c r="D447" i="19"/>
  <c r="D446" i="19"/>
  <c r="D445" i="19"/>
  <c r="E444" i="19"/>
  <c r="D444" i="1"/>
  <c r="C449" i="19"/>
  <c r="B449" i="19"/>
  <c r="N448" i="19"/>
  <c r="M448" i="19"/>
  <c r="J448" i="19"/>
  <c r="I448" i="19"/>
  <c r="C448" i="19"/>
  <c r="B448" i="19"/>
  <c r="N447" i="19"/>
  <c r="M447" i="19"/>
  <c r="J447" i="19"/>
  <c r="I447" i="19"/>
  <c r="C447" i="19"/>
  <c r="B447" i="19"/>
  <c r="N446" i="19"/>
  <c r="M446" i="19"/>
  <c r="J446" i="19"/>
  <c r="I446" i="19"/>
  <c r="C446" i="19"/>
  <c r="B446" i="19"/>
  <c r="N445" i="19"/>
  <c r="M445" i="19"/>
  <c r="J445" i="19"/>
  <c r="I445" i="19"/>
  <c r="C445" i="19"/>
  <c r="B445" i="19"/>
  <c r="N444" i="19"/>
  <c r="P445" i="19" s="1"/>
  <c r="M444" i="19"/>
  <c r="C444" i="19"/>
  <c r="B444" i="19"/>
  <c r="E449" i="1"/>
  <c r="E448" i="1"/>
  <c r="E447" i="1"/>
  <c r="E446" i="1"/>
  <c r="E445" i="1"/>
  <c r="D443" i="19"/>
  <c r="C443" i="19"/>
  <c r="B443" i="19"/>
  <c r="D442" i="19"/>
  <c r="C442" i="19"/>
  <c r="B442" i="19"/>
  <c r="D441" i="19"/>
  <c r="C441" i="19"/>
  <c r="B441" i="19"/>
  <c r="D440" i="19"/>
  <c r="C440" i="19"/>
  <c r="B440" i="19"/>
  <c r="D439" i="19"/>
  <c r="C439" i="19"/>
  <c r="B439" i="19"/>
  <c r="C438" i="19"/>
  <c r="B438" i="19"/>
  <c r="D437" i="19"/>
  <c r="C437" i="19"/>
  <c r="B437" i="19"/>
  <c r="D436" i="19"/>
  <c r="C436" i="19"/>
  <c r="B436" i="19"/>
  <c r="D435" i="19"/>
  <c r="C435" i="19"/>
  <c r="B435" i="19"/>
  <c r="D434" i="19"/>
  <c r="C434" i="19"/>
  <c r="B434" i="19"/>
  <c r="D433" i="19"/>
  <c r="C433" i="19"/>
  <c r="B433" i="19"/>
  <c r="D432" i="19"/>
  <c r="C432" i="19"/>
  <c r="B432" i="19"/>
  <c r="D431" i="19"/>
  <c r="C431" i="19"/>
  <c r="B431" i="19"/>
  <c r="D430" i="19"/>
  <c r="C430" i="19"/>
  <c r="B430" i="19"/>
  <c r="D429" i="19"/>
  <c r="C429" i="19"/>
  <c r="B429" i="19"/>
  <c r="D428" i="19"/>
  <c r="C428" i="19"/>
  <c r="B428" i="19"/>
  <c r="D427" i="19"/>
  <c r="C427" i="19"/>
  <c r="B427" i="19"/>
  <c r="D426" i="19"/>
  <c r="C426" i="19"/>
  <c r="B426" i="19"/>
  <c r="D425" i="19"/>
  <c r="C425" i="19"/>
  <c r="B425" i="19"/>
  <c r="D424" i="19"/>
  <c r="C424" i="19"/>
  <c r="B424" i="19"/>
  <c r="D423" i="19"/>
  <c r="C423" i="19"/>
  <c r="B423" i="19"/>
  <c r="D422" i="19"/>
  <c r="C422" i="19"/>
  <c r="B422" i="19"/>
  <c r="D421" i="19"/>
  <c r="C421" i="19"/>
  <c r="B421" i="19"/>
  <c r="D420" i="19"/>
  <c r="C420" i="19"/>
  <c r="B420" i="19"/>
  <c r="D419" i="19"/>
  <c r="C419" i="19"/>
  <c r="B419" i="19"/>
  <c r="D418" i="19"/>
  <c r="C418" i="19"/>
  <c r="B418" i="19"/>
  <c r="D417" i="19"/>
  <c r="C417" i="19"/>
  <c r="B417" i="19"/>
  <c r="D416" i="19"/>
  <c r="C416" i="19"/>
  <c r="B416" i="19"/>
  <c r="D415" i="19"/>
  <c r="C415" i="19"/>
  <c r="B415" i="19"/>
  <c r="C414" i="19"/>
  <c r="B414" i="19"/>
  <c r="E426" i="19"/>
  <c r="F426" i="19"/>
  <c r="F427" i="19"/>
  <c r="F428" i="19"/>
  <c r="F429" i="19"/>
  <c r="F431" i="19"/>
  <c r="F425" i="19"/>
  <c r="F422" i="19"/>
  <c r="F421" i="19"/>
  <c r="F420" i="19"/>
  <c r="E420" i="19"/>
  <c r="D438" i="1"/>
  <c r="D414" i="1"/>
  <c r="F419" i="19"/>
  <c r="N418" i="19"/>
  <c r="M418" i="19"/>
  <c r="J418" i="19"/>
  <c r="I418" i="19"/>
  <c r="N417" i="19"/>
  <c r="M417" i="19"/>
  <c r="J417" i="19"/>
  <c r="I417" i="19"/>
  <c r="N416" i="19"/>
  <c r="M416" i="19"/>
  <c r="J416" i="19"/>
  <c r="I416" i="19"/>
  <c r="N415" i="19"/>
  <c r="M415" i="19"/>
  <c r="J415" i="19"/>
  <c r="I415" i="19"/>
  <c r="N414" i="19"/>
  <c r="P415" i="19" s="1"/>
  <c r="M414" i="19"/>
  <c r="E414" i="19"/>
  <c r="E419" i="1"/>
  <c r="E418" i="1"/>
  <c r="E417" i="1"/>
  <c r="E416" i="1"/>
  <c r="E415" i="1"/>
  <c r="D413" i="19"/>
  <c r="C413" i="19"/>
  <c r="B413" i="19"/>
  <c r="D412" i="19"/>
  <c r="C412" i="19"/>
  <c r="B412" i="19"/>
  <c r="D411" i="19"/>
  <c r="C411" i="19"/>
  <c r="B411" i="19"/>
  <c r="D410" i="19"/>
  <c r="C410" i="19"/>
  <c r="B410" i="19"/>
  <c r="D409" i="19"/>
  <c r="C409" i="19"/>
  <c r="B409" i="19"/>
  <c r="C408" i="19"/>
  <c r="B408" i="19"/>
  <c r="D408" i="1"/>
  <c r="D390" i="1"/>
  <c r="D384" i="1"/>
  <c r="F395" i="19"/>
  <c r="D395" i="19"/>
  <c r="C395" i="19"/>
  <c r="B395" i="19"/>
  <c r="N394" i="19"/>
  <c r="M394" i="19"/>
  <c r="J394" i="19"/>
  <c r="I394" i="19"/>
  <c r="D394" i="19"/>
  <c r="C394" i="19"/>
  <c r="B394" i="19"/>
  <c r="N393" i="19"/>
  <c r="M393" i="19"/>
  <c r="J393" i="19"/>
  <c r="I393" i="19"/>
  <c r="D393" i="19"/>
  <c r="C393" i="19"/>
  <c r="B393" i="19"/>
  <c r="N392" i="19"/>
  <c r="M392" i="19"/>
  <c r="J392" i="19"/>
  <c r="I392" i="19"/>
  <c r="D392" i="19"/>
  <c r="C392" i="19"/>
  <c r="B392" i="19"/>
  <c r="N391" i="19"/>
  <c r="M391" i="19"/>
  <c r="J391" i="19"/>
  <c r="I391" i="19"/>
  <c r="D391" i="19"/>
  <c r="C391" i="19"/>
  <c r="B391" i="19"/>
  <c r="N390" i="19"/>
  <c r="P391" i="19" s="1"/>
  <c r="M390" i="19"/>
  <c r="E390" i="19"/>
  <c r="C390" i="19"/>
  <c r="B390" i="19"/>
  <c r="E395" i="1"/>
  <c r="E394" i="1"/>
  <c r="E393" i="1"/>
  <c r="E392" i="1"/>
  <c r="E391" i="1"/>
  <c r="F389" i="19"/>
  <c r="D389" i="19"/>
  <c r="C389" i="19"/>
  <c r="B389" i="19"/>
  <c r="D388" i="19"/>
  <c r="C388" i="19"/>
  <c r="B388" i="19"/>
  <c r="D387" i="19"/>
  <c r="C387" i="19"/>
  <c r="B387" i="19"/>
  <c r="D386" i="19"/>
  <c r="C386" i="19"/>
  <c r="B386" i="19"/>
  <c r="D385" i="19"/>
  <c r="C385" i="19"/>
  <c r="B385" i="19"/>
  <c r="E384" i="19"/>
  <c r="E378" i="19"/>
  <c r="C384" i="19"/>
  <c r="B384" i="19"/>
  <c r="F384" i="1"/>
  <c r="E454" i="32" l="1"/>
  <c r="E454" i="31"/>
  <c r="E461" i="32"/>
  <c r="E461" i="31"/>
  <c r="E466" i="32"/>
  <c r="E466" i="31"/>
  <c r="D390" i="32"/>
  <c r="D390" i="31"/>
  <c r="E395" i="32"/>
  <c r="E395" i="31"/>
  <c r="E465" i="32"/>
  <c r="E465" i="31"/>
  <c r="E786" i="32"/>
  <c r="E786" i="31"/>
  <c r="E787" i="32"/>
  <c r="E787" i="31"/>
  <c r="D414" i="32"/>
  <c r="D414" i="31"/>
  <c r="E451" i="32"/>
  <c r="E451" i="31"/>
  <c r="E467" i="32"/>
  <c r="E467" i="31"/>
  <c r="E788" i="32"/>
  <c r="E788" i="31"/>
  <c r="D438" i="32"/>
  <c r="D438" i="31"/>
  <c r="E452" i="32"/>
  <c r="E452" i="31"/>
  <c r="E453" i="32"/>
  <c r="E453" i="31"/>
  <c r="D777" i="32"/>
  <c r="D777" i="31"/>
  <c r="D783" i="32"/>
  <c r="D783" i="31"/>
  <c r="D408" i="32"/>
  <c r="D408" i="31"/>
  <c r="E445" i="32"/>
  <c r="E445" i="31"/>
  <c r="D462" i="32"/>
  <c r="D462" i="31"/>
  <c r="D486" i="32"/>
  <c r="D486" i="31"/>
  <c r="D384" i="32"/>
  <c r="D384" i="31"/>
  <c r="E446" i="32"/>
  <c r="E446" i="31"/>
  <c r="E447" i="32"/>
  <c r="E447" i="31"/>
  <c r="E448" i="32"/>
  <c r="E448" i="31"/>
  <c r="D456" i="32"/>
  <c r="D456" i="31"/>
  <c r="E455" i="32"/>
  <c r="E455" i="31"/>
  <c r="E415" i="32"/>
  <c r="E415" i="31"/>
  <c r="E457" i="32"/>
  <c r="E457" i="31"/>
  <c r="E416" i="32"/>
  <c r="E416" i="31"/>
  <c r="E458" i="32"/>
  <c r="E458" i="31"/>
  <c r="E417" i="32"/>
  <c r="E417" i="31"/>
  <c r="E449" i="31"/>
  <c r="E449" i="32"/>
  <c r="E392" i="32"/>
  <c r="E392" i="31"/>
  <c r="E418" i="32"/>
  <c r="E418" i="31"/>
  <c r="E459" i="32"/>
  <c r="E459" i="31"/>
  <c r="E463" i="32"/>
  <c r="E463" i="31"/>
  <c r="D450" i="32"/>
  <c r="D450" i="31"/>
  <c r="E391" i="32"/>
  <c r="E391" i="31"/>
  <c r="E464" i="32"/>
  <c r="E464" i="31"/>
  <c r="E784" i="32"/>
  <c r="E784" i="31"/>
  <c r="D444" i="31"/>
  <c r="D444" i="32"/>
  <c r="E393" i="32"/>
  <c r="E393" i="31"/>
  <c r="E419" i="32"/>
  <c r="E419" i="31"/>
  <c r="E394" i="32"/>
  <c r="E394" i="31"/>
  <c r="E460" i="31"/>
  <c r="E460" i="32"/>
  <c r="E785" i="31"/>
  <c r="E785" i="32"/>
  <c r="F384" i="32"/>
  <c r="L389" i="32" s="1"/>
  <c r="F384" i="31"/>
  <c r="L389" i="31" s="1"/>
  <c r="E786" i="19"/>
  <c r="D462" i="19"/>
  <c r="E465" i="19"/>
  <c r="D783" i="19"/>
  <c r="D444" i="19"/>
  <c r="D456" i="19"/>
  <c r="E449" i="19"/>
  <c r="E788" i="19"/>
  <c r="V392" i="1"/>
  <c r="V466" i="1"/>
  <c r="W466" i="1" s="1"/>
  <c r="V465" i="1"/>
  <c r="V453" i="1"/>
  <c r="D777" i="19"/>
  <c r="V416" i="1"/>
  <c r="V418" i="1"/>
  <c r="V447" i="1"/>
  <c r="W447" i="1" s="1"/>
  <c r="V448" i="1"/>
  <c r="V452" i="1"/>
  <c r="W452" i="1" s="1"/>
  <c r="V451" i="1"/>
  <c r="V394" i="1"/>
  <c r="V786" i="1"/>
  <c r="V393" i="1"/>
  <c r="W393" i="1" s="1"/>
  <c r="V460" i="1"/>
  <c r="W460" i="1" s="1"/>
  <c r="V415" i="1"/>
  <c r="W415" i="1" s="1"/>
  <c r="V417" i="1"/>
  <c r="V446" i="1"/>
  <c r="V459" i="1"/>
  <c r="V464" i="1"/>
  <c r="V391" i="1"/>
  <c r="W391" i="1" s="1"/>
  <c r="V456" i="1"/>
  <c r="V458" i="1"/>
  <c r="V463" i="1"/>
  <c r="V445" i="1"/>
  <c r="W445" i="1" s="1"/>
  <c r="V454" i="1"/>
  <c r="V787" i="1"/>
  <c r="W787" i="1" s="1"/>
  <c r="V457" i="1"/>
  <c r="D486" i="19"/>
  <c r="E785" i="19"/>
  <c r="V390" i="1"/>
  <c r="W390" i="1" s="1"/>
  <c r="V414" i="1"/>
  <c r="W414" i="1" s="1"/>
  <c r="V783" i="1"/>
  <c r="V784" i="1"/>
  <c r="V450" i="1"/>
  <c r="E787" i="19"/>
  <c r="E784" i="19"/>
  <c r="V444" i="1"/>
  <c r="W444" i="1" s="1"/>
  <c r="V462" i="1"/>
  <c r="W462" i="1" s="1"/>
  <c r="V785" i="1"/>
  <c r="W785" i="1" s="1"/>
  <c r="R783" i="19"/>
  <c r="P786" i="19"/>
  <c r="S786" i="19" s="1"/>
  <c r="Q783" i="19"/>
  <c r="P784" i="19"/>
  <c r="S784" i="19" s="1"/>
  <c r="Q785" i="19"/>
  <c r="R785" i="19"/>
  <c r="S785" i="19"/>
  <c r="M786" i="1"/>
  <c r="N786" i="1" s="1"/>
  <c r="G788" i="1"/>
  <c r="H785" i="19"/>
  <c r="P788" i="19"/>
  <c r="P787" i="19"/>
  <c r="H784" i="19"/>
  <c r="M783" i="1"/>
  <c r="N783" i="1" s="1"/>
  <c r="M784" i="1"/>
  <c r="N784" i="1" s="1"/>
  <c r="S783" i="19"/>
  <c r="H787" i="19"/>
  <c r="S460" i="19"/>
  <c r="M463" i="1"/>
  <c r="N463" i="1" s="1"/>
  <c r="N451" i="1"/>
  <c r="N458" i="1"/>
  <c r="E445" i="19"/>
  <c r="H448" i="19"/>
  <c r="H467" i="19"/>
  <c r="P464" i="1"/>
  <c r="P465" i="1"/>
  <c r="Q462" i="1"/>
  <c r="P466" i="1"/>
  <c r="S462" i="1"/>
  <c r="P467" i="1"/>
  <c r="R462" i="1"/>
  <c r="P463" i="1"/>
  <c r="M465" i="1"/>
  <c r="N465" i="1" s="1"/>
  <c r="G467" i="1"/>
  <c r="Q462" i="19"/>
  <c r="E463" i="19"/>
  <c r="P463" i="19"/>
  <c r="S452" i="19"/>
  <c r="R462" i="19"/>
  <c r="E464" i="19"/>
  <c r="P464" i="19"/>
  <c r="M464" i="1"/>
  <c r="N464" i="1" s="1"/>
  <c r="S462" i="19"/>
  <c r="P465" i="19"/>
  <c r="E419" i="19"/>
  <c r="E447" i="19"/>
  <c r="H463" i="19"/>
  <c r="E466" i="19"/>
  <c r="P466" i="19"/>
  <c r="E454" i="19"/>
  <c r="E467" i="19"/>
  <c r="E458" i="19"/>
  <c r="H465" i="19"/>
  <c r="P457" i="19"/>
  <c r="S457" i="19" s="1"/>
  <c r="R460" i="19"/>
  <c r="P461" i="19"/>
  <c r="Q456" i="19"/>
  <c r="P454" i="19"/>
  <c r="Q454" i="19" s="1"/>
  <c r="S450" i="19"/>
  <c r="P453" i="19"/>
  <c r="S453" i="19" s="1"/>
  <c r="P455" i="19"/>
  <c r="Q452" i="19"/>
  <c r="E459" i="19"/>
  <c r="R452" i="19"/>
  <c r="D408" i="19"/>
  <c r="H452" i="19"/>
  <c r="Q460" i="19"/>
  <c r="D414" i="19"/>
  <c r="E455" i="19"/>
  <c r="E457" i="19"/>
  <c r="E460" i="19"/>
  <c r="M417" i="1"/>
  <c r="N417" i="1" s="1"/>
  <c r="G419" i="1"/>
  <c r="E448" i="19"/>
  <c r="N450" i="1"/>
  <c r="E451" i="19"/>
  <c r="M454" i="1"/>
  <c r="N454" i="1" s="1"/>
  <c r="G455" i="1"/>
  <c r="M456" i="1"/>
  <c r="N456" i="1" s="1"/>
  <c r="H447" i="19"/>
  <c r="D450" i="19"/>
  <c r="N459" i="1"/>
  <c r="E446" i="19"/>
  <c r="H457" i="19"/>
  <c r="G461" i="1"/>
  <c r="D438" i="19"/>
  <c r="E452" i="19"/>
  <c r="N453" i="1"/>
  <c r="M457" i="1"/>
  <c r="N457" i="1" s="1"/>
  <c r="H461" i="19"/>
  <c r="H451" i="19"/>
  <c r="E453" i="19"/>
  <c r="E461" i="19"/>
  <c r="H460" i="19"/>
  <c r="R456" i="19"/>
  <c r="P458" i="19"/>
  <c r="Q450" i="19"/>
  <c r="P451" i="19"/>
  <c r="S456" i="19"/>
  <c r="P459" i="19"/>
  <c r="R450" i="19"/>
  <c r="R444" i="19"/>
  <c r="P446" i="19"/>
  <c r="S446" i="19" s="1"/>
  <c r="Q445" i="19"/>
  <c r="S445" i="19"/>
  <c r="R445" i="19"/>
  <c r="P446" i="1"/>
  <c r="P447" i="1"/>
  <c r="P448" i="1"/>
  <c r="S444" i="1"/>
  <c r="P449" i="1"/>
  <c r="R444" i="1"/>
  <c r="P445" i="1"/>
  <c r="Q444" i="1"/>
  <c r="M448" i="1"/>
  <c r="N448" i="1" s="1"/>
  <c r="S444" i="19"/>
  <c r="P447" i="19"/>
  <c r="H445" i="19"/>
  <c r="P448" i="19"/>
  <c r="E417" i="19"/>
  <c r="G449" i="1"/>
  <c r="H446" i="19"/>
  <c r="P449" i="19"/>
  <c r="H393" i="19"/>
  <c r="H394" i="19"/>
  <c r="M446" i="1"/>
  <c r="N446" i="1" s="1"/>
  <c r="Q444" i="19"/>
  <c r="P417" i="19"/>
  <c r="S417" i="19" s="1"/>
  <c r="R414" i="19"/>
  <c r="P419" i="19"/>
  <c r="P416" i="19"/>
  <c r="S416" i="19" s="1"/>
  <c r="S414" i="19"/>
  <c r="P416" i="1"/>
  <c r="P417" i="1"/>
  <c r="P418" i="1"/>
  <c r="S414" i="1"/>
  <c r="P419" i="1"/>
  <c r="R414" i="1"/>
  <c r="P415" i="1"/>
  <c r="Q414" i="1"/>
  <c r="S415" i="19"/>
  <c r="R415" i="19"/>
  <c r="Q415" i="19"/>
  <c r="E416" i="19"/>
  <c r="M418" i="1"/>
  <c r="N418" i="1" s="1"/>
  <c r="D390" i="19"/>
  <c r="H415" i="19"/>
  <c r="E418" i="19"/>
  <c r="P418" i="19"/>
  <c r="H416" i="19"/>
  <c r="D384" i="19"/>
  <c r="H417" i="19"/>
  <c r="M416" i="1"/>
  <c r="N416" i="1" s="1"/>
  <c r="H418" i="19"/>
  <c r="Q414" i="19"/>
  <c r="E415" i="19"/>
  <c r="R390" i="19"/>
  <c r="P395" i="19"/>
  <c r="P392" i="19"/>
  <c r="S392" i="19" s="1"/>
  <c r="P394" i="19"/>
  <c r="P392" i="1"/>
  <c r="P393" i="1"/>
  <c r="P394" i="1"/>
  <c r="S390" i="1"/>
  <c r="P395" i="1"/>
  <c r="R390" i="1"/>
  <c r="P391" i="1"/>
  <c r="Q390" i="1"/>
  <c r="Q391" i="19"/>
  <c r="S391" i="19"/>
  <c r="R391" i="19"/>
  <c r="E392" i="19"/>
  <c r="M394" i="1"/>
  <c r="N394" i="1" s="1"/>
  <c r="S390" i="19"/>
  <c r="E393" i="19"/>
  <c r="P393" i="19"/>
  <c r="H391" i="19"/>
  <c r="E394" i="19"/>
  <c r="G395" i="1"/>
  <c r="H392" i="19"/>
  <c r="E395" i="19"/>
  <c r="F384" i="19"/>
  <c r="M392" i="1"/>
  <c r="N392" i="1" s="1"/>
  <c r="Q390" i="19"/>
  <c r="E391" i="19"/>
  <c r="M389" i="32" l="1"/>
  <c r="N389" i="32" s="1"/>
  <c r="M389" i="31"/>
  <c r="N389" i="31" s="1"/>
  <c r="G449" i="32"/>
  <c r="G449" i="31"/>
  <c r="G461" i="32"/>
  <c r="G461" i="31"/>
  <c r="G467" i="32"/>
  <c r="G467" i="31"/>
  <c r="G419" i="32"/>
  <c r="G419" i="31"/>
  <c r="G788" i="32"/>
  <c r="G788" i="31"/>
  <c r="G395" i="32"/>
  <c r="G395" i="31"/>
  <c r="G455" i="32"/>
  <c r="G455" i="31"/>
  <c r="T444" i="32"/>
  <c r="Y787" i="32"/>
  <c r="T462" i="32"/>
  <c r="Y390" i="32"/>
  <c r="Y445" i="32"/>
  <c r="Y415" i="32"/>
  <c r="Y447" i="32"/>
  <c r="T390" i="32"/>
  <c r="T414" i="32"/>
  <c r="Y460" i="32"/>
  <c r="Y414" i="32"/>
  <c r="Y785" i="32"/>
  <c r="Y393" i="32"/>
  <c r="Y466" i="32"/>
  <c r="Y462" i="32"/>
  <c r="Y391" i="32"/>
  <c r="Y452" i="32"/>
  <c r="Y444" i="32"/>
  <c r="Y414" i="31"/>
  <c r="Y452" i="31"/>
  <c r="Y466" i="31"/>
  <c r="T444" i="31"/>
  <c r="T462" i="31"/>
  <c r="Y390" i="31"/>
  <c r="Y445" i="31"/>
  <c r="Y415" i="31"/>
  <c r="Y447" i="31"/>
  <c r="T414" i="31"/>
  <c r="Y460" i="31"/>
  <c r="T390" i="31"/>
  <c r="Y785" i="31"/>
  <c r="Y393" i="31"/>
  <c r="Y787" i="31"/>
  <c r="Y462" i="31"/>
  <c r="Y391" i="31"/>
  <c r="Y444" i="31"/>
  <c r="W454" i="1"/>
  <c r="W394" i="1"/>
  <c r="Q453" i="19"/>
  <c r="W448" i="1"/>
  <c r="W465" i="1"/>
  <c r="W463" i="1"/>
  <c r="W416" i="1"/>
  <c r="W418" i="1"/>
  <c r="W450" i="1"/>
  <c r="W459" i="1"/>
  <c r="W458" i="1"/>
  <c r="W457" i="1"/>
  <c r="W392" i="1"/>
  <c r="W446" i="1"/>
  <c r="W417" i="1"/>
  <c r="W786" i="1"/>
  <c r="W464" i="1"/>
  <c r="W783" i="1"/>
  <c r="W456" i="1"/>
  <c r="W451" i="1"/>
  <c r="W453" i="1"/>
  <c r="R453" i="19"/>
  <c r="W784" i="1"/>
  <c r="R786" i="19"/>
  <c r="Q784" i="19"/>
  <c r="R784" i="19"/>
  <c r="H450" i="19"/>
  <c r="Q786" i="19"/>
  <c r="P784" i="1"/>
  <c r="Q783" i="1"/>
  <c r="P785" i="1"/>
  <c r="R783" i="1"/>
  <c r="P786" i="1"/>
  <c r="P788" i="1"/>
  <c r="P787" i="1"/>
  <c r="S783" i="1"/>
  <c r="H783" i="19"/>
  <c r="S787" i="19"/>
  <c r="R787" i="19"/>
  <c r="Q787" i="19"/>
  <c r="Q457" i="19"/>
  <c r="G788" i="19"/>
  <c r="H788" i="19"/>
  <c r="Q417" i="19"/>
  <c r="Q446" i="19"/>
  <c r="R457" i="19"/>
  <c r="R454" i="19"/>
  <c r="S454" i="19"/>
  <c r="Y462" i="19"/>
  <c r="R466" i="19"/>
  <c r="Q466" i="19"/>
  <c r="S466" i="19"/>
  <c r="S465" i="19"/>
  <c r="R465" i="19"/>
  <c r="Q465" i="19"/>
  <c r="S466" i="1"/>
  <c r="R466" i="1"/>
  <c r="Q466" i="1"/>
  <c r="G467" i="19"/>
  <c r="H462" i="19"/>
  <c r="S464" i="19"/>
  <c r="R464" i="19"/>
  <c r="Q464" i="19"/>
  <c r="S465" i="1"/>
  <c r="R465" i="1"/>
  <c r="Q465" i="1"/>
  <c r="S463" i="19"/>
  <c r="R463" i="19"/>
  <c r="Q463" i="19"/>
  <c r="Y466" i="19"/>
  <c r="S463" i="1"/>
  <c r="R463" i="1"/>
  <c r="Q463" i="1"/>
  <c r="Q464" i="1"/>
  <c r="R464" i="1"/>
  <c r="S464" i="1"/>
  <c r="T462" i="19"/>
  <c r="Q451" i="19"/>
  <c r="S451" i="19"/>
  <c r="R451" i="19"/>
  <c r="P458" i="1"/>
  <c r="P460" i="1"/>
  <c r="S456" i="1"/>
  <c r="P457" i="1"/>
  <c r="P459" i="1"/>
  <c r="R456" i="1"/>
  <c r="Q456" i="1"/>
  <c r="P461" i="1"/>
  <c r="H455" i="19"/>
  <c r="G419" i="19"/>
  <c r="R458" i="19"/>
  <c r="Q458" i="19"/>
  <c r="S458" i="19"/>
  <c r="G455" i="19"/>
  <c r="P452" i="1"/>
  <c r="S450" i="1"/>
  <c r="P454" i="1"/>
  <c r="R450" i="1"/>
  <c r="Q450" i="1"/>
  <c r="P455" i="1"/>
  <c r="P453" i="1"/>
  <c r="P451" i="1"/>
  <c r="G461" i="19"/>
  <c r="H456" i="19"/>
  <c r="Q459" i="19"/>
  <c r="R459" i="19"/>
  <c r="S459" i="19"/>
  <c r="Y460" i="19"/>
  <c r="R446" i="19"/>
  <c r="H444" i="19"/>
  <c r="T444" i="19"/>
  <c r="S448" i="1"/>
  <c r="R448" i="1"/>
  <c r="Q448" i="1"/>
  <c r="S448" i="19"/>
  <c r="R448" i="19"/>
  <c r="Q448" i="19"/>
  <c r="S447" i="19"/>
  <c r="R447" i="19"/>
  <c r="Q447" i="19"/>
  <c r="R447" i="1"/>
  <c r="Q447" i="1"/>
  <c r="S447" i="1"/>
  <c r="Q446" i="1"/>
  <c r="S446" i="1"/>
  <c r="R446" i="1"/>
  <c r="H449" i="19"/>
  <c r="S445" i="1"/>
  <c r="R445" i="1"/>
  <c r="Q445" i="1"/>
  <c r="G449" i="19"/>
  <c r="Q416" i="19"/>
  <c r="R417" i="19"/>
  <c r="R416" i="19"/>
  <c r="Y391" i="19"/>
  <c r="Y393" i="19"/>
  <c r="H419" i="19"/>
  <c r="R417" i="1"/>
  <c r="Q417" i="1"/>
  <c r="S417" i="1"/>
  <c r="Q392" i="19"/>
  <c r="S416" i="1"/>
  <c r="R416" i="1"/>
  <c r="Q416" i="1"/>
  <c r="S415" i="1"/>
  <c r="R415" i="1"/>
  <c r="Q415" i="1"/>
  <c r="H414" i="19"/>
  <c r="S418" i="19"/>
  <c r="R418" i="19"/>
  <c r="Q418" i="19"/>
  <c r="T414" i="19"/>
  <c r="S418" i="1"/>
  <c r="R418" i="1"/>
  <c r="Q418" i="1"/>
  <c r="R392" i="19"/>
  <c r="Q394" i="19"/>
  <c r="R394" i="19"/>
  <c r="S394" i="19"/>
  <c r="Y390" i="19"/>
  <c r="G395" i="19"/>
  <c r="R393" i="1"/>
  <c r="Q393" i="1"/>
  <c r="S393" i="1"/>
  <c r="H395" i="19"/>
  <c r="H390" i="19"/>
  <c r="S392" i="1"/>
  <c r="R392" i="1"/>
  <c r="Q392" i="1"/>
  <c r="S391" i="1"/>
  <c r="R391" i="1"/>
  <c r="Q391" i="1"/>
  <c r="T390" i="19"/>
  <c r="S393" i="19"/>
  <c r="R393" i="19"/>
  <c r="Q393" i="19"/>
  <c r="S394" i="1"/>
  <c r="R394" i="1"/>
  <c r="Q394" i="1"/>
  <c r="S389" i="31" l="1"/>
  <c r="Q389" i="31"/>
  <c r="R389" i="31"/>
  <c r="S389" i="32"/>
  <c r="R389" i="32"/>
  <c r="Q389" i="32"/>
  <c r="T446" i="32"/>
  <c r="T448" i="32"/>
  <c r="T466" i="32"/>
  <c r="Y453" i="32"/>
  <c r="T394" i="32"/>
  <c r="T393" i="32"/>
  <c r="T447" i="32"/>
  <c r="Y451" i="32"/>
  <c r="T464" i="32"/>
  <c r="T417" i="32"/>
  <c r="T450" i="32"/>
  <c r="T418" i="32"/>
  <c r="Y456" i="32"/>
  <c r="Y446" i="32"/>
  <c r="T391" i="32"/>
  <c r="Y417" i="32"/>
  <c r="T415" i="32"/>
  <c r="T445" i="32"/>
  <c r="T463" i="32"/>
  <c r="T465" i="32"/>
  <c r="Y783" i="32"/>
  <c r="T392" i="32"/>
  <c r="T783" i="32"/>
  <c r="T416" i="32"/>
  <c r="T456" i="32"/>
  <c r="Y784" i="32"/>
  <c r="Y786" i="32"/>
  <c r="Y463" i="31"/>
  <c r="Y463" i="32"/>
  <c r="Y465" i="31"/>
  <c r="Y465" i="32"/>
  <c r="Y464" i="31"/>
  <c r="Y464" i="32"/>
  <c r="Y457" i="31"/>
  <c r="Y457" i="32"/>
  <c r="Y448" i="31"/>
  <c r="Y448" i="32"/>
  <c r="Y458" i="31"/>
  <c r="Y458" i="32"/>
  <c r="Y459" i="31"/>
  <c r="Y459" i="32"/>
  <c r="Y394" i="31"/>
  <c r="Y394" i="32"/>
  <c r="Y392" i="31"/>
  <c r="Y392" i="32"/>
  <c r="Y450" i="31"/>
  <c r="Y450" i="32"/>
  <c r="Y454" i="31"/>
  <c r="Y454" i="32"/>
  <c r="Y418" i="31"/>
  <c r="Y418" i="32"/>
  <c r="Y416" i="31"/>
  <c r="Y416" i="32"/>
  <c r="T445" i="31"/>
  <c r="T463" i="31"/>
  <c r="T465" i="31"/>
  <c r="Y783" i="31"/>
  <c r="T392" i="31"/>
  <c r="T783" i="31"/>
  <c r="T416" i="31"/>
  <c r="T456" i="31"/>
  <c r="Y784" i="31"/>
  <c r="Y786" i="31"/>
  <c r="Y446" i="31"/>
  <c r="T391" i="31"/>
  <c r="T464" i="31"/>
  <c r="Y417" i="31"/>
  <c r="T415" i="31"/>
  <c r="T446" i="31"/>
  <c r="T448" i="31"/>
  <c r="T418" i="31"/>
  <c r="Y456" i="31"/>
  <c r="T394" i="31"/>
  <c r="T417" i="31"/>
  <c r="T450" i="31"/>
  <c r="T466" i="31"/>
  <c r="Y453" i="31"/>
  <c r="T393" i="31"/>
  <c r="T447" i="31"/>
  <c r="Y451" i="31"/>
  <c r="Y394" i="19"/>
  <c r="Y458" i="19"/>
  <c r="Y457" i="19"/>
  <c r="Y392" i="19"/>
  <c r="Y464" i="19"/>
  <c r="Y463" i="19"/>
  <c r="Y465" i="19"/>
  <c r="Y459" i="19"/>
  <c r="S786" i="1"/>
  <c r="R786" i="1"/>
  <c r="Q786" i="1"/>
  <c r="R785" i="1"/>
  <c r="Q785" i="1"/>
  <c r="S785" i="1"/>
  <c r="T783" i="19"/>
  <c r="Q784" i="1"/>
  <c r="S784" i="1"/>
  <c r="R784" i="1"/>
  <c r="S787" i="1"/>
  <c r="R787" i="1"/>
  <c r="Q787" i="1"/>
  <c r="T464" i="19"/>
  <c r="T465" i="19"/>
  <c r="T466" i="19"/>
  <c r="T463" i="19"/>
  <c r="S459" i="1"/>
  <c r="R459" i="1"/>
  <c r="Q459" i="1"/>
  <c r="Q454" i="1"/>
  <c r="R454" i="1"/>
  <c r="S454" i="1"/>
  <c r="R457" i="1"/>
  <c r="S457" i="1"/>
  <c r="Q457" i="1"/>
  <c r="T450" i="19"/>
  <c r="T456" i="19"/>
  <c r="R452" i="1"/>
  <c r="Q452" i="1"/>
  <c r="S452" i="1"/>
  <c r="S460" i="1"/>
  <c r="R460" i="1"/>
  <c r="Q460" i="1"/>
  <c r="S451" i="1"/>
  <c r="R451" i="1"/>
  <c r="Q451" i="1"/>
  <c r="Q458" i="1"/>
  <c r="S458" i="1"/>
  <c r="R458" i="1"/>
  <c r="R453" i="1"/>
  <c r="S453" i="1"/>
  <c r="Q453" i="1"/>
  <c r="Y456" i="19"/>
  <c r="T445" i="19"/>
  <c r="T448" i="19"/>
  <c r="T446" i="19"/>
  <c r="T447" i="19"/>
  <c r="T415" i="19"/>
  <c r="T418" i="19"/>
  <c r="T416" i="19"/>
  <c r="T417" i="19"/>
  <c r="T391" i="19"/>
  <c r="T392" i="19"/>
  <c r="T393" i="19"/>
  <c r="T394" i="19"/>
  <c r="T458" i="32" l="1"/>
  <c r="T457" i="32"/>
  <c r="T454" i="32"/>
  <c r="T787" i="32"/>
  <c r="T785" i="32"/>
  <c r="T451" i="32"/>
  <c r="T784" i="32"/>
  <c r="T786" i="32"/>
  <c r="T452" i="32"/>
  <c r="T453" i="32"/>
  <c r="T460" i="32"/>
  <c r="T459" i="32"/>
  <c r="T458" i="31"/>
  <c r="T454" i="31"/>
  <c r="T787" i="31"/>
  <c r="T457" i="31"/>
  <c r="T451" i="31"/>
  <c r="T784" i="31"/>
  <c r="T453" i="31"/>
  <c r="T786" i="31"/>
  <c r="T785" i="31"/>
  <c r="T452" i="31"/>
  <c r="T460" i="31"/>
  <c r="T459" i="31"/>
  <c r="T787" i="19"/>
  <c r="T784" i="19"/>
  <c r="T785" i="19"/>
  <c r="T786" i="19"/>
  <c r="T452" i="19"/>
  <c r="T459" i="19"/>
  <c r="T458" i="19"/>
  <c r="T457" i="19"/>
  <c r="T451" i="19"/>
  <c r="T454" i="19"/>
  <c r="T453" i="19"/>
  <c r="T460" i="19"/>
  <c r="D42" i="19" l="1"/>
  <c r="C42" i="19"/>
  <c r="B42" i="19"/>
  <c r="D41" i="19"/>
  <c r="C41" i="19"/>
  <c r="B41" i="19"/>
  <c r="D40" i="19"/>
  <c r="C40" i="19"/>
  <c r="B40" i="19"/>
  <c r="D39" i="19"/>
  <c r="C39" i="19"/>
  <c r="B39" i="19"/>
  <c r="D38" i="19"/>
  <c r="C38" i="19"/>
  <c r="B38" i="19"/>
  <c r="D37" i="19"/>
  <c r="C37" i="19"/>
  <c r="B37" i="19"/>
  <c r="D36" i="19"/>
  <c r="C36" i="19"/>
  <c r="B36" i="19"/>
  <c r="D35" i="19"/>
  <c r="C35" i="19"/>
  <c r="B35" i="19"/>
  <c r="D34" i="19"/>
  <c r="C34" i="19"/>
  <c r="B34" i="19"/>
  <c r="D33" i="19"/>
  <c r="C33" i="19"/>
  <c r="B33" i="19"/>
  <c r="D32" i="19"/>
  <c r="C32" i="19"/>
  <c r="B32" i="19"/>
  <c r="D31" i="19"/>
  <c r="C31" i="19"/>
  <c r="B31" i="19"/>
  <c r="D30" i="19"/>
  <c r="C30" i="19"/>
  <c r="B30" i="19"/>
  <c r="D29" i="19"/>
  <c r="C29" i="19"/>
  <c r="B29" i="19"/>
  <c r="D28" i="19"/>
  <c r="C28" i="19"/>
  <c r="B28" i="19"/>
  <c r="D26" i="19"/>
  <c r="C26" i="19"/>
  <c r="B26" i="19"/>
  <c r="D25" i="19"/>
  <c r="C25" i="19"/>
  <c r="B25" i="19"/>
  <c r="D24" i="19"/>
  <c r="C24" i="19"/>
  <c r="B24" i="19"/>
  <c r="D23" i="19"/>
  <c r="C23" i="19"/>
  <c r="B23" i="19"/>
  <c r="D22" i="19"/>
  <c r="C22" i="19"/>
  <c r="B22" i="19"/>
  <c r="D21" i="19"/>
  <c r="C21" i="19"/>
  <c r="B21" i="19"/>
  <c r="D20" i="19"/>
  <c r="C20" i="19"/>
  <c r="B20" i="19"/>
  <c r="T3" i="2"/>
  <c r="J72" i="2" s="1"/>
  <c r="J73" i="2" l="1"/>
  <c r="J75" i="2"/>
  <c r="J76" i="2"/>
  <c r="J80" i="2"/>
  <c r="J77" i="2"/>
  <c r="J74" i="2"/>
  <c r="J78" i="2"/>
  <c r="J79" i="2"/>
  <c r="J81" i="2"/>
  <c r="J83" i="2"/>
  <c r="J84" i="2"/>
  <c r="J82" i="2"/>
  <c r="T2" i="2"/>
  <c r="I1624" i="1" l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J1606" i="1"/>
  <c r="I1606" i="1"/>
  <c r="I1605" i="1"/>
  <c r="I1604" i="1"/>
  <c r="I1603" i="1"/>
  <c r="I1602" i="1"/>
  <c r="I1601" i="1"/>
  <c r="I1600" i="1"/>
  <c r="I1599" i="1"/>
  <c r="J1598" i="1"/>
  <c r="I1598" i="1"/>
  <c r="I1597" i="1"/>
  <c r="I1596" i="1"/>
  <c r="I1595" i="1"/>
  <c r="I1594" i="1"/>
  <c r="I1593" i="1"/>
  <c r="D1028" i="19"/>
  <c r="C1028" i="19"/>
  <c r="B1028" i="19"/>
  <c r="D1027" i="19"/>
  <c r="C1027" i="19"/>
  <c r="B1027" i="19"/>
  <c r="D1026" i="19"/>
  <c r="C1026" i="19"/>
  <c r="B1026" i="19"/>
  <c r="D1025" i="19"/>
  <c r="C1025" i="19"/>
  <c r="B1025" i="19"/>
  <c r="D1024" i="19"/>
  <c r="C1024" i="19"/>
  <c r="B1024" i="19"/>
  <c r="D1023" i="19"/>
  <c r="C1023" i="19"/>
  <c r="B1023" i="19"/>
  <c r="D81" i="19"/>
  <c r="C81" i="19"/>
  <c r="B81" i="19"/>
  <c r="D691" i="19"/>
  <c r="C691" i="19"/>
  <c r="B691" i="19"/>
  <c r="D690" i="19"/>
  <c r="C690" i="19"/>
  <c r="B690" i="19"/>
  <c r="D648" i="19"/>
  <c r="C648" i="19"/>
  <c r="B648" i="19"/>
  <c r="D591" i="19"/>
  <c r="C591" i="19"/>
  <c r="B591" i="19"/>
  <c r="D590" i="19"/>
  <c r="C590" i="19"/>
  <c r="B590" i="19"/>
  <c r="D229" i="19"/>
  <c r="C229" i="19"/>
  <c r="B229" i="19"/>
  <c r="D186" i="19"/>
  <c r="C186" i="19"/>
  <c r="B186" i="19"/>
  <c r="D185" i="19"/>
  <c r="C185" i="19"/>
  <c r="B185" i="19"/>
  <c r="D27" i="19"/>
  <c r="C27" i="19"/>
  <c r="B27" i="19"/>
  <c r="I1595" i="32" l="1"/>
  <c r="I1595" i="31"/>
  <c r="I1602" i="32"/>
  <c r="I1602" i="31"/>
  <c r="I1609" i="32"/>
  <c r="I1609" i="31"/>
  <c r="I1617" i="32"/>
  <c r="I1617" i="31"/>
  <c r="I1596" i="32"/>
  <c r="I1596" i="31"/>
  <c r="I1603" i="32"/>
  <c r="I1603" i="31"/>
  <c r="I1610" i="32"/>
  <c r="I1610" i="31"/>
  <c r="I1618" i="32"/>
  <c r="I1618" i="31"/>
  <c r="I1597" i="32"/>
  <c r="I1597" i="31"/>
  <c r="I1604" i="32"/>
  <c r="I1604" i="31"/>
  <c r="I1611" i="32"/>
  <c r="I1611" i="31"/>
  <c r="I1619" i="32"/>
  <c r="I1619" i="31"/>
  <c r="I1598" i="32"/>
  <c r="I1598" i="31"/>
  <c r="I1605" i="32"/>
  <c r="I1605" i="31"/>
  <c r="I1612" i="32"/>
  <c r="I1612" i="31"/>
  <c r="I1620" i="32"/>
  <c r="I1620" i="31"/>
  <c r="J1598" i="32"/>
  <c r="J1598" i="31"/>
  <c r="I1606" i="32"/>
  <c r="I1606" i="31"/>
  <c r="I1613" i="32"/>
  <c r="I1613" i="31"/>
  <c r="I1621" i="32"/>
  <c r="I1621" i="31"/>
  <c r="I1599" i="32"/>
  <c r="I1599" i="31"/>
  <c r="J1606" i="32"/>
  <c r="J1606" i="31"/>
  <c r="I1614" i="32"/>
  <c r="I1614" i="31"/>
  <c r="I1622" i="32"/>
  <c r="I1622" i="31"/>
  <c r="I1593" i="32"/>
  <c r="I1593" i="31"/>
  <c r="I1600" i="32"/>
  <c r="I1600" i="31"/>
  <c r="I1607" i="32"/>
  <c r="I1607" i="31"/>
  <c r="I1615" i="32"/>
  <c r="I1615" i="31"/>
  <c r="I1623" i="32"/>
  <c r="I1623" i="31"/>
  <c r="I1594" i="32"/>
  <c r="I1594" i="31"/>
  <c r="I1601" i="32"/>
  <c r="I1601" i="31"/>
  <c r="I1608" i="32"/>
  <c r="I1608" i="31"/>
  <c r="I1616" i="32"/>
  <c r="I1616" i="31"/>
  <c r="I1624" i="32"/>
  <c r="I1624" i="31"/>
  <c r="J1595" i="1"/>
  <c r="J1602" i="1"/>
  <c r="J1609" i="1"/>
  <c r="J1617" i="1"/>
  <c r="J1596" i="1"/>
  <c r="J1603" i="1"/>
  <c r="J1610" i="1"/>
  <c r="J1618" i="1"/>
  <c r="J1597" i="1"/>
  <c r="J1604" i="1"/>
  <c r="J1611" i="1"/>
  <c r="J1619" i="1"/>
  <c r="J1605" i="1"/>
  <c r="J1612" i="1"/>
  <c r="J1620" i="1"/>
  <c r="J1613" i="1"/>
  <c r="J1621" i="1"/>
  <c r="J1599" i="1"/>
  <c r="J1614" i="1"/>
  <c r="J1622" i="1"/>
  <c r="J1593" i="1"/>
  <c r="J1600" i="1"/>
  <c r="J1607" i="1"/>
  <c r="J1615" i="1"/>
  <c r="J1623" i="1"/>
  <c r="J1594" i="1"/>
  <c r="J1601" i="1"/>
  <c r="J1608" i="1"/>
  <c r="J1616" i="1"/>
  <c r="J1624" i="1"/>
  <c r="S56" i="12"/>
  <c r="R56" i="12"/>
  <c r="B56" i="12"/>
  <c r="B56" i="11"/>
  <c r="S56" i="11"/>
  <c r="R56" i="11"/>
  <c r="E21" i="7"/>
  <c r="F21" i="7"/>
  <c r="L25" i="17"/>
  <c r="L21" i="17"/>
  <c r="L12" i="17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73" i="32" l="1"/>
  <c r="I573" i="31"/>
  <c r="I567" i="32"/>
  <c r="I567" i="31"/>
  <c r="I583" i="32"/>
  <c r="I583" i="31"/>
  <c r="I568" i="32"/>
  <c r="I568" i="31"/>
  <c r="I576" i="32"/>
  <c r="I576" i="31"/>
  <c r="I584" i="32"/>
  <c r="I584" i="31"/>
  <c r="J1608" i="32"/>
  <c r="J1608" i="31"/>
  <c r="J1622" i="32"/>
  <c r="J1622" i="31"/>
  <c r="J1599" i="32"/>
  <c r="J1599" i="31"/>
  <c r="J1612" i="32"/>
  <c r="J1612" i="31"/>
  <c r="J1619" i="32"/>
  <c r="J1619" i="31"/>
  <c r="J1617" i="32"/>
  <c r="J1617" i="31"/>
  <c r="J1623" i="32"/>
  <c r="J1623" i="31"/>
  <c r="I585" i="32"/>
  <c r="I585" i="31"/>
  <c r="J1597" i="32"/>
  <c r="J1597" i="31"/>
  <c r="I570" i="32"/>
  <c r="I570" i="31"/>
  <c r="I578" i="32"/>
  <c r="I578" i="31"/>
  <c r="I586" i="32"/>
  <c r="I586" i="31"/>
  <c r="J1624" i="32"/>
  <c r="J1624" i="31"/>
  <c r="J1600" i="32"/>
  <c r="J1600" i="31"/>
  <c r="J1603" i="32"/>
  <c r="J1603" i="31"/>
  <c r="I577" i="32"/>
  <c r="I577" i="31"/>
  <c r="I579" i="32"/>
  <c r="I579" i="31"/>
  <c r="J1601" i="32"/>
  <c r="J1601" i="31"/>
  <c r="J1614" i="32"/>
  <c r="J1614" i="31"/>
  <c r="J1621" i="32"/>
  <c r="J1621" i="31"/>
  <c r="J1605" i="32"/>
  <c r="J1605" i="31"/>
  <c r="J1611" i="32"/>
  <c r="J1611" i="31"/>
  <c r="J1609" i="32"/>
  <c r="J1609" i="31"/>
  <c r="I569" i="32"/>
  <c r="I569" i="31"/>
  <c r="J1595" i="32"/>
  <c r="J1595" i="31"/>
  <c r="I571" i="32"/>
  <c r="I571" i="31"/>
  <c r="I587" i="32"/>
  <c r="I587" i="31"/>
  <c r="I572" i="32"/>
  <c r="I572" i="31"/>
  <c r="I580" i="32"/>
  <c r="I580" i="31"/>
  <c r="I588" i="32"/>
  <c r="I588" i="31"/>
  <c r="J1615" i="32"/>
  <c r="J1615" i="31"/>
  <c r="J1618" i="32"/>
  <c r="J1618" i="31"/>
  <c r="J1616" i="32"/>
  <c r="J1616" i="31"/>
  <c r="I581" i="32"/>
  <c r="I581" i="31"/>
  <c r="J1593" i="32"/>
  <c r="J1593" i="31"/>
  <c r="I566" i="32"/>
  <c r="I566" i="31"/>
  <c r="I574" i="32"/>
  <c r="I574" i="31"/>
  <c r="I582" i="32"/>
  <c r="I582" i="31"/>
  <c r="J1594" i="32"/>
  <c r="J1594" i="31"/>
  <c r="J1613" i="32"/>
  <c r="J1613" i="31"/>
  <c r="J1604" i="32"/>
  <c r="J1604" i="31"/>
  <c r="J1602" i="32"/>
  <c r="J1602" i="31"/>
  <c r="I565" i="32"/>
  <c r="I565" i="31"/>
  <c r="J1620" i="32"/>
  <c r="J1620" i="31"/>
  <c r="J1596" i="32"/>
  <c r="J1596" i="31"/>
  <c r="I575" i="32"/>
  <c r="I575" i="31"/>
  <c r="J1607" i="32"/>
  <c r="J1607" i="31"/>
  <c r="J1610" i="32"/>
  <c r="J1610" i="31"/>
  <c r="L14" i="17"/>
  <c r="L22" i="17"/>
  <c r="L15" i="17"/>
  <c r="L24" i="17"/>
  <c r="L16" i="17"/>
  <c r="L17" i="17"/>
  <c r="L26" i="17"/>
  <c r="L18" i="17"/>
  <c r="L28" i="17"/>
  <c r="L19" i="17"/>
  <c r="L29" i="17"/>
  <c r="L20" i="17"/>
  <c r="L30" i="17"/>
  <c r="L31" i="17"/>
  <c r="E184" i="1" l="1"/>
  <c r="E184" i="31" l="1"/>
  <c r="E184" i="32"/>
  <c r="O16" i="19"/>
  <c r="B2548" i="1"/>
  <c r="M216" i="25"/>
  <c r="F783" i="1" s="1"/>
  <c r="F216" i="25"/>
  <c r="F777" i="1" s="1"/>
  <c r="K215" i="25"/>
  <c r="D215" i="25"/>
  <c r="J214" i="25"/>
  <c r="C214" i="25"/>
  <c r="J203" i="25"/>
  <c r="J204" i="25" s="1"/>
  <c r="C203" i="25"/>
  <c r="C204" i="25" s="1"/>
  <c r="M202" i="25"/>
  <c r="F202" i="25"/>
  <c r="M201" i="25"/>
  <c r="F201" i="25"/>
  <c r="M199" i="25"/>
  <c r="F199" i="25"/>
  <c r="M178" i="25"/>
  <c r="F178" i="25"/>
  <c r="F408" i="1" s="1"/>
  <c r="K177" i="25"/>
  <c r="D177" i="25"/>
  <c r="J176" i="25"/>
  <c r="M174" i="25" s="1"/>
  <c r="C176" i="25"/>
  <c r="J165" i="25"/>
  <c r="J166" i="25" s="1"/>
  <c r="C165" i="25"/>
  <c r="C166" i="25" s="1"/>
  <c r="M164" i="25"/>
  <c r="F164" i="25"/>
  <c r="M163" i="25"/>
  <c r="F163" i="25"/>
  <c r="M161" i="25"/>
  <c r="F161" i="25"/>
  <c r="M141" i="25"/>
  <c r="F141" i="25"/>
  <c r="K140" i="25"/>
  <c r="D140" i="25"/>
  <c r="J139" i="25"/>
  <c r="C139" i="25"/>
  <c r="J128" i="25"/>
  <c r="J129" i="25" s="1"/>
  <c r="C128" i="25"/>
  <c r="C129" i="25" s="1"/>
  <c r="M127" i="25"/>
  <c r="F127" i="25"/>
  <c r="M126" i="25"/>
  <c r="F126" i="25"/>
  <c r="M124" i="25"/>
  <c r="F124" i="25"/>
  <c r="M105" i="25"/>
  <c r="F486" i="1" s="1"/>
  <c r="F105" i="25"/>
  <c r="F462" i="1" s="1"/>
  <c r="K104" i="25"/>
  <c r="D104" i="25"/>
  <c r="J103" i="25"/>
  <c r="C103" i="25"/>
  <c r="J92" i="25"/>
  <c r="J93" i="25" s="1"/>
  <c r="C92" i="25"/>
  <c r="C93" i="25" s="1"/>
  <c r="M91" i="25"/>
  <c r="F91" i="25"/>
  <c r="M90" i="25"/>
  <c r="F90" i="25"/>
  <c r="M88" i="25"/>
  <c r="F88" i="25"/>
  <c r="M69" i="25"/>
  <c r="F456" i="1" s="1"/>
  <c r="F69" i="25"/>
  <c r="F450" i="1" s="1"/>
  <c r="K68" i="25"/>
  <c r="D68" i="25"/>
  <c r="J67" i="25"/>
  <c r="C67" i="25"/>
  <c r="J56" i="25"/>
  <c r="J57" i="25" s="1"/>
  <c r="C56" i="25"/>
  <c r="C57" i="25" s="1"/>
  <c r="M55" i="25"/>
  <c r="F55" i="25"/>
  <c r="M54" i="25"/>
  <c r="F54" i="25"/>
  <c r="M52" i="25"/>
  <c r="F52" i="25"/>
  <c r="M34" i="25"/>
  <c r="F444" i="1" s="1"/>
  <c r="F34" i="25"/>
  <c r="F438" i="1" s="1"/>
  <c r="K33" i="25"/>
  <c r="D33" i="25"/>
  <c r="J32" i="25"/>
  <c r="C32" i="25"/>
  <c r="J21" i="25"/>
  <c r="J22" i="25" s="1"/>
  <c r="C21" i="25"/>
  <c r="C22" i="25" s="1"/>
  <c r="M20" i="25"/>
  <c r="F20" i="25"/>
  <c r="M19" i="25"/>
  <c r="F19" i="25"/>
  <c r="M17" i="25"/>
  <c r="F17" i="25"/>
  <c r="F777" i="32" l="1"/>
  <c r="L782" i="32" s="1"/>
  <c r="M782" i="32" s="1"/>
  <c r="N782" i="32" s="1"/>
  <c r="F777" i="31"/>
  <c r="L782" i="31" s="1"/>
  <c r="M782" i="31" s="1"/>
  <c r="N782" i="31" s="1"/>
  <c r="B2548" i="32"/>
  <c r="B2548" i="31"/>
  <c r="F417" i="32"/>
  <c r="F417" i="31"/>
  <c r="F783" i="32"/>
  <c r="L788" i="32" s="1"/>
  <c r="M788" i="32" s="1"/>
  <c r="N788" i="32" s="1"/>
  <c r="F783" i="31"/>
  <c r="L788" i="31" s="1"/>
  <c r="M788" i="31" s="1"/>
  <c r="N788" i="31" s="1"/>
  <c r="F414" i="32"/>
  <c r="L419" i="32" s="1"/>
  <c r="M419" i="32" s="1"/>
  <c r="N419" i="32" s="1"/>
  <c r="F414" i="31"/>
  <c r="L419" i="31" s="1"/>
  <c r="M419" i="31" s="1"/>
  <c r="N419" i="31" s="1"/>
  <c r="F444" i="32"/>
  <c r="L449" i="32" s="1"/>
  <c r="M449" i="32" s="1"/>
  <c r="N449" i="32" s="1"/>
  <c r="F444" i="31"/>
  <c r="L449" i="31" s="1"/>
  <c r="M449" i="31" s="1"/>
  <c r="N449" i="31" s="1"/>
  <c r="M203" i="25"/>
  <c r="M204" i="25" s="1"/>
  <c r="F438" i="32"/>
  <c r="L443" i="32" s="1"/>
  <c r="M443" i="32" s="1"/>
  <c r="N443" i="32" s="1"/>
  <c r="F438" i="31"/>
  <c r="L443" i="31" s="1"/>
  <c r="M443" i="31" s="1"/>
  <c r="N443" i="31" s="1"/>
  <c r="F390" i="32"/>
  <c r="L395" i="32" s="1"/>
  <c r="F390" i="31"/>
  <c r="L395" i="31" s="1"/>
  <c r="F486" i="32"/>
  <c r="L491" i="32" s="1"/>
  <c r="M491" i="32" s="1"/>
  <c r="N491" i="32" s="1"/>
  <c r="F486" i="31"/>
  <c r="L491" i="31" s="1"/>
  <c r="M491" i="31" s="1"/>
  <c r="N491" i="31" s="1"/>
  <c r="M65" i="25"/>
  <c r="F459" i="1" s="1"/>
  <c r="F450" i="32"/>
  <c r="L455" i="32" s="1"/>
  <c r="F450" i="31"/>
  <c r="L455" i="31" s="1"/>
  <c r="F101" i="25"/>
  <c r="F465" i="1" s="1"/>
  <c r="F408" i="31"/>
  <c r="L413" i="31" s="1"/>
  <c r="F408" i="32"/>
  <c r="L413" i="32" s="1"/>
  <c r="F462" i="31"/>
  <c r="L467" i="31" s="1"/>
  <c r="M467" i="31" s="1"/>
  <c r="N467" i="31" s="1"/>
  <c r="F462" i="32"/>
  <c r="L467" i="32" s="1"/>
  <c r="M467" i="32" s="1"/>
  <c r="N467" i="32" s="1"/>
  <c r="F456" i="32"/>
  <c r="L461" i="32" s="1"/>
  <c r="F456" i="31"/>
  <c r="L461" i="31" s="1"/>
  <c r="M461" i="31" s="1"/>
  <c r="N461" i="31" s="1"/>
  <c r="F215" i="25"/>
  <c r="F779" i="1" s="1"/>
  <c r="F783" i="19"/>
  <c r="L788" i="19" s="1"/>
  <c r="M788" i="19" s="1"/>
  <c r="N788" i="19" s="1"/>
  <c r="M104" i="25"/>
  <c r="F488" i="1" s="1"/>
  <c r="F465" i="19"/>
  <c r="G465" i="1"/>
  <c r="F408" i="19"/>
  <c r="F450" i="19"/>
  <c r="L455" i="19" s="1"/>
  <c r="M455" i="19" s="1"/>
  <c r="N455" i="19" s="1"/>
  <c r="F390" i="19"/>
  <c r="L395" i="19" s="1"/>
  <c r="M395" i="19" s="1"/>
  <c r="N395" i="19" s="1"/>
  <c r="F390" i="1"/>
  <c r="F779" i="19"/>
  <c r="F438" i="19"/>
  <c r="F456" i="19"/>
  <c r="L461" i="19" s="1"/>
  <c r="M461" i="19" s="1"/>
  <c r="N461" i="19" s="1"/>
  <c r="F444" i="19"/>
  <c r="L449" i="19" s="1"/>
  <c r="M449" i="19" s="1"/>
  <c r="N449" i="19" s="1"/>
  <c r="F21" i="25"/>
  <c r="F22" i="25" s="1"/>
  <c r="F777" i="19"/>
  <c r="F462" i="19"/>
  <c r="L467" i="19" s="1"/>
  <c r="M467" i="19" s="1"/>
  <c r="N467" i="19" s="1"/>
  <c r="M56" i="25"/>
  <c r="M57" i="25" s="1"/>
  <c r="F486" i="19"/>
  <c r="M103" i="25"/>
  <c r="F487" i="1" s="1"/>
  <c r="F414" i="19"/>
  <c r="L419" i="19" s="1"/>
  <c r="F414" i="1"/>
  <c r="M67" i="25"/>
  <c r="F457" i="1" s="1"/>
  <c r="F128" i="25"/>
  <c r="F129" i="25" s="1"/>
  <c r="M165" i="25"/>
  <c r="M166" i="25" s="1"/>
  <c r="F92" i="25"/>
  <c r="F93" i="25" s="1"/>
  <c r="M92" i="25"/>
  <c r="M93" i="25" s="1"/>
  <c r="F67" i="25"/>
  <c r="F451" i="1" s="1"/>
  <c r="F56" i="25"/>
  <c r="F57" i="25" s="1"/>
  <c r="M21" i="25"/>
  <c r="M22" i="25" s="1"/>
  <c r="F214" i="25"/>
  <c r="F778" i="1" s="1"/>
  <c r="F65" i="25"/>
  <c r="F453" i="1" s="1"/>
  <c r="F212" i="25"/>
  <c r="F780" i="1" s="1"/>
  <c r="M32" i="25"/>
  <c r="F445" i="1" s="1"/>
  <c r="F104" i="25"/>
  <c r="F464" i="1" s="1"/>
  <c r="M128" i="25"/>
  <c r="M129" i="25" s="1"/>
  <c r="F139" i="25"/>
  <c r="F385" i="1" s="1"/>
  <c r="F165" i="25"/>
  <c r="F166" i="25" s="1"/>
  <c r="F176" i="25"/>
  <c r="F409" i="1" s="1"/>
  <c r="F203" i="25"/>
  <c r="F204" i="25" s="1"/>
  <c r="F32" i="25"/>
  <c r="F439" i="1" s="1"/>
  <c r="M101" i="25"/>
  <c r="F68" i="25"/>
  <c r="F452" i="1" s="1"/>
  <c r="M140" i="25"/>
  <c r="M176" i="25"/>
  <c r="M214" i="25"/>
  <c r="F784" i="1" s="1"/>
  <c r="B2548" i="19"/>
  <c r="F33" i="25"/>
  <c r="F440" i="1" s="1"/>
  <c r="M68" i="25"/>
  <c r="F458" i="1" s="1"/>
  <c r="F103" i="25"/>
  <c r="F463" i="1" s="1"/>
  <c r="M139" i="25"/>
  <c r="F177" i="25"/>
  <c r="F410" i="1" s="1"/>
  <c r="M212" i="25"/>
  <c r="F786" i="1" s="1"/>
  <c r="M215" i="25"/>
  <c r="F785" i="1" s="1"/>
  <c r="F30" i="25"/>
  <c r="F441" i="1" s="1"/>
  <c r="F174" i="25"/>
  <c r="F411" i="1" s="1"/>
  <c r="M30" i="25"/>
  <c r="F447" i="1" s="1"/>
  <c r="M33" i="25"/>
  <c r="F446" i="1" s="1"/>
  <c r="F140" i="25"/>
  <c r="F386" i="1" s="1"/>
  <c r="M177" i="25"/>
  <c r="F137" i="25"/>
  <c r="F387" i="1" s="1"/>
  <c r="M137" i="25"/>
  <c r="M179" i="25" l="1"/>
  <c r="F459" i="32"/>
  <c r="F459" i="31"/>
  <c r="S449" i="31"/>
  <c r="R449" i="31"/>
  <c r="Q449" i="31"/>
  <c r="S491" i="32"/>
  <c r="Q491" i="32"/>
  <c r="R491" i="32"/>
  <c r="R449" i="32"/>
  <c r="Q449" i="32"/>
  <c r="S449" i="32"/>
  <c r="F446" i="32"/>
  <c r="F446" i="31"/>
  <c r="S467" i="31"/>
  <c r="R467" i="31"/>
  <c r="Q467" i="31"/>
  <c r="F385" i="32"/>
  <c r="F385" i="31"/>
  <c r="F410" i="32"/>
  <c r="F410" i="31"/>
  <c r="M395" i="31"/>
  <c r="N395" i="31" s="1"/>
  <c r="L2559" i="31"/>
  <c r="R419" i="31"/>
  <c r="Q419" i="31"/>
  <c r="S419" i="31"/>
  <c r="F488" i="19"/>
  <c r="F488" i="32"/>
  <c r="F488" i="31"/>
  <c r="M395" i="32"/>
  <c r="N395" i="32" s="1"/>
  <c r="L2559" i="32"/>
  <c r="S419" i="32"/>
  <c r="Q419" i="32"/>
  <c r="R419" i="32"/>
  <c r="Q467" i="32"/>
  <c r="S467" i="32"/>
  <c r="R467" i="32"/>
  <c r="F786" i="32"/>
  <c r="F786" i="31"/>
  <c r="F447" i="32"/>
  <c r="F447" i="31"/>
  <c r="F445" i="32"/>
  <c r="F445" i="31"/>
  <c r="F440" i="32"/>
  <c r="F440" i="31"/>
  <c r="F453" i="32"/>
  <c r="F453" i="31"/>
  <c r="F409" i="32"/>
  <c r="F409" i="31"/>
  <c r="F487" i="32"/>
  <c r="F487" i="31"/>
  <c r="F391" i="32"/>
  <c r="F391" i="31"/>
  <c r="F778" i="32"/>
  <c r="F778" i="31"/>
  <c r="F779" i="32"/>
  <c r="F779" i="31"/>
  <c r="F465" i="32"/>
  <c r="F465" i="31"/>
  <c r="Q782" i="31"/>
  <c r="S782" i="31"/>
  <c r="R782" i="31"/>
  <c r="R491" i="31"/>
  <c r="S491" i="31"/>
  <c r="Q491" i="31"/>
  <c r="F458" i="32"/>
  <c r="F458" i="31"/>
  <c r="R461" i="31"/>
  <c r="Q461" i="31"/>
  <c r="S461" i="31"/>
  <c r="M455" i="31"/>
  <c r="N455" i="31" s="1"/>
  <c r="R443" i="31"/>
  <c r="Q443" i="31"/>
  <c r="S443" i="31"/>
  <c r="S788" i="31"/>
  <c r="R788" i="31"/>
  <c r="Q788" i="31"/>
  <c r="R782" i="32"/>
  <c r="Q782" i="32"/>
  <c r="S782" i="32"/>
  <c r="F387" i="32"/>
  <c r="F387" i="31"/>
  <c r="F415" i="32"/>
  <c r="F415" i="31"/>
  <c r="M461" i="32"/>
  <c r="N461" i="32" s="1"/>
  <c r="M455" i="32"/>
  <c r="N455" i="32" s="1"/>
  <c r="Q788" i="32"/>
  <c r="R788" i="32"/>
  <c r="S788" i="32"/>
  <c r="F411" i="32"/>
  <c r="F411" i="31"/>
  <c r="F441" i="32"/>
  <c r="F441" i="31"/>
  <c r="F785" i="31"/>
  <c r="F785" i="32"/>
  <c r="F463" i="32"/>
  <c r="F463" i="31"/>
  <c r="F393" i="32"/>
  <c r="F393" i="31"/>
  <c r="F787" i="1"/>
  <c r="F787" i="31" s="1"/>
  <c r="F784" i="32"/>
  <c r="F784" i="31"/>
  <c r="F416" i="32"/>
  <c r="F416" i="31"/>
  <c r="F392" i="32"/>
  <c r="F392" i="31"/>
  <c r="F454" i="1"/>
  <c r="F451" i="32"/>
  <c r="F451" i="31"/>
  <c r="G459" i="1"/>
  <c r="S443" i="32"/>
  <c r="Q443" i="32"/>
  <c r="R443" i="32"/>
  <c r="F439" i="32"/>
  <c r="F439" i="31"/>
  <c r="F457" i="32"/>
  <c r="F457" i="31"/>
  <c r="F464" i="32"/>
  <c r="F464" i="31"/>
  <c r="F780" i="32"/>
  <c r="F780" i="31"/>
  <c r="F386" i="32"/>
  <c r="F386" i="31"/>
  <c r="F452" i="32"/>
  <c r="F452" i="31"/>
  <c r="F459" i="19"/>
  <c r="G465" i="32"/>
  <c r="G465" i="31"/>
  <c r="F439" i="19"/>
  <c r="F409" i="19"/>
  <c r="Q455" i="19"/>
  <c r="R455" i="19"/>
  <c r="S455" i="19"/>
  <c r="F457" i="19"/>
  <c r="G457" i="1"/>
  <c r="L788" i="1"/>
  <c r="F441" i="19"/>
  <c r="F410" i="19"/>
  <c r="Q395" i="19"/>
  <c r="S395" i="19"/>
  <c r="R395" i="19"/>
  <c r="S788" i="19"/>
  <c r="R788" i="19"/>
  <c r="Q788" i="19"/>
  <c r="F385" i="19"/>
  <c r="F391" i="19"/>
  <c r="F391" i="1"/>
  <c r="G391" i="1" s="1"/>
  <c r="S461" i="19"/>
  <c r="R461" i="19"/>
  <c r="Q461" i="19"/>
  <c r="L395" i="1"/>
  <c r="M395" i="1" s="1"/>
  <c r="N395" i="1" s="1"/>
  <c r="G464" i="1"/>
  <c r="F464" i="19"/>
  <c r="G785" i="1"/>
  <c r="F785" i="19"/>
  <c r="F463" i="19"/>
  <c r="G463" i="1"/>
  <c r="L461" i="1"/>
  <c r="M461" i="1" s="1"/>
  <c r="N461" i="1" s="1"/>
  <c r="G458" i="1"/>
  <c r="F458" i="19"/>
  <c r="G445" i="1"/>
  <c r="F445" i="19"/>
  <c r="F460" i="1"/>
  <c r="F106" i="25"/>
  <c r="F107" i="25" s="1"/>
  <c r="L455" i="1"/>
  <c r="F453" i="19"/>
  <c r="G453" i="1"/>
  <c r="G465" i="19"/>
  <c r="F440" i="19"/>
  <c r="F778" i="19"/>
  <c r="F786" i="19"/>
  <c r="G786" i="1"/>
  <c r="F393" i="1"/>
  <c r="G393" i="1" s="1"/>
  <c r="F393" i="19"/>
  <c r="F387" i="19"/>
  <c r="F784" i="19"/>
  <c r="G784" i="1"/>
  <c r="F411" i="19"/>
  <c r="F780" i="19"/>
  <c r="F386" i="19"/>
  <c r="F392" i="19"/>
  <c r="F392" i="1"/>
  <c r="G392" i="1" s="1"/>
  <c r="L467" i="1"/>
  <c r="M467" i="1" s="1"/>
  <c r="N467" i="1" s="1"/>
  <c r="S449" i="19"/>
  <c r="R449" i="19"/>
  <c r="Q449" i="19"/>
  <c r="G446" i="1"/>
  <c r="F446" i="19"/>
  <c r="F452" i="19"/>
  <c r="G452" i="1"/>
  <c r="F466" i="1"/>
  <c r="L449" i="1"/>
  <c r="F451" i="19"/>
  <c r="G451" i="1"/>
  <c r="G447" i="1"/>
  <c r="F447" i="19"/>
  <c r="Q467" i="19"/>
  <c r="S467" i="19"/>
  <c r="R467" i="19"/>
  <c r="F448" i="1"/>
  <c r="L419" i="1"/>
  <c r="F487" i="19"/>
  <c r="M106" i="25"/>
  <c r="M107" i="25" s="1"/>
  <c r="F489" i="1"/>
  <c r="F416" i="19"/>
  <c r="F416" i="1"/>
  <c r="G416" i="1" s="1"/>
  <c r="M419" i="19"/>
  <c r="N419" i="19" s="1"/>
  <c r="F415" i="19"/>
  <c r="F415" i="1"/>
  <c r="G415" i="1" s="1"/>
  <c r="F35" i="25"/>
  <c r="F36" i="25" s="1"/>
  <c r="M217" i="25"/>
  <c r="M218" i="25" s="1"/>
  <c r="M35" i="25"/>
  <c r="M36" i="25" s="1"/>
  <c r="F217" i="25"/>
  <c r="F218" i="25" s="1"/>
  <c r="F70" i="25"/>
  <c r="F71" i="25" s="1"/>
  <c r="F179" i="25"/>
  <c r="F180" i="25" s="1"/>
  <c r="M70" i="25"/>
  <c r="M71" i="25" s="1"/>
  <c r="M142" i="25"/>
  <c r="M143" i="25" s="1"/>
  <c r="F142" i="25"/>
  <c r="F143" i="25" s="1"/>
  <c r="F454" i="32" l="1"/>
  <c r="F454" i="31"/>
  <c r="G787" i="1"/>
  <c r="F787" i="19"/>
  <c r="F454" i="19"/>
  <c r="G454" i="1"/>
  <c r="G459" i="32"/>
  <c r="S455" i="32"/>
  <c r="R455" i="32"/>
  <c r="Q455" i="32"/>
  <c r="R461" i="32"/>
  <c r="Q461" i="32"/>
  <c r="S461" i="32"/>
  <c r="S455" i="31"/>
  <c r="R455" i="31"/>
  <c r="Q455" i="31"/>
  <c r="R395" i="32"/>
  <c r="Q395" i="32"/>
  <c r="S395" i="32"/>
  <c r="F787" i="32"/>
  <c r="G459" i="19"/>
  <c r="G459" i="31"/>
  <c r="S395" i="31"/>
  <c r="R395" i="31"/>
  <c r="Q395" i="31"/>
  <c r="F489" i="32"/>
  <c r="F489" i="31"/>
  <c r="F394" i="1"/>
  <c r="G416" i="32"/>
  <c r="G416" i="31"/>
  <c r="G447" i="32"/>
  <c r="G447" i="31"/>
  <c r="F466" i="32"/>
  <c r="F466" i="31"/>
  <c r="G392" i="32"/>
  <c r="G392" i="31"/>
  <c r="G784" i="32"/>
  <c r="G784" i="31"/>
  <c r="G786" i="32"/>
  <c r="G786" i="31"/>
  <c r="G785" i="32"/>
  <c r="G785" i="31"/>
  <c r="G451" i="32"/>
  <c r="G451" i="31"/>
  <c r="G452" i="32"/>
  <c r="G452" i="31"/>
  <c r="F460" i="32"/>
  <c r="F460" i="31"/>
  <c r="G446" i="32"/>
  <c r="G446" i="31"/>
  <c r="G464" i="32"/>
  <c r="G464" i="31"/>
  <c r="G391" i="32"/>
  <c r="G391" i="31"/>
  <c r="G457" i="32"/>
  <c r="G457" i="31"/>
  <c r="G393" i="32"/>
  <c r="G393" i="31"/>
  <c r="G415" i="32"/>
  <c r="G415" i="31"/>
  <c r="G453" i="32"/>
  <c r="G453" i="31"/>
  <c r="G445" i="32"/>
  <c r="G445" i="31"/>
  <c r="G458" i="32"/>
  <c r="G458" i="31"/>
  <c r="F448" i="32"/>
  <c r="F448" i="31"/>
  <c r="G463" i="32"/>
  <c r="G463" i="31"/>
  <c r="G391" i="19"/>
  <c r="G448" i="1"/>
  <c r="F448" i="19"/>
  <c r="G458" i="19"/>
  <c r="G447" i="19"/>
  <c r="V455" i="1"/>
  <c r="G785" i="19"/>
  <c r="G464" i="19"/>
  <c r="G393" i="19"/>
  <c r="G445" i="19"/>
  <c r="Q461" i="1"/>
  <c r="S461" i="1"/>
  <c r="R461" i="1"/>
  <c r="G457" i="19"/>
  <c r="V461" i="1"/>
  <c r="W461" i="1" s="1"/>
  <c r="V395" i="1"/>
  <c r="W395" i="1" s="1"/>
  <c r="V467" i="1"/>
  <c r="W467" i="1" s="1"/>
  <c r="G463" i="19"/>
  <c r="Q395" i="1"/>
  <c r="S395" i="1"/>
  <c r="R395" i="1"/>
  <c r="G446" i="19"/>
  <c r="S467" i="1"/>
  <c r="R467" i="1"/>
  <c r="Q467" i="1"/>
  <c r="G392" i="19"/>
  <c r="V449" i="1"/>
  <c r="G453" i="19"/>
  <c r="G466" i="1"/>
  <c r="F466" i="19"/>
  <c r="G784" i="19"/>
  <c r="G451" i="19"/>
  <c r="G452" i="19"/>
  <c r="G460" i="1"/>
  <c r="F460" i="19"/>
  <c r="G786" i="19"/>
  <c r="V788" i="1"/>
  <c r="V419" i="1"/>
  <c r="F489" i="19"/>
  <c r="R419" i="19"/>
  <c r="Q419" i="19"/>
  <c r="S419" i="19"/>
  <c r="G415" i="19"/>
  <c r="G416" i="19"/>
  <c r="B10" i="9"/>
  <c r="G454" i="32" l="1"/>
  <c r="G787" i="19"/>
  <c r="G787" i="31"/>
  <c r="G787" i="32"/>
  <c r="G450" i="1"/>
  <c r="G783" i="1"/>
  <c r="G454" i="19"/>
  <c r="G454" i="31"/>
  <c r="G394" i="1"/>
  <c r="F394" i="19"/>
  <c r="F394" i="31"/>
  <c r="F394" i="32"/>
  <c r="G448" i="32"/>
  <c r="G448" i="31"/>
  <c r="G466" i="32"/>
  <c r="G466" i="31"/>
  <c r="G460" i="32"/>
  <c r="G460" i="31"/>
  <c r="Y467" i="31"/>
  <c r="Y467" i="32"/>
  <c r="Y461" i="31"/>
  <c r="Y461" i="32"/>
  <c r="T461" i="31"/>
  <c r="T461" i="32"/>
  <c r="T395" i="31"/>
  <c r="T395" i="32"/>
  <c r="T467" i="31"/>
  <c r="T467" i="32"/>
  <c r="Y395" i="31"/>
  <c r="Y395" i="32"/>
  <c r="Y395" i="19"/>
  <c r="T395" i="19"/>
  <c r="G448" i="19"/>
  <c r="Y467" i="19"/>
  <c r="Y461" i="19"/>
  <c r="T467" i="19"/>
  <c r="T461" i="19"/>
  <c r="G462" i="1"/>
  <c r="G466" i="19"/>
  <c r="G444" i="1"/>
  <c r="G460" i="19"/>
  <c r="G456" i="1"/>
  <c r="M777" i="1"/>
  <c r="N777" i="1" s="1"/>
  <c r="M439" i="1"/>
  <c r="M438" i="1"/>
  <c r="N438" i="1" s="1"/>
  <c r="M411" i="1"/>
  <c r="N411" i="1" s="1"/>
  <c r="M410" i="1"/>
  <c r="N410" i="1" s="1"/>
  <c r="M388" i="1"/>
  <c r="N388" i="1" s="1"/>
  <c r="M387" i="1"/>
  <c r="N387" i="1" s="1"/>
  <c r="M385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H782" i="19"/>
  <c r="N781" i="19"/>
  <c r="M781" i="19"/>
  <c r="J781" i="19"/>
  <c r="I781" i="19"/>
  <c r="H781" i="19"/>
  <c r="N780" i="19"/>
  <c r="M780" i="19"/>
  <c r="J780" i="19"/>
  <c r="I780" i="19"/>
  <c r="H780" i="19"/>
  <c r="N779" i="19"/>
  <c r="M779" i="19"/>
  <c r="J779" i="19"/>
  <c r="I779" i="19"/>
  <c r="H779" i="19"/>
  <c r="N778" i="19"/>
  <c r="M778" i="19"/>
  <c r="J778" i="19"/>
  <c r="I778" i="19"/>
  <c r="H778" i="19"/>
  <c r="N777" i="19"/>
  <c r="P781" i="19" s="1"/>
  <c r="M777" i="19"/>
  <c r="H777" i="19"/>
  <c r="L782" i="19"/>
  <c r="E782" i="1"/>
  <c r="E781" i="1"/>
  <c r="M780" i="1"/>
  <c r="N780" i="1" s="1"/>
  <c r="E780" i="1"/>
  <c r="E779" i="1"/>
  <c r="E778" i="1"/>
  <c r="L389" i="19"/>
  <c r="H389" i="19"/>
  <c r="N388" i="19"/>
  <c r="M388" i="19"/>
  <c r="J388" i="19"/>
  <c r="I388" i="19"/>
  <c r="H388" i="19"/>
  <c r="N387" i="19"/>
  <c r="M387" i="19"/>
  <c r="J387" i="19"/>
  <c r="I387" i="19"/>
  <c r="H387" i="19"/>
  <c r="N386" i="19"/>
  <c r="M386" i="19"/>
  <c r="J386" i="19"/>
  <c r="I386" i="19"/>
  <c r="H386" i="19"/>
  <c r="N385" i="19"/>
  <c r="M385" i="19"/>
  <c r="J385" i="19"/>
  <c r="I385" i="19"/>
  <c r="H385" i="19"/>
  <c r="N384" i="19"/>
  <c r="P388" i="19" s="1"/>
  <c r="M384" i="19"/>
  <c r="H384" i="19"/>
  <c r="E389" i="1"/>
  <c r="E388" i="1"/>
  <c r="E387" i="1"/>
  <c r="E386" i="1"/>
  <c r="E385" i="1"/>
  <c r="M384" i="1"/>
  <c r="N384" i="1" s="1"/>
  <c r="L413" i="19"/>
  <c r="H413" i="19"/>
  <c r="N412" i="19"/>
  <c r="M412" i="19"/>
  <c r="J412" i="19"/>
  <c r="I412" i="19"/>
  <c r="H412" i="19"/>
  <c r="N411" i="19"/>
  <c r="M411" i="19"/>
  <c r="J411" i="19"/>
  <c r="I411" i="19"/>
  <c r="H411" i="19"/>
  <c r="N410" i="19"/>
  <c r="M410" i="19"/>
  <c r="J410" i="19"/>
  <c r="I410" i="19"/>
  <c r="H410" i="19"/>
  <c r="N409" i="19"/>
  <c r="M409" i="19"/>
  <c r="J409" i="19"/>
  <c r="I409" i="19"/>
  <c r="H409" i="19"/>
  <c r="N408" i="19"/>
  <c r="P412" i="19" s="1"/>
  <c r="M408" i="19"/>
  <c r="H408" i="19"/>
  <c r="E408" i="19"/>
  <c r="E413" i="1"/>
  <c r="E412" i="1"/>
  <c r="E411" i="1"/>
  <c r="E410" i="1"/>
  <c r="E409" i="1"/>
  <c r="H491" i="19"/>
  <c r="N490" i="19"/>
  <c r="M490" i="19"/>
  <c r="J490" i="19"/>
  <c r="I490" i="19"/>
  <c r="H490" i="19"/>
  <c r="N489" i="19"/>
  <c r="M489" i="19"/>
  <c r="J489" i="19"/>
  <c r="I489" i="19"/>
  <c r="H489" i="19"/>
  <c r="N488" i="19"/>
  <c r="M488" i="19"/>
  <c r="J488" i="19"/>
  <c r="I488" i="19"/>
  <c r="H488" i="19"/>
  <c r="N487" i="19"/>
  <c r="M487" i="19"/>
  <c r="J487" i="19"/>
  <c r="I487" i="19"/>
  <c r="H487" i="19"/>
  <c r="N486" i="19"/>
  <c r="P488" i="19" s="1"/>
  <c r="M486" i="19"/>
  <c r="H486" i="19"/>
  <c r="L491" i="19"/>
  <c r="E491" i="1"/>
  <c r="E490" i="1"/>
  <c r="E489" i="1"/>
  <c r="E488" i="1"/>
  <c r="E487" i="1"/>
  <c r="L443" i="19"/>
  <c r="H443" i="19"/>
  <c r="F443" i="19"/>
  <c r="N442" i="19"/>
  <c r="M442" i="19"/>
  <c r="J442" i="19"/>
  <c r="I442" i="19"/>
  <c r="H442" i="19"/>
  <c r="N441" i="19"/>
  <c r="M441" i="19"/>
  <c r="J441" i="19"/>
  <c r="I441" i="19"/>
  <c r="H441" i="19"/>
  <c r="N440" i="19"/>
  <c r="M440" i="19"/>
  <c r="J440" i="19"/>
  <c r="I440" i="19"/>
  <c r="H440" i="19"/>
  <c r="N439" i="19"/>
  <c r="M439" i="19"/>
  <c r="J439" i="19"/>
  <c r="I439" i="19"/>
  <c r="H439" i="19"/>
  <c r="N438" i="19"/>
  <c r="P442" i="19" s="1"/>
  <c r="M438" i="19"/>
  <c r="H438" i="19"/>
  <c r="E438" i="19"/>
  <c r="E443" i="1"/>
  <c r="E442" i="1"/>
  <c r="M441" i="1"/>
  <c r="N441" i="1" s="1"/>
  <c r="E441" i="1"/>
  <c r="E440" i="1"/>
  <c r="E439" i="1"/>
  <c r="O15" i="19"/>
  <c r="B2" i="19" s="1"/>
  <c r="B2" i="1"/>
  <c r="I450" i="1" l="1"/>
  <c r="I450" i="31" s="1"/>
  <c r="G450" i="19"/>
  <c r="G390" i="1"/>
  <c r="G783" i="19"/>
  <c r="I783" i="1"/>
  <c r="G783" i="31"/>
  <c r="G783" i="32"/>
  <c r="G450" i="31"/>
  <c r="G450" i="32"/>
  <c r="G394" i="31"/>
  <c r="G394" i="32"/>
  <c r="G394" i="19"/>
  <c r="E440" i="32"/>
  <c r="E440" i="31"/>
  <c r="E388" i="32"/>
  <c r="E388" i="31"/>
  <c r="E782" i="32"/>
  <c r="E782" i="31"/>
  <c r="E413" i="32"/>
  <c r="E413" i="31"/>
  <c r="E389" i="32"/>
  <c r="E389" i="31"/>
  <c r="E410" i="32"/>
  <c r="E410" i="31"/>
  <c r="E491" i="32"/>
  <c r="E491" i="31"/>
  <c r="E443" i="32"/>
  <c r="E443" i="31"/>
  <c r="E487" i="32"/>
  <c r="E487" i="31"/>
  <c r="E442" i="32"/>
  <c r="E442" i="31"/>
  <c r="E489" i="32"/>
  <c r="E489" i="31"/>
  <c r="E441" i="32"/>
  <c r="E441" i="31"/>
  <c r="E781" i="32"/>
  <c r="E781" i="31"/>
  <c r="E488" i="32"/>
  <c r="E488" i="31"/>
  <c r="E411" i="32"/>
  <c r="E411" i="31"/>
  <c r="E387" i="32"/>
  <c r="E387" i="31"/>
  <c r="E412" i="32"/>
  <c r="E412" i="31"/>
  <c r="E778" i="31"/>
  <c r="E778" i="32"/>
  <c r="E386" i="32"/>
  <c r="E386" i="31"/>
  <c r="E490" i="32"/>
  <c r="E490" i="31"/>
  <c r="E779" i="32"/>
  <c r="E779" i="31"/>
  <c r="E439" i="32"/>
  <c r="E439" i="31"/>
  <c r="E409" i="32"/>
  <c r="E409" i="31"/>
  <c r="E385" i="32"/>
  <c r="E385" i="31"/>
  <c r="E780" i="32"/>
  <c r="E780" i="31"/>
  <c r="I783" i="32"/>
  <c r="I783" i="31"/>
  <c r="I450" i="32"/>
  <c r="G456" i="32"/>
  <c r="G456" i="31"/>
  <c r="G390" i="31"/>
  <c r="G444" i="32"/>
  <c r="G444" i="31"/>
  <c r="G462" i="32"/>
  <c r="G462" i="31"/>
  <c r="I444" i="1"/>
  <c r="G444" i="19"/>
  <c r="I462" i="1"/>
  <c r="G462" i="19"/>
  <c r="I783" i="19"/>
  <c r="I450" i="19"/>
  <c r="I456" i="1"/>
  <c r="G456" i="19"/>
  <c r="G390" i="19"/>
  <c r="V441" i="1"/>
  <c r="W441" i="1" s="1"/>
  <c r="V487" i="1"/>
  <c r="V388" i="1"/>
  <c r="W388" i="1" s="1"/>
  <c r="E779" i="19"/>
  <c r="V777" i="1"/>
  <c r="W777" i="1" s="1"/>
  <c r="V438" i="1"/>
  <c r="W438" i="1" s="1"/>
  <c r="V410" i="1"/>
  <c r="W410" i="1" s="1"/>
  <c r="V385" i="1"/>
  <c r="E780" i="19"/>
  <c r="V489" i="1"/>
  <c r="V779" i="1"/>
  <c r="V440" i="1"/>
  <c r="V486" i="1"/>
  <c r="V412" i="1"/>
  <c r="V387" i="1"/>
  <c r="W387" i="1" s="1"/>
  <c r="E781" i="19"/>
  <c r="V409" i="1"/>
  <c r="V384" i="1"/>
  <c r="W384" i="1" s="1"/>
  <c r="E782" i="19"/>
  <c r="V781" i="1"/>
  <c r="V442" i="1"/>
  <c r="V488" i="1"/>
  <c r="V778" i="1"/>
  <c r="V439" i="1"/>
  <c r="V411" i="1"/>
  <c r="W411" i="1" s="1"/>
  <c r="V386" i="1"/>
  <c r="V490" i="1"/>
  <c r="E778" i="19"/>
  <c r="V780" i="1"/>
  <c r="W780" i="1" s="1"/>
  <c r="L491" i="1"/>
  <c r="L413" i="1"/>
  <c r="L782" i="1"/>
  <c r="L443" i="1"/>
  <c r="L389" i="1"/>
  <c r="E491" i="19"/>
  <c r="E487" i="19"/>
  <c r="E488" i="19"/>
  <c r="E489" i="19"/>
  <c r="E490" i="19"/>
  <c r="M419" i="1"/>
  <c r="N419" i="1" s="1"/>
  <c r="W419" i="1" s="1"/>
  <c r="E387" i="19"/>
  <c r="E388" i="19"/>
  <c r="E389" i="19"/>
  <c r="E385" i="19"/>
  <c r="E386" i="19"/>
  <c r="R486" i="19"/>
  <c r="F781" i="1"/>
  <c r="G385" i="1"/>
  <c r="G778" i="1"/>
  <c r="G489" i="1"/>
  <c r="G782" i="1"/>
  <c r="G487" i="1"/>
  <c r="G488" i="1"/>
  <c r="F388" i="1"/>
  <c r="G780" i="1"/>
  <c r="G491" i="1"/>
  <c r="Q486" i="19"/>
  <c r="Q777" i="19"/>
  <c r="R777" i="19"/>
  <c r="S777" i="19"/>
  <c r="P778" i="19"/>
  <c r="Q778" i="19" s="1"/>
  <c r="P780" i="19"/>
  <c r="Q780" i="19" s="1"/>
  <c r="M782" i="19"/>
  <c r="N782" i="19" s="1"/>
  <c r="P780" i="1"/>
  <c r="Q777" i="1"/>
  <c r="P779" i="1"/>
  <c r="P781" i="1"/>
  <c r="R777" i="1"/>
  <c r="P782" i="1"/>
  <c r="P778" i="1"/>
  <c r="S777" i="1"/>
  <c r="R781" i="19"/>
  <c r="S781" i="19"/>
  <c r="Q781" i="19"/>
  <c r="M778" i="1"/>
  <c r="N778" i="1" s="1"/>
  <c r="E413" i="19"/>
  <c r="M781" i="1"/>
  <c r="N781" i="1" s="1"/>
  <c r="P779" i="19"/>
  <c r="M779" i="1"/>
  <c r="N779" i="1" s="1"/>
  <c r="F490" i="1"/>
  <c r="M386" i="1"/>
  <c r="N386" i="1" s="1"/>
  <c r="G389" i="1"/>
  <c r="P782" i="19"/>
  <c r="G779" i="1"/>
  <c r="R384" i="19"/>
  <c r="Q384" i="19"/>
  <c r="P387" i="19"/>
  <c r="S387" i="19" s="1"/>
  <c r="Q388" i="19"/>
  <c r="R388" i="19"/>
  <c r="S388" i="19"/>
  <c r="M389" i="19"/>
  <c r="N389" i="19" s="1"/>
  <c r="Q384" i="1"/>
  <c r="P386" i="1"/>
  <c r="P388" i="1"/>
  <c r="P385" i="1"/>
  <c r="S384" i="1"/>
  <c r="P389" i="1"/>
  <c r="R384" i="1"/>
  <c r="P387" i="1"/>
  <c r="N385" i="1"/>
  <c r="G386" i="1"/>
  <c r="S384" i="19"/>
  <c r="P386" i="19"/>
  <c r="P491" i="19"/>
  <c r="G387" i="1"/>
  <c r="P385" i="19"/>
  <c r="P389" i="19"/>
  <c r="Q408" i="19"/>
  <c r="P409" i="19"/>
  <c r="R409" i="19" s="1"/>
  <c r="M413" i="19"/>
  <c r="N413" i="19" s="1"/>
  <c r="Q412" i="19"/>
  <c r="S412" i="19"/>
  <c r="R412" i="19"/>
  <c r="G443" i="1"/>
  <c r="M409" i="1"/>
  <c r="N409" i="1" s="1"/>
  <c r="R408" i="19"/>
  <c r="E411" i="19"/>
  <c r="P411" i="19"/>
  <c r="S408" i="19"/>
  <c r="M412" i="1"/>
  <c r="N412" i="1" s="1"/>
  <c r="E410" i="19"/>
  <c r="P410" i="19"/>
  <c r="G413" i="1"/>
  <c r="E409" i="19"/>
  <c r="S486" i="19"/>
  <c r="P413" i="19"/>
  <c r="P487" i="19"/>
  <c r="Q487" i="19" s="1"/>
  <c r="E412" i="19"/>
  <c r="Q488" i="19"/>
  <c r="S488" i="19"/>
  <c r="R488" i="19"/>
  <c r="M491" i="19"/>
  <c r="N491" i="19" s="1"/>
  <c r="M487" i="1"/>
  <c r="N487" i="1" s="1"/>
  <c r="M489" i="1"/>
  <c r="N489" i="1" s="1"/>
  <c r="E441" i="19"/>
  <c r="P490" i="19"/>
  <c r="M442" i="1"/>
  <c r="N442" i="1" s="1"/>
  <c r="P489" i="19"/>
  <c r="M488" i="1"/>
  <c r="N488" i="1" s="1"/>
  <c r="M490" i="1"/>
  <c r="N490" i="1" s="1"/>
  <c r="M440" i="1"/>
  <c r="N440" i="1" s="1"/>
  <c r="M486" i="1"/>
  <c r="N486" i="1" s="1"/>
  <c r="P439" i="19"/>
  <c r="R439" i="19" s="1"/>
  <c r="Q438" i="19"/>
  <c r="P440" i="19"/>
  <c r="R440" i="19" s="1"/>
  <c r="R438" i="19"/>
  <c r="P441" i="19"/>
  <c r="S441" i="19" s="1"/>
  <c r="F442" i="1"/>
  <c r="G439" i="1"/>
  <c r="P443" i="19"/>
  <c r="R442" i="19"/>
  <c r="S442" i="19"/>
  <c r="Q442" i="19"/>
  <c r="P440" i="1"/>
  <c r="P442" i="1"/>
  <c r="P439" i="1"/>
  <c r="S438" i="1"/>
  <c r="P441" i="1"/>
  <c r="Q438" i="1"/>
  <c r="P443" i="1"/>
  <c r="R438" i="1"/>
  <c r="M443" i="19"/>
  <c r="N443" i="19" s="1"/>
  <c r="N439" i="1"/>
  <c r="G440" i="1"/>
  <c r="S438" i="19"/>
  <c r="E440" i="19"/>
  <c r="G441" i="1"/>
  <c r="E439" i="19"/>
  <c r="E443" i="19"/>
  <c r="E442" i="19"/>
  <c r="E614" i="1"/>
  <c r="E609" i="1"/>
  <c r="E604" i="1"/>
  <c r="E599" i="1"/>
  <c r="E594" i="1"/>
  <c r="G824" i="1"/>
  <c r="G823" i="1"/>
  <c r="G822" i="1"/>
  <c r="G821" i="1"/>
  <c r="G390" i="32" l="1"/>
  <c r="I390" i="1"/>
  <c r="E594" i="32"/>
  <c r="E594" i="31"/>
  <c r="E599" i="32"/>
  <c r="E599" i="31"/>
  <c r="E604" i="32"/>
  <c r="E604" i="31"/>
  <c r="E614" i="32"/>
  <c r="E614" i="31"/>
  <c r="E609" i="32"/>
  <c r="E609" i="31"/>
  <c r="G440" i="32"/>
  <c r="G440" i="31"/>
  <c r="G779" i="32"/>
  <c r="G779" i="31"/>
  <c r="G780" i="32"/>
  <c r="G780" i="31"/>
  <c r="F781" i="32"/>
  <c r="F781" i="31"/>
  <c r="F388" i="32"/>
  <c r="F388" i="31"/>
  <c r="I462" i="32"/>
  <c r="I462" i="31"/>
  <c r="G441" i="32"/>
  <c r="G441" i="31"/>
  <c r="G439" i="32"/>
  <c r="G439" i="31"/>
  <c r="G821" i="32"/>
  <c r="G821" i="31"/>
  <c r="F442" i="32"/>
  <c r="F442" i="31"/>
  <c r="G488" i="32"/>
  <c r="G488" i="31"/>
  <c r="G822" i="32"/>
  <c r="G822" i="31"/>
  <c r="G487" i="32"/>
  <c r="G487" i="31"/>
  <c r="I390" i="32"/>
  <c r="I390" i="31"/>
  <c r="G823" i="32"/>
  <c r="G823" i="31"/>
  <c r="G413" i="32"/>
  <c r="G413" i="31"/>
  <c r="G386" i="32"/>
  <c r="G386" i="31"/>
  <c r="G389" i="32"/>
  <c r="G389" i="31"/>
  <c r="G782" i="32"/>
  <c r="G782" i="31"/>
  <c r="I456" i="32"/>
  <c r="I456" i="31"/>
  <c r="G443" i="32"/>
  <c r="G443" i="31"/>
  <c r="G489" i="32"/>
  <c r="G489" i="31"/>
  <c r="G824" i="32"/>
  <c r="G824" i="31"/>
  <c r="G387" i="32"/>
  <c r="G387" i="31"/>
  <c r="F490" i="32"/>
  <c r="F490" i="31"/>
  <c r="G778" i="32"/>
  <c r="G778" i="31"/>
  <c r="I444" i="32"/>
  <c r="I444" i="31"/>
  <c r="G491" i="32"/>
  <c r="G491" i="31"/>
  <c r="G385" i="32"/>
  <c r="G385" i="31"/>
  <c r="T777" i="32"/>
  <c r="T438" i="32"/>
  <c r="Y441" i="32"/>
  <c r="T384" i="32"/>
  <c r="Y410" i="32"/>
  <c r="Y411" i="32"/>
  <c r="Y384" i="32"/>
  <c r="Y438" i="32"/>
  <c r="Y777" i="32"/>
  <c r="Y419" i="32"/>
  <c r="Y780" i="32"/>
  <c r="Y388" i="32"/>
  <c r="Y387" i="32"/>
  <c r="Y441" i="31"/>
  <c r="T438" i="31"/>
  <c r="T777" i="31"/>
  <c r="Y410" i="31"/>
  <c r="Y411" i="31"/>
  <c r="Y384" i="31"/>
  <c r="Y438" i="31"/>
  <c r="T384" i="31"/>
  <c r="Y777" i="31"/>
  <c r="Y419" i="31"/>
  <c r="Y780" i="31"/>
  <c r="Y388" i="31"/>
  <c r="Y387" i="31"/>
  <c r="I444" i="19"/>
  <c r="I462" i="19"/>
  <c r="I390" i="19"/>
  <c r="I456" i="19"/>
  <c r="W487" i="1"/>
  <c r="W488" i="1"/>
  <c r="W490" i="1"/>
  <c r="W412" i="1"/>
  <c r="W489" i="1"/>
  <c r="W781" i="1"/>
  <c r="I823" i="1"/>
  <c r="I824" i="1"/>
  <c r="I822" i="1"/>
  <c r="I821" i="1"/>
  <c r="W442" i="1"/>
  <c r="W386" i="1"/>
  <c r="W486" i="1"/>
  <c r="W779" i="1"/>
  <c r="W385" i="1"/>
  <c r="W439" i="1"/>
  <c r="W778" i="1"/>
  <c r="W440" i="1"/>
  <c r="V389" i="1"/>
  <c r="V491" i="1"/>
  <c r="V443" i="1"/>
  <c r="V782" i="1"/>
  <c r="W409" i="1"/>
  <c r="F781" i="19"/>
  <c r="F490" i="19"/>
  <c r="Y451" i="19"/>
  <c r="M455" i="1"/>
  <c r="N455" i="1" s="1"/>
  <c r="W455" i="1" s="1"/>
  <c r="Y454" i="19"/>
  <c r="Y452" i="19"/>
  <c r="Y450" i="19"/>
  <c r="Y453" i="19"/>
  <c r="Y414" i="19"/>
  <c r="Y417" i="19"/>
  <c r="Y415" i="19"/>
  <c r="R419" i="1"/>
  <c r="Q419" i="1"/>
  <c r="S419" i="1"/>
  <c r="Y416" i="19"/>
  <c r="Y418" i="19"/>
  <c r="F388" i="19"/>
  <c r="G778" i="19"/>
  <c r="G489" i="19"/>
  <c r="G385" i="19"/>
  <c r="G781" i="1"/>
  <c r="G782" i="19"/>
  <c r="G388" i="1"/>
  <c r="G443" i="19"/>
  <c r="G780" i="19"/>
  <c r="Y388" i="19"/>
  <c r="Y384" i="19"/>
  <c r="Y387" i="19"/>
  <c r="G490" i="1"/>
  <c r="S487" i="19"/>
  <c r="R780" i="19"/>
  <c r="R778" i="19"/>
  <c r="S778" i="19"/>
  <c r="S780" i="19"/>
  <c r="T777" i="19"/>
  <c r="Q782" i="19"/>
  <c r="S782" i="19"/>
  <c r="R782" i="19"/>
  <c r="R781" i="1"/>
  <c r="Q781" i="1"/>
  <c r="S781" i="1"/>
  <c r="G779" i="19"/>
  <c r="S778" i="1"/>
  <c r="R778" i="1"/>
  <c r="Q778" i="1"/>
  <c r="S779" i="19"/>
  <c r="R779" i="19"/>
  <c r="Q779" i="19"/>
  <c r="Q779" i="1"/>
  <c r="R779" i="1"/>
  <c r="S779" i="1"/>
  <c r="S780" i="1"/>
  <c r="Q780" i="1"/>
  <c r="R780" i="1"/>
  <c r="S409" i="19"/>
  <c r="R487" i="19"/>
  <c r="G389" i="19"/>
  <c r="R387" i="19"/>
  <c r="Q387" i="19"/>
  <c r="S385" i="1"/>
  <c r="R385" i="1"/>
  <c r="Q385" i="1"/>
  <c r="T384" i="19"/>
  <c r="G387" i="19"/>
  <c r="G386" i="19"/>
  <c r="R388" i="1"/>
  <c r="S388" i="1"/>
  <c r="Q388" i="1"/>
  <c r="Q386" i="1"/>
  <c r="S386" i="1"/>
  <c r="R386" i="1"/>
  <c r="M389" i="1"/>
  <c r="N389" i="1" s="1"/>
  <c r="Q389" i="19"/>
  <c r="R389" i="19"/>
  <c r="S389" i="19"/>
  <c r="S386" i="19"/>
  <c r="R386" i="19"/>
  <c r="Q386" i="19"/>
  <c r="S387" i="1"/>
  <c r="R387" i="1"/>
  <c r="Q387" i="1"/>
  <c r="R385" i="19"/>
  <c r="Q385" i="19"/>
  <c r="S385" i="19"/>
  <c r="Q409" i="19"/>
  <c r="R491" i="19"/>
  <c r="Q491" i="19"/>
  <c r="S491" i="19"/>
  <c r="S411" i="19"/>
  <c r="R411" i="19"/>
  <c r="Q411" i="19"/>
  <c r="Q413" i="19"/>
  <c r="R413" i="19"/>
  <c r="S413" i="19"/>
  <c r="G413" i="19"/>
  <c r="S410" i="19"/>
  <c r="R410" i="19"/>
  <c r="Q410" i="19"/>
  <c r="G491" i="19"/>
  <c r="S489" i="19"/>
  <c r="R489" i="19"/>
  <c r="Q489" i="19"/>
  <c r="S490" i="19"/>
  <c r="R490" i="19"/>
  <c r="Q490" i="19"/>
  <c r="P490" i="1"/>
  <c r="P488" i="1"/>
  <c r="Q486" i="1"/>
  <c r="R486" i="1"/>
  <c r="P491" i="1"/>
  <c r="P489" i="1"/>
  <c r="P487" i="1"/>
  <c r="S486" i="1"/>
  <c r="G487" i="19"/>
  <c r="G488" i="19"/>
  <c r="G439" i="19"/>
  <c r="Q439" i="19"/>
  <c r="F442" i="19"/>
  <c r="S439" i="19"/>
  <c r="S440" i="19"/>
  <c r="Q440" i="19"/>
  <c r="Q441" i="19"/>
  <c r="R441" i="19"/>
  <c r="G442" i="1"/>
  <c r="S443" i="19"/>
  <c r="R443" i="19"/>
  <c r="Q443" i="19"/>
  <c r="R442" i="1"/>
  <c r="Q442" i="1"/>
  <c r="S442" i="1"/>
  <c r="G440" i="19"/>
  <c r="Q440" i="1"/>
  <c r="R440" i="1"/>
  <c r="S440" i="1"/>
  <c r="S441" i="1"/>
  <c r="R441" i="1"/>
  <c r="Q441" i="1"/>
  <c r="G441" i="19"/>
  <c r="T438" i="19"/>
  <c r="S439" i="1"/>
  <c r="R439" i="1"/>
  <c r="Q439" i="1"/>
  <c r="M822" i="1"/>
  <c r="N822" i="1" s="1"/>
  <c r="M823" i="1"/>
  <c r="N823" i="1" s="1"/>
  <c r="E801" i="1"/>
  <c r="H2546" i="19"/>
  <c r="H2545" i="19"/>
  <c r="H2544" i="19"/>
  <c r="H2543" i="19"/>
  <c r="H2542" i="19"/>
  <c r="H2541" i="19"/>
  <c r="H2540" i="19"/>
  <c r="H2539" i="19"/>
  <c r="H2538" i="19"/>
  <c r="H2537" i="19"/>
  <c r="H2536" i="19"/>
  <c r="H2535" i="19"/>
  <c r="H2534" i="19"/>
  <c r="H2533" i="19"/>
  <c r="H2532" i="19"/>
  <c r="H2531" i="19"/>
  <c r="H2530" i="19"/>
  <c r="H2529" i="19"/>
  <c r="H2528" i="19"/>
  <c r="H2527" i="19"/>
  <c r="H2526" i="19"/>
  <c r="H2525" i="19"/>
  <c r="H2524" i="19"/>
  <c r="H2523" i="19"/>
  <c r="H2522" i="19"/>
  <c r="H2521" i="19"/>
  <c r="H2520" i="19"/>
  <c r="H2519" i="19"/>
  <c r="H2518" i="19"/>
  <c r="H2517" i="19"/>
  <c r="H2516" i="19"/>
  <c r="J2515" i="19"/>
  <c r="I2515" i="19"/>
  <c r="H2515" i="19"/>
  <c r="H2514" i="19"/>
  <c r="H2513" i="19"/>
  <c r="H2512" i="19"/>
  <c r="H2511" i="19"/>
  <c r="H2510" i="19"/>
  <c r="H2509" i="19"/>
  <c r="H2508" i="19"/>
  <c r="H2507" i="19"/>
  <c r="H2506" i="19"/>
  <c r="H2505" i="19"/>
  <c r="H2504" i="19"/>
  <c r="H2503" i="19"/>
  <c r="H2502" i="19"/>
  <c r="H2501" i="19"/>
  <c r="J2500" i="19"/>
  <c r="I2500" i="19"/>
  <c r="H2500" i="19"/>
  <c r="J2499" i="19"/>
  <c r="I2499" i="19"/>
  <c r="H2499" i="19"/>
  <c r="H2498" i="19"/>
  <c r="H2497" i="19"/>
  <c r="H2496" i="19"/>
  <c r="H2495" i="19"/>
  <c r="H2494" i="19"/>
  <c r="H2493" i="19"/>
  <c r="H2492" i="19"/>
  <c r="H2491" i="19"/>
  <c r="H2490" i="19"/>
  <c r="H2489" i="19"/>
  <c r="H2488" i="19"/>
  <c r="H2487" i="19"/>
  <c r="H2486" i="19"/>
  <c r="H2485" i="19"/>
  <c r="H2484" i="19"/>
  <c r="H2483" i="19"/>
  <c r="H2482" i="19"/>
  <c r="H2481" i="19"/>
  <c r="H2480" i="19"/>
  <c r="H2479" i="19"/>
  <c r="H2478" i="19"/>
  <c r="H2477" i="19"/>
  <c r="H2476" i="19"/>
  <c r="H2475" i="19"/>
  <c r="H2474" i="19"/>
  <c r="H2473" i="19"/>
  <c r="H2472" i="19"/>
  <c r="H2471" i="19"/>
  <c r="H2470" i="19"/>
  <c r="H2469" i="19"/>
  <c r="H2468" i="19"/>
  <c r="J2467" i="19"/>
  <c r="I2467" i="19"/>
  <c r="H2467" i="19"/>
  <c r="H2466" i="19"/>
  <c r="H2465" i="19"/>
  <c r="H2464" i="19"/>
  <c r="H2463" i="19"/>
  <c r="H2462" i="19"/>
  <c r="H2460" i="19"/>
  <c r="H2459" i="19"/>
  <c r="H2458" i="19"/>
  <c r="H2457" i="19"/>
  <c r="H2456" i="19"/>
  <c r="H2454" i="19"/>
  <c r="H2453" i="19"/>
  <c r="H2452" i="19"/>
  <c r="H2451" i="19"/>
  <c r="H2450" i="19"/>
  <c r="H2448" i="19"/>
  <c r="H2447" i="19"/>
  <c r="H2446" i="19"/>
  <c r="H2445" i="19"/>
  <c r="H2444" i="19"/>
  <c r="H2442" i="19"/>
  <c r="H2441" i="19"/>
  <c r="H2440" i="19"/>
  <c r="H2439" i="19"/>
  <c r="H2438" i="19"/>
  <c r="H2436" i="19"/>
  <c r="H2435" i="19"/>
  <c r="H2434" i="19"/>
  <c r="H2433" i="19"/>
  <c r="H2432" i="19"/>
  <c r="H2430" i="19"/>
  <c r="H2429" i="19"/>
  <c r="H2428" i="19"/>
  <c r="H2427" i="19"/>
  <c r="H2426" i="19"/>
  <c r="H2424" i="19"/>
  <c r="H2423" i="19"/>
  <c r="H2422" i="19"/>
  <c r="H2421" i="19"/>
  <c r="H2420" i="19"/>
  <c r="H2418" i="19"/>
  <c r="H2417" i="19"/>
  <c r="H2416" i="19"/>
  <c r="H2415" i="19"/>
  <c r="H2414" i="19"/>
  <c r="H2412" i="19"/>
  <c r="H2411" i="19"/>
  <c r="H2410" i="19"/>
  <c r="H2409" i="19"/>
  <c r="H2408" i="19"/>
  <c r="I2406" i="19"/>
  <c r="H2406" i="19"/>
  <c r="I2405" i="19"/>
  <c r="H2405" i="19"/>
  <c r="I2404" i="19"/>
  <c r="H2404" i="19"/>
  <c r="I2402" i="19"/>
  <c r="H2402" i="19"/>
  <c r="I2401" i="19"/>
  <c r="H2401" i="19"/>
  <c r="I2400" i="19"/>
  <c r="H2400" i="19"/>
  <c r="I2398" i="19"/>
  <c r="H2398" i="19"/>
  <c r="I2397" i="19"/>
  <c r="H2397" i="19"/>
  <c r="I2396" i="19"/>
  <c r="H2396" i="19"/>
  <c r="I2394" i="19"/>
  <c r="H2394" i="19"/>
  <c r="I2393" i="19"/>
  <c r="H2393" i="19"/>
  <c r="I2392" i="19"/>
  <c r="H2392" i="19"/>
  <c r="I2390" i="19"/>
  <c r="H2390" i="19"/>
  <c r="I2389" i="19"/>
  <c r="H2389" i="19"/>
  <c r="I2388" i="19"/>
  <c r="H2388" i="19"/>
  <c r="I2386" i="19"/>
  <c r="H2386" i="19"/>
  <c r="I2385" i="19"/>
  <c r="H2385" i="19"/>
  <c r="I2384" i="19"/>
  <c r="H2384" i="19"/>
  <c r="I2382" i="19"/>
  <c r="H2382" i="19"/>
  <c r="I2381" i="19"/>
  <c r="H2381" i="19"/>
  <c r="I2380" i="19"/>
  <c r="H2380" i="19"/>
  <c r="I2378" i="19"/>
  <c r="H2378" i="19"/>
  <c r="I2377" i="19"/>
  <c r="H2377" i="19"/>
  <c r="I2376" i="19"/>
  <c r="H2376" i="19"/>
  <c r="I2374" i="19"/>
  <c r="H2374" i="19"/>
  <c r="I2373" i="19"/>
  <c r="H2373" i="19"/>
  <c r="I2372" i="19"/>
  <c r="H2372" i="19"/>
  <c r="I2370" i="19"/>
  <c r="H2370" i="19"/>
  <c r="I2369" i="19"/>
  <c r="H2369" i="19"/>
  <c r="I2368" i="19"/>
  <c r="H2368" i="19"/>
  <c r="I2366" i="19"/>
  <c r="H2366" i="19"/>
  <c r="I2365" i="19"/>
  <c r="H2365" i="19"/>
  <c r="I2364" i="19"/>
  <c r="H2364" i="19"/>
  <c r="I2362" i="19"/>
  <c r="H2362" i="19"/>
  <c r="I2361" i="19"/>
  <c r="H2361" i="19"/>
  <c r="I2360" i="19"/>
  <c r="H2360" i="19"/>
  <c r="I2358" i="19"/>
  <c r="H2358" i="19"/>
  <c r="I2357" i="19"/>
  <c r="H2357" i="19"/>
  <c r="I2356" i="19"/>
  <c r="H2356" i="19"/>
  <c r="I2354" i="19"/>
  <c r="H2354" i="19"/>
  <c r="I2353" i="19"/>
  <c r="H2353" i="19"/>
  <c r="I2352" i="19"/>
  <c r="H2352" i="19"/>
  <c r="I2350" i="19"/>
  <c r="H2350" i="19"/>
  <c r="I2349" i="19"/>
  <c r="H2349" i="19"/>
  <c r="I2348" i="19"/>
  <c r="H2348" i="19"/>
  <c r="I2346" i="19"/>
  <c r="H2346" i="19"/>
  <c r="I2345" i="19"/>
  <c r="H2345" i="19"/>
  <c r="I2344" i="19"/>
  <c r="H2344" i="19"/>
  <c r="I2342" i="19"/>
  <c r="H2342" i="19"/>
  <c r="I2341" i="19"/>
  <c r="H2341" i="19"/>
  <c r="I2340" i="19"/>
  <c r="H2340" i="19"/>
  <c r="I2338" i="19"/>
  <c r="H2338" i="19"/>
  <c r="I2337" i="19"/>
  <c r="H2337" i="19"/>
  <c r="I2336" i="19"/>
  <c r="H2336" i="19"/>
  <c r="I2334" i="19"/>
  <c r="H2334" i="19"/>
  <c r="I2333" i="19"/>
  <c r="H2333" i="19"/>
  <c r="I2332" i="19"/>
  <c r="H2332" i="19"/>
  <c r="I2330" i="19"/>
  <c r="H2330" i="19"/>
  <c r="I2329" i="19"/>
  <c r="H2329" i="19"/>
  <c r="I2328" i="19"/>
  <c r="H2328" i="19"/>
  <c r="I2326" i="19"/>
  <c r="H2326" i="19"/>
  <c r="I2325" i="19"/>
  <c r="H2325" i="19"/>
  <c r="I2324" i="19"/>
  <c r="H2324" i="19"/>
  <c r="I2322" i="19"/>
  <c r="H2322" i="19"/>
  <c r="I2321" i="19"/>
  <c r="H2321" i="19"/>
  <c r="I2320" i="19"/>
  <c r="H2320" i="19"/>
  <c r="I2319" i="19"/>
  <c r="H2319" i="19"/>
  <c r="I2318" i="19"/>
  <c r="H2318" i="19"/>
  <c r="I2316" i="19"/>
  <c r="H2316" i="19"/>
  <c r="I2315" i="19"/>
  <c r="H2315" i="19"/>
  <c r="I2314" i="19"/>
  <c r="H2314" i="19"/>
  <c r="I2313" i="19"/>
  <c r="H2313" i="19"/>
  <c r="I2312" i="19"/>
  <c r="H2312" i="19"/>
  <c r="I2310" i="19"/>
  <c r="H2310" i="19"/>
  <c r="I2309" i="19"/>
  <c r="H2309" i="19"/>
  <c r="I2308" i="19"/>
  <c r="H2308" i="19"/>
  <c r="I2307" i="19"/>
  <c r="H2307" i="19"/>
  <c r="I2306" i="19"/>
  <c r="H2306" i="19"/>
  <c r="I2304" i="19"/>
  <c r="H2304" i="19"/>
  <c r="I2303" i="19"/>
  <c r="H2303" i="19"/>
  <c r="I2302" i="19"/>
  <c r="H2302" i="19"/>
  <c r="I2301" i="19"/>
  <c r="H2301" i="19"/>
  <c r="I2300" i="19"/>
  <c r="H2300" i="19"/>
  <c r="I2298" i="19"/>
  <c r="H2298" i="19"/>
  <c r="I2297" i="19"/>
  <c r="H2297" i="19"/>
  <c r="I2296" i="19"/>
  <c r="H2296" i="19"/>
  <c r="I2295" i="19"/>
  <c r="H2295" i="19"/>
  <c r="I2294" i="19"/>
  <c r="H2294" i="19"/>
  <c r="I2292" i="19"/>
  <c r="H2292" i="19"/>
  <c r="I2291" i="19"/>
  <c r="H2291" i="19"/>
  <c r="I2290" i="19"/>
  <c r="H2290" i="19"/>
  <c r="I2288" i="19"/>
  <c r="H2288" i="19"/>
  <c r="I2287" i="19"/>
  <c r="H2287" i="19"/>
  <c r="I2286" i="19"/>
  <c r="H2286" i="19"/>
  <c r="I2284" i="19"/>
  <c r="H2284" i="19"/>
  <c r="I2283" i="19"/>
  <c r="H2283" i="19"/>
  <c r="I2282" i="19"/>
  <c r="H2282" i="19"/>
  <c r="I2280" i="19"/>
  <c r="H2280" i="19"/>
  <c r="I2279" i="19"/>
  <c r="H2279" i="19"/>
  <c r="I2278" i="19"/>
  <c r="H2278" i="19"/>
  <c r="I2276" i="19"/>
  <c r="H2276" i="19"/>
  <c r="I2275" i="19"/>
  <c r="H2275" i="19"/>
  <c r="I2274" i="19"/>
  <c r="H2274" i="19"/>
  <c r="I2272" i="19"/>
  <c r="H2272" i="19"/>
  <c r="I2271" i="19"/>
  <c r="H2271" i="19"/>
  <c r="I2270" i="19"/>
  <c r="H2270" i="19"/>
  <c r="I2268" i="19"/>
  <c r="H2268" i="19"/>
  <c r="I2267" i="19"/>
  <c r="H2267" i="19"/>
  <c r="I2266" i="19"/>
  <c r="H2266" i="19"/>
  <c r="I2264" i="19"/>
  <c r="H2264" i="19"/>
  <c r="I2263" i="19"/>
  <c r="H2263" i="19"/>
  <c r="I2262" i="19"/>
  <c r="H2262" i="19"/>
  <c r="I2260" i="19"/>
  <c r="H2260" i="19"/>
  <c r="I2259" i="19"/>
  <c r="H2259" i="19"/>
  <c r="I2258" i="19"/>
  <c r="H2258" i="19"/>
  <c r="I2256" i="19"/>
  <c r="H2256" i="19"/>
  <c r="I2255" i="19"/>
  <c r="H2255" i="19"/>
  <c r="I2254" i="19"/>
  <c r="H2254" i="19"/>
  <c r="I2252" i="19"/>
  <c r="H2252" i="19"/>
  <c r="I2251" i="19"/>
  <c r="H2251" i="19"/>
  <c r="I2250" i="19"/>
  <c r="H2250" i="19"/>
  <c r="I2248" i="19"/>
  <c r="H2248" i="19"/>
  <c r="I2247" i="19"/>
  <c r="H2247" i="19"/>
  <c r="I2246" i="19"/>
  <c r="H2246" i="19"/>
  <c r="I2244" i="19"/>
  <c r="H2244" i="19"/>
  <c r="I2243" i="19"/>
  <c r="H2243" i="19"/>
  <c r="I2242" i="19"/>
  <c r="H2242" i="19"/>
  <c r="I2241" i="19"/>
  <c r="H2241" i="19"/>
  <c r="I2240" i="19"/>
  <c r="H2240" i="19"/>
  <c r="I2238" i="19"/>
  <c r="H2238" i="19"/>
  <c r="I2237" i="19"/>
  <c r="H2237" i="19"/>
  <c r="I2236" i="19"/>
  <c r="H2236" i="19"/>
  <c r="I2235" i="19"/>
  <c r="H2235" i="19"/>
  <c r="I2234" i="19"/>
  <c r="H2234" i="19"/>
  <c r="I2232" i="19"/>
  <c r="H2232" i="19"/>
  <c r="I2231" i="19"/>
  <c r="H2231" i="19"/>
  <c r="I2230" i="19"/>
  <c r="H2230" i="19"/>
  <c r="I2229" i="19"/>
  <c r="H2229" i="19"/>
  <c r="I2228" i="19"/>
  <c r="H2228" i="19"/>
  <c r="I2226" i="19"/>
  <c r="H2226" i="19"/>
  <c r="I2225" i="19"/>
  <c r="H2225" i="19"/>
  <c r="I2224" i="19"/>
  <c r="H2224" i="19"/>
  <c r="I2223" i="19"/>
  <c r="H2223" i="19"/>
  <c r="I2222" i="19"/>
  <c r="H2222" i="19"/>
  <c r="I2220" i="19"/>
  <c r="H2220" i="19"/>
  <c r="I2219" i="19"/>
  <c r="H2219" i="19"/>
  <c r="I2218" i="19"/>
  <c r="H2218" i="19"/>
  <c r="I2217" i="19"/>
  <c r="H2217" i="19"/>
  <c r="I2216" i="19"/>
  <c r="H2216" i="19"/>
  <c r="I2214" i="19"/>
  <c r="H2214" i="19"/>
  <c r="I2213" i="19"/>
  <c r="H2213" i="19"/>
  <c r="I2212" i="19"/>
  <c r="H2212" i="19"/>
  <c r="I2210" i="19"/>
  <c r="H2210" i="19"/>
  <c r="I2209" i="19"/>
  <c r="H2209" i="19"/>
  <c r="I2208" i="19"/>
  <c r="H2208" i="19"/>
  <c r="I2206" i="19"/>
  <c r="H2206" i="19"/>
  <c r="I2205" i="19"/>
  <c r="H2205" i="19"/>
  <c r="I2204" i="19"/>
  <c r="H2204" i="19"/>
  <c r="I2202" i="19"/>
  <c r="H2202" i="19"/>
  <c r="I2201" i="19"/>
  <c r="H2201" i="19"/>
  <c r="I2200" i="19"/>
  <c r="H2200" i="19"/>
  <c r="I2198" i="19"/>
  <c r="H2198" i="19"/>
  <c r="I2197" i="19"/>
  <c r="H2197" i="19"/>
  <c r="I2196" i="19"/>
  <c r="H2196" i="19"/>
  <c r="I2194" i="19"/>
  <c r="H2194" i="19"/>
  <c r="I2193" i="19"/>
  <c r="H2193" i="19"/>
  <c r="I2192" i="19"/>
  <c r="H2192" i="19"/>
  <c r="I2190" i="19"/>
  <c r="H2190" i="19"/>
  <c r="I2189" i="19"/>
  <c r="H2189" i="19"/>
  <c r="I2188" i="19"/>
  <c r="H2188" i="19"/>
  <c r="I2186" i="19"/>
  <c r="H2186" i="19"/>
  <c r="I2185" i="19"/>
  <c r="H2185" i="19"/>
  <c r="I2184" i="19"/>
  <c r="H2184" i="19"/>
  <c r="I2182" i="19"/>
  <c r="H2182" i="19"/>
  <c r="I2181" i="19"/>
  <c r="H2181" i="19"/>
  <c r="I2180" i="19"/>
  <c r="H2180" i="19"/>
  <c r="I2179" i="19"/>
  <c r="H2179" i="19"/>
  <c r="I2178" i="19"/>
  <c r="H2178" i="19"/>
  <c r="I2176" i="19"/>
  <c r="H2176" i="19"/>
  <c r="I2175" i="19"/>
  <c r="H2175" i="19"/>
  <c r="I2174" i="19"/>
  <c r="H2174" i="19"/>
  <c r="I2173" i="19"/>
  <c r="H2173" i="19"/>
  <c r="I2172" i="19"/>
  <c r="H2172" i="19"/>
  <c r="I2170" i="19"/>
  <c r="H2170" i="19"/>
  <c r="I2169" i="19"/>
  <c r="H2169" i="19"/>
  <c r="I2168" i="19"/>
  <c r="H2168" i="19"/>
  <c r="I2167" i="19"/>
  <c r="H2167" i="19"/>
  <c r="I2166" i="19"/>
  <c r="H2166" i="19"/>
  <c r="I2164" i="19"/>
  <c r="H2164" i="19"/>
  <c r="I2163" i="19"/>
  <c r="H2163" i="19"/>
  <c r="I2162" i="19"/>
  <c r="H2162" i="19"/>
  <c r="I2161" i="19"/>
  <c r="H2161" i="19"/>
  <c r="I2160" i="19"/>
  <c r="H2160" i="19"/>
  <c r="I2158" i="19"/>
  <c r="H2158" i="19"/>
  <c r="I2157" i="19"/>
  <c r="H2157" i="19"/>
  <c r="I2156" i="19"/>
  <c r="H2156" i="19"/>
  <c r="I2154" i="19"/>
  <c r="H2154" i="19"/>
  <c r="I2153" i="19"/>
  <c r="H2153" i="19"/>
  <c r="I2152" i="19"/>
  <c r="H2152" i="19"/>
  <c r="I2150" i="19"/>
  <c r="H2150" i="19"/>
  <c r="I2149" i="19"/>
  <c r="H2149" i="19"/>
  <c r="I2148" i="19"/>
  <c r="H2148" i="19"/>
  <c r="I2146" i="19"/>
  <c r="H2146" i="19"/>
  <c r="I2145" i="19"/>
  <c r="H2145" i="19"/>
  <c r="I2144" i="19"/>
  <c r="H2144" i="19"/>
  <c r="I2142" i="19"/>
  <c r="H2142" i="19"/>
  <c r="I2141" i="19"/>
  <c r="H2141" i="19"/>
  <c r="I2140" i="19"/>
  <c r="H2140" i="19"/>
  <c r="I2138" i="19"/>
  <c r="H2138" i="19"/>
  <c r="I2137" i="19"/>
  <c r="H2137" i="19"/>
  <c r="I2136" i="19"/>
  <c r="H2136" i="19"/>
  <c r="I2134" i="19"/>
  <c r="H2134" i="19"/>
  <c r="I2133" i="19"/>
  <c r="H2133" i="19"/>
  <c r="I2132" i="19"/>
  <c r="H2132" i="19"/>
  <c r="I2130" i="19"/>
  <c r="H2130" i="19"/>
  <c r="I2129" i="19"/>
  <c r="H2129" i="19"/>
  <c r="I2128" i="19"/>
  <c r="H2128" i="19"/>
  <c r="I2126" i="19"/>
  <c r="H2126" i="19"/>
  <c r="I2125" i="19"/>
  <c r="H2125" i="19"/>
  <c r="I2124" i="19"/>
  <c r="H2124" i="19"/>
  <c r="I2123" i="19"/>
  <c r="H2123" i="19"/>
  <c r="I2122" i="19"/>
  <c r="H2122" i="19"/>
  <c r="I2120" i="19"/>
  <c r="H2120" i="19"/>
  <c r="I2119" i="19"/>
  <c r="H2119" i="19"/>
  <c r="I2118" i="19"/>
  <c r="H2118" i="19"/>
  <c r="I2117" i="19"/>
  <c r="H2117" i="19"/>
  <c r="I2116" i="19"/>
  <c r="H2116" i="19"/>
  <c r="I2114" i="19"/>
  <c r="H2114" i="19"/>
  <c r="I2113" i="19"/>
  <c r="H2113" i="19"/>
  <c r="I2112" i="19"/>
  <c r="H2112" i="19"/>
  <c r="I2111" i="19"/>
  <c r="H2111" i="19"/>
  <c r="I2110" i="19"/>
  <c r="H2110" i="19"/>
  <c r="I2108" i="19"/>
  <c r="H2108" i="19"/>
  <c r="I2107" i="19"/>
  <c r="H2107" i="19"/>
  <c r="I2106" i="19"/>
  <c r="H2106" i="19"/>
  <c r="I2105" i="19"/>
  <c r="H2105" i="19"/>
  <c r="I2104" i="19"/>
  <c r="H2104" i="19"/>
  <c r="I2102" i="19"/>
  <c r="H2102" i="19"/>
  <c r="I2101" i="19"/>
  <c r="H2101" i="19"/>
  <c r="I2100" i="19"/>
  <c r="H2100" i="19"/>
  <c r="I2099" i="19"/>
  <c r="H2099" i="19"/>
  <c r="H2098" i="19"/>
  <c r="I2097" i="19"/>
  <c r="H2097" i="19"/>
  <c r="I2096" i="19"/>
  <c r="H2096" i="19"/>
  <c r="I2095" i="19"/>
  <c r="H2095" i="19"/>
  <c r="I2094" i="19"/>
  <c r="H2094" i="19"/>
  <c r="H2093" i="19"/>
  <c r="I2092" i="19"/>
  <c r="H2092" i="19"/>
  <c r="I2091" i="19"/>
  <c r="H2091" i="19"/>
  <c r="I2090" i="19"/>
  <c r="H2090" i="19"/>
  <c r="I2089" i="19"/>
  <c r="H2089" i="19"/>
  <c r="H2088" i="19"/>
  <c r="I2087" i="19"/>
  <c r="H2087" i="19"/>
  <c r="I2086" i="19"/>
  <c r="H2086" i="19"/>
  <c r="I2085" i="19"/>
  <c r="H2085" i="19"/>
  <c r="I2084" i="19"/>
  <c r="H2084" i="19"/>
  <c r="H2083" i="19"/>
  <c r="I2082" i="19"/>
  <c r="H2082" i="19"/>
  <c r="I2081" i="19"/>
  <c r="H2081" i="19"/>
  <c r="I2080" i="19"/>
  <c r="H2080" i="19"/>
  <c r="I2079" i="19"/>
  <c r="H2079" i="19"/>
  <c r="H2078" i="19"/>
  <c r="I2077" i="19"/>
  <c r="H2077" i="19"/>
  <c r="I2076" i="19"/>
  <c r="H2076" i="19"/>
  <c r="I2075" i="19"/>
  <c r="H2075" i="19"/>
  <c r="I2074" i="19"/>
  <c r="H2074" i="19"/>
  <c r="H2073" i="19"/>
  <c r="I2072" i="19"/>
  <c r="H2072" i="19"/>
  <c r="I2071" i="19"/>
  <c r="H2071" i="19"/>
  <c r="I2070" i="19"/>
  <c r="H2070" i="19"/>
  <c r="I2069" i="19"/>
  <c r="H2069" i="19"/>
  <c r="H2068" i="19"/>
  <c r="I2067" i="19"/>
  <c r="H2067" i="19"/>
  <c r="I2066" i="19"/>
  <c r="H2066" i="19"/>
  <c r="I2065" i="19"/>
  <c r="H2065" i="19"/>
  <c r="I2064" i="19"/>
  <c r="H2064" i="19"/>
  <c r="H2063" i="19"/>
  <c r="I2062" i="19"/>
  <c r="H2062" i="19"/>
  <c r="I2061" i="19"/>
  <c r="H2061" i="19"/>
  <c r="I2060" i="19"/>
  <c r="H2060" i="19"/>
  <c r="I2059" i="19"/>
  <c r="H2059" i="19"/>
  <c r="H2058" i="19"/>
  <c r="I2057" i="19"/>
  <c r="H2057" i="19"/>
  <c r="I2056" i="19"/>
  <c r="H2056" i="19"/>
  <c r="I2055" i="19"/>
  <c r="H2055" i="19"/>
  <c r="I2054" i="19"/>
  <c r="H2054" i="19"/>
  <c r="H2053" i="19"/>
  <c r="I2052" i="19"/>
  <c r="H2052" i="19"/>
  <c r="I2051" i="19"/>
  <c r="H2051" i="19"/>
  <c r="I2050" i="19"/>
  <c r="H2050" i="19"/>
  <c r="I2049" i="19"/>
  <c r="H2049" i="19"/>
  <c r="H2048" i="19"/>
  <c r="I2047" i="19"/>
  <c r="H2047" i="19"/>
  <c r="I2046" i="19"/>
  <c r="H2046" i="19"/>
  <c r="I2045" i="19"/>
  <c r="H2045" i="19"/>
  <c r="H2044" i="19"/>
  <c r="I2043" i="19"/>
  <c r="H2043" i="19"/>
  <c r="I2042" i="19"/>
  <c r="H2042" i="19"/>
  <c r="I2041" i="19"/>
  <c r="H2041" i="19"/>
  <c r="H2040" i="19"/>
  <c r="H2039" i="19"/>
  <c r="H2038" i="19"/>
  <c r="H2037" i="19"/>
  <c r="H2036" i="19"/>
  <c r="I2035" i="19"/>
  <c r="H2035" i="19"/>
  <c r="I2034" i="19"/>
  <c r="H2034" i="19"/>
  <c r="I2033" i="19"/>
  <c r="H2033" i="19"/>
  <c r="H2032" i="19"/>
  <c r="I2031" i="19"/>
  <c r="H2031" i="19"/>
  <c r="I2030" i="19"/>
  <c r="H2030" i="19"/>
  <c r="I2029" i="19"/>
  <c r="H2029" i="19"/>
  <c r="H2028" i="19"/>
  <c r="I2027" i="19"/>
  <c r="H2027" i="19"/>
  <c r="I2026" i="19"/>
  <c r="H2026" i="19"/>
  <c r="I2025" i="19"/>
  <c r="H2025" i="19"/>
  <c r="H2024" i="19"/>
  <c r="I2023" i="19"/>
  <c r="H2023" i="19"/>
  <c r="I2022" i="19"/>
  <c r="H2022" i="19"/>
  <c r="I2021" i="19"/>
  <c r="H2021" i="19"/>
  <c r="H2020" i="19"/>
  <c r="I2019" i="19"/>
  <c r="H2019" i="19"/>
  <c r="I2018" i="19"/>
  <c r="H2018" i="19"/>
  <c r="I2017" i="19"/>
  <c r="H2017" i="19"/>
  <c r="H2016" i="19"/>
  <c r="I2015" i="19"/>
  <c r="H2015" i="19"/>
  <c r="I2014" i="19"/>
  <c r="H2014" i="19"/>
  <c r="I2013" i="19"/>
  <c r="H2013" i="19"/>
  <c r="H2012" i="19"/>
  <c r="I2011" i="19"/>
  <c r="H2011" i="19"/>
  <c r="I2010" i="19"/>
  <c r="H2010" i="19"/>
  <c r="I2009" i="19"/>
  <c r="H2009" i="19"/>
  <c r="H2008" i="19"/>
  <c r="I2007" i="19"/>
  <c r="H2007" i="19"/>
  <c r="I2006" i="19"/>
  <c r="H2006" i="19"/>
  <c r="I2005" i="19"/>
  <c r="H2005" i="19"/>
  <c r="H2004" i="19"/>
  <c r="I2003" i="19"/>
  <c r="H2003" i="19"/>
  <c r="I2002" i="19"/>
  <c r="H2002" i="19"/>
  <c r="I2001" i="19"/>
  <c r="H2001" i="19"/>
  <c r="H2000" i="19"/>
  <c r="I1999" i="19"/>
  <c r="H1999" i="19"/>
  <c r="I1998" i="19"/>
  <c r="H1998" i="19"/>
  <c r="I1997" i="19"/>
  <c r="H1997" i="19"/>
  <c r="H1996" i="19"/>
  <c r="I1995" i="19"/>
  <c r="H1995" i="19"/>
  <c r="I1994" i="19"/>
  <c r="H1994" i="19"/>
  <c r="I1993" i="19"/>
  <c r="H1993" i="19"/>
  <c r="H1992" i="19"/>
  <c r="I1991" i="19"/>
  <c r="H1991" i="19"/>
  <c r="I1990" i="19"/>
  <c r="H1990" i="19"/>
  <c r="I1989" i="19"/>
  <c r="H1989" i="19"/>
  <c r="H1988" i="19"/>
  <c r="I1987" i="19"/>
  <c r="H1987" i="19"/>
  <c r="I1986" i="19"/>
  <c r="H1986" i="19"/>
  <c r="I1985" i="19"/>
  <c r="H1985" i="19"/>
  <c r="H1984" i="19"/>
  <c r="I1983" i="19"/>
  <c r="H1983" i="19"/>
  <c r="I1982" i="19"/>
  <c r="H1982" i="19"/>
  <c r="I1981" i="19"/>
  <c r="H1981" i="19"/>
  <c r="H1980" i="19"/>
  <c r="I1979" i="19"/>
  <c r="H1979" i="19"/>
  <c r="I1978" i="19"/>
  <c r="H1978" i="19"/>
  <c r="I1977" i="19"/>
  <c r="H1977" i="19"/>
  <c r="H1976" i="19"/>
  <c r="I1975" i="19"/>
  <c r="H1975" i="19"/>
  <c r="I1974" i="19"/>
  <c r="H1974" i="19"/>
  <c r="I1973" i="19"/>
  <c r="H1973" i="19"/>
  <c r="H1972" i="19"/>
  <c r="I1971" i="19"/>
  <c r="H1971" i="19"/>
  <c r="I1970" i="19"/>
  <c r="H1970" i="19"/>
  <c r="I1969" i="19"/>
  <c r="H1969" i="19"/>
  <c r="H1968" i="19"/>
  <c r="I1967" i="19"/>
  <c r="H1967" i="19"/>
  <c r="I1966" i="19"/>
  <c r="H1966" i="19"/>
  <c r="I1965" i="19"/>
  <c r="H1965" i="19"/>
  <c r="H1964" i="19"/>
  <c r="I1963" i="19"/>
  <c r="H1963" i="19"/>
  <c r="I1962" i="19"/>
  <c r="H1962" i="19"/>
  <c r="I1961" i="19"/>
  <c r="H1961" i="19"/>
  <c r="H1960" i="19"/>
  <c r="I1959" i="19"/>
  <c r="H1959" i="19"/>
  <c r="I1958" i="19"/>
  <c r="H1958" i="19"/>
  <c r="I1957" i="19"/>
  <c r="H1957" i="19"/>
  <c r="H1956" i="19"/>
  <c r="I1955" i="19"/>
  <c r="H1955" i="19"/>
  <c r="I1954" i="19"/>
  <c r="H1954" i="19"/>
  <c r="I1953" i="19"/>
  <c r="H1953" i="19"/>
  <c r="H1952" i="19"/>
  <c r="I1951" i="19"/>
  <c r="H1951" i="19"/>
  <c r="I1950" i="19"/>
  <c r="H1950" i="19"/>
  <c r="I1949" i="19"/>
  <c r="H1949" i="19"/>
  <c r="H1948" i="19"/>
  <c r="I1947" i="19"/>
  <c r="H1947" i="19"/>
  <c r="I1946" i="19"/>
  <c r="H1946" i="19"/>
  <c r="I1945" i="19"/>
  <c r="H1945" i="19"/>
  <c r="H1944" i="19"/>
  <c r="I1943" i="19"/>
  <c r="H1943" i="19"/>
  <c r="I1942" i="19"/>
  <c r="H1942" i="19"/>
  <c r="I1941" i="19"/>
  <c r="H1941" i="19"/>
  <c r="H1940" i="19"/>
  <c r="I1939" i="19"/>
  <c r="H1939" i="19"/>
  <c r="I1938" i="19"/>
  <c r="H1938" i="19"/>
  <c r="I1937" i="19"/>
  <c r="H1937" i="19"/>
  <c r="H1936" i="19"/>
  <c r="I1935" i="19"/>
  <c r="H1935" i="19"/>
  <c r="I1934" i="19"/>
  <c r="H1934" i="19"/>
  <c r="I1933" i="19"/>
  <c r="H1933" i="19"/>
  <c r="H1932" i="19"/>
  <c r="I1931" i="19"/>
  <c r="H1931" i="19"/>
  <c r="I1930" i="19"/>
  <c r="H1930" i="19"/>
  <c r="I1929" i="19"/>
  <c r="H1929" i="19"/>
  <c r="H1928" i="19"/>
  <c r="I1927" i="19"/>
  <c r="H1927" i="19"/>
  <c r="I1926" i="19"/>
  <c r="H1926" i="19"/>
  <c r="I1925" i="19"/>
  <c r="H1925" i="19"/>
  <c r="H1924" i="19"/>
  <c r="I1923" i="19"/>
  <c r="H1923" i="19"/>
  <c r="I1922" i="19"/>
  <c r="H1922" i="19"/>
  <c r="I1921" i="19"/>
  <c r="H1921" i="19"/>
  <c r="H1920" i="19"/>
  <c r="I1919" i="19"/>
  <c r="H1919" i="19"/>
  <c r="I1918" i="19"/>
  <c r="H1918" i="19"/>
  <c r="I1917" i="19"/>
  <c r="H1917" i="19"/>
  <c r="H1916" i="19"/>
  <c r="I1915" i="19"/>
  <c r="H1915" i="19"/>
  <c r="I1914" i="19"/>
  <c r="H1914" i="19"/>
  <c r="I1913" i="19"/>
  <c r="H1913" i="19"/>
  <c r="H1912" i="19"/>
  <c r="I1911" i="19"/>
  <c r="H1911" i="19"/>
  <c r="I1910" i="19"/>
  <c r="H1910" i="19"/>
  <c r="I1909" i="19"/>
  <c r="H1909" i="19"/>
  <c r="H1908" i="19"/>
  <c r="I1907" i="19"/>
  <c r="H1907" i="19"/>
  <c r="I1906" i="19"/>
  <c r="H1906" i="19"/>
  <c r="I1905" i="19"/>
  <c r="H1905" i="19"/>
  <c r="H1904" i="19"/>
  <c r="I1903" i="19"/>
  <c r="H1903" i="19"/>
  <c r="I1902" i="19"/>
  <c r="H1902" i="19"/>
  <c r="I1901" i="19"/>
  <c r="H1901" i="19"/>
  <c r="H1900" i="19"/>
  <c r="I1899" i="19"/>
  <c r="H1899" i="19"/>
  <c r="I1898" i="19"/>
  <c r="H1898" i="19"/>
  <c r="I1897" i="19"/>
  <c r="H1897" i="19"/>
  <c r="H1896" i="19"/>
  <c r="I1895" i="19"/>
  <c r="H1895" i="19"/>
  <c r="I1894" i="19"/>
  <c r="H1894" i="19"/>
  <c r="I1893" i="19"/>
  <c r="H1893" i="19"/>
  <c r="H1892" i="19"/>
  <c r="I1891" i="19"/>
  <c r="H1891" i="19"/>
  <c r="I1890" i="19"/>
  <c r="H1890" i="19"/>
  <c r="I1889" i="19"/>
  <c r="H1889" i="19"/>
  <c r="H1888" i="19"/>
  <c r="I1887" i="19"/>
  <c r="H1887" i="19"/>
  <c r="I1886" i="19"/>
  <c r="H1886" i="19"/>
  <c r="I1885" i="19"/>
  <c r="H1885" i="19"/>
  <c r="H1884" i="19"/>
  <c r="I1883" i="19"/>
  <c r="H1883" i="19"/>
  <c r="I1882" i="19"/>
  <c r="H1882" i="19"/>
  <c r="I1881" i="19"/>
  <c r="H1881" i="19"/>
  <c r="H1880" i="19"/>
  <c r="I1879" i="19"/>
  <c r="H1879" i="19"/>
  <c r="I1878" i="19"/>
  <c r="H1878" i="19"/>
  <c r="I1877" i="19"/>
  <c r="H1877" i="19"/>
  <c r="H1876" i="19"/>
  <c r="I1875" i="19"/>
  <c r="H1875" i="19"/>
  <c r="I1874" i="19"/>
  <c r="H1874" i="19"/>
  <c r="I1873" i="19"/>
  <c r="H1873" i="19"/>
  <c r="H1872" i="19"/>
  <c r="I1871" i="19"/>
  <c r="H1871" i="19"/>
  <c r="I1870" i="19"/>
  <c r="H1870" i="19"/>
  <c r="I1869" i="19"/>
  <c r="H1869" i="19"/>
  <c r="H1868" i="19"/>
  <c r="I1867" i="19"/>
  <c r="H1867" i="19"/>
  <c r="I1866" i="19"/>
  <c r="H1866" i="19"/>
  <c r="I1865" i="19"/>
  <c r="H1865" i="19"/>
  <c r="H1864" i="19"/>
  <c r="I1863" i="19"/>
  <c r="H1863" i="19"/>
  <c r="I1862" i="19"/>
  <c r="H1862" i="19"/>
  <c r="I1861" i="19"/>
  <c r="H1861" i="19"/>
  <c r="H1860" i="19"/>
  <c r="I1859" i="19"/>
  <c r="H1859" i="19"/>
  <c r="I1858" i="19"/>
  <c r="H1858" i="19"/>
  <c r="I1857" i="19"/>
  <c r="H1857" i="19"/>
  <c r="H1856" i="19"/>
  <c r="I1855" i="19"/>
  <c r="H1855" i="19"/>
  <c r="I1854" i="19"/>
  <c r="H1854" i="19"/>
  <c r="I1853" i="19"/>
  <c r="H1853" i="19"/>
  <c r="H1852" i="19"/>
  <c r="I1851" i="19"/>
  <c r="H1851" i="19"/>
  <c r="I1850" i="19"/>
  <c r="H1850" i="19"/>
  <c r="I1849" i="19"/>
  <c r="H1849" i="19"/>
  <c r="H1848" i="19"/>
  <c r="I1847" i="19"/>
  <c r="H1847" i="19"/>
  <c r="I1846" i="19"/>
  <c r="H1846" i="19"/>
  <c r="I1845" i="19"/>
  <c r="H1845" i="19"/>
  <c r="H1844" i="19"/>
  <c r="I1843" i="19"/>
  <c r="H1843" i="19"/>
  <c r="I1842" i="19"/>
  <c r="H1842" i="19"/>
  <c r="I1841" i="19"/>
  <c r="H1841" i="19"/>
  <c r="I1840" i="19"/>
  <c r="H1840" i="19"/>
  <c r="H1839" i="19"/>
  <c r="I1838" i="19"/>
  <c r="H1838" i="19"/>
  <c r="I1837" i="19"/>
  <c r="H1837" i="19"/>
  <c r="I1836" i="19"/>
  <c r="H1836" i="19"/>
  <c r="H1835" i="19"/>
  <c r="I1834" i="19"/>
  <c r="H1834" i="19"/>
  <c r="I1833" i="19"/>
  <c r="H1833" i="19"/>
  <c r="I1832" i="19"/>
  <c r="H1832" i="19"/>
  <c r="H1831" i="19"/>
  <c r="I1830" i="19"/>
  <c r="H1830" i="19"/>
  <c r="I1829" i="19"/>
  <c r="H1829" i="19"/>
  <c r="I1828" i="19"/>
  <c r="H1828" i="19"/>
  <c r="H1827" i="19"/>
  <c r="I1826" i="19"/>
  <c r="H1826" i="19"/>
  <c r="I1825" i="19"/>
  <c r="H1825" i="19"/>
  <c r="I1824" i="19"/>
  <c r="H1824" i="19"/>
  <c r="H1823" i="19"/>
  <c r="I1822" i="19"/>
  <c r="H1822" i="19"/>
  <c r="I1821" i="19"/>
  <c r="H1821" i="19"/>
  <c r="I1820" i="19"/>
  <c r="H1820" i="19"/>
  <c r="H1819" i="19"/>
  <c r="I1818" i="19"/>
  <c r="H1818" i="19"/>
  <c r="I1817" i="19"/>
  <c r="H1817" i="19"/>
  <c r="I1816" i="19"/>
  <c r="H1816" i="19"/>
  <c r="H1815" i="19"/>
  <c r="I1814" i="19"/>
  <c r="H1814" i="19"/>
  <c r="I1813" i="19"/>
  <c r="H1813" i="19"/>
  <c r="I1812" i="19"/>
  <c r="H1812" i="19"/>
  <c r="H1811" i="19"/>
  <c r="I1810" i="19"/>
  <c r="H1810" i="19"/>
  <c r="I1809" i="19"/>
  <c r="H1809" i="19"/>
  <c r="I1808" i="19"/>
  <c r="H1808" i="19"/>
  <c r="H1807" i="19"/>
  <c r="I1806" i="19"/>
  <c r="H1806" i="19"/>
  <c r="I1805" i="19"/>
  <c r="H1805" i="19"/>
  <c r="I1804" i="19"/>
  <c r="H1804" i="19"/>
  <c r="H1803" i="19"/>
  <c r="I1802" i="19"/>
  <c r="H1802" i="19"/>
  <c r="I1801" i="19"/>
  <c r="H1801" i="19"/>
  <c r="I1800" i="19"/>
  <c r="H1800" i="19"/>
  <c r="H1799" i="19"/>
  <c r="I1798" i="19"/>
  <c r="H1798" i="19"/>
  <c r="I1797" i="19"/>
  <c r="H1797" i="19"/>
  <c r="I1796" i="19"/>
  <c r="H1796" i="19"/>
  <c r="H1795" i="19"/>
  <c r="I1794" i="19"/>
  <c r="H1794" i="19"/>
  <c r="I1793" i="19"/>
  <c r="H1793" i="19"/>
  <c r="I1792" i="19"/>
  <c r="H1792" i="19"/>
  <c r="H1791" i="19"/>
  <c r="I1790" i="19"/>
  <c r="H1790" i="19"/>
  <c r="I1789" i="19"/>
  <c r="H1789" i="19"/>
  <c r="H1788" i="19"/>
  <c r="I1787" i="19"/>
  <c r="H1787" i="19"/>
  <c r="I1786" i="19"/>
  <c r="H1786" i="19"/>
  <c r="H1785" i="19"/>
  <c r="I1784" i="19"/>
  <c r="H1784" i="19"/>
  <c r="I1783" i="19"/>
  <c r="H1783" i="19"/>
  <c r="H1782" i="19"/>
  <c r="H1781" i="19"/>
  <c r="H1780" i="19"/>
  <c r="I1779" i="19"/>
  <c r="H1779" i="19"/>
  <c r="I1778" i="19"/>
  <c r="H1778" i="19"/>
  <c r="I1777" i="19"/>
  <c r="H1777" i="19"/>
  <c r="H1776" i="19"/>
  <c r="H1775" i="19"/>
  <c r="H1774" i="19"/>
  <c r="H1773" i="19"/>
  <c r="H1772" i="19"/>
  <c r="I1771" i="19"/>
  <c r="H1771" i="19"/>
  <c r="I1770" i="19"/>
  <c r="H1770" i="19"/>
  <c r="I1769" i="19"/>
  <c r="H1769" i="19"/>
  <c r="H1768" i="19"/>
  <c r="H1767" i="19"/>
  <c r="H1766" i="19"/>
  <c r="H1765" i="19"/>
  <c r="H1764" i="19"/>
  <c r="H1763" i="19"/>
  <c r="H1762" i="19"/>
  <c r="H1761" i="19"/>
  <c r="H1760" i="19"/>
  <c r="H1759" i="19"/>
  <c r="H1758" i="19"/>
  <c r="I1757" i="19"/>
  <c r="H1757" i="19"/>
  <c r="I1756" i="19"/>
  <c r="H1756" i="19"/>
  <c r="H1755" i="19"/>
  <c r="I1754" i="19"/>
  <c r="H1754" i="19"/>
  <c r="I1753" i="19"/>
  <c r="H1753" i="19"/>
  <c r="H1752" i="19"/>
  <c r="I1751" i="19"/>
  <c r="H1751" i="19"/>
  <c r="I1750" i="19"/>
  <c r="H1750" i="19"/>
  <c r="H1749" i="19"/>
  <c r="I1748" i="19"/>
  <c r="H1748" i="19"/>
  <c r="I1747" i="19"/>
  <c r="H1747" i="19"/>
  <c r="H1746" i="19"/>
  <c r="I1745" i="19"/>
  <c r="H1745" i="19"/>
  <c r="I1744" i="19"/>
  <c r="H1744" i="19"/>
  <c r="H1743" i="19"/>
  <c r="J1742" i="19"/>
  <c r="I1742" i="19"/>
  <c r="H1742" i="19"/>
  <c r="J1741" i="19"/>
  <c r="I1741" i="19"/>
  <c r="H1741" i="19"/>
  <c r="H1740" i="19"/>
  <c r="J1739" i="19"/>
  <c r="I1739" i="19"/>
  <c r="H1739" i="19"/>
  <c r="J1738" i="19"/>
  <c r="I1738" i="19"/>
  <c r="H1738" i="19"/>
  <c r="H1737" i="19"/>
  <c r="H1736" i="19"/>
  <c r="H1735" i="19"/>
  <c r="H1734" i="19"/>
  <c r="H1733" i="19"/>
  <c r="H1732" i="19"/>
  <c r="H1731" i="19"/>
  <c r="H1730" i="19"/>
  <c r="H1729" i="19"/>
  <c r="H1728" i="19"/>
  <c r="H1727" i="19"/>
  <c r="H1726" i="19"/>
  <c r="H1725" i="19"/>
  <c r="H1724" i="19"/>
  <c r="H1723" i="19"/>
  <c r="H1722" i="19"/>
  <c r="H1721" i="19"/>
  <c r="J1720" i="19"/>
  <c r="I1720" i="19"/>
  <c r="H1720" i="19"/>
  <c r="H1719" i="19"/>
  <c r="H1718" i="19"/>
  <c r="H1717" i="19"/>
  <c r="H1716" i="19"/>
  <c r="H1715" i="19"/>
  <c r="H1714" i="19"/>
  <c r="H1713" i="19"/>
  <c r="H1712" i="19"/>
  <c r="H1711" i="19"/>
  <c r="H1710" i="19"/>
  <c r="H1709" i="19"/>
  <c r="H1708" i="19"/>
  <c r="H1707" i="19"/>
  <c r="H1706" i="19"/>
  <c r="H1705" i="19"/>
  <c r="H1704" i="19"/>
  <c r="H1703" i="19"/>
  <c r="H1702" i="19"/>
  <c r="H1701" i="19"/>
  <c r="H1700" i="19"/>
  <c r="H1699" i="19"/>
  <c r="H1698" i="19"/>
  <c r="H1697" i="19"/>
  <c r="H1696" i="19"/>
  <c r="H1695" i="19"/>
  <c r="H1694" i="19"/>
  <c r="H1693" i="19"/>
  <c r="H1692" i="19"/>
  <c r="H1691" i="19"/>
  <c r="H1690" i="19"/>
  <c r="H1689" i="19"/>
  <c r="H1688" i="19"/>
  <c r="I1687" i="19"/>
  <c r="H1687" i="19"/>
  <c r="H1686" i="19"/>
  <c r="H1685" i="19"/>
  <c r="H1684" i="19"/>
  <c r="H1683" i="19"/>
  <c r="H1682" i="19"/>
  <c r="H1681" i="19"/>
  <c r="H1680" i="19"/>
  <c r="H1679" i="19"/>
  <c r="H1678" i="19"/>
  <c r="H1677" i="19"/>
  <c r="H1676" i="19"/>
  <c r="H1675" i="19"/>
  <c r="H1674" i="19"/>
  <c r="H1673" i="19"/>
  <c r="H1672" i="19"/>
  <c r="H1671" i="19"/>
  <c r="H1670" i="19"/>
  <c r="H1669" i="19"/>
  <c r="H1668" i="19"/>
  <c r="H1667" i="19"/>
  <c r="H1666" i="19"/>
  <c r="H1665" i="19"/>
  <c r="H1664" i="19"/>
  <c r="H1663" i="19"/>
  <c r="H1662" i="19"/>
  <c r="J1661" i="19"/>
  <c r="I1661" i="19"/>
  <c r="H1661" i="19"/>
  <c r="J1660" i="19"/>
  <c r="I1660" i="19"/>
  <c r="H1660" i="19"/>
  <c r="J1659" i="19"/>
  <c r="I1659" i="19"/>
  <c r="H1659" i="19"/>
  <c r="H1658" i="19"/>
  <c r="J1657" i="19"/>
  <c r="I1657" i="19"/>
  <c r="H1657" i="19"/>
  <c r="J1656" i="19"/>
  <c r="I1656" i="19"/>
  <c r="H1656" i="19"/>
  <c r="J1655" i="19"/>
  <c r="I1655" i="19"/>
  <c r="H1655" i="19"/>
  <c r="H1654" i="19"/>
  <c r="J1653" i="19"/>
  <c r="I1653" i="19"/>
  <c r="H1653" i="19"/>
  <c r="J1652" i="19"/>
  <c r="I1652" i="19"/>
  <c r="H1652" i="19"/>
  <c r="J1651" i="19"/>
  <c r="I1651" i="19"/>
  <c r="H1651" i="19"/>
  <c r="H1650" i="19"/>
  <c r="J1649" i="19"/>
  <c r="I1649" i="19"/>
  <c r="H1649" i="19"/>
  <c r="J1648" i="19"/>
  <c r="I1648" i="19"/>
  <c r="H1648" i="19"/>
  <c r="J1647" i="19"/>
  <c r="I1647" i="19"/>
  <c r="H1647" i="19"/>
  <c r="H1646" i="19"/>
  <c r="J1645" i="19"/>
  <c r="I1645" i="19"/>
  <c r="H1645" i="19"/>
  <c r="J1644" i="19"/>
  <c r="I1644" i="19"/>
  <c r="H1644" i="19"/>
  <c r="J1643" i="19"/>
  <c r="I1643" i="19"/>
  <c r="H1643" i="19"/>
  <c r="H1642" i="19"/>
  <c r="H1641" i="19"/>
  <c r="H1640" i="19"/>
  <c r="H1639" i="19"/>
  <c r="H1638" i="19"/>
  <c r="J1637" i="19"/>
  <c r="I1637" i="19"/>
  <c r="H1637" i="19"/>
  <c r="J1636" i="19"/>
  <c r="I1636" i="19"/>
  <c r="H1636" i="19"/>
  <c r="J1635" i="19"/>
  <c r="I1635" i="19"/>
  <c r="H1635" i="19"/>
  <c r="H1634" i="19"/>
  <c r="H1633" i="19"/>
  <c r="H1632" i="19"/>
  <c r="H1631" i="19"/>
  <c r="H1630" i="19"/>
  <c r="H1629" i="19"/>
  <c r="H1628" i="19"/>
  <c r="H1627" i="19"/>
  <c r="H1626" i="19"/>
  <c r="J1625" i="19"/>
  <c r="I1625" i="19"/>
  <c r="H1625" i="19"/>
  <c r="I1624" i="19"/>
  <c r="H1624" i="19"/>
  <c r="I1623" i="19"/>
  <c r="H1623" i="19"/>
  <c r="I1622" i="19"/>
  <c r="H1622" i="19"/>
  <c r="I1621" i="19"/>
  <c r="H1621" i="19"/>
  <c r="I1620" i="19"/>
  <c r="H1620" i="19"/>
  <c r="I1619" i="19"/>
  <c r="H1619" i="19"/>
  <c r="I1618" i="19"/>
  <c r="H1618" i="19"/>
  <c r="I1617" i="19"/>
  <c r="H1617" i="19"/>
  <c r="I1616" i="19"/>
  <c r="H1616" i="19"/>
  <c r="I1615" i="19"/>
  <c r="H1615" i="19"/>
  <c r="I1614" i="19"/>
  <c r="H1614" i="19"/>
  <c r="I1613" i="19"/>
  <c r="H1613" i="19"/>
  <c r="I1612" i="19"/>
  <c r="H1612" i="19"/>
  <c r="I1611" i="19"/>
  <c r="H1611" i="19"/>
  <c r="I1610" i="19"/>
  <c r="H1610" i="19"/>
  <c r="I1609" i="19"/>
  <c r="H1609" i="19"/>
  <c r="I1608" i="19"/>
  <c r="H1608" i="19"/>
  <c r="I1607" i="19"/>
  <c r="H1607" i="19"/>
  <c r="I1606" i="19"/>
  <c r="H1606" i="19"/>
  <c r="I1605" i="19"/>
  <c r="H1605" i="19"/>
  <c r="I1604" i="19"/>
  <c r="H1604" i="19"/>
  <c r="I1603" i="19"/>
  <c r="H1603" i="19"/>
  <c r="I1602" i="19"/>
  <c r="H1602" i="19"/>
  <c r="I1601" i="19"/>
  <c r="H1601" i="19"/>
  <c r="I1600" i="19"/>
  <c r="H1600" i="19"/>
  <c r="I1599" i="19"/>
  <c r="H1599" i="19"/>
  <c r="I1598" i="19"/>
  <c r="H1598" i="19"/>
  <c r="I1597" i="19"/>
  <c r="H1597" i="19"/>
  <c r="I1596" i="19"/>
  <c r="H1596" i="19"/>
  <c r="I1595" i="19"/>
  <c r="H1595" i="19"/>
  <c r="I1594" i="19"/>
  <c r="H1594" i="19"/>
  <c r="I1593" i="19"/>
  <c r="H1593" i="19"/>
  <c r="I1592" i="19"/>
  <c r="H1592" i="19"/>
  <c r="H1591" i="19"/>
  <c r="H1590" i="19"/>
  <c r="H1589" i="19"/>
  <c r="H1588" i="19"/>
  <c r="H1587" i="19"/>
  <c r="H1586" i="19"/>
  <c r="H1585" i="19"/>
  <c r="H1584" i="19"/>
  <c r="H1583" i="19"/>
  <c r="H1582" i="19"/>
  <c r="H1581" i="19"/>
  <c r="H1580" i="19"/>
  <c r="H1579" i="19"/>
  <c r="H1578" i="19"/>
  <c r="H1577" i="19"/>
  <c r="H1576" i="19"/>
  <c r="H1575" i="19"/>
  <c r="H1574" i="19"/>
  <c r="H1573" i="19"/>
  <c r="H1572" i="19"/>
  <c r="H1571" i="19"/>
  <c r="H1570" i="19"/>
  <c r="H1569" i="19"/>
  <c r="H1568" i="19"/>
  <c r="H1567" i="19"/>
  <c r="H1566" i="19"/>
  <c r="H1565" i="19"/>
  <c r="H1564" i="19"/>
  <c r="H1563" i="19"/>
  <c r="H1562" i="19"/>
  <c r="H1561" i="19"/>
  <c r="H1560" i="19"/>
  <c r="H1559" i="19"/>
  <c r="H1558" i="19"/>
  <c r="H1557" i="19"/>
  <c r="H1556" i="19"/>
  <c r="H1555" i="19"/>
  <c r="H1554" i="19"/>
  <c r="H1553" i="19"/>
  <c r="H1552" i="19"/>
  <c r="H1551" i="19"/>
  <c r="H1550" i="19"/>
  <c r="H1549" i="19"/>
  <c r="H1548" i="19"/>
  <c r="H1547" i="19"/>
  <c r="H1546" i="19"/>
  <c r="H1545" i="19"/>
  <c r="H1544" i="19"/>
  <c r="H1543" i="19"/>
  <c r="H1542" i="19"/>
  <c r="H1541" i="19"/>
  <c r="H1540" i="19"/>
  <c r="H1539" i="19"/>
  <c r="H1538" i="19"/>
  <c r="H1537" i="19"/>
  <c r="H1536" i="19"/>
  <c r="H1535" i="19"/>
  <c r="H1534" i="19"/>
  <c r="H1533" i="19"/>
  <c r="H1532" i="19"/>
  <c r="H1531" i="19"/>
  <c r="H1530" i="19"/>
  <c r="H1529" i="19"/>
  <c r="H1528" i="19"/>
  <c r="H1527" i="19"/>
  <c r="H1526" i="19"/>
  <c r="H1525" i="19"/>
  <c r="H1524" i="19"/>
  <c r="H1523" i="19"/>
  <c r="H1522" i="19"/>
  <c r="H1521" i="19"/>
  <c r="H1520" i="19"/>
  <c r="H1519" i="19"/>
  <c r="H1518" i="19"/>
  <c r="H1517" i="19"/>
  <c r="H1516" i="19"/>
  <c r="H1515" i="19"/>
  <c r="H1514" i="19"/>
  <c r="H1513" i="19"/>
  <c r="H1512" i="19"/>
  <c r="H1511" i="19"/>
  <c r="H1510" i="19"/>
  <c r="H1509" i="19"/>
  <c r="H1508" i="19"/>
  <c r="H1507" i="19"/>
  <c r="H1506" i="19"/>
  <c r="H1505" i="19"/>
  <c r="H1504" i="19"/>
  <c r="H1503" i="19"/>
  <c r="H1502" i="19"/>
  <c r="H1501" i="19"/>
  <c r="H1500" i="19"/>
  <c r="H1499" i="19"/>
  <c r="H1498" i="19"/>
  <c r="H1497" i="19"/>
  <c r="H1496" i="19"/>
  <c r="H1495" i="19"/>
  <c r="H1494" i="19"/>
  <c r="H1493" i="19"/>
  <c r="H1492" i="19"/>
  <c r="H1491" i="19"/>
  <c r="H1490" i="19"/>
  <c r="H1489" i="19"/>
  <c r="H1488" i="19"/>
  <c r="H1487" i="19"/>
  <c r="H1486" i="19"/>
  <c r="H1485" i="19"/>
  <c r="H1484" i="19"/>
  <c r="H1483" i="19"/>
  <c r="H1482" i="19"/>
  <c r="H1481" i="19"/>
  <c r="H1480" i="19"/>
  <c r="H1479" i="19"/>
  <c r="H1478" i="19"/>
  <c r="H1477" i="19"/>
  <c r="H1476" i="19"/>
  <c r="H1475" i="19"/>
  <c r="H1474" i="19"/>
  <c r="H1473" i="19"/>
  <c r="H1472" i="19"/>
  <c r="H1471" i="19"/>
  <c r="H1470" i="19"/>
  <c r="H1469" i="19"/>
  <c r="H1468" i="19"/>
  <c r="H1467" i="19"/>
  <c r="H1466" i="19"/>
  <c r="H1465" i="19"/>
  <c r="H1464" i="19"/>
  <c r="H1463" i="19"/>
  <c r="H1462" i="19"/>
  <c r="H1461" i="19"/>
  <c r="H1460" i="19"/>
  <c r="H1459" i="19"/>
  <c r="H1458" i="19"/>
  <c r="H1457" i="19"/>
  <c r="H1456" i="19"/>
  <c r="H1455" i="19"/>
  <c r="H1454" i="19"/>
  <c r="H1453" i="19"/>
  <c r="H1452" i="19"/>
  <c r="H1451" i="19"/>
  <c r="H1450" i="19"/>
  <c r="H1449" i="19"/>
  <c r="H1448" i="19"/>
  <c r="H1447" i="19"/>
  <c r="H1446" i="19"/>
  <c r="H1445" i="19"/>
  <c r="H1444" i="19"/>
  <c r="H1443" i="19"/>
  <c r="H1442" i="19"/>
  <c r="H1441" i="19"/>
  <c r="H1440" i="19"/>
  <c r="H1439" i="19"/>
  <c r="H1438" i="19"/>
  <c r="H1437" i="19"/>
  <c r="H1436" i="19"/>
  <c r="H1435" i="19"/>
  <c r="H1434" i="19"/>
  <c r="H1433" i="19"/>
  <c r="H1432" i="19"/>
  <c r="H1431" i="19"/>
  <c r="H1430" i="19"/>
  <c r="H1429" i="19"/>
  <c r="H1428" i="19"/>
  <c r="H1427" i="19"/>
  <c r="H1426" i="19"/>
  <c r="H1425" i="19"/>
  <c r="H1424" i="19"/>
  <c r="H1423" i="19"/>
  <c r="H1422" i="19"/>
  <c r="H1421" i="19"/>
  <c r="H1420" i="19"/>
  <c r="H1419" i="19"/>
  <c r="H1418" i="19"/>
  <c r="H1417" i="19"/>
  <c r="H1416" i="19"/>
  <c r="H1415" i="19"/>
  <c r="H1414" i="19"/>
  <c r="H1413" i="19"/>
  <c r="H1412" i="19"/>
  <c r="H1411" i="19"/>
  <c r="H1410" i="19"/>
  <c r="H1409" i="19"/>
  <c r="H1408" i="19"/>
  <c r="H1407" i="19"/>
  <c r="H1406" i="19"/>
  <c r="H1405" i="19"/>
  <c r="H1404" i="19"/>
  <c r="H1403" i="19"/>
  <c r="H1402" i="19"/>
  <c r="H1401" i="19"/>
  <c r="H1400" i="19"/>
  <c r="H1399" i="19"/>
  <c r="H1398" i="19"/>
  <c r="H1397" i="19"/>
  <c r="H1396" i="19"/>
  <c r="H1395" i="19"/>
  <c r="H1394" i="19"/>
  <c r="H1393" i="19"/>
  <c r="H1392" i="19"/>
  <c r="H1391" i="19"/>
  <c r="H1390" i="19"/>
  <c r="H1389" i="19"/>
  <c r="H1388" i="19"/>
  <c r="H1387" i="19"/>
  <c r="H1386" i="19"/>
  <c r="H1385" i="19"/>
  <c r="H1384" i="19"/>
  <c r="H1383" i="19"/>
  <c r="H1382" i="19"/>
  <c r="H1381" i="19"/>
  <c r="H1380" i="19"/>
  <c r="H1379" i="19"/>
  <c r="H1378" i="19"/>
  <c r="H1377" i="19"/>
  <c r="H1376" i="19"/>
  <c r="H1375" i="19"/>
  <c r="H1374" i="19"/>
  <c r="H1373" i="19"/>
  <c r="H1372" i="19"/>
  <c r="H1371" i="19"/>
  <c r="H1370" i="19"/>
  <c r="H1369" i="19"/>
  <c r="H1368" i="19"/>
  <c r="H1367" i="19"/>
  <c r="H1366" i="19"/>
  <c r="H1365" i="19"/>
  <c r="H1364" i="19"/>
  <c r="H1363" i="19"/>
  <c r="H1362" i="19"/>
  <c r="H1361" i="19"/>
  <c r="H1360" i="19"/>
  <c r="H1359" i="19"/>
  <c r="H1358" i="19"/>
  <c r="H1357" i="19"/>
  <c r="H1356" i="19"/>
  <c r="H1355" i="19"/>
  <c r="H1354" i="19"/>
  <c r="H1353" i="19"/>
  <c r="H1352" i="19"/>
  <c r="H1351" i="19"/>
  <c r="H1350" i="19"/>
  <c r="H1349" i="19"/>
  <c r="H1348" i="19"/>
  <c r="H1347" i="19"/>
  <c r="H1346" i="19"/>
  <c r="H1345" i="19"/>
  <c r="H1344" i="19"/>
  <c r="H1343" i="19"/>
  <c r="H1342" i="19"/>
  <c r="H1341" i="19"/>
  <c r="H1340" i="19"/>
  <c r="H1339" i="19"/>
  <c r="H1338" i="19"/>
  <c r="H1337" i="19"/>
  <c r="H1336" i="19"/>
  <c r="H1335" i="19"/>
  <c r="H1334" i="19"/>
  <c r="H1333" i="19"/>
  <c r="H1332" i="19"/>
  <c r="H1331" i="19"/>
  <c r="H1330" i="19"/>
  <c r="H1329" i="19"/>
  <c r="H1328" i="19"/>
  <c r="H1327" i="19"/>
  <c r="H1326" i="19"/>
  <c r="H1325" i="19"/>
  <c r="H1324" i="19"/>
  <c r="H1323" i="19"/>
  <c r="H1322" i="19"/>
  <c r="H1321" i="19"/>
  <c r="H1320" i="19"/>
  <c r="H1319" i="19"/>
  <c r="H1318" i="19"/>
  <c r="H1317" i="19"/>
  <c r="H1316" i="19"/>
  <c r="H1315" i="19"/>
  <c r="H1314" i="19"/>
  <c r="H1313" i="19"/>
  <c r="H1312" i="19"/>
  <c r="H1311" i="19"/>
  <c r="H1310" i="19"/>
  <c r="H1309" i="19"/>
  <c r="H1308" i="19"/>
  <c r="H1307" i="19"/>
  <c r="H1306" i="19"/>
  <c r="H1305" i="19"/>
  <c r="H1304" i="19"/>
  <c r="H1303" i="19"/>
  <c r="H1302" i="19"/>
  <c r="H1301" i="19"/>
  <c r="H1300" i="19"/>
  <c r="H1299" i="19"/>
  <c r="H1298" i="19"/>
  <c r="H1297" i="19"/>
  <c r="H1296" i="19"/>
  <c r="H1295" i="19"/>
  <c r="H1294" i="19"/>
  <c r="H1293" i="19"/>
  <c r="H1292" i="19"/>
  <c r="H1291" i="19"/>
  <c r="H1290" i="19"/>
  <c r="H1289" i="19"/>
  <c r="H1288" i="19"/>
  <c r="H1287" i="19"/>
  <c r="H1286" i="19"/>
  <c r="H1285" i="19"/>
  <c r="H1284" i="19"/>
  <c r="H1283" i="19"/>
  <c r="H1282" i="19"/>
  <c r="H1281" i="19"/>
  <c r="H1280" i="19"/>
  <c r="H1279" i="19"/>
  <c r="H1278" i="19"/>
  <c r="H1277" i="19"/>
  <c r="H1276" i="19"/>
  <c r="H1275" i="19"/>
  <c r="H1274" i="19"/>
  <c r="H1273" i="19"/>
  <c r="H1272" i="19"/>
  <c r="H1271" i="19"/>
  <c r="H1270" i="19"/>
  <c r="H1269" i="19"/>
  <c r="H1268" i="19"/>
  <c r="H1267" i="19"/>
  <c r="H1266" i="19"/>
  <c r="H1265" i="19"/>
  <c r="H1264" i="19"/>
  <c r="H1263" i="19"/>
  <c r="H1262" i="19"/>
  <c r="H1261" i="19"/>
  <c r="H1260" i="19"/>
  <c r="H1259" i="19"/>
  <c r="H1258" i="19"/>
  <c r="H1257" i="19"/>
  <c r="H1256" i="19"/>
  <c r="H1255" i="19"/>
  <c r="H1254" i="19"/>
  <c r="H1253" i="19"/>
  <c r="H1252" i="19"/>
  <c r="H1251" i="19"/>
  <c r="H1250" i="19"/>
  <c r="H1249" i="19"/>
  <c r="H1248" i="19"/>
  <c r="H1247" i="19"/>
  <c r="H1246" i="19"/>
  <c r="H1245" i="19"/>
  <c r="H1244" i="19"/>
  <c r="H1243" i="19"/>
  <c r="H1242" i="19"/>
  <c r="H1241" i="19"/>
  <c r="H1240" i="19"/>
  <c r="H1239" i="19"/>
  <c r="H1238" i="19"/>
  <c r="H1237" i="19"/>
  <c r="H1236" i="19"/>
  <c r="H1235" i="19"/>
  <c r="H1234" i="19"/>
  <c r="H1233" i="19"/>
  <c r="H1232" i="19"/>
  <c r="H1231" i="19"/>
  <c r="H1230" i="19"/>
  <c r="H1229" i="19"/>
  <c r="H1228" i="19"/>
  <c r="H1227" i="19"/>
  <c r="H1226" i="19"/>
  <c r="H1225" i="19"/>
  <c r="H1224" i="19"/>
  <c r="H1223" i="19"/>
  <c r="H1222" i="19"/>
  <c r="H1221" i="19"/>
  <c r="H1220" i="19"/>
  <c r="H1219" i="19"/>
  <c r="H1218" i="19"/>
  <c r="H1217" i="19"/>
  <c r="H1216" i="19"/>
  <c r="H1215" i="19"/>
  <c r="H1214" i="19"/>
  <c r="H1213" i="19"/>
  <c r="H1212" i="19"/>
  <c r="H1211" i="19"/>
  <c r="H1210" i="19"/>
  <c r="H1209" i="19"/>
  <c r="H1208" i="19"/>
  <c r="H1207" i="19"/>
  <c r="H1206" i="19"/>
  <c r="H1205" i="19"/>
  <c r="H1204" i="19"/>
  <c r="H1203" i="19"/>
  <c r="H1202" i="19"/>
  <c r="H1201" i="19"/>
  <c r="H1200" i="19"/>
  <c r="H1199" i="19"/>
  <c r="H1198" i="19"/>
  <c r="H1197" i="19"/>
  <c r="H1196" i="19"/>
  <c r="H1195" i="19"/>
  <c r="H1194" i="19"/>
  <c r="H1193" i="19"/>
  <c r="H1192" i="19"/>
  <c r="H1191" i="19"/>
  <c r="H1190" i="19"/>
  <c r="H1189" i="19"/>
  <c r="H1188" i="19"/>
  <c r="H1187" i="19"/>
  <c r="H1186" i="19"/>
  <c r="H1185" i="19"/>
  <c r="H1184" i="19"/>
  <c r="H1183" i="19"/>
  <c r="H1182" i="19"/>
  <c r="H1181" i="19"/>
  <c r="H1180" i="19"/>
  <c r="H1179" i="19"/>
  <c r="H1178" i="19"/>
  <c r="H1177" i="19"/>
  <c r="H1176" i="19"/>
  <c r="H1175" i="19"/>
  <c r="H1174" i="19"/>
  <c r="H1173" i="19"/>
  <c r="H1172" i="19"/>
  <c r="H1171" i="19"/>
  <c r="H1170" i="19"/>
  <c r="H1169" i="19"/>
  <c r="H1168" i="19"/>
  <c r="H1167" i="19"/>
  <c r="H1166" i="19"/>
  <c r="H1165" i="19"/>
  <c r="H1164" i="19"/>
  <c r="H1163" i="19"/>
  <c r="H1162" i="19"/>
  <c r="H1161" i="19"/>
  <c r="H1160" i="19"/>
  <c r="H1159" i="19"/>
  <c r="H1158" i="19"/>
  <c r="H1157" i="19"/>
  <c r="H1156" i="19"/>
  <c r="H1155" i="19"/>
  <c r="H1154" i="19"/>
  <c r="H1153" i="19"/>
  <c r="H1152" i="19"/>
  <c r="H1151" i="19"/>
  <c r="H1150" i="19"/>
  <c r="H1149" i="19"/>
  <c r="H1148" i="19"/>
  <c r="H1147" i="19"/>
  <c r="H1146" i="19"/>
  <c r="H1145" i="19"/>
  <c r="H1144" i="19"/>
  <c r="H1143" i="19"/>
  <c r="H1142" i="19"/>
  <c r="H1141" i="19"/>
  <c r="H1140" i="19"/>
  <c r="H1139" i="19"/>
  <c r="H1138" i="19"/>
  <c r="H1137" i="19"/>
  <c r="H1136" i="19"/>
  <c r="H1135" i="19"/>
  <c r="H1134" i="19"/>
  <c r="H1133" i="19"/>
  <c r="H1132" i="19"/>
  <c r="H1131" i="19"/>
  <c r="H1130" i="19"/>
  <c r="H1129" i="19"/>
  <c r="H1128" i="19"/>
  <c r="H1127" i="19"/>
  <c r="H1126" i="19"/>
  <c r="H1125" i="19"/>
  <c r="H1124" i="19"/>
  <c r="H1123" i="19"/>
  <c r="H1122" i="19"/>
  <c r="H1121" i="19"/>
  <c r="H1120" i="19"/>
  <c r="H1119" i="19"/>
  <c r="H1118" i="19"/>
  <c r="H1117" i="19"/>
  <c r="H1116" i="19"/>
  <c r="H1115" i="19"/>
  <c r="H1114" i="19"/>
  <c r="H1113" i="19"/>
  <c r="H1112" i="19"/>
  <c r="H1111" i="19"/>
  <c r="H1110" i="19"/>
  <c r="H1109" i="19"/>
  <c r="H1108" i="19"/>
  <c r="H1107" i="19"/>
  <c r="H1106" i="19"/>
  <c r="H1105" i="19"/>
  <c r="H1104" i="19"/>
  <c r="H1103" i="19"/>
  <c r="H1102" i="19"/>
  <c r="H1101" i="19"/>
  <c r="H1100" i="19"/>
  <c r="H1099" i="19"/>
  <c r="H1098" i="19"/>
  <c r="H1097" i="19"/>
  <c r="H1096" i="19"/>
  <c r="H1095" i="19"/>
  <c r="H1094" i="19"/>
  <c r="H1093" i="19"/>
  <c r="H1092" i="19"/>
  <c r="H1091" i="19"/>
  <c r="H1090" i="19"/>
  <c r="H1089" i="19"/>
  <c r="H1088" i="19"/>
  <c r="H1087" i="19"/>
  <c r="H1086" i="19"/>
  <c r="H1085" i="19"/>
  <c r="H1084" i="19"/>
  <c r="H1083" i="19"/>
  <c r="H1082" i="19"/>
  <c r="H1081" i="19"/>
  <c r="H1080" i="19"/>
  <c r="H1079" i="19"/>
  <c r="H1078" i="19"/>
  <c r="H1077" i="19"/>
  <c r="H1076" i="19"/>
  <c r="H1075" i="19"/>
  <c r="H1074" i="19"/>
  <c r="H1073" i="19"/>
  <c r="H1072" i="19"/>
  <c r="H1071" i="19"/>
  <c r="H1070" i="19"/>
  <c r="H1069" i="19"/>
  <c r="H1068" i="19"/>
  <c r="H1067" i="19"/>
  <c r="H1066" i="19"/>
  <c r="H1065" i="19"/>
  <c r="H1064" i="19"/>
  <c r="H1063" i="19"/>
  <c r="H1062" i="19"/>
  <c r="H1061" i="19"/>
  <c r="H1060" i="19"/>
  <c r="H1059" i="19"/>
  <c r="H1058" i="19"/>
  <c r="H1057" i="19"/>
  <c r="H1056" i="19"/>
  <c r="H1055" i="19"/>
  <c r="H1054" i="19"/>
  <c r="H1053" i="19"/>
  <c r="H1052" i="19"/>
  <c r="H1051" i="19"/>
  <c r="H1050" i="19"/>
  <c r="H1049" i="19"/>
  <c r="H1048" i="19"/>
  <c r="H1047" i="19"/>
  <c r="H1046" i="19"/>
  <c r="H1045" i="19"/>
  <c r="H1044" i="19"/>
  <c r="H1043" i="19"/>
  <c r="H1042" i="19"/>
  <c r="H1041" i="19"/>
  <c r="H1040" i="19"/>
  <c r="H1039" i="19"/>
  <c r="H1038" i="19"/>
  <c r="H1037" i="19"/>
  <c r="H1036" i="19"/>
  <c r="H1035" i="19"/>
  <c r="H1034" i="19"/>
  <c r="H1033" i="19"/>
  <c r="H1032" i="19"/>
  <c r="H1031" i="19"/>
  <c r="H1030" i="19"/>
  <c r="H1029" i="19"/>
  <c r="H1028" i="19"/>
  <c r="H1027" i="19"/>
  <c r="H1026" i="19"/>
  <c r="H1025" i="19"/>
  <c r="H1024" i="19"/>
  <c r="H1023" i="19"/>
  <c r="H1022" i="19"/>
  <c r="H1021" i="19"/>
  <c r="H1020" i="19"/>
  <c r="H1019" i="19"/>
  <c r="H1018" i="19"/>
  <c r="H1017" i="19"/>
  <c r="H1016" i="19"/>
  <c r="H1015" i="19"/>
  <c r="H1014" i="19"/>
  <c r="H1013" i="19"/>
  <c r="H1012" i="19"/>
  <c r="H1011" i="19"/>
  <c r="H1010" i="19"/>
  <c r="H1009" i="19"/>
  <c r="H1008" i="19"/>
  <c r="H1007" i="19"/>
  <c r="H1006" i="19"/>
  <c r="H1005" i="19"/>
  <c r="H1004" i="19"/>
  <c r="H1003" i="19"/>
  <c r="H1002" i="19"/>
  <c r="H1001" i="19"/>
  <c r="H1000" i="19"/>
  <c r="H999" i="19"/>
  <c r="H998" i="19"/>
  <c r="H997" i="19"/>
  <c r="H996" i="19"/>
  <c r="H995" i="19"/>
  <c r="H994" i="19"/>
  <c r="H993" i="19"/>
  <c r="H992" i="19"/>
  <c r="H991" i="19"/>
  <c r="H990" i="19"/>
  <c r="H989" i="19"/>
  <c r="H988" i="19"/>
  <c r="H987" i="19"/>
  <c r="H986" i="19"/>
  <c r="H985" i="19"/>
  <c r="H984" i="19"/>
  <c r="H983" i="19"/>
  <c r="H982" i="19"/>
  <c r="H981" i="19"/>
  <c r="H980" i="19"/>
  <c r="H979" i="19"/>
  <c r="H978" i="19"/>
  <c r="H977" i="19"/>
  <c r="H976" i="19"/>
  <c r="H975" i="19"/>
  <c r="H974" i="19"/>
  <c r="H973" i="19"/>
  <c r="H972" i="19"/>
  <c r="H971" i="19"/>
  <c r="H970" i="19"/>
  <c r="H969" i="19"/>
  <c r="H968" i="19"/>
  <c r="H967" i="19"/>
  <c r="H966" i="19"/>
  <c r="H965" i="19"/>
  <c r="H964" i="19"/>
  <c r="H963" i="19"/>
  <c r="H962" i="19"/>
  <c r="H961" i="19"/>
  <c r="H960" i="19"/>
  <c r="H959" i="19"/>
  <c r="H958" i="19"/>
  <c r="H957" i="19"/>
  <c r="H956" i="19"/>
  <c r="H955" i="19"/>
  <c r="H954" i="19"/>
  <c r="H953" i="19"/>
  <c r="H952" i="19"/>
  <c r="H951" i="19"/>
  <c r="H950" i="19"/>
  <c r="H949" i="19"/>
  <c r="H948" i="19"/>
  <c r="H947" i="19"/>
  <c r="H946" i="19"/>
  <c r="H945" i="19"/>
  <c r="H944" i="19"/>
  <c r="H943" i="19"/>
  <c r="H942" i="19"/>
  <c r="H941" i="19"/>
  <c r="H940" i="19"/>
  <c r="H939" i="19"/>
  <c r="H938" i="19"/>
  <c r="H937" i="19"/>
  <c r="H936" i="19"/>
  <c r="H935" i="19"/>
  <c r="H934" i="19"/>
  <c r="H933" i="19"/>
  <c r="H932" i="19"/>
  <c r="H931" i="19"/>
  <c r="H930" i="19"/>
  <c r="H929" i="19"/>
  <c r="H928" i="19"/>
  <c r="H927" i="19"/>
  <c r="H926" i="19"/>
  <c r="H925" i="19"/>
  <c r="H924" i="19"/>
  <c r="H923" i="19"/>
  <c r="H922" i="19"/>
  <c r="H921" i="19"/>
  <c r="H920" i="19"/>
  <c r="H919" i="19"/>
  <c r="H918" i="19"/>
  <c r="H917" i="19"/>
  <c r="H916" i="19"/>
  <c r="H915" i="19"/>
  <c r="H914" i="19"/>
  <c r="J913" i="19"/>
  <c r="I913" i="19"/>
  <c r="H913" i="19"/>
  <c r="H912" i="19"/>
  <c r="H911" i="19"/>
  <c r="H910" i="19"/>
  <c r="H909" i="19"/>
  <c r="H908" i="19"/>
  <c r="H907" i="19"/>
  <c r="H906" i="19"/>
  <c r="H905" i="19"/>
  <c r="H904" i="19"/>
  <c r="H903" i="19"/>
  <c r="H902" i="19"/>
  <c r="H901" i="19"/>
  <c r="H900" i="19"/>
  <c r="H899" i="19"/>
  <c r="H898" i="19"/>
  <c r="H897" i="19"/>
  <c r="H896" i="19"/>
  <c r="H895" i="19"/>
  <c r="H894" i="19"/>
  <c r="H893" i="19"/>
  <c r="H892" i="19"/>
  <c r="H891" i="19"/>
  <c r="H890" i="19"/>
  <c r="H889" i="19"/>
  <c r="H888" i="19"/>
  <c r="H887" i="19"/>
  <c r="H886" i="19"/>
  <c r="H885" i="19"/>
  <c r="H884" i="19"/>
  <c r="H883" i="19"/>
  <c r="H882" i="19"/>
  <c r="H881" i="19"/>
  <c r="J880" i="19"/>
  <c r="I880" i="19"/>
  <c r="H880" i="19"/>
  <c r="H870" i="19"/>
  <c r="H869" i="19"/>
  <c r="H868" i="19"/>
  <c r="H867" i="19"/>
  <c r="H866" i="19"/>
  <c r="H865" i="19"/>
  <c r="H864" i="19"/>
  <c r="H863" i="19"/>
  <c r="H862" i="19"/>
  <c r="J861" i="19"/>
  <c r="I861" i="19"/>
  <c r="H861" i="19"/>
  <c r="J860" i="19"/>
  <c r="I860" i="19"/>
  <c r="H860" i="19"/>
  <c r="J859" i="19"/>
  <c r="I859" i="19"/>
  <c r="H859" i="19"/>
  <c r="H858" i="19"/>
  <c r="J857" i="19"/>
  <c r="I857" i="19"/>
  <c r="H857" i="19"/>
  <c r="J856" i="19"/>
  <c r="I856" i="19"/>
  <c r="H856" i="19"/>
  <c r="J855" i="19"/>
  <c r="I855" i="19"/>
  <c r="H855" i="19"/>
  <c r="H854" i="19"/>
  <c r="J853" i="19"/>
  <c r="I853" i="19"/>
  <c r="H853" i="19"/>
  <c r="H852" i="19"/>
  <c r="H851" i="19"/>
  <c r="H850" i="19"/>
  <c r="H849" i="19"/>
  <c r="H848" i="19"/>
  <c r="H847" i="19"/>
  <c r="H846" i="19"/>
  <c r="H845" i="19"/>
  <c r="H844" i="19"/>
  <c r="H843" i="19"/>
  <c r="H842" i="19"/>
  <c r="H841" i="19"/>
  <c r="H840" i="19"/>
  <c r="H839" i="19"/>
  <c r="H838" i="19"/>
  <c r="H837" i="19"/>
  <c r="H836" i="19"/>
  <c r="H835" i="19"/>
  <c r="H834" i="19"/>
  <c r="H833" i="19"/>
  <c r="H832" i="19"/>
  <c r="H831" i="19"/>
  <c r="H830" i="19"/>
  <c r="H829" i="19"/>
  <c r="H828" i="19"/>
  <c r="H827" i="19"/>
  <c r="H826" i="19"/>
  <c r="H825" i="19"/>
  <c r="H824" i="19"/>
  <c r="H823" i="19"/>
  <c r="H822" i="19"/>
  <c r="H821" i="19"/>
  <c r="I820" i="19"/>
  <c r="H820" i="19"/>
  <c r="H819" i="19"/>
  <c r="H818" i="19"/>
  <c r="H817" i="19"/>
  <c r="H816" i="19"/>
  <c r="H815" i="19"/>
  <c r="H814" i="19"/>
  <c r="H813" i="19"/>
  <c r="H812" i="19"/>
  <c r="H811" i="19"/>
  <c r="H810" i="19"/>
  <c r="H809" i="19"/>
  <c r="H808" i="19"/>
  <c r="H807" i="19"/>
  <c r="H806" i="19"/>
  <c r="H805" i="19"/>
  <c r="H804" i="19"/>
  <c r="H803" i="19"/>
  <c r="H802" i="19"/>
  <c r="H801" i="19"/>
  <c r="H800" i="19"/>
  <c r="H799" i="19"/>
  <c r="H798" i="19"/>
  <c r="H797" i="19"/>
  <c r="H796" i="19"/>
  <c r="H795" i="19"/>
  <c r="H794" i="19"/>
  <c r="H793" i="19"/>
  <c r="H792" i="19"/>
  <c r="H791" i="19"/>
  <c r="H790" i="19"/>
  <c r="H789" i="19"/>
  <c r="H776" i="19"/>
  <c r="J775" i="19"/>
  <c r="I775" i="19"/>
  <c r="H775" i="19"/>
  <c r="J774" i="19"/>
  <c r="I774" i="19"/>
  <c r="H774" i="19"/>
  <c r="J773" i="19"/>
  <c r="I773" i="19"/>
  <c r="H773" i="19"/>
  <c r="J772" i="19"/>
  <c r="I772" i="19"/>
  <c r="H772" i="19"/>
  <c r="H771" i="19"/>
  <c r="H770" i="19"/>
  <c r="J769" i="19"/>
  <c r="I769" i="19"/>
  <c r="H769" i="19"/>
  <c r="J768" i="19"/>
  <c r="I768" i="19"/>
  <c r="H768" i="19"/>
  <c r="J767" i="19"/>
  <c r="I767" i="19"/>
  <c r="H767" i="19"/>
  <c r="J766" i="19"/>
  <c r="I766" i="19"/>
  <c r="H766" i="19"/>
  <c r="H765" i="19"/>
  <c r="H764" i="19"/>
  <c r="J763" i="19"/>
  <c r="I763" i="19"/>
  <c r="H763" i="19"/>
  <c r="J762" i="19"/>
  <c r="I762" i="19"/>
  <c r="H762" i="19"/>
  <c r="J761" i="19"/>
  <c r="I761" i="19"/>
  <c r="H761" i="19"/>
  <c r="J760" i="19"/>
  <c r="I760" i="19"/>
  <c r="H760" i="19"/>
  <c r="H759" i="19"/>
  <c r="H758" i="19"/>
  <c r="J757" i="19"/>
  <c r="I757" i="19"/>
  <c r="H757" i="19"/>
  <c r="J756" i="19"/>
  <c r="I756" i="19"/>
  <c r="H756" i="19"/>
  <c r="J755" i="19"/>
  <c r="I755" i="19"/>
  <c r="H755" i="19"/>
  <c r="J754" i="19"/>
  <c r="I754" i="19"/>
  <c r="H754" i="19"/>
  <c r="H753" i="19"/>
  <c r="H752" i="19"/>
  <c r="J751" i="19"/>
  <c r="I751" i="19"/>
  <c r="H751" i="19"/>
  <c r="J750" i="19"/>
  <c r="I750" i="19"/>
  <c r="H750" i="19"/>
  <c r="J749" i="19"/>
  <c r="I749" i="19"/>
  <c r="H749" i="19"/>
  <c r="J748" i="19"/>
  <c r="I748" i="19"/>
  <c r="H748" i="19"/>
  <c r="H747" i="19"/>
  <c r="H746" i="19"/>
  <c r="J745" i="19"/>
  <c r="I745" i="19"/>
  <c r="H745" i="19"/>
  <c r="J744" i="19"/>
  <c r="I744" i="19"/>
  <c r="H744" i="19"/>
  <c r="J743" i="19"/>
  <c r="I743" i="19"/>
  <c r="H743" i="19"/>
  <c r="J742" i="19"/>
  <c r="I742" i="19"/>
  <c r="H742" i="19"/>
  <c r="H741" i="19"/>
  <c r="H740" i="19"/>
  <c r="J739" i="19"/>
  <c r="I739" i="19"/>
  <c r="H739" i="19"/>
  <c r="J738" i="19"/>
  <c r="I738" i="19"/>
  <c r="H738" i="19"/>
  <c r="J737" i="19"/>
  <c r="I737" i="19"/>
  <c r="H737" i="19"/>
  <c r="J736" i="19"/>
  <c r="I736" i="19"/>
  <c r="H736" i="19"/>
  <c r="H735" i="19"/>
  <c r="H734" i="19"/>
  <c r="J733" i="19"/>
  <c r="I733" i="19"/>
  <c r="H733" i="19"/>
  <c r="J732" i="19"/>
  <c r="I732" i="19"/>
  <c r="H732" i="19"/>
  <c r="J731" i="19"/>
  <c r="I731" i="19"/>
  <c r="H731" i="19"/>
  <c r="J730" i="19"/>
  <c r="I730" i="19"/>
  <c r="H730" i="19"/>
  <c r="H729" i="19"/>
  <c r="H728" i="19"/>
  <c r="J727" i="19"/>
  <c r="I727" i="19"/>
  <c r="H727" i="19"/>
  <c r="J726" i="19"/>
  <c r="I726" i="19"/>
  <c r="H726" i="19"/>
  <c r="J725" i="19"/>
  <c r="I725" i="19"/>
  <c r="H725" i="19"/>
  <c r="J724" i="19"/>
  <c r="I724" i="19"/>
  <c r="H724" i="19"/>
  <c r="H723" i="19"/>
  <c r="H722" i="19"/>
  <c r="J721" i="19"/>
  <c r="I721" i="19"/>
  <c r="H721" i="19"/>
  <c r="J720" i="19"/>
  <c r="I720" i="19"/>
  <c r="H720" i="19"/>
  <c r="J719" i="19"/>
  <c r="I719" i="19"/>
  <c r="H719" i="19"/>
  <c r="J718" i="19"/>
  <c r="I718" i="19"/>
  <c r="H718" i="19"/>
  <c r="H717" i="19"/>
  <c r="H716" i="19"/>
  <c r="J715" i="19"/>
  <c r="I715" i="19"/>
  <c r="H715" i="19"/>
  <c r="J714" i="19"/>
  <c r="I714" i="19"/>
  <c r="H714" i="19"/>
  <c r="J713" i="19"/>
  <c r="I713" i="19"/>
  <c r="H713" i="19"/>
  <c r="J712" i="19"/>
  <c r="I712" i="19"/>
  <c r="H712" i="19"/>
  <c r="H711" i="19"/>
  <c r="H710" i="19"/>
  <c r="J709" i="19"/>
  <c r="I709" i="19"/>
  <c r="H709" i="19"/>
  <c r="J708" i="19"/>
  <c r="I708" i="19"/>
  <c r="H708" i="19"/>
  <c r="J707" i="19"/>
  <c r="I707" i="19"/>
  <c r="H707" i="19"/>
  <c r="J706" i="19"/>
  <c r="I706" i="19"/>
  <c r="H706" i="19"/>
  <c r="H705" i="19"/>
  <c r="H704" i="19"/>
  <c r="J703" i="19"/>
  <c r="I703" i="19"/>
  <c r="H703" i="19"/>
  <c r="H702" i="19"/>
  <c r="H701" i="19"/>
  <c r="H700" i="19"/>
  <c r="H699" i="19"/>
  <c r="H698" i="19"/>
  <c r="H697" i="19"/>
  <c r="H696" i="19"/>
  <c r="H695" i="19"/>
  <c r="H694" i="19"/>
  <c r="H693" i="19"/>
  <c r="H692" i="19"/>
  <c r="H691" i="19"/>
  <c r="H690" i="19"/>
  <c r="H689" i="19"/>
  <c r="H688" i="19"/>
  <c r="H687" i="19"/>
  <c r="H686" i="19"/>
  <c r="H685" i="19"/>
  <c r="H684" i="19"/>
  <c r="H683" i="19"/>
  <c r="H682" i="19"/>
  <c r="J681" i="19"/>
  <c r="I681" i="19"/>
  <c r="H681" i="19"/>
  <c r="J680" i="19"/>
  <c r="I680" i="19"/>
  <c r="H680" i="19"/>
  <c r="J679" i="19"/>
  <c r="I679" i="19"/>
  <c r="H679" i="19"/>
  <c r="H678" i="19"/>
  <c r="J677" i="19"/>
  <c r="H677" i="19"/>
  <c r="J676" i="19"/>
  <c r="H676" i="19"/>
  <c r="J675" i="19"/>
  <c r="H675" i="19"/>
  <c r="H674" i="19"/>
  <c r="J673" i="19"/>
  <c r="H673" i="19"/>
  <c r="J672" i="19"/>
  <c r="H672" i="19"/>
  <c r="J671" i="19"/>
  <c r="H671" i="19"/>
  <c r="H670" i="19"/>
  <c r="J669" i="19"/>
  <c r="H669" i="19"/>
  <c r="J668" i="19"/>
  <c r="H668" i="19"/>
  <c r="J667" i="19"/>
  <c r="H667" i="19"/>
  <c r="H666" i="19"/>
  <c r="H665" i="19"/>
  <c r="H664" i="19"/>
  <c r="H663" i="19"/>
  <c r="H662" i="19"/>
  <c r="H661" i="19"/>
  <c r="H660" i="19"/>
  <c r="H659" i="19"/>
  <c r="H658" i="19"/>
  <c r="J657" i="19"/>
  <c r="I657" i="19"/>
  <c r="H657" i="19"/>
  <c r="J656" i="19"/>
  <c r="I656" i="19"/>
  <c r="H656" i="19"/>
  <c r="J655" i="19"/>
  <c r="I655" i="19"/>
  <c r="H655" i="19"/>
  <c r="H654" i="19"/>
  <c r="H653" i="19"/>
  <c r="H652" i="19"/>
  <c r="H651" i="19"/>
  <c r="H650" i="19"/>
  <c r="H649" i="19"/>
  <c r="H648" i="19"/>
  <c r="H647" i="19"/>
  <c r="H646" i="19"/>
  <c r="H645" i="19"/>
  <c r="J644" i="19"/>
  <c r="I644" i="19"/>
  <c r="H644" i="19"/>
  <c r="H643" i="19"/>
  <c r="H642" i="19"/>
  <c r="H641" i="19"/>
  <c r="H640" i="19"/>
  <c r="H639" i="19"/>
  <c r="H638" i="19"/>
  <c r="H637" i="19"/>
  <c r="H636" i="19"/>
  <c r="H635" i="19"/>
  <c r="H634" i="19"/>
  <c r="H633" i="19"/>
  <c r="H632" i="19"/>
  <c r="H631" i="19"/>
  <c r="H630" i="19"/>
  <c r="H629" i="19"/>
  <c r="H628" i="19"/>
  <c r="H627" i="19"/>
  <c r="H626" i="19"/>
  <c r="H625" i="19"/>
  <c r="H624" i="19"/>
  <c r="H623" i="19"/>
  <c r="H622" i="19"/>
  <c r="H621" i="19"/>
  <c r="H620" i="19"/>
  <c r="H619" i="19"/>
  <c r="J618" i="19"/>
  <c r="I618" i="19"/>
  <c r="H618" i="19"/>
  <c r="H617" i="19"/>
  <c r="J616" i="19"/>
  <c r="I616" i="19"/>
  <c r="H616" i="19"/>
  <c r="J615" i="19"/>
  <c r="I615" i="19"/>
  <c r="H615" i="19"/>
  <c r="J614" i="19"/>
  <c r="I614" i="19"/>
  <c r="H614" i="19"/>
  <c r="H613" i="19"/>
  <c r="H612" i="19"/>
  <c r="J611" i="19"/>
  <c r="I611" i="19"/>
  <c r="H611" i="19"/>
  <c r="J610" i="19"/>
  <c r="I610" i="19"/>
  <c r="H610" i="19"/>
  <c r="J609" i="19"/>
  <c r="I609" i="19"/>
  <c r="H609" i="19"/>
  <c r="H608" i="19"/>
  <c r="H607" i="19"/>
  <c r="J606" i="19"/>
  <c r="I606" i="19"/>
  <c r="H606" i="19"/>
  <c r="J605" i="19"/>
  <c r="I605" i="19"/>
  <c r="H605" i="19"/>
  <c r="J604" i="19"/>
  <c r="I604" i="19"/>
  <c r="H604" i="19"/>
  <c r="H603" i="19"/>
  <c r="H602" i="19"/>
  <c r="J601" i="19"/>
  <c r="I601" i="19"/>
  <c r="H601" i="19"/>
  <c r="J600" i="19"/>
  <c r="I600" i="19"/>
  <c r="H600" i="19"/>
  <c r="J599" i="19"/>
  <c r="I599" i="19"/>
  <c r="H599" i="19"/>
  <c r="H598" i="19"/>
  <c r="H597" i="19"/>
  <c r="J596" i="19"/>
  <c r="I596" i="19"/>
  <c r="H596" i="19"/>
  <c r="J595" i="19"/>
  <c r="I595" i="19"/>
  <c r="H595" i="19"/>
  <c r="J594" i="19"/>
  <c r="I594" i="19"/>
  <c r="H594" i="19"/>
  <c r="H593" i="19"/>
  <c r="H592" i="19"/>
  <c r="H591" i="19"/>
  <c r="H590" i="19"/>
  <c r="J589" i="19"/>
  <c r="I589" i="19"/>
  <c r="H589" i="19"/>
  <c r="H588" i="19"/>
  <c r="H587" i="19"/>
  <c r="H586" i="19"/>
  <c r="H585" i="19"/>
  <c r="H584" i="19"/>
  <c r="H583" i="19"/>
  <c r="H582" i="19"/>
  <c r="H581" i="19"/>
  <c r="H580" i="19"/>
  <c r="H579" i="19"/>
  <c r="H578" i="19"/>
  <c r="H577" i="19"/>
  <c r="H576" i="19"/>
  <c r="H575" i="19"/>
  <c r="H574" i="19"/>
  <c r="H573" i="19"/>
  <c r="H572" i="19"/>
  <c r="H571" i="19"/>
  <c r="H570" i="19"/>
  <c r="H569" i="19"/>
  <c r="H568" i="19"/>
  <c r="H567" i="19"/>
  <c r="H566" i="19"/>
  <c r="H565" i="19"/>
  <c r="H564" i="19"/>
  <c r="J563" i="19"/>
  <c r="I563" i="19"/>
  <c r="H563" i="19"/>
  <c r="H562" i="19"/>
  <c r="H561" i="19"/>
  <c r="H560" i="19"/>
  <c r="H559" i="19"/>
  <c r="H558" i="19"/>
  <c r="H557" i="19"/>
  <c r="H556" i="19"/>
  <c r="H555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J542" i="19"/>
  <c r="I542" i="19"/>
  <c r="H542" i="19"/>
  <c r="J541" i="19"/>
  <c r="I541" i="19"/>
  <c r="H541" i="19"/>
  <c r="J540" i="19"/>
  <c r="I540" i="19"/>
  <c r="H540" i="19"/>
  <c r="J539" i="19"/>
  <c r="I539" i="19"/>
  <c r="H539" i="19"/>
  <c r="H538" i="19"/>
  <c r="J537" i="19"/>
  <c r="I537" i="19"/>
  <c r="H537" i="19"/>
  <c r="J536" i="19"/>
  <c r="I536" i="19"/>
  <c r="H536" i="19"/>
  <c r="J535" i="19"/>
  <c r="I535" i="19"/>
  <c r="H535" i="19"/>
  <c r="J534" i="19"/>
  <c r="I534" i="19"/>
  <c r="H534" i="19"/>
  <c r="H533" i="19"/>
  <c r="H532" i="19"/>
  <c r="H531" i="19"/>
  <c r="H530" i="19"/>
  <c r="H529" i="19"/>
  <c r="H528" i="19"/>
  <c r="H527" i="19"/>
  <c r="H526" i="19"/>
  <c r="H525" i="19"/>
  <c r="H524" i="19"/>
  <c r="H523" i="19"/>
  <c r="H522" i="19"/>
  <c r="H521" i="19"/>
  <c r="H520" i="19"/>
  <c r="H519" i="19"/>
  <c r="J518" i="19"/>
  <c r="I518" i="19"/>
  <c r="H518" i="19"/>
  <c r="J517" i="19"/>
  <c r="I517" i="19"/>
  <c r="H517" i="19"/>
  <c r="J516" i="19"/>
  <c r="I516" i="19"/>
  <c r="H516" i="19"/>
  <c r="J515" i="19"/>
  <c r="I515" i="19"/>
  <c r="H515" i="19"/>
  <c r="H514" i="19"/>
  <c r="J513" i="19"/>
  <c r="I513" i="19"/>
  <c r="H513" i="19"/>
  <c r="J512" i="19"/>
  <c r="I512" i="19"/>
  <c r="H512" i="19"/>
  <c r="J511" i="19"/>
  <c r="I511" i="19"/>
  <c r="H511" i="19"/>
  <c r="J510" i="19"/>
  <c r="I510" i="19"/>
  <c r="H510" i="19"/>
  <c r="H509" i="19"/>
  <c r="J508" i="19"/>
  <c r="I508" i="19"/>
  <c r="H508" i="19"/>
  <c r="J507" i="19"/>
  <c r="I507" i="19"/>
  <c r="H507" i="19"/>
  <c r="J506" i="19"/>
  <c r="I506" i="19"/>
  <c r="H506" i="19"/>
  <c r="J505" i="19"/>
  <c r="I505" i="19"/>
  <c r="H505" i="19"/>
  <c r="H504" i="19"/>
  <c r="H503" i="19"/>
  <c r="J502" i="19"/>
  <c r="I502" i="19"/>
  <c r="H502" i="19"/>
  <c r="J501" i="19"/>
  <c r="I501" i="19"/>
  <c r="H501" i="19"/>
  <c r="J500" i="19"/>
  <c r="I500" i="19"/>
  <c r="H500" i="19"/>
  <c r="J499" i="19"/>
  <c r="I499" i="19"/>
  <c r="H499" i="19"/>
  <c r="H498" i="19"/>
  <c r="H497" i="19"/>
  <c r="J496" i="19"/>
  <c r="I496" i="19"/>
  <c r="H496" i="19"/>
  <c r="J495" i="19"/>
  <c r="I495" i="19"/>
  <c r="H495" i="19"/>
  <c r="J494" i="19"/>
  <c r="I494" i="19"/>
  <c r="H494" i="19"/>
  <c r="J493" i="19"/>
  <c r="I493" i="19"/>
  <c r="H493" i="19"/>
  <c r="H492" i="19"/>
  <c r="H485" i="19"/>
  <c r="J484" i="19"/>
  <c r="I484" i="19"/>
  <c r="H484" i="19"/>
  <c r="J483" i="19"/>
  <c r="I483" i="19"/>
  <c r="H483" i="19"/>
  <c r="J482" i="19"/>
  <c r="I482" i="19"/>
  <c r="H482" i="19"/>
  <c r="J481" i="19"/>
  <c r="I481" i="19"/>
  <c r="H481" i="19"/>
  <c r="H480" i="19"/>
  <c r="H479" i="19"/>
  <c r="J478" i="19"/>
  <c r="I478" i="19"/>
  <c r="H478" i="19"/>
  <c r="J477" i="19"/>
  <c r="I477" i="19"/>
  <c r="H477" i="19"/>
  <c r="J476" i="19"/>
  <c r="I476" i="19"/>
  <c r="H476" i="19"/>
  <c r="J475" i="19"/>
  <c r="I475" i="19"/>
  <c r="H475" i="19"/>
  <c r="H474" i="19"/>
  <c r="H473" i="19"/>
  <c r="J472" i="19"/>
  <c r="I472" i="19"/>
  <c r="H472" i="19"/>
  <c r="J471" i="19"/>
  <c r="I471" i="19"/>
  <c r="H471" i="19"/>
  <c r="J470" i="19"/>
  <c r="I470" i="19"/>
  <c r="H470" i="19"/>
  <c r="J469" i="19"/>
  <c r="I469" i="19"/>
  <c r="H469" i="19"/>
  <c r="H468" i="19"/>
  <c r="H437" i="19"/>
  <c r="J436" i="19"/>
  <c r="I436" i="19"/>
  <c r="H436" i="19"/>
  <c r="J435" i="19"/>
  <c r="I435" i="19"/>
  <c r="H435" i="19"/>
  <c r="J434" i="19"/>
  <c r="I434" i="19"/>
  <c r="H434" i="19"/>
  <c r="J433" i="19"/>
  <c r="I433" i="19"/>
  <c r="H433" i="19"/>
  <c r="H432" i="19"/>
  <c r="H431" i="19"/>
  <c r="J430" i="19"/>
  <c r="I430" i="19"/>
  <c r="H430" i="19"/>
  <c r="J429" i="19"/>
  <c r="I429" i="19"/>
  <c r="H429" i="19"/>
  <c r="J428" i="19"/>
  <c r="I428" i="19"/>
  <c r="H428" i="19"/>
  <c r="J427" i="19"/>
  <c r="I427" i="19"/>
  <c r="H427" i="19"/>
  <c r="H426" i="19"/>
  <c r="H425" i="19"/>
  <c r="J424" i="19"/>
  <c r="I424" i="19"/>
  <c r="H424" i="19"/>
  <c r="J423" i="19"/>
  <c r="I423" i="19"/>
  <c r="H423" i="19"/>
  <c r="J422" i="19"/>
  <c r="I422" i="19"/>
  <c r="H422" i="19"/>
  <c r="J421" i="19"/>
  <c r="I421" i="19"/>
  <c r="H421" i="19"/>
  <c r="H420" i="19"/>
  <c r="H407" i="19"/>
  <c r="J406" i="19"/>
  <c r="I406" i="19"/>
  <c r="H406" i="19"/>
  <c r="J405" i="19"/>
  <c r="I405" i="19"/>
  <c r="H405" i="19"/>
  <c r="J404" i="19"/>
  <c r="I404" i="19"/>
  <c r="H404" i="19"/>
  <c r="J403" i="19"/>
  <c r="I403" i="19"/>
  <c r="H403" i="19"/>
  <c r="H402" i="19"/>
  <c r="H401" i="19"/>
  <c r="J400" i="19"/>
  <c r="I400" i="19"/>
  <c r="H400" i="19"/>
  <c r="J399" i="19"/>
  <c r="I399" i="19"/>
  <c r="H399" i="19"/>
  <c r="J398" i="19"/>
  <c r="I398" i="19"/>
  <c r="H398" i="19"/>
  <c r="J397" i="19"/>
  <c r="I397" i="19"/>
  <c r="H397" i="19"/>
  <c r="H396" i="19"/>
  <c r="H383" i="19"/>
  <c r="J382" i="19"/>
  <c r="I382" i="19"/>
  <c r="H382" i="19"/>
  <c r="J381" i="19"/>
  <c r="I381" i="19"/>
  <c r="H381" i="19"/>
  <c r="J380" i="19"/>
  <c r="I380" i="19"/>
  <c r="H380" i="19"/>
  <c r="J379" i="19"/>
  <c r="I379" i="19"/>
  <c r="H379" i="19"/>
  <c r="H378" i="19"/>
  <c r="H377" i="19"/>
  <c r="J376" i="19"/>
  <c r="I376" i="19"/>
  <c r="H376" i="19"/>
  <c r="J375" i="19"/>
  <c r="I375" i="19"/>
  <c r="H375" i="19"/>
  <c r="J374" i="19"/>
  <c r="I374" i="19"/>
  <c r="H374" i="19"/>
  <c r="J373" i="19"/>
  <c r="I373" i="19"/>
  <c r="H373" i="19"/>
  <c r="H372" i="19"/>
  <c r="H371" i="19"/>
  <c r="J370" i="19"/>
  <c r="I370" i="19"/>
  <c r="H370" i="19"/>
  <c r="J369" i="19"/>
  <c r="I369" i="19"/>
  <c r="H369" i="19"/>
  <c r="J368" i="19"/>
  <c r="I368" i="19"/>
  <c r="H368" i="19"/>
  <c r="J367" i="19"/>
  <c r="I367" i="19"/>
  <c r="H367" i="19"/>
  <c r="H366" i="19"/>
  <c r="H365" i="19"/>
  <c r="J364" i="19"/>
  <c r="I364" i="19"/>
  <c r="H364" i="19"/>
  <c r="J363" i="19"/>
  <c r="I363" i="19"/>
  <c r="H363" i="19"/>
  <c r="J362" i="19"/>
  <c r="I362" i="19"/>
  <c r="H362" i="19"/>
  <c r="J361" i="19"/>
  <c r="I361" i="19"/>
  <c r="H361" i="19"/>
  <c r="H360" i="19"/>
  <c r="H359" i="19"/>
  <c r="J358" i="19"/>
  <c r="I358" i="19"/>
  <c r="H358" i="19"/>
  <c r="J357" i="19"/>
  <c r="I357" i="19"/>
  <c r="H357" i="19"/>
  <c r="J356" i="19"/>
  <c r="I356" i="19"/>
  <c r="H356" i="19"/>
  <c r="J355" i="19"/>
  <c r="I355" i="19"/>
  <c r="H355" i="19"/>
  <c r="H354" i="19"/>
  <c r="H353" i="19"/>
  <c r="J352" i="19"/>
  <c r="I352" i="19"/>
  <c r="H352" i="19"/>
  <c r="J351" i="19"/>
  <c r="I351" i="19"/>
  <c r="H351" i="19"/>
  <c r="J350" i="19"/>
  <c r="I350" i="19"/>
  <c r="H350" i="19"/>
  <c r="J349" i="19"/>
  <c r="I349" i="19"/>
  <c r="H349" i="19"/>
  <c r="H348" i="19"/>
  <c r="H347" i="19"/>
  <c r="J346" i="19"/>
  <c r="I346" i="19"/>
  <c r="H346" i="19"/>
  <c r="J345" i="19"/>
  <c r="I345" i="19"/>
  <c r="H345" i="19"/>
  <c r="J344" i="19"/>
  <c r="I344" i="19"/>
  <c r="H344" i="19"/>
  <c r="J343" i="19"/>
  <c r="I343" i="19"/>
  <c r="H343" i="19"/>
  <c r="H342" i="19"/>
  <c r="H341" i="19"/>
  <c r="J340" i="19"/>
  <c r="I340" i="19"/>
  <c r="H340" i="19"/>
  <c r="J339" i="19"/>
  <c r="I339" i="19"/>
  <c r="H339" i="19"/>
  <c r="J338" i="19"/>
  <c r="I338" i="19"/>
  <c r="H338" i="19"/>
  <c r="J337" i="19"/>
  <c r="I337" i="19"/>
  <c r="H337" i="19"/>
  <c r="H336" i="19"/>
  <c r="H335" i="19"/>
  <c r="J334" i="19"/>
  <c r="I334" i="19"/>
  <c r="H334" i="19"/>
  <c r="J333" i="19"/>
  <c r="I333" i="19"/>
  <c r="H333" i="19"/>
  <c r="J332" i="19"/>
  <c r="I332" i="19"/>
  <c r="H332" i="19"/>
  <c r="J331" i="19"/>
  <c r="I331" i="19"/>
  <c r="H331" i="19"/>
  <c r="H330" i="19"/>
  <c r="H329" i="19"/>
  <c r="J328" i="19"/>
  <c r="I328" i="19"/>
  <c r="H328" i="19"/>
  <c r="J327" i="19"/>
  <c r="I327" i="19"/>
  <c r="H327" i="19"/>
  <c r="J326" i="19"/>
  <c r="I326" i="19"/>
  <c r="H326" i="19"/>
  <c r="J325" i="19"/>
  <c r="I325" i="19"/>
  <c r="H325" i="19"/>
  <c r="H324" i="19"/>
  <c r="H323" i="19"/>
  <c r="J322" i="19"/>
  <c r="I322" i="19"/>
  <c r="H322" i="19"/>
  <c r="J321" i="19"/>
  <c r="I321" i="19"/>
  <c r="H321" i="19"/>
  <c r="J320" i="19"/>
  <c r="I320" i="19"/>
  <c r="H320" i="19"/>
  <c r="J319" i="19"/>
  <c r="I319" i="19"/>
  <c r="H319" i="19"/>
  <c r="H318" i="19"/>
  <c r="H317" i="19"/>
  <c r="J316" i="19"/>
  <c r="I316" i="19"/>
  <c r="H316" i="19"/>
  <c r="J315" i="19"/>
  <c r="I315" i="19"/>
  <c r="H315" i="19"/>
  <c r="J314" i="19"/>
  <c r="I314" i="19"/>
  <c r="H314" i="19"/>
  <c r="J313" i="19"/>
  <c r="I313" i="19"/>
  <c r="H313" i="19"/>
  <c r="H312" i="19"/>
  <c r="H311" i="19"/>
  <c r="J310" i="19"/>
  <c r="I310" i="19"/>
  <c r="H310" i="19"/>
  <c r="J309" i="19"/>
  <c r="I309" i="19"/>
  <c r="H309" i="19"/>
  <c r="J308" i="19"/>
  <c r="I308" i="19"/>
  <c r="H308" i="19"/>
  <c r="J307" i="19"/>
  <c r="I307" i="19"/>
  <c r="H307" i="19"/>
  <c r="H306" i="19"/>
  <c r="H305" i="19"/>
  <c r="J304" i="19"/>
  <c r="I304" i="19"/>
  <c r="H304" i="19"/>
  <c r="H303" i="19"/>
  <c r="H302" i="19"/>
  <c r="J301" i="19"/>
  <c r="I301" i="19"/>
  <c r="H301" i="19"/>
  <c r="H300" i="19"/>
  <c r="H299" i="19"/>
  <c r="J298" i="19"/>
  <c r="I298" i="19"/>
  <c r="H298" i="19"/>
  <c r="H297" i="19"/>
  <c r="H296" i="19"/>
  <c r="J295" i="19"/>
  <c r="I295" i="19"/>
  <c r="H295" i="19"/>
  <c r="H294" i="19"/>
  <c r="H293" i="19"/>
  <c r="J292" i="19"/>
  <c r="I292" i="19"/>
  <c r="H292" i="19"/>
  <c r="H291" i="19"/>
  <c r="H290" i="19"/>
  <c r="J289" i="19"/>
  <c r="I289" i="19"/>
  <c r="H289" i="19"/>
  <c r="H288" i="19"/>
  <c r="H287" i="19"/>
  <c r="J286" i="19"/>
  <c r="I286" i="19"/>
  <c r="H286" i="19"/>
  <c r="H285" i="19"/>
  <c r="H284" i="19"/>
  <c r="J283" i="19"/>
  <c r="I283" i="19"/>
  <c r="H283" i="19"/>
  <c r="H282" i="19"/>
  <c r="H281" i="19"/>
  <c r="J280" i="19"/>
  <c r="I280" i="19"/>
  <c r="H280" i="19"/>
  <c r="H279" i="19"/>
  <c r="H278" i="19"/>
  <c r="J277" i="19"/>
  <c r="I277" i="19"/>
  <c r="H277" i="19"/>
  <c r="H276" i="19"/>
  <c r="H275" i="19"/>
  <c r="J274" i="19"/>
  <c r="I274" i="19"/>
  <c r="H274" i="19"/>
  <c r="J273" i="19"/>
  <c r="I273" i="19"/>
  <c r="H273" i="19"/>
  <c r="J272" i="19"/>
  <c r="I272" i="19"/>
  <c r="H272" i="19"/>
  <c r="H271" i="19"/>
  <c r="H270" i="19"/>
  <c r="J269" i="19"/>
  <c r="I269" i="19"/>
  <c r="H269" i="19"/>
  <c r="J268" i="19"/>
  <c r="I268" i="19"/>
  <c r="H268" i="19"/>
  <c r="J267" i="19"/>
  <c r="I267" i="19"/>
  <c r="H267" i="19"/>
  <c r="H266" i="19"/>
  <c r="H265" i="19"/>
  <c r="J264" i="19"/>
  <c r="I264" i="19"/>
  <c r="H264" i="19"/>
  <c r="J263" i="19"/>
  <c r="I263" i="19"/>
  <c r="H263" i="19"/>
  <c r="J262" i="19"/>
  <c r="I262" i="19"/>
  <c r="H262" i="19"/>
  <c r="H261" i="19"/>
  <c r="H260" i="19"/>
  <c r="J259" i="19"/>
  <c r="I259" i="19"/>
  <c r="H259" i="19"/>
  <c r="J258" i="19"/>
  <c r="I258" i="19"/>
  <c r="H258" i="19"/>
  <c r="J257" i="19"/>
  <c r="I257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J228" i="19"/>
  <c r="I228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4" i="19"/>
  <c r="H203" i="19"/>
  <c r="J202" i="19"/>
  <c r="I202" i="19"/>
  <c r="H202" i="19"/>
  <c r="H201" i="19"/>
  <c r="H200" i="19"/>
  <c r="I199" i="19"/>
  <c r="H199" i="19"/>
  <c r="I198" i="19"/>
  <c r="H198" i="19"/>
  <c r="H197" i="19"/>
  <c r="I196" i="19"/>
  <c r="H196" i="19"/>
  <c r="I195" i="19"/>
  <c r="H195" i="19"/>
  <c r="H194" i="19"/>
  <c r="I193" i="19"/>
  <c r="H193" i="19"/>
  <c r="I192" i="19"/>
  <c r="H192" i="19"/>
  <c r="I191" i="19"/>
  <c r="H191" i="19"/>
  <c r="H190" i="19"/>
  <c r="H189" i="19"/>
  <c r="H188" i="19"/>
  <c r="H187" i="19"/>
  <c r="H186" i="19"/>
  <c r="H185" i="19"/>
  <c r="H184" i="19"/>
  <c r="I183" i="19"/>
  <c r="H183" i="19"/>
  <c r="I182" i="19"/>
  <c r="H182" i="19"/>
  <c r="I181" i="19"/>
  <c r="H181" i="19"/>
  <c r="H180" i="19"/>
  <c r="I179" i="19"/>
  <c r="H179" i="19"/>
  <c r="I178" i="19"/>
  <c r="H178" i="19"/>
  <c r="I177" i="19"/>
  <c r="H177" i="19"/>
  <c r="H176" i="19"/>
  <c r="I175" i="19"/>
  <c r="H175" i="19"/>
  <c r="I174" i="19"/>
  <c r="H174" i="19"/>
  <c r="I173" i="19"/>
  <c r="H173" i="19"/>
  <c r="H172" i="19"/>
  <c r="I171" i="19"/>
  <c r="H171" i="19"/>
  <c r="I170" i="19"/>
  <c r="H170" i="19"/>
  <c r="I169" i="19"/>
  <c r="H169" i="19"/>
  <c r="H168" i="19"/>
  <c r="I167" i="19"/>
  <c r="H167" i="19"/>
  <c r="I166" i="19"/>
  <c r="H166" i="19"/>
  <c r="I165" i="19"/>
  <c r="H165" i="19"/>
  <c r="H164" i="19"/>
  <c r="I163" i="19"/>
  <c r="H163" i="19"/>
  <c r="I162" i="19"/>
  <c r="H162" i="19"/>
  <c r="I161" i="19"/>
  <c r="H161" i="19"/>
  <c r="H160" i="19"/>
  <c r="I159" i="19"/>
  <c r="H159" i="19"/>
  <c r="I158" i="19"/>
  <c r="H158" i="19"/>
  <c r="H157" i="19"/>
  <c r="I156" i="19"/>
  <c r="H156" i="19"/>
  <c r="I155" i="19"/>
  <c r="H155" i="19"/>
  <c r="H154" i="19"/>
  <c r="I153" i="19"/>
  <c r="H153" i="19"/>
  <c r="I152" i="19"/>
  <c r="H152" i="19"/>
  <c r="H151" i="19"/>
  <c r="I150" i="19"/>
  <c r="H150" i="19"/>
  <c r="I149" i="19"/>
  <c r="H149" i="19"/>
  <c r="H148" i="19"/>
  <c r="I147" i="19"/>
  <c r="H147" i="19"/>
  <c r="I146" i="19"/>
  <c r="H146" i="19"/>
  <c r="H145" i="19"/>
  <c r="I144" i="19"/>
  <c r="H144" i="19"/>
  <c r="I143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I127" i="19"/>
  <c r="H127" i="19"/>
  <c r="I126" i="19"/>
  <c r="H126" i="19"/>
  <c r="I125" i="19"/>
  <c r="H125" i="19"/>
  <c r="H124" i="19"/>
  <c r="H123" i="19"/>
  <c r="H122" i="19"/>
  <c r="H121" i="19"/>
  <c r="H120" i="19"/>
  <c r="H119" i="19"/>
  <c r="H118" i="19"/>
  <c r="J117" i="19"/>
  <c r="I117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J91" i="19"/>
  <c r="I91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J69" i="19"/>
  <c r="I69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J43" i="19"/>
  <c r="I43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5" i="19"/>
  <c r="H24" i="19"/>
  <c r="H23" i="19"/>
  <c r="H22" i="19"/>
  <c r="H21" i="19"/>
  <c r="I821" i="19" l="1"/>
  <c r="E801" i="32"/>
  <c r="E801" i="31"/>
  <c r="G388" i="32"/>
  <c r="G388" i="31"/>
  <c r="G442" i="32"/>
  <c r="G442" i="31"/>
  <c r="I823" i="32"/>
  <c r="I823" i="31"/>
  <c r="I822" i="19"/>
  <c r="I822" i="32"/>
  <c r="I822" i="31"/>
  <c r="G490" i="32"/>
  <c r="G490" i="31"/>
  <c r="I824" i="32"/>
  <c r="I824" i="31"/>
  <c r="G781" i="32"/>
  <c r="G781" i="31"/>
  <c r="I821" i="32"/>
  <c r="I821" i="31"/>
  <c r="T486" i="32"/>
  <c r="T386" i="32"/>
  <c r="T385" i="32"/>
  <c r="Y455" i="32"/>
  <c r="Y439" i="32"/>
  <c r="T778" i="32"/>
  <c r="T441" i="32"/>
  <c r="T388" i="32"/>
  <c r="Y779" i="32"/>
  <c r="T442" i="32"/>
  <c r="T387" i="32"/>
  <c r="Y486" i="32"/>
  <c r="Y442" i="32"/>
  <c r="T780" i="32"/>
  <c r="T781" i="32"/>
  <c r="Y440" i="32"/>
  <c r="Y386" i="32"/>
  <c r="Y490" i="32"/>
  <c r="T439" i="32"/>
  <c r="T779" i="32"/>
  <c r="Y778" i="32"/>
  <c r="Y488" i="32"/>
  <c r="T440" i="32"/>
  <c r="T419" i="32"/>
  <c r="Y409" i="32"/>
  <c r="Y781" i="31"/>
  <c r="Y781" i="32"/>
  <c r="Y489" i="31"/>
  <c r="Y489" i="32"/>
  <c r="Y487" i="31"/>
  <c r="Y487" i="32"/>
  <c r="Y385" i="31"/>
  <c r="Y385" i="32"/>
  <c r="Y412" i="31"/>
  <c r="Y412" i="32"/>
  <c r="T778" i="31"/>
  <c r="T387" i="31"/>
  <c r="T780" i="31"/>
  <c r="T781" i="31"/>
  <c r="Y440" i="31"/>
  <c r="Y386" i="31"/>
  <c r="Y490" i="31"/>
  <c r="T439" i="31"/>
  <c r="T779" i="31"/>
  <c r="Y778" i="31"/>
  <c r="Y488" i="31"/>
  <c r="T440" i="31"/>
  <c r="T419" i="31"/>
  <c r="Y409" i="31"/>
  <c r="T441" i="31"/>
  <c r="T388" i="31"/>
  <c r="Y779" i="31"/>
  <c r="Y486" i="31"/>
  <c r="Y442" i="31"/>
  <c r="T486" i="31"/>
  <c r="T386" i="31"/>
  <c r="T385" i="31"/>
  <c r="Y455" i="31"/>
  <c r="Y439" i="31"/>
  <c r="T442" i="31"/>
  <c r="I823" i="19"/>
  <c r="I824" i="19"/>
  <c r="W389" i="1"/>
  <c r="G486" i="1"/>
  <c r="G384" i="1"/>
  <c r="Q455" i="1"/>
  <c r="S455" i="1"/>
  <c r="R455" i="1"/>
  <c r="T419" i="19"/>
  <c r="Y419" i="19"/>
  <c r="G777" i="1"/>
  <c r="G781" i="19"/>
  <c r="Y385" i="19"/>
  <c r="G388" i="19"/>
  <c r="Y386" i="19"/>
  <c r="T780" i="19"/>
  <c r="G490" i="19"/>
  <c r="T779" i="19"/>
  <c r="T778" i="19"/>
  <c r="T781" i="19"/>
  <c r="S389" i="1"/>
  <c r="R389" i="1"/>
  <c r="Q389" i="1"/>
  <c r="T388" i="19"/>
  <c r="T386" i="19"/>
  <c r="T387" i="19"/>
  <c r="T385" i="19"/>
  <c r="T486" i="19"/>
  <c r="Q490" i="1"/>
  <c r="R490" i="1"/>
  <c r="S490" i="1"/>
  <c r="R488" i="1"/>
  <c r="Q488" i="1"/>
  <c r="S488" i="1"/>
  <c r="S487" i="1"/>
  <c r="R487" i="1"/>
  <c r="Q487" i="1"/>
  <c r="S489" i="1"/>
  <c r="R489" i="1"/>
  <c r="Q489" i="1"/>
  <c r="G442" i="19"/>
  <c r="G438" i="1"/>
  <c r="T442" i="19"/>
  <c r="T441" i="19"/>
  <c r="T440" i="19"/>
  <c r="T439" i="19"/>
  <c r="Q823" i="1"/>
  <c r="R823" i="1"/>
  <c r="S823" i="1"/>
  <c r="R822" i="1"/>
  <c r="S822" i="1"/>
  <c r="Q822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W10" i="12"/>
  <c r="W11" i="12"/>
  <c r="W12" i="12"/>
  <c r="W13" i="12"/>
  <c r="W14" i="12"/>
  <c r="W15" i="12"/>
  <c r="W16" i="12"/>
  <c r="W17" i="12"/>
  <c r="W18" i="12"/>
  <c r="W19" i="12"/>
  <c r="W10" i="11"/>
  <c r="W11" i="11"/>
  <c r="G2546" i="19"/>
  <c r="F2546" i="19"/>
  <c r="G2545" i="19"/>
  <c r="F2545" i="19"/>
  <c r="G2544" i="19"/>
  <c r="F2544" i="19"/>
  <c r="G2543" i="19"/>
  <c r="F2543" i="19"/>
  <c r="G2542" i="19"/>
  <c r="F2542" i="19"/>
  <c r="G2541" i="19"/>
  <c r="F2541" i="19"/>
  <c r="G2540" i="19"/>
  <c r="F2540" i="19"/>
  <c r="G2539" i="19"/>
  <c r="F2539" i="19"/>
  <c r="G2538" i="19"/>
  <c r="F2538" i="19"/>
  <c r="G2537" i="19"/>
  <c r="F2537" i="19"/>
  <c r="G2536" i="19"/>
  <c r="F2536" i="19"/>
  <c r="G2535" i="19"/>
  <c r="F2535" i="19"/>
  <c r="G2534" i="19"/>
  <c r="F2534" i="19"/>
  <c r="G2533" i="19"/>
  <c r="F2533" i="19"/>
  <c r="G2532" i="19"/>
  <c r="F2532" i="19"/>
  <c r="G2531" i="19"/>
  <c r="F2531" i="19"/>
  <c r="G2530" i="19"/>
  <c r="F2530" i="19"/>
  <c r="G2529" i="19"/>
  <c r="F2529" i="19"/>
  <c r="G2528" i="19"/>
  <c r="F2528" i="19"/>
  <c r="G2527" i="19"/>
  <c r="F2527" i="19"/>
  <c r="G2526" i="19"/>
  <c r="F2526" i="19"/>
  <c r="G2525" i="19"/>
  <c r="F2525" i="19"/>
  <c r="G2524" i="19"/>
  <c r="F2524" i="19"/>
  <c r="G2523" i="19"/>
  <c r="F2523" i="19"/>
  <c r="G2522" i="19"/>
  <c r="F2522" i="19"/>
  <c r="G2521" i="19"/>
  <c r="F2521" i="19"/>
  <c r="G2520" i="19"/>
  <c r="F2520" i="19"/>
  <c r="G2519" i="19"/>
  <c r="F2519" i="19"/>
  <c r="G2518" i="19"/>
  <c r="F2518" i="19"/>
  <c r="G2517" i="19"/>
  <c r="F2517" i="19"/>
  <c r="G2516" i="19"/>
  <c r="F2516" i="19"/>
  <c r="G2515" i="19"/>
  <c r="F2515" i="19"/>
  <c r="G2514" i="19"/>
  <c r="F2514" i="19"/>
  <c r="G2513" i="19"/>
  <c r="F2513" i="19"/>
  <c r="G2512" i="19"/>
  <c r="F2512" i="19"/>
  <c r="G2511" i="19"/>
  <c r="F2511" i="19"/>
  <c r="G2510" i="19"/>
  <c r="F2510" i="19"/>
  <c r="G2509" i="19"/>
  <c r="F2509" i="19"/>
  <c r="G2508" i="19"/>
  <c r="F2508" i="19"/>
  <c r="G2507" i="19"/>
  <c r="F2507" i="19"/>
  <c r="G2506" i="19"/>
  <c r="F2506" i="19"/>
  <c r="G2505" i="19"/>
  <c r="F2505" i="19"/>
  <c r="G2504" i="19"/>
  <c r="F2504" i="19"/>
  <c r="G2503" i="19"/>
  <c r="F2503" i="19"/>
  <c r="G2502" i="19"/>
  <c r="F2502" i="19"/>
  <c r="G2501" i="19"/>
  <c r="F2501" i="19"/>
  <c r="G2498" i="19"/>
  <c r="F2498" i="19"/>
  <c r="G2497" i="19"/>
  <c r="F2497" i="19"/>
  <c r="G2496" i="19"/>
  <c r="F2496" i="19"/>
  <c r="G2495" i="19"/>
  <c r="F2495" i="19"/>
  <c r="G2494" i="19"/>
  <c r="F2494" i="19"/>
  <c r="G2493" i="19"/>
  <c r="F2493" i="19"/>
  <c r="G2492" i="19"/>
  <c r="F2492" i="19"/>
  <c r="G2491" i="19"/>
  <c r="F2491" i="19"/>
  <c r="G2490" i="19"/>
  <c r="F2490" i="19"/>
  <c r="G2489" i="19"/>
  <c r="F2489" i="19"/>
  <c r="G2488" i="19"/>
  <c r="F2488" i="19"/>
  <c r="G2487" i="19"/>
  <c r="F2487" i="19"/>
  <c r="G2486" i="19"/>
  <c r="F2486" i="19"/>
  <c r="G2485" i="19"/>
  <c r="F2485" i="19"/>
  <c r="G2484" i="19"/>
  <c r="F2484" i="19"/>
  <c r="G2483" i="19"/>
  <c r="F2483" i="19"/>
  <c r="G2482" i="19"/>
  <c r="F2482" i="19"/>
  <c r="G2481" i="19"/>
  <c r="F2481" i="19"/>
  <c r="G2480" i="19"/>
  <c r="F2480" i="19"/>
  <c r="G2479" i="19"/>
  <c r="F2479" i="19"/>
  <c r="G2478" i="19"/>
  <c r="F2478" i="19"/>
  <c r="G2477" i="19"/>
  <c r="F2477" i="19"/>
  <c r="G2476" i="19"/>
  <c r="F2476" i="19"/>
  <c r="G2475" i="19"/>
  <c r="F2475" i="19"/>
  <c r="G2474" i="19"/>
  <c r="F2474" i="19"/>
  <c r="G2473" i="19"/>
  <c r="F2473" i="19"/>
  <c r="G2472" i="19"/>
  <c r="F2472" i="19"/>
  <c r="G2471" i="19"/>
  <c r="F2471" i="19"/>
  <c r="G2470" i="19"/>
  <c r="F2470" i="19"/>
  <c r="G2469" i="19"/>
  <c r="F2469" i="19"/>
  <c r="G2468" i="19"/>
  <c r="F2468" i="19"/>
  <c r="G2467" i="19"/>
  <c r="F2467" i="19"/>
  <c r="F2461" i="19"/>
  <c r="F2455" i="19"/>
  <c r="F2449" i="19"/>
  <c r="F2443" i="19"/>
  <c r="F2437" i="19"/>
  <c r="F2431" i="19"/>
  <c r="F2425" i="19"/>
  <c r="F2419" i="19"/>
  <c r="F2413" i="19"/>
  <c r="F2407" i="19"/>
  <c r="F2403" i="19"/>
  <c r="F2399" i="19"/>
  <c r="F2395" i="19"/>
  <c r="F2391" i="19"/>
  <c r="F2387" i="19"/>
  <c r="F2383" i="19"/>
  <c r="F2379" i="19"/>
  <c r="F2375" i="19"/>
  <c r="F2371" i="19"/>
  <c r="F2367" i="19"/>
  <c r="F2363" i="19"/>
  <c r="F2359" i="19"/>
  <c r="F2355" i="19"/>
  <c r="F2351" i="19"/>
  <c r="F2347" i="19"/>
  <c r="F2343" i="19"/>
  <c r="F2339" i="19"/>
  <c r="F2335" i="19"/>
  <c r="F2331" i="19"/>
  <c r="F2327" i="19"/>
  <c r="F2323" i="19"/>
  <c r="F2317" i="19"/>
  <c r="F2311" i="19"/>
  <c r="F2305" i="19"/>
  <c r="F2299" i="19"/>
  <c r="F2293" i="19"/>
  <c r="F2289" i="19"/>
  <c r="F2285" i="19"/>
  <c r="F2281" i="19"/>
  <c r="F2277" i="19"/>
  <c r="F2273" i="19"/>
  <c r="F2269" i="19"/>
  <c r="F2265" i="19"/>
  <c r="F2261" i="19"/>
  <c r="F2257" i="19"/>
  <c r="F2253" i="19"/>
  <c r="F2249" i="19"/>
  <c r="F2245" i="19"/>
  <c r="F2239" i="19"/>
  <c r="F2233" i="19"/>
  <c r="F2227" i="19"/>
  <c r="F2221" i="19"/>
  <c r="F2215" i="19"/>
  <c r="F2211" i="19"/>
  <c r="F2207" i="19"/>
  <c r="F2203" i="19"/>
  <c r="F2199" i="19"/>
  <c r="F2195" i="19"/>
  <c r="F2191" i="19"/>
  <c r="F2187" i="19"/>
  <c r="F2183" i="19"/>
  <c r="F2177" i="19"/>
  <c r="F2171" i="19"/>
  <c r="F2165" i="19"/>
  <c r="F2159" i="19"/>
  <c r="F2155" i="19"/>
  <c r="F2151" i="19"/>
  <c r="F2147" i="19"/>
  <c r="F2143" i="19"/>
  <c r="F2139" i="19"/>
  <c r="F2135" i="19"/>
  <c r="F2131" i="19"/>
  <c r="F2127" i="19"/>
  <c r="F2121" i="19"/>
  <c r="F2115" i="19"/>
  <c r="F2109" i="19"/>
  <c r="F2103" i="19"/>
  <c r="F2102" i="19"/>
  <c r="F2101" i="19"/>
  <c r="F2100" i="19"/>
  <c r="F2099" i="19"/>
  <c r="F2098" i="19"/>
  <c r="F2097" i="19"/>
  <c r="F2096" i="19"/>
  <c r="F2095" i="19"/>
  <c r="F2094" i="19"/>
  <c r="F2093" i="19"/>
  <c r="F2092" i="19"/>
  <c r="F2091" i="19"/>
  <c r="F2090" i="19"/>
  <c r="F2089" i="19"/>
  <c r="F2088" i="19"/>
  <c r="F2087" i="19"/>
  <c r="F2086" i="19"/>
  <c r="F2085" i="19"/>
  <c r="F2084" i="19"/>
  <c r="F2083" i="19"/>
  <c r="F2082" i="19"/>
  <c r="F2081" i="19"/>
  <c r="F2080" i="19"/>
  <c r="F2079" i="19"/>
  <c r="F2078" i="19"/>
  <c r="F2077" i="19"/>
  <c r="F2076" i="19"/>
  <c r="F2075" i="19"/>
  <c r="F2074" i="19"/>
  <c r="F2073" i="19"/>
  <c r="F2072" i="19"/>
  <c r="F2071" i="19"/>
  <c r="F2070" i="19"/>
  <c r="F2069" i="19"/>
  <c r="F2068" i="19"/>
  <c r="F2067" i="19"/>
  <c r="F2066" i="19"/>
  <c r="F2065" i="19"/>
  <c r="F2064" i="19"/>
  <c r="F2063" i="19"/>
  <c r="F2062" i="19"/>
  <c r="F2061" i="19"/>
  <c r="F2060" i="19"/>
  <c r="F2059" i="19"/>
  <c r="F2058" i="19"/>
  <c r="F2057" i="19"/>
  <c r="F2056" i="19"/>
  <c r="F2055" i="19"/>
  <c r="F2054" i="19"/>
  <c r="F2053" i="19"/>
  <c r="F2052" i="19"/>
  <c r="F2051" i="19"/>
  <c r="F2050" i="19"/>
  <c r="F2049" i="19"/>
  <c r="F2048" i="19"/>
  <c r="F2047" i="19"/>
  <c r="F2046" i="19"/>
  <c r="F2045" i="19"/>
  <c r="F2044" i="19"/>
  <c r="F2043" i="19"/>
  <c r="F2042" i="19"/>
  <c r="F2041" i="19"/>
  <c r="F2040" i="19"/>
  <c r="F2039" i="19"/>
  <c r="F2038" i="19"/>
  <c r="F2037" i="19"/>
  <c r="F2036" i="19"/>
  <c r="F2035" i="19"/>
  <c r="F2034" i="19"/>
  <c r="F2033" i="19"/>
  <c r="F2032" i="19"/>
  <c r="F2031" i="19"/>
  <c r="F2030" i="19"/>
  <c r="F2029" i="19"/>
  <c r="F2028" i="19"/>
  <c r="F2027" i="19"/>
  <c r="F2026" i="19"/>
  <c r="F2025" i="19"/>
  <c r="F2024" i="19"/>
  <c r="F2023" i="19"/>
  <c r="F2022" i="19"/>
  <c r="F2021" i="19"/>
  <c r="F2020" i="19"/>
  <c r="F2019" i="19"/>
  <c r="F2018" i="19"/>
  <c r="F2017" i="19"/>
  <c r="F2016" i="19"/>
  <c r="F2015" i="19"/>
  <c r="F2014" i="19"/>
  <c r="F2013" i="19"/>
  <c r="F2012" i="19"/>
  <c r="F2011" i="19"/>
  <c r="F2010" i="19"/>
  <c r="F2009" i="19"/>
  <c r="F2008" i="19"/>
  <c r="F2007" i="19"/>
  <c r="F2006" i="19"/>
  <c r="F2005" i="19"/>
  <c r="F2004" i="19"/>
  <c r="F2003" i="19"/>
  <c r="F2002" i="19"/>
  <c r="F2001" i="19"/>
  <c r="F2000" i="19"/>
  <c r="F1999" i="19"/>
  <c r="F1998" i="19"/>
  <c r="F1997" i="19"/>
  <c r="F1996" i="19"/>
  <c r="F1995" i="19"/>
  <c r="F1994" i="19"/>
  <c r="F1993" i="19"/>
  <c r="F1992" i="19"/>
  <c r="F1991" i="19"/>
  <c r="F1990" i="19"/>
  <c r="F1989" i="19"/>
  <c r="F1988" i="19"/>
  <c r="F1987" i="19"/>
  <c r="F1986" i="19"/>
  <c r="F1985" i="19"/>
  <c r="F1984" i="19"/>
  <c r="F1983" i="19"/>
  <c r="F1982" i="19"/>
  <c r="F1981" i="19"/>
  <c r="F1980" i="19"/>
  <c r="F1979" i="19"/>
  <c r="F1978" i="19"/>
  <c r="F1977" i="19"/>
  <c r="F1976" i="19"/>
  <c r="F1975" i="19"/>
  <c r="F1974" i="19"/>
  <c r="F1973" i="19"/>
  <c r="F1972" i="19"/>
  <c r="F1971" i="19"/>
  <c r="F1970" i="19"/>
  <c r="F1969" i="19"/>
  <c r="F1968" i="19"/>
  <c r="F1967" i="19"/>
  <c r="F1966" i="19"/>
  <c r="F1965" i="19"/>
  <c r="F1964" i="19"/>
  <c r="F1963" i="19"/>
  <c r="F1962" i="19"/>
  <c r="F1961" i="19"/>
  <c r="F1960" i="19"/>
  <c r="F1959" i="19"/>
  <c r="F1958" i="19"/>
  <c r="F1957" i="19"/>
  <c r="F1956" i="19"/>
  <c r="F1955" i="19"/>
  <c r="F1954" i="19"/>
  <c r="F1953" i="19"/>
  <c r="F1952" i="19"/>
  <c r="F1951" i="19"/>
  <c r="F1950" i="19"/>
  <c r="F1949" i="19"/>
  <c r="F1948" i="19"/>
  <c r="F1947" i="19"/>
  <c r="F1946" i="19"/>
  <c r="F1945" i="19"/>
  <c r="F1944" i="19"/>
  <c r="F1943" i="19"/>
  <c r="F1942" i="19"/>
  <c r="F1941" i="19"/>
  <c r="F1940" i="19"/>
  <c r="F1939" i="19"/>
  <c r="F1938" i="19"/>
  <c r="F1937" i="19"/>
  <c r="F1936" i="19"/>
  <c r="F1935" i="19"/>
  <c r="F1934" i="19"/>
  <c r="F1933" i="19"/>
  <c r="F1932" i="19"/>
  <c r="F1931" i="19"/>
  <c r="F1930" i="19"/>
  <c r="F1929" i="19"/>
  <c r="F1928" i="19"/>
  <c r="F1927" i="19"/>
  <c r="F1926" i="19"/>
  <c r="F1925" i="19"/>
  <c r="F1924" i="19"/>
  <c r="F1923" i="19"/>
  <c r="F1922" i="19"/>
  <c r="F1921" i="19"/>
  <c r="F1920" i="19"/>
  <c r="F1919" i="19"/>
  <c r="F1918" i="19"/>
  <c r="F1917" i="19"/>
  <c r="F1916" i="19"/>
  <c r="F1915" i="19"/>
  <c r="F1914" i="19"/>
  <c r="F1913" i="19"/>
  <c r="F1912" i="19"/>
  <c r="F1911" i="19"/>
  <c r="F1910" i="19"/>
  <c r="F1909" i="19"/>
  <c r="F1908" i="19"/>
  <c r="F1907" i="19"/>
  <c r="F1906" i="19"/>
  <c r="F1905" i="19"/>
  <c r="F1904" i="19"/>
  <c r="F1903" i="19"/>
  <c r="F1902" i="19"/>
  <c r="F1901" i="19"/>
  <c r="F1900" i="19"/>
  <c r="F1899" i="19"/>
  <c r="F1898" i="19"/>
  <c r="F1897" i="19"/>
  <c r="F1896" i="19"/>
  <c r="F1895" i="19"/>
  <c r="F1894" i="19"/>
  <c r="F1893" i="19"/>
  <c r="F1892" i="19"/>
  <c r="F1891" i="19"/>
  <c r="F1890" i="19"/>
  <c r="F1889" i="19"/>
  <c r="F1888" i="19"/>
  <c r="F1887" i="19"/>
  <c r="F1886" i="19"/>
  <c r="F1885" i="19"/>
  <c r="F1884" i="19"/>
  <c r="F1883" i="19"/>
  <c r="F1882" i="19"/>
  <c r="F1881" i="19"/>
  <c r="F1880" i="19"/>
  <c r="F1879" i="19"/>
  <c r="F1878" i="19"/>
  <c r="F1877" i="19"/>
  <c r="F1876" i="19"/>
  <c r="F1875" i="19"/>
  <c r="F1874" i="19"/>
  <c r="F1873" i="19"/>
  <c r="F1872" i="19"/>
  <c r="F1871" i="19"/>
  <c r="F1870" i="19"/>
  <c r="F1869" i="19"/>
  <c r="F1868" i="19"/>
  <c r="F1867" i="19"/>
  <c r="F1866" i="19"/>
  <c r="F1865" i="19"/>
  <c r="F1864" i="19"/>
  <c r="F1863" i="19"/>
  <c r="F1862" i="19"/>
  <c r="F1861" i="19"/>
  <c r="F1860" i="19"/>
  <c r="F1859" i="19"/>
  <c r="F1858" i="19"/>
  <c r="F1857" i="19"/>
  <c r="F1856" i="19"/>
  <c r="F1855" i="19"/>
  <c r="F1854" i="19"/>
  <c r="F1853" i="19"/>
  <c r="F1852" i="19"/>
  <c r="F1851" i="19"/>
  <c r="F1850" i="19"/>
  <c r="F1849" i="19"/>
  <c r="F1848" i="19"/>
  <c r="F1847" i="19"/>
  <c r="F1846" i="19"/>
  <c r="F1845" i="19"/>
  <c r="F1844" i="19"/>
  <c r="F1843" i="19"/>
  <c r="F1842" i="19"/>
  <c r="F1841" i="19"/>
  <c r="F1840" i="19"/>
  <c r="F1839" i="19"/>
  <c r="F1838" i="19"/>
  <c r="F1837" i="19"/>
  <c r="F1836" i="19"/>
  <c r="F1835" i="19"/>
  <c r="F1834" i="19"/>
  <c r="F1833" i="19"/>
  <c r="F1832" i="19"/>
  <c r="F1831" i="19"/>
  <c r="F1830" i="19"/>
  <c r="F1829" i="19"/>
  <c r="F1828" i="19"/>
  <c r="F1827" i="19"/>
  <c r="F1826" i="19"/>
  <c r="F1825" i="19"/>
  <c r="F1824" i="19"/>
  <c r="F1823" i="19"/>
  <c r="F1822" i="19"/>
  <c r="F1821" i="19"/>
  <c r="F1820" i="19"/>
  <c r="F1819" i="19"/>
  <c r="F1818" i="19"/>
  <c r="F1817" i="19"/>
  <c r="F1816" i="19"/>
  <c r="F1815" i="19"/>
  <c r="F1814" i="19"/>
  <c r="F1813" i="19"/>
  <c r="F1812" i="19"/>
  <c r="F1811" i="19"/>
  <c r="F1810" i="19"/>
  <c r="F1809" i="19"/>
  <c r="F1808" i="19"/>
  <c r="F1807" i="19"/>
  <c r="F1806" i="19"/>
  <c r="F1805" i="19"/>
  <c r="F1804" i="19"/>
  <c r="F1803" i="19"/>
  <c r="F1802" i="19"/>
  <c r="F1801" i="19"/>
  <c r="F1800" i="19"/>
  <c r="F1799" i="19"/>
  <c r="F1798" i="19"/>
  <c r="F1797" i="19"/>
  <c r="F1796" i="19"/>
  <c r="F1795" i="19"/>
  <c r="F1794" i="19"/>
  <c r="F1793" i="19"/>
  <c r="F1792" i="19"/>
  <c r="F1791" i="19"/>
  <c r="F1790" i="19"/>
  <c r="F1789" i="19"/>
  <c r="F1788" i="19"/>
  <c r="F1787" i="19"/>
  <c r="F1786" i="19"/>
  <c r="F1785" i="19"/>
  <c r="F1784" i="19"/>
  <c r="F1783" i="19"/>
  <c r="F1782" i="19"/>
  <c r="F1781" i="19"/>
  <c r="F1780" i="19"/>
  <c r="F1779" i="19"/>
  <c r="F1778" i="19"/>
  <c r="F1777" i="19"/>
  <c r="F1776" i="19"/>
  <c r="F1775" i="19"/>
  <c r="F1774" i="19"/>
  <c r="F1773" i="19"/>
  <c r="F1772" i="19"/>
  <c r="F1771" i="19"/>
  <c r="F1770" i="19"/>
  <c r="F1769" i="19"/>
  <c r="F1768" i="19"/>
  <c r="F1767" i="19"/>
  <c r="F1766" i="19"/>
  <c r="F1765" i="19"/>
  <c r="F1764" i="19"/>
  <c r="F1763" i="19"/>
  <c r="G1762" i="19"/>
  <c r="F1762" i="19"/>
  <c r="G1761" i="19"/>
  <c r="F1761" i="19"/>
  <c r="G1760" i="19"/>
  <c r="F1760" i="19"/>
  <c r="G1759" i="19"/>
  <c r="F1759" i="19"/>
  <c r="G1758" i="19"/>
  <c r="F1758" i="19"/>
  <c r="F1757" i="19"/>
  <c r="F1756" i="19"/>
  <c r="F1755" i="19"/>
  <c r="F1754" i="19"/>
  <c r="F1753" i="19"/>
  <c r="F1752" i="19"/>
  <c r="F1751" i="19"/>
  <c r="F1750" i="19"/>
  <c r="F1749" i="19"/>
  <c r="F1748" i="19"/>
  <c r="F1747" i="19"/>
  <c r="F1746" i="19"/>
  <c r="F1745" i="19"/>
  <c r="F1744" i="19"/>
  <c r="F1743" i="19"/>
  <c r="F1742" i="19"/>
  <c r="F1741" i="19"/>
  <c r="F1740" i="19"/>
  <c r="F1739" i="19"/>
  <c r="F1738" i="19"/>
  <c r="F1737" i="19"/>
  <c r="F1736" i="19"/>
  <c r="F1735" i="19"/>
  <c r="F1734" i="19"/>
  <c r="F1733" i="19"/>
  <c r="F1732" i="19"/>
  <c r="F1731" i="19"/>
  <c r="F1730" i="19"/>
  <c r="F1729" i="19"/>
  <c r="F1728" i="19"/>
  <c r="F1727" i="19"/>
  <c r="F1726" i="19"/>
  <c r="F1725" i="19"/>
  <c r="F1724" i="19"/>
  <c r="F1723" i="19"/>
  <c r="F1722" i="19"/>
  <c r="F1721" i="19"/>
  <c r="G1719" i="19"/>
  <c r="F1719" i="19"/>
  <c r="G1718" i="19"/>
  <c r="F1718" i="19"/>
  <c r="G1717" i="19"/>
  <c r="F1717" i="19"/>
  <c r="G1716" i="19"/>
  <c r="F1716" i="19"/>
  <c r="G1715" i="19"/>
  <c r="F1715" i="19"/>
  <c r="G1714" i="19"/>
  <c r="F1714" i="19"/>
  <c r="G1713" i="19"/>
  <c r="F1713" i="19"/>
  <c r="G1712" i="19"/>
  <c r="F1712" i="19"/>
  <c r="G1711" i="19"/>
  <c r="F1711" i="19"/>
  <c r="G1710" i="19"/>
  <c r="F1710" i="19"/>
  <c r="G1709" i="19"/>
  <c r="F1709" i="19"/>
  <c r="G1708" i="19"/>
  <c r="F1708" i="19"/>
  <c r="G1707" i="19"/>
  <c r="F1707" i="19"/>
  <c r="G1706" i="19"/>
  <c r="F1706" i="19"/>
  <c r="G1705" i="19"/>
  <c r="F1705" i="19"/>
  <c r="G1704" i="19"/>
  <c r="F1704" i="19"/>
  <c r="G1703" i="19"/>
  <c r="F1703" i="19"/>
  <c r="G1702" i="19"/>
  <c r="F1702" i="19"/>
  <c r="G1701" i="19"/>
  <c r="F1701" i="19"/>
  <c r="G1700" i="19"/>
  <c r="F1700" i="19"/>
  <c r="G1699" i="19"/>
  <c r="F1699" i="19"/>
  <c r="G1698" i="19"/>
  <c r="F1698" i="19"/>
  <c r="G1697" i="19"/>
  <c r="F1697" i="19"/>
  <c r="G1696" i="19"/>
  <c r="F1696" i="19"/>
  <c r="G1695" i="19"/>
  <c r="F1695" i="19"/>
  <c r="G1694" i="19"/>
  <c r="F1694" i="19"/>
  <c r="G1693" i="19"/>
  <c r="F1693" i="19"/>
  <c r="G1692" i="19"/>
  <c r="F1692" i="19"/>
  <c r="G1691" i="19"/>
  <c r="F1691" i="19"/>
  <c r="G1690" i="19"/>
  <c r="F1690" i="19"/>
  <c r="G1689" i="19"/>
  <c r="F1689" i="19"/>
  <c r="G1688" i="19"/>
  <c r="F1688" i="19"/>
  <c r="G1687" i="19"/>
  <c r="F1687" i="19"/>
  <c r="G1686" i="19"/>
  <c r="F1686" i="19"/>
  <c r="G1685" i="19"/>
  <c r="F1685" i="19"/>
  <c r="G1684" i="19"/>
  <c r="F1684" i="19"/>
  <c r="F1683" i="19"/>
  <c r="G1682" i="19"/>
  <c r="F1682" i="19"/>
  <c r="G1681" i="19"/>
  <c r="F1681" i="19"/>
  <c r="G1680" i="19"/>
  <c r="F1680" i="19"/>
  <c r="G1679" i="19"/>
  <c r="F1679" i="19"/>
  <c r="G1678" i="19"/>
  <c r="F1678" i="19"/>
  <c r="G1677" i="19"/>
  <c r="F1677" i="19"/>
  <c r="G1676" i="19"/>
  <c r="F1676" i="19"/>
  <c r="G1675" i="19"/>
  <c r="F1675" i="19"/>
  <c r="G1674" i="19"/>
  <c r="F1674" i="19"/>
  <c r="F1673" i="19"/>
  <c r="F1672" i="19"/>
  <c r="G1671" i="19"/>
  <c r="F1671" i="19"/>
  <c r="G1670" i="19"/>
  <c r="F1670" i="19"/>
  <c r="G1669" i="19"/>
  <c r="F1669" i="19"/>
  <c r="G1668" i="19"/>
  <c r="F1668" i="19"/>
  <c r="G1667" i="19"/>
  <c r="F1667" i="19"/>
  <c r="G1666" i="19"/>
  <c r="F1666" i="19"/>
  <c r="G1665" i="19"/>
  <c r="F1665" i="19"/>
  <c r="G1664" i="19"/>
  <c r="F1664" i="19"/>
  <c r="G1663" i="19"/>
  <c r="F1663" i="19"/>
  <c r="G1662" i="19"/>
  <c r="F1662" i="19"/>
  <c r="F1661" i="19"/>
  <c r="F1660" i="19"/>
  <c r="F1659" i="19"/>
  <c r="F1658" i="19"/>
  <c r="F1657" i="19"/>
  <c r="F1656" i="19"/>
  <c r="F1655" i="19"/>
  <c r="F1654" i="19"/>
  <c r="F1653" i="19"/>
  <c r="F1652" i="19"/>
  <c r="F1651" i="19"/>
  <c r="F1650" i="19"/>
  <c r="F1649" i="19"/>
  <c r="F1648" i="19"/>
  <c r="F1647" i="19"/>
  <c r="F1646" i="19"/>
  <c r="F1645" i="19"/>
  <c r="F1644" i="19"/>
  <c r="F1643" i="19"/>
  <c r="F1642" i="19"/>
  <c r="F1641" i="19"/>
  <c r="F1639" i="19"/>
  <c r="F1638" i="19"/>
  <c r="F1637" i="19"/>
  <c r="F1636" i="19"/>
  <c r="F1635" i="19"/>
  <c r="F1634" i="19"/>
  <c r="F1633" i="19"/>
  <c r="F1632" i="19"/>
  <c r="G1629" i="19"/>
  <c r="F1629" i="19"/>
  <c r="G1628" i="19"/>
  <c r="F1628" i="19"/>
  <c r="G1627" i="19"/>
  <c r="F1627" i="19"/>
  <c r="F1626" i="19"/>
  <c r="G1624" i="19"/>
  <c r="F1624" i="19"/>
  <c r="G1623" i="19"/>
  <c r="F1623" i="19"/>
  <c r="G1622" i="19"/>
  <c r="F1622" i="19"/>
  <c r="G1621" i="19"/>
  <c r="F1621" i="19"/>
  <c r="G1620" i="19"/>
  <c r="F1620" i="19"/>
  <c r="G1619" i="19"/>
  <c r="F1619" i="19"/>
  <c r="G1618" i="19"/>
  <c r="F1618" i="19"/>
  <c r="G1617" i="19"/>
  <c r="F1617" i="19"/>
  <c r="G1616" i="19"/>
  <c r="F1616" i="19"/>
  <c r="G1615" i="19"/>
  <c r="F1615" i="19"/>
  <c r="G1614" i="19"/>
  <c r="F1614" i="19"/>
  <c r="G1613" i="19"/>
  <c r="F1613" i="19"/>
  <c r="G1612" i="19"/>
  <c r="F1612" i="19"/>
  <c r="G1611" i="19"/>
  <c r="F1611" i="19"/>
  <c r="G1610" i="19"/>
  <c r="F1610" i="19"/>
  <c r="G1609" i="19"/>
  <c r="F1609" i="19"/>
  <c r="G1608" i="19"/>
  <c r="F1608" i="19"/>
  <c r="G1607" i="19"/>
  <c r="F1607" i="19"/>
  <c r="G1606" i="19"/>
  <c r="F1606" i="19"/>
  <c r="G1605" i="19"/>
  <c r="F1605" i="19"/>
  <c r="G1604" i="19"/>
  <c r="F1604" i="19"/>
  <c r="G1603" i="19"/>
  <c r="F1603" i="19"/>
  <c r="G1602" i="19"/>
  <c r="F1602" i="19"/>
  <c r="G1601" i="19"/>
  <c r="F1601" i="19"/>
  <c r="G1600" i="19"/>
  <c r="F1600" i="19"/>
  <c r="G1599" i="19"/>
  <c r="F1599" i="19"/>
  <c r="G1598" i="19"/>
  <c r="F1598" i="19"/>
  <c r="G1597" i="19"/>
  <c r="F1597" i="19"/>
  <c r="G1596" i="19"/>
  <c r="F1596" i="19"/>
  <c r="G1595" i="19"/>
  <c r="F1595" i="19"/>
  <c r="G1594" i="19"/>
  <c r="F1594" i="19"/>
  <c r="G1593" i="19"/>
  <c r="F1593" i="19"/>
  <c r="G1592" i="19"/>
  <c r="F1592" i="19"/>
  <c r="G1591" i="19"/>
  <c r="F1591" i="19"/>
  <c r="G1590" i="19"/>
  <c r="F1590" i="19"/>
  <c r="G1589" i="19"/>
  <c r="F1589" i="19"/>
  <c r="G1588" i="19"/>
  <c r="F1588" i="19"/>
  <c r="G1587" i="19"/>
  <c r="F1587" i="19"/>
  <c r="G1586" i="19"/>
  <c r="F1586" i="19"/>
  <c r="G1585" i="19"/>
  <c r="F1585" i="19"/>
  <c r="G1584" i="19"/>
  <c r="F1584" i="19"/>
  <c r="G1583" i="19"/>
  <c r="F1583" i="19"/>
  <c r="G1582" i="19"/>
  <c r="F1582" i="19"/>
  <c r="G1581" i="19"/>
  <c r="F1581" i="19"/>
  <c r="G1580" i="19"/>
  <c r="F1580" i="19"/>
  <c r="G1579" i="19"/>
  <c r="F1579" i="19"/>
  <c r="G1578" i="19"/>
  <c r="F1578" i="19"/>
  <c r="G1577" i="19"/>
  <c r="F1577" i="19"/>
  <c r="G1576" i="19"/>
  <c r="F1576" i="19"/>
  <c r="G1575" i="19"/>
  <c r="F1575" i="19"/>
  <c r="G1574" i="19"/>
  <c r="F1574" i="19"/>
  <c r="G1573" i="19"/>
  <c r="F1573" i="19"/>
  <c r="G1572" i="19"/>
  <c r="F1572" i="19"/>
  <c r="G1571" i="19"/>
  <c r="F1571" i="19"/>
  <c r="G1570" i="19"/>
  <c r="F1570" i="19"/>
  <c r="G1569" i="19"/>
  <c r="F1569" i="19"/>
  <c r="G1568" i="19"/>
  <c r="F1568" i="19"/>
  <c r="G1567" i="19"/>
  <c r="F1567" i="19"/>
  <c r="G1566" i="19"/>
  <c r="F1566" i="19"/>
  <c r="G1565" i="19"/>
  <c r="F1565" i="19"/>
  <c r="G1564" i="19"/>
  <c r="F1564" i="19"/>
  <c r="G1563" i="19"/>
  <c r="F1563" i="19"/>
  <c r="G1562" i="19"/>
  <c r="F1562" i="19"/>
  <c r="G1561" i="19"/>
  <c r="F1561" i="19"/>
  <c r="G1560" i="19"/>
  <c r="F1560" i="19"/>
  <c r="G1559" i="19"/>
  <c r="F1559" i="19"/>
  <c r="G1558" i="19"/>
  <c r="F1558" i="19"/>
  <c r="G1557" i="19"/>
  <c r="F1557" i="19"/>
  <c r="G1556" i="19"/>
  <c r="F1556" i="19"/>
  <c r="G1555" i="19"/>
  <c r="F1555" i="19"/>
  <c r="G1554" i="19"/>
  <c r="F1554" i="19"/>
  <c r="G1553" i="19"/>
  <c r="F1553" i="19"/>
  <c r="G1552" i="19"/>
  <c r="F1552" i="19"/>
  <c r="G1551" i="19"/>
  <c r="F1551" i="19"/>
  <c r="G1550" i="19"/>
  <c r="F1550" i="19"/>
  <c r="G1549" i="19"/>
  <c r="F1549" i="19"/>
  <c r="G1548" i="19"/>
  <c r="F1548" i="19"/>
  <c r="G1547" i="19"/>
  <c r="F1547" i="19"/>
  <c r="G1546" i="19"/>
  <c r="F1546" i="19"/>
  <c r="G1545" i="19"/>
  <c r="F1545" i="19"/>
  <c r="G1544" i="19"/>
  <c r="F1544" i="19"/>
  <c r="G1543" i="19"/>
  <c r="F1543" i="19"/>
  <c r="G1542" i="19"/>
  <c r="F1542" i="19"/>
  <c r="G1541" i="19"/>
  <c r="F1541" i="19"/>
  <c r="G1540" i="19"/>
  <c r="F1540" i="19"/>
  <c r="G1539" i="19"/>
  <c r="F1539" i="19"/>
  <c r="G1538" i="19"/>
  <c r="F1538" i="19"/>
  <c r="G1537" i="19"/>
  <c r="F1537" i="19"/>
  <c r="G1536" i="19"/>
  <c r="F1536" i="19"/>
  <c r="G1535" i="19"/>
  <c r="F1535" i="19"/>
  <c r="G1534" i="19"/>
  <c r="F1534" i="19"/>
  <c r="G1533" i="19"/>
  <c r="F1533" i="19"/>
  <c r="G1532" i="19"/>
  <c r="F1532" i="19"/>
  <c r="G1531" i="19"/>
  <c r="F1531" i="19"/>
  <c r="G1530" i="19"/>
  <c r="F1530" i="19"/>
  <c r="G1529" i="19"/>
  <c r="F1529" i="19"/>
  <c r="G1528" i="19"/>
  <c r="F1528" i="19"/>
  <c r="G1527" i="19"/>
  <c r="F1527" i="19"/>
  <c r="G1526" i="19"/>
  <c r="F1526" i="19"/>
  <c r="G1525" i="19"/>
  <c r="F1525" i="19"/>
  <c r="G1524" i="19"/>
  <c r="F1524" i="19"/>
  <c r="G1523" i="19"/>
  <c r="F1523" i="19"/>
  <c r="G1522" i="19"/>
  <c r="F1522" i="19"/>
  <c r="G1521" i="19"/>
  <c r="F1521" i="19"/>
  <c r="G1520" i="19"/>
  <c r="F1520" i="19"/>
  <c r="G1519" i="19"/>
  <c r="F1519" i="19"/>
  <c r="G1518" i="19"/>
  <c r="F1518" i="19"/>
  <c r="G1517" i="19"/>
  <c r="F1517" i="19"/>
  <c r="G1516" i="19"/>
  <c r="F1516" i="19"/>
  <c r="G1515" i="19"/>
  <c r="F1515" i="19"/>
  <c r="G1514" i="19"/>
  <c r="F1514" i="19"/>
  <c r="G1513" i="19"/>
  <c r="F1513" i="19"/>
  <c r="G1512" i="19"/>
  <c r="F1512" i="19"/>
  <c r="G1511" i="19"/>
  <c r="F1511" i="19"/>
  <c r="G1510" i="19"/>
  <c r="F1510" i="19"/>
  <c r="G1509" i="19"/>
  <c r="F1509" i="19"/>
  <c r="G1508" i="19"/>
  <c r="F1508" i="19"/>
  <c r="G1507" i="19"/>
  <c r="F1507" i="19"/>
  <c r="G1506" i="19"/>
  <c r="F1506" i="19"/>
  <c r="G1505" i="19"/>
  <c r="F1505" i="19"/>
  <c r="G1504" i="19"/>
  <c r="F1504" i="19"/>
  <c r="G1503" i="19"/>
  <c r="F1503" i="19"/>
  <c r="G1502" i="19"/>
  <c r="F1502" i="19"/>
  <c r="G1501" i="19"/>
  <c r="F1501" i="19"/>
  <c r="G1500" i="19"/>
  <c r="F1500" i="19"/>
  <c r="G1499" i="19"/>
  <c r="F1499" i="19"/>
  <c r="G1498" i="19"/>
  <c r="F1498" i="19"/>
  <c r="G1497" i="19"/>
  <c r="F1497" i="19"/>
  <c r="G1496" i="19"/>
  <c r="F1496" i="19"/>
  <c r="G1495" i="19"/>
  <c r="F1495" i="19"/>
  <c r="G1494" i="19"/>
  <c r="F1494" i="19"/>
  <c r="G1493" i="19"/>
  <c r="F1493" i="19"/>
  <c r="G1492" i="19"/>
  <c r="F1492" i="19"/>
  <c r="G1491" i="19"/>
  <c r="F1491" i="19"/>
  <c r="G1490" i="19"/>
  <c r="F1490" i="19"/>
  <c r="G1489" i="19"/>
  <c r="F1489" i="19"/>
  <c r="G1488" i="19"/>
  <c r="F1488" i="19"/>
  <c r="G1487" i="19"/>
  <c r="F1487" i="19"/>
  <c r="G1486" i="19"/>
  <c r="F1486" i="19"/>
  <c r="G1485" i="19"/>
  <c r="F1485" i="19"/>
  <c r="G1484" i="19"/>
  <c r="F1484" i="19"/>
  <c r="G1483" i="19"/>
  <c r="F1483" i="19"/>
  <c r="G1482" i="19"/>
  <c r="F1482" i="19"/>
  <c r="G1481" i="19"/>
  <c r="F1481" i="19"/>
  <c r="G1480" i="19"/>
  <c r="F1480" i="19"/>
  <c r="G1479" i="19"/>
  <c r="F1479" i="19"/>
  <c r="G1478" i="19"/>
  <c r="F1478" i="19"/>
  <c r="G1477" i="19"/>
  <c r="F1477" i="19"/>
  <c r="G1476" i="19"/>
  <c r="F1476" i="19"/>
  <c r="G1475" i="19"/>
  <c r="F1475" i="19"/>
  <c r="G1474" i="19"/>
  <c r="F1474" i="19"/>
  <c r="G1473" i="19"/>
  <c r="F1473" i="19"/>
  <c r="G1472" i="19"/>
  <c r="F1472" i="19"/>
  <c r="G1471" i="19"/>
  <c r="F1471" i="19"/>
  <c r="G1470" i="19"/>
  <c r="F1470" i="19"/>
  <c r="G1469" i="19"/>
  <c r="F1469" i="19"/>
  <c r="G1468" i="19"/>
  <c r="F1468" i="19"/>
  <c r="G1467" i="19"/>
  <c r="F1467" i="19"/>
  <c r="G1466" i="19"/>
  <c r="F1466" i="19"/>
  <c r="G1465" i="19"/>
  <c r="F1465" i="19"/>
  <c r="G1464" i="19"/>
  <c r="F1464" i="19"/>
  <c r="G1463" i="19"/>
  <c r="F1463" i="19"/>
  <c r="G1462" i="19"/>
  <c r="F1462" i="19"/>
  <c r="G1461" i="19"/>
  <c r="F1461" i="19"/>
  <c r="G1460" i="19"/>
  <c r="F1460" i="19"/>
  <c r="G1459" i="19"/>
  <c r="F1459" i="19"/>
  <c r="G1458" i="19"/>
  <c r="F1458" i="19"/>
  <c r="G1457" i="19"/>
  <c r="F1457" i="19"/>
  <c r="G1456" i="19"/>
  <c r="F1456" i="19"/>
  <c r="G1455" i="19"/>
  <c r="F1455" i="19"/>
  <c r="G1454" i="19"/>
  <c r="F1454" i="19"/>
  <c r="G1453" i="19"/>
  <c r="F1453" i="19"/>
  <c r="G1452" i="19"/>
  <c r="F1452" i="19"/>
  <c r="G1451" i="19"/>
  <c r="F1451" i="19"/>
  <c r="G1450" i="19"/>
  <c r="F1450" i="19"/>
  <c r="G1449" i="19"/>
  <c r="F1449" i="19"/>
  <c r="G1448" i="19"/>
  <c r="F1448" i="19"/>
  <c r="G1447" i="19"/>
  <c r="F1447" i="19"/>
  <c r="G1446" i="19"/>
  <c r="F1446" i="19"/>
  <c r="G1445" i="19"/>
  <c r="F1445" i="19"/>
  <c r="G1444" i="19"/>
  <c r="F1444" i="19"/>
  <c r="G1443" i="19"/>
  <c r="F1443" i="19"/>
  <c r="G1442" i="19"/>
  <c r="F1442" i="19"/>
  <c r="G1441" i="19"/>
  <c r="F1441" i="19"/>
  <c r="G1440" i="19"/>
  <c r="F1440" i="19"/>
  <c r="G1439" i="19"/>
  <c r="F1439" i="19"/>
  <c r="G1438" i="19"/>
  <c r="F1438" i="19"/>
  <c r="G1437" i="19"/>
  <c r="F1437" i="19"/>
  <c r="G1436" i="19"/>
  <c r="F1436" i="19"/>
  <c r="G1435" i="19"/>
  <c r="F1435" i="19"/>
  <c r="G1434" i="19"/>
  <c r="F1434" i="19"/>
  <c r="G1433" i="19"/>
  <c r="F1433" i="19"/>
  <c r="G1432" i="19"/>
  <c r="F1432" i="19"/>
  <c r="G1431" i="19"/>
  <c r="F1431" i="19"/>
  <c r="G1430" i="19"/>
  <c r="F1430" i="19"/>
  <c r="G1429" i="19"/>
  <c r="F1429" i="19"/>
  <c r="G1428" i="19"/>
  <c r="F1428" i="19"/>
  <c r="G1427" i="19"/>
  <c r="F1427" i="19"/>
  <c r="G1426" i="19"/>
  <c r="F1426" i="19"/>
  <c r="G1425" i="19"/>
  <c r="F1425" i="19"/>
  <c r="G1424" i="19"/>
  <c r="F1424" i="19"/>
  <c r="G1423" i="19"/>
  <c r="F1423" i="19"/>
  <c r="G1422" i="19"/>
  <c r="F1422" i="19"/>
  <c r="G1421" i="19"/>
  <c r="F1421" i="19"/>
  <c r="G1420" i="19"/>
  <c r="F1420" i="19"/>
  <c r="G1419" i="19"/>
  <c r="F1419" i="19"/>
  <c r="G1418" i="19"/>
  <c r="F1418" i="19"/>
  <c r="G1417" i="19"/>
  <c r="F1417" i="19"/>
  <c r="G1416" i="19"/>
  <c r="F1416" i="19"/>
  <c r="G1415" i="19"/>
  <c r="F1415" i="19"/>
  <c r="G1414" i="19"/>
  <c r="F1414" i="19"/>
  <c r="G1413" i="19"/>
  <c r="F1413" i="19"/>
  <c r="G1412" i="19"/>
  <c r="F1412" i="19"/>
  <c r="G1411" i="19"/>
  <c r="F1411" i="19"/>
  <c r="G1410" i="19"/>
  <c r="F1410" i="19"/>
  <c r="G1409" i="19"/>
  <c r="F1409" i="19"/>
  <c r="G1408" i="19"/>
  <c r="F1408" i="19"/>
  <c r="G1407" i="19"/>
  <c r="F1407" i="19"/>
  <c r="G1406" i="19"/>
  <c r="F1406" i="19"/>
  <c r="G1405" i="19"/>
  <c r="F1405" i="19"/>
  <c r="G1404" i="19"/>
  <c r="F1404" i="19"/>
  <c r="G1403" i="19"/>
  <c r="F1403" i="19"/>
  <c r="G1402" i="19"/>
  <c r="F1402" i="19"/>
  <c r="G1401" i="19"/>
  <c r="F1401" i="19"/>
  <c r="G1400" i="19"/>
  <c r="F1400" i="19"/>
  <c r="G1399" i="19"/>
  <c r="F1399" i="19"/>
  <c r="G1398" i="19"/>
  <c r="F1398" i="19"/>
  <c r="G1397" i="19"/>
  <c r="F1397" i="19"/>
  <c r="G1396" i="19"/>
  <c r="F1396" i="19"/>
  <c r="G1395" i="19"/>
  <c r="F1395" i="19"/>
  <c r="G1394" i="19"/>
  <c r="F1394" i="19"/>
  <c r="G1393" i="19"/>
  <c r="F1393" i="19"/>
  <c r="G1392" i="19"/>
  <c r="F1392" i="19"/>
  <c r="G1391" i="19"/>
  <c r="F1391" i="19"/>
  <c r="G1390" i="19"/>
  <c r="F1390" i="19"/>
  <c r="G1389" i="19"/>
  <c r="F1389" i="19"/>
  <c r="G1388" i="19"/>
  <c r="F1388" i="19"/>
  <c r="G1387" i="19"/>
  <c r="F1387" i="19"/>
  <c r="G1386" i="19"/>
  <c r="F1386" i="19"/>
  <c r="G1385" i="19"/>
  <c r="F1385" i="19"/>
  <c r="G1384" i="19"/>
  <c r="F1384" i="19"/>
  <c r="G1383" i="19"/>
  <c r="F1383" i="19"/>
  <c r="G1382" i="19"/>
  <c r="F1382" i="19"/>
  <c r="G1381" i="19"/>
  <c r="F1381" i="19"/>
  <c r="G1380" i="19"/>
  <c r="F1380" i="19"/>
  <c r="G1379" i="19"/>
  <c r="F1379" i="19"/>
  <c r="G1378" i="19"/>
  <c r="F1378" i="19"/>
  <c r="G1377" i="19"/>
  <c r="F1377" i="19"/>
  <c r="G1376" i="19"/>
  <c r="F1376" i="19"/>
  <c r="G1375" i="19"/>
  <c r="F1375" i="19"/>
  <c r="G1374" i="19"/>
  <c r="F1374" i="19"/>
  <c r="G1373" i="19"/>
  <c r="F1373" i="19"/>
  <c r="G1372" i="19"/>
  <c r="F1372" i="19"/>
  <c r="G1371" i="19"/>
  <c r="F1371" i="19"/>
  <c r="G1370" i="19"/>
  <c r="F1370" i="19"/>
  <c r="G1369" i="19"/>
  <c r="F1369" i="19"/>
  <c r="G1368" i="19"/>
  <c r="F1368" i="19"/>
  <c r="G1367" i="19"/>
  <c r="F1367" i="19"/>
  <c r="G1366" i="19"/>
  <c r="F1366" i="19"/>
  <c r="G1365" i="19"/>
  <c r="F1365" i="19"/>
  <c r="G1364" i="19"/>
  <c r="F1364" i="19"/>
  <c r="G1363" i="19"/>
  <c r="F1363" i="19"/>
  <c r="G1362" i="19"/>
  <c r="F1362" i="19"/>
  <c r="G1361" i="19"/>
  <c r="F1361" i="19"/>
  <c r="G1360" i="19"/>
  <c r="F1360" i="19"/>
  <c r="G1359" i="19"/>
  <c r="F1359" i="19"/>
  <c r="G1358" i="19"/>
  <c r="F1358" i="19"/>
  <c r="G1357" i="19"/>
  <c r="F1357" i="19"/>
  <c r="G1356" i="19"/>
  <c r="F1356" i="19"/>
  <c r="G1355" i="19"/>
  <c r="F1355" i="19"/>
  <c r="G1354" i="19"/>
  <c r="F1354" i="19"/>
  <c r="G1353" i="19"/>
  <c r="F1353" i="19"/>
  <c r="G1352" i="19"/>
  <c r="F1352" i="19"/>
  <c r="G1351" i="19"/>
  <c r="F1351" i="19"/>
  <c r="G1350" i="19"/>
  <c r="F1350" i="19"/>
  <c r="G1349" i="19"/>
  <c r="F1349" i="19"/>
  <c r="G1348" i="19"/>
  <c r="F1348" i="19"/>
  <c r="G1347" i="19"/>
  <c r="F1347" i="19"/>
  <c r="G1346" i="19"/>
  <c r="F1346" i="19"/>
  <c r="G1345" i="19"/>
  <c r="F1345" i="19"/>
  <c r="G1344" i="19"/>
  <c r="F1344" i="19"/>
  <c r="G1343" i="19"/>
  <c r="F1343" i="19"/>
  <c r="G1342" i="19"/>
  <c r="F1342" i="19"/>
  <c r="G1341" i="19"/>
  <c r="F1341" i="19"/>
  <c r="G1340" i="19"/>
  <c r="F1340" i="19"/>
  <c r="G1339" i="19"/>
  <c r="F1339" i="19"/>
  <c r="G1338" i="19"/>
  <c r="F1338" i="19"/>
  <c r="G1337" i="19"/>
  <c r="F1337" i="19"/>
  <c r="G1336" i="19"/>
  <c r="F1336" i="19"/>
  <c r="G1335" i="19"/>
  <c r="F1335" i="19"/>
  <c r="G1334" i="19"/>
  <c r="F1334" i="19"/>
  <c r="G1333" i="19"/>
  <c r="F1333" i="19"/>
  <c r="G1332" i="19"/>
  <c r="F1332" i="19"/>
  <c r="G1331" i="19"/>
  <c r="F1331" i="19"/>
  <c r="G1330" i="19"/>
  <c r="F1330" i="19"/>
  <c r="G1329" i="19"/>
  <c r="F1329" i="19"/>
  <c r="G1328" i="19"/>
  <c r="F1328" i="19"/>
  <c r="G1327" i="19"/>
  <c r="F1327" i="19"/>
  <c r="G1326" i="19"/>
  <c r="F1326" i="19"/>
  <c r="G1325" i="19"/>
  <c r="F1325" i="19"/>
  <c r="G1324" i="19"/>
  <c r="F1324" i="19"/>
  <c r="G1323" i="19"/>
  <c r="F1323" i="19"/>
  <c r="G1322" i="19"/>
  <c r="F1322" i="19"/>
  <c r="G1321" i="19"/>
  <c r="F1321" i="19"/>
  <c r="G1320" i="19"/>
  <c r="F1320" i="19"/>
  <c r="G1319" i="19"/>
  <c r="F1319" i="19"/>
  <c r="G1318" i="19"/>
  <c r="F1318" i="19"/>
  <c r="G1317" i="19"/>
  <c r="F1317" i="19"/>
  <c r="G1316" i="19"/>
  <c r="F1316" i="19"/>
  <c r="G1315" i="19"/>
  <c r="F1315" i="19"/>
  <c r="G1314" i="19"/>
  <c r="F1314" i="19"/>
  <c r="G1313" i="19"/>
  <c r="F1313" i="19"/>
  <c r="G1312" i="19"/>
  <c r="F1312" i="19"/>
  <c r="G1311" i="19"/>
  <c r="F1311" i="19"/>
  <c r="G1310" i="19"/>
  <c r="F1310" i="19"/>
  <c r="G1309" i="19"/>
  <c r="F1309" i="19"/>
  <c r="G1308" i="19"/>
  <c r="F1308" i="19"/>
  <c r="G1307" i="19"/>
  <c r="F1307" i="19"/>
  <c r="G1306" i="19"/>
  <c r="F1306" i="19"/>
  <c r="G1305" i="19"/>
  <c r="F1305" i="19"/>
  <c r="G1304" i="19"/>
  <c r="F1304" i="19"/>
  <c r="G1303" i="19"/>
  <c r="F1303" i="19"/>
  <c r="G1302" i="19"/>
  <c r="F1302" i="19"/>
  <c r="G1301" i="19"/>
  <c r="F1301" i="19"/>
  <c r="G1300" i="19"/>
  <c r="F1300" i="19"/>
  <c r="G1299" i="19"/>
  <c r="F1299" i="19"/>
  <c r="G1298" i="19"/>
  <c r="F1298" i="19"/>
  <c r="G1297" i="19"/>
  <c r="F1297" i="19"/>
  <c r="G1296" i="19"/>
  <c r="F1296" i="19"/>
  <c r="G1295" i="19"/>
  <c r="F1295" i="19"/>
  <c r="G1294" i="19"/>
  <c r="F1294" i="19"/>
  <c r="G1293" i="19"/>
  <c r="F1293" i="19"/>
  <c r="G1292" i="19"/>
  <c r="F1292" i="19"/>
  <c r="G1291" i="19"/>
  <c r="F1291" i="19"/>
  <c r="G1290" i="19"/>
  <c r="F1290" i="19"/>
  <c r="G1289" i="19"/>
  <c r="F1289" i="19"/>
  <c r="G1288" i="19"/>
  <c r="F1288" i="19"/>
  <c r="G1287" i="19"/>
  <c r="F1287" i="19"/>
  <c r="G1286" i="19"/>
  <c r="F1286" i="19"/>
  <c r="G1285" i="19"/>
  <c r="F1285" i="19"/>
  <c r="G1284" i="19"/>
  <c r="F1284" i="19"/>
  <c r="G1283" i="19"/>
  <c r="F1283" i="19"/>
  <c r="G1282" i="19"/>
  <c r="F1282" i="19"/>
  <c r="G1281" i="19"/>
  <c r="F1281" i="19"/>
  <c r="G1280" i="19"/>
  <c r="F1280" i="19"/>
  <c r="G1279" i="19"/>
  <c r="F1279" i="19"/>
  <c r="G1278" i="19"/>
  <c r="F1278" i="19"/>
  <c r="G1277" i="19"/>
  <c r="F1277" i="19"/>
  <c r="G1276" i="19"/>
  <c r="F1276" i="19"/>
  <c r="G1275" i="19"/>
  <c r="F1275" i="19"/>
  <c r="G1274" i="19"/>
  <c r="F1274" i="19"/>
  <c r="G1273" i="19"/>
  <c r="F1273" i="19"/>
  <c r="G1272" i="19"/>
  <c r="F1272" i="19"/>
  <c r="G1271" i="19"/>
  <c r="F1271" i="19"/>
  <c r="G1270" i="19"/>
  <c r="F1270" i="19"/>
  <c r="G1269" i="19"/>
  <c r="F1269" i="19"/>
  <c r="G1268" i="19"/>
  <c r="F1268" i="19"/>
  <c r="G1267" i="19"/>
  <c r="F1267" i="19"/>
  <c r="G1266" i="19"/>
  <c r="F1266" i="19"/>
  <c r="G1265" i="19"/>
  <c r="F1265" i="19"/>
  <c r="G1264" i="19"/>
  <c r="F1264" i="19"/>
  <c r="G1263" i="19"/>
  <c r="F1263" i="19"/>
  <c r="G1262" i="19"/>
  <c r="F1262" i="19"/>
  <c r="G1261" i="19"/>
  <c r="F1261" i="19"/>
  <c r="G1260" i="19"/>
  <c r="F1260" i="19"/>
  <c r="G1259" i="19"/>
  <c r="F1259" i="19"/>
  <c r="G1258" i="19"/>
  <c r="F1258" i="19"/>
  <c r="G1257" i="19"/>
  <c r="F1257" i="19"/>
  <c r="G1256" i="19"/>
  <c r="F1256" i="19"/>
  <c r="G1255" i="19"/>
  <c r="F1255" i="19"/>
  <c r="G1254" i="19"/>
  <c r="F1254" i="19"/>
  <c r="G1253" i="19"/>
  <c r="F1253" i="19"/>
  <c r="G1252" i="19"/>
  <c r="F1252" i="19"/>
  <c r="G1251" i="19"/>
  <c r="F1251" i="19"/>
  <c r="G1250" i="19"/>
  <c r="F1250" i="19"/>
  <c r="G1249" i="19"/>
  <c r="F1249" i="19"/>
  <c r="G1248" i="19"/>
  <c r="F1248" i="19"/>
  <c r="G1247" i="19"/>
  <c r="F1247" i="19"/>
  <c r="G1246" i="19"/>
  <c r="F1246" i="19"/>
  <c r="G1245" i="19"/>
  <c r="F1245" i="19"/>
  <c r="G1244" i="19"/>
  <c r="F1244" i="19"/>
  <c r="G1243" i="19"/>
  <c r="F1243" i="19"/>
  <c r="G1242" i="19"/>
  <c r="F1242" i="19"/>
  <c r="G1241" i="19"/>
  <c r="F1241" i="19"/>
  <c r="G1240" i="19"/>
  <c r="F1240" i="19"/>
  <c r="G1239" i="19"/>
  <c r="F1239" i="19"/>
  <c r="G1238" i="19"/>
  <c r="F1238" i="19"/>
  <c r="G1237" i="19"/>
  <c r="F1237" i="19"/>
  <c r="G1236" i="19"/>
  <c r="F1236" i="19"/>
  <c r="G1235" i="19"/>
  <c r="F1235" i="19"/>
  <c r="G1234" i="19"/>
  <c r="F1234" i="19"/>
  <c r="G1233" i="19"/>
  <c r="F1233" i="19"/>
  <c r="G1232" i="19"/>
  <c r="F1232" i="19"/>
  <c r="G1231" i="19"/>
  <c r="F1231" i="19"/>
  <c r="G1230" i="19"/>
  <c r="F1230" i="19"/>
  <c r="G1229" i="19"/>
  <c r="F1229" i="19"/>
  <c r="G1228" i="19"/>
  <c r="F1228" i="19"/>
  <c r="G1227" i="19"/>
  <c r="F1227" i="19"/>
  <c r="G1226" i="19"/>
  <c r="F1226" i="19"/>
  <c r="G1225" i="19"/>
  <c r="F1225" i="19"/>
  <c r="G1224" i="19"/>
  <c r="F1224" i="19"/>
  <c r="G1223" i="19"/>
  <c r="F1223" i="19"/>
  <c r="G1222" i="19"/>
  <c r="F1222" i="19"/>
  <c r="G1221" i="19"/>
  <c r="F1221" i="19"/>
  <c r="G1220" i="19"/>
  <c r="F1220" i="19"/>
  <c r="G1219" i="19"/>
  <c r="F1219" i="19"/>
  <c r="G1218" i="19"/>
  <c r="F1218" i="19"/>
  <c r="G1217" i="19"/>
  <c r="F1217" i="19"/>
  <c r="G1216" i="19"/>
  <c r="F1216" i="19"/>
  <c r="G1215" i="19"/>
  <c r="F1215" i="19"/>
  <c r="G1214" i="19"/>
  <c r="F1214" i="19"/>
  <c r="G1213" i="19"/>
  <c r="F1213" i="19"/>
  <c r="G1212" i="19"/>
  <c r="F1212" i="19"/>
  <c r="G1211" i="19"/>
  <c r="F1211" i="19"/>
  <c r="G1210" i="19"/>
  <c r="F1210" i="19"/>
  <c r="G1209" i="19"/>
  <c r="F1209" i="19"/>
  <c r="G1208" i="19"/>
  <c r="F1208" i="19"/>
  <c r="G1207" i="19"/>
  <c r="F1207" i="19"/>
  <c r="G1206" i="19"/>
  <c r="F1206" i="19"/>
  <c r="G1205" i="19"/>
  <c r="F1205" i="19"/>
  <c r="G1204" i="19"/>
  <c r="F1204" i="19"/>
  <c r="G1203" i="19"/>
  <c r="F1203" i="19"/>
  <c r="G1202" i="19"/>
  <c r="F1202" i="19"/>
  <c r="G1201" i="19"/>
  <c r="F1201" i="19"/>
  <c r="G1200" i="19"/>
  <c r="F1200" i="19"/>
  <c r="G1199" i="19"/>
  <c r="F1199" i="19"/>
  <c r="G1198" i="19"/>
  <c r="F1198" i="19"/>
  <c r="G1197" i="19"/>
  <c r="F1197" i="19"/>
  <c r="G1196" i="19"/>
  <c r="F1196" i="19"/>
  <c r="G1195" i="19"/>
  <c r="F1195" i="19"/>
  <c r="G1194" i="19"/>
  <c r="F1194" i="19"/>
  <c r="G1193" i="19"/>
  <c r="F1193" i="19"/>
  <c r="G1192" i="19"/>
  <c r="F1192" i="19"/>
  <c r="G1191" i="19"/>
  <c r="F1191" i="19"/>
  <c r="G1190" i="19"/>
  <c r="F1190" i="19"/>
  <c r="G1189" i="19"/>
  <c r="F1189" i="19"/>
  <c r="G1188" i="19"/>
  <c r="F1188" i="19"/>
  <c r="G1187" i="19"/>
  <c r="F1187" i="19"/>
  <c r="G1186" i="19"/>
  <c r="F1186" i="19"/>
  <c r="G1185" i="19"/>
  <c r="F1185" i="19"/>
  <c r="G1184" i="19"/>
  <c r="F1184" i="19"/>
  <c r="G1183" i="19"/>
  <c r="F1183" i="19"/>
  <c r="G1182" i="19"/>
  <c r="F1182" i="19"/>
  <c r="G1181" i="19"/>
  <c r="F1181" i="19"/>
  <c r="G1180" i="19"/>
  <c r="F1180" i="19"/>
  <c r="G1179" i="19"/>
  <c r="F1179" i="19"/>
  <c r="G1178" i="19"/>
  <c r="F1178" i="19"/>
  <c r="G1177" i="19"/>
  <c r="F1177" i="19"/>
  <c r="G1176" i="19"/>
  <c r="F1176" i="19"/>
  <c r="G1175" i="19"/>
  <c r="F1175" i="19"/>
  <c r="G1174" i="19"/>
  <c r="F1174" i="19"/>
  <c r="G1173" i="19"/>
  <c r="F1173" i="19"/>
  <c r="G1172" i="19"/>
  <c r="F1172" i="19"/>
  <c r="G1171" i="19"/>
  <c r="F1171" i="19"/>
  <c r="G1170" i="19"/>
  <c r="F1170" i="19"/>
  <c r="G1169" i="19"/>
  <c r="F1169" i="19"/>
  <c r="G1168" i="19"/>
  <c r="F1168" i="19"/>
  <c r="G1167" i="19"/>
  <c r="F1167" i="19"/>
  <c r="G1166" i="19"/>
  <c r="F1166" i="19"/>
  <c r="G1165" i="19"/>
  <c r="F1165" i="19"/>
  <c r="G1164" i="19"/>
  <c r="F1164" i="19"/>
  <c r="G1163" i="19"/>
  <c r="F1163" i="19"/>
  <c r="G1162" i="19"/>
  <c r="F1162" i="19"/>
  <c r="G1161" i="19"/>
  <c r="F1161" i="19"/>
  <c r="G1160" i="19"/>
  <c r="F1160" i="19"/>
  <c r="G1159" i="19"/>
  <c r="F1159" i="19"/>
  <c r="G1158" i="19"/>
  <c r="F1158" i="19"/>
  <c r="G1157" i="19"/>
  <c r="F1157" i="19"/>
  <c r="G1156" i="19"/>
  <c r="F1156" i="19"/>
  <c r="G1155" i="19"/>
  <c r="F1155" i="19"/>
  <c r="G1154" i="19"/>
  <c r="F1154" i="19"/>
  <c r="G1153" i="19"/>
  <c r="F1153" i="19"/>
  <c r="G1152" i="19"/>
  <c r="F1152" i="19"/>
  <c r="G1151" i="19"/>
  <c r="F1151" i="19"/>
  <c r="G1150" i="19"/>
  <c r="F1150" i="19"/>
  <c r="G1149" i="19"/>
  <c r="F1149" i="19"/>
  <c r="G1148" i="19"/>
  <c r="F1148" i="19"/>
  <c r="G1147" i="19"/>
  <c r="F1147" i="19"/>
  <c r="G1146" i="19"/>
  <c r="F1146" i="19"/>
  <c r="G1145" i="19"/>
  <c r="F1145" i="19"/>
  <c r="G1144" i="19"/>
  <c r="F1144" i="19"/>
  <c r="G1143" i="19"/>
  <c r="F1143" i="19"/>
  <c r="G1142" i="19"/>
  <c r="F1142" i="19"/>
  <c r="G1141" i="19"/>
  <c r="F1141" i="19"/>
  <c r="G1140" i="19"/>
  <c r="F1140" i="19"/>
  <c r="G1139" i="19"/>
  <c r="F1139" i="19"/>
  <c r="G1138" i="19"/>
  <c r="F1138" i="19"/>
  <c r="G1137" i="19"/>
  <c r="F1137" i="19"/>
  <c r="G1136" i="19"/>
  <c r="F1136" i="19"/>
  <c r="G1135" i="19"/>
  <c r="F1135" i="19"/>
  <c r="G1134" i="19"/>
  <c r="F1134" i="19"/>
  <c r="G1133" i="19"/>
  <c r="F1133" i="19"/>
  <c r="G1132" i="19"/>
  <c r="F1132" i="19"/>
  <c r="G1131" i="19"/>
  <c r="F1131" i="19"/>
  <c r="G1130" i="19"/>
  <c r="F1130" i="19"/>
  <c r="G1129" i="19"/>
  <c r="F1129" i="19"/>
  <c r="G1128" i="19"/>
  <c r="F1128" i="19"/>
  <c r="G1127" i="19"/>
  <c r="F1127" i="19"/>
  <c r="G1126" i="19"/>
  <c r="F1126" i="19"/>
  <c r="G1125" i="19"/>
  <c r="F1125" i="19"/>
  <c r="G1124" i="19"/>
  <c r="F1124" i="19"/>
  <c r="G1123" i="19"/>
  <c r="F1123" i="19"/>
  <c r="G1122" i="19"/>
  <c r="F1122" i="19"/>
  <c r="G1121" i="19"/>
  <c r="F1121" i="19"/>
  <c r="G1120" i="19"/>
  <c r="F1120" i="19"/>
  <c r="G1119" i="19"/>
  <c r="F1119" i="19"/>
  <c r="G1118" i="19"/>
  <c r="F1118" i="19"/>
  <c r="G1117" i="19"/>
  <c r="F1117" i="19"/>
  <c r="G1116" i="19"/>
  <c r="F1116" i="19"/>
  <c r="G1115" i="19"/>
  <c r="F1115" i="19"/>
  <c r="G1114" i="19"/>
  <c r="F1114" i="19"/>
  <c r="G1113" i="19"/>
  <c r="F1113" i="19"/>
  <c r="G1112" i="19"/>
  <c r="F1112" i="19"/>
  <c r="G1111" i="19"/>
  <c r="F1111" i="19"/>
  <c r="G1110" i="19"/>
  <c r="F1110" i="19"/>
  <c r="G1109" i="19"/>
  <c r="F1109" i="19"/>
  <c r="G1108" i="19"/>
  <c r="F1108" i="19"/>
  <c r="G1107" i="19"/>
  <c r="F1107" i="19"/>
  <c r="G1106" i="19"/>
  <c r="F1106" i="19"/>
  <c r="G1105" i="19"/>
  <c r="F1105" i="19"/>
  <c r="G1104" i="19"/>
  <c r="F1104" i="19"/>
  <c r="G1103" i="19"/>
  <c r="F1103" i="19"/>
  <c r="G1102" i="19"/>
  <c r="F1102" i="19"/>
  <c r="G1101" i="19"/>
  <c r="F1101" i="19"/>
  <c r="G1100" i="19"/>
  <c r="F1100" i="19"/>
  <c r="G1099" i="19"/>
  <c r="F1099" i="19"/>
  <c r="G1098" i="19"/>
  <c r="F1098" i="19"/>
  <c r="G1097" i="19"/>
  <c r="F1097" i="19"/>
  <c r="G1096" i="19"/>
  <c r="F1096" i="19"/>
  <c r="G1095" i="19"/>
  <c r="F1095" i="19"/>
  <c r="G1094" i="19"/>
  <c r="F1094" i="19"/>
  <c r="G1093" i="19"/>
  <c r="F1093" i="19"/>
  <c r="G1092" i="19"/>
  <c r="F1092" i="19"/>
  <c r="G1091" i="19"/>
  <c r="F1091" i="19"/>
  <c r="G1090" i="19"/>
  <c r="F1090" i="19"/>
  <c r="G1089" i="19"/>
  <c r="F1089" i="19"/>
  <c r="G1088" i="19"/>
  <c r="F1088" i="19"/>
  <c r="G1087" i="19"/>
  <c r="F1087" i="19"/>
  <c r="G1086" i="19"/>
  <c r="F1086" i="19"/>
  <c r="G1085" i="19"/>
  <c r="F1085" i="19"/>
  <c r="G1084" i="19"/>
  <c r="F1084" i="19"/>
  <c r="G1083" i="19"/>
  <c r="F1083" i="19"/>
  <c r="G1082" i="19"/>
  <c r="F1082" i="19"/>
  <c r="G1081" i="19"/>
  <c r="F1081" i="19"/>
  <c r="G1080" i="19"/>
  <c r="F1080" i="19"/>
  <c r="G1079" i="19"/>
  <c r="F1079" i="19"/>
  <c r="G1078" i="19"/>
  <c r="F1078" i="19"/>
  <c r="G1077" i="19"/>
  <c r="F1077" i="19"/>
  <c r="G1076" i="19"/>
  <c r="F1076" i="19"/>
  <c r="G1075" i="19"/>
  <c r="F1075" i="19"/>
  <c r="G1074" i="19"/>
  <c r="F1074" i="19"/>
  <c r="G1073" i="19"/>
  <c r="F1073" i="19"/>
  <c r="G1072" i="19"/>
  <c r="F1072" i="19"/>
  <c r="G1071" i="19"/>
  <c r="F1071" i="19"/>
  <c r="G1070" i="19"/>
  <c r="F1070" i="19"/>
  <c r="G1069" i="19"/>
  <c r="F1069" i="19"/>
  <c r="G1068" i="19"/>
  <c r="F1068" i="19"/>
  <c r="G1067" i="19"/>
  <c r="F1067" i="19"/>
  <c r="G1066" i="19"/>
  <c r="F1066" i="19"/>
  <c r="G1065" i="19"/>
  <c r="F1065" i="19"/>
  <c r="G1064" i="19"/>
  <c r="F1064" i="19"/>
  <c r="G1063" i="19"/>
  <c r="F1063" i="19"/>
  <c r="G1062" i="19"/>
  <c r="F1062" i="19"/>
  <c r="G1061" i="19"/>
  <c r="F1061" i="19"/>
  <c r="G1060" i="19"/>
  <c r="F1060" i="19"/>
  <c r="G1059" i="19"/>
  <c r="F1059" i="19"/>
  <c r="G1058" i="19"/>
  <c r="F1058" i="19"/>
  <c r="G1057" i="19"/>
  <c r="F1057" i="19"/>
  <c r="G1056" i="19"/>
  <c r="F1056" i="19"/>
  <c r="G1055" i="19"/>
  <c r="F1055" i="19"/>
  <c r="G1054" i="19"/>
  <c r="F1054" i="19"/>
  <c r="G1053" i="19"/>
  <c r="F1053" i="19"/>
  <c r="G1052" i="19"/>
  <c r="F1052" i="19"/>
  <c r="G1051" i="19"/>
  <c r="F1051" i="19"/>
  <c r="G1050" i="19"/>
  <c r="F1050" i="19"/>
  <c r="G1049" i="19"/>
  <c r="F1049" i="19"/>
  <c r="G1048" i="19"/>
  <c r="F1048" i="19"/>
  <c r="G1047" i="19"/>
  <c r="F1047" i="19"/>
  <c r="G1046" i="19"/>
  <c r="F1046" i="19"/>
  <c r="G1045" i="19"/>
  <c r="F1045" i="19"/>
  <c r="G1044" i="19"/>
  <c r="F1044" i="19"/>
  <c r="G1043" i="19"/>
  <c r="F1043" i="19"/>
  <c r="G1042" i="19"/>
  <c r="F1042" i="19"/>
  <c r="G1041" i="19"/>
  <c r="F1041" i="19"/>
  <c r="G1040" i="19"/>
  <c r="F1040" i="19"/>
  <c r="G1039" i="19"/>
  <c r="F1039" i="19"/>
  <c r="G1038" i="19"/>
  <c r="F1038" i="19"/>
  <c r="G1037" i="19"/>
  <c r="F1037" i="19"/>
  <c r="G1036" i="19"/>
  <c r="F1036" i="19"/>
  <c r="G1035" i="19"/>
  <c r="F1035" i="19"/>
  <c r="G1034" i="19"/>
  <c r="F1034" i="19"/>
  <c r="G1033" i="19"/>
  <c r="F1033" i="19"/>
  <c r="G1032" i="19"/>
  <c r="F1032" i="19"/>
  <c r="G1031" i="19"/>
  <c r="F1031" i="19"/>
  <c r="G1030" i="19"/>
  <c r="F1030" i="19"/>
  <c r="G1029" i="19"/>
  <c r="F1029" i="19"/>
  <c r="G1028" i="19"/>
  <c r="F1028" i="19"/>
  <c r="G1027" i="19"/>
  <c r="F1027" i="19"/>
  <c r="G1026" i="19"/>
  <c r="F1026" i="19"/>
  <c r="G1025" i="19"/>
  <c r="F1025" i="19"/>
  <c r="G1024" i="19"/>
  <c r="F1024" i="19"/>
  <c r="G1023" i="19"/>
  <c r="F1023" i="19"/>
  <c r="G1022" i="19"/>
  <c r="F1022" i="19"/>
  <c r="G1021" i="19"/>
  <c r="F1021" i="19"/>
  <c r="G1020" i="19"/>
  <c r="F1020" i="19"/>
  <c r="G1019" i="19"/>
  <c r="F1019" i="19"/>
  <c r="G1018" i="19"/>
  <c r="F1018" i="19"/>
  <c r="G1017" i="19"/>
  <c r="F1017" i="19"/>
  <c r="G1016" i="19"/>
  <c r="F1016" i="19"/>
  <c r="G1015" i="19"/>
  <c r="F1015" i="19"/>
  <c r="G1014" i="19"/>
  <c r="F1014" i="19"/>
  <c r="G1013" i="19"/>
  <c r="F1013" i="19"/>
  <c r="G1012" i="19"/>
  <c r="F1012" i="19"/>
  <c r="G1011" i="19"/>
  <c r="F1011" i="19"/>
  <c r="G1010" i="19"/>
  <c r="F1010" i="19"/>
  <c r="G1009" i="19"/>
  <c r="F1009" i="19"/>
  <c r="G1008" i="19"/>
  <c r="F1008" i="19"/>
  <c r="G1007" i="19"/>
  <c r="F1007" i="19"/>
  <c r="G1006" i="19"/>
  <c r="F1006" i="19"/>
  <c r="G1005" i="19"/>
  <c r="F1005" i="19"/>
  <c r="G1004" i="19"/>
  <c r="F1004" i="19"/>
  <c r="G1003" i="19"/>
  <c r="F1003" i="19"/>
  <c r="G1002" i="19"/>
  <c r="F1002" i="19"/>
  <c r="G1001" i="19"/>
  <c r="F1001" i="19"/>
  <c r="G1000" i="19"/>
  <c r="F1000" i="19"/>
  <c r="G999" i="19"/>
  <c r="F999" i="19"/>
  <c r="G998" i="19"/>
  <c r="F998" i="19"/>
  <c r="G997" i="19"/>
  <c r="F997" i="19"/>
  <c r="G996" i="19"/>
  <c r="F996" i="19"/>
  <c r="G995" i="19"/>
  <c r="F995" i="19"/>
  <c r="G994" i="19"/>
  <c r="F994" i="19"/>
  <c r="G993" i="19"/>
  <c r="F993" i="19"/>
  <c r="G992" i="19"/>
  <c r="F992" i="19"/>
  <c r="G991" i="19"/>
  <c r="F991" i="19"/>
  <c r="G990" i="19"/>
  <c r="F990" i="19"/>
  <c r="G989" i="19"/>
  <c r="F989" i="19"/>
  <c r="G988" i="19"/>
  <c r="F988" i="19"/>
  <c r="G987" i="19"/>
  <c r="F987" i="19"/>
  <c r="G986" i="19"/>
  <c r="F986" i="19"/>
  <c r="G985" i="19"/>
  <c r="F985" i="19"/>
  <c r="G984" i="19"/>
  <c r="F984" i="19"/>
  <c r="G983" i="19"/>
  <c r="F983" i="19"/>
  <c r="G982" i="19"/>
  <c r="F982" i="19"/>
  <c r="G981" i="19"/>
  <c r="F981" i="19"/>
  <c r="G980" i="19"/>
  <c r="F980" i="19"/>
  <c r="G979" i="19"/>
  <c r="F979" i="19"/>
  <c r="G978" i="19"/>
  <c r="F978" i="19"/>
  <c r="G977" i="19"/>
  <c r="F977" i="19"/>
  <c r="G976" i="19"/>
  <c r="F976" i="19"/>
  <c r="G975" i="19"/>
  <c r="F975" i="19"/>
  <c r="G974" i="19"/>
  <c r="F974" i="19"/>
  <c r="G973" i="19"/>
  <c r="F973" i="19"/>
  <c r="G972" i="19"/>
  <c r="F972" i="19"/>
  <c r="G971" i="19"/>
  <c r="F971" i="19"/>
  <c r="G970" i="19"/>
  <c r="F970" i="19"/>
  <c r="G969" i="19"/>
  <c r="F969" i="19"/>
  <c r="G968" i="19"/>
  <c r="F968" i="19"/>
  <c r="G967" i="19"/>
  <c r="F967" i="19"/>
  <c r="G966" i="19"/>
  <c r="F966" i="19"/>
  <c r="G965" i="19"/>
  <c r="F965" i="19"/>
  <c r="G964" i="19"/>
  <c r="F964" i="19"/>
  <c r="G963" i="19"/>
  <c r="F963" i="19"/>
  <c r="G962" i="19"/>
  <c r="F962" i="19"/>
  <c r="G961" i="19"/>
  <c r="F961" i="19"/>
  <c r="G960" i="19"/>
  <c r="F960" i="19"/>
  <c r="G959" i="19"/>
  <c r="F959" i="19"/>
  <c r="G958" i="19"/>
  <c r="F958" i="19"/>
  <c r="G957" i="19"/>
  <c r="F957" i="19"/>
  <c r="G956" i="19"/>
  <c r="F956" i="19"/>
  <c r="G955" i="19"/>
  <c r="F955" i="19"/>
  <c r="G954" i="19"/>
  <c r="F954" i="19"/>
  <c r="G953" i="19"/>
  <c r="F953" i="19"/>
  <c r="G952" i="19"/>
  <c r="F952" i="19"/>
  <c r="G951" i="19"/>
  <c r="F951" i="19"/>
  <c r="G950" i="19"/>
  <c r="F950" i="19"/>
  <c r="G949" i="19"/>
  <c r="F949" i="19"/>
  <c r="G948" i="19"/>
  <c r="F948" i="19"/>
  <c r="G947" i="19"/>
  <c r="F947" i="19"/>
  <c r="G946" i="19"/>
  <c r="F946" i="19"/>
  <c r="G945" i="19"/>
  <c r="F945" i="19"/>
  <c r="G944" i="19"/>
  <c r="F944" i="19"/>
  <c r="G943" i="19"/>
  <c r="F943" i="19"/>
  <c r="G942" i="19"/>
  <c r="F942" i="19"/>
  <c r="G941" i="19"/>
  <c r="F941" i="19"/>
  <c r="G940" i="19"/>
  <c r="F940" i="19"/>
  <c r="G939" i="19"/>
  <c r="F939" i="19"/>
  <c r="G938" i="19"/>
  <c r="F938" i="19"/>
  <c r="G937" i="19"/>
  <c r="F937" i="19"/>
  <c r="G936" i="19"/>
  <c r="F936" i="19"/>
  <c r="G935" i="19"/>
  <c r="F935" i="19"/>
  <c r="G934" i="19"/>
  <c r="F934" i="19"/>
  <c r="G933" i="19"/>
  <c r="F933" i="19"/>
  <c r="G932" i="19"/>
  <c r="F932" i="19"/>
  <c r="G931" i="19"/>
  <c r="F931" i="19"/>
  <c r="G930" i="19"/>
  <c r="F930" i="19"/>
  <c r="G929" i="19"/>
  <c r="F929" i="19"/>
  <c r="G928" i="19"/>
  <c r="F928" i="19"/>
  <c r="G927" i="19"/>
  <c r="F927" i="19"/>
  <c r="G926" i="19"/>
  <c r="F926" i="19"/>
  <c r="G925" i="19"/>
  <c r="F925" i="19"/>
  <c r="G924" i="19"/>
  <c r="F924" i="19"/>
  <c r="G923" i="19"/>
  <c r="F923" i="19"/>
  <c r="G922" i="19"/>
  <c r="F922" i="19"/>
  <c r="G921" i="19"/>
  <c r="F921" i="19"/>
  <c r="G920" i="19"/>
  <c r="F920" i="19"/>
  <c r="G919" i="19"/>
  <c r="F919" i="19"/>
  <c r="G918" i="19"/>
  <c r="F918" i="19"/>
  <c r="G917" i="19"/>
  <c r="F917" i="19"/>
  <c r="G916" i="19"/>
  <c r="F916" i="19"/>
  <c r="G915" i="19"/>
  <c r="F915" i="19"/>
  <c r="G914" i="19"/>
  <c r="F914" i="19"/>
  <c r="G912" i="19"/>
  <c r="F912" i="19"/>
  <c r="G911" i="19"/>
  <c r="F911" i="19"/>
  <c r="G910" i="19"/>
  <c r="F910" i="19"/>
  <c r="G909" i="19"/>
  <c r="F909" i="19"/>
  <c r="G908" i="19"/>
  <c r="F908" i="19"/>
  <c r="G907" i="19"/>
  <c r="F907" i="19"/>
  <c r="G906" i="19"/>
  <c r="F906" i="19"/>
  <c r="G905" i="19"/>
  <c r="F905" i="19"/>
  <c r="G904" i="19"/>
  <c r="F904" i="19"/>
  <c r="G903" i="19"/>
  <c r="F903" i="19"/>
  <c r="G902" i="19"/>
  <c r="F902" i="19"/>
  <c r="G901" i="19"/>
  <c r="F901" i="19"/>
  <c r="G900" i="19"/>
  <c r="F900" i="19"/>
  <c r="G899" i="19"/>
  <c r="F899" i="19"/>
  <c r="G898" i="19"/>
  <c r="F898" i="19"/>
  <c r="G897" i="19"/>
  <c r="F897" i="19"/>
  <c r="G896" i="19"/>
  <c r="F896" i="19"/>
  <c r="G895" i="19"/>
  <c r="F895" i="19"/>
  <c r="G894" i="19"/>
  <c r="F894" i="19"/>
  <c r="G893" i="19"/>
  <c r="F893" i="19"/>
  <c r="G892" i="19"/>
  <c r="F892" i="19"/>
  <c r="G891" i="19"/>
  <c r="F891" i="19"/>
  <c r="G890" i="19"/>
  <c r="F890" i="19"/>
  <c r="G889" i="19"/>
  <c r="F889" i="19"/>
  <c r="G888" i="19"/>
  <c r="F888" i="19"/>
  <c r="G887" i="19"/>
  <c r="F887" i="19"/>
  <c r="G886" i="19"/>
  <c r="F886" i="19"/>
  <c r="G885" i="19"/>
  <c r="F885" i="19"/>
  <c r="G884" i="19"/>
  <c r="F884" i="19"/>
  <c r="G883" i="19"/>
  <c r="F883" i="19"/>
  <c r="G882" i="19"/>
  <c r="F882" i="19"/>
  <c r="G881" i="19"/>
  <c r="F881" i="19"/>
  <c r="G880" i="19"/>
  <c r="F880" i="19"/>
  <c r="G879" i="19"/>
  <c r="F879" i="19"/>
  <c r="G878" i="19"/>
  <c r="F878" i="19"/>
  <c r="G877" i="19"/>
  <c r="F877" i="19"/>
  <c r="G876" i="19"/>
  <c r="F876" i="19"/>
  <c r="G875" i="19"/>
  <c r="F875" i="19"/>
  <c r="G874" i="19"/>
  <c r="F874" i="19"/>
  <c r="G873" i="19"/>
  <c r="F873" i="19"/>
  <c r="G872" i="19"/>
  <c r="F872" i="19"/>
  <c r="G871" i="19"/>
  <c r="F871" i="19"/>
  <c r="G870" i="19"/>
  <c r="F870" i="19"/>
  <c r="G869" i="19"/>
  <c r="F869" i="19"/>
  <c r="G868" i="19"/>
  <c r="F868" i="19"/>
  <c r="G867" i="19"/>
  <c r="F867" i="19"/>
  <c r="G866" i="19"/>
  <c r="F866" i="19"/>
  <c r="G865" i="19"/>
  <c r="F865" i="19"/>
  <c r="G864" i="19"/>
  <c r="F864" i="19"/>
  <c r="G863" i="19"/>
  <c r="F863" i="19"/>
  <c r="G862" i="19"/>
  <c r="F862" i="19"/>
  <c r="F861" i="19"/>
  <c r="F860" i="19"/>
  <c r="F859" i="19"/>
  <c r="F858" i="19"/>
  <c r="F857" i="19"/>
  <c r="F856" i="19"/>
  <c r="F855" i="19"/>
  <c r="F854" i="19"/>
  <c r="G852" i="19"/>
  <c r="F852" i="19"/>
  <c r="G851" i="19"/>
  <c r="F851" i="19"/>
  <c r="G850" i="19"/>
  <c r="F850" i="19"/>
  <c r="G849" i="19"/>
  <c r="F849" i="19"/>
  <c r="G848" i="19"/>
  <c r="F848" i="19"/>
  <c r="G847" i="19"/>
  <c r="F847" i="19"/>
  <c r="G846" i="19"/>
  <c r="F846" i="19"/>
  <c r="G845" i="19"/>
  <c r="F845" i="19"/>
  <c r="G844" i="19"/>
  <c r="F844" i="19"/>
  <c r="G843" i="19"/>
  <c r="F843" i="19"/>
  <c r="G842" i="19"/>
  <c r="F842" i="19"/>
  <c r="G841" i="19"/>
  <c r="F841" i="19"/>
  <c r="G840" i="19"/>
  <c r="F840" i="19"/>
  <c r="G839" i="19"/>
  <c r="F839" i="19"/>
  <c r="G838" i="19"/>
  <c r="F838" i="19"/>
  <c r="G837" i="19"/>
  <c r="F837" i="19"/>
  <c r="G836" i="19"/>
  <c r="F836" i="19"/>
  <c r="G835" i="19"/>
  <c r="F835" i="19"/>
  <c r="G834" i="19"/>
  <c r="F834" i="19"/>
  <c r="G833" i="19"/>
  <c r="F833" i="19"/>
  <c r="G832" i="19"/>
  <c r="F832" i="19"/>
  <c r="G831" i="19"/>
  <c r="F831" i="19"/>
  <c r="G830" i="19"/>
  <c r="F830" i="19"/>
  <c r="G829" i="19"/>
  <c r="F829" i="19"/>
  <c r="G828" i="19"/>
  <c r="F828" i="19"/>
  <c r="G827" i="19"/>
  <c r="F827" i="19"/>
  <c r="G826" i="19"/>
  <c r="F826" i="19"/>
  <c r="G825" i="19"/>
  <c r="F825" i="19"/>
  <c r="G824" i="19"/>
  <c r="F824" i="19"/>
  <c r="G823" i="19"/>
  <c r="F823" i="19"/>
  <c r="G822" i="19"/>
  <c r="F822" i="19"/>
  <c r="G821" i="19"/>
  <c r="F821" i="19"/>
  <c r="G820" i="19"/>
  <c r="F820" i="19"/>
  <c r="G819" i="19"/>
  <c r="F819" i="19"/>
  <c r="G818" i="19"/>
  <c r="F818" i="19"/>
  <c r="G817" i="19"/>
  <c r="F817" i="19"/>
  <c r="G816" i="19"/>
  <c r="F816" i="19"/>
  <c r="G815" i="19"/>
  <c r="F815" i="19"/>
  <c r="G814" i="19"/>
  <c r="F814" i="19"/>
  <c r="G813" i="19"/>
  <c r="F813" i="19"/>
  <c r="G812" i="19"/>
  <c r="F812" i="19"/>
  <c r="G811" i="19"/>
  <c r="F811" i="19"/>
  <c r="G810" i="19"/>
  <c r="F810" i="19"/>
  <c r="G809" i="19"/>
  <c r="F809" i="19"/>
  <c r="G808" i="19"/>
  <c r="F808" i="19"/>
  <c r="G807" i="19"/>
  <c r="F807" i="19"/>
  <c r="F806" i="19"/>
  <c r="F805" i="19"/>
  <c r="F804" i="19"/>
  <c r="F803" i="19"/>
  <c r="F802" i="19"/>
  <c r="F801" i="19"/>
  <c r="F800" i="19"/>
  <c r="F793" i="19"/>
  <c r="F792" i="19"/>
  <c r="F791" i="19"/>
  <c r="F790" i="19"/>
  <c r="F789" i="19"/>
  <c r="F764" i="19"/>
  <c r="F762" i="19"/>
  <c r="F761" i="19"/>
  <c r="G760" i="19"/>
  <c r="F760" i="19"/>
  <c r="F759" i="19"/>
  <c r="F758" i="19"/>
  <c r="F757" i="19"/>
  <c r="F756" i="19"/>
  <c r="F755" i="19"/>
  <c r="G754" i="19"/>
  <c r="F754" i="19"/>
  <c r="F753" i="19"/>
  <c r="F752" i="19"/>
  <c r="F750" i="19"/>
  <c r="F749" i="19"/>
  <c r="F748" i="19"/>
  <c r="F747" i="19"/>
  <c r="F746" i="19"/>
  <c r="F744" i="19"/>
  <c r="G743" i="19"/>
  <c r="F743" i="19"/>
  <c r="F742" i="19"/>
  <c r="F741" i="19"/>
  <c r="F740" i="19"/>
  <c r="F738" i="19"/>
  <c r="G737" i="19"/>
  <c r="F737" i="19"/>
  <c r="F736" i="19"/>
  <c r="F735" i="19"/>
  <c r="F734" i="19"/>
  <c r="F732" i="19"/>
  <c r="G731" i="19"/>
  <c r="F731" i="19"/>
  <c r="G730" i="19"/>
  <c r="F730" i="19"/>
  <c r="F729" i="19"/>
  <c r="F728" i="19"/>
  <c r="F726" i="19"/>
  <c r="G725" i="19"/>
  <c r="F725" i="19"/>
  <c r="G724" i="19"/>
  <c r="F724" i="19"/>
  <c r="F723" i="19"/>
  <c r="F722" i="19"/>
  <c r="F720" i="19"/>
  <c r="G719" i="19"/>
  <c r="F719" i="19"/>
  <c r="G718" i="19"/>
  <c r="F718" i="19"/>
  <c r="F717" i="19"/>
  <c r="F716" i="19"/>
  <c r="F714" i="19"/>
  <c r="G713" i="19"/>
  <c r="F713" i="19"/>
  <c r="G712" i="19"/>
  <c r="F712" i="19"/>
  <c r="F711" i="19"/>
  <c r="F710" i="19"/>
  <c r="F708" i="19"/>
  <c r="G707" i="19"/>
  <c r="F707" i="19"/>
  <c r="G706" i="19"/>
  <c r="F706" i="19"/>
  <c r="F705" i="19"/>
  <c r="F704" i="19"/>
  <c r="F703" i="19"/>
  <c r="F702" i="19"/>
  <c r="F701" i="19"/>
  <c r="G700" i="19"/>
  <c r="F700" i="19"/>
  <c r="F699" i="19"/>
  <c r="G698" i="19"/>
  <c r="F698" i="19"/>
  <c r="F697" i="19"/>
  <c r="G696" i="19"/>
  <c r="F696" i="19"/>
  <c r="F695" i="19"/>
  <c r="G694" i="19"/>
  <c r="F694" i="19"/>
  <c r="F693" i="19"/>
  <c r="F692" i="19"/>
  <c r="F691" i="19"/>
  <c r="F690" i="19"/>
  <c r="F689" i="19"/>
  <c r="F688" i="19"/>
  <c r="F687" i="19"/>
  <c r="F686" i="19"/>
  <c r="G683" i="19"/>
  <c r="F683" i="19"/>
  <c r="G682" i="19"/>
  <c r="F682" i="19"/>
  <c r="F678" i="19"/>
  <c r="F674" i="19"/>
  <c r="F670" i="19"/>
  <c r="F666" i="19"/>
  <c r="F665" i="19"/>
  <c r="F664" i="19"/>
  <c r="F663" i="19"/>
  <c r="F662" i="19"/>
  <c r="F661" i="19"/>
  <c r="F659" i="19"/>
  <c r="F658" i="19"/>
  <c r="F657" i="19"/>
  <c r="F656" i="19"/>
  <c r="F655" i="19"/>
  <c r="F654" i="19"/>
  <c r="F653" i="19"/>
  <c r="F652" i="19"/>
  <c r="F651" i="19"/>
  <c r="F650" i="19"/>
  <c r="F649" i="19"/>
  <c r="G643" i="19"/>
  <c r="F643" i="19"/>
  <c r="G642" i="19"/>
  <c r="F642" i="19"/>
  <c r="G641" i="19"/>
  <c r="F641" i="19"/>
  <c r="G640" i="19"/>
  <c r="F640" i="19"/>
  <c r="G639" i="19"/>
  <c r="F639" i="19"/>
  <c r="G638" i="19"/>
  <c r="F638" i="19"/>
  <c r="G637" i="19"/>
  <c r="F637" i="19"/>
  <c r="G636" i="19"/>
  <c r="F636" i="19"/>
  <c r="G635" i="19"/>
  <c r="F635" i="19"/>
  <c r="G634" i="19"/>
  <c r="F634" i="19"/>
  <c r="G633" i="19"/>
  <c r="F633" i="19"/>
  <c r="G632" i="19"/>
  <c r="F632" i="19"/>
  <c r="G631" i="19"/>
  <c r="F631" i="19"/>
  <c r="G630" i="19"/>
  <c r="F630" i="19"/>
  <c r="G629" i="19"/>
  <c r="F629" i="19"/>
  <c r="G628" i="19"/>
  <c r="F628" i="19"/>
  <c r="G627" i="19"/>
  <c r="F627" i="19"/>
  <c r="G626" i="19"/>
  <c r="F626" i="19"/>
  <c r="G625" i="19"/>
  <c r="F625" i="19"/>
  <c r="G624" i="19"/>
  <c r="F624" i="19"/>
  <c r="G623" i="19"/>
  <c r="F623" i="19"/>
  <c r="G622" i="19"/>
  <c r="F622" i="19"/>
  <c r="G621" i="19"/>
  <c r="F621" i="19"/>
  <c r="G620" i="19"/>
  <c r="F620" i="19"/>
  <c r="G619" i="19"/>
  <c r="F619" i="19"/>
  <c r="G618" i="19"/>
  <c r="F618" i="19"/>
  <c r="F617" i="19"/>
  <c r="F613" i="19"/>
  <c r="F612" i="19"/>
  <c r="F608" i="19"/>
  <c r="F607" i="19"/>
  <c r="F603" i="19"/>
  <c r="F602" i="19"/>
  <c r="F598" i="19"/>
  <c r="F593" i="19"/>
  <c r="F592" i="19"/>
  <c r="G591" i="19"/>
  <c r="F591" i="19"/>
  <c r="G590" i="19"/>
  <c r="F590" i="19"/>
  <c r="G588" i="19"/>
  <c r="F588" i="19"/>
  <c r="G587" i="19"/>
  <c r="F587" i="19"/>
  <c r="G586" i="19"/>
  <c r="F586" i="19"/>
  <c r="G585" i="19"/>
  <c r="F585" i="19"/>
  <c r="G584" i="19"/>
  <c r="F584" i="19"/>
  <c r="G583" i="19"/>
  <c r="F583" i="19"/>
  <c r="G582" i="19"/>
  <c r="F582" i="19"/>
  <c r="G581" i="19"/>
  <c r="F581" i="19"/>
  <c r="G580" i="19"/>
  <c r="F580" i="19"/>
  <c r="G579" i="19"/>
  <c r="F579" i="19"/>
  <c r="G578" i="19"/>
  <c r="F578" i="19"/>
  <c r="G577" i="19"/>
  <c r="F577" i="19"/>
  <c r="G576" i="19"/>
  <c r="F576" i="19"/>
  <c r="G575" i="19"/>
  <c r="F575" i="19"/>
  <c r="G574" i="19"/>
  <c r="F574" i="19"/>
  <c r="G573" i="19"/>
  <c r="F573" i="19"/>
  <c r="G572" i="19"/>
  <c r="F572" i="19"/>
  <c r="G571" i="19"/>
  <c r="F571" i="19"/>
  <c r="G570" i="19"/>
  <c r="F570" i="19"/>
  <c r="G569" i="19"/>
  <c r="F569" i="19"/>
  <c r="G568" i="19"/>
  <c r="F568" i="19"/>
  <c r="G567" i="19"/>
  <c r="F567" i="19"/>
  <c r="G566" i="19"/>
  <c r="F566" i="19"/>
  <c r="G565" i="19"/>
  <c r="F565" i="19"/>
  <c r="G564" i="19"/>
  <c r="F564" i="19"/>
  <c r="G563" i="19"/>
  <c r="F563" i="19"/>
  <c r="F562" i="19"/>
  <c r="F561" i="19"/>
  <c r="F560" i="19"/>
  <c r="F559" i="19"/>
  <c r="F558" i="19"/>
  <c r="F557" i="19"/>
  <c r="F556" i="19"/>
  <c r="F555" i="19"/>
  <c r="F554" i="19"/>
  <c r="F553" i="19"/>
  <c r="F552" i="19"/>
  <c r="F541" i="19"/>
  <c r="F540" i="19"/>
  <c r="F539" i="19"/>
  <c r="F538" i="19"/>
  <c r="F536" i="19"/>
  <c r="F535" i="19"/>
  <c r="F534" i="19"/>
  <c r="F533" i="19"/>
  <c r="F532" i="19"/>
  <c r="F531" i="19"/>
  <c r="F530" i="19"/>
  <c r="F529" i="19"/>
  <c r="F528" i="19"/>
  <c r="F527" i="19"/>
  <c r="F526" i="19"/>
  <c r="F525" i="19"/>
  <c r="F524" i="19"/>
  <c r="F523" i="19"/>
  <c r="F522" i="19"/>
  <c r="F521" i="19"/>
  <c r="F520" i="19"/>
  <c r="F519" i="19"/>
  <c r="F517" i="19"/>
  <c r="F516" i="19"/>
  <c r="F515" i="19"/>
  <c r="F514" i="19"/>
  <c r="F512" i="19"/>
  <c r="F511" i="19"/>
  <c r="F510" i="19"/>
  <c r="F509" i="19"/>
  <c r="F507" i="19"/>
  <c r="F506" i="19"/>
  <c r="F505" i="19"/>
  <c r="F504" i="19"/>
  <c r="F503" i="19"/>
  <c r="F501" i="19"/>
  <c r="F500" i="19"/>
  <c r="F499" i="19"/>
  <c r="F498" i="19"/>
  <c r="F497" i="19"/>
  <c r="F495" i="19"/>
  <c r="F494" i="19"/>
  <c r="F493" i="19"/>
  <c r="F492" i="19"/>
  <c r="F485" i="19"/>
  <c r="F483" i="19"/>
  <c r="F482" i="19"/>
  <c r="F481" i="19"/>
  <c r="F480" i="19"/>
  <c r="F479" i="19"/>
  <c r="F477" i="19"/>
  <c r="F476" i="19"/>
  <c r="F475" i="19"/>
  <c r="F474" i="19"/>
  <c r="F473" i="19"/>
  <c r="F471" i="19"/>
  <c r="F470" i="19"/>
  <c r="F469" i="19"/>
  <c r="F468" i="19"/>
  <c r="F437" i="19"/>
  <c r="F435" i="19"/>
  <c r="F434" i="19"/>
  <c r="F433" i="19"/>
  <c r="F432" i="19"/>
  <c r="F407" i="19"/>
  <c r="F405" i="19"/>
  <c r="F404" i="19"/>
  <c r="F403" i="19"/>
  <c r="F402" i="19"/>
  <c r="F401" i="19"/>
  <c r="F399" i="19"/>
  <c r="F398" i="19"/>
  <c r="F397" i="19"/>
  <c r="F396" i="19"/>
  <c r="F383" i="19"/>
  <c r="F381" i="19"/>
  <c r="F380" i="19"/>
  <c r="F379" i="19"/>
  <c r="F378" i="19"/>
  <c r="F377" i="19"/>
  <c r="F375" i="19"/>
  <c r="F374" i="19"/>
  <c r="F373" i="19"/>
  <c r="F372" i="19"/>
  <c r="F371" i="19"/>
  <c r="F369" i="19"/>
  <c r="F368" i="19"/>
  <c r="F367" i="19"/>
  <c r="F366" i="19"/>
  <c r="F365" i="19"/>
  <c r="F363" i="19"/>
  <c r="F362" i="19"/>
  <c r="F361" i="19"/>
  <c r="F360" i="19"/>
  <c r="F359" i="19"/>
  <c r="F358" i="19"/>
  <c r="F357" i="19"/>
  <c r="F356" i="19"/>
  <c r="F355" i="19"/>
  <c r="F354" i="19"/>
  <c r="F353" i="19"/>
  <c r="F351" i="19"/>
  <c r="F350" i="19"/>
  <c r="F349" i="19"/>
  <c r="F348" i="19"/>
  <c r="F347" i="19"/>
  <c r="F345" i="19"/>
  <c r="F344" i="19"/>
  <c r="F343" i="19"/>
  <c r="F342" i="19"/>
  <c r="F341" i="19"/>
  <c r="F339" i="19"/>
  <c r="F338" i="19"/>
  <c r="F337" i="19"/>
  <c r="F336" i="19"/>
  <c r="F335" i="19"/>
  <c r="F333" i="19"/>
  <c r="F332" i="19"/>
  <c r="F331" i="19"/>
  <c r="F330" i="19"/>
  <c r="F329" i="19"/>
  <c r="F327" i="19"/>
  <c r="F326" i="19"/>
  <c r="F325" i="19"/>
  <c r="F324" i="19"/>
  <c r="F323" i="19"/>
  <c r="F321" i="19"/>
  <c r="F320" i="19"/>
  <c r="F319" i="19"/>
  <c r="F318" i="19"/>
  <c r="F317" i="19"/>
  <c r="F315" i="19"/>
  <c r="F314" i="19"/>
  <c r="F313" i="19"/>
  <c r="F312" i="19"/>
  <c r="F311" i="19"/>
  <c r="F309" i="19"/>
  <c r="F308" i="19"/>
  <c r="F307" i="19"/>
  <c r="F306" i="19"/>
  <c r="F305" i="19"/>
  <c r="F304" i="19"/>
  <c r="F303" i="19"/>
  <c r="F302" i="19"/>
  <c r="F301" i="19"/>
  <c r="F300" i="19"/>
  <c r="F299" i="19"/>
  <c r="F298" i="19"/>
  <c r="F297" i="19"/>
  <c r="F296" i="19"/>
  <c r="F295" i="19"/>
  <c r="F294" i="19"/>
  <c r="F293" i="19"/>
  <c r="F292" i="19"/>
  <c r="F291" i="19"/>
  <c r="F290" i="19"/>
  <c r="F289" i="19"/>
  <c r="F288" i="19"/>
  <c r="F287" i="19"/>
  <c r="F286" i="19"/>
  <c r="F285" i="19"/>
  <c r="F284" i="19"/>
  <c r="F283" i="19"/>
  <c r="F282" i="19"/>
  <c r="F281" i="19"/>
  <c r="F280" i="19"/>
  <c r="F279" i="19"/>
  <c r="F278" i="19"/>
  <c r="F277" i="19"/>
  <c r="F276" i="19"/>
  <c r="F275" i="19"/>
  <c r="F274" i="19"/>
  <c r="F273" i="19"/>
  <c r="F272" i="19"/>
  <c r="F271" i="19"/>
  <c r="F270" i="19"/>
  <c r="F269" i="19"/>
  <c r="F268" i="19"/>
  <c r="F267" i="19"/>
  <c r="F266" i="19"/>
  <c r="F265" i="19"/>
  <c r="F264" i="19"/>
  <c r="F263" i="19"/>
  <c r="F262" i="19"/>
  <c r="F261" i="19"/>
  <c r="F260" i="19"/>
  <c r="F259" i="19"/>
  <c r="F258" i="19"/>
  <c r="F257" i="19"/>
  <c r="F256" i="19"/>
  <c r="F255" i="19"/>
  <c r="F254" i="19"/>
  <c r="F253" i="19"/>
  <c r="F252" i="19"/>
  <c r="F251" i="19"/>
  <c r="F250" i="19"/>
  <c r="F249" i="19"/>
  <c r="F242" i="19"/>
  <c r="G241" i="19"/>
  <c r="F241" i="19"/>
  <c r="G240" i="19"/>
  <c r="F240" i="19"/>
  <c r="F239" i="19"/>
  <c r="F238" i="19"/>
  <c r="F237" i="19"/>
  <c r="G236" i="19"/>
  <c r="F236" i="19"/>
  <c r="F235" i="19"/>
  <c r="G234" i="19"/>
  <c r="F234" i="19"/>
  <c r="F233" i="19"/>
  <c r="G232" i="19"/>
  <c r="F232" i="19"/>
  <c r="F231" i="19"/>
  <c r="G230" i="19"/>
  <c r="F230" i="19"/>
  <c r="G229" i="19"/>
  <c r="F229" i="19"/>
  <c r="G227" i="19"/>
  <c r="F227" i="19"/>
  <c r="G226" i="19"/>
  <c r="F226" i="19"/>
  <c r="G225" i="19"/>
  <c r="F225" i="19"/>
  <c r="G224" i="19"/>
  <c r="F224" i="19"/>
  <c r="G223" i="19"/>
  <c r="F223" i="19"/>
  <c r="G222" i="19"/>
  <c r="F222" i="19"/>
  <c r="G221" i="19"/>
  <c r="F221" i="19"/>
  <c r="G220" i="19"/>
  <c r="F220" i="19"/>
  <c r="G219" i="19"/>
  <c r="F219" i="19"/>
  <c r="G218" i="19"/>
  <c r="F218" i="19"/>
  <c r="G217" i="19"/>
  <c r="F217" i="19"/>
  <c r="G216" i="19"/>
  <c r="F216" i="19"/>
  <c r="G215" i="19"/>
  <c r="F215" i="19"/>
  <c r="G214" i="19"/>
  <c r="F214" i="19"/>
  <c r="G213" i="19"/>
  <c r="F213" i="19"/>
  <c r="G212" i="19"/>
  <c r="F212" i="19"/>
  <c r="G211" i="19"/>
  <c r="F211" i="19"/>
  <c r="G210" i="19"/>
  <c r="F210" i="19"/>
  <c r="G209" i="19"/>
  <c r="F209" i="19"/>
  <c r="G208" i="19"/>
  <c r="F208" i="19"/>
  <c r="G207" i="19"/>
  <c r="F207" i="19"/>
  <c r="G206" i="19"/>
  <c r="F206" i="19"/>
  <c r="G205" i="19"/>
  <c r="F205" i="19"/>
  <c r="G204" i="19"/>
  <c r="F204" i="19"/>
  <c r="G203" i="19"/>
  <c r="F203" i="19"/>
  <c r="G202" i="19"/>
  <c r="F202" i="19"/>
  <c r="F201" i="19"/>
  <c r="F200" i="19"/>
  <c r="F199" i="19"/>
  <c r="F198" i="19"/>
  <c r="F197" i="19"/>
  <c r="F196" i="19"/>
  <c r="F195" i="19"/>
  <c r="F194" i="19"/>
  <c r="F193" i="19"/>
  <c r="F192" i="19"/>
  <c r="F191" i="19"/>
  <c r="F190" i="19"/>
  <c r="F189" i="19"/>
  <c r="F188" i="19"/>
  <c r="F187" i="19"/>
  <c r="F186" i="19"/>
  <c r="F185" i="19"/>
  <c r="F184" i="19"/>
  <c r="F183" i="19"/>
  <c r="F182" i="19"/>
  <c r="F181" i="19"/>
  <c r="F180" i="19"/>
  <c r="F179" i="19"/>
  <c r="F178" i="19"/>
  <c r="F177" i="19"/>
  <c r="F176" i="19"/>
  <c r="F175" i="19"/>
  <c r="F174" i="19"/>
  <c r="F173" i="19"/>
  <c r="F172" i="19"/>
  <c r="F171" i="19"/>
  <c r="F170" i="19"/>
  <c r="F169" i="19"/>
  <c r="F168" i="19"/>
  <c r="F167" i="19"/>
  <c r="F166" i="19"/>
  <c r="F165" i="19"/>
  <c r="F164" i="19"/>
  <c r="F163" i="19"/>
  <c r="F162" i="19"/>
  <c r="F161" i="19"/>
  <c r="F160" i="19"/>
  <c r="F159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G138" i="19"/>
  <c r="F138" i="19"/>
  <c r="G137" i="19"/>
  <c r="F137" i="19"/>
  <c r="G136" i="19"/>
  <c r="F136" i="19"/>
  <c r="G135" i="19"/>
  <c r="F135" i="19"/>
  <c r="F134" i="19"/>
  <c r="F133" i="19"/>
  <c r="G132" i="19"/>
  <c r="F132" i="19"/>
  <c r="F131" i="19"/>
  <c r="F129" i="19"/>
  <c r="F128" i="19"/>
  <c r="F127" i="19"/>
  <c r="F126" i="19"/>
  <c r="F125" i="19"/>
  <c r="F124" i="19"/>
  <c r="F123" i="19"/>
  <c r="F122" i="19"/>
  <c r="F121" i="19"/>
  <c r="F120" i="19"/>
  <c r="G116" i="19"/>
  <c r="F116" i="19"/>
  <c r="G115" i="19"/>
  <c r="F115" i="19"/>
  <c r="G114" i="19"/>
  <c r="F114" i="19"/>
  <c r="G113" i="19"/>
  <c r="F113" i="19"/>
  <c r="G112" i="19"/>
  <c r="F112" i="19"/>
  <c r="G111" i="19"/>
  <c r="F111" i="19"/>
  <c r="G110" i="19"/>
  <c r="F110" i="19"/>
  <c r="G109" i="19"/>
  <c r="F109" i="19"/>
  <c r="G108" i="19"/>
  <c r="F108" i="19"/>
  <c r="G107" i="19"/>
  <c r="F107" i="19"/>
  <c r="G106" i="19"/>
  <c r="F106" i="19"/>
  <c r="G105" i="19"/>
  <c r="F105" i="19"/>
  <c r="G104" i="19"/>
  <c r="F104" i="19"/>
  <c r="G103" i="19"/>
  <c r="F103" i="19"/>
  <c r="G102" i="19"/>
  <c r="F102" i="19"/>
  <c r="G101" i="19"/>
  <c r="F101" i="19"/>
  <c r="G100" i="19"/>
  <c r="F100" i="19"/>
  <c r="G99" i="19"/>
  <c r="F99" i="19"/>
  <c r="G98" i="19"/>
  <c r="F98" i="19"/>
  <c r="G97" i="19"/>
  <c r="F97" i="19"/>
  <c r="G96" i="19"/>
  <c r="F96" i="19"/>
  <c r="G95" i="19"/>
  <c r="F95" i="19"/>
  <c r="G94" i="19"/>
  <c r="F94" i="19"/>
  <c r="G93" i="19"/>
  <c r="F93" i="19"/>
  <c r="G92" i="19"/>
  <c r="F92" i="19"/>
  <c r="G91" i="19"/>
  <c r="F91" i="19"/>
  <c r="F90" i="19"/>
  <c r="F89" i="19"/>
  <c r="G88" i="19"/>
  <c r="F88" i="19"/>
  <c r="F87" i="19"/>
  <c r="F86" i="19"/>
  <c r="F85" i="19"/>
  <c r="G84" i="19"/>
  <c r="F84" i="19"/>
  <c r="G83" i="19"/>
  <c r="F83" i="19"/>
  <c r="G82" i="19"/>
  <c r="F82" i="19"/>
  <c r="G81" i="19"/>
  <c r="F81" i="19"/>
  <c r="G80" i="19"/>
  <c r="F80" i="19"/>
  <c r="G79" i="19"/>
  <c r="F79" i="19"/>
  <c r="G78" i="19"/>
  <c r="F78" i="19"/>
  <c r="F77" i="19"/>
  <c r="G76" i="19"/>
  <c r="F76" i="19"/>
  <c r="G75" i="19"/>
  <c r="F75" i="19"/>
  <c r="G74" i="19"/>
  <c r="F74" i="19"/>
  <c r="G73" i="19"/>
  <c r="F73" i="19"/>
  <c r="G72" i="19"/>
  <c r="F72" i="19"/>
  <c r="G71" i="19"/>
  <c r="F71" i="19"/>
  <c r="F70" i="19"/>
  <c r="G69" i="19"/>
  <c r="F69" i="19"/>
  <c r="G68" i="19"/>
  <c r="F68" i="19"/>
  <c r="G67" i="19"/>
  <c r="F67" i="19"/>
  <c r="G66" i="19"/>
  <c r="F66" i="19"/>
  <c r="G65" i="19"/>
  <c r="F65" i="19"/>
  <c r="G64" i="19"/>
  <c r="F64" i="19"/>
  <c r="G63" i="19"/>
  <c r="F63" i="19"/>
  <c r="G62" i="19"/>
  <c r="F62" i="19"/>
  <c r="G61" i="19"/>
  <c r="F61" i="19"/>
  <c r="G60" i="19"/>
  <c r="F60" i="19"/>
  <c r="G59" i="19"/>
  <c r="F59" i="19"/>
  <c r="G58" i="19"/>
  <c r="F58" i="19"/>
  <c r="G57" i="19"/>
  <c r="F57" i="19"/>
  <c r="G56" i="19"/>
  <c r="F56" i="19"/>
  <c r="G55" i="19"/>
  <c r="F55" i="19"/>
  <c r="G54" i="19"/>
  <c r="F54" i="19"/>
  <c r="G53" i="19"/>
  <c r="F53" i="19"/>
  <c r="G52" i="19"/>
  <c r="F52" i="19"/>
  <c r="G51" i="19"/>
  <c r="F51" i="19"/>
  <c r="G50" i="19"/>
  <c r="F50" i="19"/>
  <c r="G49" i="19"/>
  <c r="F49" i="19"/>
  <c r="G48" i="19"/>
  <c r="F48" i="19"/>
  <c r="G47" i="19"/>
  <c r="F47" i="19"/>
  <c r="G46" i="19"/>
  <c r="F46" i="19"/>
  <c r="G45" i="19"/>
  <c r="F45" i="19"/>
  <c r="G44" i="19"/>
  <c r="F44" i="19"/>
  <c r="G43" i="19"/>
  <c r="F43" i="19"/>
  <c r="G42" i="19"/>
  <c r="F42" i="19"/>
  <c r="G41" i="19"/>
  <c r="F41" i="19"/>
  <c r="G40" i="19"/>
  <c r="F40" i="19"/>
  <c r="G39" i="19"/>
  <c r="F39" i="19"/>
  <c r="G38" i="19"/>
  <c r="F38" i="19"/>
  <c r="G37" i="19"/>
  <c r="F37" i="19"/>
  <c r="G36" i="19"/>
  <c r="F36" i="19"/>
  <c r="G35" i="19"/>
  <c r="F35" i="19"/>
  <c r="G34" i="19"/>
  <c r="F34" i="19"/>
  <c r="G33" i="19"/>
  <c r="F33" i="19"/>
  <c r="G32" i="19"/>
  <c r="F32" i="19"/>
  <c r="G31" i="19"/>
  <c r="F31" i="19"/>
  <c r="G30" i="19"/>
  <c r="F30" i="19"/>
  <c r="F25" i="19"/>
  <c r="F24" i="19"/>
  <c r="G23" i="19"/>
  <c r="F23" i="19"/>
  <c r="G22" i="19"/>
  <c r="F22" i="19"/>
  <c r="G21" i="19"/>
  <c r="F21" i="19"/>
  <c r="H20" i="19"/>
  <c r="G20" i="19"/>
  <c r="F20" i="19"/>
  <c r="I2474" i="32" l="1"/>
  <c r="I2474" i="31"/>
  <c r="I2482" i="32"/>
  <c r="I2482" i="31"/>
  <c r="I2490" i="32"/>
  <c r="I2490" i="31"/>
  <c r="I2498" i="32"/>
  <c r="I2498" i="31"/>
  <c r="I2475" i="32"/>
  <c r="I2475" i="31"/>
  <c r="I2483" i="32"/>
  <c r="I2483" i="31"/>
  <c r="I2491" i="32"/>
  <c r="I2491" i="31"/>
  <c r="I384" i="1"/>
  <c r="G384" i="32"/>
  <c r="G384" i="31"/>
  <c r="I2468" i="32"/>
  <c r="I2468" i="31"/>
  <c r="I2476" i="32"/>
  <c r="I2476" i="31"/>
  <c r="I2484" i="32"/>
  <c r="I2484" i="31"/>
  <c r="I2492" i="32"/>
  <c r="I2492" i="31"/>
  <c r="I2469" i="32"/>
  <c r="I2469" i="31"/>
  <c r="I2477" i="32"/>
  <c r="I2477" i="31"/>
  <c r="I2485" i="32"/>
  <c r="I2485" i="31"/>
  <c r="I2493" i="32"/>
  <c r="I2493" i="31"/>
  <c r="G777" i="32"/>
  <c r="G777" i="31"/>
  <c r="I2470" i="32"/>
  <c r="I2470" i="31"/>
  <c r="I2478" i="32"/>
  <c r="I2478" i="31"/>
  <c r="I2486" i="32"/>
  <c r="I2486" i="31"/>
  <c r="I2494" i="32"/>
  <c r="I2494" i="31"/>
  <c r="G486" i="32"/>
  <c r="G486" i="31"/>
  <c r="I2471" i="32"/>
  <c r="I2471" i="31"/>
  <c r="I2479" i="32"/>
  <c r="I2479" i="31"/>
  <c r="I2487" i="32"/>
  <c r="I2487" i="31"/>
  <c r="I2495" i="32"/>
  <c r="I2495" i="31"/>
  <c r="I2472" i="32"/>
  <c r="I2472" i="31"/>
  <c r="I2480" i="32"/>
  <c r="I2480" i="31"/>
  <c r="I2488" i="32"/>
  <c r="I2488" i="31"/>
  <c r="I2496" i="32"/>
  <c r="I2496" i="31"/>
  <c r="I2473" i="32"/>
  <c r="I2473" i="31"/>
  <c r="I2481" i="32"/>
  <c r="I2481" i="31"/>
  <c r="I2489" i="32"/>
  <c r="I2489" i="31"/>
  <c r="I2497" i="32"/>
  <c r="I2497" i="31"/>
  <c r="G438" i="32"/>
  <c r="G438" i="31"/>
  <c r="T488" i="32"/>
  <c r="T487" i="32"/>
  <c r="T389" i="32"/>
  <c r="T455" i="32"/>
  <c r="T822" i="32"/>
  <c r="T490" i="32"/>
  <c r="T489" i="32"/>
  <c r="T823" i="32"/>
  <c r="Y389" i="31"/>
  <c r="Y389" i="32"/>
  <c r="T389" i="31"/>
  <c r="T455" i="31"/>
  <c r="T489" i="31"/>
  <c r="T823" i="31"/>
  <c r="T487" i="31"/>
  <c r="T822" i="31"/>
  <c r="T488" i="31"/>
  <c r="T490" i="31"/>
  <c r="G486" i="19"/>
  <c r="G384" i="19"/>
  <c r="I486" i="1"/>
  <c r="G777" i="19"/>
  <c r="T455" i="19"/>
  <c r="Y455" i="19"/>
  <c r="I777" i="1"/>
  <c r="Y389" i="19"/>
  <c r="T389" i="19"/>
  <c r="T487" i="19"/>
  <c r="T488" i="19"/>
  <c r="T489" i="19"/>
  <c r="T490" i="19"/>
  <c r="G438" i="19"/>
  <c r="I438" i="1"/>
  <c r="I2498" i="19"/>
  <c r="I2482" i="19"/>
  <c r="I2475" i="19"/>
  <c r="I2474" i="19"/>
  <c r="I2490" i="19"/>
  <c r="I2483" i="19"/>
  <c r="I2491" i="19"/>
  <c r="I2468" i="19"/>
  <c r="I2476" i="19"/>
  <c r="I2484" i="19"/>
  <c r="I2492" i="19"/>
  <c r="I2469" i="19"/>
  <c r="I2477" i="19"/>
  <c r="I2485" i="19"/>
  <c r="I2493" i="19"/>
  <c r="I2470" i="19"/>
  <c r="I2478" i="19"/>
  <c r="I2486" i="19"/>
  <c r="I2494" i="19"/>
  <c r="I2471" i="19"/>
  <c r="I2479" i="19"/>
  <c r="I2487" i="19"/>
  <c r="I2495" i="19"/>
  <c r="I2472" i="19"/>
  <c r="I2480" i="19"/>
  <c r="I2488" i="19"/>
  <c r="I2496" i="19"/>
  <c r="I2473" i="19"/>
  <c r="I2481" i="19"/>
  <c r="I2489" i="19"/>
  <c r="I2497" i="19"/>
  <c r="N2546" i="19"/>
  <c r="N2545" i="19"/>
  <c r="N2544" i="19"/>
  <c r="N2543" i="19"/>
  <c r="N2542" i="19"/>
  <c r="N2541" i="19"/>
  <c r="N2540" i="19"/>
  <c r="N2539" i="19"/>
  <c r="N2538" i="19"/>
  <c r="N2537" i="19"/>
  <c r="N2536" i="19"/>
  <c r="N2535" i="19"/>
  <c r="N2534" i="19"/>
  <c r="N2533" i="19"/>
  <c r="N2532" i="19"/>
  <c r="N2531" i="19"/>
  <c r="N2530" i="19"/>
  <c r="N2529" i="19"/>
  <c r="N2528" i="19"/>
  <c r="N2527" i="19"/>
  <c r="N2526" i="19"/>
  <c r="N2525" i="19"/>
  <c r="N2524" i="19"/>
  <c r="N2523" i="19"/>
  <c r="N2522" i="19"/>
  <c r="N2521" i="19"/>
  <c r="N2520" i="19"/>
  <c r="N2519" i="19"/>
  <c r="N2518" i="19"/>
  <c r="N2517" i="19"/>
  <c r="N2516" i="19"/>
  <c r="N2515" i="19"/>
  <c r="N2514" i="19"/>
  <c r="N2513" i="19"/>
  <c r="N2512" i="19"/>
  <c r="N2511" i="19"/>
  <c r="N2510" i="19"/>
  <c r="N2509" i="19"/>
  <c r="N2508" i="19"/>
  <c r="N2507" i="19"/>
  <c r="N2506" i="19"/>
  <c r="N2505" i="19"/>
  <c r="N2504" i="19"/>
  <c r="N2503" i="19"/>
  <c r="N2502" i="19"/>
  <c r="N2501" i="19"/>
  <c r="N2500" i="19"/>
  <c r="N2499" i="19"/>
  <c r="N2498" i="19"/>
  <c r="N2497" i="19"/>
  <c r="N2496" i="19"/>
  <c r="N2495" i="19"/>
  <c r="N2494" i="19"/>
  <c r="N2493" i="19"/>
  <c r="N2492" i="19"/>
  <c r="N2491" i="19"/>
  <c r="N2490" i="19"/>
  <c r="N2489" i="19"/>
  <c r="N2488" i="19"/>
  <c r="N2487" i="19"/>
  <c r="N2486" i="19"/>
  <c r="N2485" i="19"/>
  <c r="N2484" i="19"/>
  <c r="N2483" i="19"/>
  <c r="N2482" i="19"/>
  <c r="N2481" i="19"/>
  <c r="N2480" i="19"/>
  <c r="N2479" i="19"/>
  <c r="N2478" i="19"/>
  <c r="N2477" i="19"/>
  <c r="N2476" i="19"/>
  <c r="N2475" i="19"/>
  <c r="N2474" i="19"/>
  <c r="N2473" i="19"/>
  <c r="N2472" i="19"/>
  <c r="N2471" i="19"/>
  <c r="N2470" i="19"/>
  <c r="N2469" i="19"/>
  <c r="N2468" i="19"/>
  <c r="N2467" i="19"/>
  <c r="N2466" i="19"/>
  <c r="N2465" i="19"/>
  <c r="N2464" i="19"/>
  <c r="N2463" i="19"/>
  <c r="N2462" i="19"/>
  <c r="N2461" i="19"/>
  <c r="N2460" i="19"/>
  <c r="N2459" i="19"/>
  <c r="N2458" i="19"/>
  <c r="N2457" i="19"/>
  <c r="N2456" i="19"/>
  <c r="N2455" i="19"/>
  <c r="N2454" i="19"/>
  <c r="N2453" i="19"/>
  <c r="N2452" i="19"/>
  <c r="N2451" i="19"/>
  <c r="N2450" i="19"/>
  <c r="N2449" i="19"/>
  <c r="N2448" i="19"/>
  <c r="N2447" i="19"/>
  <c r="N2446" i="19"/>
  <c r="N2445" i="19"/>
  <c r="N2444" i="19"/>
  <c r="N2443" i="19"/>
  <c r="N2442" i="19"/>
  <c r="N2441" i="19"/>
  <c r="N2440" i="19"/>
  <c r="N2439" i="19"/>
  <c r="N2438" i="19"/>
  <c r="N2437" i="19"/>
  <c r="N2436" i="19"/>
  <c r="N2435" i="19"/>
  <c r="N2434" i="19"/>
  <c r="N2433" i="19"/>
  <c r="N2432" i="19"/>
  <c r="N2431" i="19"/>
  <c r="N2430" i="19"/>
  <c r="N2429" i="19"/>
  <c r="N2428" i="19"/>
  <c r="N2427" i="19"/>
  <c r="N2426" i="19"/>
  <c r="N2425" i="19"/>
  <c r="N2424" i="19"/>
  <c r="N2423" i="19"/>
  <c r="N2422" i="19"/>
  <c r="N2421" i="19"/>
  <c r="N2420" i="19"/>
  <c r="N2419" i="19"/>
  <c r="N2418" i="19"/>
  <c r="N2417" i="19"/>
  <c r="N2416" i="19"/>
  <c r="N2415" i="19"/>
  <c r="N2414" i="19"/>
  <c r="N2413" i="19"/>
  <c r="N2412" i="19"/>
  <c r="N2411" i="19"/>
  <c r="N2410" i="19"/>
  <c r="N2409" i="19"/>
  <c r="N2408" i="19"/>
  <c r="N2407" i="19"/>
  <c r="N2406" i="19"/>
  <c r="N2405" i="19"/>
  <c r="N2404" i="19"/>
  <c r="N2403" i="19"/>
  <c r="N2402" i="19"/>
  <c r="V2402" i="1" s="1"/>
  <c r="N2401" i="19"/>
  <c r="N2400" i="19"/>
  <c r="N2399" i="19"/>
  <c r="N2398" i="19"/>
  <c r="N2397" i="19"/>
  <c r="N2396" i="19"/>
  <c r="N2395" i="19"/>
  <c r="N2394" i="19"/>
  <c r="V2394" i="1" s="1"/>
  <c r="N2393" i="19"/>
  <c r="N2392" i="19"/>
  <c r="N2391" i="19"/>
  <c r="N2390" i="19"/>
  <c r="N2389" i="19"/>
  <c r="N2388" i="19"/>
  <c r="N2387" i="19"/>
  <c r="N2386" i="19"/>
  <c r="N2385" i="19"/>
  <c r="N2384" i="19"/>
  <c r="N2383" i="19"/>
  <c r="N2382" i="19"/>
  <c r="N2381" i="19"/>
  <c r="N2380" i="19"/>
  <c r="N2379" i="19"/>
  <c r="N2378" i="19"/>
  <c r="N2377" i="19"/>
  <c r="N2376" i="19"/>
  <c r="N2375" i="19"/>
  <c r="N2374" i="19"/>
  <c r="N2373" i="19"/>
  <c r="N2372" i="19"/>
  <c r="N2371" i="19"/>
  <c r="N2370" i="19"/>
  <c r="V2370" i="1" s="1"/>
  <c r="N2369" i="19"/>
  <c r="N2368" i="19"/>
  <c r="N2367" i="19"/>
  <c r="N2366" i="19"/>
  <c r="N2365" i="19"/>
  <c r="N2364" i="19"/>
  <c r="N2363" i="19"/>
  <c r="N2362" i="19"/>
  <c r="V2362" i="1" s="1"/>
  <c r="N2361" i="19"/>
  <c r="N2360" i="19"/>
  <c r="N2359" i="19"/>
  <c r="N2358" i="19"/>
  <c r="N2357" i="19"/>
  <c r="N2356" i="19"/>
  <c r="N2355" i="19"/>
  <c r="N2354" i="19"/>
  <c r="N2353" i="19"/>
  <c r="N2352" i="19"/>
  <c r="N2351" i="19"/>
  <c r="N2350" i="19"/>
  <c r="N2349" i="19"/>
  <c r="N2348" i="19"/>
  <c r="N2347" i="19"/>
  <c r="N2346" i="19"/>
  <c r="N2345" i="19"/>
  <c r="N2344" i="19"/>
  <c r="N2343" i="19"/>
  <c r="N2342" i="19"/>
  <c r="N2341" i="19"/>
  <c r="N2340" i="19"/>
  <c r="N2339" i="19"/>
  <c r="N2338" i="19"/>
  <c r="V2338" i="1" s="1"/>
  <c r="N2337" i="19"/>
  <c r="N2336" i="19"/>
  <c r="N2335" i="19"/>
  <c r="N2334" i="19"/>
  <c r="N2333" i="19"/>
  <c r="N2332" i="19"/>
  <c r="N2331" i="19"/>
  <c r="N2330" i="19"/>
  <c r="V2330" i="1" s="1"/>
  <c r="N2329" i="19"/>
  <c r="N2328" i="19"/>
  <c r="N2327" i="19"/>
  <c r="N2326" i="19"/>
  <c r="N2325" i="19"/>
  <c r="N2324" i="19"/>
  <c r="N2323" i="19"/>
  <c r="N2322" i="19"/>
  <c r="N2321" i="19"/>
  <c r="N2320" i="19"/>
  <c r="N2319" i="19"/>
  <c r="N2318" i="19"/>
  <c r="N2317" i="19"/>
  <c r="N2316" i="19"/>
  <c r="N2315" i="19"/>
  <c r="N2314" i="19"/>
  <c r="V2314" i="1" s="1"/>
  <c r="N2313" i="19"/>
  <c r="N2312" i="19"/>
  <c r="N2311" i="19"/>
  <c r="N2310" i="19"/>
  <c r="N2309" i="19"/>
  <c r="N2308" i="19"/>
  <c r="N2307" i="19"/>
  <c r="N2306" i="19"/>
  <c r="N2305" i="19"/>
  <c r="N2304" i="19"/>
  <c r="N2303" i="19"/>
  <c r="N2302" i="19"/>
  <c r="N2301" i="19"/>
  <c r="N2300" i="19"/>
  <c r="N2299" i="19"/>
  <c r="N2298" i="19"/>
  <c r="V2298" i="1" s="1"/>
  <c r="N2297" i="19"/>
  <c r="N2296" i="19"/>
  <c r="N2295" i="19"/>
  <c r="N2294" i="19"/>
  <c r="N2293" i="19"/>
  <c r="N2292" i="19"/>
  <c r="N2291" i="19"/>
  <c r="N2290" i="19"/>
  <c r="V2290" i="1" s="1"/>
  <c r="N2289" i="19"/>
  <c r="N2288" i="19"/>
  <c r="N2287" i="19"/>
  <c r="N2286" i="19"/>
  <c r="N2285" i="19"/>
  <c r="N2284" i="19"/>
  <c r="N2283" i="19"/>
  <c r="N2282" i="19"/>
  <c r="N2281" i="19"/>
  <c r="N2280" i="19"/>
  <c r="N2279" i="19"/>
  <c r="N2278" i="19"/>
  <c r="N2277" i="19"/>
  <c r="N2276" i="19"/>
  <c r="N2275" i="19"/>
  <c r="N2274" i="19"/>
  <c r="V2274" i="1" s="1"/>
  <c r="N2273" i="19"/>
  <c r="N2272" i="19"/>
  <c r="N2271" i="19"/>
  <c r="N2270" i="19"/>
  <c r="N2269" i="19"/>
  <c r="N2268" i="19"/>
  <c r="N2267" i="19"/>
  <c r="N2266" i="19"/>
  <c r="N2265" i="19"/>
  <c r="N2264" i="19"/>
  <c r="N2263" i="19"/>
  <c r="N2262" i="19"/>
  <c r="N2261" i="19"/>
  <c r="N2260" i="19"/>
  <c r="N2259" i="19"/>
  <c r="N2258" i="19"/>
  <c r="V2258" i="1" s="1"/>
  <c r="N2257" i="19"/>
  <c r="N2256" i="19"/>
  <c r="N2255" i="19"/>
  <c r="N2254" i="19"/>
  <c r="N2253" i="19"/>
  <c r="N2252" i="19"/>
  <c r="N2251" i="19"/>
  <c r="N2250" i="19"/>
  <c r="N2249" i="19"/>
  <c r="N2248" i="19"/>
  <c r="N2247" i="19"/>
  <c r="N2246" i="19"/>
  <c r="N2245" i="19"/>
  <c r="N2244" i="19"/>
  <c r="N2243" i="19"/>
  <c r="N2242" i="19"/>
  <c r="V2242" i="1" s="1"/>
  <c r="N2241" i="19"/>
  <c r="N2240" i="19"/>
  <c r="N2239" i="19"/>
  <c r="N2238" i="19"/>
  <c r="N2237" i="19"/>
  <c r="N2236" i="19"/>
  <c r="N2235" i="19"/>
  <c r="N2234" i="19"/>
  <c r="N2233" i="19"/>
  <c r="N2232" i="19"/>
  <c r="N2231" i="19"/>
  <c r="N2230" i="19"/>
  <c r="N2229" i="19"/>
  <c r="N2228" i="19"/>
  <c r="N2227" i="19"/>
  <c r="N2226" i="19"/>
  <c r="V2226" i="1" s="1"/>
  <c r="N2225" i="19"/>
  <c r="N2224" i="19"/>
  <c r="N2223" i="19"/>
  <c r="N2222" i="19"/>
  <c r="N2221" i="19"/>
  <c r="N2220" i="19"/>
  <c r="N2219" i="19"/>
  <c r="N2218" i="19"/>
  <c r="V2218" i="1" s="1"/>
  <c r="N2217" i="19"/>
  <c r="N2216" i="19"/>
  <c r="N2215" i="19"/>
  <c r="N2214" i="19"/>
  <c r="N2213" i="19"/>
  <c r="N2212" i="19"/>
  <c r="N2211" i="19"/>
  <c r="N2210" i="19"/>
  <c r="V2210" i="1" s="1"/>
  <c r="N2209" i="19"/>
  <c r="N2208" i="19"/>
  <c r="N2207" i="19"/>
  <c r="N2206" i="19"/>
  <c r="N2205" i="19"/>
  <c r="N2204" i="19"/>
  <c r="N2203" i="19"/>
  <c r="N2202" i="19"/>
  <c r="V2202" i="1" s="1"/>
  <c r="N2201" i="19"/>
  <c r="N2200" i="19"/>
  <c r="N2199" i="19"/>
  <c r="N2198" i="19"/>
  <c r="N2197" i="19"/>
  <c r="N2196" i="19"/>
  <c r="N2195" i="19"/>
  <c r="N2194" i="19"/>
  <c r="N2193" i="19"/>
  <c r="N2192" i="19"/>
  <c r="N2191" i="19"/>
  <c r="N2190" i="19"/>
  <c r="N2189" i="19"/>
  <c r="N2188" i="19"/>
  <c r="N2187" i="19"/>
  <c r="N2186" i="19"/>
  <c r="V2186" i="1" s="1"/>
  <c r="N2185" i="19"/>
  <c r="N2184" i="19"/>
  <c r="N2183" i="19"/>
  <c r="N2182" i="19"/>
  <c r="N2181" i="19"/>
  <c r="N2180" i="19"/>
  <c r="N2179" i="19"/>
  <c r="N2178" i="19"/>
  <c r="V2178" i="1" s="1"/>
  <c r="N2177" i="19"/>
  <c r="N2176" i="19"/>
  <c r="N2175" i="19"/>
  <c r="N2174" i="19"/>
  <c r="N2173" i="19"/>
  <c r="N2172" i="19"/>
  <c r="N2171" i="19"/>
  <c r="N2170" i="19"/>
  <c r="N2169" i="19"/>
  <c r="N2168" i="19"/>
  <c r="N2167" i="19"/>
  <c r="N2166" i="19"/>
  <c r="N2165" i="19"/>
  <c r="N2164" i="19"/>
  <c r="N2163" i="19"/>
  <c r="N2162" i="19"/>
  <c r="V2162" i="1" s="1"/>
  <c r="N2161" i="19"/>
  <c r="N2160" i="19"/>
  <c r="N2159" i="19"/>
  <c r="N2158" i="19"/>
  <c r="N2157" i="19"/>
  <c r="N2156" i="19"/>
  <c r="N2155" i="19"/>
  <c r="N2154" i="19"/>
  <c r="N2153" i="19"/>
  <c r="N2152" i="19"/>
  <c r="N2151" i="19"/>
  <c r="N2150" i="19"/>
  <c r="N2149" i="19"/>
  <c r="N2148" i="19"/>
  <c r="N2147" i="19"/>
  <c r="N2146" i="19"/>
  <c r="V2146" i="1" s="1"/>
  <c r="N2145" i="19"/>
  <c r="N2144" i="19"/>
  <c r="N2143" i="19"/>
  <c r="N2142" i="19"/>
  <c r="N2141" i="19"/>
  <c r="N2140" i="19"/>
  <c r="N2139" i="19"/>
  <c r="N2138" i="19"/>
  <c r="V2138" i="1" s="1"/>
  <c r="N2137" i="19"/>
  <c r="N2136" i="19"/>
  <c r="N2135" i="19"/>
  <c r="N2134" i="19"/>
  <c r="N2133" i="19"/>
  <c r="N2132" i="19"/>
  <c r="N2131" i="19"/>
  <c r="N2130" i="19"/>
  <c r="V2130" i="1" s="1"/>
  <c r="N2129" i="19"/>
  <c r="N2128" i="19"/>
  <c r="N2127" i="19"/>
  <c r="N2126" i="19"/>
  <c r="N2125" i="19"/>
  <c r="N2124" i="19"/>
  <c r="N2123" i="19"/>
  <c r="N2122" i="19"/>
  <c r="N2121" i="19"/>
  <c r="N2120" i="19"/>
  <c r="N2119" i="19"/>
  <c r="N2118" i="19"/>
  <c r="N2117" i="19"/>
  <c r="N2116" i="19"/>
  <c r="N2115" i="19"/>
  <c r="N2114" i="19"/>
  <c r="V2114" i="1" s="1"/>
  <c r="N2113" i="19"/>
  <c r="N2112" i="19"/>
  <c r="N2111" i="19"/>
  <c r="N2110" i="19"/>
  <c r="N2109" i="19"/>
  <c r="N2108" i="19"/>
  <c r="N2107" i="19"/>
  <c r="N2106" i="19"/>
  <c r="V2106" i="1" s="1"/>
  <c r="N2105" i="19"/>
  <c r="N2104" i="19"/>
  <c r="N2103" i="19"/>
  <c r="N2102" i="19"/>
  <c r="N2101" i="19"/>
  <c r="N2100" i="19"/>
  <c r="N2099" i="19"/>
  <c r="N2098" i="19"/>
  <c r="V2098" i="1" s="1"/>
  <c r="N2097" i="19"/>
  <c r="N2096" i="19"/>
  <c r="N2095" i="19"/>
  <c r="N2094" i="19"/>
  <c r="N2093" i="19"/>
  <c r="N2092" i="19"/>
  <c r="N2091" i="19"/>
  <c r="N2090" i="19"/>
  <c r="N2089" i="19"/>
  <c r="N2088" i="19"/>
  <c r="N2087" i="19"/>
  <c r="N2086" i="19"/>
  <c r="N2085" i="19"/>
  <c r="N2084" i="19"/>
  <c r="N2083" i="19"/>
  <c r="N2082" i="19"/>
  <c r="N2081" i="19"/>
  <c r="N2080" i="19"/>
  <c r="N2079" i="19"/>
  <c r="N2078" i="19"/>
  <c r="N2077" i="19"/>
  <c r="N2076" i="19"/>
  <c r="N2075" i="19"/>
  <c r="N2074" i="19"/>
  <c r="N2073" i="19"/>
  <c r="N2072" i="19"/>
  <c r="N2071" i="19"/>
  <c r="N2070" i="19"/>
  <c r="N2069" i="19"/>
  <c r="N2068" i="19"/>
  <c r="N2067" i="19"/>
  <c r="N2066" i="19"/>
  <c r="V2066" i="1" s="1"/>
  <c r="N2065" i="19"/>
  <c r="N2064" i="19"/>
  <c r="N2063" i="19"/>
  <c r="N2062" i="19"/>
  <c r="N2061" i="19"/>
  <c r="N2060" i="19"/>
  <c r="N2059" i="19"/>
  <c r="N2058" i="19"/>
  <c r="V2058" i="1" s="1"/>
  <c r="N2057" i="19"/>
  <c r="N2056" i="19"/>
  <c r="N2055" i="19"/>
  <c r="N2054" i="19"/>
  <c r="N2053" i="19"/>
  <c r="N2052" i="19"/>
  <c r="N2051" i="19"/>
  <c r="N2050" i="19"/>
  <c r="N2049" i="19"/>
  <c r="N2048" i="19"/>
  <c r="N2047" i="19"/>
  <c r="N2046" i="19"/>
  <c r="N2045" i="19"/>
  <c r="N2044" i="19"/>
  <c r="N2043" i="19"/>
  <c r="N2042" i="19"/>
  <c r="N2041" i="19"/>
  <c r="N2040" i="19"/>
  <c r="N2039" i="19"/>
  <c r="N2038" i="19"/>
  <c r="N2037" i="19"/>
  <c r="N2036" i="19"/>
  <c r="N2035" i="19"/>
  <c r="N2034" i="19"/>
  <c r="V2034" i="1" s="1"/>
  <c r="N2033" i="19"/>
  <c r="N2032" i="19"/>
  <c r="N2031" i="19"/>
  <c r="N2030" i="19"/>
  <c r="N2029" i="19"/>
  <c r="N2028" i="19"/>
  <c r="N2027" i="19"/>
  <c r="N2026" i="19"/>
  <c r="V2026" i="1" s="1"/>
  <c r="N2025" i="19"/>
  <c r="N2024" i="19"/>
  <c r="N2023" i="19"/>
  <c r="N2022" i="19"/>
  <c r="N2021" i="19"/>
  <c r="N2020" i="19"/>
  <c r="N2019" i="19"/>
  <c r="N2018" i="19"/>
  <c r="N2017" i="19"/>
  <c r="N2016" i="19"/>
  <c r="N2015" i="19"/>
  <c r="N2014" i="19"/>
  <c r="N2013" i="19"/>
  <c r="N2012" i="19"/>
  <c r="N2011" i="19"/>
  <c r="N2010" i="19"/>
  <c r="N2009" i="19"/>
  <c r="N2008" i="19"/>
  <c r="N2007" i="19"/>
  <c r="N2006" i="19"/>
  <c r="N2005" i="19"/>
  <c r="N2004" i="19"/>
  <c r="N2003" i="19"/>
  <c r="N2002" i="19"/>
  <c r="V2002" i="1" s="1"/>
  <c r="N2001" i="19"/>
  <c r="N2000" i="19"/>
  <c r="N1999" i="19"/>
  <c r="N1998" i="19"/>
  <c r="N1997" i="19"/>
  <c r="N1996" i="19"/>
  <c r="N1995" i="19"/>
  <c r="N1994" i="19"/>
  <c r="V1994" i="1" s="1"/>
  <c r="N1993" i="19"/>
  <c r="N1992" i="19"/>
  <c r="N1991" i="19"/>
  <c r="N1990" i="19"/>
  <c r="N1989" i="19"/>
  <c r="N1988" i="19"/>
  <c r="N1987" i="19"/>
  <c r="N1986" i="19"/>
  <c r="N1985" i="19"/>
  <c r="N1984" i="19"/>
  <c r="N1983" i="19"/>
  <c r="N1982" i="19"/>
  <c r="N1981" i="19"/>
  <c r="N1980" i="19"/>
  <c r="N1979" i="19"/>
  <c r="N1978" i="19"/>
  <c r="N1977" i="19"/>
  <c r="N1976" i="19"/>
  <c r="N1975" i="19"/>
  <c r="N1974" i="19"/>
  <c r="N1973" i="19"/>
  <c r="N1972" i="19"/>
  <c r="N1971" i="19"/>
  <c r="N1970" i="19"/>
  <c r="V1970" i="1" s="1"/>
  <c r="N1969" i="19"/>
  <c r="N1968" i="19"/>
  <c r="N1967" i="19"/>
  <c r="N1966" i="19"/>
  <c r="N1965" i="19"/>
  <c r="N1964" i="19"/>
  <c r="N1963" i="19"/>
  <c r="N1962" i="19"/>
  <c r="V1962" i="1" s="1"/>
  <c r="N1961" i="19"/>
  <c r="N1960" i="19"/>
  <c r="N1959" i="19"/>
  <c r="N1958" i="19"/>
  <c r="N1957" i="19"/>
  <c r="N1956" i="19"/>
  <c r="N1955" i="19"/>
  <c r="N1954" i="19"/>
  <c r="N1953" i="19"/>
  <c r="N1952" i="19"/>
  <c r="N1951" i="19"/>
  <c r="N1950" i="19"/>
  <c r="N1949" i="19"/>
  <c r="N1948" i="19"/>
  <c r="N1947" i="19"/>
  <c r="N1946" i="19"/>
  <c r="N1945" i="19"/>
  <c r="N1944" i="19"/>
  <c r="N1943" i="19"/>
  <c r="N1942" i="19"/>
  <c r="N1941" i="19"/>
  <c r="N1940" i="19"/>
  <c r="N1939" i="19"/>
  <c r="N1938" i="19"/>
  <c r="V1938" i="1" s="1"/>
  <c r="N1937" i="19"/>
  <c r="N1936" i="19"/>
  <c r="N1935" i="19"/>
  <c r="N1934" i="19"/>
  <c r="N1933" i="19"/>
  <c r="N1932" i="19"/>
  <c r="N1931" i="19"/>
  <c r="N1930" i="19"/>
  <c r="V1930" i="1" s="1"/>
  <c r="N1929" i="19"/>
  <c r="N1928" i="19"/>
  <c r="N1927" i="19"/>
  <c r="N1926" i="19"/>
  <c r="N1925" i="19"/>
  <c r="N1924" i="19"/>
  <c r="N1923" i="19"/>
  <c r="N1922" i="19"/>
  <c r="N1921" i="19"/>
  <c r="N1920" i="19"/>
  <c r="N1919" i="19"/>
  <c r="N1918" i="19"/>
  <c r="N1917" i="19"/>
  <c r="N1916" i="19"/>
  <c r="N1915" i="19"/>
  <c r="N1914" i="19"/>
  <c r="N1913" i="19"/>
  <c r="N1912" i="19"/>
  <c r="N1911" i="19"/>
  <c r="N1910" i="19"/>
  <c r="N1909" i="19"/>
  <c r="N1908" i="19"/>
  <c r="N1907" i="19"/>
  <c r="N1906" i="19"/>
  <c r="V1906" i="1" s="1"/>
  <c r="N1905" i="19"/>
  <c r="N1904" i="19"/>
  <c r="N1903" i="19"/>
  <c r="N1902" i="19"/>
  <c r="N1901" i="19"/>
  <c r="N1900" i="19"/>
  <c r="N1899" i="19"/>
  <c r="N1898" i="19"/>
  <c r="V1898" i="1" s="1"/>
  <c r="N1897" i="19"/>
  <c r="N1896" i="19"/>
  <c r="N1895" i="19"/>
  <c r="N1894" i="19"/>
  <c r="N1893" i="19"/>
  <c r="N1892" i="19"/>
  <c r="N1891" i="19"/>
  <c r="N1890" i="19"/>
  <c r="N1889" i="19"/>
  <c r="N1888" i="19"/>
  <c r="N1887" i="19"/>
  <c r="N1886" i="19"/>
  <c r="N1885" i="19"/>
  <c r="N1884" i="19"/>
  <c r="N1883" i="19"/>
  <c r="N1882" i="19"/>
  <c r="N1881" i="19"/>
  <c r="N1880" i="19"/>
  <c r="N1879" i="19"/>
  <c r="N1878" i="19"/>
  <c r="N1877" i="19"/>
  <c r="N1876" i="19"/>
  <c r="N1875" i="19"/>
  <c r="N1874" i="19"/>
  <c r="V1874" i="1" s="1"/>
  <c r="N1873" i="19"/>
  <c r="N1872" i="19"/>
  <c r="N1871" i="19"/>
  <c r="N1870" i="19"/>
  <c r="N1869" i="19"/>
  <c r="N1868" i="19"/>
  <c r="N1867" i="19"/>
  <c r="N1866" i="19"/>
  <c r="V1866" i="1" s="1"/>
  <c r="N1865" i="19"/>
  <c r="N1864" i="19"/>
  <c r="N1863" i="19"/>
  <c r="N1862" i="19"/>
  <c r="N1861" i="19"/>
  <c r="N1860" i="19"/>
  <c r="N1859" i="19"/>
  <c r="N1858" i="19"/>
  <c r="N1857" i="19"/>
  <c r="N1856" i="19"/>
  <c r="N1855" i="19"/>
  <c r="N1854" i="19"/>
  <c r="N1853" i="19"/>
  <c r="N1852" i="19"/>
  <c r="N1851" i="19"/>
  <c r="N1850" i="19"/>
  <c r="N1849" i="19"/>
  <c r="N1848" i="19"/>
  <c r="N1847" i="19"/>
  <c r="N1846" i="19"/>
  <c r="N1845" i="19"/>
  <c r="N1844" i="19"/>
  <c r="N1843" i="19"/>
  <c r="N1842" i="19"/>
  <c r="V1842" i="1" s="1"/>
  <c r="N1841" i="19"/>
  <c r="N1840" i="19"/>
  <c r="N1839" i="19"/>
  <c r="N1838" i="19"/>
  <c r="N1837" i="19"/>
  <c r="N1836" i="19"/>
  <c r="N1835" i="19"/>
  <c r="N1834" i="19"/>
  <c r="V1834" i="1" s="1"/>
  <c r="N1833" i="19"/>
  <c r="N1832" i="19"/>
  <c r="N1831" i="19"/>
  <c r="N1830" i="19"/>
  <c r="N1829" i="19"/>
  <c r="N1828" i="19"/>
  <c r="N1827" i="19"/>
  <c r="N1826" i="19"/>
  <c r="N1825" i="19"/>
  <c r="N1824" i="19"/>
  <c r="N1823" i="19"/>
  <c r="N1822" i="19"/>
  <c r="N1821" i="19"/>
  <c r="N1820" i="19"/>
  <c r="N1819" i="19"/>
  <c r="N1818" i="19"/>
  <c r="N1817" i="19"/>
  <c r="N1816" i="19"/>
  <c r="N1815" i="19"/>
  <c r="N1814" i="19"/>
  <c r="N1813" i="19"/>
  <c r="N1812" i="19"/>
  <c r="N1811" i="19"/>
  <c r="N1810" i="19"/>
  <c r="V1810" i="1" s="1"/>
  <c r="N1809" i="19"/>
  <c r="N1808" i="19"/>
  <c r="N1807" i="19"/>
  <c r="N1806" i="19"/>
  <c r="N1805" i="19"/>
  <c r="N1804" i="19"/>
  <c r="N1803" i="19"/>
  <c r="N1802" i="19"/>
  <c r="V1802" i="1" s="1"/>
  <c r="N1801" i="19"/>
  <c r="N1800" i="19"/>
  <c r="N1799" i="19"/>
  <c r="N1798" i="19"/>
  <c r="N1797" i="19"/>
  <c r="N1796" i="19"/>
  <c r="N1795" i="19"/>
  <c r="N1794" i="19"/>
  <c r="N1793" i="19"/>
  <c r="N1792" i="19"/>
  <c r="N1791" i="19"/>
  <c r="N1790" i="19"/>
  <c r="N1789" i="19"/>
  <c r="N1788" i="19"/>
  <c r="N1787" i="19"/>
  <c r="N1786" i="19"/>
  <c r="N1785" i="19"/>
  <c r="N1784" i="19"/>
  <c r="N1783" i="19"/>
  <c r="N1782" i="19"/>
  <c r="N1781" i="19"/>
  <c r="N1780" i="19"/>
  <c r="N1779" i="19"/>
  <c r="N1778" i="19"/>
  <c r="V1778" i="1" s="1"/>
  <c r="N1777" i="19"/>
  <c r="N1776" i="19"/>
  <c r="N1775" i="19"/>
  <c r="N1774" i="19"/>
  <c r="N1773" i="19"/>
  <c r="N1772" i="19"/>
  <c r="N1771" i="19"/>
  <c r="N1770" i="19"/>
  <c r="V1770" i="1" s="1"/>
  <c r="N1769" i="19"/>
  <c r="N1768" i="19"/>
  <c r="N1767" i="19"/>
  <c r="N1766" i="19"/>
  <c r="N1765" i="19"/>
  <c r="N1764" i="19"/>
  <c r="N1763" i="19"/>
  <c r="N1762" i="19"/>
  <c r="V1762" i="1" s="1"/>
  <c r="N1761" i="19"/>
  <c r="N1760" i="19"/>
  <c r="N1759" i="19"/>
  <c r="N1758" i="19"/>
  <c r="N1757" i="19"/>
  <c r="N1756" i="19"/>
  <c r="N1755" i="19"/>
  <c r="N1754" i="19"/>
  <c r="N1753" i="19"/>
  <c r="N1752" i="19"/>
  <c r="N1751" i="19"/>
  <c r="N1750" i="19"/>
  <c r="N1749" i="19"/>
  <c r="N1748" i="19"/>
  <c r="N1747" i="19"/>
  <c r="N1746" i="19"/>
  <c r="V1746" i="1" s="1"/>
  <c r="N1745" i="19"/>
  <c r="N1744" i="19"/>
  <c r="N1743" i="19"/>
  <c r="N1742" i="19"/>
  <c r="N1741" i="19"/>
  <c r="N1740" i="19"/>
  <c r="N1739" i="19"/>
  <c r="N1738" i="19"/>
  <c r="N1737" i="19"/>
  <c r="N1736" i="19"/>
  <c r="N1735" i="19"/>
  <c r="N1734" i="19"/>
  <c r="N1733" i="19"/>
  <c r="N1732" i="19"/>
  <c r="N1731" i="19"/>
  <c r="N1730" i="19"/>
  <c r="V1730" i="1" s="1"/>
  <c r="N1729" i="19"/>
  <c r="N1728" i="19"/>
  <c r="N1727" i="19"/>
  <c r="N1726" i="19"/>
  <c r="N1725" i="19"/>
  <c r="N1724" i="19"/>
  <c r="N1723" i="19"/>
  <c r="N1722" i="19"/>
  <c r="V1722" i="1" s="1"/>
  <c r="N1721" i="19"/>
  <c r="N1720" i="19"/>
  <c r="N1719" i="19"/>
  <c r="N1718" i="19"/>
  <c r="N1717" i="19"/>
  <c r="N1716" i="19"/>
  <c r="N1715" i="19"/>
  <c r="N1714" i="19"/>
  <c r="N1713" i="19"/>
  <c r="N1712" i="19"/>
  <c r="N1711" i="19"/>
  <c r="N1710" i="19"/>
  <c r="N1709" i="19"/>
  <c r="N1708" i="19"/>
  <c r="N1707" i="19"/>
  <c r="N1706" i="19"/>
  <c r="N1705" i="19"/>
  <c r="N1704" i="19"/>
  <c r="N1703" i="19"/>
  <c r="N1702" i="19"/>
  <c r="N1701" i="19"/>
  <c r="N1700" i="19"/>
  <c r="N1699" i="19"/>
  <c r="N1698" i="19"/>
  <c r="N1697" i="19"/>
  <c r="N1696" i="19"/>
  <c r="N1695" i="19"/>
  <c r="N1694" i="19"/>
  <c r="N1693" i="19"/>
  <c r="N1692" i="19"/>
  <c r="N1691" i="19"/>
  <c r="N1690" i="19"/>
  <c r="N1689" i="19"/>
  <c r="N1688" i="19"/>
  <c r="N1687" i="19"/>
  <c r="N1686" i="19"/>
  <c r="N1685" i="19"/>
  <c r="N1684" i="19"/>
  <c r="N1683" i="19"/>
  <c r="N1682" i="19"/>
  <c r="N1681" i="19"/>
  <c r="N1680" i="19"/>
  <c r="N1679" i="19"/>
  <c r="N1678" i="19"/>
  <c r="N1677" i="19"/>
  <c r="N1676" i="19"/>
  <c r="N1675" i="19"/>
  <c r="N1674" i="19"/>
  <c r="V1674" i="1" s="1"/>
  <c r="N1673" i="19"/>
  <c r="N1672" i="19"/>
  <c r="N1671" i="19"/>
  <c r="N1670" i="19"/>
  <c r="N1669" i="19"/>
  <c r="N1668" i="19"/>
  <c r="N1667" i="19"/>
  <c r="N1666" i="19"/>
  <c r="V1666" i="1" s="1"/>
  <c r="N1665" i="19"/>
  <c r="N1664" i="19"/>
  <c r="N1663" i="19"/>
  <c r="N1662" i="19"/>
  <c r="N1661" i="19"/>
  <c r="N1660" i="19"/>
  <c r="N1659" i="19"/>
  <c r="N1658" i="19"/>
  <c r="V1658" i="1" s="1"/>
  <c r="N1657" i="19"/>
  <c r="N1656" i="19"/>
  <c r="N1655" i="19"/>
  <c r="N1654" i="19"/>
  <c r="N1653" i="19"/>
  <c r="N1652" i="19"/>
  <c r="N1651" i="19"/>
  <c r="N1650" i="19"/>
  <c r="N1649" i="19"/>
  <c r="N1648" i="19"/>
  <c r="N1647" i="19"/>
  <c r="N1646" i="19"/>
  <c r="N1645" i="19"/>
  <c r="N1644" i="19"/>
  <c r="N1643" i="19"/>
  <c r="N1642" i="19"/>
  <c r="V1642" i="1" s="1"/>
  <c r="N1641" i="19"/>
  <c r="N1640" i="19"/>
  <c r="N1639" i="19"/>
  <c r="N1638" i="19"/>
  <c r="N1637" i="19"/>
  <c r="N1636" i="19"/>
  <c r="N1635" i="19"/>
  <c r="N1634" i="19"/>
  <c r="V1634" i="1" s="1"/>
  <c r="N1633" i="19"/>
  <c r="N1632" i="19"/>
  <c r="N1631" i="19"/>
  <c r="N1630" i="19"/>
  <c r="N1629" i="19"/>
  <c r="N1628" i="19"/>
  <c r="N1627" i="19"/>
  <c r="N1626" i="19"/>
  <c r="V1626" i="1" s="1"/>
  <c r="N1625" i="19"/>
  <c r="N1624" i="19"/>
  <c r="N1623" i="19"/>
  <c r="N1622" i="19"/>
  <c r="N1621" i="19"/>
  <c r="N1620" i="19"/>
  <c r="N1619" i="19"/>
  <c r="N1618" i="19"/>
  <c r="N1617" i="19"/>
  <c r="N1616" i="19"/>
  <c r="N1615" i="19"/>
  <c r="N1614" i="19"/>
  <c r="N1613" i="19"/>
  <c r="N1612" i="19"/>
  <c r="N1611" i="19"/>
  <c r="N1610" i="19"/>
  <c r="N1609" i="19"/>
  <c r="N1608" i="19"/>
  <c r="N1607" i="19"/>
  <c r="N1606" i="19"/>
  <c r="N1605" i="19"/>
  <c r="N1604" i="19"/>
  <c r="N1603" i="19"/>
  <c r="N1602" i="19"/>
  <c r="N1601" i="19"/>
  <c r="N1600" i="19"/>
  <c r="N1599" i="19"/>
  <c r="N1598" i="19"/>
  <c r="N1597" i="19"/>
  <c r="N1596" i="19"/>
  <c r="N1595" i="19"/>
  <c r="N1594" i="19"/>
  <c r="N1593" i="19"/>
  <c r="N1592" i="19"/>
  <c r="N1591" i="19"/>
  <c r="N1590" i="19"/>
  <c r="N1589" i="19"/>
  <c r="N1588" i="19"/>
  <c r="N1587" i="19"/>
  <c r="N1586" i="19"/>
  <c r="N1585" i="19"/>
  <c r="N1584" i="19"/>
  <c r="N1583" i="19"/>
  <c r="N1582" i="19"/>
  <c r="N1581" i="19"/>
  <c r="N1580" i="19"/>
  <c r="N1579" i="19"/>
  <c r="N1578" i="19"/>
  <c r="N1577" i="19"/>
  <c r="N1576" i="19"/>
  <c r="N1575" i="19"/>
  <c r="N1574" i="19"/>
  <c r="N1573" i="19"/>
  <c r="N1572" i="19"/>
  <c r="N1571" i="19"/>
  <c r="N1570" i="19"/>
  <c r="N1569" i="19"/>
  <c r="N1568" i="19"/>
  <c r="N1567" i="19"/>
  <c r="N1566" i="19"/>
  <c r="N1565" i="19"/>
  <c r="N1564" i="19"/>
  <c r="N1563" i="19"/>
  <c r="N1562" i="19"/>
  <c r="N1561" i="19"/>
  <c r="N1560" i="19"/>
  <c r="N1559" i="19"/>
  <c r="N1558" i="19"/>
  <c r="N1557" i="19"/>
  <c r="N1556" i="19"/>
  <c r="N1555" i="19"/>
  <c r="N1554" i="19"/>
  <c r="N1553" i="19"/>
  <c r="N1552" i="19"/>
  <c r="N1551" i="19"/>
  <c r="N1550" i="19"/>
  <c r="N1549" i="19"/>
  <c r="N1548" i="19"/>
  <c r="N1547" i="19"/>
  <c r="N1546" i="19"/>
  <c r="N1545" i="19"/>
  <c r="N1544" i="19"/>
  <c r="N1543" i="19"/>
  <c r="N1542" i="19"/>
  <c r="N1541" i="19"/>
  <c r="N1540" i="19"/>
  <c r="N1539" i="19"/>
  <c r="N1538" i="19"/>
  <c r="N1537" i="19"/>
  <c r="N1536" i="19"/>
  <c r="N1535" i="19"/>
  <c r="N1534" i="19"/>
  <c r="N1533" i="19"/>
  <c r="N1532" i="19"/>
  <c r="N1531" i="19"/>
  <c r="N1530" i="19"/>
  <c r="N1529" i="19"/>
  <c r="N1528" i="19"/>
  <c r="N1527" i="19"/>
  <c r="N1526" i="19"/>
  <c r="N1525" i="19"/>
  <c r="N1524" i="19"/>
  <c r="N1523" i="19"/>
  <c r="N1522" i="19"/>
  <c r="N1521" i="19"/>
  <c r="N1520" i="19"/>
  <c r="N1519" i="19"/>
  <c r="N1518" i="19"/>
  <c r="N1517" i="19"/>
  <c r="N1516" i="19"/>
  <c r="N1515" i="19"/>
  <c r="N1514" i="19"/>
  <c r="N1513" i="19"/>
  <c r="N1512" i="19"/>
  <c r="N1511" i="19"/>
  <c r="N1510" i="19"/>
  <c r="N1509" i="19"/>
  <c r="N1508" i="19"/>
  <c r="N1507" i="19"/>
  <c r="N1506" i="19"/>
  <c r="N1505" i="19"/>
  <c r="N1504" i="19"/>
  <c r="N1503" i="19"/>
  <c r="N1502" i="19"/>
  <c r="N1501" i="19"/>
  <c r="N1500" i="19"/>
  <c r="N1499" i="19"/>
  <c r="N1498" i="19"/>
  <c r="N1497" i="19"/>
  <c r="N1496" i="19"/>
  <c r="N1495" i="19"/>
  <c r="N1494" i="19"/>
  <c r="N1493" i="19"/>
  <c r="N1492" i="19"/>
  <c r="N1491" i="19"/>
  <c r="N1490" i="19"/>
  <c r="N1489" i="19"/>
  <c r="N1488" i="19"/>
  <c r="N1487" i="19"/>
  <c r="N1486" i="19"/>
  <c r="N1485" i="19"/>
  <c r="N1484" i="19"/>
  <c r="N1483" i="19"/>
  <c r="N1482" i="19"/>
  <c r="N1481" i="19"/>
  <c r="N1480" i="19"/>
  <c r="N1479" i="19"/>
  <c r="N1478" i="19"/>
  <c r="N1477" i="19"/>
  <c r="N1476" i="19"/>
  <c r="N1475" i="19"/>
  <c r="N1474" i="19"/>
  <c r="N1473" i="19"/>
  <c r="N1472" i="19"/>
  <c r="N1471" i="19"/>
  <c r="N1470" i="19"/>
  <c r="N1469" i="19"/>
  <c r="N1468" i="19"/>
  <c r="N1467" i="19"/>
  <c r="N1466" i="19"/>
  <c r="N1465" i="19"/>
  <c r="N1464" i="19"/>
  <c r="N1463" i="19"/>
  <c r="N1462" i="19"/>
  <c r="N1461" i="19"/>
  <c r="N1460" i="19"/>
  <c r="N1459" i="19"/>
  <c r="N1458" i="19"/>
  <c r="N1457" i="19"/>
  <c r="N1456" i="19"/>
  <c r="N1455" i="19"/>
  <c r="N1454" i="19"/>
  <c r="N1453" i="19"/>
  <c r="N1452" i="19"/>
  <c r="N1451" i="19"/>
  <c r="N1450" i="19"/>
  <c r="N1449" i="19"/>
  <c r="N1448" i="19"/>
  <c r="N1447" i="19"/>
  <c r="N1446" i="19"/>
  <c r="N1445" i="19"/>
  <c r="N1444" i="19"/>
  <c r="N1443" i="19"/>
  <c r="N1442" i="19"/>
  <c r="N1441" i="19"/>
  <c r="N1440" i="19"/>
  <c r="N1439" i="19"/>
  <c r="N1438" i="19"/>
  <c r="N1437" i="19"/>
  <c r="N1436" i="19"/>
  <c r="N1435" i="19"/>
  <c r="N1434" i="19"/>
  <c r="N1433" i="19"/>
  <c r="N1432" i="19"/>
  <c r="N1431" i="19"/>
  <c r="N1430" i="19"/>
  <c r="N1429" i="19"/>
  <c r="N1428" i="19"/>
  <c r="N1427" i="19"/>
  <c r="N1426" i="19"/>
  <c r="N1425" i="19"/>
  <c r="N1424" i="19"/>
  <c r="N1423" i="19"/>
  <c r="N1422" i="19"/>
  <c r="N1421" i="19"/>
  <c r="N1420" i="19"/>
  <c r="N1419" i="19"/>
  <c r="N1418" i="19"/>
  <c r="N1417" i="19"/>
  <c r="N1416" i="19"/>
  <c r="N1415" i="19"/>
  <c r="N1414" i="19"/>
  <c r="N1413" i="19"/>
  <c r="N1412" i="19"/>
  <c r="N1411" i="19"/>
  <c r="N1410" i="19"/>
  <c r="N1409" i="19"/>
  <c r="N1408" i="19"/>
  <c r="N1407" i="19"/>
  <c r="N1406" i="19"/>
  <c r="N1405" i="19"/>
  <c r="N1404" i="19"/>
  <c r="N1403" i="19"/>
  <c r="N1402" i="19"/>
  <c r="N1401" i="19"/>
  <c r="N1400" i="19"/>
  <c r="N1399" i="19"/>
  <c r="N1398" i="19"/>
  <c r="N1397" i="19"/>
  <c r="N1396" i="19"/>
  <c r="N1395" i="19"/>
  <c r="N1394" i="19"/>
  <c r="N1393" i="19"/>
  <c r="N1392" i="19"/>
  <c r="N1391" i="19"/>
  <c r="N1390" i="19"/>
  <c r="N1389" i="19"/>
  <c r="N1388" i="19"/>
  <c r="N1387" i="19"/>
  <c r="N1386" i="19"/>
  <c r="N1385" i="19"/>
  <c r="N1384" i="19"/>
  <c r="N1383" i="19"/>
  <c r="N1382" i="19"/>
  <c r="N1381" i="19"/>
  <c r="N1380" i="19"/>
  <c r="N1379" i="19"/>
  <c r="N1378" i="19"/>
  <c r="N1377" i="19"/>
  <c r="N1376" i="19"/>
  <c r="N1375" i="19"/>
  <c r="N1374" i="19"/>
  <c r="N1373" i="19"/>
  <c r="N1372" i="19"/>
  <c r="N1371" i="19"/>
  <c r="N1370" i="19"/>
  <c r="N1369" i="19"/>
  <c r="N1368" i="19"/>
  <c r="N1367" i="19"/>
  <c r="N1366" i="19"/>
  <c r="N1365" i="19"/>
  <c r="N1364" i="19"/>
  <c r="N1363" i="19"/>
  <c r="N1362" i="19"/>
  <c r="N1361" i="19"/>
  <c r="N1360" i="19"/>
  <c r="N1359" i="19"/>
  <c r="N1358" i="19"/>
  <c r="N1357" i="19"/>
  <c r="N1356" i="19"/>
  <c r="N1355" i="19"/>
  <c r="N1354" i="19"/>
  <c r="N1353" i="19"/>
  <c r="N1352" i="19"/>
  <c r="N1351" i="19"/>
  <c r="N1350" i="19"/>
  <c r="N1349" i="19"/>
  <c r="N1348" i="19"/>
  <c r="N1347" i="19"/>
  <c r="N1346" i="19"/>
  <c r="N1345" i="19"/>
  <c r="N1344" i="19"/>
  <c r="N1343" i="19"/>
  <c r="N1342" i="19"/>
  <c r="N1341" i="19"/>
  <c r="N1340" i="19"/>
  <c r="N1339" i="19"/>
  <c r="N1338" i="19"/>
  <c r="N1337" i="19"/>
  <c r="N1336" i="19"/>
  <c r="N1335" i="19"/>
  <c r="N1334" i="19"/>
  <c r="N1333" i="19"/>
  <c r="N1332" i="19"/>
  <c r="N1331" i="19"/>
  <c r="N1330" i="19"/>
  <c r="N1329" i="19"/>
  <c r="N1328" i="19"/>
  <c r="N1327" i="19"/>
  <c r="N1326" i="19"/>
  <c r="N1325" i="19"/>
  <c r="N1324" i="19"/>
  <c r="N1323" i="19"/>
  <c r="N1322" i="19"/>
  <c r="N1321" i="19"/>
  <c r="N1320" i="19"/>
  <c r="N1319" i="19"/>
  <c r="N1318" i="19"/>
  <c r="N1317" i="19"/>
  <c r="N1316" i="19"/>
  <c r="N1315" i="19"/>
  <c r="N1314" i="19"/>
  <c r="N1313" i="19"/>
  <c r="N1312" i="19"/>
  <c r="N1311" i="19"/>
  <c r="N1310" i="19"/>
  <c r="N1309" i="19"/>
  <c r="N1308" i="19"/>
  <c r="N1307" i="19"/>
  <c r="N1306" i="19"/>
  <c r="N1305" i="19"/>
  <c r="N1304" i="19"/>
  <c r="N1303" i="19"/>
  <c r="N1302" i="19"/>
  <c r="N1301" i="19"/>
  <c r="N1300" i="19"/>
  <c r="N1299" i="19"/>
  <c r="N1298" i="19"/>
  <c r="N1297" i="19"/>
  <c r="N1296" i="19"/>
  <c r="N1295" i="19"/>
  <c r="N1294" i="19"/>
  <c r="N1293" i="19"/>
  <c r="N1292" i="19"/>
  <c r="N1291" i="19"/>
  <c r="N1290" i="19"/>
  <c r="N1289" i="19"/>
  <c r="N1288" i="19"/>
  <c r="N1287" i="19"/>
  <c r="N1286" i="19"/>
  <c r="N1285" i="19"/>
  <c r="N1284" i="19"/>
  <c r="N1283" i="19"/>
  <c r="N1282" i="19"/>
  <c r="N1281" i="19"/>
  <c r="N1280" i="19"/>
  <c r="N1279" i="19"/>
  <c r="N1278" i="19"/>
  <c r="N1277" i="19"/>
  <c r="N1276" i="19"/>
  <c r="N1275" i="19"/>
  <c r="N1274" i="19"/>
  <c r="N1273" i="19"/>
  <c r="N1272" i="19"/>
  <c r="N1271" i="19"/>
  <c r="N1270" i="19"/>
  <c r="N1269" i="19"/>
  <c r="N1268" i="19"/>
  <c r="N1267" i="19"/>
  <c r="N1266" i="19"/>
  <c r="N1265" i="19"/>
  <c r="N1264" i="19"/>
  <c r="N1263" i="19"/>
  <c r="N1262" i="19"/>
  <c r="N1261" i="19"/>
  <c r="N1260" i="19"/>
  <c r="N1259" i="19"/>
  <c r="N1258" i="19"/>
  <c r="N1257" i="19"/>
  <c r="N1256" i="19"/>
  <c r="N1255" i="19"/>
  <c r="N1254" i="19"/>
  <c r="N1253" i="19"/>
  <c r="N1252" i="19"/>
  <c r="N1251" i="19"/>
  <c r="N1250" i="19"/>
  <c r="N1249" i="19"/>
  <c r="N1248" i="19"/>
  <c r="N1247" i="19"/>
  <c r="N1246" i="19"/>
  <c r="N1245" i="19"/>
  <c r="N1244" i="19"/>
  <c r="N1243" i="19"/>
  <c r="N1242" i="19"/>
  <c r="N1241" i="19"/>
  <c r="N1240" i="19"/>
  <c r="N1239" i="19"/>
  <c r="N1238" i="19"/>
  <c r="N1237" i="19"/>
  <c r="N1236" i="19"/>
  <c r="N1235" i="19"/>
  <c r="N1234" i="19"/>
  <c r="N1233" i="19"/>
  <c r="N1232" i="19"/>
  <c r="N1231" i="19"/>
  <c r="N1230" i="19"/>
  <c r="N1229" i="19"/>
  <c r="N1228" i="19"/>
  <c r="N1227" i="19"/>
  <c r="N1226" i="19"/>
  <c r="N1225" i="19"/>
  <c r="N1224" i="19"/>
  <c r="N1223" i="19"/>
  <c r="N1222" i="19"/>
  <c r="N1221" i="19"/>
  <c r="N1220" i="19"/>
  <c r="N1219" i="19"/>
  <c r="N1218" i="19"/>
  <c r="N1217" i="19"/>
  <c r="N1216" i="19"/>
  <c r="N1215" i="19"/>
  <c r="N1214" i="19"/>
  <c r="N1213" i="19"/>
  <c r="N1212" i="19"/>
  <c r="N1211" i="19"/>
  <c r="N1210" i="19"/>
  <c r="N1209" i="19"/>
  <c r="N1208" i="19"/>
  <c r="N1207" i="19"/>
  <c r="N1206" i="19"/>
  <c r="N1205" i="19"/>
  <c r="N1204" i="19"/>
  <c r="N1203" i="19"/>
  <c r="N1202" i="19"/>
  <c r="N1201" i="19"/>
  <c r="N1200" i="19"/>
  <c r="N1199" i="19"/>
  <c r="N1198" i="19"/>
  <c r="N1197" i="19"/>
  <c r="N1196" i="19"/>
  <c r="N1195" i="19"/>
  <c r="N1194" i="19"/>
  <c r="N1193" i="19"/>
  <c r="N1192" i="19"/>
  <c r="N1191" i="19"/>
  <c r="N1190" i="19"/>
  <c r="N1189" i="19"/>
  <c r="N1188" i="19"/>
  <c r="N1187" i="19"/>
  <c r="N1186" i="19"/>
  <c r="N1185" i="19"/>
  <c r="N1184" i="19"/>
  <c r="N1183" i="19"/>
  <c r="N1182" i="19"/>
  <c r="N1181" i="19"/>
  <c r="N1180" i="19"/>
  <c r="N1179" i="19"/>
  <c r="N1178" i="19"/>
  <c r="N1177" i="19"/>
  <c r="N1176" i="19"/>
  <c r="N1175" i="19"/>
  <c r="N1174" i="19"/>
  <c r="N1173" i="19"/>
  <c r="N1172" i="19"/>
  <c r="N1171" i="19"/>
  <c r="N1170" i="19"/>
  <c r="N1169" i="19"/>
  <c r="N1168" i="19"/>
  <c r="N1167" i="19"/>
  <c r="N1166" i="19"/>
  <c r="N1165" i="19"/>
  <c r="N1164" i="19"/>
  <c r="N1163" i="19"/>
  <c r="N1162" i="19"/>
  <c r="N1161" i="19"/>
  <c r="N1160" i="19"/>
  <c r="N1159" i="19"/>
  <c r="N1158" i="19"/>
  <c r="N1157" i="19"/>
  <c r="N1156" i="19"/>
  <c r="N1155" i="19"/>
  <c r="N1154" i="19"/>
  <c r="N1153" i="19"/>
  <c r="N1152" i="19"/>
  <c r="N1151" i="19"/>
  <c r="N1150" i="19"/>
  <c r="N1149" i="19"/>
  <c r="N1148" i="19"/>
  <c r="N1147" i="19"/>
  <c r="N1146" i="19"/>
  <c r="N1145" i="19"/>
  <c r="N1144" i="19"/>
  <c r="N1143" i="19"/>
  <c r="N1142" i="19"/>
  <c r="N1141" i="19"/>
  <c r="N1140" i="19"/>
  <c r="N1139" i="19"/>
  <c r="N1138" i="19"/>
  <c r="N1137" i="19"/>
  <c r="V1137" i="1" s="1"/>
  <c r="N1136" i="19"/>
  <c r="N1135" i="19"/>
  <c r="N1134" i="19"/>
  <c r="N1133" i="19"/>
  <c r="N1132" i="19"/>
  <c r="N1131" i="19"/>
  <c r="N1130" i="19"/>
  <c r="N1129" i="19"/>
  <c r="N1128" i="19"/>
  <c r="N1127" i="19"/>
  <c r="N1126" i="19"/>
  <c r="N1125" i="19"/>
  <c r="N1124" i="19"/>
  <c r="N1123" i="19"/>
  <c r="N1122" i="19"/>
  <c r="N1121" i="19"/>
  <c r="V1121" i="1" s="1"/>
  <c r="N1120" i="19"/>
  <c r="N1119" i="19"/>
  <c r="N1118" i="19"/>
  <c r="N1117" i="19"/>
  <c r="N1116" i="19"/>
  <c r="N1115" i="19"/>
  <c r="N1114" i="19"/>
  <c r="N1113" i="19"/>
  <c r="N1112" i="19"/>
  <c r="N1111" i="19"/>
  <c r="N1110" i="19"/>
  <c r="N1109" i="19"/>
  <c r="N1108" i="19"/>
  <c r="N1107" i="19"/>
  <c r="N1106" i="19"/>
  <c r="N1105" i="19"/>
  <c r="V1105" i="1" s="1"/>
  <c r="N1104" i="19"/>
  <c r="N1103" i="19"/>
  <c r="N1102" i="19"/>
  <c r="N1101" i="19"/>
  <c r="N1100" i="19"/>
  <c r="N1099" i="19"/>
  <c r="N1098" i="19"/>
  <c r="N1097" i="19"/>
  <c r="N1096" i="19"/>
  <c r="N1095" i="19"/>
  <c r="N1094" i="19"/>
  <c r="N1093" i="19"/>
  <c r="N1092" i="19"/>
  <c r="N1091" i="19"/>
  <c r="N1090" i="19"/>
  <c r="N1089" i="19"/>
  <c r="V1089" i="1" s="1"/>
  <c r="N1088" i="19"/>
  <c r="N1087" i="19"/>
  <c r="N1086" i="19"/>
  <c r="N1085" i="19"/>
  <c r="N1084" i="19"/>
  <c r="N1083" i="19"/>
  <c r="N1082" i="19"/>
  <c r="N1081" i="19"/>
  <c r="N1080" i="19"/>
  <c r="N1079" i="19"/>
  <c r="N1078" i="19"/>
  <c r="N1077" i="19"/>
  <c r="N1076" i="19"/>
  <c r="N1075" i="19"/>
  <c r="N1074" i="19"/>
  <c r="N1073" i="19"/>
  <c r="V1073" i="1" s="1"/>
  <c r="N1072" i="19"/>
  <c r="N1071" i="19"/>
  <c r="N1070" i="19"/>
  <c r="N1069" i="19"/>
  <c r="N1068" i="19"/>
  <c r="N1067" i="19"/>
  <c r="N1066" i="19"/>
  <c r="N1065" i="19"/>
  <c r="N1064" i="19"/>
  <c r="N1063" i="19"/>
  <c r="N1062" i="19"/>
  <c r="N1061" i="19"/>
  <c r="N1060" i="19"/>
  <c r="N1059" i="19"/>
  <c r="N1058" i="19"/>
  <c r="N1057" i="19"/>
  <c r="V1057" i="1" s="1"/>
  <c r="N1056" i="19"/>
  <c r="N1055" i="19"/>
  <c r="N1054" i="19"/>
  <c r="N1053" i="19"/>
  <c r="N1052" i="19"/>
  <c r="N1051" i="19"/>
  <c r="N1050" i="19"/>
  <c r="N1049" i="19"/>
  <c r="N1048" i="19"/>
  <c r="N1047" i="19"/>
  <c r="N1046" i="19"/>
  <c r="N1045" i="19"/>
  <c r="N1044" i="19"/>
  <c r="N1043" i="19"/>
  <c r="N1042" i="19"/>
  <c r="N1041" i="19"/>
  <c r="V1041" i="1" s="1"/>
  <c r="N1040" i="19"/>
  <c r="N1039" i="19"/>
  <c r="N1038" i="19"/>
  <c r="N1037" i="19"/>
  <c r="N1036" i="19"/>
  <c r="N1035" i="19"/>
  <c r="N1034" i="19"/>
  <c r="N1033" i="19"/>
  <c r="N1032" i="19"/>
  <c r="N1031" i="19"/>
  <c r="N1030" i="19"/>
  <c r="N1029" i="19"/>
  <c r="N1028" i="19"/>
  <c r="N1027" i="19"/>
  <c r="N1026" i="19"/>
  <c r="N1025" i="19"/>
  <c r="V1025" i="1" s="1"/>
  <c r="N1024" i="19"/>
  <c r="N1023" i="19"/>
  <c r="N1022" i="19"/>
  <c r="N1021" i="19"/>
  <c r="N1020" i="19"/>
  <c r="N1019" i="19"/>
  <c r="N1018" i="19"/>
  <c r="N1017" i="19"/>
  <c r="N1016" i="19"/>
  <c r="N1015" i="19"/>
  <c r="N1014" i="19"/>
  <c r="N1013" i="19"/>
  <c r="N1012" i="19"/>
  <c r="N1011" i="19"/>
  <c r="N1010" i="19"/>
  <c r="N1009" i="19"/>
  <c r="V1009" i="1" s="1"/>
  <c r="N1008" i="19"/>
  <c r="N1007" i="19"/>
  <c r="N1006" i="19"/>
  <c r="N1005" i="19"/>
  <c r="N1004" i="19"/>
  <c r="N1003" i="19"/>
  <c r="N1002" i="19"/>
  <c r="N1001" i="19"/>
  <c r="N1000" i="19"/>
  <c r="N999" i="19"/>
  <c r="N998" i="19"/>
  <c r="N997" i="19"/>
  <c r="N996" i="19"/>
  <c r="N995" i="19"/>
  <c r="N994" i="19"/>
  <c r="N993" i="19"/>
  <c r="V993" i="1" s="1"/>
  <c r="N992" i="19"/>
  <c r="N991" i="19"/>
  <c r="N990" i="19"/>
  <c r="N989" i="19"/>
  <c r="N988" i="19"/>
  <c r="N987" i="19"/>
  <c r="N986" i="19"/>
  <c r="N985" i="19"/>
  <c r="N984" i="19"/>
  <c r="N983" i="19"/>
  <c r="N982" i="19"/>
  <c r="N981" i="19"/>
  <c r="N980" i="19"/>
  <c r="N979" i="19"/>
  <c r="N978" i="19"/>
  <c r="N977" i="19"/>
  <c r="V977" i="1" s="1"/>
  <c r="N976" i="19"/>
  <c r="N975" i="19"/>
  <c r="N974" i="19"/>
  <c r="N973" i="19"/>
  <c r="N972" i="19"/>
  <c r="N971" i="19"/>
  <c r="N970" i="19"/>
  <c r="N969" i="19"/>
  <c r="N968" i="19"/>
  <c r="N967" i="19"/>
  <c r="N966" i="19"/>
  <c r="N965" i="19"/>
  <c r="N964" i="19"/>
  <c r="N963" i="19"/>
  <c r="N962" i="19"/>
  <c r="N961" i="19"/>
  <c r="V961" i="1" s="1"/>
  <c r="N960" i="19"/>
  <c r="N959" i="19"/>
  <c r="N958" i="19"/>
  <c r="N957" i="19"/>
  <c r="N956" i="19"/>
  <c r="N955" i="19"/>
  <c r="N954" i="19"/>
  <c r="N953" i="19"/>
  <c r="N952" i="19"/>
  <c r="N951" i="19"/>
  <c r="N950" i="19"/>
  <c r="N949" i="19"/>
  <c r="N948" i="19"/>
  <c r="N947" i="19"/>
  <c r="N946" i="19"/>
  <c r="N945" i="19"/>
  <c r="V945" i="1" s="1"/>
  <c r="N944" i="19"/>
  <c r="N943" i="19"/>
  <c r="N942" i="19"/>
  <c r="N941" i="19"/>
  <c r="N940" i="19"/>
  <c r="N939" i="19"/>
  <c r="N938" i="19"/>
  <c r="N937" i="19"/>
  <c r="N936" i="19"/>
  <c r="N935" i="19"/>
  <c r="N934" i="19"/>
  <c r="N933" i="19"/>
  <c r="N932" i="19"/>
  <c r="N931" i="19"/>
  <c r="N930" i="19"/>
  <c r="N929" i="19"/>
  <c r="V929" i="1" s="1"/>
  <c r="N928" i="19"/>
  <c r="N927" i="19"/>
  <c r="N926" i="19"/>
  <c r="N925" i="19"/>
  <c r="N924" i="19"/>
  <c r="N923" i="19"/>
  <c r="N922" i="19"/>
  <c r="N921" i="19"/>
  <c r="N920" i="19"/>
  <c r="N919" i="19"/>
  <c r="N918" i="19"/>
  <c r="N917" i="19"/>
  <c r="N916" i="19"/>
  <c r="N915" i="19"/>
  <c r="N914" i="19"/>
  <c r="N913" i="19"/>
  <c r="N912" i="19"/>
  <c r="N911" i="19"/>
  <c r="N910" i="19"/>
  <c r="N909" i="19"/>
  <c r="N908" i="19"/>
  <c r="N907" i="19"/>
  <c r="N906" i="19"/>
  <c r="N905" i="19"/>
  <c r="N904" i="19"/>
  <c r="N903" i="19"/>
  <c r="N902" i="19"/>
  <c r="N901" i="19"/>
  <c r="N900" i="19"/>
  <c r="N899" i="19"/>
  <c r="N898" i="19"/>
  <c r="N897" i="19"/>
  <c r="N896" i="19"/>
  <c r="N895" i="19"/>
  <c r="N894" i="19"/>
  <c r="N893" i="19"/>
  <c r="N892" i="19"/>
  <c r="N891" i="19"/>
  <c r="N890" i="19"/>
  <c r="N889" i="19"/>
  <c r="N888" i="19"/>
  <c r="N887" i="19"/>
  <c r="N886" i="19"/>
  <c r="N885" i="19"/>
  <c r="N884" i="19"/>
  <c r="N883" i="19"/>
  <c r="N882" i="19"/>
  <c r="N881" i="19"/>
  <c r="N880" i="19"/>
  <c r="N879" i="19"/>
  <c r="N878" i="19"/>
  <c r="N877" i="19"/>
  <c r="N876" i="19"/>
  <c r="N875" i="19"/>
  <c r="N874" i="19"/>
  <c r="N873" i="19"/>
  <c r="N872" i="19"/>
  <c r="N871" i="19"/>
  <c r="N870" i="19"/>
  <c r="N869" i="19"/>
  <c r="N868" i="19"/>
  <c r="N867" i="19"/>
  <c r="N866" i="19"/>
  <c r="N865" i="19"/>
  <c r="N864" i="19"/>
  <c r="N863" i="19"/>
  <c r="N862" i="19"/>
  <c r="N861" i="19"/>
  <c r="N860" i="19"/>
  <c r="N859" i="19"/>
  <c r="N858" i="19"/>
  <c r="N857" i="19"/>
  <c r="N856" i="19"/>
  <c r="N855" i="19"/>
  <c r="N854" i="19"/>
  <c r="N853" i="19"/>
  <c r="N852" i="19"/>
  <c r="N851" i="19"/>
  <c r="N850" i="19"/>
  <c r="V850" i="1" s="1"/>
  <c r="N849" i="19"/>
  <c r="N848" i="19"/>
  <c r="N847" i="19"/>
  <c r="N846" i="19"/>
  <c r="N845" i="19"/>
  <c r="N844" i="19"/>
  <c r="N843" i="19"/>
  <c r="N842" i="19"/>
  <c r="V842" i="1" s="1"/>
  <c r="N841" i="19"/>
  <c r="N840" i="19"/>
  <c r="N839" i="19"/>
  <c r="N838" i="19"/>
  <c r="N837" i="19"/>
  <c r="N836" i="19"/>
  <c r="N835" i="19"/>
  <c r="N834" i="19"/>
  <c r="V834" i="1" s="1"/>
  <c r="N833" i="19"/>
  <c r="N832" i="19"/>
  <c r="N831" i="19"/>
  <c r="N830" i="19"/>
  <c r="N829" i="19"/>
  <c r="N828" i="19"/>
  <c r="N827" i="19"/>
  <c r="N826" i="19"/>
  <c r="V826" i="1" s="1"/>
  <c r="N825" i="19"/>
  <c r="N824" i="19"/>
  <c r="N823" i="19"/>
  <c r="N822" i="19"/>
  <c r="N821" i="19"/>
  <c r="N820" i="19"/>
  <c r="N819" i="19"/>
  <c r="N818" i="19"/>
  <c r="V818" i="1" s="1"/>
  <c r="N817" i="19"/>
  <c r="N816" i="19"/>
  <c r="N815" i="19"/>
  <c r="N814" i="19"/>
  <c r="N813" i="19"/>
  <c r="N812" i="19"/>
  <c r="N811" i="19"/>
  <c r="N810" i="19"/>
  <c r="V810" i="1" s="1"/>
  <c r="N809" i="19"/>
  <c r="N808" i="19"/>
  <c r="N807" i="19"/>
  <c r="N806" i="19"/>
  <c r="N805" i="19"/>
  <c r="N804" i="19"/>
  <c r="N803" i="19"/>
  <c r="N802" i="19"/>
  <c r="V802" i="1" s="1"/>
  <c r="N801" i="19"/>
  <c r="N800" i="19"/>
  <c r="N799" i="19"/>
  <c r="N798" i="19"/>
  <c r="N797" i="19"/>
  <c r="N796" i="19"/>
  <c r="N795" i="19"/>
  <c r="N794" i="19"/>
  <c r="N793" i="19"/>
  <c r="N792" i="19"/>
  <c r="N791" i="19"/>
  <c r="N790" i="19"/>
  <c r="N789" i="19"/>
  <c r="N775" i="19"/>
  <c r="N774" i="19"/>
  <c r="N773" i="19"/>
  <c r="V773" i="1" s="1"/>
  <c r="N772" i="19"/>
  <c r="N771" i="19"/>
  <c r="N769" i="19"/>
  <c r="N768" i="19"/>
  <c r="N767" i="19"/>
  <c r="N766" i="19"/>
  <c r="N765" i="19"/>
  <c r="N763" i="19"/>
  <c r="V763" i="1" s="1"/>
  <c r="N762" i="19"/>
  <c r="N761" i="19"/>
  <c r="N760" i="19"/>
  <c r="N759" i="19"/>
  <c r="N757" i="19"/>
  <c r="N756" i="19"/>
  <c r="N755" i="19"/>
  <c r="N754" i="19"/>
  <c r="V754" i="1" s="1"/>
  <c r="N753" i="19"/>
  <c r="N751" i="19"/>
  <c r="N750" i="19"/>
  <c r="N749" i="19"/>
  <c r="N748" i="19"/>
  <c r="N747" i="19"/>
  <c r="N745" i="19"/>
  <c r="N744" i="19"/>
  <c r="V744" i="1" s="1"/>
  <c r="N743" i="19"/>
  <c r="N742" i="19"/>
  <c r="N741" i="19"/>
  <c r="N739" i="19"/>
  <c r="N738" i="19"/>
  <c r="N737" i="19"/>
  <c r="N736" i="19"/>
  <c r="N735" i="19"/>
  <c r="V735" i="1" s="1"/>
  <c r="N733" i="19"/>
  <c r="N732" i="19"/>
  <c r="N731" i="19"/>
  <c r="N730" i="19"/>
  <c r="N729" i="19"/>
  <c r="N727" i="19"/>
  <c r="N726" i="19"/>
  <c r="N725" i="19"/>
  <c r="N724" i="19"/>
  <c r="N723" i="19"/>
  <c r="N721" i="19"/>
  <c r="N720" i="19"/>
  <c r="N719" i="19"/>
  <c r="N718" i="19"/>
  <c r="N717" i="19"/>
  <c r="N715" i="19"/>
  <c r="V715" i="1" s="1"/>
  <c r="N714" i="19"/>
  <c r="N713" i="19"/>
  <c r="N712" i="19"/>
  <c r="N711" i="19"/>
  <c r="N709" i="19"/>
  <c r="N708" i="19"/>
  <c r="N707" i="19"/>
  <c r="N706" i="19"/>
  <c r="V706" i="1" s="1"/>
  <c r="N705" i="19"/>
  <c r="N703" i="19"/>
  <c r="N702" i="19"/>
  <c r="N700" i="19"/>
  <c r="N698" i="19"/>
  <c r="N696" i="19"/>
  <c r="N694" i="19"/>
  <c r="N693" i="19"/>
  <c r="V693" i="1" s="1"/>
  <c r="N692" i="19"/>
  <c r="N691" i="19"/>
  <c r="N690" i="19"/>
  <c r="N689" i="19"/>
  <c r="N688" i="19"/>
  <c r="N687" i="19"/>
  <c r="N686" i="19"/>
  <c r="N685" i="19"/>
  <c r="V685" i="1" s="1"/>
  <c r="N684" i="19"/>
  <c r="N683" i="19"/>
  <c r="N682" i="19"/>
  <c r="N681" i="19"/>
  <c r="N680" i="19"/>
  <c r="N679" i="19"/>
  <c r="N678" i="19"/>
  <c r="N677" i="19"/>
  <c r="N676" i="19"/>
  <c r="N675" i="19"/>
  <c r="N674" i="19"/>
  <c r="N673" i="19"/>
  <c r="N672" i="19"/>
  <c r="N671" i="19"/>
  <c r="N670" i="19"/>
  <c r="N669" i="19"/>
  <c r="V669" i="1" s="1"/>
  <c r="N668" i="19"/>
  <c r="N667" i="19"/>
  <c r="N666" i="19"/>
  <c r="N665" i="19"/>
  <c r="N664" i="19"/>
  <c r="N663" i="19"/>
  <c r="N662" i="19"/>
  <c r="N661" i="19"/>
  <c r="N660" i="19"/>
  <c r="N659" i="19"/>
  <c r="N658" i="19"/>
  <c r="N657" i="19"/>
  <c r="N656" i="19"/>
  <c r="N655" i="19"/>
  <c r="N654" i="19"/>
  <c r="N653" i="19"/>
  <c r="N652" i="19"/>
  <c r="N651" i="19"/>
  <c r="N650" i="19"/>
  <c r="N649" i="19"/>
  <c r="N648" i="19"/>
  <c r="N647" i="19"/>
  <c r="N646" i="19"/>
  <c r="N645" i="19"/>
  <c r="N644" i="19"/>
  <c r="N643" i="19"/>
  <c r="N642" i="19"/>
  <c r="N641" i="19"/>
  <c r="N640" i="19"/>
  <c r="N639" i="19"/>
  <c r="N638" i="19"/>
  <c r="N637" i="19"/>
  <c r="N636" i="19"/>
  <c r="N635" i="19"/>
  <c r="N634" i="19"/>
  <c r="N633" i="19"/>
  <c r="N632" i="19"/>
  <c r="N631" i="19"/>
  <c r="N630" i="19"/>
  <c r="N629" i="19"/>
  <c r="N628" i="19"/>
  <c r="N627" i="19"/>
  <c r="N626" i="19"/>
  <c r="N625" i="19"/>
  <c r="N624" i="19"/>
  <c r="N623" i="19"/>
  <c r="N622" i="19"/>
  <c r="N621" i="19"/>
  <c r="N620" i="19"/>
  <c r="N619" i="19"/>
  <c r="N618" i="19"/>
  <c r="N617" i="19"/>
  <c r="N616" i="19"/>
  <c r="N615" i="19"/>
  <c r="N614" i="19"/>
  <c r="N613" i="19"/>
  <c r="N612" i="19"/>
  <c r="V612" i="1" s="1"/>
  <c r="N611" i="19"/>
  <c r="N610" i="19"/>
  <c r="N609" i="19"/>
  <c r="N608" i="19"/>
  <c r="N607" i="19"/>
  <c r="N606" i="19"/>
  <c r="N605" i="19"/>
  <c r="V605" i="1" s="1"/>
  <c r="N604" i="19"/>
  <c r="N603" i="19"/>
  <c r="N602" i="19"/>
  <c r="N601" i="19"/>
  <c r="N600" i="19"/>
  <c r="N599" i="19"/>
  <c r="N598" i="19"/>
  <c r="N597" i="19"/>
  <c r="N596" i="19"/>
  <c r="N595" i="19"/>
  <c r="N594" i="19"/>
  <c r="N593" i="19"/>
  <c r="N592" i="19"/>
  <c r="N591" i="19"/>
  <c r="N590" i="19"/>
  <c r="N589" i="19"/>
  <c r="V589" i="1" s="1"/>
  <c r="N588" i="19"/>
  <c r="N587" i="19"/>
  <c r="N586" i="19"/>
  <c r="N585" i="19"/>
  <c r="N584" i="19"/>
  <c r="N583" i="19"/>
  <c r="N582" i="19"/>
  <c r="N581" i="19"/>
  <c r="V581" i="1" s="1"/>
  <c r="N580" i="19"/>
  <c r="N579" i="19"/>
  <c r="N578" i="19"/>
  <c r="N577" i="19"/>
  <c r="N576" i="19"/>
  <c r="N575" i="19"/>
  <c r="N574" i="19"/>
  <c r="N573" i="19"/>
  <c r="V573" i="1" s="1"/>
  <c r="N572" i="19"/>
  <c r="N571" i="19"/>
  <c r="N570" i="19"/>
  <c r="N569" i="19"/>
  <c r="N568" i="19"/>
  <c r="N567" i="19"/>
  <c r="N566" i="19"/>
  <c r="N565" i="19"/>
  <c r="V565" i="1" s="1"/>
  <c r="N564" i="19"/>
  <c r="N563" i="19"/>
  <c r="N562" i="19"/>
  <c r="N561" i="19"/>
  <c r="N560" i="19"/>
  <c r="N559" i="19"/>
  <c r="N558" i="19"/>
  <c r="N557" i="19"/>
  <c r="V557" i="1" s="1"/>
  <c r="N556" i="19"/>
  <c r="N555" i="19"/>
  <c r="N554" i="19"/>
  <c r="N553" i="19"/>
  <c r="N552" i="19"/>
  <c r="N551" i="19"/>
  <c r="N550" i="19"/>
  <c r="N549" i="19"/>
  <c r="V549" i="1" s="1"/>
  <c r="N548" i="19"/>
  <c r="N547" i="19"/>
  <c r="N546" i="19"/>
  <c r="N545" i="19"/>
  <c r="N544" i="19"/>
  <c r="N543" i="19"/>
  <c r="N542" i="19"/>
  <c r="N541" i="19"/>
  <c r="V541" i="1" s="1"/>
  <c r="N540" i="19"/>
  <c r="N539" i="19"/>
  <c r="N538" i="19"/>
  <c r="N537" i="19"/>
  <c r="N536" i="19"/>
  <c r="N535" i="19"/>
  <c r="N534" i="19"/>
  <c r="N533" i="19"/>
  <c r="V533" i="1" s="1"/>
  <c r="N532" i="19"/>
  <c r="N531" i="19"/>
  <c r="N530" i="19"/>
  <c r="N529" i="19"/>
  <c r="N528" i="19"/>
  <c r="N527" i="19"/>
  <c r="N526" i="19"/>
  <c r="N525" i="19"/>
  <c r="V525" i="1" s="1"/>
  <c r="N524" i="19"/>
  <c r="N523" i="19"/>
  <c r="N522" i="19"/>
  <c r="N521" i="19"/>
  <c r="N520" i="19"/>
  <c r="N519" i="19"/>
  <c r="N518" i="19"/>
  <c r="N517" i="19"/>
  <c r="V517" i="1" s="1"/>
  <c r="N516" i="19"/>
  <c r="N515" i="19"/>
  <c r="N514" i="19"/>
  <c r="N513" i="19"/>
  <c r="N512" i="19"/>
  <c r="N511" i="19"/>
  <c r="N510" i="19"/>
  <c r="N509" i="19"/>
  <c r="V509" i="1" s="1"/>
  <c r="N508" i="19"/>
  <c r="N507" i="19"/>
  <c r="N506" i="19"/>
  <c r="N505" i="19"/>
  <c r="N504" i="19"/>
  <c r="N502" i="19"/>
  <c r="N501" i="19"/>
  <c r="N500" i="19"/>
  <c r="N499" i="19"/>
  <c r="N498" i="19"/>
  <c r="N496" i="19"/>
  <c r="N495" i="19"/>
  <c r="N494" i="19"/>
  <c r="N493" i="19"/>
  <c r="N492" i="19"/>
  <c r="N484" i="19"/>
  <c r="V484" i="1" s="1"/>
  <c r="N483" i="19"/>
  <c r="N482" i="19"/>
  <c r="N481" i="19"/>
  <c r="N480" i="19"/>
  <c r="N478" i="19"/>
  <c r="N477" i="19"/>
  <c r="N476" i="19"/>
  <c r="N475" i="19"/>
  <c r="V475" i="1" s="1"/>
  <c r="N474" i="19"/>
  <c r="N472" i="19"/>
  <c r="N471" i="19"/>
  <c r="N470" i="19"/>
  <c r="N469" i="19"/>
  <c r="N468" i="19"/>
  <c r="N436" i="19"/>
  <c r="N435" i="19"/>
  <c r="N434" i="19"/>
  <c r="N433" i="19"/>
  <c r="N432" i="19"/>
  <c r="N430" i="19"/>
  <c r="N429" i="19"/>
  <c r="N428" i="19"/>
  <c r="N427" i="19"/>
  <c r="N426" i="19"/>
  <c r="V426" i="1" s="1"/>
  <c r="N424" i="19"/>
  <c r="V424" i="1" s="1"/>
  <c r="N423" i="19"/>
  <c r="N422" i="19"/>
  <c r="N421" i="19"/>
  <c r="N420" i="19"/>
  <c r="N406" i="19"/>
  <c r="N405" i="19"/>
  <c r="N404" i="19"/>
  <c r="V404" i="1" s="1"/>
  <c r="N403" i="19"/>
  <c r="N402" i="19"/>
  <c r="N400" i="19"/>
  <c r="N399" i="19"/>
  <c r="N398" i="19"/>
  <c r="N397" i="19"/>
  <c r="N396" i="19"/>
  <c r="N382" i="19"/>
  <c r="N381" i="19"/>
  <c r="N380" i="19"/>
  <c r="N379" i="19"/>
  <c r="N378" i="19"/>
  <c r="N376" i="19"/>
  <c r="N375" i="19"/>
  <c r="N374" i="19"/>
  <c r="N373" i="19"/>
  <c r="V373" i="1" s="1"/>
  <c r="N372" i="19"/>
  <c r="N370" i="19"/>
  <c r="N369" i="19"/>
  <c r="N368" i="19"/>
  <c r="N367" i="19"/>
  <c r="N366" i="19"/>
  <c r="N364" i="19"/>
  <c r="N363" i="19"/>
  <c r="V363" i="1" s="1"/>
  <c r="N362" i="19"/>
  <c r="N361" i="19"/>
  <c r="N360" i="19"/>
  <c r="N358" i="19"/>
  <c r="N357" i="19"/>
  <c r="N356" i="19"/>
  <c r="N355" i="19"/>
  <c r="N354" i="19"/>
  <c r="V354" i="1" s="1"/>
  <c r="N352" i="19"/>
  <c r="N351" i="19"/>
  <c r="N350" i="19"/>
  <c r="N349" i="19"/>
  <c r="N348" i="19"/>
  <c r="N346" i="19"/>
  <c r="N345" i="19"/>
  <c r="N344" i="19"/>
  <c r="N343" i="19"/>
  <c r="N342" i="19"/>
  <c r="N340" i="19"/>
  <c r="N339" i="19"/>
  <c r="N338" i="19"/>
  <c r="N337" i="19"/>
  <c r="N336" i="19"/>
  <c r="N334" i="19"/>
  <c r="V334" i="1" s="1"/>
  <c r="N333" i="19"/>
  <c r="N332" i="19"/>
  <c r="N331" i="19"/>
  <c r="N330" i="19"/>
  <c r="N328" i="19"/>
  <c r="N327" i="19"/>
  <c r="N326" i="19"/>
  <c r="N325" i="19"/>
  <c r="V325" i="1" s="1"/>
  <c r="N324" i="19"/>
  <c r="N322" i="19"/>
  <c r="N321" i="19"/>
  <c r="N320" i="19"/>
  <c r="N319" i="19"/>
  <c r="N318" i="19"/>
  <c r="N316" i="19"/>
  <c r="N315" i="19"/>
  <c r="V315" i="1" s="1"/>
  <c r="N314" i="19"/>
  <c r="N313" i="19"/>
  <c r="N312" i="19"/>
  <c r="N310" i="19"/>
  <c r="N309" i="19"/>
  <c r="N308" i="19"/>
  <c r="N307" i="19"/>
  <c r="N306" i="19"/>
  <c r="V306" i="1" s="1"/>
  <c r="N304" i="19"/>
  <c r="N303" i="19"/>
  <c r="N301" i="19"/>
  <c r="N300" i="19"/>
  <c r="N298" i="19"/>
  <c r="N297" i="19"/>
  <c r="N295" i="19"/>
  <c r="N294" i="19"/>
  <c r="V294" i="1" s="1"/>
  <c r="N292" i="19"/>
  <c r="N291" i="19"/>
  <c r="N289" i="19"/>
  <c r="N288" i="19"/>
  <c r="N286" i="19"/>
  <c r="N285" i="19"/>
  <c r="N283" i="19"/>
  <c r="N282" i="19"/>
  <c r="V282" i="1" s="1"/>
  <c r="N280" i="19"/>
  <c r="N279" i="19"/>
  <c r="N277" i="19"/>
  <c r="N276" i="19"/>
  <c r="N274" i="19"/>
  <c r="N273" i="19"/>
  <c r="N272" i="19"/>
  <c r="N271" i="19"/>
  <c r="V271" i="1" s="1"/>
  <c r="N269" i="19"/>
  <c r="N268" i="19"/>
  <c r="N267" i="19"/>
  <c r="N266" i="19"/>
  <c r="N264" i="19"/>
  <c r="N263" i="19"/>
  <c r="N262" i="19"/>
  <c r="N261" i="19"/>
  <c r="V261" i="1" s="1"/>
  <c r="N259" i="19"/>
  <c r="N258" i="19"/>
  <c r="N257" i="19"/>
  <c r="N256" i="19"/>
  <c r="N255" i="19"/>
  <c r="N254" i="19"/>
  <c r="N253" i="19"/>
  <c r="N252" i="19"/>
  <c r="V252" i="1" s="1"/>
  <c r="N251" i="19"/>
  <c r="N250" i="19"/>
  <c r="N249" i="19"/>
  <c r="N248" i="19"/>
  <c r="N247" i="19"/>
  <c r="N246" i="19"/>
  <c r="N245" i="19"/>
  <c r="N244" i="19"/>
  <c r="V244" i="1" s="1"/>
  <c r="N243" i="19"/>
  <c r="N242" i="19"/>
  <c r="N241" i="19"/>
  <c r="N240" i="19"/>
  <c r="N239" i="19"/>
  <c r="N238" i="19"/>
  <c r="N236" i="19"/>
  <c r="N234" i="19"/>
  <c r="N232" i="19"/>
  <c r="N230" i="19"/>
  <c r="N229" i="19"/>
  <c r="N228" i="19"/>
  <c r="N227" i="19"/>
  <c r="N226" i="19"/>
  <c r="N225" i="19"/>
  <c r="N224" i="19"/>
  <c r="V224" i="1" s="1"/>
  <c r="N223" i="19"/>
  <c r="N222" i="19"/>
  <c r="N221" i="19"/>
  <c r="N220" i="19"/>
  <c r="N219" i="19"/>
  <c r="N218" i="19"/>
  <c r="N217" i="19"/>
  <c r="N216" i="19"/>
  <c r="V216" i="1" s="1"/>
  <c r="N215" i="19"/>
  <c r="N214" i="19"/>
  <c r="N213" i="19"/>
  <c r="N212" i="19"/>
  <c r="N211" i="19"/>
  <c r="N210" i="19"/>
  <c r="N209" i="19"/>
  <c r="N208" i="19"/>
  <c r="V208" i="1" s="1"/>
  <c r="N207" i="19"/>
  <c r="N206" i="19"/>
  <c r="N205" i="19"/>
  <c r="N204" i="19"/>
  <c r="N203" i="19"/>
  <c r="N202" i="19"/>
  <c r="N201" i="19"/>
  <c r="N200" i="19"/>
  <c r="V200" i="1" s="1"/>
  <c r="N199" i="19"/>
  <c r="N198" i="19"/>
  <c r="N197" i="19"/>
  <c r="N196" i="19"/>
  <c r="N195" i="19"/>
  <c r="N194" i="19"/>
  <c r="N193" i="19"/>
  <c r="N192" i="19"/>
  <c r="V192" i="1" s="1"/>
  <c r="N191" i="19"/>
  <c r="N190" i="19"/>
  <c r="N189" i="19"/>
  <c r="N188" i="19"/>
  <c r="N187" i="19"/>
  <c r="N186" i="19"/>
  <c r="N185" i="19"/>
  <c r="N184" i="19"/>
  <c r="N183" i="19"/>
  <c r="N182" i="19"/>
  <c r="N181" i="19"/>
  <c r="N180" i="19"/>
  <c r="N179" i="19"/>
  <c r="N178" i="19"/>
  <c r="N177" i="19"/>
  <c r="V177" i="1" s="1"/>
  <c r="N176" i="19"/>
  <c r="V176" i="1" s="1"/>
  <c r="N175" i="19"/>
  <c r="N174" i="19"/>
  <c r="N173" i="19"/>
  <c r="N172" i="19"/>
  <c r="N171" i="19"/>
  <c r="N170" i="19"/>
  <c r="N169" i="19"/>
  <c r="N168" i="19"/>
  <c r="N167" i="19"/>
  <c r="N166" i="19"/>
  <c r="N165" i="19"/>
  <c r="N164" i="19"/>
  <c r="N163" i="19"/>
  <c r="N162" i="19"/>
  <c r="N161" i="19"/>
  <c r="N160" i="19"/>
  <c r="V160" i="1" s="1"/>
  <c r="N159" i="19"/>
  <c r="N158" i="19"/>
  <c r="N157" i="19"/>
  <c r="N156" i="19"/>
  <c r="N155" i="19"/>
  <c r="N154" i="19"/>
  <c r="N153" i="19"/>
  <c r="N152" i="19"/>
  <c r="N151" i="19"/>
  <c r="N150" i="19"/>
  <c r="N149" i="19"/>
  <c r="N148" i="19"/>
  <c r="N147" i="19"/>
  <c r="N146" i="19"/>
  <c r="N145" i="19"/>
  <c r="N144" i="19"/>
  <c r="N143" i="19"/>
  <c r="N142" i="19"/>
  <c r="N141" i="19"/>
  <c r="N140" i="19"/>
  <c r="N139" i="19"/>
  <c r="N138" i="19"/>
  <c r="N137" i="19"/>
  <c r="N136" i="19"/>
  <c r="N135" i="19"/>
  <c r="N134" i="19"/>
  <c r="N133" i="19"/>
  <c r="N132" i="19"/>
  <c r="N131" i="19"/>
  <c r="N130" i="19"/>
  <c r="N129" i="19"/>
  <c r="N128" i="19"/>
  <c r="V128" i="1" s="1"/>
  <c r="N127" i="19"/>
  <c r="V127" i="1" s="1"/>
  <c r="N126" i="19"/>
  <c r="N125" i="19"/>
  <c r="N124" i="19"/>
  <c r="N123" i="19"/>
  <c r="N122" i="19"/>
  <c r="N121" i="19"/>
  <c r="N120" i="19"/>
  <c r="V120" i="1" s="1"/>
  <c r="N119" i="19"/>
  <c r="N118" i="19"/>
  <c r="N117" i="19"/>
  <c r="N116" i="19"/>
  <c r="N115" i="19"/>
  <c r="N114" i="19"/>
  <c r="N113" i="19"/>
  <c r="N112" i="19"/>
  <c r="V112" i="1" s="1"/>
  <c r="N111" i="19"/>
  <c r="V111" i="1" s="1"/>
  <c r="N110" i="19"/>
  <c r="N109" i="19"/>
  <c r="N108" i="19"/>
  <c r="N107" i="19"/>
  <c r="N106" i="19"/>
  <c r="N105" i="19"/>
  <c r="N104" i="19"/>
  <c r="V104" i="1" s="1"/>
  <c r="N103" i="19"/>
  <c r="N102" i="19"/>
  <c r="N101" i="19"/>
  <c r="N100" i="19"/>
  <c r="N99" i="19"/>
  <c r="N98" i="19"/>
  <c r="N97" i="19"/>
  <c r="N96" i="19"/>
  <c r="V96" i="1" s="1"/>
  <c r="N95" i="19"/>
  <c r="V95" i="1" s="1"/>
  <c r="N94" i="19"/>
  <c r="N93" i="19"/>
  <c r="N92" i="19"/>
  <c r="N91" i="19"/>
  <c r="N90" i="19"/>
  <c r="N89" i="19"/>
  <c r="N88" i="19"/>
  <c r="N87" i="19"/>
  <c r="V87" i="1" s="1"/>
  <c r="N86" i="19"/>
  <c r="N85" i="19"/>
  <c r="N84" i="19"/>
  <c r="N83" i="19"/>
  <c r="N82" i="19"/>
  <c r="N81" i="19"/>
  <c r="N80" i="19"/>
  <c r="V80" i="1" s="1"/>
  <c r="N79" i="19"/>
  <c r="N78" i="19"/>
  <c r="N77" i="19"/>
  <c r="N76" i="19"/>
  <c r="N75" i="19"/>
  <c r="N74" i="19"/>
  <c r="N73" i="19"/>
  <c r="N72" i="19"/>
  <c r="N71" i="19"/>
  <c r="V71" i="1" s="1"/>
  <c r="N70" i="19"/>
  <c r="N69" i="19"/>
  <c r="N68" i="19"/>
  <c r="N67" i="19"/>
  <c r="N66" i="19"/>
  <c r="N65" i="19"/>
  <c r="N64" i="19"/>
  <c r="V64" i="1" s="1"/>
  <c r="N63" i="19"/>
  <c r="N62" i="19"/>
  <c r="N61" i="19"/>
  <c r="N60" i="19"/>
  <c r="N59" i="19"/>
  <c r="N58" i="19"/>
  <c r="N57" i="19"/>
  <c r="N56" i="19"/>
  <c r="V56" i="1" s="1"/>
  <c r="N55" i="19"/>
  <c r="V55" i="1" s="1"/>
  <c r="N54" i="19"/>
  <c r="N53" i="19"/>
  <c r="N52" i="19"/>
  <c r="N51" i="19"/>
  <c r="N50" i="19"/>
  <c r="N49" i="19"/>
  <c r="N48" i="19"/>
  <c r="V48" i="1" s="1"/>
  <c r="N47" i="19"/>
  <c r="N46" i="19"/>
  <c r="N45" i="19"/>
  <c r="N44" i="19"/>
  <c r="N43" i="19"/>
  <c r="N42" i="19"/>
  <c r="N41" i="19"/>
  <c r="N40" i="19"/>
  <c r="V40" i="1" s="1"/>
  <c r="N39" i="19"/>
  <c r="V39" i="1" s="1"/>
  <c r="N38" i="19"/>
  <c r="N37" i="19"/>
  <c r="N36" i="19"/>
  <c r="N35" i="19"/>
  <c r="N34" i="19"/>
  <c r="N33" i="19"/>
  <c r="N32" i="19"/>
  <c r="V32" i="1" s="1"/>
  <c r="N31" i="19"/>
  <c r="V31" i="1" s="1"/>
  <c r="N30" i="19"/>
  <c r="V2009" i="1"/>
  <c r="V1977" i="1"/>
  <c r="V1945" i="1"/>
  <c r="V1913" i="1"/>
  <c r="V1881" i="1"/>
  <c r="V1849" i="1"/>
  <c r="V1817" i="1"/>
  <c r="V1785" i="1"/>
  <c r="V1769" i="1"/>
  <c r="V1753" i="1"/>
  <c r="V1673" i="1"/>
  <c r="V1657" i="1"/>
  <c r="V1625" i="1"/>
  <c r="V1577" i="1"/>
  <c r="V1561" i="1"/>
  <c r="V1545" i="1"/>
  <c r="V1529" i="1"/>
  <c r="V1513" i="1"/>
  <c r="V1497" i="1"/>
  <c r="V1481" i="1"/>
  <c r="V1465" i="1"/>
  <c r="V1449" i="1"/>
  <c r="V1433" i="1"/>
  <c r="V1417" i="1"/>
  <c r="V1401" i="1"/>
  <c r="V1385" i="1"/>
  <c r="V1369" i="1"/>
  <c r="V1353" i="1"/>
  <c r="V1337" i="1"/>
  <c r="V1321" i="1"/>
  <c r="V1305" i="1"/>
  <c r="V1289" i="1"/>
  <c r="V1273" i="1"/>
  <c r="V1257" i="1"/>
  <c r="V1241" i="1"/>
  <c r="V1225" i="1"/>
  <c r="V1209" i="1"/>
  <c r="V1193" i="1"/>
  <c r="V1177" i="1"/>
  <c r="V1161" i="1"/>
  <c r="V1145" i="1"/>
  <c r="V1129" i="1"/>
  <c r="V1113" i="1"/>
  <c r="V1097" i="1"/>
  <c r="V1081" i="1"/>
  <c r="V1065" i="1"/>
  <c r="V1049" i="1"/>
  <c r="V1033" i="1"/>
  <c r="V1017" i="1"/>
  <c r="V1001" i="1"/>
  <c r="V985" i="1"/>
  <c r="V969" i="1"/>
  <c r="V953" i="1"/>
  <c r="V937" i="1"/>
  <c r="V921" i="1"/>
  <c r="V841" i="1"/>
  <c r="V793" i="1"/>
  <c r="V762" i="1"/>
  <c r="V743" i="1"/>
  <c r="V724" i="1"/>
  <c r="V668" i="1"/>
  <c r="V652" i="1"/>
  <c r="V651" i="1"/>
  <c r="V644" i="1"/>
  <c r="V635" i="1"/>
  <c r="V619" i="1"/>
  <c r="V618" i="1"/>
  <c r="V603" i="1"/>
  <c r="V587" i="1"/>
  <c r="V571" i="1"/>
  <c r="V563" i="1"/>
  <c r="V556" i="1"/>
  <c r="V555" i="1"/>
  <c r="V540" i="1"/>
  <c r="V523" i="1"/>
  <c r="V483" i="1"/>
  <c r="V434" i="1"/>
  <c r="V433" i="1"/>
  <c r="V403" i="1"/>
  <c r="V333" i="1"/>
  <c r="V314" i="1"/>
  <c r="V269" i="1"/>
  <c r="V251" i="1"/>
  <c r="V232" i="1"/>
  <c r="V228" i="1"/>
  <c r="V199" i="1"/>
  <c r="V167" i="1"/>
  <c r="V119" i="1"/>
  <c r="V117" i="1"/>
  <c r="W117" i="1" s="1"/>
  <c r="V103" i="1"/>
  <c r="N29" i="19"/>
  <c r="N28" i="19"/>
  <c r="N27" i="19"/>
  <c r="N26" i="19"/>
  <c r="N25" i="19"/>
  <c r="N23" i="19"/>
  <c r="N22" i="19"/>
  <c r="N21" i="19"/>
  <c r="N20" i="19"/>
  <c r="N24" i="19"/>
  <c r="M69" i="19"/>
  <c r="M91" i="19"/>
  <c r="M92" i="19"/>
  <c r="M2546" i="19"/>
  <c r="M2545" i="19"/>
  <c r="M2544" i="19"/>
  <c r="M2543" i="19"/>
  <c r="M2542" i="19"/>
  <c r="M2541" i="19"/>
  <c r="M2540" i="19"/>
  <c r="M2539" i="19"/>
  <c r="M2538" i="19"/>
  <c r="M2537" i="19"/>
  <c r="M2536" i="19"/>
  <c r="M2535" i="19"/>
  <c r="M2534" i="19"/>
  <c r="M2533" i="19"/>
  <c r="M2532" i="19"/>
  <c r="M2531" i="19"/>
  <c r="M2530" i="19"/>
  <c r="M2529" i="19"/>
  <c r="M2528" i="19"/>
  <c r="M2527" i="19"/>
  <c r="M2526" i="19"/>
  <c r="M2525" i="19"/>
  <c r="M2524" i="19"/>
  <c r="M2523" i="19"/>
  <c r="M2522" i="19"/>
  <c r="M2521" i="19"/>
  <c r="M2520" i="19"/>
  <c r="M2519" i="19"/>
  <c r="M2518" i="19"/>
  <c r="M2517" i="19"/>
  <c r="M2516" i="19"/>
  <c r="M2515" i="19"/>
  <c r="M2514" i="19"/>
  <c r="M2513" i="19"/>
  <c r="M2512" i="19"/>
  <c r="M2511" i="19"/>
  <c r="M2510" i="19"/>
  <c r="M2509" i="19"/>
  <c r="M2508" i="19"/>
  <c r="M2507" i="19"/>
  <c r="M2506" i="19"/>
  <c r="M2505" i="19"/>
  <c r="M2504" i="19"/>
  <c r="M2503" i="19"/>
  <c r="M2502" i="19"/>
  <c r="M2501" i="19"/>
  <c r="M2500" i="19"/>
  <c r="M1719" i="19"/>
  <c r="M1718" i="19"/>
  <c r="M1717" i="19"/>
  <c r="M1716" i="19"/>
  <c r="M1715" i="19"/>
  <c r="M1714" i="19"/>
  <c r="M1713" i="19"/>
  <c r="M1712" i="19"/>
  <c r="M1711" i="19"/>
  <c r="M1710" i="19"/>
  <c r="M1709" i="19"/>
  <c r="M1708" i="19"/>
  <c r="M1707" i="19"/>
  <c r="M1706" i="19"/>
  <c r="M1705" i="19"/>
  <c r="M1704" i="19"/>
  <c r="M1703" i="19"/>
  <c r="M1702" i="19"/>
  <c r="M1701" i="19"/>
  <c r="M1700" i="19"/>
  <c r="M1699" i="19"/>
  <c r="M1698" i="19"/>
  <c r="M1697" i="19"/>
  <c r="M1696" i="19"/>
  <c r="M1695" i="19"/>
  <c r="M1694" i="19"/>
  <c r="M1693" i="19"/>
  <c r="M1692" i="19"/>
  <c r="M1691" i="19"/>
  <c r="M1690" i="19"/>
  <c r="M1689" i="19"/>
  <c r="M1688" i="19"/>
  <c r="M1624" i="19"/>
  <c r="M1623" i="19"/>
  <c r="M1622" i="19"/>
  <c r="M1621" i="19"/>
  <c r="M1620" i="19"/>
  <c r="M1619" i="19"/>
  <c r="M1618" i="19"/>
  <c r="M1617" i="19"/>
  <c r="M1616" i="19"/>
  <c r="M1615" i="19"/>
  <c r="M1614" i="19"/>
  <c r="M1613" i="19"/>
  <c r="M1612" i="19"/>
  <c r="M1611" i="19"/>
  <c r="M1610" i="19"/>
  <c r="M1609" i="19"/>
  <c r="M1608" i="19"/>
  <c r="M1607" i="19"/>
  <c r="M1606" i="19"/>
  <c r="M1605" i="19"/>
  <c r="M1604" i="19"/>
  <c r="M1603" i="19"/>
  <c r="M1602" i="19"/>
  <c r="M1601" i="19"/>
  <c r="M1600" i="19"/>
  <c r="M1599" i="19"/>
  <c r="M1598" i="19"/>
  <c r="M1597" i="19"/>
  <c r="M1596" i="19"/>
  <c r="M1595" i="19"/>
  <c r="M1594" i="19"/>
  <c r="M1593" i="19"/>
  <c r="M1592" i="19"/>
  <c r="M912" i="19"/>
  <c r="M911" i="19"/>
  <c r="M910" i="19"/>
  <c r="M909" i="19"/>
  <c r="M908" i="19"/>
  <c r="M907" i="19"/>
  <c r="M906" i="19"/>
  <c r="M905" i="19"/>
  <c r="M904" i="19"/>
  <c r="M903" i="19"/>
  <c r="M902" i="19"/>
  <c r="M901" i="19"/>
  <c r="M900" i="19"/>
  <c r="M899" i="19"/>
  <c r="M898" i="19"/>
  <c r="M897" i="19"/>
  <c r="M896" i="19"/>
  <c r="M895" i="19"/>
  <c r="M894" i="19"/>
  <c r="M893" i="19"/>
  <c r="M892" i="19"/>
  <c r="M891" i="19"/>
  <c r="M890" i="19"/>
  <c r="M889" i="19"/>
  <c r="M888" i="19"/>
  <c r="M887" i="19"/>
  <c r="M886" i="19"/>
  <c r="M885" i="19"/>
  <c r="M884" i="19"/>
  <c r="M883" i="19"/>
  <c r="M882" i="19"/>
  <c r="M881" i="19"/>
  <c r="M880" i="19"/>
  <c r="M852" i="19"/>
  <c r="M851" i="19"/>
  <c r="M850" i="19"/>
  <c r="M849" i="19"/>
  <c r="M848" i="19"/>
  <c r="M847" i="19"/>
  <c r="M846" i="19"/>
  <c r="M845" i="19"/>
  <c r="M844" i="19"/>
  <c r="M843" i="19"/>
  <c r="M842" i="19"/>
  <c r="M841" i="19"/>
  <c r="M840" i="19"/>
  <c r="M839" i="19"/>
  <c r="M838" i="19"/>
  <c r="M837" i="19"/>
  <c r="M836" i="19"/>
  <c r="M835" i="19"/>
  <c r="M834" i="19"/>
  <c r="M833" i="19"/>
  <c r="M832" i="19"/>
  <c r="M831" i="19"/>
  <c r="M830" i="19"/>
  <c r="M829" i="19"/>
  <c r="M828" i="19"/>
  <c r="M827" i="19"/>
  <c r="M826" i="19"/>
  <c r="M825" i="19"/>
  <c r="M824" i="19"/>
  <c r="M823" i="19"/>
  <c r="M822" i="19"/>
  <c r="M821" i="19"/>
  <c r="M820" i="19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7" i="19"/>
  <c r="M806" i="19"/>
  <c r="M805" i="19"/>
  <c r="M804" i="19"/>
  <c r="M803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75" i="19"/>
  <c r="M774" i="19"/>
  <c r="M773" i="19"/>
  <c r="M772" i="19"/>
  <c r="M771" i="19"/>
  <c r="M769" i="19"/>
  <c r="M768" i="19"/>
  <c r="M767" i="19"/>
  <c r="M766" i="19"/>
  <c r="M765" i="19"/>
  <c r="M763" i="19"/>
  <c r="M762" i="19"/>
  <c r="M761" i="19"/>
  <c r="M760" i="19"/>
  <c r="M759" i="19"/>
  <c r="M757" i="19"/>
  <c r="M756" i="19"/>
  <c r="M755" i="19"/>
  <c r="M754" i="19"/>
  <c r="M753" i="19"/>
  <c r="M751" i="19"/>
  <c r="M750" i="19"/>
  <c r="M749" i="19"/>
  <c r="M748" i="19"/>
  <c r="M747" i="19"/>
  <c r="M745" i="19"/>
  <c r="M744" i="19"/>
  <c r="M743" i="19"/>
  <c r="M742" i="19"/>
  <c r="M741" i="19"/>
  <c r="M739" i="19"/>
  <c r="M738" i="19"/>
  <c r="M737" i="19"/>
  <c r="M736" i="19"/>
  <c r="M735" i="19"/>
  <c r="M733" i="19"/>
  <c r="M732" i="19"/>
  <c r="M731" i="19"/>
  <c r="M730" i="19"/>
  <c r="M729" i="19"/>
  <c r="M727" i="19"/>
  <c r="M726" i="19"/>
  <c r="M725" i="19"/>
  <c r="M724" i="19"/>
  <c r="M723" i="19"/>
  <c r="M721" i="19"/>
  <c r="M720" i="19"/>
  <c r="M719" i="19"/>
  <c r="M718" i="19"/>
  <c r="M717" i="19"/>
  <c r="M715" i="19"/>
  <c r="M714" i="19"/>
  <c r="M713" i="19"/>
  <c r="M712" i="19"/>
  <c r="M711" i="19"/>
  <c r="M709" i="19"/>
  <c r="M708" i="19"/>
  <c r="M707" i="19"/>
  <c r="M706" i="19"/>
  <c r="M705" i="19"/>
  <c r="M643" i="19"/>
  <c r="M642" i="19"/>
  <c r="M641" i="19"/>
  <c r="M640" i="19"/>
  <c r="M639" i="19"/>
  <c r="M638" i="19"/>
  <c r="M637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I384" i="19" l="1"/>
  <c r="V1679" i="1"/>
  <c r="I438" i="32"/>
  <c r="I438" i="31"/>
  <c r="I777" i="32"/>
  <c r="I777" i="31"/>
  <c r="I384" i="32"/>
  <c r="I384" i="31"/>
  <c r="I486" i="32"/>
  <c r="I486" i="31"/>
  <c r="Y117" i="32"/>
  <c r="Y117" i="31"/>
  <c r="V627" i="1"/>
  <c r="V643" i="1"/>
  <c r="V472" i="1"/>
  <c r="V531" i="1"/>
  <c r="V595" i="1"/>
  <c r="V498" i="1"/>
  <c r="V579" i="1"/>
  <c r="V423" i="1"/>
  <c r="V1969" i="1"/>
  <c r="V2001" i="1"/>
  <c r="V2033" i="1"/>
  <c r="V2065" i="1"/>
  <c r="V2081" i="1"/>
  <c r="V2097" i="1"/>
  <c r="V79" i="1"/>
  <c r="V676" i="1"/>
  <c r="V692" i="1"/>
  <c r="V714" i="1"/>
  <c r="V772" i="1"/>
  <c r="V1809" i="1"/>
  <c r="V1841" i="1"/>
  <c r="V1873" i="1"/>
  <c r="V1905" i="1"/>
  <c r="V1937" i="1"/>
  <c r="V2529" i="1"/>
  <c r="V2545" i="1"/>
  <c r="V47" i="1"/>
  <c r="V63" i="1"/>
  <c r="V516" i="1"/>
  <c r="V548" i="1"/>
  <c r="V596" i="1"/>
  <c r="V1681" i="1"/>
  <c r="V1153" i="1"/>
  <c r="V1169" i="1"/>
  <c r="V1185" i="1"/>
  <c r="V1201" i="1"/>
  <c r="V1217" i="1"/>
  <c r="V1233" i="1"/>
  <c r="V1249" i="1"/>
  <c r="V1265" i="1"/>
  <c r="V1281" i="1"/>
  <c r="V1297" i="1"/>
  <c r="V1313" i="1"/>
  <c r="V1329" i="1"/>
  <c r="V1345" i="1"/>
  <c r="V1361" i="1"/>
  <c r="V1377" i="1"/>
  <c r="V1393" i="1"/>
  <c r="V1409" i="1"/>
  <c r="V1425" i="1"/>
  <c r="V1441" i="1"/>
  <c r="V1457" i="1"/>
  <c r="V1473" i="1"/>
  <c r="V1489" i="1"/>
  <c r="V1505" i="1"/>
  <c r="V1521" i="1"/>
  <c r="V1537" i="1"/>
  <c r="V1553" i="1"/>
  <c r="V1569" i="1"/>
  <c r="V1585" i="1"/>
  <c r="V1633" i="1"/>
  <c r="V1649" i="1"/>
  <c r="V1665" i="1"/>
  <c r="V243" i="1"/>
  <c r="V259" i="1"/>
  <c r="V343" i="1"/>
  <c r="V362" i="1"/>
  <c r="V2305" i="1"/>
  <c r="V2337" i="1"/>
  <c r="V2369" i="1"/>
  <c r="V2401" i="1"/>
  <c r="V2417" i="1"/>
  <c r="V2449" i="1"/>
  <c r="V2465" i="1"/>
  <c r="V191" i="1"/>
  <c r="V207" i="1"/>
  <c r="V223" i="1"/>
  <c r="V833" i="1"/>
  <c r="V849" i="1"/>
  <c r="V865" i="1"/>
  <c r="V143" i="1"/>
  <c r="V175" i="1"/>
  <c r="V2113" i="1"/>
  <c r="V2145" i="1"/>
  <c r="V2193" i="1"/>
  <c r="V2209" i="1"/>
  <c r="V2225" i="1"/>
  <c r="V137" i="1"/>
  <c r="V153" i="1"/>
  <c r="V169" i="1"/>
  <c r="V185" i="1"/>
  <c r="V2505" i="1"/>
  <c r="V873" i="1"/>
  <c r="V215" i="1"/>
  <c r="V2297" i="1"/>
  <c r="V2345" i="1"/>
  <c r="V2377" i="1"/>
  <c r="V2425" i="1"/>
  <c r="V2441" i="1"/>
  <c r="V2249" i="1"/>
  <c r="V2265" i="1"/>
  <c r="V2281" i="1"/>
  <c r="V2121" i="1"/>
  <c r="V2137" i="1"/>
  <c r="V2153" i="1"/>
  <c r="V2185" i="1"/>
  <c r="V2217" i="1"/>
  <c r="V2041" i="1"/>
  <c r="V2057" i="1"/>
  <c r="V2073" i="1"/>
  <c r="V2105" i="1"/>
  <c r="V2521" i="1"/>
  <c r="V2537" i="1"/>
  <c r="V202" i="1"/>
  <c r="V43" i="1"/>
  <c r="V42" i="1"/>
  <c r="V50" i="1"/>
  <c r="V58" i="1"/>
  <c r="V66" i="1"/>
  <c r="V660" i="1"/>
  <c r="V725" i="1"/>
  <c r="V812" i="1"/>
  <c r="V882" i="1"/>
  <c r="V890" i="1"/>
  <c r="V898" i="1"/>
  <c r="V906" i="1"/>
  <c r="V914" i="1"/>
  <c r="V922" i="1"/>
  <c r="V930" i="1"/>
  <c r="V938" i="1"/>
  <c r="V946" i="1"/>
  <c r="V954" i="1"/>
  <c r="V962" i="1"/>
  <c r="V970" i="1"/>
  <c r="V978" i="1"/>
  <c r="V986" i="1"/>
  <c r="V994" i="1"/>
  <c r="V1002" i="1"/>
  <c r="V1010" i="1"/>
  <c r="V1018" i="1"/>
  <c r="V1026" i="1"/>
  <c r="V1034" i="1"/>
  <c r="V1042" i="1"/>
  <c r="V1050" i="1"/>
  <c r="V1058" i="1"/>
  <c r="V1066" i="1"/>
  <c r="V1074" i="1"/>
  <c r="V1082" i="1"/>
  <c r="V1090" i="1"/>
  <c r="V1098" i="1"/>
  <c r="V1106" i="1"/>
  <c r="V1114" i="1"/>
  <c r="V1122" i="1"/>
  <c r="V1130" i="1"/>
  <c r="V1138" i="1"/>
  <c r="V1146" i="1"/>
  <c r="V1154" i="1"/>
  <c r="V1162" i="1"/>
  <c r="V1170" i="1"/>
  <c r="V1178" i="1"/>
  <c r="V1186" i="1"/>
  <c r="V1194" i="1"/>
  <c r="V1202" i="1"/>
  <c r="V1210" i="1"/>
  <c r="V1218" i="1"/>
  <c r="V1226" i="1"/>
  <c r="V1234" i="1"/>
  <c r="V1242" i="1"/>
  <c r="V1250" i="1"/>
  <c r="V1258" i="1"/>
  <c r="V1266" i="1"/>
  <c r="V1274" i="1"/>
  <c r="V1282" i="1"/>
  <c r="V1290" i="1"/>
  <c r="V1298" i="1"/>
  <c r="V1306" i="1"/>
  <c r="V1314" i="1"/>
  <c r="V1322" i="1"/>
  <c r="V1330" i="1"/>
  <c r="V1338" i="1"/>
  <c r="V1346" i="1"/>
  <c r="V1354" i="1"/>
  <c r="V1362" i="1"/>
  <c r="V1370" i="1"/>
  <c r="V1378" i="1"/>
  <c r="V1386" i="1"/>
  <c r="V1394" i="1"/>
  <c r="V1402" i="1"/>
  <c r="V1410" i="1"/>
  <c r="V1418" i="1"/>
  <c r="V1426" i="1"/>
  <c r="V1434" i="1"/>
  <c r="V1442" i="1"/>
  <c r="V1450" i="1"/>
  <c r="V1458" i="1"/>
  <c r="V1466" i="1"/>
  <c r="V1474" i="1"/>
  <c r="V1482" i="1"/>
  <c r="V1490" i="1"/>
  <c r="V1498" i="1"/>
  <c r="V1506" i="1"/>
  <c r="V1514" i="1"/>
  <c r="V1522" i="1"/>
  <c r="V1530" i="1"/>
  <c r="V1538" i="1"/>
  <c r="V1546" i="1"/>
  <c r="V1554" i="1"/>
  <c r="V1562" i="1"/>
  <c r="V1570" i="1"/>
  <c r="V1578" i="1"/>
  <c r="V1586" i="1"/>
  <c r="V1594" i="1"/>
  <c r="V1602" i="1"/>
  <c r="V1610" i="1"/>
  <c r="V1618" i="1"/>
  <c r="V1650" i="1"/>
  <c r="V1684" i="1"/>
  <c r="V1700" i="1"/>
  <c r="V621" i="1"/>
  <c r="V629" i="1"/>
  <c r="V637" i="1"/>
  <c r="V671" i="1"/>
  <c r="V679" i="1"/>
  <c r="V687" i="1"/>
  <c r="V696" i="1"/>
  <c r="V708" i="1"/>
  <c r="V718" i="1"/>
  <c r="V727" i="1"/>
  <c r="V737" i="1"/>
  <c r="V747" i="1"/>
  <c r="V756" i="1"/>
  <c r="V775" i="1"/>
  <c r="V796" i="1"/>
  <c r="V804" i="1"/>
  <c r="V884" i="1"/>
  <c r="V892" i="1"/>
  <c r="V900" i="1"/>
  <c r="V908" i="1"/>
  <c r="V916" i="1"/>
  <c r="V924" i="1"/>
  <c r="V932" i="1"/>
  <c r="V940" i="1"/>
  <c r="V948" i="1"/>
  <c r="V956" i="1"/>
  <c r="V964" i="1"/>
  <c r="V972" i="1"/>
  <c r="V980" i="1"/>
  <c r="V988" i="1"/>
  <c r="V996" i="1"/>
  <c r="V1004" i="1"/>
  <c r="V1012" i="1"/>
  <c r="V1020" i="1"/>
  <c r="V1028" i="1"/>
  <c r="V1036" i="1"/>
  <c r="V1044" i="1"/>
  <c r="V1052" i="1"/>
  <c r="V1060" i="1"/>
  <c r="V1068" i="1"/>
  <c r="V1076" i="1"/>
  <c r="V1084" i="1"/>
  <c r="V1092" i="1"/>
  <c r="V1100" i="1"/>
  <c r="V1108" i="1"/>
  <c r="V1116" i="1"/>
  <c r="V1124" i="1"/>
  <c r="V1132" i="1"/>
  <c r="V1140" i="1"/>
  <c r="V1148" i="1"/>
  <c r="V1156" i="1"/>
  <c r="V1164" i="1"/>
  <c r="V1172" i="1"/>
  <c r="V1180" i="1"/>
  <c r="V1188" i="1"/>
  <c r="V1196" i="1"/>
  <c r="V1204" i="1"/>
  <c r="V1212" i="1"/>
  <c r="V1220" i="1"/>
  <c r="V1228" i="1"/>
  <c r="V1236" i="1"/>
  <c r="V1244" i="1"/>
  <c r="V1252" i="1"/>
  <c r="V1260" i="1"/>
  <c r="V1268" i="1"/>
  <c r="V1276" i="1"/>
  <c r="V1284" i="1"/>
  <c r="V1292" i="1"/>
  <c r="V1300" i="1"/>
  <c r="V1308" i="1"/>
  <c r="V1316" i="1"/>
  <c r="V168" i="1"/>
  <c r="V161" i="1"/>
  <c r="V194" i="1"/>
  <c r="V655" i="1"/>
  <c r="V663" i="1"/>
  <c r="V138" i="1"/>
  <c r="V146" i="1"/>
  <c r="V154" i="1"/>
  <c r="V162" i="1"/>
  <c r="V170" i="1"/>
  <c r="V178" i="1"/>
  <c r="V186" i="1"/>
  <c r="V280" i="1"/>
  <c r="V292" i="1"/>
  <c r="V304" i="1"/>
  <c r="V324" i="1"/>
  <c r="V352" i="1"/>
  <c r="V372" i="1"/>
  <c r="V615" i="1"/>
  <c r="V623" i="1"/>
  <c r="V631" i="1"/>
  <c r="V639" i="1"/>
  <c r="V647" i="1"/>
  <c r="V90" i="1"/>
  <c r="V98" i="1"/>
  <c r="V106" i="1"/>
  <c r="V114" i="1"/>
  <c r="V122" i="1"/>
  <c r="V130" i="1"/>
  <c r="V344" i="1"/>
  <c r="V493" i="1"/>
  <c r="V502" i="1"/>
  <c r="V511" i="1"/>
  <c r="V519" i="1"/>
  <c r="V527" i="1"/>
  <c r="V535" i="1"/>
  <c r="V567" i="1"/>
  <c r="V575" i="1"/>
  <c r="V583" i="1"/>
  <c r="V599" i="1"/>
  <c r="V866" i="1"/>
  <c r="V144" i="1"/>
  <c r="V82" i="1"/>
  <c r="V868" i="1"/>
  <c r="V74" i="1"/>
  <c r="V263" i="1"/>
  <c r="V273" i="1"/>
  <c r="V285" i="1"/>
  <c r="V297" i="1"/>
  <c r="V308" i="1"/>
  <c r="V318" i="1"/>
  <c r="V327" i="1"/>
  <c r="V337" i="1"/>
  <c r="V346" i="1"/>
  <c r="V356" i="1"/>
  <c r="V366" i="1"/>
  <c r="V375" i="1"/>
  <c r="V705" i="1"/>
  <c r="V733" i="1"/>
  <c r="V753" i="1"/>
  <c r="V801" i="1"/>
  <c r="V820" i="1"/>
  <c r="V828" i="1"/>
  <c r="V836" i="1"/>
  <c r="V844" i="1"/>
  <c r="V852" i="1"/>
  <c r="V860" i="1"/>
  <c r="V1324" i="1"/>
  <c r="V1332" i="1"/>
  <c r="V1340" i="1"/>
  <c r="V1348" i="1"/>
  <c r="V1356" i="1"/>
  <c r="V1364" i="1"/>
  <c r="V1372" i="1"/>
  <c r="V1380" i="1"/>
  <c r="V1388" i="1"/>
  <c r="V1396" i="1"/>
  <c r="V1404" i="1"/>
  <c r="V1412" i="1"/>
  <c r="V1420" i="1"/>
  <c r="V1428" i="1"/>
  <c r="V1436" i="1"/>
  <c r="V1444" i="1"/>
  <c r="V1452" i="1"/>
  <c r="V1460" i="1"/>
  <c r="V1468" i="1"/>
  <c r="V1476" i="1"/>
  <c r="V1484" i="1"/>
  <c r="V1492" i="1"/>
  <c r="V1500" i="1"/>
  <c r="V1508" i="1"/>
  <c r="V1516" i="1"/>
  <c r="V1524" i="1"/>
  <c r="V1532" i="1"/>
  <c r="V1540" i="1"/>
  <c r="V1548" i="1"/>
  <c r="V1556" i="1"/>
  <c r="V1564" i="1"/>
  <c r="V1572" i="1"/>
  <c r="V1580" i="1"/>
  <c r="V1588" i="1"/>
  <c r="V1596" i="1"/>
  <c r="V1604" i="1"/>
  <c r="V1612" i="1"/>
  <c r="V1620" i="1"/>
  <c r="V1628" i="1"/>
  <c r="V1644" i="1"/>
  <c r="V1652" i="1"/>
  <c r="V1660" i="1"/>
  <c r="V1668" i="1"/>
  <c r="V874" i="1"/>
  <c r="V2508" i="1"/>
  <c r="V857" i="1"/>
  <c r="V2129" i="1"/>
  <c r="V2161" i="1"/>
  <c r="V2201" i="1"/>
  <c r="V2241" i="1"/>
  <c r="V2273" i="1"/>
  <c r="V2313" i="1"/>
  <c r="V2409" i="1"/>
  <c r="V2433" i="1"/>
  <c r="V2457" i="1"/>
  <c r="V1698" i="1"/>
  <c r="V1706" i="1"/>
  <c r="V1714" i="1"/>
  <c r="V1754" i="1"/>
  <c r="V2074" i="1"/>
  <c r="V2154" i="1"/>
  <c r="V2194" i="1"/>
  <c r="V2266" i="1"/>
  <c r="V2474" i="1"/>
  <c r="V2482" i="1"/>
  <c r="V2490" i="1"/>
  <c r="V2498" i="1"/>
  <c r="V2516" i="1"/>
  <c r="V2524" i="1"/>
  <c r="V2532" i="1"/>
  <c r="V2540" i="1"/>
  <c r="V1708" i="1"/>
  <c r="V1716" i="1"/>
  <c r="V1724" i="1"/>
  <c r="V1732" i="1"/>
  <c r="V1740" i="1"/>
  <c r="V1748" i="1"/>
  <c r="V1756" i="1"/>
  <c r="V1764" i="1"/>
  <c r="V1772" i="1"/>
  <c r="V1780" i="1"/>
  <c r="V1788" i="1"/>
  <c r="V1796" i="1"/>
  <c r="V1804" i="1"/>
  <c r="V1812" i="1"/>
  <c r="V1820" i="1"/>
  <c r="V1828" i="1"/>
  <c r="V1836" i="1"/>
  <c r="V1844" i="1"/>
  <c r="V1852" i="1"/>
  <c r="V1860" i="1"/>
  <c r="V1868" i="1"/>
  <c r="V1876" i="1"/>
  <c r="V1884" i="1"/>
  <c r="V1892" i="1"/>
  <c r="V1900" i="1"/>
  <c r="V1908" i="1"/>
  <c r="V1916" i="1"/>
  <c r="V1924" i="1"/>
  <c r="V1932" i="1"/>
  <c r="V1972" i="1"/>
  <c r="V1980" i="1"/>
  <c r="V1996" i="1"/>
  <c r="V2004" i="1"/>
  <c r="V2012" i="1"/>
  <c r="V2020" i="1"/>
  <c r="V2028" i="1"/>
  <c r="V2036" i="1"/>
  <c r="V2044" i="1"/>
  <c r="V2052" i="1"/>
  <c r="V2076" i="1"/>
  <c r="V2084" i="1"/>
  <c r="V2092" i="1"/>
  <c r="V2108" i="1"/>
  <c r="V2116" i="1"/>
  <c r="V2124" i="1"/>
  <c r="V2132" i="1"/>
  <c r="V2156" i="1"/>
  <c r="V2164" i="1"/>
  <c r="V2172" i="1"/>
  <c r="V2196" i="1"/>
  <c r="V2204" i="1"/>
  <c r="V2220" i="1"/>
  <c r="V2228" i="1"/>
  <c r="V2236" i="1"/>
  <c r="V2244" i="1"/>
  <c r="V2252" i="1"/>
  <c r="V2260" i="1"/>
  <c r="V2268" i="1"/>
  <c r="V2276" i="1"/>
  <c r="V2284" i="1"/>
  <c r="V2292" i="1"/>
  <c r="V2300" i="1"/>
  <c r="V2308" i="1"/>
  <c r="V2316" i="1"/>
  <c r="V2324" i="1"/>
  <c r="V2332" i="1"/>
  <c r="V2340" i="1"/>
  <c r="V2348" i="1"/>
  <c r="V2356" i="1"/>
  <c r="V2364" i="1"/>
  <c r="V2372" i="1"/>
  <c r="V2380" i="1"/>
  <c r="V2388" i="1"/>
  <c r="V2396" i="1"/>
  <c r="V2404" i="1"/>
  <c r="V2476" i="1"/>
  <c r="V2484" i="1"/>
  <c r="V2492" i="1"/>
  <c r="V2500" i="1"/>
  <c r="W2500" i="1" s="1"/>
  <c r="V794" i="1"/>
  <c r="V861" i="1"/>
  <c r="V507" i="1"/>
  <c r="V140" i="1"/>
  <c r="V148" i="1"/>
  <c r="V156" i="1"/>
  <c r="V164" i="1"/>
  <c r="V677" i="1"/>
  <c r="V870" i="1"/>
  <c r="V2060" i="1"/>
  <c r="V2100" i="1"/>
  <c r="V2140" i="1"/>
  <c r="V2180" i="1"/>
  <c r="V2212" i="1"/>
  <c r="V2518" i="1"/>
  <c r="V2526" i="1"/>
  <c r="V2534" i="1"/>
  <c r="V2542" i="1"/>
  <c r="I486" i="19"/>
  <c r="V37" i="1"/>
  <c r="V53" i="1"/>
  <c r="V145" i="1"/>
  <c r="V218" i="1"/>
  <c r="V226" i="1"/>
  <c r="V249" i="1"/>
  <c r="V267" i="1"/>
  <c r="V301" i="1"/>
  <c r="V369" i="1"/>
  <c r="V188" i="1"/>
  <c r="V205" i="1"/>
  <c r="V221" i="1"/>
  <c r="V551" i="1"/>
  <c r="V591" i="1"/>
  <c r="V674" i="1"/>
  <c r="V682" i="1"/>
  <c r="V702" i="1"/>
  <c r="V712" i="1"/>
  <c r="V721" i="1"/>
  <c r="V731" i="1"/>
  <c r="V750" i="1"/>
  <c r="V760" i="1"/>
  <c r="V769" i="1"/>
  <c r="V791" i="1"/>
  <c r="V799" i="1"/>
  <c r="V807" i="1"/>
  <c r="V817" i="1"/>
  <c r="V858" i="1"/>
  <c r="V887" i="1"/>
  <c r="V895" i="1"/>
  <c r="V903" i="1"/>
  <c r="V911" i="1"/>
  <c r="V919" i="1"/>
  <c r="V927" i="1"/>
  <c r="V935" i="1"/>
  <c r="V943" i="1"/>
  <c r="V951" i="1"/>
  <c r="V959" i="1"/>
  <c r="V967" i="1"/>
  <c r="V975" i="1"/>
  <c r="V983" i="1"/>
  <c r="V991" i="1"/>
  <c r="V999" i="1"/>
  <c r="V1007" i="1"/>
  <c r="V1015" i="1"/>
  <c r="V1023" i="1"/>
  <c r="V1031" i="1"/>
  <c r="V1039" i="1"/>
  <c r="V1047" i="1"/>
  <c r="V1055" i="1"/>
  <c r="V1063" i="1"/>
  <c r="V1071" i="1"/>
  <c r="V1079" i="1"/>
  <c r="V1087" i="1"/>
  <c r="V1095" i="1"/>
  <c r="V1103" i="1"/>
  <c r="V180" i="1"/>
  <c r="V213" i="1"/>
  <c r="V382" i="1"/>
  <c r="V543" i="1"/>
  <c r="V559" i="1"/>
  <c r="V741" i="1"/>
  <c r="V149" i="1"/>
  <c r="V157" i="1"/>
  <c r="V133" i="1"/>
  <c r="V246" i="1"/>
  <c r="V254" i="1"/>
  <c r="V406" i="1"/>
  <c r="V626" i="1"/>
  <c r="V634" i="1"/>
  <c r="V642" i="1"/>
  <c r="V650" i="1"/>
  <c r="V684" i="1"/>
  <c r="V159" i="1"/>
  <c r="V471" i="1"/>
  <c r="V496" i="1"/>
  <c r="V530" i="1"/>
  <c r="V562" i="1"/>
  <c r="V578" i="1"/>
  <c r="V594" i="1"/>
  <c r="V829" i="1"/>
  <c r="V837" i="1"/>
  <c r="V845" i="1"/>
  <c r="V506" i="1"/>
  <c r="V522" i="1"/>
  <c r="V554" i="1"/>
  <c r="V570" i="1"/>
  <c r="V586" i="1"/>
  <c r="V152" i="1"/>
  <c r="V45" i="1"/>
  <c r="V61" i="1"/>
  <c r="V69" i="1"/>
  <c r="V210" i="1"/>
  <c r="V241" i="1"/>
  <c r="V257" i="1"/>
  <c r="V277" i="1"/>
  <c r="V289" i="1"/>
  <c r="V312" i="1"/>
  <c r="V321" i="1"/>
  <c r="V331" i="1"/>
  <c r="V340" i="1"/>
  <c r="V350" i="1"/>
  <c r="V360" i="1"/>
  <c r="V379" i="1"/>
  <c r="V400" i="1"/>
  <c r="V474" i="1"/>
  <c r="V508" i="1"/>
  <c r="V524" i="1"/>
  <c r="V532" i="1"/>
  <c r="V564" i="1"/>
  <c r="V572" i="1"/>
  <c r="V580" i="1"/>
  <c r="V588" i="1"/>
  <c r="V604" i="1"/>
  <c r="V855" i="1"/>
  <c r="V863" i="1"/>
  <c r="V500" i="1"/>
  <c r="V815" i="1"/>
  <c r="V1687" i="1"/>
  <c r="V1695" i="1"/>
  <c r="V1703" i="1"/>
  <c r="V1711" i="1"/>
  <c r="V1719" i="1"/>
  <c r="V1727" i="1"/>
  <c r="V1735" i="1"/>
  <c r="V1743" i="1"/>
  <c r="V1759" i="1"/>
  <c r="V1767" i="1"/>
  <c r="V1775" i="1"/>
  <c r="V1783" i="1"/>
  <c r="V1791" i="1"/>
  <c r="V1799" i="1"/>
  <c r="V1815" i="1"/>
  <c r="V1823" i="1"/>
  <c r="V1831" i="1"/>
  <c r="V1847" i="1"/>
  <c r="V1855" i="1"/>
  <c r="V1863" i="1"/>
  <c r="V1871" i="1"/>
  <c r="V1879" i="1"/>
  <c r="V1887" i="1"/>
  <c r="V1895" i="1"/>
  <c r="V1903" i="1"/>
  <c r="V1911" i="1"/>
  <c r="V1919" i="1"/>
  <c r="V1927" i="1"/>
  <c r="V1935" i="1"/>
  <c r="V1943" i="1"/>
  <c r="V1951" i="1"/>
  <c r="V1959" i="1"/>
  <c r="V1967" i="1"/>
  <c r="V1975" i="1"/>
  <c r="V1983" i="1"/>
  <c r="V1991" i="1"/>
  <c r="V1999" i="1"/>
  <c r="V2007" i="1"/>
  <c r="V2015" i="1"/>
  <c r="V2023" i="1"/>
  <c r="V2031" i="1"/>
  <c r="V2039" i="1"/>
  <c r="V2047" i="1"/>
  <c r="V2055" i="1"/>
  <c r="V2063" i="1"/>
  <c r="V2079" i="1"/>
  <c r="V2087" i="1"/>
  <c r="V2095" i="1"/>
  <c r="V2119" i="1"/>
  <c r="V2167" i="1"/>
  <c r="V2175" i="1"/>
  <c r="V2231" i="1"/>
  <c r="V2247" i="1"/>
  <c r="V2255" i="1"/>
  <c r="V2271" i="1"/>
  <c r="V2279" i="1"/>
  <c r="V2287" i="1"/>
  <c r="V2303" i="1"/>
  <c r="V2319" i="1"/>
  <c r="V2471" i="1"/>
  <c r="V2479" i="1"/>
  <c r="V2487" i="1"/>
  <c r="V2495" i="1"/>
  <c r="V1111" i="1"/>
  <c r="V1119" i="1"/>
  <c r="V1127" i="1"/>
  <c r="V1135" i="1"/>
  <c r="V1143" i="1"/>
  <c r="V1151" i="1"/>
  <c r="V1159" i="1"/>
  <c r="V1167" i="1"/>
  <c r="V1175" i="1"/>
  <c r="V1183" i="1"/>
  <c r="V1191" i="1"/>
  <c r="V1199" i="1"/>
  <c r="V1207" i="1"/>
  <c r="V1215" i="1"/>
  <c r="V1223" i="1"/>
  <c r="V1231" i="1"/>
  <c r="V1239" i="1"/>
  <c r="V1247" i="1"/>
  <c r="V1255" i="1"/>
  <c r="V1263" i="1"/>
  <c r="V1271" i="1"/>
  <c r="V1279" i="1"/>
  <c r="V1287" i="1"/>
  <c r="V1295" i="1"/>
  <c r="V1303" i="1"/>
  <c r="V1311" i="1"/>
  <c r="V1319" i="1"/>
  <c r="V1327" i="1"/>
  <c r="V1335" i="1"/>
  <c r="V1343" i="1"/>
  <c r="V1351" i="1"/>
  <c r="V1359" i="1"/>
  <c r="V1367" i="1"/>
  <c r="V1375" i="1"/>
  <c r="V1383" i="1"/>
  <c r="V1391" i="1"/>
  <c r="V1399" i="1"/>
  <c r="V1407" i="1"/>
  <c r="V1415" i="1"/>
  <c r="V1423" i="1"/>
  <c r="V1431" i="1"/>
  <c r="V1439" i="1"/>
  <c r="V1447" i="1"/>
  <c r="V1455" i="1"/>
  <c r="V1463" i="1"/>
  <c r="V1471" i="1"/>
  <c r="V1479" i="1"/>
  <c r="V1487" i="1"/>
  <c r="V1495" i="1"/>
  <c r="V1503" i="1"/>
  <c r="V1511" i="1"/>
  <c r="V1519" i="1"/>
  <c r="V1527" i="1"/>
  <c r="V1535" i="1"/>
  <c r="V1543" i="1"/>
  <c r="V1551" i="1"/>
  <c r="V1559" i="1"/>
  <c r="V1567" i="1"/>
  <c r="V1575" i="1"/>
  <c r="V1583" i="1"/>
  <c r="V1591" i="1"/>
  <c r="V1599" i="1"/>
  <c r="V1607" i="1"/>
  <c r="V1615" i="1"/>
  <c r="V1623" i="1"/>
  <c r="V1631" i="1"/>
  <c r="V1639" i="1"/>
  <c r="V1655" i="1"/>
  <c r="V1663" i="1"/>
  <c r="V1745" i="1"/>
  <c r="V1761" i="1"/>
  <c r="V1777" i="1"/>
  <c r="V1801" i="1"/>
  <c r="V1833" i="1"/>
  <c r="V1865" i="1"/>
  <c r="V1897" i="1"/>
  <c r="V1929" i="1"/>
  <c r="V1961" i="1"/>
  <c r="V1993" i="1"/>
  <c r="V2025" i="1"/>
  <c r="V2177" i="1"/>
  <c r="V2329" i="1"/>
  <c r="V2361" i="1"/>
  <c r="V2393" i="1"/>
  <c r="V173" i="1"/>
  <c r="V181" i="1"/>
  <c r="V428" i="1"/>
  <c r="V658" i="1"/>
  <c r="V1738" i="1"/>
  <c r="V1794" i="1"/>
  <c r="V1826" i="1"/>
  <c r="V1858" i="1"/>
  <c r="V1890" i="1"/>
  <c r="V1922" i="1"/>
  <c r="V1954" i="1"/>
  <c r="V1986" i="1"/>
  <c r="V2018" i="1"/>
  <c r="V2050" i="1"/>
  <c r="V2090" i="1"/>
  <c r="V2170" i="1"/>
  <c r="V2322" i="1"/>
  <c r="V2354" i="1"/>
  <c r="V2386" i="1"/>
  <c r="V1641" i="1"/>
  <c r="V2068" i="1"/>
  <c r="V2148" i="1"/>
  <c r="V2188" i="1"/>
  <c r="V422" i="1"/>
  <c r="V432" i="1"/>
  <c r="V482" i="1"/>
  <c r="V515" i="1"/>
  <c r="V539" i="1"/>
  <c r="V547" i="1"/>
  <c r="V611" i="1"/>
  <c r="V871" i="1"/>
  <c r="V2519" i="1"/>
  <c r="V2527" i="1"/>
  <c r="V2535" i="1"/>
  <c r="V2543" i="1"/>
  <c r="V1676" i="1"/>
  <c r="V38" i="1"/>
  <c r="V54" i="1"/>
  <c r="V70" i="1"/>
  <c r="V113" i="1"/>
  <c r="V129" i="1"/>
  <c r="V195" i="1"/>
  <c r="V211" i="1"/>
  <c r="V227" i="1"/>
  <c r="V250" i="1"/>
  <c r="V268" i="1"/>
  <c r="V291" i="1"/>
  <c r="V313" i="1"/>
  <c r="V332" i="1"/>
  <c r="V351" i="1"/>
  <c r="V361" i="1"/>
  <c r="V370" i="1"/>
  <c r="V380" i="1"/>
  <c r="V402" i="1"/>
  <c r="V499" i="1"/>
  <c r="V620" i="1"/>
  <c r="V628" i="1"/>
  <c r="V636" i="1"/>
  <c r="V678" i="1"/>
  <c r="V686" i="1"/>
  <c r="V694" i="1"/>
  <c r="V707" i="1"/>
  <c r="V717" i="1"/>
  <c r="V726" i="1"/>
  <c r="V736" i="1"/>
  <c r="V745" i="1"/>
  <c r="V755" i="1"/>
  <c r="V765" i="1"/>
  <c r="V774" i="1"/>
  <c r="V795" i="1"/>
  <c r="V803" i="1"/>
  <c r="V813" i="1"/>
  <c r="V822" i="1"/>
  <c r="W822" i="1" s="1"/>
  <c r="V830" i="1"/>
  <c r="V838" i="1"/>
  <c r="V846" i="1"/>
  <c r="V854" i="1"/>
  <c r="V862" i="1"/>
  <c r="V883" i="1"/>
  <c r="V891" i="1"/>
  <c r="V899" i="1"/>
  <c r="V907" i="1"/>
  <c r="V915" i="1"/>
  <c r="V923" i="1"/>
  <c r="V931" i="1"/>
  <c r="V939" i="1"/>
  <c r="V947" i="1"/>
  <c r="V955" i="1"/>
  <c r="V963" i="1"/>
  <c r="V971" i="1"/>
  <c r="V979" i="1"/>
  <c r="V987" i="1"/>
  <c r="V995" i="1"/>
  <c r="V1003" i="1"/>
  <c r="V1011" i="1"/>
  <c r="V1019" i="1"/>
  <c r="V1027" i="1"/>
  <c r="V1035" i="1"/>
  <c r="V1043" i="1"/>
  <c r="V1051" i="1"/>
  <c r="V1059" i="1"/>
  <c r="V1067" i="1"/>
  <c r="V1075" i="1"/>
  <c r="V1083" i="1"/>
  <c r="V1091" i="1"/>
  <c r="V1099" i="1"/>
  <c r="V1107" i="1"/>
  <c r="V1115" i="1"/>
  <c r="V1123" i="1"/>
  <c r="V1131" i="1"/>
  <c r="V1139" i="1"/>
  <c r="V1147" i="1"/>
  <c r="V1155" i="1"/>
  <c r="V1163" i="1"/>
  <c r="V1171" i="1"/>
  <c r="V1179" i="1"/>
  <c r="V1187" i="1"/>
  <c r="V1195" i="1"/>
  <c r="V1203" i="1"/>
  <c r="V1211" i="1"/>
  <c r="V1219" i="1"/>
  <c r="V1227" i="1"/>
  <c r="V1235" i="1"/>
  <c r="V1243" i="1"/>
  <c r="V1251" i="1"/>
  <c r="V1259" i="1"/>
  <c r="V1267" i="1"/>
  <c r="V1275" i="1"/>
  <c r="V1283" i="1"/>
  <c r="V1291" i="1"/>
  <c r="V1299" i="1"/>
  <c r="V1307" i="1"/>
  <c r="V1315" i="1"/>
  <c r="V1323" i="1"/>
  <c r="V1331" i="1"/>
  <c r="V1339" i="1"/>
  <c r="V1347" i="1"/>
  <c r="V1355" i="1"/>
  <c r="V1363" i="1"/>
  <c r="V1371" i="1"/>
  <c r="V1379" i="1"/>
  <c r="V1387" i="1"/>
  <c r="V1395" i="1"/>
  <c r="V1403" i="1"/>
  <c r="V1411" i="1"/>
  <c r="V1419" i="1"/>
  <c r="V1427" i="1"/>
  <c r="V1435" i="1"/>
  <c r="V1443" i="1"/>
  <c r="V1451" i="1"/>
  <c r="V1459" i="1"/>
  <c r="V1467" i="1"/>
  <c r="V1475" i="1"/>
  <c r="V1483" i="1"/>
  <c r="V1491" i="1"/>
  <c r="V1499" i="1"/>
  <c r="V1507" i="1"/>
  <c r="V1515" i="1"/>
  <c r="V1523" i="1"/>
  <c r="V1531" i="1"/>
  <c r="V1539" i="1"/>
  <c r="V1547" i="1"/>
  <c r="V1555" i="1"/>
  <c r="V1563" i="1"/>
  <c r="V1571" i="1"/>
  <c r="V1579" i="1"/>
  <c r="V1587" i="1"/>
  <c r="V1595" i="1"/>
  <c r="V1603" i="1"/>
  <c r="V1611" i="1"/>
  <c r="V1619" i="1"/>
  <c r="V1627" i="1"/>
  <c r="V1635" i="1"/>
  <c r="V1643" i="1"/>
  <c r="V1651" i="1"/>
  <c r="V1659" i="1"/>
  <c r="V1667" i="1"/>
  <c r="V1675" i="1"/>
  <c r="V1685" i="1"/>
  <c r="V1693" i="1"/>
  <c r="V1701" i="1"/>
  <c r="V1709" i="1"/>
  <c r="V1717" i="1"/>
  <c r="V1725" i="1"/>
  <c r="V1733" i="1"/>
  <c r="V1741" i="1"/>
  <c r="V1749" i="1"/>
  <c r="V1757" i="1"/>
  <c r="V1765" i="1"/>
  <c r="V1773" i="1"/>
  <c r="V1781" i="1"/>
  <c r="V1789" i="1"/>
  <c r="V1797" i="1"/>
  <c r="V1805" i="1"/>
  <c r="V1813" i="1"/>
  <c r="V1821" i="1"/>
  <c r="V1829" i="1"/>
  <c r="V1837" i="1"/>
  <c r="V1845" i="1"/>
  <c r="V1853" i="1"/>
  <c r="V1861" i="1"/>
  <c r="V1869" i="1"/>
  <c r="V1877" i="1"/>
  <c r="V1885" i="1"/>
  <c r="V1893" i="1"/>
  <c r="V1901" i="1"/>
  <c r="V1909" i="1"/>
  <c r="V1917" i="1"/>
  <c r="V1925" i="1"/>
  <c r="V1933" i="1"/>
  <c r="V1941" i="1"/>
  <c r="V1949" i="1"/>
  <c r="V1957" i="1"/>
  <c r="V1965" i="1"/>
  <c r="V1973" i="1"/>
  <c r="V1981" i="1"/>
  <c r="V1989" i="1"/>
  <c r="V1997" i="1"/>
  <c r="V2005" i="1"/>
  <c r="V2013" i="1"/>
  <c r="V2021" i="1"/>
  <c r="V2029" i="1"/>
  <c r="V2037" i="1"/>
  <c r="V2045" i="1"/>
  <c r="V2053" i="1"/>
  <c r="V2061" i="1"/>
  <c r="V2069" i="1"/>
  <c r="V2077" i="1"/>
  <c r="V2085" i="1"/>
  <c r="V2093" i="1"/>
  <c r="V2101" i="1"/>
  <c r="V2117" i="1"/>
  <c r="V2125" i="1"/>
  <c r="V2133" i="1"/>
  <c r="V2141" i="1"/>
  <c r="V2149" i="1"/>
  <c r="V2157" i="1"/>
  <c r="V2165" i="1"/>
  <c r="V2173" i="1"/>
  <c r="V2181" i="1"/>
  <c r="V2189" i="1"/>
  <c r="V2197" i="1"/>
  <c r="V2205" i="1"/>
  <c r="V2213" i="1"/>
  <c r="V2221" i="1"/>
  <c r="V2229" i="1"/>
  <c r="V2237" i="1"/>
  <c r="V2245" i="1"/>
  <c r="V2253" i="1"/>
  <c r="V2261" i="1"/>
  <c r="V2269" i="1"/>
  <c r="V2277" i="1"/>
  <c r="V2293" i="1"/>
  <c r="V2301" i="1"/>
  <c r="V2309" i="1"/>
  <c r="V2317" i="1"/>
  <c r="V2325" i="1"/>
  <c r="V2333" i="1"/>
  <c r="V2341" i="1"/>
  <c r="V2349" i="1"/>
  <c r="V2357" i="1"/>
  <c r="V2365" i="1"/>
  <c r="V2373" i="1"/>
  <c r="V2381" i="1"/>
  <c r="V2389" i="1"/>
  <c r="V2397" i="1"/>
  <c r="V2405" i="1"/>
  <c r="V2413" i="1"/>
  <c r="V2421" i="1"/>
  <c r="V2429" i="1"/>
  <c r="V2437" i="1"/>
  <c r="V2445" i="1"/>
  <c r="V2453" i="1"/>
  <c r="V2461" i="1"/>
  <c r="V2477" i="1"/>
  <c r="V2485" i="1"/>
  <c r="V2493" i="1"/>
  <c r="V2504" i="1"/>
  <c r="V46" i="1"/>
  <c r="V62" i="1"/>
  <c r="V97" i="1"/>
  <c r="V105" i="1"/>
  <c r="V121" i="1"/>
  <c r="V203" i="1"/>
  <c r="V219" i="1"/>
  <c r="V242" i="1"/>
  <c r="V258" i="1"/>
  <c r="V279" i="1"/>
  <c r="V303" i="1"/>
  <c r="V322" i="1"/>
  <c r="V342" i="1"/>
  <c r="V81" i="1"/>
  <c r="V139" i="1"/>
  <c r="V147" i="1"/>
  <c r="V155" i="1"/>
  <c r="V163" i="1"/>
  <c r="V171" i="1"/>
  <c r="V179" i="1"/>
  <c r="V187" i="1"/>
  <c r="V196" i="1"/>
  <c r="V204" i="1"/>
  <c r="V212" i="1"/>
  <c r="V220" i="1"/>
  <c r="V381" i="1"/>
  <c r="V435" i="1"/>
  <c r="V597" i="1"/>
  <c r="V654" i="1"/>
  <c r="V662" i="1"/>
  <c r="V766" i="1"/>
  <c r="V814" i="1"/>
  <c r="V823" i="1"/>
  <c r="W823" i="1" s="1"/>
  <c r="V831" i="1"/>
  <c r="V839" i="1"/>
  <c r="V847" i="1"/>
  <c r="V1636" i="1"/>
  <c r="V1686" i="1"/>
  <c r="V1694" i="1"/>
  <c r="V1702" i="1"/>
  <c r="V1710" i="1"/>
  <c r="V1718" i="1"/>
  <c r="V1726" i="1"/>
  <c r="V1734" i="1"/>
  <c r="V1742" i="1"/>
  <c r="V1750" i="1"/>
  <c r="V1766" i="1"/>
  <c r="V1774" i="1"/>
  <c r="V1782" i="1"/>
  <c r="V1790" i="1"/>
  <c r="V1798" i="1"/>
  <c r="V1806" i="1"/>
  <c r="V1814" i="1"/>
  <c r="V1822" i="1"/>
  <c r="V1830" i="1"/>
  <c r="V1838" i="1"/>
  <c r="V1846" i="1"/>
  <c r="V1854" i="1"/>
  <c r="V1862" i="1"/>
  <c r="V1870" i="1"/>
  <c r="V1878" i="1"/>
  <c r="V1886" i="1"/>
  <c r="V1894" i="1"/>
  <c r="V1902" i="1"/>
  <c r="V1910" i="1"/>
  <c r="V1918" i="1"/>
  <c r="V1926" i="1"/>
  <c r="V1934" i="1"/>
  <c r="V1942" i="1"/>
  <c r="V1950" i="1"/>
  <c r="V1958" i="1"/>
  <c r="V1966" i="1"/>
  <c r="V1974" i="1"/>
  <c r="V1982" i="1"/>
  <c r="V1990" i="1"/>
  <c r="V1998" i="1"/>
  <c r="V2006" i="1"/>
  <c r="V2014" i="1"/>
  <c r="V2022" i="1"/>
  <c r="V2030" i="1"/>
  <c r="V2038" i="1"/>
  <c r="V2046" i="1"/>
  <c r="V2054" i="1"/>
  <c r="V2062" i="1"/>
  <c r="V2070" i="1"/>
  <c r="V2078" i="1"/>
  <c r="V2086" i="1"/>
  <c r="V2094" i="1"/>
  <c r="V2102" i="1"/>
  <c r="V2110" i="1"/>
  <c r="V2118" i="1"/>
  <c r="V2126" i="1"/>
  <c r="V2134" i="1"/>
  <c r="V2142" i="1"/>
  <c r="V2150" i="1"/>
  <c r="V2158" i="1"/>
  <c r="V2166" i="1"/>
  <c r="V2174" i="1"/>
  <c r="V2182" i="1"/>
  <c r="V2190" i="1"/>
  <c r="V2198" i="1"/>
  <c r="V2206" i="1"/>
  <c r="V2214" i="1"/>
  <c r="V2222" i="1"/>
  <c r="V2230" i="1"/>
  <c r="V2238" i="1"/>
  <c r="V2246" i="1"/>
  <c r="V2254" i="1"/>
  <c r="V2262" i="1"/>
  <c r="V2270" i="1"/>
  <c r="V2278" i="1"/>
  <c r="V2286" i="1"/>
  <c r="V2294" i="1"/>
  <c r="V2302" i="1"/>
  <c r="V2310" i="1"/>
  <c r="V2318" i="1"/>
  <c r="V2326" i="1"/>
  <c r="V2334" i="1"/>
  <c r="V2342" i="1"/>
  <c r="V2350" i="1"/>
  <c r="V2358" i="1"/>
  <c r="V2366" i="1"/>
  <c r="V2374" i="1"/>
  <c r="V2382" i="1"/>
  <c r="V2390" i="1"/>
  <c r="V2398" i="1"/>
  <c r="V2406" i="1"/>
  <c r="V2414" i="1"/>
  <c r="V2422" i="1"/>
  <c r="V2430" i="1"/>
  <c r="V2438" i="1"/>
  <c r="V2446" i="1"/>
  <c r="V2454" i="1"/>
  <c r="V2462" i="1"/>
  <c r="V2470" i="1"/>
  <c r="V2478" i="1"/>
  <c r="V2486" i="1"/>
  <c r="V2494" i="1"/>
  <c r="V2520" i="1"/>
  <c r="V2528" i="1"/>
  <c r="V2536" i="1"/>
  <c r="V2544" i="1"/>
  <c r="I777" i="19"/>
  <c r="V73" i="1"/>
  <c r="V476" i="1"/>
  <c r="V542" i="1"/>
  <c r="V638" i="1"/>
  <c r="V680" i="1"/>
  <c r="V729" i="1"/>
  <c r="V797" i="1"/>
  <c r="V840" i="1"/>
  <c r="V909" i="1"/>
  <c r="V957" i="1"/>
  <c r="V997" i="1"/>
  <c r="V1037" i="1"/>
  <c r="V1077" i="1"/>
  <c r="V1133" i="1"/>
  <c r="V1181" i="1"/>
  <c r="V1229" i="1"/>
  <c r="V1269" i="1"/>
  <c r="V1317" i="1"/>
  <c r="V1357" i="1"/>
  <c r="V1405" i="1"/>
  <c r="V1461" i="1"/>
  <c r="V1509" i="1"/>
  <c r="V1549" i="1"/>
  <c r="V1589" i="1"/>
  <c r="V1637" i="1"/>
  <c r="V30" i="1"/>
  <c r="V107" i="1"/>
  <c r="V131" i="1"/>
  <c r="V427" i="1"/>
  <c r="V510" i="1"/>
  <c r="V558" i="1"/>
  <c r="V590" i="1"/>
  <c r="V630" i="1"/>
  <c r="V672" i="1"/>
  <c r="V719" i="1"/>
  <c r="V767" i="1"/>
  <c r="V824" i="1"/>
  <c r="V856" i="1"/>
  <c r="V893" i="1"/>
  <c r="V925" i="1"/>
  <c r="V973" i="1"/>
  <c r="V1013" i="1"/>
  <c r="V1053" i="1"/>
  <c r="V1085" i="1"/>
  <c r="V1117" i="1"/>
  <c r="V1157" i="1"/>
  <c r="V1197" i="1"/>
  <c r="V1237" i="1"/>
  <c r="V1277" i="1"/>
  <c r="V1309" i="1"/>
  <c r="V1349" i="1"/>
  <c r="V1389" i="1"/>
  <c r="V1429" i="1"/>
  <c r="V1469" i="1"/>
  <c r="V1501" i="1"/>
  <c r="V1533" i="1"/>
  <c r="V1573" i="1"/>
  <c r="V1597" i="1"/>
  <c r="V1629" i="1"/>
  <c r="V1678" i="1"/>
  <c r="V1751" i="1"/>
  <c r="V41" i="1"/>
  <c r="V49" i="1"/>
  <c r="V57" i="1"/>
  <c r="V65" i="1"/>
  <c r="V83" i="1"/>
  <c r="V92" i="1"/>
  <c r="V100" i="1"/>
  <c r="V108" i="1"/>
  <c r="V116" i="1"/>
  <c r="V124" i="1"/>
  <c r="V132" i="1"/>
  <c r="V141" i="1"/>
  <c r="V165" i="1"/>
  <c r="V198" i="1"/>
  <c r="V206" i="1"/>
  <c r="V214" i="1"/>
  <c r="V222" i="1"/>
  <c r="V245" i="1"/>
  <c r="V253" i="1"/>
  <c r="V262" i="1"/>
  <c r="V272" i="1"/>
  <c r="V283" i="1"/>
  <c r="V295" i="1"/>
  <c r="V307" i="1"/>
  <c r="V316" i="1"/>
  <c r="V326" i="1"/>
  <c r="V336" i="1"/>
  <c r="V345" i="1"/>
  <c r="V355" i="1"/>
  <c r="V364" i="1"/>
  <c r="V374" i="1"/>
  <c r="V396" i="1"/>
  <c r="V405" i="1"/>
  <c r="V477" i="1"/>
  <c r="V607" i="1"/>
  <c r="V656" i="1"/>
  <c r="V664" i="1"/>
  <c r="V673" i="1"/>
  <c r="V681" i="1"/>
  <c r="V689" i="1"/>
  <c r="V700" i="1"/>
  <c r="V711" i="1"/>
  <c r="V720" i="1"/>
  <c r="V730" i="1"/>
  <c r="V739" i="1"/>
  <c r="V749" i="1"/>
  <c r="V759" i="1"/>
  <c r="V768" i="1"/>
  <c r="V790" i="1"/>
  <c r="V798" i="1"/>
  <c r="V806" i="1"/>
  <c r="V816" i="1"/>
  <c r="V875" i="1"/>
  <c r="V886" i="1"/>
  <c r="V894" i="1"/>
  <c r="V902" i="1"/>
  <c r="V910" i="1"/>
  <c r="V918" i="1"/>
  <c r="V926" i="1"/>
  <c r="V934" i="1"/>
  <c r="V942" i="1"/>
  <c r="V950" i="1"/>
  <c r="V958" i="1"/>
  <c r="V966" i="1"/>
  <c r="V974" i="1"/>
  <c r="V982" i="1"/>
  <c r="V990" i="1"/>
  <c r="V998" i="1"/>
  <c r="V1006" i="1"/>
  <c r="V1014" i="1"/>
  <c r="V1022" i="1"/>
  <c r="V1030" i="1"/>
  <c r="V1038" i="1"/>
  <c r="V1046" i="1"/>
  <c r="V1054" i="1"/>
  <c r="V1062" i="1"/>
  <c r="V1070" i="1"/>
  <c r="V1078" i="1"/>
  <c r="V1086" i="1"/>
  <c r="V1094" i="1"/>
  <c r="V1102" i="1"/>
  <c r="V1110" i="1"/>
  <c r="V1118" i="1"/>
  <c r="V1126" i="1"/>
  <c r="V1134" i="1"/>
  <c r="V1142" i="1"/>
  <c r="V1150" i="1"/>
  <c r="V1158" i="1"/>
  <c r="V1166" i="1"/>
  <c r="V1174" i="1"/>
  <c r="V1182" i="1"/>
  <c r="V1190" i="1"/>
  <c r="V1198" i="1"/>
  <c r="V1206" i="1"/>
  <c r="V1214" i="1"/>
  <c r="V1222" i="1"/>
  <c r="V1230" i="1"/>
  <c r="V1238" i="1"/>
  <c r="V1246" i="1"/>
  <c r="V1254" i="1"/>
  <c r="V1262" i="1"/>
  <c r="V1270" i="1"/>
  <c r="V1278" i="1"/>
  <c r="V1286" i="1"/>
  <c r="V1294" i="1"/>
  <c r="V1302" i="1"/>
  <c r="V1310" i="1"/>
  <c r="V1318" i="1"/>
  <c r="V1326" i="1"/>
  <c r="V1334" i="1"/>
  <c r="V1342" i="1"/>
  <c r="V1350" i="1"/>
  <c r="V1358" i="1"/>
  <c r="V1366" i="1"/>
  <c r="V1374" i="1"/>
  <c r="V1382" i="1"/>
  <c r="V1390" i="1"/>
  <c r="V1398" i="1"/>
  <c r="V1406" i="1"/>
  <c r="V1414" i="1"/>
  <c r="V1422" i="1"/>
  <c r="V1430" i="1"/>
  <c r="V1438" i="1"/>
  <c r="V1446" i="1"/>
  <c r="V1454" i="1"/>
  <c r="V1462" i="1"/>
  <c r="V1470" i="1"/>
  <c r="V1478" i="1"/>
  <c r="V1486" i="1"/>
  <c r="V1494" i="1"/>
  <c r="V1502" i="1"/>
  <c r="V1510" i="1"/>
  <c r="V1518" i="1"/>
  <c r="V1526" i="1"/>
  <c r="V1534" i="1"/>
  <c r="V1542" i="1"/>
  <c r="V1550" i="1"/>
  <c r="V1558" i="1"/>
  <c r="V1566" i="1"/>
  <c r="V1574" i="1"/>
  <c r="V1582" i="1"/>
  <c r="V1590" i="1"/>
  <c r="V1598" i="1"/>
  <c r="V1606" i="1"/>
  <c r="V1614" i="1"/>
  <c r="V1622" i="1"/>
  <c r="V1630" i="1"/>
  <c r="V1638" i="1"/>
  <c r="V1646" i="1"/>
  <c r="V1654" i="1"/>
  <c r="V1662" i="1"/>
  <c r="V1670" i="1"/>
  <c r="V1696" i="1"/>
  <c r="V1704" i="1"/>
  <c r="V1712" i="1"/>
  <c r="V1720" i="1"/>
  <c r="V1728" i="1"/>
  <c r="V1736" i="1"/>
  <c r="V1744" i="1"/>
  <c r="V1752" i="1"/>
  <c r="V1760" i="1"/>
  <c r="V1768" i="1"/>
  <c r="V1776" i="1"/>
  <c r="V1784" i="1"/>
  <c r="V1792" i="1"/>
  <c r="V1800" i="1"/>
  <c r="V1808" i="1"/>
  <c r="V1816" i="1"/>
  <c r="V1824" i="1"/>
  <c r="V1832" i="1"/>
  <c r="V1840" i="1"/>
  <c r="V1864" i="1"/>
  <c r="V1872" i="1"/>
  <c r="V1880" i="1"/>
  <c r="V1888" i="1"/>
  <c r="V1896" i="1"/>
  <c r="V1904" i="1"/>
  <c r="V1912" i="1"/>
  <c r="V1920" i="1"/>
  <c r="V1928" i="1"/>
  <c r="V1936" i="1"/>
  <c r="V1944" i="1"/>
  <c r="V1952" i="1"/>
  <c r="V1976" i="1"/>
  <c r="V1992" i="1"/>
  <c r="V2000" i="1"/>
  <c r="V2008" i="1"/>
  <c r="V2016" i="1"/>
  <c r="V2024" i="1"/>
  <c r="V2032" i="1"/>
  <c r="V2040" i="1"/>
  <c r="V2048" i="1"/>
  <c r="V2056" i="1"/>
  <c r="V2064" i="1"/>
  <c r="V2072" i="1"/>
  <c r="V2080" i="1"/>
  <c r="V2088" i="1"/>
  <c r="V2096" i="1"/>
  <c r="V2104" i="1"/>
  <c r="V2112" i="1"/>
  <c r="V2120" i="1"/>
  <c r="V2128" i="1"/>
  <c r="V2136" i="1"/>
  <c r="V2144" i="1"/>
  <c r="V2152" i="1"/>
  <c r="V2160" i="1"/>
  <c r="V2168" i="1"/>
  <c r="V2176" i="1"/>
  <c r="V2184" i="1"/>
  <c r="V2192" i="1"/>
  <c r="V2200" i="1"/>
  <c r="V2208" i="1"/>
  <c r="V2216" i="1"/>
  <c r="V2224" i="1"/>
  <c r="V2232" i="1"/>
  <c r="V2240" i="1"/>
  <c r="V2248" i="1"/>
  <c r="V2256" i="1"/>
  <c r="V2264" i="1"/>
  <c r="V2272" i="1"/>
  <c r="V2280" i="1"/>
  <c r="V2288" i="1"/>
  <c r="V2296" i="1"/>
  <c r="V2304" i="1"/>
  <c r="V2312" i="1"/>
  <c r="V2320" i="1"/>
  <c r="V2328" i="1"/>
  <c r="V2336" i="1"/>
  <c r="V2344" i="1"/>
  <c r="V2352" i="1"/>
  <c r="V2360" i="1"/>
  <c r="V2368" i="1"/>
  <c r="V2376" i="1"/>
  <c r="V2384" i="1"/>
  <c r="V2392" i="1"/>
  <c r="V2400" i="1"/>
  <c r="V2408" i="1"/>
  <c r="V2416" i="1"/>
  <c r="V2424" i="1"/>
  <c r="V2432" i="1"/>
  <c r="V2440" i="1"/>
  <c r="V2448" i="1"/>
  <c r="V2456" i="1"/>
  <c r="V2464" i="1"/>
  <c r="V2472" i="1"/>
  <c r="V2480" i="1"/>
  <c r="V2488" i="1"/>
  <c r="V2496" i="1"/>
  <c r="V2509" i="1"/>
  <c r="V2522" i="1"/>
  <c r="V2530" i="1"/>
  <c r="V2538" i="1"/>
  <c r="V2546" i="1"/>
  <c r="V99" i="1"/>
  <c r="V197" i="1"/>
  <c r="V501" i="1"/>
  <c r="V526" i="1"/>
  <c r="V566" i="1"/>
  <c r="V606" i="1"/>
  <c r="V646" i="1"/>
  <c r="V688" i="1"/>
  <c r="V738" i="1"/>
  <c r="V789" i="1"/>
  <c r="V832" i="1"/>
  <c r="V864" i="1"/>
  <c r="V901" i="1"/>
  <c r="V941" i="1"/>
  <c r="V989" i="1"/>
  <c r="V1021" i="1"/>
  <c r="V1069" i="1"/>
  <c r="V1109" i="1"/>
  <c r="V1149" i="1"/>
  <c r="V1189" i="1"/>
  <c r="V1221" i="1"/>
  <c r="V1261" i="1"/>
  <c r="V1293" i="1"/>
  <c r="V1341" i="1"/>
  <c r="V1373" i="1"/>
  <c r="V1413" i="1"/>
  <c r="V1453" i="1"/>
  <c r="V1493" i="1"/>
  <c r="V1541" i="1"/>
  <c r="V1581" i="1"/>
  <c r="V1621" i="1"/>
  <c r="V1653" i="1"/>
  <c r="V2295" i="1"/>
  <c r="V75" i="1"/>
  <c r="V84" i="1"/>
  <c r="V93" i="1"/>
  <c r="V101" i="1"/>
  <c r="V109" i="1"/>
  <c r="V125" i="1"/>
  <c r="V142" i="1"/>
  <c r="V150" i="1"/>
  <c r="V158" i="1"/>
  <c r="V166" i="1"/>
  <c r="V174" i="1"/>
  <c r="V182" i="1"/>
  <c r="V238" i="1"/>
  <c r="V397" i="1"/>
  <c r="V429" i="1"/>
  <c r="V469" i="1"/>
  <c r="V478" i="1"/>
  <c r="V494" i="1"/>
  <c r="V504" i="1"/>
  <c r="V512" i="1"/>
  <c r="V520" i="1"/>
  <c r="V528" i="1"/>
  <c r="V536" i="1"/>
  <c r="V544" i="1"/>
  <c r="V552" i="1"/>
  <c r="V560" i="1"/>
  <c r="V568" i="1"/>
  <c r="V576" i="1"/>
  <c r="V584" i="1"/>
  <c r="V592" i="1"/>
  <c r="V600" i="1"/>
  <c r="V608" i="1"/>
  <c r="V616" i="1"/>
  <c r="V624" i="1"/>
  <c r="V632" i="1"/>
  <c r="V640" i="1"/>
  <c r="V648" i="1"/>
  <c r="V657" i="1"/>
  <c r="V665" i="1"/>
  <c r="V690" i="1"/>
  <c r="V1647" i="1"/>
  <c r="V1680" i="1"/>
  <c r="V1697" i="1"/>
  <c r="V1705" i="1"/>
  <c r="V1713" i="1"/>
  <c r="V1721" i="1"/>
  <c r="V1729" i="1"/>
  <c r="V1737" i="1"/>
  <c r="V1793" i="1"/>
  <c r="V1825" i="1"/>
  <c r="V1857" i="1"/>
  <c r="V1889" i="1"/>
  <c r="V1921" i="1"/>
  <c r="V1953" i="1"/>
  <c r="V1985" i="1"/>
  <c r="V2017" i="1"/>
  <c r="V2049" i="1"/>
  <c r="V2089" i="1"/>
  <c r="V2169" i="1"/>
  <c r="V2257" i="1"/>
  <c r="V2289" i="1"/>
  <c r="V2321" i="1"/>
  <c r="V2353" i="1"/>
  <c r="V2385" i="1"/>
  <c r="V2473" i="1"/>
  <c r="V2481" i="1"/>
  <c r="V2489" i="1"/>
  <c r="V2497" i="1"/>
  <c r="V2515" i="1"/>
  <c r="V2523" i="1"/>
  <c r="V2531" i="1"/>
  <c r="V2539" i="1"/>
  <c r="V172" i="1"/>
  <c r="V436" i="1"/>
  <c r="V518" i="1"/>
  <c r="V550" i="1"/>
  <c r="V582" i="1"/>
  <c r="V622" i="1"/>
  <c r="V698" i="1"/>
  <c r="V748" i="1"/>
  <c r="V848" i="1"/>
  <c r="V885" i="1"/>
  <c r="V933" i="1"/>
  <c r="V965" i="1"/>
  <c r="V1005" i="1"/>
  <c r="V1045" i="1"/>
  <c r="V1093" i="1"/>
  <c r="V1125" i="1"/>
  <c r="V1165" i="1"/>
  <c r="V1205" i="1"/>
  <c r="V1245" i="1"/>
  <c r="V1285" i="1"/>
  <c r="V1325" i="1"/>
  <c r="V1365" i="1"/>
  <c r="V1397" i="1"/>
  <c r="V1437" i="1"/>
  <c r="V1477" i="1"/>
  <c r="V1517" i="1"/>
  <c r="V1557" i="1"/>
  <c r="V1605" i="1"/>
  <c r="V1645" i="1"/>
  <c r="V1669" i="1"/>
  <c r="V1839" i="1"/>
  <c r="V2111" i="1"/>
  <c r="V2223" i="1"/>
  <c r="V2263" i="1"/>
  <c r="V33" i="1"/>
  <c r="V51" i="1"/>
  <c r="V59" i="1"/>
  <c r="V67" i="1"/>
  <c r="V76" i="1"/>
  <c r="V85" i="1"/>
  <c r="V94" i="1"/>
  <c r="V102" i="1"/>
  <c r="V110" i="1"/>
  <c r="V118" i="1"/>
  <c r="V126" i="1"/>
  <c r="V134" i="1"/>
  <c r="V151" i="1"/>
  <c r="V183" i="1"/>
  <c r="V239" i="1"/>
  <c r="V247" i="1"/>
  <c r="V255" i="1"/>
  <c r="V264" i="1"/>
  <c r="V274" i="1"/>
  <c r="V286" i="1"/>
  <c r="V298" i="1"/>
  <c r="V309" i="1"/>
  <c r="V319" i="1"/>
  <c r="V328" i="1"/>
  <c r="V338" i="1"/>
  <c r="V348" i="1"/>
  <c r="V357" i="1"/>
  <c r="V367" i="1"/>
  <c r="V376" i="1"/>
  <c r="V398" i="1"/>
  <c r="V421" i="1"/>
  <c r="V430" i="1"/>
  <c r="V470" i="1"/>
  <c r="V480" i="1"/>
  <c r="V495" i="1"/>
  <c r="V505" i="1"/>
  <c r="V513" i="1"/>
  <c r="V521" i="1"/>
  <c r="V529" i="1"/>
  <c r="V537" i="1"/>
  <c r="V545" i="1"/>
  <c r="V553" i="1"/>
  <c r="V561" i="1"/>
  <c r="V569" i="1"/>
  <c r="V577" i="1"/>
  <c r="V585" i="1"/>
  <c r="V593" i="1"/>
  <c r="V601" i="1"/>
  <c r="V609" i="1"/>
  <c r="V617" i="1"/>
  <c r="V625" i="1"/>
  <c r="V633" i="1"/>
  <c r="V641" i="1"/>
  <c r="V649" i="1"/>
  <c r="V666" i="1"/>
  <c r="V675" i="1"/>
  <c r="V683" i="1"/>
  <c r="V691" i="1"/>
  <c r="V703" i="1"/>
  <c r="V713" i="1"/>
  <c r="V723" i="1"/>
  <c r="V732" i="1"/>
  <c r="V742" i="1"/>
  <c r="V751" i="1"/>
  <c r="V761" i="1"/>
  <c r="V771" i="1"/>
  <c r="V792" i="1"/>
  <c r="V827" i="1"/>
  <c r="V835" i="1"/>
  <c r="V843" i="1"/>
  <c r="V851" i="1"/>
  <c r="V859" i="1"/>
  <c r="V880" i="1"/>
  <c r="V888" i="1"/>
  <c r="V896" i="1"/>
  <c r="V904" i="1"/>
  <c r="V912" i="1"/>
  <c r="V920" i="1"/>
  <c r="V928" i="1"/>
  <c r="V936" i="1"/>
  <c r="V944" i="1"/>
  <c r="V952" i="1"/>
  <c r="V960" i="1"/>
  <c r="V968" i="1"/>
  <c r="V976" i="1"/>
  <c r="V984" i="1"/>
  <c r="V992" i="1"/>
  <c r="V1000" i="1"/>
  <c r="V1008" i="1"/>
  <c r="V1016" i="1"/>
  <c r="V1024" i="1"/>
  <c r="V1032" i="1"/>
  <c r="V1040" i="1"/>
  <c r="V1048" i="1"/>
  <c r="V1056" i="1"/>
  <c r="V1064" i="1"/>
  <c r="V1072" i="1"/>
  <c r="V1080" i="1"/>
  <c r="V1088" i="1"/>
  <c r="V1096" i="1"/>
  <c r="V1104" i="1"/>
  <c r="V1112" i="1"/>
  <c r="V1120" i="1"/>
  <c r="V1128" i="1"/>
  <c r="V1136" i="1"/>
  <c r="V1144" i="1"/>
  <c r="V1152" i="1"/>
  <c r="V1160" i="1"/>
  <c r="V1168" i="1"/>
  <c r="V1176" i="1"/>
  <c r="V1184" i="1"/>
  <c r="V1192" i="1"/>
  <c r="V1200" i="1"/>
  <c r="V1208" i="1"/>
  <c r="V1216" i="1"/>
  <c r="V1224" i="1"/>
  <c r="V1232" i="1"/>
  <c r="V1240" i="1"/>
  <c r="V1248" i="1"/>
  <c r="V1256" i="1"/>
  <c r="V1264" i="1"/>
  <c r="V1272" i="1"/>
  <c r="V1280" i="1"/>
  <c r="V1288" i="1"/>
  <c r="V1296" i="1"/>
  <c r="V1304" i="1"/>
  <c r="V1312" i="1"/>
  <c r="V1320" i="1"/>
  <c r="V1328" i="1"/>
  <c r="V1336" i="1"/>
  <c r="V1344" i="1"/>
  <c r="V1352" i="1"/>
  <c r="V1360" i="1"/>
  <c r="V1368" i="1"/>
  <c r="V1376" i="1"/>
  <c r="V1384" i="1"/>
  <c r="V1392" i="1"/>
  <c r="V1400" i="1"/>
  <c r="V1408" i="1"/>
  <c r="V1416" i="1"/>
  <c r="V1424" i="1"/>
  <c r="V1432" i="1"/>
  <c r="V1440" i="1"/>
  <c r="V1448" i="1"/>
  <c r="V1456" i="1"/>
  <c r="V1464" i="1"/>
  <c r="V1472" i="1"/>
  <c r="V1480" i="1"/>
  <c r="V1488" i="1"/>
  <c r="V1496" i="1"/>
  <c r="V1504" i="1"/>
  <c r="V1512" i="1"/>
  <c r="V1520" i="1"/>
  <c r="V1528" i="1"/>
  <c r="V1536" i="1"/>
  <c r="V1544" i="1"/>
  <c r="V1552" i="1"/>
  <c r="V1560" i="1"/>
  <c r="V1568" i="1"/>
  <c r="V1576" i="1"/>
  <c r="V1584" i="1"/>
  <c r="V1592" i="1"/>
  <c r="V1600" i="1"/>
  <c r="V1608" i="1"/>
  <c r="V1616" i="1"/>
  <c r="V1624" i="1"/>
  <c r="V1632" i="1"/>
  <c r="V1640" i="1"/>
  <c r="V1648" i="1"/>
  <c r="V1656" i="1"/>
  <c r="V1664" i="1"/>
  <c r="V1672" i="1"/>
  <c r="V1786" i="1"/>
  <c r="V1818" i="1"/>
  <c r="V1850" i="1"/>
  <c r="V1882" i="1"/>
  <c r="V1914" i="1"/>
  <c r="V1946" i="1"/>
  <c r="V1978" i="1"/>
  <c r="V2010" i="1"/>
  <c r="V2042" i="1"/>
  <c r="V2082" i="1"/>
  <c r="V2122" i="1"/>
  <c r="V2234" i="1"/>
  <c r="V2250" i="1"/>
  <c r="V2282" i="1"/>
  <c r="V2306" i="1"/>
  <c r="V2346" i="1"/>
  <c r="V2378" i="1"/>
  <c r="I438" i="19"/>
  <c r="V91" i="1"/>
  <c r="V115" i="1"/>
  <c r="V492" i="1"/>
  <c r="V534" i="1"/>
  <c r="V574" i="1"/>
  <c r="V614" i="1"/>
  <c r="V709" i="1"/>
  <c r="V757" i="1"/>
  <c r="V805" i="1"/>
  <c r="V917" i="1"/>
  <c r="V949" i="1"/>
  <c r="V981" i="1"/>
  <c r="V1029" i="1"/>
  <c r="V1061" i="1"/>
  <c r="V1101" i="1"/>
  <c r="V1141" i="1"/>
  <c r="V1173" i="1"/>
  <c r="V1213" i="1"/>
  <c r="V1253" i="1"/>
  <c r="V1301" i="1"/>
  <c r="V1333" i="1"/>
  <c r="V1381" i="1"/>
  <c r="V1421" i="1"/>
  <c r="V1445" i="1"/>
  <c r="V1485" i="1"/>
  <c r="V1525" i="1"/>
  <c r="V1565" i="1"/>
  <c r="V1613" i="1"/>
  <c r="V1661" i="1"/>
  <c r="V1807" i="1"/>
  <c r="V2071" i="1"/>
  <c r="V25" i="1"/>
  <c r="V36" i="1"/>
  <c r="V44" i="1"/>
  <c r="V52" i="1"/>
  <c r="V60" i="1"/>
  <c r="V68" i="1"/>
  <c r="V86" i="1"/>
  <c r="V193" i="1"/>
  <c r="V201" i="1"/>
  <c r="V209" i="1"/>
  <c r="V217" i="1"/>
  <c r="V225" i="1"/>
  <c r="V240" i="1"/>
  <c r="V248" i="1"/>
  <c r="V256" i="1"/>
  <c r="V266" i="1"/>
  <c r="V276" i="1"/>
  <c r="V288" i="1"/>
  <c r="V300" i="1"/>
  <c r="V310" i="1"/>
  <c r="V320" i="1"/>
  <c r="V330" i="1"/>
  <c r="V339" i="1"/>
  <c r="V349" i="1"/>
  <c r="V358" i="1"/>
  <c r="V368" i="1"/>
  <c r="V378" i="1"/>
  <c r="V399" i="1"/>
  <c r="V481" i="1"/>
  <c r="V514" i="1"/>
  <c r="V538" i="1"/>
  <c r="V546" i="1"/>
  <c r="V610" i="1"/>
  <c r="V659" i="1"/>
  <c r="V667" i="1"/>
  <c r="V869" i="1"/>
  <c r="V881" i="1"/>
  <c r="V889" i="1"/>
  <c r="V897" i="1"/>
  <c r="V905" i="1"/>
  <c r="V1593" i="1"/>
  <c r="V1601" i="1"/>
  <c r="V1609" i="1"/>
  <c r="V1617" i="1"/>
  <c r="V1683" i="1"/>
  <c r="V1699" i="1"/>
  <c r="V1707" i="1"/>
  <c r="V1715" i="1"/>
  <c r="V1723" i="1"/>
  <c r="V1731" i="1"/>
  <c r="V1739" i="1"/>
  <c r="V1747" i="1"/>
  <c r="V1755" i="1"/>
  <c r="V1763" i="1"/>
  <c r="V1771" i="1"/>
  <c r="V1779" i="1"/>
  <c r="V1787" i="1"/>
  <c r="V1795" i="1"/>
  <c r="V1803" i="1"/>
  <c r="V1811" i="1"/>
  <c r="V1819" i="1"/>
  <c r="V1827" i="1"/>
  <c r="V1835" i="1"/>
  <c r="V1843" i="1"/>
  <c r="V1851" i="1"/>
  <c r="V1859" i="1"/>
  <c r="V1867" i="1"/>
  <c r="V1875" i="1"/>
  <c r="V1883" i="1"/>
  <c r="V1891" i="1"/>
  <c r="V1899" i="1"/>
  <c r="V1907" i="1"/>
  <c r="V1915" i="1"/>
  <c r="V1923" i="1"/>
  <c r="V1931" i="1"/>
  <c r="V1939" i="1"/>
  <c r="V1947" i="1"/>
  <c r="V1955" i="1"/>
  <c r="V1963" i="1"/>
  <c r="V1971" i="1"/>
  <c r="V1979" i="1"/>
  <c r="V1987" i="1"/>
  <c r="V1995" i="1"/>
  <c r="V2003" i="1"/>
  <c r="V2011" i="1"/>
  <c r="V2019" i="1"/>
  <c r="V2027" i="1"/>
  <c r="V2035" i="1"/>
  <c r="V2043" i="1"/>
  <c r="V2051" i="1"/>
  <c r="V2059" i="1"/>
  <c r="V2067" i="1"/>
  <c r="V2075" i="1"/>
  <c r="V2091" i="1"/>
  <c r="V2099" i="1"/>
  <c r="V2107" i="1"/>
  <c r="V2115" i="1"/>
  <c r="V2123" i="1"/>
  <c r="V2131" i="1"/>
  <c r="V2139" i="1"/>
  <c r="V2147" i="1"/>
  <c r="V2155" i="1"/>
  <c r="V2163" i="1"/>
  <c r="V2171" i="1"/>
  <c r="V2179" i="1"/>
  <c r="V2187" i="1"/>
  <c r="V2195" i="1"/>
  <c r="V2203" i="1"/>
  <c r="V2211" i="1"/>
  <c r="V2219" i="1"/>
  <c r="V2227" i="1"/>
  <c r="V2235" i="1"/>
  <c r="V2243" i="1"/>
  <c r="V2251" i="1"/>
  <c r="V2259" i="1"/>
  <c r="V2267" i="1"/>
  <c r="V2275" i="1"/>
  <c r="V2283" i="1"/>
  <c r="V2291" i="1"/>
  <c r="V2307" i="1"/>
  <c r="V2315" i="1"/>
  <c r="V2323" i="1"/>
  <c r="V2331" i="1"/>
  <c r="V2339" i="1"/>
  <c r="V2347" i="1"/>
  <c r="V2355" i="1"/>
  <c r="V2363" i="1"/>
  <c r="V2371" i="1"/>
  <c r="V2379" i="1"/>
  <c r="V2387" i="1"/>
  <c r="V2403" i="1"/>
  <c r="V2411" i="1"/>
  <c r="V2419" i="1"/>
  <c r="V2427" i="1"/>
  <c r="V2435" i="1"/>
  <c r="V2443" i="1"/>
  <c r="V2451" i="1"/>
  <c r="V2459" i="1"/>
  <c r="V2467" i="1"/>
  <c r="V2475" i="1"/>
  <c r="V2483" i="1"/>
  <c r="V2491" i="1"/>
  <c r="V2499" i="1"/>
  <c r="V2517" i="1"/>
  <c r="V2525" i="1"/>
  <c r="V2533" i="1"/>
  <c r="V2541" i="1"/>
  <c r="V2410" i="1"/>
  <c r="V2418" i="1"/>
  <c r="V2426" i="1"/>
  <c r="V2434" i="1"/>
  <c r="V2442" i="1"/>
  <c r="V2450" i="1"/>
  <c r="V2458" i="1"/>
  <c r="V2466" i="1"/>
  <c r="V2412" i="1"/>
  <c r="V2420" i="1"/>
  <c r="V2428" i="1"/>
  <c r="V2436" i="1"/>
  <c r="V2444" i="1"/>
  <c r="V2452" i="1"/>
  <c r="V2460" i="1"/>
  <c r="V2103" i="1"/>
  <c r="V2127" i="1"/>
  <c r="V2135" i="1"/>
  <c r="V2143" i="1"/>
  <c r="V2151" i="1"/>
  <c r="V2159" i="1"/>
  <c r="V2183" i="1"/>
  <c r="V2191" i="1"/>
  <c r="V2199" i="1"/>
  <c r="V2207" i="1"/>
  <c r="V2215" i="1"/>
  <c r="V2239" i="1"/>
  <c r="V2327" i="1"/>
  <c r="V2335" i="1"/>
  <c r="V2343" i="1"/>
  <c r="V2351" i="1"/>
  <c r="V2359" i="1"/>
  <c r="V2367" i="1"/>
  <c r="V2375" i="1"/>
  <c r="V2383" i="1"/>
  <c r="V2407" i="1"/>
  <c r="V2415" i="1"/>
  <c r="V2423" i="1"/>
  <c r="V2431" i="1"/>
  <c r="V2439" i="1"/>
  <c r="V2447" i="1"/>
  <c r="V2455" i="1"/>
  <c r="V2463" i="1"/>
  <c r="V26" i="1"/>
  <c r="V28" i="1"/>
  <c r="V29" i="1"/>
  <c r="V23" i="1"/>
  <c r="V913" i="1"/>
  <c r="V24" i="1"/>
  <c r="V853" i="1"/>
  <c r="V27" i="1"/>
  <c r="Y783" i="19"/>
  <c r="Y785" i="19"/>
  <c r="Y787" i="19"/>
  <c r="Y822" i="31" l="1"/>
  <c r="Y822" i="32"/>
  <c r="Y2500" i="31"/>
  <c r="Y2500" i="32"/>
  <c r="Y823" i="31"/>
  <c r="Y823" i="32"/>
  <c r="Y786" i="19"/>
  <c r="Y784" i="19"/>
  <c r="Y444" i="19"/>
  <c r="Y447" i="19"/>
  <c r="Y448" i="19"/>
  <c r="Y445" i="19"/>
  <c r="Y446" i="19"/>
  <c r="Y486" i="19"/>
  <c r="Y411" i="19"/>
  <c r="Y777" i="19"/>
  <c r="Y441" i="19"/>
  <c r="Y409" i="19"/>
  <c r="Y439" i="19"/>
  <c r="Y781" i="19"/>
  <c r="Y410" i="19"/>
  <c r="Y489" i="19"/>
  <c r="Y442" i="19"/>
  <c r="Y412" i="19"/>
  <c r="Y440" i="19"/>
  <c r="Y487" i="19"/>
  <c r="Y490" i="19"/>
  <c r="Y823" i="19"/>
  <c r="Y438" i="19"/>
  <c r="Y778" i="19"/>
  <c r="Y822" i="19"/>
  <c r="Y779" i="19"/>
  <c r="Y488" i="19"/>
  <c r="Y780" i="19"/>
  <c r="K2546" i="19" l="1"/>
  <c r="E2546" i="19"/>
  <c r="D2546" i="19"/>
  <c r="C2546" i="19"/>
  <c r="B2546" i="19"/>
  <c r="K2545" i="19"/>
  <c r="E2545" i="19"/>
  <c r="D2545" i="19"/>
  <c r="C2545" i="19"/>
  <c r="B2545" i="19"/>
  <c r="K2544" i="19"/>
  <c r="E2544" i="19"/>
  <c r="D2544" i="19"/>
  <c r="C2544" i="19"/>
  <c r="B2544" i="19"/>
  <c r="K2543" i="19"/>
  <c r="E2543" i="19"/>
  <c r="D2543" i="19"/>
  <c r="C2543" i="19"/>
  <c r="B2543" i="19"/>
  <c r="K2542" i="19"/>
  <c r="E2542" i="19"/>
  <c r="D2542" i="19"/>
  <c r="C2542" i="19"/>
  <c r="B2542" i="19"/>
  <c r="K2541" i="19"/>
  <c r="E2541" i="19"/>
  <c r="D2541" i="19"/>
  <c r="C2541" i="19"/>
  <c r="B2541" i="19"/>
  <c r="K2540" i="19"/>
  <c r="E2540" i="19"/>
  <c r="D2540" i="19"/>
  <c r="C2540" i="19"/>
  <c r="B2540" i="19"/>
  <c r="K2539" i="19"/>
  <c r="E2539" i="19"/>
  <c r="D2539" i="19"/>
  <c r="C2539" i="19"/>
  <c r="B2539" i="19"/>
  <c r="K2538" i="19"/>
  <c r="E2538" i="19"/>
  <c r="D2538" i="19"/>
  <c r="C2538" i="19"/>
  <c r="B2538" i="19"/>
  <c r="K2537" i="19"/>
  <c r="E2537" i="19"/>
  <c r="D2537" i="19"/>
  <c r="C2537" i="19"/>
  <c r="B2537" i="19"/>
  <c r="K2536" i="19"/>
  <c r="E2536" i="19"/>
  <c r="D2536" i="19"/>
  <c r="C2536" i="19"/>
  <c r="B2536" i="19"/>
  <c r="K2535" i="19"/>
  <c r="E2535" i="19"/>
  <c r="D2535" i="19"/>
  <c r="C2535" i="19"/>
  <c r="B2535" i="19"/>
  <c r="K2534" i="19"/>
  <c r="E2534" i="19"/>
  <c r="D2534" i="19"/>
  <c r="C2534" i="19"/>
  <c r="B2534" i="19"/>
  <c r="K2533" i="19"/>
  <c r="E2533" i="19"/>
  <c r="D2533" i="19"/>
  <c r="C2533" i="19"/>
  <c r="B2533" i="19"/>
  <c r="K2532" i="19"/>
  <c r="E2532" i="19"/>
  <c r="D2532" i="19"/>
  <c r="C2532" i="19"/>
  <c r="B2532" i="19"/>
  <c r="K2531" i="19"/>
  <c r="E2531" i="19"/>
  <c r="D2531" i="19"/>
  <c r="C2531" i="19"/>
  <c r="B2531" i="19"/>
  <c r="K2530" i="19"/>
  <c r="E2530" i="19"/>
  <c r="D2530" i="19"/>
  <c r="C2530" i="19"/>
  <c r="B2530" i="19"/>
  <c r="K2529" i="19"/>
  <c r="E2529" i="19"/>
  <c r="D2529" i="19"/>
  <c r="C2529" i="19"/>
  <c r="B2529" i="19"/>
  <c r="K2528" i="19"/>
  <c r="E2528" i="19"/>
  <c r="D2528" i="19"/>
  <c r="C2528" i="19"/>
  <c r="B2528" i="19"/>
  <c r="K2527" i="19"/>
  <c r="E2527" i="19"/>
  <c r="D2527" i="19"/>
  <c r="C2527" i="19"/>
  <c r="B2527" i="19"/>
  <c r="K2526" i="19"/>
  <c r="E2526" i="19"/>
  <c r="D2526" i="19"/>
  <c r="C2526" i="19"/>
  <c r="B2526" i="19"/>
  <c r="K2525" i="19"/>
  <c r="E2525" i="19"/>
  <c r="D2525" i="19"/>
  <c r="C2525" i="19"/>
  <c r="B2525" i="19"/>
  <c r="B2516" i="19"/>
  <c r="C2516" i="19"/>
  <c r="B2517" i="19"/>
  <c r="C2517" i="19"/>
  <c r="B2518" i="19"/>
  <c r="C2518" i="19"/>
  <c r="B2519" i="19"/>
  <c r="C2519" i="19"/>
  <c r="B2520" i="19"/>
  <c r="C2520" i="19"/>
  <c r="B2521" i="19"/>
  <c r="C2521" i="19"/>
  <c r="B2522" i="19"/>
  <c r="C2522" i="19"/>
  <c r="B2523" i="19"/>
  <c r="C2523" i="19"/>
  <c r="K2524" i="19"/>
  <c r="E2524" i="19"/>
  <c r="D2524" i="19"/>
  <c r="C2524" i="19"/>
  <c r="B2524" i="19"/>
  <c r="K2523" i="19"/>
  <c r="E2523" i="19"/>
  <c r="D2523" i="19"/>
  <c r="K2522" i="19"/>
  <c r="E2522" i="19"/>
  <c r="D2522" i="19"/>
  <c r="K2521" i="19"/>
  <c r="E2521" i="19"/>
  <c r="D2521" i="19"/>
  <c r="K2520" i="19"/>
  <c r="E2520" i="19"/>
  <c r="D2520" i="19"/>
  <c r="K2519" i="19"/>
  <c r="E2519" i="19"/>
  <c r="D2519" i="19"/>
  <c r="K2518" i="19"/>
  <c r="E2518" i="19"/>
  <c r="D2518" i="19"/>
  <c r="K2517" i="19"/>
  <c r="E2517" i="19"/>
  <c r="D2517" i="19"/>
  <c r="K2516" i="19"/>
  <c r="E2516" i="19"/>
  <c r="D2516" i="19"/>
  <c r="M2498" i="19"/>
  <c r="M2497" i="19"/>
  <c r="M2496" i="19"/>
  <c r="M2495" i="19"/>
  <c r="M2494" i="19"/>
  <c r="M2493" i="19"/>
  <c r="M2492" i="19"/>
  <c r="M2491" i="19"/>
  <c r="M2490" i="19"/>
  <c r="M2489" i="19"/>
  <c r="M2488" i="19"/>
  <c r="M2487" i="19"/>
  <c r="M2486" i="19"/>
  <c r="M2485" i="19"/>
  <c r="M2484" i="19"/>
  <c r="M2483" i="19"/>
  <c r="M2482" i="19"/>
  <c r="M2481" i="19"/>
  <c r="M2480" i="19"/>
  <c r="M2479" i="19"/>
  <c r="M2478" i="19"/>
  <c r="M2477" i="19"/>
  <c r="M2476" i="19"/>
  <c r="M2475" i="19"/>
  <c r="M2474" i="19"/>
  <c r="M2473" i="19"/>
  <c r="M2472" i="19"/>
  <c r="M2471" i="19"/>
  <c r="M2470" i="19"/>
  <c r="M2469" i="19"/>
  <c r="M2468" i="19"/>
  <c r="K2498" i="19"/>
  <c r="E2498" i="19"/>
  <c r="D2498" i="19"/>
  <c r="C2498" i="19"/>
  <c r="B2498" i="19"/>
  <c r="K2497" i="19"/>
  <c r="E2497" i="19"/>
  <c r="D2497" i="19"/>
  <c r="C2497" i="19"/>
  <c r="B2497" i="19"/>
  <c r="K2496" i="19"/>
  <c r="E2496" i="19"/>
  <c r="D2496" i="19"/>
  <c r="C2496" i="19"/>
  <c r="B2496" i="19"/>
  <c r="K2495" i="19"/>
  <c r="E2495" i="19"/>
  <c r="D2495" i="19"/>
  <c r="C2495" i="19"/>
  <c r="B2495" i="19"/>
  <c r="K2494" i="19"/>
  <c r="E2494" i="19"/>
  <c r="D2494" i="19"/>
  <c r="C2494" i="19"/>
  <c r="B2494" i="19"/>
  <c r="K2493" i="19"/>
  <c r="E2493" i="19"/>
  <c r="D2493" i="19"/>
  <c r="C2493" i="19"/>
  <c r="B2493" i="19"/>
  <c r="K2492" i="19"/>
  <c r="E2492" i="19"/>
  <c r="D2492" i="19"/>
  <c r="C2492" i="19"/>
  <c r="B2492" i="19"/>
  <c r="K2491" i="19"/>
  <c r="E2491" i="19"/>
  <c r="D2491" i="19"/>
  <c r="C2491" i="19"/>
  <c r="B2491" i="19"/>
  <c r="K2490" i="19"/>
  <c r="E2490" i="19"/>
  <c r="D2490" i="19"/>
  <c r="C2490" i="19"/>
  <c r="B2490" i="19"/>
  <c r="K2489" i="19"/>
  <c r="E2489" i="19"/>
  <c r="D2489" i="19"/>
  <c r="C2489" i="19"/>
  <c r="B2489" i="19"/>
  <c r="K2488" i="19"/>
  <c r="E2488" i="19"/>
  <c r="D2488" i="19"/>
  <c r="C2488" i="19"/>
  <c r="B2488" i="19"/>
  <c r="K2487" i="19"/>
  <c r="E2487" i="19"/>
  <c r="D2487" i="19"/>
  <c r="C2487" i="19"/>
  <c r="B2487" i="19"/>
  <c r="K2486" i="19"/>
  <c r="E2486" i="19"/>
  <c r="D2486" i="19"/>
  <c r="C2486" i="19"/>
  <c r="B2486" i="19"/>
  <c r="K2485" i="19"/>
  <c r="E2485" i="19"/>
  <c r="D2485" i="19"/>
  <c r="C2485" i="19"/>
  <c r="B2485" i="19"/>
  <c r="K2484" i="19"/>
  <c r="E2484" i="19"/>
  <c r="D2484" i="19"/>
  <c r="C2484" i="19"/>
  <c r="B2484" i="19"/>
  <c r="K2483" i="19"/>
  <c r="E2483" i="19"/>
  <c r="D2483" i="19"/>
  <c r="C2483" i="19"/>
  <c r="B2483" i="19"/>
  <c r="K2482" i="19"/>
  <c r="E2482" i="19"/>
  <c r="D2482" i="19"/>
  <c r="C2482" i="19"/>
  <c r="B2482" i="19"/>
  <c r="K2481" i="19"/>
  <c r="E2481" i="19"/>
  <c r="D2481" i="19"/>
  <c r="C2481" i="19"/>
  <c r="B2481" i="19"/>
  <c r="K2480" i="19"/>
  <c r="E2480" i="19"/>
  <c r="D2480" i="19"/>
  <c r="C2480" i="19"/>
  <c r="B2480" i="19"/>
  <c r="K2479" i="19"/>
  <c r="E2479" i="19"/>
  <c r="D2479" i="19"/>
  <c r="C2479" i="19"/>
  <c r="B2479" i="19"/>
  <c r="K2478" i="19"/>
  <c r="E2478" i="19"/>
  <c r="D2478" i="19"/>
  <c r="C2478" i="19"/>
  <c r="B2478" i="19"/>
  <c r="K2477" i="19"/>
  <c r="E2477" i="19"/>
  <c r="D2477" i="19"/>
  <c r="C2477" i="19"/>
  <c r="B2477" i="19"/>
  <c r="K2476" i="19"/>
  <c r="E2476" i="19"/>
  <c r="D2476" i="19"/>
  <c r="C2476" i="19"/>
  <c r="B2476" i="19"/>
  <c r="K2475" i="19"/>
  <c r="E2475" i="19"/>
  <c r="D2475" i="19"/>
  <c r="C2475" i="19"/>
  <c r="B2475" i="19"/>
  <c r="K2474" i="19"/>
  <c r="E2474" i="19"/>
  <c r="D2474" i="19"/>
  <c r="C2474" i="19"/>
  <c r="B2474" i="19"/>
  <c r="K2473" i="19"/>
  <c r="E2473" i="19"/>
  <c r="D2473" i="19"/>
  <c r="C2473" i="19"/>
  <c r="B2473" i="19"/>
  <c r="K2472" i="19"/>
  <c r="E2472" i="19"/>
  <c r="D2472" i="19"/>
  <c r="C2472" i="19"/>
  <c r="B2472" i="19"/>
  <c r="K2471" i="19"/>
  <c r="E2471" i="19"/>
  <c r="D2471" i="19"/>
  <c r="C2471" i="19"/>
  <c r="B2471" i="19"/>
  <c r="K2470" i="19"/>
  <c r="E2470" i="19"/>
  <c r="D2470" i="19"/>
  <c r="C2470" i="19"/>
  <c r="B2470" i="19"/>
  <c r="K2469" i="19"/>
  <c r="E2469" i="19"/>
  <c r="D2469" i="19"/>
  <c r="C2469" i="19"/>
  <c r="B2469" i="19"/>
  <c r="K2468" i="19"/>
  <c r="E2468" i="19"/>
  <c r="D2468" i="19"/>
  <c r="C2468" i="19"/>
  <c r="B2468" i="19"/>
  <c r="B1692" i="19"/>
  <c r="C1692" i="19"/>
  <c r="D1692" i="19"/>
  <c r="E1692" i="19"/>
  <c r="K1692" i="19"/>
  <c r="B1693" i="19"/>
  <c r="C1693" i="19"/>
  <c r="D1693" i="19"/>
  <c r="E1693" i="19"/>
  <c r="K1693" i="19"/>
  <c r="B1694" i="19"/>
  <c r="C1694" i="19"/>
  <c r="D1694" i="19"/>
  <c r="E1694" i="19"/>
  <c r="K1694" i="19"/>
  <c r="B1695" i="19"/>
  <c r="C1695" i="19"/>
  <c r="D1695" i="19"/>
  <c r="E1695" i="19"/>
  <c r="K1695" i="19"/>
  <c r="B1696" i="19"/>
  <c r="C1696" i="19"/>
  <c r="D1696" i="19"/>
  <c r="E1696" i="19"/>
  <c r="K1696" i="19"/>
  <c r="B1697" i="19"/>
  <c r="C1697" i="19"/>
  <c r="D1697" i="19"/>
  <c r="E1697" i="19"/>
  <c r="K1697" i="19"/>
  <c r="B1698" i="19"/>
  <c r="C1698" i="19"/>
  <c r="D1698" i="19"/>
  <c r="E1698" i="19"/>
  <c r="K1698" i="19"/>
  <c r="B1699" i="19"/>
  <c r="C1699" i="19"/>
  <c r="D1699" i="19"/>
  <c r="E1699" i="19"/>
  <c r="K1699" i="19"/>
  <c r="B1700" i="19"/>
  <c r="C1700" i="19"/>
  <c r="D1700" i="19"/>
  <c r="E1700" i="19"/>
  <c r="K1700" i="19"/>
  <c r="B1701" i="19"/>
  <c r="C1701" i="19"/>
  <c r="D1701" i="19"/>
  <c r="E1701" i="19"/>
  <c r="K1701" i="19"/>
  <c r="B1702" i="19"/>
  <c r="C1702" i="19"/>
  <c r="D1702" i="19"/>
  <c r="E1702" i="19"/>
  <c r="K1702" i="19"/>
  <c r="B1703" i="19"/>
  <c r="C1703" i="19"/>
  <c r="D1703" i="19"/>
  <c r="E1703" i="19"/>
  <c r="K1703" i="19"/>
  <c r="B1704" i="19"/>
  <c r="C1704" i="19"/>
  <c r="D1704" i="19"/>
  <c r="E1704" i="19"/>
  <c r="K1704" i="19"/>
  <c r="B1705" i="19"/>
  <c r="C1705" i="19"/>
  <c r="D1705" i="19"/>
  <c r="E1705" i="19"/>
  <c r="K1705" i="19"/>
  <c r="B1706" i="19"/>
  <c r="C1706" i="19"/>
  <c r="D1706" i="19"/>
  <c r="E1706" i="19"/>
  <c r="K1706" i="19"/>
  <c r="B1707" i="19"/>
  <c r="C1707" i="19"/>
  <c r="D1707" i="19"/>
  <c r="E1707" i="19"/>
  <c r="K1707" i="19"/>
  <c r="B1708" i="19"/>
  <c r="C1708" i="19"/>
  <c r="D1708" i="19"/>
  <c r="E1708" i="19"/>
  <c r="K1708" i="19"/>
  <c r="B1709" i="19"/>
  <c r="C1709" i="19"/>
  <c r="D1709" i="19"/>
  <c r="E1709" i="19"/>
  <c r="K1709" i="19"/>
  <c r="B1710" i="19"/>
  <c r="C1710" i="19"/>
  <c r="D1710" i="19"/>
  <c r="E1710" i="19"/>
  <c r="K1710" i="19"/>
  <c r="B1711" i="19"/>
  <c r="C1711" i="19"/>
  <c r="D1711" i="19"/>
  <c r="E1711" i="19"/>
  <c r="K1711" i="19"/>
  <c r="B1712" i="19"/>
  <c r="C1712" i="19"/>
  <c r="D1712" i="19"/>
  <c r="E1712" i="19"/>
  <c r="K1712" i="19"/>
  <c r="B1713" i="19"/>
  <c r="C1713" i="19"/>
  <c r="D1713" i="19"/>
  <c r="E1713" i="19"/>
  <c r="K1713" i="19"/>
  <c r="B1714" i="19"/>
  <c r="C1714" i="19"/>
  <c r="D1714" i="19"/>
  <c r="E1714" i="19"/>
  <c r="K1714" i="19"/>
  <c r="B1715" i="19"/>
  <c r="C1715" i="19"/>
  <c r="D1715" i="19"/>
  <c r="E1715" i="19"/>
  <c r="K1715" i="19"/>
  <c r="B1716" i="19"/>
  <c r="C1716" i="19"/>
  <c r="D1716" i="19"/>
  <c r="E1716" i="19"/>
  <c r="K1716" i="19"/>
  <c r="B1717" i="19"/>
  <c r="C1717" i="19"/>
  <c r="D1717" i="19"/>
  <c r="E1717" i="19"/>
  <c r="K1717" i="19"/>
  <c r="B1718" i="19"/>
  <c r="C1718" i="19"/>
  <c r="D1718" i="19"/>
  <c r="E1718" i="19"/>
  <c r="K1718" i="19"/>
  <c r="B1719" i="19"/>
  <c r="C1719" i="19"/>
  <c r="D1719" i="19"/>
  <c r="E1719" i="19"/>
  <c r="K1719" i="19"/>
  <c r="K1691" i="19"/>
  <c r="E1691" i="19"/>
  <c r="D1691" i="19"/>
  <c r="C1691" i="19"/>
  <c r="B1691" i="19"/>
  <c r="K1690" i="19"/>
  <c r="E1690" i="19"/>
  <c r="D1690" i="19"/>
  <c r="C1690" i="19"/>
  <c r="B1690" i="19"/>
  <c r="K1689" i="19"/>
  <c r="E1689" i="19"/>
  <c r="D1689" i="19"/>
  <c r="C1689" i="19"/>
  <c r="B1689" i="19"/>
  <c r="K1688" i="19"/>
  <c r="E1688" i="19"/>
  <c r="D1688" i="19"/>
  <c r="C1688" i="19"/>
  <c r="B1688" i="19"/>
  <c r="B1595" i="19"/>
  <c r="C1595" i="19"/>
  <c r="D1595" i="19"/>
  <c r="E1595" i="19"/>
  <c r="K1595" i="19"/>
  <c r="B1596" i="19"/>
  <c r="C1596" i="19"/>
  <c r="D1596" i="19"/>
  <c r="E1596" i="19"/>
  <c r="K1596" i="19"/>
  <c r="B1597" i="19"/>
  <c r="C1597" i="19"/>
  <c r="D1597" i="19"/>
  <c r="E1597" i="19"/>
  <c r="K1597" i="19"/>
  <c r="B1598" i="19"/>
  <c r="C1598" i="19"/>
  <c r="D1598" i="19"/>
  <c r="E1598" i="19"/>
  <c r="K1598" i="19"/>
  <c r="B1599" i="19"/>
  <c r="C1599" i="19"/>
  <c r="D1599" i="19"/>
  <c r="E1599" i="19"/>
  <c r="K1599" i="19"/>
  <c r="B1600" i="19"/>
  <c r="C1600" i="19"/>
  <c r="D1600" i="19"/>
  <c r="E1600" i="19"/>
  <c r="K1600" i="19"/>
  <c r="B1601" i="19"/>
  <c r="C1601" i="19"/>
  <c r="D1601" i="19"/>
  <c r="E1601" i="19"/>
  <c r="K1601" i="19"/>
  <c r="B1602" i="19"/>
  <c r="C1602" i="19"/>
  <c r="D1602" i="19"/>
  <c r="E1602" i="19"/>
  <c r="K1602" i="19"/>
  <c r="B1603" i="19"/>
  <c r="C1603" i="19"/>
  <c r="D1603" i="19"/>
  <c r="E1603" i="19"/>
  <c r="K1603" i="19"/>
  <c r="B1604" i="19"/>
  <c r="C1604" i="19"/>
  <c r="D1604" i="19"/>
  <c r="E1604" i="19"/>
  <c r="K1604" i="19"/>
  <c r="B1605" i="19"/>
  <c r="C1605" i="19"/>
  <c r="D1605" i="19"/>
  <c r="E1605" i="19"/>
  <c r="K1605" i="19"/>
  <c r="B1606" i="19"/>
  <c r="C1606" i="19"/>
  <c r="D1606" i="19"/>
  <c r="E1606" i="19"/>
  <c r="K1606" i="19"/>
  <c r="B1607" i="19"/>
  <c r="C1607" i="19"/>
  <c r="D1607" i="19"/>
  <c r="E1607" i="19"/>
  <c r="K1607" i="19"/>
  <c r="B1608" i="19"/>
  <c r="C1608" i="19"/>
  <c r="D1608" i="19"/>
  <c r="E1608" i="19"/>
  <c r="K1608" i="19"/>
  <c r="B1609" i="19"/>
  <c r="C1609" i="19"/>
  <c r="D1609" i="19"/>
  <c r="E1609" i="19"/>
  <c r="K1609" i="19"/>
  <c r="B1610" i="19"/>
  <c r="C1610" i="19"/>
  <c r="D1610" i="19"/>
  <c r="E1610" i="19"/>
  <c r="K1610" i="19"/>
  <c r="B1611" i="19"/>
  <c r="C1611" i="19"/>
  <c r="D1611" i="19"/>
  <c r="E1611" i="19"/>
  <c r="K1611" i="19"/>
  <c r="B1612" i="19"/>
  <c r="C1612" i="19"/>
  <c r="D1612" i="19"/>
  <c r="E1612" i="19"/>
  <c r="K1612" i="19"/>
  <c r="B1613" i="19"/>
  <c r="C1613" i="19"/>
  <c r="D1613" i="19"/>
  <c r="E1613" i="19"/>
  <c r="K1613" i="19"/>
  <c r="B1614" i="19"/>
  <c r="C1614" i="19"/>
  <c r="D1614" i="19"/>
  <c r="E1614" i="19"/>
  <c r="K1614" i="19"/>
  <c r="B1615" i="19"/>
  <c r="C1615" i="19"/>
  <c r="D1615" i="19"/>
  <c r="E1615" i="19"/>
  <c r="K1615" i="19"/>
  <c r="B1616" i="19"/>
  <c r="C1616" i="19"/>
  <c r="D1616" i="19"/>
  <c r="E1616" i="19"/>
  <c r="K1616" i="19"/>
  <c r="B1617" i="19"/>
  <c r="C1617" i="19"/>
  <c r="D1617" i="19"/>
  <c r="E1617" i="19"/>
  <c r="K1617" i="19"/>
  <c r="B1618" i="19"/>
  <c r="C1618" i="19"/>
  <c r="D1618" i="19"/>
  <c r="E1618" i="19"/>
  <c r="K1618" i="19"/>
  <c r="B1619" i="19"/>
  <c r="C1619" i="19"/>
  <c r="D1619" i="19"/>
  <c r="E1619" i="19"/>
  <c r="K1619" i="19"/>
  <c r="B1620" i="19"/>
  <c r="C1620" i="19"/>
  <c r="D1620" i="19"/>
  <c r="E1620" i="19"/>
  <c r="K1620" i="19"/>
  <c r="B1621" i="19"/>
  <c r="C1621" i="19"/>
  <c r="D1621" i="19"/>
  <c r="E1621" i="19"/>
  <c r="K1621" i="19"/>
  <c r="B1622" i="19"/>
  <c r="C1622" i="19"/>
  <c r="D1622" i="19"/>
  <c r="E1622" i="19"/>
  <c r="K1622" i="19"/>
  <c r="B1623" i="19"/>
  <c r="C1623" i="19"/>
  <c r="D1623" i="19"/>
  <c r="E1623" i="19"/>
  <c r="K1623" i="19"/>
  <c r="B1624" i="19"/>
  <c r="C1624" i="19"/>
  <c r="D1624" i="19"/>
  <c r="E1624" i="19"/>
  <c r="K1624" i="19"/>
  <c r="K1594" i="19"/>
  <c r="E1594" i="19"/>
  <c r="D1594" i="19"/>
  <c r="C1594" i="19"/>
  <c r="B1594" i="19"/>
  <c r="K1593" i="19"/>
  <c r="E1593" i="19"/>
  <c r="D1593" i="19"/>
  <c r="C1593" i="19"/>
  <c r="B1593" i="19"/>
  <c r="B885" i="19"/>
  <c r="C885" i="19"/>
  <c r="D885" i="19"/>
  <c r="E885" i="19"/>
  <c r="K885" i="19"/>
  <c r="B886" i="19"/>
  <c r="C886" i="19"/>
  <c r="D886" i="19"/>
  <c r="E886" i="19"/>
  <c r="K886" i="19"/>
  <c r="B887" i="19"/>
  <c r="C887" i="19"/>
  <c r="D887" i="19"/>
  <c r="E887" i="19"/>
  <c r="K887" i="19"/>
  <c r="B888" i="19"/>
  <c r="C888" i="19"/>
  <c r="D888" i="19"/>
  <c r="E888" i="19"/>
  <c r="K888" i="19"/>
  <c r="B889" i="19"/>
  <c r="C889" i="19"/>
  <c r="D889" i="19"/>
  <c r="E889" i="19"/>
  <c r="K889" i="19"/>
  <c r="B890" i="19"/>
  <c r="C890" i="19"/>
  <c r="D890" i="19"/>
  <c r="E890" i="19"/>
  <c r="K890" i="19"/>
  <c r="B891" i="19"/>
  <c r="C891" i="19"/>
  <c r="D891" i="19"/>
  <c r="E891" i="19"/>
  <c r="K891" i="19"/>
  <c r="B892" i="19"/>
  <c r="C892" i="19"/>
  <c r="D892" i="19"/>
  <c r="E892" i="19"/>
  <c r="K892" i="19"/>
  <c r="B893" i="19"/>
  <c r="C893" i="19"/>
  <c r="D893" i="19"/>
  <c r="E893" i="19"/>
  <c r="K893" i="19"/>
  <c r="B894" i="19"/>
  <c r="C894" i="19"/>
  <c r="D894" i="19"/>
  <c r="E894" i="19"/>
  <c r="K894" i="19"/>
  <c r="B895" i="19"/>
  <c r="C895" i="19"/>
  <c r="D895" i="19"/>
  <c r="E895" i="19"/>
  <c r="K895" i="19"/>
  <c r="B896" i="19"/>
  <c r="C896" i="19"/>
  <c r="D896" i="19"/>
  <c r="E896" i="19"/>
  <c r="K896" i="19"/>
  <c r="B897" i="19"/>
  <c r="C897" i="19"/>
  <c r="D897" i="19"/>
  <c r="E897" i="19"/>
  <c r="K897" i="19"/>
  <c r="B898" i="19"/>
  <c r="C898" i="19"/>
  <c r="D898" i="19"/>
  <c r="E898" i="19"/>
  <c r="K898" i="19"/>
  <c r="B899" i="19"/>
  <c r="C899" i="19"/>
  <c r="D899" i="19"/>
  <c r="E899" i="19"/>
  <c r="K899" i="19"/>
  <c r="B900" i="19"/>
  <c r="C900" i="19"/>
  <c r="D900" i="19"/>
  <c r="E900" i="19"/>
  <c r="K900" i="19"/>
  <c r="B901" i="19"/>
  <c r="C901" i="19"/>
  <c r="D901" i="19"/>
  <c r="E901" i="19"/>
  <c r="K901" i="19"/>
  <c r="B902" i="19"/>
  <c r="C902" i="19"/>
  <c r="D902" i="19"/>
  <c r="E902" i="19"/>
  <c r="K902" i="19"/>
  <c r="B903" i="19"/>
  <c r="C903" i="19"/>
  <c r="D903" i="19"/>
  <c r="E903" i="19"/>
  <c r="K903" i="19"/>
  <c r="B904" i="19"/>
  <c r="C904" i="19"/>
  <c r="D904" i="19"/>
  <c r="E904" i="19"/>
  <c r="K904" i="19"/>
  <c r="B905" i="19"/>
  <c r="C905" i="19"/>
  <c r="D905" i="19"/>
  <c r="E905" i="19"/>
  <c r="K905" i="19"/>
  <c r="B906" i="19"/>
  <c r="C906" i="19"/>
  <c r="D906" i="19"/>
  <c r="E906" i="19"/>
  <c r="K906" i="19"/>
  <c r="B907" i="19"/>
  <c r="C907" i="19"/>
  <c r="D907" i="19"/>
  <c r="E907" i="19"/>
  <c r="K907" i="19"/>
  <c r="B908" i="19"/>
  <c r="C908" i="19"/>
  <c r="D908" i="19"/>
  <c r="E908" i="19"/>
  <c r="K908" i="19"/>
  <c r="B909" i="19"/>
  <c r="C909" i="19"/>
  <c r="D909" i="19"/>
  <c r="E909" i="19"/>
  <c r="K909" i="19"/>
  <c r="B910" i="19"/>
  <c r="C910" i="19"/>
  <c r="D910" i="19"/>
  <c r="E910" i="19"/>
  <c r="K910" i="19"/>
  <c r="B911" i="19"/>
  <c r="C911" i="19"/>
  <c r="D911" i="19"/>
  <c r="E911" i="19"/>
  <c r="K911" i="19"/>
  <c r="B912" i="19"/>
  <c r="C912" i="19"/>
  <c r="D912" i="19"/>
  <c r="E912" i="19"/>
  <c r="K912" i="19"/>
  <c r="K884" i="19"/>
  <c r="E884" i="19"/>
  <c r="D884" i="19"/>
  <c r="C884" i="19"/>
  <c r="B884" i="19"/>
  <c r="K883" i="19"/>
  <c r="E883" i="19"/>
  <c r="D883" i="19"/>
  <c r="C883" i="19"/>
  <c r="B883" i="19"/>
  <c r="K882" i="19"/>
  <c r="E882" i="19"/>
  <c r="D882" i="19"/>
  <c r="C882" i="19"/>
  <c r="B882" i="19"/>
  <c r="K881" i="19"/>
  <c r="E881" i="19"/>
  <c r="D881" i="19"/>
  <c r="C881" i="19"/>
  <c r="B881" i="19"/>
  <c r="B824" i="19"/>
  <c r="C824" i="19"/>
  <c r="D824" i="19"/>
  <c r="E824" i="19"/>
  <c r="K824" i="19"/>
  <c r="B825" i="19"/>
  <c r="C825" i="19"/>
  <c r="D825" i="19"/>
  <c r="E825" i="19"/>
  <c r="K825" i="19"/>
  <c r="B826" i="19"/>
  <c r="C826" i="19"/>
  <c r="D826" i="19"/>
  <c r="E826" i="19"/>
  <c r="K826" i="19"/>
  <c r="B827" i="19"/>
  <c r="C827" i="19"/>
  <c r="D827" i="19"/>
  <c r="E827" i="19"/>
  <c r="K827" i="19"/>
  <c r="B828" i="19"/>
  <c r="C828" i="19"/>
  <c r="D828" i="19"/>
  <c r="E828" i="19"/>
  <c r="K828" i="19"/>
  <c r="B829" i="19"/>
  <c r="C829" i="19"/>
  <c r="D829" i="19"/>
  <c r="E829" i="19"/>
  <c r="K829" i="19"/>
  <c r="B830" i="19"/>
  <c r="C830" i="19"/>
  <c r="D830" i="19"/>
  <c r="E830" i="19"/>
  <c r="K830" i="19"/>
  <c r="B831" i="19"/>
  <c r="C831" i="19"/>
  <c r="D831" i="19"/>
  <c r="E831" i="19"/>
  <c r="K831" i="19"/>
  <c r="B832" i="19"/>
  <c r="C832" i="19"/>
  <c r="D832" i="19"/>
  <c r="E832" i="19"/>
  <c r="K832" i="19"/>
  <c r="B833" i="19"/>
  <c r="C833" i="19"/>
  <c r="D833" i="19"/>
  <c r="E833" i="19"/>
  <c r="K833" i="19"/>
  <c r="B834" i="19"/>
  <c r="C834" i="19"/>
  <c r="D834" i="19"/>
  <c r="E834" i="19"/>
  <c r="K834" i="19"/>
  <c r="B835" i="19"/>
  <c r="C835" i="19"/>
  <c r="D835" i="19"/>
  <c r="E835" i="19"/>
  <c r="K835" i="19"/>
  <c r="B836" i="19"/>
  <c r="C836" i="19"/>
  <c r="D836" i="19"/>
  <c r="E836" i="19"/>
  <c r="K836" i="19"/>
  <c r="B837" i="19"/>
  <c r="C837" i="19"/>
  <c r="D837" i="19"/>
  <c r="E837" i="19"/>
  <c r="K837" i="19"/>
  <c r="B838" i="19"/>
  <c r="C838" i="19"/>
  <c r="D838" i="19"/>
  <c r="E838" i="19"/>
  <c r="K838" i="19"/>
  <c r="B839" i="19"/>
  <c r="C839" i="19"/>
  <c r="D839" i="19"/>
  <c r="E839" i="19"/>
  <c r="K839" i="19"/>
  <c r="B840" i="19"/>
  <c r="C840" i="19"/>
  <c r="D840" i="19"/>
  <c r="E840" i="19"/>
  <c r="K840" i="19"/>
  <c r="B841" i="19"/>
  <c r="C841" i="19"/>
  <c r="D841" i="19"/>
  <c r="E841" i="19"/>
  <c r="K841" i="19"/>
  <c r="B842" i="19"/>
  <c r="C842" i="19"/>
  <c r="D842" i="19"/>
  <c r="E842" i="19"/>
  <c r="K842" i="19"/>
  <c r="B843" i="19"/>
  <c r="C843" i="19"/>
  <c r="D843" i="19"/>
  <c r="E843" i="19"/>
  <c r="K843" i="19"/>
  <c r="B844" i="19"/>
  <c r="C844" i="19"/>
  <c r="D844" i="19"/>
  <c r="E844" i="19"/>
  <c r="K844" i="19"/>
  <c r="B845" i="19"/>
  <c r="C845" i="19"/>
  <c r="D845" i="19"/>
  <c r="E845" i="19"/>
  <c r="K845" i="19"/>
  <c r="B846" i="19"/>
  <c r="C846" i="19"/>
  <c r="D846" i="19"/>
  <c r="E846" i="19"/>
  <c r="K846" i="19"/>
  <c r="B847" i="19"/>
  <c r="C847" i="19"/>
  <c r="D847" i="19"/>
  <c r="E847" i="19"/>
  <c r="K847" i="19"/>
  <c r="B848" i="19"/>
  <c r="C848" i="19"/>
  <c r="D848" i="19"/>
  <c r="E848" i="19"/>
  <c r="K848" i="19"/>
  <c r="B849" i="19"/>
  <c r="C849" i="19"/>
  <c r="D849" i="19"/>
  <c r="E849" i="19"/>
  <c r="K849" i="19"/>
  <c r="B850" i="19"/>
  <c r="C850" i="19"/>
  <c r="D850" i="19"/>
  <c r="E850" i="19"/>
  <c r="K850" i="19"/>
  <c r="B851" i="19"/>
  <c r="C851" i="19"/>
  <c r="D851" i="19"/>
  <c r="E851" i="19"/>
  <c r="K851" i="19"/>
  <c r="B852" i="19"/>
  <c r="C852" i="19"/>
  <c r="D852" i="19"/>
  <c r="E852" i="19"/>
  <c r="K852" i="19"/>
  <c r="K823" i="19"/>
  <c r="E823" i="19"/>
  <c r="D823" i="19"/>
  <c r="C823" i="19"/>
  <c r="B823" i="19"/>
  <c r="K822" i="19"/>
  <c r="E822" i="19"/>
  <c r="D822" i="19"/>
  <c r="C822" i="19"/>
  <c r="B822" i="19"/>
  <c r="K821" i="19"/>
  <c r="E821" i="19"/>
  <c r="D821" i="19"/>
  <c r="C821" i="19"/>
  <c r="B821" i="19"/>
  <c r="B621" i="19"/>
  <c r="C621" i="19"/>
  <c r="D621" i="19"/>
  <c r="E621" i="19"/>
  <c r="K621" i="19"/>
  <c r="B622" i="19"/>
  <c r="C622" i="19"/>
  <c r="D622" i="19"/>
  <c r="E622" i="19"/>
  <c r="K622" i="19"/>
  <c r="B623" i="19"/>
  <c r="C623" i="19"/>
  <c r="D623" i="19"/>
  <c r="E623" i="19"/>
  <c r="K623" i="19"/>
  <c r="B624" i="19"/>
  <c r="C624" i="19"/>
  <c r="D624" i="19"/>
  <c r="E624" i="19"/>
  <c r="K624" i="19"/>
  <c r="B625" i="19"/>
  <c r="C625" i="19"/>
  <c r="D625" i="19"/>
  <c r="E625" i="19"/>
  <c r="K625" i="19"/>
  <c r="B626" i="19"/>
  <c r="C626" i="19"/>
  <c r="D626" i="19"/>
  <c r="E626" i="19"/>
  <c r="K626" i="19"/>
  <c r="B627" i="19"/>
  <c r="C627" i="19"/>
  <c r="D627" i="19"/>
  <c r="E627" i="19"/>
  <c r="K627" i="19"/>
  <c r="B628" i="19"/>
  <c r="C628" i="19"/>
  <c r="D628" i="19"/>
  <c r="E628" i="19"/>
  <c r="K628" i="19"/>
  <c r="B629" i="19"/>
  <c r="C629" i="19"/>
  <c r="D629" i="19"/>
  <c r="E629" i="19"/>
  <c r="K629" i="19"/>
  <c r="B630" i="19"/>
  <c r="C630" i="19"/>
  <c r="D630" i="19"/>
  <c r="E630" i="19"/>
  <c r="K630" i="19"/>
  <c r="B631" i="19"/>
  <c r="C631" i="19"/>
  <c r="D631" i="19"/>
  <c r="E631" i="19"/>
  <c r="K631" i="19"/>
  <c r="B632" i="19"/>
  <c r="C632" i="19"/>
  <c r="D632" i="19"/>
  <c r="E632" i="19"/>
  <c r="K632" i="19"/>
  <c r="B633" i="19"/>
  <c r="C633" i="19"/>
  <c r="D633" i="19"/>
  <c r="E633" i="19"/>
  <c r="K633" i="19"/>
  <c r="B634" i="19"/>
  <c r="C634" i="19"/>
  <c r="D634" i="19"/>
  <c r="E634" i="19"/>
  <c r="K634" i="19"/>
  <c r="B635" i="19"/>
  <c r="C635" i="19"/>
  <c r="D635" i="19"/>
  <c r="E635" i="19"/>
  <c r="K635" i="19"/>
  <c r="B636" i="19"/>
  <c r="C636" i="19"/>
  <c r="D636" i="19"/>
  <c r="E636" i="19"/>
  <c r="K636" i="19"/>
  <c r="B637" i="19"/>
  <c r="C637" i="19"/>
  <c r="D637" i="19"/>
  <c r="E637" i="19"/>
  <c r="K637" i="19"/>
  <c r="B638" i="19"/>
  <c r="C638" i="19"/>
  <c r="D638" i="19"/>
  <c r="E638" i="19"/>
  <c r="K638" i="19"/>
  <c r="B639" i="19"/>
  <c r="C639" i="19"/>
  <c r="D639" i="19"/>
  <c r="E639" i="19"/>
  <c r="K639" i="19"/>
  <c r="B640" i="19"/>
  <c r="C640" i="19"/>
  <c r="D640" i="19"/>
  <c r="E640" i="19"/>
  <c r="K640" i="19"/>
  <c r="B641" i="19"/>
  <c r="C641" i="19"/>
  <c r="D641" i="19"/>
  <c r="E641" i="19"/>
  <c r="K641" i="19"/>
  <c r="B642" i="19"/>
  <c r="C642" i="19"/>
  <c r="D642" i="19"/>
  <c r="E642" i="19"/>
  <c r="K642" i="19"/>
  <c r="B643" i="19"/>
  <c r="C643" i="19"/>
  <c r="D643" i="19"/>
  <c r="E643" i="19"/>
  <c r="K643" i="19"/>
  <c r="K620" i="19"/>
  <c r="E620" i="19"/>
  <c r="D620" i="19"/>
  <c r="C620" i="19"/>
  <c r="B620" i="19"/>
  <c r="K619" i="19"/>
  <c r="E619" i="19"/>
  <c r="D619" i="19"/>
  <c r="C619" i="19"/>
  <c r="B619" i="19"/>
  <c r="B567" i="19"/>
  <c r="C567" i="19"/>
  <c r="D567" i="19"/>
  <c r="E567" i="19"/>
  <c r="K567" i="19"/>
  <c r="B568" i="19"/>
  <c r="C568" i="19"/>
  <c r="D568" i="19"/>
  <c r="E568" i="19"/>
  <c r="K568" i="19"/>
  <c r="B569" i="19"/>
  <c r="C569" i="19"/>
  <c r="D569" i="19"/>
  <c r="E569" i="19"/>
  <c r="K569" i="19"/>
  <c r="B570" i="19"/>
  <c r="C570" i="19"/>
  <c r="D570" i="19"/>
  <c r="E570" i="19"/>
  <c r="K570" i="19"/>
  <c r="B571" i="19"/>
  <c r="C571" i="19"/>
  <c r="D571" i="19"/>
  <c r="E571" i="19"/>
  <c r="K571" i="19"/>
  <c r="B572" i="19"/>
  <c r="C572" i="19"/>
  <c r="D572" i="19"/>
  <c r="E572" i="19"/>
  <c r="K572" i="19"/>
  <c r="B573" i="19"/>
  <c r="C573" i="19"/>
  <c r="D573" i="19"/>
  <c r="E573" i="19"/>
  <c r="K573" i="19"/>
  <c r="B574" i="19"/>
  <c r="C574" i="19"/>
  <c r="D574" i="19"/>
  <c r="E574" i="19"/>
  <c r="K574" i="19"/>
  <c r="B575" i="19"/>
  <c r="C575" i="19"/>
  <c r="D575" i="19"/>
  <c r="E575" i="19"/>
  <c r="K575" i="19"/>
  <c r="B576" i="19"/>
  <c r="C576" i="19"/>
  <c r="D576" i="19"/>
  <c r="E576" i="19"/>
  <c r="K576" i="19"/>
  <c r="B577" i="19"/>
  <c r="C577" i="19"/>
  <c r="D577" i="19"/>
  <c r="E577" i="19"/>
  <c r="K577" i="19"/>
  <c r="B578" i="19"/>
  <c r="C578" i="19"/>
  <c r="D578" i="19"/>
  <c r="E578" i="19"/>
  <c r="K578" i="19"/>
  <c r="B579" i="19"/>
  <c r="C579" i="19"/>
  <c r="D579" i="19"/>
  <c r="E579" i="19"/>
  <c r="K579" i="19"/>
  <c r="B580" i="19"/>
  <c r="C580" i="19"/>
  <c r="D580" i="19"/>
  <c r="E580" i="19"/>
  <c r="K580" i="19"/>
  <c r="B581" i="19"/>
  <c r="C581" i="19"/>
  <c r="D581" i="19"/>
  <c r="E581" i="19"/>
  <c r="K581" i="19"/>
  <c r="B582" i="19"/>
  <c r="C582" i="19"/>
  <c r="D582" i="19"/>
  <c r="E582" i="19"/>
  <c r="K582" i="19"/>
  <c r="B583" i="19"/>
  <c r="C583" i="19"/>
  <c r="D583" i="19"/>
  <c r="E583" i="19"/>
  <c r="K583" i="19"/>
  <c r="B584" i="19"/>
  <c r="C584" i="19"/>
  <c r="D584" i="19"/>
  <c r="E584" i="19"/>
  <c r="K584" i="19"/>
  <c r="B585" i="19"/>
  <c r="C585" i="19"/>
  <c r="D585" i="19"/>
  <c r="E585" i="19"/>
  <c r="K585" i="19"/>
  <c r="B586" i="19"/>
  <c r="C586" i="19"/>
  <c r="D586" i="19"/>
  <c r="E586" i="19"/>
  <c r="K586" i="19"/>
  <c r="B587" i="19"/>
  <c r="C587" i="19"/>
  <c r="D587" i="19"/>
  <c r="E587" i="19"/>
  <c r="K587" i="19"/>
  <c r="B588" i="19"/>
  <c r="C588" i="19"/>
  <c r="D588" i="19"/>
  <c r="E588" i="19"/>
  <c r="K588" i="19"/>
  <c r="K566" i="19"/>
  <c r="E566" i="19"/>
  <c r="D566" i="19"/>
  <c r="C566" i="19"/>
  <c r="B566" i="19"/>
  <c r="K565" i="19"/>
  <c r="E565" i="19"/>
  <c r="D565" i="19"/>
  <c r="C565" i="19"/>
  <c r="B565" i="19"/>
  <c r="K564" i="19"/>
  <c r="E564" i="19"/>
  <c r="D564" i="19"/>
  <c r="C564" i="19"/>
  <c r="B564" i="19"/>
  <c r="B205" i="19"/>
  <c r="C205" i="19"/>
  <c r="D205" i="19"/>
  <c r="E205" i="19"/>
  <c r="K205" i="19"/>
  <c r="B206" i="19"/>
  <c r="C206" i="19"/>
  <c r="D206" i="19"/>
  <c r="E206" i="19"/>
  <c r="K206" i="19"/>
  <c r="B207" i="19"/>
  <c r="C207" i="19"/>
  <c r="D207" i="19"/>
  <c r="E207" i="19"/>
  <c r="K207" i="19"/>
  <c r="B208" i="19"/>
  <c r="C208" i="19"/>
  <c r="D208" i="19"/>
  <c r="E208" i="19"/>
  <c r="K208" i="19"/>
  <c r="B209" i="19"/>
  <c r="C209" i="19"/>
  <c r="D209" i="19"/>
  <c r="E209" i="19"/>
  <c r="K209" i="19"/>
  <c r="B210" i="19"/>
  <c r="C210" i="19"/>
  <c r="D210" i="19"/>
  <c r="E210" i="19"/>
  <c r="K210" i="19"/>
  <c r="B211" i="19"/>
  <c r="C211" i="19"/>
  <c r="D211" i="19"/>
  <c r="E211" i="19"/>
  <c r="K211" i="19"/>
  <c r="B212" i="19"/>
  <c r="C212" i="19"/>
  <c r="D212" i="19"/>
  <c r="E212" i="19"/>
  <c r="K212" i="19"/>
  <c r="B213" i="19"/>
  <c r="C213" i="19"/>
  <c r="D213" i="19"/>
  <c r="E213" i="19"/>
  <c r="K213" i="19"/>
  <c r="B214" i="19"/>
  <c r="C214" i="19"/>
  <c r="D214" i="19"/>
  <c r="E214" i="19"/>
  <c r="K214" i="19"/>
  <c r="B215" i="19"/>
  <c r="C215" i="19"/>
  <c r="D215" i="19"/>
  <c r="E215" i="19"/>
  <c r="K215" i="19"/>
  <c r="B216" i="19"/>
  <c r="C216" i="19"/>
  <c r="D216" i="19"/>
  <c r="E216" i="19"/>
  <c r="K216" i="19"/>
  <c r="B217" i="19"/>
  <c r="C217" i="19"/>
  <c r="D217" i="19"/>
  <c r="E217" i="19"/>
  <c r="K217" i="19"/>
  <c r="B218" i="19"/>
  <c r="C218" i="19"/>
  <c r="D218" i="19"/>
  <c r="E218" i="19"/>
  <c r="K218" i="19"/>
  <c r="B219" i="19"/>
  <c r="C219" i="19"/>
  <c r="D219" i="19"/>
  <c r="E219" i="19"/>
  <c r="K219" i="19"/>
  <c r="B220" i="19"/>
  <c r="C220" i="19"/>
  <c r="D220" i="19"/>
  <c r="E220" i="19"/>
  <c r="K220" i="19"/>
  <c r="B221" i="19"/>
  <c r="C221" i="19"/>
  <c r="D221" i="19"/>
  <c r="E221" i="19"/>
  <c r="K221" i="19"/>
  <c r="B222" i="19"/>
  <c r="C222" i="19"/>
  <c r="D222" i="19"/>
  <c r="E222" i="19"/>
  <c r="K222" i="19"/>
  <c r="B223" i="19"/>
  <c r="C223" i="19"/>
  <c r="D223" i="19"/>
  <c r="E223" i="19"/>
  <c r="K223" i="19"/>
  <c r="B224" i="19"/>
  <c r="C224" i="19"/>
  <c r="D224" i="19"/>
  <c r="E224" i="19"/>
  <c r="K224" i="19"/>
  <c r="B225" i="19"/>
  <c r="C225" i="19"/>
  <c r="D225" i="19"/>
  <c r="E225" i="19"/>
  <c r="K225" i="19"/>
  <c r="B226" i="19"/>
  <c r="C226" i="19"/>
  <c r="D226" i="19"/>
  <c r="E226" i="19"/>
  <c r="K226" i="19"/>
  <c r="B227" i="19"/>
  <c r="C227" i="19"/>
  <c r="D227" i="19"/>
  <c r="E227" i="19"/>
  <c r="K227" i="19"/>
  <c r="K204" i="19"/>
  <c r="E204" i="19"/>
  <c r="D204" i="19"/>
  <c r="C204" i="19"/>
  <c r="B204" i="19"/>
  <c r="K203" i="19"/>
  <c r="E203" i="19"/>
  <c r="D203" i="19"/>
  <c r="C203" i="19"/>
  <c r="B203" i="19"/>
  <c r="K116" i="19"/>
  <c r="E116" i="19"/>
  <c r="D116" i="19"/>
  <c r="C116" i="19"/>
  <c r="B116" i="19"/>
  <c r="K115" i="19"/>
  <c r="E115" i="19"/>
  <c r="D115" i="19"/>
  <c r="C115" i="19"/>
  <c r="B115" i="19"/>
  <c r="K114" i="19"/>
  <c r="E114" i="19"/>
  <c r="D114" i="19"/>
  <c r="C114" i="19"/>
  <c r="B114" i="19"/>
  <c r="K113" i="19"/>
  <c r="E113" i="19"/>
  <c r="D113" i="19"/>
  <c r="C113" i="19"/>
  <c r="B113" i="19"/>
  <c r="K112" i="19"/>
  <c r="E112" i="19"/>
  <c r="D112" i="19"/>
  <c r="C112" i="19"/>
  <c r="B112" i="19"/>
  <c r="K111" i="19"/>
  <c r="E111" i="19"/>
  <c r="D111" i="19"/>
  <c r="C111" i="19"/>
  <c r="B111" i="19"/>
  <c r="K110" i="19"/>
  <c r="E110" i="19"/>
  <c r="D110" i="19"/>
  <c r="C110" i="19"/>
  <c r="B110" i="19"/>
  <c r="K109" i="19"/>
  <c r="E109" i="19"/>
  <c r="D109" i="19"/>
  <c r="C109" i="19"/>
  <c r="B109" i="19"/>
  <c r="K108" i="19"/>
  <c r="E108" i="19"/>
  <c r="D108" i="19"/>
  <c r="C108" i="19"/>
  <c r="B108" i="19"/>
  <c r="K107" i="19"/>
  <c r="E107" i="19"/>
  <c r="D107" i="19"/>
  <c r="C107" i="19"/>
  <c r="B107" i="19"/>
  <c r="K106" i="19"/>
  <c r="E106" i="19"/>
  <c r="D106" i="19"/>
  <c r="C106" i="19"/>
  <c r="B106" i="19"/>
  <c r="K105" i="19"/>
  <c r="E105" i="19"/>
  <c r="D105" i="19"/>
  <c r="C105" i="19"/>
  <c r="B105" i="19"/>
  <c r="K104" i="19"/>
  <c r="E104" i="19"/>
  <c r="D104" i="19"/>
  <c r="C104" i="19"/>
  <c r="B104" i="19"/>
  <c r="K103" i="19"/>
  <c r="E103" i="19"/>
  <c r="D103" i="19"/>
  <c r="C103" i="19"/>
  <c r="B103" i="19"/>
  <c r="K102" i="19"/>
  <c r="E102" i="19"/>
  <c r="D102" i="19"/>
  <c r="C102" i="19"/>
  <c r="B102" i="19"/>
  <c r="K101" i="19"/>
  <c r="E101" i="19"/>
  <c r="D101" i="19"/>
  <c r="C101" i="19"/>
  <c r="B101" i="19"/>
  <c r="K100" i="19"/>
  <c r="E100" i="19"/>
  <c r="D100" i="19"/>
  <c r="C100" i="19"/>
  <c r="B100" i="19"/>
  <c r="K99" i="19"/>
  <c r="E99" i="19"/>
  <c r="D99" i="19"/>
  <c r="C99" i="19"/>
  <c r="B99" i="19"/>
  <c r="K98" i="19"/>
  <c r="E98" i="19"/>
  <c r="D98" i="19"/>
  <c r="C98" i="19"/>
  <c r="B98" i="19"/>
  <c r="K97" i="19"/>
  <c r="E97" i="19"/>
  <c r="D97" i="19"/>
  <c r="C97" i="19"/>
  <c r="B97" i="19"/>
  <c r="K96" i="19"/>
  <c r="E96" i="19"/>
  <c r="D96" i="19"/>
  <c r="C96" i="19"/>
  <c r="B96" i="19"/>
  <c r="K95" i="19"/>
  <c r="E95" i="19"/>
  <c r="D95" i="19"/>
  <c r="C95" i="19"/>
  <c r="B95" i="19"/>
  <c r="K94" i="19"/>
  <c r="E94" i="19"/>
  <c r="D94" i="19"/>
  <c r="C94" i="19"/>
  <c r="B94" i="19"/>
  <c r="K93" i="19"/>
  <c r="E93" i="19"/>
  <c r="D93" i="19"/>
  <c r="C93" i="19"/>
  <c r="B93" i="19"/>
  <c r="K92" i="19"/>
  <c r="E92" i="19"/>
  <c r="D92" i="19"/>
  <c r="C92" i="19"/>
  <c r="B92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E68" i="19"/>
  <c r="D68" i="19"/>
  <c r="C68" i="19"/>
  <c r="B68" i="19"/>
  <c r="E67" i="19"/>
  <c r="D67" i="19"/>
  <c r="C67" i="19"/>
  <c r="B67" i="19"/>
  <c r="E66" i="19"/>
  <c r="D66" i="19"/>
  <c r="C66" i="19"/>
  <c r="B66" i="19"/>
  <c r="E65" i="19"/>
  <c r="D65" i="19"/>
  <c r="C65" i="19"/>
  <c r="B65" i="19"/>
  <c r="E64" i="19"/>
  <c r="D64" i="19"/>
  <c r="C64" i="19"/>
  <c r="B64" i="19"/>
  <c r="E63" i="19"/>
  <c r="D63" i="19"/>
  <c r="C63" i="19"/>
  <c r="B63" i="19"/>
  <c r="E62" i="19"/>
  <c r="D62" i="19"/>
  <c r="C62" i="19"/>
  <c r="B62" i="19"/>
  <c r="E61" i="19"/>
  <c r="D61" i="19"/>
  <c r="C61" i="19"/>
  <c r="B61" i="19"/>
  <c r="E60" i="19"/>
  <c r="D60" i="19"/>
  <c r="C60" i="19"/>
  <c r="B60" i="19"/>
  <c r="E59" i="19"/>
  <c r="D59" i="19"/>
  <c r="C59" i="19"/>
  <c r="B59" i="19"/>
  <c r="E58" i="19"/>
  <c r="D58" i="19"/>
  <c r="C58" i="19"/>
  <c r="B58" i="19"/>
  <c r="E57" i="19"/>
  <c r="D57" i="19"/>
  <c r="C57" i="19"/>
  <c r="B57" i="19"/>
  <c r="E56" i="19"/>
  <c r="D56" i="19"/>
  <c r="C56" i="19"/>
  <c r="B56" i="19"/>
  <c r="E55" i="19"/>
  <c r="D55" i="19"/>
  <c r="C55" i="19"/>
  <c r="B55" i="19"/>
  <c r="E54" i="19"/>
  <c r="D54" i="19"/>
  <c r="C54" i="19"/>
  <c r="B54" i="19"/>
  <c r="E53" i="19"/>
  <c r="D53" i="19"/>
  <c r="C53" i="19"/>
  <c r="B53" i="19"/>
  <c r="E52" i="19"/>
  <c r="D52" i="19"/>
  <c r="C52" i="19"/>
  <c r="B52" i="19"/>
  <c r="E51" i="19"/>
  <c r="D51" i="19"/>
  <c r="C51" i="19"/>
  <c r="B51" i="19"/>
  <c r="E50" i="19"/>
  <c r="D50" i="19"/>
  <c r="C50" i="19"/>
  <c r="B50" i="19"/>
  <c r="E49" i="19"/>
  <c r="D49" i="19"/>
  <c r="C49" i="19"/>
  <c r="B49" i="19"/>
  <c r="E48" i="19"/>
  <c r="D48" i="19"/>
  <c r="C48" i="19"/>
  <c r="B48" i="19"/>
  <c r="E47" i="19"/>
  <c r="D47" i="19"/>
  <c r="C47" i="19"/>
  <c r="B47" i="19"/>
  <c r="E46" i="19"/>
  <c r="D46" i="19"/>
  <c r="C46" i="19"/>
  <c r="B46" i="19"/>
  <c r="E45" i="19"/>
  <c r="D45" i="19"/>
  <c r="C45" i="19"/>
  <c r="B45" i="19"/>
  <c r="B44" i="19"/>
  <c r="E44" i="19"/>
  <c r="D44" i="19"/>
  <c r="C44" i="19"/>
  <c r="F14" i="1" l="1"/>
  <c r="F13" i="1"/>
  <c r="E24" i="1"/>
  <c r="E2515" i="19"/>
  <c r="E2514" i="19"/>
  <c r="E2513" i="19"/>
  <c r="E2512" i="19"/>
  <c r="E2511" i="19"/>
  <c r="E2510" i="19"/>
  <c r="E2509" i="19"/>
  <c r="E2508" i="19"/>
  <c r="E2507" i="19"/>
  <c r="E2506" i="19"/>
  <c r="E2505" i="19"/>
  <c r="E2504" i="19"/>
  <c r="E2503" i="19"/>
  <c r="E2502" i="19"/>
  <c r="E2501" i="19"/>
  <c r="E2500" i="19"/>
  <c r="E2499" i="19"/>
  <c r="E2467" i="19"/>
  <c r="E2461" i="19"/>
  <c r="E2455" i="19"/>
  <c r="E2449" i="19"/>
  <c r="E2443" i="19"/>
  <c r="E2437" i="19"/>
  <c r="E2431" i="19"/>
  <c r="E2425" i="19"/>
  <c r="E2419" i="19"/>
  <c r="E2413" i="19"/>
  <c r="E2407" i="19"/>
  <c r="E2403" i="19"/>
  <c r="E2399" i="19"/>
  <c r="E2395" i="19"/>
  <c r="E2391" i="19"/>
  <c r="E2387" i="19"/>
  <c r="E2383" i="19"/>
  <c r="E2379" i="19"/>
  <c r="E2375" i="19"/>
  <c r="E2371" i="19"/>
  <c r="E2367" i="19"/>
  <c r="E2363" i="19"/>
  <c r="E2359" i="19"/>
  <c r="E2355" i="19"/>
  <c r="E2351" i="19"/>
  <c r="E2347" i="19"/>
  <c r="E2343" i="19"/>
  <c r="E2339" i="19"/>
  <c r="E2335" i="19"/>
  <c r="E2331" i="19"/>
  <c r="E2327" i="19"/>
  <c r="E2323" i="19"/>
  <c r="E2317" i="19"/>
  <c r="E2311" i="19"/>
  <c r="E2305" i="19"/>
  <c r="E2299" i="19"/>
  <c r="E2293" i="19"/>
  <c r="E2289" i="19"/>
  <c r="E2285" i="19"/>
  <c r="E2281" i="19"/>
  <c r="E2277" i="19"/>
  <c r="E2273" i="19"/>
  <c r="E2269" i="19"/>
  <c r="E2265" i="19"/>
  <c r="E2261" i="19"/>
  <c r="E2257" i="19"/>
  <c r="E2253" i="19"/>
  <c r="E2249" i="19"/>
  <c r="E2245" i="19"/>
  <c r="E2239" i="19"/>
  <c r="E2233" i="19"/>
  <c r="E2227" i="19"/>
  <c r="E2221" i="19"/>
  <c r="E2215" i="19"/>
  <c r="E2211" i="19"/>
  <c r="E2207" i="19"/>
  <c r="E2203" i="19"/>
  <c r="E2199" i="19"/>
  <c r="E2195" i="19"/>
  <c r="E2191" i="19"/>
  <c r="E2187" i="19"/>
  <c r="E2183" i="19"/>
  <c r="E2177" i="19"/>
  <c r="E2171" i="19"/>
  <c r="E2165" i="19"/>
  <c r="E2159" i="19"/>
  <c r="E2155" i="19"/>
  <c r="E2151" i="19"/>
  <c r="E2147" i="19"/>
  <c r="E2143" i="19"/>
  <c r="E2139" i="19"/>
  <c r="E2135" i="19"/>
  <c r="E2131" i="19"/>
  <c r="E2127" i="19"/>
  <c r="E2121" i="19"/>
  <c r="E2115" i="19"/>
  <c r="E2109" i="19"/>
  <c r="E2103" i="19"/>
  <c r="E2098" i="19"/>
  <c r="E2093" i="19"/>
  <c r="E2088" i="19"/>
  <c r="E2083" i="19"/>
  <c r="E2078" i="19"/>
  <c r="E2073" i="19"/>
  <c r="E2068" i="19"/>
  <c r="E2063" i="19"/>
  <c r="E2058" i="19"/>
  <c r="E2053" i="19"/>
  <c r="E2048" i="19"/>
  <c r="E2044" i="19"/>
  <c r="E2040" i="19"/>
  <c r="E2036" i="19"/>
  <c r="E2032" i="19"/>
  <c r="E2028" i="19"/>
  <c r="E2024" i="19"/>
  <c r="E2020" i="19"/>
  <c r="E2016" i="19"/>
  <c r="E2012" i="19"/>
  <c r="E2008" i="19"/>
  <c r="E2004" i="19"/>
  <c r="E2000" i="19"/>
  <c r="E1996" i="19"/>
  <c r="E1992" i="19"/>
  <c r="E1988" i="19"/>
  <c r="E1984" i="19"/>
  <c r="E1980" i="19"/>
  <c r="E1976" i="19"/>
  <c r="E1972" i="19"/>
  <c r="E1968" i="19"/>
  <c r="E1964" i="19"/>
  <c r="E1960" i="19"/>
  <c r="E1956" i="19"/>
  <c r="E1952" i="19"/>
  <c r="E1948" i="19"/>
  <c r="E1944" i="19"/>
  <c r="E1940" i="19"/>
  <c r="E1936" i="19"/>
  <c r="E1932" i="19"/>
  <c r="E1928" i="19"/>
  <c r="E1924" i="19"/>
  <c r="E1920" i="19"/>
  <c r="E1916" i="19"/>
  <c r="E1912" i="19"/>
  <c r="E1908" i="19"/>
  <c r="E1904" i="19"/>
  <c r="E1900" i="19"/>
  <c r="E1896" i="19"/>
  <c r="E1892" i="19"/>
  <c r="E1888" i="19"/>
  <c r="E1884" i="19"/>
  <c r="E1880" i="19"/>
  <c r="E1876" i="19"/>
  <c r="E1872" i="19"/>
  <c r="E1868" i="19"/>
  <c r="E1864" i="19"/>
  <c r="E1860" i="19"/>
  <c r="E1856" i="19"/>
  <c r="E1852" i="19"/>
  <c r="E1848" i="19"/>
  <c r="E1844" i="19"/>
  <c r="E1839" i="19"/>
  <c r="E1835" i="19"/>
  <c r="E1831" i="19"/>
  <c r="E1827" i="19"/>
  <c r="E1823" i="19"/>
  <c r="E1819" i="19"/>
  <c r="E1815" i="19"/>
  <c r="E1811" i="19"/>
  <c r="E1807" i="19"/>
  <c r="E1803" i="19"/>
  <c r="E1799" i="19"/>
  <c r="E1795" i="19"/>
  <c r="E1791" i="19"/>
  <c r="E1788" i="19"/>
  <c r="E1785" i="19"/>
  <c r="E1782" i="19"/>
  <c r="E1781" i="19"/>
  <c r="E1780" i="19"/>
  <c r="E1776" i="19"/>
  <c r="E1768" i="19"/>
  <c r="E1767" i="19"/>
  <c r="E1766" i="19"/>
  <c r="E1765" i="19"/>
  <c r="E1764" i="19"/>
  <c r="E1763" i="19"/>
  <c r="E1762" i="19"/>
  <c r="E1761" i="19"/>
  <c r="E1760" i="19"/>
  <c r="E1759" i="19"/>
  <c r="E1758" i="19"/>
  <c r="E1755" i="19"/>
  <c r="E1752" i="19"/>
  <c r="E1749" i="19"/>
  <c r="E1746" i="19"/>
  <c r="E1743" i="19"/>
  <c r="E1740" i="19"/>
  <c r="E1737" i="19"/>
  <c r="E1736" i="19"/>
  <c r="E1735" i="19"/>
  <c r="E1734" i="19"/>
  <c r="E1733" i="19"/>
  <c r="E1732" i="19"/>
  <c r="E1731" i="19"/>
  <c r="E1730" i="19"/>
  <c r="E1729" i="19"/>
  <c r="E1728" i="19"/>
  <c r="E1727" i="19"/>
  <c r="E1726" i="19"/>
  <c r="E1725" i="19"/>
  <c r="E1724" i="19"/>
  <c r="E1723" i="19"/>
  <c r="E1722" i="19"/>
  <c r="E1721" i="19"/>
  <c r="E1720" i="19"/>
  <c r="E1687" i="19"/>
  <c r="E1686" i="19"/>
  <c r="E1685" i="19"/>
  <c r="E1684" i="19"/>
  <c r="E1682" i="19"/>
  <c r="E1681" i="19"/>
  <c r="E1680" i="19"/>
  <c r="E1679" i="19"/>
  <c r="E1678" i="19"/>
  <c r="E1677" i="19"/>
  <c r="E1676" i="19"/>
  <c r="E1675" i="19"/>
  <c r="E1674" i="19"/>
  <c r="E1671" i="19"/>
  <c r="E1670" i="19"/>
  <c r="E1669" i="19"/>
  <c r="E1668" i="19"/>
  <c r="E1667" i="19"/>
  <c r="E1666" i="19"/>
  <c r="E1665" i="19"/>
  <c r="E1664" i="19"/>
  <c r="E1663" i="19"/>
  <c r="E1662" i="19"/>
  <c r="E1658" i="19"/>
  <c r="E1654" i="19"/>
  <c r="E1650" i="19"/>
  <c r="E1646" i="19"/>
  <c r="E1642" i="19"/>
  <c r="E1634" i="19"/>
  <c r="E1631" i="19"/>
  <c r="E1630" i="19"/>
  <c r="E1629" i="19"/>
  <c r="E1628" i="19"/>
  <c r="E1627" i="19"/>
  <c r="E1625" i="19"/>
  <c r="E1592" i="19"/>
  <c r="E1591" i="19"/>
  <c r="E1590" i="19"/>
  <c r="E1589" i="19"/>
  <c r="E1588" i="19"/>
  <c r="E1587" i="19"/>
  <c r="E1586" i="19"/>
  <c r="E1585" i="19"/>
  <c r="E1584" i="19"/>
  <c r="E1583" i="19"/>
  <c r="E1582" i="19"/>
  <c r="E1581" i="19"/>
  <c r="E1580" i="19"/>
  <c r="E1579" i="19"/>
  <c r="E1578" i="19"/>
  <c r="E1577" i="19"/>
  <c r="E1576" i="19"/>
  <c r="E1575" i="19"/>
  <c r="E1574" i="19"/>
  <c r="E1573" i="19"/>
  <c r="E1572" i="19"/>
  <c r="E1571" i="19"/>
  <c r="E1570" i="19"/>
  <c r="E1569" i="19"/>
  <c r="E1568" i="19"/>
  <c r="E1567" i="19"/>
  <c r="E1566" i="19"/>
  <c r="E1565" i="19"/>
  <c r="E1564" i="19"/>
  <c r="E1563" i="19"/>
  <c r="E1562" i="19"/>
  <c r="E1561" i="19"/>
  <c r="E1560" i="19"/>
  <c r="E1559" i="19"/>
  <c r="E1558" i="19"/>
  <c r="E1557" i="19"/>
  <c r="E1556" i="19"/>
  <c r="E1555" i="19"/>
  <c r="E1554" i="19"/>
  <c r="E1553" i="19"/>
  <c r="E1552" i="19"/>
  <c r="E1551" i="19"/>
  <c r="E1550" i="19"/>
  <c r="E1549" i="19"/>
  <c r="E1548" i="19"/>
  <c r="E1547" i="19"/>
  <c r="E1546" i="19"/>
  <c r="E1545" i="19"/>
  <c r="E1544" i="19"/>
  <c r="E1543" i="19"/>
  <c r="E1542" i="19"/>
  <c r="E1541" i="19"/>
  <c r="E1540" i="19"/>
  <c r="E1539" i="19"/>
  <c r="E1538" i="19"/>
  <c r="E1537" i="19"/>
  <c r="E1536" i="19"/>
  <c r="E1535" i="19"/>
  <c r="E1534" i="19"/>
  <c r="E1533" i="19"/>
  <c r="E1532" i="19"/>
  <c r="E1531" i="19"/>
  <c r="E1530" i="19"/>
  <c r="E1529" i="19"/>
  <c r="E1528" i="19"/>
  <c r="E1527" i="19"/>
  <c r="E1526" i="19"/>
  <c r="E1525" i="19"/>
  <c r="E1524" i="19"/>
  <c r="E1523" i="19"/>
  <c r="E1522" i="19"/>
  <c r="E1521" i="19"/>
  <c r="E1520" i="19"/>
  <c r="E1519" i="19"/>
  <c r="E1518" i="19"/>
  <c r="E1517" i="19"/>
  <c r="E1516" i="19"/>
  <c r="E1515" i="19"/>
  <c r="E1514" i="19"/>
  <c r="E1513" i="19"/>
  <c r="E1512" i="19"/>
  <c r="E1511" i="19"/>
  <c r="E1510" i="19"/>
  <c r="E1509" i="19"/>
  <c r="E1508" i="19"/>
  <c r="E1507" i="19"/>
  <c r="E1506" i="19"/>
  <c r="E1505" i="19"/>
  <c r="E1504" i="19"/>
  <c r="E1503" i="19"/>
  <c r="E1502" i="19"/>
  <c r="E1501" i="19"/>
  <c r="E1500" i="19"/>
  <c r="E1499" i="19"/>
  <c r="E1498" i="19"/>
  <c r="E1497" i="19"/>
  <c r="E1496" i="19"/>
  <c r="E1495" i="19"/>
  <c r="E1494" i="19"/>
  <c r="E1493" i="19"/>
  <c r="E1492" i="19"/>
  <c r="E1491" i="19"/>
  <c r="E1490" i="19"/>
  <c r="E1489" i="19"/>
  <c r="E1488" i="19"/>
  <c r="E1487" i="19"/>
  <c r="E1486" i="19"/>
  <c r="E1485" i="19"/>
  <c r="E1484" i="19"/>
  <c r="E1483" i="19"/>
  <c r="E1482" i="19"/>
  <c r="E1481" i="19"/>
  <c r="E1480" i="19"/>
  <c r="E1479" i="19"/>
  <c r="E1478" i="19"/>
  <c r="E1477" i="19"/>
  <c r="E1476" i="19"/>
  <c r="E1475" i="19"/>
  <c r="E1474" i="19"/>
  <c r="E1473" i="19"/>
  <c r="E1472" i="19"/>
  <c r="E1471" i="19"/>
  <c r="E1470" i="19"/>
  <c r="E1469" i="19"/>
  <c r="E1468" i="19"/>
  <c r="E1467" i="19"/>
  <c r="E1466" i="19"/>
  <c r="E1465" i="19"/>
  <c r="E1464" i="19"/>
  <c r="E1463" i="19"/>
  <c r="E1462" i="19"/>
  <c r="E1461" i="19"/>
  <c r="E1460" i="19"/>
  <c r="E1459" i="19"/>
  <c r="E1458" i="19"/>
  <c r="E1457" i="19"/>
  <c r="E1456" i="19"/>
  <c r="E1455" i="19"/>
  <c r="E1454" i="19"/>
  <c r="E1453" i="19"/>
  <c r="E1452" i="19"/>
  <c r="E1451" i="19"/>
  <c r="E1450" i="19"/>
  <c r="E1449" i="19"/>
  <c r="E1448" i="19"/>
  <c r="E1447" i="19"/>
  <c r="E1446" i="19"/>
  <c r="E1445" i="19"/>
  <c r="E1444" i="19"/>
  <c r="E1443" i="19"/>
  <c r="E1442" i="19"/>
  <c r="E1441" i="19"/>
  <c r="E1440" i="19"/>
  <c r="E1439" i="19"/>
  <c r="E1438" i="19"/>
  <c r="E1437" i="19"/>
  <c r="E1436" i="19"/>
  <c r="E1435" i="19"/>
  <c r="E1434" i="19"/>
  <c r="E1433" i="19"/>
  <c r="E1432" i="19"/>
  <c r="E1431" i="19"/>
  <c r="E1430" i="19"/>
  <c r="E1429" i="19"/>
  <c r="E1428" i="19"/>
  <c r="E1427" i="19"/>
  <c r="E1426" i="19"/>
  <c r="E1425" i="19"/>
  <c r="E1424" i="19"/>
  <c r="E1423" i="19"/>
  <c r="E1422" i="19"/>
  <c r="E1421" i="19"/>
  <c r="E1420" i="19"/>
  <c r="E1419" i="19"/>
  <c r="E1418" i="19"/>
  <c r="E1417" i="19"/>
  <c r="E1416" i="19"/>
  <c r="E1415" i="19"/>
  <c r="E1414" i="19"/>
  <c r="E1413" i="19"/>
  <c r="E1412" i="19"/>
  <c r="E1411" i="19"/>
  <c r="E1410" i="19"/>
  <c r="E1409" i="19"/>
  <c r="E1408" i="19"/>
  <c r="E1407" i="19"/>
  <c r="E1406" i="19"/>
  <c r="E1405" i="19"/>
  <c r="E1404" i="19"/>
  <c r="E1403" i="19"/>
  <c r="E1402" i="19"/>
  <c r="E1401" i="19"/>
  <c r="E1400" i="19"/>
  <c r="E1399" i="19"/>
  <c r="E1398" i="19"/>
  <c r="E1397" i="19"/>
  <c r="E1396" i="19"/>
  <c r="E1395" i="19"/>
  <c r="E1394" i="19"/>
  <c r="E1393" i="19"/>
  <c r="E1392" i="19"/>
  <c r="E1391" i="19"/>
  <c r="E1390" i="19"/>
  <c r="E1389" i="19"/>
  <c r="E1388" i="19"/>
  <c r="E1387" i="19"/>
  <c r="E1386" i="19"/>
  <c r="E1385" i="19"/>
  <c r="E1384" i="19"/>
  <c r="E1383" i="19"/>
  <c r="E1382" i="19"/>
  <c r="E1381" i="19"/>
  <c r="E1380" i="19"/>
  <c r="E1379" i="19"/>
  <c r="E1378" i="19"/>
  <c r="E1377" i="19"/>
  <c r="E1376" i="19"/>
  <c r="E1375" i="19"/>
  <c r="E1374" i="19"/>
  <c r="E1373" i="19"/>
  <c r="E1372" i="19"/>
  <c r="E1371" i="19"/>
  <c r="E1370" i="19"/>
  <c r="E1369" i="19"/>
  <c r="E1368" i="19"/>
  <c r="E1367" i="19"/>
  <c r="E1366" i="19"/>
  <c r="E1365" i="19"/>
  <c r="E1364" i="19"/>
  <c r="E1363" i="19"/>
  <c r="E1362" i="19"/>
  <c r="E1361" i="19"/>
  <c r="E1360" i="19"/>
  <c r="E1359" i="19"/>
  <c r="E1358" i="19"/>
  <c r="E1357" i="19"/>
  <c r="E1356" i="19"/>
  <c r="E1355" i="19"/>
  <c r="E1354" i="19"/>
  <c r="E1353" i="19"/>
  <c r="E1352" i="19"/>
  <c r="E1351" i="19"/>
  <c r="E1350" i="19"/>
  <c r="E1349" i="19"/>
  <c r="E1348" i="19"/>
  <c r="E1347" i="19"/>
  <c r="E1346" i="19"/>
  <c r="E1345" i="19"/>
  <c r="E1344" i="19"/>
  <c r="E1343" i="19"/>
  <c r="E1342" i="19"/>
  <c r="E1341" i="19"/>
  <c r="E1340" i="19"/>
  <c r="E1339" i="19"/>
  <c r="E1338" i="19"/>
  <c r="E1337" i="19"/>
  <c r="E1336" i="19"/>
  <c r="E1335" i="19"/>
  <c r="E1334" i="19"/>
  <c r="E1333" i="19"/>
  <c r="E1332" i="19"/>
  <c r="E1331" i="19"/>
  <c r="E1330" i="19"/>
  <c r="E1329" i="19"/>
  <c r="E1328" i="19"/>
  <c r="E1327" i="19"/>
  <c r="E1326" i="19"/>
  <c r="E1325" i="19"/>
  <c r="E1324" i="19"/>
  <c r="E1323" i="19"/>
  <c r="E1322" i="19"/>
  <c r="E1321" i="19"/>
  <c r="E1320" i="19"/>
  <c r="E1319" i="19"/>
  <c r="E1318" i="19"/>
  <c r="E1317" i="19"/>
  <c r="E1316" i="19"/>
  <c r="E1315" i="19"/>
  <c r="E1314" i="19"/>
  <c r="E1313" i="19"/>
  <c r="E1312" i="19"/>
  <c r="E1311" i="19"/>
  <c r="E1310" i="19"/>
  <c r="E1309" i="19"/>
  <c r="E1308" i="19"/>
  <c r="E1307" i="19"/>
  <c r="E1306" i="19"/>
  <c r="E1305" i="19"/>
  <c r="E1304" i="19"/>
  <c r="E1303" i="19"/>
  <c r="E1302" i="19"/>
  <c r="E1301" i="19"/>
  <c r="E1300" i="19"/>
  <c r="E1299" i="19"/>
  <c r="E1298" i="19"/>
  <c r="E1297" i="19"/>
  <c r="E1296" i="19"/>
  <c r="E1295" i="19"/>
  <c r="E1294" i="19"/>
  <c r="E1293" i="19"/>
  <c r="E1292" i="19"/>
  <c r="E1291" i="19"/>
  <c r="E1290" i="19"/>
  <c r="E1289" i="19"/>
  <c r="E1288" i="19"/>
  <c r="E1287" i="19"/>
  <c r="E1286" i="19"/>
  <c r="E1285" i="19"/>
  <c r="E1284" i="19"/>
  <c r="E1283" i="19"/>
  <c r="E1282" i="19"/>
  <c r="E1281" i="19"/>
  <c r="E1280" i="19"/>
  <c r="E1279" i="19"/>
  <c r="E1278" i="19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1215" i="19"/>
  <c r="E1214" i="19"/>
  <c r="E1213" i="19"/>
  <c r="E1212" i="19"/>
  <c r="E1211" i="19"/>
  <c r="E1210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1170" i="19"/>
  <c r="E1169" i="19"/>
  <c r="E1168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1119" i="19"/>
  <c r="E1118" i="19"/>
  <c r="E1117" i="19"/>
  <c r="E1116" i="19"/>
  <c r="E1115" i="19"/>
  <c r="E1114" i="19"/>
  <c r="E1113" i="19"/>
  <c r="E1112" i="19"/>
  <c r="E1111" i="19"/>
  <c r="E1110" i="19"/>
  <c r="E1109" i="19"/>
  <c r="E1108" i="19"/>
  <c r="E1107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1081" i="19"/>
  <c r="E1080" i="19"/>
  <c r="E1079" i="19"/>
  <c r="E1078" i="19"/>
  <c r="E1077" i="19"/>
  <c r="E1076" i="19"/>
  <c r="E1075" i="19"/>
  <c r="E1074" i="19"/>
  <c r="E1073" i="19"/>
  <c r="E1072" i="19"/>
  <c r="E1071" i="19"/>
  <c r="E1070" i="19"/>
  <c r="E1069" i="19"/>
  <c r="E1068" i="19"/>
  <c r="E1067" i="19"/>
  <c r="E1066" i="19"/>
  <c r="E1065" i="19"/>
  <c r="E1064" i="19"/>
  <c r="E1063" i="19"/>
  <c r="E1062" i="19"/>
  <c r="E1061" i="19"/>
  <c r="E1060" i="19"/>
  <c r="E1059" i="19"/>
  <c r="E1058" i="19"/>
  <c r="E1057" i="19"/>
  <c r="E1056" i="19"/>
  <c r="E1055" i="19"/>
  <c r="E1054" i="19"/>
  <c r="E1053" i="19"/>
  <c r="E1052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967" i="19"/>
  <c r="E966" i="19"/>
  <c r="E965" i="19"/>
  <c r="E964" i="19"/>
  <c r="E963" i="19"/>
  <c r="E962" i="19"/>
  <c r="E961" i="19"/>
  <c r="E960" i="19"/>
  <c r="E959" i="19"/>
  <c r="E958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918" i="19"/>
  <c r="E917" i="19"/>
  <c r="E916" i="19"/>
  <c r="E915" i="19"/>
  <c r="E914" i="19"/>
  <c r="E913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864" i="19"/>
  <c r="E863" i="19"/>
  <c r="E862" i="19"/>
  <c r="E858" i="19"/>
  <c r="E854" i="19"/>
  <c r="E853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792" i="19"/>
  <c r="E791" i="19"/>
  <c r="E759" i="19"/>
  <c r="E753" i="19"/>
  <c r="E747" i="19"/>
  <c r="E741" i="19"/>
  <c r="E735" i="19"/>
  <c r="E729" i="19"/>
  <c r="E723" i="19"/>
  <c r="E717" i="19"/>
  <c r="E711" i="19"/>
  <c r="E705" i="19"/>
  <c r="E702" i="19"/>
  <c r="E700" i="19"/>
  <c r="E698" i="19"/>
  <c r="E696" i="19"/>
  <c r="E694" i="19"/>
  <c r="E688" i="19"/>
  <c r="E685" i="19"/>
  <c r="E684" i="19"/>
  <c r="E683" i="19"/>
  <c r="E682" i="19"/>
  <c r="E678" i="19"/>
  <c r="E674" i="19"/>
  <c r="E670" i="19"/>
  <c r="E666" i="19"/>
  <c r="E665" i="19"/>
  <c r="E664" i="19"/>
  <c r="E663" i="19"/>
  <c r="E662" i="19"/>
  <c r="E654" i="19"/>
  <c r="E651" i="19"/>
  <c r="E650" i="19"/>
  <c r="E649" i="19"/>
  <c r="E644" i="19"/>
  <c r="E618" i="19"/>
  <c r="E613" i="19"/>
  <c r="E608" i="19"/>
  <c r="E603" i="19"/>
  <c r="E598" i="19"/>
  <c r="E593" i="19"/>
  <c r="E591" i="19"/>
  <c r="E590" i="19"/>
  <c r="E589" i="19"/>
  <c r="E563" i="19"/>
  <c r="E560" i="19"/>
  <c r="E559" i="19"/>
  <c r="E558" i="19"/>
  <c r="E557" i="19"/>
  <c r="E556" i="19"/>
  <c r="E555" i="19"/>
  <c r="E554" i="19"/>
  <c r="E553" i="19"/>
  <c r="E552" i="19"/>
  <c r="E538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4" i="19"/>
  <c r="E509" i="19"/>
  <c r="E504" i="19"/>
  <c r="E498" i="19"/>
  <c r="E492" i="19"/>
  <c r="E480" i="19"/>
  <c r="E474" i="19"/>
  <c r="E468" i="19"/>
  <c r="E432" i="19"/>
  <c r="E402" i="19"/>
  <c r="E396" i="19"/>
  <c r="E372" i="19"/>
  <c r="E366" i="19"/>
  <c r="E360" i="19"/>
  <c r="E354" i="19"/>
  <c r="E348" i="19"/>
  <c r="E342" i="19"/>
  <c r="E336" i="19"/>
  <c r="E330" i="19"/>
  <c r="E324" i="19"/>
  <c r="E318" i="19"/>
  <c r="E312" i="19"/>
  <c r="E306" i="19"/>
  <c r="E303" i="19"/>
  <c r="E300" i="19"/>
  <c r="E297" i="19"/>
  <c r="E294" i="19"/>
  <c r="E291" i="19"/>
  <c r="E288" i="19"/>
  <c r="E285" i="19"/>
  <c r="E282" i="19"/>
  <c r="E279" i="19"/>
  <c r="E276" i="19"/>
  <c r="E271" i="19"/>
  <c r="E266" i="19"/>
  <c r="E261" i="19"/>
  <c r="E256" i="19"/>
  <c r="E241" i="19"/>
  <c r="E240" i="19"/>
  <c r="E236" i="19"/>
  <c r="E234" i="19"/>
  <c r="E232" i="19"/>
  <c r="E230" i="19"/>
  <c r="E229" i="19"/>
  <c r="E228" i="19"/>
  <c r="E202" i="19"/>
  <c r="E197" i="19"/>
  <c r="E194" i="19"/>
  <c r="E192" i="19"/>
  <c r="E190" i="19"/>
  <c r="E180" i="19"/>
  <c r="E176" i="19"/>
  <c r="E172" i="19"/>
  <c r="E168" i="19"/>
  <c r="E164" i="19"/>
  <c r="E160" i="19"/>
  <c r="E157" i="19"/>
  <c r="E154" i="19"/>
  <c r="E151" i="19"/>
  <c r="E148" i="19"/>
  <c r="E145" i="19"/>
  <c r="E142" i="19"/>
  <c r="E141" i="19"/>
  <c r="E140" i="19"/>
  <c r="E139" i="19"/>
  <c r="E138" i="19"/>
  <c r="E137" i="19"/>
  <c r="E136" i="19"/>
  <c r="E135" i="19"/>
  <c r="E132" i="19"/>
  <c r="E124" i="19"/>
  <c r="E121" i="19"/>
  <c r="E120" i="19"/>
  <c r="E119" i="19"/>
  <c r="E118" i="19"/>
  <c r="E117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3" i="19"/>
  <c r="E22" i="19"/>
  <c r="E21" i="19"/>
  <c r="E20" i="19"/>
  <c r="E686" i="1"/>
  <c r="E687" i="1"/>
  <c r="E693" i="1"/>
  <c r="E692" i="1"/>
  <c r="E691" i="1"/>
  <c r="E690" i="1"/>
  <c r="E689" i="1"/>
  <c r="E681" i="1"/>
  <c r="E680" i="1"/>
  <c r="E679" i="1"/>
  <c r="E677" i="1"/>
  <c r="E676" i="1"/>
  <c r="E675" i="1"/>
  <c r="E673" i="1"/>
  <c r="E672" i="1"/>
  <c r="E671" i="1"/>
  <c r="E669" i="1"/>
  <c r="E668" i="1"/>
  <c r="E667" i="1"/>
  <c r="E661" i="1"/>
  <c r="E660" i="1"/>
  <c r="E659" i="1"/>
  <c r="E658" i="1"/>
  <c r="E657" i="1"/>
  <c r="E656" i="1"/>
  <c r="E655" i="1"/>
  <c r="E653" i="1"/>
  <c r="E652" i="1"/>
  <c r="E648" i="1"/>
  <c r="E647" i="1"/>
  <c r="E646" i="1"/>
  <c r="E645" i="1"/>
  <c r="E617" i="1"/>
  <c r="E612" i="1"/>
  <c r="E607" i="1"/>
  <c r="E602" i="1"/>
  <c r="E597" i="1"/>
  <c r="E616" i="1"/>
  <c r="E615" i="1"/>
  <c r="E611" i="1"/>
  <c r="E610" i="1"/>
  <c r="E606" i="1"/>
  <c r="E605" i="1"/>
  <c r="E601" i="1"/>
  <c r="E600" i="1"/>
  <c r="E596" i="1"/>
  <c r="E595" i="1"/>
  <c r="E592" i="1"/>
  <c r="E562" i="1"/>
  <c r="E561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7" i="1"/>
  <c r="E536" i="1"/>
  <c r="E535" i="1"/>
  <c r="E534" i="1"/>
  <c r="E518" i="1"/>
  <c r="E517" i="1"/>
  <c r="E516" i="1"/>
  <c r="E515" i="1"/>
  <c r="E513" i="1"/>
  <c r="E512" i="1"/>
  <c r="E511" i="1"/>
  <c r="E510" i="1"/>
  <c r="E507" i="1"/>
  <c r="E506" i="1"/>
  <c r="E505" i="1"/>
  <c r="E508" i="1"/>
  <c r="E255" i="1"/>
  <c r="E239" i="1"/>
  <c r="E242" i="1"/>
  <c r="E238" i="1"/>
  <c r="E201" i="1"/>
  <c r="E200" i="1"/>
  <c r="E199" i="1"/>
  <c r="E198" i="1"/>
  <c r="E189" i="1"/>
  <c r="E188" i="1"/>
  <c r="E187" i="1"/>
  <c r="E186" i="1"/>
  <c r="E185" i="1"/>
  <c r="E183" i="1"/>
  <c r="E179" i="1"/>
  <c r="E175" i="1"/>
  <c r="E171" i="1"/>
  <c r="E167" i="1"/>
  <c r="E163" i="1"/>
  <c r="E181" i="1"/>
  <c r="E177" i="1"/>
  <c r="E173" i="1"/>
  <c r="E169" i="1"/>
  <c r="E165" i="1"/>
  <c r="E161" i="1"/>
  <c r="E158" i="1"/>
  <c r="E155" i="1"/>
  <c r="E152" i="1"/>
  <c r="E149" i="1"/>
  <c r="E146" i="1"/>
  <c r="E143" i="1"/>
  <c r="E144" i="1"/>
  <c r="E147" i="1"/>
  <c r="E150" i="1"/>
  <c r="E153" i="1"/>
  <c r="E156" i="1"/>
  <c r="E159" i="1"/>
  <c r="E182" i="1"/>
  <c r="E178" i="1"/>
  <c r="E174" i="1"/>
  <c r="E170" i="1"/>
  <c r="E166" i="1"/>
  <c r="E162" i="1"/>
  <c r="E191" i="1"/>
  <c r="E25" i="1"/>
  <c r="E196" i="1"/>
  <c r="E195" i="1"/>
  <c r="E193" i="1"/>
  <c r="E134" i="1"/>
  <c r="E133" i="1"/>
  <c r="E131" i="1"/>
  <c r="E130" i="1"/>
  <c r="E123" i="1"/>
  <c r="E127" i="1"/>
  <c r="E125" i="1"/>
  <c r="E29" i="1"/>
  <c r="E28" i="1"/>
  <c r="E27" i="1"/>
  <c r="E26" i="1"/>
  <c r="E2466" i="1"/>
  <c r="E2465" i="1"/>
  <c r="E2464" i="1"/>
  <c r="E2463" i="1"/>
  <c r="E2462" i="1"/>
  <c r="E2460" i="1"/>
  <c r="E2459" i="1"/>
  <c r="E2458" i="1"/>
  <c r="E2457" i="1"/>
  <c r="E2456" i="1"/>
  <c r="E2454" i="1"/>
  <c r="E2453" i="1"/>
  <c r="E2452" i="1"/>
  <c r="E2451" i="1"/>
  <c r="E2450" i="1"/>
  <c r="E2448" i="1"/>
  <c r="E2447" i="1"/>
  <c r="E2446" i="1"/>
  <c r="E2445" i="1"/>
  <c r="E2444" i="1"/>
  <c r="E2442" i="1"/>
  <c r="E2441" i="1"/>
  <c r="E2440" i="1"/>
  <c r="E2439" i="1"/>
  <c r="E2438" i="1"/>
  <c r="E2436" i="1"/>
  <c r="E2435" i="1"/>
  <c r="E2434" i="1"/>
  <c r="E2433" i="1"/>
  <c r="E2432" i="1"/>
  <c r="E2430" i="1"/>
  <c r="E2429" i="1"/>
  <c r="E2428" i="1"/>
  <c r="E2427" i="1"/>
  <c r="E2426" i="1"/>
  <c r="E2424" i="1"/>
  <c r="E2423" i="1"/>
  <c r="E2422" i="1"/>
  <c r="E2421" i="1"/>
  <c r="E2420" i="1"/>
  <c r="E2418" i="1"/>
  <c r="E2417" i="1"/>
  <c r="E2416" i="1"/>
  <c r="E2415" i="1"/>
  <c r="E2414" i="1"/>
  <c r="E2412" i="1"/>
  <c r="E2411" i="1"/>
  <c r="E2410" i="1"/>
  <c r="E2409" i="1"/>
  <c r="E2408" i="1"/>
  <c r="E2406" i="1"/>
  <c r="E2405" i="1"/>
  <c r="E2404" i="1"/>
  <c r="E2402" i="1"/>
  <c r="E2401" i="1"/>
  <c r="E2400" i="1"/>
  <c r="E2398" i="1"/>
  <c r="E2397" i="1"/>
  <c r="E2396" i="1"/>
  <c r="E2394" i="1"/>
  <c r="E2393" i="1"/>
  <c r="E2392" i="1"/>
  <c r="E2390" i="1"/>
  <c r="E2389" i="1"/>
  <c r="E2388" i="1"/>
  <c r="E2386" i="1"/>
  <c r="E2385" i="1"/>
  <c r="E2384" i="1"/>
  <c r="E2382" i="1"/>
  <c r="E2381" i="1"/>
  <c r="E2380" i="1"/>
  <c r="E2378" i="1"/>
  <c r="E2377" i="1"/>
  <c r="E2376" i="1"/>
  <c r="E2374" i="1"/>
  <c r="E2373" i="1"/>
  <c r="E2372" i="1"/>
  <c r="E2370" i="1"/>
  <c r="E2369" i="1"/>
  <c r="E2368" i="1"/>
  <c r="E2366" i="1"/>
  <c r="E2365" i="1"/>
  <c r="E2364" i="1"/>
  <c r="E2362" i="1"/>
  <c r="E2361" i="1"/>
  <c r="E2360" i="1"/>
  <c r="E2358" i="1"/>
  <c r="E2357" i="1"/>
  <c r="E2356" i="1"/>
  <c r="E2354" i="1"/>
  <c r="E2353" i="1"/>
  <c r="E2352" i="1"/>
  <c r="E2350" i="1"/>
  <c r="E2349" i="1"/>
  <c r="E2348" i="1"/>
  <c r="E2346" i="1"/>
  <c r="E2345" i="1"/>
  <c r="E2344" i="1"/>
  <c r="E2342" i="1"/>
  <c r="E2341" i="1"/>
  <c r="E2340" i="1"/>
  <c r="E2338" i="1"/>
  <c r="E2337" i="1"/>
  <c r="E2336" i="1"/>
  <c r="E2334" i="1"/>
  <c r="E2333" i="1"/>
  <c r="E2332" i="1"/>
  <c r="E2330" i="1"/>
  <c r="E2329" i="1"/>
  <c r="E2328" i="1"/>
  <c r="E2326" i="1"/>
  <c r="E2325" i="1"/>
  <c r="E2324" i="1"/>
  <c r="E2322" i="1"/>
  <c r="E2321" i="1"/>
  <c r="E2320" i="1"/>
  <c r="E2319" i="1"/>
  <c r="E2318" i="1"/>
  <c r="E2316" i="1"/>
  <c r="E2315" i="1"/>
  <c r="E2314" i="1"/>
  <c r="E2313" i="1"/>
  <c r="E2312" i="1"/>
  <c r="E2310" i="1"/>
  <c r="E2309" i="1"/>
  <c r="E2308" i="1"/>
  <c r="E2307" i="1"/>
  <c r="E2306" i="1"/>
  <c r="E2304" i="1"/>
  <c r="E2303" i="1"/>
  <c r="E2302" i="1"/>
  <c r="E2301" i="1"/>
  <c r="E2300" i="1"/>
  <c r="E2298" i="1"/>
  <c r="E2297" i="1"/>
  <c r="E2296" i="1"/>
  <c r="E2295" i="1"/>
  <c r="E2294" i="1"/>
  <c r="E2292" i="1"/>
  <c r="E2291" i="1"/>
  <c r="E2290" i="1"/>
  <c r="E2288" i="1"/>
  <c r="E2287" i="1"/>
  <c r="E2286" i="1"/>
  <c r="E2284" i="1"/>
  <c r="E2283" i="1"/>
  <c r="E2282" i="1"/>
  <c r="E2280" i="1"/>
  <c r="E2279" i="1"/>
  <c r="E2278" i="1"/>
  <c r="E2276" i="1"/>
  <c r="E2275" i="1"/>
  <c r="E2274" i="1"/>
  <c r="E2272" i="1"/>
  <c r="E2271" i="1"/>
  <c r="E2270" i="1"/>
  <c r="E2268" i="1"/>
  <c r="E2267" i="1"/>
  <c r="E2266" i="1"/>
  <c r="E2264" i="1"/>
  <c r="E2263" i="1"/>
  <c r="E2262" i="1"/>
  <c r="E2260" i="1"/>
  <c r="E2259" i="1"/>
  <c r="E2258" i="1"/>
  <c r="E2256" i="1"/>
  <c r="E2255" i="1"/>
  <c r="E2254" i="1"/>
  <c r="E2252" i="1"/>
  <c r="E2251" i="1"/>
  <c r="E2250" i="1"/>
  <c r="E2248" i="1"/>
  <c r="E2247" i="1"/>
  <c r="E2246" i="1"/>
  <c r="E2244" i="1"/>
  <c r="E2243" i="1"/>
  <c r="E2242" i="1"/>
  <c r="E2241" i="1"/>
  <c r="E2240" i="1"/>
  <c r="E2238" i="1"/>
  <c r="E2237" i="1"/>
  <c r="E2236" i="1"/>
  <c r="E2235" i="1"/>
  <c r="E2234" i="1"/>
  <c r="E2232" i="1"/>
  <c r="E2231" i="1"/>
  <c r="E2230" i="1"/>
  <c r="E2229" i="1"/>
  <c r="E2228" i="1"/>
  <c r="E2226" i="1"/>
  <c r="E2225" i="1"/>
  <c r="E2224" i="1"/>
  <c r="E2223" i="1"/>
  <c r="E2222" i="1"/>
  <c r="E2220" i="1"/>
  <c r="E2219" i="1"/>
  <c r="E2218" i="1"/>
  <c r="E2217" i="1"/>
  <c r="E2216" i="1"/>
  <c r="E2214" i="1"/>
  <c r="E2213" i="1"/>
  <c r="E2212" i="1"/>
  <c r="E2210" i="1"/>
  <c r="E2209" i="1"/>
  <c r="E2208" i="1"/>
  <c r="E2206" i="1"/>
  <c r="E2205" i="1"/>
  <c r="E2204" i="1"/>
  <c r="E2202" i="1"/>
  <c r="E2201" i="1"/>
  <c r="E2200" i="1"/>
  <c r="E2198" i="1"/>
  <c r="E2197" i="1"/>
  <c r="E2196" i="1"/>
  <c r="E2194" i="1"/>
  <c r="E2193" i="1"/>
  <c r="E2192" i="1"/>
  <c r="E2190" i="1"/>
  <c r="E2189" i="1"/>
  <c r="E2188" i="1"/>
  <c r="E2186" i="1"/>
  <c r="E2185" i="1"/>
  <c r="E2184" i="1"/>
  <c r="E2182" i="1"/>
  <c r="E2181" i="1"/>
  <c r="E2180" i="1"/>
  <c r="E2179" i="1"/>
  <c r="E2178" i="1"/>
  <c r="E2176" i="1"/>
  <c r="E2175" i="1"/>
  <c r="E2174" i="1"/>
  <c r="E2173" i="1"/>
  <c r="E2172" i="1"/>
  <c r="E2170" i="1"/>
  <c r="E2169" i="1"/>
  <c r="E2168" i="1"/>
  <c r="E2167" i="1"/>
  <c r="E2166" i="1"/>
  <c r="E2164" i="1"/>
  <c r="E2163" i="1"/>
  <c r="E2162" i="1"/>
  <c r="E2161" i="1"/>
  <c r="E2160" i="1"/>
  <c r="E2158" i="1"/>
  <c r="E2157" i="1"/>
  <c r="E2156" i="1"/>
  <c r="E2154" i="1"/>
  <c r="E2153" i="1"/>
  <c r="E2152" i="1"/>
  <c r="E2150" i="1"/>
  <c r="E2149" i="1"/>
  <c r="E2148" i="1"/>
  <c r="E2146" i="1"/>
  <c r="E2145" i="1"/>
  <c r="E2144" i="1"/>
  <c r="E2142" i="1"/>
  <c r="E2141" i="1"/>
  <c r="E2140" i="1"/>
  <c r="E2138" i="1"/>
  <c r="E2137" i="1"/>
  <c r="E2136" i="1"/>
  <c r="E2134" i="1"/>
  <c r="E2133" i="1"/>
  <c r="E2132" i="1"/>
  <c r="E2130" i="1"/>
  <c r="E2129" i="1"/>
  <c r="E2128" i="1"/>
  <c r="E2126" i="1"/>
  <c r="E2125" i="1"/>
  <c r="E2124" i="1"/>
  <c r="E2123" i="1"/>
  <c r="E2122" i="1"/>
  <c r="E2120" i="1"/>
  <c r="E2119" i="1"/>
  <c r="E2118" i="1"/>
  <c r="E2117" i="1"/>
  <c r="E2116" i="1"/>
  <c r="E2114" i="1"/>
  <c r="E2113" i="1"/>
  <c r="E2112" i="1"/>
  <c r="E2111" i="1"/>
  <c r="E2110" i="1"/>
  <c r="E2108" i="1"/>
  <c r="E2107" i="1"/>
  <c r="E2106" i="1"/>
  <c r="E2105" i="1"/>
  <c r="E2104" i="1"/>
  <c r="E2102" i="1"/>
  <c r="E2101" i="1"/>
  <c r="E2100" i="1"/>
  <c r="E2099" i="1"/>
  <c r="E2097" i="1"/>
  <c r="E2096" i="1"/>
  <c r="E2095" i="1"/>
  <c r="E2094" i="1"/>
  <c r="E2092" i="1"/>
  <c r="E2091" i="1"/>
  <c r="E2090" i="1"/>
  <c r="E2089" i="1"/>
  <c r="E2087" i="1"/>
  <c r="E2086" i="1"/>
  <c r="E2085" i="1"/>
  <c r="E2084" i="1"/>
  <c r="E2082" i="1"/>
  <c r="E2081" i="1"/>
  <c r="E2080" i="1"/>
  <c r="E2079" i="1"/>
  <c r="E2077" i="1"/>
  <c r="E2076" i="1"/>
  <c r="E2075" i="1"/>
  <c r="E2074" i="1"/>
  <c r="E2072" i="1"/>
  <c r="E2071" i="1"/>
  <c r="E2070" i="1"/>
  <c r="E2069" i="1"/>
  <c r="E2067" i="1"/>
  <c r="E2066" i="1"/>
  <c r="E2065" i="1"/>
  <c r="E2064" i="1"/>
  <c r="E2062" i="1"/>
  <c r="E2061" i="1"/>
  <c r="E2060" i="1"/>
  <c r="E2059" i="1"/>
  <c r="E2056" i="1"/>
  <c r="E2051" i="1"/>
  <c r="E2057" i="1"/>
  <c r="E2055" i="1"/>
  <c r="E2054" i="1"/>
  <c r="E2052" i="1"/>
  <c r="E2050" i="1"/>
  <c r="E2049" i="1"/>
  <c r="E2047" i="1"/>
  <c r="E2046" i="1"/>
  <c r="E2045" i="1"/>
  <c r="E2043" i="1"/>
  <c r="E2042" i="1"/>
  <c r="E2041" i="1"/>
  <c r="E2039" i="1"/>
  <c r="E2038" i="1"/>
  <c r="E2037" i="1"/>
  <c r="E2035" i="1"/>
  <c r="E2034" i="1"/>
  <c r="E2033" i="1"/>
  <c r="E2031" i="1"/>
  <c r="E2030" i="1"/>
  <c r="E2029" i="1"/>
  <c r="E2027" i="1"/>
  <c r="E2026" i="1"/>
  <c r="E2025" i="1"/>
  <c r="E2023" i="1"/>
  <c r="E2022" i="1"/>
  <c r="E2021" i="1"/>
  <c r="E2019" i="1"/>
  <c r="E2018" i="1"/>
  <c r="E2017" i="1"/>
  <c r="E2015" i="1"/>
  <c r="E2014" i="1"/>
  <c r="E2013" i="1"/>
  <c r="E2011" i="1"/>
  <c r="E2010" i="1"/>
  <c r="E2009" i="1"/>
  <c r="E2007" i="1"/>
  <c r="E2006" i="1"/>
  <c r="E2005" i="1"/>
  <c r="E2003" i="1"/>
  <c r="E2002" i="1"/>
  <c r="E2001" i="1"/>
  <c r="E1999" i="1"/>
  <c r="E1998" i="1"/>
  <c r="E1997" i="1"/>
  <c r="E1995" i="1"/>
  <c r="E1994" i="1"/>
  <c r="E1993" i="1"/>
  <c r="E1991" i="1"/>
  <c r="E1990" i="1"/>
  <c r="E1989" i="1"/>
  <c r="E1987" i="1"/>
  <c r="E1986" i="1"/>
  <c r="E1985" i="1"/>
  <c r="E1983" i="1"/>
  <c r="E1982" i="1"/>
  <c r="E1981" i="1"/>
  <c r="E1979" i="1"/>
  <c r="E1978" i="1"/>
  <c r="E1977" i="1"/>
  <c r="E1975" i="1"/>
  <c r="E1974" i="1"/>
  <c r="E1973" i="1"/>
  <c r="E1971" i="1"/>
  <c r="E1970" i="1"/>
  <c r="E1969" i="1"/>
  <c r="E1967" i="1"/>
  <c r="E1966" i="1"/>
  <c r="E1965" i="1"/>
  <c r="E1963" i="1"/>
  <c r="E1962" i="1"/>
  <c r="E1961" i="1"/>
  <c r="E1959" i="1"/>
  <c r="E1958" i="1"/>
  <c r="E1957" i="1"/>
  <c r="E1955" i="1"/>
  <c r="E1954" i="1"/>
  <c r="E1953" i="1"/>
  <c r="E1951" i="1"/>
  <c r="E1950" i="1"/>
  <c r="E1949" i="1"/>
  <c r="E1947" i="1"/>
  <c r="E1946" i="1"/>
  <c r="E1945" i="1"/>
  <c r="E1943" i="1"/>
  <c r="E1942" i="1"/>
  <c r="E1941" i="1"/>
  <c r="E1939" i="1"/>
  <c r="E1938" i="1"/>
  <c r="E1937" i="1"/>
  <c r="E1934" i="1"/>
  <c r="E1933" i="1"/>
  <c r="E1935" i="1"/>
  <c r="E789" i="1"/>
  <c r="E790" i="1"/>
  <c r="E806" i="1"/>
  <c r="E793" i="1"/>
  <c r="E1790" i="1"/>
  <c r="E1931" i="1"/>
  <c r="E1930" i="1"/>
  <c r="E1929" i="1"/>
  <c r="E1927" i="1"/>
  <c r="E1926" i="1"/>
  <c r="E1925" i="1"/>
  <c r="E1923" i="1"/>
  <c r="E1922" i="1"/>
  <c r="E1921" i="1"/>
  <c r="E1919" i="1"/>
  <c r="E1918" i="1"/>
  <c r="E1917" i="1"/>
  <c r="E1915" i="1"/>
  <c r="E1914" i="1"/>
  <c r="E1913" i="1"/>
  <c r="E1911" i="1"/>
  <c r="E1910" i="1"/>
  <c r="E1909" i="1"/>
  <c r="E1907" i="1"/>
  <c r="E1906" i="1"/>
  <c r="E1905" i="1"/>
  <c r="E1903" i="1"/>
  <c r="E1902" i="1"/>
  <c r="E1901" i="1"/>
  <c r="E1899" i="1"/>
  <c r="E1898" i="1"/>
  <c r="E1897" i="1"/>
  <c r="E1895" i="1"/>
  <c r="E1894" i="1"/>
  <c r="E1893" i="1"/>
  <c r="E1891" i="1"/>
  <c r="E1890" i="1"/>
  <c r="E1889" i="1"/>
  <c r="E1887" i="1"/>
  <c r="E1886" i="1"/>
  <c r="E1885" i="1"/>
  <c r="E1883" i="1"/>
  <c r="E1882" i="1"/>
  <c r="E1881" i="1"/>
  <c r="E1879" i="1"/>
  <c r="E1878" i="1"/>
  <c r="E1877" i="1"/>
  <c r="E1875" i="1"/>
  <c r="E1874" i="1"/>
  <c r="E1873" i="1"/>
  <c r="E1871" i="1"/>
  <c r="E1870" i="1"/>
  <c r="E1869" i="1"/>
  <c r="E1867" i="1"/>
  <c r="E1866" i="1"/>
  <c r="E1865" i="1"/>
  <c r="E1863" i="1"/>
  <c r="E1862" i="1"/>
  <c r="E1861" i="1"/>
  <c r="E1859" i="1"/>
  <c r="E1858" i="1"/>
  <c r="E1857" i="1"/>
  <c r="E1855" i="1"/>
  <c r="E1854" i="1"/>
  <c r="E1853" i="1"/>
  <c r="E1851" i="1"/>
  <c r="E1850" i="1"/>
  <c r="E1849" i="1"/>
  <c r="E1847" i="1"/>
  <c r="E1846" i="1"/>
  <c r="E1845" i="1"/>
  <c r="E1843" i="1"/>
  <c r="E1842" i="1"/>
  <c r="E1841" i="1"/>
  <c r="E1840" i="1"/>
  <c r="E1838" i="1"/>
  <c r="E1837" i="1"/>
  <c r="E1836" i="1"/>
  <c r="E1834" i="1"/>
  <c r="E1833" i="1"/>
  <c r="E1832" i="1"/>
  <c r="E1830" i="1"/>
  <c r="E1829" i="1"/>
  <c r="E1828" i="1"/>
  <c r="E1826" i="1"/>
  <c r="E1825" i="1"/>
  <c r="E1824" i="1"/>
  <c r="E1822" i="1"/>
  <c r="E1821" i="1"/>
  <c r="E1820" i="1"/>
  <c r="E1818" i="1"/>
  <c r="E1817" i="1"/>
  <c r="E1816" i="1"/>
  <c r="E1814" i="1"/>
  <c r="E1813" i="1"/>
  <c r="E1812" i="1"/>
  <c r="E1810" i="1"/>
  <c r="E1809" i="1"/>
  <c r="E1808" i="1"/>
  <c r="E1806" i="1"/>
  <c r="E1805" i="1"/>
  <c r="E1804" i="1"/>
  <c r="E1802" i="1"/>
  <c r="E1801" i="1"/>
  <c r="E1800" i="1"/>
  <c r="E1798" i="1"/>
  <c r="E1797" i="1"/>
  <c r="E1796" i="1"/>
  <c r="E1794" i="1"/>
  <c r="E1779" i="1"/>
  <c r="E1793" i="1"/>
  <c r="E1792" i="1"/>
  <c r="E1789" i="1"/>
  <c r="E1787" i="1"/>
  <c r="E1786" i="1"/>
  <c r="E1784" i="1"/>
  <c r="E1783" i="1"/>
  <c r="E1778" i="1"/>
  <c r="E1777" i="1"/>
  <c r="E1775" i="1"/>
  <c r="E1774" i="1"/>
  <c r="E1773" i="1"/>
  <c r="E1772" i="1"/>
  <c r="E1771" i="1"/>
  <c r="E1770" i="1"/>
  <c r="E1769" i="1"/>
  <c r="E1757" i="1"/>
  <c r="E1756" i="1"/>
  <c r="E1754" i="1"/>
  <c r="E1753" i="1"/>
  <c r="E1751" i="1"/>
  <c r="E1750" i="1"/>
  <c r="E1748" i="1"/>
  <c r="E1747" i="1"/>
  <c r="E1745" i="1"/>
  <c r="E1744" i="1"/>
  <c r="E1742" i="1"/>
  <c r="E1741" i="1"/>
  <c r="E1739" i="1"/>
  <c r="E1738" i="1"/>
  <c r="E1683" i="1"/>
  <c r="E1673" i="1"/>
  <c r="E1672" i="1"/>
  <c r="E1649" i="1"/>
  <c r="E1641" i="1"/>
  <c r="E1640" i="1"/>
  <c r="E1656" i="1"/>
  <c r="E1661" i="1"/>
  <c r="E1657" i="1"/>
  <c r="E1653" i="1"/>
  <c r="E1645" i="1"/>
  <c r="E1659" i="1"/>
  <c r="E1655" i="1"/>
  <c r="E1651" i="1"/>
  <c r="E1647" i="1"/>
  <c r="E1643" i="1"/>
  <c r="E1660" i="1"/>
  <c r="E1652" i="1"/>
  <c r="E1648" i="1"/>
  <c r="E1644" i="1"/>
  <c r="E1639" i="1"/>
  <c r="E1638" i="1"/>
  <c r="E1637" i="1"/>
  <c r="E1636" i="1"/>
  <c r="E1635" i="1"/>
  <c r="E1633" i="1"/>
  <c r="E1632" i="1"/>
  <c r="E1626" i="1"/>
  <c r="E861" i="1"/>
  <c r="E860" i="1"/>
  <c r="E859" i="1"/>
  <c r="E857" i="1"/>
  <c r="E856" i="1"/>
  <c r="E855" i="1"/>
  <c r="E805" i="1"/>
  <c r="E804" i="1"/>
  <c r="E803" i="1"/>
  <c r="E802" i="1"/>
  <c r="E800" i="1"/>
  <c r="E799" i="1"/>
  <c r="E798" i="1"/>
  <c r="E797" i="1"/>
  <c r="E796" i="1"/>
  <c r="E795" i="1"/>
  <c r="E794" i="1"/>
  <c r="E704" i="1"/>
  <c r="E703" i="1"/>
  <c r="E701" i="1"/>
  <c r="E699" i="1"/>
  <c r="E697" i="1"/>
  <c r="E695" i="1"/>
  <c r="E752" i="1"/>
  <c r="E751" i="1"/>
  <c r="E750" i="1"/>
  <c r="E749" i="1"/>
  <c r="E748" i="1"/>
  <c r="E746" i="1"/>
  <c r="E745" i="1"/>
  <c r="E744" i="1"/>
  <c r="E743" i="1"/>
  <c r="E742" i="1"/>
  <c r="E740" i="1"/>
  <c r="E739" i="1"/>
  <c r="E738" i="1"/>
  <c r="E737" i="1"/>
  <c r="E736" i="1"/>
  <c r="E734" i="1"/>
  <c r="E733" i="1"/>
  <c r="E732" i="1"/>
  <c r="E731" i="1"/>
  <c r="E730" i="1"/>
  <c r="E728" i="1"/>
  <c r="E727" i="1"/>
  <c r="E726" i="1"/>
  <c r="E725" i="1"/>
  <c r="E724" i="1"/>
  <c r="E722" i="1"/>
  <c r="E721" i="1"/>
  <c r="E720" i="1"/>
  <c r="E719" i="1"/>
  <c r="E718" i="1"/>
  <c r="E716" i="1"/>
  <c r="E715" i="1"/>
  <c r="E714" i="1"/>
  <c r="E713" i="1"/>
  <c r="E712" i="1"/>
  <c r="E710" i="1"/>
  <c r="E709" i="1"/>
  <c r="E708" i="1"/>
  <c r="E707" i="1"/>
  <c r="E706" i="1"/>
  <c r="E758" i="1"/>
  <c r="E757" i="1"/>
  <c r="E756" i="1"/>
  <c r="E755" i="1"/>
  <c r="E754" i="1"/>
  <c r="E764" i="1"/>
  <c r="E763" i="1"/>
  <c r="E762" i="1"/>
  <c r="E761" i="1"/>
  <c r="E760" i="1"/>
  <c r="E770" i="1"/>
  <c r="E769" i="1"/>
  <c r="E768" i="1"/>
  <c r="E767" i="1"/>
  <c r="E766" i="1"/>
  <c r="E776" i="1"/>
  <c r="E775" i="1"/>
  <c r="E774" i="1"/>
  <c r="E773" i="1"/>
  <c r="E772" i="1"/>
  <c r="E503" i="1"/>
  <c r="E502" i="1"/>
  <c r="E501" i="1"/>
  <c r="E500" i="1"/>
  <c r="E499" i="1"/>
  <c r="E497" i="1"/>
  <c r="E496" i="1"/>
  <c r="E495" i="1"/>
  <c r="E494" i="1"/>
  <c r="E493" i="1"/>
  <c r="E485" i="1"/>
  <c r="E484" i="1"/>
  <c r="E483" i="1"/>
  <c r="E482" i="1"/>
  <c r="E481" i="1"/>
  <c r="E479" i="1"/>
  <c r="E478" i="1"/>
  <c r="E477" i="1"/>
  <c r="E476" i="1"/>
  <c r="E475" i="1"/>
  <c r="E473" i="1"/>
  <c r="E472" i="1"/>
  <c r="E471" i="1"/>
  <c r="E470" i="1"/>
  <c r="E469" i="1"/>
  <c r="E437" i="1"/>
  <c r="E436" i="1"/>
  <c r="E435" i="1"/>
  <c r="E434" i="1"/>
  <c r="E433" i="1"/>
  <c r="E431" i="1"/>
  <c r="E430" i="1"/>
  <c r="E429" i="1"/>
  <c r="E428" i="1"/>
  <c r="E427" i="1"/>
  <c r="E425" i="1"/>
  <c r="E424" i="1"/>
  <c r="E423" i="1"/>
  <c r="E422" i="1"/>
  <c r="E421" i="1"/>
  <c r="E407" i="1"/>
  <c r="E406" i="1"/>
  <c r="E405" i="1"/>
  <c r="E404" i="1"/>
  <c r="E403" i="1"/>
  <c r="E401" i="1"/>
  <c r="E400" i="1"/>
  <c r="E399" i="1"/>
  <c r="E398" i="1"/>
  <c r="E397" i="1"/>
  <c r="E383" i="1"/>
  <c r="E382" i="1"/>
  <c r="E381" i="1"/>
  <c r="E380" i="1"/>
  <c r="E379" i="1"/>
  <c r="E377" i="1"/>
  <c r="E376" i="1"/>
  <c r="E375" i="1"/>
  <c r="E374" i="1"/>
  <c r="E373" i="1"/>
  <c r="E371" i="1"/>
  <c r="E370" i="1"/>
  <c r="E369" i="1"/>
  <c r="E368" i="1"/>
  <c r="E367" i="1"/>
  <c r="E365" i="1"/>
  <c r="E364" i="1"/>
  <c r="E363" i="1"/>
  <c r="E362" i="1"/>
  <c r="E361" i="1"/>
  <c r="E358" i="1"/>
  <c r="E359" i="1"/>
  <c r="E357" i="1"/>
  <c r="E355" i="1"/>
  <c r="E356" i="1"/>
  <c r="E353" i="1"/>
  <c r="E352" i="1"/>
  <c r="E351" i="1"/>
  <c r="E350" i="1"/>
  <c r="E349" i="1"/>
  <c r="E347" i="1"/>
  <c r="E346" i="1"/>
  <c r="E345" i="1"/>
  <c r="E344" i="1"/>
  <c r="E343" i="1"/>
  <c r="E341" i="1"/>
  <c r="E340" i="1"/>
  <c r="E339" i="1"/>
  <c r="E338" i="1"/>
  <c r="E337" i="1"/>
  <c r="E335" i="1"/>
  <c r="E334" i="1"/>
  <c r="E333" i="1"/>
  <c r="E332" i="1"/>
  <c r="E331" i="1"/>
  <c r="E329" i="1"/>
  <c r="E328" i="1"/>
  <c r="E327" i="1"/>
  <c r="E326" i="1"/>
  <c r="E325" i="1"/>
  <c r="E323" i="1"/>
  <c r="E322" i="1"/>
  <c r="E321" i="1"/>
  <c r="E320" i="1"/>
  <c r="E319" i="1"/>
  <c r="E317" i="1"/>
  <c r="E316" i="1"/>
  <c r="E315" i="1"/>
  <c r="E314" i="1"/>
  <c r="E313" i="1"/>
  <c r="E308" i="1"/>
  <c r="E309" i="1"/>
  <c r="E310" i="1"/>
  <c r="E311" i="1"/>
  <c r="E307" i="1"/>
  <c r="E302" i="1"/>
  <c r="E305" i="1"/>
  <c r="E304" i="1"/>
  <c r="E301" i="1"/>
  <c r="E299" i="1"/>
  <c r="E298" i="1"/>
  <c r="E296" i="1"/>
  <c r="E295" i="1"/>
  <c r="E293" i="1"/>
  <c r="E292" i="1"/>
  <c r="E290" i="1"/>
  <c r="E289" i="1"/>
  <c r="E287" i="1"/>
  <c r="E286" i="1"/>
  <c r="E284" i="1"/>
  <c r="E283" i="1"/>
  <c r="E281" i="1"/>
  <c r="E280" i="1"/>
  <c r="E278" i="1"/>
  <c r="E277" i="1"/>
  <c r="E275" i="1"/>
  <c r="E274" i="1"/>
  <c r="E273" i="1"/>
  <c r="E272" i="1"/>
  <c r="E270" i="1"/>
  <c r="E269" i="1"/>
  <c r="E268" i="1"/>
  <c r="E267" i="1"/>
  <c r="E265" i="1"/>
  <c r="E264" i="1"/>
  <c r="E263" i="1"/>
  <c r="E262" i="1"/>
  <c r="E257" i="1"/>
  <c r="E260" i="1"/>
  <c r="E259" i="1"/>
  <c r="E258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35" i="1"/>
  <c r="E233" i="1"/>
  <c r="E237" i="1"/>
  <c r="E231" i="1"/>
  <c r="E129" i="1"/>
  <c r="E128" i="1"/>
  <c r="E126" i="1"/>
  <c r="E122" i="1"/>
  <c r="E70" i="1"/>
  <c r="G3" i="22"/>
  <c r="G2" i="22"/>
  <c r="B3" i="22"/>
  <c r="B4" i="22"/>
  <c r="B2" i="22"/>
  <c r="F19" i="7"/>
  <c r="E373" i="32" l="1"/>
  <c r="E373" i="31"/>
  <c r="E2030" i="32"/>
  <c r="E2030" i="31"/>
  <c r="E693" i="31"/>
  <c r="E693" i="32"/>
  <c r="E122" i="32"/>
  <c r="E122" i="31"/>
  <c r="E251" i="32"/>
  <c r="E251" i="31"/>
  <c r="E272" i="32"/>
  <c r="E272" i="31"/>
  <c r="E295" i="32"/>
  <c r="E295" i="31"/>
  <c r="E316" i="32"/>
  <c r="E316" i="31"/>
  <c r="E335" i="32"/>
  <c r="E335" i="31"/>
  <c r="E356" i="32"/>
  <c r="E356" i="31"/>
  <c r="E374" i="32"/>
  <c r="E374" i="31"/>
  <c r="E405" i="32"/>
  <c r="E405" i="31"/>
  <c r="E436" i="32"/>
  <c r="E436" i="31"/>
  <c r="E485" i="32"/>
  <c r="E485" i="31"/>
  <c r="E766" i="32"/>
  <c r="E766" i="31"/>
  <c r="E707" i="32"/>
  <c r="E707" i="31"/>
  <c r="E726" i="32"/>
  <c r="E726" i="31"/>
  <c r="E745" i="32"/>
  <c r="E745" i="31"/>
  <c r="E797" i="32"/>
  <c r="E797" i="31"/>
  <c r="E1633" i="32"/>
  <c r="E1633" i="31"/>
  <c r="E1653" i="32"/>
  <c r="E1653" i="31"/>
  <c r="E1747" i="32"/>
  <c r="E1747" i="31"/>
  <c r="E1778" i="32"/>
  <c r="E1778" i="31"/>
  <c r="E1804" i="32"/>
  <c r="E1804" i="31"/>
  <c r="E1825" i="32"/>
  <c r="E1825" i="31"/>
  <c r="E1846" i="32"/>
  <c r="E1846" i="31"/>
  <c r="E1867" i="32"/>
  <c r="E1867" i="31"/>
  <c r="E1889" i="32"/>
  <c r="E1889" i="31"/>
  <c r="E1910" i="32"/>
  <c r="E1910" i="31"/>
  <c r="E1931" i="32"/>
  <c r="E1931" i="31"/>
  <c r="E1946" i="32"/>
  <c r="E1946" i="31"/>
  <c r="E1967" i="32"/>
  <c r="E1967" i="31"/>
  <c r="E1989" i="32"/>
  <c r="E1989" i="31"/>
  <c r="E2010" i="32"/>
  <c r="E2010" i="31"/>
  <c r="E2031" i="32"/>
  <c r="E2031" i="31"/>
  <c r="E2054" i="31"/>
  <c r="E2054" i="32"/>
  <c r="E2072" i="32"/>
  <c r="E2072" i="31"/>
  <c r="E2092" i="32"/>
  <c r="E2092" i="31"/>
  <c r="E2112" i="32"/>
  <c r="E2112" i="31"/>
  <c r="E2132" i="32"/>
  <c r="E2132" i="31"/>
  <c r="E2153" i="32"/>
  <c r="E2153" i="31"/>
  <c r="E2173" i="32"/>
  <c r="E2173" i="31"/>
  <c r="E2193" i="32"/>
  <c r="E2193" i="31"/>
  <c r="E2214" i="32"/>
  <c r="E2214" i="31"/>
  <c r="E2234" i="32"/>
  <c r="E2234" i="31"/>
  <c r="E2254" i="32"/>
  <c r="E2254" i="31"/>
  <c r="E2275" i="32"/>
  <c r="E2275" i="31"/>
  <c r="E2296" i="32"/>
  <c r="E2296" i="31"/>
  <c r="E2315" i="32"/>
  <c r="E2315" i="31"/>
  <c r="E2336" i="32"/>
  <c r="E2336" i="31"/>
  <c r="E2357" i="32"/>
  <c r="E2357" i="31"/>
  <c r="E2378" i="32"/>
  <c r="E2378" i="31"/>
  <c r="E2400" i="32"/>
  <c r="E2400" i="31"/>
  <c r="E2420" i="32"/>
  <c r="E2420" i="31"/>
  <c r="E2439" i="32"/>
  <c r="E2439" i="31"/>
  <c r="E2458" i="32"/>
  <c r="E2458" i="31"/>
  <c r="E131" i="32"/>
  <c r="E131" i="31"/>
  <c r="E153" i="32"/>
  <c r="E153" i="31"/>
  <c r="E163" i="32"/>
  <c r="E163" i="31"/>
  <c r="E242" i="32"/>
  <c r="E242" i="31"/>
  <c r="E535" i="32"/>
  <c r="E535" i="31"/>
  <c r="E561" i="32"/>
  <c r="E561" i="31"/>
  <c r="E612" i="31"/>
  <c r="E612" i="32"/>
  <c r="E668" i="32"/>
  <c r="E668" i="31"/>
  <c r="E687" i="32"/>
  <c r="E687" i="31"/>
  <c r="E744" i="32"/>
  <c r="E744" i="31"/>
  <c r="E1909" i="32"/>
  <c r="E1909" i="31"/>
  <c r="E2192" i="32"/>
  <c r="E2192" i="31"/>
  <c r="E181" i="32"/>
  <c r="E181" i="31"/>
  <c r="E126" i="32"/>
  <c r="E126" i="31"/>
  <c r="E252" i="32"/>
  <c r="E252" i="31"/>
  <c r="E273" i="32"/>
  <c r="E273" i="31"/>
  <c r="E296" i="32"/>
  <c r="E296" i="31"/>
  <c r="E317" i="32"/>
  <c r="E317" i="31"/>
  <c r="E337" i="32"/>
  <c r="E337" i="31"/>
  <c r="E355" i="32"/>
  <c r="E355" i="31"/>
  <c r="E375" i="32"/>
  <c r="E375" i="31"/>
  <c r="E406" i="32"/>
  <c r="E406" i="31"/>
  <c r="E437" i="32"/>
  <c r="E437" i="31"/>
  <c r="E493" i="32"/>
  <c r="E493" i="31"/>
  <c r="E767" i="31"/>
  <c r="E767" i="32"/>
  <c r="E708" i="32"/>
  <c r="E708" i="31"/>
  <c r="E727" i="32"/>
  <c r="E727" i="31"/>
  <c r="E746" i="32"/>
  <c r="E746" i="31"/>
  <c r="E798" i="32"/>
  <c r="E798" i="31"/>
  <c r="E1635" i="32"/>
  <c r="E1635" i="31"/>
  <c r="E1657" i="32"/>
  <c r="E1657" i="31"/>
  <c r="E1748" i="32"/>
  <c r="E1748" i="31"/>
  <c r="E1783" i="32"/>
  <c r="E1783" i="31"/>
  <c r="E1805" i="32"/>
  <c r="E1805" i="31"/>
  <c r="E1826" i="32"/>
  <c r="E1826" i="31"/>
  <c r="E1847" i="32"/>
  <c r="E1847" i="31"/>
  <c r="E1869" i="32"/>
  <c r="E1869" i="31"/>
  <c r="E1890" i="32"/>
  <c r="E1890" i="31"/>
  <c r="E1911" i="32"/>
  <c r="E1911" i="31"/>
  <c r="E1790" i="32"/>
  <c r="E1790" i="31"/>
  <c r="E1947" i="32"/>
  <c r="E1947" i="31"/>
  <c r="E1969" i="32"/>
  <c r="E1969" i="31"/>
  <c r="E1990" i="32"/>
  <c r="E1990" i="31"/>
  <c r="E2011" i="32"/>
  <c r="E2011" i="31"/>
  <c r="E2033" i="32"/>
  <c r="E2033" i="31"/>
  <c r="E2055" i="32"/>
  <c r="E2055" i="31"/>
  <c r="E2074" i="32"/>
  <c r="E2074" i="31"/>
  <c r="E2094" i="32"/>
  <c r="E2094" i="31"/>
  <c r="E2113" i="32"/>
  <c r="E2113" i="31"/>
  <c r="E2133" i="32"/>
  <c r="E2133" i="31"/>
  <c r="E2154" i="32"/>
  <c r="E2154" i="31"/>
  <c r="E2174" i="32"/>
  <c r="E2174" i="31"/>
  <c r="E2194" i="32"/>
  <c r="E2194" i="31"/>
  <c r="E2216" i="31"/>
  <c r="E2216" i="32"/>
  <c r="E2235" i="31"/>
  <c r="E2235" i="32"/>
  <c r="E2255" i="32"/>
  <c r="E2255" i="31"/>
  <c r="E2276" i="32"/>
  <c r="E2276" i="31"/>
  <c r="E2297" i="32"/>
  <c r="E2297" i="31"/>
  <c r="E2316" i="31"/>
  <c r="E2316" i="32"/>
  <c r="E2337" i="32"/>
  <c r="E2337" i="31"/>
  <c r="E2358" i="32"/>
  <c r="E2358" i="31"/>
  <c r="E2380" i="32"/>
  <c r="E2380" i="31"/>
  <c r="E2401" i="32"/>
  <c r="E2401" i="31"/>
  <c r="E2421" i="32"/>
  <c r="E2421" i="31"/>
  <c r="E2440" i="32"/>
  <c r="E2440" i="31"/>
  <c r="E2459" i="32"/>
  <c r="E2459" i="31"/>
  <c r="E133" i="32"/>
  <c r="E133" i="31"/>
  <c r="E150" i="32"/>
  <c r="E150" i="31"/>
  <c r="E167" i="32"/>
  <c r="E167" i="31"/>
  <c r="E239" i="32"/>
  <c r="E239" i="31"/>
  <c r="E536" i="32"/>
  <c r="E536" i="31"/>
  <c r="E562" i="32"/>
  <c r="E562" i="31"/>
  <c r="E617" i="32"/>
  <c r="E617" i="31"/>
  <c r="E669" i="32"/>
  <c r="E669" i="31"/>
  <c r="E686" i="32"/>
  <c r="E686" i="31"/>
  <c r="E1632" i="32"/>
  <c r="E1632" i="31"/>
  <c r="E2213" i="32"/>
  <c r="E2213" i="31"/>
  <c r="E128" i="32"/>
  <c r="E128" i="31"/>
  <c r="E253" i="32"/>
  <c r="E253" i="31"/>
  <c r="E274" i="32"/>
  <c r="E274" i="31"/>
  <c r="E298" i="32"/>
  <c r="E298" i="31"/>
  <c r="E319" i="32"/>
  <c r="E319" i="31"/>
  <c r="E338" i="32"/>
  <c r="E338" i="31"/>
  <c r="E357" i="32"/>
  <c r="E357" i="31"/>
  <c r="E376" i="32"/>
  <c r="E376" i="31"/>
  <c r="E407" i="32"/>
  <c r="E407" i="31"/>
  <c r="E469" i="32"/>
  <c r="E469" i="31"/>
  <c r="E494" i="32"/>
  <c r="E494" i="31"/>
  <c r="E768" i="32"/>
  <c r="E768" i="31"/>
  <c r="E709" i="32"/>
  <c r="E709" i="31"/>
  <c r="E728" i="31"/>
  <c r="E728" i="32"/>
  <c r="E748" i="32"/>
  <c r="E748" i="31"/>
  <c r="E799" i="32"/>
  <c r="E799" i="31"/>
  <c r="E1636" i="32"/>
  <c r="E1636" i="31"/>
  <c r="E1661" i="32"/>
  <c r="E1661" i="31"/>
  <c r="E1750" i="31"/>
  <c r="E1750" i="32"/>
  <c r="E1784" i="32"/>
  <c r="E1784" i="31"/>
  <c r="E1806" i="32"/>
  <c r="E1806" i="31"/>
  <c r="E1828" i="32"/>
  <c r="E1828" i="31"/>
  <c r="E1849" i="32"/>
  <c r="E1849" i="31"/>
  <c r="E1870" i="32"/>
  <c r="E1870" i="31"/>
  <c r="E1891" i="32"/>
  <c r="E1891" i="31"/>
  <c r="E1913" i="32"/>
  <c r="E1913" i="31"/>
  <c r="E793" i="32"/>
  <c r="E793" i="31"/>
  <c r="E1949" i="32"/>
  <c r="E1949" i="31"/>
  <c r="E1970" i="32"/>
  <c r="E1970" i="31"/>
  <c r="E1991" i="32"/>
  <c r="E1991" i="31"/>
  <c r="E2013" i="32"/>
  <c r="E2013" i="31"/>
  <c r="E2034" i="31"/>
  <c r="E2034" i="32"/>
  <c r="E2057" i="32"/>
  <c r="E2057" i="31"/>
  <c r="E2075" i="32"/>
  <c r="E2075" i="31"/>
  <c r="E2095" i="32"/>
  <c r="E2095" i="31"/>
  <c r="E2114" i="32"/>
  <c r="E2114" i="31"/>
  <c r="E2134" i="32"/>
  <c r="E2134" i="31"/>
  <c r="E2156" i="32"/>
  <c r="E2156" i="31"/>
  <c r="E2175" i="32"/>
  <c r="E2175" i="31"/>
  <c r="E2196" i="32"/>
  <c r="E2196" i="31"/>
  <c r="E2217" i="32"/>
  <c r="E2217" i="31"/>
  <c r="E2236" i="32"/>
  <c r="E2236" i="31"/>
  <c r="E2256" i="32"/>
  <c r="E2256" i="31"/>
  <c r="E2278" i="32"/>
  <c r="E2278" i="31"/>
  <c r="E2298" i="32"/>
  <c r="E2298" i="31"/>
  <c r="E2318" i="32"/>
  <c r="E2318" i="31"/>
  <c r="E2338" i="31"/>
  <c r="E2338" i="32"/>
  <c r="E2360" i="32"/>
  <c r="E2360" i="31"/>
  <c r="E2381" i="32"/>
  <c r="E2381" i="31"/>
  <c r="E2402" i="32"/>
  <c r="E2402" i="31"/>
  <c r="E2422" i="32"/>
  <c r="E2422" i="31"/>
  <c r="E2441" i="32"/>
  <c r="E2441" i="31"/>
  <c r="E2460" i="32"/>
  <c r="E2460" i="31"/>
  <c r="E134" i="32"/>
  <c r="E134" i="31"/>
  <c r="E147" i="32"/>
  <c r="E147" i="31"/>
  <c r="E171" i="32"/>
  <c r="E171" i="31"/>
  <c r="E255" i="32"/>
  <c r="E255" i="31"/>
  <c r="E537" i="32"/>
  <c r="E537" i="31"/>
  <c r="E592" i="32"/>
  <c r="E592" i="31"/>
  <c r="E645" i="32"/>
  <c r="E645" i="31"/>
  <c r="E671" i="32"/>
  <c r="E671" i="31"/>
  <c r="E70" i="31"/>
  <c r="E70" i="32"/>
  <c r="E706" i="32"/>
  <c r="E706" i="31"/>
  <c r="E1866" i="32"/>
  <c r="E1866" i="31"/>
  <c r="E2111" i="32"/>
  <c r="E2111" i="31"/>
  <c r="E2232" i="32"/>
  <c r="E2232" i="31"/>
  <c r="E2398" i="32"/>
  <c r="E2398" i="31"/>
  <c r="E607" i="32"/>
  <c r="E607" i="31"/>
  <c r="E129" i="32"/>
  <c r="E129" i="31"/>
  <c r="E254" i="32"/>
  <c r="E254" i="31"/>
  <c r="E275" i="32"/>
  <c r="E275" i="31"/>
  <c r="E299" i="32"/>
  <c r="E299" i="31"/>
  <c r="E320" i="32"/>
  <c r="E320" i="31"/>
  <c r="E339" i="32"/>
  <c r="E339" i="31"/>
  <c r="E359" i="31"/>
  <c r="E359" i="32"/>
  <c r="E377" i="32"/>
  <c r="E377" i="31"/>
  <c r="E421" i="32"/>
  <c r="E421" i="31"/>
  <c r="E470" i="32"/>
  <c r="E470" i="31"/>
  <c r="E495" i="31"/>
  <c r="E495" i="32"/>
  <c r="E769" i="32"/>
  <c r="E769" i="31"/>
  <c r="E710" i="31"/>
  <c r="E710" i="32"/>
  <c r="E730" i="32"/>
  <c r="E730" i="31"/>
  <c r="E749" i="32"/>
  <c r="E749" i="31"/>
  <c r="E800" i="32"/>
  <c r="E800" i="31"/>
  <c r="E1637" i="31"/>
  <c r="E1637" i="32"/>
  <c r="E1656" i="32"/>
  <c r="E1656" i="31"/>
  <c r="E1751" i="32"/>
  <c r="E1751" i="31"/>
  <c r="E1786" i="32"/>
  <c r="E1786" i="31"/>
  <c r="E1808" i="32"/>
  <c r="E1808" i="31"/>
  <c r="E1829" i="32"/>
  <c r="E1829" i="31"/>
  <c r="E1850" i="32"/>
  <c r="E1850" i="31"/>
  <c r="E1871" i="32"/>
  <c r="E1871" i="31"/>
  <c r="E1893" i="32"/>
  <c r="E1893" i="31"/>
  <c r="E1914" i="32"/>
  <c r="E1914" i="31"/>
  <c r="E806" i="32"/>
  <c r="E806" i="31"/>
  <c r="E1950" i="32"/>
  <c r="E1950" i="31"/>
  <c r="E1971" i="32"/>
  <c r="E1971" i="31"/>
  <c r="E1993" i="32"/>
  <c r="E1993" i="31"/>
  <c r="E2014" i="32"/>
  <c r="E2014" i="31"/>
  <c r="E2035" i="32"/>
  <c r="E2035" i="31"/>
  <c r="E2051" i="32"/>
  <c r="E2051" i="31"/>
  <c r="E2076" i="32"/>
  <c r="E2076" i="31"/>
  <c r="E2096" i="32"/>
  <c r="E2096" i="31"/>
  <c r="E2116" i="32"/>
  <c r="E2116" i="31"/>
  <c r="E2136" i="31"/>
  <c r="E2136" i="32"/>
  <c r="E2157" i="32"/>
  <c r="E2157" i="31"/>
  <c r="E2176" i="32"/>
  <c r="E2176" i="31"/>
  <c r="E2197" i="32"/>
  <c r="E2197" i="31"/>
  <c r="E2218" i="32"/>
  <c r="E2218" i="31"/>
  <c r="E2237" i="32"/>
  <c r="E2237" i="31"/>
  <c r="E2258" i="32"/>
  <c r="E2258" i="31"/>
  <c r="E2279" i="32"/>
  <c r="E2279" i="31"/>
  <c r="E2300" i="32"/>
  <c r="E2300" i="31"/>
  <c r="E2319" i="32"/>
  <c r="E2319" i="31"/>
  <c r="E2340" i="32"/>
  <c r="E2340" i="31"/>
  <c r="E2361" i="32"/>
  <c r="E2361" i="31"/>
  <c r="E2382" i="32"/>
  <c r="E2382" i="31"/>
  <c r="E2404" i="32"/>
  <c r="E2404" i="31"/>
  <c r="E2423" i="32"/>
  <c r="E2423" i="31"/>
  <c r="E2442" i="31"/>
  <c r="E2442" i="32"/>
  <c r="E2462" i="32"/>
  <c r="E2462" i="31"/>
  <c r="E193" i="32"/>
  <c r="E193" i="31"/>
  <c r="E144" i="32"/>
  <c r="E144" i="31"/>
  <c r="E175" i="32"/>
  <c r="E175" i="31"/>
  <c r="E508" i="32"/>
  <c r="E508" i="31"/>
  <c r="E539" i="32"/>
  <c r="E539" i="31"/>
  <c r="E595" i="32"/>
  <c r="E595" i="31"/>
  <c r="E646" i="32"/>
  <c r="E646" i="31"/>
  <c r="E672" i="32"/>
  <c r="E672" i="31"/>
  <c r="E404" i="32"/>
  <c r="E404" i="31"/>
  <c r="E1824" i="32"/>
  <c r="E1824" i="31"/>
  <c r="E2152" i="32"/>
  <c r="E2152" i="31"/>
  <c r="E2457" i="32"/>
  <c r="E2457" i="31"/>
  <c r="E231" i="32"/>
  <c r="E231" i="31"/>
  <c r="E258" i="32"/>
  <c r="E258" i="31"/>
  <c r="E277" i="32"/>
  <c r="E277" i="31"/>
  <c r="E301" i="32"/>
  <c r="E301" i="31"/>
  <c r="E321" i="32"/>
  <c r="E321" i="31"/>
  <c r="E340" i="32"/>
  <c r="E340" i="31"/>
  <c r="E358" i="32"/>
  <c r="E358" i="31"/>
  <c r="E379" i="32"/>
  <c r="E379" i="31"/>
  <c r="E422" i="32"/>
  <c r="E422" i="31"/>
  <c r="E471" i="32"/>
  <c r="E471" i="31"/>
  <c r="E496" i="32"/>
  <c r="E496" i="31"/>
  <c r="E770" i="32"/>
  <c r="E770" i="31"/>
  <c r="E712" i="32"/>
  <c r="E712" i="31"/>
  <c r="E731" i="31"/>
  <c r="E731" i="32"/>
  <c r="E750" i="32"/>
  <c r="E750" i="31"/>
  <c r="E802" i="31"/>
  <c r="E802" i="32"/>
  <c r="E1638" i="32"/>
  <c r="E1638" i="31"/>
  <c r="E1640" i="32"/>
  <c r="E1640" i="31"/>
  <c r="E1753" i="32"/>
  <c r="E1753" i="31"/>
  <c r="E1787" i="32"/>
  <c r="E1787" i="31"/>
  <c r="E1809" i="32"/>
  <c r="E1809" i="31"/>
  <c r="E1830" i="32"/>
  <c r="E1830" i="31"/>
  <c r="E1851" i="32"/>
  <c r="E1851" i="31"/>
  <c r="E1873" i="32"/>
  <c r="E1873" i="31"/>
  <c r="E1894" i="32"/>
  <c r="E1894" i="31"/>
  <c r="E1915" i="32"/>
  <c r="E1915" i="31"/>
  <c r="E790" i="32"/>
  <c r="E790" i="31"/>
  <c r="E1951" i="32"/>
  <c r="E1951" i="31"/>
  <c r="E1973" i="32"/>
  <c r="E1973" i="31"/>
  <c r="E1994" i="32"/>
  <c r="E1994" i="31"/>
  <c r="E2015" i="32"/>
  <c r="E2015" i="31"/>
  <c r="E2037" i="32"/>
  <c r="E2037" i="31"/>
  <c r="E2056" i="32"/>
  <c r="E2056" i="31"/>
  <c r="E2077" i="32"/>
  <c r="E2077" i="31"/>
  <c r="E2097" i="32"/>
  <c r="E2097" i="31"/>
  <c r="E2117" i="32"/>
  <c r="E2117" i="31"/>
  <c r="E2137" i="32"/>
  <c r="E2137" i="31"/>
  <c r="E2158" i="31"/>
  <c r="E2158" i="32"/>
  <c r="E2178" i="32"/>
  <c r="E2178" i="31"/>
  <c r="E2198" i="32"/>
  <c r="E2198" i="31"/>
  <c r="E2219" i="32"/>
  <c r="E2219" i="31"/>
  <c r="E2238" i="32"/>
  <c r="E2238" i="31"/>
  <c r="E2259" i="32"/>
  <c r="E2259" i="31"/>
  <c r="E2280" i="32"/>
  <c r="E2280" i="31"/>
  <c r="E2301" i="32"/>
  <c r="E2301" i="31"/>
  <c r="E2320" i="32"/>
  <c r="E2320" i="31"/>
  <c r="E2341" i="31"/>
  <c r="E2341" i="32"/>
  <c r="E2362" i="32"/>
  <c r="E2362" i="31"/>
  <c r="E2384" i="32"/>
  <c r="E2384" i="31"/>
  <c r="E2405" i="32"/>
  <c r="E2405" i="31"/>
  <c r="E2424" i="32"/>
  <c r="E2424" i="31"/>
  <c r="E2444" i="32"/>
  <c r="E2444" i="31"/>
  <c r="E2463" i="32"/>
  <c r="E2463" i="31"/>
  <c r="E195" i="32"/>
  <c r="E195" i="31"/>
  <c r="E143" i="32"/>
  <c r="E143" i="31"/>
  <c r="E179" i="32"/>
  <c r="E179" i="31"/>
  <c r="E505" i="32"/>
  <c r="E505" i="31"/>
  <c r="E540" i="32"/>
  <c r="E540" i="31"/>
  <c r="E596" i="32"/>
  <c r="E596" i="31"/>
  <c r="E647" i="32"/>
  <c r="E647" i="31"/>
  <c r="E673" i="32"/>
  <c r="E673" i="31"/>
  <c r="E435" i="32"/>
  <c r="E435" i="31"/>
  <c r="E1987" i="32"/>
  <c r="E1987" i="31"/>
  <c r="E534" i="32"/>
  <c r="E534" i="31"/>
  <c r="E237" i="32"/>
  <c r="E237" i="31"/>
  <c r="E259" i="32"/>
  <c r="E259" i="31"/>
  <c r="E278" i="31"/>
  <c r="E278" i="32"/>
  <c r="E304" i="31"/>
  <c r="E304" i="32"/>
  <c r="E322" i="32"/>
  <c r="E322" i="31"/>
  <c r="E341" i="32"/>
  <c r="E341" i="31"/>
  <c r="E361" i="32"/>
  <c r="E361" i="31"/>
  <c r="E380" i="32"/>
  <c r="E380" i="31"/>
  <c r="E423" i="32"/>
  <c r="E423" i="31"/>
  <c r="E472" i="32"/>
  <c r="E472" i="31"/>
  <c r="E497" i="32"/>
  <c r="E497" i="31"/>
  <c r="E760" i="32"/>
  <c r="E760" i="31"/>
  <c r="E713" i="31"/>
  <c r="E713" i="32"/>
  <c r="E732" i="32"/>
  <c r="E732" i="31"/>
  <c r="E751" i="32"/>
  <c r="E751" i="31"/>
  <c r="E803" i="32"/>
  <c r="E803" i="31"/>
  <c r="E1639" i="32"/>
  <c r="E1639" i="31"/>
  <c r="E1641" i="32"/>
  <c r="E1641" i="31"/>
  <c r="E1754" i="32"/>
  <c r="E1754" i="31"/>
  <c r="E1789" i="32"/>
  <c r="E1789" i="31"/>
  <c r="E1810" i="32"/>
  <c r="E1810" i="31"/>
  <c r="E1832" i="32"/>
  <c r="E1832" i="31"/>
  <c r="E1853" i="32"/>
  <c r="E1853" i="31"/>
  <c r="E1874" i="32"/>
  <c r="E1874" i="31"/>
  <c r="E1895" i="32"/>
  <c r="E1895" i="31"/>
  <c r="E1917" i="32"/>
  <c r="E1917" i="31"/>
  <c r="E789" i="31"/>
  <c r="E789" i="32"/>
  <c r="E1953" i="32"/>
  <c r="E1953" i="31"/>
  <c r="E1974" i="32"/>
  <c r="E1974" i="31"/>
  <c r="E1995" i="32"/>
  <c r="E1995" i="31"/>
  <c r="E2017" i="32"/>
  <c r="E2017" i="31"/>
  <c r="E2038" i="32"/>
  <c r="E2038" i="31"/>
  <c r="E2059" i="32"/>
  <c r="E2059" i="31"/>
  <c r="E2079" i="32"/>
  <c r="E2079" i="31"/>
  <c r="E2099" i="32"/>
  <c r="E2099" i="31"/>
  <c r="E2118" i="32"/>
  <c r="E2118" i="31"/>
  <c r="E2138" i="32"/>
  <c r="E2138" i="31"/>
  <c r="E2160" i="32"/>
  <c r="E2160" i="31"/>
  <c r="E2179" i="32"/>
  <c r="E2179" i="31"/>
  <c r="E2200" i="32"/>
  <c r="E2200" i="31"/>
  <c r="E2220" i="32"/>
  <c r="E2220" i="31"/>
  <c r="E2240" i="32"/>
  <c r="E2240" i="31"/>
  <c r="E2260" i="32"/>
  <c r="E2260" i="31"/>
  <c r="E2282" i="32"/>
  <c r="E2282" i="31"/>
  <c r="E2302" i="32"/>
  <c r="E2302" i="31"/>
  <c r="E2321" i="32"/>
  <c r="E2321" i="31"/>
  <c r="E2342" i="32"/>
  <c r="E2342" i="31"/>
  <c r="E2364" i="32"/>
  <c r="E2364" i="31"/>
  <c r="E2385" i="32"/>
  <c r="E2385" i="31"/>
  <c r="E2406" i="32"/>
  <c r="E2406" i="31"/>
  <c r="E2426" i="32"/>
  <c r="E2426" i="31"/>
  <c r="E2445" i="32"/>
  <c r="E2445" i="31"/>
  <c r="E2464" i="31"/>
  <c r="E2464" i="32"/>
  <c r="E196" i="32"/>
  <c r="E196" i="31"/>
  <c r="E146" i="32"/>
  <c r="E146" i="31"/>
  <c r="E183" i="32"/>
  <c r="E183" i="31"/>
  <c r="E506" i="32"/>
  <c r="E506" i="31"/>
  <c r="E541" i="32"/>
  <c r="E541" i="31"/>
  <c r="E600" i="32"/>
  <c r="E600" i="31"/>
  <c r="E648" i="32"/>
  <c r="E648" i="31"/>
  <c r="E675" i="32"/>
  <c r="E675" i="31"/>
  <c r="E270" i="32"/>
  <c r="E270" i="31"/>
  <c r="E1802" i="32"/>
  <c r="E1802" i="31"/>
  <c r="E2295" i="32"/>
  <c r="E2295" i="31"/>
  <c r="E233" i="32"/>
  <c r="E233" i="31"/>
  <c r="E260" i="32"/>
  <c r="E260" i="31"/>
  <c r="E280" i="32"/>
  <c r="E280" i="31"/>
  <c r="E305" i="32"/>
  <c r="E305" i="31"/>
  <c r="E323" i="31"/>
  <c r="E323" i="32"/>
  <c r="E343" i="32"/>
  <c r="E343" i="31"/>
  <c r="E362" i="32"/>
  <c r="E362" i="31"/>
  <c r="E381" i="32"/>
  <c r="E381" i="31"/>
  <c r="E424" i="32"/>
  <c r="E424" i="31"/>
  <c r="E473" i="31"/>
  <c r="E473" i="32"/>
  <c r="E499" i="32"/>
  <c r="E499" i="31"/>
  <c r="E761" i="32"/>
  <c r="E761" i="31"/>
  <c r="E714" i="32"/>
  <c r="E714" i="31"/>
  <c r="E733" i="32"/>
  <c r="E733" i="31"/>
  <c r="E752" i="31"/>
  <c r="E752" i="32"/>
  <c r="E804" i="32"/>
  <c r="E804" i="31"/>
  <c r="E1644" i="32"/>
  <c r="E1644" i="31"/>
  <c r="E1649" i="32"/>
  <c r="E1649" i="31"/>
  <c r="E1756" i="32"/>
  <c r="E1756" i="31"/>
  <c r="E1792" i="32"/>
  <c r="E1792" i="31"/>
  <c r="E1812" i="32"/>
  <c r="E1812" i="31"/>
  <c r="E1833" i="32"/>
  <c r="E1833" i="31"/>
  <c r="E1854" i="32"/>
  <c r="E1854" i="31"/>
  <c r="E1875" i="32"/>
  <c r="E1875" i="31"/>
  <c r="E1897" i="32"/>
  <c r="E1897" i="31"/>
  <c r="E1918" i="32"/>
  <c r="E1918" i="31"/>
  <c r="E1935" i="32"/>
  <c r="E1935" i="31"/>
  <c r="E1954" i="32"/>
  <c r="E1954" i="31"/>
  <c r="E1975" i="32"/>
  <c r="E1975" i="31"/>
  <c r="E1997" i="32"/>
  <c r="E1997" i="31"/>
  <c r="E2018" i="32"/>
  <c r="E2018" i="31"/>
  <c r="E2039" i="32"/>
  <c r="E2039" i="31"/>
  <c r="E2060" i="32"/>
  <c r="E2060" i="31"/>
  <c r="E2080" i="32"/>
  <c r="E2080" i="31"/>
  <c r="E2100" i="32"/>
  <c r="E2100" i="31"/>
  <c r="E2119" i="32"/>
  <c r="E2119" i="31"/>
  <c r="E2140" i="32"/>
  <c r="E2140" i="31"/>
  <c r="E2161" i="32"/>
  <c r="E2161" i="31"/>
  <c r="E2180" i="32"/>
  <c r="E2180" i="31"/>
  <c r="E2201" i="32"/>
  <c r="E2201" i="31"/>
  <c r="E2222" i="32"/>
  <c r="E2222" i="31"/>
  <c r="E2241" i="32"/>
  <c r="E2241" i="31"/>
  <c r="E2262" i="32"/>
  <c r="E2262" i="31"/>
  <c r="E2283" i="32"/>
  <c r="E2283" i="31"/>
  <c r="E2303" i="32"/>
  <c r="E2303" i="31"/>
  <c r="E2322" i="32"/>
  <c r="E2322" i="31"/>
  <c r="E2344" i="32"/>
  <c r="E2344" i="31"/>
  <c r="E2365" i="32"/>
  <c r="E2365" i="31"/>
  <c r="E2386" i="32"/>
  <c r="E2386" i="31"/>
  <c r="E2408" i="32"/>
  <c r="E2408" i="31"/>
  <c r="E2427" i="32"/>
  <c r="E2427" i="31"/>
  <c r="E2446" i="32"/>
  <c r="E2446" i="31"/>
  <c r="E2465" i="32"/>
  <c r="E2465" i="31"/>
  <c r="E25" i="32"/>
  <c r="E25" i="31"/>
  <c r="E149" i="32"/>
  <c r="E149" i="31"/>
  <c r="E185" i="32"/>
  <c r="E185" i="31"/>
  <c r="E507" i="32"/>
  <c r="E507" i="31"/>
  <c r="E542" i="32"/>
  <c r="E542" i="31"/>
  <c r="E601" i="32"/>
  <c r="E601" i="31"/>
  <c r="E652" i="31"/>
  <c r="E652" i="32"/>
  <c r="E676" i="32"/>
  <c r="E676" i="31"/>
  <c r="E1845" i="32"/>
  <c r="E1845" i="31"/>
  <c r="E2377" i="32"/>
  <c r="E2377" i="31"/>
  <c r="E235" i="32"/>
  <c r="E235" i="31"/>
  <c r="E257" i="32"/>
  <c r="E257" i="31"/>
  <c r="E281" i="32"/>
  <c r="E281" i="31"/>
  <c r="E302" i="32"/>
  <c r="E302" i="31"/>
  <c r="E325" i="32"/>
  <c r="E325" i="31"/>
  <c r="E344" i="32"/>
  <c r="E344" i="31"/>
  <c r="E363" i="32"/>
  <c r="E363" i="31"/>
  <c r="E382" i="32"/>
  <c r="E382" i="31"/>
  <c r="E425" i="32"/>
  <c r="E425" i="31"/>
  <c r="E475" i="32"/>
  <c r="E475" i="31"/>
  <c r="E500" i="32"/>
  <c r="E500" i="31"/>
  <c r="E762" i="32"/>
  <c r="E762" i="31"/>
  <c r="E715" i="31"/>
  <c r="E715" i="32"/>
  <c r="E734" i="32"/>
  <c r="E734" i="31"/>
  <c r="E695" i="32"/>
  <c r="E695" i="31"/>
  <c r="E805" i="31"/>
  <c r="E805" i="32"/>
  <c r="E1648" i="32"/>
  <c r="E1648" i="31"/>
  <c r="E1672" i="32"/>
  <c r="E1672" i="31"/>
  <c r="E1757" i="32"/>
  <c r="E1757" i="31"/>
  <c r="E1793" i="32"/>
  <c r="E1793" i="31"/>
  <c r="E1813" i="32"/>
  <c r="E1813" i="31"/>
  <c r="E1834" i="32"/>
  <c r="E1834" i="31"/>
  <c r="E1855" i="32"/>
  <c r="E1855" i="31"/>
  <c r="E1877" i="32"/>
  <c r="E1877" i="31"/>
  <c r="E1898" i="32"/>
  <c r="E1898" i="31"/>
  <c r="E1919" i="32"/>
  <c r="E1919" i="31"/>
  <c r="E1933" i="32"/>
  <c r="E1933" i="31"/>
  <c r="E1955" i="31"/>
  <c r="E1955" i="32"/>
  <c r="E1977" i="32"/>
  <c r="E1977" i="31"/>
  <c r="E1998" i="32"/>
  <c r="E1998" i="31"/>
  <c r="E2019" i="32"/>
  <c r="E2019" i="31"/>
  <c r="E2041" i="32"/>
  <c r="E2041" i="31"/>
  <c r="E2061" i="32"/>
  <c r="E2061" i="31"/>
  <c r="E2081" i="32"/>
  <c r="E2081" i="31"/>
  <c r="E2101" i="32"/>
  <c r="E2101" i="31"/>
  <c r="E2120" i="32"/>
  <c r="E2120" i="31"/>
  <c r="E2141" i="32"/>
  <c r="E2141" i="31"/>
  <c r="E2162" i="32"/>
  <c r="E2162" i="31"/>
  <c r="E2181" i="32"/>
  <c r="E2181" i="31"/>
  <c r="E2202" i="32"/>
  <c r="E2202" i="31"/>
  <c r="E2223" i="32"/>
  <c r="E2223" i="31"/>
  <c r="E2242" i="32"/>
  <c r="E2242" i="31"/>
  <c r="E2263" i="32"/>
  <c r="E2263" i="31"/>
  <c r="E2284" i="32"/>
  <c r="E2284" i="31"/>
  <c r="E2304" i="32"/>
  <c r="E2304" i="31"/>
  <c r="E2324" i="32"/>
  <c r="E2324" i="31"/>
  <c r="E2345" i="32"/>
  <c r="E2345" i="31"/>
  <c r="E2366" i="32"/>
  <c r="E2366" i="31"/>
  <c r="E2388" i="32"/>
  <c r="E2388" i="31"/>
  <c r="E2409" i="32"/>
  <c r="E2409" i="31"/>
  <c r="E2428" i="32"/>
  <c r="E2428" i="31"/>
  <c r="E2447" i="32"/>
  <c r="E2447" i="31"/>
  <c r="E2466" i="32"/>
  <c r="E2466" i="31"/>
  <c r="E191" i="32"/>
  <c r="E191" i="31"/>
  <c r="E152" i="32"/>
  <c r="E152" i="31"/>
  <c r="E186" i="31"/>
  <c r="E186" i="32"/>
  <c r="E510" i="32"/>
  <c r="E510" i="31"/>
  <c r="E543" i="32"/>
  <c r="E543" i="31"/>
  <c r="E605" i="32"/>
  <c r="E605" i="31"/>
  <c r="E653" i="32"/>
  <c r="E653" i="31"/>
  <c r="E677" i="32"/>
  <c r="E677" i="31"/>
  <c r="E484" i="31"/>
  <c r="E484" i="32"/>
  <c r="E2052" i="32"/>
  <c r="E2052" i="31"/>
  <c r="E2438" i="31"/>
  <c r="E2438" i="32"/>
  <c r="E243" i="32"/>
  <c r="E243" i="31"/>
  <c r="E262" i="32"/>
  <c r="E262" i="31"/>
  <c r="E283" i="32"/>
  <c r="E283" i="31"/>
  <c r="E307" i="31"/>
  <c r="E307" i="32"/>
  <c r="E326" i="31"/>
  <c r="E326" i="32"/>
  <c r="E345" i="31"/>
  <c r="E345" i="32"/>
  <c r="E364" i="32"/>
  <c r="E364" i="31"/>
  <c r="E383" i="32"/>
  <c r="E383" i="31"/>
  <c r="E427" i="32"/>
  <c r="E427" i="31"/>
  <c r="E476" i="32"/>
  <c r="E476" i="31"/>
  <c r="E501" i="32"/>
  <c r="E501" i="31"/>
  <c r="E763" i="32"/>
  <c r="E763" i="31"/>
  <c r="E716" i="32"/>
  <c r="E716" i="31"/>
  <c r="E736" i="32"/>
  <c r="E736" i="31"/>
  <c r="E697" i="32"/>
  <c r="E697" i="31"/>
  <c r="E855" i="32"/>
  <c r="E855" i="31"/>
  <c r="E1652" i="32"/>
  <c r="E1652" i="31"/>
  <c r="E1673" i="32"/>
  <c r="E1673" i="31"/>
  <c r="E1769" i="32"/>
  <c r="E1769" i="31"/>
  <c r="E1779" i="32"/>
  <c r="E1779" i="31"/>
  <c r="E1814" i="32"/>
  <c r="E1814" i="31"/>
  <c r="E1836" i="32"/>
  <c r="E1836" i="31"/>
  <c r="E1857" i="32"/>
  <c r="E1857" i="31"/>
  <c r="E1878" i="32"/>
  <c r="E1878" i="31"/>
  <c r="E1899" i="32"/>
  <c r="E1899" i="31"/>
  <c r="E1921" i="32"/>
  <c r="E1921" i="31"/>
  <c r="E1934" i="32"/>
  <c r="E1934" i="31"/>
  <c r="E1957" i="32"/>
  <c r="E1957" i="31"/>
  <c r="E1978" i="31"/>
  <c r="E1978" i="32"/>
  <c r="E1999" i="32"/>
  <c r="E1999" i="31"/>
  <c r="E2021" i="32"/>
  <c r="E2021" i="31"/>
  <c r="E2042" i="32"/>
  <c r="E2042" i="31"/>
  <c r="E2062" i="32"/>
  <c r="E2062" i="31"/>
  <c r="E2082" i="32"/>
  <c r="E2082" i="31"/>
  <c r="E2102" i="32"/>
  <c r="E2102" i="31"/>
  <c r="E2122" i="32"/>
  <c r="E2122" i="31"/>
  <c r="E2142" i="32"/>
  <c r="E2142" i="31"/>
  <c r="E2163" i="32"/>
  <c r="E2163" i="31"/>
  <c r="E2182" i="32"/>
  <c r="E2182" i="31"/>
  <c r="E2204" i="32"/>
  <c r="E2204" i="31"/>
  <c r="E2224" i="32"/>
  <c r="E2224" i="31"/>
  <c r="E2243" i="32"/>
  <c r="E2243" i="31"/>
  <c r="E2264" i="31"/>
  <c r="E2264" i="32"/>
  <c r="E2286" i="32"/>
  <c r="E2286" i="31"/>
  <c r="E2306" i="32"/>
  <c r="E2306" i="31"/>
  <c r="E2325" i="32"/>
  <c r="E2325" i="31"/>
  <c r="E2346" i="32"/>
  <c r="E2346" i="31"/>
  <c r="E2368" i="32"/>
  <c r="E2368" i="31"/>
  <c r="E2389" i="32"/>
  <c r="E2389" i="31"/>
  <c r="E2410" i="32"/>
  <c r="E2410" i="31"/>
  <c r="E2429" i="32"/>
  <c r="E2429" i="31"/>
  <c r="E2448" i="32"/>
  <c r="E2448" i="31"/>
  <c r="E26" i="32"/>
  <c r="E26" i="31"/>
  <c r="E162" i="32"/>
  <c r="E162" i="31"/>
  <c r="E155" i="32"/>
  <c r="E155" i="31"/>
  <c r="E187" i="32"/>
  <c r="E187" i="31"/>
  <c r="E511" i="31"/>
  <c r="E511" i="32"/>
  <c r="E544" i="32"/>
  <c r="E544" i="31"/>
  <c r="E606" i="32"/>
  <c r="E606" i="31"/>
  <c r="E655" i="32"/>
  <c r="E655" i="31"/>
  <c r="E679" i="32"/>
  <c r="E679" i="31"/>
  <c r="E725" i="32"/>
  <c r="E725" i="31"/>
  <c r="E1945" i="32"/>
  <c r="E1945" i="31"/>
  <c r="E2274" i="32"/>
  <c r="E2274" i="31"/>
  <c r="E551" i="32"/>
  <c r="E551" i="31"/>
  <c r="E244" i="32"/>
  <c r="E244" i="31"/>
  <c r="E263" i="32"/>
  <c r="E263" i="31"/>
  <c r="E284" i="32"/>
  <c r="E284" i="31"/>
  <c r="E311" i="32"/>
  <c r="E311" i="31"/>
  <c r="E327" i="32"/>
  <c r="E327" i="31"/>
  <c r="E346" i="32"/>
  <c r="E346" i="31"/>
  <c r="E365" i="32"/>
  <c r="E365" i="31"/>
  <c r="E397" i="32"/>
  <c r="E397" i="31"/>
  <c r="E428" i="32"/>
  <c r="E428" i="31"/>
  <c r="E477" i="32"/>
  <c r="E477" i="31"/>
  <c r="E502" i="32"/>
  <c r="E502" i="31"/>
  <c r="E764" i="32"/>
  <c r="E764" i="31"/>
  <c r="E718" i="32"/>
  <c r="E718" i="31"/>
  <c r="E737" i="32"/>
  <c r="E737" i="31"/>
  <c r="E699" i="32"/>
  <c r="E699" i="31"/>
  <c r="E856" i="32"/>
  <c r="E856" i="31"/>
  <c r="E1660" i="32"/>
  <c r="E1660" i="31"/>
  <c r="E1683" i="32"/>
  <c r="E1683" i="31"/>
  <c r="E1770" i="32"/>
  <c r="E1770" i="31"/>
  <c r="E1794" i="32"/>
  <c r="E1794" i="31"/>
  <c r="E1816" i="32"/>
  <c r="E1816" i="31"/>
  <c r="E1837" i="32"/>
  <c r="E1837" i="31"/>
  <c r="E1858" i="32"/>
  <c r="E1858" i="31"/>
  <c r="E1879" i="32"/>
  <c r="E1879" i="31"/>
  <c r="E1901" i="32"/>
  <c r="E1901" i="31"/>
  <c r="E1922" i="32"/>
  <c r="E1922" i="31"/>
  <c r="E1937" i="32"/>
  <c r="E1937" i="31"/>
  <c r="E1958" i="32"/>
  <c r="E1958" i="31"/>
  <c r="E1979" i="32"/>
  <c r="E1979" i="31"/>
  <c r="E2001" i="32"/>
  <c r="E2001" i="31"/>
  <c r="E2022" i="32"/>
  <c r="E2022" i="31"/>
  <c r="E2043" i="32"/>
  <c r="E2043" i="31"/>
  <c r="E2064" i="32"/>
  <c r="E2064" i="31"/>
  <c r="E2084" i="32"/>
  <c r="E2084" i="31"/>
  <c r="E2104" i="32"/>
  <c r="E2104" i="31"/>
  <c r="E2123" i="32"/>
  <c r="E2123" i="31"/>
  <c r="E2144" i="32"/>
  <c r="E2144" i="31"/>
  <c r="E2164" i="32"/>
  <c r="E2164" i="31"/>
  <c r="E2184" i="31"/>
  <c r="E2184" i="32"/>
  <c r="E2205" i="32"/>
  <c r="E2205" i="31"/>
  <c r="E2225" i="32"/>
  <c r="E2225" i="31"/>
  <c r="E2244" i="32"/>
  <c r="E2244" i="31"/>
  <c r="E2266" i="32"/>
  <c r="E2266" i="31"/>
  <c r="E2287" i="32"/>
  <c r="E2287" i="31"/>
  <c r="E2307" i="32"/>
  <c r="E2307" i="31"/>
  <c r="E2326" i="32"/>
  <c r="E2326" i="31"/>
  <c r="E2348" i="32"/>
  <c r="E2348" i="31"/>
  <c r="E2369" i="32"/>
  <c r="E2369" i="31"/>
  <c r="E2390" i="32"/>
  <c r="E2390" i="31"/>
  <c r="E2411" i="32"/>
  <c r="E2411" i="31"/>
  <c r="E2430" i="32"/>
  <c r="E2430" i="31"/>
  <c r="E2450" i="32"/>
  <c r="E2450" i="31"/>
  <c r="E27" i="32"/>
  <c r="E27" i="31"/>
  <c r="E166" i="32"/>
  <c r="E166" i="31"/>
  <c r="E158" i="32"/>
  <c r="E158" i="31"/>
  <c r="E188" i="32"/>
  <c r="E188" i="31"/>
  <c r="E512" i="31"/>
  <c r="E512" i="32"/>
  <c r="E545" i="32"/>
  <c r="E545" i="31"/>
  <c r="E610" i="32"/>
  <c r="E610" i="31"/>
  <c r="E656" i="32"/>
  <c r="E656" i="31"/>
  <c r="E680" i="32"/>
  <c r="E680" i="31"/>
  <c r="E293" i="32"/>
  <c r="E293" i="31"/>
  <c r="E776" i="32"/>
  <c r="E776" i="31"/>
  <c r="E1777" i="32"/>
  <c r="E1777" i="31"/>
  <c r="E1966" i="32"/>
  <c r="E1966" i="31"/>
  <c r="E2071" i="32"/>
  <c r="E2071" i="31"/>
  <c r="E2172" i="32"/>
  <c r="E2172" i="31"/>
  <c r="E2334" i="32"/>
  <c r="E2334" i="31"/>
  <c r="E2418" i="32"/>
  <c r="E2418" i="31"/>
  <c r="E667" i="31"/>
  <c r="E667" i="32"/>
  <c r="E245" i="32"/>
  <c r="E245" i="31"/>
  <c r="E264" i="32"/>
  <c r="E264" i="31"/>
  <c r="E286" i="32"/>
  <c r="E286" i="31"/>
  <c r="E310" i="32"/>
  <c r="E310" i="31"/>
  <c r="E328" i="32"/>
  <c r="E328" i="31"/>
  <c r="E347" i="32"/>
  <c r="E347" i="31"/>
  <c r="E367" i="32"/>
  <c r="E367" i="31"/>
  <c r="E398" i="32"/>
  <c r="E398" i="31"/>
  <c r="E429" i="32"/>
  <c r="E429" i="31"/>
  <c r="E478" i="32"/>
  <c r="E478" i="31"/>
  <c r="E503" i="31"/>
  <c r="E503" i="32"/>
  <c r="E754" i="32"/>
  <c r="E754" i="31"/>
  <c r="E719" i="32"/>
  <c r="E719" i="31"/>
  <c r="E738" i="32"/>
  <c r="E738" i="31"/>
  <c r="E701" i="32"/>
  <c r="E701" i="31"/>
  <c r="E857" i="32"/>
  <c r="E857" i="31"/>
  <c r="E1643" i="31"/>
  <c r="E1643" i="32"/>
  <c r="E1738" i="32"/>
  <c r="E1738" i="31"/>
  <c r="E1771" i="32"/>
  <c r="E1771" i="31"/>
  <c r="E1796" i="31"/>
  <c r="E1796" i="32"/>
  <c r="E1817" i="32"/>
  <c r="E1817" i="31"/>
  <c r="E1838" i="32"/>
  <c r="E1838" i="31"/>
  <c r="E1859" i="32"/>
  <c r="E1859" i="31"/>
  <c r="E1881" i="32"/>
  <c r="E1881" i="31"/>
  <c r="E1902" i="32"/>
  <c r="E1902" i="31"/>
  <c r="E1923" i="32"/>
  <c r="E1923" i="31"/>
  <c r="E1938" i="32"/>
  <c r="E1938" i="31"/>
  <c r="E1959" i="32"/>
  <c r="E1959" i="31"/>
  <c r="E1981" i="32"/>
  <c r="E1981" i="31"/>
  <c r="E2002" i="32"/>
  <c r="E2002" i="31"/>
  <c r="E2023" i="32"/>
  <c r="E2023" i="31"/>
  <c r="E2045" i="32"/>
  <c r="E2045" i="31"/>
  <c r="E2065" i="32"/>
  <c r="E2065" i="31"/>
  <c r="E2085" i="32"/>
  <c r="E2085" i="31"/>
  <c r="E2105" i="32"/>
  <c r="E2105" i="31"/>
  <c r="E2124" i="32"/>
  <c r="E2124" i="31"/>
  <c r="E2145" i="32"/>
  <c r="E2145" i="31"/>
  <c r="E2166" i="32"/>
  <c r="E2166" i="31"/>
  <c r="E2185" i="32"/>
  <c r="E2185" i="31"/>
  <c r="E2206" i="32"/>
  <c r="E2206" i="31"/>
  <c r="E2226" i="32"/>
  <c r="E2226" i="31"/>
  <c r="E2246" i="32"/>
  <c r="E2246" i="31"/>
  <c r="E2267" i="32"/>
  <c r="E2267" i="31"/>
  <c r="E2288" i="32"/>
  <c r="E2288" i="31"/>
  <c r="E2308" i="32"/>
  <c r="E2308" i="31"/>
  <c r="E2328" i="32"/>
  <c r="E2328" i="31"/>
  <c r="E2349" i="32"/>
  <c r="E2349" i="31"/>
  <c r="E2370" i="31"/>
  <c r="E2370" i="32"/>
  <c r="E2392" i="32"/>
  <c r="E2392" i="31"/>
  <c r="E2412" i="32"/>
  <c r="E2412" i="31"/>
  <c r="E2432" i="32"/>
  <c r="E2432" i="31"/>
  <c r="E2451" i="32"/>
  <c r="E2451" i="31"/>
  <c r="E28" i="32"/>
  <c r="E28" i="31"/>
  <c r="E170" i="32"/>
  <c r="E170" i="31"/>
  <c r="E161" i="32"/>
  <c r="E161" i="31"/>
  <c r="E189" i="32"/>
  <c r="E189" i="31"/>
  <c r="E513" i="32"/>
  <c r="E513" i="31"/>
  <c r="E546" i="32"/>
  <c r="E546" i="31"/>
  <c r="E611" i="32"/>
  <c r="E611" i="31"/>
  <c r="E657" i="32"/>
  <c r="E657" i="31"/>
  <c r="E681" i="31"/>
  <c r="E681" i="32"/>
  <c r="E315" i="32"/>
  <c r="E315" i="31"/>
  <c r="E796" i="32"/>
  <c r="E796" i="31"/>
  <c r="E1930" i="31"/>
  <c r="E1930" i="32"/>
  <c r="E2130" i="32"/>
  <c r="E2130" i="31"/>
  <c r="E2314" i="32"/>
  <c r="E2314" i="31"/>
  <c r="E130" i="31"/>
  <c r="E130" i="32"/>
  <c r="E246" i="32"/>
  <c r="E246" i="31"/>
  <c r="E265" i="32"/>
  <c r="E265" i="31"/>
  <c r="E287" i="32"/>
  <c r="E287" i="31"/>
  <c r="E309" i="32"/>
  <c r="E309" i="31"/>
  <c r="E329" i="32"/>
  <c r="E329" i="31"/>
  <c r="E349" i="32"/>
  <c r="E349" i="31"/>
  <c r="E368" i="32"/>
  <c r="E368" i="31"/>
  <c r="E399" i="32"/>
  <c r="E399" i="31"/>
  <c r="E430" i="32"/>
  <c r="E430" i="31"/>
  <c r="E479" i="32"/>
  <c r="E479" i="31"/>
  <c r="E772" i="32"/>
  <c r="E772" i="31"/>
  <c r="E755" i="31"/>
  <c r="E755" i="32"/>
  <c r="E720" i="32"/>
  <c r="E720" i="31"/>
  <c r="E739" i="32"/>
  <c r="E739" i="31"/>
  <c r="E703" i="32"/>
  <c r="E703" i="31"/>
  <c r="E859" i="32"/>
  <c r="E859" i="31"/>
  <c r="E1647" i="32"/>
  <c r="E1647" i="31"/>
  <c r="E1739" i="32"/>
  <c r="E1739" i="31"/>
  <c r="E1772" i="32"/>
  <c r="E1772" i="31"/>
  <c r="E1797" i="32"/>
  <c r="E1797" i="31"/>
  <c r="E1818" i="32"/>
  <c r="E1818" i="31"/>
  <c r="E1840" i="32"/>
  <c r="E1840" i="31"/>
  <c r="E1861" i="32"/>
  <c r="E1861" i="31"/>
  <c r="E1882" i="32"/>
  <c r="E1882" i="31"/>
  <c r="E1903" i="32"/>
  <c r="E1903" i="31"/>
  <c r="E1925" i="32"/>
  <c r="E1925" i="31"/>
  <c r="E1939" i="32"/>
  <c r="E1939" i="31"/>
  <c r="E1961" i="32"/>
  <c r="E1961" i="31"/>
  <c r="E1982" i="32"/>
  <c r="E1982" i="31"/>
  <c r="E2003" i="31"/>
  <c r="E2003" i="32"/>
  <c r="E2025" i="32"/>
  <c r="E2025" i="31"/>
  <c r="E2046" i="32"/>
  <c r="E2046" i="31"/>
  <c r="E2066" i="32"/>
  <c r="E2066" i="31"/>
  <c r="E2086" i="32"/>
  <c r="E2086" i="31"/>
  <c r="E2106" i="32"/>
  <c r="E2106" i="31"/>
  <c r="E2125" i="32"/>
  <c r="E2125" i="31"/>
  <c r="E2146" i="32"/>
  <c r="E2146" i="31"/>
  <c r="E2167" i="32"/>
  <c r="E2167" i="31"/>
  <c r="E2186" i="32"/>
  <c r="E2186" i="31"/>
  <c r="E2208" i="32"/>
  <c r="E2208" i="31"/>
  <c r="E2228" i="32"/>
  <c r="E2228" i="31"/>
  <c r="E2247" i="32"/>
  <c r="E2247" i="31"/>
  <c r="E2268" i="32"/>
  <c r="E2268" i="31"/>
  <c r="E2290" i="31"/>
  <c r="E2290" i="32"/>
  <c r="E2309" i="32"/>
  <c r="E2309" i="31"/>
  <c r="E2329" i="32"/>
  <c r="E2329" i="31"/>
  <c r="E2350" i="32"/>
  <c r="E2350" i="31"/>
  <c r="E2372" i="32"/>
  <c r="E2372" i="31"/>
  <c r="E2393" i="32"/>
  <c r="E2393" i="31"/>
  <c r="E2414" i="32"/>
  <c r="E2414" i="31"/>
  <c r="E2433" i="32"/>
  <c r="E2433" i="31"/>
  <c r="E2452" i="32"/>
  <c r="E2452" i="31"/>
  <c r="E29" i="32"/>
  <c r="E29" i="31"/>
  <c r="E174" i="32"/>
  <c r="E174" i="31"/>
  <c r="E165" i="32"/>
  <c r="E165" i="31"/>
  <c r="E198" i="32"/>
  <c r="E198" i="31"/>
  <c r="E515" i="32"/>
  <c r="E515" i="31"/>
  <c r="E547" i="32"/>
  <c r="E547" i="31"/>
  <c r="E615" i="31"/>
  <c r="E615" i="32"/>
  <c r="E658" i="32"/>
  <c r="E658" i="31"/>
  <c r="E689" i="32"/>
  <c r="E689" i="31"/>
  <c r="E334" i="31"/>
  <c r="E334" i="32"/>
  <c r="E1745" i="32"/>
  <c r="E1745" i="31"/>
  <c r="E2091" i="32"/>
  <c r="E2091" i="31"/>
  <c r="E156" i="31"/>
  <c r="E156" i="32"/>
  <c r="E247" i="32"/>
  <c r="E247" i="31"/>
  <c r="E267" i="32"/>
  <c r="E267" i="31"/>
  <c r="E289" i="32"/>
  <c r="E289" i="31"/>
  <c r="E308" i="32"/>
  <c r="E308" i="31"/>
  <c r="E331" i="32"/>
  <c r="E331" i="31"/>
  <c r="E350" i="32"/>
  <c r="E350" i="31"/>
  <c r="E369" i="32"/>
  <c r="E369" i="31"/>
  <c r="E400" i="32"/>
  <c r="E400" i="31"/>
  <c r="E431" i="32"/>
  <c r="E431" i="31"/>
  <c r="E481" i="32"/>
  <c r="E481" i="31"/>
  <c r="E773" i="32"/>
  <c r="E773" i="31"/>
  <c r="E756" i="31"/>
  <c r="E756" i="32"/>
  <c r="E721" i="32"/>
  <c r="E721" i="31"/>
  <c r="E740" i="32"/>
  <c r="E740" i="31"/>
  <c r="E704" i="32"/>
  <c r="E704" i="31"/>
  <c r="E860" i="32"/>
  <c r="E860" i="31"/>
  <c r="E1651" i="32"/>
  <c r="E1651" i="31"/>
  <c r="E1741" i="32"/>
  <c r="E1741" i="31"/>
  <c r="E1773" i="32"/>
  <c r="E1773" i="31"/>
  <c r="E1798" i="32"/>
  <c r="E1798" i="31"/>
  <c r="E1820" i="32"/>
  <c r="E1820" i="31"/>
  <c r="E1841" i="32"/>
  <c r="E1841" i="31"/>
  <c r="E1862" i="32"/>
  <c r="E1862" i="31"/>
  <c r="E1883" i="32"/>
  <c r="E1883" i="31"/>
  <c r="E1905" i="31"/>
  <c r="E1905" i="32"/>
  <c r="E1926" i="32"/>
  <c r="E1926" i="31"/>
  <c r="E1941" i="32"/>
  <c r="E1941" i="31"/>
  <c r="E1962" i="32"/>
  <c r="E1962" i="31"/>
  <c r="E1983" i="32"/>
  <c r="E1983" i="31"/>
  <c r="E2005" i="32"/>
  <c r="E2005" i="31"/>
  <c r="E2026" i="32"/>
  <c r="E2026" i="31"/>
  <c r="E2047" i="32"/>
  <c r="E2047" i="31"/>
  <c r="E2067" i="32"/>
  <c r="E2067" i="31"/>
  <c r="E2087" i="32"/>
  <c r="E2087" i="31"/>
  <c r="E2107" i="32"/>
  <c r="E2107" i="31"/>
  <c r="E2126" i="32"/>
  <c r="E2126" i="31"/>
  <c r="E2148" i="32"/>
  <c r="E2148" i="31"/>
  <c r="E2168" i="32"/>
  <c r="E2168" i="31"/>
  <c r="E2188" i="32"/>
  <c r="E2188" i="31"/>
  <c r="E2209" i="31"/>
  <c r="E2209" i="32"/>
  <c r="E2229" i="32"/>
  <c r="E2229" i="31"/>
  <c r="E2248" i="32"/>
  <c r="E2248" i="31"/>
  <c r="E2270" i="32"/>
  <c r="E2270" i="31"/>
  <c r="E2291" i="32"/>
  <c r="E2291" i="31"/>
  <c r="E2310" i="32"/>
  <c r="E2310" i="31"/>
  <c r="E2330" i="32"/>
  <c r="E2330" i="31"/>
  <c r="E2352" i="32"/>
  <c r="E2352" i="31"/>
  <c r="E2373" i="32"/>
  <c r="E2373" i="31"/>
  <c r="E2394" i="32"/>
  <c r="E2394" i="31"/>
  <c r="E2415" i="32"/>
  <c r="E2415" i="31"/>
  <c r="E2434" i="32"/>
  <c r="E2434" i="31"/>
  <c r="E2453" i="32"/>
  <c r="E2453" i="31"/>
  <c r="E125" i="32"/>
  <c r="E125" i="31"/>
  <c r="E178" i="32"/>
  <c r="E178" i="31"/>
  <c r="E169" i="32"/>
  <c r="E169" i="31"/>
  <c r="E199" i="32"/>
  <c r="E199" i="31"/>
  <c r="E516" i="31"/>
  <c r="E516" i="32"/>
  <c r="E548" i="32"/>
  <c r="E548" i="31"/>
  <c r="E616" i="32"/>
  <c r="E616" i="31"/>
  <c r="E659" i="32"/>
  <c r="E659" i="31"/>
  <c r="E690" i="32"/>
  <c r="E690" i="31"/>
  <c r="E24" i="32"/>
  <c r="E24" i="31"/>
  <c r="E353" i="32"/>
  <c r="E353" i="31"/>
  <c r="E1887" i="32"/>
  <c r="E1887" i="31"/>
  <c r="E2356" i="32"/>
  <c r="E2356" i="31"/>
  <c r="E248" i="32"/>
  <c r="E248" i="31"/>
  <c r="E268" i="32"/>
  <c r="E268" i="31"/>
  <c r="E290" i="32"/>
  <c r="E290" i="31"/>
  <c r="E313" i="32"/>
  <c r="E313" i="31"/>
  <c r="E332" i="32"/>
  <c r="E332" i="31"/>
  <c r="E351" i="32"/>
  <c r="E351" i="31"/>
  <c r="E370" i="32"/>
  <c r="E370" i="31"/>
  <c r="E401" i="32"/>
  <c r="E401" i="31"/>
  <c r="E433" i="32"/>
  <c r="E433" i="31"/>
  <c r="E482" i="32"/>
  <c r="E482" i="31"/>
  <c r="E774" i="32"/>
  <c r="E774" i="31"/>
  <c r="E757" i="32"/>
  <c r="E757" i="31"/>
  <c r="E722" i="32"/>
  <c r="E722" i="31"/>
  <c r="E742" i="31"/>
  <c r="E742" i="32"/>
  <c r="E794" i="32"/>
  <c r="E794" i="31"/>
  <c r="E861" i="32"/>
  <c r="E861" i="31"/>
  <c r="E1655" i="32"/>
  <c r="E1655" i="31"/>
  <c r="E1742" i="32"/>
  <c r="E1742" i="31"/>
  <c r="E1774" i="32"/>
  <c r="E1774" i="31"/>
  <c r="E1800" i="32"/>
  <c r="E1800" i="31"/>
  <c r="E1821" i="32"/>
  <c r="E1821" i="31"/>
  <c r="E1842" i="32"/>
  <c r="E1842" i="31"/>
  <c r="E1863" i="32"/>
  <c r="E1863" i="31"/>
  <c r="E1885" i="32"/>
  <c r="E1885" i="31"/>
  <c r="E1906" i="32"/>
  <c r="E1906" i="31"/>
  <c r="E1927" i="32"/>
  <c r="E1927" i="31"/>
  <c r="E1942" i="32"/>
  <c r="E1942" i="31"/>
  <c r="E1963" i="32"/>
  <c r="E1963" i="31"/>
  <c r="E1985" i="32"/>
  <c r="E1985" i="31"/>
  <c r="E2006" i="32"/>
  <c r="E2006" i="31"/>
  <c r="E2027" i="32"/>
  <c r="E2027" i="31"/>
  <c r="E2049" i="32"/>
  <c r="E2049" i="31"/>
  <c r="E2069" i="32"/>
  <c r="E2069" i="31"/>
  <c r="E2089" i="32"/>
  <c r="E2089" i="31"/>
  <c r="E2108" i="32"/>
  <c r="E2108" i="31"/>
  <c r="E2128" i="32"/>
  <c r="E2128" i="31"/>
  <c r="E2149" i="32"/>
  <c r="E2149" i="31"/>
  <c r="E2169" i="32"/>
  <c r="E2169" i="31"/>
  <c r="E2189" i="32"/>
  <c r="E2189" i="31"/>
  <c r="E2210" i="32"/>
  <c r="E2210" i="31"/>
  <c r="E2230" i="32"/>
  <c r="E2230" i="31"/>
  <c r="E2250" i="32"/>
  <c r="E2250" i="31"/>
  <c r="E2271" i="32"/>
  <c r="E2271" i="31"/>
  <c r="E2292" i="32"/>
  <c r="E2292" i="31"/>
  <c r="E2312" i="32"/>
  <c r="E2312" i="31"/>
  <c r="E2332" i="32"/>
  <c r="E2332" i="31"/>
  <c r="E2353" i="32"/>
  <c r="E2353" i="31"/>
  <c r="E2374" i="32"/>
  <c r="E2374" i="31"/>
  <c r="E2396" i="32"/>
  <c r="E2396" i="31"/>
  <c r="E2416" i="31"/>
  <c r="E2416" i="32"/>
  <c r="E2435" i="32"/>
  <c r="E2435" i="31"/>
  <c r="E2454" i="32"/>
  <c r="E2454" i="31"/>
  <c r="E127" i="31"/>
  <c r="E127" i="32"/>
  <c r="E182" i="32"/>
  <c r="E182" i="31"/>
  <c r="E173" i="32"/>
  <c r="E173" i="31"/>
  <c r="E200" i="32"/>
  <c r="E200" i="31"/>
  <c r="E517" i="31"/>
  <c r="E517" i="32"/>
  <c r="E549" i="32"/>
  <c r="E549" i="31"/>
  <c r="E597" i="32"/>
  <c r="E597" i="31"/>
  <c r="E660" i="32"/>
  <c r="E660" i="31"/>
  <c r="E691" i="32"/>
  <c r="E691" i="31"/>
  <c r="F13" i="32"/>
  <c r="F13" i="31"/>
  <c r="E250" i="32"/>
  <c r="E250" i="31"/>
  <c r="E1645" i="32"/>
  <c r="E1645" i="31"/>
  <c r="E2009" i="31"/>
  <c r="E2009" i="32"/>
  <c r="E2252" i="32"/>
  <c r="E2252" i="31"/>
  <c r="E238" i="32"/>
  <c r="E238" i="31"/>
  <c r="E249" i="32"/>
  <c r="E249" i="31"/>
  <c r="E269" i="32"/>
  <c r="E269" i="31"/>
  <c r="E292" i="32"/>
  <c r="E292" i="31"/>
  <c r="E314" i="32"/>
  <c r="E314" i="31"/>
  <c r="E333" i="32"/>
  <c r="E333" i="31"/>
  <c r="E352" i="32"/>
  <c r="E352" i="31"/>
  <c r="E371" i="32"/>
  <c r="E371" i="31"/>
  <c r="E403" i="32"/>
  <c r="E403" i="31"/>
  <c r="E434" i="32"/>
  <c r="E434" i="31"/>
  <c r="E483" i="32"/>
  <c r="E483" i="31"/>
  <c r="E775" i="32"/>
  <c r="E775" i="31"/>
  <c r="E758" i="32"/>
  <c r="E758" i="31"/>
  <c r="E724" i="32"/>
  <c r="E724" i="31"/>
  <c r="E743" i="32"/>
  <c r="E743" i="31"/>
  <c r="E795" i="32"/>
  <c r="E795" i="31"/>
  <c r="E1626" i="32"/>
  <c r="E1626" i="31"/>
  <c r="E1659" i="32"/>
  <c r="E1659" i="31"/>
  <c r="E1744" i="32"/>
  <c r="E1744" i="31"/>
  <c r="E1775" i="32"/>
  <c r="E1775" i="31"/>
  <c r="E1801" i="32"/>
  <c r="E1801" i="31"/>
  <c r="E1822" i="32"/>
  <c r="E1822" i="31"/>
  <c r="E1843" i="32"/>
  <c r="E1843" i="31"/>
  <c r="E1865" i="32"/>
  <c r="E1865" i="31"/>
  <c r="E1886" i="32"/>
  <c r="E1886" i="31"/>
  <c r="E1907" i="32"/>
  <c r="E1907" i="31"/>
  <c r="E1929" i="32"/>
  <c r="E1929" i="31"/>
  <c r="E1943" i="32"/>
  <c r="E1943" i="31"/>
  <c r="E1965" i="32"/>
  <c r="E1965" i="31"/>
  <c r="E1986" i="32"/>
  <c r="E1986" i="31"/>
  <c r="E2007" i="32"/>
  <c r="E2007" i="31"/>
  <c r="E2029" i="32"/>
  <c r="E2029" i="31"/>
  <c r="E2050" i="32"/>
  <c r="E2050" i="31"/>
  <c r="E2070" i="32"/>
  <c r="E2070" i="31"/>
  <c r="E2090" i="32"/>
  <c r="E2090" i="31"/>
  <c r="E2110" i="32"/>
  <c r="E2110" i="31"/>
  <c r="E2129" i="31"/>
  <c r="E2129" i="32"/>
  <c r="E2150" i="32"/>
  <c r="E2150" i="31"/>
  <c r="E2170" i="32"/>
  <c r="E2170" i="31"/>
  <c r="E2190" i="32"/>
  <c r="E2190" i="31"/>
  <c r="E2212" i="32"/>
  <c r="E2212" i="31"/>
  <c r="E2231" i="32"/>
  <c r="E2231" i="31"/>
  <c r="E2251" i="32"/>
  <c r="E2251" i="31"/>
  <c r="E2272" i="32"/>
  <c r="E2272" i="31"/>
  <c r="E2294" i="32"/>
  <c r="E2294" i="31"/>
  <c r="E2313" i="32"/>
  <c r="E2313" i="31"/>
  <c r="E2333" i="32"/>
  <c r="E2333" i="31"/>
  <c r="E2354" i="32"/>
  <c r="E2354" i="31"/>
  <c r="E2376" i="32"/>
  <c r="E2376" i="31"/>
  <c r="E2397" i="32"/>
  <c r="E2397" i="31"/>
  <c r="E2417" i="32"/>
  <c r="E2417" i="31"/>
  <c r="E2436" i="32"/>
  <c r="E2436" i="31"/>
  <c r="E2456" i="32"/>
  <c r="E2456" i="31"/>
  <c r="E123" i="32"/>
  <c r="E123" i="31"/>
  <c r="E159" i="31"/>
  <c r="E159" i="32"/>
  <c r="E177" i="32"/>
  <c r="E177" i="31"/>
  <c r="E201" i="32"/>
  <c r="E201" i="31"/>
  <c r="E518" i="32"/>
  <c r="E518" i="31"/>
  <c r="E550" i="32"/>
  <c r="E550" i="31"/>
  <c r="E602" i="32"/>
  <c r="E602" i="31"/>
  <c r="E661" i="32"/>
  <c r="E661" i="31"/>
  <c r="E692" i="32"/>
  <c r="E692" i="31"/>
  <c r="F14" i="32"/>
  <c r="F14" i="31"/>
  <c r="E774" i="19"/>
  <c r="E775" i="19"/>
  <c r="E776" i="19"/>
  <c r="E766" i="19"/>
  <c r="E767" i="19"/>
  <c r="E768" i="19"/>
  <c r="E772" i="19"/>
  <c r="E769" i="19"/>
  <c r="E773" i="19"/>
  <c r="E770" i="19"/>
  <c r="E424" i="19"/>
  <c r="E425" i="19"/>
  <c r="E427" i="19"/>
  <c r="E428" i="19"/>
  <c r="E429" i="19"/>
  <c r="E421" i="19"/>
  <c r="E430" i="19"/>
  <c r="E422" i="19"/>
  <c r="E431" i="19"/>
  <c r="E423" i="19"/>
  <c r="Y2500" i="19"/>
  <c r="E2286" i="19"/>
  <c r="E260" i="19"/>
  <c r="E269" i="19"/>
  <c r="E280" i="19"/>
  <c r="E292" i="19"/>
  <c r="E305" i="19"/>
  <c r="E314" i="19"/>
  <c r="E323" i="19"/>
  <c r="E333" i="19"/>
  <c r="E343" i="19"/>
  <c r="E352" i="19"/>
  <c r="E362" i="19"/>
  <c r="E371" i="19"/>
  <c r="E381" i="19"/>
  <c r="E403" i="19"/>
  <c r="E434" i="19"/>
  <c r="E473" i="19"/>
  <c r="E483" i="19"/>
  <c r="E499" i="19"/>
  <c r="E761" i="19"/>
  <c r="E758" i="19"/>
  <c r="E714" i="19"/>
  <c r="E724" i="19"/>
  <c r="E733" i="19"/>
  <c r="E743" i="19"/>
  <c r="E752" i="19"/>
  <c r="E795" i="19"/>
  <c r="E803" i="19"/>
  <c r="E861" i="19"/>
  <c r="E1639" i="19"/>
  <c r="E1655" i="19"/>
  <c r="E1641" i="19"/>
  <c r="E1742" i="19"/>
  <c r="E1754" i="19"/>
  <c r="E1774" i="19"/>
  <c r="E1789" i="19"/>
  <c r="E1800" i="19"/>
  <c r="E1810" i="19"/>
  <c r="E1821" i="19"/>
  <c r="E1832" i="19"/>
  <c r="E1842" i="19"/>
  <c r="E1853" i="19"/>
  <c r="E1863" i="19"/>
  <c r="E1874" i="19"/>
  <c r="E1885" i="19"/>
  <c r="E1895" i="19"/>
  <c r="E1906" i="19"/>
  <c r="E1917" i="19"/>
  <c r="E1927" i="19"/>
  <c r="E789" i="19"/>
  <c r="E1942" i="19"/>
  <c r="E1953" i="19"/>
  <c r="E1963" i="19"/>
  <c r="E1974" i="19"/>
  <c r="E1985" i="19"/>
  <c r="E1995" i="19"/>
  <c r="E2006" i="19"/>
  <c r="E2017" i="19"/>
  <c r="E2027" i="19"/>
  <c r="E2038" i="19"/>
  <c r="E2049" i="19"/>
  <c r="E2059" i="19"/>
  <c r="E2069" i="19"/>
  <c r="E2079" i="19"/>
  <c r="E2089" i="19"/>
  <c r="E2099" i="19"/>
  <c r="E2108" i="19"/>
  <c r="E2118" i="19"/>
  <c r="E2128" i="19"/>
  <c r="E2138" i="19"/>
  <c r="E2149" i="19"/>
  <c r="E2160" i="19"/>
  <c r="E2169" i="19"/>
  <c r="E2179" i="19"/>
  <c r="E2189" i="19"/>
  <c r="E2200" i="19"/>
  <c r="E2210" i="19"/>
  <c r="E2220" i="19"/>
  <c r="E2230" i="19"/>
  <c r="E2240" i="19"/>
  <c r="E2250" i="19"/>
  <c r="E2260" i="19"/>
  <c r="E2271" i="19"/>
  <c r="E2282" i="19"/>
  <c r="E2292" i="19"/>
  <c r="E2302" i="19"/>
  <c r="E2312" i="19"/>
  <c r="E2321" i="19"/>
  <c r="E2332" i="19"/>
  <c r="E2342" i="19"/>
  <c r="E2353" i="19"/>
  <c r="E2364" i="19"/>
  <c r="E2374" i="19"/>
  <c r="E2385" i="19"/>
  <c r="E2396" i="19"/>
  <c r="E2406" i="19"/>
  <c r="E2416" i="19"/>
  <c r="E2426" i="19"/>
  <c r="E2435" i="19"/>
  <c r="E2445" i="19"/>
  <c r="E2454" i="19"/>
  <c r="E2464" i="19"/>
  <c r="E127" i="19"/>
  <c r="E196" i="19"/>
  <c r="E178" i="19"/>
  <c r="E143" i="19"/>
  <c r="E169" i="19"/>
  <c r="E179" i="19"/>
  <c r="E198" i="19"/>
  <c r="E508" i="19"/>
  <c r="E515" i="19"/>
  <c r="E539" i="19"/>
  <c r="E547" i="19"/>
  <c r="E594" i="19"/>
  <c r="E606" i="19"/>
  <c r="E602" i="19"/>
  <c r="E652" i="19"/>
  <c r="E661" i="19"/>
  <c r="E676" i="19"/>
  <c r="E692" i="19"/>
  <c r="E70" i="19"/>
  <c r="E235" i="19"/>
  <c r="E250" i="19"/>
  <c r="E257" i="19"/>
  <c r="E270" i="19"/>
  <c r="E281" i="19"/>
  <c r="E293" i="19"/>
  <c r="E302" i="19"/>
  <c r="E315" i="19"/>
  <c r="E325" i="19"/>
  <c r="E334" i="19"/>
  <c r="E344" i="19"/>
  <c r="E353" i="19"/>
  <c r="E363" i="19"/>
  <c r="E373" i="19"/>
  <c r="E382" i="19"/>
  <c r="E404" i="19"/>
  <c r="E435" i="19"/>
  <c r="E475" i="19"/>
  <c r="E484" i="19"/>
  <c r="E500" i="19"/>
  <c r="E762" i="19"/>
  <c r="E706" i="19"/>
  <c r="E715" i="19"/>
  <c r="E725" i="19"/>
  <c r="E734" i="19"/>
  <c r="E744" i="19"/>
  <c r="E695" i="19"/>
  <c r="E796" i="19"/>
  <c r="E804" i="19"/>
  <c r="E1626" i="19"/>
  <c r="E1644" i="19"/>
  <c r="E1659" i="19"/>
  <c r="E1649" i="19"/>
  <c r="E1744" i="19"/>
  <c r="E1756" i="19"/>
  <c r="E1775" i="19"/>
  <c r="E1792" i="19"/>
  <c r="E1801" i="19"/>
  <c r="E1812" i="19"/>
  <c r="E1822" i="19"/>
  <c r="E1833" i="19"/>
  <c r="E1843" i="19"/>
  <c r="E1854" i="19"/>
  <c r="E1865" i="19"/>
  <c r="E1875" i="19"/>
  <c r="E1886" i="19"/>
  <c r="E1897" i="19"/>
  <c r="E1907" i="19"/>
  <c r="E1918" i="19"/>
  <c r="E1929" i="19"/>
  <c r="E1935" i="19"/>
  <c r="E1943" i="19"/>
  <c r="E1954" i="19"/>
  <c r="E1965" i="19"/>
  <c r="E1975" i="19"/>
  <c r="E1986" i="19"/>
  <c r="E1997" i="19"/>
  <c r="E2007" i="19"/>
  <c r="E2018" i="19"/>
  <c r="E2029" i="19"/>
  <c r="E2039" i="19"/>
  <c r="E2050" i="19"/>
  <c r="E2060" i="19"/>
  <c r="E2070" i="19"/>
  <c r="E2080" i="19"/>
  <c r="E2090" i="19"/>
  <c r="E2100" i="19"/>
  <c r="E2110" i="19"/>
  <c r="E2119" i="19"/>
  <c r="E2129" i="19"/>
  <c r="E2140" i="19"/>
  <c r="E2150" i="19"/>
  <c r="E2161" i="19"/>
  <c r="E2170" i="19"/>
  <c r="E2180" i="19"/>
  <c r="E2190" i="19"/>
  <c r="E2201" i="19"/>
  <c r="E2212" i="19"/>
  <c r="E2222" i="19"/>
  <c r="E2231" i="19"/>
  <c r="E2241" i="19"/>
  <c r="E2251" i="19"/>
  <c r="E2262" i="19"/>
  <c r="E2272" i="19"/>
  <c r="E2283" i="19"/>
  <c r="E2294" i="19"/>
  <c r="E2303" i="19"/>
  <c r="E2313" i="19"/>
  <c r="E2322" i="19"/>
  <c r="E2333" i="19"/>
  <c r="E2344" i="19"/>
  <c r="E2354" i="19"/>
  <c r="E2365" i="19"/>
  <c r="E2376" i="19"/>
  <c r="E2386" i="19"/>
  <c r="E2397" i="19"/>
  <c r="E2408" i="19"/>
  <c r="E2417" i="19"/>
  <c r="E2427" i="19"/>
  <c r="E2436" i="19"/>
  <c r="E2446" i="19"/>
  <c r="E2456" i="19"/>
  <c r="E2465" i="19"/>
  <c r="E123" i="19"/>
  <c r="E24" i="19"/>
  <c r="E182" i="19"/>
  <c r="E146" i="19"/>
  <c r="E173" i="19"/>
  <c r="E183" i="19"/>
  <c r="E199" i="19"/>
  <c r="E505" i="19"/>
  <c r="E516" i="19"/>
  <c r="E540" i="19"/>
  <c r="E548" i="19"/>
  <c r="E595" i="19"/>
  <c r="E609" i="19"/>
  <c r="E607" i="19"/>
  <c r="E653" i="19"/>
  <c r="E667" i="19"/>
  <c r="E677" i="19"/>
  <c r="E693" i="19"/>
  <c r="E249" i="19"/>
  <c r="E122" i="19"/>
  <c r="E243" i="19"/>
  <c r="E251" i="19"/>
  <c r="E262" i="19"/>
  <c r="E272" i="19"/>
  <c r="E283" i="19"/>
  <c r="E295" i="19"/>
  <c r="E307" i="19"/>
  <c r="E316" i="19"/>
  <c r="E326" i="19"/>
  <c r="E335" i="19"/>
  <c r="E345" i="19"/>
  <c r="E356" i="19"/>
  <c r="E364" i="19"/>
  <c r="E374" i="19"/>
  <c r="E383" i="19"/>
  <c r="E405" i="19"/>
  <c r="E436" i="19"/>
  <c r="E476" i="19"/>
  <c r="E485" i="19"/>
  <c r="E501" i="19"/>
  <c r="E763" i="19"/>
  <c r="E707" i="19"/>
  <c r="E716" i="19"/>
  <c r="E726" i="19"/>
  <c r="E736" i="19"/>
  <c r="E745" i="19"/>
  <c r="E697" i="19"/>
  <c r="E797" i="19"/>
  <c r="E805" i="19"/>
  <c r="E1632" i="19"/>
  <c r="E1648" i="19"/>
  <c r="E1645" i="19"/>
  <c r="E1672" i="19"/>
  <c r="E1745" i="19"/>
  <c r="E1757" i="19"/>
  <c r="E1777" i="19"/>
  <c r="E1793" i="19"/>
  <c r="E1802" i="19"/>
  <c r="E1813" i="19"/>
  <c r="E1824" i="19"/>
  <c r="E1834" i="19"/>
  <c r="E1845" i="19"/>
  <c r="E1855" i="19"/>
  <c r="E1866" i="19"/>
  <c r="E1877" i="19"/>
  <c r="E1887" i="19"/>
  <c r="E1898" i="19"/>
  <c r="E1909" i="19"/>
  <c r="E1919" i="19"/>
  <c r="E1930" i="19"/>
  <c r="E1933" i="19"/>
  <c r="E1945" i="19"/>
  <c r="E1955" i="19"/>
  <c r="E1966" i="19"/>
  <c r="E1977" i="19"/>
  <c r="E1987" i="19"/>
  <c r="E1998" i="19"/>
  <c r="E2009" i="19"/>
  <c r="E2019" i="19"/>
  <c r="E2030" i="19"/>
  <c r="E2041" i="19"/>
  <c r="E2052" i="19"/>
  <c r="E2061" i="19"/>
  <c r="E2071" i="19"/>
  <c r="E2081" i="19"/>
  <c r="E2091" i="19"/>
  <c r="E2101" i="19"/>
  <c r="E2111" i="19"/>
  <c r="E2120" i="19"/>
  <c r="E2130" i="19"/>
  <c r="E2141" i="19"/>
  <c r="E2152" i="19"/>
  <c r="E2162" i="19"/>
  <c r="E2172" i="19"/>
  <c r="E2181" i="19"/>
  <c r="E2192" i="19"/>
  <c r="E2202" i="19"/>
  <c r="E2213" i="19"/>
  <c r="E2223" i="19"/>
  <c r="E2232" i="19"/>
  <c r="E2242" i="19"/>
  <c r="E2252" i="19"/>
  <c r="E2263" i="19"/>
  <c r="E2274" i="19"/>
  <c r="E2284" i="19"/>
  <c r="E2295" i="19"/>
  <c r="E2304" i="19"/>
  <c r="E2314" i="19"/>
  <c r="E2324" i="19"/>
  <c r="E2334" i="19"/>
  <c r="E2345" i="19"/>
  <c r="E2356" i="19"/>
  <c r="E2366" i="19"/>
  <c r="E2377" i="19"/>
  <c r="E2388" i="19"/>
  <c r="E2398" i="19"/>
  <c r="E2409" i="19"/>
  <c r="E2418" i="19"/>
  <c r="E2428" i="19"/>
  <c r="E2438" i="19"/>
  <c r="E2447" i="19"/>
  <c r="E2457" i="19"/>
  <c r="E2466" i="19"/>
  <c r="E130" i="19"/>
  <c r="E25" i="19"/>
  <c r="E159" i="19"/>
  <c r="E149" i="19"/>
  <c r="E177" i="19"/>
  <c r="E184" i="19"/>
  <c r="E200" i="19"/>
  <c r="E506" i="19"/>
  <c r="E517" i="19"/>
  <c r="E541" i="19"/>
  <c r="E549" i="19"/>
  <c r="E596" i="19"/>
  <c r="E610" i="19"/>
  <c r="E612" i="19"/>
  <c r="E655" i="19"/>
  <c r="E668" i="19"/>
  <c r="E679" i="19"/>
  <c r="E687" i="19"/>
  <c r="E233" i="19"/>
  <c r="E126" i="19"/>
  <c r="E263" i="19"/>
  <c r="E284" i="19"/>
  <c r="E317" i="19"/>
  <c r="E346" i="19"/>
  <c r="E375" i="19"/>
  <c r="E406" i="19"/>
  <c r="E493" i="19"/>
  <c r="E718" i="19"/>
  <c r="E737" i="19"/>
  <c r="E798" i="19"/>
  <c r="E1652" i="19"/>
  <c r="E1747" i="19"/>
  <c r="E1778" i="19"/>
  <c r="E1814" i="19"/>
  <c r="E1846" i="19"/>
  <c r="E1878" i="19"/>
  <c r="E1921" i="19"/>
  <c r="E1957" i="19"/>
  <c r="E1989" i="19"/>
  <c r="E2021" i="19"/>
  <c r="E2054" i="19"/>
  <c r="E2082" i="19"/>
  <c r="E2102" i="19"/>
  <c r="E2142" i="19"/>
  <c r="E2182" i="19"/>
  <c r="E2224" i="19"/>
  <c r="E2264" i="19"/>
  <c r="E2315" i="19"/>
  <c r="E2346" i="19"/>
  <c r="E2368" i="19"/>
  <c r="E2400" i="19"/>
  <c r="E2429" i="19"/>
  <c r="E26" i="19"/>
  <c r="E191" i="19"/>
  <c r="E181" i="19"/>
  <c r="E507" i="19"/>
  <c r="E542" i="19"/>
  <c r="E611" i="19"/>
  <c r="E680" i="19"/>
  <c r="E128" i="19"/>
  <c r="E245" i="19"/>
  <c r="E253" i="19"/>
  <c r="E264" i="19"/>
  <c r="E274" i="19"/>
  <c r="E286" i="19"/>
  <c r="E298" i="19"/>
  <c r="E310" i="19"/>
  <c r="E319" i="19"/>
  <c r="E328" i="19"/>
  <c r="E338" i="19"/>
  <c r="E347" i="19"/>
  <c r="E357" i="19"/>
  <c r="E367" i="19"/>
  <c r="E376" i="19"/>
  <c r="E398" i="19"/>
  <c r="E407" i="19"/>
  <c r="E469" i="19"/>
  <c r="E478" i="19"/>
  <c r="E494" i="19"/>
  <c r="E503" i="19"/>
  <c r="E754" i="19"/>
  <c r="E709" i="19"/>
  <c r="E719" i="19"/>
  <c r="E728" i="19"/>
  <c r="E738" i="19"/>
  <c r="E748" i="19"/>
  <c r="E701" i="19"/>
  <c r="E799" i="19"/>
  <c r="E856" i="19"/>
  <c r="E1635" i="19"/>
  <c r="E1660" i="19"/>
  <c r="E1657" i="19"/>
  <c r="E1683" i="19"/>
  <c r="E1748" i="19"/>
  <c r="E1770" i="19"/>
  <c r="E1783" i="19"/>
  <c r="E1794" i="19"/>
  <c r="E1805" i="19"/>
  <c r="E1816" i="19"/>
  <c r="E1826" i="19"/>
  <c r="E1837" i="19"/>
  <c r="E1847" i="19"/>
  <c r="E1858" i="19"/>
  <c r="E1869" i="19"/>
  <c r="E1879" i="19"/>
  <c r="E1890" i="19"/>
  <c r="E1901" i="19"/>
  <c r="E1911" i="19"/>
  <c r="E1922" i="19"/>
  <c r="E1790" i="19"/>
  <c r="E1937" i="19"/>
  <c r="E1947" i="19"/>
  <c r="E1958" i="19"/>
  <c r="E1969" i="19"/>
  <c r="E1979" i="19"/>
  <c r="E1990" i="19"/>
  <c r="E2001" i="19"/>
  <c r="E2011" i="19"/>
  <c r="E2022" i="19"/>
  <c r="E2033" i="19"/>
  <c r="E2043" i="19"/>
  <c r="E2055" i="19"/>
  <c r="E2064" i="19"/>
  <c r="E2074" i="19"/>
  <c r="E2084" i="19"/>
  <c r="E2094" i="19"/>
  <c r="E2104" i="19"/>
  <c r="E2113" i="19"/>
  <c r="E2123" i="19"/>
  <c r="E2133" i="19"/>
  <c r="E2144" i="19"/>
  <c r="E2154" i="19"/>
  <c r="E2164" i="19"/>
  <c r="E2174" i="19"/>
  <c r="E2184" i="19"/>
  <c r="E2194" i="19"/>
  <c r="E2205" i="19"/>
  <c r="E2216" i="19"/>
  <c r="E2225" i="19"/>
  <c r="E2235" i="19"/>
  <c r="E2244" i="19"/>
  <c r="E2255" i="19"/>
  <c r="E2266" i="19"/>
  <c r="E2276" i="19"/>
  <c r="E2287" i="19"/>
  <c r="E2297" i="19"/>
  <c r="E2307" i="19"/>
  <c r="E2316" i="19"/>
  <c r="E2326" i="19"/>
  <c r="E2337" i="19"/>
  <c r="E2348" i="19"/>
  <c r="E2358" i="19"/>
  <c r="E273" i="19"/>
  <c r="E327" i="19"/>
  <c r="E365" i="19"/>
  <c r="E502" i="19"/>
  <c r="E727" i="19"/>
  <c r="E855" i="19"/>
  <c r="E1673" i="19"/>
  <c r="E1779" i="19"/>
  <c r="E1836" i="19"/>
  <c r="E1889" i="19"/>
  <c r="E1931" i="19"/>
  <c r="E1967" i="19"/>
  <c r="E1999" i="19"/>
  <c r="E2042" i="19"/>
  <c r="E2092" i="19"/>
  <c r="E2132" i="19"/>
  <c r="E2163" i="19"/>
  <c r="E2204" i="19"/>
  <c r="E2243" i="19"/>
  <c r="E2296" i="19"/>
  <c r="E2336" i="19"/>
  <c r="E2389" i="19"/>
  <c r="E2448" i="19"/>
  <c r="E152" i="19"/>
  <c r="E518" i="19"/>
  <c r="E617" i="19"/>
  <c r="E686" i="19"/>
  <c r="E320" i="19"/>
  <c r="E470" i="19"/>
  <c r="E730" i="19"/>
  <c r="E1643" i="19"/>
  <c r="E1771" i="19"/>
  <c r="E1806" i="19"/>
  <c r="E1828" i="19"/>
  <c r="E1838" i="19"/>
  <c r="E1859" i="19"/>
  <c r="E1870" i="19"/>
  <c r="E1881" i="19"/>
  <c r="E1891" i="19"/>
  <c r="E1902" i="19"/>
  <c r="E1913" i="19"/>
  <c r="E1923" i="19"/>
  <c r="E793" i="19"/>
  <c r="E1938" i="19"/>
  <c r="E1949" i="19"/>
  <c r="E1959" i="19"/>
  <c r="E1970" i="19"/>
  <c r="E1981" i="19"/>
  <c r="E1991" i="19"/>
  <c r="E2002" i="19"/>
  <c r="E2013" i="19"/>
  <c r="E2034" i="19"/>
  <c r="E2045" i="19"/>
  <c r="E2065" i="19"/>
  <c r="E2075" i="19"/>
  <c r="E2085" i="19"/>
  <c r="E2095" i="19"/>
  <c r="E2105" i="19"/>
  <c r="E2114" i="19"/>
  <c r="E2124" i="19"/>
  <c r="E2134" i="19"/>
  <c r="E2145" i="19"/>
  <c r="E2156" i="19"/>
  <c r="E2166" i="19"/>
  <c r="E2175" i="19"/>
  <c r="E2185" i="19"/>
  <c r="E2196" i="19"/>
  <c r="E2206" i="19"/>
  <c r="E2217" i="19"/>
  <c r="E2226" i="19"/>
  <c r="E2236" i="19"/>
  <c r="E2246" i="19"/>
  <c r="E2256" i="19"/>
  <c r="E2267" i="19"/>
  <c r="E2278" i="19"/>
  <c r="E2288" i="19"/>
  <c r="E2298" i="19"/>
  <c r="E2308" i="19"/>
  <c r="E2318" i="19"/>
  <c r="E2328" i="19"/>
  <c r="E2338" i="19"/>
  <c r="E2349" i="19"/>
  <c r="E2360" i="19"/>
  <c r="E2370" i="19"/>
  <c r="E2381" i="19"/>
  <c r="E2392" i="19"/>
  <c r="E2402" i="19"/>
  <c r="E2412" i="19"/>
  <c r="E2422" i="19"/>
  <c r="E2432" i="19"/>
  <c r="E2441" i="19"/>
  <c r="E2451" i="19"/>
  <c r="E2460" i="19"/>
  <c r="E28" i="19"/>
  <c r="E134" i="19"/>
  <c r="E166" i="19"/>
  <c r="E150" i="19"/>
  <c r="E158" i="19"/>
  <c r="E167" i="19"/>
  <c r="E187" i="19"/>
  <c r="E242" i="19"/>
  <c r="E511" i="19"/>
  <c r="E535" i="19"/>
  <c r="E544" i="19"/>
  <c r="E561" i="19"/>
  <c r="E601" i="19"/>
  <c r="E615" i="19"/>
  <c r="E646" i="19"/>
  <c r="E658" i="19"/>
  <c r="E672" i="19"/>
  <c r="E689" i="19"/>
  <c r="E252" i="19"/>
  <c r="E311" i="19"/>
  <c r="E355" i="19"/>
  <c r="E437" i="19"/>
  <c r="E764" i="19"/>
  <c r="E699" i="19"/>
  <c r="E1653" i="19"/>
  <c r="E1804" i="19"/>
  <c r="E1857" i="19"/>
  <c r="E1910" i="19"/>
  <c r="E1946" i="19"/>
  <c r="E2010" i="19"/>
  <c r="E2062" i="19"/>
  <c r="E2122" i="19"/>
  <c r="E2173" i="19"/>
  <c r="E2214" i="19"/>
  <c r="E2254" i="19"/>
  <c r="E2306" i="19"/>
  <c r="E2357" i="19"/>
  <c r="E2410" i="19"/>
  <c r="E2458" i="19"/>
  <c r="E156" i="19"/>
  <c r="E201" i="19"/>
  <c r="E599" i="19"/>
  <c r="E669" i="19"/>
  <c r="E129" i="19"/>
  <c r="E254" i="19"/>
  <c r="E275" i="19"/>
  <c r="E309" i="19"/>
  <c r="E339" i="19"/>
  <c r="E359" i="19"/>
  <c r="E399" i="19"/>
  <c r="E495" i="19"/>
  <c r="E710" i="19"/>
  <c r="E720" i="19"/>
  <c r="E749" i="19"/>
  <c r="E703" i="19"/>
  <c r="E800" i="19"/>
  <c r="E1636" i="19"/>
  <c r="E1661" i="19"/>
  <c r="E1738" i="19"/>
  <c r="E1750" i="19"/>
  <c r="E1784" i="19"/>
  <c r="E1817" i="19"/>
  <c r="E1849" i="19"/>
  <c r="E2023" i="19"/>
  <c r="E231" i="19"/>
  <c r="E247" i="19"/>
  <c r="E258" i="19"/>
  <c r="E267" i="19"/>
  <c r="E277" i="19"/>
  <c r="E289" i="19"/>
  <c r="E301" i="19"/>
  <c r="E308" i="19"/>
  <c r="E321" i="19"/>
  <c r="E331" i="19"/>
  <c r="E340" i="19"/>
  <c r="E350" i="19"/>
  <c r="E358" i="19"/>
  <c r="E369" i="19"/>
  <c r="E379" i="19"/>
  <c r="E400" i="19"/>
  <c r="E471" i="19"/>
  <c r="E481" i="19"/>
  <c r="E496" i="19"/>
  <c r="E756" i="19"/>
  <c r="E712" i="19"/>
  <c r="E721" i="19"/>
  <c r="E731" i="19"/>
  <c r="E740" i="19"/>
  <c r="E750" i="19"/>
  <c r="E704" i="19"/>
  <c r="E801" i="19"/>
  <c r="E859" i="19"/>
  <c r="E1637" i="19"/>
  <c r="E1647" i="19"/>
  <c r="E1656" i="19"/>
  <c r="E1739" i="19"/>
  <c r="E1751" i="19"/>
  <c r="E1772" i="19"/>
  <c r="E1786" i="19"/>
  <c r="E1797" i="19"/>
  <c r="E1808" i="19"/>
  <c r="E1818" i="19"/>
  <c r="E1829" i="19"/>
  <c r="E1840" i="19"/>
  <c r="E1850" i="19"/>
  <c r="E1861" i="19"/>
  <c r="E1871" i="19"/>
  <c r="E1882" i="19"/>
  <c r="E1893" i="19"/>
  <c r="E1903" i="19"/>
  <c r="E1914" i="19"/>
  <c r="E1925" i="19"/>
  <c r="E806" i="19"/>
  <c r="E1939" i="19"/>
  <c r="E1950" i="19"/>
  <c r="E1961" i="19"/>
  <c r="E1971" i="19"/>
  <c r="E1982" i="19"/>
  <c r="E1993" i="19"/>
  <c r="E2003" i="19"/>
  <c r="E2014" i="19"/>
  <c r="E2025" i="19"/>
  <c r="E2035" i="19"/>
  <c r="E2046" i="19"/>
  <c r="E2051" i="19"/>
  <c r="E2066" i="19"/>
  <c r="E2076" i="19"/>
  <c r="E2086" i="19"/>
  <c r="E2096" i="19"/>
  <c r="E2106" i="19"/>
  <c r="E2116" i="19"/>
  <c r="E2125" i="19"/>
  <c r="E2136" i="19"/>
  <c r="E2146" i="19"/>
  <c r="E2157" i="19"/>
  <c r="E2167" i="19"/>
  <c r="E2176" i="19"/>
  <c r="E2186" i="19"/>
  <c r="E2197" i="19"/>
  <c r="E2208" i="19"/>
  <c r="E2218" i="19"/>
  <c r="E2228" i="19"/>
  <c r="E2237" i="19"/>
  <c r="E2247" i="19"/>
  <c r="E2258" i="19"/>
  <c r="E2268" i="19"/>
  <c r="E2279" i="19"/>
  <c r="E2290" i="19"/>
  <c r="E2300" i="19"/>
  <c r="E2309" i="19"/>
  <c r="E2319" i="19"/>
  <c r="E2329" i="19"/>
  <c r="E2340" i="19"/>
  <c r="E2350" i="19"/>
  <c r="E2361" i="19"/>
  <c r="E2372" i="19"/>
  <c r="E2382" i="19"/>
  <c r="E2393" i="19"/>
  <c r="E2404" i="19"/>
  <c r="E2414" i="19"/>
  <c r="E2423" i="19"/>
  <c r="E2433" i="19"/>
  <c r="E2442" i="19"/>
  <c r="E2452" i="19"/>
  <c r="E2462" i="19"/>
  <c r="E29" i="19"/>
  <c r="E193" i="19"/>
  <c r="E170" i="19"/>
  <c r="E147" i="19"/>
  <c r="E161" i="19"/>
  <c r="E171" i="19"/>
  <c r="E188" i="19"/>
  <c r="E239" i="19"/>
  <c r="E512" i="19"/>
  <c r="E536" i="19"/>
  <c r="E545" i="19"/>
  <c r="E562" i="19"/>
  <c r="E604" i="19"/>
  <c r="E616" i="19"/>
  <c r="E647" i="19"/>
  <c r="E659" i="19"/>
  <c r="E673" i="19"/>
  <c r="E690" i="19"/>
  <c r="E244" i="19"/>
  <c r="E296" i="19"/>
  <c r="E337" i="19"/>
  <c r="E397" i="19"/>
  <c r="E477" i="19"/>
  <c r="E708" i="19"/>
  <c r="E746" i="19"/>
  <c r="E1633" i="19"/>
  <c r="E1769" i="19"/>
  <c r="E1825" i="19"/>
  <c r="E1867" i="19"/>
  <c r="E1899" i="19"/>
  <c r="E1934" i="19"/>
  <c r="E1978" i="19"/>
  <c r="E2031" i="19"/>
  <c r="E2072" i="19"/>
  <c r="E2112" i="19"/>
  <c r="E2153" i="19"/>
  <c r="E2193" i="19"/>
  <c r="E2234" i="19"/>
  <c r="E2275" i="19"/>
  <c r="E2325" i="19"/>
  <c r="E2378" i="19"/>
  <c r="E2420" i="19"/>
  <c r="E2439" i="19"/>
  <c r="E131" i="19"/>
  <c r="E185" i="19"/>
  <c r="E550" i="19"/>
  <c r="E656" i="19"/>
  <c r="E246" i="19"/>
  <c r="E265" i="19"/>
  <c r="E287" i="19"/>
  <c r="E299" i="19"/>
  <c r="E329" i="19"/>
  <c r="E349" i="19"/>
  <c r="E368" i="19"/>
  <c r="E377" i="19"/>
  <c r="E479" i="19"/>
  <c r="E755" i="19"/>
  <c r="E739" i="19"/>
  <c r="E857" i="19"/>
  <c r="E1796" i="19"/>
  <c r="E2057" i="19"/>
  <c r="E237" i="19"/>
  <c r="E248" i="19"/>
  <c r="E259" i="19"/>
  <c r="E268" i="19"/>
  <c r="E278" i="19"/>
  <c r="E290" i="19"/>
  <c r="E304" i="19"/>
  <c r="E313" i="19"/>
  <c r="E322" i="19"/>
  <c r="E332" i="19"/>
  <c r="E341" i="19"/>
  <c r="E351" i="19"/>
  <c r="E361" i="19"/>
  <c r="E370" i="19"/>
  <c r="E380" i="19"/>
  <c r="E401" i="19"/>
  <c r="E433" i="19"/>
  <c r="E472" i="19"/>
  <c r="E482" i="19"/>
  <c r="E497" i="19"/>
  <c r="E760" i="19"/>
  <c r="E757" i="19"/>
  <c r="E713" i="19"/>
  <c r="E722" i="19"/>
  <c r="E732" i="19"/>
  <c r="E742" i="19"/>
  <c r="E751" i="19"/>
  <c r="E794" i="19"/>
  <c r="E802" i="19"/>
  <c r="E860" i="19"/>
  <c r="E1638" i="19"/>
  <c r="E1651" i="19"/>
  <c r="E1640" i="19"/>
  <c r="E1741" i="19"/>
  <c r="E1753" i="19"/>
  <c r="E1773" i="19"/>
  <c r="E1787" i="19"/>
  <c r="E1798" i="19"/>
  <c r="E1809" i="19"/>
  <c r="E1820" i="19"/>
  <c r="E1830" i="19"/>
  <c r="E1841" i="19"/>
  <c r="E1851" i="19"/>
  <c r="E1862" i="19"/>
  <c r="E1873" i="19"/>
  <c r="E1883" i="19"/>
  <c r="E1894" i="19"/>
  <c r="E1905" i="19"/>
  <c r="E1915" i="19"/>
  <c r="E1926" i="19"/>
  <c r="E790" i="19"/>
  <c r="E1941" i="19"/>
  <c r="E1951" i="19"/>
  <c r="E1962" i="19"/>
  <c r="E1973" i="19"/>
  <c r="E1983" i="19"/>
  <c r="E1994" i="19"/>
  <c r="E2005" i="19"/>
  <c r="E2015" i="19"/>
  <c r="E2026" i="19"/>
  <c r="E2037" i="19"/>
  <c r="E2047" i="19"/>
  <c r="E2056" i="19"/>
  <c r="E2067" i="19"/>
  <c r="E2077" i="19"/>
  <c r="E2087" i="19"/>
  <c r="E2097" i="19"/>
  <c r="E2107" i="19"/>
  <c r="E2117" i="19"/>
  <c r="E2126" i="19"/>
  <c r="E2137" i="19"/>
  <c r="E2148" i="19"/>
  <c r="E2158" i="19"/>
  <c r="E2168" i="19"/>
  <c r="E2178" i="19"/>
  <c r="E2188" i="19"/>
  <c r="E2198" i="19"/>
  <c r="E2209" i="19"/>
  <c r="E2219" i="19"/>
  <c r="E2229" i="19"/>
  <c r="E2238" i="19"/>
  <c r="E2248" i="19"/>
  <c r="E2259" i="19"/>
  <c r="E2270" i="19"/>
  <c r="E2280" i="19"/>
  <c r="E2291" i="19"/>
  <c r="E2301" i="19"/>
  <c r="E2310" i="19"/>
  <c r="E2320" i="19"/>
  <c r="E2330" i="19"/>
  <c r="E2341" i="19"/>
  <c r="E2352" i="19"/>
  <c r="E2362" i="19"/>
  <c r="E2373" i="19"/>
  <c r="E2384" i="19"/>
  <c r="E2394" i="19"/>
  <c r="E2405" i="19"/>
  <c r="E2415" i="19"/>
  <c r="E2424" i="19"/>
  <c r="E2434" i="19"/>
  <c r="E2444" i="19"/>
  <c r="E2453" i="19"/>
  <c r="E2463" i="19"/>
  <c r="E125" i="19"/>
  <c r="E195" i="19"/>
  <c r="E174" i="19"/>
  <c r="E144" i="19"/>
  <c r="E165" i="19"/>
  <c r="E175" i="19"/>
  <c r="E189" i="19"/>
  <c r="E255" i="19"/>
  <c r="E513" i="19"/>
  <c r="E537" i="19"/>
  <c r="E546" i="19"/>
  <c r="E592" i="19"/>
  <c r="E605" i="19"/>
  <c r="E597" i="19"/>
  <c r="E648" i="19"/>
  <c r="E660" i="19"/>
  <c r="E675" i="19"/>
  <c r="E691" i="19"/>
  <c r="E2369" i="19"/>
  <c r="E2380" i="19"/>
  <c r="E2390" i="19"/>
  <c r="E2401" i="19"/>
  <c r="E2411" i="19"/>
  <c r="E2421" i="19"/>
  <c r="E2430" i="19"/>
  <c r="E2440" i="19"/>
  <c r="E2450" i="19"/>
  <c r="E2459" i="19"/>
  <c r="E27" i="19"/>
  <c r="E133" i="19"/>
  <c r="E162" i="19"/>
  <c r="E153" i="19"/>
  <c r="E155" i="19"/>
  <c r="E163" i="19"/>
  <c r="E186" i="19"/>
  <c r="E238" i="19"/>
  <c r="E510" i="19"/>
  <c r="E534" i="19"/>
  <c r="E543" i="19"/>
  <c r="E551" i="19"/>
  <c r="E600" i="19"/>
  <c r="E614" i="19"/>
  <c r="E645" i="19"/>
  <c r="E657" i="19"/>
  <c r="E671" i="19"/>
  <c r="E681" i="19"/>
  <c r="S2547" i="19"/>
  <c r="R2547" i="19"/>
  <c r="Q2547" i="19"/>
  <c r="S2547" i="1"/>
  <c r="R2547" i="1"/>
  <c r="Q2547" i="1"/>
  <c r="M2545" i="1"/>
  <c r="N2545" i="1" s="1"/>
  <c r="W2545" i="1" s="1"/>
  <c r="M2544" i="1"/>
  <c r="N2544" i="1" s="1"/>
  <c r="W2544" i="1" s="1"/>
  <c r="M2541" i="1"/>
  <c r="N2541" i="1" s="1"/>
  <c r="W2541" i="1" s="1"/>
  <c r="M2540" i="1"/>
  <c r="M2537" i="1"/>
  <c r="N2537" i="1" s="1"/>
  <c r="W2537" i="1" s="1"/>
  <c r="M2536" i="1"/>
  <c r="N2536" i="1" s="1"/>
  <c r="W2536" i="1" s="1"/>
  <c r="M2533" i="1"/>
  <c r="N2533" i="1" s="1"/>
  <c r="W2533" i="1" s="1"/>
  <c r="M2529" i="1"/>
  <c r="N2529" i="1" s="1"/>
  <c r="W2529" i="1" s="1"/>
  <c r="M2528" i="1"/>
  <c r="N2528" i="1" s="1"/>
  <c r="W2528" i="1" s="1"/>
  <c r="M2527" i="1"/>
  <c r="M2525" i="1"/>
  <c r="M2524" i="1"/>
  <c r="M2521" i="1"/>
  <c r="N2521" i="1" s="1"/>
  <c r="W2521" i="1" s="1"/>
  <c r="M2520" i="1"/>
  <c r="N2520" i="1" s="1"/>
  <c r="W2520" i="1" s="1"/>
  <c r="M2519" i="1"/>
  <c r="M2517" i="1"/>
  <c r="N2517" i="1" s="1"/>
  <c r="W2517" i="1" s="1"/>
  <c r="M2508" i="1"/>
  <c r="T2547" i="32" l="1"/>
  <c r="T2547" i="31"/>
  <c r="Y2544" i="32"/>
  <c r="Y2528" i="32"/>
  <c r="Y2545" i="32"/>
  <c r="Y2533" i="32"/>
  <c r="Y2517" i="32"/>
  <c r="Y2520" i="32"/>
  <c r="Y2536" i="32"/>
  <c r="Y2537" i="32"/>
  <c r="Y2521" i="32"/>
  <c r="Y2529" i="32"/>
  <c r="Y2541" i="32"/>
  <c r="Y2528" i="31"/>
  <c r="Y2545" i="31"/>
  <c r="Y2517" i="31"/>
  <c r="Y2529" i="31"/>
  <c r="Y2533" i="31"/>
  <c r="Y2520" i="31"/>
  <c r="Y2536" i="31"/>
  <c r="Y2537" i="31"/>
  <c r="Y2521" i="31"/>
  <c r="Y2541" i="31"/>
  <c r="Y2544" i="31"/>
  <c r="T2547" i="19"/>
  <c r="S2533" i="1"/>
  <c r="R2533" i="1"/>
  <c r="Q2533" i="1"/>
  <c r="S2520" i="1"/>
  <c r="R2520" i="1"/>
  <c r="Q2520" i="1"/>
  <c r="S2528" i="1"/>
  <c r="R2528" i="1"/>
  <c r="Q2528" i="1"/>
  <c r="S2536" i="1"/>
  <c r="R2536" i="1"/>
  <c r="Q2536" i="1"/>
  <c r="R2521" i="1"/>
  <c r="Q2521" i="1"/>
  <c r="S2521" i="1"/>
  <c r="R2529" i="1"/>
  <c r="Q2529" i="1"/>
  <c r="S2529" i="1"/>
  <c r="S2517" i="1"/>
  <c r="R2517" i="1"/>
  <c r="Q2517" i="1"/>
  <c r="R2537" i="1"/>
  <c r="Q2537" i="1"/>
  <c r="S2537" i="1"/>
  <c r="S2541" i="1"/>
  <c r="R2541" i="1"/>
  <c r="Q2541" i="1"/>
  <c r="R2545" i="1"/>
  <c r="Q2545" i="1"/>
  <c r="S2545" i="1"/>
  <c r="S2544" i="1"/>
  <c r="R2544" i="1"/>
  <c r="Q2544" i="1"/>
  <c r="N2525" i="1"/>
  <c r="W2525" i="1" s="1"/>
  <c r="N2508" i="1"/>
  <c r="W2508" i="1" s="1"/>
  <c r="M2532" i="1"/>
  <c r="N2532" i="1" s="1"/>
  <c r="W2532" i="1" s="1"/>
  <c r="N2524" i="1"/>
  <c r="W2524" i="1" s="1"/>
  <c r="N2540" i="1"/>
  <c r="W2540" i="1" s="1"/>
  <c r="M2535" i="1"/>
  <c r="N2535" i="1" s="1"/>
  <c r="W2535" i="1" s="1"/>
  <c r="M2543" i="1"/>
  <c r="N2543" i="1" s="1"/>
  <c r="W2543" i="1" s="1"/>
  <c r="N2519" i="1"/>
  <c r="W2519" i="1" s="1"/>
  <c r="M2526" i="1"/>
  <c r="N2526" i="1" s="1"/>
  <c r="W2526" i="1" s="1"/>
  <c r="N2527" i="1"/>
  <c r="W2527" i="1" s="1"/>
  <c r="M2534" i="1"/>
  <c r="N2534" i="1" s="1"/>
  <c r="W2534" i="1" s="1"/>
  <c r="M2542" i="1"/>
  <c r="N2542" i="1" s="1"/>
  <c r="W2542" i="1" s="1"/>
  <c r="M2515" i="1"/>
  <c r="N2515" i="1" s="1"/>
  <c r="W2515" i="1" s="1"/>
  <c r="M2523" i="1"/>
  <c r="N2523" i="1" s="1"/>
  <c r="W2523" i="1" s="1"/>
  <c r="M2531" i="1"/>
  <c r="N2531" i="1" s="1"/>
  <c r="W2531" i="1" s="1"/>
  <c r="M2539" i="1"/>
  <c r="N2539" i="1" s="1"/>
  <c r="W2539" i="1" s="1"/>
  <c r="M2522" i="1"/>
  <c r="N2522" i="1" s="1"/>
  <c r="W2522" i="1" s="1"/>
  <c r="M2530" i="1"/>
  <c r="N2530" i="1" s="1"/>
  <c r="W2530" i="1" s="1"/>
  <c r="M2538" i="1"/>
  <c r="N2538" i="1" s="1"/>
  <c r="W2538" i="1" s="1"/>
  <c r="M2546" i="1"/>
  <c r="N2546" i="1" s="1"/>
  <c r="W2546" i="1" s="1"/>
  <c r="Y2531" i="32" l="1"/>
  <c r="Y2527" i="32"/>
  <c r="Y2508" i="32"/>
  <c r="Y2522" i="32"/>
  <c r="Y2525" i="32"/>
  <c r="Y2539" i="32"/>
  <c r="Y2519" i="32"/>
  <c r="T2541" i="32"/>
  <c r="T2533" i="32"/>
  <c r="T2521" i="32"/>
  <c r="Y2543" i="32"/>
  <c r="T2528" i="32"/>
  <c r="Y2515" i="32"/>
  <c r="Y2540" i="32"/>
  <c r="T2545" i="32"/>
  <c r="Y2535" i="32"/>
  <c r="Y2546" i="32"/>
  <c r="Y2524" i="32"/>
  <c r="Y2523" i="32"/>
  <c r="T2544" i="32"/>
  <c r="Y2542" i="32"/>
  <c r="Y2538" i="32"/>
  <c r="Y2534" i="32"/>
  <c r="Y2532" i="32"/>
  <c r="T2520" i="32"/>
  <c r="T2537" i="32"/>
  <c r="Y2530" i="32"/>
  <c r="T2517" i="32"/>
  <c r="Y2526" i="32"/>
  <c r="T2529" i="32"/>
  <c r="T2536" i="32"/>
  <c r="Y2539" i="31"/>
  <c r="Y2523" i="31"/>
  <c r="Y2535" i="31"/>
  <c r="T2544" i="31"/>
  <c r="T2521" i="31"/>
  <c r="T2528" i="31"/>
  <c r="Y2515" i="31"/>
  <c r="Y2540" i="31"/>
  <c r="T2545" i="31"/>
  <c r="Y2542" i="31"/>
  <c r="Y2524" i="31"/>
  <c r="Y2534" i="31"/>
  <c r="Y2532" i="31"/>
  <c r="T2520" i="31"/>
  <c r="Y2538" i="31"/>
  <c r="Y2530" i="31"/>
  <c r="Y2527" i="31"/>
  <c r="Y2508" i="31"/>
  <c r="T2517" i="31"/>
  <c r="Y2526" i="31"/>
  <c r="Y2525" i="31"/>
  <c r="T2529" i="31"/>
  <c r="T2536" i="31"/>
  <c r="Y2522" i="31"/>
  <c r="Y2519" i="31"/>
  <c r="T2541" i="31"/>
  <c r="T2533" i="31"/>
  <c r="Y2546" i="31"/>
  <c r="Y2531" i="31"/>
  <c r="Y2543" i="31"/>
  <c r="T2537" i="31"/>
  <c r="Y2515" i="19"/>
  <c r="S2530" i="1"/>
  <c r="R2530" i="1"/>
  <c r="Q2530" i="1"/>
  <c r="S2534" i="1"/>
  <c r="R2534" i="1"/>
  <c r="Q2534" i="1"/>
  <c r="Q2524" i="1"/>
  <c r="S2524" i="1"/>
  <c r="R2524" i="1"/>
  <c r="T2544" i="19"/>
  <c r="S2538" i="1"/>
  <c r="R2538" i="1"/>
  <c r="Q2538" i="1"/>
  <c r="S2522" i="1"/>
  <c r="R2522" i="1"/>
  <c r="Q2522" i="1"/>
  <c r="S2527" i="1"/>
  <c r="R2527" i="1"/>
  <c r="Q2527" i="1"/>
  <c r="T2521" i="19"/>
  <c r="S2526" i="1"/>
  <c r="R2526" i="1"/>
  <c r="Q2526" i="1"/>
  <c r="T2537" i="19"/>
  <c r="T2528" i="19"/>
  <c r="Q2540" i="1"/>
  <c r="S2540" i="1"/>
  <c r="R2540" i="1"/>
  <c r="S2519" i="1"/>
  <c r="R2519" i="1"/>
  <c r="Q2519" i="1"/>
  <c r="T2536" i="19"/>
  <c r="S2531" i="1"/>
  <c r="R2531" i="1"/>
  <c r="Q2531" i="1"/>
  <c r="S2543" i="1"/>
  <c r="R2543" i="1"/>
  <c r="Q2543" i="1"/>
  <c r="Q2532" i="1"/>
  <c r="S2532" i="1"/>
  <c r="R2532" i="1"/>
  <c r="T2541" i="19"/>
  <c r="T2529" i="19"/>
  <c r="T2533" i="19"/>
  <c r="S2542" i="1"/>
  <c r="R2542" i="1"/>
  <c r="Q2542" i="1"/>
  <c r="S2539" i="1"/>
  <c r="R2539" i="1"/>
  <c r="Q2539" i="1"/>
  <c r="S2523" i="1"/>
  <c r="R2523" i="1"/>
  <c r="Q2523" i="1"/>
  <c r="S2535" i="1"/>
  <c r="R2535" i="1"/>
  <c r="Q2535" i="1"/>
  <c r="Q2508" i="1"/>
  <c r="S2508" i="1"/>
  <c r="R2508" i="1"/>
  <c r="S2525" i="1"/>
  <c r="R2525" i="1"/>
  <c r="Q2525" i="1"/>
  <c r="T2517" i="19"/>
  <c r="T2520" i="19"/>
  <c r="S2546" i="1"/>
  <c r="R2546" i="1"/>
  <c r="Q2546" i="1"/>
  <c r="T2545" i="19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6" i="1"/>
  <c r="J2465" i="1"/>
  <c r="J2464" i="1"/>
  <c r="J2463" i="1"/>
  <c r="J2462" i="1"/>
  <c r="J2460" i="1"/>
  <c r="J2459" i="1"/>
  <c r="J2458" i="1"/>
  <c r="J2457" i="1"/>
  <c r="J2456" i="1"/>
  <c r="J2454" i="1"/>
  <c r="J2453" i="1"/>
  <c r="J2452" i="1"/>
  <c r="J2451" i="1"/>
  <c r="J2450" i="1"/>
  <c r="J2448" i="1"/>
  <c r="J2447" i="1"/>
  <c r="J2446" i="1"/>
  <c r="J2445" i="1"/>
  <c r="J2444" i="1"/>
  <c r="J2442" i="1"/>
  <c r="J2441" i="1"/>
  <c r="J2440" i="1"/>
  <c r="J2439" i="1"/>
  <c r="J2438" i="1"/>
  <c r="J2436" i="1"/>
  <c r="J2435" i="1"/>
  <c r="J2434" i="1"/>
  <c r="J2433" i="1"/>
  <c r="J2432" i="1"/>
  <c r="J2430" i="1"/>
  <c r="J2429" i="1"/>
  <c r="J2428" i="1"/>
  <c r="J2427" i="1"/>
  <c r="J2426" i="1"/>
  <c r="J2424" i="1"/>
  <c r="J2423" i="1"/>
  <c r="J2422" i="1"/>
  <c r="J2421" i="1"/>
  <c r="J2420" i="1"/>
  <c r="J2418" i="1"/>
  <c r="J2417" i="1"/>
  <c r="J2416" i="1"/>
  <c r="J2415" i="1"/>
  <c r="J2414" i="1"/>
  <c r="J2412" i="1"/>
  <c r="J2411" i="1"/>
  <c r="J2410" i="1"/>
  <c r="J2409" i="1"/>
  <c r="J2408" i="1"/>
  <c r="J2406" i="1"/>
  <c r="J2405" i="1"/>
  <c r="J2404" i="1"/>
  <c r="J2402" i="1"/>
  <c r="J2401" i="1"/>
  <c r="J2400" i="1"/>
  <c r="J2398" i="1"/>
  <c r="J2397" i="1"/>
  <c r="J2396" i="1"/>
  <c r="J2394" i="1"/>
  <c r="J2393" i="1"/>
  <c r="J2392" i="1"/>
  <c r="J2390" i="1"/>
  <c r="J2389" i="1"/>
  <c r="J2388" i="1"/>
  <c r="J2386" i="1"/>
  <c r="J2385" i="1"/>
  <c r="J2384" i="1"/>
  <c r="J2382" i="1"/>
  <c r="J2381" i="1"/>
  <c r="J2380" i="1"/>
  <c r="J2378" i="1"/>
  <c r="J2377" i="1"/>
  <c r="J2376" i="1"/>
  <c r="J2374" i="1"/>
  <c r="J2373" i="1"/>
  <c r="J2372" i="1"/>
  <c r="J2370" i="1"/>
  <c r="J2369" i="1"/>
  <c r="J2368" i="1"/>
  <c r="J2366" i="1"/>
  <c r="J2365" i="1"/>
  <c r="J2364" i="1"/>
  <c r="J2362" i="1"/>
  <c r="J2361" i="1"/>
  <c r="J2360" i="1"/>
  <c r="J2358" i="1"/>
  <c r="J2357" i="1"/>
  <c r="J2356" i="1"/>
  <c r="J2354" i="1"/>
  <c r="J2353" i="1"/>
  <c r="J2352" i="1"/>
  <c r="J2350" i="1"/>
  <c r="J2349" i="1"/>
  <c r="J2348" i="1"/>
  <c r="J2346" i="1"/>
  <c r="J2345" i="1"/>
  <c r="J2344" i="1"/>
  <c r="J2342" i="1"/>
  <c r="J2341" i="1"/>
  <c r="J2340" i="1"/>
  <c r="J2338" i="1"/>
  <c r="J2337" i="1"/>
  <c r="J2336" i="1"/>
  <c r="J2334" i="1"/>
  <c r="J2333" i="1"/>
  <c r="J2332" i="1"/>
  <c r="J2330" i="1"/>
  <c r="J2329" i="1"/>
  <c r="J2328" i="1"/>
  <c r="J2326" i="1"/>
  <c r="J2325" i="1"/>
  <c r="J2324" i="1"/>
  <c r="J2322" i="1"/>
  <c r="J2321" i="1"/>
  <c r="J2320" i="1"/>
  <c r="J2319" i="1"/>
  <c r="J2318" i="1"/>
  <c r="J2316" i="1"/>
  <c r="J2315" i="1"/>
  <c r="J2314" i="1"/>
  <c r="J2313" i="1"/>
  <c r="J2312" i="1"/>
  <c r="J2310" i="1"/>
  <c r="J2309" i="1"/>
  <c r="J2308" i="1"/>
  <c r="J2307" i="1"/>
  <c r="J2306" i="1"/>
  <c r="J2304" i="1"/>
  <c r="J2303" i="1"/>
  <c r="J2302" i="1"/>
  <c r="J2301" i="1"/>
  <c r="J2300" i="1"/>
  <c r="J2298" i="1"/>
  <c r="J2297" i="1"/>
  <c r="J2296" i="1"/>
  <c r="J2295" i="1"/>
  <c r="J2294" i="1"/>
  <c r="J2292" i="1"/>
  <c r="J2291" i="1"/>
  <c r="J2290" i="1"/>
  <c r="J2288" i="1"/>
  <c r="J2287" i="1"/>
  <c r="J2286" i="1"/>
  <c r="J2284" i="1"/>
  <c r="J2283" i="1"/>
  <c r="J2282" i="1"/>
  <c r="J2280" i="1"/>
  <c r="J2279" i="1"/>
  <c r="J2278" i="1"/>
  <c r="J2276" i="1"/>
  <c r="J2275" i="1"/>
  <c r="J2274" i="1"/>
  <c r="J2272" i="1"/>
  <c r="J2271" i="1"/>
  <c r="J2270" i="1"/>
  <c r="J2268" i="1"/>
  <c r="J2267" i="1"/>
  <c r="J2266" i="1"/>
  <c r="J2264" i="1"/>
  <c r="J2263" i="1"/>
  <c r="J2262" i="1"/>
  <c r="J2260" i="1"/>
  <c r="J2259" i="1"/>
  <c r="J2258" i="1"/>
  <c r="J2256" i="1"/>
  <c r="J2255" i="1"/>
  <c r="J2254" i="1"/>
  <c r="J2252" i="1"/>
  <c r="J2251" i="1"/>
  <c r="J2250" i="1"/>
  <c r="J2248" i="1"/>
  <c r="J2247" i="1"/>
  <c r="J2246" i="1"/>
  <c r="J2244" i="1"/>
  <c r="J2243" i="1"/>
  <c r="J2242" i="1"/>
  <c r="J2241" i="1"/>
  <c r="J2240" i="1"/>
  <c r="J2238" i="1"/>
  <c r="J2237" i="1"/>
  <c r="J2236" i="1"/>
  <c r="J2235" i="1"/>
  <c r="J2234" i="1"/>
  <c r="J2232" i="1"/>
  <c r="J2231" i="1"/>
  <c r="J2230" i="1"/>
  <c r="J2229" i="1"/>
  <c r="J2228" i="1"/>
  <c r="J2226" i="1"/>
  <c r="J2225" i="1"/>
  <c r="J2224" i="1"/>
  <c r="J2223" i="1"/>
  <c r="J2222" i="1"/>
  <c r="J2220" i="1"/>
  <c r="J2219" i="1"/>
  <c r="J2218" i="1"/>
  <c r="J2217" i="1"/>
  <c r="J2216" i="1"/>
  <c r="J2214" i="1"/>
  <c r="J2213" i="1"/>
  <c r="J2212" i="1"/>
  <c r="J2210" i="1"/>
  <c r="J2209" i="1"/>
  <c r="J2208" i="1"/>
  <c r="J2206" i="1"/>
  <c r="J2205" i="1"/>
  <c r="J2204" i="1"/>
  <c r="J2202" i="1"/>
  <c r="J2201" i="1"/>
  <c r="J2200" i="1"/>
  <c r="J2198" i="1"/>
  <c r="J2197" i="1"/>
  <c r="J2196" i="1"/>
  <c r="J2194" i="1"/>
  <c r="J2193" i="1"/>
  <c r="J2192" i="1"/>
  <c r="J2190" i="1"/>
  <c r="J2189" i="1"/>
  <c r="J2188" i="1"/>
  <c r="J2186" i="1"/>
  <c r="J2185" i="1"/>
  <c r="J2184" i="1"/>
  <c r="J2182" i="1"/>
  <c r="J2181" i="1"/>
  <c r="J2180" i="1"/>
  <c r="J2179" i="1"/>
  <c r="J2178" i="1"/>
  <c r="J2176" i="1"/>
  <c r="J2175" i="1"/>
  <c r="J2174" i="1"/>
  <c r="J2173" i="1"/>
  <c r="J2172" i="1"/>
  <c r="J2170" i="1"/>
  <c r="J2169" i="1"/>
  <c r="J2168" i="1"/>
  <c r="J2167" i="1"/>
  <c r="J2166" i="1"/>
  <c r="J2164" i="1"/>
  <c r="J2163" i="1"/>
  <c r="J2162" i="1"/>
  <c r="J2161" i="1"/>
  <c r="J2160" i="1"/>
  <c r="J2158" i="1"/>
  <c r="J2157" i="1"/>
  <c r="J2156" i="1"/>
  <c r="J2154" i="1"/>
  <c r="J2153" i="1"/>
  <c r="J2152" i="1"/>
  <c r="J2150" i="1"/>
  <c r="J2149" i="1"/>
  <c r="J2148" i="1"/>
  <c r="J2146" i="1"/>
  <c r="J2145" i="1"/>
  <c r="J2144" i="1"/>
  <c r="J2142" i="1"/>
  <c r="J2141" i="1"/>
  <c r="J2140" i="1"/>
  <c r="J2138" i="1"/>
  <c r="J2137" i="1"/>
  <c r="J2136" i="1"/>
  <c r="J2134" i="1"/>
  <c r="J2133" i="1"/>
  <c r="J2132" i="1"/>
  <c r="J2130" i="1"/>
  <c r="J2129" i="1"/>
  <c r="J2128" i="1"/>
  <c r="J2126" i="1"/>
  <c r="J2125" i="1"/>
  <c r="J2124" i="1"/>
  <c r="J2123" i="1"/>
  <c r="J2122" i="1"/>
  <c r="J2120" i="1"/>
  <c r="J2119" i="1"/>
  <c r="J2118" i="1"/>
  <c r="J2117" i="1"/>
  <c r="J2116" i="1"/>
  <c r="J2114" i="1"/>
  <c r="J2113" i="1"/>
  <c r="J2112" i="1"/>
  <c r="J2111" i="1"/>
  <c r="J2110" i="1"/>
  <c r="J2108" i="1"/>
  <c r="J2107" i="1"/>
  <c r="J2106" i="1"/>
  <c r="J2105" i="1"/>
  <c r="J2104" i="1"/>
  <c r="J2102" i="1"/>
  <c r="J2101" i="1"/>
  <c r="J2100" i="1"/>
  <c r="J2099" i="1"/>
  <c r="J2097" i="1"/>
  <c r="J2096" i="1"/>
  <c r="J2095" i="1"/>
  <c r="J2094" i="1"/>
  <c r="J2092" i="1"/>
  <c r="J2091" i="1"/>
  <c r="J2090" i="1"/>
  <c r="J2089" i="1"/>
  <c r="J2087" i="1"/>
  <c r="J2086" i="1"/>
  <c r="J2085" i="1"/>
  <c r="J2084" i="1"/>
  <c r="J2082" i="1"/>
  <c r="J2081" i="1"/>
  <c r="J2080" i="1"/>
  <c r="J2079" i="1"/>
  <c r="J2077" i="1"/>
  <c r="J2076" i="1"/>
  <c r="J2075" i="1"/>
  <c r="J2074" i="1"/>
  <c r="J2072" i="1"/>
  <c r="J2071" i="1"/>
  <c r="J2070" i="1"/>
  <c r="J2069" i="1"/>
  <c r="J2067" i="1"/>
  <c r="J2066" i="1"/>
  <c r="J2065" i="1"/>
  <c r="J2064" i="1"/>
  <c r="J2062" i="1"/>
  <c r="J2061" i="1"/>
  <c r="J2060" i="1"/>
  <c r="J2059" i="1"/>
  <c r="J2057" i="1"/>
  <c r="J2056" i="1"/>
  <c r="J2055" i="1"/>
  <c r="J2054" i="1"/>
  <c r="J2052" i="1"/>
  <c r="J2051" i="1"/>
  <c r="J2050" i="1"/>
  <c r="J2049" i="1"/>
  <c r="J2047" i="1"/>
  <c r="J2046" i="1"/>
  <c r="J2045" i="1"/>
  <c r="J2043" i="1"/>
  <c r="J2042" i="1"/>
  <c r="J2041" i="1"/>
  <c r="J2039" i="1"/>
  <c r="J2038" i="1"/>
  <c r="J2037" i="1"/>
  <c r="J2035" i="1"/>
  <c r="J2034" i="1"/>
  <c r="J2033" i="1"/>
  <c r="J2031" i="1"/>
  <c r="J2030" i="1"/>
  <c r="J2029" i="1"/>
  <c r="J2027" i="1"/>
  <c r="J2026" i="1"/>
  <c r="J2025" i="1"/>
  <c r="J2023" i="1"/>
  <c r="J2022" i="1"/>
  <c r="J2021" i="1"/>
  <c r="J2019" i="1"/>
  <c r="J2018" i="1"/>
  <c r="J2017" i="1"/>
  <c r="J2015" i="1"/>
  <c r="J2014" i="1"/>
  <c r="J2013" i="1"/>
  <c r="J2011" i="1"/>
  <c r="J2010" i="1"/>
  <c r="J2009" i="1"/>
  <c r="J2007" i="1"/>
  <c r="J2006" i="1"/>
  <c r="J2005" i="1"/>
  <c r="J2003" i="1"/>
  <c r="J2002" i="1"/>
  <c r="J2001" i="1"/>
  <c r="J1999" i="1"/>
  <c r="J1998" i="1"/>
  <c r="J1997" i="1"/>
  <c r="J1995" i="1"/>
  <c r="J1994" i="1"/>
  <c r="J1993" i="1"/>
  <c r="J1991" i="1"/>
  <c r="J1990" i="1"/>
  <c r="J1989" i="1"/>
  <c r="J1987" i="1"/>
  <c r="J1986" i="1"/>
  <c r="J1985" i="1"/>
  <c r="J1983" i="1"/>
  <c r="J1982" i="1"/>
  <c r="J1981" i="1"/>
  <c r="J1979" i="1"/>
  <c r="J1978" i="1"/>
  <c r="J1977" i="1"/>
  <c r="J1975" i="1"/>
  <c r="J1974" i="1"/>
  <c r="J1973" i="1"/>
  <c r="J1971" i="1"/>
  <c r="J1970" i="1"/>
  <c r="J1969" i="1"/>
  <c r="J1967" i="1"/>
  <c r="J1966" i="1"/>
  <c r="J1965" i="1"/>
  <c r="J1963" i="1"/>
  <c r="J1962" i="1"/>
  <c r="J1959" i="1"/>
  <c r="J1958" i="1"/>
  <c r="J1957" i="1"/>
  <c r="J1955" i="1"/>
  <c r="J1954" i="1"/>
  <c r="J1953" i="1"/>
  <c r="J1951" i="1"/>
  <c r="J1950" i="1"/>
  <c r="J1949" i="1"/>
  <c r="J1947" i="1"/>
  <c r="J1946" i="1"/>
  <c r="J1945" i="1"/>
  <c r="J1943" i="1"/>
  <c r="J1942" i="1"/>
  <c r="J1939" i="1"/>
  <c r="J1938" i="1"/>
  <c r="J1937" i="1"/>
  <c r="J1935" i="1"/>
  <c r="J1934" i="1"/>
  <c r="J1933" i="1"/>
  <c r="J1931" i="1"/>
  <c r="J1930" i="1"/>
  <c r="J1929" i="1"/>
  <c r="J1810" i="1"/>
  <c r="J1809" i="1"/>
  <c r="J1808" i="1"/>
  <c r="J1806" i="1"/>
  <c r="J1805" i="1"/>
  <c r="J1804" i="1"/>
  <c r="J1802" i="1"/>
  <c r="J1801" i="1"/>
  <c r="J1800" i="1"/>
  <c r="J1798" i="1"/>
  <c r="J1797" i="1"/>
  <c r="J1796" i="1"/>
  <c r="J1794" i="1"/>
  <c r="J1793" i="1"/>
  <c r="J1792" i="1"/>
  <c r="J1790" i="1"/>
  <c r="J1789" i="1"/>
  <c r="J1787" i="1"/>
  <c r="J1786" i="1"/>
  <c r="J1784" i="1"/>
  <c r="J1783" i="1"/>
  <c r="J1771" i="1"/>
  <c r="J1770" i="1"/>
  <c r="J1769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564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L275" i="19"/>
  <c r="M271" i="19"/>
  <c r="L776" i="19"/>
  <c r="L770" i="19"/>
  <c r="L764" i="19"/>
  <c r="L758" i="19"/>
  <c r="L752" i="19"/>
  <c r="L746" i="19"/>
  <c r="L740" i="19"/>
  <c r="L734" i="19"/>
  <c r="L728" i="19"/>
  <c r="L722" i="19"/>
  <c r="L716" i="19"/>
  <c r="L710" i="19"/>
  <c r="L704" i="19"/>
  <c r="L701" i="19"/>
  <c r="L699" i="19"/>
  <c r="L697" i="19"/>
  <c r="L503" i="19"/>
  <c r="L497" i="19"/>
  <c r="L485" i="19"/>
  <c r="L479" i="19"/>
  <c r="L473" i="19"/>
  <c r="L437" i="19"/>
  <c r="L431" i="19"/>
  <c r="L425" i="19"/>
  <c r="L407" i="19"/>
  <c r="L401" i="19"/>
  <c r="L383" i="19"/>
  <c r="L377" i="19"/>
  <c r="L371" i="19"/>
  <c r="L365" i="19"/>
  <c r="L359" i="19"/>
  <c r="L353" i="19"/>
  <c r="L347" i="19"/>
  <c r="L341" i="19"/>
  <c r="L335" i="19"/>
  <c r="L329" i="19"/>
  <c r="L323" i="19"/>
  <c r="L317" i="19"/>
  <c r="L311" i="19"/>
  <c r="L305" i="19"/>
  <c r="L302" i="19"/>
  <c r="L299" i="19"/>
  <c r="L296" i="19"/>
  <c r="L293" i="19"/>
  <c r="L290" i="19"/>
  <c r="L287" i="19"/>
  <c r="L284" i="19"/>
  <c r="L281" i="19"/>
  <c r="L278" i="19"/>
  <c r="L270" i="19"/>
  <c r="L265" i="19"/>
  <c r="L260" i="19"/>
  <c r="L237" i="19"/>
  <c r="L235" i="19"/>
  <c r="L233" i="19"/>
  <c r="L231" i="19"/>
  <c r="M703" i="19"/>
  <c r="M702" i="19"/>
  <c r="M700" i="19"/>
  <c r="M698" i="19"/>
  <c r="M696" i="19"/>
  <c r="M502" i="19"/>
  <c r="M501" i="19"/>
  <c r="M500" i="19"/>
  <c r="M499" i="19"/>
  <c r="M498" i="19"/>
  <c r="M496" i="19"/>
  <c r="M495" i="19"/>
  <c r="M494" i="19"/>
  <c r="M493" i="19"/>
  <c r="M492" i="19"/>
  <c r="M484" i="19"/>
  <c r="M483" i="19"/>
  <c r="M482" i="19"/>
  <c r="M481" i="19"/>
  <c r="M480" i="19"/>
  <c r="M478" i="19"/>
  <c r="M477" i="19"/>
  <c r="M476" i="19"/>
  <c r="M475" i="19"/>
  <c r="M474" i="19"/>
  <c r="M472" i="19"/>
  <c r="M471" i="19"/>
  <c r="M470" i="19"/>
  <c r="M469" i="19"/>
  <c r="M468" i="19"/>
  <c r="M436" i="19"/>
  <c r="M435" i="19"/>
  <c r="M434" i="19"/>
  <c r="M433" i="19"/>
  <c r="M432" i="19"/>
  <c r="M430" i="19"/>
  <c r="M429" i="19"/>
  <c r="M428" i="19"/>
  <c r="M427" i="19"/>
  <c r="M426" i="19"/>
  <c r="M424" i="19"/>
  <c r="M423" i="19"/>
  <c r="M422" i="19"/>
  <c r="M421" i="19"/>
  <c r="M406" i="19"/>
  <c r="M405" i="19"/>
  <c r="M404" i="19"/>
  <c r="M403" i="19"/>
  <c r="M402" i="19"/>
  <c r="M400" i="19"/>
  <c r="M399" i="19"/>
  <c r="M398" i="19"/>
  <c r="M397" i="19"/>
  <c r="M396" i="19"/>
  <c r="M382" i="19"/>
  <c r="M381" i="19"/>
  <c r="M380" i="19"/>
  <c r="M379" i="19"/>
  <c r="M378" i="19"/>
  <c r="M376" i="19"/>
  <c r="M375" i="19"/>
  <c r="M374" i="19"/>
  <c r="M373" i="19"/>
  <c r="M372" i="19"/>
  <c r="M370" i="19"/>
  <c r="M369" i="19"/>
  <c r="M368" i="19"/>
  <c r="M367" i="19"/>
  <c r="M366" i="19"/>
  <c r="M364" i="19"/>
  <c r="M363" i="19"/>
  <c r="M362" i="19"/>
  <c r="M361" i="19"/>
  <c r="M360" i="19"/>
  <c r="M358" i="19"/>
  <c r="M357" i="19"/>
  <c r="M356" i="19"/>
  <c r="M355" i="19"/>
  <c r="M354" i="19"/>
  <c r="M352" i="19"/>
  <c r="M351" i="19"/>
  <c r="M350" i="19"/>
  <c r="M349" i="19"/>
  <c r="M348" i="19"/>
  <c r="M346" i="19"/>
  <c r="M345" i="19"/>
  <c r="M344" i="19"/>
  <c r="M343" i="19"/>
  <c r="M342" i="19"/>
  <c r="M340" i="19"/>
  <c r="M339" i="19"/>
  <c r="M338" i="19"/>
  <c r="M337" i="19"/>
  <c r="M336" i="19"/>
  <c r="M334" i="19"/>
  <c r="M333" i="19"/>
  <c r="M332" i="19"/>
  <c r="M331" i="19"/>
  <c r="M330" i="19"/>
  <c r="M328" i="19"/>
  <c r="M327" i="19"/>
  <c r="M326" i="19"/>
  <c r="M325" i="19"/>
  <c r="M324" i="19"/>
  <c r="M322" i="19"/>
  <c r="M321" i="19"/>
  <c r="M320" i="19"/>
  <c r="M319" i="19"/>
  <c r="M318" i="19"/>
  <c r="M316" i="19"/>
  <c r="M315" i="19"/>
  <c r="M314" i="19"/>
  <c r="M313" i="19"/>
  <c r="M312" i="19"/>
  <c r="M310" i="19"/>
  <c r="M309" i="19"/>
  <c r="M308" i="19"/>
  <c r="M307" i="19"/>
  <c r="M306" i="19"/>
  <c r="M304" i="19"/>
  <c r="M303" i="19"/>
  <c r="M301" i="19"/>
  <c r="M300" i="19"/>
  <c r="M298" i="19"/>
  <c r="M297" i="19"/>
  <c r="M295" i="19"/>
  <c r="M294" i="19"/>
  <c r="M292" i="19"/>
  <c r="M291" i="19"/>
  <c r="M289" i="19"/>
  <c r="M288" i="19"/>
  <c r="M286" i="19"/>
  <c r="M285" i="19"/>
  <c r="M283" i="19"/>
  <c r="M282" i="19"/>
  <c r="M280" i="19"/>
  <c r="M279" i="19"/>
  <c r="M277" i="19"/>
  <c r="M276" i="19"/>
  <c r="M274" i="19"/>
  <c r="M273" i="19"/>
  <c r="M272" i="19"/>
  <c r="M269" i="19"/>
  <c r="M268" i="19"/>
  <c r="M267" i="19"/>
  <c r="M266" i="19"/>
  <c r="M264" i="19"/>
  <c r="M263" i="19"/>
  <c r="M262" i="19"/>
  <c r="M261" i="19"/>
  <c r="M259" i="19"/>
  <c r="M258" i="19"/>
  <c r="M257" i="19"/>
  <c r="M256" i="19"/>
  <c r="M255" i="19"/>
  <c r="M254" i="19"/>
  <c r="M253" i="19"/>
  <c r="M252" i="19"/>
  <c r="M251" i="19"/>
  <c r="M250" i="19"/>
  <c r="M249" i="19"/>
  <c r="M248" i="19"/>
  <c r="M247" i="19"/>
  <c r="M246" i="19"/>
  <c r="M245" i="19"/>
  <c r="M244" i="19"/>
  <c r="M243" i="19"/>
  <c r="M242" i="19"/>
  <c r="M241" i="19"/>
  <c r="M240" i="19"/>
  <c r="M239" i="19"/>
  <c r="M238" i="19"/>
  <c r="M236" i="19"/>
  <c r="M234" i="19"/>
  <c r="M232" i="19"/>
  <c r="M230" i="19"/>
  <c r="M229" i="19"/>
  <c r="M201" i="19"/>
  <c r="M200" i="19"/>
  <c r="M199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60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70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I47" i="32" l="1"/>
  <c r="I47" i="31"/>
  <c r="I110" i="32"/>
  <c r="I110" i="31"/>
  <c r="I634" i="32"/>
  <c r="I634" i="31"/>
  <c r="I891" i="32"/>
  <c r="I891" i="31"/>
  <c r="I1706" i="32"/>
  <c r="I1706" i="31"/>
  <c r="J1931" i="32"/>
  <c r="J1931" i="31"/>
  <c r="J2009" i="32"/>
  <c r="J2009" i="31"/>
  <c r="J2051" i="32"/>
  <c r="J2051" i="31"/>
  <c r="J2101" i="32"/>
  <c r="J2101" i="31"/>
  <c r="J2141" i="32"/>
  <c r="J2141" i="31"/>
  <c r="J2192" i="32"/>
  <c r="J2192" i="31"/>
  <c r="J2242" i="32"/>
  <c r="J2242" i="31"/>
  <c r="J2295" i="32"/>
  <c r="J2295" i="31"/>
  <c r="J2334" i="32"/>
  <c r="J2334" i="31"/>
  <c r="J2377" i="32"/>
  <c r="J2377" i="31"/>
  <c r="J2438" i="32"/>
  <c r="J2438" i="31"/>
  <c r="J2475" i="32"/>
  <c r="J2475" i="31"/>
  <c r="J2535" i="32"/>
  <c r="J2535" i="31"/>
  <c r="I2532" i="32"/>
  <c r="I2532" i="31"/>
  <c r="I48" i="32"/>
  <c r="I48" i="31"/>
  <c r="I56" i="32"/>
  <c r="I56" i="31"/>
  <c r="I64" i="32"/>
  <c r="I64" i="31"/>
  <c r="I95" i="32"/>
  <c r="I95" i="31"/>
  <c r="I103" i="32"/>
  <c r="I103" i="31"/>
  <c r="I111" i="32"/>
  <c r="I111" i="31"/>
  <c r="I205" i="32"/>
  <c r="I205" i="31"/>
  <c r="I213" i="32"/>
  <c r="I213" i="31"/>
  <c r="I221" i="32"/>
  <c r="I221" i="31"/>
  <c r="I619" i="32"/>
  <c r="I619" i="31"/>
  <c r="I627" i="32"/>
  <c r="I627" i="31"/>
  <c r="I635" i="32"/>
  <c r="I635" i="31"/>
  <c r="I643" i="32"/>
  <c r="I643" i="31"/>
  <c r="I832" i="32"/>
  <c r="I832" i="31"/>
  <c r="I840" i="32"/>
  <c r="I840" i="31"/>
  <c r="I848" i="32"/>
  <c r="I848" i="31"/>
  <c r="I884" i="32"/>
  <c r="I884" i="31"/>
  <c r="I892" i="32"/>
  <c r="I892" i="31"/>
  <c r="I900" i="32"/>
  <c r="I900" i="31"/>
  <c r="I908" i="32"/>
  <c r="I908" i="31"/>
  <c r="I1691" i="32"/>
  <c r="I1691" i="31"/>
  <c r="I1699" i="32"/>
  <c r="I1699" i="31"/>
  <c r="I1707" i="32"/>
  <c r="I1707" i="31"/>
  <c r="I1715" i="32"/>
  <c r="I1715" i="31"/>
  <c r="J1783" i="32"/>
  <c r="J1783" i="31"/>
  <c r="J1794" i="32"/>
  <c r="J1794" i="31"/>
  <c r="J1805" i="32"/>
  <c r="J1805" i="31"/>
  <c r="J1933" i="32"/>
  <c r="J1933" i="31"/>
  <c r="J1945" i="32"/>
  <c r="J1945" i="31"/>
  <c r="J1955" i="32"/>
  <c r="J1955" i="31"/>
  <c r="J1967" i="32"/>
  <c r="J1967" i="31"/>
  <c r="J1978" i="32"/>
  <c r="J1978" i="31"/>
  <c r="J1989" i="32"/>
  <c r="J1989" i="31"/>
  <c r="J1999" i="32"/>
  <c r="J1999" i="31"/>
  <c r="J2010" i="32"/>
  <c r="J2010" i="31"/>
  <c r="J2021" i="32"/>
  <c r="J2021" i="31"/>
  <c r="J2031" i="32"/>
  <c r="J2031" i="31"/>
  <c r="J2042" i="32"/>
  <c r="J2042" i="31"/>
  <c r="J2052" i="32"/>
  <c r="J2052" i="31"/>
  <c r="J2062" i="32"/>
  <c r="J2062" i="31"/>
  <c r="J2072" i="32"/>
  <c r="J2072" i="31"/>
  <c r="J2082" i="32"/>
  <c r="J2082" i="31"/>
  <c r="J2092" i="32"/>
  <c r="J2092" i="31"/>
  <c r="J2102" i="32"/>
  <c r="J2102" i="31"/>
  <c r="J2112" i="32"/>
  <c r="J2112" i="31"/>
  <c r="J2122" i="32"/>
  <c r="J2122" i="31"/>
  <c r="J2132" i="32"/>
  <c r="J2132" i="31"/>
  <c r="J2142" i="32"/>
  <c r="J2142" i="31"/>
  <c r="J2153" i="32"/>
  <c r="J2153" i="31"/>
  <c r="J2163" i="32"/>
  <c r="J2163" i="31"/>
  <c r="J2173" i="32"/>
  <c r="J2173" i="31"/>
  <c r="J2182" i="32"/>
  <c r="J2182" i="31"/>
  <c r="J2193" i="32"/>
  <c r="J2193" i="31"/>
  <c r="J2204" i="32"/>
  <c r="J2204" i="31"/>
  <c r="J2214" i="32"/>
  <c r="J2214" i="31"/>
  <c r="J2224" i="32"/>
  <c r="J2224" i="31"/>
  <c r="J2234" i="32"/>
  <c r="J2234" i="31"/>
  <c r="J2243" i="32"/>
  <c r="J2243" i="31"/>
  <c r="J2254" i="32"/>
  <c r="J2254" i="31"/>
  <c r="J2264" i="32"/>
  <c r="J2264" i="31"/>
  <c r="J2275" i="32"/>
  <c r="J2275" i="31"/>
  <c r="J2286" i="32"/>
  <c r="J2286" i="31"/>
  <c r="J2296" i="32"/>
  <c r="J2296" i="31"/>
  <c r="J2306" i="32"/>
  <c r="J2306" i="31"/>
  <c r="J2315" i="32"/>
  <c r="J2315" i="31"/>
  <c r="J2325" i="32"/>
  <c r="J2325" i="31"/>
  <c r="J2336" i="32"/>
  <c r="J2336" i="31"/>
  <c r="J2346" i="32"/>
  <c r="J2346" i="31"/>
  <c r="J2357" i="32"/>
  <c r="J2357" i="31"/>
  <c r="J2368" i="32"/>
  <c r="J2368" i="31"/>
  <c r="J2378" i="32"/>
  <c r="J2378" i="31"/>
  <c r="J2389" i="32"/>
  <c r="J2389" i="31"/>
  <c r="J2400" i="32"/>
  <c r="J2400" i="31"/>
  <c r="J2410" i="32"/>
  <c r="J2410" i="31"/>
  <c r="J2420" i="32"/>
  <c r="J2420" i="31"/>
  <c r="J2429" i="32"/>
  <c r="J2429" i="31"/>
  <c r="J2439" i="32"/>
  <c r="J2439" i="31"/>
  <c r="J2448" i="32"/>
  <c r="J2448" i="31"/>
  <c r="J2458" i="32"/>
  <c r="J2458" i="31"/>
  <c r="J2476" i="32"/>
  <c r="J2476" i="31"/>
  <c r="J2484" i="32"/>
  <c r="J2484" i="31"/>
  <c r="J2492" i="32"/>
  <c r="J2492" i="31"/>
  <c r="J2520" i="32"/>
  <c r="J2520" i="31"/>
  <c r="J2528" i="32"/>
  <c r="J2528" i="31"/>
  <c r="J2536" i="32"/>
  <c r="J2536" i="31"/>
  <c r="J2544" i="32"/>
  <c r="J2544" i="31"/>
  <c r="I2508" i="32"/>
  <c r="I2508" i="31"/>
  <c r="I2517" i="32"/>
  <c r="I2517" i="31"/>
  <c r="I2525" i="32"/>
  <c r="I2525" i="31"/>
  <c r="I2533" i="32"/>
  <c r="I2533" i="31"/>
  <c r="I2541" i="32"/>
  <c r="I2541" i="31"/>
  <c r="I63" i="32"/>
  <c r="I63" i="31"/>
  <c r="I212" i="32"/>
  <c r="I212" i="31"/>
  <c r="I626" i="32"/>
  <c r="I626" i="31"/>
  <c r="I847" i="32"/>
  <c r="I847" i="31"/>
  <c r="I1690" i="32"/>
  <c r="I1690" i="31"/>
  <c r="J1793" i="32"/>
  <c r="J1793" i="31"/>
  <c r="J1987" i="32"/>
  <c r="J1987" i="31"/>
  <c r="J2041" i="32"/>
  <c r="J2041" i="31"/>
  <c r="J2091" i="32"/>
  <c r="J2091" i="31"/>
  <c r="J2130" i="32"/>
  <c r="J2130" i="31"/>
  <c r="J2181" i="32"/>
  <c r="J2181" i="31"/>
  <c r="J2223" i="32"/>
  <c r="J2223" i="31"/>
  <c r="J2274" i="32"/>
  <c r="J2274" i="31"/>
  <c r="J2314" i="32"/>
  <c r="J2314" i="31"/>
  <c r="J2356" i="32"/>
  <c r="J2356" i="31"/>
  <c r="J2418" i="32"/>
  <c r="J2418" i="31"/>
  <c r="J2457" i="32"/>
  <c r="J2457" i="31"/>
  <c r="J2491" i="32"/>
  <c r="J2491" i="31"/>
  <c r="J2543" i="32"/>
  <c r="J2543" i="31"/>
  <c r="I2524" i="32"/>
  <c r="I2524" i="31"/>
  <c r="I49" i="32"/>
  <c r="I49" i="31"/>
  <c r="I57" i="32"/>
  <c r="I57" i="31"/>
  <c r="I65" i="32"/>
  <c r="I65" i="31"/>
  <c r="I96" i="32"/>
  <c r="I96" i="31"/>
  <c r="I104" i="32"/>
  <c r="I104" i="31"/>
  <c r="I112" i="32"/>
  <c r="I112" i="31"/>
  <c r="I206" i="32"/>
  <c r="I206" i="31"/>
  <c r="I214" i="32"/>
  <c r="I214" i="31"/>
  <c r="I222" i="32"/>
  <c r="I222" i="31"/>
  <c r="I620" i="32"/>
  <c r="I620" i="31"/>
  <c r="I628" i="32"/>
  <c r="I628" i="31"/>
  <c r="I636" i="32"/>
  <c r="I636" i="31"/>
  <c r="I825" i="32"/>
  <c r="I825" i="31"/>
  <c r="I833" i="32"/>
  <c r="I833" i="31"/>
  <c r="I841" i="32"/>
  <c r="I841" i="31"/>
  <c r="I849" i="32"/>
  <c r="I849" i="31"/>
  <c r="I885" i="32"/>
  <c r="I885" i="31"/>
  <c r="I893" i="32"/>
  <c r="I893" i="31"/>
  <c r="I901" i="32"/>
  <c r="I901" i="31"/>
  <c r="I909" i="32"/>
  <c r="I909" i="31"/>
  <c r="I1692" i="32"/>
  <c r="I1692" i="31"/>
  <c r="I1700" i="32"/>
  <c r="I1700" i="31"/>
  <c r="I1708" i="32"/>
  <c r="I1708" i="31"/>
  <c r="I1716" i="32"/>
  <c r="I1716" i="31"/>
  <c r="J1784" i="32"/>
  <c r="J1784" i="31"/>
  <c r="J1796" i="32"/>
  <c r="J1796" i="31"/>
  <c r="J1806" i="32"/>
  <c r="J1806" i="31"/>
  <c r="J1934" i="32"/>
  <c r="J1934" i="31"/>
  <c r="J1946" i="32"/>
  <c r="J1946" i="31"/>
  <c r="J1957" i="32"/>
  <c r="J1957" i="31"/>
  <c r="J1969" i="32"/>
  <c r="J1969" i="31"/>
  <c r="J1979" i="32"/>
  <c r="J1979" i="31"/>
  <c r="J1990" i="32"/>
  <c r="J1990" i="31"/>
  <c r="J2001" i="32"/>
  <c r="J2001" i="31"/>
  <c r="J2011" i="32"/>
  <c r="J2011" i="31"/>
  <c r="J2022" i="32"/>
  <c r="J2022" i="31"/>
  <c r="J2033" i="32"/>
  <c r="J2033" i="31"/>
  <c r="J2043" i="32"/>
  <c r="J2043" i="31"/>
  <c r="J2054" i="32"/>
  <c r="J2054" i="31"/>
  <c r="J2064" i="32"/>
  <c r="J2064" i="31"/>
  <c r="J2074" i="32"/>
  <c r="J2074" i="31"/>
  <c r="J2084" i="32"/>
  <c r="J2084" i="31"/>
  <c r="J2094" i="32"/>
  <c r="J2094" i="31"/>
  <c r="J2104" i="32"/>
  <c r="J2104" i="31"/>
  <c r="J2113" i="32"/>
  <c r="J2113" i="31"/>
  <c r="J2123" i="32"/>
  <c r="J2123" i="31"/>
  <c r="J2133" i="32"/>
  <c r="J2133" i="31"/>
  <c r="J2144" i="32"/>
  <c r="J2144" i="31"/>
  <c r="J2154" i="32"/>
  <c r="J2154" i="31"/>
  <c r="J2164" i="32"/>
  <c r="J2164" i="31"/>
  <c r="J2174" i="32"/>
  <c r="J2174" i="31"/>
  <c r="J2184" i="32"/>
  <c r="J2184" i="31"/>
  <c r="J2194" i="32"/>
  <c r="J2194" i="31"/>
  <c r="J2205" i="32"/>
  <c r="J2205" i="31"/>
  <c r="J2216" i="32"/>
  <c r="J2216" i="31"/>
  <c r="J2225" i="32"/>
  <c r="J2225" i="31"/>
  <c r="J2235" i="32"/>
  <c r="J2235" i="31"/>
  <c r="J2244" i="32"/>
  <c r="J2244" i="31"/>
  <c r="J2255" i="32"/>
  <c r="J2255" i="31"/>
  <c r="J2266" i="32"/>
  <c r="J2266" i="31"/>
  <c r="J2276" i="32"/>
  <c r="J2276" i="31"/>
  <c r="J2287" i="32"/>
  <c r="J2287" i="31"/>
  <c r="J2297" i="32"/>
  <c r="J2297" i="31"/>
  <c r="J2307" i="32"/>
  <c r="J2307" i="31"/>
  <c r="J2316" i="32"/>
  <c r="J2316" i="31"/>
  <c r="J2326" i="32"/>
  <c r="J2326" i="31"/>
  <c r="J2337" i="32"/>
  <c r="J2337" i="31"/>
  <c r="J2348" i="32"/>
  <c r="J2348" i="31"/>
  <c r="J2358" i="32"/>
  <c r="J2358" i="31"/>
  <c r="J2369" i="32"/>
  <c r="J2369" i="31"/>
  <c r="J2380" i="32"/>
  <c r="J2380" i="31"/>
  <c r="J2390" i="32"/>
  <c r="J2390" i="31"/>
  <c r="J2401" i="32"/>
  <c r="J2401" i="31"/>
  <c r="J2411" i="32"/>
  <c r="J2411" i="31"/>
  <c r="J2421" i="32"/>
  <c r="J2421" i="31"/>
  <c r="J2430" i="32"/>
  <c r="J2430" i="31"/>
  <c r="J2440" i="32"/>
  <c r="J2440" i="31"/>
  <c r="J2450" i="32"/>
  <c r="J2450" i="31"/>
  <c r="J2459" i="32"/>
  <c r="J2459" i="31"/>
  <c r="J2477" i="32"/>
  <c r="J2477" i="31"/>
  <c r="J2485" i="32"/>
  <c r="J2485" i="31"/>
  <c r="J2493" i="32"/>
  <c r="J2493" i="31"/>
  <c r="J2521" i="32"/>
  <c r="J2521" i="31"/>
  <c r="J2529" i="32"/>
  <c r="J2529" i="31"/>
  <c r="J2537" i="32"/>
  <c r="J2537" i="31"/>
  <c r="J2545" i="32"/>
  <c r="J2545" i="31"/>
  <c r="I2509" i="32"/>
  <c r="I2509" i="31"/>
  <c r="I2518" i="32"/>
  <c r="I2518" i="31"/>
  <c r="I2526" i="32"/>
  <c r="I2526" i="31"/>
  <c r="I2534" i="32"/>
  <c r="I2534" i="31"/>
  <c r="I2542" i="32"/>
  <c r="I2542" i="31"/>
  <c r="I50" i="32"/>
  <c r="I50" i="31"/>
  <c r="I58" i="32"/>
  <c r="I58" i="31"/>
  <c r="I66" i="32"/>
  <c r="I66" i="31"/>
  <c r="I97" i="32"/>
  <c r="I97" i="31"/>
  <c r="I105" i="32"/>
  <c r="I105" i="31"/>
  <c r="I113" i="32"/>
  <c r="I113" i="31"/>
  <c r="I207" i="32"/>
  <c r="I207" i="31"/>
  <c r="I215" i="32"/>
  <c r="I215" i="31"/>
  <c r="I223" i="32"/>
  <c r="I223" i="31"/>
  <c r="I621" i="32"/>
  <c r="I621" i="31"/>
  <c r="I629" i="32"/>
  <c r="I629" i="31"/>
  <c r="I637" i="32"/>
  <c r="I637" i="31"/>
  <c r="I826" i="32"/>
  <c r="I826" i="31"/>
  <c r="I834" i="32"/>
  <c r="I834" i="31"/>
  <c r="I842" i="32"/>
  <c r="I842" i="31"/>
  <c r="I850" i="32"/>
  <c r="I850" i="31"/>
  <c r="I886" i="32"/>
  <c r="I886" i="31"/>
  <c r="I894" i="32"/>
  <c r="I894" i="31"/>
  <c r="I902" i="32"/>
  <c r="I902" i="31"/>
  <c r="I910" i="32"/>
  <c r="I910" i="31"/>
  <c r="I1693" i="32"/>
  <c r="I1693" i="31"/>
  <c r="I1701" i="32"/>
  <c r="I1701" i="31"/>
  <c r="I1709" i="32"/>
  <c r="I1709" i="31"/>
  <c r="I1717" i="32"/>
  <c r="I1717" i="31"/>
  <c r="J1786" i="32"/>
  <c r="J1786" i="31"/>
  <c r="J1797" i="32"/>
  <c r="J1797" i="31"/>
  <c r="J1808" i="32"/>
  <c r="J1808" i="31"/>
  <c r="J1935" i="32"/>
  <c r="J1935" i="31"/>
  <c r="J1947" i="32"/>
  <c r="J1947" i="31"/>
  <c r="J1958" i="32"/>
  <c r="J1958" i="31"/>
  <c r="J1970" i="32"/>
  <c r="J1970" i="31"/>
  <c r="J1981" i="32"/>
  <c r="J1981" i="31"/>
  <c r="J1991" i="32"/>
  <c r="J1991" i="31"/>
  <c r="J2002" i="32"/>
  <c r="J2002" i="31"/>
  <c r="J2013" i="32"/>
  <c r="J2013" i="31"/>
  <c r="J2023" i="32"/>
  <c r="J2023" i="31"/>
  <c r="J2034" i="32"/>
  <c r="J2034" i="31"/>
  <c r="J2045" i="32"/>
  <c r="J2045" i="31"/>
  <c r="J2055" i="32"/>
  <c r="J2055" i="31"/>
  <c r="J2065" i="32"/>
  <c r="J2065" i="31"/>
  <c r="J2075" i="32"/>
  <c r="J2075" i="31"/>
  <c r="J2085" i="32"/>
  <c r="J2085" i="31"/>
  <c r="J2095" i="32"/>
  <c r="J2095" i="31"/>
  <c r="J2105" i="32"/>
  <c r="J2105" i="31"/>
  <c r="J2114" i="32"/>
  <c r="J2114" i="31"/>
  <c r="J2124" i="32"/>
  <c r="J2124" i="31"/>
  <c r="J2134" i="32"/>
  <c r="J2134" i="31"/>
  <c r="J2145" i="32"/>
  <c r="J2145" i="31"/>
  <c r="J2156" i="32"/>
  <c r="J2156" i="31"/>
  <c r="J2166" i="32"/>
  <c r="J2166" i="31"/>
  <c r="J2175" i="32"/>
  <c r="J2175" i="31"/>
  <c r="J2185" i="32"/>
  <c r="J2185" i="31"/>
  <c r="J2196" i="32"/>
  <c r="J2196" i="31"/>
  <c r="J2206" i="32"/>
  <c r="J2206" i="31"/>
  <c r="J2217" i="32"/>
  <c r="J2217" i="31"/>
  <c r="J2226" i="32"/>
  <c r="J2226" i="31"/>
  <c r="J2236" i="32"/>
  <c r="J2236" i="31"/>
  <c r="J2246" i="32"/>
  <c r="J2246" i="31"/>
  <c r="J2256" i="32"/>
  <c r="J2256" i="31"/>
  <c r="J2267" i="32"/>
  <c r="J2267" i="31"/>
  <c r="J2278" i="32"/>
  <c r="J2278" i="31"/>
  <c r="J2288" i="32"/>
  <c r="J2288" i="31"/>
  <c r="J2298" i="32"/>
  <c r="J2298" i="31"/>
  <c r="J2308" i="32"/>
  <c r="J2308" i="31"/>
  <c r="J2318" i="32"/>
  <c r="J2318" i="31"/>
  <c r="J2328" i="32"/>
  <c r="J2328" i="31"/>
  <c r="J2338" i="32"/>
  <c r="J2338" i="31"/>
  <c r="J2349" i="32"/>
  <c r="J2349" i="31"/>
  <c r="J2360" i="32"/>
  <c r="J2360" i="31"/>
  <c r="J2370" i="32"/>
  <c r="J2370" i="31"/>
  <c r="J2381" i="32"/>
  <c r="J2381" i="31"/>
  <c r="J2392" i="32"/>
  <c r="J2392" i="31"/>
  <c r="J2402" i="32"/>
  <c r="J2402" i="31"/>
  <c r="J2412" i="32"/>
  <c r="J2412" i="31"/>
  <c r="J2422" i="32"/>
  <c r="J2422" i="31"/>
  <c r="J2432" i="32"/>
  <c r="J2432" i="31"/>
  <c r="J2441" i="32"/>
  <c r="J2441" i="31"/>
  <c r="J2451" i="32"/>
  <c r="J2451" i="31"/>
  <c r="J2460" i="32"/>
  <c r="J2460" i="31"/>
  <c r="J2470" i="32"/>
  <c r="J2470" i="31"/>
  <c r="J2478" i="32"/>
  <c r="J2478" i="31"/>
  <c r="J2486" i="32"/>
  <c r="J2486" i="31"/>
  <c r="J2494" i="32"/>
  <c r="J2494" i="31"/>
  <c r="J2522" i="32"/>
  <c r="J2522" i="31"/>
  <c r="J2530" i="32"/>
  <c r="J2530" i="31"/>
  <c r="J2538" i="32"/>
  <c r="J2538" i="31"/>
  <c r="J2546" i="32"/>
  <c r="J2546" i="31"/>
  <c r="I2510" i="32"/>
  <c r="I2510" i="31"/>
  <c r="I2519" i="32"/>
  <c r="I2519" i="31"/>
  <c r="I2527" i="32"/>
  <c r="I2527" i="31"/>
  <c r="I2535" i="32"/>
  <c r="I2535" i="31"/>
  <c r="I2543" i="32"/>
  <c r="I2543" i="31"/>
  <c r="I204" i="32"/>
  <c r="I204" i="31"/>
  <c r="I831" i="32"/>
  <c r="I831" i="31"/>
  <c r="I907" i="32"/>
  <c r="I907" i="31"/>
  <c r="J1771" i="32"/>
  <c r="J1771" i="31"/>
  <c r="J1966" i="32"/>
  <c r="J1966" i="31"/>
  <c r="J2061" i="32"/>
  <c r="J2061" i="31"/>
  <c r="J2172" i="32"/>
  <c r="J2172" i="31"/>
  <c r="J2398" i="32"/>
  <c r="J2398" i="31"/>
  <c r="I51" i="32"/>
  <c r="I51" i="31"/>
  <c r="I59" i="32"/>
  <c r="I59" i="31"/>
  <c r="I67" i="32"/>
  <c r="I67" i="31"/>
  <c r="I98" i="32"/>
  <c r="I98" i="31"/>
  <c r="I106" i="32"/>
  <c r="I106" i="31"/>
  <c r="I114" i="32"/>
  <c r="I114" i="31"/>
  <c r="I208" i="32"/>
  <c r="I208" i="31"/>
  <c r="I216" i="32"/>
  <c r="I216" i="31"/>
  <c r="I224" i="32"/>
  <c r="I224" i="31"/>
  <c r="I622" i="32"/>
  <c r="I622" i="31"/>
  <c r="I630" i="32"/>
  <c r="I630" i="31"/>
  <c r="I638" i="32"/>
  <c r="I638" i="31"/>
  <c r="I827" i="32"/>
  <c r="I827" i="31"/>
  <c r="I835" i="32"/>
  <c r="I835" i="31"/>
  <c r="I843" i="32"/>
  <c r="I843" i="31"/>
  <c r="I851" i="32"/>
  <c r="I851" i="31"/>
  <c r="I887" i="32"/>
  <c r="I887" i="31"/>
  <c r="I895" i="32"/>
  <c r="I895" i="31"/>
  <c r="I903" i="32"/>
  <c r="I903" i="31"/>
  <c r="I911" i="32"/>
  <c r="I911" i="31"/>
  <c r="I1694" i="32"/>
  <c r="I1694" i="31"/>
  <c r="I1702" i="32"/>
  <c r="I1702" i="31"/>
  <c r="I1710" i="32"/>
  <c r="I1710" i="31"/>
  <c r="I1718" i="32"/>
  <c r="I1718" i="31"/>
  <c r="J1787" i="32"/>
  <c r="J1787" i="31"/>
  <c r="J1798" i="32"/>
  <c r="J1798" i="31"/>
  <c r="J1809" i="32"/>
  <c r="J1809" i="31"/>
  <c r="J1937" i="32"/>
  <c r="J1937" i="31"/>
  <c r="J1949" i="32"/>
  <c r="J1949" i="31"/>
  <c r="J1959" i="32"/>
  <c r="J1959" i="31"/>
  <c r="J1971" i="32"/>
  <c r="J1971" i="31"/>
  <c r="J1982" i="32"/>
  <c r="J1982" i="31"/>
  <c r="J1993" i="32"/>
  <c r="J1993" i="31"/>
  <c r="J2003" i="32"/>
  <c r="J2003" i="31"/>
  <c r="J2014" i="32"/>
  <c r="J2014" i="31"/>
  <c r="J2025" i="32"/>
  <c r="J2025" i="31"/>
  <c r="J2035" i="32"/>
  <c r="J2035" i="31"/>
  <c r="J2046" i="32"/>
  <c r="J2046" i="31"/>
  <c r="J2056" i="32"/>
  <c r="J2056" i="31"/>
  <c r="J2066" i="32"/>
  <c r="J2066" i="31"/>
  <c r="J2076" i="32"/>
  <c r="J2076" i="31"/>
  <c r="J2086" i="32"/>
  <c r="J2086" i="31"/>
  <c r="J2096" i="32"/>
  <c r="J2096" i="31"/>
  <c r="J2106" i="32"/>
  <c r="J2106" i="31"/>
  <c r="J2116" i="32"/>
  <c r="J2116" i="31"/>
  <c r="J2125" i="32"/>
  <c r="J2125" i="31"/>
  <c r="J2136" i="32"/>
  <c r="J2136" i="31"/>
  <c r="J2146" i="32"/>
  <c r="J2146" i="31"/>
  <c r="J2157" i="32"/>
  <c r="J2157" i="31"/>
  <c r="J2167" i="32"/>
  <c r="J2167" i="31"/>
  <c r="J2176" i="32"/>
  <c r="J2176" i="31"/>
  <c r="J2186" i="32"/>
  <c r="J2186" i="31"/>
  <c r="J2197" i="32"/>
  <c r="J2197" i="31"/>
  <c r="J2208" i="32"/>
  <c r="J2208" i="31"/>
  <c r="J2218" i="32"/>
  <c r="J2218" i="31"/>
  <c r="J2228" i="32"/>
  <c r="J2228" i="31"/>
  <c r="J2237" i="32"/>
  <c r="J2237" i="31"/>
  <c r="J2247" i="32"/>
  <c r="J2247" i="31"/>
  <c r="J2258" i="32"/>
  <c r="J2258" i="31"/>
  <c r="J2268" i="32"/>
  <c r="J2268" i="31"/>
  <c r="J2279" i="32"/>
  <c r="J2279" i="31"/>
  <c r="J2290" i="32"/>
  <c r="J2290" i="31"/>
  <c r="J2300" i="32"/>
  <c r="J2300" i="31"/>
  <c r="J2309" i="32"/>
  <c r="J2309" i="31"/>
  <c r="J2319" i="32"/>
  <c r="J2319" i="31"/>
  <c r="J2329" i="32"/>
  <c r="J2329" i="31"/>
  <c r="J2340" i="32"/>
  <c r="J2340" i="31"/>
  <c r="J2350" i="32"/>
  <c r="J2350" i="31"/>
  <c r="J2361" i="32"/>
  <c r="J2361" i="31"/>
  <c r="J2372" i="32"/>
  <c r="J2372" i="31"/>
  <c r="J2382" i="32"/>
  <c r="J2382" i="31"/>
  <c r="J2393" i="32"/>
  <c r="J2393" i="31"/>
  <c r="J2404" i="32"/>
  <c r="J2404" i="31"/>
  <c r="J2414" i="32"/>
  <c r="J2414" i="31"/>
  <c r="J2423" i="32"/>
  <c r="J2423" i="31"/>
  <c r="J2433" i="32"/>
  <c r="J2433" i="31"/>
  <c r="J2442" i="32"/>
  <c r="J2442" i="31"/>
  <c r="J2452" i="32"/>
  <c r="J2452" i="31"/>
  <c r="J2462" i="32"/>
  <c r="J2462" i="31"/>
  <c r="J2471" i="32"/>
  <c r="J2471" i="31"/>
  <c r="J2479" i="32"/>
  <c r="J2479" i="31"/>
  <c r="J2487" i="32"/>
  <c r="J2487" i="31"/>
  <c r="J2495" i="32"/>
  <c r="J2495" i="31"/>
  <c r="J2523" i="32"/>
  <c r="J2523" i="31"/>
  <c r="J2531" i="32"/>
  <c r="J2531" i="31"/>
  <c r="J2539" i="32"/>
  <c r="J2539" i="31"/>
  <c r="I2503" i="32"/>
  <c r="I2503" i="31"/>
  <c r="I2511" i="32"/>
  <c r="I2511" i="31"/>
  <c r="I2520" i="32"/>
  <c r="I2520" i="31"/>
  <c r="I2528" i="32"/>
  <c r="I2528" i="31"/>
  <c r="I2536" i="32"/>
  <c r="I2536" i="31"/>
  <c r="I2544" i="32"/>
  <c r="I2544" i="31"/>
  <c r="I55" i="32"/>
  <c r="I55" i="31"/>
  <c r="I564" i="32"/>
  <c r="I564" i="31"/>
  <c r="I883" i="32"/>
  <c r="I883" i="31"/>
  <c r="I1698" i="32"/>
  <c r="I1698" i="31"/>
  <c r="J1804" i="32"/>
  <c r="J1804" i="31"/>
  <c r="J1977" i="32"/>
  <c r="J1977" i="31"/>
  <c r="J2019" i="32"/>
  <c r="J2019" i="31"/>
  <c r="J2071" i="32"/>
  <c r="J2071" i="31"/>
  <c r="J2111" i="32"/>
  <c r="J2111" i="31"/>
  <c r="J2152" i="32"/>
  <c r="J2152" i="31"/>
  <c r="J2202" i="32"/>
  <c r="J2202" i="31"/>
  <c r="J2252" i="32"/>
  <c r="J2252" i="31"/>
  <c r="J2284" i="32"/>
  <c r="J2284" i="31"/>
  <c r="J2324" i="32"/>
  <c r="J2324" i="31"/>
  <c r="J2366" i="32"/>
  <c r="J2366" i="31"/>
  <c r="J2409" i="32"/>
  <c r="J2409" i="31"/>
  <c r="J2447" i="32"/>
  <c r="J2447" i="31"/>
  <c r="J2483" i="32"/>
  <c r="J2483" i="31"/>
  <c r="J2527" i="32"/>
  <c r="J2527" i="31"/>
  <c r="I2507" i="31"/>
  <c r="I2507" i="32"/>
  <c r="I2540" i="32"/>
  <c r="I2540" i="31"/>
  <c r="I44" i="32"/>
  <c r="I44" i="31"/>
  <c r="I52" i="32"/>
  <c r="I52" i="31"/>
  <c r="I60" i="32"/>
  <c r="I60" i="31"/>
  <c r="I68" i="32"/>
  <c r="I68" i="31"/>
  <c r="I99" i="32"/>
  <c r="I99" i="31"/>
  <c r="I107" i="32"/>
  <c r="I107" i="31"/>
  <c r="I115" i="32"/>
  <c r="I115" i="31"/>
  <c r="I209" i="32"/>
  <c r="I209" i="31"/>
  <c r="I217" i="32"/>
  <c r="I217" i="31"/>
  <c r="I225" i="32"/>
  <c r="I225" i="31"/>
  <c r="I623" i="32"/>
  <c r="I623" i="31"/>
  <c r="I631" i="32"/>
  <c r="I631" i="31"/>
  <c r="I639" i="32"/>
  <c r="I639" i="31"/>
  <c r="I828" i="32"/>
  <c r="I828" i="31"/>
  <c r="I836" i="32"/>
  <c r="I836" i="31"/>
  <c r="I844" i="32"/>
  <c r="I844" i="31"/>
  <c r="I852" i="32"/>
  <c r="I852" i="31"/>
  <c r="I888" i="32"/>
  <c r="I888" i="31"/>
  <c r="I896" i="32"/>
  <c r="I896" i="31"/>
  <c r="I904" i="32"/>
  <c r="I904" i="31"/>
  <c r="I912" i="32"/>
  <c r="I912" i="31"/>
  <c r="I1695" i="32"/>
  <c r="I1695" i="31"/>
  <c r="I1703" i="32"/>
  <c r="I1703" i="31"/>
  <c r="I1711" i="32"/>
  <c r="I1711" i="31"/>
  <c r="I1719" i="32"/>
  <c r="I1719" i="31"/>
  <c r="J1789" i="32"/>
  <c r="J1789" i="31"/>
  <c r="J1800" i="32"/>
  <c r="J1800" i="31"/>
  <c r="J1810" i="32"/>
  <c r="J1810" i="31"/>
  <c r="J1938" i="32"/>
  <c r="J1938" i="31"/>
  <c r="J1950" i="32"/>
  <c r="J1950" i="31"/>
  <c r="J1962" i="32"/>
  <c r="J1962" i="31"/>
  <c r="J1973" i="32"/>
  <c r="J1973" i="31"/>
  <c r="J1983" i="32"/>
  <c r="J1983" i="31"/>
  <c r="J1994" i="32"/>
  <c r="J1994" i="31"/>
  <c r="J2005" i="32"/>
  <c r="J2005" i="31"/>
  <c r="J2015" i="32"/>
  <c r="J2015" i="31"/>
  <c r="J2026" i="32"/>
  <c r="J2026" i="31"/>
  <c r="J2037" i="32"/>
  <c r="J2037" i="31"/>
  <c r="J2047" i="32"/>
  <c r="J2047" i="31"/>
  <c r="J2057" i="32"/>
  <c r="J2057" i="31"/>
  <c r="J2067" i="32"/>
  <c r="J2067" i="31"/>
  <c r="J2077" i="32"/>
  <c r="J2077" i="31"/>
  <c r="J2087" i="32"/>
  <c r="J2087" i="31"/>
  <c r="J2097" i="32"/>
  <c r="J2097" i="31"/>
  <c r="J2107" i="32"/>
  <c r="J2107" i="31"/>
  <c r="J2117" i="32"/>
  <c r="J2117" i="31"/>
  <c r="J2126" i="32"/>
  <c r="J2126" i="31"/>
  <c r="J2137" i="32"/>
  <c r="J2137" i="31"/>
  <c r="J2148" i="32"/>
  <c r="J2148" i="31"/>
  <c r="J2158" i="32"/>
  <c r="J2158" i="31"/>
  <c r="J2168" i="32"/>
  <c r="J2168" i="31"/>
  <c r="J2178" i="32"/>
  <c r="J2178" i="31"/>
  <c r="J2188" i="32"/>
  <c r="J2188" i="31"/>
  <c r="J2198" i="32"/>
  <c r="J2198" i="31"/>
  <c r="J2209" i="32"/>
  <c r="J2209" i="31"/>
  <c r="J2219" i="32"/>
  <c r="J2219" i="31"/>
  <c r="J2229" i="32"/>
  <c r="J2229" i="31"/>
  <c r="J2238" i="32"/>
  <c r="J2238" i="31"/>
  <c r="J2248" i="32"/>
  <c r="J2248" i="31"/>
  <c r="J2259" i="32"/>
  <c r="J2259" i="31"/>
  <c r="J2270" i="32"/>
  <c r="J2270" i="31"/>
  <c r="J2280" i="32"/>
  <c r="J2280" i="31"/>
  <c r="J2291" i="32"/>
  <c r="J2291" i="31"/>
  <c r="J2301" i="32"/>
  <c r="J2301" i="31"/>
  <c r="J2310" i="32"/>
  <c r="J2310" i="31"/>
  <c r="J2320" i="32"/>
  <c r="J2320" i="31"/>
  <c r="J2330" i="32"/>
  <c r="J2330" i="31"/>
  <c r="J2341" i="32"/>
  <c r="J2341" i="31"/>
  <c r="J2352" i="32"/>
  <c r="J2352" i="31"/>
  <c r="J2362" i="32"/>
  <c r="J2362" i="31"/>
  <c r="J2373" i="32"/>
  <c r="J2373" i="31"/>
  <c r="J2384" i="32"/>
  <c r="J2384" i="31"/>
  <c r="J2394" i="32"/>
  <c r="J2394" i="31"/>
  <c r="J2405" i="32"/>
  <c r="J2405" i="31"/>
  <c r="J2415" i="32"/>
  <c r="J2415" i="31"/>
  <c r="J2424" i="32"/>
  <c r="J2424" i="31"/>
  <c r="J2434" i="32"/>
  <c r="J2434" i="31"/>
  <c r="J2444" i="32"/>
  <c r="J2444" i="31"/>
  <c r="J2453" i="32"/>
  <c r="J2453" i="31"/>
  <c r="J2463" i="32"/>
  <c r="J2463" i="31"/>
  <c r="J2472" i="32"/>
  <c r="J2472" i="31"/>
  <c r="J2480" i="32"/>
  <c r="J2480" i="31"/>
  <c r="J2488" i="32"/>
  <c r="J2488" i="31"/>
  <c r="J2496" i="31"/>
  <c r="J2496" i="32"/>
  <c r="J2524" i="32"/>
  <c r="J2524" i="31"/>
  <c r="J2532" i="32"/>
  <c r="J2532" i="31"/>
  <c r="J2540" i="32"/>
  <c r="J2540" i="31"/>
  <c r="I2504" i="32"/>
  <c r="I2504" i="31"/>
  <c r="I2512" i="32"/>
  <c r="I2512" i="31"/>
  <c r="I2521" i="32"/>
  <c r="I2521" i="31"/>
  <c r="I2529" i="32"/>
  <c r="I2529" i="31"/>
  <c r="I2537" i="32"/>
  <c r="I2537" i="31"/>
  <c r="I2545" i="32"/>
  <c r="I2545" i="31"/>
  <c r="I94" i="32"/>
  <c r="I94" i="31"/>
  <c r="I220" i="32"/>
  <c r="I220" i="31"/>
  <c r="I642" i="32"/>
  <c r="I642" i="31"/>
  <c r="I899" i="32"/>
  <c r="I899" i="31"/>
  <c r="I1714" i="32"/>
  <c r="I1714" i="31"/>
  <c r="J1943" i="32"/>
  <c r="J1943" i="31"/>
  <c r="J1998" i="32"/>
  <c r="J1998" i="31"/>
  <c r="J2030" i="32"/>
  <c r="J2030" i="31"/>
  <c r="J2081" i="32"/>
  <c r="J2081" i="31"/>
  <c r="J2120" i="32"/>
  <c r="J2120" i="31"/>
  <c r="J2162" i="32"/>
  <c r="J2162" i="31"/>
  <c r="J2213" i="32"/>
  <c r="J2213" i="31"/>
  <c r="J2263" i="32"/>
  <c r="J2263" i="31"/>
  <c r="J2304" i="32"/>
  <c r="J2304" i="31"/>
  <c r="J2345" i="32"/>
  <c r="J2345" i="31"/>
  <c r="J2388" i="32"/>
  <c r="J2388" i="31"/>
  <c r="J2428" i="32"/>
  <c r="J2428" i="31"/>
  <c r="J2466" i="32"/>
  <c r="J2466" i="31"/>
  <c r="J2519" i="32"/>
  <c r="J2519" i="31"/>
  <c r="I2516" i="32"/>
  <c r="I2516" i="31"/>
  <c r="I45" i="32"/>
  <c r="I45" i="31"/>
  <c r="I53" i="32"/>
  <c r="I53" i="31"/>
  <c r="I61" i="32"/>
  <c r="I61" i="31"/>
  <c r="I92" i="32"/>
  <c r="I92" i="31"/>
  <c r="I100" i="32"/>
  <c r="I100" i="31"/>
  <c r="I108" i="32"/>
  <c r="I108" i="31"/>
  <c r="I116" i="32"/>
  <c r="I116" i="31"/>
  <c r="I210" i="32"/>
  <c r="I210" i="31"/>
  <c r="I218" i="32"/>
  <c r="I218" i="31"/>
  <c r="I226" i="32"/>
  <c r="I226" i="31"/>
  <c r="I624" i="32"/>
  <c r="I624" i="31"/>
  <c r="I632" i="32"/>
  <c r="I632" i="31"/>
  <c r="I640" i="32"/>
  <c r="I640" i="31"/>
  <c r="I829" i="32"/>
  <c r="I829" i="31"/>
  <c r="I837" i="32"/>
  <c r="I837" i="31"/>
  <c r="I845" i="32"/>
  <c r="I845" i="31"/>
  <c r="I881" i="32"/>
  <c r="I881" i="31"/>
  <c r="I889" i="32"/>
  <c r="I889" i="31"/>
  <c r="I897" i="32"/>
  <c r="I897" i="31"/>
  <c r="I905" i="32"/>
  <c r="I905" i="31"/>
  <c r="I1688" i="32"/>
  <c r="I1688" i="31"/>
  <c r="I1696" i="32"/>
  <c r="I1696" i="31"/>
  <c r="I1704" i="32"/>
  <c r="I1704" i="31"/>
  <c r="I1712" i="32"/>
  <c r="I1712" i="31"/>
  <c r="J1769" i="32"/>
  <c r="J1769" i="31"/>
  <c r="J1790" i="32"/>
  <c r="J1790" i="31"/>
  <c r="J1801" i="32"/>
  <c r="J1801" i="31"/>
  <c r="J1929" i="32"/>
  <c r="J1929" i="31"/>
  <c r="J1939" i="32"/>
  <c r="J1939" i="31"/>
  <c r="J1951" i="32"/>
  <c r="J1951" i="31"/>
  <c r="J1963" i="31"/>
  <c r="J1963" i="32"/>
  <c r="J1974" i="32"/>
  <c r="J1974" i="31"/>
  <c r="J1985" i="32"/>
  <c r="J1985" i="31"/>
  <c r="J1995" i="32"/>
  <c r="J1995" i="31"/>
  <c r="J2006" i="32"/>
  <c r="J2006" i="31"/>
  <c r="J2017" i="32"/>
  <c r="J2017" i="31"/>
  <c r="J2027" i="32"/>
  <c r="J2027" i="31"/>
  <c r="J2038" i="32"/>
  <c r="J2038" i="31"/>
  <c r="J2049" i="32"/>
  <c r="J2049" i="31"/>
  <c r="J2059" i="32"/>
  <c r="J2059" i="31"/>
  <c r="J2069" i="32"/>
  <c r="J2069" i="31"/>
  <c r="J2079" i="32"/>
  <c r="J2079" i="31"/>
  <c r="J2089" i="32"/>
  <c r="J2089" i="31"/>
  <c r="J2099" i="32"/>
  <c r="J2099" i="31"/>
  <c r="J2108" i="32"/>
  <c r="J2108" i="31"/>
  <c r="J2118" i="32"/>
  <c r="J2118" i="31"/>
  <c r="J2128" i="32"/>
  <c r="J2128" i="31"/>
  <c r="J2138" i="32"/>
  <c r="J2138" i="31"/>
  <c r="J2149" i="32"/>
  <c r="J2149" i="31"/>
  <c r="J2160" i="32"/>
  <c r="J2160" i="31"/>
  <c r="J2169" i="32"/>
  <c r="J2169" i="31"/>
  <c r="J2179" i="32"/>
  <c r="J2179" i="31"/>
  <c r="J2189" i="32"/>
  <c r="J2189" i="31"/>
  <c r="J2200" i="32"/>
  <c r="J2200" i="31"/>
  <c r="J2210" i="32"/>
  <c r="J2210" i="31"/>
  <c r="J2220" i="32"/>
  <c r="J2220" i="31"/>
  <c r="J2230" i="32"/>
  <c r="J2230" i="31"/>
  <c r="J2240" i="32"/>
  <c r="J2240" i="31"/>
  <c r="J2250" i="32"/>
  <c r="J2250" i="31"/>
  <c r="J2260" i="32"/>
  <c r="J2260" i="31"/>
  <c r="J2271" i="32"/>
  <c r="J2271" i="31"/>
  <c r="J2282" i="32"/>
  <c r="J2282" i="31"/>
  <c r="J2292" i="32"/>
  <c r="J2292" i="31"/>
  <c r="J2302" i="32"/>
  <c r="J2302" i="31"/>
  <c r="J2312" i="32"/>
  <c r="J2312" i="31"/>
  <c r="J2321" i="32"/>
  <c r="J2321" i="31"/>
  <c r="J2332" i="32"/>
  <c r="J2332" i="31"/>
  <c r="J2342" i="32"/>
  <c r="J2342" i="31"/>
  <c r="J2353" i="32"/>
  <c r="J2353" i="31"/>
  <c r="J2364" i="32"/>
  <c r="J2364" i="31"/>
  <c r="J2374" i="32"/>
  <c r="J2374" i="31"/>
  <c r="J2385" i="32"/>
  <c r="J2385" i="31"/>
  <c r="J2396" i="32"/>
  <c r="J2396" i="31"/>
  <c r="J2406" i="32"/>
  <c r="J2406" i="31"/>
  <c r="J2416" i="32"/>
  <c r="J2416" i="31"/>
  <c r="J2426" i="32"/>
  <c r="J2426" i="31"/>
  <c r="J2435" i="32"/>
  <c r="J2435" i="31"/>
  <c r="J2445" i="32"/>
  <c r="J2445" i="31"/>
  <c r="J2454" i="32"/>
  <c r="J2454" i="31"/>
  <c r="J2464" i="32"/>
  <c r="J2464" i="31"/>
  <c r="J2473" i="32"/>
  <c r="J2473" i="31"/>
  <c r="J2481" i="32"/>
  <c r="J2481" i="31"/>
  <c r="J2489" i="32"/>
  <c r="J2489" i="31"/>
  <c r="J2497" i="32"/>
  <c r="J2497" i="31"/>
  <c r="J2525" i="32"/>
  <c r="J2525" i="31"/>
  <c r="J2533" i="32"/>
  <c r="J2533" i="31"/>
  <c r="J2541" i="32"/>
  <c r="J2541" i="31"/>
  <c r="I2505" i="32"/>
  <c r="I2505" i="31"/>
  <c r="I2513" i="32"/>
  <c r="I2513" i="31"/>
  <c r="I2522" i="32"/>
  <c r="I2522" i="31"/>
  <c r="I2530" i="32"/>
  <c r="I2530" i="31"/>
  <c r="I2538" i="32"/>
  <c r="I2538" i="31"/>
  <c r="I2546" i="32"/>
  <c r="I2546" i="31"/>
  <c r="I102" i="32"/>
  <c r="I102" i="31"/>
  <c r="I839" i="32"/>
  <c r="I839" i="31"/>
  <c r="J1954" i="32"/>
  <c r="J1954" i="31"/>
  <c r="J2232" i="32"/>
  <c r="J2232" i="31"/>
  <c r="I46" i="32"/>
  <c r="I46" i="31"/>
  <c r="I54" i="32"/>
  <c r="I54" i="31"/>
  <c r="I62" i="32"/>
  <c r="I62" i="31"/>
  <c r="I93" i="32"/>
  <c r="I93" i="31"/>
  <c r="I101" i="32"/>
  <c r="I101" i="31"/>
  <c r="I109" i="32"/>
  <c r="I109" i="31"/>
  <c r="I203" i="32"/>
  <c r="I203" i="31"/>
  <c r="I211" i="32"/>
  <c r="I211" i="31"/>
  <c r="I219" i="32"/>
  <c r="I219" i="31"/>
  <c r="I227" i="32"/>
  <c r="I227" i="31"/>
  <c r="I625" i="32"/>
  <c r="I625" i="31"/>
  <c r="I633" i="32"/>
  <c r="I633" i="31"/>
  <c r="I641" i="32"/>
  <c r="I641" i="31"/>
  <c r="I830" i="32"/>
  <c r="I830" i="31"/>
  <c r="I838" i="32"/>
  <c r="I838" i="31"/>
  <c r="I846" i="32"/>
  <c r="I846" i="31"/>
  <c r="I882" i="32"/>
  <c r="I882" i="31"/>
  <c r="I890" i="32"/>
  <c r="I890" i="31"/>
  <c r="I898" i="32"/>
  <c r="I898" i="31"/>
  <c r="I906" i="32"/>
  <c r="I906" i="31"/>
  <c r="I1689" i="32"/>
  <c r="I1689" i="31"/>
  <c r="I1697" i="32"/>
  <c r="I1697" i="31"/>
  <c r="I1705" i="32"/>
  <c r="I1705" i="31"/>
  <c r="I1713" i="32"/>
  <c r="I1713" i="31"/>
  <c r="J1770" i="32"/>
  <c r="J1770" i="31"/>
  <c r="J1792" i="32"/>
  <c r="J1792" i="31"/>
  <c r="J1802" i="32"/>
  <c r="J1802" i="31"/>
  <c r="J1930" i="32"/>
  <c r="J1930" i="31"/>
  <c r="J1942" i="32"/>
  <c r="J1942" i="31"/>
  <c r="J1953" i="32"/>
  <c r="J1953" i="31"/>
  <c r="J1965" i="32"/>
  <c r="J1965" i="31"/>
  <c r="J1975" i="31"/>
  <c r="J1975" i="32"/>
  <c r="J1986" i="32"/>
  <c r="J1986" i="31"/>
  <c r="J1997" i="32"/>
  <c r="J1997" i="31"/>
  <c r="J2007" i="32"/>
  <c r="J2007" i="31"/>
  <c r="J2018" i="32"/>
  <c r="J2018" i="31"/>
  <c r="J2029" i="32"/>
  <c r="J2029" i="31"/>
  <c r="J2039" i="32"/>
  <c r="J2039" i="31"/>
  <c r="J2050" i="32"/>
  <c r="J2050" i="31"/>
  <c r="J2060" i="32"/>
  <c r="J2060" i="31"/>
  <c r="J2070" i="32"/>
  <c r="J2070" i="31"/>
  <c r="J2080" i="32"/>
  <c r="J2080" i="31"/>
  <c r="J2090" i="32"/>
  <c r="J2090" i="31"/>
  <c r="J2100" i="32"/>
  <c r="J2100" i="31"/>
  <c r="J2110" i="32"/>
  <c r="J2110" i="31"/>
  <c r="J2119" i="32"/>
  <c r="J2119" i="31"/>
  <c r="J2129" i="32"/>
  <c r="J2129" i="31"/>
  <c r="J2140" i="32"/>
  <c r="J2140" i="31"/>
  <c r="J2150" i="32"/>
  <c r="J2150" i="31"/>
  <c r="J2161" i="32"/>
  <c r="J2161" i="31"/>
  <c r="J2170" i="32"/>
  <c r="J2170" i="31"/>
  <c r="J2180" i="32"/>
  <c r="J2180" i="31"/>
  <c r="J2190" i="32"/>
  <c r="J2190" i="31"/>
  <c r="J2201" i="32"/>
  <c r="J2201" i="31"/>
  <c r="J2212" i="32"/>
  <c r="J2212" i="31"/>
  <c r="J2222" i="32"/>
  <c r="J2222" i="31"/>
  <c r="J2231" i="32"/>
  <c r="J2231" i="31"/>
  <c r="J2241" i="32"/>
  <c r="J2241" i="31"/>
  <c r="J2251" i="32"/>
  <c r="J2251" i="31"/>
  <c r="J2262" i="32"/>
  <c r="J2262" i="31"/>
  <c r="J2272" i="32"/>
  <c r="J2272" i="31"/>
  <c r="J2283" i="32"/>
  <c r="J2283" i="31"/>
  <c r="J2294" i="32"/>
  <c r="J2294" i="31"/>
  <c r="J2303" i="32"/>
  <c r="J2303" i="31"/>
  <c r="J2313" i="32"/>
  <c r="J2313" i="31"/>
  <c r="J2322" i="32"/>
  <c r="J2322" i="31"/>
  <c r="J2333" i="32"/>
  <c r="J2333" i="31"/>
  <c r="J2344" i="32"/>
  <c r="J2344" i="31"/>
  <c r="J2354" i="32"/>
  <c r="J2354" i="31"/>
  <c r="J2365" i="32"/>
  <c r="J2365" i="31"/>
  <c r="J2376" i="32"/>
  <c r="J2376" i="31"/>
  <c r="J2386" i="32"/>
  <c r="J2386" i="31"/>
  <c r="J2397" i="32"/>
  <c r="J2397" i="31"/>
  <c r="J2408" i="32"/>
  <c r="J2408" i="31"/>
  <c r="J2417" i="32"/>
  <c r="J2417" i="31"/>
  <c r="J2427" i="32"/>
  <c r="J2427" i="31"/>
  <c r="J2436" i="32"/>
  <c r="J2436" i="31"/>
  <c r="J2446" i="32"/>
  <c r="J2446" i="31"/>
  <c r="J2456" i="32"/>
  <c r="J2456" i="31"/>
  <c r="J2465" i="32"/>
  <c r="J2465" i="31"/>
  <c r="J2474" i="32"/>
  <c r="J2474" i="31"/>
  <c r="J2482" i="32"/>
  <c r="J2482" i="31"/>
  <c r="J2490" i="32"/>
  <c r="J2490" i="31"/>
  <c r="J2498" i="32"/>
  <c r="J2498" i="31"/>
  <c r="J2526" i="32"/>
  <c r="J2526" i="31"/>
  <c r="J2534" i="32"/>
  <c r="J2534" i="31"/>
  <c r="J2542" i="32"/>
  <c r="J2542" i="31"/>
  <c r="I2506" i="32"/>
  <c r="I2506" i="31"/>
  <c r="I2514" i="32"/>
  <c r="I2514" i="31"/>
  <c r="I2523" i="32"/>
  <c r="I2523" i="31"/>
  <c r="I2531" i="32"/>
  <c r="I2531" i="31"/>
  <c r="I2539" i="32"/>
  <c r="I2539" i="31"/>
  <c r="T2535" i="32"/>
  <c r="T2531" i="32"/>
  <c r="T2542" i="32"/>
  <c r="T2532" i="32"/>
  <c r="T2525" i="32"/>
  <c r="T2538" i="32"/>
  <c r="T2534" i="32"/>
  <c r="T2546" i="32"/>
  <c r="T2523" i="32"/>
  <c r="T2508" i="32"/>
  <c r="T2527" i="32"/>
  <c r="T2543" i="32"/>
  <c r="T2519" i="32"/>
  <c r="T2530" i="32"/>
  <c r="T2539" i="32"/>
  <c r="T2524" i="32"/>
  <c r="T2540" i="32"/>
  <c r="T2526" i="32"/>
  <c r="T2522" i="32"/>
  <c r="T2525" i="31"/>
  <c r="T2538" i="31"/>
  <c r="T2534" i="31"/>
  <c r="T2546" i="31"/>
  <c r="T2523" i="31"/>
  <c r="T2508" i="31"/>
  <c r="T2527" i="31"/>
  <c r="T2543" i="31"/>
  <c r="T2519" i="31"/>
  <c r="T2530" i="31"/>
  <c r="T2539" i="31"/>
  <c r="T2524" i="31"/>
  <c r="T2540" i="31"/>
  <c r="T2526" i="31"/>
  <c r="T2522" i="31"/>
  <c r="T2535" i="31"/>
  <c r="T2531" i="31"/>
  <c r="T2542" i="31"/>
  <c r="T2532" i="31"/>
  <c r="L231" i="1"/>
  <c r="L260" i="1"/>
  <c r="J564" i="1"/>
  <c r="L293" i="1"/>
  <c r="L329" i="1"/>
  <c r="L377" i="1"/>
  <c r="V22" i="1"/>
  <c r="L479" i="1"/>
  <c r="L284" i="1"/>
  <c r="L311" i="1"/>
  <c r="L710" i="1"/>
  <c r="L758" i="1"/>
  <c r="L235" i="1"/>
  <c r="L237" i="1"/>
  <c r="L359" i="1"/>
  <c r="L431" i="1"/>
  <c r="L699" i="1"/>
  <c r="L740" i="1"/>
  <c r="L287" i="1"/>
  <c r="L317" i="1"/>
  <c r="L365" i="1"/>
  <c r="L437" i="1"/>
  <c r="L701" i="1"/>
  <c r="L746" i="1"/>
  <c r="L290" i="1"/>
  <c r="L323" i="1"/>
  <c r="L371" i="1"/>
  <c r="L473" i="1"/>
  <c r="L704" i="1"/>
  <c r="L752" i="1"/>
  <c r="L233" i="1"/>
  <c r="L265" i="1"/>
  <c r="L296" i="1"/>
  <c r="L335" i="1"/>
  <c r="L383" i="1"/>
  <c r="L485" i="1"/>
  <c r="L716" i="1"/>
  <c r="L764" i="1"/>
  <c r="L275" i="1"/>
  <c r="L270" i="1"/>
  <c r="L299" i="1"/>
  <c r="L341" i="1"/>
  <c r="L401" i="1"/>
  <c r="L497" i="1"/>
  <c r="L722" i="1"/>
  <c r="L770" i="1"/>
  <c r="L278" i="1"/>
  <c r="L302" i="1"/>
  <c r="L347" i="1"/>
  <c r="L407" i="1"/>
  <c r="L503" i="1"/>
  <c r="L728" i="1"/>
  <c r="L776" i="1"/>
  <c r="L281" i="1"/>
  <c r="L305" i="1"/>
  <c r="L353" i="1"/>
  <c r="L425" i="1"/>
  <c r="L697" i="1"/>
  <c r="L734" i="1"/>
  <c r="M824" i="1"/>
  <c r="N824" i="1" s="1"/>
  <c r="W824" i="1" s="1"/>
  <c r="M449" i="1"/>
  <c r="N449" i="1" s="1"/>
  <c r="W449" i="1" s="1"/>
  <c r="M443" i="1"/>
  <c r="N443" i="1" s="1"/>
  <c r="W443" i="1" s="1"/>
  <c r="M491" i="1"/>
  <c r="N491" i="1" s="1"/>
  <c r="W491" i="1" s="1"/>
  <c r="I217" i="19"/>
  <c r="I585" i="19"/>
  <c r="I1718" i="19"/>
  <c r="J1998" i="19"/>
  <c r="J2120" i="19"/>
  <c r="J2252" i="19"/>
  <c r="I47" i="19"/>
  <c r="I51" i="19"/>
  <c r="I55" i="19"/>
  <c r="I59" i="19"/>
  <c r="I63" i="19"/>
  <c r="I67" i="19"/>
  <c r="I94" i="19"/>
  <c r="I98" i="19"/>
  <c r="I102" i="19"/>
  <c r="I106" i="19"/>
  <c r="I110" i="19"/>
  <c r="I114" i="19"/>
  <c r="I619" i="19"/>
  <c r="I627" i="19"/>
  <c r="I635" i="19"/>
  <c r="I643" i="19"/>
  <c r="I827" i="19"/>
  <c r="I835" i="19"/>
  <c r="I843" i="19"/>
  <c r="I851" i="19"/>
  <c r="I884" i="19"/>
  <c r="I888" i="19"/>
  <c r="I892" i="19"/>
  <c r="I896" i="19"/>
  <c r="I900" i="19"/>
  <c r="I904" i="19"/>
  <c r="I908" i="19"/>
  <c r="I912" i="19"/>
  <c r="J1783" i="19"/>
  <c r="J1794" i="19"/>
  <c r="J1805" i="19"/>
  <c r="J1933" i="19"/>
  <c r="J1945" i="19"/>
  <c r="J1955" i="19"/>
  <c r="J1967" i="19"/>
  <c r="J1978" i="19"/>
  <c r="J1989" i="19"/>
  <c r="J1999" i="19"/>
  <c r="J2010" i="19"/>
  <c r="J2021" i="19"/>
  <c r="J2031" i="19"/>
  <c r="J2042" i="19"/>
  <c r="J2052" i="19"/>
  <c r="J2062" i="19"/>
  <c r="J2072" i="19"/>
  <c r="J2082" i="19"/>
  <c r="J2092" i="19"/>
  <c r="J2102" i="19"/>
  <c r="J2112" i="19"/>
  <c r="J2122" i="19"/>
  <c r="J2132" i="19"/>
  <c r="J2142" i="19"/>
  <c r="J2153" i="19"/>
  <c r="J2163" i="19"/>
  <c r="J2173" i="19"/>
  <c r="J2182" i="19"/>
  <c r="J2193" i="19"/>
  <c r="J2204" i="19"/>
  <c r="J2214" i="19"/>
  <c r="J2224" i="19"/>
  <c r="J2234" i="19"/>
  <c r="J2243" i="19"/>
  <c r="J2254" i="19"/>
  <c r="J2264" i="19"/>
  <c r="J2275" i="19"/>
  <c r="J2286" i="19"/>
  <c r="J2296" i="19"/>
  <c r="J2306" i="19"/>
  <c r="J2315" i="19"/>
  <c r="J2325" i="19"/>
  <c r="J2336" i="19"/>
  <c r="J2346" i="19"/>
  <c r="J2357" i="19"/>
  <c r="J2368" i="19"/>
  <c r="J2378" i="19"/>
  <c r="J2389" i="19"/>
  <c r="J2400" i="19"/>
  <c r="J2476" i="19"/>
  <c r="J2484" i="19"/>
  <c r="J2492" i="19"/>
  <c r="J2520" i="19"/>
  <c r="J2528" i="19"/>
  <c r="J2536" i="19"/>
  <c r="J2544" i="19"/>
  <c r="I2508" i="19"/>
  <c r="I2517" i="19"/>
  <c r="I2525" i="19"/>
  <c r="I2533" i="19"/>
  <c r="I2541" i="19"/>
  <c r="I221" i="19"/>
  <c r="I581" i="19"/>
  <c r="I634" i="19"/>
  <c r="I842" i="19"/>
  <c r="I1702" i="19"/>
  <c r="J1804" i="19"/>
  <c r="J2009" i="19"/>
  <c r="J2091" i="19"/>
  <c r="J2172" i="19"/>
  <c r="J2232" i="19"/>
  <c r="J2304" i="19"/>
  <c r="J2345" i="19"/>
  <c r="I2516" i="19"/>
  <c r="I206" i="19"/>
  <c r="I210" i="19"/>
  <c r="I214" i="19"/>
  <c r="I218" i="19"/>
  <c r="I222" i="19"/>
  <c r="I226" i="19"/>
  <c r="I566" i="19"/>
  <c r="I570" i="19"/>
  <c r="I574" i="19"/>
  <c r="I578" i="19"/>
  <c r="I582" i="19"/>
  <c r="I586" i="19"/>
  <c r="I620" i="19"/>
  <c r="I628" i="19"/>
  <c r="I636" i="19"/>
  <c r="I828" i="19"/>
  <c r="I836" i="19"/>
  <c r="I844" i="19"/>
  <c r="I852" i="19"/>
  <c r="I1691" i="19"/>
  <c r="I1695" i="19"/>
  <c r="I1699" i="19"/>
  <c r="I1703" i="19"/>
  <c r="I1707" i="19"/>
  <c r="I1711" i="19"/>
  <c r="I1715" i="19"/>
  <c r="I1719" i="19"/>
  <c r="J1784" i="19"/>
  <c r="J1796" i="19"/>
  <c r="J1806" i="19"/>
  <c r="J1934" i="19"/>
  <c r="J1946" i="19"/>
  <c r="J1957" i="19"/>
  <c r="J1969" i="19"/>
  <c r="J1979" i="19"/>
  <c r="J1990" i="19"/>
  <c r="J2001" i="19"/>
  <c r="J2011" i="19"/>
  <c r="J2022" i="19"/>
  <c r="J2033" i="19"/>
  <c r="J2043" i="19"/>
  <c r="J2054" i="19"/>
  <c r="J2064" i="19"/>
  <c r="J2074" i="19"/>
  <c r="J2084" i="19"/>
  <c r="J2094" i="19"/>
  <c r="J2104" i="19"/>
  <c r="J2113" i="19"/>
  <c r="J2123" i="19"/>
  <c r="J2133" i="19"/>
  <c r="J2144" i="19"/>
  <c r="J2154" i="19"/>
  <c r="J2164" i="19"/>
  <c r="J2174" i="19"/>
  <c r="J2184" i="19"/>
  <c r="J2194" i="19"/>
  <c r="J2205" i="19"/>
  <c r="J2216" i="19"/>
  <c r="J2225" i="19"/>
  <c r="J2235" i="19"/>
  <c r="J2244" i="19"/>
  <c r="J2255" i="19"/>
  <c r="J2266" i="19"/>
  <c r="J2276" i="19"/>
  <c r="J2287" i="19"/>
  <c r="J2297" i="19"/>
  <c r="J2307" i="19"/>
  <c r="J2316" i="19"/>
  <c r="J2326" i="19"/>
  <c r="J2337" i="19"/>
  <c r="J2348" i="19"/>
  <c r="J2358" i="19"/>
  <c r="J2369" i="19"/>
  <c r="J2380" i="19"/>
  <c r="J2390" i="19"/>
  <c r="J2401" i="19"/>
  <c r="J2477" i="19"/>
  <c r="J2485" i="19"/>
  <c r="J2493" i="19"/>
  <c r="J2521" i="19"/>
  <c r="J2529" i="19"/>
  <c r="J2537" i="19"/>
  <c r="J2545" i="19"/>
  <c r="I2509" i="19"/>
  <c r="I2518" i="19"/>
  <c r="I2526" i="19"/>
  <c r="I2534" i="19"/>
  <c r="I2542" i="19"/>
  <c r="I565" i="19"/>
  <c r="I626" i="19"/>
  <c r="I834" i="19"/>
  <c r="I1710" i="19"/>
  <c r="J1931" i="19"/>
  <c r="J1966" i="19"/>
  <c r="J2019" i="19"/>
  <c r="J2071" i="19"/>
  <c r="J2162" i="19"/>
  <c r="J2223" i="19"/>
  <c r="J2295" i="19"/>
  <c r="J2356" i="19"/>
  <c r="J2483" i="19"/>
  <c r="J2535" i="19"/>
  <c r="I2540" i="19"/>
  <c r="I48" i="19"/>
  <c r="I52" i="19"/>
  <c r="I56" i="19"/>
  <c r="I60" i="19"/>
  <c r="I64" i="19"/>
  <c r="I68" i="19"/>
  <c r="I95" i="19"/>
  <c r="I99" i="19"/>
  <c r="I103" i="19"/>
  <c r="I107" i="19"/>
  <c r="I111" i="19"/>
  <c r="I115" i="19"/>
  <c r="I621" i="19"/>
  <c r="I629" i="19"/>
  <c r="I637" i="19"/>
  <c r="I829" i="19"/>
  <c r="I837" i="19"/>
  <c r="I845" i="19"/>
  <c r="I881" i="19"/>
  <c r="I885" i="19"/>
  <c r="I889" i="19"/>
  <c r="I893" i="19"/>
  <c r="I897" i="19"/>
  <c r="I901" i="19"/>
  <c r="I905" i="19"/>
  <c r="I909" i="19"/>
  <c r="J1786" i="19"/>
  <c r="J1797" i="19"/>
  <c r="J1808" i="19"/>
  <c r="J1935" i="19"/>
  <c r="J1947" i="19"/>
  <c r="J1958" i="19"/>
  <c r="J1970" i="19"/>
  <c r="J1981" i="19"/>
  <c r="J1991" i="19"/>
  <c r="J2002" i="19"/>
  <c r="J2013" i="19"/>
  <c r="J2023" i="19"/>
  <c r="J2034" i="19"/>
  <c r="J2045" i="19"/>
  <c r="J2055" i="19"/>
  <c r="J2065" i="19"/>
  <c r="J2075" i="19"/>
  <c r="J2085" i="19"/>
  <c r="J2095" i="19"/>
  <c r="J2105" i="19"/>
  <c r="J2114" i="19"/>
  <c r="J2124" i="19"/>
  <c r="J2134" i="19"/>
  <c r="J2145" i="19"/>
  <c r="J2156" i="19"/>
  <c r="J2166" i="19"/>
  <c r="J2175" i="19"/>
  <c r="J2185" i="19"/>
  <c r="J2196" i="19"/>
  <c r="J2206" i="19"/>
  <c r="J2217" i="19"/>
  <c r="J2226" i="19"/>
  <c r="J2236" i="19"/>
  <c r="J2246" i="19"/>
  <c r="J2256" i="19"/>
  <c r="J2267" i="19"/>
  <c r="J2278" i="19"/>
  <c r="J2288" i="19"/>
  <c r="J2298" i="19"/>
  <c r="J2308" i="19"/>
  <c r="J2318" i="19"/>
  <c r="J2328" i="19"/>
  <c r="J2338" i="19"/>
  <c r="J2349" i="19"/>
  <c r="J2360" i="19"/>
  <c r="J2370" i="19"/>
  <c r="J2381" i="19"/>
  <c r="J2392" i="19"/>
  <c r="J2402" i="19"/>
  <c r="J2470" i="19"/>
  <c r="J2478" i="19"/>
  <c r="J2486" i="19"/>
  <c r="J2494" i="19"/>
  <c r="J2522" i="19"/>
  <c r="J2530" i="19"/>
  <c r="J2538" i="19"/>
  <c r="J2546" i="19"/>
  <c r="I2510" i="19"/>
  <c r="I2519" i="19"/>
  <c r="I2527" i="19"/>
  <c r="I2535" i="19"/>
  <c r="I2543" i="19"/>
  <c r="I209" i="19"/>
  <c r="I577" i="19"/>
  <c r="I642" i="19"/>
  <c r="I1706" i="19"/>
  <c r="J1793" i="19"/>
  <c r="J1977" i="19"/>
  <c r="J2051" i="19"/>
  <c r="J2081" i="19"/>
  <c r="J2141" i="19"/>
  <c r="J2202" i="19"/>
  <c r="J2274" i="19"/>
  <c r="J2334" i="19"/>
  <c r="J2398" i="19"/>
  <c r="J2491" i="19"/>
  <c r="J2543" i="19"/>
  <c r="I2532" i="19"/>
  <c r="I44" i="19"/>
  <c r="I203" i="19"/>
  <c r="I207" i="19"/>
  <c r="I211" i="19"/>
  <c r="I215" i="19"/>
  <c r="I219" i="19"/>
  <c r="I223" i="19"/>
  <c r="I227" i="19"/>
  <c r="I567" i="19"/>
  <c r="I571" i="19"/>
  <c r="I575" i="19"/>
  <c r="I579" i="19"/>
  <c r="I583" i="19"/>
  <c r="I587" i="19"/>
  <c r="I622" i="19"/>
  <c r="I630" i="19"/>
  <c r="I638" i="19"/>
  <c r="I830" i="19"/>
  <c r="I838" i="19"/>
  <c r="I846" i="19"/>
  <c r="I1688" i="19"/>
  <c r="I1692" i="19"/>
  <c r="I1696" i="19"/>
  <c r="I1700" i="19"/>
  <c r="I1704" i="19"/>
  <c r="I1708" i="19"/>
  <c r="I1712" i="19"/>
  <c r="I1716" i="19"/>
  <c r="J1787" i="19"/>
  <c r="J1798" i="19"/>
  <c r="J1809" i="19"/>
  <c r="J1937" i="19"/>
  <c r="J1949" i="19"/>
  <c r="J1959" i="19"/>
  <c r="J1971" i="19"/>
  <c r="J1982" i="19"/>
  <c r="J1993" i="19"/>
  <c r="J2003" i="19"/>
  <c r="J2014" i="19"/>
  <c r="J2025" i="19"/>
  <c r="J2035" i="19"/>
  <c r="J2046" i="19"/>
  <c r="J2056" i="19"/>
  <c r="J2066" i="19"/>
  <c r="J2076" i="19"/>
  <c r="J2086" i="19"/>
  <c r="J2096" i="19"/>
  <c r="J2106" i="19"/>
  <c r="J2116" i="19"/>
  <c r="J2125" i="19"/>
  <c r="J2136" i="19"/>
  <c r="J2146" i="19"/>
  <c r="J2157" i="19"/>
  <c r="J2167" i="19"/>
  <c r="J2176" i="19"/>
  <c r="J2186" i="19"/>
  <c r="J2197" i="19"/>
  <c r="J2208" i="19"/>
  <c r="J2218" i="19"/>
  <c r="J2228" i="19"/>
  <c r="J2237" i="19"/>
  <c r="J2247" i="19"/>
  <c r="J2258" i="19"/>
  <c r="J2268" i="19"/>
  <c r="J2279" i="19"/>
  <c r="J2290" i="19"/>
  <c r="J2300" i="19"/>
  <c r="J2309" i="19"/>
  <c r="J2319" i="19"/>
  <c r="J2329" i="19"/>
  <c r="J2340" i="19"/>
  <c r="J2350" i="19"/>
  <c r="J2361" i="19"/>
  <c r="J2372" i="19"/>
  <c r="J2382" i="19"/>
  <c r="J2393" i="19"/>
  <c r="J2404" i="19"/>
  <c r="J2471" i="19"/>
  <c r="J2479" i="19"/>
  <c r="J2487" i="19"/>
  <c r="J2495" i="19"/>
  <c r="J2523" i="19"/>
  <c r="J2531" i="19"/>
  <c r="J2539" i="19"/>
  <c r="I2503" i="19"/>
  <c r="I2511" i="19"/>
  <c r="I2520" i="19"/>
  <c r="I2528" i="19"/>
  <c r="I2536" i="19"/>
  <c r="I2544" i="19"/>
  <c r="I213" i="19"/>
  <c r="I573" i="19"/>
  <c r="I1698" i="19"/>
  <c r="J1943" i="19"/>
  <c r="J2030" i="19"/>
  <c r="J2111" i="19"/>
  <c r="J2181" i="19"/>
  <c r="J2242" i="19"/>
  <c r="J2314" i="19"/>
  <c r="J2366" i="19"/>
  <c r="J2519" i="19"/>
  <c r="I2524" i="19"/>
  <c r="I45" i="19"/>
  <c r="I49" i="19"/>
  <c r="I53" i="19"/>
  <c r="I57" i="19"/>
  <c r="I61" i="19"/>
  <c r="I65" i="19"/>
  <c r="I92" i="19"/>
  <c r="I96" i="19"/>
  <c r="I100" i="19"/>
  <c r="I104" i="19"/>
  <c r="I108" i="19"/>
  <c r="I112" i="19"/>
  <c r="I116" i="19"/>
  <c r="I623" i="19"/>
  <c r="I631" i="19"/>
  <c r="I639" i="19"/>
  <c r="I831" i="19"/>
  <c r="I839" i="19"/>
  <c r="I847" i="19"/>
  <c r="I882" i="19"/>
  <c r="I886" i="19"/>
  <c r="I890" i="19"/>
  <c r="I894" i="19"/>
  <c r="I898" i="19"/>
  <c r="I902" i="19"/>
  <c r="I906" i="19"/>
  <c r="I910" i="19"/>
  <c r="J1789" i="19"/>
  <c r="J1800" i="19"/>
  <c r="J1810" i="19"/>
  <c r="J1938" i="19"/>
  <c r="J1950" i="19"/>
  <c r="J1962" i="19"/>
  <c r="J1973" i="19"/>
  <c r="J1983" i="19"/>
  <c r="J1994" i="19"/>
  <c r="J2005" i="19"/>
  <c r="J2015" i="19"/>
  <c r="J2026" i="19"/>
  <c r="J2047" i="19"/>
  <c r="J2057" i="19"/>
  <c r="J2067" i="19"/>
  <c r="J2077" i="19"/>
  <c r="J2087" i="19"/>
  <c r="J2097" i="19"/>
  <c r="J2107" i="19"/>
  <c r="J2117" i="19"/>
  <c r="J2126" i="19"/>
  <c r="J2137" i="19"/>
  <c r="J2148" i="19"/>
  <c r="J2158" i="19"/>
  <c r="J2168" i="19"/>
  <c r="J2178" i="19"/>
  <c r="J2188" i="19"/>
  <c r="J2198" i="19"/>
  <c r="J2209" i="19"/>
  <c r="J2219" i="19"/>
  <c r="J2229" i="19"/>
  <c r="J2238" i="19"/>
  <c r="J2248" i="19"/>
  <c r="J2259" i="19"/>
  <c r="J2270" i="19"/>
  <c r="J2280" i="19"/>
  <c r="J2291" i="19"/>
  <c r="J2301" i="19"/>
  <c r="J2310" i="19"/>
  <c r="J2320" i="19"/>
  <c r="J2330" i="19"/>
  <c r="J2341" i="19"/>
  <c r="J2352" i="19"/>
  <c r="J2362" i="19"/>
  <c r="J2373" i="19"/>
  <c r="J2384" i="19"/>
  <c r="J2394" i="19"/>
  <c r="J2405" i="19"/>
  <c r="J2472" i="19"/>
  <c r="J2480" i="19"/>
  <c r="J2488" i="19"/>
  <c r="J2496" i="19"/>
  <c r="J2524" i="19"/>
  <c r="J2532" i="19"/>
  <c r="J2540" i="19"/>
  <c r="I2504" i="19"/>
  <c r="I2512" i="19"/>
  <c r="I2521" i="19"/>
  <c r="I2529" i="19"/>
  <c r="I2537" i="19"/>
  <c r="I2545" i="19"/>
  <c r="I225" i="19"/>
  <c r="I850" i="19"/>
  <c r="I1690" i="19"/>
  <c r="J1771" i="19"/>
  <c r="J1987" i="19"/>
  <c r="J2061" i="19"/>
  <c r="J2101" i="19"/>
  <c r="J2152" i="19"/>
  <c r="J2192" i="19"/>
  <c r="J2263" i="19"/>
  <c r="J2324" i="19"/>
  <c r="J2377" i="19"/>
  <c r="J2527" i="19"/>
  <c r="I204" i="19"/>
  <c r="I208" i="19"/>
  <c r="I212" i="19"/>
  <c r="I216" i="19"/>
  <c r="I220" i="19"/>
  <c r="I224" i="19"/>
  <c r="I564" i="19"/>
  <c r="I568" i="19"/>
  <c r="I572" i="19"/>
  <c r="I576" i="19"/>
  <c r="I580" i="19"/>
  <c r="I584" i="19"/>
  <c r="I588" i="19"/>
  <c r="I624" i="19"/>
  <c r="I632" i="19"/>
  <c r="I640" i="19"/>
  <c r="I832" i="19"/>
  <c r="I840" i="19"/>
  <c r="I848" i="19"/>
  <c r="I1689" i="19"/>
  <c r="I1693" i="19"/>
  <c r="I1697" i="19"/>
  <c r="I1701" i="19"/>
  <c r="I1705" i="19"/>
  <c r="I1709" i="19"/>
  <c r="I1713" i="19"/>
  <c r="I1717" i="19"/>
  <c r="J1769" i="19"/>
  <c r="J1790" i="19"/>
  <c r="J1801" i="19"/>
  <c r="J1929" i="19"/>
  <c r="J1939" i="19"/>
  <c r="J1951" i="19"/>
  <c r="J1963" i="19"/>
  <c r="J1974" i="19"/>
  <c r="J1985" i="19"/>
  <c r="J1995" i="19"/>
  <c r="J2006" i="19"/>
  <c r="J2017" i="19"/>
  <c r="J2027" i="19"/>
  <c r="J2049" i="19"/>
  <c r="J2059" i="19"/>
  <c r="J2069" i="19"/>
  <c r="J2079" i="19"/>
  <c r="J2089" i="19"/>
  <c r="J2099" i="19"/>
  <c r="J2108" i="19"/>
  <c r="J2118" i="19"/>
  <c r="J2128" i="19"/>
  <c r="J2138" i="19"/>
  <c r="J2149" i="19"/>
  <c r="J2160" i="19"/>
  <c r="J2169" i="19"/>
  <c r="J2179" i="19"/>
  <c r="J2189" i="19"/>
  <c r="J2200" i="19"/>
  <c r="J2210" i="19"/>
  <c r="J2220" i="19"/>
  <c r="J2230" i="19"/>
  <c r="J2240" i="19"/>
  <c r="J2250" i="19"/>
  <c r="J2260" i="19"/>
  <c r="J2271" i="19"/>
  <c r="J2282" i="19"/>
  <c r="J2292" i="19"/>
  <c r="J2302" i="19"/>
  <c r="J2312" i="19"/>
  <c r="J2321" i="19"/>
  <c r="J2332" i="19"/>
  <c r="J2342" i="19"/>
  <c r="J2353" i="19"/>
  <c r="J2364" i="19"/>
  <c r="J2374" i="19"/>
  <c r="J2385" i="19"/>
  <c r="J2396" i="19"/>
  <c r="J2406" i="19"/>
  <c r="J2473" i="19"/>
  <c r="J2481" i="19"/>
  <c r="J2489" i="19"/>
  <c r="J2497" i="19"/>
  <c r="J2525" i="19"/>
  <c r="J2533" i="19"/>
  <c r="J2541" i="19"/>
  <c r="I2505" i="19"/>
  <c r="I2513" i="19"/>
  <c r="I2522" i="19"/>
  <c r="I2530" i="19"/>
  <c r="I2538" i="19"/>
  <c r="I2546" i="19"/>
  <c r="I205" i="19"/>
  <c r="I569" i="19"/>
  <c r="I826" i="19"/>
  <c r="I1694" i="19"/>
  <c r="I1714" i="19"/>
  <c r="J1954" i="19"/>
  <c r="J2041" i="19"/>
  <c r="J2130" i="19"/>
  <c r="J2213" i="19"/>
  <c r="J2284" i="19"/>
  <c r="J2388" i="19"/>
  <c r="J2475" i="19"/>
  <c r="I2507" i="19"/>
  <c r="I46" i="19"/>
  <c r="I50" i="19"/>
  <c r="I54" i="19"/>
  <c r="I58" i="19"/>
  <c r="I62" i="19"/>
  <c r="I66" i="19"/>
  <c r="I93" i="19"/>
  <c r="I97" i="19"/>
  <c r="I101" i="19"/>
  <c r="I105" i="19"/>
  <c r="I109" i="19"/>
  <c r="I113" i="19"/>
  <c r="I625" i="19"/>
  <c r="I633" i="19"/>
  <c r="I641" i="19"/>
  <c r="I825" i="19"/>
  <c r="I833" i="19"/>
  <c r="I841" i="19"/>
  <c r="I849" i="19"/>
  <c r="I883" i="19"/>
  <c r="I887" i="19"/>
  <c r="I891" i="19"/>
  <c r="I895" i="19"/>
  <c r="I899" i="19"/>
  <c r="I903" i="19"/>
  <c r="I907" i="19"/>
  <c r="I911" i="19"/>
  <c r="J1770" i="19"/>
  <c r="J1792" i="19"/>
  <c r="J1802" i="19"/>
  <c r="J1930" i="19"/>
  <c r="J1942" i="19"/>
  <c r="J1953" i="19"/>
  <c r="J1965" i="19"/>
  <c r="J1975" i="19"/>
  <c r="J1986" i="19"/>
  <c r="J1997" i="19"/>
  <c r="J2007" i="19"/>
  <c r="J2018" i="19"/>
  <c r="J2029" i="19"/>
  <c r="J2050" i="19"/>
  <c r="J2060" i="19"/>
  <c r="J2070" i="19"/>
  <c r="J2080" i="19"/>
  <c r="J2090" i="19"/>
  <c r="J2100" i="19"/>
  <c r="J2110" i="19"/>
  <c r="J2119" i="19"/>
  <c r="J2129" i="19"/>
  <c r="J2140" i="19"/>
  <c r="J2150" i="19"/>
  <c r="J2161" i="19"/>
  <c r="J2170" i="19"/>
  <c r="J2180" i="19"/>
  <c r="J2190" i="19"/>
  <c r="J2201" i="19"/>
  <c r="J2212" i="19"/>
  <c r="J2222" i="19"/>
  <c r="J2231" i="19"/>
  <c r="J2241" i="19"/>
  <c r="J2251" i="19"/>
  <c r="J2262" i="19"/>
  <c r="J2272" i="19"/>
  <c r="J2283" i="19"/>
  <c r="J2294" i="19"/>
  <c r="J2303" i="19"/>
  <c r="J2313" i="19"/>
  <c r="J2322" i="19"/>
  <c r="J2333" i="19"/>
  <c r="J2344" i="19"/>
  <c r="J2354" i="19"/>
  <c r="J2365" i="19"/>
  <c r="J2376" i="19"/>
  <c r="J2386" i="19"/>
  <c r="J2397" i="19"/>
  <c r="J2474" i="19"/>
  <c r="J2482" i="19"/>
  <c r="J2490" i="19"/>
  <c r="J2498" i="19"/>
  <c r="J2526" i="19"/>
  <c r="J2534" i="19"/>
  <c r="J2542" i="19"/>
  <c r="I2506" i="19"/>
  <c r="I2514" i="19"/>
  <c r="I2523" i="19"/>
  <c r="I2531" i="19"/>
  <c r="I2539" i="19"/>
  <c r="J2409" i="19"/>
  <c r="J2418" i="19"/>
  <c r="J2428" i="19"/>
  <c r="J2438" i="19"/>
  <c r="J2447" i="19"/>
  <c r="J2457" i="19"/>
  <c r="J2466" i="19"/>
  <c r="J2410" i="19"/>
  <c r="J2420" i="19"/>
  <c r="J2429" i="19"/>
  <c r="J2439" i="19"/>
  <c r="J2448" i="19"/>
  <c r="J2458" i="19"/>
  <c r="J2411" i="19"/>
  <c r="J2421" i="19"/>
  <c r="J2430" i="19"/>
  <c r="J2440" i="19"/>
  <c r="J2450" i="19"/>
  <c r="J2459" i="19"/>
  <c r="J2412" i="19"/>
  <c r="J2422" i="19"/>
  <c r="J2432" i="19"/>
  <c r="J2441" i="19"/>
  <c r="J2451" i="19"/>
  <c r="J2460" i="19"/>
  <c r="J2414" i="19"/>
  <c r="J2423" i="19"/>
  <c r="J2433" i="19"/>
  <c r="J2442" i="19"/>
  <c r="J2452" i="19"/>
  <c r="J2462" i="19"/>
  <c r="J2037" i="19"/>
  <c r="J2415" i="19"/>
  <c r="J2424" i="19"/>
  <c r="J2434" i="19"/>
  <c r="J2444" i="19"/>
  <c r="J2453" i="19"/>
  <c r="J2463" i="19"/>
  <c r="J2038" i="19"/>
  <c r="J2416" i="19"/>
  <c r="J2426" i="19"/>
  <c r="J2435" i="19"/>
  <c r="J2445" i="19"/>
  <c r="J2454" i="19"/>
  <c r="J2464" i="19"/>
  <c r="J2039" i="19"/>
  <c r="J2408" i="19"/>
  <c r="J2417" i="19"/>
  <c r="J2427" i="19"/>
  <c r="J2436" i="19"/>
  <c r="J2446" i="19"/>
  <c r="J2456" i="19"/>
  <c r="J2465" i="19"/>
  <c r="M704" i="19"/>
  <c r="N704" i="19" s="1"/>
  <c r="M752" i="19"/>
  <c r="N752" i="19" s="1"/>
  <c r="M710" i="19"/>
  <c r="N710" i="19" s="1"/>
  <c r="M758" i="19"/>
  <c r="N758" i="19" s="1"/>
  <c r="M716" i="19"/>
  <c r="N716" i="19" s="1"/>
  <c r="M764" i="19"/>
  <c r="N764" i="19" s="1"/>
  <c r="M722" i="19"/>
  <c r="N722" i="19" s="1"/>
  <c r="M728" i="19"/>
  <c r="N728" i="19" s="1"/>
  <c r="M776" i="19"/>
  <c r="N776" i="19" s="1"/>
  <c r="M734" i="19"/>
  <c r="N734" i="19" s="1"/>
  <c r="M740" i="19"/>
  <c r="N740" i="19" s="1"/>
  <c r="M746" i="19"/>
  <c r="N746" i="19" s="1"/>
  <c r="M275" i="19"/>
  <c r="N275" i="19" s="1"/>
  <c r="M770" i="19"/>
  <c r="N770" i="19" s="1"/>
  <c r="T2523" i="19"/>
  <c r="T2524" i="19"/>
  <c r="T2519" i="19"/>
  <c r="T2508" i="19"/>
  <c r="T2540" i="19"/>
  <c r="T2538" i="19"/>
  <c r="T2546" i="19"/>
  <c r="T2532" i="19"/>
  <c r="T2526" i="19"/>
  <c r="P275" i="19"/>
  <c r="P272" i="19"/>
  <c r="S271" i="19"/>
  <c r="R271" i="19"/>
  <c r="P274" i="19"/>
  <c r="Q271" i="19"/>
  <c r="P273" i="19"/>
  <c r="T2539" i="19"/>
  <c r="T2543" i="19"/>
  <c r="T2527" i="19"/>
  <c r="T2530" i="19"/>
  <c r="T2534" i="19"/>
  <c r="T2525" i="19"/>
  <c r="T2535" i="19"/>
  <c r="T2542" i="19"/>
  <c r="T2531" i="19"/>
  <c r="T2522" i="19"/>
  <c r="M271" i="1"/>
  <c r="N271" i="1" s="1"/>
  <c r="W271" i="1" s="1"/>
  <c r="F3" i="7"/>
  <c r="F2" i="7"/>
  <c r="B3" i="7"/>
  <c r="B2" i="7"/>
  <c r="O2557" i="19"/>
  <c r="I2556" i="19"/>
  <c r="I2555" i="19"/>
  <c r="I2554" i="19"/>
  <c r="I2553" i="19"/>
  <c r="I2552" i="19"/>
  <c r="I2551" i="19"/>
  <c r="M2467" i="19"/>
  <c r="M2466" i="19"/>
  <c r="M2465" i="19"/>
  <c r="M2464" i="19"/>
  <c r="M2463" i="19"/>
  <c r="M2462" i="19"/>
  <c r="M2461" i="19"/>
  <c r="D2461" i="19"/>
  <c r="M2460" i="19"/>
  <c r="M2459" i="19"/>
  <c r="M2458" i="19"/>
  <c r="M2457" i="19"/>
  <c r="M2456" i="19"/>
  <c r="M2455" i="19"/>
  <c r="D2455" i="19"/>
  <c r="M2454" i="19"/>
  <c r="M2453" i="19"/>
  <c r="M2451" i="19"/>
  <c r="M2450" i="19"/>
  <c r="M2449" i="19"/>
  <c r="D2449" i="19"/>
  <c r="M2448" i="19"/>
  <c r="M2447" i="19"/>
  <c r="M2446" i="19"/>
  <c r="M2445" i="19"/>
  <c r="M2444" i="19"/>
  <c r="M2443" i="19"/>
  <c r="D2443" i="19"/>
  <c r="M2442" i="19"/>
  <c r="M2441" i="19"/>
  <c r="M2440" i="19"/>
  <c r="M2439" i="19"/>
  <c r="M2438" i="19"/>
  <c r="M2437" i="19"/>
  <c r="D2437" i="19"/>
  <c r="M2436" i="19"/>
  <c r="M2435" i="19"/>
  <c r="M2434" i="19"/>
  <c r="M2433" i="19"/>
  <c r="M2432" i="19"/>
  <c r="M2431" i="19"/>
  <c r="D2431" i="19"/>
  <c r="M2430" i="19"/>
  <c r="M2429" i="19"/>
  <c r="M2428" i="19"/>
  <c r="M2427" i="19"/>
  <c r="M2426" i="19"/>
  <c r="M2425" i="19"/>
  <c r="D2425" i="19"/>
  <c r="M2424" i="19"/>
  <c r="M2423" i="19"/>
  <c r="M2422" i="19"/>
  <c r="M2421" i="19"/>
  <c r="M2420" i="19"/>
  <c r="M2419" i="19"/>
  <c r="D2419" i="19"/>
  <c r="M2418" i="19"/>
  <c r="M2417" i="19"/>
  <c r="M2416" i="19"/>
  <c r="M2415" i="19"/>
  <c r="M2414" i="19"/>
  <c r="M2413" i="19"/>
  <c r="D2413" i="19"/>
  <c r="M2412" i="19"/>
  <c r="M2411" i="19"/>
  <c r="M2410" i="19"/>
  <c r="M2409" i="19"/>
  <c r="M2408" i="19"/>
  <c r="M2407" i="19"/>
  <c r="D2407" i="19"/>
  <c r="M2406" i="19"/>
  <c r="M2404" i="19"/>
  <c r="M2403" i="19"/>
  <c r="M2402" i="19"/>
  <c r="M2401" i="19"/>
  <c r="M2400" i="19"/>
  <c r="M2399" i="19"/>
  <c r="M2396" i="19"/>
  <c r="M2395" i="19"/>
  <c r="M2394" i="19"/>
  <c r="M2393" i="19"/>
  <c r="M2392" i="19"/>
  <c r="M2391" i="19"/>
  <c r="M2390" i="19"/>
  <c r="M2389" i="19"/>
  <c r="M2388" i="19"/>
  <c r="M2387" i="19"/>
  <c r="M2386" i="19"/>
  <c r="M2385" i="19"/>
  <c r="M2384" i="19"/>
  <c r="M2383" i="19"/>
  <c r="M2382" i="19"/>
  <c r="M2381" i="19"/>
  <c r="M2380" i="19"/>
  <c r="M2379" i="19"/>
  <c r="M2378" i="19"/>
  <c r="M2377" i="19"/>
  <c r="M2375" i="19"/>
  <c r="M2374" i="19"/>
  <c r="M2373" i="19"/>
  <c r="M2372" i="19"/>
  <c r="M2371" i="19"/>
  <c r="M2370" i="19"/>
  <c r="M2368" i="19"/>
  <c r="M2367" i="19"/>
  <c r="M2366" i="19"/>
  <c r="M2365" i="19"/>
  <c r="M2364" i="19"/>
  <c r="M2363" i="19"/>
  <c r="M2360" i="19"/>
  <c r="M2359" i="19"/>
  <c r="M2358" i="19"/>
  <c r="M2357" i="19"/>
  <c r="M2356" i="19"/>
  <c r="M2355" i="19"/>
  <c r="M2354" i="19"/>
  <c r="M2352" i="19"/>
  <c r="M2350" i="19"/>
  <c r="M2349" i="19"/>
  <c r="M2348" i="19"/>
  <c r="M2347" i="19"/>
  <c r="M2346" i="19"/>
  <c r="M2345" i="19"/>
  <c r="M2344" i="19"/>
  <c r="M2343" i="19"/>
  <c r="M2342" i="19"/>
  <c r="M2341" i="19"/>
  <c r="M2340" i="19"/>
  <c r="M2339" i="19"/>
  <c r="M2338" i="19"/>
  <c r="M2337" i="19"/>
  <c r="M2336" i="19"/>
  <c r="M2335" i="19"/>
  <c r="M2334" i="19"/>
  <c r="M2333" i="19"/>
  <c r="M2332" i="19"/>
  <c r="M2331" i="19"/>
  <c r="M2330" i="19"/>
  <c r="M2329" i="19"/>
  <c r="M2328" i="19"/>
  <c r="M2327" i="19"/>
  <c r="M2326" i="19"/>
  <c r="M2325" i="19"/>
  <c r="M2324" i="19"/>
  <c r="M2323" i="19"/>
  <c r="M2322" i="19"/>
  <c r="M2321" i="19"/>
  <c r="M2320" i="19"/>
  <c r="M2319" i="19"/>
  <c r="M2318" i="19"/>
  <c r="M2317" i="19"/>
  <c r="M2316" i="19"/>
  <c r="M2315" i="19"/>
  <c r="M2314" i="19"/>
  <c r="M2313" i="19"/>
  <c r="M2312" i="19"/>
  <c r="M2311" i="19"/>
  <c r="M2310" i="19"/>
  <c r="M2309" i="19"/>
  <c r="M2308" i="19"/>
  <c r="M2307" i="19"/>
  <c r="M2306" i="19"/>
  <c r="M2305" i="19"/>
  <c r="M2304" i="19"/>
  <c r="M2303" i="19"/>
  <c r="M2302" i="19"/>
  <c r="M2301" i="19"/>
  <c r="M2300" i="19"/>
  <c r="M2299" i="19"/>
  <c r="M2298" i="19"/>
  <c r="M2297" i="19"/>
  <c r="M2296" i="19"/>
  <c r="M2295" i="19"/>
  <c r="M2294" i="19"/>
  <c r="M2293" i="19"/>
  <c r="M2292" i="19"/>
  <c r="M2291" i="19"/>
  <c r="M2290" i="19"/>
  <c r="M2289" i="19"/>
  <c r="M2288" i="19"/>
  <c r="M2287" i="19"/>
  <c r="M2286" i="19"/>
  <c r="M2285" i="19"/>
  <c r="M2284" i="19"/>
  <c r="M2283" i="19"/>
  <c r="M2281" i="19"/>
  <c r="M2280" i="19"/>
  <c r="M2278" i="19"/>
  <c r="M2277" i="19"/>
  <c r="M2276" i="19"/>
  <c r="M2275" i="19"/>
  <c r="M2274" i="19"/>
  <c r="M2273" i="19"/>
  <c r="M2272" i="19"/>
  <c r="M2271" i="19"/>
  <c r="M2270" i="19"/>
  <c r="M2268" i="19"/>
  <c r="M2267" i="19"/>
  <c r="M2266" i="19"/>
  <c r="M2265" i="19"/>
  <c r="M2263" i="19"/>
  <c r="M2262" i="19"/>
  <c r="M2260" i="19"/>
  <c r="M2259" i="19"/>
  <c r="M2258" i="19"/>
  <c r="M2257" i="19"/>
  <c r="M2255" i="19"/>
  <c r="M2254" i="19"/>
  <c r="M2253" i="19"/>
  <c r="M2252" i="19"/>
  <c r="M2251" i="19"/>
  <c r="M2250" i="19"/>
  <c r="M2249" i="19"/>
  <c r="M2247" i="19"/>
  <c r="M2246" i="19"/>
  <c r="M2244" i="19"/>
  <c r="M2243" i="19"/>
  <c r="M2242" i="19"/>
  <c r="M2241" i="19"/>
  <c r="M2240" i="19"/>
  <c r="M2239" i="19"/>
  <c r="M2238" i="19"/>
  <c r="M2237" i="19"/>
  <c r="M2236" i="19"/>
  <c r="M2235" i="19"/>
  <c r="M2234" i="19"/>
  <c r="M2233" i="19"/>
  <c r="M2232" i="19"/>
  <c r="M2231" i="19"/>
  <c r="M2230" i="19"/>
  <c r="M2228" i="19"/>
  <c r="M2227" i="19"/>
  <c r="M2226" i="19"/>
  <c r="M2225" i="19"/>
  <c r="M2224" i="19"/>
  <c r="M2223" i="19"/>
  <c r="M2222" i="19"/>
  <c r="M2220" i="19"/>
  <c r="M2219" i="19"/>
  <c r="M2218" i="19"/>
  <c r="M2217" i="19"/>
  <c r="M2216" i="19"/>
  <c r="M2215" i="19"/>
  <c r="M2214" i="19"/>
  <c r="M2213" i="19"/>
  <c r="M2210" i="19"/>
  <c r="M2209" i="19"/>
  <c r="M2208" i="19"/>
  <c r="M2205" i="19"/>
  <c r="M2204" i="19"/>
  <c r="M2203" i="19"/>
  <c r="M2201" i="19"/>
  <c r="M2200" i="19"/>
  <c r="M2199" i="19"/>
  <c r="M2198" i="19"/>
  <c r="M2197" i="19"/>
  <c r="M2196" i="19"/>
  <c r="M2195" i="19"/>
  <c r="M2194" i="19"/>
  <c r="M2193" i="19"/>
  <c r="M2192" i="19"/>
  <c r="M2189" i="19"/>
  <c r="M2188" i="19"/>
  <c r="M2187" i="19"/>
  <c r="M2185" i="19"/>
  <c r="M2184" i="19"/>
  <c r="M2183" i="19"/>
  <c r="M2182" i="19"/>
  <c r="M2181" i="19"/>
  <c r="M2180" i="19"/>
  <c r="M2179" i="19"/>
  <c r="M2178" i="19"/>
  <c r="M2177" i="19"/>
  <c r="M2176" i="19"/>
  <c r="M2175" i="19"/>
  <c r="M2174" i="19"/>
  <c r="M2173" i="19"/>
  <c r="M2172" i="19"/>
  <c r="M2171" i="19"/>
  <c r="M2170" i="19"/>
  <c r="M2168" i="19"/>
  <c r="M2167" i="19"/>
  <c r="M2166" i="19"/>
  <c r="M2165" i="19"/>
  <c r="M2164" i="19"/>
  <c r="M2162" i="19"/>
  <c r="M2161" i="19"/>
  <c r="M2160" i="19"/>
  <c r="M2159" i="19"/>
  <c r="M2158" i="19"/>
  <c r="M2157" i="19"/>
  <c r="M2156" i="19"/>
  <c r="M2155" i="19"/>
  <c r="M2154" i="19"/>
  <c r="M2153" i="19"/>
  <c r="M2152" i="19"/>
  <c r="M2151" i="19"/>
  <c r="M2150" i="19"/>
  <c r="M2149" i="19"/>
  <c r="M2148" i="19"/>
  <c r="M2147" i="19"/>
  <c r="M2146" i="19"/>
  <c r="M2145" i="19"/>
  <c r="M2144" i="19"/>
  <c r="M2143" i="19"/>
  <c r="M2142" i="19"/>
  <c r="M2141" i="19"/>
  <c r="M2140" i="19"/>
  <c r="M2139" i="19"/>
  <c r="M2138" i="19"/>
  <c r="M2137" i="19"/>
  <c r="M2136" i="19"/>
  <c r="M2135" i="19"/>
  <c r="M2134" i="19"/>
  <c r="M2133" i="19"/>
  <c r="M2132" i="19"/>
  <c r="M2131" i="19"/>
  <c r="M2130" i="19"/>
  <c r="M2129" i="19"/>
  <c r="M2128" i="19"/>
  <c r="M2126" i="19"/>
  <c r="M2125" i="19"/>
  <c r="M2124" i="19"/>
  <c r="M2123" i="19"/>
  <c r="M2122" i="19"/>
  <c r="M2121" i="19"/>
  <c r="M2120" i="19"/>
  <c r="M2119" i="19"/>
  <c r="M2118" i="19"/>
  <c r="M2117" i="19"/>
  <c r="M2116" i="19"/>
  <c r="M2115" i="19"/>
  <c r="M2114" i="19"/>
  <c r="M2113" i="19"/>
  <c r="M2112" i="19"/>
  <c r="M2111" i="19"/>
  <c r="M2110" i="19"/>
  <c r="M2109" i="19"/>
  <c r="M2108" i="19"/>
  <c r="M2107" i="19"/>
  <c r="M2106" i="19"/>
  <c r="M2105" i="19"/>
  <c r="M2104" i="19"/>
  <c r="M2102" i="19"/>
  <c r="M2101" i="19"/>
  <c r="M2100" i="19"/>
  <c r="M2099" i="19"/>
  <c r="M2098" i="19"/>
  <c r="M2097" i="19"/>
  <c r="M2096" i="19"/>
  <c r="M2095" i="19"/>
  <c r="M2094" i="19"/>
  <c r="M2093" i="19"/>
  <c r="M2092" i="19"/>
  <c r="M2091" i="19"/>
  <c r="M2090" i="19"/>
  <c r="M2089" i="19"/>
  <c r="M2088" i="19"/>
  <c r="M2087" i="19"/>
  <c r="M2086" i="19"/>
  <c r="M2085" i="19"/>
  <c r="M2084" i="19"/>
  <c r="M2083" i="19"/>
  <c r="M2082" i="19"/>
  <c r="M2081" i="19"/>
  <c r="M2080" i="19"/>
  <c r="M2079" i="19"/>
  <c r="M2078" i="19"/>
  <c r="M2077" i="19"/>
  <c r="M2076" i="19"/>
  <c r="M2074" i="19"/>
  <c r="M2073" i="19"/>
  <c r="M2072" i="19"/>
  <c r="M2071" i="19"/>
  <c r="M2070" i="19"/>
  <c r="M2069" i="19"/>
  <c r="M2068" i="19"/>
  <c r="M2067" i="19"/>
  <c r="M2066" i="19"/>
  <c r="M2065" i="19"/>
  <c r="M2064" i="19"/>
  <c r="M2063" i="19"/>
  <c r="M2062" i="19"/>
  <c r="M2061" i="19"/>
  <c r="M2060" i="19"/>
  <c r="M2059" i="19"/>
  <c r="M2058" i="19"/>
  <c r="M2057" i="19"/>
  <c r="M2056" i="19"/>
  <c r="M2055" i="19"/>
  <c r="M2053" i="19"/>
  <c r="M2052" i="19"/>
  <c r="M2051" i="19"/>
  <c r="M2049" i="19"/>
  <c r="M2048" i="19"/>
  <c r="M2047" i="19"/>
  <c r="M2046" i="19"/>
  <c r="M2045" i="19"/>
  <c r="M2043" i="19"/>
  <c r="M2041" i="19"/>
  <c r="M2040" i="19"/>
  <c r="M2039" i="19"/>
  <c r="M2038" i="19"/>
  <c r="M2037" i="19"/>
  <c r="M2036" i="19"/>
  <c r="M2035" i="19"/>
  <c r="M2034" i="19"/>
  <c r="M2032" i="19"/>
  <c r="M2030" i="19"/>
  <c r="M2029" i="19"/>
  <c r="M2028" i="19"/>
  <c r="M2027" i="19"/>
  <c r="M2026" i="19"/>
  <c r="M2025" i="19"/>
  <c r="M2024" i="19"/>
  <c r="M2023" i="19"/>
  <c r="M2022" i="19"/>
  <c r="M2021" i="19"/>
  <c r="M2020" i="19"/>
  <c r="M2019" i="19"/>
  <c r="M2018" i="19"/>
  <c r="M2017" i="19"/>
  <c r="M2016" i="19"/>
  <c r="M2015" i="19"/>
  <c r="M2013" i="19"/>
  <c r="M2012" i="19"/>
  <c r="M2011" i="19"/>
  <c r="M2010" i="19"/>
  <c r="M2009" i="19"/>
  <c r="M2008" i="19"/>
  <c r="M2007" i="19"/>
  <c r="M2006" i="19"/>
  <c r="M2005" i="19"/>
  <c r="M2004" i="19"/>
  <c r="M2003" i="19"/>
  <c r="M2002" i="19"/>
  <c r="M2001" i="19"/>
  <c r="M2000" i="19"/>
  <c r="M1999" i="19"/>
  <c r="M1998" i="19"/>
  <c r="M1997" i="19"/>
  <c r="M1996" i="19"/>
  <c r="M1995" i="19"/>
  <c r="M1994" i="19"/>
  <c r="M1993" i="19"/>
  <c r="M1992" i="19"/>
  <c r="M1991" i="19"/>
  <c r="M1990" i="19"/>
  <c r="M1989" i="19"/>
  <c r="M1988" i="19"/>
  <c r="M1987" i="19"/>
  <c r="M1986" i="19"/>
  <c r="M1985" i="19"/>
  <c r="M1984" i="19"/>
  <c r="M1983" i="19"/>
  <c r="M1982" i="19"/>
  <c r="M1981" i="19"/>
  <c r="M1980" i="19"/>
  <c r="M1979" i="19"/>
  <c r="M1978" i="19"/>
  <c r="M1977" i="19"/>
  <c r="M1976" i="19"/>
  <c r="M1975" i="19"/>
  <c r="M1974" i="19"/>
  <c r="M1973" i="19"/>
  <c r="M1972" i="19"/>
  <c r="M1971" i="19"/>
  <c r="M1970" i="19"/>
  <c r="M1968" i="19"/>
  <c r="M1967" i="19"/>
  <c r="M1966" i="19"/>
  <c r="M1965" i="19"/>
  <c r="M1964" i="19"/>
  <c r="M1963" i="19"/>
  <c r="M1962" i="19"/>
  <c r="M1961" i="19"/>
  <c r="M1960" i="19"/>
  <c r="M1959" i="19"/>
  <c r="M1958" i="19"/>
  <c r="M1957" i="19"/>
  <c r="M1956" i="19"/>
  <c r="M1955" i="19"/>
  <c r="M1954" i="19"/>
  <c r="M1952" i="19"/>
  <c r="M1951" i="19"/>
  <c r="M1949" i="19"/>
  <c r="M1948" i="19"/>
  <c r="M1947" i="19"/>
  <c r="M1946" i="19"/>
  <c r="M1945" i="19"/>
  <c r="M1944" i="19"/>
  <c r="M1943" i="19"/>
  <c r="M1942" i="19"/>
  <c r="M1941" i="19"/>
  <c r="M1940" i="19"/>
  <c r="M1939" i="19"/>
  <c r="M1938" i="19"/>
  <c r="M1937" i="19"/>
  <c r="M1936" i="19"/>
  <c r="M1935" i="19"/>
  <c r="M1934" i="19"/>
  <c r="M1933" i="19"/>
  <c r="M1932" i="19"/>
  <c r="M1931" i="19"/>
  <c r="M1930" i="19"/>
  <c r="M1929" i="19"/>
  <c r="M1928" i="19"/>
  <c r="M1927" i="19"/>
  <c r="M1926" i="19"/>
  <c r="M1925" i="19"/>
  <c r="M1924" i="19"/>
  <c r="M1923" i="19"/>
  <c r="M1921" i="19"/>
  <c r="M1920" i="19"/>
  <c r="M1919" i="19"/>
  <c r="M1918" i="19"/>
  <c r="M1917" i="19"/>
  <c r="M1916" i="19"/>
  <c r="M1915" i="19"/>
  <c r="M1914" i="19"/>
  <c r="M1912" i="19"/>
  <c r="M1911" i="19"/>
  <c r="M1910" i="19"/>
  <c r="M1909" i="19"/>
  <c r="M1908" i="19"/>
  <c r="M1907" i="19"/>
  <c r="M1906" i="19"/>
  <c r="M1905" i="19"/>
  <c r="M1904" i="19"/>
  <c r="M1903" i="19"/>
  <c r="M1902" i="19"/>
  <c r="M1901" i="19"/>
  <c r="M1900" i="19"/>
  <c r="M1899" i="19"/>
  <c r="M1898" i="19"/>
  <c r="M1897" i="19"/>
  <c r="M1896" i="19"/>
  <c r="M1895" i="19"/>
  <c r="M1894" i="19"/>
  <c r="M1893" i="19"/>
  <c r="M1892" i="19"/>
  <c r="M1891" i="19"/>
  <c r="M1890" i="19"/>
  <c r="M1889" i="19"/>
  <c r="M1888" i="19"/>
  <c r="M1887" i="19"/>
  <c r="M1886" i="19"/>
  <c r="M1884" i="19"/>
  <c r="M1883" i="19"/>
  <c r="M1882" i="19"/>
  <c r="M1880" i="19"/>
  <c r="M1879" i="19"/>
  <c r="M1878" i="19"/>
  <c r="M1877" i="19"/>
  <c r="M1876" i="19"/>
  <c r="M1875" i="19"/>
  <c r="M1874" i="19"/>
  <c r="M1873" i="19"/>
  <c r="M1871" i="19"/>
  <c r="M1870" i="19"/>
  <c r="M1869" i="19"/>
  <c r="M1868" i="19"/>
  <c r="M1867" i="19"/>
  <c r="M1866" i="19"/>
  <c r="M1865" i="19"/>
  <c r="M1864" i="19"/>
  <c r="M1863" i="19"/>
  <c r="M1862" i="19"/>
  <c r="M1860" i="19"/>
  <c r="M1859" i="19"/>
  <c r="M1858" i="19"/>
  <c r="M1857" i="19"/>
  <c r="M1856" i="19"/>
  <c r="M1855" i="19"/>
  <c r="M1854" i="19"/>
  <c r="M1853" i="19"/>
  <c r="M1852" i="19"/>
  <c r="M1851" i="19"/>
  <c r="M1850" i="19"/>
  <c r="M1849" i="19"/>
  <c r="M1848" i="19"/>
  <c r="M1847" i="19"/>
  <c r="M1846" i="19"/>
  <c r="M1845" i="19"/>
  <c r="M1844" i="19"/>
  <c r="M1843" i="19"/>
  <c r="M1842" i="19"/>
  <c r="M1841" i="19"/>
  <c r="M1840" i="19"/>
  <c r="M1839" i="19"/>
  <c r="M1838" i="19"/>
  <c r="M1837" i="19"/>
  <c r="M1836" i="19"/>
  <c r="M1835" i="19"/>
  <c r="M1833" i="19"/>
  <c r="M1832" i="19"/>
  <c r="M1831" i="19"/>
  <c r="M1830" i="19"/>
  <c r="M1829" i="19"/>
  <c r="M1828" i="19"/>
  <c r="M1827" i="19"/>
  <c r="M1826" i="19"/>
  <c r="M1825" i="19"/>
  <c r="M1824" i="19"/>
  <c r="M1823" i="19"/>
  <c r="M1822" i="19"/>
  <c r="M1821" i="19"/>
  <c r="M1820" i="19"/>
  <c r="M1818" i="19"/>
  <c r="M1817" i="19"/>
  <c r="M1816" i="19"/>
  <c r="M1815" i="19"/>
  <c r="M1814" i="19"/>
  <c r="M1813" i="19"/>
  <c r="M1812" i="19"/>
  <c r="M1811" i="19"/>
  <c r="M1810" i="19"/>
  <c r="M1809" i="19"/>
  <c r="M1808" i="19"/>
  <c r="M1807" i="19"/>
  <c r="M1806" i="19"/>
  <c r="M1805" i="19"/>
  <c r="M1804" i="19"/>
  <c r="M1803" i="19"/>
  <c r="M1802" i="19"/>
  <c r="M1801" i="19"/>
  <c r="M1800" i="19"/>
  <c r="M1799" i="19"/>
  <c r="M1797" i="19"/>
  <c r="M1796" i="19"/>
  <c r="M1795" i="19"/>
  <c r="M1794" i="19"/>
  <c r="M1793" i="19"/>
  <c r="M1792" i="19"/>
  <c r="M1791" i="19"/>
  <c r="M1789" i="19"/>
  <c r="M1788" i="19"/>
  <c r="M1787" i="19"/>
  <c r="M1786" i="19"/>
  <c r="M1785" i="19"/>
  <c r="M1784" i="19"/>
  <c r="M1783" i="19"/>
  <c r="M1781" i="19"/>
  <c r="M1779" i="19"/>
  <c r="M1778" i="19"/>
  <c r="M1776" i="19"/>
  <c r="M1775" i="19"/>
  <c r="M1774" i="19"/>
  <c r="M1773" i="19"/>
  <c r="M1772" i="19"/>
  <c r="M1771" i="19"/>
  <c r="M1770" i="19"/>
  <c r="M1769" i="19"/>
  <c r="M1768" i="19"/>
  <c r="M1767" i="19"/>
  <c r="M1766" i="19"/>
  <c r="M1765" i="19"/>
  <c r="M1764" i="19"/>
  <c r="M1763" i="19"/>
  <c r="M1762" i="19"/>
  <c r="M1761" i="19"/>
  <c r="M1760" i="19"/>
  <c r="M1759" i="19"/>
  <c r="M1758" i="19"/>
  <c r="M1757" i="19"/>
  <c r="M1756" i="19"/>
  <c r="M1755" i="19"/>
  <c r="M1754" i="19"/>
  <c r="M1753" i="19"/>
  <c r="M1752" i="19"/>
  <c r="M1751" i="19"/>
  <c r="M1750" i="19"/>
  <c r="M1749" i="19"/>
  <c r="M1748" i="19"/>
  <c r="M1747" i="19"/>
  <c r="M1746" i="19"/>
  <c r="M1745" i="19"/>
  <c r="M1744" i="19"/>
  <c r="M1743" i="19"/>
  <c r="M1742" i="19"/>
  <c r="M1741" i="19"/>
  <c r="M1740" i="19"/>
  <c r="M1739" i="19"/>
  <c r="M1738" i="19"/>
  <c r="M1737" i="19"/>
  <c r="M1736" i="19"/>
  <c r="M1735" i="19"/>
  <c r="M1734" i="19"/>
  <c r="M1733" i="19"/>
  <c r="M1732" i="19"/>
  <c r="M1731" i="19"/>
  <c r="M1730" i="19"/>
  <c r="M1729" i="19"/>
  <c r="M1728" i="19"/>
  <c r="M1727" i="19"/>
  <c r="M1726" i="19"/>
  <c r="M1725" i="19"/>
  <c r="M1724" i="19"/>
  <c r="M1722" i="19"/>
  <c r="M1721" i="19"/>
  <c r="M1687" i="19"/>
  <c r="M1686" i="19"/>
  <c r="M1685" i="19"/>
  <c r="M1684" i="19"/>
  <c r="M1683" i="19"/>
  <c r="M1682" i="19"/>
  <c r="M1681" i="19"/>
  <c r="M1680" i="19"/>
  <c r="M1679" i="19"/>
  <c r="M1678" i="19"/>
  <c r="M1677" i="19"/>
  <c r="M1676" i="19"/>
  <c r="M1674" i="19"/>
  <c r="M1673" i="19"/>
  <c r="M1672" i="19"/>
  <c r="M1671" i="19"/>
  <c r="M1670" i="19"/>
  <c r="M1669" i="19"/>
  <c r="M1668" i="19"/>
  <c r="M1667" i="19"/>
  <c r="M1666" i="19"/>
  <c r="M1665" i="19"/>
  <c r="M1664" i="19"/>
  <c r="M1663" i="19"/>
  <c r="M1661" i="19"/>
  <c r="M1660" i="19"/>
  <c r="M1659" i="19"/>
  <c r="M1658" i="19"/>
  <c r="M1657" i="19"/>
  <c r="M1656" i="19"/>
  <c r="M1655" i="19"/>
  <c r="M1654" i="19"/>
  <c r="M1653" i="19"/>
  <c r="M1652" i="19"/>
  <c r="M1651" i="19"/>
  <c r="M1650" i="19"/>
  <c r="M1649" i="19"/>
  <c r="M1648" i="19"/>
  <c r="M1647" i="19"/>
  <c r="M1646" i="19"/>
  <c r="M1645" i="19"/>
  <c r="M1644" i="19"/>
  <c r="M1643" i="19"/>
  <c r="M1642" i="19"/>
  <c r="M1641" i="19"/>
  <c r="M1640" i="19"/>
  <c r="M1639" i="19"/>
  <c r="M1638" i="19"/>
  <c r="M1637" i="19"/>
  <c r="M1636" i="19"/>
  <c r="M1635" i="19"/>
  <c r="M1633" i="19"/>
  <c r="M1632" i="19"/>
  <c r="M1631" i="19"/>
  <c r="M1630" i="19"/>
  <c r="M1629" i="19"/>
  <c r="M1628" i="19"/>
  <c r="M1627" i="19"/>
  <c r="M1626" i="19"/>
  <c r="M1591" i="19"/>
  <c r="M1590" i="19"/>
  <c r="M1589" i="19"/>
  <c r="M1588" i="19"/>
  <c r="M1587" i="19"/>
  <c r="M1586" i="19"/>
  <c r="M1585" i="19"/>
  <c r="M1584" i="19"/>
  <c r="M1583" i="19"/>
  <c r="M1582" i="19"/>
  <c r="M1581" i="19"/>
  <c r="M1580" i="19"/>
  <c r="M1579" i="19"/>
  <c r="M1578" i="19"/>
  <c r="M1577" i="19"/>
  <c r="M1576" i="19"/>
  <c r="M1575" i="19"/>
  <c r="M1574" i="19"/>
  <c r="M1573" i="19"/>
  <c r="M1572" i="19"/>
  <c r="M1571" i="19"/>
  <c r="M1570" i="19"/>
  <c r="M1569" i="19"/>
  <c r="M1568" i="19"/>
  <c r="M1567" i="19"/>
  <c r="M1566" i="19"/>
  <c r="M1565" i="19"/>
  <c r="M1564" i="19"/>
  <c r="M1563" i="19"/>
  <c r="M1562" i="19"/>
  <c r="M1560" i="19"/>
  <c r="M1559" i="19"/>
  <c r="M1558" i="19"/>
  <c r="M1557" i="19"/>
  <c r="M1556" i="19"/>
  <c r="M1555" i="19"/>
  <c r="M1554" i="19"/>
  <c r="M1553" i="19"/>
  <c r="M1552" i="19"/>
  <c r="M1551" i="19"/>
  <c r="M1550" i="19"/>
  <c r="M1549" i="19"/>
  <c r="M1548" i="19"/>
  <c r="M1547" i="19"/>
  <c r="M1546" i="19"/>
  <c r="M1545" i="19"/>
  <c r="M1544" i="19"/>
  <c r="M1543" i="19"/>
  <c r="M1542" i="19"/>
  <c r="M1541" i="19"/>
  <c r="M1540" i="19"/>
  <c r="M1539" i="19"/>
  <c r="M1538" i="19"/>
  <c r="M1536" i="19"/>
  <c r="M1535" i="19"/>
  <c r="M1534" i="19"/>
  <c r="M1533" i="19"/>
  <c r="M1532" i="19"/>
  <c r="M1531" i="19"/>
  <c r="M1530" i="19"/>
  <c r="M1529" i="19"/>
  <c r="M1527" i="19"/>
  <c r="M1526" i="19"/>
  <c r="M1525" i="19"/>
  <c r="M1524" i="19"/>
  <c r="M1523" i="19"/>
  <c r="M1522" i="19"/>
  <c r="M1521" i="19"/>
  <c r="M1520" i="19"/>
  <c r="M1519" i="19"/>
  <c r="M1518" i="19"/>
  <c r="M1517" i="19"/>
  <c r="M1516" i="19"/>
  <c r="M1515" i="19"/>
  <c r="M1514" i="19"/>
  <c r="M1513" i="19"/>
  <c r="M1512" i="19"/>
  <c r="M1510" i="19"/>
  <c r="M1509" i="19"/>
  <c r="M1508" i="19"/>
  <c r="M1507" i="19"/>
  <c r="M1506" i="19"/>
  <c r="M1504" i="19"/>
  <c r="M1503" i="19"/>
  <c r="M1502" i="19"/>
  <c r="M1500" i="19"/>
  <c r="M1499" i="19"/>
  <c r="M1498" i="19"/>
  <c r="M1496" i="19"/>
  <c r="M1495" i="19"/>
  <c r="M1494" i="19"/>
  <c r="M1493" i="19"/>
  <c r="M1492" i="19"/>
  <c r="M1491" i="19"/>
  <c r="M1490" i="19"/>
  <c r="M1489" i="19"/>
  <c r="M1488" i="19"/>
  <c r="M1487" i="19"/>
  <c r="M1486" i="19"/>
  <c r="M1485" i="19"/>
  <c r="M1484" i="19"/>
  <c r="M1483" i="19"/>
  <c r="M1482" i="19"/>
  <c r="M1481" i="19"/>
  <c r="M1480" i="19"/>
  <c r="M1479" i="19"/>
  <c r="M1478" i="19"/>
  <c r="M1477" i="19"/>
  <c r="M1475" i="19"/>
  <c r="M1474" i="19"/>
  <c r="M1473" i="19"/>
  <c r="M1472" i="19"/>
  <c r="M1471" i="19"/>
  <c r="M1470" i="19"/>
  <c r="M1469" i="19"/>
  <c r="M1468" i="19"/>
  <c r="M1467" i="19"/>
  <c r="M1466" i="19"/>
  <c r="M1465" i="19"/>
  <c r="M1464" i="19"/>
  <c r="M1463" i="19"/>
  <c r="M1462" i="19"/>
  <c r="M1461" i="19"/>
  <c r="M1460" i="19"/>
  <c r="M1459" i="19"/>
  <c r="M1458" i="19"/>
  <c r="M1457" i="19"/>
  <c r="M1456" i="19"/>
  <c r="M1455" i="19"/>
  <c r="M1454" i="19"/>
  <c r="M1453" i="19"/>
  <c r="M1452" i="19"/>
  <c r="M1451" i="19"/>
  <c r="M1450" i="19"/>
  <c r="M1449" i="19"/>
  <c r="M1448" i="19"/>
  <c r="M1446" i="19"/>
  <c r="M1445" i="19"/>
  <c r="M1444" i="19"/>
  <c r="M1443" i="19"/>
  <c r="M1442" i="19"/>
  <c r="M1441" i="19"/>
  <c r="M1440" i="19"/>
  <c r="M1439" i="19"/>
  <c r="M1438" i="19"/>
  <c r="M1437" i="19"/>
  <c r="M1436" i="19"/>
  <c r="M1435" i="19"/>
  <c r="M1434" i="19"/>
  <c r="M1433" i="19"/>
  <c r="M1431" i="19"/>
  <c r="M1430" i="19"/>
  <c r="M1429" i="19"/>
  <c r="M1428" i="19"/>
  <c r="M1427" i="19"/>
  <c r="M1426" i="19"/>
  <c r="M1425" i="19"/>
  <c r="M1424" i="19"/>
  <c r="M1423" i="19"/>
  <c r="M1422" i="19"/>
  <c r="M1421" i="19"/>
  <c r="M1420" i="19"/>
  <c r="M1419" i="19"/>
  <c r="M1418" i="19"/>
  <c r="M1417" i="19"/>
  <c r="M1416" i="19"/>
  <c r="M1415" i="19"/>
  <c r="M1414" i="19"/>
  <c r="M1413" i="19"/>
  <c r="M1412" i="19"/>
  <c r="M1411" i="19"/>
  <c r="M1410" i="19"/>
  <c r="M1409" i="19"/>
  <c r="M1408" i="19"/>
  <c r="M1407" i="19"/>
  <c r="M1406" i="19"/>
  <c r="M1405" i="19"/>
  <c r="M1404" i="19"/>
  <c r="M1403" i="19"/>
  <c r="M1402" i="19"/>
  <c r="M1401" i="19"/>
  <c r="M1400" i="19"/>
  <c r="M1399" i="19"/>
  <c r="M1398" i="19"/>
  <c r="M1397" i="19"/>
  <c r="M1396" i="19"/>
  <c r="M1395" i="19"/>
  <c r="M1394" i="19"/>
  <c r="M1393" i="19"/>
  <c r="M1392" i="19"/>
  <c r="M1391" i="19"/>
  <c r="M1389" i="19"/>
  <c r="M1388" i="19"/>
  <c r="M1387" i="19"/>
  <c r="M1386" i="19"/>
  <c r="M1385" i="19"/>
  <c r="M1384" i="19"/>
  <c r="M1383" i="19"/>
  <c r="M1382" i="19"/>
  <c r="M1381" i="19"/>
  <c r="M1380" i="19"/>
  <c r="M1379" i="19"/>
  <c r="M1378" i="19"/>
  <c r="M1377" i="19"/>
  <c r="M1376" i="19"/>
  <c r="M1375" i="19"/>
  <c r="M1374" i="19"/>
  <c r="M1372" i="19"/>
  <c r="M1371" i="19"/>
  <c r="M1370" i="19"/>
  <c r="M1369" i="19"/>
  <c r="M1368" i="19"/>
  <c r="M1367" i="19"/>
  <c r="M1366" i="19"/>
  <c r="M1365" i="19"/>
  <c r="M1364" i="19"/>
  <c r="M1363" i="19"/>
  <c r="M1362" i="19"/>
  <c r="M1361" i="19"/>
  <c r="M1360" i="19"/>
  <c r="M1359" i="19"/>
  <c r="M1358" i="19"/>
  <c r="M1357" i="19"/>
  <c r="M1356" i="19"/>
  <c r="M1355" i="19"/>
  <c r="M1353" i="19"/>
  <c r="M1352" i="19"/>
  <c r="M1351" i="19"/>
  <c r="M1350" i="19"/>
  <c r="M1349" i="19"/>
  <c r="M1348" i="19"/>
  <c r="M1347" i="19"/>
  <c r="M1346" i="19"/>
  <c r="M1345" i="19"/>
  <c r="M1343" i="19"/>
  <c r="M1342" i="19"/>
  <c r="M1341" i="19"/>
  <c r="M1340" i="19"/>
  <c r="M1339" i="19"/>
  <c r="M1338" i="19"/>
  <c r="M1337" i="19"/>
  <c r="M1336" i="19"/>
  <c r="M1335" i="19"/>
  <c r="M1334" i="19"/>
  <c r="M1333" i="19"/>
  <c r="M1332" i="19"/>
  <c r="M1331" i="19"/>
  <c r="M1330" i="19"/>
  <c r="M1329" i="19"/>
  <c r="M1328" i="19"/>
  <c r="M1327" i="19"/>
  <c r="M1326" i="19"/>
  <c r="M1325" i="19"/>
  <c r="M1324" i="19"/>
  <c r="M1323" i="19"/>
  <c r="M1322" i="19"/>
  <c r="M1321" i="19"/>
  <c r="M1320" i="19"/>
  <c r="M1319" i="19"/>
  <c r="M1318" i="19"/>
  <c r="M1317" i="19"/>
  <c r="M1316" i="19"/>
  <c r="M1315" i="19"/>
  <c r="M1314" i="19"/>
  <c r="M1312" i="19"/>
  <c r="M1311" i="19"/>
  <c r="M1310" i="19"/>
  <c r="M1309" i="19"/>
  <c r="M1307" i="19"/>
  <c r="M1306" i="19"/>
  <c r="M1305" i="19"/>
  <c r="M1304" i="19"/>
  <c r="M1303" i="19"/>
  <c r="M1302" i="19"/>
  <c r="M1301" i="19"/>
  <c r="M1300" i="19"/>
  <c r="M1299" i="19"/>
  <c r="M1298" i="19"/>
  <c r="M1296" i="19"/>
  <c r="M1295" i="19"/>
  <c r="M1294" i="19"/>
  <c r="M1292" i="19"/>
  <c r="M1291" i="19"/>
  <c r="M1290" i="19"/>
  <c r="M1289" i="19"/>
  <c r="M1288" i="19"/>
  <c r="M1287" i="19"/>
  <c r="M1284" i="19"/>
  <c r="M1283" i="19"/>
  <c r="M1282" i="19"/>
  <c r="M1281" i="19"/>
  <c r="M1280" i="19"/>
  <c r="M1279" i="19"/>
  <c r="M1278" i="19"/>
  <c r="M1277" i="19"/>
  <c r="M1276" i="19"/>
  <c r="M1275" i="19"/>
  <c r="M1274" i="19"/>
  <c r="M1273" i="19"/>
  <c r="M1272" i="19"/>
  <c r="M1271" i="19"/>
  <c r="M1270" i="19"/>
  <c r="M1269" i="19"/>
  <c r="M1267" i="19"/>
  <c r="M1266" i="19"/>
  <c r="M1265" i="19"/>
  <c r="M1264" i="19"/>
  <c r="M1263" i="19"/>
  <c r="M1262" i="19"/>
  <c r="M1261" i="19"/>
  <c r="M1260" i="19"/>
  <c r="M1259" i="19"/>
  <c r="M1257" i="19"/>
  <c r="M1256" i="19"/>
  <c r="M1254" i="19"/>
  <c r="M1253" i="19"/>
  <c r="M1251" i="19"/>
  <c r="M1250" i="19"/>
  <c r="M1249" i="19"/>
  <c r="M1248" i="19"/>
  <c r="M1247" i="19"/>
  <c r="M1246" i="19"/>
  <c r="M1245" i="19"/>
  <c r="M1244" i="19"/>
  <c r="M1243" i="19"/>
  <c r="M1242" i="19"/>
  <c r="M1241" i="19"/>
  <c r="M1240" i="19"/>
  <c r="M1239" i="19"/>
  <c r="M1238" i="19"/>
  <c r="M1237" i="19"/>
  <c r="M1236" i="19"/>
  <c r="M1235" i="19"/>
  <c r="M1232" i="19"/>
  <c r="M1231" i="19"/>
  <c r="M1230" i="19"/>
  <c r="M1229" i="19"/>
  <c r="M1228" i="19"/>
  <c r="M1227" i="19"/>
  <c r="M1226" i="19"/>
  <c r="M1225" i="19"/>
  <c r="M1224" i="19"/>
  <c r="M1223" i="19"/>
  <c r="M1222" i="19"/>
  <c r="M1221" i="19"/>
  <c r="M1220" i="19"/>
  <c r="M1219" i="19"/>
  <c r="M1218" i="19"/>
  <c r="M1217" i="19"/>
  <c r="M1216" i="19"/>
  <c r="M1215" i="19"/>
  <c r="M1214" i="19"/>
  <c r="M1213" i="19"/>
  <c r="M1212" i="19"/>
  <c r="M1211" i="19"/>
  <c r="M1210" i="19"/>
  <c r="M1208" i="19"/>
  <c r="M1207" i="19"/>
  <c r="M1206" i="19"/>
  <c r="M1205" i="19"/>
  <c r="M1204" i="19"/>
  <c r="M1203" i="19"/>
  <c r="M1202" i="19"/>
  <c r="M1201" i="19"/>
  <c r="M1200" i="19"/>
  <c r="M1199" i="19"/>
  <c r="M1198" i="19"/>
  <c r="M1197" i="19"/>
  <c r="M1196" i="19"/>
  <c r="M1195" i="19"/>
  <c r="M1194" i="19"/>
  <c r="M1193" i="19"/>
  <c r="M1192" i="19"/>
  <c r="M1191" i="19"/>
  <c r="M1190" i="19"/>
  <c r="M1189" i="19"/>
  <c r="M1188" i="19"/>
  <c r="M1187" i="19"/>
  <c r="M1186" i="19"/>
  <c r="M1185" i="19"/>
  <c r="M1184" i="19"/>
  <c r="M1183" i="19"/>
  <c r="M1182" i="19"/>
  <c r="M1181" i="19"/>
  <c r="M1180" i="19"/>
  <c r="M1179" i="19"/>
  <c r="M1178" i="19"/>
  <c r="M1177" i="19"/>
  <c r="M1176" i="19"/>
  <c r="M1175" i="19"/>
  <c r="M1174" i="19"/>
  <c r="M1173" i="19"/>
  <c r="M1172" i="19"/>
  <c r="M1171" i="19"/>
  <c r="M1170" i="19"/>
  <c r="M1169" i="19"/>
  <c r="M1168" i="19"/>
  <c r="M1167" i="19"/>
  <c r="M1166" i="19"/>
  <c r="M1165" i="19"/>
  <c r="M1164" i="19"/>
  <c r="M1163" i="19"/>
  <c r="M1162" i="19"/>
  <c r="M1161" i="19"/>
  <c r="M1160" i="19"/>
  <c r="M1159" i="19"/>
  <c r="M1158" i="19"/>
  <c r="M1157" i="19"/>
  <c r="M1156" i="19"/>
  <c r="M1155" i="19"/>
  <c r="M1154" i="19"/>
  <c r="M1153" i="19"/>
  <c r="M1152" i="19"/>
  <c r="M1151" i="19"/>
  <c r="M1150" i="19"/>
  <c r="M1149" i="19"/>
  <c r="M1148" i="19"/>
  <c r="M1147" i="19"/>
  <c r="M1146" i="19"/>
  <c r="M1145" i="19"/>
  <c r="M1144" i="19"/>
  <c r="M1143" i="19"/>
  <c r="M1142" i="19"/>
  <c r="M1141" i="19"/>
  <c r="M1140" i="19"/>
  <c r="M1139" i="19"/>
  <c r="M1138" i="19"/>
  <c r="M1137" i="19"/>
  <c r="M1136" i="19"/>
  <c r="M1135" i="19"/>
  <c r="M1134" i="19"/>
  <c r="M1133" i="19"/>
  <c r="M1132" i="19"/>
  <c r="M1131" i="19"/>
  <c r="M1130" i="19"/>
  <c r="M1129" i="19"/>
  <c r="M1128" i="19"/>
  <c r="M1127" i="19"/>
  <c r="M1126" i="19"/>
  <c r="M1125" i="19"/>
  <c r="M1124" i="19"/>
  <c r="M1123" i="19"/>
  <c r="M1122" i="19"/>
  <c r="M1121" i="19"/>
  <c r="M1120" i="19"/>
  <c r="M1119" i="19"/>
  <c r="M1118" i="19"/>
  <c r="M1117" i="19"/>
  <c r="M1116" i="19"/>
  <c r="M1115" i="19"/>
  <c r="M1114" i="19"/>
  <c r="M1113" i="19"/>
  <c r="M1111" i="19"/>
  <c r="M1110" i="19"/>
  <c r="M1109" i="19"/>
  <c r="M1108" i="19"/>
  <c r="M1107" i="19"/>
  <c r="M1106" i="19"/>
  <c r="M1105" i="19"/>
  <c r="M1104" i="19"/>
  <c r="M1103" i="19"/>
  <c r="M1102" i="19"/>
  <c r="M1101" i="19"/>
  <c r="M1100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070" i="19"/>
  <c r="M1069" i="19"/>
  <c r="M1068" i="19"/>
  <c r="M1067" i="19"/>
  <c r="M1066" i="19"/>
  <c r="M1065" i="19"/>
  <c r="M1064" i="19"/>
  <c r="M1063" i="19"/>
  <c r="M1062" i="19"/>
  <c r="M1061" i="19"/>
  <c r="M1060" i="19"/>
  <c r="M1059" i="19"/>
  <c r="M1058" i="19"/>
  <c r="M1057" i="19"/>
  <c r="M1056" i="19"/>
  <c r="M1055" i="19"/>
  <c r="M1054" i="19"/>
  <c r="M1053" i="19"/>
  <c r="M1052" i="19"/>
  <c r="M1051" i="19"/>
  <c r="M1050" i="19"/>
  <c r="M1049" i="19"/>
  <c r="M1048" i="19"/>
  <c r="M1047" i="19"/>
  <c r="M1046" i="19"/>
  <c r="M1045" i="19"/>
  <c r="M1044" i="19"/>
  <c r="M1043" i="19"/>
  <c r="M1042" i="19"/>
  <c r="M1041" i="19"/>
  <c r="M1040" i="19"/>
  <c r="M1039" i="19"/>
  <c r="M1038" i="19"/>
  <c r="M1037" i="19"/>
  <c r="M1036" i="19"/>
  <c r="M1034" i="19"/>
  <c r="M1033" i="19"/>
  <c r="M1032" i="19"/>
  <c r="M1030" i="19"/>
  <c r="M1029" i="19"/>
  <c r="M1028" i="19"/>
  <c r="M1026" i="19"/>
  <c r="M1025" i="19"/>
  <c r="M1023" i="19"/>
  <c r="M1022" i="19"/>
  <c r="M1021" i="19"/>
  <c r="M1020" i="19"/>
  <c r="M1019" i="19"/>
  <c r="M1018" i="19"/>
  <c r="M1017" i="19"/>
  <c r="M1016" i="19"/>
  <c r="M1015" i="19"/>
  <c r="M1014" i="19"/>
  <c r="M1013" i="19"/>
  <c r="M1012" i="19"/>
  <c r="M1011" i="19"/>
  <c r="M1010" i="19"/>
  <c r="M1009" i="19"/>
  <c r="M1008" i="19"/>
  <c r="M1007" i="19"/>
  <c r="M1006" i="19"/>
  <c r="M1005" i="19"/>
  <c r="M1004" i="19"/>
  <c r="M1003" i="19"/>
  <c r="M1002" i="19"/>
  <c r="M1001" i="19"/>
  <c r="M1000" i="19"/>
  <c r="M999" i="19"/>
  <c r="M998" i="19"/>
  <c r="M997" i="19"/>
  <c r="M996" i="19"/>
  <c r="M995" i="19"/>
  <c r="M994" i="19"/>
  <c r="M993" i="19"/>
  <c r="M992" i="19"/>
  <c r="M991" i="19"/>
  <c r="M989" i="19"/>
  <c r="M988" i="19"/>
  <c r="M987" i="19"/>
  <c r="M986" i="19"/>
  <c r="M985" i="19"/>
  <c r="M984" i="19"/>
  <c r="M983" i="19"/>
  <c r="M982" i="19"/>
  <c r="M981" i="19"/>
  <c r="M980" i="19"/>
  <c r="M979" i="19"/>
  <c r="M978" i="19"/>
  <c r="M977" i="19"/>
  <c r="M976" i="19"/>
  <c r="M974" i="19"/>
  <c r="M973" i="19"/>
  <c r="M972" i="19"/>
  <c r="M971" i="19"/>
  <c r="M970" i="19"/>
  <c r="M969" i="19"/>
  <c r="M968" i="19"/>
  <c r="M967" i="19"/>
  <c r="M966" i="19"/>
  <c r="M965" i="19"/>
  <c r="M964" i="19"/>
  <c r="M963" i="19"/>
  <c r="M962" i="19"/>
  <c r="M961" i="19"/>
  <c r="M960" i="19"/>
  <c r="M959" i="19"/>
  <c r="M958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2" i="19"/>
  <c r="M941" i="19"/>
  <c r="M940" i="19"/>
  <c r="M939" i="19"/>
  <c r="M938" i="19"/>
  <c r="M937" i="19"/>
  <c r="M936" i="19"/>
  <c r="M935" i="19"/>
  <c r="M934" i="19"/>
  <c r="M933" i="19"/>
  <c r="M932" i="19"/>
  <c r="M931" i="19"/>
  <c r="M930" i="19"/>
  <c r="M929" i="19"/>
  <c r="M927" i="19"/>
  <c r="M926" i="19"/>
  <c r="M925" i="19"/>
  <c r="M924" i="19"/>
  <c r="M922" i="19"/>
  <c r="M921" i="19"/>
  <c r="M920" i="19"/>
  <c r="M919" i="19"/>
  <c r="M918" i="19"/>
  <c r="M917" i="19"/>
  <c r="M916" i="19"/>
  <c r="M915" i="19"/>
  <c r="M914" i="19"/>
  <c r="M913" i="19"/>
  <c r="M879" i="19"/>
  <c r="M878" i="19"/>
  <c r="M877" i="19"/>
  <c r="M876" i="19"/>
  <c r="M875" i="19"/>
  <c r="M874" i="19"/>
  <c r="M873" i="19"/>
  <c r="M872" i="19"/>
  <c r="M871" i="19"/>
  <c r="M870" i="19"/>
  <c r="M869" i="19"/>
  <c r="M868" i="19"/>
  <c r="M867" i="19"/>
  <c r="M866" i="19"/>
  <c r="M865" i="19"/>
  <c r="M864" i="19"/>
  <c r="M863" i="19"/>
  <c r="M862" i="19"/>
  <c r="M861" i="19"/>
  <c r="M860" i="19"/>
  <c r="M859" i="19"/>
  <c r="M858" i="19"/>
  <c r="M857" i="19"/>
  <c r="M856" i="19"/>
  <c r="M855" i="19"/>
  <c r="M854" i="19"/>
  <c r="M853" i="19"/>
  <c r="M699" i="19"/>
  <c r="N699" i="19" s="1"/>
  <c r="M693" i="19"/>
  <c r="M692" i="19"/>
  <c r="M691" i="19"/>
  <c r="M690" i="19"/>
  <c r="M689" i="19"/>
  <c r="M688" i="19"/>
  <c r="M687" i="19"/>
  <c r="M686" i="19"/>
  <c r="M685" i="19"/>
  <c r="M684" i="19"/>
  <c r="M683" i="19"/>
  <c r="M682" i="19"/>
  <c r="M681" i="19"/>
  <c r="M680" i="19"/>
  <c r="M679" i="19"/>
  <c r="M678" i="19"/>
  <c r="M677" i="19"/>
  <c r="M676" i="19"/>
  <c r="M675" i="19"/>
  <c r="M674" i="19"/>
  <c r="M673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17" i="19"/>
  <c r="M616" i="19"/>
  <c r="M615" i="19"/>
  <c r="M614" i="19"/>
  <c r="M613" i="19"/>
  <c r="M612" i="19"/>
  <c r="M611" i="19"/>
  <c r="M610" i="19"/>
  <c r="M608" i="19"/>
  <c r="M607" i="19"/>
  <c r="M606" i="19"/>
  <c r="M605" i="19"/>
  <c r="M604" i="19"/>
  <c r="M603" i="19"/>
  <c r="M602" i="19"/>
  <c r="M601" i="19"/>
  <c r="M600" i="19"/>
  <c r="M599" i="19"/>
  <c r="M598" i="19"/>
  <c r="M597" i="19"/>
  <c r="M596" i="19"/>
  <c r="M595" i="19"/>
  <c r="M594" i="19"/>
  <c r="M593" i="19"/>
  <c r="M592" i="19"/>
  <c r="M591" i="19"/>
  <c r="M590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N503" i="19" s="1"/>
  <c r="M497" i="19"/>
  <c r="N497" i="19" s="1"/>
  <c r="M479" i="19"/>
  <c r="N479" i="19" s="1"/>
  <c r="M473" i="19"/>
  <c r="N473" i="19" s="1"/>
  <c r="M407" i="19"/>
  <c r="N407" i="19" s="1"/>
  <c r="M401" i="19"/>
  <c r="N401" i="19" s="1"/>
  <c r="M383" i="19"/>
  <c r="N383" i="19" s="1"/>
  <c r="M371" i="19"/>
  <c r="N371" i="19" s="1"/>
  <c r="M365" i="19"/>
  <c r="N365" i="19" s="1"/>
  <c r="M359" i="19"/>
  <c r="N359" i="19" s="1"/>
  <c r="M353" i="19"/>
  <c r="N353" i="19" s="1"/>
  <c r="M347" i="19"/>
  <c r="N347" i="19" s="1"/>
  <c r="M341" i="19"/>
  <c r="N341" i="19" s="1"/>
  <c r="M335" i="19"/>
  <c r="N335" i="19" s="1"/>
  <c r="M329" i="19"/>
  <c r="N329" i="19" s="1"/>
  <c r="M323" i="19"/>
  <c r="N323" i="19" s="1"/>
  <c r="M317" i="19"/>
  <c r="N317" i="19" s="1"/>
  <c r="M311" i="19"/>
  <c r="N311" i="19" s="1"/>
  <c r="M302" i="19"/>
  <c r="N302" i="19" s="1"/>
  <c r="M296" i="19"/>
  <c r="N296" i="19" s="1"/>
  <c r="M290" i="19"/>
  <c r="N290" i="19" s="1"/>
  <c r="M284" i="19"/>
  <c r="N284" i="19" s="1"/>
  <c r="M278" i="19"/>
  <c r="N278" i="19" s="1"/>
  <c r="M265" i="19"/>
  <c r="N265" i="19" s="1"/>
  <c r="M260" i="19"/>
  <c r="N260" i="19" s="1"/>
  <c r="M237" i="19"/>
  <c r="N237" i="19" s="1"/>
  <c r="M233" i="19"/>
  <c r="N233" i="19" s="1"/>
  <c r="O14" i="19"/>
  <c r="F14" i="19"/>
  <c r="C14" i="19"/>
  <c r="O13" i="19"/>
  <c r="F13" i="19"/>
  <c r="C13" i="19"/>
  <c r="M775" i="1"/>
  <c r="M774" i="1"/>
  <c r="M773" i="1"/>
  <c r="M772" i="1"/>
  <c r="M771" i="1"/>
  <c r="M769" i="1"/>
  <c r="M768" i="1"/>
  <c r="M767" i="1"/>
  <c r="M766" i="1"/>
  <c r="M763" i="1"/>
  <c r="M762" i="1"/>
  <c r="M761" i="1"/>
  <c r="M760" i="1"/>
  <c r="M759" i="1"/>
  <c r="M757" i="1"/>
  <c r="M756" i="1"/>
  <c r="M755" i="1"/>
  <c r="M754" i="1"/>
  <c r="M753" i="1"/>
  <c r="M751" i="1"/>
  <c r="M750" i="1"/>
  <c r="M749" i="1"/>
  <c r="M748" i="1"/>
  <c r="M747" i="1"/>
  <c r="M745" i="1"/>
  <c r="M744" i="1"/>
  <c r="M743" i="1"/>
  <c r="M742" i="1"/>
  <c r="M741" i="1"/>
  <c r="M739" i="1"/>
  <c r="M738" i="1"/>
  <c r="M736" i="1"/>
  <c r="M735" i="1"/>
  <c r="M733" i="1"/>
  <c r="M732" i="1"/>
  <c r="M731" i="1"/>
  <c r="M730" i="1"/>
  <c r="M729" i="1"/>
  <c r="M727" i="1"/>
  <c r="M726" i="1"/>
  <c r="M724" i="1"/>
  <c r="M723" i="1"/>
  <c r="M721" i="1"/>
  <c r="M720" i="1"/>
  <c r="M718" i="1"/>
  <c r="M717" i="1"/>
  <c r="M715" i="1"/>
  <c r="M714" i="1"/>
  <c r="M712" i="1"/>
  <c r="M711" i="1"/>
  <c r="M709" i="1"/>
  <c r="M708" i="1"/>
  <c r="M705" i="1"/>
  <c r="M703" i="1"/>
  <c r="M702" i="1"/>
  <c r="M700" i="1"/>
  <c r="M698" i="1"/>
  <c r="M696" i="1"/>
  <c r="M502" i="1"/>
  <c r="M501" i="1"/>
  <c r="M500" i="1"/>
  <c r="M499" i="1"/>
  <c r="M498" i="1"/>
  <c r="M496" i="1"/>
  <c r="M495" i="1"/>
  <c r="M494" i="1"/>
  <c r="M493" i="1"/>
  <c r="M492" i="1"/>
  <c r="M484" i="1"/>
  <c r="M483" i="1"/>
  <c r="M482" i="1"/>
  <c r="M481" i="1"/>
  <c r="M480" i="1"/>
  <c r="M478" i="1"/>
  <c r="M477" i="1"/>
  <c r="M476" i="1"/>
  <c r="M475" i="1"/>
  <c r="M474" i="1"/>
  <c r="M472" i="1"/>
  <c r="M471" i="1"/>
  <c r="M470" i="1"/>
  <c r="M469" i="1"/>
  <c r="M436" i="1"/>
  <c r="M435" i="1"/>
  <c r="M434" i="1"/>
  <c r="M433" i="1"/>
  <c r="M432" i="1"/>
  <c r="M430" i="1"/>
  <c r="M429" i="1"/>
  <c r="M428" i="1"/>
  <c r="M427" i="1"/>
  <c r="M426" i="1"/>
  <c r="M424" i="1"/>
  <c r="M423" i="1"/>
  <c r="M422" i="1"/>
  <c r="M421" i="1"/>
  <c r="M406" i="1"/>
  <c r="M405" i="1"/>
  <c r="M404" i="1"/>
  <c r="M403" i="1"/>
  <c r="M402" i="1"/>
  <c r="M400" i="1"/>
  <c r="M399" i="1"/>
  <c r="M398" i="1"/>
  <c r="M397" i="1"/>
  <c r="M396" i="1"/>
  <c r="M382" i="1"/>
  <c r="M381" i="1"/>
  <c r="M380" i="1"/>
  <c r="M379" i="1"/>
  <c r="M378" i="1"/>
  <c r="M376" i="1"/>
  <c r="M375" i="1"/>
  <c r="M374" i="1"/>
  <c r="M373" i="1"/>
  <c r="M372" i="1"/>
  <c r="M370" i="1"/>
  <c r="M369" i="1"/>
  <c r="M368" i="1"/>
  <c r="M367" i="1"/>
  <c r="M366" i="1"/>
  <c r="M364" i="1"/>
  <c r="M363" i="1"/>
  <c r="M362" i="1"/>
  <c r="M361" i="1"/>
  <c r="M360" i="1"/>
  <c r="M358" i="1"/>
  <c r="M357" i="1"/>
  <c r="M356" i="1"/>
  <c r="M355" i="1"/>
  <c r="M354" i="1"/>
  <c r="M352" i="1"/>
  <c r="M351" i="1"/>
  <c r="M350" i="1"/>
  <c r="M349" i="1"/>
  <c r="M348" i="1"/>
  <c r="M346" i="1"/>
  <c r="M345" i="1"/>
  <c r="M344" i="1"/>
  <c r="M343" i="1"/>
  <c r="M342" i="1"/>
  <c r="M340" i="1"/>
  <c r="M339" i="1"/>
  <c r="M338" i="1"/>
  <c r="M337" i="1"/>
  <c r="M336" i="1"/>
  <c r="M334" i="1"/>
  <c r="M333" i="1"/>
  <c r="M332" i="1"/>
  <c r="M331" i="1"/>
  <c r="M330" i="1"/>
  <c r="M328" i="1"/>
  <c r="M327" i="1"/>
  <c r="M326" i="1"/>
  <c r="M325" i="1"/>
  <c r="M324" i="1"/>
  <c r="M322" i="1"/>
  <c r="M321" i="1"/>
  <c r="M320" i="1"/>
  <c r="M319" i="1"/>
  <c r="M318" i="1"/>
  <c r="M316" i="1"/>
  <c r="M315" i="1"/>
  <c r="M314" i="1"/>
  <c r="M313" i="1"/>
  <c r="M312" i="1"/>
  <c r="M310" i="1"/>
  <c r="M309" i="1"/>
  <c r="M308" i="1"/>
  <c r="M307" i="1"/>
  <c r="M306" i="1"/>
  <c r="M304" i="1"/>
  <c r="M303" i="1"/>
  <c r="M301" i="1"/>
  <c r="M300" i="1"/>
  <c r="M298" i="1"/>
  <c r="M297" i="1"/>
  <c r="M295" i="1"/>
  <c r="M294" i="1"/>
  <c r="M292" i="1"/>
  <c r="M291" i="1"/>
  <c r="M289" i="1"/>
  <c r="M288" i="1"/>
  <c r="M286" i="1"/>
  <c r="M285" i="1"/>
  <c r="M283" i="1"/>
  <c r="M282" i="1"/>
  <c r="M280" i="1"/>
  <c r="M279" i="1"/>
  <c r="M277" i="1"/>
  <c r="M276" i="1"/>
  <c r="M274" i="1"/>
  <c r="M273" i="1"/>
  <c r="M272" i="1"/>
  <c r="M269" i="1"/>
  <c r="M268" i="1"/>
  <c r="M267" i="1"/>
  <c r="M266" i="1"/>
  <c r="M264" i="1"/>
  <c r="M263" i="1"/>
  <c r="M262" i="1"/>
  <c r="M261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2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1" i="1"/>
  <c r="M200" i="1"/>
  <c r="M199" i="1"/>
  <c r="M198" i="1"/>
  <c r="M197" i="1"/>
  <c r="M196" i="1"/>
  <c r="M195" i="1"/>
  <c r="M194" i="1"/>
  <c r="M193" i="1"/>
  <c r="M192" i="1"/>
  <c r="M191" i="1"/>
  <c r="M188" i="1"/>
  <c r="M187" i="1"/>
  <c r="M186" i="1"/>
  <c r="M185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4" i="1"/>
  <c r="M133" i="1"/>
  <c r="M132" i="1"/>
  <c r="M131" i="1"/>
  <c r="M130" i="1"/>
  <c r="M129" i="1"/>
  <c r="M128" i="1"/>
  <c r="M127" i="1"/>
  <c r="M126" i="1"/>
  <c r="M125" i="1"/>
  <c r="M124" i="1"/>
  <c r="M122" i="1"/>
  <c r="M121" i="1"/>
  <c r="M120" i="1"/>
  <c r="M119" i="1"/>
  <c r="M118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1" i="1"/>
  <c r="M90" i="1"/>
  <c r="M87" i="1"/>
  <c r="M86" i="1"/>
  <c r="M85" i="1"/>
  <c r="M84" i="1"/>
  <c r="M83" i="1"/>
  <c r="M82" i="1"/>
  <c r="M81" i="1"/>
  <c r="M80" i="1"/>
  <c r="M79" i="1"/>
  <c r="M76" i="1"/>
  <c r="M75" i="1"/>
  <c r="M74" i="1"/>
  <c r="M73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3" i="1"/>
  <c r="M32" i="1"/>
  <c r="M31" i="1"/>
  <c r="M30" i="1"/>
  <c r="M29" i="1"/>
  <c r="M28" i="1"/>
  <c r="M27" i="1"/>
  <c r="M26" i="1"/>
  <c r="M25" i="1"/>
  <c r="M24" i="1"/>
  <c r="M23" i="1"/>
  <c r="L22" i="1"/>
  <c r="M22" i="1" s="1"/>
  <c r="L21" i="1"/>
  <c r="M21" i="1" s="1"/>
  <c r="L20" i="1"/>
  <c r="M20" i="1" s="1"/>
  <c r="J564" i="32" l="1"/>
  <c r="J564" i="31"/>
  <c r="Y271" i="32"/>
  <c r="Y449" i="32"/>
  <c r="Y824" i="32"/>
  <c r="Y443" i="32"/>
  <c r="Y491" i="32"/>
  <c r="Y824" i="31"/>
  <c r="Y491" i="31"/>
  <c r="Y443" i="31"/>
  <c r="Y271" i="31"/>
  <c r="Y449" i="31"/>
  <c r="V770" i="1"/>
  <c r="V746" i="1"/>
  <c r="V716" i="1"/>
  <c r="V710" i="1"/>
  <c r="V704" i="1"/>
  <c r="V275" i="1"/>
  <c r="V764" i="1"/>
  <c r="V758" i="1"/>
  <c r="V752" i="1"/>
  <c r="V728" i="1"/>
  <c r="V734" i="1"/>
  <c r="V740" i="1"/>
  <c r="V722" i="1"/>
  <c r="V776" i="1"/>
  <c r="M788" i="1"/>
  <c r="N788" i="1" s="1"/>
  <c r="W788" i="1" s="1"/>
  <c r="S824" i="1"/>
  <c r="R824" i="1"/>
  <c r="Q824" i="1"/>
  <c r="S449" i="1"/>
  <c r="R449" i="1"/>
  <c r="Q449" i="1"/>
  <c r="M782" i="1"/>
  <c r="N782" i="1" s="1"/>
  <c r="W782" i="1" s="1"/>
  <c r="S443" i="1"/>
  <c r="R443" i="1"/>
  <c r="Q443" i="1"/>
  <c r="S491" i="1"/>
  <c r="R491" i="1"/>
  <c r="Q491" i="1"/>
  <c r="M92" i="1"/>
  <c r="N92" i="1" s="1"/>
  <c r="W92" i="1" s="1"/>
  <c r="P433" i="19"/>
  <c r="P436" i="19"/>
  <c r="S432" i="19"/>
  <c r="R432" i="19"/>
  <c r="Q432" i="19"/>
  <c r="P437" i="19"/>
  <c r="P435" i="19"/>
  <c r="P434" i="19"/>
  <c r="P758" i="19"/>
  <c r="P755" i="19"/>
  <c r="P757" i="19"/>
  <c r="P754" i="19"/>
  <c r="P756" i="19"/>
  <c r="S753" i="19"/>
  <c r="R753" i="19"/>
  <c r="Q753" i="19"/>
  <c r="Q29" i="19"/>
  <c r="S29" i="19"/>
  <c r="R29" i="19"/>
  <c r="S48" i="19"/>
  <c r="R48" i="19"/>
  <c r="Q48" i="19"/>
  <c r="S57" i="19"/>
  <c r="R57" i="19"/>
  <c r="Q57" i="19"/>
  <c r="S74" i="19"/>
  <c r="R74" i="19"/>
  <c r="Q74" i="19"/>
  <c r="S104" i="19"/>
  <c r="R104" i="19"/>
  <c r="Q104" i="19"/>
  <c r="S115" i="19"/>
  <c r="R115" i="19"/>
  <c r="Q115" i="19"/>
  <c r="S123" i="19"/>
  <c r="R123" i="19"/>
  <c r="Q123" i="19"/>
  <c r="S129" i="19"/>
  <c r="R129" i="19"/>
  <c r="Q129" i="19"/>
  <c r="S139" i="19"/>
  <c r="R139" i="19"/>
  <c r="Q139" i="19"/>
  <c r="P163" i="19"/>
  <c r="P143" i="19"/>
  <c r="P179" i="19"/>
  <c r="P171" i="19"/>
  <c r="S142" i="19"/>
  <c r="R142" i="19"/>
  <c r="P193" i="19"/>
  <c r="P175" i="19"/>
  <c r="Q142" i="19"/>
  <c r="P183" i="19"/>
  <c r="P167" i="19"/>
  <c r="P144" i="19"/>
  <c r="P161" i="19"/>
  <c r="S160" i="19"/>
  <c r="R160" i="19"/>
  <c r="Q160" i="19"/>
  <c r="P162" i="19"/>
  <c r="P173" i="19"/>
  <c r="S172" i="19"/>
  <c r="R172" i="19"/>
  <c r="Q172" i="19"/>
  <c r="P174" i="19"/>
  <c r="R190" i="19"/>
  <c r="Q190" i="19"/>
  <c r="P192" i="19"/>
  <c r="P191" i="19"/>
  <c r="S190" i="19"/>
  <c r="S212" i="19"/>
  <c r="R212" i="19"/>
  <c r="Q212" i="19"/>
  <c r="S236" i="19"/>
  <c r="R236" i="19"/>
  <c r="Q236" i="19"/>
  <c r="R239" i="19"/>
  <c r="Q239" i="19"/>
  <c r="S239" i="19"/>
  <c r="Q285" i="19"/>
  <c r="P287" i="19"/>
  <c r="P286" i="19"/>
  <c r="S285" i="19"/>
  <c r="R285" i="19"/>
  <c r="P431" i="19"/>
  <c r="P430" i="19"/>
  <c r="P427" i="19"/>
  <c r="P429" i="19"/>
  <c r="S426" i="19"/>
  <c r="R426" i="19"/>
  <c r="Q426" i="19"/>
  <c r="P428" i="19"/>
  <c r="P478" i="19"/>
  <c r="P477" i="19"/>
  <c r="P475" i="19"/>
  <c r="S474" i="19"/>
  <c r="R474" i="19"/>
  <c r="Q474" i="19"/>
  <c r="P476" i="19"/>
  <c r="P479" i="19"/>
  <c r="S571" i="19"/>
  <c r="R571" i="19"/>
  <c r="Q571" i="19"/>
  <c r="S642" i="19"/>
  <c r="R642" i="19"/>
  <c r="Q642" i="19"/>
  <c r="S700" i="19"/>
  <c r="R700" i="19"/>
  <c r="Q700" i="19"/>
  <c r="S872" i="19"/>
  <c r="R872" i="19"/>
  <c r="Q872" i="19"/>
  <c r="R946" i="19"/>
  <c r="Q946" i="19"/>
  <c r="S946" i="19"/>
  <c r="S999" i="19"/>
  <c r="R999" i="19"/>
  <c r="Q999" i="19"/>
  <c r="S1043" i="19"/>
  <c r="R1043" i="19"/>
  <c r="Q1043" i="19"/>
  <c r="S1139" i="19"/>
  <c r="R1139" i="19"/>
  <c r="Q1139" i="19"/>
  <c r="S1384" i="19"/>
  <c r="R1384" i="19"/>
  <c r="Q1384" i="19"/>
  <c r="S1400" i="19"/>
  <c r="R1400" i="19"/>
  <c r="Q1400" i="19"/>
  <c r="R1680" i="19"/>
  <c r="Q1680" i="19"/>
  <c r="S1680" i="19"/>
  <c r="P2313" i="19"/>
  <c r="P2312" i="19"/>
  <c r="P2315" i="19"/>
  <c r="S2311" i="19"/>
  <c r="R2311" i="19"/>
  <c r="Q2311" i="19"/>
  <c r="P2314" i="19"/>
  <c r="P2316" i="19"/>
  <c r="S97" i="19"/>
  <c r="R97" i="19"/>
  <c r="Q97" i="19"/>
  <c r="S187" i="19"/>
  <c r="R187" i="19"/>
  <c r="Q187" i="19"/>
  <c r="S1235" i="19"/>
  <c r="R1235" i="19"/>
  <c r="Q1235" i="19"/>
  <c r="R34" i="19"/>
  <c r="Q34" i="19"/>
  <c r="S34" i="19"/>
  <c r="S44" i="19"/>
  <c r="R44" i="19"/>
  <c r="Q44" i="19"/>
  <c r="S53" i="19"/>
  <c r="R53" i="19"/>
  <c r="Q53" i="19"/>
  <c r="S62" i="19"/>
  <c r="R62" i="19"/>
  <c r="Q62" i="19"/>
  <c r="Q66" i="19"/>
  <c r="S66" i="19"/>
  <c r="R66" i="19"/>
  <c r="S77" i="19"/>
  <c r="R77" i="19"/>
  <c r="Q77" i="19"/>
  <c r="S82" i="19"/>
  <c r="R82" i="19"/>
  <c r="Q82" i="19"/>
  <c r="S93" i="19"/>
  <c r="R93" i="19"/>
  <c r="Q93" i="19"/>
  <c r="S113" i="19"/>
  <c r="R113" i="19"/>
  <c r="Q113" i="19"/>
  <c r="S120" i="19"/>
  <c r="R120" i="19"/>
  <c r="Q120" i="19"/>
  <c r="R132" i="19"/>
  <c r="Q132" i="19"/>
  <c r="S132" i="19"/>
  <c r="Q185" i="19"/>
  <c r="S185" i="19"/>
  <c r="R185" i="19"/>
  <c r="S208" i="19"/>
  <c r="R208" i="19"/>
  <c r="Q208" i="19"/>
  <c r="R210" i="19"/>
  <c r="Q210" i="19"/>
  <c r="S210" i="19"/>
  <c r="R226" i="19"/>
  <c r="Q226" i="19"/>
  <c r="S226" i="19"/>
  <c r="S530" i="19"/>
  <c r="R530" i="19"/>
  <c r="Q530" i="19"/>
  <c r="Q577" i="19"/>
  <c r="S577" i="19"/>
  <c r="R577" i="19"/>
  <c r="S583" i="19"/>
  <c r="R583" i="19"/>
  <c r="Q583" i="19"/>
  <c r="S620" i="19"/>
  <c r="R620" i="19"/>
  <c r="Q620" i="19"/>
  <c r="S646" i="19"/>
  <c r="R646" i="19"/>
  <c r="Q646" i="19"/>
  <c r="S809" i="19"/>
  <c r="R809" i="19"/>
  <c r="Q809" i="19"/>
  <c r="S851" i="19"/>
  <c r="R851" i="19"/>
  <c r="Q851" i="19"/>
  <c r="S863" i="19"/>
  <c r="R863" i="19"/>
  <c r="Q863" i="19"/>
  <c r="R922" i="19"/>
  <c r="Q922" i="19"/>
  <c r="S922" i="19"/>
  <c r="R954" i="19"/>
  <c r="Q954" i="19"/>
  <c r="S954" i="19"/>
  <c r="S1184" i="19"/>
  <c r="R1184" i="19"/>
  <c r="Q1184" i="19"/>
  <c r="S1239" i="19"/>
  <c r="R1239" i="19"/>
  <c r="Q1239" i="19"/>
  <c r="S1277" i="19"/>
  <c r="R1277" i="19"/>
  <c r="Q1277" i="19"/>
  <c r="S1406" i="19"/>
  <c r="R1406" i="19"/>
  <c r="Q1406" i="19"/>
  <c r="S1642" i="19"/>
  <c r="R1642" i="19"/>
  <c r="P1645" i="19"/>
  <c r="Q1642" i="19"/>
  <c r="P1644" i="19"/>
  <c r="P1643" i="19"/>
  <c r="Q2519" i="19"/>
  <c r="S2519" i="19"/>
  <c r="R2519" i="19"/>
  <c r="S2525" i="19"/>
  <c r="R2525" i="19"/>
  <c r="Q2525" i="19"/>
  <c r="S2533" i="19"/>
  <c r="R2533" i="19"/>
  <c r="Q2533" i="19"/>
  <c r="S65" i="19"/>
  <c r="R65" i="19"/>
  <c r="Q65" i="19"/>
  <c r="Q200" i="19"/>
  <c r="S200" i="19"/>
  <c r="R200" i="19"/>
  <c r="P305" i="19"/>
  <c r="P304" i="19"/>
  <c r="S303" i="19"/>
  <c r="R303" i="19"/>
  <c r="Q303" i="19"/>
  <c r="S1299" i="19"/>
  <c r="R1299" i="19"/>
  <c r="Q1299" i="19"/>
  <c r="S1368" i="19"/>
  <c r="R1368" i="19"/>
  <c r="Q1368" i="19"/>
  <c r="S22" i="19"/>
  <c r="R22" i="19"/>
  <c r="Q22" i="19"/>
  <c r="R42" i="19"/>
  <c r="Q42" i="19"/>
  <c r="S42" i="19"/>
  <c r="S49" i="19"/>
  <c r="R49" i="19"/>
  <c r="Q49" i="19"/>
  <c r="Q58" i="19"/>
  <c r="S58" i="19"/>
  <c r="R58" i="19"/>
  <c r="S70" i="19"/>
  <c r="R70" i="19"/>
  <c r="Q70" i="19"/>
  <c r="S100" i="19"/>
  <c r="R100" i="19"/>
  <c r="Q100" i="19"/>
  <c r="Q135" i="19"/>
  <c r="S135" i="19"/>
  <c r="R135" i="19"/>
  <c r="S168" i="19"/>
  <c r="R168" i="19"/>
  <c r="Q168" i="19"/>
  <c r="P170" i="19"/>
  <c r="P169" i="19"/>
  <c r="R176" i="19"/>
  <c r="Q176" i="19"/>
  <c r="P178" i="19"/>
  <c r="P177" i="19"/>
  <c r="S176" i="19"/>
  <c r="S188" i="19"/>
  <c r="R188" i="19"/>
  <c r="Q188" i="19"/>
  <c r="R194" i="19"/>
  <c r="Q194" i="19"/>
  <c r="P196" i="19"/>
  <c r="P195" i="19"/>
  <c r="S194" i="19"/>
  <c r="S206" i="19"/>
  <c r="R206" i="19"/>
  <c r="Q206" i="19"/>
  <c r="S224" i="19"/>
  <c r="R224" i="19"/>
  <c r="Q224" i="19"/>
  <c r="Q234" i="19"/>
  <c r="S234" i="19"/>
  <c r="R234" i="19"/>
  <c r="Q242" i="19"/>
  <c r="S242" i="19"/>
  <c r="R242" i="19"/>
  <c r="S249" i="19"/>
  <c r="R249" i="19"/>
  <c r="Q249" i="19"/>
  <c r="R297" i="19"/>
  <c r="Q297" i="19"/>
  <c r="P299" i="19"/>
  <c r="P298" i="19"/>
  <c r="S297" i="19"/>
  <c r="S587" i="19"/>
  <c r="R587" i="19"/>
  <c r="Q587" i="19"/>
  <c r="S626" i="19"/>
  <c r="R626" i="19"/>
  <c r="Q626" i="19"/>
  <c r="S635" i="19"/>
  <c r="R635" i="19"/>
  <c r="Q635" i="19"/>
  <c r="S685" i="19"/>
  <c r="R685" i="19"/>
  <c r="Q685" i="19"/>
  <c r="R865" i="19"/>
  <c r="Q865" i="19"/>
  <c r="S865" i="19"/>
  <c r="S1019" i="19"/>
  <c r="R1019" i="19"/>
  <c r="Q1019" i="19"/>
  <c r="S1120" i="19"/>
  <c r="R1120" i="19"/>
  <c r="Q1120" i="19"/>
  <c r="Q1165" i="19"/>
  <c r="S1165" i="19"/>
  <c r="R1165" i="19"/>
  <c r="R1279" i="19"/>
  <c r="Q1279" i="19"/>
  <c r="S1279" i="19"/>
  <c r="S1341" i="19"/>
  <c r="R1341" i="19"/>
  <c r="Q1341" i="19"/>
  <c r="S1428" i="19"/>
  <c r="R1428" i="19"/>
  <c r="Q1428" i="19"/>
  <c r="S1444" i="19"/>
  <c r="R1444" i="19"/>
  <c r="Q1444" i="19"/>
  <c r="S1448" i="19"/>
  <c r="R1448" i="19"/>
  <c r="Q1448" i="19"/>
  <c r="S1556" i="19"/>
  <c r="R1556" i="19"/>
  <c r="Q1556" i="19"/>
  <c r="S1670" i="19"/>
  <c r="R1670" i="19"/>
  <c r="Q1670" i="19"/>
  <c r="P1805" i="19"/>
  <c r="P1804" i="19"/>
  <c r="S1803" i="19"/>
  <c r="R1803" i="19"/>
  <c r="Q1803" i="19"/>
  <c r="P1806" i="19"/>
  <c r="P1808" i="19"/>
  <c r="S1807" i="19"/>
  <c r="R1807" i="19"/>
  <c r="Q1807" i="19"/>
  <c r="P1810" i="19"/>
  <c r="P1809" i="19"/>
  <c r="P1929" i="19"/>
  <c r="S1928" i="19"/>
  <c r="R1928" i="19"/>
  <c r="P1931" i="19"/>
  <c r="Q1928" i="19"/>
  <c r="P1930" i="19"/>
  <c r="P2092" i="19"/>
  <c r="P2090" i="19"/>
  <c r="P2089" i="19"/>
  <c r="S2088" i="19"/>
  <c r="R2088" i="19"/>
  <c r="P2091" i="19"/>
  <c r="Q2088" i="19"/>
  <c r="S214" i="19"/>
  <c r="R214" i="19"/>
  <c r="Q214" i="19"/>
  <c r="P510" i="19"/>
  <c r="S509" i="19"/>
  <c r="P513" i="19"/>
  <c r="R509" i="19"/>
  <c r="Q509" i="19"/>
  <c r="P512" i="19"/>
  <c r="P511" i="19"/>
  <c r="S1374" i="19"/>
  <c r="R1374" i="19"/>
  <c r="Q1374" i="19"/>
  <c r="S54" i="19"/>
  <c r="R54" i="19"/>
  <c r="Q54" i="19"/>
  <c r="R63" i="19"/>
  <c r="Q63" i="19"/>
  <c r="S63" i="19"/>
  <c r="S96" i="19"/>
  <c r="R96" i="19"/>
  <c r="Q96" i="19"/>
  <c r="S107" i="19"/>
  <c r="R107" i="19"/>
  <c r="Q107" i="19"/>
  <c r="S109" i="19"/>
  <c r="R109" i="19"/>
  <c r="Q109" i="19"/>
  <c r="R124" i="19"/>
  <c r="Q124" i="19"/>
  <c r="P126" i="19"/>
  <c r="P125" i="19"/>
  <c r="P127" i="19"/>
  <c r="S124" i="19"/>
  <c r="S204" i="19"/>
  <c r="R204" i="19"/>
  <c r="Q204" i="19"/>
  <c r="S222" i="19"/>
  <c r="R222" i="19"/>
  <c r="Q222" i="19"/>
  <c r="S232" i="19"/>
  <c r="R232" i="19"/>
  <c r="Q232" i="19"/>
  <c r="P281" i="19"/>
  <c r="P280" i="19"/>
  <c r="S279" i="19"/>
  <c r="R279" i="19"/>
  <c r="Q279" i="19"/>
  <c r="P364" i="19"/>
  <c r="P361" i="19"/>
  <c r="S360" i="19"/>
  <c r="R360" i="19"/>
  <c r="Q360" i="19"/>
  <c r="P365" i="19"/>
  <c r="P363" i="19"/>
  <c r="P362" i="19"/>
  <c r="S570" i="19"/>
  <c r="R570" i="19"/>
  <c r="Q570" i="19"/>
  <c r="S591" i="19"/>
  <c r="R591" i="19"/>
  <c r="Q591" i="19"/>
  <c r="S597" i="19"/>
  <c r="R597" i="19"/>
  <c r="Q597" i="19"/>
  <c r="P719" i="19"/>
  <c r="P722" i="19"/>
  <c r="P718" i="19"/>
  <c r="S717" i="19"/>
  <c r="R717" i="19"/>
  <c r="Q717" i="19"/>
  <c r="P721" i="19"/>
  <c r="P720" i="19"/>
  <c r="S869" i="19"/>
  <c r="R869" i="19"/>
  <c r="Q869" i="19"/>
  <c r="R962" i="19"/>
  <c r="Q962" i="19"/>
  <c r="S962" i="19"/>
  <c r="R978" i="19"/>
  <c r="Q978" i="19"/>
  <c r="S978" i="19"/>
  <c r="S998" i="19"/>
  <c r="R998" i="19"/>
  <c r="Q998" i="19"/>
  <c r="S1040" i="19"/>
  <c r="R1040" i="19"/>
  <c r="Q1040" i="19"/>
  <c r="S1102" i="19"/>
  <c r="R1102" i="19"/>
  <c r="Q1102" i="19"/>
  <c r="S1128" i="19"/>
  <c r="R1128" i="19"/>
  <c r="Q1128" i="19"/>
  <c r="S1196" i="19"/>
  <c r="R1196" i="19"/>
  <c r="Q1196" i="19"/>
  <c r="S1318" i="19"/>
  <c r="R1318" i="19"/>
  <c r="Q1318" i="19"/>
  <c r="S1454" i="19"/>
  <c r="R1454" i="19"/>
  <c r="Q1454" i="19"/>
  <c r="S1572" i="19"/>
  <c r="R1572" i="19"/>
  <c r="Q1572" i="19"/>
  <c r="S1598" i="19"/>
  <c r="R1598" i="19"/>
  <c r="Q1598" i="19"/>
  <c r="S1638" i="19"/>
  <c r="R1638" i="19"/>
  <c r="Q1638" i="19"/>
  <c r="P1849" i="19"/>
  <c r="S1848" i="19"/>
  <c r="R1848" i="19"/>
  <c r="P1851" i="19"/>
  <c r="Q1848" i="19"/>
  <c r="P1850" i="19"/>
  <c r="S1868" i="19"/>
  <c r="R1868" i="19"/>
  <c r="Q1868" i="19"/>
  <c r="P1871" i="19"/>
  <c r="P1870" i="19"/>
  <c r="P1869" i="19"/>
  <c r="P2102" i="19"/>
  <c r="P2099" i="19"/>
  <c r="S2098" i="19"/>
  <c r="R2098" i="19"/>
  <c r="Q2098" i="19"/>
  <c r="P2101" i="19"/>
  <c r="P2100" i="19"/>
  <c r="P2150" i="19"/>
  <c r="Q2147" i="19"/>
  <c r="P2149" i="19"/>
  <c r="P2148" i="19"/>
  <c r="S2147" i="19"/>
  <c r="R2147" i="19"/>
  <c r="Q2543" i="19"/>
  <c r="S2543" i="19"/>
  <c r="R2543" i="19"/>
  <c r="S627" i="19"/>
  <c r="R627" i="19"/>
  <c r="Q627" i="19"/>
  <c r="S1056" i="19"/>
  <c r="R1056" i="19"/>
  <c r="Q1056" i="19"/>
  <c r="S1172" i="19"/>
  <c r="R1172" i="19"/>
  <c r="Q1172" i="19"/>
  <c r="S1380" i="19"/>
  <c r="R1380" i="19"/>
  <c r="Q1380" i="19"/>
  <c r="S46" i="19"/>
  <c r="R46" i="19"/>
  <c r="Q46" i="19"/>
  <c r="Q50" i="19"/>
  <c r="S50" i="19"/>
  <c r="R50" i="19"/>
  <c r="S68" i="19"/>
  <c r="R68" i="19"/>
  <c r="Q68" i="19"/>
  <c r="S73" i="19"/>
  <c r="R73" i="19"/>
  <c r="Q73" i="19"/>
  <c r="S86" i="19"/>
  <c r="R86" i="19"/>
  <c r="Q86" i="19"/>
  <c r="S89" i="19"/>
  <c r="R89" i="19"/>
  <c r="Q89" i="19"/>
  <c r="S105" i="19"/>
  <c r="R105" i="19"/>
  <c r="Q105" i="19"/>
  <c r="S116" i="19"/>
  <c r="R116" i="19"/>
  <c r="Q116" i="19"/>
  <c r="S133" i="19"/>
  <c r="R133" i="19"/>
  <c r="Q133" i="19"/>
  <c r="P182" i="19"/>
  <c r="P181" i="19"/>
  <c r="S180" i="19"/>
  <c r="R180" i="19"/>
  <c r="Q180" i="19"/>
  <c r="S186" i="19"/>
  <c r="R186" i="19"/>
  <c r="Q186" i="19"/>
  <c r="S220" i="19"/>
  <c r="R220" i="19"/>
  <c r="Q220" i="19"/>
  <c r="S240" i="19"/>
  <c r="R240" i="19"/>
  <c r="Q240" i="19"/>
  <c r="R247" i="19"/>
  <c r="Q247" i="19"/>
  <c r="S247" i="19"/>
  <c r="S253" i="19"/>
  <c r="R253" i="19"/>
  <c r="Q253" i="19"/>
  <c r="P368" i="19"/>
  <c r="P367" i="19"/>
  <c r="P370" i="19"/>
  <c r="S366" i="19"/>
  <c r="R366" i="19"/>
  <c r="Q366" i="19"/>
  <c r="P369" i="19"/>
  <c r="P371" i="19"/>
  <c r="S553" i="19"/>
  <c r="R553" i="19"/>
  <c r="Q553" i="19"/>
  <c r="P611" i="19"/>
  <c r="P610" i="19"/>
  <c r="P609" i="19"/>
  <c r="S608" i="19"/>
  <c r="R608" i="19"/>
  <c r="Q608" i="19"/>
  <c r="S619" i="19"/>
  <c r="R619" i="19"/>
  <c r="Q619" i="19"/>
  <c r="S628" i="19"/>
  <c r="R628" i="19"/>
  <c r="Q628" i="19"/>
  <c r="P656" i="19"/>
  <c r="P655" i="19"/>
  <c r="S654" i="19"/>
  <c r="R654" i="19"/>
  <c r="Q654" i="19"/>
  <c r="P657" i="19"/>
  <c r="Q659" i="19"/>
  <c r="S659" i="19"/>
  <c r="R659" i="19"/>
  <c r="S661" i="19"/>
  <c r="R661" i="19"/>
  <c r="Q661" i="19"/>
  <c r="S693" i="19"/>
  <c r="R693" i="19"/>
  <c r="Q693" i="19"/>
  <c r="P737" i="19"/>
  <c r="P740" i="19"/>
  <c r="P736" i="19"/>
  <c r="P739" i="19"/>
  <c r="S735" i="19"/>
  <c r="P738" i="19"/>
  <c r="R735" i="19"/>
  <c r="Q735" i="19"/>
  <c r="S935" i="19"/>
  <c r="R935" i="19"/>
  <c r="Q935" i="19"/>
  <c r="S1059" i="19"/>
  <c r="R1059" i="19"/>
  <c r="Q1059" i="19"/>
  <c r="Q1173" i="19"/>
  <c r="S1173" i="19"/>
  <c r="R1173" i="19"/>
  <c r="S1200" i="19"/>
  <c r="R1200" i="19"/>
  <c r="Q1200" i="19"/>
  <c r="S1228" i="19"/>
  <c r="R1228" i="19"/>
  <c r="Q1228" i="19"/>
  <c r="S1238" i="19"/>
  <c r="R1238" i="19"/>
  <c r="Q1238" i="19"/>
  <c r="S1302" i="19"/>
  <c r="R1302" i="19"/>
  <c r="Q1302" i="19"/>
  <c r="S1324" i="19"/>
  <c r="R1324" i="19"/>
  <c r="Q1324" i="19"/>
  <c r="S1470" i="19"/>
  <c r="R1470" i="19"/>
  <c r="Q1470" i="19"/>
  <c r="S1588" i="19"/>
  <c r="R1588" i="19"/>
  <c r="Q1588" i="19"/>
  <c r="Q1602" i="19"/>
  <c r="S1602" i="19"/>
  <c r="R1602" i="19"/>
  <c r="S1614" i="19"/>
  <c r="R1614" i="19"/>
  <c r="Q1614" i="19"/>
  <c r="S1685" i="19"/>
  <c r="R1685" i="19"/>
  <c r="Q1685" i="19"/>
  <c r="S2289" i="19"/>
  <c r="R2289" i="19"/>
  <c r="Q2289" i="19"/>
  <c r="P2292" i="19"/>
  <c r="P2291" i="19"/>
  <c r="P2290" i="19"/>
  <c r="P2336" i="19"/>
  <c r="S2335" i="19"/>
  <c r="R2335" i="19"/>
  <c r="P2338" i="19"/>
  <c r="Q2335" i="19"/>
  <c r="P2337" i="19"/>
  <c r="S61" i="19"/>
  <c r="R61" i="19"/>
  <c r="Q61" i="19"/>
  <c r="S60" i="19"/>
  <c r="R60" i="19"/>
  <c r="Q60" i="19"/>
  <c r="S64" i="19"/>
  <c r="R64" i="19"/>
  <c r="Q64" i="19"/>
  <c r="S92" i="19"/>
  <c r="R92" i="19"/>
  <c r="Q92" i="19"/>
  <c r="S112" i="19"/>
  <c r="R112" i="19"/>
  <c r="Q112" i="19"/>
  <c r="S128" i="19"/>
  <c r="R128" i="19"/>
  <c r="Q128" i="19"/>
  <c r="S138" i="19"/>
  <c r="R138" i="19"/>
  <c r="Q138" i="19"/>
  <c r="S141" i="19"/>
  <c r="R141" i="19"/>
  <c r="Q141" i="19"/>
  <c r="S151" i="19"/>
  <c r="R151" i="19"/>
  <c r="Q151" i="19"/>
  <c r="P153" i="19"/>
  <c r="P152" i="19"/>
  <c r="R154" i="19"/>
  <c r="Q154" i="19"/>
  <c r="P156" i="19"/>
  <c r="P155" i="19"/>
  <c r="S154" i="19"/>
  <c r="S189" i="19"/>
  <c r="R189" i="19"/>
  <c r="Q189" i="19"/>
  <c r="S209" i="19"/>
  <c r="R209" i="19"/>
  <c r="Q209" i="19"/>
  <c r="R218" i="19"/>
  <c r="Q218" i="19"/>
  <c r="S218" i="19"/>
  <c r="S245" i="19"/>
  <c r="R245" i="19"/>
  <c r="Q245" i="19"/>
  <c r="Q250" i="19"/>
  <c r="S250" i="19"/>
  <c r="R250" i="19"/>
  <c r="P293" i="19"/>
  <c r="P292" i="19"/>
  <c r="S291" i="19"/>
  <c r="R291" i="19"/>
  <c r="Q291" i="19"/>
  <c r="P332" i="19"/>
  <c r="P335" i="19"/>
  <c r="P331" i="19"/>
  <c r="P334" i="19"/>
  <c r="S330" i="19"/>
  <c r="R330" i="19"/>
  <c r="P333" i="19"/>
  <c r="Q330" i="19"/>
  <c r="P339" i="19"/>
  <c r="Q336" i="19"/>
  <c r="P341" i="19"/>
  <c r="P338" i="19"/>
  <c r="P340" i="19"/>
  <c r="P337" i="19"/>
  <c r="S336" i="19"/>
  <c r="R336" i="19"/>
  <c r="P347" i="19"/>
  <c r="P346" i="19"/>
  <c r="P343" i="19"/>
  <c r="S342" i="19"/>
  <c r="P345" i="19"/>
  <c r="R342" i="19"/>
  <c r="Q342" i="19"/>
  <c r="P344" i="19"/>
  <c r="P350" i="19"/>
  <c r="P352" i="19"/>
  <c r="P349" i="19"/>
  <c r="S348" i="19"/>
  <c r="R348" i="19"/>
  <c r="P351" i="19"/>
  <c r="Q348" i="19"/>
  <c r="P353" i="19"/>
  <c r="R547" i="19"/>
  <c r="Q547" i="19"/>
  <c r="S547" i="19"/>
  <c r="S617" i="19"/>
  <c r="R617" i="19"/>
  <c r="Q617" i="19"/>
  <c r="S634" i="19"/>
  <c r="R634" i="19"/>
  <c r="Q634" i="19"/>
  <c r="S643" i="19"/>
  <c r="R643" i="19"/>
  <c r="Q643" i="19"/>
  <c r="P679" i="19"/>
  <c r="S678" i="19"/>
  <c r="P681" i="19"/>
  <c r="R678" i="19"/>
  <c r="Q678" i="19"/>
  <c r="P680" i="19"/>
  <c r="Q682" i="19"/>
  <c r="S682" i="19"/>
  <c r="R682" i="19"/>
  <c r="S684" i="19"/>
  <c r="R684" i="19"/>
  <c r="Q684" i="19"/>
  <c r="S691" i="19"/>
  <c r="R691" i="19"/>
  <c r="Q691" i="19"/>
  <c r="S696" i="19"/>
  <c r="R696" i="19"/>
  <c r="Q696" i="19"/>
  <c r="P855" i="19"/>
  <c r="S854" i="19"/>
  <c r="R854" i="19"/>
  <c r="Q854" i="19"/>
  <c r="P857" i="19"/>
  <c r="P856" i="19"/>
  <c r="R1010" i="19"/>
  <c r="Q1010" i="19"/>
  <c r="S1010" i="19"/>
  <c r="S1044" i="19"/>
  <c r="R1044" i="19"/>
  <c r="Q1044" i="19"/>
  <c r="S1083" i="19"/>
  <c r="R1083" i="19"/>
  <c r="Q1083" i="19"/>
  <c r="S1152" i="19"/>
  <c r="R1152" i="19"/>
  <c r="Q1152" i="19"/>
  <c r="S1262" i="19"/>
  <c r="R1262" i="19"/>
  <c r="Q1262" i="19"/>
  <c r="S1336" i="19"/>
  <c r="R1336" i="19"/>
  <c r="Q1336" i="19"/>
  <c r="S1358" i="19"/>
  <c r="R1358" i="19"/>
  <c r="Q1358" i="19"/>
  <c r="S1507" i="19"/>
  <c r="R1507" i="19"/>
  <c r="Q1507" i="19"/>
  <c r="S1523" i="19"/>
  <c r="R1523" i="19"/>
  <c r="Q1523" i="19"/>
  <c r="S1531" i="19"/>
  <c r="R1531" i="19"/>
  <c r="Q1531" i="19"/>
  <c r="S1547" i="19"/>
  <c r="R1547" i="19"/>
  <c r="Q1547" i="19"/>
  <c r="S1616" i="19"/>
  <c r="R1616" i="19"/>
  <c r="Q1616" i="19"/>
  <c r="P1866" i="19"/>
  <c r="P1867" i="19"/>
  <c r="P1865" i="19"/>
  <c r="S1864" i="19"/>
  <c r="R1864" i="19"/>
  <c r="Q1864" i="19"/>
  <c r="P2072" i="19"/>
  <c r="P2070" i="19"/>
  <c r="P2069" i="19"/>
  <c r="S2068" i="19"/>
  <c r="P2071" i="19"/>
  <c r="R2068" i="19"/>
  <c r="Q2068" i="19"/>
  <c r="S271" i="1"/>
  <c r="R271" i="1"/>
  <c r="Q271" i="1"/>
  <c r="S31" i="19"/>
  <c r="R31" i="19"/>
  <c r="Q31" i="19"/>
  <c r="S52" i="19"/>
  <c r="R52" i="19"/>
  <c r="Q52" i="19"/>
  <c r="S108" i="19"/>
  <c r="R108" i="19"/>
  <c r="Q108" i="19"/>
  <c r="S636" i="19"/>
  <c r="R636" i="19"/>
  <c r="Q636" i="19"/>
  <c r="P2254" i="19"/>
  <c r="S2253" i="19"/>
  <c r="R2253" i="19"/>
  <c r="P2256" i="19"/>
  <c r="Q2253" i="19"/>
  <c r="P2255" i="19"/>
  <c r="S23" i="19"/>
  <c r="R23" i="19"/>
  <c r="Q23" i="19"/>
  <c r="R26" i="19"/>
  <c r="Q26" i="19"/>
  <c r="S26" i="19"/>
  <c r="R47" i="19"/>
  <c r="Q47" i="19"/>
  <c r="S47" i="19"/>
  <c r="S56" i="19"/>
  <c r="R56" i="19"/>
  <c r="Q56" i="19"/>
  <c r="S99" i="19"/>
  <c r="R99" i="19"/>
  <c r="Q99" i="19"/>
  <c r="S101" i="19"/>
  <c r="R101" i="19"/>
  <c r="Q101" i="19"/>
  <c r="Q119" i="19"/>
  <c r="S119" i="19"/>
  <c r="R119" i="19"/>
  <c r="S136" i="19"/>
  <c r="R136" i="19"/>
  <c r="Q136" i="19"/>
  <c r="S184" i="19"/>
  <c r="R184" i="19"/>
  <c r="Q184" i="19"/>
  <c r="S216" i="19"/>
  <c r="R216" i="19"/>
  <c r="Q216" i="19"/>
  <c r="S243" i="19"/>
  <c r="R243" i="19"/>
  <c r="Q243" i="19"/>
  <c r="P321" i="19"/>
  <c r="Q318" i="19"/>
  <c r="P323" i="19"/>
  <c r="P322" i="19"/>
  <c r="P320" i="19"/>
  <c r="P319" i="19"/>
  <c r="S318" i="19"/>
  <c r="R318" i="19"/>
  <c r="R492" i="19"/>
  <c r="P495" i="19"/>
  <c r="Q492" i="19"/>
  <c r="P497" i="19"/>
  <c r="P494" i="19"/>
  <c r="P493" i="19"/>
  <c r="P496" i="19"/>
  <c r="S492" i="19"/>
  <c r="S556" i="19"/>
  <c r="R556" i="19"/>
  <c r="Q556" i="19"/>
  <c r="S561" i="19"/>
  <c r="R561" i="19"/>
  <c r="Q561" i="19"/>
  <c r="Q569" i="19"/>
  <c r="S569" i="19"/>
  <c r="R569" i="19"/>
  <c r="S959" i="19"/>
  <c r="R959" i="19"/>
  <c r="Q959" i="19"/>
  <c r="S1052" i="19"/>
  <c r="R1052" i="19"/>
  <c r="Q1052" i="19"/>
  <c r="S1087" i="19"/>
  <c r="R1087" i="19"/>
  <c r="Q1087" i="19"/>
  <c r="Q1189" i="19"/>
  <c r="S1189" i="19"/>
  <c r="R1189" i="19"/>
  <c r="S1246" i="19"/>
  <c r="R1246" i="19"/>
  <c r="Q1246" i="19"/>
  <c r="S1254" i="19"/>
  <c r="R1254" i="19"/>
  <c r="Q1254" i="19"/>
  <c r="S1364" i="19"/>
  <c r="R1364" i="19"/>
  <c r="Q1364" i="19"/>
  <c r="S1569" i="19"/>
  <c r="R1569" i="19"/>
  <c r="Q1569" i="19"/>
  <c r="Q1618" i="19"/>
  <c r="S1618" i="19"/>
  <c r="R1618" i="19"/>
  <c r="Q1900" i="19"/>
  <c r="P1902" i="19"/>
  <c r="P1901" i="19"/>
  <c r="P1903" i="19"/>
  <c r="S1900" i="19"/>
  <c r="R1900" i="19"/>
  <c r="S2534" i="19"/>
  <c r="R2534" i="19"/>
  <c r="Q2534" i="19"/>
  <c r="S2542" i="19"/>
  <c r="R2542" i="19"/>
  <c r="Q2542" i="19"/>
  <c r="C2" i="11"/>
  <c r="C2" i="12"/>
  <c r="C3" i="12"/>
  <c r="C3" i="11"/>
  <c r="G2" i="12"/>
  <c r="G2" i="11"/>
  <c r="G3" i="12"/>
  <c r="G3" i="11"/>
  <c r="M2229" i="19"/>
  <c r="M2353" i="19"/>
  <c r="M943" i="19"/>
  <c r="M1511" i="19"/>
  <c r="M1790" i="19"/>
  <c r="M1834" i="19"/>
  <c r="M2169" i="19"/>
  <c r="M1344" i="19"/>
  <c r="M2042" i="19"/>
  <c r="M990" i="19"/>
  <c r="M1234" i="19"/>
  <c r="M1268" i="19"/>
  <c r="M1662" i="19"/>
  <c r="M1782" i="19"/>
  <c r="M2033" i="19"/>
  <c r="M2269" i="19"/>
  <c r="M1432" i="19"/>
  <c r="M2103" i="19"/>
  <c r="M2190" i="19"/>
  <c r="M928" i="19"/>
  <c r="M1308" i="19"/>
  <c r="M1476" i="19"/>
  <c r="M1634" i="19"/>
  <c r="M1819" i="19"/>
  <c r="M1872" i="19"/>
  <c r="M2031" i="19"/>
  <c r="M2212" i="19"/>
  <c r="M975" i="19"/>
  <c r="M1390" i="19"/>
  <c r="M1561" i="19"/>
  <c r="M1780" i="19"/>
  <c r="M2054" i="19"/>
  <c r="M2248" i="19"/>
  <c r="M1024" i="19"/>
  <c r="M1285" i="19"/>
  <c r="M2050" i="19"/>
  <c r="M2245" i="19"/>
  <c r="M1112" i="19"/>
  <c r="M1798" i="19"/>
  <c r="M2044" i="19"/>
  <c r="M2127" i="19"/>
  <c r="M2398" i="19"/>
  <c r="M2369" i="19"/>
  <c r="M2351" i="19"/>
  <c r="M2405" i="19"/>
  <c r="M2362" i="19"/>
  <c r="M504" i="1"/>
  <c r="M512" i="1"/>
  <c r="M520" i="1"/>
  <c r="N520" i="1" s="1"/>
  <c r="W520" i="1" s="1"/>
  <c r="M528" i="1"/>
  <c r="N528" i="1" s="1"/>
  <c r="W528" i="1" s="1"/>
  <c r="M536" i="1"/>
  <c r="M544" i="1"/>
  <c r="M552" i="1"/>
  <c r="N552" i="1" s="1"/>
  <c r="W552" i="1" s="1"/>
  <c r="M560" i="1"/>
  <c r="N560" i="1" s="1"/>
  <c r="W560" i="1" s="1"/>
  <c r="M568" i="1"/>
  <c r="M576" i="1"/>
  <c r="M584" i="1"/>
  <c r="N584" i="1" s="1"/>
  <c r="W584" i="1" s="1"/>
  <c r="M592" i="1"/>
  <c r="M600" i="1"/>
  <c r="M608" i="1"/>
  <c r="M615" i="1"/>
  <c r="N615" i="1" s="1"/>
  <c r="W615" i="1" s="1"/>
  <c r="M623" i="1"/>
  <c r="N623" i="1" s="1"/>
  <c r="W623" i="1" s="1"/>
  <c r="M631" i="1"/>
  <c r="M639" i="1"/>
  <c r="M647" i="1"/>
  <c r="N647" i="1" s="1"/>
  <c r="W647" i="1" s="1"/>
  <c r="M655" i="1"/>
  <c r="N655" i="1" s="1"/>
  <c r="W655" i="1" s="1"/>
  <c r="M660" i="1"/>
  <c r="M667" i="1"/>
  <c r="M673" i="1"/>
  <c r="N673" i="1" s="1"/>
  <c r="W673" i="1" s="1"/>
  <c r="M687" i="1"/>
  <c r="N687" i="1" s="1"/>
  <c r="W687" i="1" s="1"/>
  <c r="M795" i="1"/>
  <c r="N795" i="1" s="1"/>
  <c r="W795" i="1" s="1"/>
  <c r="M802" i="1"/>
  <c r="N802" i="1" s="1"/>
  <c r="W802" i="1" s="1"/>
  <c r="M810" i="1"/>
  <c r="M817" i="1"/>
  <c r="M829" i="1"/>
  <c r="N829" i="1" s="1"/>
  <c r="W829" i="1" s="1"/>
  <c r="M835" i="1"/>
  <c r="N835" i="1" s="1"/>
  <c r="W835" i="1" s="1"/>
  <c r="M847" i="1"/>
  <c r="M853" i="1"/>
  <c r="M860" i="1"/>
  <c r="N860" i="1" s="1"/>
  <c r="W860" i="1" s="1"/>
  <c r="M865" i="1"/>
  <c r="N865" i="1" s="1"/>
  <c r="W865" i="1" s="1"/>
  <c r="M872" i="1"/>
  <c r="V872" i="1"/>
  <c r="M880" i="1"/>
  <c r="M888" i="1"/>
  <c r="N888" i="1" s="1"/>
  <c r="W888" i="1" s="1"/>
  <c r="M896" i="1"/>
  <c r="N896" i="1" s="1"/>
  <c r="W896" i="1" s="1"/>
  <c r="M904" i="1"/>
  <c r="M912" i="1"/>
  <c r="N912" i="1" s="1"/>
  <c r="W912" i="1" s="1"/>
  <c r="M919" i="1"/>
  <c r="M925" i="1"/>
  <c r="M938" i="1"/>
  <c r="N938" i="1" s="1"/>
  <c r="W938" i="1" s="1"/>
  <c r="M944" i="1"/>
  <c r="M951" i="1"/>
  <c r="M957" i="1"/>
  <c r="M971" i="1"/>
  <c r="N971" i="1" s="1"/>
  <c r="W971" i="1" s="1"/>
  <c r="M979" i="1"/>
  <c r="M986" i="1"/>
  <c r="M993" i="1"/>
  <c r="M1001" i="1"/>
  <c r="M1008" i="1"/>
  <c r="M1016" i="1"/>
  <c r="M1023" i="1"/>
  <c r="M1031" i="1"/>
  <c r="N1031" i="1" s="1"/>
  <c r="W1031" i="1" s="1"/>
  <c r="M1039" i="1"/>
  <c r="M1046" i="1"/>
  <c r="M1053" i="1"/>
  <c r="N1053" i="1" s="1"/>
  <c r="W1053" i="1" s="1"/>
  <c r="M1060" i="1"/>
  <c r="N1060" i="1" s="1"/>
  <c r="W1060" i="1" s="1"/>
  <c r="M1075" i="1"/>
  <c r="M1082" i="1"/>
  <c r="M1089" i="1"/>
  <c r="M1096" i="1"/>
  <c r="N1096" i="1" s="1"/>
  <c r="W1096" i="1" s="1"/>
  <c r="M1103" i="1"/>
  <c r="M1110" i="1"/>
  <c r="M1117" i="1"/>
  <c r="M1124" i="1"/>
  <c r="N1124" i="1" s="1"/>
  <c r="W1124" i="1" s="1"/>
  <c r="M1139" i="1"/>
  <c r="M1146" i="1"/>
  <c r="M1152" i="1"/>
  <c r="N1152" i="1" s="1"/>
  <c r="W1152" i="1" s="1"/>
  <c r="M1159" i="1"/>
  <c r="N1159" i="1" s="1"/>
  <c r="W1159" i="1" s="1"/>
  <c r="M1165" i="1"/>
  <c r="M1178" i="1"/>
  <c r="M1184" i="1"/>
  <c r="M1191" i="1"/>
  <c r="N1191" i="1" s="1"/>
  <c r="W1191" i="1" s="1"/>
  <c r="M1197" i="1"/>
  <c r="M1210" i="1"/>
  <c r="M1216" i="1"/>
  <c r="M1223" i="1"/>
  <c r="N1223" i="1" s="1"/>
  <c r="W1223" i="1" s="1"/>
  <c r="M1229" i="1"/>
  <c r="N1229" i="1" s="1"/>
  <c r="W1229" i="1" s="1"/>
  <c r="M1242" i="1"/>
  <c r="M1248" i="1"/>
  <c r="M1255" i="1"/>
  <c r="N1255" i="1" s="1"/>
  <c r="W1255" i="1" s="1"/>
  <c r="M1261" i="1"/>
  <c r="M1274" i="1"/>
  <c r="M1280" i="1"/>
  <c r="M1287" i="1"/>
  <c r="N1287" i="1" s="1"/>
  <c r="W1287" i="1" s="1"/>
  <c r="M1293" i="1"/>
  <c r="M1306" i="1"/>
  <c r="M1312" i="1"/>
  <c r="M1327" i="1"/>
  <c r="N1327" i="1" s="1"/>
  <c r="W1327" i="1" s="1"/>
  <c r="M1335" i="1"/>
  <c r="M1341" i="1"/>
  <c r="M1348" i="1"/>
  <c r="M1363" i="1"/>
  <c r="N1363" i="1" s="1"/>
  <c r="W1363" i="1" s="1"/>
  <c r="M1370" i="1"/>
  <c r="M1376" i="1"/>
  <c r="M1383" i="1"/>
  <c r="M1389" i="1"/>
  <c r="M1402" i="1"/>
  <c r="M1408" i="1"/>
  <c r="M1415" i="1"/>
  <c r="N1415" i="1" s="1"/>
  <c r="W1415" i="1" s="1"/>
  <c r="M1421" i="1"/>
  <c r="M1434" i="1"/>
  <c r="M1440" i="1"/>
  <c r="M1447" i="1"/>
  <c r="M1453" i="1"/>
  <c r="N1453" i="1" s="1"/>
  <c r="W1453" i="1" s="1"/>
  <c r="M1466" i="1"/>
  <c r="M1472" i="1"/>
  <c r="M1479" i="1"/>
  <c r="M1487" i="1"/>
  <c r="M1494" i="1"/>
  <c r="M1502" i="1"/>
  <c r="M1510" i="1"/>
  <c r="M1517" i="1"/>
  <c r="N1517" i="1" s="1"/>
  <c r="W1517" i="1" s="1"/>
  <c r="M1524" i="1"/>
  <c r="N1524" i="1" s="1"/>
  <c r="W1524" i="1" s="1"/>
  <c r="M1531" i="1"/>
  <c r="M1538" i="1"/>
  <c r="M1545" i="1"/>
  <c r="N1545" i="1" s="1"/>
  <c r="W1545" i="1" s="1"/>
  <c r="M1552" i="1"/>
  <c r="M1559" i="1"/>
  <c r="M1567" i="1"/>
  <c r="M1574" i="1"/>
  <c r="N1574" i="1" s="1"/>
  <c r="W1574" i="1" s="1"/>
  <c r="M1581" i="1"/>
  <c r="M1588" i="1"/>
  <c r="M1595" i="1"/>
  <c r="N1595" i="1" s="1"/>
  <c r="W1595" i="1" s="1"/>
  <c r="M1601" i="1"/>
  <c r="M1614" i="1"/>
  <c r="M1620" i="1"/>
  <c r="N1620" i="1" s="1"/>
  <c r="W1620" i="1" s="1"/>
  <c r="M1628" i="1"/>
  <c r="M1643" i="1"/>
  <c r="M1651" i="1"/>
  <c r="N1651" i="1" s="1"/>
  <c r="W1651" i="1" s="1"/>
  <c r="M1659" i="1"/>
  <c r="M1667" i="1"/>
  <c r="M1675" i="1"/>
  <c r="M1683" i="1"/>
  <c r="N1683" i="1" s="1"/>
  <c r="W1683" i="1" s="1"/>
  <c r="M1699" i="1"/>
  <c r="N1699" i="1" s="1"/>
  <c r="W1699" i="1" s="1"/>
  <c r="M1707" i="1"/>
  <c r="N1707" i="1" s="1"/>
  <c r="W1707" i="1" s="1"/>
  <c r="M1715" i="1"/>
  <c r="M1723" i="1"/>
  <c r="M1731" i="1"/>
  <c r="N1731" i="1" s="1"/>
  <c r="W1731" i="1" s="1"/>
  <c r="M1739" i="1"/>
  <c r="N1739" i="1" s="1"/>
  <c r="W1739" i="1" s="1"/>
  <c r="M1747" i="1"/>
  <c r="M1755" i="1"/>
  <c r="N1755" i="1" s="1"/>
  <c r="W1755" i="1" s="1"/>
  <c r="M1763" i="1"/>
  <c r="N1763" i="1" s="1"/>
  <c r="W1763" i="1" s="1"/>
  <c r="M1771" i="1"/>
  <c r="M1779" i="1"/>
  <c r="M1787" i="1"/>
  <c r="M1795" i="1"/>
  <c r="N1795" i="1" s="1"/>
  <c r="W1795" i="1" s="1"/>
  <c r="M1803" i="1"/>
  <c r="M1811" i="1"/>
  <c r="N1811" i="1" s="1"/>
  <c r="W1811" i="1" s="1"/>
  <c r="M1819" i="1"/>
  <c r="N1819" i="1" s="1"/>
  <c r="W1819" i="1" s="1"/>
  <c r="M1827" i="1"/>
  <c r="N1827" i="1" s="1"/>
  <c r="W1827" i="1" s="1"/>
  <c r="M1835" i="1"/>
  <c r="N1835" i="1" s="1"/>
  <c r="W1835" i="1" s="1"/>
  <c r="M1843" i="1"/>
  <c r="M1851" i="1"/>
  <c r="M1859" i="1"/>
  <c r="N1859" i="1" s="1"/>
  <c r="W1859" i="1" s="1"/>
  <c r="M1867" i="1"/>
  <c r="M1875" i="1"/>
  <c r="M1883" i="1"/>
  <c r="M1891" i="1"/>
  <c r="N1891" i="1" s="1"/>
  <c r="W1891" i="1" s="1"/>
  <c r="M1899" i="1"/>
  <c r="M1907" i="1"/>
  <c r="N1907" i="1" s="1"/>
  <c r="W1907" i="1" s="1"/>
  <c r="M1915" i="1"/>
  <c r="M1923" i="1"/>
  <c r="N1923" i="1" s="1"/>
  <c r="W1923" i="1" s="1"/>
  <c r="M1931" i="1"/>
  <c r="N1931" i="1" s="1"/>
  <c r="W1931" i="1" s="1"/>
  <c r="M1939" i="1"/>
  <c r="M1947" i="1"/>
  <c r="M1955" i="1"/>
  <c r="N1955" i="1" s="1"/>
  <c r="W1955" i="1" s="1"/>
  <c r="M1963" i="1"/>
  <c r="M1971" i="1"/>
  <c r="M1979" i="1"/>
  <c r="M1987" i="1"/>
  <c r="N1987" i="1" s="1"/>
  <c r="W1987" i="1" s="1"/>
  <c r="M1995" i="1"/>
  <c r="M2003" i="1"/>
  <c r="M2011" i="1"/>
  <c r="M2019" i="1"/>
  <c r="N2019" i="1" s="1"/>
  <c r="W2019" i="1" s="1"/>
  <c r="M2027" i="1"/>
  <c r="M2035" i="1"/>
  <c r="M2043" i="1"/>
  <c r="M2051" i="1"/>
  <c r="N2051" i="1" s="1"/>
  <c r="W2051" i="1" s="1"/>
  <c r="M2059" i="1"/>
  <c r="M2067" i="1"/>
  <c r="M2075" i="1"/>
  <c r="M2091" i="1"/>
  <c r="N2091" i="1" s="1"/>
  <c r="W2091" i="1" s="1"/>
  <c r="M2099" i="1"/>
  <c r="M2107" i="1"/>
  <c r="M2115" i="1"/>
  <c r="M2123" i="1"/>
  <c r="M2135" i="1"/>
  <c r="M2141" i="1"/>
  <c r="M2151" i="1"/>
  <c r="M2157" i="1"/>
  <c r="M2163" i="1"/>
  <c r="N2163" i="1" s="1"/>
  <c r="W2163" i="1" s="1"/>
  <c r="M2171" i="1"/>
  <c r="N2171" i="1" s="1"/>
  <c r="W2171" i="1" s="1"/>
  <c r="M2179" i="1"/>
  <c r="M2191" i="1"/>
  <c r="N2191" i="1" s="1"/>
  <c r="W2191" i="1" s="1"/>
  <c r="M2197" i="1"/>
  <c r="N2197" i="1" s="1"/>
  <c r="W2197" i="1" s="1"/>
  <c r="M2202" i="1"/>
  <c r="M2212" i="1"/>
  <c r="N2212" i="1" s="1"/>
  <c r="W2212" i="1" s="1"/>
  <c r="M2226" i="1"/>
  <c r="M2254" i="1"/>
  <c r="M2260" i="1"/>
  <c r="M2270" i="1"/>
  <c r="M2276" i="1"/>
  <c r="M2298" i="1"/>
  <c r="N2298" i="1" s="1"/>
  <c r="W2298" i="1" s="1"/>
  <c r="M2306" i="1"/>
  <c r="M2314" i="1"/>
  <c r="N2314" i="1" s="1"/>
  <c r="W2314" i="1" s="1"/>
  <c r="M2322" i="1"/>
  <c r="M2334" i="1"/>
  <c r="N2334" i="1" s="1"/>
  <c r="W2334" i="1" s="1"/>
  <c r="M2344" i="1"/>
  <c r="M2349" i="1"/>
  <c r="M2359" i="1"/>
  <c r="N2359" i="1" s="1"/>
  <c r="W2359" i="1" s="1"/>
  <c r="M2365" i="1"/>
  <c r="N2365" i="1" s="1"/>
  <c r="W2365" i="1" s="1"/>
  <c r="M2375" i="1"/>
  <c r="N2375" i="1" s="1"/>
  <c r="W2375" i="1" s="1"/>
  <c r="M2381" i="1"/>
  <c r="M2397" i="1"/>
  <c r="M2407" i="1"/>
  <c r="M2415" i="1"/>
  <c r="M2423" i="1"/>
  <c r="N2423" i="1" s="1"/>
  <c r="W2423" i="1" s="1"/>
  <c r="M2431" i="1"/>
  <c r="N2431" i="1" s="1"/>
  <c r="W2431" i="1" s="1"/>
  <c r="M2439" i="1"/>
  <c r="M2447" i="1"/>
  <c r="M2455" i="1"/>
  <c r="N2455" i="1" s="1"/>
  <c r="W2455" i="1" s="1"/>
  <c r="M2463" i="1"/>
  <c r="N2463" i="1" s="1"/>
  <c r="W2463" i="1" s="1"/>
  <c r="M2471" i="1"/>
  <c r="M2479" i="1"/>
  <c r="M2487" i="1"/>
  <c r="N2487" i="1" s="1"/>
  <c r="W2487" i="1" s="1"/>
  <c r="M2495" i="1"/>
  <c r="N2495" i="1" s="1"/>
  <c r="W2495" i="1" s="1"/>
  <c r="M609" i="19"/>
  <c r="M1027" i="19"/>
  <c r="M1255" i="19"/>
  <c r="M1297" i="19"/>
  <c r="M1625" i="19"/>
  <c r="M2202" i="19"/>
  <c r="M2376" i="19"/>
  <c r="M505" i="1"/>
  <c r="N505" i="1" s="1"/>
  <c r="W505" i="1" s="1"/>
  <c r="M513" i="1"/>
  <c r="N513" i="1" s="1"/>
  <c r="W513" i="1" s="1"/>
  <c r="M521" i="1"/>
  <c r="M529" i="1"/>
  <c r="N529" i="1" s="1"/>
  <c r="W529" i="1" s="1"/>
  <c r="M537" i="1"/>
  <c r="N537" i="1" s="1"/>
  <c r="M545" i="1"/>
  <c r="N545" i="1" s="1"/>
  <c r="W545" i="1" s="1"/>
  <c r="M553" i="1"/>
  <c r="M561" i="1"/>
  <c r="N561" i="1" s="1"/>
  <c r="W561" i="1" s="1"/>
  <c r="M569" i="1"/>
  <c r="N569" i="1" s="1"/>
  <c r="W569" i="1" s="1"/>
  <c r="M577" i="1"/>
  <c r="N577" i="1" s="1"/>
  <c r="W577" i="1" s="1"/>
  <c r="M585" i="1"/>
  <c r="M593" i="1"/>
  <c r="N593" i="1" s="1"/>
  <c r="W593" i="1" s="1"/>
  <c r="M601" i="1"/>
  <c r="N601" i="1" s="1"/>
  <c r="W601" i="1" s="1"/>
  <c r="M609" i="1"/>
  <c r="N609" i="1" s="1"/>
  <c r="W609" i="1" s="1"/>
  <c r="M616" i="1"/>
  <c r="M624" i="1"/>
  <c r="N624" i="1" s="1"/>
  <c r="W624" i="1" s="1"/>
  <c r="M632" i="1"/>
  <c r="N632" i="1" s="1"/>
  <c r="W632" i="1" s="1"/>
  <c r="M640" i="1"/>
  <c r="N640" i="1" s="1"/>
  <c r="W640" i="1" s="1"/>
  <c r="M648" i="1"/>
  <c r="M674" i="1"/>
  <c r="M680" i="1"/>
  <c r="N680" i="1" s="1"/>
  <c r="W680" i="1" s="1"/>
  <c r="M796" i="1"/>
  <c r="N796" i="1" s="1"/>
  <c r="W796" i="1" s="1"/>
  <c r="M803" i="1"/>
  <c r="N803" i="1" s="1"/>
  <c r="W803" i="1" s="1"/>
  <c r="M830" i="1"/>
  <c r="M836" i="1"/>
  <c r="N836" i="1" s="1"/>
  <c r="W836" i="1" s="1"/>
  <c r="M841" i="1"/>
  <c r="N841" i="1" s="1"/>
  <c r="W841" i="1" s="1"/>
  <c r="M848" i="1"/>
  <c r="N848" i="1" s="1"/>
  <c r="W848" i="1" s="1"/>
  <c r="M854" i="1"/>
  <c r="N854" i="1" s="1"/>
  <c r="W854" i="1" s="1"/>
  <c r="M866" i="1"/>
  <c r="M889" i="1"/>
  <c r="N889" i="1" s="1"/>
  <c r="W889" i="1" s="1"/>
  <c r="M905" i="1"/>
  <c r="N905" i="1" s="1"/>
  <c r="W905" i="1" s="1"/>
  <c r="M926" i="1"/>
  <c r="N926" i="1" s="1"/>
  <c r="W926" i="1" s="1"/>
  <c r="M932" i="1"/>
  <c r="N932" i="1" s="1"/>
  <c r="W932" i="1" s="1"/>
  <c r="M939" i="1"/>
  <c r="N939" i="1" s="1"/>
  <c r="W939" i="1" s="1"/>
  <c r="M945" i="1"/>
  <c r="M958" i="1"/>
  <c r="N958" i="1" s="1"/>
  <c r="W958" i="1" s="1"/>
  <c r="M964" i="1"/>
  <c r="M972" i="1"/>
  <c r="N972" i="1" s="1"/>
  <c r="W972" i="1" s="1"/>
  <c r="M987" i="1"/>
  <c r="N987" i="1" s="1"/>
  <c r="W987" i="1" s="1"/>
  <c r="M994" i="1"/>
  <c r="N994" i="1" s="1"/>
  <c r="W994" i="1" s="1"/>
  <c r="M1002" i="1"/>
  <c r="M1009" i="1"/>
  <c r="M1017" i="1"/>
  <c r="N1017" i="1" s="1"/>
  <c r="W1017" i="1" s="1"/>
  <c r="M1024" i="1"/>
  <c r="M1032" i="1"/>
  <c r="M1040" i="1"/>
  <c r="M1047" i="1"/>
  <c r="N1047" i="1" s="1"/>
  <c r="W1047" i="1" s="1"/>
  <c r="M1054" i="1"/>
  <c r="N1054" i="1" s="1"/>
  <c r="W1054" i="1" s="1"/>
  <c r="M1061" i="1"/>
  <c r="M1068" i="1"/>
  <c r="M1083" i="1"/>
  <c r="N1083" i="1" s="1"/>
  <c r="W1083" i="1" s="1"/>
  <c r="M1090" i="1"/>
  <c r="N1090" i="1" s="1"/>
  <c r="W1090" i="1" s="1"/>
  <c r="M1097" i="1"/>
  <c r="M1104" i="1"/>
  <c r="M1111" i="1"/>
  <c r="N1111" i="1" s="1"/>
  <c r="W1111" i="1" s="1"/>
  <c r="M1118" i="1"/>
  <c r="N1118" i="1" s="1"/>
  <c r="W1118" i="1" s="1"/>
  <c r="M1125" i="1"/>
  <c r="M1132" i="1"/>
  <c r="M1147" i="1"/>
  <c r="N1147" i="1" s="1"/>
  <c r="W1147" i="1" s="1"/>
  <c r="M1153" i="1"/>
  <c r="N1153" i="1" s="1"/>
  <c r="W1153" i="1" s="1"/>
  <c r="M1166" i="1"/>
  <c r="M1172" i="1"/>
  <c r="M1179" i="1"/>
  <c r="N1179" i="1" s="1"/>
  <c r="W1179" i="1" s="1"/>
  <c r="M1185" i="1"/>
  <c r="N1185" i="1" s="1"/>
  <c r="W1185" i="1" s="1"/>
  <c r="M1198" i="1"/>
  <c r="N1198" i="1" s="1"/>
  <c r="W1198" i="1" s="1"/>
  <c r="M1204" i="1"/>
  <c r="M1211" i="1"/>
  <c r="N1211" i="1" s="1"/>
  <c r="W1211" i="1" s="1"/>
  <c r="M1217" i="1"/>
  <c r="N1217" i="1" s="1"/>
  <c r="W1217" i="1" s="1"/>
  <c r="M1230" i="1"/>
  <c r="M1236" i="1"/>
  <c r="M1243" i="1"/>
  <c r="N1243" i="1" s="1"/>
  <c r="W1243" i="1" s="1"/>
  <c r="M1249" i="1"/>
  <c r="M1262" i="1"/>
  <c r="M1268" i="1"/>
  <c r="M1275" i="1"/>
  <c r="N1275" i="1" s="1"/>
  <c r="W1275" i="1" s="1"/>
  <c r="M1281" i="1"/>
  <c r="N1281" i="1" s="1"/>
  <c r="W1281" i="1" s="1"/>
  <c r="M1294" i="1"/>
  <c r="M1300" i="1"/>
  <c r="M1307" i="1"/>
  <c r="N1307" i="1" s="1"/>
  <c r="W1307" i="1" s="1"/>
  <c r="M1313" i="1"/>
  <c r="N1313" i="1" s="1"/>
  <c r="W1313" i="1" s="1"/>
  <c r="M1320" i="1"/>
  <c r="N1320" i="1" s="1"/>
  <c r="W1320" i="1" s="1"/>
  <c r="M1328" i="1"/>
  <c r="M1342" i="1"/>
  <c r="N1342" i="1" s="1"/>
  <c r="W1342" i="1" s="1"/>
  <c r="M1349" i="1"/>
  <c r="M1356" i="1"/>
  <c r="M1364" i="1"/>
  <c r="N1364" i="1" s="1"/>
  <c r="W1364" i="1" s="1"/>
  <c r="M1371" i="1"/>
  <c r="N1371" i="1" s="1"/>
  <c r="W1371" i="1" s="1"/>
  <c r="M1377" i="1"/>
  <c r="M1390" i="1"/>
  <c r="M1396" i="1"/>
  <c r="N1396" i="1" s="1"/>
  <c r="W1396" i="1" s="1"/>
  <c r="M1403" i="1"/>
  <c r="N1403" i="1" s="1"/>
  <c r="W1403" i="1" s="1"/>
  <c r="M1409" i="1"/>
  <c r="M1422" i="1"/>
  <c r="M1428" i="1"/>
  <c r="N1428" i="1" s="1"/>
  <c r="W1428" i="1" s="1"/>
  <c r="M1435" i="1"/>
  <c r="N1435" i="1" s="1"/>
  <c r="W1435" i="1" s="1"/>
  <c r="M1441" i="1"/>
  <c r="M1454" i="1"/>
  <c r="M1460" i="1"/>
  <c r="N1460" i="1" s="1"/>
  <c r="W1460" i="1" s="1"/>
  <c r="M1467" i="1"/>
  <c r="N1467" i="1" s="1"/>
  <c r="W1467" i="1" s="1"/>
  <c r="M1473" i="1"/>
  <c r="M1480" i="1"/>
  <c r="M1488" i="1"/>
  <c r="M1495" i="1"/>
  <c r="N1495" i="1" s="1"/>
  <c r="W1495" i="1" s="1"/>
  <c r="M1503" i="1"/>
  <c r="M1511" i="1"/>
  <c r="M1518" i="1"/>
  <c r="M1525" i="1"/>
  <c r="N1525" i="1" s="1"/>
  <c r="W1525" i="1" s="1"/>
  <c r="M1532" i="1"/>
  <c r="M1539" i="1"/>
  <c r="N1539" i="1" s="1"/>
  <c r="W1539" i="1" s="1"/>
  <c r="M1546" i="1"/>
  <c r="N1546" i="1" s="1"/>
  <c r="W1546" i="1" s="1"/>
  <c r="M1553" i="1"/>
  <c r="N1553" i="1" s="1"/>
  <c r="W1553" i="1" s="1"/>
  <c r="M1560" i="1"/>
  <c r="M1575" i="1"/>
  <c r="M1582" i="1"/>
  <c r="N1582" i="1" s="1"/>
  <c r="W1582" i="1" s="1"/>
  <c r="M1589" i="1"/>
  <c r="N1589" i="1" s="1"/>
  <c r="W1589" i="1" s="1"/>
  <c r="M1602" i="1"/>
  <c r="M1608" i="1"/>
  <c r="N1608" i="1" s="1"/>
  <c r="W1608" i="1" s="1"/>
  <c r="M1615" i="1"/>
  <c r="N1615" i="1" s="1"/>
  <c r="W1615" i="1" s="1"/>
  <c r="M1621" i="1"/>
  <c r="M1629" i="1"/>
  <c r="N1629" i="1" s="1"/>
  <c r="W1629" i="1" s="1"/>
  <c r="M1636" i="1"/>
  <c r="M1644" i="1"/>
  <c r="N1644" i="1" s="1"/>
  <c r="W1644" i="1" s="1"/>
  <c r="M1652" i="1"/>
  <c r="M1660" i="1"/>
  <c r="N1660" i="1" s="1"/>
  <c r="W1660" i="1" s="1"/>
  <c r="M1668" i="1"/>
  <c r="N1668" i="1" s="1"/>
  <c r="W1668" i="1" s="1"/>
  <c r="M1676" i="1"/>
  <c r="N1676" i="1" s="1"/>
  <c r="W1676" i="1" s="1"/>
  <c r="M1684" i="1"/>
  <c r="M1700" i="1"/>
  <c r="M1708" i="1"/>
  <c r="N1708" i="1" s="1"/>
  <c r="W1708" i="1" s="1"/>
  <c r="M1716" i="1"/>
  <c r="M1724" i="1"/>
  <c r="M1732" i="1"/>
  <c r="M1740" i="1"/>
  <c r="N1740" i="1" s="1"/>
  <c r="W1740" i="1" s="1"/>
  <c r="M1748" i="1"/>
  <c r="M1756" i="1"/>
  <c r="M1764" i="1"/>
  <c r="M1772" i="1"/>
  <c r="N1772" i="1" s="1"/>
  <c r="W1772" i="1" s="1"/>
  <c r="M1780" i="1"/>
  <c r="M1788" i="1"/>
  <c r="N1788" i="1" s="1"/>
  <c r="W1788" i="1" s="1"/>
  <c r="M1796" i="1"/>
  <c r="N1796" i="1" s="1"/>
  <c r="W1796" i="1" s="1"/>
  <c r="M1804" i="1"/>
  <c r="N1804" i="1" s="1"/>
  <c r="W1804" i="1" s="1"/>
  <c r="M1812" i="1"/>
  <c r="M1820" i="1"/>
  <c r="N1820" i="1" s="1"/>
  <c r="W1820" i="1" s="1"/>
  <c r="M1828" i="1"/>
  <c r="M1836" i="1"/>
  <c r="N1836" i="1" s="1"/>
  <c r="W1836" i="1" s="1"/>
  <c r="M1844" i="1"/>
  <c r="M1852" i="1"/>
  <c r="N1852" i="1" s="1"/>
  <c r="W1852" i="1" s="1"/>
  <c r="M1860" i="1"/>
  <c r="M1868" i="1"/>
  <c r="N1868" i="1" s="1"/>
  <c r="W1868" i="1" s="1"/>
  <c r="M1876" i="1"/>
  <c r="N1876" i="1" s="1"/>
  <c r="W1876" i="1" s="1"/>
  <c r="M1884" i="1"/>
  <c r="N1884" i="1" s="1"/>
  <c r="W1884" i="1" s="1"/>
  <c r="M1892" i="1"/>
  <c r="N1892" i="1" s="1"/>
  <c r="W1892" i="1" s="1"/>
  <c r="M1900" i="1"/>
  <c r="N1900" i="1" s="1"/>
  <c r="W1900" i="1" s="1"/>
  <c r="M1908" i="1"/>
  <c r="N1908" i="1" s="1"/>
  <c r="W1908" i="1" s="1"/>
  <c r="M1916" i="1"/>
  <c r="N1916" i="1" s="1"/>
  <c r="W1916" i="1" s="1"/>
  <c r="M1924" i="1"/>
  <c r="N1924" i="1" s="1"/>
  <c r="W1924" i="1" s="1"/>
  <c r="M1932" i="1"/>
  <c r="N1932" i="1" s="1"/>
  <c r="W1932" i="1" s="1"/>
  <c r="M1972" i="1"/>
  <c r="M1980" i="1"/>
  <c r="N1980" i="1" s="1"/>
  <c r="W1980" i="1" s="1"/>
  <c r="M1996" i="1"/>
  <c r="N1996" i="1" s="1"/>
  <c r="W1996" i="1" s="1"/>
  <c r="M2004" i="1"/>
  <c r="M2012" i="1"/>
  <c r="N2012" i="1" s="1"/>
  <c r="W2012" i="1" s="1"/>
  <c r="M2020" i="1"/>
  <c r="M2028" i="1"/>
  <c r="N2028" i="1" s="1"/>
  <c r="W2028" i="1" s="1"/>
  <c r="M2036" i="1"/>
  <c r="M2044" i="1"/>
  <c r="N2044" i="1" s="1"/>
  <c r="W2044" i="1" s="1"/>
  <c r="M2052" i="1"/>
  <c r="M2060" i="1"/>
  <c r="N2060" i="1" s="1"/>
  <c r="W2060" i="1" s="1"/>
  <c r="M2068" i="1"/>
  <c r="M2076" i="1"/>
  <c r="N2076" i="1" s="1"/>
  <c r="W2076" i="1" s="1"/>
  <c r="M2084" i="1"/>
  <c r="M2092" i="1"/>
  <c r="N2092" i="1" s="1"/>
  <c r="W2092" i="1" s="1"/>
  <c r="M2100" i="1"/>
  <c r="M2108" i="1"/>
  <c r="N2108" i="1" s="1"/>
  <c r="W2108" i="1" s="1"/>
  <c r="M2116" i="1"/>
  <c r="M2124" i="1"/>
  <c r="N2124" i="1" s="1"/>
  <c r="W2124" i="1" s="1"/>
  <c r="M2136" i="1"/>
  <c r="N2136" i="1" s="1"/>
  <c r="W2136" i="1" s="1"/>
  <c r="M2142" i="1"/>
  <c r="M2152" i="1"/>
  <c r="M2158" i="1"/>
  <c r="N2158" i="1" s="1"/>
  <c r="W2158" i="1" s="1"/>
  <c r="M2164" i="1"/>
  <c r="M2172" i="1"/>
  <c r="N2172" i="1" s="1"/>
  <c r="W2172" i="1" s="1"/>
  <c r="M2180" i="1"/>
  <c r="M2192" i="1"/>
  <c r="M2198" i="1"/>
  <c r="N2198" i="1" s="1"/>
  <c r="W2198" i="1" s="1"/>
  <c r="M2207" i="1"/>
  <c r="N2207" i="1" s="1"/>
  <c r="W2207" i="1" s="1"/>
  <c r="M2213" i="1"/>
  <c r="M2219" i="1"/>
  <c r="N2219" i="1" s="1"/>
  <c r="W2219" i="1" s="1"/>
  <c r="M2227" i="1"/>
  <c r="M2235" i="1"/>
  <c r="N2235" i="1" s="1"/>
  <c r="W2235" i="1" s="1"/>
  <c r="M2243" i="1"/>
  <c r="M2249" i="1"/>
  <c r="N2249" i="1" s="1"/>
  <c r="W2249" i="1" s="1"/>
  <c r="M2255" i="1"/>
  <c r="M2265" i="1"/>
  <c r="M2271" i="1"/>
  <c r="N2271" i="1" s="1"/>
  <c r="W2271" i="1" s="1"/>
  <c r="M2281" i="1"/>
  <c r="N2281" i="1" s="1"/>
  <c r="W2281" i="1" s="1"/>
  <c r="M2287" i="1"/>
  <c r="M2307" i="1"/>
  <c r="N2307" i="1" s="1"/>
  <c r="W2307" i="1" s="1"/>
  <c r="M2315" i="1"/>
  <c r="M2323" i="1"/>
  <c r="N2323" i="1" s="1"/>
  <c r="W2323" i="1" s="1"/>
  <c r="M2329" i="1"/>
  <c r="M2339" i="1"/>
  <c r="M2345" i="1"/>
  <c r="N2345" i="1" s="1"/>
  <c r="W2345" i="1" s="1"/>
  <c r="M2360" i="1"/>
  <c r="N2360" i="1" s="1"/>
  <c r="W2360" i="1" s="1"/>
  <c r="M2366" i="1"/>
  <c r="M2376" i="1"/>
  <c r="M2382" i="1"/>
  <c r="N2382" i="1" s="1"/>
  <c r="W2382" i="1" s="1"/>
  <c r="M2408" i="1"/>
  <c r="M2416" i="1"/>
  <c r="N2416" i="1" s="1"/>
  <c r="W2416" i="1" s="1"/>
  <c r="M2424" i="1"/>
  <c r="M2456" i="1"/>
  <c r="N2456" i="1" s="1"/>
  <c r="W2456" i="1" s="1"/>
  <c r="M2464" i="1"/>
  <c r="M2472" i="1"/>
  <c r="N2472" i="1" s="1"/>
  <c r="W2472" i="1" s="1"/>
  <c r="M2480" i="1"/>
  <c r="M2488" i="1"/>
  <c r="N2488" i="1" s="1"/>
  <c r="W2488" i="1" s="1"/>
  <c r="M2496" i="1"/>
  <c r="M1313" i="19"/>
  <c r="M2075" i="19"/>
  <c r="M2264" i="19"/>
  <c r="M506" i="1"/>
  <c r="N506" i="1" s="1"/>
  <c r="W506" i="1" s="1"/>
  <c r="M514" i="1"/>
  <c r="N514" i="1" s="1"/>
  <c r="W514" i="1" s="1"/>
  <c r="M522" i="1"/>
  <c r="N522" i="1" s="1"/>
  <c r="W522" i="1" s="1"/>
  <c r="M530" i="1"/>
  <c r="M538" i="1"/>
  <c r="M546" i="1"/>
  <c r="N546" i="1" s="1"/>
  <c r="W546" i="1" s="1"/>
  <c r="M554" i="1"/>
  <c r="M562" i="1"/>
  <c r="M570" i="1"/>
  <c r="M578" i="1"/>
  <c r="N578" i="1" s="1"/>
  <c r="W578" i="1" s="1"/>
  <c r="M586" i="1"/>
  <c r="M594" i="1"/>
  <c r="M610" i="1"/>
  <c r="N610" i="1" s="1"/>
  <c r="W610" i="1" s="1"/>
  <c r="M617" i="1"/>
  <c r="M625" i="1"/>
  <c r="N625" i="1" s="1"/>
  <c r="W625" i="1" s="1"/>
  <c r="M633" i="1"/>
  <c r="M641" i="1"/>
  <c r="N641" i="1" s="1"/>
  <c r="W641" i="1" s="1"/>
  <c r="M649" i="1"/>
  <c r="M656" i="1"/>
  <c r="M662" i="1"/>
  <c r="M668" i="1"/>
  <c r="N668" i="1" s="1"/>
  <c r="W668" i="1" s="1"/>
  <c r="M675" i="1"/>
  <c r="M681" i="1"/>
  <c r="N681" i="1" s="1"/>
  <c r="W681" i="1" s="1"/>
  <c r="M688" i="1"/>
  <c r="M789" i="1"/>
  <c r="N789" i="1" s="1"/>
  <c r="W789" i="1" s="1"/>
  <c r="M797" i="1"/>
  <c r="M804" i="1"/>
  <c r="N804" i="1" s="1"/>
  <c r="W804" i="1" s="1"/>
  <c r="M812" i="1"/>
  <c r="N812" i="1" s="1"/>
  <c r="W812" i="1" s="1"/>
  <c r="M818" i="1"/>
  <c r="N818" i="1" s="1"/>
  <c r="W818" i="1" s="1"/>
  <c r="M831" i="1"/>
  <c r="M855" i="1"/>
  <c r="N855" i="1" s="1"/>
  <c r="W855" i="1" s="1"/>
  <c r="M861" i="1"/>
  <c r="M882" i="1"/>
  <c r="N882" i="1" s="1"/>
  <c r="W882" i="1" s="1"/>
  <c r="M890" i="1"/>
  <c r="N890" i="1" s="1"/>
  <c r="W890" i="1" s="1"/>
  <c r="M898" i="1"/>
  <c r="M906" i="1"/>
  <c r="N906" i="1" s="1"/>
  <c r="W906" i="1" s="1"/>
  <c r="M914" i="1"/>
  <c r="N914" i="1" s="1"/>
  <c r="W914" i="1" s="1"/>
  <c r="M920" i="1"/>
  <c r="N920" i="1" s="1"/>
  <c r="W920" i="1" s="1"/>
  <c r="M927" i="1"/>
  <c r="M933" i="1"/>
  <c r="M946" i="1"/>
  <c r="M952" i="1"/>
  <c r="N952" i="1" s="1"/>
  <c r="W952" i="1" s="1"/>
  <c r="M959" i="1"/>
  <c r="N959" i="1" s="1"/>
  <c r="W959" i="1" s="1"/>
  <c r="M965" i="1"/>
  <c r="M973" i="1"/>
  <c r="M980" i="1"/>
  <c r="N980" i="1" s="1"/>
  <c r="W980" i="1" s="1"/>
  <c r="M995" i="1"/>
  <c r="M1003" i="1"/>
  <c r="N1003" i="1" s="1"/>
  <c r="W1003" i="1" s="1"/>
  <c r="M1010" i="1"/>
  <c r="N1010" i="1" s="1"/>
  <c r="W1010" i="1" s="1"/>
  <c r="M1018" i="1"/>
  <c r="M1025" i="1"/>
  <c r="M1033" i="1"/>
  <c r="M1041" i="1"/>
  <c r="N1041" i="1" s="1"/>
  <c r="W1041" i="1" s="1"/>
  <c r="M1048" i="1"/>
  <c r="M1055" i="1"/>
  <c r="M1062" i="1"/>
  <c r="N1062" i="1" s="1"/>
  <c r="W1062" i="1" s="1"/>
  <c r="M1069" i="1"/>
  <c r="N1069" i="1" s="1"/>
  <c r="W1069" i="1" s="1"/>
  <c r="M1076" i="1"/>
  <c r="M1091" i="1"/>
  <c r="M1098" i="1"/>
  <c r="N1098" i="1" s="1"/>
  <c r="W1098" i="1" s="1"/>
  <c r="M1105" i="1"/>
  <c r="M1112" i="1"/>
  <c r="N1112" i="1" s="1"/>
  <c r="W1112" i="1" s="1"/>
  <c r="M1119" i="1"/>
  <c r="M1126" i="1"/>
  <c r="N1126" i="1" s="1"/>
  <c r="W1126" i="1" s="1"/>
  <c r="M1133" i="1"/>
  <c r="N1133" i="1" s="1"/>
  <c r="W1133" i="1" s="1"/>
  <c r="M1140" i="1"/>
  <c r="N1140" i="1" s="1"/>
  <c r="W1140" i="1" s="1"/>
  <c r="M1154" i="1"/>
  <c r="N1154" i="1" s="1"/>
  <c r="W1154" i="1" s="1"/>
  <c r="M1160" i="1"/>
  <c r="N1160" i="1" s="1"/>
  <c r="W1160" i="1" s="1"/>
  <c r="M1167" i="1"/>
  <c r="M1173" i="1"/>
  <c r="M1186" i="1"/>
  <c r="M1192" i="1"/>
  <c r="N1192" i="1" s="1"/>
  <c r="W1192" i="1" s="1"/>
  <c r="M1199" i="1"/>
  <c r="N1199" i="1" s="1"/>
  <c r="W1199" i="1" s="1"/>
  <c r="M1205" i="1"/>
  <c r="M1218" i="1"/>
  <c r="N1218" i="1" s="1"/>
  <c r="W1218" i="1" s="1"/>
  <c r="M1224" i="1"/>
  <c r="M1231" i="1"/>
  <c r="M1237" i="1"/>
  <c r="N1237" i="1" s="1"/>
  <c r="W1237" i="1" s="1"/>
  <c r="M1250" i="1"/>
  <c r="M1256" i="1"/>
  <c r="N1256" i="1" s="1"/>
  <c r="W1256" i="1" s="1"/>
  <c r="M1263" i="1"/>
  <c r="M1269" i="1"/>
  <c r="M1282" i="1"/>
  <c r="M1288" i="1"/>
  <c r="M1295" i="1"/>
  <c r="N1295" i="1" s="1"/>
  <c r="W1295" i="1" s="1"/>
  <c r="M1301" i="1"/>
  <c r="N1301" i="1" s="1"/>
  <c r="W1301" i="1" s="1"/>
  <c r="M1314" i="1"/>
  <c r="N1314" i="1" s="1"/>
  <c r="W1314" i="1" s="1"/>
  <c r="M1321" i="1"/>
  <c r="N1321" i="1" s="1"/>
  <c r="W1321" i="1" s="1"/>
  <c r="M1329" i="1"/>
  <c r="M1336" i="1"/>
  <c r="N1336" i="1" s="1"/>
  <c r="W1336" i="1" s="1"/>
  <c r="M1343" i="1"/>
  <c r="N1343" i="1" s="1"/>
  <c r="W1343" i="1" s="1"/>
  <c r="M1350" i="1"/>
  <c r="M1357" i="1"/>
  <c r="M1365" i="1"/>
  <c r="N1365" i="1" s="1"/>
  <c r="W1365" i="1" s="1"/>
  <c r="M1378" i="1"/>
  <c r="M1384" i="1"/>
  <c r="N1384" i="1" s="1"/>
  <c r="W1384" i="1" s="1"/>
  <c r="M1391" i="1"/>
  <c r="N1391" i="1" s="1"/>
  <c r="W1391" i="1" s="1"/>
  <c r="M1397" i="1"/>
  <c r="M1410" i="1"/>
  <c r="M1416" i="1"/>
  <c r="M1423" i="1"/>
  <c r="N1423" i="1" s="1"/>
  <c r="W1423" i="1" s="1"/>
  <c r="M1429" i="1"/>
  <c r="N1429" i="1" s="1"/>
  <c r="W1429" i="1" s="1"/>
  <c r="M1442" i="1"/>
  <c r="N1442" i="1" s="1"/>
  <c r="W1442" i="1" s="1"/>
  <c r="M1448" i="1"/>
  <c r="N1448" i="1" s="1"/>
  <c r="W1448" i="1" s="1"/>
  <c r="M1455" i="1"/>
  <c r="M1461" i="1"/>
  <c r="M1474" i="1"/>
  <c r="M1481" i="1"/>
  <c r="N1481" i="1" s="1"/>
  <c r="W1481" i="1" s="1"/>
  <c r="M1489" i="1"/>
  <c r="N1489" i="1" s="1"/>
  <c r="W1489" i="1" s="1"/>
  <c r="M1496" i="1"/>
  <c r="M1504" i="1"/>
  <c r="M1519" i="1"/>
  <c r="M1526" i="1"/>
  <c r="M1533" i="1"/>
  <c r="N1533" i="1" s="1"/>
  <c r="W1533" i="1" s="1"/>
  <c r="M1540" i="1"/>
  <c r="N1540" i="1" s="1"/>
  <c r="W1540" i="1" s="1"/>
  <c r="M1547" i="1"/>
  <c r="M1554" i="1"/>
  <c r="M1561" i="1"/>
  <c r="N1561" i="1" s="1"/>
  <c r="W1561" i="1" s="1"/>
  <c r="M1568" i="1"/>
  <c r="N1568" i="1" s="1"/>
  <c r="W1568" i="1" s="1"/>
  <c r="M1583" i="1"/>
  <c r="M1590" i="1"/>
  <c r="M1596" i="1"/>
  <c r="M1603" i="1"/>
  <c r="N1603" i="1" s="1"/>
  <c r="W1603" i="1" s="1"/>
  <c r="M1609" i="1"/>
  <c r="M1622" i="1"/>
  <c r="M1630" i="1"/>
  <c r="M1637" i="1"/>
  <c r="N1637" i="1" s="1"/>
  <c r="W1637" i="1" s="1"/>
  <c r="M1645" i="1"/>
  <c r="N1645" i="1" s="1"/>
  <c r="W1645" i="1" s="1"/>
  <c r="M1653" i="1"/>
  <c r="N1653" i="1" s="1"/>
  <c r="W1653" i="1" s="1"/>
  <c r="M1661" i="1"/>
  <c r="M1669" i="1"/>
  <c r="M1685" i="1"/>
  <c r="M1693" i="1"/>
  <c r="N1693" i="1" s="1"/>
  <c r="W1693" i="1" s="1"/>
  <c r="M1701" i="1"/>
  <c r="N1701" i="1" s="1"/>
  <c r="W1701" i="1" s="1"/>
  <c r="M1709" i="1"/>
  <c r="N1709" i="1" s="1"/>
  <c r="W1709" i="1" s="1"/>
  <c r="M1717" i="1"/>
  <c r="M1725" i="1"/>
  <c r="N1725" i="1" s="1"/>
  <c r="W1725" i="1" s="1"/>
  <c r="M1733" i="1"/>
  <c r="N1733" i="1" s="1"/>
  <c r="W1733" i="1" s="1"/>
  <c r="M1741" i="1"/>
  <c r="N1741" i="1" s="1"/>
  <c r="W1741" i="1" s="1"/>
  <c r="M1749" i="1"/>
  <c r="M1757" i="1"/>
  <c r="N1757" i="1" s="1"/>
  <c r="W1757" i="1" s="1"/>
  <c r="M1765" i="1"/>
  <c r="N1765" i="1" s="1"/>
  <c r="W1765" i="1" s="1"/>
  <c r="M1773" i="1"/>
  <c r="N1773" i="1" s="1"/>
  <c r="W1773" i="1" s="1"/>
  <c r="M1781" i="1"/>
  <c r="M1789" i="1"/>
  <c r="M1797" i="1"/>
  <c r="M1805" i="1"/>
  <c r="N1805" i="1" s="1"/>
  <c r="W1805" i="1" s="1"/>
  <c r="M1813" i="1"/>
  <c r="M1821" i="1"/>
  <c r="N1821" i="1" s="1"/>
  <c r="W1821" i="1" s="1"/>
  <c r="M1829" i="1"/>
  <c r="N1829" i="1" s="1"/>
  <c r="W1829" i="1" s="1"/>
  <c r="M1837" i="1"/>
  <c r="N1837" i="1" s="1"/>
  <c r="W1837" i="1" s="1"/>
  <c r="M1845" i="1"/>
  <c r="M1853" i="1"/>
  <c r="N1853" i="1" s="1"/>
  <c r="W1853" i="1" s="1"/>
  <c r="M1861" i="1"/>
  <c r="M1869" i="1"/>
  <c r="N1869" i="1" s="1"/>
  <c r="W1869" i="1" s="1"/>
  <c r="M1877" i="1"/>
  <c r="M1885" i="1"/>
  <c r="M1893" i="1"/>
  <c r="M1901" i="1"/>
  <c r="N1901" i="1" s="1"/>
  <c r="W1901" i="1" s="1"/>
  <c r="M1909" i="1"/>
  <c r="M1917" i="1"/>
  <c r="N1917" i="1" s="1"/>
  <c r="W1917" i="1" s="1"/>
  <c r="M1925" i="1"/>
  <c r="M1933" i="1"/>
  <c r="N1933" i="1" s="1"/>
  <c r="W1933" i="1" s="1"/>
  <c r="M1941" i="1"/>
  <c r="N1941" i="1" s="1"/>
  <c r="W1941" i="1" s="1"/>
  <c r="M1949" i="1"/>
  <c r="N1949" i="1" s="1"/>
  <c r="W1949" i="1" s="1"/>
  <c r="M1957" i="1"/>
  <c r="M1965" i="1"/>
  <c r="N1965" i="1" s="1"/>
  <c r="W1965" i="1" s="1"/>
  <c r="M1973" i="1"/>
  <c r="M1981" i="1"/>
  <c r="N1981" i="1" s="1"/>
  <c r="W1981" i="1" s="1"/>
  <c r="M1989" i="1"/>
  <c r="N1989" i="1" s="1"/>
  <c r="W1989" i="1" s="1"/>
  <c r="M1997" i="1"/>
  <c r="N1997" i="1" s="1"/>
  <c r="W1997" i="1" s="1"/>
  <c r="M2005" i="1"/>
  <c r="M2013" i="1"/>
  <c r="N2013" i="1" s="1"/>
  <c r="W2013" i="1" s="1"/>
  <c r="M2021" i="1"/>
  <c r="N2021" i="1" s="1"/>
  <c r="W2021" i="1" s="1"/>
  <c r="M2029" i="1"/>
  <c r="N2029" i="1" s="1"/>
  <c r="W2029" i="1" s="1"/>
  <c r="M2037" i="1"/>
  <c r="M2045" i="1"/>
  <c r="N2045" i="1" s="1"/>
  <c r="W2045" i="1" s="1"/>
  <c r="M2053" i="1"/>
  <c r="N2053" i="1" s="1"/>
  <c r="W2053" i="1" s="1"/>
  <c r="M2061" i="1"/>
  <c r="N2061" i="1" s="1"/>
  <c r="W2061" i="1" s="1"/>
  <c r="M2069" i="1"/>
  <c r="M2077" i="1"/>
  <c r="N2077" i="1" s="1"/>
  <c r="W2077" i="1" s="1"/>
  <c r="M2085" i="1"/>
  <c r="M2093" i="1"/>
  <c r="N2093" i="1" s="1"/>
  <c r="W2093" i="1" s="1"/>
  <c r="M2101" i="1"/>
  <c r="M2117" i="1"/>
  <c r="N2117" i="1" s="1"/>
  <c r="W2117" i="1" s="1"/>
  <c r="M2125" i="1"/>
  <c r="N2125" i="1" s="1"/>
  <c r="W2125" i="1" s="1"/>
  <c r="M2131" i="1"/>
  <c r="M2137" i="1"/>
  <c r="N2137" i="1" s="1"/>
  <c r="W2137" i="1" s="1"/>
  <c r="M2147" i="1"/>
  <c r="N2147" i="1" s="1"/>
  <c r="W2147" i="1" s="1"/>
  <c r="M2153" i="1"/>
  <c r="M2165" i="1"/>
  <c r="N2165" i="1" s="1"/>
  <c r="W2165" i="1" s="1"/>
  <c r="M2173" i="1"/>
  <c r="M2181" i="1"/>
  <c r="M2187" i="1"/>
  <c r="M2193" i="1"/>
  <c r="N2193" i="1" s="1"/>
  <c r="W2193" i="1" s="1"/>
  <c r="M2208" i="1"/>
  <c r="M2214" i="1"/>
  <c r="N2214" i="1" s="1"/>
  <c r="W2214" i="1" s="1"/>
  <c r="M2220" i="1"/>
  <c r="M2228" i="1"/>
  <c r="N2228" i="1" s="1"/>
  <c r="W2228" i="1" s="1"/>
  <c r="M2236" i="1"/>
  <c r="M2244" i="1"/>
  <c r="N2244" i="1" s="1"/>
  <c r="W2244" i="1" s="1"/>
  <c r="M2250" i="1"/>
  <c r="M2256" i="1"/>
  <c r="N2256" i="1" s="1"/>
  <c r="W2256" i="1" s="1"/>
  <c r="M2266" i="1"/>
  <c r="N2266" i="1" s="1"/>
  <c r="W2266" i="1" s="1"/>
  <c r="M2272" i="1"/>
  <c r="M2282" i="1"/>
  <c r="M2288" i="1"/>
  <c r="N2288" i="1" s="1"/>
  <c r="W2288" i="1" s="1"/>
  <c r="M2300" i="1"/>
  <c r="M2308" i="1"/>
  <c r="M2316" i="1"/>
  <c r="N2316" i="1" s="1"/>
  <c r="W2316" i="1" s="1"/>
  <c r="M2324" i="1"/>
  <c r="M2330" i="1"/>
  <c r="M2340" i="1"/>
  <c r="N2340" i="1" s="1"/>
  <c r="W2340" i="1" s="1"/>
  <c r="M2346" i="1"/>
  <c r="M2355" i="1"/>
  <c r="N2355" i="1" s="1"/>
  <c r="W2355" i="1" s="1"/>
  <c r="M2361" i="1"/>
  <c r="N2361" i="1" s="1"/>
  <c r="W2361" i="1" s="1"/>
  <c r="M2371" i="1"/>
  <c r="M2377" i="1"/>
  <c r="M2387" i="1"/>
  <c r="M2393" i="1"/>
  <c r="M2403" i="1"/>
  <c r="N2403" i="1" s="1"/>
  <c r="W2403" i="1" s="1"/>
  <c r="M2409" i="1"/>
  <c r="M2417" i="1"/>
  <c r="M2425" i="1"/>
  <c r="N2425" i="1" s="1"/>
  <c r="W2425" i="1" s="1"/>
  <c r="M2433" i="1"/>
  <c r="N2433" i="1" s="1"/>
  <c r="W2433" i="1" s="1"/>
  <c r="M2441" i="1"/>
  <c r="N2441" i="1" s="1"/>
  <c r="W2441" i="1" s="1"/>
  <c r="M2449" i="1"/>
  <c r="M2457" i="1"/>
  <c r="M2465" i="1"/>
  <c r="N2465" i="1" s="1"/>
  <c r="W2465" i="1" s="1"/>
  <c r="M2473" i="1"/>
  <c r="M2481" i="1"/>
  <c r="M2489" i="1"/>
  <c r="N2489" i="1" s="1"/>
  <c r="W2489" i="1" s="1"/>
  <c r="M2497" i="1"/>
  <c r="N2497" i="1" s="1"/>
  <c r="W2497" i="1" s="1"/>
  <c r="M1031" i="19"/>
  <c r="M1286" i="19"/>
  <c r="M1497" i="19"/>
  <c r="M2211" i="19"/>
  <c r="M2261" i="19"/>
  <c r="M507" i="1"/>
  <c r="N507" i="1" s="1"/>
  <c r="W507" i="1" s="1"/>
  <c r="M515" i="1"/>
  <c r="M523" i="1"/>
  <c r="N523" i="1" s="1"/>
  <c r="W523" i="1" s="1"/>
  <c r="M531" i="1"/>
  <c r="M539" i="1"/>
  <c r="N539" i="1" s="1"/>
  <c r="W539" i="1" s="1"/>
  <c r="M547" i="1"/>
  <c r="M555" i="1"/>
  <c r="N555" i="1" s="1"/>
  <c r="W555" i="1" s="1"/>
  <c r="M563" i="1"/>
  <c r="M571" i="1"/>
  <c r="N571" i="1" s="1"/>
  <c r="W571" i="1" s="1"/>
  <c r="M579" i="1"/>
  <c r="M587" i="1"/>
  <c r="N587" i="1" s="1"/>
  <c r="W587" i="1" s="1"/>
  <c r="M595" i="1"/>
  <c r="N595" i="1" s="1"/>
  <c r="W595" i="1" s="1"/>
  <c r="M603" i="1"/>
  <c r="N603" i="1" s="1"/>
  <c r="W603" i="1" s="1"/>
  <c r="M611" i="1"/>
  <c r="M626" i="1"/>
  <c r="N626" i="1" s="1"/>
  <c r="W626" i="1" s="1"/>
  <c r="M634" i="1"/>
  <c r="M642" i="1"/>
  <c r="N642" i="1" s="1"/>
  <c r="W642" i="1" s="1"/>
  <c r="M650" i="1"/>
  <c r="M663" i="1"/>
  <c r="M669" i="1"/>
  <c r="N669" i="1" s="1"/>
  <c r="W669" i="1" s="1"/>
  <c r="M682" i="1"/>
  <c r="M689" i="1"/>
  <c r="N689" i="1" s="1"/>
  <c r="W689" i="1" s="1"/>
  <c r="M790" i="1"/>
  <c r="M798" i="1"/>
  <c r="N798" i="1" s="1"/>
  <c r="W798" i="1" s="1"/>
  <c r="M805" i="1"/>
  <c r="M813" i="1"/>
  <c r="N813" i="1" s="1"/>
  <c r="W813" i="1" s="1"/>
  <c r="M832" i="1"/>
  <c r="M837" i="1"/>
  <c r="N837" i="1" s="1"/>
  <c r="W837" i="1" s="1"/>
  <c r="M842" i="1"/>
  <c r="N842" i="1" s="1"/>
  <c r="W842" i="1" s="1"/>
  <c r="M849" i="1"/>
  <c r="N849" i="1" s="1"/>
  <c r="W849" i="1" s="1"/>
  <c r="M856" i="1"/>
  <c r="M868" i="1"/>
  <c r="N868" i="1" s="1"/>
  <c r="W868" i="1" s="1"/>
  <c r="M875" i="1"/>
  <c r="N875" i="1" s="1"/>
  <c r="W875" i="1" s="1"/>
  <c r="M883" i="1"/>
  <c r="N883" i="1" s="1"/>
  <c r="W883" i="1" s="1"/>
  <c r="M891" i="1"/>
  <c r="M899" i="1"/>
  <c r="N899" i="1" s="1"/>
  <c r="W899" i="1" s="1"/>
  <c r="M907" i="1"/>
  <c r="N907" i="1" s="1"/>
  <c r="W907" i="1" s="1"/>
  <c r="M915" i="1"/>
  <c r="N915" i="1" s="1"/>
  <c r="W915" i="1" s="1"/>
  <c r="M921" i="1"/>
  <c r="N921" i="1" s="1"/>
  <c r="W921" i="1" s="1"/>
  <c r="M934" i="1"/>
  <c r="M940" i="1"/>
  <c r="N940" i="1" s="1"/>
  <c r="W940" i="1" s="1"/>
  <c r="M947" i="1"/>
  <c r="M953" i="1"/>
  <c r="N953" i="1" s="1"/>
  <c r="W953" i="1" s="1"/>
  <c r="M966" i="1"/>
  <c r="N966" i="1" s="1"/>
  <c r="W966" i="1" s="1"/>
  <c r="M974" i="1"/>
  <c r="N974" i="1" s="1"/>
  <c r="W974" i="1" s="1"/>
  <c r="M981" i="1"/>
  <c r="N981" i="1" s="1"/>
  <c r="W981" i="1" s="1"/>
  <c r="M988" i="1"/>
  <c r="M996" i="1"/>
  <c r="M1011" i="1"/>
  <c r="N1011" i="1" s="1"/>
  <c r="W1011" i="1" s="1"/>
  <c r="M1019" i="1"/>
  <c r="N1019" i="1" s="1"/>
  <c r="W1019" i="1" s="1"/>
  <c r="M1026" i="1"/>
  <c r="M1034" i="1"/>
  <c r="M1042" i="1"/>
  <c r="N1042" i="1" s="1"/>
  <c r="W1042" i="1" s="1"/>
  <c r="M1049" i="1"/>
  <c r="N1049" i="1" s="1"/>
  <c r="W1049" i="1" s="1"/>
  <c r="M1056" i="1"/>
  <c r="M1063" i="1"/>
  <c r="M1070" i="1"/>
  <c r="M1077" i="1"/>
  <c r="N1077" i="1" s="1"/>
  <c r="W1077" i="1" s="1"/>
  <c r="M1084" i="1"/>
  <c r="M1099" i="1"/>
  <c r="M1106" i="1"/>
  <c r="N1106" i="1" s="1"/>
  <c r="W1106" i="1" s="1"/>
  <c r="M1113" i="1"/>
  <c r="N1113" i="1" s="1"/>
  <c r="W1113" i="1" s="1"/>
  <c r="M1120" i="1"/>
  <c r="M1127" i="1"/>
  <c r="M1134" i="1"/>
  <c r="N1134" i="1" s="1"/>
  <c r="W1134" i="1" s="1"/>
  <c r="M1141" i="1"/>
  <c r="N1141" i="1" s="1"/>
  <c r="W1141" i="1" s="1"/>
  <c r="M1148" i="1"/>
  <c r="M1155" i="1"/>
  <c r="M1161" i="1"/>
  <c r="M1174" i="1"/>
  <c r="N1174" i="1" s="1"/>
  <c r="W1174" i="1" s="1"/>
  <c r="M1180" i="1"/>
  <c r="M1187" i="1"/>
  <c r="M1193" i="1"/>
  <c r="M1206" i="1"/>
  <c r="N1206" i="1" s="1"/>
  <c r="W1206" i="1" s="1"/>
  <c r="M1212" i="1"/>
  <c r="M1219" i="1"/>
  <c r="M1225" i="1"/>
  <c r="M1238" i="1"/>
  <c r="N1238" i="1" s="1"/>
  <c r="W1238" i="1" s="1"/>
  <c r="M1244" i="1"/>
  <c r="M1251" i="1"/>
  <c r="M1257" i="1"/>
  <c r="M1270" i="1"/>
  <c r="N1270" i="1" s="1"/>
  <c r="W1270" i="1" s="1"/>
  <c r="M1276" i="1"/>
  <c r="M1283" i="1"/>
  <c r="N1283" i="1" s="1"/>
  <c r="W1283" i="1" s="1"/>
  <c r="M1289" i="1"/>
  <c r="M1302" i="1"/>
  <c r="M1308" i="1"/>
  <c r="M1315" i="1"/>
  <c r="N1315" i="1" s="1"/>
  <c r="W1315" i="1" s="1"/>
  <c r="M1322" i="1"/>
  <c r="N1322" i="1" s="1"/>
  <c r="W1322" i="1" s="1"/>
  <c r="M1330" i="1"/>
  <c r="M1337" i="1"/>
  <c r="M1351" i="1"/>
  <c r="N1351" i="1" s="1"/>
  <c r="W1351" i="1" s="1"/>
  <c r="M1358" i="1"/>
  <c r="N1358" i="1" s="1"/>
  <c r="W1358" i="1" s="1"/>
  <c r="M1366" i="1"/>
  <c r="M1372" i="1"/>
  <c r="M1379" i="1"/>
  <c r="N1379" i="1" s="1"/>
  <c r="W1379" i="1" s="1"/>
  <c r="M1385" i="1"/>
  <c r="N1385" i="1" s="1"/>
  <c r="W1385" i="1" s="1"/>
  <c r="M1398" i="1"/>
  <c r="M1404" i="1"/>
  <c r="M1411" i="1"/>
  <c r="M1417" i="1"/>
  <c r="N1417" i="1" s="1"/>
  <c r="W1417" i="1" s="1"/>
  <c r="M1430" i="1"/>
  <c r="M1436" i="1"/>
  <c r="N1436" i="1" s="1"/>
  <c r="W1436" i="1" s="1"/>
  <c r="M1443" i="1"/>
  <c r="M1449" i="1"/>
  <c r="N1449" i="1" s="1"/>
  <c r="W1449" i="1" s="1"/>
  <c r="M1462" i="1"/>
  <c r="M1468" i="1"/>
  <c r="N1468" i="1" s="1"/>
  <c r="W1468" i="1" s="1"/>
  <c r="M1475" i="1"/>
  <c r="N1475" i="1" s="1"/>
  <c r="W1475" i="1" s="1"/>
  <c r="M1482" i="1"/>
  <c r="M1490" i="1"/>
  <c r="M1497" i="1"/>
  <c r="N1497" i="1" s="1"/>
  <c r="W1497" i="1" s="1"/>
  <c r="M1505" i="1"/>
  <c r="N1505" i="1" s="1"/>
  <c r="W1505" i="1" s="1"/>
  <c r="M1512" i="1"/>
  <c r="M1527" i="1"/>
  <c r="N1527" i="1" s="1"/>
  <c r="W1527" i="1" s="1"/>
  <c r="M1534" i="1"/>
  <c r="M1541" i="1"/>
  <c r="N1541" i="1" s="1"/>
  <c r="W1541" i="1" s="1"/>
  <c r="M1555" i="1"/>
  <c r="M1562" i="1"/>
  <c r="N1562" i="1" s="1"/>
  <c r="W1562" i="1" s="1"/>
  <c r="M1569" i="1"/>
  <c r="N1569" i="1" s="1"/>
  <c r="W1569" i="1" s="1"/>
  <c r="M1576" i="1"/>
  <c r="M1597" i="1"/>
  <c r="N1597" i="1" s="1"/>
  <c r="W1597" i="1" s="1"/>
  <c r="M1610" i="1"/>
  <c r="M1616" i="1"/>
  <c r="M1623" i="1"/>
  <c r="N1623" i="1" s="1"/>
  <c r="W1623" i="1" s="1"/>
  <c r="M1631" i="1"/>
  <c r="N1631" i="1" s="1"/>
  <c r="W1631" i="1" s="1"/>
  <c r="M1638" i="1"/>
  <c r="M1646" i="1"/>
  <c r="M1654" i="1"/>
  <c r="N1654" i="1" s="1"/>
  <c r="W1654" i="1" s="1"/>
  <c r="M1662" i="1"/>
  <c r="N1662" i="1" s="1"/>
  <c r="W1662" i="1" s="1"/>
  <c r="M1670" i="1"/>
  <c r="M1678" i="1"/>
  <c r="M1686" i="1"/>
  <c r="N1686" i="1" s="1"/>
  <c r="W1686" i="1" s="1"/>
  <c r="M1694" i="1"/>
  <c r="N1694" i="1" s="1"/>
  <c r="W1694" i="1" s="1"/>
  <c r="M1702" i="1"/>
  <c r="M1710" i="1"/>
  <c r="M1718" i="1"/>
  <c r="N1718" i="1" s="1"/>
  <c r="W1718" i="1" s="1"/>
  <c r="M1726" i="1"/>
  <c r="N1726" i="1" s="1"/>
  <c r="W1726" i="1" s="1"/>
  <c r="M1734" i="1"/>
  <c r="M1742" i="1"/>
  <c r="M1750" i="1"/>
  <c r="N1750" i="1" s="1"/>
  <c r="W1750" i="1" s="1"/>
  <c r="M1766" i="1"/>
  <c r="M1774" i="1"/>
  <c r="M1782" i="1"/>
  <c r="N1782" i="1" s="1"/>
  <c r="W1782" i="1" s="1"/>
  <c r="M1790" i="1"/>
  <c r="N1790" i="1" s="1"/>
  <c r="W1790" i="1" s="1"/>
  <c r="M1798" i="1"/>
  <c r="M1806" i="1"/>
  <c r="M1814" i="1"/>
  <c r="N1814" i="1" s="1"/>
  <c r="W1814" i="1" s="1"/>
  <c r="M1822" i="1"/>
  <c r="N1822" i="1" s="1"/>
  <c r="W1822" i="1" s="1"/>
  <c r="M1830" i="1"/>
  <c r="M1838" i="1"/>
  <c r="M1846" i="1"/>
  <c r="N1846" i="1" s="1"/>
  <c r="W1846" i="1" s="1"/>
  <c r="M1854" i="1"/>
  <c r="N1854" i="1" s="1"/>
  <c r="W1854" i="1" s="1"/>
  <c r="M1862" i="1"/>
  <c r="N1862" i="1" s="1"/>
  <c r="W1862" i="1" s="1"/>
  <c r="M1870" i="1"/>
  <c r="M1878" i="1"/>
  <c r="M1886" i="1"/>
  <c r="N1886" i="1" s="1"/>
  <c r="W1886" i="1" s="1"/>
  <c r="M1894" i="1"/>
  <c r="M1902" i="1"/>
  <c r="M1910" i="1"/>
  <c r="N1910" i="1" s="1"/>
  <c r="W1910" i="1" s="1"/>
  <c r="M1918" i="1"/>
  <c r="N1918" i="1" s="1"/>
  <c r="W1918" i="1" s="1"/>
  <c r="M1926" i="1"/>
  <c r="M1934" i="1"/>
  <c r="M1942" i="1"/>
  <c r="N1942" i="1" s="1"/>
  <c r="W1942" i="1" s="1"/>
  <c r="M1950" i="1"/>
  <c r="N1950" i="1" s="1"/>
  <c r="W1950" i="1" s="1"/>
  <c r="M1958" i="1"/>
  <c r="M1966" i="1"/>
  <c r="M1974" i="1"/>
  <c r="N1974" i="1" s="1"/>
  <c r="W1974" i="1" s="1"/>
  <c r="M1982" i="1"/>
  <c r="N1982" i="1" s="1"/>
  <c r="W1982" i="1" s="1"/>
  <c r="M1990" i="1"/>
  <c r="M1998" i="1"/>
  <c r="M2006" i="1"/>
  <c r="N2006" i="1" s="1"/>
  <c r="W2006" i="1" s="1"/>
  <c r="M2014" i="1"/>
  <c r="N2014" i="1" s="1"/>
  <c r="W2014" i="1" s="1"/>
  <c r="M2022" i="1"/>
  <c r="M2030" i="1"/>
  <c r="M2038" i="1"/>
  <c r="N2038" i="1" s="1"/>
  <c r="W2038" i="1" s="1"/>
  <c r="M2046" i="1"/>
  <c r="N2046" i="1" s="1"/>
  <c r="W2046" i="1" s="1"/>
  <c r="M2054" i="1"/>
  <c r="M2062" i="1"/>
  <c r="M2070" i="1"/>
  <c r="N2070" i="1" s="1"/>
  <c r="W2070" i="1" s="1"/>
  <c r="M2078" i="1"/>
  <c r="N2078" i="1" s="1"/>
  <c r="W2078" i="1" s="1"/>
  <c r="M2086" i="1"/>
  <c r="M2094" i="1"/>
  <c r="M2102" i="1"/>
  <c r="N2102" i="1" s="1"/>
  <c r="W2102" i="1" s="1"/>
  <c r="M2110" i="1"/>
  <c r="N2110" i="1" s="1"/>
  <c r="W2110" i="1" s="1"/>
  <c r="M2118" i="1"/>
  <c r="M2126" i="1"/>
  <c r="M2132" i="1"/>
  <c r="N2132" i="1" s="1"/>
  <c r="W2132" i="1" s="1"/>
  <c r="M2138" i="1"/>
  <c r="N2138" i="1" s="1"/>
  <c r="W2138" i="1" s="1"/>
  <c r="M2148" i="1"/>
  <c r="M2154" i="1"/>
  <c r="N2154" i="1" s="1"/>
  <c r="W2154" i="1" s="1"/>
  <c r="M2166" i="1"/>
  <c r="N2166" i="1" s="1"/>
  <c r="W2166" i="1" s="1"/>
  <c r="M2174" i="1"/>
  <c r="M2182" i="1"/>
  <c r="M2194" i="1"/>
  <c r="N2194" i="1" s="1"/>
  <c r="W2194" i="1" s="1"/>
  <c r="M2203" i="1"/>
  <c r="N2203" i="1" s="1"/>
  <c r="W2203" i="1" s="1"/>
  <c r="M2209" i="1"/>
  <c r="M2221" i="1"/>
  <c r="N2221" i="1" s="1"/>
  <c r="W2221" i="1" s="1"/>
  <c r="M2229" i="1"/>
  <c r="M2237" i="1"/>
  <c r="M2245" i="1"/>
  <c r="N2245" i="1" s="1"/>
  <c r="W2245" i="1" s="1"/>
  <c r="M2251" i="1"/>
  <c r="N2251" i="1" s="1"/>
  <c r="W2251" i="1" s="1"/>
  <c r="M2261" i="1"/>
  <c r="M2267" i="1"/>
  <c r="N2267" i="1" s="1"/>
  <c r="W2267" i="1" s="1"/>
  <c r="M2277" i="1"/>
  <c r="M2283" i="1"/>
  <c r="M2293" i="1"/>
  <c r="N2293" i="1" s="1"/>
  <c r="W2293" i="1" s="1"/>
  <c r="M2301" i="1"/>
  <c r="M2309" i="1"/>
  <c r="M2317" i="1"/>
  <c r="N2317" i="1" s="1"/>
  <c r="W2317" i="1" s="1"/>
  <c r="M2325" i="1"/>
  <c r="N2325" i="1" s="1"/>
  <c r="W2325" i="1" s="1"/>
  <c r="M2335" i="1"/>
  <c r="M2341" i="1"/>
  <c r="N2341" i="1" s="1"/>
  <c r="W2341" i="1" s="1"/>
  <c r="M2378" i="1"/>
  <c r="M2388" i="1"/>
  <c r="N2388" i="1" s="1"/>
  <c r="W2388" i="1" s="1"/>
  <c r="M2394" i="1"/>
  <c r="M2404" i="1"/>
  <c r="N2404" i="1" s="1"/>
  <c r="W2404" i="1" s="1"/>
  <c r="M2410" i="1"/>
  <c r="N2410" i="1" s="1"/>
  <c r="W2410" i="1" s="1"/>
  <c r="M2418" i="1"/>
  <c r="M2426" i="1"/>
  <c r="M2434" i="1"/>
  <c r="N2434" i="1" s="1"/>
  <c r="W2434" i="1" s="1"/>
  <c r="M2442" i="1"/>
  <c r="N2442" i="1" s="1"/>
  <c r="W2442" i="1" s="1"/>
  <c r="M2450" i="1"/>
  <c r="M2458" i="1"/>
  <c r="M2466" i="1"/>
  <c r="M2474" i="1"/>
  <c r="N2474" i="1" s="1"/>
  <c r="W2474" i="1" s="1"/>
  <c r="M2482" i="1"/>
  <c r="M2490" i="1"/>
  <c r="M2498" i="1"/>
  <c r="N2498" i="1" s="1"/>
  <c r="W2498" i="1" s="1"/>
  <c r="M923" i="19"/>
  <c r="M1035" i="19"/>
  <c r="M1252" i="19"/>
  <c r="M1447" i="19"/>
  <c r="M1501" i="19"/>
  <c r="M1505" i="19"/>
  <c r="M1675" i="19"/>
  <c r="M1720" i="19"/>
  <c r="M1777" i="19"/>
  <c r="M1881" i="19"/>
  <c r="M1885" i="19"/>
  <c r="M508" i="1"/>
  <c r="N508" i="1" s="1"/>
  <c r="W508" i="1" s="1"/>
  <c r="M516" i="1"/>
  <c r="M524" i="1"/>
  <c r="M532" i="1"/>
  <c r="M540" i="1"/>
  <c r="N540" i="1" s="1"/>
  <c r="W540" i="1" s="1"/>
  <c r="M548" i="1"/>
  <c r="M556" i="1"/>
  <c r="M564" i="1"/>
  <c r="M572" i="1"/>
  <c r="M580" i="1"/>
  <c r="M588" i="1"/>
  <c r="M596" i="1"/>
  <c r="M604" i="1"/>
  <c r="N604" i="1" s="1"/>
  <c r="W604" i="1" s="1"/>
  <c r="M612" i="1"/>
  <c r="M619" i="1"/>
  <c r="M627" i="1"/>
  <c r="M635" i="1"/>
  <c r="N635" i="1" s="1"/>
  <c r="W635" i="1" s="1"/>
  <c r="M643" i="1"/>
  <c r="M651" i="1"/>
  <c r="N651" i="1" s="1"/>
  <c r="W651" i="1" s="1"/>
  <c r="M657" i="1"/>
  <c r="M676" i="1"/>
  <c r="M683" i="1"/>
  <c r="M690" i="1"/>
  <c r="M791" i="1"/>
  <c r="N791" i="1" s="1"/>
  <c r="W791" i="1" s="1"/>
  <c r="M799" i="1"/>
  <c r="M806" i="1"/>
  <c r="M814" i="1"/>
  <c r="N814" i="1" s="1"/>
  <c r="W814" i="1" s="1"/>
  <c r="M820" i="1"/>
  <c r="N820" i="1" s="1"/>
  <c r="W820" i="1" s="1"/>
  <c r="M826" i="1"/>
  <c r="M843" i="1"/>
  <c r="N843" i="1" s="1"/>
  <c r="W843" i="1" s="1"/>
  <c r="M862" i="1"/>
  <c r="M884" i="1"/>
  <c r="N884" i="1" s="1"/>
  <c r="W884" i="1" s="1"/>
  <c r="M892" i="1"/>
  <c r="N892" i="1" s="1"/>
  <c r="W892" i="1" s="1"/>
  <c r="M900" i="1"/>
  <c r="M908" i="1"/>
  <c r="N908" i="1" s="1"/>
  <c r="W908" i="1" s="1"/>
  <c r="M922" i="1"/>
  <c r="M928" i="1"/>
  <c r="M935" i="1"/>
  <c r="N935" i="1" s="1"/>
  <c r="W935" i="1" s="1"/>
  <c r="M941" i="1"/>
  <c r="M954" i="1"/>
  <c r="N954" i="1" s="1"/>
  <c r="W954" i="1" s="1"/>
  <c r="M960" i="1"/>
  <c r="N960" i="1" s="1"/>
  <c r="W960" i="1" s="1"/>
  <c r="M967" i="1"/>
  <c r="N967" i="1" s="1"/>
  <c r="W967" i="1" s="1"/>
  <c r="M975" i="1"/>
  <c r="M982" i="1"/>
  <c r="N982" i="1" s="1"/>
  <c r="W982" i="1" s="1"/>
  <c r="M989" i="1"/>
  <c r="N989" i="1" s="1"/>
  <c r="W989" i="1" s="1"/>
  <c r="M997" i="1"/>
  <c r="N997" i="1" s="1"/>
  <c r="W997" i="1" s="1"/>
  <c r="M1004" i="1"/>
  <c r="M1012" i="1"/>
  <c r="N1012" i="1" s="1"/>
  <c r="W1012" i="1" s="1"/>
  <c r="M1027" i="1"/>
  <c r="N1027" i="1" s="1"/>
  <c r="W1027" i="1" s="1"/>
  <c r="M1035" i="1"/>
  <c r="N1035" i="1" s="1"/>
  <c r="W1035" i="1" s="1"/>
  <c r="M1043" i="1"/>
  <c r="M1050" i="1"/>
  <c r="N1050" i="1" s="1"/>
  <c r="W1050" i="1" s="1"/>
  <c r="M1057" i="1"/>
  <c r="N1057" i="1" s="1"/>
  <c r="W1057" i="1" s="1"/>
  <c r="M1064" i="1"/>
  <c r="N1064" i="1" s="1"/>
  <c r="W1064" i="1" s="1"/>
  <c r="M1071" i="1"/>
  <c r="M1078" i="1"/>
  <c r="N1078" i="1" s="1"/>
  <c r="W1078" i="1" s="1"/>
  <c r="M1085" i="1"/>
  <c r="N1085" i="1" s="1"/>
  <c r="W1085" i="1" s="1"/>
  <c r="M1092" i="1"/>
  <c r="N1092" i="1" s="1"/>
  <c r="W1092" i="1" s="1"/>
  <c r="M1107" i="1"/>
  <c r="M1114" i="1"/>
  <c r="M1121" i="1"/>
  <c r="N1121" i="1" s="1"/>
  <c r="W1121" i="1" s="1"/>
  <c r="M1128" i="1"/>
  <c r="M1135" i="1"/>
  <c r="M1142" i="1"/>
  <c r="M1149" i="1"/>
  <c r="N1149" i="1" s="1"/>
  <c r="W1149" i="1" s="1"/>
  <c r="M1162" i="1"/>
  <c r="M1168" i="1"/>
  <c r="N1168" i="1" s="1"/>
  <c r="W1168" i="1" s="1"/>
  <c r="M1175" i="1"/>
  <c r="N1175" i="1" s="1"/>
  <c r="W1175" i="1" s="1"/>
  <c r="M1181" i="1"/>
  <c r="N1181" i="1" s="1"/>
  <c r="W1181" i="1" s="1"/>
  <c r="M1194" i="1"/>
  <c r="M1200" i="1"/>
  <c r="M1207" i="1"/>
  <c r="N1207" i="1" s="1"/>
  <c r="W1207" i="1" s="1"/>
  <c r="M1213" i="1"/>
  <c r="M1226" i="1"/>
  <c r="N1226" i="1" s="1"/>
  <c r="W1226" i="1" s="1"/>
  <c r="M1232" i="1"/>
  <c r="N1232" i="1" s="1"/>
  <c r="W1232" i="1" s="1"/>
  <c r="M1239" i="1"/>
  <c r="N1239" i="1" s="1"/>
  <c r="W1239" i="1" s="1"/>
  <c r="M1245" i="1"/>
  <c r="M1258" i="1"/>
  <c r="M1264" i="1"/>
  <c r="N1264" i="1" s="1"/>
  <c r="W1264" i="1" s="1"/>
  <c r="M1271" i="1"/>
  <c r="M1277" i="1"/>
  <c r="M1290" i="1"/>
  <c r="N1290" i="1" s="1"/>
  <c r="W1290" i="1" s="1"/>
  <c r="M1296" i="1"/>
  <c r="N1296" i="1" s="1"/>
  <c r="W1296" i="1" s="1"/>
  <c r="M1303" i="1"/>
  <c r="M1309" i="1"/>
  <c r="N1309" i="1" s="1"/>
  <c r="W1309" i="1" s="1"/>
  <c r="M1316" i="1"/>
  <c r="N1316" i="1" s="1"/>
  <c r="W1316" i="1" s="1"/>
  <c r="M1323" i="1"/>
  <c r="N1323" i="1" s="1"/>
  <c r="W1323" i="1" s="1"/>
  <c r="M1331" i="1"/>
  <c r="M1338" i="1"/>
  <c r="N1338" i="1" s="1"/>
  <c r="W1338" i="1" s="1"/>
  <c r="M1344" i="1"/>
  <c r="N1344" i="1" s="1"/>
  <c r="W1344" i="1" s="1"/>
  <c r="M1352" i="1"/>
  <c r="N1352" i="1" s="1"/>
  <c r="W1352" i="1" s="1"/>
  <c r="M1359" i="1"/>
  <c r="M1367" i="1"/>
  <c r="N1367" i="1" s="1"/>
  <c r="W1367" i="1" s="1"/>
  <c r="M1373" i="1"/>
  <c r="N1373" i="1" s="1"/>
  <c r="W1373" i="1" s="1"/>
  <c r="M1386" i="1"/>
  <c r="M1392" i="1"/>
  <c r="M1399" i="1"/>
  <c r="M1405" i="1"/>
  <c r="N1405" i="1" s="1"/>
  <c r="W1405" i="1" s="1"/>
  <c r="M1418" i="1"/>
  <c r="M1424" i="1"/>
  <c r="M1431" i="1"/>
  <c r="M1437" i="1"/>
  <c r="N1437" i="1" s="1"/>
  <c r="W1437" i="1" s="1"/>
  <c r="M1450" i="1"/>
  <c r="M1456" i="1"/>
  <c r="M1463" i="1"/>
  <c r="M1469" i="1"/>
  <c r="N1469" i="1" s="1"/>
  <c r="W1469" i="1" s="1"/>
  <c r="M1483" i="1"/>
  <c r="M1491" i="1"/>
  <c r="N1491" i="1" s="1"/>
  <c r="W1491" i="1" s="1"/>
  <c r="M1498" i="1"/>
  <c r="N1498" i="1" s="1"/>
  <c r="W1498" i="1" s="1"/>
  <c r="M1506" i="1"/>
  <c r="N1506" i="1" s="1"/>
  <c r="W1506" i="1" s="1"/>
  <c r="M1513" i="1"/>
  <c r="M1520" i="1"/>
  <c r="N1520" i="1" s="1"/>
  <c r="W1520" i="1" s="1"/>
  <c r="M1535" i="1"/>
  <c r="N1535" i="1" s="1"/>
  <c r="W1535" i="1" s="1"/>
  <c r="M1542" i="1"/>
  <c r="N1542" i="1" s="1"/>
  <c r="W1542" i="1" s="1"/>
  <c r="M1548" i="1"/>
  <c r="M1563" i="1"/>
  <c r="M1570" i="1"/>
  <c r="N1570" i="1" s="1"/>
  <c r="W1570" i="1" s="1"/>
  <c r="M1577" i="1"/>
  <c r="M1584" i="1"/>
  <c r="M1598" i="1"/>
  <c r="N1598" i="1" s="1"/>
  <c r="W1598" i="1" s="1"/>
  <c r="M1604" i="1"/>
  <c r="N1604" i="1" s="1"/>
  <c r="W1604" i="1" s="1"/>
  <c r="M1611" i="1"/>
  <c r="M1617" i="1"/>
  <c r="M1624" i="1"/>
  <c r="M1632" i="1"/>
  <c r="N1632" i="1" s="1"/>
  <c r="W1632" i="1" s="1"/>
  <c r="M1639" i="1"/>
  <c r="M1647" i="1"/>
  <c r="M1655" i="1"/>
  <c r="M1663" i="1"/>
  <c r="N1663" i="1" s="1"/>
  <c r="W1663" i="1" s="1"/>
  <c r="M1679" i="1"/>
  <c r="M1687" i="1"/>
  <c r="M1695" i="1"/>
  <c r="N1695" i="1" s="1"/>
  <c r="W1695" i="1" s="1"/>
  <c r="M1703" i="1"/>
  <c r="M1711" i="1"/>
  <c r="M1719" i="1"/>
  <c r="N1719" i="1" s="1"/>
  <c r="W1719" i="1" s="1"/>
  <c r="M1727" i="1"/>
  <c r="N1727" i="1" s="1"/>
  <c r="W1727" i="1" s="1"/>
  <c r="M1735" i="1"/>
  <c r="M1743" i="1"/>
  <c r="M1751" i="1"/>
  <c r="N1751" i="1" s="1"/>
  <c r="W1751" i="1" s="1"/>
  <c r="M1759" i="1"/>
  <c r="N1759" i="1" s="1"/>
  <c r="W1759" i="1" s="1"/>
  <c r="M1767" i="1"/>
  <c r="M1775" i="1"/>
  <c r="M1783" i="1"/>
  <c r="M1791" i="1"/>
  <c r="N1791" i="1" s="1"/>
  <c r="W1791" i="1" s="1"/>
  <c r="M1799" i="1"/>
  <c r="M1807" i="1"/>
  <c r="M1815" i="1"/>
  <c r="N1815" i="1" s="1"/>
  <c r="W1815" i="1" s="1"/>
  <c r="M1823" i="1"/>
  <c r="N1823" i="1" s="1"/>
  <c r="W1823" i="1" s="1"/>
  <c r="M1831" i="1"/>
  <c r="M1839" i="1"/>
  <c r="M1847" i="1"/>
  <c r="M1855" i="1"/>
  <c r="N1855" i="1" s="1"/>
  <c r="W1855" i="1" s="1"/>
  <c r="M1863" i="1"/>
  <c r="M1871" i="1"/>
  <c r="M1879" i="1"/>
  <c r="N1879" i="1" s="1"/>
  <c r="W1879" i="1" s="1"/>
  <c r="M1887" i="1"/>
  <c r="N1887" i="1" s="1"/>
  <c r="W1887" i="1" s="1"/>
  <c r="M1895" i="1"/>
  <c r="M1903" i="1"/>
  <c r="M1911" i="1"/>
  <c r="N1911" i="1" s="1"/>
  <c r="W1911" i="1" s="1"/>
  <c r="M1919" i="1"/>
  <c r="N1919" i="1" s="1"/>
  <c r="W1919" i="1" s="1"/>
  <c r="M1927" i="1"/>
  <c r="M1935" i="1"/>
  <c r="M1943" i="1"/>
  <c r="N1943" i="1" s="1"/>
  <c r="W1943" i="1" s="1"/>
  <c r="M1951" i="1"/>
  <c r="N1951" i="1" s="1"/>
  <c r="W1951" i="1" s="1"/>
  <c r="M1959" i="1"/>
  <c r="M1967" i="1"/>
  <c r="M1975" i="1"/>
  <c r="N1975" i="1" s="1"/>
  <c r="W1975" i="1" s="1"/>
  <c r="M1983" i="1"/>
  <c r="N1983" i="1" s="1"/>
  <c r="W1983" i="1" s="1"/>
  <c r="M1991" i="1"/>
  <c r="M1999" i="1"/>
  <c r="M2007" i="1"/>
  <c r="N2007" i="1" s="1"/>
  <c r="W2007" i="1" s="1"/>
  <c r="M2015" i="1"/>
  <c r="N2015" i="1" s="1"/>
  <c r="W2015" i="1" s="1"/>
  <c r="M2023" i="1"/>
  <c r="M2031" i="1"/>
  <c r="M2039" i="1"/>
  <c r="N2039" i="1" s="1"/>
  <c r="W2039" i="1" s="1"/>
  <c r="M2047" i="1"/>
  <c r="N2047" i="1" s="1"/>
  <c r="W2047" i="1" s="1"/>
  <c r="M2055" i="1"/>
  <c r="M2063" i="1"/>
  <c r="M2071" i="1"/>
  <c r="N2071" i="1" s="1"/>
  <c r="W2071" i="1" s="1"/>
  <c r="M2079" i="1"/>
  <c r="N2079" i="1" s="1"/>
  <c r="W2079" i="1" s="1"/>
  <c r="M2087" i="1"/>
  <c r="M2095" i="1"/>
  <c r="M2103" i="1"/>
  <c r="M2111" i="1"/>
  <c r="N2111" i="1" s="1"/>
  <c r="W2111" i="1" s="1"/>
  <c r="M2119" i="1"/>
  <c r="M2127" i="1"/>
  <c r="M2133" i="1"/>
  <c r="N2133" i="1" s="1"/>
  <c r="W2133" i="1" s="1"/>
  <c r="M2143" i="1"/>
  <c r="M2149" i="1"/>
  <c r="M2159" i="1"/>
  <c r="M2167" i="1"/>
  <c r="M2175" i="1"/>
  <c r="N2175" i="1" s="1"/>
  <c r="W2175" i="1" s="1"/>
  <c r="M2183" i="1"/>
  <c r="N2183" i="1" s="1"/>
  <c r="W2183" i="1" s="1"/>
  <c r="M2189" i="1"/>
  <c r="M2222" i="1"/>
  <c r="N2222" i="1" s="1"/>
  <c r="W2222" i="1" s="1"/>
  <c r="M2246" i="1"/>
  <c r="M2252" i="1"/>
  <c r="M2268" i="1"/>
  <c r="N2268" i="1" s="1"/>
  <c r="W2268" i="1" s="1"/>
  <c r="M2278" i="1"/>
  <c r="M2284" i="1"/>
  <c r="M2318" i="1"/>
  <c r="M2326" i="1"/>
  <c r="M2336" i="1"/>
  <c r="N2336" i="1" s="1"/>
  <c r="W2336" i="1" s="1"/>
  <c r="M2351" i="1"/>
  <c r="M2357" i="1"/>
  <c r="M2367" i="1"/>
  <c r="M2373" i="1"/>
  <c r="M2383" i="1"/>
  <c r="N2383" i="1" s="1"/>
  <c r="W2383" i="1" s="1"/>
  <c r="M2389" i="1"/>
  <c r="M2405" i="1"/>
  <c r="M2411" i="1"/>
  <c r="M2419" i="1"/>
  <c r="M2427" i="1"/>
  <c r="M2435" i="1"/>
  <c r="N2435" i="1" s="1"/>
  <c r="W2435" i="1" s="1"/>
  <c r="M2443" i="1"/>
  <c r="N2443" i="1" s="1"/>
  <c r="W2443" i="1" s="1"/>
  <c r="M2451" i="1"/>
  <c r="M2459" i="1"/>
  <c r="M2467" i="1"/>
  <c r="N2467" i="1" s="1"/>
  <c r="W2467" i="1" s="1"/>
  <c r="M2475" i="1"/>
  <c r="M2483" i="1"/>
  <c r="M2491" i="1"/>
  <c r="M2499" i="1"/>
  <c r="M1209" i="19"/>
  <c r="M1233" i="19"/>
  <c r="M1354" i="19"/>
  <c r="M1922" i="19"/>
  <c r="M1953" i="19"/>
  <c r="M2163" i="19"/>
  <c r="M2361" i="19"/>
  <c r="M2397" i="19"/>
  <c r="M509" i="1"/>
  <c r="M517" i="1"/>
  <c r="N517" i="1" s="1"/>
  <c r="W517" i="1" s="1"/>
  <c r="M525" i="1"/>
  <c r="N525" i="1" s="1"/>
  <c r="W525" i="1" s="1"/>
  <c r="M533" i="1"/>
  <c r="N533" i="1" s="1"/>
  <c r="W533" i="1" s="1"/>
  <c r="M541" i="1"/>
  <c r="N541" i="1" s="1"/>
  <c r="W541" i="1" s="1"/>
  <c r="M549" i="1"/>
  <c r="M557" i="1"/>
  <c r="N557" i="1" s="1"/>
  <c r="W557" i="1" s="1"/>
  <c r="M565" i="1"/>
  <c r="M573" i="1"/>
  <c r="N573" i="1" s="1"/>
  <c r="W573" i="1" s="1"/>
  <c r="M581" i="1"/>
  <c r="M589" i="1"/>
  <c r="N589" i="1" s="1"/>
  <c r="W589" i="1" s="1"/>
  <c r="M597" i="1"/>
  <c r="N597" i="1" s="1"/>
  <c r="W597" i="1" s="1"/>
  <c r="M605" i="1"/>
  <c r="M620" i="1"/>
  <c r="M628" i="1"/>
  <c r="N628" i="1" s="1"/>
  <c r="W628" i="1" s="1"/>
  <c r="M636" i="1"/>
  <c r="M644" i="1"/>
  <c r="N644" i="1" s="1"/>
  <c r="W644" i="1" s="1"/>
  <c r="M652" i="1"/>
  <c r="N652" i="1" s="1"/>
  <c r="W652" i="1" s="1"/>
  <c r="M658" i="1"/>
  <c r="N658" i="1" s="1"/>
  <c r="W658" i="1" s="1"/>
  <c r="M664" i="1"/>
  <c r="M671" i="1"/>
  <c r="N671" i="1" s="1"/>
  <c r="W671" i="1" s="1"/>
  <c r="M677" i="1"/>
  <c r="M684" i="1"/>
  <c r="N684" i="1" s="1"/>
  <c r="W684" i="1" s="1"/>
  <c r="M691" i="1"/>
  <c r="M792" i="1"/>
  <c r="N792" i="1" s="1"/>
  <c r="W792" i="1" s="1"/>
  <c r="M807" i="1"/>
  <c r="N807" i="1" s="1"/>
  <c r="W807" i="1" s="1"/>
  <c r="M815" i="1"/>
  <c r="M827" i="1"/>
  <c r="M833" i="1"/>
  <c r="N833" i="1" s="1"/>
  <c r="W833" i="1" s="1"/>
  <c r="M838" i="1"/>
  <c r="N838" i="1" s="1"/>
  <c r="W838" i="1" s="1"/>
  <c r="M844" i="1"/>
  <c r="M850" i="1"/>
  <c r="M857" i="1"/>
  <c r="N857" i="1" s="1"/>
  <c r="W857" i="1" s="1"/>
  <c r="M863" i="1"/>
  <c r="N863" i="1" s="1"/>
  <c r="W863" i="1" s="1"/>
  <c r="M869" i="1"/>
  <c r="M885" i="1"/>
  <c r="N885" i="1" s="1"/>
  <c r="W885" i="1" s="1"/>
  <c r="M893" i="1"/>
  <c r="M901" i="1"/>
  <c r="M909" i="1"/>
  <c r="M916" i="1"/>
  <c r="M923" i="1"/>
  <c r="N923" i="1" s="1"/>
  <c r="W923" i="1" s="1"/>
  <c r="M929" i="1"/>
  <c r="M942" i="1"/>
  <c r="M948" i="1"/>
  <c r="N948" i="1" s="1"/>
  <c r="W948" i="1" s="1"/>
  <c r="M955" i="1"/>
  <c r="N955" i="1" s="1"/>
  <c r="W955" i="1" s="1"/>
  <c r="M961" i="1"/>
  <c r="N961" i="1" s="1"/>
  <c r="W961" i="1" s="1"/>
  <c r="M968" i="1"/>
  <c r="M976" i="1"/>
  <c r="N976" i="1" s="1"/>
  <c r="W976" i="1" s="1"/>
  <c r="M983" i="1"/>
  <c r="N983" i="1" s="1"/>
  <c r="W983" i="1" s="1"/>
  <c r="M990" i="1"/>
  <c r="N990" i="1" s="1"/>
  <c r="W990" i="1" s="1"/>
  <c r="M998" i="1"/>
  <c r="M1005" i="1"/>
  <c r="N1005" i="1" s="1"/>
  <c r="W1005" i="1" s="1"/>
  <c r="M1013" i="1"/>
  <c r="N1013" i="1" s="1"/>
  <c r="W1013" i="1" s="1"/>
  <c r="M1020" i="1"/>
  <c r="N1020" i="1" s="1"/>
  <c r="W1020" i="1" s="1"/>
  <c r="M1028" i="1"/>
  <c r="M1036" i="1"/>
  <c r="M1051" i="1"/>
  <c r="N1051" i="1" s="1"/>
  <c r="W1051" i="1" s="1"/>
  <c r="M1058" i="1"/>
  <c r="N1058" i="1" s="1"/>
  <c r="W1058" i="1" s="1"/>
  <c r="M1065" i="1"/>
  <c r="M1072" i="1"/>
  <c r="M1079" i="1"/>
  <c r="N1079" i="1" s="1"/>
  <c r="W1079" i="1" s="1"/>
  <c r="M1086" i="1"/>
  <c r="M1093" i="1"/>
  <c r="M1100" i="1"/>
  <c r="M1115" i="1"/>
  <c r="N1115" i="1" s="1"/>
  <c r="W1115" i="1" s="1"/>
  <c r="M1122" i="1"/>
  <c r="N1122" i="1" s="1"/>
  <c r="W1122" i="1" s="1"/>
  <c r="M1129" i="1"/>
  <c r="M1136" i="1"/>
  <c r="M1143" i="1"/>
  <c r="N1143" i="1" s="1"/>
  <c r="W1143" i="1" s="1"/>
  <c r="M1150" i="1"/>
  <c r="M1156" i="1"/>
  <c r="M1163" i="1"/>
  <c r="M1169" i="1"/>
  <c r="N1169" i="1" s="1"/>
  <c r="W1169" i="1" s="1"/>
  <c r="M1182" i="1"/>
  <c r="M1188" i="1"/>
  <c r="M1195" i="1"/>
  <c r="N1195" i="1" s="1"/>
  <c r="W1195" i="1" s="1"/>
  <c r="M1201" i="1"/>
  <c r="N1201" i="1" s="1"/>
  <c r="W1201" i="1" s="1"/>
  <c r="M1214" i="1"/>
  <c r="M1220" i="1"/>
  <c r="N1220" i="1" s="1"/>
  <c r="W1220" i="1" s="1"/>
  <c r="M1227" i="1"/>
  <c r="N1227" i="1" s="1"/>
  <c r="W1227" i="1" s="1"/>
  <c r="M1233" i="1"/>
  <c r="N1233" i="1" s="1"/>
  <c r="W1233" i="1" s="1"/>
  <c r="M1246" i="1"/>
  <c r="M1252" i="1"/>
  <c r="M1259" i="1"/>
  <c r="N1259" i="1" s="1"/>
  <c r="W1259" i="1" s="1"/>
  <c r="M1265" i="1"/>
  <c r="N1265" i="1" s="1"/>
  <c r="W1265" i="1" s="1"/>
  <c r="M1278" i="1"/>
  <c r="M1284" i="1"/>
  <c r="M1291" i="1"/>
  <c r="N1291" i="1" s="1"/>
  <c r="W1291" i="1" s="1"/>
  <c r="M1297" i="1"/>
  <c r="N1297" i="1" s="1"/>
  <c r="W1297" i="1" s="1"/>
  <c r="M1310" i="1"/>
  <c r="M1317" i="1"/>
  <c r="M1324" i="1"/>
  <c r="N1324" i="1" s="1"/>
  <c r="W1324" i="1" s="1"/>
  <c r="M1332" i="1"/>
  <c r="N1332" i="1" s="1"/>
  <c r="W1332" i="1" s="1"/>
  <c r="M1339" i="1"/>
  <c r="M1345" i="1"/>
  <c r="M1353" i="1"/>
  <c r="N1353" i="1" s="1"/>
  <c r="W1353" i="1" s="1"/>
  <c r="M1360" i="1"/>
  <c r="N1360" i="1" s="1"/>
  <c r="W1360" i="1" s="1"/>
  <c r="M1374" i="1"/>
  <c r="M1380" i="1"/>
  <c r="N1380" i="1" s="1"/>
  <c r="W1380" i="1" s="1"/>
  <c r="M1387" i="1"/>
  <c r="N1387" i="1" s="1"/>
  <c r="W1387" i="1" s="1"/>
  <c r="M1393" i="1"/>
  <c r="M1406" i="1"/>
  <c r="M1412" i="1"/>
  <c r="M1419" i="1"/>
  <c r="N1419" i="1" s="1"/>
  <c r="W1419" i="1" s="1"/>
  <c r="M1425" i="1"/>
  <c r="M1438" i="1"/>
  <c r="N1438" i="1" s="1"/>
  <c r="W1438" i="1" s="1"/>
  <c r="M1444" i="1"/>
  <c r="N1444" i="1" s="1"/>
  <c r="W1444" i="1" s="1"/>
  <c r="M1451" i="1"/>
  <c r="M1457" i="1"/>
  <c r="N1457" i="1" s="1"/>
  <c r="W1457" i="1" s="1"/>
  <c r="M1470" i="1"/>
  <c r="N1470" i="1" s="1"/>
  <c r="W1470" i="1" s="1"/>
  <c r="M1476" i="1"/>
  <c r="N1476" i="1" s="1"/>
  <c r="W1476" i="1" s="1"/>
  <c r="M1484" i="1"/>
  <c r="M1499" i="1"/>
  <c r="M1507" i="1"/>
  <c r="M1514" i="1"/>
  <c r="N1514" i="1" s="1"/>
  <c r="W1514" i="1" s="1"/>
  <c r="M1521" i="1"/>
  <c r="N1521" i="1" s="1"/>
  <c r="W1521" i="1" s="1"/>
  <c r="M1528" i="1"/>
  <c r="M1543" i="1"/>
  <c r="N1543" i="1" s="1"/>
  <c r="W1543" i="1" s="1"/>
  <c r="M1549" i="1"/>
  <c r="M1556" i="1"/>
  <c r="N1556" i="1" s="1"/>
  <c r="W1556" i="1" s="1"/>
  <c r="M1564" i="1"/>
  <c r="N1564" i="1" s="1"/>
  <c r="W1564" i="1" s="1"/>
  <c r="M1571" i="1"/>
  <c r="N1571" i="1" s="1"/>
  <c r="W1571" i="1" s="1"/>
  <c r="M1578" i="1"/>
  <c r="M1585" i="1"/>
  <c r="M1592" i="1"/>
  <c r="N1592" i="1" s="1"/>
  <c r="W1592" i="1" s="1"/>
  <c r="M1599" i="1"/>
  <c r="N1599" i="1" s="1"/>
  <c r="W1599" i="1" s="1"/>
  <c r="M1605" i="1"/>
  <c r="M1618" i="1"/>
  <c r="N1618" i="1" s="1"/>
  <c r="W1618" i="1" s="1"/>
  <c r="M1625" i="1"/>
  <c r="M1633" i="1"/>
  <c r="N1633" i="1" s="1"/>
  <c r="W1633" i="1" s="1"/>
  <c r="M1640" i="1"/>
  <c r="M1648" i="1"/>
  <c r="M1656" i="1"/>
  <c r="M1664" i="1"/>
  <c r="N1664" i="1" s="1"/>
  <c r="W1664" i="1" s="1"/>
  <c r="M1672" i="1"/>
  <c r="N1672" i="1" s="1"/>
  <c r="W1672" i="1" s="1"/>
  <c r="M1680" i="1"/>
  <c r="M1696" i="1"/>
  <c r="N1696" i="1" s="1"/>
  <c r="W1696" i="1" s="1"/>
  <c r="M1704" i="1"/>
  <c r="N1704" i="1" s="1"/>
  <c r="W1704" i="1" s="1"/>
  <c r="M1712" i="1"/>
  <c r="M1720" i="1"/>
  <c r="N1720" i="1" s="1"/>
  <c r="W1720" i="1" s="1"/>
  <c r="M1728" i="1"/>
  <c r="M1736" i="1"/>
  <c r="M1744" i="1"/>
  <c r="M1752" i="1"/>
  <c r="N1752" i="1" s="1"/>
  <c r="W1752" i="1" s="1"/>
  <c r="M1760" i="1"/>
  <c r="M1768" i="1"/>
  <c r="N1768" i="1" s="1"/>
  <c r="W1768" i="1" s="1"/>
  <c r="M1776" i="1"/>
  <c r="M1784" i="1"/>
  <c r="N1784" i="1" s="1"/>
  <c r="W1784" i="1" s="1"/>
  <c r="M1792" i="1"/>
  <c r="M1800" i="1"/>
  <c r="M1808" i="1"/>
  <c r="M1816" i="1"/>
  <c r="N1816" i="1" s="1"/>
  <c r="W1816" i="1" s="1"/>
  <c r="M1824" i="1"/>
  <c r="N1824" i="1" s="1"/>
  <c r="W1824" i="1" s="1"/>
  <c r="M1832" i="1"/>
  <c r="M1840" i="1"/>
  <c r="M1864" i="1"/>
  <c r="N1864" i="1" s="1"/>
  <c r="W1864" i="1" s="1"/>
  <c r="M1872" i="1"/>
  <c r="N1872" i="1" s="1"/>
  <c r="W1872" i="1" s="1"/>
  <c r="M1880" i="1"/>
  <c r="N1880" i="1" s="1"/>
  <c r="W1880" i="1" s="1"/>
  <c r="M1888" i="1"/>
  <c r="M1896" i="1"/>
  <c r="N1896" i="1" s="1"/>
  <c r="W1896" i="1" s="1"/>
  <c r="M1904" i="1"/>
  <c r="N1904" i="1" s="1"/>
  <c r="W1904" i="1" s="1"/>
  <c r="M1912" i="1"/>
  <c r="N1912" i="1" s="1"/>
  <c r="W1912" i="1" s="1"/>
  <c r="M1920" i="1"/>
  <c r="N1920" i="1" s="1"/>
  <c r="W1920" i="1" s="1"/>
  <c r="M1928" i="1"/>
  <c r="N1928" i="1" s="1"/>
  <c r="W1928" i="1" s="1"/>
  <c r="M1936" i="1"/>
  <c r="N1936" i="1" s="1"/>
  <c r="W1936" i="1" s="1"/>
  <c r="M1944" i="1"/>
  <c r="N1944" i="1" s="1"/>
  <c r="W1944" i="1" s="1"/>
  <c r="M1952" i="1"/>
  <c r="N1952" i="1" s="1"/>
  <c r="W1952" i="1" s="1"/>
  <c r="M1976" i="1"/>
  <c r="N1976" i="1" s="1"/>
  <c r="W1976" i="1" s="1"/>
  <c r="M1992" i="1"/>
  <c r="M2000" i="1"/>
  <c r="N2000" i="1" s="1"/>
  <c r="W2000" i="1" s="1"/>
  <c r="M2008" i="1"/>
  <c r="N2008" i="1" s="1"/>
  <c r="W2008" i="1" s="1"/>
  <c r="M2016" i="1"/>
  <c r="N2016" i="1" s="1"/>
  <c r="W2016" i="1" s="1"/>
  <c r="M2024" i="1"/>
  <c r="M2032" i="1"/>
  <c r="N2032" i="1" s="1"/>
  <c r="W2032" i="1" s="1"/>
  <c r="M2040" i="1"/>
  <c r="N2040" i="1" s="1"/>
  <c r="W2040" i="1" s="1"/>
  <c r="M2048" i="1"/>
  <c r="M2056" i="1"/>
  <c r="M2064" i="1"/>
  <c r="M2072" i="1"/>
  <c r="N2072" i="1" s="1"/>
  <c r="W2072" i="1" s="1"/>
  <c r="M2080" i="1"/>
  <c r="M2088" i="1"/>
  <c r="M2096" i="1"/>
  <c r="M2104" i="1"/>
  <c r="N2104" i="1" s="1"/>
  <c r="W2104" i="1" s="1"/>
  <c r="M2112" i="1"/>
  <c r="M2120" i="1"/>
  <c r="M2128" i="1"/>
  <c r="M2134" i="1"/>
  <c r="N2134" i="1" s="1"/>
  <c r="W2134" i="1" s="1"/>
  <c r="M2144" i="1"/>
  <c r="M2150" i="1"/>
  <c r="M2160" i="1"/>
  <c r="M2168" i="1"/>
  <c r="M2176" i="1"/>
  <c r="M2184" i="1"/>
  <c r="N2184" i="1" s="1"/>
  <c r="W2184" i="1" s="1"/>
  <c r="M2190" i="1"/>
  <c r="M2199" i="1"/>
  <c r="M2205" i="1"/>
  <c r="N2205" i="1" s="1"/>
  <c r="W2205" i="1" s="1"/>
  <c r="M2215" i="1"/>
  <c r="M2223" i="1"/>
  <c r="M2231" i="1"/>
  <c r="N2231" i="1" s="1"/>
  <c r="W2231" i="1" s="1"/>
  <c r="M2239" i="1"/>
  <c r="M2247" i="1"/>
  <c r="M2257" i="1"/>
  <c r="N2257" i="1" s="1"/>
  <c r="W2257" i="1" s="1"/>
  <c r="M2263" i="1"/>
  <c r="N2263" i="1" s="1"/>
  <c r="W2263" i="1" s="1"/>
  <c r="M2273" i="1"/>
  <c r="M2279" i="1"/>
  <c r="N2279" i="1" s="1"/>
  <c r="W2279" i="1" s="1"/>
  <c r="M2289" i="1"/>
  <c r="M2295" i="1"/>
  <c r="M2303" i="1"/>
  <c r="N2303" i="1" s="1"/>
  <c r="W2303" i="1" s="1"/>
  <c r="M2319" i="1"/>
  <c r="M2331" i="1"/>
  <c r="N2331" i="1" s="1"/>
  <c r="W2331" i="1" s="1"/>
  <c r="M2337" i="1"/>
  <c r="N2337" i="1" s="1"/>
  <c r="W2337" i="1" s="1"/>
  <c r="M2352" i="1"/>
  <c r="M2358" i="1"/>
  <c r="N2358" i="1" s="1"/>
  <c r="W2358" i="1" s="1"/>
  <c r="M2368" i="1"/>
  <c r="M2374" i="1"/>
  <c r="M2384" i="1"/>
  <c r="N2384" i="1" s="1"/>
  <c r="W2384" i="1" s="1"/>
  <c r="M2406" i="1"/>
  <c r="M2412" i="1"/>
  <c r="M2420" i="1"/>
  <c r="N2420" i="1" s="1"/>
  <c r="W2420" i="1" s="1"/>
  <c r="M2428" i="1"/>
  <c r="N2428" i="1" s="1"/>
  <c r="W2428" i="1" s="1"/>
  <c r="M2436" i="1"/>
  <c r="M2452" i="1"/>
  <c r="M2476" i="1"/>
  <c r="M2484" i="1"/>
  <c r="M2492" i="1"/>
  <c r="M1258" i="19"/>
  <c r="M1537" i="19"/>
  <c r="M1723" i="19"/>
  <c r="M2191" i="19"/>
  <c r="M2207" i="19"/>
  <c r="M2256" i="19"/>
  <c r="M510" i="1"/>
  <c r="N510" i="1" s="1"/>
  <c r="W510" i="1" s="1"/>
  <c r="M518" i="1"/>
  <c r="M526" i="1"/>
  <c r="N526" i="1" s="1"/>
  <c r="W526" i="1" s="1"/>
  <c r="M534" i="1"/>
  <c r="M542" i="1"/>
  <c r="N542" i="1" s="1"/>
  <c r="W542" i="1" s="1"/>
  <c r="M550" i="1"/>
  <c r="M558" i="1"/>
  <c r="N558" i="1" s="1"/>
  <c r="W558" i="1" s="1"/>
  <c r="M566" i="1"/>
  <c r="M574" i="1"/>
  <c r="N574" i="1" s="1"/>
  <c r="W574" i="1" s="1"/>
  <c r="M582" i="1"/>
  <c r="M590" i="1"/>
  <c r="N590" i="1" s="1"/>
  <c r="W590" i="1" s="1"/>
  <c r="M606" i="1"/>
  <c r="N606" i="1" s="1"/>
  <c r="W606" i="1" s="1"/>
  <c r="M621" i="1"/>
  <c r="N621" i="1" s="1"/>
  <c r="W621" i="1" s="1"/>
  <c r="M629" i="1"/>
  <c r="M637" i="1"/>
  <c r="N637" i="1" s="1"/>
  <c r="W637" i="1" s="1"/>
  <c r="M659" i="1"/>
  <c r="M665" i="1"/>
  <c r="N665" i="1" s="1"/>
  <c r="W665" i="1" s="1"/>
  <c r="M678" i="1"/>
  <c r="N678" i="1" s="1"/>
  <c r="W678" i="1" s="1"/>
  <c r="M685" i="1"/>
  <c r="N685" i="1" s="1"/>
  <c r="W685" i="1" s="1"/>
  <c r="M692" i="1"/>
  <c r="N692" i="1" s="1"/>
  <c r="W692" i="1" s="1"/>
  <c r="M793" i="1"/>
  <c r="N793" i="1" s="1"/>
  <c r="W793" i="1" s="1"/>
  <c r="M801" i="1"/>
  <c r="N801" i="1" s="1"/>
  <c r="W801" i="1" s="1"/>
  <c r="M816" i="1"/>
  <c r="N816" i="1" s="1"/>
  <c r="W816" i="1" s="1"/>
  <c r="M828" i="1"/>
  <c r="M839" i="1"/>
  <c r="N839" i="1" s="1"/>
  <c r="W839" i="1" s="1"/>
  <c r="M845" i="1"/>
  <c r="N845" i="1" s="1"/>
  <c r="W845" i="1" s="1"/>
  <c r="M851" i="1"/>
  <c r="M858" i="1"/>
  <c r="N858" i="1" s="1"/>
  <c r="W858" i="1" s="1"/>
  <c r="M864" i="1"/>
  <c r="N864" i="1" s="1"/>
  <c r="W864" i="1" s="1"/>
  <c r="M870" i="1"/>
  <c r="N870" i="1" s="1"/>
  <c r="W870" i="1" s="1"/>
  <c r="M886" i="1"/>
  <c r="M894" i="1"/>
  <c r="N894" i="1" s="1"/>
  <c r="W894" i="1" s="1"/>
  <c r="M902" i="1"/>
  <c r="N902" i="1" s="1"/>
  <c r="W902" i="1" s="1"/>
  <c r="M910" i="1"/>
  <c r="M917" i="1"/>
  <c r="N917" i="1" s="1"/>
  <c r="W917" i="1" s="1"/>
  <c r="M930" i="1"/>
  <c r="N930" i="1" s="1"/>
  <c r="W930" i="1" s="1"/>
  <c r="M936" i="1"/>
  <c r="M943" i="1"/>
  <c r="M949" i="1"/>
  <c r="M962" i="1"/>
  <c r="N962" i="1" s="1"/>
  <c r="W962" i="1" s="1"/>
  <c r="M969" i="1"/>
  <c r="M977" i="1"/>
  <c r="M984" i="1"/>
  <c r="M991" i="1"/>
  <c r="N991" i="1" s="1"/>
  <c r="W991" i="1" s="1"/>
  <c r="M999" i="1"/>
  <c r="M1006" i="1"/>
  <c r="M1014" i="1"/>
  <c r="N1014" i="1" s="1"/>
  <c r="W1014" i="1" s="1"/>
  <c r="M1021" i="1"/>
  <c r="N1021" i="1" s="1"/>
  <c r="W1021" i="1" s="1"/>
  <c r="M1029" i="1"/>
  <c r="M1037" i="1"/>
  <c r="M1044" i="1"/>
  <c r="M1059" i="1"/>
  <c r="M1066" i="1"/>
  <c r="M1073" i="1"/>
  <c r="N1073" i="1" s="1"/>
  <c r="W1073" i="1" s="1"/>
  <c r="M1080" i="1"/>
  <c r="M1087" i="1"/>
  <c r="N1087" i="1" s="1"/>
  <c r="W1087" i="1" s="1"/>
  <c r="M1094" i="1"/>
  <c r="N1094" i="1" s="1"/>
  <c r="W1094" i="1" s="1"/>
  <c r="M1101" i="1"/>
  <c r="N1101" i="1" s="1"/>
  <c r="W1101" i="1" s="1"/>
  <c r="M1108" i="1"/>
  <c r="M1123" i="1"/>
  <c r="M1130" i="1"/>
  <c r="M1137" i="1"/>
  <c r="N1137" i="1" s="1"/>
  <c r="W1137" i="1" s="1"/>
  <c r="M1144" i="1"/>
  <c r="M1151" i="1"/>
  <c r="N1151" i="1" s="1"/>
  <c r="W1151" i="1" s="1"/>
  <c r="M1157" i="1"/>
  <c r="M1170" i="1"/>
  <c r="N1170" i="1" s="1"/>
  <c r="W1170" i="1" s="1"/>
  <c r="M1176" i="1"/>
  <c r="M1183" i="1"/>
  <c r="N1183" i="1" s="1"/>
  <c r="W1183" i="1" s="1"/>
  <c r="M1189" i="1"/>
  <c r="M1202" i="1"/>
  <c r="N1202" i="1" s="1"/>
  <c r="W1202" i="1" s="1"/>
  <c r="M1208" i="1"/>
  <c r="M1215" i="1"/>
  <c r="N1215" i="1" s="1"/>
  <c r="W1215" i="1" s="1"/>
  <c r="M1221" i="1"/>
  <c r="M1234" i="1"/>
  <c r="N1234" i="1" s="1"/>
  <c r="W1234" i="1" s="1"/>
  <c r="M1240" i="1"/>
  <c r="N1240" i="1" s="1"/>
  <c r="W1240" i="1" s="1"/>
  <c r="M1247" i="1"/>
  <c r="M1253" i="1"/>
  <c r="M1266" i="1"/>
  <c r="M1272" i="1"/>
  <c r="M1279" i="1"/>
  <c r="M1285" i="1"/>
  <c r="N1285" i="1" s="1"/>
  <c r="W1285" i="1" s="1"/>
  <c r="M1298" i="1"/>
  <c r="M1304" i="1"/>
  <c r="M1311" i="1"/>
  <c r="M1318" i="1"/>
  <c r="N1318" i="1" s="1"/>
  <c r="W1318" i="1" s="1"/>
  <c r="M1325" i="1"/>
  <c r="M1333" i="1"/>
  <c r="N1333" i="1" s="1"/>
  <c r="W1333" i="1" s="1"/>
  <c r="M1346" i="1"/>
  <c r="M1354" i="1"/>
  <c r="N1354" i="1" s="1"/>
  <c r="W1354" i="1" s="1"/>
  <c r="M1361" i="1"/>
  <c r="M1368" i="1"/>
  <c r="N1368" i="1" s="1"/>
  <c r="W1368" i="1" s="1"/>
  <c r="M1375" i="1"/>
  <c r="M1381" i="1"/>
  <c r="N1381" i="1" s="1"/>
  <c r="W1381" i="1" s="1"/>
  <c r="M1394" i="1"/>
  <c r="M1400" i="1"/>
  <c r="N1400" i="1" s="1"/>
  <c r="W1400" i="1" s="1"/>
  <c r="M1407" i="1"/>
  <c r="N1407" i="1" s="1"/>
  <c r="W1407" i="1" s="1"/>
  <c r="M1413" i="1"/>
  <c r="N1413" i="1" s="1"/>
  <c r="W1413" i="1" s="1"/>
  <c r="M1426" i="1"/>
  <c r="M1432" i="1"/>
  <c r="N1432" i="1" s="1"/>
  <c r="W1432" i="1" s="1"/>
  <c r="M1439" i="1"/>
  <c r="M1445" i="1"/>
  <c r="N1445" i="1" s="1"/>
  <c r="W1445" i="1" s="1"/>
  <c r="M1458" i="1"/>
  <c r="M1464" i="1"/>
  <c r="M1471" i="1"/>
  <c r="N1471" i="1" s="1"/>
  <c r="W1471" i="1" s="1"/>
  <c r="M1477" i="1"/>
  <c r="N1477" i="1" s="1"/>
  <c r="W1477" i="1" s="1"/>
  <c r="M1485" i="1"/>
  <c r="M1492" i="1"/>
  <c r="M1500" i="1"/>
  <c r="M1508" i="1"/>
  <c r="N1508" i="1" s="1"/>
  <c r="W1508" i="1" s="1"/>
  <c r="M1515" i="1"/>
  <c r="M1522" i="1"/>
  <c r="N1522" i="1" s="1"/>
  <c r="W1522" i="1" s="1"/>
  <c r="M1529" i="1"/>
  <c r="M1536" i="1"/>
  <c r="N1536" i="1" s="1"/>
  <c r="W1536" i="1" s="1"/>
  <c r="M1550" i="1"/>
  <c r="M1557" i="1"/>
  <c r="N1557" i="1" s="1"/>
  <c r="W1557" i="1" s="1"/>
  <c r="M1565" i="1"/>
  <c r="M1572" i="1"/>
  <c r="N1572" i="1" s="1"/>
  <c r="W1572" i="1" s="1"/>
  <c r="M1579" i="1"/>
  <c r="M1586" i="1"/>
  <c r="M1593" i="1"/>
  <c r="N1593" i="1" s="1"/>
  <c r="W1593" i="1" s="1"/>
  <c r="M1606" i="1"/>
  <c r="N1606" i="1" s="1"/>
  <c r="W1606" i="1" s="1"/>
  <c r="M1612" i="1"/>
  <c r="N1612" i="1" s="1"/>
  <c r="W1612" i="1" s="1"/>
  <c r="M1619" i="1"/>
  <c r="M1634" i="1"/>
  <c r="N1634" i="1" s="1"/>
  <c r="W1634" i="1" s="1"/>
  <c r="M1641" i="1"/>
  <c r="N1641" i="1" s="1"/>
  <c r="W1641" i="1" s="1"/>
  <c r="M1649" i="1"/>
  <c r="M1657" i="1"/>
  <c r="M1665" i="1"/>
  <c r="N1665" i="1" s="1"/>
  <c r="W1665" i="1" s="1"/>
  <c r="M1673" i="1"/>
  <c r="N1673" i="1" s="1"/>
  <c r="W1673" i="1" s="1"/>
  <c r="M1681" i="1"/>
  <c r="M1697" i="1"/>
  <c r="N1697" i="1" s="1"/>
  <c r="W1697" i="1" s="1"/>
  <c r="M1705" i="1"/>
  <c r="N1705" i="1" s="1"/>
  <c r="W1705" i="1" s="1"/>
  <c r="M1713" i="1"/>
  <c r="M1729" i="1"/>
  <c r="M1737" i="1"/>
  <c r="N1737" i="1" s="1"/>
  <c r="W1737" i="1" s="1"/>
  <c r="M1745" i="1"/>
  <c r="M1753" i="1"/>
  <c r="M1761" i="1"/>
  <c r="M1769" i="1"/>
  <c r="N1769" i="1" s="1"/>
  <c r="W1769" i="1" s="1"/>
  <c r="M1777" i="1"/>
  <c r="M1785" i="1"/>
  <c r="N1785" i="1" s="1"/>
  <c r="W1785" i="1" s="1"/>
  <c r="M1793" i="1"/>
  <c r="N1793" i="1" s="1"/>
  <c r="W1793" i="1" s="1"/>
  <c r="M1801" i="1"/>
  <c r="N1801" i="1" s="1"/>
  <c r="W1801" i="1" s="1"/>
  <c r="M1809" i="1"/>
  <c r="M1817" i="1"/>
  <c r="M1825" i="1"/>
  <c r="M1833" i="1"/>
  <c r="N1833" i="1" s="1"/>
  <c r="W1833" i="1" s="1"/>
  <c r="M1841" i="1"/>
  <c r="M1849" i="1"/>
  <c r="M1857" i="1"/>
  <c r="M1865" i="1"/>
  <c r="N1865" i="1" s="1"/>
  <c r="W1865" i="1" s="1"/>
  <c r="M1873" i="1"/>
  <c r="M1881" i="1"/>
  <c r="M1889" i="1"/>
  <c r="M1897" i="1"/>
  <c r="N1897" i="1" s="1"/>
  <c r="W1897" i="1" s="1"/>
  <c r="M1905" i="1"/>
  <c r="M1913" i="1"/>
  <c r="M1921" i="1"/>
  <c r="M1929" i="1"/>
  <c r="N1929" i="1" s="1"/>
  <c r="W1929" i="1" s="1"/>
  <c r="M1937" i="1"/>
  <c r="M1945" i="1"/>
  <c r="M1953" i="1"/>
  <c r="M1961" i="1"/>
  <c r="N1961" i="1" s="1"/>
  <c r="W1961" i="1" s="1"/>
  <c r="M1969" i="1"/>
  <c r="M1977" i="1"/>
  <c r="M1985" i="1"/>
  <c r="M1993" i="1"/>
  <c r="N1993" i="1" s="1"/>
  <c r="W1993" i="1" s="1"/>
  <c r="M2001" i="1"/>
  <c r="M2009" i="1"/>
  <c r="M2017" i="1"/>
  <c r="N2017" i="1" s="1"/>
  <c r="W2017" i="1" s="1"/>
  <c r="M2025" i="1"/>
  <c r="N2025" i="1" s="1"/>
  <c r="W2025" i="1" s="1"/>
  <c r="M2033" i="1"/>
  <c r="M2041" i="1"/>
  <c r="M2049" i="1"/>
  <c r="M2057" i="1"/>
  <c r="N2057" i="1" s="1"/>
  <c r="W2057" i="1" s="1"/>
  <c r="M2065" i="1"/>
  <c r="M2073" i="1"/>
  <c r="M2081" i="1"/>
  <c r="M2089" i="1"/>
  <c r="N2089" i="1" s="1"/>
  <c r="W2089" i="1" s="1"/>
  <c r="M2097" i="1"/>
  <c r="M2105" i="1"/>
  <c r="M2113" i="1"/>
  <c r="M2121" i="1"/>
  <c r="N2121" i="1" s="1"/>
  <c r="W2121" i="1" s="1"/>
  <c r="M2129" i="1"/>
  <c r="M2139" i="1"/>
  <c r="N2139" i="1" s="1"/>
  <c r="W2139" i="1" s="1"/>
  <c r="M2145" i="1"/>
  <c r="N2145" i="1" s="1"/>
  <c r="W2145" i="1" s="1"/>
  <c r="M2155" i="1"/>
  <c r="N2155" i="1" s="1"/>
  <c r="W2155" i="1" s="1"/>
  <c r="M2161" i="1"/>
  <c r="M2169" i="1"/>
  <c r="N2169" i="1" s="1"/>
  <c r="W2169" i="1" s="1"/>
  <c r="M2177" i="1"/>
  <c r="M2185" i="1"/>
  <c r="M2195" i="1"/>
  <c r="N2195" i="1" s="1"/>
  <c r="W2195" i="1" s="1"/>
  <c r="M2200" i="1"/>
  <c r="M2206" i="1"/>
  <c r="M2216" i="1"/>
  <c r="N2216" i="1" s="1"/>
  <c r="W2216" i="1" s="1"/>
  <c r="M2224" i="1"/>
  <c r="M2232" i="1"/>
  <c r="N2232" i="1" s="1"/>
  <c r="W2232" i="1" s="1"/>
  <c r="M2240" i="1"/>
  <c r="M2248" i="1"/>
  <c r="N2248" i="1" s="1"/>
  <c r="W2248" i="1" s="1"/>
  <c r="M2258" i="1"/>
  <c r="M2264" i="1"/>
  <c r="M2274" i="1"/>
  <c r="M2280" i="1"/>
  <c r="M2290" i="1"/>
  <c r="N2290" i="1" s="1"/>
  <c r="W2290" i="1" s="1"/>
  <c r="M2296" i="1"/>
  <c r="M2304" i="1"/>
  <c r="M2312" i="1"/>
  <c r="M2320" i="1"/>
  <c r="N2320" i="1" s="1"/>
  <c r="W2320" i="1" s="1"/>
  <c r="M2332" i="1"/>
  <c r="M2347" i="1"/>
  <c r="N2347" i="1" s="1"/>
  <c r="W2347" i="1" s="1"/>
  <c r="M2353" i="1"/>
  <c r="M2363" i="1"/>
  <c r="M2369" i="1"/>
  <c r="N2369" i="1" s="1"/>
  <c r="W2369" i="1" s="1"/>
  <c r="M2379" i="1"/>
  <c r="M2385" i="1"/>
  <c r="M2401" i="1"/>
  <c r="M2413" i="1"/>
  <c r="M2421" i="1"/>
  <c r="N2421" i="1" s="1"/>
  <c r="W2421" i="1" s="1"/>
  <c r="M2429" i="1"/>
  <c r="M2437" i="1"/>
  <c r="M2445" i="1"/>
  <c r="N2445" i="1" s="1"/>
  <c r="W2445" i="1" s="1"/>
  <c r="M2453" i="1"/>
  <c r="N2453" i="1" s="1"/>
  <c r="W2453" i="1" s="1"/>
  <c r="M2461" i="1"/>
  <c r="M2477" i="1"/>
  <c r="N2477" i="1" s="1"/>
  <c r="W2477" i="1" s="1"/>
  <c r="M2485" i="1"/>
  <c r="N2485" i="1" s="1"/>
  <c r="W2485" i="1" s="1"/>
  <c r="M2493" i="1"/>
  <c r="L695" i="19"/>
  <c r="M694" i="19"/>
  <c r="M1861" i="19"/>
  <c r="M1969" i="19"/>
  <c r="M2014" i="19"/>
  <c r="M2206" i="19"/>
  <c r="M2279" i="19"/>
  <c r="M511" i="1"/>
  <c r="M519" i="1"/>
  <c r="M527" i="1"/>
  <c r="M535" i="1"/>
  <c r="N535" i="1" s="1"/>
  <c r="W535" i="1" s="1"/>
  <c r="M543" i="1"/>
  <c r="M551" i="1"/>
  <c r="M559" i="1"/>
  <c r="N559" i="1" s="1"/>
  <c r="W559" i="1" s="1"/>
  <c r="M567" i="1"/>
  <c r="N567" i="1" s="1"/>
  <c r="W567" i="1" s="1"/>
  <c r="M575" i="1"/>
  <c r="M583" i="1"/>
  <c r="M591" i="1"/>
  <c r="M599" i="1"/>
  <c r="N599" i="1" s="1"/>
  <c r="W599" i="1" s="1"/>
  <c r="M607" i="1"/>
  <c r="M614" i="1"/>
  <c r="M622" i="1"/>
  <c r="M630" i="1"/>
  <c r="N630" i="1" s="1"/>
  <c r="W630" i="1" s="1"/>
  <c r="M638" i="1"/>
  <c r="M646" i="1"/>
  <c r="M654" i="1"/>
  <c r="N654" i="1" s="1"/>
  <c r="W654" i="1" s="1"/>
  <c r="M666" i="1"/>
  <c r="N666" i="1" s="1"/>
  <c r="W666" i="1" s="1"/>
  <c r="M672" i="1"/>
  <c r="M679" i="1"/>
  <c r="N679" i="1" s="1"/>
  <c r="W679" i="1" s="1"/>
  <c r="M686" i="1"/>
  <c r="M693" i="1"/>
  <c r="N693" i="1" s="1"/>
  <c r="W693" i="1" s="1"/>
  <c r="M794" i="1"/>
  <c r="N794" i="1" s="1"/>
  <c r="W794" i="1" s="1"/>
  <c r="M834" i="1"/>
  <c r="M840" i="1"/>
  <c r="M846" i="1"/>
  <c r="N846" i="1" s="1"/>
  <c r="W846" i="1" s="1"/>
  <c r="M852" i="1"/>
  <c r="N852" i="1" s="1"/>
  <c r="W852" i="1" s="1"/>
  <c r="M859" i="1"/>
  <c r="M871" i="1"/>
  <c r="M887" i="1"/>
  <c r="N887" i="1" s="1"/>
  <c r="W887" i="1" s="1"/>
  <c r="M895" i="1"/>
  <c r="M903" i="1"/>
  <c r="M911" i="1"/>
  <c r="N911" i="1" s="1"/>
  <c r="W911" i="1" s="1"/>
  <c r="M918" i="1"/>
  <c r="M924" i="1"/>
  <c r="N924" i="1" s="1"/>
  <c r="W924" i="1" s="1"/>
  <c r="M931" i="1"/>
  <c r="N931" i="1" s="1"/>
  <c r="W931" i="1" s="1"/>
  <c r="M937" i="1"/>
  <c r="M950" i="1"/>
  <c r="M956" i="1"/>
  <c r="N956" i="1" s="1"/>
  <c r="W956" i="1" s="1"/>
  <c r="M963" i="1"/>
  <c r="N963" i="1" s="1"/>
  <c r="W963" i="1" s="1"/>
  <c r="M970" i="1"/>
  <c r="M978" i="1"/>
  <c r="M985" i="1"/>
  <c r="N985" i="1" s="1"/>
  <c r="W985" i="1" s="1"/>
  <c r="M992" i="1"/>
  <c r="N992" i="1" s="1"/>
  <c r="W992" i="1" s="1"/>
  <c r="M1000" i="1"/>
  <c r="M1007" i="1"/>
  <c r="M1015" i="1"/>
  <c r="N1015" i="1" s="1"/>
  <c r="W1015" i="1" s="1"/>
  <c r="M1022" i="1"/>
  <c r="N1022" i="1" s="1"/>
  <c r="W1022" i="1" s="1"/>
  <c r="M1030" i="1"/>
  <c r="M1038" i="1"/>
  <c r="M1045" i="1"/>
  <c r="M1052" i="1"/>
  <c r="N1052" i="1" s="1"/>
  <c r="W1052" i="1" s="1"/>
  <c r="M1067" i="1"/>
  <c r="M1074" i="1"/>
  <c r="M1081" i="1"/>
  <c r="N1081" i="1" s="1"/>
  <c r="W1081" i="1" s="1"/>
  <c r="M1088" i="1"/>
  <c r="N1088" i="1" s="1"/>
  <c r="W1088" i="1" s="1"/>
  <c r="M1095" i="1"/>
  <c r="M1102" i="1"/>
  <c r="M1109" i="1"/>
  <c r="N1109" i="1" s="1"/>
  <c r="W1109" i="1" s="1"/>
  <c r="M1116" i="1"/>
  <c r="N1116" i="1" s="1"/>
  <c r="W1116" i="1" s="1"/>
  <c r="M1131" i="1"/>
  <c r="N1131" i="1" s="1"/>
  <c r="W1131" i="1" s="1"/>
  <c r="M1138" i="1"/>
  <c r="M1145" i="1"/>
  <c r="M1158" i="1"/>
  <c r="N1158" i="1" s="1"/>
  <c r="W1158" i="1" s="1"/>
  <c r="M1164" i="1"/>
  <c r="N1164" i="1" s="1"/>
  <c r="W1164" i="1" s="1"/>
  <c r="M1171" i="1"/>
  <c r="M1177" i="1"/>
  <c r="M1190" i="1"/>
  <c r="M1196" i="1"/>
  <c r="M1203" i="1"/>
  <c r="M1209" i="1"/>
  <c r="N1209" i="1" s="1"/>
  <c r="W1209" i="1" s="1"/>
  <c r="M1222" i="1"/>
  <c r="N1222" i="1" s="1"/>
  <c r="W1222" i="1" s="1"/>
  <c r="M1228" i="1"/>
  <c r="M1235" i="1"/>
  <c r="M1241" i="1"/>
  <c r="N1241" i="1" s="1"/>
  <c r="W1241" i="1" s="1"/>
  <c r="M1254" i="1"/>
  <c r="M1260" i="1"/>
  <c r="N1260" i="1" s="1"/>
  <c r="W1260" i="1" s="1"/>
  <c r="M1267" i="1"/>
  <c r="N1267" i="1" s="1"/>
  <c r="W1267" i="1" s="1"/>
  <c r="M1273" i="1"/>
  <c r="M1286" i="1"/>
  <c r="M1292" i="1"/>
  <c r="M1299" i="1"/>
  <c r="N1299" i="1" s="1"/>
  <c r="W1299" i="1" s="1"/>
  <c r="M1305" i="1"/>
  <c r="N1305" i="1" s="1"/>
  <c r="W1305" i="1" s="1"/>
  <c r="M1319" i="1"/>
  <c r="N1319" i="1" s="1"/>
  <c r="W1319" i="1" s="1"/>
  <c r="M1326" i="1"/>
  <c r="N1326" i="1" s="1"/>
  <c r="W1326" i="1" s="1"/>
  <c r="M1334" i="1"/>
  <c r="M1340" i="1"/>
  <c r="M1347" i="1"/>
  <c r="N1347" i="1" s="1"/>
  <c r="W1347" i="1" s="1"/>
  <c r="M1355" i="1"/>
  <c r="N1355" i="1" s="1"/>
  <c r="W1355" i="1" s="1"/>
  <c r="M1362" i="1"/>
  <c r="M1369" i="1"/>
  <c r="M1382" i="1"/>
  <c r="M1388" i="1"/>
  <c r="N1388" i="1" s="1"/>
  <c r="W1388" i="1" s="1"/>
  <c r="M1395" i="1"/>
  <c r="N1395" i="1" s="1"/>
  <c r="W1395" i="1" s="1"/>
  <c r="M1401" i="1"/>
  <c r="M1414" i="1"/>
  <c r="N1414" i="1" s="1"/>
  <c r="W1414" i="1" s="1"/>
  <c r="M1420" i="1"/>
  <c r="M1427" i="1"/>
  <c r="M1433" i="1"/>
  <c r="M1446" i="1"/>
  <c r="N1446" i="1" s="1"/>
  <c r="W1446" i="1" s="1"/>
  <c r="M1452" i="1"/>
  <c r="N1452" i="1" s="1"/>
  <c r="W1452" i="1" s="1"/>
  <c r="M1459" i="1"/>
  <c r="M1465" i="1"/>
  <c r="M1478" i="1"/>
  <c r="M1486" i="1"/>
  <c r="M1493" i="1"/>
  <c r="N1493" i="1" s="1"/>
  <c r="W1493" i="1" s="1"/>
  <c r="M1501" i="1"/>
  <c r="N1501" i="1" s="1"/>
  <c r="W1501" i="1" s="1"/>
  <c r="M1509" i="1"/>
  <c r="M1516" i="1"/>
  <c r="M1523" i="1"/>
  <c r="N1523" i="1" s="1"/>
  <c r="W1523" i="1" s="1"/>
  <c r="M1530" i="1"/>
  <c r="N1530" i="1" s="1"/>
  <c r="W1530" i="1" s="1"/>
  <c r="M1537" i="1"/>
  <c r="M1544" i="1"/>
  <c r="M1551" i="1"/>
  <c r="N1551" i="1" s="1"/>
  <c r="W1551" i="1" s="1"/>
  <c r="M1558" i="1"/>
  <c r="N1558" i="1" s="1"/>
  <c r="W1558" i="1" s="1"/>
  <c r="M1566" i="1"/>
  <c r="M1573" i="1"/>
  <c r="M1580" i="1"/>
  <c r="N1580" i="1" s="1"/>
  <c r="W1580" i="1" s="1"/>
  <c r="M1587" i="1"/>
  <c r="N1587" i="1" s="1"/>
  <c r="W1587" i="1" s="1"/>
  <c r="M1594" i="1"/>
  <c r="M1600" i="1"/>
  <c r="M1607" i="1"/>
  <c r="N1607" i="1" s="1"/>
  <c r="W1607" i="1" s="1"/>
  <c r="M1613" i="1"/>
  <c r="N1613" i="1" s="1"/>
  <c r="W1613" i="1" s="1"/>
  <c r="M1627" i="1"/>
  <c r="N1627" i="1" s="1"/>
  <c r="W1627" i="1" s="1"/>
  <c r="M1635" i="1"/>
  <c r="M1642" i="1"/>
  <c r="N1642" i="1" s="1"/>
  <c r="W1642" i="1" s="1"/>
  <c r="M1650" i="1"/>
  <c r="N1650" i="1" s="1"/>
  <c r="W1650" i="1" s="1"/>
  <c r="M1658" i="1"/>
  <c r="N1658" i="1" s="1"/>
  <c r="W1658" i="1" s="1"/>
  <c r="M1666" i="1"/>
  <c r="M1674" i="1"/>
  <c r="M1698" i="1"/>
  <c r="M1706" i="1"/>
  <c r="N1706" i="1" s="1"/>
  <c r="W1706" i="1" s="1"/>
  <c r="M1714" i="1"/>
  <c r="M1722" i="1"/>
  <c r="N1722" i="1" s="1"/>
  <c r="W1722" i="1" s="1"/>
  <c r="M1730" i="1"/>
  <c r="M1738" i="1"/>
  <c r="N1738" i="1" s="1"/>
  <c r="W1738" i="1" s="1"/>
  <c r="M1746" i="1"/>
  <c r="N1746" i="1" s="1"/>
  <c r="W1746" i="1" s="1"/>
  <c r="M1754" i="1"/>
  <c r="N1754" i="1" s="1"/>
  <c r="W1754" i="1" s="1"/>
  <c r="M1762" i="1"/>
  <c r="M1770" i="1"/>
  <c r="M1778" i="1"/>
  <c r="N1778" i="1" s="1"/>
  <c r="W1778" i="1" s="1"/>
  <c r="M1786" i="1"/>
  <c r="N1786" i="1" s="1"/>
  <c r="W1786" i="1" s="1"/>
  <c r="M1794" i="1"/>
  <c r="M1802" i="1"/>
  <c r="N1802" i="1" s="1"/>
  <c r="W1802" i="1" s="1"/>
  <c r="M1810" i="1"/>
  <c r="N1810" i="1" s="1"/>
  <c r="W1810" i="1" s="1"/>
  <c r="M1818" i="1"/>
  <c r="N1818" i="1" s="1"/>
  <c r="W1818" i="1" s="1"/>
  <c r="M1826" i="1"/>
  <c r="M1834" i="1"/>
  <c r="N1834" i="1" s="1"/>
  <c r="W1834" i="1" s="1"/>
  <c r="M1842" i="1"/>
  <c r="N1842" i="1" s="1"/>
  <c r="W1842" i="1" s="1"/>
  <c r="M1850" i="1"/>
  <c r="N1850" i="1" s="1"/>
  <c r="W1850" i="1" s="1"/>
  <c r="M1858" i="1"/>
  <c r="M1866" i="1"/>
  <c r="N1866" i="1" s="1"/>
  <c r="W1866" i="1" s="1"/>
  <c r="M1874" i="1"/>
  <c r="N1874" i="1" s="1"/>
  <c r="W1874" i="1" s="1"/>
  <c r="M1882" i="1"/>
  <c r="N1882" i="1" s="1"/>
  <c r="W1882" i="1" s="1"/>
  <c r="M1890" i="1"/>
  <c r="M1898" i="1"/>
  <c r="N1898" i="1" s="1"/>
  <c r="W1898" i="1" s="1"/>
  <c r="M1906" i="1"/>
  <c r="N1906" i="1" s="1"/>
  <c r="W1906" i="1" s="1"/>
  <c r="M1914" i="1"/>
  <c r="N1914" i="1" s="1"/>
  <c r="W1914" i="1" s="1"/>
  <c r="M1922" i="1"/>
  <c r="M1930" i="1"/>
  <c r="N1930" i="1" s="1"/>
  <c r="W1930" i="1" s="1"/>
  <c r="M1938" i="1"/>
  <c r="N1938" i="1" s="1"/>
  <c r="W1938" i="1" s="1"/>
  <c r="M1946" i="1"/>
  <c r="N1946" i="1" s="1"/>
  <c r="W1946" i="1" s="1"/>
  <c r="M1954" i="1"/>
  <c r="M1962" i="1"/>
  <c r="N1962" i="1" s="1"/>
  <c r="W1962" i="1" s="1"/>
  <c r="M1970" i="1"/>
  <c r="N1970" i="1" s="1"/>
  <c r="W1970" i="1" s="1"/>
  <c r="M1978" i="1"/>
  <c r="N1978" i="1" s="1"/>
  <c r="W1978" i="1" s="1"/>
  <c r="M1986" i="1"/>
  <c r="M1994" i="1"/>
  <c r="M2002" i="1"/>
  <c r="N2002" i="1" s="1"/>
  <c r="W2002" i="1" s="1"/>
  <c r="M2010" i="1"/>
  <c r="N2010" i="1" s="1"/>
  <c r="W2010" i="1" s="1"/>
  <c r="M2018" i="1"/>
  <c r="M2026" i="1"/>
  <c r="N2026" i="1" s="1"/>
  <c r="W2026" i="1" s="1"/>
  <c r="M2034" i="1"/>
  <c r="N2034" i="1" s="1"/>
  <c r="W2034" i="1" s="1"/>
  <c r="M2042" i="1"/>
  <c r="N2042" i="1" s="1"/>
  <c r="W2042" i="1" s="1"/>
  <c r="M2050" i="1"/>
  <c r="M2058" i="1"/>
  <c r="M2066" i="1"/>
  <c r="M2082" i="1"/>
  <c r="M2090" i="1"/>
  <c r="M2098" i="1"/>
  <c r="N2098" i="1" s="1"/>
  <c r="W2098" i="1" s="1"/>
  <c r="M2106" i="1"/>
  <c r="N2106" i="1" s="1"/>
  <c r="W2106" i="1" s="1"/>
  <c r="M2130" i="1"/>
  <c r="N2130" i="1" s="1"/>
  <c r="W2130" i="1" s="1"/>
  <c r="M2140" i="1"/>
  <c r="N2140" i="1" s="1"/>
  <c r="W2140" i="1" s="1"/>
  <c r="M2146" i="1"/>
  <c r="M2156" i="1"/>
  <c r="M2170" i="1"/>
  <c r="N2170" i="1" s="1"/>
  <c r="W2170" i="1" s="1"/>
  <c r="M2186" i="1"/>
  <c r="M2196" i="1"/>
  <c r="M2201" i="1"/>
  <c r="N2201" i="1" s="1"/>
  <c r="W2201" i="1" s="1"/>
  <c r="M2211" i="1"/>
  <c r="N2211" i="1" s="1"/>
  <c r="W2211" i="1" s="1"/>
  <c r="M2217" i="1"/>
  <c r="M2225" i="1"/>
  <c r="N2225" i="1" s="1"/>
  <c r="W2225" i="1" s="1"/>
  <c r="M2241" i="1"/>
  <c r="N2241" i="1" s="1"/>
  <c r="W2241" i="1" s="1"/>
  <c r="M2253" i="1"/>
  <c r="N2253" i="1" s="1"/>
  <c r="W2253" i="1" s="1"/>
  <c r="M2259" i="1"/>
  <c r="N2259" i="1" s="1"/>
  <c r="W2259" i="1" s="1"/>
  <c r="M2269" i="1"/>
  <c r="M2275" i="1"/>
  <c r="N2275" i="1" s="1"/>
  <c r="W2275" i="1" s="1"/>
  <c r="M2285" i="1"/>
  <c r="N2285" i="1" s="1"/>
  <c r="V2285" i="1"/>
  <c r="M2291" i="1"/>
  <c r="M2297" i="1"/>
  <c r="M2305" i="1"/>
  <c r="M2313" i="1"/>
  <c r="N2313" i="1" s="1"/>
  <c r="W2313" i="1" s="1"/>
  <c r="M2321" i="1"/>
  <c r="M2327" i="1"/>
  <c r="N2327" i="1" s="1"/>
  <c r="W2327" i="1" s="1"/>
  <c r="M2333" i="1"/>
  <c r="M2343" i="1"/>
  <c r="M2348" i="1"/>
  <c r="N2348" i="1" s="1"/>
  <c r="W2348" i="1" s="1"/>
  <c r="M2354" i="1"/>
  <c r="N2354" i="1" s="1"/>
  <c r="W2354" i="1" s="1"/>
  <c r="M2364" i="1"/>
  <c r="M2370" i="1"/>
  <c r="N2370" i="1" s="1"/>
  <c r="W2370" i="1" s="1"/>
  <c r="M2380" i="1"/>
  <c r="M2386" i="1"/>
  <c r="N2386" i="1" s="1"/>
  <c r="W2386" i="1" s="1"/>
  <c r="M2396" i="1"/>
  <c r="M2402" i="1"/>
  <c r="M2414" i="1"/>
  <c r="N2414" i="1" s="1"/>
  <c r="W2414" i="1" s="1"/>
  <c r="M2422" i="1"/>
  <c r="M2430" i="1"/>
  <c r="N2430" i="1" s="1"/>
  <c r="W2430" i="1" s="1"/>
  <c r="M2438" i="1"/>
  <c r="N2438" i="1" s="1"/>
  <c r="W2438" i="1" s="1"/>
  <c r="M2446" i="1"/>
  <c r="N2446" i="1" s="1"/>
  <c r="W2446" i="1" s="1"/>
  <c r="M2454" i="1"/>
  <c r="M2462" i="1"/>
  <c r="N2462" i="1" s="1"/>
  <c r="W2462" i="1" s="1"/>
  <c r="M2470" i="1"/>
  <c r="N2470" i="1" s="1"/>
  <c r="W2470" i="1" s="1"/>
  <c r="M2478" i="1"/>
  <c r="N2478" i="1" s="1"/>
  <c r="W2478" i="1" s="1"/>
  <c r="M2486" i="1"/>
  <c r="M2494" i="1"/>
  <c r="N2494" i="1" s="1"/>
  <c r="W2494" i="1" s="1"/>
  <c r="M1293" i="19"/>
  <c r="M1373" i="19"/>
  <c r="M1528" i="19"/>
  <c r="M1913" i="19"/>
  <c r="M1950" i="19"/>
  <c r="M2186" i="19"/>
  <c r="M2221" i="19"/>
  <c r="M2452" i="19"/>
  <c r="M2282" i="19"/>
  <c r="M2499" i="19"/>
  <c r="M758" i="1"/>
  <c r="N758" i="1" s="1"/>
  <c r="M722" i="1"/>
  <c r="N722" i="1" s="1"/>
  <c r="M873" i="1"/>
  <c r="N873" i="1" s="1"/>
  <c r="W873" i="1" s="1"/>
  <c r="M881" i="1"/>
  <c r="N881" i="1" s="1"/>
  <c r="W881" i="1" s="1"/>
  <c r="M913" i="1"/>
  <c r="M202" i="1"/>
  <c r="N202" i="1" s="1"/>
  <c r="W202" i="1" s="1"/>
  <c r="M2114" i="1"/>
  <c r="N2114" i="1" s="1"/>
  <c r="W2114" i="1" s="1"/>
  <c r="M2122" i="1"/>
  <c r="N2122" i="1" s="1"/>
  <c r="W2122" i="1" s="1"/>
  <c r="M2178" i="1"/>
  <c r="N2178" i="1" s="1"/>
  <c r="W2178" i="1" s="1"/>
  <c r="M2188" i="1"/>
  <c r="N2188" i="1" s="1"/>
  <c r="W2188" i="1" s="1"/>
  <c r="M2210" i="1"/>
  <c r="N2210" i="1" s="1"/>
  <c r="W2210" i="1" s="1"/>
  <c r="M2218" i="1"/>
  <c r="N2218" i="1" s="1"/>
  <c r="W2218" i="1" s="1"/>
  <c r="M2230" i="1"/>
  <c r="M2238" i="1"/>
  <c r="N2238" i="1" s="1"/>
  <c r="W2238" i="1" s="1"/>
  <c r="M2242" i="1"/>
  <c r="N2242" i="1" s="1"/>
  <c r="W2242" i="1" s="1"/>
  <c r="M2262" i="1"/>
  <c r="M2286" i="1"/>
  <c r="N2286" i="1" s="1"/>
  <c r="W2286" i="1" s="1"/>
  <c r="M2292" i="1"/>
  <c r="N2292" i="1" s="1"/>
  <c r="W2292" i="1" s="1"/>
  <c r="M2294" i="1"/>
  <c r="M2302" i="1"/>
  <c r="M2310" i="1"/>
  <c r="N2310" i="1" s="1"/>
  <c r="W2310" i="1" s="1"/>
  <c r="M2328" i="1"/>
  <c r="N2328" i="1" s="1"/>
  <c r="W2328" i="1" s="1"/>
  <c r="M2342" i="1"/>
  <c r="M2350" i="1"/>
  <c r="N2350" i="1" s="1"/>
  <c r="W2350" i="1" s="1"/>
  <c r="M2390" i="1"/>
  <c r="N2390" i="1" s="1"/>
  <c r="W2390" i="1" s="1"/>
  <c r="M2392" i="1"/>
  <c r="N2392" i="1" s="1"/>
  <c r="W2392" i="1" s="1"/>
  <c r="M2400" i="1"/>
  <c r="N2400" i="1" s="1"/>
  <c r="W2400" i="1" s="1"/>
  <c r="M2432" i="1"/>
  <c r="N2432" i="1" s="1"/>
  <c r="W2432" i="1" s="1"/>
  <c r="M2440" i="1"/>
  <c r="M2448" i="1"/>
  <c r="N2448" i="1" s="1"/>
  <c r="W2448" i="1" s="1"/>
  <c r="M2460" i="1"/>
  <c r="N2460" i="1" s="1"/>
  <c r="W2460" i="1" s="1"/>
  <c r="M618" i="1"/>
  <c r="N618" i="1" s="1"/>
  <c r="W618" i="1" s="1"/>
  <c r="N90" i="1"/>
  <c r="W90" i="1" s="1"/>
  <c r="N120" i="1"/>
  <c r="W120" i="1" s="1"/>
  <c r="N142" i="1"/>
  <c r="W142" i="1" s="1"/>
  <c r="N152" i="1"/>
  <c r="W152" i="1" s="1"/>
  <c r="N122" i="1"/>
  <c r="W122" i="1" s="1"/>
  <c r="M2338" i="1"/>
  <c r="M2356" i="1"/>
  <c r="M2362" i="1"/>
  <c r="N2362" i="1" s="1"/>
  <c r="W2362" i="1" s="1"/>
  <c r="M2372" i="1"/>
  <c r="N110" i="1"/>
  <c r="W110" i="1" s="1"/>
  <c r="N150" i="1"/>
  <c r="W150" i="1" s="1"/>
  <c r="N154" i="1"/>
  <c r="W154" i="1" s="1"/>
  <c r="N41" i="1"/>
  <c r="W41" i="1" s="1"/>
  <c r="N73" i="1"/>
  <c r="W73" i="1" s="1"/>
  <c r="N153" i="1"/>
  <c r="W153" i="1" s="1"/>
  <c r="N174" i="1"/>
  <c r="W174" i="1" s="1"/>
  <c r="N182" i="1"/>
  <c r="W182" i="1" s="1"/>
  <c r="N198" i="1"/>
  <c r="W198" i="1" s="1"/>
  <c r="N220" i="1"/>
  <c r="W220" i="1" s="1"/>
  <c r="N292" i="1"/>
  <c r="W292" i="1" s="1"/>
  <c r="N332" i="1"/>
  <c r="W332" i="1" s="1"/>
  <c r="N82" i="1"/>
  <c r="W82" i="1" s="1"/>
  <c r="N86" i="1"/>
  <c r="W86" i="1" s="1"/>
  <c r="N94" i="1"/>
  <c r="W94" i="1" s="1"/>
  <c r="N102" i="1"/>
  <c r="W102" i="1" s="1"/>
  <c r="N106" i="1"/>
  <c r="W106" i="1" s="1"/>
  <c r="N126" i="1"/>
  <c r="W126" i="1" s="1"/>
  <c r="N134" i="1"/>
  <c r="W134" i="1" s="1"/>
  <c r="N138" i="1"/>
  <c r="W138" i="1" s="1"/>
  <c r="N158" i="1"/>
  <c r="W158" i="1" s="1"/>
  <c r="N166" i="1"/>
  <c r="W166" i="1" s="1"/>
  <c r="N29" i="1"/>
  <c r="W29" i="1" s="1"/>
  <c r="N39" i="1"/>
  <c r="W39" i="1" s="1"/>
  <c r="N55" i="1"/>
  <c r="W55" i="1" s="1"/>
  <c r="N71" i="1"/>
  <c r="W71" i="1" s="1"/>
  <c r="N169" i="1"/>
  <c r="W169" i="1" s="1"/>
  <c r="N201" i="1"/>
  <c r="W201" i="1" s="1"/>
  <c r="N206" i="1"/>
  <c r="W206" i="1" s="1"/>
  <c r="N282" i="1"/>
  <c r="W282" i="1" s="1"/>
  <c r="N310" i="1"/>
  <c r="W310" i="1" s="1"/>
  <c r="N372" i="1"/>
  <c r="W372" i="1" s="1"/>
  <c r="N482" i="1"/>
  <c r="W482" i="1" s="1"/>
  <c r="N696" i="1"/>
  <c r="W696" i="1" s="1"/>
  <c r="N760" i="1"/>
  <c r="W760" i="1" s="1"/>
  <c r="N27" i="1"/>
  <c r="W27" i="1" s="1"/>
  <c r="N37" i="1"/>
  <c r="W37" i="1" s="1"/>
  <c r="N53" i="1"/>
  <c r="W53" i="1" s="1"/>
  <c r="N69" i="1"/>
  <c r="W69" i="1" s="1"/>
  <c r="N85" i="1"/>
  <c r="W85" i="1" s="1"/>
  <c r="N164" i="1"/>
  <c r="W164" i="1" s="1"/>
  <c r="N188" i="1"/>
  <c r="W188" i="1" s="1"/>
  <c r="N196" i="1"/>
  <c r="W196" i="1" s="1"/>
  <c r="N218" i="1"/>
  <c r="W218" i="1" s="1"/>
  <c r="N241" i="1"/>
  <c r="W241" i="1" s="1"/>
  <c r="N318" i="1"/>
  <c r="W318" i="1" s="1"/>
  <c r="N406" i="1"/>
  <c r="W406" i="1" s="1"/>
  <c r="N480" i="1"/>
  <c r="W480" i="1" s="1"/>
  <c r="N25" i="1"/>
  <c r="W25" i="1" s="1"/>
  <c r="N51" i="1"/>
  <c r="W51" i="1" s="1"/>
  <c r="N67" i="1"/>
  <c r="W67" i="1" s="1"/>
  <c r="N83" i="1"/>
  <c r="W83" i="1" s="1"/>
  <c r="N204" i="1"/>
  <c r="W204" i="1" s="1"/>
  <c r="N226" i="1"/>
  <c r="W226" i="1" s="1"/>
  <c r="N280" i="1"/>
  <c r="W280" i="1" s="1"/>
  <c r="N308" i="1"/>
  <c r="W308" i="1" s="1"/>
  <c r="N338" i="1"/>
  <c r="W338" i="1" s="1"/>
  <c r="N428" i="1"/>
  <c r="W428" i="1" s="1"/>
  <c r="N494" i="1"/>
  <c r="W494" i="1" s="1"/>
  <c r="N708" i="1"/>
  <c r="W708" i="1" s="1"/>
  <c r="N724" i="1"/>
  <c r="W724" i="1" s="1"/>
  <c r="N772" i="1"/>
  <c r="W772" i="1" s="1"/>
  <c r="N23" i="1"/>
  <c r="W23" i="1" s="1"/>
  <c r="N33" i="1"/>
  <c r="W33" i="1" s="1"/>
  <c r="N49" i="1"/>
  <c r="W49" i="1" s="1"/>
  <c r="N65" i="1"/>
  <c r="W65" i="1" s="1"/>
  <c r="N81" i="1"/>
  <c r="W81" i="1" s="1"/>
  <c r="N162" i="1"/>
  <c r="W162" i="1" s="1"/>
  <c r="N170" i="1"/>
  <c r="W170" i="1" s="1"/>
  <c r="N186" i="1"/>
  <c r="W186" i="1" s="1"/>
  <c r="N194" i="1"/>
  <c r="W194" i="1" s="1"/>
  <c r="N214" i="1"/>
  <c r="W214" i="1" s="1"/>
  <c r="N244" i="1"/>
  <c r="W244" i="1" s="1"/>
  <c r="N283" i="1"/>
  <c r="W283" i="1" s="1"/>
  <c r="N316" i="1"/>
  <c r="W316" i="1" s="1"/>
  <c r="N356" i="1"/>
  <c r="W356" i="1" s="1"/>
  <c r="N397" i="1"/>
  <c r="W397" i="1" s="1"/>
  <c r="N478" i="1"/>
  <c r="W478" i="1" s="1"/>
  <c r="N76" i="1"/>
  <c r="W76" i="1" s="1"/>
  <c r="N80" i="1"/>
  <c r="W80" i="1" s="1"/>
  <c r="N84" i="1"/>
  <c r="W84" i="1" s="1"/>
  <c r="N104" i="1"/>
  <c r="W104" i="1" s="1"/>
  <c r="N216" i="1"/>
  <c r="W216" i="1" s="1"/>
  <c r="N21" i="1"/>
  <c r="N31" i="1"/>
  <c r="W31" i="1" s="1"/>
  <c r="N47" i="1"/>
  <c r="W47" i="1" s="1"/>
  <c r="N63" i="1"/>
  <c r="W63" i="1" s="1"/>
  <c r="N79" i="1"/>
  <c r="W79" i="1" s="1"/>
  <c r="N165" i="1"/>
  <c r="W165" i="1" s="1"/>
  <c r="N197" i="1"/>
  <c r="W197" i="1" s="1"/>
  <c r="N212" i="1"/>
  <c r="W212" i="1" s="1"/>
  <c r="N266" i="1"/>
  <c r="W266" i="1" s="1"/>
  <c r="N276" i="1"/>
  <c r="W276" i="1" s="1"/>
  <c r="N324" i="1"/>
  <c r="W324" i="1" s="1"/>
  <c r="N354" i="1"/>
  <c r="W354" i="1" s="1"/>
  <c r="N436" i="1"/>
  <c r="W436" i="1" s="1"/>
  <c r="N476" i="1"/>
  <c r="W476" i="1" s="1"/>
  <c r="N720" i="1"/>
  <c r="W720" i="1" s="1"/>
  <c r="N768" i="1"/>
  <c r="W768" i="1" s="1"/>
  <c r="N45" i="1"/>
  <c r="W45" i="1" s="1"/>
  <c r="N61" i="1"/>
  <c r="W61" i="1" s="1"/>
  <c r="N109" i="1"/>
  <c r="W109" i="1" s="1"/>
  <c r="N160" i="1"/>
  <c r="W160" i="1" s="1"/>
  <c r="N168" i="1"/>
  <c r="W168" i="1" s="1"/>
  <c r="N192" i="1"/>
  <c r="W192" i="1" s="1"/>
  <c r="N200" i="1"/>
  <c r="W200" i="1" s="1"/>
  <c r="N222" i="1"/>
  <c r="W222" i="1" s="1"/>
  <c r="N304" i="1"/>
  <c r="W304" i="1" s="1"/>
  <c r="N334" i="1"/>
  <c r="W334" i="1" s="1"/>
  <c r="N400" i="1"/>
  <c r="W400" i="1" s="1"/>
  <c r="N57" i="1"/>
  <c r="W57" i="1" s="1"/>
  <c r="N43" i="1"/>
  <c r="W43" i="1" s="1"/>
  <c r="N59" i="1"/>
  <c r="W59" i="1" s="1"/>
  <c r="N75" i="1"/>
  <c r="W75" i="1" s="1"/>
  <c r="N107" i="1"/>
  <c r="W107" i="1" s="1"/>
  <c r="N139" i="1"/>
  <c r="W139" i="1" s="1"/>
  <c r="N264" i="1"/>
  <c r="W264" i="1" s="1"/>
  <c r="N312" i="1"/>
  <c r="W312" i="1" s="1"/>
  <c r="N364" i="1"/>
  <c r="W364" i="1" s="1"/>
  <c r="N369" i="1"/>
  <c r="W369" i="1" s="1"/>
  <c r="N398" i="1"/>
  <c r="W398" i="1" s="1"/>
  <c r="N474" i="1"/>
  <c r="W474" i="1" s="1"/>
  <c r="N700" i="1"/>
  <c r="W700" i="1" s="1"/>
  <c r="N748" i="1"/>
  <c r="W748" i="1" s="1"/>
  <c r="N46" i="1"/>
  <c r="W46" i="1" s="1"/>
  <c r="N62" i="1"/>
  <c r="W62" i="1" s="1"/>
  <c r="N100" i="1"/>
  <c r="W100" i="1" s="1"/>
  <c r="N112" i="1"/>
  <c r="W112" i="1" s="1"/>
  <c r="N132" i="1"/>
  <c r="W132" i="1" s="1"/>
  <c r="N144" i="1"/>
  <c r="W144" i="1" s="1"/>
  <c r="N171" i="1"/>
  <c r="W171" i="1" s="1"/>
  <c r="N176" i="1"/>
  <c r="W176" i="1" s="1"/>
  <c r="N193" i="1"/>
  <c r="W193" i="1" s="1"/>
  <c r="N210" i="1"/>
  <c r="W210" i="1" s="1"/>
  <c r="N306" i="1"/>
  <c r="W306" i="1" s="1"/>
  <c r="N345" i="1"/>
  <c r="W345" i="1" s="1"/>
  <c r="N362" i="1"/>
  <c r="W362" i="1" s="1"/>
  <c r="N380" i="1"/>
  <c r="W380" i="1" s="1"/>
  <c r="N402" i="1"/>
  <c r="W402" i="1" s="1"/>
  <c r="N405" i="1"/>
  <c r="W405" i="1" s="1"/>
  <c r="N430" i="1"/>
  <c r="W430" i="1" s="1"/>
  <c r="N433" i="1"/>
  <c r="W433" i="1" s="1"/>
  <c r="N498" i="1"/>
  <c r="W498" i="1" s="1"/>
  <c r="N738" i="1"/>
  <c r="W738" i="1" s="1"/>
  <c r="N754" i="1"/>
  <c r="W754" i="1" s="1"/>
  <c r="N44" i="1"/>
  <c r="W44" i="1" s="1"/>
  <c r="N60" i="1"/>
  <c r="W60" i="1" s="1"/>
  <c r="N105" i="1"/>
  <c r="W105" i="1" s="1"/>
  <c r="N137" i="1"/>
  <c r="W137" i="1" s="1"/>
  <c r="N203" i="1"/>
  <c r="W203" i="1" s="1"/>
  <c r="N238" i="1"/>
  <c r="W238" i="1" s="1"/>
  <c r="N246" i="1"/>
  <c r="W246" i="1" s="1"/>
  <c r="N254" i="1"/>
  <c r="W254" i="1" s="1"/>
  <c r="N262" i="1"/>
  <c r="W262" i="1" s="1"/>
  <c r="N298" i="1"/>
  <c r="W298" i="1" s="1"/>
  <c r="N309" i="1"/>
  <c r="W309" i="1" s="1"/>
  <c r="N326" i="1"/>
  <c r="W326" i="1" s="1"/>
  <c r="N348" i="1"/>
  <c r="W348" i="1" s="1"/>
  <c r="N351" i="1"/>
  <c r="W351" i="1" s="1"/>
  <c r="N42" i="1"/>
  <c r="W42" i="1" s="1"/>
  <c r="N58" i="1"/>
  <c r="W58" i="1" s="1"/>
  <c r="N98" i="1"/>
  <c r="W98" i="1" s="1"/>
  <c r="N130" i="1"/>
  <c r="W130" i="1" s="1"/>
  <c r="N208" i="1"/>
  <c r="W208" i="1" s="1"/>
  <c r="N301" i="1"/>
  <c r="W301" i="1" s="1"/>
  <c r="N340" i="1"/>
  <c r="W340" i="1" s="1"/>
  <c r="N343" i="1"/>
  <c r="W343" i="1" s="1"/>
  <c r="N366" i="1"/>
  <c r="W366" i="1" s="1"/>
  <c r="N40" i="1"/>
  <c r="W40" i="1" s="1"/>
  <c r="N56" i="1"/>
  <c r="W56" i="1" s="1"/>
  <c r="N101" i="1"/>
  <c r="W101" i="1" s="1"/>
  <c r="N108" i="1"/>
  <c r="W108" i="1" s="1"/>
  <c r="N113" i="1"/>
  <c r="W113" i="1" s="1"/>
  <c r="N133" i="1"/>
  <c r="W133" i="1" s="1"/>
  <c r="N140" i="1"/>
  <c r="W140" i="1" s="1"/>
  <c r="N145" i="1"/>
  <c r="W145" i="1" s="1"/>
  <c r="N172" i="1"/>
  <c r="W172" i="1" s="1"/>
  <c r="N177" i="1"/>
  <c r="W177" i="1" s="1"/>
  <c r="N228" i="1"/>
  <c r="W228" i="1" s="1"/>
  <c r="N252" i="1"/>
  <c r="W252" i="1" s="1"/>
  <c r="N268" i="1"/>
  <c r="W268" i="1" s="1"/>
  <c r="N346" i="1"/>
  <c r="W346" i="1" s="1"/>
  <c r="N378" i="1"/>
  <c r="W378" i="1" s="1"/>
  <c r="N434" i="1"/>
  <c r="W434" i="1" s="1"/>
  <c r="N471" i="1"/>
  <c r="W471" i="1" s="1"/>
  <c r="N28" i="1"/>
  <c r="W28" i="1" s="1"/>
  <c r="N38" i="1"/>
  <c r="W38" i="1" s="1"/>
  <c r="N54" i="1"/>
  <c r="W54" i="1" s="1"/>
  <c r="N70" i="1"/>
  <c r="W70" i="1" s="1"/>
  <c r="N91" i="1"/>
  <c r="W91" i="1" s="1"/>
  <c r="N96" i="1"/>
  <c r="W96" i="1" s="1"/>
  <c r="N116" i="1"/>
  <c r="W116" i="1" s="1"/>
  <c r="N128" i="1"/>
  <c r="W128" i="1" s="1"/>
  <c r="N148" i="1"/>
  <c r="W148" i="1" s="1"/>
  <c r="N155" i="1"/>
  <c r="W155" i="1" s="1"/>
  <c r="N180" i="1"/>
  <c r="W180" i="1" s="1"/>
  <c r="N187" i="1"/>
  <c r="W187" i="1" s="1"/>
  <c r="N274" i="1"/>
  <c r="W274" i="1" s="1"/>
  <c r="N285" i="1"/>
  <c r="W285" i="1" s="1"/>
  <c r="N349" i="1"/>
  <c r="W349" i="1" s="1"/>
  <c r="N358" i="1"/>
  <c r="W358" i="1" s="1"/>
  <c r="N382" i="1"/>
  <c r="W382" i="1" s="1"/>
  <c r="N422" i="1"/>
  <c r="W422" i="1" s="1"/>
  <c r="N496" i="1"/>
  <c r="W496" i="1" s="1"/>
  <c r="N712" i="1"/>
  <c r="W712" i="1" s="1"/>
  <c r="N736" i="1"/>
  <c r="W736" i="1" s="1"/>
  <c r="N744" i="1"/>
  <c r="W744" i="1" s="1"/>
  <c r="N756" i="1"/>
  <c r="W756" i="1" s="1"/>
  <c r="N26" i="1"/>
  <c r="W26" i="1" s="1"/>
  <c r="N36" i="1"/>
  <c r="W36" i="1" s="1"/>
  <c r="N52" i="1"/>
  <c r="W52" i="1" s="1"/>
  <c r="N68" i="1"/>
  <c r="W68" i="1" s="1"/>
  <c r="N121" i="1"/>
  <c r="W121" i="1" s="1"/>
  <c r="N185" i="1"/>
  <c r="W185" i="1" s="1"/>
  <c r="N209" i="1"/>
  <c r="W209" i="1" s="1"/>
  <c r="N242" i="1"/>
  <c r="W242" i="1" s="1"/>
  <c r="N250" i="1"/>
  <c r="W250" i="1" s="1"/>
  <c r="N258" i="1"/>
  <c r="W258" i="1" s="1"/>
  <c r="N277" i="1"/>
  <c r="W277" i="1" s="1"/>
  <c r="N294" i="1"/>
  <c r="W294" i="1" s="1"/>
  <c r="N330" i="1"/>
  <c r="W330" i="1" s="1"/>
  <c r="N367" i="1"/>
  <c r="W367" i="1" s="1"/>
  <c r="N379" i="1"/>
  <c r="W379" i="1" s="1"/>
  <c r="N24" i="1"/>
  <c r="W24" i="1" s="1"/>
  <c r="N50" i="1"/>
  <c r="W50" i="1" s="1"/>
  <c r="N66" i="1"/>
  <c r="W66" i="1" s="1"/>
  <c r="N114" i="1"/>
  <c r="W114" i="1" s="1"/>
  <c r="N146" i="1"/>
  <c r="W146" i="1" s="1"/>
  <c r="N178" i="1"/>
  <c r="W178" i="1" s="1"/>
  <c r="N219" i="1"/>
  <c r="W219" i="1" s="1"/>
  <c r="N245" i="1"/>
  <c r="W245" i="1" s="1"/>
  <c r="N253" i="1"/>
  <c r="W253" i="1" s="1"/>
  <c r="N261" i="1"/>
  <c r="W261" i="1" s="1"/>
  <c r="N269" i="1"/>
  <c r="W269" i="1" s="1"/>
  <c r="N286" i="1"/>
  <c r="W286" i="1" s="1"/>
  <c r="N322" i="1"/>
  <c r="W322" i="1" s="1"/>
  <c r="N333" i="1"/>
  <c r="W333" i="1" s="1"/>
  <c r="N350" i="1"/>
  <c r="W350" i="1" s="1"/>
  <c r="N370" i="1"/>
  <c r="W370" i="1" s="1"/>
  <c r="N22" i="1"/>
  <c r="W22" i="1" s="1"/>
  <c r="N32" i="1"/>
  <c r="W32" i="1" s="1"/>
  <c r="N48" i="1"/>
  <c r="W48" i="1" s="1"/>
  <c r="N64" i="1"/>
  <c r="W64" i="1" s="1"/>
  <c r="N97" i="1"/>
  <c r="W97" i="1" s="1"/>
  <c r="N124" i="1"/>
  <c r="W124" i="1" s="1"/>
  <c r="N129" i="1"/>
  <c r="W129" i="1" s="1"/>
  <c r="N149" i="1"/>
  <c r="W149" i="1" s="1"/>
  <c r="N156" i="1"/>
  <c r="W156" i="1" s="1"/>
  <c r="N161" i="1"/>
  <c r="W161" i="1" s="1"/>
  <c r="N181" i="1"/>
  <c r="W181" i="1" s="1"/>
  <c r="N217" i="1"/>
  <c r="W217" i="1" s="1"/>
  <c r="N224" i="1"/>
  <c r="W224" i="1" s="1"/>
  <c r="N232" i="1"/>
  <c r="W232" i="1" s="1"/>
  <c r="N240" i="1"/>
  <c r="W240" i="1" s="1"/>
  <c r="N248" i="1"/>
  <c r="W248" i="1" s="1"/>
  <c r="N256" i="1"/>
  <c r="W256" i="1" s="1"/>
  <c r="N300" i="1"/>
  <c r="W300" i="1" s="1"/>
  <c r="N314" i="1"/>
  <c r="W314" i="1" s="1"/>
  <c r="N325" i="1"/>
  <c r="W325" i="1" s="1"/>
  <c r="N342" i="1"/>
  <c r="W342" i="1" s="1"/>
  <c r="N374" i="1"/>
  <c r="W374" i="1" s="1"/>
  <c r="N426" i="1"/>
  <c r="W426" i="1" s="1"/>
  <c r="N272" i="1"/>
  <c r="W272" i="1" s="1"/>
  <c r="N288" i="1"/>
  <c r="W288" i="1" s="1"/>
  <c r="N320" i="1"/>
  <c r="W320" i="1" s="1"/>
  <c r="N328" i="1"/>
  <c r="W328" i="1" s="1"/>
  <c r="N336" i="1"/>
  <c r="W336" i="1" s="1"/>
  <c r="N344" i="1"/>
  <c r="W344" i="1" s="1"/>
  <c r="N352" i="1"/>
  <c r="W352" i="1" s="1"/>
  <c r="N360" i="1"/>
  <c r="W360" i="1" s="1"/>
  <c r="N368" i="1"/>
  <c r="W368" i="1" s="1"/>
  <c r="N376" i="1"/>
  <c r="W376" i="1" s="1"/>
  <c r="N396" i="1"/>
  <c r="W396" i="1" s="1"/>
  <c r="N404" i="1"/>
  <c r="W404" i="1" s="1"/>
  <c r="N424" i="1"/>
  <c r="W424" i="1" s="1"/>
  <c r="N432" i="1"/>
  <c r="W432" i="1" s="1"/>
  <c r="N470" i="1"/>
  <c r="W470" i="1" s="1"/>
  <c r="N483" i="1"/>
  <c r="W483" i="1" s="1"/>
  <c r="N703" i="1"/>
  <c r="W703" i="1" s="1"/>
  <c r="N715" i="1"/>
  <c r="W715" i="1" s="1"/>
  <c r="N735" i="1"/>
  <c r="W735" i="1" s="1"/>
  <c r="N742" i="1"/>
  <c r="W742" i="1" s="1"/>
  <c r="N747" i="1"/>
  <c r="W747" i="1" s="1"/>
  <c r="N767" i="1"/>
  <c r="W767" i="1" s="1"/>
  <c r="N774" i="1"/>
  <c r="W774" i="1" s="1"/>
  <c r="N399" i="1"/>
  <c r="W399" i="1" s="1"/>
  <c r="N427" i="1"/>
  <c r="W427" i="1" s="1"/>
  <c r="N435" i="1"/>
  <c r="W435" i="1" s="1"/>
  <c r="N492" i="1"/>
  <c r="W492" i="1" s="1"/>
  <c r="N499" i="1"/>
  <c r="W499" i="1" s="1"/>
  <c r="N698" i="1"/>
  <c r="W698" i="1" s="1"/>
  <c r="N718" i="1"/>
  <c r="W718" i="1" s="1"/>
  <c r="N730" i="1"/>
  <c r="W730" i="1" s="1"/>
  <c r="N750" i="1"/>
  <c r="W750" i="1" s="1"/>
  <c r="N757" i="1"/>
  <c r="W757" i="1" s="1"/>
  <c r="N762" i="1"/>
  <c r="W762" i="1" s="1"/>
  <c r="N481" i="1"/>
  <c r="W481" i="1" s="1"/>
  <c r="N502" i="1"/>
  <c r="W502" i="1" s="1"/>
  <c r="N723" i="1"/>
  <c r="W723" i="1" s="1"/>
  <c r="N733" i="1"/>
  <c r="W733" i="1" s="1"/>
  <c r="N745" i="1"/>
  <c r="W745" i="1" s="1"/>
  <c r="N755" i="1"/>
  <c r="W755" i="1" s="1"/>
  <c r="N484" i="1"/>
  <c r="W484" i="1" s="1"/>
  <c r="N495" i="1"/>
  <c r="W495" i="1" s="1"/>
  <c r="N711" i="1"/>
  <c r="W711" i="1" s="1"/>
  <c r="N721" i="1"/>
  <c r="W721" i="1" s="1"/>
  <c r="N743" i="1"/>
  <c r="W743" i="1" s="1"/>
  <c r="N753" i="1"/>
  <c r="W753" i="1" s="1"/>
  <c r="N775" i="1"/>
  <c r="W775" i="1" s="1"/>
  <c r="N493" i="1"/>
  <c r="W493" i="1" s="1"/>
  <c r="N500" i="1"/>
  <c r="W500" i="1" s="1"/>
  <c r="N726" i="1"/>
  <c r="W726" i="1" s="1"/>
  <c r="N731" i="1"/>
  <c r="W731" i="1" s="1"/>
  <c r="N751" i="1"/>
  <c r="W751" i="1" s="1"/>
  <c r="N763" i="1"/>
  <c r="W763" i="1" s="1"/>
  <c r="N375" i="1"/>
  <c r="W375" i="1" s="1"/>
  <c r="N403" i="1"/>
  <c r="W403" i="1" s="1"/>
  <c r="N423" i="1"/>
  <c r="W423" i="1" s="1"/>
  <c r="N469" i="1"/>
  <c r="W469" i="1" s="1"/>
  <c r="N477" i="1"/>
  <c r="W477" i="1" s="1"/>
  <c r="N702" i="1"/>
  <c r="W702" i="1" s="1"/>
  <c r="N709" i="1"/>
  <c r="W709" i="1" s="1"/>
  <c r="N714" i="1"/>
  <c r="W714" i="1" s="1"/>
  <c r="N741" i="1"/>
  <c r="W741" i="1" s="1"/>
  <c r="N766" i="1"/>
  <c r="W766" i="1" s="1"/>
  <c r="N773" i="1"/>
  <c r="W773" i="1" s="1"/>
  <c r="N472" i="1"/>
  <c r="W472" i="1" s="1"/>
  <c r="N717" i="1"/>
  <c r="W717" i="1" s="1"/>
  <c r="N729" i="1"/>
  <c r="W729" i="1" s="1"/>
  <c r="N739" i="1"/>
  <c r="W739" i="1" s="1"/>
  <c r="N749" i="1"/>
  <c r="W749" i="1" s="1"/>
  <c r="N761" i="1"/>
  <c r="W761" i="1" s="1"/>
  <c r="N771" i="1"/>
  <c r="W771" i="1" s="1"/>
  <c r="N357" i="1"/>
  <c r="W357" i="1" s="1"/>
  <c r="N373" i="1"/>
  <c r="W373" i="1" s="1"/>
  <c r="N381" i="1"/>
  <c r="W381" i="1" s="1"/>
  <c r="N421" i="1"/>
  <c r="W421" i="1" s="1"/>
  <c r="N429" i="1"/>
  <c r="W429" i="1" s="1"/>
  <c r="N475" i="1"/>
  <c r="W475" i="1" s="1"/>
  <c r="N501" i="1"/>
  <c r="W501" i="1" s="1"/>
  <c r="N705" i="1"/>
  <c r="W705" i="1" s="1"/>
  <c r="N727" i="1"/>
  <c r="W727" i="1" s="1"/>
  <c r="N732" i="1"/>
  <c r="W732" i="1" s="1"/>
  <c r="N759" i="1"/>
  <c r="W759" i="1" s="1"/>
  <c r="N769" i="1"/>
  <c r="W769" i="1" s="1"/>
  <c r="N87" i="1"/>
  <c r="W87" i="1" s="1"/>
  <c r="N103" i="1"/>
  <c r="W103" i="1" s="1"/>
  <c r="N119" i="1"/>
  <c r="W119" i="1" s="1"/>
  <c r="N151" i="1"/>
  <c r="W151" i="1" s="1"/>
  <c r="N167" i="1"/>
  <c r="W167" i="1" s="1"/>
  <c r="N183" i="1"/>
  <c r="W183" i="1" s="1"/>
  <c r="N199" i="1"/>
  <c r="W199" i="1" s="1"/>
  <c r="N215" i="1"/>
  <c r="W215" i="1" s="1"/>
  <c r="N227" i="1"/>
  <c r="W227" i="1" s="1"/>
  <c r="N243" i="1"/>
  <c r="W243" i="1" s="1"/>
  <c r="N251" i="1"/>
  <c r="W251" i="1" s="1"/>
  <c r="N259" i="1"/>
  <c r="W259" i="1" s="1"/>
  <c r="N267" i="1"/>
  <c r="W267" i="1" s="1"/>
  <c r="N291" i="1"/>
  <c r="W291" i="1" s="1"/>
  <c r="N307" i="1"/>
  <c r="W307" i="1" s="1"/>
  <c r="N315" i="1"/>
  <c r="W315" i="1" s="1"/>
  <c r="N331" i="1"/>
  <c r="W331" i="1" s="1"/>
  <c r="N339" i="1"/>
  <c r="W339" i="1" s="1"/>
  <c r="N355" i="1"/>
  <c r="W355" i="1" s="1"/>
  <c r="N363" i="1"/>
  <c r="W363" i="1" s="1"/>
  <c r="N213" i="1"/>
  <c r="W213" i="1" s="1"/>
  <c r="N99" i="1"/>
  <c r="W99" i="1" s="1"/>
  <c r="N115" i="1"/>
  <c r="W115" i="1" s="1"/>
  <c r="N131" i="1"/>
  <c r="W131" i="1" s="1"/>
  <c r="N147" i="1"/>
  <c r="W147" i="1" s="1"/>
  <c r="N163" i="1"/>
  <c r="W163" i="1" s="1"/>
  <c r="N179" i="1"/>
  <c r="W179" i="1" s="1"/>
  <c r="N195" i="1"/>
  <c r="W195" i="1" s="1"/>
  <c r="N211" i="1"/>
  <c r="W211" i="1" s="1"/>
  <c r="N225" i="1"/>
  <c r="W225" i="1" s="1"/>
  <c r="N249" i="1"/>
  <c r="W249" i="1" s="1"/>
  <c r="N257" i="1"/>
  <c r="W257" i="1" s="1"/>
  <c r="N273" i="1"/>
  <c r="W273" i="1" s="1"/>
  <c r="N289" i="1"/>
  <c r="W289" i="1" s="1"/>
  <c r="N297" i="1"/>
  <c r="W297" i="1" s="1"/>
  <c r="N313" i="1"/>
  <c r="W313" i="1" s="1"/>
  <c r="N321" i="1"/>
  <c r="W321" i="1" s="1"/>
  <c r="N337" i="1"/>
  <c r="W337" i="1" s="1"/>
  <c r="N361" i="1"/>
  <c r="W361" i="1" s="1"/>
  <c r="N95" i="1"/>
  <c r="W95" i="1" s="1"/>
  <c r="N111" i="1"/>
  <c r="W111" i="1" s="1"/>
  <c r="N127" i="1"/>
  <c r="W127" i="1" s="1"/>
  <c r="N143" i="1"/>
  <c r="W143" i="1" s="1"/>
  <c r="N159" i="1"/>
  <c r="W159" i="1" s="1"/>
  <c r="N175" i="1"/>
  <c r="W175" i="1" s="1"/>
  <c r="N191" i="1"/>
  <c r="W191" i="1" s="1"/>
  <c r="N207" i="1"/>
  <c r="W207" i="1" s="1"/>
  <c r="N223" i="1"/>
  <c r="W223" i="1" s="1"/>
  <c r="N239" i="1"/>
  <c r="W239" i="1" s="1"/>
  <c r="N247" i="1"/>
  <c r="W247" i="1" s="1"/>
  <c r="N255" i="1"/>
  <c r="W255" i="1" s="1"/>
  <c r="N263" i="1"/>
  <c r="W263" i="1" s="1"/>
  <c r="N279" i="1"/>
  <c r="W279" i="1" s="1"/>
  <c r="N295" i="1"/>
  <c r="W295" i="1" s="1"/>
  <c r="N303" i="1"/>
  <c r="W303" i="1" s="1"/>
  <c r="N319" i="1"/>
  <c r="W319" i="1" s="1"/>
  <c r="N327" i="1"/>
  <c r="W327" i="1" s="1"/>
  <c r="N93" i="1"/>
  <c r="W93" i="1" s="1"/>
  <c r="N125" i="1"/>
  <c r="W125" i="1" s="1"/>
  <c r="N141" i="1"/>
  <c r="W141" i="1" s="1"/>
  <c r="N157" i="1"/>
  <c r="W157" i="1" s="1"/>
  <c r="N173" i="1"/>
  <c r="W173" i="1" s="1"/>
  <c r="N205" i="1"/>
  <c r="W205" i="1" s="1"/>
  <c r="N221" i="1"/>
  <c r="W221" i="1" s="1"/>
  <c r="N20" i="1"/>
  <c r="S274" i="19"/>
  <c r="S273" i="19"/>
  <c r="S272" i="19"/>
  <c r="M293" i="19"/>
  <c r="N293" i="19" s="1"/>
  <c r="M299" i="19"/>
  <c r="N299" i="19" s="1"/>
  <c r="M270" i="19"/>
  <c r="N270" i="19" s="1"/>
  <c r="M281" i="19"/>
  <c r="N281" i="19" s="1"/>
  <c r="M305" i="19"/>
  <c r="N305" i="19" s="1"/>
  <c r="M377" i="19"/>
  <c r="N377" i="19" s="1"/>
  <c r="M431" i="19"/>
  <c r="N431" i="19" s="1"/>
  <c r="M287" i="19"/>
  <c r="N287" i="19" s="1"/>
  <c r="M437" i="19"/>
  <c r="N437" i="19" s="1"/>
  <c r="M231" i="19"/>
  <c r="N231" i="19" s="1"/>
  <c r="M235" i="19"/>
  <c r="N235" i="19" s="1"/>
  <c r="P541" i="19"/>
  <c r="M697" i="19"/>
  <c r="N697" i="19" s="1"/>
  <c r="M701" i="19"/>
  <c r="N701" i="19" s="1"/>
  <c r="M485" i="19"/>
  <c r="N485" i="19" s="1"/>
  <c r="Y221" i="32" l="1"/>
  <c r="Y769" i="32"/>
  <c r="Y492" i="32"/>
  <c r="Y261" i="32"/>
  <c r="Y28" i="32"/>
  <c r="Y474" i="32"/>
  <c r="Y316" i="32"/>
  <c r="Y169" i="32"/>
  <c r="Y2350" i="32"/>
  <c r="Y1501" i="32"/>
  <c r="Y1209" i="32"/>
  <c r="Y985" i="32"/>
  <c r="Y2453" i="32"/>
  <c r="Y2216" i="32"/>
  <c r="Y2025" i="32"/>
  <c r="Y1801" i="32"/>
  <c r="Y2205" i="32"/>
  <c r="Y1904" i="32"/>
  <c r="Y671" i="32"/>
  <c r="Y1352" i="32"/>
  <c r="Y2474" i="32"/>
  <c r="Y1862" i="32"/>
  <c r="Y1527" i="32"/>
  <c r="Y1238" i="32"/>
  <c r="Y1077" i="32"/>
  <c r="Y868" i="32"/>
  <c r="Y2125" i="32"/>
  <c r="Y1829" i="32"/>
  <c r="Y1561" i="32"/>
  <c r="Y1365" i="32"/>
  <c r="Y514" i="32"/>
  <c r="Y1876" i="32"/>
  <c r="Y803" i="32"/>
  <c r="Y1891" i="32"/>
  <c r="Y829" i="32"/>
  <c r="Y205" i="32"/>
  <c r="Y303" i="32"/>
  <c r="Y207" i="32"/>
  <c r="Y361" i="32"/>
  <c r="Y249" i="32"/>
  <c r="Y115" i="32"/>
  <c r="Y307" i="32"/>
  <c r="Y199" i="32"/>
  <c r="Y759" i="32"/>
  <c r="Y381" i="32"/>
  <c r="Y717" i="32"/>
  <c r="Y477" i="32"/>
  <c r="Y726" i="32"/>
  <c r="Y495" i="32"/>
  <c r="Y762" i="32"/>
  <c r="Y435" i="32"/>
  <c r="Y715" i="32"/>
  <c r="Y376" i="32"/>
  <c r="Y288" i="32"/>
  <c r="Y256" i="32"/>
  <c r="Y156" i="32"/>
  <c r="Y22" i="32"/>
  <c r="Y253" i="32"/>
  <c r="Y24" i="32"/>
  <c r="Y242" i="32"/>
  <c r="Y756" i="32"/>
  <c r="Y349" i="32"/>
  <c r="Y471" i="32"/>
  <c r="Y172" i="32"/>
  <c r="Y40" i="32"/>
  <c r="Y58" i="32"/>
  <c r="Y254" i="32"/>
  <c r="Y754" i="32"/>
  <c r="Y362" i="32"/>
  <c r="Y132" i="32"/>
  <c r="Y398" i="32"/>
  <c r="Y59" i="32"/>
  <c r="Y192" i="32"/>
  <c r="Y720" i="32"/>
  <c r="Y197" i="32"/>
  <c r="Y104" i="32"/>
  <c r="Y283" i="32"/>
  <c r="Y65" i="32"/>
  <c r="Y428" i="32"/>
  <c r="Y51" i="32"/>
  <c r="Y188" i="32"/>
  <c r="Y696" i="32"/>
  <c r="Y71" i="32"/>
  <c r="Y134" i="32"/>
  <c r="Y292" i="32"/>
  <c r="Y122" i="32"/>
  <c r="Y2460" i="32"/>
  <c r="Y2242" i="32"/>
  <c r="Y2114" i="32"/>
  <c r="Y2470" i="32"/>
  <c r="Y2438" i="32"/>
  <c r="Y2370" i="32"/>
  <c r="Y2313" i="32"/>
  <c r="Y2253" i="32"/>
  <c r="Y2211" i="32"/>
  <c r="Y2170" i="32"/>
  <c r="Y2130" i="32"/>
  <c r="Y2042" i="32"/>
  <c r="Y2010" i="32"/>
  <c r="Y1978" i="32"/>
  <c r="Y1946" i="32"/>
  <c r="Y1914" i="32"/>
  <c r="Y1882" i="32"/>
  <c r="Y1850" i="32"/>
  <c r="Y1818" i="32"/>
  <c r="Y1786" i="32"/>
  <c r="Y1754" i="32"/>
  <c r="Y1722" i="32"/>
  <c r="Y693" i="32"/>
  <c r="Y666" i="32"/>
  <c r="Y1673" i="32"/>
  <c r="Y1641" i="32"/>
  <c r="Y1557" i="32"/>
  <c r="Y1522" i="32"/>
  <c r="Y1432" i="32"/>
  <c r="Y1400" i="32"/>
  <c r="Y1368" i="32"/>
  <c r="Y1333" i="32"/>
  <c r="Y1240" i="32"/>
  <c r="Y1014" i="32"/>
  <c r="Y917" i="32"/>
  <c r="Y870" i="32"/>
  <c r="Y621" i="32"/>
  <c r="Y1571" i="32"/>
  <c r="Y1543" i="32"/>
  <c r="Y1470" i="32"/>
  <c r="Y1438" i="32"/>
  <c r="Y1122" i="32"/>
  <c r="Y1058" i="32"/>
  <c r="Y1020" i="32"/>
  <c r="Y990" i="32"/>
  <c r="Y961" i="32"/>
  <c r="Y885" i="32"/>
  <c r="Y628" i="32"/>
  <c r="Y573" i="32"/>
  <c r="Y2268" i="32"/>
  <c r="Y1695" i="32"/>
  <c r="Y1663" i="32"/>
  <c r="Y1632" i="32"/>
  <c r="Y892" i="32"/>
  <c r="Y540" i="32"/>
  <c r="Y508" i="32"/>
  <c r="Y907" i="32"/>
  <c r="Y798" i="32"/>
  <c r="Y625" i="32"/>
  <c r="Y578" i="32"/>
  <c r="Y2472" i="32"/>
  <c r="Y2416" i="32"/>
  <c r="Y2235" i="32"/>
  <c r="Y2207" i="32"/>
  <c r="Y2172" i="32"/>
  <c r="Y2108" i="32"/>
  <c r="Y2076" i="32"/>
  <c r="Y2044" i="32"/>
  <c r="Y2012" i="32"/>
  <c r="Y1980" i="32"/>
  <c r="Y1660" i="32"/>
  <c r="Y1629" i="32"/>
  <c r="Y1582" i="32"/>
  <c r="Y1546" i="32"/>
  <c r="Y1460" i="32"/>
  <c r="Y1428" i="32"/>
  <c r="Y1396" i="32"/>
  <c r="Y1364" i="32"/>
  <c r="Y972" i="32"/>
  <c r="Y939" i="32"/>
  <c r="Y796" i="32"/>
  <c r="Y561" i="32"/>
  <c r="Y529" i="32"/>
  <c r="Y673" i="32"/>
  <c r="Y647" i="32"/>
  <c r="Y560" i="32"/>
  <c r="Y528" i="32"/>
  <c r="T443" i="32"/>
  <c r="Y319" i="32"/>
  <c r="Y215" i="32"/>
  <c r="Y481" i="32"/>
  <c r="Y32" i="32"/>
  <c r="Y128" i="32"/>
  <c r="Y380" i="32"/>
  <c r="Y212" i="32"/>
  <c r="Y138" i="32"/>
  <c r="Y2122" i="32"/>
  <c r="Y1587" i="32"/>
  <c r="Y956" i="32"/>
  <c r="Y2248" i="32"/>
  <c r="Y2057" i="32"/>
  <c r="Y1865" i="32"/>
  <c r="Y1872" i="32"/>
  <c r="Y541" i="32"/>
  <c r="Y1168" i="32"/>
  <c r="Y2410" i="32"/>
  <c r="Y1562" i="32"/>
  <c r="Y1270" i="32"/>
  <c r="Y1049" i="32"/>
  <c r="Y915" i="32"/>
  <c r="Y1989" i="32"/>
  <c r="Y1645" i="32"/>
  <c r="Y1140" i="32"/>
  <c r="Y1708" i="32"/>
  <c r="Y609" i="32"/>
  <c r="Y2051" i="32"/>
  <c r="Y1731" i="32"/>
  <c r="T449" i="32"/>
  <c r="Y173" i="32"/>
  <c r="Y295" i="32"/>
  <c r="Y191" i="32"/>
  <c r="Y337" i="32"/>
  <c r="Y225" i="32"/>
  <c r="Y99" i="32"/>
  <c r="Y291" i="32"/>
  <c r="Y183" i="32"/>
  <c r="Y732" i="32"/>
  <c r="Y373" i="32"/>
  <c r="Y472" i="32"/>
  <c r="Y469" i="32"/>
  <c r="Y500" i="32"/>
  <c r="Y484" i="32"/>
  <c r="Y757" i="32"/>
  <c r="Y427" i="32"/>
  <c r="Y703" i="32"/>
  <c r="Y368" i="32"/>
  <c r="Y272" i="32"/>
  <c r="Y248" i="32"/>
  <c r="Y149" i="32"/>
  <c r="Y370" i="32"/>
  <c r="Y245" i="32"/>
  <c r="Y379" i="32"/>
  <c r="Y209" i="32"/>
  <c r="Y744" i="32"/>
  <c r="Y285" i="32"/>
  <c r="Y116" i="32"/>
  <c r="Y434" i="32"/>
  <c r="Y145" i="32"/>
  <c r="Y366" i="32"/>
  <c r="Y42" i="32"/>
  <c r="Y246" i="32"/>
  <c r="Y738" i="32"/>
  <c r="Y345" i="32"/>
  <c r="Y112" i="32"/>
  <c r="Y369" i="32"/>
  <c r="Y43" i="32"/>
  <c r="Y476" i="32"/>
  <c r="Y165" i="32"/>
  <c r="Y84" i="32"/>
  <c r="Y244" i="32"/>
  <c r="Y49" i="32"/>
  <c r="Y338" i="32"/>
  <c r="Y25" i="32"/>
  <c r="Y164" i="32"/>
  <c r="Y482" i="32"/>
  <c r="Y55" i="32"/>
  <c r="Y126" i="32"/>
  <c r="Y220" i="32"/>
  <c r="Y154" i="32"/>
  <c r="Y152" i="32"/>
  <c r="Y2448" i="32"/>
  <c r="Y2328" i="32"/>
  <c r="Y2238" i="32"/>
  <c r="Y202" i="32"/>
  <c r="Y1658" i="32"/>
  <c r="Y1627" i="32"/>
  <c r="Y1580" i="32"/>
  <c r="Y1551" i="32"/>
  <c r="Y1523" i="32"/>
  <c r="Y1493" i="32"/>
  <c r="Y1395" i="32"/>
  <c r="Y1299" i="32"/>
  <c r="Y1267" i="32"/>
  <c r="Y2485" i="32"/>
  <c r="Y2445" i="32"/>
  <c r="Y2347" i="32"/>
  <c r="Y2145" i="32"/>
  <c r="Y2017" i="32"/>
  <c r="Y1793" i="32"/>
  <c r="Y816" i="32"/>
  <c r="Y678" i="32"/>
  <c r="Y558" i="32"/>
  <c r="Y526" i="32"/>
  <c r="Y2331" i="32"/>
  <c r="Y2263" i="32"/>
  <c r="Y2231" i="32"/>
  <c r="Y2134" i="32"/>
  <c r="Y2104" i="32"/>
  <c r="Y2072" i="32"/>
  <c r="Y2040" i="32"/>
  <c r="Y2008" i="32"/>
  <c r="Y1976" i="32"/>
  <c r="Y1928" i="32"/>
  <c r="Y1896" i="32"/>
  <c r="Y1864" i="32"/>
  <c r="Y1824" i="32"/>
  <c r="Y1599" i="32"/>
  <c r="Y838" i="32"/>
  <c r="Y533" i="32"/>
  <c r="Y1542" i="32"/>
  <c r="Y1506" i="32"/>
  <c r="Y1469" i="32"/>
  <c r="Y1437" i="32"/>
  <c r="Y1405" i="32"/>
  <c r="Y1373" i="32"/>
  <c r="Y1344" i="32"/>
  <c r="Y1316" i="32"/>
  <c r="Y1290" i="32"/>
  <c r="Y1226" i="32"/>
  <c r="Y1092" i="32"/>
  <c r="Y1064" i="32"/>
  <c r="Y1035" i="32"/>
  <c r="Y997" i="32"/>
  <c r="Y967" i="32"/>
  <c r="Y935" i="32"/>
  <c r="Y884" i="32"/>
  <c r="Y2434" i="32"/>
  <c r="Y2404" i="32"/>
  <c r="Y2341" i="32"/>
  <c r="Y2245" i="32"/>
  <c r="Y2138" i="32"/>
  <c r="Y2110" i="32"/>
  <c r="Y2078" i="32"/>
  <c r="Y2046" i="32"/>
  <c r="Y2014" i="32"/>
  <c r="Y1982" i="32"/>
  <c r="Y1950" i="32"/>
  <c r="Y1918" i="32"/>
  <c r="Y1886" i="32"/>
  <c r="Y1854" i="32"/>
  <c r="Y1822" i="32"/>
  <c r="Y1790" i="32"/>
  <c r="Y1726" i="32"/>
  <c r="Y1597" i="32"/>
  <c r="Y1449" i="32"/>
  <c r="Y1417" i="32"/>
  <c r="Y1385" i="32"/>
  <c r="Y1358" i="32"/>
  <c r="Y1322" i="32"/>
  <c r="Y1134" i="32"/>
  <c r="Y1106" i="32"/>
  <c r="Y1042" i="32"/>
  <c r="Y1011" i="32"/>
  <c r="Y974" i="32"/>
  <c r="Y940" i="32"/>
  <c r="Y899" i="32"/>
  <c r="Y2465" i="32"/>
  <c r="Y2433" i="32"/>
  <c r="Y2403" i="32"/>
  <c r="Y2340" i="32"/>
  <c r="Y2244" i="32"/>
  <c r="Y2214" i="32"/>
  <c r="Y2147" i="32"/>
  <c r="Y2117" i="32"/>
  <c r="Y2077" i="32"/>
  <c r="Y2045" i="32"/>
  <c r="Y2013" i="32"/>
  <c r="Y1981" i="32"/>
  <c r="Y1949" i="32"/>
  <c r="Y1917" i="32"/>
  <c r="Y1853" i="32"/>
  <c r="Y1821" i="32"/>
  <c r="Y1757" i="32"/>
  <c r="Y1725" i="32"/>
  <c r="Y1637" i="32"/>
  <c r="Y1489" i="32"/>
  <c r="Y1423" i="32"/>
  <c r="Y1391" i="32"/>
  <c r="Y1295" i="32"/>
  <c r="Y1199" i="32"/>
  <c r="Y1133" i="32"/>
  <c r="Y1069" i="32"/>
  <c r="Y1041" i="32"/>
  <c r="Y1010" i="32"/>
  <c r="Y914" i="32"/>
  <c r="Y855" i="32"/>
  <c r="Y506" i="32"/>
  <c r="Y1932" i="32"/>
  <c r="Y1900" i="32"/>
  <c r="Y1868" i="32"/>
  <c r="Y1836" i="32"/>
  <c r="Y1804" i="32"/>
  <c r="Y1772" i="32"/>
  <c r="Y1740" i="32"/>
  <c r="Y640" i="32"/>
  <c r="Y601" i="32"/>
  <c r="Y2375" i="32"/>
  <c r="Y2171" i="32"/>
  <c r="Y1819" i="32"/>
  <c r="Y1755" i="32"/>
  <c r="Y912" i="32"/>
  <c r="Y865" i="32"/>
  <c r="Y95" i="32"/>
  <c r="Y702" i="32"/>
  <c r="Y396" i="32"/>
  <c r="Y26" i="32"/>
  <c r="Y44" i="32"/>
  <c r="Y81" i="32"/>
  <c r="Y1081" i="32"/>
  <c r="Y2121" i="32"/>
  <c r="Y1929" i="32"/>
  <c r="Y839" i="32"/>
  <c r="Y2420" i="32"/>
  <c r="Y1618" i="32"/>
  <c r="Y792" i="32"/>
  <c r="Y1232" i="32"/>
  <c r="Y2221" i="32"/>
  <c r="Y1654" i="32"/>
  <c r="Y1113" i="32"/>
  <c r="Y669" i="32"/>
  <c r="Y2053" i="32"/>
  <c r="Y1765" i="32"/>
  <c r="Y1336" i="32"/>
  <c r="Y1112" i="32"/>
  <c r="Y920" i="32"/>
  <c r="Y2212" i="32"/>
  <c r="Y1987" i="32"/>
  <c r="Y1795" i="32"/>
  <c r="Y157" i="32"/>
  <c r="Y175" i="32"/>
  <c r="Y211" i="32"/>
  <c r="Y167" i="32"/>
  <c r="Y357" i="32"/>
  <c r="Y423" i="32"/>
  <c r="Y755" i="32"/>
  <c r="Y399" i="32"/>
  <c r="Y483" i="32"/>
  <c r="Y360" i="32"/>
  <c r="Y426" i="32"/>
  <c r="Y240" i="32"/>
  <c r="Y129" i="32"/>
  <c r="Y350" i="32"/>
  <c r="Y219" i="32"/>
  <c r="Y367" i="32"/>
  <c r="Y185" i="32"/>
  <c r="Y736" i="32"/>
  <c r="Y274" i="32"/>
  <c r="Y96" i="32"/>
  <c r="Y378" i="32"/>
  <c r="Y140" i="32"/>
  <c r="Y343" i="32"/>
  <c r="Y351" i="32"/>
  <c r="Y238" i="32"/>
  <c r="Y498" i="32"/>
  <c r="Y306" i="32"/>
  <c r="Y100" i="32"/>
  <c r="Y364" i="32"/>
  <c r="Y57" i="32"/>
  <c r="Y168" i="32"/>
  <c r="Y436" i="32"/>
  <c r="Y79" i="32"/>
  <c r="Y80" i="32"/>
  <c r="Y214" i="32"/>
  <c r="Y33" i="32"/>
  <c r="Y308" i="32"/>
  <c r="Y480" i="32"/>
  <c r="Y85" i="32"/>
  <c r="Y372" i="32"/>
  <c r="Y39" i="32"/>
  <c r="Y106" i="32"/>
  <c r="Y198" i="32"/>
  <c r="Y150" i="32"/>
  <c r="Y142" i="32"/>
  <c r="Y2310" i="32"/>
  <c r="Y2462" i="32"/>
  <c r="Y2430" i="32"/>
  <c r="Y2275" i="32"/>
  <c r="Y2241" i="32"/>
  <c r="Y2201" i="32"/>
  <c r="Y2106" i="32"/>
  <c r="Y2034" i="32"/>
  <c r="Y2002" i="32"/>
  <c r="Y1970" i="32"/>
  <c r="Y1938" i="32"/>
  <c r="Y1906" i="32"/>
  <c r="Y1874" i="32"/>
  <c r="Y1842" i="32"/>
  <c r="Y1810" i="32"/>
  <c r="Y1778" i="32"/>
  <c r="Y1746" i="32"/>
  <c r="Y1706" i="32"/>
  <c r="Y1613" i="32"/>
  <c r="Y911" i="32"/>
  <c r="Y852" i="32"/>
  <c r="Y654" i="32"/>
  <c r="Y567" i="32"/>
  <c r="Y535" i="32"/>
  <c r="Y2477" i="32"/>
  <c r="Y1665" i="32"/>
  <c r="Y1634" i="32"/>
  <c r="Y1234" i="32"/>
  <c r="Y1202" i="32"/>
  <c r="Y1170" i="32"/>
  <c r="Y1137" i="32"/>
  <c r="Y1101" i="32"/>
  <c r="Y1073" i="32"/>
  <c r="Y902" i="32"/>
  <c r="Y864" i="32"/>
  <c r="Y801" i="32"/>
  <c r="Y606" i="32"/>
  <c r="Y1672" i="32"/>
  <c r="Y1592" i="32"/>
  <c r="Y1564" i="32"/>
  <c r="Y1457" i="32"/>
  <c r="Y1360" i="32"/>
  <c r="Y1332" i="32"/>
  <c r="Y1297" i="32"/>
  <c r="Y1265" i="32"/>
  <c r="Y1233" i="32"/>
  <c r="Y1201" i="32"/>
  <c r="Y1169" i="32"/>
  <c r="Y1143" i="32"/>
  <c r="Y1115" i="32"/>
  <c r="Y1079" i="32"/>
  <c r="Y1051" i="32"/>
  <c r="Y1013" i="32"/>
  <c r="Y983" i="32"/>
  <c r="Y955" i="32"/>
  <c r="Y923" i="32"/>
  <c r="Y833" i="32"/>
  <c r="Y2183" i="32"/>
  <c r="Y791" i="32"/>
  <c r="Y1718" i="32"/>
  <c r="Y849" i="32"/>
  <c r="Y603" i="32"/>
  <c r="Y555" i="32"/>
  <c r="Y523" i="32"/>
  <c r="Y906" i="32"/>
  <c r="Y2360" i="32"/>
  <c r="Y2323" i="32"/>
  <c r="Y2198" i="32"/>
  <c r="Y2136" i="32"/>
  <c r="Y1615" i="32"/>
  <c r="Y1539" i="32"/>
  <c r="Y1320" i="32"/>
  <c r="Y1198" i="32"/>
  <c r="Y932" i="32"/>
  <c r="Y854" i="32"/>
  <c r="Y680" i="32"/>
  <c r="Y632" i="32"/>
  <c r="Y1524" i="32"/>
  <c r="Y1229" i="32"/>
  <c r="Y802" i="32"/>
  <c r="Y552" i="32"/>
  <c r="Y520" i="32"/>
  <c r="Y92" i="32"/>
  <c r="T824" i="32"/>
  <c r="Y131" i="32"/>
  <c r="Y731" i="32"/>
  <c r="Y320" i="32"/>
  <c r="Y250" i="32"/>
  <c r="Y177" i="32"/>
  <c r="Y144" i="32"/>
  <c r="Y768" i="32"/>
  <c r="Y67" i="32"/>
  <c r="Y332" i="32"/>
  <c r="Y1558" i="32"/>
  <c r="Y924" i="32"/>
  <c r="Y2421" i="32"/>
  <c r="Y2155" i="32"/>
  <c r="Y1961" i="32"/>
  <c r="Y1769" i="32"/>
  <c r="Y2303" i="32"/>
  <c r="Y1936" i="32"/>
  <c r="Y1323" i="32"/>
  <c r="Y2251" i="32"/>
  <c r="Y1206" i="32"/>
  <c r="Y1019" i="32"/>
  <c r="Y571" i="32"/>
  <c r="Y2316" i="32"/>
  <c r="Y1733" i="32"/>
  <c r="Y1237" i="32"/>
  <c r="Y980" i="32"/>
  <c r="Y789" i="32"/>
  <c r="Y1908" i="32"/>
  <c r="Y2487" i="32"/>
  <c r="Y2019" i="32"/>
  <c r="Y1859" i="32"/>
  <c r="Y279" i="32"/>
  <c r="Y321" i="32"/>
  <c r="Y213" i="32"/>
  <c r="Y267" i="32"/>
  <c r="Y727" i="32"/>
  <c r="Y773" i="32"/>
  <c r="Y493" i="32"/>
  <c r="Y750" i="32"/>
  <c r="Y141" i="32"/>
  <c r="Y263" i="32"/>
  <c r="Y159" i="32"/>
  <c r="Y313" i="32"/>
  <c r="Y195" i="32"/>
  <c r="Y363" i="32"/>
  <c r="Y259" i="32"/>
  <c r="Y151" i="32"/>
  <c r="Y705" i="32"/>
  <c r="Y771" i="32"/>
  <c r="Y766" i="32"/>
  <c r="Y403" i="32"/>
  <c r="Y775" i="32"/>
  <c r="Y745" i="32"/>
  <c r="Y730" i="32"/>
  <c r="Y774" i="32"/>
  <c r="Y470" i="32"/>
  <c r="Y352" i="32"/>
  <c r="Y374" i="32"/>
  <c r="Y232" i="32"/>
  <c r="Y124" i="32"/>
  <c r="Y333" i="32"/>
  <c r="Y178" i="32"/>
  <c r="Y330" i="32"/>
  <c r="Y121" i="32"/>
  <c r="Y712" i="32"/>
  <c r="Y187" i="32"/>
  <c r="Y91" i="32"/>
  <c r="Y346" i="32"/>
  <c r="Y133" i="32"/>
  <c r="Y340" i="32"/>
  <c r="Y348" i="32"/>
  <c r="Y203" i="32"/>
  <c r="Y433" i="32"/>
  <c r="Y210" i="32"/>
  <c r="Y62" i="32"/>
  <c r="Y312" i="32"/>
  <c r="Y400" i="32"/>
  <c r="Y160" i="32"/>
  <c r="Y354" i="32"/>
  <c r="Y63" i="32"/>
  <c r="Y76" i="32"/>
  <c r="Y194" i="32"/>
  <c r="Y23" i="32"/>
  <c r="Y280" i="32"/>
  <c r="Y406" i="32"/>
  <c r="Y69" i="32"/>
  <c r="Y310" i="32"/>
  <c r="Y29" i="32"/>
  <c r="Y102" i="32"/>
  <c r="Y182" i="32"/>
  <c r="Y110" i="32"/>
  <c r="Y120" i="32"/>
  <c r="Y2432" i="32"/>
  <c r="Y2218" i="32"/>
  <c r="Y881" i="32"/>
  <c r="Y1650" i="32"/>
  <c r="Y1607" i="32"/>
  <c r="Y1452" i="32"/>
  <c r="Y1388" i="32"/>
  <c r="Y1355" i="32"/>
  <c r="Y1326" i="32"/>
  <c r="Y1260" i="32"/>
  <c r="Y1164" i="32"/>
  <c r="Y1131" i="32"/>
  <c r="Y846" i="32"/>
  <c r="Y2369" i="32"/>
  <c r="Y2232" i="32"/>
  <c r="Y2169" i="32"/>
  <c r="Y2139" i="32"/>
  <c r="Y1785" i="32"/>
  <c r="Y1705" i="32"/>
  <c r="Y894" i="32"/>
  <c r="Y793" i="32"/>
  <c r="Y665" i="32"/>
  <c r="Y2358" i="32"/>
  <c r="Y2257" i="32"/>
  <c r="Y2032" i="32"/>
  <c r="Y2000" i="32"/>
  <c r="Y1952" i="32"/>
  <c r="Y1920" i="32"/>
  <c r="Y1816" i="32"/>
  <c r="Y1784" i="32"/>
  <c r="Y1752" i="32"/>
  <c r="Y1720" i="32"/>
  <c r="Y684" i="32"/>
  <c r="Y658" i="32"/>
  <c r="Y557" i="32"/>
  <c r="Y525" i="32"/>
  <c r="Y1570" i="32"/>
  <c r="Y1535" i="32"/>
  <c r="Y1498" i="32"/>
  <c r="Y1367" i="32"/>
  <c r="Y1338" i="32"/>
  <c r="Y1309" i="32"/>
  <c r="Y1181" i="32"/>
  <c r="Y1149" i="32"/>
  <c r="Y1121" i="32"/>
  <c r="Y1085" i="32"/>
  <c r="Y1057" i="32"/>
  <c r="Y1027" i="32"/>
  <c r="Y989" i="32"/>
  <c r="Y960" i="32"/>
  <c r="Y2267" i="32"/>
  <c r="Y2203" i="32"/>
  <c r="Y2166" i="32"/>
  <c r="Y2132" i="32"/>
  <c r="Y2102" i="32"/>
  <c r="Y2070" i="32"/>
  <c r="Y2038" i="32"/>
  <c r="Y2006" i="32"/>
  <c r="Y1974" i="32"/>
  <c r="Y1942" i="32"/>
  <c r="Y1910" i="32"/>
  <c r="Y1846" i="32"/>
  <c r="Y1814" i="32"/>
  <c r="Y1782" i="32"/>
  <c r="Y1750" i="32"/>
  <c r="Y1541" i="32"/>
  <c r="Y1505" i="32"/>
  <c r="Y1475" i="32"/>
  <c r="Y1379" i="32"/>
  <c r="Y1351" i="32"/>
  <c r="Y1315" i="32"/>
  <c r="Y1283" i="32"/>
  <c r="Y966" i="32"/>
  <c r="Y883" i="32"/>
  <c r="Y842" i="32"/>
  <c r="Y689" i="32"/>
  <c r="Y2425" i="32"/>
  <c r="Y2361" i="32"/>
  <c r="Y2266" i="32"/>
  <c r="Y2137" i="32"/>
  <c r="Y1941" i="32"/>
  <c r="Y1709" i="32"/>
  <c r="Y1481" i="32"/>
  <c r="Y1448" i="32"/>
  <c r="Y1384" i="32"/>
  <c r="Y1321" i="32"/>
  <c r="Y1256" i="32"/>
  <c r="Y1192" i="32"/>
  <c r="Y1160" i="32"/>
  <c r="Y1126" i="32"/>
  <c r="Y1098" i="32"/>
  <c r="Y1062" i="32"/>
  <c r="Y1003" i="32"/>
  <c r="Y818" i="32"/>
  <c r="Y681" i="32"/>
  <c r="Y1924" i="32"/>
  <c r="Y1892" i="32"/>
  <c r="Y1796" i="32"/>
  <c r="Y1608" i="32"/>
  <c r="Y848" i="32"/>
  <c r="Y624" i="32"/>
  <c r="Y593" i="32"/>
  <c r="Y2463" i="32"/>
  <c r="Y2431" i="32"/>
  <c r="Y2365" i="32"/>
  <c r="Y2334" i="32"/>
  <c r="Y2298" i="32"/>
  <c r="Y2197" i="32"/>
  <c r="Y2163" i="32"/>
  <c r="Y1907" i="32"/>
  <c r="Y1811" i="32"/>
  <c r="Y1707" i="32"/>
  <c r="Y1620" i="32"/>
  <c r="Y896" i="32"/>
  <c r="Y860" i="32"/>
  <c r="Y795" i="32"/>
  <c r="Y623" i="32"/>
  <c r="T271" i="32"/>
  <c r="Y788" i="32"/>
  <c r="Y257" i="32"/>
  <c r="Y729" i="32"/>
  <c r="Y735" i="32"/>
  <c r="Y50" i="32"/>
  <c r="Y56" i="32"/>
  <c r="Y200" i="32"/>
  <c r="Y196" i="32"/>
  <c r="Y2478" i="32"/>
  <c r="Y1241" i="32"/>
  <c r="Y1015" i="32"/>
  <c r="Y2089" i="32"/>
  <c r="Y1897" i="32"/>
  <c r="Y2016" i="32"/>
  <c r="Y1264" i="32"/>
  <c r="Y2317" i="32"/>
  <c r="Y1686" i="32"/>
  <c r="Y1141" i="32"/>
  <c r="Y2441" i="32"/>
  <c r="Y1533" i="32"/>
  <c r="Y1301" i="32"/>
  <c r="Y668" i="32"/>
  <c r="Y1955" i="32"/>
  <c r="Y1827" i="32"/>
  <c r="Y143" i="32"/>
  <c r="Y179" i="32"/>
  <c r="Y119" i="32"/>
  <c r="Y501" i="32"/>
  <c r="Y761" i="32"/>
  <c r="Y741" i="32"/>
  <c r="Y375" i="32"/>
  <c r="Y753" i="32"/>
  <c r="Y733" i="32"/>
  <c r="Y718" i="32"/>
  <c r="Y767" i="32"/>
  <c r="Y432" i="32"/>
  <c r="Y344" i="32"/>
  <c r="Y342" i="32"/>
  <c r="Y224" i="32"/>
  <c r="Y97" i="32"/>
  <c r="Y322" i="32"/>
  <c r="Y146" i="32"/>
  <c r="Y294" i="32"/>
  <c r="Y68" i="32"/>
  <c r="Y496" i="32"/>
  <c r="Y180" i="32"/>
  <c r="Y70" i="32"/>
  <c r="Y268" i="32"/>
  <c r="Y113" i="32"/>
  <c r="Y301" i="32"/>
  <c r="Y326" i="32"/>
  <c r="Y137" i="32"/>
  <c r="Y430" i="32"/>
  <c r="Y193" i="32"/>
  <c r="Y46" i="32"/>
  <c r="Y264" i="32"/>
  <c r="Y334" i="32"/>
  <c r="Y109" i="32"/>
  <c r="Y324" i="32"/>
  <c r="Y47" i="32"/>
  <c r="Y478" i="32"/>
  <c r="Y186" i="32"/>
  <c r="Y772" i="32"/>
  <c r="Y226" i="32"/>
  <c r="Y318" i="32"/>
  <c r="Y53" i="32"/>
  <c r="Y282" i="32"/>
  <c r="Y94" i="32"/>
  <c r="Y174" i="32"/>
  <c r="Y90" i="32"/>
  <c r="Y2400" i="32"/>
  <c r="Y2210" i="32"/>
  <c r="Y873" i="32"/>
  <c r="Y2386" i="32"/>
  <c r="Y2354" i="32"/>
  <c r="Y2327" i="32"/>
  <c r="Y2225" i="32"/>
  <c r="Y2098" i="32"/>
  <c r="Y2026" i="32"/>
  <c r="Y1962" i="32"/>
  <c r="Y1930" i="32"/>
  <c r="Y1898" i="32"/>
  <c r="Y1866" i="32"/>
  <c r="Y1834" i="32"/>
  <c r="Y1802" i="32"/>
  <c r="Y1738" i="32"/>
  <c r="Y679" i="32"/>
  <c r="Y559" i="32"/>
  <c r="Y1697" i="32"/>
  <c r="Y1612" i="32"/>
  <c r="Y1572" i="32"/>
  <c r="Y1536" i="32"/>
  <c r="Y1508" i="32"/>
  <c r="Y1477" i="32"/>
  <c r="Y1445" i="32"/>
  <c r="Y1413" i="32"/>
  <c r="Y1381" i="32"/>
  <c r="Y1354" i="32"/>
  <c r="Y1318" i="32"/>
  <c r="Y1285" i="32"/>
  <c r="Y1094" i="32"/>
  <c r="Y858" i="32"/>
  <c r="Y590" i="32"/>
  <c r="Y1664" i="32"/>
  <c r="Y1633" i="32"/>
  <c r="Y1556" i="32"/>
  <c r="Y1521" i="32"/>
  <c r="Y1419" i="32"/>
  <c r="Y1387" i="32"/>
  <c r="Y1353" i="32"/>
  <c r="Y1324" i="32"/>
  <c r="Y1291" i="32"/>
  <c r="Y1259" i="32"/>
  <c r="Y1227" i="32"/>
  <c r="Y1195" i="32"/>
  <c r="Y1005" i="32"/>
  <c r="Y976" i="32"/>
  <c r="Y948" i="32"/>
  <c r="Y863" i="32"/>
  <c r="Y2443" i="32"/>
  <c r="Y2383" i="32"/>
  <c r="Y2175" i="32"/>
  <c r="Y2111" i="32"/>
  <c r="Y2079" i="32"/>
  <c r="Y2047" i="32"/>
  <c r="Y2015" i="32"/>
  <c r="Y1983" i="32"/>
  <c r="Y1951" i="32"/>
  <c r="Y1919" i="32"/>
  <c r="Y1887" i="32"/>
  <c r="Y1855" i="32"/>
  <c r="Y1823" i="32"/>
  <c r="Y1791" i="32"/>
  <c r="Y1759" i="32"/>
  <c r="Y1727" i="32"/>
  <c r="Y1604" i="32"/>
  <c r="Y843" i="32"/>
  <c r="Y651" i="32"/>
  <c r="Y604" i="32"/>
  <c r="Y2498" i="32"/>
  <c r="Y837" i="32"/>
  <c r="Y642" i="32"/>
  <c r="Y595" i="32"/>
  <c r="Y2497" i="32"/>
  <c r="Y1701" i="32"/>
  <c r="Y890" i="32"/>
  <c r="Y812" i="32"/>
  <c r="Y610" i="32"/>
  <c r="Y2456" i="32"/>
  <c r="Y2382" i="32"/>
  <c r="Y2345" i="32"/>
  <c r="Y2281" i="32"/>
  <c r="Y2249" i="32"/>
  <c r="Y2219" i="32"/>
  <c r="Y2158" i="32"/>
  <c r="Y2124" i="32"/>
  <c r="Y2092" i="32"/>
  <c r="Y2060" i="32"/>
  <c r="Y2028" i="32"/>
  <c r="Y1996" i="32"/>
  <c r="Y1676" i="32"/>
  <c r="Y1644" i="32"/>
  <c r="Y1313" i="32"/>
  <c r="Y1281" i="32"/>
  <c r="Y1217" i="32"/>
  <c r="Y1185" i="32"/>
  <c r="Y1153" i="32"/>
  <c r="Y1118" i="32"/>
  <c r="Y1090" i="32"/>
  <c r="Y1054" i="32"/>
  <c r="Y994" i="32"/>
  <c r="Y958" i="32"/>
  <c r="Y926" i="32"/>
  <c r="Y841" i="32"/>
  <c r="Y545" i="32"/>
  <c r="Y513" i="32"/>
  <c r="Y1699" i="32"/>
  <c r="Y1574" i="32"/>
  <c r="Y1545" i="32"/>
  <c r="Y1517" i="32"/>
  <c r="Y1453" i="32"/>
  <c r="Y1363" i="32"/>
  <c r="Y1327" i="32"/>
  <c r="Y1287" i="32"/>
  <c r="Y1255" i="32"/>
  <c r="Y1223" i="32"/>
  <c r="Y1191" i="32"/>
  <c r="Y1159" i="32"/>
  <c r="Y1124" i="32"/>
  <c r="Y1096" i="32"/>
  <c r="Y1060" i="32"/>
  <c r="Y1031" i="32"/>
  <c r="Y971" i="32"/>
  <c r="Y938" i="32"/>
  <c r="Y888" i="32"/>
  <c r="Y584" i="32"/>
  <c r="Y782" i="32"/>
  <c r="Y421" i="32"/>
  <c r="Y161" i="32"/>
  <c r="Y262" i="32"/>
  <c r="Y494" i="32"/>
  <c r="Y1737" i="32"/>
  <c r="Y1768" i="32"/>
  <c r="Y255" i="32"/>
  <c r="Y355" i="32"/>
  <c r="Y247" i="32"/>
  <c r="Y289" i="32"/>
  <c r="Y339" i="32"/>
  <c r="Y103" i="32"/>
  <c r="Y749" i="32"/>
  <c r="Y763" i="32"/>
  <c r="Y723" i="32"/>
  <c r="Y698" i="32"/>
  <c r="Y747" i="32"/>
  <c r="Y424" i="32"/>
  <c r="Y336" i="32"/>
  <c r="Y325" i="32"/>
  <c r="Y217" i="32"/>
  <c r="Y64" i="32"/>
  <c r="Y286" i="32"/>
  <c r="Y114" i="32"/>
  <c r="Y277" i="32"/>
  <c r="Y52" i="32"/>
  <c r="Y422" i="32"/>
  <c r="Y155" i="32"/>
  <c r="Y54" i="32"/>
  <c r="Y252" i="32"/>
  <c r="Y108" i="32"/>
  <c r="Y208" i="32"/>
  <c r="Y309" i="32"/>
  <c r="Y105" i="32"/>
  <c r="Y405" i="32"/>
  <c r="Y176" i="32"/>
  <c r="Y748" i="32"/>
  <c r="Y139" i="32"/>
  <c r="Y304" i="32"/>
  <c r="Y61" i="32"/>
  <c r="Y276" i="32"/>
  <c r="Y31" i="32"/>
  <c r="Y397" i="32"/>
  <c r="Y170" i="32"/>
  <c r="Y724" i="32"/>
  <c r="Y204" i="32"/>
  <c r="Y241" i="32"/>
  <c r="Y37" i="32"/>
  <c r="Y206" i="32"/>
  <c r="Y166" i="32"/>
  <c r="Y86" i="32"/>
  <c r="Y153" i="32"/>
  <c r="Y2362" i="32"/>
  <c r="Y618" i="32"/>
  <c r="Y2392" i="32"/>
  <c r="Y2292" i="32"/>
  <c r="Y2188" i="32"/>
  <c r="Y2494" i="32"/>
  <c r="Y1642" i="32"/>
  <c r="Y1446" i="32"/>
  <c r="Y1414" i="32"/>
  <c r="Y1347" i="32"/>
  <c r="Y1319" i="32"/>
  <c r="Y1222" i="32"/>
  <c r="Y1158" i="32"/>
  <c r="Y1116" i="32"/>
  <c r="Y1088" i="32"/>
  <c r="Y1052" i="32"/>
  <c r="Y1022" i="32"/>
  <c r="Y992" i="32"/>
  <c r="Y963" i="32"/>
  <c r="Y931" i="32"/>
  <c r="Y887" i="32"/>
  <c r="Y599" i="32"/>
  <c r="Y2320" i="32"/>
  <c r="Y2290" i="32"/>
  <c r="Y2195" i="32"/>
  <c r="Y1606" i="32"/>
  <c r="Y692" i="32"/>
  <c r="Y542" i="32"/>
  <c r="Y510" i="32"/>
  <c r="Y2428" i="32"/>
  <c r="Y2384" i="32"/>
  <c r="Y2279" i="32"/>
  <c r="Y2184" i="32"/>
  <c r="Y1944" i="32"/>
  <c r="Y1912" i="32"/>
  <c r="Y1880" i="32"/>
  <c r="Y1704" i="32"/>
  <c r="Y807" i="32"/>
  <c r="Y652" i="32"/>
  <c r="Y597" i="32"/>
  <c r="Y517" i="32"/>
  <c r="Y1719" i="32"/>
  <c r="Y1598" i="32"/>
  <c r="Y1520" i="32"/>
  <c r="Y1491" i="32"/>
  <c r="Y1239" i="32"/>
  <c r="Y1207" i="32"/>
  <c r="Y1175" i="32"/>
  <c r="Y1078" i="32"/>
  <c r="Y1050" i="32"/>
  <c r="Y1012" i="32"/>
  <c r="Y982" i="32"/>
  <c r="Y954" i="32"/>
  <c r="Y2388" i="32"/>
  <c r="Y2325" i="32"/>
  <c r="Y2293" i="32"/>
  <c r="Y2194" i="32"/>
  <c r="Y2154" i="32"/>
  <c r="Y1694" i="32"/>
  <c r="Y1662" i="32"/>
  <c r="Y1631" i="32"/>
  <c r="Y1569" i="32"/>
  <c r="Y1497" i="32"/>
  <c r="Y1468" i="32"/>
  <c r="Y1436" i="32"/>
  <c r="Y953" i="32"/>
  <c r="Y921" i="32"/>
  <c r="Y875" i="32"/>
  <c r="Y587" i="32"/>
  <c r="Y2489" i="32"/>
  <c r="Y2355" i="32"/>
  <c r="Y2288" i="32"/>
  <c r="Y2256" i="32"/>
  <c r="Y2228" i="32"/>
  <c r="Y2193" i="32"/>
  <c r="Y2165" i="32"/>
  <c r="Y2093" i="32"/>
  <c r="Y2061" i="32"/>
  <c r="Y2029" i="32"/>
  <c r="Y1997" i="32"/>
  <c r="Y1965" i="32"/>
  <c r="Y1933" i="32"/>
  <c r="Y1901" i="32"/>
  <c r="Y1869" i="32"/>
  <c r="Y1837" i="32"/>
  <c r="Y1805" i="32"/>
  <c r="Y1773" i="32"/>
  <c r="Y1741" i="32"/>
  <c r="Y1693" i="32"/>
  <c r="Y1653" i="32"/>
  <c r="Y1568" i="32"/>
  <c r="Y1540" i="32"/>
  <c r="Y1442" i="32"/>
  <c r="Y1343" i="32"/>
  <c r="Y1314" i="32"/>
  <c r="Y1218" i="32"/>
  <c r="Y1154" i="32"/>
  <c r="Y959" i="32"/>
  <c r="Y882" i="32"/>
  <c r="Y804" i="32"/>
  <c r="Y522" i="32"/>
  <c r="Y1916" i="32"/>
  <c r="Y1884" i="32"/>
  <c r="Y1852" i="32"/>
  <c r="Y1820" i="32"/>
  <c r="Y1788" i="32"/>
  <c r="Y905" i="32"/>
  <c r="Y836" i="32"/>
  <c r="Y577" i="32"/>
  <c r="Y2455" i="32"/>
  <c r="Y2423" i="32"/>
  <c r="Y2359" i="32"/>
  <c r="Y2191" i="32"/>
  <c r="Y2091" i="32"/>
  <c r="Y1931" i="32"/>
  <c r="Y1835" i="32"/>
  <c r="Y1739" i="32"/>
  <c r="Y615" i="32"/>
  <c r="T491" i="32"/>
  <c r="Y223" i="32"/>
  <c r="Y315" i="32"/>
  <c r="Y711" i="32"/>
  <c r="Y300" i="32"/>
  <c r="Y358" i="32"/>
  <c r="Y98" i="32"/>
  <c r="Y75" i="32"/>
  <c r="Y216" i="32"/>
  <c r="Y760" i="32"/>
  <c r="Y41" i="32"/>
  <c r="Y1530" i="32"/>
  <c r="Y1305" i="32"/>
  <c r="Y1109" i="32"/>
  <c r="Y1993" i="32"/>
  <c r="Y1833" i="32"/>
  <c r="Y685" i="32"/>
  <c r="Y2337" i="32"/>
  <c r="Y1296" i="32"/>
  <c r="Y814" i="32"/>
  <c r="Y2442" i="32"/>
  <c r="Y1174" i="32"/>
  <c r="Y981" i="32"/>
  <c r="Y2021" i="32"/>
  <c r="Y1429" i="32"/>
  <c r="Y952" i="32"/>
  <c r="Y546" i="32"/>
  <c r="Y2314" i="32"/>
  <c r="Y1923" i="32"/>
  <c r="Y1763" i="32"/>
  <c r="Y125" i="32"/>
  <c r="Y297" i="32"/>
  <c r="Y251" i="32"/>
  <c r="Y93" i="32"/>
  <c r="Y127" i="32"/>
  <c r="Y163" i="32"/>
  <c r="Y243" i="32"/>
  <c r="Y475" i="32"/>
  <c r="Y714" i="32"/>
  <c r="Y743" i="32"/>
  <c r="Y327" i="32"/>
  <c r="Y239" i="32"/>
  <c r="Y111" i="32"/>
  <c r="Y273" i="32"/>
  <c r="Y147" i="32"/>
  <c r="Y331" i="32"/>
  <c r="Y227" i="32"/>
  <c r="Y87" i="32"/>
  <c r="Y429" i="32"/>
  <c r="Y739" i="32"/>
  <c r="Y709" i="32"/>
  <c r="Y751" i="32"/>
  <c r="Y721" i="32"/>
  <c r="Y502" i="32"/>
  <c r="Y499" i="32"/>
  <c r="Y742" i="32"/>
  <c r="Y404" i="32"/>
  <c r="Y328" i="32"/>
  <c r="Y314" i="32"/>
  <c r="Y181" i="32"/>
  <c r="Y48" i="32"/>
  <c r="Y269" i="32"/>
  <c r="Y66" i="32"/>
  <c r="Y258" i="32"/>
  <c r="Y36" i="32"/>
  <c r="Y382" i="32"/>
  <c r="Y148" i="32"/>
  <c r="Y38" i="32"/>
  <c r="Y228" i="32"/>
  <c r="Y101" i="32"/>
  <c r="Y130" i="32"/>
  <c r="Y298" i="32"/>
  <c r="Y60" i="32"/>
  <c r="Y402" i="32"/>
  <c r="Y171" i="32"/>
  <c r="Y700" i="32"/>
  <c r="Y107" i="32"/>
  <c r="Y222" i="32"/>
  <c r="Y45" i="32"/>
  <c r="Y266" i="32"/>
  <c r="Y356" i="32"/>
  <c r="Y162" i="32"/>
  <c r="Y708" i="32"/>
  <c r="Y83" i="32"/>
  <c r="Y218" i="32"/>
  <c r="Y27" i="32"/>
  <c r="Y201" i="32"/>
  <c r="Y158" i="32"/>
  <c r="Y82" i="32"/>
  <c r="Y73" i="32"/>
  <c r="Y2390" i="32"/>
  <c r="Y2286" i="32"/>
  <c r="Y2178" i="32"/>
  <c r="Y2446" i="32"/>
  <c r="Y2414" i="32"/>
  <c r="Y2348" i="32"/>
  <c r="Y2259" i="32"/>
  <c r="Y2140" i="32"/>
  <c r="Y794" i="32"/>
  <c r="Y630" i="32"/>
  <c r="Y1593" i="32"/>
  <c r="Y1471" i="32"/>
  <c r="Y1407" i="32"/>
  <c r="Y1215" i="32"/>
  <c r="Y1183" i="32"/>
  <c r="Y1151" i="32"/>
  <c r="Y1087" i="32"/>
  <c r="Y1021" i="32"/>
  <c r="Y991" i="32"/>
  <c r="Y962" i="32"/>
  <c r="Y930" i="32"/>
  <c r="Y845" i="32"/>
  <c r="Y637" i="32"/>
  <c r="Y574" i="32"/>
  <c r="Y1696" i="32"/>
  <c r="Y1514" i="32"/>
  <c r="Y1476" i="32"/>
  <c r="Y1444" i="32"/>
  <c r="Y1380" i="32"/>
  <c r="Y1220" i="32"/>
  <c r="Y857" i="32"/>
  <c r="Y644" i="32"/>
  <c r="Y589" i="32"/>
  <c r="Y2467" i="32"/>
  <c r="Y2435" i="32"/>
  <c r="Y2336" i="32"/>
  <c r="Y2222" i="32"/>
  <c r="Y2133" i="32"/>
  <c r="Y2071" i="32"/>
  <c r="Y2039" i="32"/>
  <c r="Y2007" i="32"/>
  <c r="Y1975" i="32"/>
  <c r="Y1943" i="32"/>
  <c r="Y1911" i="32"/>
  <c r="Y1879" i="32"/>
  <c r="Y1815" i="32"/>
  <c r="Y1751" i="32"/>
  <c r="Y908" i="32"/>
  <c r="Y820" i="32"/>
  <c r="Y635" i="32"/>
  <c r="Y1623" i="32"/>
  <c r="Y813" i="32"/>
  <c r="Y626" i="32"/>
  <c r="Y539" i="32"/>
  <c r="Y507" i="32"/>
  <c r="Y1603" i="32"/>
  <c r="Y641" i="32"/>
  <c r="Y2488" i="32"/>
  <c r="Y2307" i="32"/>
  <c r="Y2271" i="32"/>
  <c r="Y1668" i="32"/>
  <c r="Y1589" i="32"/>
  <c r="Y1553" i="32"/>
  <c r="Y1525" i="32"/>
  <c r="Y1495" i="32"/>
  <c r="Y1467" i="32"/>
  <c r="Y1435" i="32"/>
  <c r="Y1403" i="32"/>
  <c r="Y1371" i="32"/>
  <c r="Y1342" i="32"/>
  <c r="Y1307" i="32"/>
  <c r="Y1275" i="32"/>
  <c r="Y1243" i="32"/>
  <c r="Y1211" i="32"/>
  <c r="Y1179" i="32"/>
  <c r="Y1147" i="32"/>
  <c r="Y1111" i="32"/>
  <c r="Y1083" i="32"/>
  <c r="Y1047" i="32"/>
  <c r="Y1017" i="32"/>
  <c r="Y987" i="32"/>
  <c r="Y889" i="32"/>
  <c r="Y569" i="32"/>
  <c r="Y505" i="32"/>
  <c r="Y2495" i="32"/>
  <c r="Y1683" i="32"/>
  <c r="Y1651" i="32"/>
  <c r="Y1595" i="32"/>
  <c r="Y1415" i="32"/>
  <c r="Y1152" i="32"/>
  <c r="Y1053" i="32"/>
  <c r="Y835" i="32"/>
  <c r="Y687" i="32"/>
  <c r="Y655" i="32"/>
  <c r="Y157" i="31"/>
  <c r="Y159" i="31"/>
  <c r="Y195" i="31"/>
  <c r="Y151" i="31"/>
  <c r="Y472" i="31"/>
  <c r="Y484" i="31"/>
  <c r="Y427" i="31"/>
  <c r="Y272" i="31"/>
  <c r="Y370" i="31"/>
  <c r="Y379" i="31"/>
  <c r="Y285" i="31"/>
  <c r="Y145" i="31"/>
  <c r="Y42" i="31"/>
  <c r="Y125" i="31"/>
  <c r="Y297" i="31"/>
  <c r="Y93" i="31"/>
  <c r="Y247" i="31"/>
  <c r="Y127" i="31"/>
  <c r="Y289" i="31"/>
  <c r="Y163" i="31"/>
  <c r="Y339" i="31"/>
  <c r="Y243" i="31"/>
  <c r="Y103" i="31"/>
  <c r="Y705" i="31"/>
  <c r="Y771" i="31"/>
  <c r="Y766" i="31"/>
  <c r="Y403" i="31"/>
  <c r="Y775" i="31"/>
  <c r="Y745" i="31"/>
  <c r="Y730" i="31"/>
  <c r="Y774" i="31"/>
  <c r="Y470" i="31"/>
  <c r="Y352" i="31"/>
  <c r="Y374" i="31"/>
  <c r="Y232" i="31"/>
  <c r="Y124" i="31"/>
  <c r="Y333" i="31"/>
  <c r="Y178" i="31"/>
  <c r="Y330" i="31"/>
  <c r="Y121" i="31"/>
  <c r="Y712" i="31"/>
  <c r="Y187" i="31"/>
  <c r="Y91" i="31"/>
  <c r="Y346" i="31"/>
  <c r="Y133" i="31"/>
  <c r="Y340" i="31"/>
  <c r="Y348" i="31"/>
  <c r="Y203" i="31"/>
  <c r="Y433" i="31"/>
  <c r="Y210" i="31"/>
  <c r="Y62" i="31"/>
  <c r="Y312" i="31"/>
  <c r="Y400" i="31"/>
  <c r="Y160" i="31"/>
  <c r="Y354" i="31"/>
  <c r="Y63" i="31"/>
  <c r="Y76" i="31"/>
  <c r="Y194" i="31"/>
  <c r="Y23" i="31"/>
  <c r="Y280" i="31"/>
  <c r="Y406" i="31"/>
  <c r="Y69" i="31"/>
  <c r="Y310" i="31"/>
  <c r="Y29" i="31"/>
  <c r="Y102" i="31"/>
  <c r="Y182" i="31"/>
  <c r="Y110" i="31"/>
  <c r="Y120" i="31"/>
  <c r="Y2432" i="31"/>
  <c r="Y2218" i="31"/>
  <c r="Y881" i="31"/>
  <c r="Y1650" i="31"/>
  <c r="Y1607" i="31"/>
  <c r="Y1452" i="31"/>
  <c r="Y1388" i="31"/>
  <c r="Y1355" i="31"/>
  <c r="Y1326" i="31"/>
  <c r="Y1260" i="31"/>
  <c r="Y1164" i="31"/>
  <c r="Y1131" i="31"/>
  <c r="Y846" i="31"/>
  <c r="Y2369" i="31"/>
  <c r="Y2232" i="31"/>
  <c r="Y2169" i="31"/>
  <c r="Y2139" i="31"/>
  <c r="Y1785" i="31"/>
  <c r="Y1705" i="31"/>
  <c r="Y894" i="31"/>
  <c r="Y793" i="31"/>
  <c r="Y665" i="31"/>
  <c r="Y2358" i="31"/>
  <c r="Y2257" i="31"/>
  <c r="Y2032" i="31"/>
  <c r="Y2000" i="31"/>
  <c r="Y1952" i="31"/>
  <c r="Y1920" i="31"/>
  <c r="Y1816" i="31"/>
  <c r="Y1784" i="31"/>
  <c r="Y1752" i="31"/>
  <c r="Y1720" i="31"/>
  <c r="Y684" i="31"/>
  <c r="Y658" i="31"/>
  <c r="Y557" i="31"/>
  <c r="Y525" i="31"/>
  <c r="Y1570" i="31"/>
  <c r="Y1535" i="31"/>
  <c r="Y1498" i="31"/>
  <c r="Y1367" i="31"/>
  <c r="Y1338" i="31"/>
  <c r="Y1309" i="31"/>
  <c r="Y1181" i="31"/>
  <c r="Y1149" i="31"/>
  <c r="Y1121" i="31"/>
  <c r="Y1085" i="31"/>
  <c r="Y1057" i="31"/>
  <c r="Y1027" i="31"/>
  <c r="Y989" i="31"/>
  <c r="Y960" i="31"/>
  <c r="Y2267" i="31"/>
  <c r="Y2203" i="31"/>
  <c r="Y2166" i="31"/>
  <c r="Y2132" i="31"/>
  <c r="Y2102" i="31"/>
  <c r="Y2070" i="31"/>
  <c r="Y2038" i="31"/>
  <c r="Y2006" i="31"/>
  <c r="Y1974" i="31"/>
  <c r="Y1942" i="31"/>
  <c r="Y1910" i="31"/>
  <c r="Y1846" i="31"/>
  <c r="Y1814" i="31"/>
  <c r="Y1782" i="31"/>
  <c r="Y1750" i="31"/>
  <c r="Y1541" i="31"/>
  <c r="Y1505" i="31"/>
  <c r="Y1475" i="31"/>
  <c r="Y1379" i="31"/>
  <c r="Y1351" i="31"/>
  <c r="Y1315" i="31"/>
  <c r="Y1283" i="31"/>
  <c r="Y966" i="31"/>
  <c r="Y883" i="31"/>
  <c r="Y842" i="31"/>
  <c r="Y689" i="31"/>
  <c r="Y2425" i="31"/>
  <c r="Y2361" i="31"/>
  <c r="Y2266" i="31"/>
  <c r="Y2137" i="31"/>
  <c r="Y1941" i="31"/>
  <c r="Y1709" i="31"/>
  <c r="Y1481" i="31"/>
  <c r="Y1448" i="31"/>
  <c r="Y1384" i="31"/>
  <c r="Y1321" i="31"/>
  <c r="Y1256" i="31"/>
  <c r="Y1192" i="31"/>
  <c r="Y1160" i="31"/>
  <c r="Y1126" i="31"/>
  <c r="Y1098" i="31"/>
  <c r="Y1062" i="31"/>
  <c r="Y1003" i="31"/>
  <c r="Y818" i="31"/>
  <c r="Y681" i="31"/>
  <c r="Y1924" i="31"/>
  <c r="Y1892" i="31"/>
  <c r="Y1796" i="31"/>
  <c r="Y1608" i="31"/>
  <c r="Y848" i="31"/>
  <c r="Y624" i="31"/>
  <c r="Y593" i="31"/>
  <c r="Y2463" i="31"/>
  <c r="Y2431" i="31"/>
  <c r="Y2365" i="31"/>
  <c r="Y2334" i="31"/>
  <c r="Y2298" i="31"/>
  <c r="Y2197" i="31"/>
  <c r="Y2163" i="31"/>
  <c r="Y1907" i="31"/>
  <c r="Y1811" i="31"/>
  <c r="Y1707" i="31"/>
  <c r="Y896" i="31"/>
  <c r="Y860" i="31"/>
  <c r="Y795" i="31"/>
  <c r="Y623" i="31"/>
  <c r="T271" i="31"/>
  <c r="Y788" i="31"/>
  <c r="Y327" i="31"/>
  <c r="Y239" i="31"/>
  <c r="Y111" i="31"/>
  <c r="Y273" i="31"/>
  <c r="Y147" i="31"/>
  <c r="Y331" i="31"/>
  <c r="Y227" i="31"/>
  <c r="Y87" i="31"/>
  <c r="Y501" i="31"/>
  <c r="Y761" i="31"/>
  <c r="Y741" i="31"/>
  <c r="Y375" i="31"/>
  <c r="Y753" i="31"/>
  <c r="Y733" i="31"/>
  <c r="Y718" i="31"/>
  <c r="Y767" i="31"/>
  <c r="Y432" i="31"/>
  <c r="Y344" i="31"/>
  <c r="Y342" i="31"/>
  <c r="Y224" i="31"/>
  <c r="Y97" i="31"/>
  <c r="Y322" i="31"/>
  <c r="Y146" i="31"/>
  <c r="Y294" i="31"/>
  <c r="Y68" i="31"/>
  <c r="Y496" i="31"/>
  <c r="Y180" i="31"/>
  <c r="Y70" i="31"/>
  <c r="Y268" i="31"/>
  <c r="Y113" i="31"/>
  <c r="Y301" i="31"/>
  <c r="Y326" i="31"/>
  <c r="Y137" i="31"/>
  <c r="Y430" i="31"/>
  <c r="Y193" i="31"/>
  <c r="Y46" i="31"/>
  <c r="Y264" i="31"/>
  <c r="Y334" i="31"/>
  <c r="Y109" i="31"/>
  <c r="Y324" i="31"/>
  <c r="Y47" i="31"/>
  <c r="Y478" i="31"/>
  <c r="Y186" i="31"/>
  <c r="Y772" i="31"/>
  <c r="Y226" i="31"/>
  <c r="Y318" i="31"/>
  <c r="Y53" i="31"/>
  <c r="Y282" i="31"/>
  <c r="Y94" i="31"/>
  <c r="Y174" i="31"/>
  <c r="Y90" i="31"/>
  <c r="Y2400" i="31"/>
  <c r="Y2210" i="31"/>
  <c r="Y873" i="31"/>
  <c r="Y2386" i="31"/>
  <c r="Y2354" i="31"/>
  <c r="Y2327" i="31"/>
  <c r="Y2225" i="31"/>
  <c r="Y2098" i="31"/>
  <c r="Y2026" i="31"/>
  <c r="Y1962" i="31"/>
  <c r="Y1930" i="31"/>
  <c r="Y1898" i="31"/>
  <c r="Y1866" i="31"/>
  <c r="Y1834" i="31"/>
  <c r="Y1802" i="31"/>
  <c r="Y1738" i="31"/>
  <c r="Y679" i="31"/>
  <c r="Y559" i="31"/>
  <c r="Y1697" i="31"/>
  <c r="Y1612" i="31"/>
  <c r="Y1572" i="31"/>
  <c r="Y1536" i="31"/>
  <c r="Y1508" i="31"/>
  <c r="Y1477" i="31"/>
  <c r="Y1445" i="31"/>
  <c r="Y1413" i="31"/>
  <c r="Y1381" i="31"/>
  <c r="Y1354" i="31"/>
  <c r="Y1318" i="31"/>
  <c r="Y1285" i="31"/>
  <c r="Y1094" i="31"/>
  <c r="Y858" i="31"/>
  <c r="Y590" i="31"/>
  <c r="Y1664" i="31"/>
  <c r="Y1633" i="31"/>
  <c r="Y1556" i="31"/>
  <c r="Y1521" i="31"/>
  <c r="Y1419" i="31"/>
  <c r="Y1387" i="31"/>
  <c r="Y1353" i="31"/>
  <c r="Y1324" i="31"/>
  <c r="Y1291" i="31"/>
  <c r="Y1259" i="31"/>
  <c r="Y1227" i="31"/>
  <c r="Y1195" i="31"/>
  <c r="Y1005" i="31"/>
  <c r="Y976" i="31"/>
  <c r="Y948" i="31"/>
  <c r="Y863" i="31"/>
  <c r="Y2443" i="31"/>
  <c r="Y2383" i="31"/>
  <c r="Y2175" i="31"/>
  <c r="Y2111" i="31"/>
  <c r="Y2079" i="31"/>
  <c r="Y2047" i="31"/>
  <c r="Y2015" i="31"/>
  <c r="Y1983" i="31"/>
  <c r="Y1951" i="31"/>
  <c r="Y1919" i="31"/>
  <c r="Y1887" i="31"/>
  <c r="Y1855" i="31"/>
  <c r="Y1823" i="31"/>
  <c r="Y1791" i="31"/>
  <c r="Y1759" i="31"/>
  <c r="Y1727" i="31"/>
  <c r="Y1604" i="31"/>
  <c r="Y843" i="31"/>
  <c r="Y651" i="31"/>
  <c r="Y604" i="31"/>
  <c r="Y2498" i="31"/>
  <c r="Y837" i="31"/>
  <c r="Y642" i="31"/>
  <c r="Y595" i="31"/>
  <c r="Y2497" i="31"/>
  <c r="Y1701" i="31"/>
  <c r="Y890" i="31"/>
  <c r="Y812" i="31"/>
  <c r="Y610" i="31"/>
  <c r="Y2456" i="31"/>
  <c r="Y2382" i="31"/>
  <c r="Y2345" i="31"/>
  <c r="Y2281" i="31"/>
  <c r="Y2249" i="31"/>
  <c r="Y2219" i="31"/>
  <c r="Y2158" i="31"/>
  <c r="Y2124" i="31"/>
  <c r="Y2092" i="31"/>
  <c r="Y2060" i="31"/>
  <c r="Y2028" i="31"/>
  <c r="Y1996" i="31"/>
  <c r="Y1676" i="31"/>
  <c r="Y1644" i="31"/>
  <c r="Y1313" i="31"/>
  <c r="Y1281" i="31"/>
  <c r="Y1217" i="31"/>
  <c r="Y1185" i="31"/>
  <c r="Y1153" i="31"/>
  <c r="Y1118" i="31"/>
  <c r="Y1090" i="31"/>
  <c r="Y1054" i="31"/>
  <c r="Y994" i="31"/>
  <c r="Y958" i="31"/>
  <c r="Y926" i="31"/>
  <c r="Y841" i="31"/>
  <c r="Y545" i="31"/>
  <c r="Y513" i="31"/>
  <c r="Y1699" i="31"/>
  <c r="Y1574" i="31"/>
  <c r="Y1545" i="31"/>
  <c r="Y1517" i="31"/>
  <c r="Y1453" i="31"/>
  <c r="Y1363" i="31"/>
  <c r="Y1327" i="31"/>
  <c r="Y1287" i="31"/>
  <c r="Y1255" i="31"/>
  <c r="Y1223" i="31"/>
  <c r="Y1191" i="31"/>
  <c r="Y1159" i="31"/>
  <c r="Y1124" i="31"/>
  <c r="Y1096" i="31"/>
  <c r="Y1060" i="31"/>
  <c r="Y1031" i="31"/>
  <c r="Y971" i="31"/>
  <c r="Y938" i="31"/>
  <c r="Y888" i="31"/>
  <c r="Y584" i="31"/>
  <c r="Y782" i="31"/>
  <c r="Y257" i="31"/>
  <c r="Y215" i="31"/>
  <c r="Y714" i="31"/>
  <c r="Y698" i="31"/>
  <c r="Y336" i="31"/>
  <c r="Y286" i="31"/>
  <c r="Y422" i="31"/>
  <c r="Y252" i="31"/>
  <c r="Y309" i="31"/>
  <c r="Y176" i="31"/>
  <c r="Y748" i="31"/>
  <c r="Y139" i="31"/>
  <c r="Y276" i="31"/>
  <c r="Y31" i="31"/>
  <c r="Y397" i="31"/>
  <c r="Y170" i="31"/>
  <c r="Y724" i="31"/>
  <c r="Y204" i="31"/>
  <c r="Y241" i="31"/>
  <c r="Y37" i="31"/>
  <c r="Y206" i="31"/>
  <c r="Y166" i="31"/>
  <c r="Y86" i="31"/>
  <c r="Y153" i="31"/>
  <c r="Y2362" i="31"/>
  <c r="Y618" i="31"/>
  <c r="Y2392" i="31"/>
  <c r="Y2292" i="31"/>
  <c r="Y2188" i="31"/>
  <c r="Y2494" i="31"/>
  <c r="Y1642" i="31"/>
  <c r="Y1446" i="31"/>
  <c r="Y1414" i="31"/>
  <c r="Y1347" i="31"/>
  <c r="Y1319" i="31"/>
  <c r="Y1222" i="31"/>
  <c r="Y1158" i="31"/>
  <c r="Y1116" i="31"/>
  <c r="Y1088" i="31"/>
  <c r="Y1052" i="31"/>
  <c r="Y1022" i="31"/>
  <c r="Y992" i="31"/>
  <c r="Y963" i="31"/>
  <c r="Y931" i="31"/>
  <c r="Y887" i="31"/>
  <c r="Y599" i="31"/>
  <c r="Y2320" i="31"/>
  <c r="Y2290" i="31"/>
  <c r="Y2195" i="31"/>
  <c r="Y1606" i="31"/>
  <c r="Y692" i="31"/>
  <c r="Y542" i="31"/>
  <c r="Y510" i="31"/>
  <c r="Y2428" i="31"/>
  <c r="Y2384" i="31"/>
  <c r="Y2279" i="31"/>
  <c r="Y2184" i="31"/>
  <c r="Y1944" i="31"/>
  <c r="Y1912" i="31"/>
  <c r="Y1880" i="31"/>
  <c r="Y1704" i="31"/>
  <c r="Y807" i="31"/>
  <c r="Y652" i="31"/>
  <c r="Y597" i="31"/>
  <c r="Y517" i="31"/>
  <c r="Y1719" i="31"/>
  <c r="Y1598" i="31"/>
  <c r="Y1520" i="31"/>
  <c r="Y1491" i="31"/>
  <c r="Y1239" i="31"/>
  <c r="Y1207" i="31"/>
  <c r="Y1175" i="31"/>
  <c r="Y1078" i="31"/>
  <c r="Y1050" i="31"/>
  <c r="Y1012" i="31"/>
  <c r="Y982" i="31"/>
  <c r="Y954" i="31"/>
  <c r="Y2388" i="31"/>
  <c r="Y2325" i="31"/>
  <c r="Y2293" i="31"/>
  <c r="Y2194" i="31"/>
  <c r="Y2154" i="31"/>
  <c r="Y1694" i="31"/>
  <c r="Y1662" i="31"/>
  <c r="Y1631" i="31"/>
  <c r="Y1569" i="31"/>
  <c r="Y1497" i="31"/>
  <c r="Y1468" i="31"/>
  <c r="Y1436" i="31"/>
  <c r="Y953" i="31"/>
  <c r="Y921" i="31"/>
  <c r="Y875" i="31"/>
  <c r="Y587" i="31"/>
  <c r="Y2489" i="31"/>
  <c r="Y2355" i="31"/>
  <c r="Y2288" i="31"/>
  <c r="Y2256" i="31"/>
  <c r="Y2228" i="31"/>
  <c r="Y2193" i="31"/>
  <c r="Y2165" i="31"/>
  <c r="Y2093" i="31"/>
  <c r="Y2061" i="31"/>
  <c r="Y2029" i="31"/>
  <c r="Y1997" i="31"/>
  <c r="Y1965" i="31"/>
  <c r="Y1933" i="31"/>
  <c r="Y1901" i="31"/>
  <c r="Y1869" i="31"/>
  <c r="Y1837" i="31"/>
  <c r="Y1805" i="31"/>
  <c r="Y1773" i="31"/>
  <c r="Y1741" i="31"/>
  <c r="Y1693" i="31"/>
  <c r="Y1653" i="31"/>
  <c r="Y1568" i="31"/>
  <c r="Y1540" i="31"/>
  <c r="Y1442" i="31"/>
  <c r="Y1343" i="31"/>
  <c r="Y1314" i="31"/>
  <c r="Y1218" i="31"/>
  <c r="Y1154" i="31"/>
  <c r="Y959" i="31"/>
  <c r="Y882" i="31"/>
  <c r="Y804" i="31"/>
  <c r="Y522" i="31"/>
  <c r="Y1916" i="31"/>
  <c r="Y1884" i="31"/>
  <c r="Y1852" i="31"/>
  <c r="Y1820" i="31"/>
  <c r="Y1788" i="31"/>
  <c r="Y905" i="31"/>
  <c r="Y836" i="31"/>
  <c r="Y577" i="31"/>
  <c r="Y2455" i="31"/>
  <c r="Y2423" i="31"/>
  <c r="Y2359" i="31"/>
  <c r="Y2191" i="31"/>
  <c r="Y2091" i="31"/>
  <c r="Y1931" i="31"/>
  <c r="Y1835" i="31"/>
  <c r="Y1739" i="31"/>
  <c r="Y615" i="31"/>
  <c r="T491" i="31"/>
  <c r="Y223" i="31"/>
  <c r="Y131" i="31"/>
  <c r="Y1415" i="31"/>
  <c r="Y749" i="31"/>
  <c r="Y743" i="31"/>
  <c r="Y747" i="31"/>
  <c r="Y325" i="31"/>
  <c r="Y64" i="31"/>
  <c r="Y277" i="31"/>
  <c r="Y54" i="31"/>
  <c r="Y208" i="31"/>
  <c r="Y405" i="31"/>
  <c r="Y304" i="31"/>
  <c r="Y205" i="31"/>
  <c r="Y303" i="31"/>
  <c r="Y207" i="31"/>
  <c r="Y361" i="31"/>
  <c r="Y249" i="31"/>
  <c r="Y115" i="31"/>
  <c r="Y307" i="31"/>
  <c r="Y199" i="31"/>
  <c r="Y1620" i="31"/>
  <c r="Y429" i="31"/>
  <c r="Y739" i="31"/>
  <c r="Y709" i="31"/>
  <c r="Y751" i="31"/>
  <c r="Y721" i="31"/>
  <c r="Y502" i="31"/>
  <c r="Y499" i="31"/>
  <c r="Y742" i="31"/>
  <c r="Y404" i="31"/>
  <c r="Y328" i="31"/>
  <c r="Y314" i="31"/>
  <c r="Y181" i="31"/>
  <c r="Y48" i="31"/>
  <c r="Y269" i="31"/>
  <c r="Y66" i="31"/>
  <c r="Y258" i="31"/>
  <c r="Y36" i="31"/>
  <c r="Y382" i="31"/>
  <c r="Y148" i="31"/>
  <c r="Y38" i="31"/>
  <c r="Y228" i="31"/>
  <c r="Y101" i="31"/>
  <c r="Y130" i="31"/>
  <c r="Y298" i="31"/>
  <c r="Y60" i="31"/>
  <c r="Y402" i="31"/>
  <c r="Y171" i="31"/>
  <c r="Y700" i="31"/>
  <c r="Y107" i="31"/>
  <c r="Y222" i="31"/>
  <c r="Y45" i="31"/>
  <c r="Y266" i="31"/>
  <c r="Y356" i="31"/>
  <c r="Y162" i="31"/>
  <c r="Y708" i="31"/>
  <c r="Y83" i="31"/>
  <c r="Y218" i="31"/>
  <c r="Y27" i="31"/>
  <c r="Y201" i="31"/>
  <c r="Y158" i="31"/>
  <c r="Y82" i="31"/>
  <c r="Y73" i="31"/>
  <c r="Y2390" i="31"/>
  <c r="Y2286" i="31"/>
  <c r="Y2178" i="31"/>
  <c r="Y2446" i="31"/>
  <c r="Y2414" i="31"/>
  <c r="Y2348" i="31"/>
  <c r="Y2259" i="31"/>
  <c r="Y2140" i="31"/>
  <c r="Y794" i="31"/>
  <c r="Y630" i="31"/>
  <c r="Y1593" i="31"/>
  <c r="Y1471" i="31"/>
  <c r="Y1407" i="31"/>
  <c r="Y1215" i="31"/>
  <c r="Y1183" i="31"/>
  <c r="Y1151" i="31"/>
  <c r="Y1087" i="31"/>
  <c r="Y1021" i="31"/>
  <c r="Y991" i="31"/>
  <c r="Y962" i="31"/>
  <c r="Y930" i="31"/>
  <c r="Y845" i="31"/>
  <c r="Y637" i="31"/>
  <c r="Y574" i="31"/>
  <c r="Y1696" i="31"/>
  <c r="Y1514" i="31"/>
  <c r="Y1476" i="31"/>
  <c r="Y1444" i="31"/>
  <c r="Y1380" i="31"/>
  <c r="Y1220" i="31"/>
  <c r="Y857" i="31"/>
  <c r="Y644" i="31"/>
  <c r="Y589" i="31"/>
  <c r="Y2467" i="31"/>
  <c r="Y2435" i="31"/>
  <c r="Y2336" i="31"/>
  <c r="Y2222" i="31"/>
  <c r="Y2133" i="31"/>
  <c r="Y2071" i="31"/>
  <c r="Y2039" i="31"/>
  <c r="Y2007" i="31"/>
  <c r="Y1975" i="31"/>
  <c r="Y1943" i="31"/>
  <c r="Y1911" i="31"/>
  <c r="Y1879" i="31"/>
  <c r="Y1815" i="31"/>
  <c r="Y1751" i="31"/>
  <c r="Y908" i="31"/>
  <c r="Y820" i="31"/>
  <c r="Y635" i="31"/>
  <c r="Y1623" i="31"/>
  <c r="Y813" i="31"/>
  <c r="Y626" i="31"/>
  <c r="Y539" i="31"/>
  <c r="Y507" i="31"/>
  <c r="Y1603" i="31"/>
  <c r="Y641" i="31"/>
  <c r="Y2488" i="31"/>
  <c r="Y2307" i="31"/>
  <c r="Y2271" i="31"/>
  <c r="Y1668" i="31"/>
  <c r="Y1589" i="31"/>
  <c r="Y1553" i="31"/>
  <c r="Y1525" i="31"/>
  <c r="Y1495" i="31"/>
  <c r="Y1467" i="31"/>
  <c r="Y1435" i="31"/>
  <c r="Y1403" i="31"/>
  <c r="Y1371" i="31"/>
  <c r="Y1342" i="31"/>
  <c r="Y1307" i="31"/>
  <c r="Y1275" i="31"/>
  <c r="Y1243" i="31"/>
  <c r="Y1211" i="31"/>
  <c r="Y1179" i="31"/>
  <c r="Y1147" i="31"/>
  <c r="Y1111" i="31"/>
  <c r="Y1083" i="31"/>
  <c r="Y1047" i="31"/>
  <c r="Y1017" i="31"/>
  <c r="Y987" i="31"/>
  <c r="Y889" i="31"/>
  <c r="Y569" i="31"/>
  <c r="Y505" i="31"/>
  <c r="Y2495" i="31"/>
  <c r="Y1683" i="31"/>
  <c r="Y1651" i="31"/>
  <c r="Y1595" i="31"/>
  <c r="Y1152" i="31"/>
  <c r="Y1053" i="31"/>
  <c r="Y835" i="31"/>
  <c r="Y687" i="31"/>
  <c r="Y655" i="31"/>
  <c r="Y95" i="31"/>
  <c r="Y315" i="31"/>
  <c r="Y475" i="31"/>
  <c r="Y763" i="31"/>
  <c r="Y723" i="31"/>
  <c r="Y424" i="31"/>
  <c r="Y217" i="31"/>
  <c r="Y114" i="31"/>
  <c r="Y52" i="31"/>
  <c r="Y155" i="31"/>
  <c r="Y108" i="31"/>
  <c r="Y105" i="31"/>
  <c r="Y61" i="31"/>
  <c r="Y173" i="31"/>
  <c r="Y295" i="31"/>
  <c r="Y191" i="31"/>
  <c r="Y337" i="31"/>
  <c r="Y225" i="31"/>
  <c r="Y99" i="31"/>
  <c r="Y291" i="31"/>
  <c r="Y183" i="31"/>
  <c r="Y769" i="31"/>
  <c r="Y421" i="31"/>
  <c r="Y729" i="31"/>
  <c r="Y702" i="31"/>
  <c r="Y731" i="31"/>
  <c r="Y711" i="31"/>
  <c r="Y481" i="31"/>
  <c r="Y492" i="31"/>
  <c r="Y735" i="31"/>
  <c r="Y396" i="31"/>
  <c r="Y320" i="31"/>
  <c r="Y300" i="31"/>
  <c r="Y161" i="31"/>
  <c r="Y32" i="31"/>
  <c r="Y261" i="31"/>
  <c r="Y50" i="31"/>
  <c r="Y250" i="31"/>
  <c r="Y26" i="31"/>
  <c r="Y358" i="31"/>
  <c r="Y128" i="31"/>
  <c r="Y28" i="31"/>
  <c r="Y177" i="31"/>
  <c r="Y56" i="31"/>
  <c r="Y98" i="31"/>
  <c r="Y262" i="31"/>
  <c r="Y44" i="31"/>
  <c r="Y380" i="31"/>
  <c r="Y144" i="31"/>
  <c r="Y474" i="31"/>
  <c r="Y75" i="31"/>
  <c r="Y200" i="31"/>
  <c r="Y768" i="31"/>
  <c r="Y212" i="31"/>
  <c r="Y216" i="31"/>
  <c r="Y316" i="31"/>
  <c r="Y81" i="31"/>
  <c r="Y494" i="31"/>
  <c r="Y67" i="31"/>
  <c r="Y196" i="31"/>
  <c r="Y760" i="31"/>
  <c r="Y169" i="31"/>
  <c r="Y138" i="31"/>
  <c r="Y332" i="31"/>
  <c r="Y41" i="31"/>
  <c r="Y2350" i="31"/>
  <c r="Y2122" i="31"/>
  <c r="Y2478" i="31"/>
  <c r="Y1587" i="31"/>
  <c r="Y1558" i="31"/>
  <c r="Y1530" i="31"/>
  <c r="Y1501" i="31"/>
  <c r="Y1305" i="31"/>
  <c r="Y1241" i="31"/>
  <c r="Y1209" i="31"/>
  <c r="Y1109" i="31"/>
  <c r="Y1081" i="31"/>
  <c r="Y1015" i="31"/>
  <c r="Y985" i="31"/>
  <c r="Y956" i="31"/>
  <c r="Y924" i="31"/>
  <c r="Y2453" i="31"/>
  <c r="Y2421" i="31"/>
  <c r="Y2248" i="31"/>
  <c r="Y2216" i="31"/>
  <c r="Y2155" i="31"/>
  <c r="Y2121" i="31"/>
  <c r="Y2089" i="31"/>
  <c r="Y2057" i="31"/>
  <c r="Y2025" i="31"/>
  <c r="Y1993" i="31"/>
  <c r="Y1961" i="31"/>
  <c r="Y1929" i="31"/>
  <c r="Y1897" i="31"/>
  <c r="Y1865" i="31"/>
  <c r="Y1833" i="31"/>
  <c r="Y1801" i="31"/>
  <c r="Y1769" i="31"/>
  <c r="Y1737" i="31"/>
  <c r="Y839" i="31"/>
  <c r="Y685" i="31"/>
  <c r="Y2420" i="31"/>
  <c r="Y2337" i="31"/>
  <c r="Y2303" i="31"/>
  <c r="Y2205" i="31"/>
  <c r="Y2016" i="31"/>
  <c r="Y1936" i="31"/>
  <c r="Y1904" i="31"/>
  <c r="Y1872" i="31"/>
  <c r="Y1768" i="31"/>
  <c r="Y1618" i="31"/>
  <c r="Y792" i="31"/>
  <c r="Y671" i="31"/>
  <c r="Y541" i="31"/>
  <c r="Y1352" i="31"/>
  <c r="Y1323" i="31"/>
  <c r="Y1296" i="31"/>
  <c r="Y1264" i="31"/>
  <c r="Y1232" i="31"/>
  <c r="Y1168" i="31"/>
  <c r="Y814" i="31"/>
  <c r="Y2474" i="31"/>
  <c r="Y2442" i="31"/>
  <c r="Y2410" i="31"/>
  <c r="Y2317" i="31"/>
  <c r="Y2251" i="31"/>
  <c r="Y2221" i="31"/>
  <c r="Y1862" i="31"/>
  <c r="Y1686" i="31"/>
  <c r="Y1654" i="31"/>
  <c r="Y1562" i="31"/>
  <c r="Y1527" i="31"/>
  <c r="Y1270" i="31"/>
  <c r="Y1238" i="31"/>
  <c r="Y1206" i="31"/>
  <c r="Y1174" i="31"/>
  <c r="Y1141" i="31"/>
  <c r="Y1113" i="31"/>
  <c r="Y1077" i="31"/>
  <c r="Y1049" i="31"/>
  <c r="Y1019" i="31"/>
  <c r="Y981" i="31"/>
  <c r="Y915" i="31"/>
  <c r="Y868" i="31"/>
  <c r="Y669" i="31"/>
  <c r="Y571" i="31"/>
  <c r="Y2441" i="31"/>
  <c r="Y2316" i="31"/>
  <c r="Y2125" i="31"/>
  <c r="Y2053" i="31"/>
  <c r="Y2021" i="31"/>
  <c r="Y1989" i="31"/>
  <c r="Y1829" i="31"/>
  <c r="Y1765" i="31"/>
  <c r="Y1733" i="31"/>
  <c r="Y1645" i="31"/>
  <c r="Y1561" i="31"/>
  <c r="Y1533" i="31"/>
  <c r="Y1429" i="31"/>
  <c r="Y1365" i="31"/>
  <c r="Y1336" i="31"/>
  <c r="Y1301" i="31"/>
  <c r="Y1237" i="31"/>
  <c r="Y1140" i="31"/>
  <c r="Y1112" i="31"/>
  <c r="Y980" i="31"/>
  <c r="Y952" i="31"/>
  <c r="Y920" i="31"/>
  <c r="Y789" i="31"/>
  <c r="Y668" i="31"/>
  <c r="Y546" i="31"/>
  <c r="Y514" i="31"/>
  <c r="Y1908" i="31"/>
  <c r="Y1876" i="31"/>
  <c r="Y1708" i="31"/>
  <c r="Y803" i="31"/>
  <c r="Y609" i="31"/>
  <c r="Y2487" i="31"/>
  <c r="Y2314" i="31"/>
  <c r="Y2212" i="31"/>
  <c r="Y2051" i="31"/>
  <c r="Y2019" i="31"/>
  <c r="Y1987" i="31"/>
  <c r="Y1955" i="31"/>
  <c r="Y1923" i="31"/>
  <c r="Y1891" i="31"/>
  <c r="Y1859" i="31"/>
  <c r="Y1827" i="31"/>
  <c r="Y1795" i="31"/>
  <c r="Y1763" i="31"/>
  <c r="Y1731" i="31"/>
  <c r="Y829" i="31"/>
  <c r="T449" i="31"/>
  <c r="Y221" i="31"/>
  <c r="Y279" i="31"/>
  <c r="Y175" i="31"/>
  <c r="Y321" i="31"/>
  <c r="Y211" i="31"/>
  <c r="Y213" i="31"/>
  <c r="Y267" i="31"/>
  <c r="Y167" i="31"/>
  <c r="Y759" i="31"/>
  <c r="Y381" i="31"/>
  <c r="Y717" i="31"/>
  <c r="Y477" i="31"/>
  <c r="Y726" i="31"/>
  <c r="Y495" i="31"/>
  <c r="Y762" i="31"/>
  <c r="Y435" i="31"/>
  <c r="Y715" i="31"/>
  <c r="Y376" i="31"/>
  <c r="Y288" i="31"/>
  <c r="Y256" i="31"/>
  <c r="Y156" i="31"/>
  <c r="Y22" i="31"/>
  <c r="Y253" i="31"/>
  <c r="Y24" i="31"/>
  <c r="Y242" i="31"/>
  <c r="Y756" i="31"/>
  <c r="Y349" i="31"/>
  <c r="Y471" i="31"/>
  <c r="Y172" i="31"/>
  <c r="Y40" i="31"/>
  <c r="Y58" i="31"/>
  <c r="Y254" i="31"/>
  <c r="Y754" i="31"/>
  <c r="Y362" i="31"/>
  <c r="Y132" i="31"/>
  <c r="Y398" i="31"/>
  <c r="Y59" i="31"/>
  <c r="Y192" i="31"/>
  <c r="Y720" i="31"/>
  <c r="Y197" i="31"/>
  <c r="Y104" i="31"/>
  <c r="Y283" i="31"/>
  <c r="Y65" i="31"/>
  <c r="Y428" i="31"/>
  <c r="Y51" i="31"/>
  <c r="Y188" i="31"/>
  <c r="Y696" i="31"/>
  <c r="Y71" i="31"/>
  <c r="Y134" i="31"/>
  <c r="Y292" i="31"/>
  <c r="Y122" i="31"/>
  <c r="Y2460" i="31"/>
  <c r="Y2242" i="31"/>
  <c r="Y2114" i="31"/>
  <c r="Y2470" i="31"/>
  <c r="Y2438" i="31"/>
  <c r="Y2370" i="31"/>
  <c r="Y2313" i="31"/>
  <c r="Y2253" i="31"/>
  <c r="Y2211" i="31"/>
  <c r="Y2170" i="31"/>
  <c r="Y2130" i="31"/>
  <c r="Y2042" i="31"/>
  <c r="Y2010" i="31"/>
  <c r="Y1978" i="31"/>
  <c r="Y1946" i="31"/>
  <c r="Y1914" i="31"/>
  <c r="Y1882" i="31"/>
  <c r="Y1850" i="31"/>
  <c r="Y1818" i="31"/>
  <c r="Y1786" i="31"/>
  <c r="Y1754" i="31"/>
  <c r="Y1722" i="31"/>
  <c r="Y693" i="31"/>
  <c r="Y666" i="31"/>
  <c r="Y1673" i="31"/>
  <c r="Y1641" i="31"/>
  <c r="Y1557" i="31"/>
  <c r="Y1522" i="31"/>
  <c r="Y1432" i="31"/>
  <c r="Y1400" i="31"/>
  <c r="Y1368" i="31"/>
  <c r="Y1333" i="31"/>
  <c r="Y1240" i="31"/>
  <c r="Y1014" i="31"/>
  <c r="Y917" i="31"/>
  <c r="Y870" i="31"/>
  <c r="Y621" i="31"/>
  <c r="Y1571" i="31"/>
  <c r="Y1543" i="31"/>
  <c r="Y1470" i="31"/>
  <c r="Y1438" i="31"/>
  <c r="Y1122" i="31"/>
  <c r="Y1058" i="31"/>
  <c r="Y1020" i="31"/>
  <c r="Y990" i="31"/>
  <c r="Y961" i="31"/>
  <c r="Y885" i="31"/>
  <c r="Y628" i="31"/>
  <c r="Y573" i="31"/>
  <c r="Y2268" i="31"/>
  <c r="Y1695" i="31"/>
  <c r="Y1663" i="31"/>
  <c r="Y1632" i="31"/>
  <c r="Y892" i="31"/>
  <c r="Y540" i="31"/>
  <c r="Y508" i="31"/>
  <c r="Y907" i="31"/>
  <c r="Y798" i="31"/>
  <c r="Y625" i="31"/>
  <c r="Y578" i="31"/>
  <c r="Y2472" i="31"/>
  <c r="Y2416" i="31"/>
  <c r="Y2235" i="31"/>
  <c r="Y2207" i="31"/>
  <c r="Y2172" i="31"/>
  <c r="Y2108" i="31"/>
  <c r="Y2076" i="31"/>
  <c r="Y2044" i="31"/>
  <c r="Y2012" i="31"/>
  <c r="Y1980" i="31"/>
  <c r="Y1660" i="31"/>
  <c r="Y1629" i="31"/>
  <c r="Y1582" i="31"/>
  <c r="Y1546" i="31"/>
  <c r="Y1460" i="31"/>
  <c r="Y1428" i="31"/>
  <c r="Y1396" i="31"/>
  <c r="Y1364" i="31"/>
  <c r="Y972" i="31"/>
  <c r="Y939" i="31"/>
  <c r="Y796" i="31"/>
  <c r="Y561" i="31"/>
  <c r="Y529" i="31"/>
  <c r="Y673" i="31"/>
  <c r="Y647" i="31"/>
  <c r="Y560" i="31"/>
  <c r="Y528" i="31"/>
  <c r="T443" i="31"/>
  <c r="Y263" i="31"/>
  <c r="Y363" i="31"/>
  <c r="Y732" i="31"/>
  <c r="Y500" i="31"/>
  <c r="Y703" i="31"/>
  <c r="Y149" i="31"/>
  <c r="Y209" i="31"/>
  <c r="Y116" i="31"/>
  <c r="Y366" i="31"/>
  <c r="Y738" i="31"/>
  <c r="Y345" i="31"/>
  <c r="Y112" i="31"/>
  <c r="Y369" i="31"/>
  <c r="Y43" i="31"/>
  <c r="Y476" i="31"/>
  <c r="Y165" i="31"/>
  <c r="Y84" i="31"/>
  <c r="Y244" i="31"/>
  <c r="Y49" i="31"/>
  <c r="Y338" i="31"/>
  <c r="Y25" i="31"/>
  <c r="Y164" i="31"/>
  <c r="Y482" i="31"/>
  <c r="Y55" i="31"/>
  <c r="Y126" i="31"/>
  <c r="Y220" i="31"/>
  <c r="Y154" i="31"/>
  <c r="Y152" i="31"/>
  <c r="Y2448" i="31"/>
  <c r="Y2328" i="31"/>
  <c r="Y2238" i="31"/>
  <c r="Y202" i="31"/>
  <c r="Y1658" i="31"/>
  <c r="Y1627" i="31"/>
  <c r="Y1580" i="31"/>
  <c r="Y1551" i="31"/>
  <c r="Y1523" i="31"/>
  <c r="Y1493" i="31"/>
  <c r="Y1395" i="31"/>
  <c r="Y1299" i="31"/>
  <c r="Y1267" i="31"/>
  <c r="Y2485" i="31"/>
  <c r="Y2445" i="31"/>
  <c r="Y2347" i="31"/>
  <c r="Y2145" i="31"/>
  <c r="Y2017" i="31"/>
  <c r="Y1793" i="31"/>
  <c r="Y816" i="31"/>
  <c r="Y678" i="31"/>
  <c r="Y558" i="31"/>
  <c r="Y526" i="31"/>
  <c r="Y2331" i="31"/>
  <c r="Y2263" i="31"/>
  <c r="Y2231" i="31"/>
  <c r="Y2134" i="31"/>
  <c r="Y2104" i="31"/>
  <c r="Y2072" i="31"/>
  <c r="Y2040" i="31"/>
  <c r="Y2008" i="31"/>
  <c r="Y1976" i="31"/>
  <c r="Y1928" i="31"/>
  <c r="Y1896" i="31"/>
  <c r="Y1864" i="31"/>
  <c r="Y1824" i="31"/>
  <c r="Y1599" i="31"/>
  <c r="Y838" i="31"/>
  <c r="Y533" i="31"/>
  <c r="Y1542" i="31"/>
  <c r="Y1506" i="31"/>
  <c r="Y1469" i="31"/>
  <c r="Y1437" i="31"/>
  <c r="Y1405" i="31"/>
  <c r="Y1373" i="31"/>
  <c r="Y1344" i="31"/>
  <c r="Y1316" i="31"/>
  <c r="Y1290" i="31"/>
  <c r="Y1226" i="31"/>
  <c r="Y1092" i="31"/>
  <c r="Y1064" i="31"/>
  <c r="Y1035" i="31"/>
  <c r="Y997" i="31"/>
  <c r="Y967" i="31"/>
  <c r="Y935" i="31"/>
  <c r="Y884" i="31"/>
  <c r="Y2434" i="31"/>
  <c r="Y2404" i="31"/>
  <c r="Y2341" i="31"/>
  <c r="Y2245" i="31"/>
  <c r="Y2138" i="31"/>
  <c r="Y2110" i="31"/>
  <c r="Y2078" i="31"/>
  <c r="Y2046" i="31"/>
  <c r="Y2014" i="31"/>
  <c r="Y1982" i="31"/>
  <c r="Y1950" i="31"/>
  <c r="Y1918" i="31"/>
  <c r="Y1886" i="31"/>
  <c r="Y1854" i="31"/>
  <c r="Y1822" i="31"/>
  <c r="Y1790" i="31"/>
  <c r="Y1726" i="31"/>
  <c r="Y1597" i="31"/>
  <c r="Y1449" i="31"/>
  <c r="Y1417" i="31"/>
  <c r="Y1385" i="31"/>
  <c r="Y1358" i="31"/>
  <c r="Y1322" i="31"/>
  <c r="Y1134" i="31"/>
  <c r="Y1106" i="31"/>
  <c r="Y1042" i="31"/>
  <c r="Y1011" i="31"/>
  <c r="Y974" i="31"/>
  <c r="Y940" i="31"/>
  <c r="Y899" i="31"/>
  <c r="Y2465" i="31"/>
  <c r="Y2433" i="31"/>
  <c r="Y2403" i="31"/>
  <c r="Y2340" i="31"/>
  <c r="Y2244" i="31"/>
  <c r="Y2214" i="31"/>
  <c r="Y2147" i="31"/>
  <c r="Y2117" i="31"/>
  <c r="Y2077" i="31"/>
  <c r="Y2045" i="31"/>
  <c r="Y2013" i="31"/>
  <c r="Y1981" i="31"/>
  <c r="Y1949" i="31"/>
  <c r="Y1917" i="31"/>
  <c r="Y1853" i="31"/>
  <c r="Y1821" i="31"/>
  <c r="Y1757" i="31"/>
  <c r="Y1725" i="31"/>
  <c r="Y1637" i="31"/>
  <c r="Y1489" i="31"/>
  <c r="Y1423" i="31"/>
  <c r="Y1391" i="31"/>
  <c r="Y1295" i="31"/>
  <c r="Y1199" i="31"/>
  <c r="Y1133" i="31"/>
  <c r="Y1069" i="31"/>
  <c r="Y1041" i="31"/>
  <c r="Y1010" i="31"/>
  <c r="Y914" i="31"/>
  <c r="Y855" i="31"/>
  <c r="Y506" i="31"/>
  <c r="Y1932" i="31"/>
  <c r="Y1900" i="31"/>
  <c r="Y1868" i="31"/>
  <c r="Y1836" i="31"/>
  <c r="Y1804" i="31"/>
  <c r="Y1772" i="31"/>
  <c r="Y1740" i="31"/>
  <c r="Y640" i="31"/>
  <c r="Y601" i="31"/>
  <c r="Y2375" i="31"/>
  <c r="Y2171" i="31"/>
  <c r="Y1819" i="31"/>
  <c r="Y1755" i="31"/>
  <c r="Y912" i="31"/>
  <c r="Y865" i="31"/>
  <c r="Y319" i="31"/>
  <c r="Y141" i="31"/>
  <c r="Y313" i="31"/>
  <c r="Y259" i="31"/>
  <c r="Y373" i="31"/>
  <c r="Y469" i="31"/>
  <c r="Y757" i="31"/>
  <c r="Y368" i="31"/>
  <c r="Y248" i="31"/>
  <c r="Y245" i="31"/>
  <c r="Y744" i="31"/>
  <c r="Y434" i="31"/>
  <c r="Y246" i="31"/>
  <c r="Y255" i="31"/>
  <c r="Y143" i="31"/>
  <c r="Y179" i="31"/>
  <c r="Y355" i="31"/>
  <c r="Y251" i="31"/>
  <c r="Y119" i="31"/>
  <c r="Y727" i="31"/>
  <c r="Y357" i="31"/>
  <c r="Y773" i="31"/>
  <c r="Y423" i="31"/>
  <c r="Y493" i="31"/>
  <c r="Y755" i="31"/>
  <c r="Y750" i="31"/>
  <c r="Y399" i="31"/>
  <c r="Y483" i="31"/>
  <c r="Y360" i="31"/>
  <c r="Y426" i="31"/>
  <c r="Y240" i="31"/>
  <c r="Y129" i="31"/>
  <c r="Y350" i="31"/>
  <c r="Y219" i="31"/>
  <c r="Y367" i="31"/>
  <c r="Y185" i="31"/>
  <c r="Y736" i="31"/>
  <c r="Y274" i="31"/>
  <c r="Y96" i="31"/>
  <c r="Y378" i="31"/>
  <c r="Y140" i="31"/>
  <c r="Y343" i="31"/>
  <c r="Y351" i="31"/>
  <c r="Y238" i="31"/>
  <c r="Y498" i="31"/>
  <c r="Y306" i="31"/>
  <c r="Y100" i="31"/>
  <c r="Y364" i="31"/>
  <c r="Y57" i="31"/>
  <c r="Y168" i="31"/>
  <c r="Y436" i="31"/>
  <c r="Y79" i="31"/>
  <c r="Y80" i="31"/>
  <c r="Y214" i="31"/>
  <c r="Y33" i="31"/>
  <c r="Y308" i="31"/>
  <c r="Y480" i="31"/>
  <c r="Y85" i="31"/>
  <c r="Y372" i="31"/>
  <c r="Y39" i="31"/>
  <c r="Y106" i="31"/>
  <c r="Y198" i="31"/>
  <c r="Y150" i="31"/>
  <c r="Y142" i="31"/>
  <c r="Y2310" i="31"/>
  <c r="Y2462" i="31"/>
  <c r="Y2430" i="31"/>
  <c r="Y2275" i="31"/>
  <c r="Y2241" i="31"/>
  <c r="Y2201" i="31"/>
  <c r="Y2106" i="31"/>
  <c r="Y2034" i="31"/>
  <c r="Y2002" i="31"/>
  <c r="Y1970" i="31"/>
  <c r="Y1938" i="31"/>
  <c r="Y1906" i="31"/>
  <c r="Y1874" i="31"/>
  <c r="Y1842" i="31"/>
  <c r="Y1810" i="31"/>
  <c r="Y1778" i="31"/>
  <c r="Y1746" i="31"/>
  <c r="Y1706" i="31"/>
  <c r="Y1613" i="31"/>
  <c r="Y911" i="31"/>
  <c r="Y852" i="31"/>
  <c r="Y654" i="31"/>
  <c r="Y567" i="31"/>
  <c r="Y535" i="31"/>
  <c r="Y2477" i="31"/>
  <c r="Y1665" i="31"/>
  <c r="Y1634" i="31"/>
  <c r="Y1234" i="31"/>
  <c r="Y1202" i="31"/>
  <c r="Y1170" i="31"/>
  <c r="Y1137" i="31"/>
  <c r="Y1101" i="31"/>
  <c r="Y1073" i="31"/>
  <c r="Y902" i="31"/>
  <c r="Y864" i="31"/>
  <c r="Y801" i="31"/>
  <c r="Y606" i="31"/>
  <c r="Y1672" i="31"/>
  <c r="Y1592" i="31"/>
  <c r="Y1564" i="31"/>
  <c r="Y1457" i="31"/>
  <c r="Y1360" i="31"/>
  <c r="Y1332" i="31"/>
  <c r="Y1297" i="31"/>
  <c r="Y1265" i="31"/>
  <c r="Y1233" i="31"/>
  <c r="Y1201" i="31"/>
  <c r="Y1169" i="31"/>
  <c r="Y1143" i="31"/>
  <c r="Y1115" i="31"/>
  <c r="Y1079" i="31"/>
  <c r="Y1051" i="31"/>
  <c r="Y1013" i="31"/>
  <c r="Y983" i="31"/>
  <c r="Y955" i="31"/>
  <c r="Y923" i="31"/>
  <c r="Y833" i="31"/>
  <c r="Y2183" i="31"/>
  <c r="Y791" i="31"/>
  <c r="Y1718" i="31"/>
  <c r="Y849" i="31"/>
  <c r="Y603" i="31"/>
  <c r="Y555" i="31"/>
  <c r="Y523" i="31"/>
  <c r="Y906" i="31"/>
  <c r="Y2360" i="31"/>
  <c r="Y2323" i="31"/>
  <c r="Y2198" i="31"/>
  <c r="Y2136" i="31"/>
  <c r="Y1615" i="31"/>
  <c r="Y1539" i="31"/>
  <c r="Y1320" i="31"/>
  <c r="Y1198" i="31"/>
  <c r="Y932" i="31"/>
  <c r="Y854" i="31"/>
  <c r="Y680" i="31"/>
  <c r="Y632" i="31"/>
  <c r="Y1524" i="31"/>
  <c r="Y1229" i="31"/>
  <c r="Y802" i="31"/>
  <c r="Y552" i="31"/>
  <c r="Y520" i="31"/>
  <c r="Y92" i="31"/>
  <c r="T824" i="31"/>
  <c r="W2285" i="1"/>
  <c r="W722" i="1"/>
  <c r="W758" i="1"/>
  <c r="V233" i="1"/>
  <c r="V293" i="1"/>
  <c r="V270" i="1"/>
  <c r="V479" i="1"/>
  <c r="V265" i="1"/>
  <c r="V287" i="1"/>
  <c r="V302" i="1"/>
  <c r="V335" i="1"/>
  <c r="P541" i="1"/>
  <c r="S541" i="1" s="1"/>
  <c r="W537" i="1"/>
  <c r="V290" i="1"/>
  <c r="V299" i="1"/>
  <c r="V437" i="1"/>
  <c r="V317" i="1"/>
  <c r="V311" i="1"/>
  <c r="V341" i="1"/>
  <c r="L695" i="1"/>
  <c r="S788" i="1"/>
  <c r="R788" i="1"/>
  <c r="Q788" i="1"/>
  <c r="Y824" i="19"/>
  <c r="T449" i="19"/>
  <c r="Y1612" i="19"/>
  <c r="Y2434" i="19"/>
  <c r="Y2245" i="19"/>
  <c r="Y2288" i="19"/>
  <c r="Y794" i="19"/>
  <c r="Y406" i="19"/>
  <c r="Y558" i="19"/>
  <c r="Y1709" i="19"/>
  <c r="Y2404" i="19"/>
  <c r="Y2355" i="19"/>
  <c r="Y206" i="19"/>
  <c r="Y1405" i="19"/>
  <c r="Y2535" i="19"/>
  <c r="Y1880" i="19"/>
  <c r="Y1446" i="19"/>
  <c r="Y907" i="19"/>
  <c r="Y354" i="19"/>
  <c r="Y1444" i="19"/>
  <c r="Y1264" i="19"/>
  <c r="Y791" i="19"/>
  <c r="Y1373" i="19"/>
  <c r="Y894" i="19"/>
  <c r="Y1448" i="19"/>
  <c r="Y1160" i="19"/>
  <c r="Y259" i="19"/>
  <c r="Y370" i="19"/>
  <c r="Y478" i="19"/>
  <c r="Y911" i="19"/>
  <c r="Y902" i="19"/>
  <c r="Y69" i="19"/>
  <c r="Y271" i="19"/>
  <c r="Y1326" i="19"/>
  <c r="Y2508" i="19"/>
  <c r="Y1574" i="19"/>
  <c r="Y1360" i="19"/>
  <c r="Y1077" i="19"/>
  <c r="Y128" i="19"/>
  <c r="Y917" i="19"/>
  <c r="Y1908" i="19"/>
  <c r="Y814" i="19"/>
  <c r="Y1816" i="19"/>
  <c r="Y1400" i="19"/>
  <c r="Y1064" i="19"/>
  <c r="Y469" i="19"/>
  <c r="Y755" i="19"/>
  <c r="Y474" i="19"/>
  <c r="Y436" i="19"/>
  <c r="Y397" i="19"/>
  <c r="Y204" i="19"/>
  <c r="Y29" i="19"/>
  <c r="Y2538" i="19"/>
  <c r="Y202" i="19"/>
  <c r="Y2523" i="19"/>
  <c r="Y2540" i="19"/>
  <c r="Y798" i="19"/>
  <c r="Y1976" i="19"/>
  <c r="Y2327" i="19"/>
  <c r="Y1864" i="19"/>
  <c r="Y1290" i="19"/>
  <c r="Y2544" i="19"/>
  <c r="Y1564" i="19"/>
  <c r="Y1344" i="19"/>
  <c r="Y1005" i="19"/>
  <c r="Y1388" i="19"/>
  <c r="Y172" i="19"/>
  <c r="Y1868" i="19"/>
  <c r="Y86" i="19"/>
  <c r="Y1608" i="19"/>
  <c r="Y1384" i="19"/>
  <c r="Y345" i="19"/>
  <c r="Y500" i="19"/>
  <c r="Y61" i="19"/>
  <c r="Y2533" i="19"/>
  <c r="Y2534" i="19"/>
  <c r="Y1673" i="19"/>
  <c r="Y839" i="19"/>
  <c r="Y1632" i="19"/>
  <c r="Y2531" i="19"/>
  <c r="Y1900" i="19"/>
  <c r="Y1226" i="19"/>
  <c r="Y2524" i="19"/>
  <c r="Y1542" i="19"/>
  <c r="Y1351" i="19"/>
  <c r="Y908" i="19"/>
  <c r="Y107" i="19"/>
  <c r="Y2442" i="19"/>
  <c r="Y349" i="19"/>
  <c r="Y1368" i="19"/>
  <c r="Y510" i="19"/>
  <c r="Y224" i="19"/>
  <c r="Y43" i="19"/>
  <c r="Y2529" i="19"/>
  <c r="Y2231" i="19"/>
  <c r="Y2530" i="19"/>
  <c r="Y981" i="19"/>
  <c r="Y1168" i="19"/>
  <c r="Y315" i="19"/>
  <c r="Y336" i="19"/>
  <c r="Y228" i="19"/>
  <c r="Y57" i="19"/>
  <c r="Y2163" i="19"/>
  <c r="Y2526" i="19"/>
  <c r="Y1944" i="19"/>
  <c r="Y1593" i="19"/>
  <c r="Y2316" i="19"/>
  <c r="Y2543" i="19"/>
  <c r="Y1663" i="19"/>
  <c r="Y983" i="19"/>
  <c r="Y1664" i="19"/>
  <c r="Y1428" i="19"/>
  <c r="Y2093" i="19"/>
  <c r="Y1604" i="19"/>
  <c r="Y1296" i="19"/>
  <c r="Y1633" i="19"/>
  <c r="Y1693" i="19"/>
  <c r="Y1896" i="19"/>
  <c r="Y1141" i="19"/>
  <c r="Y1773" i="19"/>
  <c r="Y1140" i="19"/>
  <c r="Y1256" i="19"/>
  <c r="Y182" i="19"/>
  <c r="Y169" i="19"/>
  <c r="Y117" i="19"/>
  <c r="Y2253" i="19"/>
  <c r="Y1323" i="19"/>
  <c r="Y865" i="19"/>
  <c r="Y2495" i="19"/>
  <c r="Y2040" i="19"/>
  <c r="Y1020" i="19"/>
  <c r="Y318" i="19"/>
  <c r="Y1315" i="19"/>
  <c r="Y1164" i="19"/>
  <c r="Y642" i="19"/>
  <c r="Y2539" i="19"/>
  <c r="Y2008" i="19"/>
  <c r="Y1522" i="19"/>
  <c r="Y1672" i="19"/>
  <c r="Y1240" i="19"/>
  <c r="Y971" i="19"/>
  <c r="Y1021" i="19"/>
  <c r="Y1364" i="19"/>
  <c r="Y1437" i="19"/>
  <c r="Y1060" i="19"/>
  <c r="Y2370" i="19"/>
  <c r="Y1768" i="19"/>
  <c r="Y1232" i="19"/>
  <c r="Y166" i="19"/>
  <c r="Y356" i="19"/>
  <c r="Y73" i="19"/>
  <c r="N2269" i="1"/>
  <c r="W2269" i="1" s="1"/>
  <c r="S782" i="1"/>
  <c r="R782" i="1"/>
  <c r="Q782" i="1"/>
  <c r="T491" i="19"/>
  <c r="T443" i="19"/>
  <c r="N1756" i="1"/>
  <c r="W1756" i="1" s="1"/>
  <c r="N1602" i="1"/>
  <c r="W1602" i="1" s="1"/>
  <c r="N511" i="1"/>
  <c r="W511" i="1" s="1"/>
  <c r="N1507" i="1"/>
  <c r="W1507" i="1" s="1"/>
  <c r="N1566" i="1"/>
  <c r="W1566" i="1" s="1"/>
  <c r="M707" i="1"/>
  <c r="N707" i="1" s="1"/>
  <c r="W707" i="1" s="1"/>
  <c r="N1374" i="1"/>
  <c r="N2082" i="1"/>
  <c r="W2082" i="1" s="1"/>
  <c r="N929" i="1"/>
  <c r="W929" i="1" s="1"/>
  <c r="N2087" i="1"/>
  <c r="W2087" i="1" s="1"/>
  <c r="N1622" i="1"/>
  <c r="W1622" i="1" s="1"/>
  <c r="N1724" i="1"/>
  <c r="W1724" i="1" s="1"/>
  <c r="N1861" i="1"/>
  <c r="W1861" i="1" s="1"/>
  <c r="N1857" i="1"/>
  <c r="W1857" i="1" s="1"/>
  <c r="N1072" i="1"/>
  <c r="W1072" i="1" s="1"/>
  <c r="N1776" i="1"/>
  <c r="W1776" i="1" s="1"/>
  <c r="N2413" i="1"/>
  <c r="N830" i="1"/>
  <c r="W830" i="1" s="1"/>
  <c r="N2240" i="1"/>
  <c r="W2240" i="1" s="1"/>
  <c r="N1585" i="1"/>
  <c r="N1036" i="1"/>
  <c r="W1036" i="1" s="1"/>
  <c r="M695" i="19"/>
  <c r="N695" i="19" s="1"/>
  <c r="N2064" i="1"/>
  <c r="W2064" i="1" s="1"/>
  <c r="N1511" i="1"/>
  <c r="W1511" i="1" s="1"/>
  <c r="N1454" i="1"/>
  <c r="R1454" i="1" s="1"/>
  <c r="N1625" i="1"/>
  <c r="W1625" i="1" s="1"/>
  <c r="N1188" i="1"/>
  <c r="N1294" i="1"/>
  <c r="W1294" i="1" s="1"/>
  <c r="N1422" i="1"/>
  <c r="W1422" i="1" s="1"/>
  <c r="N1480" i="1"/>
  <c r="W1480" i="1" s="1"/>
  <c r="N2439" i="1"/>
  <c r="W2439" i="1" s="1"/>
  <c r="N866" i="1"/>
  <c r="N1390" i="1"/>
  <c r="W1390" i="1" s="1"/>
  <c r="N1230" i="1"/>
  <c r="W1230" i="1" s="1"/>
  <c r="N1412" i="1"/>
  <c r="N2436" i="1"/>
  <c r="W2436" i="1" s="1"/>
  <c r="N1356" i="1"/>
  <c r="N1125" i="1"/>
  <c r="W1125" i="1" s="1"/>
  <c r="N1252" i="1"/>
  <c r="W1252" i="1" s="1"/>
  <c r="N1002" i="1"/>
  <c r="W1002" i="1" s="1"/>
  <c r="N1097" i="1"/>
  <c r="W1097" i="1" s="1"/>
  <c r="N2356" i="1"/>
  <c r="W2356" i="1" s="1"/>
  <c r="N1878" i="1"/>
  <c r="W1878" i="1" s="1"/>
  <c r="N1284" i="1"/>
  <c r="W1284" i="1" s="1"/>
  <c r="N1032" i="1"/>
  <c r="W1032" i="1" s="1"/>
  <c r="N986" i="1"/>
  <c r="W986" i="1" s="1"/>
  <c r="N572" i="1"/>
  <c r="W572" i="1" s="1"/>
  <c r="N1061" i="1"/>
  <c r="W1061" i="1" s="1"/>
  <c r="N1262" i="1"/>
  <c r="W1262" i="1" s="1"/>
  <c r="N1166" i="1"/>
  <c r="W1166" i="1" s="1"/>
  <c r="N1656" i="1"/>
  <c r="W1656" i="1" s="1"/>
  <c r="N964" i="1"/>
  <c r="W964" i="1" s="1"/>
  <c r="N2344" i="1"/>
  <c r="W2344" i="1" s="1"/>
  <c r="N2407" i="1"/>
  <c r="N2306" i="1"/>
  <c r="W2306" i="1" s="1"/>
  <c r="N1110" i="1"/>
  <c r="N2141" i="1"/>
  <c r="W2141" i="1" s="1"/>
  <c r="N2202" i="1"/>
  <c r="W2202" i="1" s="1"/>
  <c r="N2190" i="1"/>
  <c r="W2190" i="1" s="1"/>
  <c r="N828" i="1"/>
  <c r="W828" i="1" s="1"/>
  <c r="N2128" i="1"/>
  <c r="W2128" i="1" s="1"/>
  <c r="N2096" i="1"/>
  <c r="W2096" i="1" s="1"/>
  <c r="N2319" i="1"/>
  <c r="W2319" i="1" s="1"/>
  <c r="N2471" i="1"/>
  <c r="W2471" i="1" s="1"/>
  <c r="N582" i="1"/>
  <c r="W582" i="1" s="1"/>
  <c r="N2115" i="1"/>
  <c r="W2115" i="1" s="1"/>
  <c r="N2085" i="1"/>
  <c r="W2085" i="1" s="1"/>
  <c r="N1567" i="1"/>
  <c r="N957" i="1"/>
  <c r="N549" i="1"/>
  <c r="W549" i="1" s="1"/>
  <c r="N1957" i="1"/>
  <c r="W1957" i="1" s="1"/>
  <c r="N1744" i="1"/>
  <c r="W1744" i="1" s="1"/>
  <c r="N1225" i="1"/>
  <c r="Q1225" i="1" s="1"/>
  <c r="N1893" i="1"/>
  <c r="W1893" i="1" s="1"/>
  <c r="N1216" i="1"/>
  <c r="W1216" i="1" s="1"/>
  <c r="N1628" i="1"/>
  <c r="W1628" i="1" s="1"/>
  <c r="N1712" i="1"/>
  <c r="W1712" i="1" s="1"/>
  <c r="N1163" i="1"/>
  <c r="N1925" i="1"/>
  <c r="W1925" i="1" s="1"/>
  <c r="N1184" i="1"/>
  <c r="N1538" i="1"/>
  <c r="W1538" i="1" s="1"/>
  <c r="N1348" i="1"/>
  <c r="W1348" i="1" s="1"/>
  <c r="N1331" i="1"/>
  <c r="W1331" i="1" s="1"/>
  <c r="N925" i="1"/>
  <c r="W925" i="1" s="1"/>
  <c r="N1680" i="1"/>
  <c r="W1680" i="1" s="1"/>
  <c r="N2381" i="1"/>
  <c r="W2381" i="1" s="1"/>
  <c r="N1499" i="1"/>
  <c r="W1499" i="1" s="1"/>
  <c r="N1510" i="1"/>
  <c r="W1510" i="1" s="1"/>
  <c r="N1248" i="1"/>
  <c r="W1248" i="1" s="1"/>
  <c r="N1280" i="1"/>
  <c r="W1280" i="1" s="1"/>
  <c r="N2179" i="1"/>
  <c r="W2179" i="1" s="1"/>
  <c r="N1648" i="1"/>
  <c r="W1648" i="1" s="1"/>
  <c r="N1312" i="1"/>
  <c r="W1312" i="1" s="1"/>
  <c r="N1479" i="1"/>
  <c r="N1089" i="1"/>
  <c r="N1117" i="1"/>
  <c r="W1117" i="1" s="1"/>
  <c r="N1250" i="1"/>
  <c r="W1250" i="1" s="1"/>
  <c r="N1548" i="1"/>
  <c r="N1345" i="1"/>
  <c r="W1345" i="1" s="1"/>
  <c r="N2151" i="1"/>
  <c r="N581" i="1"/>
  <c r="W581" i="1" s="1"/>
  <c r="N2270" i="1"/>
  <c r="W2270" i="1" s="1"/>
  <c r="N1797" i="1"/>
  <c r="W1797" i="1" s="1"/>
  <c r="N1840" i="1"/>
  <c r="W1840" i="1" s="1"/>
  <c r="N1105" i="1"/>
  <c r="W1105" i="1" s="1"/>
  <c r="N1528" i="1"/>
  <c r="W1528" i="1" s="1"/>
  <c r="N663" i="1"/>
  <c r="N909" i="1"/>
  <c r="N1667" i="1"/>
  <c r="W1667" i="1" s="1"/>
  <c r="N1447" i="1"/>
  <c r="W1447" i="1" s="1"/>
  <c r="N993" i="1"/>
  <c r="R993" i="1" s="1"/>
  <c r="N1406" i="1"/>
  <c r="W1406" i="1" s="1"/>
  <c r="N1383" i="1"/>
  <c r="N850" i="1"/>
  <c r="W850" i="1" s="1"/>
  <c r="N827" i="1"/>
  <c r="W827" i="1" s="1"/>
  <c r="N1317" i="1"/>
  <c r="W1317" i="1" s="1"/>
  <c r="N1808" i="1"/>
  <c r="W1808" i="1" s="1"/>
  <c r="N1023" i="1"/>
  <c r="N1669" i="1"/>
  <c r="V21" i="1"/>
  <c r="W21" i="1" s="1"/>
  <c r="N2402" i="1"/>
  <c r="W2402" i="1" s="1"/>
  <c r="N2385" i="1"/>
  <c r="W2385" i="1" s="1"/>
  <c r="N2280" i="1"/>
  <c r="W2280" i="1" s="1"/>
  <c r="N2492" i="1"/>
  <c r="W2492" i="1" s="1"/>
  <c r="N1044" i="1"/>
  <c r="N2185" i="1"/>
  <c r="W2185" i="1" s="1"/>
  <c r="N984" i="1"/>
  <c r="N949" i="1"/>
  <c r="W949" i="1" s="1"/>
  <c r="N2499" i="1"/>
  <c r="W2499" i="1" s="1"/>
  <c r="N1881" i="1"/>
  <c r="W1881" i="1" s="1"/>
  <c r="N1794" i="1"/>
  <c r="W1794" i="1" s="1"/>
  <c r="N2343" i="1"/>
  <c r="N1753" i="1"/>
  <c r="W1753" i="1" s="1"/>
  <c r="N2405" i="1"/>
  <c r="W2405" i="1" s="1"/>
  <c r="N2363" i="1"/>
  <c r="N2332" i="1"/>
  <c r="W2332" i="1" s="1"/>
  <c r="N2380" i="1"/>
  <c r="W2380" i="1" s="1"/>
  <c r="N2373" i="1"/>
  <c r="W2373" i="1" s="1"/>
  <c r="N2073" i="1"/>
  <c r="N2105" i="1"/>
  <c r="W2105" i="1" s="1"/>
  <c r="N1890" i="1"/>
  <c r="W1890" i="1" s="1"/>
  <c r="N2264" i="1"/>
  <c r="W2264" i="1" s="1"/>
  <c r="N1913" i="1"/>
  <c r="W1913" i="1" s="1"/>
  <c r="N1258" i="1"/>
  <c r="W1258" i="1" s="1"/>
  <c r="N1200" i="1"/>
  <c r="Q1200" i="1" s="1"/>
  <c r="N1655" i="1"/>
  <c r="W1655" i="1" s="1"/>
  <c r="N1783" i="1"/>
  <c r="W1783" i="1" s="1"/>
  <c r="N1847" i="1"/>
  <c r="W1847" i="1" s="1"/>
  <c r="N1463" i="1"/>
  <c r="N1142" i="1"/>
  <c r="N596" i="1"/>
  <c r="W596" i="1" s="1"/>
  <c r="N657" i="1"/>
  <c r="W657" i="1" s="1"/>
  <c r="N928" i="1"/>
  <c r="N2126" i="1"/>
  <c r="W2126" i="1" s="1"/>
  <c r="N1953" i="1"/>
  <c r="W1953" i="1" s="1"/>
  <c r="N1114" i="1"/>
  <c r="N886" i="1"/>
  <c r="W886" i="1" s="1"/>
  <c r="N977" i="1"/>
  <c r="W977" i="1" s="1"/>
  <c r="N1998" i="1"/>
  <c r="W1998" i="1" s="1"/>
  <c r="N690" i="1"/>
  <c r="N2156" i="1"/>
  <c r="W2156" i="1" s="1"/>
  <c r="N1985" i="1"/>
  <c r="W1985" i="1" s="1"/>
  <c r="N1825" i="1"/>
  <c r="W1825" i="1" s="1"/>
  <c r="N1921" i="1"/>
  <c r="W1921" i="1" s="1"/>
  <c r="N1687" i="1"/>
  <c r="W1687" i="1" s="1"/>
  <c r="N1563" i="1"/>
  <c r="W1563" i="1" s="1"/>
  <c r="N1431" i="1"/>
  <c r="N1037" i="1"/>
  <c r="W1037" i="1" s="1"/>
  <c r="N564" i="1"/>
  <c r="W564" i="1" s="1"/>
  <c r="N2227" i="1"/>
  <c r="N2302" i="1"/>
  <c r="W2302" i="1" s="1"/>
  <c r="N1253" i="1"/>
  <c r="W1253" i="1" s="1"/>
  <c r="N2236" i="1"/>
  <c r="W2236" i="1" s="1"/>
  <c r="N2081" i="1"/>
  <c r="W2081" i="1" s="1"/>
  <c r="N2206" i="1"/>
  <c r="W2206" i="1" s="1"/>
  <c r="N1761" i="1"/>
  <c r="N1430" i="1"/>
  <c r="W1430" i="1" s="1"/>
  <c r="N532" i="1"/>
  <c r="N2208" i="1"/>
  <c r="W2208" i="1" s="1"/>
  <c r="N2437" i="1"/>
  <c r="P2439" i="1" s="1"/>
  <c r="N2417" i="1"/>
  <c r="W2417" i="1" s="1"/>
  <c r="N2113" i="1"/>
  <c r="W2113" i="1" s="1"/>
  <c r="N1889" i="1"/>
  <c r="W1889" i="1" s="1"/>
  <c r="N1624" i="1"/>
  <c r="W1624" i="1" s="1"/>
  <c r="N2066" i="1"/>
  <c r="W2066" i="1" s="1"/>
  <c r="N2049" i="1"/>
  <c r="W2049" i="1" s="1"/>
  <c r="N1399" i="1"/>
  <c r="N2103" i="1"/>
  <c r="Q2103" i="1" s="1"/>
  <c r="N2304" i="1"/>
  <c r="W2304" i="1" s="1"/>
  <c r="N1714" i="1"/>
  <c r="N1006" i="1"/>
  <c r="N943" i="1"/>
  <c r="N627" i="1"/>
  <c r="W627" i="1" s="1"/>
  <c r="N2297" i="1"/>
  <c r="W2297" i="1" s="1"/>
  <c r="N1995" i="1"/>
  <c r="W1995" i="1" s="1"/>
  <c r="N1771" i="1"/>
  <c r="W1771" i="1" s="1"/>
  <c r="N1762" i="1"/>
  <c r="W1762" i="1" s="1"/>
  <c r="N1844" i="1"/>
  <c r="N1487" i="1"/>
  <c r="W1487" i="1" s="1"/>
  <c r="N1349" i="1"/>
  <c r="N1652" i="1"/>
  <c r="W1652" i="1" s="1"/>
  <c r="N616" i="1"/>
  <c r="W616" i="1" s="1"/>
  <c r="N2018" i="1"/>
  <c r="W2018" i="1" s="1"/>
  <c r="N1171" i="1"/>
  <c r="W1171" i="1" s="1"/>
  <c r="N1858" i="1"/>
  <c r="W1858" i="1" s="1"/>
  <c r="N2226" i="1"/>
  <c r="W2226" i="1" s="1"/>
  <c r="N2396" i="1"/>
  <c r="W2396" i="1" s="1"/>
  <c r="N2123" i="1"/>
  <c r="W2123" i="1" s="1"/>
  <c r="N1867" i="1"/>
  <c r="W1867" i="1" s="1"/>
  <c r="N1807" i="1"/>
  <c r="W1807" i="1" s="1"/>
  <c r="N1935" i="1"/>
  <c r="W1935" i="1" s="1"/>
  <c r="N1730" i="1"/>
  <c r="W1730" i="1" s="1"/>
  <c r="N1643" i="1"/>
  <c r="W1643" i="1" s="1"/>
  <c r="N1534" i="1"/>
  <c r="W1534" i="1" s="1"/>
  <c r="N1286" i="1"/>
  <c r="N1473" i="1"/>
  <c r="S1473" i="1" s="1"/>
  <c r="N1228" i="1"/>
  <c r="W1228" i="1" s="1"/>
  <c r="N585" i="1"/>
  <c r="N2217" i="1"/>
  <c r="W2217" i="1" s="1"/>
  <c r="N1803" i="1"/>
  <c r="W1803" i="1" s="1"/>
  <c r="N1716" i="1"/>
  <c r="N1635" i="1"/>
  <c r="W1635" i="1" s="1"/>
  <c r="N1503" i="1"/>
  <c r="W1503" i="1" s="1"/>
  <c r="N2090" i="1"/>
  <c r="W2090" i="1" s="1"/>
  <c r="N2491" i="1"/>
  <c r="W2491" i="1" s="1"/>
  <c r="N2466" i="1"/>
  <c r="W2466" i="1" s="1"/>
  <c r="N2189" i="1"/>
  <c r="W2189" i="1" s="1"/>
  <c r="N1963" i="1"/>
  <c r="W1963" i="1" s="1"/>
  <c r="N1698" i="1"/>
  <c r="W1698" i="1" s="1"/>
  <c r="N1812" i="1"/>
  <c r="W1812" i="1" s="1"/>
  <c r="N1289" i="1"/>
  <c r="N1666" i="1"/>
  <c r="W1666" i="1" s="1"/>
  <c r="N1560" i="1"/>
  <c r="N553" i="1"/>
  <c r="N563" i="1"/>
  <c r="W563" i="1" s="1"/>
  <c r="N2050" i="1"/>
  <c r="W2050" i="1" s="1"/>
  <c r="N2186" i="1"/>
  <c r="W2186" i="1" s="1"/>
  <c r="N1899" i="1"/>
  <c r="W1899" i="1" s="1"/>
  <c r="N1684" i="1"/>
  <c r="N1780" i="1"/>
  <c r="W1780" i="1" s="1"/>
  <c r="N1459" i="1"/>
  <c r="N1377" i="1"/>
  <c r="N1621" i="1"/>
  <c r="W1621" i="1" s="1"/>
  <c r="N1441" i="1"/>
  <c r="N531" i="1"/>
  <c r="W531" i="1" s="1"/>
  <c r="N1986" i="1"/>
  <c r="W1986" i="1" s="1"/>
  <c r="N1001" i="1"/>
  <c r="W1001" i="1" s="1"/>
  <c r="N1194" i="1"/>
  <c r="W1194" i="1" s="1"/>
  <c r="N1601" i="1"/>
  <c r="W1601" i="1" s="1"/>
  <c r="N1421" i="1"/>
  <c r="W1421" i="1" s="1"/>
  <c r="N810" i="1"/>
  <c r="S810" i="1" s="1"/>
  <c r="N521" i="1"/>
  <c r="Q521" i="1" s="1"/>
  <c r="N1954" i="1"/>
  <c r="W1954" i="1" s="1"/>
  <c r="N1401" i="1"/>
  <c r="W1401" i="1" s="1"/>
  <c r="N2422" i="1"/>
  <c r="W2422" i="1" s="1"/>
  <c r="N2059" i="1"/>
  <c r="W2059" i="1" s="1"/>
  <c r="N2159" i="1"/>
  <c r="W2159" i="1" s="1"/>
  <c r="N2027" i="1"/>
  <c r="W2027" i="1" s="1"/>
  <c r="N1826" i="1"/>
  <c r="W1826" i="1" s="1"/>
  <c r="N1748" i="1"/>
  <c r="W1748" i="1" s="1"/>
  <c r="N1675" i="1"/>
  <c r="N1409" i="1"/>
  <c r="N1389" i="1"/>
  <c r="W1389" i="1" s="1"/>
  <c r="N947" i="1"/>
  <c r="N1532" i="1"/>
  <c r="W1532" i="1" s="1"/>
  <c r="N790" i="1"/>
  <c r="S790" i="1" s="1"/>
  <c r="N648" i="1"/>
  <c r="W648" i="1" s="1"/>
  <c r="N1138" i="1"/>
  <c r="N1922" i="1"/>
  <c r="W1922" i="1" s="1"/>
  <c r="N634" i="1"/>
  <c r="W634" i="1" s="1"/>
  <c r="N1443" i="1"/>
  <c r="S1443" i="1" s="1"/>
  <c r="N1177" i="1"/>
  <c r="W1177" i="1" s="1"/>
  <c r="N614" i="1"/>
  <c r="W614" i="1" s="1"/>
  <c r="N2321" i="1"/>
  <c r="W2321" i="1" s="1"/>
  <c r="N2486" i="1"/>
  <c r="W2486" i="1" s="1"/>
  <c r="N2058" i="1"/>
  <c r="N2291" i="1"/>
  <c r="W2291" i="1" s="1"/>
  <c r="N978" i="1"/>
  <c r="N1235" i="1"/>
  <c r="N1108" i="1"/>
  <c r="W1108" i="1" s="1"/>
  <c r="N1136" i="1"/>
  <c r="N2364" i="1"/>
  <c r="W2364" i="1" s="1"/>
  <c r="N2454" i="1"/>
  <c r="W2454" i="1" s="1"/>
  <c r="N1100" i="1"/>
  <c r="N2305" i="1"/>
  <c r="W2305" i="1" s="1"/>
  <c r="N2353" i="1"/>
  <c r="W2353" i="1" s="1"/>
  <c r="N2333" i="1"/>
  <c r="W2333" i="1" s="1"/>
  <c r="N1067" i="1"/>
  <c r="W1067" i="1" s="1"/>
  <c r="N995" i="1"/>
  <c r="N1554" i="1"/>
  <c r="W1554" i="1" s="1"/>
  <c r="N1000" i="1"/>
  <c r="N1509" i="1"/>
  <c r="W1509" i="1" s="1"/>
  <c r="N1190" i="1"/>
  <c r="N1127" i="1"/>
  <c r="W1127" i="1" s="1"/>
  <c r="N1034" i="1"/>
  <c r="N2377" i="1"/>
  <c r="W2377" i="1" s="1"/>
  <c r="N1155" i="1"/>
  <c r="N916" i="1"/>
  <c r="N937" i="1"/>
  <c r="N1173" i="1"/>
  <c r="W1173" i="1" s="1"/>
  <c r="N1800" i="1"/>
  <c r="W1800" i="1" s="1"/>
  <c r="N1736" i="1"/>
  <c r="N1129" i="1"/>
  <c r="W1129" i="1" s="1"/>
  <c r="N1378" i="1"/>
  <c r="W1378" i="1" s="1"/>
  <c r="N509" i="1"/>
  <c r="N901" i="1"/>
  <c r="N1065" i="1"/>
  <c r="W1065" i="1" s="1"/>
  <c r="N1362" i="1"/>
  <c r="W1362" i="1" s="1"/>
  <c r="N1030" i="1"/>
  <c r="N1288" i="1"/>
  <c r="N1095" i="1"/>
  <c r="N1420" i="1"/>
  <c r="N1251" i="1"/>
  <c r="N859" i="1"/>
  <c r="W859" i="1" s="1"/>
  <c r="N970" i="1"/>
  <c r="N1832" i="1"/>
  <c r="W1832" i="1" s="1"/>
  <c r="N1055" i="1"/>
  <c r="W1055" i="1" s="1"/>
  <c r="N1025" i="1"/>
  <c r="N1461" i="1"/>
  <c r="N1273" i="1"/>
  <c r="N1308" i="1"/>
  <c r="W1308" i="1" s="1"/>
  <c r="N1063" i="1"/>
  <c r="W1063" i="1" s="1"/>
  <c r="N996" i="1"/>
  <c r="N605" i="1"/>
  <c r="W605" i="1" s="1"/>
  <c r="N1231" i="1"/>
  <c r="N638" i="1"/>
  <c r="W638" i="1" s="1"/>
  <c r="N844" i="1"/>
  <c r="N2457" i="1"/>
  <c r="W2457" i="1" s="1"/>
  <c r="N1372" i="1"/>
  <c r="W1372" i="1" s="1"/>
  <c r="N1490" i="1"/>
  <c r="W1490" i="1" s="1"/>
  <c r="N1404" i="1"/>
  <c r="N1219" i="1"/>
  <c r="N607" i="1"/>
  <c r="W607" i="1" s="1"/>
  <c r="N1555" i="1"/>
  <c r="W1555" i="1" s="1"/>
  <c r="N672" i="1"/>
  <c r="W672" i="1" s="1"/>
  <c r="N834" i="1"/>
  <c r="N2308" i="1"/>
  <c r="W2308" i="1" s="1"/>
  <c r="N2282" i="1"/>
  <c r="W2282" i="1" s="1"/>
  <c r="N1099" i="1"/>
  <c r="W1099" i="1" s="1"/>
  <c r="N1594" i="1"/>
  <c r="W1594" i="1" s="1"/>
  <c r="N1478" i="1"/>
  <c r="W1478" i="1" s="1"/>
  <c r="N1334" i="1"/>
  <c r="W1334" i="1" s="1"/>
  <c r="N575" i="1"/>
  <c r="Q575" i="1" s="1"/>
  <c r="N2220" i="1"/>
  <c r="W2220" i="1" s="1"/>
  <c r="N1526" i="1"/>
  <c r="N1156" i="1"/>
  <c r="N1590" i="1"/>
  <c r="N1462" i="1"/>
  <c r="W1462" i="1" s="1"/>
  <c r="N1093" i="1"/>
  <c r="W1093" i="1" s="1"/>
  <c r="N1537" i="1"/>
  <c r="W1537" i="1" s="1"/>
  <c r="N1425" i="1"/>
  <c r="N1310" i="1"/>
  <c r="N933" i="1"/>
  <c r="N543" i="1"/>
  <c r="W543" i="1" s="1"/>
  <c r="N895" i="1"/>
  <c r="N1337" i="1"/>
  <c r="N1339" i="1"/>
  <c r="N1187" i="1"/>
  <c r="N1674" i="1"/>
  <c r="Q1674" i="1" s="1"/>
  <c r="N1282" i="1"/>
  <c r="N1519" i="1"/>
  <c r="N1076" i="1"/>
  <c r="W1076" i="1" s="1"/>
  <c r="N1609" i="1"/>
  <c r="N1397" i="1"/>
  <c r="W1397" i="1" s="1"/>
  <c r="N1382" i="1"/>
  <c r="N1145" i="1"/>
  <c r="N1144" i="1"/>
  <c r="R1144" i="1" s="1"/>
  <c r="N1245" i="1"/>
  <c r="N2393" i="1"/>
  <c r="W2393" i="1" s="1"/>
  <c r="N2371" i="1"/>
  <c r="N1515" i="1"/>
  <c r="W1515" i="1" s="1"/>
  <c r="N1359" i="1"/>
  <c r="W1359" i="1" s="1"/>
  <c r="N927" i="1"/>
  <c r="N2152" i="1"/>
  <c r="W2152" i="1" s="1"/>
  <c r="N1292" i="1"/>
  <c r="N1071" i="1"/>
  <c r="W1071" i="1" s="1"/>
  <c r="N1303" i="1"/>
  <c r="N2272" i="1"/>
  <c r="W2272" i="1" s="1"/>
  <c r="N2330" i="1"/>
  <c r="W2330" i="1" s="1"/>
  <c r="N2481" i="1"/>
  <c r="N2196" i="1"/>
  <c r="W2196" i="1" s="1"/>
  <c r="N1770" i="1"/>
  <c r="W1770" i="1" s="1"/>
  <c r="N1583" i="1"/>
  <c r="R1583" i="1" s="1"/>
  <c r="N1512" i="1"/>
  <c r="W1512" i="1" s="1"/>
  <c r="N1167" i="1"/>
  <c r="N570" i="1"/>
  <c r="W570" i="1" s="1"/>
  <c r="N1994" i="1"/>
  <c r="W1994" i="1" s="1"/>
  <c r="N1465" i="1"/>
  <c r="Q1465" i="1" s="1"/>
  <c r="N900" i="1"/>
  <c r="N2300" i="1"/>
  <c r="W2300" i="1" s="1"/>
  <c r="N1224" i="1"/>
  <c r="N975" i="1"/>
  <c r="W975" i="1" s="1"/>
  <c r="N538" i="1"/>
  <c r="N1018" i="1"/>
  <c r="N2449" i="1"/>
  <c r="W2449" i="1" s="1"/>
  <c r="N1483" i="1"/>
  <c r="W1483" i="1" s="1"/>
  <c r="N1162" i="1"/>
  <c r="N1455" i="1"/>
  <c r="N1004" i="1"/>
  <c r="N2146" i="1"/>
  <c r="W2146" i="1" s="1"/>
  <c r="N1547" i="1"/>
  <c r="W1547" i="1" s="1"/>
  <c r="N1513" i="1"/>
  <c r="R1513" i="1" s="1"/>
  <c r="N1043" i="1"/>
  <c r="W1043" i="1" s="1"/>
  <c r="N1048" i="1"/>
  <c r="W1048" i="1" s="1"/>
  <c r="N2312" i="1"/>
  <c r="W2312" i="1" s="1"/>
  <c r="N2161" i="1"/>
  <c r="W2161" i="1" s="1"/>
  <c r="N2258" i="1"/>
  <c r="W2258" i="1" s="1"/>
  <c r="N2411" i="1"/>
  <c r="W2411" i="1" s="1"/>
  <c r="N2100" i="1"/>
  <c r="W2100" i="1" s="1"/>
  <c r="N2068" i="1"/>
  <c r="W2068" i="1" s="1"/>
  <c r="N2041" i="1"/>
  <c r="W2041" i="1" s="1"/>
  <c r="N1972" i="1"/>
  <c r="N1945" i="1"/>
  <c r="W1945" i="1" s="1"/>
  <c r="N1029" i="1"/>
  <c r="W1029" i="1" s="1"/>
  <c r="N910" i="1"/>
  <c r="N2318" i="1"/>
  <c r="W2318" i="1" s="1"/>
  <c r="N1735" i="1"/>
  <c r="W1735" i="1" s="1"/>
  <c r="N1340" i="1"/>
  <c r="N2246" i="1"/>
  <c r="W2246" i="1" s="1"/>
  <c r="N2056" i="1"/>
  <c r="W2056" i="1" s="1"/>
  <c r="N1991" i="1"/>
  <c r="W1991" i="1" s="1"/>
  <c r="N999" i="1"/>
  <c r="W999" i="1" s="1"/>
  <c r="N936" i="1"/>
  <c r="W936" i="1" s="1"/>
  <c r="N646" i="1"/>
  <c r="N1977" i="1"/>
  <c r="W1977" i="1" s="1"/>
  <c r="N2009" i="1"/>
  <c r="W2009" i="1" s="1"/>
  <c r="N2036" i="1"/>
  <c r="N1128" i="1"/>
  <c r="W1128" i="1" s="1"/>
  <c r="N1849" i="1"/>
  <c r="W1849" i="1" s="1"/>
  <c r="N1619" i="1"/>
  <c r="N1028" i="1"/>
  <c r="N2004" i="1"/>
  <c r="W2004" i="1" s="1"/>
  <c r="N2389" i="1"/>
  <c r="W2389" i="1" s="1"/>
  <c r="N1817" i="1"/>
  <c r="W1817" i="1" s="1"/>
  <c r="N2173" i="1"/>
  <c r="W2173" i="1" s="1"/>
  <c r="N2490" i="1"/>
  <c r="N656" i="1"/>
  <c r="W656" i="1" s="1"/>
  <c r="N2475" i="1"/>
  <c r="W2475" i="1" s="1"/>
  <c r="N2367" i="1"/>
  <c r="N969" i="1"/>
  <c r="N1254" i="1"/>
  <c r="N851" i="1"/>
  <c r="N1024" i="1"/>
  <c r="N2150" i="1"/>
  <c r="W2150" i="1" s="1"/>
  <c r="N1247" i="1"/>
  <c r="N1249" i="1"/>
  <c r="N2452" i="1"/>
  <c r="W2452" i="1" s="1"/>
  <c r="N2415" i="1"/>
  <c r="W2415" i="1" s="1"/>
  <c r="N2088" i="1"/>
  <c r="N1657" i="1"/>
  <c r="W1657" i="1" s="1"/>
  <c r="N518" i="1"/>
  <c r="W518" i="1" s="1"/>
  <c r="N2176" i="1"/>
  <c r="W2176" i="1" s="1"/>
  <c r="N1221" i="1"/>
  <c r="N1189" i="1"/>
  <c r="N2324" i="1"/>
  <c r="W2324" i="1" s="1"/>
  <c r="N2409" i="1"/>
  <c r="W2409" i="1" s="1"/>
  <c r="N2144" i="1"/>
  <c r="W2144" i="1" s="1"/>
  <c r="N1578" i="1"/>
  <c r="W1578" i="1" s="1"/>
  <c r="N1565" i="1"/>
  <c r="N1393" i="1"/>
  <c r="N1596" i="1"/>
  <c r="W1596" i="1" s="1"/>
  <c r="N1500" i="1"/>
  <c r="Q1500" i="1" s="1"/>
  <c r="N636" i="1"/>
  <c r="W636" i="1" s="1"/>
  <c r="N2352" i="1"/>
  <c r="W2352" i="1" s="1"/>
  <c r="N2024" i="1"/>
  <c r="N2412" i="1"/>
  <c r="W2412" i="1" s="1"/>
  <c r="N2223" i="1"/>
  <c r="W2223" i="1" s="1"/>
  <c r="N1764" i="1"/>
  <c r="W1764" i="1" s="1"/>
  <c r="N1033" i="1"/>
  <c r="N1451" i="1"/>
  <c r="N1375" i="1"/>
  <c r="N1214" i="1"/>
  <c r="N1246" i="1"/>
  <c r="N1549" i="1"/>
  <c r="W1549" i="1" s="1"/>
  <c r="N1488" i="1"/>
  <c r="W1488" i="1" s="1"/>
  <c r="N872" i="1"/>
  <c r="N2295" i="1"/>
  <c r="W2295" i="1" s="1"/>
  <c r="N1518" i="1"/>
  <c r="W1518" i="1" s="1"/>
  <c r="N979" i="1"/>
  <c r="N2120" i="1"/>
  <c r="W2120" i="1" s="1"/>
  <c r="N1747" i="1"/>
  <c r="W1747" i="1" s="1"/>
  <c r="N1182" i="1"/>
  <c r="S1182" i="1" s="1"/>
  <c r="N1484" i="1"/>
  <c r="N815" i="1"/>
  <c r="W815" i="1" s="1"/>
  <c r="N586" i="1"/>
  <c r="W586" i="1" s="1"/>
  <c r="N968" i="1"/>
  <c r="W968" i="1" s="1"/>
  <c r="N2273" i="1"/>
  <c r="N2473" i="1"/>
  <c r="N2387" i="1"/>
  <c r="N2199" i="1"/>
  <c r="N1439" i="1"/>
  <c r="N1529" i="1"/>
  <c r="N1279" i="1"/>
  <c r="N1130" i="1"/>
  <c r="N831" i="1"/>
  <c r="N691" i="1"/>
  <c r="W691" i="1" s="1"/>
  <c r="N942" i="1"/>
  <c r="N1311" i="1"/>
  <c r="N664" i="1"/>
  <c r="W664" i="1" s="1"/>
  <c r="N1346" i="1"/>
  <c r="N998" i="1"/>
  <c r="N1605" i="1"/>
  <c r="N1278" i="1"/>
  <c r="N554" i="1"/>
  <c r="W554" i="1" s="1"/>
  <c r="N1992" i="1"/>
  <c r="N2346" i="1"/>
  <c r="W2346" i="1" s="1"/>
  <c r="N2250" i="1"/>
  <c r="W2250" i="1" s="1"/>
  <c r="N1828" i="1"/>
  <c r="W1828" i="1" s="1"/>
  <c r="N550" i="1"/>
  <c r="N2374" i="1"/>
  <c r="W2374" i="1" s="1"/>
  <c r="N1700" i="1"/>
  <c r="N1732" i="1"/>
  <c r="W1732" i="1" s="1"/>
  <c r="N1636" i="1"/>
  <c r="W1636" i="1" s="1"/>
  <c r="N1066" i="1"/>
  <c r="W1066" i="1" s="1"/>
  <c r="N536" i="1"/>
  <c r="W536" i="1" s="1"/>
  <c r="N1157" i="1"/>
  <c r="N2048" i="1"/>
  <c r="N1779" i="1"/>
  <c r="W1779" i="1" s="1"/>
  <c r="N1614" i="1"/>
  <c r="N1039" i="1"/>
  <c r="W1039" i="1" s="1"/>
  <c r="N1123" i="1"/>
  <c r="N847" i="1"/>
  <c r="N631" i="1"/>
  <c r="W631" i="1" s="1"/>
  <c r="N1197" i="1"/>
  <c r="N1971" i="1"/>
  <c r="W1971" i="1" s="1"/>
  <c r="N2479" i="1"/>
  <c r="W2479" i="1" s="1"/>
  <c r="N2349" i="1"/>
  <c r="W2349" i="1" s="1"/>
  <c r="N1335" i="1"/>
  <c r="N2406" i="1"/>
  <c r="W2406" i="1" s="1"/>
  <c r="N1713" i="1"/>
  <c r="N1715" i="1"/>
  <c r="N1304" i="1"/>
  <c r="N1059" i="1"/>
  <c r="W1059" i="1" s="1"/>
  <c r="N1434" i="1"/>
  <c r="W1434" i="1" s="1"/>
  <c r="N1040" i="1"/>
  <c r="N1649" i="1"/>
  <c r="W1649" i="1" s="1"/>
  <c r="N2067" i="1"/>
  <c r="W2067" i="1" s="1"/>
  <c r="N2289" i="1"/>
  <c r="N2003" i="1"/>
  <c r="W2003" i="1" s="1"/>
  <c r="N1843" i="1"/>
  <c r="W1843" i="1" s="1"/>
  <c r="N1681" i="1"/>
  <c r="N1268" i="1"/>
  <c r="N1009" i="1"/>
  <c r="S1009" i="1" s="1"/>
  <c r="N1492" i="1"/>
  <c r="W1492" i="1" s="1"/>
  <c r="N2247" i="1"/>
  <c r="W2247" i="1" s="1"/>
  <c r="N2447" i="1"/>
  <c r="W2447" i="1" s="1"/>
  <c r="N1875" i="1"/>
  <c r="W1875" i="1" s="1"/>
  <c r="N1494" i="1"/>
  <c r="S1494" i="1" s="1"/>
  <c r="N1103" i="1"/>
  <c r="N1552" i="1"/>
  <c r="N1008" i="1"/>
  <c r="N660" i="1"/>
  <c r="W660" i="1" s="1"/>
  <c r="N2215" i="1"/>
  <c r="N2099" i="1"/>
  <c r="W2099" i="1" s="1"/>
  <c r="N2084" i="1"/>
  <c r="W2084" i="1" s="1"/>
  <c r="N1586" i="1"/>
  <c r="W1586" i="1" s="1"/>
  <c r="N1581" i="1"/>
  <c r="N1075" i="1"/>
  <c r="W1075" i="1" s="1"/>
  <c r="N1139" i="1"/>
  <c r="N568" i="1"/>
  <c r="N600" i="1"/>
  <c r="W600" i="1" s="1"/>
  <c r="N1370" i="1"/>
  <c r="W1370" i="1" s="1"/>
  <c r="N1293" i="1"/>
  <c r="N2484" i="1"/>
  <c r="N2322" i="1"/>
  <c r="W2322" i="1" s="1"/>
  <c r="N2157" i="1"/>
  <c r="W2157" i="1" s="1"/>
  <c r="N1939" i="1"/>
  <c r="W1939" i="1" s="1"/>
  <c r="N1272" i="1"/>
  <c r="N1402" i="1"/>
  <c r="N944" i="1"/>
  <c r="N904" i="1"/>
  <c r="N817" i="1"/>
  <c r="N2254" i="1"/>
  <c r="W2254" i="1" s="1"/>
  <c r="N2035" i="1"/>
  <c r="W2035" i="1" s="1"/>
  <c r="N1261" i="1"/>
  <c r="N504" i="1"/>
  <c r="N1104" i="1"/>
  <c r="N2368" i="1"/>
  <c r="W2368" i="1" s="1"/>
  <c r="N2168" i="1"/>
  <c r="W2168" i="1" s="1"/>
  <c r="N1466" i="1"/>
  <c r="W1466" i="1" s="1"/>
  <c r="N1464" i="1"/>
  <c r="N2276" i="1"/>
  <c r="W2276" i="1" s="1"/>
  <c r="N1165" i="1"/>
  <c r="N2160" i="1"/>
  <c r="W2160" i="1" s="1"/>
  <c r="N2408" i="1"/>
  <c r="W2408" i="1" s="1"/>
  <c r="N2397" i="1"/>
  <c r="W2397" i="1" s="1"/>
  <c r="N2309" i="1"/>
  <c r="W2309" i="1" s="1"/>
  <c r="N2062" i="1"/>
  <c r="W2062" i="1" s="1"/>
  <c r="N2094" i="1"/>
  <c r="W2094" i="1" s="1"/>
  <c r="N1781" i="1"/>
  <c r="N1710" i="1"/>
  <c r="W1710" i="1" s="1"/>
  <c r="N1486" i="1"/>
  <c r="W1486" i="1" s="1"/>
  <c r="N1208" i="1"/>
  <c r="N1007" i="1"/>
  <c r="W1007" i="1" s="1"/>
  <c r="N1616" i="1"/>
  <c r="W1616" i="1" s="1"/>
  <c r="N1544" i="1"/>
  <c r="N1408" i="1"/>
  <c r="N805" i="1"/>
  <c r="N797" i="1"/>
  <c r="N617" i="1"/>
  <c r="N880" i="1"/>
  <c r="W880" i="1" s="1"/>
  <c r="N1966" i="1"/>
  <c r="W1966" i="1" s="1"/>
  <c r="N2237" i="1"/>
  <c r="W2237" i="1" s="1"/>
  <c r="N2458" i="1"/>
  <c r="W2458" i="1" s="1"/>
  <c r="N1205" i="1"/>
  <c r="N1870" i="1"/>
  <c r="W1870" i="1" s="1"/>
  <c r="N2376" i="1"/>
  <c r="W2376" i="1" s="1"/>
  <c r="N2335" i="1"/>
  <c r="N2075" i="1"/>
  <c r="W2075" i="1" s="1"/>
  <c r="N1947" i="1"/>
  <c r="W1947" i="1" s="1"/>
  <c r="N2261" i="1"/>
  <c r="N1774" i="1"/>
  <c r="W1774" i="1" s="1"/>
  <c r="N1749" i="1"/>
  <c r="W1749" i="1" s="1"/>
  <c r="N1242" i="1"/>
  <c r="N1091" i="1"/>
  <c r="N1550" i="1"/>
  <c r="W1550" i="1" s="1"/>
  <c r="N1410" i="1"/>
  <c r="N1266" i="1"/>
  <c r="N1196" i="1"/>
  <c r="N1376" i="1"/>
  <c r="N1178" i="1"/>
  <c r="W1178" i="1" s="1"/>
  <c r="N1600" i="1"/>
  <c r="N1080" i="1"/>
  <c r="S1080" i="1" s="1"/>
  <c r="N861" i="1"/>
  <c r="W861" i="1" s="1"/>
  <c r="N934" i="1"/>
  <c r="N853" i="1"/>
  <c r="W853" i="1" s="1"/>
  <c r="N1934" i="1"/>
  <c r="W1934" i="1" s="1"/>
  <c r="N2209" i="1"/>
  <c r="W2209" i="1" s="1"/>
  <c r="N2426" i="1"/>
  <c r="W2426" i="1" s="1"/>
  <c r="N2030" i="1"/>
  <c r="W2030" i="1" s="1"/>
  <c r="N2329" i="1"/>
  <c r="W2329" i="1" s="1"/>
  <c r="N1579" i="1"/>
  <c r="N1838" i="1"/>
  <c r="W1838" i="1" s="1"/>
  <c r="N1909" i="1"/>
  <c r="W1909" i="1" s="1"/>
  <c r="N682" i="1"/>
  <c r="N1074" i="1"/>
  <c r="N2476" i="1"/>
  <c r="N1979" i="1"/>
  <c r="W1979" i="1" s="1"/>
  <c r="N1717" i="1"/>
  <c r="W1717" i="1" s="1"/>
  <c r="N1678" i="1"/>
  <c r="N1369" i="1"/>
  <c r="N1659" i="1"/>
  <c r="W1659" i="1" s="1"/>
  <c r="N1559" i="1"/>
  <c r="W1559" i="1" s="1"/>
  <c r="N1361" i="1"/>
  <c r="N1176" i="1"/>
  <c r="N629" i="1"/>
  <c r="N583" i="1"/>
  <c r="Q583" i="1" s="1"/>
  <c r="N1082" i="1"/>
  <c r="N1341" i="1"/>
  <c r="N856" i="1"/>
  <c r="W856" i="1" s="1"/>
  <c r="N566" i="1"/>
  <c r="W566" i="1" s="1"/>
  <c r="N1902" i="1"/>
  <c r="W1902" i="1" s="1"/>
  <c r="N2181" i="1"/>
  <c r="W2181" i="1" s="1"/>
  <c r="N2037" i="1"/>
  <c r="W2037" i="1" s="1"/>
  <c r="N675" i="1"/>
  <c r="W675" i="1" s="1"/>
  <c r="N1646" i="1"/>
  <c r="N1888" i="1"/>
  <c r="N1877" i="1"/>
  <c r="W1877" i="1" s="1"/>
  <c r="N950" i="1"/>
  <c r="N1102" i="1"/>
  <c r="N2338" i="1"/>
  <c r="W2338" i="1" s="1"/>
  <c r="N2112" i="1"/>
  <c r="W2112" i="1" s="1"/>
  <c r="N2260" i="1"/>
  <c r="W2260" i="1" s="1"/>
  <c r="N2043" i="1"/>
  <c r="W2043" i="1" s="1"/>
  <c r="N1787" i="1"/>
  <c r="W1787" i="1" s="1"/>
  <c r="N1851" i="1"/>
  <c r="W1851" i="1" s="1"/>
  <c r="N1813" i="1"/>
  <c r="W1813" i="1" s="1"/>
  <c r="N1274" i="1"/>
  <c r="N1119" i="1"/>
  <c r="W1119" i="1" s="1"/>
  <c r="N965" i="1"/>
  <c r="N1298" i="1"/>
  <c r="N1588" i="1"/>
  <c r="W1588" i="1" s="1"/>
  <c r="N1472" i="1"/>
  <c r="W1472" i="1" s="1"/>
  <c r="N1350" i="1"/>
  <c r="N1038" i="1"/>
  <c r="N534" i="1"/>
  <c r="W534" i="1" s="1"/>
  <c r="N2101" i="1"/>
  <c r="W2101" i="1" s="1"/>
  <c r="N1426" i="1"/>
  <c r="N515" i="1"/>
  <c r="W515" i="1" s="1"/>
  <c r="N951" i="1"/>
  <c r="N1845" i="1"/>
  <c r="W1845" i="1" s="1"/>
  <c r="N918" i="1"/>
  <c r="N1806" i="1"/>
  <c r="W1806" i="1" s="1"/>
  <c r="N1427" i="1"/>
  <c r="N1458" i="1"/>
  <c r="N1394" i="1"/>
  <c r="N1306" i="1"/>
  <c r="N1263" i="1"/>
  <c r="N832" i="1"/>
  <c r="N551" i="1"/>
  <c r="W551" i="1" s="1"/>
  <c r="N903" i="1"/>
  <c r="N611" i="1"/>
  <c r="W611" i="1" s="1"/>
  <c r="N2496" i="1"/>
  <c r="N2153" i="1"/>
  <c r="W2153" i="1" s="1"/>
  <c r="N919" i="1"/>
  <c r="N2372" i="1"/>
  <c r="W2372" i="1" s="1"/>
  <c r="N2080" i="1"/>
  <c r="W2080" i="1" s="1"/>
  <c r="N2239" i="1"/>
  <c r="P2241" i="1" s="1"/>
  <c r="N2283" i="1"/>
  <c r="W2283" i="1" s="1"/>
  <c r="N2148" i="1"/>
  <c r="W2148" i="1" s="1"/>
  <c r="N2135" i="1"/>
  <c r="N2069" i="1"/>
  <c r="W2069" i="1" s="1"/>
  <c r="N1685" i="1"/>
  <c r="N1742" i="1"/>
  <c r="W1742" i="1" s="1"/>
  <c r="N1531" i="1"/>
  <c r="N1502" i="1"/>
  <c r="W1502" i="1" s="1"/>
  <c r="N1276" i="1"/>
  <c r="N1440" i="1"/>
  <c r="N1016" i="1"/>
  <c r="W1016" i="1" s="1"/>
  <c r="N1146" i="1"/>
  <c r="N891" i="1"/>
  <c r="N659" i="1"/>
  <c r="W659" i="1" s="1"/>
  <c r="N579" i="1"/>
  <c r="W579" i="1" s="1"/>
  <c r="N2011" i="1"/>
  <c r="W2011" i="1" s="1"/>
  <c r="N2464" i="1"/>
  <c r="W2464" i="1" s="1"/>
  <c r="N2131" i="1"/>
  <c r="N1325" i="1"/>
  <c r="N547" i="1"/>
  <c r="W547" i="1" s="1"/>
  <c r="N1516" i="1"/>
  <c r="N2378" i="1"/>
  <c r="W2378" i="1" s="1"/>
  <c r="N2182" i="1"/>
  <c r="W2182" i="1" s="1"/>
  <c r="N2107" i="1"/>
  <c r="W2107" i="1" s="1"/>
  <c r="N1915" i="1"/>
  <c r="W1915" i="1" s="1"/>
  <c r="N1973" i="1"/>
  <c r="W1973" i="1" s="1"/>
  <c r="N1883" i="1"/>
  <c r="W1883" i="1" s="1"/>
  <c r="N1723" i="1"/>
  <c r="W1723" i="1" s="1"/>
  <c r="N1573" i="1"/>
  <c r="N1485" i="1"/>
  <c r="W1485" i="1" s="1"/>
  <c r="N1046" i="1"/>
  <c r="W1046" i="1" s="1"/>
  <c r="N1210" i="1"/>
  <c r="N1496" i="1"/>
  <c r="N519" i="1"/>
  <c r="N871" i="1"/>
  <c r="N2255" i="1"/>
  <c r="W2255" i="1" s="1"/>
  <c r="N2005" i="1"/>
  <c r="W2005" i="1" s="1"/>
  <c r="N2180" i="1"/>
  <c r="W2180" i="1" s="1"/>
  <c r="N840" i="1"/>
  <c r="N898" i="1"/>
  <c r="N649" i="1"/>
  <c r="W649" i="1" s="1"/>
  <c r="S2508" i="19"/>
  <c r="R2508" i="19"/>
  <c r="Q2508" i="19"/>
  <c r="S1549" i="19"/>
  <c r="R1549" i="19"/>
  <c r="Q1549" i="19"/>
  <c r="S1347" i="19"/>
  <c r="R1347" i="19"/>
  <c r="Q1347" i="19"/>
  <c r="Q1013" i="19"/>
  <c r="S1013" i="19"/>
  <c r="R1013" i="19"/>
  <c r="S904" i="19"/>
  <c r="R904" i="19"/>
  <c r="Q904" i="19"/>
  <c r="S896" i="19"/>
  <c r="R896" i="19"/>
  <c r="Q896" i="19"/>
  <c r="S2239" i="19"/>
  <c r="R2239" i="19"/>
  <c r="Q2239" i="19"/>
  <c r="P2243" i="19"/>
  <c r="P2242" i="19"/>
  <c r="P2241" i="19"/>
  <c r="P2244" i="19"/>
  <c r="P2240" i="19"/>
  <c r="Q1702" i="19"/>
  <c r="S1702" i="19"/>
  <c r="R1702" i="19"/>
  <c r="S1526" i="19"/>
  <c r="R1526" i="19"/>
  <c r="Q1526" i="19"/>
  <c r="S248" i="19"/>
  <c r="R248" i="19"/>
  <c r="Q248" i="19"/>
  <c r="S215" i="19"/>
  <c r="R215" i="19"/>
  <c r="Q215" i="19"/>
  <c r="S1516" i="19"/>
  <c r="R1516" i="19"/>
  <c r="Q1516" i="19"/>
  <c r="Q1362" i="19"/>
  <c r="S1362" i="19"/>
  <c r="R1362" i="19"/>
  <c r="S59" i="19"/>
  <c r="R59" i="19"/>
  <c r="Q59" i="19"/>
  <c r="S838" i="19"/>
  <c r="R838" i="19"/>
  <c r="Q838" i="19"/>
  <c r="S1593" i="1"/>
  <c r="R1593" i="1"/>
  <c r="Q1593" i="1"/>
  <c r="S1198" i="1"/>
  <c r="R1198" i="1"/>
  <c r="Q1198" i="1"/>
  <c r="Q1508" i="1"/>
  <c r="S1508" i="1"/>
  <c r="R1508" i="1"/>
  <c r="S803" i="1"/>
  <c r="R803" i="1"/>
  <c r="Q803" i="1"/>
  <c r="Q54" i="1"/>
  <c r="S54" i="1"/>
  <c r="R54" i="1"/>
  <c r="S402" i="1"/>
  <c r="R402" i="1"/>
  <c r="Q402" i="1"/>
  <c r="S61" i="1"/>
  <c r="R61" i="1"/>
  <c r="Q61" i="1"/>
  <c r="Q1429" i="1"/>
  <c r="S1429" i="1"/>
  <c r="R1429" i="1"/>
  <c r="P2374" i="19"/>
  <c r="P2373" i="19"/>
  <c r="P2372" i="19"/>
  <c r="S2371" i="19"/>
  <c r="R2371" i="19"/>
  <c r="Q2371" i="19"/>
  <c r="S1501" i="1"/>
  <c r="R1501" i="1"/>
  <c r="Q1501" i="1"/>
  <c r="S1022" i="1"/>
  <c r="R1022" i="1"/>
  <c r="Q1022" i="1"/>
  <c r="Q1021" i="1"/>
  <c r="S1021" i="1"/>
  <c r="R1021" i="1"/>
  <c r="R1575" i="19"/>
  <c r="Q1575" i="19"/>
  <c r="S1575" i="19"/>
  <c r="S1696" i="1"/>
  <c r="R1696" i="1"/>
  <c r="Q1696" i="1"/>
  <c r="Q533" i="1"/>
  <c r="S533" i="1"/>
  <c r="R533" i="1"/>
  <c r="S966" i="19"/>
  <c r="R966" i="19"/>
  <c r="Q966" i="19"/>
  <c r="S1562" i="1"/>
  <c r="R1562" i="1"/>
  <c r="Q1562" i="1"/>
  <c r="S1351" i="1"/>
  <c r="R1351" i="1"/>
  <c r="Q1351" i="1"/>
  <c r="S1011" i="1"/>
  <c r="R1011" i="1"/>
  <c r="Q1011" i="1"/>
  <c r="S920" i="1"/>
  <c r="R920" i="1"/>
  <c r="Q920" i="1"/>
  <c r="P1778" i="19"/>
  <c r="P1777" i="19"/>
  <c r="S1776" i="19"/>
  <c r="R1776" i="19"/>
  <c r="P1779" i="19"/>
  <c r="Q1776" i="19"/>
  <c r="S1580" i="19"/>
  <c r="R1580" i="19"/>
  <c r="Q1580" i="19"/>
  <c r="R155" i="19"/>
  <c r="S155" i="19"/>
  <c r="Q155" i="19"/>
  <c r="S2290" i="19"/>
  <c r="R2290" i="19"/>
  <c r="Q2290" i="19"/>
  <c r="S740" i="19"/>
  <c r="R740" i="19"/>
  <c r="Q740" i="19"/>
  <c r="R2489" i="19"/>
  <c r="Q2489" i="19"/>
  <c r="S2489" i="19"/>
  <c r="S1681" i="19"/>
  <c r="R1681" i="19"/>
  <c r="Q1681" i="19"/>
  <c r="S1671" i="19"/>
  <c r="R1671" i="19"/>
  <c r="Q1671" i="19"/>
  <c r="Q1506" i="19"/>
  <c r="S1506" i="19"/>
  <c r="R1506" i="19"/>
  <c r="S1483" i="19"/>
  <c r="R1483" i="19"/>
  <c r="Q1483" i="19"/>
  <c r="R1319" i="19"/>
  <c r="Q1319" i="19"/>
  <c r="S1319" i="19"/>
  <c r="S1289" i="19"/>
  <c r="R1289" i="19"/>
  <c r="Q1289" i="19"/>
  <c r="S1443" i="19"/>
  <c r="R1443" i="19"/>
  <c r="Q1443" i="19"/>
  <c r="S1269" i="19"/>
  <c r="R1269" i="19"/>
  <c r="Q1269" i="19"/>
  <c r="S1107" i="19"/>
  <c r="R1107" i="19"/>
  <c r="Q1107" i="19"/>
  <c r="S1188" i="19"/>
  <c r="R1188" i="19"/>
  <c r="Q1188" i="19"/>
  <c r="S1227" i="19"/>
  <c r="R1227" i="19"/>
  <c r="Q1227" i="19"/>
  <c r="S1284" i="19"/>
  <c r="R1284" i="19"/>
  <c r="Q1284" i="19"/>
  <c r="S1127" i="19"/>
  <c r="R1127" i="19"/>
  <c r="Q1127" i="19"/>
  <c r="S1036" i="19"/>
  <c r="R1036" i="19"/>
  <c r="Q1036" i="19"/>
  <c r="Q949" i="19"/>
  <c r="S949" i="19"/>
  <c r="R949" i="19"/>
  <c r="S1067" i="19"/>
  <c r="R1067" i="19"/>
  <c r="Q1067" i="19"/>
  <c r="S1349" i="19"/>
  <c r="R1349" i="19"/>
  <c r="Q1349" i="19"/>
  <c r="Q973" i="19"/>
  <c r="S973" i="19"/>
  <c r="R973" i="19"/>
  <c r="S790" i="19"/>
  <c r="R790" i="19"/>
  <c r="Q790" i="19"/>
  <c r="S864" i="19"/>
  <c r="R864" i="19"/>
  <c r="Q864" i="19"/>
  <c r="S888" i="19"/>
  <c r="R888" i="19"/>
  <c r="Q888" i="19"/>
  <c r="S819" i="19"/>
  <c r="R819" i="19"/>
  <c r="Q819" i="19"/>
  <c r="S546" i="19"/>
  <c r="R546" i="19"/>
  <c r="Q546" i="19"/>
  <c r="S686" i="19"/>
  <c r="R686" i="19"/>
  <c r="Q686" i="19"/>
  <c r="S612" i="19"/>
  <c r="R612" i="19"/>
  <c r="Q612" i="19"/>
  <c r="Q690" i="19"/>
  <c r="S690" i="19"/>
  <c r="R690" i="19"/>
  <c r="Q504" i="19"/>
  <c r="P507" i="19"/>
  <c r="P506" i="19"/>
  <c r="P508" i="19"/>
  <c r="P505" i="19"/>
  <c r="S504" i="19"/>
  <c r="R504" i="19"/>
  <c r="S559" i="19"/>
  <c r="R559" i="19"/>
  <c r="Q559" i="19"/>
  <c r="S102" i="19"/>
  <c r="R102" i="19"/>
  <c r="Q102" i="19"/>
  <c r="S94" i="19"/>
  <c r="R94" i="19"/>
  <c r="Q94" i="19"/>
  <c r="S2495" i="19"/>
  <c r="R2495" i="19"/>
  <c r="Q2495" i="19"/>
  <c r="S1724" i="19"/>
  <c r="R1724" i="19"/>
  <c r="Q1724" i="19"/>
  <c r="P1741" i="19"/>
  <c r="S1740" i="19"/>
  <c r="R1740" i="19"/>
  <c r="Q1740" i="19"/>
  <c r="P1742" i="19"/>
  <c r="S1692" i="19"/>
  <c r="R1692" i="19"/>
  <c r="Q1692" i="19"/>
  <c r="S1693" i="19"/>
  <c r="R1693" i="19"/>
  <c r="Q1693" i="19"/>
  <c r="R1487" i="19"/>
  <c r="Q1487" i="19"/>
  <c r="S1487" i="19"/>
  <c r="S1389" i="19"/>
  <c r="R1389" i="19"/>
  <c r="Q1389" i="19"/>
  <c r="S1281" i="19"/>
  <c r="R1281" i="19"/>
  <c r="Q1281" i="19"/>
  <c r="S1155" i="19"/>
  <c r="R1155" i="19"/>
  <c r="Q1155" i="19"/>
  <c r="S1385" i="19"/>
  <c r="R1385" i="19"/>
  <c r="Q1385" i="19"/>
  <c r="R1218" i="19"/>
  <c r="Q1218" i="19"/>
  <c r="S1218" i="19"/>
  <c r="S1469" i="19"/>
  <c r="R1469" i="19"/>
  <c r="Q1469" i="19"/>
  <c r="S1301" i="19"/>
  <c r="R1301" i="19"/>
  <c r="Q1301" i="19"/>
  <c r="S1159" i="19"/>
  <c r="R1159" i="19"/>
  <c r="Q1159" i="19"/>
  <c r="R1002" i="19"/>
  <c r="Q1002" i="19"/>
  <c r="S1002" i="19"/>
  <c r="S1143" i="19"/>
  <c r="R1143" i="19"/>
  <c r="Q1143" i="19"/>
  <c r="S961" i="19"/>
  <c r="R961" i="19"/>
  <c r="Q961" i="19"/>
  <c r="R1066" i="19"/>
  <c r="Q1066" i="19"/>
  <c r="S1066" i="19"/>
  <c r="S939" i="19"/>
  <c r="R939" i="19"/>
  <c r="Q939" i="19"/>
  <c r="S827" i="19"/>
  <c r="R827" i="19"/>
  <c r="Q827" i="19"/>
  <c r="S828" i="19"/>
  <c r="R828" i="19"/>
  <c r="Q828" i="19"/>
  <c r="S692" i="19"/>
  <c r="R692" i="19"/>
  <c r="Q692" i="19"/>
  <c r="S891" i="19"/>
  <c r="R891" i="19"/>
  <c r="Q891" i="19"/>
  <c r="S807" i="19"/>
  <c r="R807" i="19"/>
  <c r="Q807" i="19"/>
  <c r="S528" i="19"/>
  <c r="R528" i="19"/>
  <c r="Q528" i="19"/>
  <c r="S246" i="19"/>
  <c r="R246" i="19"/>
  <c r="Q246" i="19"/>
  <c r="S548" i="19"/>
  <c r="R548" i="19"/>
  <c r="Q548" i="19"/>
  <c r="S1663" i="19"/>
  <c r="R1663" i="19"/>
  <c r="Q1663" i="19"/>
  <c r="R1439" i="19"/>
  <c r="Q1439" i="19"/>
  <c r="S1439" i="19"/>
  <c r="S1129" i="19"/>
  <c r="R1129" i="19"/>
  <c r="Q1129" i="19"/>
  <c r="S1719" i="19"/>
  <c r="R1719" i="19"/>
  <c r="Q1719" i="19"/>
  <c r="S1493" i="19"/>
  <c r="R1493" i="19"/>
  <c r="Q1493" i="19"/>
  <c r="S1060" i="19"/>
  <c r="R1060" i="19"/>
  <c r="Q1060" i="19"/>
  <c r="S1550" i="19"/>
  <c r="R1550" i="19"/>
  <c r="Q1550" i="19"/>
  <c r="Q1386" i="19"/>
  <c r="S1386" i="19"/>
  <c r="R1386" i="19"/>
  <c r="S1717" i="19"/>
  <c r="R1717" i="19"/>
  <c r="Q1717" i="19"/>
  <c r="Q1482" i="19"/>
  <c r="S1482" i="19"/>
  <c r="R1482" i="19"/>
  <c r="S1331" i="19"/>
  <c r="R1331" i="19"/>
  <c r="Q1331" i="19"/>
  <c r="S899" i="19"/>
  <c r="R899" i="19"/>
  <c r="Q899" i="19"/>
  <c r="R55" i="19"/>
  <c r="Q55" i="19"/>
  <c r="S55" i="19"/>
  <c r="S647" i="19"/>
  <c r="R647" i="19"/>
  <c r="Q647" i="19"/>
  <c r="P2184" i="19"/>
  <c r="S2183" i="19"/>
  <c r="P2186" i="19"/>
  <c r="R2183" i="19"/>
  <c r="Q2183" i="19"/>
  <c r="P2185" i="19"/>
  <c r="S1584" i="19"/>
  <c r="R1584" i="19"/>
  <c r="Q1584" i="19"/>
  <c r="S1315" i="19"/>
  <c r="R1315" i="19"/>
  <c r="Q1315" i="19"/>
  <c r="P1977" i="19"/>
  <c r="S1976" i="19"/>
  <c r="R1976" i="19"/>
  <c r="P1979" i="19"/>
  <c r="Q1976" i="19"/>
  <c r="P1978" i="19"/>
  <c r="S1409" i="19"/>
  <c r="R1409" i="19"/>
  <c r="Q1409" i="19"/>
  <c r="S1557" i="19"/>
  <c r="R1557" i="19"/>
  <c r="Q1557" i="19"/>
  <c r="R1162" i="19"/>
  <c r="Q1162" i="19"/>
  <c r="S1162" i="19"/>
  <c r="S953" i="19"/>
  <c r="R953" i="19"/>
  <c r="Q953" i="19"/>
  <c r="R834" i="19"/>
  <c r="Q834" i="19"/>
  <c r="S834" i="19"/>
  <c r="Q79" i="19"/>
  <c r="S79" i="19"/>
  <c r="R79" i="19"/>
  <c r="S916" i="19"/>
  <c r="R916" i="19"/>
  <c r="Q916" i="19"/>
  <c r="N2230" i="1"/>
  <c r="W2230" i="1" s="1"/>
  <c r="S255" i="1"/>
  <c r="R255" i="1"/>
  <c r="Q255" i="1"/>
  <c r="Q297" i="1"/>
  <c r="S297" i="1"/>
  <c r="R297" i="1"/>
  <c r="R251" i="1"/>
  <c r="Q251" i="1"/>
  <c r="S251" i="1"/>
  <c r="N2294" i="1"/>
  <c r="W2294" i="1" s="1"/>
  <c r="Q2171" i="1"/>
  <c r="S2171" i="1"/>
  <c r="R2171" i="1"/>
  <c r="S1768" i="1"/>
  <c r="R1768" i="1"/>
  <c r="Q1768" i="1"/>
  <c r="S1811" i="1"/>
  <c r="R1811" i="1"/>
  <c r="Q1811" i="1"/>
  <c r="N1611" i="1"/>
  <c r="W1611" i="1" s="1"/>
  <c r="S1527" i="1"/>
  <c r="R1527" i="1"/>
  <c r="Q1527" i="1"/>
  <c r="S1471" i="1"/>
  <c r="R1471" i="1"/>
  <c r="Q1471" i="1"/>
  <c r="S1415" i="1"/>
  <c r="R1415" i="1"/>
  <c r="Q1415" i="1"/>
  <c r="S1131" i="1"/>
  <c r="R1131" i="1"/>
  <c r="Q1131" i="1"/>
  <c r="S1169" i="1"/>
  <c r="R1169" i="1"/>
  <c r="Q1169" i="1"/>
  <c r="S1179" i="1"/>
  <c r="R1179" i="1"/>
  <c r="Q1179" i="1"/>
  <c r="S1521" i="1"/>
  <c r="R1521" i="1"/>
  <c r="Q1521" i="1"/>
  <c r="N1193" i="1"/>
  <c r="W1193" i="1" s="1"/>
  <c r="S987" i="1"/>
  <c r="R987" i="1"/>
  <c r="Q987" i="1"/>
  <c r="S1672" i="1"/>
  <c r="R1672" i="1"/>
  <c r="Q1672" i="1"/>
  <c r="S1452" i="1"/>
  <c r="R1452" i="1"/>
  <c r="Q1452" i="1"/>
  <c r="Q1092" i="1"/>
  <c r="S1092" i="1"/>
  <c r="R1092" i="1"/>
  <c r="S525" i="1"/>
  <c r="R525" i="1"/>
  <c r="Q525" i="1"/>
  <c r="S899" i="1"/>
  <c r="R899" i="1"/>
  <c r="Q899" i="1"/>
  <c r="S771" i="1"/>
  <c r="R771" i="1"/>
  <c r="Q771" i="1"/>
  <c r="S626" i="1"/>
  <c r="R626" i="1"/>
  <c r="Q626" i="1"/>
  <c r="S702" i="1"/>
  <c r="Q702" i="1"/>
  <c r="R702" i="1"/>
  <c r="N580" i="1"/>
  <c r="W580" i="1" s="1"/>
  <c r="S881" i="1"/>
  <c r="R881" i="1"/>
  <c r="Q881" i="1"/>
  <c r="S561" i="1"/>
  <c r="R561" i="1"/>
  <c r="Q561" i="1"/>
  <c r="S1229" i="1"/>
  <c r="R1229" i="1"/>
  <c r="Q1229" i="1"/>
  <c r="S723" i="1"/>
  <c r="R723" i="1"/>
  <c r="Q723" i="1"/>
  <c r="S492" i="1"/>
  <c r="R492" i="1"/>
  <c r="Q492" i="1"/>
  <c r="S624" i="1"/>
  <c r="R624" i="1"/>
  <c r="Q624" i="1"/>
  <c r="S396" i="1"/>
  <c r="R396" i="1"/>
  <c r="Q396" i="1"/>
  <c r="S300" i="1"/>
  <c r="R300" i="1"/>
  <c r="Q300" i="1"/>
  <c r="S48" i="1"/>
  <c r="R48" i="1"/>
  <c r="Q48" i="1"/>
  <c r="N1969" i="1"/>
  <c r="W1969" i="1" s="1"/>
  <c r="S261" i="1"/>
  <c r="R261" i="1"/>
  <c r="Q261" i="1"/>
  <c r="S66" i="1"/>
  <c r="R66" i="1"/>
  <c r="Q66" i="1"/>
  <c r="N2351" i="1"/>
  <c r="N2023" i="1"/>
  <c r="W2023" i="1" s="1"/>
  <c r="S209" i="1"/>
  <c r="R209" i="1"/>
  <c r="Q209" i="1"/>
  <c r="Q2147" i="1"/>
  <c r="S2147" i="1"/>
  <c r="R2147" i="1"/>
  <c r="S148" i="1"/>
  <c r="R148" i="1"/>
  <c r="Q148" i="1"/>
  <c r="Q38" i="1"/>
  <c r="S38" i="1"/>
  <c r="R38" i="1"/>
  <c r="S252" i="1"/>
  <c r="R252" i="1"/>
  <c r="Q252" i="1"/>
  <c r="R113" i="1"/>
  <c r="Q113" i="1"/>
  <c r="S113" i="1"/>
  <c r="N2167" i="1"/>
  <c r="W2167" i="1" s="1"/>
  <c r="S98" i="1"/>
  <c r="R98" i="1"/>
  <c r="Q98" i="1"/>
  <c r="S44" i="1"/>
  <c r="R44" i="1"/>
  <c r="Q44" i="1"/>
  <c r="N2001" i="1"/>
  <c r="W2001" i="1" s="1"/>
  <c r="S1727" i="1"/>
  <c r="R1727" i="1"/>
  <c r="Q1727" i="1"/>
  <c r="S107" i="1"/>
  <c r="R107" i="1"/>
  <c r="Q107" i="1"/>
  <c r="S222" i="1"/>
  <c r="R222" i="1"/>
  <c r="Q222" i="1"/>
  <c r="S45" i="1"/>
  <c r="R45" i="1"/>
  <c r="Q45" i="1"/>
  <c r="S266" i="1"/>
  <c r="R266" i="1"/>
  <c r="Q266" i="1"/>
  <c r="S21" i="1"/>
  <c r="R21" i="1"/>
  <c r="Q21" i="1"/>
  <c r="S948" i="1"/>
  <c r="R948" i="1"/>
  <c r="Q948" i="1"/>
  <c r="S25" i="1"/>
  <c r="R25" i="1"/>
  <c r="Q25" i="1"/>
  <c r="S241" i="1"/>
  <c r="R241" i="1"/>
  <c r="Q241" i="1"/>
  <c r="S53" i="1"/>
  <c r="R53" i="1"/>
  <c r="Q53" i="1"/>
  <c r="S1395" i="1"/>
  <c r="R1395" i="1"/>
  <c r="Q1395" i="1"/>
  <c r="S836" i="1"/>
  <c r="R836" i="1"/>
  <c r="Q836" i="1"/>
  <c r="S282" i="1"/>
  <c r="R282" i="1"/>
  <c r="Q282" i="1"/>
  <c r="S94" i="1"/>
  <c r="R94" i="1"/>
  <c r="Q94" i="1"/>
  <c r="P2142" i="19"/>
  <c r="R2139" i="19"/>
  <c r="Q2139" i="19"/>
  <c r="P2141" i="19"/>
  <c r="P2140" i="19"/>
  <c r="S2139" i="19"/>
  <c r="P481" i="19"/>
  <c r="P483" i="19"/>
  <c r="S480" i="19"/>
  <c r="P485" i="19"/>
  <c r="R480" i="19"/>
  <c r="Q480" i="19"/>
  <c r="P482" i="19"/>
  <c r="P484" i="19"/>
  <c r="S2498" i="19"/>
  <c r="R2498" i="19"/>
  <c r="Q2498" i="19"/>
  <c r="S1051" i="19"/>
  <c r="R1051" i="19"/>
  <c r="Q1051" i="19"/>
  <c r="S1565" i="19"/>
  <c r="R1565" i="19"/>
  <c r="Q1565" i="19"/>
  <c r="S824" i="19"/>
  <c r="R824" i="19"/>
  <c r="Q824" i="19"/>
  <c r="S1091" i="19"/>
  <c r="R1091" i="19"/>
  <c r="Q1091" i="19"/>
  <c r="S1357" i="19"/>
  <c r="R1357" i="19"/>
  <c r="Q1357" i="19"/>
  <c r="R1287" i="19"/>
  <c r="Q1287" i="19"/>
  <c r="S1287" i="19"/>
  <c r="S699" i="19"/>
  <c r="R699" i="19"/>
  <c r="Q699" i="19"/>
  <c r="S2530" i="19"/>
  <c r="R2530" i="19"/>
  <c r="Q2530" i="19"/>
  <c r="S2537" i="19"/>
  <c r="R2537" i="19"/>
  <c r="Q2537" i="19"/>
  <c r="R2532" i="19"/>
  <c r="Q2532" i="19"/>
  <c r="S2532" i="19"/>
  <c r="P2225" i="19"/>
  <c r="R2221" i="19"/>
  <c r="Q2221" i="19"/>
  <c r="P2224" i="19"/>
  <c r="P2223" i="19"/>
  <c r="P2222" i="19"/>
  <c r="P2226" i="19"/>
  <c r="S2221" i="19"/>
  <c r="S1579" i="19"/>
  <c r="R1579" i="19"/>
  <c r="Q1579" i="19"/>
  <c r="S1404" i="19"/>
  <c r="R1404" i="19"/>
  <c r="Q1404" i="19"/>
  <c r="S1293" i="19"/>
  <c r="R1293" i="19"/>
  <c r="Q1293" i="19"/>
  <c r="S1075" i="19"/>
  <c r="R1075" i="19"/>
  <c r="Q1075" i="19"/>
  <c r="S580" i="19"/>
  <c r="R580" i="19"/>
  <c r="Q580" i="19"/>
  <c r="S2494" i="1"/>
  <c r="R2494" i="1"/>
  <c r="Q2494" i="1"/>
  <c r="S2327" i="1"/>
  <c r="R2327" i="1"/>
  <c r="Q2327" i="1"/>
  <c r="Q2253" i="1"/>
  <c r="S2253" i="1"/>
  <c r="R2253" i="1"/>
  <c r="S2098" i="1"/>
  <c r="R2098" i="1"/>
  <c r="Q2098" i="1"/>
  <c r="S1706" i="1"/>
  <c r="R1706" i="1"/>
  <c r="Q1706" i="1"/>
  <c r="S968" i="19"/>
  <c r="R968" i="19"/>
  <c r="Q968" i="19"/>
  <c r="S1705" i="1"/>
  <c r="R1705" i="1"/>
  <c r="Q1705" i="1"/>
  <c r="S1673" i="1"/>
  <c r="R1673" i="1"/>
  <c r="Q1673" i="1"/>
  <c r="S1641" i="1"/>
  <c r="R1641" i="1"/>
  <c r="Q1641" i="1"/>
  <c r="P2173" i="19"/>
  <c r="P2176" i="19"/>
  <c r="P2175" i="19"/>
  <c r="P2172" i="19"/>
  <c r="S2171" i="19"/>
  <c r="P2174" i="19"/>
  <c r="R2171" i="19"/>
  <c r="Q2171" i="19"/>
  <c r="S1628" i="19"/>
  <c r="R1628" i="19"/>
  <c r="Q1628" i="19"/>
  <c r="R1559" i="19"/>
  <c r="Q1559" i="19"/>
  <c r="S1559" i="19"/>
  <c r="S1420" i="19"/>
  <c r="R1420" i="19"/>
  <c r="Q1420" i="19"/>
  <c r="S1267" i="19"/>
  <c r="R1267" i="19"/>
  <c r="Q1267" i="19"/>
  <c r="S1163" i="19"/>
  <c r="R1163" i="19"/>
  <c r="Q1163" i="19"/>
  <c r="S1028" i="19"/>
  <c r="R1028" i="19"/>
  <c r="Q1028" i="19"/>
  <c r="S639" i="19"/>
  <c r="R639" i="19"/>
  <c r="Q639" i="19"/>
  <c r="S586" i="19"/>
  <c r="R586" i="19"/>
  <c r="Q586" i="19"/>
  <c r="S2016" i="1"/>
  <c r="R2016" i="1"/>
  <c r="Q2016" i="1"/>
  <c r="S1952" i="1"/>
  <c r="R1952" i="1"/>
  <c r="Q1952" i="1"/>
  <c r="S1920" i="1"/>
  <c r="R1920" i="1"/>
  <c r="Q1920" i="1"/>
  <c r="S1599" i="1"/>
  <c r="R1599" i="1"/>
  <c r="Q1599" i="1"/>
  <c r="S1571" i="1"/>
  <c r="R1571" i="1"/>
  <c r="Q1571" i="1"/>
  <c r="S1543" i="1"/>
  <c r="R1543" i="1"/>
  <c r="Q1543" i="1"/>
  <c r="Q1476" i="1"/>
  <c r="S1476" i="1"/>
  <c r="R1476" i="1"/>
  <c r="S1444" i="1"/>
  <c r="R1444" i="1"/>
  <c r="Q1444" i="1"/>
  <c r="S1387" i="1"/>
  <c r="R1387" i="1"/>
  <c r="Q1387" i="1"/>
  <c r="S1297" i="1"/>
  <c r="R1297" i="1"/>
  <c r="Q1297" i="1"/>
  <c r="S1265" i="1"/>
  <c r="R1265" i="1"/>
  <c r="Q1265" i="1"/>
  <c r="S1233" i="1"/>
  <c r="R1233" i="1"/>
  <c r="Q1233" i="1"/>
  <c r="S1201" i="1"/>
  <c r="R1201" i="1"/>
  <c r="Q1201" i="1"/>
  <c r="S1020" i="1"/>
  <c r="R1020" i="1"/>
  <c r="Q1020" i="1"/>
  <c r="S990" i="1"/>
  <c r="R990" i="1"/>
  <c r="Q990" i="1"/>
  <c r="S961" i="1"/>
  <c r="R961" i="1"/>
  <c r="Q961" i="1"/>
  <c r="S807" i="1"/>
  <c r="R807" i="1"/>
  <c r="Q807" i="1"/>
  <c r="S684" i="1"/>
  <c r="R684" i="1"/>
  <c r="Q684" i="1"/>
  <c r="S658" i="1"/>
  <c r="R658" i="1"/>
  <c r="Q658" i="1"/>
  <c r="S628" i="1"/>
  <c r="R628" i="1"/>
  <c r="Q628" i="1"/>
  <c r="P1939" i="19"/>
  <c r="Q1936" i="19"/>
  <c r="P1938" i="19"/>
  <c r="P1937" i="19"/>
  <c r="S1936" i="19"/>
  <c r="R1936" i="19"/>
  <c r="Q1069" i="19"/>
  <c r="S1069" i="19"/>
  <c r="R1069" i="19"/>
  <c r="S950" i="19"/>
  <c r="R950" i="19"/>
  <c r="Q950" i="19"/>
  <c r="S557" i="19"/>
  <c r="R557" i="19"/>
  <c r="Q557" i="19"/>
  <c r="P2042" i="19"/>
  <c r="P2041" i="19"/>
  <c r="P2043" i="19"/>
  <c r="S2040" i="19"/>
  <c r="R2040" i="19"/>
  <c r="Q2040" i="19"/>
  <c r="Q1860" i="19"/>
  <c r="P1863" i="19"/>
  <c r="P1862" i="19"/>
  <c r="P1861" i="19"/>
  <c r="S1860" i="19"/>
  <c r="R1860" i="19"/>
  <c r="R1599" i="19"/>
  <c r="Q1599" i="19"/>
  <c r="S1599" i="19"/>
  <c r="S1478" i="19"/>
  <c r="R1478" i="19"/>
  <c r="Q1478" i="19"/>
  <c r="S1328" i="19"/>
  <c r="R1328" i="19"/>
  <c r="Q1328" i="19"/>
  <c r="S1192" i="19"/>
  <c r="R1192" i="19"/>
  <c r="Q1192" i="19"/>
  <c r="S923" i="19"/>
  <c r="R923" i="19"/>
  <c r="Q923" i="19"/>
  <c r="R629" i="19"/>
  <c r="Q629" i="19"/>
  <c r="S629" i="19"/>
  <c r="Q2245" i="1"/>
  <c r="S2245" i="1"/>
  <c r="R2245" i="1"/>
  <c r="S1654" i="1"/>
  <c r="R1654" i="1"/>
  <c r="Q1654" i="1"/>
  <c r="R2261" i="19"/>
  <c r="Q2261" i="19"/>
  <c r="P2264" i="19"/>
  <c r="P2263" i="19"/>
  <c r="P2262" i="19"/>
  <c r="S2261" i="19"/>
  <c r="Q1093" i="19"/>
  <c r="S1093" i="19"/>
  <c r="R1093" i="19"/>
  <c r="S1725" i="1"/>
  <c r="R1725" i="1"/>
  <c r="Q1725" i="1"/>
  <c r="S1693" i="1"/>
  <c r="R1693" i="1"/>
  <c r="Q1693" i="1"/>
  <c r="S906" i="1"/>
  <c r="R906" i="1"/>
  <c r="Q906" i="1"/>
  <c r="P1812" i="19"/>
  <c r="S1811" i="19"/>
  <c r="P1814" i="19"/>
  <c r="R1811" i="19"/>
  <c r="Q1811" i="19"/>
  <c r="P1813" i="19"/>
  <c r="R1583" i="19"/>
  <c r="Q1583" i="19"/>
  <c r="S1583" i="19"/>
  <c r="S1388" i="19"/>
  <c r="R1388" i="19"/>
  <c r="Q1388" i="19"/>
  <c r="Q1149" i="19"/>
  <c r="S1149" i="19"/>
  <c r="R1149" i="19"/>
  <c r="S1015" i="19"/>
  <c r="R1015" i="19"/>
  <c r="Q1015" i="19"/>
  <c r="R582" i="19"/>
  <c r="Q582" i="19"/>
  <c r="S582" i="19"/>
  <c r="S1774" i="19"/>
  <c r="R1774" i="19"/>
  <c r="Q1774" i="19"/>
  <c r="S1297" i="19"/>
  <c r="R1297" i="19"/>
  <c r="Q1297" i="19"/>
  <c r="S995" i="19"/>
  <c r="R995" i="19"/>
  <c r="Q995" i="19"/>
  <c r="S849" i="19"/>
  <c r="R849" i="19"/>
  <c r="Q849" i="19"/>
  <c r="S622" i="19"/>
  <c r="R622" i="19"/>
  <c r="Q622" i="19"/>
  <c r="S2367" i="19"/>
  <c r="R2367" i="19"/>
  <c r="Q2367" i="19"/>
  <c r="P2370" i="19"/>
  <c r="P2369" i="19"/>
  <c r="P2368" i="19"/>
  <c r="S2526" i="19"/>
  <c r="R2526" i="19"/>
  <c r="Q2526" i="19"/>
  <c r="S1048" i="19"/>
  <c r="R1048" i="19"/>
  <c r="Q1048" i="19"/>
  <c r="R1781" i="19"/>
  <c r="Q1781" i="19"/>
  <c r="S1781" i="19"/>
  <c r="S1539" i="19"/>
  <c r="R1539" i="19"/>
  <c r="Q1539" i="19"/>
  <c r="S1627" i="19"/>
  <c r="R1627" i="19"/>
  <c r="Q1627" i="19"/>
  <c r="S927" i="19"/>
  <c r="R927" i="19"/>
  <c r="Q927" i="19"/>
  <c r="R1519" i="19"/>
  <c r="Q1519" i="19"/>
  <c r="S1519" i="19"/>
  <c r="Q1197" i="19"/>
  <c r="S1197" i="19"/>
  <c r="R1197" i="19"/>
  <c r="P2047" i="19"/>
  <c r="P2045" i="19"/>
  <c r="S2044" i="19"/>
  <c r="R2044" i="19"/>
  <c r="Q2044" i="19"/>
  <c r="P2046" i="19"/>
  <c r="P2246" i="19"/>
  <c r="S2245" i="19"/>
  <c r="P2248" i="19"/>
  <c r="R2245" i="19"/>
  <c r="Q2245" i="19"/>
  <c r="P2247" i="19"/>
  <c r="S1390" i="19"/>
  <c r="R1390" i="19"/>
  <c r="Q1390" i="19"/>
  <c r="P1873" i="19"/>
  <c r="S1872" i="19"/>
  <c r="R1872" i="19"/>
  <c r="P1875" i="19"/>
  <c r="Q1872" i="19"/>
  <c r="P1874" i="19"/>
  <c r="P2270" i="19"/>
  <c r="S2269" i="19"/>
  <c r="R2269" i="19"/>
  <c r="P2272" i="19"/>
  <c r="Q2269" i="19"/>
  <c r="P2271" i="19"/>
  <c r="Q495" i="19"/>
  <c r="R495" i="19"/>
  <c r="S495" i="19"/>
  <c r="S323" i="19"/>
  <c r="R323" i="19"/>
  <c r="Q323" i="19"/>
  <c r="Q2255" i="19"/>
  <c r="R2255" i="19"/>
  <c r="S2255" i="19"/>
  <c r="Q272" i="19"/>
  <c r="T271" i="19"/>
  <c r="R352" i="19"/>
  <c r="S352" i="19"/>
  <c r="Q352" i="19"/>
  <c r="S346" i="19"/>
  <c r="Q346" i="19"/>
  <c r="R346" i="19"/>
  <c r="R335" i="19"/>
  <c r="S335" i="19"/>
  <c r="Q335" i="19"/>
  <c r="R156" i="19"/>
  <c r="S156" i="19"/>
  <c r="Q156" i="19"/>
  <c r="Q2337" i="19"/>
  <c r="R2337" i="19"/>
  <c r="S2337" i="19"/>
  <c r="S737" i="19"/>
  <c r="Q737" i="19"/>
  <c r="R737" i="19"/>
  <c r="R371" i="19"/>
  <c r="S371" i="19"/>
  <c r="Q371" i="19"/>
  <c r="S2101" i="19"/>
  <c r="R2101" i="19"/>
  <c r="Q2101" i="19"/>
  <c r="R1871" i="19"/>
  <c r="Q1871" i="19"/>
  <c r="S1871" i="19"/>
  <c r="S722" i="19"/>
  <c r="Q722" i="19"/>
  <c r="R722" i="19"/>
  <c r="R511" i="19"/>
  <c r="S511" i="19"/>
  <c r="Q511" i="19"/>
  <c r="R1805" i="19"/>
  <c r="S1805" i="19"/>
  <c r="Q1805" i="19"/>
  <c r="S298" i="19"/>
  <c r="R298" i="19"/>
  <c r="Q298" i="19"/>
  <c r="S169" i="19"/>
  <c r="R169" i="19"/>
  <c r="Q169" i="19"/>
  <c r="S2315" i="19"/>
  <c r="R2315" i="19"/>
  <c r="Q2315" i="19"/>
  <c r="S174" i="19"/>
  <c r="R174" i="19"/>
  <c r="Q174" i="19"/>
  <c r="S435" i="19"/>
  <c r="R435" i="19"/>
  <c r="Q435" i="19"/>
  <c r="S1259" i="19"/>
  <c r="R1259" i="19"/>
  <c r="Q1259" i="19"/>
  <c r="S1001" i="19"/>
  <c r="R1001" i="19"/>
  <c r="Q1001" i="19"/>
  <c r="S835" i="19"/>
  <c r="R835" i="19"/>
  <c r="Q835" i="19"/>
  <c r="P149" i="19"/>
  <c r="S148" i="19"/>
  <c r="R148" i="19"/>
  <c r="Q148" i="19"/>
  <c r="P150" i="19"/>
  <c r="Q2155" i="19"/>
  <c r="P2157" i="19"/>
  <c r="P2156" i="19"/>
  <c r="P2158" i="19"/>
  <c r="S2155" i="19"/>
  <c r="R2155" i="19"/>
  <c r="S1492" i="19"/>
  <c r="R1492" i="19"/>
  <c r="Q1492" i="19"/>
  <c r="R1367" i="19"/>
  <c r="Q1367" i="19"/>
  <c r="S1367" i="19"/>
  <c r="S1105" i="19"/>
  <c r="R1105" i="19"/>
  <c r="Q1105" i="19"/>
  <c r="S229" i="19"/>
  <c r="R229" i="19"/>
  <c r="Q229" i="19"/>
  <c r="S1353" i="1"/>
  <c r="R1353" i="1"/>
  <c r="Q1353" i="1"/>
  <c r="S1211" i="1"/>
  <c r="R1211" i="1"/>
  <c r="Q1211" i="1"/>
  <c r="S1111" i="1"/>
  <c r="R1111" i="1"/>
  <c r="Q1111" i="1"/>
  <c r="S522" i="1"/>
  <c r="R522" i="1"/>
  <c r="Q522" i="1"/>
  <c r="S795" i="1"/>
  <c r="R795" i="1"/>
  <c r="Q795" i="1"/>
  <c r="S1852" i="1"/>
  <c r="R1852" i="1"/>
  <c r="Q1852" i="1"/>
  <c r="R276" i="1"/>
  <c r="Q276" i="1"/>
  <c r="S276" i="1"/>
  <c r="Q2484" i="19"/>
  <c r="S2484" i="19"/>
  <c r="R2484" i="19"/>
  <c r="S2509" i="19"/>
  <c r="R2509" i="19"/>
  <c r="Q2509" i="19"/>
  <c r="S2545" i="19"/>
  <c r="R2545" i="19"/>
  <c r="Q2545" i="19"/>
  <c r="S1424" i="19"/>
  <c r="R1424" i="19"/>
  <c r="Q1424" i="19"/>
  <c r="S1587" i="1"/>
  <c r="R1587" i="1"/>
  <c r="Q1587" i="1"/>
  <c r="S1088" i="1"/>
  <c r="R1088" i="1"/>
  <c r="Q1088" i="1"/>
  <c r="S852" i="1"/>
  <c r="R852" i="1"/>
  <c r="Q852" i="1"/>
  <c r="S1612" i="1"/>
  <c r="Q1612" i="1"/>
  <c r="R1612" i="1"/>
  <c r="S845" i="1"/>
  <c r="R845" i="1"/>
  <c r="Q845" i="1"/>
  <c r="S1187" i="19"/>
  <c r="R1187" i="19"/>
  <c r="Q1187" i="19"/>
  <c r="S1419" i="1"/>
  <c r="R1419" i="1"/>
  <c r="Q1419" i="1"/>
  <c r="S863" i="1"/>
  <c r="Q863" i="1"/>
  <c r="R863" i="1"/>
  <c r="S1350" i="19"/>
  <c r="R1350" i="19"/>
  <c r="Q1350" i="19"/>
  <c r="S1468" i="1"/>
  <c r="R1468" i="1"/>
  <c r="Q1468" i="1"/>
  <c r="S1042" i="1"/>
  <c r="R1042" i="1"/>
  <c r="Q1042" i="1"/>
  <c r="S1391" i="1"/>
  <c r="R1391" i="1"/>
  <c r="Q1391" i="1"/>
  <c r="S1218" i="1"/>
  <c r="R1218" i="1"/>
  <c r="Q1218" i="1"/>
  <c r="S1597" i="19"/>
  <c r="R1597" i="19"/>
  <c r="Q1597" i="19"/>
  <c r="Q2505" i="19"/>
  <c r="S2505" i="19"/>
  <c r="R2505" i="19"/>
  <c r="Q813" i="19"/>
  <c r="S813" i="19"/>
  <c r="R813" i="19"/>
  <c r="R1090" i="19"/>
  <c r="Q1090" i="19"/>
  <c r="S1090" i="19"/>
  <c r="S1272" i="19"/>
  <c r="R1272" i="19"/>
  <c r="Q1272" i="19"/>
  <c r="Q2254" i="19"/>
  <c r="S2254" i="19"/>
  <c r="R2254" i="19"/>
  <c r="S343" i="19"/>
  <c r="R343" i="19"/>
  <c r="Q343" i="19"/>
  <c r="R193" i="19"/>
  <c r="S193" i="19"/>
  <c r="Q193" i="19"/>
  <c r="S2517" i="19"/>
  <c r="R2517" i="19"/>
  <c r="Q2517" i="19"/>
  <c r="R2473" i="19"/>
  <c r="Q2473" i="19"/>
  <c r="S2473" i="19"/>
  <c r="P2345" i="19"/>
  <c r="P2344" i="19"/>
  <c r="S2343" i="19"/>
  <c r="R2343" i="19"/>
  <c r="P2346" i="19"/>
  <c r="Q2343" i="19"/>
  <c r="S2131" i="19"/>
  <c r="R2131" i="19"/>
  <c r="Q2131" i="19"/>
  <c r="P2134" i="19"/>
  <c r="P2133" i="19"/>
  <c r="P2132" i="19"/>
  <c r="Q1514" i="19"/>
  <c r="S1514" i="19"/>
  <c r="R1514" i="19"/>
  <c r="Q1570" i="19"/>
  <c r="S1570" i="19"/>
  <c r="R1570" i="19"/>
  <c r="S1419" i="19"/>
  <c r="R1419" i="19"/>
  <c r="Q1419" i="19"/>
  <c r="Q1578" i="19"/>
  <c r="S1578" i="19"/>
  <c r="R1578" i="19"/>
  <c r="Q1530" i="19"/>
  <c r="S1530" i="19"/>
  <c r="R1530" i="19"/>
  <c r="S1379" i="19"/>
  <c r="R1379" i="19"/>
  <c r="Q1379" i="19"/>
  <c r="S1214" i="19"/>
  <c r="R1214" i="19"/>
  <c r="Q1214" i="19"/>
  <c r="S1078" i="19"/>
  <c r="R1078" i="19"/>
  <c r="Q1078" i="19"/>
  <c r="S1179" i="19"/>
  <c r="R1179" i="19"/>
  <c r="Q1179" i="19"/>
  <c r="S1190" i="19"/>
  <c r="R1190" i="19"/>
  <c r="Q1190" i="19"/>
  <c r="S1257" i="19"/>
  <c r="R1257" i="19"/>
  <c r="Q1257" i="19"/>
  <c r="S1017" i="19"/>
  <c r="R1017" i="19"/>
  <c r="Q1017" i="19"/>
  <c r="S1007" i="19"/>
  <c r="R1007" i="19"/>
  <c r="Q1007" i="19"/>
  <c r="Q933" i="19"/>
  <c r="S933" i="19"/>
  <c r="R933" i="19"/>
  <c r="Q1290" i="19"/>
  <c r="S1290" i="19"/>
  <c r="R1290" i="19"/>
  <c r="Q957" i="19"/>
  <c r="S957" i="19"/>
  <c r="R957" i="19"/>
  <c r="Q898" i="19"/>
  <c r="S898" i="19"/>
  <c r="R898" i="19"/>
  <c r="R873" i="19"/>
  <c r="Q873" i="19"/>
  <c r="S873" i="19"/>
  <c r="S900" i="19"/>
  <c r="R900" i="19"/>
  <c r="Q900" i="19"/>
  <c r="S796" i="19"/>
  <c r="R796" i="19"/>
  <c r="Q796" i="19"/>
  <c r="S521" i="19"/>
  <c r="R521" i="19"/>
  <c r="Q521" i="19"/>
  <c r="S525" i="19"/>
  <c r="R525" i="19"/>
  <c r="Q525" i="19"/>
  <c r="S662" i="19"/>
  <c r="R662" i="19"/>
  <c r="Q662" i="19"/>
  <c r="R140" i="19"/>
  <c r="Q140" i="19"/>
  <c r="S140" i="19"/>
  <c r="P472" i="19"/>
  <c r="P470" i="19"/>
  <c r="P469" i="19"/>
  <c r="S468" i="19"/>
  <c r="R468" i="19"/>
  <c r="P471" i="19"/>
  <c r="Q468" i="19"/>
  <c r="P473" i="19"/>
  <c r="S137" i="19"/>
  <c r="R137" i="19"/>
  <c r="Q137" i="19"/>
  <c r="S78" i="19"/>
  <c r="R78" i="19"/>
  <c r="Q78" i="19"/>
  <c r="R84" i="19"/>
  <c r="Q84" i="19"/>
  <c r="S84" i="19"/>
  <c r="P2365" i="19"/>
  <c r="P2364" i="19"/>
  <c r="S2363" i="19"/>
  <c r="R2363" i="19"/>
  <c r="Q2363" i="19"/>
  <c r="P2366" i="19"/>
  <c r="S2277" i="19"/>
  <c r="R2277" i="19"/>
  <c r="Q2277" i="19"/>
  <c r="P2280" i="19"/>
  <c r="P2279" i="19"/>
  <c r="P2278" i="19"/>
  <c r="P2349" i="19"/>
  <c r="P2348" i="19"/>
  <c r="S2347" i="19"/>
  <c r="R2347" i="19"/>
  <c r="Q2347" i="19"/>
  <c r="P2350" i="19"/>
  <c r="S2486" i="19"/>
  <c r="R2486" i="19"/>
  <c r="Q2486" i="19"/>
  <c r="P2216" i="19"/>
  <c r="S2215" i="19"/>
  <c r="P2220" i="19"/>
  <c r="R2215" i="19"/>
  <c r="P2219" i="19"/>
  <c r="Q2215" i="19"/>
  <c r="P2218" i="19"/>
  <c r="P2217" i="19"/>
  <c r="P2235" i="19"/>
  <c r="P2237" i="19"/>
  <c r="P2234" i="19"/>
  <c r="P2236" i="19"/>
  <c r="S2233" i="19"/>
  <c r="P2238" i="19"/>
  <c r="R2233" i="19"/>
  <c r="Q2233" i="19"/>
  <c r="S2000" i="19"/>
  <c r="R2000" i="19"/>
  <c r="Q2000" i="19"/>
  <c r="P2003" i="19"/>
  <c r="P2002" i="19"/>
  <c r="P2001" i="19"/>
  <c r="S1708" i="19"/>
  <c r="R1708" i="19"/>
  <c r="Q1708" i="19"/>
  <c r="S1733" i="19"/>
  <c r="R1733" i="19"/>
  <c r="Q1733" i="19"/>
  <c r="S1679" i="19"/>
  <c r="R1679" i="19"/>
  <c r="Q1679" i="19"/>
  <c r="S1686" i="19"/>
  <c r="R1686" i="19"/>
  <c r="Q1686" i="19"/>
  <c r="S1536" i="19"/>
  <c r="R1536" i="19"/>
  <c r="Q1536" i="19"/>
  <c r="S1377" i="19"/>
  <c r="R1377" i="19"/>
  <c r="Q1377" i="19"/>
  <c r="S1253" i="19"/>
  <c r="R1253" i="19"/>
  <c r="Q1253" i="19"/>
  <c r="R1114" i="19"/>
  <c r="Q1114" i="19"/>
  <c r="S1114" i="19"/>
  <c r="Q1378" i="19"/>
  <c r="S1378" i="19"/>
  <c r="R1378" i="19"/>
  <c r="R1202" i="19"/>
  <c r="Q1202" i="19"/>
  <c r="S1202" i="19"/>
  <c r="R1463" i="19"/>
  <c r="Q1463" i="19"/>
  <c r="S1463" i="19"/>
  <c r="Q1274" i="19"/>
  <c r="S1274" i="19"/>
  <c r="R1274" i="19"/>
  <c r="S1145" i="19"/>
  <c r="R1145" i="19"/>
  <c r="Q1145" i="19"/>
  <c r="S985" i="19"/>
  <c r="R985" i="19"/>
  <c r="Q985" i="19"/>
  <c r="S1142" i="19"/>
  <c r="R1142" i="19"/>
  <c r="Q1142" i="19"/>
  <c r="S924" i="19"/>
  <c r="R924" i="19"/>
  <c r="Q924" i="19"/>
  <c r="S972" i="19"/>
  <c r="R972" i="19"/>
  <c r="Q972" i="19"/>
  <c r="S937" i="19"/>
  <c r="R937" i="19"/>
  <c r="Q937" i="19"/>
  <c r="S822" i="19"/>
  <c r="R822" i="19"/>
  <c r="Q822" i="19"/>
  <c r="S912" i="19"/>
  <c r="R912" i="19"/>
  <c r="Q912" i="19"/>
  <c r="S823" i="19"/>
  <c r="R823" i="19"/>
  <c r="Q823" i="19"/>
  <c r="R613" i="19"/>
  <c r="P616" i="19"/>
  <c r="Q613" i="19"/>
  <c r="P615" i="19"/>
  <c r="P614" i="19"/>
  <c r="S613" i="19"/>
  <c r="R887" i="19"/>
  <c r="Q887" i="19"/>
  <c r="S887" i="19"/>
  <c r="S799" i="19"/>
  <c r="R799" i="19"/>
  <c r="Q799" i="19"/>
  <c r="S652" i="19"/>
  <c r="R652" i="19"/>
  <c r="Q652" i="19"/>
  <c r="S520" i="19"/>
  <c r="R520" i="19"/>
  <c r="Q520" i="19"/>
  <c r="S223" i="19"/>
  <c r="R223" i="19"/>
  <c r="Q223" i="19"/>
  <c r="S2273" i="19"/>
  <c r="P2276" i="19"/>
  <c r="R2273" i="19"/>
  <c r="Q2273" i="19"/>
  <c r="P2275" i="19"/>
  <c r="P2274" i="19"/>
  <c r="P1651" i="19"/>
  <c r="S1650" i="19"/>
  <c r="R1650" i="19"/>
  <c r="P1653" i="19"/>
  <c r="Q1650" i="19"/>
  <c r="P1652" i="19"/>
  <c r="Q1426" i="19"/>
  <c r="S1426" i="19"/>
  <c r="R1426" i="19"/>
  <c r="S1055" i="19"/>
  <c r="R1055" i="19"/>
  <c r="Q1055" i="19"/>
  <c r="R1715" i="19"/>
  <c r="Q1715" i="19"/>
  <c r="S1715" i="19"/>
  <c r="Q1458" i="19"/>
  <c r="S1458" i="19"/>
  <c r="R1458" i="19"/>
  <c r="S1049" i="19"/>
  <c r="R1049" i="19"/>
  <c r="Q1049" i="19"/>
  <c r="S1518" i="19"/>
  <c r="R1518" i="19"/>
  <c r="Q1518" i="19"/>
  <c r="S1381" i="19"/>
  <c r="R1381" i="19"/>
  <c r="Q1381" i="19"/>
  <c r="S1713" i="19"/>
  <c r="R1713" i="19"/>
  <c r="Q1713" i="19"/>
  <c r="S1477" i="19"/>
  <c r="R1477" i="19"/>
  <c r="Q1477" i="19"/>
  <c r="Q1306" i="19"/>
  <c r="S1306" i="19"/>
  <c r="R1306" i="19"/>
  <c r="S879" i="19"/>
  <c r="R879" i="19"/>
  <c r="Q879" i="19"/>
  <c r="Q37" i="19"/>
  <c r="S37" i="19"/>
  <c r="R37" i="19"/>
  <c r="S244" i="19"/>
  <c r="R244" i="19"/>
  <c r="Q244" i="19"/>
  <c r="P540" i="19"/>
  <c r="P539" i="19"/>
  <c r="S538" i="19"/>
  <c r="P542" i="19"/>
  <c r="R538" i="19"/>
  <c r="Q538" i="19"/>
  <c r="S1576" i="19"/>
  <c r="R1576" i="19"/>
  <c r="Q1576" i="19"/>
  <c r="S2506" i="19"/>
  <c r="R2506" i="19"/>
  <c r="Q2506" i="19"/>
  <c r="R1335" i="19"/>
  <c r="Q1335" i="19"/>
  <c r="S1335" i="19"/>
  <c r="S1544" i="19"/>
  <c r="R1544" i="19"/>
  <c r="Q1544" i="19"/>
  <c r="S1131" i="19"/>
  <c r="R1131" i="19"/>
  <c r="Q1131" i="19"/>
  <c r="S931" i="19"/>
  <c r="R931" i="19"/>
  <c r="Q931" i="19"/>
  <c r="S830" i="19"/>
  <c r="R830" i="19"/>
  <c r="Q830" i="19"/>
  <c r="P166" i="19"/>
  <c r="P165" i="19"/>
  <c r="S164" i="19"/>
  <c r="R164" i="19"/>
  <c r="Q164" i="19"/>
  <c r="N2243" i="1"/>
  <c r="W2243" i="1" s="1"/>
  <c r="S1928" i="1"/>
  <c r="R1928" i="1"/>
  <c r="Q1928" i="1"/>
  <c r="S1864" i="1"/>
  <c r="R1864" i="1"/>
  <c r="Q1864" i="1"/>
  <c r="S93" i="1"/>
  <c r="R93" i="1"/>
  <c r="Q93" i="1"/>
  <c r="S247" i="1"/>
  <c r="R247" i="1"/>
  <c r="Q247" i="1"/>
  <c r="S243" i="1"/>
  <c r="R243" i="1"/>
  <c r="Q243" i="1"/>
  <c r="R119" i="1"/>
  <c r="Q119" i="1"/>
  <c r="S119" i="1"/>
  <c r="S2472" i="1"/>
  <c r="R2472" i="1"/>
  <c r="Q2472" i="1"/>
  <c r="N2142" i="1"/>
  <c r="W2142" i="1" s="1"/>
  <c r="Q2207" i="1"/>
  <c r="S2207" i="1"/>
  <c r="R2207" i="1"/>
  <c r="S1835" i="1"/>
  <c r="R1835" i="1"/>
  <c r="Q1835" i="1"/>
  <c r="N1831" i="1"/>
  <c r="S1697" i="1"/>
  <c r="R1697" i="1"/>
  <c r="Q1697" i="1"/>
  <c r="S1718" i="1"/>
  <c r="R1718" i="1"/>
  <c r="Q1718" i="1"/>
  <c r="S1407" i="1"/>
  <c r="R1407" i="1"/>
  <c r="Q1407" i="1"/>
  <c r="S1115" i="1"/>
  <c r="R1115" i="1"/>
  <c r="Q1115" i="1"/>
  <c r="N941" i="1"/>
  <c r="W941" i="1" s="1"/>
  <c r="N1418" i="1"/>
  <c r="W1418" i="1" s="1"/>
  <c r="S1296" i="1"/>
  <c r="R1296" i="1"/>
  <c r="Q1296" i="1"/>
  <c r="S1164" i="1"/>
  <c r="R1164" i="1"/>
  <c r="Q1164" i="1"/>
  <c r="S1629" i="1"/>
  <c r="R1629" i="1"/>
  <c r="Q1629" i="1"/>
  <c r="S1457" i="1"/>
  <c r="R1457" i="1"/>
  <c r="Q1457" i="1"/>
  <c r="S759" i="1"/>
  <c r="R759" i="1"/>
  <c r="Q759" i="1"/>
  <c r="S621" i="1"/>
  <c r="R621" i="1"/>
  <c r="Q621" i="1"/>
  <c r="S1343" i="1"/>
  <c r="R1343" i="1"/>
  <c r="Q1343" i="1"/>
  <c r="S1199" i="1"/>
  <c r="R1199" i="1"/>
  <c r="Q1199" i="1"/>
  <c r="S923" i="1"/>
  <c r="R923" i="1"/>
  <c r="Q923" i="1"/>
  <c r="S711" i="1"/>
  <c r="R711" i="1"/>
  <c r="Q711" i="1"/>
  <c r="S587" i="1"/>
  <c r="R587" i="1"/>
  <c r="Q587" i="1"/>
  <c r="S747" i="1"/>
  <c r="R747" i="1"/>
  <c r="Q747" i="1"/>
  <c r="S288" i="1"/>
  <c r="R288" i="1"/>
  <c r="Q288" i="1"/>
  <c r="S256" i="1"/>
  <c r="R256" i="1"/>
  <c r="Q256" i="1"/>
  <c r="S32" i="1"/>
  <c r="R32" i="1"/>
  <c r="Q32" i="1"/>
  <c r="S253" i="1"/>
  <c r="R253" i="1"/>
  <c r="Q253" i="1"/>
  <c r="S50" i="1"/>
  <c r="R50" i="1"/>
  <c r="Q50" i="1"/>
  <c r="S2317" i="1"/>
  <c r="R2317" i="1"/>
  <c r="Q2317" i="1"/>
  <c r="S330" i="1"/>
  <c r="R330" i="1"/>
  <c r="Q330" i="1"/>
  <c r="R185" i="1"/>
  <c r="Q185" i="1"/>
  <c r="S185" i="1"/>
  <c r="N2480" i="1"/>
  <c r="W2480" i="1" s="1"/>
  <c r="S128" i="1"/>
  <c r="R128" i="1"/>
  <c r="Q128" i="1"/>
  <c r="S28" i="1"/>
  <c r="R28" i="1"/>
  <c r="Q28" i="1"/>
  <c r="S1936" i="1"/>
  <c r="R1936" i="1"/>
  <c r="Q1936" i="1"/>
  <c r="S108" i="1"/>
  <c r="R108" i="1"/>
  <c r="Q108" i="1"/>
  <c r="N2143" i="1"/>
  <c r="N643" i="1"/>
  <c r="W643" i="1" s="1"/>
  <c r="S58" i="1"/>
  <c r="R58" i="1"/>
  <c r="Q58" i="1"/>
  <c r="S254" i="1"/>
  <c r="R254" i="1"/>
  <c r="Q254" i="1"/>
  <c r="Q2155" i="1"/>
  <c r="S2155" i="1"/>
  <c r="R2155" i="1"/>
  <c r="S132" i="1"/>
  <c r="R132" i="1"/>
  <c r="Q132" i="1"/>
  <c r="S1980" i="1"/>
  <c r="R1980" i="1"/>
  <c r="Q1980" i="1"/>
  <c r="S1285" i="1"/>
  <c r="R1285" i="1"/>
  <c r="Q1285" i="1"/>
  <c r="R474" i="1"/>
  <c r="Q474" i="1"/>
  <c r="S474" i="1"/>
  <c r="S75" i="1"/>
  <c r="R75" i="1"/>
  <c r="Q75" i="1"/>
  <c r="S200" i="1"/>
  <c r="R200" i="1"/>
  <c r="Q200" i="1"/>
  <c r="S1321" i="1"/>
  <c r="R1321" i="1"/>
  <c r="Q1321" i="1"/>
  <c r="S573" i="1"/>
  <c r="R573" i="1"/>
  <c r="Q573" i="1"/>
  <c r="R212" i="1"/>
  <c r="Q212" i="1"/>
  <c r="S212" i="1"/>
  <c r="S216" i="1"/>
  <c r="R216" i="1"/>
  <c r="Q216" i="1"/>
  <c r="S940" i="1"/>
  <c r="R940" i="1"/>
  <c r="Q940" i="1"/>
  <c r="S218" i="1"/>
  <c r="R218" i="1"/>
  <c r="Q218" i="1"/>
  <c r="S37" i="1"/>
  <c r="R37" i="1"/>
  <c r="Q37" i="1"/>
  <c r="S206" i="1"/>
  <c r="R206" i="1"/>
  <c r="Q206" i="1"/>
  <c r="Q86" i="1"/>
  <c r="S86" i="1"/>
  <c r="R86" i="1"/>
  <c r="S1079" i="1"/>
  <c r="R1079" i="1"/>
  <c r="Q1079" i="1"/>
  <c r="S73" i="1"/>
  <c r="R73" i="1"/>
  <c r="Q73" i="1"/>
  <c r="S1732" i="19"/>
  <c r="R1732" i="19"/>
  <c r="Q1732" i="19"/>
  <c r="N1132" i="1"/>
  <c r="W1132" i="1" s="1"/>
  <c r="S110" i="1"/>
  <c r="R110" i="1"/>
  <c r="Q110" i="1"/>
  <c r="P764" i="19"/>
  <c r="P763" i="19"/>
  <c r="P760" i="19"/>
  <c r="S759" i="19"/>
  <c r="R759" i="19"/>
  <c r="P762" i="19"/>
  <c r="Q759" i="19"/>
  <c r="P761" i="19"/>
  <c r="R1359" i="19"/>
  <c r="Q1359" i="19"/>
  <c r="S1359" i="19"/>
  <c r="P374" i="19"/>
  <c r="P373" i="19"/>
  <c r="S372" i="19"/>
  <c r="P376" i="19"/>
  <c r="R372" i="19"/>
  <c r="P375" i="19"/>
  <c r="Q372" i="19"/>
  <c r="P377" i="19"/>
  <c r="S1206" i="19"/>
  <c r="R1206" i="19"/>
  <c r="Q1206" i="19"/>
  <c r="S2522" i="19"/>
  <c r="R2522" i="19"/>
  <c r="Q2522" i="19"/>
  <c r="S2529" i="19"/>
  <c r="R2529" i="19"/>
  <c r="Q2529" i="19"/>
  <c r="R2524" i="19"/>
  <c r="Q2524" i="19"/>
  <c r="S2524" i="19"/>
  <c r="R2058" i="19"/>
  <c r="Q2058" i="19"/>
  <c r="P2061" i="19"/>
  <c r="P2060" i="19"/>
  <c r="P2062" i="19"/>
  <c r="P2059" i="19"/>
  <c r="S2058" i="19"/>
  <c r="P1893" i="19"/>
  <c r="S1892" i="19"/>
  <c r="R1892" i="19"/>
  <c r="Q1892" i="19"/>
  <c r="P1895" i="19"/>
  <c r="P1894" i="19"/>
  <c r="S1760" i="19"/>
  <c r="R1760" i="19"/>
  <c r="Q1760" i="19"/>
  <c r="S1563" i="19"/>
  <c r="R1563" i="19"/>
  <c r="Q1563" i="19"/>
  <c r="S1382" i="19"/>
  <c r="R1382" i="19"/>
  <c r="Q1382" i="19"/>
  <c r="S1278" i="19"/>
  <c r="R1278" i="19"/>
  <c r="Q1278" i="19"/>
  <c r="S1064" i="19"/>
  <c r="R1064" i="19"/>
  <c r="Q1064" i="19"/>
  <c r="S572" i="19"/>
  <c r="R572" i="19"/>
  <c r="Q572" i="19"/>
  <c r="S1607" i="1"/>
  <c r="R1607" i="1"/>
  <c r="Q1607" i="1"/>
  <c r="Q1580" i="1"/>
  <c r="S1580" i="1"/>
  <c r="R1580" i="1"/>
  <c r="S1551" i="1"/>
  <c r="R1551" i="1"/>
  <c r="Q1551" i="1"/>
  <c r="S1523" i="1"/>
  <c r="R1523" i="1"/>
  <c r="Q1523" i="1"/>
  <c r="S1493" i="1"/>
  <c r="R1493" i="1"/>
  <c r="Q1493" i="1"/>
  <c r="R1347" i="1"/>
  <c r="Q1347" i="1"/>
  <c r="S1347" i="1"/>
  <c r="S1319" i="1"/>
  <c r="R1319" i="1"/>
  <c r="Q1319" i="1"/>
  <c r="S1260" i="1"/>
  <c r="R1260" i="1"/>
  <c r="Q1260" i="1"/>
  <c r="S1109" i="1"/>
  <c r="R1109" i="1"/>
  <c r="Q1109" i="1"/>
  <c r="S1081" i="1"/>
  <c r="R1081" i="1"/>
  <c r="Q1081" i="1"/>
  <c r="S1015" i="1"/>
  <c r="R1015" i="1"/>
  <c r="Q1015" i="1"/>
  <c r="S985" i="1"/>
  <c r="R985" i="1"/>
  <c r="Q985" i="1"/>
  <c r="S956" i="1"/>
  <c r="R956" i="1"/>
  <c r="Q956" i="1"/>
  <c r="S924" i="1"/>
  <c r="R924" i="1"/>
  <c r="Q924" i="1"/>
  <c r="S911" i="1"/>
  <c r="R911" i="1"/>
  <c r="Q911" i="1"/>
  <c r="S846" i="1"/>
  <c r="R846" i="1"/>
  <c r="Q846" i="1"/>
  <c r="S654" i="1"/>
  <c r="R654" i="1"/>
  <c r="Q654" i="1"/>
  <c r="S559" i="1"/>
  <c r="R559" i="1"/>
  <c r="Q559" i="1"/>
  <c r="S952" i="19"/>
  <c r="R952" i="19"/>
  <c r="Q952" i="19"/>
  <c r="S2485" i="1"/>
  <c r="R2485" i="1"/>
  <c r="Q2485" i="1"/>
  <c r="Q2195" i="1"/>
  <c r="S2195" i="1"/>
  <c r="R2195" i="1"/>
  <c r="Q2121" i="1"/>
  <c r="S2121" i="1"/>
  <c r="R2121" i="1"/>
  <c r="S1737" i="1"/>
  <c r="R1737" i="1"/>
  <c r="Q1737" i="1"/>
  <c r="S1606" i="1"/>
  <c r="Q1606" i="1"/>
  <c r="R1606" i="1"/>
  <c r="S1234" i="1"/>
  <c r="R1234" i="1"/>
  <c r="Q1234" i="1"/>
  <c r="R1014" i="1"/>
  <c r="Q1014" i="1"/>
  <c r="S1014" i="1"/>
  <c r="S917" i="1"/>
  <c r="R917" i="1"/>
  <c r="Q917" i="1"/>
  <c r="S894" i="1"/>
  <c r="R894" i="1"/>
  <c r="Q894" i="1"/>
  <c r="S864" i="1"/>
  <c r="R864" i="1"/>
  <c r="Q864" i="1"/>
  <c r="S839" i="1"/>
  <c r="R839" i="1"/>
  <c r="Q839" i="1"/>
  <c r="S685" i="1"/>
  <c r="R685" i="1"/>
  <c r="Q685" i="1"/>
  <c r="P1853" i="19"/>
  <c r="S1852" i="19"/>
  <c r="P1855" i="19"/>
  <c r="R1852" i="19"/>
  <c r="Q1852" i="19"/>
  <c r="P1854" i="19"/>
  <c r="S1624" i="19"/>
  <c r="R1624" i="19"/>
  <c r="Q1624" i="19"/>
  <c r="S1398" i="19"/>
  <c r="R1398" i="19"/>
  <c r="Q1398" i="19"/>
  <c r="Q1141" i="19"/>
  <c r="S1141" i="19"/>
  <c r="R1141" i="19"/>
  <c r="S798" i="19"/>
  <c r="R798" i="19"/>
  <c r="Q798" i="19"/>
  <c r="S631" i="19"/>
  <c r="R631" i="19"/>
  <c r="Q631" i="19"/>
  <c r="S578" i="19"/>
  <c r="R578" i="19"/>
  <c r="Q578" i="19"/>
  <c r="S1752" i="1"/>
  <c r="R1752" i="1"/>
  <c r="Q1752" i="1"/>
  <c r="S885" i="1"/>
  <c r="R885" i="1"/>
  <c r="Q885" i="1"/>
  <c r="S833" i="1"/>
  <c r="R833" i="1"/>
  <c r="Q833" i="1"/>
  <c r="S2531" i="19"/>
  <c r="R2531" i="19"/>
  <c r="Q2531" i="19"/>
  <c r="P1925" i="19"/>
  <c r="S1924" i="19"/>
  <c r="P1927" i="19"/>
  <c r="R1924" i="19"/>
  <c r="Q1924" i="19"/>
  <c r="P1926" i="19"/>
  <c r="P1801" i="19"/>
  <c r="P1800" i="19"/>
  <c r="S1799" i="19"/>
  <c r="R1799" i="19"/>
  <c r="P1802" i="19"/>
  <c r="Q1799" i="19"/>
  <c r="S1046" i="19"/>
  <c r="R1046" i="19"/>
  <c r="Q1046" i="19"/>
  <c r="S934" i="19"/>
  <c r="R934" i="19"/>
  <c r="Q934" i="19"/>
  <c r="S545" i="19"/>
  <c r="R545" i="19"/>
  <c r="Q545" i="19"/>
  <c r="S1823" i="1"/>
  <c r="R1823" i="1"/>
  <c r="Q1823" i="1"/>
  <c r="S1791" i="1"/>
  <c r="R1791" i="1"/>
  <c r="Q1791" i="1"/>
  <c r="S1759" i="1"/>
  <c r="R1759" i="1"/>
  <c r="Q1759" i="1"/>
  <c r="S1695" i="1"/>
  <c r="R1695" i="1"/>
  <c r="Q1695" i="1"/>
  <c r="S1663" i="1"/>
  <c r="R1663" i="1"/>
  <c r="Q1663" i="1"/>
  <c r="S1604" i="1"/>
  <c r="Q1604" i="1"/>
  <c r="R1604" i="1"/>
  <c r="S1570" i="1"/>
  <c r="R1570" i="1"/>
  <c r="Q1570" i="1"/>
  <c r="Q1437" i="1"/>
  <c r="S1437" i="1"/>
  <c r="R1437" i="1"/>
  <c r="Q1405" i="1"/>
  <c r="S1405" i="1"/>
  <c r="R1405" i="1"/>
  <c r="S1264" i="1"/>
  <c r="R1264" i="1"/>
  <c r="Q1264" i="1"/>
  <c r="S1207" i="1"/>
  <c r="R1207" i="1"/>
  <c r="Q1207" i="1"/>
  <c r="S1149" i="1"/>
  <c r="R1149" i="1"/>
  <c r="Q1149" i="1"/>
  <c r="S1121" i="1"/>
  <c r="R1121" i="1"/>
  <c r="Q1121" i="1"/>
  <c r="S935" i="1"/>
  <c r="R935" i="1"/>
  <c r="Q935" i="1"/>
  <c r="S791" i="1"/>
  <c r="R791" i="1"/>
  <c r="Q791" i="1"/>
  <c r="R635" i="1"/>
  <c r="Q635" i="1"/>
  <c r="S635" i="1"/>
  <c r="S1682" i="19"/>
  <c r="R1682" i="19"/>
  <c r="Q1682" i="19"/>
  <c r="S1587" i="19"/>
  <c r="R1587" i="19"/>
  <c r="Q1587" i="19"/>
  <c r="S1456" i="19"/>
  <c r="R1456" i="19"/>
  <c r="Q1456" i="19"/>
  <c r="S1288" i="19"/>
  <c r="R1288" i="19"/>
  <c r="Q1288" i="19"/>
  <c r="Q1181" i="19"/>
  <c r="S1181" i="19"/>
  <c r="R1181" i="19"/>
  <c r="R914" i="19"/>
  <c r="Q914" i="19"/>
  <c r="S914" i="19"/>
  <c r="S689" i="19"/>
  <c r="R689" i="19"/>
  <c r="Q689" i="19"/>
  <c r="R621" i="19"/>
  <c r="Q621" i="19"/>
  <c r="S621" i="19"/>
  <c r="P516" i="19"/>
  <c r="P518" i="19"/>
  <c r="P515" i="19"/>
  <c r="S514" i="19"/>
  <c r="R514" i="19"/>
  <c r="P517" i="19"/>
  <c r="Q514" i="19"/>
  <c r="P2214" i="19"/>
  <c r="S2211" i="19"/>
  <c r="R2211" i="19"/>
  <c r="Q2211" i="19"/>
  <c r="P2213" i="19"/>
  <c r="P2212" i="19"/>
  <c r="R1074" i="19"/>
  <c r="Q1074" i="19"/>
  <c r="S1074" i="19"/>
  <c r="S579" i="19"/>
  <c r="R579" i="19"/>
  <c r="Q579" i="19"/>
  <c r="R2489" i="1"/>
  <c r="Q2489" i="1"/>
  <c r="S2489" i="1"/>
  <c r="R2425" i="1"/>
  <c r="Q2425" i="1"/>
  <c r="S2425" i="1"/>
  <c r="S2355" i="1"/>
  <c r="R2355" i="1"/>
  <c r="Q2355" i="1"/>
  <c r="S1561" i="1"/>
  <c r="R1561" i="1"/>
  <c r="Q1561" i="1"/>
  <c r="S1533" i="1"/>
  <c r="R1533" i="1"/>
  <c r="Q1533" i="1"/>
  <c r="R1442" i="1"/>
  <c r="Q1442" i="1"/>
  <c r="S1442" i="1"/>
  <c r="S1384" i="1"/>
  <c r="R1384" i="1"/>
  <c r="Q1384" i="1"/>
  <c r="S1295" i="1"/>
  <c r="R1295" i="1"/>
  <c r="Q1295" i="1"/>
  <c r="S1237" i="1"/>
  <c r="R1237" i="1"/>
  <c r="Q1237" i="1"/>
  <c r="S1154" i="1"/>
  <c r="R1154" i="1"/>
  <c r="Q1154" i="1"/>
  <c r="R1062" i="1"/>
  <c r="Q1062" i="1"/>
  <c r="S1062" i="1"/>
  <c r="S1003" i="1"/>
  <c r="R1003" i="1"/>
  <c r="Q1003" i="1"/>
  <c r="S914" i="1"/>
  <c r="R914" i="1"/>
  <c r="Q914" i="1"/>
  <c r="S2523" i="19"/>
  <c r="R2523" i="19"/>
  <c r="Q2523" i="19"/>
  <c r="S1678" i="19"/>
  <c r="R1678" i="19"/>
  <c r="Q1678" i="19"/>
  <c r="R1567" i="19"/>
  <c r="Q1567" i="19"/>
  <c r="S1567" i="19"/>
  <c r="S1366" i="19"/>
  <c r="R1366" i="19"/>
  <c r="Q1366" i="19"/>
  <c r="S1104" i="19"/>
  <c r="R1104" i="19"/>
  <c r="Q1104" i="19"/>
  <c r="S1008" i="19"/>
  <c r="R1008" i="19"/>
  <c r="Q1008" i="19"/>
  <c r="R574" i="19"/>
  <c r="Q574" i="19"/>
  <c r="S574" i="19"/>
  <c r="S1772" i="19"/>
  <c r="R1772" i="19"/>
  <c r="Q1772" i="19"/>
  <c r="Q1266" i="19"/>
  <c r="S1266" i="19"/>
  <c r="R1266" i="19"/>
  <c r="S988" i="19"/>
  <c r="R988" i="19"/>
  <c r="Q988" i="19"/>
  <c r="Q797" i="19"/>
  <c r="S797" i="19"/>
  <c r="R797" i="19"/>
  <c r="S1600" i="19"/>
  <c r="R1600" i="19"/>
  <c r="Q1600" i="19"/>
  <c r="S1564" i="19"/>
  <c r="R1564" i="19"/>
  <c r="Q1564" i="19"/>
  <c r="Q1029" i="19"/>
  <c r="S1029" i="19"/>
  <c r="R1029" i="19"/>
  <c r="S1412" i="19"/>
  <c r="R1412" i="19"/>
  <c r="Q1412" i="19"/>
  <c r="Q1610" i="19"/>
  <c r="S1610" i="19"/>
  <c r="R1610" i="19"/>
  <c r="P1886" i="19"/>
  <c r="P1885" i="19"/>
  <c r="S1884" i="19"/>
  <c r="P1887" i="19"/>
  <c r="R1884" i="19"/>
  <c r="Q1884" i="19"/>
  <c r="S1676" i="19"/>
  <c r="R1676" i="19"/>
  <c r="Q1676" i="19"/>
  <c r="S1480" i="19"/>
  <c r="R1480" i="19"/>
  <c r="Q1480" i="19"/>
  <c r="S1176" i="19"/>
  <c r="R1176" i="19"/>
  <c r="Q1176" i="19"/>
  <c r="S867" i="19"/>
  <c r="R867" i="19"/>
  <c r="Q867" i="19"/>
  <c r="S975" i="19"/>
  <c r="R975" i="19"/>
  <c r="Q975" i="19"/>
  <c r="S928" i="19"/>
  <c r="R928" i="19"/>
  <c r="Q928" i="19"/>
  <c r="S1662" i="19"/>
  <c r="R1662" i="19"/>
  <c r="Q1662" i="19"/>
  <c r="S1903" i="19"/>
  <c r="R1903" i="19"/>
  <c r="Q1903" i="19"/>
  <c r="R272" i="19"/>
  <c r="R350" i="19"/>
  <c r="S350" i="19"/>
  <c r="Q350" i="19"/>
  <c r="R347" i="19"/>
  <c r="Q347" i="19"/>
  <c r="S347" i="19"/>
  <c r="Q339" i="19"/>
  <c r="S339" i="19"/>
  <c r="R339" i="19"/>
  <c r="S332" i="19"/>
  <c r="Q332" i="19"/>
  <c r="R332" i="19"/>
  <c r="Q2291" i="19"/>
  <c r="S2291" i="19"/>
  <c r="R2291" i="19"/>
  <c r="S369" i="19"/>
  <c r="R369" i="19"/>
  <c r="Q369" i="19"/>
  <c r="S2148" i="19"/>
  <c r="R2148" i="19"/>
  <c r="Q2148" i="19"/>
  <c r="S1849" i="19"/>
  <c r="R1849" i="19"/>
  <c r="Q1849" i="19"/>
  <c r="R719" i="19"/>
  <c r="Q719" i="19"/>
  <c r="S719" i="19"/>
  <c r="R361" i="19"/>
  <c r="S361" i="19"/>
  <c r="Q361" i="19"/>
  <c r="S512" i="19"/>
  <c r="Q512" i="19"/>
  <c r="R512" i="19"/>
  <c r="S2091" i="19"/>
  <c r="R2091" i="19"/>
  <c r="Q2091" i="19"/>
  <c r="R1931" i="19"/>
  <c r="S1931" i="19"/>
  <c r="Q1931" i="19"/>
  <c r="S170" i="19"/>
  <c r="Q170" i="19"/>
  <c r="R170" i="19"/>
  <c r="R1643" i="19"/>
  <c r="Q1643" i="19"/>
  <c r="S1643" i="19"/>
  <c r="S2312" i="19"/>
  <c r="R2312" i="19"/>
  <c r="Q2312" i="19"/>
  <c r="R429" i="19"/>
  <c r="S429" i="19"/>
  <c r="Q429" i="19"/>
  <c r="S161" i="19"/>
  <c r="R161" i="19"/>
  <c r="Q161" i="19"/>
  <c r="P2146" i="19"/>
  <c r="Q2143" i="19"/>
  <c r="P2145" i="19"/>
  <c r="P2144" i="19"/>
  <c r="S2143" i="19"/>
  <c r="R2143" i="19"/>
  <c r="S1525" i="19"/>
  <c r="R1525" i="19"/>
  <c r="Q1525" i="19"/>
  <c r="S1124" i="19"/>
  <c r="R1124" i="19"/>
  <c r="Q1124" i="19"/>
  <c r="S1156" i="19"/>
  <c r="R1156" i="19"/>
  <c r="Q1156" i="19"/>
  <c r="S811" i="19"/>
  <c r="R811" i="19"/>
  <c r="Q811" i="19"/>
  <c r="S72" i="19"/>
  <c r="R72" i="19"/>
  <c r="Q72" i="19"/>
  <c r="S1283" i="19"/>
  <c r="R1283" i="19"/>
  <c r="Q1283" i="19"/>
  <c r="S969" i="19"/>
  <c r="R969" i="19"/>
  <c r="Q969" i="19"/>
  <c r="Q789" i="19"/>
  <c r="S789" i="19"/>
  <c r="R789" i="19"/>
  <c r="S1689" i="19"/>
  <c r="R1689" i="19"/>
  <c r="Q1689" i="19"/>
  <c r="S1193" i="19"/>
  <c r="R1193" i="19"/>
  <c r="Q1193" i="19"/>
  <c r="Q261" i="19"/>
  <c r="P263" i="19"/>
  <c r="P265" i="19"/>
  <c r="P262" i="19"/>
  <c r="P264" i="19"/>
  <c r="S261" i="19"/>
  <c r="R261" i="19"/>
  <c r="S1542" i="1"/>
  <c r="R1542" i="1"/>
  <c r="Q1542" i="1"/>
  <c r="S1469" i="1"/>
  <c r="R1469" i="1"/>
  <c r="Q1469" i="1"/>
  <c r="S1270" i="1"/>
  <c r="R1270" i="1"/>
  <c r="Q1270" i="1"/>
  <c r="Q590" i="1"/>
  <c r="S590" i="1"/>
  <c r="R590" i="1"/>
  <c r="R133" i="1"/>
  <c r="Q133" i="1"/>
  <c r="S133" i="1"/>
  <c r="R1354" i="1"/>
  <c r="Q1354" i="1"/>
  <c r="S1354" i="1"/>
  <c r="Q31" i="1"/>
  <c r="S31" i="1"/>
  <c r="R31" i="1"/>
  <c r="S118" i="19"/>
  <c r="R118" i="19"/>
  <c r="Q118" i="19"/>
  <c r="Q294" i="19"/>
  <c r="P296" i="19"/>
  <c r="P295" i="19"/>
  <c r="S294" i="19"/>
  <c r="R294" i="19"/>
  <c r="S1121" i="19"/>
  <c r="R1121" i="19"/>
  <c r="Q1121" i="19"/>
  <c r="S1300" i="19"/>
  <c r="R1300" i="19"/>
  <c r="Q1300" i="19"/>
  <c r="S1558" i="1"/>
  <c r="R1558" i="1"/>
  <c r="Q1558" i="1"/>
  <c r="S1267" i="1"/>
  <c r="R1267" i="1"/>
  <c r="Q1267" i="1"/>
  <c r="S1116" i="1"/>
  <c r="R1116" i="1"/>
  <c r="Q1116" i="1"/>
  <c r="S887" i="1"/>
  <c r="R887" i="1"/>
  <c r="Q887" i="1"/>
  <c r="S984" i="19"/>
  <c r="R984" i="19"/>
  <c r="Q984" i="19"/>
  <c r="S962" i="1"/>
  <c r="R962" i="1"/>
  <c r="Q962" i="1"/>
  <c r="S902" i="1"/>
  <c r="R902" i="1"/>
  <c r="Q902" i="1"/>
  <c r="P2051" i="19"/>
  <c r="Q2048" i="19"/>
  <c r="P2052" i="19"/>
  <c r="P2050" i="19"/>
  <c r="P2049" i="19"/>
  <c r="S2048" i="19"/>
  <c r="R2048" i="19"/>
  <c r="Q1053" i="19"/>
  <c r="S1053" i="19"/>
  <c r="R1053" i="19"/>
  <c r="S1664" i="1"/>
  <c r="R1664" i="1"/>
  <c r="Q1664" i="1"/>
  <c r="S1360" i="1"/>
  <c r="R1360" i="1"/>
  <c r="Q1360" i="1"/>
  <c r="S565" i="19"/>
  <c r="R565" i="19"/>
  <c r="Q565" i="19"/>
  <c r="S1499" i="19"/>
  <c r="R1499" i="19"/>
  <c r="Q1499" i="19"/>
  <c r="Q527" i="19"/>
  <c r="S527" i="19"/>
  <c r="R527" i="19"/>
  <c r="R1315" i="1"/>
  <c r="Q1315" i="1"/>
  <c r="S1315" i="1"/>
  <c r="S1106" i="1"/>
  <c r="R1106" i="1"/>
  <c r="Q1106" i="1"/>
  <c r="Q1117" i="19"/>
  <c r="S1117" i="19"/>
  <c r="R1117" i="19"/>
  <c r="S1603" i="1"/>
  <c r="R1603" i="1"/>
  <c r="Q1603" i="1"/>
  <c r="Q1069" i="1"/>
  <c r="S1069" i="1"/>
  <c r="R1069" i="1"/>
  <c r="S1022" i="19"/>
  <c r="R1022" i="19"/>
  <c r="Q1022" i="19"/>
  <c r="R911" i="19"/>
  <c r="Q911" i="19"/>
  <c r="S911" i="19"/>
  <c r="P2404" i="19"/>
  <c r="S2403" i="19"/>
  <c r="P2406" i="19"/>
  <c r="R2403" i="19"/>
  <c r="Q2403" i="19"/>
  <c r="P2405" i="19"/>
  <c r="S331" i="19"/>
  <c r="R331" i="19"/>
  <c r="Q331" i="19"/>
  <c r="R1804" i="19"/>
  <c r="S1804" i="19"/>
  <c r="Q1804" i="19"/>
  <c r="R434" i="19"/>
  <c r="Q434" i="19"/>
  <c r="S434" i="19"/>
  <c r="S2479" i="19"/>
  <c r="R2479" i="19"/>
  <c r="Q2479" i="19"/>
  <c r="S2503" i="19"/>
  <c r="R2503" i="19"/>
  <c r="Q2503" i="19"/>
  <c r="S2419" i="19"/>
  <c r="R2419" i="19"/>
  <c r="P2422" i="19"/>
  <c r="Q2419" i="19"/>
  <c r="P2424" i="19"/>
  <c r="P2423" i="19"/>
  <c r="P2421" i="19"/>
  <c r="P2420" i="19"/>
  <c r="P2436" i="19"/>
  <c r="P2432" i="19"/>
  <c r="P2435" i="19"/>
  <c r="S2431" i="19"/>
  <c r="P2434" i="19"/>
  <c r="R2431" i="19"/>
  <c r="Q2431" i="19"/>
  <c r="P2433" i="19"/>
  <c r="P2328" i="19"/>
  <c r="S2327" i="19"/>
  <c r="R2327" i="19"/>
  <c r="P2330" i="19"/>
  <c r="Q2327" i="19"/>
  <c r="P2329" i="19"/>
  <c r="P2097" i="19"/>
  <c r="P2094" i="19"/>
  <c r="S2093" i="19"/>
  <c r="P2096" i="19"/>
  <c r="R2093" i="19"/>
  <c r="Q2093" i="19"/>
  <c r="P2095" i="19"/>
  <c r="S1684" i="19"/>
  <c r="R1684" i="19"/>
  <c r="Q1684" i="19"/>
  <c r="S1722" i="19"/>
  <c r="R1722" i="19"/>
  <c r="Q1722" i="19"/>
  <c r="S1581" i="19"/>
  <c r="R1581" i="19"/>
  <c r="Q1581" i="19"/>
  <c r="S1484" i="19"/>
  <c r="R1484" i="19"/>
  <c r="Q1484" i="19"/>
  <c r="Q1538" i="19"/>
  <c r="S1538" i="19"/>
  <c r="R1538" i="19"/>
  <c r="S1355" i="19"/>
  <c r="R1355" i="19"/>
  <c r="Q1355" i="19"/>
  <c r="S1467" i="19"/>
  <c r="R1467" i="19"/>
  <c r="Q1467" i="19"/>
  <c r="S1451" i="19"/>
  <c r="R1451" i="19"/>
  <c r="Q1451" i="19"/>
  <c r="S1273" i="19"/>
  <c r="R1273" i="19"/>
  <c r="Q1273" i="19"/>
  <c r="S1207" i="19"/>
  <c r="R1207" i="19"/>
  <c r="Q1207" i="19"/>
  <c r="S1057" i="19"/>
  <c r="R1057" i="19"/>
  <c r="Q1057" i="19"/>
  <c r="S1135" i="19"/>
  <c r="R1135" i="19"/>
  <c r="Q1135" i="19"/>
  <c r="S1151" i="19"/>
  <c r="R1151" i="19"/>
  <c r="Q1151" i="19"/>
  <c r="S1089" i="19"/>
  <c r="R1089" i="19"/>
  <c r="Q1089" i="19"/>
  <c r="S1363" i="19"/>
  <c r="R1363" i="19"/>
  <c r="Q1363" i="19"/>
  <c r="Q917" i="19"/>
  <c r="S917" i="19"/>
  <c r="R917" i="19"/>
  <c r="S1147" i="19"/>
  <c r="R1147" i="19"/>
  <c r="Q1147" i="19"/>
  <c r="Q941" i="19"/>
  <c r="S941" i="19"/>
  <c r="R941" i="19"/>
  <c r="S1212" i="19"/>
  <c r="R1212" i="19"/>
  <c r="Q1212" i="19"/>
  <c r="S902" i="19"/>
  <c r="R902" i="19"/>
  <c r="Q902" i="19"/>
  <c r="Q882" i="19"/>
  <c r="S882" i="19"/>
  <c r="R882" i="19"/>
  <c r="P859" i="19"/>
  <c r="S858" i="19"/>
  <c r="R858" i="19"/>
  <c r="P861" i="19"/>
  <c r="Q858" i="19"/>
  <c r="P860" i="19"/>
  <c r="S884" i="19"/>
  <c r="R884" i="19"/>
  <c r="Q884" i="19"/>
  <c r="P667" i="19"/>
  <c r="S666" i="19"/>
  <c r="P669" i="19"/>
  <c r="R666" i="19"/>
  <c r="Q666" i="19"/>
  <c r="P668" i="19"/>
  <c r="S592" i="19"/>
  <c r="R592" i="19"/>
  <c r="Q592" i="19"/>
  <c r="S233" i="19"/>
  <c r="R233" i="19"/>
  <c r="Q233" i="19"/>
  <c r="S121" i="19"/>
  <c r="R121" i="19"/>
  <c r="Q121" i="19"/>
  <c r="S241" i="19"/>
  <c r="R241" i="19"/>
  <c r="Q241" i="19"/>
  <c r="S134" i="19"/>
  <c r="R134" i="19"/>
  <c r="Q134" i="19"/>
  <c r="S38" i="19"/>
  <c r="R38" i="19"/>
  <c r="Q38" i="19"/>
  <c r="S51" i="19"/>
  <c r="R51" i="19"/>
  <c r="Q51" i="19"/>
  <c r="Q2468" i="19"/>
  <c r="P2467" i="19"/>
  <c r="S2468" i="19"/>
  <c r="R2468" i="19"/>
  <c r="S2305" i="19"/>
  <c r="P2310" i="19"/>
  <c r="R2305" i="19"/>
  <c r="Q2305" i="19"/>
  <c r="P2309" i="19"/>
  <c r="P2308" i="19"/>
  <c r="P2307" i="19"/>
  <c r="P2306" i="19"/>
  <c r="P1973" i="19"/>
  <c r="S1972" i="19"/>
  <c r="R1972" i="19"/>
  <c r="Q1972" i="19"/>
  <c r="P1975" i="19"/>
  <c r="P1974" i="19"/>
  <c r="Q2036" i="19"/>
  <c r="P2039" i="19"/>
  <c r="P2038" i="19"/>
  <c r="P2037" i="19"/>
  <c r="S2036" i="19"/>
  <c r="R2036" i="19"/>
  <c r="P2166" i="19"/>
  <c r="P2169" i="19"/>
  <c r="S2165" i="19"/>
  <c r="R2165" i="19"/>
  <c r="Q2165" i="19"/>
  <c r="P2168" i="19"/>
  <c r="P2170" i="19"/>
  <c r="P2167" i="19"/>
  <c r="S1697" i="19"/>
  <c r="R1697" i="19"/>
  <c r="Q1697" i="19"/>
  <c r="P1750" i="19"/>
  <c r="S1749" i="19"/>
  <c r="R1749" i="19"/>
  <c r="Q1749" i="19"/>
  <c r="P1751" i="19"/>
  <c r="Q1718" i="19"/>
  <c r="S1718" i="19"/>
  <c r="R1718" i="19"/>
  <c r="S1669" i="19"/>
  <c r="R1669" i="19"/>
  <c r="Q1669" i="19"/>
  <c r="S1761" i="19"/>
  <c r="R1761" i="19"/>
  <c r="Q1761" i="19"/>
  <c r="S1568" i="19"/>
  <c r="R1568" i="19"/>
  <c r="Q1568" i="19"/>
  <c r="R1471" i="19"/>
  <c r="Q1471" i="19"/>
  <c r="S1471" i="19"/>
  <c r="Q1370" i="19"/>
  <c r="S1370" i="19"/>
  <c r="R1370" i="19"/>
  <c r="R1226" i="19"/>
  <c r="Q1226" i="19"/>
  <c r="S1226" i="19"/>
  <c r="R1106" i="19"/>
  <c r="Q1106" i="19"/>
  <c r="S1106" i="19"/>
  <c r="S1365" i="19"/>
  <c r="R1365" i="19"/>
  <c r="Q1365" i="19"/>
  <c r="S1735" i="19"/>
  <c r="R1735" i="19"/>
  <c r="Q1735" i="19"/>
  <c r="S1457" i="19"/>
  <c r="R1457" i="19"/>
  <c r="Q1457" i="19"/>
  <c r="S1251" i="19"/>
  <c r="R1251" i="19"/>
  <c r="Q1251" i="19"/>
  <c r="S1137" i="19"/>
  <c r="R1137" i="19"/>
  <c r="Q1137" i="19"/>
  <c r="S977" i="19"/>
  <c r="R977" i="19"/>
  <c r="Q977" i="19"/>
  <c r="S1099" i="19"/>
  <c r="R1099" i="19"/>
  <c r="Q1099" i="19"/>
  <c r="S964" i="19"/>
  <c r="R964" i="19"/>
  <c r="Q964" i="19"/>
  <c r="S929" i="19"/>
  <c r="R929" i="19"/>
  <c r="Q929" i="19"/>
  <c r="S812" i="19"/>
  <c r="R812" i="19"/>
  <c r="Q812" i="19"/>
  <c r="S910" i="19"/>
  <c r="R910" i="19"/>
  <c r="Q910" i="19"/>
  <c r="S814" i="19"/>
  <c r="R814" i="19"/>
  <c r="Q814" i="19"/>
  <c r="S1198" i="19"/>
  <c r="R1198" i="19"/>
  <c r="Q1198" i="19"/>
  <c r="S883" i="19"/>
  <c r="R883" i="19"/>
  <c r="Q883" i="19"/>
  <c r="P744" i="19"/>
  <c r="P746" i="19"/>
  <c r="P743" i="19"/>
  <c r="P742" i="19"/>
  <c r="P745" i="19"/>
  <c r="S741" i="19"/>
  <c r="R741" i="19"/>
  <c r="Q741" i="19"/>
  <c r="P734" i="19"/>
  <c r="P730" i="19"/>
  <c r="S729" i="19"/>
  <c r="P733" i="19"/>
  <c r="R729" i="19"/>
  <c r="P732" i="19"/>
  <c r="Q729" i="19"/>
  <c r="P731" i="19"/>
  <c r="S603" i="19"/>
  <c r="R603" i="19"/>
  <c r="P606" i="19"/>
  <c r="Q603" i="19"/>
  <c r="P605" i="19"/>
  <c r="P604" i="19"/>
  <c r="R197" i="19"/>
  <c r="Q197" i="19"/>
  <c r="P199" i="19"/>
  <c r="P198" i="19"/>
  <c r="S197" i="19"/>
  <c r="S852" i="19"/>
  <c r="R852" i="19"/>
  <c r="Q852" i="19"/>
  <c r="R2510" i="19"/>
  <c r="Q2510" i="19"/>
  <c r="S2510" i="19"/>
  <c r="S1524" i="19"/>
  <c r="R1524" i="19"/>
  <c r="Q1524" i="19"/>
  <c r="S1417" i="19"/>
  <c r="R1417" i="19"/>
  <c r="Q1417" i="19"/>
  <c r="Q1037" i="19"/>
  <c r="S1037" i="19"/>
  <c r="R1037" i="19"/>
  <c r="S1711" i="19"/>
  <c r="R1711" i="19"/>
  <c r="Q1711" i="19"/>
  <c r="R1431" i="19"/>
  <c r="Q1431" i="19"/>
  <c r="S1431" i="19"/>
  <c r="S1513" i="19"/>
  <c r="R1513" i="19"/>
  <c r="Q1513" i="19"/>
  <c r="S1316" i="19"/>
  <c r="R1316" i="19"/>
  <c r="Q1316" i="19"/>
  <c r="R1691" i="19"/>
  <c r="Q1691" i="19"/>
  <c r="S1691" i="19"/>
  <c r="S1473" i="19"/>
  <c r="R1473" i="19"/>
  <c r="Q1473" i="19"/>
  <c r="S1223" i="19"/>
  <c r="R1223" i="19"/>
  <c r="Q1223" i="19"/>
  <c r="S840" i="19"/>
  <c r="R840" i="19"/>
  <c r="Q840" i="19"/>
  <c r="P309" i="19"/>
  <c r="P308" i="19"/>
  <c r="P311" i="19"/>
  <c r="P307" i="19"/>
  <c r="P310" i="19"/>
  <c r="S306" i="19"/>
  <c r="R306" i="19"/>
  <c r="Q306" i="19"/>
  <c r="S32" i="19"/>
  <c r="R32" i="19"/>
  <c r="Q32" i="19"/>
  <c r="Q723" i="19"/>
  <c r="P726" i="19"/>
  <c r="P728" i="19"/>
  <c r="P725" i="19"/>
  <c r="P724" i="19"/>
  <c r="P727" i="19"/>
  <c r="S723" i="19"/>
  <c r="R723" i="19"/>
  <c r="S227" i="19"/>
  <c r="R227" i="19"/>
  <c r="Q227" i="19"/>
  <c r="R95" i="19"/>
  <c r="Q95" i="19"/>
  <c r="S95" i="19"/>
  <c r="P146" i="19"/>
  <c r="S145" i="19"/>
  <c r="R145" i="19"/>
  <c r="Q145" i="19"/>
  <c r="P147" i="19"/>
  <c r="S1558" i="19"/>
  <c r="R1558" i="19"/>
  <c r="Q1558" i="19"/>
  <c r="P2030" i="19"/>
  <c r="P2029" i="19"/>
  <c r="S2028" i="19"/>
  <c r="R2028" i="19"/>
  <c r="P2031" i="19"/>
  <c r="Q2028" i="19"/>
  <c r="P1756" i="19"/>
  <c r="S1755" i="19"/>
  <c r="R1755" i="19"/>
  <c r="Q1755" i="19"/>
  <c r="P1757" i="19"/>
  <c r="Q1330" i="19"/>
  <c r="S1330" i="19"/>
  <c r="R1330" i="19"/>
  <c r="S1494" i="19"/>
  <c r="R1494" i="19"/>
  <c r="Q1494" i="19"/>
  <c r="S1081" i="19"/>
  <c r="R1081" i="19"/>
  <c r="Q1081" i="19"/>
  <c r="S905" i="19"/>
  <c r="R905" i="19"/>
  <c r="Q905" i="19"/>
  <c r="S791" i="19"/>
  <c r="R791" i="19"/>
  <c r="Q791" i="19"/>
  <c r="S806" i="19"/>
  <c r="R806" i="19"/>
  <c r="Q806" i="19"/>
  <c r="R103" i="19"/>
  <c r="Q103" i="19"/>
  <c r="S103" i="19"/>
  <c r="S1291" i="1"/>
  <c r="R1291" i="1"/>
  <c r="Q1291" i="1"/>
  <c r="S239" i="1"/>
  <c r="R239" i="1"/>
  <c r="Q239" i="1"/>
  <c r="Q111" i="1"/>
  <c r="S111" i="1"/>
  <c r="R111" i="1"/>
  <c r="S227" i="1"/>
  <c r="R227" i="1"/>
  <c r="Q227" i="1"/>
  <c r="S103" i="1"/>
  <c r="R103" i="1"/>
  <c r="Q103" i="1"/>
  <c r="N2440" i="1"/>
  <c r="W2440" i="1" s="1"/>
  <c r="N2116" i="1"/>
  <c r="W2116" i="1" s="1"/>
  <c r="S1819" i="1"/>
  <c r="R1819" i="1"/>
  <c r="Q1819" i="1"/>
  <c r="S1683" i="1"/>
  <c r="R1683" i="1"/>
  <c r="Q1683" i="1"/>
  <c r="Q1101" i="1"/>
  <c r="S1101" i="1"/>
  <c r="R1101" i="1"/>
  <c r="S1582" i="1"/>
  <c r="R1582" i="1"/>
  <c r="Q1582" i="1"/>
  <c r="S1017" i="1"/>
  <c r="R1017" i="1"/>
  <c r="Q1017" i="1"/>
  <c r="N1577" i="1"/>
  <c r="W1577" i="1" s="1"/>
  <c r="S1449" i="1"/>
  <c r="R1449" i="1"/>
  <c r="Q1449" i="1"/>
  <c r="Q1053" i="1"/>
  <c r="S1053" i="1"/>
  <c r="R1053" i="1"/>
  <c r="Q1536" i="1"/>
  <c r="S1536" i="1"/>
  <c r="R1536" i="1"/>
  <c r="S1436" i="1"/>
  <c r="R1436" i="1"/>
  <c r="Q1436" i="1"/>
  <c r="N1070" i="1"/>
  <c r="W1070" i="1" s="1"/>
  <c r="S689" i="1"/>
  <c r="R689" i="1"/>
  <c r="Q689" i="1"/>
  <c r="S529" i="1"/>
  <c r="R529" i="1"/>
  <c r="Q529" i="1"/>
  <c r="Q558" i="1"/>
  <c r="S558" i="1"/>
  <c r="R558" i="1"/>
  <c r="S912" i="1"/>
  <c r="R912" i="1"/>
  <c r="Q912" i="1"/>
  <c r="S248" i="1"/>
  <c r="R248" i="1"/>
  <c r="Q248" i="1"/>
  <c r="S22" i="1"/>
  <c r="R22" i="1"/>
  <c r="Q22" i="1"/>
  <c r="S245" i="1"/>
  <c r="R245" i="1"/>
  <c r="Q245" i="1"/>
  <c r="R24" i="1"/>
  <c r="Q24" i="1"/>
  <c r="S24" i="1"/>
  <c r="S294" i="1"/>
  <c r="R294" i="1"/>
  <c r="Q294" i="1"/>
  <c r="R121" i="1"/>
  <c r="Q121" i="1"/>
  <c r="S121" i="1"/>
  <c r="Q2093" i="1"/>
  <c r="S2093" i="1"/>
  <c r="R2093" i="1"/>
  <c r="S1904" i="1"/>
  <c r="R1904" i="1"/>
  <c r="Q1904" i="1"/>
  <c r="S101" i="1"/>
  <c r="R101" i="1"/>
  <c r="Q101" i="1"/>
  <c r="S366" i="1"/>
  <c r="R366" i="1"/>
  <c r="Q366" i="1"/>
  <c r="S42" i="1"/>
  <c r="R42" i="1"/>
  <c r="Q42" i="1"/>
  <c r="S2012" i="1"/>
  <c r="R2012" i="1"/>
  <c r="Q2012" i="1"/>
  <c r="S246" i="1"/>
  <c r="R246" i="1"/>
  <c r="Q246" i="1"/>
  <c r="S112" i="1"/>
  <c r="R112" i="1"/>
  <c r="Q112" i="1"/>
  <c r="S59" i="1"/>
  <c r="R59" i="1"/>
  <c r="Q59" i="1"/>
  <c r="S1305" i="1"/>
  <c r="R1305" i="1"/>
  <c r="Q1305" i="1"/>
  <c r="S892" i="1"/>
  <c r="R892" i="1"/>
  <c r="Q892" i="1"/>
  <c r="S197" i="1"/>
  <c r="R197" i="1"/>
  <c r="Q197" i="1"/>
  <c r="R81" i="1"/>
  <c r="Q81" i="1"/>
  <c r="S81" i="1"/>
  <c r="S27" i="1"/>
  <c r="R27" i="1"/>
  <c r="Q27" i="1"/>
  <c r="S696" i="1"/>
  <c r="R696" i="1"/>
  <c r="Q696" i="1"/>
  <c r="Q201" i="1"/>
  <c r="S201" i="1"/>
  <c r="R201" i="1"/>
  <c r="S82" i="1"/>
  <c r="R82" i="1"/>
  <c r="Q82" i="1"/>
  <c r="S41" i="1"/>
  <c r="R41" i="1"/>
  <c r="Q41" i="1"/>
  <c r="R664" i="19"/>
  <c r="Q664" i="19"/>
  <c r="S664" i="19"/>
  <c r="S142" i="1"/>
  <c r="R142" i="1"/>
  <c r="Q142" i="1"/>
  <c r="S971" i="19"/>
  <c r="R971" i="19"/>
  <c r="Q971" i="19"/>
  <c r="S211" i="19"/>
  <c r="R211" i="19"/>
  <c r="Q211" i="19"/>
  <c r="S663" i="19"/>
  <c r="R663" i="19"/>
  <c r="Q663" i="19"/>
  <c r="Q1101" i="19"/>
  <c r="S1101" i="19"/>
  <c r="R1101" i="19"/>
  <c r="Q2513" i="19"/>
  <c r="S2513" i="19"/>
  <c r="R2513" i="19"/>
  <c r="P2390" i="19"/>
  <c r="P2388" i="19"/>
  <c r="S2387" i="19"/>
  <c r="R2387" i="19"/>
  <c r="Q2387" i="19"/>
  <c r="P2389" i="19"/>
  <c r="S2521" i="19"/>
  <c r="R2521" i="19"/>
  <c r="Q2521" i="19"/>
  <c r="R1888" i="19"/>
  <c r="Q1888" i="19"/>
  <c r="P1890" i="19"/>
  <c r="P1889" i="19"/>
  <c r="P1891" i="19"/>
  <c r="S1888" i="19"/>
  <c r="R1543" i="19"/>
  <c r="Q1543" i="19"/>
  <c r="S1543" i="19"/>
  <c r="S1373" i="19"/>
  <c r="R1373" i="19"/>
  <c r="Q1373" i="19"/>
  <c r="R1271" i="19"/>
  <c r="Q1271" i="19"/>
  <c r="S1271" i="19"/>
  <c r="R1050" i="19"/>
  <c r="Q1050" i="19"/>
  <c r="S1050" i="19"/>
  <c r="S665" i="19"/>
  <c r="R665" i="19"/>
  <c r="Q665" i="19"/>
  <c r="P563" i="19"/>
  <c r="S564" i="19"/>
  <c r="R564" i="19"/>
  <c r="Q564" i="19"/>
  <c r="S936" i="19"/>
  <c r="R936" i="19"/>
  <c r="Q936" i="19"/>
  <c r="S575" i="19"/>
  <c r="R575" i="19"/>
  <c r="Q575" i="19"/>
  <c r="S1634" i="1"/>
  <c r="R1634" i="1"/>
  <c r="Q1634" i="1"/>
  <c r="S1617" i="19"/>
  <c r="R1617" i="19"/>
  <c r="Q1617" i="19"/>
  <c r="S1537" i="19"/>
  <c r="R1537" i="19"/>
  <c r="Q1537" i="19"/>
  <c r="S1376" i="19"/>
  <c r="R1376" i="19"/>
  <c r="Q1376" i="19"/>
  <c r="Q1258" i="19"/>
  <c r="S1258" i="19"/>
  <c r="R1258" i="19"/>
  <c r="S1132" i="19"/>
  <c r="R1132" i="19"/>
  <c r="Q1132" i="19"/>
  <c r="S623" i="19"/>
  <c r="R623" i="19"/>
  <c r="Q623" i="19"/>
  <c r="S2331" i="1"/>
  <c r="R2331" i="1"/>
  <c r="Q2331" i="1"/>
  <c r="Q2257" i="1"/>
  <c r="S2257" i="1"/>
  <c r="R2257" i="1"/>
  <c r="S2040" i="1"/>
  <c r="R2040" i="1"/>
  <c r="Q2040" i="1"/>
  <c r="S2008" i="1"/>
  <c r="R2008" i="1"/>
  <c r="Q2008" i="1"/>
  <c r="S1976" i="1"/>
  <c r="R1976" i="1"/>
  <c r="Q1976" i="1"/>
  <c r="S1944" i="1"/>
  <c r="R1944" i="1"/>
  <c r="Q1944" i="1"/>
  <c r="S1912" i="1"/>
  <c r="R1912" i="1"/>
  <c r="Q1912" i="1"/>
  <c r="Q1564" i="1"/>
  <c r="S1564" i="1"/>
  <c r="R1564" i="1"/>
  <c r="S1470" i="1"/>
  <c r="R1470" i="1"/>
  <c r="Q1470" i="1"/>
  <c r="S1438" i="1"/>
  <c r="R1438" i="1"/>
  <c r="Q1438" i="1"/>
  <c r="S1380" i="1"/>
  <c r="R1380" i="1"/>
  <c r="Q1380" i="1"/>
  <c r="S1259" i="1"/>
  <c r="R1259" i="1"/>
  <c r="Q1259" i="1"/>
  <c r="S983" i="1"/>
  <c r="R983" i="1"/>
  <c r="Q983" i="1"/>
  <c r="S955" i="1"/>
  <c r="R955" i="1"/>
  <c r="Q955" i="1"/>
  <c r="S652" i="1"/>
  <c r="R652" i="1"/>
  <c r="Q652" i="1"/>
  <c r="S1775" i="19"/>
  <c r="R1775" i="19"/>
  <c r="Q1775" i="19"/>
  <c r="R1026" i="19"/>
  <c r="Q1026" i="19"/>
  <c r="S1026" i="19"/>
  <c r="S918" i="19"/>
  <c r="R918" i="19"/>
  <c r="Q918" i="19"/>
  <c r="S1535" i="1"/>
  <c r="R1535" i="1"/>
  <c r="Q1535" i="1"/>
  <c r="R1498" i="1"/>
  <c r="Q1498" i="1"/>
  <c r="S1498" i="1"/>
  <c r="Q1373" i="1"/>
  <c r="S1373" i="1"/>
  <c r="R1373" i="1"/>
  <c r="S1344" i="1"/>
  <c r="R1344" i="1"/>
  <c r="Q1344" i="1"/>
  <c r="S1316" i="1"/>
  <c r="R1316" i="1"/>
  <c r="Q1316" i="1"/>
  <c r="S1290" i="1"/>
  <c r="R1290" i="1"/>
  <c r="Q1290" i="1"/>
  <c r="S1232" i="1"/>
  <c r="R1232" i="1"/>
  <c r="Q1232" i="1"/>
  <c r="S1175" i="1"/>
  <c r="R1175" i="1"/>
  <c r="Q1175" i="1"/>
  <c r="Q1085" i="1"/>
  <c r="S1085" i="1"/>
  <c r="R1085" i="1"/>
  <c r="S1057" i="1"/>
  <c r="R1057" i="1"/>
  <c r="Q1057" i="1"/>
  <c r="S1027" i="1"/>
  <c r="R1027" i="1"/>
  <c r="Q1027" i="1"/>
  <c r="Q989" i="1"/>
  <c r="S989" i="1"/>
  <c r="R989" i="1"/>
  <c r="S960" i="1"/>
  <c r="R960" i="1"/>
  <c r="Q960" i="1"/>
  <c r="S884" i="1"/>
  <c r="R884" i="1"/>
  <c r="Q884" i="1"/>
  <c r="Q1675" i="19"/>
  <c r="S1675" i="19"/>
  <c r="R1675" i="19"/>
  <c r="S1571" i="19"/>
  <c r="R1571" i="19"/>
  <c r="Q1571" i="19"/>
  <c r="R1447" i="19"/>
  <c r="Q1447" i="19"/>
  <c r="S1447" i="19"/>
  <c r="S1252" i="19"/>
  <c r="R1252" i="19"/>
  <c r="Q1252" i="19"/>
  <c r="S1168" i="19"/>
  <c r="R1168" i="19"/>
  <c r="Q1168" i="19"/>
  <c r="R687" i="19"/>
  <c r="Q687" i="19"/>
  <c r="S687" i="19"/>
  <c r="S1497" i="19"/>
  <c r="R1497" i="19"/>
  <c r="Q1497" i="19"/>
  <c r="S1063" i="19"/>
  <c r="R1063" i="19"/>
  <c r="Q1063" i="19"/>
  <c r="R1551" i="19"/>
  <c r="Q1551" i="19"/>
  <c r="S1551" i="19"/>
  <c r="S1342" i="19"/>
  <c r="R1342" i="19"/>
  <c r="Q1342" i="19"/>
  <c r="S1086" i="19"/>
  <c r="R1086" i="19"/>
  <c r="Q1086" i="19"/>
  <c r="S983" i="19"/>
  <c r="R983" i="19"/>
  <c r="Q983" i="19"/>
  <c r="R566" i="19"/>
  <c r="Q566" i="19"/>
  <c r="S566" i="19"/>
  <c r="P1770" i="19"/>
  <c r="P1769" i="19"/>
  <c r="S1768" i="19"/>
  <c r="R1768" i="19"/>
  <c r="Q1768" i="19"/>
  <c r="P1771" i="19"/>
  <c r="R1255" i="19"/>
  <c r="Q1255" i="19"/>
  <c r="S1255" i="19"/>
  <c r="S974" i="19"/>
  <c r="R974" i="19"/>
  <c r="Q974" i="19"/>
  <c r="R607" i="19"/>
  <c r="Q607" i="19"/>
  <c r="S607" i="19"/>
  <c r="P1945" i="19"/>
  <c r="S1944" i="19"/>
  <c r="P1947" i="19"/>
  <c r="R1944" i="19"/>
  <c r="Q1944" i="19"/>
  <c r="P1946" i="19"/>
  <c r="S1585" i="19"/>
  <c r="R1585" i="19"/>
  <c r="Q1585" i="19"/>
  <c r="S1460" i="19"/>
  <c r="R1460" i="19"/>
  <c r="Q1460" i="19"/>
  <c r="S1016" i="19"/>
  <c r="R1016" i="19"/>
  <c r="Q1016" i="19"/>
  <c r="P1957" i="19"/>
  <c r="S1956" i="19"/>
  <c r="P1959" i="19"/>
  <c r="R1956" i="19"/>
  <c r="Q1956" i="19"/>
  <c r="P1958" i="19"/>
  <c r="S1326" i="19"/>
  <c r="R1326" i="19"/>
  <c r="Q1326" i="19"/>
  <c r="Q1594" i="19"/>
  <c r="S1594" i="19"/>
  <c r="R1594" i="19"/>
  <c r="S909" i="19"/>
  <c r="R909" i="19"/>
  <c r="Q909" i="19"/>
  <c r="P1830" i="19"/>
  <c r="P1828" i="19"/>
  <c r="S1827" i="19"/>
  <c r="R1827" i="19"/>
  <c r="Q1827" i="19"/>
  <c r="P1829" i="19"/>
  <c r="S1666" i="19"/>
  <c r="R1666" i="19"/>
  <c r="Q1666" i="19"/>
  <c r="S1438" i="19"/>
  <c r="R1438" i="19"/>
  <c r="Q1438" i="19"/>
  <c r="S1080" i="19"/>
  <c r="R1080" i="19"/>
  <c r="Q1080" i="19"/>
  <c r="S1780" i="19"/>
  <c r="R1780" i="19"/>
  <c r="Q1780" i="19"/>
  <c r="P1820" i="19"/>
  <c r="S1819" i="19"/>
  <c r="P1822" i="19"/>
  <c r="R1819" i="19"/>
  <c r="Q1819" i="19"/>
  <c r="P1821" i="19"/>
  <c r="S1620" i="19"/>
  <c r="R1620" i="19"/>
  <c r="Q1620" i="19"/>
  <c r="R1511" i="19"/>
  <c r="Q1511" i="19"/>
  <c r="S1511" i="19"/>
  <c r="Q1901" i="19"/>
  <c r="S1901" i="19"/>
  <c r="R1901" i="19"/>
  <c r="S321" i="19"/>
  <c r="R321" i="19"/>
  <c r="Q321" i="19"/>
  <c r="S2256" i="19"/>
  <c r="R2256" i="19"/>
  <c r="Q2256" i="19"/>
  <c r="S855" i="19"/>
  <c r="R855" i="19"/>
  <c r="Q855" i="19"/>
  <c r="S681" i="19"/>
  <c r="R681" i="19"/>
  <c r="Q681" i="19"/>
  <c r="R353" i="19"/>
  <c r="S353" i="19"/>
  <c r="Q353" i="19"/>
  <c r="Q344" i="19"/>
  <c r="R344" i="19"/>
  <c r="S344" i="19"/>
  <c r="Q2338" i="19"/>
  <c r="S2338" i="19"/>
  <c r="R2338" i="19"/>
  <c r="Q2292" i="19"/>
  <c r="S2292" i="19"/>
  <c r="R2292" i="19"/>
  <c r="S657" i="19"/>
  <c r="R657" i="19"/>
  <c r="Q657" i="19"/>
  <c r="R609" i="19"/>
  <c r="S609" i="19"/>
  <c r="Q609" i="19"/>
  <c r="R181" i="19"/>
  <c r="S181" i="19"/>
  <c r="Q181" i="19"/>
  <c r="Q720" i="19"/>
  <c r="R720" i="19"/>
  <c r="S720" i="19"/>
  <c r="Q364" i="19"/>
  <c r="S364" i="19"/>
  <c r="R364" i="19"/>
  <c r="S127" i="19"/>
  <c r="Q127" i="19"/>
  <c r="R127" i="19"/>
  <c r="Q274" i="19"/>
  <c r="Q1808" i="19"/>
  <c r="S1808" i="19"/>
  <c r="R1808" i="19"/>
  <c r="R304" i="19"/>
  <c r="S304" i="19"/>
  <c r="Q304" i="19"/>
  <c r="Q1644" i="19"/>
  <c r="S1644" i="19"/>
  <c r="R1644" i="19"/>
  <c r="R2313" i="19"/>
  <c r="Q2313" i="19"/>
  <c r="S2313" i="19"/>
  <c r="Q475" i="19"/>
  <c r="S475" i="19"/>
  <c r="R475" i="19"/>
  <c r="S427" i="19"/>
  <c r="R427" i="19"/>
  <c r="Q427" i="19"/>
  <c r="R144" i="19"/>
  <c r="S144" i="19"/>
  <c r="Q144" i="19"/>
  <c r="Q171" i="19"/>
  <c r="S171" i="19"/>
  <c r="R171" i="19"/>
  <c r="S756" i="19"/>
  <c r="R756" i="19"/>
  <c r="Q756" i="19"/>
  <c r="P2282" i="19"/>
  <c r="S2281" i="19"/>
  <c r="P2284" i="19"/>
  <c r="R2281" i="19"/>
  <c r="Q2281" i="19"/>
  <c r="P2283" i="19"/>
  <c r="R1303" i="19"/>
  <c r="Q1303" i="19"/>
  <c r="S1303" i="19"/>
  <c r="S1108" i="19"/>
  <c r="R1108" i="19"/>
  <c r="Q1108" i="19"/>
  <c r="S892" i="19"/>
  <c r="R892" i="19"/>
  <c r="Q892" i="19"/>
  <c r="Q558" i="19"/>
  <c r="S558" i="19"/>
  <c r="R558" i="19"/>
  <c r="S24" i="19"/>
  <c r="R24" i="19"/>
  <c r="Q24" i="19"/>
  <c r="S1704" i="19"/>
  <c r="R1704" i="19"/>
  <c r="Q1704" i="19"/>
  <c r="Q1402" i="19"/>
  <c r="S1402" i="19"/>
  <c r="R1402" i="19"/>
  <c r="S1167" i="19"/>
  <c r="R1167" i="19"/>
  <c r="Q1167" i="19"/>
  <c r="S956" i="19"/>
  <c r="R956" i="19"/>
  <c r="Q956" i="19"/>
  <c r="Q837" i="19"/>
  <c r="S837" i="19"/>
  <c r="R837" i="19"/>
  <c r="S20" i="19"/>
  <c r="R20" i="19"/>
  <c r="Q20" i="19"/>
  <c r="S25" i="19"/>
  <c r="R25" i="19"/>
  <c r="Q25" i="19"/>
  <c r="R1186" i="19"/>
  <c r="Q1186" i="19"/>
  <c r="S1186" i="19"/>
  <c r="Q1410" i="19"/>
  <c r="S1410" i="19"/>
  <c r="R1410" i="19"/>
  <c r="R903" i="19"/>
  <c r="Q903" i="19"/>
  <c r="S903" i="19"/>
  <c r="S130" i="19"/>
  <c r="R130" i="19"/>
  <c r="Q130" i="19"/>
  <c r="S1706" i="19"/>
  <c r="R1706" i="19"/>
  <c r="Q1706" i="19"/>
  <c r="S1489" i="19"/>
  <c r="R1489" i="19"/>
  <c r="Q1489" i="19"/>
  <c r="S1166" i="19"/>
  <c r="R1166" i="19"/>
  <c r="Q1166" i="19"/>
  <c r="S955" i="19"/>
  <c r="R955" i="19"/>
  <c r="Q955" i="19"/>
  <c r="R141" i="1"/>
  <c r="Q141" i="1"/>
  <c r="S141" i="1"/>
  <c r="R151" i="1"/>
  <c r="Q151" i="1"/>
  <c r="S151" i="1"/>
  <c r="R26" i="1"/>
  <c r="Q26" i="1"/>
  <c r="S26" i="1"/>
  <c r="R139" i="1"/>
  <c r="Q139" i="1"/>
  <c r="S139" i="1"/>
  <c r="S186" i="1"/>
  <c r="R186" i="1"/>
  <c r="Q186" i="1"/>
  <c r="S804" i="19"/>
  <c r="R804" i="19"/>
  <c r="Q804" i="19"/>
  <c r="R1658" i="19"/>
  <c r="Q1658" i="19"/>
  <c r="P1661" i="19"/>
  <c r="P1660" i="19"/>
  <c r="P1659" i="19"/>
  <c r="S1658" i="19"/>
  <c r="S1488" i="19"/>
  <c r="R1488" i="19"/>
  <c r="Q1488" i="19"/>
  <c r="R1295" i="19"/>
  <c r="Q1295" i="19"/>
  <c r="S1295" i="19"/>
  <c r="S2538" i="19"/>
  <c r="R2538" i="19"/>
  <c r="Q2538" i="19"/>
  <c r="R2540" i="19"/>
  <c r="Q2540" i="19"/>
  <c r="S2540" i="19"/>
  <c r="S1096" i="19"/>
  <c r="R1096" i="19"/>
  <c r="Q1096" i="19"/>
  <c r="S1613" i="1"/>
  <c r="R1613" i="1"/>
  <c r="Q1613" i="1"/>
  <c r="S1326" i="1"/>
  <c r="R1326" i="1"/>
  <c r="Q1326" i="1"/>
  <c r="S931" i="1"/>
  <c r="R931" i="1"/>
  <c r="Q931" i="1"/>
  <c r="S666" i="1"/>
  <c r="R666" i="1"/>
  <c r="Q666" i="1"/>
  <c r="S816" i="1"/>
  <c r="R816" i="1"/>
  <c r="Q816" i="1"/>
  <c r="P1649" i="19"/>
  <c r="P1648" i="19"/>
  <c r="P1647" i="19"/>
  <c r="S1646" i="19"/>
  <c r="R1646" i="19"/>
  <c r="Q1646" i="19"/>
  <c r="S1122" i="1"/>
  <c r="R1122" i="1"/>
  <c r="Q1122" i="1"/>
  <c r="S838" i="1"/>
  <c r="R838" i="1"/>
  <c r="Q838" i="1"/>
  <c r="P1826" i="19"/>
  <c r="P1825" i="19"/>
  <c r="P1824" i="19"/>
  <c r="S1823" i="19"/>
  <c r="R1823" i="19"/>
  <c r="Q1823" i="19"/>
  <c r="R1932" i="19"/>
  <c r="Q1932" i="19"/>
  <c r="P1935" i="19"/>
  <c r="P1934" i="19"/>
  <c r="P1933" i="19"/>
  <c r="S1932" i="19"/>
  <c r="Q1205" i="19"/>
  <c r="S1205" i="19"/>
  <c r="R1205" i="19"/>
  <c r="S1379" i="1"/>
  <c r="R1379" i="1"/>
  <c r="Q1379" i="1"/>
  <c r="S915" i="1"/>
  <c r="R915" i="1"/>
  <c r="Q915" i="1"/>
  <c r="Q1540" i="1"/>
  <c r="S1540" i="1"/>
  <c r="R1540" i="1"/>
  <c r="S1041" i="1"/>
  <c r="R1041" i="1"/>
  <c r="Q1041" i="1"/>
  <c r="S1027" i="19"/>
  <c r="R1027" i="19"/>
  <c r="Q1027" i="19"/>
  <c r="Q2535" i="19"/>
  <c r="S2535" i="19"/>
  <c r="R2535" i="19"/>
  <c r="R938" i="19"/>
  <c r="Q938" i="19"/>
  <c r="S938" i="19"/>
  <c r="S2072" i="19"/>
  <c r="R2072" i="19"/>
  <c r="Q2072" i="19"/>
  <c r="Q680" i="19"/>
  <c r="S680" i="19"/>
  <c r="R680" i="19"/>
  <c r="S718" i="19"/>
  <c r="Q718" i="19"/>
  <c r="R718" i="19"/>
  <c r="R286" i="19"/>
  <c r="S286" i="19"/>
  <c r="Q286" i="19"/>
  <c r="S2483" i="19"/>
  <c r="R2483" i="19"/>
  <c r="Q2483" i="19"/>
  <c r="P2358" i="19"/>
  <c r="P2356" i="19"/>
  <c r="S2355" i="19"/>
  <c r="R2355" i="19"/>
  <c r="Q2355" i="19"/>
  <c r="P2357" i="19"/>
  <c r="P2182" i="19"/>
  <c r="P2181" i="19"/>
  <c r="P2178" i="19"/>
  <c r="S2177" i="19"/>
  <c r="R2177" i="19"/>
  <c r="P2180" i="19"/>
  <c r="Q2177" i="19"/>
  <c r="P2179" i="19"/>
  <c r="S1630" i="19"/>
  <c r="R1630" i="19"/>
  <c r="Q1630" i="19"/>
  <c r="Q1726" i="19"/>
  <c r="S1726" i="19"/>
  <c r="R1726" i="19"/>
  <c r="Q1554" i="19"/>
  <c r="S1554" i="19"/>
  <c r="R1554" i="19"/>
  <c r="S1730" i="19"/>
  <c r="R1730" i="19"/>
  <c r="Q1730" i="19"/>
  <c r="Q1498" i="19"/>
  <c r="S1498" i="19"/>
  <c r="R1498" i="19"/>
  <c r="S1332" i="19"/>
  <c r="R1332" i="19"/>
  <c r="Q1332" i="19"/>
  <c r="S1403" i="19"/>
  <c r="R1403" i="19"/>
  <c r="Q1403" i="19"/>
  <c r="S1387" i="19"/>
  <c r="R1387" i="19"/>
  <c r="Q1387" i="19"/>
  <c r="S1435" i="19"/>
  <c r="R1435" i="19"/>
  <c r="Q1435" i="19"/>
  <c r="S1203" i="19"/>
  <c r="R1203" i="19"/>
  <c r="Q1203" i="19"/>
  <c r="S1014" i="19"/>
  <c r="R1014" i="19"/>
  <c r="Q1014" i="19"/>
  <c r="S1119" i="19"/>
  <c r="R1119" i="19"/>
  <c r="Q1119" i="19"/>
  <c r="S1140" i="19"/>
  <c r="R1140" i="19"/>
  <c r="Q1140" i="19"/>
  <c r="S1025" i="19"/>
  <c r="R1025" i="19"/>
  <c r="Q1025" i="19"/>
  <c r="S1175" i="19"/>
  <c r="R1175" i="19"/>
  <c r="Q1175" i="19"/>
  <c r="R1098" i="19"/>
  <c r="Q1098" i="19"/>
  <c r="S1098" i="19"/>
  <c r="S1219" i="19"/>
  <c r="R1219" i="19"/>
  <c r="Q1219" i="19"/>
  <c r="Q925" i="19"/>
  <c r="S925" i="19"/>
  <c r="R925" i="19"/>
  <c r="S1003" i="19"/>
  <c r="R1003" i="19"/>
  <c r="Q1003" i="19"/>
  <c r="S886" i="19"/>
  <c r="R886" i="19"/>
  <c r="Q886" i="19"/>
  <c r="R1034" i="19"/>
  <c r="Q1034" i="19"/>
  <c r="S1034" i="19"/>
  <c r="S877" i="19"/>
  <c r="R877" i="19"/>
  <c r="Q877" i="19"/>
  <c r="P499" i="19"/>
  <c r="S498" i="19"/>
  <c r="R498" i="19"/>
  <c r="P503" i="19"/>
  <c r="P501" i="19"/>
  <c r="Q498" i="19"/>
  <c r="P500" i="19"/>
  <c r="P502" i="19"/>
  <c r="S541" i="19"/>
  <c r="R541" i="19"/>
  <c r="Q541" i="19"/>
  <c r="P537" i="19"/>
  <c r="P535" i="19"/>
  <c r="P534" i="19"/>
  <c r="P536" i="19"/>
  <c r="S533" i="19"/>
  <c r="R533" i="19"/>
  <c r="Q533" i="19"/>
  <c r="Q114" i="19"/>
  <c r="S114" i="19"/>
  <c r="R114" i="19"/>
  <c r="S75" i="19"/>
  <c r="R75" i="19"/>
  <c r="Q75" i="19"/>
  <c r="S238" i="19"/>
  <c r="R238" i="19"/>
  <c r="Q238" i="19"/>
  <c r="S80" i="19"/>
  <c r="R80" i="19"/>
  <c r="Q80" i="19"/>
  <c r="R2497" i="19"/>
  <c r="Q2497" i="19"/>
  <c r="S2497" i="19"/>
  <c r="Q2399" i="19"/>
  <c r="P2402" i="19"/>
  <c r="P2401" i="19"/>
  <c r="P2400" i="19"/>
  <c r="S2399" i="19"/>
  <c r="R2399" i="19"/>
  <c r="Q1964" i="19"/>
  <c r="P1967" i="19"/>
  <c r="P1966" i="19"/>
  <c r="P1965" i="19"/>
  <c r="S1964" i="19"/>
  <c r="R1964" i="19"/>
  <c r="P2019" i="19"/>
  <c r="R2016" i="19"/>
  <c r="Q2016" i="19"/>
  <c r="P2018" i="19"/>
  <c r="P2017" i="19"/>
  <c r="S2016" i="19"/>
  <c r="S1696" i="19"/>
  <c r="R1696" i="19"/>
  <c r="Q1696" i="19"/>
  <c r="R1731" i="19"/>
  <c r="Q1731" i="19"/>
  <c r="S1731" i="19"/>
  <c r="S1716" i="19"/>
  <c r="R1716" i="19"/>
  <c r="Q1716" i="19"/>
  <c r="Q1640" i="19"/>
  <c r="S1640" i="19"/>
  <c r="R1640" i="19"/>
  <c r="P1744" i="19"/>
  <c r="S1743" i="19"/>
  <c r="R1743" i="19"/>
  <c r="Q1743" i="19"/>
  <c r="P1745" i="19"/>
  <c r="S1542" i="19"/>
  <c r="R1542" i="19"/>
  <c r="Q1542" i="19"/>
  <c r="S1453" i="19"/>
  <c r="R1453" i="19"/>
  <c r="Q1453" i="19"/>
  <c r="S1345" i="19"/>
  <c r="R1345" i="19"/>
  <c r="Q1345" i="19"/>
  <c r="S1217" i="19"/>
  <c r="R1217" i="19"/>
  <c r="Q1217" i="19"/>
  <c r="S1449" i="19"/>
  <c r="R1449" i="19"/>
  <c r="Q1449" i="19"/>
  <c r="S1353" i="19"/>
  <c r="R1353" i="19"/>
  <c r="Q1353" i="19"/>
  <c r="R1707" i="19"/>
  <c r="Q1707" i="19"/>
  <c r="S1707" i="19"/>
  <c r="S1437" i="19"/>
  <c r="R1437" i="19"/>
  <c r="Q1437" i="19"/>
  <c r="S1231" i="19"/>
  <c r="R1231" i="19"/>
  <c r="Q1231" i="19"/>
  <c r="S1134" i="19"/>
  <c r="R1134" i="19"/>
  <c r="Q1134" i="19"/>
  <c r="S932" i="19"/>
  <c r="R932" i="19"/>
  <c r="Q932" i="19"/>
  <c r="S996" i="19"/>
  <c r="R996" i="19"/>
  <c r="Q996" i="19"/>
  <c r="S947" i="19"/>
  <c r="R947" i="19"/>
  <c r="Q947" i="19"/>
  <c r="R794" i="19"/>
  <c r="Q794" i="19"/>
  <c r="S794" i="19"/>
  <c r="S908" i="19"/>
  <c r="R908" i="19"/>
  <c r="Q908" i="19"/>
  <c r="P772" i="19"/>
  <c r="S771" i="19"/>
  <c r="P774" i="19"/>
  <c r="R771" i="19"/>
  <c r="P776" i="19"/>
  <c r="Q771" i="19"/>
  <c r="P773" i="19"/>
  <c r="P775" i="19"/>
  <c r="S1161" i="19"/>
  <c r="R1161" i="19"/>
  <c r="Q1161" i="19"/>
  <c r="S878" i="19"/>
  <c r="R878" i="19"/>
  <c r="Q878" i="19"/>
  <c r="S694" i="19"/>
  <c r="R694" i="19"/>
  <c r="Q694" i="19"/>
  <c r="S897" i="19"/>
  <c r="R897" i="19"/>
  <c r="Q897" i="19"/>
  <c r="S848" i="19"/>
  <c r="R848" i="19"/>
  <c r="Q848" i="19"/>
  <c r="S122" i="19"/>
  <c r="R122" i="19"/>
  <c r="Q122" i="19"/>
  <c r="S1992" i="19"/>
  <c r="R1992" i="19"/>
  <c r="Q1992" i="19"/>
  <c r="P1995" i="19"/>
  <c r="P1994" i="19"/>
  <c r="P1993" i="19"/>
  <c r="P2332" i="19"/>
  <c r="S2331" i="19"/>
  <c r="P2334" i="19"/>
  <c r="R2331" i="19"/>
  <c r="Q2331" i="19"/>
  <c r="P2333" i="19"/>
  <c r="S2135" i="19"/>
  <c r="P2138" i="19"/>
  <c r="R2135" i="19"/>
  <c r="Q2135" i="19"/>
  <c r="P2137" i="19"/>
  <c r="P2136" i="19"/>
  <c r="S1510" i="19"/>
  <c r="R1510" i="19"/>
  <c r="Q1510" i="19"/>
  <c r="S1397" i="19"/>
  <c r="R1397" i="19"/>
  <c r="Q1397" i="19"/>
  <c r="R1018" i="19"/>
  <c r="Q1018" i="19"/>
  <c r="S1018" i="19"/>
  <c r="S1700" i="19"/>
  <c r="R1700" i="19"/>
  <c r="Q1700" i="19"/>
  <c r="R1375" i="19"/>
  <c r="Q1375" i="19"/>
  <c r="S1375" i="19"/>
  <c r="S1725" i="19"/>
  <c r="R1725" i="19"/>
  <c r="Q1725" i="19"/>
  <c r="S1504" i="19"/>
  <c r="R1504" i="19"/>
  <c r="Q1504" i="19"/>
  <c r="S1261" i="19"/>
  <c r="R1261" i="19"/>
  <c r="Q1261" i="19"/>
  <c r="R1672" i="19"/>
  <c r="Q1672" i="19"/>
  <c r="S1672" i="19"/>
  <c r="S1465" i="19"/>
  <c r="R1465" i="19"/>
  <c r="Q1465" i="19"/>
  <c r="R1210" i="19"/>
  <c r="Q1210" i="19"/>
  <c r="S1210" i="19"/>
  <c r="S836" i="19"/>
  <c r="R836" i="19"/>
  <c r="Q836" i="19"/>
  <c r="P260" i="19"/>
  <c r="P258" i="19"/>
  <c r="P257" i="19"/>
  <c r="S256" i="19"/>
  <c r="P259" i="19"/>
  <c r="R256" i="19"/>
  <c r="Q256" i="19"/>
  <c r="P677" i="19"/>
  <c r="S674" i="19"/>
  <c r="R674" i="19"/>
  <c r="Q674" i="19"/>
  <c r="P676" i="19"/>
  <c r="P675" i="19"/>
  <c r="S217" i="19"/>
  <c r="R217" i="19"/>
  <c r="Q217" i="19"/>
  <c r="S131" i="19"/>
  <c r="R131" i="19"/>
  <c r="Q131" i="19"/>
  <c r="S1520" i="19"/>
  <c r="R1520" i="19"/>
  <c r="Q1520" i="19"/>
  <c r="S2477" i="19"/>
  <c r="R2477" i="19"/>
  <c r="Q2477" i="19"/>
  <c r="S1517" i="19"/>
  <c r="R1517" i="19"/>
  <c r="Q1517" i="19"/>
  <c r="S1260" i="19"/>
  <c r="R1260" i="19"/>
  <c r="Q1260" i="19"/>
  <c r="S1481" i="19"/>
  <c r="R1481" i="19"/>
  <c r="Q1481" i="19"/>
  <c r="Q1045" i="19"/>
  <c r="S1045" i="19"/>
  <c r="R1045" i="19"/>
  <c r="S901" i="19"/>
  <c r="R901" i="19"/>
  <c r="Q901" i="19"/>
  <c r="Q698" i="19"/>
  <c r="S698" i="19"/>
  <c r="R698" i="19"/>
  <c r="S41" i="19"/>
  <c r="R41" i="19"/>
  <c r="Q41" i="19"/>
  <c r="P767" i="19"/>
  <c r="P769" i="19"/>
  <c r="P766" i="19"/>
  <c r="S765" i="19"/>
  <c r="P768" i="19"/>
  <c r="R765" i="19"/>
  <c r="P770" i="19"/>
  <c r="Q765" i="19"/>
  <c r="S81" i="19"/>
  <c r="R81" i="19"/>
  <c r="Q81" i="19"/>
  <c r="S20" i="1"/>
  <c r="R20" i="1"/>
  <c r="Q20" i="1"/>
  <c r="N2265" i="1"/>
  <c r="S2044" i="1"/>
  <c r="R2044" i="1"/>
  <c r="Q2044" i="1"/>
  <c r="N2278" i="1"/>
  <c r="W2278" i="1" s="1"/>
  <c r="N1161" i="1"/>
  <c r="W1161" i="1" s="1"/>
  <c r="S1275" i="1"/>
  <c r="R1275" i="1"/>
  <c r="Q1275" i="1"/>
  <c r="S221" i="1"/>
  <c r="R221" i="1"/>
  <c r="Q221" i="1"/>
  <c r="S223" i="1"/>
  <c r="R223" i="1"/>
  <c r="Q223" i="1"/>
  <c r="Q95" i="1"/>
  <c r="S95" i="1"/>
  <c r="R95" i="1"/>
  <c r="R131" i="1"/>
  <c r="Q131" i="1"/>
  <c r="S131" i="1"/>
  <c r="S215" i="1"/>
  <c r="R215" i="1"/>
  <c r="Q215" i="1"/>
  <c r="S87" i="1"/>
  <c r="R87" i="1"/>
  <c r="Q87" i="1"/>
  <c r="N2424" i="1"/>
  <c r="W2424" i="1" s="1"/>
  <c r="N2342" i="1"/>
  <c r="W2342" i="1" s="1"/>
  <c r="S2285" i="1"/>
  <c r="R2285" i="1"/>
  <c r="Q2285" i="1"/>
  <c r="S1785" i="1"/>
  <c r="R1785" i="1"/>
  <c r="Q1785" i="1"/>
  <c r="S1782" i="1"/>
  <c r="R1782" i="1"/>
  <c r="Q1782" i="1"/>
  <c r="S1686" i="1"/>
  <c r="R1686" i="1"/>
  <c r="Q1686" i="1"/>
  <c r="S1013" i="1"/>
  <c r="R1013" i="1"/>
  <c r="Q1013" i="1"/>
  <c r="R1094" i="1"/>
  <c r="Q1094" i="1"/>
  <c r="S1094" i="1"/>
  <c r="Q1381" i="1"/>
  <c r="S1381" i="1"/>
  <c r="R1381" i="1"/>
  <c r="S1506" i="1"/>
  <c r="R1506" i="1"/>
  <c r="Q1506" i="1"/>
  <c r="N1271" i="1"/>
  <c r="W1271" i="1" s="1"/>
  <c r="S1489" i="1"/>
  <c r="R1489" i="1"/>
  <c r="Q1489" i="1"/>
  <c r="Q1445" i="1"/>
  <c r="S1445" i="1"/>
  <c r="R1445" i="1"/>
  <c r="N1386" i="1"/>
  <c r="W1386" i="1" s="1"/>
  <c r="S1083" i="1"/>
  <c r="R1083" i="1"/>
  <c r="Q1083" i="1"/>
  <c r="Q1320" i="1"/>
  <c r="S1320" i="1"/>
  <c r="R1320" i="1"/>
  <c r="S976" i="1"/>
  <c r="R976" i="1"/>
  <c r="Q976" i="1"/>
  <c r="S1283" i="1"/>
  <c r="R1283" i="1"/>
  <c r="Q1283" i="1"/>
  <c r="S1147" i="1"/>
  <c r="R1147" i="1"/>
  <c r="Q1147" i="1"/>
  <c r="N562" i="1"/>
  <c r="W562" i="1" s="1"/>
  <c r="N945" i="1"/>
  <c r="W945" i="1" s="1"/>
  <c r="S890" i="1"/>
  <c r="R890" i="1"/>
  <c r="Q890" i="1"/>
  <c r="S735" i="1"/>
  <c r="R735" i="1"/>
  <c r="Q735" i="1"/>
  <c r="S360" i="1"/>
  <c r="R360" i="1"/>
  <c r="Q360" i="1"/>
  <c r="Q426" i="1"/>
  <c r="S426" i="1"/>
  <c r="R426" i="1"/>
  <c r="S240" i="1"/>
  <c r="R240" i="1"/>
  <c r="Q240" i="1"/>
  <c r="R129" i="1"/>
  <c r="Q129" i="1"/>
  <c r="S129" i="1"/>
  <c r="S2478" i="1"/>
  <c r="R2478" i="1"/>
  <c r="Q2478" i="1"/>
  <c r="N2483" i="1"/>
  <c r="W2483" i="1" s="1"/>
  <c r="N2055" i="1"/>
  <c r="W2055" i="1" s="1"/>
  <c r="S285" i="1"/>
  <c r="R285" i="1"/>
  <c r="Q285" i="1"/>
  <c r="S116" i="1"/>
  <c r="R116" i="1"/>
  <c r="Q116" i="1"/>
  <c r="Q56" i="1"/>
  <c r="S56" i="1"/>
  <c r="R56" i="1"/>
  <c r="S238" i="1"/>
  <c r="R238" i="1"/>
  <c r="Q238" i="1"/>
  <c r="S498" i="1"/>
  <c r="R498" i="1"/>
  <c r="Q498" i="1"/>
  <c r="Q306" i="1"/>
  <c r="S306" i="1"/>
  <c r="R306" i="1"/>
  <c r="S100" i="1"/>
  <c r="R100" i="1"/>
  <c r="Q100" i="1"/>
  <c r="N1639" i="1"/>
  <c r="W1639" i="1" s="1"/>
  <c r="N826" i="1"/>
  <c r="W826" i="1" s="1"/>
  <c r="S1665" i="1"/>
  <c r="R1665" i="1"/>
  <c r="Q1665" i="1"/>
  <c r="S1181" i="1"/>
  <c r="R1181" i="1"/>
  <c r="Q1181" i="1"/>
  <c r="R104" i="1"/>
  <c r="Q104" i="1"/>
  <c r="S104" i="1"/>
  <c r="R65" i="1"/>
  <c r="Q65" i="1"/>
  <c r="S65" i="1"/>
  <c r="Q226" i="1"/>
  <c r="S226" i="1"/>
  <c r="R226" i="1"/>
  <c r="S188" i="1"/>
  <c r="R188" i="1"/>
  <c r="Q188" i="1"/>
  <c r="S1126" i="1"/>
  <c r="R1126" i="1"/>
  <c r="Q1126" i="1"/>
  <c r="S138" i="1"/>
  <c r="R138" i="1"/>
  <c r="Q138" i="1"/>
  <c r="P359" i="19"/>
  <c r="P356" i="19"/>
  <c r="P355" i="19"/>
  <c r="P358" i="19"/>
  <c r="S354" i="19"/>
  <c r="R354" i="19"/>
  <c r="P357" i="19"/>
  <c r="Q354" i="19"/>
  <c r="S602" i="19"/>
  <c r="R602" i="19"/>
  <c r="Q602" i="19"/>
  <c r="P672" i="19"/>
  <c r="P671" i="19"/>
  <c r="P673" i="19"/>
  <c r="S670" i="19"/>
  <c r="R670" i="19"/>
  <c r="Q670" i="19"/>
  <c r="S2032" i="1"/>
  <c r="R2032" i="1"/>
  <c r="Q2032" i="1"/>
  <c r="S120" i="1"/>
  <c r="R120" i="1"/>
  <c r="Q120" i="1"/>
  <c r="S843" i="19"/>
  <c r="R843" i="19"/>
  <c r="Q843" i="19"/>
  <c r="S2496" i="19"/>
  <c r="R2496" i="19"/>
  <c r="Q2496" i="19"/>
  <c r="S225" i="19"/>
  <c r="R225" i="19"/>
  <c r="Q225" i="19"/>
  <c r="Q1920" i="19"/>
  <c r="P1923" i="19"/>
  <c r="P1922" i="19"/>
  <c r="P1921" i="19"/>
  <c r="S1920" i="19"/>
  <c r="R1920" i="19"/>
  <c r="S948" i="19"/>
  <c r="R948" i="19"/>
  <c r="Q948" i="19"/>
  <c r="S2504" i="19"/>
  <c r="R2504" i="19"/>
  <c r="Q2504" i="19"/>
  <c r="S2544" i="19"/>
  <c r="R2544" i="19"/>
  <c r="Q2544" i="19"/>
  <c r="S2512" i="19"/>
  <c r="R2512" i="19"/>
  <c r="Q2512" i="19"/>
  <c r="S1632" i="19"/>
  <c r="R1632" i="19"/>
  <c r="Q1632" i="19"/>
  <c r="S1528" i="19"/>
  <c r="R1528" i="19"/>
  <c r="Q1528" i="19"/>
  <c r="S1360" i="19"/>
  <c r="R1360" i="19"/>
  <c r="Q1360" i="19"/>
  <c r="S1264" i="19"/>
  <c r="R1264" i="19"/>
  <c r="Q1264" i="19"/>
  <c r="S1032" i="19"/>
  <c r="R1032" i="19"/>
  <c r="Q1032" i="19"/>
  <c r="S650" i="19"/>
  <c r="R650" i="19"/>
  <c r="Q650" i="19"/>
  <c r="S544" i="19"/>
  <c r="R544" i="19"/>
  <c r="Q544" i="19"/>
  <c r="S920" i="19"/>
  <c r="R920" i="19"/>
  <c r="Q920" i="19"/>
  <c r="S567" i="19"/>
  <c r="R567" i="19"/>
  <c r="Q567" i="19"/>
  <c r="S2477" i="1"/>
  <c r="R2477" i="1"/>
  <c r="Q2477" i="1"/>
  <c r="S2347" i="1"/>
  <c r="R2347" i="1"/>
  <c r="Q2347" i="1"/>
  <c r="P2210" i="19"/>
  <c r="P2208" i="19"/>
  <c r="S2207" i="19"/>
  <c r="R2207" i="19"/>
  <c r="Q2207" i="19"/>
  <c r="P2209" i="19"/>
  <c r="S1609" i="19"/>
  <c r="R1609" i="19"/>
  <c r="Q1609" i="19"/>
  <c r="R1535" i="19"/>
  <c r="Q1535" i="19"/>
  <c r="S1535" i="19"/>
  <c r="S1356" i="19"/>
  <c r="R1356" i="19"/>
  <c r="Q1356" i="19"/>
  <c r="S1256" i="19"/>
  <c r="R1256" i="19"/>
  <c r="Q1256" i="19"/>
  <c r="S1123" i="19"/>
  <c r="R1123" i="19"/>
  <c r="Q1123" i="19"/>
  <c r="R1856" i="19"/>
  <c r="Q1856" i="19"/>
  <c r="P1859" i="19"/>
  <c r="P1858" i="19"/>
  <c r="P1857" i="19"/>
  <c r="S1856" i="19"/>
  <c r="Q1773" i="19"/>
  <c r="S1773" i="19"/>
  <c r="R1773" i="19"/>
  <c r="Q1354" i="19"/>
  <c r="S1354" i="19"/>
  <c r="R1354" i="19"/>
  <c r="Q1021" i="19"/>
  <c r="S1021" i="19"/>
  <c r="R1021" i="19"/>
  <c r="S2383" i="1"/>
  <c r="R2383" i="1"/>
  <c r="Q2383" i="1"/>
  <c r="Q2183" i="1"/>
  <c r="S2183" i="1"/>
  <c r="R2183" i="1"/>
  <c r="S1815" i="1"/>
  <c r="R1815" i="1"/>
  <c r="Q1815" i="1"/>
  <c r="S1719" i="1"/>
  <c r="R1719" i="1"/>
  <c r="Q1719" i="1"/>
  <c r="S1598" i="1"/>
  <c r="R1598" i="1"/>
  <c r="Q1598" i="1"/>
  <c r="S843" i="1"/>
  <c r="R843" i="1"/>
  <c r="Q843" i="1"/>
  <c r="S814" i="1"/>
  <c r="R814" i="1"/>
  <c r="Q814" i="1"/>
  <c r="S1555" i="19"/>
  <c r="R1555" i="19"/>
  <c r="Q1555" i="19"/>
  <c r="S1436" i="19"/>
  <c r="R1436" i="19"/>
  <c r="Q1436" i="19"/>
  <c r="S1248" i="19"/>
  <c r="R1248" i="19"/>
  <c r="Q1248" i="19"/>
  <c r="Q1157" i="19"/>
  <c r="S1157" i="19"/>
  <c r="R1157" i="19"/>
  <c r="Q876" i="19"/>
  <c r="S876" i="19"/>
  <c r="R876" i="19"/>
  <c r="P596" i="19"/>
  <c r="R593" i="19"/>
  <c r="Q593" i="19"/>
  <c r="P595" i="19"/>
  <c r="P594" i="19"/>
  <c r="S593" i="19"/>
  <c r="S1286" i="19"/>
  <c r="R1286" i="19"/>
  <c r="Q1286" i="19"/>
  <c r="S1054" i="19"/>
  <c r="R1054" i="19"/>
  <c r="Q1054" i="19"/>
  <c r="S578" i="1"/>
  <c r="R578" i="1"/>
  <c r="Q578" i="1"/>
  <c r="S546" i="1"/>
  <c r="R546" i="1"/>
  <c r="Q546" i="1"/>
  <c r="S514" i="1"/>
  <c r="R514" i="1"/>
  <c r="Q514" i="1"/>
  <c r="S1521" i="19"/>
  <c r="R1521" i="19"/>
  <c r="Q1521" i="19"/>
  <c r="S1079" i="19"/>
  <c r="R1079" i="19"/>
  <c r="Q1079" i="19"/>
  <c r="S967" i="19"/>
  <c r="R967" i="19"/>
  <c r="Q967" i="19"/>
  <c r="S554" i="19"/>
  <c r="R554" i="19"/>
  <c r="Q554" i="19"/>
  <c r="S1589" i="1"/>
  <c r="R1589" i="1"/>
  <c r="Q1589" i="1"/>
  <c r="Q1313" i="1"/>
  <c r="S1313" i="1"/>
  <c r="R1313" i="1"/>
  <c r="S1281" i="1"/>
  <c r="R1281" i="1"/>
  <c r="Q1281" i="1"/>
  <c r="S1217" i="1"/>
  <c r="R1217" i="1"/>
  <c r="Q1217" i="1"/>
  <c r="S1185" i="1"/>
  <c r="R1185" i="1"/>
  <c r="Q1185" i="1"/>
  <c r="S1153" i="1"/>
  <c r="R1153" i="1"/>
  <c r="Q1153" i="1"/>
  <c r="S1118" i="1"/>
  <c r="R1118" i="1"/>
  <c r="Q1118" i="1"/>
  <c r="S1090" i="1"/>
  <c r="R1090" i="1"/>
  <c r="Q1090" i="1"/>
  <c r="S1054" i="1"/>
  <c r="R1054" i="1"/>
  <c r="Q1054" i="1"/>
  <c r="S994" i="1"/>
  <c r="R994" i="1"/>
  <c r="Q994" i="1"/>
  <c r="S932" i="1"/>
  <c r="R932" i="1"/>
  <c r="Q932" i="1"/>
  <c r="S1766" i="19"/>
  <c r="R1766" i="19"/>
  <c r="Q1766" i="19"/>
  <c r="Q1244" i="19"/>
  <c r="S1244" i="19"/>
  <c r="R1244" i="19"/>
  <c r="S958" i="19"/>
  <c r="R958" i="19"/>
  <c r="Q958" i="19"/>
  <c r="Q2527" i="19"/>
  <c r="S2527" i="19"/>
  <c r="R2527" i="19"/>
  <c r="R1876" i="19"/>
  <c r="Q1876" i="19"/>
  <c r="P1879" i="19"/>
  <c r="P1878" i="19"/>
  <c r="P1877" i="19"/>
  <c r="S1876" i="19"/>
  <c r="S1553" i="19"/>
  <c r="R1553" i="19"/>
  <c r="Q1553" i="19"/>
  <c r="S1416" i="19"/>
  <c r="R1416" i="19"/>
  <c r="Q1416" i="19"/>
  <c r="S976" i="19"/>
  <c r="R976" i="19"/>
  <c r="Q976" i="19"/>
  <c r="P1882" i="19"/>
  <c r="P1881" i="19"/>
  <c r="S1880" i="19"/>
  <c r="P1883" i="19"/>
  <c r="R1880" i="19"/>
  <c r="Q1880" i="19"/>
  <c r="S1633" i="19"/>
  <c r="R1633" i="19"/>
  <c r="Q1633" i="19"/>
  <c r="S1240" i="19"/>
  <c r="R1240" i="19"/>
  <c r="Q1240" i="19"/>
  <c r="Q1109" i="19"/>
  <c r="S1109" i="19"/>
  <c r="R1109" i="19"/>
  <c r="S793" i="19"/>
  <c r="R793" i="19"/>
  <c r="Q793" i="19"/>
  <c r="S1608" i="19"/>
  <c r="R1608" i="19"/>
  <c r="Q1608" i="19"/>
  <c r="S1396" i="19"/>
  <c r="R1396" i="19"/>
  <c r="Q1396" i="19"/>
  <c r="S992" i="19"/>
  <c r="R992" i="19"/>
  <c r="Q992" i="19"/>
  <c r="S1112" i="19"/>
  <c r="R1112" i="19"/>
  <c r="Q1112" i="19"/>
  <c r="S1285" i="19"/>
  <c r="R1285" i="19"/>
  <c r="Q1285" i="19"/>
  <c r="R2103" i="19"/>
  <c r="P2106" i="19"/>
  <c r="Q2103" i="19"/>
  <c r="P2108" i="19"/>
  <c r="P2107" i="19"/>
  <c r="P2105" i="19"/>
  <c r="P2104" i="19"/>
  <c r="S2103" i="19"/>
  <c r="P1784" i="19"/>
  <c r="P1783" i="19"/>
  <c r="S1782" i="19"/>
  <c r="R1782" i="19"/>
  <c r="Q1782" i="19"/>
  <c r="S1268" i="19"/>
  <c r="R1268" i="19"/>
  <c r="Q1268" i="19"/>
  <c r="S943" i="19"/>
  <c r="R943" i="19"/>
  <c r="Q943" i="19"/>
  <c r="R1902" i="19"/>
  <c r="Q1902" i="19"/>
  <c r="S1902" i="19"/>
  <c r="R496" i="19"/>
  <c r="S496" i="19"/>
  <c r="Q496" i="19"/>
  <c r="S2071" i="19"/>
  <c r="R2071" i="19"/>
  <c r="Q2071" i="19"/>
  <c r="S1865" i="19"/>
  <c r="R1865" i="19"/>
  <c r="Q1865" i="19"/>
  <c r="S333" i="19"/>
  <c r="Q333" i="19"/>
  <c r="R333" i="19"/>
  <c r="S152" i="19"/>
  <c r="R152" i="19"/>
  <c r="Q152" i="19"/>
  <c r="R738" i="19"/>
  <c r="Q738" i="19"/>
  <c r="S738" i="19"/>
  <c r="S610" i="19"/>
  <c r="Q610" i="19"/>
  <c r="R610" i="19"/>
  <c r="R182" i="19"/>
  <c r="S182" i="19"/>
  <c r="Q182" i="19"/>
  <c r="S721" i="19"/>
  <c r="R721" i="19"/>
  <c r="Q721" i="19"/>
  <c r="R362" i="19"/>
  <c r="Q362" i="19"/>
  <c r="S362" i="19"/>
  <c r="R125" i="19"/>
  <c r="S125" i="19"/>
  <c r="Q125" i="19"/>
  <c r="R274" i="19"/>
  <c r="S1806" i="19"/>
  <c r="R1806" i="19"/>
  <c r="Q1806" i="19"/>
  <c r="S2316" i="19"/>
  <c r="R2316" i="19"/>
  <c r="Q2316" i="19"/>
  <c r="S477" i="19"/>
  <c r="R477" i="19"/>
  <c r="Q477" i="19"/>
  <c r="Q430" i="19"/>
  <c r="S430" i="19"/>
  <c r="R430" i="19"/>
  <c r="S167" i="19"/>
  <c r="R167" i="19"/>
  <c r="Q167" i="19"/>
  <c r="Q179" i="19"/>
  <c r="S179" i="19"/>
  <c r="R179" i="19"/>
  <c r="Q754" i="19"/>
  <c r="S754" i="19"/>
  <c r="R754" i="19"/>
  <c r="P2341" i="19"/>
  <c r="P2340" i="19"/>
  <c r="S2339" i="19"/>
  <c r="R2339" i="19"/>
  <c r="Q2339" i="19"/>
  <c r="P2342" i="19"/>
  <c r="S1411" i="19"/>
  <c r="R1411" i="19"/>
  <c r="Q1411" i="19"/>
  <c r="S1317" i="19"/>
  <c r="R1317" i="19"/>
  <c r="Q1317" i="19"/>
  <c r="R1263" i="19"/>
  <c r="Q1263" i="19"/>
  <c r="S1263" i="19"/>
  <c r="S801" i="19"/>
  <c r="R801" i="19"/>
  <c r="Q801" i="19"/>
  <c r="S2474" i="19"/>
  <c r="R2474" i="19"/>
  <c r="Q2474" i="19"/>
  <c r="P2006" i="19"/>
  <c r="P2005" i="19"/>
  <c r="P2007" i="19"/>
  <c r="S2004" i="19"/>
  <c r="R2004" i="19"/>
  <c r="Q2004" i="19"/>
  <c r="Q1759" i="19"/>
  <c r="S1759" i="19"/>
  <c r="R1759" i="19"/>
  <c r="Q1282" i="19"/>
  <c r="S1282" i="19"/>
  <c r="R1282" i="19"/>
  <c r="S1084" i="19"/>
  <c r="R1084" i="19"/>
  <c r="Q1084" i="19"/>
  <c r="P709" i="19"/>
  <c r="P706" i="19"/>
  <c r="P708" i="19"/>
  <c r="S705" i="19"/>
  <c r="R705" i="19"/>
  <c r="Q705" i="19"/>
  <c r="P710" i="19"/>
  <c r="P707" i="19"/>
  <c r="S683" i="19"/>
  <c r="R683" i="19"/>
  <c r="Q683" i="19"/>
  <c r="S2472" i="19"/>
  <c r="R2472" i="19"/>
  <c r="Q2472" i="19"/>
  <c r="P1739" i="19"/>
  <c r="P1738" i="19"/>
  <c r="S1737" i="19"/>
  <c r="R1737" i="19"/>
  <c r="Q1737" i="19"/>
  <c r="S1500" i="19"/>
  <c r="R1500" i="19"/>
  <c r="Q1500" i="19"/>
  <c r="P202" i="19"/>
  <c r="S203" i="19"/>
  <c r="R203" i="19"/>
  <c r="Q203" i="19"/>
  <c r="S2012" i="19"/>
  <c r="R2012" i="19"/>
  <c r="P2015" i="19"/>
  <c r="Q2012" i="19"/>
  <c r="P2014" i="19"/>
  <c r="P2013" i="19"/>
  <c r="S1695" i="19"/>
  <c r="R1695" i="19"/>
  <c r="Q1695" i="19"/>
  <c r="S252" i="19"/>
  <c r="R252" i="19"/>
  <c r="Q252" i="19"/>
  <c r="S1314" i="1"/>
  <c r="R1314" i="1"/>
  <c r="Q1314" i="1"/>
  <c r="S51" i="1"/>
  <c r="R51" i="1"/>
  <c r="Q51" i="1"/>
  <c r="P1897" i="19"/>
  <c r="S1896" i="19"/>
  <c r="R1896" i="19"/>
  <c r="P1899" i="19"/>
  <c r="Q1896" i="19"/>
  <c r="P1898" i="19"/>
  <c r="S588" i="19"/>
  <c r="R588" i="19"/>
  <c r="Q588" i="19"/>
  <c r="S1530" i="1"/>
  <c r="R1530" i="1"/>
  <c r="Q1530" i="1"/>
  <c r="S1209" i="1"/>
  <c r="R1209" i="1"/>
  <c r="Q1209" i="1"/>
  <c r="S963" i="1"/>
  <c r="R963" i="1"/>
  <c r="Q963" i="1"/>
  <c r="S693" i="1"/>
  <c r="R693" i="1"/>
  <c r="Q693" i="1"/>
  <c r="S1240" i="1"/>
  <c r="R1240" i="1"/>
  <c r="Q1240" i="1"/>
  <c r="S692" i="1"/>
  <c r="R692" i="1"/>
  <c r="Q692" i="1"/>
  <c r="S1440" i="19"/>
  <c r="R1440" i="19"/>
  <c r="Q1440" i="19"/>
  <c r="S1633" i="1"/>
  <c r="R1633" i="1"/>
  <c r="Q1633" i="1"/>
  <c r="S1332" i="1"/>
  <c r="R1332" i="1"/>
  <c r="Q1332" i="1"/>
  <c r="S1076" i="19"/>
  <c r="R1076" i="19"/>
  <c r="Q1076" i="19"/>
  <c r="S1035" i="19"/>
  <c r="R1035" i="19"/>
  <c r="Q1035" i="19"/>
  <c r="S1134" i="1"/>
  <c r="R1134" i="1"/>
  <c r="Q1134" i="1"/>
  <c r="R2497" i="1"/>
  <c r="Q2497" i="1"/>
  <c r="S2497" i="1"/>
  <c r="S1448" i="1"/>
  <c r="R1448" i="1"/>
  <c r="Q1448" i="1"/>
  <c r="S1160" i="1"/>
  <c r="R1160" i="1"/>
  <c r="Q1160" i="1"/>
  <c r="S630" i="19"/>
  <c r="R630" i="19"/>
  <c r="Q630" i="19"/>
  <c r="P2128" i="19"/>
  <c r="P2130" i="19"/>
  <c r="S2127" i="19"/>
  <c r="R2127" i="19"/>
  <c r="Q2127" i="19"/>
  <c r="P2129" i="19"/>
  <c r="S1308" i="19"/>
  <c r="R1308" i="19"/>
  <c r="Q1308" i="19"/>
  <c r="S368" i="19"/>
  <c r="Q368" i="19"/>
  <c r="R368" i="19"/>
  <c r="S1870" i="19"/>
  <c r="R1870" i="19"/>
  <c r="Q1870" i="19"/>
  <c r="S2487" i="19"/>
  <c r="R2487" i="19"/>
  <c r="Q2487" i="19"/>
  <c r="S2511" i="19"/>
  <c r="R2511" i="19"/>
  <c r="Q2511" i="19"/>
  <c r="P2417" i="19"/>
  <c r="P2414" i="19"/>
  <c r="S2413" i="19"/>
  <c r="R2413" i="19"/>
  <c r="Q2413" i="19"/>
  <c r="P2418" i="19"/>
  <c r="P2416" i="19"/>
  <c r="P2415" i="19"/>
  <c r="P2428" i="19"/>
  <c r="P2426" i="19"/>
  <c r="S2425" i="19"/>
  <c r="R2425" i="19"/>
  <c r="Q2425" i="19"/>
  <c r="P2427" i="19"/>
  <c r="P2430" i="19"/>
  <c r="P2429" i="19"/>
  <c r="P2360" i="19"/>
  <c r="S2359" i="19"/>
  <c r="P2362" i="19"/>
  <c r="R2359" i="19"/>
  <c r="Q2359" i="19"/>
  <c r="P2361" i="19"/>
  <c r="P2326" i="19"/>
  <c r="P2324" i="19"/>
  <c r="S2323" i="19"/>
  <c r="R2323" i="19"/>
  <c r="Q2323" i="19"/>
  <c r="P2325" i="19"/>
  <c r="S2395" i="19"/>
  <c r="R2395" i="19"/>
  <c r="Q2395" i="19"/>
  <c r="P2398" i="19"/>
  <c r="P2397" i="19"/>
  <c r="P2396" i="19"/>
  <c r="P2250" i="19"/>
  <c r="S2249" i="19"/>
  <c r="P2252" i="19"/>
  <c r="R2249" i="19"/>
  <c r="Q2249" i="19"/>
  <c r="P2251" i="19"/>
  <c r="P2114" i="19"/>
  <c r="P2111" i="19"/>
  <c r="P2113" i="19"/>
  <c r="P2110" i="19"/>
  <c r="S2109" i="19"/>
  <c r="P2112" i="19"/>
  <c r="R2109" i="19"/>
  <c r="Q2109" i="19"/>
  <c r="S1677" i="19"/>
  <c r="R1677" i="19"/>
  <c r="Q1677" i="19"/>
  <c r="S1541" i="19"/>
  <c r="R1541" i="19"/>
  <c r="Q1541" i="19"/>
  <c r="S1589" i="19"/>
  <c r="R1589" i="19"/>
  <c r="Q1589" i="19"/>
  <c r="Q1490" i="19"/>
  <c r="S1490" i="19"/>
  <c r="R1490" i="19"/>
  <c r="S1270" i="19"/>
  <c r="R1270" i="19"/>
  <c r="Q1270" i="19"/>
  <c r="S1459" i="19"/>
  <c r="R1459" i="19"/>
  <c r="Q1459" i="19"/>
  <c r="Q1314" i="19"/>
  <c r="S1314" i="19"/>
  <c r="R1314" i="19"/>
  <c r="S1371" i="19"/>
  <c r="R1371" i="19"/>
  <c r="Q1371" i="19"/>
  <c r="S1180" i="19"/>
  <c r="R1180" i="19"/>
  <c r="Q1180" i="19"/>
  <c r="S993" i="19"/>
  <c r="R993" i="19"/>
  <c r="Q993" i="19"/>
  <c r="S1070" i="19"/>
  <c r="R1070" i="19"/>
  <c r="Q1070" i="19"/>
  <c r="S1103" i="19"/>
  <c r="R1103" i="19"/>
  <c r="Q1103" i="19"/>
  <c r="S1427" i="19"/>
  <c r="R1427" i="19"/>
  <c r="Q1427" i="19"/>
  <c r="S1158" i="19"/>
  <c r="R1158" i="19"/>
  <c r="Q1158" i="19"/>
  <c r="S1111" i="19"/>
  <c r="R1111" i="19"/>
  <c r="Q1111" i="19"/>
  <c r="R1146" i="19"/>
  <c r="Q1146" i="19"/>
  <c r="S1146" i="19"/>
  <c r="S1030" i="19"/>
  <c r="R1030" i="19"/>
  <c r="Q1030" i="19"/>
  <c r="S1211" i="19"/>
  <c r="R1211" i="19"/>
  <c r="Q1211" i="19"/>
  <c r="Q805" i="19"/>
  <c r="S805" i="19"/>
  <c r="R805" i="19"/>
  <c r="Q1077" i="19"/>
  <c r="S1077" i="19"/>
  <c r="R1077" i="19"/>
  <c r="S833" i="19"/>
  <c r="R833" i="19"/>
  <c r="Q833" i="19"/>
  <c r="Q845" i="19"/>
  <c r="S845" i="19"/>
  <c r="R845" i="19"/>
  <c r="Q906" i="19"/>
  <c r="S906" i="19"/>
  <c r="R906" i="19"/>
  <c r="S590" i="19"/>
  <c r="R590" i="19"/>
  <c r="Q590" i="19"/>
  <c r="S529" i="19"/>
  <c r="R529" i="19"/>
  <c r="Q529" i="19"/>
  <c r="S523" i="19"/>
  <c r="R523" i="19"/>
  <c r="Q523" i="19"/>
  <c r="Q106" i="19"/>
  <c r="S106" i="19"/>
  <c r="R106" i="19"/>
  <c r="S531" i="19"/>
  <c r="R531" i="19"/>
  <c r="Q531" i="19"/>
  <c r="S237" i="19"/>
  <c r="R237" i="19"/>
  <c r="Q237" i="19"/>
  <c r="Q21" i="19"/>
  <c r="S21" i="19"/>
  <c r="R21" i="19"/>
  <c r="S2490" i="19"/>
  <c r="R2490" i="19"/>
  <c r="Q2490" i="19"/>
  <c r="P2385" i="19"/>
  <c r="P2384" i="19"/>
  <c r="P2386" i="19"/>
  <c r="S2383" i="19"/>
  <c r="R2383" i="19"/>
  <c r="Q2383" i="19"/>
  <c r="S2491" i="19"/>
  <c r="R2491" i="19"/>
  <c r="Q2491" i="19"/>
  <c r="S2494" i="19"/>
  <c r="R2494" i="19"/>
  <c r="Q2494" i="19"/>
  <c r="P1997" i="19"/>
  <c r="S1996" i="19"/>
  <c r="R1996" i="19"/>
  <c r="Q1996" i="19"/>
  <c r="P1999" i="19"/>
  <c r="P1998" i="19"/>
  <c r="P2126" i="19"/>
  <c r="S2121" i="19"/>
  <c r="R2121" i="19"/>
  <c r="P2125" i="19"/>
  <c r="Q2121" i="19"/>
  <c r="P2124" i="19"/>
  <c r="P2123" i="19"/>
  <c r="P2122" i="19"/>
  <c r="S1688" i="19"/>
  <c r="R1688" i="19"/>
  <c r="Q1688" i="19"/>
  <c r="P1687" i="19"/>
  <c r="S1714" i="19"/>
  <c r="R1714" i="19"/>
  <c r="Q1714" i="19"/>
  <c r="S1727" i="19"/>
  <c r="R1727" i="19"/>
  <c r="Q1727" i="19"/>
  <c r="S1529" i="19"/>
  <c r="R1529" i="19"/>
  <c r="Q1529" i="19"/>
  <c r="S1441" i="19"/>
  <c r="R1441" i="19"/>
  <c r="Q1441" i="19"/>
  <c r="S1321" i="19"/>
  <c r="R1321" i="19"/>
  <c r="Q1321" i="19"/>
  <c r="S1201" i="19"/>
  <c r="R1201" i="19"/>
  <c r="Q1201" i="19"/>
  <c r="Q1442" i="19"/>
  <c r="S1442" i="19"/>
  <c r="R1442" i="19"/>
  <c r="R1351" i="19"/>
  <c r="Q1351" i="19"/>
  <c r="S1351" i="19"/>
  <c r="S1560" i="19"/>
  <c r="R1560" i="19"/>
  <c r="Q1560" i="19"/>
  <c r="S1425" i="19"/>
  <c r="R1425" i="19"/>
  <c r="Q1425" i="19"/>
  <c r="S1183" i="19"/>
  <c r="R1183" i="19"/>
  <c r="Q1183" i="19"/>
  <c r="S1095" i="19"/>
  <c r="R1095" i="19"/>
  <c r="Q1095" i="19"/>
  <c r="S915" i="19"/>
  <c r="R915" i="19"/>
  <c r="Q915" i="19"/>
  <c r="R994" i="19"/>
  <c r="Q994" i="19"/>
  <c r="S994" i="19"/>
  <c r="S1230" i="19"/>
  <c r="R1230" i="19"/>
  <c r="Q1230" i="19"/>
  <c r="Q1237" i="19"/>
  <c r="S1237" i="19"/>
  <c r="R1237" i="19"/>
  <c r="S881" i="19"/>
  <c r="R881" i="19"/>
  <c r="Q881" i="19"/>
  <c r="P880" i="19"/>
  <c r="P749" i="19"/>
  <c r="P752" i="19"/>
  <c r="P751" i="19"/>
  <c r="P748" i="19"/>
  <c r="S747" i="19"/>
  <c r="R747" i="19"/>
  <c r="Q747" i="19"/>
  <c r="P750" i="19"/>
  <c r="Q868" i="19"/>
  <c r="S868" i="19"/>
  <c r="R868" i="19"/>
  <c r="R1122" i="19"/>
  <c r="Q1122" i="19"/>
  <c r="S1122" i="19"/>
  <c r="S870" i="19"/>
  <c r="R870" i="19"/>
  <c r="Q870" i="19"/>
  <c r="S688" i="19"/>
  <c r="R688" i="19"/>
  <c r="Q688" i="19"/>
  <c r="S1068" i="19"/>
  <c r="R1068" i="19"/>
  <c r="Q1068" i="19"/>
  <c r="S874" i="19"/>
  <c r="R874" i="19"/>
  <c r="Q874" i="19"/>
  <c r="R111" i="19"/>
  <c r="Q111" i="19"/>
  <c r="S111" i="19"/>
  <c r="S844" i="19"/>
  <c r="R844" i="19"/>
  <c r="Q844" i="19"/>
  <c r="S88" i="19"/>
  <c r="R88" i="19"/>
  <c r="Q88" i="19"/>
  <c r="P2229" i="19"/>
  <c r="P2232" i="19"/>
  <c r="P2231" i="19"/>
  <c r="P2228" i="19"/>
  <c r="S2227" i="19"/>
  <c r="P2230" i="19"/>
  <c r="R2227" i="19"/>
  <c r="Q2227" i="19"/>
  <c r="R1479" i="19"/>
  <c r="Q1479" i="19"/>
  <c r="S1479" i="19"/>
  <c r="S1369" i="19"/>
  <c r="R1369" i="19"/>
  <c r="Q1369" i="19"/>
  <c r="Q997" i="19"/>
  <c r="S997" i="19"/>
  <c r="R997" i="19"/>
  <c r="S1665" i="19"/>
  <c r="R1665" i="19"/>
  <c r="Q1665" i="19"/>
  <c r="S1329" i="19"/>
  <c r="R1329" i="19"/>
  <c r="Q1329" i="19"/>
  <c r="S1690" i="19"/>
  <c r="R1690" i="19"/>
  <c r="Q1690" i="19"/>
  <c r="R1495" i="19"/>
  <c r="Q1495" i="19"/>
  <c r="S1495" i="19"/>
  <c r="S1241" i="19"/>
  <c r="R1241" i="19"/>
  <c r="Q1241" i="19"/>
  <c r="S1622" i="19"/>
  <c r="R1622" i="19"/>
  <c r="Q1622" i="19"/>
  <c r="S1429" i="19"/>
  <c r="R1429" i="19"/>
  <c r="Q1429" i="19"/>
  <c r="S1113" i="19"/>
  <c r="R1113" i="19"/>
  <c r="Q1113" i="19"/>
  <c r="S1004" i="19"/>
  <c r="R1004" i="19"/>
  <c r="Q1004" i="19"/>
  <c r="R810" i="19"/>
  <c r="Q810" i="19"/>
  <c r="S810" i="19"/>
  <c r="S230" i="19"/>
  <c r="R230" i="19"/>
  <c r="Q230" i="19"/>
  <c r="S871" i="19"/>
  <c r="R871" i="19"/>
  <c r="Q871" i="19"/>
  <c r="R645" i="19"/>
  <c r="Q645" i="19"/>
  <c r="S645" i="19"/>
  <c r="Q213" i="19"/>
  <c r="S213" i="19"/>
  <c r="R213" i="19"/>
  <c r="P317" i="19"/>
  <c r="P314" i="19"/>
  <c r="P313" i="19"/>
  <c r="P316" i="19"/>
  <c r="S312" i="19"/>
  <c r="P315" i="19"/>
  <c r="R312" i="19"/>
  <c r="Q312" i="19"/>
  <c r="P302" i="19"/>
  <c r="P301" i="19"/>
  <c r="S300" i="19"/>
  <c r="R300" i="19"/>
  <c r="Q300" i="19"/>
  <c r="S45" i="19"/>
  <c r="R45" i="19"/>
  <c r="Q45" i="19"/>
  <c r="S1512" i="19"/>
  <c r="R1512" i="19"/>
  <c r="Q1512" i="19"/>
  <c r="S1496" i="19"/>
  <c r="R1496" i="19"/>
  <c r="Q1496" i="19"/>
  <c r="S1225" i="19"/>
  <c r="R1225" i="19"/>
  <c r="Q1225" i="19"/>
  <c r="R1423" i="19"/>
  <c r="Q1423" i="19"/>
  <c r="S1423" i="19"/>
  <c r="S825" i="19"/>
  <c r="R825" i="19"/>
  <c r="Q825" i="19"/>
  <c r="S893" i="19"/>
  <c r="R893" i="19"/>
  <c r="Q893" i="19"/>
  <c r="R524" i="19"/>
  <c r="Q524" i="19"/>
  <c r="S524" i="19"/>
  <c r="S1169" i="19"/>
  <c r="R1169" i="19"/>
  <c r="Q1169" i="19"/>
  <c r="S33" i="19"/>
  <c r="R33" i="19"/>
  <c r="Q33" i="19"/>
  <c r="S1195" i="1"/>
  <c r="R1195" i="1"/>
  <c r="Q1195" i="1"/>
  <c r="S205" i="1"/>
  <c r="R205" i="1"/>
  <c r="Q205" i="1"/>
  <c r="S303" i="1"/>
  <c r="R303" i="1"/>
  <c r="Q303" i="1"/>
  <c r="S207" i="1"/>
  <c r="R207" i="1"/>
  <c r="Q207" i="1"/>
  <c r="Q249" i="1"/>
  <c r="S249" i="1"/>
  <c r="R249" i="1"/>
  <c r="R115" i="1"/>
  <c r="Q115" i="1"/>
  <c r="S115" i="1"/>
  <c r="S2443" i="1"/>
  <c r="R2443" i="1"/>
  <c r="Q2443" i="1"/>
  <c r="S2495" i="1"/>
  <c r="R2495" i="1"/>
  <c r="Q2495" i="1"/>
  <c r="N2287" i="1"/>
  <c r="W2287" i="1" s="1"/>
  <c r="N2213" i="1"/>
  <c r="W2213" i="1" s="1"/>
  <c r="N2052" i="1"/>
  <c r="W2052" i="1" s="1"/>
  <c r="S1773" i="1"/>
  <c r="R1773" i="1"/>
  <c r="Q1773" i="1"/>
  <c r="N1767" i="1"/>
  <c r="W1767" i="1" s="1"/>
  <c r="N1895" i="1"/>
  <c r="W1895" i="1" s="1"/>
  <c r="R1908" i="1"/>
  <c r="Q1908" i="1"/>
  <c r="S1908" i="1"/>
  <c r="Q1352" i="1"/>
  <c r="S1352" i="1"/>
  <c r="R1352" i="1"/>
  <c r="N1236" i="1"/>
  <c r="W1236" i="1" s="1"/>
  <c r="S1618" i="1"/>
  <c r="Q1618" i="1"/>
  <c r="R1618" i="1"/>
  <c r="N1328" i="1"/>
  <c r="W1328" i="1" s="1"/>
  <c r="S997" i="1"/>
  <c r="R997" i="1"/>
  <c r="Q997" i="1"/>
  <c r="S1243" i="1"/>
  <c r="R1243" i="1"/>
  <c r="Q1243" i="1"/>
  <c r="S1073" i="1"/>
  <c r="R1073" i="1"/>
  <c r="Q1073" i="1"/>
  <c r="S1632" i="1"/>
  <c r="R1632" i="1"/>
  <c r="Q1632" i="1"/>
  <c r="Q1572" i="1"/>
  <c r="S1572" i="1"/>
  <c r="R1572" i="1"/>
  <c r="S1222" i="1"/>
  <c r="R1222" i="1"/>
  <c r="Q1222" i="1"/>
  <c r="R966" i="1"/>
  <c r="Q966" i="1"/>
  <c r="S966" i="1"/>
  <c r="S1143" i="1"/>
  <c r="R1143" i="1"/>
  <c r="Q1143" i="1"/>
  <c r="S837" i="1"/>
  <c r="R837" i="1"/>
  <c r="Q837" i="1"/>
  <c r="S729" i="1"/>
  <c r="R729" i="1"/>
  <c r="Q729" i="1"/>
  <c r="S792" i="1"/>
  <c r="R792" i="1"/>
  <c r="Q792" i="1"/>
  <c r="S625" i="1"/>
  <c r="R625" i="1"/>
  <c r="Q625" i="1"/>
  <c r="N799" i="1"/>
  <c r="W799" i="1" s="1"/>
  <c r="Q526" i="1"/>
  <c r="S526" i="1"/>
  <c r="R526" i="1"/>
  <c r="S555" i="1"/>
  <c r="R555" i="1"/>
  <c r="Q555" i="1"/>
  <c r="S1152" i="1"/>
  <c r="R1152" i="1"/>
  <c r="Q1152" i="1"/>
  <c r="S939" i="1"/>
  <c r="R939" i="1"/>
  <c r="Q939" i="1"/>
  <c r="S232" i="1"/>
  <c r="R232" i="1"/>
  <c r="Q232" i="1"/>
  <c r="S124" i="1"/>
  <c r="R124" i="1"/>
  <c r="Q124" i="1"/>
  <c r="R219" i="1"/>
  <c r="Q219" i="1"/>
  <c r="S219" i="1"/>
  <c r="N2451" i="1"/>
  <c r="W2451" i="1" s="1"/>
  <c r="S68" i="1"/>
  <c r="R68" i="1"/>
  <c r="Q68" i="1"/>
  <c r="Q2203" i="1"/>
  <c r="S2203" i="1"/>
  <c r="R2203" i="1"/>
  <c r="S96" i="1"/>
  <c r="R96" i="1"/>
  <c r="Q96" i="1"/>
  <c r="S172" i="1"/>
  <c r="R172" i="1"/>
  <c r="Q172" i="1"/>
  <c r="Q40" i="1"/>
  <c r="S40" i="1"/>
  <c r="R40" i="1"/>
  <c r="S348" i="1"/>
  <c r="R348" i="1"/>
  <c r="Q348" i="1"/>
  <c r="R203" i="1"/>
  <c r="Q203" i="1"/>
  <c r="S203" i="1"/>
  <c r="Q210" i="1"/>
  <c r="S210" i="1"/>
  <c r="R210" i="1"/>
  <c r="S62" i="1"/>
  <c r="R62" i="1"/>
  <c r="Q62" i="1"/>
  <c r="S57" i="1"/>
  <c r="R57" i="1"/>
  <c r="Q57" i="1"/>
  <c r="N1411" i="1"/>
  <c r="W1411" i="1" s="1"/>
  <c r="S168" i="1"/>
  <c r="R168" i="1"/>
  <c r="Q168" i="1"/>
  <c r="Q79" i="1"/>
  <c r="S79" i="1"/>
  <c r="R79" i="1"/>
  <c r="S84" i="1"/>
  <c r="R84" i="1"/>
  <c r="Q84" i="1"/>
  <c r="S1307" i="1"/>
  <c r="R1307" i="1"/>
  <c r="Q1307" i="1"/>
  <c r="N862" i="1"/>
  <c r="W862" i="1" s="1"/>
  <c r="R244" i="1"/>
  <c r="Q244" i="1"/>
  <c r="S244" i="1"/>
  <c r="Q49" i="1"/>
  <c r="S49" i="1"/>
  <c r="R49" i="1"/>
  <c r="N594" i="1"/>
  <c r="W594" i="1" s="1"/>
  <c r="S204" i="1"/>
  <c r="R204" i="1"/>
  <c r="Q204" i="1"/>
  <c r="N516" i="1"/>
  <c r="W516" i="1" s="1"/>
  <c r="S164" i="1"/>
  <c r="R164" i="1"/>
  <c r="Q164" i="1"/>
  <c r="S71" i="1"/>
  <c r="R71" i="1"/>
  <c r="Q71" i="1"/>
  <c r="S134" i="1"/>
  <c r="R134" i="1"/>
  <c r="Q134" i="1"/>
  <c r="S1658" i="1"/>
  <c r="R1658" i="1"/>
  <c r="Q1658" i="1"/>
  <c r="S220" i="1"/>
  <c r="R220" i="1"/>
  <c r="Q220" i="1"/>
  <c r="S803" i="19"/>
  <c r="R803" i="19"/>
  <c r="Q803" i="19"/>
  <c r="P329" i="19"/>
  <c r="P326" i="19"/>
  <c r="P328" i="19"/>
  <c r="P325" i="19"/>
  <c r="S324" i="19"/>
  <c r="P327" i="19"/>
  <c r="R324" i="19"/>
  <c r="Q324" i="19"/>
  <c r="R555" i="19"/>
  <c r="Q555" i="19"/>
  <c r="S555" i="19"/>
  <c r="P2009" i="19"/>
  <c r="S2008" i="19"/>
  <c r="P2011" i="19"/>
  <c r="R2008" i="19"/>
  <c r="Q2008" i="19"/>
  <c r="P2010" i="19"/>
  <c r="S543" i="19"/>
  <c r="R543" i="19"/>
  <c r="Q543" i="19"/>
  <c r="S2000" i="1"/>
  <c r="R2000" i="1"/>
  <c r="Q2000" i="1"/>
  <c r="S122" i="1"/>
  <c r="R122" i="1"/>
  <c r="Q122" i="1"/>
  <c r="R90" i="1"/>
  <c r="Q90" i="1"/>
  <c r="S90" i="1"/>
  <c r="S815" i="19"/>
  <c r="R815" i="19"/>
  <c r="Q815" i="19"/>
  <c r="S1729" i="19"/>
  <c r="R1729" i="19"/>
  <c r="Q1729" i="19"/>
  <c r="Q221" i="19"/>
  <c r="S221" i="19"/>
  <c r="R221" i="19"/>
  <c r="S39" i="19"/>
  <c r="R39" i="19"/>
  <c r="Q39" i="19"/>
  <c r="S2536" i="19"/>
  <c r="R2536" i="19"/>
  <c r="Q2536" i="19"/>
  <c r="S2501" i="19"/>
  <c r="R2501" i="19"/>
  <c r="Q2501" i="19"/>
  <c r="P1951" i="19"/>
  <c r="P1949" i="19"/>
  <c r="S1948" i="19"/>
  <c r="R1948" i="19"/>
  <c r="Q1948" i="19"/>
  <c r="P1950" i="19"/>
  <c r="Q1683" i="19"/>
  <c r="S1683" i="19"/>
  <c r="R1683" i="19"/>
  <c r="S1619" i="19"/>
  <c r="R1619" i="19"/>
  <c r="Q1619" i="19"/>
  <c r="S1515" i="19"/>
  <c r="R1515" i="19"/>
  <c r="Q1515" i="19"/>
  <c r="S1340" i="19"/>
  <c r="R1340" i="19"/>
  <c r="Q1340" i="19"/>
  <c r="R1242" i="19"/>
  <c r="Q1242" i="19"/>
  <c r="S1242" i="19"/>
  <c r="S1011" i="19"/>
  <c r="R1011" i="19"/>
  <c r="Q1011" i="19"/>
  <c r="S641" i="19"/>
  <c r="R641" i="19"/>
  <c r="Q641" i="19"/>
  <c r="S562" i="19"/>
  <c r="R562" i="19"/>
  <c r="Q562" i="19"/>
  <c r="P2193" i="19"/>
  <c r="Q2191" i="19"/>
  <c r="P2194" i="19"/>
  <c r="P2192" i="19"/>
  <c r="S2191" i="19"/>
  <c r="R2191" i="19"/>
  <c r="P2080" i="19"/>
  <c r="P2082" i="19"/>
  <c r="P2079" i="19"/>
  <c r="S2078" i="19"/>
  <c r="R2078" i="19"/>
  <c r="P2081" i="19"/>
  <c r="Q2078" i="19"/>
  <c r="R1723" i="19"/>
  <c r="Q1723" i="19"/>
  <c r="S1723" i="19"/>
  <c r="S1601" i="19"/>
  <c r="R1601" i="19"/>
  <c r="Q1601" i="19"/>
  <c r="S1509" i="19"/>
  <c r="R1509" i="19"/>
  <c r="Q1509" i="19"/>
  <c r="S1334" i="19"/>
  <c r="R1334" i="19"/>
  <c r="Q1334" i="19"/>
  <c r="R1245" i="19"/>
  <c r="Q1245" i="19"/>
  <c r="S1245" i="19"/>
  <c r="S1116" i="19"/>
  <c r="R1116" i="19"/>
  <c r="Q1116" i="19"/>
  <c r="R1912" i="19"/>
  <c r="Q1912" i="19"/>
  <c r="P1914" i="19"/>
  <c r="P1913" i="19"/>
  <c r="P1915" i="19"/>
  <c r="S1912" i="19"/>
  <c r="Q1767" i="19"/>
  <c r="S1767" i="19"/>
  <c r="R1767" i="19"/>
  <c r="S1233" i="19"/>
  <c r="R1233" i="19"/>
  <c r="Q1233" i="19"/>
  <c r="S1012" i="19"/>
  <c r="R1012" i="19"/>
  <c r="Q1012" i="19"/>
  <c r="Q1520" i="1"/>
  <c r="S1520" i="1"/>
  <c r="R1520" i="1"/>
  <c r="S1491" i="1"/>
  <c r="R1491" i="1"/>
  <c r="Q1491" i="1"/>
  <c r="S1367" i="1"/>
  <c r="R1367" i="1"/>
  <c r="Q1367" i="1"/>
  <c r="R1338" i="1"/>
  <c r="Q1338" i="1"/>
  <c r="S1338" i="1"/>
  <c r="S1309" i="1"/>
  <c r="R1309" i="1"/>
  <c r="Q1309" i="1"/>
  <c r="S1226" i="1"/>
  <c r="R1226" i="1"/>
  <c r="Q1226" i="1"/>
  <c r="S1168" i="1"/>
  <c r="R1168" i="1"/>
  <c r="Q1168" i="1"/>
  <c r="R1078" i="1"/>
  <c r="Q1078" i="1"/>
  <c r="S1078" i="1"/>
  <c r="S1050" i="1"/>
  <c r="R1050" i="1"/>
  <c r="Q1050" i="1"/>
  <c r="Q1012" i="1"/>
  <c r="S1012" i="1"/>
  <c r="R1012" i="1"/>
  <c r="R982" i="1"/>
  <c r="Q982" i="1"/>
  <c r="S982" i="1"/>
  <c r="S954" i="1"/>
  <c r="R954" i="1"/>
  <c r="Q954" i="1"/>
  <c r="S908" i="1"/>
  <c r="R908" i="1"/>
  <c r="Q908" i="1"/>
  <c r="Q2195" i="19"/>
  <c r="P2197" i="19"/>
  <c r="P2198" i="19"/>
  <c r="R2195" i="19"/>
  <c r="S2195" i="19"/>
  <c r="P2196" i="19"/>
  <c r="S1795" i="19"/>
  <c r="R1795" i="19"/>
  <c r="P1798" i="19"/>
  <c r="Q1795" i="19"/>
  <c r="P1797" i="19"/>
  <c r="P1796" i="19"/>
  <c r="R1527" i="19"/>
  <c r="Q1527" i="19"/>
  <c r="S1527" i="19"/>
  <c r="S1414" i="19"/>
  <c r="R1414" i="19"/>
  <c r="Q1414" i="19"/>
  <c r="S1236" i="19"/>
  <c r="R1236" i="19"/>
  <c r="Q1236" i="19"/>
  <c r="S1148" i="19"/>
  <c r="R1148" i="19"/>
  <c r="Q1148" i="19"/>
  <c r="S651" i="19"/>
  <c r="R651" i="19"/>
  <c r="Q651" i="19"/>
  <c r="S584" i="19"/>
  <c r="R584" i="19"/>
  <c r="Q584" i="19"/>
  <c r="S1541" i="1"/>
  <c r="R1541" i="1"/>
  <c r="Q1541" i="1"/>
  <c r="S953" i="1"/>
  <c r="R953" i="1"/>
  <c r="Q953" i="1"/>
  <c r="S883" i="1"/>
  <c r="R883" i="1"/>
  <c r="Q883" i="1"/>
  <c r="S849" i="1"/>
  <c r="R849" i="1"/>
  <c r="Q849" i="1"/>
  <c r="S798" i="1"/>
  <c r="R798" i="1"/>
  <c r="Q798" i="1"/>
  <c r="S642" i="1"/>
  <c r="R642" i="1"/>
  <c r="Q642" i="1"/>
  <c r="S603" i="1"/>
  <c r="R603" i="1"/>
  <c r="Q603" i="1"/>
  <c r="S571" i="1"/>
  <c r="R571" i="1"/>
  <c r="Q571" i="1"/>
  <c r="S1216" i="19"/>
  <c r="R1216" i="19"/>
  <c r="Q1216" i="19"/>
  <c r="S1031" i="19"/>
  <c r="R1031" i="19"/>
  <c r="Q1031" i="19"/>
  <c r="R653" i="19"/>
  <c r="Q653" i="19"/>
  <c r="S653" i="19"/>
  <c r="S818" i="1"/>
  <c r="R818" i="1"/>
  <c r="Q818" i="1"/>
  <c r="S789" i="1"/>
  <c r="R789" i="1"/>
  <c r="Q789" i="1"/>
  <c r="S641" i="1"/>
  <c r="R641" i="1"/>
  <c r="Q641" i="1"/>
  <c r="S1472" i="19"/>
  <c r="R1472" i="19"/>
  <c r="Q1472" i="19"/>
  <c r="S1313" i="19"/>
  <c r="R1313" i="19"/>
  <c r="Q1313" i="19"/>
  <c r="S1072" i="19"/>
  <c r="R1072" i="19"/>
  <c r="Q1072" i="19"/>
  <c r="S951" i="19"/>
  <c r="R951" i="19"/>
  <c r="Q951" i="19"/>
  <c r="S552" i="19"/>
  <c r="R552" i="19"/>
  <c r="Q552" i="19"/>
  <c r="S1932" i="1"/>
  <c r="R1932" i="1"/>
  <c r="Q1932" i="1"/>
  <c r="S1900" i="1"/>
  <c r="R1900" i="1"/>
  <c r="Q1900" i="1"/>
  <c r="S1868" i="1"/>
  <c r="R1868" i="1"/>
  <c r="Q1868" i="1"/>
  <c r="S1772" i="1"/>
  <c r="R1772" i="1"/>
  <c r="Q1772" i="1"/>
  <c r="S1740" i="1"/>
  <c r="R1740" i="1"/>
  <c r="Q1740" i="1"/>
  <c r="S1708" i="1"/>
  <c r="R1708" i="1"/>
  <c r="Q1708" i="1"/>
  <c r="S1676" i="1"/>
  <c r="R1676" i="1"/>
  <c r="Q1676" i="1"/>
  <c r="S1615" i="1"/>
  <c r="R1615" i="1"/>
  <c r="Q1615" i="1"/>
  <c r="S1553" i="1"/>
  <c r="R1553" i="1"/>
  <c r="Q1553" i="1"/>
  <c r="S1525" i="1"/>
  <c r="R1525" i="1"/>
  <c r="Q1525" i="1"/>
  <c r="S1495" i="1"/>
  <c r="Q1495" i="1"/>
  <c r="R1495" i="1"/>
  <c r="S1467" i="1"/>
  <c r="R1467" i="1"/>
  <c r="Q1467" i="1"/>
  <c r="S1435" i="1"/>
  <c r="R1435" i="1"/>
  <c r="Q1435" i="1"/>
  <c r="S1403" i="1"/>
  <c r="R1403" i="1"/>
  <c r="Q1403" i="1"/>
  <c r="S1371" i="1"/>
  <c r="R1371" i="1"/>
  <c r="Q1371" i="1"/>
  <c r="S1342" i="1"/>
  <c r="R1342" i="1"/>
  <c r="Q1342" i="1"/>
  <c r="S958" i="1"/>
  <c r="R958" i="1"/>
  <c r="Q958" i="1"/>
  <c r="S905" i="1"/>
  <c r="R905" i="1"/>
  <c r="Q905" i="1"/>
  <c r="S848" i="1"/>
  <c r="R848" i="1"/>
  <c r="Q848" i="1"/>
  <c r="S640" i="1"/>
  <c r="R640" i="1"/>
  <c r="Q640" i="1"/>
  <c r="S577" i="1"/>
  <c r="R577" i="1"/>
  <c r="Q577" i="1"/>
  <c r="S545" i="1"/>
  <c r="R545" i="1"/>
  <c r="Q545" i="1"/>
  <c r="R1764" i="19"/>
  <c r="Q1764" i="19"/>
  <c r="S1764" i="19"/>
  <c r="S1232" i="19"/>
  <c r="R1232" i="19"/>
  <c r="Q1232" i="19"/>
  <c r="S942" i="19"/>
  <c r="R942" i="19"/>
  <c r="Q942" i="19"/>
  <c r="S1707" i="1"/>
  <c r="R1707" i="1"/>
  <c r="Q1707" i="1"/>
  <c r="S1574" i="1"/>
  <c r="R1574" i="1"/>
  <c r="Q1574" i="1"/>
  <c r="S1545" i="1"/>
  <c r="R1545" i="1"/>
  <c r="Q1545" i="1"/>
  <c r="S1517" i="1"/>
  <c r="R1517" i="1"/>
  <c r="Q1517" i="1"/>
  <c r="S1453" i="1"/>
  <c r="R1453" i="1"/>
  <c r="Q1453" i="1"/>
  <c r="R1363" i="1"/>
  <c r="Q1363" i="1"/>
  <c r="S1363" i="1"/>
  <c r="S1327" i="1"/>
  <c r="R1327" i="1"/>
  <c r="Q1327" i="1"/>
  <c r="S1287" i="1"/>
  <c r="R1287" i="1"/>
  <c r="Q1287" i="1"/>
  <c r="S1255" i="1"/>
  <c r="R1255" i="1"/>
  <c r="Q1255" i="1"/>
  <c r="S1223" i="1"/>
  <c r="R1223" i="1"/>
  <c r="Q1223" i="1"/>
  <c r="S1191" i="1"/>
  <c r="R1191" i="1"/>
  <c r="Q1191" i="1"/>
  <c r="S1159" i="1"/>
  <c r="R1159" i="1"/>
  <c r="Q1159" i="1"/>
  <c r="S1124" i="1"/>
  <c r="R1124" i="1"/>
  <c r="Q1124" i="1"/>
  <c r="S1096" i="1"/>
  <c r="R1096" i="1"/>
  <c r="Q1096" i="1"/>
  <c r="Q1060" i="1"/>
  <c r="S1060" i="1"/>
  <c r="R1060" i="1"/>
  <c r="S1031" i="1"/>
  <c r="R1031" i="1"/>
  <c r="Q1031" i="1"/>
  <c r="S971" i="1"/>
  <c r="R971" i="1"/>
  <c r="Q971" i="1"/>
  <c r="S938" i="1"/>
  <c r="R938" i="1"/>
  <c r="Q938" i="1"/>
  <c r="S896" i="1"/>
  <c r="R896" i="1"/>
  <c r="Q896" i="1"/>
  <c r="S865" i="1"/>
  <c r="R865" i="1"/>
  <c r="Q865" i="1"/>
  <c r="S835" i="1"/>
  <c r="R835" i="1"/>
  <c r="Q835" i="1"/>
  <c r="S687" i="1"/>
  <c r="R687" i="1"/>
  <c r="Q687" i="1"/>
  <c r="S623" i="1"/>
  <c r="R623" i="1"/>
  <c r="Q623" i="1"/>
  <c r="R560" i="1"/>
  <c r="Q560" i="1"/>
  <c r="S560" i="1"/>
  <c r="R528" i="1"/>
  <c r="Q528" i="1"/>
  <c r="S528" i="1"/>
  <c r="S2518" i="19"/>
  <c r="R2518" i="19"/>
  <c r="Q2518" i="19"/>
  <c r="S1491" i="19"/>
  <c r="R1491" i="19"/>
  <c r="Q1491" i="19"/>
  <c r="S1296" i="19"/>
  <c r="R1296" i="19"/>
  <c r="Q1296" i="19"/>
  <c r="S944" i="19"/>
  <c r="R944" i="19"/>
  <c r="Q944" i="19"/>
  <c r="S1835" i="19"/>
  <c r="R1835" i="19"/>
  <c r="P1838" i="19"/>
  <c r="Q1835" i="19"/>
  <c r="P1837" i="19"/>
  <c r="P1836" i="19"/>
  <c r="Q1629" i="19"/>
  <c r="S1629" i="19"/>
  <c r="R1629" i="19"/>
  <c r="S1088" i="19"/>
  <c r="R1088" i="19"/>
  <c r="Q1088" i="19"/>
  <c r="S1023" i="19"/>
  <c r="R1023" i="19"/>
  <c r="Q1023" i="19"/>
  <c r="S1641" i="19"/>
  <c r="R1641" i="19"/>
  <c r="Q1641" i="19"/>
  <c r="S1352" i="19"/>
  <c r="R1352" i="19"/>
  <c r="Q1352" i="19"/>
  <c r="S960" i="19"/>
  <c r="R960" i="19"/>
  <c r="Q960" i="19"/>
  <c r="S1604" i="19"/>
  <c r="R1604" i="19"/>
  <c r="Q1604" i="19"/>
  <c r="P1637" i="19"/>
  <c r="R1634" i="19"/>
  <c r="Q1634" i="19"/>
  <c r="P1636" i="19"/>
  <c r="P1635" i="19"/>
  <c r="S1634" i="19"/>
  <c r="S1432" i="19"/>
  <c r="R1432" i="19"/>
  <c r="Q1432" i="19"/>
  <c r="S493" i="19"/>
  <c r="R493" i="19"/>
  <c r="Q493" i="19"/>
  <c r="S1867" i="19"/>
  <c r="Q1867" i="19"/>
  <c r="R1867" i="19"/>
  <c r="R679" i="19"/>
  <c r="S679" i="19"/>
  <c r="Q679" i="19"/>
  <c r="S351" i="19"/>
  <c r="R351" i="19"/>
  <c r="Q351" i="19"/>
  <c r="S337" i="19"/>
  <c r="Q337" i="19"/>
  <c r="R337" i="19"/>
  <c r="S153" i="19"/>
  <c r="Q153" i="19"/>
  <c r="R153" i="19"/>
  <c r="P91" i="19"/>
  <c r="S611" i="19"/>
  <c r="R611" i="19"/>
  <c r="Q611" i="19"/>
  <c r="Q2149" i="19"/>
  <c r="S2149" i="19"/>
  <c r="R2149" i="19"/>
  <c r="R2099" i="19"/>
  <c r="S2099" i="19"/>
  <c r="Q2099" i="19"/>
  <c r="S1850" i="19"/>
  <c r="R1850" i="19"/>
  <c r="Q1850" i="19"/>
  <c r="S363" i="19"/>
  <c r="R363" i="19"/>
  <c r="Q363" i="19"/>
  <c r="S126" i="19"/>
  <c r="R126" i="19"/>
  <c r="Q126" i="19"/>
  <c r="R513" i="19"/>
  <c r="S513" i="19"/>
  <c r="Q513" i="19"/>
  <c r="R2089" i="19"/>
  <c r="S2089" i="19"/>
  <c r="Q2089" i="19"/>
  <c r="R1929" i="19"/>
  <c r="S1929" i="19"/>
  <c r="Q1929" i="19"/>
  <c r="S195" i="19"/>
  <c r="R195" i="19"/>
  <c r="Q195" i="19"/>
  <c r="R177" i="19"/>
  <c r="S177" i="19"/>
  <c r="Q177" i="19"/>
  <c r="R1645" i="19"/>
  <c r="Q1645" i="19"/>
  <c r="S1645" i="19"/>
  <c r="Q273" i="19"/>
  <c r="R2314" i="19"/>
  <c r="S2314" i="19"/>
  <c r="Q2314" i="19"/>
  <c r="S478" i="19"/>
  <c r="Q478" i="19"/>
  <c r="R478" i="19"/>
  <c r="S191" i="19"/>
  <c r="R191" i="19"/>
  <c r="Q191" i="19"/>
  <c r="R173" i="19"/>
  <c r="S173" i="19"/>
  <c r="Q173" i="19"/>
  <c r="R183" i="19"/>
  <c r="S183" i="19"/>
  <c r="Q183" i="19"/>
  <c r="R143" i="19"/>
  <c r="S143" i="19"/>
  <c r="Q143" i="19"/>
  <c r="R757" i="19"/>
  <c r="S757" i="19"/>
  <c r="Q757" i="19"/>
  <c r="S1195" i="19"/>
  <c r="R1195" i="19"/>
  <c r="Q1195" i="19"/>
  <c r="S2391" i="19"/>
  <c r="R2391" i="19"/>
  <c r="P2394" i="19"/>
  <c r="Q2391" i="19"/>
  <c r="P2393" i="19"/>
  <c r="P2392" i="19"/>
  <c r="S1736" i="19"/>
  <c r="R1736" i="19"/>
  <c r="Q1736" i="19"/>
  <c r="S1401" i="19"/>
  <c r="R1401" i="19"/>
  <c r="Q1401" i="19"/>
  <c r="S1250" i="19"/>
  <c r="R1250" i="19"/>
  <c r="Q1250" i="19"/>
  <c r="S832" i="19"/>
  <c r="R832" i="19"/>
  <c r="Q832" i="19"/>
  <c r="S1461" i="19"/>
  <c r="R1461" i="19"/>
  <c r="Q1461" i="19"/>
  <c r="S1574" i="19"/>
  <c r="R1574" i="19"/>
  <c r="Q1574" i="19"/>
  <c r="S1041" i="19"/>
  <c r="R1041" i="19"/>
  <c r="Q1041" i="19"/>
  <c r="P278" i="19"/>
  <c r="P277" i="19"/>
  <c r="S276" i="19"/>
  <c r="R276" i="19"/>
  <c r="Q276" i="19"/>
  <c r="S1337" i="19"/>
  <c r="R1337" i="19"/>
  <c r="Q1337" i="19"/>
  <c r="S64" i="1"/>
  <c r="R64" i="1"/>
  <c r="Q64" i="1"/>
  <c r="S804" i="1"/>
  <c r="R804" i="1"/>
  <c r="Q804" i="1"/>
  <c r="S972" i="1"/>
  <c r="R972" i="1"/>
  <c r="Q972" i="1"/>
  <c r="S1896" i="1"/>
  <c r="R1896" i="1"/>
  <c r="Q1896" i="1"/>
  <c r="S318" i="1"/>
  <c r="R318" i="1"/>
  <c r="Q318" i="1"/>
  <c r="Q102" i="1"/>
  <c r="S102" i="1"/>
  <c r="R102" i="1"/>
  <c r="S1595" i="19"/>
  <c r="R1595" i="19"/>
  <c r="Q1595" i="19"/>
  <c r="S1414" i="1"/>
  <c r="R1414" i="1"/>
  <c r="Q1414" i="1"/>
  <c r="S992" i="1"/>
  <c r="R992" i="1"/>
  <c r="Q992" i="1"/>
  <c r="S630" i="1"/>
  <c r="R630" i="1"/>
  <c r="Q630" i="1"/>
  <c r="S930" i="1"/>
  <c r="R930" i="1"/>
  <c r="Q930" i="1"/>
  <c r="S870" i="1"/>
  <c r="R870" i="1"/>
  <c r="Q870" i="1"/>
  <c r="S1514" i="1"/>
  <c r="R1514" i="1"/>
  <c r="Q1514" i="1"/>
  <c r="S1058" i="1"/>
  <c r="R1058" i="1"/>
  <c r="Q1058" i="1"/>
  <c r="S1597" i="1"/>
  <c r="R1597" i="1"/>
  <c r="Q1597" i="1"/>
  <c r="Q624" i="19"/>
  <c r="S624" i="19"/>
  <c r="R624" i="19"/>
  <c r="S1301" i="1"/>
  <c r="R1301" i="1"/>
  <c r="Q1301" i="1"/>
  <c r="S1010" i="1"/>
  <c r="R1010" i="1"/>
  <c r="Q1010" i="1"/>
  <c r="S1275" i="19"/>
  <c r="R1275" i="19"/>
  <c r="Q1275" i="19"/>
  <c r="S1577" i="19"/>
  <c r="R1577" i="19"/>
  <c r="Q1577" i="19"/>
  <c r="Q349" i="19"/>
  <c r="S349" i="19"/>
  <c r="R349" i="19"/>
  <c r="S2471" i="19"/>
  <c r="R2471" i="19"/>
  <c r="Q2471" i="19"/>
  <c r="Q2437" i="19"/>
  <c r="P2440" i="19"/>
  <c r="P2439" i="19"/>
  <c r="P2442" i="19"/>
  <c r="P2438" i="19"/>
  <c r="S2437" i="19"/>
  <c r="P2441" i="19"/>
  <c r="R2437" i="19"/>
  <c r="P2444" i="19"/>
  <c r="P2447" i="19"/>
  <c r="S2443" i="19"/>
  <c r="R2443" i="19"/>
  <c r="Q2443" i="19"/>
  <c r="P2446" i="19"/>
  <c r="P2448" i="19"/>
  <c r="P2445" i="19"/>
  <c r="P2382" i="19"/>
  <c r="P2381" i="19"/>
  <c r="P2380" i="19"/>
  <c r="S2379" i="19"/>
  <c r="R2379" i="19"/>
  <c r="Q2379" i="19"/>
  <c r="P2303" i="19"/>
  <c r="Q2299" i="19"/>
  <c r="P2302" i="19"/>
  <c r="P2301" i="19"/>
  <c r="P2300" i="19"/>
  <c r="P2304" i="19"/>
  <c r="S2299" i="19"/>
  <c r="R2299" i="19"/>
  <c r="P2267" i="19"/>
  <c r="P2266" i="19"/>
  <c r="S2265" i="19"/>
  <c r="R2265" i="19"/>
  <c r="P2268" i="19"/>
  <c r="Q2265" i="19"/>
  <c r="P2075" i="19"/>
  <c r="P2077" i="19"/>
  <c r="P2074" i="19"/>
  <c r="S2073" i="19"/>
  <c r="P2076" i="19"/>
  <c r="R2073" i="19"/>
  <c r="Q2073" i="19"/>
  <c r="P1747" i="19"/>
  <c r="S1746" i="19"/>
  <c r="R1746" i="19"/>
  <c r="Q1746" i="19"/>
  <c r="P1748" i="19"/>
  <c r="S1673" i="19"/>
  <c r="R1673" i="19"/>
  <c r="Q1673" i="19"/>
  <c r="Q1522" i="19"/>
  <c r="S1522" i="19"/>
  <c r="R1522" i="19"/>
  <c r="Q1562" i="19"/>
  <c r="S1562" i="19"/>
  <c r="R1562" i="19"/>
  <c r="S1621" i="19"/>
  <c r="R1621" i="19"/>
  <c r="Q1621" i="19"/>
  <c r="S1249" i="19"/>
  <c r="R1249" i="19"/>
  <c r="Q1249" i="19"/>
  <c r="S1395" i="19"/>
  <c r="R1395" i="19"/>
  <c r="Q1395" i="19"/>
  <c r="R1311" i="19"/>
  <c r="Q1311" i="19"/>
  <c r="S1311" i="19"/>
  <c r="S1265" i="19"/>
  <c r="R1265" i="19"/>
  <c r="Q1265" i="19"/>
  <c r="S1174" i="19"/>
  <c r="R1174" i="19"/>
  <c r="Q1174" i="19"/>
  <c r="S1222" i="19"/>
  <c r="R1222" i="19"/>
  <c r="Q1222" i="19"/>
  <c r="S1006" i="19"/>
  <c r="R1006" i="19"/>
  <c r="Q1006" i="19"/>
  <c r="S1097" i="19"/>
  <c r="R1097" i="19"/>
  <c r="Q1097" i="19"/>
  <c r="S1348" i="19"/>
  <c r="R1348" i="19"/>
  <c r="Q1348" i="19"/>
  <c r="S1073" i="19"/>
  <c r="R1073" i="19"/>
  <c r="Q1073" i="19"/>
  <c r="S1094" i="19"/>
  <c r="R1094" i="19"/>
  <c r="Q1094" i="19"/>
  <c r="S1065" i="19"/>
  <c r="R1065" i="19"/>
  <c r="Q1065" i="19"/>
  <c r="S1100" i="19"/>
  <c r="R1100" i="19"/>
  <c r="Q1100" i="19"/>
  <c r="S847" i="19"/>
  <c r="R847" i="19"/>
  <c r="Q847" i="19"/>
  <c r="S816" i="19"/>
  <c r="R816" i="19"/>
  <c r="Q816" i="19"/>
  <c r="S894" i="19"/>
  <c r="R894" i="19"/>
  <c r="Q894" i="19"/>
  <c r="Q829" i="19"/>
  <c r="S829" i="19"/>
  <c r="R829" i="19"/>
  <c r="Q890" i="19"/>
  <c r="S890" i="19"/>
  <c r="R890" i="19"/>
  <c r="S551" i="19"/>
  <c r="R551" i="19"/>
  <c r="Q551" i="19"/>
  <c r="S90" i="19"/>
  <c r="R90" i="19"/>
  <c r="Q90" i="19"/>
  <c r="Q98" i="19"/>
  <c r="S98" i="19"/>
  <c r="R98" i="19"/>
  <c r="S110" i="19"/>
  <c r="R110" i="19"/>
  <c r="Q110" i="19"/>
  <c r="Q71" i="19"/>
  <c r="S71" i="19"/>
  <c r="R71" i="19"/>
  <c r="S2478" i="19"/>
  <c r="R2478" i="19"/>
  <c r="Q2478" i="19"/>
  <c r="P2321" i="19"/>
  <c r="P2319" i="19"/>
  <c r="P2318" i="19"/>
  <c r="S2317" i="19"/>
  <c r="P2320" i="19"/>
  <c r="R2317" i="19"/>
  <c r="Q2317" i="19"/>
  <c r="P2322" i="19"/>
  <c r="R2481" i="19"/>
  <c r="Q2481" i="19"/>
  <c r="S2481" i="19"/>
  <c r="S2485" i="19"/>
  <c r="R2485" i="19"/>
  <c r="Q2485" i="19"/>
  <c r="P2259" i="19"/>
  <c r="P2258" i="19"/>
  <c r="S2257" i="19"/>
  <c r="R2257" i="19"/>
  <c r="Q2257" i="19"/>
  <c r="P2260" i="19"/>
  <c r="R2083" i="19"/>
  <c r="P2086" i="19"/>
  <c r="Q2083" i="19"/>
  <c r="P2087" i="19"/>
  <c r="P2085" i="19"/>
  <c r="P2084" i="19"/>
  <c r="S2083" i="19"/>
  <c r="P1990" i="19"/>
  <c r="P1989" i="19"/>
  <c r="S1988" i="19"/>
  <c r="R1988" i="19"/>
  <c r="Q1988" i="19"/>
  <c r="P1991" i="19"/>
  <c r="P1655" i="19"/>
  <c r="S1654" i="19"/>
  <c r="P1657" i="19"/>
  <c r="R1654" i="19"/>
  <c r="Q1654" i="19"/>
  <c r="P1656" i="19"/>
  <c r="S1712" i="19"/>
  <c r="R1712" i="19"/>
  <c r="Q1712" i="19"/>
  <c r="R1623" i="19"/>
  <c r="Q1623" i="19"/>
  <c r="S1623" i="19"/>
  <c r="S1721" i="19"/>
  <c r="R1721" i="19"/>
  <c r="Q1721" i="19"/>
  <c r="S1508" i="19"/>
  <c r="R1508" i="19"/>
  <c r="Q1508" i="19"/>
  <c r="S1413" i="19"/>
  <c r="R1413" i="19"/>
  <c r="Q1413" i="19"/>
  <c r="S1305" i="19"/>
  <c r="R1305" i="19"/>
  <c r="Q1305" i="19"/>
  <c r="S1191" i="19"/>
  <c r="R1191" i="19"/>
  <c r="Q1191" i="19"/>
  <c r="S1421" i="19"/>
  <c r="R1421" i="19"/>
  <c r="Q1421" i="19"/>
  <c r="Q1346" i="19"/>
  <c r="S1346" i="19"/>
  <c r="R1346" i="19"/>
  <c r="S1540" i="19"/>
  <c r="R1540" i="19"/>
  <c r="Q1540" i="19"/>
  <c r="Q1418" i="19"/>
  <c r="S1418" i="19"/>
  <c r="R1418" i="19"/>
  <c r="S1182" i="19"/>
  <c r="R1182" i="19"/>
  <c r="Q1182" i="19"/>
  <c r="S1204" i="19"/>
  <c r="R1204" i="19"/>
  <c r="Q1204" i="19"/>
  <c r="S987" i="19"/>
  <c r="R987" i="19"/>
  <c r="Q987" i="19"/>
  <c r="S1185" i="19"/>
  <c r="R1185" i="19"/>
  <c r="Q1185" i="19"/>
  <c r="S1039" i="19"/>
  <c r="R1039" i="19"/>
  <c r="Q1039" i="19"/>
  <c r="S940" i="19"/>
  <c r="R940" i="19"/>
  <c r="Q940" i="19"/>
  <c r="S875" i="19"/>
  <c r="R875" i="19"/>
  <c r="Q875" i="19"/>
  <c r="S862" i="19"/>
  <c r="R862" i="19"/>
  <c r="Q862" i="19"/>
  <c r="Q1061" i="19"/>
  <c r="S1061" i="19"/>
  <c r="R1061" i="19"/>
  <c r="R850" i="19"/>
  <c r="Q850" i="19"/>
  <c r="S850" i="19"/>
  <c r="S1020" i="19"/>
  <c r="R1020" i="19"/>
  <c r="Q1020" i="19"/>
  <c r="R826" i="19"/>
  <c r="Q826" i="19"/>
  <c r="S826" i="19"/>
  <c r="S85" i="19"/>
  <c r="R85" i="19"/>
  <c r="Q85" i="19"/>
  <c r="S839" i="19"/>
  <c r="R839" i="19"/>
  <c r="Q839" i="19"/>
  <c r="R255" i="19"/>
  <c r="Q255" i="19"/>
  <c r="S255" i="19"/>
  <c r="S35" i="19"/>
  <c r="R35" i="19"/>
  <c r="Q35" i="19"/>
  <c r="S2493" i="19"/>
  <c r="R2493" i="19"/>
  <c r="Q2493" i="19"/>
  <c r="Q1960" i="19"/>
  <c r="P1963" i="19"/>
  <c r="P1962" i="19"/>
  <c r="P1961" i="19"/>
  <c r="S1960" i="19"/>
  <c r="R1960" i="19"/>
  <c r="P1969" i="19"/>
  <c r="P1971" i="19"/>
  <c r="S1968" i="19"/>
  <c r="R1968" i="19"/>
  <c r="Q1968" i="19"/>
  <c r="P1970" i="19"/>
  <c r="P2033" i="19"/>
  <c r="S2032" i="19"/>
  <c r="P2035" i="19"/>
  <c r="R2032" i="19"/>
  <c r="Q2032" i="19"/>
  <c r="P2034" i="19"/>
  <c r="Q1474" i="19"/>
  <c r="S1474" i="19"/>
  <c r="R1474" i="19"/>
  <c r="Q1322" i="19"/>
  <c r="S1322" i="19"/>
  <c r="R1322" i="19"/>
  <c r="S980" i="19"/>
  <c r="R980" i="19"/>
  <c r="Q980" i="19"/>
  <c r="S1631" i="19"/>
  <c r="R1631" i="19"/>
  <c r="Q1631" i="19"/>
  <c r="S1323" i="19"/>
  <c r="R1323" i="19"/>
  <c r="Q1323" i="19"/>
  <c r="Q1667" i="19"/>
  <c r="S1667" i="19"/>
  <c r="R1667" i="19"/>
  <c r="R1455" i="19"/>
  <c r="Q1455" i="19"/>
  <c r="S1455" i="19"/>
  <c r="R1194" i="19"/>
  <c r="Q1194" i="19"/>
  <c r="S1194" i="19"/>
  <c r="S1545" i="19"/>
  <c r="R1545" i="19"/>
  <c r="Q1545" i="19"/>
  <c r="S1405" i="19"/>
  <c r="R1405" i="19"/>
  <c r="Q1405" i="19"/>
  <c r="R1082" i="19"/>
  <c r="Q1082" i="19"/>
  <c r="S1082" i="19"/>
  <c r="R532" i="19"/>
  <c r="Q532" i="19"/>
  <c r="S532" i="19"/>
  <c r="R842" i="19"/>
  <c r="Q842" i="19"/>
  <c r="S842" i="19"/>
  <c r="S219" i="19"/>
  <c r="R219" i="19"/>
  <c r="Q219" i="19"/>
  <c r="P2460" i="19"/>
  <c r="P2456" i="19"/>
  <c r="S2455" i="19"/>
  <c r="R2455" i="19"/>
  <c r="P2459" i="19"/>
  <c r="Q2455" i="19"/>
  <c r="P2458" i="19"/>
  <c r="P2457" i="19"/>
  <c r="P1753" i="19"/>
  <c r="S1752" i="19"/>
  <c r="R1752" i="19"/>
  <c r="Q1752" i="19"/>
  <c r="P1754" i="19"/>
  <c r="S1445" i="19"/>
  <c r="R1445" i="19"/>
  <c r="Q1445" i="19"/>
  <c r="P2067" i="19"/>
  <c r="P2065" i="19"/>
  <c r="P2064" i="19"/>
  <c r="S2063" i="19"/>
  <c r="R2063" i="19"/>
  <c r="P2066" i="19"/>
  <c r="Q2063" i="19"/>
  <c r="Q1450" i="19"/>
  <c r="S1450" i="19"/>
  <c r="R1450" i="19"/>
  <c r="S1552" i="19"/>
  <c r="R1552" i="19"/>
  <c r="Q1552" i="19"/>
  <c r="S2488" i="19"/>
  <c r="R2488" i="19"/>
  <c r="Q2488" i="19"/>
  <c r="P2288" i="19"/>
  <c r="R2285" i="19"/>
  <c r="Q2285" i="19"/>
  <c r="P2287" i="19"/>
  <c r="P2286" i="19"/>
  <c r="S2285" i="19"/>
  <c r="P2021" i="19"/>
  <c r="S2020" i="19"/>
  <c r="R2020" i="19"/>
  <c r="P2023" i="19"/>
  <c r="Q2020" i="19"/>
  <c r="P2022" i="19"/>
  <c r="S1276" i="19"/>
  <c r="R1276" i="19"/>
  <c r="Q1276" i="19"/>
  <c r="S889" i="19"/>
  <c r="R889" i="19"/>
  <c r="Q889" i="19"/>
  <c r="P398" i="19"/>
  <c r="P401" i="19"/>
  <c r="P397" i="19"/>
  <c r="S396" i="19"/>
  <c r="P400" i="19"/>
  <c r="R396" i="19"/>
  <c r="Q396" i="19"/>
  <c r="P399" i="19"/>
  <c r="P382" i="19"/>
  <c r="P379" i="19"/>
  <c r="S378" i="19"/>
  <c r="R378" i="19"/>
  <c r="P381" i="19"/>
  <c r="Q378" i="19"/>
  <c r="P380" i="19"/>
  <c r="P383" i="19"/>
  <c r="R1138" i="19"/>
  <c r="Q1138" i="19"/>
  <c r="S1138" i="19"/>
  <c r="S660" i="19"/>
  <c r="R660" i="19"/>
  <c r="Q660" i="19"/>
  <c r="N2252" i="1"/>
  <c r="W2252" i="1" s="1"/>
  <c r="Q2211" i="1"/>
  <c r="S2211" i="1"/>
  <c r="R2211" i="1"/>
  <c r="N2262" i="1"/>
  <c r="W2262" i="1" s="1"/>
  <c r="N1257" i="1"/>
  <c r="W1257" i="1" s="1"/>
  <c r="S225" i="1"/>
  <c r="R225" i="1"/>
  <c r="Q225" i="1"/>
  <c r="S99" i="1"/>
  <c r="R99" i="1"/>
  <c r="Q99" i="1"/>
  <c r="S291" i="1"/>
  <c r="R291" i="1"/>
  <c r="Q291" i="1"/>
  <c r="N2164" i="1"/>
  <c r="W2164" i="1" s="1"/>
  <c r="Q2139" i="1"/>
  <c r="S2139" i="1"/>
  <c r="R2139" i="1"/>
  <c r="N1927" i="1"/>
  <c r="W1927" i="1" s="1"/>
  <c r="N1959" i="1"/>
  <c r="W1959" i="1" s="1"/>
  <c r="N1799" i="1"/>
  <c r="W1799" i="1" s="1"/>
  <c r="S1880" i="1"/>
  <c r="R1880" i="1"/>
  <c r="Q1880" i="1"/>
  <c r="S1755" i="1"/>
  <c r="R1755" i="1"/>
  <c r="Q1755" i="1"/>
  <c r="N1703" i="1"/>
  <c r="W1703" i="1" s="1"/>
  <c r="S1722" i="1"/>
  <c r="R1722" i="1"/>
  <c r="Q1722" i="1"/>
  <c r="S1876" i="1"/>
  <c r="R1876" i="1"/>
  <c r="Q1876" i="1"/>
  <c r="S1202" i="1"/>
  <c r="R1202" i="1"/>
  <c r="Q1202" i="1"/>
  <c r="S1627" i="1"/>
  <c r="R1627" i="1"/>
  <c r="Q1627" i="1"/>
  <c r="N1204" i="1"/>
  <c r="W1204" i="1" s="1"/>
  <c r="S1047" i="1"/>
  <c r="R1047" i="1"/>
  <c r="Q1047" i="1"/>
  <c r="N1450" i="1"/>
  <c r="W1450" i="1" s="1"/>
  <c r="S1256" i="1"/>
  <c r="R1256" i="1"/>
  <c r="Q1256" i="1"/>
  <c r="S1064" i="1"/>
  <c r="R1064" i="1"/>
  <c r="Q1064" i="1"/>
  <c r="S1137" i="1"/>
  <c r="R1137" i="1"/>
  <c r="Q1137" i="1"/>
  <c r="S1477" i="1"/>
  <c r="R1477" i="1"/>
  <c r="Q1477" i="1"/>
  <c r="S1318" i="1"/>
  <c r="R1318" i="1"/>
  <c r="Q1318" i="1"/>
  <c r="S1051" i="1"/>
  <c r="R1051" i="1"/>
  <c r="Q1051" i="1"/>
  <c r="N1300" i="1"/>
  <c r="W1300" i="1" s="1"/>
  <c r="S967" i="1"/>
  <c r="R967" i="1"/>
  <c r="Q967" i="1"/>
  <c r="Q1524" i="1"/>
  <c r="S1524" i="1"/>
  <c r="R1524" i="1"/>
  <c r="S1170" i="1"/>
  <c r="R1170" i="1"/>
  <c r="Q1170" i="1"/>
  <c r="S705" i="1"/>
  <c r="R705" i="1"/>
  <c r="Q705" i="1"/>
  <c r="S557" i="1"/>
  <c r="R557" i="1"/>
  <c r="Q557" i="1"/>
  <c r="S717" i="1"/>
  <c r="R717" i="1"/>
  <c r="Q717" i="1"/>
  <c r="S741" i="1"/>
  <c r="R741" i="1"/>
  <c r="Q741" i="1"/>
  <c r="S1098" i="1"/>
  <c r="R1098" i="1"/>
  <c r="Q1098" i="1"/>
  <c r="S854" i="1"/>
  <c r="R854" i="1"/>
  <c r="Q854" i="1"/>
  <c r="S801" i="1"/>
  <c r="R801" i="1"/>
  <c r="Q801" i="1"/>
  <c r="S698" i="1"/>
  <c r="R698" i="1"/>
  <c r="Q698" i="1"/>
  <c r="S858" i="1"/>
  <c r="R858" i="1"/>
  <c r="Q858" i="1"/>
  <c r="S432" i="1"/>
  <c r="R432" i="1"/>
  <c r="Q432" i="1"/>
  <c r="S342" i="1"/>
  <c r="R342" i="1"/>
  <c r="Q342" i="1"/>
  <c r="S224" i="1"/>
  <c r="R224" i="1"/>
  <c r="Q224" i="1"/>
  <c r="R97" i="1"/>
  <c r="Q97" i="1"/>
  <c r="S97" i="1"/>
  <c r="N2419" i="1"/>
  <c r="N2119" i="1"/>
  <c r="W2119" i="1" s="1"/>
  <c r="S250" i="1"/>
  <c r="R250" i="1"/>
  <c r="Q250" i="1"/>
  <c r="S52" i="1"/>
  <c r="R52" i="1"/>
  <c r="Q52" i="1"/>
  <c r="S868" i="1"/>
  <c r="R868" i="1"/>
  <c r="Q868" i="1"/>
  <c r="R187" i="1"/>
  <c r="Q187" i="1"/>
  <c r="S187" i="1"/>
  <c r="S378" i="1"/>
  <c r="R378" i="1"/>
  <c r="Q378" i="1"/>
  <c r="R145" i="1"/>
  <c r="Q145" i="1"/>
  <c r="S145" i="1"/>
  <c r="R137" i="1"/>
  <c r="Q137" i="1"/>
  <c r="S137" i="1"/>
  <c r="S46" i="1"/>
  <c r="R46" i="1"/>
  <c r="Q46" i="1"/>
  <c r="R2281" i="1"/>
  <c r="Q2281" i="1"/>
  <c r="S2281" i="1"/>
  <c r="S1916" i="1"/>
  <c r="R1916" i="1"/>
  <c r="Q1916" i="1"/>
  <c r="S700" i="1"/>
  <c r="R700" i="1"/>
  <c r="Q700" i="1"/>
  <c r="S312" i="1"/>
  <c r="R312" i="1"/>
  <c r="Q312" i="1"/>
  <c r="S160" i="1"/>
  <c r="R160" i="1"/>
  <c r="Q160" i="1"/>
  <c r="S796" i="1"/>
  <c r="R796" i="1"/>
  <c r="Q796" i="1"/>
  <c r="Q354" i="1"/>
  <c r="S354" i="1"/>
  <c r="R354" i="1"/>
  <c r="S63" i="1"/>
  <c r="R63" i="1"/>
  <c r="Q63" i="1"/>
  <c r="S80" i="1"/>
  <c r="R80" i="1"/>
  <c r="Q80" i="1"/>
  <c r="S214" i="1"/>
  <c r="R214" i="1"/>
  <c r="Q214" i="1"/>
  <c r="Q33" i="1"/>
  <c r="S33" i="1"/>
  <c r="R33" i="1"/>
  <c r="N1213" i="1"/>
  <c r="W1213" i="1" s="1"/>
  <c r="S83" i="1"/>
  <c r="R83" i="1"/>
  <c r="Q83" i="1"/>
  <c r="S480" i="1"/>
  <c r="R480" i="1"/>
  <c r="Q480" i="1"/>
  <c r="N1575" i="1"/>
  <c r="W1575" i="1" s="1"/>
  <c r="S55" i="1"/>
  <c r="R55" i="1"/>
  <c r="Q55" i="1"/>
  <c r="S1642" i="1"/>
  <c r="R1642" i="1"/>
  <c r="Q1642" i="1"/>
  <c r="S800" i="19"/>
  <c r="R800" i="19"/>
  <c r="Q800" i="19"/>
  <c r="S28" i="19"/>
  <c r="R28" i="19"/>
  <c r="Q28" i="19"/>
  <c r="R288" i="19"/>
  <c r="Q288" i="19"/>
  <c r="P290" i="19"/>
  <c r="P289" i="19"/>
  <c r="S288" i="19"/>
  <c r="P2378" i="19"/>
  <c r="P2377" i="19"/>
  <c r="P2376" i="19"/>
  <c r="S2375" i="19"/>
  <c r="R2375" i="19"/>
  <c r="Q2375" i="19"/>
  <c r="P2465" i="19"/>
  <c r="P2462" i="19"/>
  <c r="S2461" i="19"/>
  <c r="P2466" i="19"/>
  <c r="P2464" i="19"/>
  <c r="R2461" i="19"/>
  <c r="Q2461" i="19"/>
  <c r="P2463" i="19"/>
  <c r="S1323" i="1"/>
  <c r="R1323" i="1"/>
  <c r="Q1323" i="1"/>
  <c r="S873" i="1"/>
  <c r="R873" i="1"/>
  <c r="Q873" i="1"/>
  <c r="S1701" i="19"/>
  <c r="R1701" i="19"/>
  <c r="Q1701" i="19"/>
  <c r="S2469" i="19"/>
  <c r="R2469" i="19"/>
  <c r="Q2469" i="19"/>
  <c r="P2201" i="19"/>
  <c r="P2200" i="19"/>
  <c r="S2199" i="19"/>
  <c r="R2199" i="19"/>
  <c r="Q2199" i="19"/>
  <c r="P2202" i="19"/>
  <c r="R1699" i="19"/>
  <c r="Q1699" i="19"/>
  <c r="S1699" i="19"/>
  <c r="S207" i="19"/>
  <c r="R207" i="19"/>
  <c r="Q207" i="19"/>
  <c r="R1399" i="19"/>
  <c r="Q1399" i="19"/>
  <c r="S1399" i="19"/>
  <c r="S1534" i="19"/>
  <c r="R1534" i="19"/>
  <c r="Q1534" i="19"/>
  <c r="S2528" i="19"/>
  <c r="R2528" i="19"/>
  <c r="Q2528" i="19"/>
  <c r="Q2492" i="19"/>
  <c r="S2492" i="19"/>
  <c r="R2492" i="19"/>
  <c r="S1674" i="19"/>
  <c r="R1674" i="19"/>
  <c r="Q1674" i="19"/>
  <c r="S1611" i="19"/>
  <c r="R1611" i="19"/>
  <c r="Q1611" i="19"/>
  <c r="S1468" i="19"/>
  <c r="R1468" i="19"/>
  <c r="Q1468" i="19"/>
  <c r="S1320" i="19"/>
  <c r="R1320" i="19"/>
  <c r="Q1320" i="19"/>
  <c r="S1136" i="19"/>
  <c r="R1136" i="19"/>
  <c r="Q1136" i="19"/>
  <c r="S1000" i="19"/>
  <c r="R1000" i="19"/>
  <c r="Q1000" i="19"/>
  <c r="S633" i="19"/>
  <c r="R633" i="19"/>
  <c r="Q633" i="19"/>
  <c r="Q519" i="19"/>
  <c r="S519" i="19"/>
  <c r="R519" i="19"/>
  <c r="S817" i="19"/>
  <c r="R817" i="19"/>
  <c r="Q817" i="19"/>
  <c r="S560" i="19"/>
  <c r="R560" i="19"/>
  <c r="Q560" i="19"/>
  <c r="P1943" i="19"/>
  <c r="P1942" i="19"/>
  <c r="P1941" i="19"/>
  <c r="S1940" i="19"/>
  <c r="R1940" i="19"/>
  <c r="Q1940" i="19"/>
  <c r="R1664" i="19"/>
  <c r="Q1664" i="19"/>
  <c r="S1664" i="19"/>
  <c r="S1593" i="19"/>
  <c r="R1593" i="19"/>
  <c r="Q1593" i="19"/>
  <c r="P1592" i="19"/>
  <c r="S1486" i="19"/>
  <c r="R1486" i="19"/>
  <c r="Q1486" i="19"/>
  <c r="S1325" i="19"/>
  <c r="R1325" i="19"/>
  <c r="Q1325" i="19"/>
  <c r="S1224" i="19"/>
  <c r="R1224" i="19"/>
  <c r="Q1224" i="19"/>
  <c r="S1092" i="19"/>
  <c r="R1092" i="19"/>
  <c r="Q1092" i="19"/>
  <c r="S658" i="19"/>
  <c r="R658" i="19"/>
  <c r="Q658" i="19"/>
  <c r="R1839" i="19"/>
  <c r="P1842" i="19"/>
  <c r="Q1839" i="19"/>
  <c r="P1841" i="19"/>
  <c r="P1843" i="19"/>
  <c r="P1840" i="19"/>
  <c r="S1839" i="19"/>
  <c r="S1765" i="19"/>
  <c r="R1765" i="19"/>
  <c r="Q1765" i="19"/>
  <c r="S1209" i="19"/>
  <c r="R1209" i="19"/>
  <c r="Q1209" i="19"/>
  <c r="Q1005" i="19"/>
  <c r="S1005" i="19"/>
  <c r="R1005" i="19"/>
  <c r="S581" i="19"/>
  <c r="R581" i="19"/>
  <c r="Q581" i="19"/>
  <c r="R651" i="1"/>
  <c r="Q651" i="1"/>
  <c r="S651" i="1"/>
  <c r="P1987" i="19"/>
  <c r="P1986" i="19"/>
  <c r="P1985" i="19"/>
  <c r="S1984" i="19"/>
  <c r="R1984" i="19"/>
  <c r="Q1984" i="19"/>
  <c r="S1505" i="19"/>
  <c r="R1505" i="19"/>
  <c r="Q1505" i="19"/>
  <c r="S1392" i="19"/>
  <c r="R1392" i="19"/>
  <c r="Q1392" i="19"/>
  <c r="Q1229" i="19"/>
  <c r="S1229" i="19"/>
  <c r="R1229" i="19"/>
  <c r="S1126" i="19"/>
  <c r="R1126" i="19"/>
  <c r="Q1126" i="19"/>
  <c r="R818" i="19"/>
  <c r="Q818" i="19"/>
  <c r="S818" i="19"/>
  <c r="S649" i="19"/>
  <c r="R649" i="19"/>
  <c r="Q649" i="19"/>
  <c r="S576" i="19"/>
  <c r="R576" i="19"/>
  <c r="Q576" i="19"/>
  <c r="S1569" i="1"/>
  <c r="R1569" i="1"/>
  <c r="Q1569" i="1"/>
  <c r="S1505" i="1"/>
  <c r="R1505" i="1"/>
  <c r="Q1505" i="1"/>
  <c r="S1475" i="1"/>
  <c r="R1475" i="1"/>
  <c r="Q1475" i="1"/>
  <c r="S1417" i="1"/>
  <c r="R1417" i="1"/>
  <c r="Q1417" i="1"/>
  <c r="S1385" i="1"/>
  <c r="R1385" i="1"/>
  <c r="Q1385" i="1"/>
  <c r="S1358" i="1"/>
  <c r="R1358" i="1"/>
  <c r="Q1358" i="1"/>
  <c r="R1322" i="1"/>
  <c r="Q1322" i="1"/>
  <c r="S1322" i="1"/>
  <c r="S1238" i="1"/>
  <c r="R1238" i="1"/>
  <c r="Q1238" i="1"/>
  <c r="S1206" i="1"/>
  <c r="R1206" i="1"/>
  <c r="Q1206" i="1"/>
  <c r="S1174" i="1"/>
  <c r="R1174" i="1"/>
  <c r="Q1174" i="1"/>
  <c r="S1141" i="1"/>
  <c r="R1141" i="1"/>
  <c r="Q1141" i="1"/>
  <c r="S1113" i="1"/>
  <c r="R1113" i="1"/>
  <c r="Q1113" i="1"/>
  <c r="S1077" i="1"/>
  <c r="R1077" i="1"/>
  <c r="Q1077" i="1"/>
  <c r="S1049" i="1"/>
  <c r="R1049" i="1"/>
  <c r="Q1049" i="1"/>
  <c r="S1019" i="1"/>
  <c r="R1019" i="1"/>
  <c r="Q1019" i="1"/>
  <c r="S981" i="1"/>
  <c r="R981" i="1"/>
  <c r="Q981" i="1"/>
  <c r="S921" i="1"/>
  <c r="R921" i="1"/>
  <c r="Q921" i="1"/>
  <c r="S1144" i="19"/>
  <c r="R1144" i="19"/>
  <c r="Q1144" i="19"/>
  <c r="Q640" i="19"/>
  <c r="S640" i="19"/>
  <c r="R640" i="19"/>
  <c r="S1613" i="19"/>
  <c r="R1613" i="19"/>
  <c r="Q1613" i="19"/>
  <c r="S1452" i="19"/>
  <c r="R1452" i="19"/>
  <c r="Q1452" i="19"/>
  <c r="S1304" i="19"/>
  <c r="R1304" i="19"/>
  <c r="Q1304" i="19"/>
  <c r="S1047" i="19"/>
  <c r="R1047" i="19"/>
  <c r="Q1047" i="19"/>
  <c r="S522" i="19"/>
  <c r="R522" i="19"/>
  <c r="Q522" i="19"/>
  <c r="S2488" i="1"/>
  <c r="R2488" i="1"/>
  <c r="Q2488" i="1"/>
  <c r="S2323" i="1"/>
  <c r="R2323" i="1"/>
  <c r="Q2323" i="1"/>
  <c r="Q2249" i="1"/>
  <c r="S2249" i="1"/>
  <c r="R2249" i="1"/>
  <c r="S2028" i="1"/>
  <c r="R2028" i="1"/>
  <c r="Q2028" i="1"/>
  <c r="S1996" i="1"/>
  <c r="R1996" i="1"/>
  <c r="Q1996" i="1"/>
  <c r="R1831" i="19"/>
  <c r="Q1831" i="19"/>
  <c r="P1834" i="19"/>
  <c r="P1833" i="19"/>
  <c r="P1832" i="19"/>
  <c r="S1831" i="19"/>
  <c r="S1762" i="19"/>
  <c r="R1762" i="19"/>
  <c r="Q1762" i="19"/>
  <c r="Q1221" i="19"/>
  <c r="S1221" i="19"/>
  <c r="R1221" i="19"/>
  <c r="S926" i="19"/>
  <c r="R926" i="19"/>
  <c r="Q926" i="19"/>
  <c r="S2541" i="19"/>
  <c r="R2541" i="19"/>
  <c r="Q2541" i="19"/>
  <c r="S1464" i="19"/>
  <c r="R1464" i="19"/>
  <c r="Q1464" i="19"/>
  <c r="S1160" i="19"/>
  <c r="R1160" i="19"/>
  <c r="Q1160" i="19"/>
  <c r="S1612" i="19"/>
  <c r="R1612" i="19"/>
  <c r="Q1612" i="19"/>
  <c r="Q989" i="19"/>
  <c r="S989" i="19"/>
  <c r="R989" i="19"/>
  <c r="S1639" i="19"/>
  <c r="R1639" i="19"/>
  <c r="Q1639" i="19"/>
  <c r="S1333" i="19"/>
  <c r="R1333" i="19"/>
  <c r="Q1333" i="19"/>
  <c r="R930" i="19"/>
  <c r="Q930" i="19"/>
  <c r="S930" i="19"/>
  <c r="S1024" i="19"/>
  <c r="R1024" i="19"/>
  <c r="Q1024" i="19"/>
  <c r="R1234" i="19"/>
  <c r="Q1234" i="19"/>
  <c r="S1234" i="19"/>
  <c r="S1344" i="19"/>
  <c r="R1344" i="19"/>
  <c r="Q1344" i="19"/>
  <c r="S494" i="19"/>
  <c r="R494" i="19"/>
  <c r="Q494" i="19"/>
  <c r="R319" i="19"/>
  <c r="S319" i="19"/>
  <c r="Q319" i="19"/>
  <c r="R2069" i="19"/>
  <c r="Q2069" i="19"/>
  <c r="S2069" i="19"/>
  <c r="S1866" i="19"/>
  <c r="R1866" i="19"/>
  <c r="Q1866" i="19"/>
  <c r="R856" i="19"/>
  <c r="Q856" i="19"/>
  <c r="S856" i="19"/>
  <c r="R345" i="19"/>
  <c r="S345" i="19"/>
  <c r="Q345" i="19"/>
  <c r="R340" i="19"/>
  <c r="S340" i="19"/>
  <c r="Q340" i="19"/>
  <c r="R292" i="19"/>
  <c r="S292" i="19"/>
  <c r="Q292" i="19"/>
  <c r="Q739" i="19"/>
  <c r="R739" i="19"/>
  <c r="S739" i="19"/>
  <c r="S370" i="19"/>
  <c r="R370" i="19"/>
  <c r="Q370" i="19"/>
  <c r="S2102" i="19"/>
  <c r="R2102" i="19"/>
  <c r="Q2102" i="19"/>
  <c r="S365" i="19"/>
  <c r="Q365" i="19"/>
  <c r="R365" i="19"/>
  <c r="S2090" i="19"/>
  <c r="R2090" i="19"/>
  <c r="Q2090" i="19"/>
  <c r="R1809" i="19"/>
  <c r="S1809" i="19"/>
  <c r="Q1809" i="19"/>
  <c r="S196" i="19"/>
  <c r="R196" i="19"/>
  <c r="Q196" i="19"/>
  <c r="R178" i="19"/>
  <c r="S178" i="19"/>
  <c r="Q178" i="19"/>
  <c r="R273" i="19"/>
  <c r="Q479" i="19"/>
  <c r="S479" i="19"/>
  <c r="R479" i="19"/>
  <c r="R428" i="19"/>
  <c r="S428" i="19"/>
  <c r="Q428" i="19"/>
  <c r="R192" i="19"/>
  <c r="S192" i="19"/>
  <c r="Q192" i="19"/>
  <c r="S162" i="19"/>
  <c r="R162" i="19"/>
  <c r="Q162" i="19"/>
  <c r="R163" i="19"/>
  <c r="Q163" i="19"/>
  <c r="S163" i="19"/>
  <c r="Q755" i="19"/>
  <c r="S755" i="19"/>
  <c r="R755" i="19"/>
  <c r="R436" i="19"/>
  <c r="Q436" i="19"/>
  <c r="S436" i="19"/>
  <c r="Q1586" i="19"/>
  <c r="S1586" i="19"/>
  <c r="R1586" i="19"/>
  <c r="S1292" i="19"/>
  <c r="R1292" i="19"/>
  <c r="Q1292" i="19"/>
  <c r="Q965" i="19"/>
  <c r="S965" i="19"/>
  <c r="R965" i="19"/>
  <c r="S549" i="19"/>
  <c r="R549" i="19"/>
  <c r="Q549" i="19"/>
  <c r="P704" i="19"/>
  <c r="P703" i="19"/>
  <c r="S702" i="19"/>
  <c r="R702" i="19"/>
  <c r="Q702" i="19"/>
  <c r="S36" i="19"/>
  <c r="R36" i="19"/>
  <c r="Q36" i="19"/>
  <c r="S1164" i="19"/>
  <c r="R1164" i="19"/>
  <c r="Q1164" i="19"/>
  <c r="S1150" i="19"/>
  <c r="R1150" i="19"/>
  <c r="Q1150" i="19"/>
  <c r="R895" i="19"/>
  <c r="Q895" i="19"/>
  <c r="S895" i="19"/>
  <c r="S1698" i="19"/>
  <c r="R1698" i="19"/>
  <c r="Q1698" i="19"/>
  <c r="Q1005" i="1"/>
  <c r="S1005" i="1"/>
  <c r="R1005" i="1"/>
  <c r="Q1413" i="1"/>
  <c r="S1413" i="1"/>
  <c r="R1413" i="1"/>
  <c r="S793" i="1"/>
  <c r="R793" i="1"/>
  <c r="Q793" i="1"/>
  <c r="S114" i="1"/>
  <c r="R114" i="1"/>
  <c r="Q114" i="1"/>
  <c r="S130" i="1"/>
  <c r="R130" i="1"/>
  <c r="Q130" i="1"/>
  <c r="S60" i="1"/>
  <c r="R60" i="1"/>
  <c r="Q60" i="1"/>
  <c r="S29" i="1"/>
  <c r="R29" i="1"/>
  <c r="Q29" i="1"/>
  <c r="S1215" i="19"/>
  <c r="R1215" i="19"/>
  <c r="Q1215" i="19"/>
  <c r="S1361" i="19"/>
  <c r="R1361" i="19"/>
  <c r="Q1361" i="19"/>
  <c r="Q1815" i="19"/>
  <c r="P1817" i="19"/>
  <c r="P1816" i="19"/>
  <c r="P1818" i="19"/>
  <c r="S1815" i="19"/>
  <c r="R1815" i="19"/>
  <c r="S1355" i="1"/>
  <c r="R1355" i="1"/>
  <c r="Q1355" i="1"/>
  <c r="S1052" i="1"/>
  <c r="R1052" i="1"/>
  <c r="Q1052" i="1"/>
  <c r="R567" i="1"/>
  <c r="Q567" i="1"/>
  <c r="S567" i="1"/>
  <c r="S526" i="19"/>
  <c r="R526" i="19"/>
  <c r="Q526" i="19"/>
  <c r="R991" i="1"/>
  <c r="Q991" i="1"/>
  <c r="S991" i="1"/>
  <c r="Q1298" i="19"/>
  <c r="S1298" i="19"/>
  <c r="R1298" i="19"/>
  <c r="Q597" i="1"/>
  <c r="S597" i="1"/>
  <c r="R597" i="1"/>
  <c r="R1607" i="19"/>
  <c r="Q1607" i="19"/>
  <c r="S1607" i="19"/>
  <c r="R637" i="19"/>
  <c r="Q637" i="19"/>
  <c r="S637" i="19"/>
  <c r="S1497" i="1"/>
  <c r="R1497" i="1"/>
  <c r="Q1497" i="1"/>
  <c r="S974" i="1"/>
  <c r="R974" i="1"/>
  <c r="Q974" i="1"/>
  <c r="R2403" i="1"/>
  <c r="Q2403" i="1"/>
  <c r="S2403" i="1"/>
  <c r="Q1568" i="1"/>
  <c r="S1568" i="1"/>
  <c r="R1568" i="1"/>
  <c r="S1408" i="19"/>
  <c r="R1408" i="19"/>
  <c r="Q1408" i="19"/>
  <c r="P1786" i="19"/>
  <c r="S1785" i="19"/>
  <c r="R1785" i="19"/>
  <c r="Q1785" i="19"/>
  <c r="P1787" i="19"/>
  <c r="Q322" i="19"/>
  <c r="R322" i="19"/>
  <c r="S322" i="19"/>
  <c r="R341" i="19"/>
  <c r="Q341" i="19"/>
  <c r="S341" i="19"/>
  <c r="Q656" i="19"/>
  <c r="S656" i="19"/>
  <c r="R656" i="19"/>
  <c r="S2100" i="19"/>
  <c r="Q2100" i="19"/>
  <c r="R2100" i="19"/>
  <c r="R1930" i="19"/>
  <c r="S1930" i="19"/>
  <c r="Q1930" i="19"/>
  <c r="S2514" i="19"/>
  <c r="R2514" i="19"/>
  <c r="Q2514" i="19"/>
  <c r="P2450" i="19"/>
  <c r="P2454" i="19"/>
  <c r="S2449" i="19"/>
  <c r="R2449" i="19"/>
  <c r="P2453" i="19"/>
  <c r="Q2449" i="19"/>
  <c r="P2452" i="19"/>
  <c r="P2451" i="19"/>
  <c r="Q2407" i="19"/>
  <c r="P2409" i="19"/>
  <c r="P2411" i="19"/>
  <c r="P2408" i="19"/>
  <c r="P2410" i="19"/>
  <c r="S2407" i="19"/>
  <c r="P2412" i="19"/>
  <c r="R2407" i="19"/>
  <c r="P2163" i="19"/>
  <c r="P2160" i="19"/>
  <c r="S2159" i="19"/>
  <c r="R2159" i="19"/>
  <c r="Q2159" i="19"/>
  <c r="P2164" i="19"/>
  <c r="P2162" i="19"/>
  <c r="P2161" i="19"/>
  <c r="P2056" i="19"/>
  <c r="R2053" i="19"/>
  <c r="Q2053" i="19"/>
  <c r="P2055" i="19"/>
  <c r="P2057" i="19"/>
  <c r="P2054" i="19"/>
  <c r="S2053" i="19"/>
  <c r="Q1734" i="19"/>
  <c r="S1734" i="19"/>
  <c r="R1734" i="19"/>
  <c r="S1485" i="19"/>
  <c r="R1485" i="19"/>
  <c r="Q1485" i="19"/>
  <c r="Q1546" i="19"/>
  <c r="S1546" i="19"/>
  <c r="R1546" i="19"/>
  <c r="S1573" i="19"/>
  <c r="R1573" i="19"/>
  <c r="Q1573" i="19"/>
  <c r="S1475" i="19"/>
  <c r="R1475" i="19"/>
  <c r="Q1475" i="19"/>
  <c r="R1343" i="19"/>
  <c r="Q1343" i="19"/>
  <c r="S1343" i="19"/>
  <c r="S1307" i="19"/>
  <c r="R1307" i="19"/>
  <c r="Q1307" i="19"/>
  <c r="S1171" i="19"/>
  <c r="R1171" i="19"/>
  <c r="Q1171" i="19"/>
  <c r="S1199" i="19"/>
  <c r="R1199" i="19"/>
  <c r="Q1199" i="19"/>
  <c r="S1294" i="19"/>
  <c r="R1294" i="19"/>
  <c r="Q1294" i="19"/>
  <c r="S1033" i="19"/>
  <c r="R1033" i="19"/>
  <c r="Q1033" i="19"/>
  <c r="Q1338" i="19"/>
  <c r="S1338" i="19"/>
  <c r="R1338" i="19"/>
  <c r="S1009" i="19"/>
  <c r="R1009" i="19"/>
  <c r="Q1009" i="19"/>
  <c r="Q981" i="19"/>
  <c r="S981" i="19"/>
  <c r="R981" i="19"/>
  <c r="S1038" i="19"/>
  <c r="R1038" i="19"/>
  <c r="Q1038" i="19"/>
  <c r="S1339" i="19"/>
  <c r="R1339" i="19"/>
  <c r="Q1339" i="19"/>
  <c r="S1071" i="19"/>
  <c r="R1071" i="19"/>
  <c r="Q1071" i="19"/>
  <c r="S831" i="19"/>
  <c r="R831" i="19"/>
  <c r="Q831" i="19"/>
  <c r="S795" i="19"/>
  <c r="R795" i="19"/>
  <c r="Q795" i="19"/>
  <c r="S808" i="19"/>
  <c r="R808" i="19"/>
  <c r="Q808" i="19"/>
  <c r="Q550" i="19"/>
  <c r="S550" i="19"/>
  <c r="R550" i="19"/>
  <c r="Q87" i="19"/>
  <c r="S87" i="19"/>
  <c r="R87" i="19"/>
  <c r="S83" i="19"/>
  <c r="R83" i="19"/>
  <c r="Q83" i="19"/>
  <c r="P599" i="19"/>
  <c r="P601" i="19"/>
  <c r="S598" i="19"/>
  <c r="R598" i="19"/>
  <c r="Q598" i="19"/>
  <c r="P600" i="19"/>
  <c r="S254" i="19"/>
  <c r="R254" i="19"/>
  <c r="Q254" i="19"/>
  <c r="P406" i="19"/>
  <c r="P403" i="19"/>
  <c r="P405" i="19"/>
  <c r="S402" i="19"/>
  <c r="R402" i="19"/>
  <c r="Q402" i="19"/>
  <c r="P407" i="19"/>
  <c r="P404" i="19"/>
  <c r="S67" i="19"/>
  <c r="R67" i="19"/>
  <c r="Q67" i="19"/>
  <c r="S40" i="19"/>
  <c r="R40" i="19"/>
  <c r="Q40" i="19"/>
  <c r="S2470" i="19"/>
  <c r="R2470" i="19"/>
  <c r="Q2470" i="19"/>
  <c r="P2298" i="19"/>
  <c r="P2294" i="19"/>
  <c r="S2293" i="19"/>
  <c r="R2293" i="19"/>
  <c r="P2297" i="19"/>
  <c r="Q2293" i="19"/>
  <c r="P2296" i="19"/>
  <c r="P2295" i="19"/>
  <c r="S2480" i="19"/>
  <c r="R2480" i="19"/>
  <c r="Q2480" i="19"/>
  <c r="Q2476" i="19"/>
  <c r="S2476" i="19"/>
  <c r="R2476" i="19"/>
  <c r="P2027" i="19"/>
  <c r="Q2024" i="19"/>
  <c r="P2026" i="19"/>
  <c r="P2025" i="19"/>
  <c r="S2024" i="19"/>
  <c r="R2024" i="19"/>
  <c r="P1917" i="19"/>
  <c r="S1916" i="19"/>
  <c r="P1919" i="19"/>
  <c r="R1916" i="19"/>
  <c r="Q1916" i="19"/>
  <c r="P1918" i="19"/>
  <c r="P1983" i="19"/>
  <c r="Q1980" i="19"/>
  <c r="P1982" i="19"/>
  <c r="P1981" i="19"/>
  <c r="S1980" i="19"/>
  <c r="R1980" i="19"/>
  <c r="P2205" i="19"/>
  <c r="P2204" i="19"/>
  <c r="S2203" i="19"/>
  <c r="R2203" i="19"/>
  <c r="P2206" i="19"/>
  <c r="Q2203" i="19"/>
  <c r="P1789" i="19"/>
  <c r="S1788" i="19"/>
  <c r="R1788" i="19"/>
  <c r="Q1788" i="19"/>
  <c r="P1790" i="19"/>
  <c r="S1703" i="19"/>
  <c r="R1703" i="19"/>
  <c r="Q1703" i="19"/>
  <c r="S1590" i="19"/>
  <c r="R1590" i="19"/>
  <c r="Q1590" i="19"/>
  <c r="S1705" i="19"/>
  <c r="R1705" i="19"/>
  <c r="Q1705" i="19"/>
  <c r="R1503" i="19"/>
  <c r="Q1503" i="19"/>
  <c r="S1503" i="19"/>
  <c r="R1407" i="19"/>
  <c r="Q1407" i="19"/>
  <c r="S1407" i="19"/>
  <c r="S1291" i="19"/>
  <c r="R1291" i="19"/>
  <c r="Q1291" i="19"/>
  <c r="R1170" i="19"/>
  <c r="Q1170" i="19"/>
  <c r="S1170" i="19"/>
  <c r="R1415" i="19"/>
  <c r="Q1415" i="19"/>
  <c r="S1415" i="19"/>
  <c r="R1327" i="19"/>
  <c r="Q1327" i="19"/>
  <c r="S1327" i="19"/>
  <c r="S1533" i="19"/>
  <c r="R1533" i="19"/>
  <c r="Q1533" i="19"/>
  <c r="S1393" i="19"/>
  <c r="R1393" i="19"/>
  <c r="Q1393" i="19"/>
  <c r="S1177" i="19"/>
  <c r="R1177" i="19"/>
  <c r="Q1177" i="19"/>
  <c r="R1154" i="19"/>
  <c r="Q1154" i="19"/>
  <c r="S1154" i="19"/>
  <c r="S979" i="19"/>
  <c r="R979" i="19"/>
  <c r="Q979" i="19"/>
  <c r="R1178" i="19"/>
  <c r="Q1178" i="19"/>
  <c r="S1178" i="19"/>
  <c r="S991" i="19"/>
  <c r="R991" i="19"/>
  <c r="Q991" i="19"/>
  <c r="S921" i="19"/>
  <c r="R921" i="19"/>
  <c r="Q921" i="19"/>
  <c r="S841" i="19"/>
  <c r="R841" i="19"/>
  <c r="Q841" i="19"/>
  <c r="S846" i="19"/>
  <c r="R846" i="19"/>
  <c r="Q846" i="19"/>
  <c r="P716" i="19"/>
  <c r="P715" i="19"/>
  <c r="P712" i="19"/>
  <c r="S711" i="19"/>
  <c r="R711" i="19"/>
  <c r="P714" i="19"/>
  <c r="Q711" i="19"/>
  <c r="P713" i="19"/>
  <c r="S945" i="19"/>
  <c r="R945" i="19"/>
  <c r="Q945" i="19"/>
  <c r="S792" i="19"/>
  <c r="R792" i="19"/>
  <c r="Q792" i="19"/>
  <c r="P269" i="19"/>
  <c r="S266" i="19"/>
  <c r="R266" i="19"/>
  <c r="Q266" i="19"/>
  <c r="P268" i="19"/>
  <c r="P270" i="19"/>
  <c r="P267" i="19"/>
  <c r="R76" i="19"/>
  <c r="Q76" i="19"/>
  <c r="S76" i="19"/>
  <c r="Q648" i="19"/>
  <c r="S648" i="19"/>
  <c r="R648" i="19"/>
  <c r="S251" i="19"/>
  <c r="R251" i="19"/>
  <c r="Q251" i="19"/>
  <c r="S27" i="19"/>
  <c r="R27" i="19"/>
  <c r="Q27" i="19"/>
  <c r="S2482" i="19"/>
  <c r="R2482" i="19"/>
  <c r="Q2482" i="19"/>
  <c r="P2188" i="19"/>
  <c r="S2187" i="19"/>
  <c r="P2190" i="19"/>
  <c r="R2187" i="19"/>
  <c r="Q2187" i="19"/>
  <c r="P2189" i="19"/>
  <c r="R2516" i="19"/>
  <c r="Q2516" i="19"/>
  <c r="P2515" i="19"/>
  <c r="S2516" i="19"/>
  <c r="S1709" i="19"/>
  <c r="R1709" i="19"/>
  <c r="Q1709" i="19"/>
  <c r="Q1466" i="19"/>
  <c r="S1466" i="19"/>
  <c r="R1466" i="19"/>
  <c r="Q1247" i="19"/>
  <c r="S1247" i="19"/>
  <c r="R1247" i="19"/>
  <c r="S963" i="19"/>
  <c r="R963" i="19"/>
  <c r="Q963" i="19"/>
  <c r="R1626" i="19"/>
  <c r="Q1626" i="19"/>
  <c r="S1626" i="19"/>
  <c r="S1115" i="19"/>
  <c r="R1115" i="19"/>
  <c r="Q1115" i="19"/>
  <c r="S1582" i="19"/>
  <c r="R1582" i="19"/>
  <c r="Q1582" i="19"/>
  <c r="S1433" i="19"/>
  <c r="R1433" i="19"/>
  <c r="Q1433" i="19"/>
  <c r="S1153" i="19"/>
  <c r="R1153" i="19"/>
  <c r="Q1153" i="19"/>
  <c r="S1532" i="19"/>
  <c r="R1532" i="19"/>
  <c r="Q1532" i="19"/>
  <c r="R1391" i="19"/>
  <c r="Q1391" i="19"/>
  <c r="S1391" i="19"/>
  <c r="R1058" i="19"/>
  <c r="Q1058" i="19"/>
  <c r="S1058" i="19"/>
  <c r="S907" i="19"/>
  <c r="R907" i="19"/>
  <c r="Q907" i="19"/>
  <c r="Q821" i="19"/>
  <c r="P820" i="19"/>
  <c r="S821" i="19"/>
  <c r="R821" i="19"/>
  <c r="R157" i="19"/>
  <c r="Q157" i="19"/>
  <c r="P159" i="19"/>
  <c r="P158" i="19"/>
  <c r="S157" i="19"/>
  <c r="Q205" i="19"/>
  <c r="S205" i="19"/>
  <c r="R205" i="19"/>
  <c r="P284" i="19"/>
  <c r="P283" i="19"/>
  <c r="S282" i="19"/>
  <c r="R282" i="19"/>
  <c r="Q282" i="19"/>
  <c r="S1728" i="19"/>
  <c r="R1728" i="19"/>
  <c r="Q1728" i="19"/>
  <c r="R1383" i="19"/>
  <c r="Q1383" i="19"/>
  <c r="S1383" i="19"/>
  <c r="Q2151" i="19"/>
  <c r="P2154" i="19"/>
  <c r="P2153" i="19"/>
  <c r="P2152" i="19"/>
  <c r="S2151" i="19"/>
  <c r="R2151" i="19"/>
  <c r="R2502" i="19"/>
  <c r="Q2502" i="19"/>
  <c r="S2502" i="19"/>
  <c r="S1548" i="19"/>
  <c r="R1548" i="19"/>
  <c r="Q1548" i="19"/>
  <c r="S2475" i="19"/>
  <c r="R2475" i="19"/>
  <c r="Q2475" i="19"/>
  <c r="S1243" i="19"/>
  <c r="R1243" i="19"/>
  <c r="Q1243" i="19"/>
  <c r="S885" i="19"/>
  <c r="R885" i="19"/>
  <c r="Q885" i="19"/>
  <c r="R1130" i="19"/>
  <c r="Q1130" i="19"/>
  <c r="S1130" i="19"/>
  <c r="N2366" i="1"/>
  <c r="W2366" i="1" s="1"/>
  <c r="S2359" i="1"/>
  <c r="R2359" i="1"/>
  <c r="Q2359" i="1"/>
  <c r="S1227" i="1"/>
  <c r="R1227" i="1"/>
  <c r="Q1227" i="1"/>
  <c r="R157" i="1"/>
  <c r="Q157" i="1"/>
  <c r="S157" i="1"/>
  <c r="S279" i="1"/>
  <c r="R279" i="1"/>
  <c r="Q279" i="1"/>
  <c r="S211" i="1"/>
  <c r="R211" i="1"/>
  <c r="Q211" i="1"/>
  <c r="S213" i="1"/>
  <c r="R213" i="1"/>
  <c r="Q213" i="1"/>
  <c r="S30" i="19"/>
  <c r="R30" i="19"/>
  <c r="Q30" i="19"/>
  <c r="S2498" i="1"/>
  <c r="R2498" i="1"/>
  <c r="Q2498" i="1"/>
  <c r="S2431" i="1"/>
  <c r="R2431" i="1"/>
  <c r="Q2431" i="1"/>
  <c r="N2326" i="1"/>
  <c r="W2326" i="1" s="1"/>
  <c r="N2192" i="1"/>
  <c r="W2192" i="1" s="1"/>
  <c r="N1863" i="1"/>
  <c r="W1863" i="1" s="1"/>
  <c r="S1704" i="1"/>
  <c r="R1704" i="1"/>
  <c r="Q1704" i="1"/>
  <c r="S1709" i="1"/>
  <c r="R1709" i="1"/>
  <c r="Q1709" i="1"/>
  <c r="S1872" i="1"/>
  <c r="R1872" i="1"/>
  <c r="Q1872" i="1"/>
  <c r="N1172" i="1"/>
  <c r="W1172" i="1" s="1"/>
  <c r="R959" i="1"/>
  <c r="Q959" i="1"/>
  <c r="S959" i="1"/>
  <c r="S1623" i="1"/>
  <c r="R1623" i="1"/>
  <c r="Q1623" i="1"/>
  <c r="S1539" i="1"/>
  <c r="R1539" i="1"/>
  <c r="Q1539" i="1"/>
  <c r="S1035" i="1"/>
  <c r="R1035" i="1"/>
  <c r="Q1035" i="1"/>
  <c r="S1324" i="1"/>
  <c r="R1324" i="1"/>
  <c r="Q1324" i="1"/>
  <c r="S1220" i="1"/>
  <c r="R1220" i="1"/>
  <c r="Q1220" i="1"/>
  <c r="S1620" i="1"/>
  <c r="Q1620" i="1"/>
  <c r="R1620" i="1"/>
  <c r="Q1556" i="1"/>
  <c r="S1556" i="1"/>
  <c r="R1556" i="1"/>
  <c r="S926" i="1"/>
  <c r="R926" i="1"/>
  <c r="Q926" i="1"/>
  <c r="S813" i="1"/>
  <c r="R813" i="1"/>
  <c r="Q813" i="1"/>
  <c r="N530" i="1"/>
  <c r="W530" i="1" s="1"/>
  <c r="N612" i="1"/>
  <c r="W612" i="1" s="1"/>
  <c r="S753" i="1"/>
  <c r="R753" i="1"/>
  <c r="Q753" i="1"/>
  <c r="S593" i="1"/>
  <c r="R593" i="1"/>
  <c r="Q593" i="1"/>
  <c r="S794" i="1"/>
  <c r="R794" i="1"/>
  <c r="Q794" i="1"/>
  <c r="S523" i="1"/>
  <c r="R523" i="1"/>
  <c r="Q523" i="1"/>
  <c r="S1140" i="1"/>
  <c r="R1140" i="1"/>
  <c r="Q1140" i="1"/>
  <c r="S678" i="1"/>
  <c r="R678" i="1"/>
  <c r="Q678" i="1"/>
  <c r="S336" i="1"/>
  <c r="R336" i="1"/>
  <c r="Q336" i="1"/>
  <c r="Q217" i="1"/>
  <c r="S217" i="1"/>
  <c r="R217" i="1"/>
  <c r="S92" i="1"/>
  <c r="R92" i="1"/>
  <c r="Q92" i="1"/>
  <c r="Q242" i="1"/>
  <c r="S242" i="1"/>
  <c r="R242" i="1"/>
  <c r="S36" i="1"/>
  <c r="R36" i="1"/>
  <c r="Q36" i="1"/>
  <c r="S180" i="1"/>
  <c r="R180" i="1"/>
  <c r="Q180" i="1"/>
  <c r="Q70" i="1"/>
  <c r="S70" i="1"/>
  <c r="R70" i="1"/>
  <c r="S140" i="1"/>
  <c r="R140" i="1"/>
  <c r="Q140" i="1"/>
  <c r="S208" i="1"/>
  <c r="R208" i="1"/>
  <c r="Q208" i="1"/>
  <c r="S105" i="1"/>
  <c r="R105" i="1"/>
  <c r="Q105" i="1"/>
  <c r="S176" i="1"/>
  <c r="R176" i="1"/>
  <c r="Q176" i="1"/>
  <c r="S1884" i="1"/>
  <c r="R1884" i="1"/>
  <c r="Q1884" i="1"/>
  <c r="S1788" i="1"/>
  <c r="R1788" i="1"/>
  <c r="Q1788" i="1"/>
  <c r="S1239" i="1"/>
  <c r="R1239" i="1"/>
  <c r="Q1239" i="1"/>
  <c r="S109" i="1"/>
  <c r="R109" i="1"/>
  <c r="Q109" i="1"/>
  <c r="R324" i="1"/>
  <c r="Q324" i="1"/>
  <c r="S324" i="1"/>
  <c r="Q47" i="1"/>
  <c r="S47" i="1"/>
  <c r="R47" i="1"/>
  <c r="S76" i="1"/>
  <c r="R76" i="1"/>
  <c r="Q76" i="1"/>
  <c r="N1068" i="1"/>
  <c r="W1068" i="1" s="1"/>
  <c r="N548" i="1"/>
  <c r="W548" i="1" s="1"/>
  <c r="Q194" i="1"/>
  <c r="S194" i="1"/>
  <c r="R194" i="1"/>
  <c r="S23" i="1"/>
  <c r="R23" i="1"/>
  <c r="Q23" i="1"/>
  <c r="R67" i="1"/>
  <c r="Q67" i="1"/>
  <c r="S67" i="1"/>
  <c r="S85" i="1"/>
  <c r="R85" i="1"/>
  <c r="Q85" i="1"/>
  <c r="R372" i="1"/>
  <c r="Q372" i="1"/>
  <c r="S372" i="1"/>
  <c r="S39" i="1"/>
  <c r="R39" i="1"/>
  <c r="Q39" i="1"/>
  <c r="S106" i="1"/>
  <c r="R106" i="1"/>
  <c r="Q106" i="1"/>
  <c r="N676" i="1"/>
  <c r="W676" i="1" s="1"/>
  <c r="P2116" i="19"/>
  <c r="P2118" i="19"/>
  <c r="S2115" i="19"/>
  <c r="P2120" i="19"/>
  <c r="R2115" i="19"/>
  <c r="Q2115" i="19"/>
  <c r="P2119" i="19"/>
  <c r="P2117" i="19"/>
  <c r="S201" i="19"/>
  <c r="R201" i="19"/>
  <c r="Q201" i="19"/>
  <c r="S1112" i="1"/>
  <c r="R1112" i="1"/>
  <c r="Q1112" i="1"/>
  <c r="S154" i="1"/>
  <c r="R154" i="1"/>
  <c r="Q154" i="1"/>
  <c r="Q1434" i="19"/>
  <c r="S1434" i="19"/>
  <c r="R1434" i="19"/>
  <c r="Q1710" i="19"/>
  <c r="S1710" i="19"/>
  <c r="R1710" i="19"/>
  <c r="S1566" i="19"/>
  <c r="R1566" i="19"/>
  <c r="Q1566" i="19"/>
  <c r="Q1694" i="19"/>
  <c r="S1694" i="19"/>
  <c r="R1694" i="19"/>
  <c r="Q1394" i="19"/>
  <c r="S1394" i="19"/>
  <c r="R1394" i="19"/>
  <c r="S2507" i="19"/>
  <c r="R2507" i="19"/>
  <c r="Q2507" i="19"/>
  <c r="S1502" i="19"/>
  <c r="R1502" i="19"/>
  <c r="Q1502" i="19"/>
  <c r="S2546" i="19"/>
  <c r="R2546" i="19"/>
  <c r="Q2546" i="19"/>
  <c r="S2520" i="19"/>
  <c r="R2520" i="19"/>
  <c r="Q2520" i="19"/>
  <c r="S2539" i="19"/>
  <c r="R2539" i="19"/>
  <c r="Q2539" i="19"/>
  <c r="P1847" i="19"/>
  <c r="S1844" i="19"/>
  <c r="R1844" i="19"/>
  <c r="Q1844" i="19"/>
  <c r="P1846" i="19"/>
  <c r="P1845" i="19"/>
  <c r="S1668" i="19"/>
  <c r="R1668" i="19"/>
  <c r="Q1668" i="19"/>
  <c r="S1603" i="19"/>
  <c r="R1603" i="19"/>
  <c r="Q1603" i="19"/>
  <c r="S1446" i="19"/>
  <c r="R1446" i="19"/>
  <c r="Q1446" i="19"/>
  <c r="S1309" i="19"/>
  <c r="R1309" i="19"/>
  <c r="Q1309" i="19"/>
  <c r="S1118" i="19"/>
  <c r="R1118" i="19"/>
  <c r="Q1118" i="19"/>
  <c r="R986" i="19"/>
  <c r="Q986" i="19"/>
  <c r="S986" i="19"/>
  <c r="S625" i="19"/>
  <c r="R625" i="19"/>
  <c r="Q625" i="19"/>
  <c r="S2470" i="1"/>
  <c r="R2470" i="1"/>
  <c r="Q2470" i="1"/>
  <c r="S1746" i="1"/>
  <c r="R1746" i="1"/>
  <c r="Q1746" i="1"/>
  <c r="S1650" i="1"/>
  <c r="R1650" i="1"/>
  <c r="Q1650" i="1"/>
  <c r="S1446" i="1"/>
  <c r="R1446" i="1"/>
  <c r="Q1446" i="1"/>
  <c r="S1388" i="1"/>
  <c r="R1388" i="1"/>
  <c r="Q1388" i="1"/>
  <c r="S1299" i="1"/>
  <c r="R1299" i="1"/>
  <c r="Q1299" i="1"/>
  <c r="S1241" i="1"/>
  <c r="R1241" i="1"/>
  <c r="Q1241" i="1"/>
  <c r="S1158" i="1"/>
  <c r="R1158" i="1"/>
  <c r="Q1158" i="1"/>
  <c r="S1557" i="1"/>
  <c r="R1557" i="1"/>
  <c r="Q1557" i="1"/>
  <c r="S1522" i="1"/>
  <c r="R1522" i="1"/>
  <c r="Q1522" i="1"/>
  <c r="S1432" i="1"/>
  <c r="R1432" i="1"/>
  <c r="Q1432" i="1"/>
  <c r="S1400" i="1"/>
  <c r="R1400" i="1"/>
  <c r="Q1400" i="1"/>
  <c r="Q1368" i="1"/>
  <c r="S1368" i="1"/>
  <c r="R1368" i="1"/>
  <c r="S1333" i="1"/>
  <c r="R1333" i="1"/>
  <c r="Q1333" i="1"/>
  <c r="S1215" i="1"/>
  <c r="R1215" i="1"/>
  <c r="Q1215" i="1"/>
  <c r="S1183" i="1"/>
  <c r="R1183" i="1"/>
  <c r="Q1183" i="1"/>
  <c r="S1151" i="1"/>
  <c r="R1151" i="1"/>
  <c r="Q1151" i="1"/>
  <c r="R1087" i="1"/>
  <c r="Q1087" i="1"/>
  <c r="S1087" i="1"/>
  <c r="S665" i="1"/>
  <c r="R665" i="1"/>
  <c r="Q665" i="1"/>
  <c r="S637" i="1"/>
  <c r="R637" i="1"/>
  <c r="Q637" i="1"/>
  <c r="Q574" i="1"/>
  <c r="S574" i="1"/>
  <c r="R574" i="1"/>
  <c r="S1904" i="19"/>
  <c r="R1904" i="19"/>
  <c r="Q1904" i="19"/>
  <c r="P1907" i="19"/>
  <c r="P1906" i="19"/>
  <c r="P1905" i="19"/>
  <c r="R1591" i="19"/>
  <c r="Q1591" i="19"/>
  <c r="S1591" i="19"/>
  <c r="S1462" i="19"/>
  <c r="R1462" i="19"/>
  <c r="Q1462" i="19"/>
  <c r="S1312" i="19"/>
  <c r="R1312" i="19"/>
  <c r="Q1312" i="19"/>
  <c r="Q1213" i="19"/>
  <c r="S1213" i="19"/>
  <c r="R1213" i="19"/>
  <c r="S1062" i="19"/>
  <c r="R1062" i="19"/>
  <c r="Q1062" i="19"/>
  <c r="S1908" i="19"/>
  <c r="R1908" i="19"/>
  <c r="Q1908" i="19"/>
  <c r="P1911" i="19"/>
  <c r="P1910" i="19"/>
  <c r="P1909" i="19"/>
  <c r="S1763" i="19"/>
  <c r="R1763" i="19"/>
  <c r="Q1763" i="19"/>
  <c r="Q1085" i="19"/>
  <c r="S1085" i="19"/>
  <c r="R1085" i="19"/>
  <c r="S982" i="19"/>
  <c r="R982" i="19"/>
  <c r="Q982" i="19"/>
  <c r="S573" i="19"/>
  <c r="R573" i="19"/>
  <c r="Q573" i="19"/>
  <c r="R1615" i="19"/>
  <c r="Q1615" i="19"/>
  <c r="S1615" i="19"/>
  <c r="S1501" i="19"/>
  <c r="R1501" i="19"/>
  <c r="Q1501" i="19"/>
  <c r="S1372" i="19"/>
  <c r="R1372" i="19"/>
  <c r="Q1372" i="19"/>
  <c r="S1220" i="19"/>
  <c r="R1220" i="19"/>
  <c r="Q1220" i="19"/>
  <c r="S1110" i="19"/>
  <c r="R1110" i="19"/>
  <c r="Q1110" i="19"/>
  <c r="R802" i="19"/>
  <c r="Q802" i="19"/>
  <c r="S802" i="19"/>
  <c r="S568" i="19"/>
  <c r="R568" i="19"/>
  <c r="Q568" i="19"/>
  <c r="S2474" i="1"/>
  <c r="R2474" i="1"/>
  <c r="Q2474" i="1"/>
  <c r="S2293" i="1"/>
  <c r="R2293" i="1"/>
  <c r="Q2293" i="1"/>
  <c r="Q2221" i="1"/>
  <c r="S2221" i="1"/>
  <c r="R2221" i="1"/>
  <c r="S2078" i="1"/>
  <c r="R2078" i="1"/>
  <c r="Q2078" i="1"/>
  <c r="S1726" i="1"/>
  <c r="R1726" i="1"/>
  <c r="Q1726" i="1"/>
  <c r="S1694" i="1"/>
  <c r="R1694" i="1"/>
  <c r="Q1694" i="1"/>
  <c r="S1662" i="1"/>
  <c r="R1662" i="1"/>
  <c r="Q1662" i="1"/>
  <c r="S1631" i="1"/>
  <c r="R1631" i="1"/>
  <c r="Q1631" i="1"/>
  <c r="S907" i="1"/>
  <c r="R907" i="1"/>
  <c r="Q907" i="1"/>
  <c r="S875" i="1"/>
  <c r="R875" i="1"/>
  <c r="Q875" i="1"/>
  <c r="S842" i="1"/>
  <c r="R842" i="1"/>
  <c r="Q842" i="1"/>
  <c r="Q1133" i="19"/>
  <c r="S1133" i="19"/>
  <c r="R1133" i="19"/>
  <c r="Q632" i="19"/>
  <c r="S632" i="19"/>
  <c r="R632" i="19"/>
  <c r="Q2165" i="1"/>
  <c r="S2165" i="1"/>
  <c r="R2165" i="1"/>
  <c r="S2053" i="1"/>
  <c r="R2053" i="1"/>
  <c r="Q2053" i="1"/>
  <c r="S1765" i="1"/>
  <c r="R1765" i="1"/>
  <c r="Q1765" i="1"/>
  <c r="S1733" i="1"/>
  <c r="R1733" i="1"/>
  <c r="Q1733" i="1"/>
  <c r="S1701" i="1"/>
  <c r="R1701" i="1"/>
  <c r="Q1701" i="1"/>
  <c r="S1481" i="1"/>
  <c r="R1481" i="1"/>
  <c r="Q1481" i="1"/>
  <c r="S1423" i="1"/>
  <c r="R1423" i="1"/>
  <c r="Q1423" i="1"/>
  <c r="S1365" i="1"/>
  <c r="R1365" i="1"/>
  <c r="Q1365" i="1"/>
  <c r="Q1336" i="1"/>
  <c r="S1336" i="1"/>
  <c r="R1336" i="1"/>
  <c r="S1192" i="1"/>
  <c r="R1192" i="1"/>
  <c r="Q1192" i="1"/>
  <c r="S1133" i="1"/>
  <c r="R1133" i="1"/>
  <c r="Q1133" i="1"/>
  <c r="Q980" i="1"/>
  <c r="S980" i="1"/>
  <c r="R980" i="1"/>
  <c r="S952" i="1"/>
  <c r="R952" i="1"/>
  <c r="Q952" i="1"/>
  <c r="S882" i="1"/>
  <c r="R882" i="1"/>
  <c r="Q882" i="1"/>
  <c r="S812" i="1"/>
  <c r="R812" i="1"/>
  <c r="Q812" i="1"/>
  <c r="S1605" i="19"/>
  <c r="R1605" i="19"/>
  <c r="Q1605" i="19"/>
  <c r="S1430" i="19"/>
  <c r="R1430" i="19"/>
  <c r="Q1430" i="19"/>
  <c r="S1280" i="19"/>
  <c r="R1280" i="19"/>
  <c r="Q1280" i="19"/>
  <c r="R1042" i="19"/>
  <c r="Q1042" i="19"/>
  <c r="S1042" i="19"/>
  <c r="R1924" i="1"/>
  <c r="Q1924" i="1"/>
  <c r="S1924" i="1"/>
  <c r="R1892" i="1"/>
  <c r="Q1892" i="1"/>
  <c r="S1892" i="1"/>
  <c r="S1668" i="1"/>
  <c r="R1668" i="1"/>
  <c r="Q1668" i="1"/>
  <c r="S1608" i="1"/>
  <c r="Q1608" i="1"/>
  <c r="R1608" i="1"/>
  <c r="S1546" i="1"/>
  <c r="R1546" i="1"/>
  <c r="Q1546" i="1"/>
  <c r="Q1460" i="1"/>
  <c r="S1460" i="1"/>
  <c r="R1460" i="1"/>
  <c r="S1428" i="1"/>
  <c r="R1428" i="1"/>
  <c r="Q1428" i="1"/>
  <c r="S1396" i="1"/>
  <c r="R1396" i="1"/>
  <c r="Q1396" i="1"/>
  <c r="S1364" i="1"/>
  <c r="R1364" i="1"/>
  <c r="Q1364" i="1"/>
  <c r="S889" i="1"/>
  <c r="R889" i="1"/>
  <c r="Q889" i="1"/>
  <c r="S841" i="1"/>
  <c r="R841" i="1"/>
  <c r="Q841" i="1"/>
  <c r="S632" i="1"/>
  <c r="R632" i="1"/>
  <c r="Q632" i="1"/>
  <c r="S569" i="1"/>
  <c r="R569" i="1"/>
  <c r="Q569" i="1"/>
  <c r="Q1952" i="19"/>
  <c r="P1955" i="19"/>
  <c r="P1954" i="19"/>
  <c r="P1953" i="19"/>
  <c r="S1952" i="19"/>
  <c r="R1952" i="19"/>
  <c r="S1208" i="19"/>
  <c r="R1208" i="19"/>
  <c r="Q1208" i="19"/>
  <c r="S638" i="19"/>
  <c r="R638" i="19"/>
  <c r="Q638" i="19"/>
  <c r="Q585" i="19"/>
  <c r="S585" i="19"/>
  <c r="R585" i="19"/>
  <c r="S2487" i="1"/>
  <c r="R2487" i="1"/>
  <c r="Q2487" i="1"/>
  <c r="S2455" i="1"/>
  <c r="R2455" i="1"/>
  <c r="Q2455" i="1"/>
  <c r="S2375" i="1"/>
  <c r="R2375" i="1"/>
  <c r="Q2375" i="1"/>
  <c r="Q2191" i="1"/>
  <c r="S2191" i="1"/>
  <c r="R2191" i="1"/>
  <c r="S1827" i="1"/>
  <c r="R1827" i="1"/>
  <c r="Q1827" i="1"/>
  <c r="S1795" i="1"/>
  <c r="R1795" i="1"/>
  <c r="Q1795" i="1"/>
  <c r="S1763" i="1"/>
  <c r="R1763" i="1"/>
  <c r="Q1763" i="1"/>
  <c r="S1731" i="1"/>
  <c r="R1731" i="1"/>
  <c r="Q1731" i="1"/>
  <c r="S1699" i="1"/>
  <c r="R1699" i="1"/>
  <c r="Q1699" i="1"/>
  <c r="S1595" i="1"/>
  <c r="R1595" i="1"/>
  <c r="Q1595" i="1"/>
  <c r="S888" i="1"/>
  <c r="R888" i="1"/>
  <c r="Q888" i="1"/>
  <c r="S829" i="1"/>
  <c r="R829" i="1"/>
  <c r="Q829" i="1"/>
  <c r="S802" i="1"/>
  <c r="R802" i="1"/>
  <c r="Q802" i="1"/>
  <c r="S647" i="1"/>
  <c r="R647" i="1"/>
  <c r="Q647" i="1"/>
  <c r="S584" i="1"/>
  <c r="R584" i="1"/>
  <c r="Q584" i="1"/>
  <c r="S552" i="1"/>
  <c r="R552" i="1"/>
  <c r="Q552" i="1"/>
  <c r="S520" i="1"/>
  <c r="R520" i="1"/>
  <c r="Q520" i="1"/>
  <c r="S1758" i="19"/>
  <c r="R1758" i="19"/>
  <c r="Q1758" i="19"/>
  <c r="S1422" i="19"/>
  <c r="R1422" i="19"/>
  <c r="Q1422" i="19"/>
  <c r="P2353" i="19"/>
  <c r="P2352" i="19"/>
  <c r="S2351" i="19"/>
  <c r="R2351" i="19"/>
  <c r="P2354" i="19"/>
  <c r="Q2351" i="19"/>
  <c r="Q1125" i="19"/>
  <c r="S1125" i="19"/>
  <c r="R1125" i="19"/>
  <c r="P1792" i="19"/>
  <c r="S1791" i="19"/>
  <c r="R1791" i="19"/>
  <c r="Q1791" i="19"/>
  <c r="P1794" i="19"/>
  <c r="P1793" i="19"/>
  <c r="S1596" i="19"/>
  <c r="R1596" i="19"/>
  <c r="Q1596" i="19"/>
  <c r="S866" i="19"/>
  <c r="R866" i="19"/>
  <c r="Q866" i="19"/>
  <c r="R970" i="19"/>
  <c r="Q970" i="19"/>
  <c r="S970" i="19"/>
  <c r="S1606" i="19"/>
  <c r="R1606" i="19"/>
  <c r="Q1606" i="19"/>
  <c r="S1310" i="19"/>
  <c r="R1310" i="19"/>
  <c r="Q1310" i="19"/>
  <c r="S919" i="19"/>
  <c r="R919" i="19"/>
  <c r="Q919" i="19"/>
  <c r="S1561" i="19"/>
  <c r="R1561" i="19"/>
  <c r="Q1561" i="19"/>
  <c r="S1476" i="19"/>
  <c r="R1476" i="19"/>
  <c r="Q1476" i="19"/>
  <c r="S990" i="19"/>
  <c r="R990" i="19"/>
  <c r="Q990" i="19"/>
  <c r="S497" i="19"/>
  <c r="Q497" i="19"/>
  <c r="R497" i="19"/>
  <c r="S320" i="19"/>
  <c r="R320" i="19"/>
  <c r="Q320" i="19"/>
  <c r="R2070" i="19"/>
  <c r="Q2070" i="19"/>
  <c r="S2070" i="19"/>
  <c r="Q857" i="19"/>
  <c r="S857" i="19"/>
  <c r="R857" i="19"/>
  <c r="S338" i="19"/>
  <c r="R338" i="19"/>
  <c r="Q338" i="19"/>
  <c r="Q334" i="19"/>
  <c r="S334" i="19"/>
  <c r="R334" i="19"/>
  <c r="Q2336" i="19"/>
  <c r="S2336" i="19"/>
  <c r="R2336" i="19"/>
  <c r="S736" i="19"/>
  <c r="R736" i="19"/>
  <c r="Q736" i="19"/>
  <c r="S655" i="19"/>
  <c r="Q655" i="19"/>
  <c r="R655" i="19"/>
  <c r="P618" i="19"/>
  <c r="R367" i="19"/>
  <c r="S367" i="19"/>
  <c r="Q367" i="19"/>
  <c r="S2150" i="19"/>
  <c r="R2150" i="19"/>
  <c r="Q2150" i="19"/>
  <c r="R1869" i="19"/>
  <c r="S1869" i="19"/>
  <c r="Q1869" i="19"/>
  <c r="R1851" i="19"/>
  <c r="S1851" i="19"/>
  <c r="Q1851" i="19"/>
  <c r="Q280" i="19"/>
  <c r="S280" i="19"/>
  <c r="R280" i="19"/>
  <c r="Q510" i="19"/>
  <c r="R510" i="19"/>
  <c r="S510" i="19"/>
  <c r="S2092" i="19"/>
  <c r="R2092" i="19"/>
  <c r="Q2092" i="19"/>
  <c r="R1810" i="19"/>
  <c r="S1810" i="19"/>
  <c r="Q1810" i="19"/>
  <c r="P43" i="19"/>
  <c r="S476" i="19"/>
  <c r="R476" i="19"/>
  <c r="Q476" i="19"/>
  <c r="S175" i="19"/>
  <c r="Q175" i="19"/>
  <c r="R175" i="19"/>
  <c r="Q758" i="19"/>
  <c r="R758" i="19"/>
  <c r="S758" i="19"/>
  <c r="R433" i="19"/>
  <c r="S433" i="19"/>
  <c r="Q433" i="19"/>
  <c r="N2357" i="1"/>
  <c r="W2357" i="1" s="1"/>
  <c r="N1789" i="1"/>
  <c r="W1789" i="1" s="1"/>
  <c r="N1045" i="1"/>
  <c r="W1045" i="1" s="1"/>
  <c r="N1610" i="1"/>
  <c r="W1610" i="1" s="1"/>
  <c r="N1135" i="1"/>
  <c r="W1135" i="1" s="1"/>
  <c r="N1661" i="1"/>
  <c r="W1661" i="1" s="1"/>
  <c r="N1433" i="1"/>
  <c r="W1433" i="1" s="1"/>
  <c r="N1107" i="1"/>
  <c r="W1107" i="1" s="1"/>
  <c r="N1416" i="1"/>
  <c r="W1416" i="1" s="1"/>
  <c r="N1203" i="1"/>
  <c r="W1203" i="1" s="1"/>
  <c r="N667" i="1"/>
  <c r="W667" i="1" s="1"/>
  <c r="N1937" i="1"/>
  <c r="W1937" i="1" s="1"/>
  <c r="N2224" i="1"/>
  <c r="W2224" i="1" s="1"/>
  <c r="N2187" i="1"/>
  <c r="W2187" i="1" s="1"/>
  <c r="N2033" i="1"/>
  <c r="W2033" i="1" s="1"/>
  <c r="N2493" i="1"/>
  <c r="W2493" i="1" s="1"/>
  <c r="N2095" i="1"/>
  <c r="W2095" i="1" s="1"/>
  <c r="N688" i="1"/>
  <c r="W688" i="1" s="1"/>
  <c r="N1809" i="1"/>
  <c r="W1809" i="1" s="1"/>
  <c r="N1670" i="1"/>
  <c r="W1670" i="1" s="1"/>
  <c r="N608" i="1"/>
  <c r="W608" i="1" s="1"/>
  <c r="N1120" i="1"/>
  <c r="W1120" i="1" s="1"/>
  <c r="N1084" i="1"/>
  <c r="W1084" i="1" s="1"/>
  <c r="N2118" i="1"/>
  <c r="W2118" i="1" s="1"/>
  <c r="N2459" i="1"/>
  <c r="W2459" i="1" s="1"/>
  <c r="N1798" i="1"/>
  <c r="W1798" i="1" s="1"/>
  <c r="N1212" i="1"/>
  <c r="W1212" i="1" s="1"/>
  <c r="N1330" i="1"/>
  <c r="W1330" i="1" s="1"/>
  <c r="N1357" i="1"/>
  <c r="W1357" i="1" s="1"/>
  <c r="N1504" i="1"/>
  <c r="W1504" i="1" s="1"/>
  <c r="N1150" i="1"/>
  <c r="W1150" i="1" s="1"/>
  <c r="N662" i="1"/>
  <c r="W662" i="1" s="1"/>
  <c r="N556" i="1"/>
  <c r="W556" i="1" s="1"/>
  <c r="N893" i="1"/>
  <c r="W893" i="1" s="1"/>
  <c r="N1905" i="1"/>
  <c r="W1905" i="1" s="1"/>
  <c r="N2200" i="1"/>
  <c r="W2200" i="1" s="1"/>
  <c r="N2461" i="1"/>
  <c r="N2284" i="1"/>
  <c r="W2284" i="1" s="1"/>
  <c r="N2129" i="1"/>
  <c r="W2129" i="1" s="1"/>
  <c r="N576" i="1"/>
  <c r="W576" i="1" s="1"/>
  <c r="N988" i="1"/>
  <c r="W988" i="1" s="1"/>
  <c r="N1777" i="1"/>
  <c r="W1777" i="1" s="1"/>
  <c r="N1026" i="1"/>
  <c r="W1026" i="1" s="1"/>
  <c r="N2482" i="1"/>
  <c r="W2482" i="1" s="1"/>
  <c r="N1830" i="1"/>
  <c r="W1830" i="1" s="1"/>
  <c r="N2031" i="1"/>
  <c r="W2031" i="1" s="1"/>
  <c r="N1766" i="1"/>
  <c r="W1766" i="1" s="1"/>
  <c r="N1743" i="1"/>
  <c r="W1743" i="1" s="1"/>
  <c r="N1792" i="1"/>
  <c r="W1792" i="1" s="1"/>
  <c r="N1728" i="1"/>
  <c r="W1728" i="1" s="1"/>
  <c r="N1647" i="1"/>
  <c r="W1647" i="1" s="1"/>
  <c r="N973" i="1"/>
  <c r="W973" i="1" s="1"/>
  <c r="N1398" i="1"/>
  <c r="W1398" i="1" s="1"/>
  <c r="N1456" i="1"/>
  <c r="W1456" i="1" s="1"/>
  <c r="N1329" i="1"/>
  <c r="W1329" i="1" s="1"/>
  <c r="N1873" i="1"/>
  <c r="W1873" i="1" s="1"/>
  <c r="N1990" i="1"/>
  <c r="W1990" i="1" s="1"/>
  <c r="N2429" i="1"/>
  <c r="W2429" i="1" s="1"/>
  <c r="N639" i="1"/>
  <c r="W639" i="1" s="1"/>
  <c r="N2127" i="1"/>
  <c r="W2127" i="1" s="1"/>
  <c r="N1269" i="1"/>
  <c r="W1269" i="1" s="1"/>
  <c r="N1745" i="1"/>
  <c r="W1745" i="1" s="1"/>
  <c r="N1638" i="1"/>
  <c r="W1638" i="1" s="1"/>
  <c r="N2086" i="1"/>
  <c r="W2086" i="1" s="1"/>
  <c r="N2097" i="1"/>
  <c r="W2097" i="1" s="1"/>
  <c r="N2427" i="1"/>
  <c r="W2427" i="1" s="1"/>
  <c r="N2149" i="1"/>
  <c r="W2149" i="1" s="1"/>
  <c r="N2063" i="1"/>
  <c r="N1871" i="1"/>
  <c r="W1871" i="1" s="1"/>
  <c r="N1903" i="1"/>
  <c r="W1903" i="1" s="1"/>
  <c r="N1180" i="1"/>
  <c r="W1180" i="1" s="1"/>
  <c r="N1482" i="1"/>
  <c r="W1482" i="1" s="1"/>
  <c r="N1086" i="1"/>
  <c r="W1086" i="1" s="1"/>
  <c r="N1186" i="1"/>
  <c r="W1186" i="1" s="1"/>
  <c r="N1584" i="1"/>
  <c r="W1584" i="1" s="1"/>
  <c r="N565" i="1"/>
  <c r="W565" i="1" s="1"/>
  <c r="N524" i="1"/>
  <c r="W524" i="1" s="1"/>
  <c r="N1148" i="1"/>
  <c r="W1148" i="1" s="1"/>
  <c r="N2296" i="1"/>
  <c r="W2296" i="1" s="1"/>
  <c r="N922" i="1"/>
  <c r="W922" i="1" s="1"/>
  <c r="N946" i="1"/>
  <c r="W946" i="1" s="1"/>
  <c r="N1630" i="1"/>
  <c r="W1630" i="1" s="1"/>
  <c r="N2450" i="1"/>
  <c r="W2450" i="1" s="1"/>
  <c r="N1711" i="1"/>
  <c r="W1711" i="1" s="1"/>
  <c r="N1926" i="1"/>
  <c r="W1926" i="1" s="1"/>
  <c r="N1734" i="1"/>
  <c r="W1734" i="1" s="1"/>
  <c r="N1702" i="1"/>
  <c r="W1702" i="1" s="1"/>
  <c r="N1302" i="1"/>
  <c r="W1302" i="1" s="1"/>
  <c r="N1244" i="1"/>
  <c r="W1244" i="1" s="1"/>
  <c r="N1576" i="1"/>
  <c r="W1576" i="1" s="1"/>
  <c r="N544" i="1"/>
  <c r="W544" i="1" s="1"/>
  <c r="N2274" i="1"/>
  <c r="W2274" i="1" s="1"/>
  <c r="N2065" i="1"/>
  <c r="W2065" i="1" s="1"/>
  <c r="N2401" i="1"/>
  <c r="W2401" i="1" s="1"/>
  <c r="N2022" i="1"/>
  <c r="W2022" i="1" s="1"/>
  <c r="N806" i="1"/>
  <c r="W806" i="1" s="1"/>
  <c r="N2394" i="1"/>
  <c r="W2394" i="1" s="1"/>
  <c r="N2054" i="1"/>
  <c r="W2054" i="1" s="1"/>
  <c r="N1775" i="1"/>
  <c r="W1775" i="1" s="1"/>
  <c r="N1839" i="1"/>
  <c r="N1841" i="1"/>
  <c r="W1841" i="1" s="1"/>
  <c r="N1679" i="1"/>
  <c r="W1679" i="1" s="1"/>
  <c r="N1894" i="1"/>
  <c r="W1894" i="1" s="1"/>
  <c r="N1760" i="1"/>
  <c r="W1760" i="1" s="1"/>
  <c r="N1474" i="1"/>
  <c r="W1474" i="1" s="1"/>
  <c r="N1366" i="1"/>
  <c r="W1366" i="1" s="1"/>
  <c r="N588" i="1"/>
  <c r="W588" i="1" s="1"/>
  <c r="N633" i="1"/>
  <c r="W633" i="1" s="1"/>
  <c r="N619" i="1"/>
  <c r="W619" i="1" s="1"/>
  <c r="N512" i="1"/>
  <c r="W512" i="1" s="1"/>
  <c r="N2301" i="1"/>
  <c r="W2301" i="1" s="1"/>
  <c r="N1958" i="1"/>
  <c r="W1958" i="1" s="1"/>
  <c r="N2229" i="1"/>
  <c r="W2229" i="1" s="1"/>
  <c r="N2379" i="1"/>
  <c r="W2379" i="1" s="1"/>
  <c r="N2177" i="1"/>
  <c r="W2177" i="1" s="1"/>
  <c r="N1967" i="1"/>
  <c r="W1967" i="1" s="1"/>
  <c r="N2418" i="1"/>
  <c r="W2418" i="1" s="1"/>
  <c r="N2174" i="1"/>
  <c r="W2174" i="1" s="1"/>
  <c r="N1885" i="1"/>
  <c r="W1885" i="1" s="1"/>
  <c r="N1999" i="1"/>
  <c r="W1999" i="1" s="1"/>
  <c r="N1617" i="1"/>
  <c r="W1617" i="1" s="1"/>
  <c r="N1424" i="1"/>
  <c r="W1424" i="1" s="1"/>
  <c r="N913" i="1"/>
  <c r="W913" i="1" s="1"/>
  <c r="N1056" i="1"/>
  <c r="W1056" i="1" s="1"/>
  <c r="N683" i="1"/>
  <c r="W683" i="1" s="1"/>
  <c r="N2277" i="1"/>
  <c r="N1392" i="1"/>
  <c r="W1392" i="1" s="1"/>
  <c r="N1277" i="1"/>
  <c r="W1277" i="1" s="1"/>
  <c r="M2444" i="1"/>
  <c r="N2444" i="1" s="1"/>
  <c r="W2444" i="1" s="1"/>
  <c r="M2398" i="1"/>
  <c r="N2398" i="1" s="1"/>
  <c r="W2398" i="1" s="1"/>
  <c r="M2234" i="1"/>
  <c r="N2234" i="1" s="1"/>
  <c r="W2234" i="1" s="1"/>
  <c r="M2204" i="1"/>
  <c r="N2204" i="1" s="1"/>
  <c r="W2204" i="1" s="1"/>
  <c r="M2162" i="1"/>
  <c r="N2162" i="1" s="1"/>
  <c r="W2162" i="1" s="1"/>
  <c r="M2074" i="1"/>
  <c r="N2074" i="1" s="1"/>
  <c r="W2074" i="1" s="1"/>
  <c r="M897" i="1"/>
  <c r="N897" i="1" s="1"/>
  <c r="W897" i="1" s="1"/>
  <c r="N622" i="1"/>
  <c r="W622" i="1" s="1"/>
  <c r="N686" i="1"/>
  <c r="W686" i="1" s="1"/>
  <c r="N620" i="1"/>
  <c r="W620" i="1" s="1"/>
  <c r="N2339" i="1"/>
  <c r="W2339" i="1" s="1"/>
  <c r="N2315" i="1"/>
  <c r="W2315" i="1" s="1"/>
  <c r="N1860" i="1"/>
  <c r="N674" i="1"/>
  <c r="N2020" i="1"/>
  <c r="W2020" i="1" s="1"/>
  <c r="N677" i="1"/>
  <c r="W677" i="1" s="1"/>
  <c r="N591" i="1"/>
  <c r="W591" i="1" s="1"/>
  <c r="N527" i="1"/>
  <c r="W527" i="1" s="1"/>
  <c r="M293" i="1"/>
  <c r="N293" i="1" s="1"/>
  <c r="V407" i="1"/>
  <c r="V365" i="1"/>
  <c r="V359" i="1"/>
  <c r="V431" i="1"/>
  <c r="V296" i="1"/>
  <c r="M701" i="1"/>
  <c r="N701" i="1" s="1"/>
  <c r="V701" i="1"/>
  <c r="M275" i="1"/>
  <c r="N275" i="1" s="1"/>
  <c r="W275" i="1" s="1"/>
  <c r="V347" i="1"/>
  <c r="V371" i="1"/>
  <c r="M278" i="1"/>
  <c r="N278" i="1" s="1"/>
  <c r="V278" i="1"/>
  <c r="V503" i="1"/>
  <c r="V284" i="1"/>
  <c r="V260" i="1"/>
  <c r="M401" i="1"/>
  <c r="N401" i="1" s="1"/>
  <c r="V697" i="1"/>
  <c r="M305" i="1"/>
  <c r="V305" i="1"/>
  <c r="V281" i="1"/>
  <c r="M710" i="1"/>
  <c r="V329" i="1"/>
  <c r="V485" i="1"/>
  <c r="V377" i="1"/>
  <c r="P2330" i="1"/>
  <c r="P2329" i="1"/>
  <c r="P2328" i="1"/>
  <c r="P1931" i="1"/>
  <c r="P1930" i="1"/>
  <c r="P1929" i="1"/>
  <c r="P159" i="1"/>
  <c r="P158" i="1"/>
  <c r="P305" i="1"/>
  <c r="P304" i="1"/>
  <c r="P2458" i="1"/>
  <c r="P2457" i="1"/>
  <c r="P2460" i="1"/>
  <c r="P2459" i="1"/>
  <c r="P2456" i="1"/>
  <c r="P2333" i="1"/>
  <c r="P2332" i="1"/>
  <c r="P2334" i="1"/>
  <c r="P1830" i="1"/>
  <c r="P1828" i="1"/>
  <c r="P1829" i="1"/>
  <c r="P518" i="1"/>
  <c r="P517" i="1"/>
  <c r="P516" i="1"/>
  <c r="P515" i="1"/>
  <c r="P365" i="1"/>
  <c r="P364" i="1"/>
  <c r="P363" i="1"/>
  <c r="P362" i="1"/>
  <c r="P361" i="1"/>
  <c r="P302" i="1"/>
  <c r="P301" i="1"/>
  <c r="P181" i="1"/>
  <c r="P182" i="1"/>
  <c r="P371" i="1"/>
  <c r="P370" i="1"/>
  <c r="P369" i="1"/>
  <c r="P368" i="1"/>
  <c r="P367" i="1"/>
  <c r="P202" i="1"/>
  <c r="P2284" i="1"/>
  <c r="P2282" i="1"/>
  <c r="P2283" i="1"/>
  <c r="P1998" i="1"/>
  <c r="P1997" i="1"/>
  <c r="P1999" i="1"/>
  <c r="P1934" i="1"/>
  <c r="P1933" i="1"/>
  <c r="P1935" i="1"/>
  <c r="P1895" i="1"/>
  <c r="P1894" i="1"/>
  <c r="P1893" i="1"/>
  <c r="P477" i="1"/>
  <c r="P476" i="1"/>
  <c r="P475" i="1"/>
  <c r="P479" i="1"/>
  <c r="P478" i="1"/>
  <c r="P170" i="1"/>
  <c r="P169" i="1"/>
  <c r="P196" i="1"/>
  <c r="P195" i="1"/>
  <c r="P284" i="1"/>
  <c r="P283" i="1"/>
  <c r="P293" i="1"/>
  <c r="P292" i="1"/>
  <c r="P2435" i="1"/>
  <c r="P2434" i="1"/>
  <c r="P2433" i="1"/>
  <c r="P2432" i="1"/>
  <c r="P2436" i="1"/>
  <c r="P2175" i="1"/>
  <c r="P2174" i="1"/>
  <c r="P2172" i="1"/>
  <c r="P2176" i="1"/>
  <c r="P2173" i="1"/>
  <c r="P2259" i="1"/>
  <c r="P2258" i="1"/>
  <c r="P2260" i="1"/>
  <c r="P1798" i="1"/>
  <c r="P1796" i="1"/>
  <c r="P1797" i="1"/>
  <c r="P1814" i="1"/>
  <c r="P1813" i="1"/>
  <c r="P1812" i="1"/>
  <c r="P1883" i="1"/>
  <c r="P1881" i="1"/>
  <c r="P1882" i="1"/>
  <c r="P1757" i="1"/>
  <c r="P1756" i="1"/>
  <c r="P1653" i="1"/>
  <c r="P1652" i="1"/>
  <c r="P1651" i="1"/>
  <c r="P773" i="1"/>
  <c r="P772" i="1"/>
  <c r="P776" i="1"/>
  <c r="P775" i="1"/>
  <c r="P774" i="1"/>
  <c r="P754" i="1"/>
  <c r="P758" i="1"/>
  <c r="P757" i="1"/>
  <c r="P756" i="1"/>
  <c r="P755" i="1"/>
  <c r="P656" i="1"/>
  <c r="P657" i="1"/>
  <c r="P655" i="1"/>
  <c r="P428" i="1"/>
  <c r="P427" i="1"/>
  <c r="P431" i="1"/>
  <c r="P430" i="1"/>
  <c r="P429" i="1"/>
  <c r="P260" i="1"/>
  <c r="P259" i="1"/>
  <c r="P258" i="1"/>
  <c r="P257" i="1"/>
  <c r="P2095" i="1"/>
  <c r="P2094" i="1"/>
  <c r="P2097" i="1"/>
  <c r="P2096" i="1"/>
  <c r="P1923" i="1"/>
  <c r="P1922" i="1"/>
  <c r="P1921" i="1"/>
  <c r="P383" i="1"/>
  <c r="P382" i="1"/>
  <c r="P381" i="1"/>
  <c r="P380" i="1"/>
  <c r="P379" i="1"/>
  <c r="P174" i="1"/>
  <c r="P173" i="1"/>
  <c r="P2185" i="1"/>
  <c r="P2184" i="1"/>
  <c r="P2186" i="1"/>
  <c r="P502" i="1"/>
  <c r="P501" i="1"/>
  <c r="P500" i="1"/>
  <c r="P499" i="1"/>
  <c r="P503" i="1"/>
  <c r="P2429" i="1"/>
  <c r="P2428" i="1"/>
  <c r="P2426" i="1"/>
  <c r="P2430" i="1"/>
  <c r="P2427" i="1"/>
  <c r="P2358" i="1"/>
  <c r="P2356" i="1"/>
  <c r="P2357" i="1"/>
  <c r="P1853" i="1"/>
  <c r="P1855" i="1"/>
  <c r="P1854" i="1"/>
  <c r="P2406" i="1"/>
  <c r="P2405" i="1"/>
  <c r="P2404" i="1"/>
  <c r="P2298" i="1"/>
  <c r="P2297" i="1"/>
  <c r="P2295" i="1"/>
  <c r="P2294" i="1"/>
  <c r="P2296" i="1"/>
  <c r="P1754" i="1"/>
  <c r="P1753" i="1"/>
  <c r="P1637" i="1"/>
  <c r="P1635" i="1"/>
  <c r="P1636" i="1"/>
  <c r="P763" i="1"/>
  <c r="P762" i="1"/>
  <c r="P760" i="1"/>
  <c r="P761" i="1"/>
  <c r="P764" i="1"/>
  <c r="P681" i="1"/>
  <c r="P680" i="1"/>
  <c r="P679" i="1"/>
  <c r="P437" i="1"/>
  <c r="P436" i="1"/>
  <c r="P435" i="1"/>
  <c r="P434" i="1"/>
  <c r="P433" i="1"/>
  <c r="P263" i="1"/>
  <c r="P262" i="1"/>
  <c r="P265" i="1"/>
  <c r="P264" i="1"/>
  <c r="P2384" i="1"/>
  <c r="P2386" i="1"/>
  <c r="P2385" i="1"/>
  <c r="P2318" i="1"/>
  <c r="P2322" i="1"/>
  <c r="P2321" i="1"/>
  <c r="P2320" i="1"/>
  <c r="P2319" i="1"/>
  <c r="P2011" i="1"/>
  <c r="P2009" i="1"/>
  <c r="P2010" i="1"/>
  <c r="P2204" i="1"/>
  <c r="P2206" i="1"/>
  <c r="P2205" i="1"/>
  <c r="P150" i="1"/>
  <c r="P149" i="1"/>
  <c r="P1955" i="1"/>
  <c r="P1954" i="1"/>
  <c r="P1953" i="1"/>
  <c r="P147" i="1"/>
  <c r="P146" i="1"/>
  <c r="P2081" i="1"/>
  <c r="P2080" i="1"/>
  <c r="P2079" i="1"/>
  <c r="P2082" i="1"/>
  <c r="P1927" i="1"/>
  <c r="P1926" i="1"/>
  <c r="P1925" i="1"/>
  <c r="P1885" i="1"/>
  <c r="P1887" i="1"/>
  <c r="P1886" i="1"/>
  <c r="P1794" i="1"/>
  <c r="P1793" i="1"/>
  <c r="P1792" i="1"/>
  <c r="P317" i="1"/>
  <c r="P316" i="1"/>
  <c r="P315" i="1"/>
  <c r="P314" i="1"/>
  <c r="P313" i="1"/>
  <c r="P1789" i="1"/>
  <c r="P1790" i="1"/>
  <c r="P162" i="1"/>
  <c r="P161" i="1"/>
  <c r="P166" i="1"/>
  <c r="P165" i="1"/>
  <c r="P2214" i="1"/>
  <c r="P2213" i="1"/>
  <c r="P2212" i="1"/>
  <c r="P281" i="1"/>
  <c r="P280" i="1"/>
  <c r="P2448" i="1"/>
  <c r="P2447" i="1"/>
  <c r="P2445" i="1"/>
  <c r="P2444" i="1"/>
  <c r="P2446" i="1"/>
  <c r="P2252" i="1"/>
  <c r="P2250" i="1"/>
  <c r="P2251" i="1"/>
  <c r="P1787" i="1"/>
  <c r="P1786" i="1"/>
  <c r="P1911" i="1"/>
  <c r="P1910" i="1"/>
  <c r="P1909" i="1"/>
  <c r="P744" i="1"/>
  <c r="P743" i="1"/>
  <c r="P746" i="1"/>
  <c r="P745" i="1"/>
  <c r="P742" i="1"/>
  <c r="P857" i="1"/>
  <c r="P855" i="1"/>
  <c r="P856" i="1"/>
  <c r="P493" i="1"/>
  <c r="P497" i="1"/>
  <c r="P496" i="1"/>
  <c r="P495" i="1"/>
  <c r="P494" i="1"/>
  <c r="P859" i="1"/>
  <c r="P861" i="1"/>
  <c r="P860" i="1"/>
  <c r="P337" i="1"/>
  <c r="P341" i="1"/>
  <c r="P340" i="1"/>
  <c r="P339" i="1"/>
  <c r="P338" i="1"/>
  <c r="P2055" i="1"/>
  <c r="P2054" i="1"/>
  <c r="P2057" i="1"/>
  <c r="P2056" i="1"/>
  <c r="P335" i="1"/>
  <c r="P334" i="1"/>
  <c r="P333" i="1"/>
  <c r="P332" i="1"/>
  <c r="P331" i="1"/>
  <c r="P1915" i="1"/>
  <c r="P1913" i="1"/>
  <c r="P1914" i="1"/>
  <c r="P308" i="1"/>
  <c r="P307" i="1"/>
  <c r="P311" i="1"/>
  <c r="P310" i="1"/>
  <c r="P309" i="1"/>
  <c r="P278" i="1"/>
  <c r="P277" i="1"/>
  <c r="P1660" i="1"/>
  <c r="P1659" i="1"/>
  <c r="P1661" i="1"/>
  <c r="P2034" i="1"/>
  <c r="P2033" i="1"/>
  <c r="P2035" i="1"/>
  <c r="P2362" i="1"/>
  <c r="P2361" i="1"/>
  <c r="P2360" i="1"/>
  <c r="P2194" i="1"/>
  <c r="P2193" i="1"/>
  <c r="P2192" i="1"/>
  <c r="P1867" i="1"/>
  <c r="P1866" i="1"/>
  <c r="P1865" i="1"/>
  <c r="P273" i="1"/>
  <c r="P272" i="1"/>
  <c r="P275" i="1"/>
  <c r="P274" i="1"/>
  <c r="P153" i="1"/>
  <c r="P152" i="1"/>
  <c r="P1771" i="1"/>
  <c r="P1770" i="1"/>
  <c r="P1769" i="1"/>
  <c r="P1784" i="1"/>
  <c r="P1783" i="1"/>
  <c r="P1902" i="1"/>
  <c r="P1901" i="1"/>
  <c r="P1903" i="1"/>
  <c r="P1742" i="1"/>
  <c r="P1741" i="1"/>
  <c r="P752" i="1"/>
  <c r="P750" i="1"/>
  <c r="P749" i="1"/>
  <c r="P748" i="1"/>
  <c r="P751" i="1"/>
  <c r="P127" i="1"/>
  <c r="P126" i="1"/>
  <c r="P125" i="1"/>
  <c r="P296" i="1"/>
  <c r="P295" i="1"/>
  <c r="P2226" i="1"/>
  <c r="P2225" i="1"/>
  <c r="P2223" i="1"/>
  <c r="P2222" i="1"/>
  <c r="P2224" i="1"/>
  <c r="P2149" i="1"/>
  <c r="P2148" i="1"/>
  <c r="P2150" i="1"/>
  <c r="P2350" i="1"/>
  <c r="P2349" i="1"/>
  <c r="P2348" i="1"/>
  <c r="P1979" i="1"/>
  <c r="P1977" i="1"/>
  <c r="P1978" i="1"/>
  <c r="P1947" i="1"/>
  <c r="P1945" i="1"/>
  <c r="P1946" i="1"/>
  <c r="P43" i="1"/>
  <c r="P2198" i="1"/>
  <c r="P2197" i="1"/>
  <c r="P2196" i="1"/>
  <c r="P1981" i="1"/>
  <c r="P1983" i="1"/>
  <c r="P1982" i="1"/>
  <c r="P1917" i="1"/>
  <c r="P1919" i="1"/>
  <c r="P1918" i="1"/>
  <c r="P327" i="1"/>
  <c r="P326" i="1"/>
  <c r="P325" i="1"/>
  <c r="P329" i="1"/>
  <c r="P328" i="1"/>
  <c r="P198" i="1"/>
  <c r="P199" i="1"/>
  <c r="P1657" i="1"/>
  <c r="P1656" i="1"/>
  <c r="P1655" i="1"/>
  <c r="P485" i="1"/>
  <c r="P484" i="1"/>
  <c r="P483" i="1"/>
  <c r="P482" i="1"/>
  <c r="P481" i="1"/>
  <c r="P323" i="1"/>
  <c r="P322" i="1"/>
  <c r="P321" i="1"/>
  <c r="P320" i="1"/>
  <c r="P319" i="1"/>
  <c r="P2019" i="1"/>
  <c r="P2018" i="1"/>
  <c r="P2017" i="1"/>
  <c r="P2002" i="1"/>
  <c r="P2001" i="1"/>
  <c r="P2003" i="1"/>
  <c r="P2210" i="1"/>
  <c r="P2208" i="1"/>
  <c r="P2209" i="1"/>
  <c r="P1838" i="1"/>
  <c r="P1837" i="1"/>
  <c r="P1836" i="1"/>
  <c r="P2124" i="1"/>
  <c r="P2123" i="1"/>
  <c r="P2126" i="1"/>
  <c r="P2122" i="1"/>
  <c r="P2125" i="1"/>
  <c r="P1821" i="1"/>
  <c r="P1820" i="1"/>
  <c r="P1822" i="1"/>
  <c r="P1738" i="1"/>
  <c r="P1739" i="1"/>
  <c r="P1879" i="1"/>
  <c r="P1878" i="1"/>
  <c r="P1877" i="1"/>
  <c r="P734" i="1"/>
  <c r="P733" i="1"/>
  <c r="P731" i="1"/>
  <c r="P730" i="1"/>
  <c r="P732" i="1"/>
  <c r="P715" i="1"/>
  <c r="P714" i="1"/>
  <c r="P712" i="1"/>
  <c r="P716" i="1"/>
  <c r="P713" i="1"/>
  <c r="P397" i="1"/>
  <c r="P401" i="1"/>
  <c r="P400" i="1"/>
  <c r="P399" i="1"/>
  <c r="P398" i="1"/>
  <c r="P346" i="1"/>
  <c r="P345" i="1"/>
  <c r="P344" i="1"/>
  <c r="P343" i="1"/>
  <c r="P347" i="1"/>
  <c r="P287" i="1"/>
  <c r="P286" i="1"/>
  <c r="P1906" i="1"/>
  <c r="P1905" i="1"/>
  <c r="P1907" i="1"/>
  <c r="P2013" i="1"/>
  <c r="P2015" i="1"/>
  <c r="P2014" i="1"/>
  <c r="P2326" i="1"/>
  <c r="P2324" i="1"/>
  <c r="P2325" i="1"/>
  <c r="P1870" i="1"/>
  <c r="P1869" i="1"/>
  <c r="P1871" i="1"/>
  <c r="P1826" i="1"/>
  <c r="P1825" i="1"/>
  <c r="P1824" i="1"/>
  <c r="P1874" i="1"/>
  <c r="P1873" i="1"/>
  <c r="P1875" i="1"/>
  <c r="P706" i="1"/>
  <c r="P710" i="1"/>
  <c r="P709" i="1"/>
  <c r="P708" i="1"/>
  <c r="P707" i="1"/>
  <c r="P537" i="1"/>
  <c r="P536" i="1"/>
  <c r="P535" i="1"/>
  <c r="P534" i="1"/>
  <c r="P721" i="1"/>
  <c r="P720" i="1"/>
  <c r="P719" i="1"/>
  <c r="P718" i="1"/>
  <c r="P722" i="1"/>
  <c r="P704" i="1"/>
  <c r="P703" i="1"/>
  <c r="P725" i="1"/>
  <c r="P724" i="1"/>
  <c r="P728" i="1"/>
  <c r="P727" i="1"/>
  <c r="P726" i="1"/>
  <c r="P740" i="1"/>
  <c r="P739" i="1"/>
  <c r="P738" i="1"/>
  <c r="P737" i="1"/>
  <c r="P736" i="1"/>
  <c r="P91" i="1"/>
  <c r="P2246" i="1"/>
  <c r="P2248" i="1"/>
  <c r="P2247" i="1"/>
  <c r="P2166" i="1"/>
  <c r="P2170" i="1"/>
  <c r="P2169" i="1"/>
  <c r="P2168" i="1"/>
  <c r="P2167" i="1"/>
  <c r="P1938" i="1"/>
  <c r="P1937" i="1"/>
  <c r="P1939" i="1"/>
  <c r="P2256" i="1"/>
  <c r="P2255" i="1"/>
  <c r="P2254" i="1"/>
  <c r="P2158" i="1"/>
  <c r="P2157" i="1"/>
  <c r="P2156" i="1"/>
  <c r="P406" i="1"/>
  <c r="P405" i="1"/>
  <c r="P404" i="1"/>
  <c r="P403" i="1"/>
  <c r="P407" i="1"/>
  <c r="P669" i="1"/>
  <c r="P668" i="1"/>
  <c r="P667" i="1"/>
  <c r="P356" i="1"/>
  <c r="P355" i="1"/>
  <c r="P359" i="1"/>
  <c r="P358" i="1"/>
  <c r="P357" i="1"/>
  <c r="P270" i="1"/>
  <c r="P269" i="1"/>
  <c r="P268" i="1"/>
  <c r="P267" i="1"/>
  <c r="P1899" i="1"/>
  <c r="P1898" i="1"/>
  <c r="P1897" i="1"/>
  <c r="P1643" i="1"/>
  <c r="P1645" i="1"/>
  <c r="P1644" i="1"/>
  <c r="P2045" i="1"/>
  <c r="P2047" i="1"/>
  <c r="P2046" i="1"/>
  <c r="P2101" i="1"/>
  <c r="P2100" i="1"/>
  <c r="P2099" i="1"/>
  <c r="P2102" i="1"/>
  <c r="P299" i="1"/>
  <c r="P298" i="1"/>
  <c r="P2378" i="1"/>
  <c r="P2377" i="1"/>
  <c r="P2376" i="1"/>
  <c r="P2142" i="1"/>
  <c r="P2141" i="1"/>
  <c r="P2140" i="1"/>
  <c r="P2288" i="1"/>
  <c r="P2287" i="1"/>
  <c r="P2286" i="1"/>
  <c r="P2043" i="1"/>
  <c r="P2041" i="1"/>
  <c r="P2042" i="1"/>
  <c r="P1817" i="1"/>
  <c r="P1816" i="1"/>
  <c r="P1818" i="1"/>
  <c r="P1748" i="1"/>
  <c r="P1747" i="1"/>
  <c r="P595" i="1"/>
  <c r="P594" i="1"/>
  <c r="P596" i="1"/>
  <c r="P604" i="1"/>
  <c r="P606" i="1"/>
  <c r="P605" i="1"/>
  <c r="P290" i="1"/>
  <c r="P289" i="1"/>
  <c r="P2030" i="1"/>
  <c r="P2029" i="1"/>
  <c r="P2031" i="1"/>
  <c r="P353" i="1"/>
  <c r="P352" i="1"/>
  <c r="P351" i="1"/>
  <c r="P350" i="1"/>
  <c r="P349" i="1"/>
  <c r="P178" i="1"/>
  <c r="P177" i="1"/>
  <c r="P375" i="1"/>
  <c r="P374" i="1"/>
  <c r="P373" i="1"/>
  <c r="P377" i="1"/>
  <c r="P376" i="1"/>
  <c r="P156" i="1"/>
  <c r="P155" i="1"/>
  <c r="P179" i="1"/>
  <c r="P167" i="1"/>
  <c r="P144" i="1"/>
  <c r="P193" i="1"/>
  <c r="P143" i="1"/>
  <c r="P175" i="1"/>
  <c r="P163" i="1"/>
  <c r="P183" i="1"/>
  <c r="P171" i="1"/>
  <c r="V20" i="1"/>
  <c r="W20" i="1" s="1"/>
  <c r="O19" i="19"/>
  <c r="P19" i="19" s="1"/>
  <c r="N30" i="1"/>
  <c r="W30" i="1" s="1"/>
  <c r="N2553" i="19"/>
  <c r="O1720" i="19"/>
  <c r="O853" i="19"/>
  <c r="P853" i="19" s="1"/>
  <c r="O913" i="19"/>
  <c r="N2554" i="19"/>
  <c r="Q299" i="19"/>
  <c r="N2556" i="19"/>
  <c r="Q287" i="19"/>
  <c r="Q431" i="19"/>
  <c r="S305" i="19"/>
  <c r="O589" i="19"/>
  <c r="P589" i="19" s="1"/>
  <c r="S281" i="19"/>
  <c r="N2555" i="19"/>
  <c r="O69" i="19"/>
  <c r="P69" i="19" s="1"/>
  <c r="O1625" i="19"/>
  <c r="O117" i="19"/>
  <c r="P117" i="19" s="1"/>
  <c r="O2499" i="19"/>
  <c r="P2499" i="19" s="1"/>
  <c r="P2500" i="19" s="1"/>
  <c r="R1566" i="1" l="1"/>
  <c r="R1294" i="1"/>
  <c r="S1001" i="1"/>
  <c r="R850" i="1"/>
  <c r="Q1345" i="1"/>
  <c r="S850" i="1"/>
  <c r="T850" i="32" s="1"/>
  <c r="R964" i="1"/>
  <c r="S1294" i="1"/>
  <c r="T1294" i="19" s="1"/>
  <c r="S964" i="1"/>
  <c r="Q964" i="1"/>
  <c r="R1345" i="1"/>
  <c r="S1345" i="1"/>
  <c r="T1345" i="32" s="1"/>
  <c r="Q850" i="1"/>
  <c r="Q1294" i="1"/>
  <c r="P1804" i="1"/>
  <c r="Q1804" i="1" s="1"/>
  <c r="Q1730" i="1"/>
  <c r="S1390" i="1"/>
  <c r="T1390" i="32" s="1"/>
  <c r="Q1171" i="1"/>
  <c r="S1803" i="1"/>
  <c r="T1803" i="32" s="1"/>
  <c r="Y20" i="32"/>
  <c r="Y591" i="32"/>
  <c r="Y620" i="32"/>
  <c r="Y2398" i="32"/>
  <c r="Y1424" i="32"/>
  <c r="Y2177" i="32"/>
  <c r="Y588" i="32"/>
  <c r="Y1775" i="32"/>
  <c r="Y544" i="32"/>
  <c r="Y2450" i="32"/>
  <c r="Y1584" i="32"/>
  <c r="Y2149" i="32"/>
  <c r="Y639" i="32"/>
  <c r="Y1647" i="32"/>
  <c r="Y1026" i="32"/>
  <c r="Y1905" i="32"/>
  <c r="Y1212" i="32"/>
  <c r="Y1809" i="32"/>
  <c r="Y667" i="32"/>
  <c r="Y1045" i="32"/>
  <c r="T802" i="32"/>
  <c r="T1827" i="32"/>
  <c r="T1668" i="32"/>
  <c r="T1133" i="32"/>
  <c r="T1336" i="32"/>
  <c r="T1151" i="32"/>
  <c r="T1557" i="32"/>
  <c r="T1388" i="32"/>
  <c r="T106" i="32"/>
  <c r="T23" i="32"/>
  <c r="T76" i="32"/>
  <c r="T105" i="32"/>
  <c r="T70" i="32"/>
  <c r="T753" i="32"/>
  <c r="T926" i="32"/>
  <c r="T1035" i="32"/>
  <c r="T1709" i="32"/>
  <c r="T991" i="32"/>
  <c r="T793" i="32"/>
  <c r="T2249" i="32"/>
  <c r="T1049" i="32"/>
  <c r="T651" i="32"/>
  <c r="T55" i="32"/>
  <c r="Y1213" i="32"/>
  <c r="T312" i="32"/>
  <c r="T145" i="32"/>
  <c r="T801" i="32"/>
  <c r="T1170" i="32"/>
  <c r="T1477" i="32"/>
  <c r="Y2252" i="32"/>
  <c r="T1010" i="32"/>
  <c r="T870" i="32"/>
  <c r="T560" i="32"/>
  <c r="T687" i="32"/>
  <c r="T1096" i="32"/>
  <c r="T1371" i="32"/>
  <c r="T1676" i="32"/>
  <c r="T818" i="32"/>
  <c r="T953" i="32"/>
  <c r="T908" i="32"/>
  <c r="T1078" i="32"/>
  <c r="T1168" i="32"/>
  <c r="T1658" i="32"/>
  <c r="T49" i="32"/>
  <c r="T1307" i="32"/>
  <c r="T62" i="32"/>
  <c r="T68" i="32"/>
  <c r="T1152" i="32"/>
  <c r="T729" i="32"/>
  <c r="T1243" i="32"/>
  <c r="T1618" i="32"/>
  <c r="Y2287" i="32"/>
  <c r="T1195" i="32"/>
  <c r="T1240" i="32"/>
  <c r="T1118" i="32"/>
  <c r="T138" i="32"/>
  <c r="T226" i="32"/>
  <c r="T306" i="32"/>
  <c r="T285" i="32"/>
  <c r="Y945" i="32"/>
  <c r="T1083" i="32"/>
  <c r="Y1271" i="32"/>
  <c r="T2285" i="32"/>
  <c r="T215" i="32"/>
  <c r="Y1161" i="32"/>
  <c r="T20" i="32"/>
  <c r="T1326" i="32"/>
  <c r="T26" i="32"/>
  <c r="T1085" i="32"/>
  <c r="T1290" i="32"/>
  <c r="T1373" i="32"/>
  <c r="T1438" i="32"/>
  <c r="T201" i="32"/>
  <c r="T81" i="32"/>
  <c r="T892" i="32"/>
  <c r="T101" i="32"/>
  <c r="T2093" i="32"/>
  <c r="T24" i="32"/>
  <c r="T22" i="32"/>
  <c r="T558" i="32"/>
  <c r="T1536" i="32"/>
  <c r="Y1577" i="32"/>
  <c r="T1101" i="32"/>
  <c r="Y2116" i="32"/>
  <c r="T1291" i="32"/>
  <c r="T1603" i="32"/>
  <c r="T1267" i="32"/>
  <c r="T914" i="32"/>
  <c r="T1295" i="32"/>
  <c r="T935" i="32"/>
  <c r="T1604" i="32"/>
  <c r="T1014" i="32"/>
  <c r="T956" i="32"/>
  <c r="T1551" i="32"/>
  <c r="T37" i="32"/>
  <c r="T75" i="32"/>
  <c r="T747" i="32"/>
  <c r="T1457" i="32"/>
  <c r="T2207" i="32"/>
  <c r="Y2243" i="32"/>
  <c r="T1419" i="32"/>
  <c r="T807" i="32"/>
  <c r="T1201" i="32"/>
  <c r="T1543" i="32"/>
  <c r="T2098" i="32"/>
  <c r="T282" i="32"/>
  <c r="T266" i="32"/>
  <c r="T44" i="32"/>
  <c r="T148" i="32"/>
  <c r="T396" i="32"/>
  <c r="T1452" i="32"/>
  <c r="T1169" i="32"/>
  <c r="T1811" i="32"/>
  <c r="T251" i="32"/>
  <c r="T255" i="32"/>
  <c r="T54" i="32"/>
  <c r="Y2005" i="32"/>
  <c r="Y515" i="32"/>
  <c r="Y1588" i="32"/>
  <c r="Y2043" i="32"/>
  <c r="Y1838" i="32"/>
  <c r="Y2075" i="32"/>
  <c r="Y880" i="32"/>
  <c r="Y2408" i="32"/>
  <c r="Y1370" i="32"/>
  <c r="Y2099" i="32"/>
  <c r="Y2447" i="32"/>
  <c r="Y1066" i="32"/>
  <c r="Y2346" i="32"/>
  <c r="T1182" i="32"/>
  <c r="Y1549" i="32"/>
  <c r="Y2412" i="32"/>
  <c r="Y1578" i="32"/>
  <c r="Y1657" i="32"/>
  <c r="Y2173" i="32"/>
  <c r="Y2246" i="32"/>
  <c r="Y2041" i="32"/>
  <c r="Y1043" i="32"/>
  <c r="Y2449" i="32"/>
  <c r="Y1994" i="32"/>
  <c r="Y2330" i="32"/>
  <c r="Y1515" i="32"/>
  <c r="Y1099" i="32"/>
  <c r="Y1065" i="32"/>
  <c r="Y2454" i="32"/>
  <c r="Y2486" i="32"/>
  <c r="Y648" i="32"/>
  <c r="Y1826" i="32"/>
  <c r="Y2050" i="32"/>
  <c r="Y1963" i="32"/>
  <c r="Y1803" i="32"/>
  <c r="Y1730" i="32"/>
  <c r="Y1171" i="32"/>
  <c r="Y1771" i="32"/>
  <c r="Y2236" i="32"/>
  <c r="Y1687" i="32"/>
  <c r="Y886" i="32"/>
  <c r="Y1890" i="32"/>
  <c r="Y1753" i="32"/>
  <c r="Y1797" i="32"/>
  <c r="Y1117" i="32"/>
  <c r="Y1510" i="32"/>
  <c r="Y1744" i="32"/>
  <c r="Y2471" i="32"/>
  <c r="Y1262" i="32"/>
  <c r="Y1097" i="32"/>
  <c r="Y1390" i="32"/>
  <c r="Y830" i="32"/>
  <c r="Y2087" i="32"/>
  <c r="Y1602" i="32"/>
  <c r="T788" i="32"/>
  <c r="Y537" i="32"/>
  <c r="Y677" i="32"/>
  <c r="Y686" i="32"/>
  <c r="Y2444" i="32"/>
  <c r="Y1617" i="32"/>
  <c r="Y2379" i="32"/>
  <c r="Y1366" i="32"/>
  <c r="Y2054" i="32"/>
  <c r="Y1576" i="32"/>
  <c r="Y1630" i="32"/>
  <c r="Y1186" i="32"/>
  <c r="Y2427" i="32"/>
  <c r="Y2429" i="32"/>
  <c r="Y1728" i="32"/>
  <c r="Y1777" i="32"/>
  <c r="Y893" i="32"/>
  <c r="Y1798" i="32"/>
  <c r="Y688" i="32"/>
  <c r="Y1203" i="32"/>
  <c r="Y1789" i="32"/>
  <c r="T1595" i="32"/>
  <c r="T2455" i="32"/>
  <c r="T632" i="32"/>
  <c r="T1428" i="32"/>
  <c r="T1892" i="32"/>
  <c r="T980" i="32"/>
  <c r="T1765" i="32"/>
  <c r="T1662" i="32"/>
  <c r="T1333" i="32"/>
  <c r="T1112" i="32"/>
  <c r="T85" i="32"/>
  <c r="T109" i="32"/>
  <c r="T242" i="32"/>
  <c r="T1140" i="32"/>
  <c r="Y612" i="32"/>
  <c r="T1220" i="32"/>
  <c r="T279" i="32"/>
  <c r="T2403" i="32"/>
  <c r="T974" i="32"/>
  <c r="T1141" i="32"/>
  <c r="T1322" i="32"/>
  <c r="T1385" i="32"/>
  <c r="T1323" i="32"/>
  <c r="Y1575" i="32"/>
  <c r="T80" i="32"/>
  <c r="T250" i="32"/>
  <c r="T224" i="32"/>
  <c r="T741" i="32"/>
  <c r="T1256" i="32"/>
  <c r="T1627" i="32"/>
  <c r="T1880" i="32"/>
  <c r="Y2164" i="32"/>
  <c r="T630" i="32"/>
  <c r="T1896" i="32"/>
  <c r="T896" i="32"/>
  <c r="T1191" i="32"/>
  <c r="T1545" i="32"/>
  <c r="T640" i="32"/>
  <c r="T1467" i="32"/>
  <c r="T1772" i="32"/>
  <c r="T642" i="32"/>
  <c r="T1309" i="32"/>
  <c r="T164" i="32"/>
  <c r="T168" i="32"/>
  <c r="T348" i="32"/>
  <c r="Y2451" i="32"/>
  <c r="Y1236" i="32"/>
  <c r="Y1895" i="32"/>
  <c r="T1332" i="32"/>
  <c r="T963" i="32"/>
  <c r="T1217" i="32"/>
  <c r="T1815" i="32"/>
  <c r="T120" i="32"/>
  <c r="T2032" i="32"/>
  <c r="Y826" i="32"/>
  <c r="T56" i="32"/>
  <c r="Y2055" i="32"/>
  <c r="T360" i="32"/>
  <c r="Y562" i="32"/>
  <c r="Y1386" i="32"/>
  <c r="Y2342" i="32"/>
  <c r="T131" i="32"/>
  <c r="T223" i="32"/>
  <c r="Y2278" i="32"/>
  <c r="T1041" i="32"/>
  <c r="T1912" i="32"/>
  <c r="T112" i="32"/>
  <c r="Y2440" i="32"/>
  <c r="T111" i="32"/>
  <c r="T1664" i="32"/>
  <c r="T902" i="32"/>
  <c r="T31" i="32"/>
  <c r="T1469" i="32"/>
  <c r="T1207" i="32"/>
  <c r="T1437" i="32"/>
  <c r="T1759" i="32"/>
  <c r="T864" i="32"/>
  <c r="T2121" i="32"/>
  <c r="T559" i="32"/>
  <c r="T1081" i="32"/>
  <c r="T86" i="32"/>
  <c r="T216" i="32"/>
  <c r="T474" i="32"/>
  <c r="T28" i="32"/>
  <c r="T50" i="32"/>
  <c r="T923" i="32"/>
  <c r="T1296" i="32"/>
  <c r="T1115" i="32"/>
  <c r="T93" i="32"/>
  <c r="T1612" i="32"/>
  <c r="T522" i="32"/>
  <c r="T1654" i="32"/>
  <c r="T961" i="32"/>
  <c r="T1297" i="32"/>
  <c r="T1920" i="32"/>
  <c r="T1673" i="32"/>
  <c r="T2494" i="32"/>
  <c r="T53" i="32"/>
  <c r="T107" i="32"/>
  <c r="T723" i="32"/>
  <c r="T626" i="32"/>
  <c r="T1471" i="32"/>
  <c r="Y2230" i="32"/>
  <c r="T1562" i="32"/>
  <c r="T1021" i="32"/>
  <c r="Y2255" i="32"/>
  <c r="Y1723" i="32"/>
  <c r="Y547" i="32"/>
  <c r="Y2069" i="32"/>
  <c r="Y2153" i="32"/>
  <c r="Y2260" i="32"/>
  <c r="Y675" i="32"/>
  <c r="Y861" i="32"/>
  <c r="Y1550" i="32"/>
  <c r="Y1486" i="32"/>
  <c r="Y2160" i="32"/>
  <c r="Y600" i="32"/>
  <c r="Y2247" i="32"/>
  <c r="Y2067" i="32"/>
  <c r="Y2406" i="32"/>
  <c r="Y1636" i="32"/>
  <c r="Y1747" i="32"/>
  <c r="Y2144" i="32"/>
  <c r="Y1817" i="32"/>
  <c r="Y2009" i="32"/>
  <c r="Y2068" i="32"/>
  <c r="Y570" i="32"/>
  <c r="Y2272" i="32"/>
  <c r="Y1076" i="32"/>
  <c r="Y543" i="32"/>
  <c r="Y2282" i="32"/>
  <c r="Y1490" i="32"/>
  <c r="Y1063" i="32"/>
  <c r="Y859" i="32"/>
  <c r="Y1554" i="32"/>
  <c r="Y2364" i="32"/>
  <c r="Y2321" i="32"/>
  <c r="T790" i="32"/>
  <c r="Y2027" i="32"/>
  <c r="T810" i="32"/>
  <c r="Y1621" i="32"/>
  <c r="Y563" i="32"/>
  <c r="Y2189" i="32"/>
  <c r="Y2217" i="32"/>
  <c r="Y1935" i="32"/>
  <c r="Y2018" i="32"/>
  <c r="Y1995" i="32"/>
  <c r="Y2208" i="32"/>
  <c r="Y1253" i="32"/>
  <c r="Y1921" i="32"/>
  <c r="Y1847" i="32"/>
  <c r="Y2105" i="32"/>
  <c r="Y2492" i="32"/>
  <c r="Y1447" i="32"/>
  <c r="Y1499" i="32"/>
  <c r="Y1925" i="32"/>
  <c r="Y1957" i="32"/>
  <c r="Y2319" i="32"/>
  <c r="Y2306" i="32"/>
  <c r="Y1061" i="32"/>
  <c r="Y1002" i="32"/>
  <c r="Y1511" i="32"/>
  <c r="Y929" i="32"/>
  <c r="Y1756" i="32"/>
  <c r="T541" i="32"/>
  <c r="Y2020" i="32"/>
  <c r="Y622" i="32"/>
  <c r="Y1277" i="32"/>
  <c r="Y1999" i="32"/>
  <c r="Y2229" i="32"/>
  <c r="Y1474" i="32"/>
  <c r="Y2394" i="32"/>
  <c r="Y1244" i="32"/>
  <c r="Y946" i="32"/>
  <c r="Y1086" i="32"/>
  <c r="Y2097" i="32"/>
  <c r="Y1990" i="32"/>
  <c r="Y1792" i="32"/>
  <c r="Y988" i="32"/>
  <c r="Y556" i="32"/>
  <c r="Y2459" i="32"/>
  <c r="Y2095" i="32"/>
  <c r="Y1416" i="32"/>
  <c r="Y2357" i="32"/>
  <c r="T584" i="32"/>
  <c r="T1763" i="32"/>
  <c r="T2191" i="32"/>
  <c r="T1423" i="32"/>
  <c r="T907" i="32"/>
  <c r="T1432" i="32"/>
  <c r="T1299" i="32"/>
  <c r="T2470" i="32"/>
  <c r="T67" i="32"/>
  <c r="T194" i="32"/>
  <c r="T47" i="32"/>
  <c r="T1884" i="32"/>
  <c r="Y530" i="32"/>
  <c r="T1556" i="32"/>
  <c r="Y1172" i="32"/>
  <c r="T2431" i="32"/>
  <c r="T157" i="32"/>
  <c r="T2359" i="32"/>
  <c r="T130" i="32"/>
  <c r="T1413" i="32"/>
  <c r="T981" i="32"/>
  <c r="T1238" i="32"/>
  <c r="T1475" i="32"/>
  <c r="T33" i="32"/>
  <c r="T796" i="32"/>
  <c r="Y2119" i="32"/>
  <c r="T858" i="32"/>
  <c r="T705" i="32"/>
  <c r="T1524" i="32"/>
  <c r="T1051" i="32"/>
  <c r="Y1450" i="32"/>
  <c r="T1722" i="32"/>
  <c r="Y1799" i="32"/>
  <c r="T225" i="32"/>
  <c r="T1414" i="32"/>
  <c r="T102" i="32"/>
  <c r="T64" i="32"/>
  <c r="T1031" i="32"/>
  <c r="T1287" i="32"/>
  <c r="T958" i="32"/>
  <c r="T1553" i="32"/>
  <c r="T1932" i="32"/>
  <c r="T641" i="32"/>
  <c r="T883" i="32"/>
  <c r="T1338" i="32"/>
  <c r="T1491" i="32"/>
  <c r="Y516" i="32"/>
  <c r="T244" i="32"/>
  <c r="Y1411" i="32"/>
  <c r="T210" i="32"/>
  <c r="T96" i="32"/>
  <c r="T219" i="32"/>
  <c r="T232" i="32"/>
  <c r="T625" i="32"/>
  <c r="T1632" i="32"/>
  <c r="Y1767" i="32"/>
  <c r="T303" i="32"/>
  <c r="T1160" i="32"/>
  <c r="T692" i="32"/>
  <c r="T1054" i="32"/>
  <c r="T578" i="32"/>
  <c r="T2477" i="32"/>
  <c r="T65" i="32"/>
  <c r="T1181" i="32"/>
  <c r="Y1639" i="32"/>
  <c r="Y2483" i="32"/>
  <c r="T976" i="32"/>
  <c r="T1782" i="32"/>
  <c r="Y2424" i="32"/>
  <c r="T1379" i="32"/>
  <c r="T931" i="32"/>
  <c r="T884" i="32"/>
  <c r="T1175" i="32"/>
  <c r="T1535" i="32"/>
  <c r="T2008" i="32"/>
  <c r="T42" i="32"/>
  <c r="T121" i="32"/>
  <c r="T887" i="32"/>
  <c r="T590" i="32"/>
  <c r="T1442" i="32"/>
  <c r="T1533" i="32"/>
  <c r="T635" i="32"/>
  <c r="T833" i="32"/>
  <c r="T911" i="32"/>
  <c r="T1493" i="32"/>
  <c r="T1580" i="32"/>
  <c r="T110" i="32"/>
  <c r="T212" i="32"/>
  <c r="T1321" i="32"/>
  <c r="T1980" i="32"/>
  <c r="T256" i="32"/>
  <c r="T621" i="32"/>
  <c r="Y1418" i="32"/>
  <c r="T1697" i="32"/>
  <c r="Y2142" i="32"/>
  <c r="T1218" i="32"/>
  <c r="T863" i="32"/>
  <c r="T1353" i="32"/>
  <c r="T658" i="32"/>
  <c r="T1444" i="32"/>
  <c r="T2016" i="32"/>
  <c r="T2253" i="32"/>
  <c r="T94" i="32"/>
  <c r="T948" i="32"/>
  <c r="T252" i="32"/>
  <c r="T2147" i="32"/>
  <c r="T48" i="32"/>
  <c r="T881" i="32"/>
  <c r="T525" i="32"/>
  <c r="T1521" i="32"/>
  <c r="T1198" i="32"/>
  <c r="Y1883" i="32"/>
  <c r="Y1016" i="32"/>
  <c r="Y2101" i="32"/>
  <c r="Y2112" i="32"/>
  <c r="Y1717" i="32"/>
  <c r="Y2329" i="32"/>
  <c r="T1080" i="32"/>
  <c r="Y2376" i="32"/>
  <c r="Y1710" i="32"/>
  <c r="Y660" i="32"/>
  <c r="Y1492" i="32"/>
  <c r="Y1649" i="32"/>
  <c r="Y1039" i="32"/>
  <c r="Y1732" i="32"/>
  <c r="Y554" i="32"/>
  <c r="Y691" i="32"/>
  <c r="Y2120" i="32"/>
  <c r="Y2352" i="32"/>
  <c r="Y2409" i="32"/>
  <c r="Y2415" i="32"/>
  <c r="Y2389" i="32"/>
  <c r="Y1977" i="32"/>
  <c r="Y1735" i="32"/>
  <c r="Y2100" i="32"/>
  <c r="Y1547" i="32"/>
  <c r="Y2393" i="32"/>
  <c r="Y2308" i="32"/>
  <c r="Y1372" i="32"/>
  <c r="Y1308" i="32"/>
  <c r="Y614" i="32"/>
  <c r="Y1532" i="32"/>
  <c r="Y2159" i="32"/>
  <c r="Y1421" i="32"/>
  <c r="Y2466" i="32"/>
  <c r="Y1807" i="32"/>
  <c r="Y616" i="32"/>
  <c r="Y2297" i="32"/>
  <c r="Y2049" i="32"/>
  <c r="Y2302" i="32"/>
  <c r="Y1825" i="32"/>
  <c r="Y1953" i="32"/>
  <c r="Y1783" i="32"/>
  <c r="Y1794" i="32"/>
  <c r="Y2280" i="32"/>
  <c r="Y1808" i="32"/>
  <c r="Y1667" i="32"/>
  <c r="Y2270" i="32"/>
  <c r="Y2381" i="32"/>
  <c r="Y549" i="32"/>
  <c r="Y2096" i="32"/>
  <c r="Y572" i="32"/>
  <c r="Y1252" i="32"/>
  <c r="Y2439" i="32"/>
  <c r="Y2064" i="32"/>
  <c r="Y1776" i="32"/>
  <c r="Y2082" i="32"/>
  <c r="T782" i="32"/>
  <c r="Y758" i="32"/>
  <c r="Y722" i="32"/>
  <c r="Y897" i="32"/>
  <c r="Y1392" i="32"/>
  <c r="Y1885" i="32"/>
  <c r="Y1958" i="32"/>
  <c r="Y1760" i="32"/>
  <c r="Y806" i="32"/>
  <c r="Y1302" i="32"/>
  <c r="Y922" i="32"/>
  <c r="Y1482" i="32"/>
  <c r="Y2086" i="32"/>
  <c r="Y1873" i="32"/>
  <c r="Y1743" i="32"/>
  <c r="Y576" i="32"/>
  <c r="Y662" i="32"/>
  <c r="Y2118" i="32"/>
  <c r="Y2493" i="32"/>
  <c r="Y1107" i="32"/>
  <c r="T829" i="32"/>
  <c r="T1364" i="32"/>
  <c r="T1460" i="32"/>
  <c r="T1192" i="32"/>
  <c r="T1701" i="32"/>
  <c r="T2293" i="32"/>
  <c r="T637" i="32"/>
  <c r="T1087" i="32"/>
  <c r="T1183" i="32"/>
  <c r="T1368" i="32"/>
  <c r="T1158" i="32"/>
  <c r="T1446" i="32"/>
  <c r="T39" i="32"/>
  <c r="T208" i="32"/>
  <c r="T336" i="32"/>
  <c r="T1539" i="32"/>
  <c r="T213" i="32"/>
  <c r="Y2366" i="32"/>
  <c r="T1052" i="32"/>
  <c r="T1996" i="32"/>
  <c r="T1077" i="32"/>
  <c r="T1569" i="32"/>
  <c r="T873" i="32"/>
  <c r="T700" i="32"/>
  <c r="T868" i="32"/>
  <c r="T854" i="32"/>
  <c r="T1137" i="32"/>
  <c r="Y1703" i="32"/>
  <c r="Y1959" i="32"/>
  <c r="Y1257" i="32"/>
  <c r="T1301" i="32"/>
  <c r="T930" i="32"/>
  <c r="T835" i="32"/>
  <c r="T1124" i="32"/>
  <c r="T1453" i="32"/>
  <c r="T545" i="32"/>
  <c r="T1403" i="32"/>
  <c r="T1708" i="32"/>
  <c r="T571" i="32"/>
  <c r="T1012" i="32"/>
  <c r="T1226" i="32"/>
  <c r="T2000" i="32"/>
  <c r="T134" i="32"/>
  <c r="T84" i="32"/>
  <c r="T40" i="32"/>
  <c r="T555" i="32"/>
  <c r="T837" i="32"/>
  <c r="T997" i="32"/>
  <c r="T1352" i="32"/>
  <c r="T2495" i="32"/>
  <c r="T249" i="32"/>
  <c r="T1134" i="32"/>
  <c r="T51" i="32"/>
  <c r="T1153" i="32"/>
  <c r="T814" i="32"/>
  <c r="T1598" i="32"/>
  <c r="T2183" i="32"/>
  <c r="T1126" i="32"/>
  <c r="T240" i="32"/>
  <c r="T1445" i="32"/>
  <c r="T1506" i="32"/>
  <c r="T1540" i="32"/>
  <c r="T1613" i="32"/>
  <c r="T151" i="32"/>
  <c r="T1027" i="32"/>
  <c r="T1316" i="32"/>
  <c r="T955" i="32"/>
  <c r="T1470" i="32"/>
  <c r="T2331" i="32"/>
  <c r="T41" i="32"/>
  <c r="T1305" i="32"/>
  <c r="T1904" i="32"/>
  <c r="T248" i="32"/>
  <c r="Y1070" i="32"/>
  <c r="T1053" i="32"/>
  <c r="T1017" i="32"/>
  <c r="T1558" i="32"/>
  <c r="T1354" i="32"/>
  <c r="T2355" i="32"/>
  <c r="T1121" i="32"/>
  <c r="T1663" i="32"/>
  <c r="T685" i="32"/>
  <c r="T2485" i="32"/>
  <c r="T985" i="32"/>
  <c r="T1319" i="32"/>
  <c r="T218" i="32"/>
  <c r="T254" i="32"/>
  <c r="T108" i="32"/>
  <c r="T330" i="32"/>
  <c r="T587" i="32"/>
  <c r="T1629" i="32"/>
  <c r="Y941" i="32"/>
  <c r="T243" i="32"/>
  <c r="T1042" i="32"/>
  <c r="T1852" i="32"/>
  <c r="T2245" i="32"/>
  <c r="T1233" i="32"/>
  <c r="T1571" i="32"/>
  <c r="T836" i="32"/>
  <c r="T45" i="32"/>
  <c r="T98" i="32"/>
  <c r="T66" i="32"/>
  <c r="T624" i="32"/>
  <c r="Y580" i="32"/>
  <c r="T1672" i="32"/>
  <c r="T1131" i="32"/>
  <c r="T1768" i="32"/>
  <c r="T1011" i="32"/>
  <c r="T61" i="32"/>
  <c r="Y1973" i="32"/>
  <c r="Y2148" i="32"/>
  <c r="Y611" i="32"/>
  <c r="Y1119" i="32"/>
  <c r="Y2338" i="32"/>
  <c r="Y2037" i="32"/>
  <c r="Y1979" i="32"/>
  <c r="Y2030" i="32"/>
  <c r="Y1870" i="32"/>
  <c r="Y2276" i="32"/>
  <c r="Y1939" i="32"/>
  <c r="T1009" i="32"/>
  <c r="Y2349" i="32"/>
  <c r="Y636" i="32"/>
  <c r="Y2324" i="32"/>
  <c r="Y2452" i="32"/>
  <c r="Y2004" i="32"/>
  <c r="Y2318" i="32"/>
  <c r="Y2411" i="32"/>
  <c r="Y2146" i="32"/>
  <c r="Y975" i="32"/>
  <c r="Y1512" i="32"/>
  <c r="Y1071" i="32"/>
  <c r="Y2220" i="32"/>
  <c r="Y2457" i="32"/>
  <c r="Y1378" i="32"/>
  <c r="Y2377" i="32"/>
  <c r="Y1067" i="32"/>
  <c r="Y1108" i="32"/>
  <c r="Y1177" i="32"/>
  <c r="Y2059" i="32"/>
  <c r="Y1601" i="32"/>
  <c r="Y2491" i="32"/>
  <c r="Y1228" i="32"/>
  <c r="Y1867" i="32"/>
  <c r="Y1652" i="32"/>
  <c r="Y627" i="32"/>
  <c r="Y2066" i="32"/>
  <c r="Y1430" i="32"/>
  <c r="Y1985" i="32"/>
  <c r="Y2126" i="32"/>
  <c r="Y1655" i="32"/>
  <c r="Y2373" i="32"/>
  <c r="Y1881" i="32"/>
  <c r="Y2385" i="32"/>
  <c r="Y1317" i="32"/>
  <c r="Y581" i="32"/>
  <c r="Y1312" i="32"/>
  <c r="Y1680" i="32"/>
  <c r="Y1712" i="32"/>
  <c r="Y2128" i="32"/>
  <c r="Y2344" i="32"/>
  <c r="Y986" i="32"/>
  <c r="Y1125" i="32"/>
  <c r="Y1480" i="32"/>
  <c r="Y1072" i="32"/>
  <c r="Y2269" i="32"/>
  <c r="Y2074" i="32"/>
  <c r="Y2174" i="32"/>
  <c r="Y2301" i="32"/>
  <c r="Y1894" i="32"/>
  <c r="Y2022" i="32"/>
  <c r="Y1702" i="32"/>
  <c r="Y2296" i="32"/>
  <c r="Y1180" i="32"/>
  <c r="Y1638" i="32"/>
  <c r="Y1329" i="32"/>
  <c r="Y1766" i="32"/>
  <c r="Y2129" i="32"/>
  <c r="Y1150" i="32"/>
  <c r="Y1084" i="32"/>
  <c r="Y2033" i="32"/>
  <c r="Y1433" i="32"/>
  <c r="T520" i="32"/>
  <c r="T1699" i="32"/>
  <c r="T2487" i="32"/>
  <c r="T841" i="32"/>
  <c r="T1924" i="32"/>
  <c r="T882" i="32"/>
  <c r="T1365" i="32"/>
  <c r="T2053" i="32"/>
  <c r="T842" i="32"/>
  <c r="T1694" i="32"/>
  <c r="T1241" i="32"/>
  <c r="T1650" i="32"/>
  <c r="T372" i="32"/>
  <c r="Y548" i="32"/>
  <c r="T324" i="32"/>
  <c r="T1239" i="32"/>
  <c r="T180" i="32"/>
  <c r="T523" i="32"/>
  <c r="T1704" i="32"/>
  <c r="T1497" i="32"/>
  <c r="T29" i="32"/>
  <c r="T2323" i="32"/>
  <c r="T1174" i="32"/>
  <c r="T1417" i="32"/>
  <c r="T480" i="32"/>
  <c r="T63" i="32"/>
  <c r="T46" i="32"/>
  <c r="T97" i="32"/>
  <c r="T342" i="32"/>
  <c r="T717" i="32"/>
  <c r="T1202" i="32"/>
  <c r="Y1927" i="32"/>
  <c r="T291" i="32"/>
  <c r="Y2262" i="32"/>
  <c r="T1597" i="32"/>
  <c r="T992" i="32"/>
  <c r="T972" i="32"/>
  <c r="T938" i="32"/>
  <c r="T1060" i="32"/>
  <c r="T1223" i="32"/>
  <c r="T1574" i="32"/>
  <c r="T848" i="32"/>
  <c r="T1495" i="32"/>
  <c r="T1868" i="32"/>
  <c r="T798" i="32"/>
  <c r="T1520" i="32"/>
  <c r="T203" i="32"/>
  <c r="T2203" i="32"/>
  <c r="T1222" i="32"/>
  <c r="Y1328" i="32"/>
  <c r="T1633" i="32"/>
  <c r="T1209" i="32"/>
  <c r="T932" i="32"/>
  <c r="T1281" i="32"/>
  <c r="T514" i="32"/>
  <c r="T498" i="32"/>
  <c r="T735" i="32"/>
  <c r="T1147" i="32"/>
  <c r="T1320" i="32"/>
  <c r="T1013" i="32"/>
  <c r="T221" i="32"/>
  <c r="T2044" i="32"/>
  <c r="T186" i="32"/>
  <c r="T1944" i="32"/>
  <c r="T696" i="32"/>
  <c r="T246" i="32"/>
  <c r="T529" i="32"/>
  <c r="T1683" i="32"/>
  <c r="T103" i="32"/>
  <c r="T1069" i="32"/>
  <c r="T962" i="32"/>
  <c r="T1542" i="32"/>
  <c r="T2425" i="32"/>
  <c r="T1264" i="32"/>
  <c r="T1791" i="32"/>
  <c r="T1752" i="32"/>
  <c r="T894" i="32"/>
  <c r="T2195" i="32"/>
  <c r="T654" i="32"/>
  <c r="T1109" i="32"/>
  <c r="T1347" i="32"/>
  <c r="T73" i="32"/>
  <c r="T128" i="32"/>
  <c r="T253" i="32"/>
  <c r="T1199" i="32"/>
  <c r="T1407" i="32"/>
  <c r="T1864" i="32"/>
  <c r="T852" i="32"/>
  <c r="T1111" i="32"/>
  <c r="T906" i="32"/>
  <c r="T1693" i="32"/>
  <c r="T990" i="32"/>
  <c r="T1476" i="32"/>
  <c r="T1952" i="32"/>
  <c r="T1705" i="32"/>
  <c r="T241" i="32"/>
  <c r="T1727" i="32"/>
  <c r="Y2167" i="32"/>
  <c r="T38" i="32"/>
  <c r="T1229" i="32"/>
  <c r="T771" i="32"/>
  <c r="T1092" i="32"/>
  <c r="T1527" i="32"/>
  <c r="T297" i="32"/>
  <c r="T1696" i="32"/>
  <c r="T803" i="32"/>
  <c r="Y649" i="32"/>
  <c r="Y1915" i="32"/>
  <c r="Y2464" i="32"/>
  <c r="Y2283" i="32"/>
  <c r="Y1806" i="32"/>
  <c r="Y534" i="32"/>
  <c r="Y2181" i="32"/>
  <c r="Y2426" i="32"/>
  <c r="Y1178" i="32"/>
  <c r="Y1749" i="32"/>
  <c r="Y2094" i="32"/>
  <c r="Y2035" i="32"/>
  <c r="Y2157" i="32"/>
  <c r="Y1075" i="32"/>
  <c r="Y1434" i="32"/>
  <c r="Y2479" i="32"/>
  <c r="Y1779" i="32"/>
  <c r="Y2374" i="32"/>
  <c r="Y968" i="32"/>
  <c r="Y1518" i="32"/>
  <c r="Y2475" i="32"/>
  <c r="Y936" i="32"/>
  <c r="Y2258" i="32"/>
  <c r="Y672" i="32"/>
  <c r="Y1129" i="32"/>
  <c r="Y2333" i="32"/>
  <c r="T1443" i="32"/>
  <c r="Y1389" i="32"/>
  <c r="Y2422" i="32"/>
  <c r="Y1194" i="32"/>
  <c r="Y1780" i="32"/>
  <c r="Y1666" i="32"/>
  <c r="Y2090" i="32"/>
  <c r="T1473" i="32"/>
  <c r="Y2123" i="32"/>
  <c r="Y1624" i="32"/>
  <c r="Y564" i="32"/>
  <c r="Y2156" i="32"/>
  <c r="Y2380" i="32"/>
  <c r="Y2499" i="32"/>
  <c r="Y2402" i="32"/>
  <c r="Y827" i="32"/>
  <c r="Y1648" i="32"/>
  <c r="Y925" i="32"/>
  <c r="Y1628" i="32"/>
  <c r="Y828" i="32"/>
  <c r="Y1032" i="32"/>
  <c r="Y1422" i="32"/>
  <c r="Y1857" i="32"/>
  <c r="Y707" i="32"/>
  <c r="Y30" i="32"/>
  <c r="Y275" i="32"/>
  <c r="Y2162" i="32"/>
  <c r="Y683" i="32"/>
  <c r="Y2418" i="32"/>
  <c r="Y512" i="32"/>
  <c r="Y1679" i="32"/>
  <c r="Y2401" i="32"/>
  <c r="Y1734" i="32"/>
  <c r="Y1148" i="32"/>
  <c r="Y1903" i="32"/>
  <c r="Y1745" i="32"/>
  <c r="Y1456" i="32"/>
  <c r="Y2031" i="32"/>
  <c r="Y2284" i="32"/>
  <c r="Y1504" i="32"/>
  <c r="Y1120" i="32"/>
  <c r="Y2187" i="32"/>
  <c r="Y1661" i="32"/>
  <c r="T647" i="32"/>
  <c r="T1795" i="32"/>
  <c r="T1608" i="32"/>
  <c r="T1481" i="32"/>
  <c r="T2078" i="32"/>
  <c r="T1522" i="32"/>
  <c r="Y676" i="32"/>
  <c r="Y1068" i="32"/>
  <c r="T176" i="32"/>
  <c r="T92" i="32"/>
  <c r="T593" i="32"/>
  <c r="T813" i="32"/>
  <c r="T1324" i="32"/>
  <c r="T1872" i="32"/>
  <c r="Y1863" i="32"/>
  <c r="T2498" i="32"/>
  <c r="T114" i="32"/>
  <c r="T1005" i="32"/>
  <c r="T1019" i="32"/>
  <c r="T1505" i="32"/>
  <c r="T1642" i="32"/>
  <c r="T160" i="32"/>
  <c r="T137" i="32"/>
  <c r="T378" i="32"/>
  <c r="T698" i="32"/>
  <c r="T1318" i="32"/>
  <c r="T1047" i="32"/>
  <c r="T1514" i="32"/>
  <c r="T528" i="32"/>
  <c r="T623" i="32"/>
  <c r="T1327" i="32"/>
  <c r="T1342" i="32"/>
  <c r="T1615" i="32"/>
  <c r="T789" i="32"/>
  <c r="T122" i="32"/>
  <c r="T220" i="32"/>
  <c r="T204" i="32"/>
  <c r="Y862" i="32"/>
  <c r="T79" i="32"/>
  <c r="T57" i="32"/>
  <c r="T939" i="32"/>
  <c r="T526" i="32"/>
  <c r="T792" i="32"/>
  <c r="T1073" i="32"/>
  <c r="T1001" i="32"/>
  <c r="T1773" i="32"/>
  <c r="T205" i="32"/>
  <c r="T1448" i="32"/>
  <c r="T1090" i="32"/>
  <c r="T1589" i="32"/>
  <c r="T104" i="32"/>
  <c r="T1665" i="32"/>
  <c r="T116" i="32"/>
  <c r="T2478" i="32"/>
  <c r="T426" i="32"/>
  <c r="T1381" i="32"/>
  <c r="T1785" i="32"/>
  <c r="T87" i="32"/>
  <c r="T95" i="32"/>
  <c r="T1122" i="32"/>
  <c r="T139" i="32"/>
  <c r="T960" i="32"/>
  <c r="T1232" i="32"/>
  <c r="T1498" i="32"/>
  <c r="T652" i="32"/>
  <c r="T1380" i="32"/>
  <c r="T1564" i="32"/>
  <c r="T2040" i="32"/>
  <c r="T197" i="32"/>
  <c r="T366" i="32"/>
  <c r="T245" i="32"/>
  <c r="T239" i="32"/>
  <c r="T1116" i="32"/>
  <c r="T1237" i="32"/>
  <c r="T1561" i="32"/>
  <c r="T1570" i="32"/>
  <c r="T885" i="32"/>
  <c r="T1234" i="32"/>
  <c r="T924" i="32"/>
  <c r="T1260" i="32"/>
  <c r="T1523" i="32"/>
  <c r="T206" i="32"/>
  <c r="T200" i="32"/>
  <c r="T132" i="32"/>
  <c r="Y2480" i="32"/>
  <c r="T288" i="32"/>
  <c r="T759" i="32"/>
  <c r="T2472" i="32"/>
  <c r="T1391" i="32"/>
  <c r="T1587" i="32"/>
  <c r="T684" i="32"/>
  <c r="T1706" i="32"/>
  <c r="T21" i="32"/>
  <c r="Y2001" i="32"/>
  <c r="T113" i="32"/>
  <c r="T300" i="32"/>
  <c r="T1179" i="32"/>
  <c r="Y1611" i="32"/>
  <c r="T2171" i="32"/>
  <c r="T920" i="32"/>
  <c r="T1022" i="32"/>
  <c r="T1593" i="32"/>
  <c r="Y2107" i="32"/>
  <c r="Y2011" i="32"/>
  <c r="Y1502" i="32"/>
  <c r="Y551" i="32"/>
  <c r="Y1813" i="32"/>
  <c r="Y1902" i="32"/>
  <c r="Y2209" i="32"/>
  <c r="Y1774" i="32"/>
  <c r="Y2458" i="32"/>
  <c r="Y2062" i="32"/>
  <c r="Y1466" i="32"/>
  <c r="Y2254" i="32"/>
  <c r="Y2322" i="32"/>
  <c r="Y1059" i="32"/>
  <c r="Y1971" i="32"/>
  <c r="Y586" i="32"/>
  <c r="Y2295" i="32"/>
  <c r="Y1596" i="32"/>
  <c r="Y656" i="32"/>
  <c r="Y999" i="32"/>
  <c r="Y1029" i="32"/>
  <c r="Y2161" i="32"/>
  <c r="Y2300" i="32"/>
  <c r="Y1770" i="32"/>
  <c r="Y2152" i="32"/>
  <c r="Y1537" i="32"/>
  <c r="Y1334" i="32"/>
  <c r="Y1555" i="32"/>
  <c r="Y638" i="32"/>
  <c r="Y1127" i="32"/>
  <c r="Y2353" i="32"/>
  <c r="Y634" i="32"/>
  <c r="Y1401" i="32"/>
  <c r="Y1001" i="32"/>
  <c r="Y1503" i="32"/>
  <c r="Y2396" i="32"/>
  <c r="Y1487" i="32"/>
  <c r="Y1889" i="32"/>
  <c r="Y2206" i="32"/>
  <c r="Y1037" i="32"/>
  <c r="Y657" i="32"/>
  <c r="Y1258" i="32"/>
  <c r="Y2332" i="32"/>
  <c r="Y949" i="32"/>
  <c r="Y850" i="32"/>
  <c r="Y1528" i="32"/>
  <c r="Y1345" i="32"/>
  <c r="Y2179" i="32"/>
  <c r="Y1331" i="32"/>
  <c r="Y1216" i="32"/>
  <c r="Y2085" i="32"/>
  <c r="Y2190" i="32"/>
  <c r="Y964" i="32"/>
  <c r="Y1284" i="32"/>
  <c r="Y2436" i="32"/>
  <c r="Y1294" i="32"/>
  <c r="Y1036" i="32"/>
  <c r="Y1861" i="32"/>
  <c r="Y1566" i="32"/>
  <c r="Y2315" i="32"/>
  <c r="Y2204" i="32"/>
  <c r="Y1056" i="32"/>
  <c r="Y619" i="32"/>
  <c r="Y1841" i="32"/>
  <c r="Y2065" i="32"/>
  <c r="Y1926" i="32"/>
  <c r="Y524" i="32"/>
  <c r="Y1871" i="32"/>
  <c r="Y1269" i="32"/>
  <c r="Y1398" i="32"/>
  <c r="Y1830" i="32"/>
  <c r="Y1357" i="32"/>
  <c r="Y608" i="32"/>
  <c r="Y2224" i="32"/>
  <c r="Y1135" i="32"/>
  <c r="T888" i="32"/>
  <c r="T2375" i="32"/>
  <c r="T569" i="32"/>
  <c r="T1396" i="32"/>
  <c r="T812" i="32"/>
  <c r="T1733" i="32"/>
  <c r="T2165" i="32"/>
  <c r="T1631" i="32"/>
  <c r="T2474" i="32"/>
  <c r="T665" i="32"/>
  <c r="T1215" i="32"/>
  <c r="T154" i="32"/>
  <c r="T140" i="32"/>
  <c r="T678" i="32"/>
  <c r="T1620" i="32"/>
  <c r="T1623" i="32"/>
  <c r="Y2192" i="32"/>
  <c r="T211" i="32"/>
  <c r="T567" i="32"/>
  <c r="T1355" i="32"/>
  <c r="T2028" i="32"/>
  <c r="T1113" i="32"/>
  <c r="T1358" i="32"/>
  <c r="T214" i="32"/>
  <c r="T354" i="32"/>
  <c r="T1916" i="32"/>
  <c r="T187" i="32"/>
  <c r="T52" i="32"/>
  <c r="T1098" i="32"/>
  <c r="T967" i="32"/>
  <c r="T1064" i="32"/>
  <c r="Y1204" i="32"/>
  <c r="T1755" i="32"/>
  <c r="T2211" i="32"/>
  <c r="T318" i="32"/>
  <c r="T865" i="32"/>
  <c r="T1159" i="32"/>
  <c r="T1363" i="32"/>
  <c r="T1517" i="32"/>
  <c r="T577" i="32"/>
  <c r="T1435" i="32"/>
  <c r="T1740" i="32"/>
  <c r="T603" i="32"/>
  <c r="T1541" i="32"/>
  <c r="T954" i="32"/>
  <c r="T71" i="32"/>
  <c r="Y594" i="32"/>
  <c r="T1143" i="32"/>
  <c r="T1572" i="32"/>
  <c r="T1908" i="32"/>
  <c r="Y2052" i="32"/>
  <c r="T2443" i="32"/>
  <c r="T2497" i="32"/>
  <c r="T693" i="32"/>
  <c r="T1314" i="32"/>
  <c r="T1185" i="32"/>
  <c r="T1313" i="32"/>
  <c r="T843" i="32"/>
  <c r="T1719" i="32"/>
  <c r="T188" i="32"/>
  <c r="T100" i="32"/>
  <c r="T129" i="32"/>
  <c r="T816" i="32"/>
  <c r="T141" i="32"/>
  <c r="T1057" i="32"/>
  <c r="T1344" i="32"/>
  <c r="T983" i="32"/>
  <c r="T142" i="32"/>
  <c r="T82" i="32"/>
  <c r="T59" i="32"/>
  <c r="T912" i="32"/>
  <c r="T1436" i="32"/>
  <c r="T1582" i="32"/>
  <c r="T1106" i="32"/>
  <c r="T1360" i="32"/>
  <c r="T133" i="32"/>
  <c r="T1270" i="32"/>
  <c r="T1003" i="32"/>
  <c r="T1384" i="32"/>
  <c r="T1149" i="32"/>
  <c r="T1405" i="32"/>
  <c r="T1695" i="32"/>
  <c r="T839" i="32"/>
  <c r="T1606" i="32"/>
  <c r="T1015" i="32"/>
  <c r="T1607" i="32"/>
  <c r="Y1132" i="32"/>
  <c r="T940" i="32"/>
  <c r="T1285" i="32"/>
  <c r="T58" i="32"/>
  <c r="T1936" i="32"/>
  <c r="T185" i="32"/>
  <c r="T2317" i="32"/>
  <c r="T711" i="32"/>
  <c r="T1164" i="32"/>
  <c r="T1835" i="32"/>
  <c r="T119" i="32"/>
  <c r="T247" i="32"/>
  <c r="T1468" i="32"/>
  <c r="T845" i="32"/>
  <c r="T276" i="32"/>
  <c r="T795" i="32"/>
  <c r="T1265" i="32"/>
  <c r="T1599" i="32"/>
  <c r="T1641" i="32"/>
  <c r="T2327" i="32"/>
  <c r="T1395" i="32"/>
  <c r="T222" i="32"/>
  <c r="T209" i="32"/>
  <c r="T261" i="32"/>
  <c r="T492" i="32"/>
  <c r="T702" i="32"/>
  <c r="T987" i="32"/>
  <c r="T1415" i="32"/>
  <c r="T1351" i="32"/>
  <c r="T1501" i="32"/>
  <c r="T402" i="32"/>
  <c r="T1508" i="32"/>
  <c r="Y1046" i="32"/>
  <c r="Y2182" i="32"/>
  <c r="Y579" i="32"/>
  <c r="Y2080" i="32"/>
  <c r="Y1845" i="32"/>
  <c r="Y1851" i="32"/>
  <c r="Y1877" i="32"/>
  <c r="Y566" i="32"/>
  <c r="Y1559" i="32"/>
  <c r="Y1934" i="32"/>
  <c r="Y2237" i="32"/>
  <c r="Y1616" i="32"/>
  <c r="Y2309" i="32"/>
  <c r="Y2168" i="32"/>
  <c r="Y1586" i="32"/>
  <c r="T1494" i="32"/>
  <c r="Y1843" i="32"/>
  <c r="Y1828" i="32"/>
  <c r="Y815" i="32"/>
  <c r="Y1764" i="32"/>
  <c r="Y2176" i="32"/>
  <c r="Y2150" i="32"/>
  <c r="Y1849" i="32"/>
  <c r="Y1991" i="32"/>
  <c r="Y1945" i="32"/>
  <c r="Y2312" i="32"/>
  <c r="Y2196" i="32"/>
  <c r="Y1093" i="32"/>
  <c r="Y1478" i="32"/>
  <c r="Y607" i="32"/>
  <c r="Y1055" i="32"/>
  <c r="Y1800" i="32"/>
  <c r="Y2305" i="32"/>
  <c r="Y2291" i="32"/>
  <c r="Y1922" i="32"/>
  <c r="Y1986" i="32"/>
  <c r="Y1899" i="32"/>
  <c r="Y1812" i="32"/>
  <c r="Y1635" i="32"/>
  <c r="Y1534" i="32"/>
  <c r="Y2226" i="32"/>
  <c r="Y2113" i="32"/>
  <c r="Y1998" i="32"/>
  <c r="Y596" i="32"/>
  <c r="Y1913" i="32"/>
  <c r="Y21" i="32"/>
  <c r="Y1105" i="32"/>
  <c r="Y1280" i="32"/>
  <c r="Y1348" i="32"/>
  <c r="Y1893" i="32"/>
  <c r="Y2115" i="32"/>
  <c r="Y2202" i="32"/>
  <c r="Y1656" i="32"/>
  <c r="Y1878" i="32"/>
  <c r="Y1724" i="32"/>
  <c r="Y1507" i="32"/>
  <c r="Y527" i="32"/>
  <c r="Y2339" i="32"/>
  <c r="Y2234" i="32"/>
  <c r="Y913" i="32"/>
  <c r="Y1967" i="32"/>
  <c r="Y633" i="32"/>
  <c r="Y2274" i="32"/>
  <c r="Y1711" i="32"/>
  <c r="Y565" i="32"/>
  <c r="Y2127" i="32"/>
  <c r="Y973" i="32"/>
  <c r="Y2482" i="32"/>
  <c r="Y2200" i="32"/>
  <c r="Y1330" i="32"/>
  <c r="Y1670" i="32"/>
  <c r="Y1937" i="32"/>
  <c r="Y1610" i="32"/>
  <c r="T552" i="32"/>
  <c r="T1731" i="32"/>
  <c r="T889" i="32"/>
  <c r="T1546" i="32"/>
  <c r="T952" i="32"/>
  <c r="T875" i="32"/>
  <c r="T1726" i="32"/>
  <c r="T2221" i="32"/>
  <c r="T574" i="32"/>
  <c r="T1400" i="32"/>
  <c r="T1746" i="32"/>
  <c r="T1788" i="32"/>
  <c r="T36" i="32"/>
  <c r="T217" i="32"/>
  <c r="T794" i="32"/>
  <c r="T959" i="32"/>
  <c r="Y2326" i="32"/>
  <c r="T1227" i="32"/>
  <c r="T1568" i="32"/>
  <c r="T597" i="32"/>
  <c r="T60" i="32"/>
  <c r="T2488" i="32"/>
  <c r="T921" i="32"/>
  <c r="T1206" i="32"/>
  <c r="T83" i="32"/>
  <c r="T2281" i="32"/>
  <c r="T432" i="32"/>
  <c r="T557" i="32"/>
  <c r="Y1300" i="32"/>
  <c r="T1876" i="32"/>
  <c r="T2139" i="32"/>
  <c r="T99" i="32"/>
  <c r="T1058" i="32"/>
  <c r="T804" i="32"/>
  <c r="T971" i="32"/>
  <c r="T1255" i="32"/>
  <c r="T1707" i="32"/>
  <c r="T905" i="32"/>
  <c r="T1525" i="32"/>
  <c r="T1900" i="32"/>
  <c r="T849" i="32"/>
  <c r="T982" i="32"/>
  <c r="T1050" i="32"/>
  <c r="T1367" i="32"/>
  <c r="T90" i="32"/>
  <c r="T172" i="32"/>
  <c r="T124" i="32"/>
  <c r="Y799" i="32"/>
  <c r="T966" i="32"/>
  <c r="Y2213" i="32"/>
  <c r="T115" i="32"/>
  <c r="T207" i="32"/>
  <c r="T1530" i="32"/>
  <c r="T994" i="32"/>
  <c r="T546" i="32"/>
  <c r="T2383" i="32"/>
  <c r="T2347" i="32"/>
  <c r="T238" i="32"/>
  <c r="T890" i="32"/>
  <c r="T1283" i="32"/>
  <c r="T1489" i="32"/>
  <c r="T1094" i="32"/>
  <c r="T1686" i="32"/>
  <c r="T1275" i="32"/>
  <c r="T915" i="32"/>
  <c r="T838" i="32"/>
  <c r="T666" i="32"/>
  <c r="T989" i="32"/>
  <c r="T1259" i="32"/>
  <c r="T1976" i="32"/>
  <c r="T2257" i="32"/>
  <c r="T1634" i="32"/>
  <c r="T27" i="32"/>
  <c r="T2012" i="32"/>
  <c r="T294" i="32"/>
  <c r="T689" i="32"/>
  <c r="T1449" i="32"/>
  <c r="T1819" i="32"/>
  <c r="T227" i="32"/>
  <c r="T1315" i="32"/>
  <c r="T1062" i="32"/>
  <c r="T1154" i="32"/>
  <c r="T2489" i="32"/>
  <c r="T791" i="32"/>
  <c r="T1823" i="32"/>
  <c r="T917" i="32"/>
  <c r="T1737" i="32"/>
  <c r="T846" i="32"/>
  <c r="T1079" i="32"/>
  <c r="T573" i="32"/>
  <c r="T2155" i="32"/>
  <c r="Y643" i="32"/>
  <c r="T32" i="32"/>
  <c r="T1343" i="32"/>
  <c r="T1718" i="32"/>
  <c r="T1928" i="32"/>
  <c r="T1088" i="32"/>
  <c r="T1211" i="32"/>
  <c r="T1725" i="32"/>
  <c r="T628" i="32"/>
  <c r="T1020" i="32"/>
  <c r="T1387" i="32"/>
  <c r="T25" i="32"/>
  <c r="Y2023" i="32"/>
  <c r="Y1969" i="32"/>
  <c r="T561" i="32"/>
  <c r="T899" i="32"/>
  <c r="Y1193" i="32"/>
  <c r="Y2294" i="32"/>
  <c r="T533" i="32"/>
  <c r="T1429" i="32"/>
  <c r="Y2180" i="32"/>
  <c r="Y1485" i="32"/>
  <c r="Y2378" i="32"/>
  <c r="Y659" i="32"/>
  <c r="Y1742" i="32"/>
  <c r="Y2372" i="32"/>
  <c r="Y1472" i="32"/>
  <c r="Y1787" i="32"/>
  <c r="Y856" i="32"/>
  <c r="Y1659" i="32"/>
  <c r="Y1909" i="32"/>
  <c r="Y853" i="32"/>
  <c r="Y1947" i="32"/>
  <c r="Y1966" i="32"/>
  <c r="Y1007" i="32"/>
  <c r="Y2397" i="32"/>
  <c r="Y2368" i="32"/>
  <c r="Y2084" i="32"/>
  <c r="Y1875" i="32"/>
  <c r="Y2003" i="32"/>
  <c r="Y631" i="32"/>
  <c r="Y536" i="32"/>
  <c r="Y2250" i="32"/>
  <c r="Y664" i="32"/>
  <c r="Y1488" i="32"/>
  <c r="Y2223" i="32"/>
  <c r="Y518" i="32"/>
  <c r="Y1128" i="32"/>
  <c r="Y2056" i="32"/>
  <c r="Y1048" i="32"/>
  <c r="Y1483" i="32"/>
  <c r="Y1359" i="32"/>
  <c r="Y1397" i="32"/>
  <c r="Y1462" i="32"/>
  <c r="Y1594" i="32"/>
  <c r="Y605" i="32"/>
  <c r="Y1832" i="32"/>
  <c r="Y1362" i="32"/>
  <c r="Y1173" i="32"/>
  <c r="Y1509" i="32"/>
  <c r="Y1748" i="32"/>
  <c r="Y1954" i="32"/>
  <c r="Y531" i="32"/>
  <c r="Y2186" i="32"/>
  <c r="Y1698" i="32"/>
  <c r="Y1643" i="32"/>
  <c r="Y1858" i="32"/>
  <c r="Y1762" i="32"/>
  <c r="Y2304" i="32"/>
  <c r="Y2417" i="32"/>
  <c r="Y2081" i="32"/>
  <c r="Y1563" i="32"/>
  <c r="Y977" i="32"/>
  <c r="Y2264" i="32"/>
  <c r="Y2405" i="32"/>
  <c r="Y2185" i="32"/>
  <c r="Y1406" i="32"/>
  <c r="Y1840" i="32"/>
  <c r="Y1250" i="32"/>
  <c r="Y1248" i="32"/>
  <c r="Y1538" i="32"/>
  <c r="Y582" i="32"/>
  <c r="Y2141" i="32"/>
  <c r="Y1166" i="32"/>
  <c r="Y2356" i="32"/>
  <c r="Y1230" i="32"/>
  <c r="Y1625" i="32"/>
  <c r="Y2240" i="32"/>
  <c r="Y1622" i="32"/>
  <c r="Y511" i="32"/>
  <c r="S1628" i="1"/>
  <c r="Y2285" i="32"/>
  <c r="Y2285" i="19"/>
  <c r="Y2020" i="31"/>
  <c r="Y622" i="31"/>
  <c r="Y1277" i="31"/>
  <c r="Y1999" i="31"/>
  <c r="Y2229" i="31"/>
  <c r="Y1474" i="31"/>
  <c r="Y2394" i="31"/>
  <c r="Y1244" i="31"/>
  <c r="Y946" i="31"/>
  <c r="Y1086" i="31"/>
  <c r="Y2097" i="31"/>
  <c r="Y1990" i="31"/>
  <c r="Y1792" i="31"/>
  <c r="Y988" i="31"/>
  <c r="Y556" i="31"/>
  <c r="Y2459" i="31"/>
  <c r="Y2095" i="31"/>
  <c r="Y1416" i="31"/>
  <c r="Y2357" i="31"/>
  <c r="T584" i="31"/>
  <c r="T1763" i="31"/>
  <c r="T2191" i="31"/>
  <c r="T1423" i="31"/>
  <c r="T907" i="31"/>
  <c r="T1432" i="31"/>
  <c r="T1299" i="31"/>
  <c r="T2470" i="31"/>
  <c r="T67" i="31"/>
  <c r="T194" i="31"/>
  <c r="T47" i="31"/>
  <c r="T1884" i="31"/>
  <c r="Y530" i="31"/>
  <c r="T1556" i="31"/>
  <c r="Y1172" i="31"/>
  <c r="T2431" i="31"/>
  <c r="T157" i="31"/>
  <c r="T2359" i="31"/>
  <c r="T130" i="31"/>
  <c r="T1413" i="31"/>
  <c r="T981" i="31"/>
  <c r="T1238" i="31"/>
  <c r="T1475" i="31"/>
  <c r="T33" i="31"/>
  <c r="T796" i="31"/>
  <c r="Y2119" i="31"/>
  <c r="T858" i="31"/>
  <c r="T705" i="31"/>
  <c r="T1524" i="31"/>
  <c r="T1051" i="31"/>
  <c r="Y1450" i="31"/>
  <c r="T1722" i="31"/>
  <c r="Y1799" i="31"/>
  <c r="T225" i="31"/>
  <c r="T1414" i="31"/>
  <c r="T102" i="31"/>
  <c r="T64" i="31"/>
  <c r="T1031" i="31"/>
  <c r="T1287" i="31"/>
  <c r="T958" i="31"/>
  <c r="T1553" i="31"/>
  <c r="T1932" i="31"/>
  <c r="T641" i="31"/>
  <c r="T883" i="31"/>
  <c r="T1338" i="31"/>
  <c r="T1491" i="31"/>
  <c r="Y516" i="31"/>
  <c r="T244" i="31"/>
  <c r="Y1411" i="31"/>
  <c r="T210" i="31"/>
  <c r="T96" i="31"/>
  <c r="T219" i="31"/>
  <c r="T232" i="31"/>
  <c r="T625" i="31"/>
  <c r="T1632" i="31"/>
  <c r="Y1767" i="31"/>
  <c r="T303" i="31"/>
  <c r="T1160" i="31"/>
  <c r="T692" i="31"/>
  <c r="T1054" i="31"/>
  <c r="T578" i="31"/>
  <c r="T2477" i="31"/>
  <c r="T65" i="31"/>
  <c r="T1181" i="31"/>
  <c r="Y1639" i="31"/>
  <c r="Y2483" i="31"/>
  <c r="T976" i="31"/>
  <c r="T1782" i="31"/>
  <c r="Y2424" i="31"/>
  <c r="T1379" i="31"/>
  <c r="T931" i="31"/>
  <c r="T884" i="31"/>
  <c r="T1175" i="31"/>
  <c r="T1535" i="31"/>
  <c r="T2008" i="31"/>
  <c r="T112" i="31"/>
  <c r="Y2440" i="31"/>
  <c r="T111" i="31"/>
  <c r="T1664" i="31"/>
  <c r="T902" i="31"/>
  <c r="T31" i="31"/>
  <c r="T1469" i="31"/>
  <c r="T1207" i="31"/>
  <c r="T1437" i="31"/>
  <c r="T1759" i="31"/>
  <c r="T864" i="31"/>
  <c r="T2121" i="31"/>
  <c r="T559" i="31"/>
  <c r="T1081" i="31"/>
  <c r="T86" i="31"/>
  <c r="T216" i="31"/>
  <c r="T474" i="31"/>
  <c r="T28" i="31"/>
  <c r="T50" i="31"/>
  <c r="T923" i="31"/>
  <c r="T1296" i="31"/>
  <c r="T1115" i="31"/>
  <c r="T93" i="31"/>
  <c r="T1612" i="31"/>
  <c r="T522" i="31"/>
  <c r="T1654" i="31"/>
  <c r="T961" i="31"/>
  <c r="T1297" i="31"/>
  <c r="T1920" i="31"/>
  <c r="T1673" i="31"/>
  <c r="T2494" i="31"/>
  <c r="T53" i="31"/>
  <c r="T107" i="31"/>
  <c r="T723" i="31"/>
  <c r="T626" i="31"/>
  <c r="T1471" i="31"/>
  <c r="Y2230" i="31"/>
  <c r="T1562" i="31"/>
  <c r="T1021" i="31"/>
  <c r="Y2255" i="31"/>
  <c r="Y1723" i="31"/>
  <c r="Y547" i="31"/>
  <c r="Y2069" i="31"/>
  <c r="Y2153" i="31"/>
  <c r="Y2260" i="31"/>
  <c r="Y675" i="31"/>
  <c r="Y861" i="31"/>
  <c r="Y1550" i="31"/>
  <c r="Y1486" i="31"/>
  <c r="Y2160" i="31"/>
  <c r="Y600" i="31"/>
  <c r="Y2247" i="31"/>
  <c r="Y2067" i="31"/>
  <c r="Y2406" i="31"/>
  <c r="Y1636" i="31"/>
  <c r="Y1747" i="31"/>
  <c r="Y2144" i="31"/>
  <c r="Y1817" i="31"/>
  <c r="Y2009" i="31"/>
  <c r="Y2068" i="31"/>
  <c r="Y570" i="31"/>
  <c r="Y2272" i="31"/>
  <c r="Y1076" i="31"/>
  <c r="Y543" i="31"/>
  <c r="Y2282" i="31"/>
  <c r="Y1490" i="31"/>
  <c r="Y1063" i="31"/>
  <c r="Y859" i="31"/>
  <c r="Y1554" i="31"/>
  <c r="Y2364" i="31"/>
  <c r="Y2321" i="31"/>
  <c r="T790" i="31"/>
  <c r="Y2027" i="31"/>
  <c r="T810" i="31"/>
  <c r="Y1621" i="31"/>
  <c r="Y563" i="31"/>
  <c r="Y2189" i="31"/>
  <c r="Y2217" i="31"/>
  <c r="Y1935" i="31"/>
  <c r="Y2018" i="31"/>
  <c r="Y1995" i="31"/>
  <c r="Y2208" i="31"/>
  <c r="Y1253" i="31"/>
  <c r="Y1921" i="31"/>
  <c r="Y1847" i="31"/>
  <c r="Y2105" i="31"/>
  <c r="Y2492" i="31"/>
  <c r="Y1447" i="31"/>
  <c r="Y1499" i="31"/>
  <c r="Y1925" i="31"/>
  <c r="Y1957" i="31"/>
  <c r="Y2319" i="31"/>
  <c r="Y2306" i="31"/>
  <c r="Y1061" i="31"/>
  <c r="Y1002" i="31"/>
  <c r="Y1511" i="31"/>
  <c r="Y929" i="31"/>
  <c r="Y1756" i="31"/>
  <c r="Y722" i="31"/>
  <c r="Y897" i="31"/>
  <c r="Y1392" i="31"/>
  <c r="Y1885" i="31"/>
  <c r="Y1958" i="31"/>
  <c r="Y1760" i="31"/>
  <c r="Y806" i="31"/>
  <c r="Y1302" i="31"/>
  <c r="Y922" i="31"/>
  <c r="Y1482" i="31"/>
  <c r="Y2086" i="31"/>
  <c r="Y1873" i="31"/>
  <c r="Y1743" i="31"/>
  <c r="Y576" i="31"/>
  <c r="Y662" i="31"/>
  <c r="Y2118" i="31"/>
  <c r="Y2493" i="31"/>
  <c r="Y1107" i="31"/>
  <c r="T829" i="31"/>
  <c r="T1364" i="31"/>
  <c r="T1460" i="31"/>
  <c r="T1192" i="31"/>
  <c r="T1701" i="31"/>
  <c r="T2293" i="31"/>
  <c r="T637" i="31"/>
  <c r="T1087" i="31"/>
  <c r="T1183" i="31"/>
  <c r="T1368" i="31"/>
  <c r="T1158" i="31"/>
  <c r="T1446" i="31"/>
  <c r="T39" i="31"/>
  <c r="T208" i="31"/>
  <c r="T336" i="31"/>
  <c r="T1539" i="31"/>
  <c r="T213" i="31"/>
  <c r="Y2366" i="31"/>
  <c r="T1052" i="31"/>
  <c r="T1996" i="31"/>
  <c r="T1077" i="31"/>
  <c r="T1569" i="31"/>
  <c r="T873" i="31"/>
  <c r="T700" i="31"/>
  <c r="T868" i="31"/>
  <c r="T854" i="31"/>
  <c r="T1137" i="31"/>
  <c r="Y1703" i="31"/>
  <c r="Y1959" i="31"/>
  <c r="Y1257" i="31"/>
  <c r="T1301" i="31"/>
  <c r="T930" i="31"/>
  <c r="T835" i="31"/>
  <c r="T1124" i="31"/>
  <c r="T1453" i="31"/>
  <c r="T545" i="31"/>
  <c r="T1403" i="31"/>
  <c r="T1708" i="31"/>
  <c r="T571" i="31"/>
  <c r="T1012" i="31"/>
  <c r="T1226" i="31"/>
  <c r="T2000" i="31"/>
  <c r="T134" i="31"/>
  <c r="T84" i="31"/>
  <c r="T40" i="31"/>
  <c r="T555" i="31"/>
  <c r="T837" i="31"/>
  <c r="T997" i="31"/>
  <c r="T1352" i="31"/>
  <c r="T2495" i="31"/>
  <c r="T249" i="31"/>
  <c r="T1134" i="31"/>
  <c r="T51" i="31"/>
  <c r="T1153" i="31"/>
  <c r="T814" i="31"/>
  <c r="T1598" i="31"/>
  <c r="T2183" i="31"/>
  <c r="T1126" i="31"/>
  <c r="T240" i="31"/>
  <c r="T1445" i="31"/>
  <c r="T1506" i="31"/>
  <c r="T1540" i="31"/>
  <c r="T1613" i="31"/>
  <c r="T151" i="31"/>
  <c r="T1027" i="31"/>
  <c r="T1316" i="31"/>
  <c r="T955" i="31"/>
  <c r="T1470" i="31"/>
  <c r="T2331" i="31"/>
  <c r="T41" i="31"/>
  <c r="T1305" i="31"/>
  <c r="T42" i="31"/>
  <c r="T121" i="31"/>
  <c r="T887" i="31"/>
  <c r="T590" i="31"/>
  <c r="T1442" i="31"/>
  <c r="T1533" i="31"/>
  <c r="T635" i="31"/>
  <c r="T833" i="31"/>
  <c r="T911" i="31"/>
  <c r="T1493" i="31"/>
  <c r="T1580" i="31"/>
  <c r="T110" i="31"/>
  <c r="T212" i="31"/>
  <c r="T1321" i="31"/>
  <c r="T1980" i="31"/>
  <c r="T256" i="31"/>
  <c r="T621" i="31"/>
  <c r="Y1418" i="31"/>
  <c r="T1697" i="31"/>
  <c r="Y2142" i="31"/>
  <c r="T1218" i="31"/>
  <c r="T863" i="31"/>
  <c r="T1353" i="31"/>
  <c r="T658" i="31"/>
  <c r="T1444" i="31"/>
  <c r="T2016" i="31"/>
  <c r="T2253" i="31"/>
  <c r="T94" i="31"/>
  <c r="T948" i="31"/>
  <c r="T252" i="31"/>
  <c r="T2147" i="31"/>
  <c r="T48" i="31"/>
  <c r="T881" i="31"/>
  <c r="T525" i="31"/>
  <c r="T1521" i="31"/>
  <c r="T1198" i="31"/>
  <c r="Y1883" i="31"/>
  <c r="Y1016" i="31"/>
  <c r="Y2101" i="31"/>
  <c r="Y2112" i="31"/>
  <c r="Y1717" i="31"/>
  <c r="Y2329" i="31"/>
  <c r="T1080" i="31"/>
  <c r="Y2376" i="31"/>
  <c r="Y1710" i="31"/>
  <c r="Y660" i="31"/>
  <c r="Y1492" i="31"/>
  <c r="Y1649" i="31"/>
  <c r="Y1039" i="31"/>
  <c r="Y1732" i="31"/>
  <c r="Y554" i="31"/>
  <c r="Y691" i="31"/>
  <c r="Y2120" i="31"/>
  <c r="Y2352" i="31"/>
  <c r="Y2409" i="31"/>
  <c r="Y2415" i="31"/>
  <c r="Y2389" i="31"/>
  <c r="Y1977" i="31"/>
  <c r="Y1735" i="31"/>
  <c r="Y2100" i="31"/>
  <c r="Y1547" i="31"/>
  <c r="Y2393" i="31"/>
  <c r="Y2308" i="31"/>
  <c r="Y1372" i="31"/>
  <c r="Y1308" i="31"/>
  <c r="Y614" i="31"/>
  <c r="Y1532" i="31"/>
  <c r="Y2159" i="31"/>
  <c r="Y1421" i="31"/>
  <c r="Y2466" i="31"/>
  <c r="Y1807" i="31"/>
  <c r="Y616" i="31"/>
  <c r="Y2297" i="31"/>
  <c r="Y2049" i="31"/>
  <c r="Y2302" i="31"/>
  <c r="Y1825" i="31"/>
  <c r="Y1953" i="31"/>
  <c r="Y1783" i="31"/>
  <c r="Y1794" i="31"/>
  <c r="Y2280" i="31"/>
  <c r="Y1808" i="31"/>
  <c r="Y1667" i="31"/>
  <c r="Y2270" i="31"/>
  <c r="Y2381" i="31"/>
  <c r="Y549" i="31"/>
  <c r="Y2096" i="31"/>
  <c r="Y572" i="31"/>
  <c r="Y1252" i="31"/>
  <c r="Y2439" i="31"/>
  <c r="Y2064" i="31"/>
  <c r="Y1776" i="31"/>
  <c r="Y2082" i="31"/>
  <c r="T782" i="31"/>
  <c r="T788" i="31"/>
  <c r="Y537" i="31"/>
  <c r="Y2285" i="31"/>
  <c r="Y2074" i="31"/>
  <c r="Y2174" i="31"/>
  <c r="Y2301" i="31"/>
  <c r="Y1894" i="31"/>
  <c r="Y2022" i="31"/>
  <c r="Y1702" i="31"/>
  <c r="Y2296" i="31"/>
  <c r="Y1180" i="31"/>
  <c r="Y1638" i="31"/>
  <c r="Y1329" i="31"/>
  <c r="Y1766" i="31"/>
  <c r="Y2129" i="31"/>
  <c r="Y1150" i="31"/>
  <c r="Y1084" i="31"/>
  <c r="Y2033" i="31"/>
  <c r="Y1433" i="31"/>
  <c r="T520" i="31"/>
  <c r="T1699" i="31"/>
  <c r="T2487" i="31"/>
  <c r="T841" i="31"/>
  <c r="T1924" i="31"/>
  <c r="T882" i="31"/>
  <c r="T1365" i="31"/>
  <c r="T2053" i="31"/>
  <c r="T842" i="31"/>
  <c r="T1694" i="31"/>
  <c r="T1241" i="31"/>
  <c r="T1650" i="31"/>
  <c r="T372" i="31"/>
  <c r="Y548" i="31"/>
  <c r="T324" i="31"/>
  <c r="T1239" i="31"/>
  <c r="T180" i="31"/>
  <c r="T523" i="31"/>
  <c r="T1704" i="31"/>
  <c r="T1497" i="31"/>
  <c r="T29" i="31"/>
  <c r="T2323" i="31"/>
  <c r="T1174" i="31"/>
  <c r="T1417" i="31"/>
  <c r="T480" i="31"/>
  <c r="T63" i="31"/>
  <c r="T46" i="31"/>
  <c r="T97" i="31"/>
  <c r="T342" i="31"/>
  <c r="T717" i="31"/>
  <c r="T1202" i="31"/>
  <c r="Y1927" i="31"/>
  <c r="T291" i="31"/>
  <c r="Y2262" i="31"/>
  <c r="T1597" i="31"/>
  <c r="T992" i="31"/>
  <c r="T972" i="31"/>
  <c r="T938" i="31"/>
  <c r="T1060" i="31"/>
  <c r="T1223" i="31"/>
  <c r="T1574" i="31"/>
  <c r="T848" i="31"/>
  <c r="T1495" i="31"/>
  <c r="T1868" i="31"/>
  <c r="T798" i="31"/>
  <c r="T1520" i="31"/>
  <c r="T203" i="31"/>
  <c r="T2203" i="31"/>
  <c r="T1222" i="31"/>
  <c r="Y1328" i="31"/>
  <c r="T1633" i="31"/>
  <c r="T1209" i="31"/>
  <c r="T932" i="31"/>
  <c r="T1281" i="31"/>
  <c r="T514" i="31"/>
  <c r="T498" i="31"/>
  <c r="T735" i="31"/>
  <c r="T1147" i="31"/>
  <c r="T1320" i="31"/>
  <c r="T1013" i="31"/>
  <c r="T221" i="31"/>
  <c r="T2044" i="31"/>
  <c r="T186" i="31"/>
  <c r="T1944" i="31"/>
  <c r="T696" i="31"/>
  <c r="T1904" i="31"/>
  <c r="T248" i="31"/>
  <c r="Y1070" i="31"/>
  <c r="T1053" i="31"/>
  <c r="T1017" i="31"/>
  <c r="T1558" i="31"/>
  <c r="T1354" i="31"/>
  <c r="T2355" i="31"/>
  <c r="T1121" i="31"/>
  <c r="T1663" i="31"/>
  <c r="T685" i="31"/>
  <c r="T2485" i="31"/>
  <c r="T985" i="31"/>
  <c r="T1319" i="31"/>
  <c r="T218" i="31"/>
  <c r="T254" i="31"/>
  <c r="T108" i="31"/>
  <c r="T330" i="31"/>
  <c r="T587" i="31"/>
  <c r="T1629" i="31"/>
  <c r="Y941" i="31"/>
  <c r="T243" i="31"/>
  <c r="T1042" i="31"/>
  <c r="T1852" i="31"/>
  <c r="T2245" i="31"/>
  <c r="T1233" i="31"/>
  <c r="T1571" i="31"/>
  <c r="T836" i="31"/>
  <c r="T45" i="31"/>
  <c r="T98" i="31"/>
  <c r="T66" i="31"/>
  <c r="T624" i="31"/>
  <c r="Y580" i="31"/>
  <c r="T1672" i="31"/>
  <c r="T1131" i="31"/>
  <c r="T1768" i="31"/>
  <c r="T1011" i="31"/>
  <c r="T61" i="31"/>
  <c r="Y1973" i="31"/>
  <c r="Y2148" i="31"/>
  <c r="Y611" i="31"/>
  <c r="Y1119" i="31"/>
  <c r="Y2338" i="31"/>
  <c r="Y2037" i="31"/>
  <c r="Y1979" i="31"/>
  <c r="Y2030" i="31"/>
  <c r="Y1870" i="31"/>
  <c r="Y2276" i="31"/>
  <c r="Y1939" i="31"/>
  <c r="T1009" i="31"/>
  <c r="Y2349" i="31"/>
  <c r="Y636" i="31"/>
  <c r="Y2324" i="31"/>
  <c r="Y2452" i="31"/>
  <c r="Y2004" i="31"/>
  <c r="Y2318" i="31"/>
  <c r="Y2411" i="31"/>
  <c r="Y2146" i="31"/>
  <c r="Y975" i="31"/>
  <c r="Y1512" i="31"/>
  <c r="Y1071" i="31"/>
  <c r="Y2220" i="31"/>
  <c r="Y2457" i="31"/>
  <c r="Y1378" i="31"/>
  <c r="Y2377" i="31"/>
  <c r="Y1067" i="31"/>
  <c r="Y1108" i="31"/>
  <c r="Y1177" i="31"/>
  <c r="Y2059" i="31"/>
  <c r="Y1601" i="31"/>
  <c r="Y2491" i="31"/>
  <c r="Y1228" i="31"/>
  <c r="Y1867" i="31"/>
  <c r="Y1652" i="31"/>
  <c r="Y627" i="31"/>
  <c r="Y2066" i="31"/>
  <c r="Y1430" i="31"/>
  <c r="Y1985" i="31"/>
  <c r="Y2126" i="31"/>
  <c r="Y1655" i="31"/>
  <c r="Y2373" i="31"/>
  <c r="Y1881" i="31"/>
  <c r="Y2385" i="31"/>
  <c r="Y1317" i="31"/>
  <c r="Y581" i="31"/>
  <c r="Y1312" i="31"/>
  <c r="Y1680" i="31"/>
  <c r="Y1712" i="31"/>
  <c r="Y2128" i="31"/>
  <c r="Y2344" i="31"/>
  <c r="Y986" i="31"/>
  <c r="Y1125" i="31"/>
  <c r="Y1480" i="31"/>
  <c r="Y1072" i="31"/>
  <c r="Y2269" i="31"/>
  <c r="T541" i="31"/>
  <c r="Y275" i="31"/>
  <c r="Y2162" i="31"/>
  <c r="Y683" i="31"/>
  <c r="Y2418" i="31"/>
  <c r="Y512" i="31"/>
  <c r="Y1679" i="31"/>
  <c r="Y2401" i="31"/>
  <c r="Y1734" i="31"/>
  <c r="Y1148" i="31"/>
  <c r="Y1903" i="31"/>
  <c r="Y1745" i="31"/>
  <c r="Y1456" i="31"/>
  <c r="Y2031" i="31"/>
  <c r="Y2284" i="31"/>
  <c r="Y1504" i="31"/>
  <c r="Y1120" i="31"/>
  <c r="Y2187" i="31"/>
  <c r="Y1661" i="31"/>
  <c r="T647" i="31"/>
  <c r="T1795" i="31"/>
  <c r="T1608" i="31"/>
  <c r="T1481" i="31"/>
  <c r="T2078" i="31"/>
  <c r="T1522" i="31"/>
  <c r="Y676" i="31"/>
  <c r="Y1068" i="31"/>
  <c r="T176" i="31"/>
  <c r="T92" i="31"/>
  <c r="T593" i="31"/>
  <c r="T813" i="31"/>
  <c r="T1324" i="31"/>
  <c r="T1872" i="31"/>
  <c r="Y1863" i="31"/>
  <c r="T2498" i="31"/>
  <c r="T114" i="31"/>
  <c r="T1005" i="31"/>
  <c r="T1019" i="31"/>
  <c r="T1505" i="31"/>
  <c r="T1642" i="31"/>
  <c r="T160" i="31"/>
  <c r="T137" i="31"/>
  <c r="T378" i="31"/>
  <c r="T698" i="31"/>
  <c r="T1318" i="31"/>
  <c r="T1047" i="31"/>
  <c r="T1514" i="31"/>
  <c r="T528" i="31"/>
  <c r="T623" i="31"/>
  <c r="T1327" i="31"/>
  <c r="T1342" i="31"/>
  <c r="T1615" i="31"/>
  <c r="T789" i="31"/>
  <c r="T122" i="31"/>
  <c r="T220" i="31"/>
  <c r="T204" i="31"/>
  <c r="Y862" i="31"/>
  <c r="T79" i="31"/>
  <c r="T57" i="31"/>
  <c r="T939" i="31"/>
  <c r="T526" i="31"/>
  <c r="T792" i="31"/>
  <c r="T1073" i="31"/>
  <c r="T1001" i="31"/>
  <c r="T1773" i="31"/>
  <c r="T205" i="31"/>
  <c r="T1448" i="31"/>
  <c r="T1090" i="31"/>
  <c r="T1589" i="31"/>
  <c r="T104" i="31"/>
  <c r="T1665" i="31"/>
  <c r="T116" i="31"/>
  <c r="T2478" i="31"/>
  <c r="T426" i="31"/>
  <c r="T1381" i="31"/>
  <c r="T1785" i="31"/>
  <c r="T87" i="31"/>
  <c r="T95" i="31"/>
  <c r="T1122" i="31"/>
  <c r="T139" i="31"/>
  <c r="T960" i="31"/>
  <c r="T1232" i="31"/>
  <c r="T1498" i="31"/>
  <c r="T652" i="31"/>
  <c r="T1380" i="31"/>
  <c r="T1564" i="31"/>
  <c r="T2040" i="31"/>
  <c r="T197" i="31"/>
  <c r="T246" i="31"/>
  <c r="T529" i="31"/>
  <c r="T1683" i="31"/>
  <c r="T103" i="31"/>
  <c r="T1069" i="31"/>
  <c r="T962" i="31"/>
  <c r="T1542" i="31"/>
  <c r="T2425" i="31"/>
  <c r="T1264" i="31"/>
  <c r="T1791" i="31"/>
  <c r="T1752" i="31"/>
  <c r="T894" i="31"/>
  <c r="T2195" i="31"/>
  <c r="T654" i="31"/>
  <c r="T1109" i="31"/>
  <c r="T1347" i="31"/>
  <c r="T73" i="31"/>
  <c r="T128" i="31"/>
  <c r="T253" i="31"/>
  <c r="T1199" i="31"/>
  <c r="T1407" i="31"/>
  <c r="T1864" i="31"/>
  <c r="T852" i="31"/>
  <c r="T1111" i="31"/>
  <c r="T906" i="31"/>
  <c r="T1693" i="31"/>
  <c r="T990" i="31"/>
  <c r="T1476" i="31"/>
  <c r="T1952" i="31"/>
  <c r="T1705" i="31"/>
  <c r="T241" i="31"/>
  <c r="T1727" i="31"/>
  <c r="Y2167" i="31"/>
  <c r="T38" i="31"/>
  <c r="T1229" i="31"/>
  <c r="T771" i="31"/>
  <c r="T1092" i="31"/>
  <c r="T1527" i="31"/>
  <c r="T297" i="31"/>
  <c r="T1696" i="31"/>
  <c r="T803" i="31"/>
  <c r="Y649" i="31"/>
  <c r="Y1915" i="31"/>
  <c r="Y2464" i="31"/>
  <c r="Y2283" i="31"/>
  <c r="Y1806" i="31"/>
  <c r="Y534" i="31"/>
  <c r="Y2181" i="31"/>
  <c r="Y2426" i="31"/>
  <c r="Y1178" i="31"/>
  <c r="Y1749" i="31"/>
  <c r="Y2094" i="31"/>
  <c r="Y2035" i="31"/>
  <c r="Y2157" i="31"/>
  <c r="Y1075" i="31"/>
  <c r="Y1434" i="31"/>
  <c r="Y2479" i="31"/>
  <c r="Y1779" i="31"/>
  <c r="Y2374" i="31"/>
  <c r="Y968" i="31"/>
  <c r="Y1518" i="31"/>
  <c r="Y2475" i="31"/>
  <c r="Y936" i="31"/>
  <c r="Y2258" i="31"/>
  <c r="Y672" i="31"/>
  <c r="Y1129" i="31"/>
  <c r="Y2333" i="31"/>
  <c r="T1443" i="31"/>
  <c r="Y1389" i="31"/>
  <c r="Y2422" i="31"/>
  <c r="Y1194" i="31"/>
  <c r="Y1780" i="31"/>
  <c r="Y1666" i="31"/>
  <c r="Y2090" i="31"/>
  <c r="T1473" i="31"/>
  <c r="Y2123" i="31"/>
  <c r="Y1624" i="31"/>
  <c r="Y564" i="31"/>
  <c r="Y2156" i="31"/>
  <c r="Y2380" i="31"/>
  <c r="Y2499" i="31"/>
  <c r="Y2402" i="31"/>
  <c r="Y827" i="31"/>
  <c r="Y1648" i="31"/>
  <c r="Y925" i="31"/>
  <c r="Y1628" i="31"/>
  <c r="Y828" i="31"/>
  <c r="Y1032" i="31"/>
  <c r="Y1422" i="31"/>
  <c r="Y1857" i="31"/>
  <c r="Y707" i="31"/>
  <c r="Y758" i="31"/>
  <c r="Y30" i="31"/>
  <c r="Y2315" i="31"/>
  <c r="Y2204" i="31"/>
  <c r="Y1056" i="31"/>
  <c r="Y619" i="31"/>
  <c r="Y1841" i="31"/>
  <c r="Y2065" i="31"/>
  <c r="Y1926" i="31"/>
  <c r="Y524" i="31"/>
  <c r="Y1871" i="31"/>
  <c r="Y1269" i="31"/>
  <c r="Y1398" i="31"/>
  <c r="Y1830" i="31"/>
  <c r="Y1357" i="31"/>
  <c r="Y608" i="31"/>
  <c r="Y2224" i="31"/>
  <c r="Y1135" i="31"/>
  <c r="T888" i="31"/>
  <c r="T2375" i="31"/>
  <c r="T569" i="31"/>
  <c r="T1396" i="31"/>
  <c r="T812" i="31"/>
  <c r="T1733" i="31"/>
  <c r="T2165" i="31"/>
  <c r="T1631" i="31"/>
  <c r="T2474" i="31"/>
  <c r="T665" i="31"/>
  <c r="T1215" i="31"/>
  <c r="T154" i="31"/>
  <c r="T140" i="31"/>
  <c r="T678" i="31"/>
  <c r="T1620" i="31"/>
  <c r="T1623" i="31"/>
  <c r="Y2192" i="31"/>
  <c r="T211" i="31"/>
  <c r="T567" i="31"/>
  <c r="T1355" i="31"/>
  <c r="T2028" i="31"/>
  <c r="T1113" i="31"/>
  <c r="T1358" i="31"/>
  <c r="T214" i="31"/>
  <c r="T354" i="31"/>
  <c r="T1916" i="31"/>
  <c r="T187" i="31"/>
  <c r="T52" i="31"/>
  <c r="T1098" i="31"/>
  <c r="T967" i="31"/>
  <c r="T1064" i="31"/>
  <c r="Y1204" i="31"/>
  <c r="T1755" i="31"/>
  <c r="T2211" i="31"/>
  <c r="T318" i="31"/>
  <c r="T865" i="31"/>
  <c r="T1159" i="31"/>
  <c r="T1363" i="31"/>
  <c r="T1517" i="31"/>
  <c r="T577" i="31"/>
  <c r="T1435" i="31"/>
  <c r="T1740" i="31"/>
  <c r="T603" i="31"/>
  <c r="T1541" i="31"/>
  <c r="T954" i="31"/>
  <c r="T71" i="31"/>
  <c r="Y594" i="31"/>
  <c r="T1143" i="31"/>
  <c r="T1572" i="31"/>
  <c r="T1908" i="31"/>
  <c r="Y2052" i="31"/>
  <c r="T2443" i="31"/>
  <c r="T2497" i="31"/>
  <c r="T693" i="31"/>
  <c r="T1314" i="31"/>
  <c r="T1185" i="31"/>
  <c r="T1313" i="31"/>
  <c r="T843" i="31"/>
  <c r="T1719" i="31"/>
  <c r="T188" i="31"/>
  <c r="T100" i="31"/>
  <c r="T129" i="31"/>
  <c r="T816" i="31"/>
  <c r="T141" i="31"/>
  <c r="T1057" i="31"/>
  <c r="T1344" i="31"/>
  <c r="T983" i="31"/>
  <c r="T142" i="31"/>
  <c r="T82" i="31"/>
  <c r="T366" i="31"/>
  <c r="T245" i="31"/>
  <c r="T239" i="31"/>
  <c r="T1116" i="31"/>
  <c r="T1237" i="31"/>
  <c r="T1561" i="31"/>
  <c r="T1570" i="31"/>
  <c r="T885" i="31"/>
  <c r="T1234" i="31"/>
  <c r="T924" i="31"/>
  <c r="T1260" i="31"/>
  <c r="T1523" i="31"/>
  <c r="T206" i="31"/>
  <c r="T200" i="31"/>
  <c r="T132" i="31"/>
  <c r="Y2480" i="31"/>
  <c r="T288" i="31"/>
  <c r="T759" i="31"/>
  <c r="T2472" i="31"/>
  <c r="T1391" i="31"/>
  <c r="T1587" i="31"/>
  <c r="T684" i="31"/>
  <c r="T1706" i="31"/>
  <c r="T21" i="31"/>
  <c r="Y2001" i="31"/>
  <c r="T113" i="31"/>
  <c r="T300" i="31"/>
  <c r="T1179" i="31"/>
  <c r="Y1611" i="31"/>
  <c r="T2171" i="31"/>
  <c r="T920" i="31"/>
  <c r="T1022" i="31"/>
  <c r="T1593" i="31"/>
  <c r="Y2107" i="31"/>
  <c r="Y2011" i="31"/>
  <c r="Y1502" i="31"/>
  <c r="Y551" i="31"/>
  <c r="Y1813" i="31"/>
  <c r="Y1902" i="31"/>
  <c r="Y2209" i="31"/>
  <c r="Y1774" i="31"/>
  <c r="Y2458" i="31"/>
  <c r="Y2062" i="31"/>
  <c r="Y1466" i="31"/>
  <c r="Y2254" i="31"/>
  <c r="Y2322" i="31"/>
  <c r="Y1059" i="31"/>
  <c r="Y1971" i="31"/>
  <c r="Y586" i="31"/>
  <c r="Y2295" i="31"/>
  <c r="Y1596" i="31"/>
  <c r="Y656" i="31"/>
  <c r="Y999" i="31"/>
  <c r="Y1029" i="31"/>
  <c r="Y2161" i="31"/>
  <c r="Y2300" i="31"/>
  <c r="Y1770" i="31"/>
  <c r="Y2152" i="31"/>
  <c r="Y1537" i="31"/>
  <c r="Y1334" i="31"/>
  <c r="Y1555" i="31"/>
  <c r="Y638" i="31"/>
  <c r="Y1127" i="31"/>
  <c r="Y2353" i="31"/>
  <c r="Y634" i="31"/>
  <c r="Y1401" i="31"/>
  <c r="Y1001" i="31"/>
  <c r="Y1503" i="31"/>
  <c r="Y2396" i="31"/>
  <c r="Y1487" i="31"/>
  <c r="Y1889" i="31"/>
  <c r="Y2206" i="31"/>
  <c r="Y1037" i="31"/>
  <c r="Y657" i="31"/>
  <c r="Y1258" i="31"/>
  <c r="Y2332" i="31"/>
  <c r="Y949" i="31"/>
  <c r="Y850" i="31"/>
  <c r="Y1528" i="31"/>
  <c r="Y1345" i="31"/>
  <c r="Y2179" i="31"/>
  <c r="Y1331" i="31"/>
  <c r="Y1216" i="31"/>
  <c r="Y2085" i="31"/>
  <c r="Y2190" i="31"/>
  <c r="Y964" i="31"/>
  <c r="Y1284" i="31"/>
  <c r="Y2436" i="31"/>
  <c r="Y1294" i="31"/>
  <c r="Y1036" i="31"/>
  <c r="Y1861" i="31"/>
  <c r="Y1566" i="31"/>
  <c r="Y527" i="31"/>
  <c r="Y2339" i="31"/>
  <c r="Y2234" i="31"/>
  <c r="Y913" i="31"/>
  <c r="Y1967" i="31"/>
  <c r="Y633" i="31"/>
  <c r="Y2274" i="31"/>
  <c r="Y1711" i="31"/>
  <c r="Y565" i="31"/>
  <c r="Y2127" i="31"/>
  <c r="Y973" i="31"/>
  <c r="Y2482" i="31"/>
  <c r="Y2200" i="31"/>
  <c r="Y1330" i="31"/>
  <c r="Y1670" i="31"/>
  <c r="Y1937" i="31"/>
  <c r="Y1610" i="31"/>
  <c r="T552" i="31"/>
  <c r="T1731" i="31"/>
  <c r="T889" i="31"/>
  <c r="T1546" i="31"/>
  <c r="T952" i="31"/>
  <c r="T875" i="31"/>
  <c r="T1726" i="31"/>
  <c r="T2221" i="31"/>
  <c r="T574" i="31"/>
  <c r="T1400" i="31"/>
  <c r="T1746" i="31"/>
  <c r="T1788" i="31"/>
  <c r="T36" i="31"/>
  <c r="T217" i="31"/>
  <c r="T794" i="31"/>
  <c r="T959" i="31"/>
  <c r="Y2326" i="31"/>
  <c r="T1227" i="31"/>
  <c r="T1568" i="31"/>
  <c r="T597" i="31"/>
  <c r="T60" i="31"/>
  <c r="T2488" i="31"/>
  <c r="T921" i="31"/>
  <c r="T1206" i="31"/>
  <c r="T83" i="31"/>
  <c r="T2281" i="31"/>
  <c r="T432" i="31"/>
  <c r="T557" i="31"/>
  <c r="Y1300" i="31"/>
  <c r="T1876" i="31"/>
  <c r="T2139" i="31"/>
  <c r="T99" i="31"/>
  <c r="T1058" i="31"/>
  <c r="T804" i="31"/>
  <c r="T971" i="31"/>
  <c r="T1255" i="31"/>
  <c r="T1707" i="31"/>
  <c r="T905" i="31"/>
  <c r="T1525" i="31"/>
  <c r="T1900" i="31"/>
  <c r="T849" i="31"/>
  <c r="T982" i="31"/>
  <c r="T1050" i="31"/>
  <c r="T1367" i="31"/>
  <c r="T90" i="31"/>
  <c r="T172" i="31"/>
  <c r="T124" i="31"/>
  <c r="Y799" i="31"/>
  <c r="T966" i="31"/>
  <c r="Y2213" i="31"/>
  <c r="T115" i="31"/>
  <c r="T207" i="31"/>
  <c r="T1530" i="31"/>
  <c r="T994" i="31"/>
  <c r="T546" i="31"/>
  <c r="T2383" i="31"/>
  <c r="T2347" i="31"/>
  <c r="T238" i="31"/>
  <c r="T890" i="31"/>
  <c r="T1283" i="31"/>
  <c r="T1489" i="31"/>
  <c r="T1094" i="31"/>
  <c r="T1686" i="31"/>
  <c r="T1275" i="31"/>
  <c r="T915" i="31"/>
  <c r="T838" i="31"/>
  <c r="T666" i="31"/>
  <c r="T989" i="31"/>
  <c r="T1259" i="31"/>
  <c r="T1976" i="31"/>
  <c r="T2257" i="31"/>
  <c r="T1634" i="31"/>
  <c r="T27" i="31"/>
  <c r="T59" i="31"/>
  <c r="T912" i="31"/>
  <c r="T1436" i="31"/>
  <c r="T1582" i="31"/>
  <c r="T1106" i="31"/>
  <c r="T1360" i="31"/>
  <c r="T133" i="31"/>
  <c r="T1270" i="31"/>
  <c r="T1003" i="31"/>
  <c r="T1384" i="31"/>
  <c r="T1149" i="31"/>
  <c r="T1405" i="31"/>
  <c r="T1695" i="31"/>
  <c r="T839" i="31"/>
  <c r="T1606" i="31"/>
  <c r="T1015" i="31"/>
  <c r="T1607" i="31"/>
  <c r="Y1132" i="31"/>
  <c r="T940" i="31"/>
  <c r="T1285" i="31"/>
  <c r="T58" i="31"/>
  <c r="T1936" i="31"/>
  <c r="T185" i="31"/>
  <c r="T2317" i="31"/>
  <c r="T711" i="31"/>
  <c r="T1164" i="31"/>
  <c r="T1835" i="31"/>
  <c r="T119" i="31"/>
  <c r="T247" i="31"/>
  <c r="T1468" i="31"/>
  <c r="T845" i="31"/>
  <c r="T276" i="31"/>
  <c r="T795" i="31"/>
  <c r="T1265" i="31"/>
  <c r="T1599" i="31"/>
  <c r="T1641" i="31"/>
  <c r="T2327" i="31"/>
  <c r="T1395" i="31"/>
  <c r="T222" i="31"/>
  <c r="T209" i="31"/>
  <c r="T261" i="31"/>
  <c r="T492" i="31"/>
  <c r="T702" i="31"/>
  <c r="T987" i="31"/>
  <c r="T1415" i="31"/>
  <c r="T1351" i="31"/>
  <c r="T1501" i="31"/>
  <c r="T402" i="31"/>
  <c r="T1508" i="31"/>
  <c r="Y1046" i="31"/>
  <c r="Y2182" i="31"/>
  <c r="Y579" i="31"/>
  <c r="Y2080" i="31"/>
  <c r="Y1845" i="31"/>
  <c r="Y1851" i="31"/>
  <c r="Y1877" i="31"/>
  <c r="Y566" i="31"/>
  <c r="Y1559" i="31"/>
  <c r="Y1934" i="31"/>
  <c r="Y2237" i="31"/>
  <c r="Y1616" i="31"/>
  <c r="Y2309" i="31"/>
  <c r="Y2168" i="31"/>
  <c r="Y1586" i="31"/>
  <c r="T1494" i="31"/>
  <c r="Y1843" i="31"/>
  <c r="Y1828" i="31"/>
  <c r="Y815" i="31"/>
  <c r="Y1764" i="31"/>
  <c r="Y2176" i="31"/>
  <c r="Y2150" i="31"/>
  <c r="Y1849" i="31"/>
  <c r="Y1991" i="31"/>
  <c r="Y1945" i="31"/>
  <c r="Y2312" i="31"/>
  <c r="Y2196" i="31"/>
  <c r="Y1093" i="31"/>
  <c r="Y1478" i="31"/>
  <c r="Y607" i="31"/>
  <c r="Y1055" i="31"/>
  <c r="Y1800" i="31"/>
  <c r="Y2305" i="31"/>
  <c r="Y2291" i="31"/>
  <c r="Y1922" i="31"/>
  <c r="Y1986" i="31"/>
  <c r="Y1899" i="31"/>
  <c r="Y1812" i="31"/>
  <c r="Y1635" i="31"/>
  <c r="Y1534" i="31"/>
  <c r="Y2226" i="31"/>
  <c r="Y2113" i="31"/>
  <c r="Y1998" i="31"/>
  <c r="Y596" i="31"/>
  <c r="Y1913" i="31"/>
  <c r="Y21" i="31"/>
  <c r="Y1105" i="31"/>
  <c r="Y1280" i="31"/>
  <c r="Y1348" i="31"/>
  <c r="Y1893" i="31"/>
  <c r="Y2115" i="31"/>
  <c r="Y2202" i="31"/>
  <c r="Y1656" i="31"/>
  <c r="Y1878" i="31"/>
  <c r="Y1724" i="31"/>
  <c r="Y1507" i="31"/>
  <c r="Y20" i="31"/>
  <c r="Y591" i="31"/>
  <c r="Y620" i="31"/>
  <c r="Y2398" i="31"/>
  <c r="Y1424" i="31"/>
  <c r="Y2177" i="31"/>
  <c r="Y588" i="31"/>
  <c r="Y1775" i="31"/>
  <c r="Y544" i="31"/>
  <c r="Y2450" i="31"/>
  <c r="Y1584" i="31"/>
  <c r="Y2149" i="31"/>
  <c r="Y639" i="31"/>
  <c r="Y1647" i="31"/>
  <c r="Y1026" i="31"/>
  <c r="Y1905" i="31"/>
  <c r="Y1212" i="31"/>
  <c r="Y1809" i="31"/>
  <c r="Y667" i="31"/>
  <c r="Y1045" i="31"/>
  <c r="T802" i="31"/>
  <c r="T1827" i="31"/>
  <c r="T1668" i="31"/>
  <c r="T1133" i="31"/>
  <c r="T1336" i="31"/>
  <c r="T1151" i="31"/>
  <c r="T1557" i="31"/>
  <c r="T1388" i="31"/>
  <c r="T106" i="31"/>
  <c r="T23" i="31"/>
  <c r="T76" i="31"/>
  <c r="T105" i="31"/>
  <c r="T70" i="31"/>
  <c r="T753" i="31"/>
  <c r="T926" i="31"/>
  <c r="T1035" i="31"/>
  <c r="T1709" i="31"/>
  <c r="T991" i="31"/>
  <c r="T793" i="31"/>
  <c r="T2249" i="31"/>
  <c r="T1049" i="31"/>
  <c r="T651" i="31"/>
  <c r="T55" i="31"/>
  <c r="Y1213" i="31"/>
  <c r="T312" i="31"/>
  <c r="T145" i="31"/>
  <c r="T801" i="31"/>
  <c r="T1170" i="31"/>
  <c r="T1477" i="31"/>
  <c r="Y2252" i="31"/>
  <c r="T1010" i="31"/>
  <c r="T870" i="31"/>
  <c r="T560" i="31"/>
  <c r="T687" i="31"/>
  <c r="T1096" i="31"/>
  <c r="T1371" i="31"/>
  <c r="T1676" i="31"/>
  <c r="T818" i="31"/>
  <c r="T953" i="31"/>
  <c r="T908" i="31"/>
  <c r="T1078" i="31"/>
  <c r="T1168" i="31"/>
  <c r="T1658" i="31"/>
  <c r="T49" i="31"/>
  <c r="T1307" i="31"/>
  <c r="T62" i="31"/>
  <c r="T68" i="31"/>
  <c r="T1152" i="31"/>
  <c r="T729" i="31"/>
  <c r="T1243" i="31"/>
  <c r="T1618" i="31"/>
  <c r="Y2287" i="31"/>
  <c r="T1195" i="31"/>
  <c r="T1240" i="31"/>
  <c r="T1118" i="31"/>
  <c r="T138" i="31"/>
  <c r="T226" i="31"/>
  <c r="T306" i="31"/>
  <c r="T285" i="31"/>
  <c r="Y945" i="31"/>
  <c r="T1083" i="31"/>
  <c r="Y1271" i="31"/>
  <c r="T2285" i="31"/>
  <c r="T215" i="31"/>
  <c r="Y1161" i="31"/>
  <c r="T20" i="31"/>
  <c r="T1326" i="31"/>
  <c r="T26" i="31"/>
  <c r="T1085" i="31"/>
  <c r="T1290" i="31"/>
  <c r="T1373" i="31"/>
  <c r="T1438" i="31"/>
  <c r="T201" i="31"/>
  <c r="T81" i="31"/>
  <c r="T892" i="31"/>
  <c r="T2012" i="31"/>
  <c r="T294" i="31"/>
  <c r="T689" i="31"/>
  <c r="T1449" i="31"/>
  <c r="T1819" i="31"/>
  <c r="T227" i="31"/>
  <c r="T1315" i="31"/>
  <c r="T1062" i="31"/>
  <c r="T1154" i="31"/>
  <c r="T2489" i="31"/>
  <c r="T791" i="31"/>
  <c r="T1823" i="31"/>
  <c r="T917" i="31"/>
  <c r="T1737" i="31"/>
  <c r="T846" i="31"/>
  <c r="T1079" i="31"/>
  <c r="T573" i="31"/>
  <c r="T2155" i="31"/>
  <c r="Y643" i="31"/>
  <c r="T32" i="31"/>
  <c r="T1343" i="31"/>
  <c r="T1718" i="31"/>
  <c r="T1928" i="31"/>
  <c r="T1088" i="31"/>
  <c r="T1211" i="31"/>
  <c r="T1725" i="31"/>
  <c r="T628" i="31"/>
  <c r="T1020" i="31"/>
  <c r="T1387" i="31"/>
  <c r="T25" i="31"/>
  <c r="Y2023" i="31"/>
  <c r="Y1969" i="31"/>
  <c r="T561" i="31"/>
  <c r="T899" i="31"/>
  <c r="Y1193" i="31"/>
  <c r="Y2294" i="31"/>
  <c r="T533" i="31"/>
  <c r="T1429" i="31"/>
  <c r="Y2180" i="31"/>
  <c r="Y1485" i="31"/>
  <c r="Y2378" i="31"/>
  <c r="Y659" i="31"/>
  <c r="Y1742" i="31"/>
  <c r="Y2372" i="31"/>
  <c r="Y1472" i="31"/>
  <c r="Y1787" i="31"/>
  <c r="Y856" i="31"/>
  <c r="Y1659" i="31"/>
  <c r="Y1909" i="31"/>
  <c r="Y853" i="31"/>
  <c r="Y1947" i="31"/>
  <c r="Y1966" i="31"/>
  <c r="Y1007" i="31"/>
  <c r="Y2397" i="31"/>
  <c r="Y2368" i="31"/>
  <c r="Y2084" i="31"/>
  <c r="Y1875" i="31"/>
  <c r="Y2003" i="31"/>
  <c r="Y631" i="31"/>
  <c r="Y536" i="31"/>
  <c r="Y2250" i="31"/>
  <c r="Y664" i="31"/>
  <c r="Y1488" i="31"/>
  <c r="Y2223" i="31"/>
  <c r="Y518" i="31"/>
  <c r="Y1128" i="31"/>
  <c r="Y2056" i="31"/>
  <c r="Y1048" i="31"/>
  <c r="Y1483" i="31"/>
  <c r="Y1359" i="31"/>
  <c r="Y1397" i="31"/>
  <c r="Y1462" i="31"/>
  <c r="Y1594" i="31"/>
  <c r="Y605" i="31"/>
  <c r="Y1832" i="31"/>
  <c r="Y1362" i="31"/>
  <c r="Y1173" i="31"/>
  <c r="Y1509" i="31"/>
  <c r="Y1748" i="31"/>
  <c r="Y1954" i="31"/>
  <c r="Y531" i="31"/>
  <c r="Y2186" i="31"/>
  <c r="Y1698" i="31"/>
  <c r="Y1643" i="31"/>
  <c r="Y1858" i="31"/>
  <c r="Y1762" i="31"/>
  <c r="Y2304" i="31"/>
  <c r="Y2417" i="31"/>
  <c r="Y2081" i="31"/>
  <c r="Y1563" i="31"/>
  <c r="Y977" i="31"/>
  <c r="Y2264" i="31"/>
  <c r="Y2405" i="31"/>
  <c r="Y2185" i="31"/>
  <c r="Y1406" i="31"/>
  <c r="Y1840" i="31"/>
  <c r="Y1250" i="31"/>
  <c r="Y1248" i="31"/>
  <c r="Y1538" i="31"/>
  <c r="Y582" i="31"/>
  <c r="Y2141" i="31"/>
  <c r="Y1166" i="31"/>
  <c r="Y2356" i="31"/>
  <c r="Y1230" i="31"/>
  <c r="Y1625" i="31"/>
  <c r="Y2240" i="31"/>
  <c r="Y1622" i="31"/>
  <c r="Y511" i="31"/>
  <c r="Y677" i="31"/>
  <c r="Y686" i="31"/>
  <c r="Y2444" i="31"/>
  <c r="Y1617" i="31"/>
  <c r="Y2379" i="31"/>
  <c r="Y1366" i="31"/>
  <c r="Y2054" i="31"/>
  <c r="Y1576" i="31"/>
  <c r="Y1630" i="31"/>
  <c r="Y1186" i="31"/>
  <c r="Y2427" i="31"/>
  <c r="Y2429" i="31"/>
  <c r="Y1728" i="31"/>
  <c r="Y1777" i="31"/>
  <c r="Y893" i="31"/>
  <c r="Y1798" i="31"/>
  <c r="Y688" i="31"/>
  <c r="Y1203" i="31"/>
  <c r="Y1789" i="31"/>
  <c r="T1595" i="31"/>
  <c r="T2455" i="31"/>
  <c r="T632" i="31"/>
  <c r="T1428" i="31"/>
  <c r="T1892" i="31"/>
  <c r="T980" i="31"/>
  <c r="T1765" i="31"/>
  <c r="T1662" i="31"/>
  <c r="T1333" i="31"/>
  <c r="T1112" i="31"/>
  <c r="T85" i="31"/>
  <c r="T109" i="31"/>
  <c r="T242" i="31"/>
  <c r="T1140" i="31"/>
  <c r="Y612" i="31"/>
  <c r="T1220" i="31"/>
  <c r="T279" i="31"/>
  <c r="T2403" i="31"/>
  <c r="T974" i="31"/>
  <c r="T1141" i="31"/>
  <c r="T1322" i="31"/>
  <c r="T1385" i="31"/>
  <c r="T1323" i="31"/>
  <c r="Y1575" i="31"/>
  <c r="T80" i="31"/>
  <c r="T250" i="31"/>
  <c r="T224" i="31"/>
  <c r="T741" i="31"/>
  <c r="T1256" i="31"/>
  <c r="T1627" i="31"/>
  <c r="T1880" i="31"/>
  <c r="Y2164" i="31"/>
  <c r="T630" i="31"/>
  <c r="T1896" i="31"/>
  <c r="T896" i="31"/>
  <c r="T1191" i="31"/>
  <c r="T1545" i="31"/>
  <c r="T640" i="31"/>
  <c r="T1467" i="31"/>
  <c r="T1772" i="31"/>
  <c r="T642" i="31"/>
  <c r="T1309" i="31"/>
  <c r="T164" i="31"/>
  <c r="T168" i="31"/>
  <c r="T348" i="31"/>
  <c r="Y2451" i="31"/>
  <c r="Y1236" i="31"/>
  <c r="Y1895" i="31"/>
  <c r="T1332" i="31"/>
  <c r="T963" i="31"/>
  <c r="T1217" i="31"/>
  <c r="T1815" i="31"/>
  <c r="T120" i="31"/>
  <c r="T2032" i="31"/>
  <c r="Y826" i="31"/>
  <c r="T56" i="31"/>
  <c r="Y2055" i="31"/>
  <c r="T360" i="31"/>
  <c r="Y562" i="31"/>
  <c r="Y1386" i="31"/>
  <c r="Y2342" i="31"/>
  <c r="T131" i="31"/>
  <c r="T223" i="31"/>
  <c r="Y2278" i="31"/>
  <c r="T1041" i="31"/>
  <c r="T1912" i="31"/>
  <c r="T101" i="31"/>
  <c r="T2093" i="31"/>
  <c r="T24" i="31"/>
  <c r="T22" i="31"/>
  <c r="T558" i="31"/>
  <c r="T1536" i="31"/>
  <c r="Y1577" i="31"/>
  <c r="T1101" i="31"/>
  <c r="Y2116" i="31"/>
  <c r="T1291" i="31"/>
  <c r="T1603" i="31"/>
  <c r="T1267" i="31"/>
  <c r="T914" i="31"/>
  <c r="T1295" i="31"/>
  <c r="T935" i="31"/>
  <c r="T1604" i="31"/>
  <c r="T1014" i="31"/>
  <c r="T956" i="31"/>
  <c r="T1551" i="31"/>
  <c r="T37" i="31"/>
  <c r="T75" i="31"/>
  <c r="T747" i="31"/>
  <c r="T1457" i="31"/>
  <c r="T2207" i="31"/>
  <c r="Y2243" i="31"/>
  <c r="T1419" i="31"/>
  <c r="T807" i="31"/>
  <c r="T1201" i="31"/>
  <c r="T1543" i="31"/>
  <c r="T2098" i="31"/>
  <c r="T282" i="31"/>
  <c r="T266" i="31"/>
  <c r="T44" i="31"/>
  <c r="T148" i="31"/>
  <c r="T396" i="31"/>
  <c r="T1452" i="31"/>
  <c r="T1169" i="31"/>
  <c r="T1811" i="31"/>
  <c r="T251" i="31"/>
  <c r="T255" i="31"/>
  <c r="T54" i="31"/>
  <c r="Y2005" i="31"/>
  <c r="Y515" i="31"/>
  <c r="Y1588" i="31"/>
  <c r="Y2043" i="31"/>
  <c r="Y1838" i="31"/>
  <c r="Y2075" i="31"/>
  <c r="Y880" i="31"/>
  <c r="Y2408" i="31"/>
  <c r="Y1370" i="31"/>
  <c r="Y2099" i="31"/>
  <c r="Y2447" i="31"/>
  <c r="Y1066" i="31"/>
  <c r="Y2346" i="31"/>
  <c r="T1182" i="31"/>
  <c r="Y1549" i="31"/>
  <c r="Y2412" i="31"/>
  <c r="Y1578" i="31"/>
  <c r="Y1657" i="31"/>
  <c r="Y2173" i="31"/>
  <c r="Y2246" i="31"/>
  <c r="Y2041" i="31"/>
  <c r="Y1043" i="31"/>
  <c r="Y2449" i="31"/>
  <c r="Y1994" i="31"/>
  <c r="Y2330" i="31"/>
  <c r="Y1515" i="31"/>
  <c r="Y1099" i="31"/>
  <c r="Y1065" i="31"/>
  <c r="Y2454" i="31"/>
  <c r="Y2486" i="31"/>
  <c r="Y648" i="31"/>
  <c r="Y1826" i="31"/>
  <c r="Y2050" i="31"/>
  <c r="Y1963" i="31"/>
  <c r="Y1803" i="31"/>
  <c r="Y1730" i="31"/>
  <c r="Y1171" i="31"/>
  <c r="Y1771" i="31"/>
  <c r="Y2236" i="31"/>
  <c r="Y1687" i="31"/>
  <c r="Y886" i="31"/>
  <c r="Y1890" i="31"/>
  <c r="Y1753" i="31"/>
  <c r="Y1797" i="31"/>
  <c r="Y1117" i="31"/>
  <c r="Y1510" i="31"/>
  <c r="Y1744" i="31"/>
  <c r="Y2471" i="31"/>
  <c r="Y1262" i="31"/>
  <c r="Y1097" i="31"/>
  <c r="Y1390" i="31"/>
  <c r="Y830" i="31"/>
  <c r="Y2087" i="31"/>
  <c r="Y1602" i="31"/>
  <c r="R925" i="1"/>
  <c r="P2451" i="1"/>
  <c r="S2451" i="1" s="1"/>
  <c r="P2452" i="1"/>
  <c r="Q2452" i="1" s="1"/>
  <c r="Q541" i="1"/>
  <c r="R541" i="1"/>
  <c r="W293" i="1"/>
  <c r="P2442" i="1"/>
  <c r="S2442" i="1" s="1"/>
  <c r="P2441" i="1"/>
  <c r="R2441" i="1" s="1"/>
  <c r="P2071" i="1"/>
  <c r="R2071" i="1" s="1"/>
  <c r="R582" i="1"/>
  <c r="Q1538" i="1"/>
  <c r="P2119" i="1"/>
  <c r="Q2119" i="1" s="1"/>
  <c r="R1370" i="1"/>
  <c r="Q1105" i="1"/>
  <c r="Q582" i="1"/>
  <c r="R1538" i="1"/>
  <c r="S1538" i="1"/>
  <c r="S1762" i="1"/>
  <c r="T1762" i="19" s="1"/>
  <c r="Q1499" i="1"/>
  <c r="Q2068" i="1"/>
  <c r="Q1063" i="1"/>
  <c r="R2068" i="1"/>
  <c r="R1063" i="1"/>
  <c r="P2072" i="1"/>
  <c r="S2072" i="1" s="1"/>
  <c r="R1061" i="1"/>
  <c r="S1002" i="1"/>
  <c r="T1002" i="19" s="1"/>
  <c r="S2068" i="1"/>
  <c r="S1063" i="1"/>
  <c r="P2069" i="1"/>
  <c r="Q2069" i="1" s="1"/>
  <c r="P2070" i="1"/>
  <c r="S2070" i="1" s="1"/>
  <c r="S1434" i="1"/>
  <c r="P2244" i="1"/>
  <c r="S2244" i="1" s="1"/>
  <c r="S1602" i="1"/>
  <c r="P2242" i="1"/>
  <c r="Q2242" i="1" s="1"/>
  <c r="Q1434" i="1"/>
  <c r="Q830" i="1"/>
  <c r="Q1252" i="1"/>
  <c r="R1434" i="1"/>
  <c r="R830" i="1"/>
  <c r="R1602" i="1"/>
  <c r="S830" i="1"/>
  <c r="P2243" i="1"/>
  <c r="R2243" i="1" s="1"/>
  <c r="R549" i="1"/>
  <c r="Q1602" i="1"/>
  <c r="P2240" i="1"/>
  <c r="S2240" i="1" s="1"/>
  <c r="S549" i="1"/>
  <c r="Q549" i="1"/>
  <c r="R1502" i="1"/>
  <c r="Q925" i="1"/>
  <c r="R1628" i="1"/>
  <c r="Q586" i="1"/>
  <c r="Q1389" i="1"/>
  <c r="S925" i="1"/>
  <c r="S1624" i="1"/>
  <c r="R1776" i="1"/>
  <c r="Q1032" i="1"/>
  <c r="P1778" i="1"/>
  <c r="Q1778" i="1" s="1"/>
  <c r="R1032" i="1"/>
  <c r="S1032" i="1"/>
  <c r="Q1628" i="1"/>
  <c r="S2471" i="1"/>
  <c r="Q1262" i="1"/>
  <c r="R1724" i="1"/>
  <c r="S1097" i="1"/>
  <c r="R1097" i="1"/>
  <c r="Q2449" i="1"/>
  <c r="P2450" i="1"/>
  <c r="S2450" i="1" s="1"/>
  <c r="P2440" i="1"/>
  <c r="R2440" i="1" s="1"/>
  <c r="Q1803" i="1"/>
  <c r="R1803" i="1"/>
  <c r="P2453" i="1"/>
  <c r="S2453" i="1" s="1"/>
  <c r="P2438" i="1"/>
  <c r="S2438" i="1" s="1"/>
  <c r="P1805" i="1"/>
  <c r="S1805" i="1" s="1"/>
  <c r="R1171" i="1"/>
  <c r="Q1390" i="1"/>
  <c r="R1730" i="1"/>
  <c r="S586" i="1"/>
  <c r="R1389" i="1"/>
  <c r="P2454" i="1"/>
  <c r="R2454" i="1" s="1"/>
  <c r="P1806" i="1"/>
  <c r="S1806" i="1" s="1"/>
  <c r="S1171" i="1"/>
  <c r="R1390" i="1"/>
  <c r="S1730" i="1"/>
  <c r="Q1097" i="1"/>
  <c r="Q2471" i="1"/>
  <c r="S1389" i="1"/>
  <c r="Q1177" i="1"/>
  <c r="Q1559" i="1"/>
  <c r="Q1125" i="1"/>
  <c r="R1601" i="1"/>
  <c r="S1046" i="1"/>
  <c r="S1601" i="1"/>
  <c r="R1177" i="1"/>
  <c r="Q1228" i="1"/>
  <c r="Q1046" i="1"/>
  <c r="S1177" i="1"/>
  <c r="R1228" i="1"/>
  <c r="S975" i="1"/>
  <c r="R1046" i="1"/>
  <c r="S1228" i="1"/>
  <c r="Q975" i="1"/>
  <c r="Q1067" i="1"/>
  <c r="Q1378" i="1"/>
  <c r="R975" i="1"/>
  <c r="R1067" i="1"/>
  <c r="Q929" i="1"/>
  <c r="R1480" i="1"/>
  <c r="S1067" i="1"/>
  <c r="R929" i="1"/>
  <c r="R1317" i="1"/>
  <c r="S929" i="1"/>
  <c r="Q1601" i="1"/>
  <c r="R1036" i="1"/>
  <c r="R2449" i="1"/>
  <c r="R2471" i="1"/>
  <c r="S1566" i="1"/>
  <c r="R572" i="1"/>
  <c r="R1262" i="1"/>
  <c r="S1262" i="1"/>
  <c r="S2449" i="1"/>
  <c r="Q1566" i="1"/>
  <c r="R586" i="1"/>
  <c r="R1559" i="1"/>
  <c r="S572" i="1"/>
  <c r="S1559" i="1"/>
  <c r="Q1511" i="1"/>
  <c r="Q2479" i="1"/>
  <c r="R1511" i="1"/>
  <c r="R2479" i="1"/>
  <c r="S1511" i="1"/>
  <c r="S2479" i="1"/>
  <c r="Q572" i="1"/>
  <c r="Q1117" i="1"/>
  <c r="Q1036" i="1"/>
  <c r="S1036" i="1"/>
  <c r="R1117" i="1"/>
  <c r="S1117" i="1"/>
  <c r="S986" i="1"/>
  <c r="S1312" i="1"/>
  <c r="Q581" i="1"/>
  <c r="S1378" i="1"/>
  <c r="Q1317" i="1"/>
  <c r="R1378" i="1"/>
  <c r="S1317" i="1"/>
  <c r="P2118" i="1"/>
  <c r="Q2118" i="1" s="1"/>
  <c r="P2120" i="1"/>
  <c r="S2120" i="1" s="1"/>
  <c r="R1105" i="1"/>
  <c r="S1105" i="1"/>
  <c r="R2115" i="1"/>
  <c r="Q1072" i="1"/>
  <c r="S2115" i="1"/>
  <c r="Q1280" i="1"/>
  <c r="R1072" i="1"/>
  <c r="Q2115" i="1"/>
  <c r="Q1348" i="1"/>
  <c r="P2116" i="1"/>
  <c r="S2116" i="1" s="1"/>
  <c r="R1280" i="1"/>
  <c r="S1072" i="1"/>
  <c r="R1348" i="1"/>
  <c r="P2117" i="1"/>
  <c r="S2117" i="1" s="1"/>
  <c r="S1280" i="1"/>
  <c r="S1348" i="1"/>
  <c r="Q1624" i="1"/>
  <c r="S1447" i="1"/>
  <c r="R1001" i="1"/>
  <c r="R1002" i="1"/>
  <c r="Q1061" i="1"/>
  <c r="R1499" i="1"/>
  <c r="S638" i="1"/>
  <c r="S1499" i="1"/>
  <c r="S1061" i="1"/>
  <c r="Q815" i="1"/>
  <c r="Q1401" i="1"/>
  <c r="R815" i="1"/>
  <c r="R1401" i="1"/>
  <c r="S815" i="1"/>
  <c r="Q1447" i="1"/>
  <c r="S1401" i="1"/>
  <c r="R1624" i="1"/>
  <c r="R1447" i="1"/>
  <c r="Q1001" i="1"/>
  <c r="Q1002" i="1"/>
  <c r="Q827" i="1"/>
  <c r="R1125" i="1"/>
  <c r="S1480" i="1"/>
  <c r="S1724" i="1"/>
  <c r="R827" i="1"/>
  <c r="S1125" i="1"/>
  <c r="S827" i="1"/>
  <c r="Q1507" i="1"/>
  <c r="Q1362" i="1"/>
  <c r="R1507" i="1"/>
  <c r="Q1712" i="1"/>
  <c r="Q986" i="1"/>
  <c r="S1507" i="1"/>
  <c r="R581" i="1"/>
  <c r="R1712" i="1"/>
  <c r="Q1312" i="1"/>
  <c r="Q1480" i="1"/>
  <c r="Q1724" i="1"/>
  <c r="R986" i="1"/>
  <c r="S581" i="1"/>
  <c r="S1712" i="1"/>
  <c r="R1312" i="1"/>
  <c r="P2423" i="1"/>
  <c r="S2423" i="1" s="1"/>
  <c r="W2419" i="1"/>
  <c r="R1496" i="1"/>
  <c r="W1496" i="1"/>
  <c r="S1276" i="1"/>
  <c r="W1276" i="1"/>
  <c r="S903" i="1"/>
  <c r="W903" i="1"/>
  <c r="R1274" i="1"/>
  <c r="W1274" i="1"/>
  <c r="S1102" i="1"/>
  <c r="W1102" i="1"/>
  <c r="S1176" i="1"/>
  <c r="W1176" i="1"/>
  <c r="R2476" i="1"/>
  <c r="W2476" i="1"/>
  <c r="S797" i="1"/>
  <c r="W797" i="1"/>
  <c r="S1165" i="1"/>
  <c r="W1165" i="1"/>
  <c r="S1261" i="1"/>
  <c r="W1261" i="1"/>
  <c r="S1272" i="1"/>
  <c r="W1272" i="1"/>
  <c r="S568" i="1"/>
  <c r="W568" i="1"/>
  <c r="S1335" i="1"/>
  <c r="W1335" i="1"/>
  <c r="S942" i="1"/>
  <c r="W942" i="1"/>
  <c r="Q2199" i="1"/>
  <c r="W2199" i="1"/>
  <c r="R1182" i="1"/>
  <c r="W1182" i="1"/>
  <c r="S851" i="1"/>
  <c r="W851" i="1"/>
  <c r="P2039" i="1"/>
  <c r="S2039" i="1" s="1"/>
  <c r="W2036" i="1"/>
  <c r="S1465" i="1"/>
  <c r="W1465" i="1"/>
  <c r="S2481" i="1"/>
  <c r="W2481" i="1"/>
  <c r="S1337" i="1"/>
  <c r="W1337" i="1"/>
  <c r="S1219" i="1"/>
  <c r="W1219" i="1"/>
  <c r="S1100" i="1"/>
  <c r="W1100" i="1"/>
  <c r="P2061" i="1"/>
  <c r="S2061" i="1" s="1"/>
  <c r="W2058" i="1"/>
  <c r="S1138" i="1"/>
  <c r="W1138" i="1"/>
  <c r="S1844" i="1"/>
  <c r="W1844" i="1"/>
  <c r="S1714" i="1"/>
  <c r="W1714" i="1"/>
  <c r="S1431" i="1"/>
  <c r="W1431" i="1"/>
  <c r="S2363" i="1"/>
  <c r="W2363" i="1"/>
  <c r="Q984" i="1"/>
  <c r="W984" i="1"/>
  <c r="S909" i="1"/>
  <c r="W909" i="1"/>
  <c r="Q957" i="1"/>
  <c r="W957" i="1"/>
  <c r="S1585" i="1"/>
  <c r="W1585" i="1"/>
  <c r="P676" i="1"/>
  <c r="S676" i="1" s="1"/>
  <c r="W674" i="1"/>
  <c r="P1832" i="1"/>
  <c r="S1832" i="1" s="1"/>
  <c r="W1831" i="1"/>
  <c r="S898" i="1"/>
  <c r="W898" i="1"/>
  <c r="S1210" i="1"/>
  <c r="W1210" i="1"/>
  <c r="Q2239" i="1"/>
  <c r="W2239" i="1"/>
  <c r="S918" i="1"/>
  <c r="W918" i="1"/>
  <c r="S1038" i="1"/>
  <c r="W1038" i="1"/>
  <c r="S950" i="1"/>
  <c r="W950" i="1"/>
  <c r="Q1361" i="1"/>
  <c r="W1361" i="1"/>
  <c r="S1074" i="1"/>
  <c r="W1074" i="1"/>
  <c r="S1376" i="1"/>
  <c r="W1376" i="1"/>
  <c r="S1205" i="1"/>
  <c r="W1205" i="1"/>
  <c r="S805" i="1"/>
  <c r="W805" i="1"/>
  <c r="R1781" i="1"/>
  <c r="W1781" i="1"/>
  <c r="R1139" i="1"/>
  <c r="W1139" i="1"/>
  <c r="Q1008" i="1"/>
  <c r="W1008" i="1"/>
  <c r="R1009" i="1"/>
  <c r="W1009" i="1"/>
  <c r="S1040" i="1"/>
  <c r="W1040" i="1"/>
  <c r="S1614" i="1"/>
  <c r="W1614" i="1"/>
  <c r="S1700" i="1"/>
  <c r="W1700" i="1"/>
  <c r="P2388" i="1"/>
  <c r="S2388" i="1" s="1"/>
  <c r="W2387" i="1"/>
  <c r="S1246" i="1"/>
  <c r="W1246" i="1"/>
  <c r="P2025" i="1"/>
  <c r="S2025" i="1" s="1"/>
  <c r="W2024" i="1"/>
  <c r="P2089" i="1"/>
  <c r="Q2089" i="1" s="1"/>
  <c r="W2088" i="1"/>
  <c r="S1254" i="1"/>
  <c r="W1254" i="1"/>
  <c r="S1340" i="1"/>
  <c r="W1340" i="1"/>
  <c r="R1609" i="1"/>
  <c r="W1609" i="1"/>
  <c r="S895" i="1"/>
  <c r="W895" i="1"/>
  <c r="S1590" i="1"/>
  <c r="W1590" i="1"/>
  <c r="S1404" i="1"/>
  <c r="W1404" i="1"/>
  <c r="Q996" i="1"/>
  <c r="W996" i="1"/>
  <c r="S970" i="1"/>
  <c r="W970" i="1"/>
  <c r="S937" i="1"/>
  <c r="W937" i="1"/>
  <c r="Q1000" i="1"/>
  <c r="W1000" i="1"/>
  <c r="S521" i="1"/>
  <c r="W521" i="1"/>
  <c r="S1441" i="1"/>
  <c r="W1441" i="1"/>
  <c r="Q1716" i="1"/>
  <c r="W1716" i="1"/>
  <c r="S1142" i="1"/>
  <c r="W1142" i="1"/>
  <c r="S663" i="1"/>
  <c r="W663" i="1"/>
  <c r="R2151" i="1"/>
  <c r="W2151" i="1"/>
  <c r="S1567" i="1"/>
  <c r="W1567" i="1"/>
  <c r="S1356" i="1"/>
  <c r="W1356" i="1"/>
  <c r="P2352" i="1"/>
  <c r="R2352" i="1" s="1"/>
  <c r="W2351" i="1"/>
  <c r="Q840" i="1"/>
  <c r="W840" i="1"/>
  <c r="R1531" i="1"/>
  <c r="W1531" i="1"/>
  <c r="S832" i="1"/>
  <c r="W832" i="1"/>
  <c r="S1350" i="1"/>
  <c r="W1350" i="1"/>
  <c r="R682" i="1"/>
  <c r="W682" i="1"/>
  <c r="S1196" i="1"/>
  <c r="W1196" i="1"/>
  <c r="S1408" i="1"/>
  <c r="W1408" i="1"/>
  <c r="R1464" i="1"/>
  <c r="W1464" i="1"/>
  <c r="Q1552" i="1"/>
  <c r="W1552" i="1"/>
  <c r="S1268" i="1"/>
  <c r="W1268" i="1"/>
  <c r="S1278" i="1"/>
  <c r="W1278" i="1"/>
  <c r="S831" i="1"/>
  <c r="W831" i="1"/>
  <c r="R2473" i="1"/>
  <c r="W2473" i="1"/>
  <c r="S1214" i="1"/>
  <c r="W1214" i="1"/>
  <c r="S969" i="1"/>
  <c r="W969" i="1"/>
  <c r="Q1513" i="1"/>
  <c r="W1513" i="1"/>
  <c r="Q1018" i="1"/>
  <c r="W1018" i="1"/>
  <c r="R2371" i="1"/>
  <c r="W2371" i="1"/>
  <c r="S1156" i="1"/>
  <c r="W1156" i="1"/>
  <c r="S901" i="1"/>
  <c r="W901" i="1"/>
  <c r="R916" i="1"/>
  <c r="W916" i="1"/>
  <c r="R790" i="1"/>
  <c r="W790" i="1"/>
  <c r="R810" i="1"/>
  <c r="W810" i="1"/>
  <c r="S2103" i="1"/>
  <c r="W2103" i="1"/>
  <c r="S2437" i="1"/>
  <c r="W2437" i="1"/>
  <c r="S1463" i="1"/>
  <c r="W1463" i="1"/>
  <c r="Q1044" i="1"/>
  <c r="W1044" i="1"/>
  <c r="W701" i="1"/>
  <c r="Q1263" i="1"/>
  <c r="W1263" i="1"/>
  <c r="S951" i="1"/>
  <c r="W951" i="1"/>
  <c r="S1888" i="1"/>
  <c r="W1888" i="1"/>
  <c r="Q1266" i="1"/>
  <c r="W1266" i="1"/>
  <c r="S2261" i="1"/>
  <c r="W2261" i="1"/>
  <c r="Q1544" i="1"/>
  <c r="W1544" i="1"/>
  <c r="S1581" i="1"/>
  <c r="W1581" i="1"/>
  <c r="Q1103" i="1"/>
  <c r="W1103" i="1"/>
  <c r="R1681" i="1"/>
  <c r="W1681" i="1"/>
  <c r="P2051" i="1"/>
  <c r="S2051" i="1" s="1"/>
  <c r="W2048" i="1"/>
  <c r="S550" i="1"/>
  <c r="W550" i="1"/>
  <c r="S1605" i="1"/>
  <c r="W1605" i="1"/>
  <c r="R1130" i="1"/>
  <c r="W1130" i="1"/>
  <c r="Q2273" i="1"/>
  <c r="W2273" i="1"/>
  <c r="S979" i="1"/>
  <c r="W979" i="1"/>
  <c r="Q1375" i="1"/>
  <c r="W1375" i="1"/>
  <c r="S2367" i="1"/>
  <c r="W2367" i="1"/>
  <c r="S646" i="1"/>
  <c r="W646" i="1"/>
  <c r="R538" i="1"/>
  <c r="W538" i="1"/>
  <c r="S1167" i="1"/>
  <c r="W1167" i="1"/>
  <c r="R1303" i="1"/>
  <c r="W1303" i="1"/>
  <c r="S1519" i="1"/>
  <c r="W1519" i="1"/>
  <c r="S933" i="1"/>
  <c r="W933" i="1"/>
  <c r="Q1526" i="1"/>
  <c r="W1526" i="1"/>
  <c r="R1251" i="1"/>
  <c r="W1251" i="1"/>
  <c r="R509" i="1"/>
  <c r="W509" i="1"/>
  <c r="S1155" i="1"/>
  <c r="W1155" i="1"/>
  <c r="S995" i="1"/>
  <c r="W995" i="1"/>
  <c r="R1136" i="1"/>
  <c r="W1136" i="1"/>
  <c r="S1377" i="1"/>
  <c r="W1377" i="1"/>
  <c r="S1399" i="1"/>
  <c r="W1399" i="1"/>
  <c r="S1114" i="1"/>
  <c r="W1114" i="1"/>
  <c r="Q2343" i="1"/>
  <c r="W2343" i="1"/>
  <c r="Q1383" i="1"/>
  <c r="W1383" i="1"/>
  <c r="S1548" i="1"/>
  <c r="W1548" i="1"/>
  <c r="S1412" i="1"/>
  <c r="W1412" i="1"/>
  <c r="P2418" i="1"/>
  <c r="S2418" i="1" s="1"/>
  <c r="W2413" i="1"/>
  <c r="P1863" i="1"/>
  <c r="S1863" i="1" s="1"/>
  <c r="W1860" i="1"/>
  <c r="P2279" i="1"/>
  <c r="R2279" i="1" s="1"/>
  <c r="W2277" i="1"/>
  <c r="P2267" i="1"/>
  <c r="Q2267" i="1" s="1"/>
  <c r="W2265" i="1"/>
  <c r="P2146" i="1"/>
  <c r="Q2146" i="1" s="1"/>
  <c r="W2143" i="1"/>
  <c r="S1573" i="1"/>
  <c r="W1573" i="1"/>
  <c r="Q1516" i="1"/>
  <c r="W1516" i="1"/>
  <c r="S891" i="1"/>
  <c r="W891" i="1"/>
  <c r="S1685" i="1"/>
  <c r="W1685" i="1"/>
  <c r="Q919" i="1"/>
  <c r="W919" i="1"/>
  <c r="R1306" i="1"/>
  <c r="W1306" i="1"/>
  <c r="R1646" i="1"/>
  <c r="W1646" i="1"/>
  <c r="S1341" i="1"/>
  <c r="W1341" i="1"/>
  <c r="R1369" i="1"/>
  <c r="W1369" i="1"/>
  <c r="S934" i="1"/>
  <c r="W934" i="1"/>
  <c r="S1410" i="1"/>
  <c r="W1410" i="1"/>
  <c r="R817" i="1"/>
  <c r="W817" i="1"/>
  <c r="Q2484" i="1"/>
  <c r="W2484" i="1"/>
  <c r="R1494" i="1"/>
  <c r="W1494" i="1"/>
  <c r="Q1304" i="1"/>
  <c r="W1304" i="1"/>
  <c r="S1197" i="1"/>
  <c r="W1197" i="1"/>
  <c r="Q1157" i="1"/>
  <c r="W1157" i="1"/>
  <c r="R998" i="1"/>
  <c r="W998" i="1"/>
  <c r="S1279" i="1"/>
  <c r="W1279" i="1"/>
  <c r="S1451" i="1"/>
  <c r="W1451" i="1"/>
  <c r="S1500" i="1"/>
  <c r="W1500" i="1"/>
  <c r="Q1189" i="1"/>
  <c r="W1189" i="1"/>
  <c r="R1249" i="1"/>
  <c r="W1249" i="1"/>
  <c r="Q1028" i="1"/>
  <c r="W1028" i="1"/>
  <c r="S910" i="1"/>
  <c r="W910" i="1"/>
  <c r="S1245" i="1"/>
  <c r="W1245" i="1"/>
  <c r="S1282" i="1"/>
  <c r="W1282" i="1"/>
  <c r="S1310" i="1"/>
  <c r="W1310" i="1"/>
  <c r="S834" i="1"/>
  <c r="W834" i="1"/>
  <c r="S1273" i="1"/>
  <c r="W1273" i="1"/>
  <c r="S1420" i="1"/>
  <c r="W1420" i="1"/>
  <c r="S947" i="1"/>
  <c r="W947" i="1"/>
  <c r="S1459" i="1"/>
  <c r="W1459" i="1"/>
  <c r="S553" i="1"/>
  <c r="W553" i="1"/>
  <c r="S585" i="1"/>
  <c r="W585" i="1"/>
  <c r="R532" i="1"/>
  <c r="W532" i="1"/>
  <c r="Q2073" i="1"/>
  <c r="W2073" i="1"/>
  <c r="S1669" i="1"/>
  <c r="W1669" i="1"/>
  <c r="S1225" i="1"/>
  <c r="W1225" i="1"/>
  <c r="S1188" i="1"/>
  <c r="W1188" i="1"/>
  <c r="S1146" i="1"/>
  <c r="W1146" i="1"/>
  <c r="Q1394" i="1"/>
  <c r="W1394" i="1"/>
  <c r="R1426" i="1"/>
  <c r="W1426" i="1"/>
  <c r="S1298" i="1"/>
  <c r="W1298" i="1"/>
  <c r="S1082" i="1"/>
  <c r="W1082" i="1"/>
  <c r="S1678" i="1"/>
  <c r="W1678" i="1"/>
  <c r="S1579" i="1"/>
  <c r="W1579" i="1"/>
  <c r="S904" i="1"/>
  <c r="W904" i="1"/>
  <c r="S1293" i="1"/>
  <c r="W1293" i="1"/>
  <c r="R1715" i="1"/>
  <c r="W1715" i="1"/>
  <c r="S1346" i="1"/>
  <c r="W1346" i="1"/>
  <c r="S1033" i="1"/>
  <c r="W1033" i="1"/>
  <c r="S1221" i="1"/>
  <c r="W1221" i="1"/>
  <c r="Q1247" i="1"/>
  <c r="W1247" i="1"/>
  <c r="S1619" i="1"/>
  <c r="W1619" i="1"/>
  <c r="S1004" i="1"/>
  <c r="W1004" i="1"/>
  <c r="Q1224" i="1"/>
  <c r="W1224" i="1"/>
  <c r="Q1583" i="1"/>
  <c r="W1583" i="1"/>
  <c r="S1292" i="1"/>
  <c r="W1292" i="1"/>
  <c r="Q1144" i="1"/>
  <c r="W1144" i="1"/>
  <c r="S1674" i="1"/>
  <c r="W1674" i="1"/>
  <c r="S1425" i="1"/>
  <c r="W1425" i="1"/>
  <c r="S575" i="1"/>
  <c r="W575" i="1"/>
  <c r="S844" i="1"/>
  <c r="W844" i="1"/>
  <c r="S1461" i="1"/>
  <c r="W1461" i="1"/>
  <c r="S1095" i="1"/>
  <c r="W1095" i="1"/>
  <c r="S1034" i="1"/>
  <c r="W1034" i="1"/>
  <c r="S1235" i="1"/>
  <c r="W1235" i="1"/>
  <c r="R1443" i="1"/>
  <c r="W1443" i="1"/>
  <c r="S1560" i="1"/>
  <c r="W1560" i="1"/>
  <c r="Q2227" i="1"/>
  <c r="W2227" i="1"/>
  <c r="S1023" i="1"/>
  <c r="W1023" i="1"/>
  <c r="Q993" i="1"/>
  <c r="W993" i="1"/>
  <c r="S1184" i="1"/>
  <c r="W1184" i="1"/>
  <c r="R1110" i="1"/>
  <c r="W1110" i="1"/>
  <c r="S1374" i="1"/>
  <c r="W1374" i="1"/>
  <c r="W278" i="1"/>
  <c r="P2466" i="1"/>
  <c r="Q2466" i="1" s="1"/>
  <c r="W2461" i="1"/>
  <c r="Q871" i="1"/>
  <c r="W871" i="1"/>
  <c r="S1325" i="1"/>
  <c r="W1325" i="1"/>
  <c r="Q2135" i="1"/>
  <c r="W2135" i="1"/>
  <c r="S2496" i="1"/>
  <c r="W2496" i="1"/>
  <c r="Q1458" i="1"/>
  <c r="W1458" i="1"/>
  <c r="S965" i="1"/>
  <c r="W965" i="1"/>
  <c r="S583" i="1"/>
  <c r="W583" i="1"/>
  <c r="R1080" i="1"/>
  <c r="W1080" i="1"/>
  <c r="Q1091" i="1"/>
  <c r="W1091" i="1"/>
  <c r="P2336" i="1"/>
  <c r="S2336" i="1" s="1"/>
  <c r="W2335" i="1"/>
  <c r="R1208" i="1"/>
  <c r="W1208" i="1"/>
  <c r="S1104" i="1"/>
  <c r="W1104" i="1"/>
  <c r="Q944" i="1"/>
  <c r="W944" i="1"/>
  <c r="S2289" i="1"/>
  <c r="W2289" i="1"/>
  <c r="Q1713" i="1"/>
  <c r="W1713" i="1"/>
  <c r="S847" i="1"/>
  <c r="W847" i="1"/>
  <c r="S1529" i="1"/>
  <c r="W1529" i="1"/>
  <c r="S872" i="1"/>
  <c r="W872" i="1"/>
  <c r="S1393" i="1"/>
  <c r="W1393" i="1"/>
  <c r="S1455" i="1"/>
  <c r="W1455" i="1"/>
  <c r="S1145" i="1"/>
  <c r="W1145" i="1"/>
  <c r="S1187" i="1"/>
  <c r="W1187" i="1"/>
  <c r="R1025" i="1"/>
  <c r="W1025" i="1"/>
  <c r="S1288" i="1"/>
  <c r="W1288" i="1"/>
  <c r="R1736" i="1"/>
  <c r="W1736" i="1"/>
  <c r="Q978" i="1"/>
  <c r="W978" i="1"/>
  <c r="S1409" i="1"/>
  <c r="W1409" i="1"/>
  <c r="S1684" i="1"/>
  <c r="W1684" i="1"/>
  <c r="R1473" i="1"/>
  <c r="W1473" i="1"/>
  <c r="R1349" i="1"/>
  <c r="W1349" i="1"/>
  <c r="S943" i="1"/>
  <c r="W943" i="1"/>
  <c r="S1761" i="1"/>
  <c r="W1761" i="1"/>
  <c r="R928" i="1"/>
  <c r="W928" i="1"/>
  <c r="S1200" i="1"/>
  <c r="W1200" i="1"/>
  <c r="S1089" i="1"/>
  <c r="W1089" i="1"/>
  <c r="S866" i="1"/>
  <c r="W866" i="1"/>
  <c r="Q1454" i="1"/>
  <c r="W1454" i="1"/>
  <c r="P1842" i="1"/>
  <c r="S1842" i="1" s="1"/>
  <c r="W1839" i="1"/>
  <c r="P2064" i="1"/>
  <c r="S2064" i="1" s="1"/>
  <c r="W2063" i="1"/>
  <c r="R519" i="1"/>
  <c r="W519" i="1"/>
  <c r="S2131" i="1"/>
  <c r="W2131" i="1"/>
  <c r="S1440" i="1"/>
  <c r="W1440" i="1"/>
  <c r="S1427" i="1"/>
  <c r="W1427" i="1"/>
  <c r="S629" i="1"/>
  <c r="W629" i="1"/>
  <c r="S1600" i="1"/>
  <c r="W1600" i="1"/>
  <c r="Q1242" i="1"/>
  <c r="W1242" i="1"/>
  <c r="R617" i="1"/>
  <c r="W617" i="1"/>
  <c r="P506" i="1"/>
  <c r="S506" i="1" s="1"/>
  <c r="W504" i="1"/>
  <c r="R1402" i="1"/>
  <c r="W1402" i="1"/>
  <c r="P2217" i="1"/>
  <c r="S2217" i="1" s="1"/>
  <c r="W2215" i="1"/>
  <c r="R1123" i="1"/>
  <c r="W1123" i="1"/>
  <c r="S1992" i="1"/>
  <c r="W1992" i="1"/>
  <c r="R1311" i="1"/>
  <c r="W1311" i="1"/>
  <c r="S1439" i="1"/>
  <c r="W1439" i="1"/>
  <c r="S1484" i="1"/>
  <c r="W1484" i="1"/>
  <c r="Q1565" i="1"/>
  <c r="W1565" i="1"/>
  <c r="Q1024" i="1"/>
  <c r="W1024" i="1"/>
  <c r="S2490" i="1"/>
  <c r="W2490" i="1"/>
  <c r="R1972" i="1"/>
  <c r="W1972" i="1"/>
  <c r="S1162" i="1"/>
  <c r="W1162" i="1"/>
  <c r="S900" i="1"/>
  <c r="W900" i="1"/>
  <c r="S927" i="1"/>
  <c r="W927" i="1"/>
  <c r="S1382" i="1"/>
  <c r="W1382" i="1"/>
  <c r="R1339" i="1"/>
  <c r="W1339" i="1"/>
  <c r="S1231" i="1"/>
  <c r="W1231" i="1"/>
  <c r="S1030" i="1"/>
  <c r="W1030" i="1"/>
  <c r="Q1190" i="1"/>
  <c r="W1190" i="1"/>
  <c r="Q1675" i="1"/>
  <c r="W1675" i="1"/>
  <c r="R1289" i="1"/>
  <c r="W1289" i="1"/>
  <c r="S1286" i="1"/>
  <c r="W1286" i="1"/>
  <c r="S1006" i="1"/>
  <c r="W1006" i="1"/>
  <c r="S690" i="1"/>
  <c r="W690" i="1"/>
  <c r="Q1479" i="1"/>
  <c r="W1479" i="1"/>
  <c r="S1163" i="1"/>
  <c r="W1163" i="1"/>
  <c r="S2407" i="1"/>
  <c r="W2407" i="1"/>
  <c r="S566" i="1"/>
  <c r="S564" i="1"/>
  <c r="T788" i="19"/>
  <c r="Y788" i="19"/>
  <c r="M737" i="1"/>
  <c r="N737" i="1" s="1"/>
  <c r="W737" i="1" s="1"/>
  <c r="M725" i="1"/>
  <c r="N725" i="1" s="1"/>
  <c r="W725" i="1" s="1"/>
  <c r="Y449" i="19"/>
  <c r="S1334" i="1"/>
  <c r="Q1548" i="1"/>
  <c r="Q1667" i="1"/>
  <c r="R1248" i="1"/>
  <c r="R1667" i="1"/>
  <c r="S1667" i="1"/>
  <c r="Q1334" i="1"/>
  <c r="R1548" i="1"/>
  <c r="R1334" i="1"/>
  <c r="Q1762" i="1"/>
  <c r="P1777" i="1"/>
  <c r="S1777" i="1" s="1"/>
  <c r="Q1776" i="1"/>
  <c r="R1762" i="1"/>
  <c r="P1779" i="1"/>
  <c r="S1779" i="1" s="1"/>
  <c r="S1776" i="1"/>
  <c r="P2090" i="1"/>
  <c r="S2090" i="1" s="1"/>
  <c r="P2310" i="1"/>
  <c r="S2310" i="1" s="1"/>
  <c r="R1487" i="1"/>
  <c r="P609" i="1"/>
  <c r="S609" i="1" s="1"/>
  <c r="R1037" i="1"/>
  <c r="R1565" i="1"/>
  <c r="R1190" i="1"/>
  <c r="P610" i="1"/>
  <c r="S610" i="1" s="1"/>
  <c r="P611" i="1"/>
  <c r="R611" i="1" s="1"/>
  <c r="P1973" i="1"/>
  <c r="R1973" i="1" s="1"/>
  <c r="P2307" i="1"/>
  <c r="Q2307" i="1" s="1"/>
  <c r="S1037" i="1"/>
  <c r="S1487" i="1"/>
  <c r="S1311" i="1"/>
  <c r="S1190" i="1"/>
  <c r="Q2305" i="1"/>
  <c r="Q1488" i="1"/>
  <c r="P1974" i="1"/>
  <c r="S1974" i="1" s="1"/>
  <c r="P2133" i="1"/>
  <c r="Q2133" i="1" s="1"/>
  <c r="P2308" i="1"/>
  <c r="R2308" i="1" s="1"/>
  <c r="Q1037" i="1"/>
  <c r="R2305" i="1"/>
  <c r="R1488" i="1"/>
  <c r="Q2131" i="1"/>
  <c r="P1975" i="1"/>
  <c r="S1975" i="1" s="1"/>
  <c r="P2134" i="1"/>
  <c r="S2134" i="1" s="1"/>
  <c r="S2305" i="1"/>
  <c r="S1488" i="1"/>
  <c r="P2132" i="1"/>
  <c r="R2132" i="1" s="1"/>
  <c r="Q1006" i="1"/>
  <c r="R1006" i="1"/>
  <c r="P2306" i="1"/>
  <c r="S2306" i="1" s="1"/>
  <c r="P2309" i="1"/>
  <c r="R2309" i="1" s="1"/>
  <c r="Q1487" i="1"/>
  <c r="R1675" i="1"/>
  <c r="Q1359" i="1"/>
  <c r="R1465" i="1"/>
  <c r="R1362" i="1"/>
  <c r="R1359" i="1"/>
  <c r="S1362" i="1"/>
  <c r="S1359" i="1"/>
  <c r="Q1431" i="1"/>
  <c r="R1431" i="1"/>
  <c r="Q1165" i="1"/>
  <c r="Q1182" i="1"/>
  <c r="R1397" i="1"/>
  <c r="R1492" i="1"/>
  <c r="S1397" i="1"/>
  <c r="S1492" i="1"/>
  <c r="Q1397" i="1"/>
  <c r="R1578" i="1"/>
  <c r="Q1492" i="1"/>
  <c r="S1274" i="1"/>
  <c r="S1479" i="1"/>
  <c r="R1479" i="1"/>
  <c r="R1372" i="1"/>
  <c r="R1263" i="1"/>
  <c r="P2271" i="1"/>
  <c r="R2271" i="1" s="1"/>
  <c r="Q550" i="1"/>
  <c r="P2370" i="1"/>
  <c r="S2370" i="1" s="1"/>
  <c r="P2272" i="1"/>
  <c r="S2272" i="1" s="1"/>
  <c r="Q1472" i="1"/>
  <c r="S1263" i="1"/>
  <c r="Q828" i="1"/>
  <c r="S1372" i="1"/>
  <c r="Q1422" i="1"/>
  <c r="P2368" i="1"/>
  <c r="Q2368" i="1" s="1"/>
  <c r="P512" i="1"/>
  <c r="R512" i="1" s="1"/>
  <c r="R1472" i="1"/>
  <c r="R828" i="1"/>
  <c r="Q1166" i="1"/>
  <c r="Q2269" i="1"/>
  <c r="R1422" i="1"/>
  <c r="P2369" i="1"/>
  <c r="S2369" i="1" s="1"/>
  <c r="P2163" i="1"/>
  <c r="Q2163" i="1" s="1"/>
  <c r="S1472" i="1"/>
  <c r="S828" i="1"/>
  <c r="R1166" i="1"/>
  <c r="R1622" i="1"/>
  <c r="R2159" i="1"/>
  <c r="R2269" i="1"/>
  <c r="S1422" i="1"/>
  <c r="Q1374" i="1"/>
  <c r="P2160" i="1"/>
  <c r="S2160" i="1" s="1"/>
  <c r="Q646" i="1"/>
  <c r="S1166" i="1"/>
  <c r="S1532" i="1"/>
  <c r="Q1622" i="1"/>
  <c r="Q2413" i="1"/>
  <c r="Q1399" i="1"/>
  <c r="R1544" i="1"/>
  <c r="S2269" i="1"/>
  <c r="R1374" i="1"/>
  <c r="P2161" i="1"/>
  <c r="Q2161" i="1" s="1"/>
  <c r="R646" i="1"/>
  <c r="S1130" i="1"/>
  <c r="S1622" i="1"/>
  <c r="R1399" i="1"/>
  <c r="Q663" i="1"/>
  <c r="P2162" i="1"/>
  <c r="S2162" i="1" s="1"/>
  <c r="R1266" i="1"/>
  <c r="R663" i="1"/>
  <c r="P2270" i="1"/>
  <c r="Q2270" i="1" s="1"/>
  <c r="P2164" i="1"/>
  <c r="R2164" i="1" s="1"/>
  <c r="Q1372" i="1"/>
  <c r="P1993" i="1"/>
  <c r="R1993" i="1" s="1"/>
  <c r="P1994" i="1"/>
  <c r="S1994" i="1" s="1"/>
  <c r="P1995" i="1"/>
  <c r="Q1995" i="1" s="1"/>
  <c r="Q1992" i="1"/>
  <c r="R1992" i="1"/>
  <c r="R949" i="1"/>
  <c r="Q1684" i="1"/>
  <c r="R1684" i="1"/>
  <c r="Q970" i="1"/>
  <c r="Q1023" i="1"/>
  <c r="S582" i="1"/>
  <c r="S1029" i="1"/>
  <c r="Q937" i="1"/>
  <c r="R1065" i="1"/>
  <c r="R984" i="1"/>
  <c r="R1000" i="1"/>
  <c r="Q2492" i="1"/>
  <c r="S1426" i="1"/>
  <c r="S1578" i="1"/>
  <c r="Q1253" i="1"/>
  <c r="R970" i="1"/>
  <c r="S1065" i="1"/>
  <c r="Q2058" i="1"/>
  <c r="Q1426" i="1"/>
  <c r="Q936" i="1"/>
  <c r="Q1114" i="1"/>
  <c r="R1253" i="1"/>
  <c r="Q900" i="1"/>
  <c r="R2058" i="1"/>
  <c r="R936" i="1"/>
  <c r="Q1245" i="1"/>
  <c r="R1114" i="1"/>
  <c r="Q1100" i="1"/>
  <c r="S1253" i="1"/>
  <c r="R900" i="1"/>
  <c r="S2058" i="1"/>
  <c r="P2062" i="1"/>
  <c r="S2062" i="1" s="1"/>
  <c r="Q1490" i="1"/>
  <c r="S936" i="1"/>
  <c r="R1100" i="1"/>
  <c r="R840" i="1"/>
  <c r="R1588" i="1"/>
  <c r="Q1278" i="1"/>
  <c r="P2059" i="1"/>
  <c r="S2059" i="1" s="1"/>
  <c r="Q1276" i="1"/>
  <c r="R1490" i="1"/>
  <c r="R1716" i="1"/>
  <c r="S1588" i="1"/>
  <c r="Q1621" i="1"/>
  <c r="R1278" i="1"/>
  <c r="R1463" i="1"/>
  <c r="P2060" i="1"/>
  <c r="S2060" i="1" s="1"/>
  <c r="S1490" i="1"/>
  <c r="S1370" i="1"/>
  <c r="Q1494" i="1"/>
  <c r="Q1588" i="1"/>
  <c r="R1621" i="1"/>
  <c r="Q1463" i="1"/>
  <c r="Q1370" i="1"/>
  <c r="S1621" i="1"/>
  <c r="Q1578" i="1"/>
  <c r="S1781" i="1"/>
  <c r="Q1065" i="1"/>
  <c r="R1044" i="1"/>
  <c r="S1251" i="1"/>
  <c r="S1044" i="1"/>
  <c r="Q979" i="1"/>
  <c r="Q1138" i="1"/>
  <c r="Q1004" i="1"/>
  <c r="Q901" i="1"/>
  <c r="R1138" i="1"/>
  <c r="R1004" i="1"/>
  <c r="R901" i="1"/>
  <c r="Q1430" i="1"/>
  <c r="P2274" i="1"/>
  <c r="S2274" i="1" s="1"/>
  <c r="R1430" i="1"/>
  <c r="P2275" i="1"/>
  <c r="R2275" i="1" s="1"/>
  <c r="S1430" i="1"/>
  <c r="Q1130" i="1"/>
  <c r="P2276" i="1"/>
  <c r="S2276" i="1" s="1"/>
  <c r="Y1625" i="19"/>
  <c r="Y1230" i="19"/>
  <c r="Y1878" i="19"/>
  <c r="Y1482" i="19"/>
  <c r="Y643" i="19"/>
  <c r="Y1127" i="19"/>
  <c r="Y2380" i="19"/>
  <c r="Y680" i="19"/>
  <c r="Y896" i="19"/>
  <c r="Y571" i="19"/>
  <c r="Y632" i="19"/>
  <c r="Y1727" i="19"/>
  <c r="Y2433" i="19"/>
  <c r="Y2358" i="19"/>
  <c r="Y2145" i="19"/>
  <c r="Y364" i="19"/>
  <c r="Y369" i="19"/>
  <c r="Y1961" i="19"/>
  <c r="Y954" i="19"/>
  <c r="Y1270" i="19"/>
  <c r="Y63" i="19"/>
  <c r="Y1151" i="19"/>
  <c r="Y742" i="19"/>
  <c r="Y1752" i="19"/>
  <c r="Y312" i="19"/>
  <c r="Y1784" i="19"/>
  <c r="Y1876" i="19"/>
  <c r="Y2221" i="19"/>
  <c r="Y1216" i="19"/>
  <c r="Y1017" i="19"/>
  <c r="Y218" i="19"/>
  <c r="Y2446" i="19"/>
  <c r="Y1498" i="19"/>
  <c r="Y20" i="19"/>
  <c r="Y2020" i="19"/>
  <c r="Y620" i="19"/>
  <c r="Y1056" i="19"/>
  <c r="Y1180" i="19"/>
  <c r="Y1766" i="19"/>
  <c r="Y988" i="19"/>
  <c r="Y1798" i="19"/>
  <c r="Y688" i="19"/>
  <c r="Y548" i="19"/>
  <c r="R1127" i="1"/>
  <c r="Y1172" i="19"/>
  <c r="Y1300" i="19"/>
  <c r="Q1216" i="1"/>
  <c r="S2151" i="1"/>
  <c r="Q1230" i="1"/>
  <c r="Y1472" i="19"/>
  <c r="Y1559" i="19"/>
  <c r="Y2479" i="19"/>
  <c r="Y554" i="19"/>
  <c r="Y1488" i="19"/>
  <c r="Y2068" i="19"/>
  <c r="Y2300" i="19"/>
  <c r="Y1362" i="19"/>
  <c r="Y2305" i="19"/>
  <c r="Y1389" i="19"/>
  <c r="Y2422" i="19"/>
  <c r="Y1534" i="19"/>
  <c r="Y1487" i="19"/>
  <c r="Y2236" i="19"/>
  <c r="Y886" i="19"/>
  <c r="Y949" i="19"/>
  <c r="Y647" i="19"/>
  <c r="Y1275" i="19"/>
  <c r="Y860" i="19"/>
  <c r="Y2019" i="19"/>
  <c r="Y1553" i="19"/>
  <c r="Y1861" i="19"/>
  <c r="Y1517" i="19"/>
  <c r="Y1217" i="19"/>
  <c r="Y471" i="19"/>
  <c r="Y1545" i="19"/>
  <c r="Y1595" i="19"/>
  <c r="Y1489" i="19"/>
  <c r="Y1933" i="19"/>
  <c r="Y603" i="19"/>
  <c r="Y2235" i="19"/>
  <c r="Y1907" i="19"/>
  <c r="Y624" i="19"/>
  <c r="Y1467" i="19"/>
  <c r="Y1460" i="19"/>
  <c r="Y1561" i="19"/>
  <c r="Y1126" i="19"/>
  <c r="Y2013" i="19"/>
  <c r="Y508" i="19"/>
  <c r="Y1791" i="19"/>
  <c r="Y2528" i="19"/>
  <c r="Y1842" i="19"/>
  <c r="Y116" i="19"/>
  <c r="Y183" i="19"/>
  <c r="Y2392" i="19"/>
  <c r="Y2485" i="19"/>
  <c r="Y286" i="19"/>
  <c r="Y541" i="19"/>
  <c r="Y1566" i="19"/>
  <c r="Y196" i="19"/>
  <c r="Y885" i="19"/>
  <c r="Y2428" i="19"/>
  <c r="Y253" i="19"/>
  <c r="Y899" i="19"/>
  <c r="Y1782" i="19"/>
  <c r="Y2070" i="19"/>
  <c r="Y1457" i="19"/>
  <c r="Y2347" i="19"/>
  <c r="Y1978" i="19"/>
  <c r="Y159" i="19"/>
  <c r="Y309" i="19"/>
  <c r="Y71" i="19"/>
  <c r="Y246" i="19"/>
  <c r="Y517" i="19"/>
  <c r="Y621" i="19"/>
  <c r="Y147" i="19"/>
  <c r="Y163" i="19"/>
  <c r="Y2298" i="19"/>
  <c r="Y348" i="19"/>
  <c r="Y2014" i="19"/>
  <c r="Y1291" i="19"/>
  <c r="Y1737" i="19"/>
  <c r="Y1993" i="19"/>
  <c r="Y1523" i="19"/>
  <c r="Y216" i="19"/>
  <c r="Y2350" i="19"/>
  <c r="Y2263" i="19"/>
  <c r="Y306" i="19"/>
  <c r="Y669" i="19"/>
  <c r="Y1295" i="19"/>
  <c r="Y982" i="19"/>
  <c r="Y684" i="19"/>
  <c r="Y1353" i="19"/>
  <c r="Y1407" i="19"/>
  <c r="Y241" i="19"/>
  <c r="Y2188" i="19"/>
  <c r="Y160" i="19"/>
  <c r="Y1423" i="19"/>
  <c r="Y1815" i="19"/>
  <c r="Y2435" i="19"/>
  <c r="Y1201" i="19"/>
  <c r="Y1557" i="19"/>
  <c r="Y1834" i="19"/>
  <c r="Y767" i="19"/>
  <c r="Y2432" i="19"/>
  <c r="Y760" i="19"/>
  <c r="Y258" i="19"/>
  <c r="Y533" i="19"/>
  <c r="Y535" i="19"/>
  <c r="Y1183" i="19"/>
  <c r="Y227" i="19"/>
  <c r="Y283" i="19"/>
  <c r="Y2286" i="19"/>
  <c r="Y2517" i="19"/>
  <c r="Y137" i="19"/>
  <c r="Y472" i="19"/>
  <c r="Y90" i="19"/>
  <c r="Y334" i="19"/>
  <c r="Y146" i="19"/>
  <c r="Y481" i="19"/>
  <c r="Y494" i="19"/>
  <c r="Y327" i="19"/>
  <c r="Y590" i="19"/>
  <c r="Y2000" i="19"/>
  <c r="Y180" i="19"/>
  <c r="Y1406" i="19"/>
  <c r="Y1676" i="19"/>
  <c r="Y324" i="19"/>
  <c r="Y1701" i="19"/>
  <c r="Y1170" i="19"/>
  <c r="Y2228" i="19"/>
  <c r="Y789" i="19"/>
  <c r="Y1772" i="19"/>
  <c r="Y150" i="19"/>
  <c r="Y2232" i="19"/>
  <c r="Y858" i="19"/>
  <c r="Y792" i="19"/>
  <c r="Y333" i="19"/>
  <c r="Y1229" i="19"/>
  <c r="Y1220" i="19"/>
  <c r="Y2375" i="19"/>
  <c r="Y1348" i="19"/>
  <c r="Y2244" i="19"/>
  <c r="Y555" i="19"/>
  <c r="Y1708" i="19"/>
  <c r="Y1695" i="19"/>
  <c r="Y222" i="19"/>
  <c r="Y1589" i="19"/>
  <c r="Y476" i="19"/>
  <c r="Y870" i="19"/>
  <c r="Y104" i="19"/>
  <c r="Y1336" i="19"/>
  <c r="Y582" i="19"/>
  <c r="Y1980" i="19"/>
  <c r="Y256" i="19"/>
  <c r="Y1592" i="19"/>
  <c r="Y1996" i="19"/>
  <c r="Y1904" i="19"/>
  <c r="Y148" i="19"/>
  <c r="Y2356" i="19"/>
  <c r="Y1629" i="19"/>
  <c r="Y1390" i="19"/>
  <c r="Y2414" i="19"/>
  <c r="Y749" i="19"/>
  <c r="Y402" i="19"/>
  <c r="Y342" i="19"/>
  <c r="Y223" i="19"/>
  <c r="Y1072" i="19"/>
  <c r="Y1309" i="19"/>
  <c r="Y138" i="19"/>
  <c r="Y2472" i="19"/>
  <c r="Y158" i="19"/>
  <c r="Y2183" i="19"/>
  <c r="Y1109" i="19"/>
  <c r="Y985" i="19"/>
  <c r="Y1148" i="19"/>
  <c r="Y1512" i="19"/>
  <c r="Y2208" i="19"/>
  <c r="Y1124" i="19"/>
  <c r="Y1901" i="19"/>
  <c r="Y1442" i="19"/>
  <c r="Y2169" i="19"/>
  <c r="Y1475" i="19"/>
  <c r="Y1750" i="19"/>
  <c r="Y156" i="19"/>
  <c r="Y2242" i="19"/>
  <c r="Y211" i="19"/>
  <c r="Y1169" i="19"/>
  <c r="Y2303" i="19"/>
  <c r="Y1759" i="19"/>
  <c r="Y559" i="19"/>
  <c r="Y249" i="19"/>
  <c r="Y1836" i="19"/>
  <c r="Y1079" i="19"/>
  <c r="Y1665" i="19"/>
  <c r="Y251" i="19"/>
  <c r="Y1788" i="19"/>
  <c r="Y2293" i="19"/>
  <c r="Y1342" i="19"/>
  <c r="Y546" i="19"/>
  <c r="Y1722" i="19"/>
  <c r="Y38" i="19"/>
  <c r="Y96" i="19"/>
  <c r="Y1218" i="19"/>
  <c r="Y80" i="19"/>
  <c r="Y2398" i="19"/>
  <c r="Y1967" i="19"/>
  <c r="Y2274" i="19"/>
  <c r="Y1711" i="19"/>
  <c r="Y1903" i="19"/>
  <c r="Y1416" i="19"/>
  <c r="R1216" i="1"/>
  <c r="Y1703" i="19"/>
  <c r="Y2164" i="19"/>
  <c r="Y2480" i="19"/>
  <c r="R1230" i="1"/>
  <c r="Y1588" i="19"/>
  <c r="Y1370" i="19"/>
  <c r="Y1747" i="19"/>
  <c r="Y1578" i="19"/>
  <c r="Y936" i="19"/>
  <c r="Y2100" i="19"/>
  <c r="Y2282" i="19"/>
  <c r="Y1490" i="19"/>
  <c r="Y1065" i="19"/>
  <c r="Y1173" i="19"/>
  <c r="Y1509" i="19"/>
  <c r="Y1194" i="19"/>
  <c r="Y1621" i="19"/>
  <c r="Y1253" i="19"/>
  <c r="Y2264" i="19"/>
  <c r="Y1391" i="19"/>
  <c r="Y888" i="19"/>
  <c r="Y848" i="19"/>
  <c r="Y1925" i="19"/>
  <c r="Y1707" i="19"/>
  <c r="Y1281" i="19"/>
  <c r="Y352" i="19"/>
  <c r="Y1739" i="19"/>
  <c r="Y641" i="19"/>
  <c r="Y1615" i="19"/>
  <c r="Y1965" i="19"/>
  <c r="Y483" i="19"/>
  <c r="Y1147" i="19"/>
  <c r="Y2197" i="19"/>
  <c r="Y803" i="19"/>
  <c r="Y1622" i="19"/>
  <c r="Y1546" i="19"/>
  <c r="Y2198" i="19"/>
  <c r="Y569" i="19"/>
  <c r="Y1243" i="19"/>
  <c r="Y2045" i="19"/>
  <c r="Y540" i="19"/>
  <c r="Y1823" i="19"/>
  <c r="Y1367" i="19"/>
  <c r="Y1158" i="19"/>
  <c r="Y1874" i="19"/>
  <c r="Y295" i="19"/>
  <c r="Y321" i="19"/>
  <c r="Y618" i="19"/>
  <c r="Y2362" i="19"/>
  <c r="Y573" i="19"/>
  <c r="Y1658" i="19"/>
  <c r="Y376" i="19"/>
  <c r="Y2210" i="19"/>
  <c r="Y47" i="19"/>
  <c r="Y313" i="19"/>
  <c r="Y1011" i="19"/>
  <c r="Y1814" i="19"/>
  <c r="Y2102" i="19"/>
  <c r="Y1227" i="19"/>
  <c r="Y801" i="19"/>
  <c r="Y1754" i="19"/>
  <c r="Y2042" i="19"/>
  <c r="Y36" i="19"/>
  <c r="Y307" i="19"/>
  <c r="Y974" i="19"/>
  <c r="Y581" i="19"/>
  <c r="Y280" i="19"/>
  <c r="Y316" i="19"/>
  <c r="Y87" i="19"/>
  <c r="Y1790" i="19"/>
  <c r="Y2046" i="19"/>
  <c r="Y1535" i="19"/>
  <c r="Y1769" i="19"/>
  <c r="Y2025" i="19"/>
  <c r="Y2140" i="19"/>
  <c r="Y499" i="19"/>
  <c r="Y2400" i="19"/>
  <c r="Y2361" i="19"/>
  <c r="Y41" i="19"/>
  <c r="Y1322" i="19"/>
  <c r="Y1050" i="19"/>
  <c r="Y833" i="19"/>
  <c r="Y1476" i="19"/>
  <c r="Y1607" i="19"/>
  <c r="Y381" i="19"/>
  <c r="Y1962" i="19"/>
  <c r="Y188" i="19"/>
  <c r="Y1449" i="19"/>
  <c r="Y1879" i="19"/>
  <c r="Y2467" i="19"/>
  <c r="Y1233" i="19"/>
  <c r="Y816" i="19"/>
  <c r="Y2195" i="19"/>
  <c r="Y1866" i="19"/>
  <c r="Y477" i="19"/>
  <c r="Y772" i="19"/>
  <c r="Y2460" i="19"/>
  <c r="Y1301" i="19"/>
  <c r="Y959" i="19"/>
  <c r="Y597" i="19"/>
  <c r="Y567" i="19"/>
  <c r="Y1209" i="19"/>
  <c r="Y724" i="19"/>
  <c r="Y67" i="19"/>
  <c r="Y1974" i="19"/>
  <c r="Y168" i="19"/>
  <c r="Y606" i="19"/>
  <c r="Y2290" i="19"/>
  <c r="Y738" i="19"/>
  <c r="Y495" i="19"/>
  <c r="Y423" i="19"/>
  <c r="Y273" i="19"/>
  <c r="Y750" i="19"/>
  <c r="Y1497" i="19"/>
  <c r="Y430" i="19"/>
  <c r="Y1808" i="19"/>
  <c r="Y1884" i="19"/>
  <c r="Y330" i="19"/>
  <c r="Y1668" i="19"/>
  <c r="Y1840" i="19"/>
  <c r="Y2383" i="19"/>
  <c r="Y958" i="19"/>
  <c r="Y194" i="19"/>
  <c r="Y1285" i="19"/>
  <c r="Y854" i="19"/>
  <c r="Y658" i="19"/>
  <c r="Y2179" i="19"/>
  <c r="Y362" i="19"/>
  <c r="Y1613" i="19"/>
  <c r="Y952" i="19"/>
  <c r="Y221" i="19"/>
  <c r="Y1538" i="19"/>
  <c r="Y2136" i="19"/>
  <c r="Y940" i="19"/>
  <c r="Y2191" i="19"/>
  <c r="Y2488" i="19"/>
  <c r="Y1053" i="19"/>
  <c r="Y1580" i="19"/>
  <c r="Y526" i="19"/>
  <c r="Y1052" i="19"/>
  <c r="Y829" i="19"/>
  <c r="Y1354" i="19"/>
  <c r="Y991" i="19"/>
  <c r="Y2470" i="19"/>
  <c r="Y2171" i="19"/>
  <c r="Y692" i="19"/>
  <c r="Y2016" i="19"/>
  <c r="Y2345" i="19"/>
  <c r="Y129" i="19"/>
  <c r="Y53" i="19"/>
  <c r="Y493" i="19"/>
  <c r="Y1097" i="19"/>
  <c r="Y1892" i="19"/>
  <c r="Y50" i="19"/>
  <c r="Y1620" i="19"/>
  <c r="Y247" i="19"/>
  <c r="Y350" i="19"/>
  <c r="Y1036" i="19"/>
  <c r="Y215" i="19"/>
  <c r="Y225" i="19"/>
  <c r="Y1149" i="19"/>
  <c r="Y735" i="19"/>
  <c r="Y357" i="19"/>
  <c r="Y1571" i="19"/>
  <c r="Y1756" i="19"/>
  <c r="Y782" i="19"/>
  <c r="Y924" i="19"/>
  <c r="Y956" i="19"/>
  <c r="Y649" i="19"/>
  <c r="Y2153" i="19"/>
  <c r="Y2176" i="19"/>
  <c r="Y1076" i="19"/>
  <c r="Y673" i="19"/>
  <c r="Y1185" i="19"/>
  <c r="Y2207" i="19"/>
  <c r="Y1098" i="19"/>
  <c r="Y2201" i="19"/>
  <c r="Y93" i="19"/>
  <c r="Y644" i="19"/>
  <c r="Y2436" i="19"/>
  <c r="Y1982" i="19"/>
  <c r="Y2205" i="19"/>
  <c r="Y1319" i="19"/>
  <c r="Y2336" i="19"/>
  <c r="Y2390" i="19"/>
  <c r="Y298" i="19"/>
  <c r="Y289" i="19"/>
  <c r="Y153" i="19"/>
  <c r="Y1331" i="19"/>
  <c r="Y997" i="19"/>
  <c r="Y360" i="19"/>
  <c r="Y151" i="19"/>
  <c r="Y1551" i="19"/>
  <c r="Y2076" i="19"/>
  <c r="Y1438" i="19"/>
  <c r="Y686" i="19"/>
  <c r="Y1424" i="19"/>
  <c r="Y588" i="19"/>
  <c r="Y2450" i="19"/>
  <c r="Y1871" i="19"/>
  <c r="Y1269" i="19"/>
  <c r="Y1398" i="19"/>
  <c r="Y2118" i="19"/>
  <c r="Y1107" i="19"/>
  <c r="Y1068" i="19"/>
  <c r="Y530" i="19"/>
  <c r="S1216" i="1"/>
  <c r="S1230" i="1"/>
  <c r="Y941" i="19"/>
  <c r="Y2142" i="19"/>
  <c r="Y2180" i="19"/>
  <c r="Y1806" i="19"/>
  <c r="Y2458" i="19"/>
  <c r="Y2084" i="19"/>
  <c r="Y2144" i="19"/>
  <c r="Y1029" i="19"/>
  <c r="Y2152" i="19"/>
  <c r="Y2220" i="19"/>
  <c r="Y1372" i="19"/>
  <c r="Y1063" i="19"/>
  <c r="Y2454" i="19"/>
  <c r="Y2486" i="19"/>
  <c r="Y1762" i="19"/>
  <c r="Y1624" i="19"/>
  <c r="Y1525" i="19"/>
  <c r="Y1511" i="19"/>
  <c r="Y1415" i="19"/>
  <c r="Y2115" i="19"/>
  <c r="Y1989" i="19"/>
  <c r="Y994" i="19"/>
  <c r="Y2360" i="19"/>
  <c r="Y528" i="19"/>
  <c r="Y938" i="19"/>
  <c r="Y1931" i="19"/>
  <c r="Y855" i="19"/>
  <c r="Y1645" i="19"/>
  <c r="Y1997" i="19"/>
  <c r="Y1435" i="19"/>
  <c r="Y2334" i="19"/>
  <c r="Y1653" i="19"/>
  <c r="Y914" i="19"/>
  <c r="Y795" i="19"/>
  <c r="Y601" i="19"/>
  <c r="Y1757" i="19"/>
  <c r="Y2077" i="19"/>
  <c r="Y572" i="19"/>
  <c r="Y1855" i="19"/>
  <c r="Y2384" i="19"/>
  <c r="Y1215" i="19"/>
  <c r="Y1906" i="19"/>
  <c r="Y739" i="19"/>
  <c r="Y404" i="19"/>
  <c r="Y2010" i="19"/>
  <c r="Y243" i="19"/>
  <c r="Y966" i="19"/>
  <c r="Y820" i="19"/>
  <c r="Y125" i="19"/>
  <c r="Y143" i="19"/>
  <c r="Y2238" i="19"/>
  <c r="Y2051" i="19"/>
  <c r="Y25" i="19"/>
  <c r="Y1468" i="19"/>
  <c r="Y1846" i="19"/>
  <c r="Y2132" i="19"/>
  <c r="Y1477" i="19"/>
  <c r="Y1786" i="19"/>
  <c r="Y2130" i="19"/>
  <c r="Y433" i="19"/>
  <c r="Y27" i="19"/>
  <c r="Y668" i="19"/>
  <c r="Y1042" i="19"/>
  <c r="Y652" i="19"/>
  <c r="Y1259" i="19"/>
  <c r="Y191" i="19"/>
  <c r="Y121" i="19"/>
  <c r="Y1887" i="19"/>
  <c r="Y731" i="19"/>
  <c r="Y1822" i="19"/>
  <c r="Y2138" i="19"/>
  <c r="Y2331" i="19"/>
  <c r="Y1801" i="19"/>
  <c r="Y2057" i="19"/>
  <c r="Y2313" i="19"/>
  <c r="Y379" i="19"/>
  <c r="Y2448" i="19"/>
  <c r="Y2465" i="19"/>
  <c r="Y49" i="19"/>
  <c r="Y921" i="19"/>
  <c r="Y1417" i="19"/>
  <c r="Y1078" i="19"/>
  <c r="Y857" i="19"/>
  <c r="Y1706" i="19"/>
  <c r="Y756" i="19"/>
  <c r="Y1987" i="19"/>
  <c r="Y332" i="19"/>
  <c r="Y1862" i="19"/>
  <c r="Y1911" i="19"/>
  <c r="Y628" i="19"/>
  <c r="Y1265" i="19"/>
  <c r="Y845" i="19"/>
  <c r="Y1930" i="19"/>
  <c r="Y264" i="19"/>
  <c r="Y751" i="19"/>
  <c r="Y1970" i="19"/>
  <c r="Y164" i="19"/>
  <c r="Y635" i="19"/>
  <c r="Y1058" i="19"/>
  <c r="Y630" i="19"/>
  <c r="Y1267" i="19"/>
  <c r="Y727" i="19"/>
  <c r="Y331" i="19"/>
  <c r="Y2212" i="19"/>
  <c r="Y140" i="19"/>
  <c r="Y762" i="19"/>
  <c r="Y726" i="19"/>
  <c r="Y367" i="19"/>
  <c r="Y906" i="19"/>
  <c r="Y126" i="19"/>
  <c r="Y1035" i="19"/>
  <c r="Y2184" i="19"/>
  <c r="Y75" i="19"/>
  <c r="Y484" i="19"/>
  <c r="Y882" i="19"/>
  <c r="Y1447" i="19"/>
  <c r="Y1413" i="19"/>
  <c r="Y1101" i="19"/>
  <c r="Y1324" i="19"/>
  <c r="Y2527" i="19"/>
  <c r="Y1597" i="19"/>
  <c r="Y1113" i="19"/>
  <c r="Y1582" i="19"/>
  <c r="Y1318" i="19"/>
  <c r="Y1250" i="19"/>
  <c r="Y358" i="19"/>
  <c r="Y1365" i="19"/>
  <c r="Y514" i="19"/>
  <c r="Y1234" i="19"/>
  <c r="Y2203" i="19"/>
  <c r="Y2310" i="19"/>
  <c r="Y2348" i="19"/>
  <c r="Y1013" i="19"/>
  <c r="Y2281" i="19"/>
  <c r="Y2521" i="19"/>
  <c r="Y314" i="19"/>
  <c r="Y577" i="19"/>
  <c r="Y1508" i="19"/>
  <c r="Y549" i="19"/>
  <c r="Y610" i="19"/>
  <c r="Y99" i="19"/>
  <c r="Y1540" i="19"/>
  <c r="Y1396" i="19"/>
  <c r="Y1932" i="19"/>
  <c r="Y130" i="19"/>
  <c r="Y378" i="19"/>
  <c r="Y2471" i="19"/>
  <c r="Y2128" i="19"/>
  <c r="Y2190" i="19"/>
  <c r="Y1061" i="19"/>
  <c r="Y757" i="19"/>
  <c r="Y399" i="19"/>
  <c r="Y1202" i="19"/>
  <c r="Y368" i="19"/>
  <c r="Y1480" i="19"/>
  <c r="Y1924" i="19"/>
  <c r="Y100" i="19"/>
  <c r="Y2064" i="19"/>
  <c r="Y124" i="19"/>
  <c r="Y373" i="19"/>
  <c r="Y1835" i="19"/>
  <c r="Y972" i="19"/>
  <c r="Y170" i="19"/>
  <c r="Y1085" i="19"/>
  <c r="Y2172" i="19"/>
  <c r="Y2462" i="19"/>
  <c r="Y863" i="19"/>
  <c r="Y1916" i="19"/>
  <c r="Y2386" i="19"/>
  <c r="Y1081" i="19"/>
  <c r="Y1143" i="19"/>
  <c r="Y1132" i="19"/>
  <c r="Y1043" i="19"/>
  <c r="Y1258" i="19"/>
  <c r="Y1829" i="19"/>
  <c r="Y1403" i="19"/>
  <c r="Y1811" i="19"/>
  <c r="Y1981" i="19"/>
  <c r="Y1810" i="19"/>
  <c r="Y511" i="19"/>
  <c r="Y276" i="19"/>
  <c r="Y1946" i="19"/>
  <c r="Y2537" i="19"/>
  <c r="Y1662" i="19"/>
  <c r="Y177" i="19"/>
  <c r="Y589" i="19"/>
  <c r="Y712" i="19"/>
  <c r="Y405" i="19"/>
  <c r="Y112" i="19"/>
  <c r="Y244" i="19"/>
  <c r="Y502" i="19"/>
  <c r="Y1528" i="19"/>
  <c r="Y702" i="19"/>
  <c r="Y1137" i="19"/>
  <c r="Y1533" i="19"/>
  <c r="Y2060" i="19"/>
  <c r="Y818" i="19"/>
  <c r="Y1112" i="19"/>
  <c r="Y432" i="19"/>
  <c r="Y48" i="19"/>
  <c r="P2137" i="1"/>
  <c r="Q2137" i="1" s="1"/>
  <c r="Y1366" i="19"/>
  <c r="Y1576" i="19"/>
  <c r="Y565" i="19"/>
  <c r="Y973" i="19"/>
  <c r="Y2482" i="19"/>
  <c r="Y1150" i="19"/>
  <c r="Y1084" i="19"/>
  <c r="Y826" i="19"/>
  <c r="Y2483" i="19"/>
  <c r="S1043" i="1"/>
  <c r="Y1386" i="19"/>
  <c r="Y2378" i="19"/>
  <c r="Y2080" i="19"/>
  <c r="Y2112" i="19"/>
  <c r="Y1947" i="19"/>
  <c r="Y1828" i="19"/>
  <c r="Y2258" i="19"/>
  <c r="Y1554" i="19"/>
  <c r="Y2364" i="19"/>
  <c r="Y1748" i="19"/>
  <c r="Y1935" i="19"/>
  <c r="Y1430" i="19"/>
  <c r="Y1783" i="19"/>
  <c r="Y2219" i="19"/>
  <c r="Y263" i="19"/>
  <c r="Y1763" i="19"/>
  <c r="Y2314" i="19"/>
  <c r="Y1105" i="19"/>
  <c r="Y2021" i="19"/>
  <c r="Y1054" i="19"/>
  <c r="Y987" i="19"/>
  <c r="Y560" i="19"/>
  <c r="Y1159" i="19"/>
  <c r="Y2091" i="19"/>
  <c r="Y1083" i="19"/>
  <c r="Y1741" i="19"/>
  <c r="Y2029" i="19"/>
  <c r="Y1198" i="19"/>
  <c r="Y2441" i="19"/>
  <c r="Y2365" i="19"/>
  <c r="Y1941" i="19"/>
  <c r="Y1003" i="19"/>
  <c r="Y912" i="19"/>
  <c r="Y1047" i="19"/>
  <c r="Y1821" i="19"/>
  <c r="Y2137" i="19"/>
  <c r="Y604" i="19"/>
  <c r="Y1919" i="19"/>
  <c r="Y671" i="19"/>
  <c r="Y1241" i="19"/>
  <c r="Y1938" i="19"/>
  <c r="Y119" i="19"/>
  <c r="Y720" i="19"/>
  <c r="Y2154" i="19"/>
  <c r="Y804" i="19"/>
  <c r="Y1654" i="19"/>
  <c r="Y1491" i="19"/>
  <c r="Y328" i="19"/>
  <c r="Y400" i="19"/>
  <c r="Y2292" i="19"/>
  <c r="Y2175" i="19"/>
  <c r="Y325" i="19"/>
  <c r="Y1527" i="19"/>
  <c r="Y2267" i="19"/>
  <c r="Y1599" i="19"/>
  <c r="Y1818" i="19"/>
  <c r="Y2211" i="19"/>
  <c r="Y475" i="19"/>
  <c r="Y44" i="19"/>
  <c r="Y338" i="19"/>
  <c r="Y1106" i="19"/>
  <c r="Y1445" i="19"/>
  <c r="Y203" i="19"/>
  <c r="Y52" i="19"/>
  <c r="Y2071" i="19"/>
  <c r="Y754" i="19"/>
  <c r="Y1854" i="19"/>
  <c r="Y2341" i="19"/>
  <c r="Y2545" i="19"/>
  <c r="Y1833" i="19"/>
  <c r="Y2089" i="19"/>
  <c r="Y758" i="19"/>
  <c r="Y375" i="19"/>
  <c r="Y2110" i="19"/>
  <c r="Y24" i="19"/>
  <c r="Y109" i="19"/>
  <c r="Y1019" i="19"/>
  <c r="Y1505" i="19"/>
  <c r="Y1283" i="19"/>
  <c r="Y1051" i="19"/>
  <c r="Y37" i="19"/>
  <c r="Y732" i="19"/>
  <c r="Y2271" i="19"/>
  <c r="Y2251" i="19"/>
  <c r="Y2007" i="19"/>
  <c r="Y1297" i="19"/>
  <c r="Y599" i="19"/>
  <c r="Y2225" i="19"/>
  <c r="Y301" i="19"/>
  <c r="Y873" i="19"/>
  <c r="Y2416" i="19"/>
  <c r="Y300" i="19"/>
  <c r="Y849" i="19"/>
  <c r="Y1122" i="19"/>
  <c r="Y693" i="19"/>
  <c r="Y1355" i="19"/>
  <c r="Y127" i="19"/>
  <c r="Y761" i="19"/>
  <c r="Y2420" i="19"/>
  <c r="Y187" i="19"/>
  <c r="Y1686" i="19"/>
  <c r="Y890" i="19"/>
  <c r="Y763" i="19"/>
  <c r="Y1804" i="19"/>
  <c r="Y266" i="19"/>
  <c r="Y257" i="19"/>
  <c r="Y65" i="19"/>
  <c r="Y272" i="19"/>
  <c r="Y198" i="19"/>
  <c r="Y165" i="19"/>
  <c r="Y1796" i="19"/>
  <c r="Y827" i="19"/>
  <c r="Y1667" i="19"/>
  <c r="Y2053" i="19"/>
  <c r="Y1819" i="19"/>
  <c r="Y2519" i="19"/>
  <c r="Y2443" i="19"/>
  <c r="Y1121" i="19"/>
  <c r="Y1530" i="19"/>
  <c r="Y1117" i="19"/>
  <c r="Y1096" i="19"/>
  <c r="Y1429" i="19"/>
  <c r="Y1133" i="19"/>
  <c r="Y1363" i="19"/>
  <c r="Y1280" i="19"/>
  <c r="Y1936" i="19"/>
  <c r="Y1069" i="19"/>
  <c r="Y2542" i="19"/>
  <c r="Y94" i="19"/>
  <c r="Y846" i="19"/>
  <c r="Y1192" i="19"/>
  <c r="Y812" i="19"/>
  <c r="Y2532" i="19"/>
  <c r="Y1320" i="19"/>
  <c r="Y1333" i="19"/>
  <c r="Y1260" i="19"/>
  <c r="Y1452" i="19"/>
  <c r="Y95" i="19"/>
  <c r="Y1740" i="19"/>
  <c r="Y802" i="19"/>
  <c r="Y1952" i="19"/>
  <c r="Y506" i="19"/>
  <c r="Y482" i="19"/>
  <c r="Y429" i="19"/>
  <c r="Y268" i="19"/>
  <c r="Y195" i="19"/>
  <c r="Y964" i="19"/>
  <c r="Y310" i="19"/>
  <c r="Y654" i="19"/>
  <c r="Y1627" i="19"/>
  <c r="Y498" i="19"/>
  <c r="Y1422" i="19"/>
  <c r="Y2498" i="19"/>
  <c r="Y976" i="19"/>
  <c r="Y26" i="19"/>
  <c r="Y200" i="19"/>
  <c r="Y428" i="19"/>
  <c r="Y2340" i="19"/>
  <c r="Y2474" i="19"/>
  <c r="Y960" i="19"/>
  <c r="Y743" i="19"/>
  <c r="Y2012" i="19"/>
  <c r="Y303" i="19"/>
  <c r="Y666" i="19"/>
  <c r="Y625" i="19"/>
  <c r="Y267" i="19"/>
  <c r="Y748" i="19"/>
  <c r="Y768" i="19"/>
  <c r="Y1720" i="19"/>
  <c r="Y887" i="19"/>
  <c r="Y2269" i="19"/>
  <c r="Y174" i="19"/>
  <c r="Y1679" i="19"/>
  <c r="Y2150" i="19"/>
  <c r="Y1483" i="19"/>
  <c r="Y1563" i="19"/>
  <c r="Y1010" i="19"/>
  <c r="Y120" i="19"/>
  <c r="Y561" i="19"/>
  <c r="Y2325" i="19"/>
  <c r="Y213" i="19"/>
  <c r="Y905" i="19"/>
  <c r="Y1395" i="19"/>
  <c r="Y868" i="19"/>
  <c r="Y139" i="19"/>
  <c r="Y1493" i="19"/>
  <c r="Y242" i="19"/>
  <c r="Y292" i="19"/>
  <c r="Y1802" i="19"/>
  <c r="Y113" i="19"/>
  <c r="Y2122" i="19"/>
  <c r="Y98" i="19"/>
  <c r="Y2072" i="19"/>
  <c r="Y718" i="19"/>
  <c r="Y210" i="19"/>
  <c r="Y2165" i="19"/>
  <c r="Y574" i="19"/>
  <c r="Y212" i="19"/>
  <c r="Y1313" i="19"/>
  <c r="Y1277" i="19"/>
  <c r="Y1474" i="19"/>
  <c r="Y2394" i="19"/>
  <c r="Y1244" i="19"/>
  <c r="Y1584" i="19"/>
  <c r="Y2149" i="19"/>
  <c r="Y639" i="19"/>
  <c r="Y1504" i="19"/>
  <c r="Y1120" i="19"/>
  <c r="Y2187" i="19"/>
  <c r="Y2252" i="19"/>
  <c r="Y594" i="19"/>
  <c r="Y862" i="19"/>
  <c r="Y534" i="19"/>
  <c r="Y1119" i="19"/>
  <c r="Y1717" i="19"/>
  <c r="Y1616" i="19"/>
  <c r="Y2247" i="19"/>
  <c r="Y1066" i="19"/>
  <c r="Y968" i="19"/>
  <c r="Y2324" i="19"/>
  <c r="Y2161" i="19"/>
  <c r="Y2330" i="19"/>
  <c r="Y1537" i="19"/>
  <c r="Y614" i="19"/>
  <c r="Y531" i="19"/>
  <c r="Y1780" i="19"/>
  <c r="Y1807" i="19"/>
  <c r="Y616" i="19"/>
  <c r="Y2492" i="19"/>
  <c r="Y2249" i="19"/>
  <c r="Y60" i="19"/>
  <c r="Y1827" i="19"/>
  <c r="Y513" i="19"/>
  <c r="Y1307" i="19"/>
  <c r="Y2117" i="19"/>
  <c r="Y1090" i="19"/>
  <c r="Y1371" i="19"/>
  <c r="Y655" i="19"/>
  <c r="Y1191" i="19"/>
  <c r="Y2359" i="19"/>
  <c r="Y1199" i="19"/>
  <c r="Y1805" i="19"/>
  <c r="Y2061" i="19"/>
  <c r="Y507" i="19"/>
  <c r="Y2431" i="19"/>
  <c r="Y2541" i="19"/>
  <c r="Y2193" i="19"/>
  <c r="Y1062" i="19"/>
  <c r="Y2158" i="19"/>
  <c r="Y1853" i="19"/>
  <c r="Y587" i="19"/>
  <c r="Y1207" i="19"/>
  <c r="Y1951" i="19"/>
  <c r="Y793" i="19"/>
  <c r="Y1299" i="19"/>
  <c r="Y2002" i="19"/>
  <c r="Y733" i="19"/>
  <c r="Y881" i="19"/>
  <c r="Y31" i="19"/>
  <c r="Y892" i="19"/>
  <c r="Y1521" i="19"/>
  <c r="Y744" i="19"/>
  <c r="Y2328" i="19"/>
  <c r="Y2445" i="19"/>
  <c r="Y238" i="19"/>
  <c r="Y1562" i="19"/>
  <c r="Y1910" i="19"/>
  <c r="Y1793" i="19"/>
  <c r="Y1131" i="19"/>
  <c r="Y1850" i="19"/>
  <c r="Y2241" i="19"/>
  <c r="Y59" i="19"/>
  <c r="Y319" i="19"/>
  <c r="Y1134" i="19"/>
  <c r="Y923" i="19"/>
  <c r="Y1634" i="19"/>
  <c r="Y470" i="19"/>
  <c r="Y157" i="19"/>
  <c r="Y2257" i="19"/>
  <c r="Y1886" i="19"/>
  <c r="Y837" i="19"/>
  <c r="Y864" i="19"/>
  <c r="Y1865" i="19"/>
  <c r="Y2121" i="19"/>
  <c r="Y32" i="19"/>
  <c r="Y745" i="19"/>
  <c r="Y2456" i="19"/>
  <c r="Y255" i="19"/>
  <c r="Y262" i="19"/>
  <c r="Y1049" i="19"/>
  <c r="Y1541" i="19"/>
  <c r="Y1338" i="19"/>
  <c r="Y1641" i="19"/>
  <c r="Y421" i="19"/>
  <c r="Y181" i="19"/>
  <c r="Y2369" i="19"/>
  <c r="Y843" i="19"/>
  <c r="Y2039" i="19"/>
  <c r="Y935" i="19"/>
  <c r="Y1387" i="19"/>
  <c r="Y1116" i="19"/>
  <c r="Y2259" i="19"/>
  <c r="Y51" i="19"/>
  <c r="Y197" i="19"/>
  <c r="Y1795" i="19"/>
  <c r="Y326" i="19"/>
  <c r="Y884" i="19"/>
  <c r="Y1419" i="19"/>
  <c r="Y828" i="19"/>
  <c r="Y1471" i="19"/>
  <c r="Y269" i="19"/>
  <c r="Y217" i="19"/>
  <c r="Y23" i="19"/>
  <c r="Y361" i="19"/>
  <c r="Y141" i="19"/>
  <c r="Y759" i="19"/>
  <c r="Y771" i="19"/>
  <c r="Y2320" i="19"/>
  <c r="Y346" i="19"/>
  <c r="Y496" i="19"/>
  <c r="Y250" i="19"/>
  <c r="Y92" i="19"/>
  <c r="Y2032" i="19"/>
  <c r="Y2388" i="19"/>
  <c r="Y403" i="19"/>
  <c r="Y769" i="19"/>
  <c r="Y291" i="19"/>
  <c r="Y948" i="19"/>
  <c r="Y967" i="19"/>
  <c r="Y97" i="19"/>
  <c r="Y220" i="19"/>
  <c r="Y1385" i="19"/>
  <c r="Y2155" i="19"/>
  <c r="Y1432" i="19"/>
  <c r="Y2147" i="19"/>
  <c r="Y1380" i="19"/>
  <c r="Y1699" i="19"/>
  <c r="Y1248" i="19"/>
  <c r="Y2092" i="19"/>
  <c r="Y1520" i="19"/>
  <c r="Y1923" i="19"/>
  <c r="Y297" i="19"/>
  <c r="Y1073" i="19"/>
  <c r="Y838" i="19"/>
  <c r="Y1628" i="19"/>
  <c r="Y2256" i="19"/>
  <c r="Y1572" i="19"/>
  <c r="Y698" i="19"/>
  <c r="Y2108" i="19"/>
  <c r="Y1469" i="19"/>
  <c r="Y920" i="19"/>
  <c r="Y1725" i="19"/>
  <c r="Y102" i="19"/>
  <c r="Y2317" i="19"/>
  <c r="Y1852" i="19"/>
  <c r="Y1731" i="19"/>
  <c r="Y2438" i="19"/>
  <c r="Y2096" i="19"/>
  <c r="Y46" i="19"/>
  <c r="Y167" i="19"/>
  <c r="Y753" i="19"/>
  <c r="Y382" i="19"/>
  <c r="Y2124" i="19"/>
  <c r="Y1656" i="19"/>
  <c r="Y986" i="19"/>
  <c r="Y398" i="19"/>
  <c r="Y1252" i="19"/>
  <c r="Y626" i="19"/>
  <c r="Y56" i="19"/>
  <c r="Y1237" i="19"/>
  <c r="Y435" i="19"/>
  <c r="Y1820" i="19"/>
  <c r="Y2044" i="19"/>
  <c r="Y1057" i="19"/>
  <c r="Y578" i="19"/>
  <c r="Y82" i="19"/>
  <c r="Y852" i="19"/>
  <c r="Y926" i="19"/>
  <c r="Y207" i="19"/>
  <c r="Y374" i="19"/>
  <c r="Y1470" i="19"/>
  <c r="Y480" i="19"/>
  <c r="Y162" i="19"/>
  <c r="Y42" i="19"/>
  <c r="Y285" i="19"/>
  <c r="Y152" i="19"/>
  <c r="Y103" i="19"/>
  <c r="Y683" i="19"/>
  <c r="Y634" i="19"/>
  <c r="Y2402" i="19"/>
  <c r="Y1287" i="19"/>
  <c r="Y537" i="19"/>
  <c r="Y344" i="19"/>
  <c r="Y813" i="19"/>
  <c r="Y21" i="19"/>
  <c r="Y1606" i="19"/>
  <c r="Y380" i="19"/>
  <c r="Y2114" i="19"/>
  <c r="Y1175" i="19"/>
  <c r="Y154" i="19"/>
  <c r="Y708" i="19"/>
  <c r="Y1648" i="19"/>
  <c r="Y1697" i="19"/>
  <c r="Y252" i="19"/>
  <c r="Y214" i="19"/>
  <c r="Y1392" i="19"/>
  <c r="Y1760" i="19"/>
  <c r="Y1186" i="19"/>
  <c r="Y2200" i="19"/>
  <c r="Y1357" i="19"/>
  <c r="Y608" i="19"/>
  <c r="Y2224" i="19"/>
  <c r="Y1135" i="19"/>
  <c r="Y1328" i="19"/>
  <c r="Y1639" i="19"/>
  <c r="Y2116" i="19"/>
  <c r="Y580" i="19"/>
  <c r="Y1466" i="19"/>
  <c r="Y2157" i="19"/>
  <c r="Y1492" i="19"/>
  <c r="Y1636" i="19"/>
  <c r="Y586" i="19"/>
  <c r="Y570" i="19"/>
  <c r="Y2272" i="19"/>
  <c r="Y1359" i="19"/>
  <c r="Y1397" i="19"/>
  <c r="Y1334" i="19"/>
  <c r="Y1555" i="19"/>
  <c r="Y2491" i="19"/>
  <c r="Y1228" i="19"/>
  <c r="Y2206" i="19"/>
  <c r="Y1037" i="19"/>
  <c r="Y2280" i="19"/>
  <c r="Y2382" i="19"/>
  <c r="Y552" i="19"/>
  <c r="Y1859" i="19"/>
  <c r="Y609" i="19"/>
  <c r="Y1481" i="19"/>
  <c r="Y623" i="19"/>
  <c r="Y1118" i="19"/>
  <c r="Y2403" i="19"/>
  <c r="Y687" i="19"/>
  <c r="Y1223" i="19"/>
  <c r="Y2423" i="19"/>
  <c r="Y1314" i="19"/>
  <c r="Y1837" i="19"/>
  <c r="Y2125" i="19"/>
  <c r="Y1262" i="19"/>
  <c r="Y2463" i="19"/>
  <c r="Y939" i="19"/>
  <c r="Y1755" i="19"/>
  <c r="Y1154" i="19"/>
  <c r="Y2202" i="19"/>
  <c r="Y681" i="19"/>
  <c r="Y1917" i="19"/>
  <c r="Y1379" i="19"/>
  <c r="Y1983" i="19"/>
  <c r="Y1785" i="19"/>
  <c r="Y1746" i="19"/>
  <c r="Y2034" i="19"/>
  <c r="Y33" i="19"/>
  <c r="Y615" i="19"/>
  <c r="Y2047" i="19"/>
  <c r="Y85" i="19"/>
  <c r="Y2522" i="19"/>
  <c r="Y155" i="19"/>
  <c r="Y889" i="19"/>
  <c r="Y2026" i="19"/>
  <c r="Y2489" i="19"/>
  <c r="Y351" i="19"/>
  <c r="Y1623" i="19"/>
  <c r="Y1942" i="19"/>
  <c r="Y915" i="19"/>
  <c r="Y1857" i="19"/>
  <c r="Y1222" i="19"/>
  <c r="Y1882" i="19"/>
  <c r="Y2275" i="19"/>
  <c r="Y199" i="19"/>
  <c r="Y1898" i="19"/>
  <c r="Y288" i="19"/>
  <c r="Y1694" i="19"/>
  <c r="Y1345" i="19"/>
  <c r="Y2546" i="19"/>
  <c r="Y240" i="19"/>
  <c r="Y2178" i="19"/>
  <c r="Y2307" i="19"/>
  <c r="Y875" i="19"/>
  <c r="Y1918" i="19"/>
  <c r="Y2268" i="19"/>
  <c r="Y1897" i="19"/>
  <c r="Y2453" i="19"/>
  <c r="Y39" i="19"/>
  <c r="Y145" i="19"/>
  <c r="Y1975" i="19"/>
  <c r="Y176" i="19"/>
  <c r="Y101" i="19"/>
  <c r="Y1174" i="19"/>
  <c r="Y1569" i="19"/>
  <c r="Y1719" i="19"/>
  <c r="Y929" i="19"/>
  <c r="Y1705" i="19"/>
  <c r="Y55" i="19"/>
  <c r="Y173" i="19"/>
  <c r="Y2421" i="19"/>
  <c r="Y883" i="19"/>
  <c r="Y1027" i="19"/>
  <c r="Y2133" i="19"/>
  <c r="Y961" i="19"/>
  <c r="Y1514" i="19"/>
  <c r="Y930" i="19"/>
  <c r="Y1642" i="19"/>
  <c r="Y722" i="19"/>
  <c r="Y304" i="19"/>
  <c r="Y205" i="19"/>
  <c r="Y2425" i="19"/>
  <c r="Y81" i="19"/>
  <c r="Y637" i="19"/>
  <c r="Y931" i="19"/>
  <c r="Y1558" i="19"/>
  <c r="Y179" i="19"/>
  <c r="Y595" i="19"/>
  <c r="Y2323" i="19"/>
  <c r="Y131" i="19"/>
  <c r="Y424" i="19"/>
  <c r="Y1602" i="19"/>
  <c r="Y1618" i="19"/>
  <c r="Y542" i="19"/>
  <c r="Y340" i="19"/>
  <c r="Y747" i="19"/>
  <c r="Y501" i="19"/>
  <c r="Y192" i="19"/>
  <c r="Y2430" i="19"/>
  <c r="Y132" i="19"/>
  <c r="Y1041" i="19"/>
  <c r="Y980" i="19"/>
  <c r="Y678" i="19"/>
  <c r="Y651" i="19"/>
  <c r="Y1704" i="19"/>
  <c r="Y2536" i="19"/>
  <c r="Y1181" i="19"/>
  <c r="Y1920" i="19"/>
  <c r="Y989" i="19"/>
  <c r="Y1683" i="19"/>
  <c r="Y1912" i="19"/>
  <c r="Y1510" i="19"/>
  <c r="Y2248" i="19"/>
  <c r="Y557" i="19"/>
  <c r="Y1733" i="19"/>
  <c r="Y1680" i="19"/>
  <c r="Y1381" i="19"/>
  <c r="Y1316" i="19"/>
  <c r="Y1152" i="19"/>
  <c r="Y2104" i="19"/>
  <c r="Y1347" i="19"/>
  <c r="Y1111" i="19"/>
  <c r="Y2478" i="19"/>
  <c r="Y1765" i="19"/>
  <c r="Y1587" i="19"/>
  <c r="Y1539" i="19"/>
  <c r="Y115" i="19"/>
  <c r="Y2098" i="19"/>
  <c r="Y796" i="19"/>
  <c r="Y1928" i="19"/>
  <c r="Y523" i="19"/>
  <c r="Y178" i="19"/>
  <c r="Y106" i="19"/>
  <c r="Y2494" i="19"/>
  <c r="Y308" i="19"/>
  <c r="Y372" i="19"/>
  <c r="Y1166" i="19"/>
  <c r="Y1032" i="19"/>
  <c r="Y774" i="19"/>
  <c r="Y932" i="19"/>
  <c r="Y1943" i="19"/>
  <c r="Y62" i="19"/>
  <c r="Y1556" i="19"/>
  <c r="Y339" i="19"/>
  <c r="Y54" i="19"/>
  <c r="Y2240" i="19"/>
  <c r="Y1660" i="19"/>
  <c r="Y1436" i="19"/>
  <c r="Y2410" i="19"/>
  <c r="Y193" i="19"/>
  <c r="Y1724" i="19"/>
  <c r="Y1524" i="19"/>
  <c r="Y1824" i="19"/>
  <c r="Y1507" i="19"/>
  <c r="Y79" i="19"/>
  <c r="Y114" i="19"/>
  <c r="Y2354" i="19"/>
  <c r="Y111" i="19"/>
  <c r="Y2418" i="19"/>
  <c r="Y1212" i="19"/>
  <c r="Y799" i="19"/>
  <c r="Y1236" i="19"/>
  <c r="Y1016" i="19"/>
  <c r="Y1851" i="19"/>
  <c r="Y1764" i="19"/>
  <c r="Y1735" i="19"/>
  <c r="Y1421" i="19"/>
  <c r="Y2396" i="19"/>
  <c r="Y977" i="19"/>
  <c r="Y1955" i="19"/>
  <c r="Y2487" i="19"/>
  <c r="Y1321" i="19"/>
  <c r="Y2111" i="19"/>
  <c r="Y294" i="19"/>
  <c r="Y2038" i="19"/>
  <c r="Y45" i="19"/>
  <c r="Y1195" i="19"/>
  <c r="Y1238" i="19"/>
  <c r="Y1751" i="19"/>
  <c r="Y1087" i="19"/>
  <c r="Y1022" i="19"/>
  <c r="Y766" i="19"/>
  <c r="Y593" i="19"/>
  <c r="Y1872" i="19"/>
  <c r="Y337" i="19"/>
  <c r="Y232" i="19"/>
  <c r="Y70" i="19"/>
  <c r="Y2082" i="19"/>
  <c r="Y2174" i="19"/>
  <c r="Y2296" i="19"/>
  <c r="Y1610" i="19"/>
  <c r="Y2192" i="19"/>
  <c r="Y1204" i="19"/>
  <c r="S1528" i="1"/>
  <c r="Y1895" i="19"/>
  <c r="Y562" i="19"/>
  <c r="R978" i="1"/>
  <c r="Q649" i="1"/>
  <c r="Y1883" i="19"/>
  <c r="Y2181" i="19"/>
  <c r="Y1596" i="19"/>
  <c r="Y2004" i="19"/>
  <c r="Y1048" i="19"/>
  <c r="Y975" i="19"/>
  <c r="Y1462" i="19"/>
  <c r="Y638" i="19"/>
  <c r="Y1129" i="19"/>
  <c r="Y1532" i="19"/>
  <c r="Y2159" i="19"/>
  <c r="Y1899" i="19"/>
  <c r="Y1652" i="19"/>
  <c r="Y627" i="19"/>
  <c r="Y841" i="19"/>
  <c r="Y584" i="19"/>
  <c r="Y1891" i="19"/>
  <c r="Y640" i="19"/>
  <c r="Y1637" i="19"/>
  <c r="Y1031" i="19"/>
  <c r="Y1153" i="19"/>
  <c r="Y2497" i="19"/>
  <c r="Y835" i="19"/>
  <c r="Y1255" i="19"/>
  <c r="Y2455" i="19"/>
  <c r="Y1343" i="19"/>
  <c r="Y1869" i="19"/>
  <c r="Y2520" i="19"/>
  <c r="Y1294" i="19"/>
  <c r="Y1651" i="19"/>
  <c r="Y529" i="19"/>
  <c r="Y1179" i="19"/>
  <c r="Y2525" i="19"/>
  <c r="Y1211" i="19"/>
  <c r="Y505" i="19"/>
  <c r="Y836" i="19"/>
  <c r="Y1949" i="19"/>
  <c r="Y2194" i="19"/>
  <c r="Y1506" i="19"/>
  <c r="Y2015" i="19"/>
  <c r="Y2139" i="19"/>
  <c r="Y1778" i="19"/>
  <c r="Y2106" i="19"/>
  <c r="Y208" i="19"/>
  <c r="Y68" i="19"/>
  <c r="Y2337" i="19"/>
  <c r="Y700" i="19"/>
  <c r="Y1239" i="19"/>
  <c r="Y1094" i="19"/>
  <c r="Y84" i="19"/>
  <c r="Y161" i="19"/>
  <c r="Y2166" i="19"/>
  <c r="Y279" i="19"/>
  <c r="Y689" i="19"/>
  <c r="Y1718" i="19"/>
  <c r="Y2006" i="19"/>
  <c r="Y2087" i="19"/>
  <c r="Y2017" i="19"/>
  <c r="Y1305" i="19"/>
  <c r="Y1914" i="19"/>
  <c r="Y144" i="19"/>
  <c r="Y343" i="19"/>
  <c r="Y2170" i="19"/>
  <c r="Y282" i="19"/>
  <c r="Y1726" i="19"/>
  <c r="Y2134" i="19"/>
  <c r="Y679" i="19"/>
  <c r="Y427" i="19"/>
  <c r="Y2218" i="19"/>
  <c r="Y355" i="19"/>
  <c r="Y1603" i="19"/>
  <c r="Y1950" i="19"/>
  <c r="Y955" i="19"/>
  <c r="Y1014" i="19"/>
  <c r="Y1929" i="19"/>
  <c r="Y1015" i="19"/>
  <c r="Y175" i="19"/>
  <c r="Y64" i="19"/>
  <c r="Y2079" i="19"/>
  <c r="Y396" i="19"/>
  <c r="Y736" i="19"/>
  <c r="Y1206" i="19"/>
  <c r="Y525" i="19"/>
  <c r="Y1115" i="19"/>
  <c r="Y773" i="19"/>
  <c r="Y133" i="19"/>
  <c r="Y28" i="19"/>
  <c r="Y953" i="19"/>
  <c r="Y1598" i="19"/>
  <c r="Y2222" i="19"/>
  <c r="Y990" i="19"/>
  <c r="Y1543" i="19"/>
  <c r="Y962" i="19"/>
  <c r="Y1738" i="19"/>
  <c r="Y108" i="19"/>
  <c r="Y76" i="19"/>
  <c r="Y185" i="19"/>
  <c r="Y2477" i="19"/>
  <c r="Y105" i="19"/>
  <c r="Y665" i="19"/>
  <c r="Y963" i="19"/>
  <c r="Y1650" i="19"/>
  <c r="Y320" i="19"/>
  <c r="Y201" i="19"/>
  <c r="Y186" i="19"/>
  <c r="Y696" i="19"/>
  <c r="Y277" i="19"/>
  <c r="Y83" i="19"/>
  <c r="Y40" i="19"/>
  <c r="Y714" i="19"/>
  <c r="Y245" i="19"/>
  <c r="Y274" i="19"/>
  <c r="Y730" i="19"/>
  <c r="Y422" i="19"/>
  <c r="Y434" i="19"/>
  <c r="Y1536" i="19"/>
  <c r="Y2216" i="19"/>
  <c r="Y992" i="19"/>
  <c r="Y134" i="19"/>
  <c r="Y1352" i="19"/>
  <c r="Y1012" i="19"/>
  <c r="Y1088" i="19"/>
  <c r="Y248" i="19"/>
  <c r="Y1327" i="19"/>
  <c r="Y261" i="19"/>
  <c r="Y1312" i="19"/>
  <c r="Y1644" i="19"/>
  <c r="Y219" i="19"/>
  <c r="Y2279" i="19"/>
  <c r="Y1499" i="19"/>
  <c r="Y1092" i="19"/>
  <c r="Y520" i="19"/>
  <c r="Y1631" i="19"/>
  <c r="Y226" i="19"/>
  <c r="Y1453" i="19"/>
  <c r="Y1568" i="19"/>
  <c r="Y1570" i="19"/>
  <c r="Y2214" i="19"/>
  <c r="Y1332" i="19"/>
  <c r="Y2078" i="19"/>
  <c r="Y110" i="19"/>
  <c r="Y122" i="19"/>
  <c r="Y1495" i="19"/>
  <c r="Y91" i="19"/>
  <c r="Y254" i="19"/>
  <c r="Y426" i="19"/>
  <c r="Y522" i="19"/>
  <c r="Y322" i="19"/>
  <c r="Y1358" i="19"/>
  <c r="Y142" i="19"/>
  <c r="Y2028" i="19"/>
  <c r="Y1284" i="19"/>
  <c r="Y2266" i="19"/>
  <c r="Y1696" i="19"/>
  <c r="Y66" i="19"/>
  <c r="Y58" i="19"/>
  <c r="Y685" i="19"/>
  <c r="Y171" i="19"/>
  <c r="Y239" i="19"/>
  <c r="Y775" i="19"/>
  <c r="Y1776" i="19"/>
  <c r="Y807" i="19"/>
  <c r="Y842" i="19"/>
  <c r="Y149" i="19"/>
  <c r="Y1414" i="19"/>
  <c r="Y492" i="19"/>
  <c r="Y209" i="19"/>
  <c r="Y366" i="19"/>
  <c r="Y363" i="19"/>
  <c r="Y1501" i="19"/>
  <c r="Y22" i="19"/>
  <c r="T782" i="19"/>
  <c r="M719" i="1"/>
  <c r="N719" i="1" s="1"/>
  <c r="W719" i="1" s="1"/>
  <c r="M713" i="1"/>
  <c r="N713" i="1" s="1"/>
  <c r="W713" i="1" s="1"/>
  <c r="P2136" i="1"/>
  <c r="S2136" i="1" s="1"/>
  <c r="S1127" i="1"/>
  <c r="R2135" i="1"/>
  <c r="R649" i="1"/>
  <c r="R937" i="1"/>
  <c r="Q1029" i="1"/>
  <c r="P2138" i="1"/>
  <c r="S2138" i="1" s="1"/>
  <c r="S1303" i="1"/>
  <c r="R1394" i="1"/>
  <c r="S2135" i="1"/>
  <c r="R895" i="1"/>
  <c r="S649" i="1"/>
  <c r="Q977" i="1"/>
  <c r="R1029" i="1"/>
  <c r="Q943" i="1"/>
  <c r="Q895" i="1"/>
  <c r="R977" i="1"/>
  <c r="S817" i="1"/>
  <c r="R943" i="1"/>
  <c r="Q1016" i="1"/>
  <c r="Q1483" i="1"/>
  <c r="Q1764" i="1"/>
  <c r="Q1563" i="1"/>
  <c r="Q872" i="1"/>
  <c r="S519" i="1"/>
  <c r="S977" i="1"/>
  <c r="R1016" i="1"/>
  <c r="R1512" i="1"/>
  <c r="R1483" i="1"/>
  <c r="S1349" i="1"/>
  <c r="Q1030" i="1"/>
  <c r="R1076" i="1"/>
  <c r="R1764" i="1"/>
  <c r="R1563" i="1"/>
  <c r="R872" i="1"/>
  <c r="Q519" i="1"/>
  <c r="Q1590" i="1"/>
  <c r="M706" i="1"/>
  <c r="N706" i="1" s="1"/>
  <c r="S1016" i="1"/>
  <c r="S1512" i="1"/>
  <c r="S1483" i="1"/>
  <c r="S1076" i="1"/>
  <c r="S1764" i="1"/>
  <c r="Q1043" i="1"/>
  <c r="S1563" i="1"/>
  <c r="R1590" i="1"/>
  <c r="Q1127" i="1"/>
  <c r="Q1512" i="1"/>
  <c r="S2476" i="1"/>
  <c r="Q1076" i="1"/>
  <c r="R1043" i="1"/>
  <c r="Q2486" i="1"/>
  <c r="R1242" i="1"/>
  <c r="Q1532" i="1"/>
  <c r="R1200" i="1"/>
  <c r="S2159" i="1"/>
  <c r="S1510" i="1"/>
  <c r="Q2437" i="1"/>
  <c r="Q1235" i="1"/>
  <c r="P2144" i="1"/>
  <c r="S2144" i="1" s="1"/>
  <c r="Q2159" i="1"/>
  <c r="S627" i="1"/>
  <c r="R1235" i="1"/>
  <c r="Q1529" i="1"/>
  <c r="Q1311" i="1"/>
  <c r="Q638" i="1"/>
  <c r="Q627" i="1"/>
  <c r="R1529" i="1"/>
  <c r="R638" i="1"/>
  <c r="R627" i="1"/>
  <c r="S1596" i="1"/>
  <c r="Q866" i="1"/>
  <c r="Q1443" i="1"/>
  <c r="S2004" i="1"/>
  <c r="Q810" i="1"/>
  <c r="R866" i="1"/>
  <c r="R1532" i="1"/>
  <c r="P2145" i="1"/>
  <c r="Q2145" i="1" s="1"/>
  <c r="R575" i="1"/>
  <c r="R583" i="1"/>
  <c r="Q1155" i="1"/>
  <c r="Q968" i="1"/>
  <c r="Q1528" i="1"/>
  <c r="R2413" i="1"/>
  <c r="S993" i="1"/>
  <c r="S2036" i="1"/>
  <c r="P2076" i="1"/>
  <c r="R2076" i="1" s="1"/>
  <c r="P2411" i="1"/>
  <c r="Q2411" i="1" s="1"/>
  <c r="P2417" i="1"/>
  <c r="R2417" i="1" s="1"/>
  <c r="R1155" i="1"/>
  <c r="R968" i="1"/>
  <c r="S928" i="1"/>
  <c r="S2413" i="1"/>
  <c r="Q2036" i="1"/>
  <c r="R1018" i="1"/>
  <c r="Q1188" i="1"/>
  <c r="Q1680" i="1"/>
  <c r="P2077" i="1"/>
  <c r="Q2077" i="1" s="1"/>
  <c r="P2408" i="1"/>
  <c r="S2408" i="1" s="1"/>
  <c r="P2414" i="1"/>
  <c r="S2414" i="1" s="1"/>
  <c r="P2106" i="1"/>
  <c r="S2106" i="1" s="1"/>
  <c r="S968" i="1"/>
  <c r="Q1279" i="1"/>
  <c r="Q568" i="1"/>
  <c r="R2036" i="1"/>
  <c r="R1188" i="1"/>
  <c r="Q1284" i="1"/>
  <c r="R1680" i="1"/>
  <c r="P2037" i="1"/>
  <c r="Q2037" i="1" s="1"/>
  <c r="P2074" i="1"/>
  <c r="Q2074" i="1" s="1"/>
  <c r="P2412" i="1"/>
  <c r="R2412" i="1" s="1"/>
  <c r="P2415" i="1"/>
  <c r="Q2415" i="1" s="1"/>
  <c r="P2107" i="1"/>
  <c r="Q2107" i="1" s="1"/>
  <c r="Q1537" i="1"/>
  <c r="Q1356" i="1"/>
  <c r="Q531" i="1"/>
  <c r="R1279" i="1"/>
  <c r="Q1412" i="1"/>
  <c r="R568" i="1"/>
  <c r="R1284" i="1"/>
  <c r="S1680" i="1"/>
  <c r="R2073" i="1"/>
  <c r="Q1163" i="1"/>
  <c r="P2038" i="1"/>
  <c r="Q2038" i="1" s="1"/>
  <c r="P2075" i="1"/>
  <c r="Q2075" i="1" s="1"/>
  <c r="P2344" i="1"/>
  <c r="R2344" i="1" s="1"/>
  <c r="P2409" i="1"/>
  <c r="R2409" i="1" s="1"/>
  <c r="P2416" i="1"/>
  <c r="S2416" i="1" s="1"/>
  <c r="P2108" i="1"/>
  <c r="S2108" i="1" s="1"/>
  <c r="R1537" i="1"/>
  <c r="R1356" i="1"/>
  <c r="S1110" i="1"/>
  <c r="R1616" i="1"/>
  <c r="R531" i="1"/>
  <c r="R2343" i="1"/>
  <c r="R1412" i="1"/>
  <c r="Q1780" i="1"/>
  <c r="S1339" i="1"/>
  <c r="S1284" i="1"/>
  <c r="S2073" i="1"/>
  <c r="Q1585" i="1"/>
  <c r="R1163" i="1"/>
  <c r="P2345" i="1"/>
  <c r="S2345" i="1" s="1"/>
  <c r="P2410" i="1"/>
  <c r="S2410" i="1" s="1"/>
  <c r="P2104" i="1"/>
  <c r="S2104" i="1" s="1"/>
  <c r="S1537" i="1"/>
  <c r="Q1110" i="1"/>
  <c r="Q1616" i="1"/>
  <c r="R2103" i="1"/>
  <c r="S531" i="1"/>
  <c r="S2343" i="1"/>
  <c r="R1780" i="1"/>
  <c r="Q1510" i="1"/>
  <c r="R2492" i="1"/>
  <c r="Q553" i="1"/>
  <c r="R1585" i="1"/>
  <c r="S1717" i="1"/>
  <c r="P2346" i="1"/>
  <c r="S2346" i="1" s="1"/>
  <c r="P2105" i="1"/>
  <c r="S2105" i="1" s="1"/>
  <c r="S1616" i="1"/>
  <c r="Q1382" i="1"/>
  <c r="R1528" i="1"/>
  <c r="S1780" i="1"/>
  <c r="R1510" i="1"/>
  <c r="S2492" i="1"/>
  <c r="R553" i="1"/>
  <c r="R695" i="19"/>
  <c r="Q695" i="19"/>
  <c r="S695" i="19"/>
  <c r="V699" i="1"/>
  <c r="V383" i="1"/>
  <c r="V323" i="1"/>
  <c r="S984" i="1"/>
  <c r="Q1596" i="1"/>
  <c r="S1513" i="1"/>
  <c r="S1136" i="1"/>
  <c r="S1248" i="1"/>
  <c r="Q1732" i="1"/>
  <c r="Q1129" i="1"/>
  <c r="R1732" i="1"/>
  <c r="R1129" i="1"/>
  <c r="Q1735" i="1"/>
  <c r="S1732" i="1"/>
  <c r="S1129" i="1"/>
  <c r="Q1534" i="1"/>
  <c r="R1735" i="1"/>
  <c r="R1534" i="1"/>
  <c r="S1735" i="1"/>
  <c r="S1534" i="1"/>
  <c r="R1596" i="1"/>
  <c r="Q1248" i="1"/>
  <c r="S1454" i="1"/>
  <c r="R1252" i="1"/>
  <c r="R1225" i="1"/>
  <c r="R1383" i="1"/>
  <c r="S1252" i="1"/>
  <c r="R550" i="1"/>
  <c r="Q2004" i="1"/>
  <c r="Q570" i="1"/>
  <c r="Q1519" i="1"/>
  <c r="R1023" i="1"/>
  <c r="R2486" i="1"/>
  <c r="Q909" i="1"/>
  <c r="Q2407" i="1"/>
  <c r="R2004" i="1"/>
  <c r="R570" i="1"/>
  <c r="R1519" i="1"/>
  <c r="S2486" i="1"/>
  <c r="Q903" i="1"/>
  <c r="R909" i="1"/>
  <c r="Q1554" i="1"/>
  <c r="Q1441" i="1"/>
  <c r="Q1048" i="1"/>
  <c r="S570" i="1"/>
  <c r="S1289" i="1"/>
  <c r="S509" i="1"/>
  <c r="R903" i="1"/>
  <c r="R1554" i="1"/>
  <c r="Q1066" i="1"/>
  <c r="R1441" i="1"/>
  <c r="R1048" i="1"/>
  <c r="Q1406" i="1"/>
  <c r="S1496" i="1"/>
  <c r="Q1095" i="1"/>
  <c r="Q1184" i="1"/>
  <c r="P2005" i="1"/>
  <c r="S2005" i="1" s="1"/>
  <c r="P513" i="1"/>
  <c r="S513" i="1" s="1"/>
  <c r="Q1194" i="1"/>
  <c r="S538" i="1"/>
  <c r="S1554" i="1"/>
  <c r="R1066" i="1"/>
  <c r="S1048" i="1"/>
  <c r="R1406" i="1"/>
  <c r="S916" i="1"/>
  <c r="R1095" i="1"/>
  <c r="Q1250" i="1"/>
  <c r="Q1409" i="1"/>
  <c r="R1184" i="1"/>
  <c r="P2006" i="1"/>
  <c r="S2006" i="1" s="1"/>
  <c r="P510" i="1"/>
  <c r="R510" i="1" s="1"/>
  <c r="Q1473" i="1"/>
  <c r="R1194" i="1"/>
  <c r="S1066" i="1"/>
  <c r="S1406" i="1"/>
  <c r="R1250" i="1"/>
  <c r="P2007" i="1"/>
  <c r="S2007" i="1" s="1"/>
  <c r="P511" i="1"/>
  <c r="S511" i="1" s="1"/>
  <c r="S1194" i="1"/>
  <c r="S2473" i="1"/>
  <c r="S1250" i="1"/>
  <c r="R2407" i="1"/>
  <c r="Q2151" i="1"/>
  <c r="S2371" i="1"/>
  <c r="Q1567" i="1"/>
  <c r="R1567" i="1"/>
  <c r="R1466" i="1"/>
  <c r="L2559" i="1"/>
  <c r="P1808" i="1"/>
  <c r="Q1808" i="1" s="1"/>
  <c r="R1807" i="1"/>
  <c r="S1331" i="1"/>
  <c r="P2152" i="1"/>
  <c r="S2152" i="1" s="1"/>
  <c r="R1560" i="1"/>
  <c r="Q1331" i="1"/>
  <c r="P2153" i="1"/>
  <c r="Q2153" i="1" s="1"/>
  <c r="P2026" i="1"/>
  <c r="S2026" i="1" s="1"/>
  <c r="S634" i="1"/>
  <c r="Q1258" i="1"/>
  <c r="R1331" i="1"/>
  <c r="P2154" i="1"/>
  <c r="S2154" i="1" s="1"/>
  <c r="S1308" i="1"/>
  <c r="Q1142" i="1"/>
  <c r="R1478" i="1"/>
  <c r="S1555" i="1"/>
  <c r="S532" i="1"/>
  <c r="S2500" i="19"/>
  <c r="R2500" i="19"/>
  <c r="Q2500" i="19"/>
  <c r="S1609" i="1"/>
  <c r="S886" i="1"/>
  <c r="P1809" i="1"/>
  <c r="S1809" i="1" s="1"/>
  <c r="Q1128" i="1"/>
  <c r="R1142" i="1"/>
  <c r="S1478" i="1"/>
  <c r="Q585" i="1"/>
  <c r="P1751" i="1"/>
  <c r="S1751" i="1" s="1"/>
  <c r="P1810" i="1"/>
  <c r="R1810" i="1" s="1"/>
  <c r="Q1173" i="1"/>
  <c r="R1128" i="1"/>
  <c r="R1247" i="1"/>
  <c r="Q2024" i="1"/>
  <c r="Q1560" i="1"/>
  <c r="R1178" i="1"/>
  <c r="Q554" i="1"/>
  <c r="S1258" i="1"/>
  <c r="S1119" i="1"/>
  <c r="Q2491" i="1"/>
  <c r="S1071" i="1"/>
  <c r="Q1736" i="1"/>
  <c r="Q2371" i="1"/>
  <c r="P2200" i="1"/>
  <c r="Q2200" i="1" s="1"/>
  <c r="P1750" i="1"/>
  <c r="S1750" i="1" s="1"/>
  <c r="P2372" i="1"/>
  <c r="S2372" i="1" s="1"/>
  <c r="R1173" i="1"/>
  <c r="S1128" i="1"/>
  <c r="S1247" i="1"/>
  <c r="R2024" i="1"/>
  <c r="S1178" i="1"/>
  <c r="Q1669" i="1"/>
  <c r="R554" i="1"/>
  <c r="Q1089" i="1"/>
  <c r="Q1749" i="1"/>
  <c r="Q1509" i="1"/>
  <c r="Q1119" i="1"/>
  <c r="R2491" i="1"/>
  <c r="Q1071" i="1"/>
  <c r="Q1178" i="1"/>
  <c r="S1807" i="1"/>
  <c r="P2201" i="1"/>
  <c r="Q2201" i="1" s="1"/>
  <c r="P2373" i="1"/>
  <c r="R2373" i="1" s="1"/>
  <c r="S1173" i="1"/>
  <c r="R957" i="1"/>
  <c r="R1421" i="1"/>
  <c r="S1531" i="1"/>
  <c r="S2024" i="1"/>
  <c r="R1669" i="1"/>
  <c r="S554" i="1"/>
  <c r="S1402" i="1"/>
  <c r="R1089" i="1"/>
  <c r="Q2481" i="1"/>
  <c r="R1458" i="1"/>
  <c r="R1749" i="1"/>
  <c r="Q2475" i="1"/>
  <c r="R1509" i="1"/>
  <c r="R1119" i="1"/>
  <c r="S2491" i="1"/>
  <c r="R1071" i="1"/>
  <c r="S1736" i="1"/>
  <c r="R1258" i="1"/>
  <c r="P2202" i="1"/>
  <c r="S2202" i="1" s="1"/>
  <c r="P2374" i="1"/>
  <c r="S2374" i="1" s="1"/>
  <c r="S957" i="1"/>
  <c r="S1421" i="1"/>
  <c r="Q947" i="1"/>
  <c r="S1749" i="1"/>
  <c r="R2475" i="1"/>
  <c r="S1509" i="1"/>
  <c r="Q1462" i="1"/>
  <c r="P2027" i="1"/>
  <c r="Q2027" i="1" s="1"/>
  <c r="Q1251" i="1"/>
  <c r="Q1421" i="1"/>
  <c r="Q634" i="1"/>
  <c r="Q1555" i="1"/>
  <c r="Q886" i="1"/>
  <c r="Q1308" i="1"/>
  <c r="Q1609" i="1"/>
  <c r="R1375" i="1"/>
  <c r="R947" i="1"/>
  <c r="Q532" i="1"/>
  <c r="S2475" i="1"/>
  <c r="R1462" i="1"/>
  <c r="S1466" i="1"/>
  <c r="S1383" i="1"/>
  <c r="R634" i="1"/>
  <c r="R1555" i="1"/>
  <c r="R886" i="1"/>
  <c r="R1308" i="1"/>
  <c r="Q1807" i="1"/>
  <c r="S1462" i="1"/>
  <c r="Q1466" i="1"/>
  <c r="Q1478" i="1"/>
  <c r="Q1288" i="1"/>
  <c r="Q995" i="1"/>
  <c r="S1025" i="1"/>
  <c r="Q1717" i="1"/>
  <c r="Q659" i="1"/>
  <c r="Q1075" i="1"/>
  <c r="S691" i="1"/>
  <c r="S1518" i="1"/>
  <c r="S1594" i="1"/>
  <c r="S607" i="1"/>
  <c r="S1666" i="1"/>
  <c r="P1745" i="1"/>
  <c r="S1745" i="1" s="1"/>
  <c r="Q949" i="1"/>
  <c r="R1288" i="1"/>
  <c r="R995" i="1"/>
  <c r="R1717" i="1"/>
  <c r="S547" i="1"/>
  <c r="R1774" i="1"/>
  <c r="S631" i="1"/>
  <c r="S636" i="1"/>
  <c r="S543" i="1"/>
  <c r="S1099" i="1"/>
  <c r="R551" i="1"/>
  <c r="S1586" i="1"/>
  <c r="S660" i="1"/>
  <c r="S1526" i="1"/>
  <c r="S1503" i="1"/>
  <c r="S949" i="1"/>
  <c r="R1055" i="1"/>
  <c r="S1698" i="1"/>
  <c r="P2179" i="1"/>
  <c r="Q2179" i="1" s="1"/>
  <c r="P1800" i="1"/>
  <c r="Q1800" i="1" s="1"/>
  <c r="S1485" i="1"/>
  <c r="S1550" i="1"/>
  <c r="R1007" i="1"/>
  <c r="S1059" i="1"/>
  <c r="R1039" i="1"/>
  <c r="S664" i="1"/>
  <c r="S1549" i="1"/>
  <c r="S1547" i="1"/>
  <c r="Q1108" i="1"/>
  <c r="S648" i="1"/>
  <c r="Q851" i="1"/>
  <c r="Q1025" i="1"/>
  <c r="R1723" i="1"/>
  <c r="Q1502" i="1"/>
  <c r="S1486" i="1"/>
  <c r="Q1464" i="1"/>
  <c r="Q1715" i="1"/>
  <c r="S999" i="1"/>
  <c r="S1515" i="1"/>
  <c r="S1093" i="1"/>
  <c r="S579" i="1"/>
  <c r="S1710" i="1"/>
  <c r="P2229" i="1"/>
  <c r="Q2229" i="1" s="1"/>
  <c r="P2353" i="1"/>
  <c r="S2353" i="1" s="1"/>
  <c r="P2354" i="1"/>
  <c r="Q2354" i="1" s="1"/>
  <c r="P2230" i="1"/>
  <c r="Q2230" i="1" s="1"/>
  <c r="P1833" i="1"/>
  <c r="S1833" i="1" s="1"/>
  <c r="P1845" i="1"/>
  <c r="S1845" i="1" s="1"/>
  <c r="P2231" i="1"/>
  <c r="Q2231" i="1" s="1"/>
  <c r="P1834" i="1"/>
  <c r="S1834" i="1" s="1"/>
  <c r="P1846" i="1"/>
  <c r="R1846" i="1" s="1"/>
  <c r="P2232" i="1"/>
  <c r="R2232" i="1" s="1"/>
  <c r="P1847" i="1"/>
  <c r="S1847" i="1" s="1"/>
  <c r="P1889" i="1"/>
  <c r="S1889" i="1" s="1"/>
  <c r="P2366" i="1"/>
  <c r="R2366" i="1" s="1"/>
  <c r="Q1844" i="1"/>
  <c r="P1890" i="1"/>
  <c r="Q1890" i="1" s="1"/>
  <c r="P2364" i="1"/>
  <c r="S2364" i="1" s="1"/>
  <c r="R1844" i="1"/>
  <c r="R2215" i="1"/>
  <c r="Q797" i="1"/>
  <c r="R2227" i="1"/>
  <c r="P1891" i="1"/>
  <c r="S1891" i="1" s="1"/>
  <c r="P2365" i="1"/>
  <c r="S2365" i="1" s="1"/>
  <c r="R797" i="1"/>
  <c r="S2227" i="1"/>
  <c r="P2228" i="1"/>
  <c r="S2228" i="1" s="1"/>
  <c r="P2218" i="1"/>
  <c r="S2218" i="1" s="1"/>
  <c r="Q2261" i="1"/>
  <c r="Q1425" i="1"/>
  <c r="R1382" i="1"/>
  <c r="R1030" i="1"/>
  <c r="Q1666" i="1"/>
  <c r="R1409" i="1"/>
  <c r="S1000" i="1"/>
  <c r="R1425" i="1"/>
  <c r="Q564" i="1"/>
  <c r="S1123" i="1"/>
  <c r="R1666" i="1"/>
  <c r="R1713" i="1"/>
  <c r="Q1714" i="1"/>
  <c r="R1024" i="1"/>
  <c r="S1369" i="1"/>
  <c r="R564" i="1"/>
  <c r="R1714" i="1"/>
  <c r="Q1231" i="1"/>
  <c r="Q2363" i="1"/>
  <c r="Q1761" i="1"/>
  <c r="R1231" i="1"/>
  <c r="P677" i="1"/>
  <c r="S677" i="1" s="1"/>
  <c r="S1306" i="1"/>
  <c r="S1723" i="1"/>
  <c r="R2363" i="1"/>
  <c r="S1055" i="1"/>
  <c r="R1761" i="1"/>
  <c r="Q928" i="1"/>
  <c r="Q916" i="1"/>
  <c r="Q1339" i="1"/>
  <c r="Q509" i="1"/>
  <c r="Q1055" i="1"/>
  <c r="Q1136" i="1"/>
  <c r="S1681" i="1"/>
  <c r="R1189" i="1"/>
  <c r="Q1093" i="1"/>
  <c r="S1675" i="1"/>
  <c r="R1361" i="1"/>
  <c r="R2437" i="1"/>
  <c r="S1583" i="1"/>
  <c r="R585" i="1"/>
  <c r="R1093" i="1"/>
  <c r="R1108" i="1"/>
  <c r="S1361" i="1"/>
  <c r="S1108" i="1"/>
  <c r="S682" i="1"/>
  <c r="Q690" i="1"/>
  <c r="Q834" i="1"/>
  <c r="R996" i="1"/>
  <c r="Q1162" i="1"/>
  <c r="R690" i="1"/>
  <c r="R834" i="1"/>
  <c r="S996" i="1"/>
  <c r="R1162" i="1"/>
  <c r="Q1337" i="1"/>
  <c r="Q664" i="1"/>
  <c r="Q1289" i="1"/>
  <c r="R1337" i="1"/>
  <c r="R664" i="1"/>
  <c r="Q2048" i="1"/>
  <c r="P2390" i="1"/>
  <c r="Q2390" i="1" s="1"/>
  <c r="Q1082" i="1"/>
  <c r="S1144" i="1"/>
  <c r="S1716" i="1"/>
  <c r="R521" i="1"/>
  <c r="R1674" i="1"/>
  <c r="Q1393" i="1"/>
  <c r="S1713" i="1"/>
  <c r="S1189" i="1"/>
  <c r="S1024" i="1"/>
  <c r="P539" i="1"/>
  <c r="S539" i="1" s="1"/>
  <c r="R1082" i="1"/>
  <c r="Q660" i="1"/>
  <c r="Q999" i="1"/>
  <c r="R1393" i="1"/>
  <c r="Q1459" i="1"/>
  <c r="Q1219" i="1"/>
  <c r="P540" i="1"/>
  <c r="S540" i="1" s="1"/>
  <c r="R660" i="1"/>
  <c r="R999" i="1"/>
  <c r="Q1451" i="1"/>
  <c r="R1459" i="1"/>
  <c r="R871" i="1"/>
  <c r="R1219" i="1"/>
  <c r="P542" i="1"/>
  <c r="Q542" i="1" s="1"/>
  <c r="Q1408" i="1"/>
  <c r="R1451" i="1"/>
  <c r="Q1286" i="1"/>
  <c r="Q1099" i="1"/>
  <c r="Q1550" i="1"/>
  <c r="R1408" i="1"/>
  <c r="Q933" i="1"/>
  <c r="R1286" i="1"/>
  <c r="R1099" i="1"/>
  <c r="Q1156" i="1"/>
  <c r="Q1303" i="1"/>
  <c r="R1550" i="1"/>
  <c r="Q538" i="1"/>
  <c r="S1394" i="1"/>
  <c r="Q1349" i="1"/>
  <c r="R933" i="1"/>
  <c r="Q790" i="1"/>
  <c r="Q1123" i="1"/>
  <c r="Q1681" i="1"/>
  <c r="R1156" i="1"/>
  <c r="Q2473" i="1"/>
  <c r="Q547" i="1"/>
  <c r="R1245" i="1"/>
  <c r="S1565" i="1"/>
  <c r="Q1402" i="1"/>
  <c r="R2481" i="1"/>
  <c r="Q831" i="1"/>
  <c r="S1018" i="1"/>
  <c r="S978" i="1"/>
  <c r="R851" i="1"/>
  <c r="R547" i="1"/>
  <c r="Q1221" i="1"/>
  <c r="Q1503" i="1"/>
  <c r="Q1261" i="1"/>
  <c r="R1221" i="1"/>
  <c r="R1552" i="1"/>
  <c r="Q1273" i="1"/>
  <c r="R1503" i="1"/>
  <c r="S1208" i="1"/>
  <c r="Q1282" i="1"/>
  <c r="Q543" i="1"/>
  <c r="R1157" i="1"/>
  <c r="Q1547" i="1"/>
  <c r="R1261" i="1"/>
  <c r="Q927" i="1"/>
  <c r="R2273" i="1"/>
  <c r="S1552" i="1"/>
  <c r="R1273" i="1"/>
  <c r="Q1698" i="1"/>
  <c r="Q1377" i="1"/>
  <c r="Q1586" i="1"/>
  <c r="R1282" i="1"/>
  <c r="R543" i="1"/>
  <c r="R1547" i="1"/>
  <c r="Q607" i="1"/>
  <c r="R927" i="1"/>
  <c r="Q1685" i="1"/>
  <c r="S2273" i="1"/>
  <c r="Q648" i="1"/>
  <c r="Q1033" i="1"/>
  <c r="R1698" i="1"/>
  <c r="R1377" i="1"/>
  <c r="R1586" i="1"/>
  <c r="Q1594" i="1"/>
  <c r="R607" i="1"/>
  <c r="Q1723" i="1"/>
  <c r="R648" i="1"/>
  <c r="R1033" i="1"/>
  <c r="R1594" i="1"/>
  <c r="R919" i="1"/>
  <c r="S1774" i="1"/>
  <c r="S1646" i="1"/>
  <c r="R1526" i="1"/>
  <c r="R1165" i="1"/>
  <c r="S1242" i="1"/>
  <c r="Q844" i="1"/>
  <c r="S551" i="1"/>
  <c r="S1544" i="1"/>
  <c r="S1715" i="1"/>
  <c r="Q965" i="1"/>
  <c r="Q1074" i="1"/>
  <c r="Q1485" i="1"/>
  <c r="R844" i="1"/>
  <c r="Q1176" i="1"/>
  <c r="Q950" i="1"/>
  <c r="Q551" i="1"/>
  <c r="P2268" i="1"/>
  <c r="S2268" i="1" s="1"/>
  <c r="R965" i="1"/>
  <c r="R2484" i="1"/>
  <c r="R1074" i="1"/>
  <c r="R1485" i="1"/>
  <c r="R1176" i="1"/>
  <c r="Q1187" i="1"/>
  <c r="R950" i="1"/>
  <c r="Q579" i="1"/>
  <c r="Q1310" i="1"/>
  <c r="Q1461" i="1"/>
  <c r="S2484" i="1"/>
  <c r="R1187" i="1"/>
  <c r="R579" i="1"/>
  <c r="R1310" i="1"/>
  <c r="Q1515" i="1"/>
  <c r="R1461" i="1"/>
  <c r="P1801" i="1"/>
  <c r="S1801" i="1" s="1"/>
  <c r="Q1404" i="1"/>
  <c r="R847" i="1"/>
  <c r="Q1420" i="1"/>
  <c r="R1224" i="1"/>
  <c r="Q1034" i="1"/>
  <c r="P1802" i="1"/>
  <c r="Q1802" i="1" s="1"/>
  <c r="R1404" i="1"/>
  <c r="Q1531" i="1"/>
  <c r="Q847" i="1"/>
  <c r="R1420" i="1"/>
  <c r="R1034" i="1"/>
  <c r="Q817" i="1"/>
  <c r="S1139" i="1"/>
  <c r="S1224" i="1"/>
  <c r="R1685" i="1"/>
  <c r="Q1455" i="1"/>
  <c r="R1515" i="1"/>
  <c r="Q891" i="1"/>
  <c r="Q566" i="1"/>
  <c r="R1455" i="1"/>
  <c r="Q1145" i="1"/>
  <c r="R891" i="1"/>
  <c r="R566" i="1"/>
  <c r="R1145" i="1"/>
  <c r="Q1376" i="1"/>
  <c r="Q918" i="1"/>
  <c r="Q1167" i="1"/>
  <c r="R1376" i="1"/>
  <c r="Q1888" i="1"/>
  <c r="R918" i="1"/>
  <c r="R1167" i="1"/>
  <c r="R1008" i="1"/>
  <c r="R1888" i="1"/>
  <c r="Q1292" i="1"/>
  <c r="Q1274" i="1"/>
  <c r="Q682" i="1"/>
  <c r="R1292" i="1"/>
  <c r="Q1293" i="1"/>
  <c r="R944" i="1"/>
  <c r="Q2476" i="1"/>
  <c r="R1028" i="1"/>
  <c r="Q1306" i="1"/>
  <c r="R1293" i="1"/>
  <c r="S1008" i="1"/>
  <c r="S871" i="1"/>
  <c r="S1039" i="1"/>
  <c r="S919" i="1"/>
  <c r="Q1146" i="1"/>
  <c r="P1647" i="1"/>
  <c r="R1647" i="1" s="1"/>
  <c r="Q1039" i="1"/>
  <c r="R1146" i="1"/>
  <c r="P1648" i="1"/>
  <c r="Q1648" i="1" s="1"/>
  <c r="Q1581" i="1"/>
  <c r="P1649" i="1"/>
  <c r="S1649" i="1" s="1"/>
  <c r="Q969" i="1"/>
  <c r="Q1325" i="1"/>
  <c r="Q1196" i="1"/>
  <c r="R1581" i="1"/>
  <c r="Q1335" i="1"/>
  <c r="Q1038" i="1"/>
  <c r="R1325" i="1"/>
  <c r="R1196" i="1"/>
  <c r="P2424" i="1"/>
  <c r="S2424" i="1" s="1"/>
  <c r="R1335" i="1"/>
  <c r="R1038" i="1"/>
  <c r="Q1774" i="1"/>
  <c r="Q1646" i="1"/>
  <c r="P507" i="1"/>
  <c r="S507" i="1" s="1"/>
  <c r="P675" i="1"/>
  <c r="R675" i="1" s="1"/>
  <c r="S1458" i="1"/>
  <c r="Q1410" i="1"/>
  <c r="Q1272" i="1"/>
  <c r="S1464" i="1"/>
  <c r="Q942" i="1"/>
  <c r="R1103" i="1"/>
  <c r="R1272" i="1"/>
  <c r="R942" i="1"/>
  <c r="Q2496" i="1"/>
  <c r="R979" i="1"/>
  <c r="S617" i="1"/>
  <c r="Q1440" i="1"/>
  <c r="S998" i="1"/>
  <c r="R2496" i="1"/>
  <c r="Q898" i="1"/>
  <c r="R1440" i="1"/>
  <c r="Q998" i="1"/>
  <c r="R898" i="1"/>
  <c r="R2199" i="1"/>
  <c r="P2280" i="1"/>
  <c r="Q2280" i="1" s="1"/>
  <c r="R2131" i="1"/>
  <c r="Q1496" i="1"/>
  <c r="S2199" i="1"/>
  <c r="R1614" i="1"/>
  <c r="S1249" i="1"/>
  <c r="P2292" i="1"/>
  <c r="S2292" i="1" s="1"/>
  <c r="Q1614" i="1"/>
  <c r="Q1205" i="1"/>
  <c r="R1091" i="1"/>
  <c r="Q1254" i="1"/>
  <c r="Q1040" i="1"/>
  <c r="R1205" i="1"/>
  <c r="R1254" i="1"/>
  <c r="R1040" i="1"/>
  <c r="P2278" i="1"/>
  <c r="R2278" i="1" s="1"/>
  <c r="R659" i="1"/>
  <c r="P2290" i="1"/>
  <c r="S2290" i="1" s="1"/>
  <c r="P1744" i="1"/>
  <c r="S1744" i="1" s="1"/>
  <c r="P2291" i="1"/>
  <c r="Q2291" i="1" s="1"/>
  <c r="Q805" i="1"/>
  <c r="Q1246" i="1"/>
  <c r="Q2289" i="1"/>
  <c r="P2337" i="1"/>
  <c r="R2337" i="1" s="1"/>
  <c r="R805" i="1"/>
  <c r="R1246" i="1"/>
  <c r="R2289" i="1"/>
  <c r="S1103" i="1"/>
  <c r="Q1781" i="1"/>
  <c r="P2380" i="1"/>
  <c r="S2380" i="1" s="1"/>
  <c r="P2465" i="1"/>
  <c r="R2465" i="1" s="1"/>
  <c r="S1502" i="1"/>
  <c r="S1375" i="1"/>
  <c r="R1410" i="1"/>
  <c r="R831" i="1"/>
  <c r="R1500" i="1"/>
  <c r="R1075" i="1"/>
  <c r="P2381" i="1"/>
  <c r="S2381" i="1" s="1"/>
  <c r="P2462" i="1"/>
  <c r="S2462" i="1" s="1"/>
  <c r="Q910" i="1"/>
  <c r="Q631" i="1"/>
  <c r="Q1678" i="1"/>
  <c r="P2382" i="1"/>
  <c r="S2382" i="1" s="1"/>
  <c r="P2463" i="1"/>
  <c r="Q2463" i="1" s="1"/>
  <c r="Q1619" i="1"/>
  <c r="R910" i="1"/>
  <c r="Q1518" i="1"/>
  <c r="R631" i="1"/>
  <c r="R1678" i="1"/>
  <c r="Q934" i="1"/>
  <c r="P2464" i="1"/>
  <c r="R2464" i="1" s="1"/>
  <c r="R1619" i="1"/>
  <c r="R1518" i="1"/>
  <c r="R2239" i="1"/>
  <c r="R934" i="1"/>
  <c r="Q1340" i="1"/>
  <c r="Q1579" i="1"/>
  <c r="S2239" i="1"/>
  <c r="Q2367" i="1"/>
  <c r="R1340" i="1"/>
  <c r="R1579" i="1"/>
  <c r="R2367" i="1"/>
  <c r="Q1249" i="1"/>
  <c r="Q1208" i="1"/>
  <c r="P2091" i="1"/>
  <c r="S2091" i="1" s="1"/>
  <c r="P2219" i="1"/>
  <c r="Q2219" i="1" s="1"/>
  <c r="R1276" i="1"/>
  <c r="S1157" i="1"/>
  <c r="S2215" i="1"/>
  <c r="S1028" i="1"/>
  <c r="R969" i="1"/>
  <c r="S1266" i="1"/>
  <c r="Q1059" i="1"/>
  <c r="S840" i="1"/>
  <c r="S1007" i="1"/>
  <c r="S1972" i="1"/>
  <c r="Q904" i="1"/>
  <c r="Q1197" i="1"/>
  <c r="Q1427" i="1"/>
  <c r="R2048" i="1"/>
  <c r="P2052" i="1"/>
  <c r="R2052" i="1" s="1"/>
  <c r="P2220" i="1"/>
  <c r="S2220" i="1" s="1"/>
  <c r="Q1341" i="1"/>
  <c r="Q2215" i="1"/>
  <c r="R1059" i="1"/>
  <c r="Q1007" i="1"/>
  <c r="Q1972" i="1"/>
  <c r="Q1210" i="1"/>
  <c r="R904" i="1"/>
  <c r="R1197" i="1"/>
  <c r="R1427" i="1"/>
  <c r="S2048" i="1"/>
  <c r="P2049" i="1"/>
  <c r="S2049" i="1" s="1"/>
  <c r="P2216" i="1"/>
  <c r="R2216" i="1" s="1"/>
  <c r="Q2088" i="1"/>
  <c r="R1341" i="1"/>
  <c r="Q2490" i="1"/>
  <c r="Q2387" i="1"/>
  <c r="Q951" i="1"/>
  <c r="Q1214" i="1"/>
  <c r="Q691" i="1"/>
  <c r="R1210" i="1"/>
  <c r="Q1346" i="1"/>
  <c r="Q1350" i="1"/>
  <c r="P2264" i="1"/>
  <c r="Q2264" i="1" s="1"/>
  <c r="P2050" i="1"/>
  <c r="S2050" i="1" s="1"/>
  <c r="R2088" i="1"/>
  <c r="R2490" i="1"/>
  <c r="R2387" i="1"/>
  <c r="R951" i="1"/>
  <c r="R1214" i="1"/>
  <c r="R691" i="1"/>
  <c r="R1346" i="1"/>
  <c r="R1350" i="1"/>
  <c r="Q1104" i="1"/>
  <c r="P2262" i="1"/>
  <c r="S2262" i="1" s="1"/>
  <c r="P2389" i="1"/>
  <c r="S2389" i="1" s="1"/>
  <c r="S2088" i="1"/>
  <c r="Q636" i="1"/>
  <c r="S2387" i="1"/>
  <c r="R1104" i="1"/>
  <c r="P2263" i="1"/>
  <c r="Q2263" i="1" s="1"/>
  <c r="P2092" i="1"/>
  <c r="S2092" i="1" s="1"/>
  <c r="R2261" i="1"/>
  <c r="R636" i="1"/>
  <c r="Q1139" i="1"/>
  <c r="Q1369" i="1"/>
  <c r="Q1009" i="1"/>
  <c r="P2420" i="1"/>
  <c r="Q2420" i="1" s="1"/>
  <c r="P2421" i="1"/>
  <c r="S2421" i="1" s="1"/>
  <c r="P2422" i="1"/>
  <c r="R2422" i="1" s="1"/>
  <c r="P2190" i="1"/>
  <c r="S2190" i="1" s="1"/>
  <c r="P2188" i="1"/>
  <c r="Q2188" i="1" s="1"/>
  <c r="P2189" i="1"/>
  <c r="Q2189" i="1" s="1"/>
  <c r="P508" i="1"/>
  <c r="S508" i="1" s="1"/>
  <c r="S944" i="1"/>
  <c r="S1091" i="1"/>
  <c r="Q1700" i="1"/>
  <c r="Q1549" i="1"/>
  <c r="Q1484" i="1"/>
  <c r="Q1486" i="1"/>
  <c r="Q1268" i="1"/>
  <c r="R1700" i="1"/>
  <c r="Q1102" i="1"/>
  <c r="R1549" i="1"/>
  <c r="R2335" i="1"/>
  <c r="R1484" i="1"/>
  <c r="R1486" i="1"/>
  <c r="R1268" i="1"/>
  <c r="R1516" i="1"/>
  <c r="R1102" i="1"/>
  <c r="Q504" i="1"/>
  <c r="Q1439" i="1"/>
  <c r="S2335" i="1"/>
  <c r="Q1298" i="1"/>
  <c r="Q832" i="1"/>
  <c r="S1516" i="1"/>
  <c r="R504" i="1"/>
  <c r="Q1605" i="1"/>
  <c r="R1439" i="1"/>
  <c r="Q2335" i="1"/>
  <c r="Q1573" i="1"/>
  <c r="R1298" i="1"/>
  <c r="Q629" i="1"/>
  <c r="R832" i="1"/>
  <c r="P505" i="1"/>
  <c r="S505" i="1" s="1"/>
  <c r="P2338" i="1"/>
  <c r="S2338" i="1" s="1"/>
  <c r="S504" i="1"/>
  <c r="Q617" i="1"/>
  <c r="R1605" i="1"/>
  <c r="S659" i="1"/>
  <c r="R1573" i="1"/>
  <c r="Q1080" i="1"/>
  <c r="R629" i="1"/>
  <c r="N305" i="1"/>
  <c r="W305" i="1" s="1"/>
  <c r="P2180" i="1"/>
  <c r="S2180" i="1" s="1"/>
  <c r="P2181" i="1"/>
  <c r="R2181" i="1" s="1"/>
  <c r="Q1600" i="1"/>
  <c r="S1075" i="1"/>
  <c r="R1304" i="1"/>
  <c r="Q1710" i="1"/>
  <c r="R1600" i="1"/>
  <c r="S1304" i="1"/>
  <c r="R1710" i="1"/>
  <c r="P2182" i="1"/>
  <c r="S2182" i="1" s="1"/>
  <c r="P2178" i="1"/>
  <c r="S2178" i="1" s="1"/>
  <c r="P563" i="1"/>
  <c r="S563" i="1" s="1"/>
  <c r="P1861" i="1"/>
  <c r="S1861" i="1" s="1"/>
  <c r="P1862" i="1"/>
  <c r="S1862" i="1" s="1"/>
  <c r="P2065" i="1"/>
  <c r="Q2065" i="1" s="1"/>
  <c r="P2066" i="1"/>
  <c r="S2066" i="1" s="1"/>
  <c r="P2067" i="1"/>
  <c r="Q2067" i="1" s="1"/>
  <c r="P2128" i="1"/>
  <c r="S2128" i="1" s="1"/>
  <c r="P1840" i="1"/>
  <c r="S1840" i="1" s="1"/>
  <c r="P2129" i="1"/>
  <c r="Q2129" i="1" s="1"/>
  <c r="P1843" i="1"/>
  <c r="S1843" i="1" s="1"/>
  <c r="P2130" i="1"/>
  <c r="Q2130" i="1" s="1"/>
  <c r="P2340" i="1"/>
  <c r="R2340" i="1" s="1"/>
  <c r="P1841" i="1"/>
  <c r="S1841" i="1" s="1"/>
  <c r="P2341" i="1"/>
  <c r="S2341" i="1" s="1"/>
  <c r="P2342" i="1"/>
  <c r="R2342" i="1" s="1"/>
  <c r="P2266" i="1"/>
  <c r="S2266" i="1" s="1"/>
  <c r="P1592" i="1"/>
  <c r="R1592" i="1" s="1"/>
  <c r="R167" i="1"/>
  <c r="Q167" i="1"/>
  <c r="S167" i="1"/>
  <c r="S373" i="1"/>
  <c r="R373" i="1"/>
  <c r="Q373" i="1"/>
  <c r="S350" i="1"/>
  <c r="R350" i="1"/>
  <c r="Q350" i="1"/>
  <c r="S604" i="1"/>
  <c r="R604" i="1"/>
  <c r="Q604" i="1"/>
  <c r="S1747" i="1"/>
  <c r="R1747" i="1"/>
  <c r="Q1747" i="1"/>
  <c r="S1817" i="1"/>
  <c r="R1817" i="1"/>
  <c r="Q1817" i="1"/>
  <c r="R2376" i="1"/>
  <c r="Q2376" i="1"/>
  <c r="S2376" i="1"/>
  <c r="S298" i="1"/>
  <c r="R298" i="1"/>
  <c r="Q298" i="1"/>
  <c r="R2045" i="1"/>
  <c r="Q2045" i="1"/>
  <c r="S2045" i="1"/>
  <c r="R267" i="1"/>
  <c r="Q267" i="1"/>
  <c r="S267" i="1"/>
  <c r="R356" i="1"/>
  <c r="Q356" i="1"/>
  <c r="S356" i="1"/>
  <c r="S2168" i="1"/>
  <c r="R2168" i="1"/>
  <c r="Q2168" i="1"/>
  <c r="S2246" i="1"/>
  <c r="R2246" i="1"/>
  <c r="Q2246" i="1"/>
  <c r="S536" i="1"/>
  <c r="R536" i="1"/>
  <c r="Q536" i="1"/>
  <c r="S1871" i="1"/>
  <c r="R1871" i="1"/>
  <c r="Q1871" i="1"/>
  <c r="S2014" i="1"/>
  <c r="R2014" i="1"/>
  <c r="Q2014" i="1"/>
  <c r="S286" i="1"/>
  <c r="R286" i="1"/>
  <c r="Q286" i="1"/>
  <c r="Q398" i="1"/>
  <c r="S398" i="1"/>
  <c r="R398" i="1"/>
  <c r="S714" i="1"/>
  <c r="R714" i="1"/>
  <c r="Q714" i="1"/>
  <c r="S731" i="1"/>
  <c r="R731" i="1"/>
  <c r="Q731" i="1"/>
  <c r="S1739" i="1"/>
  <c r="R1739" i="1"/>
  <c r="Q1739" i="1"/>
  <c r="Q2123" i="1"/>
  <c r="S2123" i="1"/>
  <c r="R2123" i="1"/>
  <c r="S2210" i="1"/>
  <c r="R2210" i="1"/>
  <c r="Q2210" i="1"/>
  <c r="S2003" i="1"/>
  <c r="R2003" i="1"/>
  <c r="Q2003" i="1"/>
  <c r="Q322" i="1"/>
  <c r="S322" i="1"/>
  <c r="R322" i="1"/>
  <c r="S1656" i="1"/>
  <c r="R1656" i="1"/>
  <c r="Q1656" i="1"/>
  <c r="S327" i="1"/>
  <c r="R327" i="1"/>
  <c r="Q327" i="1"/>
  <c r="S2196" i="1"/>
  <c r="R2196" i="1"/>
  <c r="Q2196" i="1"/>
  <c r="S1945" i="1"/>
  <c r="R1945" i="1"/>
  <c r="Q1945" i="1"/>
  <c r="S2350" i="1"/>
  <c r="R2350" i="1"/>
  <c r="Q2350" i="1"/>
  <c r="S2222" i="1"/>
  <c r="R2222" i="1"/>
  <c r="Q2222" i="1"/>
  <c r="R127" i="1"/>
  <c r="Q127" i="1"/>
  <c r="S127" i="1"/>
  <c r="S1741" i="1"/>
  <c r="R1741" i="1"/>
  <c r="Q1741" i="1"/>
  <c r="S1866" i="1"/>
  <c r="R1866" i="1"/>
  <c r="Q1866" i="1"/>
  <c r="S2360" i="1"/>
  <c r="R2360" i="1"/>
  <c r="Q2360" i="1"/>
  <c r="S2033" i="1"/>
  <c r="R2033" i="1"/>
  <c r="Q2033" i="1"/>
  <c r="S334" i="1"/>
  <c r="R334" i="1"/>
  <c r="Q334" i="1"/>
  <c r="S2056" i="1"/>
  <c r="R2056" i="1"/>
  <c r="Q2056" i="1"/>
  <c r="S337" i="1"/>
  <c r="R337" i="1"/>
  <c r="Q337" i="1"/>
  <c r="S493" i="1"/>
  <c r="R493" i="1"/>
  <c r="Q493" i="1"/>
  <c r="S744" i="1"/>
  <c r="R744" i="1"/>
  <c r="Q744" i="1"/>
  <c r="S2445" i="1"/>
  <c r="R2445" i="1"/>
  <c r="Q2445" i="1"/>
  <c r="S2214" i="1"/>
  <c r="R2214" i="1"/>
  <c r="Q2214" i="1"/>
  <c r="R165" i="1"/>
  <c r="Q165" i="1"/>
  <c r="S165" i="1"/>
  <c r="S314" i="1"/>
  <c r="R314" i="1"/>
  <c r="Q314" i="1"/>
  <c r="S1887" i="1"/>
  <c r="R1887" i="1"/>
  <c r="Q1887" i="1"/>
  <c r="S2386" i="1"/>
  <c r="R2386" i="1"/>
  <c r="Q2386" i="1"/>
  <c r="S436" i="1"/>
  <c r="R436" i="1"/>
  <c r="Q436" i="1"/>
  <c r="S760" i="1"/>
  <c r="R760" i="1"/>
  <c r="Q760" i="1"/>
  <c r="S1754" i="1"/>
  <c r="R1754" i="1"/>
  <c r="Q1754" i="1"/>
  <c r="S2356" i="1"/>
  <c r="R2356" i="1"/>
  <c r="Q2356" i="1"/>
  <c r="S2184" i="1"/>
  <c r="R2184" i="1"/>
  <c r="Q2184" i="1"/>
  <c r="S656" i="1"/>
  <c r="R656" i="1"/>
  <c r="Q656" i="1"/>
  <c r="S754" i="1"/>
  <c r="R754" i="1"/>
  <c r="Q754" i="1"/>
  <c r="S1814" i="1"/>
  <c r="R1814" i="1"/>
  <c r="Q1814" i="1"/>
  <c r="Q2175" i="1"/>
  <c r="S2175" i="1"/>
  <c r="R2175" i="1"/>
  <c r="S195" i="1"/>
  <c r="R195" i="1"/>
  <c r="Q195" i="1"/>
  <c r="S476" i="1"/>
  <c r="R476" i="1"/>
  <c r="Q476" i="1"/>
  <c r="S1934" i="1"/>
  <c r="R1934" i="1"/>
  <c r="Q1934" i="1"/>
  <c r="Q370" i="1"/>
  <c r="S370" i="1"/>
  <c r="R370" i="1"/>
  <c r="S1830" i="1"/>
  <c r="R1830" i="1"/>
  <c r="Q1830" i="1"/>
  <c r="R2457" i="1"/>
  <c r="Q2457" i="1"/>
  <c r="S2457" i="1"/>
  <c r="R2329" i="1"/>
  <c r="Q2329" i="1"/>
  <c r="S2329" i="1"/>
  <c r="S591" i="1"/>
  <c r="R591" i="1"/>
  <c r="Q591" i="1"/>
  <c r="P2023" i="1"/>
  <c r="R2020" i="1"/>
  <c r="Q2020" i="1"/>
  <c r="S2020" i="1"/>
  <c r="S2339" i="1"/>
  <c r="R2339" i="1"/>
  <c r="Q2339" i="1"/>
  <c r="R683" i="1"/>
  <c r="Q683" i="1"/>
  <c r="S683" i="1"/>
  <c r="S1760" i="1"/>
  <c r="R1760" i="1"/>
  <c r="Q1760" i="1"/>
  <c r="R544" i="1"/>
  <c r="Q544" i="1"/>
  <c r="S544" i="1"/>
  <c r="S524" i="1"/>
  <c r="R524" i="1"/>
  <c r="Q524" i="1"/>
  <c r="S1180" i="1"/>
  <c r="R1180" i="1"/>
  <c r="Q1180" i="1"/>
  <c r="S1026" i="1"/>
  <c r="R1026" i="1"/>
  <c r="Q1026" i="1"/>
  <c r="S1504" i="1"/>
  <c r="R1504" i="1"/>
  <c r="Q1504" i="1"/>
  <c r="S1120" i="1"/>
  <c r="R1120" i="1"/>
  <c r="Q1120" i="1"/>
  <c r="Q2187" i="1"/>
  <c r="S2187" i="1"/>
  <c r="R2187" i="1"/>
  <c r="T829" i="19"/>
  <c r="T1827" i="19"/>
  <c r="T889" i="19"/>
  <c r="T1428" i="19"/>
  <c r="T1892" i="19"/>
  <c r="T1192" i="19"/>
  <c r="T1701" i="19"/>
  <c r="T2293" i="19"/>
  <c r="R1907" i="19"/>
  <c r="S1907" i="19"/>
  <c r="Q1907" i="19"/>
  <c r="T574" i="19"/>
  <c r="T1333" i="19"/>
  <c r="T1299" i="19"/>
  <c r="T1746" i="19"/>
  <c r="R2119" i="19"/>
  <c r="S2119" i="19"/>
  <c r="Q2119" i="19"/>
  <c r="T1884" i="19"/>
  <c r="T242" i="19"/>
  <c r="T1140" i="19"/>
  <c r="T753" i="19"/>
  <c r="T1556" i="19"/>
  <c r="T1872" i="19"/>
  <c r="T279" i="19"/>
  <c r="S268" i="19"/>
  <c r="R268" i="19"/>
  <c r="Q268" i="19"/>
  <c r="Q712" i="19"/>
  <c r="S712" i="19"/>
  <c r="R712" i="19"/>
  <c r="R1919" i="19"/>
  <c r="S1919" i="19"/>
  <c r="Q1919" i="19"/>
  <c r="R2027" i="19"/>
  <c r="S2027" i="19"/>
  <c r="Q2027" i="19"/>
  <c r="R2296" i="19"/>
  <c r="S2296" i="19"/>
  <c r="Q2296" i="19"/>
  <c r="Q404" i="19"/>
  <c r="S404" i="19"/>
  <c r="R404" i="19"/>
  <c r="S599" i="19"/>
  <c r="R599" i="19"/>
  <c r="Q599" i="19"/>
  <c r="R2161" i="19"/>
  <c r="Q2161" i="19"/>
  <c r="S2161" i="19"/>
  <c r="Q2450" i="19"/>
  <c r="S2450" i="19"/>
  <c r="R2450" i="19"/>
  <c r="T2403" i="19"/>
  <c r="T974" i="19"/>
  <c r="T29" i="19"/>
  <c r="T114" i="19"/>
  <c r="T2028" i="19"/>
  <c r="T921" i="19"/>
  <c r="T1206" i="19"/>
  <c r="S1843" i="19"/>
  <c r="R1843" i="19"/>
  <c r="Q1843" i="19"/>
  <c r="R2200" i="19"/>
  <c r="S2200" i="19"/>
  <c r="Q2200" i="19"/>
  <c r="R2462" i="19"/>
  <c r="S2462" i="19"/>
  <c r="Q2462" i="19"/>
  <c r="S2376" i="19"/>
  <c r="R2376" i="19"/>
  <c r="Q2376" i="19"/>
  <c r="T480" i="19"/>
  <c r="S1213" i="1"/>
  <c r="R1213" i="1"/>
  <c r="Q1213" i="1"/>
  <c r="T224" i="19"/>
  <c r="T801" i="19"/>
  <c r="T1098" i="19"/>
  <c r="T1627" i="19"/>
  <c r="S1703" i="1"/>
  <c r="R1703" i="1"/>
  <c r="Q1703" i="1"/>
  <c r="T225" i="19"/>
  <c r="Q2065" i="19"/>
  <c r="S2065" i="19"/>
  <c r="R2065" i="19"/>
  <c r="Q2456" i="19"/>
  <c r="S2456" i="19"/>
  <c r="R2456" i="19"/>
  <c r="S2320" i="19"/>
  <c r="R2320" i="19"/>
  <c r="Q2320" i="19"/>
  <c r="R2074" i="19"/>
  <c r="S2074" i="19"/>
  <c r="Q2074" i="19"/>
  <c r="Q2266" i="19"/>
  <c r="S2266" i="19"/>
  <c r="R2266" i="19"/>
  <c r="S2302" i="19"/>
  <c r="R2302" i="19"/>
  <c r="Q2302" i="19"/>
  <c r="S2381" i="19"/>
  <c r="Q2381" i="19"/>
  <c r="R2381" i="19"/>
  <c r="Q2439" i="19"/>
  <c r="R2439" i="19"/>
  <c r="S2439" i="19"/>
  <c r="T804" i="19"/>
  <c r="Q2394" i="19"/>
  <c r="S2394" i="19"/>
  <c r="R2394" i="19"/>
  <c r="R431" i="19"/>
  <c r="S1637" i="19"/>
  <c r="Q1637" i="19"/>
  <c r="R1637" i="19"/>
  <c r="T835" i="19"/>
  <c r="T938" i="19"/>
  <c r="T1060" i="19"/>
  <c r="T1223" i="19"/>
  <c r="T1574" i="19"/>
  <c r="T640" i="19"/>
  <c r="T1342" i="19"/>
  <c r="T1615" i="19"/>
  <c r="T571" i="19"/>
  <c r="R1798" i="19"/>
  <c r="S1798" i="19"/>
  <c r="Q1798" i="19"/>
  <c r="T1309" i="19"/>
  <c r="S1914" i="19"/>
  <c r="R1914" i="19"/>
  <c r="Q1914" i="19"/>
  <c r="Q2080" i="19"/>
  <c r="R2080" i="19"/>
  <c r="S2080" i="19"/>
  <c r="R2193" i="19"/>
  <c r="Q2193" i="19"/>
  <c r="S2193" i="19"/>
  <c r="T90" i="19"/>
  <c r="T122" i="19"/>
  <c r="S2010" i="19"/>
  <c r="R2010" i="19"/>
  <c r="Q2010" i="19"/>
  <c r="R326" i="19"/>
  <c r="Q326" i="19"/>
  <c r="S326" i="19"/>
  <c r="T220" i="19"/>
  <c r="T164" i="19"/>
  <c r="T49" i="19"/>
  <c r="T79" i="19"/>
  <c r="S799" i="1"/>
  <c r="R799" i="1"/>
  <c r="Q799" i="1"/>
  <c r="T1632" i="19"/>
  <c r="T1352" i="19"/>
  <c r="T1908" i="19"/>
  <c r="T2495" i="19"/>
  <c r="T1195" i="19"/>
  <c r="S2230" i="19"/>
  <c r="R2230" i="19"/>
  <c r="Q2230" i="19"/>
  <c r="S750" i="19"/>
  <c r="R750" i="19"/>
  <c r="Q750" i="19"/>
  <c r="Q880" i="19"/>
  <c r="S880" i="19"/>
  <c r="R880" i="19"/>
  <c r="S1687" i="19"/>
  <c r="Q1687" i="19"/>
  <c r="R1687" i="19"/>
  <c r="Q2125" i="19"/>
  <c r="S2125" i="19"/>
  <c r="R2125" i="19"/>
  <c r="Q2113" i="19"/>
  <c r="S2113" i="19"/>
  <c r="R2113" i="19"/>
  <c r="S2130" i="19"/>
  <c r="R2130" i="19"/>
  <c r="Q2130" i="19"/>
  <c r="T692" i="19"/>
  <c r="T1530" i="19"/>
  <c r="T51" i="19"/>
  <c r="Q706" i="19"/>
  <c r="S706" i="19"/>
  <c r="R706" i="19"/>
  <c r="S1784" i="19"/>
  <c r="R1784" i="19"/>
  <c r="Q1784" i="19"/>
  <c r="T994" i="19"/>
  <c r="T546" i="19"/>
  <c r="R596" i="19"/>
  <c r="S596" i="19"/>
  <c r="Q596" i="19"/>
  <c r="T843" i="19"/>
  <c r="T120" i="19"/>
  <c r="S359" i="19"/>
  <c r="R359" i="19"/>
  <c r="Q359" i="19"/>
  <c r="T104" i="19"/>
  <c r="T1181" i="19"/>
  <c r="T87" i="19"/>
  <c r="T95" i="19"/>
  <c r="Q2265" i="1"/>
  <c r="S2265" i="1"/>
  <c r="R2265" i="1"/>
  <c r="Q768" i="19"/>
  <c r="S768" i="19"/>
  <c r="R768" i="19"/>
  <c r="R2138" i="19"/>
  <c r="S2138" i="19"/>
  <c r="Q2138" i="19"/>
  <c r="R774" i="19"/>
  <c r="Q774" i="19"/>
  <c r="S774" i="19"/>
  <c r="R499" i="19"/>
  <c r="S499" i="19"/>
  <c r="Q499" i="19"/>
  <c r="Q2181" i="19"/>
  <c r="S2181" i="19"/>
  <c r="R2181" i="19"/>
  <c r="T1540" i="19"/>
  <c r="Q1934" i="19"/>
  <c r="S1934" i="19"/>
  <c r="R1934" i="19"/>
  <c r="R1825" i="19"/>
  <c r="S1825" i="19"/>
  <c r="Q1825" i="19"/>
  <c r="Q1649" i="19"/>
  <c r="S1649" i="19"/>
  <c r="R1649" i="19"/>
  <c r="T186" i="19"/>
  <c r="T141" i="19"/>
  <c r="Q1957" i="19"/>
  <c r="S1957" i="19"/>
  <c r="R1957" i="19"/>
  <c r="T1438" i="19"/>
  <c r="S563" i="19"/>
  <c r="Q563" i="19"/>
  <c r="R563" i="19"/>
  <c r="T101" i="19"/>
  <c r="T121" i="19"/>
  <c r="T912" i="19"/>
  <c r="T1449" i="19"/>
  <c r="T1819" i="19"/>
  <c r="T1291" i="19"/>
  <c r="S2031" i="19"/>
  <c r="R2031" i="19"/>
  <c r="Q2031" i="19"/>
  <c r="R147" i="19"/>
  <c r="S147" i="19"/>
  <c r="Q147" i="19"/>
  <c r="S727" i="19"/>
  <c r="Q727" i="19"/>
  <c r="R727" i="19"/>
  <c r="R309" i="19"/>
  <c r="S309" i="19"/>
  <c r="Q309" i="19"/>
  <c r="S731" i="19"/>
  <c r="R731" i="19"/>
  <c r="Q731" i="19"/>
  <c r="S1751" i="19"/>
  <c r="R1751" i="19"/>
  <c r="Q1751" i="19"/>
  <c r="Q2167" i="19"/>
  <c r="S2167" i="19"/>
  <c r="R2167" i="19"/>
  <c r="Q669" i="19"/>
  <c r="S669" i="19"/>
  <c r="R669" i="19"/>
  <c r="R2049" i="19"/>
  <c r="Q2049" i="19"/>
  <c r="S2049" i="19"/>
  <c r="T31" i="19"/>
  <c r="S262" i="19"/>
  <c r="R262" i="19"/>
  <c r="Q262" i="19"/>
  <c r="R516" i="19"/>
  <c r="S516" i="19"/>
  <c r="Q516" i="19"/>
  <c r="R1926" i="19"/>
  <c r="S1926" i="19"/>
  <c r="Q1926" i="19"/>
  <c r="T685" i="19"/>
  <c r="T2195" i="19"/>
  <c r="T924" i="19"/>
  <c r="T1260" i="19"/>
  <c r="T1523" i="19"/>
  <c r="S374" i="19"/>
  <c r="R374" i="19"/>
  <c r="Q374" i="19"/>
  <c r="S761" i="19"/>
  <c r="R761" i="19"/>
  <c r="Q761" i="19"/>
  <c r="T73" i="19"/>
  <c r="T86" i="19"/>
  <c r="T573" i="19"/>
  <c r="T474" i="19"/>
  <c r="T50" i="19"/>
  <c r="T711" i="19"/>
  <c r="T1164" i="19"/>
  <c r="T1407" i="19"/>
  <c r="T243" i="19"/>
  <c r="T1864" i="19"/>
  <c r="R166" i="19"/>
  <c r="Q166" i="19"/>
  <c r="S166" i="19"/>
  <c r="S2217" i="19"/>
  <c r="R2217" i="19"/>
  <c r="Q2217" i="19"/>
  <c r="R2344" i="19"/>
  <c r="S2344" i="19"/>
  <c r="Q2344" i="19"/>
  <c r="T1042" i="19"/>
  <c r="T522" i="19"/>
  <c r="R149" i="19"/>
  <c r="Q149" i="19"/>
  <c r="S149" i="19"/>
  <c r="S2370" i="19"/>
  <c r="R2370" i="19"/>
  <c r="Q2370" i="19"/>
  <c r="S2262" i="19"/>
  <c r="R2262" i="19"/>
  <c r="Q2262" i="19"/>
  <c r="Q1939" i="19"/>
  <c r="R1939" i="19"/>
  <c r="S1939" i="19"/>
  <c r="R2174" i="19"/>
  <c r="S2174" i="19"/>
  <c r="Q2174" i="19"/>
  <c r="T222" i="19"/>
  <c r="T48" i="19"/>
  <c r="T1672" i="19"/>
  <c r="S1611" i="1"/>
  <c r="R1611" i="1"/>
  <c r="Q1611" i="1"/>
  <c r="R2185" i="19"/>
  <c r="S2185" i="19"/>
  <c r="Q2185" i="19"/>
  <c r="S1741" i="19"/>
  <c r="R1741" i="19"/>
  <c r="Q1741" i="19"/>
  <c r="T1562" i="19"/>
  <c r="T1021" i="19"/>
  <c r="T1501" i="19"/>
  <c r="R2374" i="19"/>
  <c r="S2374" i="19"/>
  <c r="Q2374" i="19"/>
  <c r="T803" i="19"/>
  <c r="S2242" i="19"/>
  <c r="R2242" i="19"/>
  <c r="Q2242" i="19"/>
  <c r="R171" i="1"/>
  <c r="Q171" i="1"/>
  <c r="S171" i="1"/>
  <c r="R179" i="1"/>
  <c r="Q179" i="1"/>
  <c r="S179" i="1"/>
  <c r="S374" i="1"/>
  <c r="R374" i="1"/>
  <c r="Q374" i="1"/>
  <c r="R177" i="1"/>
  <c r="Q177" i="1"/>
  <c r="S177" i="1"/>
  <c r="S351" i="1"/>
  <c r="R351" i="1"/>
  <c r="Q351" i="1"/>
  <c r="S2031" i="1"/>
  <c r="R2031" i="1"/>
  <c r="Q2031" i="1"/>
  <c r="S1748" i="1"/>
  <c r="R1748" i="1"/>
  <c r="Q1748" i="1"/>
  <c r="S2042" i="1"/>
  <c r="R2042" i="1"/>
  <c r="Q2042" i="1"/>
  <c r="S268" i="1"/>
  <c r="R268" i="1"/>
  <c r="Q268" i="1"/>
  <c r="R667" i="1"/>
  <c r="Q667" i="1"/>
  <c r="S667" i="1"/>
  <c r="Q2169" i="1"/>
  <c r="S2169" i="1"/>
  <c r="R2169" i="1"/>
  <c r="S726" i="1"/>
  <c r="R726" i="1"/>
  <c r="Q726" i="1"/>
  <c r="S722" i="1"/>
  <c r="R722" i="1"/>
  <c r="Q722" i="1"/>
  <c r="S537" i="1"/>
  <c r="R537" i="1"/>
  <c r="Q537" i="1"/>
  <c r="S1869" i="1"/>
  <c r="R1869" i="1"/>
  <c r="Q1869" i="1"/>
  <c r="S2015" i="1"/>
  <c r="R2015" i="1"/>
  <c r="Q2015" i="1"/>
  <c r="S399" i="1"/>
  <c r="R399" i="1"/>
  <c r="Q399" i="1"/>
  <c r="S715" i="1"/>
  <c r="R715" i="1"/>
  <c r="Q715" i="1"/>
  <c r="S733" i="1"/>
  <c r="R733" i="1"/>
  <c r="Q733" i="1"/>
  <c r="S1738" i="1"/>
  <c r="R1738" i="1"/>
  <c r="Q1738" i="1"/>
  <c r="S2124" i="1"/>
  <c r="R2124" i="1"/>
  <c r="Q2124" i="1"/>
  <c r="S2001" i="1"/>
  <c r="R2001" i="1"/>
  <c r="Q2001" i="1"/>
  <c r="S1657" i="1"/>
  <c r="R1657" i="1"/>
  <c r="Q1657" i="1"/>
  <c r="Q1947" i="1"/>
  <c r="S1947" i="1"/>
  <c r="R1947" i="1"/>
  <c r="Q2223" i="1"/>
  <c r="S2223" i="1"/>
  <c r="R2223" i="1"/>
  <c r="S751" i="1"/>
  <c r="R751" i="1"/>
  <c r="Q751" i="1"/>
  <c r="S1742" i="1"/>
  <c r="R1742" i="1"/>
  <c r="Q1742" i="1"/>
  <c r="S152" i="1"/>
  <c r="R152" i="1"/>
  <c r="Q152" i="1"/>
  <c r="S1867" i="1"/>
  <c r="R1867" i="1"/>
  <c r="Q1867" i="1"/>
  <c r="S2361" i="1"/>
  <c r="R2361" i="1"/>
  <c r="Q2361" i="1"/>
  <c r="Q2034" i="1"/>
  <c r="S2034" i="1"/>
  <c r="R2034" i="1"/>
  <c r="S307" i="1"/>
  <c r="R307" i="1"/>
  <c r="Q307" i="1"/>
  <c r="S2057" i="1"/>
  <c r="R2057" i="1"/>
  <c r="Q2057" i="1"/>
  <c r="S860" i="1"/>
  <c r="R860" i="1"/>
  <c r="Q860" i="1"/>
  <c r="S856" i="1"/>
  <c r="R856" i="1"/>
  <c r="Q856" i="1"/>
  <c r="Q2251" i="1"/>
  <c r="S2251" i="1"/>
  <c r="R2251" i="1"/>
  <c r="S2447" i="1"/>
  <c r="R2447" i="1"/>
  <c r="Q2447" i="1"/>
  <c r="S166" i="1"/>
  <c r="R166" i="1"/>
  <c r="Q166" i="1"/>
  <c r="R315" i="1"/>
  <c r="Q315" i="1"/>
  <c r="S315" i="1"/>
  <c r="S1885" i="1"/>
  <c r="R1885" i="1"/>
  <c r="Q1885" i="1"/>
  <c r="S146" i="1"/>
  <c r="R146" i="1"/>
  <c r="Q146" i="1"/>
  <c r="S2204" i="1"/>
  <c r="R2204" i="1"/>
  <c r="Q2204" i="1"/>
  <c r="S264" i="1"/>
  <c r="R264" i="1"/>
  <c r="Q264" i="1"/>
  <c r="S762" i="1"/>
  <c r="R762" i="1"/>
  <c r="Q762" i="1"/>
  <c r="S2358" i="1"/>
  <c r="R2358" i="1"/>
  <c r="Q2358" i="1"/>
  <c r="S499" i="1"/>
  <c r="R499" i="1"/>
  <c r="Q499" i="1"/>
  <c r="Q2185" i="1"/>
  <c r="S2185" i="1"/>
  <c r="R2185" i="1"/>
  <c r="S1921" i="1"/>
  <c r="R1921" i="1"/>
  <c r="Q1921" i="1"/>
  <c r="S2096" i="1"/>
  <c r="R2096" i="1"/>
  <c r="Q2096" i="1"/>
  <c r="S429" i="1"/>
  <c r="R429" i="1"/>
  <c r="Q429" i="1"/>
  <c r="S1756" i="1"/>
  <c r="R1756" i="1"/>
  <c r="Q1756" i="1"/>
  <c r="S1797" i="1"/>
  <c r="R1797" i="1"/>
  <c r="Q1797" i="1"/>
  <c r="Q2436" i="1"/>
  <c r="S2436" i="1"/>
  <c r="R2436" i="1"/>
  <c r="R196" i="1"/>
  <c r="Q196" i="1"/>
  <c r="S196" i="1"/>
  <c r="S477" i="1"/>
  <c r="R477" i="1"/>
  <c r="Q477" i="1"/>
  <c r="S2282" i="1"/>
  <c r="R2282" i="1"/>
  <c r="Q2282" i="1"/>
  <c r="S301" i="1"/>
  <c r="R301" i="1"/>
  <c r="Q301" i="1"/>
  <c r="S2458" i="1"/>
  <c r="R2458" i="1"/>
  <c r="Q2458" i="1"/>
  <c r="S158" i="1"/>
  <c r="R158" i="1"/>
  <c r="Q158" i="1"/>
  <c r="S2330" i="1"/>
  <c r="R2330" i="1"/>
  <c r="Q2330" i="1"/>
  <c r="S620" i="1"/>
  <c r="R620" i="1"/>
  <c r="Q620" i="1"/>
  <c r="S897" i="1"/>
  <c r="R897" i="1"/>
  <c r="Q897" i="1"/>
  <c r="S1056" i="1"/>
  <c r="R1056" i="1"/>
  <c r="Q1056" i="1"/>
  <c r="Q1576" i="1"/>
  <c r="S1576" i="1"/>
  <c r="R1576" i="1"/>
  <c r="S1638" i="1"/>
  <c r="R1638" i="1"/>
  <c r="Q1638" i="1"/>
  <c r="S1743" i="1"/>
  <c r="R1743" i="1"/>
  <c r="Q1743" i="1"/>
  <c r="S1357" i="1"/>
  <c r="R1357" i="1"/>
  <c r="Q1357" i="1"/>
  <c r="S608" i="1"/>
  <c r="R608" i="1"/>
  <c r="Q608" i="1"/>
  <c r="S1135" i="1"/>
  <c r="R1135" i="1"/>
  <c r="Q1135" i="1"/>
  <c r="R1793" i="19"/>
  <c r="S1793" i="19"/>
  <c r="Q1793" i="19"/>
  <c r="T520" i="19"/>
  <c r="T1595" i="19"/>
  <c r="T2455" i="19"/>
  <c r="T541" i="19"/>
  <c r="T1365" i="19"/>
  <c r="T2053" i="19"/>
  <c r="T842" i="19"/>
  <c r="T1694" i="19"/>
  <c r="T1432" i="19"/>
  <c r="T1158" i="19"/>
  <c r="T1446" i="19"/>
  <c r="S1847" i="19"/>
  <c r="Q1847" i="19"/>
  <c r="R1847" i="19"/>
  <c r="T154" i="19"/>
  <c r="T67" i="19"/>
  <c r="T23" i="19"/>
  <c r="T109" i="19"/>
  <c r="T208" i="19"/>
  <c r="T70" i="19"/>
  <c r="T794" i="19"/>
  <c r="T1324" i="19"/>
  <c r="T2431" i="19"/>
  <c r="T157" i="19"/>
  <c r="Q2153" i="19"/>
  <c r="R2153" i="19"/>
  <c r="S2153" i="19"/>
  <c r="Q820" i="19"/>
  <c r="S820" i="19"/>
  <c r="R820" i="19"/>
  <c r="S2190" i="19"/>
  <c r="R2190" i="19"/>
  <c r="Q2190" i="19"/>
  <c r="Q715" i="19"/>
  <c r="R715" i="19"/>
  <c r="S715" i="19"/>
  <c r="S2206" i="19"/>
  <c r="R2206" i="19"/>
  <c r="Q2206" i="19"/>
  <c r="Q1981" i="19"/>
  <c r="S1981" i="19"/>
  <c r="R1981" i="19"/>
  <c r="R407" i="19"/>
  <c r="Q407" i="19"/>
  <c r="S407" i="19"/>
  <c r="S2162" i="19"/>
  <c r="R2162" i="19"/>
  <c r="Q2162" i="19"/>
  <c r="S2451" i="19"/>
  <c r="R2451" i="19"/>
  <c r="Q2451" i="19"/>
  <c r="S1832" i="19"/>
  <c r="Q1832" i="19"/>
  <c r="R1832" i="19"/>
  <c r="T2488" i="19"/>
  <c r="T1049" i="19"/>
  <c r="S1985" i="19"/>
  <c r="Q1985" i="19"/>
  <c r="R1985" i="19"/>
  <c r="Q1841" i="19"/>
  <c r="S1841" i="19"/>
  <c r="R1841" i="19"/>
  <c r="S1941" i="19"/>
  <c r="R1941" i="19"/>
  <c r="Q1941" i="19"/>
  <c r="S2201" i="19"/>
  <c r="R2201" i="19"/>
  <c r="Q2201" i="19"/>
  <c r="T1323" i="19"/>
  <c r="S2465" i="19"/>
  <c r="R2465" i="19"/>
  <c r="Q2465" i="19"/>
  <c r="R2377" i="19"/>
  <c r="S2377" i="19"/>
  <c r="Q2377" i="19"/>
  <c r="T55" i="19"/>
  <c r="T378" i="19"/>
  <c r="T858" i="19"/>
  <c r="T705" i="19"/>
  <c r="S1204" i="1"/>
  <c r="R1204" i="1"/>
  <c r="Q1204" i="1"/>
  <c r="T2139" i="19"/>
  <c r="S1257" i="1"/>
  <c r="R1257" i="1"/>
  <c r="Q1257" i="1"/>
  <c r="S381" i="19"/>
  <c r="R381" i="19"/>
  <c r="Q381" i="19"/>
  <c r="R400" i="19"/>
  <c r="S400" i="19"/>
  <c r="Q400" i="19"/>
  <c r="Q2021" i="19"/>
  <c r="S2021" i="19"/>
  <c r="R2021" i="19"/>
  <c r="S2288" i="19"/>
  <c r="R2288" i="19"/>
  <c r="Q2288" i="19"/>
  <c r="S2067" i="19"/>
  <c r="Q2067" i="19"/>
  <c r="R2067" i="19"/>
  <c r="S1753" i="19"/>
  <c r="R1753" i="19"/>
  <c r="Q1753" i="19"/>
  <c r="Q2460" i="19"/>
  <c r="S2460" i="19"/>
  <c r="R2460" i="19"/>
  <c r="S1971" i="19"/>
  <c r="R1971" i="19"/>
  <c r="Q1971" i="19"/>
  <c r="Q1655" i="19"/>
  <c r="S1655" i="19"/>
  <c r="R1655" i="19"/>
  <c r="R2084" i="19"/>
  <c r="S2084" i="19"/>
  <c r="Q2084" i="19"/>
  <c r="S2077" i="19"/>
  <c r="R2077" i="19"/>
  <c r="Q2077" i="19"/>
  <c r="Q2382" i="19"/>
  <c r="S2382" i="19"/>
  <c r="R2382" i="19"/>
  <c r="R2447" i="19"/>
  <c r="Q2447" i="19"/>
  <c r="S2447" i="19"/>
  <c r="R2440" i="19"/>
  <c r="Q2440" i="19"/>
  <c r="S2440" i="19"/>
  <c r="T1010" i="19"/>
  <c r="T1058" i="19"/>
  <c r="T992" i="19"/>
  <c r="T1896" i="19"/>
  <c r="S431" i="19"/>
  <c r="R1836" i="19"/>
  <c r="S1836" i="19"/>
  <c r="Q1836" i="19"/>
  <c r="T1327" i="19"/>
  <c r="T905" i="19"/>
  <c r="T1435" i="19"/>
  <c r="T1740" i="19"/>
  <c r="T798" i="19"/>
  <c r="R2197" i="19"/>
  <c r="Q2197" i="19"/>
  <c r="S2197" i="19"/>
  <c r="T1338" i="19"/>
  <c r="T1491" i="19"/>
  <c r="T2000" i="19"/>
  <c r="Q329" i="19"/>
  <c r="S329" i="19"/>
  <c r="R329" i="19"/>
  <c r="T134" i="19"/>
  <c r="T348" i="19"/>
  <c r="T40" i="19"/>
  <c r="T219" i="19"/>
  <c r="T124" i="19"/>
  <c r="T792" i="19"/>
  <c r="T729" i="19"/>
  <c r="T966" i="19"/>
  <c r="T1222" i="19"/>
  <c r="T997" i="19"/>
  <c r="T1773" i="19"/>
  <c r="Q1997" i="19"/>
  <c r="S1997" i="19"/>
  <c r="R1997" i="19"/>
  <c r="R2111" i="19"/>
  <c r="Q2111" i="19"/>
  <c r="S2111" i="19"/>
  <c r="Q2324" i="19"/>
  <c r="S2324" i="19"/>
  <c r="R2324" i="19"/>
  <c r="S2426" i="19"/>
  <c r="R2426" i="19"/>
  <c r="Q2426" i="19"/>
  <c r="R2414" i="19"/>
  <c r="Q2414" i="19"/>
  <c r="S2414" i="19"/>
  <c r="Q2128" i="19"/>
  <c r="S2128" i="19"/>
  <c r="R2128" i="19"/>
  <c r="T1240" i="19"/>
  <c r="R1897" i="19"/>
  <c r="Q1897" i="19"/>
  <c r="S1897" i="19"/>
  <c r="T1314" i="19"/>
  <c r="Q2013" i="19"/>
  <c r="R2013" i="19"/>
  <c r="S2013" i="19"/>
  <c r="Q1738" i="19"/>
  <c r="S1738" i="19"/>
  <c r="R1738" i="19"/>
  <c r="R709" i="19"/>
  <c r="Q709" i="19"/>
  <c r="S709" i="19"/>
  <c r="Q2007" i="19"/>
  <c r="S2007" i="19"/>
  <c r="R2007" i="19"/>
  <c r="S2340" i="19"/>
  <c r="Q2340" i="19"/>
  <c r="R2340" i="19"/>
  <c r="T1118" i="19"/>
  <c r="T1815" i="19"/>
  <c r="S2209" i="19"/>
  <c r="R2209" i="19"/>
  <c r="Q2209" i="19"/>
  <c r="T1126" i="19"/>
  <c r="S1639" i="1"/>
  <c r="R1639" i="1"/>
  <c r="Q1639" i="1"/>
  <c r="T238" i="19"/>
  <c r="T240" i="19"/>
  <c r="S562" i="1"/>
  <c r="R562" i="1"/>
  <c r="Q562" i="1"/>
  <c r="T1083" i="19"/>
  <c r="T1686" i="19"/>
  <c r="S677" i="19"/>
  <c r="R677" i="19"/>
  <c r="Q677" i="19"/>
  <c r="S257" i="19"/>
  <c r="Q257" i="19"/>
  <c r="R257" i="19"/>
  <c r="S1745" i="19"/>
  <c r="R1745" i="19"/>
  <c r="Q1745" i="19"/>
  <c r="S502" i="19"/>
  <c r="R502" i="19"/>
  <c r="Q502" i="19"/>
  <c r="Q2182" i="19"/>
  <c r="S2182" i="19"/>
  <c r="R2182" i="19"/>
  <c r="Q2356" i="19"/>
  <c r="S2356" i="19"/>
  <c r="R2356" i="19"/>
  <c r="Q1935" i="19"/>
  <c r="S1935" i="19"/>
  <c r="R1935" i="19"/>
  <c r="Q1826" i="19"/>
  <c r="S1826" i="19"/>
  <c r="R1826" i="19"/>
  <c r="T139" i="19"/>
  <c r="S2283" i="19"/>
  <c r="R2283" i="19"/>
  <c r="Q2283" i="19"/>
  <c r="R1820" i="19"/>
  <c r="Q1820" i="19"/>
  <c r="S1820" i="19"/>
  <c r="S1829" i="19"/>
  <c r="R1829" i="19"/>
  <c r="Q1829" i="19"/>
  <c r="T960" i="19"/>
  <c r="T1232" i="19"/>
  <c r="T1498" i="19"/>
  <c r="T1912" i="19"/>
  <c r="S1891" i="19"/>
  <c r="R1891" i="19"/>
  <c r="Q1891" i="19"/>
  <c r="T27" i="19"/>
  <c r="T1683" i="19"/>
  <c r="T227" i="19"/>
  <c r="R724" i="19"/>
  <c r="S724" i="19"/>
  <c r="Q724" i="19"/>
  <c r="Q2170" i="19"/>
  <c r="S2170" i="19"/>
  <c r="R2170" i="19"/>
  <c r="S860" i="19"/>
  <c r="Q860" i="19"/>
  <c r="R860" i="19"/>
  <c r="R2094" i="19"/>
  <c r="S2094" i="19"/>
  <c r="Q2094" i="19"/>
  <c r="Q2435" i="19"/>
  <c r="R2435" i="19"/>
  <c r="S2435" i="19"/>
  <c r="R2422" i="19"/>
  <c r="Q2422" i="19"/>
  <c r="S2422" i="19"/>
  <c r="R2406" i="19"/>
  <c r="S2406" i="19"/>
  <c r="Q2406" i="19"/>
  <c r="S2050" i="19"/>
  <c r="R2050" i="19"/>
  <c r="Q2050" i="19"/>
  <c r="T1267" i="19"/>
  <c r="Q265" i="19"/>
  <c r="R265" i="19"/>
  <c r="S265" i="19"/>
  <c r="T1442" i="19"/>
  <c r="T1533" i="19"/>
  <c r="Q2214" i="19"/>
  <c r="R2214" i="19"/>
  <c r="S2214" i="19"/>
  <c r="T791" i="19"/>
  <c r="T1121" i="19"/>
  <c r="T1663" i="19"/>
  <c r="T1752" i="19"/>
  <c r="T864" i="19"/>
  <c r="T1234" i="19"/>
  <c r="T846" i="19"/>
  <c r="T1015" i="19"/>
  <c r="T1607" i="19"/>
  <c r="Q377" i="19"/>
  <c r="S377" i="19"/>
  <c r="R377" i="19"/>
  <c r="T200" i="19"/>
  <c r="T254" i="19"/>
  <c r="T108" i="19"/>
  <c r="T32" i="19"/>
  <c r="S2276" i="19"/>
  <c r="R2276" i="19"/>
  <c r="Q2276" i="19"/>
  <c r="R2218" i="19"/>
  <c r="S2218" i="19"/>
  <c r="Q2218" i="19"/>
  <c r="R2348" i="19"/>
  <c r="Q2348" i="19"/>
  <c r="S2348" i="19"/>
  <c r="S2364" i="19"/>
  <c r="R2364" i="19"/>
  <c r="Q2364" i="19"/>
  <c r="Q469" i="19"/>
  <c r="S469" i="19"/>
  <c r="R469" i="19"/>
  <c r="S2132" i="19"/>
  <c r="R2132" i="19"/>
  <c r="Q2132" i="19"/>
  <c r="T1612" i="19"/>
  <c r="R2157" i="19"/>
  <c r="Q2157" i="19"/>
  <c r="S2157" i="19"/>
  <c r="Q2272" i="19"/>
  <c r="S2272" i="19"/>
  <c r="R2272" i="19"/>
  <c r="S2263" i="19"/>
  <c r="Q2263" i="19"/>
  <c r="R2263" i="19"/>
  <c r="T658" i="19"/>
  <c r="T1265" i="19"/>
  <c r="T1599" i="19"/>
  <c r="T822" i="19"/>
  <c r="T2098" i="19"/>
  <c r="S2225" i="19"/>
  <c r="R2225" i="19"/>
  <c r="Q2225" i="19"/>
  <c r="T282" i="19"/>
  <c r="T25" i="19"/>
  <c r="T21" i="19"/>
  <c r="T107" i="19"/>
  <c r="T44" i="19"/>
  <c r="T38" i="19"/>
  <c r="T209" i="19"/>
  <c r="T261" i="19"/>
  <c r="T624" i="19"/>
  <c r="T899" i="19"/>
  <c r="T987" i="19"/>
  <c r="T1415" i="19"/>
  <c r="S1977" i="19"/>
  <c r="R1977" i="19"/>
  <c r="Q1977" i="19"/>
  <c r="T1593" i="19"/>
  <c r="S2243" i="19"/>
  <c r="R2243" i="19"/>
  <c r="Q2243" i="19"/>
  <c r="S30" i="1"/>
  <c r="R30" i="1"/>
  <c r="Q30" i="1"/>
  <c r="R183" i="1"/>
  <c r="Q183" i="1"/>
  <c r="S183" i="1"/>
  <c r="S375" i="1"/>
  <c r="R375" i="1"/>
  <c r="Q375" i="1"/>
  <c r="S178" i="1"/>
  <c r="R178" i="1"/>
  <c r="Q178" i="1"/>
  <c r="S352" i="1"/>
  <c r="R352" i="1"/>
  <c r="Q352" i="1"/>
  <c r="R2029" i="1"/>
  <c r="Q2029" i="1"/>
  <c r="S2029" i="1"/>
  <c r="S596" i="1"/>
  <c r="R596" i="1"/>
  <c r="Q596" i="1"/>
  <c r="S2041" i="1"/>
  <c r="R2041" i="1"/>
  <c r="Q2041" i="1"/>
  <c r="S2140" i="1"/>
  <c r="R2140" i="1"/>
  <c r="Q2140" i="1"/>
  <c r="S2102" i="1"/>
  <c r="R2102" i="1"/>
  <c r="Q2102" i="1"/>
  <c r="S1897" i="1"/>
  <c r="R1897" i="1"/>
  <c r="Q1897" i="1"/>
  <c r="S269" i="1"/>
  <c r="R269" i="1"/>
  <c r="Q269" i="1"/>
  <c r="S668" i="1"/>
  <c r="R668" i="1"/>
  <c r="Q668" i="1"/>
  <c r="Q2157" i="1"/>
  <c r="S2157" i="1"/>
  <c r="R2157" i="1"/>
  <c r="S2170" i="1"/>
  <c r="R2170" i="1"/>
  <c r="Q2170" i="1"/>
  <c r="S727" i="1"/>
  <c r="R727" i="1"/>
  <c r="Q727" i="1"/>
  <c r="S718" i="1"/>
  <c r="R718" i="1"/>
  <c r="Q718" i="1"/>
  <c r="S1870" i="1"/>
  <c r="R1870" i="1"/>
  <c r="Q1870" i="1"/>
  <c r="R2013" i="1"/>
  <c r="Q2013" i="1"/>
  <c r="S2013" i="1"/>
  <c r="R400" i="1"/>
  <c r="Q400" i="1"/>
  <c r="S400" i="1"/>
  <c r="S1822" i="1"/>
  <c r="R1822" i="1"/>
  <c r="Q1822" i="1"/>
  <c r="S1836" i="1"/>
  <c r="R1836" i="1"/>
  <c r="Q1836" i="1"/>
  <c r="Q2002" i="1"/>
  <c r="S2002" i="1"/>
  <c r="R2002" i="1"/>
  <c r="R481" i="1"/>
  <c r="Q481" i="1"/>
  <c r="S481" i="1"/>
  <c r="S199" i="1"/>
  <c r="R199" i="1"/>
  <c r="Q199" i="1"/>
  <c r="S1918" i="1"/>
  <c r="R1918" i="1"/>
  <c r="Q1918" i="1"/>
  <c r="S1978" i="1"/>
  <c r="R1978" i="1"/>
  <c r="Q1978" i="1"/>
  <c r="S2150" i="1"/>
  <c r="R2150" i="1"/>
  <c r="Q2150" i="1"/>
  <c r="Q2225" i="1"/>
  <c r="S2225" i="1"/>
  <c r="R2225" i="1"/>
  <c r="S748" i="1"/>
  <c r="R748" i="1"/>
  <c r="Q748" i="1"/>
  <c r="S1903" i="1"/>
  <c r="R1903" i="1"/>
  <c r="Q1903" i="1"/>
  <c r="S1783" i="1"/>
  <c r="R1783" i="1"/>
  <c r="Q1783" i="1"/>
  <c r="R153" i="1"/>
  <c r="Q153" i="1"/>
  <c r="S153" i="1"/>
  <c r="S2192" i="1"/>
  <c r="R2192" i="1"/>
  <c r="Q2192" i="1"/>
  <c r="R2362" i="1"/>
  <c r="Q2362" i="1"/>
  <c r="S2362" i="1"/>
  <c r="S1661" i="1"/>
  <c r="R1661" i="1"/>
  <c r="Q1661" i="1"/>
  <c r="R308" i="1"/>
  <c r="Q308" i="1"/>
  <c r="S308" i="1"/>
  <c r="S2054" i="1"/>
  <c r="R2054" i="1"/>
  <c r="Q2054" i="1"/>
  <c r="S861" i="1"/>
  <c r="R861" i="1"/>
  <c r="Q861" i="1"/>
  <c r="S855" i="1"/>
  <c r="R855" i="1"/>
  <c r="Q855" i="1"/>
  <c r="S2448" i="1"/>
  <c r="R2448" i="1"/>
  <c r="Q2448" i="1"/>
  <c r="S316" i="1"/>
  <c r="R316" i="1"/>
  <c r="Q316" i="1"/>
  <c r="S1925" i="1"/>
  <c r="R1925" i="1"/>
  <c r="Q1925" i="1"/>
  <c r="R147" i="1"/>
  <c r="Q147" i="1"/>
  <c r="S147" i="1"/>
  <c r="S2010" i="1"/>
  <c r="R2010" i="1"/>
  <c r="Q2010" i="1"/>
  <c r="Q2319" i="1"/>
  <c r="S2319" i="1"/>
  <c r="R2319" i="1"/>
  <c r="S679" i="1"/>
  <c r="R679" i="1"/>
  <c r="Q679" i="1"/>
  <c r="S763" i="1"/>
  <c r="R763" i="1"/>
  <c r="Q763" i="1"/>
  <c r="S2296" i="1"/>
  <c r="R2296" i="1"/>
  <c r="Q2296" i="1"/>
  <c r="S500" i="1"/>
  <c r="R500" i="1"/>
  <c r="Q500" i="1"/>
  <c r="R173" i="1"/>
  <c r="Q173" i="1"/>
  <c r="S173" i="1"/>
  <c r="Q1922" i="1"/>
  <c r="S1922" i="1"/>
  <c r="R1922" i="1"/>
  <c r="Q2097" i="1"/>
  <c r="S2097" i="1"/>
  <c r="R2097" i="1"/>
  <c r="S430" i="1"/>
  <c r="R430" i="1"/>
  <c r="Q430" i="1"/>
  <c r="S774" i="1"/>
  <c r="R774" i="1"/>
  <c r="Q774" i="1"/>
  <c r="S1757" i="1"/>
  <c r="R1757" i="1"/>
  <c r="Q1757" i="1"/>
  <c r="S1796" i="1"/>
  <c r="R1796" i="1"/>
  <c r="Q1796" i="1"/>
  <c r="S2258" i="1"/>
  <c r="R2258" i="1"/>
  <c r="Q2258" i="1"/>
  <c r="S2432" i="1"/>
  <c r="R2432" i="1"/>
  <c r="Q2432" i="1"/>
  <c r="S2284" i="1"/>
  <c r="R2284" i="1"/>
  <c r="Q2284" i="1"/>
  <c r="R159" i="1"/>
  <c r="Q159" i="1"/>
  <c r="S159" i="1"/>
  <c r="S674" i="1"/>
  <c r="R674" i="1"/>
  <c r="Q674" i="1"/>
  <c r="S686" i="1"/>
  <c r="Q686" i="1"/>
  <c r="R686" i="1"/>
  <c r="S1679" i="1"/>
  <c r="R1679" i="1"/>
  <c r="Q1679" i="1"/>
  <c r="S1244" i="1"/>
  <c r="R1244" i="1"/>
  <c r="Q1244" i="1"/>
  <c r="S1630" i="1"/>
  <c r="R1630" i="1"/>
  <c r="Q1630" i="1"/>
  <c r="Q1329" i="1"/>
  <c r="S1329" i="1"/>
  <c r="R1329" i="1"/>
  <c r="S1766" i="1"/>
  <c r="R1766" i="1"/>
  <c r="Q1766" i="1"/>
  <c r="S1330" i="1"/>
  <c r="R1330" i="1"/>
  <c r="Q1330" i="1"/>
  <c r="S1670" i="1"/>
  <c r="R1670" i="1"/>
  <c r="Q1670" i="1"/>
  <c r="S1610" i="1"/>
  <c r="Q1610" i="1"/>
  <c r="R1610" i="1"/>
  <c r="S618" i="19"/>
  <c r="R618" i="19"/>
  <c r="Q618" i="19"/>
  <c r="Q1794" i="19"/>
  <c r="S1794" i="19"/>
  <c r="R1794" i="19"/>
  <c r="R2352" i="19"/>
  <c r="S2352" i="19"/>
  <c r="Q2352" i="19"/>
  <c r="T647" i="19"/>
  <c r="T1763" i="19"/>
  <c r="T2191" i="19"/>
  <c r="T1364" i="19"/>
  <c r="T1460" i="19"/>
  <c r="T1481" i="19"/>
  <c r="T2078" i="19"/>
  <c r="S1909" i="19"/>
  <c r="Q1909" i="19"/>
  <c r="R1909" i="19"/>
  <c r="T1087" i="19"/>
  <c r="T1183" i="19"/>
  <c r="T1368" i="19"/>
  <c r="T1241" i="19"/>
  <c r="T1650" i="19"/>
  <c r="T85" i="19"/>
  <c r="T76" i="19"/>
  <c r="T823" i="19"/>
  <c r="S1172" i="1"/>
  <c r="R1172" i="1"/>
  <c r="Q1172" i="1"/>
  <c r="T213" i="19"/>
  <c r="Q2154" i="19"/>
  <c r="S2154" i="19"/>
  <c r="R2154" i="19"/>
  <c r="S716" i="19"/>
  <c r="R716" i="19"/>
  <c r="Q716" i="19"/>
  <c r="S1790" i="19"/>
  <c r="R1790" i="19"/>
  <c r="Q1790" i="19"/>
  <c r="S1982" i="19"/>
  <c r="R1982" i="19"/>
  <c r="Q1982" i="19"/>
  <c r="Q1917" i="19"/>
  <c r="R1917" i="19"/>
  <c r="S1917" i="19"/>
  <c r="R2297" i="19"/>
  <c r="S2297" i="19"/>
  <c r="Q2297" i="19"/>
  <c r="R2054" i="19"/>
  <c r="S2054" i="19"/>
  <c r="Q2054" i="19"/>
  <c r="R2164" i="19"/>
  <c r="Q2164" i="19"/>
  <c r="S2164" i="19"/>
  <c r="S2412" i="19"/>
  <c r="R2412" i="19"/>
  <c r="Q2412" i="19"/>
  <c r="S2452" i="19"/>
  <c r="Q2452" i="19"/>
  <c r="R2452" i="19"/>
  <c r="S1786" i="19"/>
  <c r="Q1786" i="19"/>
  <c r="R1786" i="19"/>
  <c r="R1818" i="19"/>
  <c r="Q1818" i="19"/>
  <c r="S1818" i="19"/>
  <c r="T130" i="19"/>
  <c r="Q1833" i="19"/>
  <c r="R1833" i="19"/>
  <c r="S1833" i="19"/>
  <c r="T2249" i="19"/>
  <c r="T1141" i="19"/>
  <c r="T1322" i="19"/>
  <c r="T1385" i="19"/>
  <c r="R1986" i="19"/>
  <c r="S1986" i="19"/>
  <c r="Q1986" i="19"/>
  <c r="S1942" i="19"/>
  <c r="Q1942" i="19"/>
  <c r="R1942" i="19"/>
  <c r="T873" i="19"/>
  <c r="R2463" i="19"/>
  <c r="S2463" i="19"/>
  <c r="Q2463" i="19"/>
  <c r="T33" i="19"/>
  <c r="T80" i="19"/>
  <c r="T312" i="19"/>
  <c r="T187" i="19"/>
  <c r="T52" i="19"/>
  <c r="T854" i="19"/>
  <c r="T1477" i="19"/>
  <c r="T291" i="19"/>
  <c r="R2457" i="19"/>
  <c r="Q2457" i="19"/>
  <c r="S2457" i="19"/>
  <c r="Q2035" i="19"/>
  <c r="S2035" i="19"/>
  <c r="R2035" i="19"/>
  <c r="S1969" i="19"/>
  <c r="R1969" i="19"/>
  <c r="Q1969" i="19"/>
  <c r="S1991" i="19"/>
  <c r="R1991" i="19"/>
  <c r="Q1991" i="19"/>
  <c r="S2085" i="19"/>
  <c r="R2085" i="19"/>
  <c r="Q2085" i="19"/>
  <c r="Q2318" i="19"/>
  <c r="R2318" i="19"/>
  <c r="S2318" i="19"/>
  <c r="R2075" i="19"/>
  <c r="Q2075" i="19"/>
  <c r="S2075" i="19"/>
  <c r="S2267" i="19"/>
  <c r="R2267" i="19"/>
  <c r="Q2267" i="19"/>
  <c r="R2303" i="19"/>
  <c r="S2303" i="19"/>
  <c r="Q2303" i="19"/>
  <c r="Q2444" i="19"/>
  <c r="R2444" i="19"/>
  <c r="S2444" i="19"/>
  <c r="T870" i="19"/>
  <c r="T102" i="19"/>
  <c r="T1009" i="19"/>
  <c r="Q1837" i="19"/>
  <c r="S1837" i="19"/>
  <c r="R1837" i="19"/>
  <c r="T528" i="19"/>
  <c r="T623" i="19"/>
  <c r="T1159" i="19"/>
  <c r="T1363" i="19"/>
  <c r="T1517" i="19"/>
  <c r="T545" i="19"/>
  <c r="T1525" i="19"/>
  <c r="T1900" i="19"/>
  <c r="T789" i="19"/>
  <c r="T883" i="19"/>
  <c r="T1012" i="19"/>
  <c r="T1226" i="19"/>
  <c r="S1950" i="19"/>
  <c r="R1950" i="19"/>
  <c r="Q1950" i="19"/>
  <c r="T204" i="19"/>
  <c r="T244" i="19"/>
  <c r="T168" i="19"/>
  <c r="T1152" i="19"/>
  <c r="T1143" i="19"/>
  <c r="T1618" i="19"/>
  <c r="T303" i="19"/>
  <c r="S315" i="19"/>
  <c r="R315" i="19"/>
  <c r="Q315" i="19"/>
  <c r="Q2228" i="19"/>
  <c r="S2228" i="19"/>
  <c r="R2228" i="19"/>
  <c r="Q2114" i="19"/>
  <c r="S2114" i="19"/>
  <c r="R2114" i="19"/>
  <c r="R2250" i="19"/>
  <c r="Q2250" i="19"/>
  <c r="S2250" i="19"/>
  <c r="S2326" i="19"/>
  <c r="R2326" i="19"/>
  <c r="Q2326" i="19"/>
  <c r="Q2360" i="19"/>
  <c r="S2360" i="19"/>
  <c r="R2360" i="19"/>
  <c r="R2428" i="19"/>
  <c r="S2428" i="19"/>
  <c r="Q2428" i="19"/>
  <c r="S2417" i="19"/>
  <c r="R2417" i="19"/>
  <c r="Q2417" i="19"/>
  <c r="T1448" i="19"/>
  <c r="T1633" i="19"/>
  <c r="T963" i="19"/>
  <c r="S2014" i="19"/>
  <c r="R2014" i="19"/>
  <c r="Q2014" i="19"/>
  <c r="R202" i="19"/>
  <c r="Q202" i="19"/>
  <c r="S202" i="19"/>
  <c r="Q1739" i="19"/>
  <c r="S1739" i="19"/>
  <c r="R1739" i="19"/>
  <c r="S707" i="19"/>
  <c r="R707" i="19"/>
  <c r="Q707" i="19"/>
  <c r="S2005" i="19"/>
  <c r="R2005" i="19"/>
  <c r="Q2005" i="19"/>
  <c r="Q2341" i="19"/>
  <c r="R2341" i="19"/>
  <c r="S2341" i="19"/>
  <c r="R2104" i="19"/>
  <c r="S2104" i="19"/>
  <c r="Q2104" i="19"/>
  <c r="R1877" i="19"/>
  <c r="S1877" i="19"/>
  <c r="Q1877" i="19"/>
  <c r="T1217" i="19"/>
  <c r="T2477" i="19"/>
  <c r="R357" i="19"/>
  <c r="Q357" i="19"/>
  <c r="S357" i="19"/>
  <c r="T116" i="19"/>
  <c r="T735" i="19"/>
  <c r="T1147" i="19"/>
  <c r="T1275" i="19"/>
  <c r="S766" i="19"/>
  <c r="R766" i="19"/>
  <c r="Q766" i="19"/>
  <c r="Q258" i="19"/>
  <c r="S258" i="19"/>
  <c r="R258" i="19"/>
  <c r="S2332" i="19"/>
  <c r="R2332" i="19"/>
  <c r="Q2332" i="19"/>
  <c r="R772" i="19"/>
  <c r="S772" i="19"/>
  <c r="Q772" i="19"/>
  <c r="Q1965" i="19"/>
  <c r="R1965" i="19"/>
  <c r="S1965" i="19"/>
  <c r="S536" i="19"/>
  <c r="R536" i="19"/>
  <c r="Q536" i="19"/>
  <c r="Q500" i="19"/>
  <c r="S500" i="19"/>
  <c r="R500" i="19"/>
  <c r="Q2179" i="19"/>
  <c r="R2179" i="19"/>
  <c r="S2179" i="19"/>
  <c r="S2358" i="19"/>
  <c r="Q2358" i="19"/>
  <c r="R2358" i="19"/>
  <c r="T1122" i="19"/>
  <c r="T666" i="19"/>
  <c r="S1946" i="19"/>
  <c r="R1946" i="19"/>
  <c r="Q1946" i="19"/>
  <c r="Q1769" i="19"/>
  <c r="S1769" i="19"/>
  <c r="R1769" i="19"/>
  <c r="T1057" i="19"/>
  <c r="T1344" i="19"/>
  <c r="T2008" i="19"/>
  <c r="T1634" i="19"/>
  <c r="R1889" i="19"/>
  <c r="S1889" i="19"/>
  <c r="Q1889" i="19"/>
  <c r="T892" i="19"/>
  <c r="T112" i="19"/>
  <c r="T42" i="19"/>
  <c r="T248" i="19"/>
  <c r="T1536" i="19"/>
  <c r="S1757" i="19"/>
  <c r="R1757" i="19"/>
  <c r="Q1757" i="19"/>
  <c r="Q725" i="19"/>
  <c r="R725" i="19"/>
  <c r="S725" i="19"/>
  <c r="Q604" i="19"/>
  <c r="S604" i="19"/>
  <c r="R604" i="19"/>
  <c r="S732" i="19"/>
  <c r="R732" i="19"/>
  <c r="Q732" i="19"/>
  <c r="S2168" i="19"/>
  <c r="R2168" i="19"/>
  <c r="Q2168" i="19"/>
  <c r="S2037" i="19"/>
  <c r="Q2037" i="19"/>
  <c r="R2037" i="19"/>
  <c r="Q2310" i="19"/>
  <c r="S2310" i="19"/>
  <c r="R2310" i="19"/>
  <c r="S667" i="19"/>
  <c r="R667" i="19"/>
  <c r="Q667" i="19"/>
  <c r="S2097" i="19"/>
  <c r="R2097" i="19"/>
  <c r="Q2097" i="19"/>
  <c r="Q2432" i="19"/>
  <c r="S2432" i="19"/>
  <c r="R2432" i="19"/>
  <c r="T1069" i="19"/>
  <c r="T1664" i="19"/>
  <c r="S2052" i="19"/>
  <c r="R2052" i="19"/>
  <c r="Q2052" i="19"/>
  <c r="T902" i="19"/>
  <c r="T1354" i="19"/>
  <c r="T1270" i="19"/>
  <c r="S263" i="19"/>
  <c r="Q263" i="19"/>
  <c r="R263" i="19"/>
  <c r="Q2144" i="19"/>
  <c r="S2144" i="19"/>
  <c r="R2144" i="19"/>
  <c r="R299" i="19"/>
  <c r="S1887" i="19"/>
  <c r="R1887" i="19"/>
  <c r="Q1887" i="19"/>
  <c r="T2355" i="19"/>
  <c r="S2212" i="19"/>
  <c r="R2212" i="19"/>
  <c r="Q2212" i="19"/>
  <c r="T1264" i="19"/>
  <c r="T1791" i="19"/>
  <c r="S1854" i="19"/>
  <c r="R1854" i="19"/>
  <c r="Q1854" i="19"/>
  <c r="T1606" i="19"/>
  <c r="R1893" i="19"/>
  <c r="Q1893" i="19"/>
  <c r="S1893" i="19"/>
  <c r="R762" i="19"/>
  <c r="S762" i="19"/>
  <c r="Q762" i="19"/>
  <c r="S1132" i="1"/>
  <c r="R1132" i="1"/>
  <c r="Q1132" i="1"/>
  <c r="T37" i="19"/>
  <c r="T216" i="19"/>
  <c r="T1980" i="19"/>
  <c r="T2155" i="19"/>
  <c r="T28" i="19"/>
  <c r="T330" i="19"/>
  <c r="T747" i="19"/>
  <c r="T1199" i="19"/>
  <c r="T1115" i="19"/>
  <c r="T1718" i="19"/>
  <c r="S1831" i="1"/>
  <c r="R1831" i="1"/>
  <c r="Q1831" i="1"/>
  <c r="T2472" i="19"/>
  <c r="S1651" i="19"/>
  <c r="R1651" i="19"/>
  <c r="Q1651" i="19"/>
  <c r="S2001" i="19"/>
  <c r="R2001" i="19"/>
  <c r="Q2001" i="19"/>
  <c r="S2238" i="19"/>
  <c r="R2238" i="19"/>
  <c r="Q2238" i="19"/>
  <c r="R2349" i="19"/>
  <c r="Q2349" i="19"/>
  <c r="S2349" i="19"/>
  <c r="Q2365" i="19"/>
  <c r="S2365" i="19"/>
  <c r="R2365" i="19"/>
  <c r="Q470" i="19"/>
  <c r="S470" i="19"/>
  <c r="R470" i="19"/>
  <c r="R2345" i="19"/>
  <c r="S2345" i="19"/>
  <c r="Q2345" i="19"/>
  <c r="R1873" i="19"/>
  <c r="S1873" i="19"/>
  <c r="Q1873" i="19"/>
  <c r="Q2045" i="19"/>
  <c r="S2045" i="19"/>
  <c r="R2045" i="19"/>
  <c r="R1813" i="19"/>
  <c r="Q1813" i="19"/>
  <c r="S1813" i="19"/>
  <c r="T906" i="19"/>
  <c r="T1693" i="19"/>
  <c r="S2264" i="19"/>
  <c r="R2264" i="19"/>
  <c r="Q2264" i="19"/>
  <c r="T1654" i="19"/>
  <c r="T1020" i="19"/>
  <c r="T1387" i="19"/>
  <c r="R2172" i="19"/>
  <c r="Q2172" i="19"/>
  <c r="S2172" i="19"/>
  <c r="T1673" i="19"/>
  <c r="T2494" i="19"/>
  <c r="S485" i="19"/>
  <c r="R485" i="19"/>
  <c r="Q485" i="19"/>
  <c r="S2141" i="19"/>
  <c r="R2141" i="19"/>
  <c r="Q2141" i="19"/>
  <c r="T53" i="19"/>
  <c r="T1727" i="19"/>
  <c r="T2147" i="19"/>
  <c r="T492" i="19"/>
  <c r="T881" i="19"/>
  <c r="T525" i="19"/>
  <c r="S1193" i="1"/>
  <c r="R1193" i="1"/>
  <c r="Q1193" i="1"/>
  <c r="T1169" i="19"/>
  <c r="Q505" i="19"/>
  <c r="S505" i="19"/>
  <c r="R505" i="19"/>
  <c r="S1777" i="19"/>
  <c r="R1777" i="19"/>
  <c r="Q1777" i="19"/>
  <c r="T1011" i="19"/>
  <c r="T1508" i="19"/>
  <c r="O2555" i="19"/>
  <c r="P1720" i="19"/>
  <c r="S117" i="19"/>
  <c r="R117" i="19"/>
  <c r="Q117" i="19"/>
  <c r="R589" i="19"/>
  <c r="S589" i="19"/>
  <c r="Q589" i="19"/>
  <c r="S697" i="19"/>
  <c r="R697" i="19"/>
  <c r="Q697" i="19"/>
  <c r="R231" i="19"/>
  <c r="Q231" i="19"/>
  <c r="S231" i="19"/>
  <c r="R163" i="1"/>
  <c r="Q163" i="1"/>
  <c r="S163" i="1"/>
  <c r="R155" i="1"/>
  <c r="Q155" i="1"/>
  <c r="S155" i="1"/>
  <c r="S2030" i="1"/>
  <c r="R2030" i="1"/>
  <c r="Q2030" i="1"/>
  <c r="S594" i="1"/>
  <c r="R594" i="1"/>
  <c r="Q594" i="1"/>
  <c r="Q2043" i="1"/>
  <c r="S2043" i="1"/>
  <c r="R2043" i="1"/>
  <c r="Q2141" i="1"/>
  <c r="S2141" i="1"/>
  <c r="R2141" i="1"/>
  <c r="S2377" i="1"/>
  <c r="R2377" i="1"/>
  <c r="Q2377" i="1"/>
  <c r="Q2099" i="1"/>
  <c r="S2099" i="1"/>
  <c r="R2099" i="1"/>
  <c r="S1898" i="1"/>
  <c r="R1898" i="1"/>
  <c r="Q1898" i="1"/>
  <c r="S669" i="1"/>
  <c r="R669" i="1"/>
  <c r="Q669" i="1"/>
  <c r="S403" i="1"/>
  <c r="R403" i="1"/>
  <c r="Q403" i="1"/>
  <c r="S2158" i="1"/>
  <c r="R2158" i="1"/>
  <c r="Q2158" i="1"/>
  <c r="S1939" i="1"/>
  <c r="R1939" i="1"/>
  <c r="Q1939" i="1"/>
  <c r="S2166" i="1"/>
  <c r="R2166" i="1"/>
  <c r="Q2166" i="1"/>
  <c r="S91" i="1"/>
  <c r="R91" i="1"/>
  <c r="Q91" i="1"/>
  <c r="S1875" i="1"/>
  <c r="R1875" i="1"/>
  <c r="Q1875" i="1"/>
  <c r="S2325" i="1"/>
  <c r="R2325" i="1"/>
  <c r="Q2325" i="1"/>
  <c r="S1907" i="1"/>
  <c r="R1907" i="1"/>
  <c r="Q1907" i="1"/>
  <c r="S401" i="1"/>
  <c r="R401" i="1"/>
  <c r="Q401" i="1"/>
  <c r="S1820" i="1"/>
  <c r="R1820" i="1"/>
  <c r="Q1820" i="1"/>
  <c r="S1837" i="1"/>
  <c r="R1837" i="1"/>
  <c r="Q1837" i="1"/>
  <c r="S2017" i="1"/>
  <c r="R2017" i="1"/>
  <c r="Q2017" i="1"/>
  <c r="S482" i="1"/>
  <c r="R482" i="1"/>
  <c r="Q482" i="1"/>
  <c r="S198" i="1"/>
  <c r="R198" i="1"/>
  <c r="Q198" i="1"/>
  <c r="S1919" i="1"/>
  <c r="R1919" i="1"/>
  <c r="Q1919" i="1"/>
  <c r="Q2197" i="1"/>
  <c r="S2197" i="1"/>
  <c r="R2197" i="1"/>
  <c r="S1977" i="1"/>
  <c r="R1977" i="1"/>
  <c r="Q1977" i="1"/>
  <c r="S2148" i="1"/>
  <c r="R2148" i="1"/>
  <c r="Q2148" i="1"/>
  <c r="S2226" i="1"/>
  <c r="R2226" i="1"/>
  <c r="Q2226" i="1"/>
  <c r="S749" i="1"/>
  <c r="R749" i="1"/>
  <c r="Q749" i="1"/>
  <c r="R1901" i="1"/>
  <c r="Q1901" i="1"/>
  <c r="S1901" i="1"/>
  <c r="S1784" i="1"/>
  <c r="R1784" i="1"/>
  <c r="Q1784" i="1"/>
  <c r="Q274" i="1"/>
  <c r="S274" i="1"/>
  <c r="R274" i="1"/>
  <c r="Q2193" i="1"/>
  <c r="S2193" i="1"/>
  <c r="R2193" i="1"/>
  <c r="S1659" i="1"/>
  <c r="R1659" i="1"/>
  <c r="Q1659" i="1"/>
  <c r="S2055" i="1"/>
  <c r="R2055" i="1"/>
  <c r="Q2055" i="1"/>
  <c r="S859" i="1"/>
  <c r="R859" i="1"/>
  <c r="Q859" i="1"/>
  <c r="S857" i="1"/>
  <c r="R857" i="1"/>
  <c r="Q857" i="1"/>
  <c r="S1909" i="1"/>
  <c r="R1909" i="1"/>
  <c r="Q1909" i="1"/>
  <c r="S1786" i="1"/>
  <c r="R1786" i="1"/>
  <c r="Q1786" i="1"/>
  <c r="S2250" i="1"/>
  <c r="R2250" i="1"/>
  <c r="Q2250" i="1"/>
  <c r="S280" i="1"/>
  <c r="R280" i="1"/>
  <c r="Q280" i="1"/>
  <c r="R161" i="1"/>
  <c r="Q161" i="1"/>
  <c r="S161" i="1"/>
  <c r="S1926" i="1"/>
  <c r="R1926" i="1"/>
  <c r="Q1926" i="1"/>
  <c r="S2082" i="1"/>
  <c r="R2082" i="1"/>
  <c r="Q2082" i="1"/>
  <c r="S1953" i="1"/>
  <c r="R1953" i="1"/>
  <c r="Q1953" i="1"/>
  <c r="S2009" i="1"/>
  <c r="R2009" i="1"/>
  <c r="Q2009" i="1"/>
  <c r="S2320" i="1"/>
  <c r="R2320" i="1"/>
  <c r="Q2320" i="1"/>
  <c r="S2384" i="1"/>
  <c r="R2384" i="1"/>
  <c r="Q2384" i="1"/>
  <c r="S262" i="1"/>
  <c r="R262" i="1"/>
  <c r="Q262" i="1"/>
  <c r="S680" i="1"/>
  <c r="R680" i="1"/>
  <c r="Q680" i="1"/>
  <c r="S2294" i="1"/>
  <c r="R2294" i="1"/>
  <c r="Q2294" i="1"/>
  <c r="S1854" i="1"/>
  <c r="R1854" i="1"/>
  <c r="Q1854" i="1"/>
  <c r="S2427" i="1"/>
  <c r="R2427" i="1"/>
  <c r="Q2427" i="1"/>
  <c r="Q501" i="1"/>
  <c r="S501" i="1"/>
  <c r="R501" i="1"/>
  <c r="S174" i="1"/>
  <c r="R174" i="1"/>
  <c r="Q174" i="1"/>
  <c r="S1923" i="1"/>
  <c r="R1923" i="1"/>
  <c r="Q1923" i="1"/>
  <c r="S2094" i="1"/>
  <c r="R2094" i="1"/>
  <c r="Q2094" i="1"/>
  <c r="S775" i="1"/>
  <c r="R775" i="1"/>
  <c r="Q775" i="1"/>
  <c r="S1882" i="1"/>
  <c r="R1882" i="1"/>
  <c r="Q1882" i="1"/>
  <c r="S1798" i="1"/>
  <c r="R1798" i="1"/>
  <c r="Q1798" i="1"/>
  <c r="Q2259" i="1"/>
  <c r="S2259" i="1"/>
  <c r="R2259" i="1"/>
  <c r="R2433" i="1"/>
  <c r="Q2433" i="1"/>
  <c r="S2433" i="1"/>
  <c r="R283" i="1"/>
  <c r="Q283" i="1"/>
  <c r="S283" i="1"/>
  <c r="R169" i="1"/>
  <c r="Q169" i="1"/>
  <c r="S169" i="1"/>
  <c r="S1893" i="1"/>
  <c r="R1893" i="1"/>
  <c r="Q1893" i="1"/>
  <c r="Q361" i="1"/>
  <c r="S361" i="1"/>
  <c r="R361" i="1"/>
  <c r="S2334" i="1"/>
  <c r="R2334" i="1"/>
  <c r="Q2334" i="1"/>
  <c r="S1929" i="1"/>
  <c r="R1929" i="1"/>
  <c r="Q1929" i="1"/>
  <c r="S701" i="1"/>
  <c r="R701" i="1"/>
  <c r="Q701" i="1"/>
  <c r="S622" i="1"/>
  <c r="R622" i="1"/>
  <c r="Q622" i="1"/>
  <c r="S1424" i="1"/>
  <c r="R1424" i="1"/>
  <c r="Q1424" i="1"/>
  <c r="R619" i="1"/>
  <c r="Q619" i="1"/>
  <c r="S619" i="1"/>
  <c r="S806" i="1"/>
  <c r="R806" i="1"/>
  <c r="Q806" i="1"/>
  <c r="S1302" i="1"/>
  <c r="R1302" i="1"/>
  <c r="Q1302" i="1"/>
  <c r="S946" i="1"/>
  <c r="R946" i="1"/>
  <c r="Q946" i="1"/>
  <c r="Q565" i="1"/>
  <c r="S565" i="1"/>
  <c r="R565" i="1"/>
  <c r="S2063" i="1"/>
  <c r="R2063" i="1"/>
  <c r="Q2063" i="1"/>
  <c r="S1269" i="1"/>
  <c r="R1269" i="1"/>
  <c r="Q1269" i="1"/>
  <c r="S1456" i="1"/>
  <c r="R1456" i="1"/>
  <c r="Q1456" i="1"/>
  <c r="S988" i="1"/>
  <c r="R988" i="1"/>
  <c r="Q988" i="1"/>
  <c r="S893" i="1"/>
  <c r="R893" i="1"/>
  <c r="Q893" i="1"/>
  <c r="S1212" i="1"/>
  <c r="R1212" i="1"/>
  <c r="Q1212" i="1"/>
  <c r="S1045" i="1"/>
  <c r="R1045" i="1"/>
  <c r="Q1045" i="1"/>
  <c r="S43" i="19"/>
  <c r="R43" i="19"/>
  <c r="Q43" i="19"/>
  <c r="S2353" i="19"/>
  <c r="R2353" i="19"/>
  <c r="Q2353" i="19"/>
  <c r="T888" i="19"/>
  <c r="R1953" i="19"/>
  <c r="Q1953" i="19"/>
  <c r="S1953" i="19"/>
  <c r="T1924" i="19"/>
  <c r="T1733" i="19"/>
  <c r="T2165" i="19"/>
  <c r="T1631" i="19"/>
  <c r="T2474" i="19"/>
  <c r="R1910" i="19"/>
  <c r="S1910" i="19"/>
  <c r="Q1910" i="19"/>
  <c r="S2120" i="19"/>
  <c r="R2120" i="19"/>
  <c r="Q2120" i="19"/>
  <c r="T106" i="19"/>
  <c r="T194" i="19"/>
  <c r="T176" i="19"/>
  <c r="T336" i="19"/>
  <c r="T523" i="19"/>
  <c r="T1220" i="19"/>
  <c r="T1539" i="19"/>
  <c r="T1709" i="19"/>
  <c r="S158" i="19"/>
  <c r="R158" i="19"/>
  <c r="Q158" i="19"/>
  <c r="R2515" i="19"/>
  <c r="Q2515" i="19"/>
  <c r="S2515" i="19"/>
  <c r="Q2188" i="19"/>
  <c r="S2188" i="19"/>
  <c r="R2188" i="19"/>
  <c r="S713" i="19"/>
  <c r="Q713" i="19"/>
  <c r="R713" i="19"/>
  <c r="S600" i="19"/>
  <c r="R600" i="19"/>
  <c r="Q600" i="19"/>
  <c r="S2057" i="19"/>
  <c r="R2057" i="19"/>
  <c r="Q2057" i="19"/>
  <c r="T1497" i="19"/>
  <c r="T567" i="19"/>
  <c r="T1052" i="19"/>
  <c r="Q1816" i="19"/>
  <c r="S1816" i="19"/>
  <c r="R1816" i="19"/>
  <c r="Q1834" i="19"/>
  <c r="S1834" i="19"/>
  <c r="R1834" i="19"/>
  <c r="T981" i="19"/>
  <c r="T1238" i="19"/>
  <c r="T1475" i="19"/>
  <c r="S1987" i="19"/>
  <c r="R1987" i="19"/>
  <c r="Q1987" i="19"/>
  <c r="Q1842" i="19"/>
  <c r="R1842" i="19"/>
  <c r="S1842" i="19"/>
  <c r="Q1943" i="19"/>
  <c r="R1943" i="19"/>
  <c r="S1943" i="19"/>
  <c r="R2202" i="19"/>
  <c r="S2202" i="19"/>
  <c r="Q2202" i="19"/>
  <c r="R2378" i="19"/>
  <c r="Q2378" i="19"/>
  <c r="S2378" i="19"/>
  <c r="T796" i="19"/>
  <c r="T137" i="19"/>
  <c r="T97" i="19"/>
  <c r="T342" i="19"/>
  <c r="S1300" i="1"/>
  <c r="R1300" i="1"/>
  <c r="Q1300" i="1"/>
  <c r="R1450" i="1"/>
  <c r="Q1450" i="1"/>
  <c r="S1450" i="1"/>
  <c r="T1755" i="19"/>
  <c r="S397" i="19"/>
  <c r="R397" i="19"/>
  <c r="Q397" i="19"/>
  <c r="S2286" i="19"/>
  <c r="R2286" i="19"/>
  <c r="Q2286" i="19"/>
  <c r="S2458" i="19"/>
  <c r="R2458" i="19"/>
  <c r="Q2458" i="19"/>
  <c r="S2087" i="19"/>
  <c r="R2087" i="19"/>
  <c r="Q2087" i="19"/>
  <c r="Q2319" i="19"/>
  <c r="S2319" i="19"/>
  <c r="R2319" i="19"/>
  <c r="Q1747" i="19"/>
  <c r="S1747" i="19"/>
  <c r="R1747" i="19"/>
  <c r="S2445" i="19"/>
  <c r="R2445" i="19"/>
  <c r="Q2445" i="19"/>
  <c r="T630" i="19"/>
  <c r="T64" i="19"/>
  <c r="S2392" i="19"/>
  <c r="R2392" i="19"/>
  <c r="Q2392" i="19"/>
  <c r="T865" i="19"/>
  <c r="T971" i="19"/>
  <c r="T1255" i="19"/>
  <c r="T1707" i="19"/>
  <c r="T824" i="19"/>
  <c r="T1371" i="19"/>
  <c r="T1676" i="19"/>
  <c r="T603" i="19"/>
  <c r="S2196" i="19"/>
  <c r="R2196" i="19"/>
  <c r="Q2196" i="19"/>
  <c r="T1520" i="19"/>
  <c r="S2081" i="19"/>
  <c r="R2081" i="19"/>
  <c r="Q2081" i="19"/>
  <c r="Q2192" i="19"/>
  <c r="S2192" i="19"/>
  <c r="R2192" i="19"/>
  <c r="R2011" i="19"/>
  <c r="Q2011" i="19"/>
  <c r="S2011" i="19"/>
  <c r="T1307" i="19"/>
  <c r="S1411" i="1"/>
  <c r="R1411" i="1"/>
  <c r="Q1411" i="1"/>
  <c r="T96" i="19"/>
  <c r="T2203" i="19"/>
  <c r="T526" i="19"/>
  <c r="T2443" i="19"/>
  <c r="T249" i="19"/>
  <c r="Q2231" i="19"/>
  <c r="R2231" i="19"/>
  <c r="S2231" i="19"/>
  <c r="S2126" i="19"/>
  <c r="R2126" i="19"/>
  <c r="Q2126" i="19"/>
  <c r="S2251" i="19"/>
  <c r="R2251" i="19"/>
  <c r="Q2251" i="19"/>
  <c r="S2396" i="19"/>
  <c r="Q2396" i="19"/>
  <c r="R2396" i="19"/>
  <c r="S2429" i="19"/>
  <c r="Q2429" i="19"/>
  <c r="R2429" i="19"/>
  <c r="R2415" i="19"/>
  <c r="S2415" i="19"/>
  <c r="Q2415" i="19"/>
  <c r="R2129" i="19"/>
  <c r="S2129" i="19"/>
  <c r="Q2129" i="19"/>
  <c r="T2497" i="19"/>
  <c r="T1134" i="19"/>
  <c r="Q710" i="19"/>
  <c r="S710" i="19"/>
  <c r="R710" i="19"/>
  <c r="Q2006" i="19"/>
  <c r="S2006" i="19"/>
  <c r="R2006" i="19"/>
  <c r="Q2342" i="19"/>
  <c r="R2342" i="19"/>
  <c r="S2342" i="19"/>
  <c r="Q305" i="19"/>
  <c r="S2105" i="19"/>
  <c r="R2105" i="19"/>
  <c r="Q2105" i="19"/>
  <c r="Q1878" i="19"/>
  <c r="S1878" i="19"/>
  <c r="R1878" i="19"/>
  <c r="T1054" i="19"/>
  <c r="T578" i="19"/>
  <c r="T1598" i="19"/>
  <c r="T2183" i="19"/>
  <c r="T1665" i="19"/>
  <c r="T498" i="19"/>
  <c r="T2478" i="19"/>
  <c r="T426" i="19"/>
  <c r="T976" i="19"/>
  <c r="T1489" i="19"/>
  <c r="T1013" i="19"/>
  <c r="T1782" i="19"/>
  <c r="T215" i="19"/>
  <c r="S1161" i="1"/>
  <c r="R1161" i="1"/>
  <c r="Q1161" i="1"/>
  <c r="R769" i="19"/>
  <c r="Q769" i="19"/>
  <c r="S769" i="19"/>
  <c r="S260" i="19"/>
  <c r="R260" i="19"/>
  <c r="Q260" i="19"/>
  <c r="S2136" i="19"/>
  <c r="Q2136" i="19"/>
  <c r="R2136" i="19"/>
  <c r="Q1993" i="19"/>
  <c r="S1993" i="19"/>
  <c r="R1993" i="19"/>
  <c r="S775" i="19"/>
  <c r="R775" i="19"/>
  <c r="Q775" i="19"/>
  <c r="R2017" i="19"/>
  <c r="S2017" i="19"/>
  <c r="Q2017" i="19"/>
  <c r="R1966" i="19"/>
  <c r="S1966" i="19"/>
  <c r="Q1966" i="19"/>
  <c r="R2400" i="19"/>
  <c r="Q2400" i="19"/>
  <c r="S2400" i="19"/>
  <c r="Q534" i="19"/>
  <c r="S534" i="19"/>
  <c r="R534" i="19"/>
  <c r="T816" i="19"/>
  <c r="T1326" i="19"/>
  <c r="R1958" i="19"/>
  <c r="S1958" i="19"/>
  <c r="Q1958" i="19"/>
  <c r="R1770" i="19"/>
  <c r="Q1770" i="19"/>
  <c r="S1770" i="19"/>
  <c r="T989" i="19"/>
  <c r="T955" i="19"/>
  <c r="T1470" i="19"/>
  <c r="T2331" i="19"/>
  <c r="S1890" i="19"/>
  <c r="R1890" i="19"/>
  <c r="Q1890" i="19"/>
  <c r="T696" i="19"/>
  <c r="T1904" i="19"/>
  <c r="T529" i="19"/>
  <c r="T790" i="19"/>
  <c r="T111" i="19"/>
  <c r="Q2029" i="19"/>
  <c r="R2029" i="19"/>
  <c r="S2029" i="19"/>
  <c r="R728" i="19"/>
  <c r="S728" i="19"/>
  <c r="Q728" i="19"/>
  <c r="S198" i="19"/>
  <c r="Q198" i="19"/>
  <c r="R198" i="19"/>
  <c r="S605" i="19"/>
  <c r="R605" i="19"/>
  <c r="Q605" i="19"/>
  <c r="S745" i="19"/>
  <c r="R745" i="19"/>
  <c r="Q745" i="19"/>
  <c r="R2038" i="19"/>
  <c r="S2038" i="19"/>
  <c r="Q2038" i="19"/>
  <c r="S1973" i="19"/>
  <c r="Q1973" i="19"/>
  <c r="R1973" i="19"/>
  <c r="R861" i="19"/>
  <c r="S861" i="19"/>
  <c r="Q861" i="19"/>
  <c r="S2328" i="19"/>
  <c r="R2328" i="19"/>
  <c r="Q2328" i="19"/>
  <c r="R2436" i="19"/>
  <c r="S2436" i="19"/>
  <c r="Q2436" i="19"/>
  <c r="Q2404" i="19"/>
  <c r="R2404" i="19"/>
  <c r="S2404" i="19"/>
  <c r="T887" i="19"/>
  <c r="T1542" i="19"/>
  <c r="S299" i="19"/>
  <c r="T2425" i="19"/>
  <c r="S517" i="19"/>
  <c r="R517" i="19"/>
  <c r="Q517" i="19"/>
  <c r="T1570" i="19"/>
  <c r="S1802" i="19"/>
  <c r="R1802" i="19"/>
  <c r="Q1802" i="19"/>
  <c r="S1927" i="19"/>
  <c r="Q1927" i="19"/>
  <c r="R1927" i="19"/>
  <c r="T833" i="19"/>
  <c r="T917" i="19"/>
  <c r="T1737" i="19"/>
  <c r="T559" i="19"/>
  <c r="T956" i="19"/>
  <c r="T1551" i="19"/>
  <c r="S375" i="19"/>
  <c r="Q375" i="19"/>
  <c r="R375" i="19"/>
  <c r="T212" i="19"/>
  <c r="T253" i="19"/>
  <c r="T587" i="19"/>
  <c r="T810" i="19"/>
  <c r="T621" i="19"/>
  <c r="T1457" i="19"/>
  <c r="T1296" i="19"/>
  <c r="T1697" i="19"/>
  <c r="T119" i="19"/>
  <c r="T1928" i="19"/>
  <c r="S614" i="19"/>
  <c r="R614" i="19"/>
  <c r="Q614" i="19"/>
  <c r="Q2002" i="19"/>
  <c r="S2002" i="19"/>
  <c r="R2002" i="19"/>
  <c r="S2219" i="19"/>
  <c r="R2219" i="19"/>
  <c r="Q2219" i="19"/>
  <c r="S2350" i="19"/>
  <c r="R2350" i="19"/>
  <c r="Q2350" i="19"/>
  <c r="R2278" i="19"/>
  <c r="S2278" i="19"/>
  <c r="Q2278" i="19"/>
  <c r="Q2366" i="19"/>
  <c r="S2366" i="19"/>
  <c r="R2366" i="19"/>
  <c r="S472" i="19"/>
  <c r="Q472" i="19"/>
  <c r="R472" i="19"/>
  <c r="Q2133" i="19"/>
  <c r="S2133" i="19"/>
  <c r="R2133" i="19"/>
  <c r="T1468" i="19"/>
  <c r="T845" i="19"/>
  <c r="T1111" i="19"/>
  <c r="S2248" i="19"/>
  <c r="R2248" i="19"/>
  <c r="Q2248" i="19"/>
  <c r="S2047" i="19"/>
  <c r="Q2047" i="19"/>
  <c r="R2047" i="19"/>
  <c r="T1201" i="19"/>
  <c r="T1543" i="19"/>
  <c r="Q2175" i="19"/>
  <c r="S2175" i="19"/>
  <c r="R2175" i="19"/>
  <c r="T2253" i="19"/>
  <c r="R2226" i="19"/>
  <c r="Q2226" i="19"/>
  <c r="S2226" i="19"/>
  <c r="T94" i="19"/>
  <c r="T948" i="19"/>
  <c r="R2351" i="1"/>
  <c r="Q2351" i="1"/>
  <c r="S2351" i="1"/>
  <c r="T300" i="19"/>
  <c r="T626" i="19"/>
  <c r="T1131" i="19"/>
  <c r="T1811" i="19"/>
  <c r="T2171" i="19"/>
  <c r="T297" i="19"/>
  <c r="R508" i="19"/>
  <c r="Q508" i="19"/>
  <c r="S508" i="19"/>
  <c r="Q1778" i="19"/>
  <c r="R1778" i="19"/>
  <c r="S1778" i="19"/>
  <c r="T1696" i="19"/>
  <c r="T1429" i="19"/>
  <c r="T402" i="19"/>
  <c r="S2499" i="19"/>
  <c r="R2499" i="19"/>
  <c r="Q2499" i="19"/>
  <c r="O2554" i="19"/>
  <c r="P1625" i="19"/>
  <c r="R175" i="1"/>
  <c r="Q175" i="1"/>
  <c r="S175" i="1"/>
  <c r="S156" i="1"/>
  <c r="R156" i="1"/>
  <c r="Q156" i="1"/>
  <c r="S289" i="1"/>
  <c r="R289" i="1"/>
  <c r="Q289" i="1"/>
  <c r="S595" i="1"/>
  <c r="R595" i="1"/>
  <c r="Q595" i="1"/>
  <c r="S2142" i="1"/>
  <c r="R2142" i="1"/>
  <c r="Q2142" i="1"/>
  <c r="S2378" i="1"/>
  <c r="R2378" i="1"/>
  <c r="Q2378" i="1"/>
  <c r="S2100" i="1"/>
  <c r="R2100" i="1"/>
  <c r="Q2100" i="1"/>
  <c r="Q1899" i="1"/>
  <c r="S1899" i="1"/>
  <c r="R1899" i="1"/>
  <c r="S357" i="1"/>
  <c r="R357" i="1"/>
  <c r="Q357" i="1"/>
  <c r="S404" i="1"/>
  <c r="R404" i="1"/>
  <c r="Q404" i="1"/>
  <c r="S1937" i="1"/>
  <c r="R1937" i="1"/>
  <c r="Q1937" i="1"/>
  <c r="Q2247" i="1"/>
  <c r="S2247" i="1"/>
  <c r="R2247" i="1"/>
  <c r="S736" i="1"/>
  <c r="R736" i="1"/>
  <c r="Q736" i="1"/>
  <c r="S724" i="1"/>
  <c r="R724" i="1"/>
  <c r="Q724" i="1"/>
  <c r="S720" i="1"/>
  <c r="R720" i="1"/>
  <c r="Q720" i="1"/>
  <c r="S1873" i="1"/>
  <c r="R1873" i="1"/>
  <c r="Q1873" i="1"/>
  <c r="S1905" i="1"/>
  <c r="R1905" i="1"/>
  <c r="Q1905" i="1"/>
  <c r="S343" i="1"/>
  <c r="R343" i="1"/>
  <c r="Q343" i="1"/>
  <c r="S397" i="1"/>
  <c r="R397" i="1"/>
  <c r="Q397" i="1"/>
  <c r="S1821" i="1"/>
  <c r="R1821" i="1"/>
  <c r="Q1821" i="1"/>
  <c r="S1838" i="1"/>
  <c r="R1838" i="1"/>
  <c r="Q1838" i="1"/>
  <c r="Q2018" i="1"/>
  <c r="S2018" i="1"/>
  <c r="R2018" i="1"/>
  <c r="S483" i="1"/>
  <c r="R483" i="1"/>
  <c r="Q483" i="1"/>
  <c r="S328" i="1"/>
  <c r="R328" i="1"/>
  <c r="Q328" i="1"/>
  <c r="R1917" i="1"/>
  <c r="Q1917" i="1"/>
  <c r="S1917" i="1"/>
  <c r="S2198" i="1"/>
  <c r="R2198" i="1"/>
  <c r="Q2198" i="1"/>
  <c r="Q1979" i="1"/>
  <c r="S1979" i="1"/>
  <c r="R1979" i="1"/>
  <c r="Q2149" i="1"/>
  <c r="S2149" i="1"/>
  <c r="R2149" i="1"/>
  <c r="S295" i="1"/>
  <c r="R295" i="1"/>
  <c r="Q295" i="1"/>
  <c r="S750" i="1"/>
  <c r="R750" i="1"/>
  <c r="Q750" i="1"/>
  <c r="S1902" i="1"/>
  <c r="R1902" i="1"/>
  <c r="Q1902" i="1"/>
  <c r="S1769" i="1"/>
  <c r="R1769" i="1"/>
  <c r="Q1769" i="1"/>
  <c r="S275" i="1"/>
  <c r="R275" i="1"/>
  <c r="Q275" i="1"/>
  <c r="S2194" i="1"/>
  <c r="R2194" i="1"/>
  <c r="Q2194" i="1"/>
  <c r="S1660" i="1"/>
  <c r="R1660" i="1"/>
  <c r="Q1660" i="1"/>
  <c r="Q338" i="1"/>
  <c r="S338" i="1"/>
  <c r="R338" i="1"/>
  <c r="Q494" i="1"/>
  <c r="S494" i="1"/>
  <c r="R494" i="1"/>
  <c r="S742" i="1"/>
  <c r="R742" i="1"/>
  <c r="Q742" i="1"/>
  <c r="S1910" i="1"/>
  <c r="R1910" i="1"/>
  <c r="Q1910" i="1"/>
  <c r="S1787" i="1"/>
  <c r="R1787" i="1"/>
  <c r="Q1787" i="1"/>
  <c r="S2252" i="1"/>
  <c r="R2252" i="1"/>
  <c r="Q2252" i="1"/>
  <c r="S162" i="1"/>
  <c r="R162" i="1"/>
  <c r="Q162" i="1"/>
  <c r="S1792" i="1"/>
  <c r="R1792" i="1"/>
  <c r="Q1792" i="1"/>
  <c r="S1927" i="1"/>
  <c r="R1927" i="1"/>
  <c r="Q1927" i="1"/>
  <c r="Q2079" i="1"/>
  <c r="S2079" i="1"/>
  <c r="R2079" i="1"/>
  <c r="Q1954" i="1"/>
  <c r="S1954" i="1"/>
  <c r="R1954" i="1"/>
  <c r="Q2011" i="1"/>
  <c r="S2011" i="1"/>
  <c r="R2011" i="1"/>
  <c r="R2321" i="1"/>
  <c r="Q2321" i="1"/>
  <c r="S2321" i="1"/>
  <c r="S263" i="1"/>
  <c r="R263" i="1"/>
  <c r="Q263" i="1"/>
  <c r="S681" i="1"/>
  <c r="R681" i="1"/>
  <c r="Q681" i="1"/>
  <c r="S1636" i="1"/>
  <c r="R1636" i="1"/>
  <c r="Q1636" i="1"/>
  <c r="Q2295" i="1"/>
  <c r="S2295" i="1"/>
  <c r="R2295" i="1"/>
  <c r="S2404" i="1"/>
  <c r="R2404" i="1"/>
  <c r="Q2404" i="1"/>
  <c r="S1855" i="1"/>
  <c r="R1855" i="1"/>
  <c r="Q1855" i="1"/>
  <c r="S2430" i="1"/>
  <c r="R2430" i="1"/>
  <c r="Q2430" i="1"/>
  <c r="S502" i="1"/>
  <c r="R502" i="1"/>
  <c r="Q502" i="1"/>
  <c r="R379" i="1"/>
  <c r="Q379" i="1"/>
  <c r="S379" i="1"/>
  <c r="Q2095" i="1"/>
  <c r="S2095" i="1"/>
  <c r="R2095" i="1"/>
  <c r="S427" i="1"/>
  <c r="R427" i="1"/>
  <c r="Q427" i="1"/>
  <c r="S755" i="1"/>
  <c r="R755" i="1"/>
  <c r="Q755" i="1"/>
  <c r="S1881" i="1"/>
  <c r="R1881" i="1"/>
  <c r="Q1881" i="1"/>
  <c r="Q2173" i="1"/>
  <c r="S2173" i="1"/>
  <c r="R2173" i="1"/>
  <c r="S2434" i="1"/>
  <c r="R2434" i="1"/>
  <c r="Q2434" i="1"/>
  <c r="S170" i="1"/>
  <c r="R170" i="1"/>
  <c r="Q170" i="1"/>
  <c r="S1894" i="1"/>
  <c r="R1894" i="1"/>
  <c r="Q1894" i="1"/>
  <c r="S1999" i="1"/>
  <c r="R1999" i="1"/>
  <c r="Q1999" i="1"/>
  <c r="S202" i="1"/>
  <c r="R202" i="1"/>
  <c r="Q202" i="1"/>
  <c r="S362" i="1"/>
  <c r="R362" i="1"/>
  <c r="Q362" i="1"/>
  <c r="S515" i="1"/>
  <c r="R515" i="1"/>
  <c r="Q515" i="1"/>
  <c r="S1930" i="1"/>
  <c r="R1930" i="1"/>
  <c r="Q1930" i="1"/>
  <c r="S1277" i="1"/>
  <c r="R1277" i="1"/>
  <c r="Q1277" i="1"/>
  <c r="S1617" i="1"/>
  <c r="R1617" i="1"/>
  <c r="Q1617" i="1"/>
  <c r="S633" i="1"/>
  <c r="R633" i="1"/>
  <c r="Q633" i="1"/>
  <c r="S1839" i="1"/>
  <c r="R1839" i="1"/>
  <c r="Q1839" i="1"/>
  <c r="S1702" i="1"/>
  <c r="R1702" i="1"/>
  <c r="Q1702" i="1"/>
  <c r="S922" i="1"/>
  <c r="R922" i="1"/>
  <c r="Q922" i="1"/>
  <c r="Q1584" i="1"/>
  <c r="S1584" i="1"/>
  <c r="R1584" i="1"/>
  <c r="Q2127" i="1"/>
  <c r="S2127" i="1"/>
  <c r="R2127" i="1"/>
  <c r="S1398" i="1"/>
  <c r="R1398" i="1"/>
  <c r="Q1398" i="1"/>
  <c r="R576" i="1"/>
  <c r="Q576" i="1"/>
  <c r="S576" i="1"/>
  <c r="S688" i="1"/>
  <c r="R688" i="1"/>
  <c r="Q688" i="1"/>
  <c r="S1203" i="1"/>
  <c r="R1203" i="1"/>
  <c r="Q1203" i="1"/>
  <c r="T552" i="19"/>
  <c r="T1699" i="19"/>
  <c r="T2487" i="19"/>
  <c r="R1954" i="19"/>
  <c r="S1954" i="19"/>
  <c r="Q1954" i="19"/>
  <c r="T569" i="19"/>
  <c r="T1608" i="19"/>
  <c r="T952" i="19"/>
  <c r="T875" i="19"/>
  <c r="T1726" i="19"/>
  <c r="T2221" i="19"/>
  <c r="Q1911" i="19"/>
  <c r="S1911" i="19"/>
  <c r="R1911" i="19"/>
  <c r="T637" i="19"/>
  <c r="T1522" i="19"/>
  <c r="S1845" i="19"/>
  <c r="R1845" i="19"/>
  <c r="Q1845" i="19"/>
  <c r="T1112" i="19"/>
  <c r="T47" i="19"/>
  <c r="T1239" i="19"/>
  <c r="T140" i="19"/>
  <c r="T813" i="19"/>
  <c r="T1620" i="19"/>
  <c r="T1473" i="19"/>
  <c r="T1035" i="19"/>
  <c r="T1704" i="19"/>
  <c r="T2498" i="19"/>
  <c r="T2359" i="19"/>
  <c r="R159" i="19"/>
  <c r="S159" i="19"/>
  <c r="Q159" i="19"/>
  <c r="S269" i="19"/>
  <c r="R269" i="19"/>
  <c r="Q269" i="19"/>
  <c r="S2204" i="19"/>
  <c r="R2204" i="19"/>
  <c r="Q2204" i="19"/>
  <c r="Q1983" i="19"/>
  <c r="S1983" i="19"/>
  <c r="R1983" i="19"/>
  <c r="R2055" i="19"/>
  <c r="S2055" i="19"/>
  <c r="Q2055" i="19"/>
  <c r="R2410" i="19"/>
  <c r="S2410" i="19"/>
  <c r="Q2410" i="19"/>
  <c r="S2453" i="19"/>
  <c r="R2453" i="19"/>
  <c r="Q2453" i="19"/>
  <c r="R1817" i="19"/>
  <c r="Q1817" i="19"/>
  <c r="S1817" i="19"/>
  <c r="T1005" i="19"/>
  <c r="S703" i="19"/>
  <c r="R703" i="19"/>
  <c r="Q703" i="19"/>
  <c r="T1077" i="19"/>
  <c r="T1569" i="19"/>
  <c r="T651" i="19"/>
  <c r="T83" i="19"/>
  <c r="T160" i="19"/>
  <c r="T46" i="19"/>
  <c r="T145" i="19"/>
  <c r="T1318" i="19"/>
  <c r="T1064" i="19"/>
  <c r="T1876" i="19"/>
  <c r="Q379" i="19"/>
  <c r="S379" i="19"/>
  <c r="R379" i="19"/>
  <c r="Q401" i="19"/>
  <c r="S401" i="19"/>
  <c r="R401" i="19"/>
  <c r="Q2022" i="19"/>
  <c r="S2022" i="19"/>
  <c r="R2022" i="19"/>
  <c r="S2066" i="19"/>
  <c r="R2066" i="19"/>
  <c r="Q2066" i="19"/>
  <c r="R2033" i="19"/>
  <c r="Q2033" i="19"/>
  <c r="S2033" i="19"/>
  <c r="S1656" i="19"/>
  <c r="R1656" i="19"/>
  <c r="Q1656" i="19"/>
  <c r="R2321" i="19"/>
  <c r="S2321" i="19"/>
  <c r="Q2321" i="19"/>
  <c r="Q2268" i="19"/>
  <c r="R2268" i="19"/>
  <c r="S2268" i="19"/>
  <c r="R2448" i="19"/>
  <c r="S2448" i="19"/>
  <c r="Q2448" i="19"/>
  <c r="R2441" i="19"/>
  <c r="S2441" i="19"/>
  <c r="Q2441" i="19"/>
  <c r="T1301" i="19"/>
  <c r="T972" i="19"/>
  <c r="Q1635" i="19"/>
  <c r="R1635" i="19"/>
  <c r="S1635" i="19"/>
  <c r="S1838" i="19"/>
  <c r="Q1838" i="19"/>
  <c r="R1838" i="19"/>
  <c r="T1096" i="19"/>
  <c r="T1467" i="19"/>
  <c r="T1772" i="19"/>
  <c r="T1541" i="19"/>
  <c r="R2194" i="19"/>
  <c r="Q2194" i="19"/>
  <c r="S2194" i="19"/>
  <c r="S327" i="19"/>
  <c r="Q327" i="19"/>
  <c r="R327" i="19"/>
  <c r="T71" i="19"/>
  <c r="T203" i="19"/>
  <c r="T232" i="19"/>
  <c r="T837" i="19"/>
  <c r="T1572" i="19"/>
  <c r="T1073" i="19"/>
  <c r="S316" i="19"/>
  <c r="R316" i="19"/>
  <c r="Q316" i="19"/>
  <c r="S2232" i="19"/>
  <c r="R2232" i="19"/>
  <c r="Q2232" i="19"/>
  <c r="R748" i="19"/>
  <c r="S748" i="19"/>
  <c r="Q748" i="19"/>
  <c r="S2122" i="19"/>
  <c r="R2122" i="19"/>
  <c r="Q2122" i="19"/>
  <c r="R1998" i="19"/>
  <c r="S1998" i="19"/>
  <c r="Q1998" i="19"/>
  <c r="S2386" i="19"/>
  <c r="R2386" i="19"/>
  <c r="Q2386" i="19"/>
  <c r="S2397" i="19"/>
  <c r="Q2397" i="19"/>
  <c r="R2397" i="19"/>
  <c r="S2361" i="19"/>
  <c r="R2361" i="19"/>
  <c r="Q2361" i="19"/>
  <c r="Q2430" i="19"/>
  <c r="R2430" i="19"/>
  <c r="S2430" i="19"/>
  <c r="S2416" i="19"/>
  <c r="R2416" i="19"/>
  <c r="Q2416" i="19"/>
  <c r="Q1898" i="19"/>
  <c r="S1898" i="19"/>
  <c r="R1898" i="19"/>
  <c r="S2015" i="19"/>
  <c r="Q2015" i="19"/>
  <c r="R2015" i="19"/>
  <c r="R305" i="19"/>
  <c r="S2107" i="19"/>
  <c r="Q2107" i="19"/>
  <c r="R2107" i="19"/>
  <c r="S1883" i="19"/>
  <c r="R1883" i="19"/>
  <c r="Q1883" i="19"/>
  <c r="Q1879" i="19"/>
  <c r="S1879" i="19"/>
  <c r="R1879" i="19"/>
  <c r="T1153" i="19"/>
  <c r="S594" i="19"/>
  <c r="R594" i="19"/>
  <c r="Q594" i="19"/>
  <c r="Q1921" i="19"/>
  <c r="R1921" i="19"/>
  <c r="S1921" i="19"/>
  <c r="R673" i="19"/>
  <c r="S673" i="19"/>
  <c r="Q673" i="19"/>
  <c r="T188" i="19"/>
  <c r="T65" i="19"/>
  <c r="T129" i="19"/>
  <c r="T2285" i="19"/>
  <c r="T131" i="19"/>
  <c r="T223" i="19"/>
  <c r="T20" i="19"/>
  <c r="R767" i="19"/>
  <c r="S767" i="19"/>
  <c r="Q767" i="19"/>
  <c r="Q675" i="19"/>
  <c r="S675" i="19"/>
  <c r="R675" i="19"/>
  <c r="S2137" i="19"/>
  <c r="R2137" i="19"/>
  <c r="Q2137" i="19"/>
  <c r="Q2333" i="19"/>
  <c r="S2333" i="19"/>
  <c r="R2333" i="19"/>
  <c r="S1994" i="19"/>
  <c r="R1994" i="19"/>
  <c r="Q1994" i="19"/>
  <c r="Q773" i="19"/>
  <c r="S773" i="19"/>
  <c r="R773" i="19"/>
  <c r="S2018" i="19"/>
  <c r="R2018" i="19"/>
  <c r="Q2018" i="19"/>
  <c r="R1967" i="19"/>
  <c r="Q1967" i="19"/>
  <c r="S1967" i="19"/>
  <c r="S535" i="19"/>
  <c r="R535" i="19"/>
  <c r="Q535" i="19"/>
  <c r="S501" i="19"/>
  <c r="R501" i="19"/>
  <c r="Q501" i="19"/>
  <c r="S2180" i="19"/>
  <c r="R2180" i="19"/>
  <c r="Q2180" i="19"/>
  <c r="S2357" i="19"/>
  <c r="R2357" i="19"/>
  <c r="Q2357" i="19"/>
  <c r="T915" i="19"/>
  <c r="T838" i="19"/>
  <c r="R1659" i="19"/>
  <c r="S1659" i="19"/>
  <c r="Q1659" i="19"/>
  <c r="Q1821" i="19"/>
  <c r="S1821" i="19"/>
  <c r="R1821" i="19"/>
  <c r="T1085" i="19"/>
  <c r="T1290" i="19"/>
  <c r="T1373" i="19"/>
  <c r="T652" i="19"/>
  <c r="T1944" i="19"/>
  <c r="Q2388" i="19"/>
  <c r="S2388" i="19"/>
  <c r="R2388" i="19"/>
  <c r="T142" i="19"/>
  <c r="T246" i="19"/>
  <c r="T245" i="19"/>
  <c r="S1577" i="1"/>
  <c r="R1577" i="1"/>
  <c r="Q1577" i="1"/>
  <c r="T1101" i="19"/>
  <c r="S2030" i="19"/>
  <c r="R2030" i="19"/>
  <c r="Q2030" i="19"/>
  <c r="S146" i="19"/>
  <c r="R146" i="19"/>
  <c r="Q146" i="19"/>
  <c r="R726" i="19"/>
  <c r="Q726" i="19"/>
  <c r="S726" i="19"/>
  <c r="R310" i="19"/>
  <c r="S310" i="19"/>
  <c r="Q310" i="19"/>
  <c r="S199" i="19"/>
  <c r="R199" i="19"/>
  <c r="Q199" i="19"/>
  <c r="R733" i="19"/>
  <c r="Q733" i="19"/>
  <c r="S733" i="19"/>
  <c r="S742" i="19"/>
  <c r="R742" i="19"/>
  <c r="Q742" i="19"/>
  <c r="Q1750" i="19"/>
  <c r="S1750" i="19"/>
  <c r="R1750" i="19"/>
  <c r="Q2039" i="19"/>
  <c r="S2039" i="19"/>
  <c r="R2039" i="19"/>
  <c r="Q2306" i="19"/>
  <c r="S2306" i="19"/>
  <c r="R2306" i="19"/>
  <c r="R2095" i="19"/>
  <c r="S2095" i="19"/>
  <c r="Q2095" i="19"/>
  <c r="R2433" i="19"/>
  <c r="S2433" i="19"/>
  <c r="Q2433" i="19"/>
  <c r="S2420" i="19"/>
  <c r="R2420" i="19"/>
  <c r="Q2420" i="19"/>
  <c r="T1106" i="19"/>
  <c r="S2051" i="19"/>
  <c r="R2051" i="19"/>
  <c r="Q2051" i="19"/>
  <c r="T1558" i="19"/>
  <c r="S2145" i="19"/>
  <c r="R2145" i="19"/>
  <c r="Q2145" i="19"/>
  <c r="R1885" i="19"/>
  <c r="S1885" i="19"/>
  <c r="Q1885" i="19"/>
  <c r="T1237" i="19"/>
  <c r="T1561" i="19"/>
  <c r="T635" i="19"/>
  <c r="T1149" i="19"/>
  <c r="T1405" i="19"/>
  <c r="T1695" i="19"/>
  <c r="T894" i="19"/>
  <c r="T1014" i="19"/>
  <c r="T1081" i="19"/>
  <c r="R2059" i="19"/>
  <c r="S2059" i="19"/>
  <c r="Q2059" i="19"/>
  <c r="T206" i="19"/>
  <c r="T940" i="19"/>
  <c r="T58" i="19"/>
  <c r="S2480" i="1"/>
  <c r="R2480" i="1"/>
  <c r="Q2480" i="1"/>
  <c r="T256" i="19"/>
  <c r="T1629" i="19"/>
  <c r="R1418" i="1"/>
  <c r="Q1418" i="1"/>
  <c r="S1418" i="1"/>
  <c r="T247" i="19"/>
  <c r="R542" i="19"/>
  <c r="S542" i="19"/>
  <c r="Q542" i="19"/>
  <c r="S2274" i="19"/>
  <c r="R2274" i="19"/>
  <c r="Q2274" i="19"/>
  <c r="S615" i="19"/>
  <c r="R615" i="19"/>
  <c r="Q615" i="19"/>
  <c r="S2003" i="19"/>
  <c r="R2003" i="19"/>
  <c r="Q2003" i="19"/>
  <c r="R2236" i="19"/>
  <c r="S2236" i="19"/>
  <c r="Q2236" i="19"/>
  <c r="R473" i="19"/>
  <c r="S473" i="19"/>
  <c r="Q473" i="19"/>
  <c r="R2346" i="19"/>
  <c r="S2346" i="19"/>
  <c r="Q2346" i="19"/>
  <c r="T1218" i="19"/>
  <c r="T852" i="19"/>
  <c r="T276" i="19"/>
  <c r="T1852" i="19"/>
  <c r="T1211" i="19"/>
  <c r="S150" i="19"/>
  <c r="R150" i="19"/>
  <c r="Q150" i="19"/>
  <c r="T2245" i="19"/>
  <c r="S2043" i="19"/>
  <c r="R2043" i="19"/>
  <c r="Q2043" i="19"/>
  <c r="T684" i="19"/>
  <c r="T961" i="19"/>
  <c r="T1297" i="19"/>
  <c r="T1920" i="19"/>
  <c r="Q2176" i="19"/>
  <c r="R2176" i="19"/>
  <c r="S2176" i="19"/>
  <c r="Q2222" i="19"/>
  <c r="R2222" i="19"/>
  <c r="S2222" i="19"/>
  <c r="Q483" i="19"/>
  <c r="S483" i="19"/>
  <c r="R483" i="19"/>
  <c r="T836" i="19"/>
  <c r="T266" i="19"/>
  <c r="T252" i="19"/>
  <c r="T1229" i="19"/>
  <c r="T1452" i="19"/>
  <c r="T1471" i="19"/>
  <c r="R1978" i="19"/>
  <c r="S1978" i="19"/>
  <c r="Q1978" i="19"/>
  <c r="Q2186" i="19"/>
  <c r="S2186" i="19"/>
  <c r="R2186" i="19"/>
  <c r="S1742" i="19"/>
  <c r="R1742" i="19"/>
  <c r="Q1742" i="19"/>
  <c r="Q506" i="19"/>
  <c r="S506" i="19"/>
  <c r="R506" i="19"/>
  <c r="T920" i="19"/>
  <c r="S275" i="19"/>
  <c r="R275" i="19"/>
  <c r="Q275" i="19"/>
  <c r="S69" i="19"/>
  <c r="R69" i="19"/>
  <c r="Q69" i="19"/>
  <c r="S701" i="19"/>
  <c r="R701" i="19"/>
  <c r="Q701" i="19"/>
  <c r="R143" i="1"/>
  <c r="Q143" i="1"/>
  <c r="S143" i="1"/>
  <c r="S2286" i="1"/>
  <c r="R2286" i="1"/>
  <c r="Q2286" i="1"/>
  <c r="Q2101" i="1"/>
  <c r="S2101" i="1"/>
  <c r="R2101" i="1"/>
  <c r="S1644" i="1"/>
  <c r="R1644" i="1"/>
  <c r="Q1644" i="1"/>
  <c r="S358" i="1"/>
  <c r="R358" i="1"/>
  <c r="Q358" i="1"/>
  <c r="Q405" i="1"/>
  <c r="S405" i="1"/>
  <c r="R405" i="1"/>
  <c r="S2254" i="1"/>
  <c r="R2254" i="1"/>
  <c r="Q2254" i="1"/>
  <c r="Q1938" i="1"/>
  <c r="S1938" i="1"/>
  <c r="R1938" i="1"/>
  <c r="S2248" i="1"/>
  <c r="R2248" i="1"/>
  <c r="Q2248" i="1"/>
  <c r="S721" i="1"/>
  <c r="R721" i="1"/>
  <c r="Q721" i="1"/>
  <c r="S707" i="1"/>
  <c r="R707" i="1"/>
  <c r="Q707" i="1"/>
  <c r="S1874" i="1"/>
  <c r="R1874" i="1"/>
  <c r="Q1874" i="1"/>
  <c r="Q2241" i="1"/>
  <c r="S2241" i="1"/>
  <c r="R2241" i="1"/>
  <c r="S1824" i="1"/>
  <c r="R1824" i="1"/>
  <c r="Q1824" i="1"/>
  <c r="Q2324" i="1"/>
  <c r="S2324" i="1"/>
  <c r="R2324" i="1"/>
  <c r="Q1906" i="1"/>
  <c r="S1906" i="1"/>
  <c r="R1906" i="1"/>
  <c r="S344" i="1"/>
  <c r="R344" i="1"/>
  <c r="Q344" i="1"/>
  <c r="S1877" i="1"/>
  <c r="R1877" i="1"/>
  <c r="Q1877" i="1"/>
  <c r="Q2125" i="1"/>
  <c r="S2125" i="1"/>
  <c r="R2125" i="1"/>
  <c r="S2019" i="1"/>
  <c r="R2019" i="1"/>
  <c r="Q2019" i="1"/>
  <c r="S319" i="1"/>
  <c r="R319" i="1"/>
  <c r="Q319" i="1"/>
  <c r="S484" i="1"/>
  <c r="R484" i="1"/>
  <c r="Q484" i="1"/>
  <c r="S1982" i="1"/>
  <c r="R1982" i="1"/>
  <c r="Q1982" i="1"/>
  <c r="S43" i="1"/>
  <c r="R43" i="1"/>
  <c r="Q43" i="1"/>
  <c r="S1770" i="1"/>
  <c r="R1770" i="1"/>
  <c r="Q1770" i="1"/>
  <c r="S272" i="1"/>
  <c r="R272" i="1"/>
  <c r="Q272" i="1"/>
  <c r="S277" i="1"/>
  <c r="R277" i="1"/>
  <c r="Q277" i="1"/>
  <c r="S1914" i="1"/>
  <c r="R1914" i="1"/>
  <c r="Q1914" i="1"/>
  <c r="R331" i="1"/>
  <c r="Q331" i="1"/>
  <c r="S331" i="1"/>
  <c r="S339" i="1"/>
  <c r="R339" i="1"/>
  <c r="Q339" i="1"/>
  <c r="S495" i="1"/>
  <c r="R495" i="1"/>
  <c r="Q495" i="1"/>
  <c r="S745" i="1"/>
  <c r="R745" i="1"/>
  <c r="Q745" i="1"/>
  <c r="S1911" i="1"/>
  <c r="R1911" i="1"/>
  <c r="Q1911" i="1"/>
  <c r="S1790" i="1"/>
  <c r="R1790" i="1"/>
  <c r="Q1790" i="1"/>
  <c r="S1793" i="1"/>
  <c r="R1793" i="1"/>
  <c r="Q1793" i="1"/>
  <c r="S2080" i="1"/>
  <c r="R2080" i="1"/>
  <c r="Q2080" i="1"/>
  <c r="S1955" i="1"/>
  <c r="R1955" i="1"/>
  <c r="Q1955" i="1"/>
  <c r="Q2205" i="1"/>
  <c r="S2205" i="1"/>
  <c r="R2205" i="1"/>
  <c r="S2322" i="1"/>
  <c r="R2322" i="1"/>
  <c r="Q2322" i="1"/>
  <c r="Q433" i="1"/>
  <c r="S433" i="1"/>
  <c r="R433" i="1"/>
  <c r="S1635" i="1"/>
  <c r="R1635" i="1"/>
  <c r="Q1635" i="1"/>
  <c r="R2297" i="1"/>
  <c r="Q2297" i="1"/>
  <c r="S2297" i="1"/>
  <c r="S2405" i="1"/>
  <c r="R2405" i="1"/>
  <c r="Q2405" i="1"/>
  <c r="S1853" i="1"/>
  <c r="R1853" i="1"/>
  <c r="Q1853" i="1"/>
  <c r="S2426" i="1"/>
  <c r="R2426" i="1"/>
  <c r="Q2426" i="1"/>
  <c r="S2186" i="1"/>
  <c r="R2186" i="1"/>
  <c r="Q2186" i="1"/>
  <c r="S380" i="1"/>
  <c r="R380" i="1"/>
  <c r="Q380" i="1"/>
  <c r="S257" i="1"/>
  <c r="R257" i="1"/>
  <c r="Q257" i="1"/>
  <c r="R428" i="1"/>
  <c r="Q428" i="1"/>
  <c r="S428" i="1"/>
  <c r="S756" i="1"/>
  <c r="R756" i="1"/>
  <c r="Q756" i="1"/>
  <c r="S772" i="1"/>
  <c r="R772" i="1"/>
  <c r="Q772" i="1"/>
  <c r="S1651" i="1"/>
  <c r="R1651" i="1"/>
  <c r="Q1651" i="1"/>
  <c r="S1883" i="1"/>
  <c r="R1883" i="1"/>
  <c r="Q1883" i="1"/>
  <c r="S2176" i="1"/>
  <c r="R2176" i="1"/>
  <c r="Q2176" i="1"/>
  <c r="S2435" i="1"/>
  <c r="R2435" i="1"/>
  <c r="Q2435" i="1"/>
  <c r="S478" i="1"/>
  <c r="R478" i="1"/>
  <c r="Q478" i="1"/>
  <c r="S1895" i="1"/>
  <c r="R1895" i="1"/>
  <c r="Q1895" i="1"/>
  <c r="R1997" i="1"/>
  <c r="Q1997" i="1"/>
  <c r="S1997" i="1"/>
  <c r="S367" i="1"/>
  <c r="R367" i="1"/>
  <c r="Q367" i="1"/>
  <c r="S182" i="1"/>
  <c r="R182" i="1"/>
  <c r="Q182" i="1"/>
  <c r="R363" i="1"/>
  <c r="Q363" i="1"/>
  <c r="S363" i="1"/>
  <c r="S516" i="1"/>
  <c r="R516" i="1"/>
  <c r="Q516" i="1"/>
  <c r="S2456" i="1"/>
  <c r="R2456" i="1"/>
  <c r="Q2456" i="1"/>
  <c r="Q1931" i="1"/>
  <c r="S1931" i="1"/>
  <c r="R1931" i="1"/>
  <c r="S1392" i="1"/>
  <c r="R1392" i="1"/>
  <c r="Q1392" i="1"/>
  <c r="Q2177" i="1"/>
  <c r="S2177" i="1"/>
  <c r="R2177" i="1"/>
  <c r="S588" i="1"/>
  <c r="R588" i="1"/>
  <c r="Q588" i="1"/>
  <c r="S1775" i="1"/>
  <c r="R1775" i="1"/>
  <c r="Q1775" i="1"/>
  <c r="S1734" i="1"/>
  <c r="R1734" i="1"/>
  <c r="Q1734" i="1"/>
  <c r="S1186" i="1"/>
  <c r="R1186" i="1"/>
  <c r="Q1186" i="1"/>
  <c r="S639" i="1"/>
  <c r="R639" i="1"/>
  <c r="Q639" i="1"/>
  <c r="Q973" i="1"/>
  <c r="S973" i="1"/>
  <c r="R973" i="1"/>
  <c r="S2482" i="1"/>
  <c r="R2482" i="1"/>
  <c r="Q2482" i="1"/>
  <c r="S556" i="1"/>
  <c r="R556" i="1"/>
  <c r="Q556" i="1"/>
  <c r="S1416" i="1"/>
  <c r="R1416" i="1"/>
  <c r="Q1416" i="1"/>
  <c r="Q293" i="19"/>
  <c r="T802" i="19"/>
  <c r="T1795" i="19"/>
  <c r="Q1955" i="19"/>
  <c r="S1955" i="19"/>
  <c r="R1955" i="19"/>
  <c r="T841" i="19"/>
  <c r="T1396" i="19"/>
  <c r="T882" i="19"/>
  <c r="T1133" i="19"/>
  <c r="T1336" i="19"/>
  <c r="T1215" i="19"/>
  <c r="S1846" i="19"/>
  <c r="R1846" i="19"/>
  <c r="Q1846" i="19"/>
  <c r="S2118" i="19"/>
  <c r="R2118" i="19"/>
  <c r="Q2118" i="19"/>
  <c r="S548" i="1"/>
  <c r="R548" i="1"/>
  <c r="Q548" i="1"/>
  <c r="T180" i="19"/>
  <c r="T92" i="19"/>
  <c r="T593" i="19"/>
  <c r="T211" i="19"/>
  <c r="R283" i="19"/>
  <c r="S283" i="19"/>
  <c r="Q283" i="19"/>
  <c r="R714" i="19"/>
  <c r="S714" i="19"/>
  <c r="Q714" i="19"/>
  <c r="S1918" i="19"/>
  <c r="R1918" i="19"/>
  <c r="Q1918" i="19"/>
  <c r="S2025" i="19"/>
  <c r="Q2025" i="19"/>
  <c r="R2025" i="19"/>
  <c r="S2294" i="19"/>
  <c r="R2294" i="19"/>
  <c r="Q2294" i="19"/>
  <c r="S405" i="19"/>
  <c r="R405" i="19"/>
  <c r="Q405" i="19"/>
  <c r="S2408" i="19"/>
  <c r="R2408" i="19"/>
  <c r="Q2408" i="19"/>
  <c r="T991" i="19"/>
  <c r="R704" i="19"/>
  <c r="S704" i="19"/>
  <c r="Q704" i="19"/>
  <c r="T1996" i="19"/>
  <c r="T1174" i="19"/>
  <c r="T1417" i="19"/>
  <c r="S2464" i="19"/>
  <c r="R2464" i="19"/>
  <c r="Q2464" i="19"/>
  <c r="S289" i="19"/>
  <c r="R289" i="19"/>
  <c r="Q289" i="19"/>
  <c r="S1575" i="1"/>
  <c r="R1575" i="1"/>
  <c r="Q1575" i="1"/>
  <c r="T63" i="19"/>
  <c r="T700" i="19"/>
  <c r="T250" i="19"/>
  <c r="T698" i="19"/>
  <c r="T1170" i="19"/>
  <c r="T1524" i="19"/>
  <c r="T99" i="19"/>
  <c r="Q382" i="19"/>
  <c r="R382" i="19"/>
  <c r="S382" i="19"/>
  <c r="S398" i="19"/>
  <c r="Q398" i="19"/>
  <c r="R398" i="19"/>
  <c r="R1754" i="19"/>
  <c r="Q1754" i="19"/>
  <c r="S1754" i="19"/>
  <c r="S2459" i="19"/>
  <c r="R2459" i="19"/>
  <c r="Q2459" i="19"/>
  <c r="Q1970" i="19"/>
  <c r="S1970" i="19"/>
  <c r="R1970" i="19"/>
  <c r="Q1961" i="19"/>
  <c r="R1961" i="19"/>
  <c r="S1961" i="19"/>
  <c r="Q2086" i="19"/>
  <c r="S2086" i="19"/>
  <c r="R2086" i="19"/>
  <c r="S2258" i="19"/>
  <c r="R2258" i="19"/>
  <c r="Q2258" i="19"/>
  <c r="Q2322" i="19"/>
  <c r="S2322" i="19"/>
  <c r="R2322" i="19"/>
  <c r="S2304" i="19"/>
  <c r="R2304" i="19"/>
  <c r="Q2304" i="19"/>
  <c r="S2446" i="19"/>
  <c r="R2446" i="19"/>
  <c r="Q2446" i="19"/>
  <c r="T1597" i="19"/>
  <c r="T930" i="19"/>
  <c r="R91" i="19"/>
  <c r="S91" i="19"/>
  <c r="Q91" i="19"/>
  <c r="S1636" i="19"/>
  <c r="R1636" i="19"/>
  <c r="Q1636" i="19"/>
  <c r="T560" i="19"/>
  <c r="T687" i="19"/>
  <c r="T1191" i="19"/>
  <c r="T1545" i="19"/>
  <c r="T577" i="19"/>
  <c r="T958" i="19"/>
  <c r="T1553" i="19"/>
  <c r="T1932" i="19"/>
  <c r="T818" i="19"/>
  <c r="S1796" i="19"/>
  <c r="R1796" i="19"/>
  <c r="Q1796" i="19"/>
  <c r="T954" i="19"/>
  <c r="Q2009" i="19"/>
  <c r="S2009" i="19"/>
  <c r="R2009" i="19"/>
  <c r="S862" i="1"/>
  <c r="R862" i="1"/>
  <c r="Q862" i="1"/>
  <c r="T62" i="19"/>
  <c r="T172" i="19"/>
  <c r="T555" i="19"/>
  <c r="S1328" i="1"/>
  <c r="R1328" i="1"/>
  <c r="Q1328" i="1"/>
  <c r="T205" i="19"/>
  <c r="R313" i="19"/>
  <c r="S313" i="19"/>
  <c r="Q313" i="19"/>
  <c r="S2229" i="19"/>
  <c r="R2229" i="19"/>
  <c r="Q2229" i="19"/>
  <c r="S751" i="19"/>
  <c r="R751" i="19"/>
  <c r="Q751" i="19"/>
  <c r="R2123" i="19"/>
  <c r="Q2123" i="19"/>
  <c r="S2123" i="19"/>
  <c r="R1999" i="19"/>
  <c r="S1999" i="19"/>
  <c r="Q1999" i="19"/>
  <c r="R2384" i="19"/>
  <c r="S2384" i="19"/>
  <c r="Q2384" i="19"/>
  <c r="S2112" i="19"/>
  <c r="R2112" i="19"/>
  <c r="Q2112" i="19"/>
  <c r="Q2398" i="19"/>
  <c r="R2398" i="19"/>
  <c r="S2398" i="19"/>
  <c r="S2325" i="19"/>
  <c r="R2325" i="19"/>
  <c r="Q2325" i="19"/>
  <c r="S2427" i="19"/>
  <c r="R2427" i="19"/>
  <c r="Q2427" i="19"/>
  <c r="R2418" i="19"/>
  <c r="Q2418" i="19"/>
  <c r="S2418" i="19"/>
  <c r="T1209" i="19"/>
  <c r="S2108" i="19"/>
  <c r="R2108" i="19"/>
  <c r="Q2108" i="19"/>
  <c r="T932" i="19"/>
  <c r="T1281" i="19"/>
  <c r="T514" i="19"/>
  <c r="R595" i="19"/>
  <c r="Q595" i="19"/>
  <c r="S595" i="19"/>
  <c r="T814" i="19"/>
  <c r="R1857" i="19"/>
  <c r="S1857" i="19"/>
  <c r="Q1857" i="19"/>
  <c r="Q1922" i="19"/>
  <c r="S1922" i="19"/>
  <c r="R1922" i="19"/>
  <c r="T2032" i="19"/>
  <c r="S671" i="19"/>
  <c r="R671" i="19"/>
  <c r="Q671" i="19"/>
  <c r="R358" i="19"/>
  <c r="S358" i="19"/>
  <c r="Q358" i="19"/>
  <c r="T1443" i="19"/>
  <c r="T100" i="19"/>
  <c r="T285" i="19"/>
  <c r="S2483" i="1"/>
  <c r="R2483" i="1"/>
  <c r="Q2483" i="1"/>
  <c r="T890" i="19"/>
  <c r="T1283" i="19"/>
  <c r="T1320" i="19"/>
  <c r="R1386" i="1"/>
  <c r="Q1386" i="1"/>
  <c r="S1386" i="1"/>
  <c r="T1381" i="19"/>
  <c r="S676" i="19"/>
  <c r="R676" i="19"/>
  <c r="Q676" i="19"/>
  <c r="R1995" i="19"/>
  <c r="S1995" i="19"/>
  <c r="Q1995" i="19"/>
  <c r="Q1744" i="19"/>
  <c r="S1744" i="19"/>
  <c r="R1744" i="19"/>
  <c r="R2401" i="19"/>
  <c r="S2401" i="19"/>
  <c r="Q2401" i="19"/>
  <c r="R537" i="19"/>
  <c r="S537" i="19"/>
  <c r="Q537" i="19"/>
  <c r="R503" i="19"/>
  <c r="S503" i="19"/>
  <c r="Q503" i="19"/>
  <c r="T931" i="19"/>
  <c r="Q1660" i="19"/>
  <c r="R1660" i="19"/>
  <c r="S1660" i="19"/>
  <c r="T151" i="19"/>
  <c r="S2284" i="19"/>
  <c r="R2284" i="19"/>
  <c r="Q2284" i="19"/>
  <c r="R1828" i="19"/>
  <c r="Q1828" i="19"/>
  <c r="S1828" i="19"/>
  <c r="S1947" i="19"/>
  <c r="R1947" i="19"/>
  <c r="Q1947" i="19"/>
  <c r="T884" i="19"/>
  <c r="T1380" i="19"/>
  <c r="T1564" i="19"/>
  <c r="T2040" i="19"/>
  <c r="S2390" i="19"/>
  <c r="Q2390" i="19"/>
  <c r="R2390" i="19"/>
  <c r="T82" i="19"/>
  <c r="T1305" i="19"/>
  <c r="T366" i="19"/>
  <c r="T294" i="19"/>
  <c r="T1436" i="19"/>
  <c r="T1053" i="19"/>
  <c r="R307" i="19"/>
  <c r="S307" i="19"/>
  <c r="Q307" i="19"/>
  <c r="S606" i="19"/>
  <c r="R606" i="19"/>
  <c r="Q606" i="19"/>
  <c r="S743" i="19"/>
  <c r="Q743" i="19"/>
  <c r="R743" i="19"/>
  <c r="S2307" i="19"/>
  <c r="R2307" i="19"/>
  <c r="Q2307" i="19"/>
  <c r="R668" i="19"/>
  <c r="S668" i="19"/>
  <c r="Q668" i="19"/>
  <c r="Q2329" i="19"/>
  <c r="R2329" i="19"/>
  <c r="S2329" i="19"/>
  <c r="S2421" i="19"/>
  <c r="R2421" i="19"/>
  <c r="Q2421" i="19"/>
  <c r="Q281" i="19"/>
  <c r="S2405" i="19"/>
  <c r="R2405" i="19"/>
  <c r="Q2405" i="19"/>
  <c r="T1315" i="19"/>
  <c r="T962" i="19"/>
  <c r="T133" i="19"/>
  <c r="T1469" i="19"/>
  <c r="S437" i="19"/>
  <c r="S1886" i="19"/>
  <c r="R1886" i="19"/>
  <c r="Q1886" i="19"/>
  <c r="T1003" i="19"/>
  <c r="T1384" i="19"/>
  <c r="S2213" i="19"/>
  <c r="R2213" i="19"/>
  <c r="Q2213" i="19"/>
  <c r="T1823" i="19"/>
  <c r="R1925" i="19"/>
  <c r="Q1925" i="19"/>
  <c r="S1925" i="19"/>
  <c r="S1855" i="19"/>
  <c r="R1855" i="19"/>
  <c r="Q1855" i="19"/>
  <c r="T2121" i="19"/>
  <c r="T1493" i="19"/>
  <c r="T1580" i="19"/>
  <c r="R1894" i="19"/>
  <c r="Q1894" i="19"/>
  <c r="S1894" i="19"/>
  <c r="Q2062" i="19"/>
  <c r="S2062" i="19"/>
  <c r="R2062" i="19"/>
  <c r="S376" i="19"/>
  <c r="R376" i="19"/>
  <c r="Q376" i="19"/>
  <c r="S760" i="19"/>
  <c r="R760" i="19"/>
  <c r="Q760" i="19"/>
  <c r="T218" i="19"/>
  <c r="T132" i="19"/>
  <c r="R643" i="1"/>
  <c r="Q643" i="1"/>
  <c r="S643" i="1"/>
  <c r="T128" i="19"/>
  <c r="T185" i="19"/>
  <c r="T2317" i="19"/>
  <c r="T1343" i="19"/>
  <c r="T1835" i="19"/>
  <c r="S1652" i="19"/>
  <c r="Q1652" i="19"/>
  <c r="R1652" i="19"/>
  <c r="S2234" i="19"/>
  <c r="R2234" i="19"/>
  <c r="Q2234" i="19"/>
  <c r="S2220" i="19"/>
  <c r="R2220" i="19"/>
  <c r="Q2220" i="19"/>
  <c r="S2134" i="19"/>
  <c r="R2134" i="19"/>
  <c r="Q2134" i="19"/>
  <c r="T1419" i="19"/>
  <c r="T1587" i="19"/>
  <c r="T795" i="19"/>
  <c r="T1353" i="19"/>
  <c r="S287" i="19"/>
  <c r="Q2270" i="19"/>
  <c r="S2270" i="19"/>
  <c r="R2270" i="19"/>
  <c r="Q1874" i="19"/>
  <c r="S1874" i="19"/>
  <c r="R1874" i="19"/>
  <c r="R2246" i="19"/>
  <c r="Q2246" i="19"/>
  <c r="S2246" i="19"/>
  <c r="R1814" i="19"/>
  <c r="S1814" i="19"/>
  <c r="Q1814" i="19"/>
  <c r="T1725" i="19"/>
  <c r="R1861" i="19"/>
  <c r="S1861" i="19"/>
  <c r="Q1861" i="19"/>
  <c r="S2041" i="19"/>
  <c r="R2041" i="19"/>
  <c r="Q2041" i="19"/>
  <c r="S1937" i="19"/>
  <c r="R1937" i="19"/>
  <c r="Q1937" i="19"/>
  <c r="T1444" i="19"/>
  <c r="T2016" i="19"/>
  <c r="S2173" i="19"/>
  <c r="R2173" i="19"/>
  <c r="Q2173" i="19"/>
  <c r="T1705" i="19"/>
  <c r="Q2223" i="19"/>
  <c r="S2223" i="19"/>
  <c r="R2223" i="19"/>
  <c r="S481" i="19"/>
  <c r="R481" i="19"/>
  <c r="Q481" i="19"/>
  <c r="R2142" i="19"/>
  <c r="S2142" i="19"/>
  <c r="Q2142" i="19"/>
  <c r="T241" i="19"/>
  <c r="T45" i="19"/>
  <c r="T98" i="19"/>
  <c r="T148" i="19"/>
  <c r="T702" i="19"/>
  <c r="T1092" i="19"/>
  <c r="T1179" i="19"/>
  <c r="Q507" i="19"/>
  <c r="S507" i="19"/>
  <c r="R507" i="19"/>
  <c r="T1351" i="19"/>
  <c r="Q2372" i="19"/>
  <c r="R2372" i="19"/>
  <c r="S2372" i="19"/>
  <c r="T61" i="19"/>
  <c r="T54" i="19"/>
  <c r="Q2240" i="19"/>
  <c r="S2240" i="19"/>
  <c r="R2240" i="19"/>
  <c r="S235" i="19"/>
  <c r="R235" i="19"/>
  <c r="Q235" i="19"/>
  <c r="R19" i="19"/>
  <c r="S19" i="19"/>
  <c r="Q19" i="19"/>
  <c r="S193" i="1"/>
  <c r="R193" i="1"/>
  <c r="Q193" i="1"/>
  <c r="S376" i="1"/>
  <c r="R376" i="1"/>
  <c r="Q376" i="1"/>
  <c r="S605" i="1"/>
  <c r="R605" i="1"/>
  <c r="Q605" i="1"/>
  <c r="S1818" i="1"/>
  <c r="R1818" i="1"/>
  <c r="Q1818" i="1"/>
  <c r="S2287" i="1"/>
  <c r="R2287" i="1"/>
  <c r="Q2287" i="1"/>
  <c r="S2046" i="1"/>
  <c r="R2046" i="1"/>
  <c r="Q2046" i="1"/>
  <c r="S1645" i="1"/>
  <c r="R1645" i="1"/>
  <c r="Q1645" i="1"/>
  <c r="S406" i="1"/>
  <c r="R406" i="1"/>
  <c r="Q406" i="1"/>
  <c r="Q2255" i="1"/>
  <c r="S2255" i="1"/>
  <c r="R2255" i="1"/>
  <c r="S738" i="1"/>
  <c r="R738" i="1"/>
  <c r="Q738" i="1"/>
  <c r="S534" i="1"/>
  <c r="R534" i="1"/>
  <c r="Q534" i="1"/>
  <c r="S708" i="1"/>
  <c r="R708" i="1"/>
  <c r="Q708" i="1"/>
  <c r="S1825" i="1"/>
  <c r="R1825" i="1"/>
  <c r="Q1825" i="1"/>
  <c r="R2326" i="1"/>
  <c r="Q2326" i="1"/>
  <c r="S2326" i="1"/>
  <c r="Q345" i="1"/>
  <c r="S345" i="1"/>
  <c r="R345" i="1"/>
  <c r="S732" i="1"/>
  <c r="R732" i="1"/>
  <c r="Q732" i="1"/>
  <c r="S1878" i="1"/>
  <c r="R1878" i="1"/>
  <c r="Q1878" i="1"/>
  <c r="S2122" i="1"/>
  <c r="R2122" i="1"/>
  <c r="Q2122" i="1"/>
  <c r="Q2209" i="1"/>
  <c r="S2209" i="1"/>
  <c r="R2209" i="1"/>
  <c r="S320" i="1"/>
  <c r="R320" i="1"/>
  <c r="Q320" i="1"/>
  <c r="S325" i="1"/>
  <c r="R325" i="1"/>
  <c r="Q325" i="1"/>
  <c r="S1983" i="1"/>
  <c r="R1983" i="1"/>
  <c r="Q1983" i="1"/>
  <c r="S2348" i="1"/>
  <c r="R2348" i="1"/>
  <c r="Q2348" i="1"/>
  <c r="R125" i="1"/>
  <c r="Q125" i="1"/>
  <c r="S125" i="1"/>
  <c r="S1771" i="1"/>
  <c r="R1771" i="1"/>
  <c r="Q1771" i="1"/>
  <c r="S273" i="1"/>
  <c r="R273" i="1"/>
  <c r="Q273" i="1"/>
  <c r="S278" i="1"/>
  <c r="R278" i="1"/>
  <c r="Q278" i="1"/>
  <c r="S309" i="1"/>
  <c r="R309" i="1"/>
  <c r="Q309" i="1"/>
  <c r="S1913" i="1"/>
  <c r="R1913" i="1"/>
  <c r="Q1913" i="1"/>
  <c r="S332" i="1"/>
  <c r="R332" i="1"/>
  <c r="Q332" i="1"/>
  <c r="R340" i="1"/>
  <c r="Q340" i="1"/>
  <c r="S340" i="1"/>
  <c r="R496" i="1"/>
  <c r="Q496" i="1"/>
  <c r="S496" i="1"/>
  <c r="S2446" i="1"/>
  <c r="R2446" i="1"/>
  <c r="Q2446" i="1"/>
  <c r="S2212" i="1"/>
  <c r="R2212" i="1"/>
  <c r="Q2212" i="1"/>
  <c r="S1789" i="1"/>
  <c r="R1789" i="1"/>
  <c r="Q1789" i="1"/>
  <c r="S1794" i="1"/>
  <c r="R1794" i="1"/>
  <c r="Q1794" i="1"/>
  <c r="Q2081" i="1"/>
  <c r="S2081" i="1"/>
  <c r="R2081" i="1"/>
  <c r="R149" i="1"/>
  <c r="Q149" i="1"/>
  <c r="S149" i="1"/>
  <c r="S2206" i="1"/>
  <c r="R2206" i="1"/>
  <c r="Q2206" i="1"/>
  <c r="S2318" i="1"/>
  <c r="R2318" i="1"/>
  <c r="Q2318" i="1"/>
  <c r="S434" i="1"/>
  <c r="R434" i="1"/>
  <c r="Q434" i="1"/>
  <c r="S1637" i="1"/>
  <c r="R1637" i="1"/>
  <c r="Q1637" i="1"/>
  <c r="S2298" i="1"/>
  <c r="R2298" i="1"/>
  <c r="Q2298" i="1"/>
  <c r="Q2406" i="1"/>
  <c r="S2406" i="1"/>
  <c r="R2406" i="1"/>
  <c r="Q2428" i="1"/>
  <c r="S2428" i="1"/>
  <c r="R2428" i="1"/>
  <c r="S381" i="1"/>
  <c r="R381" i="1"/>
  <c r="Q381" i="1"/>
  <c r="Q258" i="1"/>
  <c r="S258" i="1"/>
  <c r="R258" i="1"/>
  <c r="S655" i="1"/>
  <c r="R655" i="1"/>
  <c r="Q655" i="1"/>
  <c r="S757" i="1"/>
  <c r="R757" i="1"/>
  <c r="Q757" i="1"/>
  <c r="S773" i="1"/>
  <c r="R773" i="1"/>
  <c r="Q773" i="1"/>
  <c r="S1652" i="1"/>
  <c r="R1652" i="1"/>
  <c r="Q1652" i="1"/>
  <c r="S1812" i="1"/>
  <c r="R1812" i="1"/>
  <c r="Q1812" i="1"/>
  <c r="S2172" i="1"/>
  <c r="R2172" i="1"/>
  <c r="Q2172" i="1"/>
  <c r="R292" i="1"/>
  <c r="Q292" i="1"/>
  <c r="S292" i="1"/>
  <c r="S1935" i="1"/>
  <c r="R1935" i="1"/>
  <c r="Q1935" i="1"/>
  <c r="S1998" i="1"/>
  <c r="R1998" i="1"/>
  <c r="Q1998" i="1"/>
  <c r="S368" i="1"/>
  <c r="R368" i="1"/>
  <c r="Q368" i="1"/>
  <c r="R181" i="1"/>
  <c r="Q181" i="1"/>
  <c r="S181" i="1"/>
  <c r="S364" i="1"/>
  <c r="R364" i="1"/>
  <c r="Q364" i="1"/>
  <c r="Q517" i="1"/>
  <c r="S517" i="1"/>
  <c r="R517" i="1"/>
  <c r="S1829" i="1"/>
  <c r="R1829" i="1"/>
  <c r="Q1829" i="1"/>
  <c r="R2332" i="1"/>
  <c r="Q2332" i="1"/>
  <c r="S2332" i="1"/>
  <c r="S2459" i="1"/>
  <c r="R2459" i="1"/>
  <c r="Q2459" i="1"/>
  <c r="S1860" i="1"/>
  <c r="R1860" i="1"/>
  <c r="Q1860" i="1"/>
  <c r="R2379" i="1"/>
  <c r="Q2379" i="1"/>
  <c r="S2379" i="1"/>
  <c r="S1366" i="1"/>
  <c r="R1366" i="1"/>
  <c r="Q1366" i="1"/>
  <c r="S1086" i="1"/>
  <c r="R1086" i="1"/>
  <c r="Q1086" i="1"/>
  <c r="S662" i="1"/>
  <c r="R662" i="1"/>
  <c r="Q662" i="1"/>
  <c r="S2493" i="1"/>
  <c r="R2493" i="1"/>
  <c r="Q2493" i="1"/>
  <c r="S1107" i="1"/>
  <c r="R1107" i="1"/>
  <c r="Q1107" i="1"/>
  <c r="R293" i="19"/>
  <c r="Q1792" i="19"/>
  <c r="S1792" i="19"/>
  <c r="R1792" i="19"/>
  <c r="T2375" i="19"/>
  <c r="T1546" i="19"/>
  <c r="T980" i="19"/>
  <c r="T1765" i="19"/>
  <c r="T1662" i="19"/>
  <c r="Q1905" i="19"/>
  <c r="R1905" i="19"/>
  <c r="S1905" i="19"/>
  <c r="T1400" i="19"/>
  <c r="T1388" i="19"/>
  <c r="T2470" i="19"/>
  <c r="Q2116" i="19"/>
  <c r="S2116" i="19"/>
  <c r="R2116" i="19"/>
  <c r="T39" i="19"/>
  <c r="T324" i="19"/>
  <c r="T105" i="19"/>
  <c r="T36" i="19"/>
  <c r="T1623" i="19"/>
  <c r="T1227" i="19"/>
  <c r="S284" i="19"/>
  <c r="Q284" i="19"/>
  <c r="R284" i="19"/>
  <c r="Q2189" i="19"/>
  <c r="R2189" i="19"/>
  <c r="S2189" i="19"/>
  <c r="S267" i="19"/>
  <c r="R267" i="19"/>
  <c r="Q267" i="19"/>
  <c r="Q1789" i="19"/>
  <c r="S1789" i="19"/>
  <c r="R1789" i="19"/>
  <c r="R2205" i="19"/>
  <c r="S2205" i="19"/>
  <c r="Q2205" i="19"/>
  <c r="S2026" i="19"/>
  <c r="R2026" i="19"/>
  <c r="Q2026" i="19"/>
  <c r="S2298" i="19"/>
  <c r="Q2298" i="19"/>
  <c r="R2298" i="19"/>
  <c r="R403" i="19"/>
  <c r="Q403" i="19"/>
  <c r="S403" i="19"/>
  <c r="Q2160" i="19"/>
  <c r="R2160" i="19"/>
  <c r="S2160" i="19"/>
  <c r="S2411" i="19"/>
  <c r="R2411" i="19"/>
  <c r="Q2411" i="19"/>
  <c r="S1787" i="19"/>
  <c r="R1787" i="19"/>
  <c r="Q1787" i="19"/>
  <c r="T1568" i="19"/>
  <c r="T597" i="19"/>
  <c r="T1355" i="19"/>
  <c r="T793" i="19"/>
  <c r="T1413" i="19"/>
  <c r="T2323" i="19"/>
  <c r="T1019" i="19"/>
  <c r="T1505" i="19"/>
  <c r="S2466" i="19"/>
  <c r="Q2466" i="19"/>
  <c r="R2466" i="19"/>
  <c r="S290" i="19"/>
  <c r="R290" i="19"/>
  <c r="Q290" i="19"/>
  <c r="T1642" i="19"/>
  <c r="T214" i="19"/>
  <c r="T1916" i="19"/>
  <c r="T432" i="19"/>
  <c r="T741" i="19"/>
  <c r="T557" i="19"/>
  <c r="T1051" i="19"/>
  <c r="T1137" i="19"/>
  <c r="T1494" i="19"/>
  <c r="T1202" i="19"/>
  <c r="T1880" i="19"/>
  <c r="R383" i="19"/>
  <c r="S383" i="19"/>
  <c r="Q383" i="19"/>
  <c r="Q399" i="19"/>
  <c r="S399" i="19"/>
  <c r="R399" i="19"/>
  <c r="S2023" i="19"/>
  <c r="R2023" i="19"/>
  <c r="Q2023" i="19"/>
  <c r="Q2287" i="19"/>
  <c r="S2287" i="19"/>
  <c r="R2287" i="19"/>
  <c r="S1962" i="19"/>
  <c r="R1962" i="19"/>
  <c r="Q1962" i="19"/>
  <c r="Q1989" i="19"/>
  <c r="S1989" i="19"/>
  <c r="R1989" i="19"/>
  <c r="Q2259" i="19"/>
  <c r="S2259" i="19"/>
  <c r="R2259" i="19"/>
  <c r="S2076" i="19"/>
  <c r="R2076" i="19"/>
  <c r="Q2076" i="19"/>
  <c r="S2300" i="19"/>
  <c r="Q2300" i="19"/>
  <c r="R2300" i="19"/>
  <c r="Q2438" i="19"/>
  <c r="R2438" i="19"/>
  <c r="S2438" i="19"/>
  <c r="T318" i="19"/>
  <c r="S277" i="19"/>
  <c r="R277" i="19"/>
  <c r="Q277" i="19"/>
  <c r="Q2393" i="19"/>
  <c r="R2393" i="19"/>
  <c r="S2393" i="19"/>
  <c r="T896" i="19"/>
  <c r="T1031" i="19"/>
  <c r="T1287" i="19"/>
  <c r="T848" i="19"/>
  <c r="T1403" i="19"/>
  <c r="T1708" i="19"/>
  <c r="T642" i="19"/>
  <c r="T953" i="19"/>
  <c r="Q1797" i="19"/>
  <c r="S1797" i="19"/>
  <c r="R1797" i="19"/>
  <c r="R2198" i="19"/>
  <c r="Q2198" i="19"/>
  <c r="S2198" i="19"/>
  <c r="T908" i="19"/>
  <c r="T982" i="19"/>
  <c r="T1050" i="19"/>
  <c r="T1367" i="19"/>
  <c r="S1915" i="19"/>
  <c r="R1915" i="19"/>
  <c r="Q1915" i="19"/>
  <c r="R2079" i="19"/>
  <c r="S2079" i="19"/>
  <c r="Q2079" i="19"/>
  <c r="Q1949" i="19"/>
  <c r="S1949" i="19"/>
  <c r="R1949" i="19"/>
  <c r="R325" i="19"/>
  <c r="S325" i="19"/>
  <c r="Q325" i="19"/>
  <c r="T1658" i="19"/>
  <c r="T84" i="19"/>
  <c r="T57" i="19"/>
  <c r="T625" i="19"/>
  <c r="S1236" i="1"/>
  <c r="R1236" i="1"/>
  <c r="Q1236" i="1"/>
  <c r="T1001" i="19"/>
  <c r="S1767" i="1"/>
  <c r="R1767" i="1"/>
  <c r="Q1767" i="1"/>
  <c r="S301" i="19"/>
  <c r="R301" i="19"/>
  <c r="Q301" i="19"/>
  <c r="R314" i="19"/>
  <c r="Q314" i="19"/>
  <c r="S314" i="19"/>
  <c r="R752" i="19"/>
  <c r="S752" i="19"/>
  <c r="Q752" i="19"/>
  <c r="R2124" i="19"/>
  <c r="S2124" i="19"/>
  <c r="Q2124" i="19"/>
  <c r="S2385" i="19"/>
  <c r="R2385" i="19"/>
  <c r="Q2385" i="19"/>
  <c r="R1899" i="19"/>
  <c r="S1899" i="19"/>
  <c r="Q1899" i="19"/>
  <c r="S1881" i="19"/>
  <c r="R1881" i="19"/>
  <c r="Q1881" i="19"/>
  <c r="T1090" i="19"/>
  <c r="T1589" i="19"/>
  <c r="T1719" i="19"/>
  <c r="R1858" i="19"/>
  <c r="Q1858" i="19"/>
  <c r="S1858" i="19"/>
  <c r="S2208" i="19"/>
  <c r="R2208" i="19"/>
  <c r="Q2208" i="19"/>
  <c r="Q1923" i="19"/>
  <c r="S1923" i="19"/>
  <c r="R1923" i="19"/>
  <c r="S672" i="19"/>
  <c r="R672" i="19"/>
  <c r="Q672" i="19"/>
  <c r="Q355" i="19"/>
  <c r="S355" i="19"/>
  <c r="R355" i="19"/>
  <c r="T138" i="19"/>
  <c r="T56" i="19"/>
  <c r="S945" i="1"/>
  <c r="R945" i="1"/>
  <c r="Q945" i="1"/>
  <c r="S1271" i="1"/>
  <c r="R1271" i="1"/>
  <c r="Q1271" i="1"/>
  <c r="T1785" i="19"/>
  <c r="S770" i="19"/>
  <c r="R770" i="19"/>
  <c r="Q770" i="19"/>
  <c r="R776" i="19"/>
  <c r="S776" i="19"/>
  <c r="Q776" i="19"/>
  <c r="S2402" i="19"/>
  <c r="R2402" i="19"/>
  <c r="Q2402" i="19"/>
  <c r="T1041" i="19"/>
  <c r="S1647" i="19"/>
  <c r="R1647" i="19"/>
  <c r="Q1647" i="19"/>
  <c r="T1613" i="19"/>
  <c r="S1661" i="19"/>
  <c r="R1661" i="19"/>
  <c r="Q1661" i="19"/>
  <c r="R1830" i="19"/>
  <c r="Q1830" i="19"/>
  <c r="S1830" i="19"/>
  <c r="S1959" i="19"/>
  <c r="R1959" i="19"/>
  <c r="Q1959" i="19"/>
  <c r="Q1771" i="19"/>
  <c r="S1771" i="19"/>
  <c r="R1771" i="19"/>
  <c r="T1175" i="19"/>
  <c r="T1535" i="19"/>
  <c r="T983" i="19"/>
  <c r="T81" i="19"/>
  <c r="T59" i="19"/>
  <c r="T2093" i="19"/>
  <c r="T558" i="19"/>
  <c r="T689" i="19"/>
  <c r="T103" i="19"/>
  <c r="Q1756" i="19"/>
  <c r="S1756" i="19"/>
  <c r="R1756" i="19"/>
  <c r="S311" i="19"/>
  <c r="R311" i="19"/>
  <c r="Q311" i="19"/>
  <c r="Q730" i="19"/>
  <c r="S730" i="19"/>
  <c r="R730" i="19"/>
  <c r="S746" i="19"/>
  <c r="Q746" i="19"/>
  <c r="R746" i="19"/>
  <c r="S2169" i="19"/>
  <c r="R2169" i="19"/>
  <c r="Q2169" i="19"/>
  <c r="S1974" i="19"/>
  <c r="R1974" i="19"/>
  <c r="Q1974" i="19"/>
  <c r="R2308" i="19"/>
  <c r="S2308" i="19"/>
  <c r="Q2308" i="19"/>
  <c r="Q2467" i="19"/>
  <c r="R2467" i="19"/>
  <c r="S2467" i="19"/>
  <c r="Q859" i="19"/>
  <c r="S859" i="19"/>
  <c r="R859" i="19"/>
  <c r="S2423" i="19"/>
  <c r="Q2423" i="19"/>
  <c r="R2423" i="19"/>
  <c r="R281" i="19"/>
  <c r="T1603" i="19"/>
  <c r="T1116" i="19"/>
  <c r="S295" i="19"/>
  <c r="Q295" i="19"/>
  <c r="R295" i="19"/>
  <c r="R437" i="19"/>
  <c r="T1062" i="19"/>
  <c r="T1154" i="19"/>
  <c r="T2489" i="19"/>
  <c r="Q515" i="19"/>
  <c r="S515" i="19"/>
  <c r="R515" i="19"/>
  <c r="T935" i="19"/>
  <c r="T1604" i="19"/>
  <c r="S1800" i="19"/>
  <c r="Q1800" i="19"/>
  <c r="R1800" i="19"/>
  <c r="T885" i="19"/>
  <c r="T839" i="19"/>
  <c r="T654" i="19"/>
  <c r="T985" i="19"/>
  <c r="T1319" i="19"/>
  <c r="R1895" i="19"/>
  <c r="S1895" i="19"/>
  <c r="Q1895" i="19"/>
  <c r="S2060" i="19"/>
  <c r="R2060" i="19"/>
  <c r="Q2060" i="19"/>
  <c r="Q763" i="19"/>
  <c r="S763" i="19"/>
  <c r="R763" i="19"/>
  <c r="T110" i="19"/>
  <c r="T1079" i="19"/>
  <c r="T1321" i="19"/>
  <c r="T1285" i="19"/>
  <c r="Q2143" i="1"/>
  <c r="S2143" i="1"/>
  <c r="R2143" i="1"/>
  <c r="T923" i="19"/>
  <c r="T759" i="19"/>
  <c r="S941" i="1"/>
  <c r="R941" i="1"/>
  <c r="Q941" i="1"/>
  <c r="Q539" i="19"/>
  <c r="S539" i="19"/>
  <c r="R539" i="19"/>
  <c r="R2275" i="19"/>
  <c r="Q2275" i="19"/>
  <c r="S2275" i="19"/>
  <c r="Q616" i="19"/>
  <c r="R616" i="19"/>
  <c r="S616" i="19"/>
  <c r="R2237" i="19"/>
  <c r="Q2237" i="19"/>
  <c r="S2237" i="19"/>
  <c r="S2279" i="19"/>
  <c r="R2279" i="19"/>
  <c r="Q2279" i="19"/>
  <c r="S471" i="19"/>
  <c r="R471" i="19"/>
  <c r="Q471" i="19"/>
  <c r="Q2158" i="19"/>
  <c r="R2158" i="19"/>
  <c r="S2158" i="19"/>
  <c r="R287" i="19"/>
  <c r="S2271" i="19"/>
  <c r="R2271" i="19"/>
  <c r="Q2271" i="19"/>
  <c r="S2046" i="19"/>
  <c r="R2046" i="19"/>
  <c r="Q2046" i="19"/>
  <c r="Q2368" i="19"/>
  <c r="S2368" i="19"/>
  <c r="R2368" i="19"/>
  <c r="R1862" i="19"/>
  <c r="Q1862" i="19"/>
  <c r="S1862" i="19"/>
  <c r="S2042" i="19"/>
  <c r="R2042" i="19"/>
  <c r="Q2042" i="19"/>
  <c r="Q1938" i="19"/>
  <c r="R1938" i="19"/>
  <c r="S1938" i="19"/>
  <c r="T628" i="19"/>
  <c r="T1233" i="19"/>
  <c r="T1571" i="19"/>
  <c r="T1706" i="19"/>
  <c r="S2224" i="19"/>
  <c r="R2224" i="19"/>
  <c r="Q2224" i="19"/>
  <c r="Q484" i="19"/>
  <c r="S484" i="19"/>
  <c r="R484" i="19"/>
  <c r="T66" i="19"/>
  <c r="T396" i="19"/>
  <c r="T723" i="19"/>
  <c r="S580" i="1"/>
  <c r="R580" i="1"/>
  <c r="Q580" i="1"/>
  <c r="T771" i="19"/>
  <c r="T1521" i="19"/>
  <c r="T1768" i="19"/>
  <c r="R1979" i="19"/>
  <c r="S1979" i="19"/>
  <c r="Q1979" i="19"/>
  <c r="S2184" i="19"/>
  <c r="R2184" i="19"/>
  <c r="Q2184" i="19"/>
  <c r="T533" i="19"/>
  <c r="S2373" i="19"/>
  <c r="R2373" i="19"/>
  <c r="Q2373" i="19"/>
  <c r="T1198" i="19"/>
  <c r="S2244" i="19"/>
  <c r="R2244" i="19"/>
  <c r="Q2244" i="19"/>
  <c r="O2553" i="19"/>
  <c r="P913" i="19"/>
  <c r="S853" i="19"/>
  <c r="R853" i="19"/>
  <c r="Q853" i="19"/>
  <c r="S144" i="1"/>
  <c r="R144" i="1"/>
  <c r="Q144" i="1"/>
  <c r="S349" i="1"/>
  <c r="R349" i="1"/>
  <c r="Q349" i="1"/>
  <c r="Q606" i="1"/>
  <c r="S606" i="1"/>
  <c r="R606" i="1"/>
  <c r="S1816" i="1"/>
  <c r="R1816" i="1"/>
  <c r="Q1816" i="1"/>
  <c r="S2288" i="1"/>
  <c r="R2288" i="1"/>
  <c r="Q2288" i="1"/>
  <c r="S2047" i="1"/>
  <c r="R2047" i="1"/>
  <c r="Q2047" i="1"/>
  <c r="S1643" i="1"/>
  <c r="R1643" i="1"/>
  <c r="Q1643" i="1"/>
  <c r="S355" i="1"/>
  <c r="R355" i="1"/>
  <c r="Q355" i="1"/>
  <c r="S2156" i="1"/>
  <c r="R2156" i="1"/>
  <c r="Q2156" i="1"/>
  <c r="S2256" i="1"/>
  <c r="R2256" i="1"/>
  <c r="Q2256" i="1"/>
  <c r="Q2167" i="1"/>
  <c r="S2167" i="1"/>
  <c r="R2167" i="1"/>
  <c r="S739" i="1"/>
  <c r="R739" i="1"/>
  <c r="Q739" i="1"/>
  <c r="S703" i="1"/>
  <c r="R703" i="1"/>
  <c r="Q703" i="1"/>
  <c r="R535" i="1"/>
  <c r="Q535" i="1"/>
  <c r="S535" i="1"/>
  <c r="S709" i="1"/>
  <c r="R709" i="1"/>
  <c r="Q709" i="1"/>
  <c r="S1826" i="1"/>
  <c r="R1826" i="1"/>
  <c r="Q1826" i="1"/>
  <c r="S346" i="1"/>
  <c r="R346" i="1"/>
  <c r="Q346" i="1"/>
  <c r="S712" i="1"/>
  <c r="R712" i="1"/>
  <c r="Q712" i="1"/>
  <c r="S730" i="1"/>
  <c r="R730" i="1"/>
  <c r="Q730" i="1"/>
  <c r="S1879" i="1"/>
  <c r="R1879" i="1"/>
  <c r="Q1879" i="1"/>
  <c r="S2126" i="1"/>
  <c r="R2126" i="1"/>
  <c r="Q2126" i="1"/>
  <c r="S2208" i="1"/>
  <c r="R2208" i="1"/>
  <c r="Q2208" i="1"/>
  <c r="S321" i="1"/>
  <c r="R321" i="1"/>
  <c r="Q321" i="1"/>
  <c r="S1655" i="1"/>
  <c r="R1655" i="1"/>
  <c r="Q1655" i="1"/>
  <c r="S326" i="1"/>
  <c r="R326" i="1"/>
  <c r="Q326" i="1"/>
  <c r="R1981" i="1"/>
  <c r="Q1981" i="1"/>
  <c r="S1981" i="1"/>
  <c r="S1946" i="1"/>
  <c r="R1946" i="1"/>
  <c r="Q1946" i="1"/>
  <c r="S2349" i="1"/>
  <c r="R2349" i="1"/>
  <c r="Q2349" i="1"/>
  <c r="S2224" i="1"/>
  <c r="R2224" i="1"/>
  <c r="Q2224" i="1"/>
  <c r="S126" i="1"/>
  <c r="R126" i="1"/>
  <c r="Q126" i="1"/>
  <c r="S2439" i="1"/>
  <c r="R2439" i="1"/>
  <c r="Q2439" i="1"/>
  <c r="S1865" i="1"/>
  <c r="R1865" i="1"/>
  <c r="Q1865" i="1"/>
  <c r="S2035" i="1"/>
  <c r="R2035" i="1"/>
  <c r="Q2035" i="1"/>
  <c r="S310" i="1"/>
  <c r="R310" i="1"/>
  <c r="Q310" i="1"/>
  <c r="Q1915" i="1"/>
  <c r="S1915" i="1"/>
  <c r="R1915" i="1"/>
  <c r="S333" i="1"/>
  <c r="R333" i="1"/>
  <c r="Q333" i="1"/>
  <c r="S743" i="1"/>
  <c r="R743" i="1"/>
  <c r="Q743" i="1"/>
  <c r="Q2444" i="1"/>
  <c r="S2444" i="1"/>
  <c r="R2444" i="1"/>
  <c r="Q2213" i="1"/>
  <c r="S2213" i="1"/>
  <c r="R2213" i="1"/>
  <c r="Q313" i="1"/>
  <c r="S313" i="1"/>
  <c r="R313" i="1"/>
  <c r="S1886" i="1"/>
  <c r="R1886" i="1"/>
  <c r="Q1886" i="1"/>
  <c r="S150" i="1"/>
  <c r="R150" i="1"/>
  <c r="Q150" i="1"/>
  <c r="S2385" i="1"/>
  <c r="R2385" i="1"/>
  <c r="Q2385" i="1"/>
  <c r="R435" i="1"/>
  <c r="Q435" i="1"/>
  <c r="S435" i="1"/>
  <c r="S761" i="1"/>
  <c r="R761" i="1"/>
  <c r="Q761" i="1"/>
  <c r="S1753" i="1"/>
  <c r="R1753" i="1"/>
  <c r="Q1753" i="1"/>
  <c r="S2357" i="1"/>
  <c r="R2357" i="1"/>
  <c r="Q2357" i="1"/>
  <c r="S2429" i="1"/>
  <c r="R2429" i="1"/>
  <c r="Q2429" i="1"/>
  <c r="S382" i="1"/>
  <c r="R382" i="1"/>
  <c r="Q382" i="1"/>
  <c r="S259" i="1"/>
  <c r="R259" i="1"/>
  <c r="Q259" i="1"/>
  <c r="S657" i="1"/>
  <c r="R657" i="1"/>
  <c r="Q657" i="1"/>
  <c r="S758" i="1"/>
  <c r="R758" i="1"/>
  <c r="Q758" i="1"/>
  <c r="S1653" i="1"/>
  <c r="R1653" i="1"/>
  <c r="Q1653" i="1"/>
  <c r="S1813" i="1"/>
  <c r="R1813" i="1"/>
  <c r="Q1813" i="1"/>
  <c r="S2260" i="1"/>
  <c r="R2260" i="1"/>
  <c r="Q2260" i="1"/>
  <c r="S2174" i="1"/>
  <c r="R2174" i="1"/>
  <c r="Q2174" i="1"/>
  <c r="S293" i="1"/>
  <c r="R293" i="1"/>
  <c r="Q293" i="1"/>
  <c r="S475" i="1"/>
  <c r="R475" i="1"/>
  <c r="Q475" i="1"/>
  <c r="R1933" i="1"/>
  <c r="Q1933" i="1"/>
  <c r="S1933" i="1"/>
  <c r="S2283" i="1"/>
  <c r="R2283" i="1"/>
  <c r="Q2283" i="1"/>
  <c r="S369" i="1"/>
  <c r="R369" i="1"/>
  <c r="Q369" i="1"/>
  <c r="S518" i="1"/>
  <c r="R518" i="1"/>
  <c r="Q518" i="1"/>
  <c r="S1828" i="1"/>
  <c r="R1828" i="1"/>
  <c r="Q1828" i="1"/>
  <c r="S2333" i="1"/>
  <c r="R2333" i="1"/>
  <c r="Q2333" i="1"/>
  <c r="Q2460" i="1"/>
  <c r="S2460" i="1"/>
  <c r="R2460" i="1"/>
  <c r="S304" i="1"/>
  <c r="R304" i="1"/>
  <c r="Q304" i="1"/>
  <c r="S2328" i="1"/>
  <c r="R2328" i="1"/>
  <c r="Q2328" i="1"/>
  <c r="S527" i="1"/>
  <c r="R527" i="1"/>
  <c r="Q527" i="1"/>
  <c r="S2277" i="1"/>
  <c r="R2277" i="1"/>
  <c r="Q2277" i="1"/>
  <c r="S1474" i="1"/>
  <c r="R1474" i="1"/>
  <c r="Q1474" i="1"/>
  <c r="S1711" i="1"/>
  <c r="R1711" i="1"/>
  <c r="Q1711" i="1"/>
  <c r="S1148" i="1"/>
  <c r="R1148" i="1"/>
  <c r="Q1148" i="1"/>
  <c r="R1482" i="1"/>
  <c r="Q1482" i="1"/>
  <c r="S1482" i="1"/>
  <c r="S1728" i="1"/>
  <c r="R1728" i="1"/>
  <c r="Q1728" i="1"/>
  <c r="S2461" i="1"/>
  <c r="R2461" i="1"/>
  <c r="Q2461" i="1"/>
  <c r="S1150" i="1"/>
  <c r="R1150" i="1"/>
  <c r="Q1150" i="1"/>
  <c r="S1084" i="1"/>
  <c r="R1084" i="1"/>
  <c r="Q1084" i="1"/>
  <c r="S1433" i="1"/>
  <c r="R1433" i="1"/>
  <c r="Q1433" i="1"/>
  <c r="S293" i="19"/>
  <c r="S2354" i="19"/>
  <c r="R2354" i="19"/>
  <c r="Q2354" i="19"/>
  <c r="T584" i="19"/>
  <c r="T1731" i="19"/>
  <c r="T632" i="19"/>
  <c r="T1668" i="19"/>
  <c r="T812" i="19"/>
  <c r="T1423" i="19"/>
  <c r="T907" i="19"/>
  <c r="Q1906" i="19"/>
  <c r="R1906" i="19"/>
  <c r="S1906" i="19"/>
  <c r="T665" i="19"/>
  <c r="T1151" i="19"/>
  <c r="T1557" i="19"/>
  <c r="S2117" i="19"/>
  <c r="R2117" i="19"/>
  <c r="Q2117" i="19"/>
  <c r="T372" i="19"/>
  <c r="S1068" i="1"/>
  <c r="R1068" i="1"/>
  <c r="Q1068" i="1"/>
  <c r="T1788" i="19"/>
  <c r="T217" i="19"/>
  <c r="T678" i="19"/>
  <c r="S612" i="1"/>
  <c r="R612" i="1"/>
  <c r="Q612" i="1"/>
  <c r="S530" i="1"/>
  <c r="R530" i="1"/>
  <c r="Q530" i="1"/>
  <c r="T926" i="19"/>
  <c r="T1182" i="19"/>
  <c r="T959" i="19"/>
  <c r="Q2152" i="19"/>
  <c r="S2152" i="19"/>
  <c r="R2152" i="19"/>
  <c r="Q270" i="19"/>
  <c r="R270" i="19"/>
  <c r="S270" i="19"/>
  <c r="S2295" i="19"/>
  <c r="Q2295" i="19"/>
  <c r="R2295" i="19"/>
  <c r="R406" i="19"/>
  <c r="Q406" i="19"/>
  <c r="S406" i="19"/>
  <c r="Q601" i="19"/>
  <c r="S601" i="19"/>
  <c r="R601" i="19"/>
  <c r="S2056" i="19"/>
  <c r="R2056" i="19"/>
  <c r="Q2056" i="19"/>
  <c r="Q2163" i="19"/>
  <c r="S2163" i="19"/>
  <c r="R2163" i="19"/>
  <c r="R2409" i="19"/>
  <c r="Q2409" i="19"/>
  <c r="S2409" i="19"/>
  <c r="Q2454" i="19"/>
  <c r="S2454" i="19"/>
  <c r="R2454" i="19"/>
  <c r="T60" i="19"/>
  <c r="T1113" i="19"/>
  <c r="T1358" i="19"/>
  <c r="R1840" i="19"/>
  <c r="Q1840" i="19"/>
  <c r="S1840" i="19"/>
  <c r="S1592" i="19"/>
  <c r="R1592" i="19"/>
  <c r="Q1592" i="19"/>
  <c r="T354" i="19"/>
  <c r="T2281" i="19"/>
  <c r="T868" i="19"/>
  <c r="S2419" i="1"/>
  <c r="R2419" i="1"/>
  <c r="Q2419" i="1"/>
  <c r="T717" i="19"/>
  <c r="T967" i="19"/>
  <c r="T1256" i="19"/>
  <c r="T1047" i="19"/>
  <c r="T1722" i="19"/>
  <c r="S1799" i="1"/>
  <c r="R1799" i="1"/>
  <c r="Q1799" i="1"/>
  <c r="T2211" i="19"/>
  <c r="S380" i="19"/>
  <c r="R380" i="19"/>
  <c r="Q380" i="19"/>
  <c r="R2064" i="19"/>
  <c r="Q2064" i="19"/>
  <c r="S2064" i="19"/>
  <c r="Q2034" i="19"/>
  <c r="S2034" i="19"/>
  <c r="R2034" i="19"/>
  <c r="R1963" i="19"/>
  <c r="Q1963" i="19"/>
  <c r="S1963" i="19"/>
  <c r="S1657" i="19"/>
  <c r="R1657" i="19"/>
  <c r="Q1657" i="19"/>
  <c r="R1990" i="19"/>
  <c r="S1990" i="19"/>
  <c r="Q1990" i="19"/>
  <c r="Q2260" i="19"/>
  <c r="S2260" i="19"/>
  <c r="R2260" i="19"/>
  <c r="R1748" i="19"/>
  <c r="S1748" i="19"/>
  <c r="Q1748" i="19"/>
  <c r="Q2301" i="19"/>
  <c r="R2301" i="19"/>
  <c r="S2301" i="19"/>
  <c r="Q2380" i="19"/>
  <c r="R2380" i="19"/>
  <c r="S2380" i="19"/>
  <c r="R2442" i="19"/>
  <c r="Q2442" i="19"/>
  <c r="S2442" i="19"/>
  <c r="T1514" i="19"/>
  <c r="T1414" i="19"/>
  <c r="R278" i="19"/>
  <c r="Q278" i="19"/>
  <c r="S278" i="19"/>
  <c r="T1124" i="19"/>
  <c r="T1453" i="19"/>
  <c r="T1495" i="19"/>
  <c r="T1868" i="19"/>
  <c r="T641" i="19"/>
  <c r="T849" i="19"/>
  <c r="T1078" i="19"/>
  <c r="T1168" i="19"/>
  <c r="S1913" i="19"/>
  <c r="R1913" i="19"/>
  <c r="Q1913" i="19"/>
  <c r="Q2082" i="19"/>
  <c r="S2082" i="19"/>
  <c r="R2082" i="19"/>
  <c r="S1951" i="19"/>
  <c r="Q1951" i="19"/>
  <c r="R1951" i="19"/>
  <c r="S328" i="19"/>
  <c r="R328" i="19"/>
  <c r="Q328" i="19"/>
  <c r="T210" i="19"/>
  <c r="T68" i="19"/>
  <c r="T939" i="19"/>
  <c r="T1243" i="19"/>
  <c r="T115" i="19"/>
  <c r="T207" i="19"/>
  <c r="S302" i="19"/>
  <c r="R302" i="19"/>
  <c r="Q302" i="19"/>
  <c r="S317" i="19"/>
  <c r="R317" i="19"/>
  <c r="Q317" i="19"/>
  <c r="S749" i="19"/>
  <c r="R749" i="19"/>
  <c r="Q749" i="19"/>
  <c r="R2110" i="19"/>
  <c r="S2110" i="19"/>
  <c r="Q2110" i="19"/>
  <c r="S2252" i="19"/>
  <c r="R2252" i="19"/>
  <c r="Q2252" i="19"/>
  <c r="Q2362" i="19"/>
  <c r="R2362" i="19"/>
  <c r="S2362" i="19"/>
  <c r="T1160" i="19"/>
  <c r="T1332" i="19"/>
  <c r="T693" i="19"/>
  <c r="S708" i="19"/>
  <c r="R708" i="19"/>
  <c r="Q708" i="19"/>
  <c r="Q1783" i="19"/>
  <c r="S1783" i="19"/>
  <c r="R1783" i="19"/>
  <c r="Q2106" i="19"/>
  <c r="S2106" i="19"/>
  <c r="R2106" i="19"/>
  <c r="R1882" i="19"/>
  <c r="S1882" i="19"/>
  <c r="Q1882" i="19"/>
  <c r="T1185" i="19"/>
  <c r="T1313" i="19"/>
  <c r="T2383" i="19"/>
  <c r="S1859" i="19"/>
  <c r="R1859" i="19"/>
  <c r="Q1859" i="19"/>
  <c r="S2210" i="19"/>
  <c r="Q2210" i="19"/>
  <c r="R2210" i="19"/>
  <c r="T2347" i="19"/>
  <c r="S356" i="19"/>
  <c r="R356" i="19"/>
  <c r="Q356" i="19"/>
  <c r="T226" i="19"/>
  <c r="S826" i="1"/>
  <c r="R826" i="1"/>
  <c r="Q826" i="1"/>
  <c r="T306" i="19"/>
  <c r="T360" i="19"/>
  <c r="T1445" i="19"/>
  <c r="T1506" i="19"/>
  <c r="T1094" i="19"/>
  <c r="T221" i="19"/>
  <c r="T2044" i="19"/>
  <c r="S259" i="19"/>
  <c r="R259" i="19"/>
  <c r="Q259" i="19"/>
  <c r="Q2334" i="19"/>
  <c r="S2334" i="19"/>
  <c r="R2334" i="19"/>
  <c r="S2019" i="19"/>
  <c r="R2019" i="19"/>
  <c r="Q2019" i="19"/>
  <c r="S2178" i="19"/>
  <c r="R2178" i="19"/>
  <c r="Q2178" i="19"/>
  <c r="T1379" i="19"/>
  <c r="Q1933" i="19"/>
  <c r="S1933" i="19"/>
  <c r="R1933" i="19"/>
  <c r="R1824" i="19"/>
  <c r="S1824" i="19"/>
  <c r="Q1824" i="19"/>
  <c r="R1648" i="19"/>
  <c r="Q1648" i="19"/>
  <c r="S1648" i="19"/>
  <c r="T26" i="19"/>
  <c r="R2282" i="19"/>
  <c r="S2282" i="19"/>
  <c r="Q2282" i="19"/>
  <c r="S1822" i="19"/>
  <c r="R1822" i="19"/>
  <c r="Q1822" i="19"/>
  <c r="S1945" i="19"/>
  <c r="R1945" i="19"/>
  <c r="Q1945" i="19"/>
  <c r="T1027" i="19"/>
  <c r="T1316" i="19"/>
  <c r="T1259" i="19"/>
  <c r="T1976" i="19"/>
  <c r="T2257" i="19"/>
  <c r="S2389" i="19"/>
  <c r="R2389" i="19"/>
  <c r="Q2389" i="19"/>
  <c r="T41" i="19"/>
  <c r="T201" i="19"/>
  <c r="T197" i="19"/>
  <c r="T2012" i="19"/>
  <c r="T24" i="19"/>
  <c r="T22" i="19"/>
  <c r="S1070" i="1"/>
  <c r="R1070" i="1"/>
  <c r="Q1070" i="1"/>
  <c r="T1017" i="19"/>
  <c r="T1582" i="19"/>
  <c r="T239" i="19"/>
  <c r="S308" i="19"/>
  <c r="Q308" i="19"/>
  <c r="R308" i="19"/>
  <c r="Q734" i="19"/>
  <c r="S734" i="19"/>
  <c r="R734" i="19"/>
  <c r="Q744" i="19"/>
  <c r="S744" i="19"/>
  <c r="R744" i="19"/>
  <c r="Q2166" i="19"/>
  <c r="R2166" i="19"/>
  <c r="S2166" i="19"/>
  <c r="Q1975" i="19"/>
  <c r="R1975" i="19"/>
  <c r="S1975" i="19"/>
  <c r="R2309" i="19"/>
  <c r="S2309" i="19"/>
  <c r="Q2309" i="19"/>
  <c r="S2096" i="19"/>
  <c r="R2096" i="19"/>
  <c r="Q2096" i="19"/>
  <c r="Q2330" i="19"/>
  <c r="R2330" i="19"/>
  <c r="S2330" i="19"/>
  <c r="Q2434" i="19"/>
  <c r="R2434" i="19"/>
  <c r="S2434" i="19"/>
  <c r="Q2424" i="19"/>
  <c r="R2424" i="19"/>
  <c r="S2424" i="19"/>
  <c r="T1360" i="19"/>
  <c r="R296" i="19"/>
  <c r="S296" i="19"/>
  <c r="Q296" i="19"/>
  <c r="T590" i="19"/>
  <c r="R264" i="19"/>
  <c r="S264" i="19"/>
  <c r="Q264" i="19"/>
  <c r="Q2146" i="19"/>
  <c r="S2146" i="19"/>
  <c r="R2146" i="19"/>
  <c r="Q437" i="19"/>
  <c r="T914" i="19"/>
  <c r="T1295" i="19"/>
  <c r="R518" i="19"/>
  <c r="S518" i="19"/>
  <c r="Q518" i="19"/>
  <c r="T1207" i="19"/>
  <c r="T1437" i="19"/>
  <c r="T1759" i="19"/>
  <c r="S1801" i="19"/>
  <c r="R1801" i="19"/>
  <c r="Q1801" i="19"/>
  <c r="R1853" i="19"/>
  <c r="S1853" i="19"/>
  <c r="Q1853" i="19"/>
  <c r="T2485" i="19"/>
  <c r="T911" i="19"/>
  <c r="T1109" i="19"/>
  <c r="T1347" i="19"/>
  <c r="R2061" i="19"/>
  <c r="Q2061" i="19"/>
  <c r="S2061" i="19"/>
  <c r="Q373" i="19"/>
  <c r="S373" i="19"/>
  <c r="R373" i="19"/>
  <c r="R764" i="19"/>
  <c r="Q764" i="19"/>
  <c r="S764" i="19"/>
  <c r="T75" i="19"/>
  <c r="T1936" i="19"/>
  <c r="T288" i="19"/>
  <c r="T1080" i="19"/>
  <c r="T2207" i="19"/>
  <c r="T93" i="19"/>
  <c r="S165" i="19"/>
  <c r="Q165" i="19"/>
  <c r="R165" i="19"/>
  <c r="S540" i="19"/>
  <c r="R540" i="19"/>
  <c r="Q540" i="19"/>
  <c r="R1653" i="19"/>
  <c r="S1653" i="19"/>
  <c r="Q1653" i="19"/>
  <c r="Q2235" i="19"/>
  <c r="S2235" i="19"/>
  <c r="R2235" i="19"/>
  <c r="S2216" i="19"/>
  <c r="Q2216" i="19"/>
  <c r="R2216" i="19"/>
  <c r="S2280" i="19"/>
  <c r="R2280" i="19"/>
  <c r="Q2280" i="19"/>
  <c r="T1391" i="19"/>
  <c r="T863" i="19"/>
  <c r="T1088" i="19"/>
  <c r="S2156" i="19"/>
  <c r="R2156" i="19"/>
  <c r="Q2156" i="19"/>
  <c r="R1875" i="19"/>
  <c r="S1875" i="19"/>
  <c r="Q1875" i="19"/>
  <c r="R2247" i="19"/>
  <c r="S2247" i="19"/>
  <c r="Q2247" i="19"/>
  <c r="R2369" i="19"/>
  <c r="Q2369" i="19"/>
  <c r="S2369" i="19"/>
  <c r="S1812" i="19"/>
  <c r="R1812" i="19"/>
  <c r="Q1812" i="19"/>
  <c r="Q1863" i="19"/>
  <c r="S1863" i="19"/>
  <c r="R1863" i="19"/>
  <c r="T807" i="19"/>
  <c r="T990" i="19"/>
  <c r="T1476" i="19"/>
  <c r="T1952" i="19"/>
  <c r="T1641" i="19"/>
  <c r="T2327" i="19"/>
  <c r="S482" i="19"/>
  <c r="R482" i="19"/>
  <c r="Q482" i="19"/>
  <c r="S2140" i="19"/>
  <c r="R2140" i="19"/>
  <c r="Q2140" i="19"/>
  <c r="T1395" i="19"/>
  <c r="T113" i="19"/>
  <c r="T561" i="19"/>
  <c r="T1527" i="19"/>
  <c r="T251" i="19"/>
  <c r="T255" i="19"/>
  <c r="R1779" i="19"/>
  <c r="S1779" i="19"/>
  <c r="Q1779" i="19"/>
  <c r="T1022" i="19"/>
  <c r="S2241" i="19"/>
  <c r="Q2241" i="19"/>
  <c r="R2241" i="19"/>
  <c r="N710" i="1"/>
  <c r="W710" i="1" s="1"/>
  <c r="P618" i="1"/>
  <c r="P2021" i="1"/>
  <c r="P2022" i="1"/>
  <c r="P880" i="1"/>
  <c r="M290" i="1"/>
  <c r="N290" i="1" s="1"/>
  <c r="W290" i="1" s="1"/>
  <c r="M265" i="1"/>
  <c r="N265" i="1" s="1"/>
  <c r="W265" i="1" s="1"/>
  <c r="M287" i="1"/>
  <c r="N287" i="1" s="1"/>
  <c r="M317" i="1"/>
  <c r="N317" i="1" s="1"/>
  <c r="M311" i="1"/>
  <c r="N311" i="1" s="1"/>
  <c r="M341" i="1"/>
  <c r="N341" i="1" s="1"/>
  <c r="M302" i="1"/>
  <c r="N302" i="1" s="1"/>
  <c r="W302" i="1" s="1"/>
  <c r="M437" i="1"/>
  <c r="N437" i="1" s="1"/>
  <c r="M270" i="1"/>
  <c r="N270" i="1" s="1"/>
  <c r="W270" i="1" s="1"/>
  <c r="M335" i="1"/>
  <c r="N335" i="1" s="1"/>
  <c r="W335" i="1" s="1"/>
  <c r="M299" i="1"/>
  <c r="N299" i="1" s="1"/>
  <c r="M697" i="1"/>
  <c r="N697" i="1" s="1"/>
  <c r="W697" i="1" s="1"/>
  <c r="M233" i="1"/>
  <c r="N233" i="1" s="1"/>
  <c r="W233" i="1" s="1"/>
  <c r="M485" i="1"/>
  <c r="N485" i="1" s="1"/>
  <c r="W485" i="1" s="1"/>
  <c r="M704" i="1"/>
  <c r="N704" i="1" s="1"/>
  <c r="W704" i="1" s="1"/>
  <c r="M699" i="1"/>
  <c r="N699" i="1" s="1"/>
  <c r="M503" i="1"/>
  <c r="N503" i="1" s="1"/>
  <c r="M347" i="1"/>
  <c r="N347" i="1" s="1"/>
  <c r="M431" i="1"/>
  <c r="N431" i="1" s="1"/>
  <c r="M365" i="1"/>
  <c r="N365" i="1" s="1"/>
  <c r="M728" i="1"/>
  <c r="N728" i="1" s="1"/>
  <c r="W728" i="1" s="1"/>
  <c r="M329" i="1"/>
  <c r="N329" i="1" s="1"/>
  <c r="M734" i="1"/>
  <c r="N734" i="1" s="1"/>
  <c r="W734" i="1" s="1"/>
  <c r="M281" i="1"/>
  <c r="N281" i="1" s="1"/>
  <c r="W281" i="1" s="1"/>
  <c r="M260" i="1"/>
  <c r="N260" i="1" s="1"/>
  <c r="M776" i="1"/>
  <c r="N776" i="1" s="1"/>
  <c r="M407" i="1"/>
  <c r="N407" i="1" s="1"/>
  <c r="W407" i="1" s="1"/>
  <c r="M479" i="1"/>
  <c r="N479" i="1" s="1"/>
  <c r="M716" i="1"/>
  <c r="N716" i="1" s="1"/>
  <c r="W716" i="1" s="1"/>
  <c r="M383" i="1"/>
  <c r="N383" i="1" s="1"/>
  <c r="M353" i="1"/>
  <c r="N353" i="1" s="1"/>
  <c r="M284" i="1"/>
  <c r="N284" i="1" s="1"/>
  <c r="M740" i="1"/>
  <c r="N740" i="1" s="1"/>
  <c r="W740" i="1" s="1"/>
  <c r="M752" i="1"/>
  <c r="N752" i="1" s="1"/>
  <c r="W752" i="1" s="1"/>
  <c r="M764" i="1"/>
  <c r="N764" i="1" s="1"/>
  <c r="W764" i="1" s="1"/>
  <c r="M377" i="1"/>
  <c r="N377" i="1" s="1"/>
  <c r="M746" i="1"/>
  <c r="N746" i="1" s="1"/>
  <c r="W746" i="1" s="1"/>
  <c r="M497" i="1"/>
  <c r="N497" i="1" s="1"/>
  <c r="M371" i="1"/>
  <c r="N371" i="1" s="1"/>
  <c r="M296" i="1"/>
  <c r="N296" i="1" s="1"/>
  <c r="M359" i="1"/>
  <c r="N359" i="1" s="1"/>
  <c r="W359" i="1" s="1"/>
  <c r="M323" i="1"/>
  <c r="N323" i="1" s="1"/>
  <c r="O644" i="19"/>
  <c r="P644" i="19" s="1"/>
  <c r="N2552" i="19"/>
  <c r="O2556" i="19"/>
  <c r="R1804" i="1" l="1"/>
  <c r="T1345" i="19"/>
  <c r="R2242" i="1"/>
  <c r="S2242" i="1"/>
  <c r="Q1806" i="1"/>
  <c r="T1345" i="31"/>
  <c r="S2243" i="1"/>
  <c r="Q2243" i="1"/>
  <c r="T1397" i="19"/>
  <c r="T1311" i="19"/>
  <c r="Q2072" i="1"/>
  <c r="S2441" i="1"/>
  <c r="T2441" i="31" s="1"/>
  <c r="Q2441" i="1"/>
  <c r="T850" i="19"/>
  <c r="T850" i="31"/>
  <c r="S1804" i="1"/>
  <c r="T1803" i="19"/>
  <c r="Q2453" i="1"/>
  <c r="Q2450" i="1"/>
  <c r="R2452" i="1"/>
  <c r="S2452" i="1"/>
  <c r="T2452" i="19" s="1"/>
  <c r="Q2454" i="1"/>
  <c r="S2454" i="1"/>
  <c r="T1803" i="31"/>
  <c r="R2453" i="1"/>
  <c r="S2071" i="1"/>
  <c r="T2071" i="31" s="1"/>
  <c r="Q2071" i="1"/>
  <c r="T964" i="19"/>
  <c r="T1390" i="31"/>
  <c r="T964" i="32"/>
  <c r="T964" i="31"/>
  <c r="T1390" i="19"/>
  <c r="T1294" i="32"/>
  <c r="T1294" i="31"/>
  <c r="T929" i="19"/>
  <c r="T1061" i="19"/>
  <c r="T1245" i="19"/>
  <c r="R1806" i="1"/>
  <c r="R2117" i="1"/>
  <c r="Q2438" i="1"/>
  <c r="R2438" i="1"/>
  <c r="T1097" i="19"/>
  <c r="T1619" i="19"/>
  <c r="T1282" i="19"/>
  <c r="T1434" i="19"/>
  <c r="T1274" i="19"/>
  <c r="T1063" i="19"/>
  <c r="T947" i="19"/>
  <c r="R2450" i="1"/>
  <c r="R2072" i="1"/>
  <c r="T904" i="19"/>
  <c r="T2305" i="19"/>
  <c r="T575" i="19"/>
  <c r="T1117" i="19"/>
  <c r="T1628" i="31"/>
  <c r="T1628" i="19"/>
  <c r="T2363" i="19"/>
  <c r="R2119" i="1"/>
  <c r="T2367" i="19"/>
  <c r="T2479" i="19"/>
  <c r="S2119" i="1"/>
  <c r="T2119" i="19" s="1"/>
  <c r="T1730" i="19"/>
  <c r="S2352" i="1"/>
  <c r="T2442" i="32"/>
  <c r="T2451" i="32"/>
  <c r="T527" i="32"/>
  <c r="T1653" i="32"/>
  <c r="T2326" i="32"/>
  <c r="T756" i="32"/>
  <c r="T272" i="32"/>
  <c r="T362" i="32"/>
  <c r="T2247" i="32"/>
  <c r="T1150" i="32"/>
  <c r="T639" i="32"/>
  <c r="T2435" i="32"/>
  <c r="T1881" i="32"/>
  <c r="T175" i="32"/>
  <c r="T361" i="32"/>
  <c r="T1909" i="32"/>
  <c r="T2010" i="32"/>
  <c r="T748" i="32"/>
  <c r="T608" i="32"/>
  <c r="T1760" i="32"/>
  <c r="T165" i="32"/>
  <c r="T1809" i="32"/>
  <c r="Y1443" i="32"/>
  <c r="Y1224" i="32"/>
  <c r="Y1082" i="32"/>
  <c r="Y1459" i="32"/>
  <c r="Y1500" i="32"/>
  <c r="Y919" i="32"/>
  <c r="Y1383" i="32"/>
  <c r="Y1519" i="32"/>
  <c r="Y2048" i="32"/>
  <c r="T1040" i="32"/>
  <c r="T830" i="32"/>
  <c r="Y281" i="32"/>
  <c r="T1799" i="32"/>
  <c r="T304" i="32"/>
  <c r="T475" i="32"/>
  <c r="T259" i="32"/>
  <c r="T435" i="32"/>
  <c r="T150" i="32"/>
  <c r="T333" i="32"/>
  <c r="T2349" i="32"/>
  <c r="T2126" i="32"/>
  <c r="T709" i="32"/>
  <c r="T1643" i="32"/>
  <c r="T1366" i="32"/>
  <c r="T1652" i="32"/>
  <c r="T2298" i="32"/>
  <c r="T1794" i="32"/>
  <c r="T1878" i="32"/>
  <c r="T534" i="32"/>
  <c r="T1818" i="32"/>
  <c r="T862" i="32"/>
  <c r="T1775" i="32"/>
  <c r="T182" i="32"/>
  <c r="T428" i="32"/>
  <c r="T380" i="32"/>
  <c r="T2322" i="32"/>
  <c r="T495" i="32"/>
  <c r="Q2442" i="1"/>
  <c r="T43" i="32"/>
  <c r="T1877" i="32"/>
  <c r="T2324" i="32"/>
  <c r="T721" i="32"/>
  <c r="T2286" i="32"/>
  <c r="T1584" i="32"/>
  <c r="T1617" i="32"/>
  <c r="T1894" i="32"/>
  <c r="T2173" i="32"/>
  <c r="T681" i="32"/>
  <c r="T2011" i="32"/>
  <c r="T162" i="32"/>
  <c r="T2194" i="32"/>
  <c r="Q2451" i="1"/>
  <c r="T1821" i="32"/>
  <c r="T595" i="32"/>
  <c r="T2351" i="32"/>
  <c r="T1161" i="32"/>
  <c r="T1212" i="32"/>
  <c r="T1302" i="32"/>
  <c r="T1882" i="32"/>
  <c r="T2294" i="32"/>
  <c r="T1926" i="32"/>
  <c r="T2055" i="32"/>
  <c r="T274" i="32"/>
  <c r="T2148" i="32"/>
  <c r="T2450" i="32"/>
  <c r="T91" i="32"/>
  <c r="T2043" i="32"/>
  <c r="T155" i="32"/>
  <c r="T1330" i="32"/>
  <c r="T674" i="32"/>
  <c r="T2258" i="32"/>
  <c r="T500" i="32"/>
  <c r="T147" i="32"/>
  <c r="T1925" i="32"/>
  <c r="T308" i="32"/>
  <c r="T1978" i="32"/>
  <c r="T1822" i="32"/>
  <c r="T727" i="32"/>
  <c r="T2041" i="32"/>
  <c r="T183" i="32"/>
  <c r="T1257" i="32"/>
  <c r="T1638" i="32"/>
  <c r="T301" i="32"/>
  <c r="T1797" i="32"/>
  <c r="T762" i="32"/>
  <c r="T315" i="32"/>
  <c r="T2447" i="32"/>
  <c r="T1867" i="32"/>
  <c r="T2124" i="32"/>
  <c r="T667" i="32"/>
  <c r="T2042" i="32"/>
  <c r="T179" i="32"/>
  <c r="T1504" i="32"/>
  <c r="T683" i="32"/>
  <c r="T2329" i="32"/>
  <c r="T1830" i="32"/>
  <c r="T656" i="32"/>
  <c r="T337" i="32"/>
  <c r="T2222" i="32"/>
  <c r="T2210" i="32"/>
  <c r="T1871" i="32"/>
  <c r="T267" i="32"/>
  <c r="T298" i="32"/>
  <c r="T1862" i="32"/>
  <c r="T1744" i="32"/>
  <c r="T1801" i="32"/>
  <c r="T540" i="32"/>
  <c r="T2228" i="32"/>
  <c r="T1402" i="32"/>
  <c r="T886" i="32"/>
  <c r="T511" i="32"/>
  <c r="T2006" i="32"/>
  <c r="T1496" i="32"/>
  <c r="T509" i="32"/>
  <c r="T2486" i="32"/>
  <c r="T2408" i="32"/>
  <c r="T1779" i="32"/>
  <c r="Y725" i="32"/>
  <c r="Y2407" i="32"/>
  <c r="Y1006" i="32"/>
  <c r="Y1190" i="32"/>
  <c r="Y1382" i="32"/>
  <c r="Y1972" i="32"/>
  <c r="Y1484" i="32"/>
  <c r="Y1123" i="32"/>
  <c r="Y617" i="32"/>
  <c r="Y519" i="32"/>
  <c r="Y866" i="32"/>
  <c r="Y1761" i="32"/>
  <c r="Y1684" i="32"/>
  <c r="Y1288" i="32"/>
  <c r="Y1455" i="32"/>
  <c r="Y1529" i="32"/>
  <c r="Y944" i="32"/>
  <c r="Y1091" i="32"/>
  <c r="Y965" i="32"/>
  <c r="Y1325" i="32"/>
  <c r="Y278" i="32"/>
  <c r="T1461" i="32"/>
  <c r="T1674" i="32"/>
  <c r="T1221" i="32"/>
  <c r="T1863" i="32"/>
  <c r="T1377" i="32"/>
  <c r="T1519" i="32"/>
  <c r="T646" i="32"/>
  <c r="T2051" i="32"/>
  <c r="T951" i="32"/>
  <c r="Y1463" i="32"/>
  <c r="Y790" i="32"/>
  <c r="Y2371" i="32"/>
  <c r="Y1214" i="32"/>
  <c r="Y1268" i="32"/>
  <c r="Y1196" i="32"/>
  <c r="Y1531" i="32"/>
  <c r="Y1567" i="32"/>
  <c r="Y1716" i="32"/>
  <c r="Y937" i="32"/>
  <c r="Y1590" i="32"/>
  <c r="Y1254" i="32"/>
  <c r="Y2387" i="32"/>
  <c r="Y1009" i="32"/>
  <c r="Y1781" i="32"/>
  <c r="Y1074" i="32"/>
  <c r="Y918" i="32"/>
  <c r="Y1831" i="32"/>
  <c r="Y909" i="32"/>
  <c r="Y2058" i="32"/>
  <c r="Y2481" i="32"/>
  <c r="Y1182" i="32"/>
  <c r="Y568" i="32"/>
  <c r="Y797" i="32"/>
  <c r="Y1274" i="32"/>
  <c r="Y2419" i="32"/>
  <c r="T2244" i="32"/>
  <c r="T1002" i="32"/>
  <c r="Y293" i="32"/>
  <c r="Y290" i="32"/>
  <c r="T2493" i="32"/>
  <c r="T720" i="32"/>
  <c r="T2054" i="32"/>
  <c r="T481" i="32"/>
  <c r="T1885" i="32"/>
  <c r="T1866" i="32"/>
  <c r="T350" i="32"/>
  <c r="Y734" i="32"/>
  <c r="Y704" i="32"/>
  <c r="Y302" i="32"/>
  <c r="T1433" i="32"/>
  <c r="T1474" i="32"/>
  <c r="T1828" i="32"/>
  <c r="T2260" i="32"/>
  <c r="T2357" i="32"/>
  <c r="T1886" i="32"/>
  <c r="T2444" i="32"/>
  <c r="T2035" i="32"/>
  <c r="T326" i="32"/>
  <c r="T712" i="32"/>
  <c r="T535" i="32"/>
  <c r="T739" i="32"/>
  <c r="T2288" i="32"/>
  <c r="T945" i="32"/>
  <c r="T1767" i="32"/>
  <c r="T2379" i="32"/>
  <c r="T2459" i="32"/>
  <c r="T517" i="32"/>
  <c r="T1935" i="32"/>
  <c r="T655" i="32"/>
  <c r="T2428" i="32"/>
  <c r="T2318" i="32"/>
  <c r="T2446" i="32"/>
  <c r="T309" i="32"/>
  <c r="T325" i="32"/>
  <c r="T2209" i="32"/>
  <c r="T406" i="32"/>
  <c r="T193" i="32"/>
  <c r="T2482" i="32"/>
  <c r="T1392" i="32"/>
  <c r="T1895" i="32"/>
  <c r="T1651" i="32"/>
  <c r="T1853" i="32"/>
  <c r="T2080" i="32"/>
  <c r="T1914" i="32"/>
  <c r="R2442" i="1"/>
  <c r="T319" i="32"/>
  <c r="T2254" i="32"/>
  <c r="T143" i="32"/>
  <c r="T1418" i="32"/>
  <c r="T1930" i="32"/>
  <c r="T379" i="32"/>
  <c r="T2430" i="32"/>
  <c r="T2295" i="32"/>
  <c r="T1910" i="32"/>
  <c r="T338" i="32"/>
  <c r="T1769" i="32"/>
  <c r="T328" i="32"/>
  <c r="R2451" i="1"/>
  <c r="T1905" i="32"/>
  <c r="T357" i="32"/>
  <c r="T1456" i="32"/>
  <c r="T565" i="32"/>
  <c r="T1424" i="32"/>
  <c r="T2259" i="32"/>
  <c r="T1923" i="32"/>
  <c r="T2384" i="32"/>
  <c r="T161" i="32"/>
  <c r="T2250" i="32"/>
  <c r="T1919" i="32"/>
  <c r="T401" i="32"/>
  <c r="T2243" i="32"/>
  <c r="T2158" i="32"/>
  <c r="T1630" i="32"/>
  <c r="T2284" i="32"/>
  <c r="T774" i="32"/>
  <c r="T1922" i="32"/>
  <c r="T679" i="32"/>
  <c r="T855" i="32"/>
  <c r="T1783" i="32"/>
  <c r="T2225" i="32"/>
  <c r="T400" i="32"/>
  <c r="T1870" i="32"/>
  <c r="T668" i="32"/>
  <c r="T352" i="32"/>
  <c r="T1639" i="32"/>
  <c r="T897" i="32"/>
  <c r="T2096" i="32"/>
  <c r="T146" i="32"/>
  <c r="T860" i="32"/>
  <c r="T2034" i="32"/>
  <c r="T751" i="32"/>
  <c r="T715" i="32"/>
  <c r="T722" i="32"/>
  <c r="T351" i="32"/>
  <c r="T2265" i="32"/>
  <c r="T2187" i="32"/>
  <c r="T524" i="32"/>
  <c r="T476" i="32"/>
  <c r="T1754" i="32"/>
  <c r="T2033" i="32"/>
  <c r="T2196" i="32"/>
  <c r="T322" i="32"/>
  <c r="T731" i="32"/>
  <c r="T2246" i="32"/>
  <c r="T2376" i="32"/>
  <c r="T1747" i="32"/>
  <c r="T2266" i="32"/>
  <c r="T1840" i="32"/>
  <c r="T1861" i="32"/>
  <c r="T2389" i="32"/>
  <c r="T2049" i="32"/>
  <c r="T2462" i="32"/>
  <c r="T2292" i="32"/>
  <c r="T2424" i="32"/>
  <c r="T677" i="32"/>
  <c r="T2364" i="32"/>
  <c r="T1834" i="32"/>
  <c r="T1549" i="32"/>
  <c r="T2372" i="32"/>
  <c r="T1308" i="32"/>
  <c r="T2007" i="32"/>
  <c r="T1554" i="32"/>
  <c r="T2144" i="32"/>
  <c r="T1362" i="32"/>
  <c r="Y737" i="32"/>
  <c r="Y1374" i="32"/>
  <c r="Y1023" i="32"/>
  <c r="Y1235" i="32"/>
  <c r="Y844" i="32"/>
  <c r="Y1144" i="32"/>
  <c r="Y1004" i="32"/>
  <c r="Y1033" i="32"/>
  <c r="Y904" i="32"/>
  <c r="Y1298" i="32"/>
  <c r="Y1188" i="32"/>
  <c r="Y532" i="32"/>
  <c r="Y947" i="32"/>
  <c r="Y1310" i="32"/>
  <c r="Y1028" i="32"/>
  <c r="Y1451" i="32"/>
  <c r="Y1197" i="32"/>
  <c r="Y817" i="32"/>
  <c r="Y1341" i="32"/>
  <c r="Y1685" i="32"/>
  <c r="Y2143" i="32"/>
  <c r="Y2413" i="32"/>
  <c r="Y2343" i="32"/>
  <c r="Y1136" i="32"/>
  <c r="Y1251" i="32"/>
  <c r="Y1303" i="32"/>
  <c r="Y2367" i="32"/>
  <c r="Y1130" i="32"/>
  <c r="Y1681" i="32"/>
  <c r="Y2261" i="32"/>
  <c r="Y1263" i="32"/>
  <c r="T2388" i="32"/>
  <c r="T1832" i="32"/>
  <c r="T2061" i="32"/>
  <c r="T568" i="32"/>
  <c r="T797" i="32"/>
  <c r="T2423" i="32"/>
  <c r="T827" i="32"/>
  <c r="T2116" i="32"/>
  <c r="T1105" i="32"/>
  <c r="T572" i="32"/>
  <c r="T1566" i="32"/>
  <c r="T1067" i="32"/>
  <c r="T1228" i="32"/>
  <c r="T1601" i="32"/>
  <c r="T1624" i="32"/>
  <c r="T1434" i="32"/>
  <c r="Y270" i="32"/>
  <c r="T761" i="32"/>
  <c r="T1826" i="32"/>
  <c r="T1897" i="32"/>
  <c r="T1213" i="32"/>
  <c r="T436" i="32"/>
  <c r="T2445" i="32"/>
  <c r="T1843" i="32"/>
  <c r="T1144" i="32"/>
  <c r="T2218" i="32"/>
  <c r="T2414" i="32"/>
  <c r="T2369" i="32"/>
  <c r="Y1461" i="32"/>
  <c r="Y1293" i="32"/>
  <c r="Y2073" i="32"/>
  <c r="Y910" i="32"/>
  <c r="Y2484" i="32"/>
  <c r="Y1573" i="32"/>
  <c r="Y1377" i="32"/>
  <c r="Y646" i="32"/>
  <c r="Y951" i="32"/>
  <c r="T1102" i="32"/>
  <c r="Y485" i="32"/>
  <c r="T612" i="32"/>
  <c r="T2461" i="32"/>
  <c r="T2460" i="32"/>
  <c r="T2283" i="32"/>
  <c r="T758" i="32"/>
  <c r="T1915" i="32"/>
  <c r="T126" i="32"/>
  <c r="T2156" i="32"/>
  <c r="T349" i="32"/>
  <c r="T2143" i="32"/>
  <c r="T662" i="32"/>
  <c r="T2332" i="32"/>
  <c r="T292" i="32"/>
  <c r="T1806" i="32"/>
  <c r="T496" i="32"/>
  <c r="T2438" i="32"/>
  <c r="T1186" i="32"/>
  <c r="T516" i="32"/>
  <c r="T2176" i="32"/>
  <c r="T1635" i="32"/>
  <c r="T2205" i="32"/>
  <c r="T1911" i="32"/>
  <c r="T1874" i="32"/>
  <c r="T1644" i="32"/>
  <c r="T2480" i="32"/>
  <c r="T1203" i="32"/>
  <c r="T1839" i="32"/>
  <c r="T202" i="32"/>
  <c r="T755" i="32"/>
  <c r="T1927" i="32"/>
  <c r="T295" i="32"/>
  <c r="T724" i="32"/>
  <c r="T2378" i="32"/>
  <c r="T1929" i="32"/>
  <c r="T2427" i="32"/>
  <c r="T1953" i="32"/>
  <c r="T857" i="32"/>
  <c r="T749" i="32"/>
  <c r="T1898" i="32"/>
  <c r="T1610" i="32"/>
  <c r="R2118" i="1"/>
  <c r="T2072" i="32"/>
  <c r="R1778" i="1"/>
  <c r="T2102" i="32"/>
  <c r="T562" i="32"/>
  <c r="T1357" i="32"/>
  <c r="T1576" i="32"/>
  <c r="T158" i="32"/>
  <c r="T499" i="32"/>
  <c r="T2251" i="32"/>
  <c r="T1657" i="32"/>
  <c r="T1869" i="32"/>
  <c r="T177" i="32"/>
  <c r="T544" i="32"/>
  <c r="T370" i="32"/>
  <c r="T1814" i="32"/>
  <c r="T2386" i="32"/>
  <c r="T744" i="32"/>
  <c r="T1741" i="32"/>
  <c r="T2123" i="32"/>
  <c r="T286" i="32"/>
  <c r="T373" i="32"/>
  <c r="T2128" i="32"/>
  <c r="T563" i="32"/>
  <c r="T1075" i="32"/>
  <c r="T2190" i="32"/>
  <c r="T2262" i="32"/>
  <c r="T2381" i="32"/>
  <c r="T2380" i="32"/>
  <c r="T2290" i="32"/>
  <c r="T1649" i="32"/>
  <c r="T2268" i="32"/>
  <c r="T1750" i="32"/>
  <c r="T1751" i="32"/>
  <c r="T2154" i="32"/>
  <c r="T2152" i="32"/>
  <c r="T2104" i="32"/>
  <c r="T2108" i="32"/>
  <c r="Y1163" i="32"/>
  <c r="Y1286" i="32"/>
  <c r="Y1030" i="32"/>
  <c r="Y927" i="32"/>
  <c r="Y2490" i="32"/>
  <c r="Y1439" i="32"/>
  <c r="Y2215" i="32"/>
  <c r="Y1242" i="32"/>
  <c r="Y1427" i="32"/>
  <c r="Y2063" i="32"/>
  <c r="Y1089" i="32"/>
  <c r="Y943" i="32"/>
  <c r="Y1409" i="32"/>
  <c r="Y1025" i="32"/>
  <c r="Y847" i="32"/>
  <c r="Y1104" i="32"/>
  <c r="Y1080" i="32"/>
  <c r="Y1458" i="32"/>
  <c r="Y871" i="32"/>
  <c r="T1374" i="32"/>
  <c r="T904" i="32"/>
  <c r="T1298" i="32"/>
  <c r="T1188" i="32"/>
  <c r="T947" i="32"/>
  <c r="T1310" i="32"/>
  <c r="T1451" i="32"/>
  <c r="T1197" i="32"/>
  <c r="T1341" i="32"/>
  <c r="T1685" i="32"/>
  <c r="T2418" i="32"/>
  <c r="T2367" i="32"/>
  <c r="T2261" i="32"/>
  <c r="Y2437" i="32"/>
  <c r="Y916" i="32"/>
  <c r="Y1018" i="32"/>
  <c r="Y2473" i="32"/>
  <c r="Y1552" i="32"/>
  <c r="Y682" i="32"/>
  <c r="Y840" i="32"/>
  <c r="Y2151" i="32"/>
  <c r="Y1441" i="32"/>
  <c r="Y970" i="32"/>
  <c r="Y895" i="32"/>
  <c r="Y2088" i="32"/>
  <c r="Y1700" i="32"/>
  <c r="Y1008" i="32"/>
  <c r="Y805" i="32"/>
  <c r="Y1361" i="32"/>
  <c r="Y2239" i="32"/>
  <c r="Y674" i="32"/>
  <c r="Y984" i="32"/>
  <c r="Y1714" i="32"/>
  <c r="Y1100" i="32"/>
  <c r="Y1465" i="32"/>
  <c r="Y2199" i="32"/>
  <c r="Y1272" i="32"/>
  <c r="Y2476" i="32"/>
  <c r="Y903" i="32"/>
  <c r="T1312" i="32"/>
  <c r="T2479" i="32"/>
  <c r="T1046" i="32"/>
  <c r="T1730" i="32"/>
  <c r="T1032" i="32"/>
  <c r="T549" i="32"/>
  <c r="T2070" i="32"/>
  <c r="T1628" i="32"/>
  <c r="T826" i="32"/>
  <c r="T369" i="32"/>
  <c r="T2453" i="32"/>
  <c r="T2046" i="32"/>
  <c r="T2456" i="32"/>
  <c r="T358" i="32"/>
  <c r="T2095" i="32"/>
  <c r="T2100" i="32"/>
  <c r="T1411" i="32"/>
  <c r="T2063" i="32"/>
  <c r="T283" i="32"/>
  <c r="T482" i="32"/>
  <c r="T196" i="32"/>
  <c r="T539" i="32"/>
  <c r="T2353" i="32"/>
  <c r="T610" i="32"/>
  <c r="T506" i="32"/>
  <c r="Y993" i="32"/>
  <c r="Y1674" i="32"/>
  <c r="Y1221" i="32"/>
  <c r="Y1146" i="32"/>
  <c r="Y834" i="32"/>
  <c r="Y1157" i="32"/>
  <c r="Y1369" i="32"/>
  <c r="Y1860" i="32"/>
  <c r="Y509" i="32"/>
  <c r="Y2273" i="32"/>
  <c r="Y1544" i="32"/>
  <c r="T898" i="32"/>
  <c r="T1389" i="32"/>
  <c r="T1602" i="32"/>
  <c r="T2068" i="32"/>
  <c r="Y746" i="32"/>
  <c r="Y716" i="32"/>
  <c r="Y728" i="32"/>
  <c r="Y233" i="32"/>
  <c r="T1068" i="32"/>
  <c r="T1148" i="32"/>
  <c r="T1933" i="32"/>
  <c r="T293" i="32"/>
  <c r="T382" i="32"/>
  <c r="T313" i="32"/>
  <c r="T1946" i="32"/>
  <c r="T1879" i="32"/>
  <c r="T2167" i="32"/>
  <c r="T2047" i="32"/>
  <c r="T941" i="32"/>
  <c r="T368" i="32"/>
  <c r="T773" i="32"/>
  <c r="T258" i="32"/>
  <c r="T1637" i="32"/>
  <c r="T1789" i="32"/>
  <c r="T332" i="32"/>
  <c r="T2348" i="32"/>
  <c r="T732" i="32"/>
  <c r="T738" i="32"/>
  <c r="T605" i="32"/>
  <c r="T1278" i="19"/>
  <c r="T1575" i="32"/>
  <c r="T548" i="32"/>
  <c r="T1416" i="32"/>
  <c r="T973" i="32"/>
  <c r="T588" i="32"/>
  <c r="T1931" i="32"/>
  <c r="T363" i="32"/>
  <c r="T367" i="32"/>
  <c r="Q1805" i="1"/>
  <c r="T2186" i="32"/>
  <c r="T339" i="32"/>
  <c r="T1982" i="32"/>
  <c r="T344" i="32"/>
  <c r="T2248" i="32"/>
  <c r="T405" i="32"/>
  <c r="T1577" i="32"/>
  <c r="T1398" i="32"/>
  <c r="T1277" i="32"/>
  <c r="T170" i="32"/>
  <c r="T263" i="32"/>
  <c r="T1954" i="32"/>
  <c r="T2252" i="32"/>
  <c r="T275" i="32"/>
  <c r="T2198" i="32"/>
  <c r="T397" i="32"/>
  <c r="T1937" i="32"/>
  <c r="T1899" i="32"/>
  <c r="T289" i="32"/>
  <c r="T1300" i="32"/>
  <c r="T893" i="32"/>
  <c r="T806" i="32"/>
  <c r="T1893" i="32"/>
  <c r="T775" i="32"/>
  <c r="T680" i="32"/>
  <c r="T1659" i="32"/>
  <c r="T1977" i="32"/>
  <c r="T1837" i="32"/>
  <c r="T2166" i="32"/>
  <c r="T2377" i="32"/>
  <c r="T163" i="32"/>
  <c r="T1132" i="32"/>
  <c r="T1766" i="32"/>
  <c r="T1796" i="32"/>
  <c r="T173" i="32"/>
  <c r="T2296" i="32"/>
  <c r="T2319" i="32"/>
  <c r="T316" i="32"/>
  <c r="T2192" i="32"/>
  <c r="T1918" i="32"/>
  <c r="T2170" i="32"/>
  <c r="T596" i="32"/>
  <c r="T2282" i="32"/>
  <c r="T1756" i="32"/>
  <c r="T264" i="32"/>
  <c r="T152" i="32"/>
  <c r="T2223" i="32"/>
  <c r="T1738" i="32"/>
  <c r="T1748" i="32"/>
  <c r="T171" i="32"/>
  <c r="T1026" i="32"/>
  <c r="T2457" i="32"/>
  <c r="T2184" i="32"/>
  <c r="T1887" i="32"/>
  <c r="T2056" i="32"/>
  <c r="T127" i="32"/>
  <c r="T2350" i="32"/>
  <c r="T2045" i="32"/>
  <c r="T167" i="32"/>
  <c r="T2341" i="32"/>
  <c r="T2178" i="32"/>
  <c r="T2092" i="32"/>
  <c r="T2365" i="32"/>
  <c r="T1845" i="32"/>
  <c r="T543" i="32"/>
  <c r="T2374" i="32"/>
  <c r="T2410" i="32"/>
  <c r="T2416" i="32"/>
  <c r="T2276" i="32"/>
  <c r="T2274" i="32"/>
  <c r="T2062" i="32"/>
  <c r="T1166" i="32"/>
  <c r="T1479" i="32"/>
  <c r="T1488" i="32"/>
  <c r="T1037" i="32"/>
  <c r="T609" i="32"/>
  <c r="T1777" i="32"/>
  <c r="T2217" i="32"/>
  <c r="T2064" i="32"/>
  <c r="Y2227" i="32"/>
  <c r="Y1034" i="32"/>
  <c r="Y575" i="32"/>
  <c r="Y1292" i="32"/>
  <c r="Y1619" i="32"/>
  <c r="Y1346" i="32"/>
  <c r="Y1579" i="32"/>
  <c r="Y1426" i="32"/>
  <c r="Y1225" i="32"/>
  <c r="Y585" i="32"/>
  <c r="Y1420" i="32"/>
  <c r="Y1282" i="32"/>
  <c r="Y1249" i="32"/>
  <c r="Y1279" i="32"/>
  <c r="Y1304" i="32"/>
  <c r="Y1410" i="32"/>
  <c r="Y1646" i="32"/>
  <c r="Y891" i="32"/>
  <c r="Y2265" i="32"/>
  <c r="Y1412" i="32"/>
  <c r="Y1114" i="32"/>
  <c r="Y995" i="32"/>
  <c r="Y1526" i="32"/>
  <c r="Y1167" i="32"/>
  <c r="Y1375" i="32"/>
  <c r="Y1605" i="32"/>
  <c r="Y1103" i="32"/>
  <c r="Y1266" i="32"/>
  <c r="T676" i="32"/>
  <c r="T2120" i="32"/>
  <c r="T2240" i="32"/>
  <c r="Y740" i="32"/>
  <c r="T530" i="32"/>
  <c r="T2439" i="32"/>
  <c r="T2172" i="32"/>
  <c r="T2483" i="32"/>
  <c r="T1328" i="32"/>
  <c r="T1790" i="32"/>
  <c r="T1702" i="32"/>
  <c r="T1979" i="32"/>
  <c r="T701" i="32"/>
  <c r="T2325" i="32"/>
  <c r="T2030" i="32"/>
  <c r="T1679" i="32"/>
  <c r="T799" i="32"/>
  <c r="T505" i="32"/>
  <c r="T2336" i="32"/>
  <c r="Y710" i="32"/>
  <c r="T2277" i="32"/>
  <c r="T1981" i="32"/>
  <c r="T1107" i="32"/>
  <c r="T2406" i="32"/>
  <c r="T2081" i="32"/>
  <c r="T320" i="32"/>
  <c r="T1825" i="32"/>
  <c r="T643" i="32"/>
  <c r="T1793" i="32"/>
  <c r="T331" i="32"/>
  <c r="T2125" i="32"/>
  <c r="T1824" i="32"/>
  <c r="T922" i="32"/>
  <c r="T1855" i="32"/>
  <c r="T2321" i="32"/>
  <c r="T2149" i="32"/>
  <c r="T483" i="32"/>
  <c r="T1873" i="32"/>
  <c r="T619" i="32"/>
  <c r="T169" i="32"/>
  <c r="T198" i="32"/>
  <c r="T2099" i="32"/>
  <c r="T594" i="32"/>
  <c r="T1831" i="32"/>
  <c r="T1244" i="32"/>
  <c r="T159" i="32"/>
  <c r="T269" i="32"/>
  <c r="T178" i="32"/>
  <c r="T1135" i="32"/>
  <c r="T2436" i="32"/>
  <c r="T1921" i="32"/>
  <c r="T2168" i="32"/>
  <c r="T604" i="32"/>
  <c r="T1841" i="32"/>
  <c r="T2182" i="32"/>
  <c r="T2421" i="32"/>
  <c r="T2220" i="32"/>
  <c r="T1891" i="32"/>
  <c r="T1833" i="32"/>
  <c r="T1478" i="32"/>
  <c r="T513" i="32"/>
  <c r="T1252" i="32"/>
  <c r="T2345" i="32"/>
  <c r="T2136" i="32"/>
  <c r="T2059" i="32"/>
  <c r="T2272" i="32"/>
  <c r="T1274" i="32"/>
  <c r="T2305" i="32"/>
  <c r="Y1289" i="32"/>
  <c r="Y900" i="32"/>
  <c r="Y1402" i="32"/>
  <c r="Y1440" i="32"/>
  <c r="Y1839" i="32"/>
  <c r="Y1349" i="32"/>
  <c r="Y1187" i="32"/>
  <c r="Y1713" i="32"/>
  <c r="Y2496" i="32"/>
  <c r="T1034" i="32"/>
  <c r="T1292" i="32"/>
  <c r="T1346" i="32"/>
  <c r="T1579" i="32"/>
  <c r="T1225" i="32"/>
  <c r="T1420" i="32"/>
  <c r="T1279" i="32"/>
  <c r="T1410" i="32"/>
  <c r="T891" i="32"/>
  <c r="T1114" i="32"/>
  <c r="T1167" i="32"/>
  <c r="T1605" i="32"/>
  <c r="Y2103" i="32"/>
  <c r="Y1513" i="32"/>
  <c r="Y1464" i="32"/>
  <c r="Y2351" i="32"/>
  <c r="Y521" i="32"/>
  <c r="Y1609" i="32"/>
  <c r="Y2024" i="32"/>
  <c r="Y1139" i="32"/>
  <c r="Y950" i="32"/>
  <c r="Y1585" i="32"/>
  <c r="Y2363" i="32"/>
  <c r="Y1219" i="32"/>
  <c r="Y942" i="32"/>
  <c r="Y1176" i="32"/>
  <c r="T581" i="32"/>
  <c r="T1724" i="32"/>
  <c r="T1280" i="32"/>
  <c r="T1117" i="32"/>
  <c r="T1171" i="32"/>
  <c r="T1805" i="32"/>
  <c r="T1762" i="32"/>
  <c r="T2256" i="32"/>
  <c r="T1829" i="32"/>
  <c r="T381" i="32"/>
  <c r="T273" i="32"/>
  <c r="T2242" i="32"/>
  <c r="T750" i="32"/>
  <c r="T2009" i="32"/>
  <c r="T2330" i="32"/>
  <c r="T2015" i="32"/>
  <c r="T374" i="32"/>
  <c r="T1656" i="32"/>
  <c r="T1084" i="32"/>
  <c r="T1813" i="32"/>
  <c r="T1753" i="32"/>
  <c r="T278" i="32"/>
  <c r="T1645" i="32"/>
  <c r="T772" i="32"/>
  <c r="T2405" i="32"/>
  <c r="T277" i="32"/>
  <c r="T515" i="32"/>
  <c r="T742" i="32"/>
  <c r="T1917" i="32"/>
  <c r="T174" i="32"/>
  <c r="T2320" i="32"/>
  <c r="T1907" i="32"/>
  <c r="T1903" i="32"/>
  <c r="T2013" i="32"/>
  <c r="T2029" i="32"/>
  <c r="T620" i="32"/>
  <c r="T726" i="32"/>
  <c r="T1703" i="32"/>
  <c r="T591" i="32"/>
  <c r="T2214" i="32"/>
  <c r="T2360" i="32"/>
  <c r="T327" i="32"/>
  <c r="T2050" i="32"/>
  <c r="T507" i="32"/>
  <c r="T1745" i="32"/>
  <c r="T2202" i="32"/>
  <c r="T2105" i="32"/>
  <c r="T2060" i="32"/>
  <c r="T828" i="32"/>
  <c r="Y1479" i="32"/>
  <c r="Y1231" i="32"/>
  <c r="Y1024" i="32"/>
  <c r="Y1311" i="32"/>
  <c r="Y1600" i="32"/>
  <c r="Y1200" i="32"/>
  <c r="Y978" i="32"/>
  <c r="Y1393" i="32"/>
  <c r="Y1208" i="32"/>
  <c r="Y583" i="32"/>
  <c r="Y2461" i="32"/>
  <c r="T575" i="32"/>
  <c r="T1619" i="32"/>
  <c r="T585" i="32"/>
  <c r="T1282" i="32"/>
  <c r="T1412" i="32"/>
  <c r="T995" i="32"/>
  <c r="Y901" i="32"/>
  <c r="Y831" i="32"/>
  <c r="Y1350" i="32"/>
  <c r="Y663" i="32"/>
  <c r="Y996" i="32"/>
  <c r="Y1614" i="32"/>
  <c r="Y1205" i="32"/>
  <c r="Y1210" i="32"/>
  <c r="Y1844" i="32"/>
  <c r="Y2036" i="32"/>
  <c r="Y1261" i="32"/>
  <c r="Y1276" i="32"/>
  <c r="Y764" i="32"/>
  <c r="Y407" i="32"/>
  <c r="T1070" i="32"/>
  <c r="T2419" i="32"/>
  <c r="T1728" i="32"/>
  <c r="T2328" i="32"/>
  <c r="T657" i="32"/>
  <c r="T2385" i="32"/>
  <c r="T743" i="32"/>
  <c r="T2224" i="32"/>
  <c r="T2208" i="32"/>
  <c r="T355" i="32"/>
  <c r="T144" i="32"/>
  <c r="T1086" i="32"/>
  <c r="T364" i="32"/>
  <c r="T1812" i="32"/>
  <c r="T149" i="32"/>
  <c r="T340" i="32"/>
  <c r="T1771" i="32"/>
  <c r="T2122" i="32"/>
  <c r="T345" i="32"/>
  <c r="T708" i="32"/>
  <c r="T2255" i="32"/>
  <c r="T2287" i="32"/>
  <c r="T629" i="19"/>
  <c r="T1734" i="32"/>
  <c r="T2177" i="32"/>
  <c r="T257" i="32"/>
  <c r="T2297" i="32"/>
  <c r="T745" i="32"/>
  <c r="T1770" i="32"/>
  <c r="T1906" i="32"/>
  <c r="T707" i="32"/>
  <c r="T1938" i="32"/>
  <c r="T688" i="32"/>
  <c r="T2127" i="32"/>
  <c r="T633" i="32"/>
  <c r="T1999" i="32"/>
  <c r="T427" i="32"/>
  <c r="T1636" i="32"/>
  <c r="T1792" i="32"/>
  <c r="T1660" i="32"/>
  <c r="T1838" i="32"/>
  <c r="T736" i="32"/>
  <c r="T2142" i="32"/>
  <c r="T1045" i="32"/>
  <c r="T946" i="32"/>
  <c r="T2334" i="32"/>
  <c r="T2433" i="32"/>
  <c r="T1798" i="32"/>
  <c r="T1854" i="32"/>
  <c r="T2082" i="32"/>
  <c r="T859" i="32"/>
  <c r="T2193" i="32"/>
  <c r="T1901" i="32"/>
  <c r="T2226" i="32"/>
  <c r="T2197" i="32"/>
  <c r="T2017" i="32"/>
  <c r="T1875" i="32"/>
  <c r="T2141" i="32"/>
  <c r="T1670" i="32"/>
  <c r="T1329" i="32"/>
  <c r="T686" i="32"/>
  <c r="T2432" i="32"/>
  <c r="T1661" i="32"/>
  <c r="T2150" i="32"/>
  <c r="T1836" i="32"/>
  <c r="T718" i="32"/>
  <c r="T2157" i="32"/>
  <c r="T2140" i="32"/>
  <c r="T30" i="32"/>
  <c r="T1204" i="32"/>
  <c r="T1743" i="32"/>
  <c r="T2458" i="32"/>
  <c r="T2358" i="32"/>
  <c r="T166" i="32"/>
  <c r="T2361" i="32"/>
  <c r="T2001" i="32"/>
  <c r="T268" i="32"/>
  <c r="T1120" i="32"/>
  <c r="T2339" i="32"/>
  <c r="T754" i="32"/>
  <c r="T493" i="32"/>
  <c r="T2003" i="32"/>
  <c r="T2014" i="32"/>
  <c r="T356" i="32"/>
  <c r="T2180" i="32"/>
  <c r="T2091" i="32"/>
  <c r="T2382" i="32"/>
  <c r="T1055" i="32"/>
  <c r="T1889" i="32"/>
  <c r="T634" i="32"/>
  <c r="T2005" i="32"/>
  <c r="T2346" i="32"/>
  <c r="T2036" i="32"/>
  <c r="T1512" i="32"/>
  <c r="Y713" i="32"/>
  <c r="T2162" i="32"/>
  <c r="T2160" i="32"/>
  <c r="T1472" i="32"/>
  <c r="T2370" i="32"/>
  <c r="T2134" i="32"/>
  <c r="T1974" i="32"/>
  <c r="T2310" i="32"/>
  <c r="T1231" i="32"/>
  <c r="T900" i="32"/>
  <c r="T1600" i="32"/>
  <c r="T1440" i="32"/>
  <c r="T1842" i="32"/>
  <c r="T1200" i="32"/>
  <c r="T1187" i="32"/>
  <c r="T1393" i="32"/>
  <c r="T583" i="32"/>
  <c r="T2496" i="32"/>
  <c r="Y1184" i="32"/>
  <c r="Y1560" i="32"/>
  <c r="Y1095" i="32"/>
  <c r="Y1425" i="32"/>
  <c r="Y1583" i="32"/>
  <c r="Y1247" i="32"/>
  <c r="Y1715" i="32"/>
  <c r="Y1678" i="32"/>
  <c r="Y1394" i="32"/>
  <c r="Y1669" i="32"/>
  <c r="Y553" i="32"/>
  <c r="Y1273" i="32"/>
  <c r="Y1245" i="32"/>
  <c r="Y1189" i="32"/>
  <c r="Y998" i="32"/>
  <c r="Y1494" i="32"/>
  <c r="Y934" i="32"/>
  <c r="Y1306" i="32"/>
  <c r="Y1516" i="32"/>
  <c r="Y2277" i="32"/>
  <c r="Y1548" i="32"/>
  <c r="Y1399" i="32"/>
  <c r="Y1155" i="32"/>
  <c r="Y933" i="32"/>
  <c r="Y538" i="32"/>
  <c r="Y979" i="32"/>
  <c r="Y550" i="32"/>
  <c r="Y1581" i="32"/>
  <c r="Y1888" i="32"/>
  <c r="Y701" i="32"/>
  <c r="T901" i="32"/>
  <c r="T831" i="32"/>
  <c r="T2025" i="32"/>
  <c r="T950" i="32"/>
  <c r="T1210" i="32"/>
  <c r="T1585" i="32"/>
  <c r="T2363" i="32"/>
  <c r="T1844" i="32"/>
  <c r="T1219" i="32"/>
  <c r="T2039" i="32"/>
  <c r="T2117" i="32"/>
  <c r="T1177" i="32"/>
  <c r="T1097" i="32"/>
  <c r="T1538" i="32"/>
  <c r="Y359" i="32"/>
  <c r="T321" i="32"/>
  <c r="T2404" i="32"/>
  <c r="T669" i="32"/>
  <c r="T1193" i="32"/>
  <c r="T1172" i="32"/>
  <c r="T375" i="32"/>
  <c r="T307" i="32"/>
  <c r="Y697" i="32"/>
  <c r="T518" i="32"/>
  <c r="T1865" i="32"/>
  <c r="T1655" i="32"/>
  <c r="T346" i="32"/>
  <c r="T1816" i="32"/>
  <c r="T580" i="32"/>
  <c r="T2206" i="32"/>
  <c r="T1386" i="32"/>
  <c r="T1997" i="32"/>
  <c r="T478" i="32"/>
  <c r="T433" i="32"/>
  <c r="T2019" i="32"/>
  <c r="T2101" i="32"/>
  <c r="T1902" i="32"/>
  <c r="T1269" i="32"/>
  <c r="T622" i="32"/>
  <c r="T1786" i="32"/>
  <c r="T1784" i="32"/>
  <c r="T403" i="32"/>
  <c r="T430" i="32"/>
  <c r="T861" i="32"/>
  <c r="T153" i="32"/>
  <c r="T2057" i="32"/>
  <c r="T399" i="32"/>
  <c r="T195" i="32"/>
  <c r="T760" i="32"/>
  <c r="T714" i="32"/>
  <c r="Y752" i="32"/>
  <c r="Y335" i="32"/>
  <c r="Y265" i="32"/>
  <c r="T1482" i="32"/>
  <c r="T1711" i="32"/>
  <c r="T2333" i="32"/>
  <c r="T2174" i="32"/>
  <c r="T2429" i="32"/>
  <c r="T2213" i="32"/>
  <c r="T310" i="32"/>
  <c r="T730" i="32"/>
  <c r="T703" i="32"/>
  <c r="T606" i="32"/>
  <c r="T1271" i="32"/>
  <c r="T1236" i="32"/>
  <c r="T1860" i="32"/>
  <c r="T181" i="32"/>
  <c r="T1998" i="32"/>
  <c r="T757" i="32"/>
  <c r="T434" i="32"/>
  <c r="T2212" i="32"/>
  <c r="T1913" i="32"/>
  <c r="T125" i="32"/>
  <c r="T1983" i="32"/>
  <c r="T376" i="32"/>
  <c r="T556" i="32"/>
  <c r="T1883" i="32"/>
  <c r="T2426" i="32"/>
  <c r="T1955" i="32"/>
  <c r="T484" i="32"/>
  <c r="T2241" i="32"/>
  <c r="T576" i="32"/>
  <c r="T2434" i="32"/>
  <c r="T502" i="32"/>
  <c r="T2079" i="32"/>
  <c r="T1787" i="32"/>
  <c r="T494" i="32"/>
  <c r="T2018" i="32"/>
  <c r="T343" i="32"/>
  <c r="T404" i="32"/>
  <c r="T156" i="32"/>
  <c r="T1450" i="32"/>
  <c r="T988" i="32"/>
  <c r="T2094" i="32"/>
  <c r="T501" i="32"/>
  <c r="T262" i="32"/>
  <c r="T280" i="32"/>
  <c r="T1820" i="32"/>
  <c r="T1939" i="32"/>
  <c r="T1757" i="32"/>
  <c r="T2097" i="32"/>
  <c r="T763" i="32"/>
  <c r="T2448" i="32"/>
  <c r="T2362" i="32"/>
  <c r="T199" i="32"/>
  <c r="T2002" i="32"/>
  <c r="T1056" i="32"/>
  <c r="T477" i="32"/>
  <c r="T429" i="32"/>
  <c r="T2185" i="32"/>
  <c r="T2204" i="32"/>
  <c r="T856" i="32"/>
  <c r="T1742" i="32"/>
  <c r="T1947" i="32"/>
  <c r="T733" i="32"/>
  <c r="T537" i="32"/>
  <c r="T2169" i="32"/>
  <c r="T2031" i="32"/>
  <c r="T1611" i="32"/>
  <c r="T1180" i="32"/>
  <c r="T2020" i="32"/>
  <c r="T1934" i="32"/>
  <c r="T2175" i="32"/>
  <c r="T2356" i="32"/>
  <c r="T314" i="32"/>
  <c r="T334" i="32"/>
  <c r="T1945" i="32"/>
  <c r="T1739" i="32"/>
  <c r="T398" i="32"/>
  <c r="T536" i="32"/>
  <c r="T1817" i="32"/>
  <c r="T2066" i="32"/>
  <c r="Y305" i="32"/>
  <c r="T2338" i="32"/>
  <c r="T508" i="32"/>
  <c r="T1847" i="32"/>
  <c r="T1466" i="32"/>
  <c r="T2026" i="32"/>
  <c r="T2106" i="32"/>
  <c r="T2138" i="32"/>
  <c r="Y719" i="32"/>
  <c r="T1251" i="32"/>
  <c r="T1994" i="32"/>
  <c r="T2306" i="32"/>
  <c r="T1975" i="32"/>
  <c r="T2090" i="32"/>
  <c r="Y690" i="32"/>
  <c r="Y1675" i="32"/>
  <c r="Y1339" i="32"/>
  <c r="Y1162" i="32"/>
  <c r="Y1565" i="32"/>
  <c r="Y1992" i="32"/>
  <c r="Y504" i="32"/>
  <c r="Y629" i="32"/>
  <c r="Y2131" i="32"/>
  <c r="Y1454" i="32"/>
  <c r="Y928" i="32"/>
  <c r="Y1473" i="32"/>
  <c r="Y1736" i="32"/>
  <c r="Y1145" i="32"/>
  <c r="Y872" i="32"/>
  <c r="Y2289" i="32"/>
  <c r="Y2335" i="32"/>
  <c r="Y2135" i="32"/>
  <c r="Y1044" i="32"/>
  <c r="Y810" i="32"/>
  <c r="Y1156" i="32"/>
  <c r="Y969" i="32"/>
  <c r="Y1278" i="32"/>
  <c r="Y1408" i="32"/>
  <c r="Y832" i="32"/>
  <c r="Y1356" i="32"/>
  <c r="Y1142" i="32"/>
  <c r="Y1000" i="32"/>
  <c r="Y1404" i="32"/>
  <c r="Y1340" i="32"/>
  <c r="Y1246" i="32"/>
  <c r="Y1040" i="32"/>
  <c r="Y1376" i="32"/>
  <c r="Y1038" i="32"/>
  <c r="Y898" i="32"/>
  <c r="Y957" i="32"/>
  <c r="Y1431" i="32"/>
  <c r="Y1138" i="32"/>
  <c r="Y1337" i="32"/>
  <c r="Y851" i="32"/>
  <c r="Y1335" i="32"/>
  <c r="Y1165" i="32"/>
  <c r="Y1102" i="32"/>
  <c r="Y1496" i="32"/>
  <c r="T1036" i="32"/>
  <c r="T1262" i="32"/>
  <c r="T1063" i="32"/>
  <c r="R2146" i="1"/>
  <c r="S2146" i="1"/>
  <c r="T2146" i="19" s="1"/>
  <c r="T1188" i="19"/>
  <c r="T1341" i="19"/>
  <c r="T1197" i="19"/>
  <c r="T1091" i="31"/>
  <c r="T1091" i="32"/>
  <c r="T840" i="31"/>
  <c r="T840" i="32"/>
  <c r="T2239" i="31"/>
  <c r="T2239" i="32"/>
  <c r="T1103" i="31"/>
  <c r="T1103" i="32"/>
  <c r="T2199" i="31"/>
  <c r="T2199" i="32"/>
  <c r="T1008" i="31"/>
  <c r="T1008" i="32"/>
  <c r="T2273" i="31"/>
  <c r="T2273" i="32"/>
  <c r="T1515" i="31"/>
  <c r="T1515" i="32"/>
  <c r="T1059" i="31"/>
  <c r="T1059" i="32"/>
  <c r="T949" i="31"/>
  <c r="T949" i="32"/>
  <c r="T636" i="31"/>
  <c r="T636" i="32"/>
  <c r="T1518" i="31"/>
  <c r="T1518" i="32"/>
  <c r="T1531" i="31"/>
  <c r="T1531" i="32"/>
  <c r="T1178" i="31"/>
  <c r="T1178" i="32"/>
  <c r="T1066" i="31"/>
  <c r="T1066" i="32"/>
  <c r="T1735" i="31"/>
  <c r="T1735" i="32"/>
  <c r="T2343" i="31"/>
  <c r="T2343" i="32"/>
  <c r="T1510" i="31"/>
  <c r="T1510" i="32"/>
  <c r="T2476" i="31"/>
  <c r="T2476" i="32"/>
  <c r="T1483" i="31"/>
  <c r="T1483" i="32"/>
  <c r="T519" i="31"/>
  <c r="T519" i="32"/>
  <c r="T1043" i="31"/>
  <c r="T1043" i="32"/>
  <c r="T1621" i="31"/>
  <c r="T1621" i="32"/>
  <c r="T2058" i="31"/>
  <c r="T2058" i="32"/>
  <c r="T1029" i="31"/>
  <c r="T1029" i="32"/>
  <c r="T1401" i="31"/>
  <c r="T1401" i="32"/>
  <c r="T1499" i="31"/>
  <c r="T1499" i="32"/>
  <c r="T504" i="31"/>
  <c r="T504" i="32"/>
  <c r="T944" i="31"/>
  <c r="T944" i="32"/>
  <c r="T1715" i="31"/>
  <c r="T1715" i="32"/>
  <c r="T1681" i="31"/>
  <c r="T1681" i="32"/>
  <c r="T1123" i="31"/>
  <c r="T1123" i="32"/>
  <c r="T999" i="31"/>
  <c r="T999" i="32"/>
  <c r="T1503" i="31"/>
  <c r="T1503" i="32"/>
  <c r="T631" i="31"/>
  <c r="T631" i="32"/>
  <c r="T691" i="31"/>
  <c r="T691" i="32"/>
  <c r="T1383" i="31"/>
  <c r="T1383" i="32"/>
  <c r="T1509" i="31"/>
  <c r="T1509" i="32"/>
  <c r="T532" i="31"/>
  <c r="T532" i="32"/>
  <c r="T1250" i="31"/>
  <c r="T1250" i="32"/>
  <c r="T916" i="31"/>
  <c r="T916" i="32"/>
  <c r="T531" i="31"/>
  <c r="T531" i="32"/>
  <c r="T968" i="31"/>
  <c r="T968" i="32"/>
  <c r="T1596" i="31"/>
  <c r="T1596" i="32"/>
  <c r="T2159" i="31"/>
  <c r="T2159" i="32"/>
  <c r="T1303" i="31"/>
  <c r="T1303" i="32"/>
  <c r="T2151" i="31"/>
  <c r="T2151" i="32"/>
  <c r="T1430" i="31"/>
  <c r="T1430" i="32"/>
  <c r="T1044" i="31"/>
  <c r="T1044" i="32"/>
  <c r="T1578" i="31"/>
  <c r="T1578" i="32"/>
  <c r="T582" i="31"/>
  <c r="T582" i="32"/>
  <c r="T2269" i="31"/>
  <c r="T2269" i="32"/>
  <c r="T1334" i="31"/>
  <c r="T1334" i="32"/>
  <c r="T2103" i="31"/>
  <c r="T2103" i="32"/>
  <c r="T1350" i="31"/>
  <c r="T1350" i="32"/>
  <c r="T663" i="31"/>
  <c r="T663" i="32"/>
  <c r="T521" i="31"/>
  <c r="T521" i="32"/>
  <c r="T1614" i="31"/>
  <c r="T1614" i="32"/>
  <c r="T1205" i="31"/>
  <c r="T1205" i="32"/>
  <c r="T942" i="31"/>
  <c r="T942" i="32"/>
  <c r="T1261" i="31"/>
  <c r="T1261" i="32"/>
  <c r="T1176" i="31"/>
  <c r="T1176" i="32"/>
  <c r="T1276" i="31"/>
  <c r="T1276" i="32"/>
  <c r="T1480" i="31"/>
  <c r="T1480" i="32"/>
  <c r="T638" i="31"/>
  <c r="T638" i="32"/>
  <c r="T1317" i="31"/>
  <c r="T1317" i="32"/>
  <c r="T2449" i="31"/>
  <c r="T2449" i="32"/>
  <c r="T1304" i="31"/>
  <c r="T1304" i="32"/>
  <c r="T2387" i="31"/>
  <c r="T2387" i="32"/>
  <c r="T1266" i="31"/>
  <c r="T1266" i="32"/>
  <c r="T998" i="31"/>
  <c r="T998" i="32"/>
  <c r="T2484" i="31"/>
  <c r="T2484" i="32"/>
  <c r="T1544" i="31"/>
  <c r="T1544" i="32"/>
  <c r="T1646" i="31"/>
  <c r="T1646" i="32"/>
  <c r="T1565" i="31"/>
  <c r="T1565" i="32"/>
  <c r="T1716" i="31"/>
  <c r="T1716" i="32"/>
  <c r="T648" i="31"/>
  <c r="T648" i="32"/>
  <c r="T1550" i="31"/>
  <c r="T1550" i="32"/>
  <c r="T1526" i="31"/>
  <c r="T1526" i="32"/>
  <c r="T1736" i="31"/>
  <c r="T1736" i="32"/>
  <c r="T1247" i="31"/>
  <c r="T1247" i="32"/>
  <c r="T1071" i="31"/>
  <c r="T1071" i="32"/>
  <c r="T1555" i="31"/>
  <c r="T1555" i="32"/>
  <c r="T2473" i="31"/>
  <c r="T2473" i="32"/>
  <c r="T2492" i="31"/>
  <c r="T2492" i="32"/>
  <c r="T1717" i="31"/>
  <c r="T1717" i="32"/>
  <c r="T2413" i="31"/>
  <c r="T2413" i="32"/>
  <c r="T993" i="31"/>
  <c r="T993" i="32"/>
  <c r="T1016" i="31"/>
  <c r="T1016" i="32"/>
  <c r="T1253" i="31"/>
  <c r="T1253" i="32"/>
  <c r="T1426" i="31"/>
  <c r="T1426" i="32"/>
  <c r="T564" i="31"/>
  <c r="T564" i="32"/>
  <c r="T1184" i="31"/>
  <c r="T1184" i="32"/>
  <c r="T1560" i="31"/>
  <c r="T1560" i="32"/>
  <c r="T1095" i="31"/>
  <c r="T1095" i="32"/>
  <c r="T1425" i="31"/>
  <c r="T1425" i="32"/>
  <c r="T1678" i="31"/>
  <c r="T1678" i="32"/>
  <c r="T1669" i="31"/>
  <c r="T1669" i="32"/>
  <c r="T553" i="31"/>
  <c r="T553" i="32"/>
  <c r="T1273" i="31"/>
  <c r="T1273" i="32"/>
  <c r="T1245" i="31"/>
  <c r="T1245" i="32"/>
  <c r="T934" i="31"/>
  <c r="T934" i="32"/>
  <c r="T1548" i="31"/>
  <c r="T1548" i="32"/>
  <c r="T1399" i="31"/>
  <c r="T1399" i="32"/>
  <c r="T1155" i="31"/>
  <c r="T1155" i="32"/>
  <c r="T933" i="31"/>
  <c r="T933" i="32"/>
  <c r="T979" i="31"/>
  <c r="T979" i="32"/>
  <c r="T550" i="31"/>
  <c r="T550" i="32"/>
  <c r="T1581" i="31"/>
  <c r="T1581" i="32"/>
  <c r="T1888" i="31"/>
  <c r="T1888" i="32"/>
  <c r="T815" i="31"/>
  <c r="T815" i="32"/>
  <c r="T2115" i="31"/>
  <c r="T2115" i="32"/>
  <c r="T929" i="31"/>
  <c r="T929" i="32"/>
  <c r="T1375" i="31"/>
  <c r="T1375" i="32"/>
  <c r="T1464" i="31"/>
  <c r="T1464" i="32"/>
  <c r="T551" i="31"/>
  <c r="T551" i="32"/>
  <c r="T1774" i="31"/>
  <c r="T1774" i="32"/>
  <c r="T1552" i="31"/>
  <c r="T1552" i="32"/>
  <c r="T1208" i="31"/>
  <c r="T1208" i="32"/>
  <c r="T1583" i="31"/>
  <c r="T1583" i="32"/>
  <c r="T1723" i="31"/>
  <c r="T1723" i="32"/>
  <c r="T1485" i="31"/>
  <c r="T1485" i="32"/>
  <c r="T660" i="31"/>
  <c r="T660" i="32"/>
  <c r="T547" i="31"/>
  <c r="T547" i="32"/>
  <c r="T1462" i="31"/>
  <c r="T1462" i="32"/>
  <c r="T1749" i="31"/>
  <c r="T1749" i="32"/>
  <c r="T1173" i="31"/>
  <c r="T1173" i="32"/>
  <c r="T1128" i="31"/>
  <c r="T1128" i="32"/>
  <c r="T1194" i="31"/>
  <c r="T1194" i="32"/>
  <c r="T1048" i="31"/>
  <c r="T1048" i="32"/>
  <c r="T1248" i="31"/>
  <c r="T1248" i="32"/>
  <c r="T2073" i="31"/>
  <c r="T2073" i="32"/>
  <c r="T1110" i="31"/>
  <c r="T1110" i="32"/>
  <c r="T928" i="31"/>
  <c r="T928" i="32"/>
  <c r="T627" i="31"/>
  <c r="T627" i="32"/>
  <c r="T1349" i="31"/>
  <c r="T1349" i="32"/>
  <c r="T1422" i="31"/>
  <c r="T1422" i="32"/>
  <c r="T1776" i="31"/>
  <c r="T1776" i="32"/>
  <c r="T566" i="31"/>
  <c r="T566" i="32"/>
  <c r="T690" i="31"/>
  <c r="T690" i="32"/>
  <c r="T1162" i="31"/>
  <c r="T1162" i="32"/>
  <c r="T1992" i="31"/>
  <c r="T1992" i="32"/>
  <c r="T629" i="31"/>
  <c r="T629" i="32"/>
  <c r="T2131" i="31"/>
  <c r="T2131" i="32"/>
  <c r="T1145" i="31"/>
  <c r="T1145" i="32"/>
  <c r="T872" i="31"/>
  <c r="T872" i="32"/>
  <c r="T2289" i="31"/>
  <c r="T2289" i="32"/>
  <c r="T1156" i="31"/>
  <c r="T1156" i="32"/>
  <c r="T969" i="31"/>
  <c r="T969" i="32"/>
  <c r="T1278" i="31"/>
  <c r="T1278" i="32"/>
  <c r="T1408" i="31"/>
  <c r="T1408" i="32"/>
  <c r="T832" i="31"/>
  <c r="T832" i="32"/>
  <c r="T1356" i="31"/>
  <c r="T1356" i="32"/>
  <c r="T1142" i="31"/>
  <c r="T1142" i="32"/>
  <c r="T1404" i="31"/>
  <c r="T1404" i="32"/>
  <c r="T1340" i="31"/>
  <c r="T1340" i="32"/>
  <c r="T1246" i="31"/>
  <c r="T1246" i="32"/>
  <c r="T1376" i="31"/>
  <c r="T1376" i="32"/>
  <c r="T1038" i="31"/>
  <c r="T1038" i="32"/>
  <c r="T1431" i="31"/>
  <c r="T1431" i="32"/>
  <c r="T1138" i="31"/>
  <c r="T1138" i="32"/>
  <c r="T1337" i="31"/>
  <c r="T1337" i="32"/>
  <c r="T851" i="31"/>
  <c r="T851" i="32"/>
  <c r="T1335" i="31"/>
  <c r="T1335" i="32"/>
  <c r="T1165" i="31"/>
  <c r="T1165" i="32"/>
  <c r="T1072" i="31"/>
  <c r="T1072" i="32"/>
  <c r="T1516" i="31"/>
  <c r="T1516" i="32"/>
  <c r="T2088" i="31"/>
  <c r="T2088" i="32"/>
  <c r="T1028" i="31"/>
  <c r="T1028" i="32"/>
  <c r="T1502" i="31"/>
  <c r="T1502" i="32"/>
  <c r="T617" i="31"/>
  <c r="T617" i="32"/>
  <c r="T1024" i="31"/>
  <c r="T1024" i="32"/>
  <c r="T1306" i="31"/>
  <c r="T1306" i="32"/>
  <c r="T1369" i="31"/>
  <c r="T1369" i="32"/>
  <c r="T1000" i="31"/>
  <c r="T1000" i="32"/>
  <c r="T1486" i="31"/>
  <c r="T1486" i="32"/>
  <c r="T1547" i="31"/>
  <c r="T1547" i="32"/>
  <c r="T1586" i="31"/>
  <c r="T1586" i="32"/>
  <c r="T2475" i="31"/>
  <c r="T2475" i="32"/>
  <c r="T2491" i="31"/>
  <c r="T2491" i="32"/>
  <c r="T1119" i="31"/>
  <c r="T1119" i="32"/>
  <c r="T1454" i="31"/>
  <c r="T1454" i="32"/>
  <c r="T1129" i="31"/>
  <c r="T1129" i="32"/>
  <c r="T1136" i="31"/>
  <c r="T1136" i="32"/>
  <c r="T1780" i="31"/>
  <c r="T1780" i="32"/>
  <c r="T1284" i="31"/>
  <c r="T1284" i="32"/>
  <c r="T1563" i="31"/>
  <c r="T1563" i="32"/>
  <c r="T1588" i="31"/>
  <c r="T1588" i="32"/>
  <c r="T1622" i="31"/>
  <c r="T1622" i="32"/>
  <c r="T1372" i="31"/>
  <c r="T1372" i="32"/>
  <c r="T1492" i="31"/>
  <c r="T1492" i="32"/>
  <c r="T1359" i="31"/>
  <c r="T1359" i="32"/>
  <c r="T1190" i="31"/>
  <c r="T1190" i="32"/>
  <c r="T1667" i="31"/>
  <c r="T1667" i="32"/>
  <c r="T1293" i="31"/>
  <c r="T1293" i="32"/>
  <c r="T1082" i="31"/>
  <c r="T1082" i="32"/>
  <c r="T1146" i="31"/>
  <c r="T1146" i="32"/>
  <c r="T1459" i="31"/>
  <c r="T1459" i="32"/>
  <c r="T834" i="31"/>
  <c r="T834" i="32"/>
  <c r="T910" i="31"/>
  <c r="T910" i="32"/>
  <c r="T1500" i="31"/>
  <c r="T1500" i="32"/>
  <c r="T1573" i="31"/>
  <c r="T1573" i="32"/>
  <c r="T1378" i="31"/>
  <c r="T1378" i="32"/>
  <c r="T1559" i="31"/>
  <c r="T1559" i="32"/>
  <c r="T586" i="31"/>
  <c r="T586" i="32"/>
  <c r="T2471" i="31"/>
  <c r="T2471" i="32"/>
  <c r="T2215" i="31"/>
  <c r="T2215" i="32"/>
  <c r="T919" i="31"/>
  <c r="T919" i="32"/>
  <c r="T1242" i="31"/>
  <c r="T1242" i="32"/>
  <c r="T978" i="31"/>
  <c r="T978" i="32"/>
  <c r="T1394" i="31"/>
  <c r="T1394" i="32"/>
  <c r="T1189" i="31"/>
  <c r="T1189" i="32"/>
  <c r="T682" i="31"/>
  <c r="T682" i="32"/>
  <c r="T2227" i="31"/>
  <c r="T2227" i="32"/>
  <c r="T1710" i="31"/>
  <c r="T1710" i="32"/>
  <c r="T1666" i="31"/>
  <c r="T1666" i="32"/>
  <c r="T1025" i="31"/>
  <c r="T1025" i="32"/>
  <c r="T1421" i="31"/>
  <c r="T1421" i="32"/>
  <c r="T554" i="31"/>
  <c r="T554" i="32"/>
  <c r="T1258" i="31"/>
  <c r="T1258" i="32"/>
  <c r="T1609" i="31"/>
  <c r="T1609" i="32"/>
  <c r="T1289" i="31"/>
  <c r="T1289" i="32"/>
  <c r="T1732" i="31"/>
  <c r="T1732" i="32"/>
  <c r="T1513" i="31"/>
  <c r="T1513" i="32"/>
  <c r="T1537" i="31"/>
  <c r="T1537" i="32"/>
  <c r="T1339" i="31"/>
  <c r="T1339" i="32"/>
  <c r="T2004" i="31"/>
  <c r="T2004" i="32"/>
  <c r="T649" i="31"/>
  <c r="T649" i="32"/>
  <c r="T1528" i="31"/>
  <c r="T1528" i="32"/>
  <c r="T936" i="31"/>
  <c r="T936" i="32"/>
  <c r="T1130" i="31"/>
  <c r="T1130" i="32"/>
  <c r="T1397" i="31"/>
  <c r="T1397" i="32"/>
  <c r="T1311" i="31"/>
  <c r="T1311" i="32"/>
  <c r="T2407" i="31"/>
  <c r="T2407" i="32"/>
  <c r="T1006" i="31"/>
  <c r="T1006" i="32"/>
  <c r="T1382" i="31"/>
  <c r="T1382" i="32"/>
  <c r="T1484" i="31"/>
  <c r="T1484" i="32"/>
  <c r="T866" i="31"/>
  <c r="T866" i="32"/>
  <c r="T1761" i="31"/>
  <c r="T1761" i="32"/>
  <c r="T1684" i="31"/>
  <c r="T1684" i="32"/>
  <c r="T1288" i="31"/>
  <c r="T1288" i="32"/>
  <c r="T1455" i="31"/>
  <c r="T1455" i="32"/>
  <c r="T1529" i="31"/>
  <c r="T1529" i="32"/>
  <c r="T965" i="31"/>
  <c r="T965" i="32"/>
  <c r="T1325" i="31"/>
  <c r="T1325" i="32"/>
  <c r="T1463" i="31"/>
  <c r="T1463" i="32"/>
  <c r="T1214" i="31"/>
  <c r="T1214" i="32"/>
  <c r="T1268" i="31"/>
  <c r="T1268" i="32"/>
  <c r="T1196" i="31"/>
  <c r="T1196" i="32"/>
  <c r="T1567" i="31"/>
  <c r="T1567" i="32"/>
  <c r="T937" i="31"/>
  <c r="T937" i="32"/>
  <c r="T1590" i="31"/>
  <c r="T1590" i="32"/>
  <c r="T1254" i="31"/>
  <c r="T1254" i="32"/>
  <c r="T1074" i="31"/>
  <c r="T1074" i="32"/>
  <c r="T918" i="31"/>
  <c r="T918" i="32"/>
  <c r="T909" i="31"/>
  <c r="T909" i="32"/>
  <c r="T2481" i="31"/>
  <c r="T2481" i="32"/>
  <c r="T659" i="31"/>
  <c r="T659" i="32"/>
  <c r="T2048" i="31"/>
  <c r="T2048" i="32"/>
  <c r="T1972" i="31"/>
  <c r="T1972" i="32"/>
  <c r="T1157" i="31"/>
  <c r="T1157" i="32"/>
  <c r="T1249" i="31"/>
  <c r="T1249" i="32"/>
  <c r="T1458" i="31"/>
  <c r="T1458" i="32"/>
  <c r="T1039" i="31"/>
  <c r="T1039" i="32"/>
  <c r="T1224" i="31"/>
  <c r="T1224" i="32"/>
  <c r="T1018" i="31"/>
  <c r="T1018" i="32"/>
  <c r="T1713" i="31"/>
  <c r="T1713" i="32"/>
  <c r="T996" i="31"/>
  <c r="T996" i="32"/>
  <c r="T1108" i="31"/>
  <c r="T1108" i="32"/>
  <c r="T1675" i="31"/>
  <c r="T1675" i="32"/>
  <c r="T579" i="31"/>
  <c r="T579" i="32"/>
  <c r="T664" i="31"/>
  <c r="T664" i="32"/>
  <c r="T1698" i="31"/>
  <c r="T1698" i="32"/>
  <c r="T1099" i="31"/>
  <c r="T1099" i="32"/>
  <c r="T607" i="31"/>
  <c r="T607" i="32"/>
  <c r="T957" i="31"/>
  <c r="T957" i="32"/>
  <c r="T1807" i="31"/>
  <c r="T1807" i="32"/>
  <c r="T2371" i="31"/>
  <c r="T2371" i="32"/>
  <c r="T538" i="31"/>
  <c r="T538" i="32"/>
  <c r="T570" i="31"/>
  <c r="T570" i="32"/>
  <c r="T1680" i="31"/>
  <c r="T1680" i="32"/>
  <c r="T1764" i="31"/>
  <c r="T1764" i="32"/>
  <c r="T1230" i="31"/>
  <c r="T1230" i="32"/>
  <c r="T1781" i="31"/>
  <c r="T1781" i="32"/>
  <c r="T1370" i="31"/>
  <c r="T1370" i="32"/>
  <c r="T1065" i="31"/>
  <c r="T1065" i="32"/>
  <c r="T1532" i="31"/>
  <c r="T1532" i="32"/>
  <c r="T1263" i="31"/>
  <c r="T1263" i="32"/>
  <c r="T1487" i="31"/>
  <c r="T1487" i="32"/>
  <c r="T1023" i="31"/>
  <c r="T1023" i="32"/>
  <c r="T1235" i="31"/>
  <c r="T1235" i="32"/>
  <c r="T844" i="31"/>
  <c r="T844" i="32"/>
  <c r="T1004" i="31"/>
  <c r="T1004" i="32"/>
  <c r="T1033" i="31"/>
  <c r="T1033" i="32"/>
  <c r="T1125" i="31"/>
  <c r="T1125" i="32"/>
  <c r="T1447" i="31"/>
  <c r="T1447" i="32"/>
  <c r="T2335" i="31"/>
  <c r="T2335" i="32"/>
  <c r="T1007" i="31"/>
  <c r="T1007" i="32"/>
  <c r="T871" i="31"/>
  <c r="T871" i="32"/>
  <c r="T1139" i="31"/>
  <c r="T1139" i="32"/>
  <c r="T1361" i="31"/>
  <c r="T1361" i="32"/>
  <c r="T1093" i="31"/>
  <c r="T1093" i="32"/>
  <c r="T1594" i="31"/>
  <c r="T1594" i="32"/>
  <c r="T2024" i="31"/>
  <c r="T2024" i="32"/>
  <c r="T1331" i="31"/>
  <c r="T1331" i="32"/>
  <c r="T1406" i="31"/>
  <c r="T1406" i="32"/>
  <c r="T1534" i="31"/>
  <c r="T1534" i="32"/>
  <c r="T984" i="31"/>
  <c r="T984" i="32"/>
  <c r="T1616" i="31"/>
  <c r="T1616" i="32"/>
  <c r="T1076" i="31"/>
  <c r="T1076" i="32"/>
  <c r="T977" i="31"/>
  <c r="T977" i="32"/>
  <c r="T817" i="31"/>
  <c r="T817" i="32"/>
  <c r="T2135" i="31"/>
  <c r="T2135" i="32"/>
  <c r="T1127" i="31"/>
  <c r="T1127" i="32"/>
  <c r="T1216" i="31"/>
  <c r="T1216" i="32"/>
  <c r="T1490" i="31"/>
  <c r="T1490" i="32"/>
  <c r="T1163" i="31"/>
  <c r="T1163" i="32"/>
  <c r="T1286" i="31"/>
  <c r="T1286" i="32"/>
  <c r="T1030" i="31"/>
  <c r="T1030" i="32"/>
  <c r="T927" i="31"/>
  <c r="T927" i="32"/>
  <c r="T2490" i="31"/>
  <c r="T2490" i="32"/>
  <c r="T1439" i="31"/>
  <c r="T1439" i="32"/>
  <c r="T1427" i="31"/>
  <c r="T1427" i="32"/>
  <c r="T1089" i="31"/>
  <c r="T1089" i="32"/>
  <c r="T943" i="31"/>
  <c r="T943" i="32"/>
  <c r="T1409" i="31"/>
  <c r="T1409" i="32"/>
  <c r="T847" i="31"/>
  <c r="T847" i="32"/>
  <c r="T1104" i="31"/>
  <c r="T1104" i="32"/>
  <c r="Y1110" i="31"/>
  <c r="Y1110" i="32"/>
  <c r="T2437" i="31"/>
  <c r="T2437" i="32"/>
  <c r="T1441" i="31"/>
  <c r="T1441" i="32"/>
  <c r="T970" i="31"/>
  <c r="T970" i="32"/>
  <c r="T895" i="31"/>
  <c r="T895" i="32"/>
  <c r="T1700" i="31"/>
  <c r="T1700" i="32"/>
  <c r="T805" i="31"/>
  <c r="T805" i="32"/>
  <c r="T1714" i="31"/>
  <c r="T1714" i="32"/>
  <c r="T1100" i="31"/>
  <c r="T1100" i="32"/>
  <c r="T1465" i="31"/>
  <c r="T1465" i="32"/>
  <c r="T1272" i="31"/>
  <c r="T1272" i="32"/>
  <c r="T903" i="31"/>
  <c r="T903" i="32"/>
  <c r="T1712" i="31"/>
  <c r="T1712" i="32"/>
  <c r="T1507" i="31"/>
  <c r="T1507" i="32"/>
  <c r="T1061" i="31"/>
  <c r="T1061" i="32"/>
  <c r="T1348" i="31"/>
  <c r="T1348" i="32"/>
  <c r="T986" i="31"/>
  <c r="T986" i="32"/>
  <c r="T1511" i="31"/>
  <c r="T1511" i="32"/>
  <c r="T975" i="31"/>
  <c r="T975" i="32"/>
  <c r="T925" i="31"/>
  <c r="T925" i="32"/>
  <c r="Y281" i="31"/>
  <c r="T1799" i="31"/>
  <c r="T304" i="31"/>
  <c r="T475" i="31"/>
  <c r="T259" i="31"/>
  <c r="T435" i="31"/>
  <c r="T150" i="31"/>
  <c r="T333" i="31"/>
  <c r="T2349" i="31"/>
  <c r="T2126" i="31"/>
  <c r="T709" i="31"/>
  <c r="T1643" i="31"/>
  <c r="T1366" i="31"/>
  <c r="T1652" i="31"/>
  <c r="T2298" i="31"/>
  <c r="T1794" i="31"/>
  <c r="T1878" i="31"/>
  <c r="T534" i="31"/>
  <c r="T1818" i="31"/>
  <c r="T862" i="31"/>
  <c r="T1775" i="31"/>
  <c r="T182" i="31"/>
  <c r="T428" i="31"/>
  <c r="T380" i="31"/>
  <c r="T2322" i="31"/>
  <c r="T495" i="31"/>
  <c r="T43" i="31"/>
  <c r="T1877" i="31"/>
  <c r="T2324" i="31"/>
  <c r="T721" i="31"/>
  <c r="T2286" i="31"/>
  <c r="T1584" i="31"/>
  <c r="T1617" i="31"/>
  <c r="T1894" i="31"/>
  <c r="T2173" i="31"/>
  <c r="T681" i="31"/>
  <c r="T2011" i="31"/>
  <c r="T1792" i="31"/>
  <c r="T1660" i="31"/>
  <c r="T1838" i="31"/>
  <c r="T736" i="31"/>
  <c r="T2142" i="31"/>
  <c r="T893" i="31"/>
  <c r="T806" i="31"/>
  <c r="T1893" i="31"/>
  <c r="T775" i="31"/>
  <c r="T680" i="31"/>
  <c r="T1659" i="31"/>
  <c r="T1977" i="31"/>
  <c r="T1837" i="31"/>
  <c r="T2166" i="31"/>
  <c r="T2377" i="31"/>
  <c r="T163" i="31"/>
  <c r="T1172" i="31"/>
  <c r="T1679" i="31"/>
  <c r="T2010" i="31"/>
  <c r="T2054" i="31"/>
  <c r="T748" i="31"/>
  <c r="T481" i="31"/>
  <c r="T1897" i="31"/>
  <c r="T375" i="31"/>
  <c r="T1056" i="31"/>
  <c r="T477" i="31"/>
  <c r="T429" i="31"/>
  <c r="T2185" i="31"/>
  <c r="T2204" i="31"/>
  <c r="T856" i="31"/>
  <c r="T1742" i="31"/>
  <c r="T1947" i="31"/>
  <c r="T733" i="31"/>
  <c r="T537" i="31"/>
  <c r="T2169" i="31"/>
  <c r="T2031" i="31"/>
  <c r="T1611" i="31"/>
  <c r="T1180" i="31"/>
  <c r="T2020" i="31"/>
  <c r="T1934" i="31"/>
  <c r="T2175" i="31"/>
  <c r="T2356" i="31"/>
  <c r="T314" i="31"/>
  <c r="T334" i="31"/>
  <c r="T1945" i="31"/>
  <c r="T1739" i="31"/>
  <c r="T398" i="31"/>
  <c r="T536" i="31"/>
  <c r="T1817" i="31"/>
  <c r="T2066" i="31"/>
  <c r="Y305" i="31"/>
  <c r="T2338" i="31"/>
  <c r="T508" i="31"/>
  <c r="T1847" i="31"/>
  <c r="T1466" i="31"/>
  <c r="T2026" i="31"/>
  <c r="T2106" i="31"/>
  <c r="T2138" i="31"/>
  <c r="Y719" i="31"/>
  <c r="T1251" i="31"/>
  <c r="T1994" i="31"/>
  <c r="T2306" i="31"/>
  <c r="T1975" i="31"/>
  <c r="T2090" i="31"/>
  <c r="Y690" i="31"/>
  <c r="Y1675" i="31"/>
  <c r="Y1339" i="31"/>
  <c r="Y1162" i="31"/>
  <c r="Y1565" i="31"/>
  <c r="Y1992" i="31"/>
  <c r="Y504" i="31"/>
  <c r="Y629" i="31"/>
  <c r="Y2131" i="31"/>
  <c r="Y1454" i="31"/>
  <c r="Y928" i="31"/>
  <c r="Y1473" i="31"/>
  <c r="Y1736" i="31"/>
  <c r="Y1145" i="31"/>
  <c r="Y872" i="31"/>
  <c r="Y2289" i="31"/>
  <c r="Y2335" i="31"/>
  <c r="Y2135" i="31"/>
  <c r="Y1044" i="31"/>
  <c r="Y810" i="31"/>
  <c r="Y1156" i="31"/>
  <c r="Y969" i="31"/>
  <c r="Y1278" i="31"/>
  <c r="Y1408" i="31"/>
  <c r="Y832" i="31"/>
  <c r="Y1356" i="31"/>
  <c r="Y1142" i="31"/>
  <c r="Y1000" i="31"/>
  <c r="Y1404" i="31"/>
  <c r="Y1340" i="31"/>
  <c r="Y1246" i="31"/>
  <c r="Y1040" i="31"/>
  <c r="Y1376" i="31"/>
  <c r="Y1038" i="31"/>
  <c r="Y898" i="31"/>
  <c r="Y957" i="31"/>
  <c r="Y1431" i="31"/>
  <c r="Y1138" i="31"/>
  <c r="Y1337" i="31"/>
  <c r="Y851" i="31"/>
  <c r="Y1335" i="31"/>
  <c r="Y1165" i="31"/>
  <c r="Y1102" i="31"/>
  <c r="Y1496" i="31"/>
  <c r="T1036" i="31"/>
  <c r="T1262" i="31"/>
  <c r="T1063" i="31"/>
  <c r="T1762" i="31"/>
  <c r="Y734" i="31"/>
  <c r="Y704" i="31"/>
  <c r="Y302" i="31"/>
  <c r="T1433" i="31"/>
  <c r="T1474" i="31"/>
  <c r="T1828" i="31"/>
  <c r="T2260" i="31"/>
  <c r="T2357" i="31"/>
  <c r="T1886" i="31"/>
  <c r="T2444" i="31"/>
  <c r="T2035" i="31"/>
  <c r="T326" i="31"/>
  <c r="T712" i="31"/>
  <c r="T535" i="31"/>
  <c r="T739" i="31"/>
  <c r="T2288" i="31"/>
  <c r="T945" i="31"/>
  <c r="T1767" i="31"/>
  <c r="T2379" i="31"/>
  <c r="T2459" i="31"/>
  <c r="T517" i="31"/>
  <c r="T1935" i="31"/>
  <c r="T655" i="31"/>
  <c r="T2428" i="31"/>
  <c r="T2318" i="31"/>
  <c r="T2446" i="31"/>
  <c r="T309" i="31"/>
  <c r="T325" i="31"/>
  <c r="T2209" i="31"/>
  <c r="T406" i="31"/>
  <c r="T193" i="31"/>
  <c r="T2482" i="31"/>
  <c r="T1392" i="31"/>
  <c r="T1895" i="31"/>
  <c r="T1651" i="31"/>
  <c r="T1853" i="31"/>
  <c r="T2080" i="31"/>
  <c r="T1914" i="31"/>
  <c r="T319" i="31"/>
  <c r="T2254" i="31"/>
  <c r="T143" i="31"/>
  <c r="T1418" i="31"/>
  <c r="T1930" i="31"/>
  <c r="T379" i="31"/>
  <c r="T2430" i="31"/>
  <c r="T2295" i="31"/>
  <c r="T2079" i="31"/>
  <c r="T1787" i="31"/>
  <c r="T494" i="31"/>
  <c r="T2018" i="31"/>
  <c r="T343" i="31"/>
  <c r="T404" i="31"/>
  <c r="T156" i="31"/>
  <c r="T1450" i="31"/>
  <c r="T1269" i="31"/>
  <c r="T619" i="31"/>
  <c r="T622" i="31"/>
  <c r="T169" i="31"/>
  <c r="T174" i="31"/>
  <c r="T2320" i="31"/>
  <c r="T1786" i="31"/>
  <c r="T1784" i="31"/>
  <c r="T198" i="31"/>
  <c r="T1907" i="31"/>
  <c r="T403" i="31"/>
  <c r="T2099" i="31"/>
  <c r="T594" i="31"/>
  <c r="T1831" i="31"/>
  <c r="T1330" i="31"/>
  <c r="T674" i="31"/>
  <c r="T2258" i="31"/>
  <c r="T500" i="31"/>
  <c r="T147" i="31"/>
  <c r="T1925" i="31"/>
  <c r="T308" i="31"/>
  <c r="T1978" i="31"/>
  <c r="T1822" i="31"/>
  <c r="T727" i="31"/>
  <c r="T2041" i="31"/>
  <c r="T183" i="31"/>
  <c r="T608" i="31"/>
  <c r="T2330" i="31"/>
  <c r="T196" i="31"/>
  <c r="T1885" i="31"/>
  <c r="T307" i="31"/>
  <c r="T2015" i="31"/>
  <c r="T374" i="31"/>
  <c r="T799" i="31"/>
  <c r="T1213" i="31"/>
  <c r="T1760" i="31"/>
  <c r="T436" i="31"/>
  <c r="T165" i="31"/>
  <c r="T2445" i="31"/>
  <c r="T1866" i="31"/>
  <c r="T1656" i="31"/>
  <c r="T350" i="31"/>
  <c r="T1843" i="31"/>
  <c r="T505" i="31"/>
  <c r="T539" i="31"/>
  <c r="T1144" i="31"/>
  <c r="T2218" i="31"/>
  <c r="T2353" i="31"/>
  <c r="T1809" i="31"/>
  <c r="T2414" i="31"/>
  <c r="T2369" i="31"/>
  <c r="T610" i="31"/>
  <c r="T506" i="31"/>
  <c r="T2336" i="31"/>
  <c r="Y993" i="31"/>
  <c r="Y1443" i="31"/>
  <c r="Y1461" i="31"/>
  <c r="Y1674" i="31"/>
  <c r="Y1224" i="31"/>
  <c r="Y1221" i="31"/>
  <c r="Y1293" i="31"/>
  <c r="Y1082" i="31"/>
  <c r="Y1146" i="31"/>
  <c r="Y2073" i="31"/>
  <c r="Y1459" i="31"/>
  <c r="Y834" i="31"/>
  <c r="Y910" i="31"/>
  <c r="Y1500" i="31"/>
  <c r="Y1157" i="31"/>
  <c r="Y2484" i="31"/>
  <c r="Y1369" i="31"/>
  <c r="Y919" i="31"/>
  <c r="Y1573" i="31"/>
  <c r="Y1860" i="31"/>
  <c r="Y1383" i="31"/>
  <c r="Y1377" i="31"/>
  <c r="Y509" i="31"/>
  <c r="Y1519" i="31"/>
  <c r="Y646" i="31"/>
  <c r="Y2273" i="31"/>
  <c r="Y2048" i="31"/>
  <c r="Y1544" i="31"/>
  <c r="Y951" i="31"/>
  <c r="T1040" i="31"/>
  <c r="T898" i="19"/>
  <c r="T898" i="31"/>
  <c r="T1102" i="19"/>
  <c r="T1102" i="31"/>
  <c r="T1389" i="31"/>
  <c r="T830" i="31"/>
  <c r="T1602" i="31"/>
  <c r="T2068" i="31"/>
  <c r="T1538" i="31"/>
  <c r="Y485" i="31"/>
  <c r="T612" i="31"/>
  <c r="T2461" i="31"/>
  <c r="T2460" i="31"/>
  <c r="T2283" i="31"/>
  <c r="T758" i="31"/>
  <c r="T1915" i="31"/>
  <c r="T126" i="31"/>
  <c r="T2156" i="31"/>
  <c r="T349" i="31"/>
  <c r="T2143" i="31"/>
  <c r="T662" i="31"/>
  <c r="T2332" i="31"/>
  <c r="T292" i="31"/>
  <c r="T1806" i="31"/>
  <c r="T496" i="31"/>
  <c r="T2438" i="31"/>
  <c r="T1186" i="31"/>
  <c r="T516" i="31"/>
  <c r="T2176" i="31"/>
  <c r="T1635" i="31"/>
  <c r="T2205" i="31"/>
  <c r="T1911" i="31"/>
  <c r="T2442" i="31"/>
  <c r="T1874" i="31"/>
  <c r="T1644" i="31"/>
  <c r="T2480" i="31"/>
  <c r="T1203" i="31"/>
  <c r="T1839" i="31"/>
  <c r="T202" i="31"/>
  <c r="T755" i="31"/>
  <c r="T750" i="31"/>
  <c r="T1979" i="31"/>
  <c r="T720" i="31"/>
  <c r="T2247" i="31"/>
  <c r="T2100" i="31"/>
  <c r="T175" i="31"/>
  <c r="T1411" i="31"/>
  <c r="T1045" i="31"/>
  <c r="T946" i="31"/>
  <c r="T2334" i="31"/>
  <c r="T2433" i="31"/>
  <c r="T1798" i="31"/>
  <c r="T1854" i="31"/>
  <c r="T2082" i="31"/>
  <c r="T859" i="31"/>
  <c r="T2193" i="31"/>
  <c r="T1901" i="31"/>
  <c r="T2226" i="31"/>
  <c r="T2197" i="31"/>
  <c r="T2017" i="31"/>
  <c r="T1875" i="31"/>
  <c r="T2141" i="31"/>
  <c r="T1630" i="31"/>
  <c r="T2284" i="31"/>
  <c r="T774" i="31"/>
  <c r="T1922" i="31"/>
  <c r="T679" i="31"/>
  <c r="T855" i="31"/>
  <c r="T1783" i="31"/>
  <c r="T2225" i="31"/>
  <c r="T400" i="31"/>
  <c r="T1870" i="31"/>
  <c r="T668" i="31"/>
  <c r="T352" i="31"/>
  <c r="T1257" i="31"/>
  <c r="T1638" i="31"/>
  <c r="T301" i="31"/>
  <c r="T1797" i="31"/>
  <c r="T762" i="31"/>
  <c r="T315" i="31"/>
  <c r="T2447" i="31"/>
  <c r="T1867" i="31"/>
  <c r="T2124" i="31"/>
  <c r="T667" i="31"/>
  <c r="T2042" i="31"/>
  <c r="T179" i="31"/>
  <c r="T1504" i="31"/>
  <c r="T683" i="31"/>
  <c r="T2329" i="31"/>
  <c r="T1830" i="31"/>
  <c r="T656" i="31"/>
  <c r="T337" i="31"/>
  <c r="T2222" i="31"/>
  <c r="T2210" i="31"/>
  <c r="T1871" i="31"/>
  <c r="T267" i="31"/>
  <c r="T298" i="31"/>
  <c r="T1862" i="31"/>
  <c r="T1744" i="31"/>
  <c r="T1801" i="31"/>
  <c r="T540" i="31"/>
  <c r="T2228" i="31"/>
  <c r="T1402" i="31"/>
  <c r="T886" i="31"/>
  <c r="T511" i="31"/>
  <c r="T2006" i="31"/>
  <c r="T1496" i="31"/>
  <c r="T509" i="31"/>
  <c r="T2486" i="31"/>
  <c r="T2408" i="31"/>
  <c r="T1779" i="31"/>
  <c r="Y725" i="31"/>
  <c r="Y2407" i="31"/>
  <c r="Y1006" i="31"/>
  <c r="Y1190" i="31"/>
  <c r="Y1382" i="31"/>
  <c r="Y1972" i="31"/>
  <c r="Y1484" i="31"/>
  <c r="Y1123" i="31"/>
  <c r="Y617" i="31"/>
  <c r="Y519" i="31"/>
  <c r="Y866" i="31"/>
  <c r="Y1761" i="31"/>
  <c r="Y1684" i="31"/>
  <c r="Y1288" i="31"/>
  <c r="Y1455" i="31"/>
  <c r="Y1529" i="31"/>
  <c r="Y944" i="31"/>
  <c r="Y1091" i="31"/>
  <c r="Y965" i="31"/>
  <c r="Y1325" i="31"/>
  <c r="Y278" i="31"/>
  <c r="T1461" i="19"/>
  <c r="T1461" i="31"/>
  <c r="T1674" i="19"/>
  <c r="T1674" i="31"/>
  <c r="T1221" i="31"/>
  <c r="T1863" i="31"/>
  <c r="T1377" i="19"/>
  <c r="T1377" i="31"/>
  <c r="T1519" i="19"/>
  <c r="T1519" i="31"/>
  <c r="T646" i="19"/>
  <c r="T646" i="31"/>
  <c r="T2051" i="31"/>
  <c r="T951" i="31"/>
  <c r="Y1463" i="31"/>
  <c r="Y790" i="31"/>
  <c r="Y2371" i="31"/>
  <c r="Y1214" i="31"/>
  <c r="Y1268" i="31"/>
  <c r="Y1196" i="31"/>
  <c r="Y1531" i="31"/>
  <c r="Y1567" i="31"/>
  <c r="Y1716" i="31"/>
  <c r="Y937" i="31"/>
  <c r="Y1590" i="31"/>
  <c r="Y1254" i="31"/>
  <c r="Y2387" i="31"/>
  <c r="Y1009" i="31"/>
  <c r="Y1781" i="31"/>
  <c r="Y1074" i="31"/>
  <c r="Y918" i="31"/>
  <c r="Y1831" i="31"/>
  <c r="Y909" i="31"/>
  <c r="Y2058" i="31"/>
  <c r="Y2481" i="31"/>
  <c r="Y1182" i="31"/>
  <c r="Y568" i="31"/>
  <c r="Y797" i="31"/>
  <c r="Y1274" i="31"/>
  <c r="Y2419" i="31"/>
  <c r="T2244" i="31"/>
  <c r="T1002" i="31"/>
  <c r="Y716" i="31"/>
  <c r="Y728" i="31"/>
  <c r="Y233" i="31"/>
  <c r="T1068" i="31"/>
  <c r="T1148" i="31"/>
  <c r="T1933" i="31"/>
  <c r="T293" i="31"/>
  <c r="T382" i="31"/>
  <c r="T313" i="31"/>
  <c r="T1946" i="31"/>
  <c r="T1879" i="31"/>
  <c r="T2167" i="31"/>
  <c r="T2047" i="31"/>
  <c r="T941" i="31"/>
  <c r="T368" i="31"/>
  <c r="T773" i="31"/>
  <c r="T258" i="31"/>
  <c r="T1637" i="31"/>
  <c r="T1789" i="31"/>
  <c r="T332" i="31"/>
  <c r="T2348" i="31"/>
  <c r="T732" i="31"/>
  <c r="T738" i="31"/>
  <c r="T605" i="31"/>
  <c r="T1575" i="31"/>
  <c r="T548" i="31"/>
  <c r="T1416" i="31"/>
  <c r="T973" i="31"/>
  <c r="T588" i="31"/>
  <c r="T1931" i="31"/>
  <c r="T363" i="31"/>
  <c r="T367" i="31"/>
  <c r="T2186" i="31"/>
  <c r="T339" i="31"/>
  <c r="T1982" i="31"/>
  <c r="T344" i="31"/>
  <c r="T2248" i="31"/>
  <c r="T405" i="31"/>
  <c r="T1577" i="31"/>
  <c r="T1398" i="31"/>
  <c r="T1277" i="31"/>
  <c r="T170" i="31"/>
  <c r="T263" i="31"/>
  <c r="T1954" i="31"/>
  <c r="T162" i="31"/>
  <c r="T2194" i="31"/>
  <c r="T1821" i="31"/>
  <c r="T595" i="31"/>
  <c r="T2351" i="31"/>
  <c r="T1161" i="31"/>
  <c r="T988" i="31"/>
  <c r="T2094" i="31"/>
  <c r="T501" i="31"/>
  <c r="T262" i="31"/>
  <c r="T280" i="31"/>
  <c r="T1820" i="31"/>
  <c r="T1939" i="31"/>
  <c r="T1610" i="31"/>
  <c r="T2072" i="31"/>
  <c r="T2102" i="31"/>
  <c r="T1639" i="31"/>
  <c r="T897" i="31"/>
  <c r="T2096" i="31"/>
  <c r="T146" i="31"/>
  <c r="T860" i="31"/>
  <c r="T2034" i="31"/>
  <c r="T751" i="31"/>
  <c r="T715" i="31"/>
  <c r="T722" i="31"/>
  <c r="T351" i="31"/>
  <c r="T2265" i="31"/>
  <c r="T2187" i="31"/>
  <c r="T524" i="31"/>
  <c r="T476" i="31"/>
  <c r="T1754" i="31"/>
  <c r="T2033" i="31"/>
  <c r="T2196" i="31"/>
  <c r="T322" i="31"/>
  <c r="T731" i="31"/>
  <c r="T2246" i="31"/>
  <c r="T2376" i="31"/>
  <c r="T1747" i="31"/>
  <c r="T2266" i="31"/>
  <c r="T1840" i="31"/>
  <c r="T1861" i="31"/>
  <c r="T2389" i="31"/>
  <c r="T2049" i="31"/>
  <c r="T2462" i="31"/>
  <c r="T2292" i="31"/>
  <c r="T2424" i="31"/>
  <c r="T677" i="31"/>
  <c r="T2364" i="31"/>
  <c r="T1834" i="31"/>
  <c r="T1549" i="31"/>
  <c r="T2372" i="31"/>
  <c r="T1308" i="31"/>
  <c r="T2007" i="31"/>
  <c r="T1554" i="31"/>
  <c r="T2144" i="31"/>
  <c r="T1362" i="19"/>
  <c r="T1362" i="31"/>
  <c r="Y737" i="31"/>
  <c r="Y1374" i="31"/>
  <c r="Y1023" i="31"/>
  <c r="Y1235" i="31"/>
  <c r="Y844" i="31"/>
  <c r="Y1144" i="31"/>
  <c r="Y1004" i="31"/>
  <c r="Y1033" i="31"/>
  <c r="Y904" i="31"/>
  <c r="Y1298" i="31"/>
  <c r="Y1188" i="31"/>
  <c r="Y532" i="31"/>
  <c r="Y947" i="31"/>
  <c r="Y1310" i="31"/>
  <c r="Y1028" i="31"/>
  <c r="Y1451" i="31"/>
  <c r="Y1197" i="31"/>
  <c r="Y817" i="31"/>
  <c r="Y1341" i="31"/>
  <c r="Y1685" i="31"/>
  <c r="Y2143" i="31"/>
  <c r="Y2413" i="31"/>
  <c r="Y2343" i="31"/>
  <c r="Y1136" i="31"/>
  <c r="Y1251" i="31"/>
  <c r="Y1303" i="31"/>
  <c r="Y2367" i="31"/>
  <c r="Y1130" i="31"/>
  <c r="Y1681" i="31"/>
  <c r="Y2261" i="31"/>
  <c r="Y1263" i="31"/>
  <c r="T2388" i="31"/>
  <c r="T1832" i="31"/>
  <c r="T2061" i="31"/>
  <c r="T568" i="31"/>
  <c r="T797" i="31"/>
  <c r="T2423" i="31"/>
  <c r="T827" i="31"/>
  <c r="T2116" i="31"/>
  <c r="T1105" i="19"/>
  <c r="T1105" i="31"/>
  <c r="T572" i="19"/>
  <c r="T572" i="31"/>
  <c r="T1566" i="19"/>
  <c r="T1566" i="31"/>
  <c r="T1067" i="19"/>
  <c r="T1067" i="31"/>
  <c r="T1228" i="31"/>
  <c r="T1601" i="19"/>
  <c r="T1601" i="31"/>
  <c r="T1624" i="31"/>
  <c r="T1434" i="31"/>
  <c r="Y697" i="31"/>
  <c r="Y710" i="31"/>
  <c r="T1084" i="31"/>
  <c r="T2277" i="31"/>
  <c r="T518" i="31"/>
  <c r="T1813" i="31"/>
  <c r="T1753" i="31"/>
  <c r="T1865" i="31"/>
  <c r="T1981" i="31"/>
  <c r="T1655" i="31"/>
  <c r="T346" i="31"/>
  <c r="T1816" i="31"/>
  <c r="T580" i="31"/>
  <c r="T1107" i="31"/>
  <c r="T2406" i="31"/>
  <c r="T2206" i="31"/>
  <c r="T2081" i="31"/>
  <c r="T278" i="31"/>
  <c r="T320" i="31"/>
  <c r="T1825" i="31"/>
  <c r="T1645" i="31"/>
  <c r="T643" i="31"/>
  <c r="T1386" i="31"/>
  <c r="T1997" i="31"/>
  <c r="T478" i="31"/>
  <c r="T772" i="31"/>
  <c r="T2405" i="31"/>
  <c r="T433" i="31"/>
  <c r="T1793" i="31"/>
  <c r="T331" i="31"/>
  <c r="T277" i="31"/>
  <c r="T2019" i="31"/>
  <c r="T2125" i="31"/>
  <c r="T1824" i="31"/>
  <c r="T2101" i="31"/>
  <c r="T922" i="31"/>
  <c r="T515" i="31"/>
  <c r="T1855" i="31"/>
  <c r="T2321" i="31"/>
  <c r="T1910" i="31"/>
  <c r="T338" i="31"/>
  <c r="T1769" i="31"/>
  <c r="T328" i="31"/>
  <c r="T1905" i="31"/>
  <c r="T357" i="31"/>
  <c r="T2063" i="31"/>
  <c r="T701" i="31"/>
  <c r="T361" i="31"/>
  <c r="T283" i="31"/>
  <c r="T2009" i="31"/>
  <c r="T1909" i="31"/>
  <c r="T482" i="31"/>
  <c r="T2325" i="31"/>
  <c r="T669" i="31"/>
  <c r="T2030" i="31"/>
  <c r="T1193" i="31"/>
  <c r="T1132" i="31"/>
  <c r="T1766" i="31"/>
  <c r="T1796" i="31"/>
  <c r="T173" i="31"/>
  <c r="T2296" i="31"/>
  <c r="T2319" i="31"/>
  <c r="T316" i="31"/>
  <c r="T2192" i="31"/>
  <c r="T1918" i="31"/>
  <c r="T2170" i="31"/>
  <c r="T596" i="31"/>
  <c r="T562" i="31"/>
  <c r="T1357" i="31"/>
  <c r="T1576" i="31"/>
  <c r="T158" i="31"/>
  <c r="T499" i="31"/>
  <c r="T2251" i="31"/>
  <c r="T1657" i="31"/>
  <c r="T1869" i="31"/>
  <c r="T177" i="31"/>
  <c r="T544" i="31"/>
  <c r="T370" i="31"/>
  <c r="T1814" i="31"/>
  <c r="T2386" i="31"/>
  <c r="T744" i="31"/>
  <c r="T1741" i="31"/>
  <c r="T2123" i="31"/>
  <c r="T286" i="31"/>
  <c r="T373" i="31"/>
  <c r="T2128" i="31"/>
  <c r="T563" i="31"/>
  <c r="T1075" i="31"/>
  <c r="T2190" i="31"/>
  <c r="T2262" i="31"/>
  <c r="T2381" i="31"/>
  <c r="T2380" i="31"/>
  <c r="T2290" i="31"/>
  <c r="T1649" i="31"/>
  <c r="T2268" i="31"/>
  <c r="T1750" i="31"/>
  <c r="T1751" i="31"/>
  <c r="T2154" i="31"/>
  <c r="T2152" i="31"/>
  <c r="T2104" i="31"/>
  <c r="T2108" i="31"/>
  <c r="Y1163" i="31"/>
  <c r="Y1286" i="31"/>
  <c r="Y1030" i="31"/>
  <c r="Y927" i="31"/>
  <c r="Y2490" i="31"/>
  <c r="Y1439" i="31"/>
  <c r="Y2215" i="31"/>
  <c r="Y1242" i="31"/>
  <c r="Y1427" i="31"/>
  <c r="Y2063" i="31"/>
  <c r="Y1089" i="31"/>
  <c r="Y943" i="31"/>
  <c r="Y1409" i="31"/>
  <c r="Y1025" i="31"/>
  <c r="Y847" i="31"/>
  <c r="Y1104" i="31"/>
  <c r="Y1080" i="31"/>
  <c r="Y1458" i="31"/>
  <c r="Y871" i="31"/>
  <c r="T1374" i="31"/>
  <c r="T904" i="31"/>
  <c r="T1298" i="31"/>
  <c r="T1188" i="31"/>
  <c r="T947" i="31"/>
  <c r="T1310" i="31"/>
  <c r="T1451" i="31"/>
  <c r="T1197" i="31"/>
  <c r="T1341" i="31"/>
  <c r="T1685" i="31"/>
  <c r="T2418" i="31"/>
  <c r="T2367" i="31"/>
  <c r="T2261" i="31"/>
  <c r="Y2437" i="31"/>
  <c r="Y916" i="31"/>
  <c r="Y1018" i="31"/>
  <c r="Y2473" i="31"/>
  <c r="Y1552" i="31"/>
  <c r="Y682" i="31"/>
  <c r="Y840" i="31"/>
  <c r="Y2151" i="31"/>
  <c r="Y1441" i="31"/>
  <c r="Y970" i="31"/>
  <c r="Y895" i="31"/>
  <c r="Y2088" i="31"/>
  <c r="Y1700" i="31"/>
  <c r="Y1008" i="31"/>
  <c r="Y805" i="31"/>
  <c r="Y1361" i="31"/>
  <c r="Y2239" i="31"/>
  <c r="Y674" i="31"/>
  <c r="Y984" i="31"/>
  <c r="Y1714" i="31"/>
  <c r="Y1100" i="31"/>
  <c r="Y1465" i="31"/>
  <c r="Y2199" i="31"/>
  <c r="Y1272" i="31"/>
  <c r="Y2476" i="31"/>
  <c r="Y903" i="31"/>
  <c r="T1312" i="31"/>
  <c r="T2479" i="31"/>
  <c r="T1046" i="31"/>
  <c r="T1730" i="31"/>
  <c r="T1032" i="19"/>
  <c r="T1032" i="31"/>
  <c r="T549" i="19"/>
  <c r="T549" i="31"/>
  <c r="T2070" i="31"/>
  <c r="Y293" i="31"/>
  <c r="Y746" i="31"/>
  <c r="Y764" i="31"/>
  <c r="Y407" i="31"/>
  <c r="T1070" i="31"/>
  <c r="T2419" i="31"/>
  <c r="T1728" i="31"/>
  <c r="T2328" i="31"/>
  <c r="T657" i="31"/>
  <c r="T2385" i="31"/>
  <c r="T743" i="31"/>
  <c r="T2224" i="31"/>
  <c r="T2208" i="31"/>
  <c r="T355" i="31"/>
  <c r="T144" i="31"/>
  <c r="T1086" i="31"/>
  <c r="T364" i="31"/>
  <c r="T1812" i="31"/>
  <c r="T149" i="31"/>
  <c r="T340" i="31"/>
  <c r="T1771" i="31"/>
  <c r="T2122" i="31"/>
  <c r="T345" i="31"/>
  <c r="T708" i="31"/>
  <c r="T2255" i="31"/>
  <c r="T2287" i="31"/>
  <c r="T1734" i="31"/>
  <c r="T2177" i="31"/>
  <c r="T257" i="31"/>
  <c r="T2297" i="31"/>
  <c r="T745" i="31"/>
  <c r="T1770" i="31"/>
  <c r="T1906" i="31"/>
  <c r="T707" i="31"/>
  <c r="T1938" i="31"/>
  <c r="T688" i="31"/>
  <c r="T2127" i="31"/>
  <c r="T633" i="31"/>
  <c r="T1999" i="31"/>
  <c r="T427" i="31"/>
  <c r="T1636" i="31"/>
  <c r="T1927" i="31"/>
  <c r="T295" i="31"/>
  <c r="T2451" i="31"/>
  <c r="T724" i="31"/>
  <c r="T2378" i="31"/>
  <c r="T1212" i="31"/>
  <c r="T1302" i="31"/>
  <c r="T1882" i="31"/>
  <c r="T2294" i="31"/>
  <c r="T1926" i="31"/>
  <c r="T2055" i="31"/>
  <c r="T274" i="31"/>
  <c r="T2148" i="31"/>
  <c r="T2450" i="31"/>
  <c r="T91" i="31"/>
  <c r="T2043" i="31"/>
  <c r="T155" i="31"/>
  <c r="T1244" i="31"/>
  <c r="T159" i="31"/>
  <c r="T430" i="31"/>
  <c r="T861" i="31"/>
  <c r="T153" i="31"/>
  <c r="T1903" i="31"/>
  <c r="T2013" i="31"/>
  <c r="T269" i="31"/>
  <c r="T2029" i="31"/>
  <c r="T178" i="31"/>
  <c r="T2282" i="31"/>
  <c r="T1756" i="31"/>
  <c r="T264" i="31"/>
  <c r="T152" i="31"/>
  <c r="T2223" i="31"/>
  <c r="T1738" i="31"/>
  <c r="T1748" i="31"/>
  <c r="T171" i="31"/>
  <c r="T1026" i="31"/>
  <c r="T2457" i="31"/>
  <c r="T2184" i="31"/>
  <c r="T1887" i="31"/>
  <c r="T2056" i="31"/>
  <c r="T127" i="31"/>
  <c r="T2350" i="31"/>
  <c r="T2045" i="31"/>
  <c r="T167" i="31"/>
  <c r="T2341" i="31"/>
  <c r="T2178" i="31"/>
  <c r="T2092" i="31"/>
  <c r="T2365" i="31"/>
  <c r="T1845" i="31"/>
  <c r="T543" i="31"/>
  <c r="T2374" i="31"/>
  <c r="T2410" i="31"/>
  <c r="T2416" i="31"/>
  <c r="T2276" i="31"/>
  <c r="T2274" i="31"/>
  <c r="T2062" i="31"/>
  <c r="T1166" i="19"/>
  <c r="T1166" i="31"/>
  <c r="T1479" i="31"/>
  <c r="T1488" i="31"/>
  <c r="T1037" i="31"/>
  <c r="T609" i="31"/>
  <c r="T1777" i="31"/>
  <c r="T2217" i="31"/>
  <c r="T2064" i="31"/>
  <c r="Y2227" i="31"/>
  <c r="Y1034" i="31"/>
  <c r="Y575" i="31"/>
  <c r="Y1292" i="31"/>
  <c r="Y1619" i="31"/>
  <c r="Y1346" i="31"/>
  <c r="Y1579" i="31"/>
  <c r="Y1426" i="31"/>
  <c r="Y1225" i="31"/>
  <c r="Y585" i="31"/>
  <c r="Y1420" i="31"/>
  <c r="Y1282" i="31"/>
  <c r="Y1249" i="31"/>
  <c r="Y1279" i="31"/>
  <c r="Y1304" i="31"/>
  <c r="Y1410" i="31"/>
  <c r="Y1646" i="31"/>
  <c r="Y891" i="31"/>
  <c r="Y2265" i="31"/>
  <c r="Y1412" i="31"/>
  <c r="Y1114" i="31"/>
  <c r="Y995" i="31"/>
  <c r="Y1526" i="31"/>
  <c r="Y1167" i="31"/>
  <c r="Y1375" i="31"/>
  <c r="Y1605" i="31"/>
  <c r="Y1103" i="31"/>
  <c r="Y1266" i="31"/>
  <c r="T676" i="31"/>
  <c r="T2120" i="31"/>
  <c r="T2240" i="31"/>
  <c r="Y752" i="31"/>
  <c r="Y335" i="31"/>
  <c r="Y265" i="31"/>
  <c r="T1482" i="31"/>
  <c r="T1711" i="31"/>
  <c r="T2333" i="31"/>
  <c r="T2174" i="31"/>
  <c r="T2429" i="31"/>
  <c r="T2213" i="31"/>
  <c r="T310" i="31"/>
  <c r="T730" i="31"/>
  <c r="T703" i="31"/>
  <c r="T606" i="31"/>
  <c r="T1271" i="31"/>
  <c r="T1236" i="31"/>
  <c r="T1860" i="31"/>
  <c r="T181" i="31"/>
  <c r="T1998" i="31"/>
  <c r="T757" i="31"/>
  <c r="T434" i="31"/>
  <c r="T2212" i="31"/>
  <c r="T1913" i="31"/>
  <c r="T125" i="31"/>
  <c r="T1983" i="31"/>
  <c r="T376" i="31"/>
  <c r="T556" i="31"/>
  <c r="T1883" i="31"/>
  <c r="T2426" i="31"/>
  <c r="T1955" i="31"/>
  <c r="T484" i="31"/>
  <c r="T2241" i="31"/>
  <c r="T576" i="31"/>
  <c r="T2434" i="31"/>
  <c r="T502" i="31"/>
  <c r="T2252" i="31"/>
  <c r="T275" i="31"/>
  <c r="T2198" i="31"/>
  <c r="T397" i="31"/>
  <c r="T1937" i="31"/>
  <c r="T1899" i="31"/>
  <c r="T289" i="31"/>
  <c r="T1300" i="31"/>
  <c r="T1456" i="31"/>
  <c r="T565" i="31"/>
  <c r="T1424" i="31"/>
  <c r="T2259" i="31"/>
  <c r="T1923" i="31"/>
  <c r="T2384" i="31"/>
  <c r="T161" i="31"/>
  <c r="T2250" i="31"/>
  <c r="T1919" i="31"/>
  <c r="T401" i="31"/>
  <c r="T2243" i="31"/>
  <c r="T2158" i="31"/>
  <c r="T1670" i="31"/>
  <c r="T1329" i="31"/>
  <c r="T686" i="31"/>
  <c r="T2432" i="31"/>
  <c r="T1661" i="31"/>
  <c r="T2150" i="31"/>
  <c r="T1836" i="31"/>
  <c r="T718" i="31"/>
  <c r="T2157" i="31"/>
  <c r="T2140" i="31"/>
  <c r="T30" i="31"/>
  <c r="T1135" i="31"/>
  <c r="T620" i="31"/>
  <c r="T2436" i="31"/>
  <c r="T1921" i="31"/>
  <c r="T2057" i="31"/>
  <c r="T399" i="31"/>
  <c r="T726" i="31"/>
  <c r="T1703" i="31"/>
  <c r="T591" i="31"/>
  <c r="T195" i="31"/>
  <c r="T760" i="31"/>
  <c r="T2214" i="31"/>
  <c r="T2360" i="31"/>
  <c r="T327" i="31"/>
  <c r="T714" i="31"/>
  <c r="T2168" i="31"/>
  <c r="T604" i="31"/>
  <c r="T1841" i="31"/>
  <c r="T2182" i="31"/>
  <c r="T2421" i="31"/>
  <c r="T2050" i="31"/>
  <c r="T2220" i="31"/>
  <c r="T507" i="31"/>
  <c r="T1891" i="31"/>
  <c r="T1833" i="31"/>
  <c r="T1745" i="31"/>
  <c r="T2202" i="31"/>
  <c r="T1478" i="31"/>
  <c r="T513" i="31"/>
  <c r="T1252" i="31"/>
  <c r="T2105" i="31"/>
  <c r="T2345" i="31"/>
  <c r="T2136" i="31"/>
  <c r="T2060" i="31"/>
  <c r="T2059" i="31"/>
  <c r="T828" i="31"/>
  <c r="T2272" i="31"/>
  <c r="T1274" i="31"/>
  <c r="T2305" i="31"/>
  <c r="Y1479" i="31"/>
  <c r="Y1289" i="31"/>
  <c r="Y1231" i="31"/>
  <c r="Y900" i="31"/>
  <c r="Y1024" i="31"/>
  <c r="Y1311" i="31"/>
  <c r="Y1402" i="31"/>
  <c r="Y1600" i="31"/>
  <c r="Y1440" i="31"/>
  <c r="Y1839" i="31"/>
  <c r="Y1200" i="31"/>
  <c r="Y1349" i="31"/>
  <c r="Y978" i="31"/>
  <c r="Y1187" i="31"/>
  <c r="Y1393" i="31"/>
  <c r="Y1713" i="31"/>
  <c r="Y1208" i="31"/>
  <c r="Y583" i="31"/>
  <c r="Y2496" i="31"/>
  <c r="Y2461" i="31"/>
  <c r="T1034" i="31"/>
  <c r="T575" i="31"/>
  <c r="T1292" i="31"/>
  <c r="T1619" i="31"/>
  <c r="T1346" i="31"/>
  <c r="T1579" i="31"/>
  <c r="T1225" i="31"/>
  <c r="T585" i="31"/>
  <c r="T1420" i="31"/>
  <c r="T1282" i="31"/>
  <c r="T1279" i="31"/>
  <c r="T1410" i="31"/>
  <c r="T891" i="31"/>
  <c r="T1412" i="31"/>
  <c r="T1114" i="31"/>
  <c r="T995" i="31"/>
  <c r="T1167" i="31"/>
  <c r="T1605" i="31"/>
  <c r="Y2103" i="31"/>
  <c r="Y901" i="31"/>
  <c r="Y1513" i="31"/>
  <c r="Y831" i="31"/>
  <c r="Y1464" i="31"/>
  <c r="Y1350" i="31"/>
  <c r="Y2351" i="31"/>
  <c r="Y663" i="31"/>
  <c r="Y521" i="31"/>
  <c r="Y996" i="31"/>
  <c r="Y1609" i="31"/>
  <c r="Y2024" i="31"/>
  <c r="Y1614" i="31"/>
  <c r="Y1139" i="31"/>
  <c r="Y1205" i="31"/>
  <c r="Y950" i="31"/>
  <c r="Y1210" i="31"/>
  <c r="Y1585" i="31"/>
  <c r="Y2363" i="31"/>
  <c r="Y1844" i="31"/>
  <c r="Y1219" i="31"/>
  <c r="Y2036" i="31"/>
  <c r="Y942" i="31"/>
  <c r="Y1261" i="31"/>
  <c r="Y1176" i="31"/>
  <c r="Y1276" i="31"/>
  <c r="T581" i="19"/>
  <c r="T581" i="31"/>
  <c r="T1724" i="31"/>
  <c r="T1280" i="31"/>
  <c r="T1117" i="31"/>
  <c r="T1171" i="31"/>
  <c r="T1805" i="31"/>
  <c r="Y359" i="31"/>
  <c r="Y740" i="31"/>
  <c r="Y270" i="31"/>
  <c r="Y290" i="31"/>
  <c r="T826" i="31"/>
  <c r="T530" i="31"/>
  <c r="T1150" i="31"/>
  <c r="T527" i="31"/>
  <c r="T369" i="31"/>
  <c r="T1653" i="31"/>
  <c r="T761" i="31"/>
  <c r="T2439" i="31"/>
  <c r="T321" i="31"/>
  <c r="T1826" i="31"/>
  <c r="T2256" i="31"/>
  <c r="T2493" i="31"/>
  <c r="T1829" i="31"/>
  <c r="T2172" i="31"/>
  <c r="T381" i="31"/>
  <c r="T273" i="31"/>
  <c r="T2453" i="31"/>
  <c r="T2326" i="31"/>
  <c r="T2242" i="31"/>
  <c r="T2046" i="31"/>
  <c r="T2483" i="31"/>
  <c r="T1328" i="31"/>
  <c r="T639" i="31"/>
  <c r="T2456" i="31"/>
  <c r="T2435" i="31"/>
  <c r="T756" i="31"/>
  <c r="T1790" i="31"/>
  <c r="T272" i="31"/>
  <c r="T358" i="31"/>
  <c r="T1702" i="31"/>
  <c r="T362" i="31"/>
  <c r="T1881" i="31"/>
  <c r="T2095" i="31"/>
  <c r="T2404" i="31"/>
  <c r="T742" i="31"/>
  <c r="T1902" i="31"/>
  <c r="T2149" i="31"/>
  <c r="T1917" i="31"/>
  <c r="T483" i="31"/>
  <c r="T1873" i="31"/>
  <c r="T1929" i="31"/>
  <c r="T2427" i="31"/>
  <c r="T1953" i="31"/>
  <c r="T857" i="31"/>
  <c r="T749" i="31"/>
  <c r="T1898" i="31"/>
  <c r="T1757" i="31"/>
  <c r="T2097" i="31"/>
  <c r="T763" i="31"/>
  <c r="T2448" i="31"/>
  <c r="T2362" i="31"/>
  <c r="T199" i="31"/>
  <c r="T2002" i="31"/>
  <c r="T1204" i="31"/>
  <c r="T1743" i="31"/>
  <c r="T2458" i="31"/>
  <c r="T2358" i="31"/>
  <c r="T166" i="31"/>
  <c r="T2361" i="31"/>
  <c r="T2001" i="31"/>
  <c r="T268" i="31"/>
  <c r="T1120" i="31"/>
  <c r="T2339" i="31"/>
  <c r="T754" i="31"/>
  <c r="T493" i="31"/>
  <c r="T2003" i="31"/>
  <c r="T2014" i="31"/>
  <c r="T356" i="31"/>
  <c r="T2180" i="31"/>
  <c r="T2091" i="31"/>
  <c r="T2382" i="31"/>
  <c r="T1055" i="31"/>
  <c r="T1889" i="31"/>
  <c r="T634" i="31"/>
  <c r="T2005" i="31"/>
  <c r="T2346" i="31"/>
  <c r="T2036" i="31"/>
  <c r="T1512" i="19"/>
  <c r="T1512" i="31"/>
  <c r="Y713" i="31"/>
  <c r="T2162" i="31"/>
  <c r="T2160" i="31"/>
  <c r="T1472" i="19"/>
  <c r="T1472" i="31"/>
  <c r="T2370" i="31"/>
  <c r="T2134" i="31"/>
  <c r="T1974" i="31"/>
  <c r="T2310" i="31"/>
  <c r="T1231" i="31"/>
  <c r="T900" i="31"/>
  <c r="T1600" i="31"/>
  <c r="T1440" i="31"/>
  <c r="T1842" i="31"/>
  <c r="T1200" i="31"/>
  <c r="T1187" i="31"/>
  <c r="T1393" i="31"/>
  <c r="T583" i="31"/>
  <c r="T2496" i="31"/>
  <c r="Y1184" i="31"/>
  <c r="Y1560" i="31"/>
  <c r="Y1095" i="31"/>
  <c r="Y1425" i="31"/>
  <c r="Y1583" i="31"/>
  <c r="Y1247" i="31"/>
  <c r="Y1715" i="31"/>
  <c r="Y1678" i="31"/>
  <c r="Y1394" i="31"/>
  <c r="Y1669" i="31"/>
  <c r="Y553" i="31"/>
  <c r="Y1273" i="31"/>
  <c r="Y1245" i="31"/>
  <c r="Y1189" i="31"/>
  <c r="Y998" i="31"/>
  <c r="Y1494" i="31"/>
  <c r="Y934" i="31"/>
  <c r="Y1306" i="31"/>
  <c r="Y1516" i="31"/>
  <c r="Y2277" i="31"/>
  <c r="Y1548" i="31"/>
  <c r="Y1399" i="31"/>
  <c r="Y1155" i="31"/>
  <c r="Y933" i="31"/>
  <c r="Y538" i="31"/>
  <c r="Y979" i="31"/>
  <c r="Y550" i="31"/>
  <c r="Y1581" i="31"/>
  <c r="Y1888" i="31"/>
  <c r="Y701" i="31"/>
  <c r="T901" i="19"/>
  <c r="T901" i="31"/>
  <c r="T831" i="19"/>
  <c r="T831" i="31"/>
  <c r="T2025" i="31"/>
  <c r="T950" i="31"/>
  <c r="T1210" i="31"/>
  <c r="T1585" i="31"/>
  <c r="T2363" i="31"/>
  <c r="T1844" i="31"/>
  <c r="T1219" i="31"/>
  <c r="T2039" i="31"/>
  <c r="T2117" i="31"/>
  <c r="T1177" i="19"/>
  <c r="T1177" i="31"/>
  <c r="T1097" i="31"/>
  <c r="Q2117" i="1"/>
  <c r="Q2244" i="1"/>
  <c r="R2244" i="1"/>
  <c r="T1538" i="19"/>
  <c r="S2271" i="1"/>
  <c r="T951" i="19"/>
  <c r="Q2051" i="1"/>
  <c r="R2051" i="1"/>
  <c r="T1724" i="19"/>
  <c r="T1200" i="19"/>
  <c r="T1579" i="19"/>
  <c r="T1420" i="19"/>
  <c r="R2307" i="1"/>
  <c r="S2307" i="1"/>
  <c r="R2267" i="1"/>
  <c r="T1225" i="19"/>
  <c r="S2267" i="1"/>
  <c r="T1114" i="19"/>
  <c r="W699" i="1"/>
  <c r="Q2116" i="1"/>
  <c r="R2116" i="1"/>
  <c r="Q2070" i="1"/>
  <c r="R2070" i="1"/>
  <c r="T1488" i="19"/>
  <c r="T1046" i="19"/>
  <c r="T1312" i="19"/>
  <c r="T1624" i="19"/>
  <c r="T2261" i="19"/>
  <c r="T1451" i="19"/>
  <c r="Q2440" i="1"/>
  <c r="T1310" i="19"/>
  <c r="S2440" i="1"/>
  <c r="T1685" i="19"/>
  <c r="T1298" i="19"/>
  <c r="Q2418" i="1"/>
  <c r="R2418" i="1"/>
  <c r="T1228" i="19"/>
  <c r="R2466" i="1"/>
  <c r="T891" i="19"/>
  <c r="Q2272" i="1"/>
  <c r="T1034" i="19"/>
  <c r="T1605" i="19"/>
  <c r="T1292" i="19"/>
  <c r="R2272" i="1"/>
  <c r="T1410" i="19"/>
  <c r="T995" i="19"/>
  <c r="T585" i="19"/>
  <c r="T1346" i="19"/>
  <c r="T828" i="19"/>
  <c r="R2133" i="1"/>
  <c r="S2133" i="1"/>
  <c r="T2133" i="19" s="1"/>
  <c r="T1412" i="19"/>
  <c r="T1167" i="19"/>
  <c r="T1279" i="19"/>
  <c r="T1389" i="19"/>
  <c r="T1602" i="19"/>
  <c r="R609" i="1"/>
  <c r="T1479" i="19"/>
  <c r="Q1777" i="1"/>
  <c r="T2068" i="19"/>
  <c r="S2308" i="1"/>
  <c r="T1037" i="19"/>
  <c r="R1777" i="1"/>
  <c r="Q2062" i="1"/>
  <c r="T830" i="19"/>
  <c r="Q609" i="1"/>
  <c r="Q2308" i="1"/>
  <c r="R1805" i="1"/>
  <c r="S2118" i="1"/>
  <c r="S1778" i="1"/>
  <c r="T1585" i="19"/>
  <c r="T900" i="19"/>
  <c r="S2466" i="1"/>
  <c r="T950" i="19"/>
  <c r="T1219" i="19"/>
  <c r="T1187" i="19"/>
  <c r="Q2423" i="1"/>
  <c r="T1440" i="19"/>
  <c r="T1393" i="19"/>
  <c r="R2423" i="1"/>
  <c r="T1600" i="19"/>
  <c r="T568" i="19"/>
  <c r="Q1842" i="1"/>
  <c r="T797" i="19"/>
  <c r="T1844" i="19"/>
  <c r="R2069" i="1"/>
  <c r="T827" i="19"/>
  <c r="T1210" i="19"/>
  <c r="Q2309" i="1"/>
  <c r="R1842" i="1"/>
  <c r="S2069" i="1"/>
  <c r="Q2025" i="1"/>
  <c r="T2496" i="19"/>
  <c r="Q2352" i="1"/>
  <c r="T1231" i="19"/>
  <c r="T583" i="19"/>
  <c r="T1171" i="19"/>
  <c r="T1280" i="19"/>
  <c r="T2407" i="19"/>
  <c r="T866" i="19"/>
  <c r="T1761" i="19"/>
  <c r="T1455" i="19"/>
  <c r="T1529" i="19"/>
  <c r="T1325" i="19"/>
  <c r="T909" i="19"/>
  <c r="T851" i="19"/>
  <c r="T1176" i="19"/>
  <c r="T1276" i="19"/>
  <c r="T1499" i="19"/>
  <c r="T1511" i="19"/>
  <c r="T975" i="19"/>
  <c r="T925" i="19"/>
  <c r="T1534" i="19"/>
  <c r="T2437" i="19"/>
  <c r="T970" i="19"/>
  <c r="T1700" i="19"/>
  <c r="T805" i="19"/>
  <c r="T1100" i="19"/>
  <c r="T521" i="19"/>
  <c r="T1205" i="19"/>
  <c r="T1216" i="19"/>
  <c r="T1426" i="19"/>
  <c r="T566" i="19"/>
  <c r="T690" i="19"/>
  <c r="T2289" i="19"/>
  <c r="T1408" i="19"/>
  <c r="T832" i="19"/>
  <c r="T1404" i="19"/>
  <c r="T1246" i="19"/>
  <c r="T1382" i="19"/>
  <c r="T1684" i="19"/>
  <c r="T1288" i="19"/>
  <c r="T965" i="19"/>
  <c r="T937" i="19"/>
  <c r="Q1832" i="1"/>
  <c r="T1006" i="19"/>
  <c r="T1484" i="19"/>
  <c r="Q2388" i="1"/>
  <c r="T1214" i="19"/>
  <c r="R2120" i="1"/>
  <c r="T1372" i="19"/>
  <c r="T1251" i="19"/>
  <c r="T1040" i="19"/>
  <c r="T1142" i="19"/>
  <c r="T1992" i="19"/>
  <c r="T1138" i="19"/>
  <c r="T1356" i="19"/>
  <c r="R2039" i="1"/>
  <c r="T1156" i="19"/>
  <c r="T1431" i="19"/>
  <c r="Q506" i="1"/>
  <c r="T1038" i="19"/>
  <c r="T1162" i="19"/>
  <c r="S2309" i="1"/>
  <c r="S1973" i="1"/>
  <c r="S2279" i="1"/>
  <c r="Q2120" i="1"/>
  <c r="R2038" i="1"/>
  <c r="T1669" i="19"/>
  <c r="R2370" i="1"/>
  <c r="T979" i="19"/>
  <c r="Q2240" i="1"/>
  <c r="T1348" i="19"/>
  <c r="T553" i="19"/>
  <c r="R2240" i="1"/>
  <c r="T1184" i="19"/>
  <c r="T1678" i="19"/>
  <c r="T1425" i="19"/>
  <c r="T2269" i="19"/>
  <c r="Q2162" i="1"/>
  <c r="T986" i="19"/>
  <c r="Q1973" i="1"/>
  <c r="T1095" i="19"/>
  <c r="Q2279" i="1"/>
  <c r="T1560" i="19"/>
  <c r="W323" i="1"/>
  <c r="T1430" i="19"/>
  <c r="T1465" i="19"/>
  <c r="T1378" i="19"/>
  <c r="T1559" i="19"/>
  <c r="T1714" i="19"/>
  <c r="T2471" i="19"/>
  <c r="T1335" i="19"/>
  <c r="T586" i="19"/>
  <c r="T1221" i="19"/>
  <c r="T1776" i="19"/>
  <c r="T1399" i="19"/>
  <c r="T582" i="19"/>
  <c r="T1548" i="19"/>
  <c r="R2411" i="1"/>
  <c r="Q2370" i="1"/>
  <c r="T564" i="19"/>
  <c r="T1273" i="19"/>
  <c r="T1578" i="19"/>
  <c r="T934" i="19"/>
  <c r="R2162" i="1"/>
  <c r="R1995" i="1"/>
  <c r="Q2160" i="1"/>
  <c r="S512" i="1"/>
  <c r="Q2134" i="1"/>
  <c r="Q1974" i="1"/>
  <c r="S1995" i="1"/>
  <c r="T1125" i="19"/>
  <c r="R2160" i="1"/>
  <c r="Q512" i="1"/>
  <c r="R2134" i="1"/>
  <c r="R1974" i="1"/>
  <c r="T579" i="19"/>
  <c r="T1253" i="19"/>
  <c r="T2131" i="19"/>
  <c r="T1507" i="19"/>
  <c r="T1340" i="19"/>
  <c r="T969" i="19"/>
  <c r="T1376" i="19"/>
  <c r="T1072" i="19"/>
  <c r="R2089" i="1"/>
  <c r="T1036" i="19"/>
  <c r="T1262" i="19"/>
  <c r="T2449" i="19"/>
  <c r="T1030" i="19"/>
  <c r="T1480" i="19"/>
  <c r="R1832" i="1"/>
  <c r="S2089" i="1"/>
  <c r="T1439" i="19"/>
  <c r="T927" i="19"/>
  <c r="T2115" i="19"/>
  <c r="T1441" i="19"/>
  <c r="T918" i="19"/>
  <c r="T1074" i="19"/>
  <c r="T1261" i="19"/>
  <c r="T2481" i="19"/>
  <c r="T1317" i="19"/>
  <c r="T943" i="19"/>
  <c r="T1401" i="19"/>
  <c r="Q2061" i="1"/>
  <c r="R2061" i="1"/>
  <c r="Q2217" i="1"/>
  <c r="T2490" i="19"/>
  <c r="T895" i="19"/>
  <c r="T1565" i="19"/>
  <c r="R2074" i="1"/>
  <c r="S2074" i="1"/>
  <c r="S2344" i="1"/>
  <c r="Q2310" i="1"/>
  <c r="R2310" i="1"/>
  <c r="T1594" i="19"/>
  <c r="Q2039" i="1"/>
  <c r="S2132" i="1"/>
  <c r="T1712" i="19"/>
  <c r="T1447" i="19"/>
  <c r="T1590" i="19"/>
  <c r="T903" i="19"/>
  <c r="R2388" i="1"/>
  <c r="T1337" i="19"/>
  <c r="R2217" i="1"/>
  <c r="T1463" i="19"/>
  <c r="T1272" i="19"/>
  <c r="T1268" i="19"/>
  <c r="T1163" i="19"/>
  <c r="T1427" i="19"/>
  <c r="T1196" i="19"/>
  <c r="T942" i="19"/>
  <c r="Q2064" i="1"/>
  <c r="T1104" i="19"/>
  <c r="T1089" i="19"/>
  <c r="Q2132" i="1"/>
  <c r="T1286" i="19"/>
  <c r="T1487" i="19"/>
  <c r="R2064" i="1"/>
  <c r="T1567" i="19"/>
  <c r="T847" i="19"/>
  <c r="T1254" i="19"/>
  <c r="T1409" i="19"/>
  <c r="T1145" i="19"/>
  <c r="W383" i="1"/>
  <c r="R1802" i="1"/>
  <c r="R2280" i="1"/>
  <c r="Q2336" i="1"/>
  <c r="Q676" i="1"/>
  <c r="T2103" i="19"/>
  <c r="Q2090" i="1"/>
  <c r="T1614" i="19"/>
  <c r="R2336" i="1"/>
  <c r="R676" i="1"/>
  <c r="R2090" i="1"/>
  <c r="T663" i="19"/>
  <c r="T1165" i="19"/>
  <c r="T1350" i="19"/>
  <c r="R2025" i="1"/>
  <c r="R506" i="1"/>
  <c r="T872" i="19"/>
  <c r="T815" i="19"/>
  <c r="S2417" i="1"/>
  <c r="T1023" i="19"/>
  <c r="T1235" i="19"/>
  <c r="T1293" i="19"/>
  <c r="T1146" i="19"/>
  <c r="T1500" i="19"/>
  <c r="T1155" i="19"/>
  <c r="T1581" i="19"/>
  <c r="T2024" i="19"/>
  <c r="T1552" i="19"/>
  <c r="T1531" i="19"/>
  <c r="T1406" i="19"/>
  <c r="T1136" i="19"/>
  <c r="T1509" i="19"/>
  <c r="T2343" i="19"/>
  <c r="T1230" i="19"/>
  <c r="T1736" i="19"/>
  <c r="T1732" i="19"/>
  <c r="T2135" i="19"/>
  <c r="T1127" i="19"/>
  <c r="T1044" i="19"/>
  <c r="T660" i="19"/>
  <c r="T1173" i="19"/>
  <c r="T2473" i="19"/>
  <c r="T2492" i="19"/>
  <c r="T993" i="19"/>
  <c r="T1016" i="19"/>
  <c r="T2273" i="19"/>
  <c r="T1258" i="19"/>
  <c r="T1454" i="19"/>
  <c r="T1374" i="19"/>
  <c r="T1667" i="19"/>
  <c r="Q1863" i="1"/>
  <c r="T1004" i="19"/>
  <c r="R1863" i="1"/>
  <c r="T910" i="19"/>
  <c r="T1033" i="19"/>
  <c r="T638" i="19"/>
  <c r="T1573" i="19"/>
  <c r="T844" i="19"/>
  <c r="T834" i="19"/>
  <c r="T2004" i="19"/>
  <c r="T933" i="19"/>
  <c r="T550" i="19"/>
  <c r="T1528" i="19"/>
  <c r="T1082" i="19"/>
  <c r="T1888" i="19"/>
  <c r="T1459" i="19"/>
  <c r="R329" i="1"/>
  <c r="W329" i="1"/>
  <c r="S341" i="1"/>
  <c r="W341" i="1"/>
  <c r="V401" i="1"/>
  <c r="W401" i="1" s="1"/>
  <c r="V353" i="1"/>
  <c r="W353" i="1" s="1"/>
  <c r="S706" i="1"/>
  <c r="W706" i="1"/>
  <c r="S311" i="1"/>
  <c r="W311" i="1"/>
  <c r="Q479" i="1"/>
  <c r="W479" i="1"/>
  <c r="R365" i="1"/>
  <c r="W365" i="1"/>
  <c r="Q317" i="1"/>
  <c r="W317" i="1"/>
  <c r="V497" i="1"/>
  <c r="W497" i="1" s="1"/>
  <c r="R299" i="1"/>
  <c r="W299" i="1"/>
  <c r="S296" i="1"/>
  <c r="W296" i="1"/>
  <c r="R776" i="1"/>
  <c r="W776" i="1"/>
  <c r="R347" i="1"/>
  <c r="W347" i="1"/>
  <c r="Q287" i="1"/>
  <c r="W287" i="1"/>
  <c r="Q377" i="1"/>
  <c r="W377" i="1"/>
  <c r="Q431" i="1"/>
  <c r="W431" i="1"/>
  <c r="Q371" i="1"/>
  <c r="W371" i="1"/>
  <c r="R260" i="1"/>
  <c r="W260" i="1"/>
  <c r="R503" i="1"/>
  <c r="W503" i="1"/>
  <c r="S284" i="1"/>
  <c r="W284" i="1"/>
  <c r="Q437" i="1"/>
  <c r="W437" i="1"/>
  <c r="S497" i="1"/>
  <c r="S353" i="1"/>
  <c r="S737" i="1"/>
  <c r="R737" i="1"/>
  <c r="Q737" i="1"/>
  <c r="T1492" i="19"/>
  <c r="S2280" i="1"/>
  <c r="R1648" i="1"/>
  <c r="T649" i="19"/>
  <c r="S1802" i="1"/>
  <c r="T1485" i="19"/>
  <c r="S2164" i="1"/>
  <c r="Q2007" i="1"/>
  <c r="T1128" i="19"/>
  <c r="T1190" i="19"/>
  <c r="R2007" i="1"/>
  <c r="Q1779" i="1"/>
  <c r="Y545" i="19"/>
  <c r="T1018" i="19"/>
  <c r="T1370" i="19"/>
  <c r="T1093" i="19"/>
  <c r="R1779" i="1"/>
  <c r="T1334" i="19"/>
  <c r="S2412" i="1"/>
  <c r="Q2276" i="1"/>
  <c r="T1065" i="19"/>
  <c r="Q2409" i="1"/>
  <c r="R2276" i="1"/>
  <c r="Y539" i="19"/>
  <c r="Y729" i="19"/>
  <c r="S725" i="1"/>
  <c r="R725" i="1"/>
  <c r="Q725" i="1"/>
  <c r="T551" i="19"/>
  <c r="T1774" i="19"/>
  <c r="T1194" i="19"/>
  <c r="T1208" i="19"/>
  <c r="T1518" i="19"/>
  <c r="T1486" i="19"/>
  <c r="T1547" i="19"/>
  <c r="T1586" i="19"/>
  <c r="T1421" i="19"/>
  <c r="T1515" i="19"/>
  <c r="R1800" i="1"/>
  <c r="S1800" i="1"/>
  <c r="Q1891" i="1"/>
  <c r="R1891" i="1"/>
  <c r="Q2344" i="1"/>
  <c r="R2415" i="1"/>
  <c r="Q2105" i="1"/>
  <c r="R2463" i="1"/>
  <c r="Q2154" i="1"/>
  <c r="Q2202" i="1"/>
  <c r="R2154" i="1"/>
  <c r="T1306" i="19"/>
  <c r="T1157" i="19"/>
  <c r="Q2372" i="1"/>
  <c r="T949" i="19"/>
  <c r="R2372" i="1"/>
  <c r="Q2108" i="1"/>
  <c r="Q2292" i="1"/>
  <c r="Q677" i="1"/>
  <c r="Q610" i="1"/>
  <c r="T631" i="19"/>
  <c r="T2227" i="19"/>
  <c r="R677" i="1"/>
  <c r="S611" i="1"/>
  <c r="R610" i="1"/>
  <c r="R2390" i="1"/>
  <c r="T1972" i="19"/>
  <c r="T1622" i="19"/>
  <c r="T1059" i="19"/>
  <c r="Q2271" i="1"/>
  <c r="Q611" i="1"/>
  <c r="T1108" i="19"/>
  <c r="S1993" i="1"/>
  <c r="T928" i="19"/>
  <c r="T817" i="19"/>
  <c r="T1224" i="19"/>
  <c r="T1043" i="19"/>
  <c r="T1483" i="19"/>
  <c r="S2409" i="1"/>
  <c r="S2038" i="1"/>
  <c r="Q2417" i="1"/>
  <c r="Y1110" i="19"/>
  <c r="T1588" i="19"/>
  <c r="Q1975" i="1"/>
  <c r="Q2369" i="1"/>
  <c r="Q2306" i="1"/>
  <c r="T1284" i="19"/>
  <c r="T1422" i="19"/>
  <c r="R1975" i="1"/>
  <c r="R2369" i="1"/>
  <c r="R2306" i="1"/>
  <c r="T1780" i="19"/>
  <c r="T2151" i="19"/>
  <c r="T968" i="19"/>
  <c r="R2145" i="1"/>
  <c r="Q1993" i="1"/>
  <c r="S2145" i="1"/>
  <c r="T1039" i="19"/>
  <c r="Q1847" i="1"/>
  <c r="T978" i="19"/>
  <c r="S2076" i="1"/>
  <c r="R2354" i="1"/>
  <c r="T1247" i="19"/>
  <c r="S2354" i="1"/>
  <c r="T1781" i="19"/>
  <c r="T1394" i="19"/>
  <c r="R2201" i="1"/>
  <c r="Q2164" i="1"/>
  <c r="S2201" i="1"/>
  <c r="T1583" i="19"/>
  <c r="R1751" i="1"/>
  <c r="T1130" i="19"/>
  <c r="Q2414" i="1"/>
  <c r="T1464" i="19"/>
  <c r="S1846" i="1"/>
  <c r="R2414" i="1"/>
  <c r="T1609" i="19"/>
  <c r="Q2076" i="1"/>
  <c r="T1359" i="19"/>
  <c r="Q2421" i="1"/>
  <c r="T1502" i="19"/>
  <c r="R2421" i="1"/>
  <c r="T1076" i="19"/>
  <c r="T2476" i="19"/>
  <c r="Q1889" i="1"/>
  <c r="R2161" i="1"/>
  <c r="S2415" i="1"/>
  <c r="S2161" i="1"/>
  <c r="Q2059" i="1"/>
  <c r="T1029" i="19"/>
  <c r="R2059" i="1"/>
  <c r="T2058" i="19"/>
  <c r="Q2416" i="1"/>
  <c r="R2416" i="1"/>
  <c r="R2105" i="1"/>
  <c r="S1810" i="1"/>
  <c r="T648" i="19"/>
  <c r="R2108" i="1"/>
  <c r="R2062" i="1"/>
  <c r="Q2274" i="1"/>
  <c r="T1304" i="19"/>
  <c r="T1361" i="19"/>
  <c r="Q2410" i="1"/>
  <c r="R2270" i="1"/>
  <c r="Q513" i="1"/>
  <c r="R1890" i="1"/>
  <c r="R2274" i="1"/>
  <c r="R2410" i="1"/>
  <c r="S2270" i="1"/>
  <c r="R513" i="1"/>
  <c r="Q2424" i="1"/>
  <c r="S1890" i="1"/>
  <c r="R2424" i="1"/>
  <c r="T1680" i="19"/>
  <c r="R2107" i="1"/>
  <c r="T1263" i="19"/>
  <c r="T1532" i="19"/>
  <c r="T1250" i="19"/>
  <c r="S2107" i="1"/>
  <c r="Q2408" i="1"/>
  <c r="R2408" i="1"/>
  <c r="T1764" i="19"/>
  <c r="T1710" i="19"/>
  <c r="T2073" i="19"/>
  <c r="R2163" i="1"/>
  <c r="T1513" i="19"/>
  <c r="T916" i="19"/>
  <c r="S1647" i="1"/>
  <c r="Q1994" i="1"/>
  <c r="T1110" i="19"/>
  <c r="S2163" i="1"/>
  <c r="Q2374" i="1"/>
  <c r="Q2144" i="1"/>
  <c r="R2368" i="1"/>
  <c r="T999" i="19"/>
  <c r="R1994" i="1"/>
  <c r="T570" i="19"/>
  <c r="R2374" i="1"/>
  <c r="R2144" i="1"/>
  <c r="S2368" i="1"/>
  <c r="T2371" i="19"/>
  <c r="T1289" i="19"/>
  <c r="S2411" i="1"/>
  <c r="T1048" i="19"/>
  <c r="T1303" i="19"/>
  <c r="R1889" i="1"/>
  <c r="Q540" i="1"/>
  <c r="R2153" i="1"/>
  <c r="T1550" i="19"/>
  <c r="T1681" i="19"/>
  <c r="Q2106" i="1"/>
  <c r="R540" i="1"/>
  <c r="S2153" i="1"/>
  <c r="T1025" i="19"/>
  <c r="T1526" i="19"/>
  <c r="R2106" i="1"/>
  <c r="T1331" i="19"/>
  <c r="T1666" i="19"/>
  <c r="T1248" i="19"/>
  <c r="Q2136" i="1"/>
  <c r="T1339" i="19"/>
  <c r="Q1809" i="1"/>
  <c r="T664" i="19"/>
  <c r="T1139" i="19"/>
  <c r="R2136" i="1"/>
  <c r="R1809" i="1"/>
  <c r="T1123" i="19"/>
  <c r="T1537" i="19"/>
  <c r="Q1810" i="1"/>
  <c r="R2230" i="1"/>
  <c r="Q2060" i="1"/>
  <c r="T936" i="19"/>
  <c r="T1621" i="19"/>
  <c r="R2060" i="1"/>
  <c r="S2275" i="1"/>
  <c r="R2202" i="1"/>
  <c r="T2036" i="19"/>
  <c r="R2067" i="1"/>
  <c r="Q2275" i="1"/>
  <c r="T1544" i="19"/>
  <c r="Q1750" i="1"/>
  <c r="S2067" i="1"/>
  <c r="T627" i="19"/>
  <c r="R1750" i="1"/>
  <c r="T1349" i="19"/>
  <c r="T2484" i="19"/>
  <c r="T547" i="19"/>
  <c r="T1749" i="19"/>
  <c r="T1717" i="19"/>
  <c r="R2291" i="1"/>
  <c r="T2159" i="19"/>
  <c r="S2230" i="1"/>
  <c r="Q510" i="1"/>
  <c r="T636" i="19"/>
  <c r="T1490" i="19"/>
  <c r="Q2104" i="1"/>
  <c r="T538" i="19"/>
  <c r="T1071" i="19"/>
  <c r="Q2412" i="1"/>
  <c r="R2075" i="1"/>
  <c r="Q2290" i="1"/>
  <c r="R2104" i="1"/>
  <c r="R2077" i="1"/>
  <c r="T1616" i="19"/>
  <c r="Q2050" i="1"/>
  <c r="T519" i="19"/>
  <c r="S2075" i="1"/>
  <c r="R2290" i="1"/>
  <c r="T1249" i="19"/>
  <c r="S2077" i="1"/>
  <c r="T2413" i="19"/>
  <c r="T1596" i="19"/>
  <c r="Q563" i="1"/>
  <c r="R563" i="1"/>
  <c r="T1555" i="19"/>
  <c r="Y1573" i="19"/>
  <c r="Y2367" i="19"/>
  <c r="Y1873" i="19"/>
  <c r="Y1858" i="19"/>
  <c r="Y2493" i="19"/>
  <c r="Y1583" i="19"/>
  <c r="Y1845" i="19"/>
  <c r="Y1167" i="19"/>
  <c r="Y566" i="19"/>
  <c r="Y996" i="19"/>
  <c r="Y1841" i="19"/>
  <c r="Y1831" i="19"/>
  <c r="Y1519" i="19"/>
  <c r="Y817" i="19"/>
  <c r="Y999" i="19"/>
  <c r="Y1502" i="19"/>
  <c r="Y942" i="19"/>
  <c r="Y1261" i="19"/>
  <c r="Y2287" i="19"/>
  <c r="Y564" i="19"/>
  <c r="Y1647" i="19"/>
  <c r="Y1310" i="19"/>
  <c r="Y946" i="19"/>
  <c r="Y2377" i="19"/>
  <c r="Y918" i="19"/>
  <c r="Y682" i="19"/>
  <c r="Y2335" i="19"/>
  <c r="Y1465" i="19"/>
  <c r="Y2230" i="19"/>
  <c r="Y1513" i="19"/>
  <c r="Y1789" i="19"/>
  <c r="Y1549" i="19"/>
  <c r="Y1007" i="19"/>
  <c r="Y2177" i="19"/>
  <c r="Y1103" i="19"/>
  <c r="Y2273" i="19"/>
  <c r="Y2215" i="19"/>
  <c r="Y2315" i="19"/>
  <c r="Y1954" i="19"/>
  <c r="Y2426" i="19"/>
  <c r="Y1393" i="19"/>
  <c r="Y861" i="19"/>
  <c r="Y1544" i="19"/>
  <c r="Y893" i="19"/>
  <c r="Y2294" i="19"/>
  <c r="Y2440" i="19"/>
  <c r="Y1526" i="19"/>
  <c r="Y2363" i="19"/>
  <c r="Y1040" i="19"/>
  <c r="Y1999" i="19"/>
  <c r="Y2186" i="19"/>
  <c r="Y1138" i="19"/>
  <c r="Y1193" i="19"/>
  <c r="Y2254" i="19"/>
  <c r="Y1329" i="19"/>
  <c r="Y1609" i="19"/>
  <c r="Y2476" i="19"/>
  <c r="Y2429" i="19"/>
  <c r="Y1734" i="19"/>
  <c r="Y2353" i="19"/>
  <c r="Y1006" i="19"/>
  <c r="Y2424" i="19"/>
  <c r="Y1082" i="19"/>
  <c r="Y2027" i="19"/>
  <c r="Y1590" i="19"/>
  <c r="Y659" i="19"/>
  <c r="Y2160" i="19"/>
  <c r="Y2411" i="19"/>
  <c r="Y901" i="19"/>
  <c r="Y605" i="19"/>
  <c r="Y850" i="19"/>
  <c r="Y1893" i="19"/>
  <c r="Y1669" i="19"/>
  <c r="Y1767" i="19"/>
  <c r="Y672" i="19"/>
  <c r="Y1200" i="19"/>
  <c r="Y2250" i="19"/>
  <c r="Y1567" i="19"/>
  <c r="Y2036" i="19"/>
  <c r="Y1308" i="19"/>
  <c r="Y1004" i="19"/>
  <c r="Y1225" i="19"/>
  <c r="Y663" i="19"/>
  <c r="Y1412" i="19"/>
  <c r="Y1045" i="19"/>
  <c r="Y2413" i="19"/>
  <c r="Y993" i="19"/>
  <c r="Y715" i="19"/>
  <c r="Y1479" i="19"/>
  <c r="Y491" i="19"/>
  <c r="T984" i="19"/>
  <c r="R2037" i="1"/>
  <c r="T1698" i="19"/>
  <c r="Y1104" i="19"/>
  <c r="Y1136" i="19"/>
  <c r="Y2373" i="19"/>
  <c r="Y2444" i="19"/>
  <c r="Y1399" i="19"/>
  <c r="Y2173" i="19"/>
  <c r="Y1091" i="19"/>
  <c r="Y1249" i="19"/>
  <c r="Y1552" i="19"/>
  <c r="Y1678" i="19"/>
  <c r="Y1458" i="19"/>
  <c r="Y1990" i="19"/>
  <c r="Y2199" i="19"/>
  <c r="Y1273" i="19"/>
  <c r="Y2011" i="19"/>
  <c r="Y1441" i="19"/>
  <c r="Y1337" i="19"/>
  <c r="Y1565" i="19"/>
  <c r="Y1713" i="19"/>
  <c r="Y1926" i="19"/>
  <c r="Y2189" i="19"/>
  <c r="Y2289" i="19"/>
  <c r="Y951" i="19"/>
  <c r="Y1025" i="19"/>
  <c r="Y797" i="19"/>
  <c r="Y1276" i="19"/>
  <c r="Y1197" i="19"/>
  <c r="Y2033" i="19"/>
  <c r="Y1203" i="19"/>
  <c r="Y1411" i="19"/>
  <c r="Y1155" i="19"/>
  <c r="Y853" i="19"/>
  <c r="Y2447" i="19"/>
  <c r="Y933" i="19"/>
  <c r="Y1340" i="19"/>
  <c r="Y1439" i="19"/>
  <c r="Y2412" i="19"/>
  <c r="Y1427" i="19"/>
  <c r="Y2387" i="19"/>
  <c r="Y856" i="19"/>
  <c r="Y1875" i="19"/>
  <c r="Y1055" i="19"/>
  <c r="Y790" i="19"/>
  <c r="Y1302" i="19"/>
  <c r="Y851" i="19"/>
  <c r="Y1033" i="19"/>
  <c r="Y1792" i="19"/>
  <c r="Y2291" i="19"/>
  <c r="Y629" i="19"/>
  <c r="Y2067" i="19"/>
  <c r="Y970" i="19"/>
  <c r="Y576" i="19"/>
  <c r="Y2227" i="19"/>
  <c r="Y631" i="19"/>
  <c r="Y1349" i="19"/>
  <c r="Y2234" i="19"/>
  <c r="Y2452" i="19"/>
  <c r="Y2389" i="19"/>
  <c r="Y1881" i="19"/>
  <c r="Y544" i="19"/>
  <c r="Y1601" i="19"/>
  <c r="Y1518" i="19"/>
  <c r="Y1761" i="19"/>
  <c r="Y1028" i="19"/>
  <c r="Y2255" i="19"/>
  <c r="Y1410" i="19"/>
  <c r="Y2151" i="19"/>
  <c r="Y1383" i="19"/>
  <c r="Y1317" i="19"/>
  <c r="Y1797" i="19"/>
  <c r="Y519" i="19"/>
  <c r="Y1630" i="19"/>
  <c r="Y1817" i="19"/>
  <c r="Y1473" i="19"/>
  <c r="Y2475" i="19"/>
  <c r="Y1184" i="19"/>
  <c r="Y2143" i="19"/>
  <c r="Y1813" i="19"/>
  <c r="Y1712" i="19"/>
  <c r="Y815" i="19"/>
  <c r="Y2319" i="19"/>
  <c r="Y1732" i="19"/>
  <c r="Y925" i="19"/>
  <c r="Y734" i="19"/>
  <c r="R2137" i="1"/>
  <c r="Q2005" i="1"/>
  <c r="T1383" i="19"/>
  <c r="T1178" i="19"/>
  <c r="Y1165" i="19"/>
  <c r="Y1242" i="19"/>
  <c r="Y1655" i="19"/>
  <c r="Y677" i="19"/>
  <c r="Y2081" i="19"/>
  <c r="Y2385" i="19"/>
  <c r="Y1885" i="19"/>
  <c r="Y1710" i="19"/>
  <c r="Y1377" i="19"/>
  <c r="Y1205" i="19"/>
  <c r="Y844" i="19"/>
  <c r="Y1638" i="19"/>
  <c r="Y2459" i="19"/>
  <c r="Y859" i="19"/>
  <c r="Y2417" i="19"/>
  <c r="Y2276" i="19"/>
  <c r="Y1715" i="19"/>
  <c r="Y1723" i="19"/>
  <c r="Y1196" i="19"/>
  <c r="Y1156" i="19"/>
  <c r="Y2371" i="19"/>
  <c r="Y2262" i="19"/>
  <c r="Y978" i="19"/>
  <c r="Y2156" i="19"/>
  <c r="Y1979" i="19"/>
  <c r="Y1409" i="19"/>
  <c r="Y1496" i="19"/>
  <c r="Y1266" i="19"/>
  <c r="Y2088" i="19"/>
  <c r="Y2223" i="19"/>
  <c r="Y1777" i="19"/>
  <c r="Y2050" i="19"/>
  <c r="Y1123" i="19"/>
  <c r="Y2243" i="19"/>
  <c r="Y648" i="19"/>
  <c r="Y664" i="19"/>
  <c r="Y1550" i="19"/>
  <c r="Y965" i="19"/>
  <c r="Y1369" i="19"/>
  <c r="Y2001" i="19"/>
  <c r="Y2409" i="19"/>
  <c r="Y1219" i="19"/>
  <c r="Y1657" i="19"/>
  <c r="Y2094" i="19"/>
  <c r="Y1402" i="19"/>
  <c r="Y674" i="19"/>
  <c r="Y2107" i="19"/>
  <c r="Y913" i="19"/>
  <c r="Y2062" i="19"/>
  <c r="Y660" i="19"/>
  <c r="Y1800" i="19"/>
  <c r="Y2277" i="19"/>
  <c r="Y1888" i="19"/>
  <c r="Y1177" i="19"/>
  <c r="Y903" i="19"/>
  <c r="Y2031" i="19"/>
  <c r="Y2030" i="19"/>
  <c r="Y1346" i="19"/>
  <c r="Y1909" i="19"/>
  <c r="Y2349" i="19"/>
  <c r="Y690" i="19"/>
  <c r="Y1675" i="19"/>
  <c r="Y1915" i="19"/>
  <c r="Y2095" i="19"/>
  <c r="Y1102" i="19"/>
  <c r="Y1271" i="19"/>
  <c r="Y1246" i="19"/>
  <c r="Y979" i="19"/>
  <c r="Y1666" i="19"/>
  <c r="Y2322" i="19"/>
  <c r="Y1114" i="19"/>
  <c r="Y617" i="19"/>
  <c r="Y1771" i="19"/>
  <c r="Y2146" i="19"/>
  <c r="Y1832" i="19"/>
  <c r="Y1067" i="19"/>
  <c r="Y2381" i="19"/>
  <c r="Y583" i="19"/>
  <c r="Y596" i="19"/>
  <c r="Y1095" i="19"/>
  <c r="Y1178" i="19"/>
  <c r="Y2141" i="19"/>
  <c r="Y1803" i="19"/>
  <c r="Y1128" i="19"/>
  <c r="Y1163" i="19"/>
  <c r="Y676" i="19"/>
  <c r="Y866" i="19"/>
  <c r="Y709" i="19"/>
  <c r="Y2270" i="19"/>
  <c r="Y746" i="19"/>
  <c r="T554" i="19"/>
  <c r="S2137" i="1"/>
  <c r="R2005" i="1"/>
  <c r="T1462" i="19"/>
  <c r="Y1221" i="19"/>
  <c r="Y1189" i="19"/>
  <c r="Y657" i="19"/>
  <c r="Y922" i="19"/>
  <c r="Y1825" i="19"/>
  <c r="Y2297" i="19"/>
  <c r="Y2043" i="19"/>
  <c r="Y2003" i="19"/>
  <c r="Y928" i="19"/>
  <c r="Y2024" i="19"/>
  <c r="Y2473" i="19"/>
  <c r="Y919" i="19"/>
  <c r="Y1963" i="19"/>
  <c r="Y1024" i="19"/>
  <c r="Y944" i="19"/>
  <c r="Y2326" i="19"/>
  <c r="Y2338" i="19"/>
  <c r="Y832" i="19"/>
  <c r="Y2041" i="19"/>
  <c r="Y880" i="19"/>
  <c r="Y2226" i="19"/>
  <c r="Y1484" i="19"/>
  <c r="Y1500" i="19"/>
  <c r="Y1581" i="19"/>
  <c r="Y2148" i="19"/>
  <c r="Y1847" i="19"/>
  <c r="Y1375" i="19"/>
  <c r="Y2374" i="19"/>
  <c r="Y2009" i="19"/>
  <c r="Y2005" i="19"/>
  <c r="Y1293" i="19"/>
  <c r="Y1860" i="19"/>
  <c r="Y1745" i="19"/>
  <c r="Y2018" i="19"/>
  <c r="Y1257" i="19"/>
  <c r="Y1611" i="19"/>
  <c r="Y805" i="19"/>
  <c r="Y536" i="19"/>
  <c r="Y1376" i="19"/>
  <c r="Y2321" i="19"/>
  <c r="Y1959" i="19"/>
  <c r="Y1661" i="19"/>
  <c r="Y1298" i="19"/>
  <c r="Y2419" i="19"/>
  <c r="Y1350" i="19"/>
  <c r="Y1937" i="19"/>
  <c r="Y1251" i="19"/>
  <c r="Y1889" i="19"/>
  <c r="Y1619" i="19"/>
  <c r="Y2099" i="19"/>
  <c r="Y1099" i="19"/>
  <c r="Y1774" i="19"/>
  <c r="Y1743" i="19"/>
  <c r="Y1516" i="19"/>
  <c r="Y1000" i="19"/>
  <c r="Y1145" i="19"/>
  <c r="Y1890" i="19"/>
  <c r="Y2237" i="19"/>
  <c r="Y2246" i="19"/>
  <c r="Y1877" i="19"/>
  <c r="Y691" i="19"/>
  <c r="Y1986" i="19"/>
  <c r="Y1018" i="19"/>
  <c r="Y1279" i="19"/>
  <c r="Y2135" i="19"/>
  <c r="Y1684" i="19"/>
  <c r="Y2052" i="19"/>
  <c r="Y2449" i="19"/>
  <c r="Y1100" i="19"/>
  <c r="Y619" i="19"/>
  <c r="Y1770" i="19"/>
  <c r="Y1957" i="19"/>
  <c r="Y1992" i="19"/>
  <c r="Y703" i="19"/>
  <c r="Y1700" i="19"/>
  <c r="Y1245" i="19"/>
  <c r="Y2022" i="19"/>
  <c r="Y1289" i="19"/>
  <c r="Y943" i="19"/>
  <c r="Y2105" i="19"/>
  <c r="Y1046" i="19"/>
  <c r="Y872" i="19"/>
  <c r="Y579" i="19"/>
  <c r="Y1306" i="19"/>
  <c r="Y2342" i="19"/>
  <c r="Y2302" i="19"/>
  <c r="Y1263" i="19"/>
  <c r="Y1339" i="19"/>
  <c r="Y2069" i="19"/>
  <c r="Y1093" i="19"/>
  <c r="Y1464" i="19"/>
  <c r="Y1382" i="19"/>
  <c r="Y916" i="19"/>
  <c r="Y1994" i="19"/>
  <c r="Y1958" i="19"/>
  <c r="Y1070" i="19"/>
  <c r="Y2352" i="19"/>
  <c r="Y2376" i="19"/>
  <c r="Y1529" i="19"/>
  <c r="Y1274" i="19"/>
  <c r="Y831" i="19"/>
  <c r="Y1972" i="19"/>
  <c r="Y1649" i="19"/>
  <c r="Y1463" i="19"/>
  <c r="Y1617" i="19"/>
  <c r="Y1985" i="19"/>
  <c r="Y1753" i="19"/>
  <c r="Y1108" i="19"/>
  <c r="Y1039" i="19"/>
  <c r="Y1485" i="19"/>
  <c r="Y1844" i="19"/>
  <c r="Y1080" i="19"/>
  <c r="Y1685" i="19"/>
  <c r="Y2499" i="19"/>
  <c r="Y1730" i="19"/>
  <c r="Y2333" i="19"/>
  <c r="Y1034" i="19"/>
  <c r="Y2260" i="19"/>
  <c r="Y2123" i="19"/>
  <c r="Y1282" i="19"/>
  <c r="Y1969" i="19"/>
  <c r="Y1577" i="19"/>
  <c r="Y1146" i="19"/>
  <c r="Y1586" i="19"/>
  <c r="Y1440" i="19"/>
  <c r="Y1674" i="19"/>
  <c r="Y1268" i="19"/>
  <c r="Y2103" i="19"/>
  <c r="Y2408" i="19"/>
  <c r="Y2209" i="19"/>
  <c r="Y2451" i="19"/>
  <c r="Y1913" i="19"/>
  <c r="Y2366" i="19"/>
  <c r="Y1176" i="19"/>
  <c r="Y1681" i="19"/>
  <c r="Y1905" i="19"/>
  <c r="Y2368" i="19"/>
  <c r="Y1161" i="19"/>
  <c r="Y2239" i="19"/>
  <c r="Y1966" i="19"/>
  <c r="Y2035" i="19"/>
  <c r="Y607" i="19"/>
  <c r="Y1171" i="19"/>
  <c r="Y1235" i="19"/>
  <c r="Y1921" i="19"/>
  <c r="Y1843" i="19"/>
  <c r="Y1494" i="19"/>
  <c r="Y600" i="19"/>
  <c r="Y2312" i="19"/>
  <c r="Y675" i="19"/>
  <c r="Y1775" i="19"/>
  <c r="Y1456" i="19"/>
  <c r="Y612" i="19"/>
  <c r="Y1023" i="19"/>
  <c r="Y563" i="19"/>
  <c r="Y984" i="19"/>
  <c r="Y2308" i="19"/>
  <c r="Y518" i="19"/>
  <c r="Y1478" i="19"/>
  <c r="Y1744" i="19"/>
  <c r="Y830" i="19"/>
  <c r="Y1125" i="19"/>
  <c r="Y443" i="19"/>
  <c r="Y550" i="19"/>
  <c r="Y2379" i="19"/>
  <c r="Y1670" i="19"/>
  <c r="Y2406" i="19"/>
  <c r="Y2357" i="19"/>
  <c r="Y1849" i="19"/>
  <c r="Y512" i="19"/>
  <c r="Y1231" i="19"/>
  <c r="Y1394" i="19"/>
  <c r="Y1303" i="19"/>
  <c r="Y1426" i="19"/>
  <c r="Y1038" i="19"/>
  <c r="Y2073" i="19"/>
  <c r="Y2397" i="19"/>
  <c r="Y1579" i="19"/>
  <c r="Y538" i="19"/>
  <c r="Y2090" i="19"/>
  <c r="Y2393" i="19"/>
  <c r="Y998" i="19"/>
  <c r="Y1714" i="19"/>
  <c r="Y1144" i="19"/>
  <c r="Y898" i="19"/>
  <c r="Y1086" i="19"/>
  <c r="Y532" i="19"/>
  <c r="Y556" i="19"/>
  <c r="Y1431" i="19"/>
  <c r="Y1451" i="19"/>
  <c r="Y1434" i="19"/>
  <c r="Y1292" i="19"/>
  <c r="Y1560" i="19"/>
  <c r="Y2167" i="19"/>
  <c r="Y1286" i="19"/>
  <c r="Y1953" i="19"/>
  <c r="Y2066" i="19"/>
  <c r="Y1659" i="19"/>
  <c r="Y662" i="19"/>
  <c r="Y1420" i="19"/>
  <c r="Y1830" i="19"/>
  <c r="Y2301" i="19"/>
  <c r="Y633" i="19"/>
  <c r="Y1157" i="19"/>
  <c r="Y1304" i="19"/>
  <c r="Y2086" i="19"/>
  <c r="Y2343" i="19"/>
  <c r="Y2401" i="19"/>
  <c r="Y1927" i="19"/>
  <c r="Y1278" i="19"/>
  <c r="Y2059" i="19"/>
  <c r="Y543" i="19"/>
  <c r="Y547" i="19"/>
  <c r="Y2048" i="19"/>
  <c r="Y504" i="19"/>
  <c r="Y2405" i="19"/>
  <c r="Y2372" i="19"/>
  <c r="Y937" i="19"/>
  <c r="Y1646" i="19"/>
  <c r="Y904" i="19"/>
  <c r="Y1075" i="19"/>
  <c r="Y2309" i="19"/>
  <c r="Y1311" i="19"/>
  <c r="Y1139" i="19"/>
  <c r="Y1809" i="19"/>
  <c r="Y957" i="19"/>
  <c r="Y1213" i="19"/>
  <c r="Y1702" i="19"/>
  <c r="Y2304" i="19"/>
  <c r="Y1787" i="19"/>
  <c r="Y1044" i="19"/>
  <c r="Y2074" i="19"/>
  <c r="Y524" i="19"/>
  <c r="Y806" i="19"/>
  <c r="Y622" i="19"/>
  <c r="Y2306" i="19"/>
  <c r="Y1736" i="19"/>
  <c r="Y2182" i="19"/>
  <c r="Y2344" i="19"/>
  <c r="Y2056" i="19"/>
  <c r="Y1728" i="19"/>
  <c r="Y1356" i="19"/>
  <c r="Y656" i="19"/>
  <c r="Y1374" i="19"/>
  <c r="Y834" i="19"/>
  <c r="Y2168" i="19"/>
  <c r="Y2204" i="19"/>
  <c r="Y1433" i="19"/>
  <c r="Y1074" i="19"/>
  <c r="Y1863" i="19"/>
  <c r="Y1214" i="19"/>
  <c r="Y945" i="19"/>
  <c r="Y2265" i="19"/>
  <c r="Y275" i="19"/>
  <c r="Y1272" i="19"/>
  <c r="Y1341" i="19"/>
  <c r="Y1826" i="19"/>
  <c r="Y2457" i="19"/>
  <c r="Y1182" i="19"/>
  <c r="Y1971" i="19"/>
  <c r="Y1515" i="19"/>
  <c r="Y1486" i="19"/>
  <c r="Y1008" i="19"/>
  <c r="Y1404" i="19"/>
  <c r="Y2065" i="19"/>
  <c r="Y1401" i="19"/>
  <c r="Y1247" i="19"/>
  <c r="Y2229" i="19"/>
  <c r="Y2037" i="19"/>
  <c r="Y1531" i="19"/>
  <c r="Y847" i="19"/>
  <c r="Y934" i="19"/>
  <c r="Y2437" i="19"/>
  <c r="Y1455" i="19"/>
  <c r="Y1894" i="19"/>
  <c r="Y2055" i="19"/>
  <c r="Y1838" i="19"/>
  <c r="Y568" i="19"/>
  <c r="Y1547" i="19"/>
  <c r="Y1059" i="19"/>
  <c r="Y1799" i="19"/>
  <c r="Y2490" i="19"/>
  <c r="Y2119" i="19"/>
  <c r="Y1142" i="19"/>
  <c r="Y2185" i="19"/>
  <c r="Y1991" i="19"/>
  <c r="Y1977" i="19"/>
  <c r="Y1575" i="19"/>
  <c r="Y2415" i="19"/>
  <c r="Y2351" i="19"/>
  <c r="Y2063" i="19"/>
  <c r="Y2339" i="19"/>
  <c r="Y1503" i="19"/>
  <c r="Y551" i="19"/>
  <c r="Y1009" i="19"/>
  <c r="Y585" i="19"/>
  <c r="Y2481" i="19"/>
  <c r="Y927" i="19"/>
  <c r="Y1922" i="19"/>
  <c r="Y1254" i="19"/>
  <c r="Y1418" i="19"/>
  <c r="Y2284" i="19"/>
  <c r="Y1643" i="19"/>
  <c r="Y278" i="19"/>
  <c r="Y1687" i="19"/>
  <c r="Y1839" i="19"/>
  <c r="Y897" i="19"/>
  <c r="Y1130" i="19"/>
  <c r="Y1335" i="19"/>
  <c r="Y1378" i="19"/>
  <c r="Y1594" i="19"/>
  <c r="Y293" i="19"/>
  <c r="Y947" i="19"/>
  <c r="Y1408" i="19"/>
  <c r="Y591" i="19"/>
  <c r="Y1089" i="19"/>
  <c r="Y1071" i="19"/>
  <c r="Y1548" i="19"/>
  <c r="Y2058" i="19"/>
  <c r="Y909" i="19"/>
  <c r="Y1794" i="19"/>
  <c r="Y2318" i="19"/>
  <c r="Y1812" i="19"/>
  <c r="Y2439" i="19"/>
  <c r="Y2126" i="19"/>
  <c r="Y611" i="19"/>
  <c r="Y1779" i="19"/>
  <c r="Y575" i="19"/>
  <c r="Y1585" i="19"/>
  <c r="Y1188" i="19"/>
  <c r="Y2466" i="19"/>
  <c r="Y527" i="19"/>
  <c r="Q2345" i="1"/>
  <c r="Y1224" i="19"/>
  <c r="Y2261" i="19"/>
  <c r="Y2129" i="19"/>
  <c r="Y2217" i="19"/>
  <c r="Y900" i="19"/>
  <c r="Y1187" i="19"/>
  <c r="Y1934" i="19"/>
  <c r="Y2101" i="19"/>
  <c r="Y1995" i="19"/>
  <c r="Y1210" i="19"/>
  <c r="Y2484" i="19"/>
  <c r="Y2097" i="19"/>
  <c r="Y1459" i="19"/>
  <c r="Y2049" i="19"/>
  <c r="Y1902" i="19"/>
  <c r="Y1614" i="19"/>
  <c r="Y871" i="19"/>
  <c r="Y950" i="19"/>
  <c r="Y1600" i="19"/>
  <c r="Y2278" i="19"/>
  <c r="Y2427" i="19"/>
  <c r="Y1870" i="19"/>
  <c r="Y1939" i="19"/>
  <c r="Y1361" i="19"/>
  <c r="Y1208" i="19"/>
  <c r="Y1716" i="19"/>
  <c r="Y2196" i="19"/>
  <c r="Y2464" i="19"/>
  <c r="Y840" i="19"/>
  <c r="Y1190" i="19"/>
  <c r="Y891" i="19"/>
  <c r="Y2346" i="19"/>
  <c r="Y910" i="19"/>
  <c r="Y2131" i="19"/>
  <c r="Y1330" i="19"/>
  <c r="Y2283" i="19"/>
  <c r="Y2127" i="19"/>
  <c r="Y516" i="19"/>
  <c r="Y969" i="19"/>
  <c r="Y1973" i="19"/>
  <c r="Y1698" i="19"/>
  <c r="Y1162" i="19"/>
  <c r="Y2023" i="19"/>
  <c r="Y2461" i="19"/>
  <c r="Y2162" i="19"/>
  <c r="Y2496" i="19"/>
  <c r="Y1781" i="19"/>
  <c r="Y1026" i="19"/>
  <c r="Y2213" i="19"/>
  <c r="Y1635" i="19"/>
  <c r="Y2295" i="19"/>
  <c r="Y1998" i="19"/>
  <c r="Y1001" i="19"/>
  <c r="Y636" i="19"/>
  <c r="Y1605" i="19"/>
  <c r="Y1325" i="19"/>
  <c r="Y2054" i="19"/>
  <c r="Y1443" i="19"/>
  <c r="Y2113" i="19"/>
  <c r="Y1425" i="19"/>
  <c r="Y2075" i="19"/>
  <c r="Y2329" i="19"/>
  <c r="Y1742" i="19"/>
  <c r="Y1945" i="19"/>
  <c r="Y1867" i="19"/>
  <c r="Y1030" i="19"/>
  <c r="Y1461" i="19"/>
  <c r="Y1288" i="19"/>
  <c r="Y1749" i="19"/>
  <c r="Y667" i="19"/>
  <c r="Y646" i="19"/>
  <c r="Y2120" i="19"/>
  <c r="Y2407" i="19"/>
  <c r="Y895" i="19"/>
  <c r="Y2332" i="19"/>
  <c r="Y810" i="19"/>
  <c r="Y995" i="19"/>
  <c r="Y1454" i="19"/>
  <c r="Y1002" i="19"/>
  <c r="Y2085" i="19"/>
  <c r="Y30" i="19"/>
  <c r="Y1450" i="19"/>
  <c r="Y553" i="19"/>
  <c r="Y721" i="19"/>
  <c r="S713" i="1"/>
  <c r="R713" i="1"/>
  <c r="Q713" i="1"/>
  <c r="R719" i="1"/>
  <c r="Q719" i="1"/>
  <c r="S719" i="1"/>
  <c r="R2345" i="1"/>
  <c r="S2037" i="1"/>
  <c r="T977" i="19"/>
  <c r="T1510" i="19"/>
  <c r="T1129" i="19"/>
  <c r="T1024" i="19"/>
  <c r="Q2138" i="1"/>
  <c r="Q2346" i="1"/>
  <c r="R2138" i="1"/>
  <c r="R2346" i="1"/>
  <c r="Q706" i="1"/>
  <c r="Q2006" i="1"/>
  <c r="R706" i="1"/>
  <c r="T531" i="19"/>
  <c r="R1808" i="1"/>
  <c r="T1563" i="19"/>
  <c r="S2390" i="1"/>
  <c r="S2342" i="1"/>
  <c r="Q1751" i="1"/>
  <c r="S510" i="1"/>
  <c r="T1807" i="19"/>
  <c r="S2366" i="1"/>
  <c r="T543" i="19"/>
  <c r="T509" i="19"/>
  <c r="S2373" i="1"/>
  <c r="Q2373" i="1"/>
  <c r="T1735" i="19"/>
  <c r="S2465" i="1"/>
  <c r="R2006" i="1"/>
  <c r="S1808" i="1"/>
  <c r="T886" i="19"/>
  <c r="T1466" i="19"/>
  <c r="Q2465" i="1"/>
  <c r="T1055" i="19"/>
  <c r="T1308" i="19"/>
  <c r="T1252" i="19"/>
  <c r="T634" i="19"/>
  <c r="T1554" i="19"/>
  <c r="S675" i="1"/>
  <c r="T1496" i="19"/>
  <c r="Q2228" i="1"/>
  <c r="Q675" i="1"/>
  <c r="T957" i="19"/>
  <c r="R2228" i="1"/>
  <c r="Q1846" i="1"/>
  <c r="T532" i="19"/>
  <c r="T2486" i="19"/>
  <c r="T1478" i="19"/>
  <c r="R2200" i="1"/>
  <c r="T1119" i="19"/>
  <c r="S2216" i="1"/>
  <c r="T1503" i="19"/>
  <c r="Q511" i="1"/>
  <c r="T1675" i="19"/>
  <c r="R511" i="1"/>
  <c r="T1402" i="19"/>
  <c r="T1066" i="19"/>
  <c r="T1144" i="19"/>
  <c r="T1549" i="19"/>
  <c r="R542" i="1"/>
  <c r="S2200" i="1"/>
  <c r="Q2026" i="1"/>
  <c r="S542" i="1"/>
  <c r="Q2365" i="1"/>
  <c r="T691" i="19"/>
  <c r="R2026" i="1"/>
  <c r="Q2180" i="1"/>
  <c r="Q2152" i="1"/>
  <c r="T919" i="19"/>
  <c r="T1099" i="19"/>
  <c r="R2180" i="1"/>
  <c r="Q2382" i="1"/>
  <c r="R2152" i="1"/>
  <c r="R2027" i="1"/>
  <c r="Q1745" i="1"/>
  <c r="Q1845" i="1"/>
  <c r="R2179" i="1"/>
  <c r="S2027" i="1"/>
  <c r="R1745" i="1"/>
  <c r="Q2216" i="1"/>
  <c r="R1845" i="1"/>
  <c r="S2179" i="1"/>
  <c r="T1723" i="19"/>
  <c r="T2491" i="19"/>
  <c r="T2475" i="19"/>
  <c r="T1189" i="19"/>
  <c r="T607" i="19"/>
  <c r="T617" i="19"/>
  <c r="T1242" i="19"/>
  <c r="Q2366" i="1"/>
  <c r="S716" i="1"/>
  <c r="S704" i="1"/>
  <c r="S302" i="1"/>
  <c r="S383" i="1"/>
  <c r="S485" i="1"/>
  <c r="S728" i="1"/>
  <c r="S305" i="1"/>
  <c r="Q764" i="1"/>
  <c r="S359" i="1"/>
  <c r="S752" i="1"/>
  <c r="R407" i="1"/>
  <c r="S740" i="1"/>
  <c r="S335" i="1"/>
  <c r="Q710" i="1"/>
  <c r="Q265" i="1"/>
  <c r="Q281" i="1"/>
  <c r="Q290" i="1"/>
  <c r="R270" i="1"/>
  <c r="Q1843" i="1"/>
  <c r="Q508" i="1"/>
  <c r="R1843" i="1"/>
  <c r="T1369" i="19"/>
  <c r="R508" i="1"/>
  <c r="R2231" i="1"/>
  <c r="T1000" i="19"/>
  <c r="Q2353" i="1"/>
  <c r="S2231" i="1"/>
  <c r="Q1841" i="1"/>
  <c r="R2353" i="1"/>
  <c r="Q2342" i="1"/>
  <c r="R1841" i="1"/>
  <c r="Q507" i="1"/>
  <c r="R507" i="1"/>
  <c r="R1847" i="1"/>
  <c r="R2229" i="1"/>
  <c r="S2229" i="1"/>
  <c r="Q1647" i="1"/>
  <c r="S2232" i="1"/>
  <c r="S2463" i="1"/>
  <c r="S1648" i="1"/>
  <c r="Q2462" i="1"/>
  <c r="Q2364" i="1"/>
  <c r="R2462" i="1"/>
  <c r="R2364" i="1"/>
  <c r="Q1833" i="1"/>
  <c r="Q2262" i="1"/>
  <c r="R1833" i="1"/>
  <c r="R2365" i="1"/>
  <c r="Q2232" i="1"/>
  <c r="Q2218" i="1"/>
  <c r="Q1834" i="1"/>
  <c r="R2218" i="1"/>
  <c r="R1834" i="1"/>
  <c r="T998" i="19"/>
  <c r="T1075" i="19"/>
  <c r="Q2049" i="1"/>
  <c r="R2263" i="1"/>
  <c r="R2049" i="1"/>
  <c r="T1007" i="19"/>
  <c r="S2337" i="1"/>
  <c r="S2263" i="1"/>
  <c r="R2292" i="1"/>
  <c r="R2050" i="1"/>
  <c r="T2335" i="19"/>
  <c r="T1713" i="19"/>
  <c r="T682" i="19"/>
  <c r="Q539" i="1"/>
  <c r="T996" i="19"/>
  <c r="R539" i="1"/>
  <c r="Q1861" i="1"/>
  <c r="R1861" i="1"/>
  <c r="R2130" i="1"/>
  <c r="S2130" i="1"/>
  <c r="S2278" i="1"/>
  <c r="Q2278" i="1"/>
  <c r="R2264" i="1"/>
  <c r="T504" i="19"/>
  <c r="Q1649" i="1"/>
  <c r="T1716" i="19"/>
  <c r="T1458" i="19"/>
  <c r="Q2091" i="1"/>
  <c r="T1008" i="19"/>
  <c r="T1646" i="19"/>
  <c r="R1649" i="1"/>
  <c r="Q2337" i="1"/>
  <c r="R2262" i="1"/>
  <c r="Q2268" i="1"/>
  <c r="Q505" i="1"/>
  <c r="Q1801" i="1"/>
  <c r="R2268" i="1"/>
  <c r="R505" i="1"/>
  <c r="R1801" i="1"/>
  <c r="S2422" i="1"/>
  <c r="Q2341" i="1"/>
  <c r="Q1744" i="1"/>
  <c r="R1744" i="1"/>
  <c r="T871" i="19"/>
  <c r="T944" i="19"/>
  <c r="T2199" i="19"/>
  <c r="T2215" i="19"/>
  <c r="T1715" i="19"/>
  <c r="T1266" i="19"/>
  <c r="T1103" i="19"/>
  <c r="T2387" i="19"/>
  <c r="R2189" i="1"/>
  <c r="S2189" i="1"/>
  <c r="T1091" i="19"/>
  <c r="R2382" i="1"/>
  <c r="Q2381" i="1"/>
  <c r="R2219" i="1"/>
  <c r="R2381" i="1"/>
  <c r="R2188" i="1"/>
  <c r="S2219" i="1"/>
  <c r="S2188" i="1"/>
  <c r="S2464" i="1"/>
  <c r="T1375" i="19"/>
  <c r="S2340" i="1"/>
  <c r="S2181" i="1"/>
  <c r="Q2464" i="1"/>
  <c r="R2420" i="1"/>
  <c r="S2420" i="1"/>
  <c r="S2052" i="1"/>
  <c r="S2264" i="1"/>
  <c r="S2291" i="1"/>
  <c r="R2129" i="1"/>
  <c r="Q2052" i="1"/>
  <c r="S2129" i="1"/>
  <c r="Q2380" i="1"/>
  <c r="Q2389" i="1"/>
  <c r="T840" i="19"/>
  <c r="T2048" i="19"/>
  <c r="R2380" i="1"/>
  <c r="R2389" i="1"/>
  <c r="Q2422" i="1"/>
  <c r="Q2128" i="1"/>
  <c r="R2128" i="1"/>
  <c r="Q2181" i="1"/>
  <c r="Q2340" i="1"/>
  <c r="Q2220" i="1"/>
  <c r="Q2182" i="1"/>
  <c r="T1516" i="19"/>
  <c r="Q2190" i="1"/>
  <c r="T659" i="19"/>
  <c r="R2220" i="1"/>
  <c r="R2182" i="1"/>
  <c r="R2190" i="1"/>
  <c r="Q2092" i="1"/>
  <c r="R2092" i="1"/>
  <c r="T2088" i="19"/>
  <c r="T2239" i="19"/>
  <c r="R2091" i="1"/>
  <c r="T1028" i="19"/>
  <c r="S1592" i="1"/>
  <c r="Q1592" i="1"/>
  <c r="Q1840" i="1"/>
  <c r="R1840" i="1"/>
  <c r="Q2338" i="1"/>
  <c r="R2338" i="1"/>
  <c r="Q305" i="1"/>
  <c r="R305" i="1"/>
  <c r="Q1862" i="1"/>
  <c r="R1862" i="1"/>
  <c r="Q2178" i="1"/>
  <c r="R2178" i="1"/>
  <c r="Q2066" i="1"/>
  <c r="R2066" i="1"/>
  <c r="Q2266" i="1"/>
  <c r="R2266" i="1"/>
  <c r="R2065" i="1"/>
  <c r="S2065" i="1"/>
  <c r="R2341" i="1"/>
  <c r="S618" i="1"/>
  <c r="R618" i="1"/>
  <c r="Q618" i="1"/>
  <c r="T1070" i="19"/>
  <c r="T2419" i="19"/>
  <c r="T1068" i="19"/>
  <c r="T1150" i="19"/>
  <c r="T2460" i="19"/>
  <c r="S365" i="1"/>
  <c r="T1933" i="19"/>
  <c r="T1891" i="19"/>
  <c r="T657" i="19"/>
  <c r="Q497" i="1"/>
  <c r="T333" i="19"/>
  <c r="T2092" i="19"/>
  <c r="T326" i="19"/>
  <c r="T730" i="19"/>
  <c r="T1649" i="19"/>
  <c r="T1816" i="19"/>
  <c r="R377" i="1"/>
  <c r="T1767" i="19"/>
  <c r="T1236" i="19"/>
  <c r="T2493" i="19"/>
  <c r="T2108" i="19"/>
  <c r="R479" i="1"/>
  <c r="T2298" i="19"/>
  <c r="R764" i="1"/>
  <c r="T2206" i="19"/>
  <c r="T496" i="19"/>
  <c r="T2438" i="19"/>
  <c r="T1983" i="19"/>
  <c r="T1878" i="19"/>
  <c r="T345" i="19"/>
  <c r="T2326" i="19"/>
  <c r="T2242" i="19"/>
  <c r="T2228" i="19"/>
  <c r="T1818" i="19"/>
  <c r="T548" i="19"/>
  <c r="T1889" i="19"/>
  <c r="T2007" i="19"/>
  <c r="T1790" i="19"/>
  <c r="T339" i="19"/>
  <c r="T272" i="19"/>
  <c r="S329" i="1"/>
  <c r="T707" i="19"/>
  <c r="T2274" i="19"/>
  <c r="T922" i="19"/>
  <c r="T1894" i="19"/>
  <c r="S776" i="1"/>
  <c r="T2095" i="19"/>
  <c r="T2430" i="19"/>
  <c r="T263" i="19"/>
  <c r="T2011" i="19"/>
  <c r="T1910" i="19"/>
  <c r="T338" i="19"/>
  <c r="T750" i="19"/>
  <c r="T1979" i="19"/>
  <c r="T1917" i="19"/>
  <c r="T483" i="19"/>
  <c r="T343" i="19"/>
  <c r="T1873" i="19"/>
  <c r="T1937" i="19"/>
  <c r="T2100" i="19"/>
  <c r="T289" i="19"/>
  <c r="T175" i="19"/>
  <c r="T1161" i="19"/>
  <c r="T1300" i="19"/>
  <c r="T1456" i="19"/>
  <c r="T565" i="19"/>
  <c r="T1424" i="19"/>
  <c r="T361" i="19"/>
  <c r="T1882" i="19"/>
  <c r="R431" i="1"/>
  <c r="T680" i="19"/>
  <c r="T2410" i="19"/>
  <c r="R317" i="1"/>
  <c r="T1786" i="19"/>
  <c r="T198" i="19"/>
  <c r="T539" i="19"/>
  <c r="Q728" i="1"/>
  <c r="T2154" i="19"/>
  <c r="S270" i="1"/>
  <c r="T2099" i="19"/>
  <c r="T1330" i="19"/>
  <c r="T1329" i="19"/>
  <c r="T159" i="19"/>
  <c r="T2284" i="19"/>
  <c r="T774" i="19"/>
  <c r="T2097" i="19"/>
  <c r="T1925" i="19"/>
  <c r="T2054" i="19"/>
  <c r="T2192" i="19"/>
  <c r="T1978" i="19"/>
  <c r="T400" i="19"/>
  <c r="T718" i="19"/>
  <c r="T2140" i="19"/>
  <c r="T375" i="19"/>
  <c r="T620" i="19"/>
  <c r="T301" i="19"/>
  <c r="R371" i="1"/>
  <c r="T2096" i="19"/>
  <c r="R437" i="1"/>
  <c r="T2134" i="19"/>
  <c r="T315" i="19"/>
  <c r="T2380" i="19"/>
  <c r="T2090" i="19"/>
  <c r="T733" i="19"/>
  <c r="R287" i="1"/>
  <c r="T2152" i="19"/>
  <c r="T268" i="19"/>
  <c r="T2031" i="19"/>
  <c r="T171" i="19"/>
  <c r="T591" i="19"/>
  <c r="T370" i="19"/>
  <c r="T2116" i="19"/>
  <c r="T2056" i="19"/>
  <c r="T2196" i="19"/>
  <c r="T322" i="19"/>
  <c r="T1739" i="19"/>
  <c r="T398" i="19"/>
  <c r="R710" i="1"/>
  <c r="Q740" i="1"/>
  <c r="T2246" i="19"/>
  <c r="T1747" i="19"/>
  <c r="T167" i="19"/>
  <c r="T530" i="19"/>
  <c r="T527" i="19"/>
  <c r="T2260" i="19"/>
  <c r="T382" i="19"/>
  <c r="T1753" i="19"/>
  <c r="T2060" i="19"/>
  <c r="R497" i="1"/>
  <c r="T310" i="19"/>
  <c r="T2224" i="19"/>
  <c r="T709" i="19"/>
  <c r="T349" i="19"/>
  <c r="S377" i="1"/>
  <c r="S913" i="19"/>
  <c r="R913" i="19"/>
  <c r="Q913" i="19"/>
  <c r="T580" i="19"/>
  <c r="T1271" i="19"/>
  <c r="T1086" i="19"/>
  <c r="T517" i="19"/>
  <c r="T181" i="19"/>
  <c r="T368" i="19"/>
  <c r="S479" i="1"/>
  <c r="T1812" i="19"/>
  <c r="S764" i="1"/>
  <c r="T149" i="19"/>
  <c r="T2059" i="19"/>
  <c r="T320" i="19"/>
  <c r="T2209" i="19"/>
  <c r="T2292" i="19"/>
  <c r="T1734" i="19"/>
  <c r="T2177" i="19"/>
  <c r="T2456" i="19"/>
  <c r="T1805" i="19"/>
  <c r="T380" i="19"/>
  <c r="T1955" i="19"/>
  <c r="T1914" i="19"/>
  <c r="T1744" i="19"/>
  <c r="Q329" i="1"/>
  <c r="T1877" i="19"/>
  <c r="T2051" i="19"/>
  <c r="T506" i="19"/>
  <c r="T688" i="19"/>
  <c r="T2127" i="19"/>
  <c r="T633" i="19"/>
  <c r="T1930" i="19"/>
  <c r="T2106" i="19"/>
  <c r="T2120" i="19"/>
  <c r="T2404" i="19"/>
  <c r="T1954" i="19"/>
  <c r="T162" i="19"/>
  <c r="T2194" i="19"/>
  <c r="T2070" i="19"/>
  <c r="T724" i="19"/>
  <c r="T2247" i="19"/>
  <c r="T404" i="19"/>
  <c r="T1899" i="19"/>
  <c r="T2336" i="19"/>
  <c r="T2351" i="19"/>
  <c r="T701" i="19"/>
  <c r="T2259" i="19"/>
  <c r="S431" i="1"/>
  <c r="T2005" i="19"/>
  <c r="T2320" i="19"/>
  <c r="S317" i="1"/>
  <c r="T859" i="19"/>
  <c r="T2148" i="19"/>
  <c r="T2197" i="19"/>
  <c r="T2017" i="19"/>
  <c r="T1875" i="19"/>
  <c r="R728" i="1"/>
  <c r="T1939" i="19"/>
  <c r="T2030" i="19"/>
  <c r="T674" i="19"/>
  <c r="T2432" i="19"/>
  <c r="T2296" i="19"/>
  <c r="T2448" i="19"/>
  <c r="T153" i="19"/>
  <c r="T1783" i="19"/>
  <c r="T2225" i="19"/>
  <c r="T1918" i="19"/>
  <c r="T1822" i="19"/>
  <c r="S407" i="1"/>
  <c r="T269" i="19"/>
  <c r="T596" i="19"/>
  <c r="T183" i="19"/>
  <c r="T2458" i="19"/>
  <c r="S371" i="1"/>
  <c r="T1797" i="19"/>
  <c r="T2178" i="19"/>
  <c r="S437" i="1"/>
  <c r="T751" i="19"/>
  <c r="T1947" i="19"/>
  <c r="T2001" i="19"/>
  <c r="S287" i="1"/>
  <c r="S299" i="1"/>
  <c r="T1861" i="19"/>
  <c r="T1703" i="19"/>
  <c r="T1120" i="19"/>
  <c r="T2339" i="19"/>
  <c r="T1814" i="19"/>
  <c r="Q383" i="1"/>
  <c r="T2182" i="19"/>
  <c r="T760" i="19"/>
  <c r="T2061" i="19"/>
  <c r="S710" i="1"/>
  <c r="R740" i="1"/>
  <c r="T2045" i="19"/>
  <c r="T350" i="19"/>
  <c r="Q233" i="1"/>
  <c r="S233" i="1"/>
  <c r="R233" i="1"/>
  <c r="S880" i="1"/>
  <c r="R880" i="1"/>
  <c r="Q880" i="1"/>
  <c r="T1433" i="19"/>
  <c r="T1474" i="19"/>
  <c r="T1828" i="19"/>
  <c r="T513" i="19"/>
  <c r="T2429" i="19"/>
  <c r="T2424" i="19"/>
  <c r="T2213" i="19"/>
  <c r="T1915" i="19"/>
  <c r="T1865" i="19"/>
  <c r="T2126" i="19"/>
  <c r="T1826" i="19"/>
  <c r="T535" i="19"/>
  <c r="T739" i="19"/>
  <c r="T2167" i="19"/>
  <c r="T606" i="19"/>
  <c r="T941" i="19"/>
  <c r="T1860" i="19"/>
  <c r="T757" i="19"/>
  <c r="T2318" i="19"/>
  <c r="T1794" i="19"/>
  <c r="T2272" i="19"/>
  <c r="T193" i="19"/>
  <c r="T2483" i="19"/>
  <c r="T1328" i="19"/>
  <c r="T556" i="19"/>
  <c r="T1931" i="19"/>
  <c r="T1847" i="19"/>
  <c r="T1895" i="19"/>
  <c r="T772" i="19"/>
  <c r="T2426" i="19"/>
  <c r="T2205" i="19"/>
  <c r="T745" i="19"/>
  <c r="T277" i="19"/>
  <c r="Q752" i="1"/>
  <c r="T2019" i="19"/>
  <c r="T344" i="19"/>
  <c r="T2324" i="19"/>
  <c r="T1644" i="19"/>
  <c r="T1842" i="19"/>
  <c r="T143" i="19"/>
  <c r="T576" i="19"/>
  <c r="T202" i="19"/>
  <c r="T1636" i="19"/>
  <c r="T2252" i="19"/>
  <c r="T2346" i="19"/>
  <c r="T1769" i="19"/>
  <c r="T2018" i="19"/>
  <c r="T540" i="19"/>
  <c r="T1841" i="19"/>
  <c r="T893" i="19"/>
  <c r="T806" i="19"/>
  <c r="T2364" i="19"/>
  <c r="T174" i="19"/>
  <c r="T1809" i="19"/>
  <c r="T161" i="19"/>
  <c r="T280" i="19"/>
  <c r="T2382" i="19"/>
  <c r="T1837" i="19"/>
  <c r="T1779" i="19"/>
  <c r="T403" i="19"/>
  <c r="T2338" i="19"/>
  <c r="Q353" i="1"/>
  <c r="T1863" i="19"/>
  <c r="T1831" i="19"/>
  <c r="T1610" i="19"/>
  <c r="T1244" i="19"/>
  <c r="Q302" i="1"/>
  <c r="T1757" i="19"/>
  <c r="T679" i="19"/>
  <c r="T2319" i="19"/>
  <c r="T855" i="19"/>
  <c r="T308" i="19"/>
  <c r="T1661" i="19"/>
  <c r="Q734" i="1"/>
  <c r="Q407" i="1"/>
  <c r="T2029" i="19"/>
  <c r="T178" i="19"/>
  <c r="T1257" i="19"/>
  <c r="T608" i="19"/>
  <c r="T897" i="19"/>
  <c r="T477" i="19"/>
  <c r="T2436" i="19"/>
  <c r="T610" i="19"/>
  <c r="T2057" i="19"/>
  <c r="T1867" i="19"/>
  <c r="T2124" i="19"/>
  <c r="T1869" i="19"/>
  <c r="T726" i="19"/>
  <c r="T2169" i="19"/>
  <c r="T1975" i="19"/>
  <c r="Q299" i="1"/>
  <c r="T2042" i="19"/>
  <c r="T1180" i="19"/>
  <c r="T2020" i="19"/>
  <c r="T2457" i="19"/>
  <c r="T2310" i="19"/>
  <c r="T476" i="19"/>
  <c r="T2175" i="19"/>
  <c r="T656" i="19"/>
  <c r="R383" i="1"/>
  <c r="S503" i="1"/>
  <c r="T609" i="19"/>
  <c r="T2386" i="19"/>
  <c r="T1887" i="19"/>
  <c r="T493" i="19"/>
  <c r="Q311" i="1"/>
  <c r="T2360" i="19"/>
  <c r="T1945" i="19"/>
  <c r="T2210" i="19"/>
  <c r="T2014" i="19"/>
  <c r="T1974" i="19"/>
  <c r="T2376" i="19"/>
  <c r="S697" i="1"/>
  <c r="R697" i="1"/>
  <c r="Q697" i="1"/>
  <c r="S2022" i="1"/>
  <c r="R2022" i="1"/>
  <c r="Q2022" i="1"/>
  <c r="T826" i="19"/>
  <c r="T2461" i="19"/>
  <c r="T2328" i="19"/>
  <c r="T2104" i="19"/>
  <c r="T293" i="19"/>
  <c r="T259" i="19"/>
  <c r="T2372" i="19"/>
  <c r="Q341" i="1"/>
  <c r="T1833" i="19"/>
  <c r="T1981" i="19"/>
  <c r="T1655" i="19"/>
  <c r="T712" i="19"/>
  <c r="T1643" i="19"/>
  <c r="T945" i="19"/>
  <c r="T662" i="19"/>
  <c r="T2172" i="19"/>
  <c r="T2081" i="19"/>
  <c r="T2212" i="19"/>
  <c r="T340" i="19"/>
  <c r="T332" i="19"/>
  <c r="T1771" i="19"/>
  <c r="T325" i="19"/>
  <c r="T732" i="19"/>
  <c r="T2255" i="19"/>
  <c r="Q359" i="1"/>
  <c r="T1645" i="19"/>
  <c r="T605" i="19"/>
  <c r="T1575" i="19"/>
  <c r="T639" i="19"/>
  <c r="T2435" i="19"/>
  <c r="T257" i="19"/>
  <c r="T2405" i="19"/>
  <c r="T2442" i="19"/>
  <c r="R752" i="1"/>
  <c r="T43" i="19"/>
  <c r="T2241" i="19"/>
  <c r="T721" i="19"/>
  <c r="T2254" i="19"/>
  <c r="R290" i="1"/>
  <c r="T1702" i="19"/>
  <c r="T515" i="19"/>
  <c r="T170" i="19"/>
  <c r="T755" i="19"/>
  <c r="T1855" i="19"/>
  <c r="T2295" i="19"/>
  <c r="T2421" i="19"/>
  <c r="T1927" i="19"/>
  <c r="T742" i="19"/>
  <c r="T1660" i="19"/>
  <c r="T295" i="19"/>
  <c r="T2050" i="19"/>
  <c r="R1625" i="19"/>
  <c r="Q1625" i="19"/>
  <c r="S1625" i="19"/>
  <c r="T1450" i="19"/>
  <c r="T1269" i="19"/>
  <c r="T619" i="19"/>
  <c r="T622" i="19"/>
  <c r="T1845" i="19"/>
  <c r="T1893" i="19"/>
  <c r="T775" i="19"/>
  <c r="T2427" i="19"/>
  <c r="T262" i="19"/>
  <c r="T2082" i="19"/>
  <c r="T1909" i="19"/>
  <c r="T2193" i="19"/>
  <c r="T749" i="19"/>
  <c r="T482" i="19"/>
  <c r="T401" i="19"/>
  <c r="T2262" i="19"/>
  <c r="T2166" i="19"/>
  <c r="T1898" i="19"/>
  <c r="T1843" i="19"/>
  <c r="R353" i="1"/>
  <c r="T155" i="19"/>
  <c r="R302" i="1"/>
  <c r="T1922" i="19"/>
  <c r="R265" i="1"/>
  <c r="T316" i="19"/>
  <c r="T2353" i="19"/>
  <c r="T2362" i="19"/>
  <c r="T2072" i="19"/>
  <c r="R734" i="1"/>
  <c r="T1870" i="19"/>
  <c r="T727" i="19"/>
  <c r="T2041" i="19"/>
  <c r="T1743" i="19"/>
  <c r="T1576" i="19"/>
  <c r="T2330" i="19"/>
  <c r="T196" i="19"/>
  <c r="T1921" i="19"/>
  <c r="T2447" i="19"/>
  <c r="Q335" i="1"/>
  <c r="T2034" i="19"/>
  <c r="T1832" i="19"/>
  <c r="T2223" i="19"/>
  <c r="T1657" i="19"/>
  <c r="T715" i="19"/>
  <c r="T667" i="19"/>
  <c r="T351" i="19"/>
  <c r="T1213" i="19"/>
  <c r="T1760" i="19"/>
  <c r="S260" i="1"/>
  <c r="Q503" i="1"/>
  <c r="T2138" i="19"/>
  <c r="T2214" i="19"/>
  <c r="T334" i="19"/>
  <c r="R311" i="1"/>
  <c r="T1834" i="19"/>
  <c r="T327" i="19"/>
  <c r="T731" i="19"/>
  <c r="T2064" i="19"/>
  <c r="T2168" i="19"/>
  <c r="T356" i="19"/>
  <c r="T604" i="19"/>
  <c r="S2021" i="1"/>
  <c r="R2021" i="1"/>
  <c r="Q2021" i="1"/>
  <c r="T612" i="19"/>
  <c r="T1148" i="19"/>
  <c r="T2333" i="19"/>
  <c r="T369" i="19"/>
  <c r="T1813" i="19"/>
  <c r="T761" i="19"/>
  <c r="T2144" i="19"/>
  <c r="T1750" i="19"/>
  <c r="R341" i="1"/>
  <c r="T2035" i="19"/>
  <c r="T2349" i="19"/>
  <c r="T2256" i="19"/>
  <c r="T2369" i="19"/>
  <c r="T1366" i="19"/>
  <c r="T2306" i="19"/>
  <c r="T1998" i="19"/>
  <c r="T1652" i="19"/>
  <c r="T2026" i="19"/>
  <c r="T2406" i="19"/>
  <c r="T434" i="19"/>
  <c r="T1751" i="19"/>
  <c r="T309" i="19"/>
  <c r="Q485" i="1"/>
  <c r="T2453" i="19"/>
  <c r="Q716" i="1"/>
  <c r="T708" i="19"/>
  <c r="R359" i="1"/>
  <c r="T507" i="19"/>
  <c r="T1775" i="19"/>
  <c r="T367" i="19"/>
  <c r="T1883" i="19"/>
  <c r="T2186" i="19"/>
  <c r="T2297" i="19"/>
  <c r="T1635" i="19"/>
  <c r="T2062" i="19"/>
  <c r="T331" i="19"/>
  <c r="T484" i="19"/>
  <c r="T1938" i="19"/>
  <c r="T358" i="19"/>
  <c r="S290" i="1"/>
  <c r="T1418" i="19"/>
  <c r="T2480" i="19"/>
  <c r="T1577" i="19"/>
  <c r="T1584" i="19"/>
  <c r="T1617" i="19"/>
  <c r="Q284" i="1"/>
  <c r="T2434" i="19"/>
  <c r="T2321" i="19"/>
  <c r="T2268" i="19"/>
  <c r="T275" i="19"/>
  <c r="T1838" i="19"/>
  <c r="T736" i="19"/>
  <c r="T2142" i="19"/>
  <c r="T505" i="19"/>
  <c r="T1045" i="19"/>
  <c r="T946" i="19"/>
  <c r="T1929" i="19"/>
  <c r="T169" i="19"/>
  <c r="T2094" i="19"/>
  <c r="T2009" i="19"/>
  <c r="T2055" i="19"/>
  <c r="T1977" i="19"/>
  <c r="T2450" i="19"/>
  <c r="S347" i="1"/>
  <c r="T1907" i="19"/>
  <c r="T2141" i="19"/>
  <c r="T1172" i="19"/>
  <c r="T2258" i="19"/>
  <c r="S265" i="1"/>
  <c r="T2414" i="19"/>
  <c r="T1903" i="19"/>
  <c r="T199" i="19"/>
  <c r="T2002" i="19"/>
  <c r="S734" i="1"/>
  <c r="T2170" i="19"/>
  <c r="T1897" i="19"/>
  <c r="T1204" i="19"/>
  <c r="T2282" i="19"/>
  <c r="T1756" i="19"/>
  <c r="T499" i="19"/>
  <c r="T264" i="19"/>
  <c r="T856" i="19"/>
  <c r="R335" i="1"/>
  <c r="Q323" i="1"/>
  <c r="T537" i="19"/>
  <c r="T2290" i="19"/>
  <c r="T177" i="19"/>
  <c r="T374" i="19"/>
  <c r="T2265" i="19"/>
  <c r="T1504" i="19"/>
  <c r="T683" i="19"/>
  <c r="T2329" i="19"/>
  <c r="Q260" i="1"/>
  <c r="T436" i="19"/>
  <c r="T2408" i="19"/>
  <c r="T1801" i="19"/>
  <c r="T2222" i="19"/>
  <c r="T2003" i="19"/>
  <c r="T2123" i="19"/>
  <c r="T286" i="19"/>
  <c r="T536" i="19"/>
  <c r="S644" i="19"/>
  <c r="R644" i="19"/>
  <c r="Q644" i="19"/>
  <c r="T1084" i="19"/>
  <c r="T2277" i="19"/>
  <c r="T518" i="19"/>
  <c r="T475" i="19"/>
  <c r="T758" i="19"/>
  <c r="T2357" i="19"/>
  <c r="T435" i="19"/>
  <c r="T2385" i="19"/>
  <c r="T1886" i="19"/>
  <c r="T2444" i="19"/>
  <c r="T2439" i="19"/>
  <c r="T1879" i="19"/>
  <c r="T2244" i="19"/>
  <c r="T355" i="19"/>
  <c r="T2288" i="19"/>
  <c r="T144" i="19"/>
  <c r="T1107" i="19"/>
  <c r="T2379" i="19"/>
  <c r="T364" i="19"/>
  <c r="T2217" i="19"/>
  <c r="T655" i="19"/>
  <c r="T1789" i="19"/>
  <c r="Q746" i="1"/>
  <c r="T273" i="19"/>
  <c r="R485" i="1"/>
  <c r="T2122" i="19"/>
  <c r="R716" i="1"/>
  <c r="T1825" i="19"/>
  <c r="T738" i="19"/>
  <c r="T2287" i="19"/>
  <c r="T862" i="19"/>
  <c r="T2482" i="19"/>
  <c r="T1392" i="19"/>
  <c r="T516" i="19"/>
  <c r="T1997" i="19"/>
  <c r="T478" i="19"/>
  <c r="T756" i="19"/>
  <c r="T1853" i="19"/>
  <c r="T2322" i="19"/>
  <c r="T1793" i="19"/>
  <c r="T495" i="19"/>
  <c r="Q296" i="1"/>
  <c r="T2125" i="19"/>
  <c r="T1874" i="19"/>
  <c r="T405" i="19"/>
  <c r="T2039" i="19"/>
  <c r="T2162" i="19"/>
  <c r="T1999" i="19"/>
  <c r="R284" i="1"/>
  <c r="T1881" i="19"/>
  <c r="T379" i="19"/>
  <c r="T502" i="19"/>
  <c r="T681" i="19"/>
  <c r="R281" i="1"/>
  <c r="T1787" i="19"/>
  <c r="T494" i="19"/>
  <c r="T1902" i="19"/>
  <c r="T2149" i="19"/>
  <c r="T328" i="19"/>
  <c r="T397" i="19"/>
  <c r="T2202" i="19"/>
  <c r="T595" i="19"/>
  <c r="T1411" i="19"/>
  <c r="T988" i="19"/>
  <c r="T2334" i="19"/>
  <c r="T2433" i="19"/>
  <c r="T1798" i="19"/>
  <c r="T2180" i="19"/>
  <c r="T1953" i="19"/>
  <c r="T2250" i="19"/>
  <c r="T2345" i="19"/>
  <c r="T1784" i="19"/>
  <c r="T1919" i="19"/>
  <c r="T1820" i="19"/>
  <c r="Q347" i="1"/>
  <c r="T2049" i="19"/>
  <c r="T91" i="19"/>
  <c r="T669" i="19"/>
  <c r="T1670" i="19"/>
  <c r="T1679" i="19"/>
  <c r="T2218" i="19"/>
  <c r="T173" i="19"/>
  <c r="T500" i="19"/>
  <c r="T147" i="19"/>
  <c r="T861" i="19"/>
  <c r="T2091" i="19"/>
  <c r="T2150" i="19"/>
  <c r="T481" i="19"/>
  <c r="T2128" i="19"/>
  <c r="T1862" i="19"/>
  <c r="T1357" i="19"/>
  <c r="T429" i="19"/>
  <c r="T2185" i="19"/>
  <c r="T2374" i="19"/>
  <c r="T2204" i="19"/>
  <c r="T166" i="19"/>
  <c r="T2251" i="19"/>
  <c r="T152" i="19"/>
  <c r="R323" i="1"/>
  <c r="T1738" i="19"/>
  <c r="T1777" i="19"/>
  <c r="T1748" i="19"/>
  <c r="T179" i="19"/>
  <c r="T2187" i="19"/>
  <c r="T524" i="19"/>
  <c r="S2023" i="1"/>
  <c r="R2023" i="1"/>
  <c r="Q2023" i="1"/>
  <c r="T1830" i="19"/>
  <c r="T195" i="19"/>
  <c r="T314" i="19"/>
  <c r="T337" i="19"/>
  <c r="T1866" i="19"/>
  <c r="T1871" i="19"/>
  <c r="Q704" i="1"/>
  <c r="T1817" i="19"/>
  <c r="T1799" i="19"/>
  <c r="T1728" i="19"/>
  <c r="T304" i="19"/>
  <c r="Q365" i="1"/>
  <c r="T2190" i="19"/>
  <c r="T2174" i="19"/>
  <c r="T2136" i="19"/>
  <c r="T150" i="19"/>
  <c r="T126" i="19"/>
  <c r="T321" i="19"/>
  <c r="T346" i="19"/>
  <c r="T2047" i="19"/>
  <c r="T2276" i="19"/>
  <c r="T2459" i="19"/>
  <c r="T292" i="19"/>
  <c r="T1806" i="19"/>
  <c r="T381" i="19"/>
  <c r="T2428" i="19"/>
  <c r="T1637" i="19"/>
  <c r="T2446" i="19"/>
  <c r="R746" i="1"/>
  <c r="T1913" i="19"/>
  <c r="T1745" i="19"/>
  <c r="T2066" i="19"/>
  <c r="T2046" i="19"/>
  <c r="T643" i="19"/>
  <c r="T1186" i="19"/>
  <c r="T363" i="19"/>
  <c r="T182" i="19"/>
  <c r="T2176" i="19"/>
  <c r="T428" i="19"/>
  <c r="T2462" i="19"/>
  <c r="T433" i="19"/>
  <c r="T2418" i="19"/>
  <c r="T1770" i="19"/>
  <c r="R296" i="1"/>
  <c r="T1982" i="19"/>
  <c r="T1824" i="19"/>
  <c r="T2370" i="19"/>
  <c r="T2341" i="19"/>
  <c r="T1203" i="19"/>
  <c r="T1839" i="19"/>
  <c r="T2365" i="19"/>
  <c r="T362" i="19"/>
  <c r="T2173" i="19"/>
  <c r="Q776" i="1"/>
  <c r="T427" i="19"/>
  <c r="T2006" i="19"/>
  <c r="T1792" i="19"/>
  <c r="S281" i="1"/>
  <c r="T2451" i="19"/>
  <c r="T1905" i="19"/>
  <c r="T720" i="19"/>
  <c r="T2378" i="19"/>
  <c r="T677" i="19"/>
  <c r="T2063" i="19"/>
  <c r="T1854" i="19"/>
  <c r="T2384" i="19"/>
  <c r="T1926" i="19"/>
  <c r="T857" i="19"/>
  <c r="T1659" i="19"/>
  <c r="T274" i="19"/>
  <c r="T1901" i="19"/>
  <c r="T2226" i="19"/>
  <c r="Q270" i="1"/>
  <c r="T594" i="19"/>
  <c r="T163" i="19"/>
  <c r="R1720" i="19"/>
  <c r="S1720" i="19"/>
  <c r="Q1720" i="19"/>
  <c r="T1132" i="19"/>
  <c r="T1766" i="19"/>
  <c r="T686" i="19"/>
  <c r="T2160" i="19"/>
  <c r="T430" i="19"/>
  <c r="T2010" i="19"/>
  <c r="T2266" i="19"/>
  <c r="T2381" i="19"/>
  <c r="T1836" i="19"/>
  <c r="T2013" i="19"/>
  <c r="T668" i="19"/>
  <c r="T1840" i="19"/>
  <c r="T30" i="19"/>
  <c r="T1639" i="19"/>
  <c r="T1638" i="19"/>
  <c r="T158" i="19"/>
  <c r="T762" i="19"/>
  <c r="T146" i="19"/>
  <c r="T307" i="19"/>
  <c r="T1742" i="19"/>
  <c r="S323" i="1"/>
  <c r="T399" i="19"/>
  <c r="T544" i="19"/>
  <c r="T2184" i="19"/>
  <c r="T1754" i="19"/>
  <c r="T165" i="19"/>
  <c r="T2445" i="19"/>
  <c r="T1741" i="19"/>
  <c r="T1656" i="19"/>
  <c r="T714" i="19"/>
  <c r="R704" i="1"/>
  <c r="T267" i="19"/>
  <c r="T298" i="19"/>
  <c r="S699" i="1"/>
  <c r="Q699" i="1"/>
  <c r="R699" i="1"/>
  <c r="T1482" i="19"/>
  <c r="T1711" i="19"/>
  <c r="T2283" i="19"/>
  <c r="T1653" i="19"/>
  <c r="T313" i="19"/>
  <c r="T743" i="19"/>
  <c r="T1946" i="19"/>
  <c r="T2208" i="19"/>
  <c r="T703" i="19"/>
  <c r="T2156" i="19"/>
  <c r="T508" i="19"/>
  <c r="T2143" i="19"/>
  <c r="T2332" i="19"/>
  <c r="T1829" i="19"/>
  <c r="T1935" i="19"/>
  <c r="T773" i="19"/>
  <c r="T258" i="19"/>
  <c r="T2423" i="19"/>
  <c r="S746" i="1"/>
  <c r="T278" i="19"/>
  <c r="T125" i="19"/>
  <c r="T2348" i="19"/>
  <c r="T2389" i="19"/>
  <c r="T534" i="19"/>
  <c r="T406" i="19"/>
  <c r="T376" i="19"/>
  <c r="T1386" i="19"/>
  <c r="T1416" i="19"/>
  <c r="T973" i="19"/>
  <c r="T588" i="19"/>
  <c r="T1651" i="19"/>
  <c r="T2025" i="19"/>
  <c r="T2080" i="19"/>
  <c r="T1911" i="19"/>
  <c r="T319" i="19"/>
  <c r="T1906" i="19"/>
  <c r="T2248" i="19"/>
  <c r="T2101" i="19"/>
  <c r="T2286" i="19"/>
  <c r="T1398" i="19"/>
  <c r="T1277" i="19"/>
  <c r="T2220" i="19"/>
  <c r="T2416" i="19"/>
  <c r="T2079" i="19"/>
  <c r="T2198" i="19"/>
  <c r="T1821" i="19"/>
  <c r="T2240" i="19"/>
  <c r="T357" i="19"/>
  <c r="T156" i="19"/>
  <c r="T1212" i="19"/>
  <c r="T1302" i="19"/>
  <c r="T1994" i="19"/>
  <c r="T283" i="19"/>
  <c r="T1923" i="19"/>
  <c r="T501" i="19"/>
  <c r="T2294" i="19"/>
  <c r="T2325" i="19"/>
  <c r="T2243" i="19"/>
  <c r="T2158" i="19"/>
  <c r="T2377" i="19"/>
  <c r="T2043" i="19"/>
  <c r="T676" i="19"/>
  <c r="T1193" i="19"/>
  <c r="T1630" i="19"/>
  <c r="T1796" i="19"/>
  <c r="T763" i="19"/>
  <c r="T748" i="19"/>
  <c r="T563" i="19"/>
  <c r="T2157" i="19"/>
  <c r="T2102" i="19"/>
  <c r="T352" i="19"/>
  <c r="T562" i="19"/>
  <c r="T1135" i="19"/>
  <c r="T1056" i="19"/>
  <c r="T2117" i="19"/>
  <c r="T511" i="19"/>
  <c r="T2358" i="19"/>
  <c r="T1885" i="19"/>
  <c r="T860" i="19"/>
  <c r="T2361" i="19"/>
  <c r="T2015" i="19"/>
  <c r="T722" i="19"/>
  <c r="T1611" i="19"/>
  <c r="T799" i="19"/>
  <c r="T1026" i="19"/>
  <c r="T2105" i="19"/>
  <c r="T1934" i="19"/>
  <c r="T754" i="19"/>
  <c r="T2356" i="19"/>
  <c r="T744" i="19"/>
  <c r="T2033" i="19"/>
  <c r="T127" i="19"/>
  <c r="T2350" i="19"/>
  <c r="T2388" i="19"/>
  <c r="T373" i="19"/>
  <c r="O2552" i="19"/>
  <c r="T2071" i="19" l="1"/>
  <c r="T2071" i="32"/>
  <c r="T2441" i="32"/>
  <c r="T1804" i="31"/>
  <c r="T2441" i="19"/>
  <c r="T1804" i="19"/>
  <c r="T1804" i="32"/>
  <c r="T2452" i="31"/>
  <c r="T2452" i="32"/>
  <c r="T2454" i="19"/>
  <c r="T2454" i="32"/>
  <c r="T2454" i="31"/>
  <c r="T2146" i="31"/>
  <c r="T2271" i="19"/>
  <c r="T2307" i="19"/>
  <c r="T2119" i="32"/>
  <c r="T2119" i="31"/>
  <c r="T2267" i="19"/>
  <c r="T2118" i="19"/>
  <c r="T2352" i="31"/>
  <c r="T2352" i="19"/>
  <c r="T2352" i="32"/>
  <c r="T2021" i="32"/>
  <c r="T2022" i="32"/>
  <c r="T317" i="32"/>
  <c r="T1802" i="32"/>
  <c r="T353" i="32"/>
  <c r="Y260" i="32"/>
  <c r="Y287" i="32"/>
  <c r="Y299" i="32"/>
  <c r="T2307" i="32"/>
  <c r="T347" i="32"/>
  <c r="T290" i="32"/>
  <c r="T880" i="32"/>
  <c r="T764" i="32"/>
  <c r="T2107" i="32"/>
  <c r="T2076" i="32"/>
  <c r="Y311" i="32"/>
  <c r="Y341" i="32"/>
  <c r="T2132" i="32"/>
  <c r="T2133" i="32"/>
  <c r="T2271" i="32"/>
  <c r="T2146" i="32"/>
  <c r="T2023" i="32"/>
  <c r="T710" i="32"/>
  <c r="T2037" i="32"/>
  <c r="Y437" i="32"/>
  <c r="Y371" i="32"/>
  <c r="Y347" i="32"/>
  <c r="Y497" i="32"/>
  <c r="T2089" i="32"/>
  <c r="T2279" i="32"/>
  <c r="T2069" i="32"/>
  <c r="T1778" i="32"/>
  <c r="T2440" i="32"/>
  <c r="T699" i="32"/>
  <c r="T697" i="32"/>
  <c r="T503" i="32"/>
  <c r="T233" i="32"/>
  <c r="T371" i="32"/>
  <c r="T776" i="32"/>
  <c r="T704" i="32"/>
  <c r="T2412" i="32"/>
  <c r="T2280" i="32"/>
  <c r="Y317" i="32"/>
  <c r="Y706" i="32"/>
  <c r="Y329" i="32"/>
  <c r="T2118" i="32"/>
  <c r="T2267" i="32"/>
  <c r="T299" i="32"/>
  <c r="T407" i="32"/>
  <c r="T479" i="32"/>
  <c r="T377" i="32"/>
  <c r="T329" i="32"/>
  <c r="T618" i="32"/>
  <c r="T359" i="32"/>
  <c r="T716" i="32"/>
  <c r="T2230" i="32"/>
  <c r="T2368" i="32"/>
  <c r="T2164" i="32"/>
  <c r="Y284" i="32"/>
  <c r="Y431" i="32"/>
  <c r="Y776" i="32"/>
  <c r="T1973" i="32"/>
  <c r="T734" i="32"/>
  <c r="T287" i="32"/>
  <c r="T431" i="32"/>
  <c r="T270" i="32"/>
  <c r="T365" i="32"/>
  <c r="Y365" i="32"/>
  <c r="Y353" i="32"/>
  <c r="T2074" i="32"/>
  <c r="T2309" i="32"/>
  <c r="T746" i="32"/>
  <c r="T281" i="32"/>
  <c r="T265" i="32"/>
  <c r="T437" i="32"/>
  <c r="T2409" i="32"/>
  <c r="Y503" i="32"/>
  <c r="Y377" i="32"/>
  <c r="Y296" i="32"/>
  <c r="T323" i="32"/>
  <c r="T260" i="32"/>
  <c r="T1993" i="32"/>
  <c r="Y479" i="32"/>
  <c r="Y401" i="32"/>
  <c r="T2417" i="32"/>
  <c r="T1995" i="32"/>
  <c r="Y323" i="32"/>
  <c r="T2466" i="32"/>
  <c r="T2308" i="32"/>
  <c r="Y699" i="32"/>
  <c r="T2420" i="31"/>
  <c r="T2420" i="32"/>
  <c r="T2232" i="31"/>
  <c r="T2232" i="32"/>
  <c r="T752" i="31"/>
  <c r="T752" i="32"/>
  <c r="T2390" i="31"/>
  <c r="T2390" i="32"/>
  <c r="T2075" i="31"/>
  <c r="T2075" i="32"/>
  <c r="T2275" i="31"/>
  <c r="T2275" i="32"/>
  <c r="T1890" i="31"/>
  <c r="T1890" i="32"/>
  <c r="T611" i="31"/>
  <c r="T611" i="32"/>
  <c r="T2188" i="31"/>
  <c r="T2188" i="32"/>
  <c r="T542" i="31"/>
  <c r="T542" i="32"/>
  <c r="T1846" i="31"/>
  <c r="T1846" i="32"/>
  <c r="T2354" i="31"/>
  <c r="T2354" i="32"/>
  <c r="T706" i="31"/>
  <c r="T706" i="32"/>
  <c r="T2344" i="31"/>
  <c r="T2344" i="32"/>
  <c r="T2219" i="31"/>
  <c r="T2219" i="32"/>
  <c r="T2422" i="31"/>
  <c r="T2422" i="32"/>
  <c r="T2229" i="31"/>
  <c r="T2229" i="32"/>
  <c r="T2216" i="31"/>
  <c r="T2216" i="32"/>
  <c r="T675" i="31"/>
  <c r="T675" i="32"/>
  <c r="T2465" i="31"/>
  <c r="T2465" i="32"/>
  <c r="T2373" i="31"/>
  <c r="T2373" i="32"/>
  <c r="T719" i="31"/>
  <c r="T719" i="32"/>
  <c r="T2411" i="31"/>
  <c r="T2411" i="32"/>
  <c r="T2163" i="31"/>
  <c r="T2163" i="32"/>
  <c r="T1810" i="31"/>
  <c r="T1810" i="32"/>
  <c r="T284" i="31"/>
  <c r="T284" i="32"/>
  <c r="Y383" i="31"/>
  <c r="Y383" i="32"/>
  <c r="T2065" i="31"/>
  <c r="T2065" i="32"/>
  <c r="T2181" i="31"/>
  <c r="T2181" i="32"/>
  <c r="T2189" i="31"/>
  <c r="T2189" i="32"/>
  <c r="T2278" i="31"/>
  <c r="T2278" i="32"/>
  <c r="T2263" i="31"/>
  <c r="T2263" i="32"/>
  <c r="T305" i="31"/>
  <c r="T305" i="32"/>
  <c r="T2200" i="31"/>
  <c r="T2200" i="32"/>
  <c r="T2201" i="31"/>
  <c r="T2201" i="32"/>
  <c r="T2145" i="31"/>
  <c r="T2145" i="32"/>
  <c r="T725" i="31"/>
  <c r="T725" i="32"/>
  <c r="T2291" i="31"/>
  <c r="T2291" i="32"/>
  <c r="T2340" i="31"/>
  <c r="T2340" i="32"/>
  <c r="T2130" i="31"/>
  <c r="T2130" i="32"/>
  <c r="T2337" i="31"/>
  <c r="T2337" i="32"/>
  <c r="T2231" i="31"/>
  <c r="T2231" i="32"/>
  <c r="T728" i="31"/>
  <c r="T728" i="32"/>
  <c r="T510" i="31"/>
  <c r="T510" i="32"/>
  <c r="T2137" i="31"/>
  <c r="T2137" i="32"/>
  <c r="T2270" i="31"/>
  <c r="T2270" i="32"/>
  <c r="T737" i="31"/>
  <c r="T737" i="32"/>
  <c r="T296" i="31"/>
  <c r="T296" i="32"/>
  <c r="T2129" i="31"/>
  <c r="T2129" i="32"/>
  <c r="T2464" i="31"/>
  <c r="T2464" i="32"/>
  <c r="T2264" i="31"/>
  <c r="T2264" i="32"/>
  <c r="T335" i="31"/>
  <c r="T335" i="32"/>
  <c r="T485" i="31"/>
  <c r="T485" i="32"/>
  <c r="T2077" i="31"/>
  <c r="T2077" i="32"/>
  <c r="T2161" i="31"/>
  <c r="T2161" i="32"/>
  <c r="T1592" i="31"/>
  <c r="T1592" i="32"/>
  <c r="T2052" i="31"/>
  <c r="T2052" i="32"/>
  <c r="T1648" i="31"/>
  <c r="T1648" i="32"/>
  <c r="T740" i="31"/>
  <c r="T740" i="32"/>
  <c r="T383" i="31"/>
  <c r="T383" i="32"/>
  <c r="T2027" i="31"/>
  <c r="T2027" i="32"/>
  <c r="T2038" i="31"/>
  <c r="T2038" i="32"/>
  <c r="T1800" i="31"/>
  <c r="T1800" i="32"/>
  <c r="T497" i="31"/>
  <c r="T497" i="32"/>
  <c r="T2463" i="31"/>
  <c r="T2463" i="32"/>
  <c r="T302" i="31"/>
  <c r="T302" i="32"/>
  <c r="T2179" i="31"/>
  <c r="T2179" i="32"/>
  <c r="T1808" i="31"/>
  <c r="T1808" i="32"/>
  <c r="T2366" i="31"/>
  <c r="T2366" i="32"/>
  <c r="T2342" i="31"/>
  <c r="T2342" i="32"/>
  <c r="T713" i="31"/>
  <c r="T713" i="32"/>
  <c r="T2067" i="31"/>
  <c r="T2067" i="32"/>
  <c r="T2153" i="31"/>
  <c r="T2153" i="32"/>
  <c r="T1647" i="31"/>
  <c r="T1647" i="32"/>
  <c r="T2415" i="31"/>
  <c r="T2415" i="32"/>
  <c r="T311" i="31"/>
  <c r="T311" i="32"/>
  <c r="T341" i="31"/>
  <c r="T341" i="32"/>
  <c r="T512" i="31"/>
  <c r="T512" i="32"/>
  <c r="T323" i="31"/>
  <c r="T260" i="31"/>
  <c r="T1993" i="31"/>
  <c r="Y479" i="31"/>
  <c r="Y401" i="31"/>
  <c r="T2417" i="19"/>
  <c r="T2417" i="31"/>
  <c r="T1995" i="31"/>
  <c r="Y323" i="31"/>
  <c r="T2466" i="31"/>
  <c r="T2308" i="31"/>
  <c r="Y699" i="31"/>
  <c r="T2021" i="31"/>
  <c r="T2022" i="31"/>
  <c r="T317" i="31"/>
  <c r="T1802" i="31"/>
  <c r="T353" i="31"/>
  <c r="Y260" i="31"/>
  <c r="Y287" i="31"/>
  <c r="Y299" i="31"/>
  <c r="T2307" i="31"/>
  <c r="T347" i="31"/>
  <c r="T290" i="31"/>
  <c r="T880" i="31"/>
  <c r="T764" i="31"/>
  <c r="T2107" i="31"/>
  <c r="T2076" i="31"/>
  <c r="Y311" i="31"/>
  <c r="Y341" i="31"/>
  <c r="T2132" i="31"/>
  <c r="T2133" i="31"/>
  <c r="T2271" i="31"/>
  <c r="T746" i="31"/>
  <c r="T2023" i="31"/>
  <c r="T710" i="31"/>
  <c r="T2037" i="31"/>
  <c r="Y437" i="31"/>
  <c r="Y371" i="31"/>
  <c r="Y347" i="31"/>
  <c r="Y497" i="31"/>
  <c r="T2089" i="19"/>
  <c r="T2089" i="31"/>
  <c r="T2279" i="31"/>
  <c r="T2069" i="31"/>
  <c r="T1778" i="31"/>
  <c r="T2440" i="31"/>
  <c r="T699" i="31"/>
  <c r="T697" i="31"/>
  <c r="T503" i="31"/>
  <c r="T233" i="31"/>
  <c r="T371" i="31"/>
  <c r="T776" i="31"/>
  <c r="T704" i="31"/>
  <c r="T2412" i="31"/>
  <c r="T2280" i="19"/>
  <c r="T2280" i="31"/>
  <c r="Y317" i="31"/>
  <c r="Y706" i="31"/>
  <c r="Y329" i="31"/>
  <c r="T2118" i="31"/>
  <c r="T2267" i="31"/>
  <c r="T299" i="31"/>
  <c r="T407" i="31"/>
  <c r="T479" i="31"/>
  <c r="T377" i="31"/>
  <c r="T329" i="31"/>
  <c r="T618" i="31"/>
  <c r="T359" i="31"/>
  <c r="T716" i="31"/>
  <c r="T2230" i="31"/>
  <c r="T2368" i="31"/>
  <c r="T2164" i="31"/>
  <c r="Y284" i="31"/>
  <c r="Y431" i="31"/>
  <c r="Y776" i="31"/>
  <c r="T1973" i="19"/>
  <c r="T1973" i="31"/>
  <c r="T734" i="31"/>
  <c r="T287" i="31"/>
  <c r="T431" i="31"/>
  <c r="T270" i="31"/>
  <c r="T365" i="31"/>
  <c r="Y365" i="31"/>
  <c r="Y353" i="31"/>
  <c r="T2074" i="31"/>
  <c r="T2309" i="31"/>
  <c r="T281" i="31"/>
  <c r="T265" i="31"/>
  <c r="T437" i="31"/>
  <c r="T2409" i="31"/>
  <c r="Y503" i="31"/>
  <c r="Y377" i="31"/>
  <c r="Y296" i="31"/>
  <c r="T2440" i="19"/>
  <c r="T2308" i="19"/>
  <c r="T1995" i="19"/>
  <c r="T2309" i="19"/>
  <c r="T2466" i="19"/>
  <c r="T2074" i="19"/>
  <c r="T1778" i="19"/>
  <c r="T2368" i="19"/>
  <c r="T2069" i="19"/>
  <c r="T2164" i="19"/>
  <c r="T2132" i="19"/>
  <c r="T2076" i="19"/>
  <c r="T2279" i="19"/>
  <c r="T2409" i="19"/>
  <c r="T1802" i="19"/>
  <c r="T2200" i="19"/>
  <c r="T311" i="19"/>
  <c r="T284" i="19"/>
  <c r="T2344" i="19"/>
  <c r="T296" i="19"/>
  <c r="T2270" i="19"/>
  <c r="T497" i="19"/>
  <c r="T2037" i="19"/>
  <c r="T2145" i="19"/>
  <c r="T2067" i="19"/>
  <c r="T2107" i="19"/>
  <c r="T2412" i="19"/>
  <c r="T353" i="19"/>
  <c r="T1810" i="19"/>
  <c r="T512" i="19"/>
  <c r="T725" i="19"/>
  <c r="T341" i="19"/>
  <c r="T737" i="19"/>
  <c r="T2075" i="19"/>
  <c r="T706" i="19"/>
  <c r="T1800" i="19"/>
  <c r="T2201" i="19"/>
  <c r="T2216" i="19"/>
  <c r="T2465" i="19"/>
  <c r="Y741" i="19"/>
  <c r="T2342" i="19"/>
  <c r="T2390" i="19"/>
  <c r="T2038" i="19"/>
  <c r="T611" i="19"/>
  <c r="T1647" i="19"/>
  <c r="T1890" i="19"/>
  <c r="T675" i="19"/>
  <c r="T2230" i="19"/>
  <c r="T2275" i="19"/>
  <c r="T2153" i="19"/>
  <c r="T2415" i="19"/>
  <c r="T2161" i="19"/>
  <c r="T2137" i="19"/>
  <c r="T2263" i="19"/>
  <c r="T305" i="19"/>
  <c r="T1993" i="19"/>
  <c r="T2163" i="19"/>
  <c r="T719" i="19"/>
  <c r="T1846" i="19"/>
  <c r="T2354" i="19"/>
  <c r="T2411" i="19"/>
  <c r="T542" i="19"/>
  <c r="T2373" i="19"/>
  <c r="T2077" i="19"/>
  <c r="T728" i="19"/>
  <c r="T2463" i="19"/>
  <c r="T713" i="19"/>
  <c r="T2366" i="19"/>
  <c r="T510" i="19"/>
  <c r="T2232" i="19"/>
  <c r="T485" i="19"/>
  <c r="Y353" i="19"/>
  <c r="Y284" i="19"/>
  <c r="Y710" i="19"/>
  <c r="Y752" i="19"/>
  <c r="Y347" i="19"/>
  <c r="Y329" i="19"/>
  <c r="Y299" i="19"/>
  <c r="Y305" i="19"/>
  <c r="Y383" i="19"/>
  <c r="Y716" i="19"/>
  <c r="Y401" i="19"/>
  <c r="Y311" i="19"/>
  <c r="Y697" i="19"/>
  <c r="Y503" i="19"/>
  <c r="Y335" i="19"/>
  <c r="Y359" i="19"/>
  <c r="Y323" i="19"/>
  <c r="Y515" i="19"/>
  <c r="Y260" i="19"/>
  <c r="Y377" i="19"/>
  <c r="Y497" i="19"/>
  <c r="Y728" i="19"/>
  <c r="Y302" i="19"/>
  <c r="Y717" i="19"/>
  <c r="Y521" i="19"/>
  <c r="Y723" i="19"/>
  <c r="Y341" i="19"/>
  <c r="Y290" i="19"/>
  <c r="Y265" i="19"/>
  <c r="Y740" i="19"/>
  <c r="Y764" i="19"/>
  <c r="Y233" i="19"/>
  <c r="Y509" i="19"/>
  <c r="Y711" i="19"/>
  <c r="Y479" i="19"/>
  <c r="Y776" i="19"/>
  <c r="Y704" i="19"/>
  <c r="Y270" i="19"/>
  <c r="Y281" i="19"/>
  <c r="Y287" i="19"/>
  <c r="Y407" i="19"/>
  <c r="Y317" i="19"/>
  <c r="Y365" i="19"/>
  <c r="Y705" i="19"/>
  <c r="Y706" i="19"/>
  <c r="Y371" i="19"/>
  <c r="Y296" i="19"/>
  <c r="Y485" i="19"/>
  <c r="Y699" i="19"/>
  <c r="T2129" i="19"/>
  <c r="T2231" i="19"/>
  <c r="T752" i="19"/>
  <c r="T2229" i="19"/>
  <c r="T1808" i="19"/>
  <c r="T335" i="19"/>
  <c r="T716" i="19"/>
  <c r="T359" i="19"/>
  <c r="T2179" i="19"/>
  <c r="T704" i="19"/>
  <c r="T383" i="19"/>
  <c r="T302" i="19"/>
  <c r="T2065" i="19"/>
  <c r="T2422" i="19"/>
  <c r="T2027" i="19"/>
  <c r="T740" i="19"/>
  <c r="T1648" i="19"/>
  <c r="T2130" i="19"/>
  <c r="T2337" i="19"/>
  <c r="T2464" i="19"/>
  <c r="T2278" i="19"/>
  <c r="T2291" i="19"/>
  <c r="T2189" i="19"/>
  <c r="T2420" i="19"/>
  <c r="T2188" i="19"/>
  <c r="T2340" i="19"/>
  <c r="T2219" i="19"/>
  <c r="T2181" i="19"/>
  <c r="T2052" i="19"/>
  <c r="T2264" i="19"/>
  <c r="T1592" i="19"/>
  <c r="T699" i="19"/>
  <c r="T710" i="19"/>
  <c r="T431" i="19"/>
  <c r="T323" i="19"/>
  <c r="T260" i="19"/>
  <c r="T233" i="19"/>
  <c r="T299" i="19"/>
  <c r="T365" i="19"/>
  <c r="T746" i="19"/>
  <c r="T281" i="19"/>
  <c r="T2022" i="19"/>
  <c r="T270" i="19"/>
  <c r="T618" i="19"/>
  <c r="T347" i="19"/>
  <c r="T290" i="19"/>
  <c r="T437" i="19"/>
  <c r="T479" i="19"/>
  <c r="T287" i="19"/>
  <c r="T734" i="19"/>
  <c r="T697" i="19"/>
  <c r="T407" i="19"/>
  <c r="T317" i="19"/>
  <c r="T764" i="19"/>
  <c r="T377" i="19"/>
  <c r="T2023" i="19"/>
  <c r="T503" i="19"/>
  <c r="T371" i="19"/>
  <c r="T776" i="19"/>
  <c r="T329" i="19"/>
  <c r="T265" i="19"/>
  <c r="T2021" i="19"/>
  <c r="T880" i="19"/>
  <c r="H876" i="19" l="1"/>
  <c r="H875" i="19"/>
  <c r="H877" i="19"/>
  <c r="H878" i="19"/>
  <c r="H871" i="19"/>
  <c r="H874" i="19"/>
  <c r="H879" i="19"/>
  <c r="H872" i="19"/>
  <c r="H873" i="19"/>
  <c r="G529" i="1"/>
  <c r="F508" i="1"/>
  <c r="G529" i="32" l="1"/>
  <c r="G529" i="31"/>
  <c r="F508" i="32"/>
  <c r="F508" i="31"/>
  <c r="G529" i="19"/>
  <c r="F508" i="19"/>
  <c r="G2102" i="1" l="1"/>
  <c r="G2101" i="1"/>
  <c r="G2100" i="1"/>
  <c r="G2099" i="1"/>
  <c r="G2097" i="1"/>
  <c r="G2096" i="1"/>
  <c r="G2095" i="1"/>
  <c r="G2094" i="1"/>
  <c r="G2092" i="1"/>
  <c r="G2091" i="1"/>
  <c r="G2090" i="1"/>
  <c r="G2089" i="1"/>
  <c r="G2087" i="1"/>
  <c r="G2086" i="1"/>
  <c r="G2085" i="1"/>
  <c r="G2084" i="1"/>
  <c r="G2082" i="1"/>
  <c r="G2081" i="1"/>
  <c r="G2080" i="1"/>
  <c r="G2079" i="1"/>
  <c r="G2077" i="1"/>
  <c r="G2076" i="1"/>
  <c r="G2075" i="1"/>
  <c r="G2074" i="1"/>
  <c r="G2072" i="1"/>
  <c r="G2071" i="1"/>
  <c r="G2070" i="1"/>
  <c r="G2069" i="1"/>
  <c r="G2067" i="1"/>
  <c r="G2066" i="1"/>
  <c r="G2065" i="1"/>
  <c r="G2064" i="1"/>
  <c r="G2062" i="1"/>
  <c r="G2061" i="1"/>
  <c r="G2060" i="1"/>
  <c r="G2059" i="1"/>
  <c r="G2057" i="1"/>
  <c r="G2056" i="1"/>
  <c r="G2055" i="1"/>
  <c r="G2054" i="1"/>
  <c r="G2052" i="1"/>
  <c r="G2051" i="1"/>
  <c r="G2050" i="1"/>
  <c r="G2049" i="1"/>
  <c r="G2047" i="1"/>
  <c r="G2046" i="1"/>
  <c r="G2045" i="1"/>
  <c r="G2043" i="1"/>
  <c r="G2042" i="1"/>
  <c r="G2041" i="1"/>
  <c r="G2039" i="1"/>
  <c r="G2038" i="1"/>
  <c r="G2037" i="1"/>
  <c r="G2035" i="1"/>
  <c r="G2034" i="1"/>
  <c r="G2033" i="1"/>
  <c r="G2031" i="1"/>
  <c r="G2030" i="1"/>
  <c r="G2029" i="1"/>
  <c r="G2027" i="1"/>
  <c r="G2026" i="1"/>
  <c r="G2025" i="1"/>
  <c r="G2023" i="1"/>
  <c r="G2022" i="1"/>
  <c r="G2021" i="1"/>
  <c r="G2019" i="1"/>
  <c r="G2018" i="1"/>
  <c r="G2017" i="1"/>
  <c r="G2015" i="1"/>
  <c r="G2014" i="1"/>
  <c r="G2013" i="1"/>
  <c r="G2011" i="1"/>
  <c r="G2010" i="1"/>
  <c r="G2009" i="1"/>
  <c r="G2007" i="1"/>
  <c r="G2006" i="1"/>
  <c r="G2005" i="1"/>
  <c r="G2003" i="1"/>
  <c r="G2002" i="1"/>
  <c r="G2001" i="1"/>
  <c r="G1999" i="1"/>
  <c r="G1998" i="1"/>
  <c r="G1997" i="1"/>
  <c r="G1995" i="1"/>
  <c r="G1994" i="1"/>
  <c r="G1993" i="1"/>
  <c r="G1991" i="1"/>
  <c r="G1990" i="1"/>
  <c r="G1989" i="1"/>
  <c r="G1987" i="1"/>
  <c r="G1986" i="1"/>
  <c r="G1985" i="1"/>
  <c r="G1983" i="1"/>
  <c r="G1982" i="1"/>
  <c r="G1981" i="1"/>
  <c r="G1979" i="1"/>
  <c r="G1978" i="1"/>
  <c r="G1977" i="1"/>
  <c r="G1975" i="1"/>
  <c r="G1974" i="1"/>
  <c r="G1973" i="1"/>
  <c r="G1971" i="1"/>
  <c r="G1970" i="1"/>
  <c r="G1969" i="1"/>
  <c r="G1967" i="1"/>
  <c r="G1966" i="1"/>
  <c r="G1965" i="1"/>
  <c r="G1963" i="1"/>
  <c r="G1962" i="1"/>
  <c r="G1961" i="1"/>
  <c r="G1959" i="1"/>
  <c r="G1958" i="1"/>
  <c r="G1957" i="1"/>
  <c r="G1955" i="1"/>
  <c r="G1954" i="1"/>
  <c r="G1953" i="1"/>
  <c r="G1951" i="1"/>
  <c r="G1950" i="1"/>
  <c r="G1949" i="1"/>
  <c r="G1947" i="1"/>
  <c r="G1946" i="1"/>
  <c r="G1945" i="1"/>
  <c r="G1943" i="1"/>
  <c r="G1942" i="1"/>
  <c r="G1941" i="1"/>
  <c r="G1939" i="1"/>
  <c r="G1938" i="1"/>
  <c r="G1937" i="1"/>
  <c r="G1935" i="1"/>
  <c r="G1934" i="1"/>
  <c r="G1933" i="1"/>
  <c r="G1931" i="1"/>
  <c r="G1930" i="1"/>
  <c r="G1929" i="1"/>
  <c r="G1927" i="1"/>
  <c r="G1926" i="1"/>
  <c r="G1925" i="1"/>
  <c r="G1923" i="1"/>
  <c r="G1922" i="1"/>
  <c r="G1921" i="1"/>
  <c r="G1919" i="1"/>
  <c r="G1918" i="1"/>
  <c r="G1917" i="1"/>
  <c r="G1915" i="1"/>
  <c r="G1914" i="1"/>
  <c r="G1913" i="1"/>
  <c r="G1911" i="1"/>
  <c r="G1910" i="1"/>
  <c r="G1909" i="1"/>
  <c r="G1907" i="1"/>
  <c r="G1906" i="1"/>
  <c r="G1905" i="1"/>
  <c r="G1903" i="1"/>
  <c r="G1902" i="1"/>
  <c r="G1901" i="1"/>
  <c r="G1899" i="1"/>
  <c r="G1898" i="1"/>
  <c r="G1897" i="1"/>
  <c r="G1895" i="1"/>
  <c r="G1894" i="1"/>
  <c r="G1893" i="1"/>
  <c r="G1891" i="1"/>
  <c r="G1890" i="1"/>
  <c r="G1889" i="1"/>
  <c r="G1887" i="1"/>
  <c r="G1886" i="1"/>
  <c r="G1885" i="1"/>
  <c r="G1883" i="1"/>
  <c r="G1882" i="1"/>
  <c r="G1881" i="1"/>
  <c r="G1879" i="1"/>
  <c r="G1878" i="1"/>
  <c r="G1877" i="1"/>
  <c r="G1875" i="1"/>
  <c r="G1874" i="1"/>
  <c r="G1873" i="1"/>
  <c r="G1871" i="1"/>
  <c r="G1870" i="1"/>
  <c r="G1869" i="1"/>
  <c r="G1867" i="1"/>
  <c r="G1866" i="1"/>
  <c r="G1865" i="1"/>
  <c r="G1863" i="1"/>
  <c r="G1862" i="1"/>
  <c r="G1861" i="1"/>
  <c r="G1859" i="1"/>
  <c r="G1858" i="1"/>
  <c r="G1857" i="1"/>
  <c r="G1855" i="1"/>
  <c r="G1854" i="1"/>
  <c r="G1853" i="1"/>
  <c r="G1851" i="1"/>
  <c r="G1850" i="1"/>
  <c r="G1849" i="1"/>
  <c r="G1847" i="1"/>
  <c r="G1846" i="1"/>
  <c r="G1845" i="1"/>
  <c r="G1843" i="1"/>
  <c r="G1842" i="1"/>
  <c r="G1841" i="1"/>
  <c r="G1840" i="1"/>
  <c r="G1838" i="1"/>
  <c r="G1837" i="1"/>
  <c r="G1836" i="1"/>
  <c r="G1834" i="1"/>
  <c r="G1833" i="1"/>
  <c r="G1832" i="1"/>
  <c r="G1830" i="1"/>
  <c r="G1829" i="1"/>
  <c r="G1828" i="1"/>
  <c r="G1826" i="1"/>
  <c r="G1825" i="1"/>
  <c r="G1824" i="1"/>
  <c r="G1822" i="1"/>
  <c r="G1821" i="1"/>
  <c r="G1820" i="1"/>
  <c r="G1818" i="1"/>
  <c r="G1817" i="1"/>
  <c r="G1816" i="1"/>
  <c r="G1814" i="1"/>
  <c r="G1813" i="1"/>
  <c r="G1812" i="1"/>
  <c r="G1810" i="1"/>
  <c r="G1809" i="1"/>
  <c r="G1808" i="1"/>
  <c r="G1806" i="1"/>
  <c r="G1805" i="1"/>
  <c r="G1804" i="1"/>
  <c r="G1802" i="1"/>
  <c r="G1801" i="1"/>
  <c r="G1800" i="1"/>
  <c r="G1798" i="1"/>
  <c r="G1797" i="1"/>
  <c r="G1796" i="1"/>
  <c r="G1794" i="1"/>
  <c r="G1793" i="1"/>
  <c r="G1792" i="1"/>
  <c r="G1790" i="1"/>
  <c r="G1789" i="1"/>
  <c r="G1787" i="1"/>
  <c r="G1786" i="1"/>
  <c r="G1784" i="1"/>
  <c r="G1783" i="1"/>
  <c r="G1781" i="1"/>
  <c r="G1780" i="1"/>
  <c r="G1779" i="1"/>
  <c r="G1778" i="1"/>
  <c r="G1777" i="1"/>
  <c r="G1775" i="1"/>
  <c r="G1774" i="1"/>
  <c r="G1773" i="1"/>
  <c r="G1772" i="1"/>
  <c r="G1771" i="1"/>
  <c r="G1770" i="1"/>
  <c r="G1769" i="1"/>
  <c r="G1767" i="1"/>
  <c r="G1766" i="1"/>
  <c r="G1765" i="1"/>
  <c r="G1764" i="1"/>
  <c r="G1763" i="1"/>
  <c r="G1757" i="1"/>
  <c r="G1756" i="1"/>
  <c r="G1754" i="1"/>
  <c r="G1753" i="1"/>
  <c r="G1751" i="1"/>
  <c r="G1750" i="1"/>
  <c r="G1748" i="1"/>
  <c r="G1747" i="1"/>
  <c r="G1745" i="1"/>
  <c r="G1744" i="1"/>
  <c r="G1742" i="1"/>
  <c r="G1741" i="1"/>
  <c r="G1739" i="1"/>
  <c r="G1738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683" i="1"/>
  <c r="G1673" i="1"/>
  <c r="G1672" i="1"/>
  <c r="G1661" i="1"/>
  <c r="G1660" i="1"/>
  <c r="G1659" i="1"/>
  <c r="G1657" i="1"/>
  <c r="G1656" i="1"/>
  <c r="G1655" i="1"/>
  <c r="G1653" i="1"/>
  <c r="G1652" i="1"/>
  <c r="G1651" i="1"/>
  <c r="G1649" i="1"/>
  <c r="G1648" i="1"/>
  <c r="G1647" i="1"/>
  <c r="G1645" i="1"/>
  <c r="G1644" i="1"/>
  <c r="G1643" i="1"/>
  <c r="G1641" i="1"/>
  <c r="G1639" i="1"/>
  <c r="G1638" i="1"/>
  <c r="G1637" i="1"/>
  <c r="G1636" i="1"/>
  <c r="G1635" i="1"/>
  <c r="G1633" i="1"/>
  <c r="G1632" i="1"/>
  <c r="G1626" i="1"/>
  <c r="G861" i="1"/>
  <c r="G860" i="1"/>
  <c r="G859" i="1"/>
  <c r="G857" i="1"/>
  <c r="G856" i="1"/>
  <c r="G855" i="1"/>
  <c r="G806" i="1"/>
  <c r="G805" i="1"/>
  <c r="G804" i="1"/>
  <c r="G803" i="1"/>
  <c r="G802" i="1"/>
  <c r="G801" i="1"/>
  <c r="G800" i="1"/>
  <c r="G793" i="1"/>
  <c r="G792" i="1"/>
  <c r="G791" i="1"/>
  <c r="G790" i="1"/>
  <c r="G789" i="1"/>
  <c r="G776" i="1"/>
  <c r="G774" i="1"/>
  <c r="G773" i="1"/>
  <c r="G772" i="1"/>
  <c r="G770" i="1"/>
  <c r="G768" i="1"/>
  <c r="G767" i="1"/>
  <c r="G766" i="1"/>
  <c r="G764" i="1"/>
  <c r="G762" i="1"/>
  <c r="G761" i="1"/>
  <c r="G758" i="1"/>
  <c r="G757" i="1"/>
  <c r="G756" i="1"/>
  <c r="G755" i="1"/>
  <c r="G752" i="1"/>
  <c r="G750" i="1"/>
  <c r="G749" i="1"/>
  <c r="G748" i="1"/>
  <c r="G746" i="1"/>
  <c r="G744" i="1"/>
  <c r="G742" i="1"/>
  <c r="G740" i="1"/>
  <c r="G738" i="1"/>
  <c r="G736" i="1"/>
  <c r="G734" i="1"/>
  <c r="G732" i="1"/>
  <c r="G728" i="1"/>
  <c r="G726" i="1"/>
  <c r="G722" i="1"/>
  <c r="G720" i="1"/>
  <c r="G716" i="1"/>
  <c r="G714" i="1"/>
  <c r="G710" i="1"/>
  <c r="G708" i="1"/>
  <c r="G704" i="1"/>
  <c r="G703" i="1"/>
  <c r="G701" i="1"/>
  <c r="G699" i="1"/>
  <c r="G697" i="1"/>
  <c r="G695" i="1"/>
  <c r="G693" i="1"/>
  <c r="G692" i="1"/>
  <c r="G691" i="1"/>
  <c r="G690" i="1"/>
  <c r="G689" i="1"/>
  <c r="G688" i="1"/>
  <c r="G687" i="1"/>
  <c r="G686" i="1"/>
  <c r="G665" i="1"/>
  <c r="G664" i="1"/>
  <c r="G663" i="1"/>
  <c r="G662" i="1"/>
  <c r="G661" i="1"/>
  <c r="G659" i="1"/>
  <c r="G658" i="1"/>
  <c r="G657" i="1"/>
  <c r="G656" i="1"/>
  <c r="G655" i="1"/>
  <c r="G653" i="1"/>
  <c r="G652" i="1"/>
  <c r="G651" i="1"/>
  <c r="G650" i="1"/>
  <c r="G649" i="1"/>
  <c r="G617" i="1"/>
  <c r="G612" i="1"/>
  <c r="G607" i="1"/>
  <c r="G602" i="1"/>
  <c r="G592" i="1"/>
  <c r="G562" i="1"/>
  <c r="G561" i="1"/>
  <c r="G560" i="1"/>
  <c r="G559" i="1"/>
  <c r="G558" i="1"/>
  <c r="G557" i="1"/>
  <c r="G556" i="1"/>
  <c r="G555" i="1"/>
  <c r="G554" i="1"/>
  <c r="G553" i="1"/>
  <c r="G552" i="1"/>
  <c r="G541" i="1"/>
  <c r="G540" i="1"/>
  <c r="G539" i="1"/>
  <c r="G536" i="1"/>
  <c r="G535" i="1"/>
  <c r="G534" i="1"/>
  <c r="G528" i="1"/>
  <c r="G527" i="1"/>
  <c r="G526" i="1"/>
  <c r="G525" i="1"/>
  <c r="G524" i="1"/>
  <c r="G523" i="1"/>
  <c r="G522" i="1"/>
  <c r="G521" i="1"/>
  <c r="G520" i="1"/>
  <c r="G519" i="1"/>
  <c r="G517" i="1"/>
  <c r="G516" i="1"/>
  <c r="G515" i="1"/>
  <c r="G512" i="1"/>
  <c r="G511" i="1"/>
  <c r="G510" i="1"/>
  <c r="G507" i="1"/>
  <c r="G506" i="1"/>
  <c r="G505" i="1"/>
  <c r="G503" i="1"/>
  <c r="G501" i="1"/>
  <c r="G500" i="1"/>
  <c r="G499" i="1"/>
  <c r="G497" i="1"/>
  <c r="G495" i="1"/>
  <c r="G494" i="1"/>
  <c r="G493" i="1"/>
  <c r="G485" i="1"/>
  <c r="G483" i="1"/>
  <c r="G482" i="1"/>
  <c r="G481" i="1"/>
  <c r="G479" i="1"/>
  <c r="G477" i="1"/>
  <c r="G476" i="1"/>
  <c r="G475" i="1"/>
  <c r="G473" i="1"/>
  <c r="G471" i="1"/>
  <c r="G470" i="1"/>
  <c r="G469" i="1"/>
  <c r="G437" i="1"/>
  <c r="G435" i="1"/>
  <c r="G434" i="1"/>
  <c r="G433" i="1"/>
  <c r="G431" i="1"/>
  <c r="G429" i="1"/>
  <c r="G428" i="1"/>
  <c r="G427" i="1"/>
  <c r="G425" i="1"/>
  <c r="G423" i="1"/>
  <c r="G422" i="1"/>
  <c r="G421" i="1"/>
  <c r="G407" i="1"/>
  <c r="G405" i="1"/>
  <c r="G404" i="1"/>
  <c r="G403" i="1"/>
  <c r="G401" i="1"/>
  <c r="G399" i="1"/>
  <c r="G398" i="1"/>
  <c r="G397" i="1"/>
  <c r="G383" i="1"/>
  <c r="G381" i="1"/>
  <c r="G380" i="1"/>
  <c r="G379" i="1"/>
  <c r="G377" i="1"/>
  <c r="G375" i="1"/>
  <c r="G374" i="1"/>
  <c r="G373" i="1"/>
  <c r="G371" i="1"/>
  <c r="G369" i="1"/>
  <c r="G368" i="1"/>
  <c r="G367" i="1"/>
  <c r="G365" i="1"/>
  <c r="G363" i="1"/>
  <c r="G362" i="1"/>
  <c r="G361" i="1"/>
  <c r="G359" i="1"/>
  <c r="G358" i="1"/>
  <c r="G357" i="1"/>
  <c r="G356" i="1"/>
  <c r="G355" i="1"/>
  <c r="G353" i="1"/>
  <c r="G351" i="1"/>
  <c r="G350" i="1"/>
  <c r="G349" i="1"/>
  <c r="G347" i="1"/>
  <c r="G345" i="1"/>
  <c r="G344" i="1"/>
  <c r="G343" i="1"/>
  <c r="G341" i="1"/>
  <c r="G339" i="1"/>
  <c r="G338" i="1"/>
  <c r="G337" i="1"/>
  <c r="G335" i="1"/>
  <c r="G333" i="1"/>
  <c r="G332" i="1"/>
  <c r="G331" i="1"/>
  <c r="G329" i="1"/>
  <c r="G327" i="1"/>
  <c r="G326" i="1"/>
  <c r="G325" i="1"/>
  <c r="G323" i="1"/>
  <c r="G321" i="1"/>
  <c r="G320" i="1"/>
  <c r="G319" i="1"/>
  <c r="G317" i="1"/>
  <c r="G315" i="1"/>
  <c r="G314" i="1"/>
  <c r="G313" i="1"/>
  <c r="G311" i="1"/>
  <c r="G309" i="1"/>
  <c r="G308" i="1"/>
  <c r="G307" i="1"/>
  <c r="G305" i="1"/>
  <c r="G304" i="1"/>
  <c r="G302" i="1"/>
  <c r="G301" i="1"/>
  <c r="G299" i="1"/>
  <c r="G298" i="1"/>
  <c r="G296" i="1"/>
  <c r="G295" i="1"/>
  <c r="G293" i="1"/>
  <c r="G292" i="1"/>
  <c r="G290" i="1"/>
  <c r="G289" i="1"/>
  <c r="G287" i="1"/>
  <c r="G286" i="1"/>
  <c r="G284" i="1"/>
  <c r="G283" i="1"/>
  <c r="G281" i="1"/>
  <c r="G280" i="1"/>
  <c r="G278" i="1"/>
  <c r="G277" i="1"/>
  <c r="G275" i="1"/>
  <c r="G274" i="1"/>
  <c r="G273" i="1"/>
  <c r="G272" i="1"/>
  <c r="G270" i="1"/>
  <c r="G269" i="1"/>
  <c r="G268" i="1"/>
  <c r="G267" i="1"/>
  <c r="G265" i="1"/>
  <c r="G264" i="1"/>
  <c r="G263" i="1"/>
  <c r="G262" i="1"/>
  <c r="G260" i="1"/>
  <c r="G259" i="1"/>
  <c r="G258" i="1"/>
  <c r="G257" i="1"/>
  <c r="G255" i="1"/>
  <c r="G254" i="1"/>
  <c r="G253" i="1"/>
  <c r="G252" i="1"/>
  <c r="G251" i="1"/>
  <c r="G250" i="1"/>
  <c r="G249" i="1"/>
  <c r="G242" i="1"/>
  <c r="G239" i="1"/>
  <c r="G238" i="1"/>
  <c r="G237" i="1"/>
  <c r="G235" i="1"/>
  <c r="G233" i="1"/>
  <c r="G231" i="1"/>
  <c r="G201" i="1"/>
  <c r="G200" i="1"/>
  <c r="G199" i="1"/>
  <c r="G198" i="1"/>
  <c r="G196" i="1"/>
  <c r="G195" i="1"/>
  <c r="G193" i="1"/>
  <c r="G192" i="1"/>
  <c r="G191" i="1"/>
  <c r="G189" i="1"/>
  <c r="G188" i="1"/>
  <c r="G187" i="1"/>
  <c r="G186" i="1"/>
  <c r="G185" i="1"/>
  <c r="G184" i="1"/>
  <c r="G183" i="1"/>
  <c r="G182" i="1"/>
  <c r="G181" i="1"/>
  <c r="G179" i="1"/>
  <c r="G178" i="1"/>
  <c r="G177" i="1"/>
  <c r="G175" i="1"/>
  <c r="G174" i="1"/>
  <c r="G173" i="1"/>
  <c r="G171" i="1"/>
  <c r="G170" i="1"/>
  <c r="G169" i="1"/>
  <c r="G167" i="1"/>
  <c r="G166" i="1"/>
  <c r="G165" i="1"/>
  <c r="G163" i="1"/>
  <c r="G162" i="1"/>
  <c r="G161" i="1"/>
  <c r="G159" i="1"/>
  <c r="G158" i="1"/>
  <c r="G156" i="1"/>
  <c r="G155" i="1"/>
  <c r="G153" i="1"/>
  <c r="G152" i="1"/>
  <c r="G150" i="1"/>
  <c r="G149" i="1"/>
  <c r="G147" i="1"/>
  <c r="G146" i="1"/>
  <c r="G144" i="1"/>
  <c r="G143" i="1"/>
  <c r="G141" i="1"/>
  <c r="G140" i="1"/>
  <c r="G139" i="1"/>
  <c r="G134" i="1"/>
  <c r="G133" i="1"/>
  <c r="G131" i="1"/>
  <c r="G129" i="1"/>
  <c r="G128" i="1"/>
  <c r="G127" i="1"/>
  <c r="G126" i="1"/>
  <c r="G125" i="1"/>
  <c r="G123" i="1"/>
  <c r="G122" i="1"/>
  <c r="G121" i="1"/>
  <c r="G120" i="1"/>
  <c r="G90" i="1"/>
  <c r="G89" i="1"/>
  <c r="G87" i="1"/>
  <c r="G86" i="1"/>
  <c r="G85" i="1"/>
  <c r="G77" i="1"/>
  <c r="G70" i="1"/>
  <c r="G25" i="1"/>
  <c r="G24" i="1"/>
  <c r="H84" i="2"/>
  <c r="G84" i="2"/>
  <c r="F84" i="2"/>
  <c r="E84" i="2"/>
  <c r="H83" i="2"/>
  <c r="G83" i="2"/>
  <c r="F83" i="2"/>
  <c r="E83" i="2"/>
  <c r="H82" i="2"/>
  <c r="G82" i="2"/>
  <c r="F82" i="2"/>
  <c r="E82" i="2"/>
  <c r="H81" i="2"/>
  <c r="G81" i="2"/>
  <c r="F81" i="2"/>
  <c r="E81" i="2"/>
  <c r="H80" i="2"/>
  <c r="G80" i="2"/>
  <c r="F80" i="2"/>
  <c r="E80" i="2"/>
  <c r="H79" i="2"/>
  <c r="G79" i="2"/>
  <c r="F79" i="2"/>
  <c r="E79" i="2"/>
  <c r="H78" i="2"/>
  <c r="G78" i="2"/>
  <c r="F78" i="2"/>
  <c r="E78" i="2"/>
  <c r="H77" i="2"/>
  <c r="G77" i="2"/>
  <c r="F77" i="2"/>
  <c r="E77" i="2"/>
  <c r="H76" i="2"/>
  <c r="G76" i="2"/>
  <c r="F76" i="2"/>
  <c r="E76" i="2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H70" i="2"/>
  <c r="G70" i="2"/>
  <c r="F70" i="2"/>
  <c r="E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E65" i="2"/>
  <c r="E64" i="2"/>
  <c r="E63" i="2"/>
  <c r="E62" i="2"/>
  <c r="E61" i="2"/>
  <c r="E60" i="2"/>
  <c r="E59" i="2"/>
  <c r="E57" i="2"/>
  <c r="E56" i="2"/>
  <c r="E55" i="2"/>
  <c r="E54" i="2"/>
  <c r="E52" i="2"/>
  <c r="E51" i="2"/>
  <c r="E45" i="2"/>
  <c r="E44" i="2"/>
  <c r="E43" i="2"/>
  <c r="E42" i="2"/>
  <c r="E41" i="2"/>
  <c r="E40" i="2"/>
  <c r="E39" i="2"/>
  <c r="E38" i="2"/>
  <c r="E37" i="2"/>
  <c r="E36" i="2"/>
  <c r="E35" i="2"/>
  <c r="E34" i="2"/>
  <c r="E28" i="2"/>
  <c r="E27" i="2"/>
  <c r="E26" i="2"/>
  <c r="E25" i="2"/>
  <c r="E24" i="2"/>
  <c r="E23" i="2"/>
  <c r="E22" i="2"/>
  <c r="E21" i="2"/>
  <c r="E16" i="2"/>
  <c r="E15" i="2"/>
  <c r="E14" i="2"/>
  <c r="E13" i="2"/>
  <c r="E12" i="2"/>
  <c r="E11" i="2"/>
  <c r="H10" i="2"/>
  <c r="G10" i="2"/>
  <c r="F10" i="2"/>
  <c r="E10" i="2"/>
  <c r="E9" i="2"/>
  <c r="H8" i="2"/>
  <c r="H7" i="2"/>
  <c r="H6" i="2"/>
  <c r="H5" i="2"/>
  <c r="Z14" i="17"/>
  <c r="Z15" i="17"/>
  <c r="Z16" i="17"/>
  <c r="Z17" i="17"/>
  <c r="Z18" i="17"/>
  <c r="Z19" i="17"/>
  <c r="Z20" i="17"/>
  <c r="Z21" i="17"/>
  <c r="Z22" i="17"/>
  <c r="Z24" i="17"/>
  <c r="Z26" i="17"/>
  <c r="Z28" i="17"/>
  <c r="Z29" i="17"/>
  <c r="Z30" i="17"/>
  <c r="Z31" i="17"/>
  <c r="Z12" i="17"/>
  <c r="G1894" i="32" l="1"/>
  <c r="G1894" i="31"/>
  <c r="G1905" i="32"/>
  <c r="G1905" i="31"/>
  <c r="G1915" i="32"/>
  <c r="G1915" i="31"/>
  <c r="G1926" i="32"/>
  <c r="G1926" i="31"/>
  <c r="G1937" i="31"/>
  <c r="G1937" i="32"/>
  <c r="G1947" i="32"/>
  <c r="G1947" i="31"/>
  <c r="G1958" i="32"/>
  <c r="G1958" i="31"/>
  <c r="G1969" i="32"/>
  <c r="G1969" i="31"/>
  <c r="G1979" i="32"/>
  <c r="G1979" i="31"/>
  <c r="G1990" i="32"/>
  <c r="G1990" i="31"/>
  <c r="G2001" i="32"/>
  <c r="G2001" i="31"/>
  <c r="G2011" i="32"/>
  <c r="G2011" i="31"/>
  <c r="G2022" i="32"/>
  <c r="G2022" i="31"/>
  <c r="G2033" i="32"/>
  <c r="G2033" i="31"/>
  <c r="G2043" i="32"/>
  <c r="G2043" i="31"/>
  <c r="G2054" i="32"/>
  <c r="G2054" i="31"/>
  <c r="G2064" i="32"/>
  <c r="G2064" i="31"/>
  <c r="G2074" i="32"/>
  <c r="G2074" i="31"/>
  <c r="G2084" i="32"/>
  <c r="G2084" i="31"/>
  <c r="G2094" i="32"/>
  <c r="G2094" i="31"/>
  <c r="G147" i="32"/>
  <c r="G147" i="31"/>
  <c r="G242" i="32"/>
  <c r="G242" i="31"/>
  <c r="G313" i="32"/>
  <c r="G313" i="31"/>
  <c r="G407" i="32"/>
  <c r="G407" i="31"/>
  <c r="G540" i="32"/>
  <c r="G540" i="31"/>
  <c r="G149" i="32"/>
  <c r="G149" i="31"/>
  <c r="G191" i="32"/>
  <c r="G191" i="31"/>
  <c r="G278" i="32"/>
  <c r="G278" i="31"/>
  <c r="G361" i="32"/>
  <c r="G361" i="31"/>
  <c r="G493" i="32"/>
  <c r="G493" i="31"/>
  <c r="G559" i="32"/>
  <c r="G559" i="31"/>
  <c r="G714" i="32"/>
  <c r="G714" i="31"/>
  <c r="G859" i="32"/>
  <c r="G859" i="31"/>
  <c r="G1648" i="32"/>
  <c r="G1648" i="31"/>
  <c r="G1723" i="32"/>
  <c r="G1723" i="31"/>
  <c r="G1741" i="32"/>
  <c r="G1741" i="31"/>
  <c r="G1767" i="32"/>
  <c r="G1767" i="31"/>
  <c r="G1798" i="32"/>
  <c r="G1798" i="31"/>
  <c r="G1862" i="32"/>
  <c r="G1862" i="31"/>
  <c r="G1883" i="32"/>
  <c r="G1883" i="31"/>
  <c r="G125" i="32"/>
  <c r="G125" i="31"/>
  <c r="G139" i="32"/>
  <c r="G139" i="31"/>
  <c r="G173" i="32"/>
  <c r="G173" i="31"/>
  <c r="G183" i="32"/>
  <c r="G183" i="31"/>
  <c r="G250" i="32"/>
  <c r="G250" i="31"/>
  <c r="G269" i="32"/>
  <c r="G269" i="31"/>
  <c r="G280" i="32"/>
  <c r="G280" i="31"/>
  <c r="G292" i="32"/>
  <c r="G292" i="31"/>
  <c r="G304" i="32"/>
  <c r="G304" i="31"/>
  <c r="G315" i="32"/>
  <c r="G315" i="31"/>
  <c r="G327" i="32"/>
  <c r="G327" i="31"/>
  <c r="G339" i="32"/>
  <c r="G339" i="31"/>
  <c r="G351" i="32"/>
  <c r="G351" i="31"/>
  <c r="G362" i="32"/>
  <c r="G362" i="31"/>
  <c r="G374" i="32"/>
  <c r="G374" i="31"/>
  <c r="G398" i="32"/>
  <c r="G398" i="31"/>
  <c r="G422" i="32"/>
  <c r="G422" i="31"/>
  <c r="G434" i="32"/>
  <c r="G434" i="31"/>
  <c r="G476" i="32"/>
  <c r="G476" i="31"/>
  <c r="G494" i="32"/>
  <c r="G494" i="31"/>
  <c r="G506" i="32"/>
  <c r="G506" i="31"/>
  <c r="G519" i="32"/>
  <c r="G519" i="31"/>
  <c r="G527" i="32"/>
  <c r="G527" i="31"/>
  <c r="G552" i="32"/>
  <c r="G552" i="31"/>
  <c r="G560" i="32"/>
  <c r="G560" i="31"/>
  <c r="G649" i="32"/>
  <c r="G649" i="31"/>
  <c r="G658" i="32"/>
  <c r="G658" i="31"/>
  <c r="G687" i="32"/>
  <c r="G687" i="31"/>
  <c r="G697" i="32"/>
  <c r="G697" i="31"/>
  <c r="G716" i="32"/>
  <c r="G716" i="31"/>
  <c r="G738" i="32"/>
  <c r="G738" i="31"/>
  <c r="G752" i="32"/>
  <c r="G752" i="31"/>
  <c r="G766" i="32"/>
  <c r="G766" i="31"/>
  <c r="G789" i="32"/>
  <c r="G789" i="31"/>
  <c r="G803" i="32"/>
  <c r="G803" i="31"/>
  <c r="G860" i="32"/>
  <c r="G860" i="31"/>
  <c r="G1638" i="32"/>
  <c r="G1638" i="31"/>
  <c r="G1649" i="32"/>
  <c r="G1649" i="31"/>
  <c r="G1660" i="32"/>
  <c r="G1660" i="31"/>
  <c r="G1724" i="32"/>
  <c r="G1724" i="31"/>
  <c r="G1732" i="32"/>
  <c r="G1732" i="31"/>
  <c r="G1742" i="32"/>
  <c r="G1742" i="31"/>
  <c r="G1754" i="32"/>
  <c r="G1754" i="31"/>
  <c r="G1769" i="32"/>
  <c r="G1769" i="31"/>
  <c r="G1778" i="32"/>
  <c r="G1778" i="31"/>
  <c r="G1789" i="32"/>
  <c r="G1789" i="31"/>
  <c r="G1800" i="32"/>
  <c r="G1800" i="31"/>
  <c r="G1810" i="32"/>
  <c r="G1810" i="31"/>
  <c r="G1821" i="32"/>
  <c r="G1821" i="31"/>
  <c r="G1832" i="32"/>
  <c r="G1832" i="31"/>
  <c r="G1842" i="32"/>
  <c r="G1842" i="31"/>
  <c r="G1853" i="32"/>
  <c r="G1853" i="31"/>
  <c r="G1863" i="32"/>
  <c r="G1863" i="31"/>
  <c r="G1874" i="32"/>
  <c r="G1874" i="31"/>
  <c r="G1885" i="32"/>
  <c r="G1885" i="31"/>
  <c r="G1895" i="32"/>
  <c r="G1895" i="31"/>
  <c r="G1906" i="32"/>
  <c r="G1906" i="31"/>
  <c r="G1917" i="31"/>
  <c r="G1917" i="32"/>
  <c r="G1927" i="32"/>
  <c r="G1927" i="31"/>
  <c r="G1938" i="32"/>
  <c r="G1938" i="31"/>
  <c r="G1949" i="31"/>
  <c r="G1949" i="32"/>
  <c r="G1959" i="32"/>
  <c r="G1959" i="31"/>
  <c r="G1970" i="32"/>
  <c r="G1970" i="31"/>
  <c r="G1981" i="32"/>
  <c r="G1981" i="31"/>
  <c r="G1991" i="32"/>
  <c r="G1991" i="31"/>
  <c r="G2002" i="32"/>
  <c r="G2002" i="31"/>
  <c r="G2013" i="32"/>
  <c r="G2013" i="31"/>
  <c r="G2023" i="32"/>
  <c r="G2023" i="31"/>
  <c r="G2034" i="32"/>
  <c r="G2034" i="31"/>
  <c r="G2045" i="32"/>
  <c r="G2045" i="31"/>
  <c r="G2055" i="32"/>
  <c r="G2055" i="31"/>
  <c r="G2065" i="32"/>
  <c r="G2065" i="31"/>
  <c r="G2075" i="32"/>
  <c r="G2075" i="31"/>
  <c r="G2085" i="32"/>
  <c r="G2085" i="31"/>
  <c r="G2095" i="32"/>
  <c r="G2095" i="31"/>
  <c r="G257" i="32"/>
  <c r="G257" i="31"/>
  <c r="G325" i="32"/>
  <c r="G325" i="31"/>
  <c r="G473" i="32"/>
  <c r="G473" i="31"/>
  <c r="G525" i="32"/>
  <c r="G525" i="31"/>
  <c r="G161" i="32"/>
  <c r="G161" i="31"/>
  <c r="G268" i="32"/>
  <c r="G268" i="31"/>
  <c r="G338" i="32"/>
  <c r="G338" i="31"/>
  <c r="G433" i="32"/>
  <c r="G433" i="31"/>
  <c r="G526" i="32"/>
  <c r="G526" i="31"/>
  <c r="G686" i="32"/>
  <c r="G686" i="31"/>
  <c r="G750" i="32"/>
  <c r="G750" i="31"/>
  <c r="G1637" i="32"/>
  <c r="G1637" i="31"/>
  <c r="G1659" i="32"/>
  <c r="G1659" i="31"/>
  <c r="G1731" i="32"/>
  <c r="G1731" i="31"/>
  <c r="G1753" i="32"/>
  <c r="G1753" i="31"/>
  <c r="G1777" i="32"/>
  <c r="G1777" i="31"/>
  <c r="G1809" i="31"/>
  <c r="G1809" i="32"/>
  <c r="G1851" i="32"/>
  <c r="G1851" i="31"/>
  <c r="G1873" i="32"/>
  <c r="G1873" i="31"/>
  <c r="G86" i="32"/>
  <c r="G86" i="31"/>
  <c r="G150" i="32"/>
  <c r="G150" i="31"/>
  <c r="G162" i="32"/>
  <c r="G162" i="31"/>
  <c r="G192" i="32"/>
  <c r="G192" i="31"/>
  <c r="G231" i="32"/>
  <c r="G231" i="31"/>
  <c r="G259" i="32"/>
  <c r="G259" i="31"/>
  <c r="G87" i="32"/>
  <c r="G87" i="31"/>
  <c r="G126" i="32"/>
  <c r="G126" i="31"/>
  <c r="G140" i="32"/>
  <c r="G140" i="31"/>
  <c r="G152" i="32"/>
  <c r="G152" i="31"/>
  <c r="G163" i="32"/>
  <c r="G163" i="31"/>
  <c r="G174" i="32"/>
  <c r="G174" i="31"/>
  <c r="G184" i="32"/>
  <c r="G184" i="31"/>
  <c r="G193" i="32"/>
  <c r="G193" i="31"/>
  <c r="G233" i="32"/>
  <c r="G233" i="31"/>
  <c r="G251" i="32"/>
  <c r="G251" i="31"/>
  <c r="G260" i="32"/>
  <c r="G260" i="31"/>
  <c r="G270" i="32"/>
  <c r="G270" i="31"/>
  <c r="G281" i="32"/>
  <c r="G281" i="31"/>
  <c r="G293" i="32"/>
  <c r="G293" i="31"/>
  <c r="G305" i="32"/>
  <c r="G305" i="31"/>
  <c r="G317" i="32"/>
  <c r="G317" i="31"/>
  <c r="G329" i="32"/>
  <c r="G329" i="31"/>
  <c r="G341" i="32"/>
  <c r="G341" i="31"/>
  <c r="G353" i="32"/>
  <c r="G353" i="31"/>
  <c r="G363" i="32"/>
  <c r="G363" i="31"/>
  <c r="G375" i="32"/>
  <c r="G375" i="31"/>
  <c r="G399" i="32"/>
  <c r="G399" i="31"/>
  <c r="G423" i="32"/>
  <c r="G423" i="31"/>
  <c r="G435" i="32"/>
  <c r="G435" i="31"/>
  <c r="G477" i="32"/>
  <c r="G477" i="31"/>
  <c r="G495" i="32"/>
  <c r="G495" i="31"/>
  <c r="G507" i="32"/>
  <c r="G507" i="31"/>
  <c r="G520" i="32"/>
  <c r="G520" i="31"/>
  <c r="G528" i="32"/>
  <c r="G528" i="31"/>
  <c r="G553" i="32"/>
  <c r="G553" i="31"/>
  <c r="G561" i="32"/>
  <c r="G561" i="31"/>
  <c r="G650" i="32"/>
  <c r="G650" i="31"/>
  <c r="G659" i="32"/>
  <c r="G659" i="31"/>
  <c r="G688" i="32"/>
  <c r="G688" i="31"/>
  <c r="G699" i="32"/>
  <c r="G699" i="31"/>
  <c r="G720" i="32"/>
  <c r="G720" i="31"/>
  <c r="G740" i="32"/>
  <c r="G740" i="31"/>
  <c r="G755" i="32"/>
  <c r="G755" i="31"/>
  <c r="G767" i="32"/>
  <c r="G767" i="31"/>
  <c r="G790" i="32"/>
  <c r="G790" i="31"/>
  <c r="G804" i="32"/>
  <c r="G804" i="31"/>
  <c r="G861" i="32"/>
  <c r="G861" i="31"/>
  <c r="G1639" i="32"/>
  <c r="G1639" i="31"/>
  <c r="G1651" i="32"/>
  <c r="G1651" i="31"/>
  <c r="G1661" i="32"/>
  <c r="G1661" i="31"/>
  <c r="G1725" i="32"/>
  <c r="G1725" i="31"/>
  <c r="G1733" i="32"/>
  <c r="G1733" i="31"/>
  <c r="G1744" i="32"/>
  <c r="G1744" i="31"/>
  <c r="G1756" i="32"/>
  <c r="G1756" i="31"/>
  <c r="G1770" i="32"/>
  <c r="G1770" i="31"/>
  <c r="G1779" i="32"/>
  <c r="G1779" i="31"/>
  <c r="G1790" i="32"/>
  <c r="G1790" i="31"/>
  <c r="G1801" i="32"/>
  <c r="G1801" i="31"/>
  <c r="G1812" i="32"/>
  <c r="G1812" i="31"/>
  <c r="G1822" i="32"/>
  <c r="G1822" i="31"/>
  <c r="G1833" i="32"/>
  <c r="G1833" i="31"/>
  <c r="G1843" i="32"/>
  <c r="G1843" i="31"/>
  <c r="G1854" i="32"/>
  <c r="G1854" i="31"/>
  <c r="G1865" i="32"/>
  <c r="G1865" i="31"/>
  <c r="G1875" i="32"/>
  <c r="G1875" i="31"/>
  <c r="G1886" i="32"/>
  <c r="G1886" i="31"/>
  <c r="G1897" i="32"/>
  <c r="G1897" i="31"/>
  <c r="G1907" i="32"/>
  <c r="G1907" i="31"/>
  <c r="G1918" i="32"/>
  <c r="G1918" i="31"/>
  <c r="G1929" i="32"/>
  <c r="G1929" i="31"/>
  <c r="G1939" i="32"/>
  <c r="G1939" i="31"/>
  <c r="G1950" i="32"/>
  <c r="G1950" i="31"/>
  <c r="G1961" i="32"/>
  <c r="G1961" i="31"/>
  <c r="G1971" i="32"/>
  <c r="G1971" i="31"/>
  <c r="G1982" i="32"/>
  <c r="G1982" i="31"/>
  <c r="G1993" i="32"/>
  <c r="G1993" i="31"/>
  <c r="G2003" i="32"/>
  <c r="G2003" i="31"/>
  <c r="G2014" i="32"/>
  <c r="G2014" i="31"/>
  <c r="G2025" i="32"/>
  <c r="G2025" i="31"/>
  <c r="G2035" i="32"/>
  <c r="G2035" i="31"/>
  <c r="G2046" i="32"/>
  <c r="G2046" i="31"/>
  <c r="G2056" i="32"/>
  <c r="G2056" i="31"/>
  <c r="G2066" i="32"/>
  <c r="G2066" i="31"/>
  <c r="G2076" i="32"/>
  <c r="G2076" i="31"/>
  <c r="G2086" i="32"/>
  <c r="G2086" i="31"/>
  <c r="G2096" i="32"/>
  <c r="G2096" i="31"/>
  <c r="G267" i="32"/>
  <c r="G267" i="31"/>
  <c r="G349" i="32"/>
  <c r="G349" i="31"/>
  <c r="G503" i="32"/>
  <c r="G503" i="31"/>
  <c r="G85" i="32"/>
  <c r="G85" i="31"/>
  <c r="G182" i="32"/>
  <c r="G182" i="31"/>
  <c r="G314" i="32"/>
  <c r="G314" i="31"/>
  <c r="G397" i="32"/>
  <c r="G397" i="31"/>
  <c r="G517" i="32"/>
  <c r="G517" i="31"/>
  <c r="G736" i="32"/>
  <c r="G736" i="31"/>
  <c r="G1787" i="32"/>
  <c r="G1787" i="31"/>
  <c r="G141" i="32"/>
  <c r="G141" i="31"/>
  <c r="G153" i="32"/>
  <c r="G153" i="31"/>
  <c r="G165" i="32"/>
  <c r="G165" i="31"/>
  <c r="G175" i="32"/>
  <c r="G175" i="31"/>
  <c r="G185" i="32"/>
  <c r="G185" i="31"/>
  <c r="G195" i="32"/>
  <c r="G195" i="31"/>
  <c r="G235" i="32"/>
  <c r="G235" i="31"/>
  <c r="G252" i="32"/>
  <c r="G252" i="31"/>
  <c r="G262" i="32"/>
  <c r="G262" i="31"/>
  <c r="G272" i="32"/>
  <c r="G272" i="31"/>
  <c r="G283" i="32"/>
  <c r="G283" i="31"/>
  <c r="G295" i="32"/>
  <c r="G295" i="31"/>
  <c r="G307" i="32"/>
  <c r="G307" i="31"/>
  <c r="G319" i="32"/>
  <c r="G319" i="31"/>
  <c r="G331" i="32"/>
  <c r="G331" i="31"/>
  <c r="G343" i="32"/>
  <c r="G343" i="31"/>
  <c r="G355" i="32"/>
  <c r="G355" i="31"/>
  <c r="G365" i="32"/>
  <c r="G365" i="31"/>
  <c r="G377" i="32"/>
  <c r="G377" i="31"/>
  <c r="G401" i="32"/>
  <c r="G401" i="31"/>
  <c r="G425" i="32"/>
  <c r="G425" i="31"/>
  <c r="G437" i="32"/>
  <c r="G437" i="31"/>
  <c r="G479" i="32"/>
  <c r="G479" i="31"/>
  <c r="G497" i="32"/>
  <c r="G497" i="31"/>
  <c r="G510" i="32"/>
  <c r="G510" i="31"/>
  <c r="G521" i="32"/>
  <c r="G521" i="31"/>
  <c r="G534" i="32"/>
  <c r="G534" i="31"/>
  <c r="G554" i="32"/>
  <c r="G554" i="31"/>
  <c r="G562" i="32"/>
  <c r="G562" i="31"/>
  <c r="G651" i="32"/>
  <c r="G651" i="31"/>
  <c r="G661" i="32"/>
  <c r="G661" i="31"/>
  <c r="G689" i="32"/>
  <c r="G689" i="31"/>
  <c r="G701" i="32"/>
  <c r="G701" i="31"/>
  <c r="G722" i="32"/>
  <c r="G722" i="31"/>
  <c r="G742" i="32"/>
  <c r="G742" i="31"/>
  <c r="G756" i="32"/>
  <c r="G756" i="31"/>
  <c r="G768" i="32"/>
  <c r="G768" i="31"/>
  <c r="G791" i="32"/>
  <c r="G791" i="31"/>
  <c r="G805" i="32"/>
  <c r="G805" i="31"/>
  <c r="G1626" i="32"/>
  <c r="G1626" i="31"/>
  <c r="G1641" i="32"/>
  <c r="G1641" i="31"/>
  <c r="G1652" i="32"/>
  <c r="G1652" i="31"/>
  <c r="G1672" i="32"/>
  <c r="G1672" i="31"/>
  <c r="G1726" i="32"/>
  <c r="G1726" i="31"/>
  <c r="G1734" i="32"/>
  <c r="G1734" i="31"/>
  <c r="G1745" i="32"/>
  <c r="G1745" i="31"/>
  <c r="G1757" i="32"/>
  <c r="G1757" i="31"/>
  <c r="G1771" i="32"/>
  <c r="G1771" i="31"/>
  <c r="G1780" i="32"/>
  <c r="G1780" i="31"/>
  <c r="G1792" i="32"/>
  <c r="G1792" i="31"/>
  <c r="G1802" i="32"/>
  <c r="G1802" i="31"/>
  <c r="G1813" i="32"/>
  <c r="G1813" i="31"/>
  <c r="G1824" i="32"/>
  <c r="G1824" i="31"/>
  <c r="G1834" i="32"/>
  <c r="G1834" i="31"/>
  <c r="G1845" i="32"/>
  <c r="G1845" i="31"/>
  <c r="G1855" i="32"/>
  <c r="G1855" i="31"/>
  <c r="G1866" i="32"/>
  <c r="G1866" i="31"/>
  <c r="G1877" i="32"/>
  <c r="G1877" i="31"/>
  <c r="G1887" i="32"/>
  <c r="G1887" i="31"/>
  <c r="G1898" i="32"/>
  <c r="G1898" i="31"/>
  <c r="G1909" i="32"/>
  <c r="G1909" i="31"/>
  <c r="G1919" i="32"/>
  <c r="G1919" i="31"/>
  <c r="G1930" i="32"/>
  <c r="G1930" i="31"/>
  <c r="G1941" i="32"/>
  <c r="G1941" i="31"/>
  <c r="G1951" i="32"/>
  <c r="G1951" i="31"/>
  <c r="G1962" i="32"/>
  <c r="G1962" i="31"/>
  <c r="G1973" i="32"/>
  <c r="G1973" i="31"/>
  <c r="G1983" i="32"/>
  <c r="G1983" i="31"/>
  <c r="G1994" i="32"/>
  <c r="G1994" i="31"/>
  <c r="G2005" i="32"/>
  <c r="G2005" i="31"/>
  <c r="G2015" i="32"/>
  <c r="G2015" i="31"/>
  <c r="G2026" i="32"/>
  <c r="G2026" i="31"/>
  <c r="G2037" i="32"/>
  <c r="G2037" i="31"/>
  <c r="G2047" i="32"/>
  <c r="G2047" i="31"/>
  <c r="G2057" i="32"/>
  <c r="G2057" i="31"/>
  <c r="G2067" i="32"/>
  <c r="G2067" i="31"/>
  <c r="G2077" i="32"/>
  <c r="G2077" i="31"/>
  <c r="G2087" i="32"/>
  <c r="G2087" i="31"/>
  <c r="G2097" i="32"/>
  <c r="G2097" i="31"/>
  <c r="G122" i="32"/>
  <c r="G122" i="31"/>
  <c r="G181" i="32"/>
  <c r="G181" i="31"/>
  <c r="G301" i="32"/>
  <c r="G301" i="31"/>
  <c r="G371" i="32"/>
  <c r="G371" i="31"/>
  <c r="G612" i="32"/>
  <c r="G612" i="31"/>
  <c r="G171" i="32"/>
  <c r="G171" i="31"/>
  <c r="G249" i="32"/>
  <c r="G249" i="31"/>
  <c r="G302" i="32"/>
  <c r="G302" i="31"/>
  <c r="G373" i="32"/>
  <c r="G373" i="31"/>
  <c r="G505" i="32"/>
  <c r="G505" i="31"/>
  <c r="G657" i="32"/>
  <c r="G657" i="31"/>
  <c r="G776" i="32"/>
  <c r="G776" i="31"/>
  <c r="G1820" i="32"/>
  <c r="G1820" i="31"/>
  <c r="G24" i="32"/>
  <c r="G24" i="31"/>
  <c r="G143" i="32"/>
  <c r="G143" i="31"/>
  <c r="G155" i="32"/>
  <c r="G155" i="31"/>
  <c r="G166" i="32"/>
  <c r="G166" i="31"/>
  <c r="G177" i="32"/>
  <c r="G177" i="31"/>
  <c r="G186" i="32"/>
  <c r="G186" i="31"/>
  <c r="G196" i="32"/>
  <c r="G196" i="31"/>
  <c r="G237" i="32"/>
  <c r="G237" i="31"/>
  <c r="G253" i="32"/>
  <c r="G253" i="31"/>
  <c r="G263" i="32"/>
  <c r="G263" i="31"/>
  <c r="G273" i="32"/>
  <c r="G273" i="31"/>
  <c r="G284" i="32"/>
  <c r="G284" i="31"/>
  <c r="G296" i="32"/>
  <c r="G296" i="31"/>
  <c r="G308" i="32"/>
  <c r="G308" i="31"/>
  <c r="G320" i="32"/>
  <c r="G320" i="31"/>
  <c r="G332" i="32"/>
  <c r="G332" i="31"/>
  <c r="G344" i="32"/>
  <c r="G344" i="31"/>
  <c r="G356" i="32"/>
  <c r="G356" i="31"/>
  <c r="G367" i="32"/>
  <c r="G367" i="31"/>
  <c r="G379" i="32"/>
  <c r="G379" i="31"/>
  <c r="G403" i="32"/>
  <c r="G403" i="31"/>
  <c r="G427" i="32"/>
  <c r="G427" i="31"/>
  <c r="G469" i="32"/>
  <c r="G469" i="31"/>
  <c r="G481" i="32"/>
  <c r="G481" i="31"/>
  <c r="G499" i="32"/>
  <c r="G499" i="31"/>
  <c r="G511" i="32"/>
  <c r="G511" i="31"/>
  <c r="G522" i="32"/>
  <c r="G522" i="31"/>
  <c r="G535" i="32"/>
  <c r="G535" i="31"/>
  <c r="G555" i="32"/>
  <c r="G555" i="31"/>
  <c r="G592" i="32"/>
  <c r="G592" i="31"/>
  <c r="G652" i="32"/>
  <c r="G652" i="31"/>
  <c r="G662" i="32"/>
  <c r="G662" i="31"/>
  <c r="G690" i="32"/>
  <c r="G690" i="31"/>
  <c r="G703" i="32"/>
  <c r="G703" i="31"/>
  <c r="G726" i="32"/>
  <c r="G726" i="31"/>
  <c r="G744" i="32"/>
  <c r="G744" i="31"/>
  <c r="G757" i="32"/>
  <c r="G757" i="31"/>
  <c r="G770" i="32"/>
  <c r="G770" i="31"/>
  <c r="G792" i="32"/>
  <c r="G792" i="31"/>
  <c r="G806" i="32"/>
  <c r="G806" i="31"/>
  <c r="G1632" i="32"/>
  <c r="G1632" i="31"/>
  <c r="G1643" i="32"/>
  <c r="G1643" i="31"/>
  <c r="G1653" i="32"/>
  <c r="G1653" i="31"/>
  <c r="G1673" i="32"/>
  <c r="G1673" i="31"/>
  <c r="G1727" i="31"/>
  <c r="G1727" i="32"/>
  <c r="G1735" i="31"/>
  <c r="G1735" i="32"/>
  <c r="G1747" i="32"/>
  <c r="G1747" i="31"/>
  <c r="G1763" i="32"/>
  <c r="G1763" i="31"/>
  <c r="G1772" i="32"/>
  <c r="G1772" i="31"/>
  <c r="G1781" i="32"/>
  <c r="G1781" i="31"/>
  <c r="G1793" i="32"/>
  <c r="G1793" i="31"/>
  <c r="G1804" i="32"/>
  <c r="G1804" i="31"/>
  <c r="G1814" i="32"/>
  <c r="G1814" i="31"/>
  <c r="G1825" i="32"/>
  <c r="G1825" i="31"/>
  <c r="G1836" i="32"/>
  <c r="G1836" i="31"/>
  <c r="G1846" i="32"/>
  <c r="G1846" i="31"/>
  <c r="G1857" i="32"/>
  <c r="G1857" i="31"/>
  <c r="G1867" i="32"/>
  <c r="G1867" i="31"/>
  <c r="G1878" i="32"/>
  <c r="G1878" i="31"/>
  <c r="G1889" i="32"/>
  <c r="G1889" i="31"/>
  <c r="G1899" i="32"/>
  <c r="G1899" i="31"/>
  <c r="G1910" i="32"/>
  <c r="G1910" i="31"/>
  <c r="G1921" i="32"/>
  <c r="G1921" i="31"/>
  <c r="G1931" i="32"/>
  <c r="G1931" i="31"/>
  <c r="G1942" i="32"/>
  <c r="G1942" i="31"/>
  <c r="G1953" i="32"/>
  <c r="G1953" i="31"/>
  <c r="G1963" i="32"/>
  <c r="G1963" i="31"/>
  <c r="G1974" i="32"/>
  <c r="G1974" i="31"/>
  <c r="G1985" i="32"/>
  <c r="G1985" i="31"/>
  <c r="G1995" i="32"/>
  <c r="G1995" i="31"/>
  <c r="G2006" i="32"/>
  <c r="G2006" i="31"/>
  <c r="G2017" i="32"/>
  <c r="G2017" i="31"/>
  <c r="G2027" i="32"/>
  <c r="G2027" i="31"/>
  <c r="G2038" i="32"/>
  <c r="G2038" i="31"/>
  <c r="G2049" i="32"/>
  <c r="G2049" i="31"/>
  <c r="G2059" i="32"/>
  <c r="G2059" i="31"/>
  <c r="G2069" i="32"/>
  <c r="G2069" i="31"/>
  <c r="G2079" i="32"/>
  <c r="G2079" i="31"/>
  <c r="G2089" i="32"/>
  <c r="G2089" i="31"/>
  <c r="G2099" i="32"/>
  <c r="G2099" i="31"/>
  <c r="G159" i="32"/>
  <c r="G159" i="31"/>
  <c r="G200" i="32"/>
  <c r="G200" i="31"/>
  <c r="G289" i="32"/>
  <c r="G289" i="31"/>
  <c r="G359" i="32"/>
  <c r="G359" i="31"/>
  <c r="G516" i="32"/>
  <c r="G516" i="31"/>
  <c r="G134" i="32"/>
  <c r="G134" i="31"/>
  <c r="G201" i="32"/>
  <c r="G201" i="31"/>
  <c r="G326" i="32"/>
  <c r="G326" i="31"/>
  <c r="G421" i="32"/>
  <c r="G421" i="31"/>
  <c r="G541" i="32"/>
  <c r="G541" i="31"/>
  <c r="G695" i="32"/>
  <c r="G695" i="31"/>
  <c r="G802" i="32"/>
  <c r="G802" i="31"/>
  <c r="G1830" i="32"/>
  <c r="G1830" i="31"/>
  <c r="G89" i="32"/>
  <c r="G89" i="31"/>
  <c r="G128" i="32"/>
  <c r="G128" i="31"/>
  <c r="G25" i="32"/>
  <c r="G25" i="31"/>
  <c r="G129" i="32"/>
  <c r="G129" i="31"/>
  <c r="G156" i="32"/>
  <c r="G156" i="31"/>
  <c r="G187" i="32"/>
  <c r="G187" i="31"/>
  <c r="G238" i="32"/>
  <c r="G238" i="31"/>
  <c r="G274" i="32"/>
  <c r="G274" i="31"/>
  <c r="G286" i="32"/>
  <c r="G286" i="31"/>
  <c r="G298" i="32"/>
  <c r="G298" i="31"/>
  <c r="G309" i="32"/>
  <c r="G309" i="31"/>
  <c r="G321" i="32"/>
  <c r="G321" i="31"/>
  <c r="G333" i="32"/>
  <c r="G333" i="31"/>
  <c r="G345" i="32"/>
  <c r="G345" i="31"/>
  <c r="G357" i="32"/>
  <c r="G357" i="31"/>
  <c r="G368" i="32"/>
  <c r="G368" i="31"/>
  <c r="G380" i="32"/>
  <c r="G380" i="31"/>
  <c r="G404" i="32"/>
  <c r="G404" i="31"/>
  <c r="G428" i="32"/>
  <c r="G428" i="31"/>
  <c r="G470" i="32"/>
  <c r="G470" i="31"/>
  <c r="G482" i="32"/>
  <c r="G482" i="31"/>
  <c r="G500" i="32"/>
  <c r="G500" i="31"/>
  <c r="G512" i="32"/>
  <c r="G512" i="31"/>
  <c r="G523" i="32"/>
  <c r="G523" i="31"/>
  <c r="G536" i="32"/>
  <c r="G536" i="31"/>
  <c r="G556" i="32"/>
  <c r="G556" i="31"/>
  <c r="G602" i="32"/>
  <c r="G602" i="31"/>
  <c r="G653" i="32"/>
  <c r="G653" i="31"/>
  <c r="G663" i="32"/>
  <c r="G663" i="31"/>
  <c r="G691" i="32"/>
  <c r="G691" i="31"/>
  <c r="G704" i="32"/>
  <c r="G704" i="31"/>
  <c r="G728" i="32"/>
  <c r="G728" i="31"/>
  <c r="G746" i="32"/>
  <c r="G746" i="31"/>
  <c r="G758" i="32"/>
  <c r="G758" i="31"/>
  <c r="G772" i="32"/>
  <c r="G772" i="31"/>
  <c r="G793" i="32"/>
  <c r="G793" i="31"/>
  <c r="G855" i="32"/>
  <c r="G855" i="31"/>
  <c r="G1633" i="32"/>
  <c r="G1633" i="31"/>
  <c r="G1644" i="32"/>
  <c r="G1644" i="31"/>
  <c r="G1655" i="32"/>
  <c r="G1655" i="31"/>
  <c r="G1683" i="32"/>
  <c r="G1683" i="31"/>
  <c r="G1728" i="32"/>
  <c r="G1728" i="31"/>
  <c r="G1736" i="32"/>
  <c r="G1736" i="31"/>
  <c r="G1748" i="32"/>
  <c r="G1748" i="31"/>
  <c r="G1764" i="32"/>
  <c r="G1764" i="31"/>
  <c r="G1773" i="32"/>
  <c r="G1773" i="31"/>
  <c r="G1783" i="32"/>
  <c r="G1783" i="31"/>
  <c r="G1794" i="32"/>
  <c r="G1794" i="31"/>
  <c r="G1805" i="32"/>
  <c r="G1805" i="31"/>
  <c r="G1816" i="32"/>
  <c r="G1816" i="31"/>
  <c r="G1826" i="32"/>
  <c r="G1826" i="31"/>
  <c r="G1837" i="32"/>
  <c r="G1837" i="31"/>
  <c r="G1847" i="32"/>
  <c r="G1847" i="31"/>
  <c r="G1858" i="32"/>
  <c r="G1858" i="31"/>
  <c r="G1869" i="32"/>
  <c r="G1869" i="31"/>
  <c r="G1879" i="32"/>
  <c r="G1879" i="31"/>
  <c r="G1890" i="32"/>
  <c r="G1890" i="31"/>
  <c r="G1901" i="32"/>
  <c r="G1901" i="31"/>
  <c r="G1911" i="32"/>
  <c r="G1911" i="31"/>
  <c r="G1922" i="32"/>
  <c r="G1922" i="31"/>
  <c r="G1933" i="32"/>
  <c r="G1933" i="31"/>
  <c r="G1943" i="32"/>
  <c r="G1943" i="31"/>
  <c r="G1954" i="32"/>
  <c r="G1954" i="31"/>
  <c r="G1965" i="32"/>
  <c r="G1965" i="31"/>
  <c r="G1975" i="32"/>
  <c r="G1975" i="31"/>
  <c r="G1986" i="32"/>
  <c r="G1986" i="31"/>
  <c r="G1997" i="32"/>
  <c r="G1997" i="31"/>
  <c r="G2007" i="32"/>
  <c r="G2007" i="31"/>
  <c r="G2018" i="32"/>
  <c r="G2018" i="31"/>
  <c r="G2029" i="32"/>
  <c r="G2029" i="31"/>
  <c r="G2039" i="32"/>
  <c r="G2039" i="31"/>
  <c r="G2050" i="32"/>
  <c r="G2050" i="31"/>
  <c r="G2060" i="32"/>
  <c r="G2060" i="31"/>
  <c r="G2070" i="32"/>
  <c r="G2070" i="31"/>
  <c r="G2080" i="32"/>
  <c r="G2080" i="31"/>
  <c r="G2090" i="32"/>
  <c r="G2090" i="31"/>
  <c r="G2100" i="32"/>
  <c r="G2100" i="31"/>
  <c r="G77" i="32"/>
  <c r="G77" i="31"/>
  <c r="G170" i="32"/>
  <c r="G170" i="31"/>
  <c r="G277" i="32"/>
  <c r="G277" i="31"/>
  <c r="G383" i="32"/>
  <c r="G383" i="31"/>
  <c r="G558" i="32"/>
  <c r="G558" i="31"/>
  <c r="G123" i="32"/>
  <c r="G123" i="31"/>
  <c r="G258" i="32"/>
  <c r="G258" i="31"/>
  <c r="G290" i="32"/>
  <c r="G290" i="31"/>
  <c r="G350" i="32"/>
  <c r="G350" i="31"/>
  <c r="G475" i="32"/>
  <c r="G475" i="31"/>
  <c r="G617" i="32"/>
  <c r="G617" i="31"/>
  <c r="G764" i="32"/>
  <c r="G764" i="31"/>
  <c r="G1841" i="32"/>
  <c r="G1841" i="31"/>
  <c r="G127" i="32"/>
  <c r="G127" i="31"/>
  <c r="G90" i="32"/>
  <c r="G90" i="31"/>
  <c r="G120" i="32"/>
  <c r="G120" i="31"/>
  <c r="G144" i="32"/>
  <c r="G144" i="31"/>
  <c r="G167" i="32"/>
  <c r="G167" i="31"/>
  <c r="G178" i="32"/>
  <c r="G178" i="31"/>
  <c r="G198" i="32"/>
  <c r="G198" i="31"/>
  <c r="G254" i="32"/>
  <c r="G254" i="31"/>
  <c r="G264" i="32"/>
  <c r="G264" i="31"/>
  <c r="G70" i="32"/>
  <c r="G70" i="31"/>
  <c r="G121" i="32"/>
  <c r="G121" i="31"/>
  <c r="G131" i="32"/>
  <c r="G131" i="31"/>
  <c r="G146" i="32"/>
  <c r="G146" i="31"/>
  <c r="G158" i="32"/>
  <c r="G158" i="31"/>
  <c r="G169" i="32"/>
  <c r="G169" i="31"/>
  <c r="G179" i="32"/>
  <c r="G179" i="31"/>
  <c r="G188" i="32"/>
  <c r="G188" i="31"/>
  <c r="G199" i="32"/>
  <c r="G199" i="31"/>
  <c r="G239" i="32"/>
  <c r="G239" i="31"/>
  <c r="G255" i="32"/>
  <c r="G255" i="31"/>
  <c r="G265" i="32"/>
  <c r="G265" i="31"/>
  <c r="G275" i="32"/>
  <c r="G275" i="31"/>
  <c r="G287" i="32"/>
  <c r="G287" i="31"/>
  <c r="G299" i="32"/>
  <c r="G299" i="31"/>
  <c r="G311" i="32"/>
  <c r="G311" i="31"/>
  <c r="G323" i="32"/>
  <c r="G323" i="31"/>
  <c r="G335" i="32"/>
  <c r="G335" i="31"/>
  <c r="G347" i="32"/>
  <c r="G347" i="31"/>
  <c r="G358" i="32"/>
  <c r="G358" i="31"/>
  <c r="G369" i="32"/>
  <c r="G369" i="31"/>
  <c r="G381" i="32"/>
  <c r="G381" i="31"/>
  <c r="G405" i="32"/>
  <c r="G405" i="31"/>
  <c r="G429" i="32"/>
  <c r="G429" i="31"/>
  <c r="G471" i="32"/>
  <c r="G471" i="31"/>
  <c r="G483" i="32"/>
  <c r="G483" i="31"/>
  <c r="G501" i="32"/>
  <c r="G501" i="31"/>
  <c r="G515" i="32"/>
  <c r="G515" i="31"/>
  <c r="G524" i="32"/>
  <c r="G524" i="31"/>
  <c r="G539" i="32"/>
  <c r="G539" i="31"/>
  <c r="G557" i="32"/>
  <c r="G557" i="31"/>
  <c r="G607" i="32"/>
  <c r="G607" i="31"/>
  <c r="G655" i="32"/>
  <c r="G655" i="31"/>
  <c r="G664" i="32"/>
  <c r="G664" i="31"/>
  <c r="G692" i="32"/>
  <c r="G692" i="31"/>
  <c r="G708" i="32"/>
  <c r="G708" i="31"/>
  <c r="G732" i="32"/>
  <c r="G732" i="31"/>
  <c r="G748" i="32"/>
  <c r="G748" i="31"/>
  <c r="G761" i="32"/>
  <c r="G761" i="31"/>
  <c r="G773" i="32"/>
  <c r="G773" i="31"/>
  <c r="G800" i="32"/>
  <c r="G800" i="31"/>
  <c r="G856" i="32"/>
  <c r="G856" i="31"/>
  <c r="G1635" i="32"/>
  <c r="G1635" i="31"/>
  <c r="G1645" i="32"/>
  <c r="G1645" i="31"/>
  <c r="G1656" i="32"/>
  <c r="G1656" i="31"/>
  <c r="G1721" i="32"/>
  <c r="G1721" i="31"/>
  <c r="G1729" i="32"/>
  <c r="G1729" i="31"/>
  <c r="G1738" i="32"/>
  <c r="G1738" i="31"/>
  <c r="G1750" i="32"/>
  <c r="G1750" i="31"/>
  <c r="G1765" i="32"/>
  <c r="G1765" i="31"/>
  <c r="G1774" i="32"/>
  <c r="G1774" i="31"/>
  <c r="G1784" i="31"/>
  <c r="G1784" i="32"/>
  <c r="G1796" i="31"/>
  <c r="G1796" i="32"/>
  <c r="G1806" i="32"/>
  <c r="G1806" i="31"/>
  <c r="G1817" i="32"/>
  <c r="G1817" i="31"/>
  <c r="G1828" i="31"/>
  <c r="G1828" i="32"/>
  <c r="G1838" i="32"/>
  <c r="G1838" i="31"/>
  <c r="G1849" i="32"/>
  <c r="G1849" i="31"/>
  <c r="G1859" i="32"/>
  <c r="G1859" i="31"/>
  <c r="G1870" i="32"/>
  <c r="G1870" i="31"/>
  <c r="G1881" i="32"/>
  <c r="G1881" i="31"/>
  <c r="G1891" i="32"/>
  <c r="G1891" i="31"/>
  <c r="G1902" i="32"/>
  <c r="G1902" i="31"/>
  <c r="G1913" i="32"/>
  <c r="G1913" i="31"/>
  <c r="G1923" i="32"/>
  <c r="G1923" i="31"/>
  <c r="G1934" i="32"/>
  <c r="G1934" i="31"/>
  <c r="G1945" i="32"/>
  <c r="G1945" i="31"/>
  <c r="G1955" i="32"/>
  <c r="G1955" i="31"/>
  <c r="G1966" i="32"/>
  <c r="G1966" i="31"/>
  <c r="G1977" i="32"/>
  <c r="G1977" i="31"/>
  <c r="G1987" i="32"/>
  <c r="G1987" i="31"/>
  <c r="G1998" i="32"/>
  <c r="G1998" i="31"/>
  <c r="G2009" i="32"/>
  <c r="G2009" i="31"/>
  <c r="G2019" i="32"/>
  <c r="G2019" i="31"/>
  <c r="G2030" i="32"/>
  <c r="G2030" i="31"/>
  <c r="G2041" i="32"/>
  <c r="G2041" i="31"/>
  <c r="G2051" i="32"/>
  <c r="G2051" i="31"/>
  <c r="G2061" i="32"/>
  <c r="G2061" i="31"/>
  <c r="G2071" i="32"/>
  <c r="G2071" i="31"/>
  <c r="G2081" i="32"/>
  <c r="G2081" i="31"/>
  <c r="G2091" i="32"/>
  <c r="G2091" i="31"/>
  <c r="G2101" i="32"/>
  <c r="G2101" i="31"/>
  <c r="G133" i="32"/>
  <c r="G133" i="31"/>
  <c r="G189" i="32"/>
  <c r="G189" i="31"/>
  <c r="G337" i="32"/>
  <c r="G337" i="31"/>
  <c r="G431" i="32"/>
  <c r="G431" i="31"/>
  <c r="G485" i="32"/>
  <c r="G485" i="31"/>
  <c r="G656" i="32"/>
  <c r="G656" i="31"/>
  <c r="G665" i="32"/>
  <c r="G665" i="31"/>
  <c r="G693" i="32"/>
  <c r="G693" i="31"/>
  <c r="G710" i="32"/>
  <c r="G710" i="31"/>
  <c r="G734" i="32"/>
  <c r="G734" i="31"/>
  <c r="G749" i="32"/>
  <c r="G749" i="31"/>
  <c r="G762" i="32"/>
  <c r="G762" i="31"/>
  <c r="G774" i="32"/>
  <c r="G774" i="31"/>
  <c r="G801" i="32"/>
  <c r="G801" i="31"/>
  <c r="G857" i="32"/>
  <c r="G857" i="31"/>
  <c r="G1636" i="32"/>
  <c r="G1636" i="31"/>
  <c r="G1647" i="32"/>
  <c r="G1647" i="31"/>
  <c r="G1657" i="32"/>
  <c r="G1657" i="31"/>
  <c r="G1722" i="32"/>
  <c r="G1722" i="31"/>
  <c r="G1730" i="32"/>
  <c r="G1730" i="31"/>
  <c r="G1739" i="32"/>
  <c r="G1739" i="31"/>
  <c r="G1751" i="32"/>
  <c r="G1751" i="31"/>
  <c r="G1766" i="32"/>
  <c r="G1766" i="31"/>
  <c r="G1775" i="32"/>
  <c r="G1775" i="31"/>
  <c r="G1786" i="32"/>
  <c r="G1786" i="31"/>
  <c r="G1797" i="32"/>
  <c r="G1797" i="31"/>
  <c r="G1808" i="31"/>
  <c r="G1808" i="32"/>
  <c r="G1818" i="32"/>
  <c r="G1818" i="31"/>
  <c r="G1829" i="32"/>
  <c r="G1829" i="31"/>
  <c r="G1840" i="31"/>
  <c r="G1840" i="32"/>
  <c r="G1850" i="32"/>
  <c r="G1850" i="31"/>
  <c r="G1861" i="32"/>
  <c r="G1861" i="31"/>
  <c r="G1871" i="32"/>
  <c r="G1871" i="31"/>
  <c r="G1882" i="32"/>
  <c r="G1882" i="31"/>
  <c r="G1893" i="32"/>
  <c r="G1893" i="31"/>
  <c r="G1903" i="32"/>
  <c r="G1903" i="31"/>
  <c r="G1914" i="32"/>
  <c r="G1914" i="31"/>
  <c r="G1925" i="32"/>
  <c r="G1925" i="31"/>
  <c r="G1935" i="32"/>
  <c r="G1935" i="31"/>
  <c r="G1946" i="32"/>
  <c r="G1946" i="31"/>
  <c r="G1957" i="32"/>
  <c r="G1957" i="31"/>
  <c r="G1967" i="32"/>
  <c r="G1967" i="31"/>
  <c r="G1978" i="32"/>
  <c r="G1978" i="31"/>
  <c r="G1989" i="32"/>
  <c r="G1989" i="31"/>
  <c r="G1999" i="32"/>
  <c r="G1999" i="31"/>
  <c r="G2010" i="32"/>
  <c r="G2010" i="31"/>
  <c r="G2021" i="32"/>
  <c r="G2021" i="31"/>
  <c r="G2031" i="32"/>
  <c r="G2031" i="31"/>
  <c r="G2042" i="32"/>
  <c r="G2042" i="31"/>
  <c r="G2052" i="32"/>
  <c r="G2052" i="31"/>
  <c r="G2062" i="32"/>
  <c r="G2062" i="31"/>
  <c r="G2072" i="32"/>
  <c r="G2072" i="31"/>
  <c r="G2082" i="32"/>
  <c r="G2082" i="31"/>
  <c r="G2092" i="32"/>
  <c r="G2092" i="31"/>
  <c r="G2102" i="32"/>
  <c r="G2102" i="31"/>
  <c r="G528" i="19"/>
  <c r="G89" i="19"/>
  <c r="G651" i="19"/>
  <c r="G791" i="19"/>
  <c r="G664" i="19"/>
  <c r="G1729" i="19"/>
  <c r="G85" i="19"/>
  <c r="G526" i="19"/>
  <c r="G559" i="19"/>
  <c r="G1723" i="19"/>
  <c r="G1731" i="19"/>
  <c r="G1767" i="19"/>
  <c r="G1733" i="19"/>
  <c r="G141" i="19"/>
  <c r="G86" i="19"/>
  <c r="G139" i="19"/>
  <c r="G519" i="19"/>
  <c r="G527" i="19"/>
  <c r="G552" i="19"/>
  <c r="G560" i="19"/>
  <c r="G649" i="19"/>
  <c r="G1724" i="19"/>
  <c r="G1732" i="19"/>
  <c r="G1726" i="19"/>
  <c r="G1734" i="19"/>
  <c r="G1780" i="19"/>
  <c r="G90" i="19"/>
  <c r="G522" i="19"/>
  <c r="G555" i="19"/>
  <c r="G662" i="19"/>
  <c r="G792" i="19"/>
  <c r="G1727" i="19"/>
  <c r="G1735" i="19"/>
  <c r="G1763" i="19"/>
  <c r="G1781" i="19"/>
  <c r="G140" i="19"/>
  <c r="G553" i="19"/>
  <c r="G523" i="19"/>
  <c r="G556" i="19"/>
  <c r="G663" i="19"/>
  <c r="G1728" i="19"/>
  <c r="G1736" i="19"/>
  <c r="G1764" i="19"/>
  <c r="G87" i="19"/>
  <c r="G520" i="19"/>
  <c r="G650" i="19"/>
  <c r="G1725" i="19"/>
  <c r="G521" i="19"/>
  <c r="G554" i="19"/>
  <c r="G524" i="19"/>
  <c r="G557" i="19"/>
  <c r="G1721" i="19"/>
  <c r="G1765" i="19"/>
  <c r="G77" i="19"/>
  <c r="G525" i="19"/>
  <c r="G558" i="19"/>
  <c r="G665" i="19"/>
  <c r="G1722" i="19"/>
  <c r="G1730" i="19"/>
  <c r="G1766" i="19"/>
  <c r="G120" i="19"/>
  <c r="G70" i="19"/>
  <c r="G131" i="19"/>
  <c r="G158" i="19"/>
  <c r="G239" i="19"/>
  <c r="G122" i="19"/>
  <c r="G133" i="19"/>
  <c r="G159" i="19"/>
  <c r="G170" i="19"/>
  <c r="G189" i="19"/>
  <c r="G200" i="19"/>
  <c r="G242" i="19"/>
  <c r="G267" i="19"/>
  <c r="G276" i="1"/>
  <c r="G277" i="19"/>
  <c r="G300" i="1"/>
  <c r="G301" i="19"/>
  <c r="G313" i="19"/>
  <c r="G337" i="19"/>
  <c r="G383" i="19"/>
  <c r="G123" i="19"/>
  <c r="G134" i="19"/>
  <c r="G149" i="19"/>
  <c r="G161" i="19"/>
  <c r="G171" i="19"/>
  <c r="G182" i="19"/>
  <c r="G191" i="19"/>
  <c r="G201" i="19"/>
  <c r="G249" i="19"/>
  <c r="G258" i="19"/>
  <c r="G268" i="19"/>
  <c r="G278" i="19"/>
  <c r="G290" i="19"/>
  <c r="G302" i="19"/>
  <c r="G314" i="19"/>
  <c r="G326" i="19"/>
  <c r="G338" i="19"/>
  <c r="G350" i="19"/>
  <c r="G361" i="19"/>
  <c r="G373" i="19"/>
  <c r="G397" i="19"/>
  <c r="G421" i="19"/>
  <c r="G433" i="19"/>
  <c r="G475" i="19"/>
  <c r="G493" i="19"/>
  <c r="G505" i="19"/>
  <c r="G517" i="19"/>
  <c r="G541" i="19"/>
  <c r="G617" i="19"/>
  <c r="G657" i="19"/>
  <c r="G686" i="19"/>
  <c r="G695" i="19"/>
  <c r="G714" i="19"/>
  <c r="G736" i="19"/>
  <c r="G750" i="19"/>
  <c r="G764" i="19"/>
  <c r="G776" i="19"/>
  <c r="G802" i="19"/>
  <c r="G859" i="19"/>
  <c r="G1637" i="19"/>
  <c r="G1648" i="19"/>
  <c r="G1659" i="19"/>
  <c r="G1741" i="19"/>
  <c r="G1753" i="19"/>
  <c r="G1777" i="19"/>
  <c r="G1787" i="19"/>
  <c r="G1798" i="19"/>
  <c r="G1809" i="19"/>
  <c r="G1820" i="19"/>
  <c r="G1830" i="19"/>
  <c r="G1841" i="19"/>
  <c r="G1851" i="19"/>
  <c r="G1862" i="19"/>
  <c r="G1873" i="19"/>
  <c r="G1883" i="19"/>
  <c r="G1894" i="19"/>
  <c r="G1905" i="19"/>
  <c r="G1915" i="19"/>
  <c r="G1926" i="19"/>
  <c r="G1937" i="19"/>
  <c r="G1947" i="19"/>
  <c r="G1958" i="19"/>
  <c r="G1969" i="19"/>
  <c r="G1979" i="19"/>
  <c r="G1990" i="19"/>
  <c r="G2001" i="19"/>
  <c r="G2011" i="19"/>
  <c r="G2022" i="19"/>
  <c r="G2033" i="19"/>
  <c r="G2043" i="19"/>
  <c r="G2054" i="19"/>
  <c r="G2064" i="19"/>
  <c r="G2074" i="19"/>
  <c r="G2084" i="19"/>
  <c r="G2094" i="19"/>
  <c r="G125" i="19"/>
  <c r="G150" i="19"/>
  <c r="G162" i="19"/>
  <c r="G173" i="19"/>
  <c r="G183" i="19"/>
  <c r="G192" i="19"/>
  <c r="G231" i="19"/>
  <c r="G250" i="19"/>
  <c r="G259" i="19"/>
  <c r="G269" i="19"/>
  <c r="G279" i="1"/>
  <c r="G280" i="19"/>
  <c r="G291" i="1"/>
  <c r="G292" i="19"/>
  <c r="G303" i="1"/>
  <c r="G304" i="19"/>
  <c r="G315" i="19"/>
  <c r="G327" i="19"/>
  <c r="G339" i="19"/>
  <c r="G351" i="19"/>
  <c r="G362" i="19"/>
  <c r="G374" i="19"/>
  <c r="G398" i="19"/>
  <c r="G422" i="19"/>
  <c r="G434" i="19"/>
  <c r="G476" i="19"/>
  <c r="G494" i="19"/>
  <c r="G506" i="19"/>
  <c r="G658" i="19"/>
  <c r="G687" i="19"/>
  <c r="G697" i="19"/>
  <c r="G716" i="19"/>
  <c r="G738" i="19"/>
  <c r="G752" i="19"/>
  <c r="G766" i="19"/>
  <c r="G789" i="19"/>
  <c r="G803" i="19"/>
  <c r="G860" i="19"/>
  <c r="G1638" i="19"/>
  <c r="G1649" i="19"/>
  <c r="G1660" i="19"/>
  <c r="G1742" i="19"/>
  <c r="G1754" i="19"/>
  <c r="G1769" i="19"/>
  <c r="G1778" i="19"/>
  <c r="G1789" i="19"/>
  <c r="G1800" i="19"/>
  <c r="G1810" i="19"/>
  <c r="G1821" i="19"/>
  <c r="G1832" i="19"/>
  <c r="G1842" i="19"/>
  <c r="G1853" i="19"/>
  <c r="G1863" i="19"/>
  <c r="G1874" i="19"/>
  <c r="G1885" i="19"/>
  <c r="G1895" i="19"/>
  <c r="G1906" i="19"/>
  <c r="G1917" i="19"/>
  <c r="G1927" i="19"/>
  <c r="G1938" i="19"/>
  <c r="G1949" i="19"/>
  <c r="G1959" i="19"/>
  <c r="G1970" i="19"/>
  <c r="G1981" i="19"/>
  <c r="G1991" i="19"/>
  <c r="G2002" i="19"/>
  <c r="G2013" i="19"/>
  <c r="G2023" i="19"/>
  <c r="G2034" i="19"/>
  <c r="G2045" i="19"/>
  <c r="G2055" i="19"/>
  <c r="G2065" i="19"/>
  <c r="G2075" i="19"/>
  <c r="G2085" i="19"/>
  <c r="G2095" i="19"/>
  <c r="G126" i="19"/>
  <c r="G152" i="19"/>
  <c r="G163" i="19"/>
  <c r="G174" i="19"/>
  <c r="G184" i="19"/>
  <c r="G193" i="19"/>
  <c r="G233" i="19"/>
  <c r="G251" i="19"/>
  <c r="G260" i="19"/>
  <c r="G270" i="19"/>
  <c r="G281" i="19"/>
  <c r="G293" i="19"/>
  <c r="G305" i="19"/>
  <c r="G317" i="19"/>
  <c r="G329" i="19"/>
  <c r="G341" i="19"/>
  <c r="G353" i="19"/>
  <c r="G363" i="19"/>
  <c r="G375" i="19"/>
  <c r="G399" i="19"/>
  <c r="G423" i="19"/>
  <c r="G435" i="19"/>
  <c r="G477" i="19"/>
  <c r="G495" i="19"/>
  <c r="G507" i="19"/>
  <c r="G561" i="19"/>
  <c r="G659" i="19"/>
  <c r="G688" i="19"/>
  <c r="G699" i="19"/>
  <c r="G720" i="19"/>
  <c r="G740" i="19"/>
  <c r="G755" i="19"/>
  <c r="G767" i="19"/>
  <c r="G790" i="19"/>
  <c r="G804" i="19"/>
  <c r="G861" i="19"/>
  <c r="G1639" i="19"/>
  <c r="G1651" i="19"/>
  <c r="G1661" i="19"/>
  <c r="G1744" i="19"/>
  <c r="G1756" i="19"/>
  <c r="G1770" i="19"/>
  <c r="G1779" i="19"/>
  <c r="G1790" i="19"/>
  <c r="G1801" i="19"/>
  <c r="G1812" i="19"/>
  <c r="G1822" i="19"/>
  <c r="G1833" i="19"/>
  <c r="G1843" i="19"/>
  <c r="G1854" i="19"/>
  <c r="G1865" i="19"/>
  <c r="G1875" i="19"/>
  <c r="G1886" i="19"/>
  <c r="G1897" i="19"/>
  <c r="G1907" i="19"/>
  <c r="G1918" i="19"/>
  <c r="G1929" i="19"/>
  <c r="G1939" i="19"/>
  <c r="G1950" i="19"/>
  <c r="G1961" i="19"/>
  <c r="G1971" i="19"/>
  <c r="G1982" i="19"/>
  <c r="G1993" i="19"/>
  <c r="G2003" i="19"/>
  <c r="G2014" i="19"/>
  <c r="G2025" i="19"/>
  <c r="G2035" i="19"/>
  <c r="G2046" i="19"/>
  <c r="G2056" i="19"/>
  <c r="G2066" i="19"/>
  <c r="G2076" i="19"/>
  <c r="G2086" i="19"/>
  <c r="G2096" i="19"/>
  <c r="G127" i="19"/>
  <c r="G153" i="19"/>
  <c r="G165" i="19"/>
  <c r="G175" i="19"/>
  <c r="G185" i="19"/>
  <c r="G195" i="19"/>
  <c r="G235" i="19"/>
  <c r="G252" i="19"/>
  <c r="G262" i="19"/>
  <c r="G272" i="19"/>
  <c r="G282" i="1"/>
  <c r="G283" i="19"/>
  <c r="G294" i="1"/>
  <c r="G295" i="19"/>
  <c r="G307" i="19"/>
  <c r="G319" i="19"/>
  <c r="G331" i="19"/>
  <c r="G343" i="19"/>
  <c r="G355" i="19"/>
  <c r="G365" i="19"/>
  <c r="G377" i="19"/>
  <c r="G401" i="19"/>
  <c r="G425" i="19"/>
  <c r="G437" i="19"/>
  <c r="G479" i="19"/>
  <c r="G497" i="19"/>
  <c r="G510" i="19"/>
  <c r="G534" i="19"/>
  <c r="G562" i="19"/>
  <c r="G661" i="19"/>
  <c r="G689" i="19"/>
  <c r="G701" i="19"/>
  <c r="G722" i="19"/>
  <c r="G742" i="19"/>
  <c r="G756" i="19"/>
  <c r="G768" i="19"/>
  <c r="G805" i="19"/>
  <c r="G1626" i="19"/>
  <c r="G1641" i="19"/>
  <c r="G1652" i="19"/>
  <c r="G1672" i="19"/>
  <c r="G1745" i="19"/>
  <c r="G1757" i="19"/>
  <c r="G1771" i="19"/>
  <c r="G1792" i="19"/>
  <c r="G1802" i="19"/>
  <c r="G1813" i="19"/>
  <c r="G1824" i="19"/>
  <c r="G1834" i="19"/>
  <c r="G1845" i="19"/>
  <c r="G1855" i="19"/>
  <c r="G1866" i="19"/>
  <c r="G1877" i="19"/>
  <c r="G1887" i="19"/>
  <c r="G1898" i="19"/>
  <c r="G1909" i="19"/>
  <c r="G1919" i="19"/>
  <c r="G1930" i="19"/>
  <c r="G1941" i="19"/>
  <c r="G1951" i="19"/>
  <c r="G1962" i="19"/>
  <c r="G1973" i="19"/>
  <c r="G1983" i="19"/>
  <c r="G1994" i="19"/>
  <c r="G2005" i="19"/>
  <c r="G2015" i="19"/>
  <c r="G2026" i="19"/>
  <c r="G2037" i="19"/>
  <c r="G2047" i="19"/>
  <c r="G2057" i="19"/>
  <c r="G2067" i="19"/>
  <c r="G2077" i="19"/>
  <c r="G2087" i="19"/>
  <c r="G2097" i="19"/>
  <c r="G24" i="19"/>
  <c r="G128" i="19"/>
  <c r="G143" i="19"/>
  <c r="G155" i="19"/>
  <c r="G166" i="19"/>
  <c r="G177" i="19"/>
  <c r="G186" i="19"/>
  <c r="G196" i="19"/>
  <c r="G237" i="19"/>
  <c r="G253" i="19"/>
  <c r="G263" i="19"/>
  <c r="G273" i="19"/>
  <c r="G284" i="19"/>
  <c r="G296" i="19"/>
  <c r="G308" i="19"/>
  <c r="G320" i="19"/>
  <c r="G332" i="19"/>
  <c r="G344" i="19"/>
  <c r="G356" i="19"/>
  <c r="G367" i="19"/>
  <c r="G379" i="19"/>
  <c r="G403" i="19"/>
  <c r="G427" i="19"/>
  <c r="G469" i="19"/>
  <c r="G481" i="19"/>
  <c r="G499" i="19"/>
  <c r="G511" i="19"/>
  <c r="G535" i="19"/>
  <c r="G592" i="19"/>
  <c r="G652" i="19"/>
  <c r="G690" i="19"/>
  <c r="G702" i="1"/>
  <c r="G703" i="19"/>
  <c r="G726" i="19"/>
  <c r="G744" i="19"/>
  <c r="G757" i="19"/>
  <c r="G770" i="19"/>
  <c r="G806" i="19"/>
  <c r="G1632" i="19"/>
  <c r="G1643" i="19"/>
  <c r="G1653" i="19"/>
  <c r="G1673" i="19"/>
  <c r="G1747" i="19"/>
  <c r="G1772" i="19"/>
  <c r="G1793" i="19"/>
  <c r="G1804" i="19"/>
  <c r="G1814" i="19"/>
  <c r="G1825" i="19"/>
  <c r="G1836" i="19"/>
  <c r="G1846" i="19"/>
  <c r="G1857" i="19"/>
  <c r="G1867" i="19"/>
  <c r="G1878" i="19"/>
  <c r="G1889" i="19"/>
  <c r="G1899" i="19"/>
  <c r="G1910" i="19"/>
  <c r="G1921" i="19"/>
  <c r="G1931" i="19"/>
  <c r="G1942" i="19"/>
  <c r="G1953" i="19"/>
  <c r="G1963" i="19"/>
  <c r="G1974" i="19"/>
  <c r="G1985" i="19"/>
  <c r="G1995" i="19"/>
  <c r="G2006" i="19"/>
  <c r="G2017" i="19"/>
  <c r="G2027" i="19"/>
  <c r="G2038" i="19"/>
  <c r="G2049" i="19"/>
  <c r="G2059" i="19"/>
  <c r="G2069" i="19"/>
  <c r="G2079" i="19"/>
  <c r="G2089" i="19"/>
  <c r="G2099" i="19"/>
  <c r="G25" i="19"/>
  <c r="G144" i="19"/>
  <c r="G156" i="19"/>
  <c r="G167" i="19"/>
  <c r="G178" i="19"/>
  <c r="G187" i="19"/>
  <c r="G198" i="19"/>
  <c r="G238" i="19"/>
  <c r="G254" i="19"/>
  <c r="G264" i="19"/>
  <c r="G274" i="19"/>
  <c r="G285" i="1"/>
  <c r="G286" i="19"/>
  <c r="G297" i="1"/>
  <c r="G298" i="19"/>
  <c r="G309" i="19"/>
  <c r="G321" i="19"/>
  <c r="G333" i="19"/>
  <c r="G345" i="19"/>
  <c r="G357" i="19"/>
  <c r="G368" i="19"/>
  <c r="G380" i="19"/>
  <c r="G404" i="19"/>
  <c r="G428" i="19"/>
  <c r="G470" i="19"/>
  <c r="G482" i="19"/>
  <c r="G500" i="19"/>
  <c r="G512" i="19"/>
  <c r="G536" i="19"/>
  <c r="G602" i="19"/>
  <c r="G653" i="19"/>
  <c r="G691" i="19"/>
  <c r="G704" i="19"/>
  <c r="G728" i="19"/>
  <c r="G746" i="19"/>
  <c r="G758" i="19"/>
  <c r="G772" i="19"/>
  <c r="G793" i="19"/>
  <c r="G855" i="19"/>
  <c r="G1633" i="19"/>
  <c r="G1644" i="19"/>
  <c r="G1655" i="19"/>
  <c r="G1683" i="19"/>
  <c r="G1748" i="19"/>
  <c r="G1773" i="19"/>
  <c r="G1783" i="19"/>
  <c r="G1794" i="19"/>
  <c r="G1805" i="19"/>
  <c r="G1816" i="19"/>
  <c r="G1826" i="19"/>
  <c r="G1837" i="19"/>
  <c r="G1847" i="19"/>
  <c r="G1858" i="19"/>
  <c r="G1869" i="19"/>
  <c r="G1879" i="19"/>
  <c r="G1890" i="19"/>
  <c r="G1901" i="19"/>
  <c r="G1911" i="19"/>
  <c r="G1922" i="19"/>
  <c r="G1933" i="19"/>
  <c r="G1943" i="19"/>
  <c r="G1954" i="19"/>
  <c r="G1965" i="19"/>
  <c r="G1975" i="19"/>
  <c r="G1986" i="19"/>
  <c r="G1997" i="19"/>
  <c r="G2007" i="19"/>
  <c r="G2018" i="19"/>
  <c r="G2029" i="19"/>
  <c r="G2039" i="19"/>
  <c r="G2050" i="19"/>
  <c r="G2060" i="19"/>
  <c r="G2070" i="19"/>
  <c r="G2080" i="19"/>
  <c r="G2090" i="19"/>
  <c r="G2100" i="19"/>
  <c r="G146" i="19"/>
  <c r="G179" i="19"/>
  <c r="G188" i="19"/>
  <c r="G199" i="19"/>
  <c r="G255" i="19"/>
  <c r="G265" i="19"/>
  <c r="G275" i="19"/>
  <c r="G287" i="19"/>
  <c r="G299" i="19"/>
  <c r="G311" i="19"/>
  <c r="G323" i="19"/>
  <c r="G335" i="19"/>
  <c r="G347" i="19"/>
  <c r="G358" i="19"/>
  <c r="G369" i="19"/>
  <c r="G381" i="19"/>
  <c r="G405" i="19"/>
  <c r="G429" i="19"/>
  <c r="G471" i="19"/>
  <c r="G483" i="19"/>
  <c r="G501" i="19"/>
  <c r="G515" i="19"/>
  <c r="G539" i="19"/>
  <c r="G607" i="19"/>
  <c r="G655" i="19"/>
  <c r="G692" i="19"/>
  <c r="G708" i="19"/>
  <c r="G732" i="19"/>
  <c r="G748" i="19"/>
  <c r="G761" i="19"/>
  <c r="G773" i="19"/>
  <c r="G800" i="19"/>
  <c r="G856" i="19"/>
  <c r="G1635" i="19"/>
  <c r="G1645" i="19"/>
  <c r="G1656" i="19"/>
  <c r="G1738" i="19"/>
  <c r="G1750" i="19"/>
  <c r="G1774" i="19"/>
  <c r="G1784" i="19"/>
  <c r="G1796" i="19"/>
  <c r="G1806" i="19"/>
  <c r="G1817" i="19"/>
  <c r="G1828" i="19"/>
  <c r="G1838" i="19"/>
  <c r="G1849" i="19"/>
  <c r="G1859" i="19"/>
  <c r="G1870" i="19"/>
  <c r="G1881" i="19"/>
  <c r="G1891" i="19"/>
  <c r="G1902" i="19"/>
  <c r="G1913" i="19"/>
  <c r="G1923" i="19"/>
  <c r="G1934" i="19"/>
  <c r="G1945" i="19"/>
  <c r="G1955" i="19"/>
  <c r="G1966" i="19"/>
  <c r="G1977" i="19"/>
  <c r="G1987" i="19"/>
  <c r="G1998" i="19"/>
  <c r="G2009" i="19"/>
  <c r="G2019" i="19"/>
  <c r="G2030" i="19"/>
  <c r="G2041" i="19"/>
  <c r="G2051" i="19"/>
  <c r="G2061" i="19"/>
  <c r="G2071" i="19"/>
  <c r="G2081" i="19"/>
  <c r="G2091" i="19"/>
  <c r="G2101" i="19"/>
  <c r="G129" i="19"/>
  <c r="G121" i="19"/>
  <c r="G169" i="19"/>
  <c r="G147" i="19"/>
  <c r="G181" i="19"/>
  <c r="G257" i="19"/>
  <c r="G288" i="1"/>
  <c r="G289" i="19"/>
  <c r="G325" i="19"/>
  <c r="G349" i="19"/>
  <c r="G359" i="19"/>
  <c r="G371" i="19"/>
  <c r="G407" i="19"/>
  <c r="G431" i="19"/>
  <c r="G473" i="19"/>
  <c r="G485" i="19"/>
  <c r="G503" i="19"/>
  <c r="G516" i="19"/>
  <c r="G540" i="19"/>
  <c r="G612" i="19"/>
  <c r="G656" i="19"/>
  <c r="G693" i="19"/>
  <c r="G710" i="19"/>
  <c r="G734" i="19"/>
  <c r="G749" i="19"/>
  <c r="G762" i="19"/>
  <c r="G774" i="19"/>
  <c r="G857" i="19"/>
  <c r="G1636" i="19"/>
  <c r="G1647" i="19"/>
  <c r="G1657" i="19"/>
  <c r="G1739" i="19"/>
  <c r="G1751" i="19"/>
  <c r="G1775" i="19"/>
  <c r="G1786" i="19"/>
  <c r="G1797" i="19"/>
  <c r="G1808" i="19"/>
  <c r="G1818" i="19"/>
  <c r="G1829" i="19"/>
  <c r="G1840" i="19"/>
  <c r="G1850" i="19"/>
  <c r="G1861" i="19"/>
  <c r="G1871" i="19"/>
  <c r="G1882" i="19"/>
  <c r="G1893" i="19"/>
  <c r="G1903" i="19"/>
  <c r="G1914" i="19"/>
  <c r="G1925" i="19"/>
  <c r="G1935" i="19"/>
  <c r="G1946" i="19"/>
  <c r="G1957" i="19"/>
  <c r="G1967" i="19"/>
  <c r="G1978" i="19"/>
  <c r="G1989" i="19"/>
  <c r="G1999" i="19"/>
  <c r="G2010" i="19"/>
  <c r="G2021" i="19"/>
  <c r="G2031" i="19"/>
  <c r="G2042" i="19"/>
  <c r="G2052" i="19"/>
  <c r="G2062" i="19"/>
  <c r="G2072" i="19"/>
  <c r="G2082" i="19"/>
  <c r="G2092" i="19"/>
  <c r="G2102" i="19"/>
  <c r="G801" i="19"/>
  <c r="G1900" i="1"/>
  <c r="G1823" i="1"/>
  <c r="G2053" i="1"/>
  <c r="G2093" i="1"/>
  <c r="G1642" i="1"/>
  <c r="G1746" i="1"/>
  <c r="G157" i="1"/>
  <c r="G1831" i="1"/>
  <c r="G1852" i="1"/>
  <c r="G1884" i="1"/>
  <c r="G1916" i="1"/>
  <c r="G1948" i="1"/>
  <c r="G1980" i="1"/>
  <c r="G2012" i="1"/>
  <c r="G2044" i="1"/>
  <c r="G1791" i="1"/>
  <c r="G151" i="1"/>
  <c r="G1932" i="1"/>
  <c r="G194" i="1"/>
  <c r="G164" i="1"/>
  <c r="G1737" i="1"/>
  <c r="G1782" i="1"/>
  <c r="G1803" i="1"/>
  <c r="G168" i="1"/>
  <c r="G1752" i="1"/>
  <c r="G1827" i="1"/>
  <c r="G154" i="1"/>
  <c r="G858" i="1"/>
  <c r="G1749" i="1"/>
  <c r="G2078" i="1"/>
  <c r="G180" i="1"/>
  <c r="G1658" i="1"/>
  <c r="G1785" i="1"/>
  <c r="G1807" i="1"/>
  <c r="G1815" i="1"/>
  <c r="G160" i="1"/>
  <c r="G1776" i="1"/>
  <c r="G172" i="1"/>
  <c r="G1650" i="1"/>
  <c r="G1768" i="1"/>
  <c r="G1799" i="1"/>
  <c r="G1839" i="1"/>
  <c r="G1872" i="1"/>
  <c r="G1904" i="1"/>
  <c r="G1936" i="1"/>
  <c r="G1968" i="1"/>
  <c r="G2000" i="1"/>
  <c r="G2032" i="1"/>
  <c r="G148" i="1"/>
  <c r="G261" i="1"/>
  <c r="G271" i="1"/>
  <c r="G1634" i="1"/>
  <c r="G176" i="1"/>
  <c r="G1654" i="1"/>
  <c r="G1795" i="1"/>
  <c r="G2073" i="1"/>
  <c r="G2098" i="1"/>
  <c r="G142" i="1"/>
  <c r="G197" i="1"/>
  <c r="G256" i="1"/>
  <c r="G753" i="1"/>
  <c r="G1646" i="1"/>
  <c r="G1755" i="1"/>
  <c r="G1788" i="1"/>
  <c r="G1864" i="1"/>
  <c r="G1896" i="1"/>
  <c r="G1928" i="1"/>
  <c r="G1960" i="1"/>
  <c r="G1992" i="1"/>
  <c r="G2024" i="1"/>
  <c r="G854" i="1"/>
  <c r="G1844" i="1"/>
  <c r="G1876" i="1"/>
  <c r="G1908" i="1"/>
  <c r="G1940" i="1"/>
  <c r="G1972" i="1"/>
  <c r="G2004" i="1"/>
  <c r="G2036" i="1"/>
  <c r="G2063" i="1"/>
  <c r="G2083" i="1"/>
  <c r="G145" i="1"/>
  <c r="G190" i="1"/>
  <c r="G266" i="1"/>
  <c r="G354" i="1"/>
  <c r="G654" i="1"/>
  <c r="G1835" i="1"/>
  <c r="G1856" i="1"/>
  <c r="G1888" i="1"/>
  <c r="G1920" i="1"/>
  <c r="G1952" i="1"/>
  <c r="G1984" i="1"/>
  <c r="G2016" i="1"/>
  <c r="G2048" i="1"/>
  <c r="G1740" i="1"/>
  <c r="G1868" i="1"/>
  <c r="G1964" i="1"/>
  <c r="G1996" i="1"/>
  <c r="G2028" i="1"/>
  <c r="G2068" i="1"/>
  <c r="G124" i="1"/>
  <c r="G1819" i="1"/>
  <c r="G1848" i="1"/>
  <c r="G1880" i="1"/>
  <c r="G1912" i="1"/>
  <c r="G1944" i="1"/>
  <c r="G1976" i="1"/>
  <c r="G2008" i="1"/>
  <c r="G2040" i="1"/>
  <c r="G2088" i="1"/>
  <c r="G1743" i="1"/>
  <c r="G1811" i="1"/>
  <c r="G1860" i="1"/>
  <c r="G1892" i="1"/>
  <c r="G1924" i="1"/>
  <c r="G1956" i="1"/>
  <c r="G1988" i="1"/>
  <c r="G2020" i="1"/>
  <c r="G2058" i="1"/>
  <c r="W12" i="17"/>
  <c r="BA12" i="17" s="1"/>
  <c r="G1988" i="32" l="1"/>
  <c r="G1988" i="31"/>
  <c r="G1634" i="32"/>
  <c r="G1634" i="31"/>
  <c r="G1892" i="32"/>
  <c r="G1892" i="31"/>
  <c r="G1944" i="31"/>
  <c r="G1944" i="32"/>
  <c r="G1996" i="32"/>
  <c r="G1996" i="31"/>
  <c r="G1920" i="32"/>
  <c r="G1920" i="31"/>
  <c r="G145" i="32"/>
  <c r="G145" i="31"/>
  <c r="G1876" i="32"/>
  <c r="G1876" i="31"/>
  <c r="G1864" i="32"/>
  <c r="G1864" i="31"/>
  <c r="G2098" i="32"/>
  <c r="G2098" i="31"/>
  <c r="G148" i="32"/>
  <c r="G148" i="31"/>
  <c r="G1799" i="32"/>
  <c r="G1799" i="31"/>
  <c r="G1785" i="32"/>
  <c r="G1785" i="31"/>
  <c r="G1752" i="32"/>
  <c r="G1752" i="31"/>
  <c r="G151" i="32"/>
  <c r="G151" i="31"/>
  <c r="G1852" i="32"/>
  <c r="G1852" i="31"/>
  <c r="G1900" i="32"/>
  <c r="G1900" i="31"/>
  <c r="G291" i="32"/>
  <c r="G291" i="31"/>
  <c r="G2040" i="32"/>
  <c r="G2040" i="31"/>
  <c r="G1904" i="32"/>
  <c r="G1904" i="31"/>
  <c r="G303" i="32"/>
  <c r="G303" i="31"/>
  <c r="G1860" i="32"/>
  <c r="G1860" i="31"/>
  <c r="G1912" i="32"/>
  <c r="G1912" i="31"/>
  <c r="G1964" i="32"/>
  <c r="G1964" i="31"/>
  <c r="G1888" i="32"/>
  <c r="G1888" i="31"/>
  <c r="G2083" i="32"/>
  <c r="G2083" i="31"/>
  <c r="G1844" i="32"/>
  <c r="G1844" i="31"/>
  <c r="G1788" i="32"/>
  <c r="G1788" i="31"/>
  <c r="G2073" i="32"/>
  <c r="G2073" i="31"/>
  <c r="G2032" i="32"/>
  <c r="G2032" i="31"/>
  <c r="G1768" i="32"/>
  <c r="G1768" i="31"/>
  <c r="G1658" i="32"/>
  <c r="G1658" i="31"/>
  <c r="G168" i="32"/>
  <c r="G168" i="31"/>
  <c r="G1791" i="32"/>
  <c r="G1791" i="31"/>
  <c r="G1831" i="32"/>
  <c r="G1831" i="31"/>
  <c r="G276" i="32"/>
  <c r="G276" i="31"/>
  <c r="G1972" i="32"/>
  <c r="G1972" i="31"/>
  <c r="G2093" i="32"/>
  <c r="G2093" i="31"/>
  <c r="G1811" i="32"/>
  <c r="G1811" i="31"/>
  <c r="G1880" i="32"/>
  <c r="G1880" i="31"/>
  <c r="G1868" i="32"/>
  <c r="G1868" i="31"/>
  <c r="G1856" i="32"/>
  <c r="G1856" i="31"/>
  <c r="G2063" i="32"/>
  <c r="G2063" i="31"/>
  <c r="G854" i="32"/>
  <c r="G854" i="31"/>
  <c r="G1755" i="31"/>
  <c r="G1755" i="32"/>
  <c r="G1795" i="32"/>
  <c r="G1795" i="31"/>
  <c r="G2000" i="32"/>
  <c r="G2000" i="31"/>
  <c r="G1650" i="32"/>
  <c r="G1650" i="31"/>
  <c r="G180" i="32"/>
  <c r="G180" i="31"/>
  <c r="G1803" i="31"/>
  <c r="G1803" i="32"/>
  <c r="G2044" i="32"/>
  <c r="G2044" i="31"/>
  <c r="G157" i="32"/>
  <c r="G157" i="31"/>
  <c r="G702" i="32"/>
  <c r="G702" i="31"/>
  <c r="G354" i="32"/>
  <c r="G354" i="31"/>
  <c r="G160" i="32"/>
  <c r="G160" i="31"/>
  <c r="G2058" i="32"/>
  <c r="G2058" i="31"/>
  <c r="G1743" i="32"/>
  <c r="G1743" i="31"/>
  <c r="G1848" i="32"/>
  <c r="G1848" i="31"/>
  <c r="G1740" i="32"/>
  <c r="G1740" i="31"/>
  <c r="G1835" i="32"/>
  <c r="G1835" i="31"/>
  <c r="G2036" i="32"/>
  <c r="G2036" i="31"/>
  <c r="G2024" i="32"/>
  <c r="G2024" i="31"/>
  <c r="G1646" i="32"/>
  <c r="G1646" i="31"/>
  <c r="G1654" i="32"/>
  <c r="G1654" i="31"/>
  <c r="G1968" i="32"/>
  <c r="G1968" i="31"/>
  <c r="G172" i="32"/>
  <c r="G172" i="31"/>
  <c r="G2078" i="32"/>
  <c r="G2078" i="31"/>
  <c r="G1782" i="32"/>
  <c r="G1782" i="31"/>
  <c r="G2012" i="32"/>
  <c r="G2012" i="31"/>
  <c r="G1746" i="32"/>
  <c r="G1746" i="31"/>
  <c r="G294" i="32"/>
  <c r="G294" i="31"/>
  <c r="G279" i="32"/>
  <c r="G279" i="31"/>
  <c r="G256" i="32"/>
  <c r="G256" i="31"/>
  <c r="G2020" i="32"/>
  <c r="G2020" i="31"/>
  <c r="G2088" i="32"/>
  <c r="G2088" i="31"/>
  <c r="G1819" i="32"/>
  <c r="G1819" i="31"/>
  <c r="G2048" i="32"/>
  <c r="G2048" i="31"/>
  <c r="G654" i="32"/>
  <c r="G654" i="31"/>
  <c r="G2004" i="32"/>
  <c r="G2004" i="31"/>
  <c r="G1992" i="32"/>
  <c r="G1992" i="31"/>
  <c r="G753" i="32"/>
  <c r="G753" i="31"/>
  <c r="G176" i="32"/>
  <c r="G176" i="31"/>
  <c r="G1936" i="32"/>
  <c r="G1936" i="31"/>
  <c r="G1776" i="32"/>
  <c r="G1776" i="31"/>
  <c r="G1749" i="31"/>
  <c r="G1749" i="32"/>
  <c r="G1737" i="32"/>
  <c r="G1737" i="31"/>
  <c r="G1980" i="32"/>
  <c r="G1980" i="31"/>
  <c r="G1642" i="32"/>
  <c r="G1642" i="31"/>
  <c r="G297" i="32"/>
  <c r="G297" i="31"/>
  <c r="G124" i="32"/>
  <c r="G124" i="31"/>
  <c r="G858" i="32"/>
  <c r="G858" i="31"/>
  <c r="G2016" i="32"/>
  <c r="G2016" i="31"/>
  <c r="G1948" i="32"/>
  <c r="G1948" i="31"/>
  <c r="G1956" i="31"/>
  <c r="G1956" i="32"/>
  <c r="G2008" i="32"/>
  <c r="G2008" i="31"/>
  <c r="G2068" i="32"/>
  <c r="G2068" i="31"/>
  <c r="G1984" i="32"/>
  <c r="G1984" i="31"/>
  <c r="G266" i="32"/>
  <c r="G266" i="31"/>
  <c r="G1940" i="32"/>
  <c r="G1940" i="31"/>
  <c r="G1928" i="32"/>
  <c r="G1928" i="31"/>
  <c r="G197" i="32"/>
  <c r="G197" i="31"/>
  <c r="G271" i="32"/>
  <c r="G271" i="31"/>
  <c r="G1872" i="32"/>
  <c r="G1872" i="31"/>
  <c r="G1815" i="31"/>
  <c r="G1815" i="32"/>
  <c r="G154" i="32"/>
  <c r="G154" i="31"/>
  <c r="G194" i="32"/>
  <c r="G194" i="31"/>
  <c r="G1916" i="32"/>
  <c r="G1916" i="31"/>
  <c r="G2053" i="32"/>
  <c r="G2053" i="31"/>
  <c r="G282" i="32"/>
  <c r="G282" i="31"/>
  <c r="G300" i="32"/>
  <c r="G300" i="31"/>
  <c r="G1960" i="32"/>
  <c r="G1960" i="31"/>
  <c r="G164" i="32"/>
  <c r="G164" i="31"/>
  <c r="G1924" i="32"/>
  <c r="G1924" i="31"/>
  <c r="G1976" i="32"/>
  <c r="G1976" i="31"/>
  <c r="G2028" i="32"/>
  <c r="G2028" i="31"/>
  <c r="G1952" i="32"/>
  <c r="G1952" i="31"/>
  <c r="G190" i="32"/>
  <c r="G190" i="31"/>
  <c r="G1908" i="32"/>
  <c r="G1908" i="31"/>
  <c r="G1896" i="32"/>
  <c r="G1896" i="31"/>
  <c r="G142" i="32"/>
  <c r="G142" i="31"/>
  <c r="G261" i="32"/>
  <c r="G261" i="31"/>
  <c r="G1839" i="32"/>
  <c r="G1839" i="31"/>
  <c r="G1807" i="32"/>
  <c r="G1807" i="31"/>
  <c r="G1827" i="32"/>
  <c r="G1827" i="31"/>
  <c r="G1932" i="32"/>
  <c r="G1932" i="31"/>
  <c r="G1884" i="32"/>
  <c r="G1884" i="31"/>
  <c r="G1823" i="32"/>
  <c r="G1823" i="31"/>
  <c r="G288" i="32"/>
  <c r="G288" i="31"/>
  <c r="G285" i="32"/>
  <c r="G285" i="31"/>
  <c r="G2068" i="19"/>
  <c r="G2028" i="19"/>
  <c r="G1912" i="19"/>
  <c r="G1788" i="19"/>
  <c r="G1658" i="19"/>
  <c r="G1868" i="19"/>
  <c r="G854" i="19"/>
  <c r="G1755" i="19"/>
  <c r="G1795" i="19"/>
  <c r="G1650" i="19"/>
  <c r="G1803" i="19"/>
  <c r="G2058" i="19"/>
  <c r="G1743" i="19"/>
  <c r="G1848" i="19"/>
  <c r="G1740" i="19"/>
  <c r="G2036" i="19"/>
  <c r="G2024" i="19"/>
  <c r="G1646" i="19"/>
  <c r="G1654" i="19"/>
  <c r="G1968" i="19"/>
  <c r="G172" i="19"/>
  <c r="G2078" i="19"/>
  <c r="G1782" i="19"/>
  <c r="G2012" i="19"/>
  <c r="G288" i="19"/>
  <c r="G2020" i="19"/>
  <c r="G2088" i="19"/>
  <c r="G1819" i="19"/>
  <c r="G2048" i="19"/>
  <c r="G654" i="19"/>
  <c r="G2004" i="19"/>
  <c r="G1992" i="19"/>
  <c r="G753" i="19"/>
  <c r="G176" i="19"/>
  <c r="G1936" i="19"/>
  <c r="G1776" i="19"/>
  <c r="G1749" i="19"/>
  <c r="G1737" i="19"/>
  <c r="G1980" i="19"/>
  <c r="G1642" i="19"/>
  <c r="G2040" i="19"/>
  <c r="G124" i="19"/>
  <c r="G2016" i="19"/>
  <c r="G354" i="19"/>
  <c r="G1972" i="19"/>
  <c r="G1960" i="19"/>
  <c r="G256" i="19"/>
  <c r="G1634" i="19"/>
  <c r="G1904" i="19"/>
  <c r="G160" i="19"/>
  <c r="G858" i="19"/>
  <c r="G164" i="19"/>
  <c r="G1948" i="19"/>
  <c r="G2093" i="19"/>
  <c r="G276" i="19"/>
  <c r="G1984" i="19"/>
  <c r="G266" i="19"/>
  <c r="G1940" i="19"/>
  <c r="G1928" i="19"/>
  <c r="G197" i="19"/>
  <c r="G271" i="19"/>
  <c r="G1872" i="19"/>
  <c r="G1815" i="19"/>
  <c r="G154" i="19"/>
  <c r="G194" i="19"/>
  <c r="G1916" i="19"/>
  <c r="G2053" i="19"/>
  <c r="G702" i="19"/>
  <c r="G282" i="19"/>
  <c r="G300" i="19"/>
  <c r="G1924" i="19"/>
  <c r="G1908" i="19"/>
  <c r="G1896" i="19"/>
  <c r="G142" i="19"/>
  <c r="G261" i="19"/>
  <c r="G1839" i="19"/>
  <c r="G1807" i="19"/>
  <c r="G1827" i="19"/>
  <c r="G1932" i="19"/>
  <c r="G1884" i="19"/>
  <c r="G1823" i="19"/>
  <c r="G285" i="19"/>
  <c r="G294" i="19"/>
  <c r="G279" i="19"/>
  <c r="G1956" i="19"/>
  <c r="G1976" i="19"/>
  <c r="G1892" i="19"/>
  <c r="G1944" i="19"/>
  <c r="G1996" i="19"/>
  <c r="G1920" i="19"/>
  <c r="G145" i="19"/>
  <c r="G1876" i="19"/>
  <c r="G1864" i="19"/>
  <c r="G2098" i="19"/>
  <c r="G148" i="19"/>
  <c r="G1799" i="19"/>
  <c r="G1785" i="19"/>
  <c r="G1752" i="19"/>
  <c r="G151" i="19"/>
  <c r="G1852" i="19"/>
  <c r="G1900" i="19"/>
  <c r="G297" i="19"/>
  <c r="G291" i="19"/>
  <c r="G2083" i="19"/>
  <c r="G1768" i="19"/>
  <c r="G1791" i="19"/>
  <c r="G303" i="19"/>
  <c r="G1988" i="19"/>
  <c r="G190" i="19"/>
  <c r="G1964" i="19"/>
  <c r="G2073" i="19"/>
  <c r="G1880" i="19"/>
  <c r="G2044" i="19"/>
  <c r="G2008" i="19"/>
  <c r="G1952" i="19"/>
  <c r="G1860" i="19"/>
  <c r="G1888" i="19"/>
  <c r="G1844" i="19"/>
  <c r="G2032" i="19"/>
  <c r="G168" i="19"/>
  <c r="G1831" i="19"/>
  <c r="G1811" i="19"/>
  <c r="G1856" i="19"/>
  <c r="G2063" i="19"/>
  <c r="G2000" i="19"/>
  <c r="G180" i="19"/>
  <c r="G157" i="19"/>
  <c r="G1835" i="19"/>
  <c r="G1746" i="19"/>
  <c r="W28" i="17"/>
  <c r="BA28" i="17" s="1"/>
  <c r="W29" i="17"/>
  <c r="BA29" i="17" s="1"/>
  <c r="W30" i="17"/>
  <c r="BA30" i="17" s="1"/>
  <c r="W31" i="17"/>
  <c r="BA31" i="17" s="1"/>
  <c r="W26" i="17"/>
  <c r="BA26" i="17" s="1"/>
  <c r="W24" i="17"/>
  <c r="BA24" i="17" s="1"/>
  <c r="W17" i="17"/>
  <c r="BA17" i="17" s="1"/>
  <c r="W18" i="17"/>
  <c r="BA18" i="17" s="1"/>
  <c r="W19" i="17"/>
  <c r="BA19" i="17" s="1"/>
  <c r="W20" i="17"/>
  <c r="BA20" i="17" s="1"/>
  <c r="W21" i="17"/>
  <c r="BA21" i="17" s="1"/>
  <c r="W22" i="17"/>
  <c r="BA22" i="17" s="1"/>
  <c r="W16" i="17"/>
  <c r="BA16" i="17" s="1"/>
  <c r="W15" i="17"/>
  <c r="BA15" i="17" s="1"/>
  <c r="W14" i="17"/>
  <c r="BA14" i="17" s="1"/>
  <c r="Q31" i="17"/>
  <c r="Q30" i="17"/>
  <c r="Q28" i="17"/>
  <c r="Q26" i="17"/>
  <c r="Q24" i="17"/>
  <c r="Q22" i="17"/>
  <c r="Q21" i="17"/>
  <c r="Q20" i="17"/>
  <c r="Q18" i="17"/>
  <c r="Q17" i="17"/>
  <c r="Q16" i="17"/>
  <c r="Q14" i="17"/>
  <c r="Q12" i="17"/>
  <c r="Q29" i="17"/>
  <c r="O16" i="17"/>
  <c r="O12" i="17"/>
  <c r="X25" i="17" l="1"/>
  <c r="X23" i="17"/>
  <c r="X13" i="17"/>
  <c r="BB8" i="17"/>
  <c r="AX12" i="17" s="1"/>
  <c r="BA8" i="17"/>
  <c r="AX18" i="17" s="1"/>
  <c r="X18" i="17" l="1"/>
  <c r="AX21" i="17"/>
  <c r="X21" i="17" s="1"/>
  <c r="AX26" i="17"/>
  <c r="AX20" i="17"/>
  <c r="AX22" i="17"/>
  <c r="AX17" i="17"/>
  <c r="X17" i="17" s="1"/>
  <c r="AX28" i="17"/>
  <c r="AX15" i="17"/>
  <c r="X15" i="17" s="1"/>
  <c r="AX14" i="17"/>
  <c r="AX24" i="17"/>
  <c r="X24" i="17" s="1"/>
  <c r="AX30" i="17"/>
  <c r="AX31" i="17"/>
  <c r="X31" i="17" s="1"/>
  <c r="AX16" i="17"/>
  <c r="AX29" i="17"/>
  <c r="X29" i="17" s="1"/>
  <c r="AX19" i="17"/>
  <c r="X19" i="17" s="1"/>
  <c r="X28" i="17" l="1"/>
  <c r="X12" i="17"/>
  <c r="X14" i="17"/>
  <c r="X20" i="17"/>
  <c r="X30" i="17"/>
  <c r="X16" i="17"/>
  <c r="X22" i="17"/>
  <c r="X26" i="17"/>
  <c r="F542" i="1" l="1"/>
  <c r="F537" i="1"/>
  <c r="F518" i="1"/>
  <c r="F513" i="1"/>
  <c r="G508" i="1"/>
  <c r="G532" i="1"/>
  <c r="G531" i="1"/>
  <c r="G530" i="1"/>
  <c r="G530" i="32" l="1"/>
  <c r="G530" i="31"/>
  <c r="G532" i="32"/>
  <c r="G532" i="31"/>
  <c r="G531" i="32"/>
  <c r="G531" i="31"/>
  <c r="G508" i="32"/>
  <c r="G508" i="31"/>
  <c r="F537" i="32"/>
  <c r="F537" i="31"/>
  <c r="F513" i="32"/>
  <c r="F513" i="31"/>
  <c r="F518" i="32"/>
  <c r="F518" i="31"/>
  <c r="F542" i="32"/>
  <c r="F542" i="31"/>
  <c r="G542" i="1"/>
  <c r="F542" i="19"/>
  <c r="G530" i="19"/>
  <c r="G531" i="19"/>
  <c r="G532" i="19"/>
  <c r="G513" i="1"/>
  <c r="F513" i="19"/>
  <c r="G518" i="1"/>
  <c r="F518" i="19"/>
  <c r="G537" i="1"/>
  <c r="F537" i="19"/>
  <c r="G504" i="1"/>
  <c r="G508" i="19"/>
  <c r="I532" i="1"/>
  <c r="I524" i="1"/>
  <c r="I525" i="1"/>
  <c r="G537" i="32" l="1"/>
  <c r="G537" i="31"/>
  <c r="G518" i="32"/>
  <c r="G518" i="31"/>
  <c r="I532" i="32"/>
  <c r="I532" i="31"/>
  <c r="I525" i="32"/>
  <c r="I525" i="31"/>
  <c r="G504" i="32"/>
  <c r="G504" i="31"/>
  <c r="G513" i="32"/>
  <c r="G513" i="31"/>
  <c r="I524" i="32"/>
  <c r="I524" i="31"/>
  <c r="G542" i="32"/>
  <c r="G542" i="31"/>
  <c r="I504" i="1"/>
  <c r="G518" i="19"/>
  <c r="G538" i="1"/>
  <c r="G537" i="19"/>
  <c r="G513" i="19"/>
  <c r="G509" i="1"/>
  <c r="G533" i="1"/>
  <c r="G542" i="19"/>
  <c r="I525" i="19"/>
  <c r="I524" i="19"/>
  <c r="G514" i="1"/>
  <c r="I532" i="19"/>
  <c r="G504" i="19"/>
  <c r="I523" i="1"/>
  <c r="I529" i="1"/>
  <c r="I519" i="1"/>
  <c r="I528" i="1"/>
  <c r="I531" i="1"/>
  <c r="I521" i="1"/>
  <c r="I527" i="1"/>
  <c r="I522" i="1"/>
  <c r="I520" i="1"/>
  <c r="I530" i="1"/>
  <c r="I526" i="1"/>
  <c r="I526" i="32" l="1"/>
  <c r="I526" i="31"/>
  <c r="G514" i="32"/>
  <c r="G514" i="31"/>
  <c r="I504" i="32"/>
  <c r="I504" i="31"/>
  <c r="I519" i="32"/>
  <c r="I519" i="31"/>
  <c r="I520" i="32"/>
  <c r="I520" i="31"/>
  <c r="I522" i="32"/>
  <c r="I522" i="31"/>
  <c r="I530" i="32"/>
  <c r="I530" i="31"/>
  <c r="I521" i="32"/>
  <c r="I521" i="31"/>
  <c r="G538" i="32"/>
  <c r="G538" i="31"/>
  <c r="I531" i="32"/>
  <c r="I531" i="31"/>
  <c r="G533" i="32"/>
  <c r="G533" i="31"/>
  <c r="I529" i="32"/>
  <c r="I529" i="31"/>
  <c r="I523" i="32"/>
  <c r="I523" i="31"/>
  <c r="I527" i="32"/>
  <c r="I527" i="31"/>
  <c r="I528" i="32"/>
  <c r="I528" i="31"/>
  <c r="G509" i="32"/>
  <c r="G509" i="31"/>
  <c r="G538" i="19"/>
  <c r="I538" i="1"/>
  <c r="I504" i="19"/>
  <c r="G514" i="19"/>
  <c r="I509" i="1"/>
  <c r="I514" i="1"/>
  <c r="G509" i="19"/>
  <c r="G533" i="19"/>
  <c r="I533" i="1"/>
  <c r="I527" i="19"/>
  <c r="I531" i="19"/>
  <c r="I528" i="19"/>
  <c r="I526" i="19"/>
  <c r="I519" i="19"/>
  <c r="I521" i="19"/>
  <c r="I530" i="19"/>
  <c r="I529" i="19"/>
  <c r="I520" i="19"/>
  <c r="I522" i="19"/>
  <c r="I523" i="19"/>
  <c r="F544" i="1"/>
  <c r="F544" i="32" l="1"/>
  <c r="F544" i="31"/>
  <c r="I533" i="32"/>
  <c r="I533" i="31"/>
  <c r="I509" i="32"/>
  <c r="I509" i="31"/>
  <c r="I538" i="32"/>
  <c r="I538" i="31"/>
  <c r="I514" i="32"/>
  <c r="I514" i="31"/>
  <c r="I538" i="19"/>
  <c r="I509" i="19"/>
  <c r="I514" i="19"/>
  <c r="I533" i="19"/>
  <c r="G544" i="1"/>
  <c r="F544" i="19"/>
  <c r="F551" i="1"/>
  <c r="F549" i="1"/>
  <c r="F548" i="1"/>
  <c r="F547" i="1"/>
  <c r="F546" i="1"/>
  <c r="F545" i="1"/>
  <c r="F550" i="1"/>
  <c r="F543" i="1"/>
  <c r="F547" i="32" l="1"/>
  <c r="F547" i="31"/>
  <c r="F551" i="32"/>
  <c r="F551" i="31"/>
  <c r="F546" i="32"/>
  <c r="F546" i="31"/>
  <c r="F549" i="32"/>
  <c r="F549" i="31"/>
  <c r="F543" i="32"/>
  <c r="F543" i="31"/>
  <c r="F548" i="32"/>
  <c r="F548" i="31"/>
  <c r="F550" i="32"/>
  <c r="F550" i="31"/>
  <c r="F545" i="32"/>
  <c r="F545" i="31"/>
  <c r="G544" i="32"/>
  <c r="G544" i="31"/>
  <c r="G548" i="1"/>
  <c r="F548" i="19"/>
  <c r="G547" i="1"/>
  <c r="F547" i="19"/>
  <c r="G543" i="1"/>
  <c r="F543" i="19"/>
  <c r="G549" i="1"/>
  <c r="F549" i="19"/>
  <c r="G551" i="1"/>
  <c r="F551" i="19"/>
  <c r="G550" i="1"/>
  <c r="F550" i="19"/>
  <c r="G544" i="19"/>
  <c r="G545" i="1"/>
  <c r="F545" i="19"/>
  <c r="G546" i="1"/>
  <c r="F546" i="19"/>
  <c r="I556" i="1"/>
  <c r="I560" i="1"/>
  <c r="I554" i="1"/>
  <c r="I553" i="1"/>
  <c r="I559" i="1"/>
  <c r="I555" i="1"/>
  <c r="I552" i="1"/>
  <c r="I558" i="1"/>
  <c r="I557" i="1"/>
  <c r="I544" i="1"/>
  <c r="I200" i="1"/>
  <c r="G543" i="32" l="1"/>
  <c r="G543" i="31"/>
  <c r="I200" i="32"/>
  <c r="I200" i="31"/>
  <c r="G545" i="32"/>
  <c r="G545" i="31"/>
  <c r="G551" i="32"/>
  <c r="G551" i="31"/>
  <c r="I544" i="32"/>
  <c r="I544" i="31"/>
  <c r="I560" i="32"/>
  <c r="I560" i="31"/>
  <c r="G547" i="32"/>
  <c r="G547" i="31"/>
  <c r="I553" i="32"/>
  <c r="I553" i="31"/>
  <c r="I556" i="32"/>
  <c r="I556" i="31"/>
  <c r="I558" i="32"/>
  <c r="I558" i="31"/>
  <c r="G549" i="32"/>
  <c r="G549" i="31"/>
  <c r="I557" i="32"/>
  <c r="I557" i="31"/>
  <c r="I552" i="32"/>
  <c r="I552" i="31"/>
  <c r="G550" i="32"/>
  <c r="G550" i="31"/>
  <c r="G548" i="32"/>
  <c r="G548" i="31"/>
  <c r="I559" i="32"/>
  <c r="I559" i="31"/>
  <c r="I554" i="32"/>
  <c r="I554" i="31"/>
  <c r="I555" i="32"/>
  <c r="I555" i="31"/>
  <c r="G546" i="32"/>
  <c r="G546" i="31"/>
  <c r="G548" i="19"/>
  <c r="I548" i="1"/>
  <c r="G543" i="19"/>
  <c r="G547" i="19"/>
  <c r="I543" i="1"/>
  <c r="I547" i="1"/>
  <c r="I556" i="19"/>
  <c r="I559" i="19"/>
  <c r="I550" i="1"/>
  <c r="G550" i="19"/>
  <c r="I555" i="19"/>
  <c r="I554" i="19"/>
  <c r="I549" i="1"/>
  <c r="I553" i="19"/>
  <c r="I558" i="19"/>
  <c r="G549" i="19"/>
  <c r="G545" i="19"/>
  <c r="I552" i="19"/>
  <c r="I545" i="1"/>
  <c r="I560" i="19"/>
  <c r="G546" i="19"/>
  <c r="G551" i="19"/>
  <c r="I557" i="19"/>
  <c r="I546" i="1"/>
  <c r="I551" i="1"/>
  <c r="I200" i="19"/>
  <c r="I544" i="19"/>
  <c r="I78" i="1"/>
  <c r="I545" i="32" l="1"/>
  <c r="I545" i="31"/>
  <c r="I547" i="32"/>
  <c r="I547" i="31"/>
  <c r="I548" i="32"/>
  <c r="I548" i="31"/>
  <c r="I546" i="32"/>
  <c r="I546" i="31"/>
  <c r="I543" i="32"/>
  <c r="I543" i="31"/>
  <c r="I551" i="32"/>
  <c r="I551" i="31"/>
  <c r="I549" i="32"/>
  <c r="I549" i="31"/>
  <c r="I550" i="32"/>
  <c r="I550" i="31"/>
  <c r="I78" i="32"/>
  <c r="I78" i="31"/>
  <c r="I543" i="19"/>
  <c r="I547" i="19"/>
  <c r="I548" i="19"/>
  <c r="I550" i="19"/>
  <c r="I546" i="19"/>
  <c r="I551" i="19"/>
  <c r="I545" i="19"/>
  <c r="I549" i="19"/>
  <c r="I78" i="19"/>
  <c r="I87" i="1"/>
  <c r="I79" i="1"/>
  <c r="I87" i="32" l="1"/>
  <c r="I87" i="31"/>
  <c r="I79" i="32"/>
  <c r="I79" i="31"/>
  <c r="I79" i="19"/>
  <c r="I87" i="19"/>
  <c r="F502" i="1"/>
  <c r="F334" i="1"/>
  <c r="F328" i="1"/>
  <c r="F769" i="1"/>
  <c r="F763" i="1"/>
  <c r="F751" i="1"/>
  <c r="F745" i="1"/>
  <c r="F739" i="1"/>
  <c r="F733" i="1"/>
  <c r="F727" i="1"/>
  <c r="F721" i="1"/>
  <c r="F715" i="1"/>
  <c r="F709" i="1"/>
  <c r="F727" i="32" l="1"/>
  <c r="F727" i="31"/>
  <c r="F739" i="32"/>
  <c r="F739" i="31"/>
  <c r="F751" i="32"/>
  <c r="F751" i="31"/>
  <c r="F733" i="32"/>
  <c r="F733" i="31"/>
  <c r="F745" i="32"/>
  <c r="F745" i="31"/>
  <c r="F709" i="32"/>
  <c r="F709" i="31"/>
  <c r="F763" i="32"/>
  <c r="F763" i="31"/>
  <c r="F715" i="32"/>
  <c r="F715" i="31"/>
  <c r="F769" i="32"/>
  <c r="F769" i="31"/>
  <c r="F334" i="32"/>
  <c r="F334" i="31"/>
  <c r="F502" i="32"/>
  <c r="F502" i="31"/>
  <c r="F721" i="32"/>
  <c r="F721" i="31"/>
  <c r="F328" i="32"/>
  <c r="F328" i="31"/>
  <c r="F769" i="19"/>
  <c r="G715" i="1"/>
  <c r="F715" i="19"/>
  <c r="G721" i="1"/>
  <c r="F721" i="19"/>
  <c r="G733" i="1"/>
  <c r="F733" i="19"/>
  <c r="G334" i="1"/>
  <c r="F334" i="19"/>
  <c r="G739" i="1"/>
  <c r="F739" i="19"/>
  <c r="G769" i="1"/>
  <c r="G328" i="1"/>
  <c r="F328" i="19"/>
  <c r="G727" i="1"/>
  <c r="F727" i="19"/>
  <c r="G502" i="1"/>
  <c r="F502" i="19"/>
  <c r="G745" i="1"/>
  <c r="F745" i="19"/>
  <c r="G751" i="1"/>
  <c r="F751" i="19"/>
  <c r="G709" i="1"/>
  <c r="F709" i="19"/>
  <c r="G763" i="1"/>
  <c r="F763" i="19"/>
  <c r="I81" i="1"/>
  <c r="G328" i="32" l="1"/>
  <c r="G328" i="31"/>
  <c r="G715" i="32"/>
  <c r="G715" i="31"/>
  <c r="G502" i="32"/>
  <c r="G502" i="31"/>
  <c r="G733" i="32"/>
  <c r="G733" i="31"/>
  <c r="I81" i="32"/>
  <c r="I81" i="31"/>
  <c r="G769" i="32"/>
  <c r="G769" i="31"/>
  <c r="G751" i="32"/>
  <c r="G751" i="31"/>
  <c r="G739" i="32"/>
  <c r="G739" i="31"/>
  <c r="G727" i="32"/>
  <c r="G727" i="31"/>
  <c r="G721" i="32"/>
  <c r="G721" i="31"/>
  <c r="G709" i="32"/>
  <c r="G709" i="31"/>
  <c r="G763" i="32"/>
  <c r="G763" i="31"/>
  <c r="G745" i="32"/>
  <c r="G745" i="31"/>
  <c r="G334" i="32"/>
  <c r="G334" i="31"/>
  <c r="G705" i="1"/>
  <c r="G759" i="1"/>
  <c r="G741" i="1"/>
  <c r="G715" i="19"/>
  <c r="G765" i="1"/>
  <c r="G711" i="1"/>
  <c r="G727" i="19"/>
  <c r="G498" i="1"/>
  <c r="G324" i="1"/>
  <c r="G729" i="1"/>
  <c r="G751" i="19"/>
  <c r="G739" i="19"/>
  <c r="G769" i="19"/>
  <c r="G334" i="19"/>
  <c r="G502" i="19"/>
  <c r="G735" i="1"/>
  <c r="G328" i="19"/>
  <c r="G709" i="19"/>
  <c r="G330" i="1"/>
  <c r="I81" i="19"/>
  <c r="G721" i="19"/>
  <c r="G747" i="1"/>
  <c r="G745" i="19"/>
  <c r="G763" i="19"/>
  <c r="G723" i="1"/>
  <c r="G733" i="19"/>
  <c r="G717" i="1"/>
  <c r="I80" i="1"/>
  <c r="G759" i="19" l="1"/>
  <c r="G759" i="32"/>
  <c r="G759" i="31"/>
  <c r="G735" i="32"/>
  <c r="G735" i="31"/>
  <c r="G747" i="32"/>
  <c r="G747" i="31"/>
  <c r="G498" i="32"/>
  <c r="G498" i="31"/>
  <c r="G711" i="32"/>
  <c r="G711" i="31"/>
  <c r="G717" i="32"/>
  <c r="G717" i="31"/>
  <c r="G729" i="32"/>
  <c r="G729" i="31"/>
  <c r="G765" i="32"/>
  <c r="G765" i="31"/>
  <c r="G741" i="32"/>
  <c r="G741" i="31"/>
  <c r="G705" i="32"/>
  <c r="G705" i="31"/>
  <c r="G723" i="32"/>
  <c r="G723" i="31"/>
  <c r="G324" i="32"/>
  <c r="G324" i="31"/>
  <c r="I80" i="32"/>
  <c r="I80" i="31"/>
  <c r="G330" i="32"/>
  <c r="G330" i="31"/>
  <c r="G705" i="19"/>
  <c r="G741" i="19"/>
  <c r="I498" i="1"/>
  <c r="G729" i="19"/>
  <c r="G765" i="19"/>
  <c r="G324" i="19"/>
  <c r="G711" i="19"/>
  <c r="G735" i="19"/>
  <c r="G498" i="19"/>
  <c r="G717" i="19"/>
  <c r="G747" i="19"/>
  <c r="G723" i="19"/>
  <c r="G330" i="19"/>
  <c r="I80" i="19"/>
  <c r="S31" i="17"/>
  <c r="S30" i="17"/>
  <c r="S29" i="17"/>
  <c r="S28" i="17"/>
  <c r="S26" i="17"/>
  <c r="S24" i="17"/>
  <c r="S22" i="17"/>
  <c r="S23" i="17"/>
  <c r="S21" i="17"/>
  <c r="S20" i="17"/>
  <c r="S19" i="17"/>
  <c r="S18" i="17"/>
  <c r="S17" i="17"/>
  <c r="S16" i="17"/>
  <c r="S15" i="17"/>
  <c r="S14" i="17"/>
  <c r="S13" i="17"/>
  <c r="S12" i="17"/>
  <c r="I498" i="32" l="1"/>
  <c r="I498" i="31"/>
  <c r="I498" i="19"/>
  <c r="F775" i="1"/>
  <c r="F775" i="32" l="1"/>
  <c r="F775" i="31"/>
  <c r="F775" i="19"/>
  <c r="G775" i="1"/>
  <c r="F1640" i="1"/>
  <c r="F660" i="1"/>
  <c r="F1640" i="32" l="1"/>
  <c r="F1640" i="31"/>
  <c r="F660" i="32"/>
  <c r="F660" i="31"/>
  <c r="G775" i="32"/>
  <c r="G775" i="31"/>
  <c r="G775" i="19"/>
  <c r="G771" i="1"/>
  <c r="G660" i="1"/>
  <c r="F660" i="19"/>
  <c r="G1640" i="1"/>
  <c r="F1640" i="19"/>
  <c r="I1774" i="1"/>
  <c r="I1638" i="1"/>
  <c r="I1776" i="1"/>
  <c r="I1639" i="1"/>
  <c r="I1634" i="1"/>
  <c r="I1633" i="1"/>
  <c r="I1632" i="1"/>
  <c r="I1641" i="1"/>
  <c r="I654" i="1"/>
  <c r="I658" i="1"/>
  <c r="I653" i="1"/>
  <c r="I661" i="1"/>
  <c r="I659" i="1"/>
  <c r="I652" i="1"/>
  <c r="I662" i="1"/>
  <c r="I129" i="1"/>
  <c r="I124" i="1"/>
  <c r="I122" i="1"/>
  <c r="I123" i="1"/>
  <c r="I128" i="1"/>
  <c r="I661" i="32" l="1"/>
  <c r="I661" i="31"/>
  <c r="I1776" i="32"/>
  <c r="I1776" i="31"/>
  <c r="I653" i="32"/>
  <c r="I653" i="31"/>
  <c r="I658" i="32"/>
  <c r="I658" i="31"/>
  <c r="G771" i="32"/>
  <c r="G771" i="31"/>
  <c r="I124" i="32"/>
  <c r="I124" i="31"/>
  <c r="I1774" i="32"/>
  <c r="I1774" i="31"/>
  <c r="I1641" i="32"/>
  <c r="I1641" i="31"/>
  <c r="I123" i="32"/>
  <c r="I123" i="31"/>
  <c r="I662" i="32"/>
  <c r="I662" i="31"/>
  <c r="I1632" i="32"/>
  <c r="I1632" i="31"/>
  <c r="I128" i="32"/>
  <c r="I128" i="31"/>
  <c r="G660" i="32"/>
  <c r="G660" i="31"/>
  <c r="I1638" i="32"/>
  <c r="I1638" i="31"/>
  <c r="I129" i="32"/>
  <c r="I129" i="31"/>
  <c r="I1633" i="32"/>
  <c r="I1633" i="31"/>
  <c r="G1640" i="32"/>
  <c r="G1640" i="31"/>
  <c r="I1639" i="32"/>
  <c r="I1639" i="31"/>
  <c r="I122" i="32"/>
  <c r="I122" i="31"/>
  <c r="I654" i="32"/>
  <c r="I654" i="31"/>
  <c r="I652" i="32"/>
  <c r="I652" i="31"/>
  <c r="I659" i="32"/>
  <c r="I659" i="31"/>
  <c r="I1634" i="32"/>
  <c r="I1634" i="31"/>
  <c r="G660" i="19"/>
  <c r="G1640" i="19"/>
  <c r="G771" i="19"/>
  <c r="I1640" i="1"/>
  <c r="I662" i="19"/>
  <c r="I660" i="1"/>
  <c r="I658" i="19"/>
  <c r="I1776" i="19"/>
  <c r="I128" i="19"/>
  <c r="I1634" i="19"/>
  <c r="I1638" i="19"/>
  <c r="I661" i="19"/>
  <c r="I1774" i="19"/>
  <c r="I653" i="19"/>
  <c r="I122" i="19"/>
  <c r="I124" i="19"/>
  <c r="I129" i="19"/>
  <c r="I652" i="19"/>
  <c r="I1632" i="19"/>
  <c r="I123" i="19"/>
  <c r="I1639" i="19"/>
  <c r="I654" i="19"/>
  <c r="I1641" i="19"/>
  <c r="I659" i="19"/>
  <c r="I1633" i="19"/>
  <c r="I41" i="1"/>
  <c r="I723" i="1"/>
  <c r="I729" i="1"/>
  <c r="I1640" i="32" l="1"/>
  <c r="I1640" i="31"/>
  <c r="I729" i="32"/>
  <c r="I729" i="31"/>
  <c r="I41" i="32"/>
  <c r="I41" i="31"/>
  <c r="I723" i="32"/>
  <c r="I723" i="31"/>
  <c r="I660" i="32"/>
  <c r="I660" i="31"/>
  <c r="I660" i="19"/>
  <c r="I1640" i="19"/>
  <c r="I41" i="19"/>
  <c r="I723" i="19"/>
  <c r="I729" i="19"/>
  <c r="I1667" i="1"/>
  <c r="I1665" i="1"/>
  <c r="I1666" i="1"/>
  <c r="I1760" i="1"/>
  <c r="I1761" i="1"/>
  <c r="I1667" i="32" l="1"/>
  <c r="I1667" i="31"/>
  <c r="I1761" i="32"/>
  <c r="I1761" i="31"/>
  <c r="I1760" i="32"/>
  <c r="I1760" i="31"/>
  <c r="I1666" i="32"/>
  <c r="I1666" i="31"/>
  <c r="I1665" i="32"/>
  <c r="I1665" i="31"/>
  <c r="I1760" i="19"/>
  <c r="I1761" i="19"/>
  <c r="I1665" i="19"/>
  <c r="I1667" i="19"/>
  <c r="I1666" i="19"/>
  <c r="F799" i="1"/>
  <c r="F798" i="1"/>
  <c r="F797" i="1"/>
  <c r="F796" i="1"/>
  <c r="F795" i="1"/>
  <c r="F794" i="1"/>
  <c r="F130" i="1"/>
  <c r="F119" i="1"/>
  <c r="F118" i="1"/>
  <c r="F795" i="32" l="1"/>
  <c r="F795" i="31"/>
  <c r="F797" i="32"/>
  <c r="F797" i="31"/>
  <c r="F799" i="32"/>
  <c r="F799" i="31"/>
  <c r="F130" i="32"/>
  <c r="F130" i="31"/>
  <c r="F794" i="32"/>
  <c r="F794" i="31"/>
  <c r="F798" i="32"/>
  <c r="F798" i="31"/>
  <c r="F118" i="32"/>
  <c r="F118" i="31"/>
  <c r="F796" i="32"/>
  <c r="F796" i="31"/>
  <c r="F119" i="32"/>
  <c r="F119" i="31"/>
  <c r="G118" i="1"/>
  <c r="F118" i="19"/>
  <c r="G798" i="1"/>
  <c r="F798" i="19"/>
  <c r="G119" i="1"/>
  <c r="F119" i="19"/>
  <c r="G794" i="1"/>
  <c r="F794" i="19"/>
  <c r="G130" i="1"/>
  <c r="F130" i="19"/>
  <c r="G795" i="1"/>
  <c r="F795" i="19"/>
  <c r="G797" i="1"/>
  <c r="F797" i="19"/>
  <c r="G799" i="1"/>
  <c r="F799" i="19"/>
  <c r="G796" i="1"/>
  <c r="F796" i="19"/>
  <c r="I324" i="1"/>
  <c r="G796" i="32" l="1"/>
  <c r="G796" i="31"/>
  <c r="G795" i="32"/>
  <c r="G795" i="31"/>
  <c r="G119" i="32"/>
  <c r="G119" i="31"/>
  <c r="G799" i="32"/>
  <c r="G799" i="31"/>
  <c r="G794" i="32"/>
  <c r="G794" i="31"/>
  <c r="G118" i="32"/>
  <c r="G118" i="31"/>
  <c r="G130" i="32"/>
  <c r="G130" i="31"/>
  <c r="G797" i="32"/>
  <c r="G797" i="31"/>
  <c r="I324" i="32"/>
  <c r="I324" i="31"/>
  <c r="G798" i="32"/>
  <c r="G798" i="31"/>
  <c r="G794" i="19"/>
  <c r="G797" i="19"/>
  <c r="G795" i="19"/>
  <c r="G130" i="19"/>
  <c r="G799" i="19"/>
  <c r="G796" i="19"/>
  <c r="G798" i="19"/>
  <c r="G118" i="19"/>
  <c r="G119" i="19"/>
  <c r="I324" i="19"/>
  <c r="I330" i="1"/>
  <c r="F1631" i="1"/>
  <c r="F685" i="1"/>
  <c r="F1630" i="1"/>
  <c r="F684" i="1"/>
  <c r="F684" i="32" l="1"/>
  <c r="F684" i="31"/>
  <c r="F1631" i="32"/>
  <c r="F1631" i="31"/>
  <c r="F1630" i="32"/>
  <c r="F1630" i="31"/>
  <c r="F685" i="32"/>
  <c r="F685" i="31"/>
  <c r="I330" i="32"/>
  <c r="I330" i="31"/>
  <c r="G684" i="1"/>
  <c r="F684" i="19"/>
  <c r="G1630" i="1"/>
  <c r="F1630" i="19"/>
  <c r="G685" i="1"/>
  <c r="F685" i="19"/>
  <c r="G1631" i="1"/>
  <c r="F1631" i="19"/>
  <c r="I330" i="19"/>
  <c r="F648" i="1"/>
  <c r="F647" i="1"/>
  <c r="F646" i="1"/>
  <c r="F645" i="1"/>
  <c r="F29" i="1"/>
  <c r="F28" i="1"/>
  <c r="F27" i="1"/>
  <c r="F26" i="1"/>
  <c r="F680" i="1"/>
  <c r="F679" i="1"/>
  <c r="F676" i="1"/>
  <c r="F675" i="1"/>
  <c r="F672" i="1"/>
  <c r="F671" i="1"/>
  <c r="F668" i="1"/>
  <c r="F667" i="1"/>
  <c r="F681" i="1"/>
  <c r="F677" i="1"/>
  <c r="F673" i="1"/>
  <c r="F669" i="1"/>
  <c r="F672" i="32" l="1"/>
  <c r="F672" i="31"/>
  <c r="F668" i="32"/>
  <c r="F668" i="31"/>
  <c r="F676" i="32"/>
  <c r="F676" i="31"/>
  <c r="F679" i="32"/>
  <c r="F679" i="31"/>
  <c r="F646" i="31"/>
  <c r="F646" i="32"/>
  <c r="F671" i="32"/>
  <c r="F671" i="31"/>
  <c r="F26" i="32"/>
  <c r="F26" i="31"/>
  <c r="F27" i="32"/>
  <c r="F27" i="31"/>
  <c r="F29" i="32"/>
  <c r="F29" i="31"/>
  <c r="F669" i="32"/>
  <c r="F669" i="31"/>
  <c r="F673" i="32"/>
  <c r="F673" i="31"/>
  <c r="F677" i="32"/>
  <c r="F677" i="31"/>
  <c r="F647" i="32"/>
  <c r="F647" i="31"/>
  <c r="F680" i="32"/>
  <c r="F680" i="31"/>
  <c r="F681" i="32"/>
  <c r="F681" i="31"/>
  <c r="F648" i="32"/>
  <c r="F648" i="31"/>
  <c r="F675" i="32"/>
  <c r="F675" i="31"/>
  <c r="F28" i="32"/>
  <c r="F28" i="31"/>
  <c r="F645" i="32"/>
  <c r="F645" i="31"/>
  <c r="F667" i="31"/>
  <c r="F667" i="32"/>
  <c r="G685" i="32"/>
  <c r="G685" i="31"/>
  <c r="G684" i="32"/>
  <c r="G684" i="31"/>
  <c r="G1631" i="32"/>
  <c r="G1631" i="31"/>
  <c r="G1630" i="32"/>
  <c r="G1630" i="31"/>
  <c r="G684" i="19"/>
  <c r="G685" i="19"/>
  <c r="G28" i="1"/>
  <c r="F28" i="19"/>
  <c r="G29" i="1"/>
  <c r="F29" i="19"/>
  <c r="G646" i="1"/>
  <c r="F646" i="19"/>
  <c r="G669" i="1"/>
  <c r="F669" i="19"/>
  <c r="G676" i="1"/>
  <c r="F676" i="19"/>
  <c r="G647" i="1"/>
  <c r="F647" i="19"/>
  <c r="G681" i="1"/>
  <c r="F681" i="19"/>
  <c r="G680" i="1"/>
  <c r="F680" i="19"/>
  <c r="G648" i="1"/>
  <c r="F648" i="19"/>
  <c r="G645" i="1"/>
  <c r="F645" i="19"/>
  <c r="G673" i="1"/>
  <c r="F673" i="19"/>
  <c r="G677" i="1"/>
  <c r="F677" i="19"/>
  <c r="G26" i="1"/>
  <c r="F26" i="19"/>
  <c r="G1631" i="19"/>
  <c r="G671" i="1"/>
  <c r="F671" i="19"/>
  <c r="G1630" i="19"/>
  <c r="G672" i="1"/>
  <c r="F672" i="19"/>
  <c r="G675" i="1"/>
  <c r="F675" i="19"/>
  <c r="G679" i="1"/>
  <c r="F679" i="19"/>
  <c r="G667" i="1"/>
  <c r="F667" i="19"/>
  <c r="G668" i="1"/>
  <c r="F668" i="19"/>
  <c r="G27" i="1"/>
  <c r="F27" i="19"/>
  <c r="G681" i="32" l="1"/>
  <c r="G681" i="31"/>
  <c r="G669" i="32"/>
  <c r="G669" i="31"/>
  <c r="G29" i="32"/>
  <c r="G29" i="31"/>
  <c r="G677" i="32"/>
  <c r="G677" i="31"/>
  <c r="G675" i="32"/>
  <c r="G675" i="31"/>
  <c r="G671" i="32"/>
  <c r="G671" i="31"/>
  <c r="G648" i="32"/>
  <c r="G648" i="31"/>
  <c r="G647" i="32"/>
  <c r="G647" i="31"/>
  <c r="G667" i="32"/>
  <c r="G667" i="31"/>
  <c r="G673" i="32"/>
  <c r="G673" i="31"/>
  <c r="G28" i="32"/>
  <c r="G28" i="31"/>
  <c r="G680" i="32"/>
  <c r="G680" i="31"/>
  <c r="G646" i="32"/>
  <c r="G646" i="31"/>
  <c r="G27" i="32"/>
  <c r="G27" i="31"/>
  <c r="G672" i="32"/>
  <c r="G672" i="31"/>
  <c r="G26" i="32"/>
  <c r="G26" i="31"/>
  <c r="G676" i="32"/>
  <c r="G676" i="31"/>
  <c r="G668" i="32"/>
  <c r="G668" i="31"/>
  <c r="G679" i="32"/>
  <c r="G679" i="31"/>
  <c r="G645" i="32"/>
  <c r="G645" i="31"/>
  <c r="G667" i="19"/>
  <c r="G668" i="19"/>
  <c r="G681" i="19"/>
  <c r="G680" i="19"/>
  <c r="G675" i="19"/>
  <c r="G671" i="19"/>
  <c r="G672" i="19"/>
  <c r="G647" i="19"/>
  <c r="G646" i="19"/>
  <c r="G28" i="19"/>
  <c r="G29" i="19"/>
  <c r="G669" i="19"/>
  <c r="G674" i="1"/>
  <c r="G26" i="19"/>
  <c r="G678" i="1"/>
  <c r="G27" i="19"/>
  <c r="G679" i="19"/>
  <c r="G666" i="1"/>
  <c r="G676" i="19"/>
  <c r="G673" i="19"/>
  <c r="G645" i="19"/>
  <c r="G677" i="19"/>
  <c r="G648" i="19"/>
  <c r="G670" i="1"/>
  <c r="I808" i="1"/>
  <c r="G678" i="32" l="1"/>
  <c r="G678" i="31"/>
  <c r="G670" i="32"/>
  <c r="G670" i="31"/>
  <c r="G666" i="32"/>
  <c r="G666" i="31"/>
  <c r="G674" i="32"/>
  <c r="G674" i="31"/>
  <c r="I808" i="32"/>
  <c r="I808" i="31"/>
  <c r="G666" i="19"/>
  <c r="G678" i="19"/>
  <c r="G674" i="19"/>
  <c r="G670" i="19"/>
  <c r="I808" i="19"/>
  <c r="I35" i="1"/>
  <c r="I36" i="1"/>
  <c r="I34" i="1"/>
  <c r="I35" i="32" l="1"/>
  <c r="I35" i="31"/>
  <c r="I34" i="32"/>
  <c r="I34" i="31"/>
  <c r="I36" i="32"/>
  <c r="I36" i="31"/>
  <c r="I34" i="19"/>
  <c r="I36" i="19"/>
  <c r="I35" i="19"/>
  <c r="I753" i="1"/>
  <c r="I747" i="1"/>
  <c r="I759" i="1"/>
  <c r="I759" i="32" l="1"/>
  <c r="I759" i="31"/>
  <c r="I747" i="32"/>
  <c r="I747" i="31"/>
  <c r="I753" i="32"/>
  <c r="I753" i="31"/>
  <c r="I747" i="19"/>
  <c r="I759" i="19"/>
  <c r="I753" i="19"/>
  <c r="I1758" i="1"/>
  <c r="I1759" i="1"/>
  <c r="I1759" i="32" l="1"/>
  <c r="I1759" i="31"/>
  <c r="I1758" i="32"/>
  <c r="I1758" i="31"/>
  <c r="I1759" i="19"/>
  <c r="I1758" i="19"/>
  <c r="I1408" i="1"/>
  <c r="I1320" i="1"/>
  <c r="I1215" i="1"/>
  <c r="I1408" i="32" l="1"/>
  <c r="I1408" i="31"/>
  <c r="I1320" i="32"/>
  <c r="I1320" i="31"/>
  <c r="I1215" i="32"/>
  <c r="I1215" i="31"/>
  <c r="I1320" i="19"/>
  <c r="I1215" i="19"/>
  <c r="I1408" i="19"/>
  <c r="I985" i="1"/>
  <c r="I1071" i="1"/>
  <c r="I1151" i="1"/>
  <c r="I1238" i="1"/>
  <c r="I1317" i="1"/>
  <c r="I1445" i="1"/>
  <c r="I1475" i="1"/>
  <c r="I1483" i="1"/>
  <c r="I1491" i="1"/>
  <c r="I1499" i="1"/>
  <c r="I1507" i="1"/>
  <c r="I1515" i="1"/>
  <c r="I1523" i="1"/>
  <c r="I1531" i="1"/>
  <c r="I1539" i="1"/>
  <c r="I1547" i="1"/>
  <c r="I1555" i="1"/>
  <c r="I1563" i="1"/>
  <c r="I1571" i="1"/>
  <c r="I1579" i="1"/>
  <c r="I1587" i="1"/>
  <c r="I917" i="1"/>
  <c r="I933" i="1"/>
  <c r="I957" i="1"/>
  <c r="I1005" i="1"/>
  <c r="I1021" i="1"/>
  <c r="I1035" i="1"/>
  <c r="I1059" i="1"/>
  <c r="I1067" i="1"/>
  <c r="I1075" i="1"/>
  <c r="I1099" i="1"/>
  <c r="I1107" i="1"/>
  <c r="I1115" i="1"/>
  <c r="I1123" i="1"/>
  <c r="I1139" i="1"/>
  <c r="I1155" i="1"/>
  <c r="I1193" i="1"/>
  <c r="I1217" i="1"/>
  <c r="I1225" i="1"/>
  <c r="I1233" i="1"/>
  <c r="I1249" i="1"/>
  <c r="I1257" i="1"/>
  <c r="I1305" i="1"/>
  <c r="I1321" i="1"/>
  <c r="I1361" i="1"/>
  <c r="I1385" i="1"/>
  <c r="I1401" i="1"/>
  <c r="I1409" i="1"/>
  <c r="I1417" i="1"/>
  <c r="I1425" i="1"/>
  <c r="I1441" i="1"/>
  <c r="I1449" i="1"/>
  <c r="I1008" i="1"/>
  <c r="I1072" i="1"/>
  <c r="I1253" i="1"/>
  <c r="I1397" i="1"/>
  <c r="I1452" i="1"/>
  <c r="I1476" i="1"/>
  <c r="I1548" i="1"/>
  <c r="I1588" i="1"/>
  <c r="I926" i="1"/>
  <c r="I958" i="1"/>
  <c r="I1022" i="1"/>
  <c r="I1036" i="1"/>
  <c r="I1068" i="1"/>
  <c r="I1076" i="1"/>
  <c r="I1148" i="1"/>
  <c r="I1156" i="1"/>
  <c r="I1178" i="1"/>
  <c r="I1210" i="1"/>
  <c r="I1226" i="1"/>
  <c r="I1234" i="1"/>
  <c r="I1258" i="1"/>
  <c r="I1266" i="1"/>
  <c r="I1330" i="1"/>
  <c r="I1354" i="1"/>
  <c r="I1386" i="1"/>
  <c r="I1410" i="1"/>
  <c r="I1418" i="1"/>
  <c r="I1426" i="1"/>
  <c r="I1434" i="1"/>
  <c r="I1442" i="1"/>
  <c r="I1450" i="1"/>
  <c r="I1466" i="1"/>
  <c r="I1009" i="1"/>
  <c r="I1172" i="1"/>
  <c r="I1254" i="1"/>
  <c r="I1333" i="1"/>
  <c r="I1398" i="1"/>
  <c r="I1461" i="1"/>
  <c r="I1477" i="1"/>
  <c r="I1485" i="1"/>
  <c r="I1493" i="1"/>
  <c r="I1501" i="1"/>
  <c r="I1509" i="1"/>
  <c r="I1517" i="1"/>
  <c r="I1525" i="1"/>
  <c r="I1533" i="1"/>
  <c r="I1541" i="1"/>
  <c r="I1549" i="1"/>
  <c r="I1557" i="1"/>
  <c r="I1565" i="1"/>
  <c r="I1573" i="1"/>
  <c r="I1581" i="1"/>
  <c r="I1589" i="1"/>
  <c r="I919" i="1"/>
  <c r="I927" i="1"/>
  <c r="I935" i="1"/>
  <c r="I943" i="1"/>
  <c r="I959" i="1"/>
  <c r="I967" i="1"/>
  <c r="I975" i="1"/>
  <c r="I991" i="1"/>
  <c r="I1007" i="1"/>
  <c r="I1015" i="1"/>
  <c r="I1037" i="1"/>
  <c r="I1053" i="1"/>
  <c r="I1069" i="1"/>
  <c r="I1101" i="1"/>
  <c r="I1149" i="1"/>
  <c r="I1171" i="1"/>
  <c r="I1179" i="1"/>
  <c r="I1203" i="1"/>
  <c r="I1219" i="1"/>
  <c r="I1235" i="1"/>
  <c r="I1243" i="1"/>
  <c r="I1267" i="1"/>
  <c r="I1307" i="1"/>
  <c r="I1323" i="1"/>
  <c r="I1363" i="1"/>
  <c r="I1371" i="1"/>
  <c r="I1379" i="1"/>
  <c r="I1395" i="1"/>
  <c r="I1419" i="1"/>
  <c r="I1427" i="1"/>
  <c r="I1435" i="1"/>
  <c r="I1459" i="1"/>
  <c r="I1031" i="1"/>
  <c r="I1086" i="1"/>
  <c r="I1197" i="1"/>
  <c r="I1261" i="1"/>
  <c r="I1349" i="1"/>
  <c r="I1478" i="1"/>
  <c r="I1486" i="1"/>
  <c r="I1494" i="1"/>
  <c r="I1502" i="1"/>
  <c r="I1510" i="1"/>
  <c r="I1518" i="1"/>
  <c r="I1526" i="1"/>
  <c r="I1534" i="1"/>
  <c r="I1542" i="1"/>
  <c r="I1550" i="1"/>
  <c r="I1558" i="1"/>
  <c r="I1566" i="1"/>
  <c r="I1574" i="1"/>
  <c r="I1582" i="1"/>
  <c r="I1590" i="1"/>
  <c r="I920" i="1"/>
  <c r="I992" i="1"/>
  <c r="I1038" i="1"/>
  <c r="I1054" i="1"/>
  <c r="I1078" i="1"/>
  <c r="I1110" i="1"/>
  <c r="I1126" i="1"/>
  <c r="I1158" i="1"/>
  <c r="I1164" i="1"/>
  <c r="I1228" i="1"/>
  <c r="I1236" i="1"/>
  <c r="I1244" i="1"/>
  <c r="I1252" i="1"/>
  <c r="I1260" i="1"/>
  <c r="I1284" i="1"/>
  <c r="I1292" i="1"/>
  <c r="I1308" i="1"/>
  <c r="I1380" i="1"/>
  <c r="I1404" i="1"/>
  <c r="I1428" i="1"/>
  <c r="I1436" i="1"/>
  <c r="I1444" i="1"/>
  <c r="I936" i="1"/>
  <c r="I1040" i="1"/>
  <c r="I1103" i="1"/>
  <c r="I1204" i="1"/>
  <c r="I1364" i="1"/>
  <c r="I1412" i="1"/>
  <c r="I1470" i="1"/>
  <c r="I1479" i="1"/>
  <c r="I1487" i="1"/>
  <c r="I1495" i="1"/>
  <c r="I1503" i="1"/>
  <c r="I1511" i="1"/>
  <c r="I1519" i="1"/>
  <c r="I1527" i="1"/>
  <c r="I1535" i="1"/>
  <c r="I1543" i="1"/>
  <c r="I1551" i="1"/>
  <c r="I1559" i="1"/>
  <c r="I1567" i="1"/>
  <c r="I1575" i="1"/>
  <c r="I1583" i="1"/>
  <c r="I929" i="1"/>
  <c r="I945" i="1"/>
  <c r="I969" i="1"/>
  <c r="I977" i="1"/>
  <c r="I993" i="1"/>
  <c r="I1017" i="1"/>
  <c r="I1039" i="1"/>
  <c r="I1047" i="1"/>
  <c r="I1055" i="1"/>
  <c r="I1095" i="1"/>
  <c r="I1119" i="1"/>
  <c r="I1165" i="1"/>
  <c r="I1181" i="1"/>
  <c r="I1213" i="1"/>
  <c r="I1229" i="1"/>
  <c r="I1301" i="1"/>
  <c r="I1373" i="1"/>
  <c r="I1413" i="1"/>
  <c r="I1437" i="1"/>
  <c r="I938" i="1"/>
  <c r="I1056" i="1"/>
  <c r="I1118" i="1"/>
  <c r="I1205" i="1"/>
  <c r="I1285" i="1"/>
  <c r="I1365" i="1"/>
  <c r="I1544" i="1"/>
  <c r="I986" i="1"/>
  <c r="I1048" i="1"/>
  <c r="I1160" i="1"/>
  <c r="I1246" i="1"/>
  <c r="I1350" i="1"/>
  <c r="I1358" i="1"/>
  <c r="I1454" i="1"/>
  <c r="I1127" i="1"/>
  <c r="I1300" i="1"/>
  <c r="I1481" i="1"/>
  <c r="I1537" i="1"/>
  <c r="I1561" i="1"/>
  <c r="I1577" i="1"/>
  <c r="I1585" i="1"/>
  <c r="I923" i="1"/>
  <c r="I947" i="1"/>
  <c r="I955" i="1"/>
  <c r="I963" i="1"/>
  <c r="I979" i="1"/>
  <c r="I1003" i="1"/>
  <c r="I1011" i="1"/>
  <c r="I1041" i="1"/>
  <c r="I1057" i="1"/>
  <c r="I1065" i="1"/>
  <c r="I1073" i="1"/>
  <c r="I1081" i="1"/>
  <c r="I1089" i="1"/>
  <c r="I1105" i="1"/>
  <c r="I1113" i="1"/>
  <c r="I1121" i="1"/>
  <c r="I1129" i="1"/>
  <c r="I1137" i="1"/>
  <c r="I1145" i="1"/>
  <c r="I1153" i="1"/>
  <c r="I1161" i="1"/>
  <c r="I1167" i="1"/>
  <c r="I1175" i="1"/>
  <c r="I1183" i="1"/>
  <c r="I1191" i="1"/>
  <c r="I1199" i="1"/>
  <c r="I1207" i="1"/>
  <c r="I1223" i="1"/>
  <c r="I1239" i="1"/>
  <c r="I1247" i="1"/>
  <c r="I1263" i="1"/>
  <c r="I1279" i="1"/>
  <c r="I1295" i="1"/>
  <c r="I1327" i="1"/>
  <c r="I1399" i="1"/>
  <c r="I1407" i="1"/>
  <c r="I1415" i="1"/>
  <c r="I1439" i="1"/>
  <c r="I1463" i="1"/>
  <c r="I1063" i="1"/>
  <c r="I1381" i="1"/>
  <c r="I1505" i="1"/>
  <c r="I976" i="1"/>
  <c r="I1070" i="1"/>
  <c r="I1150" i="1"/>
  <c r="I1222" i="1"/>
  <c r="I1309" i="1"/>
  <c r="I1389" i="1"/>
  <c r="I1474" i="1"/>
  <c r="I1482" i="1"/>
  <c r="I1490" i="1"/>
  <c r="I1498" i="1"/>
  <c r="I1506" i="1"/>
  <c r="I1514" i="1"/>
  <c r="I1522" i="1"/>
  <c r="I1530" i="1"/>
  <c r="I1538" i="1"/>
  <c r="I1546" i="1"/>
  <c r="I1554" i="1"/>
  <c r="I1562" i="1"/>
  <c r="I1570" i="1"/>
  <c r="I1578" i="1"/>
  <c r="I1586" i="1"/>
  <c r="I940" i="1"/>
  <c r="I956" i="1"/>
  <c r="I972" i="1"/>
  <c r="I980" i="1"/>
  <c r="I996" i="1"/>
  <c r="I1020" i="1"/>
  <c r="I1034" i="1"/>
  <c r="I1058" i="1"/>
  <c r="I1082" i="1"/>
  <c r="I1098" i="1"/>
  <c r="I1106" i="1"/>
  <c r="I1114" i="1"/>
  <c r="I1122" i="1"/>
  <c r="I1130" i="1"/>
  <c r="I1146" i="1"/>
  <c r="I1192" i="1"/>
  <c r="I1208" i="1"/>
  <c r="I1216" i="1"/>
  <c r="I1232" i="1"/>
  <c r="I1248" i="1"/>
  <c r="I1272" i="1"/>
  <c r="I1280" i="1"/>
  <c r="I1288" i="1"/>
  <c r="I1296" i="1"/>
  <c r="I1344" i="1"/>
  <c r="I1360" i="1"/>
  <c r="I1368" i="1"/>
  <c r="I1376" i="1"/>
  <c r="I1440" i="1"/>
  <c r="I1456" i="1"/>
  <c r="I1087" i="1"/>
  <c r="I937" i="1"/>
  <c r="I1135" i="1"/>
  <c r="I1159" i="1"/>
  <c r="I1173" i="1"/>
  <c r="I1189" i="1"/>
  <c r="I1237" i="1"/>
  <c r="I1245" i="1"/>
  <c r="I1269" i="1"/>
  <c r="I1277" i="1"/>
  <c r="I1293" i="1"/>
  <c r="I1325" i="1"/>
  <c r="I1357" i="1"/>
  <c r="I1421" i="1"/>
  <c r="I1453" i="1"/>
  <c r="I1469" i="1"/>
  <c r="I1111" i="1"/>
  <c r="I1467" i="1"/>
  <c r="I928" i="1"/>
  <c r="I944" i="1"/>
  <c r="I960" i="1"/>
  <c r="I968" i="1"/>
  <c r="I984" i="1"/>
  <c r="I1000" i="1"/>
  <c r="I1030" i="1"/>
  <c r="I1046" i="1"/>
  <c r="I1062" i="1"/>
  <c r="I1094" i="1"/>
  <c r="I1102" i="1"/>
  <c r="I1134" i="1"/>
  <c r="I1142" i="1"/>
  <c r="I1180" i="1"/>
  <c r="I1188" i="1"/>
  <c r="I1196" i="1"/>
  <c r="I1212" i="1"/>
  <c r="I1220" i="1"/>
  <c r="I1276" i="1"/>
  <c r="I1316" i="1"/>
  <c r="I1324" i="1"/>
  <c r="I1340" i="1"/>
  <c r="I1348" i="1"/>
  <c r="I1372" i="1"/>
  <c r="I1388" i="1"/>
  <c r="I981" i="1"/>
  <c r="I1169" i="1"/>
  <c r="I973" i="1"/>
  <c r="I989" i="1"/>
  <c r="I997" i="1"/>
  <c r="I1013" i="1"/>
  <c r="I1043" i="1"/>
  <c r="I1091" i="1"/>
  <c r="I1131" i="1"/>
  <c r="I1147" i="1"/>
  <c r="I1177" i="1"/>
  <c r="I1201" i="1"/>
  <c r="I1209" i="1"/>
  <c r="I1241" i="1"/>
  <c r="I1281" i="1"/>
  <c r="I1289" i="1"/>
  <c r="I1313" i="1"/>
  <c r="I1329" i="1"/>
  <c r="I1337" i="1"/>
  <c r="I1345" i="1"/>
  <c r="I1353" i="1"/>
  <c r="I1369" i="1"/>
  <c r="I1377" i="1"/>
  <c r="I1433" i="1"/>
  <c r="I974" i="1"/>
  <c r="I1290" i="1"/>
  <c r="I1322" i="1"/>
  <c r="I1077" i="1"/>
  <c r="I1018" i="1"/>
  <c r="I1096" i="1"/>
  <c r="I1128" i="1"/>
  <c r="I1144" i="1"/>
  <c r="I1152" i="1"/>
  <c r="I1174" i="1"/>
  <c r="I1190" i="1"/>
  <c r="I1214" i="1"/>
  <c r="I1294" i="1"/>
  <c r="I1302" i="1"/>
  <c r="I1310" i="1"/>
  <c r="I1318" i="1"/>
  <c r="I1326" i="1"/>
  <c r="I1334" i="1"/>
  <c r="I1342" i="1"/>
  <c r="I1366" i="1"/>
  <c r="I1374" i="1"/>
  <c r="I1382" i="1"/>
  <c r="I1390" i="1"/>
  <c r="I1406" i="1"/>
  <c r="I1422" i="1"/>
  <c r="I1430" i="1"/>
  <c r="I1446" i="1"/>
  <c r="I1462" i="1"/>
  <c r="I1311" i="1"/>
  <c r="I1359" i="1"/>
  <c r="I946" i="1"/>
  <c r="I994" i="1"/>
  <c r="I1136" i="1"/>
  <c r="I1278" i="1"/>
  <c r="I1120" i="1"/>
  <c r="I1270" i="1"/>
  <c r="I962" i="1"/>
  <c r="I1002" i="1"/>
  <c r="I1112" i="1"/>
  <c r="I1262" i="1"/>
  <c r="I954" i="1"/>
  <c r="I1010" i="1"/>
  <c r="I1080" i="1"/>
  <c r="I1104" i="1"/>
  <c r="I1166" i="1"/>
  <c r="I1182" i="1"/>
  <c r="I1206" i="1"/>
  <c r="I1109" i="1"/>
  <c r="I922" i="1"/>
  <c r="I970" i="1"/>
  <c r="I1064" i="1"/>
  <c r="I1198" i="1"/>
  <c r="I978" i="1"/>
  <c r="I1088" i="1"/>
  <c r="I1230" i="1"/>
  <c r="I1170" i="1"/>
  <c r="I1218" i="1"/>
  <c r="I1306" i="1"/>
  <c r="I1314" i="1"/>
  <c r="I1346" i="1"/>
  <c r="I1370" i="1"/>
  <c r="I1394" i="1"/>
  <c r="I1458" i="1"/>
  <c r="I982" i="1"/>
  <c r="I1052" i="1"/>
  <c r="I1140" i="1"/>
  <c r="I1194" i="1"/>
  <c r="I1045" i="1"/>
  <c r="I1061" i="1"/>
  <c r="I1117" i="1"/>
  <c r="I1141" i="1"/>
  <c r="I1187" i="1"/>
  <c r="I1211" i="1"/>
  <c r="I1259" i="1"/>
  <c r="I1275" i="1"/>
  <c r="I1299" i="1"/>
  <c r="I1331" i="1"/>
  <c r="I1339" i="1"/>
  <c r="I1347" i="1"/>
  <c r="I1403" i="1"/>
  <c r="I1451" i="1"/>
  <c r="I1298" i="1"/>
  <c r="I921" i="1"/>
  <c r="I953" i="1"/>
  <c r="I950" i="1"/>
  <c r="I1242" i="1"/>
  <c r="I995" i="1"/>
  <c r="I1019" i="1"/>
  <c r="I1319" i="1"/>
  <c r="I1335" i="1"/>
  <c r="I1367" i="1"/>
  <c r="I1383" i="1"/>
  <c r="I1423" i="1"/>
  <c r="I1431" i="1"/>
  <c r="I1471" i="1"/>
  <c r="I1282" i="1"/>
  <c r="I1125" i="1"/>
  <c r="I1157" i="1"/>
  <c r="I931" i="1"/>
  <c r="I987" i="1"/>
  <c r="I1033" i="1"/>
  <c r="I1049" i="1"/>
  <c r="I1231" i="1"/>
  <c r="I1271" i="1"/>
  <c r="I1303" i="1"/>
  <c r="I1375" i="1"/>
  <c r="I1447" i="1"/>
  <c r="I1097" i="1"/>
  <c r="I1255" i="1"/>
  <c r="I1338" i="1"/>
  <c r="I1411" i="1"/>
  <c r="I925" i="1"/>
  <c r="I1185" i="1"/>
  <c r="I1273" i="1"/>
  <c r="I1079" i="1"/>
  <c r="I1393" i="1"/>
  <c r="I1402" i="1"/>
  <c r="I930" i="1"/>
  <c r="I1143" i="1"/>
  <c r="I1085" i="1"/>
  <c r="I1093" i="1"/>
  <c r="I1133" i="1"/>
  <c r="I1163" i="1"/>
  <c r="I1195" i="1"/>
  <c r="I1227" i="1"/>
  <c r="I1251" i="1"/>
  <c r="I1291" i="1"/>
  <c r="I1315" i="1"/>
  <c r="I1355" i="1"/>
  <c r="I1443" i="1"/>
  <c r="I1457" i="1"/>
  <c r="I1465" i="1"/>
  <c r="I1473" i="1"/>
  <c r="I1489" i="1"/>
  <c r="I1497" i="1"/>
  <c r="I1513" i="1"/>
  <c r="I1521" i="1"/>
  <c r="I1529" i="1"/>
  <c r="I1545" i="1"/>
  <c r="I1553" i="1"/>
  <c r="I1569" i="1"/>
  <c r="I961" i="1"/>
  <c r="I1186" i="1"/>
  <c r="I1438" i="1"/>
  <c r="I952" i="1"/>
  <c r="I1016" i="1"/>
  <c r="I1032" i="1"/>
  <c r="I1265" i="1"/>
  <c r="I1420" i="1"/>
  <c r="I1429" i="1"/>
  <c r="I939" i="1"/>
  <c r="I971" i="1"/>
  <c r="I1287" i="1"/>
  <c r="I1343" i="1"/>
  <c r="I1351" i="1"/>
  <c r="I1391" i="1"/>
  <c r="I1455" i="1"/>
  <c r="I1297" i="1"/>
  <c r="I1028" i="1"/>
  <c r="I1001" i="1"/>
  <c r="I1362" i="1"/>
  <c r="I949" i="1"/>
  <c r="I1552" i="1"/>
  <c r="I1464" i="1"/>
  <c r="I1472" i="1"/>
  <c r="I1488" i="1"/>
  <c r="I1528" i="1"/>
  <c r="I1536" i="1"/>
  <c r="I1560" i="1"/>
  <c r="I1116" i="1"/>
  <c r="I1274" i="1"/>
  <c r="I965" i="1"/>
  <c r="I1496" i="1"/>
  <c r="I1184" i="1"/>
  <c r="I988" i="1"/>
  <c r="I1004" i="1"/>
  <c r="I1012" i="1"/>
  <c r="I1042" i="1"/>
  <c r="I1050" i="1"/>
  <c r="I1066" i="1"/>
  <c r="I1074" i="1"/>
  <c r="I1090" i="1"/>
  <c r="I1138" i="1"/>
  <c r="I1154" i="1"/>
  <c r="I1162" i="1"/>
  <c r="I1168" i="1"/>
  <c r="I1176" i="1"/>
  <c r="I1200" i="1"/>
  <c r="I1224" i="1"/>
  <c r="I1240" i="1"/>
  <c r="I1256" i="1"/>
  <c r="I1264" i="1"/>
  <c r="I1304" i="1"/>
  <c r="I1312" i="1"/>
  <c r="I1328" i="1"/>
  <c r="I1336" i="1"/>
  <c r="I1352" i="1"/>
  <c r="I1384" i="1"/>
  <c r="I1392" i="1"/>
  <c r="I1400" i="1"/>
  <c r="I1416" i="1"/>
  <c r="I1424" i="1"/>
  <c r="I1432" i="1"/>
  <c r="I1448" i="1"/>
  <c r="I1202" i="1"/>
  <c r="I932" i="1"/>
  <c r="I1132" i="1"/>
  <c r="I983" i="1"/>
  <c r="I1492" i="1"/>
  <c r="I990" i="1"/>
  <c r="I1014" i="1"/>
  <c r="I1060" i="1"/>
  <c r="I1124" i="1"/>
  <c r="I1580" i="1"/>
  <c r="I964" i="1"/>
  <c r="I951" i="1"/>
  <c r="I999" i="1"/>
  <c r="I1029" i="1"/>
  <c r="I948" i="1"/>
  <c r="I942" i="1"/>
  <c r="I1006" i="1"/>
  <c r="I1044" i="1"/>
  <c r="I1108" i="1"/>
  <c r="I1556" i="1"/>
  <c r="I924" i="1"/>
  <c r="I1100" i="1"/>
  <c r="I918" i="1"/>
  <c r="I934" i="1"/>
  <c r="I966" i="1"/>
  <c r="I998" i="1"/>
  <c r="I1092" i="1"/>
  <c r="I1084" i="1"/>
  <c r="I1221" i="1"/>
  <c r="I1250" i="1"/>
  <c r="I1268" i="1"/>
  <c r="I1286" i="1"/>
  <c r="I1332" i="1"/>
  <c r="I1341" i="1"/>
  <c r="I1378" i="1"/>
  <c r="I1387" i="1"/>
  <c r="I1396" i="1"/>
  <c r="I1405" i="1"/>
  <c r="I1414" i="1"/>
  <c r="I1460" i="1"/>
  <c r="I1468" i="1"/>
  <c r="I1484" i="1"/>
  <c r="I1500" i="1"/>
  <c r="I1508" i="1"/>
  <c r="I1524" i="1"/>
  <c r="I1532" i="1"/>
  <c r="I1540" i="1"/>
  <c r="I1564" i="1"/>
  <c r="I1572" i="1"/>
  <c r="I1516" i="1"/>
  <c r="I1083" i="1"/>
  <c r="I1051" i="1"/>
  <c r="I1283" i="1"/>
  <c r="I941" i="1"/>
  <c r="I1356" i="1"/>
  <c r="I1480" i="1"/>
  <c r="I1520" i="1"/>
  <c r="I1584" i="1"/>
  <c r="I1512" i="1"/>
  <c r="I1576" i="1"/>
  <c r="I1504" i="1"/>
  <c r="I1568" i="1"/>
  <c r="I916" i="1"/>
  <c r="I915" i="1"/>
  <c r="I1027" i="1"/>
  <c r="I1023" i="1"/>
  <c r="I1024" i="1"/>
  <c r="I1025" i="1"/>
  <c r="I1026" i="1"/>
  <c r="I1024" i="32" l="1"/>
  <c r="I1024" i="31"/>
  <c r="I1512" i="32"/>
  <c r="I1512" i="31"/>
  <c r="I1083" i="32"/>
  <c r="I1083" i="31"/>
  <c r="I1500" i="32"/>
  <c r="I1500" i="31"/>
  <c r="I1378" i="32"/>
  <c r="I1378" i="31"/>
  <c r="I1092" i="32"/>
  <c r="I1092" i="31"/>
  <c r="I1108" i="32"/>
  <c r="I1108" i="31"/>
  <c r="I964" i="32"/>
  <c r="I964" i="31"/>
  <c r="I1132" i="32"/>
  <c r="I1132" i="31"/>
  <c r="I1392" i="32"/>
  <c r="I1392" i="31"/>
  <c r="I1256" i="32"/>
  <c r="I1256" i="31"/>
  <c r="I1138" i="32"/>
  <c r="I1138" i="31"/>
  <c r="I988" i="32"/>
  <c r="I988" i="31"/>
  <c r="I1528" i="32"/>
  <c r="I1528" i="31"/>
  <c r="I1028" i="32"/>
  <c r="I1028" i="31"/>
  <c r="I939" i="32"/>
  <c r="I939" i="31"/>
  <c r="I1186" i="32"/>
  <c r="I1186" i="31"/>
  <c r="I1497" i="32"/>
  <c r="I1497" i="31"/>
  <c r="I1291" i="32"/>
  <c r="I1291" i="31"/>
  <c r="I1143" i="32"/>
  <c r="I1143" i="31"/>
  <c r="I1411" i="32"/>
  <c r="I1411" i="31"/>
  <c r="I1231" i="32"/>
  <c r="I1231" i="31"/>
  <c r="I1471" i="32"/>
  <c r="I1471" i="31"/>
  <c r="I995" i="32"/>
  <c r="I995" i="31"/>
  <c r="I1347" i="32"/>
  <c r="I1347" i="31"/>
  <c r="I1141" i="32"/>
  <c r="I1141" i="31"/>
  <c r="I1458" i="32"/>
  <c r="I1458" i="31"/>
  <c r="I1230" i="32"/>
  <c r="I1230" i="31"/>
  <c r="I1206" i="32"/>
  <c r="I1206" i="31"/>
  <c r="I1112" i="32"/>
  <c r="I1112" i="31"/>
  <c r="I946" i="32"/>
  <c r="I946" i="31"/>
  <c r="I1390" i="32"/>
  <c r="I1390" i="31"/>
  <c r="I1310" i="32"/>
  <c r="I1310" i="31"/>
  <c r="I1128" i="32"/>
  <c r="I1128" i="31"/>
  <c r="I1377" i="32"/>
  <c r="I1377" i="31"/>
  <c r="I1281" i="32"/>
  <c r="I1281" i="31"/>
  <c r="I1043" i="32"/>
  <c r="I1043" i="31"/>
  <c r="I1372" i="32"/>
  <c r="I1372" i="31"/>
  <c r="I1196" i="32"/>
  <c r="I1196" i="31"/>
  <c r="I1046" i="32"/>
  <c r="I1046" i="31"/>
  <c r="I1467" i="32"/>
  <c r="I1467" i="31"/>
  <c r="I1277" i="32"/>
  <c r="I1277" i="31"/>
  <c r="I937" i="32"/>
  <c r="I937" i="31"/>
  <c r="I1296" i="32"/>
  <c r="I1296" i="31"/>
  <c r="I1192" i="32"/>
  <c r="I1192" i="31"/>
  <c r="I1058" i="32"/>
  <c r="I1058" i="31"/>
  <c r="I1586" i="32"/>
  <c r="I1586" i="31"/>
  <c r="I1522" i="32"/>
  <c r="I1522" i="31"/>
  <c r="I1309" i="32"/>
  <c r="I1309" i="31"/>
  <c r="I1463" i="32"/>
  <c r="I1463" i="31"/>
  <c r="I1263" i="32"/>
  <c r="I1263" i="31"/>
  <c r="I1175" i="32"/>
  <c r="I1175" i="31"/>
  <c r="I1113" i="32"/>
  <c r="I1113" i="31"/>
  <c r="I1011" i="32"/>
  <c r="I1011" i="31"/>
  <c r="I1577" i="32"/>
  <c r="I1577" i="31"/>
  <c r="I1350" i="32"/>
  <c r="I1350" i="31"/>
  <c r="I1205" i="32"/>
  <c r="I1205" i="31"/>
  <c r="I1229" i="32"/>
  <c r="I1229" i="31"/>
  <c r="I1039" i="32"/>
  <c r="I1039" i="31"/>
  <c r="I1575" i="32"/>
  <c r="I1575" i="31"/>
  <c r="I1511" i="32"/>
  <c r="I1511" i="31"/>
  <c r="I1204" i="32"/>
  <c r="I1204" i="31"/>
  <c r="I1380" i="32"/>
  <c r="I1380" i="31"/>
  <c r="I1228" i="32"/>
  <c r="I1228" i="31"/>
  <c r="I992" i="32"/>
  <c r="I992" i="31"/>
  <c r="I1542" i="32"/>
  <c r="I1542" i="31"/>
  <c r="I1478" i="32"/>
  <c r="I1478" i="31"/>
  <c r="I1427" i="32"/>
  <c r="I1427" i="31"/>
  <c r="I1267" i="32"/>
  <c r="I1267" i="31"/>
  <c r="I1101" i="32"/>
  <c r="I1101" i="31"/>
  <c r="I967" i="32"/>
  <c r="I967" i="31"/>
  <c r="I1573" i="32"/>
  <c r="I1573" i="31"/>
  <c r="I1509" i="32"/>
  <c r="I1509" i="31"/>
  <c r="I1254" i="32"/>
  <c r="I1254" i="31"/>
  <c r="I1418" i="32"/>
  <c r="I1418" i="31"/>
  <c r="I1226" i="32"/>
  <c r="I1226" i="31"/>
  <c r="I1022" i="32"/>
  <c r="I1022" i="31"/>
  <c r="I1253" i="32"/>
  <c r="I1253" i="31"/>
  <c r="I1401" i="32"/>
  <c r="I1401" i="31"/>
  <c r="I1225" i="32"/>
  <c r="I1225" i="31"/>
  <c r="I1099" i="32"/>
  <c r="I1099" i="31"/>
  <c r="I933" i="32"/>
  <c r="I933" i="31"/>
  <c r="I1539" i="32"/>
  <c r="I1539" i="31"/>
  <c r="I1475" i="32"/>
  <c r="I1475" i="31"/>
  <c r="I1023" i="32"/>
  <c r="I1023" i="31"/>
  <c r="I1584" i="32"/>
  <c r="I1584" i="31"/>
  <c r="I1516" i="32"/>
  <c r="I1516" i="31"/>
  <c r="I1484" i="32"/>
  <c r="I1484" i="31"/>
  <c r="I1341" i="32"/>
  <c r="I1341" i="31"/>
  <c r="I998" i="32"/>
  <c r="I998" i="31"/>
  <c r="I1044" i="32"/>
  <c r="I1044" i="31"/>
  <c r="I1580" i="32"/>
  <c r="I1580" i="31"/>
  <c r="I932" i="32"/>
  <c r="I932" i="31"/>
  <c r="I1384" i="32"/>
  <c r="I1384" i="31"/>
  <c r="I1240" i="32"/>
  <c r="I1240" i="31"/>
  <c r="I1090" i="32"/>
  <c r="I1090" i="31"/>
  <c r="I1184" i="32"/>
  <c r="I1184" i="31"/>
  <c r="I1488" i="32"/>
  <c r="I1488" i="31"/>
  <c r="I1297" i="32"/>
  <c r="I1297" i="31"/>
  <c r="I1429" i="32"/>
  <c r="I1429" i="31"/>
  <c r="I961" i="32"/>
  <c r="I961" i="31"/>
  <c r="I1489" i="32"/>
  <c r="I1489" i="31"/>
  <c r="I1251" i="32"/>
  <c r="I1251" i="31"/>
  <c r="I930" i="32"/>
  <c r="I930" i="31"/>
  <c r="I1338" i="32"/>
  <c r="I1338" i="31"/>
  <c r="I1049" i="32"/>
  <c r="I1049" i="31"/>
  <c r="I1431" i="32"/>
  <c r="I1431" i="31"/>
  <c r="I1242" i="32"/>
  <c r="I1242" i="31"/>
  <c r="I1339" i="32"/>
  <c r="I1339" i="31"/>
  <c r="I1117" i="32"/>
  <c r="I1117" i="31"/>
  <c r="I1394" i="32"/>
  <c r="I1394" i="31"/>
  <c r="I1088" i="32"/>
  <c r="I1088" i="31"/>
  <c r="I1182" i="32"/>
  <c r="I1182" i="31"/>
  <c r="I1002" i="32"/>
  <c r="I1002" i="31"/>
  <c r="I1359" i="32"/>
  <c r="I1359" i="31"/>
  <c r="I1382" i="32"/>
  <c r="I1382" i="31"/>
  <c r="I1302" i="32"/>
  <c r="I1302" i="31"/>
  <c r="I1096" i="32"/>
  <c r="I1096" i="31"/>
  <c r="I1369" i="32"/>
  <c r="I1369" i="31"/>
  <c r="I1241" i="32"/>
  <c r="I1241" i="31"/>
  <c r="I1013" i="32"/>
  <c r="I1013" i="31"/>
  <c r="I1348" i="32"/>
  <c r="I1348" i="31"/>
  <c r="I1188" i="32"/>
  <c r="I1188" i="31"/>
  <c r="I1030" i="32"/>
  <c r="I1030" i="31"/>
  <c r="I1111" i="32"/>
  <c r="I1111" i="31"/>
  <c r="I1269" i="32"/>
  <c r="I1269" i="31"/>
  <c r="I1087" i="32"/>
  <c r="I1087" i="31"/>
  <c r="I1288" i="32"/>
  <c r="I1288" i="31"/>
  <c r="I1146" i="32"/>
  <c r="I1146" i="31"/>
  <c r="I1034" i="32"/>
  <c r="I1034" i="31"/>
  <c r="I1578" i="32"/>
  <c r="I1578" i="31"/>
  <c r="I1514" i="32"/>
  <c r="I1514" i="31"/>
  <c r="I1222" i="32"/>
  <c r="I1222" i="31"/>
  <c r="I1439" i="32"/>
  <c r="I1439" i="31"/>
  <c r="I1247" i="32"/>
  <c r="I1247" i="31"/>
  <c r="I1167" i="32"/>
  <c r="I1167" i="31"/>
  <c r="I1105" i="32"/>
  <c r="I1105" i="31"/>
  <c r="I1003" i="32"/>
  <c r="I1003" i="31"/>
  <c r="I1561" i="32"/>
  <c r="I1561" i="31"/>
  <c r="I1246" i="32"/>
  <c r="I1246" i="31"/>
  <c r="I1118" i="32"/>
  <c r="I1118" i="31"/>
  <c r="I1213" i="32"/>
  <c r="I1213" i="31"/>
  <c r="I1017" i="32"/>
  <c r="I1017" i="31"/>
  <c r="I1567" i="32"/>
  <c r="I1567" i="31"/>
  <c r="I1503" i="32"/>
  <c r="I1503" i="31"/>
  <c r="I1103" i="32"/>
  <c r="I1103" i="31"/>
  <c r="I1308" i="32"/>
  <c r="I1308" i="31"/>
  <c r="I1164" i="32"/>
  <c r="I1164" i="31"/>
  <c r="I920" i="32"/>
  <c r="I920" i="31"/>
  <c r="I1534" i="32"/>
  <c r="I1534" i="31"/>
  <c r="I1349" i="32"/>
  <c r="I1349" i="31"/>
  <c r="I1419" i="32"/>
  <c r="I1419" i="31"/>
  <c r="I1243" i="32"/>
  <c r="I1243" i="31"/>
  <c r="I1069" i="32"/>
  <c r="I1069" i="31"/>
  <c r="I959" i="32"/>
  <c r="I959" i="31"/>
  <c r="I1565" i="32"/>
  <c r="I1565" i="31"/>
  <c r="I1501" i="32"/>
  <c r="I1501" i="31"/>
  <c r="I1172" i="32"/>
  <c r="I1172" i="31"/>
  <c r="I1410" i="32"/>
  <c r="I1410" i="31"/>
  <c r="I1210" i="32"/>
  <c r="I1210" i="31"/>
  <c r="I958" i="32"/>
  <c r="I958" i="31"/>
  <c r="I1072" i="32"/>
  <c r="I1072" i="31"/>
  <c r="I1385" i="32"/>
  <c r="I1385" i="31"/>
  <c r="I1217" i="32"/>
  <c r="I1217" i="31"/>
  <c r="I1075" i="32"/>
  <c r="I1075" i="31"/>
  <c r="I917" i="32"/>
  <c r="I917" i="31"/>
  <c r="I1531" i="32"/>
  <c r="I1531" i="31"/>
  <c r="I1445" i="32"/>
  <c r="I1445" i="31"/>
  <c r="I1027" i="32"/>
  <c r="I1027" i="31"/>
  <c r="I1520" i="32"/>
  <c r="I1520" i="31"/>
  <c r="I1572" i="32"/>
  <c r="I1572" i="31"/>
  <c r="I1468" i="32"/>
  <c r="I1468" i="31"/>
  <c r="I1332" i="32"/>
  <c r="I1332" i="31"/>
  <c r="I966" i="32"/>
  <c r="I966" i="31"/>
  <c r="I1006" i="32"/>
  <c r="I1006" i="31"/>
  <c r="I1124" i="32"/>
  <c r="I1124" i="31"/>
  <c r="I1202" i="32"/>
  <c r="I1202" i="31"/>
  <c r="I1352" i="32"/>
  <c r="I1352" i="31"/>
  <c r="I1224" i="32"/>
  <c r="I1224" i="31"/>
  <c r="I1074" i="32"/>
  <c r="I1074" i="31"/>
  <c r="I1496" i="32"/>
  <c r="I1496" i="31"/>
  <c r="I1472" i="32"/>
  <c r="I1472" i="31"/>
  <c r="I1455" i="32"/>
  <c r="I1455" i="31"/>
  <c r="I1420" i="32"/>
  <c r="I1420" i="31"/>
  <c r="I1569" i="32"/>
  <c r="I1569" i="31"/>
  <c r="I1473" i="32"/>
  <c r="I1473" i="31"/>
  <c r="I1227" i="32"/>
  <c r="I1227" i="31"/>
  <c r="I1402" i="32"/>
  <c r="I1402" i="31"/>
  <c r="I1255" i="32"/>
  <c r="I1255" i="31"/>
  <c r="I1033" i="32"/>
  <c r="I1033" i="31"/>
  <c r="I1423" i="32"/>
  <c r="I1423" i="31"/>
  <c r="I950" i="32"/>
  <c r="I950" i="31"/>
  <c r="I1331" i="32"/>
  <c r="I1331" i="31"/>
  <c r="I1061" i="32"/>
  <c r="I1061" i="31"/>
  <c r="I1370" i="32"/>
  <c r="I1370" i="31"/>
  <c r="I978" i="32"/>
  <c r="I978" i="31"/>
  <c r="I1166" i="32"/>
  <c r="I1166" i="31"/>
  <c r="I962" i="32"/>
  <c r="I962" i="31"/>
  <c r="I1311" i="32"/>
  <c r="I1311" i="31"/>
  <c r="I1374" i="32"/>
  <c r="I1374" i="31"/>
  <c r="I1294" i="32"/>
  <c r="I1294" i="31"/>
  <c r="I1018" i="32"/>
  <c r="I1018" i="31"/>
  <c r="I1353" i="32"/>
  <c r="I1353" i="31"/>
  <c r="I1209" i="32"/>
  <c r="I1209" i="31"/>
  <c r="I997" i="32"/>
  <c r="I997" i="31"/>
  <c r="I1340" i="32"/>
  <c r="I1340" i="31"/>
  <c r="I1180" i="32"/>
  <c r="I1180" i="31"/>
  <c r="I1000" i="32"/>
  <c r="I1000" i="31"/>
  <c r="I1469" i="32"/>
  <c r="I1469" i="31"/>
  <c r="I1245" i="32"/>
  <c r="I1245" i="31"/>
  <c r="I1456" i="32"/>
  <c r="I1456" i="31"/>
  <c r="I1280" i="32"/>
  <c r="I1280" i="31"/>
  <c r="I1130" i="32"/>
  <c r="I1130" i="31"/>
  <c r="I1020" i="32"/>
  <c r="I1020" i="31"/>
  <c r="I1570" i="32"/>
  <c r="I1570" i="31"/>
  <c r="I1506" i="32"/>
  <c r="I1506" i="31"/>
  <c r="I1150" i="32"/>
  <c r="I1150" i="31"/>
  <c r="I1415" i="32"/>
  <c r="I1415" i="31"/>
  <c r="I1239" i="32"/>
  <c r="I1239" i="31"/>
  <c r="I1161" i="32"/>
  <c r="I1161" i="31"/>
  <c r="I1089" i="32"/>
  <c r="I1089" i="31"/>
  <c r="I979" i="32"/>
  <c r="I979" i="31"/>
  <c r="I1537" i="32"/>
  <c r="I1537" i="31"/>
  <c r="I1160" i="32"/>
  <c r="I1160" i="31"/>
  <c r="I1056" i="32"/>
  <c r="I1056" i="31"/>
  <c r="I1181" i="32"/>
  <c r="I1181" i="31"/>
  <c r="I993" i="32"/>
  <c r="I993" i="31"/>
  <c r="I1559" i="32"/>
  <c r="I1559" i="31"/>
  <c r="I1495" i="32"/>
  <c r="I1495" i="31"/>
  <c r="I1040" i="32"/>
  <c r="I1040" i="31"/>
  <c r="I1292" i="32"/>
  <c r="I1292" i="31"/>
  <c r="I1158" i="32"/>
  <c r="I1158" i="31"/>
  <c r="I1590" i="32"/>
  <c r="I1590" i="31"/>
  <c r="I1526" i="32"/>
  <c r="I1526" i="31"/>
  <c r="I1261" i="32"/>
  <c r="I1261" i="31"/>
  <c r="I1395" i="32"/>
  <c r="I1395" i="31"/>
  <c r="I1235" i="32"/>
  <c r="I1235" i="31"/>
  <c r="I1053" i="32"/>
  <c r="I1053" i="31"/>
  <c r="I943" i="32"/>
  <c r="I943" i="31"/>
  <c r="I1557" i="32"/>
  <c r="I1557" i="31"/>
  <c r="I1493" i="32"/>
  <c r="I1493" i="31"/>
  <c r="I1009" i="32"/>
  <c r="I1009" i="31"/>
  <c r="I1386" i="32"/>
  <c r="I1386" i="31"/>
  <c r="I1178" i="32"/>
  <c r="I1178" i="31"/>
  <c r="I926" i="32"/>
  <c r="I926" i="31"/>
  <c r="I1008" i="32"/>
  <c r="I1008" i="31"/>
  <c r="I1361" i="32"/>
  <c r="I1361" i="31"/>
  <c r="I1193" i="32"/>
  <c r="I1193" i="31"/>
  <c r="I1067" i="32"/>
  <c r="I1067" i="31"/>
  <c r="I1587" i="32"/>
  <c r="I1587" i="31"/>
  <c r="I1523" i="32"/>
  <c r="I1523" i="31"/>
  <c r="I1317" i="32"/>
  <c r="I1317" i="31"/>
  <c r="I915" i="32"/>
  <c r="I915" i="31"/>
  <c r="I1480" i="32"/>
  <c r="I1480" i="31"/>
  <c r="I1564" i="32"/>
  <c r="I1564" i="31"/>
  <c r="I1460" i="32"/>
  <c r="I1460" i="31"/>
  <c r="I1286" i="32"/>
  <c r="I1286" i="31"/>
  <c r="I934" i="32"/>
  <c r="I934" i="31"/>
  <c r="I942" i="32"/>
  <c r="I942" i="31"/>
  <c r="I1060" i="32"/>
  <c r="I1060" i="31"/>
  <c r="I1448" i="32"/>
  <c r="I1448" i="31"/>
  <c r="I1336" i="32"/>
  <c r="I1336" i="31"/>
  <c r="I1200" i="32"/>
  <c r="I1200" i="31"/>
  <c r="I1066" i="32"/>
  <c r="I1066" i="31"/>
  <c r="I965" i="32"/>
  <c r="I965" i="31"/>
  <c r="I1464" i="32"/>
  <c r="I1464" i="31"/>
  <c r="I1391" i="32"/>
  <c r="I1391" i="31"/>
  <c r="I1265" i="32"/>
  <c r="I1265" i="31"/>
  <c r="I1553" i="32"/>
  <c r="I1553" i="31"/>
  <c r="I1465" i="32"/>
  <c r="I1465" i="31"/>
  <c r="I1195" i="32"/>
  <c r="I1195" i="31"/>
  <c r="I1393" i="32"/>
  <c r="I1393" i="31"/>
  <c r="I1097" i="32"/>
  <c r="I1097" i="31"/>
  <c r="I987" i="32"/>
  <c r="I987" i="31"/>
  <c r="I1383" i="32"/>
  <c r="I1383" i="31"/>
  <c r="I953" i="32"/>
  <c r="I953" i="31"/>
  <c r="I1299" i="32"/>
  <c r="I1299" i="31"/>
  <c r="I1045" i="32"/>
  <c r="I1045" i="31"/>
  <c r="I1346" i="32"/>
  <c r="I1346" i="31"/>
  <c r="I1198" i="32"/>
  <c r="I1198" i="31"/>
  <c r="I1104" i="32"/>
  <c r="I1104" i="31"/>
  <c r="I1270" i="32"/>
  <c r="I1270" i="31"/>
  <c r="I1462" i="32"/>
  <c r="I1462" i="31"/>
  <c r="I1366" i="31"/>
  <c r="I1366" i="32"/>
  <c r="I1214" i="32"/>
  <c r="I1214" i="31"/>
  <c r="I1077" i="32"/>
  <c r="I1077" i="31"/>
  <c r="I1345" i="32"/>
  <c r="I1345" i="31"/>
  <c r="I1201" i="32"/>
  <c r="I1201" i="31"/>
  <c r="I989" i="32"/>
  <c r="I989" i="31"/>
  <c r="I1324" i="32"/>
  <c r="I1324" i="31"/>
  <c r="I1142" i="32"/>
  <c r="I1142" i="31"/>
  <c r="I984" i="32"/>
  <c r="I984" i="31"/>
  <c r="I1453" i="32"/>
  <c r="I1453" i="31"/>
  <c r="I1237" i="32"/>
  <c r="I1237" i="31"/>
  <c r="I1440" i="32"/>
  <c r="I1440" i="31"/>
  <c r="I1272" i="32"/>
  <c r="I1272" i="31"/>
  <c r="I1122" i="32"/>
  <c r="I1122" i="31"/>
  <c r="I996" i="32"/>
  <c r="I996" i="31"/>
  <c r="I1562" i="32"/>
  <c r="I1562" i="31"/>
  <c r="I1498" i="32"/>
  <c r="I1498" i="31"/>
  <c r="I1070" i="32"/>
  <c r="I1070" i="31"/>
  <c r="I1407" i="32"/>
  <c r="I1407" i="31"/>
  <c r="I1223" i="32"/>
  <c r="I1223" i="31"/>
  <c r="I1153" i="32"/>
  <c r="I1153" i="31"/>
  <c r="I1081" i="32"/>
  <c r="I1081" i="31"/>
  <c r="I963" i="32"/>
  <c r="I963" i="31"/>
  <c r="I1481" i="32"/>
  <c r="I1481" i="31"/>
  <c r="I1048" i="32"/>
  <c r="I1048" i="31"/>
  <c r="I938" i="32"/>
  <c r="I938" i="31"/>
  <c r="I1165" i="32"/>
  <c r="I1165" i="31"/>
  <c r="I977" i="32"/>
  <c r="I977" i="31"/>
  <c r="I1551" i="32"/>
  <c r="I1551" i="31"/>
  <c r="I1487" i="32"/>
  <c r="I1487" i="31"/>
  <c r="I936" i="32"/>
  <c r="I936" i="31"/>
  <c r="I1284" i="32"/>
  <c r="I1284" i="31"/>
  <c r="I1126" i="32"/>
  <c r="I1126" i="31"/>
  <c r="I1582" i="32"/>
  <c r="I1582" i="31"/>
  <c r="I1518" i="32"/>
  <c r="I1518" i="31"/>
  <c r="I1197" i="32"/>
  <c r="I1197" i="31"/>
  <c r="I1379" i="32"/>
  <c r="I1379" i="31"/>
  <c r="I1219" i="32"/>
  <c r="I1219" i="31"/>
  <c r="I1037" i="32"/>
  <c r="I1037" i="31"/>
  <c r="I935" i="32"/>
  <c r="I935" i="31"/>
  <c r="I1549" i="32"/>
  <c r="I1549" i="31"/>
  <c r="I1485" i="32"/>
  <c r="I1485" i="31"/>
  <c r="I1466" i="32"/>
  <c r="I1466" i="31"/>
  <c r="I1354" i="32"/>
  <c r="I1354" i="31"/>
  <c r="I1156" i="32"/>
  <c r="I1156" i="31"/>
  <c r="I1588" i="32"/>
  <c r="I1588" i="31"/>
  <c r="I1449" i="32"/>
  <c r="I1449" i="31"/>
  <c r="I1321" i="32"/>
  <c r="I1321" i="31"/>
  <c r="I1155" i="32"/>
  <c r="I1155" i="31"/>
  <c r="I1059" i="32"/>
  <c r="I1059" i="31"/>
  <c r="I1579" i="32"/>
  <c r="I1579" i="31"/>
  <c r="I1515" i="32"/>
  <c r="I1515" i="31"/>
  <c r="I1238" i="32"/>
  <c r="I1238" i="31"/>
  <c r="I916" i="32"/>
  <c r="I916" i="31"/>
  <c r="I1356" i="32"/>
  <c r="I1356" i="31"/>
  <c r="I1540" i="32"/>
  <c r="I1540" i="31"/>
  <c r="I1414" i="31"/>
  <c r="I1414" i="32"/>
  <c r="I1268" i="32"/>
  <c r="I1268" i="31"/>
  <c r="I918" i="32"/>
  <c r="I918" i="31"/>
  <c r="I948" i="32"/>
  <c r="I948" i="31"/>
  <c r="I1014" i="32"/>
  <c r="I1014" i="31"/>
  <c r="I1432" i="32"/>
  <c r="I1432" i="31"/>
  <c r="I1328" i="32"/>
  <c r="I1328" i="31"/>
  <c r="I1176" i="32"/>
  <c r="I1176" i="31"/>
  <c r="I1050" i="32"/>
  <c r="I1050" i="31"/>
  <c r="I1274" i="32"/>
  <c r="I1274" i="31"/>
  <c r="I1552" i="32"/>
  <c r="I1552" i="31"/>
  <c r="I1351" i="32"/>
  <c r="I1351" i="31"/>
  <c r="I1032" i="32"/>
  <c r="I1032" i="31"/>
  <c r="I1545" i="32"/>
  <c r="I1545" i="31"/>
  <c r="I1457" i="32"/>
  <c r="I1457" i="31"/>
  <c r="I1163" i="32"/>
  <c r="I1163" i="31"/>
  <c r="I1079" i="32"/>
  <c r="I1079" i="31"/>
  <c r="I1447" i="32"/>
  <c r="I1447" i="31"/>
  <c r="I931" i="32"/>
  <c r="I931" i="31"/>
  <c r="I1367" i="32"/>
  <c r="I1367" i="31"/>
  <c r="I921" i="32"/>
  <c r="I921" i="31"/>
  <c r="I1275" i="32"/>
  <c r="I1275" i="31"/>
  <c r="I1194" i="32"/>
  <c r="I1194" i="31"/>
  <c r="I1314" i="32"/>
  <c r="I1314" i="31"/>
  <c r="I1064" i="32"/>
  <c r="I1064" i="31"/>
  <c r="I1080" i="32"/>
  <c r="I1080" i="31"/>
  <c r="I1120" i="32"/>
  <c r="I1120" i="31"/>
  <c r="I1446" i="32"/>
  <c r="I1446" i="31"/>
  <c r="I1342" i="32"/>
  <c r="I1342" i="31"/>
  <c r="I1190" i="32"/>
  <c r="I1190" i="31"/>
  <c r="I1322" i="32"/>
  <c r="I1322" i="31"/>
  <c r="I1337" i="32"/>
  <c r="I1337" i="31"/>
  <c r="I1177" i="32"/>
  <c r="I1177" i="31"/>
  <c r="I973" i="32"/>
  <c r="I973" i="31"/>
  <c r="I1316" i="32"/>
  <c r="I1316" i="31"/>
  <c r="I1134" i="32"/>
  <c r="I1134" i="31"/>
  <c r="I968" i="32"/>
  <c r="I968" i="31"/>
  <c r="I1421" i="32"/>
  <c r="I1421" i="31"/>
  <c r="I1189" i="32"/>
  <c r="I1189" i="31"/>
  <c r="I1376" i="32"/>
  <c r="I1376" i="31"/>
  <c r="I1248" i="32"/>
  <c r="I1248" i="31"/>
  <c r="I1114" i="32"/>
  <c r="I1114" i="31"/>
  <c r="I980" i="32"/>
  <c r="I980" i="31"/>
  <c r="I1554" i="32"/>
  <c r="I1554" i="31"/>
  <c r="I1490" i="32"/>
  <c r="I1490" i="31"/>
  <c r="I976" i="32"/>
  <c r="I976" i="31"/>
  <c r="I1399" i="32"/>
  <c r="I1399" i="31"/>
  <c r="I1207" i="32"/>
  <c r="I1207" i="31"/>
  <c r="I1145" i="32"/>
  <c r="I1145" i="31"/>
  <c r="I1073" i="32"/>
  <c r="I1073" i="31"/>
  <c r="I955" i="32"/>
  <c r="I955" i="31"/>
  <c r="I1300" i="32"/>
  <c r="I1300" i="31"/>
  <c r="I986" i="32"/>
  <c r="I986" i="31"/>
  <c r="I1437" i="32"/>
  <c r="I1437" i="31"/>
  <c r="I1119" i="32"/>
  <c r="I1119" i="31"/>
  <c r="I969" i="32"/>
  <c r="I969" i="31"/>
  <c r="I1543" i="32"/>
  <c r="I1543" i="31"/>
  <c r="I1479" i="32"/>
  <c r="I1479" i="31"/>
  <c r="I1444" i="32"/>
  <c r="I1444" i="31"/>
  <c r="I1260" i="32"/>
  <c r="I1260" i="31"/>
  <c r="I1110" i="32"/>
  <c r="I1110" i="31"/>
  <c r="I1574" i="32"/>
  <c r="I1574" i="31"/>
  <c r="I1510" i="32"/>
  <c r="I1510" i="31"/>
  <c r="I1086" i="32"/>
  <c r="I1086" i="31"/>
  <c r="I1371" i="32"/>
  <c r="I1371" i="31"/>
  <c r="I1203" i="32"/>
  <c r="I1203" i="31"/>
  <c r="I1015" i="32"/>
  <c r="I1015" i="31"/>
  <c r="I927" i="32"/>
  <c r="I927" i="31"/>
  <c r="I1541" i="32"/>
  <c r="I1541" i="31"/>
  <c r="I1477" i="32"/>
  <c r="I1477" i="31"/>
  <c r="I1450" i="32"/>
  <c r="I1450" i="31"/>
  <c r="I1330" i="32"/>
  <c r="I1330" i="31"/>
  <c r="I1148" i="32"/>
  <c r="I1148" i="31"/>
  <c r="I1548" i="32"/>
  <c r="I1548" i="31"/>
  <c r="I1441" i="32"/>
  <c r="I1441" i="31"/>
  <c r="I1305" i="32"/>
  <c r="I1305" i="31"/>
  <c r="I1139" i="32"/>
  <c r="I1139" i="31"/>
  <c r="I1035" i="32"/>
  <c r="I1035" i="31"/>
  <c r="I1571" i="32"/>
  <c r="I1571" i="31"/>
  <c r="I1507" i="32"/>
  <c r="I1507" i="31"/>
  <c r="I1151" i="32"/>
  <c r="I1151" i="31"/>
  <c r="I1568" i="32"/>
  <c r="I1568" i="31"/>
  <c r="I941" i="32"/>
  <c r="I941" i="31"/>
  <c r="I1532" i="32"/>
  <c r="I1532" i="31"/>
  <c r="I1405" i="31"/>
  <c r="I1405" i="32"/>
  <c r="I1250" i="32"/>
  <c r="I1250" i="31"/>
  <c r="I1100" i="32"/>
  <c r="I1100" i="31"/>
  <c r="I1029" i="32"/>
  <c r="I1029" i="31"/>
  <c r="I990" i="32"/>
  <c r="I990" i="31"/>
  <c r="I1424" i="32"/>
  <c r="I1424" i="31"/>
  <c r="I1312" i="32"/>
  <c r="I1312" i="31"/>
  <c r="I1168" i="32"/>
  <c r="I1168" i="31"/>
  <c r="I1042" i="32"/>
  <c r="I1042" i="31"/>
  <c r="I1116" i="32"/>
  <c r="I1116" i="31"/>
  <c r="I949" i="32"/>
  <c r="I949" i="31"/>
  <c r="I1343" i="32"/>
  <c r="I1343" i="31"/>
  <c r="I1016" i="32"/>
  <c r="I1016" i="31"/>
  <c r="I1529" i="32"/>
  <c r="I1529" i="31"/>
  <c r="I1443" i="32"/>
  <c r="I1443" i="31"/>
  <c r="I1133" i="32"/>
  <c r="I1133" i="31"/>
  <c r="I1273" i="32"/>
  <c r="I1273" i="31"/>
  <c r="I1375" i="32"/>
  <c r="I1375" i="31"/>
  <c r="I1157" i="32"/>
  <c r="I1157" i="31"/>
  <c r="I1335" i="32"/>
  <c r="I1335" i="31"/>
  <c r="I1298" i="32"/>
  <c r="I1298" i="31"/>
  <c r="I1259" i="32"/>
  <c r="I1259" i="31"/>
  <c r="I1140" i="32"/>
  <c r="I1140" i="31"/>
  <c r="I1306" i="32"/>
  <c r="I1306" i="31"/>
  <c r="I970" i="32"/>
  <c r="I970" i="31"/>
  <c r="I1010" i="32"/>
  <c r="I1010" i="31"/>
  <c r="I1278" i="32"/>
  <c r="I1278" i="31"/>
  <c r="I1430" i="32"/>
  <c r="I1430" i="31"/>
  <c r="I1334" i="32"/>
  <c r="I1334" i="31"/>
  <c r="I1174" i="32"/>
  <c r="I1174" i="31"/>
  <c r="I1290" i="32"/>
  <c r="I1290" i="31"/>
  <c r="I1329" i="32"/>
  <c r="I1329" i="31"/>
  <c r="I1147" i="32"/>
  <c r="I1147" i="31"/>
  <c r="I1169" i="32"/>
  <c r="I1169" i="31"/>
  <c r="I1276" i="32"/>
  <c r="I1276" i="31"/>
  <c r="I1102" i="32"/>
  <c r="I1102" i="31"/>
  <c r="I960" i="32"/>
  <c r="I960" i="31"/>
  <c r="I1357" i="31"/>
  <c r="I1357" i="32"/>
  <c r="I1173" i="32"/>
  <c r="I1173" i="31"/>
  <c r="I1368" i="32"/>
  <c r="I1368" i="31"/>
  <c r="I1232" i="32"/>
  <c r="I1232" i="31"/>
  <c r="I1106" i="32"/>
  <c r="I1106" i="31"/>
  <c r="I972" i="32"/>
  <c r="I972" i="31"/>
  <c r="I1546" i="32"/>
  <c r="I1546" i="31"/>
  <c r="I1482" i="32"/>
  <c r="I1482" i="31"/>
  <c r="I1505" i="32"/>
  <c r="I1505" i="31"/>
  <c r="I1327" i="32"/>
  <c r="I1327" i="31"/>
  <c r="I1199" i="32"/>
  <c r="I1199" i="31"/>
  <c r="I1137" i="32"/>
  <c r="I1137" i="31"/>
  <c r="I1065" i="32"/>
  <c r="I1065" i="31"/>
  <c r="I947" i="32"/>
  <c r="I947" i="31"/>
  <c r="I1127" i="32"/>
  <c r="I1127" i="31"/>
  <c r="I1544" i="32"/>
  <c r="I1544" i="31"/>
  <c r="I1413" i="31"/>
  <c r="I1413" i="32"/>
  <c r="I1095" i="32"/>
  <c r="I1095" i="31"/>
  <c r="I945" i="32"/>
  <c r="I945" i="31"/>
  <c r="I1535" i="32"/>
  <c r="I1535" i="31"/>
  <c r="I1470" i="32"/>
  <c r="I1470" i="31"/>
  <c r="I1436" i="32"/>
  <c r="I1436" i="31"/>
  <c r="I1252" i="32"/>
  <c r="I1252" i="31"/>
  <c r="I1078" i="32"/>
  <c r="I1078" i="31"/>
  <c r="I1566" i="32"/>
  <c r="I1566" i="31"/>
  <c r="I1502" i="32"/>
  <c r="I1502" i="31"/>
  <c r="I1031" i="32"/>
  <c r="I1031" i="31"/>
  <c r="I1363" i="32"/>
  <c r="I1363" i="31"/>
  <c r="I1179" i="32"/>
  <c r="I1179" i="31"/>
  <c r="I1007" i="32"/>
  <c r="I1007" i="31"/>
  <c r="I919" i="32"/>
  <c r="I919" i="31"/>
  <c r="I1533" i="32"/>
  <c r="I1533" i="31"/>
  <c r="I1461" i="32"/>
  <c r="I1461" i="31"/>
  <c r="I1442" i="32"/>
  <c r="I1442" i="31"/>
  <c r="I1266" i="32"/>
  <c r="I1266" i="31"/>
  <c r="I1076" i="32"/>
  <c r="I1076" i="31"/>
  <c r="I1476" i="32"/>
  <c r="I1476" i="31"/>
  <c r="I1425" i="32"/>
  <c r="I1425" i="31"/>
  <c r="I1257" i="32"/>
  <c r="I1257" i="31"/>
  <c r="I1123" i="32"/>
  <c r="I1123" i="31"/>
  <c r="I1021" i="32"/>
  <c r="I1021" i="31"/>
  <c r="I1563" i="32"/>
  <c r="I1563" i="31"/>
  <c r="I1499" i="32"/>
  <c r="I1499" i="31"/>
  <c r="I1071" i="32"/>
  <c r="I1071" i="31"/>
  <c r="I1026" i="32"/>
  <c r="I1026" i="31"/>
  <c r="I1504" i="32"/>
  <c r="I1504" i="31"/>
  <c r="I1283" i="32"/>
  <c r="I1283" i="31"/>
  <c r="I1524" i="32"/>
  <c r="I1524" i="31"/>
  <c r="I1396" i="32"/>
  <c r="I1396" i="31"/>
  <c r="I1221" i="32"/>
  <c r="I1221" i="31"/>
  <c r="I924" i="32"/>
  <c r="I924" i="31"/>
  <c r="I999" i="32"/>
  <c r="I999" i="31"/>
  <c r="I1492" i="32"/>
  <c r="I1492" i="31"/>
  <c r="I1416" i="32"/>
  <c r="I1416" i="31"/>
  <c r="I1304" i="32"/>
  <c r="I1304" i="31"/>
  <c r="I1162" i="32"/>
  <c r="I1162" i="31"/>
  <c r="I1012" i="32"/>
  <c r="I1012" i="31"/>
  <c r="I1560" i="32"/>
  <c r="I1560" i="31"/>
  <c r="I1362" i="32"/>
  <c r="I1362" i="31"/>
  <c r="I1287" i="32"/>
  <c r="I1287" i="31"/>
  <c r="I952" i="32"/>
  <c r="I952" i="31"/>
  <c r="I1521" i="32"/>
  <c r="I1521" i="31"/>
  <c r="I1355" i="32"/>
  <c r="I1355" i="31"/>
  <c r="I1093" i="32"/>
  <c r="I1093" i="31"/>
  <c r="I1185" i="32"/>
  <c r="I1185" i="31"/>
  <c r="I1303" i="32"/>
  <c r="I1303" i="31"/>
  <c r="I1125" i="32"/>
  <c r="I1125" i="31"/>
  <c r="I1319" i="32"/>
  <c r="I1319" i="31"/>
  <c r="I1451" i="32"/>
  <c r="I1451" i="31"/>
  <c r="I1211" i="32"/>
  <c r="I1211" i="31"/>
  <c r="I1052" i="32"/>
  <c r="I1052" i="31"/>
  <c r="I1218" i="32"/>
  <c r="I1218" i="31"/>
  <c r="I922" i="32"/>
  <c r="I922" i="31"/>
  <c r="I954" i="32"/>
  <c r="I954" i="31"/>
  <c r="I1136" i="32"/>
  <c r="I1136" i="31"/>
  <c r="I1422" i="32"/>
  <c r="I1422" i="31"/>
  <c r="I1326" i="32"/>
  <c r="I1326" i="31"/>
  <c r="I1152" i="32"/>
  <c r="I1152" i="31"/>
  <c r="I974" i="32"/>
  <c r="I974" i="31"/>
  <c r="I1313" i="32"/>
  <c r="I1313" i="31"/>
  <c r="I1131" i="32"/>
  <c r="I1131" i="31"/>
  <c r="I981" i="32"/>
  <c r="I981" i="31"/>
  <c r="I1220" i="32"/>
  <c r="I1220" i="31"/>
  <c r="I1094" i="32"/>
  <c r="I1094" i="31"/>
  <c r="I944" i="32"/>
  <c r="I944" i="31"/>
  <c r="I1325" i="32"/>
  <c r="I1325" i="31"/>
  <c r="I1159" i="32"/>
  <c r="I1159" i="31"/>
  <c r="I1360" i="32"/>
  <c r="I1360" i="31"/>
  <c r="I1216" i="32"/>
  <c r="I1216" i="31"/>
  <c r="I1098" i="32"/>
  <c r="I1098" i="31"/>
  <c r="I956" i="32"/>
  <c r="I956" i="31"/>
  <c r="I1538" i="32"/>
  <c r="I1538" i="31"/>
  <c r="I1474" i="32"/>
  <c r="I1474" i="31"/>
  <c r="I1381" i="32"/>
  <c r="I1381" i="31"/>
  <c r="I1295" i="32"/>
  <c r="I1295" i="31"/>
  <c r="I1191" i="32"/>
  <c r="I1191" i="31"/>
  <c r="I1129" i="32"/>
  <c r="I1129" i="31"/>
  <c r="I1057" i="32"/>
  <c r="I1057" i="31"/>
  <c r="I923" i="32"/>
  <c r="I923" i="31"/>
  <c r="I1454" i="32"/>
  <c r="I1454" i="31"/>
  <c r="I1365" i="32"/>
  <c r="I1365" i="31"/>
  <c r="I1373" i="32"/>
  <c r="I1373" i="31"/>
  <c r="I1055" i="32"/>
  <c r="I1055" i="31"/>
  <c r="I929" i="32"/>
  <c r="I929" i="31"/>
  <c r="I1527" i="32"/>
  <c r="I1527" i="31"/>
  <c r="I1412" i="32"/>
  <c r="I1412" i="31"/>
  <c r="I1428" i="32"/>
  <c r="I1428" i="31"/>
  <c r="I1244" i="32"/>
  <c r="I1244" i="31"/>
  <c r="I1054" i="32"/>
  <c r="I1054" i="31"/>
  <c r="I1558" i="32"/>
  <c r="I1558" i="31"/>
  <c r="I1494" i="32"/>
  <c r="I1494" i="31"/>
  <c r="I1459" i="32"/>
  <c r="I1459" i="31"/>
  <c r="I1323" i="32"/>
  <c r="I1323" i="31"/>
  <c r="I1171" i="32"/>
  <c r="I1171" i="31"/>
  <c r="I991" i="32"/>
  <c r="I991" i="31"/>
  <c r="I1589" i="32"/>
  <c r="I1589" i="31"/>
  <c r="I1525" i="32"/>
  <c r="I1525" i="31"/>
  <c r="I1398" i="32"/>
  <c r="I1398" i="31"/>
  <c r="I1434" i="32"/>
  <c r="I1434" i="31"/>
  <c r="I1258" i="32"/>
  <c r="I1258" i="31"/>
  <c r="I1068" i="32"/>
  <c r="I1068" i="31"/>
  <c r="I1452" i="32"/>
  <c r="I1452" i="31"/>
  <c r="I1417" i="32"/>
  <c r="I1417" i="31"/>
  <c r="I1249" i="32"/>
  <c r="I1249" i="31"/>
  <c r="I1115" i="32"/>
  <c r="I1115" i="31"/>
  <c r="I1005" i="32"/>
  <c r="I1005" i="31"/>
  <c r="I1555" i="32"/>
  <c r="I1555" i="31"/>
  <c r="I1491" i="32"/>
  <c r="I1491" i="31"/>
  <c r="I985" i="32"/>
  <c r="I985" i="31"/>
  <c r="I1025" i="32"/>
  <c r="I1025" i="31"/>
  <c r="I1576" i="32"/>
  <c r="I1576" i="31"/>
  <c r="I1051" i="32"/>
  <c r="I1051" i="31"/>
  <c r="I1508" i="32"/>
  <c r="I1508" i="31"/>
  <c r="I1387" i="32"/>
  <c r="I1387" i="31"/>
  <c r="I1084" i="32"/>
  <c r="I1084" i="31"/>
  <c r="I1556" i="32"/>
  <c r="I1556" i="31"/>
  <c r="I951" i="32"/>
  <c r="I951" i="31"/>
  <c r="I983" i="32"/>
  <c r="I983" i="31"/>
  <c r="I1400" i="32"/>
  <c r="I1400" i="31"/>
  <c r="I1264" i="32"/>
  <c r="I1264" i="31"/>
  <c r="I1154" i="32"/>
  <c r="I1154" i="31"/>
  <c r="I1004" i="32"/>
  <c r="I1004" i="31"/>
  <c r="I1536" i="32"/>
  <c r="I1536" i="31"/>
  <c r="I1001" i="32"/>
  <c r="I1001" i="31"/>
  <c r="I971" i="32"/>
  <c r="I971" i="31"/>
  <c r="I1438" i="32"/>
  <c r="I1438" i="31"/>
  <c r="I1513" i="32"/>
  <c r="I1513" i="31"/>
  <c r="I1315" i="32"/>
  <c r="I1315" i="31"/>
  <c r="I1085" i="32"/>
  <c r="I1085" i="31"/>
  <c r="I925" i="32"/>
  <c r="I925" i="31"/>
  <c r="I1271" i="32"/>
  <c r="I1271" i="31"/>
  <c r="I1282" i="32"/>
  <c r="I1282" i="31"/>
  <c r="I1019" i="32"/>
  <c r="I1019" i="31"/>
  <c r="I1403" i="32"/>
  <c r="I1403" i="31"/>
  <c r="I1187" i="32"/>
  <c r="I1187" i="31"/>
  <c r="I982" i="32"/>
  <c r="I982" i="31"/>
  <c r="I1170" i="32"/>
  <c r="I1170" i="31"/>
  <c r="I1109" i="32"/>
  <c r="I1109" i="31"/>
  <c r="I1262" i="32"/>
  <c r="I1262" i="31"/>
  <c r="I994" i="32"/>
  <c r="I994" i="31"/>
  <c r="I1406" i="32"/>
  <c r="I1406" i="31"/>
  <c r="I1318" i="32"/>
  <c r="I1318" i="31"/>
  <c r="I1144" i="32"/>
  <c r="I1144" i="31"/>
  <c r="I1433" i="32"/>
  <c r="I1433" i="31"/>
  <c r="I1289" i="32"/>
  <c r="I1289" i="31"/>
  <c r="I1091" i="32"/>
  <c r="I1091" i="31"/>
  <c r="I1388" i="32"/>
  <c r="I1388" i="31"/>
  <c r="I1212" i="32"/>
  <c r="I1212" i="31"/>
  <c r="I1062" i="32"/>
  <c r="I1062" i="31"/>
  <c r="I928" i="32"/>
  <c r="I928" i="31"/>
  <c r="I1293" i="32"/>
  <c r="I1293" i="31"/>
  <c r="I1135" i="32"/>
  <c r="I1135" i="31"/>
  <c r="I1344" i="32"/>
  <c r="I1344" i="31"/>
  <c r="I1208" i="32"/>
  <c r="I1208" i="31"/>
  <c r="I1082" i="32"/>
  <c r="I1082" i="31"/>
  <c r="I940" i="32"/>
  <c r="I940" i="31"/>
  <c r="I1530" i="32"/>
  <c r="I1530" i="31"/>
  <c r="I1389" i="32"/>
  <c r="I1389" i="31"/>
  <c r="I1063" i="32"/>
  <c r="I1063" i="31"/>
  <c r="I1279" i="32"/>
  <c r="I1279" i="31"/>
  <c r="I1183" i="32"/>
  <c r="I1183" i="31"/>
  <c r="I1121" i="32"/>
  <c r="I1121" i="31"/>
  <c r="I1041" i="32"/>
  <c r="I1041" i="31"/>
  <c r="I1585" i="32"/>
  <c r="I1585" i="31"/>
  <c r="I1358" i="31"/>
  <c r="I1358" i="32"/>
  <c r="I1285" i="32"/>
  <c r="I1285" i="31"/>
  <c r="I1301" i="32"/>
  <c r="I1301" i="31"/>
  <c r="I1047" i="32"/>
  <c r="I1047" i="31"/>
  <c r="I1583" i="32"/>
  <c r="I1583" i="31"/>
  <c r="I1519" i="32"/>
  <c r="I1519" i="31"/>
  <c r="I1364" i="32"/>
  <c r="I1364" i="31"/>
  <c r="I1404" i="32"/>
  <c r="I1404" i="31"/>
  <c r="I1236" i="32"/>
  <c r="I1236" i="31"/>
  <c r="I1038" i="32"/>
  <c r="I1038" i="31"/>
  <c r="I1550" i="32"/>
  <c r="I1550" i="31"/>
  <c r="I1486" i="32"/>
  <c r="I1486" i="31"/>
  <c r="I1435" i="32"/>
  <c r="I1435" i="31"/>
  <c r="I1307" i="32"/>
  <c r="I1307" i="31"/>
  <c r="I1149" i="32"/>
  <c r="I1149" i="31"/>
  <c r="I975" i="32"/>
  <c r="I975" i="31"/>
  <c r="I1581" i="32"/>
  <c r="I1581" i="31"/>
  <c r="I1517" i="32"/>
  <c r="I1517" i="31"/>
  <c r="I1333" i="32"/>
  <c r="I1333" i="31"/>
  <c r="I1426" i="32"/>
  <c r="I1426" i="31"/>
  <c r="I1234" i="32"/>
  <c r="I1234" i="31"/>
  <c r="I1036" i="32"/>
  <c r="I1036" i="31"/>
  <c r="I1397" i="32"/>
  <c r="I1397" i="31"/>
  <c r="I1409" i="32"/>
  <c r="I1409" i="31"/>
  <c r="I1233" i="32"/>
  <c r="I1233" i="31"/>
  <c r="I1107" i="32"/>
  <c r="I1107" i="31"/>
  <c r="I957" i="32"/>
  <c r="I957" i="31"/>
  <c r="I1547" i="32"/>
  <c r="I1547" i="31"/>
  <c r="I1483" i="32"/>
  <c r="I1483" i="31"/>
  <c r="I1023" i="19"/>
  <c r="I1484" i="19"/>
  <c r="I1580" i="19"/>
  <c r="I1090" i="19"/>
  <c r="I961" i="19"/>
  <c r="I930" i="19"/>
  <c r="I1242" i="19"/>
  <c r="I1002" i="19"/>
  <c r="I1241" i="19"/>
  <c r="I1087" i="19"/>
  <c r="I1578" i="19"/>
  <c r="I1439" i="19"/>
  <c r="I1003" i="19"/>
  <c r="I1017" i="19"/>
  <c r="I1308" i="19"/>
  <c r="I1243" i="19"/>
  <c r="I1531" i="19"/>
  <c r="I1402" i="19"/>
  <c r="I1280" i="19"/>
  <c r="I1493" i="19"/>
  <c r="I1178" i="19"/>
  <c r="I1008" i="19"/>
  <c r="I1361" i="19"/>
  <c r="I1067" i="19"/>
  <c r="I1523" i="19"/>
  <c r="I1317" i="19"/>
  <c r="I915" i="19"/>
  <c r="I1480" i="19"/>
  <c r="I1564" i="19"/>
  <c r="I1460" i="19"/>
  <c r="I1286" i="19"/>
  <c r="I934" i="19"/>
  <c r="I942" i="19"/>
  <c r="I1060" i="19"/>
  <c r="I1448" i="19"/>
  <c r="I1336" i="19"/>
  <c r="I1200" i="19"/>
  <c r="I1066" i="19"/>
  <c r="I965" i="19"/>
  <c r="I1464" i="19"/>
  <c r="I1391" i="19"/>
  <c r="I1265" i="19"/>
  <c r="I1553" i="19"/>
  <c r="I1465" i="19"/>
  <c r="I1195" i="19"/>
  <c r="I1393" i="19"/>
  <c r="I1097" i="19"/>
  <c r="I987" i="19"/>
  <c r="I1383" i="19"/>
  <c r="I953" i="19"/>
  <c r="I1299" i="19"/>
  <c r="I1045" i="19"/>
  <c r="I1346" i="19"/>
  <c r="I1198" i="19"/>
  <c r="I1104" i="19"/>
  <c r="I1270" i="19"/>
  <c r="I1462" i="19"/>
  <c r="I1366" i="19"/>
  <c r="I1214" i="19"/>
  <c r="I1077" i="19"/>
  <c r="I1345" i="19"/>
  <c r="I1201" i="19"/>
  <c r="I989" i="19"/>
  <c r="I1324" i="19"/>
  <c r="I1142" i="19"/>
  <c r="I984" i="19"/>
  <c r="I1453" i="19"/>
  <c r="I1237" i="19"/>
  <c r="I1440" i="19"/>
  <c r="I1272" i="19"/>
  <c r="I1122" i="19"/>
  <c r="I996" i="19"/>
  <c r="I1562" i="19"/>
  <c r="I1498" i="19"/>
  <c r="I1070" i="19"/>
  <c r="I1407" i="19"/>
  <c r="I1223" i="19"/>
  <c r="I1153" i="19"/>
  <c r="I1081" i="19"/>
  <c r="I963" i="19"/>
  <c r="I1481" i="19"/>
  <c r="I1048" i="19"/>
  <c r="I938" i="19"/>
  <c r="I1165" i="19"/>
  <c r="I977" i="19"/>
  <c r="I1551" i="19"/>
  <c r="I1487" i="19"/>
  <c r="I936" i="19"/>
  <c r="I1284" i="19"/>
  <c r="I1126" i="19"/>
  <c r="I1582" i="19"/>
  <c r="I1518" i="19"/>
  <c r="I1197" i="19"/>
  <c r="I1379" i="19"/>
  <c r="I1219" i="19"/>
  <c r="I1037" i="19"/>
  <c r="I935" i="19"/>
  <c r="I1549" i="19"/>
  <c r="I1485" i="19"/>
  <c r="I1466" i="19"/>
  <c r="I1354" i="19"/>
  <c r="I1156" i="19"/>
  <c r="I1588" i="19"/>
  <c r="I1449" i="19"/>
  <c r="I1321" i="19"/>
  <c r="I1155" i="19"/>
  <c r="I1059" i="19"/>
  <c r="I1579" i="19"/>
  <c r="I1515" i="19"/>
  <c r="I1238" i="19"/>
  <c r="I1584" i="19"/>
  <c r="I1341" i="19"/>
  <c r="I932" i="19"/>
  <c r="I1184" i="19"/>
  <c r="I1489" i="19"/>
  <c r="I1338" i="19"/>
  <c r="I1117" i="19"/>
  <c r="I1088" i="19"/>
  <c r="I1382" i="19"/>
  <c r="I1096" i="19"/>
  <c r="I1348" i="19"/>
  <c r="I1030" i="19"/>
  <c r="I1288" i="19"/>
  <c r="I1034" i="19"/>
  <c r="I1222" i="19"/>
  <c r="I1247" i="19"/>
  <c r="I1105" i="19"/>
  <c r="I1118" i="19"/>
  <c r="I1567" i="19"/>
  <c r="I1103" i="19"/>
  <c r="I1534" i="19"/>
  <c r="I1419" i="19"/>
  <c r="I1069" i="19"/>
  <c r="I1501" i="19"/>
  <c r="I1410" i="19"/>
  <c r="I958" i="19"/>
  <c r="I1072" i="19"/>
  <c r="I1385" i="19"/>
  <c r="I1217" i="19"/>
  <c r="I1075" i="19"/>
  <c r="I917" i="19"/>
  <c r="I1445" i="19"/>
  <c r="I1520" i="19"/>
  <c r="I1332" i="19"/>
  <c r="I1202" i="19"/>
  <c r="I1074" i="19"/>
  <c r="I1455" i="19"/>
  <c r="I1569" i="19"/>
  <c r="I1255" i="19"/>
  <c r="I1033" i="19"/>
  <c r="I1331" i="19"/>
  <c r="I1061" i="19"/>
  <c r="I1370" i="19"/>
  <c r="I978" i="19"/>
  <c r="I1166" i="19"/>
  <c r="I962" i="19"/>
  <c r="I1311" i="19"/>
  <c r="I1374" i="19"/>
  <c r="I1294" i="19"/>
  <c r="I1018" i="19"/>
  <c r="I1353" i="19"/>
  <c r="I1209" i="19"/>
  <c r="I997" i="19"/>
  <c r="I1340" i="19"/>
  <c r="I1180" i="19"/>
  <c r="I1000" i="19"/>
  <c r="I1469" i="19"/>
  <c r="I1245" i="19"/>
  <c r="I1456" i="19"/>
  <c r="I1130" i="19"/>
  <c r="I1020" i="19"/>
  <c r="I1570" i="19"/>
  <c r="I1506" i="19"/>
  <c r="I1150" i="19"/>
  <c r="I1415" i="19"/>
  <c r="I1239" i="19"/>
  <c r="I1161" i="19"/>
  <c r="I1089" i="19"/>
  <c r="I979" i="19"/>
  <c r="I1537" i="19"/>
  <c r="I1160" i="19"/>
  <c r="I1056" i="19"/>
  <c r="I1181" i="19"/>
  <c r="I993" i="19"/>
  <c r="I1559" i="19"/>
  <c r="I1495" i="19"/>
  <c r="I1040" i="19"/>
  <c r="I1292" i="19"/>
  <c r="I1158" i="19"/>
  <c r="I1590" i="19"/>
  <c r="I1526" i="19"/>
  <c r="I1261" i="19"/>
  <c r="I1395" i="19"/>
  <c r="I1235" i="19"/>
  <c r="I1053" i="19"/>
  <c r="I943" i="19"/>
  <c r="I1557" i="19"/>
  <c r="I1009" i="19"/>
  <c r="I1386" i="19"/>
  <c r="I926" i="19"/>
  <c r="I1193" i="19"/>
  <c r="I1587" i="19"/>
  <c r="I916" i="19"/>
  <c r="I1356" i="19"/>
  <c r="I1540" i="19"/>
  <c r="I1414" i="19"/>
  <c r="I1268" i="19"/>
  <c r="I918" i="19"/>
  <c r="I948" i="19"/>
  <c r="I1014" i="19"/>
  <c r="I1432" i="19"/>
  <c r="I1328" i="19"/>
  <c r="I1176" i="19"/>
  <c r="I1050" i="19"/>
  <c r="I1274" i="19"/>
  <c r="I1552" i="19"/>
  <c r="I1351" i="19"/>
  <c r="I1032" i="19"/>
  <c r="I1545" i="19"/>
  <c r="I1457" i="19"/>
  <c r="I1163" i="19"/>
  <c r="I1079" i="19"/>
  <c r="I1447" i="19"/>
  <c r="I931" i="19"/>
  <c r="I1367" i="19"/>
  <c r="I921" i="19"/>
  <c r="I1275" i="19"/>
  <c r="I1194" i="19"/>
  <c r="I1314" i="19"/>
  <c r="I1064" i="19"/>
  <c r="I1080" i="19"/>
  <c r="I1120" i="19"/>
  <c r="I1446" i="19"/>
  <c r="I1342" i="19"/>
  <c r="I1190" i="19"/>
  <c r="I1322" i="19"/>
  <c r="I1337" i="19"/>
  <c r="I1177" i="19"/>
  <c r="I973" i="19"/>
  <c r="I1316" i="19"/>
  <c r="I1134" i="19"/>
  <c r="I968" i="19"/>
  <c r="I1421" i="19"/>
  <c r="I1189" i="19"/>
  <c r="I1376" i="19"/>
  <c r="I1248" i="19"/>
  <c r="I1114" i="19"/>
  <c r="I980" i="19"/>
  <c r="I1554" i="19"/>
  <c r="I1490" i="19"/>
  <c r="I976" i="19"/>
  <c r="I1399" i="19"/>
  <c r="I1207" i="19"/>
  <c r="I1145" i="19"/>
  <c r="I1073" i="19"/>
  <c r="I955" i="19"/>
  <c r="I1300" i="19"/>
  <c r="I986" i="19"/>
  <c r="I1437" i="19"/>
  <c r="I1119" i="19"/>
  <c r="I969" i="19"/>
  <c r="I1543" i="19"/>
  <c r="I1479" i="19"/>
  <c r="I1444" i="19"/>
  <c r="I1260" i="19"/>
  <c r="I1110" i="19"/>
  <c r="I1574" i="19"/>
  <c r="I1510" i="19"/>
  <c r="I1086" i="19"/>
  <c r="I1371" i="19"/>
  <c r="I1203" i="19"/>
  <c r="I1015" i="19"/>
  <c r="I927" i="19"/>
  <c r="I1541" i="19"/>
  <c r="I1477" i="19"/>
  <c r="I1450" i="19"/>
  <c r="I1330" i="19"/>
  <c r="I1148" i="19"/>
  <c r="I1548" i="19"/>
  <c r="I1441" i="19"/>
  <c r="I1305" i="19"/>
  <c r="I1139" i="19"/>
  <c r="I1035" i="19"/>
  <c r="I1571" i="19"/>
  <c r="I1507" i="19"/>
  <c r="I1151" i="19"/>
  <c r="I1147" i="19"/>
  <c r="I1169" i="19"/>
  <c r="I1276" i="19"/>
  <c r="I1102" i="19"/>
  <c r="I960" i="19"/>
  <c r="I1357" i="19"/>
  <c r="I1173" i="19"/>
  <c r="I1368" i="19"/>
  <c r="I1232" i="19"/>
  <c r="I1106" i="19"/>
  <c r="I972" i="19"/>
  <c r="I1546" i="19"/>
  <c r="I1482" i="19"/>
  <c r="I1505" i="19"/>
  <c r="I1327" i="19"/>
  <c r="I1199" i="19"/>
  <c r="I1137" i="19"/>
  <c r="I1065" i="19"/>
  <c r="I947" i="19"/>
  <c r="I1127" i="19"/>
  <c r="I1544" i="19"/>
  <c r="I1413" i="19"/>
  <c r="I1095" i="19"/>
  <c r="I945" i="19"/>
  <c r="I1535" i="19"/>
  <c r="I1470" i="19"/>
  <c r="I1436" i="19"/>
  <c r="I1252" i="19"/>
  <c r="I1078" i="19"/>
  <c r="I1566" i="19"/>
  <c r="I1502" i="19"/>
  <c r="I1031" i="19"/>
  <c r="I1363" i="19"/>
  <c r="I1179" i="19"/>
  <c r="I1007" i="19"/>
  <c r="I919" i="19"/>
  <c r="I1533" i="19"/>
  <c r="I1461" i="19"/>
  <c r="I1442" i="19"/>
  <c r="I1266" i="19"/>
  <c r="I1076" i="19"/>
  <c r="I1476" i="19"/>
  <c r="I1425" i="19"/>
  <c r="I1257" i="19"/>
  <c r="I1123" i="19"/>
  <c r="I1021" i="19"/>
  <c r="I1563" i="19"/>
  <c r="I1499" i="19"/>
  <c r="I1071" i="19"/>
  <c r="I1384" i="19"/>
  <c r="I1297" i="19"/>
  <c r="I1049" i="19"/>
  <c r="I1182" i="19"/>
  <c r="I1013" i="19"/>
  <c r="I1561" i="19"/>
  <c r="I1405" i="19"/>
  <c r="I1029" i="19"/>
  <c r="I1312" i="19"/>
  <c r="I1116" i="19"/>
  <c r="I1016" i="19"/>
  <c r="I1273" i="19"/>
  <c r="I1259" i="19"/>
  <c r="I1430" i="19"/>
  <c r="I1524" i="19"/>
  <c r="I952" i="19"/>
  <c r="I1313" i="19"/>
  <c r="I1373" i="19"/>
  <c r="I1055" i="19"/>
  <c r="I929" i="19"/>
  <c r="I1527" i="19"/>
  <c r="I1412" i="19"/>
  <c r="I1428" i="19"/>
  <c r="I1244" i="19"/>
  <c r="I1054" i="19"/>
  <c r="I1558" i="19"/>
  <c r="I1494" i="19"/>
  <c r="I1459" i="19"/>
  <c r="I1323" i="19"/>
  <c r="I1171" i="19"/>
  <c r="I991" i="19"/>
  <c r="I1589" i="19"/>
  <c r="I1525" i="19"/>
  <c r="I1398" i="19"/>
  <c r="I1434" i="19"/>
  <c r="I1258" i="19"/>
  <c r="I1068" i="19"/>
  <c r="I1452" i="19"/>
  <c r="I1417" i="19"/>
  <c r="I1249" i="19"/>
  <c r="I1115" i="19"/>
  <c r="I1005" i="19"/>
  <c r="I1555" i="19"/>
  <c r="I1491" i="19"/>
  <c r="I985" i="19"/>
  <c r="I1516" i="19"/>
  <c r="I1044" i="19"/>
  <c r="I1240" i="19"/>
  <c r="I1488" i="19"/>
  <c r="I1251" i="19"/>
  <c r="I1431" i="19"/>
  <c r="I1394" i="19"/>
  <c r="I1359" i="19"/>
  <c r="I1369" i="19"/>
  <c r="I1188" i="19"/>
  <c r="I1269" i="19"/>
  <c r="I1146" i="19"/>
  <c r="I1514" i="19"/>
  <c r="I1167" i="19"/>
  <c r="I1246" i="19"/>
  <c r="I1213" i="19"/>
  <c r="I1503" i="19"/>
  <c r="I1164" i="19"/>
  <c r="I1349" i="19"/>
  <c r="I959" i="19"/>
  <c r="I1172" i="19"/>
  <c r="I1210" i="19"/>
  <c r="I1027" i="19"/>
  <c r="I1468" i="19"/>
  <c r="I966" i="19"/>
  <c r="I1124" i="19"/>
  <c r="I1224" i="19"/>
  <c r="I1472" i="19"/>
  <c r="I1227" i="19"/>
  <c r="I1423" i="19"/>
  <c r="I941" i="19"/>
  <c r="I1250" i="19"/>
  <c r="I990" i="19"/>
  <c r="I1168" i="19"/>
  <c r="I949" i="19"/>
  <c r="I1529" i="19"/>
  <c r="I1133" i="19"/>
  <c r="I1157" i="19"/>
  <c r="I1335" i="19"/>
  <c r="I1140" i="19"/>
  <c r="I970" i="19"/>
  <c r="I1278" i="19"/>
  <c r="I1174" i="19"/>
  <c r="I1290" i="19"/>
  <c r="I1504" i="19"/>
  <c r="I1396" i="19"/>
  <c r="I999" i="19"/>
  <c r="I1416" i="19"/>
  <c r="I1162" i="19"/>
  <c r="I1560" i="19"/>
  <c r="I1287" i="19"/>
  <c r="I1355" i="19"/>
  <c r="I1185" i="19"/>
  <c r="I1319" i="19"/>
  <c r="I1211" i="19"/>
  <c r="I1218" i="19"/>
  <c r="I954" i="19"/>
  <c r="I1136" i="19"/>
  <c r="I1326" i="19"/>
  <c r="I974" i="19"/>
  <c r="I1131" i="19"/>
  <c r="I1220" i="19"/>
  <c r="I1094" i="19"/>
  <c r="I944" i="19"/>
  <c r="I1325" i="19"/>
  <c r="I1159" i="19"/>
  <c r="I1360" i="19"/>
  <c r="I1216" i="19"/>
  <c r="I956" i="19"/>
  <c r="I1538" i="19"/>
  <c r="I1474" i="19"/>
  <c r="I1381" i="19"/>
  <c r="I1295" i="19"/>
  <c r="I1191" i="19"/>
  <c r="I1129" i="19"/>
  <c r="I1057" i="19"/>
  <c r="I923" i="19"/>
  <c r="I1454" i="19"/>
  <c r="I1365" i="19"/>
  <c r="I1025" i="19"/>
  <c r="I1576" i="19"/>
  <c r="I1051" i="19"/>
  <c r="I1508" i="19"/>
  <c r="I1387" i="19"/>
  <c r="I1084" i="19"/>
  <c r="I1556" i="19"/>
  <c r="I951" i="19"/>
  <c r="I983" i="19"/>
  <c r="I1400" i="19"/>
  <c r="I1264" i="19"/>
  <c r="I1154" i="19"/>
  <c r="I1004" i="19"/>
  <c r="I1536" i="19"/>
  <c r="I1001" i="19"/>
  <c r="I971" i="19"/>
  <c r="I1438" i="19"/>
  <c r="I1513" i="19"/>
  <c r="I1315" i="19"/>
  <c r="I1085" i="19"/>
  <c r="I925" i="19"/>
  <c r="I1271" i="19"/>
  <c r="I1282" i="19"/>
  <c r="I1019" i="19"/>
  <c r="I1403" i="19"/>
  <c r="I1187" i="19"/>
  <c r="I982" i="19"/>
  <c r="I1170" i="19"/>
  <c r="I1109" i="19"/>
  <c r="I1262" i="19"/>
  <c r="I994" i="19"/>
  <c r="I1406" i="19"/>
  <c r="I1318" i="19"/>
  <c r="I1144" i="19"/>
  <c r="I1433" i="19"/>
  <c r="I1289" i="19"/>
  <c r="I1091" i="19"/>
  <c r="I1388" i="19"/>
  <c r="I1212" i="19"/>
  <c r="I1062" i="19"/>
  <c r="I928" i="19"/>
  <c r="I1293" i="19"/>
  <c r="I1135" i="19"/>
  <c r="I1344" i="19"/>
  <c r="I1208" i="19"/>
  <c r="I1082" i="19"/>
  <c r="I940" i="19"/>
  <c r="I1530" i="19"/>
  <c r="I1389" i="19"/>
  <c r="I1063" i="19"/>
  <c r="I1279" i="19"/>
  <c r="I1183" i="19"/>
  <c r="I1121" i="19"/>
  <c r="I1041" i="19"/>
  <c r="I1585" i="19"/>
  <c r="I1358" i="19"/>
  <c r="I1285" i="19"/>
  <c r="I1301" i="19"/>
  <c r="I1047" i="19"/>
  <c r="I1583" i="19"/>
  <c r="I1519" i="19"/>
  <c r="I1364" i="19"/>
  <c r="I1404" i="19"/>
  <c r="I1236" i="19"/>
  <c r="I1038" i="19"/>
  <c r="I1550" i="19"/>
  <c r="I1486" i="19"/>
  <c r="I1435" i="19"/>
  <c r="I1307" i="19"/>
  <c r="I1149" i="19"/>
  <c r="I975" i="19"/>
  <c r="I1581" i="19"/>
  <c r="I1517" i="19"/>
  <c r="I1333" i="19"/>
  <c r="I1426" i="19"/>
  <c r="I1234" i="19"/>
  <c r="I1036" i="19"/>
  <c r="I1397" i="19"/>
  <c r="I1409" i="19"/>
  <c r="I1233" i="19"/>
  <c r="I1107" i="19"/>
  <c r="I957" i="19"/>
  <c r="I1547" i="19"/>
  <c r="I1483" i="19"/>
  <c r="I998" i="19"/>
  <c r="I1429" i="19"/>
  <c r="I1339" i="19"/>
  <c r="I1302" i="19"/>
  <c r="I1111" i="19"/>
  <c r="I920" i="19"/>
  <c r="I1565" i="19"/>
  <c r="I1572" i="19"/>
  <c r="I1006" i="19"/>
  <c r="I1352" i="19"/>
  <c r="I1496" i="19"/>
  <c r="I1420" i="19"/>
  <c r="I1473" i="19"/>
  <c r="I950" i="19"/>
  <c r="I1568" i="19"/>
  <c r="I1532" i="19"/>
  <c r="I1100" i="19"/>
  <c r="I1424" i="19"/>
  <c r="I1042" i="19"/>
  <c r="I1343" i="19"/>
  <c r="I1443" i="19"/>
  <c r="I1375" i="19"/>
  <c r="I1298" i="19"/>
  <c r="I1306" i="19"/>
  <c r="I1010" i="19"/>
  <c r="I1334" i="19"/>
  <c r="I1329" i="19"/>
  <c r="I1026" i="19"/>
  <c r="I1283" i="19"/>
  <c r="I1221" i="19"/>
  <c r="I924" i="19"/>
  <c r="I1492" i="19"/>
  <c r="I1304" i="19"/>
  <c r="I1012" i="19"/>
  <c r="I1362" i="19"/>
  <c r="I1521" i="19"/>
  <c r="I1093" i="19"/>
  <c r="I1303" i="19"/>
  <c r="I1125" i="19"/>
  <c r="I1451" i="19"/>
  <c r="I1052" i="19"/>
  <c r="I922" i="19"/>
  <c r="I1422" i="19"/>
  <c r="I1152" i="19"/>
  <c r="I981" i="19"/>
  <c r="I1098" i="19"/>
  <c r="I1024" i="19"/>
  <c r="I1512" i="19"/>
  <c r="I1083" i="19"/>
  <c r="I1500" i="19"/>
  <c r="I1378" i="19"/>
  <c r="I1092" i="19"/>
  <c r="I1108" i="19"/>
  <c r="I964" i="19"/>
  <c r="I1132" i="19"/>
  <c r="I1392" i="19"/>
  <c r="I1256" i="19"/>
  <c r="I1138" i="19"/>
  <c r="I988" i="19"/>
  <c r="I1528" i="19"/>
  <c r="I1028" i="19"/>
  <c r="I939" i="19"/>
  <c r="I1186" i="19"/>
  <c r="I1497" i="19"/>
  <c r="I1291" i="19"/>
  <c r="I1143" i="19"/>
  <c r="I1411" i="19"/>
  <c r="I1231" i="19"/>
  <c r="I1471" i="19"/>
  <c r="I995" i="19"/>
  <c r="I1347" i="19"/>
  <c r="I1141" i="19"/>
  <c r="I1458" i="19"/>
  <c r="I1230" i="19"/>
  <c r="I1206" i="19"/>
  <c r="I1112" i="19"/>
  <c r="I946" i="19"/>
  <c r="I1390" i="19"/>
  <c r="I1310" i="19"/>
  <c r="I1128" i="19"/>
  <c r="I1377" i="19"/>
  <c r="I1281" i="19"/>
  <c r="I1043" i="19"/>
  <c r="I1372" i="19"/>
  <c r="I1196" i="19"/>
  <c r="I1046" i="19"/>
  <c r="I1467" i="19"/>
  <c r="I1277" i="19"/>
  <c r="I937" i="19"/>
  <c r="I1296" i="19"/>
  <c r="I1192" i="19"/>
  <c r="I1058" i="19"/>
  <c r="I1586" i="19"/>
  <c r="I1522" i="19"/>
  <c r="I1309" i="19"/>
  <c r="I1463" i="19"/>
  <c r="I1263" i="19"/>
  <c r="I1175" i="19"/>
  <c r="I1113" i="19"/>
  <c r="I1011" i="19"/>
  <c r="I1577" i="19"/>
  <c r="I1350" i="19"/>
  <c r="I1205" i="19"/>
  <c r="I1229" i="19"/>
  <c r="I1039" i="19"/>
  <c r="I1575" i="19"/>
  <c r="I1511" i="19"/>
  <c r="I1204" i="19"/>
  <c r="I1380" i="19"/>
  <c r="I1228" i="19"/>
  <c r="I992" i="19"/>
  <c r="I1542" i="19"/>
  <c r="I1478" i="19"/>
  <c r="I1427" i="19"/>
  <c r="I1267" i="19"/>
  <c r="I1101" i="19"/>
  <c r="I967" i="19"/>
  <c r="I1573" i="19"/>
  <c r="I1509" i="19"/>
  <c r="I1254" i="19"/>
  <c r="I1418" i="19"/>
  <c r="I1226" i="19"/>
  <c r="I1022" i="19"/>
  <c r="I1253" i="19"/>
  <c r="I1401" i="19"/>
  <c r="I1225" i="19"/>
  <c r="I1099" i="19"/>
  <c r="I933" i="19"/>
  <c r="I1539" i="19"/>
  <c r="I1475" i="19"/>
  <c r="F352" i="1"/>
  <c r="F352" i="32" l="1"/>
  <c r="F352" i="31"/>
  <c r="G352" i="1"/>
  <c r="F352" i="19"/>
  <c r="G352" i="32" l="1"/>
  <c r="G352" i="31"/>
  <c r="G348" i="1"/>
  <c r="G352" i="19"/>
  <c r="F478" i="1"/>
  <c r="F472" i="1"/>
  <c r="F430" i="1"/>
  <c r="F370" i="1"/>
  <c r="F370" i="32" l="1"/>
  <c r="F370" i="31"/>
  <c r="F472" i="32"/>
  <c r="F472" i="31"/>
  <c r="F478" i="32"/>
  <c r="F478" i="31"/>
  <c r="F430" i="32"/>
  <c r="F430" i="31"/>
  <c r="G348" i="32"/>
  <c r="G348" i="31"/>
  <c r="I348" i="1"/>
  <c r="F430" i="19"/>
  <c r="G348" i="19"/>
  <c r="G430" i="1"/>
  <c r="G370" i="1"/>
  <c r="F370" i="19"/>
  <c r="G478" i="1"/>
  <c r="F478" i="19"/>
  <c r="G472" i="1"/>
  <c r="F472" i="19"/>
  <c r="G478" i="32" l="1"/>
  <c r="G478" i="31"/>
  <c r="G430" i="32"/>
  <c r="G430" i="31"/>
  <c r="G472" i="32"/>
  <c r="G472" i="31"/>
  <c r="I348" i="32"/>
  <c r="I348" i="31"/>
  <c r="G370" i="32"/>
  <c r="G370" i="31"/>
  <c r="I348" i="19"/>
  <c r="G370" i="19"/>
  <c r="G468" i="1"/>
  <c r="G426" i="1"/>
  <c r="G430" i="19"/>
  <c r="G474" i="1"/>
  <c r="G478" i="19"/>
  <c r="G472" i="19"/>
  <c r="G366" i="1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7" i="2"/>
  <c r="L56" i="2"/>
  <c r="L55" i="2"/>
  <c r="L54" i="2"/>
  <c r="L52" i="2"/>
  <c r="L51" i="2"/>
  <c r="L45" i="2"/>
  <c r="L44" i="2"/>
  <c r="L43" i="2"/>
  <c r="L42" i="2"/>
  <c r="L41" i="2"/>
  <c r="L40" i="2"/>
  <c r="L39" i="2"/>
  <c r="L38" i="2"/>
  <c r="L37" i="2"/>
  <c r="L36" i="2"/>
  <c r="L35" i="2"/>
  <c r="L34" i="2"/>
  <c r="L28" i="2"/>
  <c r="L27" i="2"/>
  <c r="L26" i="2"/>
  <c r="L25" i="2"/>
  <c r="L24" i="2"/>
  <c r="L23" i="2"/>
  <c r="L22" i="2"/>
  <c r="L21" i="2"/>
  <c r="L16" i="2"/>
  <c r="L15" i="2"/>
  <c r="L14" i="2"/>
  <c r="L13" i="2"/>
  <c r="L12" i="2"/>
  <c r="L11" i="2"/>
  <c r="L10" i="2"/>
  <c r="L9" i="2"/>
  <c r="I2427" i="1"/>
  <c r="I2428" i="1"/>
  <c r="I2429" i="1"/>
  <c r="I2430" i="1"/>
  <c r="I2432" i="1"/>
  <c r="I2433" i="1"/>
  <c r="I2434" i="1"/>
  <c r="I2435" i="1"/>
  <c r="I2436" i="1"/>
  <c r="I2438" i="1"/>
  <c r="I2439" i="1"/>
  <c r="I2440" i="1"/>
  <c r="I2441" i="1"/>
  <c r="I2442" i="1"/>
  <c r="I2444" i="1"/>
  <c r="I2445" i="1"/>
  <c r="I2446" i="1"/>
  <c r="I2447" i="1"/>
  <c r="I2448" i="1"/>
  <c r="I2450" i="1"/>
  <c r="I2451" i="1"/>
  <c r="I2452" i="1"/>
  <c r="I2453" i="1"/>
  <c r="I2454" i="1"/>
  <c r="I2456" i="1"/>
  <c r="I2457" i="1"/>
  <c r="I2458" i="1"/>
  <c r="I2459" i="1"/>
  <c r="I2460" i="1"/>
  <c r="I2462" i="1"/>
  <c r="I2463" i="1"/>
  <c r="I2464" i="1"/>
  <c r="I2465" i="1"/>
  <c r="I2037" i="1"/>
  <c r="I2038" i="1"/>
  <c r="I2039" i="1"/>
  <c r="F616" i="1"/>
  <c r="F615" i="1"/>
  <c r="F614" i="1"/>
  <c r="F611" i="1"/>
  <c r="F610" i="1"/>
  <c r="F609" i="1"/>
  <c r="F606" i="1"/>
  <c r="F605" i="1"/>
  <c r="F604" i="1"/>
  <c r="F601" i="1"/>
  <c r="F600" i="1"/>
  <c r="F599" i="1"/>
  <c r="F597" i="1"/>
  <c r="F596" i="1"/>
  <c r="F595" i="1"/>
  <c r="F594" i="1"/>
  <c r="F616" i="32" l="1"/>
  <c r="F616" i="31"/>
  <c r="F595" i="32"/>
  <c r="F595" i="31"/>
  <c r="F614" i="32"/>
  <c r="F614" i="31"/>
  <c r="F596" i="32"/>
  <c r="F596" i="31"/>
  <c r="F601" i="32"/>
  <c r="F601" i="31"/>
  <c r="F604" i="32"/>
  <c r="F604" i="31"/>
  <c r="F605" i="32"/>
  <c r="F605" i="31"/>
  <c r="F606" i="32"/>
  <c r="F606" i="31"/>
  <c r="F609" i="32"/>
  <c r="F609" i="31"/>
  <c r="F610" i="32"/>
  <c r="F610" i="31"/>
  <c r="F615" i="32"/>
  <c r="F615" i="31"/>
  <c r="F594" i="31"/>
  <c r="F594" i="32"/>
  <c r="F597" i="32"/>
  <c r="F597" i="31"/>
  <c r="F599" i="32"/>
  <c r="F599" i="31"/>
  <c r="F600" i="32"/>
  <c r="F600" i="31"/>
  <c r="F611" i="32"/>
  <c r="F611" i="31"/>
  <c r="I2465" i="32"/>
  <c r="I2465" i="31"/>
  <c r="I2456" i="32"/>
  <c r="I2456" i="31"/>
  <c r="I2446" i="32"/>
  <c r="I2446" i="31"/>
  <c r="I2436" i="32"/>
  <c r="I2436" i="31"/>
  <c r="I2427" i="32"/>
  <c r="I2427" i="31"/>
  <c r="I2454" i="32"/>
  <c r="I2454" i="31"/>
  <c r="I2445" i="32"/>
  <c r="I2445" i="31"/>
  <c r="I2435" i="32"/>
  <c r="I2435" i="31"/>
  <c r="G468" i="32"/>
  <c r="G468" i="31"/>
  <c r="I2464" i="32"/>
  <c r="I2464" i="31"/>
  <c r="I2463" i="32"/>
  <c r="I2463" i="31"/>
  <c r="I2453" i="32"/>
  <c r="I2453" i="31"/>
  <c r="I2444" i="32"/>
  <c r="I2444" i="31"/>
  <c r="I2434" i="32"/>
  <c r="I2434" i="31"/>
  <c r="G474" i="32"/>
  <c r="G474" i="31"/>
  <c r="I2462" i="32"/>
  <c r="I2462" i="31"/>
  <c r="I2452" i="32"/>
  <c r="I2452" i="31"/>
  <c r="I2442" i="32"/>
  <c r="I2442" i="31"/>
  <c r="I2433" i="32"/>
  <c r="I2433" i="31"/>
  <c r="I2460" i="32"/>
  <c r="I2460" i="31"/>
  <c r="I2451" i="32"/>
  <c r="I2451" i="31"/>
  <c r="I2441" i="32"/>
  <c r="I2441" i="31"/>
  <c r="I2432" i="32"/>
  <c r="I2432" i="31"/>
  <c r="I2039" i="32"/>
  <c r="I2039" i="31"/>
  <c r="I2459" i="32"/>
  <c r="I2459" i="31"/>
  <c r="I2450" i="32"/>
  <c r="I2450" i="31"/>
  <c r="I2440" i="32"/>
  <c r="I2440" i="31"/>
  <c r="I2430" i="32"/>
  <c r="I2430" i="31"/>
  <c r="I2038" i="32"/>
  <c r="I2038" i="31"/>
  <c r="I2458" i="32"/>
  <c r="I2458" i="31"/>
  <c r="I2448" i="32"/>
  <c r="I2448" i="31"/>
  <c r="I2439" i="32"/>
  <c r="I2439" i="31"/>
  <c r="I2429" i="32"/>
  <c r="I2429" i="31"/>
  <c r="G366" i="32"/>
  <c r="G366" i="31"/>
  <c r="G426" i="32"/>
  <c r="G426" i="31"/>
  <c r="I2037" i="32"/>
  <c r="I2037" i="31"/>
  <c r="I2457" i="32"/>
  <c r="I2457" i="31"/>
  <c r="I2447" i="32"/>
  <c r="I2447" i="31"/>
  <c r="I2438" i="32"/>
  <c r="I2438" i="31"/>
  <c r="I2428" i="32"/>
  <c r="I2428" i="31"/>
  <c r="G468" i="19"/>
  <c r="I426" i="1"/>
  <c r="I474" i="1"/>
  <c r="G426" i="19"/>
  <c r="G366" i="19"/>
  <c r="G474" i="19"/>
  <c r="G599" i="1"/>
  <c r="F599" i="19"/>
  <c r="G614" i="1"/>
  <c r="F614" i="19"/>
  <c r="G594" i="1"/>
  <c r="F594" i="19"/>
  <c r="G597" i="1"/>
  <c r="F597" i="19"/>
  <c r="G610" i="1"/>
  <c r="F610" i="19"/>
  <c r="G615" i="1"/>
  <c r="F615" i="19"/>
  <c r="G604" i="1"/>
  <c r="F604" i="19"/>
  <c r="G616" i="1"/>
  <c r="F616" i="19"/>
  <c r="G605" i="1"/>
  <c r="F605" i="19"/>
  <c r="G611" i="1"/>
  <c r="F611" i="19"/>
  <c r="G595" i="1"/>
  <c r="F595" i="19"/>
  <c r="G606" i="1"/>
  <c r="F606" i="19"/>
  <c r="G600" i="1"/>
  <c r="F600" i="19"/>
  <c r="G601" i="1"/>
  <c r="F601" i="19"/>
  <c r="G596" i="1"/>
  <c r="F596" i="19"/>
  <c r="G609" i="1"/>
  <c r="F609" i="19"/>
  <c r="I2465" i="19"/>
  <c r="I2456" i="19"/>
  <c r="I2446" i="19"/>
  <c r="I2436" i="19"/>
  <c r="I2427" i="19"/>
  <c r="I2445" i="19"/>
  <c r="I2435" i="19"/>
  <c r="I2463" i="19"/>
  <c r="I2453" i="19"/>
  <c r="I2444" i="19"/>
  <c r="I2434" i="19"/>
  <c r="I2462" i="19"/>
  <c r="I2452" i="19"/>
  <c r="I2442" i="19"/>
  <c r="I2433" i="19"/>
  <c r="I2460" i="19"/>
  <c r="I2451" i="19"/>
  <c r="I2441" i="19"/>
  <c r="I2432" i="19"/>
  <c r="I2039" i="19"/>
  <c r="I2459" i="19"/>
  <c r="I2450" i="19"/>
  <c r="I2440" i="19"/>
  <c r="I2430" i="19"/>
  <c r="I2454" i="19"/>
  <c r="I2038" i="19"/>
  <c r="I2458" i="19"/>
  <c r="I2448" i="19"/>
  <c r="I2439" i="19"/>
  <c r="I2429" i="19"/>
  <c r="I2464" i="19"/>
  <c r="I2037" i="19"/>
  <c r="I2457" i="19"/>
  <c r="I2447" i="19"/>
  <c r="I2438" i="19"/>
  <c r="I2428" i="19"/>
  <c r="G609" i="32" l="1"/>
  <c r="G609" i="31"/>
  <c r="G616" i="32"/>
  <c r="G616" i="31"/>
  <c r="G600" i="32"/>
  <c r="G600" i="31"/>
  <c r="G610" i="32"/>
  <c r="G610" i="31"/>
  <c r="G611" i="32"/>
  <c r="G611" i="31"/>
  <c r="G614" i="32"/>
  <c r="G614" i="31"/>
  <c r="G596" i="19"/>
  <c r="G596" i="32"/>
  <c r="G596" i="31"/>
  <c r="G604" i="32"/>
  <c r="G604" i="31"/>
  <c r="G606" i="32"/>
  <c r="G606" i="31"/>
  <c r="G597" i="32"/>
  <c r="G597" i="31"/>
  <c r="G605" i="32"/>
  <c r="G605" i="31"/>
  <c r="G599" i="32"/>
  <c r="G599" i="31"/>
  <c r="G601" i="19"/>
  <c r="G601" i="32"/>
  <c r="G601" i="31"/>
  <c r="G615" i="32"/>
  <c r="G615" i="31"/>
  <c r="I474" i="32"/>
  <c r="I474" i="31"/>
  <c r="I426" i="32"/>
  <c r="I426" i="31"/>
  <c r="G595" i="32"/>
  <c r="G595" i="31"/>
  <c r="G594" i="19"/>
  <c r="G594" i="32"/>
  <c r="G594" i="31"/>
  <c r="I474" i="19"/>
  <c r="G611" i="19"/>
  <c r="G595" i="19"/>
  <c r="G614" i="19"/>
  <c r="I426" i="19"/>
  <c r="G610" i="19"/>
  <c r="G613" i="1"/>
  <c r="G615" i="19"/>
  <c r="G609" i="19"/>
  <c r="G599" i="19"/>
  <c r="G616" i="19"/>
  <c r="G593" i="1"/>
  <c r="G604" i="19"/>
  <c r="G598" i="1"/>
  <c r="G608" i="1"/>
  <c r="G600" i="19"/>
  <c r="G605" i="19"/>
  <c r="G606" i="19"/>
  <c r="G597" i="19"/>
  <c r="G603" i="1"/>
  <c r="I1823" i="1"/>
  <c r="I1799" i="1"/>
  <c r="I1835" i="1"/>
  <c r="I1755" i="1"/>
  <c r="I1752" i="1"/>
  <c r="I1746" i="1"/>
  <c r="I1740" i="1"/>
  <c r="I1743" i="1"/>
  <c r="I1831" i="1"/>
  <c r="I1749" i="1"/>
  <c r="I1827" i="1"/>
  <c r="I1815" i="1"/>
  <c r="I1819" i="1"/>
  <c r="G598" i="32" l="1"/>
  <c r="G598" i="31"/>
  <c r="I1815" i="32"/>
  <c r="I1815" i="31"/>
  <c r="G593" i="32"/>
  <c r="G593" i="31"/>
  <c r="I1755" i="32"/>
  <c r="I1755" i="31"/>
  <c r="I1827" i="32"/>
  <c r="I1827" i="31"/>
  <c r="I1835" i="32"/>
  <c r="I1835" i="31"/>
  <c r="I1752" i="32"/>
  <c r="I1752" i="31"/>
  <c r="I1799" i="32"/>
  <c r="I1799" i="31"/>
  <c r="G613" i="32"/>
  <c r="G613" i="31"/>
  <c r="I1823" i="32"/>
  <c r="I1823" i="31"/>
  <c r="I1819" i="32"/>
  <c r="I1819" i="31"/>
  <c r="I1743" i="32"/>
  <c r="I1743" i="31"/>
  <c r="G603" i="32"/>
  <c r="G603" i="31"/>
  <c r="I1746" i="32"/>
  <c r="I1746" i="31"/>
  <c r="I1749" i="32"/>
  <c r="I1749" i="31"/>
  <c r="I1831" i="32"/>
  <c r="I1831" i="31"/>
  <c r="I1740" i="32"/>
  <c r="I1740" i="31"/>
  <c r="G608" i="32"/>
  <c r="G608" i="31"/>
  <c r="G613" i="19"/>
  <c r="G593" i="19"/>
  <c r="G608" i="19"/>
  <c r="G598" i="19"/>
  <c r="G603" i="19"/>
  <c r="I1799" i="19"/>
  <c r="I1823" i="19"/>
  <c r="I1743" i="19"/>
  <c r="I1831" i="19"/>
  <c r="I1746" i="19"/>
  <c r="I1749" i="19"/>
  <c r="I1819" i="19"/>
  <c r="I1752" i="19"/>
  <c r="I1815" i="19"/>
  <c r="I1755" i="19"/>
  <c r="I1740" i="19"/>
  <c r="I1827" i="19"/>
  <c r="I1835" i="19"/>
  <c r="F376" i="1"/>
  <c r="B24" i="14"/>
  <c r="C6" i="14" s="1"/>
  <c r="B13" i="14" s="1"/>
  <c r="C13" i="14"/>
  <c r="B17" i="14" s="1"/>
  <c r="E9" i="32" l="1"/>
  <c r="E9" i="31"/>
  <c r="F376" i="32"/>
  <c r="F376" i="31"/>
  <c r="G376" i="1"/>
  <c r="F376" i="19"/>
  <c r="E9" i="1"/>
  <c r="E9" i="19"/>
  <c r="B15" i="14"/>
  <c r="F400" i="1"/>
  <c r="E10" i="32" l="1"/>
  <c r="E10" i="31"/>
  <c r="F400" i="32"/>
  <c r="F400" i="31"/>
  <c r="G376" i="32"/>
  <c r="G376" i="31"/>
  <c r="J570" i="1"/>
  <c r="J588" i="1"/>
  <c r="J575" i="1"/>
  <c r="J578" i="1"/>
  <c r="J565" i="1"/>
  <c r="J583" i="1"/>
  <c r="J586" i="1"/>
  <c r="J573" i="1"/>
  <c r="J568" i="1"/>
  <c r="J571" i="1"/>
  <c r="J581" i="1"/>
  <c r="J576" i="1"/>
  <c r="J579" i="1"/>
  <c r="J566" i="1"/>
  <c r="J584" i="1"/>
  <c r="J587" i="1"/>
  <c r="J574" i="1"/>
  <c r="J569" i="1"/>
  <c r="J572" i="1"/>
  <c r="J582" i="1"/>
  <c r="J577" i="1"/>
  <c r="J580" i="1"/>
  <c r="J567" i="1"/>
  <c r="J585" i="1"/>
  <c r="G411" i="1"/>
  <c r="G410" i="1"/>
  <c r="G372" i="1"/>
  <c r="G376" i="19"/>
  <c r="G400" i="1"/>
  <c r="F400" i="19"/>
  <c r="E10" i="1"/>
  <c r="E10" i="19"/>
  <c r="F496" i="1"/>
  <c r="F436" i="1"/>
  <c r="F406" i="1"/>
  <c r="F424" i="1"/>
  <c r="F484" i="1"/>
  <c r="F382" i="1"/>
  <c r="J783" i="1" l="1"/>
  <c r="J2469" i="1"/>
  <c r="J2468" i="1"/>
  <c r="J568" i="32"/>
  <c r="J568" i="31"/>
  <c r="J570" i="32"/>
  <c r="J570" i="31"/>
  <c r="F484" i="32"/>
  <c r="F484" i="31"/>
  <c r="G411" i="32"/>
  <c r="G411" i="31"/>
  <c r="J567" i="32"/>
  <c r="J567" i="31"/>
  <c r="J586" i="32"/>
  <c r="J586" i="31"/>
  <c r="J587" i="32"/>
  <c r="J587" i="31"/>
  <c r="F406" i="32"/>
  <c r="F406" i="31"/>
  <c r="G400" i="32"/>
  <c r="G400" i="31"/>
  <c r="J580" i="32"/>
  <c r="J580" i="31"/>
  <c r="J566" i="32"/>
  <c r="J566" i="31"/>
  <c r="J583" i="32"/>
  <c r="J583" i="31"/>
  <c r="J585" i="32"/>
  <c r="J585" i="31"/>
  <c r="J577" i="32"/>
  <c r="J577" i="31"/>
  <c r="J579" i="32"/>
  <c r="J579" i="31"/>
  <c r="J565" i="32"/>
  <c r="J565" i="31"/>
  <c r="J573" i="32"/>
  <c r="J573" i="31"/>
  <c r="F496" i="32"/>
  <c r="F496" i="31"/>
  <c r="G372" i="32"/>
  <c r="G372" i="31"/>
  <c r="J582" i="32"/>
  <c r="J582" i="31"/>
  <c r="J576" i="32"/>
  <c r="J576" i="31"/>
  <c r="J578" i="32"/>
  <c r="J578" i="31"/>
  <c r="F382" i="32"/>
  <c r="F382" i="31"/>
  <c r="F424" i="32"/>
  <c r="F424" i="31"/>
  <c r="F436" i="32"/>
  <c r="F436" i="31"/>
  <c r="J572" i="32"/>
  <c r="J572" i="31"/>
  <c r="J581" i="32"/>
  <c r="J581" i="31"/>
  <c r="J575" i="32"/>
  <c r="J575" i="31"/>
  <c r="J574" i="32"/>
  <c r="J574" i="31"/>
  <c r="J584" i="32"/>
  <c r="J584" i="31"/>
  <c r="G410" i="32"/>
  <c r="G410" i="31"/>
  <c r="J569" i="32"/>
  <c r="J569" i="31"/>
  <c r="J571" i="32"/>
  <c r="J571" i="31"/>
  <c r="J588" i="32"/>
  <c r="J588" i="31"/>
  <c r="J783" i="19"/>
  <c r="I788" i="1"/>
  <c r="J462" i="1"/>
  <c r="I467" i="1"/>
  <c r="J444" i="1"/>
  <c r="J456" i="1"/>
  <c r="J450" i="1"/>
  <c r="I461" i="1"/>
  <c r="I455" i="1"/>
  <c r="F424" i="19"/>
  <c r="I449" i="1"/>
  <c r="J390" i="1"/>
  <c r="I419" i="1"/>
  <c r="I395" i="1"/>
  <c r="J1757" i="1"/>
  <c r="J1745" i="1"/>
  <c r="J840" i="1"/>
  <c r="J171" i="1"/>
  <c r="J161" i="1"/>
  <c r="J1756" i="1"/>
  <c r="J1744" i="1"/>
  <c r="J833" i="1"/>
  <c r="J170" i="1"/>
  <c r="J159" i="1"/>
  <c r="J1754" i="1"/>
  <c r="J820" i="1"/>
  <c r="J169" i="1"/>
  <c r="J158" i="1"/>
  <c r="J1753" i="1"/>
  <c r="J1687" i="1"/>
  <c r="J167" i="1"/>
  <c r="J156" i="1"/>
  <c r="J1751" i="1"/>
  <c r="J638" i="1"/>
  <c r="J166" i="1"/>
  <c r="J155" i="1"/>
  <c r="J1750" i="1"/>
  <c r="J629" i="1"/>
  <c r="J165" i="1"/>
  <c r="J1748" i="1"/>
  <c r="J1707" i="1"/>
  <c r="J163" i="1"/>
  <c r="J1747" i="1"/>
  <c r="J162" i="1"/>
  <c r="J51" i="1"/>
  <c r="J219" i="1"/>
  <c r="J825" i="1"/>
  <c r="J1699" i="1"/>
  <c r="J204" i="1"/>
  <c r="J632" i="1"/>
  <c r="J902" i="1"/>
  <c r="J92" i="1"/>
  <c r="J851" i="1"/>
  <c r="J1716" i="1"/>
  <c r="J214" i="1"/>
  <c r="J828" i="1"/>
  <c r="J1694" i="1"/>
  <c r="J102" i="1"/>
  <c r="J619" i="1"/>
  <c r="J889" i="1"/>
  <c r="J56" i="1"/>
  <c r="J846" i="1"/>
  <c r="J1711" i="1"/>
  <c r="J209" i="1"/>
  <c r="J831" i="1"/>
  <c r="J1697" i="1"/>
  <c r="J113" i="1"/>
  <c r="J630" i="1"/>
  <c r="J1698" i="1"/>
  <c r="J59" i="1"/>
  <c r="J227" i="1"/>
  <c r="J841" i="1"/>
  <c r="J1714" i="1"/>
  <c r="J212" i="1"/>
  <c r="J640" i="1"/>
  <c r="J910" i="1"/>
  <c r="J100" i="1"/>
  <c r="J887" i="1"/>
  <c r="J46" i="1"/>
  <c r="J222" i="1"/>
  <c r="J836" i="1"/>
  <c r="J1702" i="1"/>
  <c r="J110" i="1"/>
  <c r="J627" i="1"/>
  <c r="J897" i="1"/>
  <c r="J64" i="1"/>
  <c r="J882" i="1"/>
  <c r="J1719" i="1"/>
  <c r="J217" i="1"/>
  <c r="J839" i="1"/>
  <c r="J1705" i="1"/>
  <c r="J210" i="1"/>
  <c r="J832" i="1"/>
  <c r="J1706" i="1"/>
  <c r="J67" i="1"/>
  <c r="J849" i="1"/>
  <c r="J52" i="1"/>
  <c r="J220" i="1"/>
  <c r="J826" i="1"/>
  <c r="J1692" i="1"/>
  <c r="J108" i="1"/>
  <c r="J625" i="1"/>
  <c r="J895" i="1"/>
  <c r="J54" i="1"/>
  <c r="J844" i="1"/>
  <c r="J1709" i="1"/>
  <c r="J207" i="1"/>
  <c r="J635" i="1"/>
  <c r="J905" i="1"/>
  <c r="J95" i="1"/>
  <c r="J890" i="1"/>
  <c r="J49" i="1"/>
  <c r="J225" i="1"/>
  <c r="J847" i="1"/>
  <c r="J1712" i="1"/>
  <c r="J218" i="1"/>
  <c r="J848" i="1"/>
  <c r="J1713" i="1"/>
  <c r="J98" i="1"/>
  <c r="J885" i="1"/>
  <c r="J60" i="1"/>
  <c r="J834" i="1"/>
  <c r="J1700" i="1"/>
  <c r="J116" i="1"/>
  <c r="J633" i="1"/>
  <c r="J903" i="1"/>
  <c r="J62" i="1"/>
  <c r="J852" i="1"/>
  <c r="J1717" i="1"/>
  <c r="J215" i="1"/>
  <c r="J643" i="1"/>
  <c r="J1695" i="1"/>
  <c r="J103" i="1"/>
  <c r="J620" i="1"/>
  <c r="J898" i="1"/>
  <c r="J57" i="1"/>
  <c r="J883" i="1"/>
  <c r="J50" i="1"/>
  <c r="J226" i="1"/>
  <c r="J884" i="1"/>
  <c r="J106" i="1"/>
  <c r="J893" i="1"/>
  <c r="J68" i="1"/>
  <c r="J842" i="1"/>
  <c r="J1715" i="1"/>
  <c r="J205" i="1"/>
  <c r="J641" i="1"/>
  <c r="J911" i="1"/>
  <c r="J93" i="1"/>
  <c r="J888" i="1"/>
  <c r="J47" i="1"/>
  <c r="J223" i="1"/>
  <c r="J829" i="1"/>
  <c r="J1703" i="1"/>
  <c r="J111" i="1"/>
  <c r="J628" i="1"/>
  <c r="J906" i="1"/>
  <c r="J65" i="1"/>
  <c r="J891" i="1"/>
  <c r="J58" i="1"/>
  <c r="J892" i="1"/>
  <c r="J114" i="1"/>
  <c r="J623" i="1"/>
  <c r="J901" i="1"/>
  <c r="J99" i="1"/>
  <c r="J850" i="1"/>
  <c r="J45" i="1"/>
  <c r="J213" i="1"/>
  <c r="J827" i="1"/>
  <c r="J1693" i="1"/>
  <c r="J101" i="1"/>
  <c r="J626" i="1"/>
  <c r="J896" i="1"/>
  <c r="J55" i="1"/>
  <c r="J837" i="1"/>
  <c r="J1710" i="1"/>
  <c r="J208" i="1"/>
  <c r="J636" i="1"/>
  <c r="J1688" i="1"/>
  <c r="J96" i="1"/>
  <c r="J899" i="1"/>
  <c r="J66" i="1"/>
  <c r="J900" i="1"/>
  <c r="J203" i="1"/>
  <c r="J631" i="1"/>
  <c r="J909" i="1"/>
  <c r="J107" i="1"/>
  <c r="J886" i="1"/>
  <c r="J53" i="1"/>
  <c r="J221" i="1"/>
  <c r="J835" i="1"/>
  <c r="J1701" i="1"/>
  <c r="J109" i="1"/>
  <c r="J634" i="1"/>
  <c r="J904" i="1"/>
  <c r="J63" i="1"/>
  <c r="J845" i="1"/>
  <c r="J1718" i="1"/>
  <c r="J216" i="1"/>
  <c r="J830" i="1"/>
  <c r="J1696" i="1"/>
  <c r="J104" i="1"/>
  <c r="J621" i="1"/>
  <c r="J907" i="1"/>
  <c r="J97" i="1"/>
  <c r="J908" i="1"/>
  <c r="J211" i="1"/>
  <c r="J639" i="1"/>
  <c r="J1691" i="1"/>
  <c r="J115" i="1"/>
  <c r="J624" i="1"/>
  <c r="J894" i="1"/>
  <c r="J61" i="1"/>
  <c r="J843" i="1"/>
  <c r="J1708" i="1"/>
  <c r="J206" i="1"/>
  <c r="J642" i="1"/>
  <c r="J912" i="1"/>
  <c r="J94" i="1"/>
  <c r="J881" i="1"/>
  <c r="J48" i="1"/>
  <c r="J224" i="1"/>
  <c r="J838" i="1"/>
  <c r="J1704" i="1"/>
  <c r="J112" i="1"/>
  <c r="J637" i="1"/>
  <c r="J1689" i="1"/>
  <c r="J105" i="1"/>
  <c r="J622" i="1"/>
  <c r="J1690" i="1"/>
  <c r="J44" i="1"/>
  <c r="I491" i="1"/>
  <c r="J486" i="1"/>
  <c r="J384" i="1"/>
  <c r="J777" i="1"/>
  <c r="I782" i="1"/>
  <c r="I389" i="1"/>
  <c r="G411" i="19"/>
  <c r="G410" i="19"/>
  <c r="F412" i="1"/>
  <c r="G409" i="1"/>
  <c r="I413" i="1"/>
  <c r="G372" i="19"/>
  <c r="J821" i="1"/>
  <c r="J823" i="1"/>
  <c r="J822" i="1"/>
  <c r="J824" i="1"/>
  <c r="J438" i="1"/>
  <c r="G484" i="1"/>
  <c r="F484" i="19"/>
  <c r="G382" i="1"/>
  <c r="F382" i="19"/>
  <c r="G406" i="1"/>
  <c r="F406" i="19"/>
  <c r="G396" i="1"/>
  <c r="I443" i="1"/>
  <c r="G400" i="19"/>
  <c r="G436" i="1"/>
  <c r="F436" i="19"/>
  <c r="G496" i="1"/>
  <c r="F496" i="19"/>
  <c r="G424" i="1"/>
  <c r="J2513" i="1"/>
  <c r="J2505" i="1"/>
  <c r="J2504" i="1"/>
  <c r="J2517" i="1"/>
  <c r="J2509" i="1"/>
  <c r="J2506" i="1"/>
  <c r="J2512" i="1"/>
  <c r="J2503" i="1"/>
  <c r="J2507" i="1"/>
  <c r="J2511" i="1"/>
  <c r="J2516" i="1"/>
  <c r="J2508" i="1"/>
  <c r="J2518" i="1"/>
  <c r="J2514" i="1"/>
  <c r="J2510" i="1"/>
  <c r="J1941" i="1"/>
  <c r="J1961" i="1"/>
  <c r="J1836" i="1"/>
  <c r="J1828" i="1"/>
  <c r="J1820" i="1"/>
  <c r="J1812" i="1"/>
  <c r="J1592" i="1"/>
  <c r="J1923" i="1"/>
  <c r="J1915" i="1"/>
  <c r="J1907" i="1"/>
  <c r="J1899" i="1"/>
  <c r="J1891" i="1"/>
  <c r="J1883" i="1"/>
  <c r="J1875" i="1"/>
  <c r="J1867" i="1"/>
  <c r="J1859" i="1"/>
  <c r="J1851" i="1"/>
  <c r="J1843" i="1"/>
  <c r="J1779" i="1"/>
  <c r="J1922" i="1"/>
  <c r="J1914" i="1"/>
  <c r="J1906" i="1"/>
  <c r="J1898" i="1"/>
  <c r="J1890" i="1"/>
  <c r="J1882" i="1"/>
  <c r="J1874" i="1"/>
  <c r="J1866" i="1"/>
  <c r="J1858" i="1"/>
  <c r="J1850" i="1"/>
  <c r="J1842" i="1"/>
  <c r="J1834" i="1"/>
  <c r="J1826" i="1"/>
  <c r="J1818" i="1"/>
  <c r="J1778" i="1"/>
  <c r="J1921" i="1"/>
  <c r="J1913" i="1"/>
  <c r="J1905" i="1"/>
  <c r="J1897" i="1"/>
  <c r="J1889" i="1"/>
  <c r="J1881" i="1"/>
  <c r="J1873" i="1"/>
  <c r="J1865" i="1"/>
  <c r="J1857" i="1"/>
  <c r="J1849" i="1"/>
  <c r="J1841" i="1"/>
  <c r="J1833" i="1"/>
  <c r="J1825" i="1"/>
  <c r="J1817" i="1"/>
  <c r="J1777" i="1"/>
  <c r="J1840" i="1"/>
  <c r="J1832" i="1"/>
  <c r="J1824" i="1"/>
  <c r="J1816" i="1"/>
  <c r="J1927" i="1"/>
  <c r="J1919" i="1"/>
  <c r="J1911" i="1"/>
  <c r="J1903" i="1"/>
  <c r="J1895" i="1"/>
  <c r="J1887" i="1"/>
  <c r="J1879" i="1"/>
  <c r="J1871" i="1"/>
  <c r="J1863" i="1"/>
  <c r="J1855" i="1"/>
  <c r="J1847" i="1"/>
  <c r="J1926" i="1"/>
  <c r="J1918" i="1"/>
  <c r="J1910" i="1"/>
  <c r="J1902" i="1"/>
  <c r="J1894" i="1"/>
  <c r="J1886" i="1"/>
  <c r="J1878" i="1"/>
  <c r="J1870" i="1"/>
  <c r="J1862" i="1"/>
  <c r="J1854" i="1"/>
  <c r="J1846" i="1"/>
  <c r="J1838" i="1"/>
  <c r="J1830" i="1"/>
  <c r="J1822" i="1"/>
  <c r="J1814" i="1"/>
  <c r="J1893" i="1"/>
  <c r="J1829" i="1"/>
  <c r="J1885" i="1"/>
  <c r="J1821" i="1"/>
  <c r="J1869" i="1"/>
  <c r="J1925" i="1"/>
  <c r="J1861" i="1"/>
  <c r="J1917" i="1"/>
  <c r="J1853" i="1"/>
  <c r="J1909" i="1"/>
  <c r="J1845" i="1"/>
  <c r="J1901" i="1"/>
  <c r="J1837" i="1"/>
  <c r="J1877" i="1"/>
  <c r="J1813" i="1"/>
  <c r="J653" i="1"/>
  <c r="J660" i="1"/>
  <c r="J1638" i="1"/>
  <c r="J1641" i="1"/>
  <c r="J652" i="1"/>
  <c r="J658" i="1"/>
  <c r="J1632" i="1"/>
  <c r="J1639" i="1"/>
  <c r="J1633" i="1"/>
  <c r="J654" i="1"/>
  <c r="J1776" i="1"/>
  <c r="J661" i="1"/>
  <c r="J662" i="1"/>
  <c r="J659" i="1"/>
  <c r="J1640" i="1"/>
  <c r="J1774" i="1"/>
  <c r="J1634" i="1"/>
  <c r="J729" i="1"/>
  <c r="J723" i="1"/>
  <c r="J1761" i="1"/>
  <c r="J1665" i="1"/>
  <c r="J1760" i="1"/>
  <c r="J1666" i="1"/>
  <c r="J1667" i="1"/>
  <c r="J808" i="1"/>
  <c r="J747" i="1"/>
  <c r="J759" i="1"/>
  <c r="J753" i="1"/>
  <c r="J1759" i="1"/>
  <c r="J1758" i="1"/>
  <c r="J1215" i="1"/>
  <c r="J1320" i="1"/>
  <c r="J1408" i="1"/>
  <c r="J915" i="1"/>
  <c r="J1504" i="1"/>
  <c r="J1500" i="1"/>
  <c r="J1396" i="1"/>
  <c r="J1012" i="1"/>
  <c r="J1355" i="1"/>
  <c r="J1052" i="1"/>
  <c r="J1077" i="1"/>
  <c r="J1453" i="1"/>
  <c r="J1070" i="1"/>
  <c r="J938" i="1"/>
  <c r="J1582" i="1"/>
  <c r="J1485" i="1"/>
  <c r="J1059" i="1"/>
  <c r="J951" i="1"/>
  <c r="J1391" i="1"/>
  <c r="J1019" i="1"/>
  <c r="J1406" i="1"/>
  <c r="J1102" i="1"/>
  <c r="J1554" i="1"/>
  <c r="J1300" i="1"/>
  <c r="J1260" i="1"/>
  <c r="J927" i="1"/>
  <c r="J1305" i="1"/>
  <c r="J1108" i="1"/>
  <c r="J1351" i="1"/>
  <c r="J995" i="1"/>
  <c r="J1390" i="1"/>
  <c r="J1220" i="1"/>
  <c r="J972" i="1"/>
  <c r="J947" i="1"/>
  <c r="J1436" i="1"/>
  <c r="J1007" i="1"/>
  <c r="J1425" i="1"/>
  <c r="J1341" i="1"/>
  <c r="J1184" i="1"/>
  <c r="J1375" i="1"/>
  <c r="J1182" i="1"/>
  <c r="J1201" i="1"/>
  <c r="J1360" i="1"/>
  <c r="J1191" i="1"/>
  <c r="J929" i="1"/>
  <c r="J1459" i="1"/>
  <c r="J1258" i="1"/>
  <c r="J1491" i="1"/>
  <c r="J1352" i="1"/>
  <c r="J1438" i="1"/>
  <c r="J950" i="1"/>
  <c r="J1374" i="1"/>
  <c r="J1046" i="1"/>
  <c r="J1530" i="1"/>
  <c r="J1358" i="1"/>
  <c r="J1236" i="1"/>
  <c r="J1581" i="1"/>
  <c r="J1233" i="1"/>
  <c r="J942" i="1"/>
  <c r="J971" i="1"/>
  <c r="J953" i="1"/>
  <c r="J1366" i="1"/>
  <c r="J937" i="1"/>
  <c r="J1263" i="1"/>
  <c r="J1039" i="1"/>
  <c r="J1478" i="1"/>
  <c r="J1418" i="1"/>
  <c r="J1539" i="1"/>
  <c r="J1432" i="1"/>
  <c r="J1457" i="1"/>
  <c r="J1194" i="1"/>
  <c r="J1313" i="1"/>
  <c r="J1288" i="1"/>
  <c r="J1167" i="1"/>
  <c r="J1567" i="1"/>
  <c r="J1419" i="1"/>
  <c r="J1210" i="1"/>
  <c r="J1445" i="1"/>
  <c r="J1312" i="1"/>
  <c r="J1133" i="1"/>
  <c r="J1306" i="1"/>
  <c r="J1289" i="1"/>
  <c r="J1280" i="1"/>
  <c r="J1161" i="1"/>
  <c r="J1559" i="1"/>
  <c r="J1395" i="1"/>
  <c r="J1178" i="1"/>
  <c r="J1317" i="1"/>
  <c r="J1480" i="1"/>
  <c r="J1283" i="1"/>
  <c r="J1023" i="1"/>
  <c r="J1221" i="1"/>
  <c r="J1560" i="1"/>
  <c r="J1093" i="1"/>
  <c r="J1218" i="1"/>
  <c r="J1377" i="1"/>
  <c r="J1237" i="1"/>
  <c r="J1407" i="1"/>
  <c r="J1165" i="1"/>
  <c r="J1518" i="1"/>
  <c r="J1466" i="1"/>
  <c r="J1579" i="1"/>
  <c r="J983" i="1"/>
  <c r="J1265" i="1"/>
  <c r="J1403" i="1"/>
  <c r="J1318" i="1"/>
  <c r="J960" i="1"/>
  <c r="J1490" i="1"/>
  <c r="J986" i="1"/>
  <c r="J1110" i="1"/>
  <c r="J1541" i="1"/>
  <c r="J1139" i="1"/>
  <c r="J964" i="1"/>
  <c r="J1032" i="1"/>
  <c r="J1347" i="1"/>
  <c r="J1310" i="1"/>
  <c r="J1094" i="1"/>
  <c r="J1546" i="1"/>
  <c r="J1127" i="1"/>
  <c r="J1252" i="1"/>
  <c r="J919" i="1"/>
  <c r="J1257" i="1"/>
  <c r="J998" i="1"/>
  <c r="J1488" i="1"/>
  <c r="J1157" i="1"/>
  <c r="J1002" i="1"/>
  <c r="J989" i="1"/>
  <c r="J1216" i="1"/>
  <c r="J1129" i="1"/>
  <c r="J1527" i="1"/>
  <c r="J1323" i="1"/>
  <c r="J1068" i="1"/>
  <c r="J985" i="1"/>
  <c r="J1224" i="1"/>
  <c r="J1569" i="1"/>
  <c r="J1331" i="1"/>
  <c r="J1294" i="1"/>
  <c r="J1467" i="1"/>
  <c r="J1389" i="1"/>
  <c r="J1285" i="1"/>
  <c r="J1038" i="1"/>
  <c r="J1517" i="1"/>
  <c r="J1107" i="1"/>
  <c r="J1060" i="1"/>
  <c r="J1186" i="1"/>
  <c r="J1299" i="1"/>
  <c r="J1214" i="1"/>
  <c r="J1296" i="1"/>
  <c r="J1175" i="1"/>
  <c r="J1575" i="1"/>
  <c r="J1427" i="1"/>
  <c r="J1226" i="1"/>
  <c r="J1475" i="1"/>
  <c r="J1328" i="1"/>
  <c r="J1163" i="1"/>
  <c r="J1314" i="1"/>
  <c r="J1131" i="1"/>
  <c r="J1146" i="1"/>
  <c r="J1105" i="1"/>
  <c r="J1503" i="1"/>
  <c r="J1243" i="1"/>
  <c r="J958" i="1"/>
  <c r="J1532" i="1"/>
  <c r="J1564" i="1"/>
  <c r="J1025" i="1"/>
  <c r="J1584" i="1"/>
  <c r="J924" i="1"/>
  <c r="J1362" i="1"/>
  <c r="J1079" i="1"/>
  <c r="J922" i="1"/>
  <c r="J1281" i="1"/>
  <c r="J1440" i="1"/>
  <c r="J1223" i="1"/>
  <c r="J977" i="1"/>
  <c r="J1197" i="1"/>
  <c r="J1354" i="1"/>
  <c r="J1515" i="1"/>
  <c r="J1400" i="1"/>
  <c r="J1513" i="1"/>
  <c r="J1187" i="1"/>
  <c r="J1144" i="1"/>
  <c r="J1421" i="1"/>
  <c r="J976" i="1"/>
  <c r="J1437" i="1"/>
  <c r="J1574" i="1"/>
  <c r="J1477" i="1"/>
  <c r="J1035" i="1"/>
  <c r="J1132" i="1"/>
  <c r="J1497" i="1"/>
  <c r="J1141" i="1"/>
  <c r="J1128" i="1"/>
  <c r="J944" i="1"/>
  <c r="J1482" i="1"/>
  <c r="J1544" i="1"/>
  <c r="J1078" i="1"/>
  <c r="J1533" i="1"/>
  <c r="J1123" i="1"/>
  <c r="J1044" i="1"/>
  <c r="J1343" i="1"/>
  <c r="J1431" i="1"/>
  <c r="J1359" i="1"/>
  <c r="J1388" i="1"/>
  <c r="J1098" i="1"/>
  <c r="J1057" i="1"/>
  <c r="J1412" i="1"/>
  <c r="J1171" i="1"/>
  <c r="J1452" i="1"/>
  <c r="J1468" i="1"/>
  <c r="J1074" i="1"/>
  <c r="J1473" i="1"/>
  <c r="J1061" i="1"/>
  <c r="J1018" i="1"/>
  <c r="J1293" i="1"/>
  <c r="J1063" i="1"/>
  <c r="J1301" i="1"/>
  <c r="J1550" i="1"/>
  <c r="J1333" i="1"/>
  <c r="J957" i="1"/>
  <c r="J1448" i="1"/>
  <c r="J1553" i="1"/>
  <c r="J1045" i="1"/>
  <c r="J1329" i="1"/>
  <c r="J1192" i="1"/>
  <c r="J1113" i="1"/>
  <c r="J1511" i="1"/>
  <c r="J1267" i="1"/>
  <c r="J1022" i="1"/>
  <c r="J1540" i="1"/>
  <c r="J1176" i="1"/>
  <c r="J1402" i="1"/>
  <c r="J1064" i="1"/>
  <c r="J1340" i="1"/>
  <c r="J1034" i="1"/>
  <c r="J1003" i="1"/>
  <c r="J1103" i="1"/>
  <c r="J1069" i="1"/>
  <c r="J1072" i="1"/>
  <c r="J1405" i="1"/>
  <c r="J916" i="1"/>
  <c r="J1576" i="1"/>
  <c r="J1516" i="1"/>
  <c r="J999" i="1"/>
  <c r="J1297" i="1"/>
  <c r="J1255" i="1"/>
  <c r="J954" i="1"/>
  <c r="J1043" i="1"/>
  <c r="J1272" i="1"/>
  <c r="J1153" i="1"/>
  <c r="J1551" i="1"/>
  <c r="J1379" i="1"/>
  <c r="J1156" i="1"/>
  <c r="J1238" i="1"/>
  <c r="J1264" i="1"/>
  <c r="J1315" i="1"/>
  <c r="J982" i="1"/>
  <c r="J1322" i="1"/>
  <c r="J1189" i="1"/>
  <c r="J1399" i="1"/>
  <c r="J1119" i="1"/>
  <c r="J1510" i="1"/>
  <c r="J1450" i="1"/>
  <c r="J1571" i="1"/>
  <c r="J1392" i="1"/>
  <c r="J1291" i="1"/>
  <c r="J1458" i="1"/>
  <c r="J1290" i="1"/>
  <c r="J1357" i="1"/>
  <c r="J1505" i="1"/>
  <c r="J1413" i="1"/>
  <c r="J1566" i="1"/>
  <c r="J1461" i="1"/>
  <c r="J1021" i="1"/>
  <c r="J1580" i="1"/>
  <c r="J1016" i="1"/>
  <c r="J1242" i="1"/>
  <c r="J1382" i="1"/>
  <c r="J1212" i="1"/>
  <c r="J956" i="1"/>
  <c r="J923" i="1"/>
  <c r="J1428" i="1"/>
  <c r="J991" i="1"/>
  <c r="J1417" i="1"/>
  <c r="J1332" i="1"/>
  <c r="J1496" i="1"/>
  <c r="J1227" i="1"/>
  <c r="J1370" i="1"/>
  <c r="J1337" i="1"/>
  <c r="J1135" i="1"/>
  <c r="J1279" i="1"/>
  <c r="J1047" i="1"/>
  <c r="J1486" i="1"/>
  <c r="J1426" i="1"/>
  <c r="J1547" i="1"/>
  <c r="J1336" i="1"/>
  <c r="J1465" i="1"/>
  <c r="J1346" i="1"/>
  <c r="J1147" i="1"/>
  <c r="J1058" i="1"/>
  <c r="J1011" i="1"/>
  <c r="J1204" i="1"/>
  <c r="J1101" i="1"/>
  <c r="J1253" i="1"/>
  <c r="J1414" i="1"/>
  <c r="J1050" i="1"/>
  <c r="J1411" i="1"/>
  <c r="J1080" i="1"/>
  <c r="J1180" i="1"/>
  <c r="J1578" i="1"/>
  <c r="J1561" i="1"/>
  <c r="J1308" i="1"/>
  <c r="J959" i="1"/>
  <c r="J1385" i="1"/>
  <c r="J1250" i="1"/>
  <c r="J1356" i="1"/>
  <c r="J1051" i="1"/>
  <c r="J1027" i="1"/>
  <c r="J1492" i="1"/>
  <c r="J1455" i="1"/>
  <c r="J1033" i="1"/>
  <c r="J1136" i="1"/>
  <c r="J1169" i="1"/>
  <c r="J1122" i="1"/>
  <c r="J1081" i="1"/>
  <c r="J1487" i="1"/>
  <c r="J1219" i="1"/>
  <c r="J1588" i="1"/>
  <c r="J1508" i="1"/>
  <c r="J1154" i="1"/>
  <c r="J1085" i="1"/>
  <c r="J1170" i="1"/>
  <c r="J1369" i="1"/>
  <c r="J1376" i="1"/>
  <c r="J1207" i="1"/>
  <c r="J969" i="1"/>
  <c r="J1086" i="1"/>
  <c r="J1330" i="1"/>
  <c r="J1507" i="1"/>
  <c r="J1256" i="1"/>
  <c r="J1143" i="1"/>
  <c r="J1230" i="1"/>
  <c r="J1353" i="1"/>
  <c r="J1173" i="1"/>
  <c r="J1327" i="1"/>
  <c r="J1095" i="1"/>
  <c r="J1502" i="1"/>
  <c r="J1442" i="1"/>
  <c r="J1563" i="1"/>
  <c r="J932" i="1"/>
  <c r="J1489" i="1"/>
  <c r="J1339" i="1"/>
  <c r="J1302" i="1"/>
  <c r="J1062" i="1"/>
  <c r="J1538" i="1"/>
  <c r="J1454" i="1"/>
  <c r="J1244" i="1"/>
  <c r="J1589" i="1"/>
  <c r="J1249" i="1"/>
  <c r="J966" i="1"/>
  <c r="J1472" i="1"/>
  <c r="J1185" i="1"/>
  <c r="J978" i="1"/>
  <c r="J1177" i="1"/>
  <c r="J1344" i="1"/>
  <c r="J1183" i="1"/>
  <c r="J1583" i="1"/>
  <c r="J1435" i="1"/>
  <c r="J1234" i="1"/>
  <c r="J1483" i="1"/>
  <c r="J1200" i="1"/>
  <c r="J1195" i="1"/>
  <c r="J1198" i="1"/>
  <c r="J1348" i="1"/>
  <c r="J1586" i="1"/>
  <c r="J1577" i="1"/>
  <c r="J1380" i="1"/>
  <c r="J967" i="1"/>
  <c r="J1401" i="1"/>
  <c r="J1268" i="1"/>
  <c r="J1274" i="1"/>
  <c r="J1231" i="1"/>
  <c r="J1120" i="1"/>
  <c r="J1000" i="1"/>
  <c r="J1514" i="1"/>
  <c r="J1246" i="1"/>
  <c r="J1164" i="1"/>
  <c r="J1565" i="1"/>
  <c r="J1217" i="1"/>
  <c r="J1100" i="1"/>
  <c r="J1568" i="1"/>
  <c r="J1024" i="1"/>
  <c r="J1520" i="1"/>
  <c r="J1416" i="1"/>
  <c r="J1420" i="1"/>
  <c r="J1319" i="1"/>
  <c r="J1422" i="1"/>
  <c r="J1316" i="1"/>
  <c r="J996" i="1"/>
  <c r="J963" i="1"/>
  <c r="J936" i="1"/>
  <c r="J1037" i="1"/>
  <c r="J1449" i="1"/>
  <c r="J1387" i="1"/>
  <c r="J1004" i="1"/>
  <c r="J1097" i="1"/>
  <c r="J1109" i="1"/>
  <c r="J1241" i="1"/>
  <c r="J1248" i="1"/>
  <c r="J1145" i="1"/>
  <c r="J1543" i="1"/>
  <c r="J1371" i="1"/>
  <c r="J1148" i="1"/>
  <c r="J1151" i="1"/>
  <c r="J1138" i="1"/>
  <c r="J1447" i="1"/>
  <c r="J1206" i="1"/>
  <c r="J1209" i="1"/>
  <c r="J1368" i="1"/>
  <c r="J1199" i="1"/>
  <c r="J945" i="1"/>
  <c r="J1031" i="1"/>
  <c r="J1266" i="1"/>
  <c r="J1499" i="1"/>
  <c r="J1384" i="1"/>
  <c r="J1251" i="1"/>
  <c r="J1117" i="1"/>
  <c r="J1096" i="1"/>
  <c r="J928" i="1"/>
  <c r="J1474" i="1"/>
  <c r="J1365" i="1"/>
  <c r="J1054" i="1"/>
  <c r="J1525" i="1"/>
  <c r="J1115" i="1"/>
  <c r="J1006" i="1"/>
  <c r="J1028" i="1"/>
  <c r="J1303" i="1"/>
  <c r="J1166" i="1"/>
  <c r="J973" i="1"/>
  <c r="J1208" i="1"/>
  <c r="J1121" i="1"/>
  <c r="J1519" i="1"/>
  <c r="J1307" i="1"/>
  <c r="J1036" i="1"/>
  <c r="J1460" i="1"/>
  <c r="J1066" i="1"/>
  <c r="J925" i="1"/>
  <c r="J1104" i="1"/>
  <c r="J1188" i="1"/>
  <c r="J1522" i="1"/>
  <c r="J1350" i="1"/>
  <c r="J1228" i="1"/>
  <c r="J1573" i="1"/>
  <c r="J1225" i="1"/>
  <c r="J918" i="1"/>
  <c r="J1552" i="1"/>
  <c r="J1367" i="1"/>
  <c r="J941" i="1"/>
  <c r="J1512" i="1"/>
  <c r="J1572" i="1"/>
  <c r="J1304" i="1"/>
  <c r="J961" i="1"/>
  <c r="J1451" i="1"/>
  <c r="J1326" i="1"/>
  <c r="J1134" i="1"/>
  <c r="J1562" i="1"/>
  <c r="J1481" i="1"/>
  <c r="J1284" i="1"/>
  <c r="J935" i="1"/>
  <c r="J1321" i="1"/>
  <c r="J1084" i="1"/>
  <c r="J1536" i="1"/>
  <c r="J987" i="1"/>
  <c r="J1262" i="1"/>
  <c r="J1013" i="1"/>
  <c r="J1114" i="1"/>
  <c r="J1073" i="1"/>
  <c r="J1479" i="1"/>
  <c r="J1203" i="1"/>
  <c r="J1548" i="1"/>
  <c r="J1378" i="1"/>
  <c r="J988" i="1"/>
  <c r="J931" i="1"/>
  <c r="J1112" i="1"/>
  <c r="J997" i="1"/>
  <c r="J1232" i="1"/>
  <c r="J1137" i="1"/>
  <c r="J1535" i="1"/>
  <c r="J1363" i="1"/>
  <c r="J1076" i="1"/>
  <c r="J1071" i="1"/>
  <c r="J1240" i="1"/>
  <c r="J930" i="1"/>
  <c r="J1394" i="1"/>
  <c r="J974" i="1"/>
  <c r="J1325" i="1"/>
  <c r="J1381" i="1"/>
  <c r="J1373" i="1"/>
  <c r="J1558" i="1"/>
  <c r="J1398" i="1"/>
  <c r="J1005" i="1"/>
  <c r="J1124" i="1"/>
  <c r="J1287" i="1"/>
  <c r="J1125" i="1"/>
  <c r="J962" i="1"/>
  <c r="J1372" i="1"/>
  <c r="J1082" i="1"/>
  <c r="J1041" i="1"/>
  <c r="J1364" i="1"/>
  <c r="J1149" i="1"/>
  <c r="J1397" i="1"/>
  <c r="J1286" i="1"/>
  <c r="J965" i="1"/>
  <c r="J1271" i="1"/>
  <c r="J1270" i="1"/>
  <c r="J1030" i="1"/>
  <c r="J1309" i="1"/>
  <c r="J1205" i="1"/>
  <c r="J992" i="1"/>
  <c r="J1509" i="1"/>
  <c r="J1099" i="1"/>
  <c r="J948" i="1"/>
  <c r="J939" i="1"/>
  <c r="J921" i="1"/>
  <c r="J1026" i="1"/>
  <c r="J1083" i="1"/>
  <c r="J1524" i="1"/>
  <c r="J1162" i="1"/>
  <c r="J1521" i="1"/>
  <c r="J1211" i="1"/>
  <c r="J1152" i="1"/>
  <c r="J968" i="1"/>
  <c r="J1498" i="1"/>
  <c r="J1048" i="1"/>
  <c r="J1126" i="1"/>
  <c r="J1549" i="1"/>
  <c r="J1155" i="1"/>
  <c r="J1556" i="1"/>
  <c r="J1001" i="1"/>
  <c r="J1282" i="1"/>
  <c r="J994" i="1"/>
  <c r="J1276" i="1"/>
  <c r="J980" i="1"/>
  <c r="J955" i="1"/>
  <c r="J1444" i="1"/>
  <c r="J1015" i="1"/>
  <c r="J1441" i="1"/>
  <c r="J1092" i="1"/>
  <c r="J1528" i="1"/>
  <c r="J1471" i="1"/>
  <c r="J946" i="1"/>
  <c r="J981" i="1"/>
  <c r="J1106" i="1"/>
  <c r="J1065" i="1"/>
  <c r="J1470" i="1"/>
  <c r="J1179" i="1"/>
  <c r="J1476" i="1"/>
  <c r="J1484" i="1"/>
  <c r="J1090" i="1"/>
  <c r="J1273" i="1"/>
  <c r="J1088" i="1"/>
  <c r="J1345" i="1"/>
  <c r="J1159" i="1"/>
  <c r="J1295" i="1"/>
  <c r="J1055" i="1"/>
  <c r="J1494" i="1"/>
  <c r="J1434" i="1"/>
  <c r="J1555" i="1"/>
  <c r="J1202" i="1"/>
  <c r="J952" i="1"/>
  <c r="J1423" i="1"/>
  <c r="J1311" i="1"/>
  <c r="J1196" i="1"/>
  <c r="J940" i="1"/>
  <c r="J1585" i="1"/>
  <c r="J1404" i="1"/>
  <c r="J975" i="1"/>
  <c r="J1409" i="1"/>
  <c r="J934" i="1"/>
  <c r="J1464" i="1"/>
  <c r="J1383" i="1"/>
  <c r="J1462" i="1"/>
  <c r="J1277" i="1"/>
  <c r="J1463" i="1"/>
  <c r="J1229" i="1"/>
  <c r="J1542" i="1"/>
  <c r="J1254" i="1"/>
  <c r="J933" i="1"/>
  <c r="J1014" i="1"/>
  <c r="J1545" i="1"/>
  <c r="J1275" i="1"/>
  <c r="J1190" i="1"/>
  <c r="J1087" i="1"/>
  <c r="J1247" i="1"/>
  <c r="J1017" i="1"/>
  <c r="J1349" i="1"/>
  <c r="J1446" i="1"/>
  <c r="J920" i="1"/>
  <c r="J1029" i="1"/>
  <c r="J1529" i="1"/>
  <c r="J1140" i="1"/>
  <c r="J1091" i="1"/>
  <c r="J1020" i="1"/>
  <c r="J1537" i="1"/>
  <c r="J1158" i="1"/>
  <c r="J1493" i="1"/>
  <c r="J1587" i="1"/>
  <c r="J1342" i="1"/>
  <c r="J1534" i="1"/>
  <c r="J990" i="1"/>
  <c r="J1443" i="1"/>
  <c r="J970" i="1"/>
  <c r="J1324" i="1"/>
  <c r="J1570" i="1"/>
  <c r="J1160" i="1"/>
  <c r="J1590" i="1"/>
  <c r="J1009" i="1"/>
  <c r="J1523" i="1"/>
  <c r="J1111" i="1"/>
  <c r="J1501" i="1"/>
  <c r="J1424" i="1"/>
  <c r="J1393" i="1"/>
  <c r="J1010" i="1"/>
  <c r="J1142" i="1"/>
  <c r="J1506" i="1"/>
  <c r="J1056" i="1"/>
  <c r="J1526" i="1"/>
  <c r="J1386" i="1"/>
  <c r="J1269" i="1"/>
  <c r="J1172" i="1"/>
  <c r="J1168" i="1"/>
  <c r="J1338" i="1"/>
  <c r="J1278" i="1"/>
  <c r="J984" i="1"/>
  <c r="J1150" i="1"/>
  <c r="J1181" i="1"/>
  <c r="J1261" i="1"/>
  <c r="J926" i="1"/>
  <c r="J1222" i="1"/>
  <c r="J1410" i="1"/>
  <c r="J1042" i="1"/>
  <c r="J1049" i="1"/>
  <c r="J1430" i="1"/>
  <c r="J1469" i="1"/>
  <c r="J1415" i="1"/>
  <c r="J993" i="1"/>
  <c r="J1235" i="1"/>
  <c r="J1008" i="1"/>
  <c r="J1439" i="1"/>
  <c r="J1075" i="1"/>
  <c r="J1116" i="1"/>
  <c r="J1335" i="1"/>
  <c r="J1334" i="1"/>
  <c r="J1245" i="1"/>
  <c r="J1239" i="1"/>
  <c r="J1495" i="1"/>
  <c r="J1053" i="1"/>
  <c r="J1361" i="1"/>
  <c r="J1118" i="1"/>
  <c r="J917" i="1"/>
  <c r="J949" i="1"/>
  <c r="J1298" i="1"/>
  <c r="J1174" i="1"/>
  <c r="J1456" i="1"/>
  <c r="J1089" i="1"/>
  <c r="J1040" i="1"/>
  <c r="J943" i="1"/>
  <c r="J1193" i="1"/>
  <c r="J1213" i="1"/>
  <c r="J1531" i="1"/>
  <c r="J1429" i="1"/>
  <c r="J1259" i="1"/>
  <c r="J1433" i="1"/>
  <c r="J1130" i="1"/>
  <c r="J979" i="1"/>
  <c r="J1292" i="1"/>
  <c r="J1557" i="1"/>
  <c r="J1067" i="1"/>
  <c r="J1831" i="1"/>
  <c r="J1819" i="1"/>
  <c r="J1740" i="1"/>
  <c r="J1799" i="1"/>
  <c r="J1746" i="1"/>
  <c r="J1815" i="1"/>
  <c r="J1752" i="1"/>
  <c r="J1749" i="1"/>
  <c r="J1743" i="1"/>
  <c r="J1823" i="1"/>
  <c r="J1755" i="1"/>
  <c r="J1835" i="1"/>
  <c r="J1827" i="1"/>
  <c r="J555" i="1"/>
  <c r="J547" i="1"/>
  <c r="J531" i="1"/>
  <c r="J523" i="1"/>
  <c r="J324" i="1"/>
  <c r="J196" i="1"/>
  <c r="J124" i="1"/>
  <c r="J554" i="1"/>
  <c r="J546" i="1"/>
  <c r="J538" i="1"/>
  <c r="J530" i="1"/>
  <c r="J522" i="1"/>
  <c r="J514" i="1"/>
  <c r="J498" i="1"/>
  <c r="J195" i="1"/>
  <c r="J179" i="1"/>
  <c r="J147" i="1"/>
  <c r="J123" i="1"/>
  <c r="J553" i="1"/>
  <c r="J545" i="1"/>
  <c r="J529" i="1"/>
  <c r="J521" i="1"/>
  <c r="J178" i="1"/>
  <c r="J146" i="1"/>
  <c r="J122" i="1"/>
  <c r="J81" i="1"/>
  <c r="J560" i="1"/>
  <c r="J552" i="1"/>
  <c r="J544" i="1"/>
  <c r="J528" i="1"/>
  <c r="J520" i="1"/>
  <c r="J504" i="1"/>
  <c r="J474" i="1"/>
  <c r="J193" i="1"/>
  <c r="J177" i="1"/>
  <c r="J153" i="1"/>
  <c r="J129" i="1"/>
  <c r="J559" i="1"/>
  <c r="J551" i="1"/>
  <c r="J543" i="1"/>
  <c r="J527" i="1"/>
  <c r="J519" i="1"/>
  <c r="J200" i="1"/>
  <c r="J192" i="1"/>
  <c r="J152" i="1"/>
  <c r="J144" i="1"/>
  <c r="J128" i="1"/>
  <c r="J87" i="1"/>
  <c r="J79" i="1"/>
  <c r="J558" i="1"/>
  <c r="J550" i="1"/>
  <c r="J526" i="1"/>
  <c r="J426" i="1"/>
  <c r="J330" i="1"/>
  <c r="J199" i="1"/>
  <c r="J191" i="1"/>
  <c r="J183" i="1"/>
  <c r="J175" i="1"/>
  <c r="J143" i="1"/>
  <c r="J127" i="1"/>
  <c r="J557" i="1"/>
  <c r="J549" i="1"/>
  <c r="J533" i="1"/>
  <c r="J525" i="1"/>
  <c r="J509" i="1"/>
  <c r="J348" i="1"/>
  <c r="J198" i="1"/>
  <c r="J182" i="1"/>
  <c r="J174" i="1"/>
  <c r="J150" i="1"/>
  <c r="J126" i="1"/>
  <c r="J36" i="1"/>
  <c r="J556" i="1"/>
  <c r="J78" i="1"/>
  <c r="J41" i="1"/>
  <c r="J548" i="1"/>
  <c r="J532" i="1"/>
  <c r="J524" i="1"/>
  <c r="J181" i="1"/>
  <c r="J149" i="1"/>
  <c r="J35" i="1"/>
  <c r="J173" i="1"/>
  <c r="J34" i="1"/>
  <c r="J125" i="1"/>
  <c r="J80" i="1"/>
  <c r="V602" i="1"/>
  <c r="M420" i="19"/>
  <c r="F364" i="1"/>
  <c r="J783" i="31" l="1"/>
  <c r="J783" i="32"/>
  <c r="J2468" i="32"/>
  <c r="M2468" i="32" s="1"/>
  <c r="N2468" i="32" s="1"/>
  <c r="J2468" i="31"/>
  <c r="J2468" i="19"/>
  <c r="M2468" i="1"/>
  <c r="N2468" i="1" s="1"/>
  <c r="J2469" i="32"/>
  <c r="M2469" i="32" s="1"/>
  <c r="N2469" i="32" s="1"/>
  <c r="J2469" i="19"/>
  <c r="J2469" i="31"/>
  <c r="M2469" i="31" s="1"/>
  <c r="N2469" i="31" s="1"/>
  <c r="M2469" i="1"/>
  <c r="N2469" i="1" s="1"/>
  <c r="M1758" i="1"/>
  <c r="N1758" i="1" s="1"/>
  <c r="M123" i="1"/>
  <c r="N123" i="1" s="1"/>
  <c r="M661" i="1"/>
  <c r="N661" i="1" s="1"/>
  <c r="Q661" i="1" s="1"/>
  <c r="J149" i="32"/>
  <c r="J149" i="31"/>
  <c r="J36" i="32"/>
  <c r="J36" i="31"/>
  <c r="J525" i="32"/>
  <c r="J525" i="31"/>
  <c r="J191" i="32"/>
  <c r="J191" i="31"/>
  <c r="J87" i="32"/>
  <c r="J87" i="31"/>
  <c r="J543" i="32"/>
  <c r="J543" i="31"/>
  <c r="J504" i="32"/>
  <c r="J504" i="31"/>
  <c r="J146" i="32"/>
  <c r="J146" i="31"/>
  <c r="J179" i="32"/>
  <c r="J179" i="31"/>
  <c r="J554" i="32"/>
  <c r="J554" i="31"/>
  <c r="J1827" i="32"/>
  <c r="J1827" i="31"/>
  <c r="J1746" i="32"/>
  <c r="J1746" i="31"/>
  <c r="J979" i="32"/>
  <c r="J979" i="31"/>
  <c r="J943" i="32"/>
  <c r="J943" i="31"/>
  <c r="J1118" i="32"/>
  <c r="J1118" i="31"/>
  <c r="J1116" i="32"/>
  <c r="J1116" i="31"/>
  <c r="J1430" i="32"/>
  <c r="J1430" i="31"/>
  <c r="J1150" i="32"/>
  <c r="J1150" i="31"/>
  <c r="J1526" i="32"/>
  <c r="J1526" i="31"/>
  <c r="J1111" i="32"/>
  <c r="J1111" i="31"/>
  <c r="J1443" i="32"/>
  <c r="J1443" i="31"/>
  <c r="J1020" i="32"/>
  <c r="J1020" i="31"/>
  <c r="J1017" i="32"/>
  <c r="J1017" i="31"/>
  <c r="J1254" i="32"/>
  <c r="J1254" i="31"/>
  <c r="J934" i="32"/>
  <c r="J934" i="31"/>
  <c r="J1423" i="32"/>
  <c r="J1423" i="31"/>
  <c r="J1159" i="32"/>
  <c r="J1159" i="31"/>
  <c r="J1470" i="32"/>
  <c r="J1470" i="31"/>
  <c r="J1441" i="32"/>
  <c r="J1441" i="31"/>
  <c r="J1001" i="32"/>
  <c r="J1001" i="31"/>
  <c r="J1152" i="32"/>
  <c r="J1152" i="31"/>
  <c r="J939" i="32"/>
  <c r="J939" i="31"/>
  <c r="J1270" i="32"/>
  <c r="J1270" i="31"/>
  <c r="J1082" i="32"/>
  <c r="J1082" i="31"/>
  <c r="J1558" i="32"/>
  <c r="J1558" i="31"/>
  <c r="J1071" i="32"/>
  <c r="J1071" i="31"/>
  <c r="J931" i="32"/>
  <c r="J931" i="31"/>
  <c r="J1013" i="32"/>
  <c r="J1013" i="31"/>
  <c r="J1481" i="32"/>
  <c r="J1481" i="31"/>
  <c r="J1512" i="32"/>
  <c r="J1512" i="31"/>
  <c r="J1350" i="32"/>
  <c r="J1350" i="31"/>
  <c r="J1307" i="32"/>
  <c r="J1307" i="31"/>
  <c r="J1006" i="32"/>
  <c r="J1006" i="31"/>
  <c r="J1117" i="32"/>
  <c r="J1117" i="31"/>
  <c r="J1368" i="32"/>
  <c r="J1368" i="31"/>
  <c r="J1543" i="32"/>
  <c r="J1543" i="31"/>
  <c r="J1449" i="32"/>
  <c r="J1449" i="31"/>
  <c r="J1420" i="32"/>
  <c r="J1420" i="31"/>
  <c r="J1164" i="32"/>
  <c r="J1164" i="31"/>
  <c r="J1401" i="32"/>
  <c r="J1401" i="31"/>
  <c r="J1200" i="32"/>
  <c r="J1200" i="31"/>
  <c r="J978" i="32"/>
  <c r="J978" i="31"/>
  <c r="J1538" i="32"/>
  <c r="J1538" i="31"/>
  <c r="J1502" i="32"/>
  <c r="J1502" i="31"/>
  <c r="J1507" i="32"/>
  <c r="J1507" i="31"/>
  <c r="J1085" i="32"/>
  <c r="J1085" i="31"/>
  <c r="J1169" i="32"/>
  <c r="J1169" i="31"/>
  <c r="J1250" i="32"/>
  <c r="J1250" i="31"/>
  <c r="J1411" i="32"/>
  <c r="J1411" i="31"/>
  <c r="J1147" i="32"/>
  <c r="J1147" i="31"/>
  <c r="J1279" i="32"/>
  <c r="J1279" i="31"/>
  <c r="J991" i="32"/>
  <c r="J991" i="31"/>
  <c r="J1580" i="32"/>
  <c r="J1580" i="31"/>
  <c r="J1458" i="32"/>
  <c r="J1458" i="31"/>
  <c r="J1189" i="32"/>
  <c r="J1189" i="31"/>
  <c r="J1551" i="32"/>
  <c r="J1551" i="31"/>
  <c r="J1516" i="32"/>
  <c r="J1516" i="31"/>
  <c r="J1034" i="32"/>
  <c r="J1034" i="31"/>
  <c r="J1511" i="32"/>
  <c r="J1511" i="31"/>
  <c r="J1333" i="32"/>
  <c r="J1333" i="31"/>
  <c r="J1074" i="32"/>
  <c r="J1074" i="31"/>
  <c r="J1359" i="32"/>
  <c r="J1359" i="31"/>
  <c r="J1482" i="32"/>
  <c r="J1482" i="31"/>
  <c r="J1574" i="32"/>
  <c r="J1574" i="31"/>
  <c r="J1515" i="32"/>
  <c r="J1515" i="31"/>
  <c r="J1079" i="32"/>
  <c r="J1079" i="31"/>
  <c r="J1243" i="32"/>
  <c r="J1243" i="31"/>
  <c r="J1475" i="32"/>
  <c r="J1475" i="31"/>
  <c r="J1186" i="32"/>
  <c r="J1186" i="31"/>
  <c r="J1294" i="32"/>
  <c r="J1294" i="31"/>
  <c r="J1129" i="32"/>
  <c r="J1129" i="31"/>
  <c r="J919" i="32"/>
  <c r="J919" i="31"/>
  <c r="J964" i="32"/>
  <c r="J964" i="31"/>
  <c r="J1403" i="32"/>
  <c r="J1403" i="31"/>
  <c r="J1237" i="32"/>
  <c r="J1237" i="31"/>
  <c r="J1480" i="32"/>
  <c r="J1480" i="31"/>
  <c r="J1306" i="32"/>
  <c r="J1306" i="31"/>
  <c r="J1288" i="32"/>
  <c r="J1288" i="31"/>
  <c r="J1039" i="32"/>
  <c r="J1039" i="31"/>
  <c r="J1581" i="32"/>
  <c r="J1581" i="31"/>
  <c r="J1352" i="32"/>
  <c r="J1352" i="31"/>
  <c r="J1182" i="32"/>
  <c r="J1182" i="31"/>
  <c r="J972" i="32"/>
  <c r="J972" i="31"/>
  <c r="J1260" i="32"/>
  <c r="J1260" i="31"/>
  <c r="J1059" i="32"/>
  <c r="J1059" i="31"/>
  <c r="J1355" i="32"/>
  <c r="J1355" i="31"/>
  <c r="J1215" i="32"/>
  <c r="J1215" i="31"/>
  <c r="J1666" i="32"/>
  <c r="J1666" i="31"/>
  <c r="J1640" i="32"/>
  <c r="J1640" i="31"/>
  <c r="J1632" i="32"/>
  <c r="J1632" i="31"/>
  <c r="J1877" i="32"/>
  <c r="J1877" i="31"/>
  <c r="J1925" i="32"/>
  <c r="J1925" i="31"/>
  <c r="J1830" i="32"/>
  <c r="J1830" i="31"/>
  <c r="J1894" i="32"/>
  <c r="J1894" i="31"/>
  <c r="J1871" i="32"/>
  <c r="J1871" i="31"/>
  <c r="J1816" i="32"/>
  <c r="J1816" i="31"/>
  <c r="J1841" i="32"/>
  <c r="J1841" i="31"/>
  <c r="J1905" i="32"/>
  <c r="J1905" i="31"/>
  <c r="J1850" i="32"/>
  <c r="J1850" i="31"/>
  <c r="J1914" i="32"/>
  <c r="J1914" i="31"/>
  <c r="J1883" i="32"/>
  <c r="J1883" i="31"/>
  <c r="J1820" i="32"/>
  <c r="J1820" i="31"/>
  <c r="J2508" i="32"/>
  <c r="J2508" i="31"/>
  <c r="J2517" i="32"/>
  <c r="J2517" i="31"/>
  <c r="G406" i="32"/>
  <c r="G406" i="31"/>
  <c r="J438" i="32"/>
  <c r="J438" i="31"/>
  <c r="F412" i="32"/>
  <c r="F412" i="31"/>
  <c r="J384" i="32"/>
  <c r="J384" i="31"/>
  <c r="J637" i="32"/>
  <c r="J637" i="31"/>
  <c r="J912" i="32"/>
  <c r="J912" i="31"/>
  <c r="J115" i="32"/>
  <c r="J115" i="31"/>
  <c r="J104" i="32"/>
  <c r="J104" i="31"/>
  <c r="J634" i="32"/>
  <c r="J634" i="31"/>
  <c r="J909" i="32"/>
  <c r="J909" i="31"/>
  <c r="J636" i="32"/>
  <c r="J636" i="31"/>
  <c r="J1693" i="32"/>
  <c r="J1693" i="31"/>
  <c r="J114" i="32"/>
  <c r="J114" i="31"/>
  <c r="J1703" i="32"/>
  <c r="J1703" i="31"/>
  <c r="J205" i="32"/>
  <c r="J205" i="31"/>
  <c r="J50" i="32"/>
  <c r="J50" i="31"/>
  <c r="J215" i="32"/>
  <c r="J215" i="31"/>
  <c r="J834" i="32"/>
  <c r="J834" i="31"/>
  <c r="J847" i="32"/>
  <c r="J847" i="31"/>
  <c r="J1709" i="32"/>
  <c r="J1709" i="31"/>
  <c r="J220" i="32"/>
  <c r="J220" i="31"/>
  <c r="J839" i="32"/>
  <c r="J839" i="31"/>
  <c r="J1702" i="32"/>
  <c r="J1702" i="31"/>
  <c r="J212" i="32"/>
  <c r="J212" i="31"/>
  <c r="J1697" i="32"/>
  <c r="J1697" i="31"/>
  <c r="J102" i="32"/>
  <c r="J102" i="31"/>
  <c r="J632" i="32"/>
  <c r="J632" i="31"/>
  <c r="J163" i="32"/>
  <c r="J163" i="31"/>
  <c r="J638" i="32"/>
  <c r="J638" i="31"/>
  <c r="J820" i="32"/>
  <c r="J820" i="31"/>
  <c r="J171" i="32"/>
  <c r="J171" i="31"/>
  <c r="J462" i="32"/>
  <c r="J462" i="31"/>
  <c r="J181" i="32"/>
  <c r="J181" i="31"/>
  <c r="J126" i="32"/>
  <c r="J126" i="31"/>
  <c r="J533" i="32"/>
  <c r="J533" i="31"/>
  <c r="J199" i="32"/>
  <c r="J199" i="31"/>
  <c r="J128" i="32"/>
  <c r="J128" i="31"/>
  <c r="J551" i="32"/>
  <c r="J551" i="31"/>
  <c r="J520" i="32"/>
  <c r="J520" i="31"/>
  <c r="J178" i="32"/>
  <c r="J178" i="31"/>
  <c r="J195" i="32"/>
  <c r="J195" i="31"/>
  <c r="J124" i="32"/>
  <c r="J124" i="31"/>
  <c r="J1835" i="32"/>
  <c r="J1835" i="31"/>
  <c r="J1799" i="32"/>
  <c r="J1799" i="31"/>
  <c r="J1130" i="32"/>
  <c r="J1130" i="31"/>
  <c r="J1040" i="32"/>
  <c r="J1040" i="31"/>
  <c r="J1361" i="32"/>
  <c r="J1361" i="31"/>
  <c r="J1075" i="32"/>
  <c r="J1075" i="31"/>
  <c r="J1049" i="32"/>
  <c r="J1049" i="31"/>
  <c r="J984" i="32"/>
  <c r="J984" i="31"/>
  <c r="J1056" i="32"/>
  <c r="J1056" i="31"/>
  <c r="J1523" i="32"/>
  <c r="J1523" i="31"/>
  <c r="J990" i="32"/>
  <c r="J990" i="31"/>
  <c r="J1091" i="32"/>
  <c r="J1091" i="31"/>
  <c r="J1247" i="32"/>
  <c r="J1247" i="31"/>
  <c r="J1542" i="32"/>
  <c r="J1542" i="31"/>
  <c r="J1409" i="32"/>
  <c r="J1409" i="31"/>
  <c r="J952" i="32"/>
  <c r="J952" i="31"/>
  <c r="J1345" i="32"/>
  <c r="J1345" i="31"/>
  <c r="J1065" i="32"/>
  <c r="J1065" i="31"/>
  <c r="J1015" i="32"/>
  <c r="J1015" i="31"/>
  <c r="J1556" i="32"/>
  <c r="J1556" i="31"/>
  <c r="J1211" i="32"/>
  <c r="J1211" i="31"/>
  <c r="J948" i="32"/>
  <c r="J948" i="31"/>
  <c r="J1271" i="32"/>
  <c r="J1271" i="31"/>
  <c r="J1372" i="32"/>
  <c r="J1372" i="31"/>
  <c r="J1373" i="32"/>
  <c r="J1373" i="31"/>
  <c r="J1076" i="32"/>
  <c r="J1076" i="31"/>
  <c r="J988" i="32"/>
  <c r="J988" i="31"/>
  <c r="J1262" i="32"/>
  <c r="J1262" i="31"/>
  <c r="J1562" i="32"/>
  <c r="J1562" i="31"/>
  <c r="J941" i="32"/>
  <c r="J941" i="31"/>
  <c r="J1522" i="32"/>
  <c r="J1522" i="31"/>
  <c r="J1519" i="32"/>
  <c r="J1519" i="31"/>
  <c r="J1115" i="32"/>
  <c r="J1115" i="31"/>
  <c r="J1251" i="32"/>
  <c r="J1251" i="31"/>
  <c r="J1209" i="32"/>
  <c r="J1209" i="31"/>
  <c r="J1145" i="32"/>
  <c r="J1145" i="31"/>
  <c r="J1037" i="32"/>
  <c r="J1037" i="31"/>
  <c r="J1416" i="32"/>
  <c r="J1416" i="31"/>
  <c r="J1246" i="32"/>
  <c r="J1246" i="31"/>
  <c r="J967" i="32"/>
  <c r="J967" i="31"/>
  <c r="J1483" i="32"/>
  <c r="J1483" i="31"/>
  <c r="J1185" i="32"/>
  <c r="J1185" i="31"/>
  <c r="J1062" i="32"/>
  <c r="J1062" i="31"/>
  <c r="J1095" i="32"/>
  <c r="J1095" i="31"/>
  <c r="J1330" i="32"/>
  <c r="J1330" i="31"/>
  <c r="J1154" i="32"/>
  <c r="J1154" i="31"/>
  <c r="J1136" i="32"/>
  <c r="J1136" i="31"/>
  <c r="J1385" i="32"/>
  <c r="J1385" i="31"/>
  <c r="J1050" i="32"/>
  <c r="J1050" i="31"/>
  <c r="J1346" i="32"/>
  <c r="J1346" i="31"/>
  <c r="J1135" i="32"/>
  <c r="J1135" i="31"/>
  <c r="J1428" i="32"/>
  <c r="J1428" i="31"/>
  <c r="J1021" i="32"/>
  <c r="J1021" i="31"/>
  <c r="J1291" i="32"/>
  <c r="J1291" i="31"/>
  <c r="J1322" i="32"/>
  <c r="J1322" i="31"/>
  <c r="J1153" i="32"/>
  <c r="J1153" i="31"/>
  <c r="J1576" i="32"/>
  <c r="J1576" i="31"/>
  <c r="J1340" i="32"/>
  <c r="J1340" i="31"/>
  <c r="J1113" i="32"/>
  <c r="J1113" i="31"/>
  <c r="J1550" i="32"/>
  <c r="J1550" i="31"/>
  <c r="J1468" i="32"/>
  <c r="J1468" i="31"/>
  <c r="J1431" i="32"/>
  <c r="J1431" i="31"/>
  <c r="J944" i="32"/>
  <c r="J944" i="31"/>
  <c r="J1437" i="32"/>
  <c r="J1437" i="31"/>
  <c r="J1354" i="32"/>
  <c r="J1354" i="31"/>
  <c r="J1362" i="32"/>
  <c r="J1362" i="31"/>
  <c r="J1503" i="32"/>
  <c r="J1503" i="31"/>
  <c r="J1226" i="32"/>
  <c r="J1226" i="31"/>
  <c r="J1060" i="32"/>
  <c r="J1060" i="31"/>
  <c r="J1331" i="32"/>
  <c r="J1331" i="31"/>
  <c r="J1216" i="32"/>
  <c r="J1216" i="31"/>
  <c r="J1252" i="32"/>
  <c r="J1252" i="31"/>
  <c r="J1139" i="32"/>
  <c r="J1139" i="31"/>
  <c r="J1265" i="32"/>
  <c r="J1265" i="31"/>
  <c r="J1377" i="32"/>
  <c r="J1377" i="31"/>
  <c r="J1317" i="32"/>
  <c r="J1317" i="31"/>
  <c r="J1133" i="32"/>
  <c r="J1133" i="31"/>
  <c r="J1313" i="32"/>
  <c r="J1313" i="31"/>
  <c r="J1263" i="32"/>
  <c r="J1263" i="31"/>
  <c r="J1236" i="32"/>
  <c r="J1236" i="31"/>
  <c r="J1491" i="32"/>
  <c r="J1491" i="31"/>
  <c r="J1375" i="32"/>
  <c r="J1375" i="31"/>
  <c r="J1220" i="32"/>
  <c r="J1220" i="31"/>
  <c r="J1300" i="32"/>
  <c r="J1300" i="31"/>
  <c r="J1485" i="32"/>
  <c r="J1485" i="31"/>
  <c r="J1012" i="32"/>
  <c r="J1012" i="31"/>
  <c r="J1758" i="32"/>
  <c r="M1758" i="32" s="1"/>
  <c r="N1758" i="32" s="1"/>
  <c r="J1758" i="31"/>
  <c r="M1758" i="31" s="1"/>
  <c r="N1758" i="31" s="1"/>
  <c r="J1760" i="32"/>
  <c r="J1760" i="31"/>
  <c r="J659" i="32"/>
  <c r="J659" i="31"/>
  <c r="J658" i="32"/>
  <c r="J658" i="31"/>
  <c r="J1837" i="32"/>
  <c r="J1837" i="31"/>
  <c r="J1869" i="32"/>
  <c r="J1869" i="31"/>
  <c r="J1838" i="32"/>
  <c r="J1838" i="31"/>
  <c r="J1902" i="32"/>
  <c r="J1902" i="31"/>
  <c r="J1879" i="32"/>
  <c r="J1879" i="31"/>
  <c r="J1824" i="32"/>
  <c r="J1824" i="31"/>
  <c r="J1849" i="32"/>
  <c r="J1849" i="31"/>
  <c r="J1913" i="32"/>
  <c r="J1913" i="31"/>
  <c r="J1858" i="32"/>
  <c r="J1858" i="31"/>
  <c r="J1922" i="32"/>
  <c r="J1922" i="31"/>
  <c r="J1891" i="32"/>
  <c r="J1891" i="31"/>
  <c r="J1828" i="32"/>
  <c r="J1828" i="31"/>
  <c r="J2516" i="32"/>
  <c r="J2516" i="31"/>
  <c r="J2504" i="32"/>
  <c r="J2504" i="31"/>
  <c r="J824" i="32"/>
  <c r="J824" i="31"/>
  <c r="J486" i="32"/>
  <c r="J486" i="31"/>
  <c r="J112" i="32"/>
  <c r="J112" i="31"/>
  <c r="J642" i="32"/>
  <c r="J642" i="31"/>
  <c r="J1691" i="32"/>
  <c r="M1691" i="32" s="1"/>
  <c r="N1691" i="32" s="1"/>
  <c r="J1691" i="31"/>
  <c r="M1691" i="31" s="1"/>
  <c r="N1691" i="31" s="1"/>
  <c r="J1696" i="32"/>
  <c r="J1696" i="31"/>
  <c r="J109" i="32"/>
  <c r="J109" i="31"/>
  <c r="J631" i="32"/>
  <c r="J631" i="31"/>
  <c r="J208" i="32"/>
  <c r="J208" i="31"/>
  <c r="J827" i="32"/>
  <c r="J827" i="31"/>
  <c r="J892" i="32"/>
  <c r="J892" i="31"/>
  <c r="J829" i="32"/>
  <c r="J829" i="31"/>
  <c r="J1715" i="32"/>
  <c r="J1715" i="31"/>
  <c r="J883" i="32"/>
  <c r="J883" i="31"/>
  <c r="J1717" i="32"/>
  <c r="J1717" i="31"/>
  <c r="J60" i="32"/>
  <c r="J60" i="31"/>
  <c r="J225" i="32"/>
  <c r="J225" i="31"/>
  <c r="J844" i="32"/>
  <c r="J844" i="31"/>
  <c r="J52" i="32"/>
  <c r="J52" i="31"/>
  <c r="J217" i="32"/>
  <c r="J217" i="31"/>
  <c r="J836" i="32"/>
  <c r="J836" i="31"/>
  <c r="J1714" i="32"/>
  <c r="J1714" i="31"/>
  <c r="J831" i="32"/>
  <c r="J831" i="31"/>
  <c r="J1694" i="32"/>
  <c r="J1694" i="31"/>
  <c r="J204" i="32"/>
  <c r="J204" i="31"/>
  <c r="J1707" i="32"/>
  <c r="J1707" i="31"/>
  <c r="J1751" i="32"/>
  <c r="J1751" i="31"/>
  <c r="J1754" i="32"/>
  <c r="J1754" i="31"/>
  <c r="J840" i="32"/>
  <c r="J840" i="31"/>
  <c r="I788" i="32"/>
  <c r="I788" i="31"/>
  <c r="J150" i="32"/>
  <c r="J150" i="31"/>
  <c r="J330" i="32"/>
  <c r="J330" i="31"/>
  <c r="J559" i="32"/>
  <c r="J559" i="31"/>
  <c r="J528" i="32"/>
  <c r="J528" i="31"/>
  <c r="J521" i="32"/>
  <c r="J521" i="31"/>
  <c r="J498" i="32"/>
  <c r="J498" i="31"/>
  <c r="J196" i="32"/>
  <c r="J196" i="31"/>
  <c r="J1755" i="32"/>
  <c r="J1755" i="31"/>
  <c r="J1740" i="32"/>
  <c r="J1740" i="31"/>
  <c r="J1433" i="32"/>
  <c r="J1433" i="31"/>
  <c r="J1089" i="32"/>
  <c r="J1089" i="31"/>
  <c r="J1053" i="32"/>
  <c r="J1053" i="31"/>
  <c r="J1439" i="32"/>
  <c r="J1439" i="31"/>
  <c r="J1042" i="32"/>
  <c r="J1042" i="31"/>
  <c r="J1278" i="32"/>
  <c r="J1278" i="31"/>
  <c r="J1506" i="32"/>
  <c r="J1506" i="31"/>
  <c r="J1009" i="32"/>
  <c r="J1009" i="31"/>
  <c r="J1534" i="32"/>
  <c r="J1534" i="31"/>
  <c r="J1140" i="32"/>
  <c r="J1140" i="31"/>
  <c r="J1087" i="32"/>
  <c r="J1087" i="31"/>
  <c r="J1229" i="32"/>
  <c r="J1229" i="31"/>
  <c r="J975" i="32"/>
  <c r="J975" i="31"/>
  <c r="J1202" i="32"/>
  <c r="J1202" i="31"/>
  <c r="J1088" i="32"/>
  <c r="J1088" i="31"/>
  <c r="J1106" i="32"/>
  <c r="J1106" i="31"/>
  <c r="J1444" i="32"/>
  <c r="J1444" i="31"/>
  <c r="J1155" i="32"/>
  <c r="J1155" i="31"/>
  <c r="J1521" i="32"/>
  <c r="J1521" i="31"/>
  <c r="J1099" i="32"/>
  <c r="J1099" i="31"/>
  <c r="J965" i="32"/>
  <c r="J965" i="31"/>
  <c r="J962" i="32"/>
  <c r="J962" i="31"/>
  <c r="J1381" i="32"/>
  <c r="J1381" i="31"/>
  <c r="J1363" i="32"/>
  <c r="J1363" i="31"/>
  <c r="J1378" i="32"/>
  <c r="J1378" i="31"/>
  <c r="J987" i="32"/>
  <c r="J987" i="31"/>
  <c r="J1134" i="32"/>
  <c r="J1134" i="31"/>
  <c r="J1367" i="32"/>
  <c r="J1367" i="31"/>
  <c r="J1188" i="32"/>
  <c r="J1188" i="31"/>
  <c r="J1121" i="32"/>
  <c r="J1121" i="31"/>
  <c r="J1525" i="32"/>
  <c r="J1525" i="31"/>
  <c r="J1384" i="32"/>
  <c r="J1384" i="31"/>
  <c r="J1206" i="32"/>
  <c r="J1206" i="31"/>
  <c r="J1248" i="32"/>
  <c r="J1248" i="31"/>
  <c r="J936" i="32"/>
  <c r="J936" i="31"/>
  <c r="J1520" i="32"/>
  <c r="J1520" i="31"/>
  <c r="J1514" i="32"/>
  <c r="J1514" i="31"/>
  <c r="J1380" i="32"/>
  <c r="J1380" i="31"/>
  <c r="J1234" i="32"/>
  <c r="J1234" i="31"/>
  <c r="J1472" i="32"/>
  <c r="J1472" i="31"/>
  <c r="J1302" i="32"/>
  <c r="J1302" i="31"/>
  <c r="J1327" i="32"/>
  <c r="J1327" i="31"/>
  <c r="J1086" i="32"/>
  <c r="J1086" i="31"/>
  <c r="J1508" i="32"/>
  <c r="J1508" i="31"/>
  <c r="J1033" i="32"/>
  <c r="J1033" i="31"/>
  <c r="J959" i="32"/>
  <c r="J959" i="31"/>
  <c r="J1414" i="32"/>
  <c r="J1414" i="31"/>
  <c r="J1465" i="32"/>
  <c r="J1465" i="31"/>
  <c r="J1337" i="32"/>
  <c r="J1337" i="31"/>
  <c r="J923" i="32"/>
  <c r="J923" i="31"/>
  <c r="J1461" i="32"/>
  <c r="J1461" i="31"/>
  <c r="J1392" i="32"/>
  <c r="J1392" i="31"/>
  <c r="J982" i="32"/>
  <c r="J982" i="31"/>
  <c r="J1272" i="32"/>
  <c r="J1272" i="31"/>
  <c r="J916" i="32"/>
  <c r="J916" i="31"/>
  <c r="J1064" i="32"/>
  <c r="J1064" i="31"/>
  <c r="J1192" i="32"/>
  <c r="J1192" i="31"/>
  <c r="J1301" i="32"/>
  <c r="J1301" i="31"/>
  <c r="J1452" i="32"/>
  <c r="J1452" i="31"/>
  <c r="J1343" i="32"/>
  <c r="J1343" i="31"/>
  <c r="J1128" i="32"/>
  <c r="J1128" i="31"/>
  <c r="J976" i="32"/>
  <c r="J976" i="31"/>
  <c r="J1197" i="32"/>
  <c r="J1197" i="31"/>
  <c r="J924" i="32"/>
  <c r="J924" i="31"/>
  <c r="J1105" i="32"/>
  <c r="J1105" i="31"/>
  <c r="J1427" i="32"/>
  <c r="J1427" i="31"/>
  <c r="J1107" i="32"/>
  <c r="J1107" i="31"/>
  <c r="J1569" i="32"/>
  <c r="J1569" i="31"/>
  <c r="J989" i="32"/>
  <c r="J989" i="31"/>
  <c r="J1127" i="32"/>
  <c r="J1127" i="31"/>
  <c r="J1541" i="32"/>
  <c r="J1541" i="31"/>
  <c r="J983" i="32"/>
  <c r="J983" i="31"/>
  <c r="J1218" i="32"/>
  <c r="J1218" i="31"/>
  <c r="J1178" i="32"/>
  <c r="J1178" i="31"/>
  <c r="J1312" i="32"/>
  <c r="J1312" i="31"/>
  <c r="J1194" i="32"/>
  <c r="J1194" i="31"/>
  <c r="J937" i="32"/>
  <c r="J937" i="31"/>
  <c r="J1358" i="32"/>
  <c r="J1358" i="31"/>
  <c r="J1258" i="32"/>
  <c r="J1258" i="31"/>
  <c r="J1184" i="32"/>
  <c r="J1184" i="31"/>
  <c r="J1390" i="32"/>
  <c r="J1390" i="31"/>
  <c r="J1554" i="32"/>
  <c r="J1554" i="31"/>
  <c r="J1582" i="32"/>
  <c r="J1582" i="31"/>
  <c r="J1396" i="32"/>
  <c r="J1396" i="31"/>
  <c r="J1759" i="32"/>
  <c r="J1759" i="31"/>
  <c r="J1665" i="32"/>
  <c r="J1665" i="31"/>
  <c r="J662" i="32"/>
  <c r="J662" i="31"/>
  <c r="J652" i="32"/>
  <c r="J652" i="31"/>
  <c r="J1901" i="32"/>
  <c r="J1901" i="31"/>
  <c r="J1821" i="32"/>
  <c r="J1821" i="31"/>
  <c r="J1846" i="32"/>
  <c r="J1846" i="31"/>
  <c r="J1910" i="32"/>
  <c r="J1910" i="31"/>
  <c r="J1887" i="32"/>
  <c r="J1887" i="31"/>
  <c r="J1832" i="32"/>
  <c r="J1832" i="31"/>
  <c r="J1857" i="32"/>
  <c r="J1857" i="31"/>
  <c r="J1921" i="32"/>
  <c r="J1921" i="31"/>
  <c r="J1866" i="32"/>
  <c r="J1866" i="31"/>
  <c r="J1779" i="32"/>
  <c r="J1779" i="31"/>
  <c r="J1899" i="32"/>
  <c r="J1899" i="31"/>
  <c r="J1836" i="32"/>
  <c r="J1836" i="31"/>
  <c r="J2511" i="32"/>
  <c r="M2511" i="32" s="1"/>
  <c r="N2511" i="32" s="1"/>
  <c r="J2511" i="31"/>
  <c r="M2511" i="31" s="1"/>
  <c r="N2511" i="31" s="1"/>
  <c r="J2505" i="32"/>
  <c r="J2505" i="31"/>
  <c r="G436" i="32"/>
  <c r="G436" i="31"/>
  <c r="J822" i="32"/>
  <c r="J822" i="31"/>
  <c r="I491" i="32"/>
  <c r="I491" i="31"/>
  <c r="J1704" i="32"/>
  <c r="J1704" i="31"/>
  <c r="J206" i="32"/>
  <c r="J206" i="31"/>
  <c r="J639" i="32"/>
  <c r="J639" i="31"/>
  <c r="J830" i="32"/>
  <c r="J830" i="31"/>
  <c r="J1701" i="32"/>
  <c r="J1701" i="31"/>
  <c r="J203" i="32"/>
  <c r="J203" i="31"/>
  <c r="J1710" i="32"/>
  <c r="J1710" i="31"/>
  <c r="J213" i="32"/>
  <c r="J213" i="31"/>
  <c r="J58" i="32"/>
  <c r="J58" i="31"/>
  <c r="J223" i="32"/>
  <c r="J223" i="31"/>
  <c r="J842" i="32"/>
  <c r="J842" i="31"/>
  <c r="J57" i="32"/>
  <c r="J57" i="31"/>
  <c r="J852" i="32"/>
  <c r="J852" i="31"/>
  <c r="J885" i="32"/>
  <c r="J885" i="31"/>
  <c r="J49" i="32"/>
  <c r="J49" i="31"/>
  <c r="J54" i="32"/>
  <c r="J54" i="31"/>
  <c r="J849" i="32"/>
  <c r="J849" i="31"/>
  <c r="J1719" i="32"/>
  <c r="J1719" i="31"/>
  <c r="J222" i="32"/>
  <c r="J222" i="31"/>
  <c r="J841" i="32"/>
  <c r="J841" i="31"/>
  <c r="J209" i="32"/>
  <c r="J209" i="31"/>
  <c r="J828" i="32"/>
  <c r="J828" i="31"/>
  <c r="J1699" i="32"/>
  <c r="J1699" i="31"/>
  <c r="J1748" i="32"/>
  <c r="J1748" i="31"/>
  <c r="J156" i="32"/>
  <c r="J156" i="31"/>
  <c r="J159" i="32"/>
  <c r="J159" i="31"/>
  <c r="J1745" i="32"/>
  <c r="J1745" i="31"/>
  <c r="I455" i="32"/>
  <c r="I455" i="31"/>
  <c r="J524" i="32"/>
  <c r="J524" i="31"/>
  <c r="J549" i="32"/>
  <c r="J549" i="31"/>
  <c r="J144" i="32"/>
  <c r="J144" i="31"/>
  <c r="J80" i="32"/>
  <c r="J80" i="31"/>
  <c r="J532" i="32"/>
  <c r="J532" i="31"/>
  <c r="J174" i="32"/>
  <c r="J174" i="31"/>
  <c r="J557" i="32"/>
  <c r="J557" i="31"/>
  <c r="J426" i="32"/>
  <c r="J426" i="31"/>
  <c r="J152" i="32"/>
  <c r="J152" i="31"/>
  <c r="J129" i="32"/>
  <c r="J129" i="31"/>
  <c r="J544" i="32"/>
  <c r="J544" i="31"/>
  <c r="J529" i="32"/>
  <c r="J529" i="31"/>
  <c r="J514" i="32"/>
  <c r="J514" i="31"/>
  <c r="J324" i="32"/>
  <c r="J324" i="31"/>
  <c r="J1823" i="32"/>
  <c r="J1823" i="31"/>
  <c r="J1819" i="32"/>
  <c r="J1819" i="31"/>
  <c r="J1259" i="32"/>
  <c r="J1259" i="31"/>
  <c r="J1456" i="32"/>
  <c r="J1456" i="31"/>
  <c r="J1495" i="32"/>
  <c r="J1495" i="31"/>
  <c r="J1008" i="32"/>
  <c r="J1008" i="31"/>
  <c r="J1410" i="32"/>
  <c r="J1410" i="31"/>
  <c r="J1338" i="32"/>
  <c r="J1338" i="31"/>
  <c r="J1142" i="32"/>
  <c r="J1142" i="31"/>
  <c r="J1590" i="32"/>
  <c r="J1590" i="31"/>
  <c r="J1342" i="32"/>
  <c r="J1342" i="31"/>
  <c r="J1529" i="32"/>
  <c r="J1529" i="31"/>
  <c r="J1190" i="32"/>
  <c r="J1190" i="31"/>
  <c r="J1463" i="32"/>
  <c r="J1463" i="31"/>
  <c r="J1404" i="32"/>
  <c r="J1404" i="31"/>
  <c r="J1555" i="32"/>
  <c r="J1555" i="31"/>
  <c r="J1273" i="32"/>
  <c r="J1273" i="31"/>
  <c r="J981" i="32"/>
  <c r="J981" i="31"/>
  <c r="J955" i="32"/>
  <c r="J955" i="31"/>
  <c r="J1549" i="32"/>
  <c r="J1549" i="31"/>
  <c r="J1162" i="32"/>
  <c r="J1162" i="31"/>
  <c r="J1509" i="32"/>
  <c r="J1509" i="31"/>
  <c r="J1286" i="32"/>
  <c r="J1286" i="31"/>
  <c r="J1125" i="32"/>
  <c r="J1125" i="31"/>
  <c r="J1325" i="32"/>
  <c r="J1325" i="31"/>
  <c r="J1535" i="32"/>
  <c r="J1535" i="31"/>
  <c r="J1548" i="32"/>
  <c r="J1548" i="31"/>
  <c r="J1536" i="32"/>
  <c r="J1536" i="31"/>
  <c r="J1326" i="32"/>
  <c r="J1326" i="31"/>
  <c r="J1552" i="32"/>
  <c r="J1552" i="31"/>
  <c r="J1104" i="32"/>
  <c r="J1104" i="31"/>
  <c r="J1208" i="32"/>
  <c r="J1208" i="31"/>
  <c r="J1054" i="32"/>
  <c r="J1054" i="31"/>
  <c r="J1499" i="32"/>
  <c r="J1499" i="31"/>
  <c r="J1447" i="32"/>
  <c r="J1447" i="31"/>
  <c r="J1241" i="32"/>
  <c r="J1241" i="31"/>
  <c r="J963" i="32"/>
  <c r="J963" i="31"/>
  <c r="J1024" i="32"/>
  <c r="J1024" i="31"/>
  <c r="J1000" i="32"/>
  <c r="J1000" i="31"/>
  <c r="J1577" i="32"/>
  <c r="J1577" i="31"/>
  <c r="J1435" i="32"/>
  <c r="J1435" i="31"/>
  <c r="J966" i="32"/>
  <c r="J966" i="31"/>
  <c r="J1339" i="32"/>
  <c r="J1339" i="31"/>
  <c r="J1173" i="32"/>
  <c r="J1173" i="31"/>
  <c r="J969" i="32"/>
  <c r="J969" i="31"/>
  <c r="J1588" i="32"/>
  <c r="J1588" i="31"/>
  <c r="J1455" i="32"/>
  <c r="J1455" i="31"/>
  <c r="J1308" i="32"/>
  <c r="J1308" i="31"/>
  <c r="J1253" i="32"/>
  <c r="J1253" i="31"/>
  <c r="J1336" i="32"/>
  <c r="J1336" i="31"/>
  <c r="J1370" i="32"/>
  <c r="J1370" i="31"/>
  <c r="J956" i="32"/>
  <c r="J956" i="31"/>
  <c r="J1566" i="32"/>
  <c r="J1566" i="31"/>
  <c r="J1571" i="32"/>
  <c r="J1571" i="31"/>
  <c r="J1315" i="32"/>
  <c r="J1315" i="31"/>
  <c r="J1043" i="32"/>
  <c r="J1043" i="31"/>
  <c r="J1405" i="32"/>
  <c r="J1405" i="31"/>
  <c r="J1402" i="32"/>
  <c r="J1402" i="31"/>
  <c r="J1329" i="32"/>
  <c r="J1329" i="31"/>
  <c r="J1063" i="32"/>
  <c r="J1063" i="31"/>
  <c r="J1171" i="32"/>
  <c r="J1171" i="31"/>
  <c r="J1044" i="32"/>
  <c r="J1044" i="31"/>
  <c r="J1141" i="32"/>
  <c r="J1141" i="31"/>
  <c r="J1421" i="32"/>
  <c r="J1421" i="31"/>
  <c r="J977" i="32"/>
  <c r="J977" i="31"/>
  <c r="J1584" i="32"/>
  <c r="J1584" i="31"/>
  <c r="J1146" i="32"/>
  <c r="J1146" i="31"/>
  <c r="J1575" i="32"/>
  <c r="J1575" i="31"/>
  <c r="J1517" i="32"/>
  <c r="J1517" i="31"/>
  <c r="J1224" i="32"/>
  <c r="J1224" i="31"/>
  <c r="J1002" i="32"/>
  <c r="J1002" i="31"/>
  <c r="J1546" i="32"/>
  <c r="J1546" i="31"/>
  <c r="J1110" i="32"/>
  <c r="J1110" i="31"/>
  <c r="J1579" i="32"/>
  <c r="J1579" i="31"/>
  <c r="J1093" i="32"/>
  <c r="J1093" i="31"/>
  <c r="J1395" i="32"/>
  <c r="J1395" i="31"/>
  <c r="J1445" i="32"/>
  <c r="J1445" i="31"/>
  <c r="J1457" i="32"/>
  <c r="J1457" i="31"/>
  <c r="J1366" i="32"/>
  <c r="J1366" i="31"/>
  <c r="J1530" i="32"/>
  <c r="J1530" i="31"/>
  <c r="J1459" i="32"/>
  <c r="J1459" i="31"/>
  <c r="J1341" i="32"/>
  <c r="J1341" i="31"/>
  <c r="J995" i="32"/>
  <c r="J995" i="31"/>
  <c r="J1102" i="32"/>
  <c r="J1102" i="31"/>
  <c r="J938" i="32"/>
  <c r="J938" i="31"/>
  <c r="J1500" i="32"/>
  <c r="J1500" i="31"/>
  <c r="J753" i="32"/>
  <c r="J753" i="31"/>
  <c r="J1761" i="32"/>
  <c r="J1761" i="31"/>
  <c r="J661" i="32"/>
  <c r="J661" i="31"/>
  <c r="J1641" i="32"/>
  <c r="J1641" i="31"/>
  <c r="J1845" i="32"/>
  <c r="J1845" i="31"/>
  <c r="J1885" i="32"/>
  <c r="J1885" i="31"/>
  <c r="J1854" i="32"/>
  <c r="J1854" i="31"/>
  <c r="J1918" i="32"/>
  <c r="J1918" i="31"/>
  <c r="J1895" i="32"/>
  <c r="J1895" i="31"/>
  <c r="J1840" i="32"/>
  <c r="J1840" i="31"/>
  <c r="J1865" i="32"/>
  <c r="J1865" i="31"/>
  <c r="J1778" i="32"/>
  <c r="J1778" i="31"/>
  <c r="J1874" i="32"/>
  <c r="J1874" i="31"/>
  <c r="J1843" i="32"/>
  <c r="J1843" i="31"/>
  <c r="J1907" i="32"/>
  <c r="J1907" i="31"/>
  <c r="J1961" i="32"/>
  <c r="J1961" i="31"/>
  <c r="J2507" i="32"/>
  <c r="M2507" i="32" s="1"/>
  <c r="N2507" i="32" s="1"/>
  <c r="J2507" i="31"/>
  <c r="M2507" i="31" s="1"/>
  <c r="N2507" i="31" s="1"/>
  <c r="J2513" i="32"/>
  <c r="M2513" i="32" s="1"/>
  <c r="N2513" i="32" s="1"/>
  <c r="J2513" i="31"/>
  <c r="M2513" i="31" s="1"/>
  <c r="N2513" i="31" s="1"/>
  <c r="J823" i="32"/>
  <c r="J823" i="31"/>
  <c r="J44" i="32"/>
  <c r="J44" i="31"/>
  <c r="J838" i="32"/>
  <c r="J838" i="31"/>
  <c r="J1708" i="32"/>
  <c r="J1708" i="31"/>
  <c r="J211" i="32"/>
  <c r="J211" i="31"/>
  <c r="J216" i="32"/>
  <c r="J216" i="31"/>
  <c r="J835" i="32"/>
  <c r="J835" i="31"/>
  <c r="J900" i="32"/>
  <c r="J900" i="31"/>
  <c r="J837" i="32"/>
  <c r="J837" i="31"/>
  <c r="J45" i="32"/>
  <c r="J45" i="31"/>
  <c r="J891" i="32"/>
  <c r="J891" i="31"/>
  <c r="J47" i="32"/>
  <c r="J47" i="31"/>
  <c r="J68" i="32"/>
  <c r="J68" i="31"/>
  <c r="J898" i="32"/>
  <c r="J898" i="31"/>
  <c r="J62" i="32"/>
  <c r="J62" i="31"/>
  <c r="J98" i="32"/>
  <c r="J98" i="31"/>
  <c r="J890" i="32"/>
  <c r="J890" i="31"/>
  <c r="J895" i="32"/>
  <c r="J895" i="31"/>
  <c r="J67" i="32"/>
  <c r="J67" i="31"/>
  <c r="J882" i="32"/>
  <c r="J882" i="31"/>
  <c r="J46" i="32"/>
  <c r="J46" i="31"/>
  <c r="J227" i="32"/>
  <c r="J227" i="31"/>
  <c r="J1711" i="32"/>
  <c r="J1711" i="31"/>
  <c r="J214" i="32"/>
  <c r="J214" i="31"/>
  <c r="M825" i="1"/>
  <c r="N825" i="1" s="1"/>
  <c r="S825" i="1" s="1"/>
  <c r="J825" i="32"/>
  <c r="M825" i="32" s="1"/>
  <c r="N825" i="32" s="1"/>
  <c r="J825" i="31"/>
  <c r="M825" i="31" s="1"/>
  <c r="N825" i="31" s="1"/>
  <c r="J165" i="32"/>
  <c r="J165" i="31"/>
  <c r="J167" i="32"/>
  <c r="J167" i="31"/>
  <c r="J170" i="32"/>
  <c r="J170" i="31"/>
  <c r="J1757" i="32"/>
  <c r="J1757" i="31"/>
  <c r="I461" i="32"/>
  <c r="I461" i="31"/>
  <c r="J125" i="32"/>
  <c r="J125" i="31"/>
  <c r="J548" i="32"/>
  <c r="J548" i="31"/>
  <c r="J182" i="32"/>
  <c r="J182" i="31"/>
  <c r="J127" i="32"/>
  <c r="J127" i="31"/>
  <c r="J526" i="32"/>
  <c r="J526" i="31"/>
  <c r="J192" i="32"/>
  <c r="J192" i="31"/>
  <c r="J153" i="32"/>
  <c r="J153" i="31"/>
  <c r="J552" i="32"/>
  <c r="J552" i="31"/>
  <c r="J545" i="32"/>
  <c r="J545" i="31"/>
  <c r="J522" i="32"/>
  <c r="J522" i="31"/>
  <c r="J523" i="32"/>
  <c r="J523" i="31"/>
  <c r="J1743" i="32"/>
  <c r="J1743" i="31"/>
  <c r="J1831" i="32"/>
  <c r="J1831" i="31"/>
  <c r="J1429" i="32"/>
  <c r="J1429" i="31"/>
  <c r="J1174" i="32"/>
  <c r="J1174" i="31"/>
  <c r="J1239" i="32"/>
  <c r="J1239" i="31"/>
  <c r="J1235" i="32"/>
  <c r="J1235" i="31"/>
  <c r="J1222" i="32"/>
  <c r="J1222" i="31"/>
  <c r="J1168" i="32"/>
  <c r="J1168" i="31"/>
  <c r="J1010" i="32"/>
  <c r="J1010" i="31"/>
  <c r="J1160" i="32"/>
  <c r="J1160" i="31"/>
  <c r="J1587" i="32"/>
  <c r="J1587" i="31"/>
  <c r="J1029" i="32"/>
  <c r="J1029" i="31"/>
  <c r="J1275" i="32"/>
  <c r="J1275" i="31"/>
  <c r="J1277" i="32"/>
  <c r="J1277" i="31"/>
  <c r="J1585" i="32"/>
  <c r="J1585" i="31"/>
  <c r="J1434" i="32"/>
  <c r="J1434" i="31"/>
  <c r="J1090" i="32"/>
  <c r="J1090" i="31"/>
  <c r="J946" i="32"/>
  <c r="J946" i="31"/>
  <c r="J980" i="32"/>
  <c r="J980" i="31"/>
  <c r="J1126" i="32"/>
  <c r="J1126" i="31"/>
  <c r="J1524" i="32"/>
  <c r="J1524" i="31"/>
  <c r="J992" i="32"/>
  <c r="J992" i="31"/>
  <c r="J1397" i="32"/>
  <c r="J1397" i="31"/>
  <c r="J1287" i="32"/>
  <c r="J1287" i="31"/>
  <c r="J974" i="32"/>
  <c r="J974" i="31"/>
  <c r="J1137" i="32"/>
  <c r="J1137" i="31"/>
  <c r="J1203" i="32"/>
  <c r="J1203" i="31"/>
  <c r="J1084" i="32"/>
  <c r="J1084" i="31"/>
  <c r="J1451" i="32"/>
  <c r="J1451" i="31"/>
  <c r="J918" i="32"/>
  <c r="J918" i="31"/>
  <c r="J925" i="32"/>
  <c r="J925" i="31"/>
  <c r="J973" i="32"/>
  <c r="J973" i="31"/>
  <c r="J1365" i="32"/>
  <c r="J1365" i="31"/>
  <c r="J1266" i="32"/>
  <c r="J1266" i="31"/>
  <c r="J1138" i="32"/>
  <c r="J1138" i="31"/>
  <c r="J1109" i="32"/>
  <c r="J1109" i="31"/>
  <c r="J996" i="32"/>
  <c r="J996" i="31"/>
  <c r="J1568" i="32"/>
  <c r="J1568" i="31"/>
  <c r="J1120" i="32"/>
  <c r="J1120" i="31"/>
  <c r="J1586" i="32"/>
  <c r="J1586" i="31"/>
  <c r="J1583" i="32"/>
  <c r="J1583" i="31"/>
  <c r="J1249" i="32"/>
  <c r="J1249" i="31"/>
  <c r="J1489" i="32"/>
  <c r="J1489" i="31"/>
  <c r="J1353" i="32"/>
  <c r="J1353" i="31"/>
  <c r="J1207" i="32"/>
  <c r="J1207" i="31"/>
  <c r="J1219" i="32"/>
  <c r="J1219" i="31"/>
  <c r="J1492" i="32"/>
  <c r="J1492" i="31"/>
  <c r="J1561" i="32"/>
  <c r="J1561" i="31"/>
  <c r="J1101" i="32"/>
  <c r="J1101" i="31"/>
  <c r="J1547" i="32"/>
  <c r="J1547" i="31"/>
  <c r="J1227" i="32"/>
  <c r="J1227" i="31"/>
  <c r="J1212" i="32"/>
  <c r="J1212" i="31"/>
  <c r="J1413" i="32"/>
  <c r="J1413" i="31"/>
  <c r="J1450" i="32"/>
  <c r="J1450" i="31"/>
  <c r="J1264" i="32"/>
  <c r="J1264" i="31"/>
  <c r="J954" i="32"/>
  <c r="J954" i="31"/>
  <c r="J1072" i="32"/>
  <c r="J1072" i="31"/>
  <c r="J1176" i="32"/>
  <c r="J1176" i="31"/>
  <c r="J1045" i="32"/>
  <c r="J1045" i="31"/>
  <c r="J1293" i="32"/>
  <c r="J1293" i="31"/>
  <c r="J1412" i="32"/>
  <c r="J1412" i="31"/>
  <c r="J1123" i="32"/>
  <c r="J1123" i="31"/>
  <c r="J1497" i="32"/>
  <c r="J1497" i="31"/>
  <c r="J1144" i="32"/>
  <c r="J1144" i="31"/>
  <c r="J1223" i="32"/>
  <c r="J1223" i="31"/>
  <c r="J1025" i="32"/>
  <c r="J1025" i="31"/>
  <c r="J1131" i="32"/>
  <c r="J1131" i="31"/>
  <c r="J1175" i="32"/>
  <c r="J1175" i="31"/>
  <c r="J1038" i="32"/>
  <c r="J1038" i="31"/>
  <c r="J985" i="32"/>
  <c r="J985" i="31"/>
  <c r="J1157" i="32"/>
  <c r="J1157" i="31"/>
  <c r="J1094" i="32"/>
  <c r="J1094" i="31"/>
  <c r="J986" i="32"/>
  <c r="J986" i="31"/>
  <c r="J1466" i="32"/>
  <c r="J1466" i="31"/>
  <c r="J1560" i="32"/>
  <c r="J1560" i="31"/>
  <c r="J1559" i="32"/>
  <c r="J1559" i="31"/>
  <c r="J1210" i="32"/>
  <c r="J1210" i="31"/>
  <c r="J1432" i="32"/>
  <c r="J1432" i="31"/>
  <c r="J953" i="32"/>
  <c r="J953" i="31"/>
  <c r="J1046" i="32"/>
  <c r="J1046" i="31"/>
  <c r="J929" i="32"/>
  <c r="J929" i="31"/>
  <c r="J1425" i="32"/>
  <c r="J1425" i="31"/>
  <c r="J1351" i="32"/>
  <c r="J1351" i="31"/>
  <c r="J1406" i="32"/>
  <c r="J1406" i="31"/>
  <c r="J1070" i="32"/>
  <c r="J1070" i="31"/>
  <c r="J1504" i="32"/>
  <c r="J1504" i="31"/>
  <c r="J759" i="32"/>
  <c r="J759" i="31"/>
  <c r="J723" i="32"/>
  <c r="J723" i="31"/>
  <c r="J1776" i="32"/>
  <c r="J1776" i="31"/>
  <c r="J1638" i="32"/>
  <c r="J1638" i="31"/>
  <c r="J1909" i="32"/>
  <c r="J1909" i="31"/>
  <c r="J1829" i="32"/>
  <c r="J1829" i="31"/>
  <c r="J1862" i="32"/>
  <c r="J1862" i="31"/>
  <c r="J1926" i="32"/>
  <c r="J1926" i="31"/>
  <c r="J1903" i="32"/>
  <c r="J1903" i="31"/>
  <c r="J1777" i="32"/>
  <c r="J1777" i="31"/>
  <c r="J1873" i="32"/>
  <c r="J1873" i="31"/>
  <c r="J1818" i="32"/>
  <c r="J1818" i="31"/>
  <c r="J1882" i="32"/>
  <c r="J1882" i="31"/>
  <c r="J1851" i="32"/>
  <c r="J1851" i="31"/>
  <c r="J1915" i="32"/>
  <c r="J1915" i="31"/>
  <c r="J1941" i="32"/>
  <c r="J1941" i="31"/>
  <c r="J2503" i="32"/>
  <c r="M2503" i="32" s="1"/>
  <c r="N2503" i="32" s="1"/>
  <c r="J2503" i="31"/>
  <c r="M2503" i="31" s="1"/>
  <c r="N2503" i="31" s="1"/>
  <c r="G424" i="32"/>
  <c r="G424" i="31"/>
  <c r="I443" i="32"/>
  <c r="I443" i="31"/>
  <c r="G382" i="32"/>
  <c r="G382" i="31"/>
  <c r="M821" i="1"/>
  <c r="N821" i="1" s="1"/>
  <c r="S821" i="1" s="1"/>
  <c r="J821" i="32"/>
  <c r="M821" i="32" s="1"/>
  <c r="N821" i="32" s="1"/>
  <c r="J821" i="31"/>
  <c r="M821" i="31" s="1"/>
  <c r="N821" i="31" s="1"/>
  <c r="J1690" i="32"/>
  <c r="M1690" i="32" s="1"/>
  <c r="N1690" i="32" s="1"/>
  <c r="J1690" i="31"/>
  <c r="M1690" i="31" s="1"/>
  <c r="N1690" i="31" s="1"/>
  <c r="J224" i="32"/>
  <c r="J224" i="31"/>
  <c r="J843" i="32"/>
  <c r="J843" i="31"/>
  <c r="J908" i="32"/>
  <c r="J908" i="31"/>
  <c r="J1718" i="32"/>
  <c r="J1718" i="31"/>
  <c r="J221" i="32"/>
  <c r="J221" i="31"/>
  <c r="J66" i="32"/>
  <c r="J66" i="31"/>
  <c r="J55" i="32"/>
  <c r="J55" i="31"/>
  <c r="J850" i="32"/>
  <c r="J850" i="31"/>
  <c r="J65" i="32"/>
  <c r="J65" i="31"/>
  <c r="J888" i="32"/>
  <c r="J888" i="31"/>
  <c r="J893" i="32"/>
  <c r="J893" i="31"/>
  <c r="J620" i="32"/>
  <c r="J620" i="31"/>
  <c r="J903" i="32"/>
  <c r="J903" i="31"/>
  <c r="J1713" i="32"/>
  <c r="J1713" i="31"/>
  <c r="J95" i="32"/>
  <c r="J95" i="31"/>
  <c r="J625" i="32"/>
  <c r="J625" i="31"/>
  <c r="J1706" i="32"/>
  <c r="J1706" i="31"/>
  <c r="J64" i="32"/>
  <c r="J64" i="31"/>
  <c r="J887" i="32"/>
  <c r="J887" i="31"/>
  <c r="J59" i="32"/>
  <c r="J59" i="31"/>
  <c r="J846" i="32"/>
  <c r="J846" i="31"/>
  <c r="J1716" i="32"/>
  <c r="J1716" i="31"/>
  <c r="J219" i="32"/>
  <c r="J219" i="31"/>
  <c r="J629" i="32"/>
  <c r="J629" i="31"/>
  <c r="J1687" i="32"/>
  <c r="J1687" i="31"/>
  <c r="J833" i="32"/>
  <c r="J833" i="31"/>
  <c r="I395" i="32"/>
  <c r="I395" i="31"/>
  <c r="J450" i="32"/>
  <c r="J450" i="31"/>
  <c r="J34" i="32"/>
  <c r="J34" i="31"/>
  <c r="J41" i="32"/>
  <c r="J41" i="31"/>
  <c r="J198" i="32"/>
  <c r="J198" i="31"/>
  <c r="J143" i="32"/>
  <c r="J143" i="31"/>
  <c r="J550" i="32"/>
  <c r="J550" i="31"/>
  <c r="J200" i="32"/>
  <c r="J200" i="31"/>
  <c r="J177" i="32"/>
  <c r="J177" i="31"/>
  <c r="J560" i="32"/>
  <c r="J560" i="31"/>
  <c r="J553" i="32"/>
  <c r="J553" i="31"/>
  <c r="J530" i="32"/>
  <c r="J530" i="31"/>
  <c r="J531" i="32"/>
  <c r="J531" i="31"/>
  <c r="J1749" i="32"/>
  <c r="J1749" i="31"/>
  <c r="J1067" i="32"/>
  <c r="J1067" i="31"/>
  <c r="J1531" i="32"/>
  <c r="J1531" i="31"/>
  <c r="J1298" i="32"/>
  <c r="J1298" i="31"/>
  <c r="J1245" i="32"/>
  <c r="J1245" i="31"/>
  <c r="J993" i="32"/>
  <c r="J993" i="31"/>
  <c r="J926" i="32"/>
  <c r="J926" i="31"/>
  <c r="J1172" i="32"/>
  <c r="J1172" i="31"/>
  <c r="J1393" i="32"/>
  <c r="J1393" i="31"/>
  <c r="J1570" i="32"/>
  <c r="J1570" i="31"/>
  <c r="J1493" i="32"/>
  <c r="J1493" i="31"/>
  <c r="J920" i="32"/>
  <c r="J920" i="31"/>
  <c r="J1545" i="32"/>
  <c r="J1545" i="31"/>
  <c r="J1462" i="32"/>
  <c r="J1462" i="31"/>
  <c r="J940" i="32"/>
  <c r="J940" i="31"/>
  <c r="J1494" i="32"/>
  <c r="J1494" i="31"/>
  <c r="J1484" i="32"/>
  <c r="J1484" i="31"/>
  <c r="J1471" i="32"/>
  <c r="J1471" i="31"/>
  <c r="J1276" i="32"/>
  <c r="J1276" i="31"/>
  <c r="J1048" i="32"/>
  <c r="J1048" i="31"/>
  <c r="J1083" i="32"/>
  <c r="J1083" i="31"/>
  <c r="J1205" i="32"/>
  <c r="J1205" i="31"/>
  <c r="J1149" i="32"/>
  <c r="J1149" i="31"/>
  <c r="J1124" i="32"/>
  <c r="J1124" i="31"/>
  <c r="J1394" i="32"/>
  <c r="J1394" i="31"/>
  <c r="J1232" i="32"/>
  <c r="J1232" i="31"/>
  <c r="J1479" i="32"/>
  <c r="J1479" i="31"/>
  <c r="J1321" i="32"/>
  <c r="J1321" i="31"/>
  <c r="J961" i="32"/>
  <c r="J961" i="31"/>
  <c r="J1225" i="32"/>
  <c r="J1225" i="31"/>
  <c r="J1066" i="32"/>
  <c r="J1066" i="31"/>
  <c r="J1166" i="32"/>
  <c r="J1166" i="31"/>
  <c r="J1474" i="32"/>
  <c r="J1474" i="31"/>
  <c r="J1031" i="32"/>
  <c r="J1031" i="31"/>
  <c r="J1151" i="32"/>
  <c r="J1151" i="31"/>
  <c r="J1097" i="32"/>
  <c r="J1097" i="31"/>
  <c r="J1316" i="32"/>
  <c r="J1316" i="31"/>
  <c r="J1100" i="32"/>
  <c r="J1100" i="31"/>
  <c r="J1231" i="32"/>
  <c r="J1231" i="31"/>
  <c r="J1348" i="32"/>
  <c r="J1348" i="31"/>
  <c r="J1183" i="32"/>
  <c r="J1183" i="31"/>
  <c r="J1589" i="32"/>
  <c r="J1589" i="31"/>
  <c r="J932" i="32"/>
  <c r="J932" i="31"/>
  <c r="J1230" i="32"/>
  <c r="J1230" i="31"/>
  <c r="J1376" i="32"/>
  <c r="J1376" i="31"/>
  <c r="J1487" i="32"/>
  <c r="J1487" i="31"/>
  <c r="J1027" i="32"/>
  <c r="J1027" i="31"/>
  <c r="J1578" i="32"/>
  <c r="J1578" i="31"/>
  <c r="J1204" i="32"/>
  <c r="J1204" i="31"/>
  <c r="J1426" i="32"/>
  <c r="J1426" i="31"/>
  <c r="J1496" i="32"/>
  <c r="J1496" i="31"/>
  <c r="J1382" i="32"/>
  <c r="J1382" i="31"/>
  <c r="J1505" i="32"/>
  <c r="J1505" i="31"/>
  <c r="J1510" i="32"/>
  <c r="J1510" i="31"/>
  <c r="J1238" i="32"/>
  <c r="J1238" i="31"/>
  <c r="J1255" i="32"/>
  <c r="J1255" i="31"/>
  <c r="J1069" i="32"/>
  <c r="J1069" i="31"/>
  <c r="J1540" i="32"/>
  <c r="J1540" i="31"/>
  <c r="J1553" i="32"/>
  <c r="J1553" i="31"/>
  <c r="J1018" i="32"/>
  <c r="J1018" i="31"/>
  <c r="J1057" i="32"/>
  <c r="J1057" i="31"/>
  <c r="J1533" i="32"/>
  <c r="J1533" i="31"/>
  <c r="J1132" i="32"/>
  <c r="J1132" i="31"/>
  <c r="J1187" i="32"/>
  <c r="J1187" i="31"/>
  <c r="J1440" i="32"/>
  <c r="J1440" i="31"/>
  <c r="J1564" i="32"/>
  <c r="J1564" i="31"/>
  <c r="J1314" i="32"/>
  <c r="J1314" i="31"/>
  <c r="J1296" i="32"/>
  <c r="J1296" i="31"/>
  <c r="J1285" i="32"/>
  <c r="J1285" i="31"/>
  <c r="J1068" i="32"/>
  <c r="J1068" i="31"/>
  <c r="J1488" i="32"/>
  <c r="J1488" i="31"/>
  <c r="J1310" i="32"/>
  <c r="J1310" i="31"/>
  <c r="J1490" i="32"/>
  <c r="J1490" i="31"/>
  <c r="J1518" i="32"/>
  <c r="J1518" i="31"/>
  <c r="J1221" i="32"/>
  <c r="J1221" i="31"/>
  <c r="J1161" i="32"/>
  <c r="J1161" i="31"/>
  <c r="J1419" i="32"/>
  <c r="J1419" i="31"/>
  <c r="J1539" i="32"/>
  <c r="J1539" i="31"/>
  <c r="J971" i="32"/>
  <c r="J971" i="31"/>
  <c r="J1374" i="32"/>
  <c r="J1374" i="31"/>
  <c r="J1191" i="32"/>
  <c r="J1191" i="31"/>
  <c r="J1007" i="32"/>
  <c r="J1007" i="31"/>
  <c r="J1108" i="32"/>
  <c r="J1108" i="31"/>
  <c r="J1019" i="32"/>
  <c r="J1019" i="31"/>
  <c r="J1453" i="32"/>
  <c r="J1453" i="31"/>
  <c r="J915" i="32"/>
  <c r="J915" i="31"/>
  <c r="J747" i="32"/>
  <c r="J747" i="31"/>
  <c r="J729" i="32"/>
  <c r="J729" i="31"/>
  <c r="J654" i="32"/>
  <c r="J654" i="31"/>
  <c r="J660" i="32"/>
  <c r="J660" i="31"/>
  <c r="J1853" i="32"/>
  <c r="J1853" i="31"/>
  <c r="J1893" i="32"/>
  <c r="J1893" i="31"/>
  <c r="J1870" i="32"/>
  <c r="J1870" i="31"/>
  <c r="J1847" i="32"/>
  <c r="J1847" i="31"/>
  <c r="J1911" i="32"/>
  <c r="J1911" i="31"/>
  <c r="J1817" i="32"/>
  <c r="J1817" i="31"/>
  <c r="J1881" i="32"/>
  <c r="J1881" i="31"/>
  <c r="J1826" i="32"/>
  <c r="J1826" i="31"/>
  <c r="J1890" i="32"/>
  <c r="J1890" i="31"/>
  <c r="J1859" i="32"/>
  <c r="J1859" i="31"/>
  <c r="J1923" i="32"/>
  <c r="J1923" i="31"/>
  <c r="J2510" i="32"/>
  <c r="M2510" i="32" s="1"/>
  <c r="N2510" i="32" s="1"/>
  <c r="J2510" i="31"/>
  <c r="M2510" i="31" s="1"/>
  <c r="N2510" i="31" s="1"/>
  <c r="J2512" i="32"/>
  <c r="M2512" i="32" s="1"/>
  <c r="N2512" i="32" s="1"/>
  <c r="J2512" i="31"/>
  <c r="M2512" i="31" s="1"/>
  <c r="N2512" i="31" s="1"/>
  <c r="G396" i="32"/>
  <c r="G396" i="31"/>
  <c r="I389" i="32"/>
  <c r="I389" i="31"/>
  <c r="J622" i="32"/>
  <c r="J622" i="31"/>
  <c r="J48" i="32"/>
  <c r="J48" i="31"/>
  <c r="J61" i="32"/>
  <c r="J61" i="31"/>
  <c r="J97" i="32"/>
  <c r="J97" i="31"/>
  <c r="J845" i="32"/>
  <c r="J845" i="31"/>
  <c r="J53" i="32"/>
  <c r="J53" i="31"/>
  <c r="J899" i="32"/>
  <c r="J899" i="31"/>
  <c r="J896" i="32"/>
  <c r="J896" i="31"/>
  <c r="J99" i="32"/>
  <c r="J99" i="31"/>
  <c r="J906" i="32"/>
  <c r="J906" i="31"/>
  <c r="J93" i="32"/>
  <c r="J93" i="31"/>
  <c r="J106" i="32"/>
  <c r="J106" i="31"/>
  <c r="J103" i="32"/>
  <c r="J103" i="31"/>
  <c r="J633" i="32"/>
  <c r="J633" i="31"/>
  <c r="J848" i="32"/>
  <c r="J848" i="31"/>
  <c r="J905" i="32"/>
  <c r="J905" i="31"/>
  <c r="J108" i="32"/>
  <c r="J108" i="31"/>
  <c r="J832" i="32"/>
  <c r="J832" i="31"/>
  <c r="J897" i="32"/>
  <c r="J897" i="31"/>
  <c r="J100" i="32"/>
  <c r="J100" i="31"/>
  <c r="J1698" i="32"/>
  <c r="J1698" i="31"/>
  <c r="J56" i="32"/>
  <c r="J56" i="31"/>
  <c r="J851" i="32"/>
  <c r="J851" i="31"/>
  <c r="J51" i="32"/>
  <c r="J51" i="31"/>
  <c r="J1750" i="32"/>
  <c r="J1750" i="31"/>
  <c r="J1753" i="32"/>
  <c r="J1753" i="31"/>
  <c r="J1744" i="32"/>
  <c r="J1744" i="31"/>
  <c r="I419" i="32"/>
  <c r="I419" i="31"/>
  <c r="J456" i="32"/>
  <c r="J456" i="31"/>
  <c r="J173" i="32"/>
  <c r="J173" i="31"/>
  <c r="J348" i="32"/>
  <c r="J348" i="31"/>
  <c r="J558" i="32"/>
  <c r="J558" i="31"/>
  <c r="J519" i="32"/>
  <c r="J519" i="31"/>
  <c r="J193" i="32"/>
  <c r="J193" i="31"/>
  <c r="J81" i="32"/>
  <c r="J81" i="31"/>
  <c r="J123" i="32"/>
  <c r="J123" i="31"/>
  <c r="J538" i="32"/>
  <c r="J538" i="31"/>
  <c r="J547" i="32"/>
  <c r="J547" i="31"/>
  <c r="J1752" i="32"/>
  <c r="J1752" i="31"/>
  <c r="J1557" i="32"/>
  <c r="J1557" i="31"/>
  <c r="J1213" i="32"/>
  <c r="J1213" i="31"/>
  <c r="J949" i="32"/>
  <c r="J949" i="31"/>
  <c r="J1334" i="32"/>
  <c r="J1334" i="31"/>
  <c r="J1415" i="32"/>
  <c r="J1415" i="31"/>
  <c r="J1261" i="32"/>
  <c r="J1261" i="31"/>
  <c r="J1269" i="32"/>
  <c r="J1269" i="31"/>
  <c r="J1424" i="32"/>
  <c r="J1424" i="31"/>
  <c r="J1324" i="32"/>
  <c r="J1324" i="31"/>
  <c r="J1158" i="32"/>
  <c r="J1158" i="31"/>
  <c r="J1446" i="32"/>
  <c r="J1446" i="31"/>
  <c r="J1014" i="32"/>
  <c r="J1014" i="31"/>
  <c r="J1383" i="32"/>
  <c r="J1383" i="31"/>
  <c r="J1196" i="32"/>
  <c r="J1196" i="31"/>
  <c r="J1055" i="32"/>
  <c r="J1055" i="31"/>
  <c r="J1476" i="32"/>
  <c r="J1476" i="31"/>
  <c r="J1528" i="32"/>
  <c r="J1528" i="31"/>
  <c r="J994" i="32"/>
  <c r="J994" i="31"/>
  <c r="J1498" i="32"/>
  <c r="J1498" i="31"/>
  <c r="J1026" i="32"/>
  <c r="J1026" i="31"/>
  <c r="J1309" i="32"/>
  <c r="J1309" i="31"/>
  <c r="J1364" i="32"/>
  <c r="J1364" i="31"/>
  <c r="J1005" i="32"/>
  <c r="J1005" i="31"/>
  <c r="J930" i="32"/>
  <c r="J930" i="31"/>
  <c r="J997" i="32"/>
  <c r="J997" i="31"/>
  <c r="J1073" i="32"/>
  <c r="J1073" i="31"/>
  <c r="J935" i="32"/>
  <c r="J935" i="31"/>
  <c r="J1304" i="32"/>
  <c r="J1304" i="31"/>
  <c r="J1573" i="32"/>
  <c r="J1573" i="31"/>
  <c r="J1460" i="32"/>
  <c r="J1460" i="31"/>
  <c r="J1303" i="32"/>
  <c r="J1303" i="31"/>
  <c r="J928" i="32"/>
  <c r="J928" i="31"/>
  <c r="J945" i="32"/>
  <c r="J945" i="31"/>
  <c r="J1148" i="32"/>
  <c r="J1148" i="31"/>
  <c r="J1004" i="32"/>
  <c r="J1004" i="31"/>
  <c r="J1422" i="32"/>
  <c r="J1422" i="31"/>
  <c r="J1217" i="32"/>
  <c r="J1217" i="31"/>
  <c r="J1274" i="32"/>
  <c r="J1274" i="31"/>
  <c r="J1198" i="32"/>
  <c r="J1198" i="31"/>
  <c r="J1344" i="32"/>
  <c r="J1344" i="31"/>
  <c r="J1244" i="32"/>
  <c r="J1244" i="31"/>
  <c r="J1563" i="32"/>
  <c r="J1563" i="31"/>
  <c r="J1143" i="32"/>
  <c r="J1143" i="31"/>
  <c r="J1369" i="32"/>
  <c r="J1369" i="31"/>
  <c r="J1081" i="32"/>
  <c r="J1081" i="31"/>
  <c r="J1051" i="32"/>
  <c r="J1051" i="31"/>
  <c r="J1180" i="32"/>
  <c r="J1180" i="31"/>
  <c r="J1011" i="32"/>
  <c r="J1011" i="31"/>
  <c r="J1486" i="32"/>
  <c r="J1486" i="31"/>
  <c r="J1332" i="32"/>
  <c r="J1332" i="31"/>
  <c r="J1242" i="32"/>
  <c r="J1242" i="31"/>
  <c r="J1357" i="32"/>
  <c r="J1357" i="31"/>
  <c r="J1119" i="32"/>
  <c r="J1119" i="31"/>
  <c r="J1156" i="32"/>
  <c r="J1156" i="31"/>
  <c r="J1297" i="32"/>
  <c r="J1297" i="31"/>
  <c r="J1103" i="32"/>
  <c r="J1103" i="31"/>
  <c r="J1022" i="32"/>
  <c r="J1022" i="31"/>
  <c r="J1448" i="32"/>
  <c r="J1448" i="31"/>
  <c r="J1061" i="32"/>
  <c r="J1061" i="31"/>
  <c r="J1098" i="32"/>
  <c r="J1098" i="31"/>
  <c r="J1078" i="32"/>
  <c r="J1078" i="31"/>
  <c r="J1035" i="32"/>
  <c r="J1035" i="31"/>
  <c r="J1513" i="32"/>
  <c r="J1513" i="31"/>
  <c r="J1281" i="32"/>
  <c r="J1281" i="31"/>
  <c r="J1532" i="32"/>
  <c r="J1532" i="31"/>
  <c r="J1163" i="32"/>
  <c r="J1163" i="31"/>
  <c r="J1214" i="32"/>
  <c r="J1214" i="31"/>
  <c r="J1389" i="32"/>
  <c r="J1389" i="31"/>
  <c r="J1323" i="32"/>
  <c r="J1323" i="31"/>
  <c r="J998" i="32"/>
  <c r="J998" i="31"/>
  <c r="J1347" i="32"/>
  <c r="J1347" i="31"/>
  <c r="J960" i="32"/>
  <c r="J960" i="31"/>
  <c r="J1165" i="32"/>
  <c r="J1165" i="31"/>
  <c r="J1023" i="32"/>
  <c r="J1023" i="31"/>
  <c r="J1280" i="32"/>
  <c r="J1280" i="31"/>
  <c r="J1567" i="32"/>
  <c r="J1567" i="31"/>
  <c r="J1418" i="32"/>
  <c r="J1418" i="31"/>
  <c r="J942" i="32"/>
  <c r="J942" i="31"/>
  <c r="J950" i="32"/>
  <c r="J950" i="31"/>
  <c r="J1360" i="32"/>
  <c r="J1360" i="31"/>
  <c r="J1436" i="32"/>
  <c r="J1436" i="31"/>
  <c r="J1305" i="32"/>
  <c r="J1305" i="31"/>
  <c r="J1391" i="32"/>
  <c r="J1391" i="31"/>
  <c r="J1077" i="32"/>
  <c r="J1077" i="31"/>
  <c r="J1408" i="32"/>
  <c r="J1408" i="31"/>
  <c r="M808" i="1"/>
  <c r="N808" i="1" s="1"/>
  <c r="Q808" i="1" s="1"/>
  <c r="J808" i="32"/>
  <c r="M808" i="32" s="1"/>
  <c r="N808" i="32" s="1"/>
  <c r="J808" i="31"/>
  <c r="M808" i="31" s="1"/>
  <c r="N808" i="31" s="1"/>
  <c r="J1634" i="32"/>
  <c r="J1634" i="31"/>
  <c r="J1633" i="32"/>
  <c r="J1633" i="31"/>
  <c r="J653" i="32"/>
  <c r="M653" i="32" s="1"/>
  <c r="N653" i="32" s="1"/>
  <c r="J653" i="31"/>
  <c r="M653" i="31" s="1"/>
  <c r="N653" i="31" s="1"/>
  <c r="J1917" i="32"/>
  <c r="J1917" i="31"/>
  <c r="J1814" i="32"/>
  <c r="J1814" i="31"/>
  <c r="J1878" i="32"/>
  <c r="J1878" i="31"/>
  <c r="J1855" i="32"/>
  <c r="J1855" i="31"/>
  <c r="J1919" i="32"/>
  <c r="J1919" i="31"/>
  <c r="J1825" i="32"/>
  <c r="J1825" i="31"/>
  <c r="J1889" i="32"/>
  <c r="J1889" i="31"/>
  <c r="J1834" i="32"/>
  <c r="J1834" i="31"/>
  <c r="J1898" i="32"/>
  <c r="J1898" i="31"/>
  <c r="J1867" i="32"/>
  <c r="J1867" i="31"/>
  <c r="J1592" i="32"/>
  <c r="J1592" i="31"/>
  <c r="J2514" i="32"/>
  <c r="M2514" i="32" s="1"/>
  <c r="N2514" i="32" s="1"/>
  <c r="J2514" i="31"/>
  <c r="M2514" i="31" s="1"/>
  <c r="N2514" i="31" s="1"/>
  <c r="J2506" i="32"/>
  <c r="M2506" i="32" s="1"/>
  <c r="N2506" i="32" s="1"/>
  <c r="J2506" i="31"/>
  <c r="M2506" i="31" s="1"/>
  <c r="N2506" i="31" s="1"/>
  <c r="I413" i="32"/>
  <c r="I413" i="31"/>
  <c r="I782" i="32"/>
  <c r="I782" i="31"/>
  <c r="J105" i="32"/>
  <c r="J105" i="31"/>
  <c r="J881" i="32"/>
  <c r="J881" i="31"/>
  <c r="J894" i="32"/>
  <c r="J894" i="31"/>
  <c r="J907" i="32"/>
  <c r="J907" i="31"/>
  <c r="J63" i="32"/>
  <c r="J63" i="31"/>
  <c r="J886" i="32"/>
  <c r="J886" i="31"/>
  <c r="J96" i="32"/>
  <c r="J96" i="31"/>
  <c r="J626" i="32"/>
  <c r="J626" i="31"/>
  <c r="J901" i="32"/>
  <c r="J901" i="31"/>
  <c r="J628" i="32"/>
  <c r="J628" i="31"/>
  <c r="J911" i="32"/>
  <c r="J911" i="31"/>
  <c r="J884" i="32"/>
  <c r="J884" i="31"/>
  <c r="J1695" i="32"/>
  <c r="J1695" i="31"/>
  <c r="J116" i="32"/>
  <c r="J116" i="31"/>
  <c r="J218" i="32"/>
  <c r="J218" i="31"/>
  <c r="J635" i="32"/>
  <c r="J635" i="31"/>
  <c r="J1692" i="32"/>
  <c r="M1692" i="32" s="1"/>
  <c r="N1692" i="32" s="1"/>
  <c r="J1692" i="31"/>
  <c r="M1692" i="31" s="1"/>
  <c r="N1692" i="31" s="1"/>
  <c r="J210" i="32"/>
  <c r="J210" i="31"/>
  <c r="J627" i="32"/>
  <c r="J627" i="31"/>
  <c r="J910" i="32"/>
  <c r="J910" i="31"/>
  <c r="J630" i="32"/>
  <c r="J630" i="31"/>
  <c r="J889" i="32"/>
  <c r="J889" i="31"/>
  <c r="J92" i="32"/>
  <c r="J92" i="31"/>
  <c r="J162" i="32"/>
  <c r="J162" i="31"/>
  <c r="J155" i="32"/>
  <c r="J155" i="31"/>
  <c r="J158" i="32"/>
  <c r="J158" i="31"/>
  <c r="J1756" i="32"/>
  <c r="J1756" i="31"/>
  <c r="J390" i="32"/>
  <c r="J390" i="31"/>
  <c r="J444" i="32"/>
  <c r="J444" i="31"/>
  <c r="J78" i="32"/>
  <c r="J78" i="31"/>
  <c r="J175" i="32"/>
  <c r="J175" i="31"/>
  <c r="F364" i="32"/>
  <c r="F364" i="31"/>
  <c r="J35" i="32"/>
  <c r="J35" i="31"/>
  <c r="J556" i="32"/>
  <c r="J556" i="31"/>
  <c r="J509" i="32"/>
  <c r="J509" i="31"/>
  <c r="J183" i="32"/>
  <c r="J183" i="31"/>
  <c r="J79" i="32"/>
  <c r="J79" i="31"/>
  <c r="J527" i="32"/>
  <c r="J527" i="31"/>
  <c r="J474" i="32"/>
  <c r="J474" i="31"/>
  <c r="J122" i="32"/>
  <c r="J122" i="31"/>
  <c r="J147" i="32"/>
  <c r="J147" i="31"/>
  <c r="J546" i="32"/>
  <c r="J546" i="31"/>
  <c r="J555" i="32"/>
  <c r="J555" i="31"/>
  <c r="J1815" i="32"/>
  <c r="J1815" i="31"/>
  <c r="J1292" i="32"/>
  <c r="J1292" i="31"/>
  <c r="J1193" i="32"/>
  <c r="J1193" i="31"/>
  <c r="J917" i="32"/>
  <c r="J917" i="31"/>
  <c r="J1335" i="32"/>
  <c r="J1335" i="31"/>
  <c r="J1469" i="32"/>
  <c r="J1469" i="31"/>
  <c r="J1181" i="32"/>
  <c r="J1181" i="31"/>
  <c r="J1386" i="32"/>
  <c r="J1386" i="31"/>
  <c r="J1501" i="32"/>
  <c r="J1501" i="31"/>
  <c r="J970" i="32"/>
  <c r="J970" i="31"/>
  <c r="J1537" i="32"/>
  <c r="J1537" i="31"/>
  <c r="J1349" i="32"/>
  <c r="J1349" i="31"/>
  <c r="J933" i="32"/>
  <c r="J933" i="31"/>
  <c r="J1464" i="32"/>
  <c r="J1464" i="31"/>
  <c r="J1311" i="32"/>
  <c r="J1311" i="31"/>
  <c r="J1295" i="32"/>
  <c r="J1295" i="31"/>
  <c r="J1179" i="32"/>
  <c r="J1179" i="31"/>
  <c r="J1092" i="32"/>
  <c r="J1092" i="31"/>
  <c r="J1282" i="32"/>
  <c r="J1282" i="31"/>
  <c r="J968" i="32"/>
  <c r="J968" i="31"/>
  <c r="J921" i="32"/>
  <c r="J921" i="31"/>
  <c r="J1030" i="32"/>
  <c r="J1030" i="31"/>
  <c r="J1041" i="32"/>
  <c r="J1041" i="31"/>
  <c r="J1398" i="32"/>
  <c r="J1398" i="31"/>
  <c r="J1240" i="32"/>
  <c r="J1240" i="31"/>
  <c r="J1112" i="32"/>
  <c r="J1112" i="31"/>
  <c r="J1114" i="32"/>
  <c r="J1114" i="31"/>
  <c r="J1284" i="32"/>
  <c r="J1284" i="31"/>
  <c r="J1572" i="32"/>
  <c r="J1572" i="31"/>
  <c r="J1228" i="32"/>
  <c r="J1228" i="31"/>
  <c r="J1036" i="32"/>
  <c r="J1036" i="31"/>
  <c r="J1028" i="32"/>
  <c r="J1028" i="31"/>
  <c r="J1096" i="32"/>
  <c r="J1096" i="31"/>
  <c r="J1199" i="32"/>
  <c r="J1199" i="31"/>
  <c r="J1371" i="32"/>
  <c r="J1371" i="31"/>
  <c r="J1387" i="32"/>
  <c r="J1387" i="31"/>
  <c r="J1319" i="32"/>
  <c r="J1319" i="31"/>
  <c r="J1565" i="32"/>
  <c r="J1565" i="31"/>
  <c r="J1268" i="32"/>
  <c r="J1268" i="31"/>
  <c r="J1195" i="32"/>
  <c r="J1195" i="31"/>
  <c r="J1177" i="32"/>
  <c r="J1177" i="31"/>
  <c r="J1454" i="32"/>
  <c r="J1454" i="31"/>
  <c r="J1442" i="32"/>
  <c r="J1442" i="31"/>
  <c r="J1256" i="32"/>
  <c r="J1256" i="31"/>
  <c r="J1170" i="32"/>
  <c r="J1170" i="31"/>
  <c r="J1122" i="32"/>
  <c r="J1122" i="31"/>
  <c r="J1356" i="32"/>
  <c r="J1356" i="31"/>
  <c r="J1080" i="32"/>
  <c r="J1080" i="31"/>
  <c r="J1058" i="32"/>
  <c r="J1058" i="31"/>
  <c r="J1047" i="32"/>
  <c r="J1047" i="31"/>
  <c r="J1417" i="32"/>
  <c r="J1417" i="31"/>
  <c r="J1016" i="32"/>
  <c r="J1016" i="31"/>
  <c r="J1290" i="32"/>
  <c r="J1290" i="31"/>
  <c r="J1399" i="32"/>
  <c r="J1399" i="31"/>
  <c r="J1379" i="32"/>
  <c r="J1379" i="31"/>
  <c r="J999" i="32"/>
  <c r="J999" i="31"/>
  <c r="J1003" i="32"/>
  <c r="J1003" i="31"/>
  <c r="J1267" i="32"/>
  <c r="J1267" i="31"/>
  <c r="J957" i="32"/>
  <c r="J957" i="31"/>
  <c r="J1473" i="32"/>
  <c r="J1473" i="31"/>
  <c r="J1388" i="32"/>
  <c r="J1388" i="31"/>
  <c r="J1544" i="32"/>
  <c r="J1544" i="31"/>
  <c r="J1477" i="32"/>
  <c r="J1477" i="31"/>
  <c r="J1400" i="32"/>
  <c r="J1400" i="31"/>
  <c r="J922" i="32"/>
  <c r="J922" i="31"/>
  <c r="J958" i="32"/>
  <c r="J958" i="31"/>
  <c r="J1328" i="32"/>
  <c r="J1328" i="31"/>
  <c r="J1299" i="32"/>
  <c r="J1299" i="31"/>
  <c r="J1467" i="32"/>
  <c r="J1467" i="31"/>
  <c r="J1527" i="32"/>
  <c r="J1527" i="31"/>
  <c r="J1257" i="32"/>
  <c r="J1257" i="31"/>
  <c r="J1032" i="32"/>
  <c r="J1032" i="31"/>
  <c r="J1318" i="32"/>
  <c r="J1318" i="31"/>
  <c r="J1407" i="32"/>
  <c r="J1407" i="31"/>
  <c r="J1283" i="32"/>
  <c r="J1283" i="31"/>
  <c r="J1289" i="32"/>
  <c r="J1289" i="31"/>
  <c r="J1167" i="32"/>
  <c r="J1167" i="31"/>
  <c r="J1478" i="32"/>
  <c r="J1478" i="31"/>
  <c r="J1233" i="32"/>
  <c r="J1233" i="31"/>
  <c r="J1438" i="32"/>
  <c r="J1438" i="31"/>
  <c r="J1201" i="32"/>
  <c r="J1201" i="31"/>
  <c r="J947" i="32"/>
  <c r="J947" i="31"/>
  <c r="J927" i="32"/>
  <c r="J927" i="31"/>
  <c r="J951" i="32"/>
  <c r="J951" i="31"/>
  <c r="J1052" i="32"/>
  <c r="J1052" i="31"/>
  <c r="J1320" i="32"/>
  <c r="J1320" i="31"/>
  <c r="J1667" i="32"/>
  <c r="J1667" i="31"/>
  <c r="J1774" i="32"/>
  <c r="J1774" i="31"/>
  <c r="J1639" i="32"/>
  <c r="J1639" i="31"/>
  <c r="J1813" i="32"/>
  <c r="J1813" i="31"/>
  <c r="J1861" i="32"/>
  <c r="J1861" i="31"/>
  <c r="J1822" i="32"/>
  <c r="J1822" i="31"/>
  <c r="J1886" i="32"/>
  <c r="J1886" i="31"/>
  <c r="J1863" i="32"/>
  <c r="J1863" i="31"/>
  <c r="J1927" i="32"/>
  <c r="J1927" i="31"/>
  <c r="J1833" i="32"/>
  <c r="J1833" i="31"/>
  <c r="J1897" i="32"/>
  <c r="J1897" i="31"/>
  <c r="J1842" i="32"/>
  <c r="J1842" i="31"/>
  <c r="J1906" i="32"/>
  <c r="J1906" i="31"/>
  <c r="J1875" i="32"/>
  <c r="J1875" i="31"/>
  <c r="J1812" i="32"/>
  <c r="J1812" i="31"/>
  <c r="J2518" i="32"/>
  <c r="J2518" i="31"/>
  <c r="J2509" i="32"/>
  <c r="J2509" i="31"/>
  <c r="G496" i="32"/>
  <c r="G496" i="31"/>
  <c r="G484" i="32"/>
  <c r="G484" i="31"/>
  <c r="G409" i="32"/>
  <c r="G409" i="31"/>
  <c r="J777" i="32"/>
  <c r="J777" i="31"/>
  <c r="J1689" i="32"/>
  <c r="M1689" i="32" s="1"/>
  <c r="N1689" i="32" s="1"/>
  <c r="J1689" i="31"/>
  <c r="M1689" i="31" s="1"/>
  <c r="N1689" i="31" s="1"/>
  <c r="J94" i="32"/>
  <c r="J94" i="31"/>
  <c r="J624" i="32"/>
  <c r="J624" i="31"/>
  <c r="J621" i="32"/>
  <c r="J621" i="31"/>
  <c r="J904" i="32"/>
  <c r="J904" i="31"/>
  <c r="J107" i="32"/>
  <c r="J107" i="31"/>
  <c r="J1688" i="32"/>
  <c r="M1688" i="32" s="1"/>
  <c r="N1688" i="32" s="1"/>
  <c r="J1688" i="31"/>
  <c r="M1688" i="31" s="1"/>
  <c r="N1688" i="31" s="1"/>
  <c r="J101" i="32"/>
  <c r="J101" i="31"/>
  <c r="J623" i="32"/>
  <c r="J623" i="31"/>
  <c r="J111" i="32"/>
  <c r="J111" i="31"/>
  <c r="J641" i="32"/>
  <c r="J641" i="31"/>
  <c r="J226" i="32"/>
  <c r="J226" i="31"/>
  <c r="J643" i="32"/>
  <c r="J643" i="31"/>
  <c r="J1700" i="32"/>
  <c r="J1700" i="31"/>
  <c r="J1712" i="32"/>
  <c r="J1712" i="31"/>
  <c r="J207" i="32"/>
  <c r="J207" i="31"/>
  <c r="J826" i="32"/>
  <c r="J826" i="31"/>
  <c r="J1705" i="32"/>
  <c r="J1705" i="31"/>
  <c r="J110" i="32"/>
  <c r="J110" i="31"/>
  <c r="J640" i="32"/>
  <c r="J640" i="31"/>
  <c r="J113" i="32"/>
  <c r="J113" i="31"/>
  <c r="J619" i="32"/>
  <c r="J619" i="31"/>
  <c r="J902" i="32"/>
  <c r="J902" i="31"/>
  <c r="J1747" i="32"/>
  <c r="J1747" i="31"/>
  <c r="J166" i="32"/>
  <c r="J166" i="31"/>
  <c r="J169" i="32"/>
  <c r="J169" i="31"/>
  <c r="J161" i="32"/>
  <c r="J161" i="31"/>
  <c r="I449" i="32"/>
  <c r="I449" i="31"/>
  <c r="I467" i="32"/>
  <c r="I467" i="31"/>
  <c r="M1690" i="1"/>
  <c r="N1690" i="1" s="1"/>
  <c r="S1690" i="1" s="1"/>
  <c r="M1692" i="1"/>
  <c r="N1692" i="1" s="1"/>
  <c r="Q1692" i="1" s="1"/>
  <c r="M1689" i="1"/>
  <c r="N1689" i="1" s="1"/>
  <c r="S1689" i="1" s="1"/>
  <c r="M1688" i="1"/>
  <c r="N1688" i="1" s="1"/>
  <c r="S1688" i="1" s="1"/>
  <c r="M1691" i="1"/>
  <c r="N1691" i="1" s="1"/>
  <c r="R1691" i="1" s="1"/>
  <c r="J491" i="1"/>
  <c r="M78" i="1"/>
  <c r="N78" i="1" s="1"/>
  <c r="M653" i="1"/>
  <c r="N653" i="1" s="1"/>
  <c r="M2506" i="1"/>
  <c r="N2506" i="1" s="1"/>
  <c r="M35" i="1"/>
  <c r="G378" i="1"/>
  <c r="F412" i="19"/>
  <c r="I788" i="19"/>
  <c r="J788" i="1"/>
  <c r="I467" i="19"/>
  <c r="J467" i="1"/>
  <c r="J444" i="19"/>
  <c r="J462" i="19"/>
  <c r="I455" i="19"/>
  <c r="J455" i="1"/>
  <c r="I461" i="19"/>
  <c r="J461" i="1"/>
  <c r="J450" i="19"/>
  <c r="J456" i="19"/>
  <c r="I449" i="19"/>
  <c r="J449" i="1"/>
  <c r="J390" i="19"/>
  <c r="I419" i="19"/>
  <c r="J419" i="1"/>
  <c r="I395" i="19"/>
  <c r="J395" i="1"/>
  <c r="J622" i="19"/>
  <c r="J48" i="19"/>
  <c r="J843" i="19"/>
  <c r="J211" i="19"/>
  <c r="J830" i="19"/>
  <c r="J109" i="19"/>
  <c r="J909" i="19"/>
  <c r="J96" i="19"/>
  <c r="J896" i="19"/>
  <c r="J580" i="19"/>
  <c r="J891" i="19"/>
  <c r="J223" i="19"/>
  <c r="J1715" i="19"/>
  <c r="J226" i="19"/>
  <c r="J1695" i="19"/>
  <c r="J633" i="19"/>
  <c r="J98" i="19"/>
  <c r="J890" i="19"/>
  <c r="J566" i="19"/>
  <c r="J52" i="19"/>
  <c r="J839" i="19"/>
  <c r="J110" i="19"/>
  <c r="J910" i="19"/>
  <c r="J630" i="19"/>
  <c r="J56" i="19"/>
  <c r="J851" i="19"/>
  <c r="J219" i="19"/>
  <c r="J629" i="19"/>
  <c r="J1687" i="19"/>
  <c r="J833" i="19"/>
  <c r="J105" i="19"/>
  <c r="J881" i="19"/>
  <c r="J565" i="19"/>
  <c r="J908" i="19"/>
  <c r="J216" i="19"/>
  <c r="J1701" i="19"/>
  <c r="J631" i="19"/>
  <c r="J1688" i="19"/>
  <c r="J626" i="19"/>
  <c r="J99" i="19"/>
  <c r="J577" i="19"/>
  <c r="J47" i="19"/>
  <c r="J842" i="19"/>
  <c r="J50" i="19"/>
  <c r="J643" i="19"/>
  <c r="J116" i="19"/>
  <c r="J1713" i="19"/>
  <c r="J584" i="19"/>
  <c r="J54" i="19"/>
  <c r="J849" i="19"/>
  <c r="J217" i="19"/>
  <c r="J1702" i="19"/>
  <c r="J640" i="19"/>
  <c r="J113" i="19"/>
  <c r="J889" i="19"/>
  <c r="J573" i="19"/>
  <c r="J51" i="19"/>
  <c r="J1750" i="19"/>
  <c r="J1753" i="19"/>
  <c r="J1744" i="19"/>
  <c r="J1689" i="19"/>
  <c r="J583" i="19"/>
  <c r="J61" i="19"/>
  <c r="J586" i="19"/>
  <c r="J1718" i="19"/>
  <c r="J835" i="19"/>
  <c r="J203" i="19"/>
  <c r="J636" i="19"/>
  <c r="J101" i="19"/>
  <c r="J901" i="19"/>
  <c r="J65" i="19"/>
  <c r="J888" i="19"/>
  <c r="J572" i="19"/>
  <c r="J883" i="19"/>
  <c r="J215" i="19"/>
  <c r="J1700" i="19"/>
  <c r="J848" i="19"/>
  <c r="J95" i="19"/>
  <c r="J895" i="19"/>
  <c r="J571" i="19"/>
  <c r="J1719" i="19"/>
  <c r="J836" i="19"/>
  <c r="J212" i="19"/>
  <c r="J1697" i="19"/>
  <c r="J619" i="19"/>
  <c r="J92" i="19"/>
  <c r="J162" i="19"/>
  <c r="J155" i="19"/>
  <c r="J158" i="19"/>
  <c r="J1756" i="19"/>
  <c r="J637" i="19"/>
  <c r="J94" i="19"/>
  <c r="J894" i="19"/>
  <c r="J97" i="19"/>
  <c r="J845" i="19"/>
  <c r="J221" i="19"/>
  <c r="J900" i="19"/>
  <c r="J208" i="19"/>
  <c r="J1693" i="19"/>
  <c r="J623" i="19"/>
  <c r="J906" i="19"/>
  <c r="J582" i="19"/>
  <c r="J68" i="19"/>
  <c r="J569" i="19"/>
  <c r="J1717" i="19"/>
  <c r="J834" i="19"/>
  <c r="J218" i="19"/>
  <c r="J905" i="19"/>
  <c r="J625" i="19"/>
  <c r="J67" i="19"/>
  <c r="J882" i="19"/>
  <c r="J222" i="19"/>
  <c r="J1714" i="19"/>
  <c r="J831" i="19"/>
  <c r="J102" i="19"/>
  <c r="J902" i="19"/>
  <c r="J1747" i="19"/>
  <c r="J166" i="19"/>
  <c r="J169" i="19"/>
  <c r="J161" i="19"/>
  <c r="J112" i="19"/>
  <c r="J912" i="19"/>
  <c r="J624" i="19"/>
  <c r="J907" i="19"/>
  <c r="J575" i="19"/>
  <c r="J53" i="19"/>
  <c r="J578" i="19"/>
  <c r="J1710" i="19"/>
  <c r="J827" i="19"/>
  <c r="J114" i="19"/>
  <c r="J628" i="19"/>
  <c r="J93" i="19"/>
  <c r="J893" i="19"/>
  <c r="J57" i="19"/>
  <c r="J852" i="19"/>
  <c r="J564" i="19"/>
  <c r="J1712" i="19"/>
  <c r="J635" i="19"/>
  <c r="J108" i="19"/>
  <c r="J1706" i="19"/>
  <c r="J576" i="19"/>
  <c r="J46" i="19"/>
  <c r="J841" i="19"/>
  <c r="J209" i="19"/>
  <c r="J1694" i="19"/>
  <c r="J632" i="19"/>
  <c r="J163" i="19"/>
  <c r="J638" i="19"/>
  <c r="J820" i="19"/>
  <c r="J171" i="19"/>
  <c r="J1704" i="19"/>
  <c r="J642" i="19"/>
  <c r="J115" i="19"/>
  <c r="J621" i="19"/>
  <c r="J63" i="19"/>
  <c r="J886" i="19"/>
  <c r="J66" i="19"/>
  <c r="J837" i="19"/>
  <c r="J213" i="19"/>
  <c r="J892" i="19"/>
  <c r="J111" i="19"/>
  <c r="J911" i="19"/>
  <c r="J587" i="19"/>
  <c r="J898" i="19"/>
  <c r="J574" i="19"/>
  <c r="J60" i="19"/>
  <c r="J847" i="19"/>
  <c r="J207" i="19"/>
  <c r="J1692" i="19"/>
  <c r="J832" i="19"/>
  <c r="J64" i="19"/>
  <c r="J887" i="19"/>
  <c r="J227" i="19"/>
  <c r="J1711" i="19"/>
  <c r="J828" i="19"/>
  <c r="J204" i="19"/>
  <c r="J1707" i="19"/>
  <c r="J1751" i="19"/>
  <c r="J1754" i="19"/>
  <c r="J840" i="19"/>
  <c r="J44" i="19"/>
  <c r="J838" i="19"/>
  <c r="J206" i="19"/>
  <c r="J1691" i="19"/>
  <c r="J104" i="19"/>
  <c r="J904" i="19"/>
  <c r="J588" i="19"/>
  <c r="J899" i="19"/>
  <c r="J567" i="19"/>
  <c r="J45" i="19"/>
  <c r="J570" i="19"/>
  <c r="J1703" i="19"/>
  <c r="J641" i="19"/>
  <c r="J106" i="19"/>
  <c r="J620" i="19"/>
  <c r="J62" i="19"/>
  <c r="J885" i="19"/>
  <c r="J225" i="19"/>
  <c r="J1709" i="19"/>
  <c r="J826" i="19"/>
  <c r="J210" i="19"/>
  <c r="J897" i="19"/>
  <c r="J581" i="19"/>
  <c r="J59" i="19"/>
  <c r="J846" i="19"/>
  <c r="J214" i="19"/>
  <c r="J1699" i="19"/>
  <c r="J1748" i="19"/>
  <c r="J156" i="19"/>
  <c r="J159" i="19"/>
  <c r="J1745" i="19"/>
  <c r="J1690" i="19"/>
  <c r="J224" i="19"/>
  <c r="J1708" i="19"/>
  <c r="J639" i="19"/>
  <c r="J1696" i="19"/>
  <c r="J634" i="19"/>
  <c r="J107" i="19"/>
  <c r="J585" i="19"/>
  <c r="J55" i="19"/>
  <c r="J850" i="19"/>
  <c r="J58" i="19"/>
  <c r="J829" i="19"/>
  <c r="J205" i="19"/>
  <c r="J884" i="19"/>
  <c r="J103" i="19"/>
  <c r="J903" i="19"/>
  <c r="J579" i="19"/>
  <c r="J49" i="19"/>
  <c r="J844" i="19"/>
  <c r="J220" i="19"/>
  <c r="J1705" i="19"/>
  <c r="J627" i="19"/>
  <c r="J100" i="19"/>
  <c r="J1698" i="19"/>
  <c r="J568" i="19"/>
  <c r="J1716" i="19"/>
  <c r="J825" i="19"/>
  <c r="J165" i="19"/>
  <c r="J167" i="19"/>
  <c r="J170" i="19"/>
  <c r="J1757" i="19"/>
  <c r="J384" i="19"/>
  <c r="G480" i="1"/>
  <c r="G436" i="19"/>
  <c r="J782" i="1"/>
  <c r="I782" i="19"/>
  <c r="J777" i="19"/>
  <c r="J389" i="1"/>
  <c r="I389" i="19"/>
  <c r="J486" i="19"/>
  <c r="G409" i="19"/>
  <c r="G412" i="1"/>
  <c r="J413" i="1"/>
  <c r="M413" i="1" s="1"/>
  <c r="N413" i="1" s="1"/>
  <c r="I413" i="19"/>
  <c r="G382" i="19"/>
  <c r="G406" i="19"/>
  <c r="G484" i="19"/>
  <c r="G396" i="19"/>
  <c r="G402" i="1"/>
  <c r="I491" i="19"/>
  <c r="J1043" i="19"/>
  <c r="J1405" i="19"/>
  <c r="J1402" i="19"/>
  <c r="J1329" i="19"/>
  <c r="J1063" i="19"/>
  <c r="J1171" i="19"/>
  <c r="J1044" i="19"/>
  <c r="J1141" i="19"/>
  <c r="J1421" i="19"/>
  <c r="J977" i="19"/>
  <c r="J1584" i="19"/>
  <c r="J1146" i="19"/>
  <c r="J1575" i="19"/>
  <c r="J1517" i="19"/>
  <c r="J1224" i="19"/>
  <c r="J1002" i="19"/>
  <c r="J1546" i="19"/>
  <c r="J1110" i="19"/>
  <c r="J1579" i="19"/>
  <c r="J1093" i="19"/>
  <c r="J1395" i="19"/>
  <c r="J1445" i="19"/>
  <c r="J1457" i="19"/>
  <c r="J1366" i="19"/>
  <c r="J1530" i="19"/>
  <c r="J1459" i="19"/>
  <c r="J1341" i="19"/>
  <c r="J995" i="19"/>
  <c r="J1102" i="19"/>
  <c r="J938" i="19"/>
  <c r="J1500" i="19"/>
  <c r="J1761" i="19"/>
  <c r="J1837" i="19"/>
  <c r="J1925" i="19"/>
  <c r="J1594" i="19"/>
  <c r="J1846" i="19"/>
  <c r="J1910" i="19"/>
  <c r="J1855" i="19"/>
  <c r="J1919" i="19"/>
  <c r="J1832" i="19"/>
  <c r="J1825" i="19"/>
  <c r="J1889" i="19"/>
  <c r="J1622" i="19"/>
  <c r="J1866" i="19"/>
  <c r="J1599" i="19"/>
  <c r="J1867" i="19"/>
  <c r="J1592" i="19"/>
  <c r="J1836" i="19"/>
  <c r="M2511" i="1"/>
  <c r="N2511" i="1" s="1"/>
  <c r="Q2511" i="1" s="1"/>
  <c r="J2511" i="19"/>
  <c r="J2505" i="19"/>
  <c r="J532" i="19"/>
  <c r="J1259" i="19"/>
  <c r="J1410" i="19"/>
  <c r="J1342" i="19"/>
  <c r="J1463" i="19"/>
  <c r="J981" i="19"/>
  <c r="J1509" i="19"/>
  <c r="J1548" i="19"/>
  <c r="J1104" i="19"/>
  <c r="J1241" i="19"/>
  <c r="J1336" i="19"/>
  <c r="J127" i="19"/>
  <c r="J1160" i="19"/>
  <c r="J980" i="19"/>
  <c r="J992" i="19"/>
  <c r="J1203" i="19"/>
  <c r="J925" i="19"/>
  <c r="J996" i="19"/>
  <c r="J1489" i="19"/>
  <c r="J1561" i="19"/>
  <c r="J1212" i="19"/>
  <c r="J1072" i="19"/>
  <c r="J1293" i="19"/>
  <c r="J1497" i="19"/>
  <c r="J1025" i="19"/>
  <c r="J1175" i="19"/>
  <c r="J985" i="19"/>
  <c r="J1466" i="19"/>
  <c r="J1210" i="19"/>
  <c r="J1425" i="19"/>
  <c r="J1406" i="19"/>
  <c r="J1504" i="19"/>
  <c r="J1602" i="19"/>
  <c r="J1918" i="19"/>
  <c r="J1927" i="19"/>
  <c r="J1833" i="19"/>
  <c r="J1897" i="19"/>
  <c r="J1607" i="19"/>
  <c r="J1600" i="19"/>
  <c r="J1961" i="19"/>
  <c r="J34" i="19"/>
  <c r="J41" i="19"/>
  <c r="J198" i="19"/>
  <c r="J143" i="19"/>
  <c r="J177" i="19"/>
  <c r="J560" i="19"/>
  <c r="J553" i="19"/>
  <c r="J530" i="19"/>
  <c r="J531" i="19"/>
  <c r="J1067" i="19"/>
  <c r="J1531" i="19"/>
  <c r="J1298" i="19"/>
  <c r="J1245" i="19"/>
  <c r="J993" i="19"/>
  <c r="J926" i="19"/>
  <c r="J1172" i="19"/>
  <c r="J1393" i="19"/>
  <c r="J1570" i="19"/>
  <c r="J1493" i="19"/>
  <c r="J920" i="19"/>
  <c r="J1545" i="19"/>
  <c r="J1462" i="19"/>
  <c r="J940" i="19"/>
  <c r="J1494" i="19"/>
  <c r="J1484" i="19"/>
  <c r="J1471" i="19"/>
  <c r="J1276" i="19"/>
  <c r="J1048" i="19"/>
  <c r="J1083" i="19"/>
  <c r="J1205" i="19"/>
  <c r="J1149" i="19"/>
  <c r="J1124" i="19"/>
  <c r="J1394" i="19"/>
  <c r="J1232" i="19"/>
  <c r="J1479" i="19"/>
  <c r="J1321" i="19"/>
  <c r="J961" i="19"/>
  <c r="J1225" i="19"/>
  <c r="J1066" i="19"/>
  <c r="J1166" i="19"/>
  <c r="J1474" i="19"/>
  <c r="J1031" i="19"/>
  <c r="J1151" i="19"/>
  <c r="J1097" i="19"/>
  <c r="J1316" i="19"/>
  <c r="J1100" i="19"/>
  <c r="J1231" i="19"/>
  <c r="J1348" i="19"/>
  <c r="J1183" i="19"/>
  <c r="J1589" i="19"/>
  <c r="J932" i="19"/>
  <c r="J1230" i="19"/>
  <c r="J1376" i="19"/>
  <c r="J1487" i="19"/>
  <c r="J1027" i="19"/>
  <c r="J1578" i="19"/>
  <c r="J1204" i="19"/>
  <c r="J1426" i="19"/>
  <c r="J1496" i="19"/>
  <c r="J1382" i="19"/>
  <c r="J1505" i="19"/>
  <c r="J1510" i="19"/>
  <c r="J1238" i="19"/>
  <c r="J1255" i="19"/>
  <c r="J1069" i="19"/>
  <c r="J1540" i="19"/>
  <c r="J1553" i="19"/>
  <c r="J1018" i="19"/>
  <c r="J1057" i="19"/>
  <c r="J1533" i="19"/>
  <c r="J1132" i="19"/>
  <c r="J1187" i="19"/>
  <c r="J1440" i="19"/>
  <c r="J1564" i="19"/>
  <c r="J1314" i="19"/>
  <c r="J1296" i="19"/>
  <c r="J1285" i="19"/>
  <c r="J1068" i="19"/>
  <c r="J1488" i="19"/>
  <c r="J1310" i="19"/>
  <c r="J1490" i="19"/>
  <c r="J1518" i="19"/>
  <c r="J1221" i="19"/>
  <c r="J1161" i="19"/>
  <c r="J1419" i="19"/>
  <c r="J1539" i="19"/>
  <c r="J971" i="19"/>
  <c r="J1374" i="19"/>
  <c r="J1191" i="19"/>
  <c r="J1007" i="19"/>
  <c r="J1108" i="19"/>
  <c r="J1019" i="19"/>
  <c r="J1453" i="19"/>
  <c r="J915" i="19"/>
  <c r="J1617" i="19"/>
  <c r="J1593" i="19"/>
  <c r="J1610" i="19"/>
  <c r="J1862" i="19"/>
  <c r="J1926" i="19"/>
  <c r="J1871" i="19"/>
  <c r="J1596" i="19"/>
  <c r="J1597" i="19"/>
  <c r="J1841" i="19"/>
  <c r="J1905" i="19"/>
  <c r="J1818" i="19"/>
  <c r="J1882" i="19"/>
  <c r="J1615" i="19"/>
  <c r="J1883" i="19"/>
  <c r="J1608" i="19"/>
  <c r="J1941" i="19"/>
  <c r="M2503" i="1"/>
  <c r="N2503" i="1" s="1"/>
  <c r="S2503" i="1" s="1"/>
  <c r="J2503" i="19"/>
  <c r="G492" i="1"/>
  <c r="J152" i="19"/>
  <c r="J1456" i="19"/>
  <c r="J1142" i="19"/>
  <c r="J1404" i="19"/>
  <c r="J1549" i="19"/>
  <c r="J1535" i="19"/>
  <c r="J1536" i="19"/>
  <c r="J1054" i="19"/>
  <c r="J963" i="19"/>
  <c r="J1435" i="19"/>
  <c r="J1339" i="19"/>
  <c r="J1455" i="19"/>
  <c r="J1253" i="19"/>
  <c r="J956" i="19"/>
  <c r="J1315" i="19"/>
  <c r="J182" i="19"/>
  <c r="J522" i="19"/>
  <c r="J1239" i="19"/>
  <c r="J1587" i="19"/>
  <c r="J1585" i="19"/>
  <c r="J1126" i="19"/>
  <c r="J974" i="19"/>
  <c r="J918" i="19"/>
  <c r="J1266" i="19"/>
  <c r="J1568" i="19"/>
  <c r="J1249" i="19"/>
  <c r="J1219" i="19"/>
  <c r="J1547" i="19"/>
  <c r="J1450" i="19"/>
  <c r="J1176" i="19"/>
  <c r="J1123" i="19"/>
  <c r="J1144" i="19"/>
  <c r="J1223" i="19"/>
  <c r="J1131" i="19"/>
  <c r="J1038" i="19"/>
  <c r="J1157" i="19"/>
  <c r="J1094" i="19"/>
  <c r="J986" i="19"/>
  <c r="J1560" i="19"/>
  <c r="J953" i="19"/>
  <c r="J929" i="19"/>
  <c r="J1351" i="19"/>
  <c r="J1070" i="19"/>
  <c r="J1901" i="19"/>
  <c r="J1869" i="19"/>
  <c r="J1854" i="19"/>
  <c r="J1863" i="19"/>
  <c r="J1840" i="19"/>
  <c r="J1778" i="19"/>
  <c r="J1874" i="19"/>
  <c r="J1875" i="19"/>
  <c r="M2507" i="1"/>
  <c r="N2507" i="1" s="1"/>
  <c r="J2507" i="19"/>
  <c r="M2513" i="1"/>
  <c r="N2513" i="1" s="1"/>
  <c r="S2513" i="1" s="1"/>
  <c r="J2513" i="19"/>
  <c r="J173" i="19"/>
  <c r="J78" i="19"/>
  <c r="J175" i="19"/>
  <c r="J558" i="19"/>
  <c r="J519" i="19"/>
  <c r="J193" i="19"/>
  <c r="J81" i="19"/>
  <c r="J1557" i="19"/>
  <c r="J1213" i="19"/>
  <c r="J949" i="19"/>
  <c r="J1334" i="19"/>
  <c r="J1415" i="19"/>
  <c r="J1261" i="19"/>
  <c r="J1269" i="19"/>
  <c r="J1424" i="19"/>
  <c r="J1324" i="19"/>
  <c r="J1158" i="19"/>
  <c r="J1446" i="19"/>
  <c r="J1014" i="19"/>
  <c r="J1383" i="19"/>
  <c r="J1196" i="19"/>
  <c r="J1055" i="19"/>
  <c r="J1476" i="19"/>
  <c r="J1528" i="19"/>
  <c r="J994" i="19"/>
  <c r="J1498" i="19"/>
  <c r="J1026" i="19"/>
  <c r="J1309" i="19"/>
  <c r="J1364" i="19"/>
  <c r="J1005" i="19"/>
  <c r="J930" i="19"/>
  <c r="J997" i="19"/>
  <c r="J1073" i="19"/>
  <c r="J935" i="19"/>
  <c r="J1304" i="19"/>
  <c r="J1573" i="19"/>
  <c r="J1460" i="19"/>
  <c r="J1303" i="19"/>
  <c r="J928" i="19"/>
  <c r="J945" i="19"/>
  <c r="J1148" i="19"/>
  <c r="J1004" i="19"/>
  <c r="J1422" i="19"/>
  <c r="J1217" i="19"/>
  <c r="J1274" i="19"/>
  <c r="J1198" i="19"/>
  <c r="J1344" i="19"/>
  <c r="J1244" i="19"/>
  <c r="J1563" i="19"/>
  <c r="J1143" i="19"/>
  <c r="J1369" i="19"/>
  <c r="J1081" i="19"/>
  <c r="J1051" i="19"/>
  <c r="J1180" i="19"/>
  <c r="J1011" i="19"/>
  <c r="J1486" i="19"/>
  <c r="J1332" i="19"/>
  <c r="J1242" i="19"/>
  <c r="J1357" i="19"/>
  <c r="J1119" i="19"/>
  <c r="J1156" i="19"/>
  <c r="J1297" i="19"/>
  <c r="J1103" i="19"/>
  <c r="J1022" i="19"/>
  <c r="J1448" i="19"/>
  <c r="J1061" i="19"/>
  <c r="J1098" i="19"/>
  <c r="J1078" i="19"/>
  <c r="J1035" i="19"/>
  <c r="J1513" i="19"/>
  <c r="J1281" i="19"/>
  <c r="J1532" i="19"/>
  <c r="J1163" i="19"/>
  <c r="J1214" i="19"/>
  <c r="J1389" i="19"/>
  <c r="J1323" i="19"/>
  <c r="J998" i="19"/>
  <c r="J1347" i="19"/>
  <c r="J960" i="19"/>
  <c r="J1165" i="19"/>
  <c r="J1023" i="19"/>
  <c r="J1280" i="19"/>
  <c r="J1567" i="19"/>
  <c r="J1418" i="19"/>
  <c r="J942" i="19"/>
  <c r="J950" i="19"/>
  <c r="J1360" i="19"/>
  <c r="J1436" i="19"/>
  <c r="J1305" i="19"/>
  <c r="J1391" i="19"/>
  <c r="J1077" i="19"/>
  <c r="J1408" i="19"/>
  <c r="J808" i="19"/>
  <c r="J1845" i="19"/>
  <c r="J1821" i="19"/>
  <c r="J1618" i="19"/>
  <c r="J1870" i="19"/>
  <c r="J1595" i="19"/>
  <c r="J1879" i="19"/>
  <c r="J1604" i="19"/>
  <c r="J1605" i="19"/>
  <c r="J1849" i="19"/>
  <c r="J1913" i="19"/>
  <c r="J1826" i="19"/>
  <c r="J1890" i="19"/>
  <c r="J1623" i="19"/>
  <c r="J1891" i="19"/>
  <c r="J1616" i="19"/>
  <c r="M2510" i="1"/>
  <c r="N2510" i="1" s="1"/>
  <c r="J2510" i="19"/>
  <c r="M2512" i="1"/>
  <c r="N2512" i="1" s="1"/>
  <c r="J2512" i="19"/>
  <c r="G420" i="1"/>
  <c r="J443" i="1"/>
  <c r="I443" i="19"/>
  <c r="J438" i="19"/>
  <c r="J80" i="19"/>
  <c r="J1338" i="19"/>
  <c r="J1555" i="19"/>
  <c r="J1162" i="19"/>
  <c r="J1125" i="19"/>
  <c r="J1326" i="19"/>
  <c r="J1208" i="19"/>
  <c r="J1000" i="19"/>
  <c r="J1577" i="19"/>
  <c r="J969" i="19"/>
  <c r="J1566" i="19"/>
  <c r="J552" i="19"/>
  <c r="J1429" i="19"/>
  <c r="J1222" i="19"/>
  <c r="J1010" i="19"/>
  <c r="J1277" i="19"/>
  <c r="J946" i="19"/>
  <c r="J1397" i="19"/>
  <c r="J1137" i="19"/>
  <c r="J1451" i="19"/>
  <c r="J1138" i="19"/>
  <c r="J1586" i="19"/>
  <c r="J1353" i="19"/>
  <c r="J1101" i="19"/>
  <c r="J1227" i="19"/>
  <c r="J1264" i="19"/>
  <c r="J1412" i="19"/>
  <c r="J1432" i="19"/>
  <c r="J556" i="19"/>
  <c r="J527" i="19"/>
  <c r="J147" i="19"/>
  <c r="J1335" i="19"/>
  <c r="J1469" i="19"/>
  <c r="J1386" i="19"/>
  <c r="J1537" i="19"/>
  <c r="J933" i="19"/>
  <c r="J1464" i="19"/>
  <c r="J1311" i="19"/>
  <c r="J1295" i="19"/>
  <c r="J1179" i="19"/>
  <c r="J1092" i="19"/>
  <c r="J968" i="19"/>
  <c r="J921" i="19"/>
  <c r="J1030" i="19"/>
  <c r="J1041" i="19"/>
  <c r="J1398" i="19"/>
  <c r="J1240" i="19"/>
  <c r="J1112" i="19"/>
  <c r="J1114" i="19"/>
  <c r="J1284" i="19"/>
  <c r="J1572" i="19"/>
  <c r="J1228" i="19"/>
  <c r="J1036" i="19"/>
  <c r="J1028" i="19"/>
  <c r="J1096" i="19"/>
  <c r="J1199" i="19"/>
  <c r="J1371" i="19"/>
  <c r="J1387" i="19"/>
  <c r="J1319" i="19"/>
  <c r="J1565" i="19"/>
  <c r="J1268" i="19"/>
  <c r="J1195" i="19"/>
  <c r="J1177" i="19"/>
  <c r="J1454" i="19"/>
  <c r="J1442" i="19"/>
  <c r="J1256" i="19"/>
  <c r="J1170" i="19"/>
  <c r="J1122" i="19"/>
  <c r="J1356" i="19"/>
  <c r="J1080" i="19"/>
  <c r="J1058" i="19"/>
  <c r="J1047" i="19"/>
  <c r="J1417" i="19"/>
  <c r="J1016" i="19"/>
  <c r="J1290" i="19"/>
  <c r="J1399" i="19"/>
  <c r="J1379" i="19"/>
  <c r="J999" i="19"/>
  <c r="J1003" i="19"/>
  <c r="J1267" i="19"/>
  <c r="J957" i="19"/>
  <c r="J1473" i="19"/>
  <c r="J1388" i="19"/>
  <c r="J1544" i="19"/>
  <c r="J1477" i="19"/>
  <c r="J1400" i="19"/>
  <c r="J922" i="19"/>
  <c r="J958" i="19"/>
  <c r="J1328" i="19"/>
  <c r="J1299" i="19"/>
  <c r="J1467" i="19"/>
  <c r="J1527" i="19"/>
  <c r="J1257" i="19"/>
  <c r="J1032" i="19"/>
  <c r="J1318" i="19"/>
  <c r="J1407" i="19"/>
  <c r="J1283" i="19"/>
  <c r="J1289" i="19"/>
  <c r="J1167" i="19"/>
  <c r="J1478" i="19"/>
  <c r="J1233" i="19"/>
  <c r="J1438" i="19"/>
  <c r="J1201" i="19"/>
  <c r="J947" i="19"/>
  <c r="J927" i="19"/>
  <c r="J951" i="19"/>
  <c r="J1052" i="19"/>
  <c r="J1320" i="19"/>
  <c r="J1667" i="19"/>
  <c r="J1909" i="19"/>
  <c r="J1885" i="19"/>
  <c r="J1814" i="19"/>
  <c r="J1878" i="19"/>
  <c r="J1603" i="19"/>
  <c r="J1887" i="19"/>
  <c r="J1612" i="19"/>
  <c r="J1613" i="19"/>
  <c r="J1857" i="19"/>
  <c r="J1921" i="19"/>
  <c r="J1834" i="19"/>
  <c r="J1898" i="19"/>
  <c r="J1779" i="19"/>
  <c r="J1899" i="19"/>
  <c r="J1624" i="19"/>
  <c r="M2514" i="1"/>
  <c r="N2514" i="1" s="1"/>
  <c r="J2514" i="19"/>
  <c r="J2506" i="19"/>
  <c r="J824" i="19"/>
  <c r="J149" i="19"/>
  <c r="J36" i="19"/>
  <c r="J525" i="19"/>
  <c r="J191" i="19"/>
  <c r="J87" i="19"/>
  <c r="J146" i="19"/>
  <c r="J179" i="19"/>
  <c r="J554" i="19"/>
  <c r="J979" i="19"/>
  <c r="J943" i="19"/>
  <c r="J1118" i="19"/>
  <c r="J1116" i="19"/>
  <c r="J1430" i="19"/>
  <c r="J1150" i="19"/>
  <c r="J1526" i="19"/>
  <c r="J1111" i="19"/>
  <c r="J1443" i="19"/>
  <c r="J1020" i="19"/>
  <c r="J1017" i="19"/>
  <c r="J1254" i="19"/>
  <c r="J934" i="19"/>
  <c r="J1423" i="19"/>
  <c r="J1159" i="19"/>
  <c r="J1470" i="19"/>
  <c r="J1441" i="19"/>
  <c r="J1001" i="19"/>
  <c r="J1152" i="19"/>
  <c r="J939" i="19"/>
  <c r="J1270" i="19"/>
  <c r="J1082" i="19"/>
  <c r="J1558" i="19"/>
  <c r="J1071" i="19"/>
  <c r="J931" i="19"/>
  <c r="J1013" i="19"/>
  <c r="J1481" i="19"/>
  <c r="J1512" i="19"/>
  <c r="J1350" i="19"/>
  <c r="J1307" i="19"/>
  <c r="J1006" i="19"/>
  <c r="J1117" i="19"/>
  <c r="J1368" i="19"/>
  <c r="J1543" i="19"/>
  <c r="J1449" i="19"/>
  <c r="J1420" i="19"/>
  <c r="J1164" i="19"/>
  <c r="J1401" i="19"/>
  <c r="J1200" i="19"/>
  <c r="J978" i="19"/>
  <c r="J1538" i="19"/>
  <c r="J1502" i="19"/>
  <c r="J1507" i="19"/>
  <c r="J1085" i="19"/>
  <c r="J1169" i="19"/>
  <c r="J1250" i="19"/>
  <c r="J1411" i="19"/>
  <c r="J1147" i="19"/>
  <c r="J1279" i="19"/>
  <c r="J991" i="19"/>
  <c r="J1580" i="19"/>
  <c r="J1458" i="19"/>
  <c r="J1189" i="19"/>
  <c r="J1551" i="19"/>
  <c r="J1516" i="19"/>
  <c r="J1034" i="19"/>
  <c r="J1511" i="19"/>
  <c r="J1333" i="19"/>
  <c r="J1074" i="19"/>
  <c r="J1359" i="19"/>
  <c r="J1482" i="19"/>
  <c r="J1574" i="19"/>
  <c r="J1515" i="19"/>
  <c r="J1079" i="19"/>
  <c r="J1243" i="19"/>
  <c r="J1475" i="19"/>
  <c r="J1186" i="19"/>
  <c r="J1294" i="19"/>
  <c r="J1129" i="19"/>
  <c r="J919" i="19"/>
  <c r="J964" i="19"/>
  <c r="J1403" i="19"/>
  <c r="J1237" i="19"/>
  <c r="J1480" i="19"/>
  <c r="J1306" i="19"/>
  <c r="J1288" i="19"/>
  <c r="J1039" i="19"/>
  <c r="J1581" i="19"/>
  <c r="J1352" i="19"/>
  <c r="J1182" i="19"/>
  <c r="J972" i="19"/>
  <c r="J1260" i="19"/>
  <c r="J1059" i="19"/>
  <c r="J1355" i="19"/>
  <c r="J1215" i="19"/>
  <c r="J1666" i="19"/>
  <c r="J1813" i="19"/>
  <c r="J1853" i="19"/>
  <c r="J1601" i="19"/>
  <c r="J1822" i="19"/>
  <c r="J1886" i="19"/>
  <c r="J1611" i="19"/>
  <c r="J1895" i="19"/>
  <c r="J1620" i="19"/>
  <c r="J1621" i="19"/>
  <c r="J1865" i="19"/>
  <c r="J1598" i="19"/>
  <c r="J1842" i="19"/>
  <c r="J1906" i="19"/>
  <c r="J1843" i="19"/>
  <c r="J1907" i="19"/>
  <c r="J1812" i="19"/>
  <c r="M2518" i="1"/>
  <c r="N2518" i="1" s="1"/>
  <c r="W2518" i="1" s="1"/>
  <c r="J2518" i="19"/>
  <c r="M2509" i="1"/>
  <c r="N2509" i="1" s="1"/>
  <c r="J2509" i="19"/>
  <c r="G432" i="1"/>
  <c r="G496" i="19"/>
  <c r="J822" i="19"/>
  <c r="J557" i="19"/>
  <c r="J1008" i="19"/>
  <c r="J1190" i="19"/>
  <c r="J955" i="19"/>
  <c r="J1325" i="19"/>
  <c r="J1499" i="19"/>
  <c r="J1588" i="19"/>
  <c r="J526" i="19"/>
  <c r="J153" i="19"/>
  <c r="J1235" i="19"/>
  <c r="J1029" i="19"/>
  <c r="J1090" i="19"/>
  <c r="J1287" i="19"/>
  <c r="J973" i="19"/>
  <c r="J1109" i="19"/>
  <c r="J1583" i="19"/>
  <c r="J1492" i="19"/>
  <c r="J954" i="19"/>
  <c r="J1046" i="19"/>
  <c r="J79" i="19"/>
  <c r="J1193" i="19"/>
  <c r="J1501" i="19"/>
  <c r="J181" i="19"/>
  <c r="J126" i="19"/>
  <c r="J199" i="19"/>
  <c r="J520" i="19"/>
  <c r="J178" i="19"/>
  <c r="J195" i="19"/>
  <c r="J1130" i="19"/>
  <c r="J1040" i="19"/>
  <c r="J1361" i="19"/>
  <c r="J1075" i="19"/>
  <c r="J1049" i="19"/>
  <c r="J984" i="19"/>
  <c r="J1056" i="19"/>
  <c r="J1523" i="19"/>
  <c r="J990" i="19"/>
  <c r="J1091" i="19"/>
  <c r="J1247" i="19"/>
  <c r="J1542" i="19"/>
  <c r="J1409" i="19"/>
  <c r="J952" i="19"/>
  <c r="J1345" i="19"/>
  <c r="J1065" i="19"/>
  <c r="J1015" i="19"/>
  <c r="J1556" i="19"/>
  <c r="J1211" i="19"/>
  <c r="J948" i="19"/>
  <c r="J1271" i="19"/>
  <c r="J1372" i="19"/>
  <c r="J1373" i="19"/>
  <c r="J1076" i="19"/>
  <c r="J988" i="19"/>
  <c r="J1262" i="19"/>
  <c r="J1562" i="19"/>
  <c r="J941" i="19"/>
  <c r="J1522" i="19"/>
  <c r="J1519" i="19"/>
  <c r="J1115" i="19"/>
  <c r="J1251" i="19"/>
  <c r="J1209" i="19"/>
  <c r="J1145" i="19"/>
  <c r="J1037" i="19"/>
  <c r="J1416" i="19"/>
  <c r="J1246" i="19"/>
  <c r="J967" i="19"/>
  <c r="J1483" i="19"/>
  <c r="J1185" i="19"/>
  <c r="J1062" i="19"/>
  <c r="J1095" i="19"/>
  <c r="J1330" i="19"/>
  <c r="J1154" i="19"/>
  <c r="J1136" i="19"/>
  <c r="J1385" i="19"/>
  <c r="J1050" i="19"/>
  <c r="J1346" i="19"/>
  <c r="J1135" i="19"/>
  <c r="J1428" i="19"/>
  <c r="J1021" i="19"/>
  <c r="J1291" i="19"/>
  <c r="J1322" i="19"/>
  <c r="J1153" i="19"/>
  <c r="J1576" i="19"/>
  <c r="J1340" i="19"/>
  <c r="J1113" i="19"/>
  <c r="J1550" i="19"/>
  <c r="J1468" i="19"/>
  <c r="J1431" i="19"/>
  <c r="J944" i="19"/>
  <c r="J1437" i="19"/>
  <c r="J1354" i="19"/>
  <c r="J1362" i="19"/>
  <c r="J1503" i="19"/>
  <c r="J1226" i="19"/>
  <c r="J1060" i="19"/>
  <c r="J1331" i="19"/>
  <c r="J1216" i="19"/>
  <c r="J1252" i="19"/>
  <c r="J1139" i="19"/>
  <c r="J1265" i="19"/>
  <c r="J1377" i="19"/>
  <c r="J1317" i="19"/>
  <c r="J1133" i="19"/>
  <c r="J1313" i="19"/>
  <c r="J1263" i="19"/>
  <c r="J1236" i="19"/>
  <c r="J1491" i="19"/>
  <c r="J1375" i="19"/>
  <c r="J1220" i="19"/>
  <c r="J1300" i="19"/>
  <c r="J1485" i="19"/>
  <c r="J1012" i="19"/>
  <c r="J1758" i="19"/>
  <c r="J1760" i="19"/>
  <c r="J1877" i="19"/>
  <c r="J1917" i="19"/>
  <c r="J1829" i="19"/>
  <c r="J1830" i="19"/>
  <c r="J1894" i="19"/>
  <c r="J1619" i="19"/>
  <c r="J1903" i="19"/>
  <c r="J1816" i="19"/>
  <c r="J1777" i="19"/>
  <c r="J1873" i="19"/>
  <c r="J1606" i="19"/>
  <c r="J1850" i="19"/>
  <c r="J1914" i="19"/>
  <c r="J1851" i="19"/>
  <c r="J1915" i="19"/>
  <c r="J1820" i="19"/>
  <c r="J2508" i="19"/>
  <c r="J2517" i="19"/>
  <c r="J823" i="19"/>
  <c r="J174" i="19"/>
  <c r="J529" i="19"/>
  <c r="J1495" i="19"/>
  <c r="J1590" i="19"/>
  <c r="J1529" i="19"/>
  <c r="J1273" i="19"/>
  <c r="J1286" i="19"/>
  <c r="J1552" i="19"/>
  <c r="J1447" i="19"/>
  <c r="J1024" i="19"/>
  <c r="J966" i="19"/>
  <c r="J1173" i="19"/>
  <c r="J1308" i="19"/>
  <c r="J1370" i="19"/>
  <c r="J1571" i="19"/>
  <c r="J125" i="19"/>
  <c r="J192" i="19"/>
  <c r="J523" i="19"/>
  <c r="J1174" i="19"/>
  <c r="J1168" i="19"/>
  <c r="J1275" i="19"/>
  <c r="J1434" i="19"/>
  <c r="J1524" i="19"/>
  <c r="J1084" i="19"/>
  <c r="J1365" i="19"/>
  <c r="J1120" i="19"/>
  <c r="J1207" i="19"/>
  <c r="J1413" i="19"/>
  <c r="J1045" i="19"/>
  <c r="J1559" i="19"/>
  <c r="J35" i="19"/>
  <c r="J183" i="19"/>
  <c r="J555" i="19"/>
  <c r="J1292" i="19"/>
  <c r="J917" i="19"/>
  <c r="J1181" i="19"/>
  <c r="J970" i="19"/>
  <c r="J1349" i="19"/>
  <c r="J1282" i="19"/>
  <c r="G364" i="1"/>
  <c r="F364" i="19"/>
  <c r="J524" i="19"/>
  <c r="J150" i="19"/>
  <c r="J144" i="19"/>
  <c r="J559" i="19"/>
  <c r="J528" i="19"/>
  <c r="J521" i="19"/>
  <c r="J196" i="19"/>
  <c r="J1433" i="19"/>
  <c r="J1089" i="19"/>
  <c r="J1053" i="19"/>
  <c r="J1439" i="19"/>
  <c r="J1042" i="19"/>
  <c r="J1278" i="19"/>
  <c r="J1506" i="19"/>
  <c r="J1009" i="19"/>
  <c r="J1534" i="19"/>
  <c r="J1140" i="19"/>
  <c r="J1087" i="19"/>
  <c r="J1229" i="19"/>
  <c r="J975" i="19"/>
  <c r="J1202" i="19"/>
  <c r="J1088" i="19"/>
  <c r="J1106" i="19"/>
  <c r="J1444" i="19"/>
  <c r="J1155" i="19"/>
  <c r="J1521" i="19"/>
  <c r="J1099" i="19"/>
  <c r="J965" i="19"/>
  <c r="J962" i="19"/>
  <c r="J1381" i="19"/>
  <c r="J1363" i="19"/>
  <c r="J1378" i="19"/>
  <c r="J987" i="19"/>
  <c r="J1134" i="19"/>
  <c r="J1367" i="19"/>
  <c r="J1188" i="19"/>
  <c r="J1121" i="19"/>
  <c r="J1525" i="19"/>
  <c r="J1384" i="19"/>
  <c r="J1206" i="19"/>
  <c r="J1248" i="19"/>
  <c r="J936" i="19"/>
  <c r="J1520" i="19"/>
  <c r="J1514" i="19"/>
  <c r="J1380" i="19"/>
  <c r="J1234" i="19"/>
  <c r="J1472" i="19"/>
  <c r="J1302" i="19"/>
  <c r="J1327" i="19"/>
  <c r="J1086" i="19"/>
  <c r="J1508" i="19"/>
  <c r="J1033" i="19"/>
  <c r="J959" i="19"/>
  <c r="J1414" i="19"/>
  <c r="J1465" i="19"/>
  <c r="J1337" i="19"/>
  <c r="J923" i="19"/>
  <c r="J1461" i="19"/>
  <c r="J1392" i="19"/>
  <c r="J982" i="19"/>
  <c r="J1272" i="19"/>
  <c r="J916" i="19"/>
  <c r="J1064" i="19"/>
  <c r="J1192" i="19"/>
  <c r="J1301" i="19"/>
  <c r="J1452" i="19"/>
  <c r="J1343" i="19"/>
  <c r="J1128" i="19"/>
  <c r="J976" i="19"/>
  <c r="J1197" i="19"/>
  <c r="J924" i="19"/>
  <c r="J1105" i="19"/>
  <c r="J1427" i="19"/>
  <c r="J1107" i="19"/>
  <c r="J1569" i="19"/>
  <c r="J989" i="19"/>
  <c r="J1127" i="19"/>
  <c r="J1541" i="19"/>
  <c r="J983" i="19"/>
  <c r="J1218" i="19"/>
  <c r="J1178" i="19"/>
  <c r="J1312" i="19"/>
  <c r="J1194" i="19"/>
  <c r="J937" i="19"/>
  <c r="J1358" i="19"/>
  <c r="J1258" i="19"/>
  <c r="J1184" i="19"/>
  <c r="J1390" i="19"/>
  <c r="J1554" i="19"/>
  <c r="J1582" i="19"/>
  <c r="J1396" i="19"/>
  <c r="J1759" i="19"/>
  <c r="J1665" i="19"/>
  <c r="J662" i="19"/>
  <c r="J1609" i="19"/>
  <c r="J1861" i="19"/>
  <c r="J1893" i="19"/>
  <c r="J1838" i="19"/>
  <c r="J1902" i="19"/>
  <c r="J1847" i="19"/>
  <c r="J1911" i="19"/>
  <c r="J1824" i="19"/>
  <c r="J1817" i="19"/>
  <c r="J1881" i="19"/>
  <c r="J1614" i="19"/>
  <c r="J1858" i="19"/>
  <c r="J1922" i="19"/>
  <c r="J1859" i="19"/>
  <c r="J1923" i="19"/>
  <c r="J1828" i="19"/>
  <c r="M2516" i="1"/>
  <c r="N2516" i="1" s="1"/>
  <c r="W2516" i="1" s="1"/>
  <c r="J2516" i="19"/>
  <c r="M2504" i="1"/>
  <c r="N2504" i="1" s="1"/>
  <c r="W2504" i="1" s="1"/>
  <c r="J2504" i="19"/>
  <c r="G424" i="19"/>
  <c r="J821" i="19"/>
  <c r="J509" i="19"/>
  <c r="J474" i="19"/>
  <c r="J122" i="19"/>
  <c r="J546" i="19"/>
  <c r="J1815" i="19"/>
  <c r="J1774" i="19"/>
  <c r="J1639" i="19"/>
  <c r="J543" i="19"/>
  <c r="J504" i="19"/>
  <c r="J1827" i="19"/>
  <c r="J1746" i="19"/>
  <c r="J1640" i="19"/>
  <c r="J1632" i="19"/>
  <c r="J533" i="19"/>
  <c r="J128" i="19"/>
  <c r="J551" i="19"/>
  <c r="J124" i="19"/>
  <c r="J1835" i="19"/>
  <c r="J1799" i="19"/>
  <c r="J659" i="19"/>
  <c r="J658" i="19"/>
  <c r="J549" i="19"/>
  <c r="J330" i="19"/>
  <c r="J498" i="19"/>
  <c r="J1755" i="19"/>
  <c r="J1740" i="19"/>
  <c r="J652" i="19"/>
  <c r="J426" i="19"/>
  <c r="J129" i="19"/>
  <c r="J544" i="19"/>
  <c r="J514" i="19"/>
  <c r="J324" i="19"/>
  <c r="J1823" i="19"/>
  <c r="J1819" i="19"/>
  <c r="J753" i="19"/>
  <c r="J661" i="19"/>
  <c r="J1641" i="19"/>
  <c r="J548" i="19"/>
  <c r="J545" i="19"/>
  <c r="J1743" i="19"/>
  <c r="J1831" i="19"/>
  <c r="J759" i="19"/>
  <c r="J723" i="19"/>
  <c r="J1776" i="19"/>
  <c r="J1638" i="19"/>
  <c r="J550" i="19"/>
  <c r="J200" i="19"/>
  <c r="J1749" i="19"/>
  <c r="J747" i="19"/>
  <c r="J729" i="19"/>
  <c r="J654" i="19"/>
  <c r="J660" i="19"/>
  <c r="J348" i="19"/>
  <c r="J123" i="19"/>
  <c r="J538" i="19"/>
  <c r="J547" i="19"/>
  <c r="J1752" i="19"/>
  <c r="J1634" i="19"/>
  <c r="J1633" i="19"/>
  <c r="J653" i="19"/>
  <c r="V34" i="1"/>
  <c r="M425" i="19"/>
  <c r="N425" i="19" s="1"/>
  <c r="P425" i="19"/>
  <c r="P421" i="19"/>
  <c r="S420" i="19"/>
  <c r="P424" i="19"/>
  <c r="R420" i="19"/>
  <c r="Q420" i="19"/>
  <c r="P423" i="19"/>
  <c r="P422" i="19"/>
  <c r="M34" i="1"/>
  <c r="N34" i="1" s="1"/>
  <c r="M2505" i="1"/>
  <c r="N2505" i="1" s="1"/>
  <c r="W2505" i="1" s="1"/>
  <c r="I503" i="1"/>
  <c r="I734" i="1"/>
  <c r="I728" i="1"/>
  <c r="I329" i="1"/>
  <c r="I752" i="1"/>
  <c r="I764" i="1"/>
  <c r="I758" i="1"/>
  <c r="I335" i="1"/>
  <c r="I353" i="1"/>
  <c r="I479" i="1"/>
  <c r="I431" i="1"/>
  <c r="R825" i="1" l="1"/>
  <c r="R2469" i="1"/>
  <c r="S2469" i="1"/>
  <c r="Q2469" i="1"/>
  <c r="S2469" i="31"/>
  <c r="Q2469" i="31"/>
  <c r="V2469" i="1"/>
  <c r="W2469" i="1" s="1"/>
  <c r="R2469" i="31"/>
  <c r="P2467" i="31"/>
  <c r="Q2469" i="32"/>
  <c r="S2469" i="32"/>
  <c r="R2469" i="32"/>
  <c r="Q2468" i="1"/>
  <c r="S2468" i="1"/>
  <c r="R2468" i="1"/>
  <c r="P2467" i="1"/>
  <c r="V2468" i="1"/>
  <c r="W2468" i="1" s="1"/>
  <c r="R2468" i="32"/>
  <c r="S2468" i="32"/>
  <c r="P2467" i="32"/>
  <c r="Q2468" i="32"/>
  <c r="R1758" i="31"/>
  <c r="Q1758" i="31"/>
  <c r="S1758" i="31"/>
  <c r="V1758" i="1"/>
  <c r="W1758" i="1" s="1"/>
  <c r="S1758" i="32"/>
  <c r="R1758" i="32"/>
  <c r="Q1758" i="32"/>
  <c r="S1758" i="1"/>
  <c r="R1758" i="1"/>
  <c r="Q1758" i="1"/>
  <c r="S661" i="1"/>
  <c r="R661" i="1"/>
  <c r="R123" i="1"/>
  <c r="Q123" i="1"/>
  <c r="S123" i="1"/>
  <c r="V123" i="1"/>
  <c r="W123" i="1" s="1"/>
  <c r="P820" i="1"/>
  <c r="S820" i="1" s="1"/>
  <c r="Q825" i="1"/>
  <c r="S808" i="1"/>
  <c r="Q821" i="1"/>
  <c r="R821" i="1"/>
  <c r="V661" i="1"/>
  <c r="W661" i="1" s="1"/>
  <c r="R808" i="1"/>
  <c r="I329" i="32"/>
  <c r="I329" i="31"/>
  <c r="I431" i="32"/>
  <c r="I431" i="31"/>
  <c r="I728" i="32"/>
  <c r="I728" i="31"/>
  <c r="J782" i="32"/>
  <c r="J782" i="31"/>
  <c r="J461" i="32"/>
  <c r="J461" i="31"/>
  <c r="S2503" i="32"/>
  <c r="R2503" i="32"/>
  <c r="Q2503" i="32"/>
  <c r="S2513" i="31"/>
  <c r="R2513" i="31"/>
  <c r="Q2513" i="31"/>
  <c r="G378" i="32"/>
  <c r="G378" i="31"/>
  <c r="I752" i="32"/>
  <c r="I752" i="31"/>
  <c r="I734" i="32"/>
  <c r="I734" i="31"/>
  <c r="G364" i="32"/>
  <c r="G364" i="31"/>
  <c r="G492" i="32"/>
  <c r="G492" i="31"/>
  <c r="G402" i="32"/>
  <c r="G402" i="31"/>
  <c r="J395" i="32"/>
  <c r="J395" i="31"/>
  <c r="J449" i="32"/>
  <c r="J449" i="31"/>
  <c r="J467" i="32"/>
  <c r="J467" i="31"/>
  <c r="J491" i="32"/>
  <c r="J491" i="31"/>
  <c r="R1688" i="31"/>
  <c r="Q1688" i="31"/>
  <c r="P1687" i="31"/>
  <c r="S1688" i="31"/>
  <c r="O1625" i="31"/>
  <c r="N2554" i="31"/>
  <c r="S1689" i="31"/>
  <c r="R1689" i="31"/>
  <c r="Q1689" i="31"/>
  <c r="Q1692" i="31"/>
  <c r="R1692" i="31"/>
  <c r="S1692" i="31"/>
  <c r="Q2514" i="31"/>
  <c r="R2514" i="31"/>
  <c r="S2514" i="31"/>
  <c r="S653" i="31"/>
  <c r="R653" i="31"/>
  <c r="Q653" i="31"/>
  <c r="S2513" i="32"/>
  <c r="R2513" i="32"/>
  <c r="Q2513" i="32"/>
  <c r="S2511" i="31"/>
  <c r="R2511" i="31"/>
  <c r="Q2511" i="31"/>
  <c r="I764" i="32"/>
  <c r="I764" i="31"/>
  <c r="I353" i="32"/>
  <c r="I353" i="31"/>
  <c r="R1688" i="32"/>
  <c r="N2554" i="32"/>
  <c r="Q1688" i="32"/>
  <c r="O1625" i="32"/>
  <c r="S1688" i="32"/>
  <c r="P1687" i="32"/>
  <c r="S1689" i="32"/>
  <c r="Q1689" i="32"/>
  <c r="R1689" i="32"/>
  <c r="S1692" i="32"/>
  <c r="Q1692" i="32"/>
  <c r="R1692" i="32"/>
  <c r="S2514" i="32"/>
  <c r="R2514" i="32"/>
  <c r="Q2514" i="32"/>
  <c r="R653" i="32"/>
  <c r="Q653" i="32"/>
  <c r="S653" i="32"/>
  <c r="Q2512" i="31"/>
  <c r="S2512" i="31"/>
  <c r="R2512" i="31"/>
  <c r="S1690" i="31"/>
  <c r="R1690" i="31"/>
  <c r="Q1690" i="31"/>
  <c r="I335" i="32"/>
  <c r="I335" i="31"/>
  <c r="J413" i="32"/>
  <c r="M413" i="32" s="1"/>
  <c r="N413" i="32" s="1"/>
  <c r="J413" i="31"/>
  <c r="M413" i="31" s="1"/>
  <c r="N413" i="31" s="1"/>
  <c r="J389" i="32"/>
  <c r="J389" i="31"/>
  <c r="G480" i="32"/>
  <c r="G480" i="31"/>
  <c r="J455" i="32"/>
  <c r="J455" i="31"/>
  <c r="Q2512" i="32"/>
  <c r="S2512" i="32"/>
  <c r="R2512" i="32"/>
  <c r="Q1690" i="32"/>
  <c r="S1690" i="32"/>
  <c r="R1690" i="32"/>
  <c r="S825" i="31"/>
  <c r="R825" i="31"/>
  <c r="Q825" i="31"/>
  <c r="Q2511" i="32"/>
  <c r="S2511" i="32"/>
  <c r="R2511" i="32"/>
  <c r="I479" i="32"/>
  <c r="I479" i="31"/>
  <c r="I503" i="32"/>
  <c r="I503" i="31"/>
  <c r="I758" i="32"/>
  <c r="I758" i="31"/>
  <c r="G412" i="32"/>
  <c r="G412" i="31"/>
  <c r="J419" i="32"/>
  <c r="J419" i="31"/>
  <c r="J788" i="32"/>
  <c r="J788" i="31"/>
  <c r="S825" i="32"/>
  <c r="Q825" i="32"/>
  <c r="R825" i="32"/>
  <c r="R2507" i="31"/>
  <c r="Q2507" i="31"/>
  <c r="S2507" i="31"/>
  <c r="Q1691" i="31"/>
  <c r="R1691" i="31"/>
  <c r="S1691" i="31"/>
  <c r="Q2506" i="31"/>
  <c r="S2506" i="31"/>
  <c r="R2506" i="31"/>
  <c r="S808" i="31"/>
  <c r="R808" i="31"/>
  <c r="Q808" i="31"/>
  <c r="R2507" i="32"/>
  <c r="Q2507" i="32"/>
  <c r="S2507" i="32"/>
  <c r="S1691" i="32"/>
  <c r="R1691" i="32"/>
  <c r="Q1691" i="32"/>
  <c r="G432" i="32"/>
  <c r="G432" i="31"/>
  <c r="G420" i="32"/>
  <c r="G420" i="31"/>
  <c r="R2506" i="32"/>
  <c r="Q2506" i="32"/>
  <c r="S2506" i="32"/>
  <c r="S808" i="32"/>
  <c r="Q808" i="32"/>
  <c r="R808" i="32"/>
  <c r="S2510" i="31"/>
  <c r="R2510" i="31"/>
  <c r="Q2510" i="31"/>
  <c r="R821" i="31"/>
  <c r="P820" i="31"/>
  <c r="Q821" i="31"/>
  <c r="S821" i="31"/>
  <c r="J443" i="32"/>
  <c r="J443" i="31"/>
  <c r="S2510" i="32"/>
  <c r="R2510" i="32"/>
  <c r="Q2510" i="32"/>
  <c r="R821" i="32"/>
  <c r="Q821" i="32"/>
  <c r="P820" i="32"/>
  <c r="S821" i="32"/>
  <c r="S2503" i="31"/>
  <c r="R2503" i="31"/>
  <c r="Q2503" i="31"/>
  <c r="Y2516" i="32"/>
  <c r="T1689" i="32"/>
  <c r="Y2505" i="32"/>
  <c r="Y2518" i="32"/>
  <c r="T2503" i="32"/>
  <c r="T1690" i="32"/>
  <c r="Y2504" i="32"/>
  <c r="T2513" i="32"/>
  <c r="T1688" i="32"/>
  <c r="T825" i="31"/>
  <c r="T825" i="32"/>
  <c r="T821" i="31"/>
  <c r="T821" i="32"/>
  <c r="Y2516" i="31"/>
  <c r="T1689" i="31"/>
  <c r="Y2505" i="31"/>
  <c r="Y2518" i="31"/>
  <c r="T2503" i="31"/>
  <c r="T1690" i="31"/>
  <c r="Y2504" i="31"/>
  <c r="T2513" i="31"/>
  <c r="T1688" i="31"/>
  <c r="Q1689" i="1"/>
  <c r="Q1690" i="1"/>
  <c r="R1690" i="1"/>
  <c r="V821" i="1"/>
  <c r="W821" i="1" s="1"/>
  <c r="R1689" i="1"/>
  <c r="T821" i="19"/>
  <c r="V2507" i="1"/>
  <c r="W2507" i="1" s="1"/>
  <c r="V825" i="1"/>
  <c r="W825" i="1" s="1"/>
  <c r="T825" i="19"/>
  <c r="V808" i="1"/>
  <c r="W808" i="1" s="1"/>
  <c r="Q1691" i="1"/>
  <c r="R1692" i="1"/>
  <c r="S1692" i="1"/>
  <c r="S1691" i="1"/>
  <c r="V2514" i="1"/>
  <c r="W2514" i="1" s="1"/>
  <c r="P1687" i="1"/>
  <c r="R1687" i="1" s="1"/>
  <c r="Q1688" i="1"/>
  <c r="R1688" i="1"/>
  <c r="V2511" i="1"/>
  <c r="W2511" i="1" s="1"/>
  <c r="V2503" i="1"/>
  <c r="W2503" i="1" s="1"/>
  <c r="V2512" i="1"/>
  <c r="W2512" i="1" s="1"/>
  <c r="G378" i="19"/>
  <c r="T1689" i="19"/>
  <c r="V1688" i="1"/>
  <c r="W1688" i="1" s="1"/>
  <c r="V1691" i="1"/>
  <c r="W1691" i="1" s="1"/>
  <c r="T1690" i="19"/>
  <c r="V1692" i="1"/>
  <c r="W1692" i="1" s="1"/>
  <c r="V1689" i="1"/>
  <c r="W1689" i="1" s="1"/>
  <c r="V1690" i="1"/>
  <c r="W1690" i="1" s="1"/>
  <c r="T1688" i="19"/>
  <c r="V35" i="1"/>
  <c r="Q2503" i="1"/>
  <c r="R2503" i="1"/>
  <c r="V2513" i="1"/>
  <c r="W2513" i="1" s="1"/>
  <c r="W34" i="1"/>
  <c r="V2510" i="1"/>
  <c r="W2510" i="1" s="1"/>
  <c r="S2506" i="1"/>
  <c r="R2506" i="1"/>
  <c r="Q2506" i="1"/>
  <c r="R78" i="1"/>
  <c r="Q78" i="1"/>
  <c r="S78" i="1"/>
  <c r="V653" i="1"/>
  <c r="W653" i="1" s="1"/>
  <c r="V78" i="1"/>
  <c r="W78" i="1" s="1"/>
  <c r="S653" i="1"/>
  <c r="R653" i="1"/>
  <c r="Q653" i="1"/>
  <c r="V2506" i="1"/>
  <c r="W2506" i="1" s="1"/>
  <c r="R2512" i="1"/>
  <c r="S2509" i="1"/>
  <c r="W2509" i="1"/>
  <c r="S2514" i="1"/>
  <c r="J788" i="19"/>
  <c r="J467" i="19"/>
  <c r="J455" i="19"/>
  <c r="J461" i="19"/>
  <c r="S2512" i="1"/>
  <c r="J449" i="19"/>
  <c r="J419" i="19"/>
  <c r="R2511" i="1"/>
  <c r="J395" i="19"/>
  <c r="S2511" i="1"/>
  <c r="Q2518" i="1"/>
  <c r="G480" i="19"/>
  <c r="G360" i="1"/>
  <c r="Q2512" i="1"/>
  <c r="R2518" i="1"/>
  <c r="S2518" i="1"/>
  <c r="Y2505" i="19"/>
  <c r="Y2518" i="19"/>
  <c r="Y2516" i="19"/>
  <c r="Y2504" i="19"/>
  <c r="Q2510" i="1"/>
  <c r="R2510" i="1"/>
  <c r="S2510" i="1"/>
  <c r="Q2507" i="1"/>
  <c r="R2507" i="1"/>
  <c r="S2507" i="1"/>
  <c r="J782" i="19"/>
  <c r="J389" i="19"/>
  <c r="G408" i="1"/>
  <c r="G412" i="19"/>
  <c r="Q2513" i="1"/>
  <c r="R2513" i="1"/>
  <c r="G402" i="19"/>
  <c r="R2504" i="1"/>
  <c r="J413" i="19"/>
  <c r="Q2504" i="1"/>
  <c r="J491" i="19"/>
  <c r="S2504" i="1"/>
  <c r="G364" i="19"/>
  <c r="G420" i="19"/>
  <c r="R2516" i="1"/>
  <c r="Q2509" i="1"/>
  <c r="G492" i="19"/>
  <c r="S2516" i="1"/>
  <c r="R2509" i="1"/>
  <c r="G432" i="19"/>
  <c r="P2515" i="1"/>
  <c r="Q2515" i="1" s="1"/>
  <c r="Q2516" i="1"/>
  <c r="Q2514" i="1"/>
  <c r="R2514" i="1"/>
  <c r="J443" i="19"/>
  <c r="I764" i="19"/>
  <c r="I758" i="19"/>
  <c r="I752" i="19"/>
  <c r="J503" i="1"/>
  <c r="I503" i="19"/>
  <c r="J329" i="1"/>
  <c r="I329" i="19"/>
  <c r="J431" i="1"/>
  <c r="I431" i="19"/>
  <c r="I728" i="19"/>
  <c r="J353" i="1"/>
  <c r="I353" i="19"/>
  <c r="J479" i="1"/>
  <c r="I479" i="19"/>
  <c r="I734" i="19"/>
  <c r="J335" i="1"/>
  <c r="I335" i="19"/>
  <c r="V695" i="1"/>
  <c r="O228" i="19"/>
  <c r="P228" i="19" s="1"/>
  <c r="R228" i="19" s="1"/>
  <c r="N2560" i="19"/>
  <c r="N2551" i="19"/>
  <c r="N2550" i="19"/>
  <c r="Q421" i="19"/>
  <c r="R421" i="19"/>
  <c r="S421" i="19"/>
  <c r="S34" i="1"/>
  <c r="R34" i="1"/>
  <c r="Q34" i="1"/>
  <c r="R425" i="19"/>
  <c r="S425" i="19"/>
  <c r="Q425" i="19"/>
  <c r="R422" i="19"/>
  <c r="S422" i="19"/>
  <c r="Q422" i="19"/>
  <c r="S423" i="19"/>
  <c r="Q423" i="19"/>
  <c r="R423" i="19"/>
  <c r="R424" i="19"/>
  <c r="S424" i="19"/>
  <c r="Q424" i="19"/>
  <c r="R2505" i="1"/>
  <c r="Q2505" i="1"/>
  <c r="S2505" i="1"/>
  <c r="T2503" i="19"/>
  <c r="T2513" i="19"/>
  <c r="J764" i="1"/>
  <c r="J752" i="1"/>
  <c r="J758" i="1"/>
  <c r="J728" i="1"/>
  <c r="J734" i="1"/>
  <c r="V413" i="1" l="1"/>
  <c r="W413" i="1" s="1"/>
  <c r="Y413" i="31" s="1"/>
  <c r="Y2468" i="32"/>
  <c r="Y2468" i="31"/>
  <c r="Y2468" i="19"/>
  <c r="Y2469" i="19"/>
  <c r="Y2469" i="31"/>
  <c r="Y2469" i="32"/>
  <c r="S2467" i="32"/>
  <c r="R2467" i="32"/>
  <c r="Q2467" i="32"/>
  <c r="S2467" i="31"/>
  <c r="R2467" i="31"/>
  <c r="Q2467" i="31"/>
  <c r="S2467" i="1"/>
  <c r="Q2467" i="1"/>
  <c r="R2467" i="1"/>
  <c r="T2468" i="31"/>
  <c r="T2468" i="19"/>
  <c r="T2468" i="32"/>
  <c r="T2469" i="31"/>
  <c r="T2469" i="32"/>
  <c r="T2469" i="19"/>
  <c r="Y1758" i="32"/>
  <c r="Y1758" i="31"/>
  <c r="Y1758" i="19"/>
  <c r="T1758" i="31"/>
  <c r="T1758" i="32"/>
  <c r="T1758" i="19"/>
  <c r="T661" i="31"/>
  <c r="T661" i="32"/>
  <c r="T661" i="19"/>
  <c r="T808" i="32"/>
  <c r="T808" i="31"/>
  <c r="T808" i="19"/>
  <c r="Y123" i="32"/>
  <c r="Y123" i="31"/>
  <c r="Y123" i="19"/>
  <c r="T123" i="32"/>
  <c r="T123" i="31"/>
  <c r="T123" i="19"/>
  <c r="R820" i="1"/>
  <c r="Q820" i="1"/>
  <c r="Y661" i="32"/>
  <c r="Y661" i="31"/>
  <c r="Y661" i="19"/>
  <c r="G360" i="32"/>
  <c r="G360" i="31"/>
  <c r="J335" i="32"/>
  <c r="J335" i="31"/>
  <c r="J353" i="32"/>
  <c r="J353" i="31"/>
  <c r="J329" i="32"/>
  <c r="J329" i="31"/>
  <c r="G408" i="32"/>
  <c r="G408" i="31"/>
  <c r="P1625" i="32"/>
  <c r="O2554" i="32"/>
  <c r="J758" i="32"/>
  <c r="J758" i="31"/>
  <c r="J764" i="32"/>
  <c r="J764" i="31"/>
  <c r="J503" i="32"/>
  <c r="J503" i="31"/>
  <c r="O2554" i="31"/>
  <c r="P1625" i="31"/>
  <c r="J734" i="32"/>
  <c r="J734" i="31"/>
  <c r="J479" i="32"/>
  <c r="J479" i="31"/>
  <c r="J431" i="32"/>
  <c r="J431" i="31"/>
  <c r="S820" i="32"/>
  <c r="R820" i="32"/>
  <c r="Q820" i="32"/>
  <c r="R820" i="31"/>
  <c r="Q820" i="31"/>
  <c r="S820" i="31"/>
  <c r="Q1687" i="32"/>
  <c r="R1687" i="32"/>
  <c r="S1687" i="32"/>
  <c r="J752" i="32"/>
  <c r="J752" i="31"/>
  <c r="J728" i="32"/>
  <c r="J728" i="31"/>
  <c r="S1687" i="31"/>
  <c r="R1687" i="31"/>
  <c r="Q1687" i="31"/>
  <c r="T34" i="32"/>
  <c r="T78" i="32"/>
  <c r="Y1688" i="32"/>
  <c r="Y2514" i="32"/>
  <c r="T1691" i="32"/>
  <c r="Y653" i="32"/>
  <c r="Y1690" i="32"/>
  <c r="Y1692" i="32"/>
  <c r="T2505" i="32"/>
  <c r="T2506" i="32"/>
  <c r="Y1691" i="32"/>
  <c r="Y2506" i="32"/>
  <c r="T653" i="32"/>
  <c r="Y2510" i="32"/>
  <c r="Y2509" i="32"/>
  <c r="Y78" i="32"/>
  <c r="Y1689" i="32"/>
  <c r="T1692" i="32"/>
  <c r="Y34" i="31"/>
  <c r="Y34" i="32"/>
  <c r="Y808" i="31"/>
  <c r="Y808" i="32"/>
  <c r="Y2507" i="31"/>
  <c r="Y2507" i="32"/>
  <c r="T2510" i="31"/>
  <c r="T2510" i="32"/>
  <c r="T2509" i="31"/>
  <c r="T2509" i="32"/>
  <c r="T2516" i="31"/>
  <c r="T2516" i="32"/>
  <c r="Y2511" i="31"/>
  <c r="Y2511" i="32"/>
  <c r="Y825" i="31"/>
  <c r="Y825" i="32"/>
  <c r="Y821" i="31"/>
  <c r="Y821" i="32"/>
  <c r="T2504" i="31"/>
  <c r="T2504" i="32"/>
  <c r="T2518" i="31"/>
  <c r="T2518" i="32"/>
  <c r="T2511" i="31"/>
  <c r="T2511" i="32"/>
  <c r="T2512" i="31"/>
  <c r="T2512" i="32"/>
  <c r="Y2512" i="31"/>
  <c r="Y2512" i="32"/>
  <c r="Y2513" i="31"/>
  <c r="Y2513" i="32"/>
  <c r="T2507" i="31"/>
  <c r="T2507" i="32"/>
  <c r="T2514" i="31"/>
  <c r="T2514" i="32"/>
  <c r="Y2503" i="31"/>
  <c r="Y2503" i="32"/>
  <c r="T820" i="31"/>
  <c r="T820" i="32"/>
  <c r="T34" i="31"/>
  <c r="T78" i="31"/>
  <c r="Y1688" i="31"/>
  <c r="Y2514" i="31"/>
  <c r="T1691" i="31"/>
  <c r="Y653" i="31"/>
  <c r="Y1690" i="31"/>
  <c r="Y1692" i="31"/>
  <c r="T2505" i="31"/>
  <c r="T2506" i="31"/>
  <c r="Y1691" i="31"/>
  <c r="Y2506" i="31"/>
  <c r="T653" i="31"/>
  <c r="Y2510" i="31"/>
  <c r="Y2509" i="31"/>
  <c r="Y78" i="31"/>
  <c r="Y1689" i="31"/>
  <c r="T1692" i="31"/>
  <c r="T1692" i="19"/>
  <c r="Y821" i="19"/>
  <c r="Y825" i="19"/>
  <c r="T820" i="19"/>
  <c r="S1687" i="1"/>
  <c r="Y808" i="19"/>
  <c r="T1691" i="19"/>
  <c r="Q1687" i="1"/>
  <c r="Y2511" i="19"/>
  <c r="Y2513" i="19"/>
  <c r="T2518" i="19"/>
  <c r="Y1691" i="19"/>
  <c r="Y1689" i="19"/>
  <c r="Y1692" i="19"/>
  <c r="Y1688" i="19"/>
  <c r="Y1690" i="19"/>
  <c r="T2509" i="19"/>
  <c r="Y2510" i="19"/>
  <c r="Y2507" i="19"/>
  <c r="Y2503" i="19"/>
  <c r="T2514" i="19"/>
  <c r="Y2506" i="19"/>
  <c r="Y78" i="19"/>
  <c r="Y653" i="19"/>
  <c r="T653" i="19"/>
  <c r="T2506" i="19"/>
  <c r="T78" i="19"/>
  <c r="T2511" i="19"/>
  <c r="T2512" i="19"/>
  <c r="Y2512" i="19"/>
  <c r="Y737" i="19"/>
  <c r="T2507" i="19"/>
  <c r="G360" i="19"/>
  <c r="T2516" i="19"/>
  <c r="T2510" i="19"/>
  <c r="Y2509" i="19"/>
  <c r="Y34" i="19"/>
  <c r="Y437" i="19"/>
  <c r="Y2514" i="19"/>
  <c r="Y431" i="19"/>
  <c r="T2504" i="19"/>
  <c r="I408" i="1"/>
  <c r="G408" i="19"/>
  <c r="R2515" i="1"/>
  <c r="S2515" i="1"/>
  <c r="O2560" i="19"/>
  <c r="O2551" i="19"/>
  <c r="O2548" i="19"/>
  <c r="S228" i="19"/>
  <c r="J335" i="19"/>
  <c r="J752" i="19"/>
  <c r="J764" i="19"/>
  <c r="J353" i="19"/>
  <c r="J479" i="19"/>
  <c r="J503" i="19"/>
  <c r="J734" i="19"/>
  <c r="J329" i="19"/>
  <c r="J728" i="19"/>
  <c r="J758" i="19"/>
  <c r="J431" i="19"/>
  <c r="Q228" i="19"/>
  <c r="T2505" i="19"/>
  <c r="T34" i="19"/>
  <c r="Y413" i="19" l="1"/>
  <c r="Y413" i="32"/>
  <c r="T2467" i="32"/>
  <c r="T2467" i="31"/>
  <c r="T2467" i="19"/>
  <c r="I408" i="32"/>
  <c r="I408" i="31"/>
  <c r="Q1625" i="32"/>
  <c r="S1625" i="32"/>
  <c r="R1625" i="32"/>
  <c r="Q1625" i="31"/>
  <c r="S1625" i="31"/>
  <c r="R1625" i="31"/>
  <c r="T1687" i="19"/>
  <c r="T1687" i="32"/>
  <c r="T2515" i="31"/>
  <c r="T2515" i="32"/>
  <c r="T1687" i="31"/>
  <c r="Y725" i="19"/>
  <c r="Y719" i="19"/>
  <c r="Y713" i="19"/>
  <c r="Y701" i="19"/>
  <c r="Y707" i="19"/>
  <c r="T2515" i="19"/>
  <c r="I408" i="19"/>
  <c r="J408" i="1"/>
  <c r="M408" i="1" s="1"/>
  <c r="N408" i="1" s="1"/>
  <c r="N1640" i="1"/>
  <c r="W1640" i="1" s="1"/>
  <c r="F346" i="1"/>
  <c r="F340" i="1"/>
  <c r="F322" i="1"/>
  <c r="F316" i="1"/>
  <c r="F310" i="1"/>
  <c r="A19" i="12"/>
  <c r="A18" i="12"/>
  <c r="A17" i="12"/>
  <c r="A16" i="12"/>
  <c r="A15" i="12"/>
  <c r="A14" i="12"/>
  <c r="A13" i="12"/>
  <c r="A12" i="12"/>
  <c r="A11" i="12"/>
  <c r="A10" i="12"/>
  <c r="A9" i="12"/>
  <c r="Q6" i="12"/>
  <c r="Q24" i="12" s="1"/>
  <c r="P6" i="12"/>
  <c r="P7" i="12" s="1"/>
  <c r="O6" i="12"/>
  <c r="O7" i="12" s="1"/>
  <c r="N6" i="12"/>
  <c r="M6" i="12"/>
  <c r="M8" i="12" s="1"/>
  <c r="L6" i="12"/>
  <c r="L8" i="12" s="1"/>
  <c r="K6" i="12"/>
  <c r="J6" i="12"/>
  <c r="J24" i="12" s="1"/>
  <c r="I6" i="12"/>
  <c r="I24" i="12" s="1"/>
  <c r="H6" i="12"/>
  <c r="G6" i="12"/>
  <c r="F6" i="12"/>
  <c r="K3" i="12"/>
  <c r="I3" i="12"/>
  <c r="M3" i="12" s="1"/>
  <c r="F7" i="12" s="1"/>
  <c r="F8" i="12" s="1"/>
  <c r="G7" i="12" s="1"/>
  <c r="A19" i="11"/>
  <c r="A18" i="11"/>
  <c r="A17" i="11"/>
  <c r="A16" i="11"/>
  <c r="A15" i="11"/>
  <c r="A14" i="11"/>
  <c r="A13" i="11"/>
  <c r="A12" i="11"/>
  <c r="A11" i="11"/>
  <c r="A10" i="11"/>
  <c r="A9" i="11"/>
  <c r="Q6" i="11"/>
  <c r="Q8" i="11" s="1"/>
  <c r="P6" i="11"/>
  <c r="O6" i="11"/>
  <c r="O8" i="11" s="1"/>
  <c r="N6" i="11"/>
  <c r="N24" i="11" s="1"/>
  <c r="M6" i="11"/>
  <c r="M24" i="11" s="1"/>
  <c r="L6" i="11"/>
  <c r="L24" i="11" s="1"/>
  <c r="K6" i="11"/>
  <c r="J6" i="11"/>
  <c r="I6" i="11"/>
  <c r="H6" i="11"/>
  <c r="G6" i="11"/>
  <c r="F6" i="11"/>
  <c r="K3" i="11"/>
  <c r="I3" i="11"/>
  <c r="M3" i="11" s="1"/>
  <c r="F7" i="11" s="1"/>
  <c r="F8" i="11" s="1"/>
  <c r="G7" i="11" s="1"/>
  <c r="G8" i="11" s="1"/>
  <c r="P410" i="1" l="1"/>
  <c r="P412" i="1"/>
  <c r="R408" i="1"/>
  <c r="P409" i="1"/>
  <c r="S408" i="1"/>
  <c r="P413" i="1"/>
  <c r="P411" i="1"/>
  <c r="Q408" i="1"/>
  <c r="F346" i="32"/>
  <c r="F346" i="31"/>
  <c r="J408" i="32"/>
  <c r="M408" i="32" s="1"/>
  <c r="N408" i="32" s="1"/>
  <c r="J408" i="31"/>
  <c r="M408" i="31" s="1"/>
  <c r="N408" i="31" s="1"/>
  <c r="F340" i="32"/>
  <c r="F340" i="31"/>
  <c r="F310" i="32"/>
  <c r="F310" i="31"/>
  <c r="F316" i="32"/>
  <c r="F316" i="31"/>
  <c r="F322" i="32"/>
  <c r="F322" i="31"/>
  <c r="Y1640" i="32"/>
  <c r="Y1640" i="31"/>
  <c r="F24" i="11"/>
  <c r="F15" i="11"/>
  <c r="G15" i="11"/>
  <c r="I15" i="11"/>
  <c r="K15" i="11"/>
  <c r="K12" i="11"/>
  <c r="H15" i="11"/>
  <c r="H12" i="11"/>
  <c r="J15" i="11"/>
  <c r="Y1640" i="19"/>
  <c r="J408" i="19"/>
  <c r="G310" i="1"/>
  <c r="F310" i="19"/>
  <c r="G316" i="1"/>
  <c r="F316" i="19"/>
  <c r="G322" i="1"/>
  <c r="F322" i="19"/>
  <c r="G346" i="1"/>
  <c r="F346" i="19"/>
  <c r="G340" i="1"/>
  <c r="F340" i="19"/>
  <c r="L7" i="11"/>
  <c r="M7" i="11"/>
  <c r="N7" i="11"/>
  <c r="O7" i="11"/>
  <c r="Q7" i="12"/>
  <c r="S1640" i="1"/>
  <c r="R1640" i="1"/>
  <c r="Q1640" i="1"/>
  <c r="H7" i="11"/>
  <c r="H8" i="11" s="1"/>
  <c r="I7" i="11" s="1"/>
  <c r="I8" i="11" s="1"/>
  <c r="J7" i="11" s="1"/>
  <c r="J8" i="11" s="1"/>
  <c r="K7" i="11" s="1"/>
  <c r="K8" i="11" s="1"/>
  <c r="P7" i="11"/>
  <c r="H24" i="11"/>
  <c r="I24" i="11"/>
  <c r="Q7" i="11"/>
  <c r="Q24" i="11"/>
  <c r="J24" i="11"/>
  <c r="P24" i="11"/>
  <c r="K24" i="11"/>
  <c r="G24" i="11"/>
  <c r="O24" i="11"/>
  <c r="P8" i="11"/>
  <c r="N7" i="12"/>
  <c r="N24" i="12"/>
  <c r="F24" i="12"/>
  <c r="L8" i="11"/>
  <c r="M8" i="11"/>
  <c r="N8" i="11"/>
  <c r="K24" i="12"/>
  <c r="L7" i="12"/>
  <c r="L24" i="12"/>
  <c r="M7" i="12"/>
  <c r="M24" i="12"/>
  <c r="N8" i="12"/>
  <c r="G8" i="12"/>
  <c r="H7" i="12" s="1"/>
  <c r="H8" i="12" s="1"/>
  <c r="I7" i="12" s="1"/>
  <c r="I8" i="12" s="1"/>
  <c r="J7" i="12" s="1"/>
  <c r="J8" i="12" s="1"/>
  <c r="K7" i="12" s="1"/>
  <c r="K8" i="12" s="1"/>
  <c r="O8" i="12"/>
  <c r="P8" i="12"/>
  <c r="Q8" i="12"/>
  <c r="G24" i="12"/>
  <c r="O24" i="12"/>
  <c r="H24" i="12"/>
  <c r="P24" i="12"/>
  <c r="P410" i="32" l="1"/>
  <c r="P409" i="32"/>
  <c r="P411" i="32"/>
  <c r="R408" i="32"/>
  <c r="S408" i="32"/>
  <c r="P413" i="32"/>
  <c r="P412" i="32"/>
  <c r="Q408" i="32"/>
  <c r="S411" i="1"/>
  <c r="R411" i="1"/>
  <c r="Q411" i="1"/>
  <c r="S413" i="1"/>
  <c r="R413" i="1"/>
  <c r="Q413" i="1"/>
  <c r="P413" i="31"/>
  <c r="P409" i="31"/>
  <c r="P412" i="31"/>
  <c r="S408" i="31"/>
  <c r="Q408" i="31"/>
  <c r="P411" i="31"/>
  <c r="R408" i="31"/>
  <c r="P410" i="31"/>
  <c r="V408" i="1"/>
  <c r="W408" i="1" s="1"/>
  <c r="T408" i="31"/>
  <c r="T408" i="32"/>
  <c r="T408" i="19"/>
  <c r="S409" i="1"/>
  <c r="R409" i="1"/>
  <c r="Q409" i="1"/>
  <c r="Q412" i="1"/>
  <c r="S412" i="1"/>
  <c r="R412" i="1"/>
  <c r="Q410" i="1"/>
  <c r="R410" i="1"/>
  <c r="S410" i="1"/>
  <c r="G316" i="32"/>
  <c r="G316" i="31"/>
  <c r="G346" i="32"/>
  <c r="G346" i="31"/>
  <c r="G340" i="32"/>
  <c r="G340" i="31"/>
  <c r="G310" i="32"/>
  <c r="G310" i="31"/>
  <c r="G322" i="32"/>
  <c r="G322" i="31"/>
  <c r="T1640" i="32"/>
  <c r="T1640" i="31"/>
  <c r="W15" i="11"/>
  <c r="W12" i="11"/>
  <c r="W17" i="11"/>
  <c r="W18" i="11"/>
  <c r="W13" i="11"/>
  <c r="W16" i="11"/>
  <c r="W19" i="11"/>
  <c r="W14" i="11"/>
  <c r="G336" i="1"/>
  <c r="G306" i="1"/>
  <c r="G316" i="19"/>
  <c r="G310" i="19"/>
  <c r="G340" i="19"/>
  <c r="G346" i="19"/>
  <c r="G312" i="1"/>
  <c r="G342" i="1"/>
  <c r="G322" i="19"/>
  <c r="G318" i="1"/>
  <c r="T1640" i="19"/>
  <c r="I432" i="1"/>
  <c r="I480" i="1"/>
  <c r="I485" i="1"/>
  <c r="I425" i="1"/>
  <c r="I420" i="1"/>
  <c r="I437" i="1"/>
  <c r="W9" i="12"/>
  <c r="W9" i="11"/>
  <c r="Q412" i="32" l="1"/>
  <c r="R412" i="32"/>
  <c r="S412" i="32"/>
  <c r="R413" i="32"/>
  <c r="S413" i="32"/>
  <c r="Q413" i="32"/>
  <c r="T412" i="19"/>
  <c r="T412" i="32"/>
  <c r="T412" i="31"/>
  <c r="S411" i="31"/>
  <c r="R411" i="31"/>
  <c r="Q411" i="31"/>
  <c r="R409" i="31"/>
  <c r="S409" i="31"/>
  <c r="Q409" i="31"/>
  <c r="T409" i="32"/>
  <c r="T409" i="19"/>
  <c r="T409" i="31"/>
  <c r="Q411" i="32"/>
  <c r="R411" i="32"/>
  <c r="S411" i="32"/>
  <c r="T411" i="19"/>
  <c r="T411" i="31"/>
  <c r="T411" i="32"/>
  <c r="S409" i="32"/>
  <c r="R409" i="32"/>
  <c r="Q409" i="32"/>
  <c r="Q413" i="31"/>
  <c r="S413" i="31"/>
  <c r="R413" i="31"/>
  <c r="T413" i="32"/>
  <c r="T413" i="31"/>
  <c r="T413" i="19"/>
  <c r="Y408" i="31"/>
  <c r="Y408" i="32"/>
  <c r="Y408" i="19"/>
  <c r="R410" i="31"/>
  <c r="Q410" i="31"/>
  <c r="S410" i="31"/>
  <c r="T410" i="32"/>
  <c r="T410" i="19"/>
  <c r="T410" i="31"/>
  <c r="R412" i="31"/>
  <c r="Q412" i="31"/>
  <c r="S412" i="31"/>
  <c r="S410" i="32"/>
  <c r="R410" i="32"/>
  <c r="Q410" i="32"/>
  <c r="G312" i="32"/>
  <c r="G312" i="31"/>
  <c r="I480" i="32"/>
  <c r="I480" i="31"/>
  <c r="I432" i="32"/>
  <c r="I432" i="31"/>
  <c r="G336" i="32"/>
  <c r="G336" i="31"/>
  <c r="I437" i="32"/>
  <c r="I437" i="31"/>
  <c r="G318" i="32"/>
  <c r="G318" i="31"/>
  <c r="G306" i="32"/>
  <c r="G306" i="31"/>
  <c r="I420" i="32"/>
  <c r="I420" i="31"/>
  <c r="I425" i="32"/>
  <c r="I425" i="31"/>
  <c r="I485" i="32"/>
  <c r="I485" i="31"/>
  <c r="G342" i="32"/>
  <c r="G342" i="31"/>
  <c r="G336" i="19"/>
  <c r="G306" i="19"/>
  <c r="G312" i="19"/>
  <c r="G342" i="19"/>
  <c r="G318" i="19"/>
  <c r="J425" i="1"/>
  <c r="M425" i="1" s="1"/>
  <c r="N425" i="1" s="1"/>
  <c r="I425" i="19"/>
  <c r="J485" i="1"/>
  <c r="I485" i="19"/>
  <c r="J480" i="1"/>
  <c r="I480" i="19"/>
  <c r="J432" i="1"/>
  <c r="I432" i="19"/>
  <c r="J437" i="1"/>
  <c r="I437" i="19"/>
  <c r="J420" i="1"/>
  <c r="M420" i="1" s="1"/>
  <c r="N420" i="1" s="1"/>
  <c r="I420" i="19"/>
  <c r="J432" i="32" l="1"/>
  <c r="J432" i="31"/>
  <c r="J420" i="32"/>
  <c r="M420" i="32" s="1"/>
  <c r="N420" i="32" s="1"/>
  <c r="J420" i="31"/>
  <c r="M420" i="31" s="1"/>
  <c r="N420" i="31" s="1"/>
  <c r="J480" i="32"/>
  <c r="J480" i="31"/>
  <c r="J425" i="32"/>
  <c r="M425" i="32" s="1"/>
  <c r="N425" i="32" s="1"/>
  <c r="J425" i="31"/>
  <c r="M425" i="31" s="1"/>
  <c r="N425" i="31" s="1"/>
  <c r="J437" i="32"/>
  <c r="J437" i="31"/>
  <c r="J485" i="32"/>
  <c r="J485" i="31"/>
  <c r="J485" i="19"/>
  <c r="J480" i="19"/>
  <c r="J437" i="19"/>
  <c r="J420" i="19"/>
  <c r="J432" i="19"/>
  <c r="J425" i="19"/>
  <c r="S420" i="1"/>
  <c r="R420" i="1"/>
  <c r="Q420" i="1"/>
  <c r="P425" i="1"/>
  <c r="P424" i="1"/>
  <c r="P423" i="1"/>
  <c r="P422" i="1"/>
  <c r="P421" i="1"/>
  <c r="V425" i="1" l="1"/>
  <c r="W425" i="1" s="1"/>
  <c r="Y425" i="19" s="1"/>
  <c r="P422" i="31"/>
  <c r="S420" i="31"/>
  <c r="P423" i="31"/>
  <c r="P425" i="31"/>
  <c r="Q420" i="31"/>
  <c r="P421" i="31"/>
  <c r="R420" i="31"/>
  <c r="P424" i="31"/>
  <c r="P421" i="32"/>
  <c r="P425" i="32"/>
  <c r="S420" i="32"/>
  <c r="R420" i="32"/>
  <c r="P422" i="32"/>
  <c r="P423" i="32"/>
  <c r="P424" i="32"/>
  <c r="Q420" i="32"/>
  <c r="T420" i="32"/>
  <c r="T420" i="31"/>
  <c r="V420" i="1"/>
  <c r="W420" i="1" s="1"/>
  <c r="S421" i="1"/>
  <c r="R421" i="1"/>
  <c r="Q421" i="1"/>
  <c r="S425" i="1"/>
  <c r="R425" i="1"/>
  <c r="Q425" i="1"/>
  <c r="S424" i="1"/>
  <c r="R424" i="1"/>
  <c r="Q424" i="1"/>
  <c r="S422" i="1"/>
  <c r="R422" i="1"/>
  <c r="Q422" i="1"/>
  <c r="S423" i="1"/>
  <c r="R423" i="1"/>
  <c r="Q423" i="1"/>
  <c r="T420" i="19"/>
  <c r="W65" i="2"/>
  <c r="W64" i="2"/>
  <c r="W63" i="2"/>
  <c r="W50" i="2"/>
  <c r="W49" i="2"/>
  <c r="W48" i="2"/>
  <c r="W47" i="2"/>
  <c r="W46" i="2"/>
  <c r="W26" i="2"/>
  <c r="W20" i="2"/>
  <c r="W19" i="2"/>
  <c r="W18" i="2"/>
  <c r="W17" i="2"/>
  <c r="W16" i="2"/>
  <c r="W28" i="2" s="1"/>
  <c r="W15" i="2"/>
  <c r="W27" i="2" s="1"/>
  <c r="W13" i="2"/>
  <c r="W25" i="2" s="1"/>
  <c r="Y425" i="32" l="1"/>
  <c r="Y425" i="31"/>
  <c r="Q421" i="32"/>
  <c r="S421" i="32"/>
  <c r="R421" i="32"/>
  <c r="S424" i="31"/>
  <c r="R424" i="31"/>
  <c r="Q424" i="31"/>
  <c r="S423" i="31"/>
  <c r="Q423" i="31"/>
  <c r="R423" i="31"/>
  <c r="Q421" i="31"/>
  <c r="S421" i="31"/>
  <c r="R421" i="31"/>
  <c r="R422" i="31"/>
  <c r="Q422" i="31"/>
  <c r="S422" i="31"/>
  <c r="R422" i="32"/>
  <c r="Q422" i="32"/>
  <c r="S422" i="32"/>
  <c r="S424" i="32"/>
  <c r="R424" i="32"/>
  <c r="Q424" i="32"/>
  <c r="Q425" i="32"/>
  <c r="S425" i="32"/>
  <c r="R425" i="32"/>
  <c r="S425" i="31"/>
  <c r="R425" i="31"/>
  <c r="Q425" i="31"/>
  <c r="S423" i="32"/>
  <c r="Q423" i="32"/>
  <c r="R423" i="32"/>
  <c r="T424" i="32"/>
  <c r="Y420" i="32"/>
  <c r="T425" i="32"/>
  <c r="T423" i="32"/>
  <c r="T422" i="32"/>
  <c r="T421" i="32"/>
  <c r="T421" i="31"/>
  <c r="T424" i="31"/>
  <c r="Y420" i="31"/>
  <c r="T425" i="31"/>
  <c r="T423" i="31"/>
  <c r="T422" i="31"/>
  <c r="Y420" i="19"/>
  <c r="T424" i="19"/>
  <c r="T425" i="19"/>
  <c r="T422" i="19"/>
  <c r="T423" i="19"/>
  <c r="T421" i="19"/>
  <c r="I372" i="1" l="1"/>
  <c r="I366" i="1"/>
  <c r="I377" i="1"/>
  <c r="I401" i="1"/>
  <c r="I371" i="1"/>
  <c r="I396" i="1"/>
  <c r="I1669" i="1"/>
  <c r="I396" i="32" l="1"/>
  <c r="I396" i="31"/>
  <c r="I1669" i="31"/>
  <c r="I1669" i="32"/>
  <c r="I401" i="32"/>
  <c r="I401" i="31"/>
  <c r="I366" i="32"/>
  <c r="I366" i="31"/>
  <c r="I371" i="32"/>
  <c r="I371" i="31"/>
  <c r="I377" i="32"/>
  <c r="I377" i="31"/>
  <c r="I372" i="32"/>
  <c r="I372" i="31"/>
  <c r="J1669" i="1"/>
  <c r="I1669" i="19"/>
  <c r="J401" i="1"/>
  <c r="I401" i="19"/>
  <c r="J396" i="1"/>
  <c r="I396" i="19"/>
  <c r="J366" i="1"/>
  <c r="I366" i="19"/>
  <c r="J371" i="1"/>
  <c r="I371" i="19"/>
  <c r="J377" i="1"/>
  <c r="I377" i="19"/>
  <c r="J372" i="1"/>
  <c r="I372" i="19"/>
  <c r="I651" i="1"/>
  <c r="J396" i="32" l="1"/>
  <c r="J396" i="31"/>
  <c r="J371" i="32"/>
  <c r="J371" i="31"/>
  <c r="J1669" i="32"/>
  <c r="J1669" i="31"/>
  <c r="J377" i="32"/>
  <c r="J377" i="31"/>
  <c r="J401" i="32"/>
  <c r="J401" i="31"/>
  <c r="J372" i="32"/>
  <c r="J372" i="31"/>
  <c r="I651" i="32"/>
  <c r="I651" i="31"/>
  <c r="J366" i="32"/>
  <c r="J366" i="31"/>
  <c r="J651" i="1"/>
  <c r="I651" i="19"/>
  <c r="J1669" i="19"/>
  <c r="J396" i="19"/>
  <c r="J366" i="19"/>
  <c r="J371" i="19"/>
  <c r="J377" i="19"/>
  <c r="J372" i="19"/>
  <c r="J401" i="19"/>
  <c r="B12" i="9"/>
  <c r="B13" i="8"/>
  <c r="B9" i="8"/>
  <c r="B7" i="8"/>
  <c r="J651" i="32" l="1"/>
  <c r="J651" i="31"/>
  <c r="J651" i="19"/>
  <c r="I717" i="1"/>
  <c r="I735" i="1"/>
  <c r="I741" i="1"/>
  <c r="I705" i="1"/>
  <c r="I711" i="1"/>
  <c r="I765" i="1"/>
  <c r="I716" i="1"/>
  <c r="I771" i="1"/>
  <c r="I776" i="1"/>
  <c r="I746" i="1"/>
  <c r="I722" i="1"/>
  <c r="I740" i="1"/>
  <c r="I770" i="1"/>
  <c r="I770" i="32" l="1"/>
  <c r="I770" i="31"/>
  <c r="I722" i="32"/>
  <c r="I722" i="31"/>
  <c r="I735" i="32"/>
  <c r="I735" i="31"/>
  <c r="I711" i="32"/>
  <c r="I711" i="31"/>
  <c r="I717" i="32"/>
  <c r="I717" i="31"/>
  <c r="I705" i="32"/>
  <c r="I705" i="31"/>
  <c r="I776" i="32"/>
  <c r="I776" i="31"/>
  <c r="I746" i="32"/>
  <c r="I746" i="31"/>
  <c r="I771" i="32"/>
  <c r="I771" i="31"/>
  <c r="I716" i="32"/>
  <c r="I716" i="31"/>
  <c r="I740" i="32"/>
  <c r="I740" i="31"/>
  <c r="I741" i="32"/>
  <c r="I741" i="31"/>
  <c r="I765" i="32"/>
  <c r="I765" i="31"/>
  <c r="I765" i="19"/>
  <c r="I770" i="19"/>
  <c r="I741" i="19"/>
  <c r="I716" i="19"/>
  <c r="I740" i="19"/>
  <c r="I722" i="19"/>
  <c r="I735" i="19"/>
  <c r="I771" i="19"/>
  <c r="I711" i="19"/>
  <c r="I705" i="19"/>
  <c r="I746" i="19"/>
  <c r="I776" i="19"/>
  <c r="I717" i="19"/>
  <c r="J746" i="1"/>
  <c r="J740" i="1"/>
  <c r="J717" i="1"/>
  <c r="J705" i="1"/>
  <c r="J711" i="1"/>
  <c r="J741" i="1"/>
  <c r="J776" i="1"/>
  <c r="J716" i="1"/>
  <c r="J770" i="1"/>
  <c r="J722" i="1"/>
  <c r="J771" i="1"/>
  <c r="J765" i="1"/>
  <c r="J735" i="1"/>
  <c r="I710" i="1"/>
  <c r="I317" i="1"/>
  <c r="I347" i="1"/>
  <c r="I342" i="1"/>
  <c r="I312" i="1"/>
  <c r="J770" i="32" l="1"/>
  <c r="J770" i="31"/>
  <c r="J716" i="32"/>
  <c r="J716" i="31"/>
  <c r="I317" i="32"/>
  <c r="I317" i="31"/>
  <c r="J776" i="32"/>
  <c r="J776" i="31"/>
  <c r="I342" i="32"/>
  <c r="I342" i="31"/>
  <c r="I710" i="32"/>
  <c r="I710" i="31"/>
  <c r="J741" i="32"/>
  <c r="J741" i="31"/>
  <c r="J711" i="32"/>
  <c r="J711" i="31"/>
  <c r="J765" i="32"/>
  <c r="J765" i="31"/>
  <c r="J705" i="32"/>
  <c r="J705" i="31"/>
  <c r="J746" i="32"/>
  <c r="J746" i="31"/>
  <c r="I347" i="32"/>
  <c r="I347" i="31"/>
  <c r="J735" i="32"/>
  <c r="J735" i="31"/>
  <c r="J771" i="32"/>
  <c r="J771" i="31"/>
  <c r="J717" i="32"/>
  <c r="J717" i="31"/>
  <c r="I312" i="32"/>
  <c r="I312" i="31"/>
  <c r="J722" i="32"/>
  <c r="J722" i="31"/>
  <c r="J740" i="32"/>
  <c r="J740" i="31"/>
  <c r="J740" i="19"/>
  <c r="J746" i="19"/>
  <c r="J312" i="1"/>
  <c r="I312" i="19"/>
  <c r="J342" i="1"/>
  <c r="I342" i="19"/>
  <c r="J776" i="19"/>
  <c r="J722" i="19"/>
  <c r="J741" i="19"/>
  <c r="J347" i="1"/>
  <c r="I347" i="19"/>
  <c r="J735" i="19"/>
  <c r="J711" i="19"/>
  <c r="J716" i="19"/>
  <c r="I710" i="19"/>
  <c r="J765" i="19"/>
  <c r="J705" i="19"/>
  <c r="J770" i="19"/>
  <c r="J317" i="1"/>
  <c r="I317" i="19"/>
  <c r="J771" i="19"/>
  <c r="J717" i="19"/>
  <c r="M765" i="1"/>
  <c r="N765" i="1" s="1"/>
  <c r="W765" i="1" s="1"/>
  <c r="M770" i="1"/>
  <c r="N770" i="1" s="1"/>
  <c r="W770" i="1" s="1"/>
  <c r="J710" i="1"/>
  <c r="I311" i="1"/>
  <c r="I306" i="1"/>
  <c r="J312" i="32" l="1"/>
  <c r="J312" i="31"/>
  <c r="I311" i="32"/>
  <c r="I311" i="31"/>
  <c r="J710" i="32"/>
  <c r="J710" i="31"/>
  <c r="J317" i="32"/>
  <c r="J317" i="31"/>
  <c r="J347" i="32"/>
  <c r="J347" i="31"/>
  <c r="I306" i="32"/>
  <c r="I306" i="31"/>
  <c r="J342" i="32"/>
  <c r="J342" i="31"/>
  <c r="Y770" i="32"/>
  <c r="Y765" i="32"/>
  <c r="Y765" i="31"/>
  <c r="Y770" i="31"/>
  <c r="Y770" i="19"/>
  <c r="Y765" i="19"/>
  <c r="J317" i="19"/>
  <c r="J306" i="1"/>
  <c r="I306" i="19"/>
  <c r="J347" i="19"/>
  <c r="J312" i="19"/>
  <c r="J342" i="19"/>
  <c r="J311" i="1"/>
  <c r="I311" i="19"/>
  <c r="J710" i="19"/>
  <c r="S765" i="1"/>
  <c r="R765" i="1"/>
  <c r="Q765" i="1"/>
  <c r="P769" i="1"/>
  <c r="P768" i="1"/>
  <c r="P767" i="1"/>
  <c r="P766" i="1"/>
  <c r="P770" i="1"/>
  <c r="J311" i="32" l="1"/>
  <c r="J311" i="31"/>
  <c r="J306" i="32"/>
  <c r="J306" i="31"/>
  <c r="T765" i="32"/>
  <c r="T765" i="31"/>
  <c r="J311" i="19"/>
  <c r="J306" i="19"/>
  <c r="S767" i="1"/>
  <c r="R767" i="1"/>
  <c r="Q767" i="1"/>
  <c r="S766" i="1"/>
  <c r="R766" i="1"/>
  <c r="Q766" i="1"/>
  <c r="S768" i="1"/>
  <c r="R768" i="1"/>
  <c r="Q768" i="1"/>
  <c r="S769" i="1"/>
  <c r="R769" i="1"/>
  <c r="Q769" i="1"/>
  <c r="S770" i="1"/>
  <c r="R770" i="1"/>
  <c r="Q770" i="1"/>
  <c r="T765" i="19"/>
  <c r="T766" i="32" l="1"/>
  <c r="T769" i="32"/>
  <c r="T767" i="32"/>
  <c r="T768" i="32"/>
  <c r="T770" i="32"/>
  <c r="T766" i="31"/>
  <c r="T767" i="31"/>
  <c r="T769" i="31"/>
  <c r="T768" i="31"/>
  <c r="T770" i="31"/>
  <c r="T766" i="19"/>
  <c r="T770" i="19"/>
  <c r="T769" i="19"/>
  <c r="T768" i="19"/>
  <c r="T767" i="19"/>
  <c r="I378" i="1"/>
  <c r="I383" i="1"/>
  <c r="I378" i="32" l="1"/>
  <c r="I378" i="31"/>
  <c r="I383" i="32"/>
  <c r="I383" i="31"/>
  <c r="J383" i="1"/>
  <c r="I383" i="19"/>
  <c r="J378" i="1"/>
  <c r="I378" i="19"/>
  <c r="I697" i="1"/>
  <c r="I701" i="1"/>
  <c r="I704" i="1"/>
  <c r="I702" i="1"/>
  <c r="I694" i="1"/>
  <c r="I696" i="1"/>
  <c r="I700" i="1"/>
  <c r="I696" i="32" l="1"/>
  <c r="I696" i="31"/>
  <c r="I694" i="32"/>
  <c r="I694" i="31"/>
  <c r="J378" i="32"/>
  <c r="J378" i="31"/>
  <c r="I704" i="32"/>
  <c r="I704" i="31"/>
  <c r="J383" i="32"/>
  <c r="J383" i="31"/>
  <c r="I701" i="32"/>
  <c r="I701" i="31"/>
  <c r="I700" i="32"/>
  <c r="I700" i="31"/>
  <c r="I702" i="32"/>
  <c r="I702" i="31"/>
  <c r="I697" i="32"/>
  <c r="I697" i="31"/>
  <c r="I696" i="19"/>
  <c r="I694" i="19"/>
  <c r="I700" i="19"/>
  <c r="J378" i="19"/>
  <c r="I701" i="19"/>
  <c r="I702" i="19"/>
  <c r="I697" i="19"/>
  <c r="I704" i="19"/>
  <c r="J383" i="19"/>
  <c r="J702" i="1"/>
  <c r="J700" i="1"/>
  <c r="J694" i="1"/>
  <c r="J701" i="1"/>
  <c r="J696" i="1"/>
  <c r="J704" i="1"/>
  <c r="J697" i="1"/>
  <c r="J696" i="32" l="1"/>
  <c r="J696" i="31"/>
  <c r="J700" i="32"/>
  <c r="J700" i="31"/>
  <c r="J701" i="32"/>
  <c r="J701" i="31"/>
  <c r="J702" i="32"/>
  <c r="J702" i="31"/>
  <c r="J697" i="32"/>
  <c r="J697" i="31"/>
  <c r="J694" i="32"/>
  <c r="J694" i="31"/>
  <c r="J704" i="32"/>
  <c r="J704" i="31"/>
  <c r="J700" i="19"/>
  <c r="J696" i="19"/>
  <c r="J694" i="19"/>
  <c r="J701" i="19"/>
  <c r="J697" i="19"/>
  <c r="J702" i="19"/>
  <c r="J704" i="19"/>
  <c r="M694" i="1"/>
  <c r="N694" i="1" s="1"/>
  <c r="W694" i="1" s="1"/>
  <c r="I699" i="1"/>
  <c r="I695" i="1"/>
  <c r="I698" i="1"/>
  <c r="I699" i="32" l="1"/>
  <c r="I699" i="31"/>
  <c r="I695" i="32"/>
  <c r="I695" i="31"/>
  <c r="I698" i="32"/>
  <c r="I698" i="31"/>
  <c r="Y694" i="32"/>
  <c r="Y694" i="31"/>
  <c r="Y694" i="19"/>
  <c r="I698" i="19"/>
  <c r="I699" i="19"/>
  <c r="I695" i="19"/>
  <c r="S694" i="1"/>
  <c r="R694" i="1"/>
  <c r="Q694" i="1"/>
  <c r="J698" i="1"/>
  <c r="J695" i="1"/>
  <c r="J699" i="1"/>
  <c r="I284" i="1"/>
  <c r="I290" i="1"/>
  <c r="I341" i="1"/>
  <c r="I359" i="1"/>
  <c r="I299" i="1"/>
  <c r="I296" i="1"/>
  <c r="I323" i="1"/>
  <c r="I293" i="1"/>
  <c r="I287" i="1"/>
  <c r="I305" i="1"/>
  <c r="I281" i="1"/>
  <c r="I302" i="1"/>
  <c r="I365" i="1"/>
  <c r="I473" i="1"/>
  <c r="I407" i="1"/>
  <c r="I497" i="1"/>
  <c r="I323" i="32" l="1"/>
  <c r="I323" i="31"/>
  <c r="J695" i="32"/>
  <c r="J695" i="31"/>
  <c r="I299" i="32"/>
  <c r="I299" i="31"/>
  <c r="I296" i="32"/>
  <c r="I296" i="31"/>
  <c r="I473" i="32"/>
  <c r="I473" i="31"/>
  <c r="I302" i="32"/>
  <c r="I302" i="31"/>
  <c r="I281" i="32"/>
  <c r="I281" i="31"/>
  <c r="I305" i="32"/>
  <c r="I305" i="31"/>
  <c r="I290" i="32"/>
  <c r="I290" i="31"/>
  <c r="J698" i="32"/>
  <c r="J698" i="31"/>
  <c r="I341" i="32"/>
  <c r="I341" i="31"/>
  <c r="I287" i="32"/>
  <c r="I287" i="31"/>
  <c r="I284" i="32"/>
  <c r="I284" i="31"/>
  <c r="I407" i="32"/>
  <c r="I407" i="31"/>
  <c r="I365" i="32"/>
  <c r="I365" i="31"/>
  <c r="I359" i="32"/>
  <c r="I359" i="31"/>
  <c r="I497" i="32"/>
  <c r="I497" i="31"/>
  <c r="I293" i="32"/>
  <c r="I293" i="31"/>
  <c r="J699" i="32"/>
  <c r="J699" i="31"/>
  <c r="T694" i="32"/>
  <c r="T694" i="31"/>
  <c r="J698" i="19"/>
  <c r="J296" i="1"/>
  <c r="I296" i="19"/>
  <c r="J299" i="1"/>
  <c r="I299" i="19"/>
  <c r="J281" i="1"/>
  <c r="I281" i="19"/>
  <c r="J341" i="1"/>
  <c r="I341" i="19"/>
  <c r="J473" i="1"/>
  <c r="I473" i="19"/>
  <c r="J305" i="1"/>
  <c r="I305" i="19"/>
  <c r="J290" i="1"/>
  <c r="I290" i="19"/>
  <c r="J302" i="1"/>
  <c r="I302" i="19"/>
  <c r="J287" i="1"/>
  <c r="I287" i="19"/>
  <c r="J284" i="1"/>
  <c r="I284" i="19"/>
  <c r="J359" i="1"/>
  <c r="I359" i="19"/>
  <c r="J497" i="1"/>
  <c r="I497" i="19"/>
  <c r="J293" i="1"/>
  <c r="I293" i="19"/>
  <c r="J699" i="19"/>
  <c r="J365" i="1"/>
  <c r="I365" i="19"/>
  <c r="J407" i="1"/>
  <c r="I407" i="19"/>
  <c r="J323" i="1"/>
  <c r="I323" i="19"/>
  <c r="J695" i="19"/>
  <c r="T694" i="19"/>
  <c r="M695" i="1"/>
  <c r="N695" i="1" s="1"/>
  <c r="W695" i="1" s="1"/>
  <c r="I278" i="1"/>
  <c r="J497" i="32" l="1"/>
  <c r="J497" i="31"/>
  <c r="J287" i="32"/>
  <c r="J287" i="31"/>
  <c r="J296" i="32"/>
  <c r="J296" i="31"/>
  <c r="I278" i="32"/>
  <c r="I278" i="31"/>
  <c r="J323" i="32"/>
  <c r="J323" i="31"/>
  <c r="J305" i="32"/>
  <c r="J305" i="31"/>
  <c r="J359" i="32"/>
  <c r="J359" i="31"/>
  <c r="J281" i="32"/>
  <c r="J281" i="31"/>
  <c r="J365" i="32"/>
  <c r="J365" i="31"/>
  <c r="J302" i="32"/>
  <c r="J302" i="31"/>
  <c r="J341" i="32"/>
  <c r="J341" i="31"/>
  <c r="J407" i="32"/>
  <c r="J407" i="31"/>
  <c r="J293" i="32"/>
  <c r="J293" i="31"/>
  <c r="J473" i="32"/>
  <c r="M473" i="32" s="1"/>
  <c r="N473" i="32" s="1"/>
  <c r="J473" i="31"/>
  <c r="M473" i="31" s="1"/>
  <c r="N473" i="31" s="1"/>
  <c r="J290" i="32"/>
  <c r="J290" i="31"/>
  <c r="J284" i="32"/>
  <c r="J284" i="31"/>
  <c r="J299" i="32"/>
  <c r="J299" i="31"/>
  <c r="Y695" i="32"/>
  <c r="Y695" i="31"/>
  <c r="M473" i="1"/>
  <c r="N473" i="1" s="1"/>
  <c r="Y695" i="19"/>
  <c r="J323" i="19"/>
  <c r="J284" i="19"/>
  <c r="J299" i="19"/>
  <c r="J359" i="19"/>
  <c r="J281" i="19"/>
  <c r="J497" i="19"/>
  <c r="J341" i="19"/>
  <c r="J293" i="19"/>
  <c r="J473" i="19"/>
  <c r="J305" i="19"/>
  <c r="J290" i="19"/>
  <c r="J278" i="1"/>
  <c r="I278" i="19"/>
  <c r="J365" i="19"/>
  <c r="J302" i="19"/>
  <c r="J407" i="19"/>
  <c r="J287" i="19"/>
  <c r="J296" i="19"/>
  <c r="S695" i="1"/>
  <c r="R695" i="1"/>
  <c r="Q695" i="1"/>
  <c r="I260" i="1"/>
  <c r="I275" i="1"/>
  <c r="I265" i="1"/>
  <c r="I270" i="1"/>
  <c r="I275" i="32" l="1"/>
  <c r="I275" i="31"/>
  <c r="I265" i="32"/>
  <c r="I265" i="31"/>
  <c r="I260" i="32"/>
  <c r="I260" i="31"/>
  <c r="J278" i="32"/>
  <c r="J278" i="31"/>
  <c r="I270" i="32"/>
  <c r="I270" i="31"/>
  <c r="T695" i="32"/>
  <c r="T695" i="31"/>
  <c r="V473" i="1"/>
  <c r="W473" i="1" s="1"/>
  <c r="J265" i="1"/>
  <c r="I265" i="19"/>
  <c r="J275" i="1"/>
  <c r="I275" i="19"/>
  <c r="J260" i="1"/>
  <c r="I260" i="19"/>
  <c r="J278" i="19"/>
  <c r="J270" i="1"/>
  <c r="I270" i="19"/>
  <c r="T695" i="19"/>
  <c r="I233" i="1"/>
  <c r="I235" i="1"/>
  <c r="I237" i="1"/>
  <c r="I235" i="32" l="1"/>
  <c r="I235" i="31"/>
  <c r="I233" i="32"/>
  <c r="I233" i="31"/>
  <c r="J260" i="32"/>
  <c r="J260" i="31"/>
  <c r="J265" i="32"/>
  <c r="J265" i="31"/>
  <c r="J275" i="32"/>
  <c r="J275" i="31"/>
  <c r="J270" i="32"/>
  <c r="J270" i="31"/>
  <c r="I237" i="32"/>
  <c r="I237" i="31"/>
  <c r="Y473" i="31"/>
  <c r="Y473" i="32"/>
  <c r="Y473" i="19"/>
  <c r="J275" i="19"/>
  <c r="J260" i="19"/>
  <c r="J270" i="19"/>
  <c r="J235" i="1"/>
  <c r="I235" i="19"/>
  <c r="J237" i="1"/>
  <c r="I237" i="19"/>
  <c r="J233" i="1"/>
  <c r="I233" i="19"/>
  <c r="J265" i="19"/>
  <c r="I231" i="1"/>
  <c r="J233" i="32" l="1"/>
  <c r="J233" i="31"/>
  <c r="J237" i="32"/>
  <c r="M237" i="32" s="1"/>
  <c r="N237" i="32" s="1"/>
  <c r="J237" i="31"/>
  <c r="M237" i="31" s="1"/>
  <c r="N237" i="31" s="1"/>
  <c r="I231" i="32"/>
  <c r="I231" i="31"/>
  <c r="J235" i="32"/>
  <c r="M235" i="32" s="1"/>
  <c r="N235" i="32" s="1"/>
  <c r="J235" i="31"/>
  <c r="M235" i="31" s="1"/>
  <c r="N235" i="31" s="1"/>
  <c r="M237" i="1"/>
  <c r="N237" i="1" s="1"/>
  <c r="Q237" i="1" s="1"/>
  <c r="M235" i="1"/>
  <c r="N235" i="1" s="1"/>
  <c r="Q235" i="1" s="1"/>
  <c r="J235" i="19"/>
  <c r="J231" i="1"/>
  <c r="I231" i="19"/>
  <c r="J237" i="19"/>
  <c r="J233" i="19"/>
  <c r="G2139" i="1"/>
  <c r="G2139" i="32" l="1"/>
  <c r="G2139" i="31"/>
  <c r="Q235" i="31"/>
  <c r="S235" i="31"/>
  <c r="R235" i="31"/>
  <c r="S237" i="31"/>
  <c r="R237" i="31"/>
  <c r="Q237" i="31"/>
  <c r="S235" i="32"/>
  <c r="R235" i="32"/>
  <c r="Q235" i="32"/>
  <c r="S237" i="32"/>
  <c r="R237" i="32"/>
  <c r="Q237" i="32"/>
  <c r="J231" i="32"/>
  <c r="M231" i="32" s="1"/>
  <c r="N231" i="32" s="1"/>
  <c r="J231" i="31"/>
  <c r="M231" i="31" s="1"/>
  <c r="N231" i="31" s="1"/>
  <c r="R237" i="1"/>
  <c r="S237" i="1"/>
  <c r="S235" i="1"/>
  <c r="M231" i="1"/>
  <c r="R235" i="1"/>
  <c r="V235" i="1"/>
  <c r="W235" i="1" s="1"/>
  <c r="V237" i="1"/>
  <c r="W237" i="1" s="1"/>
  <c r="G2139" i="19"/>
  <c r="J231" i="19"/>
  <c r="I1788" i="1"/>
  <c r="I1892" i="1"/>
  <c r="I1795" i="1"/>
  <c r="I1791" i="1"/>
  <c r="I1916" i="1"/>
  <c r="I2028" i="1"/>
  <c r="I1928" i="1"/>
  <c r="I2088" i="1"/>
  <c r="I1924" i="1"/>
  <c r="I1773" i="1"/>
  <c r="I1856" i="1"/>
  <c r="I1781" i="1"/>
  <c r="I2078" i="1"/>
  <c r="I1900" i="1"/>
  <c r="I2083" i="1"/>
  <c r="I2098" i="1"/>
  <c r="I1848" i="1"/>
  <c r="I2000" i="1"/>
  <c r="I2044" i="1"/>
  <c r="I1868" i="1"/>
  <c r="I1984" i="1"/>
  <c r="I1936" i="1"/>
  <c r="I1932" i="1"/>
  <c r="I1876" i="1"/>
  <c r="I1872" i="1"/>
  <c r="I1772" i="1"/>
  <c r="I1920" i="1"/>
  <c r="I1775" i="1"/>
  <c r="I1956" i="1"/>
  <c r="I2036" i="1"/>
  <c r="I2068" i="1"/>
  <c r="I1904" i="1"/>
  <c r="I1880" i="1"/>
  <c r="I1988" i="1"/>
  <c r="I2048" i="1"/>
  <c r="I2020" i="1"/>
  <c r="I2032" i="1"/>
  <c r="I1803" i="1"/>
  <c r="I1896" i="1"/>
  <c r="I1864" i="1"/>
  <c r="I2058" i="1"/>
  <c r="I2012" i="1"/>
  <c r="I2004" i="1"/>
  <c r="I1811" i="1"/>
  <c r="I1988" i="32" l="1"/>
  <c r="I1988" i="31"/>
  <c r="I1896" i="32"/>
  <c r="I1896" i="31"/>
  <c r="I2068" i="32"/>
  <c r="I2068" i="31"/>
  <c r="I1932" i="32"/>
  <c r="I1932" i="31"/>
  <c r="I2083" i="32"/>
  <c r="I2083" i="31"/>
  <c r="I1928" i="32"/>
  <c r="I1928" i="31"/>
  <c r="R231" i="31"/>
  <c r="Q231" i="31"/>
  <c r="S231" i="31"/>
  <c r="I1803" i="32"/>
  <c r="I1803" i="31"/>
  <c r="I2036" i="32"/>
  <c r="I2036" i="31"/>
  <c r="I1936" i="32"/>
  <c r="I1936" i="31"/>
  <c r="I1900" i="32"/>
  <c r="I1900" i="31"/>
  <c r="I2028" i="32"/>
  <c r="I2028" i="31"/>
  <c r="S231" i="32"/>
  <c r="R231" i="32"/>
  <c r="Q231" i="32"/>
  <c r="I2012" i="32"/>
  <c r="I2012" i="31"/>
  <c r="I2032" i="32"/>
  <c r="I2032" i="31"/>
  <c r="I1956" i="32"/>
  <c r="I1956" i="31"/>
  <c r="I1984" i="32"/>
  <c r="I1984" i="31"/>
  <c r="I2078" i="32"/>
  <c r="I2078" i="31"/>
  <c r="I1916" i="32"/>
  <c r="I1916" i="31"/>
  <c r="I1811" i="32"/>
  <c r="I1811" i="31"/>
  <c r="I2020" i="32"/>
  <c r="I2020" i="31"/>
  <c r="I1775" i="32"/>
  <c r="I1775" i="31"/>
  <c r="I1868" i="32"/>
  <c r="I1868" i="31"/>
  <c r="I1781" i="32"/>
  <c r="I1781" i="31"/>
  <c r="I1791" i="32"/>
  <c r="I1791" i="31"/>
  <c r="I2004" i="32"/>
  <c r="I2004" i="31"/>
  <c r="I2048" i="32"/>
  <c r="I2048" i="31"/>
  <c r="I1920" i="32"/>
  <c r="I1920" i="31"/>
  <c r="I2044" i="32"/>
  <c r="I2044" i="31"/>
  <c r="I1856" i="32"/>
  <c r="I1856" i="31"/>
  <c r="I1795" i="32"/>
  <c r="I1795" i="31"/>
  <c r="I1772" i="32"/>
  <c r="I1772" i="31"/>
  <c r="I2000" i="32"/>
  <c r="I2000" i="31"/>
  <c r="I1773" i="32"/>
  <c r="I1773" i="31"/>
  <c r="I1892" i="32"/>
  <c r="I1892" i="31"/>
  <c r="I2058" i="32"/>
  <c r="I2058" i="31"/>
  <c r="I1880" i="32"/>
  <c r="I1880" i="31"/>
  <c r="I1872" i="32"/>
  <c r="I1872" i="31"/>
  <c r="I1848" i="32"/>
  <c r="I1848" i="31"/>
  <c r="I1924" i="32"/>
  <c r="I1924" i="31"/>
  <c r="I1788" i="32"/>
  <c r="I1788" i="31"/>
  <c r="I1864" i="32"/>
  <c r="I1864" i="31"/>
  <c r="I1904" i="32"/>
  <c r="I1904" i="31"/>
  <c r="I1876" i="32"/>
  <c r="I1876" i="31"/>
  <c r="I2098" i="32"/>
  <c r="I2098" i="31"/>
  <c r="I2088" i="32"/>
  <c r="I2088" i="31"/>
  <c r="Y235" i="32"/>
  <c r="Y237" i="32"/>
  <c r="T237" i="32"/>
  <c r="T235" i="32"/>
  <c r="T237" i="19"/>
  <c r="Y237" i="31"/>
  <c r="T237" i="31"/>
  <c r="Y235" i="31"/>
  <c r="T235" i="31"/>
  <c r="T235" i="19"/>
  <c r="Y235" i="19"/>
  <c r="V231" i="1"/>
  <c r="Y237" i="19"/>
  <c r="J1781" i="1"/>
  <c r="I1781" i="19"/>
  <c r="J1772" i="1"/>
  <c r="I1772" i="19"/>
  <c r="J1773" i="1"/>
  <c r="I1773" i="19"/>
  <c r="J1892" i="1"/>
  <c r="I1892" i="19"/>
  <c r="J2058" i="1"/>
  <c r="I2058" i="19"/>
  <c r="J1924" i="1"/>
  <c r="I1924" i="19"/>
  <c r="J1788" i="1"/>
  <c r="I1788" i="19"/>
  <c r="J1864" i="1"/>
  <c r="I1864" i="19"/>
  <c r="J2088" i="1"/>
  <c r="I2088" i="19"/>
  <c r="J2012" i="1"/>
  <c r="I2012" i="19"/>
  <c r="J1872" i="1"/>
  <c r="I1872" i="19"/>
  <c r="J2083" i="1"/>
  <c r="I2083" i="19"/>
  <c r="J1928" i="1"/>
  <c r="I1928" i="19"/>
  <c r="J1988" i="1"/>
  <c r="I1988" i="19"/>
  <c r="J1904" i="1"/>
  <c r="I1904" i="19"/>
  <c r="J1803" i="1"/>
  <c r="I1803" i="19"/>
  <c r="J1900" i="1"/>
  <c r="I1900" i="19"/>
  <c r="J2028" i="1"/>
  <c r="I2028" i="19"/>
  <c r="J2000" i="1"/>
  <c r="I2000" i="19"/>
  <c r="J2098" i="1"/>
  <c r="I2098" i="19"/>
  <c r="J1896" i="1"/>
  <c r="I1896" i="19"/>
  <c r="J2032" i="1"/>
  <c r="I2032" i="19"/>
  <c r="J1956" i="1"/>
  <c r="I1956" i="19"/>
  <c r="J1984" i="1"/>
  <c r="I1984" i="19"/>
  <c r="J2078" i="1"/>
  <c r="I2078" i="19"/>
  <c r="J1916" i="1"/>
  <c r="I1916" i="19"/>
  <c r="J1848" i="1"/>
  <c r="I1848" i="19"/>
  <c r="J1932" i="1"/>
  <c r="I1932" i="19"/>
  <c r="J2036" i="1"/>
  <c r="I2036" i="19"/>
  <c r="J2020" i="1"/>
  <c r="I2020" i="19"/>
  <c r="J1775" i="1"/>
  <c r="I1775" i="19"/>
  <c r="J1868" i="1"/>
  <c r="I1868" i="19"/>
  <c r="J1791" i="1"/>
  <c r="I1791" i="19"/>
  <c r="J1880" i="1"/>
  <c r="I1880" i="19"/>
  <c r="J1876" i="1"/>
  <c r="I1876" i="19"/>
  <c r="J2068" i="1"/>
  <c r="I2068" i="19"/>
  <c r="J1936" i="1"/>
  <c r="I1936" i="19"/>
  <c r="J1811" i="1"/>
  <c r="I1811" i="19"/>
  <c r="J2004" i="1"/>
  <c r="I2004" i="19"/>
  <c r="J2048" i="1"/>
  <c r="I2048" i="19"/>
  <c r="J1920" i="1"/>
  <c r="I1920" i="19"/>
  <c r="J2044" i="1"/>
  <c r="I2044" i="19"/>
  <c r="J1856" i="1"/>
  <c r="I1856" i="19"/>
  <c r="J1795" i="1"/>
  <c r="I1795" i="19"/>
  <c r="I2040" i="1"/>
  <c r="I2024" i="1"/>
  <c r="I2073" i="1"/>
  <c r="I2016" i="1"/>
  <c r="I2053" i="1"/>
  <c r="I1908" i="1"/>
  <c r="I1765" i="1"/>
  <c r="I1852" i="1"/>
  <c r="I1764" i="1"/>
  <c r="I1860" i="1"/>
  <c r="I1884" i="1"/>
  <c r="I1912" i="1"/>
  <c r="I1785" i="1"/>
  <c r="I1782" i="1"/>
  <c r="I1768" i="1"/>
  <c r="I1839" i="1"/>
  <c r="I1780" i="1"/>
  <c r="I2008" i="1"/>
  <c r="I1766" i="1"/>
  <c r="I2093" i="1"/>
  <c r="I1976" i="1"/>
  <c r="I1980" i="1"/>
  <c r="I1888" i="1"/>
  <c r="I1767" i="1"/>
  <c r="I1972" i="1"/>
  <c r="I1807" i="1"/>
  <c r="I1763" i="1"/>
  <c r="I1960" i="1"/>
  <c r="I1948" i="1"/>
  <c r="I1992" i="1"/>
  <c r="I1968" i="1"/>
  <c r="I1844" i="1"/>
  <c r="I2063" i="1"/>
  <c r="I1940" i="1"/>
  <c r="M1956" i="1" l="1"/>
  <c r="N1956" i="1" s="1"/>
  <c r="M1988" i="1"/>
  <c r="N1988" i="1" s="1"/>
  <c r="M2083" i="1"/>
  <c r="N2083" i="1" s="1"/>
  <c r="M1848" i="1"/>
  <c r="N1848" i="1" s="1"/>
  <c r="I1968" i="32"/>
  <c r="I1968" i="31"/>
  <c r="I1888" i="32"/>
  <c r="I1888" i="31"/>
  <c r="I1768" i="32"/>
  <c r="I1768" i="31"/>
  <c r="I1765" i="32"/>
  <c r="I1765" i="31"/>
  <c r="J2004" i="32"/>
  <c r="J2004" i="31"/>
  <c r="J1775" i="32"/>
  <c r="J1775" i="31"/>
  <c r="J1956" i="32"/>
  <c r="M1956" i="32" s="1"/>
  <c r="N1956" i="32" s="1"/>
  <c r="J1956" i="31"/>
  <c r="J1904" i="32"/>
  <c r="J1904" i="31"/>
  <c r="J1788" i="32"/>
  <c r="J1788" i="31"/>
  <c r="I1992" i="32"/>
  <c r="I1992" i="31"/>
  <c r="I1980" i="32"/>
  <c r="I1980" i="31"/>
  <c r="I1782" i="32"/>
  <c r="I1782" i="31"/>
  <c r="I1908" i="32"/>
  <c r="I1908" i="31"/>
  <c r="J1795" i="32"/>
  <c r="J1795" i="31"/>
  <c r="J2068" i="32"/>
  <c r="J2068" i="31"/>
  <c r="J1932" i="32"/>
  <c r="J1932" i="31"/>
  <c r="J2098" i="32"/>
  <c r="J2098" i="31"/>
  <c r="J2083" i="32"/>
  <c r="J2083" i="31"/>
  <c r="J1892" i="32"/>
  <c r="J1892" i="31"/>
  <c r="I1948" i="32"/>
  <c r="I1948" i="31"/>
  <c r="I1976" i="32"/>
  <c r="I1976" i="31"/>
  <c r="I1785" i="32"/>
  <c r="I1785" i="31"/>
  <c r="I2053" i="32"/>
  <c r="I2053" i="31"/>
  <c r="J1920" i="32"/>
  <c r="J1920" i="31"/>
  <c r="J1791" i="32"/>
  <c r="J1791" i="31"/>
  <c r="J2078" i="32"/>
  <c r="J2078" i="31"/>
  <c r="J1900" i="32"/>
  <c r="J1900" i="31"/>
  <c r="J2088" i="32"/>
  <c r="J2088" i="31"/>
  <c r="J1781" i="32"/>
  <c r="J1781" i="31"/>
  <c r="I1960" i="32"/>
  <c r="I1960" i="31"/>
  <c r="I2093" i="32"/>
  <c r="I2093" i="31"/>
  <c r="I1912" i="32"/>
  <c r="I1912" i="31"/>
  <c r="I2016" i="32"/>
  <c r="I2016" i="31"/>
  <c r="J1811" i="32"/>
  <c r="J1811" i="31"/>
  <c r="J2020" i="32"/>
  <c r="J2020" i="31"/>
  <c r="J2032" i="32"/>
  <c r="J2032" i="31"/>
  <c r="J1988" i="32"/>
  <c r="J1988" i="31"/>
  <c r="M1988" i="31" s="1"/>
  <c r="N1988" i="31" s="1"/>
  <c r="J1924" i="32"/>
  <c r="J1924" i="31"/>
  <c r="I1763" i="32"/>
  <c r="I1763" i="31"/>
  <c r="I1766" i="32"/>
  <c r="I1766" i="31"/>
  <c r="I1884" i="32"/>
  <c r="I1884" i="31"/>
  <c r="I2073" i="32"/>
  <c r="I2073" i="31"/>
  <c r="J1856" i="32"/>
  <c r="J1856" i="31"/>
  <c r="J1876" i="32"/>
  <c r="J1876" i="31"/>
  <c r="J1848" i="32"/>
  <c r="J1848" i="31"/>
  <c r="J2000" i="32"/>
  <c r="J2000" i="31"/>
  <c r="J1872" i="32"/>
  <c r="J1872" i="31"/>
  <c r="J1773" i="32"/>
  <c r="J1773" i="31"/>
  <c r="I1940" i="32"/>
  <c r="I1940" i="31"/>
  <c r="I1807" i="32"/>
  <c r="I1807" i="31"/>
  <c r="I2008" i="32"/>
  <c r="I2008" i="31"/>
  <c r="I1860" i="32"/>
  <c r="I1860" i="31"/>
  <c r="I2024" i="32"/>
  <c r="I2024" i="31"/>
  <c r="J2048" i="32"/>
  <c r="J2048" i="31"/>
  <c r="J1868" i="32"/>
  <c r="J1868" i="31"/>
  <c r="J1984" i="32"/>
  <c r="M1984" i="32" s="1"/>
  <c r="N1984" i="32" s="1"/>
  <c r="J1984" i="31"/>
  <c r="M1984" i="1"/>
  <c r="N1984" i="1" s="1"/>
  <c r="J1803" i="32"/>
  <c r="J1803" i="31"/>
  <c r="J1864" i="32"/>
  <c r="J1864" i="31"/>
  <c r="I2063" i="32"/>
  <c r="I2063" i="31"/>
  <c r="I1972" i="32"/>
  <c r="I1972" i="31"/>
  <c r="I1780" i="32"/>
  <c r="I1780" i="31"/>
  <c r="I1764" i="32"/>
  <c r="I1764" i="31"/>
  <c r="I2040" i="32"/>
  <c r="I2040" i="31"/>
  <c r="J1936" i="32"/>
  <c r="J1936" i="31"/>
  <c r="J2036" i="32"/>
  <c r="J2036" i="31"/>
  <c r="J1896" i="32"/>
  <c r="J1896" i="31"/>
  <c r="J1928" i="32"/>
  <c r="J1928" i="31"/>
  <c r="J2058" i="32"/>
  <c r="J2058" i="31"/>
  <c r="I1844" i="32"/>
  <c r="I1844" i="31"/>
  <c r="I1767" i="32"/>
  <c r="I1767" i="31"/>
  <c r="I1839" i="32"/>
  <c r="I1839" i="31"/>
  <c r="I1852" i="32"/>
  <c r="I1852" i="31"/>
  <c r="J2044" i="32"/>
  <c r="J2044" i="31"/>
  <c r="J1880" i="32"/>
  <c r="J1880" i="31"/>
  <c r="J1916" i="32"/>
  <c r="J1916" i="31"/>
  <c r="J2028" i="32"/>
  <c r="J2028" i="31"/>
  <c r="J2012" i="32"/>
  <c r="J2012" i="31"/>
  <c r="J1772" i="32"/>
  <c r="J1772" i="31"/>
  <c r="J1763" i="1"/>
  <c r="I1763" i="19"/>
  <c r="J1766" i="1"/>
  <c r="I1766" i="19"/>
  <c r="J1780" i="1"/>
  <c r="I1780" i="19"/>
  <c r="J1764" i="1"/>
  <c r="I1764" i="19"/>
  <c r="J1767" i="1"/>
  <c r="I1767" i="19"/>
  <c r="J1765" i="1"/>
  <c r="I1765" i="19"/>
  <c r="J1781" i="19"/>
  <c r="J1976" i="1"/>
  <c r="I1976" i="19"/>
  <c r="J1785" i="1"/>
  <c r="I1785" i="19"/>
  <c r="J2053" i="1"/>
  <c r="I2053" i="19"/>
  <c r="M1856" i="1"/>
  <c r="N1856" i="1" s="1"/>
  <c r="J1856" i="19"/>
  <c r="J1876" i="19"/>
  <c r="J1848" i="19"/>
  <c r="J2000" i="19"/>
  <c r="J1872" i="19"/>
  <c r="J1773" i="19"/>
  <c r="J1912" i="1"/>
  <c r="I1912" i="19"/>
  <c r="J2016" i="1"/>
  <c r="I2016" i="19"/>
  <c r="J1795" i="19"/>
  <c r="J2068" i="19"/>
  <c r="J1932" i="19"/>
  <c r="J2098" i="19"/>
  <c r="J2083" i="19"/>
  <c r="J1892" i="19"/>
  <c r="J2073" i="1"/>
  <c r="I2073" i="19"/>
  <c r="J1936" i="19"/>
  <c r="J2036" i="19"/>
  <c r="J1896" i="19"/>
  <c r="J1928" i="19"/>
  <c r="J2058" i="19"/>
  <c r="J2093" i="1"/>
  <c r="I2093" i="19"/>
  <c r="J1940" i="1"/>
  <c r="I1940" i="19"/>
  <c r="J1807" i="1"/>
  <c r="I1807" i="19"/>
  <c r="J2008" i="1"/>
  <c r="I2008" i="19"/>
  <c r="J1860" i="1"/>
  <c r="I1860" i="19"/>
  <c r="J2024" i="1"/>
  <c r="I2024" i="19"/>
  <c r="J1811" i="19"/>
  <c r="J2020" i="19"/>
  <c r="J2032" i="19"/>
  <c r="J1988" i="19"/>
  <c r="J1924" i="19"/>
  <c r="J1948" i="1"/>
  <c r="I1948" i="19"/>
  <c r="J1884" i="1"/>
  <c r="I1884" i="19"/>
  <c r="J2063" i="1"/>
  <c r="I2063" i="19"/>
  <c r="J1972" i="1"/>
  <c r="I1972" i="19"/>
  <c r="J2040" i="1"/>
  <c r="I2040" i="19"/>
  <c r="J2004" i="19"/>
  <c r="J1775" i="19"/>
  <c r="J1956" i="19"/>
  <c r="J1904" i="19"/>
  <c r="J1788" i="19"/>
  <c r="J1960" i="1"/>
  <c r="I1960" i="19"/>
  <c r="J1844" i="1"/>
  <c r="I1844" i="19"/>
  <c r="J1839" i="1"/>
  <c r="I1839" i="19"/>
  <c r="J1852" i="1"/>
  <c r="I1852" i="19"/>
  <c r="J2048" i="19"/>
  <c r="J1868" i="19"/>
  <c r="J1984" i="19"/>
  <c r="J1803" i="19"/>
  <c r="J1864" i="19"/>
  <c r="J1968" i="1"/>
  <c r="I1968" i="19"/>
  <c r="J1888" i="1"/>
  <c r="I1888" i="19"/>
  <c r="J1768" i="1"/>
  <c r="I1768" i="19"/>
  <c r="J1920" i="19"/>
  <c r="J1791" i="19"/>
  <c r="J2078" i="19"/>
  <c r="J1900" i="19"/>
  <c r="J2088" i="19"/>
  <c r="J1992" i="1"/>
  <c r="I1992" i="19"/>
  <c r="J1980" i="1"/>
  <c r="I1980" i="19"/>
  <c r="J1782" i="1"/>
  <c r="I1782" i="19"/>
  <c r="J1908" i="1"/>
  <c r="I1908" i="19"/>
  <c r="J2044" i="19"/>
  <c r="J1880" i="19"/>
  <c r="J1916" i="19"/>
  <c r="J2028" i="19"/>
  <c r="J2012" i="19"/>
  <c r="J1772" i="19"/>
  <c r="I1996" i="1"/>
  <c r="I1952" i="1"/>
  <c r="I1944" i="1"/>
  <c r="I1964" i="1"/>
  <c r="Q1956" i="32" l="1"/>
  <c r="P1958" i="32"/>
  <c r="R1956" i="32"/>
  <c r="P1959" i="32"/>
  <c r="P1957" i="32"/>
  <c r="S1956" i="32"/>
  <c r="M1940" i="1"/>
  <c r="N1940" i="1" s="1"/>
  <c r="P1958" i="1"/>
  <c r="R1956" i="1"/>
  <c r="Q1956" i="1"/>
  <c r="S1956" i="1"/>
  <c r="P1957" i="1"/>
  <c r="P1959" i="1"/>
  <c r="V1956" i="1"/>
  <c r="W1956" i="1" s="1"/>
  <c r="V1856" i="1"/>
  <c r="W1856" i="1" s="1"/>
  <c r="V2083" i="1"/>
  <c r="W2083" i="1" s="1"/>
  <c r="S1988" i="31"/>
  <c r="P1989" i="31"/>
  <c r="P1990" i="31"/>
  <c r="P1991" i="31"/>
  <c r="R1988" i="31"/>
  <c r="Q1988" i="31"/>
  <c r="V1988" i="1"/>
  <c r="W1988" i="1" s="1"/>
  <c r="V1848" i="1"/>
  <c r="W1848" i="1" s="1"/>
  <c r="S1848" i="1"/>
  <c r="R1848" i="1"/>
  <c r="Q1848" i="1"/>
  <c r="P1851" i="1"/>
  <c r="P1849" i="1"/>
  <c r="P1850" i="1"/>
  <c r="P2086" i="1"/>
  <c r="R2083" i="1"/>
  <c r="S2083" i="1"/>
  <c r="P2087" i="1"/>
  <c r="Q2083" i="1"/>
  <c r="P2084" i="1"/>
  <c r="P2085" i="1"/>
  <c r="R1988" i="1"/>
  <c r="Q1988" i="1"/>
  <c r="S1988" i="1"/>
  <c r="P1991" i="1"/>
  <c r="P1990" i="1"/>
  <c r="P1989" i="1"/>
  <c r="I1952" i="32"/>
  <c r="I1952" i="31"/>
  <c r="J1908" i="32"/>
  <c r="J1908" i="31"/>
  <c r="J1884" i="32"/>
  <c r="J1884" i="31"/>
  <c r="J2024" i="32"/>
  <c r="J2024" i="31"/>
  <c r="J1763" i="32"/>
  <c r="J1763" i="31"/>
  <c r="J1888" i="32"/>
  <c r="J1888" i="31"/>
  <c r="J1852" i="32"/>
  <c r="J1852" i="31"/>
  <c r="J1807" i="32"/>
  <c r="J1807" i="31"/>
  <c r="J1785" i="32"/>
  <c r="J1785" i="31"/>
  <c r="J1765" i="32"/>
  <c r="J1765" i="31"/>
  <c r="P1986" i="32"/>
  <c r="S1984" i="32"/>
  <c r="P1987" i="32"/>
  <c r="Q1984" i="32"/>
  <c r="R1984" i="32"/>
  <c r="P1985" i="32"/>
  <c r="V1984" i="1"/>
  <c r="W1984" i="1" s="1"/>
  <c r="J1992" i="32"/>
  <c r="J1992" i="31"/>
  <c r="M1960" i="1"/>
  <c r="N1960" i="1" s="1"/>
  <c r="R1960" i="1" s="1"/>
  <c r="J1960" i="32"/>
  <c r="M1960" i="32" s="1"/>
  <c r="N1960" i="32" s="1"/>
  <c r="J1960" i="31"/>
  <c r="M1960" i="31" s="1"/>
  <c r="N1960" i="31" s="1"/>
  <c r="J1972" i="32"/>
  <c r="J1972" i="31"/>
  <c r="J1780" i="32"/>
  <c r="J1780" i="31"/>
  <c r="J1782" i="32"/>
  <c r="J1782" i="31"/>
  <c r="J1948" i="32"/>
  <c r="M1948" i="32" s="1"/>
  <c r="N1948" i="32" s="1"/>
  <c r="J1948" i="31"/>
  <c r="J1860" i="32"/>
  <c r="J1860" i="31"/>
  <c r="J2016" i="32"/>
  <c r="J2016" i="31"/>
  <c r="I1996" i="32"/>
  <c r="I1996" i="31"/>
  <c r="M1968" i="1"/>
  <c r="N1968" i="1" s="1"/>
  <c r="P1970" i="1" s="1"/>
  <c r="J1968" i="32"/>
  <c r="M1968" i="32" s="1"/>
  <c r="N1968" i="32" s="1"/>
  <c r="J1968" i="31"/>
  <c r="J1839" i="32"/>
  <c r="J1839" i="31"/>
  <c r="J1940" i="32"/>
  <c r="M1940" i="32" s="1"/>
  <c r="N1940" i="32" s="1"/>
  <c r="J1940" i="31"/>
  <c r="M1940" i="31" s="1"/>
  <c r="N1940" i="31" s="1"/>
  <c r="J2073" i="32"/>
  <c r="J2073" i="31"/>
  <c r="J1976" i="32"/>
  <c r="J1976" i="31"/>
  <c r="J1767" i="32"/>
  <c r="J1767" i="31"/>
  <c r="J2063" i="32"/>
  <c r="J2063" i="31"/>
  <c r="J1766" i="32"/>
  <c r="J1766" i="31"/>
  <c r="I1964" i="32"/>
  <c r="I1964" i="31"/>
  <c r="J1980" i="32"/>
  <c r="J1980" i="31"/>
  <c r="J1768" i="32"/>
  <c r="J1768" i="31"/>
  <c r="J2008" i="32"/>
  <c r="J2008" i="31"/>
  <c r="J1912" i="32"/>
  <c r="J1912" i="31"/>
  <c r="J2053" i="32"/>
  <c r="J2053" i="31"/>
  <c r="I1944" i="32"/>
  <c r="I1944" i="31"/>
  <c r="J1844" i="32"/>
  <c r="J1844" i="31"/>
  <c r="J2040" i="32"/>
  <c r="J2040" i="31"/>
  <c r="J2093" i="32"/>
  <c r="J2093" i="31"/>
  <c r="J1764" i="32"/>
  <c r="J1764" i="31"/>
  <c r="R1984" i="1"/>
  <c r="Q1984" i="1"/>
  <c r="P1987" i="1"/>
  <c r="P1986" i="1"/>
  <c r="P1985" i="1"/>
  <c r="S1984" i="1"/>
  <c r="J1766" i="19"/>
  <c r="J1780" i="19"/>
  <c r="J1764" i="19"/>
  <c r="J1767" i="19"/>
  <c r="J1765" i="19"/>
  <c r="J1763" i="19"/>
  <c r="J1992" i="19"/>
  <c r="J1852" i="19"/>
  <c r="J2063" i="19"/>
  <c r="J1807" i="19"/>
  <c r="J1785" i="19"/>
  <c r="J1980" i="19"/>
  <c r="J1972" i="19"/>
  <c r="J2008" i="19"/>
  <c r="J2053" i="19"/>
  <c r="J1782" i="19"/>
  <c r="J2040" i="19"/>
  <c r="J1860" i="19"/>
  <c r="P1859" i="1"/>
  <c r="P1858" i="1"/>
  <c r="P1857" i="1"/>
  <c r="S1856" i="1"/>
  <c r="R1856" i="1"/>
  <c r="Q1856" i="1"/>
  <c r="J1908" i="19"/>
  <c r="J1968" i="19"/>
  <c r="J2024" i="19"/>
  <c r="J2073" i="19"/>
  <c r="J1964" i="1"/>
  <c r="I1964" i="19"/>
  <c r="J1996" i="1"/>
  <c r="I1996" i="19"/>
  <c r="J1888" i="19"/>
  <c r="J1768" i="19"/>
  <c r="J1960" i="19"/>
  <c r="J1912" i="19"/>
  <c r="J1952" i="1"/>
  <c r="I1952" i="19"/>
  <c r="J1844" i="19"/>
  <c r="M1948" i="1"/>
  <c r="N1948" i="1" s="1"/>
  <c r="J1948" i="19"/>
  <c r="J2093" i="19"/>
  <c r="J2016" i="19"/>
  <c r="J1944" i="1"/>
  <c r="I1944" i="19"/>
  <c r="J1839" i="19"/>
  <c r="J1884" i="19"/>
  <c r="J1940" i="19"/>
  <c r="J1976" i="19"/>
  <c r="I1683" i="1"/>
  <c r="P1950" i="32" l="1"/>
  <c r="P1951" i="32"/>
  <c r="P1949" i="32"/>
  <c r="S1948" i="32"/>
  <c r="R1948" i="32"/>
  <c r="Q1948" i="32"/>
  <c r="S1957" i="32"/>
  <c r="R1957" i="32"/>
  <c r="Q1957" i="32"/>
  <c r="S1959" i="32"/>
  <c r="R1959" i="32"/>
  <c r="Q1959" i="32"/>
  <c r="P1943" i="31"/>
  <c r="R1940" i="31"/>
  <c r="P1941" i="31"/>
  <c r="S1940" i="31"/>
  <c r="P1942" i="31"/>
  <c r="Q1940" i="31"/>
  <c r="P1942" i="32"/>
  <c r="P1941" i="32"/>
  <c r="R1940" i="32"/>
  <c r="S1940" i="32"/>
  <c r="P1943" i="32"/>
  <c r="Q1940" i="32"/>
  <c r="S1958" i="32"/>
  <c r="R1958" i="32"/>
  <c r="Q1958" i="32"/>
  <c r="Y1956" i="32"/>
  <c r="Y1956" i="31"/>
  <c r="Y1956" i="19"/>
  <c r="V1940" i="1"/>
  <c r="W1940" i="1" s="1"/>
  <c r="S1959" i="1"/>
  <c r="Q1959" i="1"/>
  <c r="R1959" i="1"/>
  <c r="S1957" i="1"/>
  <c r="Q1957" i="1"/>
  <c r="R1957" i="1"/>
  <c r="T1956" i="31"/>
  <c r="T1956" i="32"/>
  <c r="T1956" i="19"/>
  <c r="S1958" i="1"/>
  <c r="Q1958" i="1"/>
  <c r="R1958" i="1"/>
  <c r="V1948" i="1"/>
  <c r="W1948" i="1" s="1"/>
  <c r="Q1940" i="1"/>
  <c r="P1942" i="1"/>
  <c r="S1940" i="1"/>
  <c r="R1940" i="1"/>
  <c r="P1943" i="1"/>
  <c r="P1941" i="1"/>
  <c r="Y1856" i="31"/>
  <c r="Y1988" i="32"/>
  <c r="Y1988" i="31"/>
  <c r="Y1988" i="19"/>
  <c r="Y2083" i="31"/>
  <c r="Y2083" i="19"/>
  <c r="Y2083" i="32"/>
  <c r="S1991" i="1"/>
  <c r="R1991" i="1"/>
  <c r="Q1991" i="1"/>
  <c r="S1851" i="1"/>
  <c r="R1851" i="1"/>
  <c r="Q1851" i="1"/>
  <c r="T1988" i="32"/>
  <c r="T1988" i="19"/>
  <c r="T1988" i="31"/>
  <c r="T1848" i="32"/>
  <c r="T1848" i="31"/>
  <c r="T1848" i="19"/>
  <c r="Y1856" i="32"/>
  <c r="Y1848" i="31"/>
  <c r="Y1848" i="32"/>
  <c r="Y1848" i="19"/>
  <c r="S2085" i="1"/>
  <c r="R2085" i="1"/>
  <c r="Q2085" i="1"/>
  <c r="S2084" i="1"/>
  <c r="Q2084" i="1"/>
  <c r="R2084" i="1"/>
  <c r="Q2087" i="1"/>
  <c r="S2087" i="1"/>
  <c r="R2087" i="1"/>
  <c r="T2083" i="19"/>
  <c r="T2083" i="32"/>
  <c r="T2083" i="31"/>
  <c r="S2086" i="1"/>
  <c r="R2086" i="1"/>
  <c r="Q2086" i="1"/>
  <c r="S1991" i="31"/>
  <c r="R1991" i="31"/>
  <c r="Q1991" i="31"/>
  <c r="S1989" i="1"/>
  <c r="R1989" i="1"/>
  <c r="Q1989" i="1"/>
  <c r="S1850" i="1"/>
  <c r="R1850" i="1"/>
  <c r="Q1850" i="1"/>
  <c r="S1990" i="31"/>
  <c r="R1990" i="31"/>
  <c r="Q1990" i="31"/>
  <c r="S1990" i="1"/>
  <c r="R1990" i="1"/>
  <c r="Q1990" i="1"/>
  <c r="S1849" i="1"/>
  <c r="R1849" i="1"/>
  <c r="Q1849" i="1"/>
  <c r="R1989" i="31"/>
  <c r="Q1989" i="31"/>
  <c r="S1989" i="31"/>
  <c r="Q1960" i="1"/>
  <c r="S1960" i="1"/>
  <c r="P1962" i="1"/>
  <c r="R1962" i="1" s="1"/>
  <c r="P1961" i="1"/>
  <c r="R1961" i="1" s="1"/>
  <c r="P1963" i="1"/>
  <c r="Q1963" i="1" s="1"/>
  <c r="P1971" i="1"/>
  <c r="Q1971" i="1" s="1"/>
  <c r="S1968" i="1"/>
  <c r="Q1968" i="1"/>
  <c r="P1969" i="1"/>
  <c r="R1969" i="1" s="1"/>
  <c r="R1968" i="1"/>
  <c r="Y1984" i="32"/>
  <c r="Y1984" i="31"/>
  <c r="Y1984" i="19"/>
  <c r="J1996" i="32"/>
  <c r="J1996" i="31"/>
  <c r="T1984" i="32"/>
  <c r="T1984" i="31"/>
  <c r="T1984" i="19"/>
  <c r="P1970" i="32"/>
  <c r="P1971" i="32"/>
  <c r="P1969" i="32"/>
  <c r="Q1968" i="32"/>
  <c r="S1968" i="32"/>
  <c r="R1968" i="32"/>
  <c r="Q1960" i="31"/>
  <c r="P1961" i="31"/>
  <c r="P1962" i="31"/>
  <c r="S1960" i="31"/>
  <c r="P1963" i="31"/>
  <c r="R1960" i="31"/>
  <c r="S1985" i="1"/>
  <c r="R1985" i="1"/>
  <c r="Q1985" i="1"/>
  <c r="P1963" i="32"/>
  <c r="R1960" i="32"/>
  <c r="Q1960" i="32"/>
  <c r="P1961" i="32"/>
  <c r="P1962" i="32"/>
  <c r="S1960" i="32"/>
  <c r="Q1986" i="1"/>
  <c r="S1986" i="1"/>
  <c r="R1986" i="1"/>
  <c r="S1985" i="32"/>
  <c r="R1985" i="32"/>
  <c r="Q1985" i="32"/>
  <c r="M1964" i="1"/>
  <c r="N1964" i="1" s="1"/>
  <c r="S1964" i="1" s="1"/>
  <c r="J1964" i="32"/>
  <c r="J1964" i="31"/>
  <c r="R1987" i="1"/>
  <c r="Q1987" i="1"/>
  <c r="S1987" i="1"/>
  <c r="J1944" i="32"/>
  <c r="J1944" i="31"/>
  <c r="J1952" i="32"/>
  <c r="J1952" i="31"/>
  <c r="Q1987" i="32"/>
  <c r="R1987" i="32"/>
  <c r="S1987" i="32"/>
  <c r="I1683" i="32"/>
  <c r="I1683" i="31"/>
  <c r="R1986" i="32"/>
  <c r="S1986" i="32"/>
  <c r="Q1986" i="32"/>
  <c r="T1856" i="32"/>
  <c r="T1856" i="31"/>
  <c r="V1960" i="1"/>
  <c r="W1960" i="1" s="1"/>
  <c r="V1968" i="1"/>
  <c r="W1968" i="1" s="1"/>
  <c r="Q1970" i="1"/>
  <c r="S1970" i="1"/>
  <c r="R1970" i="1"/>
  <c r="Y1856" i="19"/>
  <c r="J1964" i="19"/>
  <c r="J1996" i="19"/>
  <c r="J1944" i="19"/>
  <c r="J1952" i="19"/>
  <c r="J1683" i="1"/>
  <c r="I1683" i="19"/>
  <c r="T1856" i="19"/>
  <c r="S1857" i="1"/>
  <c r="R1857" i="1"/>
  <c r="Q1857" i="1"/>
  <c r="P1949" i="1"/>
  <c r="P1951" i="1"/>
  <c r="R1948" i="1"/>
  <c r="Q1948" i="1"/>
  <c r="S1948" i="1"/>
  <c r="P1950" i="1"/>
  <c r="S1858" i="1"/>
  <c r="R1858" i="1"/>
  <c r="Q1858" i="1"/>
  <c r="R1859" i="1"/>
  <c r="Q1859" i="1"/>
  <c r="S1859" i="1"/>
  <c r="I1591" i="1"/>
  <c r="Q1962" i="1" l="1"/>
  <c r="S1941" i="31"/>
  <c r="R1941" i="31"/>
  <c r="Q1941" i="31"/>
  <c r="R1943" i="31"/>
  <c r="S1943" i="31"/>
  <c r="Q1943" i="31"/>
  <c r="S1943" i="32"/>
  <c r="R1943" i="32"/>
  <c r="Q1943" i="32"/>
  <c r="Q1941" i="32"/>
  <c r="S1941" i="32"/>
  <c r="R1941" i="32"/>
  <c r="T1960" i="32"/>
  <c r="Q1942" i="32"/>
  <c r="S1942" i="32"/>
  <c r="R1942" i="32"/>
  <c r="Q1949" i="32"/>
  <c r="R1949" i="32"/>
  <c r="S1949" i="32"/>
  <c r="S1951" i="32"/>
  <c r="Q1951" i="32"/>
  <c r="R1951" i="32"/>
  <c r="S1942" i="31"/>
  <c r="R1942" i="31"/>
  <c r="Q1942" i="31"/>
  <c r="S1950" i="32"/>
  <c r="R1950" i="32"/>
  <c r="Q1950" i="32"/>
  <c r="T1960" i="31"/>
  <c r="Y1948" i="32"/>
  <c r="Y1948" i="31"/>
  <c r="Y1940" i="32"/>
  <c r="Y1940" i="31"/>
  <c r="Y1940" i="19"/>
  <c r="T1957" i="19"/>
  <c r="T1957" i="31"/>
  <c r="T1957" i="32"/>
  <c r="T1959" i="19"/>
  <c r="T1959" i="31"/>
  <c r="T1959" i="32"/>
  <c r="Q1942" i="1"/>
  <c r="S1942" i="1"/>
  <c r="R1942" i="1"/>
  <c r="S1941" i="1"/>
  <c r="Q1941" i="1"/>
  <c r="R1941" i="1"/>
  <c r="T1958" i="31"/>
  <c r="T1958" i="32"/>
  <c r="T1958" i="19"/>
  <c r="T1960" i="19"/>
  <c r="S1943" i="1"/>
  <c r="Q1943" i="1"/>
  <c r="R1943" i="1"/>
  <c r="T1940" i="19"/>
  <c r="T1940" i="31"/>
  <c r="T1940" i="32"/>
  <c r="Q1969" i="1"/>
  <c r="S1969" i="1"/>
  <c r="T1851" i="19"/>
  <c r="T1851" i="32"/>
  <c r="T1851" i="31"/>
  <c r="T2087" i="31"/>
  <c r="T2087" i="32"/>
  <c r="T2087" i="19"/>
  <c r="T2084" i="31"/>
  <c r="T2084" i="32"/>
  <c r="T2084" i="19"/>
  <c r="T1991" i="31"/>
  <c r="T1991" i="19"/>
  <c r="T1991" i="32"/>
  <c r="T1850" i="31"/>
  <c r="T1850" i="32"/>
  <c r="T1850" i="19"/>
  <c r="T2086" i="19"/>
  <c r="T2086" i="32"/>
  <c r="T2086" i="31"/>
  <c r="T1989" i="32"/>
  <c r="T1989" i="19"/>
  <c r="T1989" i="31"/>
  <c r="T1849" i="32"/>
  <c r="T1849" i="31"/>
  <c r="T1849" i="19"/>
  <c r="T2085" i="19"/>
  <c r="T2085" i="31"/>
  <c r="T2085" i="32"/>
  <c r="T1990" i="31"/>
  <c r="T1990" i="32"/>
  <c r="T1990" i="19"/>
  <c r="R1971" i="1"/>
  <c r="S1962" i="1"/>
  <c r="R1963" i="1"/>
  <c r="T1968" i="19"/>
  <c r="T1968" i="31"/>
  <c r="T1968" i="32"/>
  <c r="S1963" i="1"/>
  <c r="Q1961" i="1"/>
  <c r="P1965" i="1"/>
  <c r="R1965" i="1" s="1"/>
  <c r="S1961" i="1"/>
  <c r="S1971" i="1"/>
  <c r="P1967" i="1"/>
  <c r="R1967" i="1" s="1"/>
  <c r="P1966" i="1"/>
  <c r="R1966" i="1" s="1"/>
  <c r="Q1964" i="1"/>
  <c r="R1964" i="1"/>
  <c r="I1591" i="32"/>
  <c r="I1591" i="31"/>
  <c r="T1987" i="31"/>
  <c r="T1987" i="32"/>
  <c r="T1987" i="19"/>
  <c r="S1963" i="31"/>
  <c r="R1963" i="31"/>
  <c r="Q1963" i="31"/>
  <c r="T1986" i="31"/>
  <c r="T1986" i="19"/>
  <c r="T1986" i="32"/>
  <c r="S1963" i="32"/>
  <c r="R1963" i="32"/>
  <c r="Q1963" i="32"/>
  <c r="S1969" i="32"/>
  <c r="R1969" i="32"/>
  <c r="Q1969" i="32"/>
  <c r="R1962" i="31"/>
  <c r="Q1962" i="31"/>
  <c r="S1962" i="31"/>
  <c r="R1971" i="32"/>
  <c r="Q1971" i="32"/>
  <c r="S1971" i="32"/>
  <c r="S1970" i="32"/>
  <c r="R1970" i="32"/>
  <c r="Q1970" i="32"/>
  <c r="J1683" i="32"/>
  <c r="J1683" i="31"/>
  <c r="S1962" i="32"/>
  <c r="R1962" i="32"/>
  <c r="Q1962" i="32"/>
  <c r="R1961" i="31"/>
  <c r="Q1961" i="31"/>
  <c r="S1961" i="31"/>
  <c r="S1961" i="32"/>
  <c r="R1961" i="32"/>
  <c r="Q1961" i="32"/>
  <c r="T1985" i="31"/>
  <c r="T1985" i="32"/>
  <c r="T1985" i="19"/>
  <c r="T1858" i="32"/>
  <c r="T1857" i="32"/>
  <c r="T1948" i="32"/>
  <c r="T1859" i="32"/>
  <c r="Y1960" i="31"/>
  <c r="Y1960" i="32"/>
  <c r="Y1968" i="31"/>
  <c r="Y1968" i="32"/>
  <c r="T1964" i="31"/>
  <c r="T1964" i="32"/>
  <c r="T1970" i="31"/>
  <c r="T1970" i="32"/>
  <c r="T1858" i="31"/>
  <c r="T1857" i="31"/>
  <c r="T1948" i="31"/>
  <c r="T1859" i="31"/>
  <c r="T1964" i="19"/>
  <c r="Y1968" i="19"/>
  <c r="V1964" i="1"/>
  <c r="W1964" i="1" s="1"/>
  <c r="T1970" i="19"/>
  <c r="Y1960" i="19"/>
  <c r="Y1948" i="19"/>
  <c r="J1591" i="1"/>
  <c r="I1591" i="19"/>
  <c r="T1857" i="19"/>
  <c r="S1950" i="1"/>
  <c r="R1950" i="1"/>
  <c r="Q1950" i="1"/>
  <c r="T1858" i="19"/>
  <c r="T1859" i="19"/>
  <c r="S1951" i="1"/>
  <c r="R1951" i="1"/>
  <c r="Q1951" i="1"/>
  <c r="T1948" i="19"/>
  <c r="S1949" i="1"/>
  <c r="R1949" i="1"/>
  <c r="Q1949" i="1"/>
  <c r="J1683" i="19"/>
  <c r="I1677" i="1"/>
  <c r="I1679" i="1"/>
  <c r="I1725" i="1"/>
  <c r="I1678" i="1"/>
  <c r="I1727" i="1"/>
  <c r="I1726" i="1"/>
  <c r="I1728" i="1"/>
  <c r="T1969" i="19" l="1"/>
  <c r="T1969" i="32"/>
  <c r="T1969" i="31"/>
  <c r="S1967" i="1"/>
  <c r="T1941" i="32"/>
  <c r="T1941" i="19"/>
  <c r="T1941" i="31"/>
  <c r="T1942" i="19"/>
  <c r="T1942" i="32"/>
  <c r="T1942" i="31"/>
  <c r="T1943" i="32"/>
  <c r="T1943" i="19"/>
  <c r="T1943" i="31"/>
  <c r="T1962" i="19"/>
  <c r="T1962" i="32"/>
  <c r="Q1965" i="1"/>
  <c r="S1965" i="1"/>
  <c r="T1962" i="31"/>
  <c r="T1961" i="19"/>
  <c r="T1961" i="32"/>
  <c r="T1961" i="31"/>
  <c r="T1963" i="32"/>
  <c r="T1963" i="31"/>
  <c r="T1963" i="19"/>
  <c r="Q1967" i="1"/>
  <c r="S1966" i="1"/>
  <c r="T1971" i="19"/>
  <c r="T1971" i="32"/>
  <c r="T1971" i="31"/>
  <c r="Q1966" i="1"/>
  <c r="I1678" i="32"/>
  <c r="I1678" i="31"/>
  <c r="I1725" i="32"/>
  <c r="I1725" i="31"/>
  <c r="J1591" i="32"/>
  <c r="J1591" i="31"/>
  <c r="I1677" i="32"/>
  <c r="I1677" i="31"/>
  <c r="I1679" i="32"/>
  <c r="I1679" i="31"/>
  <c r="I1728" i="32"/>
  <c r="I1728" i="31"/>
  <c r="I1726" i="32"/>
  <c r="I1726" i="31"/>
  <c r="I1727" i="32"/>
  <c r="I1727" i="31"/>
  <c r="T1949" i="32"/>
  <c r="T1951" i="32"/>
  <c r="T1950" i="32"/>
  <c r="Y1964" i="31"/>
  <c r="Y1964" i="32"/>
  <c r="T1951" i="31"/>
  <c r="T1949" i="31"/>
  <c r="T1950" i="31"/>
  <c r="Y1964" i="19"/>
  <c r="J1727" i="1"/>
  <c r="I1727" i="19"/>
  <c r="J1728" i="1"/>
  <c r="I1728" i="19"/>
  <c r="J1678" i="1"/>
  <c r="I1678" i="19"/>
  <c r="J1679" i="1"/>
  <c r="I1679" i="19"/>
  <c r="J1726" i="1"/>
  <c r="I1726" i="19"/>
  <c r="J1725" i="1"/>
  <c r="I1725" i="19"/>
  <c r="J1677" i="1"/>
  <c r="I1677" i="19"/>
  <c r="M1591" i="1"/>
  <c r="N1591" i="1" s="1"/>
  <c r="W1591" i="1" s="1"/>
  <c r="J1591" i="19"/>
  <c r="T1950" i="19"/>
  <c r="T1951" i="19"/>
  <c r="T1949" i="19"/>
  <c r="I675" i="1"/>
  <c r="I669" i="1"/>
  <c r="I673" i="1"/>
  <c r="I676" i="1"/>
  <c r="I677" i="1"/>
  <c r="T1967" i="32" l="1"/>
  <c r="T1967" i="31"/>
  <c r="T1967" i="19"/>
  <c r="T1965" i="32"/>
  <c r="T1965" i="31"/>
  <c r="T1965" i="19"/>
  <c r="T1966" i="19"/>
  <c r="T1966" i="32"/>
  <c r="T1966" i="31"/>
  <c r="J1677" i="32"/>
  <c r="J1677" i="31"/>
  <c r="J1679" i="32"/>
  <c r="J1679" i="31"/>
  <c r="I676" i="32"/>
  <c r="I676" i="31"/>
  <c r="I673" i="32"/>
  <c r="I673" i="31"/>
  <c r="J1727" i="32"/>
  <c r="J1727" i="31"/>
  <c r="I669" i="32"/>
  <c r="I669" i="31"/>
  <c r="J1725" i="32"/>
  <c r="J1725" i="31"/>
  <c r="J1678" i="32"/>
  <c r="J1678" i="31"/>
  <c r="I677" i="32"/>
  <c r="I677" i="31"/>
  <c r="J1726" i="32"/>
  <c r="J1726" i="31"/>
  <c r="I675" i="32"/>
  <c r="I675" i="31"/>
  <c r="J1728" i="32"/>
  <c r="J1728" i="31"/>
  <c r="Y1591" i="32"/>
  <c r="Y1591" i="31"/>
  <c r="M1677" i="1"/>
  <c r="N1677" i="1" s="1"/>
  <c r="J1678" i="19"/>
  <c r="J1679" i="19"/>
  <c r="J1726" i="19"/>
  <c r="J1725" i="19"/>
  <c r="J1677" i="19"/>
  <c r="Q1591" i="1"/>
  <c r="S1591" i="1"/>
  <c r="R1591" i="1"/>
  <c r="J1728" i="19"/>
  <c r="J1727" i="19"/>
  <c r="I673" i="19"/>
  <c r="I669" i="19"/>
  <c r="I677" i="19"/>
  <c r="I676" i="19"/>
  <c r="I675" i="19"/>
  <c r="I671" i="1"/>
  <c r="I672" i="1"/>
  <c r="I668" i="1"/>
  <c r="I667" i="1"/>
  <c r="I672" i="32" l="1"/>
  <c r="I672" i="31"/>
  <c r="I667" i="32"/>
  <c r="I667" i="31"/>
  <c r="I668" i="32"/>
  <c r="I668" i="31"/>
  <c r="I671" i="32"/>
  <c r="I671" i="31"/>
  <c r="T1591" i="32"/>
  <c r="T1591" i="31"/>
  <c r="V1677" i="1"/>
  <c r="W1677" i="1" s="1"/>
  <c r="R1677" i="1"/>
  <c r="Q1677" i="1"/>
  <c r="S1677" i="1"/>
  <c r="Y1591" i="19"/>
  <c r="T1591" i="19"/>
  <c r="I672" i="19"/>
  <c r="I671" i="19"/>
  <c r="I667" i="19"/>
  <c r="I668" i="19"/>
  <c r="N231" i="1"/>
  <c r="W231" i="1" s="1"/>
  <c r="T1677" i="32" l="1"/>
  <c r="Y231" i="32"/>
  <c r="Y1677" i="32"/>
  <c r="T1677" i="31"/>
  <c r="Y1677" i="31"/>
  <c r="Y231" i="31"/>
  <c r="T1677" i="19"/>
  <c r="Y1677" i="19"/>
  <c r="Y231" i="19"/>
  <c r="S231" i="1"/>
  <c r="R231" i="1"/>
  <c r="Q231" i="1"/>
  <c r="T231" i="32" l="1"/>
  <c r="T231" i="31"/>
  <c r="T231" i="19"/>
  <c r="I131" i="1"/>
  <c r="I590" i="1"/>
  <c r="I590" i="32" l="1"/>
  <c r="I590" i="31"/>
  <c r="I131" i="32"/>
  <c r="I131" i="31"/>
  <c r="I590" i="19"/>
  <c r="J131" i="1"/>
  <c r="I131" i="19"/>
  <c r="J590" i="1"/>
  <c r="D2461" i="1"/>
  <c r="D2455" i="1"/>
  <c r="D2449" i="1"/>
  <c r="D2443" i="1"/>
  <c r="D2437" i="1"/>
  <c r="D2431" i="1"/>
  <c r="D2425" i="1"/>
  <c r="D2419" i="1"/>
  <c r="D2413" i="1"/>
  <c r="D2407" i="1"/>
  <c r="J590" i="32" l="1"/>
  <c r="J590" i="31"/>
  <c r="J131" i="32"/>
  <c r="J131" i="31"/>
  <c r="J590" i="19"/>
  <c r="J131" i="19"/>
  <c r="I868" i="1"/>
  <c r="I868" i="32" l="1"/>
  <c r="I868" i="31"/>
  <c r="I868" i="19"/>
  <c r="J868" i="1"/>
  <c r="I232" i="1"/>
  <c r="I232" i="32" l="1"/>
  <c r="I232" i="31"/>
  <c r="J868" i="32"/>
  <c r="J868" i="31"/>
  <c r="J232" i="1"/>
  <c r="I232" i="19"/>
  <c r="J868" i="19"/>
  <c r="I29" i="1"/>
  <c r="I2502" i="1"/>
  <c r="I2501" i="1"/>
  <c r="I29" i="32" l="1"/>
  <c r="I29" i="31"/>
  <c r="J232" i="32"/>
  <c r="J232" i="31"/>
  <c r="I2501" i="32"/>
  <c r="I2501" i="31"/>
  <c r="I2502" i="32"/>
  <c r="I2502" i="31"/>
  <c r="J2502" i="1"/>
  <c r="I2502" i="19"/>
  <c r="J2501" i="1"/>
  <c r="I2501" i="19"/>
  <c r="J232" i="19"/>
  <c r="J29" i="1"/>
  <c r="I29" i="19"/>
  <c r="I689" i="1"/>
  <c r="I300" i="1"/>
  <c r="I692" i="1"/>
  <c r="I793" i="1"/>
  <c r="I230" i="1"/>
  <c r="I693" i="1"/>
  <c r="I242" i="1"/>
  <c r="I138" i="1"/>
  <c r="I1762" i="1"/>
  <c r="I1737" i="1"/>
  <c r="I1673" i="1"/>
  <c r="I1672" i="1"/>
  <c r="I2555" i="1"/>
  <c r="J2501" i="32" l="1"/>
  <c r="M2501" i="32" s="1"/>
  <c r="N2501" i="32" s="1"/>
  <c r="J2501" i="31"/>
  <c r="M2501" i="31" s="1"/>
  <c r="N2501" i="31" s="1"/>
  <c r="I689" i="32"/>
  <c r="I689" i="31"/>
  <c r="I693" i="32"/>
  <c r="I693" i="31"/>
  <c r="J2502" i="32"/>
  <c r="M2502" i="32" s="1"/>
  <c r="N2502" i="32" s="1"/>
  <c r="J2502" i="31"/>
  <c r="M2502" i="31" s="1"/>
  <c r="N2502" i="31" s="1"/>
  <c r="J29" i="32"/>
  <c r="J29" i="31"/>
  <c r="I230" i="32"/>
  <c r="I230" i="31"/>
  <c r="I1762" i="32"/>
  <c r="I1762" i="31"/>
  <c r="I242" i="32"/>
  <c r="I242" i="31"/>
  <c r="I1672" i="32"/>
  <c r="I1672" i="31"/>
  <c r="I793" i="32"/>
  <c r="I793" i="31"/>
  <c r="I138" i="32"/>
  <c r="I138" i="31"/>
  <c r="I1673" i="32"/>
  <c r="I1673" i="31"/>
  <c r="I692" i="32"/>
  <c r="I692" i="31"/>
  <c r="I1737" i="32"/>
  <c r="I1737" i="31"/>
  <c r="I300" i="32"/>
  <c r="I300" i="31"/>
  <c r="M2501" i="1"/>
  <c r="N2501" i="1" s="1"/>
  <c r="J230" i="1"/>
  <c r="I230" i="19"/>
  <c r="J2501" i="19"/>
  <c r="J138" i="1"/>
  <c r="I138" i="19"/>
  <c r="J1762" i="1"/>
  <c r="I1762" i="19"/>
  <c r="M2502" i="1"/>
  <c r="N2502" i="1" s="1"/>
  <c r="J2502" i="19"/>
  <c r="J242" i="1"/>
  <c r="I242" i="19"/>
  <c r="J793" i="1"/>
  <c r="I793" i="19"/>
  <c r="J689" i="1"/>
  <c r="I689" i="19"/>
  <c r="J693" i="1"/>
  <c r="I693" i="19"/>
  <c r="J1673" i="1"/>
  <c r="I1673" i="19"/>
  <c r="J692" i="1"/>
  <c r="I692" i="19"/>
  <c r="J1672" i="1"/>
  <c r="I1672" i="19"/>
  <c r="J1737" i="1"/>
  <c r="I1737" i="19"/>
  <c r="J300" i="1"/>
  <c r="I300" i="19"/>
  <c r="J29" i="19"/>
  <c r="I878" i="1"/>
  <c r="I592" i="1"/>
  <c r="I201" i="1"/>
  <c r="I189" i="1"/>
  <c r="I194" i="1"/>
  <c r="I187" i="1"/>
  <c r="I184" i="1"/>
  <c r="I197" i="1"/>
  <c r="I28" i="1"/>
  <c r="I27" i="1"/>
  <c r="I25" i="1"/>
  <c r="I24" i="1"/>
  <c r="I26" i="1"/>
  <c r="I869" i="1"/>
  <c r="I1668" i="1"/>
  <c r="I26" i="32" l="1"/>
  <c r="I26" i="31"/>
  <c r="I194" i="32"/>
  <c r="I194" i="31"/>
  <c r="J693" i="32"/>
  <c r="J693" i="31"/>
  <c r="S2502" i="31"/>
  <c r="R2502" i="31"/>
  <c r="Q2502" i="31"/>
  <c r="I189" i="32"/>
  <c r="I189" i="31"/>
  <c r="J300" i="32"/>
  <c r="J300" i="31"/>
  <c r="J242" i="32"/>
  <c r="J242" i="31"/>
  <c r="S2502" i="32"/>
  <c r="R2502" i="32"/>
  <c r="Q2502" i="32"/>
  <c r="I25" i="32"/>
  <c r="I25" i="31"/>
  <c r="I201" i="32"/>
  <c r="I201" i="31"/>
  <c r="J692" i="32"/>
  <c r="J692" i="31"/>
  <c r="J138" i="32"/>
  <c r="J138" i="31"/>
  <c r="I592" i="32"/>
  <c r="I592" i="31"/>
  <c r="J689" i="32"/>
  <c r="J689" i="31"/>
  <c r="I878" i="32"/>
  <c r="I878" i="31"/>
  <c r="R2501" i="31"/>
  <c r="N2556" i="31"/>
  <c r="Q2501" i="31"/>
  <c r="O2499" i="31"/>
  <c r="S2501" i="31"/>
  <c r="J1737" i="32"/>
  <c r="J1737" i="31"/>
  <c r="I197" i="32"/>
  <c r="I197" i="31"/>
  <c r="J1673" i="32"/>
  <c r="J1673" i="31"/>
  <c r="N2556" i="32"/>
  <c r="O2499" i="32"/>
  <c r="Q2501" i="32"/>
  <c r="S2501" i="32"/>
  <c r="R2501" i="32"/>
  <c r="I27" i="32"/>
  <c r="I27" i="31"/>
  <c r="I1668" i="31"/>
  <c r="I1668" i="32"/>
  <c r="I184" i="32"/>
  <c r="I184" i="31"/>
  <c r="J793" i="32"/>
  <c r="J793" i="31"/>
  <c r="I24" i="32"/>
  <c r="I24" i="31"/>
  <c r="I28" i="32"/>
  <c r="I28" i="31"/>
  <c r="I869" i="32"/>
  <c r="I869" i="31"/>
  <c r="I187" i="32"/>
  <c r="I187" i="31"/>
  <c r="J1672" i="32"/>
  <c r="J1672" i="31"/>
  <c r="J1762" i="32"/>
  <c r="J1762" i="31"/>
  <c r="J230" i="32"/>
  <c r="M230" i="32" s="1"/>
  <c r="N230" i="32" s="1"/>
  <c r="J230" i="31"/>
  <c r="M230" i="31" s="1"/>
  <c r="N230" i="31" s="1"/>
  <c r="M230" i="1"/>
  <c r="S2501" i="1"/>
  <c r="R2501" i="1"/>
  <c r="Q2501" i="1"/>
  <c r="V2501" i="1"/>
  <c r="W2501" i="1" s="1"/>
  <c r="V2502" i="1"/>
  <c r="W2502" i="1" s="1"/>
  <c r="I1668" i="19"/>
  <c r="J138" i="19"/>
  <c r="J1762" i="19"/>
  <c r="J869" i="1"/>
  <c r="I869" i="19"/>
  <c r="I878" i="19"/>
  <c r="J230" i="19"/>
  <c r="J793" i="19"/>
  <c r="J689" i="19"/>
  <c r="J693" i="19"/>
  <c r="J27" i="1"/>
  <c r="I27" i="19"/>
  <c r="J184" i="1"/>
  <c r="I184" i="19"/>
  <c r="J1673" i="19"/>
  <c r="J28" i="1"/>
  <c r="I28" i="19"/>
  <c r="J692" i="19"/>
  <c r="J197" i="1"/>
  <c r="I197" i="19"/>
  <c r="J26" i="1"/>
  <c r="I26" i="19"/>
  <c r="J194" i="1"/>
  <c r="I194" i="19"/>
  <c r="J1672" i="19"/>
  <c r="J592" i="1"/>
  <c r="I592" i="19"/>
  <c r="J24" i="1"/>
  <c r="I24" i="19"/>
  <c r="J189" i="1"/>
  <c r="I189" i="19"/>
  <c r="J1737" i="19"/>
  <c r="J187" i="1"/>
  <c r="I187" i="19"/>
  <c r="J25" i="1"/>
  <c r="I25" i="19"/>
  <c r="J201" i="1"/>
  <c r="I201" i="19"/>
  <c r="J300" i="19"/>
  <c r="J242" i="19"/>
  <c r="S2502" i="1"/>
  <c r="R2502" i="1"/>
  <c r="Q2502" i="1"/>
  <c r="J878" i="1"/>
  <c r="J1668" i="1"/>
  <c r="N592" i="1"/>
  <c r="W592" i="1" s="1"/>
  <c r="M184" i="1" l="1"/>
  <c r="N184" i="1" s="1"/>
  <c r="M189" i="1"/>
  <c r="N189" i="1" s="1"/>
  <c r="R189" i="1" s="1"/>
  <c r="J187" i="32"/>
  <c r="J187" i="31"/>
  <c r="J24" i="32"/>
  <c r="J24" i="31"/>
  <c r="J194" i="32"/>
  <c r="J194" i="31"/>
  <c r="J184" i="32"/>
  <c r="M184" i="32" s="1"/>
  <c r="N184" i="32" s="1"/>
  <c r="J184" i="31"/>
  <c r="M184" i="31" s="1"/>
  <c r="N184" i="31" s="1"/>
  <c r="J869" i="32"/>
  <c r="J869" i="31"/>
  <c r="Q230" i="31"/>
  <c r="S230" i="31"/>
  <c r="R230" i="31"/>
  <c r="Q230" i="32"/>
  <c r="S230" i="32"/>
  <c r="R230" i="32"/>
  <c r="J592" i="32"/>
  <c r="J592" i="31"/>
  <c r="J26" i="32"/>
  <c r="J26" i="31"/>
  <c r="J28" i="32"/>
  <c r="J28" i="31"/>
  <c r="J27" i="32"/>
  <c r="J27" i="31"/>
  <c r="J201" i="32"/>
  <c r="J201" i="31"/>
  <c r="P2499" i="31"/>
  <c r="O2556" i="31"/>
  <c r="J25" i="32"/>
  <c r="J25" i="31"/>
  <c r="J189" i="32"/>
  <c r="M189" i="32" s="1"/>
  <c r="N189" i="32" s="1"/>
  <c r="J189" i="31"/>
  <c r="M189" i="31" s="1"/>
  <c r="N189" i="31" s="1"/>
  <c r="P2499" i="32"/>
  <c r="O2556" i="32"/>
  <c r="J1668" i="32"/>
  <c r="J1668" i="31"/>
  <c r="J197" i="32"/>
  <c r="J197" i="31"/>
  <c r="J878" i="32"/>
  <c r="J878" i="31"/>
  <c r="M878" i="1"/>
  <c r="N878" i="1" s="1"/>
  <c r="T2502" i="32"/>
  <c r="Y592" i="32"/>
  <c r="T2501" i="32"/>
  <c r="Y2502" i="32"/>
  <c r="Y2501" i="32"/>
  <c r="Y2502" i="31"/>
  <c r="Y592" i="31"/>
  <c r="Y2501" i="31"/>
  <c r="T2502" i="31"/>
  <c r="T2501" i="31"/>
  <c r="Y2502" i="19"/>
  <c r="Y2501" i="19"/>
  <c r="V230" i="1"/>
  <c r="T2501" i="19"/>
  <c r="Y592" i="19"/>
  <c r="J1668" i="19"/>
  <c r="J878" i="19"/>
  <c r="J869" i="19"/>
  <c r="J201" i="19"/>
  <c r="J592" i="19"/>
  <c r="J28" i="19"/>
  <c r="J24" i="19"/>
  <c r="J189" i="19"/>
  <c r="J197" i="19"/>
  <c r="J26" i="19"/>
  <c r="J27" i="19"/>
  <c r="J187" i="19"/>
  <c r="J194" i="19"/>
  <c r="J184" i="19"/>
  <c r="J25" i="19"/>
  <c r="T2502" i="19"/>
  <c r="R592" i="1"/>
  <c r="Q592" i="1"/>
  <c r="S592" i="1"/>
  <c r="N869" i="1"/>
  <c r="W869" i="1" s="1"/>
  <c r="I806" i="1"/>
  <c r="Q184" i="31" l="1"/>
  <c r="S184" i="31"/>
  <c r="R184" i="31"/>
  <c r="V184" i="1"/>
  <c r="W184" i="1" s="1"/>
  <c r="R184" i="32"/>
  <c r="S184" i="32"/>
  <c r="Q184" i="32"/>
  <c r="S184" i="1"/>
  <c r="R184" i="1"/>
  <c r="Q184" i="1"/>
  <c r="S189" i="1"/>
  <c r="Q189" i="1"/>
  <c r="Q189" i="31"/>
  <c r="R189" i="31"/>
  <c r="S189" i="31"/>
  <c r="Q189" i="32"/>
  <c r="S189" i="32"/>
  <c r="R189" i="32"/>
  <c r="Q2499" i="32"/>
  <c r="P2500" i="32"/>
  <c r="R2499" i="32"/>
  <c r="S2499" i="32"/>
  <c r="R878" i="1"/>
  <c r="Q878" i="1"/>
  <c r="S878" i="1"/>
  <c r="P2500" i="31"/>
  <c r="R2499" i="31"/>
  <c r="S2499" i="31"/>
  <c r="Q2499" i="31"/>
  <c r="I806" i="32"/>
  <c r="I806" i="31"/>
  <c r="V878" i="1"/>
  <c r="W878" i="1" s="1"/>
  <c r="Y869" i="32"/>
  <c r="T592" i="32"/>
  <c r="T592" i="31"/>
  <c r="Y869" i="31"/>
  <c r="V189" i="1"/>
  <c r="W189" i="1" s="1"/>
  <c r="Y869" i="19"/>
  <c r="I806" i="19"/>
  <c r="T592" i="19"/>
  <c r="S869" i="1"/>
  <c r="R869" i="1"/>
  <c r="Q869" i="1"/>
  <c r="J806" i="1"/>
  <c r="I2466" i="1"/>
  <c r="I2426" i="1"/>
  <c r="I2424" i="1"/>
  <c r="I2423" i="1"/>
  <c r="I2422" i="1"/>
  <c r="I2421" i="1"/>
  <c r="I2420" i="1"/>
  <c r="I2418" i="1"/>
  <c r="I2417" i="1"/>
  <c r="I2416" i="1"/>
  <c r="I2415" i="1"/>
  <c r="I2414" i="1"/>
  <c r="I2412" i="1"/>
  <c r="I2411" i="1"/>
  <c r="I2410" i="1"/>
  <c r="I2409" i="1"/>
  <c r="I2408" i="1"/>
  <c r="I1736" i="1"/>
  <c r="I1735" i="1"/>
  <c r="I1734" i="1"/>
  <c r="I1733" i="1"/>
  <c r="I1732" i="1"/>
  <c r="I1731" i="1"/>
  <c r="I1730" i="1"/>
  <c r="I1729" i="1"/>
  <c r="I1724" i="1"/>
  <c r="I1723" i="1"/>
  <c r="I1722" i="1"/>
  <c r="I1721" i="1"/>
  <c r="Y184" i="32" l="1"/>
  <c r="Y184" i="31"/>
  <c r="Y184" i="19"/>
  <c r="T184" i="31"/>
  <c r="T184" i="19"/>
  <c r="T184" i="32"/>
  <c r="T189" i="19"/>
  <c r="T189" i="31"/>
  <c r="T189" i="32"/>
  <c r="Y878" i="19"/>
  <c r="Y878" i="31"/>
  <c r="Y878" i="32"/>
  <c r="I2408" i="32"/>
  <c r="I2408" i="31"/>
  <c r="I2417" i="32"/>
  <c r="I2417" i="31"/>
  <c r="I2466" i="32"/>
  <c r="I2466" i="31"/>
  <c r="T878" i="31"/>
  <c r="T878" i="19"/>
  <c r="T878" i="32"/>
  <c r="I1730" i="32"/>
  <c r="I1730" i="31"/>
  <c r="I2418" i="32"/>
  <c r="I2418" i="31"/>
  <c r="J806" i="32"/>
  <c r="J806" i="31"/>
  <c r="I1729" i="32"/>
  <c r="I1729" i="31"/>
  <c r="I1731" i="32"/>
  <c r="I1731" i="31"/>
  <c r="I2420" i="32"/>
  <c r="I2420" i="31"/>
  <c r="Q2500" i="32"/>
  <c r="R2500" i="32"/>
  <c r="S2500" i="32"/>
  <c r="I1733" i="32"/>
  <c r="I1733" i="31"/>
  <c r="I2409" i="32"/>
  <c r="I2409" i="31"/>
  <c r="I2410" i="32"/>
  <c r="I2410" i="31"/>
  <c r="I1732" i="32"/>
  <c r="I1732" i="31"/>
  <c r="I2411" i="32"/>
  <c r="I2411" i="31"/>
  <c r="I2421" i="32"/>
  <c r="I2421" i="31"/>
  <c r="I2422" i="32"/>
  <c r="I2422" i="31"/>
  <c r="I2412" i="32"/>
  <c r="I2412" i="31"/>
  <c r="I1734" i="32"/>
  <c r="I1734" i="31"/>
  <c r="I2414" i="32"/>
  <c r="I2414" i="31"/>
  <c r="I2423" i="32"/>
  <c r="I2423" i="31"/>
  <c r="I1723" i="32"/>
  <c r="I1723" i="31"/>
  <c r="I1735" i="32"/>
  <c r="I1735" i="31"/>
  <c r="I2424" i="32"/>
  <c r="I2424" i="31"/>
  <c r="I1721" i="32"/>
  <c r="I1721" i="31"/>
  <c r="I1722" i="32"/>
  <c r="I1722" i="31"/>
  <c r="I2415" i="32"/>
  <c r="I2415" i="31"/>
  <c r="I1724" i="32"/>
  <c r="I1724" i="31"/>
  <c r="I1736" i="32"/>
  <c r="I1736" i="31"/>
  <c r="I2416" i="32"/>
  <c r="I2416" i="31"/>
  <c r="I2426" i="32"/>
  <c r="I2426" i="31"/>
  <c r="R2500" i="31"/>
  <c r="S2500" i="31"/>
  <c r="Q2500" i="31"/>
  <c r="T869" i="32"/>
  <c r="Y189" i="32"/>
  <c r="T869" i="31"/>
  <c r="Y189" i="31"/>
  <c r="Y189" i="19"/>
  <c r="I1724" i="19"/>
  <c r="J1729" i="1"/>
  <c r="I1729" i="19"/>
  <c r="I1736" i="19"/>
  <c r="I1730" i="19"/>
  <c r="J1721" i="1"/>
  <c r="I1721" i="19"/>
  <c r="I1733" i="19"/>
  <c r="I1731" i="19"/>
  <c r="I1732" i="19"/>
  <c r="I1722" i="19"/>
  <c r="I1734" i="19"/>
  <c r="I1723" i="19"/>
  <c r="I1735" i="19"/>
  <c r="I2416" i="19"/>
  <c r="I2426" i="19"/>
  <c r="I2466" i="19"/>
  <c r="J806" i="19"/>
  <c r="I2420" i="19"/>
  <c r="I2417" i="19"/>
  <c r="I2421" i="19"/>
  <c r="I2409" i="19"/>
  <c r="I2422" i="19"/>
  <c r="I2418" i="19"/>
  <c r="I2411" i="19"/>
  <c r="I2423" i="19"/>
  <c r="I2408" i="19"/>
  <c r="I2410" i="19"/>
  <c r="I2412" i="19"/>
  <c r="I2414" i="19"/>
  <c r="I2415" i="19"/>
  <c r="I2424" i="19"/>
  <c r="T869" i="19"/>
  <c r="J1736" i="1"/>
  <c r="J1735" i="1"/>
  <c r="J1723" i="1"/>
  <c r="J1730" i="1"/>
  <c r="J1731" i="1"/>
  <c r="J1724" i="1"/>
  <c r="J1732" i="1"/>
  <c r="J1733" i="1"/>
  <c r="J1722" i="1"/>
  <c r="J1734" i="1"/>
  <c r="N1729" i="1"/>
  <c r="W1729" i="1" s="1"/>
  <c r="J1730" i="32" l="1"/>
  <c r="J1730" i="31"/>
  <c r="J1723" i="32"/>
  <c r="J1723" i="31"/>
  <c r="J1729" i="32"/>
  <c r="J1729" i="31"/>
  <c r="J1734" i="32"/>
  <c r="J1734" i="31"/>
  <c r="J1735" i="32"/>
  <c r="J1735" i="31"/>
  <c r="J1721" i="32"/>
  <c r="J1721" i="31"/>
  <c r="J1722" i="32"/>
  <c r="J1722" i="31"/>
  <c r="J1736" i="32"/>
  <c r="J1736" i="31"/>
  <c r="J1733" i="32"/>
  <c r="J1733" i="31"/>
  <c r="J1732" i="32"/>
  <c r="J1732" i="31"/>
  <c r="J1724" i="32"/>
  <c r="J1724" i="31"/>
  <c r="J1731" i="32"/>
  <c r="J1731" i="31"/>
  <c r="Y1729" i="32"/>
  <c r="Y1729" i="31"/>
  <c r="Y1729" i="19"/>
  <c r="J1733" i="19"/>
  <c r="J1729" i="19"/>
  <c r="J1732" i="19"/>
  <c r="J1724" i="19"/>
  <c r="J1722" i="19"/>
  <c r="J1731" i="19"/>
  <c r="J1736" i="19"/>
  <c r="J1730" i="19"/>
  <c r="J1723" i="19"/>
  <c r="M1721" i="1"/>
  <c r="N1721" i="1" s="1"/>
  <c r="W1721" i="1" s="1"/>
  <c r="J1721" i="19"/>
  <c r="J1734" i="19"/>
  <c r="J1735" i="19"/>
  <c r="S1729" i="1"/>
  <c r="R1729" i="1"/>
  <c r="Q1729" i="1"/>
  <c r="T1729" i="32" l="1"/>
  <c r="Y1721" i="32"/>
  <c r="T1729" i="31"/>
  <c r="Y1721" i="31"/>
  <c r="S1721" i="1"/>
  <c r="R1721" i="1"/>
  <c r="Q1721" i="1"/>
  <c r="T1729" i="19"/>
  <c r="T1721" i="32" l="1"/>
  <c r="T1721" i="31"/>
  <c r="Y1721" i="19"/>
  <c r="T1721" i="19"/>
  <c r="I89" i="1" l="1"/>
  <c r="I1682" i="1"/>
  <c r="I1681" i="1"/>
  <c r="I1680" i="1"/>
  <c r="I1676" i="1"/>
  <c r="I1680" i="32" l="1"/>
  <c r="I1680" i="31"/>
  <c r="I1676" i="32"/>
  <c r="I1676" i="31"/>
  <c r="I1682" i="32"/>
  <c r="I1682" i="31"/>
  <c r="I1681" i="32"/>
  <c r="I1681" i="31"/>
  <c r="I89" i="32"/>
  <c r="I89" i="31"/>
  <c r="I1676" i="19"/>
  <c r="I1682" i="19"/>
  <c r="I1680" i="19"/>
  <c r="I1681" i="19"/>
  <c r="J89" i="1"/>
  <c r="I89" i="19"/>
  <c r="J1680" i="1"/>
  <c r="J1681" i="1"/>
  <c r="J1676" i="1"/>
  <c r="J1682" i="1"/>
  <c r="J89" i="32" l="1"/>
  <c r="M89" i="32" s="1"/>
  <c r="N89" i="32" s="1"/>
  <c r="J89" i="31"/>
  <c r="M89" i="31" s="1"/>
  <c r="N89" i="31" s="1"/>
  <c r="J1676" i="32"/>
  <c r="J1676" i="31"/>
  <c r="J1681" i="32"/>
  <c r="J1681" i="31"/>
  <c r="J1682" i="32"/>
  <c r="J1682" i="31"/>
  <c r="J1680" i="32"/>
  <c r="J1680" i="31"/>
  <c r="M1682" i="1"/>
  <c r="N1682" i="1" s="1"/>
  <c r="M89" i="1"/>
  <c r="N89" i="1" s="1"/>
  <c r="J1680" i="19"/>
  <c r="J1676" i="19"/>
  <c r="J1682" i="19"/>
  <c r="J1681" i="19"/>
  <c r="J89" i="19"/>
  <c r="I2554" i="1"/>
  <c r="I2553" i="1"/>
  <c r="S89" i="31" l="1"/>
  <c r="Q89" i="31"/>
  <c r="O69" i="31"/>
  <c r="P69" i="31" s="1"/>
  <c r="R89" i="31"/>
  <c r="S89" i="32"/>
  <c r="R89" i="32"/>
  <c r="Q89" i="32"/>
  <c r="O69" i="32"/>
  <c r="P69" i="32" s="1"/>
  <c r="S89" i="1"/>
  <c r="R89" i="1"/>
  <c r="Q89" i="1"/>
  <c r="S1682" i="1"/>
  <c r="R1682" i="1"/>
  <c r="Q1682" i="1"/>
  <c r="V89" i="1"/>
  <c r="W89" i="1" s="1"/>
  <c r="V1682" i="1"/>
  <c r="W1682" i="1" s="1"/>
  <c r="I1671" i="1"/>
  <c r="I1674" i="1"/>
  <c r="I914" i="1"/>
  <c r="S69" i="32" l="1"/>
  <c r="R69" i="32"/>
  <c r="Q69" i="32"/>
  <c r="Q69" i="31"/>
  <c r="S69" i="31"/>
  <c r="R69" i="31"/>
  <c r="I914" i="32"/>
  <c r="I914" i="31"/>
  <c r="I1674" i="31"/>
  <c r="I1674" i="32"/>
  <c r="I1671" i="32"/>
  <c r="I1671" i="31"/>
  <c r="Y89" i="32"/>
  <c r="Y1682" i="32"/>
  <c r="T1682" i="32"/>
  <c r="T89" i="32"/>
  <c r="Y89" i="31"/>
  <c r="Y1682" i="31"/>
  <c r="T1682" i="31"/>
  <c r="T89" i="31"/>
  <c r="Y1682" i="19"/>
  <c r="Y89" i="19"/>
  <c r="T1682" i="19"/>
  <c r="T89" i="19"/>
  <c r="I1674" i="19"/>
  <c r="I914" i="19"/>
  <c r="I1671" i="19"/>
  <c r="J914" i="1"/>
  <c r="J1674" i="1"/>
  <c r="J1671" i="1"/>
  <c r="I1629" i="1"/>
  <c r="I1642" i="1"/>
  <c r="I1658" i="1"/>
  <c r="I1654" i="1"/>
  <c r="I1650" i="1"/>
  <c r="I1646" i="1"/>
  <c r="M1671" i="1" l="1"/>
  <c r="N1671" i="1" s="1"/>
  <c r="I1650" i="32"/>
  <c r="I1650" i="31"/>
  <c r="J914" i="32"/>
  <c r="J914" i="31"/>
  <c r="I1658" i="32"/>
  <c r="I1658" i="31"/>
  <c r="I1642" i="32"/>
  <c r="I1642" i="31"/>
  <c r="I1646" i="32"/>
  <c r="I1646" i="31"/>
  <c r="I1629" i="32"/>
  <c r="I1629" i="31"/>
  <c r="J1671" i="32"/>
  <c r="J1671" i="31"/>
  <c r="I1654" i="32"/>
  <c r="I1654" i="31"/>
  <c r="J1674" i="32"/>
  <c r="J1674" i="31"/>
  <c r="I1629" i="19"/>
  <c r="J1671" i="19"/>
  <c r="J1674" i="19"/>
  <c r="J914" i="19"/>
  <c r="I1654" i="19"/>
  <c r="I1642" i="19"/>
  <c r="I1658" i="19"/>
  <c r="I1650" i="19"/>
  <c r="I1646" i="19"/>
  <c r="J1646" i="1"/>
  <c r="J1650" i="1"/>
  <c r="J1654" i="1"/>
  <c r="J1658" i="1"/>
  <c r="J1642" i="1"/>
  <c r="J1629" i="1"/>
  <c r="R1671" i="1" l="1"/>
  <c r="Q1671" i="1"/>
  <c r="S1671" i="1"/>
  <c r="V1671" i="1"/>
  <c r="W1671" i="1" s="1"/>
  <c r="J1658" i="32"/>
  <c r="J1658" i="31"/>
  <c r="J1654" i="32"/>
  <c r="J1654" i="31"/>
  <c r="J1650" i="32"/>
  <c r="J1650" i="31"/>
  <c r="J1646" i="32"/>
  <c r="J1646" i="31"/>
  <c r="J1629" i="32"/>
  <c r="J1629" i="31"/>
  <c r="J1642" i="32"/>
  <c r="J1642" i="31"/>
  <c r="J1629" i="19"/>
  <c r="J1658" i="19"/>
  <c r="J1654" i="19"/>
  <c r="J1650" i="19"/>
  <c r="J1642" i="19"/>
  <c r="J1646" i="19"/>
  <c r="Y1671" i="32" l="1"/>
  <c r="Y1671" i="31"/>
  <c r="Y1671" i="19"/>
  <c r="T1671" i="31"/>
  <c r="T1671" i="32"/>
  <c r="T1671" i="19"/>
  <c r="I40" i="1"/>
  <c r="I39" i="1"/>
  <c r="I38" i="1"/>
  <c r="I38" i="32" l="1"/>
  <c r="I38" i="31"/>
  <c r="I39" i="32"/>
  <c r="I39" i="31"/>
  <c r="I40" i="32"/>
  <c r="I40" i="31"/>
  <c r="J38" i="1"/>
  <c r="I38" i="19"/>
  <c r="J39" i="1"/>
  <c r="I39" i="19"/>
  <c r="J40" i="1"/>
  <c r="I40" i="19"/>
  <c r="J39" i="32" l="1"/>
  <c r="J39" i="31"/>
  <c r="J38" i="32"/>
  <c r="J38" i="31"/>
  <c r="J40" i="32"/>
  <c r="J40" i="31"/>
  <c r="J39" i="19"/>
  <c r="J38" i="19"/>
  <c r="J40" i="19"/>
  <c r="I866" i="1"/>
  <c r="I865" i="1"/>
  <c r="I864" i="1"/>
  <c r="I867" i="1"/>
  <c r="I862" i="1"/>
  <c r="I810" i="1"/>
  <c r="I809" i="1"/>
  <c r="I811" i="1"/>
  <c r="I867" i="32" l="1"/>
  <c r="I867" i="31"/>
  <c r="I862" i="32"/>
  <c r="I862" i="31"/>
  <c r="I864" i="32"/>
  <c r="I864" i="31"/>
  <c r="I865" i="32"/>
  <c r="I865" i="31"/>
  <c r="I809" i="32"/>
  <c r="I809" i="31"/>
  <c r="I866" i="32"/>
  <c r="I866" i="31"/>
  <c r="I810" i="32"/>
  <c r="I810" i="31"/>
  <c r="I811" i="32"/>
  <c r="I811" i="31"/>
  <c r="I865" i="19"/>
  <c r="J866" i="1"/>
  <c r="I866" i="19"/>
  <c r="I809" i="19"/>
  <c r="I864" i="19"/>
  <c r="I810" i="19"/>
  <c r="I862" i="19"/>
  <c r="I811" i="19"/>
  <c r="J867" i="1"/>
  <c r="I867" i="19"/>
  <c r="J809" i="1"/>
  <c r="J811" i="1"/>
  <c r="J864" i="1"/>
  <c r="J865" i="1"/>
  <c r="J810" i="1"/>
  <c r="J862" i="1"/>
  <c r="I813" i="1"/>
  <c r="I647" i="1"/>
  <c r="I646" i="1"/>
  <c r="I645" i="1"/>
  <c r="J867" i="32" l="1"/>
  <c r="M867" i="32" s="1"/>
  <c r="N867" i="32" s="1"/>
  <c r="J867" i="31"/>
  <c r="M867" i="31" s="1"/>
  <c r="N867" i="31" s="1"/>
  <c r="J865" i="32"/>
  <c r="J865" i="31"/>
  <c r="J864" i="32"/>
  <c r="J864" i="31"/>
  <c r="J810" i="32"/>
  <c r="J810" i="31"/>
  <c r="J811" i="32"/>
  <c r="M811" i="32" s="1"/>
  <c r="N811" i="32" s="1"/>
  <c r="J811" i="31"/>
  <c r="M811" i="31" s="1"/>
  <c r="N811" i="31" s="1"/>
  <c r="J809" i="32"/>
  <c r="J809" i="31"/>
  <c r="J866" i="32"/>
  <c r="J866" i="31"/>
  <c r="I646" i="32"/>
  <c r="I646" i="31"/>
  <c r="I647" i="32"/>
  <c r="I647" i="31"/>
  <c r="J862" i="32"/>
  <c r="J862" i="31"/>
  <c r="I645" i="32"/>
  <c r="I645" i="31"/>
  <c r="I813" i="32"/>
  <c r="I813" i="31"/>
  <c r="M809" i="1"/>
  <c r="N809" i="1" s="1"/>
  <c r="M811" i="1"/>
  <c r="N811" i="1" s="1"/>
  <c r="J866" i="19"/>
  <c r="J811" i="19"/>
  <c r="J810" i="19"/>
  <c r="M867" i="1"/>
  <c r="N867" i="1" s="1"/>
  <c r="J867" i="19"/>
  <c r="J865" i="19"/>
  <c r="J864" i="19"/>
  <c r="I813" i="19"/>
  <c r="J809" i="19"/>
  <c r="J862" i="19"/>
  <c r="I646" i="19"/>
  <c r="I645" i="19"/>
  <c r="I647" i="19"/>
  <c r="J647" i="1"/>
  <c r="J813" i="1"/>
  <c r="J645" i="1"/>
  <c r="J646" i="1"/>
  <c r="N35" i="1"/>
  <c r="W35" i="1" s="1"/>
  <c r="I687" i="1"/>
  <c r="I858" i="1"/>
  <c r="I686" i="1"/>
  <c r="I854" i="1"/>
  <c r="I691" i="1"/>
  <c r="I854" i="32" l="1"/>
  <c r="I854" i="31"/>
  <c r="J647" i="32"/>
  <c r="J647" i="31"/>
  <c r="I686" i="32"/>
  <c r="I686" i="31"/>
  <c r="I858" i="32"/>
  <c r="I858" i="31"/>
  <c r="I687" i="32"/>
  <c r="I687" i="31"/>
  <c r="S811" i="31"/>
  <c r="R811" i="31"/>
  <c r="Q811" i="31"/>
  <c r="R867" i="31"/>
  <c r="Q867" i="31"/>
  <c r="S867" i="31"/>
  <c r="S811" i="32"/>
  <c r="R811" i="32"/>
  <c r="Q811" i="32"/>
  <c r="R867" i="32"/>
  <c r="S867" i="32"/>
  <c r="Q867" i="32"/>
  <c r="M645" i="1"/>
  <c r="N645" i="1" s="1"/>
  <c r="S645" i="1" s="1"/>
  <c r="J645" i="32"/>
  <c r="J645" i="31"/>
  <c r="J646" i="32"/>
  <c r="J646" i="31"/>
  <c r="I691" i="32"/>
  <c r="I691" i="31"/>
  <c r="J813" i="32"/>
  <c r="J813" i="31"/>
  <c r="Y35" i="32"/>
  <c r="Y35" i="31"/>
  <c r="S811" i="1"/>
  <c r="R811" i="1"/>
  <c r="Q811" i="1"/>
  <c r="V811" i="1"/>
  <c r="W811" i="1" s="1"/>
  <c r="V809" i="1"/>
  <c r="W809" i="1" s="1"/>
  <c r="V867" i="1"/>
  <c r="W867" i="1" s="1"/>
  <c r="S809" i="1"/>
  <c r="Q809" i="1"/>
  <c r="R809" i="1"/>
  <c r="Y35" i="19"/>
  <c r="Q867" i="1"/>
  <c r="S867" i="1"/>
  <c r="R867" i="1"/>
  <c r="J813" i="19"/>
  <c r="J858" i="1"/>
  <c r="I858" i="19"/>
  <c r="I686" i="19"/>
  <c r="J645" i="19"/>
  <c r="J646" i="19"/>
  <c r="I691" i="19"/>
  <c r="I687" i="19"/>
  <c r="J854" i="1"/>
  <c r="I854" i="19"/>
  <c r="J647" i="19"/>
  <c r="R35" i="1"/>
  <c r="Q35" i="1"/>
  <c r="S35" i="1"/>
  <c r="J691" i="1"/>
  <c r="J687" i="1"/>
  <c r="J686" i="1"/>
  <c r="I690" i="1"/>
  <c r="I648" i="1"/>
  <c r="Q645" i="1" l="1"/>
  <c r="R645" i="1"/>
  <c r="I690" i="32"/>
  <c r="I690" i="31"/>
  <c r="J691" i="32"/>
  <c r="J691" i="31"/>
  <c r="J854" i="32"/>
  <c r="J854" i="31"/>
  <c r="J858" i="32"/>
  <c r="J858" i="31"/>
  <c r="J686" i="32"/>
  <c r="J686" i="31"/>
  <c r="J687" i="32"/>
  <c r="J687" i="31"/>
  <c r="I648" i="32"/>
  <c r="I648" i="31"/>
  <c r="T811" i="32"/>
  <c r="T809" i="32"/>
  <c r="Y809" i="32"/>
  <c r="Y811" i="32"/>
  <c r="T35" i="32"/>
  <c r="T867" i="32"/>
  <c r="Y867" i="32"/>
  <c r="T645" i="31"/>
  <c r="T645" i="32"/>
  <c r="T809" i="31"/>
  <c r="Y809" i="31"/>
  <c r="T811" i="31"/>
  <c r="Y811" i="31"/>
  <c r="T35" i="31"/>
  <c r="T867" i="31"/>
  <c r="Y867" i="31"/>
  <c r="V645" i="1"/>
  <c r="W645" i="1" s="1"/>
  <c r="T645" i="19"/>
  <c r="Y811" i="19"/>
  <c r="Y809" i="19"/>
  <c r="T809" i="19"/>
  <c r="T811" i="19"/>
  <c r="Y867" i="19"/>
  <c r="T867" i="19"/>
  <c r="J687" i="19"/>
  <c r="J691" i="19"/>
  <c r="J686" i="19"/>
  <c r="I648" i="19"/>
  <c r="J854" i="19"/>
  <c r="I690" i="19"/>
  <c r="J858" i="19"/>
  <c r="T35" i="19"/>
  <c r="J648" i="1"/>
  <c r="J690" i="1"/>
  <c r="I132" i="1"/>
  <c r="I76" i="1"/>
  <c r="I84" i="1"/>
  <c r="I83" i="1"/>
  <c r="I82" i="1"/>
  <c r="I21" i="1"/>
  <c r="I20" i="1"/>
  <c r="I42" i="1"/>
  <c r="I37" i="1"/>
  <c r="I33" i="1"/>
  <c r="I32" i="1"/>
  <c r="I31" i="1"/>
  <c r="I30" i="1"/>
  <c r="I42" i="32" l="1"/>
  <c r="I42" i="31"/>
  <c r="I20" i="32"/>
  <c r="I20" i="31"/>
  <c r="J648" i="32"/>
  <c r="J648" i="31"/>
  <c r="I21" i="32"/>
  <c r="I21" i="31"/>
  <c r="I132" i="32"/>
  <c r="I132" i="31"/>
  <c r="I30" i="32"/>
  <c r="I30" i="31"/>
  <c r="I82" i="32"/>
  <c r="I82" i="31"/>
  <c r="I83" i="32"/>
  <c r="I83" i="31"/>
  <c r="J690" i="32"/>
  <c r="J690" i="31"/>
  <c r="I32" i="32"/>
  <c r="I32" i="31"/>
  <c r="I84" i="32"/>
  <c r="I84" i="31"/>
  <c r="I37" i="32"/>
  <c r="I37" i="31"/>
  <c r="I31" i="32"/>
  <c r="I31" i="31"/>
  <c r="I33" i="32"/>
  <c r="I33" i="31"/>
  <c r="I76" i="32"/>
  <c r="I76" i="31"/>
  <c r="Y645" i="31"/>
  <c r="Y645" i="32"/>
  <c r="Y645" i="19"/>
  <c r="J42" i="1"/>
  <c r="I42" i="19"/>
  <c r="J82" i="1"/>
  <c r="I82" i="19"/>
  <c r="J83" i="1"/>
  <c r="I83" i="19"/>
  <c r="J21" i="1"/>
  <c r="I21" i="19"/>
  <c r="J84" i="1"/>
  <c r="I84" i="19"/>
  <c r="J30" i="1"/>
  <c r="I30" i="19"/>
  <c r="J31" i="1"/>
  <c r="I31" i="19"/>
  <c r="J33" i="1"/>
  <c r="I33" i="19"/>
  <c r="J76" i="1"/>
  <c r="I76" i="19"/>
  <c r="J20" i="1"/>
  <c r="I20" i="19"/>
  <c r="J32" i="1"/>
  <c r="I32" i="19"/>
  <c r="J37" i="1"/>
  <c r="I37" i="19"/>
  <c r="J132" i="1"/>
  <c r="I132" i="19"/>
  <c r="J690" i="19"/>
  <c r="J648" i="19"/>
  <c r="I185" i="1"/>
  <c r="I77" i="1"/>
  <c r="I134" i="1"/>
  <c r="I130" i="1"/>
  <c r="I134" i="32" l="1"/>
  <c r="I134" i="31"/>
  <c r="J33" i="32"/>
  <c r="J33" i="31"/>
  <c r="J84" i="32"/>
  <c r="J84" i="31"/>
  <c r="J20" i="32"/>
  <c r="J20" i="31"/>
  <c r="J82" i="32"/>
  <c r="J82" i="31"/>
  <c r="J132" i="32"/>
  <c r="J132" i="31"/>
  <c r="J31" i="32"/>
  <c r="J31" i="31"/>
  <c r="J37" i="32"/>
  <c r="J37" i="31"/>
  <c r="J21" i="32"/>
  <c r="J21" i="31"/>
  <c r="I77" i="32"/>
  <c r="I77" i="31"/>
  <c r="J76" i="32"/>
  <c r="J76" i="31"/>
  <c r="J42" i="32"/>
  <c r="J42" i="31"/>
  <c r="I185" i="32"/>
  <c r="I185" i="31"/>
  <c r="J30" i="32"/>
  <c r="J30" i="31"/>
  <c r="I130" i="32"/>
  <c r="I130" i="31"/>
  <c r="J32" i="32"/>
  <c r="J32" i="31"/>
  <c r="J83" i="32"/>
  <c r="J83" i="31"/>
  <c r="J32" i="19"/>
  <c r="J83" i="19"/>
  <c r="J37" i="19"/>
  <c r="J21" i="19"/>
  <c r="J82" i="19"/>
  <c r="J132" i="19"/>
  <c r="J84" i="19"/>
  <c r="J20" i="19"/>
  <c r="J30" i="19"/>
  <c r="J31" i="19"/>
  <c r="J33" i="19"/>
  <c r="J77" i="1"/>
  <c r="I77" i="19"/>
  <c r="J76" i="19"/>
  <c r="J42" i="19"/>
  <c r="J134" i="1"/>
  <c r="I134" i="19"/>
  <c r="J130" i="1"/>
  <c r="I130" i="19"/>
  <c r="J185" i="1"/>
  <c r="I185" i="19"/>
  <c r="M77" i="1" l="1"/>
  <c r="N77" i="1" s="1"/>
  <c r="S77" i="1" s="1"/>
  <c r="J77" i="32"/>
  <c r="J77" i="31"/>
  <c r="J134" i="32"/>
  <c r="J134" i="31"/>
  <c r="J185" i="32"/>
  <c r="J185" i="31"/>
  <c r="J130" i="32"/>
  <c r="J130" i="31"/>
  <c r="J77" i="19"/>
  <c r="J130" i="19"/>
  <c r="J185" i="19"/>
  <c r="J134" i="19"/>
  <c r="I255" i="1"/>
  <c r="I804" i="1"/>
  <c r="I800" i="1"/>
  <c r="I802" i="1"/>
  <c r="I819" i="1"/>
  <c r="I818" i="1"/>
  <c r="I817" i="1"/>
  <c r="I816" i="1"/>
  <c r="I812" i="1"/>
  <c r="I807" i="1"/>
  <c r="I792" i="1"/>
  <c r="I791" i="1"/>
  <c r="I683" i="1"/>
  <c r="I682" i="1"/>
  <c r="I650" i="1"/>
  <c r="I649" i="1"/>
  <c r="I872" i="1"/>
  <c r="I870" i="1"/>
  <c r="I863" i="1"/>
  <c r="I137" i="1"/>
  <c r="I135" i="1"/>
  <c r="I136" i="1"/>
  <c r="I70" i="1"/>
  <c r="I72" i="1"/>
  <c r="I73" i="1"/>
  <c r="I71" i="1"/>
  <c r="I88" i="1"/>
  <c r="I75" i="1"/>
  <c r="I74" i="1"/>
  <c r="Q77" i="1" l="1"/>
  <c r="R77" i="1"/>
  <c r="V77" i="1"/>
  <c r="W77" i="1" s="1"/>
  <c r="I818" i="32"/>
  <c r="I818" i="31"/>
  <c r="I136" i="32"/>
  <c r="I136" i="31"/>
  <c r="I819" i="32"/>
  <c r="I819" i="31"/>
  <c r="I682" i="32"/>
  <c r="I682" i="31"/>
  <c r="I135" i="32"/>
  <c r="I135" i="31"/>
  <c r="I75" i="32"/>
  <c r="I75" i="31"/>
  <c r="I137" i="32"/>
  <c r="I137" i="31"/>
  <c r="I791" i="32"/>
  <c r="I791" i="31"/>
  <c r="I802" i="32"/>
  <c r="I802" i="31"/>
  <c r="I792" i="32"/>
  <c r="I792" i="31"/>
  <c r="I800" i="32"/>
  <c r="I800" i="31"/>
  <c r="I817" i="32"/>
  <c r="I817" i="31"/>
  <c r="I683" i="32"/>
  <c r="I683" i="31"/>
  <c r="I71" i="32"/>
  <c r="I71" i="31"/>
  <c r="I870" i="32"/>
  <c r="I870" i="31"/>
  <c r="I807" i="32"/>
  <c r="I807" i="31"/>
  <c r="I804" i="32"/>
  <c r="I804" i="31"/>
  <c r="I70" i="32"/>
  <c r="I70" i="31"/>
  <c r="I88" i="32"/>
  <c r="I88" i="31"/>
  <c r="I73" i="32"/>
  <c r="I73" i="31"/>
  <c r="I872" i="32"/>
  <c r="I872" i="31"/>
  <c r="I812" i="32"/>
  <c r="I812" i="31"/>
  <c r="I255" i="32"/>
  <c r="I255" i="31"/>
  <c r="I650" i="32"/>
  <c r="I650" i="31"/>
  <c r="I74" i="32"/>
  <c r="I74" i="31"/>
  <c r="I863" i="32"/>
  <c r="I863" i="31"/>
  <c r="I72" i="32"/>
  <c r="I72" i="31"/>
  <c r="I649" i="32"/>
  <c r="I649" i="31"/>
  <c r="I816" i="32"/>
  <c r="I816" i="31"/>
  <c r="T77" i="32"/>
  <c r="T77" i="31"/>
  <c r="I819" i="19"/>
  <c r="J75" i="1"/>
  <c r="I75" i="19"/>
  <c r="I792" i="19"/>
  <c r="I870" i="19"/>
  <c r="I807" i="19"/>
  <c r="J137" i="1"/>
  <c r="I137" i="19"/>
  <c r="J71" i="1"/>
  <c r="I71" i="19"/>
  <c r="I872" i="19"/>
  <c r="I812" i="19"/>
  <c r="I683" i="19"/>
  <c r="I791" i="19"/>
  <c r="J73" i="1"/>
  <c r="I73" i="19"/>
  <c r="I816" i="19"/>
  <c r="J136" i="1"/>
  <c r="I136" i="19"/>
  <c r="J650" i="1"/>
  <c r="I650" i="19"/>
  <c r="I817" i="19"/>
  <c r="J88" i="1"/>
  <c r="I88" i="19"/>
  <c r="I863" i="19"/>
  <c r="J72" i="1"/>
  <c r="I72" i="19"/>
  <c r="I649" i="19"/>
  <c r="I74" i="19"/>
  <c r="J135" i="1"/>
  <c r="I135" i="19"/>
  <c r="I682" i="19"/>
  <c r="I818" i="19"/>
  <c r="J70" i="1"/>
  <c r="I70" i="19"/>
  <c r="I800" i="19"/>
  <c r="I804" i="19"/>
  <c r="J255" i="1"/>
  <c r="I255" i="19"/>
  <c r="I802" i="19"/>
  <c r="T77" i="19"/>
  <c r="J649" i="1"/>
  <c r="J816" i="1"/>
  <c r="J817" i="1"/>
  <c r="J863" i="1"/>
  <c r="J682" i="1"/>
  <c r="J818" i="1"/>
  <c r="J870" i="1"/>
  <c r="J683" i="1"/>
  <c r="J819" i="1"/>
  <c r="J872" i="1"/>
  <c r="J791" i="1"/>
  <c r="J802" i="1"/>
  <c r="J792" i="1"/>
  <c r="J800" i="1"/>
  <c r="N74" i="1"/>
  <c r="W74" i="1" s="1"/>
  <c r="J74" i="1"/>
  <c r="J807" i="1"/>
  <c r="J804" i="1"/>
  <c r="J812" i="1"/>
  <c r="N650" i="1"/>
  <c r="W650" i="1" s="1"/>
  <c r="I799" i="1"/>
  <c r="I801" i="1"/>
  <c r="I805" i="1"/>
  <c r="I798" i="1"/>
  <c r="I803" i="1"/>
  <c r="I796" i="1"/>
  <c r="I238" i="1"/>
  <c r="I90" i="1"/>
  <c r="I85" i="1"/>
  <c r="I86" i="1"/>
  <c r="I789" i="1"/>
  <c r="I790" i="1"/>
  <c r="I120" i="1"/>
  <c r="I663" i="1"/>
  <c r="I664" i="1"/>
  <c r="I665" i="1"/>
  <c r="I688" i="1"/>
  <c r="F2417" i="1"/>
  <c r="I234" i="1"/>
  <c r="I875" i="1"/>
  <c r="I873" i="1"/>
  <c r="I874" i="1"/>
  <c r="I876" i="1"/>
  <c r="I877" i="1"/>
  <c r="I871" i="1"/>
  <c r="I879" i="1"/>
  <c r="I236" i="1"/>
  <c r="I229" i="1"/>
  <c r="Y77" i="32" l="1"/>
  <c r="Y77" i="31"/>
  <c r="Y77" i="19"/>
  <c r="M88" i="1"/>
  <c r="N88" i="1" s="1"/>
  <c r="M800" i="1"/>
  <c r="N800" i="1" s="1"/>
  <c r="S800" i="1" s="1"/>
  <c r="I877" i="32"/>
  <c r="I877" i="31"/>
  <c r="I665" i="32"/>
  <c r="I665" i="31"/>
  <c r="I90" i="32"/>
  <c r="I90" i="31"/>
  <c r="J802" i="32"/>
  <c r="J802" i="31"/>
  <c r="J863" i="32"/>
  <c r="J863" i="31"/>
  <c r="M135" i="1"/>
  <c r="N135" i="1" s="1"/>
  <c r="Q135" i="1" s="1"/>
  <c r="J135" i="32"/>
  <c r="M135" i="32" s="1"/>
  <c r="N135" i="32" s="1"/>
  <c r="J135" i="31"/>
  <c r="M135" i="31" s="1"/>
  <c r="N135" i="31" s="1"/>
  <c r="J75" i="32"/>
  <c r="J75" i="31"/>
  <c r="I664" i="32"/>
  <c r="I664" i="31"/>
  <c r="I238" i="32"/>
  <c r="I238" i="31"/>
  <c r="J812" i="32"/>
  <c r="J812" i="31"/>
  <c r="J791" i="32"/>
  <c r="J791" i="31"/>
  <c r="J817" i="32"/>
  <c r="J817" i="31"/>
  <c r="J70" i="32"/>
  <c r="J70" i="31"/>
  <c r="J650" i="32"/>
  <c r="J650" i="31"/>
  <c r="J73" i="32"/>
  <c r="J73" i="31"/>
  <c r="I236" i="32"/>
  <c r="I236" i="31"/>
  <c r="I874" i="32"/>
  <c r="I874" i="31"/>
  <c r="I663" i="32"/>
  <c r="I663" i="31"/>
  <c r="I796" i="32"/>
  <c r="I796" i="31"/>
  <c r="J804" i="32"/>
  <c r="J804" i="31"/>
  <c r="J872" i="32"/>
  <c r="J872" i="31"/>
  <c r="J816" i="32"/>
  <c r="J816" i="31"/>
  <c r="J255" i="32"/>
  <c r="J255" i="31"/>
  <c r="I876" i="32"/>
  <c r="I876" i="31"/>
  <c r="I873" i="32"/>
  <c r="I873" i="31"/>
  <c r="I120" i="32"/>
  <c r="I120" i="31"/>
  <c r="I803" i="32"/>
  <c r="I803" i="31"/>
  <c r="J807" i="32"/>
  <c r="J807" i="31"/>
  <c r="J819" i="32"/>
  <c r="J819" i="31"/>
  <c r="J649" i="32"/>
  <c r="J649" i="31"/>
  <c r="I229" i="32"/>
  <c r="I229" i="31"/>
  <c r="I875" i="32"/>
  <c r="I875" i="31"/>
  <c r="I790" i="32"/>
  <c r="I790" i="31"/>
  <c r="I798" i="32"/>
  <c r="I798" i="31"/>
  <c r="J74" i="32"/>
  <c r="J74" i="31"/>
  <c r="J683" i="32"/>
  <c r="J683" i="31"/>
  <c r="J88" i="32"/>
  <c r="J88" i="31"/>
  <c r="J136" i="32"/>
  <c r="J136" i="31"/>
  <c r="J71" i="32"/>
  <c r="J71" i="31"/>
  <c r="I234" i="32"/>
  <c r="I234" i="31"/>
  <c r="I789" i="32"/>
  <c r="I789" i="31"/>
  <c r="I805" i="32"/>
  <c r="I805" i="31"/>
  <c r="J870" i="32"/>
  <c r="J870" i="31"/>
  <c r="F2417" i="32"/>
  <c r="F2417" i="31"/>
  <c r="I86" i="32"/>
  <c r="I86" i="31"/>
  <c r="I801" i="32"/>
  <c r="I801" i="31"/>
  <c r="J800" i="32"/>
  <c r="J800" i="31"/>
  <c r="J818" i="32"/>
  <c r="J818" i="31"/>
  <c r="I879" i="32"/>
  <c r="I879" i="31"/>
  <c r="I871" i="32"/>
  <c r="I871" i="31"/>
  <c r="I688" i="32"/>
  <c r="I688" i="31"/>
  <c r="I85" i="32"/>
  <c r="I85" i="31"/>
  <c r="I799" i="32"/>
  <c r="I799" i="31"/>
  <c r="J792" i="32"/>
  <c r="J792" i="31"/>
  <c r="J682" i="32"/>
  <c r="J682" i="31"/>
  <c r="J72" i="32"/>
  <c r="J72" i="31"/>
  <c r="J137" i="32"/>
  <c r="J137" i="31"/>
  <c r="Y74" i="32"/>
  <c r="Y650" i="32"/>
  <c r="Y74" i="31"/>
  <c r="Y650" i="31"/>
  <c r="M72" i="1"/>
  <c r="N72" i="1" s="1"/>
  <c r="M136" i="1"/>
  <c r="N136" i="1" s="1"/>
  <c r="M819" i="1"/>
  <c r="N819" i="1" s="1"/>
  <c r="Y74" i="19"/>
  <c r="Y650" i="19"/>
  <c r="J663" i="1"/>
  <c r="I663" i="19"/>
  <c r="I873" i="19"/>
  <c r="J807" i="19"/>
  <c r="J819" i="19"/>
  <c r="J816" i="19"/>
  <c r="J75" i="19"/>
  <c r="J872" i="19"/>
  <c r="J229" i="1"/>
  <c r="I229" i="19"/>
  <c r="I875" i="19"/>
  <c r="J74" i="19"/>
  <c r="J683" i="19"/>
  <c r="J649" i="19"/>
  <c r="J137" i="19"/>
  <c r="J234" i="1"/>
  <c r="I234" i="19"/>
  <c r="J870" i="19"/>
  <c r="J135" i="19"/>
  <c r="J88" i="19"/>
  <c r="J71" i="19"/>
  <c r="G2417" i="1"/>
  <c r="F2417" i="19"/>
  <c r="J86" i="1"/>
  <c r="I86" i="19"/>
  <c r="J818" i="19"/>
  <c r="J73" i="19"/>
  <c r="J236" i="1"/>
  <c r="I236" i="19"/>
  <c r="I871" i="19"/>
  <c r="J85" i="1"/>
  <c r="I85" i="19"/>
  <c r="J792" i="19"/>
  <c r="J682" i="19"/>
  <c r="I874" i="19"/>
  <c r="I879" i="19"/>
  <c r="I877" i="19"/>
  <c r="I665" i="19"/>
  <c r="J90" i="1"/>
  <c r="I90" i="19"/>
  <c r="J863" i="19"/>
  <c r="J72" i="19"/>
  <c r="J650" i="19"/>
  <c r="I876" i="19"/>
  <c r="I664" i="19"/>
  <c r="J812" i="19"/>
  <c r="J791" i="19"/>
  <c r="J817" i="19"/>
  <c r="J136" i="19"/>
  <c r="I803" i="19"/>
  <c r="J120" i="1"/>
  <c r="I120" i="19"/>
  <c r="J800" i="19"/>
  <c r="I790" i="19"/>
  <c r="I799" i="19"/>
  <c r="J255" i="19"/>
  <c r="I789" i="19"/>
  <c r="J802" i="19"/>
  <c r="I805" i="19"/>
  <c r="I688" i="19"/>
  <c r="J238" i="1"/>
  <c r="I238" i="19"/>
  <c r="I798" i="19"/>
  <c r="I796" i="19"/>
  <c r="J804" i="19"/>
  <c r="J70" i="19"/>
  <c r="I801" i="19"/>
  <c r="S650" i="1"/>
  <c r="R650" i="1"/>
  <c r="Q650" i="1"/>
  <c r="S74" i="1"/>
  <c r="R74" i="1"/>
  <c r="Q74" i="1"/>
  <c r="J871" i="1"/>
  <c r="J876" i="1"/>
  <c r="J790" i="1"/>
  <c r="J798" i="1"/>
  <c r="J877" i="1"/>
  <c r="J874" i="1"/>
  <c r="J789" i="1"/>
  <c r="J805" i="1"/>
  <c r="J879" i="1"/>
  <c r="J873" i="1"/>
  <c r="J688" i="1"/>
  <c r="J801" i="1"/>
  <c r="J875" i="1"/>
  <c r="J665" i="1"/>
  <c r="J799" i="1"/>
  <c r="J664" i="1"/>
  <c r="J796" i="1"/>
  <c r="J803" i="1"/>
  <c r="N230" i="1"/>
  <c r="W230" i="1" s="1"/>
  <c r="I795" i="1"/>
  <c r="I794" i="1"/>
  <c r="I670" i="1"/>
  <c r="I666" i="1"/>
  <c r="I674" i="1"/>
  <c r="I685" i="1"/>
  <c r="I684" i="1"/>
  <c r="I797" i="1"/>
  <c r="N2553" i="1"/>
  <c r="O913" i="1"/>
  <c r="P913" i="1" s="1"/>
  <c r="O69" i="1" l="1"/>
  <c r="P69" i="1" s="1"/>
  <c r="R69" i="1" s="1"/>
  <c r="V88" i="1"/>
  <c r="W88" i="1" s="1"/>
  <c r="R88" i="1"/>
  <c r="Q88" i="1"/>
  <c r="S88" i="1"/>
  <c r="Q800" i="1"/>
  <c r="R800" i="1"/>
  <c r="S135" i="31"/>
  <c r="R135" i="31"/>
  <c r="Q135" i="31"/>
  <c r="O117" i="31"/>
  <c r="P117" i="31" s="1"/>
  <c r="S135" i="32"/>
  <c r="Q135" i="32"/>
  <c r="R135" i="32"/>
  <c r="O117" i="32"/>
  <c r="P117" i="32" s="1"/>
  <c r="S135" i="1"/>
  <c r="V800" i="1"/>
  <c r="W800" i="1" s="1"/>
  <c r="T800" i="19"/>
  <c r="T800" i="31"/>
  <c r="T800" i="32"/>
  <c r="R135" i="1"/>
  <c r="I797" i="32"/>
  <c r="I797" i="31"/>
  <c r="I684" i="32"/>
  <c r="I684" i="31"/>
  <c r="J803" i="32"/>
  <c r="J803" i="31"/>
  <c r="J873" i="32"/>
  <c r="J873" i="31"/>
  <c r="J876" i="32"/>
  <c r="J876" i="31"/>
  <c r="I685" i="32"/>
  <c r="I685" i="31"/>
  <c r="J796" i="32"/>
  <c r="J796" i="31"/>
  <c r="J879" i="32"/>
  <c r="M879" i="32" s="1"/>
  <c r="N879" i="32" s="1"/>
  <c r="J879" i="31"/>
  <c r="M879" i="31" s="1"/>
  <c r="N879" i="31" s="1"/>
  <c r="J871" i="32"/>
  <c r="J871" i="31"/>
  <c r="J86" i="32"/>
  <c r="J86" i="31"/>
  <c r="I674" i="32"/>
  <c r="I674" i="31"/>
  <c r="J664" i="32"/>
  <c r="J664" i="31"/>
  <c r="J805" i="32"/>
  <c r="J805" i="31"/>
  <c r="J236" i="32"/>
  <c r="M236" i="32" s="1"/>
  <c r="N236" i="32" s="1"/>
  <c r="J236" i="31"/>
  <c r="M236" i="31" s="1"/>
  <c r="N236" i="31" s="1"/>
  <c r="I666" i="32"/>
  <c r="I666" i="31"/>
  <c r="J799" i="32"/>
  <c r="J799" i="31"/>
  <c r="J789" i="32"/>
  <c r="J789" i="31"/>
  <c r="J663" i="32"/>
  <c r="J663" i="31"/>
  <c r="I670" i="32"/>
  <c r="I670" i="31"/>
  <c r="J665" i="32"/>
  <c r="J665" i="31"/>
  <c r="J874" i="32"/>
  <c r="J874" i="31"/>
  <c r="J238" i="32"/>
  <c r="J238" i="31"/>
  <c r="G2417" i="32"/>
  <c r="G2417" i="31"/>
  <c r="J229" i="32"/>
  <c r="M229" i="32" s="1"/>
  <c r="N229" i="32" s="1"/>
  <c r="J229" i="31"/>
  <c r="M229" i="31" s="1"/>
  <c r="N229" i="31" s="1"/>
  <c r="I794" i="32"/>
  <c r="I794" i="31"/>
  <c r="J875" i="32"/>
  <c r="J875" i="31"/>
  <c r="J877" i="32"/>
  <c r="M877" i="32" s="1"/>
  <c r="N877" i="32" s="1"/>
  <c r="J877" i="31"/>
  <c r="M877" i="31" s="1"/>
  <c r="N877" i="31" s="1"/>
  <c r="J85" i="32"/>
  <c r="J85" i="31"/>
  <c r="I795" i="32"/>
  <c r="I795" i="31"/>
  <c r="J801" i="32"/>
  <c r="J801" i="31"/>
  <c r="J798" i="32"/>
  <c r="J798" i="31"/>
  <c r="J90" i="32"/>
  <c r="J90" i="31"/>
  <c r="J688" i="32"/>
  <c r="J688" i="31"/>
  <c r="J790" i="32"/>
  <c r="J790" i="31"/>
  <c r="J120" i="32"/>
  <c r="J120" i="31"/>
  <c r="J234" i="32"/>
  <c r="M234" i="32" s="1"/>
  <c r="N234" i="32" s="1"/>
  <c r="J234" i="31"/>
  <c r="M234" i="31" s="1"/>
  <c r="N234" i="31" s="1"/>
  <c r="T74" i="32"/>
  <c r="T650" i="32"/>
  <c r="Y230" i="32"/>
  <c r="Y230" i="31"/>
  <c r="T650" i="31"/>
  <c r="T74" i="31"/>
  <c r="V135" i="1"/>
  <c r="W135" i="1" s="1"/>
  <c r="M229" i="1"/>
  <c r="N229" i="1" s="1"/>
  <c r="R229" i="1" s="1"/>
  <c r="M877" i="1"/>
  <c r="N877" i="1" s="1"/>
  <c r="M236" i="1"/>
  <c r="N236" i="1" s="1"/>
  <c r="M234" i="1"/>
  <c r="N234" i="1" s="1"/>
  <c r="V819" i="1"/>
  <c r="W819" i="1" s="1"/>
  <c r="M876" i="1"/>
  <c r="N876" i="1" s="1"/>
  <c r="S819" i="1"/>
  <c r="R819" i="1"/>
  <c r="Q819" i="1"/>
  <c r="M879" i="1"/>
  <c r="N879" i="1" s="1"/>
  <c r="S136" i="1"/>
  <c r="R136" i="1"/>
  <c r="Q136" i="1"/>
  <c r="V136" i="1"/>
  <c r="W136" i="1" s="1"/>
  <c r="V72" i="1"/>
  <c r="W72" i="1" s="1"/>
  <c r="R72" i="1"/>
  <c r="Q72" i="1"/>
  <c r="S72" i="1"/>
  <c r="Y230" i="19"/>
  <c r="J874" i="19"/>
  <c r="J875" i="19"/>
  <c r="J877" i="19"/>
  <c r="J85" i="19"/>
  <c r="J86" i="19"/>
  <c r="J873" i="19"/>
  <c r="J876" i="19"/>
  <c r="G2417" i="19"/>
  <c r="J229" i="19"/>
  <c r="J879" i="19"/>
  <c r="J871" i="19"/>
  <c r="J665" i="19"/>
  <c r="J664" i="19"/>
  <c r="J90" i="19"/>
  <c r="J236" i="19"/>
  <c r="J234" i="19"/>
  <c r="J663" i="19"/>
  <c r="I684" i="19"/>
  <c r="J803" i="19"/>
  <c r="J796" i="19"/>
  <c r="J120" i="19"/>
  <c r="J805" i="19"/>
  <c r="J238" i="19"/>
  <c r="J789" i="19"/>
  <c r="I670" i="19"/>
  <c r="I794" i="19"/>
  <c r="I685" i="19"/>
  <c r="J799" i="19"/>
  <c r="I795" i="19"/>
  <c r="J798" i="19"/>
  <c r="I674" i="19"/>
  <c r="I666" i="19"/>
  <c r="I797" i="19"/>
  <c r="J688" i="19"/>
  <c r="J790" i="19"/>
  <c r="J801" i="19"/>
  <c r="T74" i="19"/>
  <c r="S230" i="1"/>
  <c r="R230" i="1"/>
  <c r="Q230" i="1"/>
  <c r="S913" i="1"/>
  <c r="R913" i="1"/>
  <c r="Q913" i="1"/>
  <c r="T650" i="19"/>
  <c r="M874" i="1"/>
  <c r="N874" i="1" s="1"/>
  <c r="W874" i="1" s="1"/>
  <c r="J797" i="1"/>
  <c r="J795" i="1"/>
  <c r="J684" i="1"/>
  <c r="J685" i="1"/>
  <c r="J674" i="1"/>
  <c r="J666" i="1"/>
  <c r="J670" i="1"/>
  <c r="J794" i="1"/>
  <c r="O2553" i="1"/>
  <c r="F12" i="7"/>
  <c r="S16" i="11" s="1"/>
  <c r="F6" i="7"/>
  <c r="S10" i="11" s="1"/>
  <c r="I678" i="1"/>
  <c r="S69" i="1" l="1"/>
  <c r="Q69" i="1"/>
  <c r="Y88" i="32"/>
  <c r="Y88" i="31"/>
  <c r="Y88" i="19"/>
  <c r="T88" i="32"/>
  <c r="T88" i="19"/>
  <c r="T88" i="31"/>
  <c r="S117" i="32"/>
  <c r="R117" i="32"/>
  <c r="Q117" i="32"/>
  <c r="S117" i="31"/>
  <c r="Q117" i="31"/>
  <c r="R117" i="31"/>
  <c r="T135" i="19"/>
  <c r="T135" i="32"/>
  <c r="T135" i="31"/>
  <c r="Y800" i="31"/>
  <c r="Y800" i="32"/>
  <c r="Y800" i="19"/>
  <c r="J797" i="32"/>
  <c r="J797" i="31"/>
  <c r="J670" i="32"/>
  <c r="M670" i="32" s="1"/>
  <c r="N670" i="32" s="1"/>
  <c r="J670" i="31"/>
  <c r="M670" i="31" s="1"/>
  <c r="N670" i="31" s="1"/>
  <c r="Q234" i="31"/>
  <c r="R234" i="31"/>
  <c r="S234" i="31"/>
  <c r="R229" i="31"/>
  <c r="Q229" i="31"/>
  <c r="S229" i="31"/>
  <c r="Q236" i="31"/>
  <c r="S236" i="31"/>
  <c r="R236" i="31"/>
  <c r="S879" i="31"/>
  <c r="R879" i="31"/>
  <c r="Q879" i="31"/>
  <c r="J666" i="32"/>
  <c r="J666" i="31"/>
  <c r="Q234" i="32"/>
  <c r="S234" i="32"/>
  <c r="R234" i="32"/>
  <c r="S229" i="32"/>
  <c r="R229" i="32"/>
  <c r="Q229" i="32"/>
  <c r="R236" i="32"/>
  <c r="Q236" i="32"/>
  <c r="S236" i="32"/>
  <c r="Q879" i="32"/>
  <c r="S879" i="32"/>
  <c r="R879" i="32"/>
  <c r="I678" i="32"/>
  <c r="I678" i="31"/>
  <c r="J685" i="32"/>
  <c r="J685" i="31"/>
  <c r="J684" i="32"/>
  <c r="J684" i="31"/>
  <c r="R877" i="31"/>
  <c r="Q877" i="31"/>
  <c r="S877" i="31"/>
  <c r="O853" i="31"/>
  <c r="P853" i="31" s="1"/>
  <c r="J674" i="32"/>
  <c r="J674" i="31"/>
  <c r="J795" i="32"/>
  <c r="J795" i="31"/>
  <c r="R877" i="32"/>
  <c r="S877" i="32"/>
  <c r="Q877" i="32"/>
  <c r="O853" i="32"/>
  <c r="P853" i="32" s="1"/>
  <c r="J794" i="32"/>
  <c r="J794" i="31"/>
  <c r="Y136" i="32"/>
  <c r="Y874" i="32"/>
  <c r="T230" i="32"/>
  <c r="T136" i="32"/>
  <c r="T819" i="32"/>
  <c r="Y72" i="32"/>
  <c r="T913" i="32"/>
  <c r="T72" i="32"/>
  <c r="Y819" i="32"/>
  <c r="Y135" i="31"/>
  <c r="Y135" i="32"/>
  <c r="Y136" i="31"/>
  <c r="Y72" i="31"/>
  <c r="Y874" i="31"/>
  <c r="T230" i="31"/>
  <c r="T136" i="31"/>
  <c r="T69" i="31"/>
  <c r="T819" i="31"/>
  <c r="T913" i="31"/>
  <c r="T72" i="31"/>
  <c r="Y819" i="31"/>
  <c r="Y135" i="19"/>
  <c r="Q229" i="1"/>
  <c r="S229" i="1"/>
  <c r="V229" i="1"/>
  <c r="W229" i="1" s="1"/>
  <c r="Y819" i="19"/>
  <c r="Y136" i="19"/>
  <c r="S876" i="1"/>
  <c r="R876" i="1"/>
  <c r="Q876" i="1"/>
  <c r="S234" i="1"/>
  <c r="R234" i="1"/>
  <c r="Q234" i="1"/>
  <c r="S877" i="1"/>
  <c r="R877" i="1"/>
  <c r="Q877" i="1"/>
  <c r="V876" i="1"/>
  <c r="W876" i="1" s="1"/>
  <c r="V877" i="1"/>
  <c r="W877" i="1" s="1"/>
  <c r="R879" i="1"/>
  <c r="S879" i="1"/>
  <c r="Q879" i="1"/>
  <c r="T819" i="19"/>
  <c r="V236" i="1"/>
  <c r="W236" i="1" s="1"/>
  <c r="V879" i="1"/>
  <c r="W879" i="1" s="1"/>
  <c r="Y72" i="19"/>
  <c r="T72" i="19"/>
  <c r="V234" i="1"/>
  <c r="W234" i="1" s="1"/>
  <c r="M670" i="1"/>
  <c r="N670" i="1" s="1"/>
  <c r="N2552" i="1" s="1"/>
  <c r="T136" i="19"/>
  <c r="S236" i="1"/>
  <c r="R236" i="1"/>
  <c r="Q236" i="1"/>
  <c r="Y874" i="19"/>
  <c r="I678" i="19"/>
  <c r="J685" i="19"/>
  <c r="J684" i="19"/>
  <c r="J797" i="19"/>
  <c r="J795" i="19"/>
  <c r="J794" i="19"/>
  <c r="J674" i="19"/>
  <c r="J670" i="19"/>
  <c r="J666" i="19"/>
  <c r="S874" i="1"/>
  <c r="R874" i="1"/>
  <c r="Q874" i="1"/>
  <c r="T913" i="19"/>
  <c r="T230" i="19"/>
  <c r="O853" i="1"/>
  <c r="J678" i="1"/>
  <c r="S10" i="12"/>
  <c r="S16" i="12"/>
  <c r="T69" i="19" l="1"/>
  <c r="T69" i="32"/>
  <c r="P673" i="31"/>
  <c r="R670" i="31"/>
  <c r="Q670" i="31"/>
  <c r="P671" i="31"/>
  <c r="P672" i="31"/>
  <c r="S670" i="31"/>
  <c r="N2552" i="31"/>
  <c r="O644" i="31"/>
  <c r="R853" i="32"/>
  <c r="Q853" i="32"/>
  <c r="S853" i="32"/>
  <c r="P672" i="32"/>
  <c r="P673" i="32"/>
  <c r="R670" i="32"/>
  <c r="Q670" i="32"/>
  <c r="P671" i="32"/>
  <c r="S670" i="32"/>
  <c r="N2552" i="32"/>
  <c r="O644" i="32"/>
  <c r="S853" i="31"/>
  <c r="R853" i="31"/>
  <c r="Q853" i="31"/>
  <c r="J678" i="32"/>
  <c r="J678" i="31"/>
  <c r="T229" i="19"/>
  <c r="Y236" i="32"/>
  <c r="T874" i="32"/>
  <c r="T879" i="32"/>
  <c r="T234" i="32"/>
  <c r="Y229" i="32"/>
  <c r="Y234" i="32"/>
  <c r="T877" i="32"/>
  <c r="T876" i="32"/>
  <c r="Y879" i="32"/>
  <c r="Y876" i="32"/>
  <c r="T236" i="32"/>
  <c r="Y877" i="32"/>
  <c r="T229" i="32"/>
  <c r="Y229" i="31"/>
  <c r="Y234" i="31"/>
  <c r="T877" i="31"/>
  <c r="T876" i="31"/>
  <c r="Y879" i="31"/>
  <c r="Y876" i="31"/>
  <c r="T236" i="31"/>
  <c r="Y877" i="31"/>
  <c r="T874" i="31"/>
  <c r="T229" i="31"/>
  <c r="Y236" i="31"/>
  <c r="T879" i="31"/>
  <c r="T234" i="31"/>
  <c r="Y229" i="19"/>
  <c r="Y234" i="19"/>
  <c r="Y876" i="19"/>
  <c r="Y879" i="19"/>
  <c r="Y877" i="19"/>
  <c r="P671" i="1"/>
  <c r="S670" i="1"/>
  <c r="R670" i="1"/>
  <c r="P672" i="1"/>
  <c r="Q670" i="1"/>
  <c r="P673" i="1"/>
  <c r="O644" i="1"/>
  <c r="O2552" i="1" s="1"/>
  <c r="T234" i="19"/>
  <c r="Y236" i="19"/>
  <c r="V670" i="1"/>
  <c r="T877" i="19"/>
  <c r="T236" i="19"/>
  <c r="T876" i="19"/>
  <c r="T879" i="19"/>
  <c r="J678" i="19"/>
  <c r="T874" i="19"/>
  <c r="P853" i="1"/>
  <c r="F11" i="7"/>
  <c r="S15" i="11" s="1"/>
  <c r="I2552" i="1"/>
  <c r="I2556" i="1"/>
  <c r="S673" i="32" l="1"/>
  <c r="Q673" i="32"/>
  <c r="R673" i="32"/>
  <c r="O2552" i="31"/>
  <c r="P644" i="31"/>
  <c r="Q672" i="32"/>
  <c r="S672" i="32"/>
  <c r="R672" i="32"/>
  <c r="O2552" i="32"/>
  <c r="P644" i="32"/>
  <c r="S672" i="31"/>
  <c r="R672" i="31"/>
  <c r="Q672" i="31"/>
  <c r="S671" i="31"/>
  <c r="R671" i="31"/>
  <c r="Q671" i="31"/>
  <c r="S671" i="32"/>
  <c r="R671" i="32"/>
  <c r="Q671" i="32"/>
  <c r="Q673" i="31"/>
  <c r="S673" i="31"/>
  <c r="R673" i="31"/>
  <c r="T670" i="32"/>
  <c r="T670" i="31"/>
  <c r="P644" i="1"/>
  <c r="F10" i="7"/>
  <c r="S673" i="1"/>
  <c r="R673" i="1"/>
  <c r="Q673" i="1"/>
  <c r="S672" i="1"/>
  <c r="R672" i="1"/>
  <c r="Q672" i="1"/>
  <c r="T670" i="19"/>
  <c r="W670" i="1"/>
  <c r="S671" i="1"/>
  <c r="R671" i="1"/>
  <c r="Q671" i="1"/>
  <c r="S853" i="1"/>
  <c r="R853" i="1"/>
  <c r="Q853" i="1"/>
  <c r="S15" i="12"/>
  <c r="S644" i="31" l="1"/>
  <c r="Q644" i="31"/>
  <c r="R644" i="31"/>
  <c r="S644" i="32"/>
  <c r="R644" i="32"/>
  <c r="Q644" i="32"/>
  <c r="Y670" i="32"/>
  <c r="T672" i="32"/>
  <c r="T671" i="32"/>
  <c r="T673" i="32"/>
  <c r="T853" i="32"/>
  <c r="T853" i="31"/>
  <c r="Y670" i="31"/>
  <c r="T671" i="31"/>
  <c r="T672" i="31"/>
  <c r="T673" i="31"/>
  <c r="T672" i="19"/>
  <c r="T671" i="19"/>
  <c r="T673" i="19"/>
  <c r="R644" i="1"/>
  <c r="Q644" i="1"/>
  <c r="S644" i="1"/>
  <c r="Y670" i="19"/>
  <c r="S14" i="11"/>
  <c r="S14" i="12"/>
  <c r="T853" i="19"/>
  <c r="F2466" i="1"/>
  <c r="F2464" i="1"/>
  <c r="F2463" i="1"/>
  <c r="F2462" i="1"/>
  <c r="F2465" i="1"/>
  <c r="F2460" i="1"/>
  <c r="F2458" i="1"/>
  <c r="F2457" i="1"/>
  <c r="F2456" i="1"/>
  <c r="F2459" i="1"/>
  <c r="F2454" i="1"/>
  <c r="F2452" i="1"/>
  <c r="F2451" i="1"/>
  <c r="F2450" i="1"/>
  <c r="F2453" i="1"/>
  <c r="F2448" i="1"/>
  <c r="F2446" i="1"/>
  <c r="F2445" i="1"/>
  <c r="F2444" i="1"/>
  <c r="F2447" i="1"/>
  <c r="F2442" i="1"/>
  <c r="F2440" i="1"/>
  <c r="F2439" i="1"/>
  <c r="F2438" i="1"/>
  <c r="F2441" i="1"/>
  <c r="F2436" i="1"/>
  <c r="F2434" i="1"/>
  <c r="F2433" i="1"/>
  <c r="F2432" i="1"/>
  <c r="F2435" i="1"/>
  <c r="F2430" i="1"/>
  <c r="F2428" i="1"/>
  <c r="F2427" i="1"/>
  <c r="F2426" i="1"/>
  <c r="F2429" i="1"/>
  <c r="F2424" i="1"/>
  <c r="F2422" i="1"/>
  <c r="F2421" i="1"/>
  <c r="F2420" i="1"/>
  <c r="F2423" i="1"/>
  <c r="F2418" i="1"/>
  <c r="F2416" i="1"/>
  <c r="F2415" i="1"/>
  <c r="F2414" i="1"/>
  <c r="F2415" i="32" l="1"/>
  <c r="F2415" i="31"/>
  <c r="F2429" i="32"/>
  <c r="F2429" i="31"/>
  <c r="F2434" i="32"/>
  <c r="F2434" i="31"/>
  <c r="F2444" i="32"/>
  <c r="F2444" i="31"/>
  <c r="F2454" i="32"/>
  <c r="F2454" i="31"/>
  <c r="F2463" i="32"/>
  <c r="F2463" i="31"/>
  <c r="F2426" i="32"/>
  <c r="F2426" i="31"/>
  <c r="F2436" i="32"/>
  <c r="F2436" i="31"/>
  <c r="F2445" i="32"/>
  <c r="F2445" i="31"/>
  <c r="F2459" i="32"/>
  <c r="F2459" i="31"/>
  <c r="F2464" i="32"/>
  <c r="F2464" i="31"/>
  <c r="F2418" i="32"/>
  <c r="F2418" i="31"/>
  <c r="F2427" i="32"/>
  <c r="F2427" i="31"/>
  <c r="F2441" i="32"/>
  <c r="F2441" i="31"/>
  <c r="F2446" i="32"/>
  <c r="F2446" i="31"/>
  <c r="F2456" i="32"/>
  <c r="F2456" i="31"/>
  <c r="F2466" i="32"/>
  <c r="F2466" i="31"/>
  <c r="F2416" i="32"/>
  <c r="F2416" i="31"/>
  <c r="F2423" i="32"/>
  <c r="F2423" i="31"/>
  <c r="F2428" i="32"/>
  <c r="F2428" i="31"/>
  <c r="F2438" i="32"/>
  <c r="F2438" i="31"/>
  <c r="F2448" i="32"/>
  <c r="F2448" i="31"/>
  <c r="F2457" i="32"/>
  <c r="F2457" i="31"/>
  <c r="F2420" i="32"/>
  <c r="F2420" i="31"/>
  <c r="F2430" i="32"/>
  <c r="F2430" i="31"/>
  <c r="F2439" i="32"/>
  <c r="F2439" i="31"/>
  <c r="F2453" i="32"/>
  <c r="F2453" i="31"/>
  <c r="F2458" i="32"/>
  <c r="F2458" i="31"/>
  <c r="F2421" i="32"/>
  <c r="F2421" i="31"/>
  <c r="F2435" i="32"/>
  <c r="F2435" i="31"/>
  <c r="F2440" i="32"/>
  <c r="F2440" i="31"/>
  <c r="F2450" i="32"/>
  <c r="F2450" i="31"/>
  <c r="F2460" i="32"/>
  <c r="F2460" i="31"/>
  <c r="F2422" i="32"/>
  <c r="F2422" i="31"/>
  <c r="F2432" i="32"/>
  <c r="F2432" i="31"/>
  <c r="F2442" i="32"/>
  <c r="F2442" i="31"/>
  <c r="F2451" i="32"/>
  <c r="F2451" i="31"/>
  <c r="F2465" i="32"/>
  <c r="F2465" i="31"/>
  <c r="F2414" i="32"/>
  <c r="F2414" i="31"/>
  <c r="F2424" i="32"/>
  <c r="F2424" i="31"/>
  <c r="F2433" i="32"/>
  <c r="F2433" i="31"/>
  <c r="F2447" i="32"/>
  <c r="F2447" i="31"/>
  <c r="F2452" i="32"/>
  <c r="F2452" i="31"/>
  <c r="F2462" i="32"/>
  <c r="F2462" i="31"/>
  <c r="T644" i="32"/>
  <c r="T644" i="31"/>
  <c r="T644" i="19"/>
  <c r="H2413" i="19"/>
  <c r="G2429" i="1"/>
  <c r="F2429" i="19"/>
  <c r="G2433" i="1"/>
  <c r="F2433" i="19"/>
  <c r="H2437" i="19"/>
  <c r="G2453" i="1"/>
  <c r="F2453" i="19"/>
  <c r="G2457" i="1"/>
  <c r="F2457" i="19"/>
  <c r="H2461" i="19"/>
  <c r="G2418" i="1"/>
  <c r="F2418" i="19"/>
  <c r="G2458" i="1"/>
  <c r="F2458" i="19"/>
  <c r="G2466" i="1"/>
  <c r="F2466" i="19"/>
  <c r="G2426" i="1"/>
  <c r="F2426" i="19"/>
  <c r="G2450" i="1"/>
  <c r="F2450" i="19"/>
  <c r="G2427" i="1"/>
  <c r="F2427" i="19"/>
  <c r="H2431" i="19"/>
  <c r="G2447" i="1"/>
  <c r="F2447" i="19"/>
  <c r="G2451" i="1"/>
  <c r="F2451" i="19"/>
  <c r="H2455" i="19"/>
  <c r="G2442" i="1"/>
  <c r="F2442" i="19"/>
  <c r="G2420" i="1"/>
  <c r="F2420" i="19"/>
  <c r="G2428" i="1"/>
  <c r="F2428" i="19"/>
  <c r="G2436" i="1"/>
  <c r="F2436" i="19"/>
  <c r="G2444" i="1"/>
  <c r="F2444" i="19"/>
  <c r="G2452" i="1"/>
  <c r="F2452" i="19"/>
  <c r="G2460" i="1"/>
  <c r="F2460" i="19"/>
  <c r="G2434" i="1"/>
  <c r="F2434" i="19"/>
  <c r="G2423" i="1"/>
  <c r="F2423" i="19"/>
  <c r="G2421" i="1"/>
  <c r="F2421" i="19"/>
  <c r="H2425" i="19"/>
  <c r="G2441" i="1"/>
  <c r="F2441" i="19"/>
  <c r="G2445" i="1"/>
  <c r="F2445" i="19"/>
  <c r="H2449" i="19"/>
  <c r="G2465" i="1"/>
  <c r="F2465" i="19"/>
  <c r="G2430" i="1"/>
  <c r="F2430" i="19"/>
  <c r="G2438" i="1"/>
  <c r="F2438" i="19"/>
  <c r="G2446" i="1"/>
  <c r="F2446" i="19"/>
  <c r="G2454" i="1"/>
  <c r="F2454" i="19"/>
  <c r="G2462" i="1"/>
  <c r="F2462" i="19"/>
  <c r="G2422" i="1"/>
  <c r="F2422" i="19"/>
  <c r="G2415" i="1"/>
  <c r="F2415" i="19"/>
  <c r="H2419" i="19"/>
  <c r="G2435" i="1"/>
  <c r="F2435" i="19"/>
  <c r="G2439" i="1"/>
  <c r="F2439" i="19"/>
  <c r="H2443" i="19"/>
  <c r="G2459" i="1"/>
  <c r="F2459" i="19"/>
  <c r="G2463" i="1"/>
  <c r="F2463" i="19"/>
  <c r="G2414" i="1"/>
  <c r="F2414" i="19"/>
  <c r="G2416" i="1"/>
  <c r="F2416" i="19"/>
  <c r="G2424" i="1"/>
  <c r="F2424" i="19"/>
  <c r="G2432" i="1"/>
  <c r="F2432" i="19"/>
  <c r="G2440" i="1"/>
  <c r="F2440" i="19"/>
  <c r="G2448" i="1"/>
  <c r="F2448" i="19"/>
  <c r="G2456" i="1"/>
  <c r="F2456" i="19"/>
  <c r="G2464" i="1"/>
  <c r="F2464" i="19"/>
  <c r="O2499" i="1"/>
  <c r="G2420" i="19" l="1"/>
  <c r="G2416" i="19"/>
  <c r="G2416" i="32"/>
  <c r="G2416" i="31"/>
  <c r="G2430" i="32"/>
  <c r="G2430" i="31"/>
  <c r="G2445" i="32"/>
  <c r="G2445" i="31"/>
  <c r="G2421" i="32"/>
  <c r="G2421" i="31"/>
  <c r="G2420" i="32"/>
  <c r="G2420" i="31"/>
  <c r="G2451" i="32"/>
  <c r="G2451" i="31"/>
  <c r="G2427" i="32"/>
  <c r="G2427" i="31"/>
  <c r="G2456" i="32"/>
  <c r="G2456" i="31"/>
  <c r="G2459" i="32"/>
  <c r="G2459" i="31"/>
  <c r="G2435" i="32"/>
  <c r="G2435" i="31"/>
  <c r="G2422" i="32"/>
  <c r="G2422" i="31"/>
  <c r="G2460" i="32"/>
  <c r="G2460" i="31"/>
  <c r="G2466" i="19"/>
  <c r="G2466" i="32"/>
  <c r="G2466" i="31"/>
  <c r="G2432" i="32"/>
  <c r="G2432" i="31"/>
  <c r="G2446" i="32"/>
  <c r="G2446" i="31"/>
  <c r="G2436" i="32"/>
  <c r="G2436" i="31"/>
  <c r="G2414" i="32"/>
  <c r="G2414" i="31"/>
  <c r="G2465" i="32"/>
  <c r="G2465" i="31"/>
  <c r="G2441" i="32"/>
  <c r="G2441" i="31"/>
  <c r="G2423" i="32"/>
  <c r="G2423" i="31"/>
  <c r="G2442" i="32"/>
  <c r="G2442" i="31"/>
  <c r="G2447" i="32"/>
  <c r="G2447" i="31"/>
  <c r="G2450" i="31"/>
  <c r="G2450" i="32"/>
  <c r="G2448" i="32"/>
  <c r="G2448" i="31"/>
  <c r="G2462" i="32"/>
  <c r="G2462" i="31"/>
  <c r="G2452" i="32"/>
  <c r="G2452" i="31"/>
  <c r="G2458" i="32"/>
  <c r="G2458" i="31"/>
  <c r="G2457" i="32"/>
  <c r="G2457" i="31"/>
  <c r="G2433" i="32"/>
  <c r="G2433" i="31"/>
  <c r="G2424" i="19"/>
  <c r="G2424" i="32"/>
  <c r="G2424" i="31"/>
  <c r="G2438" i="32"/>
  <c r="G2438" i="31"/>
  <c r="G2428" i="32"/>
  <c r="G2428" i="31"/>
  <c r="G2464" i="32"/>
  <c r="G2464" i="31"/>
  <c r="G2463" i="32"/>
  <c r="G2463" i="31"/>
  <c r="G2439" i="32"/>
  <c r="G2439" i="31"/>
  <c r="G2415" i="32"/>
  <c r="G2415" i="31"/>
  <c r="G2434" i="32"/>
  <c r="G2434" i="31"/>
  <c r="G2426" i="32"/>
  <c r="G2426" i="31"/>
  <c r="G2440" i="32"/>
  <c r="G2440" i="31"/>
  <c r="G2454" i="32"/>
  <c r="G2454" i="31"/>
  <c r="G2444" i="32"/>
  <c r="G2444" i="31"/>
  <c r="G2418" i="32"/>
  <c r="G2418" i="31"/>
  <c r="G2453" i="32"/>
  <c r="G2453" i="31"/>
  <c r="G2429" i="32"/>
  <c r="G2429" i="31"/>
  <c r="G2434" i="19"/>
  <c r="G2430" i="19"/>
  <c r="G2428" i="19"/>
  <c r="G2454" i="19"/>
  <c r="G2422" i="19"/>
  <c r="G2427" i="19"/>
  <c r="G2426" i="19"/>
  <c r="G2438" i="19"/>
  <c r="G2457" i="19"/>
  <c r="G2421" i="19"/>
  <c r="G2415" i="19"/>
  <c r="G2463" i="19"/>
  <c r="G2435" i="19"/>
  <c r="G2462" i="19"/>
  <c r="G2423" i="19"/>
  <c r="G2444" i="19"/>
  <c r="G2451" i="19"/>
  <c r="G2413" i="1"/>
  <c r="G2414" i="19"/>
  <c r="G2455" i="1"/>
  <c r="G2433" i="19"/>
  <c r="G2459" i="19"/>
  <c r="G2458" i="19"/>
  <c r="G2456" i="19"/>
  <c r="G2464" i="19"/>
  <c r="G2445" i="19"/>
  <c r="G2452" i="19"/>
  <c r="G2460" i="19"/>
  <c r="G2461" i="1"/>
  <c r="G2425" i="1"/>
  <c r="G2447" i="19"/>
  <c r="G2429" i="19"/>
  <c r="G2418" i="19"/>
  <c r="G2441" i="19"/>
  <c r="G2443" i="1"/>
  <c r="G2419" i="1"/>
  <c r="G2465" i="19"/>
  <c r="G2450" i="19"/>
  <c r="G2440" i="19"/>
  <c r="G2453" i="19"/>
  <c r="G2448" i="19"/>
  <c r="G2442" i="19"/>
  <c r="G2449" i="1"/>
  <c r="G2439" i="19"/>
  <c r="G2446" i="19"/>
  <c r="G2437" i="1"/>
  <c r="G2431" i="1"/>
  <c r="G2432" i="19"/>
  <c r="G2436" i="19"/>
  <c r="F15" i="7"/>
  <c r="S19" i="11" s="1"/>
  <c r="P2499" i="1"/>
  <c r="P2500" i="1" s="1"/>
  <c r="G2437" i="32" l="1"/>
  <c r="G2437" i="31"/>
  <c r="G2413" i="32"/>
  <c r="G2413" i="31"/>
  <c r="G2419" i="32"/>
  <c r="G2419" i="31"/>
  <c r="G2443" i="32"/>
  <c r="G2443" i="31"/>
  <c r="G2449" i="32"/>
  <c r="G2449" i="31"/>
  <c r="G2455" i="32"/>
  <c r="G2455" i="31"/>
  <c r="G2425" i="32"/>
  <c r="G2425" i="31"/>
  <c r="G2461" i="32"/>
  <c r="G2461" i="31"/>
  <c r="G2431" i="32"/>
  <c r="G2431" i="31"/>
  <c r="I2413" i="1"/>
  <c r="I2455" i="1"/>
  <c r="G2455" i="19"/>
  <c r="G2413" i="19"/>
  <c r="I2461" i="1"/>
  <c r="G2419" i="19"/>
  <c r="G2425" i="19"/>
  <c r="I2419" i="1"/>
  <c r="I2449" i="1"/>
  <c r="I2425" i="1"/>
  <c r="G2449" i="19"/>
  <c r="G2461" i="19"/>
  <c r="I2443" i="1"/>
  <c r="G2443" i="19"/>
  <c r="I2431" i="1"/>
  <c r="I2437" i="1"/>
  <c r="G2437" i="19"/>
  <c r="G2431" i="19"/>
  <c r="S2500" i="1"/>
  <c r="R2500" i="1"/>
  <c r="Q2500" i="1"/>
  <c r="S19" i="12"/>
  <c r="S2499" i="1"/>
  <c r="R2499" i="1"/>
  <c r="Q2499" i="1"/>
  <c r="I2431" i="32" l="1"/>
  <c r="I2431" i="31"/>
  <c r="I2461" i="32"/>
  <c r="I2461" i="31"/>
  <c r="I2413" i="19"/>
  <c r="I2413" i="32"/>
  <c r="I2413" i="31"/>
  <c r="I2419" i="32"/>
  <c r="I2419" i="31"/>
  <c r="I2425" i="32"/>
  <c r="I2425" i="31"/>
  <c r="I2449" i="32"/>
  <c r="I2449" i="31"/>
  <c r="I2443" i="32"/>
  <c r="I2443" i="31"/>
  <c r="I2455" i="19"/>
  <c r="I2455" i="32"/>
  <c r="I2455" i="31"/>
  <c r="I2437" i="32"/>
  <c r="I2437" i="31"/>
  <c r="T2499" i="32"/>
  <c r="T2500" i="32"/>
  <c r="T2499" i="31"/>
  <c r="T2500" i="31"/>
  <c r="J2425" i="1"/>
  <c r="I2449" i="19"/>
  <c r="J2461" i="1"/>
  <c r="I2419" i="19"/>
  <c r="J2455" i="1"/>
  <c r="J2413" i="1"/>
  <c r="J2419" i="1"/>
  <c r="J2431" i="1"/>
  <c r="I2461" i="19"/>
  <c r="J2443" i="1"/>
  <c r="J2449" i="1"/>
  <c r="I2425" i="19"/>
  <c r="J2437" i="1"/>
  <c r="I2437" i="19"/>
  <c r="I2443" i="19"/>
  <c r="I2431" i="19"/>
  <c r="T2500" i="19"/>
  <c r="T2499" i="19"/>
  <c r="I188" i="1"/>
  <c r="I602" i="1"/>
  <c r="I612" i="1"/>
  <c r="I607" i="1"/>
  <c r="I617" i="1"/>
  <c r="I597" i="1"/>
  <c r="J2425" i="32" l="1"/>
  <c r="J2425" i="31"/>
  <c r="J2455" i="19"/>
  <c r="J2455" i="32"/>
  <c r="J2455" i="31"/>
  <c r="J2443" i="32"/>
  <c r="J2443" i="31"/>
  <c r="J2431" i="32"/>
  <c r="J2431" i="31"/>
  <c r="J2419" i="32"/>
  <c r="J2419" i="31"/>
  <c r="I188" i="32"/>
  <c r="I188" i="31"/>
  <c r="J2413" i="19"/>
  <c r="J2413" i="32"/>
  <c r="J2413" i="31"/>
  <c r="J2437" i="32"/>
  <c r="J2437" i="31"/>
  <c r="J2461" i="32"/>
  <c r="J2461" i="31"/>
  <c r="J2449" i="32"/>
  <c r="J2449" i="31"/>
  <c r="I617" i="32"/>
  <c r="I617" i="31"/>
  <c r="I607" i="32"/>
  <c r="I607" i="31"/>
  <c r="I602" i="32"/>
  <c r="I602" i="31"/>
  <c r="I597" i="32"/>
  <c r="I597" i="31"/>
  <c r="I612" i="32"/>
  <c r="I612" i="31"/>
  <c r="J2425" i="19"/>
  <c r="J2461" i="19"/>
  <c r="J2431" i="19"/>
  <c r="J2449" i="19"/>
  <c r="J2419" i="19"/>
  <c r="J2443" i="19"/>
  <c r="J2437" i="19"/>
  <c r="J612" i="1"/>
  <c r="I612" i="19"/>
  <c r="I617" i="19"/>
  <c r="J602" i="1"/>
  <c r="I602" i="19"/>
  <c r="I597" i="19"/>
  <c r="I607" i="19"/>
  <c r="J188" i="1"/>
  <c r="I188" i="19"/>
  <c r="J597" i="1"/>
  <c r="J607" i="1"/>
  <c r="J617" i="1"/>
  <c r="N2556" i="1"/>
  <c r="O2556" i="1"/>
  <c r="J602" i="32" l="1"/>
  <c r="J602" i="31"/>
  <c r="J188" i="32"/>
  <c r="J188" i="31"/>
  <c r="J617" i="32"/>
  <c r="J617" i="31"/>
  <c r="J607" i="32"/>
  <c r="J607" i="31"/>
  <c r="J612" i="32"/>
  <c r="J612" i="31"/>
  <c r="J597" i="32"/>
  <c r="J597" i="31"/>
  <c r="M602" i="1"/>
  <c r="N602" i="1" s="1"/>
  <c r="W602" i="1" s="1"/>
  <c r="J602" i="19"/>
  <c r="J597" i="19"/>
  <c r="J607" i="19"/>
  <c r="J617" i="19"/>
  <c r="J188" i="19"/>
  <c r="J612" i="19"/>
  <c r="I190" i="1"/>
  <c r="I190" i="32" l="1"/>
  <c r="I190" i="31"/>
  <c r="Y602" i="32"/>
  <c r="Y602" i="31"/>
  <c r="J190" i="1"/>
  <c r="I190" i="19"/>
  <c r="R602" i="1"/>
  <c r="Q602" i="1"/>
  <c r="S602" i="1"/>
  <c r="M190" i="1" l="1"/>
  <c r="N190" i="1" s="1"/>
  <c r="J190" i="32"/>
  <c r="J190" i="31"/>
  <c r="T602" i="32"/>
  <c r="T602" i="31"/>
  <c r="Y602" i="19"/>
  <c r="T602" i="19"/>
  <c r="J190" i="19"/>
  <c r="V190" i="1" l="1"/>
  <c r="W190" i="1" s="1"/>
  <c r="P192" i="1"/>
  <c r="S190" i="1"/>
  <c r="P191" i="1"/>
  <c r="R190" i="1"/>
  <c r="Q190" i="1"/>
  <c r="I121" i="1"/>
  <c r="I2551" i="1"/>
  <c r="F248" i="1"/>
  <c r="F247" i="1"/>
  <c r="F246" i="1"/>
  <c r="F245" i="1"/>
  <c r="F244" i="1"/>
  <c r="F243" i="1"/>
  <c r="F2106" i="1"/>
  <c r="N5" i="2"/>
  <c r="T5" i="2"/>
  <c r="F2112" i="1"/>
  <c r="N6" i="2"/>
  <c r="O6" i="2"/>
  <c r="O7" i="2" s="1"/>
  <c r="F2118" i="1"/>
  <c r="N7" i="2"/>
  <c r="T7" i="2"/>
  <c r="F2124" i="1"/>
  <c r="N8" i="2"/>
  <c r="T8" i="2"/>
  <c r="R9" i="2"/>
  <c r="F2132" i="1"/>
  <c r="F2133" i="1"/>
  <c r="F2134" i="1"/>
  <c r="R11" i="2"/>
  <c r="R12" i="2"/>
  <c r="P13" i="2"/>
  <c r="R13" i="2"/>
  <c r="R25" i="2" s="1"/>
  <c r="N14" i="2"/>
  <c r="P14" i="2"/>
  <c r="P15" i="2"/>
  <c r="R15" i="2"/>
  <c r="R27" i="2" s="1"/>
  <c r="P16" i="2"/>
  <c r="R16" i="2"/>
  <c r="R28" i="2" s="1"/>
  <c r="P17" i="2"/>
  <c r="R17" i="2"/>
  <c r="P18" i="2"/>
  <c r="R18" i="2"/>
  <c r="P19" i="2"/>
  <c r="R19" i="2"/>
  <c r="P20" i="2"/>
  <c r="R20" i="2"/>
  <c r="P21" i="2"/>
  <c r="P22" i="2"/>
  <c r="R22" i="2"/>
  <c r="P23" i="2"/>
  <c r="P24" i="2"/>
  <c r="R26" i="2"/>
  <c r="N29" i="2"/>
  <c r="O29" i="2"/>
  <c r="T29" i="2"/>
  <c r="N30" i="2"/>
  <c r="O30" i="2"/>
  <c r="T30" i="2"/>
  <c r="N31" i="2"/>
  <c r="O31" i="2"/>
  <c r="T31" i="2"/>
  <c r="N32" i="2"/>
  <c r="O32" i="2"/>
  <c r="T32" i="2"/>
  <c r="N33" i="2"/>
  <c r="O33" i="2"/>
  <c r="T33" i="2"/>
  <c r="R34" i="2"/>
  <c r="R35" i="2"/>
  <c r="R36" i="2"/>
  <c r="R37" i="2"/>
  <c r="R38" i="2"/>
  <c r="N39" i="2"/>
  <c r="R39" i="2"/>
  <c r="N40" i="2"/>
  <c r="R40" i="2"/>
  <c r="N41" i="2"/>
  <c r="R41" i="2"/>
  <c r="N42" i="2"/>
  <c r="R42" i="2"/>
  <c r="N43" i="2"/>
  <c r="R43" i="2"/>
  <c r="N44" i="2"/>
  <c r="R44" i="2"/>
  <c r="N45" i="2"/>
  <c r="R45" i="2"/>
  <c r="N46" i="2"/>
  <c r="O46" i="2"/>
  <c r="R46" i="2"/>
  <c r="T46" i="2"/>
  <c r="N47" i="2"/>
  <c r="O47" i="2"/>
  <c r="R47" i="2"/>
  <c r="T47" i="2"/>
  <c r="N48" i="2"/>
  <c r="O48" i="2"/>
  <c r="Q48" i="2"/>
  <c r="R48" i="2"/>
  <c r="T48" i="2"/>
  <c r="N49" i="2"/>
  <c r="O49" i="2"/>
  <c r="R49" i="2"/>
  <c r="T49" i="2"/>
  <c r="N50" i="2"/>
  <c r="O50" i="2"/>
  <c r="R50" i="2"/>
  <c r="T50" i="2"/>
  <c r="P51" i="2"/>
  <c r="P52" i="2"/>
  <c r="O53" i="2"/>
  <c r="P53" i="2"/>
  <c r="Q53" i="2"/>
  <c r="T53" i="2"/>
  <c r="P54" i="2"/>
  <c r="P55" i="2"/>
  <c r="N56" i="2"/>
  <c r="R56" i="2"/>
  <c r="N57" i="2"/>
  <c r="R57" i="2"/>
  <c r="N58" i="2"/>
  <c r="O58" i="2"/>
  <c r="Q58" i="2"/>
  <c r="R58" i="2"/>
  <c r="W58" i="2" s="1"/>
  <c r="N59" i="2"/>
  <c r="R59" i="2"/>
  <c r="N60" i="2"/>
  <c r="R60" i="2"/>
  <c r="P61" i="2"/>
  <c r="N63" i="2"/>
  <c r="R63" i="2"/>
  <c r="N64" i="2"/>
  <c r="R64" i="2"/>
  <c r="N65" i="2"/>
  <c r="R65" i="2"/>
  <c r="F2384" i="1"/>
  <c r="F2385" i="1"/>
  <c r="F2386" i="1"/>
  <c r="N66" i="2"/>
  <c r="J66" i="2" s="1"/>
  <c r="F2388" i="1"/>
  <c r="F2389" i="1"/>
  <c r="F2390" i="1"/>
  <c r="N67" i="2"/>
  <c r="J67" i="2" s="1"/>
  <c r="F2392" i="1"/>
  <c r="F2393" i="1"/>
  <c r="F2394" i="1"/>
  <c r="N68" i="2"/>
  <c r="J68" i="2" s="1"/>
  <c r="F2396" i="1"/>
  <c r="F2397" i="1"/>
  <c r="F2398" i="1"/>
  <c r="N69" i="2"/>
  <c r="J69" i="2" s="1"/>
  <c r="F2400" i="1"/>
  <c r="F2401" i="1"/>
  <c r="F2402" i="1"/>
  <c r="N70" i="2"/>
  <c r="J70" i="2" s="1"/>
  <c r="F2404" i="1"/>
  <c r="F2405" i="1"/>
  <c r="F2406" i="1"/>
  <c r="N71" i="2"/>
  <c r="J71" i="2" s="1"/>
  <c r="F2411" i="1"/>
  <c r="F2408" i="1"/>
  <c r="F2409" i="1"/>
  <c r="F2410" i="1"/>
  <c r="F2412" i="1"/>
  <c r="I1664" i="1"/>
  <c r="I1685" i="1"/>
  <c r="I1686" i="1"/>
  <c r="I241" i="1"/>
  <c r="R52" i="2"/>
  <c r="N36" i="2"/>
  <c r="I22" i="1"/>
  <c r="I1662" i="1"/>
  <c r="I1684" i="1"/>
  <c r="I1663" i="1"/>
  <c r="I240" i="1"/>
  <c r="I591" i="1"/>
  <c r="I1670" i="1"/>
  <c r="I119" i="1"/>
  <c r="I1631" i="1"/>
  <c r="I23" i="1"/>
  <c r="J49" i="2" l="1"/>
  <c r="T190" i="31"/>
  <c r="T190" i="19"/>
  <c r="T190" i="32"/>
  <c r="S191" i="1"/>
  <c r="R191" i="1"/>
  <c r="Q191" i="1"/>
  <c r="S192" i="1"/>
  <c r="R192" i="1"/>
  <c r="Q192" i="1"/>
  <c r="Y190" i="31"/>
  <c r="Y190" i="32"/>
  <c r="Y190" i="19"/>
  <c r="J65" i="2"/>
  <c r="F243" i="31"/>
  <c r="F243" i="32"/>
  <c r="F244" i="32"/>
  <c r="F244" i="31"/>
  <c r="F245" i="32"/>
  <c r="F245" i="31"/>
  <c r="F246" i="32"/>
  <c r="F246" i="31"/>
  <c r="F247" i="32"/>
  <c r="F247" i="31"/>
  <c r="F248" i="32"/>
  <c r="F248" i="31"/>
  <c r="I1684" i="32"/>
  <c r="I1684" i="31"/>
  <c r="F2405" i="32"/>
  <c r="F2405" i="31"/>
  <c r="F2397" i="32"/>
  <c r="F2397" i="31"/>
  <c r="F2389" i="32"/>
  <c r="F2389" i="31"/>
  <c r="F2134" i="32"/>
  <c r="F2134" i="31"/>
  <c r="F2412" i="32"/>
  <c r="F2412" i="31"/>
  <c r="F2396" i="32"/>
  <c r="F2396" i="31"/>
  <c r="F2388" i="32"/>
  <c r="F2388" i="31"/>
  <c r="F2133" i="32"/>
  <c r="F2133" i="31"/>
  <c r="F2118" i="32"/>
  <c r="F2118" i="31"/>
  <c r="I1662" i="32"/>
  <c r="I1662" i="31"/>
  <c r="F2404" i="32"/>
  <c r="F2404" i="31"/>
  <c r="I1631" i="32"/>
  <c r="I1631" i="31"/>
  <c r="I22" i="32"/>
  <c r="I22" i="31"/>
  <c r="F2410" i="32"/>
  <c r="F2410" i="31"/>
  <c r="F2132" i="32"/>
  <c r="F2132" i="31"/>
  <c r="F2409" i="32"/>
  <c r="F2409" i="31"/>
  <c r="F2402" i="32"/>
  <c r="F2402" i="31"/>
  <c r="F2394" i="32"/>
  <c r="F2394" i="31"/>
  <c r="F2386" i="32"/>
  <c r="F2386" i="31"/>
  <c r="F2408" i="32"/>
  <c r="F2408" i="31"/>
  <c r="F2401" i="32"/>
  <c r="F2401" i="31"/>
  <c r="F2393" i="32"/>
  <c r="F2393" i="31"/>
  <c r="F2385" i="32"/>
  <c r="F2385" i="31"/>
  <c r="F2112" i="32"/>
  <c r="F2112" i="31"/>
  <c r="I23" i="32"/>
  <c r="I23" i="31"/>
  <c r="I1670" i="32"/>
  <c r="I1670" i="31"/>
  <c r="I591" i="32"/>
  <c r="I591" i="31"/>
  <c r="I241" i="32"/>
  <c r="I241" i="31"/>
  <c r="F2400" i="32"/>
  <c r="F2400" i="31"/>
  <c r="F2384" i="32"/>
  <c r="F2384" i="31"/>
  <c r="I119" i="32"/>
  <c r="I119" i="31"/>
  <c r="F2411" i="32"/>
  <c r="F2411" i="31"/>
  <c r="F2392" i="32"/>
  <c r="F2392" i="31"/>
  <c r="I240" i="32"/>
  <c r="I240" i="31"/>
  <c r="I1686" i="32"/>
  <c r="I1686" i="31"/>
  <c r="F2124" i="32"/>
  <c r="F2124" i="31"/>
  <c r="I1664" i="32"/>
  <c r="I1664" i="31"/>
  <c r="I1663" i="32"/>
  <c r="I1663" i="31"/>
  <c r="I1685" i="32"/>
  <c r="I1685" i="31"/>
  <c r="F2406" i="32"/>
  <c r="F2406" i="31"/>
  <c r="F2398" i="32"/>
  <c r="F2398" i="31"/>
  <c r="F2390" i="32"/>
  <c r="F2390" i="31"/>
  <c r="F2106" i="32"/>
  <c r="F2106" i="31"/>
  <c r="I121" i="32"/>
  <c r="I121" i="31"/>
  <c r="J7" i="2"/>
  <c r="J14" i="2"/>
  <c r="J6" i="2"/>
  <c r="J63" i="2"/>
  <c r="J48" i="2"/>
  <c r="J64" i="2"/>
  <c r="J47" i="2"/>
  <c r="H19" i="2"/>
  <c r="N38" i="2"/>
  <c r="N37" i="2"/>
  <c r="J58" i="2"/>
  <c r="J50" i="2"/>
  <c r="J46" i="2"/>
  <c r="R32" i="2"/>
  <c r="H32" i="2" s="1"/>
  <c r="F2236" i="1" s="1"/>
  <c r="R53" i="2"/>
  <c r="G53" i="2" s="1"/>
  <c r="F2333" i="1" s="1"/>
  <c r="H63" i="2"/>
  <c r="F2374" i="1" s="1"/>
  <c r="F63" i="2"/>
  <c r="F2372" i="1" s="1"/>
  <c r="G63" i="2"/>
  <c r="H58" i="2"/>
  <c r="H50" i="2"/>
  <c r="F2320" i="1" s="1"/>
  <c r="H43" i="2"/>
  <c r="G43" i="2"/>
  <c r="F2283" i="1" s="1"/>
  <c r="F43" i="2"/>
  <c r="W43" i="2"/>
  <c r="J43" i="2" s="1"/>
  <c r="H39" i="2"/>
  <c r="G39" i="2"/>
  <c r="F39" i="2"/>
  <c r="F2266" i="1" s="1"/>
  <c r="W39" i="2"/>
  <c r="J39" i="2" s="1"/>
  <c r="F15" i="2"/>
  <c r="F2152" i="1" s="1"/>
  <c r="G15" i="2"/>
  <c r="F2153" i="1" s="1"/>
  <c r="H15" i="2"/>
  <c r="F2154" i="1" s="1"/>
  <c r="G58" i="2"/>
  <c r="F2353" i="1" s="1"/>
  <c r="F58" i="2"/>
  <c r="F2352" i="1" s="1"/>
  <c r="E58" i="2"/>
  <c r="L58" i="2"/>
  <c r="F2322" i="1"/>
  <c r="F50" i="2"/>
  <c r="F2318" i="1" s="1"/>
  <c r="E50" i="2"/>
  <c r="F2321" i="1" s="1"/>
  <c r="G50" i="2"/>
  <c r="L50" i="2"/>
  <c r="H48" i="2"/>
  <c r="H46" i="2"/>
  <c r="F2296" i="1" s="1"/>
  <c r="E33" i="2"/>
  <c r="F2243" i="1" s="1"/>
  <c r="G2243" i="1" s="1"/>
  <c r="L33" i="2"/>
  <c r="F2244" i="1" s="1"/>
  <c r="F14" i="2"/>
  <c r="G14" i="2"/>
  <c r="F2149" i="1" s="1"/>
  <c r="H14" i="2"/>
  <c r="F2150" i="1" s="1"/>
  <c r="F6" i="2"/>
  <c r="F2110" i="1" s="1"/>
  <c r="E6" i="2"/>
  <c r="F2113" i="1" s="1"/>
  <c r="G6" i="2"/>
  <c r="L6" i="2"/>
  <c r="G48" i="2"/>
  <c r="F2307" i="1" s="1"/>
  <c r="F48" i="2"/>
  <c r="E48" i="2"/>
  <c r="F2309" i="1" s="1"/>
  <c r="L48" i="2"/>
  <c r="G46" i="2"/>
  <c r="F46" i="2"/>
  <c r="E46" i="2"/>
  <c r="L46" i="2"/>
  <c r="F2298" i="1" s="1"/>
  <c r="G42" i="2"/>
  <c r="F2279" i="1" s="1"/>
  <c r="H42" i="2"/>
  <c r="F42" i="2"/>
  <c r="F2278" i="1" s="1"/>
  <c r="W42" i="2"/>
  <c r="J42" i="2" s="1"/>
  <c r="E30" i="2"/>
  <c r="F2225" i="1" s="1"/>
  <c r="L30" i="2"/>
  <c r="F2226" i="1" s="1"/>
  <c r="H18" i="2"/>
  <c r="H9" i="2"/>
  <c r="F2130" i="1" s="1"/>
  <c r="G9" i="2"/>
  <c r="F2129" i="1" s="1"/>
  <c r="F9" i="2"/>
  <c r="G60" i="2"/>
  <c r="F2361" i="1" s="1"/>
  <c r="H60" i="2"/>
  <c r="F2362" i="1" s="1"/>
  <c r="F60" i="2"/>
  <c r="W60" i="2"/>
  <c r="J60" i="2" s="1"/>
  <c r="H57" i="2"/>
  <c r="F2350" i="1" s="1"/>
  <c r="G57" i="2"/>
  <c r="F2349" i="1" s="1"/>
  <c r="F57" i="2"/>
  <c r="F2348" i="1" s="1"/>
  <c r="W57" i="2"/>
  <c r="J57" i="2" s="1"/>
  <c r="G38" i="2"/>
  <c r="F2263" i="1" s="1"/>
  <c r="H38" i="2"/>
  <c r="F2264" i="1" s="1"/>
  <c r="F38" i="2"/>
  <c r="F2262" i="1" s="1"/>
  <c r="H22" i="2"/>
  <c r="F2190" i="1" s="1"/>
  <c r="F22" i="2"/>
  <c r="F2188" i="1" s="1"/>
  <c r="G22" i="2"/>
  <c r="F2189" i="1" s="1"/>
  <c r="H65" i="2"/>
  <c r="G65" i="2"/>
  <c r="F2381" i="1" s="1"/>
  <c r="F65" i="2"/>
  <c r="F2380" i="1" s="1"/>
  <c r="E53" i="2"/>
  <c r="L53" i="2"/>
  <c r="H49" i="2"/>
  <c r="F2314" i="1" s="1"/>
  <c r="H45" i="2"/>
  <c r="F2292" i="1" s="1"/>
  <c r="G45" i="2"/>
  <c r="F45" i="2"/>
  <c r="F2290" i="1" s="1"/>
  <c r="W45" i="2"/>
  <c r="J45" i="2" s="1"/>
  <c r="H41" i="2"/>
  <c r="F41" i="2"/>
  <c r="F2274" i="1" s="1"/>
  <c r="G41" i="2"/>
  <c r="W41" i="2"/>
  <c r="J41" i="2" s="1"/>
  <c r="H37" i="2"/>
  <c r="G37" i="2"/>
  <c r="F2259" i="1" s="1"/>
  <c r="F37" i="2"/>
  <c r="E32" i="2"/>
  <c r="L32" i="2"/>
  <c r="F2238" i="1" s="1"/>
  <c r="H17" i="2"/>
  <c r="G13" i="2"/>
  <c r="F2145" i="1" s="1"/>
  <c r="F13" i="2"/>
  <c r="F2144" i="1" s="1"/>
  <c r="H13" i="2"/>
  <c r="H59" i="2"/>
  <c r="F59" i="2"/>
  <c r="F2356" i="1" s="1"/>
  <c r="G59" i="2"/>
  <c r="F2357" i="1" s="1"/>
  <c r="W59" i="2"/>
  <c r="J59" i="2" s="1"/>
  <c r="G56" i="2"/>
  <c r="F2345" i="1" s="1"/>
  <c r="H56" i="2"/>
  <c r="F2346" i="1" s="1"/>
  <c r="F56" i="2"/>
  <c r="W56" i="2"/>
  <c r="J56" i="2" s="1"/>
  <c r="H52" i="2"/>
  <c r="F2330" i="1" s="1"/>
  <c r="G52" i="2"/>
  <c r="F2329" i="1" s="1"/>
  <c r="F52" i="2"/>
  <c r="G49" i="2"/>
  <c r="F49" i="2"/>
  <c r="E49" i="2"/>
  <c r="F2315" i="1" s="1"/>
  <c r="L49" i="2"/>
  <c r="F2316" i="1" s="1"/>
  <c r="H47" i="2"/>
  <c r="F2302" i="1" s="1"/>
  <c r="H36" i="2"/>
  <c r="G36" i="2"/>
  <c r="F2255" i="1" s="1"/>
  <c r="F36" i="2"/>
  <c r="F2254" i="1" s="1"/>
  <c r="E29" i="2"/>
  <c r="F2219" i="1" s="1"/>
  <c r="L29" i="2"/>
  <c r="F2220" i="1" s="1"/>
  <c r="G12" i="2"/>
  <c r="F2141" i="1" s="1"/>
  <c r="H12" i="2"/>
  <c r="F12" i="2"/>
  <c r="F2140" i="1" s="1"/>
  <c r="G7" i="2"/>
  <c r="F2117" i="1" s="1"/>
  <c r="F7" i="2"/>
  <c r="E7" i="2"/>
  <c r="L7" i="2"/>
  <c r="W32" i="2"/>
  <c r="W37" i="2" s="1"/>
  <c r="H64" i="2"/>
  <c r="F2378" i="1" s="1"/>
  <c r="F64" i="2"/>
  <c r="F2376" i="1" s="1"/>
  <c r="G64" i="2"/>
  <c r="F2377" i="1" s="1"/>
  <c r="G47" i="2"/>
  <c r="F2301" i="1" s="1"/>
  <c r="F47" i="2"/>
  <c r="F2300" i="1" s="1"/>
  <c r="E47" i="2"/>
  <c r="F2303" i="1" s="1"/>
  <c r="L47" i="2"/>
  <c r="F2304" i="1" s="1"/>
  <c r="H44" i="2"/>
  <c r="G44" i="2"/>
  <c r="F44" i="2"/>
  <c r="F2286" i="1" s="1"/>
  <c r="W44" i="2"/>
  <c r="J44" i="2" s="1"/>
  <c r="G40" i="2"/>
  <c r="F2271" i="1" s="1"/>
  <c r="H40" i="2"/>
  <c r="F2272" i="1" s="1"/>
  <c r="F40" i="2"/>
  <c r="W40" i="2"/>
  <c r="J40" i="2" s="1"/>
  <c r="F35" i="2"/>
  <c r="F2250" i="1" s="1"/>
  <c r="H35" i="2"/>
  <c r="F2252" i="1" s="1"/>
  <c r="G35" i="2"/>
  <c r="F2251" i="1" s="1"/>
  <c r="H20" i="2"/>
  <c r="F16" i="2"/>
  <c r="H16" i="2"/>
  <c r="F2158" i="1" s="1"/>
  <c r="G16" i="2"/>
  <c r="F2157" i="1" s="1"/>
  <c r="H11" i="2"/>
  <c r="F2138" i="1" s="1"/>
  <c r="F11" i="2"/>
  <c r="F2136" i="1" s="1"/>
  <c r="G11" i="2"/>
  <c r="F2137" i="1" s="1"/>
  <c r="F34" i="2"/>
  <c r="F2246" i="1" s="1"/>
  <c r="H34" i="2"/>
  <c r="F2248" i="1" s="1"/>
  <c r="G34" i="2"/>
  <c r="F2247" i="1" s="1"/>
  <c r="F2231" i="1"/>
  <c r="E31" i="2"/>
  <c r="L31" i="2"/>
  <c r="I1684" i="19"/>
  <c r="I1686" i="19"/>
  <c r="G2410" i="1"/>
  <c r="F2410" i="19"/>
  <c r="G2133" i="1"/>
  <c r="F2133" i="19"/>
  <c r="G2118" i="1"/>
  <c r="F2118" i="19"/>
  <c r="G244" i="1"/>
  <c r="F244" i="19"/>
  <c r="G2406" i="1"/>
  <c r="F2406" i="19"/>
  <c r="G2409" i="1"/>
  <c r="F2409" i="19"/>
  <c r="G2402" i="1"/>
  <c r="F2402" i="19"/>
  <c r="G2394" i="1"/>
  <c r="F2394" i="19"/>
  <c r="G2386" i="1"/>
  <c r="F2386" i="19"/>
  <c r="G2132" i="1"/>
  <c r="F2132" i="19"/>
  <c r="G245" i="1"/>
  <c r="F245" i="19"/>
  <c r="G2390" i="1"/>
  <c r="F2390" i="19"/>
  <c r="J23" i="1"/>
  <c r="I23" i="19"/>
  <c r="I1662" i="19"/>
  <c r="I1685" i="19"/>
  <c r="J22" i="1"/>
  <c r="I22" i="19"/>
  <c r="I1664" i="19"/>
  <c r="G2408" i="1"/>
  <c r="F2408" i="19"/>
  <c r="G2401" i="1"/>
  <c r="F2401" i="19"/>
  <c r="G2393" i="1"/>
  <c r="F2393" i="19"/>
  <c r="G2385" i="1"/>
  <c r="F2385" i="19"/>
  <c r="G246" i="1"/>
  <c r="F246" i="19"/>
  <c r="G2411" i="1"/>
  <c r="F2411" i="19"/>
  <c r="G2400" i="1"/>
  <c r="F2400" i="19"/>
  <c r="G2392" i="1"/>
  <c r="F2392" i="19"/>
  <c r="G2384" i="1"/>
  <c r="F2384" i="19"/>
  <c r="G2112" i="1"/>
  <c r="F2112" i="19"/>
  <c r="G247" i="1"/>
  <c r="F247" i="19"/>
  <c r="G2398" i="1"/>
  <c r="F2398" i="19"/>
  <c r="J119" i="1"/>
  <c r="I119" i="19"/>
  <c r="I1670" i="19"/>
  <c r="G248" i="1"/>
  <c r="F248" i="19"/>
  <c r="I591" i="19"/>
  <c r="G2124" i="1"/>
  <c r="F2124" i="19"/>
  <c r="G2405" i="1"/>
  <c r="F2405" i="19"/>
  <c r="G2397" i="1"/>
  <c r="F2397" i="19"/>
  <c r="G2389" i="1"/>
  <c r="F2389" i="19"/>
  <c r="G2106" i="1"/>
  <c r="F2106" i="19"/>
  <c r="J240" i="1"/>
  <c r="I240" i="19"/>
  <c r="I1663" i="19"/>
  <c r="J241" i="1"/>
  <c r="I241" i="19"/>
  <c r="G2412" i="1"/>
  <c r="F2412" i="19"/>
  <c r="G2404" i="1"/>
  <c r="F2404" i="19"/>
  <c r="G2396" i="1"/>
  <c r="F2396" i="19"/>
  <c r="G2388" i="1"/>
  <c r="F2388" i="19"/>
  <c r="G2134" i="1"/>
  <c r="F2134" i="19"/>
  <c r="G243" i="1"/>
  <c r="F243" i="19"/>
  <c r="H2407" i="19"/>
  <c r="I1631" i="19"/>
  <c r="J121" i="1"/>
  <c r="I121" i="19"/>
  <c r="J1663" i="1"/>
  <c r="J1686" i="1"/>
  <c r="J1662" i="1"/>
  <c r="J1685" i="1"/>
  <c r="J1631" i="1"/>
  <c r="J1664" i="1"/>
  <c r="J1684" i="1"/>
  <c r="J1670" i="1"/>
  <c r="J591" i="1"/>
  <c r="F2168" i="1"/>
  <c r="F2354" i="1"/>
  <c r="F2174" i="1"/>
  <c r="N54" i="2"/>
  <c r="N52" i="2"/>
  <c r="J52" i="2" s="1"/>
  <c r="N51" i="2"/>
  <c r="R29" i="2"/>
  <c r="F29" i="2" s="1"/>
  <c r="F2216" i="1" s="1"/>
  <c r="F2373" i="1"/>
  <c r="R61" i="2"/>
  <c r="G61" i="2" s="1"/>
  <c r="N35" i="2"/>
  <c r="N34" i="2"/>
  <c r="R31" i="2"/>
  <c r="N20" i="2"/>
  <c r="N18" i="2"/>
  <c r="R30" i="2"/>
  <c r="F30" i="2" s="1"/>
  <c r="N19" i="2"/>
  <c r="R33" i="2"/>
  <c r="N13" i="2"/>
  <c r="J13" i="2" s="1"/>
  <c r="N17" i="2"/>
  <c r="I239" i="1"/>
  <c r="I561" i="1"/>
  <c r="I254" i="1"/>
  <c r="I139" i="1"/>
  <c r="I562" i="1"/>
  <c r="I1630" i="1"/>
  <c r="I253" i="1"/>
  <c r="I1628" i="1"/>
  <c r="I141" i="1"/>
  <c r="I249" i="1"/>
  <c r="I1675" i="1"/>
  <c r="I118" i="1"/>
  <c r="I1626" i="1"/>
  <c r="I251" i="1"/>
  <c r="I250" i="1"/>
  <c r="I252" i="1"/>
  <c r="I1627" i="1"/>
  <c r="I133" i="1"/>
  <c r="I140" i="1"/>
  <c r="F2360" i="1"/>
  <c r="F2256" i="1"/>
  <c r="F2237" i="1"/>
  <c r="O19" i="2"/>
  <c r="F2119" i="1"/>
  <c r="F2260" i="1"/>
  <c r="F2382" i="1"/>
  <c r="P26" i="2"/>
  <c r="F2111" i="1"/>
  <c r="I186" i="1"/>
  <c r="F2295" i="1"/>
  <c r="F2180" i="1"/>
  <c r="R21" i="2"/>
  <c r="G21" i="2" s="1"/>
  <c r="F2185" i="1" s="1"/>
  <c r="F2128" i="1"/>
  <c r="F2297" i="1"/>
  <c r="P28" i="2"/>
  <c r="F2294" i="1"/>
  <c r="F2148" i="1"/>
  <c r="F2156" i="1"/>
  <c r="F2232" i="1"/>
  <c r="F2146" i="1"/>
  <c r="R23" i="2"/>
  <c r="G23" i="2" s="1"/>
  <c r="F2193" i="1" s="1"/>
  <c r="F2258" i="1"/>
  <c r="N26" i="2"/>
  <c r="F2312" i="1"/>
  <c r="F2116" i="1"/>
  <c r="F2120" i="1"/>
  <c r="P62" i="2"/>
  <c r="N53" i="2"/>
  <c r="F2344" i="1"/>
  <c r="R51" i="2"/>
  <c r="F51" i="2" s="1"/>
  <c r="F2114" i="1"/>
  <c r="O5" i="2"/>
  <c r="J5" i="2" s="1"/>
  <c r="O8" i="2"/>
  <c r="J8" i="2" s="1"/>
  <c r="F2282" i="1"/>
  <c r="F2284" i="1"/>
  <c r="R55" i="2"/>
  <c r="H55" i="2" s="1"/>
  <c r="F2162" i="1"/>
  <c r="P27" i="2"/>
  <c r="F2310" i="1"/>
  <c r="F2267" i="1"/>
  <c r="F2268" i="1"/>
  <c r="F2306" i="1"/>
  <c r="F2308" i="1"/>
  <c r="N61" i="2"/>
  <c r="N55" i="2"/>
  <c r="F2358" i="1"/>
  <c r="F2313" i="1"/>
  <c r="F2328" i="1"/>
  <c r="F2319" i="1"/>
  <c r="F2288" i="1"/>
  <c r="F2287" i="1"/>
  <c r="R54" i="2"/>
  <c r="F54" i="2" s="1"/>
  <c r="F2291" i="1"/>
  <c r="F2280" i="1"/>
  <c r="N15" i="2"/>
  <c r="J15" i="2" s="1"/>
  <c r="N16" i="2"/>
  <c r="J16" i="2" s="1"/>
  <c r="N10" i="2"/>
  <c r="J10" i="2" s="1"/>
  <c r="F2276" i="1"/>
  <c r="F2275" i="1"/>
  <c r="R24" i="2"/>
  <c r="G24" i="2" s="1"/>
  <c r="F2142" i="1"/>
  <c r="F2270" i="1"/>
  <c r="P25" i="2"/>
  <c r="O18" i="2"/>
  <c r="F2243" i="19" l="1"/>
  <c r="H53" i="2"/>
  <c r="F2334" i="1" s="1"/>
  <c r="J53" i="2"/>
  <c r="F53" i="2"/>
  <c r="F2332" i="1" s="1"/>
  <c r="J54" i="2"/>
  <c r="J19" i="2"/>
  <c r="G244" i="19"/>
  <c r="I244" i="1"/>
  <c r="T192" i="31"/>
  <c r="T192" i="32"/>
  <c r="T192" i="19"/>
  <c r="T191" i="32"/>
  <c r="T191" i="31"/>
  <c r="T191" i="19"/>
  <c r="G2138" i="1"/>
  <c r="F2262" i="19"/>
  <c r="G2262" i="1"/>
  <c r="G2262" i="19" s="1"/>
  <c r="F2231" i="19"/>
  <c r="F2220" i="19"/>
  <c r="G2220" i="1"/>
  <c r="G2188" i="1"/>
  <c r="J32" i="2"/>
  <c r="F32" i="2"/>
  <c r="F2234" i="1" s="1"/>
  <c r="G32" i="2"/>
  <c r="F2235" i="1" s="1"/>
  <c r="J51" i="2"/>
  <c r="F2275" i="32"/>
  <c r="F2275" i="31"/>
  <c r="F2280" i="32"/>
  <c r="F2280" i="31"/>
  <c r="F2291" i="32"/>
  <c r="F2291" i="31"/>
  <c r="F2303" i="32"/>
  <c r="F2303" i="31"/>
  <c r="F2310" i="32"/>
  <c r="F2310" i="31"/>
  <c r="F2145" i="32"/>
  <c r="F2145" i="31"/>
  <c r="F2149" i="32"/>
  <c r="F2149" i="31"/>
  <c r="F2157" i="32"/>
  <c r="F2157" i="31"/>
  <c r="F2185" i="32"/>
  <c r="F2185" i="31"/>
  <c r="F2382" i="32"/>
  <c r="F2382" i="31"/>
  <c r="F2360" i="32"/>
  <c r="F2360" i="31"/>
  <c r="I244" i="32"/>
  <c r="I253" i="32"/>
  <c r="I253" i="31"/>
  <c r="J1684" i="32"/>
  <c r="J1684" i="31"/>
  <c r="G2106" i="32"/>
  <c r="G2106" i="31"/>
  <c r="G247" i="32"/>
  <c r="G247" i="31"/>
  <c r="G2401" i="32"/>
  <c r="G2401" i="31"/>
  <c r="J22" i="32"/>
  <c r="J22" i="31"/>
  <c r="G2132" i="32"/>
  <c r="G2132" i="31"/>
  <c r="G2133" i="32"/>
  <c r="G2133" i="31"/>
  <c r="F2138" i="32"/>
  <c r="F2138" i="31"/>
  <c r="F2220" i="32"/>
  <c r="F2220" i="31"/>
  <c r="F2345" i="32"/>
  <c r="F2345" i="31"/>
  <c r="F2314" i="32"/>
  <c r="F2314" i="31"/>
  <c r="F2189" i="32"/>
  <c r="F2189" i="31"/>
  <c r="F2318" i="31"/>
  <c r="F2318" i="32"/>
  <c r="F2152" i="32"/>
  <c r="F2152" i="31"/>
  <c r="F2290" i="32"/>
  <c r="F2290" i="31"/>
  <c r="F2300" i="32"/>
  <c r="F2300" i="31"/>
  <c r="F2308" i="32"/>
  <c r="F2308" i="31"/>
  <c r="F2146" i="32"/>
  <c r="F2146" i="31"/>
  <c r="F2294" i="32"/>
  <c r="F2294" i="31"/>
  <c r="F2180" i="32"/>
  <c r="F2180" i="31"/>
  <c r="F2260" i="32"/>
  <c r="F2260" i="31"/>
  <c r="F2225" i="32"/>
  <c r="F2225" i="31"/>
  <c r="I251" i="32"/>
  <c r="I251" i="31"/>
  <c r="I1630" i="32"/>
  <c r="I1630" i="31"/>
  <c r="F2174" i="32"/>
  <c r="F2174" i="31"/>
  <c r="J1664" i="32"/>
  <c r="J1664" i="31"/>
  <c r="J121" i="32"/>
  <c r="J121" i="31"/>
  <c r="G243" i="32"/>
  <c r="G243" i="31"/>
  <c r="G2388" i="32"/>
  <c r="G2388" i="31"/>
  <c r="G2405" i="32"/>
  <c r="G2405" i="31"/>
  <c r="G2392" i="32"/>
  <c r="G2392" i="31"/>
  <c r="G2402" i="32"/>
  <c r="G2402" i="31"/>
  <c r="F2219" i="32"/>
  <c r="F2219" i="31"/>
  <c r="F2238" i="32"/>
  <c r="F2238" i="31"/>
  <c r="F2188" i="32"/>
  <c r="F2188" i="31"/>
  <c r="F2129" i="32"/>
  <c r="F2129" i="31"/>
  <c r="F2279" i="32"/>
  <c r="F2279" i="31"/>
  <c r="F2307" i="32"/>
  <c r="F2307" i="31"/>
  <c r="F2244" i="32"/>
  <c r="F2244" i="31"/>
  <c r="F2322" i="19"/>
  <c r="F2322" i="32"/>
  <c r="F2322" i="31"/>
  <c r="F2320" i="32"/>
  <c r="F2320" i="31"/>
  <c r="F2247" i="32"/>
  <c r="F2247" i="31"/>
  <c r="F2306" i="32"/>
  <c r="F2306" i="31"/>
  <c r="F2162" i="32"/>
  <c r="F2162" i="31"/>
  <c r="F2120" i="32"/>
  <c r="F2120" i="31"/>
  <c r="F2232" i="32"/>
  <c r="F2232" i="31"/>
  <c r="F2153" i="32"/>
  <c r="F2153" i="31"/>
  <c r="F2295" i="32"/>
  <c r="F2295" i="31"/>
  <c r="F2119" i="32"/>
  <c r="F2119" i="31"/>
  <c r="F2226" i="32"/>
  <c r="F2226" i="31"/>
  <c r="I1626" i="31"/>
  <c r="I1626" i="32"/>
  <c r="I562" i="32"/>
  <c r="I562" i="31"/>
  <c r="F2254" i="32"/>
  <c r="F2254" i="31"/>
  <c r="J1631" i="32"/>
  <c r="J1631" i="31"/>
  <c r="G2412" i="32"/>
  <c r="G2412" i="31"/>
  <c r="J240" i="32"/>
  <c r="J240" i="31"/>
  <c r="J119" i="32"/>
  <c r="J119" i="31"/>
  <c r="G2385" i="32"/>
  <c r="G2385" i="31"/>
  <c r="G2390" i="32"/>
  <c r="G2390" i="31"/>
  <c r="G244" i="32"/>
  <c r="G244" i="31"/>
  <c r="G2231" i="1"/>
  <c r="F2231" i="32"/>
  <c r="F2231" i="31"/>
  <c r="F2272" i="32"/>
  <c r="F2272" i="31"/>
  <c r="F2357" i="32"/>
  <c r="F2357" i="31"/>
  <c r="F2274" i="32"/>
  <c r="F2274" i="31"/>
  <c r="F2190" i="32"/>
  <c r="F2190" i="31"/>
  <c r="F2349" i="32"/>
  <c r="F2349" i="31"/>
  <c r="F2130" i="32"/>
  <c r="F2130" i="31"/>
  <c r="F2298" i="32"/>
  <c r="F2298" i="31"/>
  <c r="F2243" i="32"/>
  <c r="F2243" i="31"/>
  <c r="F2266" i="32"/>
  <c r="F2266" i="31"/>
  <c r="F2276" i="32"/>
  <c r="F2276" i="31"/>
  <c r="F2304" i="32"/>
  <c r="F2304" i="31"/>
  <c r="F2315" i="32"/>
  <c r="F2315" i="31"/>
  <c r="F2333" i="32"/>
  <c r="F2333" i="31"/>
  <c r="F2114" i="32"/>
  <c r="F2114" i="31"/>
  <c r="F2116" i="32"/>
  <c r="F2116" i="31"/>
  <c r="F2353" i="32"/>
  <c r="F2353" i="31"/>
  <c r="I186" i="32"/>
  <c r="I186" i="31"/>
  <c r="I140" i="32"/>
  <c r="I140" i="31"/>
  <c r="I118" i="32"/>
  <c r="I118" i="31"/>
  <c r="I139" i="32"/>
  <c r="I139" i="31"/>
  <c r="F2373" i="32"/>
  <c r="F2373" i="31"/>
  <c r="F2354" i="32"/>
  <c r="F2354" i="31"/>
  <c r="J1685" i="32"/>
  <c r="J1685" i="31"/>
  <c r="G2389" i="32"/>
  <c r="G2389" i="31"/>
  <c r="G2112" i="32"/>
  <c r="G2112" i="31"/>
  <c r="G2408" i="32"/>
  <c r="G2408" i="31"/>
  <c r="G2386" i="32"/>
  <c r="G2386" i="31"/>
  <c r="G2410" i="32"/>
  <c r="G2410" i="31"/>
  <c r="F2301" i="32"/>
  <c r="F2301" i="31"/>
  <c r="F2255" i="32"/>
  <c r="F2255" i="31"/>
  <c r="F2329" i="32"/>
  <c r="F2329" i="31"/>
  <c r="F2356" i="32"/>
  <c r="F2356" i="31"/>
  <c r="F2332" i="32"/>
  <c r="F2332" i="31"/>
  <c r="F2262" i="32"/>
  <c r="F2262" i="31"/>
  <c r="G2350" i="1"/>
  <c r="F2350" i="32"/>
  <c r="F2350" i="31"/>
  <c r="F2296" i="32"/>
  <c r="F2296" i="31"/>
  <c r="F2313" i="32"/>
  <c r="F2313" i="31"/>
  <c r="F2334" i="32"/>
  <c r="F2334" i="31"/>
  <c r="F2361" i="32"/>
  <c r="F2361" i="31"/>
  <c r="F2312" i="32"/>
  <c r="F2312" i="31"/>
  <c r="F2352" i="32"/>
  <c r="F2352" i="31"/>
  <c r="F2158" i="32"/>
  <c r="F2158" i="31"/>
  <c r="F2113" i="32"/>
  <c r="F2113" i="31"/>
  <c r="F2237" i="32"/>
  <c r="F2237" i="31"/>
  <c r="I133" i="32"/>
  <c r="I133" i="31"/>
  <c r="I1675" i="31"/>
  <c r="I1675" i="32"/>
  <c r="I254" i="32"/>
  <c r="I254" i="31"/>
  <c r="F2381" i="32"/>
  <c r="F2381" i="31"/>
  <c r="F2250" i="32"/>
  <c r="F2250" i="31"/>
  <c r="F2378" i="32"/>
  <c r="F2378" i="31"/>
  <c r="J1662" i="32"/>
  <c r="J1662" i="31"/>
  <c r="G2134" i="32"/>
  <c r="G2134" i="31"/>
  <c r="G2396" i="32"/>
  <c r="G2396" i="31"/>
  <c r="G2243" i="32"/>
  <c r="G2243" i="31"/>
  <c r="G248" i="32"/>
  <c r="G248" i="31"/>
  <c r="G2400" i="32"/>
  <c r="G2400" i="31"/>
  <c r="G246" i="32"/>
  <c r="G246" i="31"/>
  <c r="G2409" i="32"/>
  <c r="G2409" i="31"/>
  <c r="F2248" i="32"/>
  <c r="F2248" i="31"/>
  <c r="F2377" i="32"/>
  <c r="F2377" i="31"/>
  <c r="F2330" i="32"/>
  <c r="F2330" i="31"/>
  <c r="F2264" i="32"/>
  <c r="F2264" i="31"/>
  <c r="F2372" i="32"/>
  <c r="F2372" i="31"/>
  <c r="F2287" i="32"/>
  <c r="F2287" i="31"/>
  <c r="F2316" i="32"/>
  <c r="F2316" i="31"/>
  <c r="F2268" i="32"/>
  <c r="F2268" i="31"/>
  <c r="F2284" i="32"/>
  <c r="F2284" i="31"/>
  <c r="F2344" i="32"/>
  <c r="F2344" i="31"/>
  <c r="F2156" i="32"/>
  <c r="F2156" i="31"/>
  <c r="F2297" i="32"/>
  <c r="F2297" i="31"/>
  <c r="F2111" i="32"/>
  <c r="F2111" i="31"/>
  <c r="F2256" i="32"/>
  <c r="F2256" i="31"/>
  <c r="I1627" i="31"/>
  <c r="I1627" i="32"/>
  <c r="I249" i="32"/>
  <c r="I249" i="31"/>
  <c r="I561" i="32"/>
  <c r="I561" i="31"/>
  <c r="F2216" i="32"/>
  <c r="F2216" i="31"/>
  <c r="F2168" i="32"/>
  <c r="F2168" i="31"/>
  <c r="J1686" i="32"/>
  <c r="J1686" i="31"/>
  <c r="J241" i="32"/>
  <c r="J241" i="31"/>
  <c r="G2220" i="32"/>
  <c r="G2220" i="31"/>
  <c r="G2188" i="32"/>
  <c r="G2188" i="31"/>
  <c r="G2398" i="32"/>
  <c r="G2398" i="31"/>
  <c r="G2393" i="32"/>
  <c r="G2393" i="31"/>
  <c r="G245" i="32"/>
  <c r="G245" i="31"/>
  <c r="G2118" i="32"/>
  <c r="G2118" i="31"/>
  <c r="F2246" i="32"/>
  <c r="F2246" i="31"/>
  <c r="F2251" i="32"/>
  <c r="F2251" i="31"/>
  <c r="F2286" i="32"/>
  <c r="F2286" i="31"/>
  <c r="F2376" i="32"/>
  <c r="F2376" i="31"/>
  <c r="F2140" i="32"/>
  <c r="F2140" i="31"/>
  <c r="F2302" i="32"/>
  <c r="F2302" i="31"/>
  <c r="F2380" i="32"/>
  <c r="F2380" i="31"/>
  <c r="F2110" i="32"/>
  <c r="F2110" i="31"/>
  <c r="F2374" i="32"/>
  <c r="F2374" i="31"/>
  <c r="F2288" i="32"/>
  <c r="F2288" i="31"/>
  <c r="F2319" i="32"/>
  <c r="F2319" i="31"/>
  <c r="F2358" i="32"/>
  <c r="F2358" i="31"/>
  <c r="F2267" i="32"/>
  <c r="F2267" i="31"/>
  <c r="F2282" i="32"/>
  <c r="F2282" i="31"/>
  <c r="F2258" i="32"/>
  <c r="F2258" i="31"/>
  <c r="F2236" i="32"/>
  <c r="F2236" i="31"/>
  <c r="F2321" i="32"/>
  <c r="F2321" i="31"/>
  <c r="F2154" i="32"/>
  <c r="F2154" i="31"/>
  <c r="F2348" i="32"/>
  <c r="F2348" i="31"/>
  <c r="I252" i="32"/>
  <c r="I252" i="31"/>
  <c r="I141" i="32"/>
  <c r="I141" i="31"/>
  <c r="I239" i="32"/>
  <c r="I239" i="31"/>
  <c r="J591" i="32"/>
  <c r="J591" i="31"/>
  <c r="J1663" i="32"/>
  <c r="J1663" i="31"/>
  <c r="G2397" i="31"/>
  <c r="G2397" i="32"/>
  <c r="G2384" i="32"/>
  <c r="G2384" i="31"/>
  <c r="G2394" i="32"/>
  <c r="G2394" i="31"/>
  <c r="F2137" i="32"/>
  <c r="F2137" i="31"/>
  <c r="F2252" i="32"/>
  <c r="F2252" i="31"/>
  <c r="F2259" i="32"/>
  <c r="F2259" i="31"/>
  <c r="G2263" i="1"/>
  <c r="F2263" i="32"/>
  <c r="F2263" i="31"/>
  <c r="F2362" i="32"/>
  <c r="F2362" i="31"/>
  <c r="F2150" i="32"/>
  <c r="F2150" i="31"/>
  <c r="F2270" i="32"/>
  <c r="F2270" i="31"/>
  <c r="F2142" i="32"/>
  <c r="F2142" i="31"/>
  <c r="F2278" i="32"/>
  <c r="F2278" i="31"/>
  <c r="F2328" i="32"/>
  <c r="F2328" i="31"/>
  <c r="F2309" i="32"/>
  <c r="F2309" i="31"/>
  <c r="F2144" i="32"/>
  <c r="F2144" i="31"/>
  <c r="F2117" i="32"/>
  <c r="F2117" i="31"/>
  <c r="F2193" i="32"/>
  <c r="F2193" i="31"/>
  <c r="F2148" i="32"/>
  <c r="F2148" i="31"/>
  <c r="F2128" i="32"/>
  <c r="F2128" i="31"/>
  <c r="F2271" i="32"/>
  <c r="F2271" i="31"/>
  <c r="I250" i="32"/>
  <c r="I250" i="31"/>
  <c r="I1628" i="32"/>
  <c r="I1628" i="31"/>
  <c r="J1670" i="32"/>
  <c r="J1670" i="31"/>
  <c r="G2404" i="32"/>
  <c r="G2404" i="31"/>
  <c r="G2124" i="32"/>
  <c r="G2124" i="31"/>
  <c r="G2411" i="32"/>
  <c r="G2411" i="31"/>
  <c r="J23" i="32"/>
  <c r="J23" i="31"/>
  <c r="G2406" i="32"/>
  <c r="G2406" i="31"/>
  <c r="F2136" i="32"/>
  <c r="F2136" i="31"/>
  <c r="F2141" i="32"/>
  <c r="F2141" i="31"/>
  <c r="F2346" i="32"/>
  <c r="F2346" i="31"/>
  <c r="F2292" i="32"/>
  <c r="F2292" i="31"/>
  <c r="F2283" i="32"/>
  <c r="F2283" i="31"/>
  <c r="F2188" i="19"/>
  <c r="G2296" i="1"/>
  <c r="G2320" i="1"/>
  <c r="F2320" i="19"/>
  <c r="G2188" i="19"/>
  <c r="J26" i="2"/>
  <c r="G2405" i="19"/>
  <c r="G2412" i="19"/>
  <c r="G2322" i="1"/>
  <c r="J37" i="2"/>
  <c r="G2384" i="19"/>
  <c r="G2106" i="19"/>
  <c r="F2350" i="19"/>
  <c r="F2138" i="19"/>
  <c r="J55" i="2"/>
  <c r="J18" i="2"/>
  <c r="G2406" i="19"/>
  <c r="G2402" i="19"/>
  <c r="F2263" i="19"/>
  <c r="G2385" i="19"/>
  <c r="G2396" i="19"/>
  <c r="G2264" i="1"/>
  <c r="G246" i="19"/>
  <c r="G2394" i="19"/>
  <c r="G2411" i="19"/>
  <c r="G2110" i="1"/>
  <c r="G248" i="19"/>
  <c r="G2400" i="19"/>
  <c r="G2390" i="19"/>
  <c r="G2220" i="19"/>
  <c r="G2408" i="19"/>
  <c r="G2398" i="19"/>
  <c r="G2374" i="1"/>
  <c r="G2132" i="19"/>
  <c r="F2296" i="19"/>
  <c r="I248" i="1"/>
  <c r="G2410" i="19"/>
  <c r="I246" i="1"/>
  <c r="G2388" i="19"/>
  <c r="I245" i="1"/>
  <c r="G245" i="19"/>
  <c r="I243" i="1"/>
  <c r="F2264" i="19"/>
  <c r="F2136" i="19"/>
  <c r="G2136" i="1"/>
  <c r="F2259" i="19"/>
  <c r="G2259" i="1"/>
  <c r="G2266" i="1"/>
  <c r="F2266" i="19"/>
  <c r="G2397" i="19"/>
  <c r="F2255" i="19"/>
  <c r="F2374" i="19"/>
  <c r="G2255" i="1"/>
  <c r="G2362" i="1"/>
  <c r="F2189" i="19"/>
  <c r="G2189" i="1"/>
  <c r="F2362" i="19"/>
  <c r="G2409" i="19"/>
  <c r="F2110" i="19"/>
  <c r="G2345" i="1"/>
  <c r="F2345" i="19"/>
  <c r="F2246" i="19"/>
  <c r="G2272" i="1"/>
  <c r="F2272" i="19"/>
  <c r="F2219" i="19"/>
  <c r="G2219" i="1"/>
  <c r="G2150" i="1"/>
  <c r="F2150" i="19"/>
  <c r="G2380" i="1"/>
  <c r="F2380" i="19"/>
  <c r="G2292" i="1"/>
  <c r="F2292" i="19"/>
  <c r="G2252" i="1"/>
  <c r="F2252" i="19"/>
  <c r="F2377" i="19"/>
  <c r="G2377" i="1"/>
  <c r="F2238" i="19"/>
  <c r="G2238" i="1"/>
  <c r="G2314" i="1"/>
  <c r="F2314" i="19"/>
  <c r="F2130" i="19"/>
  <c r="G2130" i="1"/>
  <c r="G2244" i="1"/>
  <c r="F2244" i="19"/>
  <c r="G2298" i="1"/>
  <c r="F2298" i="19"/>
  <c r="G2302" i="1"/>
  <c r="F2302" i="19"/>
  <c r="H24" i="2"/>
  <c r="G54" i="2"/>
  <c r="G25" i="2"/>
  <c r="F25" i="2"/>
  <c r="H25" i="2"/>
  <c r="H33" i="2"/>
  <c r="F2242" i="1" s="1"/>
  <c r="W33" i="2"/>
  <c r="W38" i="2" s="1"/>
  <c r="J38" i="2" s="1"/>
  <c r="F24" i="2"/>
  <c r="F2196" i="1" s="1"/>
  <c r="H54" i="2"/>
  <c r="G8" i="2"/>
  <c r="F8" i="2"/>
  <c r="F2122" i="1" s="1"/>
  <c r="E8" i="2"/>
  <c r="F2125" i="1" s="1"/>
  <c r="L8" i="2"/>
  <c r="E19" i="2"/>
  <c r="F2175" i="1" s="1"/>
  <c r="G19" i="2"/>
  <c r="F2173" i="1" s="1"/>
  <c r="F19" i="2"/>
  <c r="L19" i="2"/>
  <c r="F2176" i="1" s="1"/>
  <c r="H29" i="2"/>
  <c r="F2218" i="1" s="1"/>
  <c r="W29" i="2"/>
  <c r="J29" i="2" s="1"/>
  <c r="G29" i="2"/>
  <c r="F2217" i="1" s="1"/>
  <c r="G30" i="2"/>
  <c r="F61" i="2"/>
  <c r="F33" i="2"/>
  <c r="F2240" i="1" s="1"/>
  <c r="F5" i="2"/>
  <c r="E5" i="2"/>
  <c r="G5" i="2"/>
  <c r="L5" i="2"/>
  <c r="G28" i="2"/>
  <c r="F2213" i="1" s="1"/>
  <c r="H28" i="2"/>
  <c r="F2214" i="1" s="1"/>
  <c r="F28" i="2"/>
  <c r="H31" i="2"/>
  <c r="W31" i="2"/>
  <c r="W36" i="2" s="1"/>
  <c r="J36" i="2" s="1"/>
  <c r="H21" i="2"/>
  <c r="F2186" i="1" s="1"/>
  <c r="G33" i="2"/>
  <c r="G18" i="2"/>
  <c r="F2167" i="1" s="1"/>
  <c r="F18" i="2"/>
  <c r="E18" i="2"/>
  <c r="L18" i="2"/>
  <c r="H30" i="2"/>
  <c r="F2224" i="1" s="1"/>
  <c r="W30" i="2"/>
  <c r="W35" i="2" s="1"/>
  <c r="J35" i="2" s="1"/>
  <c r="F2364" i="1"/>
  <c r="W61" i="2"/>
  <c r="J61" i="2" s="1"/>
  <c r="F21" i="2"/>
  <c r="F2184" i="1" s="1"/>
  <c r="H61" i="2"/>
  <c r="F2366" i="1" s="1"/>
  <c r="G2246" i="1"/>
  <c r="F31" i="2"/>
  <c r="G51" i="2"/>
  <c r="G26" i="2"/>
  <c r="F2205" i="1" s="1"/>
  <c r="H26" i="2"/>
  <c r="F26" i="2"/>
  <c r="F2204" i="1" s="1"/>
  <c r="G31" i="2"/>
  <c r="F2229" i="1" s="1"/>
  <c r="G55" i="2"/>
  <c r="F2341" i="1" s="1"/>
  <c r="H51" i="2"/>
  <c r="F2326" i="1" s="1"/>
  <c r="F23" i="2"/>
  <c r="F2192" i="1" s="1"/>
  <c r="H27" i="2"/>
  <c r="F2210" i="1" s="1"/>
  <c r="G27" i="2"/>
  <c r="F2209" i="1" s="1"/>
  <c r="F27" i="2"/>
  <c r="F55" i="2"/>
  <c r="H23" i="2"/>
  <c r="F2194" i="1" s="1"/>
  <c r="I247" i="1"/>
  <c r="G247" i="19"/>
  <c r="G243" i="19"/>
  <c r="G2118" i="19"/>
  <c r="G2393" i="19"/>
  <c r="G2403" i="1"/>
  <c r="G2401" i="19"/>
  <c r="G2112" i="19"/>
  <c r="G2131" i="1"/>
  <c r="G2133" i="19"/>
  <c r="G2392" i="19"/>
  <c r="G2243" i="19"/>
  <c r="G2391" i="1"/>
  <c r="G2399" i="1"/>
  <c r="G2404" i="19"/>
  <c r="G2407" i="1"/>
  <c r="G2389" i="19"/>
  <c r="G2386" i="19"/>
  <c r="G2387" i="1"/>
  <c r="G2383" i="1"/>
  <c r="G2395" i="1"/>
  <c r="G2134" i="19"/>
  <c r="G2124" i="19"/>
  <c r="G2315" i="1"/>
  <c r="F2315" i="19"/>
  <c r="G2156" i="1"/>
  <c r="F2156" i="19"/>
  <c r="H2387" i="19"/>
  <c r="G2290" i="1"/>
  <c r="F2290" i="19"/>
  <c r="G2152" i="1"/>
  <c r="F2152" i="19"/>
  <c r="G2146" i="1"/>
  <c r="F2146" i="19"/>
  <c r="G2129" i="1"/>
  <c r="F2129" i="19"/>
  <c r="G2260" i="1"/>
  <c r="F2260" i="19"/>
  <c r="G2271" i="1"/>
  <c r="F2271" i="19"/>
  <c r="I1675" i="19"/>
  <c r="J139" i="1"/>
  <c r="I139" i="19"/>
  <c r="H2299" i="19"/>
  <c r="H2277" i="19"/>
  <c r="G2250" i="1"/>
  <c r="F2250" i="19"/>
  <c r="G2174" i="1"/>
  <c r="F2174" i="19"/>
  <c r="G2378" i="1"/>
  <c r="F2378" i="19"/>
  <c r="J1684" i="19"/>
  <c r="J240" i="19"/>
  <c r="J23" i="19"/>
  <c r="G2309" i="1"/>
  <c r="F2309" i="19"/>
  <c r="G2180" i="1"/>
  <c r="F2180" i="19"/>
  <c r="G2333" i="1"/>
  <c r="F2333" i="19"/>
  <c r="G2157" i="1"/>
  <c r="F2157" i="19"/>
  <c r="G2288" i="1"/>
  <c r="F2288" i="19"/>
  <c r="G2358" i="1"/>
  <c r="F2358" i="19"/>
  <c r="G2334" i="1"/>
  <c r="F2334" i="19"/>
  <c r="G2162" i="1"/>
  <c r="F2162" i="19"/>
  <c r="G2145" i="1"/>
  <c r="F2145" i="19"/>
  <c r="G2232" i="1"/>
  <c r="F2232" i="19"/>
  <c r="G2294" i="1"/>
  <c r="F2294" i="19"/>
  <c r="G2321" i="1"/>
  <c r="F2321" i="19"/>
  <c r="G2376" i="1"/>
  <c r="F2376" i="19"/>
  <c r="G2119" i="1"/>
  <c r="F2119" i="19"/>
  <c r="G2360" i="1"/>
  <c r="F2360" i="19"/>
  <c r="H2317" i="19"/>
  <c r="H2293" i="19"/>
  <c r="H2281" i="19"/>
  <c r="H2379" i="19"/>
  <c r="G2254" i="1"/>
  <c r="F2254" i="19"/>
  <c r="H2375" i="19"/>
  <c r="J1664" i="19"/>
  <c r="J1686" i="19"/>
  <c r="G2276" i="1"/>
  <c r="F2276" i="19"/>
  <c r="G2144" i="1"/>
  <c r="F2144" i="19"/>
  <c r="G2270" i="1"/>
  <c r="F2270" i="19"/>
  <c r="G2318" i="1"/>
  <c r="F2318" i="19"/>
  <c r="G2303" i="1"/>
  <c r="F2303" i="19"/>
  <c r="G2356" i="1"/>
  <c r="F2356" i="19"/>
  <c r="G2216" i="1"/>
  <c r="F2216" i="19"/>
  <c r="G2193" i="1"/>
  <c r="F2193" i="19"/>
  <c r="G2330" i="1"/>
  <c r="F2330" i="19"/>
  <c r="G2153" i="1"/>
  <c r="F2153" i="19"/>
  <c r="G2128" i="1"/>
  <c r="F2128" i="19"/>
  <c r="G2225" i="1"/>
  <c r="F2225" i="19"/>
  <c r="J141" i="1"/>
  <c r="I141" i="19"/>
  <c r="H2311" i="19"/>
  <c r="G2251" i="1"/>
  <c r="F2251" i="19"/>
  <c r="G2354" i="1"/>
  <c r="F2354" i="19"/>
  <c r="H2391" i="19"/>
  <c r="G2154" i="1"/>
  <c r="F2154" i="19"/>
  <c r="G2287" i="1"/>
  <c r="F2287" i="19"/>
  <c r="G2312" i="1"/>
  <c r="F2312" i="19"/>
  <c r="G2142" i="1"/>
  <c r="F2142" i="19"/>
  <c r="G2247" i="1"/>
  <c r="F2247" i="19"/>
  <c r="G2319" i="1"/>
  <c r="F2319" i="19"/>
  <c r="G2300" i="1"/>
  <c r="F2300" i="19"/>
  <c r="G2268" i="1"/>
  <c r="F2268" i="19"/>
  <c r="G2361" i="1"/>
  <c r="F2361" i="19"/>
  <c r="G2117" i="1"/>
  <c r="F2117" i="19"/>
  <c r="G2353" i="1"/>
  <c r="F2353" i="19"/>
  <c r="G2234" i="1"/>
  <c r="F2234" i="19"/>
  <c r="G2113" i="1"/>
  <c r="F2113" i="19"/>
  <c r="G2190" i="1"/>
  <c r="F2190" i="19"/>
  <c r="G2226" i="1"/>
  <c r="F2226" i="19"/>
  <c r="I1628" i="19"/>
  <c r="H2115" i="19"/>
  <c r="H2305" i="19"/>
  <c r="H2383" i="19"/>
  <c r="H2399" i="19"/>
  <c r="J1685" i="19"/>
  <c r="J241" i="19"/>
  <c r="G2278" i="1"/>
  <c r="F2278" i="19"/>
  <c r="G2357" i="1"/>
  <c r="F2357" i="19"/>
  <c r="G2297" i="1"/>
  <c r="F2297" i="19"/>
  <c r="G2248" i="1"/>
  <c r="F2248" i="19"/>
  <c r="G2141" i="1"/>
  <c r="F2141" i="19"/>
  <c r="G2280" i="1"/>
  <c r="F2280" i="19"/>
  <c r="G2332" i="1"/>
  <c r="F2332" i="19"/>
  <c r="G2304" i="1"/>
  <c r="F2304" i="19"/>
  <c r="G2267" i="1"/>
  <c r="F2267" i="19"/>
  <c r="G2185" i="1"/>
  <c r="F2185" i="19"/>
  <c r="G2114" i="1"/>
  <c r="F2114" i="19"/>
  <c r="G2258" i="1"/>
  <c r="F2258" i="19"/>
  <c r="G2352" i="1"/>
  <c r="F2352" i="19"/>
  <c r="G2111" i="1"/>
  <c r="F2111" i="19"/>
  <c r="G2237" i="1"/>
  <c r="F2237" i="19"/>
  <c r="J140" i="1"/>
  <c r="I140" i="19"/>
  <c r="H2351" i="19"/>
  <c r="H2371" i="19"/>
  <c r="G2168" i="1"/>
  <c r="F2168" i="19"/>
  <c r="J1662" i="19"/>
  <c r="J119" i="19"/>
  <c r="J22" i="19"/>
  <c r="G2140" i="1"/>
  <c r="F2140" i="19"/>
  <c r="G2284" i="1"/>
  <c r="F2284" i="19"/>
  <c r="G2256" i="1"/>
  <c r="F2256" i="19"/>
  <c r="G2274" i="1"/>
  <c r="F2274" i="19"/>
  <c r="G2279" i="1"/>
  <c r="F2279" i="19"/>
  <c r="G2307" i="1"/>
  <c r="F2307" i="19"/>
  <c r="G2313" i="1"/>
  <c r="F2313" i="19"/>
  <c r="G2308" i="1"/>
  <c r="F2308" i="19"/>
  <c r="G2310" i="1"/>
  <c r="F2310" i="19"/>
  <c r="G2283" i="1"/>
  <c r="F2283" i="19"/>
  <c r="G2346" i="1"/>
  <c r="F2346" i="19"/>
  <c r="G2120" i="1"/>
  <c r="F2120" i="19"/>
  <c r="G2236" i="1"/>
  <c r="F2236" i="19"/>
  <c r="G2137" i="1"/>
  <c r="F2137" i="19"/>
  <c r="G2301" i="1"/>
  <c r="F2301" i="19"/>
  <c r="G2349" i="1"/>
  <c r="F2349" i="19"/>
  <c r="I1627" i="19"/>
  <c r="H2147" i="19"/>
  <c r="G2381" i="1"/>
  <c r="F2381" i="19"/>
  <c r="G2372" i="1"/>
  <c r="F2372" i="19"/>
  <c r="H2395" i="19"/>
  <c r="J591" i="19"/>
  <c r="J1663" i="19"/>
  <c r="G2329" i="1"/>
  <c r="F2329" i="19"/>
  <c r="H2347" i="19"/>
  <c r="G2275" i="1"/>
  <c r="F2275" i="19"/>
  <c r="G2291" i="1"/>
  <c r="F2291" i="19"/>
  <c r="G2286" i="1"/>
  <c r="F2286" i="19"/>
  <c r="G2328" i="1"/>
  <c r="F2328" i="19"/>
  <c r="G2316" i="1"/>
  <c r="F2316" i="19"/>
  <c r="G2306" i="1"/>
  <c r="F2306" i="19"/>
  <c r="G2282" i="1"/>
  <c r="F2282" i="19"/>
  <c r="G2344" i="1"/>
  <c r="F2344" i="19"/>
  <c r="G2116" i="1"/>
  <c r="F2116" i="19"/>
  <c r="G2149" i="1"/>
  <c r="F2149" i="19"/>
  <c r="G2148" i="1"/>
  <c r="F2148" i="19"/>
  <c r="G2158" i="1"/>
  <c r="F2158" i="19"/>
  <c r="G2295" i="1"/>
  <c r="F2295" i="19"/>
  <c r="G2382" i="1"/>
  <c r="F2382" i="19"/>
  <c r="G2348" i="1"/>
  <c r="F2348" i="19"/>
  <c r="J118" i="1"/>
  <c r="I118" i="19"/>
  <c r="H2109" i="19"/>
  <c r="H2273" i="19"/>
  <c r="G2373" i="1"/>
  <c r="F2373" i="19"/>
  <c r="H2403" i="19"/>
  <c r="J1670" i="19"/>
  <c r="I1626" i="19"/>
  <c r="I1630" i="19"/>
  <c r="J252" i="1"/>
  <c r="I252" i="19"/>
  <c r="J562" i="1"/>
  <c r="I562" i="19"/>
  <c r="J250" i="1"/>
  <c r="I250" i="19"/>
  <c r="J249" i="1"/>
  <c r="I249" i="19"/>
  <c r="J254" i="1"/>
  <c r="I254" i="19"/>
  <c r="J121" i="19"/>
  <c r="J186" i="1"/>
  <c r="I186" i="19"/>
  <c r="J1631" i="19"/>
  <c r="J244" i="1"/>
  <c r="I244" i="19"/>
  <c r="J561" i="1"/>
  <c r="I561" i="19"/>
  <c r="J253" i="1"/>
  <c r="I253" i="19"/>
  <c r="J239" i="1"/>
  <c r="I239" i="19"/>
  <c r="J133" i="1"/>
  <c r="I133" i="19"/>
  <c r="J251" i="1"/>
  <c r="I251" i="19"/>
  <c r="J1628" i="1"/>
  <c r="J1627" i="1"/>
  <c r="J1626" i="1"/>
  <c r="J1630" i="1"/>
  <c r="J1675" i="1"/>
  <c r="N118" i="1"/>
  <c r="W118" i="1" s="1"/>
  <c r="F2206" i="1"/>
  <c r="F2365" i="1"/>
  <c r="R62" i="2"/>
  <c r="W62" i="2" s="1"/>
  <c r="F2222" i="1"/>
  <c r="N9" i="2"/>
  <c r="J9" i="2" s="1"/>
  <c r="O17" i="2"/>
  <c r="J17" i="2" s="1"/>
  <c r="F2172" i="1"/>
  <c r="F2241" i="1"/>
  <c r="F2223" i="1"/>
  <c r="F2230" i="1"/>
  <c r="F2228" i="1"/>
  <c r="N25" i="2"/>
  <c r="J25" i="2" s="1"/>
  <c r="I297" i="1"/>
  <c r="I276" i="1"/>
  <c r="I176" i="1"/>
  <c r="I468" i="1"/>
  <c r="I603" i="1"/>
  <c r="I151" i="1"/>
  <c r="I168" i="1"/>
  <c r="I291" i="1"/>
  <c r="I261" i="1"/>
  <c r="I279" i="1"/>
  <c r="I360" i="1"/>
  <c r="I160" i="1"/>
  <c r="I145" i="1"/>
  <c r="I180" i="1"/>
  <c r="I266" i="1"/>
  <c r="I172" i="1"/>
  <c r="I285" i="1"/>
  <c r="I154" i="1"/>
  <c r="I256" i="1"/>
  <c r="I608" i="1"/>
  <c r="I157" i="1"/>
  <c r="I598" i="1"/>
  <c r="I148" i="1"/>
  <c r="I354" i="1"/>
  <c r="I294" i="1"/>
  <c r="I318" i="1"/>
  <c r="I402" i="1"/>
  <c r="I492" i="1"/>
  <c r="I271" i="1"/>
  <c r="I593" i="1"/>
  <c r="I142" i="1"/>
  <c r="I303" i="1"/>
  <c r="I288" i="1"/>
  <c r="I164" i="1"/>
  <c r="F2126" i="1"/>
  <c r="F2107" i="1"/>
  <c r="F2212" i="1"/>
  <c r="F2208" i="1"/>
  <c r="F2342" i="1"/>
  <c r="F2340" i="1"/>
  <c r="I613" i="1"/>
  <c r="F2108" i="1"/>
  <c r="F2104" i="1"/>
  <c r="F2105" i="1"/>
  <c r="O20" i="2"/>
  <c r="J20" i="2" s="1"/>
  <c r="F2123" i="1"/>
  <c r="F2325" i="1"/>
  <c r="F2324" i="1"/>
  <c r="F2200" i="1"/>
  <c r="F2201" i="1"/>
  <c r="F2202" i="1"/>
  <c r="F2197" i="1"/>
  <c r="F2198" i="1"/>
  <c r="N22" i="2"/>
  <c r="J22" i="2" s="1"/>
  <c r="F2337" i="1"/>
  <c r="N11" i="2"/>
  <c r="J11" i="2" s="1"/>
  <c r="N27" i="2"/>
  <c r="J27" i="2" s="1"/>
  <c r="F2338" i="1"/>
  <c r="F2169" i="1"/>
  <c r="F2170" i="1"/>
  <c r="F2166" i="1"/>
  <c r="N12" i="2"/>
  <c r="J12" i="2" s="1"/>
  <c r="N28" i="2"/>
  <c r="J28" i="2" s="1"/>
  <c r="F2336" i="1"/>
  <c r="N62" i="2"/>
  <c r="G2262" i="31" l="1"/>
  <c r="G2262" i="32"/>
  <c r="J62" i="2"/>
  <c r="I244" i="31"/>
  <c r="F2234" i="31"/>
  <c r="F2234" i="32"/>
  <c r="G2231" i="19"/>
  <c r="G2350" i="19"/>
  <c r="G2110" i="19"/>
  <c r="G2138" i="32"/>
  <c r="G2138" i="19"/>
  <c r="G2138" i="31"/>
  <c r="G2264" i="19"/>
  <c r="I246" i="19"/>
  <c r="G2263" i="19"/>
  <c r="J246" i="1"/>
  <c r="G2261" i="1"/>
  <c r="F2235" i="19"/>
  <c r="G2235" i="1"/>
  <c r="G2229" i="1"/>
  <c r="F2235" i="31"/>
  <c r="F2235" i="32"/>
  <c r="I248" i="19"/>
  <c r="J248" i="1"/>
  <c r="F2337" i="32"/>
  <c r="F2337" i="31"/>
  <c r="F2324" i="32"/>
  <c r="F2324" i="31"/>
  <c r="I613" i="32"/>
  <c r="I613" i="31"/>
  <c r="I288" i="32"/>
  <c r="I288" i="31"/>
  <c r="I294" i="32"/>
  <c r="I294" i="31"/>
  <c r="I285" i="32"/>
  <c r="I285" i="31"/>
  <c r="I261" i="32"/>
  <c r="I261" i="31"/>
  <c r="I297" i="32"/>
  <c r="I297" i="31"/>
  <c r="F2240" i="32"/>
  <c r="F2240" i="31"/>
  <c r="J561" i="32"/>
  <c r="J561" i="31"/>
  <c r="J254" i="32"/>
  <c r="J254" i="31"/>
  <c r="G2373" i="32"/>
  <c r="G2373" i="31"/>
  <c r="G2295" i="32"/>
  <c r="G2295" i="31"/>
  <c r="G2316" i="32"/>
  <c r="G2316" i="31"/>
  <c r="G2381" i="32"/>
  <c r="G2381" i="31"/>
  <c r="G2236" i="32"/>
  <c r="G2236" i="31"/>
  <c r="G2237" i="32"/>
  <c r="G2237" i="31"/>
  <c r="G2332" i="32"/>
  <c r="G2332" i="31"/>
  <c r="G2268" i="32"/>
  <c r="G2268" i="31"/>
  <c r="G2128" i="32"/>
  <c r="G2128" i="31"/>
  <c r="G2270" i="32"/>
  <c r="G2270" i="31"/>
  <c r="G2376" i="19"/>
  <c r="G2376" i="32"/>
  <c r="G2376" i="31"/>
  <c r="G2288" i="19"/>
  <c r="G2288" i="32"/>
  <c r="G2288" i="31"/>
  <c r="G2174" i="32"/>
  <c r="G2174" i="31"/>
  <c r="G2146" i="32"/>
  <c r="G2146" i="31"/>
  <c r="G2395" i="32"/>
  <c r="G2395" i="31"/>
  <c r="G2131" i="32"/>
  <c r="G2131" i="31"/>
  <c r="F2125" i="32"/>
  <c r="F2125" i="31"/>
  <c r="G2259" i="32"/>
  <c r="G2259" i="31"/>
  <c r="G2322" i="32"/>
  <c r="G2322" i="31"/>
  <c r="F2166" i="32"/>
  <c r="F2166" i="31"/>
  <c r="F2325" i="32"/>
  <c r="F2325" i="31"/>
  <c r="F2340" i="32"/>
  <c r="F2340" i="31"/>
  <c r="I303" i="32"/>
  <c r="I303" i="31"/>
  <c r="I354" i="32"/>
  <c r="I354" i="31"/>
  <c r="I172" i="32"/>
  <c r="I172" i="31"/>
  <c r="I291" i="32"/>
  <c r="I291" i="31"/>
  <c r="J1675" i="32"/>
  <c r="J1675" i="31"/>
  <c r="G2149" i="32"/>
  <c r="G2149" i="31"/>
  <c r="G2291" i="32"/>
  <c r="G2291" i="31"/>
  <c r="G2283" i="19"/>
  <c r="G2283" i="32"/>
  <c r="G2283" i="31"/>
  <c r="G2279" i="32"/>
  <c r="G2279" i="31"/>
  <c r="G2258" i="32"/>
  <c r="G2258" i="31"/>
  <c r="G2248" i="32"/>
  <c r="G2248" i="31"/>
  <c r="G2113" i="32"/>
  <c r="G2113" i="31"/>
  <c r="G2247" i="32"/>
  <c r="G2247" i="31"/>
  <c r="G2193" i="19"/>
  <c r="G2193" i="32"/>
  <c r="G2193" i="31"/>
  <c r="G2232" i="32"/>
  <c r="G2232" i="31"/>
  <c r="G2180" i="32"/>
  <c r="G2180" i="31"/>
  <c r="F2209" i="32"/>
  <c r="F2209" i="31"/>
  <c r="F2218" i="32"/>
  <c r="F2218" i="31"/>
  <c r="G2298" i="32"/>
  <c r="G2298" i="31"/>
  <c r="G2380" i="32"/>
  <c r="G2380" i="31"/>
  <c r="G2272" i="19"/>
  <c r="G2272" i="32"/>
  <c r="G2272" i="31"/>
  <c r="G2189" i="32"/>
  <c r="G2189" i="31"/>
  <c r="I243" i="32"/>
  <c r="I243" i="31"/>
  <c r="F2196" i="32"/>
  <c r="F2196" i="31"/>
  <c r="F2122" i="32"/>
  <c r="F2122" i="31"/>
  <c r="F2342" i="32"/>
  <c r="F2342" i="31"/>
  <c r="I142" i="32"/>
  <c r="I142" i="31"/>
  <c r="I148" i="32"/>
  <c r="I148" i="31"/>
  <c r="I266" i="32"/>
  <c r="I266" i="31"/>
  <c r="I168" i="32"/>
  <c r="I168" i="31"/>
  <c r="F2224" i="32"/>
  <c r="F2224" i="31"/>
  <c r="J1630" i="32"/>
  <c r="J1630" i="31"/>
  <c r="J239" i="32"/>
  <c r="J239" i="31"/>
  <c r="J562" i="32"/>
  <c r="J562" i="31"/>
  <c r="G2348" i="32"/>
  <c r="G2348" i="31"/>
  <c r="G2282" i="32"/>
  <c r="G2282" i="31"/>
  <c r="G2301" i="32"/>
  <c r="G2301" i="31"/>
  <c r="G2313" i="32"/>
  <c r="G2313" i="31"/>
  <c r="G2284" i="32"/>
  <c r="G2284" i="31"/>
  <c r="G2267" i="32"/>
  <c r="G2267" i="31"/>
  <c r="G2278" i="32"/>
  <c r="G2278" i="31"/>
  <c r="G2117" i="32"/>
  <c r="G2117" i="31"/>
  <c r="G2287" i="32"/>
  <c r="G2287" i="31"/>
  <c r="G2354" i="32"/>
  <c r="G2354" i="31"/>
  <c r="J141" i="32"/>
  <c r="J141" i="31"/>
  <c r="G2303" i="32"/>
  <c r="G2303" i="31"/>
  <c r="G2360" i="32"/>
  <c r="G2360" i="31"/>
  <c r="G2334" i="32"/>
  <c r="G2334" i="31"/>
  <c r="J139" i="32"/>
  <c r="J139" i="31"/>
  <c r="G2260" i="19"/>
  <c r="G2260" i="32"/>
  <c r="G2260" i="31"/>
  <c r="G2383" i="32"/>
  <c r="G2383" i="31"/>
  <c r="G2399" i="32"/>
  <c r="G2399" i="31"/>
  <c r="F2210" i="32"/>
  <c r="F2210" i="31"/>
  <c r="F2205" i="32"/>
  <c r="F2205" i="31"/>
  <c r="F2364" i="32"/>
  <c r="F2364" i="31"/>
  <c r="F2186" i="32"/>
  <c r="F2186" i="31"/>
  <c r="F2176" i="32"/>
  <c r="F2176" i="31"/>
  <c r="G2314" i="32"/>
  <c r="G2314" i="31"/>
  <c r="F2169" i="32"/>
  <c r="F2169" i="31"/>
  <c r="F2198" i="32"/>
  <c r="F2198" i="31"/>
  <c r="F2123" i="32"/>
  <c r="F2123" i="31"/>
  <c r="F2208" i="32"/>
  <c r="F2208" i="31"/>
  <c r="I593" i="32"/>
  <c r="I593" i="31"/>
  <c r="I598" i="32"/>
  <c r="I598" i="31"/>
  <c r="I180" i="32"/>
  <c r="I180" i="31"/>
  <c r="I151" i="32"/>
  <c r="I151" i="31"/>
  <c r="F2228" i="32"/>
  <c r="F2228" i="31"/>
  <c r="F2222" i="32"/>
  <c r="F2222" i="31"/>
  <c r="J1626" i="32"/>
  <c r="J1626" i="31"/>
  <c r="J244" i="32"/>
  <c r="J244" i="31"/>
  <c r="J186" i="32"/>
  <c r="J186" i="31"/>
  <c r="J249" i="32"/>
  <c r="J249" i="31"/>
  <c r="G2158" i="32"/>
  <c r="G2158" i="31"/>
  <c r="G2328" i="32"/>
  <c r="G2328" i="31"/>
  <c r="G2120" i="32"/>
  <c r="G2120" i="31"/>
  <c r="G2111" i="32"/>
  <c r="G2111" i="31"/>
  <c r="G2280" i="32"/>
  <c r="G2280" i="31"/>
  <c r="G2226" i="19"/>
  <c r="G2226" i="32"/>
  <c r="G2226" i="31"/>
  <c r="G2300" i="32"/>
  <c r="G2300" i="31"/>
  <c r="G2153" i="32"/>
  <c r="G2153" i="31"/>
  <c r="G2144" i="19"/>
  <c r="G2144" i="32"/>
  <c r="G2144" i="31"/>
  <c r="G2321" i="32"/>
  <c r="G2321" i="31"/>
  <c r="G2157" i="32"/>
  <c r="G2157" i="31"/>
  <c r="G2250" i="32"/>
  <c r="G2250" i="31"/>
  <c r="G2152" i="32"/>
  <c r="G2152" i="31"/>
  <c r="G2156" i="32"/>
  <c r="G2156" i="31"/>
  <c r="G2387" i="32"/>
  <c r="G2387" i="31"/>
  <c r="F2192" i="32"/>
  <c r="F2192" i="31"/>
  <c r="G2252" i="19"/>
  <c r="G2252" i="32"/>
  <c r="G2252" i="31"/>
  <c r="I246" i="32"/>
  <c r="I246" i="31"/>
  <c r="G2110" i="32"/>
  <c r="G2110" i="31"/>
  <c r="G2264" i="32"/>
  <c r="G2264" i="31"/>
  <c r="F2170" i="32"/>
  <c r="F2170" i="31"/>
  <c r="F2167" i="32"/>
  <c r="F2167" i="31"/>
  <c r="F2197" i="32"/>
  <c r="F2197" i="31"/>
  <c r="F2212" i="32"/>
  <c r="F2212" i="31"/>
  <c r="I271" i="32"/>
  <c r="I271" i="31"/>
  <c r="I157" i="32"/>
  <c r="I157" i="31"/>
  <c r="I145" i="32"/>
  <c r="I145" i="31"/>
  <c r="I603" i="32"/>
  <c r="I603" i="31"/>
  <c r="F2230" i="32"/>
  <c r="F2230" i="31"/>
  <c r="J1627" i="32"/>
  <c r="J1627" i="31"/>
  <c r="J251" i="32"/>
  <c r="J251" i="31"/>
  <c r="G2116" i="32"/>
  <c r="G2116" i="31"/>
  <c r="G2275" i="32"/>
  <c r="G2275" i="31"/>
  <c r="G2329" i="32"/>
  <c r="G2329" i="31"/>
  <c r="G2310" i="32"/>
  <c r="G2310" i="31"/>
  <c r="G2274" i="32"/>
  <c r="G2274" i="31"/>
  <c r="G2114" i="32"/>
  <c r="G2114" i="31"/>
  <c r="G2297" i="32"/>
  <c r="G2297" i="31"/>
  <c r="G2234" i="32"/>
  <c r="G2234" i="31"/>
  <c r="G2142" i="32"/>
  <c r="G2142" i="31"/>
  <c r="G2216" i="32"/>
  <c r="G2216" i="31"/>
  <c r="G2145" i="32"/>
  <c r="G2145" i="31"/>
  <c r="G2309" i="32"/>
  <c r="G2309" i="31"/>
  <c r="G2403" i="32"/>
  <c r="G2403" i="31"/>
  <c r="F2326" i="32"/>
  <c r="F2326" i="31"/>
  <c r="F2173" i="32"/>
  <c r="F2173" i="31"/>
  <c r="G2244" i="32"/>
  <c r="G2244" i="31"/>
  <c r="G2238" i="32"/>
  <c r="G2238" i="31"/>
  <c r="G2150" i="32"/>
  <c r="G2150" i="31"/>
  <c r="G2362" i="32"/>
  <c r="G2362" i="31"/>
  <c r="G2136" i="19"/>
  <c r="G2136" i="32"/>
  <c r="G2136" i="31"/>
  <c r="J245" i="1"/>
  <c r="I245" i="32"/>
  <c r="I245" i="31"/>
  <c r="I248" i="32"/>
  <c r="I248" i="31"/>
  <c r="G2296" i="32"/>
  <c r="G2296" i="31"/>
  <c r="F2338" i="32"/>
  <c r="F2338" i="31"/>
  <c r="F2202" i="32"/>
  <c r="F2202" i="31"/>
  <c r="F2105" i="32"/>
  <c r="F2105" i="31"/>
  <c r="F2107" i="32"/>
  <c r="F2107" i="31"/>
  <c r="I492" i="32"/>
  <c r="I492" i="31"/>
  <c r="I608" i="32"/>
  <c r="I608" i="31"/>
  <c r="I160" i="32"/>
  <c r="I160" i="31"/>
  <c r="I468" i="32"/>
  <c r="I468" i="31"/>
  <c r="F2223" i="32"/>
  <c r="F2223" i="31"/>
  <c r="F2365" i="32"/>
  <c r="F2365" i="31"/>
  <c r="J1628" i="32"/>
  <c r="J1628" i="31"/>
  <c r="J253" i="32"/>
  <c r="J253" i="31"/>
  <c r="J252" i="32"/>
  <c r="J252" i="31"/>
  <c r="G2382" i="32"/>
  <c r="G2382" i="31"/>
  <c r="G2306" i="32"/>
  <c r="G2306" i="31"/>
  <c r="G2372" i="32"/>
  <c r="G2372" i="31"/>
  <c r="G2137" i="32"/>
  <c r="G2137" i="31"/>
  <c r="G2140" i="32"/>
  <c r="G2140" i="31"/>
  <c r="J140" i="32"/>
  <c r="J140" i="31"/>
  <c r="G2304" i="32"/>
  <c r="G2304" i="31"/>
  <c r="G2361" i="32"/>
  <c r="G2361" i="31"/>
  <c r="G2154" i="32"/>
  <c r="G2154" i="31"/>
  <c r="G2251" i="32"/>
  <c r="G2251" i="31"/>
  <c r="G2225" i="32"/>
  <c r="G2225" i="31"/>
  <c r="G2318" i="32"/>
  <c r="G2318" i="31"/>
  <c r="G2119" i="32"/>
  <c r="G2119" i="31"/>
  <c r="G2358" i="32"/>
  <c r="G2358" i="31"/>
  <c r="G2378" i="32"/>
  <c r="G2378" i="31"/>
  <c r="G2129" i="19"/>
  <c r="G2129" i="32"/>
  <c r="G2129" i="31"/>
  <c r="G2391" i="19"/>
  <c r="G2391" i="32"/>
  <c r="G2391" i="31"/>
  <c r="I247" i="32"/>
  <c r="I247" i="31"/>
  <c r="F2341" i="32"/>
  <c r="F2341" i="31"/>
  <c r="G2246" i="32"/>
  <c r="G2246" i="31"/>
  <c r="G2130" i="32"/>
  <c r="G2130" i="31"/>
  <c r="G2219" i="32"/>
  <c r="G2219" i="31"/>
  <c r="G2374" i="19"/>
  <c r="G2374" i="32"/>
  <c r="G2374" i="31"/>
  <c r="F2201" i="32"/>
  <c r="F2201" i="31"/>
  <c r="F2104" i="32"/>
  <c r="F2104" i="31"/>
  <c r="F2126" i="32"/>
  <c r="F2126" i="31"/>
  <c r="I402" i="32"/>
  <c r="I402" i="31"/>
  <c r="I256" i="32"/>
  <c r="I256" i="31"/>
  <c r="I360" i="32"/>
  <c r="I360" i="31"/>
  <c r="I176" i="32"/>
  <c r="I176" i="31"/>
  <c r="F2241" i="32"/>
  <c r="F2241" i="31"/>
  <c r="F2204" i="32"/>
  <c r="F2204" i="31"/>
  <c r="J250" i="32"/>
  <c r="J250" i="31"/>
  <c r="G2148" i="32"/>
  <c r="G2148" i="31"/>
  <c r="G2286" i="32"/>
  <c r="G2286" i="31"/>
  <c r="G2346" i="32"/>
  <c r="G2346" i="31"/>
  <c r="G2307" i="32"/>
  <c r="G2307" i="31"/>
  <c r="G2168" i="32"/>
  <c r="G2168" i="31"/>
  <c r="G2352" i="32"/>
  <c r="G2352" i="31"/>
  <c r="G2141" i="32"/>
  <c r="G2141" i="31"/>
  <c r="G2190" i="32"/>
  <c r="G2190" i="31"/>
  <c r="G2319" i="32"/>
  <c r="G2319" i="31"/>
  <c r="G2330" i="32"/>
  <c r="G2330" i="31"/>
  <c r="G2276" i="32"/>
  <c r="G2276" i="31"/>
  <c r="G2294" i="32"/>
  <c r="G2294" i="31"/>
  <c r="G2333" i="32"/>
  <c r="G2333" i="31"/>
  <c r="G2290" i="32"/>
  <c r="G2290" i="31"/>
  <c r="G2315" i="32"/>
  <c r="G2315" i="31"/>
  <c r="G2407" i="32"/>
  <c r="G2407" i="31"/>
  <c r="F2194" i="32"/>
  <c r="F2194" i="31"/>
  <c r="F2229" i="32"/>
  <c r="F2229" i="31"/>
  <c r="F2366" i="32"/>
  <c r="F2366" i="31"/>
  <c r="F2214" i="32"/>
  <c r="F2214" i="31"/>
  <c r="G2175" i="1"/>
  <c r="F2175" i="32"/>
  <c r="F2175" i="31"/>
  <c r="F2242" i="32"/>
  <c r="F2242" i="31"/>
  <c r="G2302" i="32"/>
  <c r="G2302" i="31"/>
  <c r="G2377" i="32"/>
  <c r="G2377" i="31"/>
  <c r="G2292" i="32"/>
  <c r="G2292" i="31"/>
  <c r="G2345" i="32"/>
  <c r="G2345" i="31"/>
  <c r="G2255" i="32"/>
  <c r="G2255" i="31"/>
  <c r="G2266" i="32"/>
  <c r="G2266" i="31"/>
  <c r="G2263" i="32"/>
  <c r="G2263" i="31"/>
  <c r="G2350" i="32"/>
  <c r="G2350" i="31"/>
  <c r="F2336" i="32"/>
  <c r="F2336" i="31"/>
  <c r="F2200" i="32"/>
  <c r="F2200" i="31"/>
  <c r="F2108" i="32"/>
  <c r="F2108" i="31"/>
  <c r="I164" i="32"/>
  <c r="I164" i="31"/>
  <c r="I318" i="32"/>
  <c r="I318" i="31"/>
  <c r="I154" i="32"/>
  <c r="I154" i="31"/>
  <c r="I279" i="32"/>
  <c r="I279" i="31"/>
  <c r="I276" i="32"/>
  <c r="I276" i="31"/>
  <c r="F2172" i="32"/>
  <c r="F2172" i="31"/>
  <c r="F2206" i="32"/>
  <c r="F2206" i="31"/>
  <c r="J133" i="32"/>
  <c r="J133" i="31"/>
  <c r="J118" i="32"/>
  <c r="J118" i="31"/>
  <c r="G2344" i="32"/>
  <c r="G2344" i="31"/>
  <c r="G2349" i="32"/>
  <c r="G2349" i="31"/>
  <c r="G2308" i="32"/>
  <c r="G2308" i="31"/>
  <c r="G2256" i="32"/>
  <c r="G2256" i="31"/>
  <c r="G2185" i="32"/>
  <c r="G2185" i="31"/>
  <c r="G2357" i="32"/>
  <c r="G2357" i="31"/>
  <c r="G2353" i="32"/>
  <c r="G2353" i="31"/>
  <c r="G2312" i="32"/>
  <c r="G2312" i="31"/>
  <c r="G2356" i="32"/>
  <c r="G2356" i="31"/>
  <c r="G2254" i="32"/>
  <c r="G2254" i="31"/>
  <c r="G2162" i="32"/>
  <c r="G2162" i="31"/>
  <c r="G2271" i="32"/>
  <c r="G2271" i="31"/>
  <c r="F2184" i="19"/>
  <c r="F2184" i="32"/>
  <c r="F2184" i="31"/>
  <c r="F2213" i="32"/>
  <c r="F2213" i="31"/>
  <c r="G2217" i="1"/>
  <c r="F2217" i="32"/>
  <c r="F2217" i="31"/>
  <c r="G2320" i="32"/>
  <c r="G2320" i="31"/>
  <c r="G2231" i="32"/>
  <c r="G2231" i="31"/>
  <c r="Y118" i="32"/>
  <c r="Y118" i="31"/>
  <c r="G2268" i="19"/>
  <c r="I245" i="19"/>
  <c r="F2229" i="19"/>
  <c r="G2296" i="19"/>
  <c r="I2391" i="1"/>
  <c r="G2256" i="19"/>
  <c r="F2217" i="19"/>
  <c r="I2403" i="1"/>
  <c r="G2213" i="1"/>
  <c r="F2213" i="19"/>
  <c r="J33" i="2"/>
  <c r="G2320" i="19"/>
  <c r="G2318" i="19"/>
  <c r="G2186" i="1"/>
  <c r="G2218" i="1"/>
  <c r="J243" i="1"/>
  <c r="G2332" i="19"/>
  <c r="G2334" i="19"/>
  <c r="G2286" i="19"/>
  <c r="F2175" i="19"/>
  <c r="J31" i="2"/>
  <c r="G2192" i="1"/>
  <c r="J30" i="2"/>
  <c r="G2344" i="19"/>
  <c r="G2184" i="1"/>
  <c r="G2322" i="19"/>
  <c r="G2209" i="1"/>
  <c r="G2242" i="1"/>
  <c r="G2315" i="19"/>
  <c r="F2209" i="19"/>
  <c r="F2242" i="19"/>
  <c r="G2111" i="19"/>
  <c r="I243" i="19"/>
  <c r="F2218" i="19"/>
  <c r="F2192" i="19"/>
  <c r="G2407" i="19"/>
  <c r="I2407" i="1"/>
  <c r="G2255" i="19"/>
  <c r="G2403" i="19"/>
  <c r="G2352" i="19"/>
  <c r="G2266" i="19"/>
  <c r="G2116" i="19"/>
  <c r="G2310" i="19"/>
  <c r="G2149" i="19"/>
  <c r="G2291" i="19"/>
  <c r="G2142" i="19"/>
  <c r="G2216" i="19"/>
  <c r="G2234" i="19"/>
  <c r="G2360" i="19"/>
  <c r="G2314" i="19"/>
  <c r="G2301" i="19"/>
  <c r="G2294" i="19"/>
  <c r="G2279" i="19"/>
  <c r="I2387" i="1"/>
  <c r="I2399" i="1"/>
  <c r="G2259" i="19"/>
  <c r="G2282" i="19"/>
  <c r="G2381" i="19"/>
  <c r="G2153" i="19"/>
  <c r="G2377" i="19"/>
  <c r="G2185" i="19"/>
  <c r="G2246" i="19"/>
  <c r="H2285" i="19"/>
  <c r="G2205" i="1"/>
  <c r="F2364" i="19"/>
  <c r="F2186" i="19"/>
  <c r="G2349" i="19"/>
  <c r="G2364" i="1"/>
  <c r="G2302" i="19"/>
  <c r="G2232" i="19"/>
  <c r="G2275" i="19"/>
  <c r="F2366" i="19"/>
  <c r="F2173" i="19"/>
  <c r="F2214" i="19"/>
  <c r="G2366" i="1"/>
  <c r="G2173" i="1"/>
  <c r="G2214" i="1"/>
  <c r="G2346" i="19"/>
  <c r="G2343" i="1"/>
  <c r="G2278" i="19"/>
  <c r="G2304" i="19"/>
  <c r="G2187" i="1"/>
  <c r="G2300" i="19"/>
  <c r="I2383" i="1"/>
  <c r="G2237" i="19"/>
  <c r="G2190" i="19"/>
  <c r="G2274" i="19"/>
  <c r="J247" i="1"/>
  <c r="I247" i="19"/>
  <c r="G2189" i="19"/>
  <c r="G2362" i="19"/>
  <c r="G2348" i="19"/>
  <c r="F2176" i="19"/>
  <c r="G2347" i="1"/>
  <c r="G2176" i="1"/>
  <c r="G2380" i="19"/>
  <c r="F2205" i="19"/>
  <c r="G2354" i="19"/>
  <c r="G2345" i="19"/>
  <c r="F2194" i="19"/>
  <c r="G2194" i="1"/>
  <c r="G2326" i="1"/>
  <c r="F2326" i="19"/>
  <c r="F2341" i="19"/>
  <c r="G2341" i="1"/>
  <c r="F2210" i="19"/>
  <c r="G2210" i="1"/>
  <c r="F62" i="2"/>
  <c r="F2368" i="1" s="1"/>
  <c r="H62" i="2"/>
  <c r="F2370" i="1" s="1"/>
  <c r="G2244" i="19"/>
  <c r="G2238" i="19"/>
  <c r="G2150" i="19"/>
  <c r="G62" i="2"/>
  <c r="F2369" i="1" s="1"/>
  <c r="G2298" i="19"/>
  <c r="G2130" i="19"/>
  <c r="G2292" i="19"/>
  <c r="G2219" i="19"/>
  <c r="G20" i="2"/>
  <c r="F20" i="2"/>
  <c r="E20" i="2"/>
  <c r="L20" i="2"/>
  <c r="F17" i="2"/>
  <c r="E17" i="2"/>
  <c r="F2163" i="1" s="1"/>
  <c r="G17" i="2"/>
  <c r="F2161" i="1" s="1"/>
  <c r="L17" i="2"/>
  <c r="F2164" i="1" s="1"/>
  <c r="G2333" i="19"/>
  <c r="G2145" i="19"/>
  <c r="G2383" i="19"/>
  <c r="G2257" i="1"/>
  <c r="G2290" i="19"/>
  <c r="G2248" i="19"/>
  <c r="G2356" i="19"/>
  <c r="G2135" i="1"/>
  <c r="G2375" i="1"/>
  <c r="G2131" i="19"/>
  <c r="G2273" i="1"/>
  <c r="G2276" i="19"/>
  <c r="G2399" i="19"/>
  <c r="G2113" i="19"/>
  <c r="G2146" i="19"/>
  <c r="G2168" i="19"/>
  <c r="G2143" i="1"/>
  <c r="G2174" i="19"/>
  <c r="G2331" i="1"/>
  <c r="G2117" i="19"/>
  <c r="G2309" i="19"/>
  <c r="G2285" i="1"/>
  <c r="I2395" i="1"/>
  <c r="G2269" i="1"/>
  <c r="G2156" i="19"/>
  <c r="G2395" i="19"/>
  <c r="G2361" i="19"/>
  <c r="G2387" i="19"/>
  <c r="G2355" i="1"/>
  <c r="G2289" i="1"/>
  <c r="G2321" i="19"/>
  <c r="G2359" i="1"/>
  <c r="G2154" i="19"/>
  <c r="G2271" i="19"/>
  <c r="G2358" i="19"/>
  <c r="G2158" i="19"/>
  <c r="G2265" i="1"/>
  <c r="G2267" i="19"/>
  <c r="G2379" i="1"/>
  <c r="G2270" i="19"/>
  <c r="G2120" i="19"/>
  <c r="G2329" i="19"/>
  <c r="G2330" i="19"/>
  <c r="G2250" i="19"/>
  <c r="G2313" i="19"/>
  <c r="Y118" i="19"/>
  <c r="G2295" i="19"/>
  <c r="G2140" i="19"/>
  <c r="G2157" i="19"/>
  <c r="G2253" i="1"/>
  <c r="G2141" i="19"/>
  <c r="G2152" i="19"/>
  <c r="G2372" i="19"/>
  <c r="G2371" i="1"/>
  <c r="G2254" i="19"/>
  <c r="G2247" i="19"/>
  <c r="G2151" i="1"/>
  <c r="G2373" i="19"/>
  <c r="G2308" i="19"/>
  <c r="G2225" i="19"/>
  <c r="G2306" i="19"/>
  <c r="G2245" i="1"/>
  <c r="G2180" i="19"/>
  <c r="G2162" i="19"/>
  <c r="G2378" i="19"/>
  <c r="G2148" i="19"/>
  <c r="G2311" i="1"/>
  <c r="G2119" i="19"/>
  <c r="G2127" i="1"/>
  <c r="G2353" i="19"/>
  <c r="G2287" i="19"/>
  <c r="G2328" i="19"/>
  <c r="G2147" i="1"/>
  <c r="G2293" i="1"/>
  <c r="G2249" i="1"/>
  <c r="G2327" i="1"/>
  <c r="G2115" i="1"/>
  <c r="G2303" i="19"/>
  <c r="G2316" i="19"/>
  <c r="G2236" i="19"/>
  <c r="G2114" i="19"/>
  <c r="G2128" i="19"/>
  <c r="G2297" i="19"/>
  <c r="G2299" i="1"/>
  <c r="G2258" i="19"/>
  <c r="G2251" i="19"/>
  <c r="G2312" i="19"/>
  <c r="G2357" i="19"/>
  <c r="G2137" i="19"/>
  <c r="G2307" i="19"/>
  <c r="G2351" i="1"/>
  <c r="G2155" i="1"/>
  <c r="J1627" i="19"/>
  <c r="G2201" i="1"/>
  <c r="F2201" i="19"/>
  <c r="G2123" i="1"/>
  <c r="F2123" i="19"/>
  <c r="G2208" i="1"/>
  <c r="F2208" i="19"/>
  <c r="G2240" i="1"/>
  <c r="F2240" i="19"/>
  <c r="H2339" i="19"/>
  <c r="H2343" i="19"/>
  <c r="H2269" i="19"/>
  <c r="G2277" i="1"/>
  <c r="G2382" i="19"/>
  <c r="J140" i="19"/>
  <c r="G2223" i="1"/>
  <c r="F2223" i="19"/>
  <c r="G2337" i="1"/>
  <c r="F2337" i="19"/>
  <c r="G2200" i="1"/>
  <c r="F2200" i="19"/>
  <c r="G2212" i="1"/>
  <c r="F2212" i="19"/>
  <c r="G2224" i="1"/>
  <c r="F2224" i="19"/>
  <c r="H2355" i="19"/>
  <c r="H2289" i="19"/>
  <c r="H2323" i="19"/>
  <c r="G2284" i="19"/>
  <c r="G2198" i="1"/>
  <c r="F2198" i="19"/>
  <c r="H2171" i="19"/>
  <c r="G2166" i="1"/>
  <c r="F2166" i="19"/>
  <c r="G2105" i="1"/>
  <c r="F2105" i="19"/>
  <c r="G2107" i="1"/>
  <c r="F2107" i="19"/>
  <c r="H2363" i="19"/>
  <c r="H2143" i="19"/>
  <c r="H2151" i="19"/>
  <c r="H2327" i="19"/>
  <c r="H2165" i="19"/>
  <c r="J1675" i="19"/>
  <c r="G2365" i="1"/>
  <c r="F2365" i="19"/>
  <c r="G2324" i="1"/>
  <c r="F2324" i="19"/>
  <c r="G2170" i="1"/>
  <c r="F2170" i="19"/>
  <c r="G2325" i="1"/>
  <c r="F2325" i="19"/>
  <c r="G2104" i="1"/>
  <c r="F2104" i="19"/>
  <c r="G2125" i="1"/>
  <c r="F2125" i="19"/>
  <c r="G2228" i="1"/>
  <c r="F2228" i="19"/>
  <c r="H2103" i="19"/>
  <c r="H2261" i="19"/>
  <c r="H2257" i="19"/>
  <c r="G2317" i="1"/>
  <c r="J139" i="19"/>
  <c r="G2169" i="1"/>
  <c r="F2169" i="19"/>
  <c r="G2196" i="1"/>
  <c r="F2196" i="19"/>
  <c r="G2122" i="1"/>
  <c r="F2122" i="19"/>
  <c r="G2108" i="1"/>
  <c r="F2108" i="19"/>
  <c r="G2126" i="1"/>
  <c r="F2126" i="19"/>
  <c r="G2230" i="1"/>
  <c r="F2230" i="19"/>
  <c r="H2233" i="19"/>
  <c r="H2335" i="19"/>
  <c r="H2359" i="19"/>
  <c r="G2305" i="1"/>
  <c r="G2280" i="19"/>
  <c r="J141" i="19"/>
  <c r="G2167" i="1"/>
  <c r="F2167" i="19"/>
  <c r="H2203" i="19"/>
  <c r="G2338" i="1"/>
  <c r="F2338" i="19"/>
  <c r="G2340" i="1"/>
  <c r="F2340" i="19"/>
  <c r="G2241" i="1"/>
  <c r="F2241" i="19"/>
  <c r="G2222" i="1"/>
  <c r="F2222" i="19"/>
  <c r="H2331" i="19"/>
  <c r="H2265" i="19"/>
  <c r="G2206" i="1"/>
  <c r="F2206" i="19"/>
  <c r="G2281" i="1"/>
  <c r="J1628" i="19"/>
  <c r="G2319" i="19"/>
  <c r="G2204" i="1"/>
  <c r="F2204" i="19"/>
  <c r="G2197" i="1"/>
  <c r="F2197" i="19"/>
  <c r="G2336" i="1"/>
  <c r="F2336" i="19"/>
  <c r="G2202" i="1"/>
  <c r="F2202" i="19"/>
  <c r="G2342" i="1"/>
  <c r="F2342" i="19"/>
  <c r="G2172" i="1"/>
  <c r="F2172" i="19"/>
  <c r="H2121" i="19"/>
  <c r="H2155" i="19"/>
  <c r="H2131" i="19"/>
  <c r="G2109" i="1"/>
  <c r="J118" i="19"/>
  <c r="J142" i="1"/>
  <c r="I142" i="19"/>
  <c r="J266" i="1"/>
  <c r="I266" i="19"/>
  <c r="J180" i="1"/>
  <c r="I180" i="19"/>
  <c r="J151" i="1"/>
  <c r="I151" i="19"/>
  <c r="J271" i="1"/>
  <c r="I271" i="19"/>
  <c r="J157" i="1"/>
  <c r="I157" i="19"/>
  <c r="J145" i="1"/>
  <c r="I145" i="19"/>
  <c r="J250" i="19"/>
  <c r="J492" i="1"/>
  <c r="I492" i="19"/>
  <c r="J160" i="1"/>
  <c r="I160" i="19"/>
  <c r="J468" i="1"/>
  <c r="I468" i="19"/>
  <c r="J1630" i="19"/>
  <c r="J249" i="19"/>
  <c r="J245" i="19"/>
  <c r="J402" i="1"/>
  <c r="I402" i="19"/>
  <c r="J256" i="1"/>
  <c r="I256" i="19"/>
  <c r="J360" i="1"/>
  <c r="I360" i="19"/>
  <c r="J176" i="1"/>
  <c r="I176" i="19"/>
  <c r="J1626" i="19"/>
  <c r="J254" i="19"/>
  <c r="J164" i="1"/>
  <c r="I164" i="19"/>
  <c r="J318" i="1"/>
  <c r="I318" i="19"/>
  <c r="J154" i="1"/>
  <c r="I154" i="19"/>
  <c r="J279" i="1"/>
  <c r="I279" i="19"/>
  <c r="J276" i="1"/>
  <c r="I276" i="19"/>
  <c r="J186" i="19"/>
  <c r="J288" i="1"/>
  <c r="I288" i="19"/>
  <c r="J294" i="1"/>
  <c r="I294" i="19"/>
  <c r="J285" i="1"/>
  <c r="I285" i="19"/>
  <c r="J261" i="1"/>
  <c r="I261" i="19"/>
  <c r="J297" i="1"/>
  <c r="I297" i="19"/>
  <c r="J354" i="1"/>
  <c r="I354" i="19"/>
  <c r="J172" i="1"/>
  <c r="I172" i="19"/>
  <c r="J291" i="1"/>
  <c r="I291" i="19"/>
  <c r="J244" i="19"/>
  <c r="J168" i="1"/>
  <c r="I168" i="19"/>
  <c r="J133" i="19"/>
  <c r="J253" i="19"/>
  <c r="J561" i="19"/>
  <c r="J252" i="19"/>
  <c r="J303" i="1"/>
  <c r="I303" i="19"/>
  <c r="J148" i="1"/>
  <c r="I148" i="19"/>
  <c r="J251" i="19"/>
  <c r="J239" i="19"/>
  <c r="J562" i="19"/>
  <c r="I608" i="19"/>
  <c r="I613" i="19"/>
  <c r="I603" i="19"/>
  <c r="I598" i="19"/>
  <c r="I593" i="19"/>
  <c r="S118" i="1"/>
  <c r="R118" i="1"/>
  <c r="Q118" i="1"/>
  <c r="M1626" i="1"/>
  <c r="N1626" i="1" s="1"/>
  <c r="W1626" i="1" s="1"/>
  <c r="J593" i="1"/>
  <c r="J598" i="1"/>
  <c r="J603" i="1"/>
  <c r="J608" i="1"/>
  <c r="J613" i="1"/>
  <c r="O117" i="1"/>
  <c r="P117" i="1" s="1"/>
  <c r="I2131" i="1"/>
  <c r="N21" i="2"/>
  <c r="J21" i="2" s="1"/>
  <c r="F2160" i="1"/>
  <c r="F2182" i="1"/>
  <c r="F2181" i="1"/>
  <c r="F2178" i="1"/>
  <c r="F2179" i="1"/>
  <c r="N24" i="2"/>
  <c r="J24" i="2" s="1"/>
  <c r="N23" i="2"/>
  <c r="J23" i="2" s="1"/>
  <c r="J248" i="19" l="1"/>
  <c r="G2235" i="19"/>
  <c r="G2210" i="19"/>
  <c r="I2387" i="19"/>
  <c r="I2261" i="1"/>
  <c r="J2387" i="1"/>
  <c r="G2233" i="1"/>
  <c r="G2261" i="31"/>
  <c r="G2261" i="32"/>
  <c r="J246" i="31"/>
  <c r="G2261" i="19"/>
  <c r="J246" i="32"/>
  <c r="J246" i="19"/>
  <c r="G2229" i="32"/>
  <c r="G2235" i="32"/>
  <c r="G2229" i="19"/>
  <c r="G2229" i="31"/>
  <c r="G2235" i="31"/>
  <c r="J243" i="19"/>
  <c r="J248" i="31"/>
  <c r="G2175" i="19"/>
  <c r="J248" i="32"/>
  <c r="J247" i="19"/>
  <c r="G2217" i="19"/>
  <c r="G2285" i="19"/>
  <c r="J172" i="32"/>
  <c r="J172" i="31"/>
  <c r="J294" i="32"/>
  <c r="J294" i="31"/>
  <c r="J276" i="32"/>
  <c r="J276" i="31"/>
  <c r="J157" i="32"/>
  <c r="J157" i="31"/>
  <c r="G2122" i="32"/>
  <c r="G2122" i="31"/>
  <c r="G2104" i="32"/>
  <c r="G2104" i="31"/>
  <c r="G2224" i="32"/>
  <c r="G2224" i="31"/>
  <c r="G2123" i="19"/>
  <c r="G2123" i="32"/>
  <c r="G2123" i="31"/>
  <c r="G2299" i="32"/>
  <c r="G2299" i="31"/>
  <c r="G2293" i="32"/>
  <c r="G2293" i="31"/>
  <c r="I2265" i="1"/>
  <c r="G2265" i="32"/>
  <c r="G2265" i="31"/>
  <c r="G2359" i="32"/>
  <c r="G2359" i="31"/>
  <c r="G2331" i="32"/>
  <c r="G2331" i="31"/>
  <c r="G2273" i="32"/>
  <c r="G2273" i="31"/>
  <c r="F2163" i="32"/>
  <c r="F2163" i="31"/>
  <c r="G2214" i="32"/>
  <c r="G2214" i="31"/>
  <c r="G2213" i="19"/>
  <c r="G2213" i="32"/>
  <c r="G2213" i="31"/>
  <c r="F2181" i="32"/>
  <c r="F2181" i="31"/>
  <c r="J318" i="32"/>
  <c r="J318" i="31"/>
  <c r="J256" i="32"/>
  <c r="J256" i="31"/>
  <c r="J160" i="32"/>
  <c r="J160" i="31"/>
  <c r="J180" i="32"/>
  <c r="J180" i="31"/>
  <c r="G2202" i="32"/>
  <c r="G2202" i="31"/>
  <c r="G2281" i="32"/>
  <c r="G2281" i="31"/>
  <c r="G2340" i="32"/>
  <c r="G2340" i="31"/>
  <c r="G2167" i="32"/>
  <c r="G2167" i="31"/>
  <c r="G2317" i="32"/>
  <c r="G2317" i="31"/>
  <c r="G2324" i="32"/>
  <c r="G2324" i="31"/>
  <c r="G2166" i="32"/>
  <c r="G2166" i="31"/>
  <c r="G2337" i="32"/>
  <c r="G2337" i="31"/>
  <c r="G2277" i="32"/>
  <c r="G2277" i="31"/>
  <c r="G2147" i="32"/>
  <c r="G2147" i="31"/>
  <c r="G2371" i="32"/>
  <c r="G2371" i="31"/>
  <c r="G2194" i="32"/>
  <c r="G2194" i="31"/>
  <c r="G2187" i="32"/>
  <c r="G2187" i="31"/>
  <c r="G2173" i="32"/>
  <c r="G2173" i="31"/>
  <c r="J243" i="32"/>
  <c r="J243" i="31"/>
  <c r="J245" i="32"/>
  <c r="J245" i="31"/>
  <c r="F2182" i="32"/>
  <c r="F2182" i="31"/>
  <c r="J608" i="32"/>
  <c r="J608" i="31"/>
  <c r="J2387" i="32"/>
  <c r="J2387" i="31"/>
  <c r="J261" i="32"/>
  <c r="J261" i="31"/>
  <c r="G2109" i="32"/>
  <c r="G2109" i="31"/>
  <c r="G2204" i="32"/>
  <c r="G2204" i="31"/>
  <c r="G2126" i="32"/>
  <c r="G2126" i="31"/>
  <c r="G2228" i="32"/>
  <c r="G2228" i="31"/>
  <c r="G2240" i="32"/>
  <c r="G2240" i="31"/>
  <c r="G2127" i="32"/>
  <c r="G2127" i="31"/>
  <c r="G2151" i="32"/>
  <c r="G2151" i="31"/>
  <c r="I2375" i="1"/>
  <c r="G2375" i="32"/>
  <c r="G2375" i="31"/>
  <c r="G2341" i="32"/>
  <c r="G2341" i="31"/>
  <c r="G2176" i="32"/>
  <c r="G2176" i="31"/>
  <c r="J2383" i="1"/>
  <c r="I2383" i="32"/>
  <c r="I2383" i="31"/>
  <c r="G2366" i="32"/>
  <c r="G2366" i="31"/>
  <c r="F2161" i="32"/>
  <c r="F2161" i="31"/>
  <c r="J603" i="32"/>
  <c r="J603" i="31"/>
  <c r="J168" i="32"/>
  <c r="J168" i="31"/>
  <c r="J354" i="32"/>
  <c r="J354" i="31"/>
  <c r="J288" i="32"/>
  <c r="J288" i="31"/>
  <c r="J279" i="32"/>
  <c r="J279" i="31"/>
  <c r="J176" i="32"/>
  <c r="J176" i="31"/>
  <c r="J271" i="32"/>
  <c r="J271" i="31"/>
  <c r="G2172" i="32"/>
  <c r="G2172" i="31"/>
  <c r="G2222" i="32"/>
  <c r="G2222" i="31"/>
  <c r="G2196" i="32"/>
  <c r="G2196" i="31"/>
  <c r="G2325" i="32"/>
  <c r="G2325" i="31"/>
  <c r="G2107" i="32"/>
  <c r="G2107" i="31"/>
  <c r="G2212" i="32"/>
  <c r="G2212" i="31"/>
  <c r="G2201" i="32"/>
  <c r="G2201" i="31"/>
  <c r="G2135" i="32"/>
  <c r="G2135" i="31"/>
  <c r="I2347" i="1"/>
  <c r="G2347" i="32"/>
  <c r="G2347" i="31"/>
  <c r="I2399" i="32"/>
  <c r="I2399" i="31"/>
  <c r="G2218" i="32"/>
  <c r="G2218" i="31"/>
  <c r="F2160" i="32"/>
  <c r="F2160" i="31"/>
  <c r="J598" i="32"/>
  <c r="M598" i="32" s="1"/>
  <c r="N598" i="32" s="1"/>
  <c r="J598" i="31"/>
  <c r="M598" i="31" s="1"/>
  <c r="N598" i="31" s="1"/>
  <c r="J148" i="32"/>
  <c r="J148" i="31"/>
  <c r="J164" i="32"/>
  <c r="J164" i="31"/>
  <c r="J402" i="32"/>
  <c r="J402" i="31"/>
  <c r="J492" i="32"/>
  <c r="J492" i="31"/>
  <c r="J266" i="32"/>
  <c r="J266" i="31"/>
  <c r="G2336" i="32"/>
  <c r="G2336" i="31"/>
  <c r="G2206" i="32"/>
  <c r="G2206" i="31"/>
  <c r="G2338" i="32"/>
  <c r="G2338" i="31"/>
  <c r="G2365" i="32"/>
  <c r="G2365" i="31"/>
  <c r="G2223" i="32"/>
  <c r="G2223" i="31"/>
  <c r="G2379" i="32"/>
  <c r="G2379" i="31"/>
  <c r="G2289" i="32"/>
  <c r="G2289" i="31"/>
  <c r="G2269" i="32"/>
  <c r="G2269" i="31"/>
  <c r="G2343" i="32"/>
  <c r="G2343" i="31"/>
  <c r="G2205" i="32"/>
  <c r="G2205" i="31"/>
  <c r="G2192" i="32"/>
  <c r="G2192" i="31"/>
  <c r="I2391" i="32"/>
  <c r="I2391" i="31"/>
  <c r="G2217" i="32"/>
  <c r="G2217" i="31"/>
  <c r="F2178" i="32"/>
  <c r="F2178" i="31"/>
  <c r="J613" i="32"/>
  <c r="J613" i="31"/>
  <c r="J593" i="32"/>
  <c r="J593" i="31"/>
  <c r="J291" i="32"/>
  <c r="J291" i="31"/>
  <c r="J285" i="32"/>
  <c r="J285" i="31"/>
  <c r="J145" i="32"/>
  <c r="J145" i="31"/>
  <c r="G2108" i="32"/>
  <c r="G2108" i="31"/>
  <c r="G2125" i="32"/>
  <c r="G2125" i="31"/>
  <c r="G2208" i="32"/>
  <c r="G2208" i="31"/>
  <c r="G2115" i="32"/>
  <c r="G2115" i="31"/>
  <c r="G2311" i="32"/>
  <c r="G2311" i="31"/>
  <c r="I2395" i="32"/>
  <c r="I2395" i="31"/>
  <c r="G2257" i="32"/>
  <c r="G2257" i="31"/>
  <c r="F2369" i="32"/>
  <c r="F2369" i="31"/>
  <c r="F2370" i="32"/>
  <c r="F2370" i="31"/>
  <c r="J247" i="32"/>
  <c r="J247" i="31"/>
  <c r="G2364" i="32"/>
  <c r="G2364" i="31"/>
  <c r="F2179" i="32"/>
  <c r="F2179" i="31"/>
  <c r="J154" i="32"/>
  <c r="J154" i="31"/>
  <c r="J360" i="32"/>
  <c r="J360" i="31"/>
  <c r="J468" i="32"/>
  <c r="M468" i="32" s="1"/>
  <c r="N468" i="32" s="1"/>
  <c r="J468" i="31"/>
  <c r="M468" i="31" s="1"/>
  <c r="N468" i="31" s="1"/>
  <c r="J151" i="32"/>
  <c r="J151" i="31"/>
  <c r="G2342" i="32"/>
  <c r="G2342" i="31"/>
  <c r="G2241" i="32"/>
  <c r="G2241" i="31"/>
  <c r="G2305" i="32"/>
  <c r="G2305" i="31"/>
  <c r="G2169" i="32"/>
  <c r="G2169" i="31"/>
  <c r="G2170" i="32"/>
  <c r="G2170" i="31"/>
  <c r="G2105" i="32"/>
  <c r="G2105" i="31"/>
  <c r="G2198" i="32"/>
  <c r="G2198" i="31"/>
  <c r="G2200" i="32"/>
  <c r="G2200" i="31"/>
  <c r="G2155" i="32"/>
  <c r="G2155" i="31"/>
  <c r="G2327" i="32"/>
  <c r="G2327" i="31"/>
  <c r="G2253" i="32"/>
  <c r="G2253" i="31"/>
  <c r="G2143" i="32"/>
  <c r="G2143" i="31"/>
  <c r="F2164" i="32"/>
  <c r="F2164" i="31"/>
  <c r="F2368" i="32"/>
  <c r="F2368" i="31"/>
  <c r="I2387" i="32"/>
  <c r="I2387" i="31"/>
  <c r="G2242" i="32"/>
  <c r="G2242" i="31"/>
  <c r="G2184" i="32"/>
  <c r="G2184" i="31"/>
  <c r="J2403" i="1"/>
  <c r="I2403" i="32"/>
  <c r="I2403" i="31"/>
  <c r="I2131" i="32"/>
  <c r="I2131" i="31"/>
  <c r="J303" i="32"/>
  <c r="J303" i="31"/>
  <c r="J297" i="32"/>
  <c r="J297" i="31"/>
  <c r="J142" i="32"/>
  <c r="J142" i="31"/>
  <c r="G2197" i="32"/>
  <c r="G2197" i="31"/>
  <c r="G2230" i="32"/>
  <c r="G2230" i="31"/>
  <c r="G2351" i="32"/>
  <c r="G2351" i="31"/>
  <c r="G2249" i="32"/>
  <c r="G2249" i="31"/>
  <c r="G2245" i="19"/>
  <c r="G2245" i="32"/>
  <c r="G2245" i="31"/>
  <c r="G2355" i="32"/>
  <c r="G2355" i="31"/>
  <c r="I2285" i="1"/>
  <c r="G2285" i="32"/>
  <c r="G2285" i="31"/>
  <c r="G2210" i="32"/>
  <c r="G2210" i="31"/>
  <c r="G2326" i="32"/>
  <c r="G2326" i="31"/>
  <c r="I2407" i="32"/>
  <c r="I2407" i="31"/>
  <c r="G2209" i="32"/>
  <c r="G2209" i="31"/>
  <c r="G2186" i="19"/>
  <c r="G2186" i="32"/>
  <c r="G2186" i="31"/>
  <c r="G2175" i="32"/>
  <c r="G2175" i="31"/>
  <c r="T118" i="32"/>
  <c r="Y1626" i="32"/>
  <c r="T118" i="31"/>
  <c r="Y1626" i="31"/>
  <c r="G2209" i="19"/>
  <c r="I2391" i="19"/>
  <c r="J2391" i="1"/>
  <c r="I2403" i="19"/>
  <c r="G2347" i="19"/>
  <c r="G2242" i="19"/>
  <c r="G2218" i="19"/>
  <c r="G2215" i="1"/>
  <c r="G2183" i="1"/>
  <c r="G2375" i="19"/>
  <c r="G2192" i="19"/>
  <c r="G2265" i="19"/>
  <c r="M468" i="1"/>
  <c r="N468" i="1" s="1"/>
  <c r="S468" i="1" s="1"/>
  <c r="G2214" i="19"/>
  <c r="F2369" i="19"/>
  <c r="J2407" i="1"/>
  <c r="G2289" i="19"/>
  <c r="M613" i="1"/>
  <c r="N613" i="1" s="1"/>
  <c r="S613" i="1" s="1"/>
  <c r="G2317" i="19"/>
  <c r="J2399" i="1"/>
  <c r="M598" i="1"/>
  <c r="N598" i="1" s="1"/>
  <c r="G2273" i="19"/>
  <c r="G2184" i="19"/>
  <c r="I2269" i="1"/>
  <c r="G2205" i="19"/>
  <c r="I2273" i="1"/>
  <c r="I2383" i="19"/>
  <c r="I2407" i="19"/>
  <c r="I2399" i="19"/>
  <c r="G2222" i="19"/>
  <c r="G2230" i="19"/>
  <c r="G2228" i="19"/>
  <c r="I2379" i="1"/>
  <c r="I2293" i="1"/>
  <c r="G2364" i="19"/>
  <c r="G2169" i="19"/>
  <c r="G2240" i="19"/>
  <c r="G2208" i="19"/>
  <c r="G2170" i="19"/>
  <c r="G2122" i="19"/>
  <c r="G2211" i="1"/>
  <c r="G2163" i="1"/>
  <c r="I2299" i="1"/>
  <c r="J2395" i="1"/>
  <c r="G2370" i="1"/>
  <c r="I2331" i="1"/>
  <c r="G2331" i="19"/>
  <c r="G2341" i="19"/>
  <c r="G2191" i="1"/>
  <c r="G2369" i="1"/>
  <c r="G2194" i="19"/>
  <c r="H2239" i="19"/>
  <c r="F2163" i="19"/>
  <c r="G2135" i="19"/>
  <c r="G2187" i="19"/>
  <c r="G2173" i="19"/>
  <c r="G2366" i="19"/>
  <c r="F2368" i="19"/>
  <c r="G2368" i="1"/>
  <c r="I2343" i="1"/>
  <c r="I2257" i="1"/>
  <c r="G2343" i="19"/>
  <c r="G2257" i="19"/>
  <c r="F2370" i="19"/>
  <c r="G2164" i="1"/>
  <c r="G2224" i="19"/>
  <c r="F2164" i="19"/>
  <c r="G2176" i="19"/>
  <c r="G2326" i="19"/>
  <c r="G2198" i="19"/>
  <c r="G2299" i="19"/>
  <c r="I2327" i="1"/>
  <c r="G2108" i="19"/>
  <c r="G2125" i="19"/>
  <c r="I2311" i="1"/>
  <c r="G2327" i="19"/>
  <c r="I2317" i="1"/>
  <c r="G2311" i="19"/>
  <c r="G2200" i="19"/>
  <c r="G2281" i="19"/>
  <c r="G2201" i="19"/>
  <c r="G2363" i="1"/>
  <c r="G2340" i="19"/>
  <c r="G2338" i="19"/>
  <c r="I2289" i="1"/>
  <c r="I2395" i="19"/>
  <c r="G2351" i="19"/>
  <c r="G2269" i="19"/>
  <c r="I2359" i="1"/>
  <c r="I2355" i="1"/>
  <c r="G2127" i="19"/>
  <c r="G2253" i="19"/>
  <c r="G2166" i="19"/>
  <c r="G2324" i="19"/>
  <c r="G2355" i="19"/>
  <c r="G2241" i="19"/>
  <c r="G2359" i="19"/>
  <c r="I2151" i="1"/>
  <c r="G2323" i="1"/>
  <c r="G2151" i="19"/>
  <c r="I2143" i="1"/>
  <c r="G2143" i="19"/>
  <c r="G2171" i="1"/>
  <c r="G2172" i="19"/>
  <c r="I2281" i="1"/>
  <c r="G2365" i="19"/>
  <c r="G2147" i="19"/>
  <c r="G2167" i="19"/>
  <c r="G2197" i="19"/>
  <c r="I2147" i="1"/>
  <c r="G2379" i="19"/>
  <c r="G2107" i="19"/>
  <c r="J2379" i="1"/>
  <c r="G2335" i="1"/>
  <c r="Y1626" i="19"/>
  <c r="G2105" i="19"/>
  <c r="G2293" i="19"/>
  <c r="G2207" i="1"/>
  <c r="I2351" i="1"/>
  <c r="G2204" i="19"/>
  <c r="G2165" i="1"/>
  <c r="I2305" i="1"/>
  <c r="G2249" i="19"/>
  <c r="I2155" i="1"/>
  <c r="I2371" i="1"/>
  <c r="G2155" i="19"/>
  <c r="G2371" i="19"/>
  <c r="G2227" i="1"/>
  <c r="G2121" i="1"/>
  <c r="G2239" i="1"/>
  <c r="G2202" i="19"/>
  <c r="I2115" i="1"/>
  <c r="G2103" i="1"/>
  <c r="G2337" i="19"/>
  <c r="G2115" i="19"/>
  <c r="G2104" i="19"/>
  <c r="G2199" i="1"/>
  <c r="G2336" i="19"/>
  <c r="G2195" i="1"/>
  <c r="G2212" i="19"/>
  <c r="G2203" i="1"/>
  <c r="I2277" i="1"/>
  <c r="G2109" i="19"/>
  <c r="G2277" i="19"/>
  <c r="G2325" i="19"/>
  <c r="G2221" i="1"/>
  <c r="G2223" i="19"/>
  <c r="G2196" i="19"/>
  <c r="H2207" i="19"/>
  <c r="H2159" i="19"/>
  <c r="H2199" i="19"/>
  <c r="G2182" i="1"/>
  <c r="F2182" i="19"/>
  <c r="H2227" i="19"/>
  <c r="H2187" i="19"/>
  <c r="G2206" i="19"/>
  <c r="G2305" i="19"/>
  <c r="G2126" i="19"/>
  <c r="G2161" i="1"/>
  <c r="F2161" i="19"/>
  <c r="H2367" i="19"/>
  <c r="G2339" i="1"/>
  <c r="G2342" i="19"/>
  <c r="H2221" i="19"/>
  <c r="H2177" i="19"/>
  <c r="G2181" i="1"/>
  <c r="F2181" i="19"/>
  <c r="G2160" i="1"/>
  <c r="F2160" i="19"/>
  <c r="H2249" i="19"/>
  <c r="I2109" i="1"/>
  <c r="H2135" i="19"/>
  <c r="H2139" i="19"/>
  <c r="G2179" i="1"/>
  <c r="F2179" i="19"/>
  <c r="G2178" i="1"/>
  <c r="F2178" i="19"/>
  <c r="H2127" i="19"/>
  <c r="H2211" i="19"/>
  <c r="J2131" i="1"/>
  <c r="I2131" i="19"/>
  <c r="J2347" i="1"/>
  <c r="I2347" i="19"/>
  <c r="J276" i="19"/>
  <c r="J360" i="19"/>
  <c r="J160" i="19"/>
  <c r="J157" i="19"/>
  <c r="J180" i="19"/>
  <c r="J354" i="19"/>
  <c r="J176" i="19"/>
  <c r="J468" i="19"/>
  <c r="J145" i="19"/>
  <c r="J151" i="19"/>
  <c r="J142" i="19"/>
  <c r="J148" i="19"/>
  <c r="J172" i="19"/>
  <c r="J266" i="19"/>
  <c r="J168" i="19"/>
  <c r="J291" i="19"/>
  <c r="J288" i="19"/>
  <c r="J294" i="19"/>
  <c r="J164" i="19"/>
  <c r="J285" i="19"/>
  <c r="J318" i="19"/>
  <c r="J261" i="19"/>
  <c r="J154" i="19"/>
  <c r="J402" i="19"/>
  <c r="J303" i="19"/>
  <c r="J297" i="19"/>
  <c r="J279" i="19"/>
  <c r="J256" i="19"/>
  <c r="J492" i="19"/>
  <c r="J271" i="19"/>
  <c r="J608" i="19"/>
  <c r="J603" i="19"/>
  <c r="J598" i="19"/>
  <c r="J613" i="19"/>
  <c r="J593" i="19"/>
  <c r="S1626" i="1"/>
  <c r="R1626" i="1"/>
  <c r="Q1626" i="1"/>
  <c r="R117" i="1"/>
  <c r="Q117" i="1"/>
  <c r="S117" i="1"/>
  <c r="T118" i="19"/>
  <c r="N2554" i="1"/>
  <c r="O1625" i="1"/>
  <c r="F7" i="7"/>
  <c r="S11" i="11" s="1"/>
  <c r="I2187" i="1"/>
  <c r="I2139" i="1"/>
  <c r="I2127" i="1"/>
  <c r="I2135" i="1"/>
  <c r="I2249" i="1"/>
  <c r="M2391" i="1" l="1"/>
  <c r="N2391" i="1" s="1"/>
  <c r="J2261" i="1"/>
  <c r="I2261" i="31"/>
  <c r="I2261" i="32"/>
  <c r="I2233" i="1"/>
  <c r="J2387" i="19"/>
  <c r="I2261" i="19"/>
  <c r="I2269" i="19"/>
  <c r="J2269" i="1"/>
  <c r="J2269" i="32" s="1"/>
  <c r="G2233" i="19"/>
  <c r="G2233" i="32"/>
  <c r="G2233" i="31"/>
  <c r="I2265" i="19"/>
  <c r="J2265" i="1"/>
  <c r="J2285" i="1"/>
  <c r="I2375" i="19"/>
  <c r="J2407" i="19"/>
  <c r="J2375" i="1"/>
  <c r="J2383" i="19"/>
  <c r="I2285" i="19"/>
  <c r="J2403" i="19"/>
  <c r="I2317" i="19"/>
  <c r="J2391" i="19"/>
  <c r="I2379" i="19"/>
  <c r="G2183" i="19"/>
  <c r="M2395" i="1"/>
  <c r="N2395" i="1" s="1"/>
  <c r="J2261" i="32"/>
  <c r="J2261" i="31"/>
  <c r="G2339" i="32"/>
  <c r="G2339" i="31"/>
  <c r="G2182" i="32"/>
  <c r="G2182" i="31"/>
  <c r="G2103" i="32"/>
  <c r="G2103" i="31"/>
  <c r="I2281" i="32"/>
  <c r="I2281" i="31"/>
  <c r="G2369" i="19"/>
  <c r="G2369" i="32"/>
  <c r="G2369" i="31"/>
  <c r="J2299" i="1"/>
  <c r="J2299" i="19" s="1"/>
  <c r="I2299" i="32"/>
  <c r="I2299" i="31"/>
  <c r="J2399" i="32"/>
  <c r="M2399" i="32" s="1"/>
  <c r="N2399" i="32" s="1"/>
  <c r="J2399" i="31"/>
  <c r="M2399" i="1"/>
  <c r="N2399" i="1" s="1"/>
  <c r="P599" i="31"/>
  <c r="P600" i="31"/>
  <c r="S598" i="31"/>
  <c r="P601" i="31"/>
  <c r="R598" i="31"/>
  <c r="Q598" i="31"/>
  <c r="O589" i="31"/>
  <c r="P589" i="31" s="1"/>
  <c r="G2178" i="32"/>
  <c r="G2178" i="31"/>
  <c r="I2109" i="32"/>
  <c r="I2109" i="31"/>
  <c r="G2181" i="32"/>
  <c r="G2181" i="31"/>
  <c r="G2199" i="32"/>
  <c r="G2199" i="31"/>
  <c r="I2115" i="32"/>
  <c r="I2115" i="31"/>
  <c r="G2165" i="32"/>
  <c r="G2165" i="31"/>
  <c r="J2379" i="32"/>
  <c r="J2379" i="31"/>
  <c r="I2289" i="32"/>
  <c r="I2289" i="31"/>
  <c r="G2191" i="32"/>
  <c r="G2191" i="31"/>
  <c r="R598" i="32"/>
  <c r="Q598" i="32"/>
  <c r="P599" i="32"/>
  <c r="P600" i="32"/>
  <c r="O589" i="32"/>
  <c r="P589" i="32" s="1"/>
  <c r="S598" i="32"/>
  <c r="P601" i="32"/>
  <c r="J2131" i="32"/>
  <c r="J2131" i="31"/>
  <c r="G2323" i="32"/>
  <c r="G2323" i="31"/>
  <c r="G2363" i="32"/>
  <c r="G2363" i="31"/>
  <c r="I2317" i="32"/>
  <c r="I2317" i="31"/>
  <c r="I2327" i="32"/>
  <c r="I2327" i="31"/>
  <c r="I2269" i="32"/>
  <c r="I2269" i="31"/>
  <c r="J2407" i="32"/>
  <c r="J2407" i="31"/>
  <c r="J2403" i="32"/>
  <c r="J2403" i="31"/>
  <c r="I2265" i="32"/>
  <c r="I2265" i="31"/>
  <c r="I2277" i="32"/>
  <c r="I2277" i="31"/>
  <c r="G2239" i="32"/>
  <c r="G2239" i="31"/>
  <c r="I2371" i="32"/>
  <c r="I2371" i="31"/>
  <c r="G2171" i="32"/>
  <c r="G2171" i="31"/>
  <c r="I2151" i="32"/>
  <c r="I2151" i="31"/>
  <c r="I2359" i="32"/>
  <c r="I2359" i="31"/>
  <c r="I2257" i="32"/>
  <c r="I2257" i="31"/>
  <c r="G2211" i="32"/>
  <c r="G2211" i="31"/>
  <c r="G2183" i="32"/>
  <c r="G2183" i="31"/>
  <c r="I2375" i="32"/>
  <c r="I2375" i="31"/>
  <c r="I2249" i="32"/>
  <c r="I2249" i="31"/>
  <c r="I2127" i="32"/>
  <c r="I2127" i="31"/>
  <c r="J2347" i="32"/>
  <c r="J2347" i="31"/>
  <c r="G2179" i="32"/>
  <c r="G2179" i="31"/>
  <c r="G2203" i="32"/>
  <c r="G2203" i="31"/>
  <c r="I2351" i="32"/>
  <c r="I2351" i="31"/>
  <c r="I2147" i="32"/>
  <c r="I2147" i="31"/>
  <c r="G2163" i="32"/>
  <c r="G2163" i="31"/>
  <c r="I2285" i="32"/>
  <c r="I2285" i="31"/>
  <c r="I2139" i="32"/>
  <c r="I2139" i="31"/>
  <c r="G2161" i="32"/>
  <c r="G2161" i="31"/>
  <c r="G2221" i="32"/>
  <c r="G2221" i="31"/>
  <c r="G2121" i="32"/>
  <c r="G2121" i="31"/>
  <c r="I2155" i="32"/>
  <c r="I2155" i="31"/>
  <c r="I2207" i="1"/>
  <c r="G2207" i="32"/>
  <c r="G2207" i="31"/>
  <c r="G2164" i="32"/>
  <c r="G2164" i="31"/>
  <c r="I2343" i="32"/>
  <c r="I2343" i="31"/>
  <c r="G2215" i="32"/>
  <c r="G2215" i="31"/>
  <c r="P471" i="31"/>
  <c r="R468" i="31"/>
  <c r="Q468" i="31"/>
  <c r="P472" i="31"/>
  <c r="P473" i="31"/>
  <c r="P469" i="31"/>
  <c r="P470" i="31"/>
  <c r="S468" i="31"/>
  <c r="N2551" i="31"/>
  <c r="O228" i="31"/>
  <c r="I2347" i="32"/>
  <c r="I2347" i="31"/>
  <c r="I2135" i="32"/>
  <c r="I2135" i="31"/>
  <c r="I2187" i="32"/>
  <c r="I2187" i="31"/>
  <c r="G2160" i="32"/>
  <c r="G2160" i="31"/>
  <c r="I2227" i="1"/>
  <c r="G2227" i="32"/>
  <c r="G2227" i="31"/>
  <c r="G2335" i="32"/>
  <c r="G2335" i="31"/>
  <c r="J2311" i="1"/>
  <c r="I2311" i="32"/>
  <c r="I2311" i="31"/>
  <c r="G2370" i="32"/>
  <c r="G2370" i="31"/>
  <c r="J2395" i="19"/>
  <c r="J2395" i="32"/>
  <c r="J2395" i="31"/>
  <c r="M2395" i="31" s="1"/>
  <c r="N2395" i="31" s="1"/>
  <c r="I2293" i="32"/>
  <c r="I2293" i="31"/>
  <c r="P470" i="32"/>
  <c r="S468" i="32"/>
  <c r="P471" i="32"/>
  <c r="R468" i="32"/>
  <c r="Q468" i="32"/>
  <c r="P472" i="32"/>
  <c r="P473" i="32"/>
  <c r="P469" i="32"/>
  <c r="N2551" i="32"/>
  <c r="O228" i="32"/>
  <c r="J2383" i="32"/>
  <c r="J2383" i="31"/>
  <c r="G2195" i="32"/>
  <c r="G2195" i="31"/>
  <c r="I2305" i="32"/>
  <c r="I2305" i="31"/>
  <c r="I2143" i="32"/>
  <c r="I2143" i="31"/>
  <c r="I2355" i="32"/>
  <c r="I2355" i="31"/>
  <c r="I2233" i="32"/>
  <c r="I2233" i="31"/>
  <c r="G2368" i="32"/>
  <c r="G2368" i="31"/>
  <c r="I2331" i="32"/>
  <c r="I2331" i="31"/>
  <c r="I2379" i="32"/>
  <c r="I2379" i="31"/>
  <c r="I2273" i="32"/>
  <c r="I2273" i="31"/>
  <c r="J2391" i="32"/>
  <c r="J2391" i="31"/>
  <c r="T117" i="32"/>
  <c r="T613" i="32"/>
  <c r="T468" i="32"/>
  <c r="T1626" i="32"/>
  <c r="P469" i="1"/>
  <c r="S469" i="1" s="1"/>
  <c r="P470" i="1"/>
  <c r="R470" i="1" s="1"/>
  <c r="R468" i="1"/>
  <c r="T468" i="31"/>
  <c r="T117" i="31"/>
  <c r="T613" i="31"/>
  <c r="T1626" i="31"/>
  <c r="J2399" i="19"/>
  <c r="J2273" i="1"/>
  <c r="I2273" i="19"/>
  <c r="G2215" i="19"/>
  <c r="I2343" i="19"/>
  <c r="P614" i="1"/>
  <c r="S614" i="1" s="1"/>
  <c r="P615" i="1"/>
  <c r="R615" i="1" s="1"/>
  <c r="Q613" i="1"/>
  <c r="I2257" i="19"/>
  <c r="J2343" i="1"/>
  <c r="I2299" i="19"/>
  <c r="P616" i="1"/>
  <c r="R616" i="1" s="1"/>
  <c r="R613" i="1"/>
  <c r="O589" i="1"/>
  <c r="P589" i="1" s="1"/>
  <c r="G2191" i="19"/>
  <c r="P471" i="1"/>
  <c r="S471" i="1" s="1"/>
  <c r="P472" i="1"/>
  <c r="Q472" i="1" s="1"/>
  <c r="P473" i="1"/>
  <c r="Q473" i="1" s="1"/>
  <c r="Q468" i="1"/>
  <c r="J2359" i="1"/>
  <c r="J2257" i="1"/>
  <c r="P600" i="1"/>
  <c r="P601" i="1"/>
  <c r="S598" i="1"/>
  <c r="P599" i="1"/>
  <c r="R598" i="1"/>
  <c r="Q598" i="1"/>
  <c r="V598" i="1"/>
  <c r="W598" i="1" s="1"/>
  <c r="G2163" i="19"/>
  <c r="J2293" i="1"/>
  <c r="I2199" i="1"/>
  <c r="G2368" i="19"/>
  <c r="I2323" i="1"/>
  <c r="J2379" i="19"/>
  <c r="G2367" i="1"/>
  <c r="J2331" i="1"/>
  <c r="G2370" i="19"/>
  <c r="G2323" i="19"/>
  <c r="J2355" i="1"/>
  <c r="I2327" i="19"/>
  <c r="I2211" i="1"/>
  <c r="I2331" i="19"/>
  <c r="G2171" i="19"/>
  <c r="J2327" i="1"/>
  <c r="G2211" i="19"/>
  <c r="I2355" i="19"/>
  <c r="T613" i="19"/>
  <c r="V468" i="1"/>
  <c r="T468" i="19"/>
  <c r="V613" i="1"/>
  <c r="W613" i="1" s="1"/>
  <c r="I2171" i="1"/>
  <c r="I2103" i="1"/>
  <c r="I2147" i="19"/>
  <c r="I2281" i="19"/>
  <c r="I2233" i="19"/>
  <c r="I2363" i="1"/>
  <c r="I2109" i="19"/>
  <c r="G2165" i="19"/>
  <c r="I2293" i="19"/>
  <c r="G2207" i="19"/>
  <c r="I2289" i="19"/>
  <c r="I2305" i="19"/>
  <c r="G2227" i="19"/>
  <c r="I2359" i="19"/>
  <c r="G2164" i="19"/>
  <c r="I2203" i="1"/>
  <c r="J2155" i="1"/>
  <c r="G2203" i="19"/>
  <c r="I2311" i="19"/>
  <c r="I2143" i="19"/>
  <c r="I2221" i="1"/>
  <c r="J2143" i="1"/>
  <c r="J2289" i="1"/>
  <c r="G2221" i="19"/>
  <c r="I2155" i="19"/>
  <c r="G2182" i="19"/>
  <c r="J2317" i="1"/>
  <c r="G2363" i="19"/>
  <c r="J2351" i="1"/>
  <c r="I2165" i="1"/>
  <c r="J2151" i="1"/>
  <c r="J2147" i="1"/>
  <c r="I2151" i="19"/>
  <c r="J2233" i="1"/>
  <c r="J2305" i="1"/>
  <c r="G2199" i="19"/>
  <c r="G2339" i="19"/>
  <c r="G2160" i="19"/>
  <c r="I2277" i="19"/>
  <c r="G2195" i="19"/>
  <c r="J2281" i="1"/>
  <c r="J2277" i="1"/>
  <c r="G2179" i="19"/>
  <c r="I2335" i="1"/>
  <c r="I2351" i="19"/>
  <c r="J2109" i="1"/>
  <c r="I2121" i="1"/>
  <c r="G2335" i="19"/>
  <c r="G2121" i="19"/>
  <c r="G2239" i="19"/>
  <c r="I2239" i="1"/>
  <c r="I2371" i="19"/>
  <c r="G2159" i="1"/>
  <c r="G2177" i="1"/>
  <c r="G2103" i="19"/>
  <c r="G2161" i="19"/>
  <c r="G2181" i="19"/>
  <c r="J2371" i="1"/>
  <c r="J2115" i="1"/>
  <c r="I2115" i="19"/>
  <c r="I2339" i="1"/>
  <c r="G2178" i="19"/>
  <c r="I2139" i="19"/>
  <c r="H2195" i="19"/>
  <c r="H2191" i="19"/>
  <c r="H2183" i="19"/>
  <c r="H2253" i="19"/>
  <c r="J2187" i="1"/>
  <c r="I2187" i="19"/>
  <c r="J2347" i="19"/>
  <c r="J2131" i="19"/>
  <c r="J2135" i="1"/>
  <c r="I2135" i="19"/>
  <c r="I2127" i="19"/>
  <c r="I2249" i="19"/>
  <c r="J2261" i="19"/>
  <c r="T117" i="19"/>
  <c r="T1626" i="19"/>
  <c r="F13" i="7"/>
  <c r="S17" i="11" s="1"/>
  <c r="P1625" i="1"/>
  <c r="O2554" i="1"/>
  <c r="J2127" i="1"/>
  <c r="J2249" i="1"/>
  <c r="J2139" i="1"/>
  <c r="S11" i="12"/>
  <c r="I2183" i="1"/>
  <c r="I2191" i="1"/>
  <c r="I2253" i="1"/>
  <c r="I2195" i="1"/>
  <c r="J2269" i="31" l="1"/>
  <c r="V2391" i="1"/>
  <c r="W2391" i="1" s="1"/>
  <c r="R2391" i="1"/>
  <c r="P2393" i="1"/>
  <c r="Q2391" i="1"/>
  <c r="S2391" i="1"/>
  <c r="P2392" i="1"/>
  <c r="P2394" i="1"/>
  <c r="J2265" i="19"/>
  <c r="J2269" i="19"/>
  <c r="J2375" i="19"/>
  <c r="J2375" i="31"/>
  <c r="J2375" i="32"/>
  <c r="J2265" i="31"/>
  <c r="J2265" i="32"/>
  <c r="J2285" i="31"/>
  <c r="J2285" i="19"/>
  <c r="J2285" i="32"/>
  <c r="J2327" i="19"/>
  <c r="J2273" i="19"/>
  <c r="J2227" i="1"/>
  <c r="J2207" i="1"/>
  <c r="I2207" i="19"/>
  <c r="I2227" i="19"/>
  <c r="J2311" i="19"/>
  <c r="J2355" i="19"/>
  <c r="J2323" i="1"/>
  <c r="J2257" i="19"/>
  <c r="J2293" i="19"/>
  <c r="Q2395" i="31"/>
  <c r="P2396" i="31"/>
  <c r="P2398" i="31"/>
  <c r="P2397" i="31"/>
  <c r="R2395" i="31"/>
  <c r="S2395" i="31"/>
  <c r="V2395" i="1"/>
  <c r="W2395" i="1" s="1"/>
  <c r="S2395" i="1"/>
  <c r="R2395" i="1"/>
  <c r="Q2395" i="1"/>
  <c r="P2396" i="1"/>
  <c r="P2397" i="1"/>
  <c r="P2398" i="1"/>
  <c r="M2299" i="1"/>
  <c r="N2299" i="1" s="1"/>
  <c r="Q469" i="1"/>
  <c r="R469" i="1"/>
  <c r="I2253" i="32"/>
  <c r="I2253" i="31"/>
  <c r="S473" i="31"/>
  <c r="R473" i="31"/>
  <c r="Q473" i="31"/>
  <c r="Q470" i="32"/>
  <c r="S470" i="32"/>
  <c r="R470" i="32"/>
  <c r="S472" i="31"/>
  <c r="R472" i="31"/>
  <c r="Q472" i="31"/>
  <c r="S599" i="32"/>
  <c r="R599" i="32"/>
  <c r="Q599" i="32"/>
  <c r="R589" i="31"/>
  <c r="Q589" i="31"/>
  <c r="S589" i="31"/>
  <c r="S600" i="32"/>
  <c r="R600" i="32"/>
  <c r="Q600" i="32"/>
  <c r="I2191" i="32"/>
  <c r="I2191" i="31"/>
  <c r="J2187" i="32"/>
  <c r="J2187" i="31"/>
  <c r="J2371" i="32"/>
  <c r="J2371" i="31"/>
  <c r="J2351" i="32"/>
  <c r="J2351" i="31"/>
  <c r="J2343" i="32"/>
  <c r="J2343" i="31"/>
  <c r="S469" i="32"/>
  <c r="R469" i="32"/>
  <c r="Q469" i="32"/>
  <c r="O2551" i="31"/>
  <c r="P228" i="31"/>
  <c r="S470" i="1"/>
  <c r="J2359" i="32"/>
  <c r="J2359" i="31"/>
  <c r="J2273" i="32"/>
  <c r="J2273" i="31"/>
  <c r="S473" i="32"/>
  <c r="R473" i="32"/>
  <c r="Q473" i="32"/>
  <c r="J2311" i="32"/>
  <c r="M2311" i="32" s="1"/>
  <c r="N2311" i="32" s="1"/>
  <c r="J2311" i="31"/>
  <c r="M2311" i="31" s="1"/>
  <c r="N2311" i="31" s="1"/>
  <c r="M2311" i="1"/>
  <c r="N2311" i="1" s="1"/>
  <c r="J2199" i="1"/>
  <c r="I2199" i="32"/>
  <c r="I2199" i="31"/>
  <c r="G2159" i="32"/>
  <c r="G2159" i="31"/>
  <c r="J2211" i="1"/>
  <c r="I2211" i="32"/>
  <c r="I2211" i="31"/>
  <c r="G2367" i="32"/>
  <c r="G2367" i="31"/>
  <c r="J2139" i="32"/>
  <c r="J2139" i="31"/>
  <c r="J2147" i="32"/>
  <c r="J2147" i="31"/>
  <c r="S472" i="32"/>
  <c r="R472" i="32"/>
  <c r="Q472" i="32"/>
  <c r="I2227" i="32"/>
  <c r="I2227" i="31"/>
  <c r="S471" i="31"/>
  <c r="R471" i="31"/>
  <c r="Q471" i="31"/>
  <c r="R601" i="31"/>
  <c r="Q601" i="31"/>
  <c r="S601" i="31"/>
  <c r="P2400" i="1"/>
  <c r="S2399" i="1"/>
  <c r="R2399" i="1"/>
  <c r="Q2399" i="1"/>
  <c r="P2401" i="1"/>
  <c r="P2402" i="1"/>
  <c r="J2115" i="32"/>
  <c r="J2115" i="31"/>
  <c r="J2257" i="32"/>
  <c r="J2257" i="31"/>
  <c r="I2339" i="32"/>
  <c r="I2339" i="31"/>
  <c r="J2151" i="32"/>
  <c r="J2151" i="31"/>
  <c r="J2143" i="32"/>
  <c r="J2143" i="31"/>
  <c r="I2171" i="32"/>
  <c r="I2171" i="31"/>
  <c r="Q601" i="32"/>
  <c r="R601" i="32"/>
  <c r="S601" i="32"/>
  <c r="I2183" i="32"/>
  <c r="I2183" i="31"/>
  <c r="J2277" i="32"/>
  <c r="J2277" i="31"/>
  <c r="J2355" i="32"/>
  <c r="J2355" i="31"/>
  <c r="J2249" i="32"/>
  <c r="J2249" i="31"/>
  <c r="I2335" i="32"/>
  <c r="I2335" i="31"/>
  <c r="I2221" i="19"/>
  <c r="I2221" i="32"/>
  <c r="I2221" i="31"/>
  <c r="I2203" i="32"/>
  <c r="I2203" i="31"/>
  <c r="I2103" i="32"/>
  <c r="I2103" i="31"/>
  <c r="S470" i="31"/>
  <c r="R470" i="31"/>
  <c r="Q470" i="31"/>
  <c r="Q600" i="31"/>
  <c r="S600" i="31"/>
  <c r="R600" i="31"/>
  <c r="S2399" i="32"/>
  <c r="P2400" i="32"/>
  <c r="Q2399" i="32"/>
  <c r="R2399" i="32"/>
  <c r="P2402" i="32"/>
  <c r="P2401" i="32"/>
  <c r="V2399" i="1"/>
  <c r="W2399" i="1" s="1"/>
  <c r="J2299" i="32"/>
  <c r="J2299" i="31"/>
  <c r="J2135" i="32"/>
  <c r="J2135" i="31"/>
  <c r="M2233" i="1"/>
  <c r="N2233" i="1" s="1"/>
  <c r="R2233" i="1" s="1"/>
  <c r="J2233" i="32"/>
  <c r="M2233" i="32" s="1"/>
  <c r="N2233" i="32" s="1"/>
  <c r="J2233" i="31"/>
  <c r="M2233" i="31" s="1"/>
  <c r="N2233" i="31" s="1"/>
  <c r="J2331" i="32"/>
  <c r="J2331" i="31"/>
  <c r="I2121" i="32"/>
  <c r="I2121" i="31"/>
  <c r="J2289" i="32"/>
  <c r="J2289" i="31"/>
  <c r="J2363" i="1"/>
  <c r="I2363" i="32"/>
  <c r="I2363" i="31"/>
  <c r="I2239" i="32"/>
  <c r="I2239" i="31"/>
  <c r="M2109" i="1"/>
  <c r="N2109" i="1" s="1"/>
  <c r="R2109" i="1" s="1"/>
  <c r="J2109" i="32"/>
  <c r="M2109" i="32" s="1"/>
  <c r="N2109" i="32" s="1"/>
  <c r="J2109" i="31"/>
  <c r="M2109" i="31" s="1"/>
  <c r="N2109" i="31" s="1"/>
  <c r="J2281" i="32"/>
  <c r="J2281" i="31"/>
  <c r="J2317" i="32"/>
  <c r="J2317" i="31"/>
  <c r="J2155" i="32"/>
  <c r="J2155" i="31"/>
  <c r="I2195" i="32"/>
  <c r="I2195" i="31"/>
  <c r="J2127" i="32"/>
  <c r="J2127" i="31"/>
  <c r="G2177" i="32"/>
  <c r="G2177" i="31"/>
  <c r="J2305" i="32"/>
  <c r="J2305" i="31"/>
  <c r="I2165" i="32"/>
  <c r="I2165" i="31"/>
  <c r="J2327" i="32"/>
  <c r="J2327" i="31"/>
  <c r="I2323" i="19"/>
  <c r="I2323" i="32"/>
  <c r="I2323" i="31"/>
  <c r="J2293" i="32"/>
  <c r="J2293" i="31"/>
  <c r="P228" i="32"/>
  <c r="O2551" i="32"/>
  <c r="Q471" i="32"/>
  <c r="R471" i="32"/>
  <c r="S471" i="32"/>
  <c r="S469" i="31"/>
  <c r="R469" i="31"/>
  <c r="Q469" i="31"/>
  <c r="I2207" i="32"/>
  <c r="I2207" i="31"/>
  <c r="R589" i="32"/>
  <c r="S589" i="32"/>
  <c r="Q589" i="32"/>
  <c r="R599" i="31"/>
  <c r="Q599" i="31"/>
  <c r="S599" i="31"/>
  <c r="Q470" i="1"/>
  <c r="T471" i="32"/>
  <c r="T469" i="32"/>
  <c r="Y613" i="32"/>
  <c r="T614" i="32"/>
  <c r="Q471" i="1"/>
  <c r="Y598" i="31"/>
  <c r="Y598" i="32"/>
  <c r="T598" i="31"/>
  <c r="T598" i="32"/>
  <c r="T469" i="31"/>
  <c r="Y613" i="31"/>
  <c r="T471" i="31"/>
  <c r="T614" i="31"/>
  <c r="R472" i="1"/>
  <c r="S472" i="1"/>
  <c r="R471" i="1"/>
  <c r="Q614" i="1"/>
  <c r="R614" i="1"/>
  <c r="S615" i="1"/>
  <c r="Q615" i="1"/>
  <c r="J2359" i="19"/>
  <c r="J2343" i="19"/>
  <c r="G2367" i="19"/>
  <c r="S616" i="1"/>
  <c r="Q616" i="1"/>
  <c r="F9" i="7"/>
  <c r="S13" i="11" s="1"/>
  <c r="I2199" i="19"/>
  <c r="S473" i="1"/>
  <c r="R473" i="1"/>
  <c r="I2211" i="19"/>
  <c r="J2143" i="19"/>
  <c r="I2363" i="19"/>
  <c r="J2221" i="1"/>
  <c r="J2351" i="19"/>
  <c r="I2367" i="1"/>
  <c r="J2239" i="1"/>
  <c r="J2331" i="19"/>
  <c r="S599" i="1"/>
  <c r="R599" i="1"/>
  <c r="Q599" i="1"/>
  <c r="J2155" i="19"/>
  <c r="T598" i="19"/>
  <c r="S601" i="1"/>
  <c r="R601" i="1"/>
  <c r="Q601" i="1"/>
  <c r="J2203" i="1"/>
  <c r="S600" i="1"/>
  <c r="R600" i="1"/>
  <c r="Q600" i="1"/>
  <c r="Y598" i="19"/>
  <c r="I2103" i="19"/>
  <c r="J2151" i="19"/>
  <c r="J2233" i="19"/>
  <c r="J2103" i="1"/>
  <c r="J2165" i="1"/>
  <c r="T469" i="19"/>
  <c r="T614" i="19"/>
  <c r="Y613" i="19"/>
  <c r="I2203" i="19"/>
  <c r="S589" i="1"/>
  <c r="R589" i="1"/>
  <c r="Q589" i="1"/>
  <c r="I2165" i="19"/>
  <c r="J2289" i="19"/>
  <c r="W468" i="1"/>
  <c r="T471" i="19"/>
  <c r="J2371" i="19"/>
  <c r="J2109" i="19"/>
  <c r="J2277" i="19"/>
  <c r="J2171" i="1"/>
  <c r="I2171" i="19"/>
  <c r="J2317" i="19"/>
  <c r="J2339" i="1"/>
  <c r="J2147" i="19"/>
  <c r="I2339" i="19"/>
  <c r="J2305" i="19"/>
  <c r="J2335" i="1"/>
  <c r="G2177" i="19"/>
  <c r="I2335" i="19"/>
  <c r="I2239" i="19"/>
  <c r="I2177" i="1"/>
  <c r="I2121" i="19"/>
  <c r="J2121" i="1"/>
  <c r="J2115" i="19"/>
  <c r="J2281" i="19"/>
  <c r="I2159" i="1"/>
  <c r="G2159" i="19"/>
  <c r="J2139" i="19"/>
  <c r="J2195" i="1"/>
  <c r="I2195" i="19"/>
  <c r="J2187" i="19"/>
  <c r="I2253" i="19"/>
  <c r="J2135" i="19"/>
  <c r="J2227" i="19"/>
  <c r="J2249" i="19"/>
  <c r="I2191" i="19"/>
  <c r="J2127" i="19"/>
  <c r="J2183" i="1"/>
  <c r="I2183" i="19"/>
  <c r="S1625" i="1"/>
  <c r="R1625" i="1"/>
  <c r="Q1625" i="1"/>
  <c r="S17" i="12"/>
  <c r="J2253" i="1"/>
  <c r="J2191" i="1"/>
  <c r="Y2391" i="31" l="1"/>
  <c r="Y2391" i="19"/>
  <c r="Y2391" i="32"/>
  <c r="Q2394" i="1"/>
  <c r="R2394" i="1"/>
  <c r="S2394" i="1"/>
  <c r="S2392" i="1"/>
  <c r="R2392" i="1"/>
  <c r="Q2392" i="1"/>
  <c r="T2391" i="31"/>
  <c r="T2391" i="32"/>
  <c r="T2391" i="19"/>
  <c r="R2393" i="1"/>
  <c r="Q2393" i="1"/>
  <c r="S2393" i="1"/>
  <c r="J2207" i="32"/>
  <c r="J2207" i="31"/>
  <c r="J2207" i="19"/>
  <c r="J2227" i="31"/>
  <c r="J2227" i="32"/>
  <c r="J2363" i="19"/>
  <c r="J2323" i="31"/>
  <c r="J2323" i="32"/>
  <c r="J2323" i="19"/>
  <c r="J2211" i="19"/>
  <c r="J2199" i="19"/>
  <c r="Q2397" i="31"/>
  <c r="S2397" i="31"/>
  <c r="R2397" i="31"/>
  <c r="S2398" i="31"/>
  <c r="Q2398" i="31"/>
  <c r="R2398" i="31"/>
  <c r="S2396" i="31"/>
  <c r="R2396" i="31"/>
  <c r="Q2396" i="31"/>
  <c r="P2301" i="1"/>
  <c r="P2303" i="1"/>
  <c r="R2299" i="1"/>
  <c r="S2299" i="1"/>
  <c r="P2300" i="1"/>
  <c r="P2302" i="1"/>
  <c r="P2304" i="1"/>
  <c r="Q2299" i="1"/>
  <c r="R2398" i="1"/>
  <c r="Q2398" i="1"/>
  <c r="S2398" i="1"/>
  <c r="J2203" i="19"/>
  <c r="S2397" i="1"/>
  <c r="R2397" i="1"/>
  <c r="Q2397" i="1"/>
  <c r="S2396" i="1"/>
  <c r="R2396" i="1"/>
  <c r="Q2396" i="1"/>
  <c r="V2299" i="1"/>
  <c r="W2299" i="1" s="1"/>
  <c r="P2313" i="31"/>
  <c r="R2311" i="31"/>
  <c r="P2314" i="31"/>
  <c r="P2315" i="31"/>
  <c r="P2316" i="31"/>
  <c r="P2312" i="31"/>
  <c r="S2311" i="31"/>
  <c r="Q2311" i="31"/>
  <c r="T2395" i="19"/>
  <c r="T2395" i="31"/>
  <c r="T2395" i="32"/>
  <c r="Y2395" i="32"/>
  <c r="Y2395" i="31"/>
  <c r="Y2395" i="19"/>
  <c r="P2234" i="1"/>
  <c r="S2234" i="1" s="1"/>
  <c r="T470" i="32"/>
  <c r="P2110" i="1"/>
  <c r="S2110" i="1" s="1"/>
  <c r="T470" i="19"/>
  <c r="T470" i="31"/>
  <c r="P2114" i="1"/>
  <c r="Q2114" i="1" s="1"/>
  <c r="P2113" i="1"/>
  <c r="S2113" i="1" s="1"/>
  <c r="P2112" i="1"/>
  <c r="R2112" i="1" s="1"/>
  <c r="Q2109" i="1"/>
  <c r="J2203" i="32"/>
  <c r="J2203" i="31"/>
  <c r="O1720" i="1"/>
  <c r="O2555" i="1" s="1"/>
  <c r="S2109" i="1"/>
  <c r="T2109" i="19" s="1"/>
  <c r="S2233" i="1"/>
  <c r="P2237" i="32"/>
  <c r="Q2233" i="32"/>
  <c r="P2236" i="32"/>
  <c r="P2235" i="32"/>
  <c r="P2234" i="32"/>
  <c r="P2238" i="32"/>
  <c r="S2233" i="32"/>
  <c r="R2233" i="32"/>
  <c r="T2399" i="31"/>
  <c r="T2399" i="19"/>
  <c r="T2399" i="32"/>
  <c r="P2314" i="32"/>
  <c r="Q2311" i="32"/>
  <c r="P2316" i="32"/>
  <c r="P2312" i="32"/>
  <c r="P2313" i="32"/>
  <c r="S2311" i="32"/>
  <c r="R2311" i="32"/>
  <c r="P2315" i="32"/>
  <c r="V2311" i="1"/>
  <c r="W2311" i="1" s="1"/>
  <c r="N2555" i="1"/>
  <c r="Q2233" i="1"/>
  <c r="S2401" i="32"/>
  <c r="Q2401" i="32"/>
  <c r="R2401" i="32"/>
  <c r="R2400" i="1"/>
  <c r="Q2400" i="1"/>
  <c r="S2400" i="1"/>
  <c r="J2239" i="32"/>
  <c r="J2239" i="31"/>
  <c r="P2236" i="1"/>
  <c r="S2236" i="1" s="1"/>
  <c r="J2363" i="32"/>
  <c r="J2363" i="31"/>
  <c r="Q2402" i="32"/>
  <c r="S2402" i="32"/>
  <c r="R2402" i="32"/>
  <c r="J2221" i="32"/>
  <c r="J2221" i="31"/>
  <c r="S2402" i="1"/>
  <c r="Q2402" i="1"/>
  <c r="R2402" i="1"/>
  <c r="J2211" i="32"/>
  <c r="J2211" i="31"/>
  <c r="J2199" i="32"/>
  <c r="J2199" i="31"/>
  <c r="S228" i="31"/>
  <c r="R228" i="31"/>
  <c r="Q228" i="31"/>
  <c r="J2165" i="32"/>
  <c r="J2165" i="31"/>
  <c r="P2237" i="1"/>
  <c r="Q2237" i="1" s="1"/>
  <c r="Q228" i="32"/>
  <c r="S228" i="32"/>
  <c r="R228" i="32"/>
  <c r="Y2399" i="31"/>
  <c r="Y2399" i="32"/>
  <c r="Y2399" i="19"/>
  <c r="J2183" i="32"/>
  <c r="J2183" i="31"/>
  <c r="P2238" i="1"/>
  <c r="Q2238" i="1" s="1"/>
  <c r="P2113" i="31"/>
  <c r="P2111" i="31"/>
  <c r="S2109" i="31"/>
  <c r="P2112" i="31"/>
  <c r="R2109" i="31"/>
  <c r="Q2109" i="31"/>
  <c r="P2114" i="31"/>
  <c r="P2110" i="31"/>
  <c r="N2555" i="31"/>
  <c r="O1720" i="31"/>
  <c r="N2560" i="31"/>
  <c r="N2550" i="31"/>
  <c r="S2400" i="32"/>
  <c r="R2400" i="32"/>
  <c r="Q2400" i="32"/>
  <c r="Q2401" i="1"/>
  <c r="S2401" i="1"/>
  <c r="R2401" i="1"/>
  <c r="J2121" i="32"/>
  <c r="J2121" i="31"/>
  <c r="I2159" i="32"/>
  <c r="I2159" i="31"/>
  <c r="J2191" i="32"/>
  <c r="J2191" i="31"/>
  <c r="J2195" i="32"/>
  <c r="J2195" i="31"/>
  <c r="I2177" i="32"/>
  <c r="I2177" i="31"/>
  <c r="J2103" i="32"/>
  <c r="J2103" i="31"/>
  <c r="P2111" i="1"/>
  <c r="Q2111" i="1" s="1"/>
  <c r="P2235" i="1"/>
  <c r="R2235" i="1" s="1"/>
  <c r="P2112" i="32"/>
  <c r="R2109" i="32"/>
  <c r="Q2109" i="32"/>
  <c r="P2113" i="32"/>
  <c r="P2114" i="32"/>
  <c r="S2109" i="32"/>
  <c r="P2110" i="32"/>
  <c r="P2111" i="32"/>
  <c r="O1720" i="32"/>
  <c r="N2555" i="32"/>
  <c r="N2550" i="32"/>
  <c r="N2560" i="32"/>
  <c r="P2313" i="1"/>
  <c r="P2314" i="1"/>
  <c r="Q2311" i="1"/>
  <c r="P2316" i="1"/>
  <c r="P2315" i="1"/>
  <c r="R2311" i="1"/>
  <c r="S2311" i="1"/>
  <c r="P2312" i="1"/>
  <c r="J2171" i="32"/>
  <c r="J2171" i="31"/>
  <c r="J2335" i="32"/>
  <c r="J2335" i="31"/>
  <c r="J2339" i="19"/>
  <c r="J2339" i="32"/>
  <c r="J2339" i="31"/>
  <c r="J2253" i="32"/>
  <c r="J2253" i="31"/>
  <c r="I2367" i="32"/>
  <c r="I2367" i="31"/>
  <c r="P2236" i="31"/>
  <c r="S2233" i="31"/>
  <c r="R2233" i="31"/>
  <c r="P2237" i="31"/>
  <c r="Q2233" i="31"/>
  <c r="P2238" i="31"/>
  <c r="P2234" i="31"/>
  <c r="P2235" i="31"/>
  <c r="S13" i="12"/>
  <c r="T615" i="32"/>
  <c r="T1625" i="32"/>
  <c r="Y468" i="32"/>
  <c r="T589" i="32"/>
  <c r="T616" i="32"/>
  <c r="T472" i="32"/>
  <c r="T473" i="32"/>
  <c r="T473" i="19"/>
  <c r="T472" i="19"/>
  <c r="T599" i="31"/>
  <c r="T599" i="32"/>
  <c r="T601" i="31"/>
  <c r="T601" i="32"/>
  <c r="T600" i="31"/>
  <c r="T600" i="32"/>
  <c r="Y468" i="31"/>
  <c r="T615" i="31"/>
  <c r="T589" i="31"/>
  <c r="T616" i="31"/>
  <c r="T472" i="31"/>
  <c r="T1625" i="31"/>
  <c r="T615" i="19"/>
  <c r="T473" i="31"/>
  <c r="T616" i="19"/>
  <c r="J2239" i="19"/>
  <c r="J2221" i="19"/>
  <c r="J2165" i="19"/>
  <c r="V2109" i="1"/>
  <c r="V2233" i="1"/>
  <c r="W2233" i="1" s="1"/>
  <c r="T600" i="19"/>
  <c r="T601" i="19"/>
  <c r="T599" i="19"/>
  <c r="J2367" i="1"/>
  <c r="I2367" i="19"/>
  <c r="J2103" i="19"/>
  <c r="T589" i="19"/>
  <c r="Y468" i="19"/>
  <c r="J2171" i="19"/>
  <c r="J2335" i="19"/>
  <c r="J2121" i="19"/>
  <c r="J2177" i="1"/>
  <c r="I2177" i="19"/>
  <c r="J2159" i="1"/>
  <c r="I2159" i="19"/>
  <c r="J2195" i="19"/>
  <c r="J2191" i="19"/>
  <c r="J2183" i="19"/>
  <c r="J2253" i="19"/>
  <c r="T1625" i="19"/>
  <c r="T2393" i="19" l="1"/>
  <c r="T2393" i="32"/>
  <c r="T2393" i="31"/>
  <c r="T2392" i="32"/>
  <c r="T2392" i="19"/>
  <c r="T2392" i="31"/>
  <c r="T2394" i="31"/>
  <c r="T2394" i="32"/>
  <c r="T2394" i="19"/>
  <c r="S2114" i="1"/>
  <c r="R2114" i="1"/>
  <c r="Q2234" i="1"/>
  <c r="R2234" i="1"/>
  <c r="R2110" i="1"/>
  <c r="Q2110" i="1"/>
  <c r="T2233" i="31"/>
  <c r="Y2299" i="32"/>
  <c r="Y2299" i="31"/>
  <c r="Y2299" i="19"/>
  <c r="S2300" i="1"/>
  <c r="Q2300" i="1"/>
  <c r="R2300" i="1"/>
  <c r="T2396" i="31"/>
  <c r="T2396" i="32"/>
  <c r="T2396" i="19"/>
  <c r="T2299" i="19"/>
  <c r="T2299" i="31"/>
  <c r="T2299" i="32"/>
  <c r="R2303" i="1"/>
  <c r="Q2303" i="1"/>
  <c r="S2303" i="1"/>
  <c r="S2312" i="31"/>
  <c r="R2312" i="31"/>
  <c r="Q2312" i="31"/>
  <c r="T2397" i="32"/>
  <c r="T2397" i="31"/>
  <c r="T2397" i="19"/>
  <c r="S2301" i="1"/>
  <c r="Q2301" i="1"/>
  <c r="R2301" i="1"/>
  <c r="R2316" i="31"/>
  <c r="S2316" i="31"/>
  <c r="Q2316" i="31"/>
  <c r="S2315" i="31"/>
  <c r="Q2315" i="31"/>
  <c r="R2315" i="31"/>
  <c r="T2398" i="31"/>
  <c r="T2398" i="32"/>
  <c r="T2398" i="19"/>
  <c r="Q2314" i="31"/>
  <c r="R2314" i="31"/>
  <c r="S2314" i="31"/>
  <c r="R2313" i="31"/>
  <c r="Q2313" i="31"/>
  <c r="S2313" i="31"/>
  <c r="S2304" i="1"/>
  <c r="Q2304" i="1"/>
  <c r="R2304" i="1"/>
  <c r="Q2302" i="1"/>
  <c r="R2302" i="1"/>
  <c r="S2302" i="1"/>
  <c r="T2233" i="19"/>
  <c r="T2233" i="32"/>
  <c r="Q2113" i="1"/>
  <c r="R2111" i="1"/>
  <c r="S2111" i="1"/>
  <c r="R2113" i="1"/>
  <c r="R2238" i="1"/>
  <c r="S2238" i="1"/>
  <c r="S2112" i="1"/>
  <c r="Q2112" i="1"/>
  <c r="T2109" i="31"/>
  <c r="T2109" i="32"/>
  <c r="R2236" i="1"/>
  <c r="F14" i="7"/>
  <c r="S18" i="11" s="1"/>
  <c r="P1720" i="1"/>
  <c r="R1720" i="1" s="1"/>
  <c r="S2235" i="1"/>
  <c r="Q2235" i="1"/>
  <c r="S2237" i="1"/>
  <c r="T2237" i="32" s="1"/>
  <c r="Q2236" i="1"/>
  <c r="R2237" i="1"/>
  <c r="Q2235" i="32"/>
  <c r="S2235" i="32"/>
  <c r="R2235" i="32"/>
  <c r="R2235" i="31"/>
  <c r="Q2235" i="31"/>
  <c r="S2235" i="31"/>
  <c r="J2159" i="32"/>
  <c r="J2159" i="31"/>
  <c r="O2555" i="32"/>
  <c r="P1720" i="32"/>
  <c r="O2548" i="32"/>
  <c r="O2557" i="32" s="1"/>
  <c r="O2560" i="32"/>
  <c r="R2112" i="32"/>
  <c r="Q2112" i="32"/>
  <c r="S2112" i="32"/>
  <c r="O2555" i="31"/>
  <c r="P1720" i="31"/>
  <c r="O2548" i="31"/>
  <c r="O2557" i="31" s="1"/>
  <c r="O2560" i="31"/>
  <c r="S2111" i="31"/>
  <c r="R2111" i="31"/>
  <c r="Q2111" i="31"/>
  <c r="T2402" i="32"/>
  <c r="T2402" i="19"/>
  <c r="T2402" i="31"/>
  <c r="R2313" i="32"/>
  <c r="Q2313" i="32"/>
  <c r="S2313" i="32"/>
  <c r="S2236" i="32"/>
  <c r="R2236" i="32"/>
  <c r="Q2236" i="32"/>
  <c r="Q2234" i="31"/>
  <c r="S2234" i="31"/>
  <c r="R2234" i="31"/>
  <c r="Q2113" i="31"/>
  <c r="S2113" i="31"/>
  <c r="R2113" i="31"/>
  <c r="T2400" i="19"/>
  <c r="T2400" i="31"/>
  <c r="T2400" i="32"/>
  <c r="R2312" i="32"/>
  <c r="S2312" i="32"/>
  <c r="Q2312" i="32"/>
  <c r="Y2311" i="31"/>
  <c r="Y2311" i="19"/>
  <c r="Y2311" i="32"/>
  <c r="Q2238" i="31"/>
  <c r="R2238" i="31"/>
  <c r="S2238" i="31"/>
  <c r="S2315" i="1"/>
  <c r="R2315" i="1"/>
  <c r="Q2315" i="1"/>
  <c r="R2316" i="1"/>
  <c r="Q2316" i="1"/>
  <c r="S2316" i="1"/>
  <c r="S2111" i="32"/>
  <c r="R2111" i="32"/>
  <c r="Q2111" i="32"/>
  <c r="T2401" i="31"/>
  <c r="T2401" i="32"/>
  <c r="T2401" i="19"/>
  <c r="J2177" i="32"/>
  <c r="J2177" i="31"/>
  <c r="S2237" i="31"/>
  <c r="R2237" i="31"/>
  <c r="Q2237" i="31"/>
  <c r="S2110" i="32"/>
  <c r="R2110" i="32"/>
  <c r="Q2110" i="32"/>
  <c r="S2110" i="31"/>
  <c r="Q2110" i="31"/>
  <c r="R2110" i="31"/>
  <c r="S2316" i="32"/>
  <c r="Q2316" i="32"/>
  <c r="R2316" i="32"/>
  <c r="R2237" i="32"/>
  <c r="S2237" i="32"/>
  <c r="Q2237" i="32"/>
  <c r="R2314" i="1"/>
  <c r="S2314" i="1"/>
  <c r="Q2314" i="1"/>
  <c r="S2114" i="31"/>
  <c r="Q2114" i="31"/>
  <c r="R2114" i="31"/>
  <c r="Q2312" i="1"/>
  <c r="R2312" i="1"/>
  <c r="S2312" i="1"/>
  <c r="Q2313" i="1"/>
  <c r="R2313" i="1"/>
  <c r="S2313" i="1"/>
  <c r="S2114" i="32"/>
  <c r="R2114" i="32"/>
  <c r="Q2114" i="32"/>
  <c r="S2314" i="32"/>
  <c r="R2314" i="32"/>
  <c r="Q2314" i="32"/>
  <c r="Q2236" i="31"/>
  <c r="S2236" i="31"/>
  <c r="R2236" i="31"/>
  <c r="T2311" i="31"/>
  <c r="T2311" i="32"/>
  <c r="T2311" i="19"/>
  <c r="Q2113" i="32"/>
  <c r="S2113" i="32"/>
  <c r="R2113" i="32"/>
  <c r="Q2315" i="32"/>
  <c r="S2315" i="32"/>
  <c r="R2315" i="32"/>
  <c r="Q2238" i="32"/>
  <c r="S2238" i="32"/>
  <c r="R2238" i="32"/>
  <c r="J2367" i="32"/>
  <c r="J2367" i="31"/>
  <c r="R2112" i="31"/>
  <c r="Q2112" i="31"/>
  <c r="S2112" i="31"/>
  <c r="R2234" i="32"/>
  <c r="Q2234" i="32"/>
  <c r="S2234" i="32"/>
  <c r="T2110" i="31"/>
  <c r="T2110" i="32"/>
  <c r="T2234" i="31"/>
  <c r="T2234" i="32"/>
  <c r="T2113" i="31"/>
  <c r="T2113" i="32"/>
  <c r="T2236" i="31"/>
  <c r="T2236" i="32"/>
  <c r="Y2233" i="31"/>
  <c r="Y2233" i="32"/>
  <c r="T2110" i="19"/>
  <c r="T2234" i="19"/>
  <c r="T2236" i="19"/>
  <c r="Y2233" i="19"/>
  <c r="T2113" i="19"/>
  <c r="W2109" i="1"/>
  <c r="V17" i="1"/>
  <c r="J2367" i="19"/>
  <c r="J2177" i="19"/>
  <c r="J2159" i="19"/>
  <c r="O228" i="1"/>
  <c r="T2114" i="32" l="1"/>
  <c r="T2114" i="31"/>
  <c r="T2114" i="19"/>
  <c r="T2111" i="19"/>
  <c r="T2238" i="32"/>
  <c r="T2238" i="31"/>
  <c r="T2238" i="19"/>
  <c r="T2302" i="19"/>
  <c r="T2302" i="31"/>
  <c r="T2302" i="32"/>
  <c r="T2303" i="31"/>
  <c r="T2303" i="32"/>
  <c r="T2303" i="19"/>
  <c r="T2300" i="32"/>
  <c r="T2300" i="31"/>
  <c r="T2300" i="19"/>
  <c r="T2304" i="32"/>
  <c r="T2304" i="31"/>
  <c r="T2304" i="19"/>
  <c r="T2301" i="32"/>
  <c r="T2301" i="19"/>
  <c r="T2301" i="31"/>
  <c r="S18" i="12"/>
  <c r="T2111" i="31"/>
  <c r="T2111" i="32"/>
  <c r="T2112" i="31"/>
  <c r="T2112" i="32"/>
  <c r="T2237" i="19"/>
  <c r="T2112" i="19"/>
  <c r="T2237" i="31"/>
  <c r="Q1720" i="1"/>
  <c r="S1720" i="1"/>
  <c r="T2235" i="32"/>
  <c r="T2235" i="31"/>
  <c r="T2235" i="19"/>
  <c r="R1720" i="32"/>
  <c r="Q1720" i="32"/>
  <c r="S1720" i="32"/>
  <c r="T2316" i="32"/>
  <c r="T2316" i="19"/>
  <c r="T2316" i="31"/>
  <c r="T2315" i="32"/>
  <c r="T2315" i="19"/>
  <c r="T2315" i="31"/>
  <c r="Q1720" i="31"/>
  <c r="S1720" i="31"/>
  <c r="R1720" i="31"/>
  <c r="T2313" i="31"/>
  <c r="T2313" i="32"/>
  <c r="T2313" i="19"/>
  <c r="T2314" i="32"/>
  <c r="T2314" i="19"/>
  <c r="T2314" i="31"/>
  <c r="T2312" i="31"/>
  <c r="T2312" i="19"/>
  <c r="T2312" i="32"/>
  <c r="Y2109" i="31"/>
  <c r="Y2109" i="32"/>
  <c r="Y2109" i="19"/>
  <c r="W17" i="1"/>
  <c r="F8" i="7"/>
  <c r="S12" i="11" s="1"/>
  <c r="P228" i="1"/>
  <c r="T1720" i="19" l="1"/>
  <c r="T1720" i="32"/>
  <c r="T1720" i="31"/>
  <c r="R228" i="1"/>
  <c r="Q228" i="1"/>
  <c r="S228" i="1"/>
  <c r="S12" i="12"/>
  <c r="I282" i="1"/>
  <c r="I282" i="32" l="1"/>
  <c r="I282" i="31"/>
  <c r="T228" i="32"/>
  <c r="T228" i="31"/>
  <c r="J282" i="1"/>
  <c r="I282" i="19"/>
  <c r="T228" i="19"/>
  <c r="J282" i="32" l="1"/>
  <c r="J282" i="31"/>
  <c r="J282" i="19"/>
  <c r="I336" i="1"/>
  <c r="I336" i="32" l="1"/>
  <c r="I336" i="31"/>
  <c r="J336" i="1"/>
  <c r="I336" i="19"/>
  <c r="W34" i="2"/>
  <c r="J34" i="2" s="1"/>
  <c r="J336" i="32" l="1"/>
  <c r="J336" i="31"/>
  <c r="J336" i="19"/>
  <c r="H2245" i="19" l="1"/>
  <c r="H2215" i="19"/>
  <c r="I2215" i="1"/>
  <c r="I2245" i="1"/>
  <c r="I2245" i="32" l="1"/>
  <c r="I2245" i="31"/>
  <c r="I2215" i="32"/>
  <c r="I2215" i="31"/>
  <c r="J2245" i="1"/>
  <c r="I2245" i="19"/>
  <c r="J2215" i="1"/>
  <c r="I2215" i="19"/>
  <c r="I814" i="1"/>
  <c r="J2245" i="32" l="1"/>
  <c r="J2245" i="31"/>
  <c r="J2215" i="32"/>
  <c r="J2215" i="31"/>
  <c r="I814" i="32"/>
  <c r="I814" i="31"/>
  <c r="J814" i="1"/>
  <c r="I814" i="19"/>
  <c r="J2215" i="19"/>
  <c r="J2245" i="19"/>
  <c r="I815" i="1"/>
  <c r="I815" i="32" l="1"/>
  <c r="I815" i="31"/>
  <c r="J814" i="32"/>
  <c r="J814" i="31"/>
  <c r="J814" i="19"/>
  <c r="I815" i="19"/>
  <c r="J815" i="1"/>
  <c r="J815" i="32" l="1"/>
  <c r="J815" i="31"/>
  <c r="J815" i="19"/>
  <c r="N2550" i="1"/>
  <c r="O19" i="1"/>
  <c r="N2551" i="1"/>
  <c r="N2560" i="1"/>
  <c r="F5" i="7" l="1"/>
  <c r="S9" i="11" s="1"/>
  <c r="P19" i="1"/>
  <c r="Q19" i="1" s="1"/>
  <c r="O2560" i="1"/>
  <c r="O2551" i="1"/>
  <c r="O2548" i="1"/>
  <c r="O2557" i="1" s="1"/>
  <c r="F17" i="7" l="1"/>
  <c r="B6" i="9" s="1"/>
  <c r="S9" i="12"/>
  <c r="S21" i="11"/>
  <c r="R19" i="1"/>
  <c r="S19" i="1"/>
  <c r="T19" i="32" l="1"/>
  <c r="T19" i="31"/>
  <c r="T2" i="11"/>
  <c r="O25" i="11" s="1"/>
  <c r="S3" i="11"/>
  <c r="G5" i="7"/>
  <c r="B12" i="8"/>
  <c r="B17" i="8" s="1"/>
  <c r="S21" i="12"/>
  <c r="G14" i="7"/>
  <c r="G10" i="7"/>
  <c r="G6" i="7"/>
  <c r="G12" i="7"/>
  <c r="G11" i="7"/>
  <c r="G15" i="7"/>
  <c r="G9" i="7"/>
  <c r="G7" i="7"/>
  <c r="G13" i="7"/>
  <c r="G8" i="7"/>
  <c r="T19" i="19"/>
  <c r="T14" i="11"/>
  <c r="T15" i="11"/>
  <c r="T12" i="11"/>
  <c r="T9" i="11"/>
  <c r="T17" i="11"/>
  <c r="T16" i="11"/>
  <c r="T19" i="11"/>
  <c r="T11" i="11"/>
  <c r="T13" i="11"/>
  <c r="T18" i="11"/>
  <c r="T10" i="11"/>
  <c r="T2" i="12" l="1"/>
  <c r="S3" i="12"/>
  <c r="H25" i="11"/>
  <c r="Q25" i="11"/>
  <c r="J25" i="11"/>
  <c r="G25" i="11"/>
  <c r="K25" i="11"/>
  <c r="L25" i="11"/>
  <c r="I25" i="11"/>
  <c r="N25" i="11"/>
  <c r="F25" i="11"/>
  <c r="P25" i="11"/>
  <c r="T14" i="12"/>
  <c r="T3" i="11"/>
  <c r="F26" i="11" s="1"/>
  <c r="S4" i="11"/>
  <c r="N43" i="11"/>
  <c r="O43" i="11"/>
  <c r="L43" i="11"/>
  <c r="K43" i="11"/>
  <c r="G43" i="11"/>
  <c r="P43" i="11"/>
  <c r="J43" i="11"/>
  <c r="I43" i="11"/>
  <c r="M43" i="11"/>
  <c r="H43" i="11"/>
  <c r="F43" i="11"/>
  <c r="Q43" i="11"/>
  <c r="O27" i="11"/>
  <c r="M39" i="11"/>
  <c r="G39" i="11"/>
  <c r="N35" i="11"/>
  <c r="Q35" i="11"/>
  <c r="Q27" i="11"/>
  <c r="F35" i="11"/>
  <c r="N27" i="11"/>
  <c r="M27" i="11"/>
  <c r="O39" i="11"/>
  <c r="I35" i="11"/>
  <c r="K35" i="11"/>
  <c r="G27" i="11"/>
  <c r="K39" i="11"/>
  <c r="M35" i="11"/>
  <c r="G35" i="11"/>
  <c r="L27" i="11"/>
  <c r="K27" i="11"/>
  <c r="J27" i="11"/>
  <c r="F39" i="11"/>
  <c r="H35" i="11"/>
  <c r="O35" i="11"/>
  <c r="F27" i="11"/>
  <c r="P39" i="11"/>
  <c r="L39" i="11"/>
  <c r="I27" i="11"/>
  <c r="H27" i="11"/>
  <c r="J39" i="11"/>
  <c r="H39" i="11"/>
  <c r="P35" i="11"/>
  <c r="P27" i="11"/>
  <c r="N39" i="11"/>
  <c r="I39" i="11"/>
  <c r="J35" i="11"/>
  <c r="L35" i="11"/>
  <c r="Q39" i="11"/>
  <c r="P37" i="11"/>
  <c r="K37" i="11"/>
  <c r="H37" i="11"/>
  <c r="O37" i="11"/>
  <c r="I37" i="11"/>
  <c r="F37" i="11"/>
  <c r="G37" i="11"/>
  <c r="J37" i="11"/>
  <c r="N37" i="11"/>
  <c r="L37" i="11"/>
  <c r="M37" i="11"/>
  <c r="Q37" i="11"/>
  <c r="J45" i="11"/>
  <c r="G45" i="11"/>
  <c r="O45" i="11"/>
  <c r="H45" i="11"/>
  <c r="L45" i="11"/>
  <c r="M45" i="11"/>
  <c r="Q45" i="11"/>
  <c r="P45" i="11"/>
  <c r="I45" i="11"/>
  <c r="F45" i="11"/>
  <c r="K45" i="11"/>
  <c r="N45" i="11"/>
  <c r="N33" i="11"/>
  <c r="F33" i="11"/>
  <c r="G33" i="11"/>
  <c r="L33" i="11"/>
  <c r="J33" i="11"/>
  <c r="M33" i="11"/>
  <c r="I33" i="11"/>
  <c r="H33" i="11"/>
  <c r="P33" i="11"/>
  <c r="Q33" i="11"/>
  <c r="O33" i="11"/>
  <c r="K33" i="11"/>
  <c r="F29" i="11"/>
  <c r="P29" i="11"/>
  <c r="M29" i="11"/>
  <c r="O29" i="11"/>
  <c r="J29" i="11"/>
  <c r="K29" i="11"/>
  <c r="L29" i="11"/>
  <c r="I29" i="11"/>
  <c r="G29" i="11"/>
  <c r="Q29" i="11"/>
  <c r="H29" i="11"/>
  <c r="N29" i="11"/>
  <c r="K41" i="11"/>
  <c r="M41" i="11"/>
  <c r="G41" i="11"/>
  <c r="F41" i="11"/>
  <c r="O41" i="11"/>
  <c r="N41" i="11"/>
  <c r="J41" i="11"/>
  <c r="H41" i="11"/>
  <c r="L41" i="11"/>
  <c r="Q41" i="11"/>
  <c r="I41" i="11"/>
  <c r="P41" i="11"/>
  <c r="F31" i="11"/>
  <c r="O31" i="11"/>
  <c r="P31" i="11"/>
  <c r="Q31" i="11"/>
  <c r="H31" i="11"/>
  <c r="G31" i="11"/>
  <c r="J31" i="11"/>
  <c r="N31" i="11"/>
  <c r="L31" i="11"/>
  <c r="M31" i="11"/>
  <c r="K31" i="11"/>
  <c r="I31" i="11"/>
  <c r="M25" i="11"/>
  <c r="T13" i="12"/>
  <c r="T9" i="12"/>
  <c r="T12" i="12"/>
  <c r="T19" i="12"/>
  <c r="T10" i="12"/>
  <c r="T11" i="12"/>
  <c r="T16" i="12"/>
  <c r="T17" i="12"/>
  <c r="T18" i="12"/>
  <c r="T15" i="12"/>
  <c r="G17" i="7"/>
  <c r="J18" i="7" s="1"/>
  <c r="T21" i="11"/>
  <c r="N48" i="11" l="1"/>
  <c r="I48" i="11"/>
  <c r="Q48" i="11"/>
  <c r="G48" i="11"/>
  <c r="T3" i="12"/>
  <c r="T4" i="12" s="1"/>
  <c r="S25" i="11"/>
  <c r="R25" i="11"/>
  <c r="H48" i="11"/>
  <c r="J48" i="11"/>
  <c r="K48" i="11"/>
  <c r="L48" i="11"/>
  <c r="P48" i="11"/>
  <c r="O48" i="11"/>
  <c r="R45" i="11"/>
  <c r="S45" i="11"/>
  <c r="S37" i="11"/>
  <c r="R37" i="11"/>
  <c r="R41" i="11"/>
  <c r="S41" i="11"/>
  <c r="S27" i="11"/>
  <c r="R27" i="11"/>
  <c r="S35" i="11"/>
  <c r="R35" i="11"/>
  <c r="S43" i="11"/>
  <c r="R43" i="11"/>
  <c r="J43" i="12"/>
  <c r="H43" i="12"/>
  <c r="P43" i="12"/>
  <c r="O43" i="12"/>
  <c r="I43" i="12"/>
  <c r="G43" i="12"/>
  <c r="Q43" i="12"/>
  <c r="F43" i="12"/>
  <c r="L43" i="12"/>
  <c r="M43" i="12"/>
  <c r="N43" i="12"/>
  <c r="K43" i="12"/>
  <c r="N35" i="12"/>
  <c r="M35" i="12"/>
  <c r="O27" i="12"/>
  <c r="J27" i="12"/>
  <c r="H39" i="12"/>
  <c r="N39" i="12"/>
  <c r="I39" i="12"/>
  <c r="F35" i="12"/>
  <c r="Q27" i="12"/>
  <c r="P39" i="12"/>
  <c r="K39" i="12"/>
  <c r="M39" i="12"/>
  <c r="F39" i="12"/>
  <c r="G27" i="12"/>
  <c r="H27" i="12"/>
  <c r="M27" i="12"/>
  <c r="F27" i="12"/>
  <c r="L35" i="12"/>
  <c r="H35" i="12"/>
  <c r="L27" i="12"/>
  <c r="G39" i="12"/>
  <c r="J39" i="12"/>
  <c r="O35" i="12"/>
  <c r="I27" i="12"/>
  <c r="O39" i="12"/>
  <c r="I35" i="12"/>
  <c r="G35" i="12"/>
  <c r="P27" i="12"/>
  <c r="P35" i="12"/>
  <c r="Q35" i="12"/>
  <c r="K27" i="12"/>
  <c r="N27" i="12"/>
  <c r="Q39" i="12"/>
  <c r="J35" i="12"/>
  <c r="K35" i="12"/>
  <c r="L39" i="12"/>
  <c r="G37" i="12"/>
  <c r="P37" i="12"/>
  <c r="F37" i="12"/>
  <c r="M37" i="12"/>
  <c r="L37" i="12"/>
  <c r="I37" i="12"/>
  <c r="H37" i="12"/>
  <c r="K37" i="12"/>
  <c r="N37" i="12"/>
  <c r="J37" i="12"/>
  <c r="Q37" i="12"/>
  <c r="O37" i="12"/>
  <c r="N45" i="12"/>
  <c r="K45" i="12"/>
  <c r="I45" i="12"/>
  <c r="M45" i="12"/>
  <c r="P45" i="12"/>
  <c r="L45" i="12"/>
  <c r="Q45" i="12"/>
  <c r="G45" i="12"/>
  <c r="H45" i="12"/>
  <c r="J45" i="12"/>
  <c r="F45" i="12"/>
  <c r="O45" i="12"/>
  <c r="J33" i="12"/>
  <c r="P33" i="12"/>
  <c r="M33" i="12"/>
  <c r="G33" i="12"/>
  <c r="H33" i="12"/>
  <c r="N33" i="12"/>
  <c r="Q33" i="12"/>
  <c r="K33" i="12"/>
  <c r="L33" i="12"/>
  <c r="O33" i="12"/>
  <c r="F33" i="12"/>
  <c r="I33" i="12"/>
  <c r="I29" i="12"/>
  <c r="K29" i="12"/>
  <c r="F29" i="12"/>
  <c r="G29" i="12"/>
  <c r="Q29" i="12"/>
  <c r="O29" i="12"/>
  <c r="L29" i="12"/>
  <c r="J29" i="12"/>
  <c r="M29" i="12"/>
  <c r="P29" i="12"/>
  <c r="N29" i="12"/>
  <c r="H29" i="12"/>
  <c r="K41" i="12"/>
  <c r="N41" i="12"/>
  <c r="M41" i="12"/>
  <c r="F41" i="12"/>
  <c r="I41" i="12"/>
  <c r="O41" i="12"/>
  <c r="P41" i="12"/>
  <c r="G41" i="12"/>
  <c r="Q41" i="12"/>
  <c r="J41" i="12"/>
  <c r="L41" i="12"/>
  <c r="H41" i="12"/>
  <c r="H31" i="12"/>
  <c r="J31" i="12"/>
  <c r="P31" i="12"/>
  <c r="L31" i="12"/>
  <c r="G31" i="12"/>
  <c r="N31" i="12"/>
  <c r="O31" i="12"/>
  <c r="I31" i="12"/>
  <c r="Q31" i="12"/>
  <c r="F31" i="12"/>
  <c r="K31" i="12"/>
  <c r="M31" i="12"/>
  <c r="M25" i="12"/>
  <c r="N25" i="12"/>
  <c r="P25" i="12"/>
  <c r="H25" i="12"/>
  <c r="O25" i="12"/>
  <c r="K25" i="12"/>
  <c r="Q25" i="12"/>
  <c r="L25" i="12"/>
  <c r="I25" i="12"/>
  <c r="F25" i="12"/>
  <c r="J25" i="12"/>
  <c r="G25" i="12"/>
  <c r="R31" i="11"/>
  <c r="S31" i="11"/>
  <c r="R33" i="11"/>
  <c r="S33" i="11"/>
  <c r="S4" i="12"/>
  <c r="M48" i="11"/>
  <c r="S29" i="11"/>
  <c r="R29" i="11"/>
  <c r="O44" i="11"/>
  <c r="H44" i="11"/>
  <c r="F44" i="11"/>
  <c r="L44" i="11"/>
  <c r="I44" i="11"/>
  <c r="N44" i="11"/>
  <c r="P44" i="11"/>
  <c r="K44" i="11"/>
  <c r="M44" i="11"/>
  <c r="J44" i="11"/>
  <c r="G44" i="11"/>
  <c r="Q44" i="11"/>
  <c r="M28" i="11"/>
  <c r="P28" i="11"/>
  <c r="Q40" i="11"/>
  <c r="H36" i="11"/>
  <c r="G40" i="11"/>
  <c r="J36" i="11"/>
  <c r="O28" i="11"/>
  <c r="J28" i="11"/>
  <c r="M40" i="11"/>
  <c r="P40" i="11"/>
  <c r="F36" i="11"/>
  <c r="O36" i="11"/>
  <c r="L40" i="11"/>
  <c r="G36" i="11"/>
  <c r="H40" i="11"/>
  <c r="K40" i="11"/>
  <c r="N28" i="11"/>
  <c r="O40" i="11"/>
  <c r="J40" i="11"/>
  <c r="N40" i="11"/>
  <c r="L36" i="11"/>
  <c r="Q36" i="11"/>
  <c r="I36" i="11"/>
  <c r="K28" i="11"/>
  <c r="N36" i="11"/>
  <c r="L28" i="11"/>
  <c r="F40" i="11"/>
  <c r="Q28" i="11"/>
  <c r="M36" i="11"/>
  <c r="K36" i="11"/>
  <c r="G28" i="11"/>
  <c r="I28" i="11"/>
  <c r="H28" i="11"/>
  <c r="I40" i="11"/>
  <c r="P36" i="11"/>
  <c r="F28" i="11"/>
  <c r="N38" i="11"/>
  <c r="I38" i="11"/>
  <c r="K38" i="11"/>
  <c r="H38" i="11"/>
  <c r="G38" i="11"/>
  <c r="P38" i="11"/>
  <c r="F38" i="11"/>
  <c r="J38" i="11"/>
  <c r="M38" i="11"/>
  <c r="Q38" i="11"/>
  <c r="O38" i="11"/>
  <c r="L38" i="11"/>
  <c r="J46" i="11"/>
  <c r="M46" i="11"/>
  <c r="G46" i="11"/>
  <c r="Q46" i="11"/>
  <c r="P46" i="11"/>
  <c r="H46" i="11"/>
  <c r="F46" i="11"/>
  <c r="N46" i="11"/>
  <c r="O46" i="11"/>
  <c r="L46" i="11"/>
  <c r="I46" i="11"/>
  <c r="K46" i="11"/>
  <c r="J34" i="11"/>
  <c r="I34" i="11"/>
  <c r="O34" i="11"/>
  <c r="H34" i="11"/>
  <c r="K34" i="11"/>
  <c r="F34" i="11"/>
  <c r="N34" i="11"/>
  <c r="G34" i="11"/>
  <c r="M34" i="11"/>
  <c r="L34" i="11"/>
  <c r="P34" i="11"/>
  <c r="Q34" i="11"/>
  <c r="P30" i="11"/>
  <c r="L30" i="11"/>
  <c r="O30" i="11"/>
  <c r="K30" i="11"/>
  <c r="F30" i="11"/>
  <c r="H30" i="11"/>
  <c r="M30" i="11"/>
  <c r="N30" i="11"/>
  <c r="Q30" i="11"/>
  <c r="J30" i="11"/>
  <c r="I30" i="11"/>
  <c r="G30" i="11"/>
  <c r="J42" i="11"/>
  <c r="F42" i="11"/>
  <c r="Q42" i="11"/>
  <c r="G42" i="11"/>
  <c r="K42" i="11"/>
  <c r="M42" i="11"/>
  <c r="O42" i="11"/>
  <c r="I42" i="11"/>
  <c r="N42" i="11"/>
  <c r="H42" i="11"/>
  <c r="P42" i="11"/>
  <c r="L42" i="11"/>
  <c r="G32" i="11"/>
  <c r="N32" i="11"/>
  <c r="H32" i="11"/>
  <c r="L32" i="11"/>
  <c r="Q32" i="11"/>
  <c r="P32" i="11"/>
  <c r="J32" i="11"/>
  <c r="I32" i="11"/>
  <c r="M32" i="11"/>
  <c r="O32" i="11"/>
  <c r="K32" i="11"/>
  <c r="F32" i="11"/>
  <c r="M26" i="11"/>
  <c r="H26" i="11"/>
  <c r="L26" i="11"/>
  <c r="O26" i="11"/>
  <c r="G26" i="11"/>
  <c r="N26" i="11"/>
  <c r="K26" i="11"/>
  <c r="P26" i="11"/>
  <c r="J26" i="11"/>
  <c r="I26" i="11"/>
  <c r="Q26" i="11"/>
  <c r="R39" i="11"/>
  <c r="S39" i="11"/>
  <c r="T4" i="11"/>
  <c r="F48" i="11"/>
  <c r="T21" i="12"/>
  <c r="N48" i="12" l="1"/>
  <c r="S48" i="11"/>
  <c r="Q49" i="11"/>
  <c r="Q51" i="11" s="1"/>
  <c r="Q53" i="11" s="1"/>
  <c r="I48" i="12"/>
  <c r="O49" i="11"/>
  <c r="O51" i="11" s="1"/>
  <c r="O53" i="11" s="1"/>
  <c r="M49" i="11"/>
  <c r="M51" i="11" s="1"/>
  <c r="M53" i="11" s="1"/>
  <c r="I49" i="11"/>
  <c r="I51" i="11" s="1"/>
  <c r="L49" i="11"/>
  <c r="L51" i="11" s="1"/>
  <c r="L53" i="11" s="1"/>
  <c r="S46" i="11"/>
  <c r="R46" i="11"/>
  <c r="S44" i="11"/>
  <c r="R44" i="11"/>
  <c r="G44" i="12"/>
  <c r="Q44" i="12"/>
  <c r="J44" i="12"/>
  <c r="M44" i="12"/>
  <c r="F44" i="12"/>
  <c r="N44" i="12"/>
  <c r="L44" i="12"/>
  <c r="O44" i="12"/>
  <c r="H44" i="12"/>
  <c r="I44" i="12"/>
  <c r="K44" i="12"/>
  <c r="P44" i="12"/>
  <c r="J36" i="12"/>
  <c r="K28" i="12"/>
  <c r="Q40" i="12"/>
  <c r="G36" i="12"/>
  <c r="H36" i="12"/>
  <c r="P28" i="12"/>
  <c r="F28" i="12"/>
  <c r="P40" i="12"/>
  <c r="Q36" i="12"/>
  <c r="N36" i="12"/>
  <c r="M36" i="12"/>
  <c r="N40" i="12"/>
  <c r="J40" i="12"/>
  <c r="P36" i="12"/>
  <c r="O28" i="12"/>
  <c r="J28" i="12"/>
  <c r="M40" i="12"/>
  <c r="L40" i="12"/>
  <c r="I36" i="12"/>
  <c r="K36" i="12"/>
  <c r="G28" i="12"/>
  <c r="M28" i="12"/>
  <c r="K40" i="12"/>
  <c r="F40" i="12"/>
  <c r="L28" i="12"/>
  <c r="O40" i="12"/>
  <c r="F36" i="12"/>
  <c r="N28" i="12"/>
  <c r="H40" i="12"/>
  <c r="L36" i="12"/>
  <c r="I28" i="12"/>
  <c r="G40" i="12"/>
  <c r="I40" i="12"/>
  <c r="O36" i="12"/>
  <c r="Q28" i="12"/>
  <c r="H28" i="12"/>
  <c r="J38" i="12"/>
  <c r="I38" i="12"/>
  <c r="K38" i="12"/>
  <c r="P38" i="12"/>
  <c r="N38" i="12"/>
  <c r="Q38" i="12"/>
  <c r="G38" i="12"/>
  <c r="M38" i="12"/>
  <c r="H38" i="12"/>
  <c r="F38" i="12"/>
  <c r="O38" i="12"/>
  <c r="L38" i="12"/>
  <c r="H46" i="12"/>
  <c r="M46" i="12"/>
  <c r="F46" i="12"/>
  <c r="J46" i="12"/>
  <c r="I46" i="12"/>
  <c r="P46" i="12"/>
  <c r="L46" i="12"/>
  <c r="Q46" i="12"/>
  <c r="G46" i="12"/>
  <c r="O46" i="12"/>
  <c r="N46" i="12"/>
  <c r="K46" i="12"/>
  <c r="O34" i="12"/>
  <c r="J34" i="12"/>
  <c r="F34" i="12"/>
  <c r="P34" i="12"/>
  <c r="M34" i="12"/>
  <c r="K34" i="12"/>
  <c r="H34" i="12"/>
  <c r="I34" i="12"/>
  <c r="N34" i="12"/>
  <c r="L34" i="12"/>
  <c r="G34" i="12"/>
  <c r="Q34" i="12"/>
  <c r="P30" i="12"/>
  <c r="I30" i="12"/>
  <c r="F30" i="12"/>
  <c r="N30" i="12"/>
  <c r="G30" i="12"/>
  <c r="J30" i="12"/>
  <c r="Q30" i="12"/>
  <c r="O30" i="12"/>
  <c r="H30" i="12"/>
  <c r="K30" i="12"/>
  <c r="L30" i="12"/>
  <c r="M30" i="12"/>
  <c r="O42" i="12"/>
  <c r="N42" i="12"/>
  <c r="I42" i="12"/>
  <c r="H42" i="12"/>
  <c r="F42" i="12"/>
  <c r="K42" i="12"/>
  <c r="M42" i="12"/>
  <c r="Q42" i="12"/>
  <c r="G42" i="12"/>
  <c r="L42" i="12"/>
  <c r="J42" i="12"/>
  <c r="P42" i="12"/>
  <c r="J32" i="12"/>
  <c r="P32" i="12"/>
  <c r="F32" i="12"/>
  <c r="I32" i="12"/>
  <c r="K32" i="12"/>
  <c r="M32" i="12"/>
  <c r="O32" i="12"/>
  <c r="L32" i="12"/>
  <c r="H32" i="12"/>
  <c r="N32" i="12"/>
  <c r="Q32" i="12"/>
  <c r="G32" i="12"/>
  <c r="N26" i="12"/>
  <c r="J26" i="12"/>
  <c r="L26" i="12"/>
  <c r="K26" i="12"/>
  <c r="O26" i="12"/>
  <c r="G26" i="12"/>
  <c r="I26" i="12"/>
  <c r="H26" i="12"/>
  <c r="F26" i="12"/>
  <c r="M26" i="12"/>
  <c r="Q26" i="12"/>
  <c r="P26" i="12"/>
  <c r="M48" i="12"/>
  <c r="R39" i="12"/>
  <c r="S39" i="12"/>
  <c r="F48" i="12"/>
  <c r="R25" i="12"/>
  <c r="S25" i="12"/>
  <c r="R43" i="12"/>
  <c r="S43" i="12"/>
  <c r="R30" i="11"/>
  <c r="S30" i="11"/>
  <c r="Q48" i="12"/>
  <c r="S29" i="12"/>
  <c r="R29" i="12"/>
  <c r="R45" i="12"/>
  <c r="S45" i="12"/>
  <c r="F49" i="11"/>
  <c r="F51" i="11" s="1"/>
  <c r="R26" i="11"/>
  <c r="S26" i="11"/>
  <c r="S42" i="11"/>
  <c r="R42" i="11"/>
  <c r="P49" i="11"/>
  <c r="P51" i="11" s="1"/>
  <c r="P53" i="11" s="1"/>
  <c r="S32" i="11"/>
  <c r="R32" i="11"/>
  <c r="S28" i="11"/>
  <c r="R28" i="11"/>
  <c r="K48" i="12"/>
  <c r="R31" i="12"/>
  <c r="S31" i="12"/>
  <c r="L48" i="12"/>
  <c r="J49" i="11"/>
  <c r="J51" i="11" s="1"/>
  <c r="K49" i="11"/>
  <c r="K51" i="11" s="1"/>
  <c r="S38" i="11"/>
  <c r="R38" i="11"/>
  <c r="S40" i="11"/>
  <c r="R40" i="11"/>
  <c r="S36" i="11"/>
  <c r="R36" i="11"/>
  <c r="O48" i="12"/>
  <c r="R27" i="12"/>
  <c r="S27" i="12"/>
  <c r="H49" i="11"/>
  <c r="H51" i="11" s="1"/>
  <c r="N49" i="11"/>
  <c r="N51" i="11" s="1"/>
  <c r="N53" i="11" s="1"/>
  <c r="R34" i="11"/>
  <c r="S34" i="11"/>
  <c r="G48" i="12"/>
  <c r="H48" i="12"/>
  <c r="S41" i="12"/>
  <c r="R41" i="12"/>
  <c r="S35" i="12"/>
  <c r="R35" i="12"/>
  <c r="G49" i="11"/>
  <c r="G51" i="11" s="1"/>
  <c r="J48" i="12"/>
  <c r="P48" i="12"/>
  <c r="S33" i="12"/>
  <c r="R33" i="12"/>
  <c r="R37" i="12"/>
  <c r="S37" i="12"/>
  <c r="S51" i="11" l="1"/>
  <c r="T32" i="11" s="1"/>
  <c r="H49" i="12"/>
  <c r="H51" i="12" s="1"/>
  <c r="G49" i="12"/>
  <c r="G51" i="12" s="1"/>
  <c r="S49" i="11"/>
  <c r="S52" i="11" s="1"/>
  <c r="I49" i="12"/>
  <c r="I51" i="12" s="1"/>
  <c r="R32" i="12"/>
  <c r="S32" i="12"/>
  <c r="R30" i="12"/>
  <c r="S30" i="12"/>
  <c r="R46" i="12"/>
  <c r="S46" i="12"/>
  <c r="R36" i="12"/>
  <c r="S36" i="12"/>
  <c r="O49" i="12"/>
  <c r="O51" i="12" s="1"/>
  <c r="O53" i="12" s="1"/>
  <c r="S42" i="12"/>
  <c r="R42" i="12"/>
  <c r="R44" i="12"/>
  <c r="S44" i="12"/>
  <c r="P49" i="12"/>
  <c r="P51" i="12" s="1"/>
  <c r="P53" i="12" s="1"/>
  <c r="K49" i="12"/>
  <c r="K51" i="12" s="1"/>
  <c r="K53" i="12" s="1"/>
  <c r="S40" i="12"/>
  <c r="R40" i="12"/>
  <c r="Q49" i="12"/>
  <c r="Q51" i="12" s="1"/>
  <c r="Q53" i="12" s="1"/>
  <c r="M49" i="12"/>
  <c r="M51" i="12" s="1"/>
  <c r="M53" i="12" s="1"/>
  <c r="J49" i="12"/>
  <c r="J51" i="12" s="1"/>
  <c r="S38" i="12"/>
  <c r="R38" i="12"/>
  <c r="S48" i="12"/>
  <c r="L49" i="12"/>
  <c r="L51" i="12" s="1"/>
  <c r="L53" i="12" s="1"/>
  <c r="S34" i="12"/>
  <c r="R34" i="12"/>
  <c r="S28" i="12"/>
  <c r="R28" i="12"/>
  <c r="F49" i="12"/>
  <c r="F51" i="12" s="1"/>
  <c r="S26" i="12"/>
  <c r="R26" i="12"/>
  <c r="N49" i="12"/>
  <c r="N51" i="12" s="1"/>
  <c r="N53" i="12" s="1"/>
  <c r="O52" i="11" l="1"/>
  <c r="S53" i="11"/>
  <c r="T34" i="11"/>
  <c r="N52" i="11"/>
  <c r="T40" i="11"/>
  <c r="T26" i="11"/>
  <c r="T35" i="11"/>
  <c r="P52" i="11"/>
  <c r="T29" i="11"/>
  <c r="T33" i="11"/>
  <c r="H52" i="11"/>
  <c r="T43" i="11"/>
  <c r="M52" i="11"/>
  <c r="T41" i="11"/>
  <c r="T42" i="11"/>
  <c r="T28" i="11"/>
  <c r="K52" i="11"/>
  <c r="L52" i="11"/>
  <c r="T45" i="11"/>
  <c r="X5" i="11"/>
  <c r="Q52" i="11"/>
  <c r="T36" i="11"/>
  <c r="F52" i="11"/>
  <c r="F53" i="11" s="1"/>
  <c r="T44" i="11"/>
  <c r="I52" i="11"/>
  <c r="T39" i="11"/>
  <c r="T38" i="11"/>
  <c r="T31" i="11"/>
  <c r="T25" i="11"/>
  <c r="T37" i="11"/>
  <c r="J52" i="11"/>
  <c r="T27" i="11"/>
  <c r="T30" i="11"/>
  <c r="T46" i="11"/>
  <c r="G52" i="11"/>
  <c r="S49" i="12"/>
  <c r="S52" i="12" s="1"/>
  <c r="S51" i="12"/>
  <c r="T48" i="11" l="1"/>
  <c r="G53" i="11"/>
  <c r="H53" i="11" s="1"/>
  <c r="I53" i="11" s="1"/>
  <c r="J53" i="11" s="1"/>
  <c r="K53" i="11" s="1"/>
  <c r="T49" i="11"/>
  <c r="T52" i="11"/>
  <c r="L52" i="12"/>
  <c r="T44" i="12"/>
  <c r="P52" i="12"/>
  <c r="T41" i="12"/>
  <c r="J52" i="12"/>
  <c r="T36" i="12"/>
  <c r="T46" i="12"/>
  <c r="S53" i="12"/>
  <c r="T34" i="12"/>
  <c r="T43" i="12"/>
  <c r="T35" i="12"/>
  <c r="M52" i="12"/>
  <c r="N52" i="12"/>
  <c r="I52" i="12"/>
  <c r="T40" i="12"/>
  <c r="H52" i="12"/>
  <c r="K52" i="12"/>
  <c r="T28" i="12"/>
  <c r="T25" i="12"/>
  <c r="O52" i="12"/>
  <c r="T38" i="12"/>
  <c r="T45" i="12"/>
  <c r="T32" i="12"/>
  <c r="T37" i="12"/>
  <c r="F52" i="12"/>
  <c r="T29" i="12"/>
  <c r="T30" i="12"/>
  <c r="T26" i="12"/>
  <c r="Q52" i="12"/>
  <c r="G52" i="12"/>
  <c r="T42" i="12"/>
  <c r="T33" i="12"/>
  <c r="T39" i="12"/>
  <c r="T31" i="12"/>
  <c r="T27" i="12"/>
  <c r="X5" i="12"/>
  <c r="T51" i="11" l="1"/>
  <c r="T53" i="11" s="1"/>
  <c r="T49" i="12"/>
  <c r="T48" i="12"/>
  <c r="F53" i="12"/>
  <c r="G53" i="12" s="1"/>
  <c r="H53" i="12" s="1"/>
  <c r="I53" i="12" s="1"/>
  <c r="J53" i="12" s="1"/>
  <c r="T52" i="12"/>
  <c r="T51" i="12" l="1"/>
  <c r="T53" i="12" s="1"/>
  <c r="F417" i="1" l="1"/>
  <c r="G417" i="1" s="1"/>
  <c r="M180" i="25"/>
  <c r="F417" i="19"/>
  <c r="F423" i="32" l="1"/>
  <c r="F423" i="31"/>
  <c r="G417" i="32"/>
  <c r="G417" i="31"/>
  <c r="F423" i="19"/>
  <c r="G417" i="19"/>
  <c r="F418" i="1"/>
  <c r="F418" i="32" l="1"/>
  <c r="F418" i="31"/>
  <c r="F418" i="19"/>
  <c r="G418" i="1"/>
  <c r="G418" i="32" l="1"/>
  <c r="G418" i="31"/>
  <c r="G418" i="19"/>
  <c r="G414" i="1"/>
  <c r="G414" i="32" l="1"/>
  <c r="G414" i="31"/>
  <c r="I414" i="1"/>
  <c r="G414" i="19"/>
  <c r="I414" i="32" l="1"/>
  <c r="I414" i="31"/>
  <c r="J414" i="1"/>
  <c r="I414" i="19"/>
  <c r="I2558" i="19" s="1"/>
  <c r="J414" i="32" l="1"/>
  <c r="J414" i="31"/>
  <c r="J414" i="19"/>
  <c r="J255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tc={D119ED5E-E7C4-446E-982E-59F4CBB35603}</author>
  </authors>
  <commentList>
    <comment ref="S2" authorId="0" shapeId="0" xr:uid="{00000000-0006-0000-0200-000001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Informar o valor do Financiamento do SFM para este projeto.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tc={2CF7446A-84F4-4CCA-87B7-2F04368F5AD2}</author>
  </authors>
  <commentList>
    <comment ref="S2" authorId="0" shapeId="0" xr:uid="{00000000-0006-0000-0300-000001000000}">
      <text>
        <r>
          <rPr>
            <sz val="8"/>
            <rFont val="Arial"/>
          </rPr>
  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Informar o valor do Convênio do PAM para este projeto.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Ruy  José da Costa</author>
    <author>tc={F91E1158-D790-4C73-8422-CC63B5B7C06A}</author>
    <author>tc={FEF2AC90-68BD-4EBD-BAA2-1340250CB694}</author>
    <author>tc={9A388544-8DCE-47B8-8E05-09F66A322966}</author>
    <author>tc={AABE1422-78A6-4327-B5C0-A511D859DAE3}</author>
    <author>tc={2DBAC8DB-6720-46A5-9320-DCDBF768325E}</author>
    <author>tc={8A96A638-AD53-4BC9-8626-84F8B050E805}</author>
    <author>tc={5C62EF5E-9646-44BB-8213-8D21E5BC6772}</author>
    <author>tc={9FACA1A5-0068-46A2-8D31-617A85646F91}</author>
    <author>tc={F5EE1DCA-9761-48E4-88F7-0158606C077E}</author>
  </authors>
  <commentList>
    <comment ref="O1" authorId="0" shapeId="0" xr:uid="{00000000-0006-0000-0700-000001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D3" authorId="0" shapeId="0" xr:uid="{00000000-0006-0000-0700-000002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O15" authorId="1" shapeId="0" xr:uid="{00000000-0006-0000-0700-000003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Tabela de referência da análise do projeto (não apagar essa informações das planilha dos editais: planilha de serviços, anexo e cartilha).</t>
        </r>
      </text>
    </comment>
    <comment ref="O16" authorId="2" shapeId="0" xr:uid="{00000000-0006-0000-0700-000004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Informar a data da aprovação do projeto, que será a data base para reajustamento do contrato quando necessário, conforme o Decreto 10.086/22 do Paraná, que regulamenta a Lei 14.133/2021.</t>
        </r>
      </text>
    </comment>
    <comment ref="D543" authorId="3" shapeId="0" xr:uid="{00000000-0006-0000-0700-000005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>
        </r>
      </text>
    </comment>
    <comment ref="D544" authorId="4" shapeId="0" xr:uid="{00000000-0006-0000-0700-000006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>
        </r>
      </text>
    </comment>
    <comment ref="D545" authorId="5" shapeId="0" xr:uid="{00000000-0006-0000-0700-000007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>
        </r>
      </text>
    </comment>
    <comment ref="D546" authorId="6" shapeId="0" xr:uid="{00000000-0006-0000-0700-000008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>
        </r>
      </text>
    </comment>
    <comment ref="D547" authorId="7" shapeId="0" xr:uid="{00000000-0006-0000-0700-000009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>
        </r>
      </text>
    </comment>
    <comment ref="D548" authorId="8" shapeId="0" xr:uid="{00000000-0006-0000-0700-00000A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>
        </r>
      </text>
    </comment>
    <comment ref="D551" authorId="9" shapeId="0" xr:uid="{00000000-0006-0000-0700-00000B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>
        </r>
      </text>
    </comment>
    <comment ref="H645" authorId="0" shapeId="0" xr:uid="{00000000-0006-0000-0700-00000C000000}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AC645" authorId="0" shapeId="0" xr:uid="{00000000-0006-0000-0700-00000D000000}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646" authorId="0" shapeId="0" xr:uid="{00000000-0006-0000-0700-00000E000000}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AC646" authorId="0" shapeId="0" xr:uid="{00000000-0006-0000-0700-00000F000000}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647" authorId="0" shapeId="0" xr:uid="{00000000-0006-0000-0700-000010000000}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AC647" authorId="0" shapeId="0" xr:uid="{00000000-0006-0000-0700-000011000000}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666" authorId="0" shapeId="0" xr:uid="{00000000-0006-0000-0700-000012000000}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AC666" authorId="0" shapeId="0" xr:uid="{00000000-0006-0000-0700-000013000000}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670" authorId="0" shapeId="0" xr:uid="{00000000-0006-0000-0700-000014000000}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AC670" authorId="0" shapeId="0" xr:uid="{00000000-0006-0000-0700-000015000000}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674" authorId="0" shapeId="0" xr:uid="{00000000-0006-0000-0700-000016000000}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674" authorId="0" shapeId="0" xr:uid="{00000000-0006-0000-0700-000017000000}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678" authorId="0" shapeId="0" xr:uid="{00000000-0006-0000-0700-000018000000}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678" authorId="0" shapeId="0" xr:uid="{00000000-0006-0000-0700-000019000000}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1" authorId="0" shapeId="0" xr:uid="{00000000-0006-0000-0700-00001A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1" authorId="0" shapeId="0" xr:uid="{00000000-0006-0000-0700-00001B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2" authorId="0" shapeId="0" xr:uid="{00000000-0006-0000-0700-00001C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2" authorId="0" shapeId="0" xr:uid="{00000000-0006-0000-0700-00001D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3" authorId="0" shapeId="0" xr:uid="{00000000-0006-0000-0700-00001E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3" authorId="0" shapeId="0" xr:uid="{00000000-0006-0000-0700-00001F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4" authorId="0" shapeId="0" xr:uid="{00000000-0006-0000-0700-000020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4" authorId="0" shapeId="0" xr:uid="{00000000-0006-0000-0700-000021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5" authorId="0" shapeId="0" xr:uid="{00000000-0006-0000-0700-000022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5" authorId="0" shapeId="0" xr:uid="{00000000-0006-0000-0700-000023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6" authorId="0" shapeId="0" xr:uid="{00000000-0006-0000-0700-000024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6" authorId="0" shapeId="0" xr:uid="{00000000-0006-0000-0700-000025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7" authorId="0" shapeId="0" xr:uid="{00000000-0006-0000-0700-000026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7" authorId="0" shapeId="0" xr:uid="{00000000-0006-0000-0700-000027000000}">
      <text>
        <r>
          <rPr>
            <b/>
            <sz val="8"/>
            <color indexed="81"/>
            <rFont val="Segoe UI"/>
            <family val="2"/>
          </rPr>
          <t>Mínimo um ensaio
Cada 800m2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8" authorId="0" shapeId="0" xr:uid="{00000000-0006-0000-0700-000028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8" authorId="0" shapeId="0" xr:uid="{00000000-0006-0000-0700-000029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9" authorId="0" shapeId="0" xr:uid="{00000000-0006-0000-0700-00002A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09" authorId="0" shapeId="0" xr:uid="{00000000-0006-0000-0700-00002B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0" authorId="0" shapeId="0" xr:uid="{00000000-0006-0000-0700-00002C000000}">
      <text>
        <r>
          <rPr>
            <b/>
            <sz val="8"/>
            <color indexed="81"/>
            <rFont val="Segoe UI"/>
            <family val="2"/>
          </rPr>
          <t>Mínimo dois ensaios por quadra, ou a 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10" authorId="0" shapeId="0" xr:uid="{00000000-0006-0000-0700-00002D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1" authorId="0" shapeId="0" xr:uid="{00000000-0006-0000-0700-00002E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11" authorId="0" shapeId="0" xr:uid="{00000000-0006-0000-0700-00002F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2" authorId="0" shapeId="0" xr:uid="{00000000-0006-0000-0700-000030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12" authorId="0" shapeId="0" xr:uid="{00000000-0006-0000-0700-000031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3" authorId="0" shapeId="0" xr:uid="{00000000-0006-0000-0700-000032000000}">
      <text>
        <r>
          <rPr>
            <b/>
            <sz val="8"/>
            <color indexed="81"/>
            <rFont val="Segoe UI"/>
            <family val="2"/>
          </rPr>
          <t>Mínimo dois ensaios por quadra, ou a 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7" authorId="0" shapeId="0" xr:uid="{00000000-0006-0000-0700-000033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AC2517" authorId="0" shapeId="0" xr:uid="{00000000-0006-0000-0700-000034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Ruy  José da Costa</author>
    <author>tc={089F3248-863D-4E58-9A72-A0EB75FB02AA}</author>
    <author>tc={B0D0578E-02BE-4064-8839-1E0DB2B02727}</author>
    <author>tc={4F9F2BA5-3A64-4AD9-950A-DC94D366B8EA}</author>
    <author>tc={74F19F8F-8FF0-4487-BFC1-C3B515963568}</author>
    <author>tc={A1817C80-A946-42EC-A11B-71699F193008}</author>
    <author>tc={794FB6C4-ADA8-4B28-9F28-3B06F5DC81F7}</author>
    <author>tc={5F2A7E28-5BAA-4FF7-8D80-50B5D93E2464}</author>
    <author>PARANACIDADE: Ruy  Jose da Costa</author>
  </authors>
  <commentList>
    <comment ref="K1" authorId="0" shapeId="0" xr:uid="{00000000-0006-0000-0800-000001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M1" authorId="0" shapeId="0" xr:uid="{00000000-0006-0000-0800-000002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O1" authorId="0" shapeId="0" xr:uid="{00000000-0006-0000-0800-000003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K3" authorId="0" shapeId="0" xr:uid="{00000000-0006-0000-0800-000004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L3" authorId="0" shapeId="0" xr:uid="{00000000-0006-0000-0800-000005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D543" authorId="1" shapeId="0" xr:uid="{00000000-0006-0000-0800-000006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>
        </r>
      </text>
    </comment>
    <comment ref="D544" authorId="2" shapeId="0" xr:uid="{00000000-0006-0000-0800-000007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>
        </r>
      </text>
    </comment>
    <comment ref="D545" authorId="3" shapeId="0" xr:uid="{00000000-0006-0000-0800-000008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>
        </r>
      </text>
    </comment>
    <comment ref="D546" authorId="4" shapeId="0" xr:uid="{00000000-0006-0000-0800-000009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>
        </r>
      </text>
    </comment>
    <comment ref="D547" authorId="5" shapeId="0" xr:uid="{00000000-0006-0000-0800-00000A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>
        </r>
      </text>
    </comment>
    <comment ref="D548" authorId="6" shapeId="0" xr:uid="{00000000-0006-0000-0800-00000B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>
        </r>
      </text>
    </comment>
    <comment ref="D551" authorId="7" shapeId="0" xr:uid="{00000000-0006-0000-0800-00000C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>
        </r>
      </text>
    </comment>
    <comment ref="H645" authorId="0" shapeId="0" xr:uid="{00000000-0006-0000-0800-00000D000000}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646" authorId="0" shapeId="0" xr:uid="{00000000-0006-0000-0800-00000E000000}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647" authorId="0" shapeId="0" xr:uid="{00000000-0006-0000-0800-00000F000000}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666" authorId="0" shapeId="0" xr:uid="{00000000-0006-0000-0800-000010000000}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670" authorId="0" shapeId="0" xr:uid="{00000000-0006-0000-0800-000011000000}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674" authorId="0" shapeId="0" xr:uid="{00000000-0006-0000-0800-000012000000}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678" authorId="0" shapeId="0" xr:uid="{00000000-0006-0000-0800-000013000000}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871" authorId="8" shapeId="0" xr:uid="{00000000-0006-0000-0800-000014000000}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2" authorId="8" shapeId="0" xr:uid="{00000000-0006-0000-0800-000015000000}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3" authorId="8" shapeId="0" xr:uid="{00000000-0006-0000-0800-000016000000}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4" authorId="8" shapeId="0" xr:uid="{00000000-0006-0000-0800-000017000000}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5" authorId="8" shapeId="0" xr:uid="{00000000-0006-0000-0800-000018000000}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6" authorId="8" shapeId="0" xr:uid="{00000000-0006-0000-0800-000019000000}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7" authorId="8" shapeId="0" xr:uid="{00000000-0006-0000-0800-00001A000000}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8" authorId="8" shapeId="0" xr:uid="{00000000-0006-0000-0800-00001B000000}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9" authorId="8" shapeId="0" xr:uid="{00000000-0006-0000-0800-00001C000000}">
      <text>
        <r>
          <rPr>
            <b/>
            <sz val="12"/>
            <color indexed="81"/>
            <rFont val="Tahoma"/>
            <family val="2"/>
          </rPr>
          <t>CUSTO DA PLACA (R$/M2) * CONSUMO (0,2400)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01" authorId="0" shapeId="0" xr:uid="{00000000-0006-0000-0800-00001D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2" authorId="0" shapeId="0" xr:uid="{00000000-0006-0000-0800-00001E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3" authorId="0" shapeId="0" xr:uid="{00000000-0006-0000-0800-00001F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4" authorId="0" shapeId="0" xr:uid="{00000000-0006-0000-0800-000020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5" authorId="0" shapeId="0" xr:uid="{00000000-0006-0000-0800-000021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6" authorId="0" shapeId="0" xr:uid="{00000000-0006-0000-0800-000022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7" authorId="0" shapeId="0" xr:uid="{00000000-0006-0000-0800-000023000000}">
      <text>
        <r>
          <rPr>
            <b/>
            <sz val="8"/>
            <color indexed="81"/>
            <rFont val="Segoe UI"/>
            <family val="2"/>
          </rPr>
          <t>Mínimo um ensaio
Cada 800m2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8" authorId="0" shapeId="0" xr:uid="{00000000-0006-0000-0800-000024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9" authorId="0" shapeId="0" xr:uid="{00000000-0006-0000-0800-000025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0" authorId="0" shapeId="0" xr:uid="{00000000-0006-0000-0800-000026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1" authorId="0" shapeId="0" xr:uid="{00000000-0006-0000-0800-000027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2" authorId="0" shapeId="0" xr:uid="{00000000-0006-0000-0800-000028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7" authorId="0" shapeId="0" xr:uid="{00000000-0006-0000-0800-000029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Ruy  José da Costa</author>
    <author>tc={089F3248-863D-4E58-9A72-A0EB75FB02AA}</author>
    <author>tc={B0D0578E-02BE-4064-8839-1E0DB2B02727}</author>
    <author>tc={4F9F2BA5-3A64-4AD9-950A-DC94D366B8EA}</author>
    <author>tc={74F19F8F-8FF0-4487-BFC1-C3B515963568}</author>
    <author>tc={A1817C80-A946-42EC-A11B-71699F193008}</author>
    <author>tc={794FB6C4-ADA8-4B28-9F28-3B06F5DC81F7}</author>
    <author>tc={5F2A7E28-5BAA-4FF7-8D80-50B5D93E2464}</author>
    <author>PARANACIDADE: Ruy  Jose da Costa</author>
  </authors>
  <commentList>
    <comment ref="K1" authorId="0" shapeId="0" xr:uid="{00000000-0006-0000-0900-000001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M1" authorId="0" shapeId="0" xr:uid="{00000000-0006-0000-0900-000002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K3" authorId="0" shapeId="0" xr:uid="{00000000-0006-0000-0900-000004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L3" authorId="0" shapeId="0" xr:uid="{00000000-0006-0000-0900-000005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D543" authorId="1" shapeId="0" xr:uid="{00000000-0006-0000-0900-000006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>
        </r>
      </text>
    </comment>
    <comment ref="D544" authorId="2" shapeId="0" xr:uid="{00000000-0006-0000-0900-000007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>
        </r>
      </text>
    </comment>
    <comment ref="D545" authorId="3" shapeId="0" xr:uid="{00000000-0006-0000-0900-000008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>
        </r>
      </text>
    </comment>
    <comment ref="D546" authorId="4" shapeId="0" xr:uid="{00000000-0006-0000-0900-000009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>
        </r>
      </text>
    </comment>
    <comment ref="D547" authorId="5" shapeId="0" xr:uid="{00000000-0006-0000-0900-00000A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>
        </r>
      </text>
    </comment>
    <comment ref="D548" authorId="6" shapeId="0" xr:uid="{00000000-0006-0000-0900-00000B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>
        </r>
      </text>
    </comment>
    <comment ref="D551" authorId="7" shapeId="0" xr:uid="{00000000-0006-0000-0900-00000C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>
        </r>
      </text>
    </comment>
    <comment ref="H645" authorId="0" shapeId="0" xr:uid="{00000000-0006-0000-0900-00000D000000}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646" authorId="0" shapeId="0" xr:uid="{00000000-0006-0000-0900-00000E000000}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647" authorId="0" shapeId="0" xr:uid="{00000000-0006-0000-0900-00000F000000}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666" authorId="0" shapeId="0" xr:uid="{00000000-0006-0000-0900-000010000000}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670" authorId="0" shapeId="0" xr:uid="{00000000-0006-0000-0900-000011000000}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674" authorId="0" shapeId="0" xr:uid="{00000000-0006-0000-0900-000012000000}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678" authorId="0" shapeId="0" xr:uid="{00000000-0006-0000-0900-000013000000}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871" authorId="8" shapeId="0" xr:uid="{00000000-0006-0000-0900-000014000000}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2" authorId="8" shapeId="0" xr:uid="{00000000-0006-0000-0900-000015000000}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3" authorId="8" shapeId="0" xr:uid="{00000000-0006-0000-0900-000016000000}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4" authorId="8" shapeId="0" xr:uid="{00000000-0006-0000-0900-000017000000}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5" authorId="8" shapeId="0" xr:uid="{00000000-0006-0000-0900-000018000000}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6" authorId="8" shapeId="0" xr:uid="{00000000-0006-0000-0900-000019000000}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7" authorId="8" shapeId="0" xr:uid="{00000000-0006-0000-0900-00001A000000}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8" authorId="8" shapeId="0" xr:uid="{00000000-0006-0000-0900-00001B000000}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9" authorId="8" shapeId="0" xr:uid="{00000000-0006-0000-0900-00001C000000}">
      <text>
        <r>
          <rPr>
            <b/>
            <sz val="12"/>
            <color indexed="81"/>
            <rFont val="Tahoma"/>
            <family val="2"/>
          </rPr>
          <t>CUSTO DA PLACA (R$/M2) * CONSUMO (0,2400)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01" authorId="0" shapeId="0" xr:uid="{00000000-0006-0000-0900-00001D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2" authorId="0" shapeId="0" xr:uid="{00000000-0006-0000-0900-00001E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3" authorId="0" shapeId="0" xr:uid="{00000000-0006-0000-0900-00001F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4" authorId="0" shapeId="0" xr:uid="{00000000-0006-0000-0900-000020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5" authorId="0" shapeId="0" xr:uid="{00000000-0006-0000-0900-000021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6" authorId="0" shapeId="0" xr:uid="{00000000-0006-0000-0900-000022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7" authorId="0" shapeId="0" xr:uid="{00000000-0006-0000-0900-000023000000}">
      <text>
        <r>
          <rPr>
            <b/>
            <sz val="8"/>
            <color indexed="81"/>
            <rFont val="Segoe UI"/>
            <family val="2"/>
          </rPr>
          <t>Mínimo um ensaio
Cada 800m2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8" authorId="0" shapeId="0" xr:uid="{00000000-0006-0000-0900-000024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9" authorId="0" shapeId="0" xr:uid="{00000000-0006-0000-0900-000025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0" authorId="0" shapeId="0" xr:uid="{00000000-0006-0000-0900-000026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1" authorId="0" shapeId="0" xr:uid="{00000000-0006-0000-0900-000027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2" authorId="0" shapeId="0" xr:uid="{00000000-0006-0000-0900-000028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7" authorId="0" shapeId="0" xr:uid="{00000000-0006-0000-0900-000029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Ruy  José da Costa</author>
    <author>tc={B7B94D7E-3975-4928-8C4D-C219DC6D17D5}</author>
    <author>tc={B75CA13B-65A3-4735-A0A4-DB306843DFBF}</author>
    <author>tc={35C0832C-562F-4F71-A31F-246F4591F818}</author>
    <author>tc={E6AB7492-1704-4DB3-BB59-E5025DBED403}</author>
    <author>tc={98FA0875-14C5-47FE-A4E4-DF60FB6711FC}</author>
    <author>tc={272A5F20-AC76-46CE-8337-F3AF53C8EC48}</author>
    <author>tc={4CA5118C-C863-4504-A1FE-083B1CD25413}</author>
    <author>PARANACIDADE: Ruy  Jose da Costa</author>
  </authors>
  <commentList>
    <comment ref="K1" authorId="0" shapeId="0" xr:uid="{00000000-0006-0000-0D00-000001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M1" authorId="0" shapeId="0" xr:uid="{00000000-0006-0000-0D00-000002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O1" authorId="0" shapeId="0" xr:uid="{00000000-0006-0000-0D00-000003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K3" authorId="0" shapeId="0" xr:uid="{00000000-0006-0000-0D00-000004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L3" authorId="0" shapeId="0" xr:uid="{00000000-0006-0000-0D00-000005000000}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D543" authorId="1" shapeId="0" xr:uid="{00000000-0006-0000-0D00-000006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>
        </r>
      </text>
    </comment>
    <comment ref="D544" authorId="2" shapeId="0" xr:uid="{00000000-0006-0000-0D00-000007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>
        </r>
      </text>
    </comment>
    <comment ref="D545" authorId="3" shapeId="0" xr:uid="{00000000-0006-0000-0D00-000008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>
        </r>
      </text>
    </comment>
    <comment ref="D546" authorId="4" shapeId="0" xr:uid="{00000000-0006-0000-0D00-000009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>
        </r>
      </text>
    </comment>
    <comment ref="D547" authorId="5" shapeId="0" xr:uid="{00000000-0006-0000-0D00-00000A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>
        </r>
      </text>
    </comment>
    <comment ref="D548" authorId="6" shapeId="0" xr:uid="{00000000-0006-0000-0D00-00000B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>
        </r>
      </text>
    </comment>
    <comment ref="D551" authorId="7" shapeId="0" xr:uid="{00000000-0006-0000-0D00-00000C000000}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>
        </r>
      </text>
    </comment>
    <comment ref="H645" authorId="0" shapeId="0" xr:uid="{00000000-0006-0000-0D00-00000D000000}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646" authorId="0" shapeId="0" xr:uid="{00000000-0006-0000-0D00-00000E000000}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647" authorId="0" shapeId="0" xr:uid="{00000000-0006-0000-0D00-00000F000000}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666" authorId="0" shapeId="0" xr:uid="{00000000-0006-0000-0D00-000010000000}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670" authorId="0" shapeId="0" xr:uid="{00000000-0006-0000-0D00-000011000000}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674" authorId="0" shapeId="0" xr:uid="{00000000-0006-0000-0D00-000012000000}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678" authorId="0" shapeId="0" xr:uid="{00000000-0006-0000-0D00-000013000000}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871" authorId="8" shapeId="0" xr:uid="{00000000-0006-0000-0D00-000014000000}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2" authorId="8" shapeId="0" xr:uid="{00000000-0006-0000-0D00-000015000000}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3" authorId="8" shapeId="0" xr:uid="{00000000-0006-0000-0D00-000016000000}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4" authorId="8" shapeId="0" xr:uid="{00000000-0006-0000-0D00-000017000000}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5" authorId="8" shapeId="0" xr:uid="{00000000-0006-0000-0D00-000018000000}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6" authorId="8" shapeId="0" xr:uid="{00000000-0006-0000-0D00-000019000000}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7" authorId="8" shapeId="0" xr:uid="{00000000-0006-0000-0D00-00001A000000}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8" authorId="8" shapeId="0" xr:uid="{00000000-0006-0000-0D00-00001B000000}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9" authorId="8" shapeId="0" xr:uid="{00000000-0006-0000-0D00-00001C000000}">
      <text>
        <r>
          <rPr>
            <b/>
            <sz val="12"/>
            <color indexed="81"/>
            <rFont val="Tahoma"/>
            <family val="2"/>
          </rPr>
          <t>CUSTO DA PLACA (R$/M2) * CONSUMO (0,2400)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01" authorId="0" shapeId="0" xr:uid="{00000000-0006-0000-0D00-00001D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2" authorId="0" shapeId="0" xr:uid="{00000000-0006-0000-0D00-00001E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3" authorId="0" shapeId="0" xr:uid="{00000000-0006-0000-0D00-00001F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4" authorId="0" shapeId="0" xr:uid="{00000000-0006-0000-0D00-000020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5" authorId="0" shapeId="0" xr:uid="{00000000-0006-0000-0D00-000021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6" authorId="0" shapeId="0" xr:uid="{00000000-0006-0000-0D00-000022000000}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7" authorId="0" shapeId="0" xr:uid="{00000000-0006-0000-0D00-000023000000}">
      <text>
        <r>
          <rPr>
            <b/>
            <sz val="8"/>
            <color indexed="81"/>
            <rFont val="Segoe UI"/>
            <family val="2"/>
          </rPr>
          <t>Mínimo um ensaio
Cada 800m2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8" authorId="0" shapeId="0" xr:uid="{00000000-0006-0000-0D00-000024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09" authorId="0" shapeId="0" xr:uid="{00000000-0006-0000-0D00-000025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0" authorId="0" shapeId="0" xr:uid="{00000000-0006-0000-0D00-000026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1" authorId="0" shapeId="0" xr:uid="{00000000-0006-0000-0D00-000027000000}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2" authorId="0" shapeId="0" xr:uid="{00000000-0006-0000-0D00-000028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517" authorId="0" shapeId="0" xr:uid="{00000000-0006-0000-0D00-000029000000}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<sst xmlns="http://schemas.openxmlformats.org/spreadsheetml/2006/main" count="33995" uniqueCount="2309">
  <si>
    <t>DMT</t>
  </si>
  <si>
    <t>CONSUMO</t>
  </si>
  <si>
    <t>CUSTOS UNITÁRIOS - ( R$ )</t>
  </si>
  <si>
    <t>TRANSP</t>
  </si>
  <si>
    <t>EXEC.</t>
  </si>
  <si>
    <t>S/BDI</t>
  </si>
  <si>
    <t>C/BDI</t>
  </si>
  <si>
    <t>QUANT</t>
  </si>
  <si>
    <t>UNIT</t>
  </si>
  <si>
    <t>( R$ ) - PM</t>
  </si>
  <si>
    <t>m3</t>
  </si>
  <si>
    <t xml:space="preserve"> </t>
  </si>
  <si>
    <t>m2</t>
  </si>
  <si>
    <t>m</t>
  </si>
  <si>
    <t>ton</t>
  </si>
  <si>
    <t>un</t>
  </si>
  <si>
    <t>kg</t>
  </si>
  <si>
    <t>BLSA120</t>
  </si>
  <si>
    <t>BLSA150</t>
  </si>
  <si>
    <t>BLSA200</t>
  </si>
  <si>
    <t>BLSA250</t>
  </si>
  <si>
    <t>BLSC120</t>
  </si>
  <si>
    <t>BLSC150</t>
  </si>
  <si>
    <t>BLSC200</t>
  </si>
  <si>
    <t>BLSC250</t>
  </si>
  <si>
    <t>BLDA120</t>
  </si>
  <si>
    <t>BLDA150</t>
  </si>
  <si>
    <t>BLDC120</t>
  </si>
  <si>
    <t>BLDC150</t>
  </si>
  <si>
    <t>CLA060</t>
  </si>
  <si>
    <t>CLA080</t>
  </si>
  <si>
    <t>CLA100</t>
  </si>
  <si>
    <t>CLA120</t>
  </si>
  <si>
    <t>CLC060</t>
  </si>
  <si>
    <t>CLC080</t>
  </si>
  <si>
    <t>CLC100</t>
  </si>
  <si>
    <t>CLC120</t>
  </si>
  <si>
    <t>CLC150</t>
  </si>
  <si>
    <t>CLC200</t>
  </si>
  <si>
    <t>PVAH150</t>
  </si>
  <si>
    <t>PVCH150</t>
  </si>
  <si>
    <t>PVCH200</t>
  </si>
  <si>
    <t>PVCH250</t>
  </si>
  <si>
    <t>VIGA080</t>
  </si>
  <si>
    <t>VIGA100</t>
  </si>
  <si>
    <t>VIGA120</t>
  </si>
  <si>
    <t>DISSIPM</t>
  </si>
  <si>
    <t>serviço</t>
  </si>
  <si>
    <t>TIJOLO</t>
  </si>
  <si>
    <t>cimen</t>
  </si>
  <si>
    <t>areia</t>
  </si>
  <si>
    <t>brita</t>
  </si>
  <si>
    <t>custo
exec</t>
  </si>
  <si>
    <t>CAL</t>
  </si>
  <si>
    <t>B.L. Símples alvenaria H até 1,20 m</t>
  </si>
  <si>
    <t>B.L. Símples alvenaria H até 1,50 m</t>
  </si>
  <si>
    <t>B.L. Símples alvenaria H até 2,00 m</t>
  </si>
  <si>
    <t>B.L. Símples alvenaria H até 2,50 m</t>
  </si>
  <si>
    <t>C.L. Alvenaria Tubo até 0,80</t>
  </si>
  <si>
    <t>C.L. Alvenaria Tubo até 1,00</t>
  </si>
  <si>
    <t>C.L. Alvenaria Tubo até 1,20</t>
  </si>
  <si>
    <t>K</t>
  </si>
  <si>
    <t>M</t>
  </si>
  <si>
    <t>N</t>
  </si>
  <si>
    <t>O</t>
  </si>
  <si>
    <t>P</t>
  </si>
  <si>
    <t>Q</t>
  </si>
  <si>
    <t>R</t>
  </si>
  <si>
    <t>S</t>
  </si>
  <si>
    <t>0,0025</t>
  </si>
  <si>
    <t>0,0001</t>
  </si>
  <si>
    <t>0,0024</t>
  </si>
  <si>
    <t>0,0038</t>
  </si>
  <si>
    <t>0,0002</t>
  </si>
  <si>
    <t>0,0062</t>
  </si>
  <si>
    <t>0,0043</t>
  </si>
  <si>
    <t>0,0119</t>
  </si>
  <si>
    <t>0,0004</t>
  </si>
  <si>
    <t>0,0082</t>
  </si>
  <si>
    <t>0,6231</t>
  </si>
  <si>
    <t>2,2155</t>
  </si>
  <si>
    <t>C.L. Alvenaria Tubo até 0,40</t>
  </si>
  <si>
    <t>C.L. Alvenaria Tubo até 0,60</t>
  </si>
  <si>
    <t>B.L. Dupla Alvenaria H até 1,20 m</t>
  </si>
  <si>
    <t>B.L. Dupla Alvenaria H até 1,50 m</t>
  </si>
  <si>
    <t>B.L. Dupla Alvenaria H até 2,00 m</t>
  </si>
  <si>
    <t>B.L. Dupla Alvenaria H até 2,50 m</t>
  </si>
  <si>
    <t>B.L. Símples concreto armado H até 1,50 m</t>
  </si>
  <si>
    <t>B.L. Símples concreto armado H até 2,00 m</t>
  </si>
  <si>
    <t>B.L. Símples concreto armado H até 2,50 m</t>
  </si>
  <si>
    <t>B.L. Símples concreto armado H até 1,20 m</t>
  </si>
  <si>
    <t>B.L. Dupla Concreto armado H até 1,50 m</t>
  </si>
  <si>
    <t>B.L. Dupla Concreto armado H até 2,00 m</t>
  </si>
  <si>
    <t>B.L. Dupla Concreto armado H até 2,50 m</t>
  </si>
  <si>
    <t>B.L. Dupla Concreto armado H até 1,20 m</t>
  </si>
  <si>
    <t>BLSM120</t>
  </si>
  <si>
    <t>BLSM150</t>
  </si>
  <si>
    <t>BLSM200</t>
  </si>
  <si>
    <t>BLSM250</t>
  </si>
  <si>
    <t>BLDA200</t>
  </si>
  <si>
    <t>BLDA250</t>
  </si>
  <si>
    <t>BLDM120</t>
  </si>
  <si>
    <t>BLDM150</t>
  </si>
  <si>
    <t>BLDM200</t>
  </si>
  <si>
    <t>BLDM250</t>
  </si>
  <si>
    <t>BLDC200</t>
  </si>
  <si>
    <t>BLDC250</t>
  </si>
  <si>
    <t>CLA040</t>
  </si>
  <si>
    <t>CLM040</t>
  </si>
  <si>
    <t>CLM060</t>
  </si>
  <si>
    <t>CLM080</t>
  </si>
  <si>
    <t>CLM100</t>
  </si>
  <si>
    <t>CLM120</t>
  </si>
  <si>
    <t>CLC040</t>
  </si>
  <si>
    <t>PVAH180</t>
  </si>
  <si>
    <t>PVAH80</t>
  </si>
  <si>
    <t>PVAH100</t>
  </si>
  <si>
    <t>PVAH130</t>
  </si>
  <si>
    <t>PVMH80</t>
  </si>
  <si>
    <t>PVMH100</t>
  </si>
  <si>
    <t>PVMH130</t>
  </si>
  <si>
    <t>PVMH150</t>
  </si>
  <si>
    <t>PVMH180</t>
  </si>
  <si>
    <t>PVCH80</t>
  </si>
  <si>
    <t>PVCH100</t>
  </si>
  <si>
    <t>PVCH130</t>
  </si>
  <si>
    <t>PVCH180</t>
  </si>
  <si>
    <t>P.V. Alvenaria H até 0,80 m Tubo até 0,40 + chaminé 1,00 m</t>
  </si>
  <si>
    <t>P.V. Alvenaria H até 1,00 m Tubo até 0,60 + chaminé 1,00 m</t>
  </si>
  <si>
    <t>P.V. Alvenaria H até 1,30 m Tubo até 0,80 + chaminé 1,00 m</t>
  </si>
  <si>
    <t>P.V. Alvenaria H até 1,50 m Tubo até 1,00 + chaminé 1,00 m</t>
  </si>
  <si>
    <t>P.V. Alvenaria H até 1,80 m Tubo até 1,20 + chaminé 1,00 m</t>
  </si>
  <si>
    <t>P.V. Pré-moldado H até 0,80 m Tubo até 0,40 + chaminé 1,00 m</t>
  </si>
  <si>
    <t>P.V. Pré-moldado H até 1,00 m Tubo até 0,60 + chaminé 1,00 m</t>
  </si>
  <si>
    <t>P.V. Pré-moldado H até 1,30 m Tubo até 0,80 + chaminé 1,00 m</t>
  </si>
  <si>
    <t>P.V. Pré-moldado H até 1,50 m Tubo até 1,00 + chaminé 1,00 m</t>
  </si>
  <si>
    <t>P.V. Pré-moldado H até 1,80 m Tubo até 1,20 + chaminé 1,00 m</t>
  </si>
  <si>
    <t>P.V. Concreto armado H até 0,80 m Tubo até 0,40 + chaminé 1,00 m</t>
  </si>
  <si>
    <t>P.V. Concreto armado H até 1,00 m Tubo até 0,60 + chaminé 1,00 m</t>
  </si>
  <si>
    <t>P.V. Concreto armado H até 1,30 m Tubo até 0,80 + chaminé 1,00 m</t>
  </si>
  <si>
    <t>P.V. Concreto armado H até 1,50 m Tubo até 1,00 + chaminé 1,00 m</t>
  </si>
  <si>
    <t>P.V. Concreto armado H até 1,80 m Tubo até 1,20 + chaminé 1,00 m</t>
  </si>
  <si>
    <t>P.V. Concreto armado H até 2,00 m Tubo até 1,50 + chaminé 1,00 m</t>
  </si>
  <si>
    <t>P.V. Concreto armado H até 2,50 m Tubo até 2,00 + chaminé 1,00 m</t>
  </si>
  <si>
    <t>Dissipador de Energia c/Pedra de Mão tubo ø 1,00</t>
  </si>
  <si>
    <t>Dissipador de Energia c/Pedra de Mão tubo ø 1,20</t>
  </si>
  <si>
    <t>Dissipador de Energia c/Pedra de Mão tubo ø 1,50</t>
  </si>
  <si>
    <t>transporte</t>
  </si>
  <si>
    <t>534908A</t>
  </si>
  <si>
    <t>534908B</t>
  </si>
  <si>
    <t>534908C</t>
  </si>
  <si>
    <t>534906C</t>
  </si>
  <si>
    <t>x</t>
  </si>
  <si>
    <t>DESCRIÇÃO DOS SERVIÇOS</t>
  </si>
  <si>
    <t>km</t>
  </si>
  <si>
    <t>( ton )</t>
  </si>
  <si>
    <t>UD</t>
  </si>
  <si>
    <t>PLANILHA DE SERVIÇOS   -   PAVIMENTAÇÃO</t>
  </si>
  <si>
    <t>( R$ ) - PM
TOTAIS</t>
  </si>
  <si>
    <t>Município:</t>
  </si>
  <si>
    <t xml:space="preserve">SAM  </t>
  </si>
  <si>
    <t>Projeto :</t>
  </si>
  <si>
    <t xml:space="preserve">LOTE nº </t>
  </si>
  <si>
    <t>LOTE</t>
  </si>
  <si>
    <t>SERVIÇOS EXTRAS - TERRAPLENAGEM</t>
  </si>
  <si>
    <t/>
  </si>
  <si>
    <t>5</t>
  </si>
  <si>
    <t>2</t>
  </si>
  <si>
    <t>Regularização compac.subleito S.A.F. 100% PI</t>
  </si>
  <si>
    <t>Desmatamento e limpeza diam. até 30cm</t>
  </si>
  <si>
    <t>Destocamento árvores diam. &gt; 30cm</t>
  </si>
  <si>
    <t>Remoção de Solos Moles - 2 km</t>
  </si>
  <si>
    <t>Remoção da Camada Superficial</t>
  </si>
  <si>
    <t>Compactação de Aterros - Controle Visual</t>
  </si>
  <si>
    <t>Compactação de Aterros 95% P.N.</t>
  </si>
  <si>
    <t>Compactação de Aterros 100% P.N.</t>
  </si>
  <si>
    <t>Colchão Drenante Areia Fund. Aterros</t>
  </si>
  <si>
    <t>Demolição de Concreto Símples</t>
  </si>
  <si>
    <t>Demolição de Concreto Armado</t>
  </si>
  <si>
    <t>Demolição Manual de Pavimento e Transporte</t>
  </si>
  <si>
    <t>Regularização do Subleito sem Compactação</t>
  </si>
  <si>
    <t>Regularização compac.subleito 100% PN</t>
  </si>
  <si>
    <t>Camada de bloqueio c/ pedra o &lt; 3/4"</t>
  </si>
  <si>
    <t>Regularização e Compactação p/ assentamento de calçadas/lajotas/blocos</t>
  </si>
  <si>
    <t>DER</t>
  </si>
  <si>
    <t>3</t>
  </si>
  <si>
    <t>Solo estabilizado 2ª categoria</t>
  </si>
  <si>
    <t>Revestimento Primário</t>
  </si>
  <si>
    <t>Cascalhamento</t>
  </si>
  <si>
    <t>Solo Arenoso Fino (base) 100% PI</t>
  </si>
  <si>
    <t>Cimento</t>
  </si>
  <si>
    <t>Solo (Solo Cimento )</t>
  </si>
  <si>
    <t>Massa (Solo Cimento )</t>
  </si>
  <si>
    <t>Bica Corrida</t>
  </si>
  <si>
    <t>Brita Graduada</t>
  </si>
  <si>
    <t>Macadame Seco c/ Bica Corrida</t>
  </si>
  <si>
    <t>Rachão</t>
  </si>
  <si>
    <t>Bica corrida</t>
  </si>
  <si>
    <t>Macadame Seco c/ Brita Graduada</t>
  </si>
  <si>
    <t>Macadame Hidráulico</t>
  </si>
  <si>
    <t>Brita graduada tratada c/cimento (Cp=4%) 100% PI</t>
  </si>
  <si>
    <t>Pedra britada (Usina de solos)</t>
  </si>
  <si>
    <t>Massa (Brita Graduada )</t>
  </si>
  <si>
    <t>4</t>
  </si>
  <si>
    <t>SERVIÇOS EXTRAS - REVESTIMENTO</t>
  </si>
  <si>
    <t>6</t>
  </si>
  <si>
    <t>Rachão s/ britagem</t>
  </si>
  <si>
    <t>534906D</t>
  </si>
  <si>
    <t>534906E</t>
  </si>
  <si>
    <t>534906F</t>
  </si>
  <si>
    <t>534908D</t>
  </si>
  <si>
    <t>534908E</t>
  </si>
  <si>
    <t>534908F</t>
  </si>
  <si>
    <t>DER mat</t>
  </si>
  <si>
    <t>SERVIÇOS EXTRAS - MEIO-FIO E SARJETA</t>
  </si>
  <si>
    <t>SERVIÇOS EXTRAS - URBANISMO DO PASSEIO</t>
  </si>
  <si>
    <t>605000B</t>
  </si>
  <si>
    <t>Bica Corrida - Passeio</t>
  </si>
  <si>
    <t>Limpeza e Lavagem da pista ( Recape )</t>
  </si>
  <si>
    <t>Pedra Irregular - sem colchão</t>
  </si>
  <si>
    <t>Cordão Lateral p/ Pedras Irregulares</t>
  </si>
  <si>
    <t>Retirada e Reassentamento de Pedras Irregulares</t>
  </si>
  <si>
    <t>Paralelepípedos Regulares</t>
  </si>
  <si>
    <t>Lajotas de Concreto e=4cm - sem colchão</t>
  </si>
  <si>
    <t>Lajotas de Concreto e=5cm - sem colchão</t>
  </si>
  <si>
    <t>Lajotas de Concreto e=6cm - sem colchão</t>
  </si>
  <si>
    <t>Lajotas de Concreto e=7cm - sem colchão</t>
  </si>
  <si>
    <t>Lajotas de Concreto e=8cm - sem colchão</t>
  </si>
  <si>
    <t>Lajotas de Concreto e=10cm - sem colchão</t>
  </si>
  <si>
    <t>Areia</t>
  </si>
  <si>
    <t>Cal Hidratada CH-1</t>
  </si>
  <si>
    <t>Pó de Pedra</t>
  </si>
  <si>
    <t>Trat.Sup. Símples c/ Emulsão ( Curitiba )</t>
  </si>
  <si>
    <t>Brita</t>
  </si>
  <si>
    <t>TSD com Capa Selante - Tipo I-1</t>
  </si>
  <si>
    <t>TSD com Capa Selante Tipo - I-2</t>
  </si>
  <si>
    <t>TSD com Capa Selante - Tipo I-3</t>
  </si>
  <si>
    <t>Trat.Sup.Tríplo ( TST ) Tipo I-4</t>
  </si>
  <si>
    <t>Trat.Sup.Tríplo ( TST ) Tipo I-5</t>
  </si>
  <si>
    <t>Trat.Sup.Tríplo ( TST ) Tipo I-6</t>
  </si>
  <si>
    <t>Macadame Betuminoso c/ Emulsão RR-2C</t>
  </si>
  <si>
    <t>Macadame Betuminoso c/ CAP</t>
  </si>
  <si>
    <t>Capa Selante</t>
  </si>
  <si>
    <t>Brita ( usina )</t>
  </si>
  <si>
    <t>Massa</t>
  </si>
  <si>
    <t>CBUQ c/ asfalto modificado p/ polímero SBS(60/85)</t>
  </si>
  <si>
    <t>Frezagem Contínua a Frio</t>
  </si>
  <si>
    <t>Frezagem Descontínua a Frio</t>
  </si>
  <si>
    <t>Meio-Fio com Sarjeta DER - Tipo 1 - (0,103 m3) - Moldado "in loco"</t>
  </si>
  <si>
    <t>Meio-Fio com Sarjeta DER - Tipo 1 - (0,103 m3) - Pré-Moldado</t>
  </si>
  <si>
    <t>Meio-Fio com Sarjeta DER - Tipo 2 - (0,042 m3) - Moldado "in loco"</t>
  </si>
  <si>
    <t>Meio-Fio com Sarjeta DER - Tipo 2 - (0,042 m3) - Pré-Moldado</t>
  </si>
  <si>
    <t>Meio-Fio c/Sarjeta (rebaixado) DER-Tipo 7-(0,031 m3) - Moldado "in loco"</t>
  </si>
  <si>
    <t>Meio-Fio com Sarjeta DER - Tipo 7 - (0,031 m3) - Pré-Moldado</t>
  </si>
  <si>
    <t>Meio-Fio Símples DER - Tipo 3 - (0,034 m3) - Moldado "in loco"</t>
  </si>
  <si>
    <t>Meio-Fio com Sarjeta DER - Tipo 3 - (0,034 m3) - Pré-Moldado</t>
  </si>
  <si>
    <t>Meio-Fio Símples DER - Tipo 4 - (0,072 m3) - Moldado "in loco"</t>
  </si>
  <si>
    <t>Meio-Fio com Sarjeta DER - Tipo 4 - (0,072 m3) - Pré-Moldado</t>
  </si>
  <si>
    <t>Demolição de Concreto Símples (calçadas e outros)</t>
  </si>
  <si>
    <t>Lastro de Concreto Simples (calçadas e outros)</t>
  </si>
  <si>
    <t>Apiloamento Manual (calçadas e outros)</t>
  </si>
  <si>
    <t>Aço CA-50 Dobr. e Colocação</t>
  </si>
  <si>
    <t>Aço CA-60 Dobr. e Colocação</t>
  </si>
  <si>
    <t>Calçada Concreto ( e = 5,00 cm )</t>
  </si>
  <si>
    <t>Remoção e recolocação de cercas de arame</t>
  </si>
  <si>
    <t>Construção de Cerca 4 fios c/ mourões de concreto</t>
  </si>
  <si>
    <t>Construção de Cerca 4 fios c/ mourões de madeira</t>
  </si>
  <si>
    <t>Defensa simples semi-maleável c/ espaçador e calço</t>
  </si>
  <si>
    <t>Regularização e Compactação SAF- 100% PI - Passeio com Pavimento</t>
  </si>
  <si>
    <t>Regularização e Compactação 100% PN - Passeio com Pavimento</t>
  </si>
  <si>
    <t>Aterro c/ mat. do canteiro (escav 1ª CAT+transp+compact) - Passeio</t>
  </si>
  <si>
    <t>Aterro c/ mat. de jazida (escav 1ª CAT+transp+compact) - Passeio</t>
  </si>
  <si>
    <t>Solo estabilizado 2ª categoria - Passeio</t>
  </si>
  <si>
    <t>Brita Graduada - Passeio</t>
  </si>
  <si>
    <t>Pedra Irregular - sem colchão - Passeio</t>
  </si>
  <si>
    <t>Cordão Lateral p/ Pedras Irregulares - Passeio</t>
  </si>
  <si>
    <t>Retirada de Pedras Irregulares - Passeio</t>
  </si>
  <si>
    <t>Retirada e Reassentamento de Pedras Irregulares - Passeio</t>
  </si>
  <si>
    <t>Limpeza e pintura de abrigo de ônibus</t>
  </si>
  <si>
    <t>Abrigo em parada de ônibus</t>
  </si>
  <si>
    <t>FAIXA ELEVADA PNE c/ Piso Tátil (NBR 9050) - Modelo 01 - ORÇAR</t>
  </si>
  <si>
    <t>Rampa para PNE com Piso Tátil (NBR 9050) - Modelo 02 - 5,94 m2</t>
  </si>
  <si>
    <t>Rampa para PNE com Piso Tátil (NBR 9050) - Modelo 03 - 5,94 m2</t>
  </si>
  <si>
    <t>Rampa para PNE com Piso Tátil (NBR 9050) - Modelo 04 - 5,94 m2</t>
  </si>
  <si>
    <t>Rampa para PNE com Piso Tátil (NBR 9050) - Modelo 05 - 7,80 m2</t>
  </si>
  <si>
    <t>Rampa para PNE com Piso Tátil (NBR 9050) - Modelo 06 - 7,65 m2</t>
  </si>
  <si>
    <t>Placa sinalização refletiva - SEM SUPORTE</t>
  </si>
  <si>
    <t>Suporte de madeira 3"x3" p/ placa sinalização</t>
  </si>
  <si>
    <t>Suporte metál.galv.fogo d=2,5" c/tampa e aletas anti-giro h=3,00m</t>
  </si>
  <si>
    <t>Placa sinalização refletiva-círculo (0,1964 m2/ud) + suporte MADEIRA</t>
  </si>
  <si>
    <t>Placa sinalização refletiva-triângulo (0,1219 m2/ud) + suporte MADEIRA</t>
  </si>
  <si>
    <t>Placa sinalização refletiva-octógono (0,2160 m2/ud) + suporte MADEIRA</t>
  </si>
  <si>
    <t>Placa sinalização refletiva-losango (0,2025 m2/ud) + suporte MADEIRA</t>
  </si>
  <si>
    <t>Placa sinalização refletiva-círculo (0,1964 m2/ud) + suporte METÁLICO</t>
  </si>
  <si>
    <t>Placa sinalização refletiva-triângulo (0,1219 m2/ud) + suporte METÁLICO</t>
  </si>
  <si>
    <t>Placa sinalização refletiva-octógono (0,2160 m2/ud) + suporte METÁLICO</t>
  </si>
  <si>
    <t>Placa sinalização refletiva-losango (0,2025 m2/ud) + suporte METÁLICO</t>
  </si>
  <si>
    <t>ORÇAR</t>
  </si>
  <si>
    <t>605000A</t>
  </si>
  <si>
    <t>605000C</t>
  </si>
  <si>
    <t>605000D</t>
  </si>
  <si>
    <t>605000E</t>
  </si>
  <si>
    <t>820000A</t>
  </si>
  <si>
    <t>820000B</t>
  </si>
  <si>
    <t>820000C</t>
  </si>
  <si>
    <t>820000D</t>
  </si>
  <si>
    <t>820000E</t>
  </si>
  <si>
    <t>820000F</t>
  </si>
  <si>
    <t>820000G</t>
  </si>
  <si>
    <t>820000H</t>
  </si>
  <si>
    <t>8</t>
  </si>
  <si>
    <t>Escavação Manual de Valas</t>
  </si>
  <si>
    <t>Escavação de Bueiros em 1ª Categoria</t>
  </si>
  <si>
    <t>Escavação de Bueiros em 2ª Categoria</t>
  </si>
  <si>
    <t>Escavação de Bueiros em 3ª Categoria</t>
  </si>
  <si>
    <t>Remoção de bueiro 0,30m</t>
  </si>
  <si>
    <t>Remoção de bueiro 0,40m</t>
  </si>
  <si>
    <t>Remoção de bueiro 0,50m</t>
  </si>
  <si>
    <t>Remoção de bueiro 0,60m</t>
  </si>
  <si>
    <t>Remoção de bueiro 0,80m</t>
  </si>
  <si>
    <t>Remoção de bueiro 1,00m</t>
  </si>
  <si>
    <t>Remoção de bueiro 1,20m</t>
  </si>
  <si>
    <t>Remoção de bueiro 1,50m</t>
  </si>
  <si>
    <t>Gabião</t>
  </si>
  <si>
    <t>Apiloamento Manual</t>
  </si>
  <si>
    <t>Reaterro Sem Apiloamento</t>
  </si>
  <si>
    <t>Alvenaria de Pedra de Mão Argamassada</t>
  </si>
  <si>
    <t>Enrocamento pedra de mão arrumada</t>
  </si>
  <si>
    <t>Enrocamento pedra de mão jogada</t>
  </si>
  <si>
    <t>Lastro de Areia</t>
  </si>
  <si>
    <t>Lastro de Brita</t>
  </si>
  <si>
    <t>Alvenaria de Tijolos Maciços</t>
  </si>
  <si>
    <t>Alvenaria de Tijolos 6 Furos</t>
  </si>
  <si>
    <t>Argamassa Cimento e Areia 1:3</t>
  </si>
  <si>
    <t>Argamassa Cimento e Areia 1:4</t>
  </si>
  <si>
    <t>Dreno profundo em solo - tipo 1</t>
  </si>
  <si>
    <t>Tubo</t>
  </si>
  <si>
    <t>Concreto Magro</t>
  </si>
  <si>
    <t>Concreto Ciclópico 11 Mpa (37% de Pedra de Mão)</t>
  </si>
  <si>
    <t>Brita + Pedra de Mão</t>
  </si>
  <si>
    <t>Concreto Símples Fck = 11 Mpa</t>
  </si>
  <si>
    <t>Concreto Estrutural Fck = 15 Mpa</t>
  </si>
  <si>
    <t>Concreto Fck = 18 Mpa</t>
  </si>
  <si>
    <t>Boca (Ala) de BSTC ø 0,40 m</t>
  </si>
  <si>
    <t>Boca (Ala) de BSTC ø 0,60 m</t>
  </si>
  <si>
    <t>Boca (Ala) de BSTC ø 0,80 m</t>
  </si>
  <si>
    <t>Boca (Ala) de BSTC ø 1,00 m</t>
  </si>
  <si>
    <t>Boca (Ala) de BSTC ø 1,20 m</t>
  </si>
  <si>
    <t>Boca (Ala) de BSTC ø 1,50 m</t>
  </si>
  <si>
    <t>Boca (Ala) de BSTC ø 2,00 m</t>
  </si>
  <si>
    <t>Boca (Ala) de BDTC ø 0,60 m</t>
  </si>
  <si>
    <t>Boca (Ala) de BDTC ø 0,80 m</t>
  </si>
  <si>
    <t>Boca (Ala) de BDTC ø 1,00 m</t>
  </si>
  <si>
    <t>Boca (Ala) de BDTC ø 1,20 m</t>
  </si>
  <si>
    <t>Boca (Ala) de BDTC ø 1,50 m</t>
  </si>
  <si>
    <t>Boca (Ala) de BDTC ø 2,00 m</t>
  </si>
  <si>
    <t>Boca (Ala) de BTTC ø 0,60 m</t>
  </si>
  <si>
    <t>Boca (Ala) de BTTC ø 0,80 m</t>
  </si>
  <si>
    <t>Boca (Ala) de BTTC ø 1,00 m</t>
  </si>
  <si>
    <t>Boca (Ala) de BTTC ø 1,20 m</t>
  </si>
  <si>
    <t>Boca (Ala) de BTTC ø 1,50 m</t>
  </si>
  <si>
    <t>Boca (Ala) de BTTC ø 2,00 m</t>
  </si>
  <si>
    <t>Corpo de BSTC ø 0,40 sem Berço e sem Armação</t>
  </si>
  <si>
    <t>Corpo de BSTC ø 0,60 sem Berço e sem Armação</t>
  </si>
  <si>
    <t>Corpo de BSTC ø 0,80 sem Berço e sem Armação</t>
  </si>
  <si>
    <t>Tijolo</t>
  </si>
  <si>
    <t>Cal</t>
  </si>
  <si>
    <t>B.L. Símples pré-moldado H até 1,20 m</t>
  </si>
  <si>
    <t>B.L. Símples pré-moldado H até 1,50 m</t>
  </si>
  <si>
    <t>B.L. Símples pré-moldado H até 2,00 m</t>
  </si>
  <si>
    <t>B.L. Símples pré-moldado H até 2,50 m</t>
  </si>
  <si>
    <t>B.L. Dupla Pré-moldado H até 1,20 m</t>
  </si>
  <si>
    <t>B.L. Dupla Pré-moldado H até 1,50 m</t>
  </si>
  <si>
    <t>B.L. Dupla Pré-moldado H até 2,00 m</t>
  </si>
  <si>
    <t>B.L. Dupla Pré-moldado H até 2,50 m</t>
  </si>
  <si>
    <t>C.L. pré-moldado Tubo até 0,40</t>
  </si>
  <si>
    <t>C.L. pré-moldado Tubo até 0,60</t>
  </si>
  <si>
    <t>C.L. pré-moldado Tubo até 0,80</t>
  </si>
  <si>
    <t>C.L. pré-moldado Tubo até 1,00</t>
  </si>
  <si>
    <t>C.L. pré-moldado Tubo até 1,20</t>
  </si>
  <si>
    <t>C.L. concreto armado Tubo até 0,40</t>
  </si>
  <si>
    <t>C.L. concreto armado Tubo até 0,60</t>
  </si>
  <si>
    <t>C.L. concreto armado Tubo até 0,80</t>
  </si>
  <si>
    <t>C.L. concreto armado Tubo até 1,00</t>
  </si>
  <si>
    <t>C.L. concreto armado Tubo até 1,20</t>
  </si>
  <si>
    <t>C.L. concreto armado Tubo até 1,50</t>
  </si>
  <si>
    <t>C.L. concreto armado Tubo até 2,00</t>
  </si>
  <si>
    <t>Viga de Apoio em concreto marmado Tubo 0,80</t>
  </si>
  <si>
    <t>Viga de Apoio em concreto marmado Tubo 1,00</t>
  </si>
  <si>
    <t>Viga de Apoio em concreto marmado Tubo 1,20</t>
  </si>
  <si>
    <t>Dissipador de Energia c/Pedra de Mão tubo ø 0, 40</t>
  </si>
  <si>
    <t>Dissipador de Energia c/Pedra de Mão tubo ø 0, 60</t>
  </si>
  <si>
    <t>Dissipador de Energia c/Pedra de Mão tubo ø 0, 80</t>
  </si>
  <si>
    <t>EEEE001</t>
  </si>
  <si>
    <t>EEEE002</t>
  </si>
  <si>
    <t>EEEE003</t>
  </si>
  <si>
    <t>EEEE004</t>
  </si>
  <si>
    <t>EEEE005</t>
  </si>
  <si>
    <t>EEEE006</t>
  </si>
  <si>
    <t>EEEE007</t>
  </si>
  <si>
    <t>EEEE008</t>
  </si>
  <si>
    <t>EEEE009</t>
  </si>
  <si>
    <t>EEEE010</t>
  </si>
  <si>
    <t>ENSAIO DE ORÇAMENTO 1</t>
  </si>
  <si>
    <t>ENSAIO DE ORÇAMENTO 2</t>
  </si>
  <si>
    <t>ENSAIO DE ORÇAMENTO 3</t>
  </si>
  <si>
    <t>ENSAIO DE ORÇAMENTO 4</t>
  </si>
  <si>
    <t>ENSAIO DE ORÇAMENTO 5</t>
  </si>
  <si>
    <t>ENSAIO DE ORÇAMENTO 6</t>
  </si>
  <si>
    <t>ENSAIO DE ORÇAMENTO 7</t>
  </si>
  <si>
    <t>ENSAIO DE ORÇAMENTO 8</t>
  </si>
  <si>
    <t>ENSAIO DE ORÇAMENTO 9</t>
  </si>
  <si>
    <t>ENSAIO DE ORÇAMENTO 10</t>
  </si>
  <si>
    <t>SERVIÇOS EXTRAS - DRENAGEM</t>
  </si>
  <si>
    <t>Código</t>
  </si>
  <si>
    <t>Orígem</t>
  </si>
  <si>
    <t>ITENS</t>
  </si>
  <si>
    <t>7</t>
  </si>
  <si>
    <t>Cartilha</t>
  </si>
  <si>
    <t>Arquivo</t>
  </si>
  <si>
    <t>ANEXO</t>
  </si>
  <si>
    <t>cartilha</t>
  </si>
  <si>
    <t>Anexo</t>
  </si>
  <si>
    <t>PLANILHA DE SERVIÇOS   -   RESUMO</t>
  </si>
  <si>
    <t>Grandes 
Ìtens  (%)</t>
  </si>
  <si>
    <t>Experiência  :</t>
  </si>
  <si>
    <t>Quantidade
(projeto)</t>
  </si>
  <si>
    <t>Unid</t>
  </si>
  <si>
    <t>TERRAPLENAGEM</t>
  </si>
  <si>
    <t>REVESTIMENTO</t>
  </si>
  <si>
    <t>MEIO-FIO E SARJETA</t>
  </si>
  <si>
    <t>DRENAGEM</t>
  </si>
  <si>
    <t>SERVIÇOS PRELIMINARES</t>
  </si>
  <si>
    <t>SERVIÇOS EXTRAS - SERVIÇOS PRELIMINARES</t>
  </si>
  <si>
    <t>BASE / SUB-BASE</t>
  </si>
  <si>
    <t>SERVIÇOS EXTRAS - BASE / SUB-BASE</t>
  </si>
  <si>
    <t>SINALIZAÇÃO DE TRÂNSITO</t>
  </si>
  <si>
    <t>SERVIÇOS EXTRAS - SINALIZAÇÃO DE TRÂNSITO</t>
  </si>
  <si>
    <t>ILUMINAÇÃO PÚBLICA</t>
  </si>
  <si>
    <t>9</t>
  </si>
  <si>
    <t>SERVIÇOS DIVERSOS</t>
  </si>
  <si>
    <t>10</t>
  </si>
  <si>
    <t>Limpeza de bueiro</t>
  </si>
  <si>
    <t>Limpeza e lavagem de sinalização vertical</t>
  </si>
  <si>
    <t>Limpeza e pintura de meio fio</t>
  </si>
  <si>
    <t>Remoção de cercas</t>
  </si>
  <si>
    <t>Escarificação e remoção revestimento primário</t>
  </si>
  <si>
    <t>Escarificação e conformação do subleito</t>
  </si>
  <si>
    <t>Escarificação da base</t>
  </si>
  <si>
    <t>Refôrço do Subleito c/ mat. de 1ª Cat (solos-argila e assemelhados)</t>
  </si>
  <si>
    <t>Refôrço do Subleito c/ mat. de 2ª Cat (saibro-moledo-cascalho)</t>
  </si>
  <si>
    <t>PAI-17</t>
  </si>
  <si>
    <t>Brita 4A</t>
  </si>
  <si>
    <t>PM curitiba</t>
  </si>
  <si>
    <t>Retirada de Pedras Irregulares</t>
  </si>
  <si>
    <t>Fincadinha de concreto - (9x19x39cm-0,0171m3/m)</t>
  </si>
  <si>
    <t>Fincadinha de concreto moldada in loco- (7x20cm-0,014m3/m)</t>
  </si>
  <si>
    <t>Refôrço do Subleito c/ mat. de 2ª Cat (saibro-moledo-cascalho) passeio</t>
  </si>
  <si>
    <t>Brita 4A - passeio</t>
  </si>
  <si>
    <t>Plantio de Grama em placas</t>
  </si>
  <si>
    <t>Plantio de Grama em mudas</t>
  </si>
  <si>
    <t xml:space="preserve">Faixa de Sinalização Horizontal c/tinta resina acrílica base solvente- (0,034 m2/m2) </t>
  </si>
  <si>
    <t>Tacha refletiva bidirecional</t>
  </si>
  <si>
    <t>Tacha refletiva monodirecional</t>
  </si>
  <si>
    <t>Tachão refletivo bidirecional</t>
  </si>
  <si>
    <t>Tachão refletivo monodirecional</t>
  </si>
  <si>
    <t>Demolição de Alvenaria</t>
  </si>
  <si>
    <t>IMPOSTOS</t>
  </si>
  <si>
    <t>TOTAL</t>
  </si>
  <si>
    <t>LUCRO</t>
  </si>
  <si>
    <t>Corpo de BSTC ø 0,20 sem Berço e sem Armação</t>
  </si>
  <si>
    <t>Corpo de BSTC ø 0,30 sem Berço e sem Armação</t>
  </si>
  <si>
    <t>Corpo de BSTC ø 0,50 sem Berço e sem Armação</t>
  </si>
  <si>
    <t>Corpo de BSTC ø 0,70 sem Berço e sem Armação</t>
  </si>
  <si>
    <t>1</t>
  </si>
  <si>
    <t>SERVIÇOS EXTRAS - ILUMINAÇÃO PÚBLICA</t>
  </si>
  <si>
    <t>Local da Obra :</t>
  </si>
  <si>
    <t>TOTAL DO PAVIMENTO (1-2-3-4-5)</t>
  </si>
  <si>
    <t>TOTAL DE ILUMINAÇÃO PÚBLICA (8)</t>
  </si>
  <si>
    <t>TOTAL DE SEVIÇOS DIVERSOS (9)</t>
  </si>
  <si>
    <t>TOTAL DE DRENAGEM (10)</t>
  </si>
  <si>
    <t>TOTAL DE URBANISMO E SINALIZAÇÃO(6-7)</t>
  </si>
  <si>
    <t>Remoção manual de entulho</t>
  </si>
  <si>
    <t>Remoção de Revestimento Primário</t>
  </si>
  <si>
    <t>Demolição Mecânica de Pavimento e Transporte</t>
  </si>
  <si>
    <t>SERVIÇOS EXTRAS - SERVIÇOS DIVERSOS</t>
  </si>
  <si>
    <t>Remanejamento postes linha transmissão</t>
  </si>
  <si>
    <t>11</t>
  </si>
  <si>
    <t xml:space="preserve">Ensaio de Massa Específica - In Situ - Método Frasco de Areia (Grau de Compactação) - Terraplenagem </t>
  </si>
  <si>
    <t xml:space="preserve">Ensaio de Massa Específica - In Situ - Método Frasco de Areia (Grau de Compactação) - Reforço do Subleito </t>
  </si>
  <si>
    <t>Ensaio de Massa Específica - In Situ - Método Frasco de Areia (Grau de Compactação) - Regularização e Compactação do Subleito</t>
  </si>
  <si>
    <t>Ensaio de Granulometria do Agregado</t>
  </si>
  <si>
    <t>74022/27</t>
  </si>
  <si>
    <t>Ensaio de Controle de Taxa de Aplicação de Ligante Betuminoso</t>
  </si>
  <si>
    <t>74022/50</t>
  </si>
  <si>
    <t>Ensaio de Determinação da Taxa de Espalhamento do Agregado</t>
  </si>
  <si>
    <t>Ensaio de Percentagem de Betume - Misturas Betuminosas</t>
  </si>
  <si>
    <t>74022/53</t>
  </si>
  <si>
    <t>Ensaio de Controle do Grau de Compactação da Mistura Asfáltica</t>
  </si>
  <si>
    <t>74022/56</t>
  </si>
  <si>
    <t>Ensaio de Densidade do Material Betuminoso</t>
  </si>
  <si>
    <t>SERVIÇOS EXTRAS - ENSAIOS TECNOLÓGICOS</t>
  </si>
  <si>
    <t>gb</t>
  </si>
  <si>
    <t>DAER/RS</t>
  </si>
  <si>
    <t>TOTAL DE ENSAIOS TECNOLÓGICOS (11)</t>
  </si>
  <si>
    <t>Extração de corpo de prova de concreto asfáltico com sonda rotativa</t>
  </si>
  <si>
    <t>Mobilização e desmobilização de equipamento e equipe para extração de corpos de prova da capa asfáltica.</t>
  </si>
  <si>
    <t xml:space="preserve">     </t>
  </si>
  <si>
    <t>%</t>
  </si>
  <si>
    <t>560100A</t>
  </si>
  <si>
    <t>560100B</t>
  </si>
  <si>
    <t>Fincadinha de concreto - (5x22,5x45cm-0,01125m3/m)</t>
  </si>
  <si>
    <t>820000I</t>
  </si>
  <si>
    <t>BDI (%) - SERVIÇOS</t>
  </si>
  <si>
    <t>1 - Solicitar o valor do ISS do município</t>
  </si>
  <si>
    <t>2- Solicitar a "Base de Cálculo" (% de mão de Obra)</t>
  </si>
  <si>
    <t>Calçada Concreto ( e = 6,00 cm )</t>
  </si>
  <si>
    <t>Calçada Concreto ( e = 7,00 cm )</t>
  </si>
  <si>
    <t>Limpeza e desobstrução de bueiros simples</t>
  </si>
  <si>
    <t>Limpeza e desobstrução de bueiros duplos</t>
  </si>
  <si>
    <t>Limpeza e desobstrução de bueiros triplos</t>
  </si>
  <si>
    <t>Boca de saída de dreno ø 0,20</t>
  </si>
  <si>
    <t>Boca (Ala) de BSTC ø 0,30 m</t>
  </si>
  <si>
    <t>Boca (Ala) de BSTC ø 0,50 m</t>
  </si>
  <si>
    <t>Boca (Ala) de BSTC ø 0,70 m</t>
  </si>
  <si>
    <t>ENSAIOS TECNOLÓGICOS</t>
  </si>
  <si>
    <t>Calçada Concreto ( e = 8,00 cm )</t>
  </si>
  <si>
    <t>=ISS x base de cálculo</t>
  </si>
  <si>
    <t>Saibro Compactado CBR&gt;=20 (Base ou Sub-Base)</t>
  </si>
  <si>
    <t>Placa sinalização refletiva-retangular dupla (duas de-0,20x060) em L (0,2400 m2/ud) + suporte METÁLICO</t>
  </si>
  <si>
    <t>Concreto Ciclópico 11 Mpa (30% em volume de Pedra de Mão)</t>
  </si>
  <si>
    <t>tampão
161125</t>
  </si>
  <si>
    <r>
      <t>Digite  "</t>
    </r>
    <r>
      <rPr>
        <b/>
        <sz val="10"/>
        <rFont val="MS Sans Serif"/>
      </rPr>
      <t>X</t>
    </r>
    <r>
      <rPr>
        <sz val="10"/>
        <rFont val="MS Sans Serif"/>
      </rPr>
      <t>" para obter Valor Total sem BDI</t>
    </r>
  </si>
  <si>
    <t>Barreira New Jersey simples de concreto, não armada, executada com</t>
  </si>
  <si>
    <t>Barreira New Jersey dupla de concreto, não armada, executada com</t>
  </si>
  <si>
    <t>8.1</t>
  </si>
  <si>
    <t>5.1</t>
  </si>
  <si>
    <t>SEIL/2016</t>
  </si>
  <si>
    <t>3.20</t>
  </si>
  <si>
    <t>7.1</t>
  </si>
  <si>
    <t>Imprimação com Emulsão EAI - exclusive emulsão</t>
  </si>
  <si>
    <t>Imprimação com  CM-30 - exclusive CM-30</t>
  </si>
  <si>
    <t>Pintura de ligação com RR-1C - exclusive emulsão</t>
  </si>
  <si>
    <t>Fornecimento de emulsão RL - lama asfáltica faixa 1</t>
  </si>
  <si>
    <t>Lama Asfáltica ( faixa " 1 " ) - 2 mm - exclusive emulsão (0,0015)</t>
  </si>
  <si>
    <t>taxa RL</t>
  </si>
  <si>
    <t>Fornecimento de emulsão RL - lama asfáltica faixa 2</t>
  </si>
  <si>
    <t>Fornecimento de emulsão RL - lama asfáltica faixa 3</t>
  </si>
  <si>
    <t>Fornecimento de emulsão RL - lama asfáltica faixa 4</t>
  </si>
  <si>
    <t>Lama Asfáltica ( faixa " 4 " ) -12 mm - exclusive emulsão (0,0026)</t>
  </si>
  <si>
    <t>Lama Asfáltica ( faixa " 2 " ) - 4 mm - exclusive emulsão (0,0018)</t>
  </si>
  <si>
    <t>Lama Asfáltica ( faixa " 3" ) - 8 mm - exclusive emulsão (0,0020)</t>
  </si>
  <si>
    <t>Fornecimento de emulsão RR-2C - TSS</t>
  </si>
  <si>
    <t>Fornecimento de emulsão RR-1C - imprimação</t>
  </si>
  <si>
    <t>Fornecimento de emulsão EAI - imprimação</t>
  </si>
  <si>
    <t>Fornecimento de CM-30 - imprimação</t>
  </si>
  <si>
    <t>Fornecimento de emulsão RR-1C - pintura de ligaçãp</t>
  </si>
  <si>
    <t>Fornecimento de emulsão RR-2C - TSD com Capa Selante - Tipo I-1</t>
  </si>
  <si>
    <t>Fornecimento de emulsão RR-2C - Trat.Sup.Tríplo ( TST ) Tipo I-4</t>
  </si>
  <si>
    <t>Fornecimento de emulsão RR-2C - TSD com Capa Selante - Tipo I-3</t>
  </si>
  <si>
    <t>Fornecimento de emulsão RR-2C - Trat.Sup.Tríplo ( TST ) Tipo I-5</t>
  </si>
  <si>
    <t>Fornecimento de emulsão RR-2C - Trat.Sup.Tríplo ( TST ) Tipo I-6</t>
  </si>
  <si>
    <t>Fornecimento de emulsão RR-2C - Macadame Betuminoso</t>
  </si>
  <si>
    <t>Fornecimento de CAP - Macadame Betuminoso</t>
  </si>
  <si>
    <t>Fornecimento de emulsão RR-2C - Capa Selante</t>
  </si>
  <si>
    <t>Fornecimento de CAP - Pré-Misturado a Quente (menor que 10000 ton)</t>
  </si>
  <si>
    <t>Fornecimento de CAP - Pré-Misturado a Quente (maior que 10000 ton)</t>
  </si>
  <si>
    <t>Fornecimento de CAP SBS(60/85) - CBUQ c/ asfalto modificado p/ polímero</t>
  </si>
  <si>
    <t>taxa RR-2C</t>
  </si>
  <si>
    <t>taxa CAP</t>
  </si>
  <si>
    <t>taxa RM-2C</t>
  </si>
  <si>
    <t>taxa CAP 
SBS(60/85)</t>
  </si>
  <si>
    <t>taxa CAP 
borracha</t>
  </si>
  <si>
    <t xml:space="preserve">ton </t>
  </si>
  <si>
    <t>taxa RR-1C</t>
  </si>
  <si>
    <t>SERVIÇOS DE URBANIZAÇÃO</t>
  </si>
  <si>
    <t>Critério Econômico de Elegibilidade</t>
  </si>
  <si>
    <t>PAVIMENTAÇÃO</t>
  </si>
  <si>
    <t>PROGRAMA PARANÁ URBANO 3</t>
  </si>
  <si>
    <t>INDICADOR FÍSICO (TAXA DE OCUPAÇÃO)</t>
  </si>
  <si>
    <t>Nº de lotes totais:</t>
  </si>
  <si>
    <t xml:space="preserve">&gt;= </t>
  </si>
  <si>
    <t>Nº de lotes ocupados:</t>
  </si>
  <si>
    <t xml:space="preserve">Nº de lotes ocupados  </t>
  </si>
  <si>
    <r>
      <rPr>
        <b/>
        <u/>
        <sz val="14"/>
        <rFont val="Arial"/>
        <family val="2"/>
      </rPr>
      <t>Nº de lotes ocupados</t>
    </r>
    <r>
      <rPr>
        <b/>
        <sz val="14"/>
        <rFont val="Arial"/>
        <family val="2"/>
      </rPr>
      <t xml:space="preserve">  =</t>
    </r>
  </si>
  <si>
    <t>Nº de lotes totais</t>
  </si>
  <si>
    <t>VIABILIDADE DO PROJETO</t>
  </si>
  <si>
    <t>INDICADOR ECONÔMICO ( VALOR DO INVESTIMENTO / Nº DE LOTES TOTAIS)</t>
  </si>
  <si>
    <t>Valor do Investimento</t>
  </si>
  <si>
    <t xml:space="preserve">&lt;= </t>
  </si>
  <si>
    <t>Valor do Investimento  =</t>
  </si>
  <si>
    <t>PRAÇA</t>
  </si>
  <si>
    <t>INDICADOR ECONÔMICO ( VALOR DO INVESTIMENTO / ÁREA URBANIZADA)</t>
  </si>
  <si>
    <t>Valor do Investimento - ( R$ )</t>
  </si>
  <si>
    <t>Área Urbanizada - ( m2 )</t>
  </si>
  <si>
    <t xml:space="preserve">Valor do Investimento  </t>
  </si>
  <si>
    <t>SINAPI</t>
  </si>
  <si>
    <t>CBUQ - REMENDO (MANUAL)</t>
  </si>
  <si>
    <t>CBUQ - REMENDO (NECÂNICO)</t>
  </si>
  <si>
    <t>534000A</t>
  </si>
  <si>
    <t>534000B</t>
  </si>
  <si>
    <t>7.4</t>
  </si>
  <si>
    <t xml:space="preserve">1 - </t>
  </si>
  <si>
    <t>PAVIMENTAÇÃO (IMPLANTAÇÃO - RESTAURAÇÃO DE PAVIMENTO - IMPLASNTAÇÃO + RECAPE)</t>
  </si>
  <si>
    <r>
      <t xml:space="preserve">PRAZOS E ÁREAS MÁXIMAS DE </t>
    </r>
    <r>
      <rPr>
        <b/>
        <sz val="16"/>
        <color theme="1"/>
        <rFont val="Calibri"/>
        <family val="2"/>
        <scheme val="minor"/>
      </rPr>
      <t>PAVIMENTAÇÃO</t>
    </r>
    <r>
      <rPr>
        <b/>
        <sz val="11"/>
        <color theme="1"/>
        <rFont val="Calibri"/>
        <family val="2"/>
        <scheme val="minor"/>
      </rPr>
      <t xml:space="preserve"> PARA O CRONOGRMA</t>
    </r>
  </si>
  <si>
    <t>Prazo do</t>
  </si>
  <si>
    <t>Áreas Máximas</t>
  </si>
  <si>
    <t>Cronograma  (N)</t>
  </si>
  <si>
    <t>de</t>
  </si>
  <si>
    <t>até</t>
  </si>
  <si>
    <t>3 meses</t>
  </si>
  <si>
    <t>-</t>
  </si>
  <si>
    <t>2.000  m2</t>
  </si>
  <si>
    <t>4 meses</t>
  </si>
  <si>
    <t>4.000  m2</t>
  </si>
  <si>
    <t>5 meses</t>
  </si>
  <si>
    <t>8.000  m2</t>
  </si>
  <si>
    <t>Obs.</t>
  </si>
  <si>
    <t>Para áreas maiores que 30.000 m2  :    Dividir em "Lotes"</t>
  </si>
  <si>
    <t>6 meses</t>
  </si>
  <si>
    <t>13.000  m2</t>
  </si>
  <si>
    <t>7 meses</t>
  </si>
  <si>
    <t>18.000  m2</t>
  </si>
  <si>
    <t>8 meses</t>
  </si>
  <si>
    <t>24.000  m2</t>
  </si>
  <si>
    <t>9 meses</t>
  </si>
  <si>
    <t>30.000  m2</t>
  </si>
  <si>
    <t>RECAPE ASFÁLTICO</t>
  </si>
  <si>
    <t>PRAZOS E ÁREAS MÁXIMAS DE RECAPE PARA O CRONOGRMA</t>
  </si>
  <si>
    <t>10.000  m2</t>
  </si>
  <si>
    <t>15.000  m2</t>
  </si>
  <si>
    <t>Para áreas maiores que 60.000 m2  :    Dividir em "Lotes"</t>
  </si>
  <si>
    <t>20.000  m2</t>
  </si>
  <si>
    <t>40.000  m2</t>
  </si>
  <si>
    <t>50.000  m2</t>
  </si>
  <si>
    <t>60.000  m2</t>
  </si>
  <si>
    <t>Edital no Município</t>
  </si>
  <si>
    <t>Procedimento prévio</t>
  </si>
  <si>
    <t>Início previsto da Obra</t>
  </si>
  <si>
    <t>Convênio</t>
  </si>
  <si>
    <t>Repasse do Concedente</t>
  </si>
  <si>
    <t>Data</t>
  </si>
  <si>
    <t>Dias</t>
  </si>
  <si>
    <t>nº</t>
  </si>
  <si>
    <t>Contrapartida do Proponente</t>
  </si>
  <si>
    <t>Quantidade:</t>
  </si>
  <si>
    <t>CRONOGRAMA FÍSICO FINANCEIRO</t>
  </si>
  <si>
    <t>Valor Total</t>
  </si>
  <si>
    <t>GRUPO</t>
  </si>
  <si>
    <t>SERVIÇOS</t>
  </si>
  <si>
    <t>PARCELAS (%)</t>
  </si>
  <si>
    <t>% S/</t>
  </si>
  <si>
    <t>Controle</t>
  </si>
  <si>
    <t>ITEM</t>
  </si>
  <si>
    <t>ITEM (R$)</t>
  </si>
  <si>
    <t>Data Início</t>
  </si>
  <si>
    <t>Data Fim</t>
  </si>
  <si>
    <t>TOTAIS</t>
  </si>
  <si>
    <t>COMPOSIÇÃO DOS RECURSOS (TESOURO E CONTRAPARTIDA)</t>
  </si>
  <si>
    <t>PARCELAS</t>
  </si>
  <si>
    <t>Nº DE</t>
  </si>
  <si>
    <t>MESES</t>
  </si>
  <si>
    <t>1T</t>
  </si>
  <si>
    <t>TESOURO</t>
  </si>
  <si>
    <t>R$</t>
  </si>
  <si>
    <t>1C</t>
  </si>
  <si>
    <t>CONTRAPARTIDA</t>
  </si>
  <si>
    <t>2T</t>
  </si>
  <si>
    <t>2C</t>
  </si>
  <si>
    <t>3T</t>
  </si>
  <si>
    <t>3C</t>
  </si>
  <si>
    <t>4T</t>
  </si>
  <si>
    <t>4C</t>
  </si>
  <si>
    <t>5T</t>
  </si>
  <si>
    <t>5C</t>
  </si>
  <si>
    <t>6T</t>
  </si>
  <si>
    <t>6C</t>
  </si>
  <si>
    <t>7T</t>
  </si>
  <si>
    <t>7C</t>
  </si>
  <si>
    <t>8T</t>
  </si>
  <si>
    <t>8C</t>
  </si>
  <si>
    <t>9T</t>
  </si>
  <si>
    <t>9C</t>
  </si>
  <si>
    <t>10T</t>
  </si>
  <si>
    <t>10C</t>
  </si>
  <si>
    <t>11T</t>
  </si>
  <si>
    <t>11C</t>
  </si>
  <si>
    <t>T</t>
  </si>
  <si>
    <t>C</t>
  </si>
  <si>
    <t>FATURAMENTO MENSAL PREVISTO</t>
  </si>
  <si>
    <t>MENSAL PARCIAL PREVISTO EM %</t>
  </si>
  <si>
    <t>MENSAL ACUMULADO PREVISTO EM %</t>
  </si>
  <si>
    <t>Resp. Técnico:</t>
  </si>
  <si>
    <t>Assinatura:</t>
  </si>
  <si>
    <t>Prefeito:</t>
  </si>
  <si>
    <t>data:</t>
  </si>
  <si>
    <t>Empréstimo</t>
  </si>
  <si>
    <t>COMPOSIÇÃO DOS RECURSOS (FINANCIAMENTO E CONTRAPARTIDA)</t>
  </si>
  <si>
    <t>FINANCIAMENTO</t>
  </si>
  <si>
    <t>Fornecimento de Emulsão RM-2C - Pré-Misturado a Frio (aberto) - DER</t>
  </si>
  <si>
    <t>Fornecimento de Emulsão RM-2C - Pré-Misturado a Frio (Semi-Denso) - DER</t>
  </si>
  <si>
    <t>560100C</t>
  </si>
  <si>
    <t>560400A</t>
  </si>
  <si>
    <t>561100A</t>
  </si>
  <si>
    <t>Fornecimento de emulsão RR-1C - pintura de ligação</t>
  </si>
  <si>
    <t>589420A</t>
  </si>
  <si>
    <t>589420B</t>
  </si>
  <si>
    <t>589420C</t>
  </si>
  <si>
    <t>589000A</t>
  </si>
  <si>
    <t>589000B</t>
  </si>
  <si>
    <t>589000C</t>
  </si>
  <si>
    <t>589000D</t>
  </si>
  <si>
    <t>589000E</t>
  </si>
  <si>
    <t>589000F</t>
  </si>
  <si>
    <t>589000G</t>
  </si>
  <si>
    <t>589000H</t>
  </si>
  <si>
    <t>589000J</t>
  </si>
  <si>
    <t>589000K</t>
  </si>
  <si>
    <t>589000I</t>
  </si>
  <si>
    <t>589320A</t>
  </si>
  <si>
    <t>589320B</t>
  </si>
  <si>
    <t>589320C</t>
  </si>
  <si>
    <t>589320D</t>
  </si>
  <si>
    <t>589320E</t>
  </si>
  <si>
    <t>589100A</t>
  </si>
  <si>
    <t>589000N</t>
  </si>
  <si>
    <t>589000O</t>
  </si>
  <si>
    <t>TRAÇOS DE CBUQ</t>
  </si>
  <si>
    <t>Nome da Usina / Pedreira</t>
  </si>
  <si>
    <t>Local da Pedreira</t>
  </si>
  <si>
    <t>Local da Usina</t>
  </si>
  <si>
    <t>Composição dos agregados (SEM LIGANTE)</t>
  </si>
  <si>
    <t>MATERIAL</t>
  </si>
  <si>
    <t>Utilização</t>
  </si>
  <si>
    <t>Brita "a"</t>
  </si>
  <si>
    <t>Brita "b"</t>
  </si>
  <si>
    <t>Brita "c"</t>
  </si>
  <si>
    <t>brita 3/4</t>
  </si>
  <si>
    <t>Pedrisco</t>
  </si>
  <si>
    <t>Pó de pedra</t>
  </si>
  <si>
    <t>Cal Hidratada CH-1 ou Filler</t>
  </si>
  <si>
    <t>Total agregados</t>
  </si>
  <si>
    <t>conferência</t>
  </si>
  <si>
    <t>DADOS DO PROJETO MARSHAL</t>
  </si>
  <si>
    <t>FAIXA</t>
  </si>
  <si>
    <t xml:space="preserve">DENSIDADE APARENTE DA MASSA </t>
  </si>
  <si>
    <t>TEÔR ÓTIMO DE LIGANTE</t>
  </si>
  <si>
    <t>% DE CADA AGREGADO</t>
  </si>
  <si>
    <t>COMPOSIÇÃO</t>
  </si>
  <si>
    <t>CÁLCULO DO DA COMPOSIÇÃO</t>
  </si>
  <si>
    <t>Agregados sem Betume</t>
  </si>
  <si>
    <t>Sem Betume</t>
  </si>
  <si>
    <t>CÁLCULO DO DO TRAÇO</t>
  </si>
  <si>
    <t>Observação :</t>
  </si>
  <si>
    <t xml:space="preserve">O perceentual de Agregados na Massa é: </t>
  </si>
  <si>
    <t>100,00% menos o percentual de betume</t>
  </si>
  <si>
    <t>Percentual de Agregados na Massa</t>
  </si>
  <si>
    <t>Teôr Ótimo de Betume</t>
  </si>
  <si>
    <t>Total da Massa</t>
  </si>
  <si>
    <t>ADMINISTRAÇÃO CENTRAL</t>
  </si>
  <si>
    <t>RISCOS</t>
  </si>
  <si>
    <t>SEGUROS E GRANTIAS</t>
  </si>
  <si>
    <t>DESPESAS FINANCEIRAS</t>
  </si>
  <si>
    <t>DIGITE</t>
  </si>
  <si>
    <t>3- Fórmula de cálculo do ISS</t>
  </si>
  <si>
    <t>Agregados COM Betume</t>
  </si>
  <si>
    <t>Agregados SEM Betume</t>
  </si>
  <si>
    <t>TRAÇO 4</t>
  </si>
  <si>
    <t>DIGITAR SÓ  NAS CÉLULAS COLORIDAS</t>
  </si>
  <si>
    <t>CBUQ "PMQ" (Quant menor que 10.000 ton)</t>
  </si>
  <si>
    <t>CBUQ "PMQ" (Quant maior que 10.000 ton)</t>
  </si>
  <si>
    <t>ISS =</t>
  </si>
  <si>
    <t>PIS =</t>
  </si>
  <si>
    <t>COFINS =</t>
  </si>
  <si>
    <t>CPMF =</t>
  </si>
  <si>
    <t>TOTAL =</t>
  </si>
  <si>
    <t>TIPO DE SERVIÇO</t>
  </si>
  <si>
    <t>OBRAS</t>
  </si>
  <si>
    <t>MATERIAIS</t>
  </si>
  <si>
    <t>BDI (OBRA OU MATERIAIS/EQUIP.)</t>
  </si>
  <si>
    <t>BDI=(((((1+(C8+C9+C10)/100)*(1+C11/100)*(1+C12/100))/(1-C6/100))-1)*100)</t>
  </si>
  <si>
    <t>BDI (OBRA)</t>
  </si>
  <si>
    <t>BDI (MATERIAIS E EQUIPAMENTOS)</t>
  </si>
  <si>
    <t>VALORES DO BDI POR TIPO DE OBRA</t>
  </si>
  <si>
    <t>TIPOS DE OBRA</t>
  </si>
  <si>
    <t>1º Quartil</t>
  </si>
  <si>
    <t>Médio</t>
  </si>
  <si>
    <t>3º Quartil</t>
  </si>
  <si>
    <t>CONSTRUÇÃO DE EDIFÍCIOS</t>
  </si>
  <si>
    <t>CONSTRUÇÃO DE RODOVIAS E FERROVIAS</t>
  </si>
  <si>
    <t>CONSTRUÇÃO DE REDES DE ABASTECIMENTO DE ÁGUA, COLETA DE ESGOTO E CONSTRUÇÕES CORRELATAS</t>
  </si>
  <si>
    <t>CONSTRUÇÃO E MANUTENÇÃO DE ESTAÇÕES E REDES DE DISTRIBUIÇÃO DE ENERGIA ELÉTRICA</t>
  </si>
  <si>
    <t>OBRAS PORTUÁRIAS, MARÍTIMAS E FLUVIAIS</t>
  </si>
  <si>
    <t>BDI PARA ITENS DE MERO FORNECIMENTO DE
MATERIAIS E EQUIPAMENTOS</t>
  </si>
  <si>
    <t>RISCO</t>
  </si>
  <si>
    <t>SEGURO + GARANTIA</t>
  </si>
  <si>
    <t>DESPESA FINANCEIRA</t>
  </si>
  <si>
    <t>BDI PARA ITENS DE MERO FORNECIMENTO DE MATERIAIS E EQUIPAMENTOS</t>
  </si>
  <si>
    <t>PARCELA DO BDI</t>
  </si>
  <si>
    <t>PERCENTUAL DE ADMINISTRAÇÃO LOCAL INSERIDO NO CUSTO DIRETO*</t>
  </si>
  <si>
    <t>*Para verificação da adequabilidade das planilhas orçamentárias das obras públicas utilizar como referência do impacto esperado para os itens associados a administração local no valor total do orçamento, os seguintes valores percentuais abtidos no estudo de que tratam estes autos.</t>
  </si>
  <si>
    <t>74022/55</t>
  </si>
  <si>
    <t>Ensaio de tracao por compressao diametral - misturas betuminosas</t>
  </si>
  <si>
    <t>Paver ou Bloket  e=6cm - sem colchão</t>
  </si>
  <si>
    <t>Paver ou Bloket  Colorido e=6cm - sem colchão</t>
  </si>
  <si>
    <t>Paver ou Bloket  e=8cm - sem colchão</t>
  </si>
  <si>
    <t>Paver ou Bloket  Colorido e=8cm - sem colchão</t>
  </si>
  <si>
    <t>Paver ou Bloket e=10cm - sem colchão</t>
  </si>
  <si>
    <t>Paver ou Bloket  Colorido e=10cm - sem colchão</t>
  </si>
  <si>
    <t>Demolição de Concreto Armado (calçadas e outros)</t>
  </si>
  <si>
    <t>Concreto Símples Fck = 9 Mpa</t>
  </si>
  <si>
    <t>Concreto Fck = 20 Mpa</t>
  </si>
  <si>
    <t>Concreto Fck = 22 Mpa</t>
  </si>
  <si>
    <t>Concreto Fck = 24 Mpa</t>
  </si>
  <si>
    <t>Concreto Fck = 25 Mpa</t>
  </si>
  <si>
    <t>Concreto Fck = 30 Mpa</t>
  </si>
  <si>
    <t>Concreto Fck = 32 Mpa</t>
  </si>
  <si>
    <t>Gabião tipo caixa 2x1x0,50m ZN/AL + PVC  (NBR 8964)</t>
  </si>
  <si>
    <t>Pedra de mão</t>
  </si>
  <si>
    <t>Gabião tipo caixa 2x1x0,50m ZN/AL (NBR 8964)</t>
  </si>
  <si>
    <t>Gabião tipo caixa 2x1x1,00m ZN/AL + PVC (NBR 8964)</t>
  </si>
  <si>
    <t>Gabião tipo caixa 2x1x1,00m ZN/AL (NBR 8964)</t>
  </si>
  <si>
    <t>Gabião tipo colchão ZN/AL + PVC e=0,17m (NBR 8964)</t>
  </si>
  <si>
    <t>Gabião tipo colchão ZN/AL + PVC e=0,23m (NBR 8964)</t>
  </si>
  <si>
    <t>Gabião tipo colchão ZN/AL + PVC e=0,30m (NBR 8964)</t>
  </si>
  <si>
    <t>l.</t>
  </si>
  <si>
    <t>U</t>
  </si>
  <si>
    <t>V</t>
  </si>
  <si>
    <t>W</t>
  </si>
  <si>
    <t>X</t>
  </si>
  <si>
    <t>PAV-003</t>
  </si>
  <si>
    <t>PAV-005</t>
  </si>
  <si>
    <t>PAV-085</t>
  </si>
  <si>
    <t>PAV-071</t>
  </si>
  <si>
    <t>PAV-077</t>
  </si>
  <si>
    <t>Arrancamento e reassentamento de Meio-Fio de Concreto com sarjeta</t>
  </si>
  <si>
    <t>Arrancamento de Meio-Fio</t>
  </si>
  <si>
    <t>Plantio de Árvore com altura até 2m</t>
  </si>
  <si>
    <t>Plantio de Árvore com altura de 2m a 4m</t>
  </si>
  <si>
    <t>Plantio de palmeira com altura até 2,00 m</t>
  </si>
  <si>
    <t>Plantio de forração</t>
  </si>
  <si>
    <t>TRANSFORMADOR DE DISTRIBUIÇÃO, 30 KVA, TRIFÁSICO, 60 HZ, CLASSE 15 KV, IMERSO EM ÓLEO MINERAL, INSTALAÇÃO EM POSTE (NÃO INCLUSO SUPORTE) - FORNECIMENTO E INSTALAÇÃO. AF_12/2020</t>
  </si>
  <si>
    <t>TRANSFORMADOR DE DISTRIBUIÇÃO, 45 KVA, TRIFÁSICO, 60 HZ, CLASSE 15 KV, IMERSO EM ÓLEO MINERAL, INSTALAÇÃO EM POSTE (NÃO INCLUSO SUPORTE) - FORNECIMENTO E INSTALAÇÃO. AF_12/2020</t>
  </si>
  <si>
    <t>TRANSFORMADOR DE DISTRIBUIÇÃO, 75 KVA, TRIFÁSICO, 60 HZ, CLASSE 15 KV, IMERSO EM ÓLEO MINERAL, INSTALAÇÃO EM POSTE (NÃO INCLUSO SUPORTE) - FORNECIMENTO E INSTALAÇÃO. AF_12/2020</t>
  </si>
  <si>
    <t>TRANSFORMADOR DE DISTRIBUIÇÃO, 112,5 KVA, TRIFÁSICO, 60 HZ, CLASSE 15 KV, IMERSO EM ÓLEO MINERAL, INSTALAÇÃO EM POSTE (NÃO INCLUSO SUPORTE) - FORNECIMENTO E INSTALAÇÃO. AF_12/2020</t>
  </si>
  <si>
    <t>TRANSFORMADOR DE DISTRIBUIÇÃO, 150 KVA, TRIFÁSICO, 60 HZ, CLASSE 15 KV, IMERSO EM ÓLEO MINERAL, INSTALAÇÃO EM POSTE (NÃO INCLUSO SUPORTE) - FORNECIMENTO E INSTALAÇÃO. AF_12/2020</t>
  </si>
  <si>
    <t>TRANSFORMADOR DE DISTRIBUIÇÃO, 225 KVA, TRIFÁSICO, 60 HZ, CLASSE 15 KV, IMERSO EM ÓLEO MINERAL, INSTALAÇÃO EM POSTE (NÃO INCLUSO SUPORTE) - FORNECIMENTO E INSTALAÇÃO. AF_12/2020</t>
  </si>
  <si>
    <t>TRANSFORMADOR DE DISTRIBUIÇÃO, 300 KVA, TRIFÁSICO, 60 HZ, CLASSE 15 KV, IMERSO EM ÓLEO MINERAL, INSTALAÇÃO EM POSTE (NÃO INCLUSO SUPORTE) - FORNECIMENTO E INSTALAÇÃO. AF_12/2020</t>
  </si>
  <si>
    <t>SUPORTE PARA TRANSFORMADOR EM POSTE DE CONCRETO CIRCULAR - FORNECIMENTO E INSTALAÇÃO. AF_12/2020</t>
  </si>
  <si>
    <t>SUPORTE PARA TRANSFORMADOR EM POSTE DE CONCRETO DUPLO T - FORNECIMENTO E INSTALAÇÃO. AF_12/2020</t>
  </si>
  <si>
    <t>POSTE DECORATIVO PARA JARDIM EM AÇO TUBULAR, H = *2,5* M, SEM LUMINÁRIA - FORNECIMENTO E INSTALAÇÃO. AF_11/2019</t>
  </si>
  <si>
    <t>POSTE DE AÇO CONICO CONTÍNUO CURVO SIMPLES, FLANGEADO, H=9M, INCLUSIVE LUMINÁRIA, SEM LÂMPADA - FORNECIMENTO E INSTALACAO. AF_11/2019</t>
  </si>
  <si>
    <t>POSTE DE AÇO CONICO CONTÍNUO CURVO DUPLO, FLANGEADO, H=9M, INCLUSIVE LUMINÁRIAS, SEM LÂMPADAS - FORNECIMENTO E INSTALACAO. AF_11/2019</t>
  </si>
  <si>
    <t>POSTE DE AÇO CONICO CONTÍNUO CURVO SIMPLES, ENGASTADO, H=9M, INCLUSIVE LUMINÁRIA, SEM LÂMPADA - FORNECIMENTO E INSTALACAO. AF_11/2019</t>
  </si>
  <si>
    <t>POSTE DE AÇO CONICO CONTÍNUO CURVO DUPLO, ENGASTADO, H=9M, INCLUSIVE LUMINÁRIAS, SEM LÂMPADAS - FORNECIMENTO E INSTALACAO. AF_11/2019</t>
  </si>
  <si>
    <t>ASSENTAMENTO DE POSTE DE CONCRETO COM COMPRIMENTO NOMINAL DE 9 M, CARGA NOMINAL MENOR OU IGUAL A 1000 DAN, ENGASTAMENTO SIMPLES COM 1,5 M DE SOLO (NÃO INCLUI FORNECIMENTO). AF_11/2019</t>
  </si>
  <si>
    <t>ASSENTAMENTO DE POSTE DE CONCRETO COM COMPRIMENTO NOMINAL DE 10 M, CARGA NOMINAL MENOR OU IGUAL A 1000 DAN, ENGASTAMENTO SIMPLES COM 1,6 M DE SOLO (NÃO INCLUI FORNECIMENTO). AF_11/2019</t>
  </si>
  <si>
    <t>ASSENTAMENTO DE POSTE DE CONCRETO COM COMPRIMENTO NOMINAL DE 10 M, CARGA NOMINAL MAIOR QUE 1000 DAN, ENGASTAMENTO SIMPLES COM 1,6 M DE SOLO (NÃO INCLUI FORNECIMENTO). AF_11/2019</t>
  </si>
  <si>
    <t>ASSENTAMENTO DE POSTE DE CONCRETO COM COMPRIMENTO NOMINAL DE 10,5 M, CARGA NOMINAL MENOR OU IGUAL A 1000 DAN, ENGASTAMENTO SIMPLES COM 1,65 M DE SOLO (NÃO INCLUI FORNECIMENTO). AF_11/2019</t>
  </si>
  <si>
    <t>ASSENTAMENTO DE POSTE DE CONCRETO COM COMPRIMENTO NOMINAL DE 10,5 M, CARGA NOMINAL MAIOR QUE 1000 DAN, ENGASTAMENTO SIMPLES COM 1,65 M DE SOLO (NÃO INCLUI FORNECIMENTO). AF_11/2019</t>
  </si>
  <si>
    <t>ASSENTAMENTO DE POSTE DE CONCRETO COM COMPRIMENTO NOMINAL DE 11 M, CARGA NOMINAL MENOR OU IGUAL A 1000 DAN, ENGASTAMENTO SIMPLES COM 1,7 M DE SOLO (NÃO INCLUI FORNECIMENTO). AF_11/2019</t>
  </si>
  <si>
    <t>ASSENTAMENTO DE POSTE DE CONCRETO COM COMPRIMENTO NOMINAL DE 11 M, CARGA NOMINAL MAIOR QUE 1000 DAN, ENGASTAMENTO SIMPLES COM 1,7 M DE SOLO (NÃO INCLUI FORNECIMENTO). AF_11/2019</t>
  </si>
  <si>
    <t>ASSENTAMENTO DE POSTE DE CONCRETO COM COMPRIMENTO NOMINAL DE 12 M, CARGA NOMINAL MENOR OU IGUAL A 1000 DAN, ENGASTAMENTO SIMPLES COM 1,8 M DE SOLO (NÃO INCLUI FORNECIMENTO). AF_11/2019</t>
  </si>
  <si>
    <t>ASSENTAMENTO DE POSTE DE CONCRETO COM COMPRIMENTO NOMINAL DE 12 M, CARGA NOMINAL MAIOR QUE 1000 DAN, ENGASTAMENTO SIMPLES COM 1,8 M DE SOLO (NÃO INCLUI FORNECIMENTO). AF_11/2019</t>
  </si>
  <si>
    <t>ASSENTAMENTO DE POSTE DE CONCRETO COM COMPRIMENTO NOMINAL DE 13 M, CARGA NOMINAL MENOR OU IGUAL A 1000 DAN, ENGASTAMENTO SIMPLES COM 1,9 M DE SOLO (NÃO INCLUI FORNECIMENTO). AF_11/2019</t>
  </si>
  <si>
    <t>ASSENTAMENTO DE POSTE DE CONCRETO COM COMPRIMENTO NOMINAL DE 13 M, CARGA NOMINAL MAIOR QUE 1000 DAN, ENGASTAMENTO SIMPLES COM 1,9 M DE SOLO (NÃO INCLUI FORNECIMENTO). AF_11/2019</t>
  </si>
  <si>
    <t>ASSENTAMENTO DE POSTE DE CONCRETO COM COMPRIMENTO NOMINAL DE 13,5 M, CARGA NOMINAL MENOR OU IGUAL A 1000 DAN, ENGASTAMENTO SIMPLES COM 1,95 M DE SOLO (NÃO INCLUI FORNECIMENTO). AF_11/2019</t>
  </si>
  <si>
    <t>ASSENTAMENTO DE POSTE DE CONCRETO COM COMPRIMENTO NOMINAL DE 13,5 M, CARGA NOMINAL MAIOR QUE 1000 DAN, ENGASTAMENTO SIMPLES COM 1,95 M DE SOLO (NÃO INCLUI FORNECIMENTO). AF_11/2019</t>
  </si>
  <si>
    <t>ASSENTAMENTO DE POSTE DE CONCRETO COM COMPRIMENTO NOMINAL DE 14 M, CARGA NOMINAL MENOR OU IGUAL A 1000 DAN, ENGASTAMENTO SIMPLES COM 2 M DE SOLO (NÃO INCLUI FORNECIMENTO). AF_11/2019</t>
  </si>
  <si>
    <t>ASSENTAMENTO DE POSTE DE CONCRETO COM COMPRIMENTO NOMINAL DE 14 M, CARGA NOMINAL MAIOR QUE 1000 DAN, ENGASTAMENTO SIMPLES COM 2 M DE SOLO (NÃO INCLUI FORNECIMENTO). AF_11/2019</t>
  </si>
  <si>
    <t>ASSENTAMENTO DE POSTE DE CONCRETO COM COMPRIMENTO NOMINAL DE 15 M, CARGA NOMINAL MENOR OU IGUAL A 1000 DAN, ENGASTAMENTO SIMPLES COM 2,1 M DE SOLO (NÃO INCLUI FORNECIMENTO). AF_11/2019</t>
  </si>
  <si>
    <t>ASSENTAMENTO DE POSTE DE CONCRETO COM COMPRIMENTO NOMINAL DE 15 M, CARGA NOMINAL MAIOR QUE 1000 DAN, ENGASTAMENTO SIMPLES COM 2,1 M DE SOLO (NÃO INCLUI FORNECIMENTO). AF_11/2019</t>
  </si>
  <si>
    <t>ASSENTAMENTO DE POSTE DE CONCRETO COM COMPRIMENTO NOMINAL DE 18 M, CARGA NOMINAL MENOR OU IGUAL A 1000 DAN, ENGASTAMENTO SIMPLES COM 2,4 M DE SOLO (NÃO INCLUI FORNECIMENTO). AF_11/2019</t>
  </si>
  <si>
    <t>ASSENTAMENTO DE POSTE DE CONCRETO COM COMPRIMENTO NOMINAL DE 18 M, CARGA NOMINAL MAIOR QUE 1000 DAN, ENGASTAMENTO SIMPLES COM 2,4 M DE SOLO (NÃO INCLUI FORNECIMENTO). AF_11/2019</t>
  </si>
  <si>
    <t>ASSENTAMENTO DE POSTE DE CONCRETO COM COMPRIMENTO NOMINAL DE 20 M, CARGA NOMINAL MENOR OU IGUAL A 1000 DAN, ENGASTAMENTO SIMPLES COM 2,6 M DE SOLO (NÃO INCLUI FORNECIMENTO). AF_11/2019</t>
  </si>
  <si>
    <t>ASSENTAMENTO DE POSTE DE CONCRETO COM COMPRIMENTO NOMINAL DE 20 M, CARGA NOMINAL MAIOR QUE 1000, ENGASTAMENTO SIMPLES COM 2,6 M DE SOLO (NÃO INCLUI FORNECIMENTO). AF_11/2019</t>
  </si>
  <si>
    <t>ASSENTAMENTO DE POSTE DE CONCRETO COM COMPRIMENTO NOMINAL DE 9 M, CARGA NOMINAL DE 150 DAN, ENGASTAMENTO BASE CONCRETADA COM 1 M DE CONCRETO E 0,5 M DE SOLO (NÃO INCLUI FORNECIMENTO). AF_11/2019</t>
  </si>
  <si>
    <t>ASSENTAMENTO DE POSTE DE CONCRETO COM COMPRIMENTO NOMINAL DE 9 M, CARGA NOMINAL DE 300 DAN, ENGASTAMENTO BASE CONCRETADA COM 1 M DE CONCRETO E 0,5 M DE SOLO (NÃO INCLUI FORNECIMENTO). AF_11/2019</t>
  </si>
  <si>
    <t>ASSENTAMENTO DE POSTE DE CONCRETO COM COMPRIMENTO NOMINAL DE 9 M, CARGA NOMINAL DE 400 DAN, ENGASTAMENTO BASE CONCRETADA COM 1 M DE CONCRETO E 0,5 M DE SOLO (NÃO INCLUI FORNECIMENTO). AF_11/2019</t>
  </si>
  <si>
    <t>ASSENTAMENTO DE POSTE DE CONCRETO COM COMPRIMENTO NOMINAL DE 9 M, CARGA NOMINAL DE 600 DAN, ENGASTAMENTO BASE CONCRETADA COM 1 M DE CONCRETO E 0,5 M DE SOLO (NÃO INCLUI FORNECIMENTO). AF_11/2019</t>
  </si>
  <si>
    <t>ASSENTAMENTO DE POSTE DE CONCRETO COM COMPRIMENTO NOMINAL DE 9 M, CARGA NOMINAL DE 1000 DAN, ENGASTAMENTO BASE CONCRETADA COM 1 M DE CONCRETO E 0,5 M DE SOLO (NÃO INCLUI FORNECIMENTO). AF_11/2019</t>
  </si>
  <si>
    <t>ASSENTAMENTO DE POSTE DE CONCRETO COM COMPRIMENTO NOMINAL DE 10 M, CARGA NOMINAL DE 300 DAN, ENGASTAMENTO BASE CONCRETADA COM 1 M DE CONCRETO E 0,6 M DE SOLO (NÃO INCLUI FORNECIMENTO). AF_11/2019</t>
  </si>
  <si>
    <t>ASSENTAMENTO DE POSTE DE CONCRETO COM COMPRIMENTO NOMINAL DE 10 M, CARGA NOMINAL DE 600 DAN, ENGASTAMENTO BASE CONCRETADA COM 1 M DE CONCRETO E 0,6 M DE SOLO (NÃO INCLUI FORNECIMENTO). AF_11/2019</t>
  </si>
  <si>
    <t>ASSENTAMENTO DE POSTE DE CONCRETO COM COMPRIMENTO NOMINAL DE 10 M, CARGA NOMINAL DE 1000 DAN, ENGASTAMENTO BASE CONCRETADA COM 1 M DE CONCRETO E 0,6 M DE SOLO (NÃO INCLUI FORNECIMENTO). AF_11/2019</t>
  </si>
  <si>
    <t>ASSENTAMENTO DE POSTE DE CONCRETO COM COMPRIMENTO NOMINAL DE 10,5 M, CARGA NOMINAL DE 300 DAN, ENGASTAMENTO BASE CONCRETADA COM 1 M DE CONCRETO E 0,65 M DE SOLO (NÃO INCLUI FORNECIMENTO). AF_11/2019</t>
  </si>
  <si>
    <t>ASSENTAMENTO DE POSTE DE CONCRETO COM COMPRIMENTO NOMINAL DE 10,5 M, CARGA NOMINAL DE 600 DAN, ENGASTAMENTO BASE CONCRETADA COM 1 M DE CONCRETO E 0,65 M DE SOLO (NÃO INCLUI FORNECIMENTO). AF_11/2019</t>
  </si>
  <si>
    <t>ASSENTAMENTO DE POSTE DE CONCRETO COM COMPRIMENTO NOMINAL DE 10,5 M, CARGA NOMINAL DE 1000 DAN, ENGASTAMENTO BASE CONCRETADA COM 1 M DE CONCRETO E 0,65 M DE SOLO (NÃO INCLUI FORNECIMENTO). AF_11/2019</t>
  </si>
  <si>
    <t>ASSENTAMENTO DE POSTE DE CONCRETO COM COMPRIMENTO NOMINAL DE 11 M, CARGA NOMINAL DE 300 DAN, ENGASTAMENTO BASE CONCRETADA COM 1 M DE CONCRETO E 0,7 M DE SOLO (NÃO INCLUI FORNECIMENTO). AF_11/2019</t>
  </si>
  <si>
    <t>ASSENTAMENTO DE POSTE DE CONCRETO COM COMPRIMENTO NOMINAL DE 11 M, CARGA NOMINAL DE 400 DAN, ENGASTAMENTO BASE CONCRETADA COM 1 M DE CONCRETO E 0,7 M DE SOLO (NÃO INCLUI FORNECIMENTO). AF_11/2019</t>
  </si>
  <si>
    <t>ASSENTAMENTO DE POSTE DE CONCRETO COM COMPRIMENTO NOMINAL DE 11 M, CARGA NOMINAL DE 600 DAN, ENGASTAMENTO BASE CONCRETADA COM 1 M DE CONCRETO E 0,7 M DE SOLO (NÃO INCLUI FORNECIMENTO). AF_11/2019</t>
  </si>
  <si>
    <t>ASSENTAMENTO DE POSTE DE CONCRETO COM COMPRIMENTO NOMINAL DE 11 M, CARGA NOMINAL DE 1000 DAN, ENGASTAMENTO BASE CONCRETADA COM 1 M DE CONCRETO E 0,7 M DE SOLO (NÃO INCLUI FORNECIMENTO). AF_11/2019</t>
  </si>
  <si>
    <t>ASSENTAMENTO DE POSTE DE CONCRETO COM COMPRIMENTO NOMINAL DE 12 M, CARGA NOMINAL DE 400 DAN, ENGASTAMENTO BASE CONCRETADA COM 1 M DE CONCRETO E 0,8 M DE SOLO (NÃO INCLUI FORNECIMENTO). AF_11/2019</t>
  </si>
  <si>
    <t>ASSENTAMENTO DE POSTE DE CONCRETO COM COMPRIMENTO NOMINAL DE 12 M, CARGA NOMINAL DE 600 DAN, ENGASTAMENTO BASE CONCRETADA COM 1 M DE CONCRETO E 0,8 M DE SOLO (NÃO INCLUI FORNECIMENTO). AF_11/2019</t>
  </si>
  <si>
    <t>ASSENTAMENTO DE POSTE DE CONCRETO COM COMPRIMENTO NOMINAL DE 12 M, CARGA NOMINAL DE 1000 DAN, ENGASTAMENTO BASE CONCRETADA COM 1 M DE CONCRETO E 0,8 M DE SOLO (NÃO INCLUI FORNECIMENTO). AF_11/2019</t>
  </si>
  <si>
    <t>ASSENTAMENTO DE POSTE DE CONCRETO COM COMPRIMENTO NOMINAL DE 13 M, CARGA NOMINAL DE 600 DAN, ENGASTAMENTO BASE CONCRETADA COM 1 M DE CONCRETO E 0,9 M DE SOLO (NÃO INCLUI FORNECIMENTO). AF_11/2019</t>
  </si>
  <si>
    <t>ASSENTAMENTO DE POSTE DE CONCRETO COM COMPRIMENTO NOMINAL DE 13 M, CARGA NOMINAL DE 1000 DAN, ENGASTAMENTO BASE CONCRETADA COM 1 M DE CONCRETO E 0,9 M DE SOLO - SOMENTE INSTALAÇÃO, SEM FORNECIMENTO. AF_11/2019</t>
  </si>
  <si>
    <t>REMOÇÃO DE INTERRUPTORES/TOMADAS ELÉTRICAS, DE FORMA MANUAL, SEM REAPROVEITAMENTO. AF_12/2017</t>
  </si>
  <si>
    <t>RASGO EM ALVENARIA PARA ELETRODUTOS COM DIAMETROS MENORES OU IGUAIS A 40 MM. AF_05/2015</t>
  </si>
  <si>
    <t>QUEBRA EM ALVENARIA PARA INSTALAÇÃO DE CAIXA DE TOMADA (4X4 OU 4X2). AF_05/2015</t>
  </si>
  <si>
    <t>QUEBRA EM ALVENARIA PARA INSTALAÇÃO DE QUADRO DISTRIBUIÇÃO PEQUENO (19X25 CM). AF_05/2015</t>
  </si>
  <si>
    <t>QUEBRA EM ALVENARIA PARA INSTALAÇÃO DE QUADRO DISTRIBUIÇÃO GRANDE (76X40 CM). AF_05/2015</t>
  </si>
  <si>
    <t>CAIXA DE PROTEÇÃO PARA MEDIDOR MONOFÁSICO DE EMBUTIR - FORNECIMENTO E INSTALAÇÃO. AF_10/2020</t>
  </si>
  <si>
    <t>ENTRADA DE ENERGIA ELÉTRICA, AÉREA, MONOFÁSICA, COM CAIXA DE SOBREPOR, CABO DE 10 MM2 E DISJUNTOR DIN 50A (NÃO INCLUSO O POSTE DE CONCRETO). AF_07/2020_P</t>
  </si>
  <si>
    <t>ENTRADA DE ENERGIA ELÉTRICA, AÉREA, MONOFÁSICA, COM CAIXA DE SOBREPOR, CABO DE 16 MM2 E DISJUNTOR DIN 50A (NÃO INCLUSO O POSTE DE CONCRETO). AF_07/2020_P</t>
  </si>
  <si>
    <t>ENTRADA DE ENERGIA ELÉTRICA, AÉREA, MONOFÁSICA, COM CAIXA DE SOBREPOR, CABO DE 25 MM2 E DISJUNTOR DIN 50A (NÃO INCLUSO O POSTE DE CONCRETO). AF_07/2020_P</t>
  </si>
  <si>
    <t>ENTRADA DE ENERGIA ELÉTRICA, AÉREA, MONOFÁSICA, COM CAIXA DE SOBREPOR, CABO DE 35 MM2 E DISJUNTOR DIN 50A (NÃO INCLUSO O POSTE DE CONCRETO). AF_07/2020_P</t>
  </si>
  <si>
    <t>ENTRADA DE ENERGIA ELÉTRICA, AÉREA, MONOFÁSICA, COM CAIXA DE EMBUTIR, CABO DE 10 MM2 E DISJUNTOR DIN 50A (NÃO INCLUSO O POSTE DE CONCRETO). AF_07/2020_P</t>
  </si>
  <si>
    <t>ENTRADA DE ENERGIA ELÉTRICA, AÉREA, MONOFÁSICA, COM CAIXA DE EMBUTIR, CABO DE 16 MM2 E DISJUNTOR DIN 50A (NÃO INCLUSO O POSTE DE CONCRETO). AF_07/2020_P</t>
  </si>
  <si>
    <t>ENTRADA DE ENERGIA ELÉTRICA, AÉREA, MONOFÁSICA, COM CAIXA DE EMBUTIR, CABO DE 25 MM2 E DISJUNTOR DIN 50A (NÃO INCLUSO O POSTE DE CONCRETO). AF_07/2020_P</t>
  </si>
  <si>
    <t>ENTRADA DE ENERGIA ELÉTRICA, AÉREA, MONOFÁSICA, COM CAIXA DE EMBUTIR, CABO DE 35 MM2 E DISJUNTOR DIN 50A (NÃO INCLUSO O POSTE DE CONCRETO). AF_07/2020_P</t>
  </si>
  <si>
    <t>ENTRADA DE ENERGIA ELÉTRICA, AÉREA, BIFÁSICA, COM CAIXA DE SOBREPOR, CABO DE 10 MM2 E DISJUNTOR DIN 50A (NÃO INCLUSO O POSTE DE CONCRETO). AF_07/2020_P</t>
  </si>
  <si>
    <t>ENTRADA DE ENERGIA ELÉTRICA, AÉREA, BIFÁSICA, COM CAIXA DE SOBREPOR, CABO DE 16 MM2 E DISJUNTOR DIN 50A (NÃO INCLUSO O POSTE DE CONCRETO). AF_07/2020_P</t>
  </si>
  <si>
    <t>ENTRADA DE ENERGIA ELÉTRICA, AÉREA, BIFÁSICA, COM CAIXA DE SOBREPOR, CABO DE 25 MM2 E DISJUNTOR DIN 50A (NÃO INCLUSO O POSTE DE CONCRETO). AF_07/2020_P</t>
  </si>
  <si>
    <t>ENTRADA DE ENERGIA ELÉTRICA, AÉREA, BIFÁSICA, COM CAIXA DE SOBREPOR, CABO DE 35 MM2 E DISJUNTOR DIN 50A (NÃO INCLUSO O POSTE DE CONCRETO). AF_07/2020_P</t>
  </si>
  <si>
    <t>ENTRADA DE ENERGIA ELÉTRICA, AÉREA, BIFÁSICA, COM CAIXA DE EMBUTIR, CABO DE 10 MM2 E DISJUNTOR DIN 50A (NÃO INCLUSO O POSTE DE CONCRETO). AF_07/2020_P</t>
  </si>
  <si>
    <t>ENTRADA DE ENERGIA ELÉTRICA, AÉREA, BIFÁSICA, COM CAIXA DE EMBUTIR, CABO DE 16 MM2 E DISJUNTOR DIN 50A (NÃO INCLUSO O POSTE DE CONCRETO). AF_07/2020_P</t>
  </si>
  <si>
    <t>ENTRADA DE ENERGIA ELÉTRICA, AÉREA, BIFÁSICA, COM CAIXA DE EMBUTIR, CABO DE 25 MM2 E DISJUNTOR DIN 50A (NÃO INCLUSO O POSTE DE CONCRETO). AF_07/2020_P</t>
  </si>
  <si>
    <t>ENTRADA DE ENERGIA ELÉTRICA, AÉREA, BIFÁSICA, COM CAIXA DE EMBUTIR, CABO DE 35 MM2 E DISJUNTOR DIN 50A (NÃO INCLUSO O POSTE DE CONCRETO). AF_07/2020_P</t>
  </si>
  <si>
    <t>ENTRADA DE ENERGIA ELÉTRICA, AÉREA, TRIFÁSICA, COM CAIXA DE SOBREPOR, CABO DE 10 MM2 E DISJUNTOR DIN 50A (NÃO INCLUSO O POSTE DE CONCRETO). AF_07/2020_P</t>
  </si>
  <si>
    <t>ENTRADA DE ENERGIA ELÉTRICA, AÉREA, TRIFÁSICA, COM CAIXA DE SOBREPOR, CABO DE 16 MM2 E DISJUNTOR DIN 50A (NÃO INCLUSO O POSTE DE CONCRETO). AF_07/2020_P</t>
  </si>
  <si>
    <t>ENTRADA DE ENERGIA ELÉTRICA, AÉREA, TRIFÁSICA, COM CAIXA DE SOBREPOR, CABO DE 25 MM2 E DISJUNTOR DIN 50A (NÃO INCLUSO O POSTE DE CONCRETO). AF_07/2020_P</t>
  </si>
  <si>
    <t>ENTRADA DE ENERGIA ELÉTRICA, AÉREA, TRIFÁSICA, COM CAIXA DE SOBREPOR, CABO DE 35 MM2 E DISJUNTOR DIN 50A (NÃO INCLUSO O POSTE DE CONCRETO). AF_07/2020_P</t>
  </si>
  <si>
    <t>ENTRADA DE ENERGIA ELÉTRICA, AÉREA, TRIFÁSICA, COM CAIXA DE EMBUTIR, CABO DE 10 MM2 E DISJUNTOR DIN 50A (NÃO INCLUSO O POSTE DE CONCRETO). AF_07/2020</t>
  </si>
  <si>
    <t>ENTRADA DE ENERGIA ELÉTRICA, AÉREA, TRIFÁSICA, COM CAIXA DE EMBUTIR, CABO DE 16 MM2 E DISJUNTOR DIN 50A (NÃO INCLUSO O POSTE DE CONCRETO). AF_07/2020</t>
  </si>
  <si>
    <t>ENTRADA DE ENERGIA ELÉTRICA, AÉREA, TRIFÁSICA, COM CAIXA DE EMBUTIR, CABO DE 25 MM2 E DISJUNTOR DIN 50A (NÃO INCLUSO O POSTE DE CONCRETO). AF_07/2020</t>
  </si>
  <si>
    <t>ENTRADA DE ENERGIA ELÉTRICA, AÉREA, TRIFÁSICA, COM CAIXA DE EMBUTIR, CABO DE 35 MM2 E DISJUNTOR DIN 50A (NÃO INCLUSO O POSTE DE CONCRETO). AF_07/2020</t>
  </si>
  <si>
    <t>ENTRADA DE ENERGIA ELÉTRICA, SUBTERRÂNEA, MONOFÁSICA, COM CAIXA DE SOBREPOR, CABO DE 10 MM2 E DISJUNTOR DIN 50A (NÃO INCLUSA MURETA DE ALVENARIA). AF_07/2020_P</t>
  </si>
  <si>
    <t>ENTRADA DE ENERGIA ELÉTRICA, SUBTERRÂNEA, MONOFÁSICA, COM CAIXA DE SOBREPOR, CABO DE 16 MM2 E DISJUNTOR DIN 50A (NÃO INCLUSA MURETA DE ALVENARIA). AF_07/2020_P</t>
  </si>
  <si>
    <t>ENTRADA DE ENERGIA ELÉTRICA, SUBTERRÂNEA, MONOFÁSICA, COM CAIXA DE SOBREPOR, CABO DE 25 MM2 E DISJUNTOR DIN 50A (NÃO INCLUSA MURETA DE ALVENARIA). AF_07/2020_P</t>
  </si>
  <si>
    <t>ENTRADA DE ENERGIA ELÉTRICA, SUBTERRÂNEA, MONOFÁSICA, COM CAIXA DE SOBREPOR, CABO DE 35 MM2 E DISJUNTOR DIN 50A (NÃO INCLUSA MURETA DE ALVENARIA). AF_07/2020_P</t>
  </si>
  <si>
    <t>ENTRADA DE ENERGIA ELÉTRICA, SUBTERRÂNEA, MONOFÁSICA, COM CAIXA DE EMBUTIR, CABO DE 10 MM2 E DISJUNTOR DIN 50A (NÃO INCLUSA MURETA DE ALVENARIA). AF_07/2020_P</t>
  </si>
  <si>
    <t>ENTRADA DE ENERGIA ELÉTRICA, SUBTERRÂNEA, MONOFÁSICA, COM CAIXA DE EMBUTIR, CABO DE 16 MM2 E DISJUNTOR DIN 50A (NÃO INCLUSA MURETA DE ALVENARIA). AF_07/2020_P</t>
  </si>
  <si>
    <t>ENTRADA DE ENERGIA ELÉTRICA, SUBTERRÂNEA, MONOFÁSICA, COM CAIXA DE EMBUTIR, CABO DE 25 MM2 E DISJUNTOR DIN 50A (NÃO INCLUSA MURETA DE ALVENARIA). AF_07/2020_P</t>
  </si>
  <si>
    <t>ENTRADA DE ENERGIA ELÉTRICA, SUBTERRÂNEA, MONOFÁSICA, COM CAIXA DE EMBUTIR, CABO DE 35 MM2 E DISJUNTOR DIN 50A (NÃO INCLUSA MURETA DE ALVENARIA). AF_07/2020_P</t>
  </si>
  <si>
    <t>ENTRADA DE ENERGIA ELÉTRICA, SUBTERRÂNEA, BIFÁSICA, COM CAIXA DE SOBREPOR, CABO DE 10 MM2 E DISJUNTOR DIN 50A (NÃO INCLUSA MURETA DE ALVENARIA). AF_07/2020_P</t>
  </si>
  <si>
    <t>ENTRADA DE ENERGIA ELÉTRICA, SUBTERRÂNEA, BIFÁSICA, COM CAIXA DE SOBREPOR, CABO DE 16 MM2 E DISJUNTOR DIN 50A (NÃO INCLUSA MURETA DE ALVENARIA). AF_07/2020_P</t>
  </si>
  <si>
    <t>ENTRADA DE ENERGIA ELÉTRICA, SUBTERRÂNEA, BIFÁSICA, COM CAIXA DE SOBREPOR, CABO DE 25 MM2 E DISJUNTOR DIN 50A (NÃO INCLUSA MURETA DE ALVENARIA). AF_07/2020_P</t>
  </si>
  <si>
    <t>ENTRADA DE ENERGIA ELÉTRICA, SUBTERRÂNEA, BIFÁSICA, COM CAIXA DE SOBREPOR, CABO DE 35 MM2 E DISJUNTOR DIN 50A (NÃO INCLUSA MURETA DE ALVENARIA). AF_07/2020_P</t>
  </si>
  <si>
    <t>ENTRADA DE ENERGIA ELÉTRICA, SUBTERRÂNEA, BIFÁSICA, COM CAIXA DE EMBUTIR, CABO DE 10 MM2 E DISJUNTOR DIN 50A (NÃO INCLUSA MURETA DE ALVENARIA). AF_07/2020_P</t>
  </si>
  <si>
    <t>ENTRADA DE ENERGIA ELÉTRICA, SUBTERRÂNEA, BIFÁSICA, COM CAIXA DE EMBUTIR, CABO DE 16 MM2 E DISJUNTOR DIN 50A (NÃO INCLUSA MURETA DE ALVENARIA). AF_07/2020_P</t>
  </si>
  <si>
    <t>ENTRADA DE ENERGIA ELÉTRICA, SUBTERRÂNEA, BIFÁSICA, COM CAIXA DE EMBUTIR, CABO DE 25 MM2 E DISJUNTOR DIN 50A (NÃO INCLUSA MURETA DE ALVENARIA). AF_07/2020_P</t>
  </si>
  <si>
    <t>ENTRADA DE ENERGIA ELÉTRICA, SUBTERRÂNEA, BIFÁSICA, COM CAIXA DE EMBUTIR, CABO DE 35 MM2 E DISJUNTOR DIN 50A (NÃO INCLUSA MURETA DE ALVENARIA). AF_07/2020_P</t>
  </si>
  <si>
    <t>ENTRADA DE ENERGIA ELÉTRICA, SUBTERRÂNEA, TRIFÁSICA, COM CAIXA DE SOBREPOR, CABO DE 10 MM2 E DISJUNTOR DIN 50A (NÃO INCLUSA MURETA DE ALVENARIA). AF_07/2020_P</t>
  </si>
  <si>
    <t>ENTRADA DE ENERGIA ELÉTRICA, SUBTERRÂNEA, TRIFÁSICA, COM CAIXA DE SOBREPOR, CABO DE 16 MM2 E DISJUNTOR DIN 50A (NÃO INCLUSA MURETA DE ALVENARIA). AF_07/2020_P</t>
  </si>
  <si>
    <t>ENTRADA DE ENERGIA ELÉTRICA, SUBTERRÂNEA, TRIFÁSICA, COM CAIXA DE SOBREPOR, CABO DE 25 MM2 E DISJUNTOR DIN 50A (NÃO INCLUSA MURETA DE ALVENARIA). AF_07/2020_P</t>
  </si>
  <si>
    <t>ENTRADA DE ENERGIA ELÉTRICA, SUBTERRÂNEA, TRIFÁSICA, COM CAIXA DE SOBREPOR, CABO DE 35 MM2 E DISJUNTOR DIN 50A (NÃO INCLUSA MURETA DE ALVENARIA). AF_07/2020_P</t>
  </si>
  <si>
    <t>ENTRADA DE ENERGIA ELÉTRICA, SUBTERRÂNEA, TRIFÁSICA, COM CAIXA DE EMBUTIR, CABO DE 10 MM2 E DISJUNTOR DIN 50A (NÃO INCLUSA MURETA DE ALVENARIA). AF_07/2020</t>
  </si>
  <si>
    <t>ENTRADA DE ENERGIA ELÉTRICA, SUBTERRÂNEA, TRIFÁSICA, COM CAIXA DE EMBUTIR, CABO DE 16 MM2 E DISJUNTOR DIN 50A (NÃO INCLUSA MURETA DE ALVENARIA). AF_07/2020</t>
  </si>
  <si>
    <t>ENTRADA DE ENERGIA ELÉTRICA, SUBTERRÂNEA, TRIFÁSICA, COM CAIXA DE EMBUTIR, CABO DE 25 MM2 E DISJUNTOR DIN 50A (NÃO INCLUSA MURETA DE ALVENARIA). AF_07/2020</t>
  </si>
  <si>
    <t>ENTRADA DE ENERGIA ELÉTRICA, SUBTERRÂNEA, TRIFÁSICA, COM CAIXA DE EMBUTIR, CABO DE 35 MM2 E DISJUNTOR DIN 50A (NÃO INCLUSA MURETA DE ALVENARIA). AF_07/2020</t>
  </si>
  <si>
    <t>16.105.000030.SER</t>
  </si>
  <si>
    <t>16.105.000031.SER</t>
  </si>
  <si>
    <t>16.105.000032.SER</t>
  </si>
  <si>
    <t>16.105.000033.SER</t>
  </si>
  <si>
    <t>Entrada de energia em poste próprio da edificação com potência instalada de 15 a 20 KW</t>
  </si>
  <si>
    <t>16.105.000034.SER</t>
  </si>
  <si>
    <t>Entrada de energia em poste próprio da edificação com potência instalada de 20 a 25 KW</t>
  </si>
  <si>
    <t>16.105.000035.SER</t>
  </si>
  <si>
    <t>Entrada de energia em poste próprio da edificação com potência instalada de 25 a 30 KW</t>
  </si>
  <si>
    <t>ELETRODUTO PVC 40MM (1 ¼ ) PARA SPDA - FORNECIMENTO E INSTALAÇÃO. AF_12/2017</t>
  </si>
  <si>
    <t>ELETRODUTO FLEXÍVEL CORRUGADO, PVC, DN 20 MM (1/2"), PARA CIRCUITOS TERMINAIS, INSTALADO EM FORRO - FORNECIMENTO E INSTALAÇÃO. AF_12/2015</t>
  </si>
  <si>
    <t>ELETRODUTO FLEXÍVEL CORRUGADO, PVC, DN 25 MM (3/4"), PARA CIRCUITOS TERMINAIS, INSTALADO EM FORRO - FORNECIMENTO E INSTALAÇÃO. AF_12/2015</t>
  </si>
  <si>
    <t>ELETRODUTO FLEXÍVEL CORRUGADO, PVC, DN 32 MM (1"), PARA CIRCUITOS TERMINAIS, INSTALADO EM FORRO - FORNECIMENTO E INSTALAÇÃO. AF_12/2015</t>
  </si>
  <si>
    <t>ELETRODUTO FLEXÍVEL CORRUGADO, PVC, DN 20 MM (1/2"), PARA CIRCUITOS TERMINAIS, INSTALADO EM LAJE - FORNECIMENTO E INSTALAÇÃO. AF_12/2015</t>
  </si>
  <si>
    <t>ELETRODUTO FLEXÍVEL CORRUGADO, PVC, DN 25 MM (3/4"), PARA CIRCUITOS TERMINAIS, INSTALADO EM LAJE - FORNECIMENTO E INSTALAÇÃO. AF_12/2015</t>
  </si>
  <si>
    <t>ELETRODUTO FLEXÍVEL CORRUGADO, PVC, DN 32 MM (1"), PARA CIRCUITOS TERMINAIS, INSTALADO EM LAJE - FORNECIMENTO E INSTALAÇÃO. AF_12/2015</t>
  </si>
  <si>
    <t>ELETRODUTO FLEXÍVEL CORRUGADO, PVC, DN 20 MM (1/2"), PARA CIRCUITOS TERMINAIS, INSTALADO EM PAREDE - FORNECIMENTO E INSTALAÇÃO. AF_12/2015</t>
  </si>
  <si>
    <t>ELETRODUTO FLEXÍVEL CORRUGADO, PVC, DN 25 MM (3/4"), PARA CIRCUITOS TERMINAIS, INSTALADO EM PAREDE - FORNECIMENTO E INSTALAÇÃO. AF_12/2015</t>
  </si>
  <si>
    <t>ELETRODUTO FLEXÍVEL CORRUGADO, PVC, DN 32 MM (1"), PARA CIRCUITOS TERMINAIS, INSTALADO EM PAREDE - FORNECIMENTO E INSTALAÇÃO. AF_12/2015</t>
  </si>
  <si>
    <t>ELETRODUTO FLEXÍVEL CORRUGADO REFORÇADO, PVC, DN 20 MM (1/2"), PARA CIRCUITOS TERMINAIS, INSTALADO EM FORRO - FORNECIMENTO E INSTALAÇÃO. AF_12/2015</t>
  </si>
  <si>
    <t>ELETRODUTO FLEXÍVEL CORRUGADO REFORÇADO, PVC, DN 25 MM (3/4"), PARA CIRCUITOS TERMINAIS, INSTALADO EM FORRO - FORNECIMENTO E INSTALAÇÃO. AF_12/2015</t>
  </si>
  <si>
    <t>ELETRODUTO FLEXÍVEL CORRUGADO REFORÇADO, PVC, DN 32 MM (1"), PARA CIRCUITOS TERMINAIS, INSTALADO EM FORRO - FORNECIMENTO E INSTALAÇÃO. AF_12/2015</t>
  </si>
  <si>
    <t>ELETRODUTO FLEXÍVEL CORRUGADO REFORÇADO, PVC, DN 20 MM (1/2"), PARA CIRCUITOS TERMINAIS, INSTALADO EM LAJE - FORNECIMENTO E INSTALAÇÃO. AF_12/2015</t>
  </si>
  <si>
    <t>ELETRODUTO FLEXÍVEL CORRUGADO REFORÇADO, PVC, DN 25 MM (3/4"), PARA CIRCUITOS TERMINAIS, INSTALADO EM LAJE - FORNECIMENTO E INSTALAÇÃO. AF_12/2015</t>
  </si>
  <si>
    <t>ELETRODUTO FLEXÍVEL CORRUGADO REFORÇADO, PVC, DN 32 MM (1"), PARA CIRCUITOS TERMINAIS, INSTALADO EM LAJE - FORNECIMENTO E INSTALAÇÃO. AF_12/2015</t>
  </si>
  <si>
    <t>ELETRODUTO FLEXÍVEL CORRUGADO REFORÇADO, PVC, DN 20 MM (1/2"), PARA CIRCUITOS TERMINAIS, INSTALADO EM PAREDE - FORNECIMENTO E INSTALAÇÃO. AF_12/2015</t>
  </si>
  <si>
    <t>ELETRODUTO FLEXÍVEL CORRUGADO REFORÇADO, PVC, DN 25 MM (3/4"), PARA CIRCUITOS TERMINAIS, INSTALADO EM PAREDE - FORNECIMENTO E INSTALAÇÃO. AF_12/2015</t>
  </si>
  <si>
    <t>ELETRODUTO FLEXÍVEL CORRUGADO REFORÇADO, PVC, DN 32 MM (1"), PARA CIRCUITOS TERMINAIS, INSTALADO EM PAREDE - FORNECIMENTO E INSTALAÇÃO. AF_12/2015</t>
  </si>
  <si>
    <t>LUVA PARA ELETRODUTO, PVC, ROSCÁVEL, DN 20 MM (1/2"), PARA CIRCUITOS TERMINAIS, INSTALADA EM FORRO - FORNECIMENTO E INSTALAÇÃO. AF_12/2015</t>
  </si>
  <si>
    <t>LUVA PARA ELETRODUTO, PVC, ROSCÁVEL, DN 25 MM (3/4"), PARA CIRCUITOS TERMINAIS, INSTALADA EM FORRO - FORNECIMENTO E INSTALAÇÃO. AF_12/2015</t>
  </si>
  <si>
    <t>LUVA PARA ELETRODUTO, PVC, ROSCÁVEL, DN 32 MM (1"), PARA CIRCUITOS TERMINAIS, INSTALADA EM FORRO - FORNECIMENTO E INSTALAÇÃO. AF_12/2015</t>
  </si>
  <si>
    <t>LUVA PARA ELETRODUTO, PVC, ROSCÁVEL, DN 40 MM (1 1/4"), PARA CIRCUITOS TERMINAIS, INSTALADA EM FORRO - FORNECIMENTO E INSTALAÇÃO. AF_12/2015</t>
  </si>
  <si>
    <t>LUVA PARA ELETRODUTO, PVC, ROSCÁVEL, DN 20 MM (1/2"), PARA CIRCUITOS TERMINAIS, INSTALADA EM LAJE - FORNECIMENTO E INSTALAÇÃO. AF_12/2015</t>
  </si>
  <si>
    <t>LUVA PARA ELETRODUTO, PVC, ROSCÁVEL, DN 25 MM (3/4"), PARA CIRCUITOS TERMINAIS, INSTALADA EM LAJE - FORNECIMENTO E INSTALAÇÃO. AF_12/2015</t>
  </si>
  <si>
    <t>LUVA PARA ELETRODUTO, PVC, ROSCÁVEL, DN 32 MM (1"), PARA CIRCUITOS TERMINAIS, INSTALADA EM LAJE - FORNECIMENTO E INSTALAÇÃO. AF_12/2015</t>
  </si>
  <si>
    <t>LUVA PARA ELETRODUTO, PVC, ROSCÁVEL, DN 40 MM (1 1/4"), PARA CIRCUITOS TERMINAIS, INSTALADA EM LAJE - FORNECIMENTO E INSTALAÇÃO. AF_12/2015</t>
  </si>
  <si>
    <t>LUVA PARA ELETRODUTO, PVC, ROSCÁVEL, DN 20 MM (1/2"), PARA CIRCUITOS TERMINAIS, INSTALADA EM PAREDE - FORNECIMENTO E INSTALAÇÃO. AF_12/2015</t>
  </si>
  <si>
    <t>LUVA PARA ELETRODUTO, PVC, ROSCÁVEL, DN 25 MM (3/4"), PARA CIRCUITOS TERMINAIS, INSTALADA EM PAREDE - FORNECIMENTO E INSTALAÇÃO. AF_12/2015</t>
  </si>
  <si>
    <t>LUVA PARA ELETRODUTO, PVC, ROSCÁVEL, DN 32 MM (1"), PARA CIRCUITOS TERMINAIS, INSTALADA EM PAREDE - FORNECIMENTO E INSTALAÇÃO. AF_12/2015</t>
  </si>
  <si>
    <t>LUVA PARA ELETRODUTO, PVC, ROSCÁVEL, DN 40 MM (1 1/4"), PARA CIRCUITOS TERMINAIS, INSTALADA EM PAREDE - FORNECIMENTO E INSTALAÇÃO. AF_12/2015</t>
  </si>
  <si>
    <t>CURVA 90 GRAUS PARA ELETRODUTO, PVC, ROSCÁVEL, DN 20 MM (1/2"), PARA CIRCUITOS TERMINAIS, INSTALADA EM FORRO - FORNECIMENTO E INSTALAÇÃO. AF_12/2015</t>
  </si>
  <si>
    <t>CURVA 180 GRAUS PARA ELETRODUTO, PVC, ROSCÁVEL, DN 20 MM (1/2"), PARA CIRCUITOS TERMINAIS, INSTALADA EM FORRO - FORNECIMENTO E INSTALAÇÃO. AF_12/2015</t>
  </si>
  <si>
    <t>CURVA 90 GRAUS PARA ELETRODUTO, PVC, ROSCÁVEL, DN 25 MM (3/4"), PARA CIRCUITOS TERMINAIS, INSTALADA EM FORRO - FORNECIMENTO E INSTALAÇÃO. AF_12/2015</t>
  </si>
  <si>
    <t>CURVA 180 GRAUS PARA ELETRODUTO, PVC, ROSCÁVEL, DN 25 MM (3/4"), PARA CIRCUITOS TERMINAIS, INSTALADA EM FORRO - FORNECIMENTO E INSTALAÇÃO. AF_12/2015</t>
  </si>
  <si>
    <t>CURVA 90 GRAUS PARA ELETRODUTO, PVC, ROSCÁVEL, DN 32 MM (1"), PARA CIRCUITOS TERMINAIS, INSTALADA EM FORRO - FORNECIMENTO E INSTALAÇÃO. AF_12/2015</t>
  </si>
  <si>
    <t>CURVA 90 GRAUS PARA ELETRODUTO, PVC, ROSCÁVEL, DN 40 MM (1 1/4"), PARA CIRCUITOS TERMINAIS, INSTALADA EM FORRO - FORNECIMENTO E INSTALAÇÃO. AF_12/2015</t>
  </si>
  <si>
    <t>CURVA 180 GRAUS PARA ELETRODUTO, PVC, ROSCÁVEL, DN 40 MM (1 1/4"), PARA CIRCUITOS TERMINAIS, INSTALADA EM FORRO - FORNECIMENTO E INSTALAÇÃO. AF_12/2015</t>
  </si>
  <si>
    <t>CURVA 90 GRAUS PARA ELETRODUTO, PVC, ROSCÁVEL, DN 20 MM (1/2"), PARA CIRCUITOS TERMINAIS, INSTALADA EM LAJE - FORNECIMENTO E INSTALAÇÃO. AF_12/2015</t>
  </si>
  <si>
    <t>CURVA 180 GRAUS PARA ELETRODUTO, PVC, ROSCÁVEL, DN 20 MM (1/2"), PARA CIRCUITOS TERMINAIS, INSTALADA EM LAJE - FORNECIMENTO E INSTALAÇÃO. AF_12/2015</t>
  </si>
  <si>
    <t>CURVA 90 GRAUS PARA ELETRODUTO, PVC, ROSCÁVEL, DN 25 MM (3/4"), PARA CIRCUITOS TERMINAIS, INSTALADA EM LAJE - FORNECIMENTO E INSTALAÇÃO. AF_12/2015</t>
  </si>
  <si>
    <t>CURVA 180 GRAUS PARA ELETRODUTO, PVC, ROSCÁVEL, DN 32 MM (1"), PARA CIRCUITOS TERMINAIS, INSTALADA EM FORRO - FORNECIMENTO E INSTALAÇÃO. AF_12/2015</t>
  </si>
  <si>
    <t>CURVA 180 GRAUS PARA ELETRODUTO, PVC, ROSCÁVEL, DN 32 MM (1), PARA CIRCUITOS TERMINAIS, INSTALADA EM LAJE - FORNECIMENTO E INSTALAÇÃO. AF_12/2015</t>
  </si>
  <si>
    <t>CURVA 180 GRAUS PARA ELETRODUTO, PVC, ROSCÁVEL, DN 32 MM (1), PARA CIRCUITOS TERMINAIS, INSTALADA EM PAREDE - FORNECIMENTO E INSTALAÇÃO. AF_12/2015</t>
  </si>
  <si>
    <t>CURVA 180 GRAUS PARA ELETRODUTO, PVC, ROSCÁVEL, DN 25 MM (3/4"), PARA CIRCUITOS TERMINAIS, INSTALADA EM LAJE - FORNECIMENTO E INSTALAÇÃO. AF_12/2015</t>
  </si>
  <si>
    <t>CURVA 90 GRAUS PARA ELETRODUTO, PVC, ROSCÁVEL, DN 32 MM (1"), PARA CIRCUITOS TERMINAIS, INSTALADA EM LAJE - FORNECIMENTO E INSTALAÇÃO. AF_12/2015</t>
  </si>
  <si>
    <t>CURVA 90 GRAUS PARA ELETRODUTO, PVC, ROSCÁVEL, DN 40 MM (1 1/4"), PARA CIRCUITOS TERMINAIS, INSTALADA EM LAJE - FORNECIMENTO E INSTALAÇÃO. AF_12/2015</t>
  </si>
  <si>
    <t>CURVA 180 GRAUS PARA ELETRODUTO, PVC, ROSCÁVEL, DN 40 MM (1 1/4"), PARA CIRCUITOS TERMINAIS, INSTALADA EM LAJE - FORNECIMENTO E INSTALAÇÃO. AF_12/2015</t>
  </si>
  <si>
    <t>CURVA 90 GRAUS PARA ELETRODUTO, PVC, ROSCÁVEL, DN 20 MM (1/2"), PARA CIRCUITOS TERMINAIS, INSTALADA EM PAREDE - FORNECIMENTO E INSTALAÇÃO. AF_12/2015</t>
  </si>
  <si>
    <t>CURVA 180 GRAUS PARA ELETRODUTO, PVC, ROSCÁVEL, DN 20 MM (1/2"), PARA CIRCUITOS TERMINAIS, INSTALADA EM PAREDE - FORNECIMENTO E INSTALAÇÃO. AF_12/2015</t>
  </si>
  <si>
    <t>CURVA 90 GRAUS PARA ELETRODUTO, PVC, ROSCÁVEL, DN 25 MM (3/4"), PARA CIRCUITOS TERMINAIS, INSTALADA EM PAREDE - FORNECIMENTO E INSTALAÇÃO. AF_12/2015</t>
  </si>
  <si>
    <t>CURVA 180 GRAUS PARA ELETRODUTO, PVC, ROSCÁVEL, DN 25 MM (3/4"), PARA CIRCUITOS TERMINAIS, INSTALADA EM PAREDE - FORNECIMENTO E INSTALAÇÃO. AF_12/2015</t>
  </si>
  <si>
    <t>CURVA 90 GRAUS PARA ELETRODUTO, PVC, ROSCÁVEL, DN 32 MM (1"), PARA CIRCUITOS TERMINAIS, INSTALADA EM PAREDE - FORNECIMENTO E INSTALAÇÃO. AF_12/2015</t>
  </si>
  <si>
    <t>CURVA 90 GRAUS PARA ELETRODUTO, PVC, ROSCÁVEL, DN 40 MM (1 1/4"), PARA CIRCUITOS TERMINAIS, INSTALADA EM PAREDE - FORNECIMENTO E INSTALAÇÃO. AF_12/2015</t>
  </si>
  <si>
    <t>CURVA 180 GRAUS PARA ELETRODUTO, PVC, ROSCÁVEL, DN 40 MM (1 1/4"), PARA CIRCUITOS TERMINAIS, INSTALADA EM PAREDE - FORNECIMENTO E INSTALAÇÃO. AF_12/2015</t>
  </si>
  <si>
    <t>LUVA PARA ELETRODUTO, PVC, ROSCÁVEL, DN 50 MM (1 1/2") - FORNECIMENTO E INSTALAÇÃO. AF_12/2015</t>
  </si>
  <si>
    <t>LUVA PARA ELETRODUTO, PVC, ROSCÁVEL, DN 60 MM (2") - FORNECIMENTO E INSTALAÇÃO. AF_12/2015</t>
  </si>
  <si>
    <t>LUVA PARA ELETRODUTO, PVC, ROSCÁVEL, DN 75 MM (2 1/2") - FORNECIMENTO E INSTALAÇÃO. AF_12/2015</t>
  </si>
  <si>
    <t>LUVA PARA ELETRODUTO, PVC, ROSCÁVEL, DN 85 MM (3") - FORNECIMENTO E INSTALAÇÃO. AF_12/2015</t>
  </si>
  <si>
    <t>LUVA PARA ELETRODUTO, PVC, ROSCÁVEL, DN 110 MM (4") - FORNECIMENTO E INSTALAÇÃO. AF_12/2015</t>
  </si>
  <si>
    <t>CURVA 90 GRAUS PARA ELETRODUTO, PVC, ROSCÁVEL, DN 50 MM (1 1/2") - FORNECIMENTO E INSTALAÇÃO. AF_12/2015</t>
  </si>
  <si>
    <t>CURVA 90 GRAUS PARA ELETRODUTO, PVC, ROSCÁVEL, DN 60 MM (2") - FORNECIMENTO E INSTALAÇÃO. AF_12/2015</t>
  </si>
  <si>
    <t>CURVA 90 GRAUS PARA ELETRODUTO, PVC, ROSCÁVEL, DN 75 MM (2 1/2") - FORNECIMENTO E INSTALAÇÃO. AF_12/2015</t>
  </si>
  <si>
    <t>CURVA 90 GRAUS PARA ELETRODUTO, PVC, ROSCÁVEL, DN 85 MM (3") - FORNECIMENTO E INSTALAÇÃO. AF_12/2015</t>
  </si>
  <si>
    <t>CURVA 90 GRAUS PARA ELETRODUTO, PVC, ROSCÁVEL, DN 110 MM (4") - FORNECIMENTO E INSTALAÇÃO. AF_12/2015</t>
  </si>
  <si>
    <t>CURVA 135 GRAUS PARA ELETRODUTO, PVC, ROSCÁVEL, DN 25 MM (3/4), PARA CIRCUITOS TERMINAIS, INSTALADA EM FORRO - FORNECIMENTO E INSTALAÇÃO. AF_12/2015</t>
  </si>
  <si>
    <t>CURVA 135 GRAUS PARA ELETRODUTO, PVC, ROSCÁVEL, DN 25 MM (3/4), PARA CIRCUITOS TERMINAIS, INSTALADA EM LAJE - FORNECIMENTO E INSTALAÇÃO. AF_12/2015</t>
  </si>
  <si>
    <t>CURVA 135 GRAUS PARA ELETRODUTO, PVC, ROSCÁVEL, DN 25 MM (3/4), PARA CIRCUITOS TERMINAIS, INSTALADA EM PAREDE - FORNECIMENTO E INSTALAÇÃO. AF_12/2015</t>
  </si>
  <si>
    <t>ELETRODUTO RÍGIDO ROSCÁVEL, PVC, DN 20 MM (1/2"), PARA CIRCUITOS TERMINAIS, INSTALADO EM FORRO - FORNECIMENTO E INSTALAÇÃO. AF_12/2015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</si>
  <si>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</si>
  <si>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</si>
  <si>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40 MM (1 1/4"), PARA CIRCUITOS TERMINAIS, INSTALADO EM FORRO - FORNECIMENTO E INSTALAÇÃO. AF_12/2015</t>
  </si>
  <si>
    <t>ELETRODUTO RÍGIDO ROSCÁVEL, PVC, DN 20 MM (1/2"), PARA CIRCUITOS TERMINAIS, INSTALADO EM LAJE - FORNECIMENTO E INSTALAÇÃO. AF_12/2015</t>
  </si>
  <si>
    <t>ELETRODUTO RÍGIDO ROSCÁVEL, PVC, DN 25 MM (3/4"), PARA CIRCUITOS TERMINAIS, INSTALADO EM LAJE - FORNECIMENTO E INSTALAÇÃO. AF_12/2015</t>
  </si>
  <si>
    <t>ELETRODUTO RÍGIDO ROSCÁVEL, PVC, DN 32 MM (1"), PARA CIRCUITOS TERMINAIS, INSTALADO EM LAJE - FORNECIMENTO E INSTALAÇÃO. AF_12/2015</t>
  </si>
  <si>
    <t>ELETRODUTO RÍGIDO ROSCÁVEL, PVC, DN 40 MM (1 1/4"), PARA CIRCUITOS TERMINAIS, INSTALADO EM LAJE - FORNECIMENTO E INSTALAÇÃO. AF_12/2015</t>
  </si>
  <si>
    <t>ELETRODUTO RÍGIDO ROSCÁVEL, PVC, DN 20 MM (1/2"), PARA CIRCUITOS TERMINAIS, INSTALADO EM PAREDE - FORNECIMENTO E INSTALAÇÃO. AF_12/2015</t>
  </si>
  <si>
    <t>ELETRODUTO RÍGIDO ROSCÁVEL, PVC, DN 25 MM (3/4"), PARA CIRCUITOS TERMINAIS, INSTALADO EM PAREDE - FORNECIMENTO E INSTALAÇÃO. AF_12/2015</t>
  </si>
  <si>
    <t>ELETRODUTO RÍGIDO ROSCÁVEL, PVC, DN 32 MM (1"), PARA CIRCUITOS TERMINAIS, INSTALADO EM PAREDE - FORNECIMENTO E INSTALAÇÃO. AF_12/2015</t>
  </si>
  <si>
    <t>ELETRODUTO RÍGIDO ROSCÁVEL, PVC, DN 40 MM (1 1/4"), PARA CIRCUITOS TERMINAIS, INSTALADO EM PAREDE - FORNECIMENTO E INSTALAÇÃO. AF_12/2015</t>
  </si>
  <si>
    <t>ELETRODUTO RÍGIDO ROSCÁVEL, PVC, DN 50 MM (1 1/2") - FORNECIMENTO E INSTALAÇÃO. AF_12/2015</t>
  </si>
  <si>
    <t>ELETRODUTO RÍGIDO ROSCÁVEL, PVC, DN 60 MM (2") - FORNECIMENTO E INSTALAÇÃO. AF_12/2015</t>
  </si>
  <si>
    <t>ELETRODUTO RÍGIDO ROSCÁVEL, PVC, DN 75 MM (2 1/2") - FORNECIMENTO E INSTALAÇÃO. AF_12/2015</t>
  </si>
  <si>
    <t>ELETRODUTO RÍGIDO ROSCÁVEL, PVC, DN 85 MM (3") - FORNECIMENTO E INSTALAÇÃO. AF_12/2015</t>
  </si>
  <si>
    <t>ELETRODUTO RÍGIDO ROSCÁVEL, PVC, DN 110 MM (4") - FORNECIMENTO E INSTALAÇÃO. AF_12/2015</t>
  </si>
  <si>
    <t>ELETRODUTO RÍGIDO SOLDÁVEL, PVC, DN 20 MM (½), APARENTE, INSTALADO EM TETO - FORNECIMENTO E INSTALAÇÃO. AF_11/2016_P</t>
  </si>
  <si>
    <t>ELETRODUTO RÍGIDO SOLDÁVEL, PVC, DN 25 MM (3/4), APARENTE, INSTALADO EM TETO - FORNECIMENTO E INSTALAÇÃO. AF_11/2016_P</t>
  </si>
  <si>
    <t>ELETRODUTO RÍGIDO SOLDÁVEL, PVC, DN 32 MM (1), APARENTE, INSTALADO EM TETO - FORNECIMENTO E INSTALAÇÃO. AF_11/2016_P</t>
  </si>
  <si>
    <t>ELETRODUTO RÍGIDO SOLDÁVEL, PVC, DN 20 MM (½), APARENTE, INSTALADO EM PAREDE - FORNECIMENTO E INSTALAÇÃO. AF_11/2016_P</t>
  </si>
  <si>
    <t>ELETRODUTO RÍGIDO SOLDÁVEL, PVC, DN 25 MM (3/4), APARENTE, INSTALADO EM PAREDE - FORNECIMENTO E INSTALAÇÃO. AF_11/2016_P</t>
  </si>
  <si>
    <t>ELETRODUTO RÍGIDO SOLDÁVEL, PVC, DN 32 MM (1), APARENTE, INSTALADO EM PAREDE - FORNECIMENTO E INSTALAÇÃO. AF_11/2016_P</t>
  </si>
  <si>
    <t>LUVA PARA ELETRODUTO, PVC, SOLDÁVEL, DN 25 MM (3/4), APARENTE, INSTALADA EM TETO - FORNECIMENTO E INSTALAÇÃO. AF_11/2016_P</t>
  </si>
  <si>
    <t>LUVA PARA ELETRODUTO, PVC, SOLDÁVEL, DN 32 MM (1), APARENTE, INSTALADA EM TETO - FORNECIMENTO E INSTALAÇÃO. AF_11/2016_P</t>
  </si>
  <si>
    <t>LUVA PARA ELETRODUTO, PVC, SOLDÁVEL, DN 20 MM (1/2), APARENTE, INSTALADA EM PAREDE - FORNECIMENTO E INSTALAÇÃO. AF_11/2016_P</t>
  </si>
  <si>
    <t>LUVA PARA ELETRODUTO, PVC, SOLDÁVEL, DN 25 MM (3/4), APARENTE, INSTALADA EM PAREDE - FORNECIMENTO E INSTALAÇÃO. AF_11/2016_P</t>
  </si>
  <si>
    <t>LUVA PARA ELETRODUTO, PVC, SOLDÁVEL, DN 32 MM (1), APARENTE, INSTALADA EM PAREDE - FORNECIMENTO E INSTALAÇÃO. AF_11/2016_P</t>
  </si>
  <si>
    <t>LUVA PARA ELETRODUTO, PVC, SOLDÁVEL, DN 20 MM (1/2), APARENTE, INSTALADA EM TETO - FORNECIMENTO E INSTALAÇÃO. AF_11/2016_P</t>
  </si>
  <si>
    <t>ELETRODUTO DE AÇO GALVANIZADO, CLASSE LEVE, DN 20 MM (3/4), APARENTE, INSTALADO EM TETO - FORNECIMENTO E INSTALAÇÃO. AF_11/2016_P</t>
  </si>
  <si>
    <t>ELETRODUTO DE AÇO GALVANIZADO, CLASSE LEVE, DN 25 MM (1), APARENTE, INSTALADO EM TETO - FORNECIMENTO E INSTALAÇÃO. AF_11/2016_P</t>
  </si>
  <si>
    <t>ELETRODUTO DE AÇO GALVANIZADO, CLASSE SEMI PESADO, DN 32 MM (1 1/4), APARENTE, INSTALADO EM TETO - FORNECIMENTO E INSTALAÇÃO. AF_11/2016_P</t>
  </si>
  <si>
    <t>ELETRODUTO DE AÇO GALVANIZADO, CLASSE SEMI PESADO, DN 40 MM (1 1/2 ), APARENTE, INSTALADO EM TETO - FORNECIMENTO E INSTALAÇÃO. AF_11/2016_P</t>
  </si>
  <si>
    <t>ELETRODUTO DE AÇO GALVANIZADO, CLASSE LEVE, DN 20 MM (3/4), APARENTE, INSTALADO EM PAREDE - FORNECIMENTO E INSTALAÇÃO. AF_11/2016_P</t>
  </si>
  <si>
    <t>ELETRODUTO DE AÇO GALVANIZADO, CLASSE LEVE, DN 25 MM (1), APARENTE, INSTALADO EM PAREDE - FORNECIMENTO E INSTALAÇÃO. AF_11/2016_P</t>
  </si>
  <si>
    <t>ELETRODUTO DE AÇO GALVANIZADO, CLASSE SEMI PESADO, DN 32 MM (1 1/4), APARENTE, INSTALADO EM PAREDE - FORNECIMENTO E INSTALAÇÃO. AF_11/2016_P</t>
  </si>
  <si>
    <t>ELETRODUTO DE AÇO GALVANIZADO, CLASSE SEMI PESADO, DN 40 MM (1 1/2  ), APARENTE, INSTALADO EM PAREDE - FORNECIMENTO E INSTALAÇÃO. AF_11/2016_P</t>
  </si>
  <si>
    <t>LUVA DE EMENDA PARA ELETRODUTO, AÇO GALVANIZADO, DN 20 MM (3/4  ), APARENTE, INSTALADA EM TETO - FORNECIMENTO E INSTALAÇÃO. AF_11/2016_P</t>
  </si>
  <si>
    <t>LUVA DE EMENDA PARA ELETRODUTO, AÇO GALVANIZADO, DN 25 MM (1''), APARENTE, INSTALADA EM TETO - FORNECIMENTO E INSTALAÇÃO. AF_11/2016_P</t>
  </si>
  <si>
    <t>LUVA DE EMENDA PARA ELETRODUTO, AÇO GALVANIZADO, DN 32 MM (1 1/4''), APARENTE, INSTALADA EM TETO - FORNECIMENTO E INSTALAÇÃO. AF_11/2016_P</t>
  </si>
  <si>
    <t>LUVA DE EMENDA PARA ELETRODUTO, AÇO GALVANIZADO, DN 40 MM (1 1/2''), APARENTE, INSTALADA EM TETO - FORNECIMENTO E INSTALAÇÃO. AF_11/2016_P</t>
  </si>
  <si>
    <t>LUVA DE EMENDA PARA ELETRODUTO, AÇO GALVANIZADO, DN 20 MM (3/4''), APARENTE, INSTALADA EM PAREDE - FORNECIMENTO E INSTALAÇÃO. AF_11/2016_P</t>
  </si>
  <si>
    <t>LUVA DE EMENDA PARA ELETRODUTO, AÇO GALVANIZADO, DN 25 MM (1''), APARENTE, INSTALADA EM PAREDE - FORNECIMENTO E INSTALAÇÃO. AF_11/2016_P</t>
  </si>
  <si>
    <t>LUVA DE EMENDA PARA ELETRODUTO, AÇO GALVANIZADO, DN 32 MM (1 1/4''), APARENTE, INSTALADA EM PAREDE - FORNECIMENTO E INSTALAÇÃO. AF_11/2016_P</t>
  </si>
  <si>
    <t>LUVA DE EMENDA PARA ELETRODUTO, AÇO GALVANIZADO, DN 40 MM (1 1/2''), APARENTE, INSTALADA EM PAREDE - FORNECIMENTO E INSTALAÇÃO. AF_11/2016_P</t>
  </si>
  <si>
    <t>ELETRODUTO FLEXÍVEL LISO, PEAD, DN 32 MM (1"), PARA CIRCUITOS TERMINAIS, INSTALADO EM FORRO - FORNECIMENTO E INSTALAÇÃO. AF_12/2015</t>
  </si>
  <si>
    <t>ELETRODUTO FLEXÍVEL CORRUGADO, PEAD, DN 40 MM (1 1/4"), PARA CIRCUITOS TERMINAIS, INSTALADO EM FORRO - FORNECIMENTO E INSTALAÇÃO. AF_12/2015</t>
  </si>
  <si>
    <t>ELETRODUTO FLEXÍVEL LISO, PEAD, DN 40 MM (1 1/4"), PARA CIRCUITOS TERMINAIS, INSTALADO EM FORRO - FORNECIMENTO E INSTALAÇÃO. AF_12/2015</t>
  </si>
  <si>
    <t>ELETRODUTO FLEXÍVEL LISO, PEAD, DN 32 MM (1"), PARA CIRCUITOS TERMINAIS, INSTALADO EM LAJE - FORNECIMENTO E INSTALAÇÃO. AF_12/2015</t>
  </si>
  <si>
    <t>ELETRODUTO FLEXÍVEL CORRUGADO, PEAD, DN 40 MM (1 1/4"), PARA CIRCUITOS TERMINAIS, INSTALADO EM LAJE - FORNECIMENTO E INSTALAÇÃO. AF_12/2015</t>
  </si>
  <si>
    <t>ELETRODUTO FLEXÍVEL LISO, PEAD, DN 40 MM (1 1/4"), PARA CIRCUITOS TERMINAIS, INSTALADO EM LAJE - FORNECIMENTO E INSTALAÇÃO. AF_12/2015</t>
  </si>
  <si>
    <t>ELETRODUTO FLEXÍVEL LISO, PEAD, DN 32 MM (1"), PARA CIRCUITOS TERMINAIS, INSTALADO EM PAREDE - FORNECIMENTO E INSTALAÇÃO. AF_12/2015</t>
  </si>
  <si>
    <t>ELETRODUTO FLEXÍVEL CORRUGADO, PEAD, DN 40 MM (1 1/4"), PARA CIRCUITOS TERMINAIS, INSTALADO EM PAREDE - FORNECIMENTO E INSTALAÇÃO. AF_12/2015</t>
  </si>
  <si>
    <t>ELETRODUTO FLEXÍVEL LISO, PEAD, DN 40 MM (1 1/4"), PARA CIRCUITOS TERMINAIS, INSTALADO EM PAREDE - FORNECIMENTO E INSTALAÇÃO. AF_12/2015</t>
  </si>
  <si>
    <t>ELETRODUTO FLEXÍVEL CORRUGADO, PEAD, DN 50 (1 ½)  - FORNECIMENTO E INSTALAÇÃO. AF_04/2016</t>
  </si>
  <si>
    <t>ELETRODUTO FLEXÍVEL CORRUGADO, PEAD, DN 63 (2")  - FORNECIMENTO E INSTALAÇÃO. AF_04/2016</t>
  </si>
  <si>
    <t>ELETRODUTO FLEXÍVEL CORRUGADO, PEAD, DN 90 (3) - FORNECIMENTO E INSTALAÇÃO. AF_04/2016</t>
  </si>
  <si>
    <t>ELETRODUTO FLEXÍVEL CORRUGADO, PEAD, DN 100 (4) - FORNECIMENTO E INSTALAÇÃO. AF_04/2016</t>
  </si>
  <si>
    <t>CABO DE COBRE FLEXÍVEL ISOLADO, 1,5 MM², ANTI-CHAMA 450/750 V, PARA CIRCUITOS TERMINAIS - FORNECIMENTO E INSTALAÇÃO. AF_12/2015</t>
  </si>
  <si>
    <t>CABO DE COBRE FLEXÍVEL ISOLADO, 2,5 MM², ANTI-CHAMA 450/750 V, PARA CIRCUITOS TERMINAIS - FORNECIMENTO E INSTALAÇÃO. AF_12/2015</t>
  </si>
  <si>
    <t>CABO DE COBRE FLEXÍVEL ISOLADO, 4 MM², ANTI-CHAMA 450/750 V, PARA CIRCUITOS TERMINAIS - FORNECIMENTO E INSTALAÇÃO. AF_12/2015</t>
  </si>
  <si>
    <t>CABO DE COBRE FLEXÍVEL ISOLADO, 6 MM², ANTI-CHAMA 450/750 V, PARA CIRCUITOS TERMINAIS - FORNECIMENTO E INSTALAÇÃO. AF_12/2015</t>
  </si>
  <si>
    <t>CABO DE COBRE FLEXÍVEL ISOLADO, 10 MM², ANTI-CHAMA 450/750 V, PARA CIRCUITOS TERMINAIS - FORNECIMENTO E INSTALAÇÃO. AF_12/2015</t>
  </si>
  <si>
    <t>CABO DE COBRE FLEXÍVEL ISOLADO, 16 MM², ANTI-CHAMA 450/750 V, PARA CIRCUITOS TERMINAIS - FORNECIMENTO E INSTALAÇÃO. AF_12/2015</t>
  </si>
  <si>
    <t>CABO DE COBRE FLEXÍVEL ISOLADO, 10 MM², ANTI-CHAMA 450/750 V, PARA DISTRIBUIÇÃO - FORNECIMENTO E INSTALAÇÃO. AF_12/2015</t>
  </si>
  <si>
    <t>CABO DE COBRE FLEXÍVEL ISOLADO, 16 MM², ANTI-CHAMA 450/750 V, PARA DISTRIBUIÇÃO - FORNECIMENTO E INSTALAÇÃO. AF_12/2015</t>
  </si>
  <si>
    <t>CABO DE COBRE FLEXÍVEL ISOLADO, 1,5 MM², ANTI-CHAMA 0,6/1,0 KV, PARA CIRCUITOS TERMINAIS - FORNECIMENTO E INSTALAÇÃO. AF_12/2015</t>
  </si>
  <si>
    <t>CABO DE COBRE FLEXÍVEL ISOLADO, 2,5 MM², ANTI-CHAMA 0,6/1,0 KV, PARA CIRCUITOS TERMINAIS - FORNECIMENTO E INSTALAÇÃO. AF_12/2015</t>
  </si>
  <si>
    <t>CABO DE COBRE FLEXÍVEL ISOLADO, 4 MM², ANTI-CHAMA 0,6/1,0 KV, PARA CIRCUITOS TERMINAIS - FORNECIMENTO E INSTALAÇÃO. AF_12/2015</t>
  </si>
  <si>
    <t>CABO DE COBRE FLEXÍVEL ISOLADO, 6 MM², ANTI-CHAMA 0,6/1,0 KV, PARA CIRCUITOS TERMINAIS - FORNECIMENTO E INSTALAÇÃO. AF_12/2015</t>
  </si>
  <si>
    <t>CABO DE COBRE FLEXÍVEL ISOLADO, 10 MM², ANTI-CHAMA 0,6/1,0 KV, PARA CIRCUITOS TERMINAIS - FORNECIMENTO E INSTALAÇÃO. AF_12/2015</t>
  </si>
  <si>
    <t>CABO DE COBRE FLEXÍVEL ISOLADO, 16 MM², ANTI-CHAMA 0,6/1,0 KV, PARA CIRCUITOS TERMINAIS - FORNECIMENTO E INSTALAÇÃO. AF_12/2015</t>
  </si>
  <si>
    <t>CABO DE COBRE FLEXÍVEL ISOLADO, 10 MM², ANTI-CHAMA 0,6/1,0 KV, PARA DISTRIBUIÇÃO - FORNECIMENTO E INSTALAÇÃO. AF_12/2015</t>
  </si>
  <si>
    <t>CABO DE COBRE FLEXÍVEL ISOLADO, 16 MM², ANTI-CHAMA 0,6/1,0 KV, PARA DISTRIBUIÇÃO - FORNECIMENTO E INSTALAÇÃO. AF_12/2015</t>
  </si>
  <si>
    <t>CABO DE COBRE FLEXÍVEL ISOLADO, 25 MM², ANTI-CHAMA 0,6/1,0 KV, PARA DISTRIBUIÇÃO - FORNECIMENTO E INSTALAÇÃO. AF_12/2015</t>
  </si>
  <si>
    <t>CABO DE COBRE FLEXÍVEL ISOLADO, 35 MM², ANTI-CHAMA 0,6/1,0 KV, PARA DISTRIBUIÇÃO - FORNECIMENTO E INSTALAÇÃO. AF_12/2015</t>
  </si>
  <si>
    <t>CABO DE COBRE FLEXÍVEL ISOLADO, 50 MM², ANTI-CHAMA 0,6/1,0 KV, PARA DISTRIBUIÇÃO - FORNECIMENTO E INSTALAÇÃO. AF_12/2015</t>
  </si>
  <si>
    <t>CABO DE COBRE FLEXÍVEL ISOLADO, 70 MM², ANTI-CHAMA 0,6/1,0 KV, PARA DISTRIBUIÇÃO - FORNECIMENTO E INSTALAÇÃO. AF_12/2015</t>
  </si>
  <si>
    <t>CABO DE COBRE FLEXÍVEL ISOLADO, 95 MM², ANTI-CHAMA 0,6/1,0 KV, PARA DISTRIBUIÇÃO - FORNECIMENTO E INSTALAÇÃO. AF_12/2015</t>
  </si>
  <si>
    <t>CABO DE COBRE FLEXÍVEL ISOLADO, 120 MM², ANTI-CHAMA 0,6/1,0 KV, PARA DISTRIBUIÇÃO - FORNECIMENTO E INSTALAÇÃO. AF_12/2015</t>
  </si>
  <si>
    <t>CABO DE COBRE FLEXÍVEL ISOLADO, 150 MM², ANTI-CHAMA 0,6/1,0 KV, PARA DISTRIBUIÇÃO - FORNECIMENTO E INSTALAÇÃO. AF_12/2015</t>
  </si>
  <si>
    <t>CABO DE COBRE FLEXÍVEL ISOLADO, 185 MM², ANTI-CHAMA 0,6/1,0 KV, PARA DISTRIBUIÇÃO - FORNECIMENTO E INSTALAÇÃO. AF_12/2015</t>
  </si>
  <si>
    <t>CABO DE COBRE FLEXÍVEL ISOLADO, 240 MM², ANTI-CHAMA 0,6/1,0 KV, PARA DISTRIBUIÇÃO - FORNECIMENTO E INSTALAÇÃO. AF_12/2015</t>
  </si>
  <si>
    <t>CABO DE COBRE FLEXÍVEL ISOLADO, 300 MM², ANTI-CHAMA 0,6/1,0 KV, PARA DISTRIBUIÇÃO - FORNECIMENTO E INSTALAÇÃO. AF_12/2015</t>
  </si>
  <si>
    <t>CABO DE COBRE ISOLADO, 10 MM², ANTI-CHAMA 450/750 V, INSTALADO EM ELETROCALHA OU PERFILADO - FORNECIMENTO E INSTALAÇÃO. AF_10/2020</t>
  </si>
  <si>
    <t>CABO DE COBRE ISOLADO, 10 MM², ANTI-CHAMA 0,6/1 KV, INSTALADO EM ELETROCALHA OU PERFILADO - FORNECIMENTO E INSTALAÇÃO. AF_10/2020</t>
  </si>
  <si>
    <t>CABO DE COBRE ISOLADO, 16 MM², ANTI-CHAMA 450/750 V, INSTALADO EM ELETROCALHA OU PERFILADO - FORNECIMENTO E INSTALAÇÃO. AF_10/2020</t>
  </si>
  <si>
    <t>CABO DE COBRE ISOLADO, 16 MM², ANTI-CHAMA 0,6/1 KV, INSTALADO EM ELETROCALHA OU PERFILADO - FORNECIMENTO E INSTALAÇÃO. AF_10/2020</t>
  </si>
  <si>
    <t>CABO DE COBRE ISOLADO, 25 MM², ANTI-CHAMA 450/750 V, INSTALADO EM ELETROCALHA OU PERFILADO - FORNECIMENTO E INSTALAÇÃO. AF_10/2020</t>
  </si>
  <si>
    <t>CABO DE COBRE ISOLADO, 25 MM², ANTI-CHAMA 0,6/1 KV, INSTALADO EM ELETROCALHA OU PERFILADO - FORNECIMENTO E INSTALAÇÃO. AF_10/2020</t>
  </si>
  <si>
    <t>CABO DE COBRE FLEXÍVEL ISOLADO, 10 MM², 0,6/1,0 KV, PARA REDE AÉREA DE DISTRIBUIÇÃO DE ENERGIA ELÉTRICA DE BAIXA TENSÃO - FORNECIMENTO E INSTALAÇÃO. AF_07/2020</t>
  </si>
  <si>
    <t>CABO DE COBRE FLEXÍVEL ISOLADO, 16 MM², 0,6/1,0 KV, PARA REDE AÉREA DE DISTRIBUIÇÃO DE ENERGIA ELÉTRICA DE BAIXA TENSÃO - FORNECIMENTO E INSTALAÇÃO. AF_07/2020</t>
  </si>
  <si>
    <t>CABO DE COBRE FLEXÍVEL ISOLADO, 25 MM², 0,6/1,0 KV, PARA REDE AÉREA DE DISTRIBUIÇÃO DE ENERGIA ELÉTRICA DE BAIXA TENSÃO - FORNECIMENTO E INSTALAÇÃO. AF_07/2020</t>
  </si>
  <si>
    <t>CABO DE COBRE FLEXÍVEL ISOLADO, 35 MM², 0,6/1,0 KV, PARA REDE AÉREA DE DISTRIBUIÇÃO DE ENERGIA ELÉTRICA DE BAIXA TENSÃO - FORNECIMENTO E INSTALAÇÃO. AF_07/2020</t>
  </si>
  <si>
    <t>CABO DE COBRE FLEXÍVEL ISOLADO, 50 MM², 0,6/1,0 KV, PARA REDE AÉREA DE DISTRIBUIÇÃO DE ENERGIA ELÉTRICA DE BAIXA TENSÃO - FORNECIMENTO E INSTALAÇÃO. AF_07/2020</t>
  </si>
  <si>
    <t>CABO DE COBRE FLEXÍVEL ISOLADO, 70 MM², 0,6/1,0 KV, PARA REDE AÉREA DE DISTRIBUIÇÃO DE ENERGIA ELÉTRICA DE BAIXA TENSÃO - FORNECIMENTO E INSTALAÇÃO. AF_07/2020</t>
  </si>
  <si>
    <t>CABO DE COBRE FLEXÍVEL ISOLADO, 95 MM², 0,6/1,0 KV, PARA REDE AÉREA DE DISTRIBUIÇÃO DE ENERGIA ELÉTRICA DE BAIXA TENSÃO - FORNECIMENTO E INSTALAÇÃO. AF_07/2020</t>
  </si>
  <si>
    <t>CABO DE COBRE FLEXÍVEL ISOLADO, 120 MM², 0,6/1,0 KV, PARA REDE AÉREA DE DISTRIBUIÇÃO DE ENERGIA ELÉTRICA DE BAIXA TENSÃO - FORNECIMENTO E INSTALAÇÃO. AF_07/2020</t>
  </si>
  <si>
    <t>CONDULETE DE ALUMÍNIO, TIPO B, PARA ELETRODUTO DE AÇO GALVANIZADO DN 20 MM (3/4''), APARENTE - FORNECIMENTO E INSTALAÇÃO. AF_11/2016_P</t>
  </si>
  <si>
    <t>CONDULETE DE ALUMÍNIO, TIPO C, PARA ELETRODUTO DE AÇO GALVANIZADO DN 20 MM (3/4''), APARENTE - FORNECIMENTO E INSTALAÇÃO. AF_11/2016_P</t>
  </si>
  <si>
    <t>CONDULETE DE ALUMÍNIO, TIPO E, PARA ELETRODUTO DE AÇO GALVANIZADO DN 20 MM (3/4''), APARENTE - FORNECIMENTO E INSTALAÇÃO. AF_11/2016_P</t>
  </si>
  <si>
    <t>CONDULETE DE ALUMÍNIO, TIPO B, PARA ELETRODUTO DE AÇO GALVANIZADO DN 25 MM (1''), APARENTE - FORNECIMENTO E INSTALAÇÃO. AF_11/2016_P</t>
  </si>
  <si>
    <t>CONDULETE DE ALUMÍNIO, TIPO C, PARA ELETRODUTO DE AÇO GALVANIZADO DN 25 MM (1''), APARENTE - FORNECIMENTO E INSTALAÇÃO. AF_11/2016_P</t>
  </si>
  <si>
    <t>CONDULETE DE ALUMÍNIO, TIPO E, ELETRODUTO DE AÇO GALVANIZADO DN 25 MM (1''), APARENTE - FORNECIMENTO E INSTALAÇÃO. AF_11/2016_P</t>
  </si>
  <si>
    <t>CONDULETE DE ALUMÍNIO, TIPO E, PARA ELETRODUTO DE AÇO GALVANIZADO DN 32 MM (1 1/4''), APARENTE - FORNECIMENTO E INSTALAÇÃO. AF_11/2016_P</t>
  </si>
  <si>
    <t>CONDULETE DE ALUMÍNIO, TIPO LR, PARA ELETRODUTO DE AÇO GALVANIZADO DN 20 MM (3/4''), APARENTE - FORNECIMENTO E INSTALAÇÃO. AF_11/2016_P</t>
  </si>
  <si>
    <t>CONDULETE DE ALUMÍNIO, TIPO LR, PARA ELETRODUTO DE AÇO GALVANIZADO DN 25 MM (1''), APARENTE - FORNECIMENTO E INSTALAÇÃO. AF_11/2016_P</t>
  </si>
  <si>
    <t>CONDULETE DE ALUMÍNIO, TIPO LR, PARA ELETRODUTO DE AÇO GALVANIZADO DN 32 MM (1 1/4''), APARENTE - FORNECIMENTO E INSTALAÇÃO. AF_11/2016_P</t>
  </si>
  <si>
    <t>CONDULETE DE ALUMÍNIO, TIPO T, PARA ELETRODUTO DE AÇO GALVANIZADO DN 20 MM (3/4''), APARENTE - FORNECIMENTO E INSTALAÇÃO. AF_11/2016_P</t>
  </si>
  <si>
    <t>CONDULETE DE ALUMÍNIO, TIPO T, PARA ELETRODUTO DE AÇO GALVANIZADO DN 25 MM (1''), APARENTE - FORNECIMENTO E INSTALAÇÃO. AF_11/2016_P</t>
  </si>
  <si>
    <t>CONDULETE DE ALUMÍNIO, TIPO T, PARA ELETRODUTO DE AÇO GALVANIZADO DN 32 MM (1 1/4''), APARENTE - FORNECIMENTO E INSTALAÇÃO. AF_11/2016_P</t>
  </si>
  <si>
    <t>CONDULETE DE ALUMÍNIO, TIPO X, PARA ELETRODUTO DE AÇO GALVANIZADO DN 20 MM (3/4''), APARENTE - FORNECIMENTO E INSTALAÇÃO. AF_11/2016_P</t>
  </si>
  <si>
    <t>CONDULETE DE ALUMÍNIO, TIPO X, PARA ELETRODUTO DE AÇO GALVANIZADO DN 25 MM (1''), APARENTE - FORNECIMENTO E INSTALAÇÃO. AF_11/2016_P</t>
  </si>
  <si>
    <t>CONDULETE DE ALUMÍNIO, TIPO X, PARA ELETRODUTO DE AÇO GALVANIZADO DN 32 MM (1 1/4''), APARENTE - FORNECIMENTO E INSTALAÇÃO. AF_11/2016_P</t>
  </si>
  <si>
    <t>CONDULETE DE PVC, TIPO B, PARA ELETRODUTO DE PVC SOLDÁVEL DN 20 MM (1/2''), APARENTE - FORNECIMENTO E INSTALAÇÃO. AF_11/2016</t>
  </si>
  <si>
    <t>CONDULETE DE PVC, TIPO B, PARA ELETRODUTO DE PVC SOLDÁVEL DN 25 MM (3/4''), APARENTE - FORNECIMENTO E INSTALAÇÃO. AF_11/2016</t>
  </si>
  <si>
    <t>CONDULETE DE PVC, TIPO B, PARA ELETRODUTO DE PVC SOLDÁVEL DN 32 MM (1''), APARENTE - FORNECIMENTO E INSTALAÇÃO. AF_11/2016</t>
  </si>
  <si>
    <t>CONDULETE DE PVC, TIPO LL, PARA ELETRODUTO DE PVC SOLDÁVEL DN 20 MM (1/2''), APARENTE - FORNECIMENTO E INSTALAÇÃO. AF_11/2016</t>
  </si>
  <si>
    <t>CONDULETE DE PVC, TIPO LL, PARA ELETRODUTO DE PVC SOLDÁVEL DN 25 MM (3/4''), APARENTE - FORNECIMENTO E INSTALAÇÃO. AF_11/2016</t>
  </si>
  <si>
    <t>CONDULETE DE PVC, TIPO LL, PARA ELETRODUTO DE PVC SOLDÁVEL DN 32 MM (1''), APARENTE - FORNECIMENTO E INSTALAÇÃO. AF_11/2016</t>
  </si>
  <si>
    <t>CONDULETE DE PVC, TIPO LB, PARA ELETRODUTO DE PVC SOLDÁVEL DN 20 MM (1/2''), APARENTE - FORNECIMENTO E INSTALAÇÃO. AF_11/2016</t>
  </si>
  <si>
    <t>CONDULETE DE PVC, TIPO LB, PARA ELETRODUTO DE PVC SOLDÁVEL DN 25 MM (3/4''), APARENTE - FORNECIMENTO E INSTALAÇÃO. AF_11/2016</t>
  </si>
  <si>
    <t>CONDULETE DE PVC, TIPO LB, PARA ELETRODUTO DE PVC SOLDÁVEL DN 32 MM (1''), APARENTE - FORNECIMENTO E INSTALAÇÃO. AF_11/2016</t>
  </si>
  <si>
    <t>CONDULETE DE PVC, TIPO TB, PARA ELETRODUTO DE PVC SOLDÁVEL DN 20 MM (1/2''), APARENTE - FORNECIMENTO E INSTALAÇÃO. AF_11/2016</t>
  </si>
  <si>
    <t>CONDULETE DE PVC, TIPO TB, PARA ELETRODUTO DE PVC SOLDÁVEL DN 25 MM (3/4''), APARENTE - FORNECIMENTO E INSTALAÇÃO. AF_11/2016</t>
  </si>
  <si>
    <t>CONDULETE DE PVC, TIPO TB, PARA ELETRODUTO DE PVC SOLDÁVEL DN 32 MM (1''), APARENTE - FORNECIMENTO E INSTALAÇÃO. AF_11/2016</t>
  </si>
  <si>
    <t>CONDULETE DE PVC, TIPO X, PARA ELETRODUTO DE PVC SOLDÁVEL DN 20 MM (1/2''), APARENTE - FORNECIMENTO E INSTALAÇÃO. AF_11/2016</t>
  </si>
  <si>
    <t>CONDULETE DE PVC, TIPO X, PARA ELETRODUTO DE PVC SOLDÁVEL DN 25 MM (3/4''), APARENTE - FORNECIMENTO E INSTALAÇÃO. AF_11/2016</t>
  </si>
  <si>
    <t>CONDULETE DE PVC, TIPO X, PARA ELETRODUTO DE PVC SOLDÁVEL DN 32 MM (1''), APARENTE - FORNECIMENTO E INSTALAÇÃO. AF_11/2016</t>
  </si>
  <si>
    <t>CAIXA OCTOGONAL 4" X 4", PVC, INSTALADA EM LAJE - FORNECIMENTO E INSTALAÇÃO. AF_12/2015</t>
  </si>
  <si>
    <t>CAIXA OCTOGONAL 3" X 3", PVC, INSTALADA EM LAJE - FORNECIMENTO E INSTALAÇÃO. AF_12/2015</t>
  </si>
  <si>
    <t>CAIXA RETANGULAR 4" X 2" ALTA (2,00 M DO PISO), PVC, INSTALADA EM PAREDE - FORNECIMENTO E INSTALAÇÃO. AF_12/2015</t>
  </si>
  <si>
    <t>CAIXA RETANGULAR 4" X 2" MÉDIA (1,30 M DO PISO), PVC, INSTALADA EM PAREDE - FORNECIMENTO E INSTALAÇÃO. AF_12/2015</t>
  </si>
  <si>
    <t>CAIXA RETANGULAR 4" X 2" BAIXA (0,30 M DO PISO), PVC, INSTALADA EM PAREDE - FORNECIMENTO E INSTALAÇÃO. AF_12/2015</t>
  </si>
  <si>
    <t>CAIXA RETANGULAR 4" X 4" ALTA (2,00 M DO PISO), PVC, INSTALADA EM PAREDE - FORNECIMENTO E INSTALAÇÃO. AF_12/2015</t>
  </si>
  <si>
    <t>CAIXA RETANGULAR 4" X 4" MÉDIA (1,30 M DO PISO), PVC, INSTALADA EM PAREDE - FORNECIMENTO E INSTALAÇÃO. AF_12/2015</t>
  </si>
  <si>
    <t>CAIXA RETANGULAR 4" X 4" BAIXA (0,30 M DO PISO), PVC, INSTALADA EM PAREDE - FORNECIMENTO E INSTALAÇÃO. AF_12/2015</t>
  </si>
  <si>
    <t>CAIXA OCTOGONAL 4" X 4", METÁLICA, INSTALADA EM LAJE - FORNECIMENTO E INSTALAÇÃO. AF_12/2015</t>
  </si>
  <si>
    <t>CAIXA SEXTAVADA 3" X 3", METÁLICA, INSTALADA EM LAJE - FORNECIMENTO E INSTALAÇÃO. AF_12/2015</t>
  </si>
  <si>
    <t>CAIXA RETANGULAR 4" X 2" ALTA (2,00 M DO PISO), METÁLICA, INSTALADA EM PAREDE - FORNECIMENTO E INSTALAÇÃO. AF_12/2015</t>
  </si>
  <si>
    <t>CAIXA RETANGULAR 4" X 2" MÉDIA (1,30 M DO PISO), METÁLICA, INSTALADA EM PAREDE - FORNECIMENTO E INSTALAÇÃO. AF_12/2015</t>
  </si>
  <si>
    <t>CAIXA RETANGULAR 4" X 2" BAIXA (0,30 M DO PISO), METÁLICA, INSTALADA EM PAREDE - FORNECIMENTO E INSTALAÇÃO. AF_12/2015</t>
  </si>
  <si>
    <t>CAIXA RETANGULAR 4" X 4" ALTA (2,00 M DO PISO), METÁLICA, INSTALADA EM PAREDE - FORNECIMENTO E INSTALAÇÃO. AF_12/2015</t>
  </si>
  <si>
    <t>CAIXA RETANGULAR 4" X 4" MÉDIA (1,30 M DO PISO), METÁLICA, INSTALADA EM PAREDE - FORNECIMENTO E INSTALAÇÃO. AF_12/2015</t>
  </si>
  <si>
    <t>CAIXA RETANGULAR 4" X 4" BAIXA (0,30 M DO PISO), METÁLICA, INSTALADA EM PAREDE - FORNECIMENTO E INSTALAÇÃO. AF_12/2015</t>
  </si>
  <si>
    <t>CAIXA ENTERRADA ELÉTRICA RETANGULAR, EM ALVENARIA COM TIJOLOS CERÂMICOS MACIÇOS, FUNDO COM BRITA, DIMENSÕES INTERNAS: 0,3X0,3X0,3 M. AF_12/2020</t>
  </si>
  <si>
    <t>CAIXA ENTERRADA ELÉTRICA RETANGULAR, EM ALVENARIA COM TIJOLOS CERÂMICOS MACIÇOS, FUNDO COM BRITA, DIMENSÕES INTERNAS: 0,4X0,4X0,4 M. AF_12/2020</t>
  </si>
  <si>
    <t>CAIXA ENTERRADA ELÉTRICA RETANGULAR, EM ALVENARIA COM TIJOLOS CERÂMICOS MACIÇOS, FUNDO COM BRITA, DIMENSÕES INTERNAS: 0,6X0,6X0,6 M. AF_12/2020</t>
  </si>
  <si>
    <t>CAIXA ENTERRADA ELÉTRICA RETANGULAR, EM ALVENARIA COM TIJOLOS CERÂMICOS MACIÇOS, FUNDO COM BRITA, DIMENSÕES INTERNAS: 0,8X0,8X0,6 M. AF_12/2020</t>
  </si>
  <si>
    <t>CAIXA ENTERRADA ELÉTRICA RETANGULAR, EM ALVENARIA COM TIJOLOS CERÂMICOS MACIÇOS, FUNDO COM BRITA, DIMENSÕES INTERNAS: 1X1X0,6 M. AF_12/2020</t>
  </si>
  <si>
    <t>CAIXA COM GRELHA SIMPLES RETANGULAR, EM CONCRETO PRÉ-MOLDADO, DIMENSÕES INTERNAS: 0,6X1,0X1,0 M. AF_12/2020</t>
  </si>
  <si>
    <t>CAIXA COM GRELHA SIMPLES RETANGULAR, EM ALVENARIA COM TIJOLOS CERÂMICOS MACIÇOS, DIMENSÕES INTERNAS: 0,5X1X1 M. AF_12/2020</t>
  </si>
  <si>
    <t>CAIXA COM GRELHA DUPLA RETANGULAR, EM ALVENARIA COM TIJOLOS CERÂMICOS MACIÇOS, DIMENSÕES INTERNAS: 0,5X2,2X1 M. AF_12/2020</t>
  </si>
  <si>
    <t>CAIXA COM GRELHA SIMPLES RETANGULAR, EM ALVENARIA COM BLOCOS DE CONCRETO, DIMENSÕES INTERNAS: 0,5X1X1 M. AF_12/2020</t>
  </si>
  <si>
    <t>CAIXA COM GRELHA DUPLA RETANGULAR, EM ALVENARIA COM BLOCOS DE CONCRETO, DIMENSÕES INTERNAS: 0,5X2,2X1 M. AF_12/2020</t>
  </si>
  <si>
    <t>CAIXA ENTERRADA ELÉTRICA RETANGULAR, EM ALVENARIA COM BLOCOS DE CONCRETO, FUNDO COM BRITA, DIMENSÕES INTERNAS: 0,4X0,4X0,4 M. AF_12/2020</t>
  </si>
  <si>
    <t>CAIXA ENTERRADA ELÉTRICA RETANGULAR, EM ALVENARIA COM BLOCOS DE CONCRETO, FUNDO COM BRITA, DIMENSÕES INTERNAS: 0,6X0,6X0,6 M. AF_12/2020</t>
  </si>
  <si>
    <t>CAIXA ENTERRADA ELÉTRICA RETANGULAR, EM ALVENARIA COM BLOCOS DE CONCRETO, FUNDO COM BRITA, DIMENSÕES INTERNAS: 0,8X0,8X0,6 M. AF_12/2020</t>
  </si>
  <si>
    <t>CAIXA ENTERRADA ELÉTRICA RETANGULAR, EM ALVENARIA COM BLOCOS DE CONCRETO, FUNDO COM BRITA, DIMENSÕES INTERNAS: 1X1X0,6 M. AF_12/2020</t>
  </si>
  <si>
    <t>CAIXA ENTERRADA ELÉTRICA RETANGULAR, EM CONCRETO PRÉ-MOLDADO, FUNDO COM BRITA, DIMENSÕES INTERNAS: 0,3X0,3X0,3 M. AF_12/2020</t>
  </si>
  <si>
    <t>CAIXA ENTERRADA ELÉTRICA RETANGULAR, EM CONCRETO PRÉ-MOLDADO, FUNDO COM BRITA, DIMENSÕES INTERNAS: 0,4X0,4X0,4 M. AF_12/2020</t>
  </si>
  <si>
    <t>CAIXA ENTERRADA ELÉTRICA RETANGULAR, EM CONCRETO PRÉ-MOLDADO, FUNDO COM BRITA, DIMENSÕES INTERNAS: 0,6X0,6X0,5 M. AF_12/2020</t>
  </si>
  <si>
    <t>CAIXA ENTERRADA ELÉTRICA RETANGULAR, EM CONCRETO PRÉ-MOLDADO, FUNDO COM BRITA, DIMENSÕES INTERNAS: 0,8X0,8X0,5 M. AF_12/2020</t>
  </si>
  <si>
    <t>CAIXA ENTERRADA ELÉTRICA RETANGULAR, EM CONCRETO PRÉ-MOLDADO, FUNDO COM BRITA, DIMENSÕES INTERNAS: 1X1X0,5 M. AF_12/2020</t>
  </si>
  <si>
    <t>SUPORTE PARAFUSADO COM PLACA DE ENCAIXE 4" X 2" ALTO (2,00 M DO PISO) PARA PONTO ELÉTRICO - FORNECIMENTO E INSTALAÇÃO. AF_12/2015</t>
  </si>
  <si>
    <t>SUPORTE PARAFUSADO COM PLACA DE ENCAIXE 4" X 2" MÉDIO (1,30 M DO PISO) PARA PONTO ELÉTRICO - FORNECIMENTO E INSTALAÇÃO. AF_12/2015</t>
  </si>
  <si>
    <t>SUPORTE PARAFUSADO COM PLACA DE ENCAIXE 4" X 2" BAIXO (0,30 M DO PISO) PARA PONTO ELÉTRICO - FORNECIMENTO E INSTALAÇÃO. AF_12/2015</t>
  </si>
  <si>
    <t>SUPORTE PARAFUSADO COM PLACA DE ENCAIXE 4" X 4" ALTO (2,00 M DO PISO) PARA PONTO ELÉTRICO - FORNECIMENTO E INSTALAÇÃO. AF_12/2015</t>
  </si>
  <si>
    <t>SUPORTE PARAFUSADO COM PLACA DE ENCAIXE 4" X 4" MÉDIO (1,30 M DO PISO) PARA PONTO ELÉTRICO - FORNECIMENTO E INSTALAÇÃO. AF_12/2015</t>
  </si>
  <si>
    <t>SUPORTE PARAFUSADO COM PLACA DE ENCAIXE 4" X 4" BAIXO (0,30 M DO PISO) PARA PONTO ELÉTRICO - FORNECIMENTO E INSTALAÇÃO. AF_12/2015</t>
  </si>
  <si>
    <t>QUADRO DE MEDIÇÃO GERAL DE ENERGIA PARA 1 MEDIDOR DE SOBREPOR - FORNECIMENTO E INSTALAÇÃO. AF_10/2020</t>
  </si>
  <si>
    <t>QUADRO DE MEDIÇÃO GERAL DE ENERGIA PARA BARRAMENTO BLINDADO COM 4 MEDIDORES - FORNECIMENTO E INSTALAÇÃO. AF_10/2020</t>
  </si>
  <si>
    <t>QUADRO DE MEDIÇÃO GERAL DE ENERGIA COM 8 MEDIDORES - FORNECIMENTO E INSTALAÇÃO. AF_10/2020</t>
  </si>
  <si>
    <t>QUADRO DE MEDIÇÃO GERAL DE ENERGIA COM 12 MEDIDORES - FORNECIMENTO E INSTALAÇÃO. AF_10/2020</t>
  </si>
  <si>
    <t>QUADRO DE MEDIÇÃO GERAL DE ENERGIA COM 16 MEDIDORES - FORNECIMENTO E INSTALAÇÃO. AF_10/2020</t>
  </si>
  <si>
    <t>QUADRO DE DISTRIBUIÇÃO DE ENERGIA EM CHAPA DE AÇO GALVANIZADO, DE EMBUTIR, COM BARRAMENTO TRIFÁSICO, PARA 12 DISJUNTORES DIN 100A - FORNECIMENTO E INSTALAÇÃO. AF_10/2020</t>
  </si>
  <si>
    <t>QUADRO DE DISTRIBUIÇÃO DE ENERGIA EM PVC, DE EMBUTIR, SEM BARRAMENTO, PARA 6 DISJUNTORES - FORNECIMENTO E INSTALAÇÃO. AF_10/2020</t>
  </si>
  <si>
    <t>QUADRO DE DISTRIBUIÇÃO DE ENERGIA EM PVC, DE EMBUTIR, SEM BARRAMENTO, PARA 3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</si>
  <si>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</si>
  <si>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DE ENERGIA EM CHAPA DE AÇO GALVANIZADO, DE EMBUTIR, COM BARRAMENTO TRIFÁSICO, PARA 24 DISJUNTORES DIN 100A - FORNECIMENTO E INSTALAÇÃO. AF_10/2020</t>
  </si>
  <si>
    <t>QUADRO DE DISTRIBUIÇÃO DE ENERGIA EM CHAPA DE AÇO GALVANIZADO, DE EMBUTIR, COM BARRAMENTO TRIFÁSICO, PARA 30 DISJUNTORES DIN 150A - FORNECIMENTO E INSTALAÇÃO. AF_10/2020</t>
  </si>
  <si>
    <t>QUADRO DE DISTRIBUIÇÃO DE ENERGIA EM CHAPA DE AÇO GALVANIZADO, DE EMBUTIR, COM BARRAMENTO TRIFÁSICO, PARA 40 DISJUNTORES DIN 100A - FORNECIMENTO E INSTALAÇÃO. AF_10/2020</t>
  </si>
  <si>
    <t>QUADRO DE DISTRIBUIÇÃO DE ENERGIA EM CHAPA DE AÇO GALVANIZADO, DE EMBUTIR, COM BARRAMENTO TRIFÁSICO, PARA 30 DISJUNTORES DIN 225A - FORNECIMENTO E INSTALAÇÃO. AF_10/2020</t>
  </si>
  <si>
    <t>QUADRO DE DISTRIBUIÇÃO DE ENERGIA EM CHAPA DE AÇO GALVANIZADO, DE EMBUTIR, COM BARRAMENTO TRIFÁSICO, PARA 18 DISJUNTORES DIN 100A - FORNECIMENTO E INSTALAÇÃO. AF_10/2020</t>
  </si>
  <si>
    <t>CONTATOR TRIPOLAR I NOMINAL 12A - FORNECIMENTO E INSTALAÇÃO. AF_10/2020</t>
  </si>
  <si>
    <t>CONTATOR TRIPOLAR I NOMINAL 22A - FORNECIMENTO E INSTALAÇÃO. AF_10/2020</t>
  </si>
  <si>
    <t>CONTATOR TRIPOLAR I NOMINAL 38A - FORNECIMENTO E INSTALAÇÃO. AF_10/2020</t>
  </si>
  <si>
    <t>CONTATOR TRIPOLAR I NOMIMAL 95A - FORNECIMENTO E INSTALAÇÃO. AF_10/2020</t>
  </si>
  <si>
    <t>DISJUNTOR MONOPOLAR TIPO DIN, CORRENTE NOMINAL DE 10A - FORNECIMENTO E INSTALAÇÃO. AF_10/2020</t>
  </si>
  <si>
    <t>DISJUNTOR MONOPOLAR TIPO DIN, CORRENTE NOMINAL DE 16A - FORNECIMENTO E INSTALAÇÃO. AF_10/2020</t>
  </si>
  <si>
    <t>DISJUNTOR MONOPOLAR TIPO DIN, CORRENTE NOMINAL DE 20A - FORNECIMENTO E INSTALAÇÃO. AF_10/2020</t>
  </si>
  <si>
    <t>DISJUNTOR MONOPOLAR TIPO DIN, CORRENTE NOMINAL DE 25A - FORNECIMENTO E INSTALAÇÃO. AF_10/2020</t>
  </si>
  <si>
    <t>DISJUNTOR MONOPOLAR TIPO DIN, CORRENTE NOMINAL DE 32A - FORNECIMENTO E INSTALAÇÃO. AF_10/2020</t>
  </si>
  <si>
    <t>DISJUNTOR MONOPOLAR TIPO DIN, CORRENTE NOMINAL DE 40A - FORNECIMENTO E INSTALAÇÃO. AF_10/2020</t>
  </si>
  <si>
    <t>DISJUNTOR MONOPOLAR TIPO DIN, CORRENTE NOMINAL DE 50A - FORNECIMENTO E INSTALAÇÃO. AF_10/2020</t>
  </si>
  <si>
    <t>DISJUNTOR MONOPOLAR TIPO NEMA, CORRENTE NOMINAL DE 10 ATÉ 30A - FORNECIMENTO E INSTALAÇÃO. AF_10/2020</t>
  </si>
  <si>
    <t>DISJUNTOR MONOPOLAR TIPO NEMA, CORRENTE NOMINAL DE 35 ATÉ 50A - FORNECIMENTO E INSTALAÇÃO. AF_10/2020</t>
  </si>
  <si>
    <t>DISJUNTOR BIPOLAR TIPO DIN, CORRENTE NOMINAL DE 10A - FORNECIMENTO E INSTALAÇÃO. AF_10/2020</t>
  </si>
  <si>
    <t>DISJUNTOR BIPOLAR TIPO DIN, CORRENTE NOMINAL DE 16A - FORNECIMENTO E INSTALAÇÃO. AF_10/2020</t>
  </si>
  <si>
    <t>DISJUNTOR BIPOLAR TIPO DIN, CORRENTE NOMINAL DE 20A - FORNECIMENTO E INSTALAÇÃO. AF_10/2020</t>
  </si>
  <si>
    <t>DISJUNTOR BIPOLAR TIPO DIN, CORRENTE NOMINAL DE 25A - FORNECIMENTO E INSTALAÇÃO. AF_10/2020</t>
  </si>
  <si>
    <t>DISJUNTOR BIPOLAR TIPO DIN, CORRENTE NOMINAL DE 32A - FORNECIMENTO E INSTALAÇÃO. AF_10/2020</t>
  </si>
  <si>
    <t>DISJUNTOR BIPOLAR TIPO DIN, CORRENTE NOMINAL DE 40A - FORNECIMENTO E INSTALAÇÃO. AF_10/2020</t>
  </si>
  <si>
    <t>DISJUNTOR BIPOLAR TIPO DIN, CORRENTE NOMINAL DE 50A - FORNECIMENTO E INSTALAÇÃO. AF_10/2020</t>
  </si>
  <si>
    <t>DISJUNTOR BIPOLAR TIPO NEMA, CORRENTE NOMINAL DE 10 ATÉ 50A - FORNECIMENTO E INSTALAÇÃO. AF_10/2020</t>
  </si>
  <si>
    <t>DISJUNTOR TRIPOLAR TIPO DIN, CORRENTE NOMINAL DE 10A - FORNECIMENTO E INSTALAÇÃO. AF_10/2020</t>
  </si>
  <si>
    <t>DISJUNTOR TRIPOLAR TIPO DIN, CORRENTE NOMINAL DE 16A - FORNECIMENTO E INSTALAÇÃO. AF_10/2020</t>
  </si>
  <si>
    <t>DISJUNTOR TRIPOLAR TIPO DIN, CORRENTE NOMINAL DE 20A - FORNECIMENTO E INSTALAÇÃO. AF_10/2020</t>
  </si>
  <si>
    <t>DISJUNTOR TRIPOLAR TIPO DIN, CORRENTE NOMINAL DE 25A - FORNECIMENTO E INSTALAÇÃO. AF_10/2020</t>
  </si>
  <si>
    <t>DISJUNTOR TRIPOLAR TIPO DIN, CORRENTE NOMINAL DE 32A - FORNECIMENTO E INSTALAÇÃO. AF_10/2020</t>
  </si>
  <si>
    <t>DISJUNTOR TRIPOLAR TIPO DIN, CORRENTE NOMINAL DE 40A - FORNECIMENTO E INSTALAÇÃO. AF_10/2020</t>
  </si>
  <si>
    <t>DISJUNTOR TRIPOLAR TIPO DIN, CORRENTE NOMINAL DE 50A - FORNECIMENTO E INSTALAÇÃO. AF_10/2020</t>
  </si>
  <si>
    <t>DISJUNTOR TRIPOLAR TIPO NEMA, CORRENTE NOMINAL DE 10 ATÉ 50A - FORNECIMENTO E INSTALAÇÃO. AF_10/2020</t>
  </si>
  <si>
    <t>DISJUNTOR TRIPOLAR TIPO NEMA, CORRENTE NOMINAL DE 60 ATÉ 100A - FORNECIMENTO E INSTALAÇÃO. AF_10/2020</t>
  </si>
  <si>
    <t>ABRAÇADEIRA DE FIXAÇÃO DE BRAÇOS DE LUMINÁRIAS DE 2" - FORNECIMENTO E INSTALAÇÃO. AF_08/2020</t>
  </si>
  <si>
    <t>ABRAÇADEIRA DE FIXAÇÃO DE BRAÇOS DE LUMINÁRIAS DE 3" - FORNECIMENTO E INSTALAÇÃO. AF_08/2020</t>
  </si>
  <si>
    <t>ABRAÇADEIRA DE FIXAÇÃO DE BRAÇOS DE LUMINÁRIAS DE 4" - FORNECIMENTO E INSTALAÇÃO. AF_08/2020</t>
  </si>
  <si>
    <t>DISJUNTOR TERMOMAGNÉTICO TRIPOLAR , CORRENTE NOMINAL DE 125A - FORNECIMENTO E INSTALAÇÃO. AF_10/2020</t>
  </si>
  <si>
    <t>DISJUNTOR TERMOMAGNÉTICO TRIPOLAR , CORRENTE NOMINAL DE 200A - FORNECIMENTO E INSTALAÇÃO. AF_10/2020</t>
  </si>
  <si>
    <t>DISJUNTOR TERMOMAGNÉTICO TRIPOLAR , CORRENTE NOMINAL DE 250A - FORNECIMENTO E INSTALAÇÃO. AF_10/2020</t>
  </si>
  <si>
    <t>DISJUNTOR TERMOMAGNÉTICO TRIPOLAR , CORRENTE NOMINAL DE 400A - FORNECIMENTO E INSTALAÇÃO. AF_10/2020</t>
  </si>
  <si>
    <t>DISJUNTOR TERMOMAGNÉTICO TRIPOLAR , CORRENTE NOMINAL DE 600A - FORNECIMENTO E INSTALAÇÃO. AF_10/2020</t>
  </si>
  <si>
    <t>DISJUNTOR BAIXA TENSÃO TRIPOLAR A SECO  800A/600V - FORNECIMENTO E INSTALAÇÃO. AF_10/2020</t>
  </si>
  <si>
    <t>INTERRUPTOR SIMPLES (1 MÓDULO), 10A/250V, SEM SUPORTE E SEM PLACA - FORNECIMENTO E INSTALAÇÃO. AF_12/2015</t>
  </si>
  <si>
    <t>INTERRUPTOR SIMPLES (1 MÓDULO), 10A/250V, INCLUINDO SUPORTE E PLACA - FORNECIMENTO E INSTALAÇÃO. AF_12/2015</t>
  </si>
  <si>
    <t>INTERRUPTOR SIMPLES (1 MÓDULO) COM INTERRUPTOR PARALELO (1 MÓDULO), 10A/250V, SEM SUPORTE E SEM PLACA - FORNECIMENTO E INSTALAÇÃO. AF_12/2015</t>
  </si>
  <si>
    <t>INTERRUPTOR SIMPLES (1 MÓDULO) COM INTERRUPTOR PARALELO (1 MÓDULO), 10A/250V, INCLUINDO SUPORTE E PLACA - FORNECIMENTO E INSTALAÇÃO. AF_12/2015</t>
  </si>
  <si>
    <t>INTERRUPTOR SIMPLES (2 MÓDULOS), 10A/250V, SEM SUPORTE E SEM PLACA - FORNECIMENTO E INSTALAÇÃO. AF_12/2015</t>
  </si>
  <si>
    <t>INTERRUPTOR SIMPLES (2 MÓDULOS), 10A/250V, INCLUINDO SUPORTE E PLACA - FORNECIMENTO E INSTALAÇÃO. AF_12/2015</t>
  </si>
  <si>
    <t>INTERRUPTOR SIMPLES (1 MÓDULO) COM INTERRUPTOR PARALELO (2 MÓDULOS), 10A/250V, SEM SUPORTE E SEM PLACA - FORNECIMENTO E INSTALAÇÃO. AF_12/2015</t>
  </si>
  <si>
    <t>INTERRUPTOR SIMPLES (1 MÓDULO) COM INTERRUPTOR PARALELO (2 MÓDULOS), 10A/250V, INCLUINDO SUPORTE E PLACA - FORNECIMENTO E INSTALAÇÃO. AF_12/2015</t>
  </si>
  <si>
    <t>INTERRUPTOR SIMPLES (2 MÓDULOS) COM INTERRUPTOR PARALELO (1 MÓDULO), 10A/250V, SEM SUPORTE E SEM PLACA - FORNECIMENTO E INSTALAÇÃO. AF_12/2015</t>
  </si>
  <si>
    <t>INTERRUPTOR SIMPLES (2 MÓDULOS) COM INTERRUPTOR PARALELO (1 MÓDULO), 10A/250V, INCLUINDO SUPORTE E PLACA - FORNECIMENTO E INSTALAÇÃO. AF_12/2015</t>
  </si>
  <si>
    <t>INTERRUPTOR SIMPLES (3 MÓDULOS), 10A/250V, SEM SUPORTE E SEM PLACA - FORNECIMENTO E INSTALAÇÃO. AF_12/2015</t>
  </si>
  <si>
    <t>INTERRUPTOR SIMPLES (3 MÓDULOS), 10A/250V, INCLUINDO SUPORTE E PLACA - FORNECIMENTO E INSTALAÇÃO. AF_12/2015</t>
  </si>
  <si>
    <t>INTERRUPTOR SIMPLES (3 MÓDULOS) COM INTERRUPTOR PARALELO (1 MÓDULO), 10A/250V, SEM SUPORTE E SEM PLACA - FORNECIMENTO E INSTALAÇÃO. AF_12/2015</t>
  </si>
  <si>
    <t>INTERRUPTOR SIMPLES (3 MÓDULOS) COM INTERRUPTOR PARALELO (1 MÓDULO), 10A/250V, INCLUINDO SUPORTE E PLACA - FORNECIMENTO E INSTALAÇÃO. AF_12/2015</t>
  </si>
  <si>
    <t>INTERRUPTOR SIMPLES (2 MÓDULOS) COM INTERRUPTOR PARALELO (2 MÓDULOS), 10A/250V, SEM SUPORTE E SEM PLACA - FORNECIMENTO E INSTALAÇÃO. AF_12/2015</t>
  </si>
  <si>
    <t>INTERRUPTOR SIMPLES (2 MÓDULOS) COM INTERRUPTOR PARALELO (2 MÓDULOS), 10A/250V, INCLUINDO SUPORTE E PLACA - FORNECIMENTO E INSTALAÇÃO. AF_12/2015</t>
  </si>
  <si>
    <t>INTERRUPTOR SIMPLES (4 MÓDULOS), 10A/250V, SEM SUPORTE E SEM PLACA - FORNECIMENTO E INSTALAÇÃO. AF_12/2015</t>
  </si>
  <si>
    <t>INTERRUPTOR SIMPLES (4 MÓDULOS), 10A/250V, INCLUINDO SUPORTE E PLACA - FORNECIMENTO E INSTALAÇÃO. AF_12/2015</t>
  </si>
  <si>
    <t>INTERRUPTOR SIMPLES (6 MÓDULOS), 10A/250V, SEM SUPORTE E SEM PLACA - FORNECIMENTO E INSTALAÇÃO. AF_12/2015</t>
  </si>
  <si>
    <t>INTERRUPTOR SIMPLES (6 MÓDULOS), 10A/250V, INCLUINDO SUPORTE E PLACA - FORNECIMENTO E INSTALAÇÃO. AF_12/2015</t>
  </si>
  <si>
    <t>INTERRUPTOR SIMPLES (1 MÓDULO) COM 1 TOMADA DE EMBUTIR 2P+T 10 A,  SEM SUPORTE E SEM PLACA - FORNECIMENTO E INSTALAÇÃO. AF_12/2015</t>
  </si>
  <si>
    <t>INTERRUPTOR SIMPLES (1 MÓDULO) COM 1 TOMADA DE EMBUTIR 2P+T 10 A,  INCLUINDO SUPORTE E PLACA - FORNECIMENTO E INSTALAÇÃO. AF_12/2015</t>
  </si>
  <si>
    <t>INTERRUPTOR SIMPLES (1 MÓDULO) COM 2 TOMADAS DE EMBUTIR 2P+T 10 A,  SEM SUPORTE E SEM PLACA - FORNECIMENTO E INSTALAÇÃO. AF_12/2015</t>
  </si>
  <si>
    <t>INTERRUPTOR SIMPLES (1 MÓDULO) COM 2 TOMADAS DE EMBUTIR 2P+T 10 A,  INCLUINDO SUPORTE E PLACA - FORNECIMENTO E INSTALAÇÃO. AF_12/2015</t>
  </si>
  <si>
    <t>INTERRUPTOR SIMPLES (2 MÓDULOS) COM 1 TOMADA DE EMBUTIR 2P+T 10 A,  SEM SUPORTE E SEM PLACA - FORNECIMENTO E INSTALAÇÃO. AF_12/2015</t>
  </si>
  <si>
    <t>INTERRUPTOR SIMPLES (2 MÓDULOS) COM 1 TOMADA DE EMBUTIR 2P+T 10 A,  INCLUINDO SUPORTE E PLACA - FORNECIMENTO E INSTALAÇÃO. AF_12/2015</t>
  </si>
  <si>
    <t>INTERRUPTOR SIMPLES (1 MÓDULO), INTERRUPTOR PARALELO (1 MÓDULO) E 1 TOMADA DE EMBUTIR 2P+T 10 A,  SEM SUPORTE E SEM PLACA - FORNECIMENTO E INSTALAÇÃO. AF_12/2015</t>
  </si>
  <si>
    <t>INTERRUPTOR SIMPLES (1 MÓDULO), INTERRUPTOR PARALELO (1 MÓDULO) E 1 TOMADA DE EMBUTIR 2P+T 10 A,  INCLUINDO SUPORTE E PLACA - FORNECIMENTO E INSTALAÇÃO. AF_12/2015</t>
  </si>
  <si>
    <t>INTERRUPTOR PARALELO (1 MÓDULO), 10A/250V, SEM SUPORTE E SEM PLACA - FORNECIMENTO E INSTALAÇÃO. AF_12/2015</t>
  </si>
  <si>
    <t>INTERRUPTOR PARALELO (1 MÓDULO), 10A/250V, INCLUINDO SUPORTE E PLACA - FORNECIMENTO E INSTALAÇÃO. AF_12/2015</t>
  </si>
  <si>
    <t>INTERRUPTOR PARALELO (2 MÓDULOS), 10A/250V, SEM SUPORTE E SEM PLACA - FORNECIMENTO E INSTALAÇÃO. AF_12/2015</t>
  </si>
  <si>
    <t>INTERRUPTOR PARALELO (2 MÓDULOS), 10A/250V, INCLUINDO SUPORTE E PLACA - FORNECIMENTO E INSTALAÇÃO. AF_12/2015</t>
  </si>
  <si>
    <t>INTERRUPTOR PARALELO (3 MÓDULOS), 10A/250V, SEM SUPORTE E SEM PLACA - FORNECIMENTO E INSTALAÇÃO. AF_12/2015</t>
  </si>
  <si>
    <t>INTERRUPTOR PARALELO (3 MÓDULOS), 10A/250V, INCLUINDO SUPORTE E PLACA - FORNECIMENTO E INSTALAÇÃO. AF_12/2015</t>
  </si>
  <si>
    <t>INTERRUPTOR PARALELO (1 MÓDULO) COM 1 TOMADA DE EMBUTIR 2P+T 10 A,  SEM SUPORTE E SEM PLACA - FORNECIMENTO E INSTALAÇÃO. AF_12/2015</t>
  </si>
  <si>
    <t>INTERRUPTOR PARALELO (1 MÓDULO) COM 1 TOMADA DE EMBUTIR 2P+T 10 A,  INCLUINDO SUPORTE E PLACA - FORNECIMENTO E INSTALAÇÃO. AF_12/2015</t>
  </si>
  <si>
    <t>INTERRUPTOR PARALELO (1 MÓDULO) COM 2 TOMADAS DE EMBUTIR 2P+T 10 A,  SEM SUPORTE E SEM PLACA - FORNECIMENTO E INSTALAÇÃO. AF_12/2015</t>
  </si>
  <si>
    <t>INTERRUPTOR PARALELO (1 MÓDULO) COM 2 TOMADAS DE EMBUTIR 2P+T 10 A,  INCLUINDO SUPORTE E PLACA - FORNECIMENTO E INSTALAÇÃO. AF_12/2015</t>
  </si>
  <si>
    <t>INTERRUPTOR PARALELO (2 MÓDULOS) COM 1 TOMADA DE EMBUTIR 2P+T 10 A,  SEM SUPORTE E SEM PLACA - FORNECIMENTO E INSTALAÇÃO. AF_12/2015</t>
  </si>
  <si>
    <t>INTERRUPTOR PARALELO (2 MÓDULOS) COM 1 TOMADA DE EMBUTIR 2P+T 10 A,  INCLUINDO SUPORTE E PLACA - FORNECIMENTO E INSTALAÇÃO. AF_12/2015</t>
  </si>
  <si>
    <t>INTERRUPTOR INTERMEDIÁRIO (1 MÓDULO), 10A/250V, SEM SUPORTE E SEM PLACA - FORNECIMENTO E INSTALAÇÃO. AF_09/2017</t>
  </si>
  <si>
    <t>INTERRUPTOR INTERMEDIÁRIO (1 MÓDULO), 10A/250V, INCLUINDO SUPORTE E PLACA - FORNECIMENTO E INSTALAÇÃO. AF_09/2017</t>
  </si>
  <si>
    <t>INTERRUPTOR BIPOLAR (1 MÓDULO), 10A/250V, SEM SUPORTE E SEM PLACA - FORNECIMENTO E INSTALAÇÃO. AF_09/2017</t>
  </si>
  <si>
    <t>INTERRUPTOR BIPOLAR (1 MÓDULO), 10A/250V, INCLUINDO SUPORTE E PLACA - FORNECIMENTO E INSTALAÇÃO. AF_09/2017</t>
  </si>
  <si>
    <t>DIMMER ROTATIVO (1 MÓDULO), 220V/600W, SEM SUPORTE E SEM PLACA - FORNECIMENTO E INSTALAÇÃO. AF_09/2017</t>
  </si>
  <si>
    <t>DIMMER ROTATIVO (1 MÓDULO), 220V/600W, INCLUINDO SUPORTE E PLACA - FORNECIMENTO E INSTALAÇÃO. AF_09/2017</t>
  </si>
  <si>
    <t>INTERRUPTOR PULSADOR CAMPAINHA (1 MÓDULO), 10A/250V, SEM SUPORTE E SEM PLACA - FORNECIMENTO E INSTALAÇÃO. AF_09/2017</t>
  </si>
  <si>
    <t>INTERRUPTOR PULSADOR CAMPAINHA (1 MÓDULO), 10A/250V, INCLUINDO SUPORTE E PLACA - FORNECIMENTO E INSTALAÇÃO. AF_09/2017</t>
  </si>
  <si>
    <t>CAMPAINHA CIGARRA (1 MÓDULO), 10A/250V, SEM SUPORTE E SEM PLACA - FORNECIMENTO E INSTALAÇÃO. AF_09/2017</t>
  </si>
  <si>
    <t>CAMPAINHA CIGARRA (1 MÓDULO), 10A/250V, INCLUINDO SUPORTE E PLACA - FORNECIMENTO E INSTALAÇÃO. AF_09/2017</t>
  </si>
  <si>
    <t>INTERRUPTOR PULSADOR MINUTERIA (1 MÓDULO), 10A/250V, SEM SUPORTE E SEM PLACA - FORNECIMENTO E INSTALAÇÃO. AF_09/2017</t>
  </si>
  <si>
    <t>INTERRUPTOR PULSADOR MINUTERIA (1 MÓDULO), 10A/250V, INCLUINDO SUPORTE E PLACA - FORNECIMENTO E INSTALAÇÃO. AF_09/2017</t>
  </si>
  <si>
    <t>TOMADA ALTA DE EMBUTIR (1 MÓDULO), 2P+T 10 A, SEM SUPORTE E SEM PLACA - FORNECIMENTO E INSTALAÇÃO. AF_12/2015</t>
  </si>
  <si>
    <t>TOMADA ALTA DE EMBUTIR (1 MÓDULO), 2P+T 20 A, SEM SUPORTE E SEM PLACA - FORNECIMENTO E INSTALAÇÃO. AF_12/2015</t>
  </si>
  <si>
    <t>TOMADA ALTA DE EMBUTIR (1 MÓDULO), 2P+T 10 A, INCLUINDO SUPORTE E PLACA - FORNECIMENTO E INSTALAÇÃO. AF_12/2015</t>
  </si>
  <si>
    <t>TOMADA ALTA DE EMBUTIR (1 MÓDULO), 2P+T 20 A, INCLUINDO SUPORTE E PLACA - FORNECIMENTO E INSTALAÇÃO. AF_12/2015</t>
  </si>
  <si>
    <t>TOMADA MÉDIA DE EMBUTIR (1 MÓDULO), 2P+T 10 A, SEM SUPORTE E SEM PLACA - FORNECIMENTO E INSTALAÇÃO. AF_12/2015</t>
  </si>
  <si>
    <t>TOMADA MÉDIA DE EMBUTIR (1 MÓDULO), 2P+T 20 A, SEM SUPORTE E SEM PLACA - FORNECIMENTO E INSTALAÇÃO. AF_12/2015</t>
  </si>
  <si>
    <t>TOMADA MÉDIA DE EMBUTIR (1 MÓDULO), 2P+T 10 A, INCLUINDO SUPORTE E PLACA - FORNECIMENTO E INSTALAÇÃO. AF_12/2015</t>
  </si>
  <si>
    <t>TOMADA MÉDIA DE EMBUTIR (1 MÓDULO), 2P+T 20 A, INCLUINDO SUPORTE E PLACA - FORNECIMENTO E INSTALAÇÃO. AF_12/2015</t>
  </si>
  <si>
    <t>TOMADA BAIXA DE EMBUTIR (1 MÓDULO), 2P+T 10 A, SEM SUPORTE E SEM PLACA - FORNECIMENTO E INSTALAÇÃO. AF_12/2015</t>
  </si>
  <si>
    <t>TOMADA BAIXA DE EMBUTIR (1 MÓDULO), 2P+T 20 A, SEM SUPORTE E SEM PLACA - FORNECIMENTO E INSTALAÇÃO. AF_12/2015</t>
  </si>
  <si>
    <t>TOMADA BAIXA DE EMBUTIR (1 MÓDULO), 2P+T 10 A, INCLUINDO SUPORTE E PLACA - FORNECIMENTO E INSTALAÇÃO. AF_12/2015</t>
  </si>
  <si>
    <t>TOMADA BAIXA DE EMBUTIR (1 MÓDULO), 2P+T 20 A, INCLUINDO SUPORTE E PLACA - FORNECIMENTO E INSTALAÇÃO. AF_12/2015</t>
  </si>
  <si>
    <t>TOMADA MÉDIA DE EMBUTIR (2 MÓDULOS), 2P+T 10 A, SEM SUPORTE E SEM PLACA - FORNECIMENTO E INSTALAÇÃO. AF_12/2015</t>
  </si>
  <si>
    <t>TOMADA MÉDIA DE EMBUTIR (2 MÓDULOS), 2P+T 20 A, SEM SUPORTE E SEM PLACA - FORNECIMENTO E INSTALAÇÃO. AF_12/2015</t>
  </si>
  <si>
    <t>TOMADA MÉDIA DE EMBUTIR (2 MÓDULOS), 2P+T 10 A, INCLUINDO SUPORTE E PLACA - FORNECIMENTO E INSTALAÇÃO. AF_12/2015</t>
  </si>
  <si>
    <t>TOMADA MÉDIA DE EMBUTIR (2 MÓDULOS), 2P+T 20 A, INCLUINDO SUPORTE E PLACA - FORNECIMENTO E INSTALAÇÃO. AF_12/2015</t>
  </si>
  <si>
    <t>TOMADA BAIXA DE EMBUTIR (2 MÓDULOS), 2P+T 10 A, SEM SUPORTE E SEM PLACA - FORNECIMENTO E INSTALAÇÃO. AF_12/2015</t>
  </si>
  <si>
    <t>TOMADA BAIXA DE EMBUTIR (2 MÓDULOS), 2P+T 20 A, SEM SUPORTE E SEM PLACA - FORNECIMENTO E INSTALAÇÃO. AF_12/2015</t>
  </si>
  <si>
    <t>TOMADA BAIXA DE EMBUTIR (2 MÓDULOS), 2P+T 10 A, INCLUINDO SUPORTE E PLACA - FORNECIMENTO E INSTALAÇÃO. AF_12/2015</t>
  </si>
  <si>
    <t>TOMADA BAIXA DE EMBUTIR (2 MÓDULOS), 2P+T 20 A, INCLUINDO SUPORTE E PLACA - FORNECIMENTO E INSTALAÇÃO. AF_12/2015</t>
  </si>
  <si>
    <t>TOMADA MÉDIA DE EMBUTIR (3 MÓDULOS), 2P+T 10 A, SEM SUPORTE E SEM PLACA - FORNECIMENTO E INSTALAÇÃO. AF_12/2015</t>
  </si>
  <si>
    <t>TOMADA MÉDIA DE EMBUTIR (3 MÓDULOS), 2P+T 20 A, SEM SUPORTE E SEM PLACA - FORNECIMENTO E INSTALAÇÃO. AF_12/2015</t>
  </si>
  <si>
    <t>TOMADA MÉDIA DE EMBUTIR (3 MÓDULOS), 2P+T 10 A, INCLUINDO SUPORTE E PLACA - FORNECIMENTO E INSTALAÇÃO. AF_12/2015</t>
  </si>
  <si>
    <t>TOMADA MÉDIA DE EMBUTIR (3 MÓDULOS), 2P+T 20 A, INCLUINDO SUPORTE E PLACA - FORNECIMENTO E INSTALAÇÃO. AF_12/2015</t>
  </si>
  <si>
    <t>TOMADA BAIXA DE EMBUTIR (3 MÓDULOS), 2P+T 10 A, SEM SUPORTE E SEM PLACA - FORNECIMENTO E INSTALAÇÃO. AF_12/2015</t>
  </si>
  <si>
    <t>TOMADA BAIXA DE EMBUTIR (3 MÓDULOS), 2P+T 20 A, SEM SUPORTE E SEM PLACA - FORNECIMENTO E INSTALAÇÃO. AF_12/2015</t>
  </si>
  <si>
    <t>TOMADA BAIXA DE EMBUTIR (3 MÓDULOS), 2P+T 10 A, INCLUINDO SUPORTE E PLACA - FORNECIMENTO E INSTALAÇÃO. AF_12/2015</t>
  </si>
  <si>
    <t>TOMADA BAIXA DE EMBUTIR (3 MÓDULOS), 2P+T 20 A, INCLUINDO SUPORTE E PLACA - FORNECIMENTO E INSTALAÇÃO. AF_12/2015</t>
  </si>
  <si>
    <t>TOMADA BAIXA DE EMBUTIR (4 MÓDULOS), 2P+T 10 A, SEM SUPORTE E SEM PLACA - FORNECIMENTO E INSTALAÇÃO. AF_12/2015</t>
  </si>
  <si>
    <t>TOMADA BAIXA DE EMBUTIR (4 MÓDULOS), 2P+T 10 A, INCLUINDO SUPORTE E PLACA - FORNECIMENTO E INSTALAÇÃO. AF_12/2015</t>
  </si>
  <si>
    <t>TOMADA BAIXA DE EMBUTIR (6 MÓDULOS), 2P+T 10 A, SEM SUPORTE E SEM PLACA - FORNECIMENTO E INSTALAÇÃO. AF_12/2015</t>
  </si>
  <si>
    <t>TOMADA BAIXA DE EMBUTIR (6 MÓDULOS), 2P+T 10 A, INCLUINDO SUPORTE E PLACA - FORNECIMENTO E INSTALAÇÃO. AF_12/2015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</si>
  <si>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</si>
  <si>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</si>
  <si>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TOMADA RESIDENCIAL INCLUINDO TOMADA 20A/250V,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</si>
  <si>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</si>
  <si>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ILUMINAÇÃO E TOMADA, RESIDENCIAL, INCLUINDO INTERRUPTOR SIMPLES E TOMADA 10A/250V, CAIXA ELÉTRICA, ELETRODUTO, CABO, RASGO, QUEBRA E CHUMBAMENTO (EXCLUINDO LUMINÁRIA E LÂMPADA). AF_01/2016</t>
  </si>
  <si>
    <t>PONTO DE ILUMINAÇÃO E TOMADA, RESIDENCIAL, INCLUINDO INTERRUPTOR PARALELO E TOMADA 10A/250V, CAIXA ELÉTRICA, ELETRODUTO, CABO, RASGO, QUEBRA E CHUMBAMENTO (EXCLUINDO LUMINÁRIA E LÂMPADA). AF_01/2016</t>
  </si>
  <si>
    <t>PONTO DE ILUMINAÇÃO E TOMADA, RESIDENCIAL, INCLUINDO INTERRUPTOR SIMPLES, INTERRUPTOR PARALELO E TOMADA 10A/250V, CAIXA ELÉTRICA, ELETRODUTO, CABO, RASGO, QUEBRA E CHUMBAMENTO (EXCLUINDO LUMINÁRIA E LÂMPADA). AF_01/2016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</si>
  <si>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</si>
  <si>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SIMPLES (2 MÓDULOS), CAIXA ELÉTRICA, ELETRODUTO, CABO, RASGO, QUEBRA E CHUMBAMENTO (EXCLUINDO LUMINÁRIA E LÂMPADA). AF_01/2016</t>
  </si>
  <si>
    <t>PONTO DE ILUMINAÇÃO RESIDENCIAL INCLUINDO INTERRUPTOR PARALELO,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</si>
  <si>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</si>
  <si>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ILUMINAÇÃO RESIDENCIAL INCLUINDO INTERRUPTOR SIMPLES CONJUGADO COM PARALELO, CAIXA ELÉTRICA, ELETRODUTO, CABO, RASGO, QUEBRA E CHUMBAMENTO (EXCLUINDO LUMINÁRIA E LÂMPADA). AF_01/2016</t>
  </si>
  <si>
    <t>SENSOR DE PRESENÇA COM FOTOCÉLULA, FIXAÇÃO EM PAREDE - FORNECIMENTO E INSTALAÇÃO. AF_02/2020</t>
  </si>
  <si>
    <t>SENSOR DE PRESENÇA SEM FOTOCÉLULA, FIXAÇÃO EM PAREDE - FORNECIMENTO E INSTALAÇÃO. AF_02/2020</t>
  </si>
  <si>
    <t>SENSOR DE PRESENÇA COM FOTOCÉLULA, FIXAÇÃO EM TETO - FORNECIMENTO E INSTALAÇÃO. AF_02/2020</t>
  </si>
  <si>
    <t>SENSOR DE PRESENÇA SEM FOTOCÉLULA, FIXAÇÃO EM TETO - FORNECIMENTO E INSTALAÇÃO. AF_02/2020</t>
  </si>
  <si>
    <t>LUMINÁRIA DE EMERGÊNCIA, COM 30 LÂMPADAS LED DE 2 W, SEM REATOR - FORNECIMENTO E INSTALAÇÃO. AF_02/2020</t>
  </si>
  <si>
    <t>LUMINÁRIA TIPO CALHA, DE SOBREPOR, COM 1 LÂMPADA TUBULAR FLUORESCENTE DE 18 W, COM REATOR DE PARTIDA RÁPIDA - FORNECIMENTO E INSTALAÇÃO. AF_02/2020</t>
  </si>
  <si>
    <t>LUMINÁRIA FECHADA PARA ILUMINAÇÃO PÚBLICA, COM REATOR DE PARTIDA RÁPIDA, COM LÂMPADA VAPOR DE MERCÚRIO 250 W - FORNECIMENTO E INSTALAÇÃO. AF_08/2020</t>
  </si>
  <si>
    <t>LUMINÁRIA FECHADA, PARA ILUMINAÇÃO PÚBLICA, PARA LÂMPADA DE VAPOR - FORNECIMENTO E INSTALAÇÃO (EXCLUSIVE LÂMPADA E REATOR). AF_08/2020</t>
  </si>
  <si>
    <t>LUMINÁRIA ABERTA PARA ILUMINAÇÃO PÚBLICA, PARA LÂMPADA VAPOR DE MERCÚRIO ATÉ 400 W E MISTA ATÉ 500 W, COM BRAÇO EM TUBO DE AÇO GALV 1", COMPRIMENTO DE 1,50 M, PARA POSTE DE CONCRETO - FORNECIMENTO E INSTALAÇÃO (EXCLUSIVE LÂMPADA E REATOR). AF_08/2020</t>
  </si>
  <si>
    <t>LUMINÁRIA TIPO CALHA, DE SOBREPOR, COM 1 LÂMPADA TUBULAR FLUORESCENTE DE 36 W, COM REATOR DE PARTIDA RÁPIDA - FORNECIMENTO E INSTALAÇÃO. AF_02/2020</t>
  </si>
  <si>
    <t>LUMINÁRIA TIPO CALHA, DE SOBREPOR, COM 2 LÂMPADAS TUBULARES FLUORESCENTES DE 18 W, COM REATOR DE PARTIDA RÁPIDA - FORNECIMENTO E INSTALAÇÃO. AF_02/2020</t>
  </si>
  <si>
    <t>LUMINÁRIA TIPO CALHA, DE SOBREPOR, COM 2 LÂMPADAS TUBULARES FLUORESCENTES DE 36 W, COM REATOR DE PARTIDA RÁPIDA - FORNECIMENTO E INSTALAÇÃO. AF_02/2020</t>
  </si>
  <si>
    <t>LUMINÁRIA TIPO CALHA, DE EMBUTIR, COM 2 LÂMPADAS FLUORESCENTES DE 14 W, COM REATOR DE PARTIDA RÁPIDA - FORNECIMENTO E INSTALAÇÃO. AF_02/2020</t>
  </si>
  <si>
    <t>LUMINÁRIA TIPO PLAFON EM PLÁSTICO, DE SOBREPOR, COM 1 LÂMPADA FLUORESCENTE DE 15 W, SEM REATOR - FORNECIMENTO E INSTALAÇÃO. AF_02/2020</t>
  </si>
  <si>
    <t>LUMINÁRIA TIPO PLAFON REDONDO COM VIDRO FOSCO, DE SOBREPOR, COM 1 LÂMPADA FLUORESCENTE DE 15 W, SEM REATOR - FORNECIMENTO E INSTALAÇÃO. AF_02/2020</t>
  </si>
  <si>
    <t>LUMINÁRIA TIPO PLAFON REDONDO COM VIDRO FOSCO, DE SOBREPOR, COM 2 LÂMPADAS FLUORESCENTES DE 15 W, SEM REATOR - FORNECIMENTO E INSTALAÇÃO. AF_02/2020</t>
  </si>
  <si>
    <t>LUMINÁRIA TIPO SPOT, DE SOBREPOR, COM 1 LÂMPADA FLUORESCENTE DE 15 W, SEM REATOR - FORNECIMENTO E INSTALAÇÃO. AF_02/2020</t>
  </si>
  <si>
    <t>LUMINÁRIA TIPO SPOT, DE SOBREPOR, COM 2 LÂMPADAS FLUORESCENTES DE 15 W, SEM REATOR - FORNECIMENTO E INSTALAÇÃO. AF_02/2020</t>
  </si>
  <si>
    <t>REFLETOR RETANGULAR FECHADO, COM LÂMPADA VAPOR METÁLICO 400 W - FORNECIMENTO E INSTALAÇÃO. AF_08/2020</t>
  </si>
  <si>
    <t>REFLETOR EM ALUMÍNIO, DE SUPORTE E ALÇA, COM 1 LÂMPADA VAPOR DE MERCÚRIO DE 125 W, COM REATOR ALTO FATOR DE POTÊNCIA - FORNECIMENTO E INSTALAÇÃO. AF_02/2020</t>
  </si>
  <si>
    <t>REFLETOR EM ALUMÍNIO, DE SUPORTE E ALÇA, COM LÂMPADA VAPOR DE MERCÚRIO DE 250 W, COM REATOR ALTO FATOR DE POTÊNCIA - FORNECIMENTO E INSTALAÇÃO. AF_02/2020</t>
  </si>
  <si>
    <t>LÂMPADA COMPACTA FLUORESCENTE DE 15 W, BASE E27 - FORNECIMENTO E INSTALAÇÃO. AF_02/2020</t>
  </si>
  <si>
    <t>LÂMPADA COMPACTA FLUORESCENTE DE 20 W, BASE E27 - FORNECIMENTO E INSTALAÇÃO. AF_02/2020</t>
  </si>
  <si>
    <t>LÂMPADA TUBULAR FLUORESCENTE T8 DE 16/18 W, BASE G13 - FORNECIMENTO E INSTALAÇÃO. AF_02/2020_P</t>
  </si>
  <si>
    <t>LÂMPADA TUBULAR FLUORESCENTE T8 DE 32/36 W, BASE G13 - FORNECIMENTO E INSTALAÇÃO. AF_02/2020_P</t>
  </si>
  <si>
    <t>LÂMPADA TUBULAR FLUORESCENTE T10 DE 20/40 W, BASE G13 - FORNECIMENTO E INSTALAÇÃO. AF_02/2020_P</t>
  </si>
  <si>
    <t>LÂMPADA TUBULAR FLUORESCENTE T5 DE 14 W, BASE G13 - FORNECIMENTO E INSTALAÇÃO. AF_02/2020_P</t>
  </si>
  <si>
    <t>LÂMPADA COMPACTA DE VAPOR MERCURIO 125 W, BASE E27 - FORNECIMENTO E INSTALAÇÃO. AF_02/2020</t>
  </si>
  <si>
    <t>LÂMPADA COMPACTA DE VAPOR METÁLICO OVOIDE 150 W, BASE E27 - FORNECIMENTO E INSTALAÇÃO. AF_02/2020</t>
  </si>
  <si>
    <t>LÂMPADA VAPOR DE SÓDIO 150 W - FORNECIMENTO E INSTALAÇÃO. AF_08/2020</t>
  </si>
  <si>
    <t>LÂMPADA VAPOR DE SÓDIO 250 W - FORNECIMENTO E INSTALAÇÃO. AF_08/2020</t>
  </si>
  <si>
    <t>LÂMPADA VAPOR DE SÓDIO 400 W - FORNECIMENTO E INSTALAÇÃO. AF_08/2020</t>
  </si>
  <si>
    <t>LÂMPADA VAPOR METÁLICO 400 W - FORNECIMENTO E INSTALAÇÃO. AF_08/2020</t>
  </si>
  <si>
    <t>LÂMPADA VAPOR METÁLICO 150 W - FORNECIMENTO E INSTALAÇÃO. AF_08/2020</t>
  </si>
  <si>
    <t>LÂMPADA VAPOR DE MERCÚRIO 125 W - FORNECIMENTO E INSTALAÇÃO. AF_08/2020</t>
  </si>
  <si>
    <t>LÂMPADA VAPOR DE MERCÚRIO 250 W - FORNECIMENTO E INSTALAÇÃO. AF_08/2020</t>
  </si>
  <si>
    <t>LÂMPADA VAPOR DE MERCÚRIO 400 W - FORNECIMENTO E INSTALAÇÃO. AF_08/2020</t>
  </si>
  <si>
    <t>LÂMPADA MISTA 160 W - FORNECIMENTO E INSTALAÇÃO. AF_08/2020</t>
  </si>
  <si>
    <t>LÂMPADA MISTA 250 W - FORNECIMENTO E INSTALAÇÃO. AF_08/2020</t>
  </si>
  <si>
    <t>LÂMPADA MISTA 500 W - FORNECIMENTO E INSTALAÇÃO. AF_08/2020</t>
  </si>
  <si>
    <t>LUMINÁRIA ESTANQUE COM PROTEÇÃO CONTRA ÁGUA, POEIRA OU IMPACTOS - FORNECIMENTO E INSTALAÇÃO. AF_08/2020</t>
  </si>
  <si>
    <t>LUMINÁRIA ARANDELA TIPO MEIA LUA, DE SOBREPOR, COM 1 LÂMPADA LED DE 6 W, SEM REATOR - FORNECIMENTO E INSTALAÇÃO. AF_02/2020</t>
  </si>
  <si>
    <t>LUMINÁRIA DE LED PARA ILUMINAÇÃO PÚBLICA, DE 33 W ATÉ 50 W - FORNECIMENTO E INSTALAÇÃO. AF_08/2020</t>
  </si>
  <si>
    <t>LUMINÁRIA DE LED PARA ILUMINAÇÃO PÚBLICA, DE 51 W ATÉ 67 W - FORNECIMENTO E INSTALAÇÃO. AF_08/2020</t>
  </si>
  <si>
    <t>LUMINÁRIA DE LED PARA ILUMINAÇÃO PÚBLICA, DE 68 W ATÉ 97 W - FORNECIMENTO E INSTALAÇÃO. AF_08/2020</t>
  </si>
  <si>
    <t>LUMINÁRIA DE LED PARA ILUMINAÇÃO PÚBLICA, DE 98 W ATÉ 137 W - FORNECIMENTO E INSTALAÇÃO. AF_08/2020</t>
  </si>
  <si>
    <t>LUMINÁRIA DE LED PARA ILUMINAÇÃO PÚBLICA, DE 138 W ATÉ 180 W - FORNECIMENTO E INSTALAÇÃO. AF_08/2020</t>
  </si>
  <si>
    <t>LUMINÁRIA DE LED PARA ILUMINAÇÃO PÚBLICA, DE 181 W ATÉ 239 W - FORNECIMENTO E INSTALAÇÃO. AF_08/2020</t>
  </si>
  <si>
    <t>LUMINÁRIA DE LED PARA ILUMINAÇÃO PÚBLICA, DE 240 W ATÉ 350 W - FORNECIMENTO E INSTALAÇÃO. AF_08/2020</t>
  </si>
  <si>
    <t>LUMINÁRIA ARANDELA TIPO MEIA LUA, DE SOBREPOR, COM 1 LÂMPADA FLUORESCENTE DE 15 W, SEM REATOR - FORNECIMENTO E INSTALAÇÃO. AF_02/2020</t>
  </si>
  <si>
    <t>LUMINÁRIA ARANDELA TIPO TARTARUGA, DE SOBREPOR, COM 1 LÂMPADA LED DE 6 W, SEM REATOR - FORNECIMENTO E INSTALAÇÃO. AF_02/2020</t>
  </si>
  <si>
    <t>LUMINÁRIA ARANDELA TIPO TARTARUGA, COM GRADE, DE SOBREPOR, COM 1 LÂMPADA FLUORESCENTE DE 15 W, SEM REATOR - FORNECIMENTO E INSTALAÇÃO. AF_02/2020</t>
  </si>
  <si>
    <t>LÂMPADA TUBULAR LED DE 9/10 W, BASE G13 - FORNECIMENTO E INSTALAÇÃO. AF_02/2020_P</t>
  </si>
  <si>
    <t>LÂMPADA TUBULAR LED DE 18/20 W, BASE G13 - FORNECIMENTO E INSTALAÇÃO. AF_02/2020_P</t>
  </si>
  <si>
    <t>LUMINÁRIA TIPO CALHA, DE SOBREPOR, COM 1 LÂMPADA TUBULAR FLUORESCENTE DE 20 W, COM REATOR DE PARTIDA CONVENCIONAL - FORNECIMENTO E INSTALAÇÃO. AF_02/2020</t>
  </si>
  <si>
    <t>LUMINÁRIA DUPLA TIPO CALHA, DE SOBREPOR, COM 4 LÂMPADAS TUBULARES FLUORESCENTES DE 18 W,COM REATORES DE PARTIDA RÁPIDA - FORNECIMENTO E INSTALAÇÃO. AF_02/2020</t>
  </si>
  <si>
    <t>LUMINÁRIA DUPLA TIPO CALHA, DE SOBREPOR, COM 4 LÂMPADAS TUBULARES FLUORESCENTES DE 36 W, COM REATORES DE PARTIDA RÁPIDA -FORNECIMENTO E INSTALAÇÃO. AF_02/2020</t>
  </si>
  <si>
    <t>LÂMPADA FLUORESCENTE ESPIRAL BRANCA 45 W, BASE E27 - FORNECIMENTO E INSTALAÇÃO. AF_02/2020</t>
  </si>
  <si>
    <t>LÂMPADA FLUORESCENTE ESPIRAL BRANCA 65 W, BASE E27 - FORNECIMENTO E INSTALAÇÃO. AF_02/2020</t>
  </si>
  <si>
    <t>LÂMPADA COMPACTA DE LED 6 W, BASE E27 - FORNECIMENTO E INSTALAÇÃO. AF_02/2020</t>
  </si>
  <si>
    <t>LÂMPADA COMPACTA DE LED 10 W, BASE E27 - FORNECIMENTO E INSTALAÇÃO. AF_02/2020</t>
  </si>
  <si>
    <t>APARELHO SINALIZADOR DE SAÍDA DE GARAGEM, COM CÉLULA FOTOELÉTRICA - FORNECIMENTO E INSTALAÇÃO. AF_07/2020</t>
  </si>
  <si>
    <t>INSTALAÇÃO DE SINALIZADOR NOTURNO LED. AF_11/2017</t>
  </si>
  <si>
    <t>ARMAÇÃO SECUNDÁRIA, COM 1 ESTRIBO E 1 ISOLADOR - FORNECIMENTO E INSTALAÇÃO. AF_07/2020</t>
  </si>
  <si>
    <t>ARMAÇÃO SECUNDÁRIA, COM 2 ESTRIBOS E 2 ISOLADORES - FORNECIMENTO E INSTALAÇÃO. AF_07/2020</t>
  </si>
  <si>
    <t>ARMAÇÃO SECUNDÁRIA, COM 3 ESTRIBOS E 3 ISOLADORES - FORNECIMENTO E INSTALAÇÃO. AF_07/2020</t>
  </si>
  <si>
    <t>ARMAÇÃO SECUNDÁRIA, COM 4 ESTRIBOS E 4 ISOLADORES - FORNECIMENTO E INSTALAÇÃO. AF_07/2020</t>
  </si>
  <si>
    <t>ARMAÇÃO SECUNDÁRIA, COM 1 ESTRIBO, SEM ISOLADOR - FORNECIMENTO E INSTALAÇÃO. AF_07/2020</t>
  </si>
  <si>
    <t>ARMAÇÃO SECUNDÁRIA, COM 2 ESTRIBOS, SEM ISOLADOR - FORNECIMENTO E INSTALAÇÃO. AF_07/2020</t>
  </si>
  <si>
    <t>ARMAÇÃO SECUNDÁRIA, COM 3 ESTRIBOS, SEM ISOLADOR - FORNECIMENTO E INSTALAÇÃO. AF_07/2020</t>
  </si>
  <si>
    <t>ARMAÇÃO SECUNDÁRIA, COM 4 ESTRIBOS, SEM ISOLADOR - FORNECIMENTO E INSTALAÇÃO. AF_07/2020</t>
  </si>
  <si>
    <t>ISOLADOR, TIPO PINO, PARA TENSÃO 15 KV - FORNECIMENTO E INSTALAÇÃO. AF_07/2020</t>
  </si>
  <si>
    <t>ISOLADOR, TIPO DISCO, PARA TENSÃO 15 KV - FORNECIMENTO E INSTALAÇÃO. AF_07/2020</t>
  </si>
  <si>
    <t>ISOLADOR, TIPO ROLDANA, PARA BAIXA TENSÃO - FORNECIMENTO E INSTALAÇÃO. AF_07/2020</t>
  </si>
  <si>
    <t>GRAMPO PARALELO METÁLICO, PARA REDES AÉREAS DE DISTRIBUIÇÃO DE ENERGIA ELÉTRICA DE BAIXA TENSÃO - FORNECIMENTO E INSTALAÇÃO. AF_07/2020</t>
  </si>
  <si>
    <t>ALÇA PREFORMADA DE DISTRIBUIÇÃO, EM  AÇO GALVANIZADO, AWG 1 - FORNECIMENTO E INSTALAÇÃO. AF_07/2020</t>
  </si>
  <si>
    <t>ALÇA PREFORMADA DE DISTRIBUIÇÃO, EM  AÇO GALVANIZADO, AWG 2 - FORNECIMENTO E INSTALAÇÃO. AF_07/2020</t>
  </si>
  <si>
    <t>ALÇA PREFORMADA DE DISTRIBUIÇÃO, EM  AÇO GALVANIZADO, AWG 4 - FORNECIMENTO E INSTALAÇÃO. AF_07/2020</t>
  </si>
  <si>
    <t>ALÇA PREFORMADA DE DISTRIBUIÇÃO, EM  AÇO GALVANIZADO, AWG 6 - FORNECIMENTO E INSTALAÇÃO. AF_07/2020</t>
  </si>
  <si>
    <t>REATOR PARA LÂMPADA VAPOR DE MERCÚRIO 400 W, USO EXTERNO - FORNECIMENTO E INSTALAÇÃO. AF_08/2020</t>
  </si>
  <si>
    <t>REATOR PARA LÂMPADA VAPOR DE SÓDIO 250 W, USO EXTERNO - FORNECIMENTO E INSTALAÇÃO. AF_08/2020</t>
  </si>
  <si>
    <t>REATOR PARA LÂMPADA VAPOR DE MERCÚRIO 125 W, USO EXTERNO - FORNECIMENTO E INSTALAÇÃO. AF_08/2020</t>
  </si>
  <si>
    <t>REATOR PARA LÂMPADA VAPOR DE MERCÚRIO 250 W, USO EXTERNO - FORNECIMENTO E INSTALAÇÃO. AF_08/2020</t>
  </si>
  <si>
    <t>REATOR DE PARTIDA RÁPIDA PARA LÂMPADA FLUORESCENTE 2X40W - FORNECIMENTO E INSTALAÇÃO. AF_02/2020</t>
  </si>
  <si>
    <t>REATOR DE PARTIDA RÁPIDA PARA LÂMPADA FLUORESCENTE 1X20W - FORNECIMENTO E INSTALAÇÃO. AF_02/2020</t>
  </si>
  <si>
    <t>REATOR DE PARTIDA RÁPIDA PARA LÂMPADA FLUORESCENTE 1X40W - FORNECIMENTO E INSTALAÇÃO. AF_02/2020</t>
  </si>
  <si>
    <t>SUBSTITUIÇÃO DE LUMINÁRIA DE VAPOR DE MERCÚRIO/VAPOR DE SÓDIO POR LUMINÁRIA DE LED PARA ILUMINAÇÃO PÚBLICA (NÃO INCLUI FORNECIMENTO). AF_08/2020</t>
  </si>
  <si>
    <t>SUBSTITUIÇÃO DE LÂMPADA PARA ILUMINAÇÃO PÚBLICA (NÃO INCLUI FORNECIMENTO). AF_08/2020</t>
  </si>
  <si>
    <t>SUBSTITUIÇÃO DE REATOR PARA ILUMINAÇÃO PÚBLICA (NÃO INCLUI FORNECIMENTO). AF_08/2020</t>
  </si>
  <si>
    <t>IGNITOR PARA PARTIDA LÂMPADA VAPOR SÓDIO / VAPOR METÁLICO ATÉ 400 W - FORNECIMENTO E INSTALAÇÃO. AF_08/2020</t>
  </si>
  <si>
    <t>RELÉ FOTOELÉTRICO PARA COMANDO DE ILUMINAÇÃO EXTERNA 1000 W - FORNECIMENTO E INSTALAÇÃO. AF_08/2020</t>
  </si>
  <si>
    <t>SUBSTITUIÇÃO DE RELÉ FOTOELÉTRICO PARA COMANDO DE ILUMINAÇÃO EXTERNA 1000 W - FORNECIMENTO E INSTALAÇÃO. AF_08/2020</t>
  </si>
  <si>
    <t>BRAÇO PARA ILUMINAÇÃO PÚBLICA, EM TUBO DE AÇO GALVANIZADO, COMPRIMENTO DE 1,50 M, PARA FIXAÇÃO EM POSTE DE CONCRETO - FORNECIMENTO E INSTALAÇÃO. AF_08/2020</t>
  </si>
  <si>
    <t>BRAÇO PARA ILUMINAÇÃO PÚBLICA, EM TUBO DE AÇO GALVANIZADO, COMPRIMENTO DE 1,50 M, PARA FIXAÇÃO EM POSTE METÁLICO - FORNECIMENTO E INSTALAÇÃO. AF_08/2020</t>
  </si>
  <si>
    <t>HASTE DE ATERRAMENTO 5/8  PARA SPDA - FORNECIMENTO E INSTALAÇÃO. AF_12/2017</t>
  </si>
  <si>
    <t>HASTE DE ATERRAMENTO 3/4  PARA SPDA - FORNECIMENTO E INSTALAÇÃO. AF_12/2017</t>
  </si>
  <si>
    <t>BASE METÁLICA PARA MASTRO 1 ½  PARA SPDA - FORNECIMENTO E INSTALAÇÃO. AF_12/2017</t>
  </si>
  <si>
    <t>MASTRO 1 ½  PARA SPDA - FORNECIMENTO E INSTALAÇÃO. AF_12/2017</t>
  </si>
  <si>
    <t>CORDOALHA DE COBRE NU 16 MM², NÃO ENTERRADA, COM ISOLADOR - FORNECIMENTO E INSTALAÇÃO. AF_12/2017</t>
  </si>
  <si>
    <t>CORDOALHA DE COBRE NU 25 MM², NÃO ENTERRADA, COM ISOLADOR - FORNECIMENTO E INSTALAÇÃO. AF_12/2017</t>
  </si>
  <si>
    <t>CORDOALHA DE COBRE NU 35 MM², NÃO ENTERRADA, COM ISOLADOR - FORNECIMENTO E INSTALAÇÃO. AF_12/2017</t>
  </si>
  <si>
    <t>CORDOALHA DE COBRE NU 50 MM², NÃO ENTERRADA, COM ISOLADOR - FORNECIMENTO E INSTALAÇÃO. AF_12/2017</t>
  </si>
  <si>
    <t>CORDOALHA DE COBRE NU 70 MM², NÃO ENTERRADA, COM ISOLADOR - FORNECIMENTO E INSTALAÇÃO. AF_12/2017</t>
  </si>
  <si>
    <t>CORDOALHA DE COBRE NU 95 MM², NÃO ENTERRADA, COM ISOLADOR - FORNECIMENTO E INSTALAÇÃO. AF_12/2017</t>
  </si>
  <si>
    <t>CORDOALHA DE COBRE NU 50 MM², ENTERRADA, SEM ISOLADOR - FORNECIMENTO E INSTALAÇÃO. AF_12/2017</t>
  </si>
  <si>
    <t>CORDOALHA DE COBRE NU 70 MM², ENTERRADA, SEM ISOLADOR - FORNECIMENTO E INSTALAÇÃO. AF_12/2017</t>
  </si>
  <si>
    <t>CORDOALHA DE COBRE NU 95 MM², ENTERRADA, SEM ISOLADOR - FORNECIMENTO E INSTALAÇÃO. AF_12/2017</t>
  </si>
  <si>
    <t>CAPTOR TIPO FRANKLIN PARA SPDA - FORNECIMENTO E INSTALAÇÃO. AF_12/2017</t>
  </si>
  <si>
    <t>SUPORTE ISOLADOR PARA CORDOALHA DE COBRE - FORNECIMENTO E INSTALAÇÃO. AF_12/2017</t>
  </si>
  <si>
    <t>QUADRO DE DISTRIBUIÇÃO PARA TELEFONE N.2, 20X20X12CM EM CHAPA METALICA, DE EMBUTIR, SEM ACESSORIOS, PADRÃO TELEBRAS, FORNECIMENTO E INSTALAÇÃO. AF_11/2019</t>
  </si>
  <si>
    <t>QUADRO DE DISTRIBUICAO PARA TELEFONE N.3, 40X40X12CM EM CHAPA METALICA, DE EMBUTIR, SEM ACESSORIOS, PADRAO TELEBRAS, FORNECIMENTO E INSTALAÇÃO. AF_11/2019</t>
  </si>
  <si>
    <t>QUADRO DE DISTRIBUICAO PARA TELEFONE N.4, 60X60X12CM EM CHAPA METALICA, DE EMBUTIR, SEM ACESSORIOS, PADRAO TELEBRAS, FORNECIMENTO E INSTALAÇÃO. AF_11/2019</t>
  </si>
  <si>
    <t>QUADRO DE DISTRIBUIÇÃO PARA TELEFONE N.5, 80X80X12CM EM CHAPA METALICA, SEM ACESSORIOS, PADRAO TELEBRAS,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</si>
  <si>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</si>
  <si>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</si>
  <si>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CABO ELETRÔNICO CATEGORIA 5E, INSTALADO EM EDIFICAÇÃO RESIDENCIAL - FORNECIMENTO E INSTALAÇÃO. AF_11/2019</t>
  </si>
  <si>
    <t>CABO ELETRÔNICO CATEGORIA 5E, INSTALADO EM EDIFICAÇÃO INSTITUCIONAL - FORNECIMENTO E INSTALAÇÃO. AF_11/2019</t>
  </si>
  <si>
    <t>CABO ELETRÔNICO CATEGORIA 6, INSTALADO EM EDIFICAÇÃO RESIDENCIAL - FORNECIMENTO E INSTALAÇÃO. AF_11/2019</t>
  </si>
  <si>
    <t>CABO ELETRÔNICO CATEGORIA 6, INSTALADO EM EDIFICAÇÃO INSTITUCIONAL - FORNECIMENTO E INSTALAÇÃO. AF_11/2019</t>
  </si>
  <si>
    <t>PATCH PANEL 24 PORTAS, CATEGORIA 5E - FORNECIMENTO E INSTALAÇÃO. AF_11/2019</t>
  </si>
  <si>
    <t>PATCH PANEL 24 PORTAS, CATEGORIA 6 - FORNECIMENTO E INSTALAÇÃO. AF_11/2019</t>
  </si>
  <si>
    <t>PATCH PANEL 48 PORTAS, CATEGORIA 6 - FORNECIMENTO E INSTALAÇÃO. AF_11/2019</t>
  </si>
  <si>
    <t>TOMADA DE REDE RJ45 - FORNECIMENTO E INSTALAÇÃO. AF_11/2019</t>
  </si>
  <si>
    <t>TOMADA PARA TELEFONE RJ11 - FORNECIMENTO E INSTALAÇÃO. AF_11/2019</t>
  </si>
  <si>
    <t>PATCH PANEL 48 PORTAS, CATEGORIA 5E - FORNECIMENTO E INSTALAÇÃO. AF_11/2019</t>
  </si>
  <si>
    <t>CABO TELEFÔNICO CTP-APL-50 10 PARES INSTALADO EM ENTRADA DE EDIFICAÇÃO - FORNECIMENTO E INSTALAÇÃO. AF_11/2019</t>
  </si>
  <si>
    <t>CABO TELEFÔNICO CTP-APL-50 20 PARES INSTALADO EM ENTRADA DE EDIFICAÇÃO - FORNECIMENTO E INSTALAÇÃO. AF_11/2019</t>
  </si>
  <si>
    <t>CABO TELEFÔNICO CTP-APL-50 30 PARES INSTALADO EM ENTRADA DE EDIFICAÇÃO - FORNECIMENTO E INSTALAÇÃO. AF_11/2019</t>
  </si>
  <si>
    <t>CABO TELEFÔNICO CI-50 10 PARES INSTALADO EM ENTRADA DE EDIFICAÇÃO - FORNECIMENTO E INSTALAÇÃO. AF_11/2019</t>
  </si>
  <si>
    <t>CABO TELEFÔNICO CI-50 20 PARES INSTALADO EM ENTRADA DE EDIFICAÇÃO - FORNECIMENTO E INSTALAÇÃO. AF_11/2019</t>
  </si>
  <si>
    <t>CABO TELEFÔNICO CI-50 30 PARES INSTALADO EM ENTRADA DE EDIFICAÇÃO - FORNECIMENTO E INSTALAÇÃO. AF_11/2019</t>
  </si>
  <si>
    <t>CABO TELEFÔNICO CI-50 50 PARES INSTALADO EM ENTRADA DE EDIFICAÇÃO - FORNECIMENTO E INSTALAÇÃO. AF_11/2019</t>
  </si>
  <si>
    <t>CABO TELEFÔNICO CI-50 75 PARES INSTALADO EM ENTRADA DE EDIFICAÇÃO - FORNECIMENTO E INSTALAÇÃO. AF_11/2019</t>
  </si>
  <si>
    <t>CABO TELEFÔNICO CI-50 200 PARES INSTALADO EM ENTRADA DE EDIFICAÇÃO - FORNECIMENTO E INSTALAÇÃO. AF_11/2019</t>
  </si>
  <si>
    <t>CABO TELEFÔNICO CI-50 10 PARES INSTALADO EM PRUMADA - FORNECIMENTO E INSTALAÇÃO. AF_11/2019</t>
  </si>
  <si>
    <t>CABO TELEFÔNICO CI-50 20 PARES INSTALADO EM PRUMADA - FORNECIMENTO E INSTALAÇÃO. AF_11/2019</t>
  </si>
  <si>
    <t>CABO TELEFÔNICO CI-50 30 PARES INSTALADO EM PRUMADA - FORNECIMENTO E INSTALAÇÃO. AF_11/2019</t>
  </si>
  <si>
    <t>CABO TELEFÔNICO CI-50 50 PARES INSTALADO EM PRUMADA - FORNECIMENTO E INSTALAÇÃO. AF_11/2019</t>
  </si>
  <si>
    <t>CABO TELEFÔNICO CI-50 10 PARES INSTALADO EM DISTRIBUIÇÃO DE EDIFICAÇÃO RESIDENCIAL - FORNECIMENTO E INSTALAÇÃO. AF_11/2019</t>
  </si>
  <si>
    <t>CABO TELEFÔNICO CI-50 10 PARES INSTALADO EM DISTRIBUIÇÃO DE EDIFICAÇÃO INSTITUCIONAL - FORNECIMENTO E INSTALAÇÃO. AF_11/2019</t>
  </si>
  <si>
    <t>CABO TELEFÔNICO CCI-50 1 PAR, INSTALADO EM ENTRADA DE EDIFICAÇÃO - FORNECIMENTO E INSTALAÇÃO. AF_11/2019</t>
  </si>
  <si>
    <t>CABO TELEFÔNICO CCI-50 2 PARES, SEM BLINDAGEM, INSTALADO EM ENTRADA DE EDIFICAÇÃO - FORNECIMENTO E INSTALAÇÃO. AF_11/2019</t>
  </si>
  <si>
    <t>CABO TELEFÔNICO CCI-50 3 PARES, SEM BLINDAGEM, INSTALADO EM ENTRADA DE EDIFICAÇÃO - FORNECIMENTO E INSTALAÇÃO. AF_11/2019</t>
  </si>
  <si>
    <t>CABO TELEFÔNICO CCI-50 4 PARES, SEM BLINDAGEM, INSTALADO EM ENTRADA DE EDIFICAÇÃO - FORNECIMENTO E INSTALAÇÃO. AF_11/2019</t>
  </si>
  <si>
    <t>CABO TELEFÔNICO CCI-50 5 PARES, SEM BLINDAGEM, INSTALADO EM ENTRADA DE EDIFICAÇÃO - FORNECIMENTO E INSTALAÇÃO. AF_11/2019</t>
  </si>
  <si>
    <t>CABO TELEFÔNICO CCI-50 6 PARES, SEM BLINDAGEM, INSTALADO EM ENTRADA DE EDIFICAÇÃO - FORNECIMENTO E INSTALAÇÃO. AF_11/2019</t>
  </si>
  <si>
    <t>CABO TELEFÔNICO CCI-50 4 PARES, SEM BLINDAGEM, INSTALADO EM PRUMADA - FORNECIMENTO E INSTALAÇÃO. AF_11/2019</t>
  </si>
  <si>
    <t>CABO TELEFÔNICO CCI-50 5 PARES, SEM BLINDAGEM, INSTALADO EM PRUMADA - FORNECIMENTO E INSTALAÇÃO. AF_11/2019</t>
  </si>
  <si>
    <t>CABO TELEFÔNICO CCI-50 6 PARES, SEM BLINDAGEM, INSTALADO EM PRUMADA - FORNECIMENTO E INSTALAÇÃO. AF_11/2019</t>
  </si>
  <si>
    <t>CABO TELEFÔNICO CCI-50 1 PAR, SEM BLINDAGEM, INSTALADO EM DISTRIBUIÇÃO DE EDIFICAÇÃO RESIDENCIAL - FORNECIMENTO E INSTALAÇÃO. AF_11/2019</t>
  </si>
  <si>
    <t>CABO TELEFÔNICO CCI-50 2 PARES, SEM BLINDAGEM, INSTALADO EM DISTRIBUIÇÃO DE EDIFICAÇÃO RESIDENCIAL - FORNECIMENTO E INSTALAÇÃO. AF_11/2019</t>
  </si>
  <si>
    <t>CABO TELEFÔNICO CCI-50 3 PARES, SEM BLINDAGEM, INSTALADO EM DISTRIBUIÇÃO DE EDIFICAÇÃO RESIDENCIAL - FORNECIMENTO E INSTALAÇÃO. AF_11/2019</t>
  </si>
  <si>
    <t>CABO TELEFÔNICO CCI-50 4 PARES, SEM BLINDAGEM, INSTALADO EM DISTRIBUIÇÃO DE EDIFICAÇÃO RESIDENCIAL - FORNECIMENTO E INSTALAÇÃO. AF_11/2019</t>
  </si>
  <si>
    <t>CABO TELEFÔNICO CCI-50 5 PARES, SEM BLINDAGEM, INSTALADO EM DISTRIBUIÇÃO DE EDIFICAÇÃO RESIDENCIAL - FORNECIMENTO E INSTALAÇÃO. AF_11/2019</t>
  </si>
  <si>
    <t>CABO TELEFÔNICO CCI-50 6 PARES, SEM BLINDAGEM, INSTALADO EM DISTRIBUIÇÃO DE EDIFICAÇÃO RESIDENCIAL - FORNECIMENTO E INSTALAÇÃO. AF_11/2019</t>
  </si>
  <si>
    <t>CABO TELEFÔNICO CCI-50 1 PAR, SEM BLINDAGEM, INSTALADO EM DISTRIBUIÇÃO DE EDIFICAÇÃO INSTITUCIONAL - FORNECIMENTO E INSTALAÇÃO. AF_11/2019</t>
  </si>
  <si>
    <t>CABO TELEFÔNICO CCI-50 2 PARES, SEM BLINDAGEM, INSTALADO EM DISTRIBUIÇÃO DE EDIFICAÇÃO INSTITUCIONAL - FORNECIMENTO E INSTALAÇÃO. AF_11/2019</t>
  </si>
  <si>
    <t>CABO TELEFÔNICO CCI-50 3 PARES, SEM BLINDAGEM, INSTALADO EM DISTRIBUIÇÃO DE EDIFICAÇÃO INSTITUCIONAL - FORNECIMENTO E INSTALAÇÃO. AF_11/2019</t>
  </si>
  <si>
    <t>CABO TELEFÔNICO CCI-50 4 PARES, SEM BLINDAGEM, INSTALADO EM DISTRIBUIÇÃO DE EDIFICAÇÃO INSTITUCIONAL - FORNECIMENTO E INSTALAÇÃO. AF_11/2019</t>
  </si>
  <si>
    <t>CABO TELEFÔNICO CCI-50 5 PARES, SEM BLINDAGEM, INSTALADO EM DISTRIBUIÇÃO DE EDIFICAÇÃO INSTITUCIONAL - FORNECIMENTO E INSTALAÇÃO. AF_11/2019</t>
  </si>
  <si>
    <t>CABO TELEFÔNICO CCI-50 6 PARES, SEM BLINDAGEM, INSTALADO EM DISTRIBUIÇÃO DE EDIFICAÇÃO INSTITUCIONAL - FORNECIMENTO E INSTALAÇÃO. AF_11/2019</t>
  </si>
  <si>
    <t>PINTURA ANTICORROSIVA DE DUTO METÁLICO. AF_04/2018</t>
  </si>
  <si>
    <t>TUBO EM COBRE FLEXÍVEL, DN 1/4, COM ISOLAMENTO, INSTALADO EM RAMAL DE ALIMENTAÇÃO DE AR CONDICIONADO COM CONDENSADORA INDIVIDUAL   FORNECIMENTO E INSTALAÇÃO. AF_12/2015</t>
  </si>
  <si>
    <t>TUBO EM COBRE FLEXÍVEL, DN 3/8", COM ISOLAMENTO, INSTALADO EM RAMAL DE ALIMENTAÇÃO DE AR CONDICIONADO COM CONDENSADORA INDIVIDUAL  FORNECIMENTO E INSTALAÇÃO. AF_12/2015</t>
  </si>
  <si>
    <t>TUBO EM COBRE FLEXÍVEL, DN 1/2", COM ISOLAMENTO, INSTALADO EM RAMAL DE ALIMENTAÇÃO DE AR CONDICIONADO COM CONDENSADORA INDIVIDUAL  FORNECIMENTO E INSTALAÇÃO. AF_12/2015</t>
  </si>
  <si>
    <t>TUBO EM COBRE FLEXÍVEL, DN 5/8", COM ISOLAMENTO, INSTALADO EM RAMAL DE ALIMENTAÇÃO DE AR CONDICIONADO COM CONDENSADORA INDIVIDUAL  FORNECIMENTO E INSTALAÇÃO. AF_12/2015</t>
  </si>
  <si>
    <t>TUBO EM COBRE FLEXÍVEL, DN 1/4", COM ISOLAMENTO, INSTALADO EM RAMAL DE ALIMENTAÇÃO DE AR CONDICIONADO COM CONDENSADORA CENTRAL  FORNECIMENTO E INSTALAÇÃO. AF_12/2015</t>
  </si>
  <si>
    <t>TUBO EM COBRE FLEXÍVEL, DN 3/8", COM ISOLAMENTO, INSTALADO EM RAMAL DE ALIMENTAÇÃO DE AR CONDICIONADO COM CONDENSADORA CENTRAL  FORNECIMENTO E INSTALAÇÃO. AF_12/2015</t>
  </si>
  <si>
    <t>TUBO EM COBRE FLEXÍVEL, DN 1/2", COM ISOLAMENTO, INSTALADO EM RAMAL DE ALIMENTAÇÃO DE AR CONDICIONADO COM CONDENSADORA CENTRAL  FORNECIMENTO E INSTALAÇÃO. AF_12/2015</t>
  </si>
  <si>
    <t>TUBO EM COBRE FLEXÍVEL, DN 5/8, COM ISOLAMENTO, INSTALADO EM RAMAL DE ALIMENTAÇÃO DE AR CONDICIONADO COM CONDENSADORA CENTRAL   FORNECIMENTO E INSTALAÇÃO. AF_12/2015</t>
  </si>
  <si>
    <t>UN</t>
  </si>
  <si>
    <t>M2</t>
  </si>
  <si>
    <t>Petit - Pavet - (PEDRA PORTUGUESA) - sem colchão</t>
  </si>
  <si>
    <t>Reaterro e apiloamento mecânico</t>
  </si>
  <si>
    <t>m4</t>
  </si>
  <si>
    <t>Imprimação com Emulsão RR-1C- exclusive emulsão</t>
  </si>
  <si>
    <t>Sobre os preços coletados no Site da ANP foram incluídos os impostos, PIS/COFINS (3,65%) e ICMS (18,00%), totalizando 21,65%.</t>
  </si>
  <si>
    <t>74209/1</t>
  </si>
  <si>
    <t>PLACA DE OBRA 4,00 X 2,00 M, EM CHAPA DE ACO GALVANIZADO, INCLUSIVE ARMAÇÃO EM MADEIRA E PONTALETES</t>
  </si>
  <si>
    <t>composição</t>
  </si>
  <si>
    <t>73916/2</t>
  </si>
  <si>
    <t>Plantio de Arbusto ou Cerca Viva</t>
  </si>
  <si>
    <t>400500A</t>
  </si>
  <si>
    <t>400500B</t>
  </si>
  <si>
    <t>532500A</t>
  </si>
  <si>
    <t>532500B</t>
  </si>
  <si>
    <t>532500C</t>
  </si>
  <si>
    <t>532500D</t>
  </si>
  <si>
    <t>831000A</t>
  </si>
  <si>
    <t>830000A</t>
  </si>
  <si>
    <t>606600A</t>
  </si>
  <si>
    <t>606700A</t>
  </si>
  <si>
    <t>600310A</t>
  </si>
  <si>
    <t>800900A</t>
  </si>
  <si>
    <t>801100A</t>
  </si>
  <si>
    <t>600510A</t>
  </si>
  <si>
    <t>841000A</t>
  </si>
  <si>
    <t>840000A</t>
  </si>
  <si>
    <t>511130A</t>
  </si>
  <si>
    <t>520100A</t>
  </si>
  <si>
    <t>520200A</t>
  </si>
  <si>
    <t>520100B</t>
  </si>
  <si>
    <t>520200B</t>
  </si>
  <si>
    <t>511130B</t>
  </si>
  <si>
    <t>533500A</t>
  </si>
  <si>
    <t>533500B</t>
  </si>
  <si>
    <t>533100A</t>
  </si>
  <si>
    <t>533100B</t>
  </si>
  <si>
    <t>533100C</t>
  </si>
  <si>
    <t>533100D</t>
  </si>
  <si>
    <t>511000A</t>
  </si>
  <si>
    <t>511000B</t>
  </si>
  <si>
    <t>520100C</t>
  </si>
  <si>
    <t>520100D</t>
  </si>
  <si>
    <t>520100E</t>
  </si>
  <si>
    <t>520100F</t>
  </si>
  <si>
    <t>520100G</t>
  </si>
  <si>
    <t>520100H</t>
  </si>
  <si>
    <t>532600A</t>
  </si>
  <si>
    <t>400500C</t>
  </si>
  <si>
    <t>532600B</t>
  </si>
  <si>
    <t>532600C</t>
  </si>
  <si>
    <t>511100A</t>
  </si>
  <si>
    <t>511100B</t>
  </si>
  <si>
    <t>511300A</t>
  </si>
  <si>
    <t>511300B</t>
  </si>
  <si>
    <t>530200A</t>
  </si>
  <si>
    <t>ANP1</t>
  </si>
  <si>
    <t>PARANÁ</t>
  </si>
  <si>
    <t>Preços de distribuição de produtos asfálticos</t>
  </si>
  <si>
    <t>ANP2</t>
  </si>
  <si>
    <t>REGIÃO SUL</t>
  </si>
  <si>
    <t>Preços de produtores e importadores de derivados de petróleo</t>
  </si>
  <si>
    <t>Grupo de serviço: LIGANTES BETUMINOSOS</t>
  </si>
  <si>
    <t>ANP3</t>
  </si>
  <si>
    <t>produtores sul</t>
  </si>
  <si>
    <t>menor valor
Entre:
ANP-Greca-CBB</t>
  </si>
  <si>
    <r>
      <rPr>
        <b/>
        <sz val="9"/>
        <rFont val="Arial"/>
        <family val="2"/>
      </rPr>
      <t>Código</t>
    </r>
  </si>
  <si>
    <r>
      <rPr>
        <b/>
        <sz val="9"/>
        <rFont val="Arial"/>
        <family val="2"/>
      </rPr>
      <t>Descrição do Serviço</t>
    </r>
  </si>
  <si>
    <r>
      <rPr>
        <b/>
        <sz val="9"/>
        <rFont val="Arial"/>
        <family val="2"/>
      </rPr>
      <t>Unidade</t>
    </r>
  </si>
  <si>
    <t>Custo 
Unitário
SEM 
IMPOSTO</t>
  </si>
  <si>
    <t>Custo 
Unitário
(+21,65%)</t>
  </si>
  <si>
    <t>Custo 
Unitário
Paranacidade
Maio 2021
2ª  PUBLICAÇÃO</t>
  </si>
  <si>
    <t>Custo 
Unitário
Paranacidade
Maio 2021
1ª  PUBLICAÇÃO</t>
  </si>
  <si>
    <t>Fornecimento de asfalto diluído CM-30</t>
  </si>
  <si>
    <t>t</t>
  </si>
  <si>
    <t>Fornecimento de asfalto modificado por borracha AB8</t>
  </si>
  <si>
    <t>Fornecimento de CAP-30/45</t>
  </si>
  <si>
    <t>Fornecimento de CAP-50/70</t>
  </si>
  <si>
    <t>Fornecimento de emulsão asfáltica EAI p/imprimação</t>
  </si>
  <si>
    <t>Fornecimento de emulsão asfáltica RC-1C-E com polímero</t>
  </si>
  <si>
    <t>Fornecimento de emulsão asfáltica RL-1C</t>
  </si>
  <si>
    <t>Fornecimento de emulsão asfáltica RM-1C</t>
  </si>
  <si>
    <t>Fornecimento de emulsão asfáltica RM-2C</t>
  </si>
  <si>
    <t>Fornecimento de emulsão asfáltica RR-1C</t>
  </si>
  <si>
    <t>Fornecimento de emulsão asfáltica RR-1C-E com polímero</t>
  </si>
  <si>
    <t>Fornecimento de emulsão asfáltica RR-2C</t>
  </si>
  <si>
    <t>Fornecimento de emulsão asfáltica RR-2C-E com polímero</t>
  </si>
  <si>
    <t>560100D</t>
  </si>
  <si>
    <t>'</t>
  </si>
  <si>
    <t>589420D</t>
  </si>
  <si>
    <t>535200A</t>
  </si>
  <si>
    <t>535200B</t>
  </si>
  <si>
    <t>535200C</t>
  </si>
  <si>
    <t>521450A</t>
  </si>
  <si>
    <t>521450B</t>
  </si>
  <si>
    <t>521450C</t>
  </si>
  <si>
    <t>521450D</t>
  </si>
  <si>
    <t>521450E</t>
  </si>
  <si>
    <t>521450F</t>
  </si>
  <si>
    <t>521450G</t>
  </si>
  <si>
    <t>521450H</t>
  </si>
  <si>
    <t>535000A</t>
  </si>
  <si>
    <t>521450I</t>
  </si>
  <si>
    <t>863000A</t>
  </si>
  <si>
    <t>863000B</t>
  </si>
  <si>
    <t>863000C</t>
  </si>
  <si>
    <t>863000D</t>
  </si>
  <si>
    <t>534906A</t>
  </si>
  <si>
    <t>534906B</t>
  </si>
  <si>
    <t>534906G</t>
  </si>
  <si>
    <t>534906H</t>
  </si>
  <si>
    <t>534906I</t>
  </si>
  <si>
    <t>534906J</t>
  </si>
  <si>
    <t>534906K</t>
  </si>
  <si>
    <t>534906L</t>
  </si>
  <si>
    <t>534908G</t>
  </si>
  <si>
    <t>534908H</t>
  </si>
  <si>
    <t>101090A</t>
  </si>
  <si>
    <t>101090B</t>
  </si>
  <si>
    <t>562100A</t>
  </si>
  <si>
    <t>562100B</t>
  </si>
  <si>
    <t>562200A</t>
  </si>
  <si>
    <t>562200B</t>
  </si>
  <si>
    <t>583100A</t>
  </si>
  <si>
    <t>583100B</t>
  </si>
  <si>
    <t>583100C</t>
  </si>
  <si>
    <t>584200A</t>
  </si>
  <si>
    <t>584200B</t>
  </si>
  <si>
    <t>584200C</t>
  </si>
  <si>
    <t>534000C</t>
  </si>
  <si>
    <t>534300D</t>
  </si>
  <si>
    <t>534300E</t>
  </si>
  <si>
    <t>570300A</t>
  </si>
  <si>
    <t>570310B</t>
  </si>
  <si>
    <t>570000A</t>
  </si>
  <si>
    <t>570000B</t>
  </si>
  <si>
    <t>570000C</t>
  </si>
  <si>
    <t>570000D</t>
  </si>
  <si>
    <t>570400A</t>
  </si>
  <si>
    <t>570400B</t>
  </si>
  <si>
    <t>570400C</t>
  </si>
  <si>
    <t>PAV-003A</t>
  </si>
  <si>
    <t>PAV-005A</t>
  </si>
  <si>
    <t>PAV-003B</t>
  </si>
  <si>
    <t>PAV-005B</t>
  </si>
  <si>
    <t>589520A</t>
  </si>
  <si>
    <t>589520B</t>
  </si>
  <si>
    <t>589520C</t>
  </si>
  <si>
    <t>589520D</t>
  </si>
  <si>
    <t>589520E</t>
  </si>
  <si>
    <t>589520F</t>
  </si>
  <si>
    <t>589520G</t>
  </si>
  <si>
    <t>589520H</t>
  </si>
  <si>
    <t>589520I</t>
  </si>
  <si>
    <t>589170A</t>
  </si>
  <si>
    <t>589170B</t>
  </si>
  <si>
    <t>589170C</t>
  </si>
  <si>
    <t>589170D</t>
  </si>
  <si>
    <t>Fornecimento de emulsão RR-2C - TSD com Capa Selante Tipo - I-2</t>
  </si>
  <si>
    <t>589520J</t>
  </si>
  <si>
    <t>589000L</t>
  </si>
  <si>
    <t>589000M</t>
  </si>
  <si>
    <t>589000P</t>
  </si>
  <si>
    <t>589000Q</t>
  </si>
  <si>
    <t>589000R</t>
  </si>
  <si>
    <t>Fornecimento de Emulsão RM-2C - Pré-Misturado a Frio (Denso) - DER</t>
  </si>
  <si>
    <t>534300F</t>
  </si>
  <si>
    <t>534300G</t>
  </si>
  <si>
    <t>534300H</t>
  </si>
  <si>
    <t>589320F</t>
  </si>
  <si>
    <t>589320G</t>
  </si>
  <si>
    <t>589320H</t>
  </si>
  <si>
    <t>589320I</t>
  </si>
  <si>
    <t>589320J</t>
  </si>
  <si>
    <t>589320K</t>
  </si>
  <si>
    <t>589320L</t>
  </si>
  <si>
    <t>589320M</t>
  </si>
  <si>
    <t>589320N</t>
  </si>
  <si>
    <t>589320O</t>
  </si>
  <si>
    <t>589320P</t>
  </si>
  <si>
    <t>589190A</t>
  </si>
  <si>
    <t>589190B</t>
  </si>
  <si>
    <t>831000B</t>
  </si>
  <si>
    <t>830000B</t>
  </si>
  <si>
    <t>606600B</t>
  </si>
  <si>
    <t>606600C</t>
  </si>
  <si>
    <t>606600D</t>
  </si>
  <si>
    <t>606700B</t>
  </si>
  <si>
    <t>606700C</t>
  </si>
  <si>
    <t>606700D</t>
  </si>
  <si>
    <t>810250E</t>
  </si>
  <si>
    <t>810250F</t>
  </si>
  <si>
    <t>810250G</t>
  </si>
  <si>
    <t>810250D</t>
  </si>
  <si>
    <t>600310B</t>
  </si>
  <si>
    <t>600310C</t>
  </si>
  <si>
    <t>800900B</t>
  </si>
  <si>
    <t>801100B</t>
  </si>
  <si>
    <t>600510 B</t>
  </si>
  <si>
    <t>841000B</t>
  </si>
  <si>
    <t>.</t>
  </si>
  <si>
    <t xml:space="preserve">840000B </t>
  </si>
  <si>
    <t>97624A</t>
  </si>
  <si>
    <t>97624B</t>
  </si>
  <si>
    <t>DEMOLIÇÃO DE ALVENARIA DE TIJOLO SEM APROVEITAMENTO</t>
  </si>
  <si>
    <t>97623A</t>
  </si>
  <si>
    <t>97623B</t>
  </si>
  <si>
    <t xml:space="preserve">DEMOLIÇÃO DE ALVENARIA DE TIJOLO  COM REAPROVEITAMENTO. </t>
  </si>
  <si>
    <t>606500A</t>
  </si>
  <si>
    <t>606500B</t>
  </si>
  <si>
    <t>97624C</t>
  </si>
  <si>
    <t>97623C</t>
  </si>
  <si>
    <t>606500C</t>
  </si>
  <si>
    <t>603900B</t>
  </si>
  <si>
    <t>603900C</t>
  </si>
  <si>
    <t>Colchão de Areia para fundação de Aterro( Rio / Jazida )</t>
  </si>
  <si>
    <t>Colchão de Argila/saibro/matr. jazida para assentamento de calçadas</t>
  </si>
  <si>
    <t>Colchão de pó de pedra para assentamento de calçadas</t>
  </si>
  <si>
    <t>Colchão de Areia para assentamento de calçadas</t>
  </si>
  <si>
    <t>400500D</t>
  </si>
  <si>
    <t>532500E</t>
  </si>
  <si>
    <t>532500F</t>
  </si>
  <si>
    <t>532500G</t>
  </si>
  <si>
    <t>603900A</t>
  </si>
  <si>
    <t>603900D</t>
  </si>
  <si>
    <t>603900E</t>
  </si>
  <si>
    <t>603900F</t>
  </si>
  <si>
    <t>100576A</t>
  </si>
  <si>
    <t>100576B</t>
  </si>
  <si>
    <t>530200B</t>
  </si>
  <si>
    <t>530200C</t>
  </si>
  <si>
    <t>530200D</t>
  </si>
  <si>
    <t>560400B</t>
  </si>
  <si>
    <t>589100B</t>
  </si>
  <si>
    <t>561100B</t>
  </si>
  <si>
    <t>535000B</t>
  </si>
  <si>
    <t>563100A</t>
  </si>
  <si>
    <t>563100B</t>
  </si>
  <si>
    <t>534000D</t>
  </si>
  <si>
    <t>534000E</t>
  </si>
  <si>
    <t>534000F</t>
  </si>
  <si>
    <t>534300A</t>
  </si>
  <si>
    <t>534300B</t>
  </si>
  <si>
    <t>534300C</t>
  </si>
  <si>
    <t>534300I</t>
  </si>
  <si>
    <t>534300J</t>
  </si>
  <si>
    <t>570300B</t>
  </si>
  <si>
    <t>570310A</t>
  </si>
  <si>
    <t>570000E</t>
  </si>
  <si>
    <t>601100A</t>
  </si>
  <si>
    <t>601100B</t>
  </si>
  <si>
    <t>603000A</t>
  </si>
  <si>
    <t>603000B</t>
  </si>
  <si>
    <t>603000C</t>
  </si>
  <si>
    <t>603300A</t>
  </si>
  <si>
    <t>603300B</t>
  </si>
  <si>
    <t>603300C</t>
  </si>
  <si>
    <t>603900H</t>
  </si>
  <si>
    <t>605000F</t>
  </si>
  <si>
    <t>605000G</t>
  </si>
  <si>
    <t>605000H</t>
  </si>
  <si>
    <t>605000I</t>
  </si>
  <si>
    <t>605000J</t>
  </si>
  <si>
    <t>605000K</t>
  </si>
  <si>
    <t>605000L</t>
  </si>
  <si>
    <t>605000M</t>
  </si>
  <si>
    <t>605000N</t>
  </si>
  <si>
    <t>605000O</t>
  </si>
  <si>
    <t>570400D</t>
  </si>
  <si>
    <t>531000A</t>
  </si>
  <si>
    <t>531000B</t>
  </si>
  <si>
    <t>823000A</t>
  </si>
  <si>
    <t>823000B</t>
  </si>
  <si>
    <t>820000J</t>
  </si>
  <si>
    <t>606000A</t>
  </si>
  <si>
    <t>606000B</t>
  </si>
  <si>
    <t>605200A</t>
  </si>
  <si>
    <t>605200B</t>
  </si>
  <si>
    <t>605300A</t>
  </si>
  <si>
    <t>605300B</t>
  </si>
  <si>
    <t>605400A</t>
  </si>
  <si>
    <t>605400B</t>
  </si>
  <si>
    <t>603700A</t>
  </si>
  <si>
    <t>603800A</t>
  </si>
  <si>
    <t>603700B</t>
  </si>
  <si>
    <t>603800B</t>
  </si>
  <si>
    <t>600000A</t>
  </si>
  <si>
    <t>600000B</t>
  </si>
  <si>
    <t>633000A</t>
  </si>
  <si>
    <t>633000B</t>
  </si>
  <si>
    <t>633100A</t>
  </si>
  <si>
    <t>633200A</t>
  </si>
  <si>
    <t>633100B</t>
  </si>
  <si>
    <t>633200B</t>
  </si>
  <si>
    <t>601200A</t>
  </si>
  <si>
    <t>601200B</t>
  </si>
  <si>
    <t>620000A</t>
  </si>
  <si>
    <t>620000B</t>
  </si>
  <si>
    <t>620000C</t>
  </si>
  <si>
    <t>620100A</t>
  </si>
  <si>
    <t>620100B</t>
  </si>
  <si>
    <t>620100C</t>
  </si>
  <si>
    <t>620100D</t>
  </si>
  <si>
    <t>620200A</t>
  </si>
  <si>
    <t>620200B</t>
  </si>
  <si>
    <t>620200C</t>
  </si>
  <si>
    <t>610400A</t>
  </si>
  <si>
    <t>610400B</t>
  </si>
  <si>
    <t>610400C</t>
  </si>
  <si>
    <t>610400D</t>
  </si>
  <si>
    <t>610600A</t>
  </si>
  <si>
    <t>610600B</t>
  </si>
  <si>
    <t>610600C</t>
  </si>
  <si>
    <t>610600D</t>
  </si>
  <si>
    <t>610600E</t>
  </si>
  <si>
    <t>610600F</t>
  </si>
  <si>
    <t>610800A</t>
  </si>
  <si>
    <t>610800B</t>
  </si>
  <si>
    <t>610800C</t>
  </si>
  <si>
    <t>610800D</t>
  </si>
  <si>
    <t>610800E</t>
  </si>
  <si>
    <t>610700A</t>
  </si>
  <si>
    <t>610700B</t>
  </si>
  <si>
    <t>610900A</t>
  </si>
  <si>
    <t>610900B</t>
  </si>
  <si>
    <t>611000A</t>
  </si>
  <si>
    <t>611000B</t>
  </si>
  <si>
    <t>611000C</t>
  </si>
  <si>
    <t>611000D</t>
  </si>
  <si>
    <t>611200A</t>
  </si>
  <si>
    <t>611200B</t>
  </si>
  <si>
    <t>611400A</t>
  </si>
  <si>
    <t>611400B</t>
  </si>
  <si>
    <t>611400C</t>
  </si>
  <si>
    <t>611400D</t>
  </si>
  <si>
    <t>611600A</t>
  </si>
  <si>
    <t>611600B</t>
  </si>
  <si>
    <t>611100A</t>
  </si>
  <si>
    <t>611100B</t>
  </si>
  <si>
    <t>611500A</t>
  </si>
  <si>
    <t>611500B</t>
  </si>
  <si>
    <t xml:space="preserve">                                                                                                           </t>
  </si>
  <si>
    <t xml:space="preserve">                           </t>
  </si>
  <si>
    <t>ANP 1 
(Produtores)
 15 NOVEMBRO / 2021</t>
  </si>
  <si>
    <t>ANP 2 
(Distribuidores Estado)
FEVEREIRO / 2022</t>
  </si>
  <si>
    <t>ANP 3 
(Distribuidores Região Sul)
FEVEREIRO / 2022</t>
  </si>
  <si>
    <t>Custo 
Unitário
Paranacidade
Agosto 2021
3ª  PUBLICAÇÃO</t>
  </si>
  <si>
    <t>Custo 
Unitário
Paranacidade
Novembro 2021
4ª  PUBLICAÇÃO</t>
  </si>
  <si>
    <t>brasil</t>
  </si>
  <si>
    <t>Paraná</t>
  </si>
  <si>
    <t>anpfev - DISTRIBUIDOR</t>
  </si>
  <si>
    <t>Fornecimento de asfalto modificado por borracha AB22</t>
  </si>
  <si>
    <t>EMULSAO ASFALTICA ANIONICA</t>
  </si>
  <si>
    <t xml:space="preserve">L     </t>
  </si>
  <si>
    <t>CR</t>
  </si>
  <si>
    <t>6,01</t>
  </si>
  <si>
    <t>EMULSAO ASFALTICA CATIONICA RL-1C PARA USO EM PAVIMENTACAO ASFALTICA (COLETADO CAIXA NA ANP ACRESCIDO DE ICMS)</t>
  </si>
  <si>
    <t xml:space="preserve">T     </t>
  </si>
  <si>
    <t xml:space="preserve">C </t>
  </si>
  <si>
    <t>3.535,55</t>
  </si>
  <si>
    <t>EMULSAO ASFALTICA CATIONICA RR-2C PARA USO EM PAVIMENTACAO ASFALTICA (COLETADO CAIXA NA ANP ACRESCIDO DE ICMS)</t>
  </si>
  <si>
    <t xml:space="preserve">KG    </t>
  </si>
  <si>
    <t>3,81</t>
  </si>
  <si>
    <t>EMULSAO EXPLOSIVA EM CARTUCHOS DE 1" X 12", DENSIDADE 1.15 G/CM3, INICIACAO ESPOLETA N. 8 / CORDEL</t>
  </si>
  <si>
    <t>AS</t>
  </si>
  <si>
    <t>26,73</t>
  </si>
  <si>
    <t>Fornecimento de CAP-modifocado por polímero elastomérico 55/75-E</t>
  </si>
  <si>
    <t>EMULSAO EXPLOSIVA EM CARTUCHOS DE 1" X 24", DENSIDADE 1.15 G/CM3, INICIACAO ESPOLETA N. 8 / CORDEL</t>
  </si>
  <si>
    <t>Fornecimento de CAP-modifocado por polímero elastomérico 60/85-E</t>
  </si>
  <si>
    <t>EMULSAO EXPLOSIVA EM CARTUCHOS DE 1" X 8", DENSIDADE 1.15 G/CM3, INICIACAO ESPOLETA N. 8 / CORDEL</t>
  </si>
  <si>
    <t>Fornecimento de CAP-modifocado por polímero elastomérico 65/90-E</t>
  </si>
  <si>
    <t>EMULSAO EXPLOSIVA EM CARTUCHOS DE 2 1/2" X 24", DENSIDADE 1.15 G/CM3, INICIACAO ESPOLETA N. 8 / CORDEL</t>
  </si>
  <si>
    <t>20,23</t>
  </si>
  <si>
    <t>ASFALTO MODIFICADO TIPO II - NBR 9910 (ASFALTO OXIDADO PARA IMPERMEABILIZACAO, COEFICIENTE DE PENETRACAO 20-35)</t>
  </si>
  <si>
    <t>10,32</t>
  </si>
  <si>
    <t>ASFALTO MODIFICADO TIPO III - NBR 9910 (ASFALTO OXIDADO PARA IMPERMEABILIZACAO, COEFICIENTE DE PENETRACAO 15-25)</t>
  </si>
  <si>
    <t>11,58</t>
  </si>
  <si>
    <t>Fornecimento de emulsão asfáltica RL-1C-E com polímero</t>
  </si>
  <si>
    <t>CIMENTO ASFALTICO DE PETROLEO A GRANEL (CAP) 50/70 (COLETADO CAIXA NA ANP ACRESCIDO DE ICMS)</t>
  </si>
  <si>
    <t>5.061,15</t>
  </si>
  <si>
    <t>Fornecimento de emulsão asfáltica RM-1C-E com polímero</t>
  </si>
  <si>
    <t>603500B</t>
  </si>
  <si>
    <t>CBUQ c/ asfalto com BORRACHA - AB8</t>
  </si>
  <si>
    <t>Fornecimento de ASFALTO-BORRACHA - CBUQ com borracha - AB8</t>
  </si>
  <si>
    <t>02.105.000040.SER</t>
  </si>
  <si>
    <t>Carga de mat. 1a. cat./sem transporte</t>
  </si>
  <si>
    <t>Escavação e carga mat. 1a. cat./sem transporte</t>
  </si>
  <si>
    <t>Escavação e carga mat. 2a. cat./sem transporte</t>
  </si>
  <si>
    <t>Escavação e carga mat. 3a. cat./sem transporte</t>
  </si>
  <si>
    <t>Escavação de mat. 1a. cat./sem transporte</t>
  </si>
  <si>
    <t>Escavação de mat. 2a. cat./sem transporte</t>
  </si>
  <si>
    <t>Escavação de mat. 3a. cat./sem transporte</t>
  </si>
  <si>
    <t>Escavação, Carga e Transp. 1ª Cat.</t>
  </si>
  <si>
    <t>Escavação, Carga e Transp. 2ª Cat.</t>
  </si>
  <si>
    <t>Escavação, Carga e Transp. de jazida 3ª Cat. (ROCHA)</t>
  </si>
  <si>
    <t>BDI - ACÓRDÃO Nº 2622/2013 – TCU
PAVIMENTAÇÃO</t>
  </si>
  <si>
    <t>4- Valor do ISS calculado</t>
  </si>
  <si>
    <t>EXECUÇÃO E COMPACTAÇÃO DE BASE E OU SUB BASE PARA PAVIMENTAÇÃO DE CONCRETO COMPACTADO COM ROLO - EXCLUSIVE CARGA E TRANSPORTE. AF_11/2019</t>
  </si>
  <si>
    <t>EXECUÇÃO DE JUNTAS DE CONTRAÇÃO PARA PAVIMENTOS DE CONCRETO. AF_11/2017</t>
  </si>
  <si>
    <t>APLICAÇÃO DE GRAXA EM BARRAS DE TRANSFERÊNCIA PARA EXECUÇÃO DE PAVIMENTO DE CONCRETO. AF_11/2017</t>
  </si>
  <si>
    <t>BARRAS DE TRANSFERÊNCIA, AÇO CA-25 DE 16,0 MM, PARA EXECUÇÃO DE PAVIMENTO DE CONCRETO  FORNECIMENTO E INSTALAÇÃO. AF_11/2017</t>
  </si>
  <si>
    <t>BARRAS DE TRANSFERÊNCIA, AÇO CA-25 DE 20,0 MM, PARA EXECUÇÃO DE PAVIMENTO DE CONCRETO  FORNECIMENTO E INSTALAÇÃO. AF_11/2017</t>
  </si>
  <si>
    <t>BARRAS DE TRANSFERÊNCIA, AÇO CA-25 DE 25,0 MM, PARA EXECUÇÃO DE PAVIMENTO DE CONCRETO  FORNECIMENTO E INSTALAÇÃO. AF_11/2017</t>
  </si>
  <si>
    <t>BARRAS DE TRANSFERÊNCIA, AÇO CA-25 DE 32,0 MM, PARA EXECUÇÃO DE PAVIMENTO DE CONCRETO  FORNECIMENTO E INSTALAÇÃO. AF_11/2017</t>
  </si>
  <si>
    <t>BARRAS DE LIGAÇÃO, AÇO CA-50 DE 10 MM, PARA EXECUÇÃO DE PAVIMENTO DE CONCRETO  FORNECIMENTO E INSTALAÇÃO. AF_11/2017</t>
  </si>
  <si>
    <t>USINAGEM DE CONCRETO PARA COMPACTAÇÃO COM ROLO. AF_03/2020</t>
  </si>
  <si>
    <t>EXECUÇÃO DE PAVIMENTO DE CONCRETO SIMPLES (PCS), FCK = 40 MPA, CAMADA COM ESPESSURA DE 17,5 CM. AF_11/2017,
INCLUSIVE: AGENTE DE CURA, LONAS PLÁSTICA, RÉGUA VIBRATÓRIA, JUNTAS DE CONTRAÇÃO, GRAXA, BARRAS DE TRANSFERÊNCIA E BARRAS DE LIGAÇÃO.</t>
  </si>
  <si>
    <t>EXECUÇÃO DE PAVIMENTO DE CONCRETO SIMPLES (PCS), FCK = 40 MPA, CAMADA COM ESPESSURA DE 20,0 CM. AF_11/2017
INCLUSIVE: AGENTE DE CURA, LONAS PLÁSTICA, RÉGUA VIBRATÓRIA, JUNTAS DE CONTRAÇÃO, GRAXA, BARRAS DE TRANSFERÊNCIA E BARRAS DE LIGAÇÃO.</t>
  </si>
  <si>
    <t>EXECUÇÃO DE PAVIMENTO DE CONCRETO SIMPLES (PCS), FCK = 40 MPA, CAMADA COM ESPESSURA DE 22,5 CM. AF_11/2017.
INCLUSIVE: AGENTE DE CURA, LONAS PLÁSTICA, RÉGUA VIBRATÓRIA, JUNTAS DE CONTRAÇÃO, GRAXA, BARRAS DE TRANSFERÊNCIA E BARRAS DE LIGAÇÃO.</t>
  </si>
  <si>
    <t>EXECUÇÃO DE PAVIMENTO DE CONCRETO SIMPLES (PCS), FCK = 40 MPA, CAMADA COM ESPESSURA DE 25,0 CM. AF_11/2017.
INCLUSIVE: AGENTE DE CURA, LONAS PLÁSTICA, RÉGUA VIBRATÓRIA, JUNTAS DE CONTRAÇÃO, GRAXA, BARRAS DE TRANSFERÊNCIA E BARRAS DE LIGAÇÃO.</t>
  </si>
  <si>
    <t>EXECUÇÃO DE PAVIMENTO DE CONCRETO SIMPLES (PCS), FCK = 40 MPA, CAMADA COM ESPESSURA DE 27,5 CM. AF_11/2017.
INCLUSIVE: AGENTE DE CURA, LONAS PLÁSTICA, RÉGUA VIBRATÓRIA, JUNTAS DE CONTRAÇÃO, GRAXA, BARRAS DE TRANSFERÊNCIA E BARRAS DE LIGAÇÃO.</t>
  </si>
  <si>
    <t>APLICAÇÃO DE LONA PLÁSTICA PARA EXECUÇÃO DE PAVIMENTOS DE CONCRETO. AF_11/2017.
INCLUSIVE: AGENTE DE CURA, LONAS PLÁSTICA, RÉGUA VIBRATÓRIA, JUNTAS DE CONTRAÇÃO, GRAXA, BARRAS DE TRANSFERÊNCIA E BARRAS DE LIGAÇÃO.</t>
  </si>
  <si>
    <t>EXECUÇÃO DE PAVIMENTO DE CONCRETO SIMPLES (PCS), FCK = 40 MPA, CAMADA COM ESPESSURA DE 15,0 CM. AF_11/2017.
INCLUSIVE: AGENTE DE CURA, LONAS PLÁSTICA, RÉGUA VIBRATÓRIA, JUNTAS DE CONTRAÇÃO, GRAXA, BARRAS DE TRANSFERÊNCIA E BARRAS DE LIGAÇÃO.</t>
  </si>
  <si>
    <t xml:space="preserve"> É de responsabilidade do orçamentista adequar as % de incidência de cada item no cálculo do BDI e os impostos. Os valores aqui apresentados são apenas exemplos.</t>
  </si>
  <si>
    <t>Concreto compactado a rolo Fck= 15MPa</t>
  </si>
  <si>
    <t>Concreto compactado a rolo Fck= 5MPa</t>
  </si>
  <si>
    <t>Concreto magro usinado, espalhamento manual</t>
  </si>
  <si>
    <t>Cura química de pavimento de concreto</t>
  </si>
  <si>
    <t>Cura úmida de pavimento de concreto com manta de cura</t>
  </si>
  <si>
    <t>Forma metálica para pavimento</t>
  </si>
  <si>
    <t>Fornecimento e aplicação de fibra de polipropileno multifilamentos (0,600kg/ m³)</t>
  </si>
  <si>
    <t>Fornecimento e aplicação de lona plástica preta 200 micras</t>
  </si>
  <si>
    <t>Fornecimento e colocação de aço CA 50 para apoio de barra de transferência</t>
  </si>
  <si>
    <t>Fornecimento e colocação de aço CA 50 para barras de ligação</t>
  </si>
  <si>
    <t>Fornecimento e colocação de aço CA-25 para barra de transferência ø= 20mm</t>
  </si>
  <si>
    <t>Fornecimento e colocação de aço CA-25 para barra de transferência ø= 25mm</t>
  </si>
  <si>
    <t>Fornecimento e colocação de aço CA-25 para barra de transferência ø= 32mm</t>
  </si>
  <si>
    <t>Fornecimento e colocação de Tela Telcon Q-138 ou equivalente</t>
  </si>
  <si>
    <t>Junta de construção com isopor, selante a base de silicone e cordão de polipropileno</t>
  </si>
  <si>
    <t>Junta longitudinal, inclusive corte, selante a base de silicone e cordão de polipropileno</t>
  </si>
  <si>
    <t>Junta transversal , inclusive corte, selante a base de silicone e cordão de polipropileno</t>
  </si>
  <si>
    <t>Pavimento de concreto de cimento Portland Fctmk = 4,5 MPa executado com pavimentadora</t>
  </si>
  <si>
    <t>Pavimento de concreto Fctmk=4,50MPa executado com régua vibratória</t>
  </si>
  <si>
    <t>CAP</t>
  </si>
  <si>
    <t>CM-30</t>
  </si>
  <si>
    <t>set/22</t>
  </si>
  <si>
    <t>out/22</t>
  </si>
  <si>
    <t>Custo 
Unitário
DER
ago/2022</t>
  </si>
  <si>
    <t>com desconto Petrobras</t>
  </si>
  <si>
    <t xml:space="preserve"> greca</t>
  </si>
  <si>
    <t>cbb</t>
  </si>
  <si>
    <t>(Pesquisa Curitiba)
outubro / 2022</t>
  </si>
  <si>
    <t xml:space="preserve">Greca 
Asfáltos
</t>
  </si>
  <si>
    <t xml:space="preserve">CBB 
Asfáltos
</t>
  </si>
  <si>
    <t xml:space="preserve">
jan/2021</t>
  </si>
  <si>
    <t xml:space="preserve">
set/2017</t>
  </si>
  <si>
    <t xml:space="preserve">
jun/2018</t>
  </si>
  <si>
    <t xml:space="preserve">
mar/2019</t>
  </si>
  <si>
    <t xml:space="preserve">
out/2019</t>
  </si>
  <si>
    <t>Fornecimento de emulsão asfáltica RM-2C-E com polímero</t>
  </si>
  <si>
    <t>5.232,23</t>
  </si>
  <si>
    <t>3.750,77</t>
  </si>
  <si>
    <t>3.145,55</t>
  </si>
  <si>
    <t>3.227,05</t>
  </si>
  <si>
    <t>3.778,62</t>
  </si>
  <si>
    <t>3.842,38</t>
  </si>
  <si>
    <t>4.028,60</t>
  </si>
  <si>
    <t>2.667,16</t>
  </si>
  <si>
    <t>3.013,00</t>
  </si>
  <si>
    <t>2.547,37</t>
  </si>
  <si>
    <t>2.793,40</t>
  </si>
  <si>
    <t>3.300,00</t>
  </si>
  <si>
    <t>2.377,21</t>
  </si>
  <si>
    <t>3.360,00</t>
  </si>
  <si>
    <t>2.306,77</t>
  </si>
  <si>
    <t>2.695,12</t>
  </si>
  <si>
    <t>2.616,54</t>
  </si>
  <si>
    <t>2.798,30</t>
  </si>
  <si>
    <t>PREÇOS DO DER  - LIGANTES</t>
  </si>
  <si>
    <t>Custo 
Unitário
Paranacidade
Fevereiro 2022
6ª  PUBLICAÇÃO</t>
  </si>
  <si>
    <t>Custo 
Unitário
Paranacidade
Janeiro 2021
DER</t>
  </si>
  <si>
    <t>Custo 
Unitário
DER
Fevereiro 2022
5ª  PUBLICAÇÃO</t>
  </si>
  <si>
    <t>Custo 
Unitário
Paranacidade
Outubro 2022
8ª  PUBLICAÇÃO</t>
  </si>
  <si>
    <t>Custo 
Unitário
DER
Agosto 2022
7ª  PUBLICAÇÃO</t>
  </si>
  <si>
    <t>BDI (%) - MATERIAIS</t>
  </si>
  <si>
    <t>LUMINÁRIA TIPO PLAFON CIRCULAR, DE SOBREPOR, COM LED DE 12/13 W - FORNECIMENTO E INSTALAÇÃO. AF_03/2022</t>
  </si>
  <si>
    <t>EXECUÇÃO DE PAVIMENTO DE CONCRETO ARMADO (PCA), FCK = 30 MPA, ESPESSURA DE 15,0 CM. AF_04/2022</t>
  </si>
  <si>
    <t>Formas de madeira comum</t>
  </si>
  <si>
    <t>602000B</t>
  </si>
  <si>
    <t>602000A</t>
  </si>
  <si>
    <t>602000C</t>
  </si>
  <si>
    <t>EXECUÇÃO DE PAVIMENTO DE CONCRETO ARMADO (PCA), FCK = 30 MPA, ESPESSURA DE 17,5 CM. AF_04/2022</t>
  </si>
  <si>
    <t>Ensaio de Massa Específica - In Situ - Método Frasco de Areia (Grau de Compactação) - Sub-base</t>
  </si>
  <si>
    <t>Ensaio de Massa Específica - In Situ - Método Frasco de Areia (Grau de Compactação) - Base</t>
  </si>
  <si>
    <t>09.03.02</t>
  </si>
  <si>
    <t>Ensaio de Abrasão Los Angeles - Macadame seco com brita graduada</t>
  </si>
  <si>
    <t>09.03.02a</t>
  </si>
  <si>
    <t>Ensaio de Abrasão Los Angeles - rachão sem britagem</t>
  </si>
  <si>
    <t>09.07.01</t>
  </si>
  <si>
    <t>Viga Benkelman (levantamento por pista de 20m em 20m alternando a faixa) - (km.pista)</t>
  </si>
  <si>
    <t>PAVIMENTAÇÃO DE VIAS URBANAS</t>
  </si>
  <si>
    <t>RUA FINAL - COLOCAR O NOME CORRETO DA VIA</t>
  </si>
  <si>
    <t>Diferença entre a Soma e a Multiplicação</t>
  </si>
  <si>
    <t>XX</t>
  </si>
  <si>
    <t>IMURIMIR</t>
  </si>
  <si>
    <t>CBUQ - REMENDO (MECÂNICO)</t>
  </si>
  <si>
    <t>(Os custos com mobilização e desmobilização de equipe e equipamentos para a extração de amostras para os ensaios tecnológicos, exceto da capa asfáltica, serão de responsabilidade da empresa executora da obra.)</t>
  </si>
  <si>
    <t>Corpo de BSTC ø 0,40 Sem Berço c/ Armação Símples PA-1</t>
  </si>
  <si>
    <t>Corpo de BSTC ø 0,50 Sem Berço c/ Armação Símples PA-1</t>
  </si>
  <si>
    <t>Corpo de BSTC ø 0,60 Sem Berço c/ Armação Símples PA-1</t>
  </si>
  <si>
    <t>Corpo de BSTC ø 0,70 Sem Berço c/ Armação Símples PA-1</t>
  </si>
  <si>
    <t>Corpo de BSTC ø 0,80 Sem Berço c/ Armação Símples PA-1</t>
  </si>
  <si>
    <t>Corpo de BSTC ø 0,90 Sem Berço c/ Armação Símples PA-1</t>
  </si>
  <si>
    <t>Corpo de BSTC ø 1,00 Sem Berço c/ Armação Símples PA-1</t>
  </si>
  <si>
    <t>Corpo de BSTC ø 1,20 Sem Berço c/ Armação Símples PA-1</t>
  </si>
  <si>
    <t>Corpo de BSTC ø 1,50 Sem Berço c/ Armação Símples PA-1</t>
  </si>
  <si>
    <t>Corpo de BSTC ø 1,80 Sem Berço c/ Armação Símples PA-1</t>
  </si>
  <si>
    <t>Corpo de BSTC ø 2,00 Sem Berço c/ Armação Símples PA-1</t>
  </si>
  <si>
    <t>Corpo de BSTC ø 0,40 Sem Berço c/ Armação Dupla PA-2</t>
  </si>
  <si>
    <t>Corpo de BSTC ø 0,50 Sem Berço c/ Armação Dupla PA-2</t>
  </si>
  <si>
    <t>Corpo de BSTC ø 0,60 Sem Berço c/ Armação Dupla PA-2</t>
  </si>
  <si>
    <t>Corpo de BSTC ø 0,70 Sem Berço c/ Armação Dupla PA-2</t>
  </si>
  <si>
    <t>Corpo de BSTC ø 0,80 Sem Berço c/ Armação Dupla PA-2</t>
  </si>
  <si>
    <t>Corpo de BSTC ø 0,90 Sem Berço c/ Armação Dupla PA-2</t>
  </si>
  <si>
    <t>Corpo de BSTC ø 1,00 Sem Berço c/ Armação Dupla PA-2</t>
  </si>
  <si>
    <t>Corpo de BSTC ø 1,20 Sem Berço c/ Armação Dupla PA-2</t>
  </si>
  <si>
    <t>Corpo de BSTC ø 1,50 Sem Berço c/ Armação Dupla PA-2</t>
  </si>
  <si>
    <t>Corpo de BSTC ø 1,80 Sem Berço c/ Armação Dupla PA-2</t>
  </si>
  <si>
    <t>Corpo de BSTC ø 2,00 Sem Berço c/ Armação Dupla PA-2</t>
  </si>
  <si>
    <t>Corpo de BSTC ø 0,40 Com Berço c/ Armação Dupla PA-2</t>
  </si>
  <si>
    <t>Corpo de BSTC ø 0,50 Com Berço c/ Armação Dupla PA-2</t>
  </si>
  <si>
    <t>Corpo de BSTC ø 0,60 Com Berço c/ Armação Dupla PA-2</t>
  </si>
  <si>
    <t>Corpo de BSTC ø 0,70 Com Berço c/ Armação Dupla PA-2</t>
  </si>
  <si>
    <t>Corpo de BSTC ø 0,80 Com Berço c/ Armação Dupla PA-2</t>
  </si>
  <si>
    <t>Corpo de BSTC ø 0,90 Com Berço c/ Armação Dupla PA-2</t>
  </si>
  <si>
    <t>Corpo de BSTC ø 1,00 Com Berço c/ Armação Dupla PA-2</t>
  </si>
  <si>
    <t>Corpo de BSTC ø 1,20 Com Berço c/ Armação Dupla PA-2</t>
  </si>
  <si>
    <t>Corpo de BSTC ø 1,50 Com Berço c/ Armação Dupla PA-2</t>
  </si>
  <si>
    <t>Corpo de BSTC ø 1,80 Com Berço c/ Armação Dupla PA-2</t>
  </si>
  <si>
    <t>Corpo de BSTC ø 2,00 Com Berço c/ Armação Dupla PA-2</t>
  </si>
  <si>
    <t>Corpo de BSTC ø 0,40 sem Berço e sem Armação - PS-1</t>
  </si>
  <si>
    <t>Corpo de BSTC ø 0,30 sem Berço e sem Armação - PS-1</t>
  </si>
  <si>
    <t>Corpo de BSTC ø 0,20 sem Berço e sem Armação - PS-1</t>
  </si>
  <si>
    <t>Corpo de BSTC ø 0,50 sem Berço e sem Armação - PS-1</t>
  </si>
  <si>
    <t>Corpo de BSTC ø 0,60 sem Berço e sem Armação - PS-1</t>
  </si>
  <si>
    <t>Corpo de BSTC ø 0,70 sem Berço e sem Armação - PS-1</t>
  </si>
  <si>
    <t>Corpo de BSTC ø 0,80 sem Berço e sem Armação - PS-1</t>
  </si>
  <si>
    <t xml:space="preserve">ÁREA ATUAL (m2): </t>
  </si>
  <si>
    <t>=GLOBAL_DER_AGO_2022!B43</t>
  </si>
  <si>
    <t>DISTÂNCIAS MÉDIAS DE TRANSPORTES (km)</t>
  </si>
  <si>
    <t>Local:</t>
  </si>
  <si>
    <t>Comercial</t>
  </si>
  <si>
    <t>Local</t>
  </si>
  <si>
    <t>Materiais</t>
  </si>
  <si>
    <t>Origem</t>
  </si>
  <si>
    <t>Pav.</t>
  </si>
  <si>
    <t>N/pav.</t>
  </si>
  <si>
    <t>Abrigo parada ônibus</t>
  </si>
  <si>
    <t>(1)</t>
  </si>
  <si>
    <t>Areal -</t>
  </si>
  <si>
    <t>areal</t>
  </si>
  <si>
    <t>Pedreira-</t>
  </si>
  <si>
    <t>pedreira</t>
  </si>
  <si>
    <t>(2)</t>
  </si>
  <si>
    <t xml:space="preserve">CAP-50/70 </t>
  </si>
  <si>
    <t>(4)</t>
  </si>
  <si>
    <t>cap</t>
  </si>
  <si>
    <t>(5)</t>
  </si>
  <si>
    <t>(6)</t>
  </si>
  <si>
    <t>Emulsão</t>
  </si>
  <si>
    <t>Gabião galvanizado</t>
  </si>
  <si>
    <t>(3)</t>
  </si>
  <si>
    <t>Massa brita graduada</t>
  </si>
  <si>
    <t>Massa a quente</t>
  </si>
  <si>
    <t>Usina de asfalto</t>
  </si>
  <si>
    <t>Massa quente</t>
  </si>
  <si>
    <t>Material de fresagem</t>
  </si>
  <si>
    <t>Pista p/Bota-fora</t>
  </si>
  <si>
    <t>Material de pav.demolido</t>
  </si>
  <si>
    <t>Tijolos</t>
  </si>
  <si>
    <t>Trilhos/chapas</t>
  </si>
  <si>
    <t>Tubos</t>
  </si>
  <si>
    <t xml:space="preserve">Areia  </t>
  </si>
  <si>
    <t>Areal-</t>
  </si>
  <si>
    <t>Cimento Portland</t>
  </si>
  <si>
    <t>CAP/CAP-Borracha/Polímero</t>
  </si>
  <si>
    <t>Cal hidratada CH-1</t>
  </si>
  <si>
    <t>Obs:</t>
  </si>
  <si>
    <t>Fabrica de tubo mais proximo, com renomado reconhecimento local.</t>
  </si>
  <si>
    <t>Comércio local ou próximo</t>
  </si>
  <si>
    <t>Curitiba</t>
  </si>
  <si>
    <t>Repar-Araucária</t>
  </si>
  <si>
    <t>GLOBAL</t>
  </si>
  <si>
    <t>ÁREA ATUAL (m2):</t>
  </si>
  <si>
    <t>Digitar "B" para arredondar para baixo e "C" para cima, ou "0" para o simples arredondamento do %</t>
  </si>
  <si>
    <t>Se ficar diferente de 100,00% utilizar as letras "B" ou "C" para ajustar os % para atingir exatamente 100,00%.</t>
  </si>
  <si>
    <t>Quantidade 
Edital (50%)</t>
  </si>
  <si>
    <t>Projeto</t>
  </si>
  <si>
    <t>Areal</t>
  </si>
  <si>
    <t>Pedreira</t>
  </si>
  <si>
    <t xml:space="preserve"> DESTINO - TRECHO DA OBRA</t>
  </si>
  <si>
    <t>SAM:</t>
  </si>
  <si>
    <t>Lote:</t>
  </si>
  <si>
    <r>
      <t>Usina de solos</t>
    </r>
    <r>
      <rPr>
        <sz val="9"/>
        <rFont val="Tahoma"/>
        <family val="2"/>
      </rPr>
      <t xml:space="preserve"> </t>
    </r>
  </si>
  <si>
    <t xml:space="preserve">Brita Graduada </t>
  </si>
  <si>
    <t>Lajotas de Concreto</t>
  </si>
  <si>
    <t>Paver ou Bloket</t>
  </si>
  <si>
    <t>Emulsão RM-1C/2C ; RL</t>
  </si>
  <si>
    <t>Rachão / Pedra de Mão</t>
  </si>
  <si>
    <t>DESTINO: USINA ASFALTO</t>
  </si>
  <si>
    <t>DESTINO: FÁB. ARTE-FATO</t>
  </si>
  <si>
    <t>Petit - Pavet - (Pedra Portuguesa)</t>
  </si>
  <si>
    <t>(7)</t>
  </si>
  <si>
    <t>Apucarana(AP), Ponta Grossa (PG), Campo Largo, Curitiba (CT), Araucária</t>
  </si>
  <si>
    <t>Balsa Nova ou Rio Branco do Sul</t>
  </si>
  <si>
    <t>Almirante Tamandaré, Itaperuçu, Rio Branco do Sul</t>
  </si>
  <si>
    <t>Cal hidratada / virgem</t>
  </si>
  <si>
    <t>Origem da Fábrica</t>
  </si>
  <si>
    <t>Fincadinha de concreto</t>
  </si>
  <si>
    <t>Solo argiloso</t>
  </si>
  <si>
    <t>Brita 4A / Bica Corrida</t>
  </si>
  <si>
    <t>DESTINO: USINA CON-CRETO OU SOLO-CIM.</t>
  </si>
  <si>
    <t>Solo (solo cimento)</t>
  </si>
  <si>
    <t>Saibreira</t>
  </si>
  <si>
    <t>Massa solo cimento</t>
  </si>
  <si>
    <t>Moledo Compactado CBR&gt;=20 (Base ou Sub-Base)</t>
  </si>
  <si>
    <t>EAI / CM-30</t>
  </si>
  <si>
    <t>Emulsão  RR-1C; RR-2C</t>
  </si>
  <si>
    <t>Macadame Hidráulico / Seco</t>
  </si>
  <si>
    <t>Saibro / Material de jazida / Moledo</t>
  </si>
  <si>
    <t xml:space="preserve">Paralelepípedos Regulares / Fincadinha Granito </t>
  </si>
  <si>
    <t>Pedra Irregular / Cordão lateral</t>
  </si>
  <si>
    <t>Concreto Compactado a Rolo (massa)</t>
  </si>
  <si>
    <t>Concreto Usinado</t>
  </si>
  <si>
    <t>Meio-fio</t>
  </si>
  <si>
    <t>BDI (%) - MATERIAIS:</t>
  </si>
  <si>
    <t>BDI (%) - SERVIÇOS:</t>
  </si>
  <si>
    <t>ORÇAMENTO</t>
  </si>
  <si>
    <t xml:space="preserve">PREÇO GLOBAL    </t>
  </si>
  <si>
    <t>Determinação do Abatimento (Slump Test) - aproximadamente 1 teste por caminhão betoneira. Considerando caminhão de 8m3</t>
  </si>
  <si>
    <t>Determinação de Resistência a Compressão por Moldagem, Cura e Ruptura de Corpos de Provas Cilíndricos. Moldagem de 4 corpos de prova por caminhão.</t>
  </si>
  <si>
    <t>Determinação de Resistência a Tração na Flexão por Moldagem, Cura e Ruptura de Corpos de Provas Prismáticos (estimativa 2 corpos de prova a cada 50m3)</t>
  </si>
  <si>
    <t>Mobilização e Desmobilização de Equipamento e Equipe para as concretagens, rompimento dos corpos de prova moldados na obra e coletas de corpos de prova. (sendo considerado 4 diárias)</t>
  </si>
  <si>
    <t>Fazer Cotação</t>
  </si>
  <si>
    <t>fonte da cotação</t>
  </si>
  <si>
    <r>
      <t xml:space="preserve">Digitar "B" para arredondar para baixo e "C" para cima, ou "0" para o simples arredondamento do valor do </t>
    </r>
    <r>
      <rPr>
        <b/>
        <sz val="9"/>
        <rFont val="Arial"/>
        <family val="2"/>
      </rPr>
      <t>Paranacidade</t>
    </r>
  </si>
  <si>
    <t>Ajuste Manual dos centavos entre a Soma e a multiplicação</t>
  </si>
  <si>
    <t xml:space="preserve">TOTAL GERAL  </t>
  </si>
  <si>
    <t>Observações</t>
  </si>
  <si>
    <t>Destinos</t>
  </si>
  <si>
    <t>SFM 
2023</t>
  </si>
  <si>
    <r>
      <t xml:space="preserve">SECRETARIA DE ESTADO DAS CIDADES - </t>
    </r>
    <r>
      <rPr>
        <b/>
        <sz val="12"/>
        <rFont val="Arial"/>
        <family val="2"/>
      </rPr>
      <t>SECID</t>
    </r>
  </si>
  <si>
    <t>PAM 
2023</t>
  </si>
  <si>
    <r>
      <rPr>
        <sz val="12"/>
        <color rgb="FF0000FF"/>
        <rFont val="Arial"/>
        <family val="2"/>
      </rPr>
      <t xml:space="preserve">Para a elaboração da Cartilha do Edital, o </t>
    </r>
    <r>
      <rPr>
        <b/>
        <sz val="12"/>
        <color rgb="FF0000FF"/>
        <rFont val="Arial"/>
        <family val="2"/>
      </rPr>
      <t>Analista do PARANACIDADE</t>
    </r>
    <r>
      <rPr>
        <sz val="12"/>
        <color rgb="FF0000FF"/>
        <rFont val="Arial"/>
        <family val="2"/>
      </rPr>
      <t xml:space="preserve"> deverá</t>
    </r>
    <r>
      <rPr>
        <b/>
        <sz val="12"/>
        <color rgb="FF0000FF"/>
        <rFont val="Arial"/>
        <family val="2"/>
      </rPr>
      <t xml:space="preserve"> "Desproteger"</t>
    </r>
    <r>
      <rPr>
        <sz val="12"/>
        <color rgb="FF0000FF"/>
        <rFont val="Arial"/>
        <family val="2"/>
      </rPr>
      <t xml:space="preserve"> a "</t>
    </r>
    <r>
      <rPr>
        <b/>
        <sz val="10"/>
        <color rgb="FF0000FF"/>
        <rFont val="Arial"/>
        <family val="2"/>
      </rPr>
      <t>GLOBAL_DER_AGO_2022</t>
    </r>
    <r>
      <rPr>
        <b/>
        <sz val="12"/>
        <color rgb="FF0000FF"/>
        <rFont val="Arial"/>
        <family val="2"/>
      </rPr>
      <t xml:space="preserve">" </t>
    </r>
    <r>
      <rPr>
        <sz val="12"/>
        <color rgb="FF0000FF"/>
        <rFont val="Arial"/>
        <family val="2"/>
      </rPr>
      <t xml:space="preserve">para poder </t>
    </r>
    <r>
      <rPr>
        <b/>
        <sz val="12"/>
        <color rgb="FF0000FF"/>
        <rFont val="Arial"/>
        <family val="2"/>
      </rPr>
      <t>"Copiar e Colar Valores"</t>
    </r>
    <r>
      <rPr>
        <sz val="12"/>
        <color rgb="FF0000FF"/>
        <rFont val="Arial"/>
        <family val="2"/>
      </rPr>
      <t xml:space="preserve"> manter os quantitativos totais e o preço unitário.</t>
    </r>
  </si>
  <si>
    <t>Fornecimento e assentamento de piso tátil de concreto alerta/direcional
20x20cm</t>
  </si>
  <si>
    <t>Fornecimento e assentamento de piso tátil de concreto alerta/direcional
20x20cm vermelho</t>
  </si>
  <si>
    <t>Fornecimento e assentamento de piso tátil de concreto alerta/direcional
40x40cm</t>
  </si>
  <si>
    <t>Fornecimento e assentamento de piso tátil de concreto alerta/direcional
40x40cm vermelho</t>
  </si>
  <si>
    <t>CÁLCULO DO PERCENTUAL DE AGREADOS NA MASSA</t>
  </si>
  <si>
    <t>CAPA</t>
  </si>
  <si>
    <t>Reperfilamento</t>
  </si>
  <si>
    <t>TRAÇO 4 - PASSEIO</t>
  </si>
  <si>
    <t>Nome da Usina</t>
  </si>
  <si>
    <t>Nome do local da pedreira</t>
  </si>
  <si>
    <t>Nome do local da usina</t>
  </si>
  <si>
    <t>Fornecimento de CAP - CBUQ (Quantidade menor que 10.000 ton)</t>
  </si>
  <si>
    <t>Fornecimento de CAP - CBUQ (Quantidade maior que 10.000 ton)</t>
  </si>
  <si>
    <t>CBUQ - PASSEIO  (Quantidade menor que 10.000 ton)</t>
  </si>
  <si>
    <t>CBUQ - PASSEIO (Quantidade maior que 10.000 ton)</t>
  </si>
  <si>
    <t xml:space="preserve">1ª Camada </t>
  </si>
  <si>
    <t>Fornecimento de CAP - Pré-Misturado a Quente (maior que 10.000 ton)</t>
  </si>
  <si>
    <t>Fornecimento de CAP - Pré-Misturado a Quente (menor que 10.000 ton)</t>
  </si>
  <si>
    <t>atualizado : fev/2023</t>
  </si>
  <si>
    <t>SEIL</t>
  </si>
  <si>
    <t>TRAÇO 5</t>
  </si>
  <si>
    <t>TRAÇO 6</t>
  </si>
  <si>
    <t>TRAÇO 7</t>
  </si>
  <si>
    <t>TRAÇO 8</t>
  </si>
  <si>
    <t>BINDER 2</t>
  </si>
  <si>
    <t>BINDER 3</t>
  </si>
  <si>
    <t>REPERFILAMENTO 2</t>
  </si>
  <si>
    <t>REPERFILAMENTO 3</t>
  </si>
  <si>
    <t>TRAÇO 5 - PASSEIO</t>
  </si>
  <si>
    <t>(Quantidade menor que 10.000 ton)</t>
  </si>
  <si>
    <t>Tabela Referência: DER/PR de FEVEREIRO/2023 sem desoneração</t>
  </si>
  <si>
    <t>Data Base da aprovação do Orçamento (Decreto 10.086/22 do Paraná, que regulamenta a Lei 14.133/21):</t>
  </si>
  <si>
    <r>
      <t xml:space="preserve">Solo Cimento(Pista) - </t>
    </r>
    <r>
      <rPr>
        <b/>
        <sz val="8"/>
        <rFont val="Arial"/>
        <family val="2"/>
      </rPr>
      <t>2%</t>
    </r>
  </si>
  <si>
    <r>
      <t xml:space="preserve">Solo Cimento(Pista) - </t>
    </r>
    <r>
      <rPr>
        <b/>
        <sz val="8"/>
        <rFont val="Arial"/>
        <family val="2"/>
      </rPr>
      <t>3%</t>
    </r>
  </si>
  <si>
    <r>
      <t xml:space="preserve">Solo Cimento(Pista) - </t>
    </r>
    <r>
      <rPr>
        <b/>
        <sz val="8"/>
        <rFont val="Arial"/>
        <family val="2"/>
      </rPr>
      <t>4%</t>
    </r>
  </si>
  <si>
    <r>
      <t xml:space="preserve">Solo Cimento(Pista) - </t>
    </r>
    <r>
      <rPr>
        <b/>
        <sz val="8"/>
        <rFont val="Arial"/>
        <family val="2"/>
      </rPr>
      <t>5%</t>
    </r>
  </si>
  <si>
    <r>
      <t xml:space="preserve">Solo Cimento(Pista) - </t>
    </r>
    <r>
      <rPr>
        <b/>
        <sz val="8"/>
        <rFont val="Arial"/>
        <family val="2"/>
      </rPr>
      <t>6%</t>
    </r>
  </si>
  <si>
    <r>
      <t xml:space="preserve">Solo Cimento(Pista)- </t>
    </r>
    <r>
      <rPr>
        <b/>
        <sz val="8"/>
        <rFont val="Arial"/>
        <family val="2"/>
      </rPr>
      <t>7%</t>
    </r>
  </si>
  <si>
    <r>
      <t xml:space="preserve">Solo Cimento(Usina) - </t>
    </r>
    <r>
      <rPr>
        <b/>
        <sz val="8"/>
        <rFont val="Arial"/>
        <family val="2"/>
      </rPr>
      <t>2%</t>
    </r>
  </si>
  <si>
    <r>
      <t xml:space="preserve">Solo Cimento(Usina) - </t>
    </r>
    <r>
      <rPr>
        <b/>
        <sz val="8"/>
        <rFont val="Arial"/>
        <family val="2"/>
      </rPr>
      <t>3%</t>
    </r>
  </si>
  <si>
    <r>
      <t xml:space="preserve">Solo Cimento(Usina) - </t>
    </r>
    <r>
      <rPr>
        <b/>
        <sz val="8"/>
        <rFont val="Arial"/>
        <family val="2"/>
      </rPr>
      <t>4%</t>
    </r>
  </si>
  <si>
    <r>
      <t xml:space="preserve">Solo Cimento(Usina) - </t>
    </r>
    <r>
      <rPr>
        <b/>
        <sz val="8"/>
        <rFont val="Arial"/>
        <family val="2"/>
      </rPr>
      <t>5%</t>
    </r>
  </si>
  <si>
    <r>
      <t xml:space="preserve">Solo Cimento(Usina) - </t>
    </r>
    <r>
      <rPr>
        <b/>
        <sz val="8"/>
        <rFont val="Arial"/>
        <family val="2"/>
      </rPr>
      <t>6%</t>
    </r>
  </si>
  <si>
    <r>
      <t xml:space="preserve">Solo Cimento(Usina) - </t>
    </r>
    <r>
      <rPr>
        <b/>
        <sz val="8"/>
        <rFont val="Arial"/>
        <family val="2"/>
      </rPr>
      <t>7%</t>
    </r>
  </si>
  <si>
    <r>
      <t>Pré-Misturado a Frio (aberto) - DER - (</t>
    </r>
    <r>
      <rPr>
        <b/>
        <sz val="8"/>
        <rFont val="Arial"/>
        <family val="2"/>
      </rPr>
      <t>TAPA - BURACO</t>
    </r>
    <r>
      <rPr>
        <sz val="8"/>
        <rFont val="Arial"/>
        <family val="2"/>
      </rPr>
      <t>)</t>
    </r>
  </si>
  <si>
    <r>
      <t>Pré-Misturado a Frio (aberto) - DER - (</t>
    </r>
    <r>
      <rPr>
        <b/>
        <sz val="8"/>
        <rFont val="Arial"/>
        <family val="2"/>
      </rPr>
      <t>REPERFILAMENTO</t>
    </r>
    <r>
      <rPr>
        <sz val="8"/>
        <rFont val="Arial"/>
        <family val="2"/>
      </rPr>
      <t>)</t>
    </r>
  </si>
  <si>
    <r>
      <t>Pré-Misturado a Frio (aberto) - DER - (</t>
    </r>
    <r>
      <rPr>
        <b/>
        <sz val="8"/>
        <rFont val="Arial"/>
        <family val="2"/>
      </rPr>
      <t>CAPA</t>
    </r>
    <r>
      <rPr>
        <sz val="8"/>
        <rFont val="Arial"/>
        <family val="2"/>
      </rPr>
      <t>)</t>
    </r>
  </si>
  <si>
    <r>
      <t>Pré-Misturado a Frio (Semi-Denso) - DER - (</t>
    </r>
    <r>
      <rPr>
        <b/>
        <sz val="8"/>
        <rFont val="Arial"/>
        <family val="2"/>
      </rPr>
      <t>CAPA</t>
    </r>
    <r>
      <rPr>
        <sz val="8"/>
        <rFont val="Arial"/>
        <family val="2"/>
      </rPr>
      <t>)</t>
    </r>
  </si>
  <si>
    <r>
      <t>Pré-Misturado a Frio (Semi-Denso) - DER - (</t>
    </r>
    <r>
      <rPr>
        <b/>
        <sz val="8"/>
        <rFont val="Arial"/>
        <family val="2"/>
      </rPr>
      <t>REPERFILAMENTO</t>
    </r>
    <r>
      <rPr>
        <sz val="8"/>
        <rFont val="Arial"/>
        <family val="2"/>
      </rPr>
      <t>)</t>
    </r>
  </si>
  <si>
    <r>
      <t>Pré-Misturado a Frio (Denso) - DER - (</t>
    </r>
    <r>
      <rPr>
        <b/>
        <sz val="8"/>
        <rFont val="Arial"/>
        <family val="2"/>
      </rPr>
      <t>CAPA</t>
    </r>
    <r>
      <rPr>
        <sz val="8"/>
        <rFont val="Arial"/>
        <family val="2"/>
      </rPr>
      <t>)</t>
    </r>
  </si>
  <si>
    <r>
      <rPr>
        <b/>
        <sz val="8"/>
        <rFont val="Arial"/>
        <family val="2"/>
      </rPr>
      <t>CBUQ - BINDER</t>
    </r>
    <r>
      <rPr>
        <sz val="8"/>
        <rFont val="Arial"/>
        <family val="2"/>
      </rPr>
      <t xml:space="preserve"> (Quantidade menor que 10.000 ton)</t>
    </r>
  </si>
  <si>
    <r>
      <rPr>
        <b/>
        <sz val="8"/>
        <rFont val="Arial"/>
        <family val="2"/>
      </rPr>
      <t>CBUQ - BINDER</t>
    </r>
    <r>
      <rPr>
        <sz val="8"/>
        <rFont val="Arial"/>
        <family val="2"/>
      </rPr>
      <t xml:space="preserve"> (Quantidade maior que 10.000 ton)</t>
    </r>
  </si>
  <si>
    <r>
      <t>CBUQ - Reperfilamento</t>
    </r>
    <r>
      <rPr>
        <sz val="8"/>
        <rFont val="Arial"/>
        <family val="2"/>
      </rPr>
      <t xml:space="preserve"> (Quantidade menor que 10.000 ton)</t>
    </r>
  </si>
  <si>
    <r>
      <rPr>
        <b/>
        <sz val="8"/>
        <rFont val="Arial"/>
        <family val="2"/>
      </rPr>
      <t>CBUQ - TRAÇO 1 - CAPA - Faixa "C"</t>
    </r>
    <r>
      <rPr>
        <sz val="8"/>
        <rFont val="Arial"/>
        <family val="2"/>
      </rPr>
      <t xml:space="preserve"> (Quantidade menor que 10.000 ton)</t>
    </r>
  </si>
  <si>
    <r>
      <rPr>
        <b/>
        <sz val="8"/>
        <rFont val="Arial"/>
        <family val="2"/>
      </rPr>
      <t>CBUQ - TRAÇO 2 - CAPA - Faixa "C"</t>
    </r>
    <r>
      <rPr>
        <sz val="8"/>
        <rFont val="Arial"/>
        <family val="2"/>
      </rPr>
      <t xml:space="preserve"> (Quantidade menor que 10.000 ton)</t>
    </r>
  </si>
  <si>
    <r>
      <rPr>
        <b/>
        <sz val="8"/>
        <rFont val="Arial"/>
        <family val="2"/>
      </rPr>
      <t>CBUQ - TRAÇO 3 - CAPA - Faixa "C"</t>
    </r>
    <r>
      <rPr>
        <sz val="8"/>
        <rFont val="Arial"/>
        <family val="2"/>
      </rPr>
      <t xml:space="preserve"> (Quantidade menor que 10.000 ton)</t>
    </r>
  </si>
  <si>
    <r>
      <rPr>
        <b/>
        <sz val="8"/>
        <rFont val="Arial"/>
        <family val="2"/>
      </rPr>
      <t>CBUQ - TRAÇO 1 - CAPA - Faixa "C"</t>
    </r>
    <r>
      <rPr>
        <sz val="8"/>
        <rFont val="Arial"/>
        <family val="2"/>
      </rPr>
      <t xml:space="preserve"> (Quantidade maior que 10.000 ton)</t>
    </r>
  </si>
  <si>
    <r>
      <rPr>
        <b/>
        <sz val="8"/>
        <rFont val="Arial"/>
        <family val="2"/>
      </rPr>
      <t>CBUQ - TRAÇO 2 - CAPA - Faixa "C"</t>
    </r>
    <r>
      <rPr>
        <sz val="8"/>
        <rFont val="Arial"/>
        <family val="2"/>
      </rPr>
      <t xml:space="preserve"> (Quantidade maior que 10.000 ton)</t>
    </r>
  </si>
  <si>
    <r>
      <rPr>
        <b/>
        <sz val="8"/>
        <rFont val="Arial"/>
        <family val="2"/>
      </rPr>
      <t>CBUQ - TRAÇO 3 - CAPA - Faixa "C"</t>
    </r>
    <r>
      <rPr>
        <sz val="8"/>
        <rFont val="Arial"/>
        <family val="2"/>
      </rPr>
      <t xml:space="preserve"> (Quantidade maior que 10.000 ton)</t>
    </r>
  </si>
  <si>
    <r>
      <t>CBUQ - BINDER</t>
    </r>
    <r>
      <rPr>
        <sz val="8"/>
        <rFont val="Arial"/>
        <family val="2"/>
      </rPr>
      <t xml:space="preserve"> (Quantidade menor que 10.000 ton)</t>
    </r>
  </si>
  <si>
    <r>
      <t>CBUQ - BINDER</t>
    </r>
    <r>
      <rPr>
        <sz val="8"/>
        <rFont val="Arial"/>
        <family val="2"/>
      </rPr>
      <t xml:space="preserve"> (Quantidade maior que 10.000 ton)</t>
    </r>
  </si>
  <si>
    <r>
      <rPr>
        <b/>
        <sz val="8"/>
        <rFont val="Arial"/>
        <family val="2"/>
      </rPr>
      <t>CBUQ - Reperfilamento</t>
    </r>
    <r>
      <rPr>
        <sz val="8"/>
        <rFont val="Arial"/>
        <family val="2"/>
      </rPr>
      <t xml:space="preserve"> (Quantidade menor que 10.000 ton)</t>
    </r>
  </si>
  <si>
    <r>
      <t>CBUQ - TRAÇO 1 - CAPA - Faixa "C"</t>
    </r>
    <r>
      <rPr>
        <sz val="8"/>
        <rFont val="Arial"/>
        <family val="2"/>
      </rPr>
      <t xml:space="preserve"> (Quantidade maior que 10.000 ton)</t>
    </r>
  </si>
  <si>
    <r>
      <t>CBUQ - TRAÇO 2 - CAPA - Faixa "C"</t>
    </r>
    <r>
      <rPr>
        <sz val="8"/>
        <rFont val="Arial"/>
        <family val="2"/>
      </rPr>
      <t xml:space="preserve"> (Quantidade maior que 10.000 ton)</t>
    </r>
  </si>
  <si>
    <r>
      <t>CBUQ - TRAÇO 3 - CAPA - Faixa "C"</t>
    </r>
    <r>
      <rPr>
        <sz val="8"/>
        <rFont val="Arial"/>
        <family val="2"/>
      </rPr>
      <t xml:space="preserve"> (Quantidade maior que 10.000 ton)</t>
    </r>
  </si>
  <si>
    <t xml:space="preserve">Data Base da aprovação do Orçamento (Decreto 10.086/22 do Paraná, que regulamenta a Lei 14.133/21): </t>
  </si>
  <si>
    <t>Var% 
out/22 e fev/23</t>
  </si>
  <si>
    <t>Var% 
ago/22 e fev/23</t>
  </si>
  <si>
    <t>PAV-089</t>
  </si>
  <si>
    <t>Fincadinha de Granito - (100x8x15cm)</t>
  </si>
  <si>
    <t>Arrancamento Fincadinha de concreto - (9x19x39cm-0,0171m3/m)</t>
  </si>
  <si>
    <t>Arrancamento Fincadinha de concreto - (5x22,5x45cm-0,01125m3/m)</t>
  </si>
  <si>
    <t>Arrancamento Fincadinha de concreto moldada in loco- (7x20cm-0,014m3/m)</t>
  </si>
  <si>
    <t>Arrancamento Fincadinha de Granito</t>
  </si>
  <si>
    <t>PAI-022A</t>
  </si>
  <si>
    <t>PAI-022B</t>
  </si>
  <si>
    <t>PAI-022C</t>
  </si>
  <si>
    <t>PAI-022D</t>
  </si>
  <si>
    <t>PAI-004B</t>
  </si>
  <si>
    <t>Moledo Compactado CBR&gt;=20(Base ou Sub-Base)</t>
  </si>
  <si>
    <t>PM Curitiba-abr/22</t>
  </si>
  <si>
    <t>PINI - fev/23</t>
  </si>
  <si>
    <t>09.04.03</t>
  </si>
  <si>
    <t>09.04.01</t>
  </si>
  <si>
    <t>09.04.04</t>
  </si>
  <si>
    <t>09.01</t>
  </si>
  <si>
    <t>09.05.02</t>
  </si>
  <si>
    <t>09.02.01</t>
  </si>
  <si>
    <t>ORSE - jan/23</t>
  </si>
  <si>
    <t>COMPOSIÇÃO 00051</t>
  </si>
  <si>
    <t>COMPOSIÇÃO 11398</t>
  </si>
  <si>
    <t>PLACA DE OBRA TIPO BANNER, 4,00x2,00 M, EM QUADRO DE METALON 20x20 MM E LONA 360 GRS, COM IMPRESSÃO DIGITAL, FIXADA EM ESTRUTURA DE MADEIRA.</t>
  </si>
  <si>
    <t>Preços Unitários dos Insumos</t>
  </si>
  <si>
    <t>COMPOSIÇÃO 02555</t>
  </si>
  <si>
    <t>PLACA 20x35cm EM CHAPA ESMALTADA PARA IDENTIFICAÇÃO DE LOGRADOUROS</t>
  </si>
  <si>
    <t>CICLÓP 11
mpa m3
606000</t>
  </si>
  <si>
    <t>forma
   m2
602000</t>
  </si>
  <si>
    <t>TIJOLO
M3
100020</t>
  </si>
  <si>
    <t>tubo ø60
180600</t>
  </si>
  <si>
    <t>Preços DER-PR - Fev/2023 - Materiais sem desoneração ===&gt;</t>
  </si>
  <si>
    <t>Preços DER-PR - Ago/2022 - Materiais sem desoneração ===&gt;</t>
  </si>
  <si>
    <t>Pedra Argamassada m3
603600</t>
  </si>
  <si>
    <t>concr
magr
605000</t>
  </si>
  <si>
    <t>Concr
11 Mpa
605200</t>
  </si>
  <si>
    <t>Concr
15 Mpa
605300</t>
  </si>
  <si>
    <t>Concr
18 Mpa
605400</t>
  </si>
  <si>
    <t>argamassa
M2
604100</t>
  </si>
  <si>
    <t>aço
CA-25
602600</t>
  </si>
  <si>
    <t>aço
CA-50
603000</t>
  </si>
  <si>
    <t>aço
CA-60
603300</t>
  </si>
  <si>
    <t>grade Fe
BL
603100</t>
  </si>
  <si>
    <t>Somatória 
das Vias</t>
  </si>
  <si>
    <t>Tipo de BDI a ser utilizado nos Serviços EXTRAS no REVESTIMENTO</t>
  </si>
  <si>
    <t>Reperfilamento 2 - "FAIXA C"</t>
  </si>
  <si>
    <t>Reperfilamento 3 - "FAIXA C"</t>
  </si>
  <si>
    <t>TRAÇO 4 - FAIXA "C"</t>
  </si>
  <si>
    <t>TRAÇO 5 - FAIXA "C"</t>
  </si>
  <si>
    <t>TRAÇO 6 - FAIXA "C"</t>
  </si>
  <si>
    <t>TRAÇO 7 - FAIXA "C"</t>
  </si>
  <si>
    <t>TRAÇO 8 - FAIXA "C"</t>
  </si>
  <si>
    <t>(QUANT. MAIOR DE 10.000 Ton)</t>
  </si>
  <si>
    <t xml:space="preserve">TRAÇO 4 </t>
  </si>
  <si>
    <t>TRAÇO 4 - FAIXA "D"</t>
  </si>
  <si>
    <t>TRAÇO 5 - FAIXA "D"</t>
  </si>
  <si>
    <r>
      <t xml:space="preserve"> marcar "</t>
    </r>
    <r>
      <rPr>
        <b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" na coluna "U" para usar o </t>
    </r>
    <r>
      <rPr>
        <b/>
        <sz val="8"/>
        <color theme="1"/>
        <rFont val="Arial"/>
        <family val="2"/>
      </rPr>
      <t>BDI de Material</t>
    </r>
  </si>
  <si>
    <r>
      <t xml:space="preserve"> marcar "</t>
    </r>
    <r>
      <rPr>
        <b/>
        <sz val="8"/>
        <color theme="1"/>
        <rFont val="Arial"/>
        <family val="2"/>
      </rPr>
      <t>0</t>
    </r>
    <r>
      <rPr>
        <sz val="8"/>
        <color theme="1"/>
        <rFont val="Arial"/>
        <family val="2"/>
      </rPr>
      <t xml:space="preserve">" na coluna "U" para usar o </t>
    </r>
    <r>
      <rPr>
        <b/>
        <sz val="8"/>
        <color theme="1"/>
        <rFont val="Arial"/>
        <family val="2"/>
      </rPr>
      <t>BDI de Serviços</t>
    </r>
  </si>
  <si>
    <t xml:space="preserve">    Usar o "0" ou "1" nos "Serviços EXTRAS" na COLUNA "U"</t>
  </si>
  <si>
    <t>101173</t>
  </si>
  <si>
    <t>9557</t>
  </si>
  <si>
    <t>95583</t>
  </si>
  <si>
    <t>34</t>
  </si>
  <si>
    <t>96555</t>
  </si>
  <si>
    <t>ESTACA BROCA DE CONCRETO, DIÂMETRO DE 20 CM, ESCAVAÇÃO MANUAL COM TRADO CONCHA, COM ARMADURA DE ARRANQUE. AF_05/2020</t>
  </si>
  <si>
    <t>MONTAGEM DE ARMADURA DE ESTACA DIÂMETRO = 10,0 MM. AF_09/2021</t>
  </si>
  <si>
    <t>MONTAGEM DE ARMADURA TRANSVERSAL DE ESTACAS DE SEÇÃO CIRCULAR, DIÂMETRO = 5,00 MM. AF_09/2021</t>
  </si>
  <si>
    <t>AÇO CA-50, 10,0 MM, VERGALHÃO</t>
  </si>
  <si>
    <t>CONCRETAGEM DE BLOCOS DE COROAMENTO E VIGAS BALDRAME, FCK 30 MPA, COM USO DE JERICA LANÇAMENTO, ADENSAMENTO E ACABAMENTO. AF_06/2017</t>
  </si>
  <si>
    <t>COMP.01</t>
  </si>
  <si>
    <t>RAMPA PARA PNE COM PISO TÁTIL NBR 9050 ÁREA DE 4,50M2</t>
  </si>
  <si>
    <t>102308</t>
  </si>
  <si>
    <t>102298</t>
  </si>
  <si>
    <t>M3</t>
  </si>
  <si>
    <t xml:space="preserve">ESCAVAÇÃO MECANIZADA DE VALA COM PROF. ATÉ 1,5 M </t>
  </si>
  <si>
    <t xml:space="preserve">ESCAVAÇÃO MECANIZADA DE VALA COM PROF MAIOR QUE 1,5 M ATÉ 3,0 M </t>
  </si>
  <si>
    <t>RIO BOM</t>
  </si>
  <si>
    <t>RESIDENCIAL CENTRAL PARK, CONSOLIDAÇÃO, JARDIM SANTA EDWIGES E RES. PÔR DO SOL</t>
  </si>
  <si>
    <t>RESIDENCIAL CENTRAL PARK</t>
  </si>
  <si>
    <t>CONSOLIDAÇÃO, JD. SANTA EDWIGES E RESIDENCIAL PÔR DO SOL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</si>
</sst>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_(* #,##0.00_);_(* \(#,##0.00\);_(* &quot;-&quot;??_);_(@_)"/>
    <numFmt numFmtId="167" formatCode="&quot;R$&quot;#,##0.00_);\(&quot;R$&quot;#,##0.00\)"/>
    <numFmt numFmtId="168" formatCode="0.000"/>
    <numFmt numFmtId="169" formatCode="0.0000"/>
    <numFmt numFmtId="170" formatCode="#,##0.00\ &quot;/m2&quot;_);[Red]\(#,##0.00\ &quot;/m2&quot;\)"/>
    <numFmt numFmtId="171" formatCode="0.0%"/>
    <numFmt numFmtId="172" formatCode="&quot;R$&quot;\ #,##0.00"/>
    <numFmt numFmtId="173" formatCode="#,##0.00\ &quot;R$/lote&quot;_);[Red]\(#,##0.00\ &quot;R$/lote&quot;\)"/>
    <numFmt numFmtId="174" formatCode="#,##0.00\ &quot;m2&quot;_);[Red]\(#,##0.00\ &quot;m2&quot;\)"/>
    <numFmt numFmtId="175" formatCode="#,##0.00\ &quot;R$/m2&quot;_);[Red]\(#,##0.00\ &quot;R$/m2&quot;\)"/>
    <numFmt numFmtId="176" formatCode="d/m/yy;@"/>
    <numFmt numFmtId="177" formatCode="#,##0_ ;[Red]\-#,##0\ "/>
    <numFmt numFmtId="178" formatCode="0.000%"/>
    <numFmt numFmtId="179" formatCode="#,##0.000"/>
    <numFmt numFmtId="180" formatCode="0.00000"/>
    <numFmt numFmtId="181" formatCode="_(#,##0.00_);[Red]_(\(#,##0.00\);_(&quot;-&quot;_);_(@_)"/>
    <numFmt numFmtId="182" formatCode="_(&quot;Cr$&quot;* #,##0.00_);_(&quot;Cr$&quot;* \(#,##0.00\);_(&quot;Cr$&quot;* &quot;-&quot;??_);_(@_)"/>
    <numFmt numFmtId="183" formatCode="dd/mm/yyyy\ \-\ ddd"/>
    <numFmt numFmtId="184" formatCode="_(#,##0.00\ %_);[Red]_(\(#,##0.00\ %\);_(&quot;-&quot;_);_(@_)"/>
  </numFmts>
  <fonts count="89" x14ac:knownFonts="1">
    <font>
      <sz val="8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12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6"/>
      <color theme="1"/>
      <name val="Arial"/>
      <family val="2"/>
    </font>
    <font>
      <sz val="8"/>
      <color indexed="81"/>
      <name val="Segoe UI"/>
      <family val="2"/>
    </font>
    <font>
      <b/>
      <sz val="8"/>
      <color indexed="81"/>
      <name val="Segoe UI"/>
      <family val="2"/>
    </font>
    <font>
      <sz val="10"/>
      <name val="MS Sans Serif"/>
    </font>
    <font>
      <b/>
      <sz val="16"/>
      <name val="Arial"/>
      <family val="2"/>
    </font>
    <font>
      <sz val="8"/>
      <name val="MS Sans Serif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theme="3" tint="0.39997558519241921"/>
      <name val="Arial"/>
      <family val="2"/>
    </font>
    <font>
      <b/>
      <sz val="10"/>
      <name val="MS Sans Serif"/>
    </font>
    <font>
      <b/>
      <sz val="8"/>
      <name val="MS Sans Serif"/>
    </font>
    <font>
      <sz val="10"/>
      <name val="Algerian"/>
      <family val="5"/>
    </font>
    <font>
      <b/>
      <sz val="20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indexed="12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sz val="8"/>
      <color indexed="9"/>
      <name val="Times New Roman"/>
      <family val="1"/>
    </font>
    <font>
      <b/>
      <sz val="8"/>
      <name val="Times New Roman"/>
      <family val="1"/>
    </font>
    <font>
      <b/>
      <sz val="8"/>
      <color indexed="12"/>
      <name val="Arial"/>
      <family val="2"/>
    </font>
    <font>
      <b/>
      <sz val="18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4"/>
      <color rgb="FF0000FF"/>
      <name val="Arial"/>
      <family val="2"/>
    </font>
    <font>
      <sz val="14"/>
      <color rgb="FF0000FF"/>
      <name val="Arial"/>
      <family val="2"/>
    </font>
    <font>
      <b/>
      <sz val="10"/>
      <color rgb="FFFF0000"/>
      <name val="MS Sans Serif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12"/>
      <color indexed="81"/>
      <name val="Segoe UI"/>
      <family val="2"/>
    </font>
    <font>
      <sz val="12"/>
      <color theme="1"/>
      <name val="Arial"/>
      <family val="2"/>
    </font>
    <font>
      <u/>
      <sz val="8"/>
      <color theme="10"/>
      <name val="Arial"/>
      <family val="2"/>
    </font>
    <font>
      <b/>
      <sz val="10"/>
      <color rgb="FF000000"/>
      <name val="Times New Roman"/>
      <family val="1"/>
    </font>
    <font>
      <b/>
      <sz val="9"/>
      <name val="Arial"/>
      <family val="2"/>
    </font>
    <font>
      <sz val="10"/>
      <color rgb="FF000000"/>
      <name val="Arial"/>
      <family val="2"/>
    </font>
    <font>
      <b/>
      <i/>
      <u/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sz val="11"/>
      <name val="Arial"/>
      <family val="2"/>
    </font>
    <font>
      <b/>
      <sz val="14"/>
      <color indexed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color indexed="10"/>
      <name val="Tahoma"/>
      <family val="2"/>
    </font>
    <font>
      <sz val="9"/>
      <name val="Tahoma"/>
      <family val="2"/>
    </font>
    <font>
      <b/>
      <u/>
      <sz val="10"/>
      <name val="Tahoma"/>
      <family val="2"/>
    </font>
    <font>
      <sz val="8"/>
      <color theme="1"/>
      <name val="Arial"/>
      <family val="2"/>
    </font>
    <font>
      <b/>
      <sz val="8"/>
      <color rgb="FF0000FF"/>
      <name val="Arial"/>
      <family val="2"/>
    </font>
    <font>
      <b/>
      <sz val="10"/>
      <color rgb="FF0000FF"/>
      <name val="Arial"/>
      <family val="2"/>
    </font>
    <font>
      <b/>
      <sz val="12"/>
      <color rgb="FF0000FF"/>
      <name val="Arial"/>
      <family val="2"/>
    </font>
    <font>
      <sz val="12"/>
      <color rgb="FF0000FF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indexed="9"/>
      <name val="Arial"/>
      <family val="2"/>
    </font>
    <font>
      <sz val="8"/>
      <color rgb="FF0000FF"/>
      <name val="Arial"/>
      <family val="2"/>
    </font>
    <font>
      <b/>
      <sz val="16"/>
      <color rgb="FF0000FF"/>
      <name val="Arial"/>
      <family val="2"/>
    </font>
    <font>
      <sz val="16"/>
      <color rgb="FF0000FF"/>
      <name val="Arial"/>
      <family val="2"/>
    </font>
    <font>
      <b/>
      <sz val="24"/>
      <color theme="1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lightGray">
        <bgColor theme="0"/>
      </patternFill>
    </fill>
    <fill>
      <patternFill patternType="lightGray">
        <bgColor rgb="FF92D05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8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dashDotDot">
        <color auto="1"/>
      </bottom>
      <diagonal/>
    </border>
    <border>
      <left style="hair">
        <color indexed="64"/>
      </left>
      <right style="hair">
        <color indexed="64"/>
      </right>
      <top/>
      <bottom style="dashDotDot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 style="medium">
        <color indexed="64"/>
      </top>
      <bottom/>
      <diagonal/>
    </border>
    <border>
      <left/>
      <right style="mediumDashDot">
        <color indexed="64"/>
      </right>
      <top style="medium">
        <color indexed="64"/>
      </top>
      <bottom/>
      <diagonal/>
    </border>
    <border>
      <left style="medium">
        <color indexed="64"/>
      </left>
      <right style="mediumDashDot">
        <color indexed="64"/>
      </right>
      <top style="thin">
        <color indexed="64"/>
      </top>
      <bottom style="medium">
        <color indexed="64"/>
      </bottom>
      <diagonal/>
    </border>
    <border>
      <left/>
      <right style="mediumDashDot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/>
      <bottom style="medium">
        <color indexed="64"/>
      </bottom>
      <diagonal/>
    </border>
    <border>
      <left/>
      <right style="mediumDashDot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/>
      <bottom/>
      <diagonal/>
    </border>
    <border>
      <left style="mediumDashDot">
        <color indexed="64"/>
      </left>
      <right/>
      <top style="medium">
        <color indexed="64"/>
      </top>
      <bottom/>
      <diagonal/>
    </border>
    <border>
      <left style="mediumDashDot">
        <color indexed="64"/>
      </left>
      <right/>
      <top/>
      <bottom/>
      <diagonal/>
    </border>
    <border>
      <left style="mediumDashDot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DotDot">
        <color indexed="64"/>
      </right>
      <top style="medium">
        <color indexed="64"/>
      </top>
      <bottom style="thin">
        <color indexed="64"/>
      </bottom>
      <diagonal/>
    </border>
    <border>
      <left style="dashDot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dashDotDot">
        <color indexed="64"/>
      </right>
      <top style="medium">
        <color indexed="64"/>
      </top>
      <bottom/>
      <diagonal/>
    </border>
    <border>
      <left/>
      <right style="dashDotDot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DotDot">
        <color auto="1"/>
      </bottom>
      <diagonal/>
    </border>
  </borders>
  <cellStyleXfs count="22">
    <xf numFmtId="0" fontId="0" fillId="0" borderId="0"/>
    <xf numFmtId="0" fontId="4" fillId="0" borderId="0"/>
    <xf numFmtId="0" fontId="3" fillId="0" borderId="0"/>
    <xf numFmtId="166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3" fillId="0" borderId="0"/>
    <xf numFmtId="0" fontId="26" fillId="0" borderId="0"/>
    <xf numFmtId="165" fontId="2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182" fontId="4" fillId="0" borderId="0" applyFont="0" applyFill="0" applyBorder="0" applyAlignment="0" applyProtection="0"/>
    <xf numFmtId="0" fontId="18" fillId="0" borderId="0"/>
  </cellStyleXfs>
  <cellXfs count="1388">
    <xf numFmtId="0" fontId="0" fillId="0" borderId="0" xfId="0"/>
    <xf numFmtId="169" fontId="9" fillId="0" borderId="6" xfId="1" applyNumberFormat="1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0" fontId="9" fillId="0" borderId="0" xfId="0" applyFont="1"/>
    <xf numFmtId="1" fontId="9" fillId="0" borderId="6" xfId="1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7" fillId="0" borderId="9" xfId="0" applyFont="1" applyBorder="1" applyAlignment="1">
      <alignment horizontal="left"/>
    </xf>
    <xf numFmtId="2" fontId="7" fillId="0" borderId="6" xfId="1" applyNumberFormat="1" applyFont="1" applyBorder="1" applyAlignment="1">
      <alignment horizontal="center" wrapText="1"/>
    </xf>
    <xf numFmtId="0" fontId="7" fillId="0" borderId="29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6" xfId="1" applyFont="1" applyBorder="1" applyAlignment="1">
      <alignment horizontal="center"/>
    </xf>
    <xf numFmtId="2" fontId="7" fillId="0" borderId="6" xfId="1" applyNumberFormat="1" applyFont="1" applyBorder="1" applyAlignment="1">
      <alignment horizontal="center"/>
    </xf>
    <xf numFmtId="0" fontId="9" fillId="0" borderId="29" xfId="0" applyFont="1" applyBorder="1" applyAlignment="1">
      <alignment horizontal="center" wrapText="1"/>
    </xf>
    <xf numFmtId="0" fontId="7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 wrapText="1"/>
    </xf>
    <xf numFmtId="0" fontId="7" fillId="0" borderId="6" xfId="0" applyFont="1" applyBorder="1" applyAlignment="1">
      <alignment wrapText="1"/>
    </xf>
    <xf numFmtId="2" fontId="9" fillId="0" borderId="29" xfId="0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1" applyFont="1"/>
    <xf numFmtId="0" fontId="4" fillId="0" borderId="0" xfId="1"/>
    <xf numFmtId="0" fontId="4" fillId="0" borderId="0" xfId="1" applyAlignment="1">
      <alignment horizontal="center"/>
    </xf>
    <xf numFmtId="0" fontId="5" fillId="0" borderId="0" xfId="1" applyFont="1"/>
    <xf numFmtId="0" fontId="6" fillId="0" borderId="0" xfId="1" applyFont="1"/>
    <xf numFmtId="2" fontId="7" fillId="0" borderId="0" xfId="1" applyNumberFormat="1" applyFont="1" applyAlignment="1">
      <alignment horizontal="center" wrapText="1"/>
    </xf>
    <xf numFmtId="0" fontId="9" fillId="2" borderId="0" xfId="0" applyFont="1" applyFill="1"/>
    <xf numFmtId="0" fontId="13" fillId="0" borderId="62" xfId="0" applyFont="1" applyBorder="1" applyAlignment="1">
      <alignment horizontal="centerContinuous"/>
    </xf>
    <xf numFmtId="0" fontId="13" fillId="0" borderId="44" xfId="0" applyFont="1" applyBorder="1" applyAlignment="1">
      <alignment horizontal="centerContinuous"/>
    </xf>
    <xf numFmtId="0" fontId="6" fillId="0" borderId="44" xfId="0" applyFont="1" applyBorder="1" applyAlignment="1">
      <alignment horizontal="center" vertical="center" textRotation="90" wrapText="1"/>
    </xf>
    <xf numFmtId="0" fontId="4" fillId="8" borderId="13" xfId="1" applyFill="1" applyBorder="1"/>
    <xf numFmtId="0" fontId="4" fillId="7" borderId="10" xfId="1" applyFill="1" applyBorder="1"/>
    <xf numFmtId="166" fontId="4" fillId="7" borderId="10" xfId="3" applyFont="1" applyFill="1" applyBorder="1" applyAlignment="1" applyProtection="1">
      <alignment horizontal="center"/>
    </xf>
    <xf numFmtId="0" fontId="4" fillId="7" borderId="10" xfId="1" applyFill="1" applyBorder="1" applyAlignment="1">
      <alignment horizontal="center"/>
    </xf>
    <xf numFmtId="0" fontId="6" fillId="0" borderId="0" xfId="0" applyFont="1"/>
    <xf numFmtId="0" fontId="4" fillId="0" borderId="0" xfId="0" applyFont="1"/>
    <xf numFmtId="0" fontId="16" fillId="7" borderId="0" xfId="1" applyFont="1" applyFill="1"/>
    <xf numFmtId="166" fontId="4" fillId="7" borderId="0" xfId="3" applyFont="1" applyFill="1" applyBorder="1" applyAlignment="1" applyProtection="1">
      <alignment horizontal="center"/>
    </xf>
    <xf numFmtId="0" fontId="6" fillId="3" borderId="14" xfId="0" applyFont="1" applyFill="1" applyBorder="1"/>
    <xf numFmtId="0" fontId="4" fillId="7" borderId="0" xfId="0" applyFont="1" applyFill="1"/>
    <xf numFmtId="0" fontId="4" fillId="7" borderId="0" xfId="1" applyFill="1"/>
    <xf numFmtId="0" fontId="6" fillId="7" borderId="0" xfId="1" applyFont="1" applyFill="1"/>
    <xf numFmtId="0" fontId="4" fillId="7" borderId="0" xfId="1" applyFill="1" applyAlignment="1">
      <alignment horizontal="center"/>
    </xf>
    <xf numFmtId="0" fontId="4" fillId="3" borderId="14" xfId="0" applyFont="1" applyFill="1" applyBorder="1"/>
    <xf numFmtId="0" fontId="6" fillId="8" borderId="15" xfId="1" applyFont="1" applyFill="1" applyBorder="1" applyProtection="1">
      <protection locked="0"/>
    </xf>
    <xf numFmtId="0" fontId="6" fillId="8" borderId="15" xfId="1" applyFont="1" applyFill="1" applyBorder="1"/>
    <xf numFmtId="0" fontId="6" fillId="8" borderId="17" xfId="1" applyFont="1" applyFill="1" applyBorder="1" applyProtection="1">
      <protection locked="0"/>
    </xf>
    <xf numFmtId="0" fontId="4" fillId="7" borderId="11" xfId="1" applyFill="1" applyBorder="1"/>
    <xf numFmtId="166" fontId="4" fillId="7" borderId="11" xfId="3" applyFont="1" applyFill="1" applyBorder="1" applyAlignment="1" applyProtection="1">
      <alignment horizontal="center"/>
    </xf>
    <xf numFmtId="0" fontId="6" fillId="7" borderId="11" xfId="1" applyFont="1" applyFill="1" applyBorder="1"/>
    <xf numFmtId="0" fontId="4" fillId="7" borderId="11" xfId="1" applyFill="1" applyBorder="1" applyAlignment="1">
      <alignment horizontal="center"/>
    </xf>
    <xf numFmtId="0" fontId="4" fillId="3" borderId="16" xfId="0" applyFont="1" applyFill="1" applyBorder="1"/>
    <xf numFmtId="49" fontId="15" fillId="0" borderId="11" xfId="0" applyNumberFormat="1" applyFont="1" applyBorder="1" applyAlignment="1">
      <alignment horizontal="centerContinuous" vertical="center"/>
    </xf>
    <xf numFmtId="0" fontId="4" fillId="0" borderId="11" xfId="0" applyFont="1" applyBorder="1" applyAlignment="1">
      <alignment horizontal="centerContinuous" vertical="center"/>
    </xf>
    <xf numFmtId="0" fontId="4" fillId="0" borderId="17" xfId="0" applyFont="1" applyBorder="1" applyAlignment="1">
      <alignment horizontal="centerContinuous" vertical="center"/>
    </xf>
    <xf numFmtId="167" fontId="6" fillId="0" borderId="42" xfId="1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4" fontId="6" fillId="3" borderId="0" xfId="0" applyNumberFormat="1" applyFont="1" applyFill="1" applyAlignment="1">
      <alignment horizontal="right"/>
    </xf>
    <xf numFmtId="0" fontId="19" fillId="6" borderId="0" xfId="0" applyFont="1" applyFill="1"/>
    <xf numFmtId="4" fontId="6" fillId="0" borderId="29" xfId="1" applyNumberFormat="1" applyFont="1" applyBorder="1" applyAlignment="1">
      <alignment vertical="center"/>
    </xf>
    <xf numFmtId="2" fontId="4" fillId="0" borderId="28" xfId="1" applyNumberFormat="1" applyBorder="1" applyAlignment="1">
      <alignment horizontal="center" vertical="center"/>
    </xf>
    <xf numFmtId="0" fontId="4" fillId="0" borderId="0" xfId="0" applyFont="1" applyAlignment="1">
      <alignment horizontal="left"/>
    </xf>
    <xf numFmtId="2" fontId="4" fillId="0" borderId="0" xfId="1" applyNumberFormat="1" applyAlignment="1">
      <alignment horizontal="center"/>
    </xf>
    <xf numFmtId="2" fontId="4" fillId="0" borderId="0" xfId="0" applyNumberFormat="1" applyFont="1"/>
    <xf numFmtId="4" fontId="6" fillId="5" borderId="63" xfId="0" applyNumberFormat="1" applyFont="1" applyFill="1" applyBorder="1" applyProtection="1">
      <protection locked="0"/>
    </xf>
    <xf numFmtId="166" fontId="4" fillId="0" borderId="0" xfId="3" applyFont="1" applyFill="1"/>
    <xf numFmtId="170" fontId="6" fillId="0" borderId="30" xfId="0" applyNumberFormat="1" applyFont="1" applyBorder="1" applyAlignment="1">
      <alignment horizontal="right" vertical="center"/>
    </xf>
    <xf numFmtId="49" fontId="20" fillId="0" borderId="16" xfId="0" applyNumberFormat="1" applyFont="1" applyBorder="1" applyAlignment="1">
      <alignment horizontal="centerContinuous" vertical="center"/>
    </xf>
    <xf numFmtId="169" fontId="4" fillId="0" borderId="28" xfId="1" applyNumberFormat="1" applyBorder="1" applyAlignment="1">
      <alignment horizontal="center" vertical="center"/>
    </xf>
    <xf numFmtId="0" fontId="4" fillId="0" borderId="28" xfId="0" applyFont="1" applyBorder="1" applyAlignment="1">
      <alignment horizontal="left" vertical="center"/>
    </xf>
    <xf numFmtId="1" fontId="9" fillId="2" borderId="6" xfId="1" applyNumberFormat="1" applyFont="1" applyFill="1" applyBorder="1" applyAlignment="1">
      <alignment horizontal="center"/>
    </xf>
    <xf numFmtId="2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6" fillId="0" borderId="38" xfId="1" applyFont="1" applyBorder="1" applyAlignment="1">
      <alignment horizontal="left" vertical="center" indent="7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0" fontId="6" fillId="0" borderId="29" xfId="4" applyNumberFormat="1" applyFont="1" applyFill="1" applyBorder="1" applyAlignment="1" applyProtection="1">
      <alignment horizontal="right"/>
      <protection locked="0"/>
    </xf>
    <xf numFmtId="10" fontId="6" fillId="2" borderId="29" xfId="4" applyNumberFormat="1" applyFont="1" applyFill="1" applyBorder="1" applyAlignment="1" applyProtection="1">
      <alignment horizontal="right"/>
      <protection locked="0"/>
    </xf>
    <xf numFmtId="0" fontId="4" fillId="0" borderId="0" xfId="0" quotePrefix="1" applyFont="1"/>
    <xf numFmtId="165" fontId="4" fillId="0" borderId="0" xfId="0" quotePrefix="1" applyNumberFormat="1" applyFont="1"/>
    <xf numFmtId="0" fontId="4" fillId="0" borderId="0" xfId="14" applyProtection="1">
      <protection locked="0"/>
    </xf>
    <xf numFmtId="0" fontId="7" fillId="2" borderId="8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left"/>
    </xf>
    <xf numFmtId="169" fontId="9" fillId="2" borderId="6" xfId="1" applyNumberFormat="1" applyFont="1" applyFill="1" applyBorder="1" applyAlignment="1">
      <alignment horizontal="center"/>
    </xf>
    <xf numFmtId="0" fontId="0" fillId="2" borderId="0" xfId="0" applyFill="1"/>
    <xf numFmtId="0" fontId="35" fillId="14" borderId="12" xfId="18" applyFont="1" applyFill="1" applyBorder="1" applyAlignment="1">
      <alignment horizontal="right"/>
    </xf>
    <xf numFmtId="0" fontId="35" fillId="14" borderId="10" xfId="18" applyFont="1" applyFill="1" applyBorder="1"/>
    <xf numFmtId="0" fontId="1" fillId="14" borderId="13" xfId="18" applyFill="1" applyBorder="1"/>
    <xf numFmtId="0" fontId="1" fillId="0" borderId="0" xfId="18"/>
    <xf numFmtId="0" fontId="1" fillId="14" borderId="14" xfId="18" applyFill="1" applyBorder="1"/>
    <xf numFmtId="0" fontId="35" fillId="14" borderId="0" xfId="18" applyFont="1" applyFill="1"/>
    <xf numFmtId="0" fontId="1" fillId="14" borderId="0" xfId="18" applyFill="1"/>
    <xf numFmtId="0" fontId="1" fillId="14" borderId="15" xfId="18" applyFill="1" applyBorder="1"/>
    <xf numFmtId="0" fontId="37" fillId="14" borderId="40" xfId="18" applyFont="1" applyFill="1" applyBorder="1" applyAlignment="1">
      <alignment horizontal="center"/>
    </xf>
    <xf numFmtId="0" fontId="37" fillId="14" borderId="7" xfId="18" applyFont="1" applyFill="1" applyBorder="1" applyAlignment="1">
      <alignment horizontal="centerContinuous"/>
    </xf>
    <xf numFmtId="0" fontId="37" fillId="14" borderId="44" xfId="18" applyFont="1" applyFill="1" applyBorder="1" applyAlignment="1">
      <alignment horizontal="centerContinuous"/>
    </xf>
    <xf numFmtId="0" fontId="37" fillId="14" borderId="31" xfId="18" applyFont="1" applyFill="1" applyBorder="1" applyAlignment="1">
      <alignment horizontal="center"/>
    </xf>
    <xf numFmtId="0" fontId="37" fillId="14" borderId="6" xfId="18" applyFont="1" applyFill="1" applyBorder="1" applyAlignment="1">
      <alignment horizontal="center"/>
    </xf>
    <xf numFmtId="0" fontId="35" fillId="14" borderId="0" xfId="18" applyFont="1" applyFill="1" applyAlignment="1">
      <alignment horizontal="right"/>
    </xf>
    <xf numFmtId="0" fontId="35" fillId="14" borderId="0" xfId="18" applyFont="1" applyFill="1" applyAlignment="1">
      <alignment horizontal="left"/>
    </xf>
    <xf numFmtId="0" fontId="37" fillId="14" borderId="0" xfId="18" applyFont="1" applyFill="1"/>
    <xf numFmtId="0" fontId="35" fillId="14" borderId="14" xfId="18" applyFont="1" applyFill="1" applyBorder="1" applyAlignment="1">
      <alignment horizontal="right"/>
    </xf>
    <xf numFmtId="0" fontId="1" fillId="14" borderId="16" xfId="18" applyFill="1" applyBorder="1"/>
    <xf numFmtId="0" fontId="37" fillId="14" borderId="25" xfId="18" applyFont="1" applyFill="1" applyBorder="1" applyAlignment="1">
      <alignment horizontal="center"/>
    </xf>
    <xf numFmtId="0" fontId="1" fillId="14" borderId="11" xfId="18" applyFill="1" applyBorder="1"/>
    <xf numFmtId="0" fontId="1" fillId="14" borderId="17" xfId="18" applyFill="1" applyBorder="1"/>
    <xf numFmtId="0" fontId="4" fillId="0" borderId="0" xfId="14"/>
    <xf numFmtId="0" fontId="24" fillId="3" borderId="22" xfId="14" applyFont="1" applyFill="1" applyBorder="1" applyAlignment="1">
      <alignment horizontal="center" wrapText="1"/>
    </xf>
    <xf numFmtId="0" fontId="4" fillId="3" borderId="20" xfId="14" quotePrefix="1" applyFill="1" applyBorder="1" applyAlignment="1">
      <alignment horizontal="left" vertical="center" indent="3"/>
    </xf>
    <xf numFmtId="0" fontId="24" fillId="3" borderId="20" xfId="14" applyFont="1" applyFill="1" applyBorder="1" applyAlignment="1">
      <alignment horizontal="centerContinuous"/>
    </xf>
    <xf numFmtId="0" fontId="4" fillId="3" borderId="20" xfId="14" quotePrefix="1" applyFill="1" applyBorder="1" applyAlignment="1">
      <alignment horizontal="left"/>
    </xf>
    <xf numFmtId="0" fontId="4" fillId="3" borderId="10" xfId="14" applyFill="1" applyBorder="1"/>
    <xf numFmtId="0" fontId="33" fillId="3" borderId="10" xfId="14" applyFont="1" applyFill="1" applyBorder="1" applyAlignment="1">
      <alignment vertical="center"/>
    </xf>
    <xf numFmtId="0" fontId="4" fillId="3" borderId="20" xfId="14" applyFill="1" applyBorder="1"/>
    <xf numFmtId="0" fontId="4" fillId="3" borderId="13" xfId="14" applyFill="1" applyBorder="1"/>
    <xf numFmtId="0" fontId="6" fillId="3" borderId="110" xfId="14" applyFont="1" applyFill="1" applyBorder="1" applyAlignment="1">
      <alignment horizontal="left"/>
    </xf>
    <xf numFmtId="0" fontId="28" fillId="3" borderId="112" xfId="14" applyFont="1" applyFill="1" applyBorder="1" applyAlignment="1">
      <alignment horizontal="center"/>
    </xf>
    <xf numFmtId="0" fontId="27" fillId="3" borderId="80" xfId="14" applyFont="1" applyFill="1" applyBorder="1" applyAlignment="1">
      <alignment horizontal="centerContinuous"/>
    </xf>
    <xf numFmtId="0" fontId="28" fillId="3" borderId="10" xfId="14" applyFont="1" applyFill="1" applyBorder="1" applyAlignment="1">
      <alignment horizontal="centerContinuous"/>
    </xf>
    <xf numFmtId="0" fontId="2" fillId="3" borderId="112" xfId="14" applyFont="1" applyFill="1" applyBorder="1" applyAlignment="1">
      <alignment horizontal="centerContinuous"/>
    </xf>
    <xf numFmtId="0" fontId="2" fillId="3" borderId="20" xfId="14" applyFont="1" applyFill="1" applyBorder="1" applyAlignment="1">
      <alignment horizontal="centerContinuous"/>
    </xf>
    <xf numFmtId="10" fontId="3" fillId="0" borderId="114" xfId="17" applyNumberFormat="1" applyFont="1" applyFill="1" applyBorder="1" applyProtection="1"/>
    <xf numFmtId="0" fontId="39" fillId="3" borderId="39" xfId="14" applyFont="1" applyFill="1" applyBorder="1" applyAlignment="1">
      <alignment horizontal="center"/>
    </xf>
    <xf numFmtId="0" fontId="39" fillId="3" borderId="115" xfId="14" applyFont="1" applyFill="1" applyBorder="1" applyAlignment="1">
      <alignment horizontal="left"/>
    </xf>
    <xf numFmtId="0" fontId="39" fillId="3" borderId="9" xfId="14" applyFont="1" applyFill="1" applyBorder="1" applyAlignment="1">
      <alignment horizontal="centerContinuous"/>
    </xf>
    <xf numFmtId="0" fontId="40" fillId="3" borderId="6" xfId="14" applyFont="1" applyFill="1" applyBorder="1" applyAlignment="1">
      <alignment horizontal="center"/>
    </xf>
    <xf numFmtId="0" fontId="39" fillId="3" borderId="7" xfId="14" applyFont="1" applyFill="1" applyBorder="1" applyAlignment="1">
      <alignment horizontal="centerContinuous"/>
    </xf>
    <xf numFmtId="0" fontId="39" fillId="3" borderId="62" xfId="14" applyFont="1" applyFill="1" applyBorder="1" applyAlignment="1">
      <alignment horizontal="centerContinuous"/>
    </xf>
    <xf numFmtId="0" fontId="39" fillId="3" borderId="44" xfId="14" applyFont="1" applyFill="1" applyBorder="1" applyAlignment="1">
      <alignment horizontal="centerContinuous"/>
    </xf>
    <xf numFmtId="0" fontId="39" fillId="3" borderId="46" xfId="14" applyFont="1" applyFill="1" applyBorder="1" applyAlignment="1">
      <alignment horizontal="centerContinuous"/>
    </xf>
    <xf numFmtId="0" fontId="39" fillId="3" borderId="116" xfId="14" applyFont="1" applyFill="1" applyBorder="1" applyAlignment="1">
      <alignment horizontal="centerContinuous"/>
    </xf>
    <xf numFmtId="0" fontId="39" fillId="3" borderId="9" xfId="14" applyFont="1" applyFill="1" applyBorder="1" applyAlignment="1">
      <alignment horizontal="center"/>
    </xf>
    <xf numFmtId="0" fontId="39" fillId="3" borderId="117" xfId="14" applyFont="1" applyFill="1" applyBorder="1" applyAlignment="1">
      <alignment horizontal="center"/>
    </xf>
    <xf numFmtId="0" fontId="39" fillId="3" borderId="118" xfId="14" applyFont="1" applyFill="1" applyBorder="1" applyAlignment="1">
      <alignment horizontal="center"/>
    </xf>
    <xf numFmtId="0" fontId="6" fillId="2" borderId="29" xfId="14" applyFont="1" applyFill="1" applyBorder="1" applyAlignment="1" applyProtection="1">
      <alignment horizontal="center"/>
      <protection locked="0"/>
    </xf>
    <xf numFmtId="0" fontId="39" fillId="3" borderId="119" xfId="14" applyFont="1" applyFill="1" applyBorder="1" applyAlignment="1">
      <alignment horizontal="center"/>
    </xf>
    <xf numFmtId="0" fontId="39" fillId="3" borderId="120" xfId="14" applyFont="1" applyFill="1" applyBorder="1"/>
    <xf numFmtId="0" fontId="39" fillId="3" borderId="121" xfId="14" applyFont="1" applyFill="1" applyBorder="1"/>
    <xf numFmtId="0" fontId="39" fillId="3" borderId="122" xfId="14" applyFont="1" applyFill="1" applyBorder="1" applyAlignment="1">
      <alignment horizontal="center"/>
    </xf>
    <xf numFmtId="0" fontId="39" fillId="3" borderId="123" xfId="14" applyFont="1" applyFill="1" applyBorder="1" applyAlignment="1">
      <alignment horizontal="center"/>
    </xf>
    <xf numFmtId="0" fontId="39" fillId="3" borderId="121" xfId="14" applyFont="1" applyFill="1" applyBorder="1" applyAlignment="1">
      <alignment horizontal="center"/>
    </xf>
    <xf numFmtId="0" fontId="39" fillId="3" borderId="124" xfId="14" applyFont="1" applyFill="1" applyBorder="1" applyAlignment="1">
      <alignment horizontal="center"/>
    </xf>
    <xf numFmtId="0" fontId="39" fillId="3" borderId="125" xfId="14" applyFont="1" applyFill="1" applyBorder="1" applyAlignment="1">
      <alignment horizontal="center"/>
    </xf>
    <xf numFmtId="0" fontId="40" fillId="3" borderId="120" xfId="14" applyFont="1" applyFill="1" applyBorder="1" applyAlignment="1">
      <alignment textRotation="180"/>
    </xf>
    <xf numFmtId="176" fontId="39" fillId="3" borderId="122" xfId="14" applyNumberFormat="1" applyFont="1" applyFill="1" applyBorder="1" applyAlignment="1">
      <alignment horizontal="center"/>
    </xf>
    <xf numFmtId="176" fontId="39" fillId="3" borderId="123" xfId="14" applyNumberFormat="1" applyFont="1" applyFill="1" applyBorder="1" applyAlignment="1">
      <alignment horizontal="center"/>
    </xf>
    <xf numFmtId="176" fontId="39" fillId="3" borderId="121" xfId="14" applyNumberFormat="1" applyFont="1" applyFill="1" applyBorder="1" applyAlignment="1">
      <alignment horizontal="center"/>
    </xf>
    <xf numFmtId="0" fontId="3" fillId="0" borderId="0" xfId="14" applyFont="1"/>
    <xf numFmtId="49" fontId="41" fillId="3" borderId="126" xfId="14" applyNumberFormat="1" applyFont="1" applyFill="1" applyBorder="1" applyAlignment="1">
      <alignment horizontal="center"/>
    </xf>
    <xf numFmtId="49" fontId="41" fillId="3" borderId="127" xfId="14" applyNumberFormat="1" applyFont="1" applyFill="1" applyBorder="1" applyAlignment="1">
      <alignment horizontal="left"/>
    </xf>
    <xf numFmtId="49" fontId="41" fillId="3" borderId="46" xfId="14" applyNumberFormat="1" applyFont="1" applyFill="1" applyBorder="1" applyAlignment="1">
      <alignment horizontal="left"/>
    </xf>
    <xf numFmtId="0" fontId="42" fillId="3" borderId="6" xfId="14" applyFont="1" applyFill="1" applyBorder="1"/>
    <xf numFmtId="0" fontId="41" fillId="3" borderId="67" xfId="14" applyFont="1" applyFill="1" applyBorder="1" applyAlignment="1">
      <alignment horizontal="center"/>
    </xf>
    <xf numFmtId="49" fontId="41" fillId="3" borderId="36" xfId="14" applyNumberFormat="1" applyFont="1" applyFill="1" applyBorder="1" applyAlignment="1">
      <alignment horizontal="center"/>
    </xf>
    <xf numFmtId="0" fontId="4" fillId="3" borderId="130" xfId="14" applyFill="1" applyBorder="1"/>
    <xf numFmtId="0" fontId="4" fillId="3" borderId="131" xfId="14" applyFill="1" applyBorder="1"/>
    <xf numFmtId="0" fontId="3" fillId="3" borderId="131" xfId="14" applyFont="1" applyFill="1" applyBorder="1"/>
    <xf numFmtId="0" fontId="4" fillId="3" borderId="133" xfId="14" applyFill="1" applyBorder="1"/>
    <xf numFmtId="0" fontId="6" fillId="3" borderId="134" xfId="14" applyFont="1" applyFill="1" applyBorder="1" applyAlignment="1">
      <alignment horizontal="centerContinuous"/>
    </xf>
    <xf numFmtId="0" fontId="4" fillId="3" borderId="134" xfId="14" applyFill="1" applyBorder="1" applyAlignment="1">
      <alignment horizontal="centerContinuous"/>
    </xf>
    <xf numFmtId="0" fontId="3" fillId="3" borderId="134" xfId="14" applyFont="1" applyFill="1" applyBorder="1"/>
    <xf numFmtId="0" fontId="27" fillId="3" borderId="76" xfId="14" applyFont="1" applyFill="1" applyBorder="1" applyAlignment="1">
      <alignment horizontal="centerContinuous"/>
    </xf>
    <xf numFmtId="0" fontId="28" fillId="3" borderId="67" xfId="14" applyFont="1" applyFill="1" applyBorder="1" applyAlignment="1">
      <alignment horizontal="centerContinuous"/>
    </xf>
    <xf numFmtId="0" fontId="3" fillId="3" borderId="67" xfId="14" applyFont="1" applyFill="1" applyBorder="1" applyAlignment="1">
      <alignment horizontal="centerContinuous"/>
    </xf>
    <xf numFmtId="0" fontId="3" fillId="3" borderId="52" xfId="14" applyFont="1" applyFill="1" applyBorder="1" applyAlignment="1">
      <alignment horizontal="centerContinuous"/>
    </xf>
    <xf numFmtId="0" fontId="4" fillId="3" borderId="119" xfId="14" applyFill="1" applyBorder="1" applyAlignment="1">
      <alignment horizontal="center"/>
    </xf>
    <xf numFmtId="0" fontId="4" fillId="3" borderId="121" xfId="14" applyFill="1" applyBorder="1" applyAlignment="1">
      <alignment horizontal="center"/>
    </xf>
    <xf numFmtId="0" fontId="3" fillId="3" borderId="121" xfId="14" applyFont="1" applyFill="1" applyBorder="1" applyAlignment="1">
      <alignment horizontal="centerContinuous"/>
    </xf>
    <xf numFmtId="0" fontId="3" fillId="3" borderId="137" xfId="14" applyFont="1" applyFill="1" applyBorder="1" applyAlignment="1">
      <alignment horizontal="centerContinuous"/>
    </xf>
    <xf numFmtId="0" fontId="3" fillId="3" borderId="117" xfId="14" applyFont="1" applyFill="1" applyBorder="1" applyAlignment="1">
      <alignment horizontal="center"/>
    </xf>
    <xf numFmtId="0" fontId="3" fillId="3" borderId="118" xfId="14" applyFont="1" applyFill="1" applyBorder="1" applyAlignment="1">
      <alignment horizontal="center"/>
    </xf>
    <xf numFmtId="0" fontId="4" fillId="3" borderId="126" xfId="14" applyFill="1" applyBorder="1" applyAlignment="1">
      <alignment horizontal="center"/>
    </xf>
    <xf numFmtId="0" fontId="4" fillId="3" borderId="138" xfId="14" applyFill="1" applyBorder="1" applyAlignment="1">
      <alignment horizontal="center"/>
    </xf>
    <xf numFmtId="0" fontId="4" fillId="3" borderId="139" xfId="14" applyFill="1" applyBorder="1" applyAlignment="1">
      <alignment horizontal="center"/>
    </xf>
    <xf numFmtId="0" fontId="3" fillId="3" borderId="139" xfId="14" applyFont="1" applyFill="1" applyBorder="1" applyAlignment="1">
      <alignment horizontal="center"/>
    </xf>
    <xf numFmtId="0" fontId="3" fillId="3" borderId="140" xfId="14" applyFont="1" applyFill="1" applyBorder="1" applyAlignment="1">
      <alignment horizontal="center"/>
    </xf>
    <xf numFmtId="0" fontId="39" fillId="3" borderId="67" xfId="14" applyFont="1" applyFill="1" applyBorder="1" applyAlignment="1">
      <alignment horizontal="center"/>
    </xf>
    <xf numFmtId="0" fontId="3" fillId="3" borderId="129" xfId="14" applyFont="1" applyFill="1" applyBorder="1" applyAlignment="1">
      <alignment horizontal="center"/>
    </xf>
    <xf numFmtId="0" fontId="3" fillId="3" borderId="47" xfId="14" applyFont="1" applyFill="1" applyBorder="1" applyAlignment="1">
      <alignment horizontal="center"/>
    </xf>
    <xf numFmtId="0" fontId="3" fillId="3" borderId="32" xfId="14" applyFont="1" applyFill="1" applyBorder="1" applyAlignment="1">
      <alignment horizontal="center"/>
    </xf>
    <xf numFmtId="49" fontId="3" fillId="3" borderId="40" xfId="14" applyNumberFormat="1" applyFont="1" applyFill="1" applyBorder="1"/>
    <xf numFmtId="0" fontId="3" fillId="3" borderId="44" xfId="14" applyFont="1" applyFill="1" applyBorder="1"/>
    <xf numFmtId="0" fontId="3" fillId="3" borderId="6" xfId="14" applyFont="1" applyFill="1" applyBorder="1"/>
    <xf numFmtId="177" fontId="3" fillId="3" borderId="67" xfId="14" applyNumberFormat="1" applyFont="1" applyFill="1" applyBorder="1" applyAlignment="1">
      <alignment horizontal="center"/>
    </xf>
    <xf numFmtId="10" fontId="3" fillId="3" borderId="34" xfId="17" applyNumberFormat="1" applyFont="1" applyFill="1" applyBorder="1" applyProtection="1"/>
    <xf numFmtId="0" fontId="3" fillId="3" borderId="31" xfId="14" applyFont="1" applyFill="1" applyBorder="1"/>
    <xf numFmtId="177" fontId="3" fillId="3" borderId="62" xfId="14" applyNumberFormat="1" applyFont="1" applyFill="1" applyBorder="1" applyAlignment="1">
      <alignment horizontal="center"/>
    </xf>
    <xf numFmtId="40" fontId="4" fillId="0" borderId="0" xfId="14" applyNumberFormat="1" applyProtection="1">
      <protection locked="0"/>
    </xf>
    <xf numFmtId="1" fontId="3" fillId="3" borderId="40" xfId="14" applyNumberFormat="1" applyFont="1" applyFill="1" applyBorder="1"/>
    <xf numFmtId="1" fontId="3" fillId="3" borderId="31" xfId="14" applyNumberFormat="1" applyFont="1" applyFill="1" applyBorder="1"/>
    <xf numFmtId="0" fontId="3" fillId="3" borderId="66" xfId="14" applyFont="1" applyFill="1" applyBorder="1" applyAlignment="1">
      <alignment horizontal="center"/>
    </xf>
    <xf numFmtId="0" fontId="3" fillId="3" borderId="62" xfId="14" applyFont="1" applyFill="1" applyBorder="1"/>
    <xf numFmtId="40" fontId="3" fillId="3" borderId="62" xfId="14" applyNumberFormat="1" applyFont="1" applyFill="1" applyBorder="1"/>
    <xf numFmtId="40" fontId="3" fillId="3" borderId="62" xfId="14" applyNumberFormat="1" applyFont="1" applyFill="1" applyBorder="1" applyProtection="1">
      <protection locked="0"/>
    </xf>
    <xf numFmtId="9" fontId="3" fillId="3" borderId="54" xfId="17" applyFont="1" applyFill="1" applyBorder="1" applyProtection="1"/>
    <xf numFmtId="40" fontId="3" fillId="3" borderId="143" xfId="14" applyNumberFormat="1" applyFont="1" applyFill="1" applyBorder="1"/>
    <xf numFmtId="10" fontId="3" fillId="3" borderId="47" xfId="17" applyNumberFormat="1" applyFont="1" applyFill="1" applyBorder="1" applyProtection="1"/>
    <xf numFmtId="0" fontId="3" fillId="3" borderId="1" xfId="14" applyFont="1" applyFill="1" applyBorder="1"/>
    <xf numFmtId="40" fontId="3" fillId="3" borderId="67" xfId="14" applyNumberFormat="1" applyFont="1" applyFill="1" applyBorder="1"/>
    <xf numFmtId="0" fontId="3" fillId="3" borderId="66" xfId="14" applyFont="1" applyFill="1" applyBorder="1"/>
    <xf numFmtId="9" fontId="3" fillId="3" borderId="55" xfId="17" applyFont="1" applyFill="1" applyBorder="1" applyProtection="1"/>
    <xf numFmtId="0" fontId="6" fillId="3" borderId="119" xfId="14" applyFont="1" applyFill="1" applyBorder="1" applyAlignment="1">
      <alignment horizontal="centerContinuous"/>
    </xf>
    <xf numFmtId="0" fontId="4" fillId="3" borderId="144" xfId="14" applyFill="1" applyBorder="1" applyAlignment="1">
      <alignment horizontal="centerContinuous"/>
    </xf>
    <xf numFmtId="0" fontId="4" fillId="3" borderId="144" xfId="14" applyFill="1" applyBorder="1"/>
    <xf numFmtId="40" fontId="38" fillId="3" borderId="0" xfId="14" applyNumberFormat="1" applyFont="1" applyFill="1"/>
    <xf numFmtId="10" fontId="38" fillId="3" borderId="147" xfId="17" applyNumberFormat="1" applyFont="1" applyFill="1" applyBorder="1" applyProtection="1"/>
    <xf numFmtId="0" fontId="6" fillId="3" borderId="148" xfId="14" applyFont="1" applyFill="1" applyBorder="1" applyAlignment="1">
      <alignment horizontal="centerContinuous"/>
    </xf>
    <xf numFmtId="0" fontId="4" fillId="3" borderId="149" xfId="14" applyFill="1" applyBorder="1" applyAlignment="1">
      <alignment horizontal="centerContinuous"/>
    </xf>
    <xf numFmtId="0" fontId="4" fillId="3" borderId="149" xfId="14" applyFill="1" applyBorder="1"/>
    <xf numFmtId="10" fontId="38" fillId="3" borderId="149" xfId="17" applyNumberFormat="1" applyFont="1" applyFill="1" applyBorder="1" applyProtection="1"/>
    <xf numFmtId="10" fontId="38" fillId="3" borderId="150" xfId="17" applyNumberFormat="1" applyFont="1" applyFill="1" applyBorder="1" applyProtection="1">
      <protection locked="0"/>
    </xf>
    <xf numFmtId="10" fontId="38" fillId="3" borderId="151" xfId="17" applyNumberFormat="1" applyFont="1" applyFill="1" applyBorder="1" applyProtection="1"/>
    <xf numFmtId="10" fontId="38" fillId="3" borderId="152" xfId="17" applyNumberFormat="1" applyFont="1" applyFill="1" applyBorder="1" applyProtection="1"/>
    <xf numFmtId="0" fontId="6" fillId="3" borderId="153" xfId="14" applyFont="1" applyFill="1" applyBorder="1" applyAlignment="1">
      <alignment horizontal="centerContinuous"/>
    </xf>
    <xf numFmtId="0" fontId="4" fillId="3" borderId="138" xfId="14" applyFill="1" applyBorder="1" applyAlignment="1">
      <alignment horizontal="centerContinuous"/>
    </xf>
    <xf numFmtId="0" fontId="4" fillId="3" borderId="138" xfId="14" applyFill="1" applyBorder="1"/>
    <xf numFmtId="10" fontId="38" fillId="3" borderId="138" xfId="17" applyNumberFormat="1" applyFont="1" applyFill="1" applyBorder="1" applyProtection="1"/>
    <xf numFmtId="10" fontId="38" fillId="3" borderId="154" xfId="17" applyNumberFormat="1" applyFont="1" applyFill="1" applyBorder="1" applyProtection="1">
      <protection locked="0"/>
    </xf>
    <xf numFmtId="10" fontId="38" fillId="3" borderId="0" xfId="17" applyNumberFormat="1" applyFont="1" applyFill="1" applyBorder="1" applyProtection="1"/>
    <xf numFmtId="0" fontId="6" fillId="15" borderId="12" xfId="14" applyFont="1" applyFill="1" applyBorder="1" applyAlignment="1" applyProtection="1">
      <alignment horizontal="left" vertical="top"/>
      <protection locked="0"/>
    </xf>
    <xf numFmtId="0" fontId="6" fillId="15" borderId="10" xfId="14" applyFont="1" applyFill="1" applyBorder="1" applyProtection="1">
      <protection locked="0"/>
    </xf>
    <xf numFmtId="0" fontId="6" fillId="15" borderId="157" xfId="14" applyFont="1" applyFill="1" applyBorder="1" applyProtection="1">
      <protection locked="0"/>
    </xf>
    <xf numFmtId="0" fontId="6" fillId="15" borderId="10" xfId="14" applyFont="1" applyFill="1" applyBorder="1" applyAlignment="1" applyProtection="1">
      <alignment horizontal="left" vertical="top"/>
      <protection locked="0"/>
    </xf>
    <xf numFmtId="0" fontId="6" fillId="15" borderId="10" xfId="14" applyFont="1" applyFill="1" applyBorder="1" applyAlignment="1" applyProtection="1">
      <alignment horizontal="centerContinuous" vertical="center"/>
      <protection locked="0"/>
    </xf>
    <xf numFmtId="0" fontId="6" fillId="15" borderId="13" xfId="14" applyFont="1" applyFill="1" applyBorder="1" applyAlignment="1" applyProtection="1">
      <alignment horizontal="centerContinuous" vertical="center"/>
      <protection locked="0"/>
    </xf>
    <xf numFmtId="0" fontId="4" fillId="15" borderId="10" xfId="14" applyFill="1" applyBorder="1" applyProtection="1">
      <protection locked="0"/>
    </xf>
    <xf numFmtId="0" fontId="4" fillId="15" borderId="13" xfId="14" applyFill="1" applyBorder="1" applyProtection="1">
      <protection locked="0"/>
    </xf>
    <xf numFmtId="0" fontId="4" fillId="15" borderId="16" xfId="14" applyFill="1" applyBorder="1" applyAlignment="1" applyProtection="1">
      <alignment horizontal="centerContinuous" vertical="center" wrapText="1"/>
      <protection locked="0"/>
    </xf>
    <xf numFmtId="0" fontId="4" fillId="15" borderId="11" xfId="14" applyFill="1" applyBorder="1" applyProtection="1">
      <protection locked="0"/>
    </xf>
    <xf numFmtId="0" fontId="4" fillId="15" borderId="158" xfId="14" applyFill="1" applyBorder="1" applyProtection="1">
      <protection locked="0"/>
    </xf>
    <xf numFmtId="0" fontId="4" fillId="15" borderId="11" xfId="14" applyFill="1" applyBorder="1" applyAlignment="1" applyProtection="1">
      <alignment horizontal="centerContinuous" vertical="center" wrapText="1"/>
      <protection locked="0"/>
    </xf>
    <xf numFmtId="0" fontId="4" fillId="15" borderId="11" xfId="14" applyFill="1" applyBorder="1" applyAlignment="1" applyProtection="1">
      <alignment horizontal="left" vertical="center"/>
      <protection locked="0"/>
    </xf>
    <xf numFmtId="0" fontId="4" fillId="15" borderId="17" xfId="14" applyFill="1" applyBorder="1" applyAlignment="1" applyProtection="1">
      <alignment horizontal="centerContinuous" vertical="center"/>
      <protection locked="0"/>
    </xf>
    <xf numFmtId="17" fontId="4" fillId="15" borderId="11" xfId="14" applyNumberFormat="1" applyFill="1" applyBorder="1" applyAlignment="1" applyProtection="1">
      <alignment horizontal="center" vertical="center"/>
      <protection locked="0"/>
    </xf>
    <xf numFmtId="14" fontId="6" fillId="15" borderId="11" xfId="14" applyNumberFormat="1" applyFont="1" applyFill="1" applyBorder="1" applyAlignment="1" applyProtection="1">
      <alignment horizontal="center" vertical="center"/>
      <protection locked="0"/>
    </xf>
    <xf numFmtId="17" fontId="4" fillId="15" borderId="17" xfId="14" applyNumberFormat="1" applyFill="1" applyBorder="1" applyAlignment="1" applyProtection="1">
      <alignment horizontal="center" vertical="center"/>
      <protection locked="0"/>
    </xf>
    <xf numFmtId="0" fontId="0" fillId="0" borderId="10" xfId="0" applyBorder="1"/>
    <xf numFmtId="2" fontId="28" fillId="7" borderId="36" xfId="7" applyNumberFormat="1" applyFont="1" applyFill="1" applyBorder="1" applyAlignment="1" applyProtection="1">
      <alignment horizontal="center" vertical="center"/>
      <protection locked="0"/>
    </xf>
    <xf numFmtId="2" fontId="28" fillId="7" borderId="52" xfId="7" applyNumberFormat="1" applyFont="1" applyFill="1" applyBorder="1" applyAlignment="1" applyProtection="1">
      <alignment horizontal="center" vertical="center"/>
      <protection locked="0"/>
    </xf>
    <xf numFmtId="166" fontId="23" fillId="0" borderId="0" xfId="3" applyFont="1" applyFill="1" applyAlignment="1" applyProtection="1">
      <alignment vertical="center"/>
    </xf>
    <xf numFmtId="2" fontId="28" fillId="7" borderId="32" xfId="7" applyNumberFormat="1" applyFont="1" applyFill="1" applyBorder="1" applyAlignment="1" applyProtection="1">
      <alignment horizontal="center" vertical="center"/>
      <protection locked="0"/>
    </xf>
    <xf numFmtId="2" fontId="28" fillId="7" borderId="54" xfId="7" applyNumberFormat="1" applyFont="1" applyFill="1" applyBorder="1" applyAlignment="1" applyProtection="1">
      <alignment horizontal="center" vertical="center"/>
      <protection locked="0"/>
    </xf>
    <xf numFmtId="2" fontId="28" fillId="7" borderId="27" xfId="7" applyNumberFormat="1" applyFont="1" applyFill="1" applyBorder="1" applyAlignment="1" applyProtection="1">
      <alignment horizontal="center" vertical="center"/>
      <protection locked="0"/>
    </xf>
    <xf numFmtId="2" fontId="28" fillId="7" borderId="77" xfId="7" applyNumberFormat="1" applyFont="1" applyFill="1" applyBorder="1" applyAlignment="1" applyProtection="1">
      <alignment horizontal="center" vertical="center"/>
      <protection locked="0"/>
    </xf>
    <xf numFmtId="166" fontId="52" fillId="7" borderId="29" xfId="3" applyFont="1" applyFill="1" applyBorder="1" applyAlignment="1" applyProtection="1">
      <alignment horizontal="right" vertical="center"/>
      <protection locked="0"/>
    </xf>
    <xf numFmtId="0" fontId="9" fillId="11" borderId="0" xfId="0" applyFont="1" applyFill="1"/>
    <xf numFmtId="2" fontId="9" fillId="11" borderId="0" xfId="0" applyNumberFormat="1" applyFont="1" applyFill="1" applyAlignment="1">
      <alignment horizontal="center"/>
    </xf>
    <xf numFmtId="165" fontId="4" fillId="0" borderId="0" xfId="0" applyNumberFormat="1" applyFont="1"/>
    <xf numFmtId="166" fontId="0" fillId="0" borderId="0" xfId="3" applyFont="1"/>
    <xf numFmtId="166" fontId="0" fillId="0" borderId="6" xfId="3" applyFont="1" applyBorder="1"/>
    <xf numFmtId="0" fontId="54" fillId="0" borderId="0" xfId="0" applyFont="1"/>
    <xf numFmtId="165" fontId="0" fillId="0" borderId="0" xfId="0" applyNumberFormat="1"/>
    <xf numFmtId="0" fontId="3" fillId="0" borderId="0" xfId="5"/>
    <xf numFmtId="0" fontId="3" fillId="0" borderId="0" xfId="5" applyAlignment="1">
      <alignment horizontal="center"/>
    </xf>
    <xf numFmtId="178" fontId="0" fillId="0" borderId="0" xfId="6" applyNumberFormat="1" applyFont="1" applyFill="1"/>
    <xf numFmtId="0" fontId="55" fillId="0" borderId="0" xfId="19"/>
    <xf numFmtId="169" fontId="4" fillId="0" borderId="0" xfId="0" applyNumberFormat="1" applyFont="1"/>
    <xf numFmtId="2" fontId="7" fillId="0" borderId="8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/>
    <xf numFmtId="0" fontId="2" fillId="9" borderId="0" xfId="0" applyFont="1" applyFill="1"/>
    <xf numFmtId="180" fontId="2" fillId="9" borderId="0" xfId="0" applyNumberFormat="1" applyFont="1" applyFill="1"/>
    <xf numFmtId="0" fontId="2" fillId="12" borderId="0" xfId="0" applyFont="1" applyFill="1"/>
    <xf numFmtId="180" fontId="2" fillId="12" borderId="0" xfId="0" applyNumberFormat="1" applyFont="1" applyFill="1"/>
    <xf numFmtId="0" fontId="2" fillId="0" borderId="112" xfId="0" applyFont="1" applyBorder="1" applyAlignment="1">
      <alignment horizontal="centerContinuous" wrapText="1"/>
    </xf>
    <xf numFmtId="0" fontId="0" fillId="0" borderId="80" xfId="0" applyBorder="1" applyAlignment="1">
      <alignment horizontal="centerContinuous"/>
    </xf>
    <xf numFmtId="0" fontId="2" fillId="2" borderId="112" xfId="0" applyFont="1" applyFill="1" applyBorder="1" applyAlignment="1">
      <alignment horizontal="centerContinuous" wrapText="1"/>
    </xf>
    <xf numFmtId="0" fontId="0" fillId="2" borderId="80" xfId="0" applyFill="1" applyBorder="1" applyAlignment="1">
      <alignment horizontal="centerContinuous"/>
    </xf>
    <xf numFmtId="0" fontId="2" fillId="2" borderId="81" xfId="0" applyFont="1" applyFill="1" applyBorder="1" applyAlignment="1">
      <alignment horizontal="center" vertical="center" wrapText="1"/>
    </xf>
    <xf numFmtId="0" fontId="57" fillId="0" borderId="6" xfId="0" applyFont="1" applyBorder="1" applyAlignment="1">
      <alignment horizontal="center" vertical="top" wrapText="1"/>
    </xf>
    <xf numFmtId="0" fontId="57" fillId="2" borderId="34" xfId="0" applyFont="1" applyFill="1" applyBorder="1" applyAlignment="1">
      <alignment horizontal="center" vertical="top" wrapText="1"/>
    </xf>
    <xf numFmtId="166" fontId="0" fillId="0" borderId="7" xfId="3" applyFont="1" applyBorder="1"/>
    <xf numFmtId="166" fontId="0" fillId="0" borderId="44" xfId="3" applyFont="1" applyBorder="1"/>
    <xf numFmtId="4" fontId="58" fillId="2" borderId="6" xfId="0" applyNumberFormat="1" applyFont="1" applyFill="1" applyBorder="1" applyAlignment="1">
      <alignment horizontal="center" vertical="center" shrinkToFit="1"/>
    </xf>
    <xf numFmtId="4" fontId="58" fillId="9" borderId="6" xfId="0" applyNumberFormat="1" applyFont="1" applyFill="1" applyBorder="1" applyAlignment="1">
      <alignment horizontal="center" vertical="center" shrinkToFit="1"/>
    </xf>
    <xf numFmtId="4" fontId="58" fillId="16" borderId="6" xfId="0" applyNumberFormat="1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4" fontId="59" fillId="16" borderId="34" xfId="0" applyNumberFormat="1" applyFont="1" applyFill="1" applyBorder="1" applyAlignment="1">
      <alignment horizontal="center" vertical="center" shrinkToFit="1"/>
    </xf>
    <xf numFmtId="4" fontId="58" fillId="0" borderId="6" xfId="0" applyNumberFormat="1" applyFont="1" applyBorder="1" applyAlignment="1">
      <alignment horizontal="center" vertical="center" shrinkToFit="1"/>
    </xf>
    <xf numFmtId="166" fontId="0" fillId="0" borderId="31" xfId="3" applyFont="1" applyFill="1" applyBorder="1"/>
    <xf numFmtId="166" fontId="0" fillId="2" borderId="31" xfId="3" applyFont="1" applyFill="1" applyBorder="1"/>
    <xf numFmtId="166" fontId="0" fillId="0" borderId="6" xfId="3" applyFont="1" applyFill="1" applyBorder="1"/>
    <xf numFmtId="4" fontId="0" fillId="0" borderId="0" xfId="0" applyNumberFormat="1"/>
    <xf numFmtId="10" fontId="0" fillId="0" borderId="0" xfId="6" applyNumberFormat="1" applyFont="1"/>
    <xf numFmtId="4" fontId="58" fillId="17" borderId="6" xfId="0" applyNumberFormat="1" applyFont="1" applyFill="1" applyBorder="1" applyAlignment="1">
      <alignment horizontal="center" vertical="center" shrinkToFit="1"/>
    </xf>
    <xf numFmtId="166" fontId="58" fillId="17" borderId="6" xfId="3" applyFont="1" applyFill="1" applyBorder="1" applyAlignment="1">
      <alignment horizontal="center" vertical="center" shrinkToFit="1"/>
    </xf>
    <xf numFmtId="0" fontId="3" fillId="0" borderId="6" xfId="5" applyBorder="1" applyAlignment="1">
      <alignment horizontal="center"/>
    </xf>
    <xf numFmtId="0" fontId="3" fillId="0" borderId="6" xfId="5" applyBorder="1" applyAlignment="1">
      <alignment wrapText="1"/>
    </xf>
    <xf numFmtId="0" fontId="3" fillId="0" borderId="6" xfId="5" applyBorder="1"/>
    <xf numFmtId="0" fontId="0" fillId="0" borderId="0" xfId="0" applyAlignment="1">
      <alignment horizontal="center" vertical="center" wrapText="1"/>
    </xf>
    <xf numFmtId="0" fontId="3" fillId="0" borderId="44" xfId="5" applyBorder="1" applyAlignment="1">
      <alignment wrapText="1"/>
    </xf>
    <xf numFmtId="4" fontId="58" fillId="18" borderId="6" xfId="0" applyNumberFormat="1" applyFont="1" applyFill="1" applyBorder="1" applyAlignment="1">
      <alignment horizontal="center" vertical="center" shrinkToFit="1"/>
    </xf>
    <xf numFmtId="4" fontId="58" fillId="17" borderId="25" xfId="0" applyNumberFormat="1" applyFont="1" applyFill="1" applyBorder="1" applyAlignment="1">
      <alignment horizontal="center" vertical="center" shrinkToFit="1"/>
    </xf>
    <xf numFmtId="4" fontId="58" fillId="9" borderId="25" xfId="0" applyNumberFormat="1" applyFont="1" applyFill="1" applyBorder="1" applyAlignment="1">
      <alignment horizontal="center" vertical="center" shrinkToFit="1"/>
    </xf>
    <xf numFmtId="0" fontId="0" fillId="0" borderId="11" xfId="0" applyBorder="1" applyAlignment="1">
      <alignment horizontal="center" vertical="center"/>
    </xf>
    <xf numFmtId="166" fontId="0" fillId="0" borderId="0" xfId="3" quotePrefix="1" applyFont="1"/>
    <xf numFmtId="10" fontId="0" fillId="0" borderId="0" xfId="4" applyNumberFormat="1" applyFont="1"/>
    <xf numFmtId="10" fontId="0" fillId="0" borderId="67" xfId="4" applyNumberFormat="1" applyFont="1" applyBorder="1"/>
    <xf numFmtId="10" fontId="0" fillId="0" borderId="0" xfId="0" applyNumberFormat="1" applyAlignment="1">
      <alignment vertical="top"/>
    </xf>
    <xf numFmtId="166" fontId="0" fillId="2" borderId="0" xfId="3" applyFont="1" applyFill="1"/>
    <xf numFmtId="166" fontId="0" fillId="0" borderId="0" xfId="3" applyFont="1" applyFill="1"/>
    <xf numFmtId="166" fontId="0" fillId="2" borderId="6" xfId="3" applyFont="1" applyFill="1" applyBorder="1"/>
    <xf numFmtId="4" fontId="58" fillId="0" borderId="31" xfId="0" applyNumberFormat="1" applyFont="1" applyBorder="1" applyAlignment="1">
      <alignment horizontal="center" vertical="center" shrinkToFit="1"/>
    </xf>
    <xf numFmtId="0" fontId="57" fillId="2" borderId="7" xfId="0" applyFont="1" applyFill="1" applyBorder="1" applyAlignment="1">
      <alignment horizontal="center" vertical="top" wrapText="1"/>
    </xf>
    <xf numFmtId="0" fontId="57" fillId="2" borderId="6" xfId="0" applyFont="1" applyFill="1" applyBorder="1" applyAlignment="1">
      <alignment horizontal="center" vertical="top" wrapText="1"/>
    </xf>
    <xf numFmtId="166" fontId="0" fillId="0" borderId="62" xfId="3" applyFont="1" applyBorder="1"/>
    <xf numFmtId="0" fontId="27" fillId="8" borderId="10" xfId="1" applyFont="1" applyFill="1" applyBorder="1" applyAlignment="1">
      <alignment vertical="center"/>
    </xf>
    <xf numFmtId="10" fontId="6" fillId="0" borderId="29" xfId="4" applyNumberFormat="1" applyFont="1" applyFill="1" applyBorder="1" applyAlignment="1" applyProtection="1">
      <alignment horizontal="right"/>
    </xf>
    <xf numFmtId="0" fontId="62" fillId="0" borderId="0" xfId="0" quotePrefix="1" applyFont="1"/>
    <xf numFmtId="10" fontId="6" fillId="2" borderId="29" xfId="4" applyNumberFormat="1" applyFont="1" applyFill="1" applyBorder="1" applyAlignment="1" applyProtection="1">
      <alignment horizontal="right"/>
    </xf>
    <xf numFmtId="171" fontId="6" fillId="8" borderId="28" xfId="1" applyNumberFormat="1" applyFont="1" applyFill="1" applyBorder="1" applyAlignment="1">
      <alignment horizontal="right"/>
    </xf>
    <xf numFmtId="0" fontId="6" fillId="8" borderId="17" xfId="1" applyFont="1" applyFill="1" applyBorder="1"/>
    <xf numFmtId="181" fontId="61" fillId="0" borderId="0" xfId="3" applyNumberFormat="1" applyFont="1" applyFill="1" applyAlignment="1" applyProtection="1">
      <alignment horizontal="right" vertical="center"/>
    </xf>
    <xf numFmtId="181" fontId="61" fillId="0" borderId="0" xfId="0" applyNumberFormat="1" applyFont="1" applyAlignment="1">
      <alignment horizontal="right" vertical="center"/>
    </xf>
    <xf numFmtId="0" fontId="4" fillId="19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6" fontId="4" fillId="0" borderId="0" xfId="3" applyFont="1" applyFill="1" applyProtection="1"/>
    <xf numFmtId="166" fontId="19" fillId="6" borderId="0" xfId="3" applyFont="1" applyFill="1" applyProtection="1"/>
    <xf numFmtId="166" fontId="4" fillId="0" borderId="0" xfId="3" applyFont="1" applyProtection="1"/>
    <xf numFmtId="4" fontId="4" fillId="0" borderId="28" xfId="1" applyNumberFormat="1" applyBorder="1" applyAlignment="1">
      <alignment horizontal="center" vertical="center"/>
    </xf>
    <xf numFmtId="4" fontId="4" fillId="0" borderId="0" xfId="0" applyNumberFormat="1" applyFont="1"/>
    <xf numFmtId="4" fontId="6" fillId="2" borderId="0" xfId="3" applyNumberFormat="1" applyFont="1" applyFill="1" applyProtection="1"/>
    <xf numFmtId="4" fontId="6" fillId="2" borderId="0" xfId="3" applyNumberFormat="1" applyFont="1" applyFill="1"/>
    <xf numFmtId="0" fontId="6" fillId="0" borderId="6" xfId="0" applyFont="1" applyBorder="1" applyAlignment="1">
      <alignment horizontal="center" vertical="center" textRotation="90" wrapText="1"/>
    </xf>
    <xf numFmtId="0" fontId="13" fillId="0" borderId="6" xfId="0" applyFont="1" applyBorder="1" applyAlignment="1">
      <alignment horizontal="centerContinuous"/>
    </xf>
    <xf numFmtId="0" fontId="14" fillId="0" borderId="0" xfId="0" applyFont="1" applyAlignment="1">
      <alignment horizontal="center" vertical="center"/>
    </xf>
    <xf numFmtId="0" fontId="47" fillId="0" borderId="0" xfId="5" applyFont="1" applyAlignment="1">
      <alignment vertical="center"/>
    </xf>
    <xf numFmtId="0" fontId="23" fillId="0" borderId="0" xfId="7" applyAlignment="1">
      <alignment vertical="center"/>
    </xf>
    <xf numFmtId="0" fontId="23" fillId="0" borderId="0" xfId="7"/>
    <xf numFmtId="2" fontId="28" fillId="0" borderId="66" xfId="7" applyNumberFormat="1" applyFont="1" applyBorder="1" applyAlignment="1">
      <alignment horizontal="right" vertical="center"/>
    </xf>
    <xf numFmtId="2" fontId="28" fillId="0" borderId="54" xfId="7" applyNumberFormat="1" applyFont="1" applyBorder="1" applyAlignment="1">
      <alignment horizontal="center" vertical="center"/>
    </xf>
    <xf numFmtId="0" fontId="30" fillId="0" borderId="0" xfId="7" applyFont="1" applyAlignment="1">
      <alignment vertical="center"/>
    </xf>
    <xf numFmtId="2" fontId="28" fillId="0" borderId="176" xfId="7" applyNumberFormat="1" applyFont="1" applyBorder="1" applyAlignment="1">
      <alignment horizontal="right" vertical="center"/>
    </xf>
    <xf numFmtId="2" fontId="28" fillId="0" borderId="55" xfId="7" applyNumberFormat="1" applyFont="1" applyBorder="1" applyAlignment="1">
      <alignment horizontal="center" vertical="center"/>
    </xf>
    <xf numFmtId="0" fontId="27" fillId="0" borderId="3" xfId="7" applyFont="1" applyBorder="1" applyAlignment="1">
      <alignment horizontal="right" vertical="center"/>
    </xf>
    <xf numFmtId="2" fontId="27" fillId="0" borderId="38" xfId="7" applyNumberFormat="1" applyFont="1" applyBorder="1" applyAlignment="1">
      <alignment horizontal="center" vertical="center"/>
    </xf>
    <xf numFmtId="2" fontId="23" fillId="0" borderId="0" xfId="7" applyNumberFormat="1" applyAlignment="1">
      <alignment vertical="center"/>
    </xf>
    <xf numFmtId="0" fontId="27" fillId="0" borderId="76" xfId="7" applyFont="1" applyBorder="1" applyAlignment="1">
      <alignment vertical="center"/>
    </xf>
    <xf numFmtId="2" fontId="28" fillId="0" borderId="78" xfId="7" applyNumberFormat="1" applyFont="1" applyBorder="1" applyAlignment="1">
      <alignment horizontal="center" vertical="center"/>
    </xf>
    <xf numFmtId="2" fontId="28" fillId="0" borderId="52" xfId="7" applyNumberFormat="1" applyFont="1" applyBorder="1" applyAlignment="1">
      <alignment horizontal="center" vertical="center"/>
    </xf>
    <xf numFmtId="0" fontId="23" fillId="0" borderId="0" xfId="7" quotePrefix="1" applyAlignment="1">
      <alignment vertical="center"/>
    </xf>
    <xf numFmtId="0" fontId="27" fillId="0" borderId="66" xfId="7" applyFont="1" applyBorder="1" applyAlignment="1">
      <alignment vertical="center"/>
    </xf>
    <xf numFmtId="0" fontId="27" fillId="0" borderId="56" xfId="7" applyFont="1" applyBorder="1" applyAlignment="1">
      <alignment vertical="center"/>
    </xf>
    <xf numFmtId="0" fontId="27" fillId="0" borderId="29" xfId="7" applyFont="1" applyBorder="1" applyAlignment="1">
      <alignment vertical="center"/>
    </xf>
    <xf numFmtId="2" fontId="27" fillId="0" borderId="37" xfId="7" applyNumberFormat="1" applyFont="1" applyBorder="1" applyAlignment="1">
      <alignment horizontal="center" vertical="center"/>
    </xf>
    <xf numFmtId="0" fontId="46" fillId="0" borderId="0" xfId="5" quotePrefix="1" applyFont="1" applyAlignment="1">
      <alignment vertical="center"/>
    </xf>
    <xf numFmtId="0" fontId="48" fillId="0" borderId="2" xfId="7" applyFont="1" applyBorder="1" applyAlignment="1">
      <alignment vertical="center"/>
    </xf>
    <xf numFmtId="10" fontId="48" fillId="0" borderId="3" xfId="7" applyNumberFormat="1" applyFont="1" applyBorder="1" applyAlignment="1">
      <alignment horizontal="centerContinuous" vertical="center"/>
    </xf>
    <xf numFmtId="9" fontId="48" fillId="0" borderId="38" xfId="7" applyNumberFormat="1" applyFont="1" applyBorder="1" applyAlignment="1">
      <alignment horizontal="centerContinuous" vertical="center"/>
    </xf>
    <xf numFmtId="0" fontId="32" fillId="0" borderId="29" xfId="7" applyFont="1" applyBorder="1" applyAlignment="1">
      <alignment horizontal="center" vertical="center"/>
    </xf>
    <xf numFmtId="171" fontId="23" fillId="0" borderId="0" xfId="7" applyNumberFormat="1" applyAlignment="1">
      <alignment vertical="center"/>
    </xf>
    <xf numFmtId="0" fontId="49" fillId="0" borderId="0" xfId="7" applyFont="1" applyAlignment="1">
      <alignment vertical="center"/>
    </xf>
    <xf numFmtId="0" fontId="50" fillId="0" borderId="0" xfId="7" applyFont="1" applyAlignment="1">
      <alignment vertical="center"/>
    </xf>
    <xf numFmtId="0" fontId="50" fillId="0" borderId="0" xfId="7" applyFont="1"/>
    <xf numFmtId="0" fontId="28" fillId="0" borderId="0" xfId="7" applyFont="1" applyAlignment="1">
      <alignment vertical="center"/>
    </xf>
    <xf numFmtId="0" fontId="3" fillId="0" borderId="0" xfId="7" applyFont="1" applyAlignment="1">
      <alignment vertical="center"/>
    </xf>
    <xf numFmtId="0" fontId="6" fillId="0" borderId="0" xfId="7" applyFont="1" applyAlignment="1">
      <alignment vertical="center"/>
    </xf>
    <xf numFmtId="0" fontId="51" fillId="0" borderId="0" xfId="7" applyFont="1" applyAlignment="1">
      <alignment horizontal="center" vertical="center"/>
    </xf>
    <xf numFmtId="0" fontId="2" fillId="0" borderId="0" xfId="7" applyFont="1" applyAlignment="1">
      <alignment vertical="center"/>
    </xf>
    <xf numFmtId="2" fontId="29" fillId="0" borderId="0" xfId="7" applyNumberFormat="1" applyFont="1" applyAlignment="1">
      <alignment horizontal="left" vertical="center"/>
    </xf>
    <xf numFmtId="2" fontId="29" fillId="0" borderId="6" xfId="7" quotePrefix="1" applyNumberFormat="1" applyFont="1" applyBorder="1" applyAlignment="1">
      <alignment horizontal="right" vertical="center"/>
    </xf>
    <xf numFmtId="2" fontId="29" fillId="0" borderId="6" xfId="7" applyNumberFormat="1" applyFont="1" applyBorder="1" applyAlignment="1">
      <alignment horizontal="right" vertical="center"/>
    </xf>
    <xf numFmtId="0" fontId="31" fillId="0" borderId="0" xfId="7" applyFont="1" applyAlignment="1">
      <alignment vertical="center"/>
    </xf>
    <xf numFmtId="0" fontId="25" fillId="0" borderId="0" xfId="7" applyFont="1" applyAlignment="1">
      <alignment vertical="center"/>
    </xf>
    <xf numFmtId="0" fontId="6" fillId="0" borderId="29" xfId="7" applyFont="1" applyBorder="1" applyAlignment="1">
      <alignment horizontal="center" vertical="center"/>
    </xf>
    <xf numFmtId="0" fontId="6" fillId="0" borderId="37" xfId="7" applyFont="1" applyBorder="1" applyAlignment="1">
      <alignment horizontal="center" vertical="center"/>
    </xf>
    <xf numFmtId="0" fontId="6" fillId="0" borderId="5" xfId="7" applyFont="1" applyBorder="1" applyAlignment="1">
      <alignment horizontal="center" vertical="center"/>
    </xf>
    <xf numFmtId="0" fontId="6" fillId="0" borderId="30" xfId="7" applyFont="1" applyBorder="1" applyAlignment="1">
      <alignment horizontal="center" vertical="center"/>
    </xf>
    <xf numFmtId="0" fontId="4" fillId="0" borderId="33" xfId="7" applyFont="1" applyBorder="1" applyAlignment="1">
      <alignment vertical="center" wrapText="1"/>
    </xf>
    <xf numFmtId="10" fontId="4" fillId="0" borderId="46" xfId="7" applyNumberFormat="1" applyFont="1" applyBorder="1" applyAlignment="1">
      <alignment horizontal="center" vertical="center"/>
    </xf>
    <xf numFmtId="10" fontId="4" fillId="0" borderId="31" xfId="7" applyNumberFormat="1" applyFont="1" applyBorder="1" applyAlignment="1">
      <alignment horizontal="center" vertical="center"/>
    </xf>
    <xf numFmtId="10" fontId="4" fillId="0" borderId="47" xfId="7" applyNumberFormat="1" applyFont="1" applyBorder="1" applyAlignment="1">
      <alignment horizontal="center" vertical="center"/>
    </xf>
    <xf numFmtId="0" fontId="4" fillId="0" borderId="45" xfId="7" applyFont="1" applyBorder="1" applyAlignment="1">
      <alignment vertical="center" wrapText="1"/>
    </xf>
    <xf numFmtId="10" fontId="4" fillId="0" borderId="44" xfId="7" applyNumberFormat="1" applyFont="1" applyBorder="1" applyAlignment="1">
      <alignment horizontal="center" vertical="center"/>
    </xf>
    <xf numFmtId="10" fontId="4" fillId="0" borderId="6" xfId="7" applyNumberFormat="1" applyFont="1" applyBorder="1" applyAlignment="1">
      <alignment horizontal="center" vertical="center"/>
    </xf>
    <xf numFmtId="10" fontId="4" fillId="0" borderId="34" xfId="7" applyNumberFormat="1" applyFont="1" applyBorder="1" applyAlignment="1">
      <alignment horizontal="center" vertical="center"/>
    </xf>
    <xf numFmtId="0" fontId="4" fillId="0" borderId="8" xfId="7" applyFont="1" applyBorder="1" applyAlignment="1">
      <alignment vertical="center" wrapText="1"/>
    </xf>
    <xf numFmtId="10" fontId="4" fillId="0" borderId="82" xfId="7" applyNumberFormat="1" applyFont="1" applyBorder="1" applyAlignment="1">
      <alignment horizontal="center" vertical="center"/>
    </xf>
    <xf numFmtId="10" fontId="4" fillId="0" borderId="25" xfId="7" applyNumberFormat="1" applyFont="1" applyBorder="1" applyAlignment="1">
      <alignment horizontal="center" vertical="center"/>
    </xf>
    <xf numFmtId="10" fontId="4" fillId="0" borderId="83" xfId="7" applyNumberFormat="1" applyFont="1" applyBorder="1" applyAlignment="1">
      <alignment horizontal="center" vertical="center"/>
    </xf>
    <xf numFmtId="0" fontId="25" fillId="0" borderId="0" xfId="7" applyFont="1" applyAlignment="1">
      <alignment vertical="center" wrapText="1"/>
    </xf>
    <xf numFmtId="10" fontId="4" fillId="0" borderId="85" xfId="7" applyNumberFormat="1" applyFont="1" applyBorder="1" applyAlignment="1">
      <alignment horizontal="center" vertical="center"/>
    </xf>
    <xf numFmtId="10" fontId="4" fillId="0" borderId="24" xfId="7" applyNumberFormat="1" applyFont="1" applyBorder="1" applyAlignment="1">
      <alignment horizontal="center" vertical="center"/>
    </xf>
    <xf numFmtId="10" fontId="4" fillId="0" borderId="51" xfId="7" applyNumberFormat="1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 wrapText="1"/>
    </xf>
    <xf numFmtId="0" fontId="6" fillId="0" borderId="85" xfId="7" applyFont="1" applyBorder="1" applyAlignment="1">
      <alignment horizontal="center" vertical="center"/>
    </xf>
    <xf numFmtId="0" fontId="6" fillId="0" borderId="24" xfId="7" applyFont="1" applyBorder="1" applyAlignment="1">
      <alignment horizontal="center" vertical="center"/>
    </xf>
    <xf numFmtId="0" fontId="6" fillId="0" borderId="51" xfId="7" applyFont="1" applyBorder="1" applyAlignment="1">
      <alignment horizontal="center" vertical="center"/>
    </xf>
    <xf numFmtId="10" fontId="25" fillId="0" borderId="0" xfId="7" applyNumberFormat="1" applyFont="1" applyAlignment="1">
      <alignment vertical="center"/>
    </xf>
    <xf numFmtId="10" fontId="23" fillId="0" borderId="0" xfId="7" applyNumberFormat="1" applyAlignment="1">
      <alignment vertical="center"/>
    </xf>
    <xf numFmtId="0" fontId="6" fillId="0" borderId="29" xfId="7" applyFont="1" applyBorder="1" applyAlignment="1">
      <alignment vertical="center" wrapText="1"/>
    </xf>
    <xf numFmtId="0" fontId="25" fillId="0" borderId="0" xfId="7" applyFont="1"/>
    <xf numFmtId="2" fontId="28" fillId="0" borderId="54" xfId="7" applyNumberFormat="1" applyFont="1" applyBorder="1" applyAlignment="1" applyProtection="1">
      <alignment horizontal="center" vertical="center"/>
      <protection locked="0"/>
    </xf>
    <xf numFmtId="10" fontId="4" fillId="0" borderId="38" xfId="6" applyNumberFormat="1" applyFont="1" applyFill="1" applyBorder="1" applyAlignment="1" applyProtection="1">
      <alignment vertical="center"/>
    </xf>
    <xf numFmtId="0" fontId="4" fillId="20" borderId="6" xfId="5" applyFont="1" applyFill="1" applyBorder="1" applyAlignment="1" applyProtection="1">
      <alignment horizontal="center" vertical="center"/>
      <protection locked="0"/>
    </xf>
    <xf numFmtId="49" fontId="17" fillId="0" borderId="28" xfId="5" applyNumberFormat="1" applyFont="1" applyBorder="1" applyAlignment="1">
      <alignment horizontal="centerContinuous" vertical="center"/>
    </xf>
    <xf numFmtId="0" fontId="4" fillId="0" borderId="28" xfId="5" applyFont="1" applyBorder="1" applyAlignment="1">
      <alignment horizontal="centerContinuous" vertical="center"/>
    </xf>
    <xf numFmtId="0" fontId="4" fillId="0" borderId="38" xfId="5" applyFont="1" applyBorder="1" applyAlignment="1">
      <alignment horizontal="centerContinuous" vertical="center"/>
    </xf>
    <xf numFmtId="0" fontId="4" fillId="0" borderId="0" xfId="5" applyFont="1"/>
    <xf numFmtId="0" fontId="61" fillId="0" borderId="0" xfId="5" applyFont="1" applyAlignment="1">
      <alignment vertical="center"/>
    </xf>
    <xf numFmtId="0" fontId="4" fillId="0" borderId="3" xfId="5" applyFont="1" applyBorder="1" applyAlignment="1">
      <alignment horizontal="left"/>
    </xf>
    <xf numFmtId="0" fontId="4" fillId="0" borderId="28" xfId="5" applyFont="1" applyBorder="1" applyAlignment="1">
      <alignment horizontal="left"/>
    </xf>
    <xf numFmtId="0" fontId="4" fillId="0" borderId="28" xfId="1" applyBorder="1"/>
    <xf numFmtId="167" fontId="6" fillId="0" borderId="38" xfId="1" applyNumberFormat="1" applyFont="1" applyBorder="1" applyAlignment="1">
      <alignment horizontal="center" vertical="center"/>
    </xf>
    <xf numFmtId="0" fontId="6" fillId="0" borderId="29" xfId="5" applyFont="1" applyBorder="1" applyAlignment="1">
      <alignment horizontal="center" wrapText="1"/>
    </xf>
    <xf numFmtId="0" fontId="6" fillId="0" borderId="0" xfId="5" applyFont="1"/>
    <xf numFmtId="49" fontId="6" fillId="0" borderId="48" xfId="5" applyNumberFormat="1" applyFont="1" applyBorder="1" applyAlignment="1">
      <alignment horizontal="center"/>
    </xf>
    <xf numFmtId="0" fontId="13" fillId="0" borderId="10" xfId="5" applyFont="1" applyBorder="1"/>
    <xf numFmtId="0" fontId="4" fillId="0" borderId="10" xfId="5" applyFont="1" applyBorder="1"/>
    <xf numFmtId="4" fontId="6" fillId="0" borderId="13" xfId="1" applyNumberFormat="1" applyFont="1" applyBorder="1"/>
    <xf numFmtId="49" fontId="6" fillId="0" borderId="2" xfId="5" applyNumberFormat="1" applyFont="1" applyBorder="1" applyAlignment="1">
      <alignment horizontal="center"/>
    </xf>
    <xf numFmtId="0" fontId="13" fillId="0" borderId="28" xfId="5" applyFont="1" applyBorder="1"/>
    <xf numFmtId="0" fontId="4" fillId="0" borderId="28" xfId="5" applyFont="1" applyBorder="1"/>
    <xf numFmtId="4" fontId="6" fillId="0" borderId="38" xfId="1" applyNumberFormat="1" applyFont="1" applyBorder="1"/>
    <xf numFmtId="0" fontId="13" fillId="0" borderId="0" xfId="5" applyFont="1"/>
    <xf numFmtId="0" fontId="13" fillId="0" borderId="11" xfId="5" applyFont="1" applyBorder="1"/>
    <xf numFmtId="0" fontId="4" fillId="0" borderId="11" xfId="5" applyFont="1" applyBorder="1"/>
    <xf numFmtId="0" fontId="14" fillId="0" borderId="3" xfId="5" applyFont="1" applyBorder="1" applyAlignment="1">
      <alignment horizontal="left" vertical="center"/>
    </xf>
    <xf numFmtId="0" fontId="14" fillId="0" borderId="28" xfId="5" applyFont="1" applyBorder="1" applyAlignment="1">
      <alignment horizontal="left" vertical="center"/>
    </xf>
    <xf numFmtId="0" fontId="6" fillId="0" borderId="28" xfId="1" applyFont="1" applyBorder="1" applyAlignment="1">
      <alignment horizontal="left" vertical="center" indent="25"/>
    </xf>
    <xf numFmtId="10" fontId="6" fillId="0" borderId="38" xfId="6" applyNumberFormat="1" applyFont="1" applyFill="1" applyBorder="1" applyAlignment="1" applyProtection="1">
      <alignment vertical="center"/>
    </xf>
    <xf numFmtId="0" fontId="6" fillId="0" borderId="0" xfId="5" applyFont="1" applyAlignment="1">
      <alignment vertical="center"/>
    </xf>
    <xf numFmtId="0" fontId="6" fillId="0" borderId="68" xfId="5" applyFont="1" applyBorder="1" applyAlignment="1">
      <alignment horizontal="left" vertical="center"/>
    </xf>
    <xf numFmtId="0" fontId="4" fillId="0" borderId="69" xfId="5" applyFont="1" applyBorder="1" applyAlignment="1">
      <alignment horizontal="left" vertical="center"/>
    </xf>
    <xf numFmtId="0" fontId="6" fillId="0" borderId="70" xfId="1" applyFont="1" applyBorder="1" applyAlignment="1">
      <alignment horizontal="center" vertical="center" wrapText="1"/>
    </xf>
    <xf numFmtId="4" fontId="6" fillId="0" borderId="70" xfId="1" applyNumberFormat="1" applyFont="1" applyBorder="1" applyAlignment="1">
      <alignment horizontal="center" vertical="center" wrapText="1"/>
    </xf>
    <xf numFmtId="0" fontId="4" fillId="0" borderId="16" xfId="5" applyFont="1" applyBorder="1" applyAlignment="1">
      <alignment horizontal="left" vertical="center"/>
    </xf>
    <xf numFmtId="0" fontId="4" fillId="0" borderId="11" xfId="5" applyFont="1" applyBorder="1" applyAlignment="1">
      <alignment horizontal="left" vertical="center"/>
    </xf>
    <xf numFmtId="0" fontId="4" fillId="0" borderId="0" xfId="5" applyFont="1" applyAlignment="1">
      <alignment horizontal="left"/>
    </xf>
    <xf numFmtId="0" fontId="6" fillId="4" borderId="71" xfId="1" applyFont="1" applyFill="1" applyBorder="1" applyAlignment="1" applyProtection="1">
      <alignment horizontal="left" vertical="center" indent="25"/>
      <protection locked="0"/>
    </xf>
    <xf numFmtId="166" fontId="6" fillId="2" borderId="72" xfId="3" applyFont="1" applyFill="1" applyBorder="1" applyAlignment="1" applyProtection="1">
      <alignment horizontal="center" vertical="top"/>
      <protection locked="0"/>
    </xf>
    <xf numFmtId="0" fontId="6" fillId="4" borderId="72" xfId="1" applyFont="1" applyFill="1" applyBorder="1" applyAlignment="1" applyProtection="1">
      <alignment horizontal="left" vertical="center"/>
      <protection locked="0"/>
    </xf>
    <xf numFmtId="49" fontId="6" fillId="3" borderId="50" xfId="5" applyNumberFormat="1" applyFont="1" applyFill="1" applyBorder="1" applyAlignment="1">
      <alignment horizontal="left" vertical="center"/>
    </xf>
    <xf numFmtId="0" fontId="6" fillId="0" borderId="58" xfId="5" applyFont="1" applyBorder="1" applyAlignment="1">
      <alignment horizontal="left" vertical="center"/>
    </xf>
    <xf numFmtId="0" fontId="6" fillId="0" borderId="20" xfId="5" applyFont="1" applyBorder="1" applyAlignment="1">
      <alignment horizontal="left" vertical="center"/>
    </xf>
    <xf numFmtId="0" fontId="6" fillId="0" borderId="67" xfId="5" applyFont="1" applyBorder="1" applyAlignment="1">
      <alignment horizontal="left" vertical="center"/>
    </xf>
    <xf numFmtId="0" fontId="6" fillId="0" borderId="33" xfId="5" applyFont="1" applyBorder="1" applyAlignment="1">
      <alignment horizontal="left" vertical="center"/>
    </xf>
    <xf numFmtId="49" fontId="6" fillId="0" borderId="53" xfId="5" applyNumberFormat="1" applyFont="1" applyBorder="1" applyAlignment="1">
      <alignment horizontal="center" vertical="center"/>
    </xf>
    <xf numFmtId="49" fontId="6" fillId="3" borderId="56" xfId="5" applyNumberFormat="1" applyFont="1" applyFill="1" applyBorder="1" applyAlignment="1">
      <alignment horizontal="left" vertical="center"/>
    </xf>
    <xf numFmtId="0" fontId="6" fillId="0" borderId="59" xfId="5" applyFont="1" applyBorder="1" applyAlignment="1">
      <alignment horizontal="left" vertical="center"/>
    </xf>
    <xf numFmtId="0" fontId="6" fillId="0" borderId="11" xfId="5" applyFont="1" applyBorder="1" applyAlignment="1">
      <alignment horizontal="left" vertical="center"/>
    </xf>
    <xf numFmtId="0" fontId="6" fillId="0" borderId="26" xfId="5" applyFont="1" applyBorder="1" applyAlignment="1">
      <alignment horizontal="left" vertical="center"/>
    </xf>
    <xf numFmtId="49" fontId="6" fillId="0" borderId="26" xfId="5" applyNumberFormat="1" applyFont="1" applyBorder="1" applyAlignment="1">
      <alignment horizontal="center" vertical="center"/>
    </xf>
    <xf numFmtId="0" fontId="60" fillId="0" borderId="0" xfId="5" applyFont="1" applyAlignment="1">
      <alignment horizontal="center" vertical="top"/>
    </xf>
    <xf numFmtId="4" fontId="68" fillId="20" borderId="46" xfId="14" applyNumberFormat="1" applyFont="1" applyFill="1" applyBorder="1" applyAlignment="1" applyProtection="1">
      <alignment horizontal="center" vertical="center"/>
      <protection locked="0"/>
    </xf>
    <xf numFmtId="4" fontId="68" fillId="20" borderId="44" xfId="14" applyNumberFormat="1" applyFont="1" applyFill="1" applyBorder="1" applyAlignment="1" applyProtection="1">
      <alignment horizontal="center" vertical="center"/>
      <protection locked="0"/>
    </xf>
    <xf numFmtId="4" fontId="68" fillId="20" borderId="43" xfId="14" applyNumberFormat="1" applyFont="1" applyFill="1" applyBorder="1" applyAlignment="1" applyProtection="1">
      <alignment horizontal="center" vertical="center"/>
      <protection locked="0"/>
    </xf>
    <xf numFmtId="4" fontId="68" fillId="20" borderId="80" xfId="14" applyNumberFormat="1" applyFont="1" applyFill="1" applyBorder="1" applyAlignment="1" applyProtection="1">
      <alignment horizontal="center" vertical="center"/>
      <protection locked="0"/>
    </xf>
    <xf numFmtId="4" fontId="68" fillId="20" borderId="82" xfId="14" applyNumberFormat="1" applyFont="1" applyFill="1" applyBorder="1" applyAlignment="1" applyProtection="1">
      <alignment horizontal="center" vertical="center"/>
      <protection locked="0"/>
    </xf>
    <xf numFmtId="0" fontId="65" fillId="0" borderId="3" xfId="14" applyFont="1" applyBorder="1" applyAlignment="1">
      <alignment horizontal="centerContinuous" vertical="center"/>
    </xf>
    <xf numFmtId="0" fontId="64" fillId="0" borderId="28" xfId="14" applyFont="1" applyBorder="1" applyAlignment="1">
      <alignment horizontal="centerContinuous" vertical="center"/>
    </xf>
    <xf numFmtId="0" fontId="64" fillId="0" borderId="38" xfId="14" applyFont="1" applyBorder="1" applyAlignment="1">
      <alignment horizontal="centerContinuous" vertical="center"/>
    </xf>
    <xf numFmtId="0" fontId="66" fillId="0" borderId="12" xfId="14" applyFont="1" applyBorder="1" applyAlignment="1">
      <alignment horizontal="right" vertical="center"/>
    </xf>
    <xf numFmtId="0" fontId="67" fillId="0" borderId="10" xfId="14" applyFont="1" applyBorder="1" applyAlignment="1">
      <alignment horizontal="left" vertical="center" indent="1"/>
    </xf>
    <xf numFmtId="0" fontId="68" fillId="0" borderId="10" xfId="14" applyFont="1" applyBorder="1" applyAlignment="1">
      <alignment vertical="center"/>
    </xf>
    <xf numFmtId="49" fontId="67" fillId="0" borderId="13" xfId="14" applyNumberFormat="1" applyFont="1" applyBorder="1" applyAlignment="1">
      <alignment vertical="center"/>
    </xf>
    <xf numFmtId="0" fontId="68" fillId="0" borderId="0" xfId="14" applyFont="1"/>
    <xf numFmtId="0" fontId="66" fillId="0" borderId="14" xfId="14" applyFont="1" applyBorder="1" applyAlignment="1">
      <alignment horizontal="right" vertical="center"/>
    </xf>
    <xf numFmtId="0" fontId="67" fillId="0" borderId="0" xfId="14" applyFont="1" applyAlignment="1">
      <alignment horizontal="left" vertical="center" indent="1"/>
    </xf>
    <xf numFmtId="0" fontId="68" fillId="0" borderId="0" xfId="14" applyFont="1" applyAlignment="1">
      <alignment vertical="center"/>
    </xf>
    <xf numFmtId="49" fontId="67" fillId="0" borderId="15" xfId="14" applyNumberFormat="1" applyFont="1" applyBorder="1" applyAlignment="1">
      <alignment vertical="center"/>
    </xf>
    <xf numFmtId="17" fontId="67" fillId="0" borderId="0" xfId="14" applyNumberFormat="1" applyFont="1" applyAlignment="1">
      <alignment horizontal="left" vertical="center" indent="1"/>
    </xf>
    <xf numFmtId="0" fontId="67" fillId="0" borderId="0" xfId="14" applyFont="1" applyAlignment="1">
      <alignment vertical="center"/>
    </xf>
    <xf numFmtId="182" fontId="69" fillId="0" borderId="0" xfId="20" applyFont="1" applyBorder="1" applyAlignment="1" applyProtection="1">
      <alignment vertical="center"/>
    </xf>
    <xf numFmtId="0" fontId="68" fillId="0" borderId="15" xfId="14" applyFont="1" applyBorder="1" applyAlignment="1">
      <alignment vertical="center"/>
    </xf>
    <xf numFmtId="0" fontId="68" fillId="0" borderId="12" xfId="14" applyFont="1" applyBorder="1" applyAlignment="1">
      <alignment horizontal="center" vertical="center"/>
    </xf>
    <xf numFmtId="0" fontId="68" fillId="0" borderId="177" xfId="14" applyFont="1" applyBorder="1" applyAlignment="1">
      <alignment vertical="center"/>
    </xf>
    <xf numFmtId="0" fontId="67" fillId="0" borderId="79" xfId="14" applyFont="1" applyBorder="1" applyAlignment="1">
      <alignment horizontal="centerContinuous" vertical="center"/>
    </xf>
    <xf numFmtId="0" fontId="67" fillId="0" borderId="81" xfId="14" applyFont="1" applyBorder="1" applyAlignment="1">
      <alignment horizontal="centerContinuous" vertical="center"/>
    </xf>
    <xf numFmtId="0" fontId="67" fillId="0" borderId="107" xfId="14" applyFont="1" applyBorder="1" applyAlignment="1">
      <alignment horizontal="center" vertical="center"/>
    </xf>
    <xf numFmtId="0" fontId="67" fillId="0" borderId="25" xfId="14" applyFont="1" applyBorder="1" applyAlignment="1">
      <alignment horizontal="center" vertical="center"/>
    </xf>
    <xf numFmtId="0" fontId="67" fillId="0" borderId="83" xfId="14" applyFont="1" applyBorder="1" applyAlignment="1">
      <alignment horizontal="center" vertical="center"/>
    </xf>
    <xf numFmtId="0" fontId="68" fillId="0" borderId="67" xfId="14" applyFont="1" applyBorder="1" applyAlignment="1">
      <alignment vertical="center"/>
    </xf>
    <xf numFmtId="0" fontId="68" fillId="0" borderId="7" xfId="14" applyFont="1" applyBorder="1" applyAlignment="1">
      <alignment vertical="center"/>
    </xf>
    <xf numFmtId="0" fontId="68" fillId="0" borderId="112" xfId="14" applyFont="1" applyBorder="1" applyAlignment="1">
      <alignment vertical="center"/>
    </xf>
    <xf numFmtId="49" fontId="67" fillId="0" borderId="6" xfId="14" applyNumberFormat="1" applyFont="1" applyBorder="1" applyAlignment="1">
      <alignment horizontal="center" vertical="center"/>
    </xf>
    <xf numFmtId="0" fontId="68" fillId="0" borderId="183" xfId="14" applyFont="1" applyBorder="1" applyAlignment="1">
      <alignment vertical="center"/>
    </xf>
    <xf numFmtId="0" fontId="68" fillId="0" borderId="0" xfId="14" applyFont="1" applyAlignment="1">
      <alignment horizontal="center"/>
    </xf>
    <xf numFmtId="49" fontId="67" fillId="0" borderId="0" xfId="14" applyNumberFormat="1" applyFont="1" applyAlignment="1">
      <alignment horizontal="center" vertical="center"/>
    </xf>
    <xf numFmtId="4" fontId="68" fillId="0" borderId="0" xfId="14" applyNumberFormat="1" applyFont="1" applyAlignment="1">
      <alignment horizontal="center" vertical="center"/>
    </xf>
    <xf numFmtId="0" fontId="71" fillId="0" borderId="0" xfId="14" applyFont="1" applyAlignment="1">
      <alignment horizontal="center"/>
    </xf>
    <xf numFmtId="0" fontId="70" fillId="0" borderId="0" xfId="14" applyFont="1"/>
    <xf numFmtId="4" fontId="68" fillId="0" borderId="46" xfId="14" applyNumberFormat="1" applyFont="1" applyBorder="1" applyAlignment="1" applyProtection="1">
      <alignment horizontal="center" vertical="center"/>
      <protection locked="0"/>
    </xf>
    <xf numFmtId="4" fontId="68" fillId="0" borderId="44" xfId="14" applyNumberFormat="1" applyFont="1" applyBorder="1" applyAlignment="1" applyProtection="1">
      <alignment horizontal="center" vertical="center"/>
      <protection locked="0"/>
    </xf>
    <xf numFmtId="4" fontId="67" fillId="0" borderId="44" xfId="14" quotePrefix="1" applyNumberFormat="1" applyFont="1" applyBorder="1" applyAlignment="1" applyProtection="1">
      <alignment horizontal="center" vertical="center"/>
      <protection locked="0"/>
    </xf>
    <xf numFmtId="4" fontId="68" fillId="0" borderId="43" xfId="14" applyNumberFormat="1" applyFont="1" applyBorder="1" applyAlignment="1" applyProtection="1">
      <alignment horizontal="center" vertical="center"/>
      <protection locked="0"/>
    </xf>
    <xf numFmtId="4" fontId="68" fillId="0" borderId="80" xfId="14" applyNumberFormat="1" applyFont="1" applyBorder="1" applyAlignment="1" applyProtection="1">
      <alignment horizontal="center" vertical="center"/>
      <protection locked="0"/>
    </xf>
    <xf numFmtId="4" fontId="68" fillId="0" borderId="82" xfId="14" applyNumberFormat="1" applyFont="1" applyBorder="1" applyAlignment="1" applyProtection="1">
      <alignment horizontal="center" vertical="center"/>
      <protection locked="0"/>
    </xf>
    <xf numFmtId="4" fontId="68" fillId="0" borderId="52" xfId="14" applyNumberFormat="1" applyFont="1" applyBorder="1" applyAlignment="1" applyProtection="1">
      <alignment horizontal="center" vertical="center"/>
      <protection locked="0"/>
    </xf>
    <xf numFmtId="4" fontId="68" fillId="0" borderId="54" xfId="14" applyNumberFormat="1" applyFont="1" applyBorder="1" applyAlignment="1" applyProtection="1">
      <alignment horizontal="center" vertical="center"/>
      <protection locked="0"/>
    </xf>
    <xf numFmtId="4" fontId="67" fillId="0" borderId="54" xfId="14" quotePrefix="1" applyNumberFormat="1" applyFont="1" applyBorder="1" applyAlignment="1" applyProtection="1">
      <alignment horizontal="center" vertical="center"/>
      <protection locked="0"/>
    </xf>
    <xf numFmtId="4" fontId="68" fillId="0" borderId="55" xfId="14" applyNumberFormat="1" applyFont="1" applyBorder="1" applyAlignment="1" applyProtection="1">
      <alignment horizontal="center" vertical="center"/>
      <protection locked="0"/>
    </xf>
    <xf numFmtId="4" fontId="68" fillId="0" borderId="23" xfId="14" applyNumberFormat="1" applyFont="1" applyBorder="1" applyAlignment="1" applyProtection="1">
      <alignment horizontal="center" vertical="center"/>
      <protection locked="0"/>
    </xf>
    <xf numFmtId="4" fontId="68" fillId="0" borderId="77" xfId="14" applyNumberFormat="1" applyFont="1" applyBorder="1" applyAlignment="1" applyProtection="1">
      <alignment horizontal="center" vertical="center"/>
      <protection locked="0"/>
    </xf>
    <xf numFmtId="0" fontId="68" fillId="0" borderId="18" xfId="14" applyFont="1" applyBorder="1" applyAlignment="1">
      <alignment vertical="center"/>
    </xf>
    <xf numFmtId="0" fontId="67" fillId="0" borderId="24" xfId="14" applyFont="1" applyBorder="1" applyAlignment="1">
      <alignment horizontal="center" vertical="center"/>
    </xf>
    <xf numFmtId="49" fontId="67" fillId="0" borderId="31" xfId="14" applyNumberFormat="1" applyFont="1" applyBorder="1" applyAlignment="1">
      <alignment horizontal="center" vertical="center"/>
    </xf>
    <xf numFmtId="0" fontId="68" fillId="0" borderId="6" xfId="14" applyFont="1" applyBorder="1" applyAlignment="1">
      <alignment horizontal="center" vertical="center"/>
    </xf>
    <xf numFmtId="49" fontId="68" fillId="0" borderId="6" xfId="14" applyNumberFormat="1" applyFont="1" applyBorder="1" applyAlignment="1">
      <alignment horizontal="center" vertical="center"/>
    </xf>
    <xf numFmtId="0" fontId="68" fillId="0" borderId="79" xfId="14" applyFont="1" applyBorder="1" applyAlignment="1">
      <alignment horizontal="center" vertical="center"/>
    </xf>
    <xf numFmtId="49" fontId="67" fillId="0" borderId="24" xfId="14" applyNumberFormat="1" applyFont="1" applyBorder="1" applyAlignment="1">
      <alignment horizontal="center" vertical="center"/>
    </xf>
    <xf numFmtId="49" fontId="67" fillId="0" borderId="25" xfId="14" applyNumberFormat="1" applyFont="1" applyBorder="1" applyAlignment="1">
      <alignment horizontal="center" vertical="center"/>
    </xf>
    <xf numFmtId="0" fontId="4" fillId="0" borderId="0" xfId="14" applyAlignment="1">
      <alignment vertical="center"/>
    </xf>
    <xf numFmtId="0" fontId="68" fillId="0" borderId="7" xfId="14" applyFont="1" applyBorder="1" applyAlignment="1">
      <alignment vertical="center" wrapText="1"/>
    </xf>
    <xf numFmtId="0" fontId="4" fillId="0" borderId="28" xfId="0" applyFont="1" applyBorder="1" applyAlignment="1">
      <alignment horizontal="center" vertical="center"/>
    </xf>
    <xf numFmtId="0" fontId="68" fillId="0" borderId="115" xfId="14" applyFont="1" applyBorder="1" applyAlignment="1">
      <alignment vertical="center"/>
    </xf>
    <xf numFmtId="0" fontId="68" fillId="0" borderId="40" xfId="14" applyFont="1" applyBorder="1" applyAlignment="1">
      <alignment horizontal="center" vertical="center"/>
    </xf>
    <xf numFmtId="0" fontId="63" fillId="8" borderId="0" xfId="1" applyFont="1" applyFill="1" applyAlignment="1">
      <alignment horizontal="left" vertical="center"/>
    </xf>
    <xf numFmtId="0" fontId="6" fillId="8" borderId="0" xfId="1" applyFont="1" applyFill="1"/>
    <xf numFmtId="49" fontId="18" fillId="21" borderId="14" xfId="0" applyNumberFormat="1" applyFont="1" applyFill="1" applyBorder="1" applyAlignment="1">
      <alignment horizontal="center"/>
    </xf>
    <xf numFmtId="49" fontId="18" fillId="21" borderId="0" xfId="0" applyNumberFormat="1" applyFont="1" applyFill="1" applyAlignment="1">
      <alignment horizontal="center"/>
    </xf>
    <xf numFmtId="4" fontId="18" fillId="21" borderId="0" xfId="1" applyNumberFormat="1" applyFont="1" applyFill="1" applyAlignment="1">
      <alignment horizontal="center"/>
    </xf>
    <xf numFmtId="0" fontId="18" fillId="21" borderId="0" xfId="1" applyFont="1" applyFill="1" applyAlignment="1">
      <alignment horizontal="centerContinuous"/>
    </xf>
    <xf numFmtId="0" fontId="18" fillId="21" borderId="15" xfId="1" applyFont="1" applyFill="1" applyBorder="1" applyAlignment="1">
      <alignment horizontal="centerContinuous"/>
    </xf>
    <xf numFmtId="4" fontId="18" fillId="21" borderId="65" xfId="1" applyNumberFormat="1" applyFont="1" applyFill="1" applyBorder="1" applyAlignment="1">
      <alignment horizontal="center"/>
    </xf>
    <xf numFmtId="49" fontId="15" fillId="8" borderId="0" xfId="0" applyNumberFormat="1" applyFont="1" applyFill="1"/>
    <xf numFmtId="0" fontId="6" fillId="8" borderId="0" xfId="1" applyFont="1" applyFill="1" applyAlignment="1">
      <alignment horizontal="right" indent="1"/>
    </xf>
    <xf numFmtId="49" fontId="4" fillId="8" borderId="14" xfId="0" applyNumberFormat="1" applyFont="1" applyFill="1" applyBorder="1" applyAlignment="1">
      <alignment horizontal="center"/>
    </xf>
    <xf numFmtId="49" fontId="4" fillId="8" borderId="0" xfId="0" applyNumberFormat="1" applyFont="1" applyFill="1" applyAlignment="1">
      <alignment horizontal="center"/>
    </xf>
    <xf numFmtId="49" fontId="15" fillId="8" borderId="11" xfId="0" applyNumberFormat="1" applyFont="1" applyFill="1" applyBorder="1"/>
    <xf numFmtId="0" fontId="6" fillId="8" borderId="11" xfId="1" applyFont="1" applyFill="1" applyBorder="1" applyAlignment="1">
      <alignment horizontal="right" indent="1"/>
    </xf>
    <xf numFmtId="0" fontId="13" fillId="0" borderId="62" xfId="0" applyFont="1" applyBorder="1" applyAlignment="1">
      <alignment horizontal="centerContinuous" vertical="center"/>
    </xf>
    <xf numFmtId="0" fontId="13" fillId="0" borderId="44" xfId="0" applyFont="1" applyBorder="1" applyAlignment="1">
      <alignment horizontal="centerContinuous" vertical="center"/>
    </xf>
    <xf numFmtId="0" fontId="0" fillId="0" borderId="0" xfId="0" applyAlignment="1">
      <alignment vertical="center"/>
    </xf>
    <xf numFmtId="0" fontId="6" fillId="8" borderId="0" xfId="1" applyFont="1" applyFill="1" applyProtection="1">
      <protection locked="0"/>
    </xf>
    <xf numFmtId="0" fontId="6" fillId="8" borderId="65" xfId="1" applyFont="1" applyFill="1" applyBorder="1" applyAlignment="1">
      <alignment horizontal="right" indent="1"/>
    </xf>
    <xf numFmtId="39" fontId="18" fillId="10" borderId="60" xfId="3" applyNumberFormat="1" applyFont="1" applyFill="1" applyBorder="1" applyAlignment="1" applyProtection="1">
      <alignment horizontal="centerContinuous"/>
    </xf>
    <xf numFmtId="0" fontId="4" fillId="10" borderId="22" xfId="0" applyFont="1" applyFill="1" applyBorder="1" applyAlignment="1">
      <alignment horizontal="centerContinuous"/>
    </xf>
    <xf numFmtId="39" fontId="15" fillId="10" borderId="20" xfId="3" applyNumberFormat="1" applyFont="1" applyFill="1" applyBorder="1" applyAlignment="1" applyProtection="1">
      <alignment horizontal="centerContinuous"/>
    </xf>
    <xf numFmtId="0" fontId="4" fillId="10" borderId="20" xfId="0" applyFont="1" applyFill="1" applyBorder="1" applyAlignment="1">
      <alignment horizontal="centerContinuous"/>
    </xf>
    <xf numFmtId="39" fontId="15" fillId="10" borderId="23" xfId="3" applyNumberFormat="1" applyFont="1" applyFill="1" applyBorder="1" applyAlignment="1" applyProtection="1">
      <alignment horizontal="centerContinuous"/>
    </xf>
    <xf numFmtId="166" fontId="6" fillId="0" borderId="3" xfId="3" applyFont="1" applyBorder="1" applyAlignment="1">
      <alignment vertical="center"/>
    </xf>
    <xf numFmtId="166" fontId="6" fillId="0" borderId="28" xfId="3" applyFont="1" applyBorder="1" applyAlignment="1">
      <alignment vertical="center"/>
    </xf>
    <xf numFmtId="166" fontId="6" fillId="0" borderId="38" xfId="3" applyFont="1" applyBorder="1" applyAlignment="1">
      <alignment vertical="center"/>
    </xf>
    <xf numFmtId="166" fontId="6" fillId="0" borderId="11" xfId="3" applyFont="1" applyBorder="1" applyAlignment="1">
      <alignment vertical="center"/>
    </xf>
    <xf numFmtId="166" fontId="6" fillId="0" borderId="17" xfId="3" applyFont="1" applyBorder="1" applyAlignment="1">
      <alignment vertical="center"/>
    </xf>
    <xf numFmtId="166" fontId="4" fillId="0" borderId="0" xfId="3" applyFont="1"/>
    <xf numFmtId="4" fontId="2" fillId="2" borderId="0" xfId="3" applyNumberFormat="1" applyFont="1" applyFill="1"/>
    <xf numFmtId="166" fontId="4" fillId="0" borderId="11" xfId="3" applyFont="1" applyBorder="1" applyAlignment="1">
      <alignment horizontal="center"/>
    </xf>
    <xf numFmtId="166" fontId="4" fillId="0" borderId="11" xfId="3" applyFont="1" applyBorder="1"/>
    <xf numFmtId="0" fontId="4" fillId="0" borderId="10" xfId="1" applyBorder="1" applyAlignment="1">
      <alignment horizontal="left" indent="7"/>
    </xf>
    <xf numFmtId="2" fontId="4" fillId="0" borderId="10" xfId="1" applyNumberFormat="1" applyBorder="1" applyAlignment="1">
      <alignment horizontal="center"/>
    </xf>
    <xf numFmtId="169" fontId="4" fillId="0" borderId="10" xfId="1" applyNumberFormat="1" applyBorder="1" applyAlignment="1">
      <alignment horizontal="center"/>
    </xf>
    <xf numFmtId="4" fontId="4" fillId="0" borderId="10" xfId="1" applyNumberFormat="1" applyBorder="1" applyAlignment="1">
      <alignment horizontal="center"/>
    </xf>
    <xf numFmtId="4" fontId="6" fillId="0" borderId="10" xfId="1" applyNumberFormat="1" applyFont="1" applyBorder="1" applyAlignment="1">
      <alignment horizontal="center"/>
    </xf>
    <xf numFmtId="166" fontId="4" fillId="0" borderId="10" xfId="3" applyFont="1" applyBorder="1" applyAlignment="1">
      <alignment horizontal="center"/>
    </xf>
    <xf numFmtId="166" fontId="4" fillId="0" borderId="10" xfId="3" applyFont="1" applyBorder="1"/>
    <xf numFmtId="0" fontId="4" fillId="0" borderId="11" xfId="1" applyBorder="1" applyAlignment="1">
      <alignment horizontal="left" indent="7"/>
    </xf>
    <xf numFmtId="2" fontId="4" fillId="0" borderId="11" xfId="1" applyNumberFormat="1" applyBorder="1" applyAlignment="1">
      <alignment horizontal="center"/>
    </xf>
    <xf numFmtId="169" fontId="4" fillId="0" borderId="11" xfId="1" applyNumberFormat="1" applyBorder="1" applyAlignment="1">
      <alignment horizontal="center"/>
    </xf>
    <xf numFmtId="4" fontId="4" fillId="0" borderId="11" xfId="1" applyNumberFormat="1" applyBorder="1" applyAlignment="1">
      <alignment horizontal="center"/>
    </xf>
    <xf numFmtId="4" fontId="6" fillId="0" borderId="11" xfId="1" applyNumberFormat="1" applyFont="1" applyBorder="1" applyAlignment="1">
      <alignment horizontal="center"/>
    </xf>
    <xf numFmtId="0" fontId="4" fillId="6" borderId="0" xfId="0" applyFont="1" applyFill="1"/>
    <xf numFmtId="0" fontId="4" fillId="6" borderId="15" xfId="0" applyFont="1" applyFill="1" applyBorder="1"/>
    <xf numFmtId="0" fontId="4" fillId="6" borderId="11" xfId="0" applyFont="1" applyFill="1" applyBorder="1"/>
    <xf numFmtId="0" fontId="4" fillId="6" borderId="17" xfId="0" applyFont="1" applyFill="1" applyBorder="1"/>
    <xf numFmtId="0" fontId="4" fillId="6" borderId="14" xfId="0" applyFont="1" applyFill="1" applyBorder="1"/>
    <xf numFmtId="0" fontId="4" fillId="6" borderId="16" xfId="0" applyFont="1" applyFill="1" applyBorder="1"/>
    <xf numFmtId="0" fontId="6" fillId="6" borderId="14" xfId="0" applyFont="1" applyFill="1" applyBorder="1"/>
    <xf numFmtId="49" fontId="6" fillId="6" borderId="0" xfId="1" applyNumberFormat="1" applyFont="1" applyFill="1"/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wrapText="1"/>
    </xf>
    <xf numFmtId="1" fontId="4" fillId="0" borderId="0" xfId="0" applyNumberFormat="1" applyFont="1" applyAlignment="1">
      <alignment horizontal="left"/>
    </xf>
    <xf numFmtId="0" fontId="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49" fontId="15" fillId="8" borderId="14" xfId="0" applyNumberFormat="1" applyFont="1" applyFill="1" applyBorder="1" applyAlignment="1">
      <alignment horizontal="center"/>
    </xf>
    <xf numFmtId="49" fontId="15" fillId="8" borderId="16" xfId="0" applyNumberFormat="1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49" fontId="15" fillId="8" borderId="0" xfId="0" applyNumberFormat="1" applyFont="1" applyFill="1" applyAlignment="1">
      <alignment horizontal="center"/>
    </xf>
    <xf numFmtId="49" fontId="15" fillId="8" borderId="11" xfId="0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3" fillId="0" borderId="0" xfId="1" applyFont="1" applyAlignment="1">
      <alignment vertical="center"/>
    </xf>
    <xf numFmtId="181" fontId="3" fillId="19" borderId="6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23" borderId="6" xfId="5" applyFont="1" applyFill="1" applyBorder="1" applyAlignment="1" applyProtection="1">
      <alignment horizontal="center" vertical="center"/>
      <protection locked="0"/>
    </xf>
    <xf numFmtId="0" fontId="3" fillId="19" borderId="6" xfId="0" applyFont="1" applyFill="1" applyBorder="1" applyAlignment="1">
      <alignment horizontal="center" vertical="center"/>
    </xf>
    <xf numFmtId="166" fontId="72" fillId="3" borderId="6" xfId="16" applyFont="1" applyFill="1" applyBorder="1" applyAlignment="1" applyProtection="1">
      <alignment vertical="center"/>
    </xf>
    <xf numFmtId="2" fontId="67" fillId="0" borderId="0" xfId="14" applyNumberFormat="1" applyFont="1" applyAlignment="1">
      <alignment horizontal="center"/>
    </xf>
    <xf numFmtId="49" fontId="67" fillId="0" borderId="0" xfId="14" applyNumberFormat="1" applyFont="1" applyAlignment="1">
      <alignment horizontal="center"/>
    </xf>
    <xf numFmtId="0" fontId="68" fillId="20" borderId="0" xfId="14" applyFont="1" applyFill="1" applyAlignment="1" applyProtection="1">
      <alignment vertical="center"/>
      <protection locked="0"/>
    </xf>
    <xf numFmtId="4" fontId="6" fillId="7" borderId="72" xfId="3" applyNumberFormat="1" applyFont="1" applyFill="1" applyBorder="1" applyAlignment="1" applyProtection="1">
      <alignment horizontal="center" vertical="center"/>
    </xf>
    <xf numFmtId="4" fontId="6" fillId="0" borderId="38" xfId="1" applyNumberFormat="1" applyFont="1" applyBorder="1" applyAlignment="1">
      <alignment horizontal="right" vertical="center"/>
    </xf>
    <xf numFmtId="49" fontId="78" fillId="0" borderId="3" xfId="5" applyNumberFormat="1" applyFont="1" applyBorder="1" applyAlignment="1">
      <alignment horizontal="centerContinuous" vertical="center"/>
    </xf>
    <xf numFmtId="0" fontId="33" fillId="0" borderId="12" xfId="14" applyFont="1" applyBorder="1" applyAlignment="1">
      <alignment horizontal="centerContinuous"/>
    </xf>
    <xf numFmtId="0" fontId="4" fillId="0" borderId="10" xfId="14" applyBorder="1" applyAlignment="1">
      <alignment horizontal="centerContinuous"/>
    </xf>
    <xf numFmtId="0" fontId="4" fillId="0" borderId="13" xfId="14" applyBorder="1" applyAlignment="1">
      <alignment horizontal="centerContinuous"/>
    </xf>
    <xf numFmtId="0" fontId="24" fillId="0" borderId="14" xfId="14" applyFont="1" applyBorder="1" applyAlignment="1">
      <alignment horizontal="left"/>
    </xf>
    <xf numFmtId="0" fontId="27" fillId="0" borderId="3" xfId="14" applyFont="1" applyBorder="1" applyAlignment="1">
      <alignment horizontal="centerContinuous"/>
    </xf>
    <xf numFmtId="0" fontId="27" fillId="0" borderId="38" xfId="14" applyFont="1" applyBorder="1" applyAlignment="1">
      <alignment horizontal="centerContinuous"/>
    </xf>
    <xf numFmtId="0" fontId="4" fillId="0" borderId="0" xfId="14" applyAlignment="1">
      <alignment horizontal="center"/>
    </xf>
    <xf numFmtId="0" fontId="4" fillId="0" borderId="15" xfId="14" applyBorder="1" applyAlignment="1">
      <alignment horizontal="center"/>
    </xf>
    <xf numFmtId="0" fontId="33" fillId="0" borderId="16" xfId="14" applyFont="1" applyBorder="1" applyAlignment="1">
      <alignment horizontal="centerContinuous"/>
    </xf>
    <xf numFmtId="0" fontId="4" fillId="0" borderId="11" xfId="14" applyBorder="1" applyAlignment="1">
      <alignment horizontal="centerContinuous"/>
    </xf>
    <xf numFmtId="0" fontId="4" fillId="0" borderId="17" xfId="14" applyBorder="1" applyAlignment="1">
      <alignment horizontal="centerContinuous"/>
    </xf>
    <xf numFmtId="0" fontId="27" fillId="0" borderId="14" xfId="14" applyFont="1" applyBorder="1" applyAlignment="1">
      <alignment horizontal="centerContinuous"/>
    </xf>
    <xf numFmtId="0" fontId="4" fillId="0" borderId="0" xfId="14" applyAlignment="1">
      <alignment horizontal="centerContinuous"/>
    </xf>
    <xf numFmtId="0" fontId="4" fillId="0" borderId="15" xfId="14" applyBorder="1" applyAlignment="1">
      <alignment horizontal="centerContinuous"/>
    </xf>
    <xf numFmtId="0" fontId="4" fillId="0" borderId="10" xfId="14" applyBorder="1"/>
    <xf numFmtId="0" fontId="34" fillId="0" borderId="0" xfId="14" quotePrefix="1" applyFont="1" applyAlignment="1">
      <alignment horizontal="left"/>
    </xf>
    <xf numFmtId="0" fontId="27" fillId="0" borderId="86" xfId="14" quotePrefix="1" applyFont="1" applyBorder="1" applyAlignment="1">
      <alignment horizontal="center"/>
    </xf>
    <xf numFmtId="0" fontId="27" fillId="0" borderId="0" xfId="14" quotePrefix="1" applyFont="1" applyAlignment="1">
      <alignment horizontal="left"/>
    </xf>
    <xf numFmtId="0" fontId="27" fillId="0" borderId="90" xfId="14" applyFont="1" applyBorder="1" applyAlignment="1">
      <alignment horizontal="center"/>
    </xf>
    <xf numFmtId="0" fontId="4" fillId="0" borderId="11" xfId="14" applyBorder="1"/>
    <xf numFmtId="0" fontId="4" fillId="0" borderId="12" xfId="14" applyBorder="1"/>
    <xf numFmtId="0" fontId="4" fillId="0" borderId="13" xfId="14" applyBorder="1"/>
    <xf numFmtId="0" fontId="27" fillId="0" borderId="16" xfId="14" applyFont="1" applyBorder="1" applyAlignment="1">
      <alignment horizontal="centerContinuous"/>
    </xf>
    <xf numFmtId="0" fontId="4" fillId="0" borderId="86" xfId="14" applyBorder="1"/>
    <xf numFmtId="0" fontId="34" fillId="0" borderId="93" xfId="14" quotePrefix="1" applyFont="1" applyBorder="1" applyAlignment="1">
      <alignment horizontal="center"/>
    </xf>
    <xf numFmtId="0" fontId="34" fillId="0" borderId="0" xfId="14" quotePrefix="1" applyFont="1" applyAlignment="1">
      <alignment horizontal="left" indent="2"/>
    </xf>
    <xf numFmtId="0" fontId="27" fillId="0" borderId="93" xfId="14" applyFont="1" applyBorder="1" applyAlignment="1">
      <alignment horizontal="center"/>
    </xf>
    <xf numFmtId="0" fontId="27" fillId="0" borderId="0" xfId="14" quotePrefix="1" applyFont="1" applyAlignment="1">
      <alignment horizontal="left" indent="2"/>
    </xf>
    <xf numFmtId="0" fontId="27" fillId="0" borderId="90" xfId="14" applyFont="1" applyBorder="1"/>
    <xf numFmtId="17" fontId="4" fillId="0" borderId="0" xfId="14" applyNumberFormat="1"/>
    <xf numFmtId="0" fontId="4" fillId="0" borderId="0" xfId="14" quotePrefix="1"/>
    <xf numFmtId="0" fontId="4" fillId="20" borderId="0" xfId="14" applyFill="1" applyProtection="1">
      <protection locked="0"/>
    </xf>
    <xf numFmtId="20" fontId="4" fillId="0" borderId="0" xfId="14" applyNumberFormat="1"/>
    <xf numFmtId="49" fontId="20" fillId="0" borderId="3" xfId="0" applyNumberFormat="1" applyFont="1" applyBorder="1" applyAlignment="1">
      <alignment horizontal="centerContinuous" vertical="center"/>
    </xf>
    <xf numFmtId="49" fontId="15" fillId="0" borderId="28" xfId="0" applyNumberFormat="1" applyFont="1" applyBorder="1" applyAlignment="1">
      <alignment horizontal="centerContinuous" vertical="center"/>
    </xf>
    <xf numFmtId="0" fontId="4" fillId="0" borderId="28" xfId="0" applyFont="1" applyBorder="1" applyAlignment="1">
      <alignment horizontal="centerContinuous" vertical="center"/>
    </xf>
    <xf numFmtId="0" fontId="4" fillId="0" borderId="38" xfId="0" applyFont="1" applyBorder="1" applyAlignment="1">
      <alignment horizontal="centerContinuous" vertical="center"/>
    </xf>
    <xf numFmtId="1" fontId="6" fillId="20" borderId="122" xfId="14" applyNumberFormat="1" applyFont="1" applyFill="1" applyBorder="1" applyAlignment="1" applyProtection="1">
      <alignment horizontal="center"/>
      <protection locked="0"/>
    </xf>
    <xf numFmtId="0" fontId="41" fillId="20" borderId="46" xfId="14" applyFont="1" applyFill="1" applyBorder="1" applyAlignment="1" applyProtection="1">
      <alignment horizontal="center"/>
      <protection locked="0"/>
    </xf>
    <xf numFmtId="0" fontId="41" fillId="20" borderId="128" xfId="14" applyFont="1" applyFill="1" applyBorder="1" applyAlignment="1" applyProtection="1">
      <alignment horizontal="center"/>
      <protection locked="0"/>
    </xf>
    <xf numFmtId="0" fontId="4" fillId="0" borderId="13" xfId="5" applyFont="1" applyBorder="1"/>
    <xf numFmtId="0" fontId="6" fillId="4" borderId="184" xfId="1" applyFont="1" applyFill="1" applyBorder="1" applyAlignment="1" applyProtection="1">
      <alignment vertical="center"/>
      <protection locked="0"/>
    </xf>
    <xf numFmtId="0" fontId="4" fillId="0" borderId="15" xfId="5" applyFont="1" applyBorder="1"/>
    <xf numFmtId="0" fontId="4" fillId="0" borderId="17" xfId="5" applyFont="1" applyBorder="1"/>
    <xf numFmtId="2" fontId="28" fillId="7" borderId="78" xfId="7" applyNumberFormat="1" applyFont="1" applyFill="1" applyBorder="1" applyAlignment="1" applyProtection="1">
      <alignment horizontal="center" vertical="center"/>
      <protection locked="0"/>
    </xf>
    <xf numFmtId="2" fontId="28" fillId="7" borderId="23" xfId="7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1" fontId="4" fillId="0" borderId="0" xfId="0" applyNumberFormat="1" applyFont="1" applyAlignment="1" applyProtection="1">
      <alignment horizontal="center" vertical="center"/>
      <protection locked="0"/>
    </xf>
    <xf numFmtId="1" fontId="4" fillId="0" borderId="0" xfId="0" applyNumberFormat="1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67" fillId="0" borderId="16" xfId="14" applyFont="1" applyBorder="1" applyAlignment="1">
      <alignment horizontal="center" vertical="center"/>
    </xf>
    <xf numFmtId="0" fontId="9" fillId="3" borderId="20" xfId="14" quotePrefix="1" applyFont="1" applyFill="1" applyBorder="1" applyAlignment="1">
      <alignment horizontal="left" vertical="center" indent="3"/>
    </xf>
    <xf numFmtId="0" fontId="6" fillId="3" borderId="97" xfId="14" applyFont="1" applyFill="1" applyBorder="1" applyAlignment="1">
      <alignment horizontal="left" vertical="center"/>
    </xf>
    <xf numFmtId="0" fontId="2" fillId="0" borderId="99" xfId="14" applyFont="1" applyBorder="1" applyAlignment="1">
      <alignment horizontal="centerContinuous" vertical="center"/>
    </xf>
    <xf numFmtId="49" fontId="2" fillId="0" borderId="44" xfId="14" applyNumberFormat="1" applyFont="1" applyBorder="1" applyAlignment="1">
      <alignment horizontal="centerContinuous" vertical="center"/>
    </xf>
    <xf numFmtId="49" fontId="2" fillId="0" borderId="100" xfId="14" applyNumberFormat="1" applyFont="1" applyBorder="1" applyAlignment="1">
      <alignment horizontal="centerContinuous" vertical="center"/>
    </xf>
    <xf numFmtId="0" fontId="2" fillId="3" borderId="7" xfId="14" applyFont="1" applyFill="1" applyBorder="1" applyAlignment="1">
      <alignment horizontal="centerContinuous" vertical="center"/>
    </xf>
    <xf numFmtId="0" fontId="2" fillId="3" borderId="62" xfId="14" applyFont="1" applyFill="1" applyBorder="1" applyAlignment="1">
      <alignment horizontal="centerContinuous" vertical="center"/>
    </xf>
    <xf numFmtId="10" fontId="2" fillId="0" borderId="102" xfId="17" applyNumberFormat="1" applyFont="1" applyFill="1" applyBorder="1" applyAlignment="1" applyProtection="1">
      <alignment horizontal="center" vertical="center"/>
      <protection locked="0"/>
    </xf>
    <xf numFmtId="0" fontId="4" fillId="0" borderId="0" xfId="14" applyAlignment="1" applyProtection="1">
      <alignment vertical="center"/>
      <protection locked="0"/>
    </xf>
    <xf numFmtId="0" fontId="6" fillId="3" borderId="103" xfId="14" applyFont="1" applyFill="1" applyBorder="1" applyAlignment="1">
      <alignment horizontal="left" vertical="center"/>
    </xf>
    <xf numFmtId="0" fontId="2" fillId="0" borderId="105" xfId="14" applyFont="1" applyBorder="1" applyAlignment="1">
      <alignment horizontal="center" vertical="center"/>
    </xf>
    <xf numFmtId="14" fontId="2" fillId="0" borderId="106" xfId="14" applyNumberFormat="1" applyFont="1" applyBorder="1" applyAlignment="1">
      <alignment horizontal="center" vertical="center"/>
    </xf>
    <xf numFmtId="0" fontId="2" fillId="3" borderId="107" xfId="14" applyFont="1" applyFill="1" applyBorder="1" applyAlignment="1">
      <alignment horizontal="centerContinuous" vertical="center"/>
    </xf>
    <xf numFmtId="0" fontId="2" fillId="3" borderId="73" xfId="14" applyFont="1" applyFill="1" applyBorder="1" applyAlignment="1">
      <alignment horizontal="centerContinuous" vertical="center"/>
    </xf>
    <xf numFmtId="0" fontId="2" fillId="3" borderId="11" xfId="14" applyFont="1" applyFill="1" applyBorder="1" applyAlignment="1">
      <alignment horizontal="centerContinuous" vertical="center"/>
    </xf>
    <xf numFmtId="10" fontId="2" fillId="0" borderId="109" xfId="17" applyNumberFormat="1" applyFont="1" applyFill="1" applyBorder="1" applyAlignment="1" applyProtection="1">
      <alignment horizontal="center" vertical="center"/>
      <protection locked="0"/>
    </xf>
    <xf numFmtId="0" fontId="2" fillId="6" borderId="7" xfId="14" applyFont="1" applyFill="1" applyBorder="1" applyAlignment="1">
      <alignment horizontal="left" vertical="center"/>
    </xf>
    <xf numFmtId="49" fontId="2" fillId="6" borderId="44" xfId="14" applyNumberFormat="1" applyFont="1" applyFill="1" applyBorder="1" applyAlignment="1">
      <alignment horizontal="centerContinuous" vertical="center"/>
    </xf>
    <xf numFmtId="0" fontId="2" fillId="6" borderId="107" xfId="14" applyFont="1" applyFill="1" applyBorder="1" applyAlignment="1">
      <alignment horizontal="center" vertical="center"/>
    </xf>
    <xf numFmtId="0" fontId="2" fillId="6" borderId="85" xfId="14" applyFont="1" applyFill="1" applyBorder="1" applyAlignment="1">
      <alignment horizontal="center" vertical="center"/>
    </xf>
    <xf numFmtId="0" fontId="6" fillId="0" borderId="98" xfId="14" applyFont="1" applyBorder="1" applyAlignment="1">
      <alignment horizontal="left" vertical="center"/>
    </xf>
    <xf numFmtId="0" fontId="6" fillId="0" borderId="62" xfId="14" applyFont="1" applyBorder="1" applyAlignment="1">
      <alignment horizontal="left" vertical="center"/>
    </xf>
    <xf numFmtId="0" fontId="6" fillId="0" borderId="99" xfId="14" applyFont="1" applyBorder="1" applyAlignment="1">
      <alignment horizontal="left" vertical="center"/>
    </xf>
    <xf numFmtId="49" fontId="6" fillId="0" borderId="44" xfId="14" applyNumberFormat="1" applyFont="1" applyBorder="1" applyAlignment="1">
      <alignment horizontal="center" vertical="center"/>
    </xf>
    <xf numFmtId="0" fontId="6" fillId="0" borderId="104" xfId="14" applyFont="1" applyBorder="1" applyAlignment="1">
      <alignment vertical="center"/>
    </xf>
    <xf numFmtId="0" fontId="6" fillId="0" borderId="11" xfId="14" applyFont="1" applyBorder="1" applyAlignment="1">
      <alignment vertical="center"/>
    </xf>
    <xf numFmtId="0" fontId="6" fillId="0" borderId="11" xfId="14" applyFont="1" applyBorder="1" applyAlignment="1">
      <alignment horizontal="left" vertical="center"/>
    </xf>
    <xf numFmtId="0" fontId="6" fillId="0" borderId="105" xfId="14" applyFont="1" applyBorder="1" applyAlignment="1">
      <alignment horizontal="left" vertical="center"/>
    </xf>
    <xf numFmtId="49" fontId="6" fillId="0" borderId="85" xfId="14" applyNumberFormat="1" applyFont="1" applyBorder="1" applyAlignment="1">
      <alignment horizontal="center" vertical="center"/>
    </xf>
    <xf numFmtId="0" fontId="6" fillId="3" borderId="12" xfId="14" applyFont="1" applyFill="1" applyBorder="1" applyAlignment="1" applyProtection="1">
      <alignment horizontal="left" vertical="top"/>
      <protection locked="0"/>
    </xf>
    <xf numFmtId="0" fontId="6" fillId="3" borderId="10" xfId="14" applyFont="1" applyFill="1" applyBorder="1" applyProtection="1">
      <protection locked="0"/>
    </xf>
    <xf numFmtId="0" fontId="6" fillId="0" borderId="157" xfId="14" applyFont="1" applyBorder="1" applyProtection="1">
      <protection locked="0"/>
    </xf>
    <xf numFmtId="0" fontId="6" fillId="3" borderId="10" xfId="14" applyFont="1" applyFill="1" applyBorder="1" applyAlignment="1" applyProtection="1">
      <alignment horizontal="left"/>
      <protection locked="0"/>
    </xf>
    <xf numFmtId="0" fontId="6" fillId="3" borderId="10" xfId="14" applyFont="1" applyFill="1" applyBorder="1" applyAlignment="1" applyProtection="1">
      <alignment horizontal="centerContinuous" vertical="center"/>
      <protection locked="0"/>
    </xf>
    <xf numFmtId="0" fontId="6" fillId="3" borderId="13" xfId="14" applyFont="1" applyFill="1" applyBorder="1" applyProtection="1">
      <protection locked="0"/>
    </xf>
    <xf numFmtId="0" fontId="4" fillId="3" borderId="16" xfId="14" applyFill="1" applyBorder="1" applyAlignment="1" applyProtection="1">
      <alignment horizontal="centerContinuous" vertical="center"/>
      <protection locked="0"/>
    </xf>
    <xf numFmtId="14" fontId="4" fillId="3" borderId="11" xfId="14" applyNumberFormat="1" applyFill="1" applyBorder="1" applyAlignment="1" applyProtection="1">
      <alignment horizontal="center" vertical="center"/>
      <protection locked="0"/>
    </xf>
    <xf numFmtId="0" fontId="4" fillId="3" borderId="11" xfId="14" applyFill="1" applyBorder="1" applyAlignment="1" applyProtection="1">
      <alignment horizontal="centerContinuous"/>
      <protection locked="0"/>
    </xf>
    <xf numFmtId="0" fontId="4" fillId="0" borderId="158" xfId="14" applyBorder="1" applyProtection="1">
      <protection locked="0"/>
    </xf>
    <xf numFmtId="0" fontId="4" fillId="3" borderId="11" xfId="14" applyFill="1" applyBorder="1" applyAlignment="1" applyProtection="1">
      <alignment horizontal="centerContinuous" vertical="center" wrapText="1"/>
      <protection locked="0"/>
    </xf>
    <xf numFmtId="0" fontId="4" fillId="3" borderId="11" xfId="14" applyFill="1" applyBorder="1" applyAlignment="1" applyProtection="1">
      <alignment vertical="center"/>
      <protection locked="0"/>
    </xf>
    <xf numFmtId="17" fontId="4" fillId="3" borderId="17" xfId="14" applyNumberFormat="1" applyFill="1" applyBorder="1" applyAlignment="1" applyProtection="1">
      <alignment horizontal="center" vertical="center"/>
      <protection locked="0"/>
    </xf>
    <xf numFmtId="164" fontId="2" fillId="0" borderId="108" xfId="14" applyNumberFormat="1" applyFont="1" applyBorder="1" applyAlignment="1">
      <alignment horizontal="center" vertical="center"/>
    </xf>
    <xf numFmtId="0" fontId="6" fillId="20" borderId="111" xfId="14" applyFont="1" applyFill="1" applyBorder="1" applyAlignment="1" applyProtection="1">
      <alignment horizontal="left" indent="1"/>
      <protection locked="0"/>
    </xf>
    <xf numFmtId="14" fontId="2" fillId="20" borderId="85" xfId="14" applyNumberFormat="1" applyFont="1" applyFill="1" applyBorder="1" applyAlignment="1" applyProtection="1">
      <alignment horizontal="center" vertical="center"/>
      <protection locked="0"/>
    </xf>
    <xf numFmtId="1" fontId="2" fillId="20" borderId="85" xfId="14" applyNumberFormat="1" applyFont="1" applyFill="1" applyBorder="1" applyAlignment="1" applyProtection="1">
      <alignment horizontal="center" vertical="center"/>
      <protection locked="0"/>
    </xf>
    <xf numFmtId="164" fontId="2" fillId="20" borderId="101" xfId="14" applyNumberFormat="1" applyFont="1" applyFill="1" applyBorder="1" applyAlignment="1" applyProtection="1">
      <alignment horizontal="center" vertical="center"/>
      <protection locked="0"/>
    </xf>
    <xf numFmtId="40" fontId="44" fillId="0" borderId="155" xfId="14" applyNumberFormat="1" applyFont="1" applyBorder="1" applyAlignment="1">
      <alignment horizontal="center"/>
    </xf>
    <xf numFmtId="10" fontId="44" fillId="0" borderId="156" xfId="17" applyNumberFormat="1" applyFont="1" applyFill="1" applyBorder="1" applyAlignment="1" applyProtection="1">
      <alignment horizontal="center"/>
    </xf>
    <xf numFmtId="0" fontId="2" fillId="20" borderId="85" xfId="14" applyFont="1" applyFill="1" applyBorder="1" applyAlignment="1" applyProtection="1">
      <alignment horizontal="center" vertical="center"/>
      <protection locked="0"/>
    </xf>
    <xf numFmtId="0" fontId="52" fillId="6" borderId="14" xfId="1" applyFont="1" applyFill="1" applyBorder="1" applyAlignment="1">
      <alignment horizontal="left" vertical="center"/>
    </xf>
    <xf numFmtId="39" fontId="17" fillId="10" borderId="12" xfId="3" applyNumberFormat="1" applyFont="1" applyFill="1" applyBorder="1" applyAlignment="1" applyProtection="1">
      <alignment horizontal="left" vertical="center"/>
    </xf>
    <xf numFmtId="39" fontId="79" fillId="10" borderId="10" xfId="3" applyNumberFormat="1" applyFont="1" applyFill="1" applyBorder="1" applyAlignment="1" applyProtection="1">
      <alignment horizontal="left" vertical="center"/>
    </xf>
    <xf numFmtId="4" fontId="68" fillId="0" borderId="46" xfId="14" applyNumberFormat="1" applyFont="1" applyBorder="1" applyAlignment="1">
      <alignment horizontal="center" vertical="center"/>
    </xf>
    <xf numFmtId="4" fontId="68" fillId="0" borderId="44" xfId="14" applyNumberFormat="1" applyFont="1" applyBorder="1" applyAlignment="1">
      <alignment horizontal="center" vertical="center"/>
    </xf>
    <xf numFmtId="4" fontId="67" fillId="0" borderId="44" xfId="14" quotePrefix="1" applyNumberFormat="1" applyFont="1" applyBorder="1" applyAlignment="1">
      <alignment horizontal="center" vertical="center"/>
    </xf>
    <xf numFmtId="4" fontId="68" fillId="0" borderId="43" xfId="14" applyNumberFormat="1" applyFont="1" applyBorder="1" applyAlignment="1">
      <alignment horizontal="center" vertical="center"/>
    </xf>
    <xf numFmtId="4" fontId="68" fillId="0" borderId="80" xfId="14" applyNumberFormat="1" applyFont="1" applyBorder="1" applyAlignment="1">
      <alignment horizontal="center" vertical="center"/>
    </xf>
    <xf numFmtId="4" fontId="68" fillId="0" borderId="82" xfId="14" applyNumberFormat="1" applyFont="1" applyBorder="1" applyAlignment="1">
      <alignment horizontal="center" vertical="center"/>
    </xf>
    <xf numFmtId="0" fontId="63" fillId="0" borderId="0" xfId="1" applyFont="1" applyAlignment="1">
      <alignment horizontal="left" vertical="center"/>
    </xf>
    <xf numFmtId="0" fontId="6" fillId="0" borderId="15" xfId="1" applyFont="1" applyBorder="1"/>
    <xf numFmtId="0" fontId="27" fillId="0" borderId="10" xfId="1" applyFont="1" applyBorder="1" applyAlignment="1">
      <alignment vertical="center"/>
    </xf>
    <xf numFmtId="0" fontId="4" fillId="0" borderId="13" xfId="1" applyBorder="1"/>
    <xf numFmtId="179" fontId="76" fillId="20" borderId="171" xfId="3" applyNumberFormat="1" applyFont="1" applyFill="1" applyBorder="1" applyAlignment="1" applyProtection="1">
      <alignment horizontal="center" vertical="center"/>
      <protection locked="0"/>
    </xf>
    <xf numFmtId="175" fontId="57" fillId="0" borderId="94" xfId="5" applyNumberFormat="1" applyFont="1" applyBorder="1"/>
    <xf numFmtId="175" fontId="77" fillId="0" borderId="95" xfId="5" applyNumberFormat="1" applyFont="1" applyBorder="1"/>
    <xf numFmtId="0" fontId="77" fillId="0" borderId="96" xfId="5" applyFont="1" applyBorder="1"/>
    <xf numFmtId="10" fontId="57" fillId="0" borderId="95" xfId="5" applyNumberFormat="1" applyFont="1" applyBorder="1"/>
    <xf numFmtId="3" fontId="28" fillId="0" borderId="11" xfId="16" applyNumberFormat="1" applyFont="1" applyBorder="1" applyAlignment="1" applyProtection="1">
      <alignment horizontal="left" vertical="center"/>
    </xf>
    <xf numFmtId="0" fontId="28" fillId="0" borderId="11" xfId="14" applyFont="1" applyBorder="1" applyAlignment="1">
      <alignment vertical="center"/>
    </xf>
    <xf numFmtId="1" fontId="28" fillId="0" borderId="17" xfId="14" applyNumberFormat="1" applyFont="1" applyBorder="1" applyAlignment="1">
      <alignment horizontal="center" vertical="center"/>
    </xf>
    <xf numFmtId="0" fontId="27" fillId="0" borderId="92" xfId="14" applyFont="1" applyBorder="1" applyAlignment="1">
      <alignment vertical="center"/>
    </xf>
    <xf numFmtId="0" fontId="4" fillId="20" borderId="0" xfId="14" applyFill="1" applyAlignment="1" applyProtection="1">
      <alignment vertical="center"/>
      <protection locked="0"/>
    </xf>
    <xf numFmtId="20" fontId="4" fillId="0" borderId="0" xfId="14" applyNumberFormat="1" applyAlignment="1">
      <alignment vertical="center"/>
    </xf>
    <xf numFmtId="0" fontId="27" fillId="0" borderId="90" xfId="14" applyFont="1" applyBorder="1" applyAlignment="1">
      <alignment vertical="center"/>
    </xf>
    <xf numFmtId="0" fontId="27" fillId="0" borderId="88" xfId="14" applyFont="1" applyBorder="1" applyAlignment="1">
      <alignment vertical="center"/>
    </xf>
    <xf numFmtId="3" fontId="28" fillId="0" borderId="28" xfId="16" applyNumberFormat="1" applyFont="1" applyBorder="1" applyAlignment="1" applyProtection="1">
      <alignment horizontal="left" vertical="center"/>
    </xf>
    <xf numFmtId="0" fontId="28" fillId="0" borderId="28" xfId="14" applyFont="1" applyBorder="1" applyAlignment="1">
      <alignment vertical="center"/>
    </xf>
    <xf numFmtId="1" fontId="28" fillId="0" borderId="38" xfId="14" applyNumberFormat="1" applyFont="1" applyBorder="1" applyAlignment="1">
      <alignment horizontal="center" vertical="center"/>
    </xf>
    <xf numFmtId="0" fontId="27" fillId="0" borderId="86" xfId="14" applyFont="1" applyBorder="1" applyAlignment="1">
      <alignment vertical="center"/>
    </xf>
    <xf numFmtId="3" fontId="27" fillId="13" borderId="87" xfId="16" applyNumberFormat="1" applyFont="1" applyFill="1" applyBorder="1" applyAlignment="1" applyProtection="1">
      <alignment horizontal="center" vertical="center"/>
      <protection locked="0"/>
    </xf>
    <xf numFmtId="3" fontId="27" fillId="13" borderId="89" xfId="16" applyNumberFormat="1" applyFont="1" applyFill="1" applyBorder="1" applyAlignment="1" applyProtection="1">
      <alignment horizontal="center" vertical="center"/>
      <protection locked="0"/>
    </xf>
    <xf numFmtId="0" fontId="83" fillId="0" borderId="0" xfId="5" applyFont="1"/>
    <xf numFmtId="0" fontId="81" fillId="20" borderId="0" xfId="5" applyFont="1" applyFill="1" applyAlignment="1">
      <alignment horizontal="centerContinuous"/>
    </xf>
    <xf numFmtId="0" fontId="82" fillId="20" borderId="0" xfId="5" applyFont="1" applyFill="1" applyAlignment="1">
      <alignment horizontal="centerContinuous"/>
    </xf>
    <xf numFmtId="0" fontId="7" fillId="0" borderId="12" xfId="5" applyFont="1" applyBorder="1"/>
    <xf numFmtId="0" fontId="76" fillId="20" borderId="159" xfId="5" applyFont="1" applyFill="1" applyBorder="1" applyProtection="1">
      <protection locked="0"/>
    </xf>
    <xf numFmtId="0" fontId="76" fillId="20" borderId="160" xfId="5" applyFont="1" applyFill="1" applyBorder="1" applyProtection="1">
      <protection locked="0"/>
    </xf>
    <xf numFmtId="0" fontId="7" fillId="0" borderId="14" xfId="5" applyFont="1" applyBorder="1"/>
    <xf numFmtId="0" fontId="76" fillId="20" borderId="161" xfId="5" applyFont="1" applyFill="1" applyBorder="1" applyProtection="1">
      <protection locked="0"/>
    </xf>
    <xf numFmtId="0" fontId="76" fillId="20" borderId="162" xfId="5" applyFont="1" applyFill="1" applyBorder="1" applyProtection="1">
      <protection locked="0"/>
    </xf>
    <xf numFmtId="0" fontId="7" fillId="0" borderId="16" xfId="5" applyFont="1" applyBorder="1"/>
    <xf numFmtId="0" fontId="76" fillId="20" borderId="11" xfId="5" applyFont="1" applyFill="1" applyBorder="1" applyProtection="1">
      <protection locked="0"/>
    </xf>
    <xf numFmtId="0" fontId="76" fillId="20" borderId="17" xfId="5" applyFont="1" applyFill="1" applyBorder="1" applyProtection="1">
      <protection locked="0"/>
    </xf>
    <xf numFmtId="0" fontId="24" fillId="0" borderId="12" xfId="5" applyFont="1" applyBorder="1" applyAlignment="1">
      <alignment horizontal="right"/>
    </xf>
    <xf numFmtId="0" fontId="7" fillId="0" borderId="64" xfId="5" applyFont="1" applyBorder="1" applyAlignment="1">
      <alignment horizontal="right"/>
    </xf>
    <xf numFmtId="0" fontId="75" fillId="20" borderId="164" xfId="5" applyFont="1" applyFill="1" applyBorder="1" applyAlignment="1" applyProtection="1">
      <alignment horizontal="left" indent="3"/>
      <protection locked="0"/>
    </xf>
    <xf numFmtId="0" fontId="80" fillId="20" borderId="164" xfId="5" applyFont="1" applyFill="1" applyBorder="1" applyProtection="1">
      <protection locked="0"/>
    </xf>
    <xf numFmtId="0" fontId="80" fillId="20" borderId="163" xfId="5" applyFont="1" applyFill="1" applyBorder="1" applyProtection="1">
      <protection locked="0"/>
    </xf>
    <xf numFmtId="0" fontId="3" fillId="0" borderId="16" xfId="5" applyBorder="1"/>
    <xf numFmtId="0" fontId="7" fillId="0" borderId="57" xfId="5" applyFont="1" applyBorder="1" applyAlignment="1">
      <alignment horizontal="right"/>
    </xf>
    <xf numFmtId="0" fontId="75" fillId="20" borderId="11" xfId="5" applyFont="1" applyFill="1" applyBorder="1" applyAlignment="1" applyProtection="1">
      <alignment horizontal="left" indent="3"/>
      <protection locked="0"/>
    </xf>
    <xf numFmtId="0" fontId="80" fillId="20" borderId="11" xfId="5" applyFont="1" applyFill="1" applyBorder="1" applyProtection="1">
      <protection locked="0"/>
    </xf>
    <xf numFmtId="0" fontId="80" fillId="20" borderId="17" xfId="5" applyFont="1" applyFill="1" applyBorder="1" applyProtection="1">
      <protection locked="0"/>
    </xf>
    <xf numFmtId="0" fontId="2" fillId="0" borderId="0" xfId="5" applyFont="1"/>
    <xf numFmtId="0" fontId="24" fillId="0" borderId="12" xfId="5" applyFont="1" applyBorder="1" applyAlignment="1">
      <alignment horizontal="centerContinuous"/>
    </xf>
    <xf numFmtId="0" fontId="3" fillId="0" borderId="10" xfId="5" applyBorder="1" applyAlignment="1">
      <alignment horizontal="centerContinuous"/>
    </xf>
    <xf numFmtId="0" fontId="3" fillId="0" borderId="19" xfId="5" applyBorder="1" applyAlignment="1">
      <alignment horizontal="centerContinuous"/>
    </xf>
    <xf numFmtId="0" fontId="3" fillId="0" borderId="10" xfId="5" applyBorder="1"/>
    <xf numFmtId="0" fontId="24" fillId="0" borderId="177" xfId="5" applyFont="1" applyBorder="1" applyAlignment="1">
      <alignment horizontal="centerContinuous"/>
    </xf>
    <xf numFmtId="0" fontId="3" fillId="0" borderId="13" xfId="5" applyBorder="1" applyAlignment="1">
      <alignment horizontal="centerContinuous"/>
    </xf>
    <xf numFmtId="0" fontId="7" fillId="0" borderId="178" xfId="5" applyFont="1" applyBorder="1" applyAlignment="1">
      <alignment horizontal="left" indent="5"/>
    </xf>
    <xf numFmtId="0" fontId="3" fillId="0" borderId="166" xfId="5" applyBorder="1" applyAlignment="1">
      <alignment horizontal="left"/>
    </xf>
    <xf numFmtId="0" fontId="3" fillId="0" borderId="173" xfId="5" applyBorder="1"/>
    <xf numFmtId="0" fontId="3" fillId="0" borderId="15" xfId="5" applyBorder="1"/>
    <xf numFmtId="0" fontId="7" fillId="0" borderId="14" xfId="5" applyFont="1" applyBorder="1" applyAlignment="1">
      <alignment horizontal="left" indent="5"/>
    </xf>
    <xf numFmtId="0" fontId="3" fillId="0" borderId="0" xfId="5" applyAlignment="1">
      <alignment horizontal="left"/>
    </xf>
    <xf numFmtId="10" fontId="76" fillId="20" borderId="171" xfId="6" applyNumberFormat="1" applyFont="1" applyFill="1" applyBorder="1" applyAlignment="1" applyProtection="1">
      <alignment horizontal="center" vertical="center"/>
      <protection locked="0"/>
    </xf>
    <xf numFmtId="0" fontId="24" fillId="0" borderId="127" xfId="5" applyFont="1" applyBorder="1" applyAlignment="1">
      <alignment horizontal="centerContinuous"/>
    </xf>
    <xf numFmtId="0" fontId="3" fillId="0" borderId="52" xfId="5" applyBorder="1" applyAlignment="1">
      <alignment horizontal="centerContinuous"/>
    </xf>
    <xf numFmtId="0" fontId="7" fillId="0" borderId="176" xfId="5" applyFont="1" applyBorder="1" applyAlignment="1">
      <alignment horizontal="centerContinuous"/>
    </xf>
    <xf numFmtId="0" fontId="3" fillId="0" borderId="9" xfId="5" applyBorder="1" applyAlignment="1">
      <alignment horizontal="centerContinuous"/>
    </xf>
    <xf numFmtId="0" fontId="3" fillId="0" borderId="43" xfId="5" applyBorder="1" applyAlignment="1">
      <alignment horizontal="centerContinuous"/>
    </xf>
    <xf numFmtId="0" fontId="9" fillId="0" borderId="115" xfId="5" applyFont="1" applyBorder="1" applyAlignment="1">
      <alignment horizontal="center"/>
    </xf>
    <xf numFmtId="0" fontId="9" fillId="0" borderId="41" xfId="5" applyFont="1" applyBorder="1" applyAlignment="1">
      <alignment horizontal="centerContinuous"/>
    </xf>
    <xf numFmtId="0" fontId="9" fillId="0" borderId="66" xfId="5" applyFont="1" applyBorder="1" applyAlignment="1">
      <alignment horizontal="center"/>
    </xf>
    <xf numFmtId="0" fontId="9" fillId="0" borderId="7" xfId="5" applyFont="1" applyBorder="1" applyAlignment="1">
      <alignment horizontal="centerContinuous"/>
    </xf>
    <xf numFmtId="0" fontId="9" fillId="0" borderId="44" xfId="5" applyFont="1" applyBorder="1" applyAlignment="1">
      <alignment horizontal="centerContinuous"/>
    </xf>
    <xf numFmtId="0" fontId="3" fillId="0" borderId="127" xfId="5" applyBorder="1"/>
    <xf numFmtId="0" fontId="9" fillId="0" borderId="118" xfId="5" applyFont="1" applyBorder="1" applyAlignment="1">
      <alignment horizontal="centerContinuous"/>
    </xf>
    <xf numFmtId="0" fontId="7" fillId="0" borderId="179" xfId="5" applyFont="1" applyBorder="1"/>
    <xf numFmtId="0" fontId="7" fillId="20" borderId="165" xfId="5" applyFont="1" applyFill="1" applyBorder="1" applyAlignment="1" applyProtection="1">
      <alignment horizontal="left" indent="2"/>
      <protection locked="0"/>
    </xf>
    <xf numFmtId="10" fontId="76" fillId="20" borderId="170" xfId="6" applyNumberFormat="1" applyFont="1" applyFill="1" applyBorder="1" applyAlignment="1" applyProtection="1">
      <alignment horizontal="center"/>
      <protection locked="0"/>
    </xf>
    <xf numFmtId="0" fontId="3" fillId="0" borderId="40" xfId="5" applyBorder="1"/>
    <xf numFmtId="0" fontId="3" fillId="0" borderId="41" xfId="5" applyBorder="1"/>
    <xf numFmtId="0" fontId="7" fillId="0" borderId="175" xfId="5" applyFont="1" applyBorder="1"/>
    <xf numFmtId="0" fontId="7" fillId="20" borderId="167" xfId="5" applyFont="1" applyFill="1" applyBorder="1" applyAlignment="1" applyProtection="1">
      <alignment horizontal="left" indent="2"/>
      <protection locked="0"/>
    </xf>
    <xf numFmtId="10" fontId="76" fillId="20" borderId="171" xfId="6" applyNumberFormat="1" applyFont="1" applyFill="1" applyBorder="1" applyAlignment="1" applyProtection="1">
      <alignment horizontal="center"/>
      <protection locked="0"/>
    </xf>
    <xf numFmtId="0" fontId="7" fillId="0" borderId="1" xfId="5" applyFont="1" applyBorder="1" applyAlignment="1">
      <alignment horizontal="left" indent="2"/>
    </xf>
    <xf numFmtId="10" fontId="9" fillId="0" borderId="118" xfId="6" applyNumberFormat="1" applyFont="1" applyFill="1" applyBorder="1" applyAlignment="1" applyProtection="1">
      <alignment horizontal="center"/>
    </xf>
    <xf numFmtId="0" fontId="7" fillId="0" borderId="180" xfId="5" applyFont="1" applyBorder="1"/>
    <xf numFmtId="0" fontId="7" fillId="20" borderId="168" xfId="5" applyFont="1" applyFill="1" applyBorder="1" applyAlignment="1" applyProtection="1">
      <alignment horizontal="left" indent="2"/>
      <protection locked="0"/>
    </xf>
    <xf numFmtId="10" fontId="76" fillId="20" borderId="172" xfId="6" applyNumberFormat="1" applyFont="1" applyFill="1" applyBorder="1" applyAlignment="1" applyProtection="1">
      <alignment horizontal="center"/>
      <protection locked="0"/>
    </xf>
    <xf numFmtId="0" fontId="3" fillId="0" borderId="31" xfId="5" applyBorder="1"/>
    <xf numFmtId="0" fontId="3" fillId="0" borderId="47" xfId="5" applyBorder="1"/>
    <xf numFmtId="0" fontId="7" fillId="0" borderId="32" xfId="5" applyFont="1" applyBorder="1"/>
    <xf numFmtId="0" fontId="7" fillId="20" borderId="7" xfId="5" applyFont="1" applyFill="1" applyBorder="1" applyAlignment="1" applyProtection="1">
      <alignment horizontal="left" indent="2"/>
      <protection locked="0"/>
    </xf>
    <xf numFmtId="10" fontId="76" fillId="20" borderId="169" xfId="6" applyNumberFormat="1" applyFont="1" applyFill="1" applyBorder="1" applyAlignment="1" applyProtection="1">
      <alignment horizontal="center"/>
      <protection locked="0"/>
    </xf>
    <xf numFmtId="0" fontId="7" fillId="0" borderId="6" xfId="5" applyFont="1" applyBorder="1" applyAlignment="1">
      <alignment horizontal="left" indent="2"/>
    </xf>
    <xf numFmtId="10" fontId="9" fillId="0" borderId="34" xfId="6" applyNumberFormat="1" applyFont="1" applyFill="1" applyBorder="1" applyAlignment="1" applyProtection="1">
      <alignment horizontal="center"/>
    </xf>
    <xf numFmtId="0" fontId="7" fillId="0" borderId="127" xfId="5" applyFont="1" applyBorder="1" applyAlignment="1">
      <alignment horizontal="left" indent="2"/>
    </xf>
    <xf numFmtId="0" fontId="9" fillId="0" borderId="176" xfId="5" applyFont="1" applyBorder="1"/>
    <xf numFmtId="10" fontId="7" fillId="0" borderId="6" xfId="6" applyNumberFormat="1" applyFont="1" applyFill="1" applyBorder="1" applyAlignment="1" applyProtection="1">
      <alignment horizontal="center"/>
    </xf>
    <xf numFmtId="10" fontId="7" fillId="0" borderId="34" xfId="6" applyNumberFormat="1" applyFont="1" applyFill="1" applyBorder="1" applyAlignment="1" applyProtection="1">
      <alignment horizontal="center"/>
    </xf>
    <xf numFmtId="0" fontId="9" fillId="0" borderId="16" xfId="5" applyFont="1" applyBorder="1"/>
    <xf numFmtId="0" fontId="7" fillId="0" borderId="25" xfId="5" applyFont="1" applyBorder="1" applyAlignment="1">
      <alignment horizontal="left" indent="2"/>
    </xf>
    <xf numFmtId="0" fontId="7" fillId="0" borderId="25" xfId="5" applyFont="1" applyBorder="1" applyAlignment="1">
      <alignment horizontal="center"/>
    </xf>
    <xf numFmtId="0" fontId="3" fillId="0" borderId="11" xfId="5" applyBorder="1"/>
    <xf numFmtId="0" fontId="3" fillId="0" borderId="115" xfId="5" applyBorder="1"/>
    <xf numFmtId="0" fontId="3" fillId="0" borderId="9" xfId="5" applyBorder="1"/>
    <xf numFmtId="0" fontId="3" fillId="0" borderId="43" xfId="5" applyBorder="1"/>
    <xf numFmtId="0" fontId="3" fillId="0" borderId="174" xfId="5" applyBorder="1"/>
    <xf numFmtId="0" fontId="3" fillId="0" borderId="14" xfId="5" applyBorder="1"/>
    <xf numFmtId="0" fontId="7" fillId="0" borderId="173" xfId="5" applyFont="1" applyBorder="1" applyAlignment="1">
      <alignment horizontal="left"/>
    </xf>
    <xf numFmtId="0" fontId="24" fillId="0" borderId="76" xfId="5" applyFont="1" applyBorder="1" applyAlignment="1">
      <alignment horizontal="centerContinuous"/>
    </xf>
    <xf numFmtId="0" fontId="7" fillId="0" borderId="176" xfId="5" applyFont="1" applyBorder="1" applyAlignment="1">
      <alignment horizontal="center"/>
    </xf>
    <xf numFmtId="0" fontId="7" fillId="0" borderId="41" xfId="5" applyFont="1" applyBorder="1" applyAlignment="1">
      <alignment horizontal="centerContinuous"/>
    </xf>
    <xf numFmtId="0" fontId="2" fillId="0" borderId="76" xfId="5" applyFont="1" applyBorder="1"/>
    <xf numFmtId="0" fontId="7" fillId="0" borderId="118" xfId="5" applyFont="1" applyBorder="1" applyAlignment="1">
      <alignment horizontal="centerContinuous"/>
    </xf>
    <xf numFmtId="0" fontId="3" fillId="0" borderId="39" xfId="5" applyBorder="1"/>
    <xf numFmtId="0" fontId="7" fillId="0" borderId="181" xfId="5" applyFont="1" applyBorder="1" applyAlignment="1">
      <alignment horizontal="left" indent="2"/>
    </xf>
    <xf numFmtId="169" fontId="7" fillId="0" borderId="118" xfId="6" applyNumberFormat="1" applyFont="1" applyFill="1" applyBorder="1" applyAlignment="1" applyProtection="1">
      <alignment horizontal="center"/>
    </xf>
    <xf numFmtId="0" fontId="3" fillId="0" borderId="36" xfId="5" applyBorder="1"/>
    <xf numFmtId="0" fontId="7" fillId="0" borderId="7" xfId="5" applyFont="1" applyBorder="1" applyAlignment="1">
      <alignment horizontal="left"/>
    </xf>
    <xf numFmtId="0" fontId="3" fillId="0" borderId="44" xfId="5" applyBorder="1"/>
    <xf numFmtId="0" fontId="7" fillId="0" borderId="66" xfId="5" applyFont="1" applyBorder="1" applyAlignment="1">
      <alignment horizontal="left" indent="2"/>
    </xf>
    <xf numFmtId="169" fontId="7" fillId="0" borderId="34" xfId="6" applyNumberFormat="1" applyFont="1" applyFill="1" applyBorder="1" applyAlignment="1" applyProtection="1">
      <alignment horizontal="center"/>
    </xf>
    <xf numFmtId="0" fontId="2" fillId="0" borderId="0" xfId="5" applyFont="1" applyAlignment="1">
      <alignment horizontal="right"/>
    </xf>
    <xf numFmtId="0" fontId="7" fillId="0" borderId="0" xfId="5" applyFont="1" applyAlignment="1">
      <alignment horizontal="center"/>
    </xf>
    <xf numFmtId="178" fontId="7" fillId="0" borderId="0" xfId="6" applyNumberFormat="1" applyFont="1" applyFill="1" applyBorder="1" applyAlignment="1" applyProtection="1">
      <alignment horizontal="center"/>
    </xf>
    <xf numFmtId="0" fontId="7" fillId="0" borderId="76" xfId="5" applyFont="1" applyBorder="1" applyAlignment="1">
      <alignment horizontal="left" indent="2"/>
    </xf>
    <xf numFmtId="0" fontId="9" fillId="0" borderId="0" xfId="5" applyFont="1"/>
    <xf numFmtId="0" fontId="7" fillId="0" borderId="32" xfId="5" applyFont="1" applyBorder="1" applyAlignment="1">
      <alignment horizontal="left" indent="2"/>
    </xf>
    <xf numFmtId="0" fontId="7" fillId="0" borderId="27" xfId="5" applyFont="1" applyBorder="1" applyAlignment="1">
      <alignment horizontal="left" indent="2"/>
    </xf>
    <xf numFmtId="0" fontId="7" fillId="0" borderId="83" xfId="5" applyFont="1" applyBorder="1" applyAlignment="1">
      <alignment horizontal="center"/>
    </xf>
    <xf numFmtId="0" fontId="3" fillId="0" borderId="16" xfId="5" applyBorder="1" applyAlignment="1">
      <alignment horizontal="right" vertical="center"/>
    </xf>
    <xf numFmtId="49" fontId="2" fillId="0" borderId="22" xfId="0" applyNumberFormat="1" applyFont="1" applyBorder="1" applyAlignment="1">
      <alignment horizontal="left" vertical="center"/>
    </xf>
    <xf numFmtId="0" fontId="2" fillId="5" borderId="58" xfId="0" applyFont="1" applyFill="1" applyBorder="1" applyAlignment="1" applyProtection="1">
      <alignment horizontal="left" vertical="center"/>
      <protection locked="0"/>
    </xf>
    <xf numFmtId="49" fontId="2" fillId="0" borderId="61" xfId="0" applyNumberFormat="1" applyFont="1" applyBorder="1" applyAlignment="1">
      <alignment horizontal="center" vertical="center"/>
    </xf>
    <xf numFmtId="49" fontId="2" fillId="5" borderId="23" xfId="0" applyNumberFormat="1" applyFont="1" applyFill="1" applyBorder="1" applyAlignment="1" applyProtection="1">
      <alignment horizontal="center" vertical="center"/>
      <protection locked="0"/>
    </xf>
    <xf numFmtId="0" fontId="2" fillId="0" borderId="22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" fillId="0" borderId="53" xfId="0" applyFont="1" applyBorder="1" applyAlignment="1">
      <alignment horizontal="left" vertical="center"/>
    </xf>
    <xf numFmtId="49" fontId="2" fillId="5" borderId="53" xfId="0" applyNumberFormat="1" applyFont="1" applyFill="1" applyBorder="1" applyAlignment="1" applyProtection="1">
      <alignment horizontal="center" vertical="center"/>
      <protection locked="0"/>
    </xf>
    <xf numFmtId="49" fontId="2" fillId="0" borderId="66" xfId="0" applyNumberFormat="1" applyFont="1" applyBorder="1" applyAlignment="1">
      <alignment horizontal="left" vertical="center"/>
    </xf>
    <xf numFmtId="0" fontId="2" fillId="5" borderId="74" xfId="0" applyFont="1" applyFill="1" applyBorder="1" applyAlignment="1" applyProtection="1">
      <alignment horizontal="left" vertical="center"/>
      <protection locked="0"/>
    </xf>
    <xf numFmtId="49" fontId="2" fillId="0" borderId="75" xfId="0" applyNumberFormat="1" applyFont="1" applyBorder="1" applyAlignment="1">
      <alignment horizontal="center" vertical="center"/>
    </xf>
    <xf numFmtId="49" fontId="2" fillId="5" borderId="54" xfId="0" applyNumberFormat="1" applyFont="1" applyFill="1" applyBorder="1" applyAlignment="1" applyProtection="1">
      <alignment horizontal="center" vertical="center"/>
      <protection locked="0"/>
    </xf>
    <xf numFmtId="0" fontId="2" fillId="0" borderId="66" xfId="0" applyFont="1" applyBorder="1" applyAlignment="1">
      <alignment horizontal="left" vertical="center"/>
    </xf>
    <xf numFmtId="0" fontId="2" fillId="0" borderId="62" xfId="0" applyFont="1" applyBorder="1" applyAlignment="1">
      <alignment horizontal="left" vertical="center"/>
    </xf>
    <xf numFmtId="0" fontId="2" fillId="0" borderId="45" xfId="0" applyFont="1" applyBorder="1" applyAlignment="1">
      <alignment horizontal="left" vertical="center"/>
    </xf>
    <xf numFmtId="49" fontId="2" fillId="5" borderId="45" xfId="0" applyNumberFormat="1" applyFont="1" applyFill="1" applyBorder="1" applyAlignment="1" applyProtection="1">
      <alignment horizontal="center" vertical="center"/>
      <protection locked="0"/>
    </xf>
    <xf numFmtId="49" fontId="2" fillId="5" borderId="62" xfId="0" applyNumberFormat="1" applyFont="1" applyFill="1" applyBorder="1" applyAlignment="1" applyProtection="1">
      <alignment horizontal="center" vertical="center"/>
      <protection locked="0"/>
    </xf>
    <xf numFmtId="0" fontId="73" fillId="0" borderId="54" xfId="0" applyFont="1" applyBorder="1" applyAlignment="1">
      <alignment horizontal="right" vertical="center"/>
    </xf>
    <xf numFmtId="49" fontId="2" fillId="0" borderId="12" xfId="0" applyNumberFormat="1" applyFont="1" applyBorder="1" applyAlignment="1">
      <alignment horizontal="center" vertical="center" wrapText="1"/>
    </xf>
    <xf numFmtId="49" fontId="2" fillId="0" borderId="18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Continuous" vertical="center" wrapText="1"/>
    </xf>
    <xf numFmtId="0" fontId="2" fillId="0" borderId="37" xfId="1" applyFont="1" applyBorder="1" applyAlignment="1">
      <alignment horizontal="center" vertical="center"/>
    </xf>
    <xf numFmtId="0" fontId="2" fillId="0" borderId="30" xfId="1" applyFont="1" applyBorder="1" applyAlignment="1">
      <alignment horizontal="center" vertical="center"/>
    </xf>
    <xf numFmtId="2" fontId="2" fillId="0" borderId="3" xfId="1" applyNumberFormat="1" applyFont="1" applyBorder="1" applyAlignment="1">
      <alignment horizontal="centerContinuous" vertical="center"/>
    </xf>
    <xf numFmtId="0" fontId="3" fillId="0" borderId="28" xfId="1" applyFont="1" applyBorder="1" applyAlignment="1">
      <alignment horizontal="centerContinuous" vertical="center"/>
    </xf>
    <xf numFmtId="0" fontId="2" fillId="0" borderId="28" xfId="1" applyFont="1" applyBorder="1" applyAlignment="1">
      <alignment horizontal="centerContinuous" vertical="center"/>
    </xf>
    <xf numFmtId="0" fontId="2" fillId="0" borderId="49" xfId="1" applyFont="1" applyBorder="1" applyAlignment="1">
      <alignment horizontal="center" vertical="center"/>
    </xf>
    <xf numFmtId="0" fontId="2" fillId="0" borderId="12" xfId="0" applyFont="1" applyBorder="1" applyAlignment="1">
      <alignment horizontal="centerContinuous" vertical="center"/>
    </xf>
    <xf numFmtId="0" fontId="2" fillId="0" borderId="10" xfId="0" applyFont="1" applyBorder="1" applyAlignment="1">
      <alignment horizontal="centerContinuous" vertical="center"/>
    </xf>
    <xf numFmtId="0" fontId="2" fillId="0" borderId="13" xfId="0" applyFont="1" applyBorder="1" applyAlignment="1">
      <alignment horizontal="centerContinuous" vertical="center"/>
    </xf>
    <xf numFmtId="0" fontId="3" fillId="0" borderId="16" xfId="0" quotePrefix="1" applyFont="1" applyBorder="1" applyAlignment="1">
      <alignment horizontal="center"/>
    </xf>
    <xf numFmtId="0" fontId="3" fillId="0" borderId="24" xfId="0" applyFont="1" applyBorder="1" applyAlignment="1">
      <alignment horizontal="center" vertical="center"/>
    </xf>
    <xf numFmtId="0" fontId="3" fillId="0" borderId="17" xfId="1" applyFont="1" applyBorder="1"/>
    <xf numFmtId="2" fontId="2" fillId="0" borderId="37" xfId="1" applyNumberFormat="1" applyFont="1" applyBorder="1" applyAlignment="1">
      <alignment horizontal="center" vertical="top"/>
    </xf>
    <xf numFmtId="169" fontId="2" fillId="0" borderId="30" xfId="1" applyNumberFormat="1" applyFont="1" applyBorder="1" applyAlignment="1">
      <alignment horizontal="center" vertical="top"/>
    </xf>
    <xf numFmtId="2" fontId="2" fillId="0" borderId="37" xfId="1" applyNumberFormat="1" applyFont="1" applyBorder="1" applyAlignment="1">
      <alignment horizontal="center" vertical="center"/>
    </xf>
    <xf numFmtId="2" fontId="2" fillId="0" borderId="5" xfId="1" applyNumberFormat="1" applyFont="1" applyBorder="1" applyAlignment="1">
      <alignment horizontal="center" vertical="center"/>
    </xf>
    <xf numFmtId="2" fontId="2" fillId="0" borderId="42" xfId="1" applyNumberFormat="1" applyFont="1" applyBorder="1" applyAlignment="1">
      <alignment horizontal="center" vertical="center"/>
    </xf>
    <xf numFmtId="2" fontId="3" fillId="0" borderId="51" xfId="1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37" xfId="0" applyNumberFormat="1" applyFont="1" applyBorder="1" applyAlignment="1">
      <alignment horizontal="center" vertical="center"/>
    </xf>
    <xf numFmtId="167" fontId="2" fillId="0" borderId="30" xfId="1" applyNumberFormat="1" applyFont="1" applyBorder="1" applyAlignment="1">
      <alignment horizontal="center" vertical="center"/>
    </xf>
    <xf numFmtId="167" fontId="2" fillId="0" borderId="30" xfId="1" applyNumberFormat="1" applyFont="1" applyBorder="1" applyAlignment="1">
      <alignment horizontal="center" vertical="center" wrapText="1"/>
    </xf>
    <xf numFmtId="49" fontId="2" fillId="0" borderId="16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84" fillId="0" borderId="17" xfId="0" applyFont="1" applyBorder="1" applyAlignment="1">
      <alignment vertical="center" wrapText="1"/>
    </xf>
    <xf numFmtId="4" fontId="85" fillId="0" borderId="28" xfId="0" applyNumberFormat="1" applyFont="1" applyBorder="1" applyAlignment="1">
      <alignment vertical="center"/>
    </xf>
    <xf numFmtId="4" fontId="44" fillId="0" borderId="38" xfId="0" applyNumberFormat="1" applyFont="1" applyBorder="1" applyAlignment="1">
      <alignment vertical="center"/>
    </xf>
    <xf numFmtId="4" fontId="2" fillId="0" borderId="3" xfId="1" applyNumberFormat="1" applyFont="1" applyBorder="1" applyAlignment="1">
      <alignment vertical="center"/>
    </xf>
    <xf numFmtId="4" fontId="2" fillId="0" borderId="28" xfId="1" applyNumberFormat="1" applyFont="1" applyBorder="1" applyAlignment="1">
      <alignment vertical="center"/>
    </xf>
    <xf numFmtId="166" fontId="2" fillId="0" borderId="3" xfId="3" applyFont="1" applyBorder="1" applyAlignment="1">
      <alignment vertical="center"/>
    </xf>
    <xf numFmtId="166" fontId="2" fillId="0" borderId="28" xfId="3" applyFont="1" applyBorder="1" applyAlignment="1">
      <alignment vertical="center"/>
    </xf>
    <xf numFmtId="166" fontId="2" fillId="0" borderId="38" xfId="3" applyFont="1" applyBorder="1" applyAlignment="1">
      <alignment vertical="center"/>
    </xf>
    <xf numFmtId="166" fontId="2" fillId="0" borderId="29" xfId="3" applyFont="1" applyBorder="1" applyAlignment="1">
      <alignment vertical="center"/>
    </xf>
    <xf numFmtId="0" fontId="3" fillId="0" borderId="36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52" xfId="1" quotePrefix="1" applyFont="1" applyBorder="1" applyAlignment="1">
      <alignment horizontal="left" vertical="center" wrapText="1"/>
    </xf>
    <xf numFmtId="2" fontId="3" fillId="0" borderId="46" xfId="1" quotePrefix="1" applyNumberFormat="1" applyFont="1" applyBorder="1" applyAlignment="1">
      <alignment horizontal="center" vertical="center"/>
    </xf>
    <xf numFmtId="169" fontId="3" fillId="0" borderId="47" xfId="1" quotePrefix="1" applyNumberFormat="1" applyFont="1" applyBorder="1" applyAlignment="1">
      <alignment horizontal="center" vertical="center"/>
    </xf>
    <xf numFmtId="4" fontId="3" fillId="0" borderId="36" xfId="1" quotePrefix="1" applyNumberFormat="1" applyFont="1" applyBorder="1" applyAlignment="1">
      <alignment horizontal="center" vertical="center"/>
    </xf>
    <xf numFmtId="4" fontId="3" fillId="0" borderId="31" xfId="1" applyNumberFormat="1" applyFont="1" applyBorder="1" applyAlignment="1">
      <alignment horizontal="center" vertical="center"/>
    </xf>
    <xf numFmtId="4" fontId="2" fillId="0" borderId="31" xfId="1" applyNumberFormat="1" applyFont="1" applyBorder="1" applyAlignment="1">
      <alignment horizontal="center" vertical="center"/>
    </xf>
    <xf numFmtId="2" fontId="3" fillId="0" borderId="47" xfId="1" applyNumberFormat="1" applyFont="1" applyBorder="1" applyAlignment="1">
      <alignment horizontal="center" vertical="center"/>
    </xf>
    <xf numFmtId="166" fontId="3" fillId="0" borderId="31" xfId="3" applyFont="1" applyBorder="1"/>
    <xf numFmtId="166" fontId="3" fillId="0" borderId="34" xfId="3" applyFont="1" applyBorder="1" applyAlignment="1">
      <alignment vertical="center"/>
    </xf>
    <xf numFmtId="166" fontId="3" fillId="0" borderId="21" xfId="3" applyFont="1" applyBorder="1" applyAlignment="1">
      <alignment vertical="center"/>
    </xf>
    <xf numFmtId="0" fontId="3" fillId="0" borderId="3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4" xfId="1" quotePrefix="1" applyFont="1" applyBorder="1" applyAlignment="1">
      <alignment horizontal="left" vertical="center" wrapText="1"/>
    </xf>
    <xf numFmtId="2" fontId="3" fillId="0" borderId="44" xfId="1" quotePrefix="1" applyNumberFormat="1" applyFont="1" applyBorder="1" applyAlignment="1">
      <alignment horizontal="center" vertical="center"/>
    </xf>
    <xf numFmtId="169" fontId="3" fillId="0" borderId="34" xfId="1" quotePrefix="1" applyNumberFormat="1" applyFont="1" applyBorder="1" applyAlignment="1">
      <alignment horizontal="center" vertical="center"/>
    </xf>
    <xf numFmtId="4" fontId="3" fillId="0" borderId="32" xfId="1" quotePrefix="1" applyNumberFormat="1" applyFont="1" applyBorder="1" applyAlignment="1">
      <alignment horizontal="center" vertical="center"/>
    </xf>
    <xf numFmtId="4" fontId="3" fillId="0" borderId="6" xfId="1" applyNumberFormat="1" applyFont="1" applyBorder="1" applyAlignment="1">
      <alignment horizontal="center" vertical="center"/>
    </xf>
    <xf numFmtId="4" fontId="2" fillId="0" borderId="6" xfId="1" applyNumberFormat="1" applyFont="1" applyBorder="1" applyAlignment="1">
      <alignment horizontal="center" vertical="center"/>
    </xf>
    <xf numFmtId="2" fontId="3" fillId="0" borderId="34" xfId="1" applyNumberFormat="1" applyFont="1" applyBorder="1" applyAlignment="1">
      <alignment horizontal="center" vertical="center"/>
    </xf>
    <xf numFmtId="166" fontId="3" fillId="0" borderId="31" xfId="3" applyFont="1" applyBorder="1" applyAlignment="1">
      <alignment vertical="center"/>
    </xf>
    <xf numFmtId="166" fontId="3" fillId="0" borderId="4" xfId="3" applyFont="1" applyBorder="1" applyAlignment="1">
      <alignment vertical="center"/>
    </xf>
    <xf numFmtId="0" fontId="3" fillId="0" borderId="54" xfId="1" applyFont="1" applyBorder="1" applyAlignment="1">
      <alignment vertical="center" wrapText="1"/>
    </xf>
    <xf numFmtId="2" fontId="3" fillId="0" borderId="44" xfId="1" applyNumberFormat="1" applyFont="1" applyBorder="1" applyAlignment="1">
      <alignment horizontal="center" vertical="center"/>
    </xf>
    <xf numFmtId="169" fontId="3" fillId="0" borderId="34" xfId="1" applyNumberFormat="1" applyFont="1" applyBorder="1" applyAlignment="1">
      <alignment horizontal="center" vertical="center"/>
    </xf>
    <xf numFmtId="4" fontId="3" fillId="0" borderId="44" xfId="1" applyNumberFormat="1" applyFont="1" applyBorder="1" applyAlignment="1">
      <alignment horizontal="center" vertical="center"/>
    </xf>
    <xf numFmtId="166" fontId="3" fillId="0" borderId="32" xfId="3" applyFont="1" applyBorder="1" applyAlignment="1">
      <alignment vertical="center"/>
    </xf>
    <xf numFmtId="166" fontId="3" fillId="0" borderId="6" xfId="3" applyFont="1" applyBorder="1" applyAlignment="1">
      <alignment vertical="center"/>
    </xf>
    <xf numFmtId="4" fontId="3" fillId="0" borderId="32" xfId="1" applyNumberFormat="1" applyFont="1" applyBorder="1" applyAlignment="1">
      <alignment horizontal="center" vertical="center"/>
    </xf>
    <xf numFmtId="0" fontId="72" fillId="0" borderId="32" xfId="0" quotePrefix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4" xfId="1" applyFont="1" applyBorder="1" applyAlignment="1">
      <alignment vertical="center" wrapText="1"/>
    </xf>
    <xf numFmtId="4" fontId="85" fillId="0" borderId="62" xfId="0" applyNumberFormat="1" applyFont="1" applyBorder="1" applyAlignment="1">
      <alignment horizontal="center" vertical="center"/>
    </xf>
    <xf numFmtId="4" fontId="44" fillId="0" borderId="54" xfId="0" applyNumberFormat="1" applyFont="1" applyBorder="1" applyAlignment="1">
      <alignment vertical="center"/>
    </xf>
    <xf numFmtId="4" fontId="2" fillId="0" borderId="66" xfId="1" applyNumberFormat="1" applyFont="1" applyBorder="1" applyAlignment="1">
      <alignment horizontal="center" vertical="center"/>
    </xf>
    <xf numFmtId="4" fontId="2" fillId="0" borderId="62" xfId="1" applyNumberFormat="1" applyFont="1" applyBorder="1" applyAlignment="1">
      <alignment horizontal="center" vertical="center"/>
    </xf>
    <xf numFmtId="4" fontId="2" fillId="0" borderId="62" xfId="1" applyNumberFormat="1" applyFont="1" applyBorder="1" applyAlignment="1">
      <alignment vertical="center"/>
    </xf>
    <xf numFmtId="166" fontId="2" fillId="0" borderId="66" xfId="3" applyFont="1" applyBorder="1" applyAlignment="1">
      <alignment vertical="center"/>
    </xf>
    <xf numFmtId="166" fontId="2" fillId="0" borderId="62" xfId="3" applyFont="1" applyBorder="1" applyAlignment="1">
      <alignment vertical="center"/>
    </xf>
    <xf numFmtId="166" fontId="2" fillId="0" borderId="54" xfId="3" applyFont="1" applyBorder="1" applyAlignment="1">
      <alignment vertical="center"/>
    </xf>
    <xf numFmtId="49" fontId="72" fillId="20" borderId="32" xfId="0" quotePrefix="1" applyNumberFormat="1" applyFont="1" applyFill="1" applyBorder="1" applyAlignment="1" applyProtection="1">
      <alignment horizontal="center" vertical="center"/>
      <protection locked="0"/>
    </xf>
    <xf numFmtId="49" fontId="72" fillId="20" borderId="6" xfId="0" quotePrefix="1" applyNumberFormat="1" applyFont="1" applyFill="1" applyBorder="1" applyAlignment="1" applyProtection="1">
      <alignment horizontal="center" vertical="center"/>
      <protection locked="0"/>
    </xf>
    <xf numFmtId="0" fontId="3" fillId="20" borderId="34" xfId="0" applyFont="1" applyFill="1" applyBorder="1" applyAlignment="1" applyProtection="1">
      <alignment horizontal="left" vertical="center" wrapText="1"/>
      <protection locked="0"/>
    </xf>
    <xf numFmtId="2" fontId="3" fillId="20" borderId="44" xfId="1" applyNumberFormat="1" applyFont="1" applyFill="1" applyBorder="1" applyAlignment="1" applyProtection="1">
      <alignment horizontal="center" vertical="center"/>
      <protection locked="0"/>
    </xf>
    <xf numFmtId="169" fontId="3" fillId="20" borderId="34" xfId="1" applyNumberFormat="1" applyFont="1" applyFill="1" applyBorder="1" applyAlignment="1" applyProtection="1">
      <alignment horizontal="center" vertical="center"/>
      <protection locked="0"/>
    </xf>
    <xf numFmtId="4" fontId="3" fillId="20" borderId="32" xfId="1" applyNumberFormat="1" applyFont="1" applyFill="1" applyBorder="1" applyAlignment="1" applyProtection="1">
      <alignment horizontal="center" vertical="center"/>
      <protection locked="0"/>
    </xf>
    <xf numFmtId="4" fontId="3" fillId="20" borderId="6" xfId="1" applyNumberFormat="1" applyFont="1" applyFill="1" applyBorder="1" applyAlignment="1" applyProtection="1">
      <alignment horizontal="center" vertical="center"/>
      <protection locked="0"/>
    </xf>
    <xf numFmtId="0" fontId="3" fillId="20" borderId="47" xfId="0" applyFont="1" applyFill="1" applyBorder="1" applyAlignment="1" applyProtection="1">
      <alignment horizontal="left" vertical="center" wrapText="1"/>
      <protection locked="0"/>
    </xf>
    <xf numFmtId="166" fontId="3" fillId="0" borderId="47" xfId="3" applyFont="1" applyBorder="1" applyAlignment="1">
      <alignment vertical="center"/>
    </xf>
    <xf numFmtId="49" fontId="72" fillId="20" borderId="27" xfId="0" quotePrefix="1" applyNumberFormat="1" applyFont="1" applyFill="1" applyBorder="1" applyAlignment="1" applyProtection="1">
      <alignment horizontal="center" vertical="center"/>
      <protection locked="0"/>
    </xf>
    <xf numFmtId="49" fontId="72" fillId="20" borderId="25" xfId="0" quotePrefix="1" applyNumberFormat="1" applyFont="1" applyFill="1" applyBorder="1" applyAlignment="1" applyProtection="1">
      <alignment horizontal="center" vertical="center"/>
      <protection locked="0"/>
    </xf>
    <xf numFmtId="0" fontId="3" fillId="20" borderId="51" xfId="0" applyFont="1" applyFill="1" applyBorder="1" applyAlignment="1" applyProtection="1">
      <alignment horizontal="left" vertical="center" wrapText="1"/>
      <protection locked="0"/>
    </xf>
    <xf numFmtId="2" fontId="3" fillId="20" borderId="43" xfId="1" applyNumberFormat="1" applyFont="1" applyFill="1" applyBorder="1" applyAlignment="1" applyProtection="1">
      <alignment horizontal="center" vertical="center"/>
      <protection locked="0"/>
    </xf>
    <xf numFmtId="169" fontId="3" fillId="20" borderId="41" xfId="1" applyNumberFormat="1" applyFont="1" applyFill="1" applyBorder="1" applyAlignment="1" applyProtection="1">
      <alignment horizontal="center" vertical="center"/>
      <protection locked="0"/>
    </xf>
    <xf numFmtId="4" fontId="3" fillId="20" borderId="39" xfId="1" applyNumberFormat="1" applyFont="1" applyFill="1" applyBorder="1" applyAlignment="1" applyProtection="1">
      <alignment horizontal="center" vertical="center"/>
      <protection locked="0"/>
    </xf>
    <xf numFmtId="4" fontId="3" fillId="20" borderId="40" xfId="1" applyNumberFormat="1" applyFont="1" applyFill="1" applyBorder="1" applyAlignment="1" applyProtection="1">
      <alignment horizontal="center" vertical="center"/>
      <protection locked="0"/>
    </xf>
    <xf numFmtId="4" fontId="3" fillId="0" borderId="40" xfId="1" applyNumberFormat="1" applyFont="1" applyBorder="1" applyAlignment="1">
      <alignment horizontal="center" vertical="center"/>
    </xf>
    <xf numFmtId="4" fontId="2" fillId="0" borderId="1" xfId="1" applyNumberFormat="1" applyFont="1" applyBorder="1" applyAlignment="1">
      <alignment horizontal="center" vertical="center"/>
    </xf>
    <xf numFmtId="166" fontId="3" fillId="0" borderId="41" xfId="3" applyFont="1" applyBorder="1" applyAlignment="1">
      <alignment vertical="center"/>
    </xf>
    <xf numFmtId="4" fontId="85" fillId="0" borderId="28" xfId="0" applyNumberFormat="1" applyFont="1" applyBorder="1" applyAlignment="1">
      <alignment horizontal="center" vertical="center"/>
    </xf>
    <xf numFmtId="4" fontId="2" fillId="0" borderId="3" xfId="1" applyNumberFormat="1" applyFont="1" applyBorder="1" applyAlignment="1">
      <alignment horizontal="center" vertical="center"/>
    </xf>
    <xf numFmtId="4" fontId="2" fillId="0" borderId="28" xfId="1" applyNumberFormat="1" applyFont="1" applyBorder="1" applyAlignment="1">
      <alignment horizontal="center" vertical="center"/>
    </xf>
    <xf numFmtId="0" fontId="3" fillId="0" borderId="52" xfId="1" applyFont="1" applyBorder="1" applyAlignment="1">
      <alignment vertical="center" wrapText="1"/>
    </xf>
    <xf numFmtId="169" fontId="3" fillId="0" borderId="47" xfId="1" applyNumberFormat="1" applyFont="1" applyBorder="1" applyAlignment="1">
      <alignment horizontal="center" vertical="center"/>
    </xf>
    <xf numFmtId="4" fontId="3" fillId="0" borderId="46" xfId="1" applyNumberFormat="1" applyFont="1" applyBorder="1" applyAlignment="1">
      <alignment horizontal="center" vertical="center"/>
    </xf>
    <xf numFmtId="4" fontId="3" fillId="0" borderId="36" xfId="1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7" xfId="0" applyNumberFormat="1" applyFont="1" applyBorder="1" applyAlignment="1">
      <alignment horizontal="center" vertical="center"/>
    </xf>
    <xf numFmtId="0" fontId="84" fillId="0" borderId="38" xfId="0" applyFont="1" applyBorder="1" applyAlignment="1">
      <alignment vertical="center" wrapText="1"/>
    </xf>
    <xf numFmtId="4" fontId="3" fillId="0" borderId="44" xfId="1" quotePrefix="1" applyNumberFormat="1" applyFont="1" applyBorder="1" applyAlignment="1">
      <alignment horizontal="center" vertical="center"/>
    </xf>
    <xf numFmtId="4" fontId="3" fillId="0" borderId="6" xfId="1" quotePrefix="1" applyNumberFormat="1" applyFont="1" applyBorder="1" applyAlignment="1">
      <alignment horizontal="center" vertical="center"/>
    </xf>
    <xf numFmtId="0" fontId="3" fillId="0" borderId="32" xfId="2" applyBorder="1" applyAlignment="1">
      <alignment horizontal="center" vertical="center"/>
    </xf>
    <xf numFmtId="0" fontId="3" fillId="0" borderId="6" xfId="2" applyBorder="1" applyAlignment="1">
      <alignment horizontal="center" vertical="center"/>
    </xf>
    <xf numFmtId="0" fontId="3" fillId="0" borderId="54" xfId="1" applyFont="1" applyBorder="1" applyAlignment="1">
      <alignment horizontal="left" vertical="center" wrapText="1"/>
    </xf>
    <xf numFmtId="2" fontId="2" fillId="0" borderId="34" xfId="1" applyNumberFormat="1" applyFont="1" applyBorder="1" applyAlignment="1">
      <alignment horizontal="center" vertical="center"/>
    </xf>
    <xf numFmtId="166" fontId="3" fillId="0" borderId="44" xfId="3" applyFont="1" applyBorder="1" applyAlignment="1">
      <alignment horizontal="center" vertical="center"/>
    </xf>
    <xf numFmtId="166" fontId="3" fillId="0" borderId="6" xfId="3" applyFont="1" applyBorder="1" applyAlignment="1">
      <alignment horizontal="center" vertical="center"/>
    </xf>
    <xf numFmtId="2" fontId="3" fillId="20" borderId="44" xfId="1" quotePrefix="1" applyNumberFormat="1" applyFont="1" applyFill="1" applyBorder="1" applyAlignment="1" applyProtection="1">
      <alignment horizontal="center" vertical="center"/>
      <protection locked="0"/>
    </xf>
    <xf numFmtId="4" fontId="3" fillId="0" borderId="62" xfId="1" applyNumberFormat="1" applyFont="1" applyBorder="1" applyAlignment="1">
      <alignment vertical="center"/>
    </xf>
    <xf numFmtId="4" fontId="3" fillId="0" borderId="28" xfId="1" applyNumberFormat="1" applyFont="1" applyBorder="1" applyAlignment="1">
      <alignment vertical="center"/>
    </xf>
    <xf numFmtId="0" fontId="3" fillId="0" borderId="39" xfId="2" applyBorder="1" applyAlignment="1">
      <alignment horizontal="center" vertical="center"/>
    </xf>
    <xf numFmtId="0" fontId="3" fillId="0" borderId="55" xfId="1" applyFont="1" applyBorder="1" applyAlignment="1">
      <alignment vertical="center" wrapText="1"/>
    </xf>
    <xf numFmtId="2" fontId="3" fillId="0" borderId="43" xfId="1" applyNumberFormat="1" applyFont="1" applyBorder="1" applyAlignment="1">
      <alignment horizontal="center" vertical="center"/>
    </xf>
    <xf numFmtId="169" fontId="3" fillId="0" borderId="41" xfId="1" quotePrefix="1" applyNumberFormat="1" applyFont="1" applyBorder="1" applyAlignment="1">
      <alignment horizontal="center" vertical="center"/>
    </xf>
    <xf numFmtId="4" fontId="3" fillId="0" borderId="39" xfId="1" applyNumberFormat="1" applyFont="1" applyBorder="1" applyAlignment="1">
      <alignment horizontal="center" vertical="center"/>
    </xf>
    <xf numFmtId="4" fontId="2" fillId="0" borderId="40" xfId="1" applyNumberFormat="1" applyFont="1" applyBorder="1" applyAlignment="1">
      <alignment horizontal="center" vertical="center"/>
    </xf>
    <xf numFmtId="2" fontId="3" fillId="0" borderId="41" xfId="1" applyNumberFormat="1" applyFont="1" applyBorder="1" applyAlignment="1">
      <alignment horizontal="center" vertical="center"/>
    </xf>
    <xf numFmtId="0" fontId="3" fillId="0" borderId="78" xfId="2" applyBorder="1" applyAlignment="1">
      <alignment horizontal="center" vertical="center"/>
    </xf>
    <xf numFmtId="0" fontId="3" fillId="0" borderId="79" xfId="2" applyBorder="1" applyAlignment="1">
      <alignment horizontal="center" vertical="center"/>
    </xf>
    <xf numFmtId="0" fontId="3" fillId="0" borderId="23" xfId="1" applyFont="1" applyBorder="1" applyAlignment="1">
      <alignment vertical="center" wrapText="1"/>
    </xf>
    <xf numFmtId="2" fontId="3" fillId="0" borderId="80" xfId="1" applyNumberFormat="1" applyFont="1" applyBorder="1" applyAlignment="1">
      <alignment horizontal="center" vertical="center"/>
    </xf>
    <xf numFmtId="169" fontId="3" fillId="0" borderId="81" xfId="1" applyNumberFormat="1" applyFont="1" applyBorder="1" applyAlignment="1">
      <alignment horizontal="center" vertical="center"/>
    </xf>
    <xf numFmtId="4" fontId="3" fillId="0" borderId="78" xfId="1" applyNumberFormat="1" applyFont="1" applyBorder="1" applyAlignment="1">
      <alignment horizontal="center" vertical="center"/>
    </xf>
    <xf numFmtId="4" fontId="3" fillId="0" borderId="79" xfId="1" applyNumberFormat="1" applyFont="1" applyBorder="1" applyAlignment="1">
      <alignment horizontal="center" vertical="center"/>
    </xf>
    <xf numFmtId="4" fontId="2" fillId="0" borderId="79" xfId="1" applyNumberFormat="1" applyFont="1" applyBorder="1" applyAlignment="1">
      <alignment horizontal="center" vertical="center"/>
    </xf>
    <xf numFmtId="2" fontId="3" fillId="0" borderId="81" xfId="1" applyNumberFormat="1" applyFont="1" applyBorder="1" applyAlignment="1">
      <alignment horizontal="center" vertical="center"/>
    </xf>
    <xf numFmtId="166" fontId="3" fillId="0" borderId="78" xfId="3" applyFont="1" applyBorder="1" applyAlignment="1">
      <alignment vertical="center"/>
    </xf>
    <xf numFmtId="166" fontId="3" fillId="0" borderId="79" xfId="3" applyFont="1" applyBorder="1" applyAlignment="1">
      <alignment vertical="center"/>
    </xf>
    <xf numFmtId="166" fontId="3" fillId="0" borderId="81" xfId="3" applyFont="1" applyBorder="1" applyAlignment="1">
      <alignment vertical="center"/>
    </xf>
    <xf numFmtId="0" fontId="3" fillId="0" borderId="27" xfId="2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77" xfId="1" applyFont="1" applyBorder="1" applyAlignment="1">
      <alignment vertical="center" wrapText="1"/>
    </xf>
    <xf numFmtId="2" fontId="3" fillId="0" borderId="27" xfId="1" quotePrefix="1" applyNumberFormat="1" applyFont="1" applyBorder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4" fontId="3" fillId="0" borderId="25" xfId="1" applyNumberFormat="1" applyFont="1" applyBorder="1" applyAlignment="1">
      <alignment horizontal="center" vertical="center"/>
    </xf>
    <xf numFmtId="4" fontId="2" fillId="0" borderId="25" xfId="1" applyNumberFormat="1" applyFont="1" applyBorder="1" applyAlignment="1">
      <alignment horizontal="center" vertical="center"/>
    </xf>
    <xf numFmtId="2" fontId="3" fillId="0" borderId="83" xfId="1" applyNumberFormat="1" applyFont="1" applyBorder="1" applyAlignment="1">
      <alignment horizontal="center" vertical="center"/>
    </xf>
    <xf numFmtId="166" fontId="3" fillId="0" borderId="84" xfId="3" applyFont="1" applyBorder="1" applyAlignment="1">
      <alignment vertical="center"/>
    </xf>
    <xf numFmtId="166" fontId="3" fillId="0" borderId="24" xfId="3" applyFont="1" applyBorder="1" applyAlignment="1">
      <alignment vertical="center"/>
    </xf>
    <xf numFmtId="166" fontId="3" fillId="0" borderId="83" xfId="3" applyFont="1" applyBorder="1" applyAlignment="1">
      <alignment vertical="center"/>
    </xf>
    <xf numFmtId="169" fontId="3" fillId="0" borderId="183" xfId="0" applyNumberFormat="1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169" fontId="3" fillId="0" borderId="41" xfId="1" applyNumberFormat="1" applyFont="1" applyBorder="1" applyAlignment="1">
      <alignment horizontal="center" vertical="center"/>
    </xf>
    <xf numFmtId="166" fontId="3" fillId="0" borderId="1" xfId="3" applyFont="1" applyBorder="1" applyAlignment="1">
      <alignment vertical="center"/>
    </xf>
    <xf numFmtId="0" fontId="3" fillId="0" borderId="78" xfId="0" applyFont="1" applyBorder="1" applyAlignment="1">
      <alignment horizontal="center" vertical="center"/>
    </xf>
    <xf numFmtId="0" fontId="3" fillId="0" borderId="79" xfId="0" applyFont="1" applyBorder="1" applyAlignment="1">
      <alignment horizontal="center" vertical="center"/>
    </xf>
    <xf numFmtId="0" fontId="3" fillId="0" borderId="54" xfId="1" applyFont="1" applyBorder="1" applyAlignment="1">
      <alignment horizontal="left" vertical="center" wrapText="1" readingOrder="1"/>
    </xf>
    <xf numFmtId="0" fontId="3" fillId="0" borderId="34" xfId="1" applyFont="1" applyBorder="1" applyAlignment="1">
      <alignment horizontal="center" vertical="center"/>
    </xf>
    <xf numFmtId="166" fontId="3" fillId="0" borderId="32" xfId="3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2" fontId="3" fillId="0" borderId="82" xfId="1" applyNumberFormat="1" applyFont="1" applyBorder="1" applyAlignment="1">
      <alignment horizontal="center" vertical="center"/>
    </xf>
    <xf numFmtId="169" fontId="3" fillId="0" borderId="83" xfId="1" applyNumberFormat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 wrapText="1" readingOrder="1"/>
    </xf>
    <xf numFmtId="0" fontId="3" fillId="0" borderId="52" xfId="1" applyFont="1" applyBorder="1" applyAlignment="1">
      <alignment vertical="center" wrapText="1" readingOrder="1"/>
    </xf>
    <xf numFmtId="0" fontId="3" fillId="0" borderId="84" xfId="0" applyFont="1" applyBorder="1" applyAlignment="1">
      <alignment horizontal="center" vertical="center"/>
    </xf>
    <xf numFmtId="0" fontId="3" fillId="0" borderId="17" xfId="1" applyFont="1" applyBorder="1" applyAlignment="1">
      <alignment vertical="center" wrapText="1" readingOrder="1"/>
    </xf>
    <xf numFmtId="4" fontId="2" fillId="0" borderId="24" xfId="1" applyNumberFormat="1" applyFont="1" applyBorder="1" applyAlignment="1">
      <alignment horizontal="center" vertical="center"/>
    </xf>
    <xf numFmtId="0" fontId="3" fillId="0" borderId="77" xfId="1" applyFont="1" applyBorder="1" applyAlignment="1">
      <alignment horizontal="left" vertical="center" wrapText="1"/>
    </xf>
    <xf numFmtId="166" fontId="3" fillId="0" borderId="25" xfId="3" applyFont="1" applyBorder="1" applyAlignment="1">
      <alignment horizontal="center" vertical="center"/>
    </xf>
    <xf numFmtId="0" fontId="3" fillId="0" borderId="55" xfId="1" applyFont="1" applyBorder="1" applyAlignment="1">
      <alignment horizontal="left" vertical="center" wrapText="1"/>
    </xf>
    <xf numFmtId="0" fontId="3" fillId="0" borderId="34" xfId="1" applyFont="1" applyBorder="1" applyAlignment="1">
      <alignment horizontal="left" vertical="center" wrapText="1"/>
    </xf>
    <xf numFmtId="0" fontId="3" fillId="0" borderId="17" xfId="1" applyFont="1" applyBorder="1" applyAlignment="1">
      <alignment horizontal="left" vertical="center" wrapText="1"/>
    </xf>
    <xf numFmtId="0" fontId="3" fillId="0" borderId="81" xfId="1" applyFont="1" applyBorder="1" applyAlignment="1">
      <alignment horizontal="left" vertical="center" wrapText="1"/>
    </xf>
    <xf numFmtId="0" fontId="3" fillId="0" borderId="52" xfId="1" applyFont="1" applyBorder="1" applyAlignment="1">
      <alignment horizontal="left" vertical="center" wrapText="1"/>
    </xf>
    <xf numFmtId="0" fontId="2" fillId="0" borderId="23" xfId="1" applyFont="1" applyBorder="1" applyAlignment="1">
      <alignment vertical="center" wrapText="1"/>
    </xf>
    <xf numFmtId="2" fontId="3" fillId="0" borderId="85" xfId="1" applyNumberFormat="1" applyFont="1" applyBorder="1" applyAlignment="1">
      <alignment horizontal="center" vertical="center"/>
    </xf>
    <xf numFmtId="0" fontId="80" fillId="0" borderId="23" xfId="1" applyFont="1" applyBorder="1" applyAlignment="1">
      <alignment vertical="center" wrapText="1"/>
    </xf>
    <xf numFmtId="169" fontId="80" fillId="0" borderId="81" xfId="1" applyNumberFormat="1" applyFont="1" applyBorder="1" applyAlignment="1">
      <alignment horizontal="center" vertical="center"/>
    </xf>
    <xf numFmtId="169" fontId="2" fillId="0" borderId="81" xfId="1" applyNumberFormat="1" applyFont="1" applyBorder="1" applyAlignment="1">
      <alignment horizontal="center" vertical="center"/>
    </xf>
    <xf numFmtId="0" fontId="73" fillId="0" borderId="23" xfId="1" applyFont="1" applyBorder="1" applyAlignment="1">
      <alignment vertical="center" wrapText="1"/>
    </xf>
    <xf numFmtId="169" fontId="73" fillId="0" borderId="81" xfId="1" applyNumberFormat="1" applyFont="1" applyBorder="1" applyAlignment="1">
      <alignment horizontal="center" vertical="center"/>
    </xf>
    <xf numFmtId="2" fontId="3" fillId="0" borderId="80" xfId="1" applyNumberFormat="1" applyFont="1" applyBorder="1" applyAlignment="1">
      <alignment horizontal="center" vertical="center" wrapText="1"/>
    </xf>
    <xf numFmtId="2" fontId="3" fillId="0" borderId="27" xfId="1" applyNumberFormat="1" applyFont="1" applyBorder="1" applyAlignment="1">
      <alignment horizontal="center" vertical="center"/>
    </xf>
    <xf numFmtId="4" fontId="3" fillId="0" borderId="27" xfId="1" applyNumberFormat="1" applyFont="1" applyBorder="1" applyAlignment="1">
      <alignment horizontal="center" vertical="center"/>
    </xf>
    <xf numFmtId="2" fontId="2" fillId="0" borderId="83" xfId="1" applyNumberFormat="1" applyFont="1" applyBorder="1" applyAlignment="1">
      <alignment horizontal="center" vertical="center"/>
    </xf>
    <xf numFmtId="166" fontId="3" fillId="0" borderId="27" xfId="3" applyFont="1" applyBorder="1" applyAlignment="1">
      <alignment horizontal="center" vertical="center"/>
    </xf>
    <xf numFmtId="2" fontId="3" fillId="0" borderId="46" xfId="1" applyNumberFormat="1" applyFont="1" applyBorder="1" applyAlignment="1">
      <alignment horizontal="center" vertical="center"/>
    </xf>
    <xf numFmtId="166" fontId="3" fillId="0" borderId="36" xfId="3" applyFont="1" applyBorder="1" applyAlignment="1">
      <alignment vertical="center"/>
    </xf>
    <xf numFmtId="0" fontId="3" fillId="0" borderId="25" xfId="2" applyBorder="1" applyAlignment="1">
      <alignment horizontal="center" vertical="center"/>
    </xf>
    <xf numFmtId="166" fontId="3" fillId="0" borderId="25" xfId="3" applyFont="1" applyBorder="1" applyAlignment="1">
      <alignment vertical="center"/>
    </xf>
    <xf numFmtId="166" fontId="3" fillId="0" borderId="27" xfId="3" applyFont="1" applyBorder="1" applyAlignment="1">
      <alignment vertical="center"/>
    </xf>
    <xf numFmtId="49" fontId="72" fillId="0" borderId="32" xfId="0" quotePrefix="1" applyNumberFormat="1" applyFont="1" applyBorder="1" applyAlignment="1">
      <alignment horizontal="center" vertical="center"/>
    </xf>
    <xf numFmtId="166" fontId="2" fillId="0" borderId="3" xfId="3" applyFont="1" applyFill="1" applyBorder="1" applyAlignment="1">
      <alignment vertical="center"/>
    </xf>
    <xf numFmtId="166" fontId="2" fillId="0" borderId="28" xfId="3" applyFont="1" applyFill="1" applyBorder="1" applyAlignment="1">
      <alignment vertical="center"/>
    </xf>
    <xf numFmtId="166" fontId="3" fillId="0" borderId="31" xfId="3" applyFont="1" applyFill="1" applyBorder="1" applyAlignment="1">
      <alignment vertical="center"/>
    </xf>
    <xf numFmtId="166" fontId="3" fillId="0" borderId="44" xfId="3" applyFont="1" applyFill="1" applyBorder="1" applyAlignment="1">
      <alignment horizontal="center" vertical="center"/>
    </xf>
    <xf numFmtId="166" fontId="3" fillId="0" borderId="6" xfId="3" applyFont="1" applyFill="1" applyBorder="1" applyAlignment="1">
      <alignment horizontal="center" vertical="center"/>
    </xf>
    <xf numFmtId="166" fontId="3" fillId="0" borderId="32" xfId="3" applyFont="1" applyFill="1" applyBorder="1" applyAlignment="1">
      <alignment vertical="center"/>
    </xf>
    <xf numFmtId="166" fontId="3" fillId="0" borderId="6" xfId="3" applyFont="1" applyFill="1" applyBorder="1" applyAlignment="1">
      <alignment vertical="center"/>
    </xf>
    <xf numFmtId="166" fontId="2" fillId="0" borderId="66" xfId="3" applyFont="1" applyFill="1" applyBorder="1" applyAlignment="1">
      <alignment vertical="center"/>
    </xf>
    <xf numFmtId="166" fontId="2" fillId="0" borderId="62" xfId="3" applyFont="1" applyFill="1" applyBorder="1" applyAlignment="1">
      <alignment vertical="center"/>
    </xf>
    <xf numFmtId="10" fontId="3" fillId="0" borderId="6" xfId="4" applyNumberFormat="1" applyFont="1" applyBorder="1" applyAlignment="1" applyProtection="1">
      <alignment horizontal="center" vertical="center"/>
    </xf>
    <xf numFmtId="49" fontId="2" fillId="0" borderId="4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0" fontId="84" fillId="0" borderId="13" xfId="0" applyFont="1" applyBorder="1" applyAlignment="1">
      <alignment vertical="center" wrapText="1"/>
    </xf>
    <xf numFmtId="4" fontId="85" fillId="0" borderId="10" xfId="0" applyNumberFormat="1" applyFont="1" applyBorder="1" applyAlignment="1">
      <alignment horizontal="center" vertical="center"/>
    </xf>
    <xf numFmtId="4" fontId="44" fillId="0" borderId="13" xfId="0" applyNumberFormat="1" applyFont="1" applyBorder="1" applyAlignment="1">
      <alignment vertical="center"/>
    </xf>
    <xf numFmtId="4" fontId="2" fillId="0" borderId="12" xfId="1" applyNumberFormat="1" applyFont="1" applyBorder="1" applyAlignment="1">
      <alignment vertical="center"/>
    </xf>
    <xf numFmtId="4" fontId="2" fillId="0" borderId="10" xfId="1" applyNumberFormat="1" applyFont="1" applyBorder="1" applyAlignment="1">
      <alignment vertical="center"/>
    </xf>
    <xf numFmtId="4" fontId="2" fillId="0" borderId="13" xfId="1" applyNumberFormat="1" applyFont="1" applyBorder="1" applyAlignment="1">
      <alignment vertical="center"/>
    </xf>
    <xf numFmtId="166" fontId="2" fillId="0" borderId="12" xfId="3" applyFont="1" applyFill="1" applyBorder="1" applyAlignment="1">
      <alignment vertical="center"/>
    </xf>
    <xf numFmtId="166" fontId="2" fillId="0" borderId="10" xfId="3" applyFont="1" applyFill="1" applyBorder="1" applyAlignment="1">
      <alignment vertical="center"/>
    </xf>
    <xf numFmtId="166" fontId="2" fillId="0" borderId="13" xfId="3" applyFont="1" applyBorder="1" applyAlignment="1">
      <alignment vertical="center"/>
    </xf>
    <xf numFmtId="166" fontId="2" fillId="0" borderId="21" xfId="3" applyFont="1" applyBorder="1" applyAlignment="1">
      <alignment vertical="center"/>
    </xf>
    <xf numFmtId="49" fontId="2" fillId="0" borderId="84" xfId="0" applyNumberFormat="1" applyFont="1" applyBorder="1" applyAlignment="1">
      <alignment horizontal="center" vertical="center"/>
    </xf>
    <xf numFmtId="49" fontId="2" fillId="0" borderId="85" xfId="0" applyNumberFormat="1" applyFont="1" applyBorder="1" applyAlignment="1">
      <alignment horizontal="center" vertical="center"/>
    </xf>
    <xf numFmtId="0" fontId="84" fillId="0" borderId="17" xfId="0" applyFont="1" applyBorder="1" applyAlignment="1">
      <alignment horizontal="left" vertical="center" wrapText="1"/>
    </xf>
    <xf numFmtId="4" fontId="85" fillId="0" borderId="11" xfId="0" applyNumberFormat="1" applyFont="1" applyBorder="1" applyAlignment="1">
      <alignment horizontal="center" vertical="center"/>
    </xf>
    <xf numFmtId="4" fontId="44" fillId="0" borderId="17" xfId="0" applyNumberFormat="1" applyFont="1" applyBorder="1" applyAlignment="1">
      <alignment vertical="center"/>
    </xf>
    <xf numFmtId="4" fontId="2" fillId="0" borderId="16" xfId="1" applyNumberFormat="1" applyFont="1" applyBorder="1" applyAlignment="1">
      <alignment vertical="center"/>
    </xf>
    <xf numFmtId="4" fontId="2" fillId="0" borderId="11" xfId="1" applyNumberFormat="1" applyFont="1" applyBorder="1" applyAlignment="1">
      <alignment vertical="center"/>
    </xf>
    <xf numFmtId="4" fontId="2" fillId="0" borderId="17" xfId="1" applyNumberFormat="1" applyFont="1" applyBorder="1" applyAlignment="1">
      <alignment vertical="center"/>
    </xf>
    <xf numFmtId="166" fontId="2" fillId="0" borderId="11" xfId="3" applyFont="1" applyFill="1" applyBorder="1" applyAlignment="1">
      <alignment vertical="center"/>
    </xf>
    <xf numFmtId="166" fontId="2" fillId="0" borderId="17" xfId="3" applyFont="1" applyBorder="1" applyAlignment="1">
      <alignment vertical="center"/>
    </xf>
    <xf numFmtId="166" fontId="2" fillId="0" borderId="26" xfId="3" applyFont="1" applyBorder="1" applyAlignment="1">
      <alignment vertical="center"/>
    </xf>
    <xf numFmtId="0" fontId="3" fillId="0" borderId="32" xfId="0" quotePrefix="1" applyFont="1" applyBorder="1" applyAlignment="1">
      <alignment horizontal="center" vertical="center"/>
    </xf>
    <xf numFmtId="4" fontId="2" fillId="0" borderId="66" xfId="1" applyNumberFormat="1" applyFont="1" applyBorder="1" applyAlignment="1">
      <alignment vertical="center"/>
    </xf>
    <xf numFmtId="49" fontId="72" fillId="0" borderId="6" xfId="0" quotePrefix="1" applyNumberFormat="1" applyFont="1" applyBorder="1" applyAlignment="1">
      <alignment horizontal="center" vertical="center"/>
    </xf>
    <xf numFmtId="0" fontId="3" fillId="0" borderId="47" xfId="0" applyFont="1" applyBorder="1" applyAlignment="1">
      <alignment horizontal="left" vertical="center" wrapText="1"/>
    </xf>
    <xf numFmtId="4" fontId="3" fillId="0" borderId="32" xfId="1" applyNumberFormat="1" applyFont="1" applyBorder="1" applyAlignment="1">
      <alignment horizontal="left" vertical="center"/>
    </xf>
    <xf numFmtId="49" fontId="72" fillId="20" borderId="32" xfId="0" quotePrefix="1" applyNumberFormat="1" applyFont="1" applyFill="1" applyBorder="1" applyAlignment="1" applyProtection="1">
      <alignment horizontal="center" vertical="center" wrapText="1"/>
      <protection locked="0"/>
    </xf>
    <xf numFmtId="49" fontId="72" fillId="20" borderId="6" xfId="0" quotePrefix="1" applyNumberFormat="1" applyFont="1" applyFill="1" applyBorder="1" applyAlignment="1" applyProtection="1">
      <alignment horizontal="center" vertical="center" wrapText="1"/>
      <protection locked="0"/>
    </xf>
    <xf numFmtId="4" fontId="3" fillId="20" borderId="32" xfId="1" applyNumberFormat="1" applyFont="1" applyFill="1" applyBorder="1" applyAlignment="1" applyProtection="1">
      <alignment horizontal="left" vertical="center"/>
      <protection locked="0"/>
    </xf>
    <xf numFmtId="0" fontId="86" fillId="0" borderId="12" xfId="0" applyFont="1" applyBorder="1" applyAlignment="1">
      <alignment horizontal="center"/>
    </xf>
    <xf numFmtId="0" fontId="3" fillId="0" borderId="10" xfId="0" applyFont="1" applyBorder="1" applyAlignment="1">
      <alignment horizontal="left"/>
    </xf>
    <xf numFmtId="0" fontId="3" fillId="0" borderId="10" xfId="1" applyFont="1" applyBorder="1"/>
    <xf numFmtId="2" fontId="3" fillId="0" borderId="28" xfId="1" applyNumberFormat="1" applyFont="1" applyBorder="1" applyAlignment="1">
      <alignment horizontal="center"/>
    </xf>
    <xf numFmtId="169" fontId="3" fillId="0" borderId="28" xfId="1" applyNumberFormat="1" applyFont="1" applyBorder="1" applyAlignment="1">
      <alignment horizontal="center"/>
    </xf>
    <xf numFmtId="4" fontId="3" fillId="0" borderId="28" xfId="1" applyNumberFormat="1" applyFont="1" applyBorder="1" applyAlignment="1">
      <alignment horizontal="center"/>
    </xf>
    <xf numFmtId="4" fontId="2" fillId="0" borderId="28" xfId="1" applyNumberFormat="1" applyFont="1" applyBorder="1" applyAlignment="1">
      <alignment horizontal="center"/>
    </xf>
    <xf numFmtId="166" fontId="3" fillId="0" borderId="28" xfId="3" applyFont="1" applyBorder="1" applyAlignment="1">
      <alignment horizontal="center"/>
    </xf>
    <xf numFmtId="166" fontId="3" fillId="0" borderId="28" xfId="3" applyFont="1" applyBorder="1"/>
    <xf numFmtId="166" fontId="3" fillId="0" borderId="38" xfId="3" applyFont="1" applyBorder="1"/>
    <xf numFmtId="0" fontId="87" fillId="0" borderId="3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2" fillId="0" borderId="28" xfId="1" applyFont="1" applyBorder="1" applyAlignment="1">
      <alignment horizontal="left" vertical="center" indent="7"/>
    </xf>
    <xf numFmtId="2" fontId="3" fillId="0" borderId="28" xfId="1" applyNumberFormat="1" applyFont="1" applyBorder="1" applyAlignment="1">
      <alignment horizontal="center" vertical="center"/>
    </xf>
    <xf numFmtId="169" fontId="3" fillId="0" borderId="28" xfId="1" applyNumberFormat="1" applyFont="1" applyBorder="1" applyAlignment="1">
      <alignment horizontal="center" vertical="center"/>
    </xf>
    <xf numFmtId="4" fontId="3" fillId="0" borderId="28" xfId="1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right" vertical="center"/>
    </xf>
    <xf numFmtId="0" fontId="86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3" fillId="0" borderId="10" xfId="1" applyFont="1" applyBorder="1" applyAlignment="1">
      <alignment horizontal="left" indent="7"/>
    </xf>
    <xf numFmtId="2" fontId="3" fillId="0" borderId="10" xfId="1" applyNumberFormat="1" applyFont="1" applyBorder="1" applyAlignment="1">
      <alignment horizontal="center"/>
    </xf>
    <xf numFmtId="169" fontId="3" fillId="0" borderId="10" xfId="1" applyNumberFormat="1" applyFont="1" applyBorder="1" applyAlignment="1">
      <alignment horizontal="center"/>
    </xf>
    <xf numFmtId="4" fontId="3" fillId="0" borderId="10" xfId="1" applyNumberFormat="1" applyFont="1" applyBorder="1" applyAlignment="1">
      <alignment horizontal="center"/>
    </xf>
    <xf numFmtId="4" fontId="2" fillId="0" borderId="10" xfId="1" applyNumberFormat="1" applyFont="1" applyBorder="1" applyAlignment="1">
      <alignment horizontal="center"/>
    </xf>
    <xf numFmtId="166" fontId="3" fillId="0" borderId="10" xfId="3" applyFont="1" applyBorder="1" applyAlignment="1">
      <alignment horizontal="center"/>
    </xf>
    <xf numFmtId="166" fontId="3" fillId="0" borderId="10" xfId="3" applyFont="1" applyBorder="1"/>
    <xf numFmtId="0" fontId="86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11" xfId="1" applyFont="1" applyBorder="1" applyAlignment="1">
      <alignment horizontal="left" indent="7"/>
    </xf>
    <xf numFmtId="2" fontId="3" fillId="0" borderId="11" xfId="1" applyNumberFormat="1" applyFont="1" applyBorder="1" applyAlignment="1">
      <alignment horizontal="center"/>
    </xf>
    <xf numFmtId="169" fontId="3" fillId="0" borderId="11" xfId="1" applyNumberFormat="1" applyFont="1" applyBorder="1" applyAlignment="1">
      <alignment horizontal="center"/>
    </xf>
    <xf numFmtId="4" fontId="3" fillId="0" borderId="11" xfId="1" applyNumberFormat="1" applyFont="1" applyBorder="1" applyAlignment="1">
      <alignment horizontal="center"/>
    </xf>
    <xf numFmtId="4" fontId="2" fillId="0" borderId="11" xfId="1" applyNumberFormat="1" applyFont="1" applyBorder="1" applyAlignment="1">
      <alignment horizontal="center"/>
    </xf>
    <xf numFmtId="166" fontId="3" fillId="0" borderId="11" xfId="3" applyFont="1" applyBorder="1" applyAlignment="1">
      <alignment horizontal="center"/>
    </xf>
    <xf numFmtId="166" fontId="2" fillId="0" borderId="11" xfId="3" applyFont="1" applyBorder="1" applyAlignment="1">
      <alignment vertical="center"/>
    </xf>
    <xf numFmtId="166" fontId="3" fillId="0" borderId="11" xfId="3" applyFont="1" applyBorder="1"/>
    <xf numFmtId="49" fontId="2" fillId="0" borderId="56" xfId="0" applyNumberFormat="1" applyFont="1" applyBorder="1" applyAlignment="1">
      <alignment horizontal="left" vertical="center"/>
    </xf>
    <xf numFmtId="0" fontId="2" fillId="0" borderId="73" xfId="0" applyFont="1" applyBorder="1" applyAlignment="1">
      <alignment horizontal="left" vertical="center"/>
    </xf>
    <xf numFmtId="0" fontId="2" fillId="0" borderId="73" xfId="0" applyFont="1" applyBorder="1" applyAlignment="1" applyProtection="1">
      <alignment horizontal="left" vertical="center"/>
      <protection locked="0"/>
    </xf>
    <xf numFmtId="49" fontId="2" fillId="0" borderId="73" xfId="0" applyNumberFormat="1" applyFont="1" applyBorder="1" applyAlignment="1" applyProtection="1">
      <alignment horizontal="center" vertical="center"/>
      <protection locked="0"/>
    </xf>
    <xf numFmtId="0" fontId="2" fillId="0" borderId="77" xfId="0" applyFont="1" applyBorder="1" applyAlignment="1">
      <alignment horizontal="right" vertical="center"/>
    </xf>
    <xf numFmtId="183" fontId="73" fillId="0" borderId="8" xfId="0" applyNumberFormat="1" applyFont="1" applyBorder="1" applyAlignment="1">
      <alignment horizontal="center" vertical="center"/>
    </xf>
    <xf numFmtId="0" fontId="2" fillId="0" borderId="58" xfId="0" applyFont="1" applyBorder="1" applyAlignment="1">
      <alignment horizontal="left" vertical="center"/>
    </xf>
    <xf numFmtId="0" fontId="2" fillId="0" borderId="61" xfId="0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0" borderId="53" xfId="0" applyNumberFormat="1" applyFont="1" applyBorder="1" applyAlignment="1">
      <alignment horizontal="center" vertical="center"/>
    </xf>
    <xf numFmtId="0" fontId="2" fillId="0" borderId="74" xfId="0" applyFont="1" applyBorder="1" applyAlignment="1">
      <alignment horizontal="left" vertical="center"/>
    </xf>
    <xf numFmtId="0" fontId="2" fillId="0" borderId="75" xfId="0" applyFont="1" applyBorder="1" applyAlignment="1">
      <alignment horizontal="center" vertical="center"/>
    </xf>
    <xf numFmtId="49" fontId="2" fillId="0" borderId="54" xfId="0" applyNumberFormat="1" applyFont="1" applyBorder="1" applyAlignment="1">
      <alignment horizontal="center" vertical="center"/>
    </xf>
    <xf numFmtId="49" fontId="2" fillId="0" borderId="45" xfId="0" applyNumberFormat="1" applyFont="1" applyBorder="1" applyAlignment="1">
      <alignment horizontal="center" vertical="center"/>
    </xf>
    <xf numFmtId="0" fontId="2" fillId="5" borderId="62" xfId="0" applyFont="1" applyFill="1" applyBorder="1" applyAlignment="1" applyProtection="1">
      <alignment horizontal="center" vertical="center"/>
      <protection locked="0"/>
    </xf>
    <xf numFmtId="0" fontId="2" fillId="5" borderId="54" xfId="0" applyFont="1" applyFill="1" applyBorder="1" applyAlignment="1" applyProtection="1">
      <alignment horizontal="center" vertical="center"/>
      <protection locked="0"/>
    </xf>
    <xf numFmtId="49" fontId="2" fillId="0" borderId="56" xfId="0" applyNumberFormat="1" applyFont="1" applyBorder="1" applyAlignment="1">
      <alignment horizontal="center" vertical="center"/>
    </xf>
    <xf numFmtId="0" fontId="2" fillId="0" borderId="73" xfId="0" applyFont="1" applyBorder="1" applyAlignment="1" applyProtection="1">
      <alignment horizontal="center" vertical="center"/>
      <protection locked="0"/>
    </xf>
    <xf numFmtId="49" fontId="2" fillId="0" borderId="12" xfId="0" applyNumberFormat="1" applyFont="1" applyBorder="1" applyAlignment="1">
      <alignment horizontal="center" wrapText="1"/>
    </xf>
    <xf numFmtId="0" fontId="2" fillId="0" borderId="13" xfId="0" applyFont="1" applyBorder="1" applyAlignment="1">
      <alignment horizontal="centerContinuous" wrapText="1"/>
    </xf>
    <xf numFmtId="0" fontId="2" fillId="0" borderId="37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49" xfId="1" applyFont="1" applyBorder="1" applyAlignment="1">
      <alignment horizontal="center"/>
    </xf>
    <xf numFmtId="166" fontId="3" fillId="5" borderId="31" xfId="3" applyFont="1" applyFill="1" applyBorder="1" applyAlignment="1" applyProtection="1">
      <alignment vertical="center"/>
      <protection locked="0"/>
    </xf>
    <xf numFmtId="166" fontId="3" fillId="0" borderId="31" xfId="3" applyFont="1" applyFill="1" applyBorder="1" applyAlignment="1" applyProtection="1">
      <alignment vertical="center"/>
    </xf>
    <xf numFmtId="166" fontId="3" fillId="5" borderId="32" xfId="3" applyFont="1" applyFill="1" applyBorder="1" applyAlignment="1" applyProtection="1">
      <alignment vertical="center"/>
      <protection locked="0"/>
    </xf>
    <xf numFmtId="166" fontId="3" fillId="0" borderId="6" xfId="3" applyFont="1" applyFill="1" applyBorder="1" applyAlignment="1" applyProtection="1">
      <alignment vertical="center"/>
    </xf>
    <xf numFmtId="0" fontId="3" fillId="0" borderId="34" xfId="0" applyFont="1" applyBorder="1" applyAlignment="1">
      <alignment horizontal="left" vertical="center" wrapText="1"/>
    </xf>
    <xf numFmtId="49" fontId="72" fillId="0" borderId="39" xfId="0" quotePrefix="1" applyNumberFormat="1" applyFont="1" applyBorder="1" applyAlignment="1">
      <alignment horizontal="center" vertical="center"/>
    </xf>
    <xf numFmtId="49" fontId="72" fillId="0" borderId="40" xfId="0" quotePrefix="1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left" vertical="center" wrapText="1"/>
    </xf>
    <xf numFmtId="166" fontId="3" fillId="5" borderId="1" xfId="3" applyFont="1" applyFill="1" applyBorder="1" applyAlignment="1" applyProtection="1">
      <alignment vertical="center"/>
      <protection locked="0"/>
    </xf>
    <xf numFmtId="166" fontId="3" fillId="0" borderId="40" xfId="3" applyFont="1" applyFill="1" applyBorder="1" applyAlignment="1" applyProtection="1">
      <alignment vertical="center"/>
    </xf>
    <xf numFmtId="49" fontId="2" fillId="0" borderId="3" xfId="0" applyNumberFormat="1" applyFont="1" applyBorder="1" applyAlignment="1">
      <alignment horizontal="center" vertical="center"/>
    </xf>
    <xf numFmtId="4" fontId="44" fillId="0" borderId="38" xfId="0" applyNumberFormat="1" applyFont="1" applyBorder="1" applyAlignment="1">
      <alignment horizontal="center" vertical="center"/>
    </xf>
    <xf numFmtId="166" fontId="3" fillId="0" borderId="5" xfId="3" applyFont="1" applyFill="1" applyBorder="1" applyAlignment="1" applyProtection="1">
      <alignment vertical="center"/>
    </xf>
    <xf numFmtId="166" fontId="3" fillId="0" borderId="31" xfId="3" applyFont="1" applyFill="1" applyBorder="1" applyAlignment="1" applyProtection="1">
      <alignment vertical="center"/>
      <protection locked="0"/>
    </xf>
    <xf numFmtId="166" fontId="3" fillId="0" borderId="6" xfId="3" applyFont="1" applyFill="1" applyBorder="1" applyAlignment="1" applyProtection="1">
      <alignment vertical="center"/>
      <protection locked="0"/>
    </xf>
    <xf numFmtId="166" fontId="3" fillId="5" borderId="78" xfId="3" applyFont="1" applyFill="1" applyBorder="1" applyAlignment="1" applyProtection="1">
      <alignment vertical="center"/>
      <protection locked="0"/>
    </xf>
    <xf numFmtId="166" fontId="3" fillId="0" borderId="79" xfId="3" applyFont="1" applyFill="1" applyBorder="1" applyAlignment="1" applyProtection="1">
      <alignment vertical="center"/>
    </xf>
    <xf numFmtId="166" fontId="3" fillId="2" borderId="84" xfId="3" applyFont="1" applyFill="1" applyBorder="1" applyAlignment="1" applyProtection="1">
      <alignment vertical="center"/>
    </xf>
    <xf numFmtId="166" fontId="3" fillId="0" borderId="24" xfId="3" applyFont="1" applyFill="1" applyBorder="1" applyAlignment="1" applyProtection="1">
      <alignment vertical="center"/>
    </xf>
    <xf numFmtId="166" fontId="3" fillId="0" borderId="1" xfId="3" applyFont="1" applyFill="1" applyBorder="1" applyAlignment="1" applyProtection="1">
      <alignment vertical="center"/>
    </xf>
    <xf numFmtId="166" fontId="3" fillId="0" borderId="6" xfId="3" applyFont="1" applyFill="1" applyBorder="1" applyAlignment="1" applyProtection="1">
      <alignment horizontal="center" vertical="center"/>
    </xf>
    <xf numFmtId="166" fontId="3" fillId="0" borderId="0" xfId="3" applyFont="1"/>
    <xf numFmtId="166" fontId="3" fillId="0" borderId="25" xfId="3" applyFont="1" applyFill="1" applyBorder="1" applyAlignment="1" applyProtection="1">
      <alignment horizontal="center" vertical="center"/>
    </xf>
    <xf numFmtId="166" fontId="3" fillId="5" borderId="36" xfId="3" applyFont="1" applyFill="1" applyBorder="1" applyAlignment="1" applyProtection="1">
      <alignment vertical="center"/>
      <protection locked="0"/>
    </xf>
    <xf numFmtId="2" fontId="3" fillId="0" borderId="46" xfId="1" applyNumberFormat="1" applyFont="1" applyBorder="1" applyAlignment="1">
      <alignment horizontal="center" vertical="center" wrapText="1"/>
    </xf>
    <xf numFmtId="166" fontId="2" fillId="0" borderId="66" xfId="3" applyFont="1" applyBorder="1" applyAlignment="1" applyProtection="1">
      <alignment vertical="center"/>
    </xf>
    <xf numFmtId="166" fontId="2" fillId="0" borderId="62" xfId="3" applyFont="1" applyBorder="1" applyAlignment="1" applyProtection="1">
      <alignment vertical="center"/>
    </xf>
    <xf numFmtId="166" fontId="2" fillId="0" borderId="54" xfId="3" applyFont="1" applyBorder="1" applyAlignment="1" applyProtection="1">
      <alignment vertical="center"/>
    </xf>
    <xf numFmtId="166" fontId="3" fillId="0" borderId="4" xfId="3" applyFont="1" applyBorder="1" applyAlignment="1" applyProtection="1">
      <alignment vertical="center"/>
    </xf>
    <xf numFmtId="166" fontId="3" fillId="0" borderId="34" xfId="3" applyFont="1" applyBorder="1" applyAlignment="1" applyProtection="1">
      <alignment vertical="center"/>
    </xf>
    <xf numFmtId="166" fontId="3" fillId="0" borderId="47" xfId="3" applyFont="1" applyBorder="1" applyAlignment="1" applyProtection="1">
      <alignment vertical="center"/>
    </xf>
    <xf numFmtId="166" fontId="3" fillId="0" borderId="25" xfId="3" applyFont="1" applyFill="1" applyBorder="1" applyAlignment="1" applyProtection="1">
      <alignment vertical="center"/>
    </xf>
    <xf numFmtId="166" fontId="3" fillId="2" borderId="27" xfId="3" applyFont="1" applyFill="1" applyBorder="1" applyAlignment="1" applyProtection="1">
      <alignment vertical="center"/>
    </xf>
    <xf numFmtId="49" fontId="72" fillId="0" borderId="32" xfId="0" quotePrefix="1" applyNumberFormat="1" applyFont="1" applyBorder="1" applyAlignment="1" applyProtection="1">
      <alignment horizontal="center" vertical="center"/>
      <protection locked="0"/>
    </xf>
    <xf numFmtId="166" fontId="2" fillId="0" borderId="3" xfId="3" applyFont="1" applyBorder="1" applyAlignment="1" applyProtection="1">
      <alignment vertical="center"/>
    </xf>
    <xf numFmtId="166" fontId="2" fillId="0" borderId="28" xfId="3" applyFont="1" applyBorder="1" applyAlignment="1" applyProtection="1">
      <alignment vertical="center"/>
    </xf>
    <xf numFmtId="166" fontId="2" fillId="0" borderId="38" xfId="3" applyFont="1" applyBorder="1" applyAlignment="1" applyProtection="1">
      <alignment vertical="center"/>
    </xf>
    <xf numFmtId="166" fontId="2" fillId="0" borderId="29" xfId="3" applyFont="1" applyBorder="1" applyAlignment="1" applyProtection="1">
      <alignment vertical="center"/>
    </xf>
    <xf numFmtId="166" fontId="2" fillId="0" borderId="62" xfId="3" applyFont="1" applyFill="1" applyBorder="1" applyAlignment="1" applyProtection="1">
      <alignment vertical="center"/>
    </xf>
    <xf numFmtId="166" fontId="3" fillId="0" borderId="34" xfId="3" applyFont="1" applyFill="1" applyBorder="1" applyAlignment="1" applyProtection="1">
      <alignment vertical="center"/>
    </xf>
    <xf numFmtId="166" fontId="3" fillId="0" borderId="31" xfId="3" applyFont="1" applyBorder="1" applyAlignment="1" applyProtection="1">
      <alignment vertical="center"/>
      <protection locked="0"/>
    </xf>
    <xf numFmtId="166" fontId="2" fillId="0" borderId="54" xfId="3" applyFont="1" applyFill="1" applyBorder="1" applyAlignment="1" applyProtection="1">
      <alignment vertical="center"/>
    </xf>
    <xf numFmtId="166" fontId="2" fillId="0" borderId="12" xfId="3" applyFont="1" applyBorder="1" applyAlignment="1">
      <alignment vertical="center"/>
    </xf>
    <xf numFmtId="166" fontId="2" fillId="0" borderId="10" xfId="3" applyFont="1" applyBorder="1" applyAlignment="1">
      <alignment vertical="center"/>
    </xf>
    <xf numFmtId="49" fontId="72" fillId="0" borderId="32" xfId="0" quotePrefix="1" applyNumberFormat="1" applyFont="1" applyBorder="1" applyAlignment="1">
      <alignment horizontal="center" vertical="center" wrapText="1"/>
    </xf>
    <xf numFmtId="49" fontId="72" fillId="0" borderId="6" xfId="0" quotePrefix="1" applyNumberFormat="1" applyFont="1" applyBorder="1" applyAlignment="1">
      <alignment horizontal="center" vertical="center" wrapText="1"/>
    </xf>
    <xf numFmtId="0" fontId="72" fillId="0" borderId="32" xfId="0" quotePrefix="1" applyFont="1" applyBorder="1" applyAlignment="1">
      <alignment horizontal="center" vertical="center" wrapText="1"/>
    </xf>
    <xf numFmtId="0" fontId="72" fillId="0" borderId="6" xfId="0" quotePrefix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3" fillId="0" borderId="28" xfId="0" applyFont="1" applyBorder="1" applyAlignment="1">
      <alignment horizontal="center" vertical="center"/>
    </xf>
    <xf numFmtId="183" fontId="73" fillId="20" borderId="8" xfId="0" applyNumberFormat="1" applyFont="1" applyFill="1" applyBorder="1" applyAlignment="1" applyProtection="1">
      <alignment horizontal="center" vertical="center"/>
      <protection locked="0"/>
    </xf>
    <xf numFmtId="0" fontId="2" fillId="5" borderId="20" xfId="0" applyFont="1" applyFill="1" applyBorder="1" applyAlignment="1" applyProtection="1">
      <alignment horizontal="left" vertical="center"/>
      <protection locked="0"/>
    </xf>
    <xf numFmtId="0" fontId="2" fillId="5" borderId="62" xfId="0" applyFont="1" applyFill="1" applyBorder="1" applyAlignment="1" applyProtection="1">
      <alignment horizontal="left" vertical="center"/>
      <protection locked="0"/>
    </xf>
    <xf numFmtId="184" fontId="77" fillId="0" borderId="6" xfId="4" applyNumberFormat="1" applyFont="1" applyBorder="1" applyAlignment="1">
      <alignment vertical="center"/>
    </xf>
    <xf numFmtId="1" fontId="57" fillId="0" borderId="36" xfId="0" applyNumberFormat="1" applyFont="1" applyBorder="1" applyAlignment="1">
      <alignment horizontal="left" vertical="center"/>
    </xf>
    <xf numFmtId="0" fontId="57" fillId="0" borderId="31" xfId="0" applyFont="1" applyBorder="1" applyAlignment="1">
      <alignment horizontal="left" vertical="center"/>
    </xf>
    <xf numFmtId="0" fontId="57" fillId="0" borderId="127" xfId="0" applyFont="1" applyBorder="1" applyAlignment="1">
      <alignment horizontal="center" vertical="center"/>
    </xf>
    <xf numFmtId="1" fontId="58" fillId="2" borderId="32" xfId="0" applyNumberFormat="1" applyFont="1" applyFill="1" applyBorder="1" applyAlignment="1">
      <alignment vertical="center" shrinkToFit="1"/>
    </xf>
    <xf numFmtId="0" fontId="4" fillId="0" borderId="6" xfId="0" applyFont="1" applyBorder="1" applyAlignment="1">
      <alignment vertical="center" wrapText="1"/>
    </xf>
    <xf numFmtId="0" fontId="4" fillId="0" borderId="7" xfId="0" applyFont="1" applyBorder="1" applyAlignment="1">
      <alignment horizontal="center" vertical="center" wrapText="1"/>
    </xf>
    <xf numFmtId="4" fontId="58" fillId="2" borderId="32" xfId="0" applyNumberFormat="1" applyFont="1" applyFill="1" applyBorder="1" applyAlignment="1">
      <alignment horizontal="right" vertical="center" shrinkToFit="1"/>
    </xf>
    <xf numFmtId="4" fontId="58" fillId="2" borderId="6" xfId="0" applyNumberFormat="1" applyFont="1" applyFill="1" applyBorder="1" applyAlignment="1">
      <alignment horizontal="right" vertical="center" shrinkToFit="1"/>
    </xf>
    <xf numFmtId="4" fontId="58" fillId="2" borderId="7" xfId="0" applyNumberFormat="1" applyFont="1" applyFill="1" applyBorder="1" applyAlignment="1">
      <alignment horizontal="right" vertical="center" shrinkToFit="1"/>
    </xf>
    <xf numFmtId="1" fontId="58" fillId="2" borderId="44" xfId="0" applyNumberFormat="1" applyFont="1" applyFill="1" applyBorder="1" applyAlignment="1">
      <alignment vertical="center" shrinkToFit="1"/>
    </xf>
    <xf numFmtId="1" fontId="58" fillId="2" borderId="27" xfId="0" applyNumberFormat="1" applyFont="1" applyFill="1" applyBorder="1" applyAlignment="1">
      <alignment vertical="center" shrinkToFit="1"/>
    </xf>
    <xf numFmtId="0" fontId="4" fillId="0" borderId="25" xfId="0" applyFont="1" applyBorder="1" applyAlignment="1">
      <alignment vertical="center" wrapText="1"/>
    </xf>
    <xf numFmtId="0" fontId="4" fillId="0" borderId="183" xfId="0" applyFont="1" applyBorder="1" applyAlignment="1">
      <alignment horizontal="center" vertical="center" wrapText="1"/>
    </xf>
    <xf numFmtId="4" fontId="58" fillId="2" borderId="27" xfId="0" applyNumberFormat="1" applyFont="1" applyFill="1" applyBorder="1" applyAlignment="1">
      <alignment horizontal="right" vertical="center" shrinkToFit="1"/>
    </xf>
    <xf numFmtId="4" fontId="58" fillId="2" borderId="25" xfId="0" applyNumberFormat="1" applyFont="1" applyFill="1" applyBorder="1" applyAlignment="1">
      <alignment horizontal="right" vertical="center" shrinkToFit="1"/>
    </xf>
    <xf numFmtId="4" fontId="58" fillId="2" borderId="183" xfId="0" applyNumberFormat="1" applyFont="1" applyFill="1" applyBorder="1" applyAlignment="1">
      <alignment horizontal="right" vertical="center" shrinkToFit="1"/>
    </xf>
    <xf numFmtId="4" fontId="58" fillId="0" borderId="6" xfId="0" applyNumberFormat="1" applyFont="1" applyBorder="1" applyAlignment="1">
      <alignment horizontal="right" vertical="center" shrinkToFit="1"/>
    </xf>
    <xf numFmtId="4" fontId="58" fillId="0" borderId="7" xfId="0" applyNumberFormat="1" applyFont="1" applyBorder="1" applyAlignment="1">
      <alignment horizontal="right" vertical="center" shrinkToFit="1"/>
    </xf>
    <xf numFmtId="4" fontId="58" fillId="0" borderId="25" xfId="0" applyNumberFormat="1" applyFont="1" applyBorder="1" applyAlignment="1">
      <alignment horizontal="right" vertical="center" shrinkToFit="1"/>
    </xf>
    <xf numFmtId="4" fontId="58" fillId="0" borderId="183" xfId="0" applyNumberFormat="1" applyFont="1" applyBorder="1" applyAlignment="1">
      <alignment horizontal="right" vertical="center" shrinkToFit="1"/>
    </xf>
    <xf numFmtId="0" fontId="0" fillId="0" borderId="6" xfId="0" applyBorder="1"/>
    <xf numFmtId="0" fontId="57" fillId="0" borderId="6" xfId="0" applyFont="1" applyBorder="1" applyAlignment="1">
      <alignment horizontal="center" vertical="center" wrapText="1"/>
    </xf>
    <xf numFmtId="0" fontId="57" fillId="0" borderId="36" xfId="0" applyFont="1" applyBorder="1" applyAlignment="1">
      <alignment horizontal="center" vertical="center" wrapText="1"/>
    </xf>
    <xf numFmtId="0" fontId="57" fillId="0" borderId="31" xfId="0" applyFont="1" applyBorder="1" applyAlignment="1">
      <alignment horizontal="center" vertical="center" wrapText="1"/>
    </xf>
    <xf numFmtId="17" fontId="57" fillId="0" borderId="31" xfId="0" applyNumberFormat="1" applyFont="1" applyBorder="1" applyAlignment="1">
      <alignment horizontal="center" vertical="center" wrapText="1"/>
    </xf>
    <xf numFmtId="17" fontId="57" fillId="0" borderId="127" xfId="0" applyNumberFormat="1" applyFont="1" applyBorder="1" applyAlignment="1">
      <alignment horizontal="center" vertical="center" wrapText="1"/>
    </xf>
    <xf numFmtId="17" fontId="45" fillId="0" borderId="7" xfId="0" applyNumberFormat="1" applyFont="1" applyBorder="1" applyAlignment="1">
      <alignment vertical="center"/>
    </xf>
    <xf numFmtId="17" fontId="45" fillId="0" borderId="62" xfId="0" applyNumberFormat="1" applyFont="1" applyBorder="1" applyAlignment="1">
      <alignment horizontal="left" vertical="center"/>
    </xf>
    <xf numFmtId="0" fontId="0" fillId="0" borderId="62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44" xfId="0" applyBorder="1" applyAlignment="1">
      <alignment vertical="center"/>
    </xf>
    <xf numFmtId="0" fontId="4" fillId="0" borderId="3" xfId="5" applyFont="1" applyBorder="1" applyAlignment="1">
      <alignment horizontal="left" vertical="center"/>
    </xf>
    <xf numFmtId="0" fontId="6" fillId="0" borderId="28" xfId="5" applyFont="1" applyBorder="1" applyAlignment="1">
      <alignment horizontal="right" vertical="center"/>
    </xf>
    <xf numFmtId="0" fontId="4" fillId="0" borderId="3" xfId="14" applyBorder="1" applyAlignment="1" applyProtection="1">
      <alignment vertical="center"/>
      <protection locked="0"/>
    </xf>
    <xf numFmtId="0" fontId="4" fillId="0" borderId="28" xfId="14" applyBorder="1" applyProtection="1">
      <protection locked="0"/>
    </xf>
    <xf numFmtId="0" fontId="6" fillId="0" borderId="38" xfId="5" applyFont="1" applyBorder="1" applyAlignment="1">
      <alignment horizontal="right" vertical="center"/>
    </xf>
    <xf numFmtId="0" fontId="6" fillId="0" borderId="12" xfId="14" applyFont="1" applyBorder="1" applyAlignment="1">
      <alignment horizontal="left" vertical="top"/>
    </xf>
    <xf numFmtId="0" fontId="6" fillId="0" borderId="10" xfId="14" applyFont="1" applyBorder="1"/>
    <xf numFmtId="0" fontId="6" fillId="0" borderId="157" xfId="14" applyFont="1" applyBorder="1"/>
    <xf numFmtId="0" fontId="6" fillId="0" borderId="10" xfId="14" applyFont="1" applyBorder="1" applyAlignment="1">
      <alignment horizontal="left"/>
    </xf>
    <xf numFmtId="0" fontId="6" fillId="0" borderId="10" xfId="14" applyFont="1" applyBorder="1" applyAlignment="1">
      <alignment horizontal="centerContinuous" vertical="center"/>
    </xf>
    <xf numFmtId="0" fontId="6" fillId="0" borderId="13" xfId="14" applyFont="1" applyBorder="1"/>
    <xf numFmtId="0" fontId="4" fillId="0" borderId="16" xfId="14" applyBorder="1" applyAlignment="1">
      <alignment horizontal="centerContinuous" vertical="center"/>
    </xf>
    <xf numFmtId="14" fontId="4" fillId="0" borderId="11" xfId="14" applyNumberFormat="1" applyBorder="1" applyAlignment="1">
      <alignment horizontal="center" vertical="center"/>
    </xf>
    <xf numFmtId="0" fontId="4" fillId="0" borderId="158" xfId="14" applyBorder="1"/>
    <xf numFmtId="0" fontId="4" fillId="0" borderId="11" xfId="14" applyBorder="1" applyAlignment="1">
      <alignment horizontal="centerContinuous" vertical="center" wrapText="1"/>
    </xf>
    <xf numFmtId="0" fontId="4" fillId="0" borderId="11" xfId="14" applyBorder="1" applyAlignment="1">
      <alignment vertical="center"/>
    </xf>
    <xf numFmtId="17" fontId="4" fillId="0" borderId="17" xfId="14" applyNumberFormat="1" applyBorder="1" applyAlignment="1">
      <alignment horizontal="center" vertical="center"/>
    </xf>
    <xf numFmtId="0" fontId="4" fillId="0" borderId="38" xfId="14" applyBorder="1" applyAlignment="1" applyProtection="1">
      <alignment horizontal="centerContinuous" vertical="center"/>
      <protection locked="0"/>
    </xf>
    <xf numFmtId="183" fontId="74" fillId="0" borderId="3" xfId="0" applyNumberFormat="1" applyFont="1" applyBorder="1" applyAlignment="1">
      <alignment horizontal="centerContinuous" vertical="center"/>
    </xf>
    <xf numFmtId="166" fontId="6" fillId="4" borderId="38" xfId="3" applyFont="1" applyFill="1" applyBorder="1"/>
    <xf numFmtId="166" fontId="6" fillId="4" borderId="38" xfId="3" applyFont="1" applyFill="1" applyBorder="1" applyAlignment="1">
      <alignment vertical="center"/>
    </xf>
    <xf numFmtId="166" fontId="3" fillId="3" borderId="6" xfId="3" applyFont="1" applyFill="1" applyBorder="1"/>
    <xf numFmtId="166" fontId="3" fillId="3" borderId="141" xfId="3" applyFont="1" applyFill="1" applyBorder="1" applyProtection="1">
      <protection locked="0"/>
    </xf>
    <xf numFmtId="166" fontId="3" fillId="3" borderId="62" xfId="3" applyFont="1" applyFill="1" applyBorder="1"/>
    <xf numFmtId="166" fontId="3" fillId="3" borderId="62" xfId="3" applyFont="1" applyFill="1" applyBorder="1" applyProtection="1">
      <protection locked="0"/>
    </xf>
    <xf numFmtId="166" fontId="3" fillId="3" borderId="31" xfId="3" applyFont="1" applyFill="1" applyBorder="1"/>
    <xf numFmtId="166" fontId="3" fillId="3" borderId="142" xfId="3" applyFont="1" applyFill="1" applyBorder="1" applyProtection="1">
      <protection locked="0"/>
    </xf>
    <xf numFmtId="166" fontId="3" fillId="3" borderId="101" xfId="3" applyFont="1" applyFill="1" applyBorder="1"/>
    <xf numFmtId="166" fontId="3" fillId="3" borderId="129" xfId="3" applyFont="1" applyFill="1" applyBorder="1"/>
    <xf numFmtId="166" fontId="3" fillId="3" borderId="9" xfId="3" applyFont="1" applyFill="1" applyBorder="1"/>
    <xf numFmtId="166" fontId="38" fillId="3" borderId="146" xfId="3" applyFont="1" applyFill="1" applyBorder="1"/>
    <xf numFmtId="166" fontId="38" fillId="3" borderId="144" xfId="3" applyFont="1" applyFill="1" applyBorder="1"/>
    <xf numFmtId="166" fontId="38" fillId="3" borderId="1" xfId="3" applyFont="1" applyFill="1" applyBorder="1"/>
    <xf numFmtId="166" fontId="38" fillId="3" borderId="145" xfId="3" applyFont="1" applyFill="1" applyBorder="1" applyProtection="1">
      <protection locked="0"/>
    </xf>
    <xf numFmtId="166" fontId="43" fillId="0" borderId="129" xfId="3" applyFont="1" applyBorder="1" applyAlignment="1">
      <alignment horizontal="right"/>
    </xf>
    <xf numFmtId="166" fontId="41" fillId="3" borderId="47" xfId="3" applyFont="1" applyFill="1" applyBorder="1"/>
    <xf numFmtId="166" fontId="3" fillId="3" borderId="131" xfId="3" applyFont="1" applyFill="1" applyBorder="1"/>
    <xf numFmtId="166" fontId="3" fillId="3" borderId="132" xfId="3" applyFont="1" applyFill="1" applyBorder="1"/>
    <xf numFmtId="166" fontId="38" fillId="3" borderId="135" xfId="3" applyFont="1" applyFill="1" applyBorder="1"/>
    <xf numFmtId="166" fontId="38" fillId="3" borderId="136" xfId="3" applyFont="1" applyFill="1" applyBorder="1"/>
    <xf numFmtId="166" fontId="38" fillId="3" borderId="113" xfId="3" applyFont="1" applyFill="1" applyBorder="1"/>
    <xf numFmtId="4" fontId="72" fillId="0" borderId="54" xfId="0" applyNumberFormat="1" applyFont="1" applyBorder="1" applyAlignment="1">
      <alignment horizontal="center" vertical="center"/>
    </xf>
    <xf numFmtId="0" fontId="72" fillId="0" borderId="6" xfId="0" applyFont="1" applyBorder="1" applyAlignment="1" applyProtection="1">
      <alignment horizontal="center" vertical="center"/>
      <protection locked="0"/>
    </xf>
    <xf numFmtId="0" fontId="72" fillId="0" borderId="66" xfId="0" applyFont="1" applyBorder="1" applyAlignment="1">
      <alignment horizontal="center" vertical="center" wrapText="1"/>
    </xf>
    <xf numFmtId="0" fontId="3" fillId="0" borderId="0" xfId="0" quotePrefix="1" applyFont="1"/>
    <xf numFmtId="0" fontId="28" fillId="0" borderId="0" xfId="0" applyFont="1" applyAlignment="1">
      <alignment vertical="center"/>
    </xf>
    <xf numFmtId="166" fontId="75" fillId="0" borderId="0" xfId="3" applyFont="1"/>
    <xf numFmtId="166" fontId="75" fillId="0" borderId="0" xfId="3" applyFont="1" applyAlignment="1">
      <alignment horizontal="right"/>
    </xf>
    <xf numFmtId="166" fontId="75" fillId="0" borderId="0" xfId="3" applyFont="1" applyAlignment="1">
      <alignment horizontal="center"/>
    </xf>
    <xf numFmtId="166" fontId="51" fillId="0" borderId="0" xfId="3" applyFont="1"/>
    <xf numFmtId="166" fontId="51" fillId="0" borderId="0" xfId="3" applyFont="1" applyAlignment="1">
      <alignment horizontal="right"/>
    </xf>
    <xf numFmtId="166" fontId="51" fillId="0" borderId="0" xfId="3" applyFont="1" applyAlignment="1">
      <alignment horizontal="center"/>
    </xf>
    <xf numFmtId="181" fontId="61" fillId="19" borderId="0" xfId="0" applyNumberFormat="1" applyFont="1" applyFill="1" applyAlignment="1">
      <alignment horizontal="center" vertical="center" wrapText="1"/>
    </xf>
    <xf numFmtId="0" fontId="87" fillId="24" borderId="12" xfId="1" applyFont="1" applyFill="1" applyBorder="1" applyAlignment="1">
      <alignment vertical="center"/>
    </xf>
    <xf numFmtId="0" fontId="87" fillId="24" borderId="10" xfId="1" applyFont="1" applyFill="1" applyBorder="1" applyAlignment="1">
      <alignment vertical="center"/>
    </xf>
    <xf numFmtId="0" fontId="72" fillId="24" borderId="10" xfId="0" applyFont="1" applyFill="1" applyBorder="1" applyAlignment="1">
      <alignment vertical="top" wrapText="1"/>
    </xf>
    <xf numFmtId="0" fontId="72" fillId="24" borderId="13" xfId="0" applyFont="1" applyFill="1" applyBorder="1" applyAlignment="1">
      <alignment vertical="top" wrapText="1"/>
    </xf>
    <xf numFmtId="0" fontId="72" fillId="24" borderId="76" xfId="1" applyFont="1" applyFill="1" applyBorder="1" applyAlignment="1">
      <alignment vertical="center"/>
    </xf>
    <xf numFmtId="0" fontId="87" fillId="24" borderId="67" xfId="1" applyFont="1" applyFill="1" applyBorder="1" applyAlignment="1">
      <alignment vertical="center"/>
    </xf>
    <xf numFmtId="0" fontId="72" fillId="24" borderId="67" xfId="0" applyFont="1" applyFill="1" applyBorder="1" applyAlignment="1">
      <alignment vertical="top" wrapText="1"/>
    </xf>
    <xf numFmtId="0" fontId="72" fillId="24" borderId="52" xfId="0" applyFont="1" applyFill="1" applyBorder="1" applyAlignment="1">
      <alignment vertical="top" wrapText="1"/>
    </xf>
    <xf numFmtId="0" fontId="72" fillId="24" borderId="16" xfId="1" applyFont="1" applyFill="1" applyBorder="1" applyAlignment="1">
      <alignment vertical="center"/>
    </xf>
    <xf numFmtId="0" fontId="87" fillId="24" borderId="11" xfId="1" applyFont="1" applyFill="1" applyBorder="1" applyAlignment="1">
      <alignment vertical="center"/>
    </xf>
    <xf numFmtId="0" fontId="72" fillId="24" borderId="11" xfId="0" applyFont="1" applyFill="1" applyBorder="1" applyAlignment="1">
      <alignment vertical="top" wrapText="1"/>
    </xf>
    <xf numFmtId="0" fontId="72" fillId="24" borderId="17" xfId="0" applyFont="1" applyFill="1" applyBorder="1" applyAlignment="1">
      <alignment vertical="top" wrapText="1"/>
    </xf>
    <xf numFmtId="169" fontId="72" fillId="0" borderId="34" xfId="1" applyNumberFormat="1" applyFont="1" applyBorder="1" applyAlignment="1">
      <alignment horizontal="center" vertical="center"/>
    </xf>
    <xf numFmtId="169" fontId="72" fillId="0" borderId="83" xfId="1" applyNumberFormat="1" applyFont="1" applyBorder="1" applyAlignment="1">
      <alignment horizontal="center" vertical="center"/>
    </xf>
    <xf numFmtId="0" fontId="74" fillId="2" borderId="16" xfId="5" applyFont="1" applyFill="1" applyBorder="1" applyAlignment="1">
      <alignment horizontal="center" vertical="center"/>
    </xf>
    <xf numFmtId="0" fontId="24" fillId="2" borderId="12" xfId="5" applyFont="1" applyFill="1" applyBorder="1" applyAlignment="1">
      <alignment horizontal="center"/>
    </xf>
    <xf numFmtId="169" fontId="3" fillId="0" borderId="166" xfId="5" applyNumberFormat="1" applyBorder="1" applyAlignment="1">
      <alignment horizontal="left"/>
    </xf>
    <xf numFmtId="0" fontId="88" fillId="24" borderId="6" xfId="0" applyFont="1" applyFill="1" applyBorder="1" applyAlignment="1" applyProtection="1">
      <alignment horizontal="center" vertical="center"/>
      <protection locked="0"/>
    </xf>
    <xf numFmtId="169" fontId="3" fillId="20" borderId="54" xfId="1" applyNumberFormat="1" applyFont="1" applyFill="1" applyBorder="1" applyAlignment="1" applyProtection="1">
      <alignment horizontal="center" vertical="center"/>
      <protection locked="0"/>
    </xf>
    <xf numFmtId="166" fontId="72" fillId="0" borderId="6" xfId="16" applyFont="1" applyBorder="1" applyAlignment="1" applyProtection="1">
      <alignment vertical="center" wrapText="1"/>
    </xf>
    <xf numFmtId="183" fontId="74" fillId="0" borderId="29" xfId="0" applyNumberFormat="1" applyFont="1" applyBorder="1" applyAlignment="1">
      <alignment horizontal="center" vertical="center"/>
    </xf>
    <xf numFmtId="0" fontId="2" fillId="20" borderId="8" xfId="0" applyFont="1" applyFill="1" applyBorder="1" applyAlignment="1" applyProtection="1">
      <alignment horizontal="left"/>
      <protection locked="0"/>
    </xf>
    <xf numFmtId="169" fontId="9" fillId="20" borderId="6" xfId="1" applyNumberFormat="1" applyFont="1" applyFill="1" applyBorder="1" applyAlignment="1" applyProtection="1">
      <alignment horizontal="center"/>
      <protection locked="0"/>
    </xf>
    <xf numFmtId="1" fontId="9" fillId="20" borderId="6" xfId="1" applyNumberFormat="1" applyFont="1" applyFill="1" applyBorder="1" applyAlignment="1" applyProtection="1">
      <alignment horizontal="center"/>
      <protection locked="0"/>
    </xf>
    <xf numFmtId="2" fontId="7" fillId="20" borderId="0" xfId="0" applyNumberFormat="1" applyFont="1" applyFill="1" applyAlignment="1" applyProtection="1">
      <alignment horizontal="center"/>
      <protection locked="0"/>
    </xf>
    <xf numFmtId="168" fontId="7" fillId="20" borderId="0" xfId="0" applyNumberFormat="1" applyFont="1" applyFill="1" applyAlignment="1" applyProtection="1">
      <alignment horizontal="center"/>
      <protection locked="0"/>
    </xf>
    <xf numFmtId="2" fontId="9" fillId="20" borderId="0" xfId="0" applyNumberFormat="1" applyFont="1" applyFill="1" applyAlignment="1" applyProtection="1">
      <alignment horizontal="center"/>
      <protection locked="0"/>
    </xf>
    <xf numFmtId="0" fontId="9" fillId="20" borderId="0" xfId="0" applyFont="1" applyFill="1" applyProtection="1">
      <protection locked="0"/>
    </xf>
    <xf numFmtId="0" fontId="9" fillId="20" borderId="0" xfId="0" applyFont="1" applyFill="1" applyAlignment="1" applyProtection="1">
      <alignment horizontal="center"/>
      <protection locked="0"/>
    </xf>
    <xf numFmtId="1" fontId="9" fillId="20" borderId="7" xfId="1" applyNumberFormat="1" applyFont="1" applyFill="1" applyBorder="1" applyAlignment="1" applyProtection="1">
      <alignment horizontal="center"/>
      <protection locked="0"/>
    </xf>
    <xf numFmtId="0" fontId="2" fillId="20" borderId="9" xfId="0" applyFont="1" applyFill="1" applyBorder="1" applyAlignment="1">
      <alignment horizontal="left"/>
    </xf>
    <xf numFmtId="0" fontId="4" fillId="20" borderId="47" xfId="0" applyFont="1" applyFill="1" applyBorder="1" applyAlignment="1" applyProtection="1">
      <alignment horizontal="left" vertical="center" wrapText="1"/>
      <protection locked="0"/>
    </xf>
    <xf numFmtId="0" fontId="3" fillId="3" borderId="46" xfId="14" applyFont="1" applyFill="1" applyBorder="1" applyAlignment="1" applyProtection="1">
      <alignment horizontal="center"/>
      <protection locked="0"/>
    </xf>
    <xf numFmtId="0" fontId="6" fillId="0" borderId="182" xfId="0" applyFont="1" applyBorder="1" applyAlignment="1">
      <alignment horizontal="left" vertical="center" wrapText="1"/>
    </xf>
    <xf numFmtId="0" fontId="56" fillId="0" borderId="182" xfId="0" applyFont="1" applyBorder="1" applyAlignment="1">
      <alignment horizontal="left" vertical="center" wrapText="1"/>
    </xf>
    <xf numFmtId="0" fontId="4" fillId="0" borderId="0" xfId="7" applyFont="1" applyAlignment="1">
      <alignment horizontal="justify" vertical="center" wrapText="1"/>
    </xf>
    <xf numFmtId="0" fontId="4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6" fillId="0" borderId="3" xfId="7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" xfId="7" quotePrefix="1" applyFont="1" applyBorder="1" applyAlignment="1">
      <alignment horizontal="left" vertical="center"/>
    </xf>
    <xf numFmtId="0" fontId="6" fillId="0" borderId="28" xfId="7" applyFont="1" applyBorder="1" applyAlignment="1">
      <alignment horizontal="left" vertical="center"/>
    </xf>
    <xf numFmtId="0" fontId="3" fillId="0" borderId="38" xfId="5" applyBorder="1" applyAlignment="1">
      <alignment horizontal="left" vertical="center"/>
    </xf>
    <xf numFmtId="0" fontId="24" fillId="0" borderId="3" xfId="7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27" fillId="0" borderId="21" xfId="7" applyFont="1" applyBorder="1" applyAlignment="1">
      <alignment horizontal="center" vertical="center" wrapText="1"/>
    </xf>
    <xf numFmtId="0" fontId="27" fillId="0" borderId="4" xfId="7" applyFont="1" applyBorder="1" applyAlignment="1">
      <alignment horizontal="center" vertical="center" wrapText="1"/>
    </xf>
    <xf numFmtId="0" fontId="0" fillId="0" borderId="26" xfId="0" applyBorder="1" applyAlignment="1">
      <alignment vertical="center" wrapText="1"/>
    </xf>
    <xf numFmtId="0" fontId="6" fillId="0" borderId="12" xfId="7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6" fillId="0" borderId="21" xfId="7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50" fillId="0" borderId="12" xfId="7" applyFont="1" applyBorder="1" applyAlignment="1">
      <alignment horizontal="left" vertical="center" wrapText="1"/>
    </xf>
    <xf numFmtId="0" fontId="50" fillId="0" borderId="10" xfId="7" applyFont="1" applyBorder="1" applyAlignment="1">
      <alignment horizontal="left" vertical="center" wrapText="1"/>
    </xf>
    <xf numFmtId="0" fontId="50" fillId="0" borderId="13" xfId="7" applyFont="1" applyBorder="1" applyAlignment="1">
      <alignment horizontal="left" vertical="center" wrapText="1"/>
    </xf>
    <xf numFmtId="0" fontId="50" fillId="0" borderId="14" xfId="7" applyFont="1" applyBorder="1" applyAlignment="1">
      <alignment horizontal="left" vertical="center" wrapText="1"/>
    </xf>
    <xf numFmtId="0" fontId="50" fillId="0" borderId="0" xfId="7" applyFont="1" applyAlignment="1">
      <alignment horizontal="left" vertical="center" wrapText="1"/>
    </xf>
    <xf numFmtId="0" fontId="50" fillId="0" borderId="15" xfId="7" applyFont="1" applyBorder="1" applyAlignment="1">
      <alignment horizontal="left" vertical="center" wrapText="1"/>
    </xf>
    <xf numFmtId="0" fontId="50" fillId="0" borderId="16" xfId="7" applyFont="1" applyBorder="1" applyAlignment="1">
      <alignment horizontal="left" vertical="center" wrapText="1"/>
    </xf>
    <xf numFmtId="0" fontId="50" fillId="0" borderId="11" xfId="7" applyFont="1" applyBorder="1" applyAlignment="1">
      <alignment horizontal="left" vertical="center" wrapText="1"/>
    </xf>
    <xf numFmtId="0" fontId="50" fillId="0" borderId="17" xfId="7" applyFont="1" applyBorder="1" applyAlignment="1">
      <alignment horizontal="left" vertical="center" wrapText="1"/>
    </xf>
    <xf numFmtId="0" fontId="6" fillId="0" borderId="28" xfId="7" applyFont="1" applyBorder="1" applyAlignment="1">
      <alignment horizontal="center" vertical="center" wrapText="1"/>
    </xf>
    <xf numFmtId="0" fontId="6" fillId="0" borderId="38" xfId="7" applyFont="1" applyBorder="1" applyAlignment="1">
      <alignment horizontal="center" vertical="center" wrapText="1"/>
    </xf>
    <xf numFmtId="0" fontId="6" fillId="0" borderId="21" xfId="7" applyFont="1" applyBorder="1" applyAlignment="1">
      <alignment vertical="center" wrapText="1"/>
    </xf>
    <xf numFmtId="0" fontId="6" fillId="0" borderId="26" xfId="0" applyFont="1" applyBorder="1" applyAlignment="1">
      <alignment vertical="center" wrapText="1"/>
    </xf>
    <xf numFmtId="0" fontId="7" fillId="0" borderId="48" xfId="14" applyFont="1" applyBorder="1" applyAlignment="1">
      <alignment horizontal="center" vertical="center" textRotation="90"/>
    </xf>
    <xf numFmtId="0" fontId="7" fillId="0" borderId="181" xfId="14" applyFont="1" applyBorder="1" applyAlignment="1">
      <alignment horizontal="center" vertical="center" textRotation="90"/>
    </xf>
    <xf numFmtId="0" fontId="7" fillId="0" borderId="84" xfId="14" applyFont="1" applyBorder="1" applyAlignment="1">
      <alignment horizontal="center" vertical="center" textRotation="90"/>
    </xf>
    <xf numFmtId="0" fontId="7" fillId="0" borderId="48" xfId="14" applyFont="1" applyBorder="1" applyAlignment="1">
      <alignment horizontal="center" vertical="center" textRotation="90" wrapText="1"/>
    </xf>
    <xf numFmtId="0" fontId="7" fillId="0" borderId="181" xfId="14" applyFont="1" applyBorder="1" applyAlignment="1">
      <alignment horizontal="center" vertical="center" textRotation="90" wrapText="1"/>
    </xf>
    <xf numFmtId="0" fontId="7" fillId="0" borderId="84" xfId="14" applyFont="1" applyBorder="1" applyAlignment="1">
      <alignment horizontal="center" vertical="center" textRotation="90" wrapText="1"/>
    </xf>
    <xf numFmtId="0" fontId="6" fillId="0" borderId="48" xfId="14" applyFont="1" applyBorder="1" applyAlignment="1">
      <alignment horizontal="center" vertical="center" textRotation="90" wrapText="1"/>
    </xf>
    <xf numFmtId="0" fontId="6" fillId="0" borderId="181" xfId="14" applyFont="1" applyBorder="1" applyAlignment="1">
      <alignment horizontal="center" vertical="center" textRotation="90" wrapText="1"/>
    </xf>
    <xf numFmtId="0" fontId="6" fillId="0" borderId="84" xfId="14" applyFont="1" applyBorder="1" applyAlignment="1">
      <alignment horizontal="center" vertical="center" textRotation="90" wrapText="1"/>
    </xf>
    <xf numFmtId="2" fontId="6" fillId="0" borderId="3" xfId="0" applyNumberFormat="1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75" fillId="22" borderId="0" xfId="0" applyFont="1" applyFill="1" applyAlignment="1">
      <alignment horizontal="center" vertical="center" wrapText="1"/>
    </xf>
    <xf numFmtId="0" fontId="2" fillId="24" borderId="40" xfId="0" applyFont="1" applyFill="1" applyBorder="1" applyAlignment="1">
      <alignment horizontal="center" vertical="center" wrapText="1"/>
    </xf>
    <xf numFmtId="0" fontId="2" fillId="24" borderId="31" xfId="0" applyFont="1" applyFill="1" applyBorder="1" applyAlignment="1">
      <alignment horizontal="center" vertical="center" wrapText="1"/>
    </xf>
    <xf numFmtId="0" fontId="77" fillId="23" borderId="7" xfId="5" applyFont="1" applyFill="1" applyBorder="1" applyAlignment="1">
      <alignment horizontal="center" vertical="center" wrapText="1"/>
    </xf>
    <xf numFmtId="0" fontId="77" fillId="23" borderId="44" xfId="5" applyFont="1" applyFill="1" applyBorder="1" applyAlignment="1">
      <alignment horizontal="center" vertical="center" wrapText="1"/>
    </xf>
    <xf numFmtId="0" fontId="27" fillId="0" borderId="10" xfId="14" applyFont="1" applyBorder="1" applyAlignment="1">
      <alignment vertical="center"/>
    </xf>
    <xf numFmtId="0" fontId="27" fillId="0" borderId="0" xfId="14" applyFont="1" applyAlignment="1">
      <alignment vertical="center"/>
    </xf>
    <xf numFmtId="0" fontId="27" fillId="0" borderId="11" xfId="14" applyFont="1" applyBorder="1" applyAlignment="1">
      <alignment vertical="center"/>
    </xf>
    <xf numFmtId="10" fontId="27" fillId="0" borderId="13" xfId="14" applyNumberFormat="1" applyFont="1" applyBorder="1" applyAlignment="1">
      <alignment horizontal="left" vertical="center"/>
    </xf>
    <xf numFmtId="0" fontId="27" fillId="0" borderId="15" xfId="14" applyFont="1" applyBorder="1" applyAlignment="1">
      <alignment horizontal="left" vertical="center"/>
    </xf>
    <xf numFmtId="0" fontId="27" fillId="0" borderId="17" xfId="14" applyFont="1" applyBorder="1" applyAlignment="1">
      <alignment horizontal="left" vertical="center"/>
    </xf>
    <xf numFmtId="10" fontId="27" fillId="0" borderId="87" xfId="17" applyNumberFormat="1" applyFont="1" applyBorder="1" applyAlignment="1" applyProtection="1">
      <alignment horizontal="center" vertical="center"/>
    </xf>
    <xf numFmtId="10" fontId="27" fillId="0" borderId="91" xfId="17" applyNumberFormat="1" applyFont="1" applyBorder="1" applyAlignment="1" applyProtection="1">
      <alignment horizontal="center" vertical="center"/>
    </xf>
    <xf numFmtId="172" fontId="27" fillId="13" borderId="28" xfId="16" applyNumberFormat="1" applyFont="1" applyFill="1" applyBorder="1" applyAlignment="1" applyProtection="1">
      <alignment horizontal="center" vertical="center"/>
      <protection locked="0"/>
    </xf>
    <xf numFmtId="172" fontId="4" fillId="0" borderId="28" xfId="14" applyNumberFormat="1" applyBorder="1" applyAlignment="1" applyProtection="1">
      <alignment horizontal="center" vertical="center"/>
      <protection locked="0"/>
    </xf>
    <xf numFmtId="172" fontId="4" fillId="0" borderId="38" xfId="14" applyNumberFormat="1" applyBorder="1" applyAlignment="1" applyProtection="1">
      <alignment horizontal="center" vertical="center"/>
      <protection locked="0"/>
    </xf>
    <xf numFmtId="172" fontId="27" fillId="0" borderId="10" xfId="16" applyNumberFormat="1" applyFont="1" applyBorder="1" applyAlignment="1" applyProtection="1">
      <alignment horizontal="center"/>
    </xf>
    <xf numFmtId="172" fontId="27" fillId="0" borderId="0" xfId="16" applyNumberFormat="1" applyFont="1" applyAlignment="1" applyProtection="1">
      <alignment horizontal="center"/>
    </xf>
    <xf numFmtId="173" fontId="27" fillId="0" borderId="13" xfId="5" applyNumberFormat="1" applyFont="1" applyBorder="1" applyAlignment="1">
      <alignment horizontal="left" vertical="center"/>
    </xf>
    <xf numFmtId="0" fontId="28" fillId="0" borderId="15" xfId="5" applyFont="1" applyBorder="1" applyAlignment="1">
      <alignment horizontal="left" vertical="center"/>
    </xf>
    <xf numFmtId="0" fontId="28" fillId="0" borderId="17" xfId="5" applyFont="1" applyBorder="1" applyAlignment="1">
      <alignment horizontal="left" vertical="center"/>
    </xf>
    <xf numFmtId="10" fontId="2" fillId="0" borderId="0" xfId="17" applyNumberFormat="1" applyFont="1" applyAlignment="1" applyProtection="1">
      <alignment horizontal="left" vertical="center"/>
    </xf>
    <xf numFmtId="10" fontId="2" fillId="0" borderId="11" xfId="17" applyNumberFormat="1" applyFont="1" applyBorder="1" applyAlignment="1" applyProtection="1">
      <alignment horizontal="left" vertical="center"/>
    </xf>
    <xf numFmtId="172" fontId="27" fillId="13" borderId="10" xfId="16" applyNumberFormat="1" applyFont="1" applyFill="1" applyBorder="1" applyAlignment="1" applyProtection="1">
      <alignment horizontal="center" vertical="center"/>
    </xf>
    <xf numFmtId="172" fontId="4" fillId="0" borderId="10" xfId="14" applyNumberFormat="1" applyBorder="1" applyAlignment="1">
      <alignment horizontal="center" vertical="center"/>
    </xf>
    <xf numFmtId="172" fontId="4" fillId="0" borderId="13" xfId="14" applyNumberFormat="1" applyBorder="1" applyAlignment="1">
      <alignment horizontal="center" vertical="center"/>
    </xf>
    <xf numFmtId="174" fontId="27" fillId="13" borderId="28" xfId="16" applyNumberFormat="1" applyFont="1" applyFill="1" applyBorder="1" applyAlignment="1" applyProtection="1">
      <alignment horizontal="center" vertical="center"/>
      <protection locked="0"/>
    </xf>
    <xf numFmtId="174" fontId="4" fillId="0" borderId="28" xfId="14" applyNumberFormat="1" applyBorder="1" applyAlignment="1" applyProtection="1">
      <alignment horizontal="center" vertical="center"/>
      <protection locked="0"/>
    </xf>
    <xf numFmtId="174" fontId="4" fillId="0" borderId="38" xfId="14" applyNumberFormat="1" applyBorder="1" applyAlignment="1" applyProtection="1">
      <alignment horizontal="center" vertical="center"/>
      <protection locked="0"/>
    </xf>
    <xf numFmtId="175" fontId="27" fillId="0" borderId="13" xfId="5" applyNumberFormat="1" applyFont="1" applyBorder="1" applyAlignment="1">
      <alignment horizontal="left" vertical="center"/>
    </xf>
    <xf numFmtId="175" fontId="28" fillId="0" borderId="15" xfId="5" applyNumberFormat="1" applyFont="1" applyBorder="1" applyAlignment="1">
      <alignment horizontal="left" vertical="center"/>
    </xf>
    <xf numFmtId="0" fontId="3" fillId="0" borderId="15" xfId="5" applyBorder="1" applyAlignment="1">
      <alignment horizontal="left" vertical="center"/>
    </xf>
    <xf numFmtId="0" fontId="3" fillId="0" borderId="17" xfId="5" applyBorder="1" applyAlignment="1">
      <alignment horizontal="left" vertical="center"/>
    </xf>
  </cellXfs>
  <cellStyles count="22">
    <cellStyle name="Hiperlink" xfId="19" builtinId="8"/>
    <cellStyle name="Moeda 2" xfId="20" xr:uid="{00000000-0005-0000-0000-000001000000}"/>
    <cellStyle name="Normal" xfId="0" builtinId="0"/>
    <cellStyle name="Normal 2" xfId="5" xr:uid="{00000000-0005-0000-0000-000003000000}"/>
    <cellStyle name="Normal 3" xfId="8" xr:uid="{00000000-0005-0000-0000-000004000000}"/>
    <cellStyle name="Normal 3 2" xfId="7" xr:uid="{00000000-0005-0000-0000-000005000000}"/>
    <cellStyle name="Normal 3 3" xfId="14" xr:uid="{00000000-0005-0000-0000-000006000000}"/>
    <cellStyle name="Normal 3 4" xfId="11" xr:uid="{00000000-0005-0000-0000-000007000000}"/>
    <cellStyle name="Normal 4" xfId="18" xr:uid="{00000000-0005-0000-0000-000008000000}"/>
    <cellStyle name="Normal 5" xfId="21" xr:uid="{00000000-0005-0000-0000-000009000000}"/>
    <cellStyle name="Normal_ORÇAMENTO" xfId="1" xr:uid="{00000000-0005-0000-0000-00000A000000}"/>
    <cellStyle name="Normal_ORÇAMENTO ALTERNATIVA 1 DER Junho2001" xfId="2" xr:uid="{00000000-0005-0000-0000-00000B000000}"/>
    <cellStyle name="Porcentagem" xfId="4" builtinId="5"/>
    <cellStyle name="Porcentagem 2" xfId="6" xr:uid="{00000000-0005-0000-0000-00000D000000}"/>
    <cellStyle name="Porcentagem 3" xfId="17" xr:uid="{00000000-0005-0000-0000-00000E000000}"/>
    <cellStyle name="Vírgula" xfId="3" builtinId="3"/>
    <cellStyle name="Vírgula 2" xfId="9" xr:uid="{00000000-0005-0000-0000-000010000000}"/>
    <cellStyle name="Vírgula 2 2" xfId="15" xr:uid="{00000000-0005-0000-0000-000011000000}"/>
    <cellStyle name="Vírgula 2 3" xfId="12" xr:uid="{00000000-0005-0000-0000-000012000000}"/>
    <cellStyle name="Vírgula 3" xfId="13" xr:uid="{00000000-0005-0000-0000-000013000000}"/>
    <cellStyle name="Vírgula 4" xfId="10" xr:uid="{00000000-0005-0000-0000-000014000000}"/>
    <cellStyle name="Vírgula 5" xfId="16" xr:uid="{00000000-0005-0000-0000-000015000000}"/>
  </cellStyles>
  <dxfs count="0"/>
  <tableStyles count="0" defaultTableStyle="TableStyleMedium2" defaultPivotStyle="PivotStyleLight16"/>
  <colors>
    <mruColors>
      <color rgb="FFCCFFCC"/>
      <color rgb="FF0000FF"/>
      <color rgb="FFFFFFCC"/>
      <color rgb="FF66FFFF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428624</xdr:colOff>
      <xdr:row>5</xdr:row>
      <xdr:rowOff>66674</xdr:rowOff>
    </xdr:from>
    <xdr:to>
      <xdr:col>15</xdr:col>
      <xdr:colOff>152399</xdr:colOff>
      <xdr:row>14</xdr:row>
      <xdr:rowOff>19049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8953499" y="1304924"/>
          <a:ext cx="3457575" cy="16668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0" baseline="0">
              <a:solidFill>
                <a:srgbClr val="0000FF"/>
              </a:solidFill>
            </a:rPr>
            <a:t>AJUSTAR </a:t>
          </a:r>
          <a:br>
            <a:rPr lang="pt-BR" sz="1800" b="0" baseline="0">
              <a:solidFill>
                <a:srgbClr val="0000FF"/>
              </a:solidFill>
            </a:rPr>
          </a:br>
          <a:r>
            <a:rPr lang="pt-BR" sz="1800" b="0" baseline="0">
              <a:solidFill>
                <a:srgbClr val="0000FF"/>
              </a:solidFill>
            </a:rPr>
            <a:t>AS </a:t>
          </a:r>
          <a:r>
            <a:rPr lang="pt-BR" sz="1800" b="1" baseline="0">
              <a:solidFill>
                <a:srgbClr val="0000FF"/>
              </a:solidFill>
            </a:rPr>
            <a:t>DMT's</a:t>
          </a:r>
          <a:r>
            <a:rPr lang="pt-BR" sz="1800" b="0" baseline="0">
              <a:solidFill>
                <a:srgbClr val="0000FF"/>
              </a:solidFill>
            </a:rPr>
            <a:t> NESTA PASTA, QUE AUTOMATICAMENTE FICARÁ AJUSTADA AS PASTAS DO ORÇAMENTO.</a:t>
          </a:r>
          <a:endParaRPr lang="pt-BR" sz="1800" b="1">
            <a:solidFill>
              <a:srgbClr val="0000FF"/>
            </a:solidFill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85726</xdr:colOff>
      <xdr:row>3</xdr:row>
      <xdr:rowOff>28575</xdr:rowOff>
    </xdr:from>
    <xdr:to>
      <xdr:col>3</xdr:col>
      <xdr:colOff>733426</xdr:colOff>
      <xdr:row>6</xdr:row>
      <xdr:rowOff>621366</xdr:rowOff>
    </xdr:to>
    <xdr:sp macro="" textlink="" fLocksText="0">
      <xdr:nvSpPr>
        <xdr:cNvPr id="3" name="CaixaDe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981076" y="904875"/>
          <a:ext cx="2743200" cy="107856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0">
              <a:solidFill>
                <a:srgbClr val="0000FF"/>
              </a:solidFill>
            </a:rPr>
            <a:t>ATUALIZAR</a:t>
          </a:r>
          <a:r>
            <a:rPr lang="pt-BR" sz="1200" b="0" baseline="0">
              <a:solidFill>
                <a:srgbClr val="0000FF"/>
              </a:solidFill>
            </a:rPr>
            <a:t> A TABELA DO </a:t>
          </a:r>
          <a:r>
            <a:rPr lang="pt-BR" sz="1200" b="1" baseline="0">
              <a:solidFill>
                <a:srgbClr val="0000FF"/>
              </a:solidFill>
            </a:rPr>
            <a:t>BDI</a:t>
          </a:r>
          <a:r>
            <a:rPr lang="pt-BR" sz="1200" b="0" baseline="0">
              <a:solidFill>
                <a:srgbClr val="0000FF"/>
              </a:solidFill>
            </a:rPr>
            <a:t> PARA O CÁLCULO CORRETO DOS PREÇOS UNITÁRIOS. E AJUSTAR </a:t>
          </a:r>
          <a:br>
            <a:rPr lang="pt-BR" sz="1200" b="0" baseline="0">
              <a:solidFill>
                <a:srgbClr val="0000FF"/>
              </a:solidFill>
            </a:rPr>
          </a:br>
          <a:r>
            <a:rPr lang="pt-BR" sz="1200" b="0" baseline="0">
              <a:solidFill>
                <a:srgbClr val="0000FF"/>
              </a:solidFill>
            </a:rPr>
            <a:t>AS </a:t>
          </a:r>
          <a:r>
            <a:rPr lang="pt-BR" sz="1200" b="1" baseline="0">
              <a:solidFill>
                <a:srgbClr val="0000FF"/>
              </a:solidFill>
            </a:rPr>
            <a:t>DMT's</a:t>
          </a:r>
          <a:r>
            <a:rPr lang="pt-BR" sz="1200" b="0" baseline="0">
              <a:solidFill>
                <a:srgbClr val="0000FF"/>
              </a:solidFill>
            </a:rPr>
            <a:t> NA PASTA ESPECÍFICA E AS DEMAIS NA PASTA DA </a:t>
          </a:r>
          <a:r>
            <a:rPr lang="pt-BR" sz="1200" b="1" baseline="0">
              <a:solidFill>
                <a:srgbClr val="0000FF"/>
              </a:solidFill>
            </a:rPr>
            <a:t>GLOBAL</a:t>
          </a:r>
          <a:endParaRPr lang="pt-BR" sz="1200" b="1">
            <a:solidFill>
              <a:srgbClr val="0000FF"/>
            </a:solidFill>
          </a:endParaRPr>
        </a:p>
      </xdr:txBody>
    </xdr:sp>
    <xdr:clientData fLocksWithSheet="0" fPrintsWithSheet="0"/>
  </xdr:twoCellAnchor>
  <xdr:oneCellAnchor>
    <xdr:from>
      <xdr:col>6</xdr:col>
      <xdr:colOff>198368</xdr:colOff>
      <xdr:row>0</xdr:row>
      <xdr:rowOff>56762</xdr:rowOff>
    </xdr:from>
    <xdr:ext cx="2791238" cy="1886338"/>
    <xdr:sp macro="" textlink="" fLocksText="0">
      <xdr:nvSpPr>
        <xdr:cNvPr id="5" name="CaixaDeText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8237468" y="56762"/>
          <a:ext cx="2791238" cy="1886338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100">
              <a:solidFill>
                <a:srgbClr val="0000FF"/>
              </a:solidFill>
            </a:rPr>
            <a:t>Em caso de preços de </a:t>
          </a:r>
          <a:r>
            <a:rPr lang="pt-BR" sz="1100" b="1">
              <a:solidFill>
                <a:srgbClr val="0000FF"/>
              </a:solidFill>
            </a:rPr>
            <a:t>COTAÇÕES realizadas </a:t>
          </a:r>
          <a:r>
            <a:rPr lang="pt-BR" sz="1100">
              <a:solidFill>
                <a:srgbClr val="0000FF"/>
              </a:solidFill>
            </a:rPr>
            <a:t>pelos municípios, </a:t>
          </a:r>
          <a:r>
            <a:rPr lang="pt-BR" sz="1100" b="1">
              <a:solidFill>
                <a:srgbClr val="FF0000"/>
              </a:solidFill>
            </a:rPr>
            <a:t>não poderá usar o código e origem oficial desta tabela</a:t>
          </a:r>
          <a:r>
            <a:rPr lang="pt-BR" sz="1100">
              <a:solidFill>
                <a:srgbClr val="0000FF"/>
              </a:solidFill>
            </a:rPr>
            <a:t>. Deverá ser criado um novo serviço na área dos  "</a:t>
          </a:r>
          <a:r>
            <a:rPr lang="pt-BR" sz="1100" b="1">
              <a:solidFill>
                <a:srgbClr val="0000FF"/>
              </a:solidFill>
            </a:rPr>
            <a:t>SERVIÇOS EXTRAS</a:t>
          </a:r>
          <a:r>
            <a:rPr lang="pt-BR" sz="1100">
              <a:solidFill>
                <a:srgbClr val="0000FF"/>
              </a:solidFill>
            </a:rPr>
            <a:t>" no respectivo grande item, somente na pasta</a:t>
          </a:r>
          <a:r>
            <a:rPr lang="pt-BR" sz="1100" baseline="0">
              <a:solidFill>
                <a:srgbClr val="0000FF"/>
              </a:solidFill>
            </a:rPr>
            <a:t> da </a:t>
          </a:r>
          <a:r>
            <a:rPr lang="pt-BR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pt-BR" sz="110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G</a:t>
          </a:r>
          <a:r>
            <a:rPr lang="pt-BR" sz="1100" b="1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LOBAL_DER_FEV_2023</a:t>
          </a:r>
          <a:r>
            <a:rPr lang="pt-BR" sz="110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pt-BR" sz="1100">
              <a:solidFill>
                <a:srgbClr val="0000FF"/>
              </a:solidFill>
            </a:rPr>
            <a:t>,</a:t>
          </a:r>
          <a:r>
            <a:rPr lang="pt-BR" sz="110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 que automaticamente será mostradas nas demais pastas do projeto.</a:t>
          </a:r>
          <a:r>
            <a:rPr lang="pt-BR" sz="1100" baseline="0">
              <a:solidFill>
                <a:srgbClr val="0000FF"/>
              </a:solidFill>
            </a:rPr>
            <a:t> podendo usar o mesmo descritivo, porém c</a:t>
          </a:r>
          <a:r>
            <a:rPr lang="pt-BR" sz="1100">
              <a:solidFill>
                <a:srgbClr val="0000FF"/>
              </a:solidFill>
            </a:rPr>
            <a:t>om o </a:t>
          </a:r>
          <a:r>
            <a:rPr lang="pt-BR" sz="1100" b="1">
              <a:solidFill>
                <a:srgbClr val="0000FF"/>
              </a:solidFill>
            </a:rPr>
            <a:t>código e origem da cotação realizada</a:t>
          </a:r>
          <a:r>
            <a:rPr lang="pt-BR" sz="1100">
              <a:solidFill>
                <a:srgbClr val="0000FF"/>
              </a:solidFill>
            </a:rPr>
            <a:t>.</a:t>
          </a:r>
        </a:p>
      </xdr:txBody>
    </xdr:sp>
    <xdr:clientData fLocksWithSheet="0" fPrintsWithSheet="0"/>
  </xdr:oneCellAnchor>
  <xdr:twoCellAnchor>
    <xdr:from>
      <xdr:col>12</xdr:col>
      <xdr:colOff>104775</xdr:colOff>
      <xdr:row>1</xdr:row>
      <xdr:rowOff>57150</xdr:rowOff>
    </xdr:from>
    <xdr:to>
      <xdr:col>14</xdr:col>
      <xdr:colOff>1209675</xdr:colOff>
      <xdr:row>4</xdr:row>
      <xdr:rowOff>133350</xdr:rowOff>
    </xdr:to>
    <xdr:sp macro="" textlink="" fLocksText="0">
      <xdr:nvSpPr>
        <xdr:cNvPr id="6" name="CaixaDe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2573000" y="390525"/>
          <a:ext cx="3086100" cy="7810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 b="1">
              <a:solidFill>
                <a:srgbClr val="0000FF"/>
              </a:solidFill>
            </a:rPr>
            <a:t>NÃO LANÇAR QUANTITATIVOS </a:t>
          </a:r>
          <a:r>
            <a:rPr lang="pt-BR" sz="1100">
              <a:solidFill>
                <a:srgbClr val="0000FF"/>
              </a:solidFill>
            </a:rPr>
            <a:t>na pasta da "</a:t>
          </a:r>
          <a:r>
            <a:rPr lang="pt-BR" sz="1100" b="1">
              <a:solidFill>
                <a:srgbClr val="0000FF"/>
              </a:solidFill>
            </a:rPr>
            <a:t>GLOBAL_DER_FEV_2023</a:t>
          </a:r>
          <a:r>
            <a:rPr lang="pt-BR" sz="1100">
              <a:solidFill>
                <a:srgbClr val="0000FF"/>
              </a:solidFill>
            </a:rPr>
            <a:t>", utilizar as pastas das "</a:t>
          </a:r>
          <a:r>
            <a:rPr lang="pt-BR" sz="1100" b="1">
              <a:solidFill>
                <a:srgbClr val="0000FF"/>
              </a:solidFill>
            </a:rPr>
            <a:t>Ruas..</a:t>
          </a:r>
          <a:r>
            <a:rPr lang="pt-BR" sz="1100">
              <a:solidFill>
                <a:srgbClr val="0000FF"/>
              </a:solidFill>
            </a:rPr>
            <a:t>." para o lançamento das quantidades podendo </a:t>
          </a:r>
          <a:r>
            <a:rPr lang="pt-BR" sz="1100" b="1">
              <a:solidFill>
                <a:srgbClr val="0000FF"/>
              </a:solidFill>
            </a:rPr>
            <a:t>RENOMEAR AS PLANILHAS</a:t>
          </a:r>
          <a:r>
            <a:rPr lang="pt-BR" sz="1100">
              <a:solidFill>
                <a:srgbClr val="0000FF"/>
              </a:solidFill>
            </a:rPr>
            <a:t>.</a:t>
          </a:r>
        </a:p>
      </xdr:txBody>
    </xdr:sp>
    <xdr:clientData fLocksWithSheet="0" fPrintsWithSheet="0"/>
  </xdr:twoCellAnchor>
  <xdr:oneCellAnchor>
    <xdr:from>
      <xdr:col>3</xdr:col>
      <xdr:colOff>851649</xdr:colOff>
      <xdr:row>3</xdr:row>
      <xdr:rowOff>44822</xdr:rowOff>
    </xdr:from>
    <xdr:ext cx="4234701" cy="660028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889999" y="921122"/>
          <a:ext cx="4234701" cy="660028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 data base é a DATA DA APROVAÇÃO do orçamento e não da tabela referência. Isso está no Decreto 10.086/22 do Paraná, que regulamenta a Lei 14.133/21.</a:t>
          </a:r>
        </a:p>
      </xdr:txBody>
    </xdr:sp>
    <xdr:clientData fPrintsWithSheet="0"/>
  </xdr:oneCellAnchor>
  <xdr:twoCellAnchor editAs="oneCell">
    <xdr:from>
      <xdr:col>22</xdr:col>
      <xdr:colOff>314327</xdr:colOff>
      <xdr:row>0</xdr:row>
      <xdr:rowOff>0</xdr:rowOff>
    </xdr:from>
    <xdr:to>
      <xdr:col>25</xdr:col>
      <xdr:colOff>419101</xdr:colOff>
      <xdr:row>6</xdr:row>
      <xdr:rowOff>647530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26302" y="0"/>
          <a:ext cx="3819524" cy="2009605"/>
        </a:xfrm>
        <a:prstGeom prst="rect">
          <a:avLst/>
        </a:prstGeom>
      </xdr:spPr>
    </xdr:pic>
    <xdr:clientData fPrintsWithSheet="0"/>
  </xdr:twoCellAnchor>
  <xdr:twoCellAnchor editAs="oneCell">
    <xdr:from>
      <xdr:col>21</xdr:col>
      <xdr:colOff>1219200</xdr:colOff>
      <xdr:row>10</xdr:row>
      <xdr:rowOff>9525</xdr:rowOff>
    </xdr:from>
    <xdr:to>
      <xdr:col>24</xdr:col>
      <xdr:colOff>438150</xdr:colOff>
      <xdr:row>14</xdr:row>
      <xdr:rowOff>152400</xdr:rowOff>
    </xdr:to>
    <xdr:sp macro="" textlink="">
      <xdr:nvSpPr>
        <xdr:cNvPr id="8" name="Balão de Fala: Retângulo com Cantos Arredondados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 bwMode="auto">
        <a:xfrm>
          <a:off x="19592925" y="2066925"/>
          <a:ext cx="2933700" cy="1085850"/>
        </a:xfrm>
        <a:prstGeom prst="wedgeRoundRectCallout">
          <a:avLst>
            <a:gd name="adj1" fmla="val -29557"/>
            <a:gd name="adj2" fmla="val 78281"/>
            <a:gd name="adj3" fmla="val 16667"/>
          </a:avLst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400">
              <a:solidFill>
                <a:srgbClr val="0000FF"/>
              </a:solidFill>
            </a:rPr>
            <a:t>Indicará</a:t>
          </a:r>
          <a:r>
            <a:rPr lang="pt-BR" sz="1400" baseline="0">
              <a:solidFill>
                <a:srgbClr val="0000FF"/>
              </a:solidFill>
            </a:rPr>
            <a:t> aonde existem diferenças entre a </a:t>
          </a:r>
          <a:r>
            <a:rPr lang="pt-BR" sz="1400" b="1" baseline="0">
              <a:solidFill>
                <a:srgbClr val="0000FF"/>
              </a:solidFill>
            </a:rPr>
            <a:t>MULTIPLICAÇÃO</a:t>
          </a:r>
          <a:r>
            <a:rPr lang="pt-BR" sz="1400" baseline="0">
              <a:solidFill>
                <a:srgbClr val="0000FF"/>
              </a:solidFill>
            </a:rPr>
            <a:t> DA QUANTIDADE E PREÇO UNITÁRIO, em relação a </a:t>
          </a:r>
          <a:r>
            <a:rPr lang="pt-BR" sz="1400" b="1" baseline="0">
              <a:solidFill>
                <a:srgbClr val="0000FF"/>
              </a:solidFill>
            </a:rPr>
            <a:t>SOMATÓRIA</a:t>
          </a:r>
          <a:r>
            <a:rPr lang="pt-BR" sz="1400" baseline="0">
              <a:solidFill>
                <a:srgbClr val="0000FF"/>
              </a:solidFill>
            </a:rPr>
            <a:t> DAS RUAS.</a:t>
          </a:r>
          <a:endParaRPr lang="pt-BR" sz="1400">
            <a:solidFill>
              <a:srgbClr val="0000FF"/>
            </a:solidFill>
          </a:endParaRPr>
        </a:p>
      </xdr:txBody>
    </xdr:sp>
    <xdr:clientData fPrintsWithSheet="0"/>
  </xdr:twoCellAnchor>
  <xdr:oneCellAnchor>
    <xdr:from>
      <xdr:col>18</xdr:col>
      <xdr:colOff>85725</xdr:colOff>
      <xdr:row>557</xdr:row>
      <xdr:rowOff>200025</xdr:rowOff>
    </xdr:from>
    <xdr:ext cx="2009775" cy="1019175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16697325" y="111718725"/>
          <a:ext cx="2009775" cy="101917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/>
            <a:t> * marcar "</a:t>
          </a:r>
          <a:r>
            <a:rPr lang="pt-BR" sz="1100" b="1"/>
            <a:t>1</a:t>
          </a:r>
          <a:r>
            <a:rPr lang="pt-BR" sz="1100"/>
            <a:t>" na coluna "U" para </a:t>
          </a:r>
          <a:br>
            <a:rPr lang="pt-BR" sz="1100"/>
          </a:br>
          <a:r>
            <a:rPr lang="pt-BR" sz="1100"/>
            <a:t>    usar o </a:t>
          </a:r>
          <a:r>
            <a:rPr lang="pt-BR" sz="1100" b="1"/>
            <a:t>BDI de Material</a:t>
          </a:r>
        </a:p>
        <a:p>
          <a:pPr algn="l"/>
          <a:endParaRPr lang="pt-BR" sz="1100"/>
        </a:p>
        <a:p>
          <a:pPr algn="l"/>
          <a:r>
            <a:rPr lang="pt-BR" sz="1100"/>
            <a:t>* marcar "</a:t>
          </a:r>
          <a:r>
            <a:rPr lang="pt-BR" sz="1100" b="1"/>
            <a:t>0</a:t>
          </a:r>
          <a:r>
            <a:rPr lang="pt-BR" sz="1100"/>
            <a:t>" na coluna "U" para </a:t>
          </a:r>
          <a:br>
            <a:rPr lang="pt-BR" sz="1100"/>
          </a:br>
          <a:r>
            <a:rPr lang="pt-BR" sz="1100"/>
            <a:t>   usar o </a:t>
          </a:r>
          <a:r>
            <a:rPr lang="pt-BR" sz="1100" b="1"/>
            <a:t>BDI de Serviços</a:t>
          </a:r>
        </a:p>
      </xdr:txBody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4</xdr:row>
      <xdr:rowOff>0</xdr:rowOff>
    </xdr:from>
    <xdr:to>
      <xdr:col>3</xdr:col>
      <xdr:colOff>1806051</xdr:colOff>
      <xdr:row>10</xdr:row>
      <xdr:rowOff>59391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85725" y="1038225"/>
          <a:ext cx="3842496" cy="107856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rgbClr val="0000FF"/>
              </a:solidFill>
            </a:rPr>
            <a:t>ATUALIZAR</a:t>
          </a:r>
          <a:r>
            <a:rPr lang="pt-BR" sz="1400" b="0" baseline="0">
              <a:solidFill>
                <a:srgbClr val="0000FF"/>
              </a:solidFill>
            </a:rPr>
            <a:t> A TABELA DO </a:t>
          </a:r>
          <a:r>
            <a:rPr lang="pt-BR" sz="1400" b="1" baseline="0">
              <a:solidFill>
                <a:srgbClr val="0000FF"/>
              </a:solidFill>
            </a:rPr>
            <a:t>BDI</a:t>
          </a:r>
          <a:r>
            <a:rPr lang="pt-BR" sz="1400" b="0" baseline="0">
              <a:solidFill>
                <a:srgbClr val="0000FF"/>
              </a:solidFill>
            </a:rPr>
            <a:t> PARA O CÁLCULO CORRETO DOS PREÇOS UNITÁRIOS. E AJUSTAR </a:t>
          </a:r>
          <a:br>
            <a:rPr lang="pt-BR" sz="1400" b="0" baseline="0">
              <a:solidFill>
                <a:srgbClr val="0000FF"/>
              </a:solidFill>
            </a:rPr>
          </a:br>
          <a:r>
            <a:rPr lang="pt-BR" sz="1400" b="0" baseline="0">
              <a:solidFill>
                <a:srgbClr val="0000FF"/>
              </a:solidFill>
            </a:rPr>
            <a:t>AS </a:t>
          </a:r>
          <a:r>
            <a:rPr lang="pt-BR" sz="1400" b="1" baseline="0">
              <a:solidFill>
                <a:srgbClr val="0000FF"/>
              </a:solidFill>
            </a:rPr>
            <a:t>DMT's</a:t>
          </a:r>
          <a:r>
            <a:rPr lang="pt-BR" sz="1400" b="0" baseline="0">
              <a:solidFill>
                <a:srgbClr val="0000FF"/>
              </a:solidFill>
            </a:rPr>
            <a:t> NA PASTA ESPECÍFICA E AS DEMAIS NA PASTA DA </a:t>
          </a:r>
          <a:r>
            <a:rPr lang="pt-BR" sz="1400" b="1" baseline="0">
              <a:solidFill>
                <a:srgbClr val="0000FF"/>
              </a:solidFill>
            </a:rPr>
            <a:t>GLOBAL</a:t>
          </a:r>
          <a:endParaRPr lang="pt-BR" sz="1400" b="1">
            <a:solidFill>
              <a:srgbClr val="0000FF"/>
            </a:solidFill>
          </a:endParaRPr>
        </a:p>
      </xdr:txBody>
    </xdr:sp>
    <xdr:clientData fPrintsWithSheet="0"/>
  </xdr:twoCellAnchor>
  <xdr:twoCellAnchor editAs="oneCell">
    <xdr:from>
      <xdr:col>11</xdr:col>
      <xdr:colOff>133350</xdr:colOff>
      <xdr:row>3</xdr:row>
      <xdr:rowOff>85725</xdr:rowOff>
    </xdr:from>
    <xdr:to>
      <xdr:col>13</xdr:col>
      <xdr:colOff>853440</xdr:colOff>
      <xdr:row>10</xdr:row>
      <xdr:rowOff>38100</xdr:rowOff>
    </xdr:to>
    <xdr:sp macro="" textlink="">
      <xdr:nvSpPr>
        <xdr:cNvPr id="3" name="Balão de Fala: Retângulo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11801475" y="962025"/>
          <a:ext cx="2295525" cy="1133475"/>
        </a:xfrm>
        <a:prstGeom prst="wedgeRectCallout">
          <a:avLst>
            <a:gd name="adj1" fmla="val -33435"/>
            <a:gd name="adj2" fmla="val 133928"/>
          </a:avLst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200" b="0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Utilizar a função </a:t>
          </a:r>
        </a:p>
        <a:p>
          <a:pPr algn="ctr"/>
          <a:r>
            <a:rPr lang="pt-BR" sz="1200" b="1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"=ARRED( ;2)"</a:t>
          </a:r>
        </a:p>
        <a:p>
          <a:pPr algn="ctr"/>
          <a:r>
            <a:rPr lang="pt-BR" sz="1200" b="1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com 2 casas decimais </a:t>
          </a:r>
        </a:p>
        <a:p>
          <a:pPr algn="ctr"/>
          <a:r>
            <a:rPr lang="pt-BR" sz="1200" b="0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para calcular os quantitativos</a:t>
          </a:r>
        </a:p>
        <a:p>
          <a:pPr algn="ctr"/>
          <a:r>
            <a:rPr lang="pt-BR" sz="1200" b="0">
              <a:solidFill>
                <a:schemeClr val="tx2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Ex: </a:t>
          </a:r>
          <a:r>
            <a:rPr lang="pt-BR" sz="1200" b="1">
              <a:solidFill>
                <a:schemeClr val="tx2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=ARRED(23,45*0,05;2)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4</xdr:row>
      <xdr:rowOff>0</xdr:rowOff>
    </xdr:from>
    <xdr:to>
      <xdr:col>3</xdr:col>
      <xdr:colOff>1806051</xdr:colOff>
      <xdr:row>10</xdr:row>
      <xdr:rowOff>59391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85725" y="1038225"/>
          <a:ext cx="3842496" cy="107856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rgbClr val="0000FF"/>
              </a:solidFill>
            </a:rPr>
            <a:t>ATUALIZAR</a:t>
          </a:r>
          <a:r>
            <a:rPr lang="pt-BR" sz="1400" b="0" baseline="0">
              <a:solidFill>
                <a:srgbClr val="0000FF"/>
              </a:solidFill>
            </a:rPr>
            <a:t> A TABELA DO </a:t>
          </a:r>
          <a:r>
            <a:rPr lang="pt-BR" sz="1400" b="1" baseline="0">
              <a:solidFill>
                <a:srgbClr val="0000FF"/>
              </a:solidFill>
            </a:rPr>
            <a:t>BDI</a:t>
          </a:r>
          <a:r>
            <a:rPr lang="pt-BR" sz="1400" b="0" baseline="0">
              <a:solidFill>
                <a:srgbClr val="0000FF"/>
              </a:solidFill>
            </a:rPr>
            <a:t> PARA O CÁLCULO CORRETO DOS PREÇOS UNITÁRIOS. E AJUSTAR </a:t>
          </a:r>
          <a:br>
            <a:rPr lang="pt-BR" sz="1400" b="0" baseline="0">
              <a:solidFill>
                <a:srgbClr val="0000FF"/>
              </a:solidFill>
            </a:rPr>
          </a:br>
          <a:r>
            <a:rPr lang="pt-BR" sz="1400" b="0" baseline="0">
              <a:solidFill>
                <a:srgbClr val="0000FF"/>
              </a:solidFill>
            </a:rPr>
            <a:t>AS </a:t>
          </a:r>
          <a:r>
            <a:rPr lang="pt-BR" sz="1400" b="1" baseline="0">
              <a:solidFill>
                <a:srgbClr val="0000FF"/>
              </a:solidFill>
            </a:rPr>
            <a:t>DMT's</a:t>
          </a:r>
          <a:r>
            <a:rPr lang="pt-BR" sz="1400" b="0" baseline="0">
              <a:solidFill>
                <a:srgbClr val="0000FF"/>
              </a:solidFill>
            </a:rPr>
            <a:t> NA PASTA ESPECÍFICA E AS DEMAIS NA PASTA DA </a:t>
          </a:r>
          <a:r>
            <a:rPr lang="pt-BR" sz="1400" b="1" baseline="0">
              <a:solidFill>
                <a:srgbClr val="0000FF"/>
              </a:solidFill>
            </a:rPr>
            <a:t>GLOBAL</a:t>
          </a:r>
          <a:endParaRPr lang="pt-BR" sz="1400" b="1">
            <a:solidFill>
              <a:srgbClr val="0000FF"/>
            </a:solidFill>
          </a:endParaRPr>
        </a:p>
      </xdr:txBody>
    </xdr:sp>
    <xdr:clientData fPrintsWithSheet="0"/>
  </xdr:twoCellAnchor>
  <xdr:twoCellAnchor editAs="oneCell">
    <xdr:from>
      <xdr:col>11</xdr:col>
      <xdr:colOff>133350</xdr:colOff>
      <xdr:row>3</xdr:row>
      <xdr:rowOff>85725</xdr:rowOff>
    </xdr:from>
    <xdr:to>
      <xdr:col>13</xdr:col>
      <xdr:colOff>853440</xdr:colOff>
      <xdr:row>10</xdr:row>
      <xdr:rowOff>38100</xdr:rowOff>
    </xdr:to>
    <xdr:sp macro="" textlink="">
      <xdr:nvSpPr>
        <xdr:cNvPr id="3" name="Balão de Fala: Retângulo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11801475" y="962025"/>
          <a:ext cx="2295525" cy="1133475"/>
        </a:xfrm>
        <a:prstGeom prst="wedgeRectCallout">
          <a:avLst>
            <a:gd name="adj1" fmla="val -33435"/>
            <a:gd name="adj2" fmla="val 133928"/>
          </a:avLst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200" b="0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Utilizar a função </a:t>
          </a:r>
        </a:p>
        <a:p>
          <a:pPr algn="ctr"/>
          <a:r>
            <a:rPr lang="pt-BR" sz="1200" b="1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"=ARRED( ;2)"</a:t>
          </a:r>
        </a:p>
        <a:p>
          <a:pPr algn="ctr"/>
          <a:r>
            <a:rPr lang="pt-BR" sz="1200" b="1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com 2 casas decimais </a:t>
          </a:r>
        </a:p>
        <a:p>
          <a:pPr algn="ctr"/>
          <a:r>
            <a:rPr lang="pt-BR" sz="1200" b="0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para calcular os quantitativos</a:t>
          </a:r>
        </a:p>
        <a:p>
          <a:pPr algn="ctr"/>
          <a:r>
            <a:rPr lang="pt-BR" sz="1200" b="0">
              <a:solidFill>
                <a:schemeClr val="tx2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Ex: </a:t>
          </a:r>
          <a:r>
            <a:rPr lang="pt-BR" sz="1200" b="1">
              <a:solidFill>
                <a:schemeClr val="tx2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=ARRED(23,45*0,05;2)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4</xdr:row>
      <xdr:rowOff>0</xdr:rowOff>
    </xdr:from>
    <xdr:to>
      <xdr:col>3</xdr:col>
      <xdr:colOff>1813671</xdr:colOff>
      <xdr:row>10</xdr:row>
      <xdr:rowOff>59391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81075" y="647700"/>
          <a:ext cx="3842497" cy="107856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0">
              <a:solidFill>
                <a:srgbClr val="0000FF"/>
              </a:solidFill>
            </a:rPr>
            <a:t>ATUALIZAR</a:t>
          </a:r>
          <a:r>
            <a:rPr lang="pt-BR" sz="1400" b="0" baseline="0">
              <a:solidFill>
                <a:srgbClr val="0000FF"/>
              </a:solidFill>
            </a:rPr>
            <a:t> A TABELA DO </a:t>
          </a:r>
          <a:r>
            <a:rPr lang="pt-BR" sz="1400" b="1" baseline="0">
              <a:solidFill>
                <a:srgbClr val="0000FF"/>
              </a:solidFill>
            </a:rPr>
            <a:t>BDI</a:t>
          </a:r>
          <a:r>
            <a:rPr lang="pt-BR" sz="1400" b="0" baseline="0">
              <a:solidFill>
                <a:srgbClr val="0000FF"/>
              </a:solidFill>
            </a:rPr>
            <a:t> PARA O CÁLCULO CORRETO DOS PREÇOS UNITÁRIOS. E AJUSTAR </a:t>
          </a:r>
          <a:br>
            <a:rPr lang="pt-BR" sz="1400" b="0" baseline="0">
              <a:solidFill>
                <a:srgbClr val="0000FF"/>
              </a:solidFill>
            </a:rPr>
          </a:br>
          <a:r>
            <a:rPr lang="pt-BR" sz="1400" b="0" baseline="0">
              <a:solidFill>
                <a:srgbClr val="0000FF"/>
              </a:solidFill>
            </a:rPr>
            <a:t>AS </a:t>
          </a:r>
          <a:r>
            <a:rPr lang="pt-BR" sz="1400" b="1" baseline="0">
              <a:solidFill>
                <a:srgbClr val="0000FF"/>
              </a:solidFill>
            </a:rPr>
            <a:t>DMT's</a:t>
          </a:r>
          <a:r>
            <a:rPr lang="pt-BR" sz="1400" b="0" baseline="0">
              <a:solidFill>
                <a:srgbClr val="0000FF"/>
              </a:solidFill>
            </a:rPr>
            <a:t> NA PASTA ESPECÍFICA E AS DEMAIS NA PASTA DA </a:t>
          </a:r>
          <a:r>
            <a:rPr lang="pt-BR" sz="1400" b="1" baseline="0">
              <a:solidFill>
                <a:srgbClr val="0000FF"/>
              </a:solidFill>
            </a:rPr>
            <a:t>GLOBAL</a:t>
          </a:r>
          <a:endParaRPr lang="pt-BR" sz="1400" b="1">
            <a:solidFill>
              <a:srgbClr val="0000FF"/>
            </a:solidFill>
          </a:endParaRPr>
        </a:p>
      </xdr:txBody>
    </xdr:sp>
    <xdr:clientData fPrintsWithSheet="0"/>
  </xdr:twoCellAnchor>
  <xdr:twoCellAnchor editAs="oneCell">
    <xdr:from>
      <xdr:col>11</xdr:col>
      <xdr:colOff>85725</xdr:colOff>
      <xdr:row>3</xdr:row>
      <xdr:rowOff>114300</xdr:rowOff>
    </xdr:from>
    <xdr:to>
      <xdr:col>13</xdr:col>
      <xdr:colOff>800100</xdr:colOff>
      <xdr:row>10</xdr:row>
      <xdr:rowOff>66675</xdr:rowOff>
    </xdr:to>
    <xdr:sp macro="" textlink="">
      <xdr:nvSpPr>
        <xdr:cNvPr id="3" name="Balão de Fala: Retângul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11668125" y="990600"/>
          <a:ext cx="2295525" cy="1133475"/>
        </a:xfrm>
        <a:prstGeom prst="wedgeRectCallout">
          <a:avLst>
            <a:gd name="adj1" fmla="val -33435"/>
            <a:gd name="adj2" fmla="val 133928"/>
          </a:avLst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200" b="0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Utilizar a função </a:t>
          </a:r>
        </a:p>
        <a:p>
          <a:pPr algn="ctr"/>
          <a:r>
            <a:rPr lang="pt-BR" sz="1200" b="1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"=ARRED( ;2)"</a:t>
          </a:r>
        </a:p>
        <a:p>
          <a:pPr algn="ctr"/>
          <a:r>
            <a:rPr lang="pt-BR" sz="1200" b="1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com 2 casas decimais </a:t>
          </a:r>
        </a:p>
        <a:p>
          <a:pPr algn="ctr"/>
          <a:r>
            <a:rPr lang="pt-BR" sz="1200" b="0">
              <a:solidFill>
                <a:srgbClr val="0000FF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para calcular os quantitativos</a:t>
          </a:r>
        </a:p>
        <a:p>
          <a:pPr algn="ctr"/>
          <a:r>
            <a:rPr lang="pt-BR" sz="1200" b="0">
              <a:solidFill>
                <a:schemeClr val="tx2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Ex: </a:t>
          </a:r>
          <a:r>
            <a:rPr lang="pt-BR" sz="1200" b="1">
              <a:solidFill>
                <a:schemeClr val="tx2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=ARRED(23,45*0,05;2)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uy\_01%20Reequil&#237;brio%20-%20arquivos%20revisados\Realinamento%20SET%202017-INCC-mensal%20ANP-DNIT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UYJOSE\BACK_UP\viabilidade%20normal%202019\Reequilibrio%20base%20tabela%20jun%202018%20AGOS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1\ENGENHARIA%202020\1%20OBRAS%20EM%20ANDAMENTO\PAVIMENTA&#199;&#195;O\016_PAVIMENTA&#199;&#195;O%20JD.%20NOVO%20FAXINAL\PR&#201;-LICITA&#199;&#195;O\OR&#199;AMENTO\APROVADA%20PELO%20PARANACIDADE%20faxinal_sam71_anali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C"/>
      <sheetName val="ANP após 2015"/>
      <sheetName val="percentuais por insumo"/>
      <sheetName val="TESTE"/>
      <sheetName val="proposta"/>
      <sheetName val="2017 SEM"/>
      <sheetName val="R1"/>
      <sheetName val="R2"/>
      <sheetName val="R3"/>
      <sheetName val="R4"/>
      <sheetName val="R5"/>
      <sheetName val="R6"/>
      <sheetName val="R7"/>
      <sheetName val="R8 saldo"/>
      <sheetName val="SOMA"/>
      <sheetName val="resumo"/>
      <sheetName val="Composição TCPOWe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P após 2015"/>
      <sheetName val="INCC"/>
      <sheetName val="IGP-DI"/>
      <sheetName val="PROPOSTA"/>
      <sheetName val="med_SEM REEQ"/>
      <sheetName val="med a"/>
      <sheetName val="med b"/>
      <sheetName val="med c"/>
      <sheetName val="med d"/>
      <sheetName val="med e"/>
      <sheetName val="med f"/>
      <sheetName val="med g"/>
      <sheetName val="med h"/>
      <sheetName val="med i"/>
      <sheetName val="med-soma"/>
      <sheetName val="saldo"/>
      <sheetName val="global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GANTES"/>
      <sheetName val="Prazos e Áreas"/>
      <sheetName val="base"/>
      <sheetName val="base (2)"/>
      <sheetName val="Cronograma PAM"/>
      <sheetName val="Cronograma SFM"/>
      <sheetName val="BDI"/>
      <sheetName val="Grandes Itens"/>
      <sheetName val="ENSAIOS DE ORÇAMENTO"/>
      <sheetName val="analise"/>
      <sheetName val="viab-pav"/>
      <sheetName val="Novos Traços"/>
    </sheetNames>
    <sheetDataSet>
      <sheetData sheetId="0"/>
      <sheetData sheetId="1"/>
      <sheetData sheetId="2"/>
      <sheetData sheetId="3">
        <row r="1">
          <cell r="A1" t="str">
            <v>N</v>
          </cell>
          <cell r="B1">
            <v>3</v>
          </cell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</row>
        <row r="2">
          <cell r="A2" t="str">
            <v>3|1</v>
          </cell>
          <cell r="B2">
            <v>1</v>
          </cell>
          <cell r="C2" t="str">
            <v>SERVIÇOS PRELIMINARES</v>
          </cell>
          <cell r="D2">
            <v>1</v>
          </cell>
          <cell r="E2">
            <v>50</v>
          </cell>
          <cell r="F2">
            <v>50</v>
          </cell>
          <cell r="G2"/>
          <cell r="H2"/>
          <cell r="I2"/>
          <cell r="J2"/>
          <cell r="K2"/>
          <cell r="L2"/>
          <cell r="M2"/>
          <cell r="N2"/>
          <cell r="O2"/>
          <cell r="P2"/>
        </row>
        <row r="3">
          <cell r="A3" t="str">
            <v>3|2</v>
          </cell>
          <cell r="B3" t="str">
            <v>2</v>
          </cell>
          <cell r="C3" t="str">
            <v>TERRAPLENAGEM</v>
          </cell>
          <cell r="D3">
            <v>2</v>
          </cell>
          <cell r="E3">
            <v>50</v>
          </cell>
          <cell r="F3">
            <v>50</v>
          </cell>
          <cell r="G3"/>
          <cell r="H3"/>
          <cell r="I3"/>
          <cell r="J3"/>
          <cell r="K3"/>
          <cell r="L3"/>
          <cell r="M3"/>
          <cell r="N3"/>
          <cell r="O3"/>
          <cell r="P3"/>
        </row>
        <row r="4">
          <cell r="A4" t="str">
            <v>3|3</v>
          </cell>
          <cell r="B4" t="str">
            <v>3</v>
          </cell>
          <cell r="C4" t="str">
            <v>BASE / SUB-BASE</v>
          </cell>
          <cell r="D4">
            <v>3</v>
          </cell>
          <cell r="E4">
            <v>25</v>
          </cell>
          <cell r="F4">
            <v>60</v>
          </cell>
          <cell r="G4">
            <v>15</v>
          </cell>
          <cell r="H4"/>
          <cell r="I4"/>
          <cell r="J4"/>
          <cell r="K4"/>
          <cell r="L4"/>
          <cell r="M4"/>
          <cell r="N4"/>
          <cell r="O4"/>
          <cell r="P4"/>
        </row>
        <row r="5">
          <cell r="A5" t="str">
            <v>3|4</v>
          </cell>
          <cell r="B5" t="str">
            <v>4</v>
          </cell>
          <cell r="C5" t="str">
            <v>REVESTIMENTO</v>
          </cell>
          <cell r="D5">
            <v>4</v>
          </cell>
          <cell r="E5"/>
          <cell r="F5">
            <v>50</v>
          </cell>
          <cell r="G5">
            <v>50</v>
          </cell>
          <cell r="H5"/>
          <cell r="I5"/>
          <cell r="J5"/>
          <cell r="K5"/>
          <cell r="L5"/>
          <cell r="M5"/>
          <cell r="N5"/>
          <cell r="O5"/>
          <cell r="P5"/>
        </row>
        <row r="6">
          <cell r="A6" t="str">
            <v>3|5</v>
          </cell>
          <cell r="B6" t="str">
            <v>5</v>
          </cell>
          <cell r="C6" t="str">
            <v>MEIO-FIO E SARJETA</v>
          </cell>
          <cell r="D6">
            <v>5</v>
          </cell>
          <cell r="E6">
            <v>20</v>
          </cell>
          <cell r="F6">
            <v>50</v>
          </cell>
          <cell r="G6">
            <v>30</v>
          </cell>
          <cell r="H6"/>
          <cell r="I6"/>
          <cell r="J6"/>
          <cell r="K6"/>
          <cell r="L6"/>
          <cell r="M6"/>
          <cell r="N6"/>
          <cell r="O6"/>
          <cell r="P6"/>
        </row>
        <row r="7">
          <cell r="A7" t="str">
            <v>3|6</v>
          </cell>
          <cell r="B7" t="str">
            <v>6</v>
          </cell>
          <cell r="C7" t="str">
            <v>PAISAGISMO / URBANISMO</v>
          </cell>
          <cell r="D7">
            <v>3</v>
          </cell>
          <cell r="E7"/>
          <cell r="F7">
            <v>50</v>
          </cell>
          <cell r="G7">
            <v>50</v>
          </cell>
          <cell r="H7"/>
          <cell r="I7"/>
          <cell r="J7"/>
          <cell r="K7"/>
          <cell r="L7"/>
          <cell r="M7"/>
          <cell r="N7"/>
          <cell r="O7"/>
          <cell r="P7"/>
        </row>
        <row r="8">
          <cell r="A8" t="str">
            <v>3|7</v>
          </cell>
          <cell r="B8" t="str">
            <v>7</v>
          </cell>
          <cell r="C8" t="str">
            <v>SINALIZAÇÃO DE TRÂNSITO</v>
          </cell>
          <cell r="D8">
            <v>5</v>
          </cell>
          <cell r="E8"/>
          <cell r="F8">
            <v>20</v>
          </cell>
          <cell r="G8">
            <v>80</v>
          </cell>
          <cell r="H8"/>
          <cell r="I8"/>
          <cell r="J8"/>
          <cell r="K8"/>
          <cell r="L8"/>
          <cell r="M8"/>
          <cell r="N8"/>
          <cell r="O8"/>
          <cell r="P8"/>
        </row>
        <row r="9">
          <cell r="A9" t="str">
            <v>3|8</v>
          </cell>
          <cell r="B9" t="str">
            <v>8</v>
          </cell>
          <cell r="C9" t="str">
            <v>ILUMINAÇÃO PÚBLICA</v>
          </cell>
          <cell r="D9">
            <v>6</v>
          </cell>
          <cell r="E9"/>
          <cell r="F9">
            <v>50</v>
          </cell>
          <cell r="G9">
            <v>50</v>
          </cell>
          <cell r="H9"/>
          <cell r="I9"/>
          <cell r="J9"/>
          <cell r="K9"/>
          <cell r="L9"/>
          <cell r="M9"/>
          <cell r="N9"/>
          <cell r="O9"/>
          <cell r="P9"/>
        </row>
        <row r="10">
          <cell r="A10" t="str">
            <v>3|9</v>
          </cell>
          <cell r="B10" t="str">
            <v>9</v>
          </cell>
          <cell r="C10" t="str">
            <v>SERVIÇOS DIVERSOS</v>
          </cell>
          <cell r="D10">
            <v>6</v>
          </cell>
          <cell r="E10">
            <v>30</v>
          </cell>
          <cell r="F10">
            <v>40</v>
          </cell>
          <cell r="G10">
            <v>30</v>
          </cell>
          <cell r="H10"/>
          <cell r="I10"/>
          <cell r="J10"/>
          <cell r="K10"/>
          <cell r="L10"/>
          <cell r="M10"/>
          <cell r="N10"/>
          <cell r="O10"/>
          <cell r="P10"/>
        </row>
        <row r="11">
          <cell r="A11" t="str">
            <v>3|10</v>
          </cell>
          <cell r="B11" t="str">
            <v>10</v>
          </cell>
          <cell r="C11" t="str">
            <v>DRENAGEM</v>
          </cell>
          <cell r="D11"/>
          <cell r="E11">
            <v>60</v>
          </cell>
          <cell r="F11">
            <v>40</v>
          </cell>
          <cell r="G11"/>
          <cell r="H11"/>
          <cell r="I11"/>
          <cell r="J11"/>
          <cell r="K11"/>
          <cell r="L11"/>
          <cell r="M11"/>
          <cell r="N11"/>
          <cell r="O11"/>
          <cell r="P11"/>
        </row>
        <row r="12">
          <cell r="A12" t="str">
            <v>3|11</v>
          </cell>
          <cell r="B12" t="str">
            <v>11</v>
          </cell>
          <cell r="C12" t="str">
            <v>ENSAIOS TECNOLÓGICOS</v>
          </cell>
          <cell r="D12"/>
          <cell r="E12">
            <v>15</v>
          </cell>
          <cell r="F12">
            <v>60</v>
          </cell>
          <cell r="G12">
            <v>25</v>
          </cell>
          <cell r="H12"/>
          <cell r="I12"/>
          <cell r="J12"/>
          <cell r="K12"/>
          <cell r="L12"/>
          <cell r="M12"/>
          <cell r="N12"/>
          <cell r="O12"/>
          <cell r="P12"/>
        </row>
        <row r="14">
          <cell r="A14" t="str">
            <v>N</v>
          </cell>
          <cell r="B14">
            <v>4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</row>
        <row r="15">
          <cell r="A15" t="str">
            <v>4|1</v>
          </cell>
          <cell r="B15">
            <v>1</v>
          </cell>
          <cell r="C15" t="str">
            <v>SERVIÇOS PRELIMINARES</v>
          </cell>
          <cell r="D15">
            <v>1</v>
          </cell>
          <cell r="E15">
            <v>45</v>
          </cell>
          <cell r="F15">
            <v>45</v>
          </cell>
          <cell r="G15">
            <v>10</v>
          </cell>
          <cell r="H15"/>
          <cell r="I15"/>
          <cell r="J15"/>
          <cell r="K15"/>
          <cell r="L15"/>
          <cell r="M15"/>
          <cell r="N15"/>
          <cell r="O15"/>
          <cell r="P15"/>
        </row>
        <row r="16">
          <cell r="A16" t="str">
            <v>4|2</v>
          </cell>
          <cell r="B16" t="str">
            <v>2</v>
          </cell>
          <cell r="C16" t="str">
            <v>TERRAPLENAGEM</v>
          </cell>
          <cell r="D16">
            <v>2</v>
          </cell>
          <cell r="E16">
            <v>40</v>
          </cell>
          <cell r="F16">
            <v>40</v>
          </cell>
          <cell r="G16">
            <v>20</v>
          </cell>
          <cell r="H16"/>
          <cell r="I16"/>
          <cell r="J16"/>
          <cell r="K16"/>
          <cell r="L16"/>
          <cell r="M16"/>
          <cell r="N16"/>
          <cell r="O16"/>
          <cell r="P16"/>
        </row>
        <row r="17">
          <cell r="A17" t="str">
            <v>4|3</v>
          </cell>
          <cell r="B17" t="str">
            <v>3</v>
          </cell>
          <cell r="C17" t="str">
            <v>BASE / SUB-BASE</v>
          </cell>
          <cell r="D17">
            <v>3</v>
          </cell>
          <cell r="E17">
            <v>20</v>
          </cell>
          <cell r="F17">
            <v>35</v>
          </cell>
          <cell r="G17">
            <v>35</v>
          </cell>
          <cell r="H17">
            <v>10</v>
          </cell>
          <cell r="I17"/>
          <cell r="J17"/>
          <cell r="K17"/>
          <cell r="L17"/>
          <cell r="M17"/>
          <cell r="N17"/>
          <cell r="O17"/>
          <cell r="P17"/>
        </row>
        <row r="18">
          <cell r="A18" t="str">
            <v>4|4</v>
          </cell>
          <cell r="B18" t="str">
            <v>4</v>
          </cell>
          <cell r="C18" t="str">
            <v>REVESTIMENTO</v>
          </cell>
          <cell r="D18">
            <v>4</v>
          </cell>
          <cell r="E18"/>
          <cell r="F18">
            <v>35</v>
          </cell>
          <cell r="G18">
            <v>35</v>
          </cell>
          <cell r="H18">
            <v>30</v>
          </cell>
          <cell r="I18"/>
          <cell r="J18"/>
          <cell r="K18"/>
          <cell r="L18"/>
          <cell r="M18"/>
          <cell r="N18"/>
          <cell r="O18"/>
          <cell r="P18"/>
        </row>
        <row r="19">
          <cell r="A19" t="str">
            <v>4|5</v>
          </cell>
          <cell r="B19" t="str">
            <v>5</v>
          </cell>
          <cell r="C19" t="str">
            <v>MEIO-FIO E SARJETA</v>
          </cell>
          <cell r="D19">
            <v>5</v>
          </cell>
          <cell r="E19">
            <v>10</v>
          </cell>
          <cell r="F19">
            <v>35</v>
          </cell>
          <cell r="G19">
            <v>35</v>
          </cell>
          <cell r="H19">
            <v>20</v>
          </cell>
          <cell r="I19"/>
          <cell r="J19"/>
          <cell r="K19"/>
          <cell r="L19"/>
          <cell r="M19"/>
          <cell r="N19"/>
          <cell r="O19"/>
          <cell r="P19"/>
        </row>
        <row r="20">
          <cell r="A20" t="str">
            <v>4|6</v>
          </cell>
          <cell r="B20" t="str">
            <v>6</v>
          </cell>
          <cell r="C20" t="str">
            <v>PAISAGISMO / URBANISMO</v>
          </cell>
          <cell r="D20">
            <v>3</v>
          </cell>
          <cell r="E20"/>
          <cell r="F20">
            <v>35</v>
          </cell>
          <cell r="G20">
            <v>35</v>
          </cell>
          <cell r="H20">
            <v>30</v>
          </cell>
          <cell r="I20"/>
          <cell r="J20"/>
          <cell r="K20"/>
          <cell r="L20"/>
          <cell r="M20"/>
          <cell r="N20"/>
          <cell r="O20"/>
          <cell r="P20"/>
        </row>
        <row r="21">
          <cell r="A21" t="str">
            <v>4|7</v>
          </cell>
          <cell r="B21" t="str">
            <v>7</v>
          </cell>
          <cell r="C21" t="str">
            <v>SINALIZAÇÃO DE TRÂNSITO</v>
          </cell>
          <cell r="D21">
            <v>5</v>
          </cell>
          <cell r="E21"/>
          <cell r="F21">
            <v>15</v>
          </cell>
          <cell r="G21">
            <v>60</v>
          </cell>
          <cell r="H21">
            <v>25</v>
          </cell>
          <cell r="I21"/>
          <cell r="J21"/>
          <cell r="K21"/>
          <cell r="L21"/>
          <cell r="M21"/>
          <cell r="N21"/>
          <cell r="O21"/>
          <cell r="P21"/>
        </row>
        <row r="22">
          <cell r="A22" t="str">
            <v>4|8</v>
          </cell>
          <cell r="B22" t="str">
            <v>8</v>
          </cell>
          <cell r="C22" t="str">
            <v>ILUMINAÇÃO PÚBLICA</v>
          </cell>
          <cell r="D22">
            <v>6</v>
          </cell>
          <cell r="E22"/>
          <cell r="F22">
            <v>30</v>
          </cell>
          <cell r="G22">
            <v>40</v>
          </cell>
          <cell r="H22">
            <v>30</v>
          </cell>
          <cell r="I22"/>
          <cell r="J22"/>
          <cell r="K22"/>
          <cell r="L22"/>
          <cell r="M22"/>
          <cell r="N22"/>
          <cell r="O22"/>
          <cell r="P22"/>
        </row>
        <row r="23">
          <cell r="A23" t="str">
            <v>4|9</v>
          </cell>
          <cell r="B23" t="str">
            <v>9</v>
          </cell>
          <cell r="C23" t="str">
            <v>SERVIÇOS DIVERSOS</v>
          </cell>
          <cell r="D23">
            <v>6</v>
          </cell>
          <cell r="E23">
            <v>10</v>
          </cell>
          <cell r="F23">
            <v>35</v>
          </cell>
          <cell r="G23">
            <v>35</v>
          </cell>
          <cell r="H23">
            <v>20</v>
          </cell>
          <cell r="I23"/>
          <cell r="J23"/>
          <cell r="K23"/>
          <cell r="L23"/>
          <cell r="M23"/>
          <cell r="N23"/>
          <cell r="O23"/>
          <cell r="P23"/>
        </row>
        <row r="24">
          <cell r="A24" t="str">
            <v>4|10</v>
          </cell>
          <cell r="B24" t="str">
            <v>10</v>
          </cell>
          <cell r="C24" t="str">
            <v>DRENAGEM</v>
          </cell>
          <cell r="D24"/>
          <cell r="E24">
            <v>40</v>
          </cell>
          <cell r="F24">
            <v>40</v>
          </cell>
          <cell r="G24">
            <v>20</v>
          </cell>
          <cell r="H24"/>
          <cell r="I24"/>
          <cell r="J24"/>
          <cell r="K24"/>
          <cell r="L24"/>
          <cell r="M24"/>
          <cell r="N24"/>
          <cell r="O24"/>
          <cell r="P24"/>
        </row>
        <row r="25">
          <cell r="A25" t="str">
            <v>4|11</v>
          </cell>
          <cell r="B25" t="str">
            <v>11</v>
          </cell>
          <cell r="C25" t="str">
            <v>ENSAIOS TECNOLÓGICOS</v>
          </cell>
          <cell r="D25"/>
          <cell r="E25">
            <v>10</v>
          </cell>
          <cell r="F25">
            <v>35</v>
          </cell>
          <cell r="G25">
            <v>35</v>
          </cell>
          <cell r="H25">
            <v>20</v>
          </cell>
          <cell r="I25"/>
          <cell r="J25"/>
          <cell r="K25"/>
          <cell r="L25"/>
          <cell r="M25"/>
          <cell r="N25"/>
          <cell r="O25"/>
          <cell r="P25"/>
        </row>
        <row r="27">
          <cell r="A27" t="str">
            <v>N</v>
          </cell>
          <cell r="B27">
            <v>5</v>
          </cell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</row>
        <row r="28">
          <cell r="A28" t="str">
            <v>5|1</v>
          </cell>
          <cell r="B28">
            <v>1</v>
          </cell>
          <cell r="C28" t="str">
            <v>SERVIÇOS PRELIMINARES</v>
          </cell>
          <cell r="D28">
            <v>1</v>
          </cell>
          <cell r="E28">
            <v>40</v>
          </cell>
          <cell r="F28">
            <v>30</v>
          </cell>
          <cell r="G28">
            <v>25</v>
          </cell>
          <cell r="H28">
            <v>5</v>
          </cell>
          <cell r="I28"/>
          <cell r="J28"/>
          <cell r="K28"/>
          <cell r="L28"/>
          <cell r="M28"/>
          <cell r="N28"/>
          <cell r="O28"/>
          <cell r="P28"/>
        </row>
        <row r="29">
          <cell r="A29" t="str">
            <v>5|2</v>
          </cell>
          <cell r="B29" t="str">
            <v>2</v>
          </cell>
          <cell r="C29" t="str">
            <v>TERRAPLENAGEM</v>
          </cell>
          <cell r="D29">
            <v>2</v>
          </cell>
          <cell r="E29">
            <v>30</v>
          </cell>
          <cell r="F29">
            <v>30</v>
          </cell>
          <cell r="G29">
            <v>30</v>
          </cell>
          <cell r="H29">
            <v>10</v>
          </cell>
          <cell r="I29"/>
          <cell r="J29"/>
          <cell r="K29"/>
          <cell r="L29"/>
          <cell r="M29"/>
          <cell r="N29"/>
          <cell r="O29"/>
          <cell r="P29"/>
        </row>
        <row r="30">
          <cell r="A30" t="str">
            <v>5|3</v>
          </cell>
          <cell r="B30" t="str">
            <v>3</v>
          </cell>
          <cell r="C30" t="str">
            <v>BASE / SUB-BASE</v>
          </cell>
          <cell r="D30">
            <v>3</v>
          </cell>
          <cell r="E30">
            <v>10</v>
          </cell>
          <cell r="F30">
            <v>30</v>
          </cell>
          <cell r="G30">
            <v>30</v>
          </cell>
          <cell r="H30">
            <v>25</v>
          </cell>
          <cell r="I30">
            <v>5</v>
          </cell>
          <cell r="J30"/>
          <cell r="K30"/>
          <cell r="L30"/>
          <cell r="M30"/>
          <cell r="N30"/>
          <cell r="O30"/>
          <cell r="P30"/>
        </row>
        <row r="31">
          <cell r="A31" t="str">
            <v>5|4</v>
          </cell>
          <cell r="B31" t="str">
            <v>4</v>
          </cell>
          <cell r="C31" t="str">
            <v>REVESTIMENTO</v>
          </cell>
          <cell r="D31">
            <v>4</v>
          </cell>
          <cell r="E31"/>
          <cell r="F31">
            <v>15</v>
          </cell>
          <cell r="G31">
            <v>30</v>
          </cell>
          <cell r="H31">
            <v>30</v>
          </cell>
          <cell r="I31">
            <v>25</v>
          </cell>
          <cell r="J31"/>
          <cell r="K31"/>
          <cell r="L31"/>
          <cell r="M31"/>
          <cell r="N31"/>
          <cell r="O31"/>
          <cell r="P31"/>
        </row>
        <row r="32">
          <cell r="A32" t="str">
            <v>5|5</v>
          </cell>
          <cell r="B32" t="str">
            <v>5</v>
          </cell>
          <cell r="C32" t="str">
            <v>MEIO-FIO E SARJETA</v>
          </cell>
          <cell r="D32">
            <v>5</v>
          </cell>
          <cell r="E32"/>
          <cell r="F32">
            <v>25</v>
          </cell>
          <cell r="G32">
            <v>35</v>
          </cell>
          <cell r="H32">
            <v>35</v>
          </cell>
          <cell r="I32">
            <v>5</v>
          </cell>
          <cell r="J32"/>
          <cell r="K32"/>
          <cell r="L32"/>
          <cell r="M32"/>
          <cell r="N32"/>
          <cell r="O32"/>
          <cell r="P32"/>
        </row>
        <row r="33">
          <cell r="A33" t="str">
            <v>5|6</v>
          </cell>
          <cell r="B33" t="str">
            <v>6</v>
          </cell>
          <cell r="C33" t="str">
            <v>PAISAGISMO / URBANISMO</v>
          </cell>
          <cell r="D33">
            <v>3</v>
          </cell>
          <cell r="E33"/>
          <cell r="F33">
            <v>5</v>
          </cell>
          <cell r="G33">
            <v>40</v>
          </cell>
          <cell r="H33">
            <v>30</v>
          </cell>
          <cell r="I33">
            <v>25</v>
          </cell>
          <cell r="J33"/>
          <cell r="K33"/>
          <cell r="L33"/>
          <cell r="M33"/>
          <cell r="N33"/>
          <cell r="O33"/>
          <cell r="P33"/>
        </row>
        <row r="34">
          <cell r="A34" t="str">
            <v>5|7</v>
          </cell>
          <cell r="B34" t="str">
            <v>7</v>
          </cell>
          <cell r="C34" t="str">
            <v>SINALIZAÇÃO DE TRÂNSITO</v>
          </cell>
          <cell r="D34">
            <v>5</v>
          </cell>
          <cell r="E34"/>
          <cell r="F34">
            <v>10</v>
          </cell>
          <cell r="G34">
            <v>35</v>
          </cell>
          <cell r="H34">
            <v>35</v>
          </cell>
          <cell r="I34">
            <v>20</v>
          </cell>
          <cell r="J34"/>
          <cell r="K34"/>
          <cell r="L34"/>
          <cell r="M34"/>
          <cell r="N34"/>
          <cell r="O34"/>
          <cell r="P34"/>
        </row>
        <row r="35">
          <cell r="A35" t="str">
            <v>5|8</v>
          </cell>
          <cell r="B35" t="str">
            <v>8</v>
          </cell>
          <cell r="C35" t="str">
            <v>ILUMINAÇÃO PÚBLICA</v>
          </cell>
          <cell r="D35">
            <v>6</v>
          </cell>
          <cell r="E35"/>
          <cell r="F35">
            <v>10</v>
          </cell>
          <cell r="G35">
            <v>35</v>
          </cell>
          <cell r="H35">
            <v>35</v>
          </cell>
          <cell r="I35">
            <v>20</v>
          </cell>
          <cell r="J35"/>
          <cell r="K35"/>
          <cell r="L35"/>
          <cell r="M35"/>
          <cell r="N35"/>
          <cell r="O35"/>
          <cell r="P35"/>
        </row>
        <row r="36">
          <cell r="A36" t="str">
            <v>5|9</v>
          </cell>
          <cell r="B36" t="str">
            <v>9</v>
          </cell>
          <cell r="C36" t="str">
            <v>SERVIÇOS DIVERSOS</v>
          </cell>
          <cell r="D36">
            <v>6</v>
          </cell>
          <cell r="E36">
            <v>5</v>
          </cell>
          <cell r="F36">
            <v>25</v>
          </cell>
          <cell r="G36">
            <v>25</v>
          </cell>
          <cell r="H36">
            <v>25</v>
          </cell>
          <cell r="I36">
            <v>20</v>
          </cell>
          <cell r="J36"/>
          <cell r="K36"/>
          <cell r="L36"/>
          <cell r="M36"/>
          <cell r="N36"/>
          <cell r="O36"/>
          <cell r="P36"/>
        </row>
        <row r="37">
          <cell r="A37" t="str">
            <v>5|10</v>
          </cell>
          <cell r="B37" t="str">
            <v>10</v>
          </cell>
          <cell r="C37" t="str">
            <v>DRENAGEM</v>
          </cell>
          <cell r="D37"/>
          <cell r="E37">
            <v>25</v>
          </cell>
          <cell r="F37">
            <v>30</v>
          </cell>
          <cell r="G37">
            <v>30</v>
          </cell>
          <cell r="H37">
            <v>15</v>
          </cell>
          <cell r="I37"/>
          <cell r="J37"/>
          <cell r="K37"/>
          <cell r="L37"/>
          <cell r="M37"/>
          <cell r="N37"/>
          <cell r="O37"/>
          <cell r="P37"/>
        </row>
        <row r="38">
          <cell r="A38" t="str">
            <v>5|11</v>
          </cell>
          <cell r="B38" t="str">
            <v>11</v>
          </cell>
          <cell r="C38" t="str">
            <v>ENSAIOS TECNOLÓGICOS</v>
          </cell>
          <cell r="D38"/>
          <cell r="E38">
            <v>7</v>
          </cell>
          <cell r="F38">
            <v>21</v>
          </cell>
          <cell r="G38">
            <v>27</v>
          </cell>
          <cell r="H38">
            <v>28</v>
          </cell>
          <cell r="I38">
            <v>17</v>
          </cell>
          <cell r="J38"/>
          <cell r="K38"/>
          <cell r="L38"/>
          <cell r="M38"/>
          <cell r="N38"/>
          <cell r="O38"/>
          <cell r="P38"/>
        </row>
        <row r="40">
          <cell r="A40" t="str">
            <v>N</v>
          </cell>
          <cell r="B40">
            <v>6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</row>
        <row r="41">
          <cell r="A41" t="str">
            <v>6|1</v>
          </cell>
          <cell r="B41">
            <v>1</v>
          </cell>
          <cell r="C41" t="str">
            <v>SERVIÇOS PRELIMINARES</v>
          </cell>
          <cell r="D41">
            <v>1</v>
          </cell>
          <cell r="E41">
            <v>20</v>
          </cell>
          <cell r="F41">
            <v>30</v>
          </cell>
          <cell r="G41">
            <v>30</v>
          </cell>
          <cell r="H41">
            <v>20</v>
          </cell>
          <cell r="I41"/>
          <cell r="J41"/>
          <cell r="K41"/>
          <cell r="L41"/>
          <cell r="M41"/>
          <cell r="N41"/>
          <cell r="O41"/>
          <cell r="P41"/>
        </row>
        <row r="42">
          <cell r="A42" t="str">
            <v>6|2</v>
          </cell>
          <cell r="B42" t="str">
            <v>2</v>
          </cell>
          <cell r="C42" t="str">
            <v>TERRAPLENAGEM</v>
          </cell>
          <cell r="D42">
            <v>2</v>
          </cell>
          <cell r="E42">
            <v>15</v>
          </cell>
          <cell r="F42">
            <v>25</v>
          </cell>
          <cell r="G42">
            <v>30</v>
          </cell>
          <cell r="H42">
            <v>25</v>
          </cell>
          <cell r="I42">
            <v>5</v>
          </cell>
          <cell r="J42"/>
          <cell r="K42"/>
          <cell r="L42"/>
          <cell r="M42"/>
          <cell r="N42"/>
          <cell r="O42"/>
          <cell r="P42"/>
        </row>
        <row r="43">
          <cell r="A43" t="str">
            <v>6|3</v>
          </cell>
          <cell r="B43" t="str">
            <v>3</v>
          </cell>
          <cell r="C43" t="str">
            <v>BASE / SUB-BASE</v>
          </cell>
          <cell r="D43">
            <v>3</v>
          </cell>
          <cell r="E43">
            <v>5</v>
          </cell>
          <cell r="F43">
            <v>20</v>
          </cell>
          <cell r="G43">
            <v>30</v>
          </cell>
          <cell r="H43">
            <v>25</v>
          </cell>
          <cell r="I43">
            <v>20</v>
          </cell>
          <cell r="J43"/>
          <cell r="K43"/>
          <cell r="L43"/>
          <cell r="M43"/>
          <cell r="N43"/>
          <cell r="O43"/>
          <cell r="P43"/>
        </row>
        <row r="44">
          <cell r="A44" t="str">
            <v>6|4</v>
          </cell>
          <cell r="B44" t="str">
            <v>4</v>
          </cell>
          <cell r="C44" t="str">
            <v>REVESTIMENTO</v>
          </cell>
          <cell r="D44">
            <v>4</v>
          </cell>
          <cell r="E44"/>
          <cell r="F44">
            <v>5</v>
          </cell>
          <cell r="G44">
            <v>20</v>
          </cell>
          <cell r="H44">
            <v>30</v>
          </cell>
          <cell r="I44">
            <v>25</v>
          </cell>
          <cell r="J44">
            <v>20</v>
          </cell>
          <cell r="K44"/>
          <cell r="L44"/>
          <cell r="M44"/>
          <cell r="N44"/>
          <cell r="O44"/>
          <cell r="P44"/>
        </row>
        <row r="45">
          <cell r="A45" t="str">
            <v>6|5</v>
          </cell>
          <cell r="B45" t="str">
            <v>5</v>
          </cell>
          <cell r="C45" t="str">
            <v>MEIO-FIO E SARJETA</v>
          </cell>
          <cell r="D45">
            <v>5</v>
          </cell>
          <cell r="E45"/>
          <cell r="F45">
            <v>15</v>
          </cell>
          <cell r="G45">
            <v>30</v>
          </cell>
          <cell r="H45">
            <v>30</v>
          </cell>
          <cell r="I45">
            <v>25</v>
          </cell>
          <cell r="J45"/>
          <cell r="K45"/>
          <cell r="L45"/>
          <cell r="M45"/>
          <cell r="N45"/>
          <cell r="O45"/>
          <cell r="P45"/>
        </row>
        <row r="46">
          <cell r="A46" t="str">
            <v>6|6</v>
          </cell>
          <cell r="B46" t="str">
            <v>6</v>
          </cell>
          <cell r="C46" t="str">
            <v>PAISAGISMO / URBANISMO</v>
          </cell>
          <cell r="D46">
            <v>3</v>
          </cell>
          <cell r="E46"/>
          <cell r="F46">
            <v>5</v>
          </cell>
          <cell r="G46">
            <v>10</v>
          </cell>
          <cell r="H46">
            <v>30</v>
          </cell>
          <cell r="I46">
            <v>30</v>
          </cell>
          <cell r="J46">
            <v>25</v>
          </cell>
          <cell r="K46"/>
          <cell r="L46"/>
          <cell r="M46"/>
          <cell r="N46"/>
          <cell r="O46"/>
          <cell r="P46"/>
        </row>
        <row r="47">
          <cell r="A47" t="str">
            <v>6|7</v>
          </cell>
          <cell r="B47" t="str">
            <v>7</v>
          </cell>
          <cell r="C47" t="str">
            <v>SINALIZAÇÃO DE TRÂNSITO</v>
          </cell>
          <cell r="D47">
            <v>5</v>
          </cell>
          <cell r="E47"/>
          <cell r="F47"/>
          <cell r="G47">
            <v>20</v>
          </cell>
          <cell r="H47">
            <v>20</v>
          </cell>
          <cell r="I47">
            <v>30</v>
          </cell>
          <cell r="J47">
            <v>30</v>
          </cell>
          <cell r="K47"/>
          <cell r="L47"/>
          <cell r="M47"/>
          <cell r="N47"/>
          <cell r="O47"/>
          <cell r="P47"/>
        </row>
        <row r="48">
          <cell r="A48" t="str">
            <v>6|8</v>
          </cell>
          <cell r="B48" t="str">
            <v>8</v>
          </cell>
          <cell r="C48" t="str">
            <v>ILUMINAÇÃO PÚBLICA</v>
          </cell>
          <cell r="D48">
            <v>6</v>
          </cell>
          <cell r="E48"/>
          <cell r="F48"/>
          <cell r="G48">
            <v>20</v>
          </cell>
          <cell r="H48">
            <v>30</v>
          </cell>
          <cell r="I48">
            <v>30</v>
          </cell>
          <cell r="J48">
            <v>20</v>
          </cell>
          <cell r="K48"/>
          <cell r="L48"/>
          <cell r="M48"/>
          <cell r="N48"/>
          <cell r="O48"/>
          <cell r="P48"/>
        </row>
        <row r="49">
          <cell r="A49" t="str">
            <v>6|9</v>
          </cell>
          <cell r="B49" t="str">
            <v>9</v>
          </cell>
          <cell r="C49" t="str">
            <v>SERVIÇOS DIVERSOS</v>
          </cell>
          <cell r="D49">
            <v>6</v>
          </cell>
          <cell r="E49">
            <v>5</v>
          </cell>
          <cell r="F49">
            <v>15</v>
          </cell>
          <cell r="G49">
            <v>25</v>
          </cell>
          <cell r="H49">
            <v>25</v>
          </cell>
          <cell r="I49">
            <v>20</v>
          </cell>
          <cell r="J49">
            <v>10</v>
          </cell>
          <cell r="K49"/>
          <cell r="L49"/>
          <cell r="M49"/>
          <cell r="N49"/>
          <cell r="O49"/>
          <cell r="P49"/>
        </row>
        <row r="50">
          <cell r="A50" t="str">
            <v>6|10</v>
          </cell>
          <cell r="B50" t="str">
            <v>10</v>
          </cell>
          <cell r="C50" t="str">
            <v>DRENAGEM</v>
          </cell>
          <cell r="D50"/>
          <cell r="E50">
            <v>20</v>
          </cell>
          <cell r="F50">
            <v>30</v>
          </cell>
          <cell r="G50">
            <v>30</v>
          </cell>
          <cell r="H50">
            <v>15</v>
          </cell>
          <cell r="I50">
            <v>5</v>
          </cell>
          <cell r="J50"/>
          <cell r="K50"/>
          <cell r="L50"/>
          <cell r="M50"/>
          <cell r="N50"/>
          <cell r="O50"/>
          <cell r="P50"/>
        </row>
        <row r="51">
          <cell r="A51" t="str">
            <v>6|11</v>
          </cell>
          <cell r="B51" t="str">
            <v>11</v>
          </cell>
          <cell r="C51" t="str">
            <v>ENSAIOS TECNOLÓGICOS</v>
          </cell>
          <cell r="D51"/>
          <cell r="E51">
            <v>3</v>
          </cell>
          <cell r="F51">
            <v>12</v>
          </cell>
          <cell r="G51">
            <v>25</v>
          </cell>
          <cell r="H51">
            <v>28</v>
          </cell>
          <cell r="I51">
            <v>21</v>
          </cell>
          <cell r="J51">
            <v>11</v>
          </cell>
          <cell r="K51"/>
          <cell r="L51"/>
          <cell r="M51"/>
          <cell r="N51"/>
          <cell r="O51"/>
          <cell r="P51"/>
        </row>
        <row r="53">
          <cell r="A53" t="str">
            <v>N</v>
          </cell>
          <cell r="B53">
            <v>7</v>
          </cell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</row>
        <row r="54">
          <cell r="A54" t="str">
            <v>7|1</v>
          </cell>
          <cell r="B54">
            <v>1</v>
          </cell>
          <cell r="C54" t="str">
            <v>SERVIÇOS PRELIMINARES</v>
          </cell>
          <cell r="D54">
            <v>1</v>
          </cell>
          <cell r="E54">
            <v>15</v>
          </cell>
          <cell r="F54">
            <v>30</v>
          </cell>
          <cell r="G54">
            <v>30</v>
          </cell>
          <cell r="H54">
            <v>20</v>
          </cell>
          <cell r="I54">
            <v>5</v>
          </cell>
          <cell r="J54"/>
          <cell r="K54"/>
          <cell r="L54"/>
          <cell r="M54"/>
          <cell r="N54"/>
          <cell r="O54"/>
          <cell r="P54"/>
        </row>
        <row r="55">
          <cell r="A55" t="str">
            <v>7|2</v>
          </cell>
          <cell r="B55" t="str">
            <v>2</v>
          </cell>
          <cell r="C55" t="str">
            <v>TERRAPLENAGEM</v>
          </cell>
          <cell r="D55">
            <v>2</v>
          </cell>
          <cell r="E55">
            <v>15</v>
          </cell>
          <cell r="F55">
            <v>20</v>
          </cell>
          <cell r="G55">
            <v>25</v>
          </cell>
          <cell r="H55">
            <v>25</v>
          </cell>
          <cell r="I55">
            <v>15</v>
          </cell>
          <cell r="J55"/>
          <cell r="K55"/>
          <cell r="L55"/>
          <cell r="M55"/>
          <cell r="N55"/>
          <cell r="O55"/>
          <cell r="P55"/>
        </row>
        <row r="56">
          <cell r="A56" t="str">
            <v>7|3</v>
          </cell>
          <cell r="B56" t="str">
            <v>3</v>
          </cell>
          <cell r="C56" t="str">
            <v>BASE / SUB-BASE</v>
          </cell>
          <cell r="D56">
            <v>3</v>
          </cell>
          <cell r="E56">
            <v>5</v>
          </cell>
          <cell r="F56">
            <v>15</v>
          </cell>
          <cell r="G56">
            <v>20</v>
          </cell>
          <cell r="H56">
            <v>25</v>
          </cell>
          <cell r="I56">
            <v>20</v>
          </cell>
          <cell r="J56">
            <v>15</v>
          </cell>
          <cell r="K56"/>
          <cell r="L56"/>
          <cell r="M56"/>
          <cell r="N56"/>
          <cell r="O56"/>
          <cell r="P56"/>
        </row>
        <row r="57">
          <cell r="A57" t="str">
            <v>7|4</v>
          </cell>
          <cell r="B57" t="str">
            <v>4</v>
          </cell>
          <cell r="C57" t="str">
            <v>REVESTIMENTO</v>
          </cell>
          <cell r="D57">
            <v>4</v>
          </cell>
          <cell r="E57"/>
          <cell r="F57"/>
          <cell r="G57">
            <v>15</v>
          </cell>
          <cell r="H57">
            <v>25</v>
          </cell>
          <cell r="I57">
            <v>25</v>
          </cell>
          <cell r="J57">
            <v>25</v>
          </cell>
          <cell r="K57">
            <v>10</v>
          </cell>
          <cell r="L57"/>
          <cell r="M57"/>
          <cell r="N57"/>
          <cell r="O57"/>
          <cell r="P57"/>
        </row>
        <row r="58">
          <cell r="A58" t="str">
            <v>7|5</v>
          </cell>
          <cell r="B58" t="str">
            <v>5</v>
          </cell>
          <cell r="C58" t="str">
            <v>MEIO-FIO E SARJETA</v>
          </cell>
          <cell r="D58">
            <v>5</v>
          </cell>
          <cell r="E58"/>
          <cell r="F58">
            <v>10</v>
          </cell>
          <cell r="G58">
            <v>15</v>
          </cell>
          <cell r="H58">
            <v>30</v>
          </cell>
          <cell r="I58">
            <v>30</v>
          </cell>
          <cell r="J58">
            <v>15</v>
          </cell>
          <cell r="K58"/>
          <cell r="L58"/>
          <cell r="M58"/>
          <cell r="N58"/>
          <cell r="O58"/>
          <cell r="P58"/>
        </row>
        <row r="59">
          <cell r="A59" t="str">
            <v>7|6</v>
          </cell>
          <cell r="B59" t="str">
            <v>6</v>
          </cell>
          <cell r="C59" t="str">
            <v>PAISAGISMO / URBANISMO</v>
          </cell>
          <cell r="D59">
            <v>3</v>
          </cell>
          <cell r="E59"/>
          <cell r="F59">
            <v>5</v>
          </cell>
          <cell r="G59">
            <v>10</v>
          </cell>
          <cell r="H59">
            <v>25</v>
          </cell>
          <cell r="I59">
            <v>25</v>
          </cell>
          <cell r="J59">
            <v>20</v>
          </cell>
          <cell r="K59">
            <v>15</v>
          </cell>
          <cell r="L59"/>
          <cell r="M59"/>
          <cell r="N59"/>
          <cell r="O59"/>
          <cell r="P59"/>
        </row>
        <row r="60">
          <cell r="A60" t="str">
            <v>7|7</v>
          </cell>
          <cell r="B60" t="str">
            <v>7</v>
          </cell>
          <cell r="C60" t="str">
            <v>SINALIZAÇÃO DE TRÂNSITO</v>
          </cell>
          <cell r="D60">
            <v>5</v>
          </cell>
          <cell r="E60"/>
          <cell r="F60"/>
          <cell r="G60">
            <v>15</v>
          </cell>
          <cell r="H60">
            <v>15</v>
          </cell>
          <cell r="I60">
            <v>25</v>
          </cell>
          <cell r="J60">
            <v>25</v>
          </cell>
          <cell r="K60">
            <v>20</v>
          </cell>
          <cell r="L60"/>
          <cell r="M60"/>
          <cell r="N60"/>
          <cell r="O60"/>
          <cell r="P60"/>
        </row>
        <row r="61">
          <cell r="A61" t="str">
            <v>7|8</v>
          </cell>
          <cell r="B61" t="str">
            <v>8</v>
          </cell>
          <cell r="C61" t="str">
            <v>ILUMINAÇÃO PÚBLICA</v>
          </cell>
          <cell r="D61">
            <v>6</v>
          </cell>
          <cell r="E61"/>
          <cell r="F61"/>
          <cell r="G61">
            <v>10</v>
          </cell>
          <cell r="H61">
            <v>20</v>
          </cell>
          <cell r="I61">
            <v>20</v>
          </cell>
          <cell r="J61">
            <v>30</v>
          </cell>
          <cell r="K61">
            <v>20</v>
          </cell>
          <cell r="L61"/>
          <cell r="M61"/>
          <cell r="N61"/>
          <cell r="O61"/>
          <cell r="P61"/>
        </row>
        <row r="62">
          <cell r="A62" t="str">
            <v>7|9</v>
          </cell>
          <cell r="B62" t="str">
            <v>9</v>
          </cell>
          <cell r="C62" t="str">
            <v>SERVIÇOS DIVERSOS</v>
          </cell>
          <cell r="D62">
            <v>6</v>
          </cell>
          <cell r="E62">
            <v>5</v>
          </cell>
          <cell r="F62">
            <v>10</v>
          </cell>
          <cell r="G62">
            <v>20</v>
          </cell>
          <cell r="H62">
            <v>20</v>
          </cell>
          <cell r="I62">
            <v>20</v>
          </cell>
          <cell r="J62">
            <v>15</v>
          </cell>
          <cell r="K62">
            <v>10</v>
          </cell>
          <cell r="L62"/>
          <cell r="M62"/>
          <cell r="N62"/>
          <cell r="O62"/>
          <cell r="P62"/>
        </row>
        <row r="63">
          <cell r="A63" t="str">
            <v>7|10</v>
          </cell>
          <cell r="B63" t="str">
            <v>10</v>
          </cell>
          <cell r="C63" t="str">
            <v>DRENAGEM</v>
          </cell>
          <cell r="D63"/>
          <cell r="E63">
            <v>15</v>
          </cell>
          <cell r="F63">
            <v>25</v>
          </cell>
          <cell r="G63">
            <v>25</v>
          </cell>
          <cell r="H63">
            <v>20</v>
          </cell>
          <cell r="I63">
            <v>10</v>
          </cell>
          <cell r="J63">
            <v>5</v>
          </cell>
          <cell r="K63"/>
          <cell r="L63"/>
          <cell r="M63"/>
          <cell r="N63"/>
          <cell r="O63"/>
          <cell r="P63"/>
        </row>
        <row r="64">
          <cell r="A64" t="str">
            <v>7|11</v>
          </cell>
          <cell r="B64" t="str">
            <v>11</v>
          </cell>
          <cell r="C64" t="str">
            <v>ENSAIOS TECNOLÓGICOS</v>
          </cell>
          <cell r="D64"/>
          <cell r="E64">
            <v>2</v>
          </cell>
          <cell r="F64">
            <v>8</v>
          </cell>
          <cell r="G64">
            <v>18</v>
          </cell>
          <cell r="H64">
            <v>20</v>
          </cell>
          <cell r="I64">
            <v>20</v>
          </cell>
          <cell r="J64">
            <v>20</v>
          </cell>
          <cell r="K64">
            <v>12</v>
          </cell>
          <cell r="L64"/>
          <cell r="M64"/>
          <cell r="N64"/>
          <cell r="O64"/>
          <cell r="P64"/>
        </row>
        <row r="66">
          <cell r="A66" t="str">
            <v>N</v>
          </cell>
          <cell r="B66">
            <v>8</v>
          </cell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</row>
        <row r="67">
          <cell r="A67" t="str">
            <v>8|1</v>
          </cell>
          <cell r="B67">
            <v>1</v>
          </cell>
          <cell r="C67" t="str">
            <v>SERVIÇOS PRELIMINARES</v>
          </cell>
          <cell r="D67">
            <v>1</v>
          </cell>
          <cell r="E67">
            <v>15</v>
          </cell>
          <cell r="F67">
            <v>20</v>
          </cell>
          <cell r="G67">
            <v>25</v>
          </cell>
          <cell r="H67">
            <v>25</v>
          </cell>
          <cell r="I67">
            <v>10</v>
          </cell>
          <cell r="J67">
            <v>5</v>
          </cell>
          <cell r="K67"/>
          <cell r="L67"/>
          <cell r="M67"/>
          <cell r="N67"/>
          <cell r="O67"/>
          <cell r="P67"/>
        </row>
        <row r="68">
          <cell r="A68" t="str">
            <v>8|2</v>
          </cell>
          <cell r="B68" t="str">
            <v>2</v>
          </cell>
          <cell r="C68" t="str">
            <v>TERRAPLENAGEM</v>
          </cell>
          <cell r="D68">
            <v>2</v>
          </cell>
          <cell r="E68">
            <v>15</v>
          </cell>
          <cell r="F68">
            <v>20</v>
          </cell>
          <cell r="G68">
            <v>25</v>
          </cell>
          <cell r="H68">
            <v>25</v>
          </cell>
          <cell r="I68">
            <v>10</v>
          </cell>
          <cell r="J68">
            <v>5</v>
          </cell>
          <cell r="K68"/>
          <cell r="L68"/>
          <cell r="M68"/>
          <cell r="N68"/>
          <cell r="O68"/>
          <cell r="P68"/>
        </row>
        <row r="69">
          <cell r="A69" t="str">
            <v>8|3</v>
          </cell>
          <cell r="B69" t="str">
            <v>3</v>
          </cell>
          <cell r="C69" t="str">
            <v>BASE / SUB-BASE</v>
          </cell>
          <cell r="D69">
            <v>3</v>
          </cell>
          <cell r="E69">
            <v>5</v>
          </cell>
          <cell r="F69">
            <v>10</v>
          </cell>
          <cell r="G69">
            <v>15</v>
          </cell>
          <cell r="H69">
            <v>20</v>
          </cell>
          <cell r="I69">
            <v>20</v>
          </cell>
          <cell r="J69">
            <v>20</v>
          </cell>
          <cell r="K69">
            <v>10</v>
          </cell>
          <cell r="L69"/>
          <cell r="M69"/>
          <cell r="N69"/>
          <cell r="O69"/>
          <cell r="P69"/>
        </row>
        <row r="70">
          <cell r="A70" t="str">
            <v>8|4</v>
          </cell>
          <cell r="B70" t="str">
            <v>4</v>
          </cell>
          <cell r="C70" t="str">
            <v>REVESTIMENTO</v>
          </cell>
          <cell r="D70">
            <v>4</v>
          </cell>
          <cell r="E70"/>
          <cell r="F70"/>
          <cell r="G70">
            <v>10</v>
          </cell>
          <cell r="H70">
            <v>25</v>
          </cell>
          <cell r="I70">
            <v>25</v>
          </cell>
          <cell r="J70">
            <v>20</v>
          </cell>
          <cell r="K70">
            <v>10</v>
          </cell>
          <cell r="L70">
            <v>10</v>
          </cell>
          <cell r="M70"/>
          <cell r="N70"/>
          <cell r="O70"/>
          <cell r="P70"/>
        </row>
        <row r="71">
          <cell r="A71" t="str">
            <v>8|5</v>
          </cell>
          <cell r="B71" t="str">
            <v>5</v>
          </cell>
          <cell r="C71" t="str">
            <v>MEIO-FIO E SARJETA</v>
          </cell>
          <cell r="D71">
            <v>5</v>
          </cell>
          <cell r="E71"/>
          <cell r="F71">
            <v>5</v>
          </cell>
          <cell r="G71">
            <v>15</v>
          </cell>
          <cell r="H71">
            <v>25</v>
          </cell>
          <cell r="I71">
            <v>25</v>
          </cell>
          <cell r="J71">
            <v>15</v>
          </cell>
          <cell r="K71">
            <v>15</v>
          </cell>
          <cell r="L71"/>
          <cell r="M71"/>
          <cell r="N71"/>
          <cell r="O71"/>
          <cell r="P71"/>
        </row>
        <row r="72">
          <cell r="A72" t="str">
            <v>8|6</v>
          </cell>
          <cell r="B72" t="str">
            <v>6</v>
          </cell>
          <cell r="C72" t="str">
            <v>PAISAGISMO / URBANISMO</v>
          </cell>
          <cell r="D72">
            <v>3</v>
          </cell>
          <cell r="E72"/>
          <cell r="F72"/>
          <cell r="G72">
            <v>5</v>
          </cell>
          <cell r="H72">
            <v>20</v>
          </cell>
          <cell r="I72">
            <v>20</v>
          </cell>
          <cell r="J72">
            <v>25</v>
          </cell>
          <cell r="K72">
            <v>20</v>
          </cell>
          <cell r="L72">
            <v>10</v>
          </cell>
          <cell r="M72"/>
          <cell r="N72"/>
          <cell r="O72"/>
          <cell r="P72"/>
        </row>
        <row r="73">
          <cell r="A73" t="str">
            <v>8|7</v>
          </cell>
          <cell r="B73" t="str">
            <v>7</v>
          </cell>
          <cell r="C73" t="str">
            <v>SINALIZAÇÃO DE TRÂNSITO</v>
          </cell>
          <cell r="D73">
            <v>5</v>
          </cell>
          <cell r="E73"/>
          <cell r="F73"/>
          <cell r="G73">
            <v>5</v>
          </cell>
          <cell r="H73">
            <v>15</v>
          </cell>
          <cell r="I73">
            <v>20</v>
          </cell>
          <cell r="J73">
            <v>25</v>
          </cell>
          <cell r="K73">
            <v>25</v>
          </cell>
          <cell r="L73">
            <v>10</v>
          </cell>
          <cell r="M73"/>
          <cell r="N73"/>
          <cell r="O73"/>
          <cell r="P73"/>
        </row>
        <row r="74">
          <cell r="A74" t="str">
            <v>8|8</v>
          </cell>
          <cell r="B74" t="str">
            <v>8</v>
          </cell>
          <cell r="C74" t="str">
            <v>ILUMINAÇÃO PÚBLICA</v>
          </cell>
          <cell r="D74">
            <v>6</v>
          </cell>
          <cell r="E74"/>
          <cell r="F74"/>
          <cell r="G74"/>
          <cell r="H74">
            <v>20</v>
          </cell>
          <cell r="I74">
            <v>20</v>
          </cell>
          <cell r="J74">
            <v>30</v>
          </cell>
          <cell r="K74">
            <v>20</v>
          </cell>
          <cell r="L74">
            <v>10</v>
          </cell>
          <cell r="M74"/>
          <cell r="N74"/>
          <cell r="O74"/>
          <cell r="P74"/>
        </row>
        <row r="75">
          <cell r="A75" t="str">
            <v>8|9</v>
          </cell>
          <cell r="B75" t="str">
            <v>9</v>
          </cell>
          <cell r="C75" t="str">
            <v>SERVIÇOS DIVERSOS</v>
          </cell>
          <cell r="D75">
            <v>6</v>
          </cell>
          <cell r="E75">
            <v>5</v>
          </cell>
          <cell r="F75">
            <v>5</v>
          </cell>
          <cell r="G75">
            <v>10</v>
          </cell>
          <cell r="H75">
            <v>15</v>
          </cell>
          <cell r="I75">
            <v>20</v>
          </cell>
          <cell r="J75">
            <v>20</v>
          </cell>
          <cell r="K75">
            <v>15</v>
          </cell>
          <cell r="L75">
            <v>10</v>
          </cell>
          <cell r="M75"/>
          <cell r="N75"/>
          <cell r="O75"/>
          <cell r="P75"/>
        </row>
        <row r="76">
          <cell r="A76" t="str">
            <v>8|10</v>
          </cell>
          <cell r="B76" t="str">
            <v>10</v>
          </cell>
          <cell r="C76" t="str">
            <v>DRENAGEM</v>
          </cell>
          <cell r="D76"/>
          <cell r="E76">
            <v>15</v>
          </cell>
          <cell r="F76">
            <v>20</v>
          </cell>
          <cell r="G76">
            <v>20</v>
          </cell>
          <cell r="H76">
            <v>20</v>
          </cell>
          <cell r="I76">
            <v>15</v>
          </cell>
          <cell r="J76">
            <v>10</v>
          </cell>
          <cell r="K76"/>
          <cell r="L76"/>
          <cell r="M76"/>
          <cell r="N76"/>
          <cell r="O76"/>
          <cell r="P76"/>
        </row>
        <row r="77">
          <cell r="A77" t="str">
            <v>8|11</v>
          </cell>
          <cell r="B77" t="str">
            <v>11</v>
          </cell>
          <cell r="C77" t="str">
            <v>ENSAIOS TECNOLÓGICOS</v>
          </cell>
          <cell r="D77"/>
          <cell r="E77">
            <v>2</v>
          </cell>
          <cell r="F77">
            <v>2</v>
          </cell>
          <cell r="G77">
            <v>13</v>
          </cell>
          <cell r="H77">
            <v>15</v>
          </cell>
          <cell r="I77">
            <v>15</v>
          </cell>
          <cell r="J77">
            <v>22</v>
          </cell>
          <cell r="K77">
            <v>23</v>
          </cell>
          <cell r="L77">
            <v>8</v>
          </cell>
          <cell r="M77"/>
          <cell r="N77"/>
          <cell r="O77"/>
          <cell r="P77"/>
        </row>
        <row r="79">
          <cell r="A79" t="str">
            <v>N</v>
          </cell>
          <cell r="B79">
            <v>9</v>
          </cell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</row>
        <row r="80">
          <cell r="A80" t="str">
            <v>9|1</v>
          </cell>
          <cell r="B80">
            <v>1</v>
          </cell>
          <cell r="C80" t="str">
            <v>SERVIÇOS PRELIMINARES</v>
          </cell>
          <cell r="D80">
            <v>1</v>
          </cell>
          <cell r="E80">
            <v>15</v>
          </cell>
          <cell r="F80">
            <v>15</v>
          </cell>
          <cell r="G80">
            <v>20</v>
          </cell>
          <cell r="H80">
            <v>20</v>
          </cell>
          <cell r="I80">
            <v>20</v>
          </cell>
          <cell r="J80">
            <v>10</v>
          </cell>
          <cell r="K80"/>
          <cell r="L80"/>
          <cell r="M80"/>
          <cell r="N80"/>
          <cell r="O80"/>
          <cell r="P80"/>
        </row>
        <row r="81">
          <cell r="A81" t="str">
            <v>9|2</v>
          </cell>
          <cell r="B81" t="str">
            <v>2</v>
          </cell>
          <cell r="C81" t="str">
            <v>TERRAPLENAGEM</v>
          </cell>
          <cell r="D81">
            <v>2</v>
          </cell>
          <cell r="E81">
            <v>10</v>
          </cell>
          <cell r="F81">
            <v>15</v>
          </cell>
          <cell r="G81">
            <v>20</v>
          </cell>
          <cell r="H81">
            <v>20</v>
          </cell>
          <cell r="I81">
            <v>15</v>
          </cell>
          <cell r="J81">
            <v>15</v>
          </cell>
          <cell r="K81">
            <v>5</v>
          </cell>
          <cell r="L81"/>
          <cell r="M81"/>
          <cell r="N81"/>
          <cell r="O81"/>
          <cell r="P81"/>
        </row>
        <row r="82">
          <cell r="A82" t="str">
            <v>9|3</v>
          </cell>
          <cell r="B82" t="str">
            <v>3</v>
          </cell>
          <cell r="C82" t="str">
            <v>BASE / SUB-BASE</v>
          </cell>
          <cell r="D82">
            <v>3</v>
          </cell>
          <cell r="E82">
            <v>5</v>
          </cell>
          <cell r="F82">
            <v>10</v>
          </cell>
          <cell r="G82">
            <v>15</v>
          </cell>
          <cell r="H82">
            <v>20</v>
          </cell>
          <cell r="I82">
            <v>20</v>
          </cell>
          <cell r="J82">
            <v>10</v>
          </cell>
          <cell r="K82">
            <v>10</v>
          </cell>
          <cell r="L82">
            <v>10</v>
          </cell>
          <cell r="M82"/>
          <cell r="N82"/>
          <cell r="O82"/>
          <cell r="P82"/>
        </row>
        <row r="83">
          <cell r="A83" t="str">
            <v>9|4</v>
          </cell>
          <cell r="B83" t="str">
            <v>4</v>
          </cell>
          <cell r="C83" t="str">
            <v>REVESTIMENTO</v>
          </cell>
          <cell r="D83">
            <v>4</v>
          </cell>
          <cell r="E83"/>
          <cell r="F83"/>
          <cell r="G83">
            <v>5</v>
          </cell>
          <cell r="H83">
            <v>15</v>
          </cell>
          <cell r="I83">
            <v>20</v>
          </cell>
          <cell r="J83">
            <v>20</v>
          </cell>
          <cell r="K83">
            <v>20</v>
          </cell>
          <cell r="L83">
            <v>15</v>
          </cell>
          <cell r="M83">
            <v>5</v>
          </cell>
          <cell r="N83"/>
          <cell r="O83"/>
          <cell r="P83"/>
        </row>
        <row r="84">
          <cell r="A84" t="str">
            <v>9|5</v>
          </cell>
          <cell r="B84" t="str">
            <v>5</v>
          </cell>
          <cell r="C84" t="str">
            <v>MEIO-FIO E SARJETA</v>
          </cell>
          <cell r="D84">
            <v>5</v>
          </cell>
          <cell r="E84"/>
          <cell r="F84">
            <v>5</v>
          </cell>
          <cell r="G84">
            <v>10</v>
          </cell>
          <cell r="H84">
            <v>15</v>
          </cell>
          <cell r="I84">
            <v>20</v>
          </cell>
          <cell r="J84">
            <v>20</v>
          </cell>
          <cell r="K84">
            <v>20</v>
          </cell>
          <cell r="L84">
            <v>10</v>
          </cell>
          <cell r="M84"/>
          <cell r="N84"/>
          <cell r="O84"/>
          <cell r="P84"/>
        </row>
        <row r="85">
          <cell r="A85" t="str">
            <v>9|6</v>
          </cell>
          <cell r="B85" t="str">
            <v>6</v>
          </cell>
          <cell r="C85" t="str">
            <v>PAISAGISMO / URBANISMO</v>
          </cell>
          <cell r="D85">
            <v>3</v>
          </cell>
          <cell r="E85"/>
          <cell r="F85"/>
          <cell r="G85">
            <v>5</v>
          </cell>
          <cell r="H85">
            <v>10</v>
          </cell>
          <cell r="I85">
            <v>20</v>
          </cell>
          <cell r="J85">
            <v>20</v>
          </cell>
          <cell r="K85">
            <v>20</v>
          </cell>
          <cell r="L85">
            <v>15</v>
          </cell>
          <cell r="M85">
            <v>10</v>
          </cell>
          <cell r="N85"/>
          <cell r="O85"/>
          <cell r="P85"/>
        </row>
        <row r="86">
          <cell r="A86" t="str">
            <v>9|7</v>
          </cell>
          <cell r="B86" t="str">
            <v>7</v>
          </cell>
          <cell r="C86" t="str">
            <v>SINALIZAÇÃO DE TRÂNSITO</v>
          </cell>
          <cell r="D86">
            <v>5</v>
          </cell>
          <cell r="E86"/>
          <cell r="F86"/>
          <cell r="G86"/>
          <cell r="H86">
            <v>15</v>
          </cell>
          <cell r="I86">
            <v>15</v>
          </cell>
          <cell r="J86">
            <v>15</v>
          </cell>
          <cell r="K86">
            <v>20</v>
          </cell>
          <cell r="L86">
            <v>20</v>
          </cell>
          <cell r="M86">
            <v>15</v>
          </cell>
          <cell r="N86"/>
          <cell r="O86"/>
          <cell r="P86"/>
        </row>
        <row r="87">
          <cell r="A87" t="str">
            <v>9|8</v>
          </cell>
          <cell r="B87" t="str">
            <v>8</v>
          </cell>
          <cell r="C87" t="str">
            <v>ILUMINAÇÃO PÚBLICA</v>
          </cell>
          <cell r="D87">
            <v>6</v>
          </cell>
          <cell r="E87"/>
          <cell r="F87"/>
          <cell r="G87"/>
          <cell r="H87">
            <v>10</v>
          </cell>
          <cell r="I87">
            <v>20</v>
          </cell>
          <cell r="J87">
            <v>30</v>
          </cell>
          <cell r="K87">
            <v>20</v>
          </cell>
          <cell r="L87">
            <v>10</v>
          </cell>
          <cell r="M87">
            <v>10</v>
          </cell>
          <cell r="N87"/>
          <cell r="O87"/>
          <cell r="P87"/>
        </row>
        <row r="88">
          <cell r="A88" t="str">
            <v>9|9</v>
          </cell>
          <cell r="B88" t="str">
            <v>9</v>
          </cell>
          <cell r="C88" t="str">
            <v>SERVIÇOS DIVERSOS</v>
          </cell>
          <cell r="D88">
            <v>6</v>
          </cell>
          <cell r="E88">
            <v>5</v>
          </cell>
          <cell r="F88">
            <v>5</v>
          </cell>
          <cell r="G88">
            <v>10</v>
          </cell>
          <cell r="H88">
            <v>15</v>
          </cell>
          <cell r="I88">
            <v>20</v>
          </cell>
          <cell r="J88">
            <v>15</v>
          </cell>
          <cell r="K88">
            <v>15</v>
          </cell>
          <cell r="L88">
            <v>15</v>
          </cell>
          <cell r="M88"/>
          <cell r="N88"/>
          <cell r="O88"/>
          <cell r="P88"/>
        </row>
        <row r="89">
          <cell r="A89" t="str">
            <v>9|10</v>
          </cell>
          <cell r="B89" t="str">
            <v>10</v>
          </cell>
          <cell r="C89" t="str">
            <v>DRENAGEM</v>
          </cell>
          <cell r="D89"/>
          <cell r="E89">
            <v>10</v>
          </cell>
          <cell r="F89">
            <v>15</v>
          </cell>
          <cell r="G89">
            <v>20</v>
          </cell>
          <cell r="H89">
            <v>20</v>
          </cell>
          <cell r="I89">
            <v>20</v>
          </cell>
          <cell r="J89">
            <v>10</v>
          </cell>
          <cell r="K89">
            <v>5</v>
          </cell>
          <cell r="L89"/>
          <cell r="M89"/>
          <cell r="N89"/>
          <cell r="O89"/>
          <cell r="P89"/>
        </row>
        <row r="90">
          <cell r="A90" t="str">
            <v>9|11</v>
          </cell>
          <cell r="B90" t="str">
            <v>11</v>
          </cell>
          <cell r="C90" t="str">
            <v>ENSAIOS TECNOLÓGICOS</v>
          </cell>
          <cell r="D90"/>
          <cell r="E90">
            <v>3</v>
          </cell>
          <cell r="F90">
            <v>5</v>
          </cell>
          <cell r="G90">
            <v>11</v>
          </cell>
          <cell r="H90">
            <v>15</v>
          </cell>
          <cell r="I90">
            <v>20</v>
          </cell>
          <cell r="J90">
            <v>16</v>
          </cell>
          <cell r="K90">
            <v>14</v>
          </cell>
          <cell r="L90">
            <v>10</v>
          </cell>
          <cell r="M90">
            <v>6</v>
          </cell>
          <cell r="N90"/>
          <cell r="O90"/>
          <cell r="P90"/>
        </row>
        <row r="92">
          <cell r="A92" t="str">
            <v>N</v>
          </cell>
          <cell r="B92">
            <v>10</v>
          </cell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</row>
        <row r="93">
          <cell r="A93" t="str">
            <v>10|1</v>
          </cell>
          <cell r="B93">
            <v>1</v>
          </cell>
          <cell r="C93" t="str">
            <v>SERVIÇOS PRELIMINARES</v>
          </cell>
          <cell r="D93">
            <v>1</v>
          </cell>
          <cell r="E93">
            <v>20</v>
          </cell>
          <cell r="F93">
            <v>20</v>
          </cell>
          <cell r="G93">
            <v>20</v>
          </cell>
          <cell r="H93">
            <v>10</v>
          </cell>
          <cell r="I93">
            <v>10</v>
          </cell>
          <cell r="J93">
            <v>10</v>
          </cell>
          <cell r="K93">
            <v>10</v>
          </cell>
          <cell r="L93"/>
          <cell r="M93"/>
          <cell r="N93"/>
          <cell r="O93"/>
          <cell r="P93"/>
        </row>
        <row r="94">
          <cell r="A94" t="str">
            <v>10|2</v>
          </cell>
          <cell r="B94" t="str">
            <v>2</v>
          </cell>
          <cell r="C94" t="str">
            <v>TERRAPLENAGEM</v>
          </cell>
          <cell r="D94">
            <v>2</v>
          </cell>
          <cell r="E94">
            <v>5</v>
          </cell>
          <cell r="F94">
            <v>10</v>
          </cell>
          <cell r="G94">
            <v>15</v>
          </cell>
          <cell r="H94">
            <v>20</v>
          </cell>
          <cell r="I94">
            <v>20</v>
          </cell>
          <cell r="J94">
            <v>15</v>
          </cell>
          <cell r="K94">
            <v>10</v>
          </cell>
          <cell r="L94">
            <v>5</v>
          </cell>
          <cell r="M94"/>
          <cell r="N94"/>
          <cell r="O94"/>
          <cell r="P94"/>
        </row>
        <row r="95">
          <cell r="A95" t="str">
            <v>10|3</v>
          </cell>
          <cell r="B95" t="str">
            <v>3</v>
          </cell>
          <cell r="C95" t="str">
            <v>BASE / SUB-BASE</v>
          </cell>
          <cell r="D95">
            <v>3</v>
          </cell>
          <cell r="E95"/>
          <cell r="F95">
            <v>5</v>
          </cell>
          <cell r="G95">
            <v>10</v>
          </cell>
          <cell r="H95">
            <v>15</v>
          </cell>
          <cell r="I95">
            <v>15</v>
          </cell>
          <cell r="J95">
            <v>15</v>
          </cell>
          <cell r="K95">
            <v>15</v>
          </cell>
          <cell r="L95">
            <v>15</v>
          </cell>
          <cell r="M95">
            <v>10</v>
          </cell>
          <cell r="N95"/>
          <cell r="O95"/>
          <cell r="P95"/>
        </row>
        <row r="96">
          <cell r="A96" t="str">
            <v>10|4</v>
          </cell>
          <cell r="B96" t="str">
            <v>4</v>
          </cell>
          <cell r="C96" t="str">
            <v>REVESTIMENTO</v>
          </cell>
          <cell r="D96">
            <v>4</v>
          </cell>
          <cell r="E96"/>
          <cell r="F96"/>
          <cell r="G96">
            <v>5</v>
          </cell>
          <cell r="H96">
            <v>5</v>
          </cell>
          <cell r="I96">
            <v>15</v>
          </cell>
          <cell r="J96">
            <v>20</v>
          </cell>
          <cell r="K96">
            <v>20</v>
          </cell>
          <cell r="L96">
            <v>15</v>
          </cell>
          <cell r="M96">
            <v>10</v>
          </cell>
          <cell r="N96">
            <v>10</v>
          </cell>
          <cell r="O96"/>
          <cell r="P96"/>
        </row>
        <row r="97">
          <cell r="A97" t="str">
            <v>10|5</v>
          </cell>
          <cell r="B97" t="str">
            <v>5</v>
          </cell>
          <cell r="C97" t="str">
            <v>MEIO-FIO E SARJETA</v>
          </cell>
          <cell r="D97">
            <v>5</v>
          </cell>
          <cell r="E97"/>
          <cell r="F97"/>
          <cell r="G97">
            <v>10</v>
          </cell>
          <cell r="H97">
            <v>10</v>
          </cell>
          <cell r="I97">
            <v>10</v>
          </cell>
          <cell r="J97">
            <v>20</v>
          </cell>
          <cell r="K97">
            <v>20</v>
          </cell>
          <cell r="L97">
            <v>20</v>
          </cell>
          <cell r="M97">
            <v>10</v>
          </cell>
          <cell r="N97"/>
          <cell r="O97"/>
          <cell r="P97"/>
        </row>
        <row r="98">
          <cell r="A98" t="str">
            <v>10|6</v>
          </cell>
          <cell r="B98" t="str">
            <v>6</v>
          </cell>
          <cell r="C98" t="str">
            <v>PAISAGISMO / URBANISMO</v>
          </cell>
          <cell r="D98">
            <v>3</v>
          </cell>
          <cell r="E98"/>
          <cell r="F98"/>
          <cell r="G98"/>
          <cell r="H98">
            <v>5</v>
          </cell>
          <cell r="I98">
            <v>10</v>
          </cell>
          <cell r="J98">
            <v>15</v>
          </cell>
          <cell r="K98">
            <v>20</v>
          </cell>
          <cell r="L98">
            <v>20</v>
          </cell>
          <cell r="M98">
            <v>15</v>
          </cell>
          <cell r="N98">
            <v>15</v>
          </cell>
          <cell r="O98"/>
          <cell r="P98"/>
        </row>
        <row r="99">
          <cell r="A99" t="str">
            <v>10|7</v>
          </cell>
          <cell r="B99" t="str">
            <v>7</v>
          </cell>
          <cell r="C99" t="str">
            <v>SINALIZAÇÃO DE TRÂNSITO</v>
          </cell>
          <cell r="D99">
            <v>5</v>
          </cell>
          <cell r="E99"/>
          <cell r="F99"/>
          <cell r="G99"/>
          <cell r="H99">
            <v>15</v>
          </cell>
          <cell r="I99">
            <v>15</v>
          </cell>
          <cell r="J99">
            <v>15</v>
          </cell>
          <cell r="K99">
            <v>20</v>
          </cell>
          <cell r="L99">
            <v>15</v>
          </cell>
          <cell r="M99">
            <v>10</v>
          </cell>
          <cell r="N99">
            <v>10</v>
          </cell>
          <cell r="O99"/>
          <cell r="P99"/>
        </row>
        <row r="100">
          <cell r="A100" t="str">
            <v>10|8</v>
          </cell>
          <cell r="B100" t="str">
            <v>8</v>
          </cell>
          <cell r="C100" t="str">
            <v>ILUMINAÇÃO PÚBLICA</v>
          </cell>
          <cell r="D100">
            <v>6</v>
          </cell>
          <cell r="E100"/>
          <cell r="F100"/>
          <cell r="G100"/>
          <cell r="H100">
            <v>10</v>
          </cell>
          <cell r="I100">
            <v>20</v>
          </cell>
          <cell r="J100">
            <v>20</v>
          </cell>
          <cell r="K100">
            <v>20</v>
          </cell>
          <cell r="L100">
            <v>10</v>
          </cell>
          <cell r="M100">
            <v>10</v>
          </cell>
          <cell r="N100">
            <v>10</v>
          </cell>
          <cell r="O100"/>
          <cell r="P100"/>
        </row>
        <row r="101">
          <cell r="A101" t="str">
            <v>10|9</v>
          </cell>
          <cell r="B101" t="str">
            <v>9</v>
          </cell>
          <cell r="C101" t="str">
            <v>SERVIÇOS DIVERSOS</v>
          </cell>
          <cell r="D101">
            <v>6</v>
          </cell>
          <cell r="E101">
            <v>5</v>
          </cell>
          <cell r="F101">
            <v>5</v>
          </cell>
          <cell r="G101">
            <v>10</v>
          </cell>
          <cell r="H101">
            <v>10</v>
          </cell>
          <cell r="I101">
            <v>10</v>
          </cell>
          <cell r="J101">
            <v>15</v>
          </cell>
          <cell r="K101">
            <v>15</v>
          </cell>
          <cell r="L101">
            <v>10</v>
          </cell>
          <cell r="M101">
            <v>10</v>
          </cell>
          <cell r="N101">
            <v>10</v>
          </cell>
          <cell r="O101"/>
          <cell r="P101"/>
        </row>
        <row r="102">
          <cell r="A102" t="str">
            <v>10|10</v>
          </cell>
          <cell r="B102" t="str">
            <v>10</v>
          </cell>
          <cell r="C102" t="str">
            <v>DRENAGEM</v>
          </cell>
          <cell r="D102"/>
          <cell r="E102">
            <v>10</v>
          </cell>
          <cell r="F102">
            <v>15</v>
          </cell>
          <cell r="G102">
            <v>15</v>
          </cell>
          <cell r="H102">
            <v>15</v>
          </cell>
          <cell r="I102">
            <v>15</v>
          </cell>
          <cell r="J102">
            <v>15</v>
          </cell>
          <cell r="K102">
            <v>10</v>
          </cell>
          <cell r="L102">
            <v>5</v>
          </cell>
          <cell r="M102"/>
          <cell r="N102"/>
          <cell r="O102"/>
          <cell r="P102"/>
        </row>
        <row r="103">
          <cell r="A103" t="str">
            <v>10|11</v>
          </cell>
          <cell r="B103" t="str">
            <v>11</v>
          </cell>
          <cell r="C103" t="str">
            <v>ENSAIOS TECNOLÓGICOS</v>
          </cell>
          <cell r="D103"/>
          <cell r="E103">
            <v>2</v>
          </cell>
          <cell r="F103">
            <v>2</v>
          </cell>
          <cell r="G103">
            <v>14</v>
          </cell>
          <cell r="H103">
            <v>14</v>
          </cell>
          <cell r="I103">
            <v>15</v>
          </cell>
          <cell r="J103">
            <v>15</v>
          </cell>
          <cell r="K103">
            <v>15</v>
          </cell>
          <cell r="L103">
            <v>15</v>
          </cell>
          <cell r="M103">
            <v>5</v>
          </cell>
          <cell r="N103">
            <v>3</v>
          </cell>
          <cell r="O103"/>
          <cell r="P103"/>
        </row>
        <row r="105">
          <cell r="A105" t="str">
            <v>N</v>
          </cell>
          <cell r="B105">
            <v>11</v>
          </cell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</row>
        <row r="106">
          <cell r="A106" t="str">
            <v>11|1</v>
          </cell>
          <cell r="B106">
            <v>1</v>
          </cell>
          <cell r="C106" t="str">
            <v>SERVIÇOS PRELIMINARES</v>
          </cell>
          <cell r="D106">
            <v>1</v>
          </cell>
          <cell r="E106">
            <v>10</v>
          </cell>
          <cell r="F106">
            <v>20</v>
          </cell>
          <cell r="G106">
            <v>20</v>
          </cell>
          <cell r="H106">
            <v>20</v>
          </cell>
          <cell r="I106">
            <v>10</v>
          </cell>
          <cell r="J106">
            <v>10</v>
          </cell>
          <cell r="K106">
            <v>10</v>
          </cell>
          <cell r="L106"/>
          <cell r="M106"/>
          <cell r="N106"/>
          <cell r="O106"/>
          <cell r="P106"/>
        </row>
        <row r="107">
          <cell r="A107" t="str">
            <v>11|2</v>
          </cell>
          <cell r="B107" t="str">
            <v>2</v>
          </cell>
          <cell r="C107" t="str">
            <v>TERRAPLENAGEM</v>
          </cell>
          <cell r="D107">
            <v>2</v>
          </cell>
          <cell r="E107">
            <v>5</v>
          </cell>
          <cell r="F107">
            <v>10</v>
          </cell>
          <cell r="G107">
            <v>10</v>
          </cell>
          <cell r="H107">
            <v>15</v>
          </cell>
          <cell r="I107">
            <v>15</v>
          </cell>
          <cell r="J107">
            <v>15</v>
          </cell>
          <cell r="K107">
            <v>15</v>
          </cell>
          <cell r="L107">
            <v>10</v>
          </cell>
          <cell r="M107">
            <v>5</v>
          </cell>
          <cell r="N107"/>
          <cell r="O107"/>
          <cell r="P107"/>
        </row>
        <row r="108">
          <cell r="A108" t="str">
            <v>11|3</v>
          </cell>
          <cell r="B108" t="str">
            <v>3</v>
          </cell>
          <cell r="C108" t="str">
            <v>BASE / SUB-BASE</v>
          </cell>
          <cell r="D108">
            <v>3</v>
          </cell>
          <cell r="E108"/>
          <cell r="F108">
            <v>5</v>
          </cell>
          <cell r="G108">
            <v>10</v>
          </cell>
          <cell r="H108">
            <v>10</v>
          </cell>
          <cell r="I108">
            <v>15</v>
          </cell>
          <cell r="J108">
            <v>15</v>
          </cell>
          <cell r="K108">
            <v>15</v>
          </cell>
          <cell r="L108">
            <v>10</v>
          </cell>
          <cell r="M108">
            <v>10</v>
          </cell>
          <cell r="N108">
            <v>10</v>
          </cell>
          <cell r="O108"/>
          <cell r="P108"/>
        </row>
        <row r="109">
          <cell r="A109" t="str">
            <v>11|4</v>
          </cell>
          <cell r="B109" t="str">
            <v>4</v>
          </cell>
          <cell r="C109" t="str">
            <v>REVESTIMENTO</v>
          </cell>
          <cell r="D109">
            <v>4</v>
          </cell>
          <cell r="E109"/>
          <cell r="F109"/>
          <cell r="G109">
            <v>5</v>
          </cell>
          <cell r="H109">
            <v>10</v>
          </cell>
          <cell r="I109">
            <v>10</v>
          </cell>
          <cell r="J109">
            <v>15</v>
          </cell>
          <cell r="K109">
            <v>15</v>
          </cell>
          <cell r="L109">
            <v>15</v>
          </cell>
          <cell r="M109">
            <v>10</v>
          </cell>
          <cell r="N109">
            <v>10</v>
          </cell>
          <cell r="O109">
            <v>10</v>
          </cell>
          <cell r="P109"/>
        </row>
        <row r="110">
          <cell r="A110" t="str">
            <v>11|5</v>
          </cell>
          <cell r="B110" t="str">
            <v>5</v>
          </cell>
          <cell r="C110" t="str">
            <v>MEIO-FIO E SARJETA</v>
          </cell>
          <cell r="D110">
            <v>5</v>
          </cell>
          <cell r="E110"/>
          <cell r="F110"/>
          <cell r="G110">
            <v>10</v>
          </cell>
          <cell r="H110">
            <v>10</v>
          </cell>
          <cell r="I110">
            <v>10</v>
          </cell>
          <cell r="J110">
            <v>15</v>
          </cell>
          <cell r="K110">
            <v>15</v>
          </cell>
          <cell r="L110">
            <v>15</v>
          </cell>
          <cell r="M110">
            <v>15</v>
          </cell>
          <cell r="N110">
            <v>10</v>
          </cell>
          <cell r="O110"/>
          <cell r="P110"/>
        </row>
        <row r="111">
          <cell r="A111" t="str">
            <v>11|6</v>
          </cell>
          <cell r="B111" t="str">
            <v>6</v>
          </cell>
          <cell r="C111" t="str">
            <v>PAISAGISMO / URBANISMO</v>
          </cell>
          <cell r="D111">
            <v>3</v>
          </cell>
          <cell r="E111"/>
          <cell r="F111"/>
          <cell r="G111"/>
          <cell r="H111">
            <v>5</v>
          </cell>
          <cell r="I111">
            <v>10</v>
          </cell>
          <cell r="J111">
            <v>15</v>
          </cell>
          <cell r="K111">
            <v>15</v>
          </cell>
          <cell r="L111">
            <v>15</v>
          </cell>
          <cell r="M111">
            <v>15</v>
          </cell>
          <cell r="N111">
            <v>15</v>
          </cell>
          <cell r="O111">
            <v>10</v>
          </cell>
          <cell r="P111"/>
        </row>
        <row r="112">
          <cell r="A112" t="str">
            <v>11|7</v>
          </cell>
          <cell r="B112" t="str">
            <v>7</v>
          </cell>
          <cell r="C112" t="str">
            <v>SINALIZAÇÃO DE TRÂNSITO</v>
          </cell>
          <cell r="D112">
            <v>5</v>
          </cell>
          <cell r="E112"/>
          <cell r="F112"/>
          <cell r="G112"/>
          <cell r="H112">
            <v>10</v>
          </cell>
          <cell r="I112">
            <v>10</v>
          </cell>
          <cell r="J112">
            <v>15</v>
          </cell>
          <cell r="K112">
            <v>20</v>
          </cell>
          <cell r="L112">
            <v>15</v>
          </cell>
          <cell r="M112">
            <v>10</v>
          </cell>
          <cell r="N112">
            <v>10</v>
          </cell>
          <cell r="O112">
            <v>10</v>
          </cell>
          <cell r="P112"/>
        </row>
        <row r="113">
          <cell r="A113" t="str">
            <v>11|8</v>
          </cell>
          <cell r="B113" t="str">
            <v>8</v>
          </cell>
          <cell r="C113" t="str">
            <v>ILUMINAÇÃO PÚBLICA</v>
          </cell>
          <cell r="D113">
            <v>6</v>
          </cell>
          <cell r="E113"/>
          <cell r="F113"/>
          <cell r="G113"/>
          <cell r="H113">
            <v>10</v>
          </cell>
          <cell r="I113">
            <v>10</v>
          </cell>
          <cell r="J113">
            <v>20</v>
          </cell>
          <cell r="K113">
            <v>20</v>
          </cell>
          <cell r="L113">
            <v>10</v>
          </cell>
          <cell r="M113">
            <v>10</v>
          </cell>
          <cell r="N113">
            <v>10</v>
          </cell>
          <cell r="O113">
            <v>10</v>
          </cell>
          <cell r="P113"/>
        </row>
        <row r="114">
          <cell r="A114" t="str">
            <v>11|9</v>
          </cell>
          <cell r="B114" t="str">
            <v>9</v>
          </cell>
          <cell r="C114" t="str">
            <v>SERVIÇOS DIVERSOS</v>
          </cell>
          <cell r="D114">
            <v>6</v>
          </cell>
          <cell r="E114">
            <v>5</v>
          </cell>
          <cell r="F114">
            <v>5</v>
          </cell>
          <cell r="G114">
            <v>10</v>
          </cell>
          <cell r="H114">
            <v>10</v>
          </cell>
          <cell r="I114">
            <v>10</v>
          </cell>
          <cell r="J114">
            <v>10</v>
          </cell>
          <cell r="K114">
            <v>10</v>
          </cell>
          <cell r="L114">
            <v>10</v>
          </cell>
          <cell r="M114">
            <v>10</v>
          </cell>
          <cell r="N114">
            <v>10</v>
          </cell>
          <cell r="O114">
            <v>10</v>
          </cell>
          <cell r="P114"/>
        </row>
        <row r="115">
          <cell r="A115" t="str">
            <v>11|10</v>
          </cell>
          <cell r="B115" t="str">
            <v>10</v>
          </cell>
          <cell r="C115" t="str">
            <v>DRENAGEM</v>
          </cell>
          <cell r="D115"/>
          <cell r="E115">
            <v>10</v>
          </cell>
          <cell r="F115">
            <v>10</v>
          </cell>
          <cell r="G115">
            <v>15</v>
          </cell>
          <cell r="H115">
            <v>15</v>
          </cell>
          <cell r="I115">
            <v>15</v>
          </cell>
          <cell r="J115">
            <v>10</v>
          </cell>
          <cell r="K115">
            <v>10</v>
          </cell>
          <cell r="L115">
            <v>10</v>
          </cell>
          <cell r="M115">
            <v>5</v>
          </cell>
          <cell r="N115"/>
          <cell r="O115"/>
          <cell r="P115"/>
        </row>
        <row r="116">
          <cell r="A116" t="str">
            <v>11|11</v>
          </cell>
          <cell r="B116" t="str">
            <v>11</v>
          </cell>
          <cell r="C116" t="str">
            <v>ENSAIOS TECNOLÓGICOS</v>
          </cell>
          <cell r="D116"/>
          <cell r="E116">
            <v>1</v>
          </cell>
          <cell r="F116">
            <v>1</v>
          </cell>
          <cell r="G116">
            <v>10</v>
          </cell>
          <cell r="H116">
            <v>15</v>
          </cell>
          <cell r="I116">
            <v>15</v>
          </cell>
          <cell r="J116">
            <v>15</v>
          </cell>
          <cell r="K116">
            <v>15</v>
          </cell>
          <cell r="L116">
            <v>15</v>
          </cell>
          <cell r="M116">
            <v>5</v>
          </cell>
          <cell r="N116">
            <v>3</v>
          </cell>
          <cell r="O116">
            <v>5</v>
          </cell>
          <cell r="P116"/>
        </row>
        <row r="118">
          <cell r="A118" t="str">
            <v>N</v>
          </cell>
          <cell r="B118">
            <v>12</v>
          </cell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</row>
        <row r="119">
          <cell r="A119" t="str">
            <v>12|1</v>
          </cell>
          <cell r="B119">
            <v>1</v>
          </cell>
          <cell r="C119" t="str">
            <v>SERVIÇOS PRELIMINARES</v>
          </cell>
          <cell r="D119">
            <v>1</v>
          </cell>
          <cell r="E119">
            <v>10</v>
          </cell>
          <cell r="F119">
            <v>20</v>
          </cell>
          <cell r="G119">
            <v>20</v>
          </cell>
          <cell r="H119">
            <v>20</v>
          </cell>
          <cell r="I119">
            <v>10</v>
          </cell>
          <cell r="J119">
            <v>10</v>
          </cell>
          <cell r="K119">
            <v>10</v>
          </cell>
          <cell r="L119"/>
          <cell r="M119"/>
          <cell r="N119"/>
          <cell r="O119"/>
          <cell r="P119"/>
        </row>
        <row r="120">
          <cell r="A120" t="str">
            <v>12|2</v>
          </cell>
          <cell r="B120" t="str">
            <v>2</v>
          </cell>
          <cell r="C120" t="str">
            <v>TERRAPLENAGEM</v>
          </cell>
          <cell r="D120">
            <v>2</v>
          </cell>
          <cell r="E120">
            <v>5</v>
          </cell>
          <cell r="F120">
            <v>10</v>
          </cell>
          <cell r="G120">
            <v>10</v>
          </cell>
          <cell r="H120">
            <v>15</v>
          </cell>
          <cell r="I120">
            <v>15</v>
          </cell>
          <cell r="J120">
            <v>15</v>
          </cell>
          <cell r="K120">
            <v>10</v>
          </cell>
          <cell r="L120">
            <v>10</v>
          </cell>
          <cell r="M120">
            <v>10</v>
          </cell>
          <cell r="N120"/>
          <cell r="O120"/>
          <cell r="P120"/>
        </row>
        <row r="121">
          <cell r="A121" t="str">
            <v>12|3</v>
          </cell>
          <cell r="B121" t="str">
            <v>3</v>
          </cell>
          <cell r="C121" t="str">
            <v>BASE / SUB-BASE</v>
          </cell>
          <cell r="D121">
            <v>3</v>
          </cell>
          <cell r="E121"/>
          <cell r="F121">
            <v>5</v>
          </cell>
          <cell r="G121">
            <v>10</v>
          </cell>
          <cell r="H121">
            <v>10</v>
          </cell>
          <cell r="I121">
            <v>10</v>
          </cell>
          <cell r="J121">
            <v>15</v>
          </cell>
          <cell r="K121">
            <v>15</v>
          </cell>
          <cell r="L121">
            <v>10</v>
          </cell>
          <cell r="M121">
            <v>10</v>
          </cell>
          <cell r="N121">
            <v>10</v>
          </cell>
          <cell r="O121">
            <v>5</v>
          </cell>
          <cell r="P121"/>
        </row>
        <row r="122">
          <cell r="A122" t="str">
            <v>12|4</v>
          </cell>
          <cell r="B122" t="str">
            <v>4</v>
          </cell>
          <cell r="C122" t="str">
            <v>REVESTIMENTO</v>
          </cell>
          <cell r="D122">
            <v>4</v>
          </cell>
          <cell r="E122"/>
          <cell r="F122"/>
          <cell r="G122">
            <v>5</v>
          </cell>
          <cell r="H122">
            <v>10</v>
          </cell>
          <cell r="I122">
            <v>10</v>
          </cell>
          <cell r="J122">
            <v>10</v>
          </cell>
          <cell r="K122">
            <v>10</v>
          </cell>
          <cell r="L122">
            <v>15</v>
          </cell>
          <cell r="M122">
            <v>10</v>
          </cell>
          <cell r="N122">
            <v>15</v>
          </cell>
          <cell r="O122">
            <v>10</v>
          </cell>
          <cell r="P122">
            <v>5</v>
          </cell>
        </row>
        <row r="123">
          <cell r="A123" t="str">
            <v>12|5</v>
          </cell>
          <cell r="B123" t="str">
            <v>5</v>
          </cell>
          <cell r="C123" t="str">
            <v>MEIO-FIO E SARJETA</v>
          </cell>
          <cell r="D123">
            <v>5</v>
          </cell>
          <cell r="E123"/>
          <cell r="F123"/>
          <cell r="G123">
            <v>10</v>
          </cell>
          <cell r="H123">
            <v>10</v>
          </cell>
          <cell r="I123">
            <v>10</v>
          </cell>
          <cell r="J123">
            <v>10</v>
          </cell>
          <cell r="K123">
            <v>10</v>
          </cell>
          <cell r="L123">
            <v>15</v>
          </cell>
          <cell r="M123">
            <v>15</v>
          </cell>
          <cell r="N123">
            <v>10</v>
          </cell>
          <cell r="O123">
            <v>10</v>
          </cell>
          <cell r="P123"/>
        </row>
        <row r="124">
          <cell r="A124" t="str">
            <v>12|6</v>
          </cell>
          <cell r="B124" t="str">
            <v>6</v>
          </cell>
          <cell r="C124" t="str">
            <v>PAISAGISMO / URBANISMO</v>
          </cell>
          <cell r="D124">
            <v>3</v>
          </cell>
          <cell r="E124"/>
          <cell r="F124"/>
          <cell r="G124"/>
          <cell r="H124">
            <v>5</v>
          </cell>
          <cell r="I124">
            <v>10</v>
          </cell>
          <cell r="J124">
            <v>10</v>
          </cell>
          <cell r="K124">
            <v>10</v>
          </cell>
          <cell r="L124">
            <v>15</v>
          </cell>
          <cell r="M124">
            <v>15</v>
          </cell>
          <cell r="N124">
            <v>15</v>
          </cell>
          <cell r="O124">
            <v>10</v>
          </cell>
          <cell r="P124">
            <v>10</v>
          </cell>
        </row>
        <row r="125">
          <cell r="A125" t="str">
            <v>12|7</v>
          </cell>
          <cell r="B125" t="str">
            <v>7</v>
          </cell>
          <cell r="C125" t="str">
            <v>SINALIZAÇÃO DE TRÂNSITO</v>
          </cell>
          <cell r="D125">
            <v>5</v>
          </cell>
          <cell r="E125"/>
          <cell r="F125"/>
          <cell r="G125"/>
          <cell r="H125">
            <v>5</v>
          </cell>
          <cell r="I125">
            <v>10</v>
          </cell>
          <cell r="J125">
            <v>10</v>
          </cell>
          <cell r="K125">
            <v>15</v>
          </cell>
          <cell r="L125">
            <v>15</v>
          </cell>
          <cell r="M125">
            <v>15</v>
          </cell>
          <cell r="N125">
            <v>10</v>
          </cell>
          <cell r="O125">
            <v>10</v>
          </cell>
          <cell r="P125">
            <v>10</v>
          </cell>
        </row>
        <row r="126">
          <cell r="A126" t="str">
            <v>12|8</v>
          </cell>
          <cell r="B126" t="str">
            <v>8</v>
          </cell>
          <cell r="C126" t="str">
            <v>ILUMINAÇÃO PÚBLICA</v>
          </cell>
          <cell r="D126">
            <v>6</v>
          </cell>
          <cell r="E126"/>
          <cell r="F126"/>
          <cell r="G126"/>
          <cell r="H126">
            <v>10</v>
          </cell>
          <cell r="I126">
            <v>10</v>
          </cell>
          <cell r="J126">
            <v>10</v>
          </cell>
          <cell r="K126">
            <v>20</v>
          </cell>
          <cell r="L126">
            <v>10</v>
          </cell>
          <cell r="M126">
            <v>10</v>
          </cell>
          <cell r="N126">
            <v>10</v>
          </cell>
          <cell r="O126">
            <v>10</v>
          </cell>
          <cell r="P126">
            <v>10</v>
          </cell>
        </row>
        <row r="127">
          <cell r="A127" t="str">
            <v>12|9</v>
          </cell>
          <cell r="B127" t="str">
            <v>9</v>
          </cell>
          <cell r="C127" t="str">
            <v>SERVIÇOS DIVERSOS</v>
          </cell>
          <cell r="D127">
            <v>6</v>
          </cell>
          <cell r="E127">
            <v>5</v>
          </cell>
          <cell r="F127">
            <v>5</v>
          </cell>
          <cell r="G127">
            <v>5</v>
          </cell>
          <cell r="H127">
            <v>5</v>
          </cell>
          <cell r="I127">
            <v>10</v>
          </cell>
          <cell r="J127">
            <v>10</v>
          </cell>
          <cell r="K127">
            <v>10</v>
          </cell>
          <cell r="L127">
            <v>10</v>
          </cell>
          <cell r="M127">
            <v>10</v>
          </cell>
          <cell r="N127">
            <v>10</v>
          </cell>
          <cell r="O127">
            <v>10</v>
          </cell>
          <cell r="P127">
            <v>10</v>
          </cell>
        </row>
        <row r="128">
          <cell r="A128" t="str">
            <v>12|10</v>
          </cell>
          <cell r="B128" t="str">
            <v>10</v>
          </cell>
          <cell r="C128" t="str">
            <v>DRENAGEM</v>
          </cell>
          <cell r="D128"/>
          <cell r="E128">
            <v>10</v>
          </cell>
          <cell r="F128">
            <v>15</v>
          </cell>
          <cell r="G128">
            <v>10</v>
          </cell>
          <cell r="H128">
            <v>10</v>
          </cell>
          <cell r="I128">
            <v>10</v>
          </cell>
          <cell r="J128">
            <v>10</v>
          </cell>
          <cell r="K128">
            <v>10</v>
          </cell>
          <cell r="L128">
            <v>10</v>
          </cell>
          <cell r="M128">
            <v>10</v>
          </cell>
          <cell r="N128">
            <v>5</v>
          </cell>
          <cell r="O128"/>
          <cell r="P128"/>
        </row>
        <row r="129">
          <cell r="A129" t="str">
            <v>12|11</v>
          </cell>
          <cell r="B129" t="str">
            <v>11</v>
          </cell>
          <cell r="C129" t="str">
            <v>ENSAIOS TECNOLÓGICOS</v>
          </cell>
          <cell r="D129"/>
          <cell r="E129">
            <v>1</v>
          </cell>
          <cell r="F129">
            <v>1</v>
          </cell>
          <cell r="G129">
            <v>10</v>
          </cell>
          <cell r="H129">
            <v>10</v>
          </cell>
          <cell r="I129">
            <v>15</v>
          </cell>
          <cell r="J129">
            <v>15</v>
          </cell>
          <cell r="K129">
            <v>15</v>
          </cell>
          <cell r="L129">
            <v>15</v>
          </cell>
          <cell r="M129">
            <v>5</v>
          </cell>
          <cell r="N129">
            <v>3</v>
          </cell>
          <cell r="O129">
            <v>5</v>
          </cell>
          <cell r="P129">
            <v>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uy José da Costa" id="{3700DA48-E085-4295-938F-A8B4296C1D21}" userId="S::ruy@paranacidade.org.br::b5bf2d50-b6ff-45e8-9467-289c385da7f0" providerId="AD"/>
  <person displayName="Roberto Chun Yan Pan" id="{C88AF698-4F81-4C66-AC12-49D0C4526F46}" userId="S::robertopan@paranacidade.org.br::b48950a5-d6cc-4bb4-af60-fa0938b8ee80" providerId="AD"/>
</personLis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S2" dT="2023-03-07T11:53:40.47" personId="{C88AF698-4F81-4C66-AC12-49D0C4526F46}" id="{D119ED5E-E7C4-446E-982E-59F4CBB35603}" done="1">
    <text>Informar o valor do Financiamento do SFM para este projeto.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S2" dT="2023-03-07T11:56:11.70" personId="{C88AF698-4F81-4C66-AC12-49D0C4526F46}" id="{2CF7446A-84F4-4CCA-87B7-2F04368F5AD2}" done="1">
    <text xml:space="preserve">Informar o valor do Convênio do PAM para este projeto.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15" dT="2023-03-07T12:45:27.06" personId="{C88AF698-4F81-4C66-AC12-49D0C4526F46}" id="{F91E1158-D790-4C73-8422-CC63B5B7C06A}" done="1">
    <text>Tabela de referência da análise do projeto (não apagar essa informações das planilha dos editais: planilha de serviços, anexo e cartilha).</text>
  </threadedComment>
  <threadedComment ref="O16" dT="2023-04-14T12:03:50.19" personId="{C88AF698-4F81-4C66-AC12-49D0C4526F46}" id="{FEF2AC90-68BD-4EBD-BAA2-1340250CB694}" done="1">
    <text>Informar a data da aprovação do projeto, que será a data base para reajustamento do contrato quando necessário, conforme o Decreto 10.086/22 do Paraná, que regulamenta a Lei 14.133/2021.</text>
  </threadedComment>
  <threadedComment ref="D543" dT="2022-05-20T19:09:19.94" personId="{3700DA48-E085-4295-938F-A8B4296C1D21}" id="{9A388544-8DCE-47B8-8E05-09F66A322966}">
    <text>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ext>
  </threadedComment>
  <threadedComment ref="D544" dT="2022-05-20T19:11:06.16" personId="{3700DA48-E085-4295-938F-A8B4296C1D21}" id="{AABE1422-78A6-4327-B5C0-A511D859DAE3}">
    <text>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ext>
  </threadedComment>
  <threadedComment ref="D545" dT="2022-05-20T19:12:19.15" personId="{3700DA48-E085-4295-938F-A8B4296C1D21}" id="{2DBAC8DB-6720-46A5-9320-DCDBF768325E}">
    <text>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ext>
  </threadedComment>
  <threadedComment ref="D546" dT="2022-05-20T19:13:44.21" personId="{3700DA48-E085-4295-938F-A8B4296C1D21}" id="{8A96A638-AD53-4BC9-8626-84F8B050E805}">
    <text>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ext>
  </threadedComment>
  <threadedComment ref="D547" dT="2022-05-20T19:15:19.76" personId="{3700DA48-E085-4295-938F-A8B4296C1D21}" id="{5C62EF5E-9646-44BB-8213-8D21E5BC6772}">
    <text>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ext>
  </threadedComment>
  <threadedComment ref="D548" dT="2022-05-20T19:16:12.52" personId="{3700DA48-E085-4295-938F-A8B4296C1D21}" id="{9FACA1A5-0068-46A2-8D31-617A85646F91}">
    <text>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ext>
  </threadedComment>
  <threadedComment ref="D551" dT="2022-05-20T19:26:23.41" personId="{3700DA48-E085-4295-938F-A8B4296C1D21}" id="{F5EE1DCA-9761-48E4-88F7-0158606C077E}">
    <text>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D543" dT="2022-05-20T19:09:19.94" personId="{3700DA48-E085-4295-938F-A8B4296C1D21}" id="{B7B94D7E-3975-4928-8C4D-C219DC6D17D5}">
    <text>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ext>
  </threadedComment>
  <threadedComment ref="D544" dT="2022-05-20T19:11:06.16" personId="{3700DA48-E085-4295-938F-A8B4296C1D21}" id="{B75CA13B-65A3-4735-A0A4-DB306843DFBF}">
    <text>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ext>
  </threadedComment>
  <threadedComment ref="D545" dT="2022-05-20T19:12:19.15" personId="{3700DA48-E085-4295-938F-A8B4296C1D21}" id="{35C0832C-562F-4F71-A31F-246F4591F818}">
    <text>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ext>
  </threadedComment>
  <threadedComment ref="D546" dT="2022-05-20T19:13:44.21" personId="{3700DA48-E085-4295-938F-A8B4296C1D21}" id="{E6AB7492-1704-4DB3-BB59-E5025DBED403}">
    <text>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ext>
  </threadedComment>
  <threadedComment ref="D547" dT="2022-05-20T19:15:19.76" personId="{3700DA48-E085-4295-938F-A8B4296C1D21}" id="{98FA0875-14C5-47FE-A4E4-DF60FB6711FC}">
    <text>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ext>
  </threadedComment>
  <threadedComment ref="D548" dT="2022-05-20T19:16:12.52" personId="{3700DA48-E085-4295-938F-A8B4296C1D21}" id="{272A5F20-AC76-46CE-8337-F3AF53C8EC48}">
    <text>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ext>
  </threadedComment>
  <threadedComment ref="D551" dT="2022-05-20T19:26:23.41" personId="{3700DA48-E085-4295-938F-A8B4296C1D21}" id="{4CA5118C-C863-4504-A1FE-083B1CD25413}">
    <text>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br/anp/pt-br/assuntos/precos-e-defesa-da-concorrencia/precos/precos-de-distribuicao-de-produtos-asfalticos" TargetMode="External"/><Relationship Id="rId2" Type="http://schemas.openxmlformats.org/officeDocument/2006/relationships/hyperlink" Target="https://www.gov.br/anp/pt-br/assuntos/precos-e-defesa-da-concorrencia/precos/precos-de-produtores-e-importadores-de-derivados-de-petroleo" TargetMode="External"/><Relationship Id="rId1" Type="http://schemas.openxmlformats.org/officeDocument/2006/relationships/hyperlink" Target="https://www.gov.br/anp/pt-br/assuntos/precos-e-defesa-da-concorrencia/precos/precos-de-distribuicao-de-produtos-asfalticos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gov.br/anp/pt-br/assuntos/precos-e-defesa-da-concorrencia/precos/precos-de-produtores-e-importadores-de-derivados-de-petroleo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9.xml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BB63"/>
  <sheetViews>
    <sheetView topLeftCell="A9" workbookViewId="0">
      <selection activeCell="BI18" sqref="BH18:BI18"/>
    </sheetView>
  </sheetViews>
  <sheetFormatPr defaultRowHeight="11.25" x14ac:dyDescent="0.2"/>
  <cols>
    <col min="1" max="1" width="22" customWidth="1"/>
    <col min="2" max="2" width="49" bestFit="1" customWidth="1"/>
    <col min="3" max="3" width="9.5" style="260" customWidth="1"/>
    <col min="4" max="8" width="10.5" hidden="1" customWidth="1"/>
    <col min="9" max="10" width="10.5" customWidth="1"/>
    <col min="11" max="13" width="13.83203125" customWidth="1"/>
    <col min="14" max="14" width="11.1640625" hidden="1" customWidth="1"/>
    <col min="15" max="15" width="14" hidden="1" customWidth="1"/>
    <col min="16" max="16" width="11.1640625" hidden="1" customWidth="1"/>
    <col min="17" max="17" width="14" hidden="1" customWidth="1"/>
    <col min="18" max="18" width="11.1640625" hidden="1" customWidth="1"/>
    <col min="19" max="19" width="11.83203125" hidden="1" customWidth="1"/>
    <col min="20" max="21" width="10.5" customWidth="1"/>
    <col min="22" max="22" width="2.1640625" customWidth="1"/>
    <col min="23" max="23" width="18.33203125" customWidth="1"/>
    <col min="24" max="24" width="14.5" hidden="1" customWidth="1"/>
    <col min="25" max="25" width="9.6640625" style="260" hidden="1" customWidth="1"/>
    <col min="26" max="28" width="18.33203125" hidden="1" customWidth="1"/>
    <col min="29" max="34" width="19.33203125" style="250" hidden="1" customWidth="1"/>
    <col min="35" max="36" width="9.1640625" style="250" hidden="1" customWidth="1"/>
    <col min="37" max="37" width="9.33203125" style="250" hidden="1" customWidth="1"/>
    <col min="38" max="39" width="9.33203125" hidden="1" customWidth="1"/>
    <col min="40" max="40" width="12.6640625" hidden="1" customWidth="1"/>
    <col min="41" max="41" width="9.33203125" style="255" hidden="1" customWidth="1"/>
    <col min="42" max="42" width="49.1640625" style="254" hidden="1" customWidth="1"/>
    <col min="43" max="43" width="9.33203125" style="255" hidden="1" customWidth="1"/>
    <col min="44" max="45" width="9.33203125" style="254" hidden="1" customWidth="1"/>
    <col min="46" max="46" width="9.1640625" style="254" hidden="1" customWidth="1"/>
    <col min="47" max="48" width="9.33203125" hidden="1" customWidth="1"/>
    <col min="49" max="49" width="12.33203125" style="250" hidden="1" customWidth="1"/>
    <col min="50" max="50" width="11.6640625" hidden="1" customWidth="1"/>
    <col min="51" max="52" width="9.33203125" hidden="1" customWidth="1"/>
    <col min="53" max="53" width="13.1640625" customWidth="1"/>
    <col min="54" max="55" width="9.33203125" customWidth="1"/>
  </cols>
  <sheetData>
    <row r="1" spans="1:54" hidden="1" x14ac:dyDescent="0.2">
      <c r="W1" s="86"/>
      <c r="AC1"/>
      <c r="AD1"/>
      <c r="AE1"/>
      <c r="AF1"/>
      <c r="AG1"/>
      <c r="AH1"/>
      <c r="AL1" s="250"/>
    </row>
    <row r="2" spans="1:54" hidden="1" x14ac:dyDescent="0.2">
      <c r="W2" s="86"/>
      <c r="AC2"/>
      <c r="AD2"/>
      <c r="AE2"/>
      <c r="AF2"/>
      <c r="AG2"/>
      <c r="AH2"/>
      <c r="AL2" s="250"/>
    </row>
    <row r="3" spans="1:54" ht="15" hidden="1" x14ac:dyDescent="0.2">
      <c r="A3" s="252" t="s">
        <v>1522</v>
      </c>
      <c r="W3" s="86"/>
      <c r="AC3"/>
      <c r="AD3"/>
      <c r="AE3"/>
      <c r="AF3"/>
      <c r="AG3"/>
      <c r="AH3"/>
      <c r="AL3" s="250"/>
    </row>
    <row r="4" spans="1:54" ht="15" hidden="1" x14ac:dyDescent="0.2">
      <c r="A4" s="252"/>
      <c r="W4" s="86"/>
      <c r="AC4"/>
      <c r="AD4"/>
      <c r="AE4"/>
      <c r="AF4"/>
      <c r="AG4"/>
      <c r="AH4"/>
      <c r="AL4" s="250"/>
    </row>
    <row r="5" spans="1:54" hidden="1" x14ac:dyDescent="0.2">
      <c r="W5" s="256"/>
      <c r="AC5"/>
      <c r="AD5"/>
      <c r="AE5"/>
      <c r="AF5"/>
      <c r="AG5"/>
      <c r="AH5"/>
      <c r="AL5" s="250"/>
      <c r="BA5" t="s">
        <v>1950</v>
      </c>
      <c r="BB5" t="s">
        <v>1951</v>
      </c>
    </row>
    <row r="6" spans="1:54" ht="15" hidden="1" x14ac:dyDescent="0.2">
      <c r="A6" s="252"/>
      <c r="W6" s="261" t="s">
        <v>1573</v>
      </c>
      <c r="X6" s="261" t="s">
        <v>1574</v>
      </c>
      <c r="Z6" s="257" t="s">
        <v>1575</v>
      </c>
      <c r="AA6" s="257" t="s">
        <v>1575</v>
      </c>
      <c r="AC6"/>
      <c r="AD6"/>
      <c r="AE6"/>
      <c r="AF6"/>
      <c r="AG6"/>
      <c r="AH6"/>
      <c r="AL6" s="250"/>
      <c r="BA6" s="298">
        <v>5.91E-2</v>
      </c>
      <c r="BB6" s="298">
        <v>6.4000000000000001E-2</v>
      </c>
    </row>
    <row r="7" spans="1:54" hidden="1" x14ac:dyDescent="0.2">
      <c r="W7" s="262" t="s">
        <v>1576</v>
      </c>
      <c r="X7" s="263" t="s">
        <v>1577</v>
      </c>
      <c r="Z7" s="257" t="s">
        <v>1578</v>
      </c>
      <c r="AA7" s="257" t="s">
        <v>1578</v>
      </c>
      <c r="AC7"/>
      <c r="AD7"/>
      <c r="AE7"/>
      <c r="AF7"/>
      <c r="AG7"/>
      <c r="AH7"/>
      <c r="AL7" s="250"/>
      <c r="BA7" s="299">
        <v>0.1027</v>
      </c>
      <c r="BB7" s="299">
        <v>0.105</v>
      </c>
    </row>
    <row r="8" spans="1:54" ht="12.75" hidden="1" x14ac:dyDescent="0.2">
      <c r="A8" s="1308" t="s">
        <v>1579</v>
      </c>
      <c r="B8" s="1309"/>
      <c r="W8" s="264" t="s">
        <v>1580</v>
      </c>
      <c r="X8" s="265" t="s">
        <v>1581</v>
      </c>
      <c r="AC8"/>
      <c r="AD8"/>
      <c r="AE8"/>
      <c r="AF8"/>
      <c r="AG8"/>
      <c r="AH8"/>
      <c r="AL8" s="250"/>
      <c r="AW8" s="297" t="s">
        <v>1952</v>
      </c>
      <c r="BA8" s="300">
        <f>(1+BA6)*(1+BA7)-1</f>
        <v>0.16786956999999991</v>
      </c>
      <c r="BB8" s="300">
        <f>(1+BB6)*(1+BB7)-1</f>
        <v>0.1757200000000001</v>
      </c>
    </row>
    <row r="9" spans="1:54" ht="12" thickBot="1" x14ac:dyDescent="0.25">
      <c r="B9" s="253"/>
      <c r="AC9"/>
      <c r="AD9"/>
      <c r="AE9"/>
      <c r="AF9"/>
      <c r="AG9"/>
      <c r="AH9"/>
      <c r="AL9" s="250"/>
      <c r="AW9" s="297" t="s">
        <v>1953</v>
      </c>
    </row>
    <row r="10" spans="1:54" ht="58.5" customHeight="1" x14ac:dyDescent="0.2">
      <c r="A10" s="1217"/>
      <c r="B10" s="1218" t="s">
        <v>1985</v>
      </c>
      <c r="C10" s="1219"/>
      <c r="D10" s="1220"/>
      <c r="E10" s="1220"/>
      <c r="F10" s="1220"/>
      <c r="G10" s="1220"/>
      <c r="H10" s="1220"/>
      <c r="I10" s="1220"/>
      <c r="J10" s="1220"/>
      <c r="K10" s="1220"/>
      <c r="L10" s="1221"/>
      <c r="N10" s="266" t="s">
        <v>1860</v>
      </c>
      <c r="O10" s="267"/>
      <c r="P10" s="266" t="s">
        <v>1861</v>
      </c>
      <c r="Q10" s="267"/>
      <c r="R10" s="266" t="s">
        <v>1862</v>
      </c>
      <c r="S10" s="267"/>
      <c r="T10" s="268" t="s">
        <v>1958</v>
      </c>
      <c r="U10" s="269"/>
      <c r="V10" s="238"/>
      <c r="W10" s="270" t="s">
        <v>1582</v>
      </c>
      <c r="AC10"/>
      <c r="AD10" t="s">
        <v>1582</v>
      </c>
      <c r="AE10" t="s">
        <v>1582</v>
      </c>
      <c r="AF10" t="s">
        <v>1582</v>
      </c>
      <c r="AG10" t="s">
        <v>1582</v>
      </c>
      <c r="AH10" t="s">
        <v>1582</v>
      </c>
      <c r="AL10" s="250"/>
    </row>
    <row r="11" spans="1:54" ht="60" x14ac:dyDescent="0.2">
      <c r="A11" s="1191" t="s">
        <v>1583</v>
      </c>
      <c r="B11" s="1192" t="s">
        <v>1584</v>
      </c>
      <c r="C11" s="1193" t="s">
        <v>1585</v>
      </c>
      <c r="D11" s="1213" t="s">
        <v>1962</v>
      </c>
      <c r="E11" s="1214" t="s">
        <v>1963</v>
      </c>
      <c r="F11" s="1214" t="s">
        <v>1964</v>
      </c>
      <c r="G11" s="1214" t="s">
        <v>1965</v>
      </c>
      <c r="H11" s="1214" t="s">
        <v>1961</v>
      </c>
      <c r="I11" s="1215">
        <v>44593</v>
      </c>
      <c r="J11" s="1216">
        <v>44774</v>
      </c>
      <c r="K11" s="1216">
        <v>44958</v>
      </c>
      <c r="L11" s="1214" t="s">
        <v>2228</v>
      </c>
      <c r="M11" s="580"/>
      <c r="N11" s="271" t="s">
        <v>1586</v>
      </c>
      <c r="O11" s="271" t="s">
        <v>1587</v>
      </c>
      <c r="P11" s="271" t="s">
        <v>1586</v>
      </c>
      <c r="Q11" s="271" t="s">
        <v>1587</v>
      </c>
      <c r="R11" s="271" t="s">
        <v>1586</v>
      </c>
      <c r="S11" s="271" t="s">
        <v>1587</v>
      </c>
      <c r="T11" s="271" t="s">
        <v>1959</v>
      </c>
      <c r="U11" s="271" t="s">
        <v>1960</v>
      </c>
      <c r="W11" s="272" t="s">
        <v>1989</v>
      </c>
      <c r="Z11" s="306" t="s">
        <v>1987</v>
      </c>
      <c r="AA11" s="306" t="s">
        <v>1589</v>
      </c>
      <c r="AB11" s="305" t="s">
        <v>1588</v>
      </c>
      <c r="AC11" s="305" t="s">
        <v>1863</v>
      </c>
      <c r="AD11" s="305" t="s">
        <v>1864</v>
      </c>
      <c r="AE11" s="305" t="s">
        <v>1988</v>
      </c>
      <c r="AF11" s="305" t="s">
        <v>1986</v>
      </c>
      <c r="AG11" s="305" t="s">
        <v>1990</v>
      </c>
      <c r="AH11" s="306" t="s">
        <v>1989</v>
      </c>
      <c r="AI11" s="307" t="s">
        <v>1865</v>
      </c>
      <c r="AJ11" s="274"/>
      <c r="AK11" s="273" t="s">
        <v>1866</v>
      </c>
      <c r="AL11" s="274"/>
      <c r="AP11" s="254" t="s">
        <v>1867</v>
      </c>
      <c r="AW11" s="271" t="s">
        <v>1954</v>
      </c>
      <c r="AX11" s="271" t="s">
        <v>1955</v>
      </c>
      <c r="AY11" s="250" t="s">
        <v>1956</v>
      </c>
      <c r="AZ11" s="250" t="s">
        <v>1957</v>
      </c>
      <c r="BA11" s="1212" t="s">
        <v>2227</v>
      </c>
    </row>
    <row r="12" spans="1:54" ht="12.75" x14ac:dyDescent="0.2">
      <c r="A12" s="1194">
        <v>589100</v>
      </c>
      <c r="B12" s="1195" t="s">
        <v>1590</v>
      </c>
      <c r="C12" s="1196" t="s">
        <v>1591</v>
      </c>
      <c r="D12" s="1197">
        <v>3514.38</v>
      </c>
      <c r="E12" s="1198">
        <v>4464.1099999999997</v>
      </c>
      <c r="F12" s="1198">
        <v>5706.75</v>
      </c>
      <c r="G12" s="1198" t="s">
        <v>1967</v>
      </c>
      <c r="H12" s="1198">
        <v>5022.5</v>
      </c>
      <c r="I12" s="1207">
        <v>7777.8</v>
      </c>
      <c r="J12" s="1208">
        <v>7415.78</v>
      </c>
      <c r="K12" s="1199">
        <v>5937.37</v>
      </c>
      <c r="L12" s="1190">
        <f>ROUND(K12/J12-1,4)</f>
        <v>-0.19939999999999999</v>
      </c>
      <c r="N12" s="275"/>
      <c r="O12" s="275">
        <f>ROUND(N12/(1-0%),2)</f>
        <v>0</v>
      </c>
      <c r="P12" s="276"/>
      <c r="Q12" s="276">
        <f>ROUND(P12/(1-0%),2)</f>
        <v>0</v>
      </c>
      <c r="R12" s="277"/>
      <c r="S12" s="277">
        <f t="shared" ref="S12:S24" si="0">ROUND(R12/(1-21.65%),2)</f>
        <v>0</v>
      </c>
      <c r="T12" s="303">
        <v>6629</v>
      </c>
      <c r="U12" s="283">
        <v>7052</v>
      </c>
      <c r="V12" s="278"/>
      <c r="W12" s="279">
        <f>T12</f>
        <v>6629</v>
      </c>
      <c r="X12" s="278">
        <f t="shared" ref="X12:X26" si="1">IF(K12=0,"",W12/K12)</f>
        <v>1.1164876030969941</v>
      </c>
      <c r="Y12" s="278" t="s">
        <v>1576</v>
      </c>
      <c r="Z12" s="280">
        <f>H12</f>
        <v>5022.5</v>
      </c>
      <c r="AA12" s="280">
        <v>6100.3</v>
      </c>
      <c r="AB12" s="280">
        <v>5774.08</v>
      </c>
      <c r="AC12" s="280">
        <v>6024.25</v>
      </c>
      <c r="AD12" s="280">
        <v>6642.53</v>
      </c>
      <c r="AE12" s="280">
        <v>7777.8</v>
      </c>
      <c r="AF12" s="280">
        <v>7404.92</v>
      </c>
      <c r="AG12" s="280">
        <v>7415.78</v>
      </c>
      <c r="AH12" s="304">
        <v>6629</v>
      </c>
      <c r="AI12" s="281"/>
      <c r="AJ12" s="282"/>
      <c r="AK12" s="283"/>
      <c r="AL12" s="283"/>
      <c r="AM12" s="284"/>
      <c r="AN12" s="285"/>
      <c r="AW12" s="250">
        <v>7415.78</v>
      </c>
      <c r="AX12" s="253">
        <f>AW12*(1-$BB$8)</f>
        <v>6112.6791383999989</v>
      </c>
      <c r="AY12" s="301">
        <v>6629</v>
      </c>
      <c r="AZ12" s="302">
        <v>7052</v>
      </c>
      <c r="BA12" s="1190">
        <f>ROUND(K12/W12-1,4)</f>
        <v>-0.1043</v>
      </c>
    </row>
    <row r="13" spans="1:54" ht="25.5" x14ac:dyDescent="0.2">
      <c r="A13" s="1194"/>
      <c r="B13" s="1195" t="s">
        <v>1868</v>
      </c>
      <c r="C13" s="1196" t="s">
        <v>1591</v>
      </c>
      <c r="D13" s="1197"/>
      <c r="E13" s="1198"/>
      <c r="F13" s="1198"/>
      <c r="G13" s="1198"/>
      <c r="H13" s="1198"/>
      <c r="I13" s="1207"/>
      <c r="J13" s="1208"/>
      <c r="K13" s="1199"/>
      <c r="L13" s="1211"/>
      <c r="N13" s="286"/>
      <c r="O13" s="286"/>
      <c r="P13" s="286"/>
      <c r="Q13" s="286"/>
      <c r="R13" s="277"/>
      <c r="S13" s="277">
        <f t="shared" si="0"/>
        <v>0</v>
      </c>
      <c r="T13" s="251"/>
      <c r="U13" s="283"/>
      <c r="V13" s="278"/>
      <c r="W13" s="279"/>
      <c r="X13" s="278" t="str">
        <f t="shared" si="1"/>
        <v/>
      </c>
      <c r="Y13" s="278" t="s">
        <v>1580</v>
      </c>
      <c r="Z13" s="280"/>
      <c r="AA13" s="280"/>
      <c r="AB13" s="280"/>
      <c r="AC13" s="280"/>
      <c r="AD13" s="280">
        <v>4715.28</v>
      </c>
      <c r="AE13" s="280">
        <v>5524.24</v>
      </c>
      <c r="AF13" s="280">
        <v>5524.24</v>
      </c>
      <c r="AG13" s="280"/>
      <c r="AH13" s="280"/>
      <c r="AI13" s="283"/>
      <c r="AJ13" s="287"/>
      <c r="AK13" s="287"/>
      <c r="AL13" s="287"/>
      <c r="AM13" s="284"/>
      <c r="AN13" s="285"/>
      <c r="AO13" s="288">
        <v>517</v>
      </c>
      <c r="AP13" s="289" t="s">
        <v>1869</v>
      </c>
      <c r="AQ13" s="288" t="s">
        <v>1870</v>
      </c>
      <c r="AR13" s="290" t="s">
        <v>1871</v>
      </c>
      <c r="AS13" s="290" t="s">
        <v>1872</v>
      </c>
      <c r="AY13" s="250"/>
      <c r="AZ13" s="302"/>
      <c r="BA13" s="1211"/>
    </row>
    <row r="14" spans="1:54" ht="33.75" x14ac:dyDescent="0.2">
      <c r="A14" s="1194">
        <v>589050</v>
      </c>
      <c r="B14" s="1195" t="s">
        <v>1592</v>
      </c>
      <c r="C14" s="1196" t="s">
        <v>1591</v>
      </c>
      <c r="D14" s="1197">
        <v>2660.93</v>
      </c>
      <c r="E14" s="1198">
        <v>3344.17</v>
      </c>
      <c r="F14" s="1198">
        <v>3762.84</v>
      </c>
      <c r="G14" s="1198" t="s">
        <v>1968</v>
      </c>
      <c r="H14" s="1198">
        <v>3788.14</v>
      </c>
      <c r="I14" s="1207">
        <v>6004</v>
      </c>
      <c r="J14" s="1208">
        <v>5892.67</v>
      </c>
      <c r="K14" s="1199">
        <v>5201.1000000000004</v>
      </c>
      <c r="L14" s="1190">
        <f t="shared" ref="L14:L31" si="2">ROUND(K14/J14-1,4)</f>
        <v>-0.1174</v>
      </c>
      <c r="N14" s="286"/>
      <c r="O14" s="286"/>
      <c r="P14" s="276"/>
      <c r="Q14" s="276">
        <f>ROUND(P14/(1-0%),2)</f>
        <v>0</v>
      </c>
      <c r="R14" s="277"/>
      <c r="S14" s="277">
        <f t="shared" si="0"/>
        <v>0</v>
      </c>
      <c r="T14" s="303">
        <v>5662</v>
      </c>
      <c r="U14" s="283">
        <v>6915</v>
      </c>
      <c r="V14" s="278"/>
      <c r="W14" s="279">
        <f>T14</f>
        <v>5662</v>
      </c>
      <c r="X14" s="278">
        <f t="shared" si="1"/>
        <v>1.0886158697198669</v>
      </c>
      <c r="Y14" s="278" t="s">
        <v>1576</v>
      </c>
      <c r="Z14" s="280">
        <f t="shared" ref="Z14:Z22" si="3">H14</f>
        <v>3788.14</v>
      </c>
      <c r="AA14" s="280">
        <v>5316</v>
      </c>
      <c r="AB14" s="280">
        <v>4986.3100000000004</v>
      </c>
      <c r="AC14" s="280">
        <v>5367.12</v>
      </c>
      <c r="AD14" s="280">
        <v>5880.51</v>
      </c>
      <c r="AE14" s="280">
        <v>6004</v>
      </c>
      <c r="AF14" s="280">
        <v>6277.45</v>
      </c>
      <c r="AG14" s="280">
        <v>5892.67</v>
      </c>
      <c r="AH14" s="280">
        <v>5662</v>
      </c>
      <c r="AI14" s="283"/>
      <c r="AJ14" s="283"/>
      <c r="AK14" s="251"/>
      <c r="AL14" s="282"/>
      <c r="AM14" s="284"/>
      <c r="AN14" s="285"/>
      <c r="AO14" s="288">
        <v>41904</v>
      </c>
      <c r="AP14" s="289" t="s">
        <v>1873</v>
      </c>
      <c r="AQ14" s="288" t="s">
        <v>1874</v>
      </c>
      <c r="AR14" s="290" t="s">
        <v>1875</v>
      </c>
      <c r="AS14" s="290" t="s">
        <v>1876</v>
      </c>
      <c r="AW14" s="250">
        <v>5892.67</v>
      </c>
      <c r="AX14" s="253">
        <f t="shared" ref="AX14:AX22" si="4">AW14*(1-$BA$8)</f>
        <v>4903.4700209481007</v>
      </c>
      <c r="AY14" s="301">
        <v>5662</v>
      </c>
      <c r="AZ14" s="302">
        <v>6915</v>
      </c>
      <c r="BA14" s="1190">
        <f t="shared" ref="BA14:BA31" si="5">ROUND(K14/W14-1,4)</f>
        <v>-8.14E-2</v>
      </c>
    </row>
    <row r="15" spans="1:54" ht="33.75" x14ac:dyDescent="0.2">
      <c r="A15" s="1194">
        <v>589070</v>
      </c>
      <c r="B15" s="1195" t="s">
        <v>1593</v>
      </c>
      <c r="C15" s="1196" t="s">
        <v>1591</v>
      </c>
      <c r="D15" s="1197"/>
      <c r="E15" s="1198"/>
      <c r="F15" s="1198"/>
      <c r="G15" s="1198" t="s">
        <v>1969</v>
      </c>
      <c r="H15" s="1198">
        <v>4130.03</v>
      </c>
      <c r="I15" s="1207">
        <v>6309</v>
      </c>
      <c r="J15" s="1208">
        <v>6142.33</v>
      </c>
      <c r="K15" s="1199">
        <v>5001</v>
      </c>
      <c r="L15" s="1190">
        <f t="shared" si="2"/>
        <v>-0.18579999999999999</v>
      </c>
      <c r="N15" s="286"/>
      <c r="O15" s="286"/>
      <c r="P15" s="286"/>
      <c r="Q15" s="286"/>
      <c r="R15" s="277"/>
      <c r="S15" s="277">
        <f t="shared" si="0"/>
        <v>0</v>
      </c>
      <c r="T15" s="303">
        <v>5447</v>
      </c>
      <c r="U15" s="283">
        <v>5535</v>
      </c>
      <c r="V15" s="278"/>
      <c r="W15" s="279">
        <f>T15</f>
        <v>5447</v>
      </c>
      <c r="X15" s="278">
        <f t="shared" si="1"/>
        <v>1.0891821635672865</v>
      </c>
      <c r="Y15" s="278" t="s">
        <v>1580</v>
      </c>
      <c r="Z15" s="280">
        <f t="shared" si="3"/>
        <v>4130.03</v>
      </c>
      <c r="AA15" s="280"/>
      <c r="AB15" s="280">
        <v>4453.4399999999996</v>
      </c>
      <c r="AC15" s="280">
        <v>5106.25</v>
      </c>
      <c r="AD15" s="280">
        <v>6043.93</v>
      </c>
      <c r="AE15" s="280">
        <v>6309</v>
      </c>
      <c r="AF15" s="280">
        <v>6227.89</v>
      </c>
      <c r="AG15" s="280">
        <v>6142.33</v>
      </c>
      <c r="AH15" s="280">
        <v>5447</v>
      </c>
      <c r="AI15" s="283"/>
      <c r="AJ15" s="283"/>
      <c r="AK15" s="251"/>
      <c r="AL15" s="282"/>
      <c r="AM15" s="284"/>
      <c r="AN15" s="285"/>
      <c r="AO15" s="288">
        <v>41903</v>
      </c>
      <c r="AP15" s="289" t="s">
        <v>1877</v>
      </c>
      <c r="AQ15" s="288" t="s">
        <v>1878</v>
      </c>
      <c r="AR15" s="290" t="s">
        <v>1875</v>
      </c>
      <c r="AS15" s="290" t="s">
        <v>1879</v>
      </c>
      <c r="AW15" s="250">
        <v>6142.33</v>
      </c>
      <c r="AX15" s="253">
        <f t="shared" si="4"/>
        <v>5111.2197041019008</v>
      </c>
      <c r="AY15" s="301">
        <v>5447</v>
      </c>
      <c r="AZ15" s="302">
        <v>5535</v>
      </c>
      <c r="BA15" s="1190">
        <f t="shared" si="5"/>
        <v>-8.1900000000000001E-2</v>
      </c>
    </row>
    <row r="16" spans="1:54" ht="33.75" x14ac:dyDescent="0.2">
      <c r="A16" s="1194">
        <v>589000</v>
      </c>
      <c r="B16" s="1195" t="s">
        <v>1594</v>
      </c>
      <c r="C16" s="1196" t="s">
        <v>1591</v>
      </c>
      <c r="D16" s="1197">
        <v>2349.52</v>
      </c>
      <c r="E16" s="1198">
        <v>2956.34</v>
      </c>
      <c r="F16" s="1198">
        <v>3474.98</v>
      </c>
      <c r="G16" s="1198" t="s">
        <v>1970</v>
      </c>
      <c r="H16" s="1198">
        <v>3340.63</v>
      </c>
      <c r="I16" s="1207">
        <v>6287.6</v>
      </c>
      <c r="J16" s="1208">
        <v>5970.35</v>
      </c>
      <c r="K16" s="1199">
        <v>4828.8599999999997</v>
      </c>
      <c r="L16" s="1190">
        <f t="shared" si="2"/>
        <v>-0.19120000000000001</v>
      </c>
      <c r="N16" s="275"/>
      <c r="O16" s="275">
        <f>ROUND(N16/(1-0%),2)</f>
        <v>0</v>
      </c>
      <c r="P16" s="276"/>
      <c r="Q16" s="276">
        <f>ROUND(P16/(1-0%),2)</f>
        <v>0</v>
      </c>
      <c r="R16" s="277"/>
      <c r="S16" s="277">
        <f t="shared" si="0"/>
        <v>0</v>
      </c>
      <c r="T16" s="251">
        <v>6006</v>
      </c>
      <c r="U16" s="303">
        <v>5725</v>
      </c>
      <c r="V16" s="278"/>
      <c r="W16" s="279">
        <f>U16</f>
        <v>5725</v>
      </c>
      <c r="X16" s="278">
        <f t="shared" si="1"/>
        <v>1.1855800333826203</v>
      </c>
      <c r="Y16" s="278" t="s">
        <v>1576</v>
      </c>
      <c r="Z16" s="280">
        <f t="shared" si="3"/>
        <v>3340.63</v>
      </c>
      <c r="AA16" s="280">
        <v>4708.6000000000004</v>
      </c>
      <c r="AB16" s="280">
        <v>4434.49</v>
      </c>
      <c r="AC16" s="280">
        <v>4718.0200000000004</v>
      </c>
      <c r="AD16" s="280">
        <v>5118.8900000000003</v>
      </c>
      <c r="AE16" s="280">
        <v>6287.6</v>
      </c>
      <c r="AF16" s="280">
        <v>5479.8</v>
      </c>
      <c r="AG16" s="280">
        <v>5970.35</v>
      </c>
      <c r="AH16" s="280">
        <v>5725</v>
      </c>
      <c r="AI16" s="283"/>
      <c r="AJ16" s="283"/>
      <c r="AK16" s="251"/>
      <c r="AL16" s="282"/>
      <c r="AM16" s="284"/>
      <c r="AN16" s="285"/>
      <c r="AO16" s="288">
        <v>37534</v>
      </c>
      <c r="AP16" s="289" t="s">
        <v>1880</v>
      </c>
      <c r="AQ16" s="288" t="s">
        <v>1878</v>
      </c>
      <c r="AR16" s="290" t="s">
        <v>1881</v>
      </c>
      <c r="AS16" s="290" t="s">
        <v>1882</v>
      </c>
      <c r="AW16" s="250">
        <v>5970.35</v>
      </c>
      <c r="AX16" s="253">
        <f t="shared" si="4"/>
        <v>4968.1099127505004</v>
      </c>
      <c r="AY16" s="250">
        <v>6006</v>
      </c>
      <c r="AZ16" s="301">
        <v>5725</v>
      </c>
      <c r="BA16" s="1190">
        <f t="shared" si="5"/>
        <v>-0.1565</v>
      </c>
    </row>
    <row r="17" spans="1:53" ht="33.75" x14ac:dyDescent="0.2">
      <c r="A17" s="1194">
        <v>589030</v>
      </c>
      <c r="B17" s="1195" t="s">
        <v>1883</v>
      </c>
      <c r="C17" s="1196" t="s">
        <v>1591</v>
      </c>
      <c r="D17" s="1197">
        <v>3370.61</v>
      </c>
      <c r="E17" s="1198">
        <v>3839.39</v>
      </c>
      <c r="F17" s="1198">
        <v>4183.88</v>
      </c>
      <c r="G17" s="1198" t="s">
        <v>1971</v>
      </c>
      <c r="H17" s="1198">
        <v>3932.27</v>
      </c>
      <c r="I17" s="1207">
        <v>7237.2</v>
      </c>
      <c r="J17" s="1208">
        <v>7226.46</v>
      </c>
      <c r="K17" s="1199">
        <v>5925.42</v>
      </c>
      <c r="L17" s="1190">
        <f t="shared" si="2"/>
        <v>-0.18</v>
      </c>
      <c r="N17" s="286"/>
      <c r="O17" s="286"/>
      <c r="P17" s="276"/>
      <c r="Q17" s="276">
        <f>ROUND(P17/(1-0%),2)</f>
        <v>0</v>
      </c>
      <c r="R17" s="277"/>
      <c r="S17" s="277">
        <f t="shared" si="0"/>
        <v>0</v>
      </c>
      <c r="T17" s="251">
        <v>7439</v>
      </c>
      <c r="U17" s="303">
        <v>6795</v>
      </c>
      <c r="V17" s="278"/>
      <c r="W17" s="279">
        <f t="shared" ref="W17:W31" si="6">U17</f>
        <v>6795</v>
      </c>
      <c r="X17" s="278">
        <f t="shared" si="1"/>
        <v>1.1467541541359094</v>
      </c>
      <c r="Y17" s="278" t="s">
        <v>1580</v>
      </c>
      <c r="Z17" s="280">
        <f t="shared" si="3"/>
        <v>3932.27</v>
      </c>
      <c r="AA17" s="280"/>
      <c r="AB17" s="280">
        <v>3898.29</v>
      </c>
      <c r="AC17" s="280">
        <v>5841.48</v>
      </c>
      <c r="AD17" s="280">
        <v>6343.8</v>
      </c>
      <c r="AE17" s="280">
        <v>7237.2</v>
      </c>
      <c r="AF17" s="280">
        <v>5402.44</v>
      </c>
      <c r="AG17" s="280">
        <v>7226.46</v>
      </c>
      <c r="AH17" s="280">
        <v>6795</v>
      </c>
      <c r="AI17" s="283"/>
      <c r="AJ17" s="283"/>
      <c r="AK17" s="251"/>
      <c r="AL17" s="282"/>
      <c r="AM17" s="284"/>
      <c r="AN17" s="285"/>
      <c r="AO17" s="288">
        <v>37535</v>
      </c>
      <c r="AP17" s="289" t="s">
        <v>1884</v>
      </c>
      <c r="AQ17" s="288" t="s">
        <v>1878</v>
      </c>
      <c r="AR17" s="290" t="s">
        <v>1881</v>
      </c>
      <c r="AS17" s="290" t="s">
        <v>1882</v>
      </c>
      <c r="AW17" s="250">
        <v>7226.46</v>
      </c>
      <c r="AX17" s="253">
        <f t="shared" si="4"/>
        <v>6013.3572671778011</v>
      </c>
      <c r="AY17" s="250">
        <v>7439</v>
      </c>
      <c r="AZ17" s="301">
        <v>6795</v>
      </c>
      <c r="BA17" s="1190">
        <f t="shared" si="5"/>
        <v>-0.128</v>
      </c>
    </row>
    <row r="18" spans="1:53" ht="33.75" x14ac:dyDescent="0.2">
      <c r="A18" s="1194">
        <v>589040</v>
      </c>
      <c r="B18" s="1195" t="s">
        <v>1885</v>
      </c>
      <c r="C18" s="1196" t="s">
        <v>1591</v>
      </c>
      <c r="D18" s="1197">
        <v>3512.37</v>
      </c>
      <c r="E18" s="1198">
        <v>3955.12</v>
      </c>
      <c r="F18" s="1198">
        <v>4454.8999999999996</v>
      </c>
      <c r="G18" s="1198" t="s">
        <v>1972</v>
      </c>
      <c r="H18" s="1198">
        <v>4296.93</v>
      </c>
      <c r="I18" s="1207">
        <v>7408.8</v>
      </c>
      <c r="J18" s="1208">
        <v>7416.43</v>
      </c>
      <c r="K18" s="1199">
        <v>6122.06</v>
      </c>
      <c r="L18" s="1190">
        <f t="shared" si="2"/>
        <v>-0.17449999999999999</v>
      </c>
      <c r="N18" s="286"/>
      <c r="O18" s="286"/>
      <c r="P18" s="276"/>
      <c r="Q18" s="276">
        <f>ROUND(P18/(1-0%),2)</f>
        <v>0</v>
      </c>
      <c r="R18" s="277"/>
      <c r="S18" s="277">
        <f t="shared" si="0"/>
        <v>0</v>
      </c>
      <c r="T18" s="251">
        <v>7610</v>
      </c>
      <c r="U18" s="303">
        <v>7130</v>
      </c>
      <c r="V18" s="278"/>
      <c r="W18" s="279">
        <f t="shared" si="6"/>
        <v>7130</v>
      </c>
      <c r="X18" s="278">
        <f t="shared" si="1"/>
        <v>1.1646406601699428</v>
      </c>
      <c r="Y18" s="291" t="s">
        <v>1576</v>
      </c>
      <c r="Z18" s="280">
        <f t="shared" si="3"/>
        <v>4296.93</v>
      </c>
      <c r="AA18" s="280"/>
      <c r="AB18" s="280">
        <v>5182.78</v>
      </c>
      <c r="AC18" s="280">
        <v>5188.97</v>
      </c>
      <c r="AD18" s="280">
        <v>6060.94</v>
      </c>
      <c r="AE18" s="280">
        <v>7408.8</v>
      </c>
      <c r="AF18" s="280">
        <v>6863.02</v>
      </c>
      <c r="AG18" s="280">
        <v>7416.43</v>
      </c>
      <c r="AH18" s="280">
        <v>7130</v>
      </c>
      <c r="AI18" s="283"/>
      <c r="AJ18" s="283"/>
      <c r="AK18" s="251"/>
      <c r="AL18" s="282"/>
      <c r="AM18" s="284"/>
      <c r="AN18" s="285"/>
      <c r="AO18" s="288">
        <v>37533</v>
      </c>
      <c r="AP18" s="289" t="s">
        <v>1886</v>
      </c>
      <c r="AQ18" s="288" t="s">
        <v>1878</v>
      </c>
      <c r="AR18" s="290" t="s">
        <v>1881</v>
      </c>
      <c r="AS18" s="290" t="s">
        <v>1882</v>
      </c>
      <c r="AW18" s="250">
        <v>7416.43</v>
      </c>
      <c r="AX18" s="253">
        <f t="shared" si="4"/>
        <v>6171.4370849649013</v>
      </c>
      <c r="AY18" s="250">
        <v>7610</v>
      </c>
      <c r="AZ18" s="301">
        <v>7130</v>
      </c>
      <c r="BA18" s="1190">
        <f t="shared" si="5"/>
        <v>-0.1414</v>
      </c>
    </row>
    <row r="19" spans="1:53" ht="33.75" x14ac:dyDescent="0.2">
      <c r="A19" s="1194">
        <v>589060</v>
      </c>
      <c r="B19" s="1195" t="s">
        <v>1887</v>
      </c>
      <c r="C19" s="1196" t="s">
        <v>1591</v>
      </c>
      <c r="D19" s="1197">
        <v>3625.34</v>
      </c>
      <c r="E19" s="1198">
        <v>4127.55</v>
      </c>
      <c r="F19" s="1198">
        <v>4195.8999999999996</v>
      </c>
      <c r="G19" s="1198" t="s">
        <v>1973</v>
      </c>
      <c r="H19" s="1198">
        <v>4032.87</v>
      </c>
      <c r="I19" s="1207">
        <v>7549.6</v>
      </c>
      <c r="J19" s="1208">
        <v>7531.53</v>
      </c>
      <c r="K19" s="1199">
        <v>6307.22</v>
      </c>
      <c r="L19" s="1190">
        <f t="shared" si="2"/>
        <v>-0.16259999999999999</v>
      </c>
      <c r="N19" s="286"/>
      <c r="O19" s="286"/>
      <c r="P19" s="286"/>
      <c r="Q19" s="286"/>
      <c r="R19" s="277"/>
      <c r="S19" s="277">
        <f t="shared" si="0"/>
        <v>0</v>
      </c>
      <c r="T19" s="251">
        <v>7797</v>
      </c>
      <c r="U19" s="303">
        <v>7435</v>
      </c>
      <c r="V19" s="278"/>
      <c r="W19" s="279">
        <f t="shared" si="6"/>
        <v>7435</v>
      </c>
      <c r="X19" s="278">
        <f t="shared" si="1"/>
        <v>1.1788077790215024</v>
      </c>
      <c r="Y19" s="278" t="s">
        <v>1580</v>
      </c>
      <c r="Z19" s="280">
        <f t="shared" si="3"/>
        <v>4032.87</v>
      </c>
      <c r="AA19" s="280"/>
      <c r="AB19" s="280">
        <v>4864.28</v>
      </c>
      <c r="AC19" s="280">
        <v>5635.05</v>
      </c>
      <c r="AD19" s="280">
        <v>6155.24</v>
      </c>
      <c r="AE19" s="280">
        <v>7549.6</v>
      </c>
      <c r="AF19" s="280">
        <v>7569.71</v>
      </c>
      <c r="AG19" s="280">
        <v>7531.53</v>
      </c>
      <c r="AH19" s="280">
        <v>7435</v>
      </c>
      <c r="AI19" s="251"/>
      <c r="AJ19" s="282"/>
      <c r="AK19" s="251"/>
      <c r="AL19" s="281"/>
      <c r="AM19" s="284"/>
      <c r="AN19" s="285"/>
      <c r="AO19" s="288">
        <v>37537</v>
      </c>
      <c r="AP19" s="289" t="s">
        <v>1888</v>
      </c>
      <c r="AQ19" s="288" t="s">
        <v>1878</v>
      </c>
      <c r="AR19" s="290" t="s">
        <v>1881</v>
      </c>
      <c r="AS19" s="290" t="s">
        <v>1889</v>
      </c>
      <c r="AW19" s="250">
        <v>7531.53</v>
      </c>
      <c r="AX19" s="253">
        <f t="shared" si="4"/>
        <v>6267.2152974579003</v>
      </c>
      <c r="AY19" s="250">
        <v>7797</v>
      </c>
      <c r="AZ19" s="301">
        <v>7435</v>
      </c>
      <c r="BA19" s="1190">
        <f t="shared" si="5"/>
        <v>-0.1517</v>
      </c>
    </row>
    <row r="20" spans="1:53" ht="33.75" x14ac:dyDescent="0.2">
      <c r="A20" s="1194">
        <v>589190</v>
      </c>
      <c r="B20" s="1195" t="s">
        <v>1595</v>
      </c>
      <c r="C20" s="1196" t="s">
        <v>1591</v>
      </c>
      <c r="D20" s="1197">
        <v>2690.38</v>
      </c>
      <c r="E20" s="1198">
        <v>3059.62</v>
      </c>
      <c r="F20" s="1198">
        <v>3102.01</v>
      </c>
      <c r="G20" s="1198" t="s">
        <v>1974</v>
      </c>
      <c r="H20" s="1198">
        <v>2803.16</v>
      </c>
      <c r="I20" s="1207">
        <v>4612.63</v>
      </c>
      <c r="J20" s="1208">
        <v>5077.57</v>
      </c>
      <c r="K20" s="1199">
        <v>4730.97</v>
      </c>
      <c r="L20" s="1190">
        <f t="shared" si="2"/>
        <v>-6.83E-2</v>
      </c>
      <c r="N20" s="286"/>
      <c r="O20" s="286"/>
      <c r="P20" s="276"/>
      <c r="Q20" s="276">
        <f>ROUND(P20/(1-0%),2)</f>
        <v>0</v>
      </c>
      <c r="R20" s="277"/>
      <c r="S20" s="277">
        <f t="shared" si="0"/>
        <v>0</v>
      </c>
      <c r="T20" s="251">
        <v>4262</v>
      </c>
      <c r="U20" s="303">
        <v>4040</v>
      </c>
      <c r="V20" s="278"/>
      <c r="W20" s="279">
        <f t="shared" si="6"/>
        <v>4040</v>
      </c>
      <c r="X20" s="278">
        <f t="shared" si="1"/>
        <v>0.85394749913865442</v>
      </c>
      <c r="Y20" s="278" t="s">
        <v>1576</v>
      </c>
      <c r="Z20" s="280">
        <f t="shared" si="3"/>
        <v>2803.16</v>
      </c>
      <c r="AA20" s="280">
        <v>3951.04</v>
      </c>
      <c r="AB20" s="280">
        <v>3540.56</v>
      </c>
      <c r="AC20" s="280">
        <v>3540.17</v>
      </c>
      <c r="AD20" s="280">
        <v>3981.34</v>
      </c>
      <c r="AE20" s="280">
        <v>4612.63</v>
      </c>
      <c r="AF20" s="280">
        <v>4078.04</v>
      </c>
      <c r="AG20" s="280">
        <v>5077.57</v>
      </c>
      <c r="AH20" s="280">
        <v>4040</v>
      </c>
      <c r="AI20" s="283"/>
      <c r="AJ20" s="283"/>
      <c r="AK20" s="251"/>
      <c r="AL20" s="282"/>
      <c r="AM20" s="284"/>
      <c r="AN20" s="285"/>
      <c r="AO20" s="288">
        <v>516</v>
      </c>
      <c r="AP20" s="292" t="s">
        <v>1890</v>
      </c>
      <c r="AQ20" s="288" t="s">
        <v>1878</v>
      </c>
      <c r="AR20" s="290" t="s">
        <v>1871</v>
      </c>
      <c r="AS20" s="290" t="s">
        <v>1891</v>
      </c>
      <c r="AW20" s="250">
        <v>5077.57</v>
      </c>
      <c r="AX20" s="253">
        <f t="shared" si="4"/>
        <v>4225.2005074550998</v>
      </c>
      <c r="AY20" s="250">
        <v>4262</v>
      </c>
      <c r="AZ20" s="301">
        <v>4040</v>
      </c>
      <c r="BA20" s="1190">
        <f t="shared" si="5"/>
        <v>0.17100000000000001</v>
      </c>
    </row>
    <row r="21" spans="1:53" ht="33.75" x14ac:dyDescent="0.2">
      <c r="A21" s="1194">
        <v>589180</v>
      </c>
      <c r="B21" s="1195" t="s">
        <v>1596</v>
      </c>
      <c r="C21" s="1196" t="s">
        <v>1591</v>
      </c>
      <c r="D21" s="1197">
        <v>2860.81</v>
      </c>
      <c r="E21" s="1198">
        <v>3354.56</v>
      </c>
      <c r="F21" s="1198">
        <v>3009.5</v>
      </c>
      <c r="G21" s="1198" t="s">
        <v>1975</v>
      </c>
      <c r="H21" s="1198">
        <v>3295.64</v>
      </c>
      <c r="I21" s="1207">
        <v>5974.97</v>
      </c>
      <c r="J21" s="1208">
        <v>5866.23</v>
      </c>
      <c r="K21" s="1199">
        <v>5223.84</v>
      </c>
      <c r="L21" s="1190">
        <f t="shared" si="2"/>
        <v>-0.1095</v>
      </c>
      <c r="N21" s="286"/>
      <c r="O21" s="286"/>
      <c r="P21" s="276"/>
      <c r="Q21" s="276">
        <f>ROUND(P21/(1-0%),2)</f>
        <v>0</v>
      </c>
      <c r="R21" s="277"/>
      <c r="S21" s="277">
        <f t="shared" si="0"/>
        <v>0</v>
      </c>
      <c r="T21" s="251"/>
      <c r="U21" s="303">
        <v>5080</v>
      </c>
      <c r="V21" s="278"/>
      <c r="W21" s="279">
        <f t="shared" si="6"/>
        <v>5080</v>
      </c>
      <c r="X21" s="278">
        <f t="shared" si="1"/>
        <v>0.97246470029709942</v>
      </c>
      <c r="Y21" s="278" t="s">
        <v>1576</v>
      </c>
      <c r="Z21" s="280">
        <f t="shared" si="3"/>
        <v>3295.64</v>
      </c>
      <c r="AA21" s="280">
        <v>4645.1899999999996</v>
      </c>
      <c r="AB21" s="280">
        <v>4080.54</v>
      </c>
      <c r="AC21" s="280">
        <v>3985.51</v>
      </c>
      <c r="AD21" s="280">
        <v>4460.5</v>
      </c>
      <c r="AE21" s="280">
        <v>5974.97</v>
      </c>
      <c r="AF21" s="280">
        <v>4802.82</v>
      </c>
      <c r="AG21" s="280">
        <v>5866.23</v>
      </c>
      <c r="AH21" s="280">
        <v>5080</v>
      </c>
      <c r="AI21" s="283"/>
      <c r="AJ21" s="283"/>
      <c r="AK21" s="251"/>
      <c r="AL21" s="282"/>
      <c r="AM21" s="284"/>
      <c r="AN21" s="285"/>
      <c r="AO21" s="288">
        <v>509</v>
      </c>
      <c r="AP21" s="292" t="s">
        <v>1892</v>
      </c>
      <c r="AQ21" s="288" t="s">
        <v>1878</v>
      </c>
      <c r="AR21" s="290" t="s">
        <v>1871</v>
      </c>
      <c r="AS21" s="290" t="s">
        <v>1893</v>
      </c>
      <c r="AW21" s="250">
        <v>5866.23</v>
      </c>
      <c r="AX21" s="253">
        <f t="shared" si="4"/>
        <v>4881.4684923789</v>
      </c>
      <c r="AY21" s="250"/>
      <c r="AZ21" s="301">
        <v>5080</v>
      </c>
      <c r="BA21" s="1190">
        <f t="shared" si="5"/>
        <v>2.8299999999999999E-2</v>
      </c>
    </row>
    <row r="22" spans="1:53" ht="12.75" x14ac:dyDescent="0.2">
      <c r="A22" s="1194">
        <v>589170</v>
      </c>
      <c r="B22" s="1195" t="s">
        <v>1597</v>
      </c>
      <c r="C22" s="1196" t="s">
        <v>1591</v>
      </c>
      <c r="D22" s="1197">
        <v>2060.48</v>
      </c>
      <c r="E22" s="1198">
        <v>2425.62</v>
      </c>
      <c r="F22" s="1198">
        <v>2546.94</v>
      </c>
      <c r="G22" s="1198" t="s">
        <v>1976</v>
      </c>
      <c r="H22" s="1198">
        <v>2659.11</v>
      </c>
      <c r="I22" s="1207">
        <v>4654.68</v>
      </c>
      <c r="J22" s="1208">
        <v>4557.91</v>
      </c>
      <c r="K22" s="1199">
        <v>4031.59</v>
      </c>
      <c r="L22" s="1190">
        <f t="shared" si="2"/>
        <v>-0.11550000000000001</v>
      </c>
      <c r="N22" s="286"/>
      <c r="O22" s="286"/>
      <c r="P22" s="276"/>
      <c r="Q22" s="276">
        <f>ROUND(P22/(1-0%),2)</f>
        <v>0</v>
      </c>
      <c r="R22" s="277"/>
      <c r="S22" s="277">
        <f t="shared" si="0"/>
        <v>0</v>
      </c>
      <c r="T22" s="251">
        <v>4561</v>
      </c>
      <c r="U22" s="303">
        <v>4205</v>
      </c>
      <c r="V22" s="278"/>
      <c r="W22" s="279">
        <f t="shared" si="6"/>
        <v>4205</v>
      </c>
      <c r="X22" s="278">
        <f t="shared" si="1"/>
        <v>1.0430128063617581</v>
      </c>
      <c r="Y22" s="278" t="s">
        <v>1576</v>
      </c>
      <c r="Z22" s="280">
        <f t="shared" si="3"/>
        <v>2659.11</v>
      </c>
      <c r="AA22" s="280">
        <v>3748</v>
      </c>
      <c r="AB22" s="280">
        <v>3857.97</v>
      </c>
      <c r="AC22" s="280">
        <v>3335.32</v>
      </c>
      <c r="AD22" s="280">
        <v>3428.76</v>
      </c>
      <c r="AE22" s="280">
        <v>4654.68</v>
      </c>
      <c r="AF22" s="280">
        <v>3449.67</v>
      </c>
      <c r="AG22" s="280">
        <v>4557.91</v>
      </c>
      <c r="AH22" s="280">
        <v>4205</v>
      </c>
      <c r="AI22" s="283"/>
      <c r="AJ22" s="283"/>
      <c r="AK22" s="251"/>
      <c r="AL22" s="282"/>
      <c r="AM22" s="284"/>
      <c r="AN22" s="285"/>
      <c r="AW22" s="250">
        <v>4557.91</v>
      </c>
      <c r="AX22" s="253">
        <f t="shared" si="4"/>
        <v>3792.7756082013002</v>
      </c>
      <c r="AY22" s="250">
        <v>4561</v>
      </c>
      <c r="AZ22" s="301">
        <v>4205</v>
      </c>
      <c r="BA22" s="1190">
        <f t="shared" si="5"/>
        <v>-4.1200000000000001E-2</v>
      </c>
    </row>
    <row r="23" spans="1:53" ht="25.5" x14ac:dyDescent="0.2">
      <c r="A23" s="1194"/>
      <c r="B23" s="1195" t="s">
        <v>1894</v>
      </c>
      <c r="C23" s="1196" t="s">
        <v>1591</v>
      </c>
      <c r="D23" s="1197"/>
      <c r="E23" s="1198"/>
      <c r="F23" s="1198"/>
      <c r="G23" s="1198"/>
      <c r="H23" s="1198"/>
      <c r="I23" s="1207"/>
      <c r="J23" s="1208"/>
      <c r="K23" s="1199"/>
      <c r="L23" s="1190"/>
      <c r="N23" s="286"/>
      <c r="O23" s="286"/>
      <c r="P23" s="293"/>
      <c r="Q23" s="293"/>
      <c r="R23" s="277"/>
      <c r="S23" s="277">
        <f t="shared" si="0"/>
        <v>0</v>
      </c>
      <c r="T23" s="251"/>
      <c r="U23" s="283"/>
      <c r="V23" s="278"/>
      <c r="W23" s="279"/>
      <c r="X23" s="278" t="str">
        <f t="shared" si="1"/>
        <v/>
      </c>
      <c r="Y23" s="278"/>
      <c r="Z23" s="280"/>
      <c r="AA23" s="280"/>
      <c r="AB23" s="280"/>
      <c r="AC23" s="280"/>
      <c r="AD23" s="280"/>
      <c r="AE23" s="280"/>
      <c r="AF23" s="280">
        <v>5141.7</v>
      </c>
      <c r="AG23" s="280"/>
      <c r="AH23" s="280"/>
      <c r="AI23" s="283"/>
      <c r="AJ23" s="283"/>
      <c r="AK23" s="251"/>
      <c r="AL23" s="251"/>
      <c r="AM23" s="284"/>
      <c r="AN23" s="285"/>
      <c r="AO23" s="288">
        <v>41899</v>
      </c>
      <c r="AP23" s="292" t="s">
        <v>1895</v>
      </c>
      <c r="AQ23" s="288" t="s">
        <v>1874</v>
      </c>
      <c r="AR23" s="290" t="s">
        <v>1875</v>
      </c>
      <c r="AS23" s="290" t="s">
        <v>1896</v>
      </c>
      <c r="AX23" s="253"/>
      <c r="AY23" s="250"/>
      <c r="AZ23" s="302"/>
      <c r="BA23" s="1190"/>
    </row>
    <row r="24" spans="1:53" ht="12.75" x14ac:dyDescent="0.2">
      <c r="A24" s="1194">
        <v>589220</v>
      </c>
      <c r="B24" s="1195" t="s">
        <v>1598</v>
      </c>
      <c r="C24" s="1196" t="s">
        <v>1591</v>
      </c>
      <c r="D24" s="1197">
        <v>2243.8000000000002</v>
      </c>
      <c r="E24" s="1198">
        <v>2576.65</v>
      </c>
      <c r="F24" s="1198">
        <v>2984.82</v>
      </c>
      <c r="G24" s="1198" t="s">
        <v>1977</v>
      </c>
      <c r="H24" s="1198">
        <v>2963.28</v>
      </c>
      <c r="I24" s="1207">
        <v>4717.33</v>
      </c>
      <c r="J24" s="1208">
        <v>4639.05</v>
      </c>
      <c r="K24" s="1199">
        <v>4110.6899999999996</v>
      </c>
      <c r="L24" s="1190">
        <f t="shared" si="2"/>
        <v>-0.1139</v>
      </c>
      <c r="N24" s="286"/>
      <c r="O24" s="286"/>
      <c r="P24" s="276"/>
      <c r="Q24" s="276">
        <f>ROUND(P24/(1-0%),2)</f>
        <v>0</v>
      </c>
      <c r="R24" s="277"/>
      <c r="S24" s="277">
        <f t="shared" si="0"/>
        <v>0</v>
      </c>
      <c r="T24" s="251">
        <v>4711</v>
      </c>
      <c r="U24" s="303">
        <v>4440</v>
      </c>
      <c r="V24" s="278"/>
      <c r="W24" s="279">
        <f t="shared" si="6"/>
        <v>4440</v>
      </c>
      <c r="X24" s="278">
        <f t="shared" si="1"/>
        <v>1.0801106383599834</v>
      </c>
      <c r="Y24" s="278" t="s">
        <v>1576</v>
      </c>
      <c r="Z24" s="280">
        <f>H24</f>
        <v>2963.28</v>
      </c>
      <c r="AA24" s="280">
        <v>4176.7299999999996</v>
      </c>
      <c r="AB24" s="280">
        <v>3270.49</v>
      </c>
      <c r="AC24" s="280">
        <v>3276.86</v>
      </c>
      <c r="AD24" s="280">
        <v>3613.68</v>
      </c>
      <c r="AE24" s="280">
        <v>4717.33</v>
      </c>
      <c r="AF24" s="280">
        <v>4136.6899999999996</v>
      </c>
      <c r="AG24" s="280">
        <v>4639.05</v>
      </c>
      <c r="AH24" s="280">
        <v>4440</v>
      </c>
      <c r="AI24" s="283"/>
      <c r="AJ24" s="283"/>
      <c r="AK24" s="251"/>
      <c r="AL24" s="282"/>
      <c r="AM24" s="284"/>
      <c r="AN24" s="285"/>
      <c r="AW24" s="250">
        <v>4639.05</v>
      </c>
      <c r="AX24" s="253">
        <f>AW24*(1-$BA$8)</f>
        <v>3860.2946712915004</v>
      </c>
      <c r="AY24" s="250">
        <v>4711</v>
      </c>
      <c r="AZ24" s="301">
        <v>4440</v>
      </c>
      <c r="BA24" s="1190">
        <f t="shared" si="5"/>
        <v>-7.4200000000000002E-2</v>
      </c>
    </row>
    <row r="25" spans="1:53" ht="25.5" x14ac:dyDescent="0.2">
      <c r="A25" s="1194">
        <v>589430</v>
      </c>
      <c r="B25" s="1195" t="s">
        <v>1897</v>
      </c>
      <c r="C25" s="1196" t="s">
        <v>1591</v>
      </c>
      <c r="D25" s="1197">
        <v>2766.42</v>
      </c>
      <c r="E25" s="1198">
        <v>2922.03</v>
      </c>
      <c r="F25" s="1198">
        <v>3666.21</v>
      </c>
      <c r="G25" s="1198" t="s">
        <v>1978</v>
      </c>
      <c r="H25" s="1198"/>
      <c r="I25" s="1207">
        <v>6257.5</v>
      </c>
      <c r="J25" s="1208">
        <v>6167.5</v>
      </c>
      <c r="K25" s="1199">
        <v>4730.1499999999996</v>
      </c>
      <c r="L25" s="1190">
        <f t="shared" si="2"/>
        <v>-0.2331</v>
      </c>
      <c r="N25" s="286"/>
      <c r="O25" s="286"/>
      <c r="P25" s="293"/>
      <c r="Q25" s="293"/>
      <c r="R25" s="293"/>
      <c r="S25" s="293"/>
      <c r="T25" s="251"/>
      <c r="U25" s="283"/>
      <c r="V25" s="278"/>
      <c r="W25" s="279"/>
      <c r="X25" s="278">
        <f t="shared" si="1"/>
        <v>0</v>
      </c>
      <c r="Y25" s="278"/>
      <c r="Z25" s="280"/>
      <c r="AA25" s="280"/>
      <c r="AB25" s="280"/>
      <c r="AC25" s="280"/>
      <c r="AD25" s="280"/>
      <c r="AE25" s="280">
        <v>6257.5</v>
      </c>
      <c r="AF25" s="280"/>
      <c r="AG25" s="280">
        <v>6167.5</v>
      </c>
      <c r="AH25" s="280"/>
      <c r="AI25" s="283"/>
      <c r="AJ25" s="283"/>
      <c r="AK25" s="251"/>
      <c r="AL25" s="251"/>
      <c r="AM25" s="284"/>
      <c r="AN25" s="285"/>
      <c r="AX25" s="253"/>
      <c r="AY25" s="250"/>
      <c r="AZ25" s="302"/>
      <c r="BA25" s="1190"/>
    </row>
    <row r="26" spans="1:53" ht="12.75" x14ac:dyDescent="0.2">
      <c r="A26" s="1194">
        <v>589320</v>
      </c>
      <c r="B26" s="1195" t="s">
        <v>1599</v>
      </c>
      <c r="C26" s="1196" t="s">
        <v>1591</v>
      </c>
      <c r="D26" s="1197">
        <v>2346.0300000000002</v>
      </c>
      <c r="E26" s="1198">
        <v>2699.61</v>
      </c>
      <c r="F26" s="1198">
        <v>2855.3</v>
      </c>
      <c r="G26" s="1198" t="s">
        <v>1979</v>
      </c>
      <c r="H26" s="1198">
        <v>2773.46</v>
      </c>
      <c r="I26" s="1207">
        <v>5048.25</v>
      </c>
      <c r="J26" s="1208">
        <v>4857.76</v>
      </c>
      <c r="K26" s="1199">
        <v>4012.83</v>
      </c>
      <c r="L26" s="1190">
        <f t="shared" si="2"/>
        <v>-0.1739</v>
      </c>
      <c r="N26" s="286"/>
      <c r="O26" s="286"/>
      <c r="P26" s="293"/>
      <c r="Q26" s="293">
        <f>ROUND(P26/(1-0%),2)</f>
        <v>0</v>
      </c>
      <c r="R26" s="277"/>
      <c r="S26" s="277">
        <f>ROUND(R26/(1-21.65%),2)</f>
        <v>0</v>
      </c>
      <c r="T26" s="251">
        <v>4987</v>
      </c>
      <c r="U26" s="303">
        <v>4680</v>
      </c>
      <c r="V26" s="278"/>
      <c r="W26" s="279">
        <f t="shared" si="6"/>
        <v>4680</v>
      </c>
      <c r="X26" s="278">
        <f t="shared" si="1"/>
        <v>1.1662592235404938</v>
      </c>
      <c r="Y26" s="278" t="s">
        <v>1580</v>
      </c>
      <c r="Z26" s="280">
        <f>H26</f>
        <v>2773.46</v>
      </c>
      <c r="AA26" s="280">
        <v>3909.18</v>
      </c>
      <c r="AB26" s="280">
        <v>3617.13</v>
      </c>
      <c r="AC26" s="280">
        <v>3843.65</v>
      </c>
      <c r="AD26" s="280">
        <v>4206.5200000000004</v>
      </c>
      <c r="AE26" s="280">
        <v>5048.25</v>
      </c>
      <c r="AF26" s="280">
        <v>4206.5200000000004</v>
      </c>
      <c r="AG26" s="280">
        <v>4857.76</v>
      </c>
      <c r="AH26" s="280">
        <v>4680</v>
      </c>
      <c r="AI26" s="283"/>
      <c r="AJ26" s="283"/>
      <c r="AK26" s="251"/>
      <c r="AL26" s="282"/>
      <c r="AM26" s="284"/>
      <c r="AN26" s="285"/>
      <c r="AW26" s="250">
        <v>4857.76</v>
      </c>
      <c r="AX26" s="253">
        <f>AW26*(1-$BA$8)</f>
        <v>4042.2899176368005</v>
      </c>
      <c r="AY26" s="250">
        <v>4987</v>
      </c>
      <c r="AZ26" s="301">
        <v>4680</v>
      </c>
      <c r="BA26" s="1190">
        <f t="shared" si="5"/>
        <v>-0.1426</v>
      </c>
    </row>
    <row r="27" spans="1:53" ht="25.5" x14ac:dyDescent="0.2">
      <c r="A27" s="1200"/>
      <c r="B27" s="1195" t="s">
        <v>1966</v>
      </c>
      <c r="C27" s="1196" t="s">
        <v>1591</v>
      </c>
      <c r="D27" s="1197">
        <v>2974.6</v>
      </c>
      <c r="E27" s="1198">
        <v>3289.45</v>
      </c>
      <c r="F27" s="1198">
        <v>3520</v>
      </c>
      <c r="G27" s="1198" t="s">
        <v>1980</v>
      </c>
      <c r="H27" s="1198"/>
      <c r="I27" s="1207">
        <v>5750</v>
      </c>
      <c r="J27" s="1208">
        <v>5667.29</v>
      </c>
      <c r="K27" s="1199"/>
      <c r="L27" s="1190"/>
      <c r="N27" s="286"/>
      <c r="O27" s="286"/>
      <c r="P27" s="293"/>
      <c r="Q27" s="293"/>
      <c r="R27" s="277"/>
      <c r="S27" s="277"/>
      <c r="T27" s="251"/>
      <c r="U27" s="303"/>
      <c r="V27" s="278"/>
      <c r="W27" s="279"/>
      <c r="X27" s="278"/>
      <c r="Y27" s="278"/>
      <c r="Z27" s="280"/>
      <c r="AA27" s="280"/>
      <c r="AB27" s="280"/>
      <c r="AC27" s="280"/>
      <c r="AD27" s="280"/>
      <c r="AE27" s="280">
        <v>5750</v>
      </c>
      <c r="AF27" s="280"/>
      <c r="AG27" s="280">
        <v>5667.29</v>
      </c>
      <c r="AH27" s="280">
        <v>0</v>
      </c>
      <c r="AI27" s="283"/>
      <c r="AJ27" s="283"/>
      <c r="AK27" s="251"/>
      <c r="AL27" s="282"/>
      <c r="AM27" s="284"/>
      <c r="AN27" s="285"/>
      <c r="AX27" s="253"/>
      <c r="AY27" s="250"/>
      <c r="AZ27" s="301"/>
      <c r="BA27" s="1190"/>
    </row>
    <row r="28" spans="1:53" ht="12.75" x14ac:dyDescent="0.2">
      <c r="A28" s="1194">
        <v>589420</v>
      </c>
      <c r="B28" s="1195" t="s">
        <v>1600</v>
      </c>
      <c r="C28" s="1196" t="s">
        <v>1591</v>
      </c>
      <c r="D28" s="1197">
        <v>1946.7</v>
      </c>
      <c r="E28" s="1198">
        <v>2307.86</v>
      </c>
      <c r="F28" s="1198">
        <v>2422.8200000000002</v>
      </c>
      <c r="G28" s="1198" t="s">
        <v>1981</v>
      </c>
      <c r="H28" s="1198">
        <v>2353.66</v>
      </c>
      <c r="I28" s="1207">
        <v>4520.62</v>
      </c>
      <c r="J28" s="1208">
        <v>4452.99</v>
      </c>
      <c r="K28" s="1199">
        <v>3861.37</v>
      </c>
      <c r="L28" s="1190">
        <f t="shared" si="2"/>
        <v>-0.13289999999999999</v>
      </c>
      <c r="N28" s="286"/>
      <c r="O28" s="286"/>
      <c r="P28" s="276"/>
      <c r="Q28" s="276">
        <f>ROUND(P28/(1-0%),2)</f>
        <v>0</v>
      </c>
      <c r="R28" s="277"/>
      <c r="S28" s="277">
        <f t="shared" ref="S28:S30" si="7">ROUND(R28/(1-21.65%),2)</f>
        <v>0</v>
      </c>
      <c r="T28" s="251">
        <v>4225</v>
      </c>
      <c r="U28" s="303">
        <v>3820</v>
      </c>
      <c r="V28" s="278"/>
      <c r="W28" s="279">
        <f t="shared" si="6"/>
        <v>3820</v>
      </c>
      <c r="X28" s="278">
        <f>IF(K28=0,"",W28/K28)</f>
        <v>0.9892861859909825</v>
      </c>
      <c r="Y28" s="278" t="s">
        <v>1576</v>
      </c>
      <c r="Z28" s="280">
        <f>H28</f>
        <v>2353.66</v>
      </c>
      <c r="AA28" s="280">
        <v>3317.47</v>
      </c>
      <c r="AB28" s="280">
        <v>2934.27</v>
      </c>
      <c r="AC28" s="280">
        <v>3123.51</v>
      </c>
      <c r="AD28" s="280">
        <v>3537.5</v>
      </c>
      <c r="AE28" s="280">
        <v>4520.62</v>
      </c>
      <c r="AF28" s="280">
        <v>3813.72</v>
      </c>
      <c r="AG28" s="280">
        <v>4452.99</v>
      </c>
      <c r="AH28" s="280">
        <v>3820</v>
      </c>
      <c r="AI28" s="283"/>
      <c r="AJ28" s="283"/>
      <c r="AK28" s="251"/>
      <c r="AL28" s="282"/>
      <c r="AM28" s="284"/>
      <c r="AN28" s="285"/>
      <c r="AW28" s="250">
        <v>4452.99</v>
      </c>
      <c r="AX28" s="253">
        <f>AW28*(1-$BA$8)</f>
        <v>3705.4684834857003</v>
      </c>
      <c r="AY28" s="250">
        <v>4225</v>
      </c>
      <c r="AZ28" s="301">
        <v>3820</v>
      </c>
      <c r="BA28" s="1190">
        <f t="shared" si="5"/>
        <v>1.0800000000000001E-2</v>
      </c>
    </row>
    <row r="29" spans="1:53" ht="25.5" x14ac:dyDescent="0.2">
      <c r="A29" s="1194">
        <v>589430</v>
      </c>
      <c r="B29" s="1195" t="s">
        <v>1601</v>
      </c>
      <c r="C29" s="1196" t="s">
        <v>1591</v>
      </c>
      <c r="D29" s="1197">
        <v>2309.17</v>
      </c>
      <c r="E29" s="1198">
        <v>2689.95</v>
      </c>
      <c r="F29" s="1198">
        <v>2843.8</v>
      </c>
      <c r="G29" s="1198" t="s">
        <v>1982</v>
      </c>
      <c r="H29" s="1198">
        <v>2858.64</v>
      </c>
      <c r="I29" s="1207">
        <v>5448.56</v>
      </c>
      <c r="J29" s="1208">
        <v>5356.77</v>
      </c>
      <c r="K29" s="1199">
        <v>4730.1499999999996</v>
      </c>
      <c r="L29" s="1190">
        <f t="shared" si="2"/>
        <v>-0.11700000000000001</v>
      </c>
      <c r="N29" s="286"/>
      <c r="O29" s="286"/>
      <c r="P29" s="293"/>
      <c r="Q29" s="293">
        <f>ROUND(P29/(1-5%),2)</f>
        <v>0</v>
      </c>
      <c r="R29" s="277"/>
      <c r="S29" s="277">
        <f t="shared" si="7"/>
        <v>0</v>
      </c>
      <c r="T29" s="251">
        <v>4957</v>
      </c>
      <c r="U29" s="303">
        <v>4435</v>
      </c>
      <c r="V29" s="278"/>
      <c r="W29" s="279">
        <f t="shared" si="6"/>
        <v>4435</v>
      </c>
      <c r="X29" s="278">
        <f>IF(K29=0,"",W29/K29)</f>
        <v>0.93760240161517083</v>
      </c>
      <c r="Y29" s="291" t="s">
        <v>1580</v>
      </c>
      <c r="Z29" s="280">
        <f>H29</f>
        <v>2858.64</v>
      </c>
      <c r="AA29" s="280"/>
      <c r="AB29" s="280">
        <v>3861.52</v>
      </c>
      <c r="AC29" s="280">
        <v>4147.8599999999997</v>
      </c>
      <c r="AD29" s="280">
        <v>4747.67</v>
      </c>
      <c r="AE29" s="280">
        <v>5448.56</v>
      </c>
      <c r="AF29" s="280">
        <v>5038.26</v>
      </c>
      <c r="AG29" s="280">
        <v>5356.77</v>
      </c>
      <c r="AH29" s="280">
        <v>4435</v>
      </c>
      <c r="AI29" s="283"/>
      <c r="AJ29" s="283"/>
      <c r="AK29" s="251"/>
      <c r="AL29" s="282"/>
      <c r="AM29" s="284"/>
      <c r="AN29" s="285"/>
      <c r="AW29" s="250">
        <v>5356.77</v>
      </c>
      <c r="AX29" s="253">
        <f>AW29*(1-$BA$8)</f>
        <v>4457.5313235111007</v>
      </c>
      <c r="AY29" s="250">
        <v>4957</v>
      </c>
      <c r="AZ29" s="301">
        <v>4435</v>
      </c>
      <c r="BA29" s="1190">
        <f t="shared" si="5"/>
        <v>6.6600000000000006E-2</v>
      </c>
    </row>
    <row r="30" spans="1:53" ht="12.75" x14ac:dyDescent="0.2">
      <c r="A30" s="1194">
        <v>589520</v>
      </c>
      <c r="B30" s="1195" t="s">
        <v>1602</v>
      </c>
      <c r="C30" s="1196" t="s">
        <v>1591</v>
      </c>
      <c r="D30" s="1197">
        <v>2071.1</v>
      </c>
      <c r="E30" s="1198">
        <v>2499.5700000000002</v>
      </c>
      <c r="F30" s="1198">
        <v>2706.06</v>
      </c>
      <c r="G30" s="1198" t="s">
        <v>1983</v>
      </c>
      <c r="H30" s="1198">
        <v>2665.24</v>
      </c>
      <c r="I30" s="1207">
        <v>4925.2</v>
      </c>
      <c r="J30" s="1208">
        <v>4845.32</v>
      </c>
      <c r="K30" s="1199">
        <v>4164.04</v>
      </c>
      <c r="L30" s="1190">
        <f t="shared" si="2"/>
        <v>-0.1406</v>
      </c>
      <c r="N30" s="286"/>
      <c r="O30" s="286"/>
      <c r="P30" s="276"/>
      <c r="Q30" s="276">
        <f>ROUND(P30/(1-0%),2)</f>
        <v>0</v>
      </c>
      <c r="R30" s="277"/>
      <c r="S30" s="277">
        <f t="shared" si="7"/>
        <v>0</v>
      </c>
      <c r="T30" s="251">
        <v>4590</v>
      </c>
      <c r="U30" s="303">
        <v>4168</v>
      </c>
      <c r="V30" s="278"/>
      <c r="W30" s="279">
        <f t="shared" si="6"/>
        <v>4168</v>
      </c>
      <c r="X30" s="278">
        <f>IF(K30=0,"",W30/K30)</f>
        <v>1.0009509995100911</v>
      </c>
      <c r="Y30" s="278" t="s">
        <v>1576</v>
      </c>
      <c r="Z30" s="280">
        <f>H30</f>
        <v>2665.24</v>
      </c>
      <c r="AA30" s="280">
        <v>3756.64</v>
      </c>
      <c r="AB30" s="280">
        <v>3314.7</v>
      </c>
      <c r="AC30" s="280">
        <v>3487.86</v>
      </c>
      <c r="AD30" s="280">
        <v>3897.06</v>
      </c>
      <c r="AE30" s="280">
        <v>4925.2</v>
      </c>
      <c r="AF30" s="280">
        <v>4062.97</v>
      </c>
      <c r="AG30" s="280">
        <v>4845.32</v>
      </c>
      <c r="AH30" s="280">
        <v>4168</v>
      </c>
      <c r="AI30" s="283"/>
      <c r="AJ30" s="283"/>
      <c r="AK30" s="251"/>
      <c r="AL30" s="282"/>
      <c r="AM30" s="284"/>
      <c r="AN30" s="285"/>
      <c r="AW30" s="250">
        <v>4845.32</v>
      </c>
      <c r="AX30" s="253">
        <f>AW30*(1-$BA$8)</f>
        <v>4031.9382150876004</v>
      </c>
      <c r="AY30" s="250">
        <v>4590</v>
      </c>
      <c r="AZ30" s="301">
        <v>4168</v>
      </c>
      <c r="BA30" s="1190">
        <f t="shared" si="5"/>
        <v>-1E-3</v>
      </c>
    </row>
    <row r="31" spans="1:53" ht="26.25" thickBot="1" x14ac:dyDescent="0.25">
      <c r="A31" s="1201">
        <v>589530</v>
      </c>
      <c r="B31" s="1202" t="s">
        <v>1603</v>
      </c>
      <c r="C31" s="1203" t="s">
        <v>1591</v>
      </c>
      <c r="D31" s="1204">
        <v>2474.31</v>
      </c>
      <c r="E31" s="1205">
        <v>2935.83</v>
      </c>
      <c r="F31" s="1205">
        <v>2805.13</v>
      </c>
      <c r="G31" s="1205" t="s">
        <v>1984</v>
      </c>
      <c r="H31" s="1205">
        <v>2884.67</v>
      </c>
      <c r="I31" s="1209">
        <v>5839.6</v>
      </c>
      <c r="J31" s="1210">
        <v>5741.44</v>
      </c>
      <c r="K31" s="1206">
        <v>5104.75</v>
      </c>
      <c r="L31" s="1190">
        <f t="shared" si="2"/>
        <v>-0.1109</v>
      </c>
      <c r="N31" s="294"/>
      <c r="O31" s="294"/>
      <c r="P31" s="295"/>
      <c r="Q31" s="295">
        <f>ROUND(P31/(1-0%),2)</f>
        <v>0</v>
      </c>
      <c r="R31" s="277"/>
      <c r="S31" s="277">
        <f>ROUND(R31/(1-21.65%),2)</f>
        <v>0</v>
      </c>
      <c r="T31" s="251">
        <v>5454</v>
      </c>
      <c r="U31" s="303">
        <v>4800</v>
      </c>
      <c r="V31" s="296"/>
      <c r="W31" s="279">
        <f t="shared" si="6"/>
        <v>4800</v>
      </c>
      <c r="X31" s="278">
        <f>IF(K31=0,"",W31/K31)</f>
        <v>0.94030070032812574</v>
      </c>
      <c r="Y31" s="291" t="s">
        <v>1576</v>
      </c>
      <c r="Z31" s="280">
        <f>H31</f>
        <v>2884.67</v>
      </c>
      <c r="AA31" s="280"/>
      <c r="AB31" s="280">
        <v>3660.49</v>
      </c>
      <c r="AC31" s="280">
        <v>3937.04</v>
      </c>
      <c r="AD31" s="280">
        <v>4209.59</v>
      </c>
      <c r="AE31" s="280">
        <v>5839.6</v>
      </c>
      <c r="AF31" s="280">
        <v>4932.16</v>
      </c>
      <c r="AG31" s="280">
        <v>5741.44</v>
      </c>
      <c r="AH31" s="280">
        <v>4800</v>
      </c>
      <c r="AI31" s="283"/>
      <c r="AJ31" s="251"/>
      <c r="AK31" s="251"/>
      <c r="AL31" s="282"/>
      <c r="AM31" s="284"/>
      <c r="AN31" s="285"/>
      <c r="AW31" s="250">
        <v>5741.44</v>
      </c>
      <c r="AX31" s="253">
        <f>AW31*(1-$BA$8)</f>
        <v>4777.6269360192</v>
      </c>
      <c r="AY31" s="250">
        <v>5454</v>
      </c>
      <c r="AZ31" s="301">
        <v>4800</v>
      </c>
      <c r="BA31" s="1190">
        <f t="shared" si="5"/>
        <v>6.3500000000000001E-2</v>
      </c>
    </row>
    <row r="32" spans="1:53" x14ac:dyDescent="0.2">
      <c r="AC32"/>
      <c r="AD32"/>
      <c r="AE32"/>
      <c r="AF32"/>
      <c r="AG32"/>
      <c r="AH32"/>
      <c r="AL32" s="250"/>
      <c r="AY32" s="250"/>
      <c r="AZ32" s="250"/>
    </row>
    <row r="33" spans="20:52" x14ac:dyDescent="0.2">
      <c r="AC33"/>
      <c r="AD33"/>
      <c r="AE33"/>
      <c r="AF33"/>
      <c r="AG33"/>
      <c r="AH33"/>
      <c r="AL33" s="250"/>
      <c r="AY33" s="250"/>
      <c r="AZ33" s="250"/>
    </row>
    <row r="34" spans="20:52" x14ac:dyDescent="0.2">
      <c r="AC34"/>
      <c r="AD34"/>
      <c r="AE34"/>
      <c r="AF34"/>
      <c r="AG34"/>
      <c r="AH34"/>
      <c r="AL34" s="250"/>
      <c r="AY34" s="250"/>
      <c r="AZ34" s="250"/>
    </row>
    <row r="35" spans="20:52" x14ac:dyDescent="0.2">
      <c r="AC35"/>
      <c r="AD35"/>
      <c r="AE35"/>
      <c r="AF35"/>
      <c r="AG35"/>
      <c r="AH35"/>
      <c r="AL35" s="250"/>
      <c r="AY35" s="250"/>
      <c r="AZ35" s="250"/>
    </row>
    <row r="36" spans="20:52" x14ac:dyDescent="0.2">
      <c r="T36" t="s">
        <v>11</v>
      </c>
      <c r="AC36"/>
      <c r="AD36"/>
      <c r="AE36"/>
      <c r="AF36"/>
      <c r="AG36"/>
      <c r="AH36"/>
      <c r="AL36" s="250"/>
      <c r="AY36" s="250"/>
      <c r="AZ36" s="250"/>
    </row>
    <row r="37" spans="20:52" x14ac:dyDescent="0.2">
      <c r="AC37"/>
      <c r="AD37"/>
      <c r="AE37"/>
      <c r="AF37"/>
      <c r="AG37"/>
      <c r="AH37"/>
      <c r="AL37" s="250"/>
      <c r="AY37" s="250"/>
      <c r="AZ37" s="250"/>
    </row>
    <row r="38" spans="20:52" x14ac:dyDescent="0.2">
      <c r="AC38"/>
      <c r="AD38"/>
      <c r="AE38"/>
      <c r="AF38"/>
      <c r="AG38"/>
      <c r="AH38"/>
      <c r="AL38" s="250"/>
      <c r="AY38" s="250"/>
      <c r="AZ38" s="250"/>
    </row>
    <row r="39" spans="20:52" x14ac:dyDescent="0.2">
      <c r="AC39"/>
      <c r="AD39"/>
      <c r="AE39"/>
      <c r="AF39"/>
      <c r="AG39"/>
      <c r="AH39"/>
      <c r="AL39" s="250"/>
      <c r="AY39" s="250"/>
      <c r="AZ39" s="250"/>
    </row>
    <row r="40" spans="20:52" x14ac:dyDescent="0.2">
      <c r="AC40"/>
      <c r="AD40"/>
      <c r="AE40"/>
      <c r="AF40"/>
      <c r="AG40"/>
      <c r="AH40"/>
      <c r="AL40" s="250"/>
      <c r="AY40" s="250"/>
      <c r="AZ40" s="250"/>
    </row>
    <row r="41" spans="20:52" x14ac:dyDescent="0.2">
      <c r="AC41"/>
      <c r="AD41"/>
      <c r="AE41"/>
      <c r="AF41"/>
      <c r="AG41"/>
      <c r="AH41"/>
      <c r="AL41" s="250"/>
      <c r="AY41" s="250"/>
      <c r="AZ41" s="250"/>
    </row>
    <row r="42" spans="20:52" x14ac:dyDescent="0.2">
      <c r="AC42"/>
      <c r="AD42"/>
      <c r="AE42"/>
      <c r="AF42"/>
      <c r="AG42"/>
      <c r="AH42"/>
      <c r="AL42" s="250"/>
      <c r="AY42" s="250"/>
      <c r="AZ42" s="250"/>
    </row>
    <row r="43" spans="20:52" x14ac:dyDescent="0.2">
      <c r="AC43"/>
      <c r="AD43"/>
      <c r="AE43"/>
      <c r="AF43"/>
      <c r="AG43"/>
      <c r="AH43"/>
      <c r="AL43" s="250"/>
      <c r="AY43" s="250"/>
      <c r="AZ43" s="250"/>
    </row>
    <row r="44" spans="20:52" x14ac:dyDescent="0.2">
      <c r="AC44"/>
      <c r="AD44"/>
      <c r="AE44"/>
      <c r="AF44"/>
      <c r="AG44"/>
      <c r="AH44"/>
      <c r="AL44" s="250"/>
      <c r="AY44" s="250"/>
      <c r="AZ44" s="250"/>
    </row>
    <row r="45" spans="20:52" x14ac:dyDescent="0.2">
      <c r="AC45"/>
      <c r="AD45"/>
      <c r="AE45"/>
      <c r="AF45"/>
      <c r="AG45"/>
      <c r="AH45"/>
      <c r="AL45" s="250"/>
      <c r="AY45" s="250"/>
      <c r="AZ45" s="250"/>
    </row>
    <row r="46" spans="20:52" x14ac:dyDescent="0.2">
      <c r="AC46"/>
      <c r="AD46"/>
      <c r="AE46"/>
      <c r="AF46"/>
      <c r="AG46"/>
      <c r="AH46"/>
      <c r="AL46" s="250"/>
      <c r="AY46" s="250"/>
      <c r="AZ46" s="250"/>
    </row>
    <row r="47" spans="20:52" x14ac:dyDescent="0.2">
      <c r="AC47"/>
      <c r="AD47"/>
      <c r="AE47"/>
      <c r="AF47"/>
      <c r="AG47"/>
      <c r="AH47"/>
      <c r="AL47" s="250"/>
      <c r="AY47" s="250"/>
      <c r="AZ47" s="250"/>
    </row>
    <row r="48" spans="20:52" x14ac:dyDescent="0.2">
      <c r="AC48"/>
      <c r="AD48"/>
      <c r="AE48"/>
      <c r="AF48"/>
      <c r="AG48"/>
      <c r="AH48"/>
      <c r="AL48" s="250"/>
      <c r="AY48" s="250"/>
      <c r="AZ48" s="250"/>
    </row>
    <row r="49" spans="29:52" x14ac:dyDescent="0.2">
      <c r="AC49"/>
      <c r="AD49"/>
      <c r="AE49"/>
      <c r="AF49"/>
      <c r="AG49"/>
      <c r="AH49"/>
      <c r="AL49" s="250"/>
      <c r="AY49" s="250"/>
      <c r="AZ49" s="250"/>
    </row>
    <row r="50" spans="29:52" x14ac:dyDescent="0.2">
      <c r="AC50"/>
      <c r="AD50"/>
      <c r="AE50"/>
      <c r="AF50"/>
      <c r="AG50"/>
      <c r="AH50"/>
      <c r="AL50" s="250"/>
      <c r="AY50" s="250"/>
      <c r="AZ50" s="250"/>
    </row>
    <row r="51" spans="29:52" x14ac:dyDescent="0.2">
      <c r="AC51"/>
      <c r="AD51"/>
      <c r="AE51"/>
      <c r="AF51"/>
      <c r="AG51"/>
      <c r="AH51"/>
      <c r="AL51" s="250"/>
      <c r="AY51" s="250"/>
      <c r="AZ51" s="250"/>
    </row>
    <row r="52" spans="29:52" x14ac:dyDescent="0.2">
      <c r="AC52"/>
      <c r="AD52"/>
      <c r="AE52"/>
      <c r="AF52"/>
      <c r="AG52"/>
      <c r="AH52"/>
      <c r="AL52" s="250"/>
      <c r="AY52" s="250"/>
      <c r="AZ52" s="250"/>
    </row>
    <row r="53" spans="29:52" x14ac:dyDescent="0.2">
      <c r="AC53"/>
      <c r="AD53"/>
      <c r="AE53"/>
      <c r="AF53"/>
      <c r="AG53"/>
      <c r="AH53"/>
      <c r="AL53" s="250"/>
      <c r="AY53" s="250"/>
      <c r="AZ53" s="250"/>
    </row>
    <row r="54" spans="29:52" x14ac:dyDescent="0.2">
      <c r="AC54"/>
      <c r="AD54"/>
      <c r="AE54"/>
      <c r="AF54"/>
      <c r="AG54"/>
      <c r="AH54"/>
      <c r="AL54" s="250"/>
      <c r="AY54" s="250"/>
      <c r="AZ54" s="250"/>
    </row>
    <row r="55" spans="29:52" x14ac:dyDescent="0.2">
      <c r="AC55"/>
      <c r="AD55"/>
      <c r="AE55"/>
      <c r="AF55"/>
      <c r="AG55"/>
      <c r="AH55"/>
      <c r="AL55" s="250"/>
      <c r="AY55" s="250"/>
      <c r="AZ55" s="250"/>
    </row>
    <row r="56" spans="29:52" x14ac:dyDescent="0.2">
      <c r="AC56"/>
      <c r="AD56"/>
      <c r="AE56"/>
      <c r="AF56"/>
      <c r="AG56"/>
      <c r="AH56"/>
      <c r="AL56" s="250"/>
      <c r="AY56" s="250"/>
      <c r="AZ56" s="250"/>
    </row>
    <row r="57" spans="29:52" x14ac:dyDescent="0.2">
      <c r="AC57"/>
      <c r="AD57"/>
      <c r="AE57"/>
      <c r="AF57"/>
      <c r="AG57"/>
      <c r="AH57"/>
      <c r="AL57" s="250"/>
      <c r="AY57" s="250"/>
      <c r="AZ57" s="250"/>
    </row>
    <row r="58" spans="29:52" x14ac:dyDescent="0.2">
      <c r="AC58"/>
      <c r="AD58"/>
      <c r="AE58"/>
      <c r="AF58"/>
      <c r="AG58"/>
      <c r="AH58"/>
      <c r="AL58" s="250"/>
      <c r="AY58" s="250"/>
      <c r="AZ58" s="250"/>
    </row>
    <row r="59" spans="29:52" x14ac:dyDescent="0.2">
      <c r="AC59"/>
      <c r="AD59"/>
      <c r="AE59"/>
      <c r="AF59"/>
      <c r="AG59"/>
      <c r="AH59"/>
      <c r="AL59" s="250"/>
      <c r="AY59" s="250"/>
      <c r="AZ59" s="250"/>
    </row>
    <row r="60" spans="29:52" x14ac:dyDescent="0.2">
      <c r="AC60"/>
      <c r="AD60"/>
      <c r="AE60"/>
      <c r="AF60"/>
      <c r="AG60"/>
      <c r="AH60"/>
      <c r="AL60" s="250"/>
      <c r="AY60" s="250"/>
      <c r="AZ60" s="250"/>
    </row>
    <row r="61" spans="29:52" x14ac:dyDescent="0.2">
      <c r="AC61"/>
      <c r="AD61"/>
      <c r="AE61"/>
      <c r="AF61"/>
      <c r="AG61"/>
      <c r="AH61"/>
      <c r="AL61" s="250"/>
      <c r="AY61" s="250"/>
      <c r="AZ61" s="250"/>
    </row>
    <row r="62" spans="29:52" x14ac:dyDescent="0.2">
      <c r="AC62"/>
      <c r="AD62"/>
      <c r="AE62"/>
      <c r="AF62"/>
      <c r="AG62"/>
      <c r="AH62"/>
      <c r="AL62" s="250"/>
      <c r="AY62" s="250"/>
      <c r="AZ62" s="250"/>
    </row>
    <row r="63" spans="29:52" x14ac:dyDescent="0.2">
      <c r="AC63"/>
      <c r="AD63"/>
      <c r="AE63"/>
      <c r="AF63"/>
      <c r="AG63"/>
      <c r="AH63"/>
      <c r="AL63" s="250"/>
      <c r="AY63" s="250"/>
      <c r="AZ63" s="250"/>
    </row>
  </sheetData>
  <sheetProtection algorithmName="SHA-512" hashValue="qLnzWzMKp/RIUF0cPZKkWvwRuCJ6KjIPK1Jap2+UvF5JOzVHmpZpyZnNW9Q5GxdSHP++eYnrsR94t9AjBBpsXw==" saltValue="a4p8etx60UzrPPFQUKrTHQ==" spinCount="100000" sheet="1" objects="1" scenarios="1" formatRows="0" autoFilter="0"/>
  <mergeCells count="1">
    <mergeCell ref="A8:B8"/>
  </mergeCells>
  <phoneticPr fontId="0" type="noConversion"/>
  <hyperlinks>
    <hyperlink ref="AA6" r:id="rId1" display="https://www.gov.br/anp/pt-br/assuntos/precos-e-defesa-da-concorrencia/precos/precos-de-distribuicao-de-produtos-asfalticos" xr:uid="{00000000-0004-0000-0000-000000000000}"/>
    <hyperlink ref="AA7" r:id="rId2" display="https://www.gov.br/anp/pt-br/assuntos/precos-e-defesa-da-concorrencia/precos/precos-de-produtores-e-importadores-de-derivados-de-petroleo" xr:uid="{00000000-0004-0000-0000-000001000000}"/>
    <hyperlink ref="Z6" r:id="rId3" display="https://www.gov.br/anp/pt-br/assuntos/precos-e-defesa-da-concorrencia/precos/precos-de-distribuicao-de-produtos-asfalticos" xr:uid="{00000000-0004-0000-0000-000002000000}"/>
    <hyperlink ref="Z7" r:id="rId4" display="https://www.gov.br/anp/pt-br/assuntos/precos-e-defesa-da-concorrencia/precos/precos-de-produtores-e-importadores-de-derivados-de-petroleo" xr:uid="{00000000-0004-0000-0000-000003000000}"/>
  </hyperlinks>
  <pageMargins left="0.511811024" right="0.511811024" top="0.78740157499999996" bottom="0.78740157499999996" header="0.31496062000000002" footer="0.31496062000000002"/>
  <pageSetup paperSize="9" orientation="portrait" verticalDpi="0"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tabColor rgb="FF0070C0"/>
    <pageSetUpPr fitToPage="1"/>
  </sheetPr>
  <dimension ref="A1:AY2578"/>
  <sheetViews>
    <sheetView topLeftCell="B411" zoomScale="90" zoomScaleNormal="90" workbookViewId="0">
      <selection activeCell="L408" sqref="L408"/>
    </sheetView>
  </sheetViews>
  <sheetFormatPr defaultColWidth="21.6640625" defaultRowHeight="12.75" x14ac:dyDescent="0.2"/>
  <cols>
    <col min="1" max="1" width="15.6640625" style="317" hidden="1" customWidth="1"/>
    <col min="2" max="2" width="19.83203125" style="572" customWidth="1"/>
    <col min="3" max="3" width="17.1640625" style="572" customWidth="1"/>
    <col min="4" max="4" width="76.83203125" style="37" customWidth="1"/>
    <col min="5" max="5" width="15.83203125" style="37" customWidth="1"/>
    <col min="6" max="6" width="12.83203125" style="37" customWidth="1"/>
    <col min="7" max="7" width="15.33203125" style="37" bestFit="1" customWidth="1"/>
    <col min="8" max="9" width="12.83203125" style="37" customWidth="1"/>
    <col min="10" max="10" width="13.83203125" style="37" customWidth="1"/>
    <col min="11" max="11" width="6.83203125" style="37" customWidth="1"/>
    <col min="12" max="12" width="15.83203125" style="37" customWidth="1"/>
    <col min="13" max="13" width="11.83203125" style="37" customWidth="1"/>
    <col min="14" max="15" width="22.83203125" style="37" customWidth="1"/>
    <col min="16" max="16" width="4.6640625" style="36" customWidth="1"/>
    <col min="17" max="20" width="4.6640625" style="37" customWidth="1"/>
    <col min="21" max="24" width="21.6640625" style="37"/>
    <col min="25" max="25" width="21.6640625" style="317"/>
    <col min="26" max="16384" width="21.6640625" style="37"/>
  </cols>
  <sheetData>
    <row r="1" spans="1:25" ht="26.25" customHeight="1" x14ac:dyDescent="0.2">
      <c r="B1" s="694" t="s">
        <v>418</v>
      </c>
      <c r="C1" s="695"/>
      <c r="D1" s="695"/>
      <c r="E1" s="308"/>
      <c r="F1" s="32"/>
      <c r="G1" s="35"/>
      <c r="H1" s="33"/>
      <c r="I1" s="34"/>
      <c r="J1" s="34"/>
      <c r="K1" s="528" t="s">
        <v>421</v>
      </c>
      <c r="L1" s="529" t="s">
        <v>421</v>
      </c>
      <c r="M1" s="530"/>
      <c r="N1" s="531" t="s">
        <v>421</v>
      </c>
      <c r="O1" s="532"/>
      <c r="T1"/>
    </row>
    <row r="2" spans="1:25" ht="24.75" customHeight="1" x14ac:dyDescent="0.2">
      <c r="B2" s="693" t="str">
        <f>$O$15</f>
        <v>Tabela Referência: DER/PR de FEVEREIRO/2023 sem desoneração</v>
      </c>
      <c r="C2" s="561"/>
      <c r="D2" s="554"/>
      <c r="E2" s="509"/>
      <c r="F2" s="47"/>
      <c r="G2" s="41"/>
      <c r="H2" s="38"/>
      <c r="I2" s="39"/>
      <c r="J2" s="38"/>
      <c r="K2" s="38"/>
      <c r="L2" s="40"/>
      <c r="M2" s="554"/>
      <c r="N2" s="554"/>
      <c r="O2" s="555"/>
      <c r="T2"/>
    </row>
    <row r="3" spans="1:25" ht="18" customHeight="1" x14ac:dyDescent="0.2">
      <c r="B3" s="511"/>
      <c r="C3" s="512"/>
      <c r="D3" s="513" t="s">
        <v>422</v>
      </c>
      <c r="E3" s="514" t="s">
        <v>422</v>
      </c>
      <c r="F3" s="515"/>
      <c r="G3" s="44"/>
      <c r="H3" s="42"/>
      <c r="I3" s="39"/>
      <c r="J3" s="43"/>
      <c r="K3" s="516" t="s">
        <v>422</v>
      </c>
      <c r="L3" s="516" t="s">
        <v>422</v>
      </c>
      <c r="M3" s="554"/>
      <c r="N3" s="554"/>
      <c r="O3" s="555"/>
      <c r="T3"/>
    </row>
    <row r="4" spans="1:25" x14ac:dyDescent="0.2">
      <c r="A4" s="317" t="s">
        <v>152</v>
      </c>
      <c r="B4" s="567" t="s">
        <v>152</v>
      </c>
      <c r="C4" s="573"/>
      <c r="D4" s="518"/>
      <c r="E4" s="526"/>
      <c r="F4" s="46"/>
      <c r="G4" s="44"/>
      <c r="H4" s="42"/>
      <c r="I4" s="39"/>
      <c r="J4" s="43"/>
      <c r="K4" s="43"/>
      <c r="L4" s="45"/>
      <c r="M4" s="554"/>
      <c r="N4" s="554"/>
      <c r="O4" s="555"/>
    </row>
    <row r="5" spans="1:25" x14ac:dyDescent="0.2">
      <c r="A5" s="317" t="s">
        <v>152</v>
      </c>
      <c r="B5" s="567" t="s">
        <v>152</v>
      </c>
      <c r="C5" s="573"/>
      <c r="D5" s="518"/>
      <c r="E5" s="526"/>
      <c r="F5" s="47"/>
      <c r="G5" s="44"/>
      <c r="H5" s="42"/>
      <c r="I5" s="39"/>
      <c r="J5" s="43"/>
      <c r="K5" s="43"/>
      <c r="L5" s="45"/>
      <c r="M5" s="554"/>
      <c r="N5" s="554"/>
      <c r="O5" s="555"/>
    </row>
    <row r="6" spans="1:25" x14ac:dyDescent="0.2">
      <c r="A6" s="317" t="s">
        <v>152</v>
      </c>
      <c r="B6" s="567" t="s">
        <v>152</v>
      </c>
      <c r="C6" s="573"/>
      <c r="D6" s="518"/>
      <c r="E6" s="526"/>
      <c r="F6" s="46"/>
      <c r="G6" s="44"/>
      <c r="H6" s="42"/>
      <c r="I6" s="39"/>
      <c r="J6" s="43"/>
      <c r="K6" s="43"/>
      <c r="L6" s="45"/>
      <c r="M6" s="554"/>
      <c r="N6" s="554"/>
      <c r="O6" s="555"/>
    </row>
    <row r="7" spans="1:25" x14ac:dyDescent="0.2">
      <c r="A7" s="317" t="s">
        <v>152</v>
      </c>
      <c r="B7" s="567" t="s">
        <v>152</v>
      </c>
      <c r="C7" s="573"/>
      <c r="D7" s="518"/>
      <c r="E7" s="526"/>
      <c r="F7" s="46"/>
      <c r="G7" s="44"/>
      <c r="H7" s="42"/>
      <c r="I7" s="39"/>
      <c r="J7" s="43"/>
      <c r="K7" s="43"/>
      <c r="L7" s="45"/>
      <c r="M7" s="554"/>
      <c r="N7" s="554"/>
      <c r="O7" s="555"/>
    </row>
    <row r="8" spans="1:25" ht="13.5" thickBot="1" x14ac:dyDescent="0.25">
      <c r="B8" s="519"/>
      <c r="C8" s="520"/>
      <c r="D8" s="518"/>
      <c r="E8" s="526"/>
      <c r="F8" s="46"/>
      <c r="G8" s="44"/>
      <c r="H8" s="42"/>
      <c r="I8" s="39"/>
      <c r="J8" s="43"/>
      <c r="K8" s="43"/>
      <c r="L8" s="45"/>
      <c r="M8" s="554"/>
      <c r="N8" s="554"/>
      <c r="O8" s="555"/>
    </row>
    <row r="9" spans="1:25" ht="15" thickBot="1" x14ac:dyDescent="0.25">
      <c r="B9" s="567"/>
      <c r="C9" s="573"/>
      <c r="D9" s="527" t="s">
        <v>1991</v>
      </c>
      <c r="E9" s="78">
        <f>BDI!B17</f>
        <v>0.15279999999999999</v>
      </c>
      <c r="F9" s="46"/>
      <c r="G9" s="44"/>
      <c r="H9" s="42"/>
      <c r="I9" s="39"/>
      <c r="J9" s="43"/>
      <c r="K9" s="43"/>
      <c r="L9" s="45"/>
      <c r="M9" s="554"/>
      <c r="N9" s="554"/>
      <c r="O9" s="555"/>
      <c r="Q9" s="310"/>
    </row>
    <row r="10" spans="1:25" ht="13.5" thickBot="1" x14ac:dyDescent="0.25">
      <c r="B10" s="567"/>
      <c r="C10" s="573"/>
      <c r="D10" s="527" t="s">
        <v>513</v>
      </c>
      <c r="E10" s="79">
        <f>BDI!B15</f>
        <v>0.20069999999999999</v>
      </c>
      <c r="F10" s="46"/>
      <c r="G10" s="44"/>
      <c r="H10" s="42"/>
      <c r="I10" s="39"/>
      <c r="J10" s="43"/>
      <c r="K10" s="43"/>
      <c r="L10" s="45"/>
      <c r="M10" s="554"/>
      <c r="N10" s="554"/>
      <c r="O10" s="555"/>
    </row>
    <row r="11" spans="1:25" ht="13.5" thickBot="1" x14ac:dyDescent="0.25">
      <c r="B11" s="568"/>
      <c r="C11" s="574"/>
      <c r="D11" s="522"/>
      <c r="E11" s="312"/>
      <c r="F11" s="48"/>
      <c r="G11" s="52"/>
      <c r="H11" s="49"/>
      <c r="I11" s="50"/>
      <c r="J11" s="51"/>
      <c r="K11" s="51"/>
      <c r="L11" s="53"/>
      <c r="M11" s="556"/>
      <c r="N11" s="556"/>
      <c r="O11" s="557"/>
    </row>
    <row r="12" spans="1:25" ht="25.15" customHeight="1" thickBot="1" x14ac:dyDescent="0.25">
      <c r="B12" s="69" t="s">
        <v>157</v>
      </c>
      <c r="C12" s="54"/>
      <c r="D12" s="55"/>
      <c r="E12" s="55"/>
      <c r="F12" s="56"/>
      <c r="G12" s="55"/>
      <c r="H12" s="55"/>
      <c r="I12" s="55"/>
      <c r="J12" s="55"/>
      <c r="K12" s="55"/>
      <c r="L12" s="55"/>
      <c r="M12" s="55"/>
      <c r="N12" s="55"/>
      <c r="O12" s="56"/>
    </row>
    <row r="13" spans="1:25" s="77" customFormat="1" ht="18" customHeight="1" x14ac:dyDescent="0.2">
      <c r="A13" s="317"/>
      <c r="B13" s="829" t="s">
        <v>159</v>
      </c>
      <c r="C13" s="1120" t="str">
        <f>GLOBAL_DER_FEV_2023!C13</f>
        <v>RIO BOM</v>
      </c>
      <c r="D13" s="834"/>
      <c r="E13" s="1121" t="s">
        <v>160</v>
      </c>
      <c r="F13" s="1122" t="str">
        <f>GLOBAL_DER_FEV_2023!F13</f>
        <v>XX</v>
      </c>
      <c r="G13" s="833"/>
      <c r="H13" s="834"/>
      <c r="I13" s="834"/>
      <c r="J13" s="834"/>
      <c r="K13" s="834"/>
      <c r="L13" s="834"/>
      <c r="M13" s="834"/>
      <c r="N13" s="835" t="s">
        <v>160</v>
      </c>
      <c r="O13" s="1123" t="str">
        <f>GLOBAL_DER_FEV_2023!O13</f>
        <v>XX</v>
      </c>
      <c r="P13" s="76"/>
      <c r="Y13" s="317"/>
    </row>
    <row r="14" spans="1:25" s="77" customFormat="1" ht="18" customHeight="1" x14ac:dyDescent="0.2">
      <c r="A14" s="317"/>
      <c r="B14" s="837" t="s">
        <v>161</v>
      </c>
      <c r="C14" s="1124" t="str">
        <f>GLOBAL_DER_FEV_2023!C14</f>
        <v>PAVIMENTAÇÃO DE VIAS URBANAS</v>
      </c>
      <c r="D14" s="842"/>
      <c r="E14" s="1125" t="s">
        <v>163</v>
      </c>
      <c r="F14" s="1126" t="str">
        <f>GLOBAL_DER_FEV_2023!F14</f>
        <v>1</v>
      </c>
      <c r="G14" s="841"/>
      <c r="H14" s="842"/>
      <c r="I14" s="842"/>
      <c r="J14" s="842"/>
      <c r="K14" s="842"/>
      <c r="L14" s="842"/>
      <c r="M14" s="842"/>
      <c r="N14" s="843" t="s">
        <v>162</v>
      </c>
      <c r="O14" s="1127" t="str">
        <f>GLOBAL_DER_FEV_2023!O14</f>
        <v>1</v>
      </c>
      <c r="P14" s="76"/>
      <c r="Y14" s="317"/>
    </row>
    <row r="15" spans="1:25" s="77" customFormat="1" ht="18" customHeight="1" x14ac:dyDescent="0.2">
      <c r="A15" s="317"/>
      <c r="B15" s="837" t="s">
        <v>476</v>
      </c>
      <c r="C15" s="838" t="s">
        <v>2308</v>
      </c>
      <c r="D15" s="1189"/>
      <c r="E15" s="1128"/>
      <c r="F15" s="1129"/>
      <c r="G15" s="841"/>
      <c r="H15" s="842"/>
      <c r="I15" s="842"/>
      <c r="J15" s="842"/>
      <c r="K15" s="842"/>
      <c r="L15" s="842"/>
      <c r="M15" s="842"/>
      <c r="N15" s="842"/>
      <c r="O15" s="846" t="str">
        <f>GLOBAL_DER_FEV_2023!O15</f>
        <v>Tabela Referência: DER/PR de FEVEREIRO/2023 sem desoneração</v>
      </c>
      <c r="P15" s="76"/>
      <c r="Y15" s="317"/>
    </row>
    <row r="16" spans="1:25" s="77" customFormat="1" ht="18" customHeight="1" thickBot="1" x14ac:dyDescent="0.25">
      <c r="A16" s="317"/>
      <c r="B16" s="1130"/>
      <c r="C16" s="1131"/>
      <c r="D16" s="1116"/>
      <c r="E16" s="1131"/>
      <c r="F16" s="1131"/>
      <c r="G16" s="1115"/>
      <c r="H16" s="1115"/>
      <c r="I16" s="1115"/>
      <c r="J16" s="1115"/>
      <c r="K16" s="1115"/>
      <c r="L16" s="1115"/>
      <c r="M16" s="1115"/>
      <c r="N16" s="1118" t="s">
        <v>2192</v>
      </c>
      <c r="O16" s="1119">
        <f>GLOBAL_DER_FEV_2023!O16</f>
        <v>45030</v>
      </c>
      <c r="P16" s="76"/>
      <c r="Y16" s="317"/>
    </row>
    <row r="17" spans="1:51" ht="18" customHeight="1" thickBot="1" x14ac:dyDescent="0.25">
      <c r="B17" s="1132" t="s">
        <v>414</v>
      </c>
      <c r="C17" s="848" t="s">
        <v>415</v>
      </c>
      <c r="D17" s="1133" t="s">
        <v>153</v>
      </c>
      <c r="E17" s="1134" t="s">
        <v>0</v>
      </c>
      <c r="F17" s="1135" t="s">
        <v>1</v>
      </c>
      <c r="G17" s="852" t="s">
        <v>2</v>
      </c>
      <c r="H17" s="853"/>
      <c r="I17" s="854"/>
      <c r="J17" s="853"/>
      <c r="K17" s="1136" t="s">
        <v>156</v>
      </c>
      <c r="L17" s="856" t="s">
        <v>2144</v>
      </c>
      <c r="M17" s="857"/>
      <c r="N17" s="858"/>
      <c r="O17" s="858"/>
      <c r="P17" s="29" t="s">
        <v>2011</v>
      </c>
      <c r="Q17" s="29"/>
      <c r="R17" s="30"/>
      <c r="S17" s="30"/>
      <c r="T17" s="326"/>
    </row>
    <row r="18" spans="1:51" ht="46.5" thickBot="1" x14ac:dyDescent="0.25">
      <c r="A18" s="637" t="s">
        <v>1858</v>
      </c>
      <c r="B18" s="859" t="s">
        <v>165</v>
      </c>
      <c r="C18" s="860"/>
      <c r="D18" s="861" t="s">
        <v>1859</v>
      </c>
      <c r="E18" s="862" t="s">
        <v>154</v>
      </c>
      <c r="F18" s="863" t="s">
        <v>155</v>
      </c>
      <c r="G18" s="864" t="s">
        <v>3</v>
      </c>
      <c r="H18" s="865" t="s">
        <v>4</v>
      </c>
      <c r="I18" s="865" t="s">
        <v>5</v>
      </c>
      <c r="J18" s="866" t="s">
        <v>6</v>
      </c>
      <c r="K18" s="867"/>
      <c r="L18" s="868" t="s">
        <v>7</v>
      </c>
      <c r="M18" s="869" t="s">
        <v>8</v>
      </c>
      <c r="N18" s="870" t="s">
        <v>9</v>
      </c>
      <c r="O18" s="871" t="s">
        <v>158</v>
      </c>
      <c r="P18" s="31" t="s">
        <v>416</v>
      </c>
      <c r="Q18" s="31" t="s">
        <v>419</v>
      </c>
      <c r="R18" s="31" t="s">
        <v>420</v>
      </c>
      <c r="S18" s="31" t="s">
        <v>418</v>
      </c>
      <c r="T18" s="325" t="s">
        <v>2099</v>
      </c>
      <c r="W18" s="1358" t="s">
        <v>2152</v>
      </c>
      <c r="X18" s="1359"/>
      <c r="Y18" s="579" t="s">
        <v>2153</v>
      </c>
    </row>
    <row r="19" spans="1:51" ht="13.5" hidden="1" thickBot="1" x14ac:dyDescent="0.25">
      <c r="A19" s="317" t="s">
        <v>474</v>
      </c>
      <c r="B19" s="872" t="s">
        <v>474</v>
      </c>
      <c r="C19" s="873"/>
      <c r="D19" s="874" t="s">
        <v>432</v>
      </c>
      <c r="E19" s="875"/>
      <c r="F19" s="876"/>
      <c r="G19" s="877"/>
      <c r="H19" s="878"/>
      <c r="I19" s="878"/>
      <c r="J19" s="878"/>
      <c r="K19" s="878" t="s">
        <v>507</v>
      </c>
      <c r="L19" s="879"/>
      <c r="M19" s="880"/>
      <c r="N19" s="881"/>
      <c r="O19" s="882">
        <f>SUM(N20:N68)</f>
        <v>0</v>
      </c>
      <c r="P19" s="58" t="str">
        <f>IF(OR(O19&gt;0,O19&gt;0),"X","")</f>
        <v/>
      </c>
      <c r="Q19" s="317" t="str">
        <f t="shared" ref="Q19:Q82" si="0">IF(P19="X","x",IF(P19="xx","x",IF(P19="xy","x",IF(P19="y","x",IF(OR(N19&gt;0,N19&gt;0),"x","")))))</f>
        <v/>
      </c>
      <c r="R19" s="317" t="str">
        <f t="shared" ref="R19:R84" si="1">IF(P19="X","x",IF(P19="y","x",IF(P19="xx","x",IF(N19&gt;0,"x",""))))</f>
        <v/>
      </c>
      <c r="S19" s="317" t="str">
        <f t="shared" ref="S19:S84" si="2">IF(P19="X","x",IF(N19&gt;0,"x",""))</f>
        <v/>
      </c>
      <c r="T19" s="317" t="str">
        <f>GLOBAL_DER_FEV_2023!S19</f>
        <v/>
      </c>
      <c r="W19" s="580"/>
      <c r="X19" s="580"/>
      <c r="Y19" s="581"/>
    </row>
    <row r="20" spans="1:51" ht="13.5" hidden="1" thickBot="1" x14ac:dyDescent="0.25">
      <c r="A20" s="317">
        <v>831000</v>
      </c>
      <c r="B20" s="883" t="str">
        <f>GLOBAL_DER_FEV_2023!B20</f>
        <v>831000A</v>
      </c>
      <c r="C20" s="884" t="str">
        <f>GLOBAL_DER_FEV_2023!C20</f>
        <v>DER</v>
      </c>
      <c r="D20" s="885" t="str">
        <f>GLOBAL_DER_FEV_2023!D20</f>
        <v>Construção de Cerca 4 fios c/ mourões de concreto</v>
      </c>
      <c r="E20" s="886">
        <f>GLOBAL_DER_FEV_2023!E20</f>
        <v>0</v>
      </c>
      <c r="F20" s="887">
        <f>GLOBAL_DER_FEV_2023!F20</f>
        <v>0</v>
      </c>
      <c r="G20" s="888">
        <f>GLOBAL_DER_FEV_2023!G20</f>
        <v>0</v>
      </c>
      <c r="H20" s="889">
        <f>GLOBAL_DER_FEV_2023!H20</f>
        <v>41.45</v>
      </c>
      <c r="I20" s="889">
        <f>GLOBAL_DER_FEV_2023!I20</f>
        <v>41.45</v>
      </c>
      <c r="J20" s="890">
        <f>GLOBAL_DER_FEV_2023!J20</f>
        <v>49.77</v>
      </c>
      <c r="K20" s="891" t="s">
        <v>13</v>
      </c>
      <c r="L20" s="1137"/>
      <c r="M20" s="1138">
        <f t="shared" ref="M20:M83" si="3">IF(L20=0,0,ROUND(J20,2))</f>
        <v>0</v>
      </c>
      <c r="N20" s="893">
        <f t="shared" ref="N20:N23" si="4">IF(ISBLANK(L20),0,IF(W20=0,ROUND(L20*M20,2),IF(W20="b",ROUNDDOWN(L20*M20,2),ROUNDUP(L20*M20,2))))</f>
        <v>0</v>
      </c>
      <c r="O20" s="894"/>
      <c r="P20" s="76"/>
      <c r="Q20" s="317" t="str">
        <f t="shared" si="0"/>
        <v/>
      </c>
      <c r="R20" s="317" t="str">
        <f t="shared" si="1"/>
        <v/>
      </c>
      <c r="S20" s="317" t="str">
        <f t="shared" si="2"/>
        <v/>
      </c>
      <c r="T20" s="317" t="str">
        <f>GLOBAL_DER_FEV_2023!S20</f>
        <v/>
      </c>
      <c r="W20" s="582">
        <v>0</v>
      </c>
      <c r="X20" s="580"/>
      <c r="Y20" s="583">
        <f>IF(GLOBAL_DER_FEV_2023!W20=0,0,IF(GLOBAL_DER_FEV_2023!W20&gt;0,"c","b"))</f>
        <v>0</v>
      </c>
    </row>
    <row r="21" spans="1:51" ht="13.5" hidden="1" thickBot="1" x14ac:dyDescent="0.25">
      <c r="A21" s="317">
        <v>830000</v>
      </c>
      <c r="B21" s="895" t="str">
        <f>GLOBAL_DER_FEV_2023!B21</f>
        <v>830000A</v>
      </c>
      <c r="C21" s="896" t="str">
        <f>GLOBAL_DER_FEV_2023!C21</f>
        <v>DER</v>
      </c>
      <c r="D21" s="897" t="str">
        <f>GLOBAL_DER_FEV_2023!D21</f>
        <v>Construção de Cerca 4 fios c/ mourões de madeira</v>
      </c>
      <c r="E21" s="898">
        <f>GLOBAL_DER_FEV_2023!E21</f>
        <v>0</v>
      </c>
      <c r="F21" s="899">
        <f>GLOBAL_DER_FEV_2023!F21</f>
        <v>0</v>
      </c>
      <c r="G21" s="900">
        <f>GLOBAL_DER_FEV_2023!G21</f>
        <v>0</v>
      </c>
      <c r="H21" s="889">
        <f>GLOBAL_DER_FEV_2023!H21</f>
        <v>36.44</v>
      </c>
      <c r="I21" s="901">
        <f>GLOBAL_DER_FEV_2023!I21</f>
        <v>36.44</v>
      </c>
      <c r="J21" s="902">
        <f>GLOBAL_DER_FEV_2023!J21</f>
        <v>43.75</v>
      </c>
      <c r="K21" s="903" t="s">
        <v>13</v>
      </c>
      <c r="L21" s="1137"/>
      <c r="M21" s="1138">
        <f t="shared" si="3"/>
        <v>0</v>
      </c>
      <c r="N21" s="893">
        <f t="shared" si="4"/>
        <v>0</v>
      </c>
      <c r="O21" s="905"/>
      <c r="Q21" s="317" t="str">
        <f t="shared" si="0"/>
        <v/>
      </c>
      <c r="R21" s="317" t="str">
        <f t="shared" si="1"/>
        <v/>
      </c>
      <c r="S21" s="317" t="str">
        <f t="shared" si="2"/>
        <v/>
      </c>
      <c r="T21" s="317" t="str">
        <f>GLOBAL_DER_FEV_2023!S21</f>
        <v/>
      </c>
      <c r="W21" s="582">
        <v>0</v>
      </c>
      <c r="X21" s="580"/>
      <c r="Y21" s="583">
        <f>IF(GLOBAL_DER_FEV_2023!W21=0,0,IF(GLOBAL_DER_FEV_2023!W21&gt;0,"c","b"))</f>
        <v>0</v>
      </c>
    </row>
    <row r="22" spans="1:51" ht="13.5" hidden="1" thickBot="1" x14ac:dyDescent="0.25">
      <c r="A22" s="638">
        <v>606600</v>
      </c>
      <c r="B22" s="895" t="str">
        <f>GLOBAL_DER_FEV_2023!B22</f>
        <v>606600A</v>
      </c>
      <c r="C22" s="896" t="str">
        <f>GLOBAL_DER_FEV_2023!C22</f>
        <v>DER</v>
      </c>
      <c r="D22" s="906" t="str">
        <f>GLOBAL_DER_FEV_2023!D22</f>
        <v>Demolição de Concreto Armado</v>
      </c>
      <c r="E22" s="907">
        <f>GLOBAL_DER_FEV_2023!E22</f>
        <v>0</v>
      </c>
      <c r="F22" s="899">
        <f>GLOBAL_DER_FEV_2023!F22</f>
        <v>0</v>
      </c>
      <c r="G22" s="900">
        <f>GLOBAL_DER_FEV_2023!G22</f>
        <v>0</v>
      </c>
      <c r="H22" s="889">
        <f>GLOBAL_DER_FEV_2023!H22</f>
        <v>309.52999999999997</v>
      </c>
      <c r="I22" s="901">
        <f>GLOBAL_DER_FEV_2023!I22</f>
        <v>309.52999999999997</v>
      </c>
      <c r="J22" s="902">
        <f>GLOBAL_DER_FEV_2023!J22</f>
        <v>371.65</v>
      </c>
      <c r="K22" s="903" t="s">
        <v>10</v>
      </c>
      <c r="L22" s="1137"/>
      <c r="M22" s="1138">
        <f t="shared" si="3"/>
        <v>0</v>
      </c>
      <c r="N22" s="893">
        <f t="shared" si="4"/>
        <v>0</v>
      </c>
      <c r="O22" s="905"/>
      <c r="Q22" s="317" t="str">
        <f t="shared" si="0"/>
        <v/>
      </c>
      <c r="R22" s="317" t="str">
        <f t="shared" si="1"/>
        <v/>
      </c>
      <c r="S22" s="317" t="str">
        <f t="shared" si="2"/>
        <v/>
      </c>
      <c r="T22" s="317" t="str">
        <f>GLOBAL_DER_FEV_2023!S22</f>
        <v/>
      </c>
      <c r="W22" s="582">
        <v>0</v>
      </c>
      <c r="X22" s="580"/>
      <c r="Y22" s="583">
        <f>IF(GLOBAL_DER_FEV_2023!W22=0,0,IF(GLOBAL_DER_FEV_2023!W22&gt;0,"c","b"))</f>
        <v>0</v>
      </c>
    </row>
    <row r="23" spans="1:51" ht="13.5" hidden="1" thickBot="1" x14ac:dyDescent="0.25">
      <c r="A23" s="639">
        <v>606700</v>
      </c>
      <c r="B23" s="895" t="str">
        <f>GLOBAL_DER_FEV_2023!B23</f>
        <v>606700A</v>
      </c>
      <c r="C23" s="896" t="str">
        <f>GLOBAL_DER_FEV_2023!C23</f>
        <v>DER</v>
      </c>
      <c r="D23" s="906" t="str">
        <f>GLOBAL_DER_FEV_2023!D23</f>
        <v>Demolição de Concreto Símples</v>
      </c>
      <c r="E23" s="907">
        <f>GLOBAL_DER_FEV_2023!E23</f>
        <v>0</v>
      </c>
      <c r="F23" s="899">
        <f>GLOBAL_DER_FEV_2023!F23</f>
        <v>0</v>
      </c>
      <c r="G23" s="900">
        <f>GLOBAL_DER_FEV_2023!G23</f>
        <v>0</v>
      </c>
      <c r="H23" s="889">
        <f>GLOBAL_DER_FEV_2023!H23</f>
        <v>148.04</v>
      </c>
      <c r="I23" s="901">
        <f>GLOBAL_DER_FEV_2023!I23</f>
        <v>148.04</v>
      </c>
      <c r="J23" s="902">
        <f>GLOBAL_DER_FEV_2023!J23</f>
        <v>177.75</v>
      </c>
      <c r="K23" s="903" t="s">
        <v>10</v>
      </c>
      <c r="L23" s="1137"/>
      <c r="M23" s="1138">
        <f t="shared" si="3"/>
        <v>0</v>
      </c>
      <c r="N23" s="893">
        <f t="shared" si="4"/>
        <v>0</v>
      </c>
      <c r="O23" s="905"/>
      <c r="Q23" s="317" t="str">
        <f t="shared" si="0"/>
        <v/>
      </c>
      <c r="R23" s="317" t="str">
        <f t="shared" si="1"/>
        <v/>
      </c>
      <c r="S23" s="317" t="str">
        <f t="shared" si="2"/>
        <v/>
      </c>
      <c r="T23" s="317" t="str">
        <f>GLOBAL_DER_FEV_2023!S23</f>
        <v/>
      </c>
      <c r="W23" s="582">
        <v>0</v>
      </c>
      <c r="X23" s="580"/>
      <c r="Y23" s="583">
        <f>IF(GLOBAL_DER_FEV_2023!W23=0,0,IF(GLOBAL_DER_FEV_2023!W23&gt;0,"c","b"))</f>
        <v>0</v>
      </c>
    </row>
    <row r="24" spans="1:51" ht="13.5" hidden="1" thickBot="1" x14ac:dyDescent="0.25">
      <c r="A24" s="317">
        <v>512000</v>
      </c>
      <c r="B24" s="895">
        <f>GLOBAL_DER_FEV_2023!B24</f>
        <v>512000</v>
      </c>
      <c r="C24" s="896" t="str">
        <f>GLOBAL_DER_FEV_2023!C24</f>
        <v>DER</v>
      </c>
      <c r="D24" s="906" t="str">
        <f>GLOBAL_DER_FEV_2023!D24</f>
        <v>Demolição Manual de Pavimento e Transporte</v>
      </c>
      <c r="E24" s="907">
        <f>GLOBAL_DER_FEV_2023!E24</f>
        <v>3</v>
      </c>
      <c r="F24" s="908">
        <f>GLOBAL_DER_FEV_2023!F24</f>
        <v>1.86</v>
      </c>
      <c r="G24" s="909">
        <f>GLOBAL_DER_FEV_2023!G24</f>
        <v>10.955400000000001</v>
      </c>
      <c r="H24" s="889">
        <f>GLOBAL_DER_FEV_2023!H24</f>
        <v>62.35</v>
      </c>
      <c r="I24" s="901">
        <f>GLOBAL_DER_FEV_2023!I24</f>
        <v>73.305400000000006</v>
      </c>
      <c r="J24" s="902">
        <f>GLOBAL_DER_FEV_2023!J24</f>
        <v>88.02</v>
      </c>
      <c r="K24" s="903" t="s">
        <v>10</v>
      </c>
      <c r="L24" s="1137"/>
      <c r="M24" s="1138">
        <f t="shared" si="3"/>
        <v>0</v>
      </c>
      <c r="N24" s="584">
        <f>IF(ISBLANK(L24),0,IF(W24=0,ROUND(L24*M24,2),IF(W24="b",ROUNDDOWN(L24*M24,2),ROUNDUP(L24*M24,2))))</f>
        <v>0</v>
      </c>
      <c r="O24" s="905"/>
      <c r="Q24" s="317" t="str">
        <f t="shared" si="0"/>
        <v/>
      </c>
      <c r="R24" s="317" t="str">
        <f t="shared" si="1"/>
        <v/>
      </c>
      <c r="S24" s="317" t="str">
        <f t="shared" si="2"/>
        <v/>
      </c>
      <c r="T24" s="317" t="str">
        <f>GLOBAL_DER_FEV_2023!S24</f>
        <v/>
      </c>
      <c r="W24" s="582">
        <v>0</v>
      </c>
      <c r="X24" s="580"/>
      <c r="Y24" s="583">
        <f>IF(GLOBAL_DER_FEV_2023!W24=0,0,IF(GLOBAL_DER_FEV_2023!W24&gt;0,"c","b"))</f>
        <v>0</v>
      </c>
    </row>
    <row r="25" spans="1:51" ht="13.5" hidden="1" thickBot="1" x14ac:dyDescent="0.25">
      <c r="A25" s="317">
        <v>512050</v>
      </c>
      <c r="B25" s="895">
        <f>GLOBAL_DER_FEV_2023!B25</f>
        <v>512050</v>
      </c>
      <c r="C25" s="896" t="str">
        <f>GLOBAL_DER_FEV_2023!C25</f>
        <v>DER</v>
      </c>
      <c r="D25" s="906" t="str">
        <f>GLOBAL_DER_FEV_2023!D25</f>
        <v>Demolição Mecânica de Pavimento e Transporte</v>
      </c>
      <c r="E25" s="907">
        <f>GLOBAL_DER_FEV_2023!E25</f>
        <v>3</v>
      </c>
      <c r="F25" s="908">
        <f>GLOBAL_DER_FEV_2023!F25</f>
        <v>1.86</v>
      </c>
      <c r="G25" s="909">
        <f>GLOBAL_DER_FEV_2023!G25</f>
        <v>10.955400000000001</v>
      </c>
      <c r="H25" s="889">
        <f>GLOBAL_DER_FEV_2023!H25</f>
        <v>41.9</v>
      </c>
      <c r="I25" s="901">
        <f>GLOBAL_DER_FEV_2023!I25</f>
        <v>52.855400000000003</v>
      </c>
      <c r="J25" s="902">
        <f>GLOBAL_DER_FEV_2023!J25</f>
        <v>63.46</v>
      </c>
      <c r="K25" s="903" t="s">
        <v>10</v>
      </c>
      <c r="L25" s="1137"/>
      <c r="M25" s="1138">
        <f t="shared" si="3"/>
        <v>0</v>
      </c>
      <c r="N25" s="584">
        <f t="shared" ref="N25:N88" si="5">IF(ISBLANK(L25),0,IF(W25=0,ROUND(L25*M25,2),IF(W25="b",ROUNDDOWN(L25*M25,2),ROUNDUP(L25*M25,2))))</f>
        <v>0</v>
      </c>
      <c r="O25" s="905"/>
      <c r="Q25" s="317" t="str">
        <f t="shared" si="0"/>
        <v/>
      </c>
      <c r="R25" s="317" t="str">
        <f t="shared" si="1"/>
        <v/>
      </c>
      <c r="S25" s="317" t="str">
        <f t="shared" si="2"/>
        <v/>
      </c>
      <c r="T25" s="317" t="str">
        <f>GLOBAL_DER_FEV_2023!S25</f>
        <v/>
      </c>
      <c r="W25" s="582">
        <v>0</v>
      </c>
      <c r="X25" s="580"/>
      <c r="Y25" s="583">
        <f>IF(GLOBAL_DER_FEV_2023!W25=0,0,IF(GLOBAL_DER_FEV_2023!W25&gt;0,"c","b"))</f>
        <v>0</v>
      </c>
    </row>
    <row r="26" spans="1:51" ht="13.5" hidden="1" thickBot="1" x14ac:dyDescent="0.25">
      <c r="A26" s="317">
        <v>810250</v>
      </c>
      <c r="B26" s="895" t="str">
        <f>GLOBAL_DER_FEV_2023!B26</f>
        <v>PAI-022B</v>
      </c>
      <c r="C26" s="896" t="str">
        <f>GLOBAL_DER_FEV_2023!C26</f>
        <v>PM Curitiba-abr/22</v>
      </c>
      <c r="D26" s="906" t="str">
        <f>GLOBAL_DER_FEV_2023!D26</f>
        <v>Arrancamento Fincadinha de concreto - (9x19x39cm-0,0171m3/m)</v>
      </c>
      <c r="E26" s="907">
        <f>GLOBAL_DER_FEV_2023!E26</f>
        <v>0.1</v>
      </c>
      <c r="F26" s="908">
        <f>GLOBAL_DER_FEV_2023!F26</f>
        <v>3.9800000000000002E-2</v>
      </c>
      <c r="G26" s="909">
        <f>GLOBAL_DER_FEV_2023!G26</f>
        <v>0.11092260000000002</v>
      </c>
      <c r="H26" s="889">
        <f>GLOBAL_DER_FEV_2023!H26</f>
        <v>5.05</v>
      </c>
      <c r="I26" s="901">
        <f>GLOBAL_DER_FEV_2023!I26</f>
        <v>5.1609226000000001</v>
      </c>
      <c r="J26" s="902">
        <f>GLOBAL_DER_FEV_2023!J26</f>
        <v>6.2</v>
      </c>
      <c r="K26" s="903" t="s">
        <v>13</v>
      </c>
      <c r="L26" s="1137"/>
      <c r="M26" s="1138">
        <f t="shared" si="3"/>
        <v>0</v>
      </c>
      <c r="N26" s="584">
        <f t="shared" si="5"/>
        <v>0</v>
      </c>
      <c r="O26" s="905"/>
      <c r="Q26" s="317" t="str">
        <f t="shared" si="0"/>
        <v/>
      </c>
      <c r="R26" s="317" t="str">
        <f t="shared" si="1"/>
        <v/>
      </c>
      <c r="S26" s="317" t="str">
        <f t="shared" si="2"/>
        <v/>
      </c>
      <c r="T26" s="317" t="str">
        <f>GLOBAL_DER_FEV_2023!S26</f>
        <v/>
      </c>
      <c r="W26" s="582">
        <v>0</v>
      </c>
      <c r="X26" s="580"/>
      <c r="Y26" s="583">
        <f>IF(GLOBAL_DER_FEV_2023!W26=0,0,IF(GLOBAL_DER_FEV_2023!W26&gt;0,"c","b"))</f>
        <v>0</v>
      </c>
      <c r="AX26" s="895" t="s">
        <v>2236</v>
      </c>
      <c r="AY26" s="896" t="s">
        <v>453</v>
      </c>
    </row>
    <row r="27" spans="1:51" ht="13.5" hidden="1" thickBot="1" x14ac:dyDescent="0.25">
      <c r="A27" s="317">
        <v>810250</v>
      </c>
      <c r="B27" s="895" t="str">
        <f>GLOBAL_DER_FEV_2023!B27</f>
        <v>PAI-022C</v>
      </c>
      <c r="C27" s="896" t="str">
        <f>GLOBAL_DER_FEV_2023!C27</f>
        <v>PM Curitiba-abr/22</v>
      </c>
      <c r="D27" s="906" t="str">
        <f>GLOBAL_DER_FEV_2023!D27</f>
        <v>Arrancamento Fincadinha de concreto - (5x22,5x45cm-0,01125m3/m)</v>
      </c>
      <c r="E27" s="907">
        <f>GLOBAL_DER_FEV_2023!E27</f>
        <v>0.1</v>
      </c>
      <c r="F27" s="908">
        <f>GLOBAL_DER_FEV_2023!F27</f>
        <v>2.63E-2</v>
      </c>
      <c r="G27" s="909">
        <f>GLOBAL_DER_FEV_2023!G27</f>
        <v>7.3298100000000005E-2</v>
      </c>
      <c r="H27" s="889">
        <f>GLOBAL_DER_FEV_2023!H27</f>
        <v>5.05</v>
      </c>
      <c r="I27" s="901">
        <f>GLOBAL_DER_FEV_2023!I27</f>
        <v>5.1232980999999995</v>
      </c>
      <c r="J27" s="902">
        <f>GLOBAL_DER_FEV_2023!J27</f>
        <v>6.15</v>
      </c>
      <c r="K27" s="903" t="s">
        <v>13</v>
      </c>
      <c r="L27" s="1137"/>
      <c r="M27" s="1138">
        <f t="shared" si="3"/>
        <v>0</v>
      </c>
      <c r="N27" s="584">
        <f t="shared" si="5"/>
        <v>0</v>
      </c>
      <c r="O27" s="905"/>
      <c r="Q27" s="317" t="str">
        <f t="shared" si="0"/>
        <v/>
      </c>
      <c r="R27" s="317" t="str">
        <f t="shared" si="1"/>
        <v/>
      </c>
      <c r="S27" s="317" t="str">
        <f t="shared" si="2"/>
        <v/>
      </c>
      <c r="T27" s="317" t="str">
        <f>GLOBAL_DER_FEV_2023!S27</f>
        <v/>
      </c>
      <c r="W27" s="582">
        <v>0</v>
      </c>
      <c r="X27" s="580"/>
      <c r="Y27" s="583">
        <f>IF(GLOBAL_DER_FEV_2023!W27=0,0,IF(GLOBAL_DER_FEV_2023!W27&gt;0,"c","b"))</f>
        <v>0</v>
      </c>
      <c r="AX27" s="895" t="s">
        <v>2237</v>
      </c>
      <c r="AY27" s="896" t="s">
        <v>453</v>
      </c>
    </row>
    <row r="28" spans="1:51" ht="13.5" hidden="1" thickBot="1" x14ac:dyDescent="0.25">
      <c r="A28" s="317">
        <v>810250</v>
      </c>
      <c r="B28" s="895" t="str">
        <f>GLOBAL_DER_FEV_2023!B28</f>
        <v>PAI-022D</v>
      </c>
      <c r="C28" s="896" t="str">
        <f>GLOBAL_DER_FEV_2023!C28</f>
        <v>PM Curitiba-abr/22</v>
      </c>
      <c r="D28" s="906" t="str">
        <f>GLOBAL_DER_FEV_2023!D28</f>
        <v>Arrancamento Fincadinha de concreto moldada in loco- (7x20cm-0,014m3/m)</v>
      </c>
      <c r="E28" s="907">
        <f>GLOBAL_DER_FEV_2023!E28</f>
        <v>0.1</v>
      </c>
      <c r="F28" s="908">
        <f>GLOBAL_DER_FEV_2023!F28</f>
        <v>3.2800000000000003E-2</v>
      </c>
      <c r="G28" s="909">
        <f>GLOBAL_DER_FEV_2023!G28</f>
        <v>9.1413600000000025E-2</v>
      </c>
      <c r="H28" s="889">
        <f>GLOBAL_DER_FEV_2023!H28</f>
        <v>5.05</v>
      </c>
      <c r="I28" s="901">
        <f>GLOBAL_DER_FEV_2023!I28</f>
        <v>5.1414135999999999</v>
      </c>
      <c r="J28" s="902">
        <f>GLOBAL_DER_FEV_2023!J28</f>
        <v>6.17</v>
      </c>
      <c r="K28" s="903" t="s">
        <v>13</v>
      </c>
      <c r="L28" s="1137"/>
      <c r="M28" s="1138">
        <f t="shared" si="3"/>
        <v>0</v>
      </c>
      <c r="N28" s="584">
        <f t="shared" si="5"/>
        <v>0</v>
      </c>
      <c r="O28" s="905"/>
      <c r="Q28" s="317" t="str">
        <f t="shared" si="0"/>
        <v/>
      </c>
      <c r="R28" s="317" t="str">
        <f t="shared" si="1"/>
        <v/>
      </c>
      <c r="S28" s="317" t="str">
        <f t="shared" si="2"/>
        <v/>
      </c>
      <c r="T28" s="317" t="str">
        <f>GLOBAL_DER_FEV_2023!S28</f>
        <v/>
      </c>
      <c r="W28" s="582">
        <v>0</v>
      </c>
      <c r="X28" s="580"/>
      <c r="Y28" s="583">
        <f>IF(GLOBAL_DER_FEV_2023!W28=0,0,IF(GLOBAL_DER_FEV_2023!W28&gt;0,"c","b"))</f>
        <v>0</v>
      </c>
      <c r="AX28" s="895" t="s">
        <v>2238</v>
      </c>
      <c r="AY28" s="896" t="s">
        <v>453</v>
      </c>
    </row>
    <row r="29" spans="1:51" ht="13.5" hidden="1" thickBot="1" x14ac:dyDescent="0.25">
      <c r="A29" s="317" t="s">
        <v>451</v>
      </c>
      <c r="B29" s="895" t="str">
        <f>GLOBAL_DER_FEV_2023!B29</f>
        <v>PAI-022A</v>
      </c>
      <c r="C29" s="896" t="str">
        <f>GLOBAL_DER_FEV_2023!C29</f>
        <v>PM Curitiba-abr/22</v>
      </c>
      <c r="D29" s="906" t="str">
        <f>GLOBAL_DER_FEV_2023!D29</f>
        <v>Arrancamento Fincadinha de Granito</v>
      </c>
      <c r="E29" s="907">
        <f>GLOBAL_DER_FEV_2023!E29</f>
        <v>0</v>
      </c>
      <c r="F29" s="908">
        <f>GLOBAL_DER_FEV_2023!F29</f>
        <v>2.1600000000000001E-2</v>
      </c>
      <c r="G29" s="909">
        <f>GLOBAL_DER_FEV_2023!G29</f>
        <v>5.7888000000000009E-2</v>
      </c>
      <c r="H29" s="901">
        <f>GLOBAL_DER_FEV_2023!H29</f>
        <v>5.05</v>
      </c>
      <c r="I29" s="901">
        <f>GLOBAL_DER_FEV_2023!I29</f>
        <v>5.107888</v>
      </c>
      <c r="J29" s="902">
        <f>GLOBAL_DER_FEV_2023!J29</f>
        <v>6.13</v>
      </c>
      <c r="K29" s="903" t="s">
        <v>13</v>
      </c>
      <c r="L29" s="1137"/>
      <c r="M29" s="1138">
        <f t="shared" si="3"/>
        <v>0</v>
      </c>
      <c r="N29" s="584">
        <f t="shared" si="5"/>
        <v>0</v>
      </c>
      <c r="O29" s="905"/>
      <c r="Q29" s="317" t="str">
        <f t="shared" si="0"/>
        <v/>
      </c>
      <c r="R29" s="317" t="str">
        <f t="shared" si="1"/>
        <v/>
      </c>
      <c r="S29" s="317" t="str">
        <f t="shared" si="2"/>
        <v/>
      </c>
      <c r="T29" s="317" t="str">
        <f>GLOBAL_DER_FEV_2023!S29</f>
        <v/>
      </c>
      <c r="W29" s="582">
        <v>0</v>
      </c>
      <c r="X29" s="580"/>
      <c r="Y29" s="583">
        <f>IF(GLOBAL_DER_FEV_2023!W29=0,0,IF(GLOBAL_DER_FEV_2023!W29&gt;0,"c","b"))</f>
        <v>0</v>
      </c>
      <c r="AX29" s="895" t="s">
        <v>2235</v>
      </c>
      <c r="AY29" s="896" t="s">
        <v>453</v>
      </c>
    </row>
    <row r="30" spans="1:51" ht="13.5" hidden="1" thickBot="1" x14ac:dyDescent="0.25">
      <c r="A30" s="317">
        <v>600310</v>
      </c>
      <c r="B30" s="895" t="str">
        <f>GLOBAL_DER_FEV_2023!B30</f>
        <v>600310A</v>
      </c>
      <c r="C30" s="896" t="str">
        <f>GLOBAL_DER_FEV_2023!C30</f>
        <v>DER</v>
      </c>
      <c r="D30" s="906" t="str">
        <f>GLOBAL_DER_FEV_2023!D30</f>
        <v>Limpeza de bueiro</v>
      </c>
      <c r="E30" s="898">
        <f>GLOBAL_DER_FEV_2023!E30</f>
        <v>0</v>
      </c>
      <c r="F30" s="899">
        <f>GLOBAL_DER_FEV_2023!F30</f>
        <v>0</v>
      </c>
      <c r="G30" s="900">
        <f>GLOBAL_DER_FEV_2023!G30</f>
        <v>0</v>
      </c>
      <c r="H30" s="901">
        <f>GLOBAL_DER_FEV_2023!H30</f>
        <v>142.88</v>
      </c>
      <c r="I30" s="901">
        <f>GLOBAL_DER_FEV_2023!I30</f>
        <v>142.88</v>
      </c>
      <c r="J30" s="902">
        <f>GLOBAL_DER_FEV_2023!J30</f>
        <v>171.56</v>
      </c>
      <c r="K30" s="903" t="s">
        <v>15</v>
      </c>
      <c r="L30" s="1137"/>
      <c r="M30" s="1138">
        <f t="shared" si="3"/>
        <v>0</v>
      </c>
      <c r="N30" s="584">
        <f t="shared" si="5"/>
        <v>0</v>
      </c>
      <c r="O30" s="905"/>
      <c r="Q30" s="317" t="str">
        <f t="shared" si="0"/>
        <v/>
      </c>
      <c r="R30" s="317" t="str">
        <f t="shared" si="1"/>
        <v/>
      </c>
      <c r="S30" s="317" t="str">
        <f t="shared" si="2"/>
        <v/>
      </c>
      <c r="T30" s="317" t="str">
        <f>GLOBAL_DER_FEV_2023!S30</f>
        <v/>
      </c>
      <c r="W30" s="582">
        <v>0</v>
      </c>
      <c r="X30" s="580"/>
      <c r="Y30" s="583">
        <f>IF(GLOBAL_DER_FEV_2023!W30=0,0,IF(GLOBAL_DER_FEV_2023!W30&gt;0,"c","b"))</f>
        <v>0</v>
      </c>
    </row>
    <row r="31" spans="1:51" ht="13.5" hidden="1" thickBot="1" x14ac:dyDescent="0.25">
      <c r="A31" s="317">
        <v>800900</v>
      </c>
      <c r="B31" s="895" t="str">
        <f>GLOBAL_DER_FEV_2023!B31</f>
        <v>800900A</v>
      </c>
      <c r="C31" s="896" t="str">
        <f>GLOBAL_DER_FEV_2023!C31</f>
        <v>DER</v>
      </c>
      <c r="D31" s="906" t="str">
        <f>GLOBAL_DER_FEV_2023!D31</f>
        <v>Limpeza e lavagem de sinalização vertical</v>
      </c>
      <c r="E31" s="898">
        <f>GLOBAL_DER_FEV_2023!E31</f>
        <v>0</v>
      </c>
      <c r="F31" s="899">
        <f>GLOBAL_DER_FEV_2023!F31</f>
        <v>0</v>
      </c>
      <c r="G31" s="900">
        <f>GLOBAL_DER_FEV_2023!G31</f>
        <v>0</v>
      </c>
      <c r="H31" s="901">
        <f>GLOBAL_DER_FEV_2023!H31</f>
        <v>13.25</v>
      </c>
      <c r="I31" s="901">
        <f>GLOBAL_DER_FEV_2023!I31</f>
        <v>13.25</v>
      </c>
      <c r="J31" s="902">
        <f>GLOBAL_DER_FEV_2023!J31</f>
        <v>15.91</v>
      </c>
      <c r="K31" s="903" t="s">
        <v>12</v>
      </c>
      <c r="L31" s="1137"/>
      <c r="M31" s="1138">
        <f t="shared" si="3"/>
        <v>0</v>
      </c>
      <c r="N31" s="584">
        <f t="shared" si="5"/>
        <v>0</v>
      </c>
      <c r="O31" s="905"/>
      <c r="Q31" s="317" t="str">
        <f t="shared" si="0"/>
        <v/>
      </c>
      <c r="R31" s="317" t="str">
        <f t="shared" si="1"/>
        <v/>
      </c>
      <c r="S31" s="317" t="str">
        <f t="shared" si="2"/>
        <v/>
      </c>
      <c r="T31" s="317" t="str">
        <f>GLOBAL_DER_FEV_2023!S31</f>
        <v/>
      </c>
      <c r="W31" s="582">
        <v>0</v>
      </c>
      <c r="X31" s="580"/>
      <c r="Y31" s="583">
        <f>IF(GLOBAL_DER_FEV_2023!W31=0,0,IF(GLOBAL_DER_FEV_2023!W31&gt;0,"c","b"))</f>
        <v>0</v>
      </c>
    </row>
    <row r="32" spans="1:51" ht="13.5" hidden="1" thickBot="1" x14ac:dyDescent="0.25">
      <c r="A32" s="317">
        <v>801100</v>
      </c>
      <c r="B32" s="895" t="str">
        <f>GLOBAL_DER_FEV_2023!B32</f>
        <v>801100A</v>
      </c>
      <c r="C32" s="896" t="str">
        <f>GLOBAL_DER_FEV_2023!C32</f>
        <v>DER</v>
      </c>
      <c r="D32" s="906" t="str">
        <f>GLOBAL_DER_FEV_2023!D32</f>
        <v>Limpeza e pintura de abrigo de ônibus</v>
      </c>
      <c r="E32" s="898">
        <f>GLOBAL_DER_FEV_2023!E32</f>
        <v>0</v>
      </c>
      <c r="F32" s="899">
        <f>GLOBAL_DER_FEV_2023!F32</f>
        <v>0</v>
      </c>
      <c r="G32" s="900">
        <f>GLOBAL_DER_FEV_2023!G32</f>
        <v>0</v>
      </c>
      <c r="H32" s="901">
        <f>GLOBAL_DER_FEV_2023!H32</f>
        <v>19.149999999999999</v>
      </c>
      <c r="I32" s="901">
        <f>GLOBAL_DER_FEV_2023!I32</f>
        <v>19.149999999999999</v>
      </c>
      <c r="J32" s="902">
        <f>GLOBAL_DER_FEV_2023!J32</f>
        <v>22.99</v>
      </c>
      <c r="K32" s="903" t="s">
        <v>12</v>
      </c>
      <c r="L32" s="1139"/>
      <c r="M32" s="1140">
        <f t="shared" si="3"/>
        <v>0</v>
      </c>
      <c r="N32" s="584">
        <f t="shared" si="5"/>
        <v>0</v>
      </c>
      <c r="O32" s="905"/>
      <c r="Q32" s="317" t="str">
        <f t="shared" si="0"/>
        <v/>
      </c>
      <c r="R32" s="317" t="str">
        <f t="shared" si="1"/>
        <v/>
      </c>
      <c r="S32" s="317" t="str">
        <f t="shared" si="2"/>
        <v/>
      </c>
      <c r="T32" s="317" t="str">
        <f>GLOBAL_DER_FEV_2023!S32</f>
        <v/>
      </c>
      <c r="W32" s="582">
        <v>0</v>
      </c>
      <c r="X32" s="580"/>
      <c r="Y32" s="583">
        <f>IF(GLOBAL_DER_FEV_2023!W32=0,0,IF(GLOBAL_DER_FEV_2023!W32&gt;0,"c","b"))</f>
        <v>0</v>
      </c>
    </row>
    <row r="33" spans="1:25" ht="13.5" hidden="1" thickBot="1" x14ac:dyDescent="0.25">
      <c r="A33" s="317">
        <v>600510</v>
      </c>
      <c r="B33" s="895" t="str">
        <f>GLOBAL_DER_FEV_2023!B33</f>
        <v>600510A</v>
      </c>
      <c r="C33" s="896" t="str">
        <f>GLOBAL_DER_FEV_2023!C33</f>
        <v>DER</v>
      </c>
      <c r="D33" s="906" t="str">
        <f>GLOBAL_DER_FEV_2023!D33</f>
        <v>Limpeza e pintura de meio fio</v>
      </c>
      <c r="E33" s="898">
        <f>GLOBAL_DER_FEV_2023!E33</f>
        <v>0</v>
      </c>
      <c r="F33" s="899">
        <f>GLOBAL_DER_FEV_2023!F33</f>
        <v>0</v>
      </c>
      <c r="G33" s="900">
        <f>GLOBAL_DER_FEV_2023!G33</f>
        <v>0</v>
      </c>
      <c r="H33" s="901">
        <f>GLOBAL_DER_FEV_2023!H33</f>
        <v>2.52</v>
      </c>
      <c r="I33" s="901">
        <f>GLOBAL_DER_FEV_2023!I33</f>
        <v>2.52</v>
      </c>
      <c r="J33" s="902">
        <f>GLOBAL_DER_FEV_2023!J33</f>
        <v>3.03</v>
      </c>
      <c r="K33" s="903" t="s">
        <v>13</v>
      </c>
      <c r="L33" s="1139"/>
      <c r="M33" s="1140">
        <f t="shared" si="3"/>
        <v>0</v>
      </c>
      <c r="N33" s="584">
        <f t="shared" si="5"/>
        <v>0</v>
      </c>
      <c r="O33" s="905"/>
      <c r="Q33" s="317" t="str">
        <f t="shared" si="0"/>
        <v/>
      </c>
      <c r="R33" s="317" t="str">
        <f t="shared" si="1"/>
        <v/>
      </c>
      <c r="S33" s="317" t="str">
        <f t="shared" si="2"/>
        <v/>
      </c>
      <c r="T33" s="317" t="str">
        <f>GLOBAL_DER_FEV_2023!S33</f>
        <v/>
      </c>
      <c r="W33" s="582">
        <v>0</v>
      </c>
      <c r="X33" s="580"/>
      <c r="Y33" s="583">
        <f>IF(GLOBAL_DER_FEV_2023!W33=0,0,IF(GLOBAL_DER_FEV_2023!W33&gt;0,"c","b"))</f>
        <v>0</v>
      </c>
    </row>
    <row r="34" spans="1:25" ht="23.25" hidden="1" thickBot="1" x14ac:dyDescent="0.25">
      <c r="A34" s="317" t="s">
        <v>1523</v>
      </c>
      <c r="B34" s="895" t="str">
        <f>GLOBAL_DER_FEV_2023!B34</f>
        <v>COMPOSIÇÃO 00051</v>
      </c>
      <c r="C34" s="896" t="str">
        <f>GLOBAL_DER_FEV_2023!C34</f>
        <v>ORSE - jan/23</v>
      </c>
      <c r="D34" s="906" t="str">
        <f>GLOBAL_DER_FEV_2023!D34</f>
        <v>PLACA DE OBRA 4,00 X 2,00 M, EM CHAPA DE ACO GALVANIZADO, INCLUSIVE ARMAÇÃO EM MADEIRA E PONTALETES</v>
      </c>
      <c r="E34" s="907">
        <f>GLOBAL_DER_FEV_2023!E34</f>
        <v>0</v>
      </c>
      <c r="F34" s="908">
        <f>GLOBAL_DER_FEV_2023!F34</f>
        <v>0</v>
      </c>
      <c r="G34" s="912">
        <f>GLOBAL_DER_FEV_2023!G34</f>
        <v>0</v>
      </c>
      <c r="H34" s="901">
        <f>GLOBAL_DER_FEV_2023!H34</f>
        <v>2990.88</v>
      </c>
      <c r="I34" s="901">
        <f>GLOBAL_DER_FEV_2023!I34</f>
        <v>2990.88</v>
      </c>
      <c r="J34" s="902">
        <f>GLOBAL_DER_FEV_2023!J34</f>
        <v>3591.15</v>
      </c>
      <c r="K34" s="903" t="s">
        <v>15</v>
      </c>
      <c r="L34" s="1139"/>
      <c r="M34" s="1140">
        <f t="shared" si="3"/>
        <v>0</v>
      </c>
      <c r="N34" s="584">
        <f t="shared" si="5"/>
        <v>0</v>
      </c>
      <c r="O34" s="905"/>
      <c r="P34" s="58"/>
      <c r="Q34" s="317" t="str">
        <f t="shared" si="0"/>
        <v/>
      </c>
      <c r="R34" s="317" t="str">
        <f t="shared" si="1"/>
        <v/>
      </c>
      <c r="S34" s="317" t="str">
        <f t="shared" si="2"/>
        <v/>
      </c>
      <c r="T34" s="317" t="str">
        <f>GLOBAL_DER_FEV_2023!S34</f>
        <v/>
      </c>
      <c r="W34" s="582">
        <v>0</v>
      </c>
      <c r="X34" s="580"/>
      <c r="Y34" s="583">
        <f>IF(GLOBAL_DER_FEV_2023!W34=0,0,IF(GLOBAL_DER_FEV_2023!W34&gt;0,"c","b"))</f>
        <v>0</v>
      </c>
    </row>
    <row r="35" spans="1:25" ht="23.25" hidden="1" thickBot="1" x14ac:dyDescent="0.25">
      <c r="A35" s="317" t="s">
        <v>1525</v>
      </c>
      <c r="B35" s="895" t="str">
        <f>GLOBAL_DER_FEV_2023!B35</f>
        <v>COMPOSIÇÃO 11398</v>
      </c>
      <c r="C35" s="896" t="str">
        <f>GLOBAL_DER_FEV_2023!C35</f>
        <v>ORSE - jan/23</v>
      </c>
      <c r="D35" s="906" t="str">
        <f>GLOBAL_DER_FEV_2023!D35</f>
        <v>PLACA DE OBRA TIPO BANNER, 4,00x2,00 M, EM QUADRO DE METALON 20x20 MM E LONA 360 GRS, COM IMPRESSÃO DIGITAL, FIXADA EM ESTRUTURA DE MADEIRA.</v>
      </c>
      <c r="E35" s="907">
        <f>GLOBAL_DER_FEV_2023!E35</f>
        <v>0</v>
      </c>
      <c r="F35" s="908">
        <f>GLOBAL_DER_FEV_2023!F35</f>
        <v>0</v>
      </c>
      <c r="G35" s="912">
        <f>GLOBAL_DER_FEV_2023!G35</f>
        <v>0</v>
      </c>
      <c r="H35" s="901">
        <f>GLOBAL_DER_FEV_2023!H35</f>
        <v>2542.7199999999998</v>
      </c>
      <c r="I35" s="901">
        <f>GLOBAL_DER_FEV_2023!I35</f>
        <v>2542.7199999999998</v>
      </c>
      <c r="J35" s="902">
        <f>GLOBAL_DER_FEV_2023!J35</f>
        <v>3053.04</v>
      </c>
      <c r="K35" s="903" t="s">
        <v>15</v>
      </c>
      <c r="L35" s="1139"/>
      <c r="M35" s="1140">
        <f t="shared" si="3"/>
        <v>0</v>
      </c>
      <c r="N35" s="584">
        <f t="shared" si="5"/>
        <v>0</v>
      </c>
      <c r="O35" s="905"/>
      <c r="P35" s="58"/>
      <c r="Q35" s="317" t="str">
        <f t="shared" si="0"/>
        <v/>
      </c>
      <c r="R35" s="317" t="str">
        <f t="shared" si="1"/>
        <v/>
      </c>
      <c r="S35" s="317" t="str">
        <f t="shared" si="2"/>
        <v/>
      </c>
      <c r="T35" s="317" t="str">
        <f>GLOBAL_DER_FEV_2023!S35</f>
        <v/>
      </c>
      <c r="W35" s="582">
        <v>0</v>
      </c>
      <c r="X35" s="580"/>
      <c r="Y35" s="583">
        <f>IF(GLOBAL_DER_FEV_2023!W35=0,0,IF(GLOBAL_DER_FEV_2023!W35&gt;0,"c","b"))</f>
        <v>0</v>
      </c>
    </row>
    <row r="36" spans="1:25" ht="30.75" hidden="1" customHeight="1" x14ac:dyDescent="0.2">
      <c r="A36" s="317" t="s">
        <v>1526</v>
      </c>
      <c r="B36" s="895" t="str">
        <f>GLOBAL_DER_FEV_2023!B36</f>
        <v>COMPOSIÇÃO 02555</v>
      </c>
      <c r="C36" s="896" t="str">
        <f>GLOBAL_DER_FEV_2023!C36</f>
        <v>ORSE - jan/23</v>
      </c>
      <c r="D36" s="906" t="str">
        <f>GLOBAL_DER_FEV_2023!D36</f>
        <v>PLACA 20x35cm EM CHAPA ESMALTADA PARA IDENTIFICAÇÃO DE LOGRADOUROS</v>
      </c>
      <c r="E36" s="907">
        <f>GLOBAL_DER_FEV_2023!E36</f>
        <v>0</v>
      </c>
      <c r="F36" s="908">
        <f>GLOBAL_DER_FEV_2023!F36</f>
        <v>0</v>
      </c>
      <c r="G36" s="912">
        <f>GLOBAL_DER_FEV_2023!G36</f>
        <v>0</v>
      </c>
      <c r="H36" s="901">
        <f>GLOBAL_DER_FEV_2023!H36</f>
        <v>98.05</v>
      </c>
      <c r="I36" s="901">
        <f>GLOBAL_DER_FEV_2023!I36</f>
        <v>98.05</v>
      </c>
      <c r="J36" s="902">
        <f>GLOBAL_DER_FEV_2023!J36</f>
        <v>117.73</v>
      </c>
      <c r="K36" s="903" t="s">
        <v>15</v>
      </c>
      <c r="L36" s="1139"/>
      <c r="M36" s="1140">
        <f t="shared" si="3"/>
        <v>0</v>
      </c>
      <c r="N36" s="584">
        <f t="shared" si="5"/>
        <v>0</v>
      </c>
      <c r="O36" s="905"/>
      <c r="P36" s="58"/>
      <c r="Q36" s="317" t="str">
        <f t="shared" si="0"/>
        <v/>
      </c>
      <c r="R36" s="317" t="str">
        <f t="shared" si="1"/>
        <v/>
      </c>
      <c r="S36" s="317" t="str">
        <f t="shared" si="2"/>
        <v/>
      </c>
      <c r="T36" s="317" t="str">
        <f>GLOBAL_DER_FEV_2023!S36</f>
        <v/>
      </c>
      <c r="W36" s="582">
        <v>0</v>
      </c>
      <c r="X36" s="580"/>
      <c r="Y36" s="583">
        <f>IF(GLOBAL_DER_FEV_2023!W36=0,0,IF(GLOBAL_DER_FEV_2023!W36&gt;0,"c","b"))</f>
        <v>0</v>
      </c>
    </row>
    <row r="37" spans="1:25" ht="15" hidden="1" customHeight="1" x14ac:dyDescent="0.2">
      <c r="A37" s="317">
        <v>841000</v>
      </c>
      <c r="B37" s="895" t="str">
        <f>GLOBAL_DER_FEV_2023!B37</f>
        <v>841000A</v>
      </c>
      <c r="C37" s="896" t="str">
        <f>GLOBAL_DER_FEV_2023!C37</f>
        <v>DER</v>
      </c>
      <c r="D37" s="897" t="str">
        <f>GLOBAL_DER_FEV_2023!D37</f>
        <v>Remoção de cercas</v>
      </c>
      <c r="E37" s="898">
        <f>GLOBAL_DER_FEV_2023!E37</f>
        <v>0</v>
      </c>
      <c r="F37" s="899">
        <f>GLOBAL_DER_FEV_2023!F37</f>
        <v>0</v>
      </c>
      <c r="G37" s="900">
        <f>GLOBAL_DER_FEV_2023!G37</f>
        <v>0</v>
      </c>
      <c r="H37" s="901">
        <f>GLOBAL_DER_FEV_2023!H37</f>
        <v>12.51</v>
      </c>
      <c r="I37" s="901">
        <f>GLOBAL_DER_FEV_2023!I37</f>
        <v>12.51</v>
      </c>
      <c r="J37" s="902">
        <f>GLOBAL_DER_FEV_2023!J37</f>
        <v>15.02</v>
      </c>
      <c r="K37" s="903" t="s">
        <v>13</v>
      </c>
      <c r="L37" s="1139"/>
      <c r="M37" s="1140">
        <f t="shared" si="3"/>
        <v>0</v>
      </c>
      <c r="N37" s="584">
        <f t="shared" si="5"/>
        <v>0</v>
      </c>
      <c r="O37" s="905"/>
      <c r="Q37" s="317" t="str">
        <f t="shared" si="0"/>
        <v/>
      </c>
      <c r="R37" s="317" t="str">
        <f t="shared" si="1"/>
        <v/>
      </c>
      <c r="S37" s="317" t="str">
        <f t="shared" si="2"/>
        <v/>
      </c>
      <c r="T37" s="317" t="str">
        <f>GLOBAL_DER_FEV_2023!S37</f>
        <v/>
      </c>
      <c r="W37" s="582">
        <v>0</v>
      </c>
      <c r="X37" s="580"/>
      <c r="Y37" s="583">
        <f>IF(GLOBAL_DER_FEV_2023!W37=0,0,IF(GLOBAL_DER_FEV_2023!W37&gt;0,"c","b"))</f>
        <v>0</v>
      </c>
    </row>
    <row r="38" spans="1:25" ht="15" hidden="1" customHeight="1" x14ac:dyDescent="0.2">
      <c r="A38" s="317">
        <v>840000</v>
      </c>
      <c r="B38" s="895" t="str">
        <f>GLOBAL_DER_FEV_2023!B38</f>
        <v>840000A</v>
      </c>
      <c r="C38" s="896" t="str">
        <f>GLOBAL_DER_FEV_2023!C38</f>
        <v>DER</v>
      </c>
      <c r="D38" s="897" t="str">
        <f>GLOBAL_DER_FEV_2023!D38</f>
        <v>Remoção e recolocação de cercas de arame</v>
      </c>
      <c r="E38" s="898">
        <f>GLOBAL_DER_FEV_2023!E38</f>
        <v>0</v>
      </c>
      <c r="F38" s="899">
        <f>GLOBAL_DER_FEV_2023!F38</f>
        <v>0</v>
      </c>
      <c r="G38" s="900">
        <f>GLOBAL_DER_FEV_2023!G38</f>
        <v>0</v>
      </c>
      <c r="H38" s="901">
        <f>GLOBAL_DER_FEV_2023!H38</f>
        <v>34.53</v>
      </c>
      <c r="I38" s="901">
        <f>GLOBAL_DER_FEV_2023!I38</f>
        <v>34.53</v>
      </c>
      <c r="J38" s="902">
        <f>GLOBAL_DER_FEV_2023!J38</f>
        <v>41.46</v>
      </c>
      <c r="K38" s="903" t="s">
        <v>13</v>
      </c>
      <c r="L38" s="1139"/>
      <c r="M38" s="1140">
        <f t="shared" si="3"/>
        <v>0</v>
      </c>
      <c r="N38" s="584">
        <f t="shared" si="5"/>
        <v>0</v>
      </c>
      <c r="O38" s="905"/>
      <c r="Q38" s="317" t="str">
        <f t="shared" si="0"/>
        <v/>
      </c>
      <c r="R38" s="317" t="str">
        <f t="shared" si="1"/>
        <v/>
      </c>
      <c r="S38" s="317" t="str">
        <f t="shared" si="2"/>
        <v/>
      </c>
      <c r="T38" s="317" t="str">
        <f>GLOBAL_DER_FEV_2023!S38</f>
        <v/>
      </c>
      <c r="W38" s="582">
        <v>0</v>
      </c>
      <c r="X38" s="580"/>
      <c r="Y38" s="583">
        <f>IF(GLOBAL_DER_FEV_2023!W38=0,0,IF(GLOBAL_DER_FEV_2023!W38&gt;0,"c","b"))</f>
        <v>0</v>
      </c>
    </row>
    <row r="39" spans="1:25" ht="15" hidden="1" customHeight="1" x14ac:dyDescent="0.2">
      <c r="A39" s="317">
        <v>100981</v>
      </c>
      <c r="B39" s="895">
        <f>GLOBAL_DER_FEV_2023!B39</f>
        <v>100981</v>
      </c>
      <c r="C39" s="896" t="str">
        <f>GLOBAL_DER_FEV_2023!C39</f>
        <v>SINAPI</v>
      </c>
      <c r="D39" s="897" t="str">
        <f>GLOBAL_DER_FEV_2023!D39</f>
        <v>Remoção manual de entulho</v>
      </c>
      <c r="E39" s="898">
        <f>GLOBAL_DER_FEV_2023!E39</f>
        <v>0</v>
      </c>
      <c r="F39" s="899">
        <f>GLOBAL_DER_FEV_2023!F39</f>
        <v>0</v>
      </c>
      <c r="G39" s="900">
        <f>GLOBAL_DER_FEV_2023!G39</f>
        <v>0</v>
      </c>
      <c r="H39" s="901">
        <f>GLOBAL_DER_FEV_2023!H39</f>
        <v>9.25</v>
      </c>
      <c r="I39" s="901">
        <f>GLOBAL_DER_FEV_2023!I39</f>
        <v>9.25</v>
      </c>
      <c r="J39" s="902">
        <f>GLOBAL_DER_FEV_2023!J39</f>
        <v>11.11</v>
      </c>
      <c r="K39" s="903" t="s">
        <v>10</v>
      </c>
      <c r="L39" s="1139"/>
      <c r="M39" s="1140">
        <f t="shared" si="3"/>
        <v>0</v>
      </c>
      <c r="N39" s="584">
        <f t="shared" si="5"/>
        <v>0</v>
      </c>
      <c r="O39" s="905"/>
      <c r="Q39" s="317" t="str">
        <f t="shared" si="0"/>
        <v/>
      </c>
      <c r="R39" s="317" t="str">
        <f t="shared" si="1"/>
        <v/>
      </c>
      <c r="S39" s="317" t="str">
        <f t="shared" si="2"/>
        <v/>
      </c>
      <c r="T39" s="317" t="str">
        <f>GLOBAL_DER_FEV_2023!S39</f>
        <v/>
      </c>
      <c r="W39" s="582">
        <v>0</v>
      </c>
      <c r="X39" s="580"/>
      <c r="Y39" s="583">
        <f>IF(GLOBAL_DER_FEV_2023!W39=0,0,IF(GLOBAL_DER_FEV_2023!W39&gt;0,"c","b"))</f>
        <v>0</v>
      </c>
    </row>
    <row r="40" spans="1:25" ht="15" hidden="1" customHeight="1" x14ac:dyDescent="0.2">
      <c r="A40" s="317">
        <v>97623</v>
      </c>
      <c r="B40" s="895" t="str">
        <f>GLOBAL_DER_FEV_2023!B40</f>
        <v>97623A</v>
      </c>
      <c r="C40" s="896" t="str">
        <f>GLOBAL_DER_FEV_2023!C40</f>
        <v>SINAPI</v>
      </c>
      <c r="D40" s="897" t="str">
        <f>GLOBAL_DER_FEV_2023!D40</f>
        <v xml:space="preserve">DEMOLIÇÃO DE ALVENARIA DE TIJOLO  COM REAPROVEITAMENTO. </v>
      </c>
      <c r="E40" s="898">
        <f>GLOBAL_DER_FEV_2023!E40</f>
        <v>0</v>
      </c>
      <c r="F40" s="899">
        <f>GLOBAL_DER_FEV_2023!F40</f>
        <v>0</v>
      </c>
      <c r="G40" s="900">
        <f>GLOBAL_DER_FEV_2023!G40</f>
        <v>0</v>
      </c>
      <c r="H40" s="901">
        <f>GLOBAL_DER_FEV_2023!H40</f>
        <v>201.31</v>
      </c>
      <c r="I40" s="901">
        <f>GLOBAL_DER_FEV_2023!I40</f>
        <v>201.31</v>
      </c>
      <c r="J40" s="902">
        <f>GLOBAL_DER_FEV_2023!J40</f>
        <v>241.71</v>
      </c>
      <c r="K40" s="903" t="s">
        <v>10</v>
      </c>
      <c r="L40" s="1139"/>
      <c r="M40" s="1140">
        <f t="shared" si="3"/>
        <v>0</v>
      </c>
      <c r="N40" s="584">
        <f t="shared" si="5"/>
        <v>0</v>
      </c>
      <c r="O40" s="905"/>
      <c r="Q40" s="317" t="str">
        <f t="shared" si="0"/>
        <v/>
      </c>
      <c r="R40" s="317" t="str">
        <f t="shared" si="1"/>
        <v/>
      </c>
      <c r="S40" s="317" t="str">
        <f t="shared" si="2"/>
        <v/>
      </c>
      <c r="T40" s="317" t="str">
        <f>GLOBAL_DER_FEV_2023!S40</f>
        <v/>
      </c>
      <c r="W40" s="582">
        <v>0</v>
      </c>
      <c r="X40" s="580"/>
      <c r="Y40" s="583">
        <f>IF(GLOBAL_DER_FEV_2023!W40=0,0,IF(GLOBAL_DER_FEV_2023!W40&gt;0,"c","b"))</f>
        <v>0</v>
      </c>
    </row>
    <row r="41" spans="1:25" ht="15" hidden="1" customHeight="1" x14ac:dyDescent="0.2">
      <c r="A41" s="317">
        <v>97624</v>
      </c>
      <c r="B41" s="895" t="str">
        <f>GLOBAL_DER_FEV_2023!B41</f>
        <v>97624A</v>
      </c>
      <c r="C41" s="896" t="str">
        <f>GLOBAL_DER_FEV_2023!C41</f>
        <v>SINAPI</v>
      </c>
      <c r="D41" s="897" t="str">
        <f>GLOBAL_DER_FEV_2023!D41</f>
        <v>DEMOLIÇÃO DE ALVENARIA DE TIJOLO SEM APROVEITAMENTO</v>
      </c>
      <c r="E41" s="898">
        <f>GLOBAL_DER_FEV_2023!E41</f>
        <v>0</v>
      </c>
      <c r="F41" s="899">
        <f>GLOBAL_DER_FEV_2023!F41</f>
        <v>0</v>
      </c>
      <c r="G41" s="900">
        <f>GLOBAL_DER_FEV_2023!G41</f>
        <v>0</v>
      </c>
      <c r="H41" s="901">
        <f>GLOBAL_DER_FEV_2023!H41</f>
        <v>123.54</v>
      </c>
      <c r="I41" s="901">
        <f>GLOBAL_DER_FEV_2023!I41</f>
        <v>123.54</v>
      </c>
      <c r="J41" s="902">
        <f>GLOBAL_DER_FEV_2023!J41</f>
        <v>148.33000000000001</v>
      </c>
      <c r="K41" s="903" t="s">
        <v>10</v>
      </c>
      <c r="L41" s="1139"/>
      <c r="M41" s="1140">
        <f t="shared" si="3"/>
        <v>0</v>
      </c>
      <c r="N41" s="584">
        <f t="shared" si="5"/>
        <v>0</v>
      </c>
      <c r="O41" s="905"/>
      <c r="Q41" s="317" t="str">
        <f t="shared" si="0"/>
        <v/>
      </c>
      <c r="R41" s="317" t="str">
        <f t="shared" si="1"/>
        <v/>
      </c>
      <c r="S41" s="317" t="str">
        <f t="shared" si="2"/>
        <v/>
      </c>
      <c r="T41" s="317" t="str">
        <f>GLOBAL_DER_FEV_2023!S41</f>
        <v/>
      </c>
      <c r="W41" s="582">
        <v>0</v>
      </c>
      <c r="X41" s="580"/>
      <c r="Y41" s="583">
        <f>IF(GLOBAL_DER_FEV_2023!W41=0,0,IF(GLOBAL_DER_FEV_2023!W41&gt;0,"c","b"))</f>
        <v>0</v>
      </c>
    </row>
    <row r="42" spans="1:25" ht="15" hidden="1" customHeight="1" x14ac:dyDescent="0.2">
      <c r="A42" s="317">
        <v>606500</v>
      </c>
      <c r="B42" s="895" t="str">
        <f>GLOBAL_DER_FEV_2023!B42</f>
        <v>606500A</v>
      </c>
      <c r="C42" s="896" t="str">
        <f>GLOBAL_DER_FEV_2023!C42</f>
        <v>DER</v>
      </c>
      <c r="D42" s="897" t="str">
        <f>GLOBAL_DER_FEV_2023!D42</f>
        <v>Demolição de Alvenaria</v>
      </c>
      <c r="E42" s="898">
        <f>GLOBAL_DER_FEV_2023!E42</f>
        <v>0</v>
      </c>
      <c r="F42" s="899">
        <f>GLOBAL_DER_FEV_2023!F42</f>
        <v>0</v>
      </c>
      <c r="G42" s="900">
        <f>GLOBAL_DER_FEV_2023!G42</f>
        <v>0</v>
      </c>
      <c r="H42" s="901">
        <f>GLOBAL_DER_FEV_2023!H42</f>
        <v>182.46</v>
      </c>
      <c r="I42" s="901">
        <f>GLOBAL_DER_FEV_2023!I42</f>
        <v>182.46</v>
      </c>
      <c r="J42" s="902">
        <f>GLOBAL_DER_FEV_2023!J42</f>
        <v>219.08</v>
      </c>
      <c r="K42" s="903" t="s">
        <v>10</v>
      </c>
      <c r="L42" s="1139"/>
      <c r="M42" s="1140">
        <f t="shared" si="3"/>
        <v>0</v>
      </c>
      <c r="N42" s="584">
        <f t="shared" si="5"/>
        <v>0</v>
      </c>
      <c r="O42" s="905"/>
      <c r="Q42" s="317" t="str">
        <f t="shared" si="0"/>
        <v/>
      </c>
      <c r="R42" s="317" t="str">
        <f t="shared" si="1"/>
        <v/>
      </c>
      <c r="S42" s="317" t="str">
        <f t="shared" si="2"/>
        <v/>
      </c>
      <c r="T42" s="317" t="str">
        <f>GLOBAL_DER_FEV_2023!S42</f>
        <v/>
      </c>
      <c r="W42" s="582">
        <v>0</v>
      </c>
      <c r="X42" s="580"/>
      <c r="Y42" s="583">
        <f>IF(GLOBAL_DER_FEV_2023!W42=0,0,IF(GLOBAL_DER_FEV_2023!W42&gt;0,"c","b"))</f>
        <v>0</v>
      </c>
    </row>
    <row r="43" spans="1:25" ht="15" hidden="1" customHeight="1" x14ac:dyDescent="0.2">
      <c r="A43" s="640" t="s">
        <v>165</v>
      </c>
      <c r="B43" s="913" t="str">
        <f>GLOBAL_DER_FEV_2023!B43</f>
        <v/>
      </c>
      <c r="C43" s="914">
        <f>GLOBAL_DER_FEV_2023!C43</f>
        <v>0</v>
      </c>
      <c r="D43" s="915" t="str">
        <f>GLOBAL_DER_FEV_2023!D43</f>
        <v>SERVIÇOS EXTRAS - SERVIÇOS PRELIMINARES</v>
      </c>
      <c r="E43" s="916"/>
      <c r="F43" s="1263">
        <f>GLOBAL_DER_FEV_2023!F43</f>
        <v>0</v>
      </c>
      <c r="G43" s="918">
        <f>GLOBAL_DER_FEV_2023!G43</f>
        <v>0</v>
      </c>
      <c r="H43" s="919">
        <f>GLOBAL_DER_FEV_2023!H43</f>
        <v>0</v>
      </c>
      <c r="I43" s="919">
        <f>GLOBAL_DER_FEV_2023!I43</f>
        <v>0</v>
      </c>
      <c r="J43" s="919">
        <f>GLOBAL_DER_FEV_2023!J43</f>
        <v>0</v>
      </c>
      <c r="K43" s="920" t="s">
        <v>507</v>
      </c>
      <c r="L43" s="921"/>
      <c r="M43" s="922"/>
      <c r="N43" s="584">
        <f t="shared" si="5"/>
        <v>0</v>
      </c>
      <c r="O43" s="905"/>
      <c r="P43" s="58" t="str">
        <f>IF(OR(SUM(N44:N68)&gt;0,SUM(N44:N68)&gt;0),"y","")</f>
        <v/>
      </c>
      <c r="Q43" s="317" t="str">
        <f t="shared" si="0"/>
        <v/>
      </c>
      <c r="R43" s="317" t="str">
        <f t="shared" si="1"/>
        <v/>
      </c>
      <c r="S43" s="317" t="str">
        <f t="shared" si="2"/>
        <v/>
      </c>
      <c r="T43" s="317" t="str">
        <f>GLOBAL_DER_FEV_2023!S43</f>
        <v/>
      </c>
      <c r="W43" s="582">
        <v>0</v>
      </c>
      <c r="X43" s="580"/>
      <c r="Y43" s="583">
        <f>IF(GLOBAL_DER_FEV_2023!W43=0,0,IF(GLOBAL_DER_FEV_2023!W43&gt;0,"c","b"))</f>
        <v>0</v>
      </c>
    </row>
    <row r="44" spans="1:25" ht="15" hidden="1" customHeight="1" x14ac:dyDescent="0.2">
      <c r="A44" s="640" t="s">
        <v>165</v>
      </c>
      <c r="B44" s="1036">
        <f>GLOBAL_DER_FEV_2023!B44</f>
        <v>0</v>
      </c>
      <c r="C44" s="1072">
        <f>GLOBAL_DER_FEV_2023!C44</f>
        <v>0</v>
      </c>
      <c r="D44" s="1141">
        <f>GLOBAL_DER_FEV_2023!D44</f>
        <v>0</v>
      </c>
      <c r="E44" s="907">
        <f>GLOBAL_DER_FEV_2023!E44</f>
        <v>0</v>
      </c>
      <c r="F44" s="908">
        <f>GLOBAL_DER_FEV_2023!F44</f>
        <v>0</v>
      </c>
      <c r="G44" s="912">
        <f>GLOBAL_DER_FEV_2023!G44</f>
        <v>0</v>
      </c>
      <c r="H44" s="901">
        <f>GLOBAL_DER_FEV_2023!H44</f>
        <v>0</v>
      </c>
      <c r="I44" s="901">
        <f>GLOBAL_DER_FEV_2023!I44</f>
        <v>0</v>
      </c>
      <c r="J44" s="902">
        <f>GLOBAL_DER_FEV_2023!J44</f>
        <v>0</v>
      </c>
      <c r="K44" s="903">
        <f>GLOBAL_DER_FEV_2023!K44</f>
        <v>0</v>
      </c>
      <c r="L44" s="1137"/>
      <c r="M44" s="1140">
        <f t="shared" si="3"/>
        <v>0</v>
      </c>
      <c r="N44" s="584">
        <f t="shared" si="5"/>
        <v>0</v>
      </c>
      <c r="O44" s="905"/>
      <c r="Q44" s="317" t="str">
        <f t="shared" si="0"/>
        <v/>
      </c>
      <c r="R44" s="317" t="str">
        <f t="shared" si="1"/>
        <v/>
      </c>
      <c r="S44" s="317" t="str">
        <f t="shared" si="2"/>
        <v/>
      </c>
      <c r="T44" s="317" t="str">
        <f>GLOBAL_DER_FEV_2023!S44</f>
        <v/>
      </c>
      <c r="W44" s="582">
        <v>0</v>
      </c>
      <c r="X44" s="580"/>
      <c r="Y44" s="583">
        <f>IF(GLOBAL_DER_FEV_2023!W44=0,0,IF(GLOBAL_DER_FEV_2023!W44&gt;0,"c","b"))</f>
        <v>0</v>
      </c>
    </row>
    <row r="45" spans="1:25" ht="15" hidden="1" customHeight="1" x14ac:dyDescent="0.2">
      <c r="A45" s="640" t="s">
        <v>165</v>
      </c>
      <c r="B45" s="1036" t="str">
        <f>GLOBAL_DER_FEV_2023!B45</f>
        <v/>
      </c>
      <c r="C45" s="1072" t="str">
        <f>GLOBAL_DER_FEV_2023!C45</f>
        <v/>
      </c>
      <c r="D45" s="1141">
        <f>GLOBAL_DER_FEV_2023!D45</f>
        <v>0</v>
      </c>
      <c r="E45" s="907">
        <f>GLOBAL_DER_FEV_2023!E45</f>
        <v>0</v>
      </c>
      <c r="F45" s="908">
        <f>GLOBAL_DER_FEV_2023!F45</f>
        <v>0</v>
      </c>
      <c r="G45" s="912">
        <f>GLOBAL_DER_FEV_2023!G45</f>
        <v>0</v>
      </c>
      <c r="H45" s="901">
        <f>GLOBAL_DER_FEV_2023!H45</f>
        <v>0</v>
      </c>
      <c r="I45" s="901">
        <f>GLOBAL_DER_FEV_2023!I45</f>
        <v>0</v>
      </c>
      <c r="J45" s="890">
        <f>GLOBAL_DER_FEV_2023!J45</f>
        <v>0</v>
      </c>
      <c r="K45" s="903" t="str">
        <f>GLOBAL_DER_FEV_2023!K45</f>
        <v xml:space="preserve">     </v>
      </c>
      <c r="L45" s="1137"/>
      <c r="M45" s="1140">
        <f t="shared" si="3"/>
        <v>0</v>
      </c>
      <c r="N45" s="584">
        <f t="shared" si="5"/>
        <v>0</v>
      </c>
      <c r="O45" s="905"/>
      <c r="Q45" s="317" t="str">
        <f t="shared" si="0"/>
        <v/>
      </c>
      <c r="R45" s="317" t="str">
        <f t="shared" si="1"/>
        <v/>
      </c>
      <c r="S45" s="317" t="str">
        <f t="shared" si="2"/>
        <v/>
      </c>
      <c r="T45" s="317" t="str">
        <f>GLOBAL_DER_FEV_2023!S45</f>
        <v/>
      </c>
      <c r="W45" s="582">
        <v>0</v>
      </c>
      <c r="X45" s="580"/>
      <c r="Y45" s="583">
        <f>IF(GLOBAL_DER_FEV_2023!W45=0,0,IF(GLOBAL_DER_FEV_2023!W45&gt;0,"c","b"))</f>
        <v>0</v>
      </c>
    </row>
    <row r="46" spans="1:25" ht="15" hidden="1" customHeight="1" x14ac:dyDescent="0.2">
      <c r="A46" s="640" t="s">
        <v>165</v>
      </c>
      <c r="B46" s="1036" t="str">
        <f>GLOBAL_DER_FEV_2023!B46</f>
        <v/>
      </c>
      <c r="C46" s="1072" t="str">
        <f>GLOBAL_DER_FEV_2023!C46</f>
        <v/>
      </c>
      <c r="D46" s="1141">
        <f>GLOBAL_DER_FEV_2023!D46</f>
        <v>0</v>
      </c>
      <c r="E46" s="907">
        <f>GLOBAL_DER_FEV_2023!E46</f>
        <v>0</v>
      </c>
      <c r="F46" s="908">
        <f>GLOBAL_DER_FEV_2023!F46</f>
        <v>0</v>
      </c>
      <c r="G46" s="912">
        <f>GLOBAL_DER_FEV_2023!G46</f>
        <v>0</v>
      </c>
      <c r="H46" s="901">
        <f>GLOBAL_DER_FEV_2023!H46</f>
        <v>0</v>
      </c>
      <c r="I46" s="901">
        <f>GLOBAL_DER_FEV_2023!I46</f>
        <v>0</v>
      </c>
      <c r="J46" s="890">
        <f>GLOBAL_DER_FEV_2023!J46</f>
        <v>0</v>
      </c>
      <c r="K46" s="903" t="str">
        <f>GLOBAL_DER_FEV_2023!K46</f>
        <v xml:space="preserve">     </v>
      </c>
      <c r="L46" s="1137"/>
      <c r="M46" s="1140">
        <f t="shared" si="3"/>
        <v>0</v>
      </c>
      <c r="N46" s="584">
        <f t="shared" si="5"/>
        <v>0</v>
      </c>
      <c r="O46" s="905"/>
      <c r="Q46" s="317" t="str">
        <f t="shared" si="0"/>
        <v/>
      </c>
      <c r="R46" s="317" t="str">
        <f t="shared" si="1"/>
        <v/>
      </c>
      <c r="S46" s="317" t="str">
        <f t="shared" si="2"/>
        <v/>
      </c>
      <c r="T46" s="317" t="str">
        <f>GLOBAL_DER_FEV_2023!S46</f>
        <v/>
      </c>
      <c r="W46" s="582">
        <v>0</v>
      </c>
      <c r="X46" s="580"/>
      <c r="Y46" s="583">
        <f>IF(GLOBAL_DER_FEV_2023!W46=0,0,IF(GLOBAL_DER_FEV_2023!W46&gt;0,"c","b"))</f>
        <v>0</v>
      </c>
    </row>
    <row r="47" spans="1:25" ht="15" hidden="1" customHeight="1" x14ac:dyDescent="0.2">
      <c r="A47" s="640" t="s">
        <v>165</v>
      </c>
      <c r="B47" s="1036" t="str">
        <f>GLOBAL_DER_FEV_2023!B47</f>
        <v/>
      </c>
      <c r="C47" s="1072" t="str">
        <f>GLOBAL_DER_FEV_2023!C47</f>
        <v/>
      </c>
      <c r="D47" s="1141">
        <f>GLOBAL_DER_FEV_2023!D47</f>
        <v>0</v>
      </c>
      <c r="E47" s="907">
        <f>GLOBAL_DER_FEV_2023!E47</f>
        <v>0</v>
      </c>
      <c r="F47" s="908">
        <f>GLOBAL_DER_FEV_2023!F47</f>
        <v>0</v>
      </c>
      <c r="G47" s="912">
        <f>GLOBAL_DER_FEV_2023!G47</f>
        <v>0</v>
      </c>
      <c r="H47" s="901">
        <f>GLOBAL_DER_FEV_2023!H47</f>
        <v>0</v>
      </c>
      <c r="I47" s="901">
        <f>GLOBAL_DER_FEV_2023!I47</f>
        <v>0</v>
      </c>
      <c r="J47" s="890">
        <f>GLOBAL_DER_FEV_2023!J47</f>
        <v>0</v>
      </c>
      <c r="K47" s="903" t="str">
        <f>GLOBAL_DER_FEV_2023!K47</f>
        <v xml:space="preserve">     </v>
      </c>
      <c r="L47" s="1137"/>
      <c r="M47" s="1140">
        <f t="shared" si="3"/>
        <v>0</v>
      </c>
      <c r="N47" s="584">
        <f t="shared" si="5"/>
        <v>0</v>
      </c>
      <c r="O47" s="905"/>
      <c r="Q47" s="317" t="str">
        <f t="shared" si="0"/>
        <v/>
      </c>
      <c r="R47" s="317" t="str">
        <f t="shared" si="1"/>
        <v/>
      </c>
      <c r="S47" s="317" t="str">
        <f t="shared" si="2"/>
        <v/>
      </c>
      <c r="T47" s="317" t="str">
        <f>GLOBAL_DER_FEV_2023!S47</f>
        <v/>
      </c>
      <c r="W47" s="582">
        <v>0</v>
      </c>
      <c r="X47" s="580"/>
      <c r="Y47" s="583">
        <f>IF(GLOBAL_DER_FEV_2023!W47=0,0,IF(GLOBAL_DER_FEV_2023!W47&gt;0,"c","b"))</f>
        <v>0</v>
      </c>
    </row>
    <row r="48" spans="1:25" ht="15" hidden="1" customHeight="1" x14ac:dyDescent="0.2">
      <c r="A48" s="640" t="s">
        <v>165</v>
      </c>
      <c r="B48" s="1036" t="str">
        <f>GLOBAL_DER_FEV_2023!B48</f>
        <v/>
      </c>
      <c r="C48" s="1072" t="str">
        <f>GLOBAL_DER_FEV_2023!C48</f>
        <v/>
      </c>
      <c r="D48" s="1141">
        <f>GLOBAL_DER_FEV_2023!D48</f>
        <v>0</v>
      </c>
      <c r="E48" s="907">
        <f>GLOBAL_DER_FEV_2023!E48</f>
        <v>0</v>
      </c>
      <c r="F48" s="908">
        <f>GLOBAL_DER_FEV_2023!F48</f>
        <v>0</v>
      </c>
      <c r="G48" s="912">
        <f>GLOBAL_DER_FEV_2023!G48</f>
        <v>0</v>
      </c>
      <c r="H48" s="901">
        <f>GLOBAL_DER_FEV_2023!H48</f>
        <v>0</v>
      </c>
      <c r="I48" s="901">
        <f>GLOBAL_DER_FEV_2023!I48</f>
        <v>0</v>
      </c>
      <c r="J48" s="890">
        <f>GLOBAL_DER_FEV_2023!J48</f>
        <v>0</v>
      </c>
      <c r="K48" s="903" t="str">
        <f>GLOBAL_DER_FEV_2023!K48</f>
        <v xml:space="preserve">     </v>
      </c>
      <c r="L48" s="1137"/>
      <c r="M48" s="1140">
        <f t="shared" si="3"/>
        <v>0</v>
      </c>
      <c r="N48" s="584">
        <f t="shared" si="5"/>
        <v>0</v>
      </c>
      <c r="O48" s="905"/>
      <c r="Q48" s="317" t="str">
        <f t="shared" si="0"/>
        <v/>
      </c>
      <c r="R48" s="317" t="str">
        <f t="shared" si="1"/>
        <v/>
      </c>
      <c r="S48" s="317" t="str">
        <f t="shared" si="2"/>
        <v/>
      </c>
      <c r="T48" s="317" t="str">
        <f>GLOBAL_DER_FEV_2023!S48</f>
        <v/>
      </c>
      <c r="W48" s="582">
        <v>0</v>
      </c>
      <c r="X48" s="580"/>
      <c r="Y48" s="583">
        <f>IF(GLOBAL_DER_FEV_2023!W48=0,0,IF(GLOBAL_DER_FEV_2023!W48&gt;0,"c","b"))</f>
        <v>0</v>
      </c>
    </row>
    <row r="49" spans="1:25" ht="15" hidden="1" customHeight="1" x14ac:dyDescent="0.2">
      <c r="A49" s="640" t="s">
        <v>165</v>
      </c>
      <c r="B49" s="1036" t="str">
        <f>GLOBAL_DER_FEV_2023!B49</f>
        <v/>
      </c>
      <c r="C49" s="1072" t="str">
        <f>GLOBAL_DER_FEV_2023!C49</f>
        <v/>
      </c>
      <c r="D49" s="1141">
        <f>GLOBAL_DER_FEV_2023!D49</f>
        <v>0</v>
      </c>
      <c r="E49" s="907">
        <f>GLOBAL_DER_FEV_2023!E49</f>
        <v>0</v>
      </c>
      <c r="F49" s="908">
        <f>GLOBAL_DER_FEV_2023!F49</f>
        <v>0</v>
      </c>
      <c r="G49" s="912">
        <f>GLOBAL_DER_FEV_2023!G49</f>
        <v>0</v>
      </c>
      <c r="H49" s="901">
        <f>GLOBAL_DER_FEV_2023!H49</f>
        <v>0</v>
      </c>
      <c r="I49" s="901">
        <f>GLOBAL_DER_FEV_2023!I49</f>
        <v>0</v>
      </c>
      <c r="J49" s="890">
        <f>GLOBAL_DER_FEV_2023!J49</f>
        <v>0</v>
      </c>
      <c r="K49" s="903" t="str">
        <f>GLOBAL_DER_FEV_2023!K49</f>
        <v xml:space="preserve">     </v>
      </c>
      <c r="L49" s="1137"/>
      <c r="M49" s="1140">
        <f t="shared" si="3"/>
        <v>0</v>
      </c>
      <c r="N49" s="584">
        <f t="shared" si="5"/>
        <v>0</v>
      </c>
      <c r="O49" s="905"/>
      <c r="Q49" s="317" t="str">
        <f t="shared" si="0"/>
        <v/>
      </c>
      <c r="R49" s="317" t="str">
        <f t="shared" si="1"/>
        <v/>
      </c>
      <c r="S49" s="317" t="str">
        <f t="shared" si="2"/>
        <v/>
      </c>
      <c r="T49" s="317" t="str">
        <f>GLOBAL_DER_FEV_2023!S49</f>
        <v/>
      </c>
      <c r="W49" s="582">
        <v>0</v>
      </c>
      <c r="X49" s="580"/>
      <c r="Y49" s="583">
        <f>IF(GLOBAL_DER_FEV_2023!W49=0,0,IF(GLOBAL_DER_FEV_2023!W49&gt;0,"c","b"))</f>
        <v>0</v>
      </c>
    </row>
    <row r="50" spans="1:25" ht="15" hidden="1" customHeight="1" x14ac:dyDescent="0.2">
      <c r="A50" s="640" t="s">
        <v>165</v>
      </c>
      <c r="B50" s="1036" t="str">
        <f>GLOBAL_DER_FEV_2023!B50</f>
        <v/>
      </c>
      <c r="C50" s="1072" t="str">
        <f>GLOBAL_DER_FEV_2023!C50</f>
        <v/>
      </c>
      <c r="D50" s="1141">
        <f>GLOBAL_DER_FEV_2023!D50</f>
        <v>0</v>
      </c>
      <c r="E50" s="907">
        <f>GLOBAL_DER_FEV_2023!E50</f>
        <v>0</v>
      </c>
      <c r="F50" s="908">
        <f>GLOBAL_DER_FEV_2023!F50</f>
        <v>0</v>
      </c>
      <c r="G50" s="912">
        <f>GLOBAL_DER_FEV_2023!G50</f>
        <v>0</v>
      </c>
      <c r="H50" s="901">
        <f>GLOBAL_DER_FEV_2023!H50</f>
        <v>0</v>
      </c>
      <c r="I50" s="901">
        <f>GLOBAL_DER_FEV_2023!I50</f>
        <v>0</v>
      </c>
      <c r="J50" s="890">
        <f>GLOBAL_DER_FEV_2023!J50</f>
        <v>0</v>
      </c>
      <c r="K50" s="903" t="str">
        <f>GLOBAL_DER_FEV_2023!K50</f>
        <v xml:space="preserve">     </v>
      </c>
      <c r="L50" s="1137"/>
      <c r="M50" s="1140">
        <f t="shared" si="3"/>
        <v>0</v>
      </c>
      <c r="N50" s="584">
        <f t="shared" si="5"/>
        <v>0</v>
      </c>
      <c r="O50" s="905"/>
      <c r="Q50" s="317" t="str">
        <f t="shared" si="0"/>
        <v/>
      </c>
      <c r="R50" s="317" t="str">
        <f t="shared" si="1"/>
        <v/>
      </c>
      <c r="S50" s="317" t="str">
        <f t="shared" si="2"/>
        <v/>
      </c>
      <c r="T50" s="317" t="str">
        <f>GLOBAL_DER_FEV_2023!S50</f>
        <v/>
      </c>
      <c r="W50" s="582">
        <v>0</v>
      </c>
      <c r="X50" s="580"/>
      <c r="Y50" s="583">
        <f>IF(GLOBAL_DER_FEV_2023!W50=0,0,IF(GLOBAL_DER_FEV_2023!W50&gt;0,"c","b"))</f>
        <v>0</v>
      </c>
    </row>
    <row r="51" spans="1:25" ht="15" hidden="1" customHeight="1" x14ac:dyDescent="0.2">
      <c r="A51" s="640" t="s">
        <v>165</v>
      </c>
      <c r="B51" s="1036" t="str">
        <f>GLOBAL_DER_FEV_2023!B51</f>
        <v/>
      </c>
      <c r="C51" s="1072" t="str">
        <f>GLOBAL_DER_FEV_2023!C51</f>
        <v/>
      </c>
      <c r="D51" s="1141">
        <f>GLOBAL_DER_FEV_2023!D51</f>
        <v>0</v>
      </c>
      <c r="E51" s="907">
        <f>GLOBAL_DER_FEV_2023!E51</f>
        <v>0</v>
      </c>
      <c r="F51" s="908">
        <f>GLOBAL_DER_FEV_2023!F51</f>
        <v>0</v>
      </c>
      <c r="G51" s="912">
        <f>GLOBAL_DER_FEV_2023!G51</f>
        <v>0</v>
      </c>
      <c r="H51" s="901">
        <f>GLOBAL_DER_FEV_2023!H51</f>
        <v>0</v>
      </c>
      <c r="I51" s="901">
        <f>GLOBAL_DER_FEV_2023!I51</f>
        <v>0</v>
      </c>
      <c r="J51" s="890">
        <f>GLOBAL_DER_FEV_2023!J51</f>
        <v>0</v>
      </c>
      <c r="K51" s="903" t="str">
        <f>GLOBAL_DER_FEV_2023!K51</f>
        <v xml:space="preserve">     </v>
      </c>
      <c r="L51" s="1137"/>
      <c r="M51" s="1140">
        <f t="shared" si="3"/>
        <v>0</v>
      </c>
      <c r="N51" s="584">
        <f t="shared" si="5"/>
        <v>0</v>
      </c>
      <c r="O51" s="905"/>
      <c r="Q51" s="317" t="str">
        <f t="shared" si="0"/>
        <v/>
      </c>
      <c r="R51" s="317" t="str">
        <f t="shared" si="1"/>
        <v/>
      </c>
      <c r="S51" s="317" t="str">
        <f t="shared" si="2"/>
        <v/>
      </c>
      <c r="T51" s="317" t="str">
        <f>GLOBAL_DER_FEV_2023!S51</f>
        <v/>
      </c>
      <c r="W51" s="582">
        <v>0</v>
      </c>
      <c r="X51" s="580"/>
      <c r="Y51" s="583">
        <f>IF(GLOBAL_DER_FEV_2023!W51=0,0,IF(GLOBAL_DER_FEV_2023!W51&gt;0,"c","b"))</f>
        <v>0</v>
      </c>
    </row>
    <row r="52" spans="1:25" ht="15" hidden="1" customHeight="1" x14ac:dyDescent="0.2">
      <c r="A52" s="640" t="s">
        <v>165</v>
      </c>
      <c r="B52" s="1036" t="str">
        <f>GLOBAL_DER_FEV_2023!B52</f>
        <v/>
      </c>
      <c r="C52" s="1072" t="str">
        <f>GLOBAL_DER_FEV_2023!C52</f>
        <v/>
      </c>
      <c r="D52" s="1141">
        <f>GLOBAL_DER_FEV_2023!D52</f>
        <v>0</v>
      </c>
      <c r="E52" s="907">
        <f>GLOBAL_DER_FEV_2023!E52</f>
        <v>0</v>
      </c>
      <c r="F52" s="908">
        <f>GLOBAL_DER_FEV_2023!F52</f>
        <v>0</v>
      </c>
      <c r="G52" s="912">
        <f>GLOBAL_DER_FEV_2023!G52</f>
        <v>0</v>
      </c>
      <c r="H52" s="901">
        <f>GLOBAL_DER_FEV_2023!H52</f>
        <v>0</v>
      </c>
      <c r="I52" s="901">
        <f>GLOBAL_DER_FEV_2023!I52</f>
        <v>0</v>
      </c>
      <c r="J52" s="890">
        <f>GLOBAL_DER_FEV_2023!J52</f>
        <v>0</v>
      </c>
      <c r="K52" s="903" t="str">
        <f>GLOBAL_DER_FEV_2023!K52</f>
        <v xml:space="preserve">     </v>
      </c>
      <c r="L52" s="1137"/>
      <c r="M52" s="1140">
        <f t="shared" si="3"/>
        <v>0</v>
      </c>
      <c r="N52" s="584">
        <f t="shared" si="5"/>
        <v>0</v>
      </c>
      <c r="O52" s="905"/>
      <c r="Q52" s="317" t="str">
        <f t="shared" si="0"/>
        <v/>
      </c>
      <c r="R52" s="317" t="str">
        <f t="shared" si="1"/>
        <v/>
      </c>
      <c r="S52" s="317" t="str">
        <f t="shared" si="2"/>
        <v/>
      </c>
      <c r="T52" s="317" t="str">
        <f>GLOBAL_DER_FEV_2023!S52</f>
        <v/>
      </c>
      <c r="W52" s="582">
        <v>0</v>
      </c>
      <c r="X52" s="580"/>
      <c r="Y52" s="583">
        <f>IF(GLOBAL_DER_FEV_2023!W52=0,0,IF(GLOBAL_DER_FEV_2023!W52&gt;0,"c","b"))</f>
        <v>0</v>
      </c>
    </row>
    <row r="53" spans="1:25" ht="15" hidden="1" customHeight="1" x14ac:dyDescent="0.2">
      <c r="A53" s="640" t="s">
        <v>165</v>
      </c>
      <c r="B53" s="1036" t="str">
        <f>GLOBAL_DER_FEV_2023!B53</f>
        <v/>
      </c>
      <c r="C53" s="1072" t="str">
        <f>GLOBAL_DER_FEV_2023!C53</f>
        <v/>
      </c>
      <c r="D53" s="1141">
        <f>GLOBAL_DER_FEV_2023!D53</f>
        <v>0</v>
      </c>
      <c r="E53" s="907">
        <f>GLOBAL_DER_FEV_2023!E53</f>
        <v>0</v>
      </c>
      <c r="F53" s="908">
        <f>GLOBAL_DER_FEV_2023!F53</f>
        <v>0</v>
      </c>
      <c r="G53" s="912">
        <f>GLOBAL_DER_FEV_2023!G53</f>
        <v>0</v>
      </c>
      <c r="H53" s="901">
        <f>GLOBAL_DER_FEV_2023!H53</f>
        <v>0</v>
      </c>
      <c r="I53" s="901">
        <f>GLOBAL_DER_FEV_2023!I53</f>
        <v>0</v>
      </c>
      <c r="J53" s="890">
        <f>GLOBAL_DER_FEV_2023!J53</f>
        <v>0</v>
      </c>
      <c r="K53" s="903" t="str">
        <f>GLOBAL_DER_FEV_2023!K53</f>
        <v xml:space="preserve">     </v>
      </c>
      <c r="L53" s="1137"/>
      <c r="M53" s="1140">
        <f t="shared" si="3"/>
        <v>0</v>
      </c>
      <c r="N53" s="584">
        <f t="shared" si="5"/>
        <v>0</v>
      </c>
      <c r="O53" s="905"/>
      <c r="Q53" s="317" t="str">
        <f t="shared" si="0"/>
        <v/>
      </c>
      <c r="R53" s="317" t="str">
        <f t="shared" si="1"/>
        <v/>
      </c>
      <c r="S53" s="317" t="str">
        <f t="shared" si="2"/>
        <v/>
      </c>
      <c r="T53" s="317" t="str">
        <f>GLOBAL_DER_FEV_2023!S53</f>
        <v/>
      </c>
      <c r="W53" s="582">
        <v>0</v>
      </c>
      <c r="X53" s="580"/>
      <c r="Y53" s="583">
        <f>IF(GLOBAL_DER_FEV_2023!W53=0,0,IF(GLOBAL_DER_FEV_2023!W53&gt;0,"c","b"))</f>
        <v>0</v>
      </c>
    </row>
    <row r="54" spans="1:25" ht="15" hidden="1" customHeight="1" x14ac:dyDescent="0.2">
      <c r="A54" s="640" t="s">
        <v>165</v>
      </c>
      <c r="B54" s="1036" t="str">
        <f>GLOBAL_DER_FEV_2023!B54</f>
        <v/>
      </c>
      <c r="C54" s="1072" t="str">
        <f>GLOBAL_DER_FEV_2023!C54</f>
        <v/>
      </c>
      <c r="D54" s="1141">
        <f>GLOBAL_DER_FEV_2023!D54</f>
        <v>0</v>
      </c>
      <c r="E54" s="907">
        <f>GLOBAL_DER_FEV_2023!E54</f>
        <v>0</v>
      </c>
      <c r="F54" s="908">
        <f>GLOBAL_DER_FEV_2023!F54</f>
        <v>0</v>
      </c>
      <c r="G54" s="912">
        <f>GLOBAL_DER_FEV_2023!G54</f>
        <v>0</v>
      </c>
      <c r="H54" s="901">
        <f>GLOBAL_DER_FEV_2023!H54</f>
        <v>0</v>
      </c>
      <c r="I54" s="901">
        <f>GLOBAL_DER_FEV_2023!I54</f>
        <v>0</v>
      </c>
      <c r="J54" s="890">
        <f>GLOBAL_DER_FEV_2023!J54</f>
        <v>0</v>
      </c>
      <c r="K54" s="903" t="str">
        <f>GLOBAL_DER_FEV_2023!K54</f>
        <v xml:space="preserve">     </v>
      </c>
      <c r="L54" s="1137"/>
      <c r="M54" s="1140">
        <f t="shared" si="3"/>
        <v>0</v>
      </c>
      <c r="N54" s="584">
        <f t="shared" si="5"/>
        <v>0</v>
      </c>
      <c r="O54" s="905"/>
      <c r="Q54" s="317" t="str">
        <f t="shared" si="0"/>
        <v/>
      </c>
      <c r="R54" s="317" t="str">
        <f t="shared" si="1"/>
        <v/>
      </c>
      <c r="S54" s="317" t="str">
        <f t="shared" si="2"/>
        <v/>
      </c>
      <c r="T54" s="317" t="str">
        <f>GLOBAL_DER_FEV_2023!S54</f>
        <v/>
      </c>
      <c r="W54" s="582">
        <v>0</v>
      </c>
      <c r="X54" s="580"/>
      <c r="Y54" s="583">
        <f>IF(GLOBAL_DER_FEV_2023!W54=0,0,IF(GLOBAL_DER_FEV_2023!W54&gt;0,"c","b"))</f>
        <v>0</v>
      </c>
    </row>
    <row r="55" spans="1:25" ht="15" hidden="1" customHeight="1" x14ac:dyDescent="0.2">
      <c r="A55" s="640" t="s">
        <v>165</v>
      </c>
      <c r="B55" s="1036" t="str">
        <f>GLOBAL_DER_FEV_2023!B55</f>
        <v/>
      </c>
      <c r="C55" s="1072" t="str">
        <f>GLOBAL_DER_FEV_2023!C55</f>
        <v/>
      </c>
      <c r="D55" s="1141">
        <f>GLOBAL_DER_FEV_2023!D55</f>
        <v>0</v>
      </c>
      <c r="E55" s="907">
        <f>GLOBAL_DER_FEV_2023!E55</f>
        <v>0</v>
      </c>
      <c r="F55" s="908">
        <f>GLOBAL_DER_FEV_2023!F55</f>
        <v>0</v>
      </c>
      <c r="G55" s="912">
        <f>GLOBAL_DER_FEV_2023!G55</f>
        <v>0</v>
      </c>
      <c r="H55" s="901">
        <f>GLOBAL_DER_FEV_2023!H55</f>
        <v>0</v>
      </c>
      <c r="I55" s="901">
        <f>GLOBAL_DER_FEV_2023!I55</f>
        <v>0</v>
      </c>
      <c r="J55" s="890">
        <f>GLOBAL_DER_FEV_2023!J55</f>
        <v>0</v>
      </c>
      <c r="K55" s="903" t="str">
        <f>GLOBAL_DER_FEV_2023!K55</f>
        <v xml:space="preserve">     </v>
      </c>
      <c r="L55" s="1137"/>
      <c r="M55" s="1140">
        <f t="shared" si="3"/>
        <v>0</v>
      </c>
      <c r="N55" s="584">
        <f t="shared" si="5"/>
        <v>0</v>
      </c>
      <c r="O55" s="905"/>
      <c r="Q55" s="317" t="str">
        <f t="shared" si="0"/>
        <v/>
      </c>
      <c r="R55" s="317" t="str">
        <f t="shared" si="1"/>
        <v/>
      </c>
      <c r="S55" s="317" t="str">
        <f t="shared" si="2"/>
        <v/>
      </c>
      <c r="T55" s="317" t="str">
        <f>GLOBAL_DER_FEV_2023!S55</f>
        <v/>
      </c>
      <c r="W55" s="582">
        <v>0</v>
      </c>
      <c r="X55" s="580"/>
      <c r="Y55" s="583">
        <f>IF(GLOBAL_DER_FEV_2023!W55=0,0,IF(GLOBAL_DER_FEV_2023!W55&gt;0,"c","b"))</f>
        <v>0</v>
      </c>
    </row>
    <row r="56" spans="1:25" ht="15" hidden="1" customHeight="1" x14ac:dyDescent="0.2">
      <c r="A56" s="640" t="s">
        <v>165</v>
      </c>
      <c r="B56" s="1036" t="str">
        <f>GLOBAL_DER_FEV_2023!B56</f>
        <v/>
      </c>
      <c r="C56" s="1072" t="str">
        <f>GLOBAL_DER_FEV_2023!C56</f>
        <v/>
      </c>
      <c r="D56" s="1141">
        <f>GLOBAL_DER_FEV_2023!D56</f>
        <v>0</v>
      </c>
      <c r="E56" s="907">
        <f>GLOBAL_DER_FEV_2023!E56</f>
        <v>0</v>
      </c>
      <c r="F56" s="908">
        <f>GLOBAL_DER_FEV_2023!F56</f>
        <v>0</v>
      </c>
      <c r="G56" s="912">
        <f>GLOBAL_DER_FEV_2023!G56</f>
        <v>0</v>
      </c>
      <c r="H56" s="901">
        <f>GLOBAL_DER_FEV_2023!H56</f>
        <v>0</v>
      </c>
      <c r="I56" s="901">
        <f>GLOBAL_DER_FEV_2023!I56</f>
        <v>0</v>
      </c>
      <c r="J56" s="890">
        <f>GLOBAL_DER_FEV_2023!J56</f>
        <v>0</v>
      </c>
      <c r="K56" s="903" t="str">
        <f>GLOBAL_DER_FEV_2023!K56</f>
        <v xml:space="preserve">     </v>
      </c>
      <c r="L56" s="1137"/>
      <c r="M56" s="1140">
        <f t="shared" si="3"/>
        <v>0</v>
      </c>
      <c r="N56" s="584">
        <f t="shared" si="5"/>
        <v>0</v>
      </c>
      <c r="O56" s="905"/>
      <c r="Q56" s="317" t="str">
        <f t="shared" si="0"/>
        <v/>
      </c>
      <c r="R56" s="317" t="str">
        <f t="shared" si="1"/>
        <v/>
      </c>
      <c r="S56" s="317" t="str">
        <f t="shared" si="2"/>
        <v/>
      </c>
      <c r="T56" s="317" t="str">
        <f>GLOBAL_DER_FEV_2023!S56</f>
        <v/>
      </c>
      <c r="W56" s="582">
        <v>0</v>
      </c>
      <c r="X56" s="580"/>
      <c r="Y56" s="583">
        <f>IF(GLOBAL_DER_FEV_2023!W56=0,0,IF(GLOBAL_DER_FEV_2023!W56&gt;0,"c","b"))</f>
        <v>0</v>
      </c>
    </row>
    <row r="57" spans="1:25" ht="15" hidden="1" customHeight="1" x14ac:dyDescent="0.2">
      <c r="A57" s="640" t="s">
        <v>165</v>
      </c>
      <c r="B57" s="1036" t="str">
        <f>GLOBAL_DER_FEV_2023!B57</f>
        <v/>
      </c>
      <c r="C57" s="1072" t="str">
        <f>GLOBAL_DER_FEV_2023!C57</f>
        <v/>
      </c>
      <c r="D57" s="1141">
        <f>GLOBAL_DER_FEV_2023!D57</f>
        <v>0</v>
      </c>
      <c r="E57" s="907">
        <f>GLOBAL_DER_FEV_2023!E57</f>
        <v>0</v>
      </c>
      <c r="F57" s="908">
        <f>GLOBAL_DER_FEV_2023!F57</f>
        <v>0</v>
      </c>
      <c r="G57" s="912">
        <f>GLOBAL_DER_FEV_2023!G57</f>
        <v>0</v>
      </c>
      <c r="H57" s="901">
        <f>GLOBAL_DER_FEV_2023!H57</f>
        <v>0</v>
      </c>
      <c r="I57" s="901">
        <f>GLOBAL_DER_FEV_2023!I57</f>
        <v>0</v>
      </c>
      <c r="J57" s="890">
        <f>GLOBAL_DER_FEV_2023!J57</f>
        <v>0</v>
      </c>
      <c r="K57" s="903" t="str">
        <f>GLOBAL_DER_FEV_2023!K57</f>
        <v xml:space="preserve">     </v>
      </c>
      <c r="L57" s="1137"/>
      <c r="M57" s="1140">
        <f t="shared" si="3"/>
        <v>0</v>
      </c>
      <c r="N57" s="584">
        <f t="shared" si="5"/>
        <v>0</v>
      </c>
      <c r="O57" s="905"/>
      <c r="Q57" s="317" t="str">
        <f t="shared" si="0"/>
        <v/>
      </c>
      <c r="R57" s="317" t="str">
        <f t="shared" si="1"/>
        <v/>
      </c>
      <c r="S57" s="317" t="str">
        <f t="shared" si="2"/>
        <v/>
      </c>
      <c r="T57" s="317" t="str">
        <f>GLOBAL_DER_FEV_2023!S57</f>
        <v/>
      </c>
      <c r="W57" s="582">
        <v>0</v>
      </c>
      <c r="X57" s="580"/>
      <c r="Y57" s="583">
        <f>IF(GLOBAL_DER_FEV_2023!W57=0,0,IF(GLOBAL_DER_FEV_2023!W57&gt;0,"c","b"))</f>
        <v>0</v>
      </c>
    </row>
    <row r="58" spans="1:25" ht="15" hidden="1" customHeight="1" x14ac:dyDescent="0.2">
      <c r="A58" s="640" t="s">
        <v>165</v>
      </c>
      <c r="B58" s="1036" t="str">
        <f>GLOBAL_DER_FEV_2023!B58</f>
        <v/>
      </c>
      <c r="C58" s="1072" t="str">
        <f>GLOBAL_DER_FEV_2023!C58</f>
        <v/>
      </c>
      <c r="D58" s="1141">
        <f>GLOBAL_DER_FEV_2023!D58</f>
        <v>0</v>
      </c>
      <c r="E58" s="907">
        <f>GLOBAL_DER_FEV_2023!E58</f>
        <v>0</v>
      </c>
      <c r="F58" s="908">
        <f>GLOBAL_DER_FEV_2023!F58</f>
        <v>0</v>
      </c>
      <c r="G58" s="912">
        <f>GLOBAL_DER_FEV_2023!G58</f>
        <v>0</v>
      </c>
      <c r="H58" s="901">
        <f>GLOBAL_DER_FEV_2023!H58</f>
        <v>0</v>
      </c>
      <c r="I58" s="901">
        <f>GLOBAL_DER_FEV_2023!I58</f>
        <v>0</v>
      </c>
      <c r="J58" s="890">
        <f>GLOBAL_DER_FEV_2023!J58</f>
        <v>0</v>
      </c>
      <c r="K58" s="903" t="str">
        <f>GLOBAL_DER_FEV_2023!K58</f>
        <v xml:space="preserve">     </v>
      </c>
      <c r="L58" s="1137"/>
      <c r="M58" s="1140">
        <f t="shared" si="3"/>
        <v>0</v>
      </c>
      <c r="N58" s="584">
        <f t="shared" si="5"/>
        <v>0</v>
      </c>
      <c r="O58" s="905"/>
      <c r="Q58" s="317" t="str">
        <f t="shared" si="0"/>
        <v/>
      </c>
      <c r="R58" s="317" t="str">
        <f t="shared" si="1"/>
        <v/>
      </c>
      <c r="S58" s="317" t="str">
        <f t="shared" si="2"/>
        <v/>
      </c>
      <c r="T58" s="317" t="str">
        <f>GLOBAL_DER_FEV_2023!S58</f>
        <v/>
      </c>
      <c r="W58" s="582">
        <v>0</v>
      </c>
      <c r="X58" s="580"/>
      <c r="Y58" s="583">
        <f>IF(GLOBAL_DER_FEV_2023!W58=0,0,IF(GLOBAL_DER_FEV_2023!W58&gt;0,"c","b"))</f>
        <v>0</v>
      </c>
    </row>
    <row r="59" spans="1:25" ht="15" hidden="1" customHeight="1" x14ac:dyDescent="0.2">
      <c r="A59" s="640" t="s">
        <v>165</v>
      </c>
      <c r="B59" s="1036" t="str">
        <f>GLOBAL_DER_FEV_2023!B59</f>
        <v/>
      </c>
      <c r="C59" s="1072" t="str">
        <f>GLOBAL_DER_FEV_2023!C59</f>
        <v/>
      </c>
      <c r="D59" s="1141">
        <f>GLOBAL_DER_FEV_2023!D59</f>
        <v>0</v>
      </c>
      <c r="E59" s="907">
        <f>GLOBAL_DER_FEV_2023!E59</f>
        <v>0</v>
      </c>
      <c r="F59" s="908">
        <f>GLOBAL_DER_FEV_2023!F59</f>
        <v>0</v>
      </c>
      <c r="G59" s="912">
        <f>GLOBAL_DER_FEV_2023!G59</f>
        <v>0</v>
      </c>
      <c r="H59" s="901">
        <f>GLOBAL_DER_FEV_2023!H59</f>
        <v>0</v>
      </c>
      <c r="I59" s="901">
        <f>GLOBAL_DER_FEV_2023!I59</f>
        <v>0</v>
      </c>
      <c r="J59" s="890">
        <f>GLOBAL_DER_FEV_2023!J59</f>
        <v>0</v>
      </c>
      <c r="K59" s="903" t="str">
        <f>GLOBAL_DER_FEV_2023!K59</f>
        <v xml:space="preserve">     </v>
      </c>
      <c r="L59" s="1137"/>
      <c r="M59" s="1140">
        <f t="shared" si="3"/>
        <v>0</v>
      </c>
      <c r="N59" s="584">
        <f t="shared" si="5"/>
        <v>0</v>
      </c>
      <c r="O59" s="905"/>
      <c r="Q59" s="317" t="str">
        <f t="shared" si="0"/>
        <v/>
      </c>
      <c r="R59" s="317" t="str">
        <f t="shared" si="1"/>
        <v/>
      </c>
      <c r="S59" s="317" t="str">
        <f t="shared" si="2"/>
        <v/>
      </c>
      <c r="T59" s="317" t="str">
        <f>GLOBAL_DER_FEV_2023!S59</f>
        <v/>
      </c>
      <c r="W59" s="582">
        <v>0</v>
      </c>
      <c r="X59" s="580"/>
      <c r="Y59" s="583">
        <f>IF(GLOBAL_DER_FEV_2023!W59=0,0,IF(GLOBAL_DER_FEV_2023!W59&gt;0,"c","b"))</f>
        <v>0</v>
      </c>
    </row>
    <row r="60" spans="1:25" ht="15" hidden="1" customHeight="1" x14ac:dyDescent="0.2">
      <c r="A60" s="640" t="s">
        <v>165</v>
      </c>
      <c r="B60" s="1036" t="str">
        <f>GLOBAL_DER_FEV_2023!B60</f>
        <v/>
      </c>
      <c r="C60" s="1072" t="str">
        <f>GLOBAL_DER_FEV_2023!C60</f>
        <v/>
      </c>
      <c r="D60" s="1141">
        <f>GLOBAL_DER_FEV_2023!D60</f>
        <v>0</v>
      </c>
      <c r="E60" s="907">
        <f>GLOBAL_DER_FEV_2023!E60</f>
        <v>0</v>
      </c>
      <c r="F60" s="908">
        <f>GLOBAL_DER_FEV_2023!F60</f>
        <v>0</v>
      </c>
      <c r="G60" s="912">
        <f>GLOBAL_DER_FEV_2023!G60</f>
        <v>0</v>
      </c>
      <c r="H60" s="901">
        <f>GLOBAL_DER_FEV_2023!H60</f>
        <v>0</v>
      </c>
      <c r="I60" s="901">
        <f>GLOBAL_DER_FEV_2023!I60</f>
        <v>0</v>
      </c>
      <c r="J60" s="890">
        <f>GLOBAL_DER_FEV_2023!J60</f>
        <v>0</v>
      </c>
      <c r="K60" s="903" t="str">
        <f>GLOBAL_DER_FEV_2023!K60</f>
        <v xml:space="preserve">     </v>
      </c>
      <c r="L60" s="1137"/>
      <c r="M60" s="1140">
        <f t="shared" si="3"/>
        <v>0</v>
      </c>
      <c r="N60" s="584">
        <f t="shared" si="5"/>
        <v>0</v>
      </c>
      <c r="O60" s="905"/>
      <c r="Q60" s="317" t="str">
        <f t="shared" si="0"/>
        <v/>
      </c>
      <c r="R60" s="317" t="str">
        <f t="shared" si="1"/>
        <v/>
      </c>
      <c r="S60" s="317" t="str">
        <f t="shared" si="2"/>
        <v/>
      </c>
      <c r="T60" s="317" t="str">
        <f>GLOBAL_DER_FEV_2023!S60</f>
        <v/>
      </c>
      <c r="W60" s="582">
        <v>0</v>
      </c>
      <c r="X60" s="580"/>
      <c r="Y60" s="583">
        <f>IF(GLOBAL_DER_FEV_2023!W60=0,0,IF(GLOBAL_DER_FEV_2023!W60&gt;0,"c","b"))</f>
        <v>0</v>
      </c>
    </row>
    <row r="61" spans="1:25" ht="15" hidden="1" customHeight="1" x14ac:dyDescent="0.2">
      <c r="A61" s="640" t="s">
        <v>165</v>
      </c>
      <c r="B61" s="1036" t="str">
        <f>GLOBAL_DER_FEV_2023!B61</f>
        <v/>
      </c>
      <c r="C61" s="1072" t="str">
        <f>GLOBAL_DER_FEV_2023!C61</f>
        <v/>
      </c>
      <c r="D61" s="1141">
        <f>GLOBAL_DER_FEV_2023!D61</f>
        <v>0</v>
      </c>
      <c r="E61" s="907">
        <f>GLOBAL_DER_FEV_2023!E61</f>
        <v>0</v>
      </c>
      <c r="F61" s="908">
        <f>GLOBAL_DER_FEV_2023!F61</f>
        <v>0</v>
      </c>
      <c r="G61" s="912">
        <f>GLOBAL_DER_FEV_2023!G61</f>
        <v>0</v>
      </c>
      <c r="H61" s="901">
        <f>GLOBAL_DER_FEV_2023!H61</f>
        <v>0</v>
      </c>
      <c r="I61" s="901">
        <f>GLOBAL_DER_FEV_2023!I61</f>
        <v>0</v>
      </c>
      <c r="J61" s="890">
        <f>GLOBAL_DER_FEV_2023!J61</f>
        <v>0</v>
      </c>
      <c r="K61" s="903" t="str">
        <f>GLOBAL_DER_FEV_2023!K61</f>
        <v xml:space="preserve">     </v>
      </c>
      <c r="L61" s="1137"/>
      <c r="M61" s="1140">
        <f t="shared" si="3"/>
        <v>0</v>
      </c>
      <c r="N61" s="584">
        <f t="shared" si="5"/>
        <v>0</v>
      </c>
      <c r="O61" s="905"/>
      <c r="Q61" s="317" t="str">
        <f t="shared" si="0"/>
        <v/>
      </c>
      <c r="R61" s="317" t="str">
        <f t="shared" si="1"/>
        <v/>
      </c>
      <c r="S61" s="317" t="str">
        <f t="shared" si="2"/>
        <v/>
      </c>
      <c r="T61" s="317" t="str">
        <f>GLOBAL_DER_FEV_2023!S61</f>
        <v/>
      </c>
      <c r="W61" s="582">
        <v>0</v>
      </c>
      <c r="X61" s="580"/>
      <c r="Y61" s="583">
        <f>IF(GLOBAL_DER_FEV_2023!W61=0,0,IF(GLOBAL_DER_FEV_2023!W61&gt;0,"c","b"))</f>
        <v>0</v>
      </c>
    </row>
    <row r="62" spans="1:25" ht="15" hidden="1" customHeight="1" x14ac:dyDescent="0.2">
      <c r="A62" s="640" t="s">
        <v>165</v>
      </c>
      <c r="B62" s="1036" t="str">
        <f>GLOBAL_DER_FEV_2023!B62</f>
        <v/>
      </c>
      <c r="C62" s="1072" t="str">
        <f>GLOBAL_DER_FEV_2023!C62</f>
        <v/>
      </c>
      <c r="D62" s="1141">
        <f>GLOBAL_DER_FEV_2023!D62</f>
        <v>0</v>
      </c>
      <c r="E62" s="907">
        <f>GLOBAL_DER_FEV_2023!E62</f>
        <v>0</v>
      </c>
      <c r="F62" s="908">
        <f>GLOBAL_DER_FEV_2023!F62</f>
        <v>0</v>
      </c>
      <c r="G62" s="912">
        <f>GLOBAL_DER_FEV_2023!G62</f>
        <v>0</v>
      </c>
      <c r="H62" s="901">
        <f>GLOBAL_DER_FEV_2023!H62</f>
        <v>0</v>
      </c>
      <c r="I62" s="901">
        <f>GLOBAL_DER_FEV_2023!I62</f>
        <v>0</v>
      </c>
      <c r="J62" s="890">
        <f>GLOBAL_DER_FEV_2023!J62</f>
        <v>0</v>
      </c>
      <c r="K62" s="903" t="str">
        <f>GLOBAL_DER_FEV_2023!K62</f>
        <v xml:space="preserve">     </v>
      </c>
      <c r="L62" s="1137"/>
      <c r="M62" s="1140">
        <f t="shared" si="3"/>
        <v>0</v>
      </c>
      <c r="N62" s="584">
        <f t="shared" si="5"/>
        <v>0</v>
      </c>
      <c r="O62" s="905"/>
      <c r="Q62" s="317" t="str">
        <f t="shared" si="0"/>
        <v/>
      </c>
      <c r="R62" s="317" t="str">
        <f t="shared" si="1"/>
        <v/>
      </c>
      <c r="S62" s="317" t="str">
        <f t="shared" si="2"/>
        <v/>
      </c>
      <c r="T62" s="317" t="str">
        <f>GLOBAL_DER_FEV_2023!S62</f>
        <v/>
      </c>
      <c r="W62" s="582">
        <v>0</v>
      </c>
      <c r="X62" s="580"/>
      <c r="Y62" s="583">
        <f>IF(GLOBAL_DER_FEV_2023!W62=0,0,IF(GLOBAL_DER_FEV_2023!W62&gt;0,"c","b"))</f>
        <v>0</v>
      </c>
    </row>
    <row r="63" spans="1:25" ht="15" hidden="1" customHeight="1" x14ac:dyDescent="0.2">
      <c r="A63" s="640" t="s">
        <v>165</v>
      </c>
      <c r="B63" s="1036" t="str">
        <f>GLOBAL_DER_FEV_2023!B63</f>
        <v/>
      </c>
      <c r="C63" s="1072" t="str">
        <f>GLOBAL_DER_FEV_2023!C63</f>
        <v/>
      </c>
      <c r="D63" s="1141">
        <f>GLOBAL_DER_FEV_2023!D63</f>
        <v>0</v>
      </c>
      <c r="E63" s="907">
        <f>GLOBAL_DER_FEV_2023!E63</f>
        <v>0</v>
      </c>
      <c r="F63" s="908">
        <f>GLOBAL_DER_FEV_2023!F63</f>
        <v>0</v>
      </c>
      <c r="G63" s="912">
        <f>GLOBAL_DER_FEV_2023!G63</f>
        <v>0</v>
      </c>
      <c r="H63" s="901">
        <f>GLOBAL_DER_FEV_2023!H63</f>
        <v>0</v>
      </c>
      <c r="I63" s="901">
        <f>GLOBAL_DER_FEV_2023!I63</f>
        <v>0</v>
      </c>
      <c r="J63" s="890">
        <f>GLOBAL_DER_FEV_2023!J63</f>
        <v>0</v>
      </c>
      <c r="K63" s="903" t="str">
        <f>GLOBAL_DER_FEV_2023!K63</f>
        <v xml:space="preserve">     </v>
      </c>
      <c r="L63" s="1137"/>
      <c r="M63" s="1140">
        <f t="shared" si="3"/>
        <v>0</v>
      </c>
      <c r="N63" s="584">
        <f t="shared" si="5"/>
        <v>0</v>
      </c>
      <c r="O63" s="905"/>
      <c r="Q63" s="317" t="str">
        <f t="shared" si="0"/>
        <v/>
      </c>
      <c r="R63" s="317" t="str">
        <f t="shared" si="1"/>
        <v/>
      </c>
      <c r="S63" s="317" t="str">
        <f t="shared" si="2"/>
        <v/>
      </c>
      <c r="T63" s="317" t="str">
        <f>GLOBAL_DER_FEV_2023!S63</f>
        <v/>
      </c>
      <c r="W63" s="582">
        <v>0</v>
      </c>
      <c r="X63" s="580"/>
      <c r="Y63" s="583">
        <f>IF(GLOBAL_DER_FEV_2023!W63=0,0,IF(GLOBAL_DER_FEV_2023!W63&gt;0,"c","b"))</f>
        <v>0</v>
      </c>
    </row>
    <row r="64" spans="1:25" ht="15" hidden="1" customHeight="1" x14ac:dyDescent="0.2">
      <c r="A64" s="640" t="s">
        <v>165</v>
      </c>
      <c r="B64" s="1036" t="str">
        <f>GLOBAL_DER_FEV_2023!B64</f>
        <v/>
      </c>
      <c r="C64" s="1072" t="str">
        <f>GLOBAL_DER_FEV_2023!C64</f>
        <v/>
      </c>
      <c r="D64" s="1141">
        <f>GLOBAL_DER_FEV_2023!D64</f>
        <v>0</v>
      </c>
      <c r="E64" s="907">
        <f>GLOBAL_DER_FEV_2023!E64</f>
        <v>0</v>
      </c>
      <c r="F64" s="908">
        <f>GLOBAL_DER_FEV_2023!F64</f>
        <v>0</v>
      </c>
      <c r="G64" s="912">
        <f>GLOBAL_DER_FEV_2023!G64</f>
        <v>0</v>
      </c>
      <c r="H64" s="901">
        <f>GLOBAL_DER_FEV_2023!H64</f>
        <v>0</v>
      </c>
      <c r="I64" s="901">
        <f>GLOBAL_DER_FEV_2023!I64</f>
        <v>0</v>
      </c>
      <c r="J64" s="890">
        <f>GLOBAL_DER_FEV_2023!J64</f>
        <v>0</v>
      </c>
      <c r="K64" s="903" t="str">
        <f>GLOBAL_DER_FEV_2023!K64</f>
        <v xml:space="preserve">     </v>
      </c>
      <c r="L64" s="1137"/>
      <c r="M64" s="1140">
        <f t="shared" si="3"/>
        <v>0</v>
      </c>
      <c r="N64" s="584">
        <f t="shared" si="5"/>
        <v>0</v>
      </c>
      <c r="O64" s="905"/>
      <c r="Q64" s="317" t="str">
        <f t="shared" si="0"/>
        <v/>
      </c>
      <c r="R64" s="317" t="str">
        <f t="shared" si="1"/>
        <v/>
      </c>
      <c r="S64" s="317" t="str">
        <f t="shared" si="2"/>
        <v/>
      </c>
      <c r="T64" s="317" t="str">
        <f>GLOBAL_DER_FEV_2023!S64</f>
        <v/>
      </c>
      <c r="W64" s="582">
        <v>0</v>
      </c>
      <c r="X64" s="580"/>
      <c r="Y64" s="583">
        <f>IF(GLOBAL_DER_FEV_2023!W64=0,0,IF(GLOBAL_DER_FEV_2023!W64&gt;0,"c","b"))</f>
        <v>0</v>
      </c>
    </row>
    <row r="65" spans="1:25" ht="15" hidden="1" customHeight="1" x14ac:dyDescent="0.2">
      <c r="A65" s="640" t="s">
        <v>165</v>
      </c>
      <c r="B65" s="1036" t="str">
        <f>GLOBAL_DER_FEV_2023!B65</f>
        <v/>
      </c>
      <c r="C65" s="1072" t="str">
        <f>GLOBAL_DER_FEV_2023!C65</f>
        <v/>
      </c>
      <c r="D65" s="1141">
        <f>GLOBAL_DER_FEV_2023!D65</f>
        <v>0</v>
      </c>
      <c r="E65" s="907">
        <f>GLOBAL_DER_FEV_2023!E65</f>
        <v>0</v>
      </c>
      <c r="F65" s="908">
        <f>GLOBAL_DER_FEV_2023!F65</f>
        <v>0</v>
      </c>
      <c r="G65" s="912">
        <f>GLOBAL_DER_FEV_2023!G65</f>
        <v>0</v>
      </c>
      <c r="H65" s="901">
        <f>GLOBAL_DER_FEV_2023!H65</f>
        <v>0</v>
      </c>
      <c r="I65" s="901">
        <f>GLOBAL_DER_FEV_2023!I65</f>
        <v>0</v>
      </c>
      <c r="J65" s="890">
        <f>GLOBAL_DER_FEV_2023!J65</f>
        <v>0</v>
      </c>
      <c r="K65" s="903" t="str">
        <f>GLOBAL_DER_FEV_2023!K65</f>
        <v xml:space="preserve">     </v>
      </c>
      <c r="L65" s="1137"/>
      <c r="M65" s="1140">
        <f t="shared" si="3"/>
        <v>0</v>
      </c>
      <c r="N65" s="584">
        <f t="shared" si="5"/>
        <v>0</v>
      </c>
      <c r="O65" s="905"/>
      <c r="Q65" s="317" t="str">
        <f t="shared" si="0"/>
        <v/>
      </c>
      <c r="R65" s="317" t="str">
        <f t="shared" si="1"/>
        <v/>
      </c>
      <c r="S65" s="317" t="str">
        <f t="shared" si="2"/>
        <v/>
      </c>
      <c r="T65" s="317" t="str">
        <f>GLOBAL_DER_FEV_2023!S65</f>
        <v/>
      </c>
      <c r="W65" s="582">
        <v>0</v>
      </c>
      <c r="X65" s="580"/>
      <c r="Y65" s="583">
        <f>IF(GLOBAL_DER_FEV_2023!W65=0,0,IF(GLOBAL_DER_FEV_2023!W65&gt;0,"c","b"))</f>
        <v>0</v>
      </c>
    </row>
    <row r="66" spans="1:25" ht="15" hidden="1" customHeight="1" x14ac:dyDescent="0.2">
      <c r="A66" s="640" t="s">
        <v>165</v>
      </c>
      <c r="B66" s="1036" t="str">
        <f>GLOBAL_DER_FEV_2023!B66</f>
        <v/>
      </c>
      <c r="C66" s="1072" t="str">
        <f>GLOBAL_DER_FEV_2023!C66</f>
        <v/>
      </c>
      <c r="D66" s="1141">
        <f>GLOBAL_DER_FEV_2023!D66</f>
        <v>0</v>
      </c>
      <c r="E66" s="907">
        <f>GLOBAL_DER_FEV_2023!E66</f>
        <v>0</v>
      </c>
      <c r="F66" s="908">
        <f>GLOBAL_DER_FEV_2023!F66</f>
        <v>0</v>
      </c>
      <c r="G66" s="912">
        <f>GLOBAL_DER_FEV_2023!G66</f>
        <v>0</v>
      </c>
      <c r="H66" s="901">
        <f>GLOBAL_DER_FEV_2023!H66</f>
        <v>0</v>
      </c>
      <c r="I66" s="901">
        <f>GLOBAL_DER_FEV_2023!I66</f>
        <v>0</v>
      </c>
      <c r="J66" s="890">
        <f>GLOBAL_DER_FEV_2023!J66</f>
        <v>0</v>
      </c>
      <c r="K66" s="903" t="str">
        <f>GLOBAL_DER_FEV_2023!K66</f>
        <v xml:space="preserve">     </v>
      </c>
      <c r="L66" s="1137"/>
      <c r="M66" s="1140">
        <f t="shared" si="3"/>
        <v>0</v>
      </c>
      <c r="N66" s="584">
        <f t="shared" si="5"/>
        <v>0</v>
      </c>
      <c r="O66" s="905"/>
      <c r="Q66" s="317" t="str">
        <f t="shared" si="0"/>
        <v/>
      </c>
      <c r="R66" s="317" t="str">
        <f t="shared" si="1"/>
        <v/>
      </c>
      <c r="S66" s="317" t="str">
        <f t="shared" si="2"/>
        <v/>
      </c>
      <c r="T66" s="317" t="str">
        <f>GLOBAL_DER_FEV_2023!S66</f>
        <v/>
      </c>
      <c r="W66" s="582">
        <v>0</v>
      </c>
      <c r="X66" s="580"/>
      <c r="Y66" s="583">
        <f>IF(GLOBAL_DER_FEV_2023!W66=0,0,IF(GLOBAL_DER_FEV_2023!W66&gt;0,"c","b"))</f>
        <v>0</v>
      </c>
    </row>
    <row r="67" spans="1:25" ht="15" hidden="1" customHeight="1" x14ac:dyDescent="0.2">
      <c r="A67" s="640" t="s">
        <v>165</v>
      </c>
      <c r="B67" s="1036" t="str">
        <f>GLOBAL_DER_FEV_2023!B67</f>
        <v/>
      </c>
      <c r="C67" s="1072" t="str">
        <f>GLOBAL_DER_FEV_2023!C67</f>
        <v/>
      </c>
      <c r="D67" s="1141">
        <f>GLOBAL_DER_FEV_2023!D67</f>
        <v>0</v>
      </c>
      <c r="E67" s="907">
        <f>GLOBAL_DER_FEV_2023!E67</f>
        <v>0</v>
      </c>
      <c r="F67" s="908">
        <f>GLOBAL_DER_FEV_2023!F67</f>
        <v>0</v>
      </c>
      <c r="G67" s="912">
        <f>GLOBAL_DER_FEV_2023!G67</f>
        <v>0</v>
      </c>
      <c r="H67" s="901">
        <f>GLOBAL_DER_FEV_2023!H67</f>
        <v>0</v>
      </c>
      <c r="I67" s="901">
        <f>GLOBAL_DER_FEV_2023!I67</f>
        <v>0</v>
      </c>
      <c r="J67" s="890">
        <f>GLOBAL_DER_FEV_2023!J67</f>
        <v>0</v>
      </c>
      <c r="K67" s="903" t="str">
        <f>GLOBAL_DER_FEV_2023!K67</f>
        <v xml:space="preserve">     </v>
      </c>
      <c r="L67" s="1137"/>
      <c r="M67" s="1140">
        <f t="shared" si="3"/>
        <v>0</v>
      </c>
      <c r="N67" s="584">
        <f t="shared" si="5"/>
        <v>0</v>
      </c>
      <c r="O67" s="905"/>
      <c r="Q67" s="317" t="str">
        <f t="shared" si="0"/>
        <v/>
      </c>
      <c r="R67" s="317" t="str">
        <f t="shared" si="1"/>
        <v/>
      </c>
      <c r="S67" s="317" t="str">
        <f t="shared" si="2"/>
        <v/>
      </c>
      <c r="T67" s="317" t="str">
        <f>GLOBAL_DER_FEV_2023!S67</f>
        <v/>
      </c>
      <c r="W67" s="582">
        <v>0</v>
      </c>
      <c r="X67" s="580"/>
      <c r="Y67" s="583">
        <f>IF(GLOBAL_DER_FEV_2023!W67=0,0,IF(GLOBAL_DER_FEV_2023!W67&gt;0,"c","b"))</f>
        <v>0</v>
      </c>
    </row>
    <row r="68" spans="1:25" ht="15" hidden="1" customHeight="1" thickBot="1" x14ac:dyDescent="0.25">
      <c r="A68" s="640" t="s">
        <v>165</v>
      </c>
      <c r="B68" s="1142" t="str">
        <f>GLOBAL_DER_FEV_2023!B68</f>
        <v/>
      </c>
      <c r="C68" s="1143" t="str">
        <f>GLOBAL_DER_FEV_2023!C68</f>
        <v/>
      </c>
      <c r="D68" s="1144">
        <f>GLOBAL_DER_FEV_2023!D68</f>
        <v>0</v>
      </c>
      <c r="E68" s="907">
        <f>GLOBAL_DER_FEV_2023!E68</f>
        <v>0</v>
      </c>
      <c r="F68" s="908">
        <f>GLOBAL_DER_FEV_2023!F68</f>
        <v>0</v>
      </c>
      <c r="G68" s="968">
        <f>GLOBAL_DER_FEV_2023!G68</f>
        <v>0</v>
      </c>
      <c r="H68" s="940">
        <f>GLOBAL_DER_FEV_2023!H68</f>
        <v>0</v>
      </c>
      <c r="I68" s="940">
        <f>GLOBAL_DER_FEV_2023!I68</f>
        <v>0</v>
      </c>
      <c r="J68" s="941">
        <f>GLOBAL_DER_FEV_2023!J68</f>
        <v>0</v>
      </c>
      <c r="K68" s="970" t="str">
        <f>GLOBAL_DER_FEV_2023!K68</f>
        <v xml:space="preserve">     </v>
      </c>
      <c r="L68" s="1145"/>
      <c r="M68" s="1146">
        <f t="shared" si="3"/>
        <v>0</v>
      </c>
      <c r="N68" s="584">
        <f t="shared" si="5"/>
        <v>0</v>
      </c>
      <c r="O68" s="905"/>
      <c r="Q68" s="317" t="str">
        <f t="shared" si="0"/>
        <v/>
      </c>
      <c r="R68" s="317" t="str">
        <f t="shared" si="1"/>
        <v/>
      </c>
      <c r="S68" s="317" t="str">
        <f t="shared" si="2"/>
        <v/>
      </c>
      <c r="T68" s="317" t="str">
        <f>GLOBAL_DER_FEV_2023!S68</f>
        <v/>
      </c>
      <c r="W68" s="582">
        <v>0</v>
      </c>
      <c r="X68" s="580"/>
      <c r="Y68" s="583">
        <f>IF(GLOBAL_DER_FEV_2023!W68=0,0,IF(GLOBAL_DER_FEV_2023!W68&gt;0,"c","b"))</f>
        <v>0</v>
      </c>
    </row>
    <row r="69" spans="1:25" ht="15" hidden="1" customHeight="1" thickBot="1" x14ac:dyDescent="0.25">
      <c r="A69" s="317" t="s">
        <v>167</v>
      </c>
      <c r="B69" s="1147" t="s">
        <v>167</v>
      </c>
      <c r="C69" s="873"/>
      <c r="D69" s="952" t="s">
        <v>428</v>
      </c>
      <c r="E69" s="943"/>
      <c r="F69" s="1148">
        <f>GLOBAL_DER_FEV_2023!F69</f>
        <v>0</v>
      </c>
      <c r="G69" s="944">
        <f>GLOBAL_DER_FEV_2023!G69</f>
        <v>0</v>
      </c>
      <c r="H69" s="945">
        <f>GLOBAL_DER_FEV_2023!H69</f>
        <v>0</v>
      </c>
      <c r="I69" s="945">
        <f>GLOBAL_DER_FEV_2023!I69</f>
        <v>0</v>
      </c>
      <c r="J69" s="945">
        <f>GLOBAL_DER_FEV_2023!J69</f>
        <v>0</v>
      </c>
      <c r="K69" s="878" t="s">
        <v>507</v>
      </c>
      <c r="L69" s="879"/>
      <c r="M69" s="1149">
        <f t="shared" si="3"/>
        <v>0</v>
      </c>
      <c r="N69" s="881">
        <f t="shared" si="5"/>
        <v>0</v>
      </c>
      <c r="O69" s="882">
        <f>SUM(N70:N116)</f>
        <v>0</v>
      </c>
      <c r="P69" s="58" t="str">
        <f>IF(OR(O69&gt;0,O69&gt;0),"X","")</f>
        <v/>
      </c>
      <c r="Q69" s="317" t="str">
        <f t="shared" si="0"/>
        <v/>
      </c>
      <c r="R69" s="317" t="str">
        <f t="shared" si="1"/>
        <v/>
      </c>
      <c r="S69" s="317" t="str">
        <f t="shared" si="2"/>
        <v/>
      </c>
      <c r="T69" s="317" t="str">
        <f>GLOBAL_DER_FEV_2023!S69</f>
        <v/>
      </c>
      <c r="W69" s="582">
        <v>0</v>
      </c>
      <c r="X69" s="580"/>
      <c r="Y69" s="583">
        <f>IF(GLOBAL_DER_FEV_2023!W69=0,0,IF(GLOBAL_DER_FEV_2023!W69&gt;0,"c","b"))</f>
        <v>0</v>
      </c>
    </row>
    <row r="70" spans="1:25" ht="15" hidden="1" customHeight="1" x14ac:dyDescent="0.2">
      <c r="A70" s="317">
        <v>400500</v>
      </c>
      <c r="B70" s="895" t="s">
        <v>1528</v>
      </c>
      <c r="C70" s="884" t="s">
        <v>184</v>
      </c>
      <c r="D70" s="946" t="s">
        <v>176</v>
      </c>
      <c r="E70" s="1031">
        <f>GLOBAL_DER_FEV_2023!E70</f>
        <v>150</v>
      </c>
      <c r="F70" s="947">
        <f>GLOBAL_DER_FEV_2023!F70</f>
        <v>1.73</v>
      </c>
      <c r="G70" s="948">
        <f>GLOBAL_DER_FEV_2023!G70</f>
        <v>282.3014</v>
      </c>
      <c r="H70" s="889">
        <f>GLOBAL_DER_FEV_2023!H70</f>
        <v>83.83</v>
      </c>
      <c r="I70" s="889">
        <f>GLOBAL_DER_FEV_2023!I70</f>
        <v>366.13139999999999</v>
      </c>
      <c r="J70" s="890">
        <f>GLOBAL_DER_FEV_2023!J70</f>
        <v>439.61</v>
      </c>
      <c r="K70" s="891" t="s">
        <v>10</v>
      </c>
      <c r="L70" s="1137"/>
      <c r="M70" s="1138">
        <f t="shared" si="3"/>
        <v>0</v>
      </c>
      <c r="N70" s="932">
        <f t="shared" si="5"/>
        <v>0</v>
      </c>
      <c r="O70" s="905"/>
      <c r="Q70" s="317" t="str">
        <f t="shared" si="0"/>
        <v/>
      </c>
      <c r="R70" s="317" t="str">
        <f t="shared" si="1"/>
        <v/>
      </c>
      <c r="S70" s="317" t="str">
        <f t="shared" si="2"/>
        <v/>
      </c>
      <c r="T70" s="317" t="str">
        <f>GLOBAL_DER_FEV_2023!S70</f>
        <v/>
      </c>
      <c r="W70" s="582">
        <v>0</v>
      </c>
      <c r="X70" s="580"/>
      <c r="Y70" s="583">
        <f>IF(GLOBAL_DER_FEV_2023!W70=0,0,IF(GLOBAL_DER_FEV_2023!W70&gt;0,"c","b"))</f>
        <v>0</v>
      </c>
    </row>
    <row r="71" spans="1:25" ht="15" hidden="1" customHeight="1" x14ac:dyDescent="0.2">
      <c r="A71" s="317">
        <v>401200</v>
      </c>
      <c r="B71" s="895">
        <v>401200</v>
      </c>
      <c r="C71" s="896" t="s">
        <v>184</v>
      </c>
      <c r="D71" s="906" t="s">
        <v>173</v>
      </c>
      <c r="E71" s="907">
        <f>GLOBAL_DER_FEV_2023!E71</f>
        <v>0</v>
      </c>
      <c r="F71" s="908">
        <f>GLOBAL_DER_FEV_2023!F71</f>
        <v>0</v>
      </c>
      <c r="G71" s="909">
        <f>GLOBAL_DER_FEV_2023!G71</f>
        <v>0</v>
      </c>
      <c r="H71" s="889">
        <f>GLOBAL_DER_FEV_2023!H71</f>
        <v>1.55</v>
      </c>
      <c r="I71" s="901">
        <f>GLOBAL_DER_FEV_2023!I71</f>
        <v>1.55</v>
      </c>
      <c r="J71" s="902">
        <f>GLOBAL_DER_FEV_2023!J71</f>
        <v>1.86</v>
      </c>
      <c r="K71" s="903" t="s">
        <v>10</v>
      </c>
      <c r="L71" s="1137"/>
      <c r="M71" s="1138">
        <f t="shared" si="3"/>
        <v>0</v>
      </c>
      <c r="N71" s="893">
        <f t="shared" si="5"/>
        <v>0</v>
      </c>
      <c r="O71" s="905"/>
      <c r="Q71" s="317" t="str">
        <f t="shared" si="0"/>
        <v/>
      </c>
      <c r="R71" s="317" t="str">
        <f t="shared" si="1"/>
        <v/>
      </c>
      <c r="S71" s="317" t="str">
        <f t="shared" si="2"/>
        <v/>
      </c>
      <c r="T71" s="317" t="str">
        <f>GLOBAL_DER_FEV_2023!S71</f>
        <v/>
      </c>
      <c r="W71" s="582">
        <v>0</v>
      </c>
      <c r="X71" s="580"/>
      <c r="Y71" s="583">
        <f>IF(GLOBAL_DER_FEV_2023!W71=0,0,IF(GLOBAL_DER_FEV_2023!W71&gt;0,"c","b"))</f>
        <v>0</v>
      </c>
    </row>
    <row r="72" spans="1:25" ht="15" hidden="1" customHeight="1" x14ac:dyDescent="0.2">
      <c r="A72" s="317">
        <v>401000</v>
      </c>
      <c r="B72" s="895">
        <v>401000</v>
      </c>
      <c r="C72" s="896" t="s">
        <v>184</v>
      </c>
      <c r="D72" s="906" t="s">
        <v>175</v>
      </c>
      <c r="E72" s="907">
        <f>GLOBAL_DER_FEV_2023!E72</f>
        <v>0</v>
      </c>
      <c r="F72" s="908">
        <f>GLOBAL_DER_FEV_2023!F72</f>
        <v>0</v>
      </c>
      <c r="G72" s="909">
        <f>GLOBAL_DER_FEV_2023!G72</f>
        <v>0</v>
      </c>
      <c r="H72" s="889">
        <f>GLOBAL_DER_FEV_2023!H72</f>
        <v>6.67</v>
      </c>
      <c r="I72" s="901">
        <f>GLOBAL_DER_FEV_2023!I72</f>
        <v>6.67</v>
      </c>
      <c r="J72" s="902">
        <f>GLOBAL_DER_FEV_2023!J72</f>
        <v>8.01</v>
      </c>
      <c r="K72" s="903" t="s">
        <v>10</v>
      </c>
      <c r="L72" s="1137"/>
      <c r="M72" s="1138">
        <f t="shared" si="3"/>
        <v>0</v>
      </c>
      <c r="N72" s="893">
        <f t="shared" si="5"/>
        <v>0</v>
      </c>
      <c r="O72" s="905"/>
      <c r="Q72" s="317" t="str">
        <f t="shared" si="0"/>
        <v/>
      </c>
      <c r="R72" s="317" t="str">
        <f t="shared" si="1"/>
        <v/>
      </c>
      <c r="S72" s="317" t="str">
        <f t="shared" si="2"/>
        <v/>
      </c>
      <c r="T72" s="317" t="str">
        <f>GLOBAL_DER_FEV_2023!S72</f>
        <v/>
      </c>
      <c r="W72" s="582">
        <v>0</v>
      </c>
      <c r="X72" s="580"/>
      <c r="Y72" s="583">
        <f>IF(GLOBAL_DER_FEV_2023!W72=0,0,IF(GLOBAL_DER_FEV_2023!W72&gt;0,"c","b"))</f>
        <v>0</v>
      </c>
    </row>
    <row r="73" spans="1:25" ht="15" hidden="1" customHeight="1" x14ac:dyDescent="0.2">
      <c r="A73" s="317">
        <v>401950</v>
      </c>
      <c r="B73" s="895">
        <v>401950</v>
      </c>
      <c r="C73" s="896" t="s">
        <v>184</v>
      </c>
      <c r="D73" s="906" t="s">
        <v>174</v>
      </c>
      <c r="E73" s="907">
        <f>GLOBAL_DER_FEV_2023!E73</f>
        <v>0</v>
      </c>
      <c r="F73" s="908">
        <f>GLOBAL_DER_FEV_2023!F73</f>
        <v>0</v>
      </c>
      <c r="G73" s="909">
        <f>GLOBAL_DER_FEV_2023!G73</f>
        <v>0</v>
      </c>
      <c r="H73" s="889">
        <f>GLOBAL_DER_FEV_2023!H73</f>
        <v>5.54</v>
      </c>
      <c r="I73" s="901">
        <f>GLOBAL_DER_FEV_2023!I73</f>
        <v>5.54</v>
      </c>
      <c r="J73" s="902">
        <f>GLOBAL_DER_FEV_2023!J73</f>
        <v>6.65</v>
      </c>
      <c r="K73" s="903" t="s">
        <v>10</v>
      </c>
      <c r="L73" s="1137"/>
      <c r="M73" s="1138">
        <f t="shared" si="3"/>
        <v>0</v>
      </c>
      <c r="N73" s="893">
        <f t="shared" si="5"/>
        <v>0</v>
      </c>
      <c r="O73" s="905"/>
      <c r="Q73" s="317" t="str">
        <f t="shared" si="0"/>
        <v/>
      </c>
      <c r="R73" s="317" t="str">
        <f t="shared" si="1"/>
        <v/>
      </c>
      <c r="S73" s="317" t="str">
        <f t="shared" si="2"/>
        <v/>
      </c>
      <c r="T73" s="317" t="str">
        <f>GLOBAL_DER_FEV_2023!S73</f>
        <v/>
      </c>
      <c r="W73" s="582">
        <v>0</v>
      </c>
      <c r="X73" s="580"/>
      <c r="Y73" s="583">
        <f>IF(GLOBAL_DER_FEV_2023!W73=0,0,IF(GLOBAL_DER_FEV_2023!W73&gt;0,"c","b"))</f>
        <v>0</v>
      </c>
    </row>
    <row r="74" spans="1:25" ht="15" hidden="1" customHeight="1" x14ac:dyDescent="0.2">
      <c r="A74" s="317">
        <v>400000</v>
      </c>
      <c r="B74" s="895">
        <v>400000</v>
      </c>
      <c r="C74" s="896" t="s">
        <v>184</v>
      </c>
      <c r="D74" s="906" t="s">
        <v>169</v>
      </c>
      <c r="E74" s="907">
        <f>GLOBAL_DER_FEV_2023!E74</f>
        <v>0</v>
      </c>
      <c r="F74" s="908">
        <f>GLOBAL_DER_FEV_2023!F74</f>
        <v>0</v>
      </c>
      <c r="G74" s="909">
        <f>GLOBAL_DER_FEV_2023!G74</f>
        <v>0</v>
      </c>
      <c r="H74" s="889">
        <f>GLOBAL_DER_FEV_2023!H74</f>
        <v>1.1400000000000001</v>
      </c>
      <c r="I74" s="901">
        <f>GLOBAL_DER_FEV_2023!I74</f>
        <v>1.1400000000000001</v>
      </c>
      <c r="J74" s="902">
        <f>GLOBAL_DER_FEV_2023!J74</f>
        <v>1.37</v>
      </c>
      <c r="K74" s="903" t="s">
        <v>12</v>
      </c>
      <c r="L74" s="1137"/>
      <c r="M74" s="1138">
        <f t="shared" si="3"/>
        <v>0</v>
      </c>
      <c r="N74" s="893">
        <f t="shared" si="5"/>
        <v>0</v>
      </c>
      <c r="O74" s="905"/>
      <c r="P74" s="58"/>
      <c r="Q74" s="317" t="str">
        <f t="shared" si="0"/>
        <v/>
      </c>
      <c r="R74" s="317" t="str">
        <f t="shared" si="1"/>
        <v/>
      </c>
      <c r="S74" s="317" t="str">
        <f t="shared" si="2"/>
        <v/>
      </c>
      <c r="T74" s="317" t="str">
        <f>GLOBAL_DER_FEV_2023!S74</f>
        <v/>
      </c>
      <c r="W74" s="582">
        <v>0</v>
      </c>
      <c r="X74" s="580"/>
      <c r="Y74" s="583">
        <f>IF(GLOBAL_DER_FEV_2023!W74=0,0,IF(GLOBAL_DER_FEV_2023!W74&gt;0,"c","b"))</f>
        <v>0</v>
      </c>
    </row>
    <row r="75" spans="1:25" ht="15" hidden="1" customHeight="1" x14ac:dyDescent="0.2">
      <c r="A75" s="317">
        <v>400300</v>
      </c>
      <c r="B75" s="895">
        <v>400300</v>
      </c>
      <c r="C75" s="896" t="s">
        <v>184</v>
      </c>
      <c r="D75" s="906" t="s">
        <v>170</v>
      </c>
      <c r="E75" s="907">
        <f>GLOBAL_DER_FEV_2023!E75</f>
        <v>0</v>
      </c>
      <c r="F75" s="908">
        <f>GLOBAL_DER_FEV_2023!F75</f>
        <v>0</v>
      </c>
      <c r="G75" s="909">
        <f>GLOBAL_DER_FEV_2023!G75</f>
        <v>0</v>
      </c>
      <c r="H75" s="889">
        <f>GLOBAL_DER_FEV_2023!H75</f>
        <v>49.34</v>
      </c>
      <c r="I75" s="901">
        <f>GLOBAL_DER_FEV_2023!I75</f>
        <v>49.34</v>
      </c>
      <c r="J75" s="902">
        <f>GLOBAL_DER_FEV_2023!J75</f>
        <v>59.24</v>
      </c>
      <c r="K75" s="903" t="s">
        <v>15</v>
      </c>
      <c r="L75" s="1137"/>
      <c r="M75" s="1138">
        <f t="shared" si="3"/>
        <v>0</v>
      </c>
      <c r="N75" s="893">
        <f t="shared" si="5"/>
        <v>0</v>
      </c>
      <c r="O75" s="905"/>
      <c r="P75" s="58"/>
      <c r="Q75" s="317" t="str">
        <f t="shared" si="0"/>
        <v/>
      </c>
      <c r="R75" s="317" t="str">
        <f t="shared" si="1"/>
        <v/>
      </c>
      <c r="S75" s="317" t="str">
        <f t="shared" si="2"/>
        <v/>
      </c>
      <c r="T75" s="317" t="str">
        <f>GLOBAL_DER_FEV_2023!S75</f>
        <v/>
      </c>
      <c r="W75" s="582">
        <v>0</v>
      </c>
      <c r="X75" s="580"/>
      <c r="Y75" s="583">
        <f>IF(GLOBAL_DER_FEV_2023!W75=0,0,IF(GLOBAL_DER_FEV_2023!W75&gt;0,"c","b"))</f>
        <v>0</v>
      </c>
    </row>
    <row r="76" spans="1:25" ht="15" hidden="1" customHeight="1" x14ac:dyDescent="0.2">
      <c r="A76" s="317">
        <v>511130</v>
      </c>
      <c r="B76" s="895" t="s">
        <v>1544</v>
      </c>
      <c r="C76" s="896" t="s">
        <v>184</v>
      </c>
      <c r="D76" s="906" t="s">
        <v>447</v>
      </c>
      <c r="E76" s="907">
        <f>GLOBAL_DER_FEV_2023!E76</f>
        <v>0</v>
      </c>
      <c r="F76" s="908">
        <f>GLOBAL_DER_FEV_2023!F76</f>
        <v>0</v>
      </c>
      <c r="G76" s="909">
        <f>GLOBAL_DER_FEV_2023!G76</f>
        <v>0</v>
      </c>
      <c r="H76" s="889">
        <f>GLOBAL_DER_FEV_2023!H76</f>
        <v>1.23</v>
      </c>
      <c r="I76" s="901">
        <f>GLOBAL_DER_FEV_2023!I76</f>
        <v>1.23</v>
      </c>
      <c r="J76" s="902">
        <f>GLOBAL_DER_FEV_2023!J76</f>
        <v>1.48</v>
      </c>
      <c r="K76" s="903" t="s">
        <v>10</v>
      </c>
      <c r="L76" s="1137"/>
      <c r="M76" s="1138">
        <f t="shared" si="3"/>
        <v>0</v>
      </c>
      <c r="N76" s="893">
        <f t="shared" si="5"/>
        <v>0</v>
      </c>
      <c r="O76" s="905"/>
      <c r="P76" s="59"/>
      <c r="Q76" s="317" t="str">
        <f t="shared" si="0"/>
        <v/>
      </c>
      <c r="R76" s="317" t="str">
        <f t="shared" si="1"/>
        <v/>
      </c>
      <c r="S76" s="317" t="str">
        <f t="shared" si="2"/>
        <v/>
      </c>
      <c r="T76" s="317" t="str">
        <f>GLOBAL_DER_FEV_2023!S76</f>
        <v/>
      </c>
      <c r="W76" s="582">
        <v>0</v>
      </c>
      <c r="X76" s="580"/>
      <c r="Y76" s="583">
        <f>IF(GLOBAL_DER_FEV_2023!W76=0,0,IF(GLOBAL_DER_FEV_2023!W76&gt;0,"c","b"))</f>
        <v>0</v>
      </c>
    </row>
    <row r="77" spans="1:25" ht="15" hidden="1" customHeight="1" x14ac:dyDescent="0.2">
      <c r="A77" s="317">
        <v>501000</v>
      </c>
      <c r="B77" s="895">
        <v>501000</v>
      </c>
      <c r="C77" s="896" t="s">
        <v>184</v>
      </c>
      <c r="D77" s="906" t="s">
        <v>446</v>
      </c>
      <c r="E77" s="907">
        <f>GLOBAL_DER_FEV_2023!E77</f>
        <v>2</v>
      </c>
      <c r="F77" s="908">
        <f>GLOBAL_DER_FEV_2023!F77</f>
        <v>1.8</v>
      </c>
      <c r="G77" s="909">
        <f>GLOBAL_DER_FEV_2023!G77</f>
        <v>8.6760000000000002</v>
      </c>
      <c r="H77" s="889">
        <f>GLOBAL_DER_FEV_2023!H77</f>
        <v>6.04</v>
      </c>
      <c r="I77" s="901">
        <f>GLOBAL_DER_FEV_2023!I77</f>
        <v>14.716000000000001</v>
      </c>
      <c r="J77" s="902">
        <f>GLOBAL_DER_FEV_2023!J77</f>
        <v>17.670000000000002</v>
      </c>
      <c r="K77" s="903" t="s">
        <v>10</v>
      </c>
      <c r="L77" s="1137"/>
      <c r="M77" s="1138">
        <f t="shared" si="3"/>
        <v>0</v>
      </c>
      <c r="N77" s="893">
        <f t="shared" si="5"/>
        <v>0</v>
      </c>
      <c r="O77" s="905"/>
      <c r="P77" s="59"/>
      <c r="Q77" s="317" t="str">
        <f t="shared" si="0"/>
        <v/>
      </c>
      <c r="R77" s="317" t="str">
        <f t="shared" si="1"/>
        <v/>
      </c>
      <c r="S77" s="317" t="str">
        <f t="shared" si="2"/>
        <v/>
      </c>
      <c r="T77" s="317" t="str">
        <f>GLOBAL_DER_FEV_2023!S77</f>
        <v/>
      </c>
      <c r="W77" s="582">
        <v>0</v>
      </c>
      <c r="X77" s="580"/>
      <c r="Y77" s="583">
        <f>IF(GLOBAL_DER_FEV_2023!W77=0,0,IF(GLOBAL_DER_FEV_2023!W77&gt;0,"c","b"))</f>
        <v>0</v>
      </c>
    </row>
    <row r="78" spans="1:25" ht="15" hidden="1" customHeight="1" x14ac:dyDescent="0.2">
      <c r="A78" s="317">
        <v>101114</v>
      </c>
      <c r="B78" s="895">
        <v>101114</v>
      </c>
      <c r="C78" s="896" t="s">
        <v>596</v>
      </c>
      <c r="D78" s="906" t="s">
        <v>1906</v>
      </c>
      <c r="E78" s="907">
        <f>GLOBAL_DER_FEV_2023!E78</f>
        <v>0</v>
      </c>
      <c r="F78" s="908">
        <f>GLOBAL_DER_FEV_2023!F78</f>
        <v>0</v>
      </c>
      <c r="G78" s="909">
        <f>GLOBAL_DER_FEV_2023!G78</f>
        <v>0</v>
      </c>
      <c r="H78" s="889">
        <f>GLOBAL_DER_FEV_2023!H78</f>
        <v>4.37</v>
      </c>
      <c r="I78" s="901">
        <f>GLOBAL_DER_FEV_2023!I78</f>
        <v>4.37</v>
      </c>
      <c r="J78" s="902">
        <f>GLOBAL_DER_FEV_2023!J78</f>
        <v>5.25</v>
      </c>
      <c r="K78" s="903" t="s">
        <v>10</v>
      </c>
      <c r="L78" s="1137"/>
      <c r="M78" s="1138">
        <f t="shared" si="3"/>
        <v>0</v>
      </c>
      <c r="N78" s="893">
        <f t="shared" si="5"/>
        <v>0</v>
      </c>
      <c r="O78" s="905"/>
      <c r="Q78" s="317" t="str">
        <f t="shared" si="0"/>
        <v/>
      </c>
      <c r="R78" s="317" t="str">
        <f t="shared" si="1"/>
        <v/>
      </c>
      <c r="S78" s="317" t="str">
        <f t="shared" si="2"/>
        <v/>
      </c>
      <c r="T78" s="317" t="str">
        <f>GLOBAL_DER_FEV_2023!S78</f>
        <v/>
      </c>
      <c r="W78" s="582">
        <v>0</v>
      </c>
      <c r="X78" s="580"/>
      <c r="Y78" s="583">
        <f>IF(GLOBAL_DER_FEV_2023!W78=0,0,IF(GLOBAL_DER_FEV_2023!W78&gt;0,"c","b"))</f>
        <v>0</v>
      </c>
    </row>
    <row r="79" spans="1:25" ht="15" hidden="1" customHeight="1" x14ac:dyDescent="0.2">
      <c r="A79" s="317">
        <v>101119</v>
      </c>
      <c r="B79" s="895">
        <v>101119</v>
      </c>
      <c r="C79" s="896" t="s">
        <v>596</v>
      </c>
      <c r="D79" s="906" t="s">
        <v>1907</v>
      </c>
      <c r="E79" s="907">
        <f>GLOBAL_DER_FEV_2023!E79</f>
        <v>0</v>
      </c>
      <c r="F79" s="908">
        <f>GLOBAL_DER_FEV_2023!F79</f>
        <v>0</v>
      </c>
      <c r="G79" s="909">
        <f>GLOBAL_DER_FEV_2023!G79</f>
        <v>0</v>
      </c>
      <c r="H79" s="889">
        <f>GLOBAL_DER_FEV_2023!H79</f>
        <v>8.36</v>
      </c>
      <c r="I79" s="901">
        <f>GLOBAL_DER_FEV_2023!I79</f>
        <v>8.36</v>
      </c>
      <c r="J79" s="902">
        <f>GLOBAL_DER_FEV_2023!J79</f>
        <v>10.039999999999999</v>
      </c>
      <c r="K79" s="903" t="s">
        <v>10</v>
      </c>
      <c r="L79" s="1137"/>
      <c r="M79" s="1138">
        <f t="shared" si="3"/>
        <v>0</v>
      </c>
      <c r="N79" s="893">
        <f t="shared" si="5"/>
        <v>0</v>
      </c>
      <c r="O79" s="905"/>
      <c r="Q79" s="317" t="str">
        <f t="shared" si="0"/>
        <v/>
      </c>
      <c r="R79" s="317" t="str">
        <f t="shared" si="1"/>
        <v/>
      </c>
      <c r="S79" s="317" t="str">
        <f t="shared" si="2"/>
        <v/>
      </c>
      <c r="T79" s="317" t="str">
        <f>GLOBAL_DER_FEV_2023!S79</f>
        <v/>
      </c>
      <c r="W79" s="582">
        <v>0</v>
      </c>
      <c r="X79" s="580"/>
      <c r="Y79" s="583">
        <f>IF(GLOBAL_DER_FEV_2023!W79=0,0,IF(GLOBAL_DER_FEV_2023!W79&gt;0,"c","b"))</f>
        <v>0</v>
      </c>
    </row>
    <row r="80" spans="1:25" ht="15" hidden="1" customHeight="1" x14ac:dyDescent="0.2">
      <c r="A80" s="317">
        <v>430010</v>
      </c>
      <c r="B80" s="895">
        <v>430210</v>
      </c>
      <c r="C80" s="896" t="s">
        <v>184</v>
      </c>
      <c r="D80" s="906" t="s">
        <v>1908</v>
      </c>
      <c r="E80" s="907">
        <f>GLOBAL_DER_FEV_2023!E80</f>
        <v>0</v>
      </c>
      <c r="F80" s="908">
        <f>GLOBAL_DER_FEV_2023!F80</f>
        <v>0</v>
      </c>
      <c r="G80" s="909">
        <f>GLOBAL_DER_FEV_2023!G80</f>
        <v>0</v>
      </c>
      <c r="H80" s="889">
        <f>GLOBAL_DER_FEV_2023!H80</f>
        <v>40.54</v>
      </c>
      <c r="I80" s="901">
        <f>GLOBAL_DER_FEV_2023!I80</f>
        <v>40.54</v>
      </c>
      <c r="J80" s="902">
        <f>GLOBAL_DER_FEV_2023!J80</f>
        <v>48.68</v>
      </c>
      <c r="K80" s="903" t="s">
        <v>10</v>
      </c>
      <c r="L80" s="1137"/>
      <c r="M80" s="1138">
        <f t="shared" si="3"/>
        <v>0</v>
      </c>
      <c r="N80" s="893">
        <f t="shared" si="5"/>
        <v>0</v>
      </c>
      <c r="O80" s="905"/>
      <c r="Q80" s="317" t="str">
        <f t="shared" si="0"/>
        <v/>
      </c>
      <c r="R80" s="317" t="str">
        <f t="shared" si="1"/>
        <v/>
      </c>
      <c r="S80" s="317" t="str">
        <f t="shared" si="2"/>
        <v/>
      </c>
      <c r="T80" s="317" t="str">
        <f>GLOBAL_DER_FEV_2023!S80</f>
        <v/>
      </c>
      <c r="W80" s="582">
        <v>0</v>
      </c>
      <c r="X80" s="580"/>
      <c r="Y80" s="583">
        <f>IF(GLOBAL_DER_FEV_2023!W80=0,0,IF(GLOBAL_DER_FEV_2023!W80&gt;0,"c","b"))</f>
        <v>0</v>
      </c>
    </row>
    <row r="81" spans="1:25" ht="15" hidden="1" customHeight="1" x14ac:dyDescent="0.2">
      <c r="A81" s="317" t="s">
        <v>1901</v>
      </c>
      <c r="B81" s="895" t="str">
        <f>GLOBAL_DER_FEV_2023!B81</f>
        <v>02.105.000040.SER</v>
      </c>
      <c r="C81" s="896" t="str">
        <f>GLOBAL_DER_FEV_2023!C81</f>
        <v>PINI - fev/23</v>
      </c>
      <c r="D81" s="906" t="str">
        <f>GLOBAL_DER_FEV_2023!D81</f>
        <v>Carga de mat. 1a. cat./sem transporte</v>
      </c>
      <c r="E81" s="907">
        <f>GLOBAL_DER_FEV_2023!E81</f>
        <v>0</v>
      </c>
      <c r="F81" s="908">
        <f>GLOBAL_DER_FEV_2023!F81</f>
        <v>0</v>
      </c>
      <c r="G81" s="909">
        <f>GLOBAL_DER_FEV_2023!G81</f>
        <v>0</v>
      </c>
      <c r="H81" s="901">
        <f>GLOBAL_DER_FEV_2023!H81</f>
        <v>1.01</v>
      </c>
      <c r="I81" s="901">
        <f>GLOBAL_DER_FEV_2023!I81</f>
        <v>1.01</v>
      </c>
      <c r="J81" s="902">
        <f>GLOBAL_DER_FEV_2023!J81</f>
        <v>1.21</v>
      </c>
      <c r="K81" s="903" t="s">
        <v>1516</v>
      </c>
      <c r="L81" s="1137"/>
      <c r="M81" s="1138">
        <f t="shared" si="3"/>
        <v>0</v>
      </c>
      <c r="N81" s="893">
        <f t="shared" si="5"/>
        <v>0</v>
      </c>
      <c r="O81" s="905"/>
      <c r="Q81" s="317" t="str">
        <f t="shared" si="0"/>
        <v/>
      </c>
      <c r="R81" s="317" t="str">
        <f t="shared" si="1"/>
        <v/>
      </c>
      <c r="S81" s="317" t="str">
        <f t="shared" si="2"/>
        <v/>
      </c>
      <c r="T81" s="317" t="str">
        <f>GLOBAL_DER_FEV_2023!S81</f>
        <v/>
      </c>
      <c r="W81" s="582">
        <v>0</v>
      </c>
      <c r="X81" s="580"/>
      <c r="Y81" s="583">
        <f>IF(GLOBAL_DER_FEV_2023!W81=0,0,IF(GLOBAL_DER_FEV_2023!W81&gt;0,"c","b"))</f>
        <v>0</v>
      </c>
    </row>
    <row r="82" spans="1:25" ht="15" hidden="1" customHeight="1" x14ac:dyDescent="0.2">
      <c r="A82" s="317">
        <v>520100</v>
      </c>
      <c r="B82" s="895" t="s">
        <v>1545</v>
      </c>
      <c r="C82" s="896" t="s">
        <v>184</v>
      </c>
      <c r="D82" s="906" t="s">
        <v>1903</v>
      </c>
      <c r="E82" s="907">
        <f>GLOBAL_DER_FEV_2023!E82</f>
        <v>0</v>
      </c>
      <c r="F82" s="908">
        <f>GLOBAL_DER_FEV_2023!F82</f>
        <v>0</v>
      </c>
      <c r="G82" s="909">
        <f>GLOBAL_DER_FEV_2023!G82</f>
        <v>0</v>
      </c>
      <c r="H82" s="889">
        <f>GLOBAL_DER_FEV_2023!H82</f>
        <v>5.45</v>
      </c>
      <c r="I82" s="901">
        <f>GLOBAL_DER_FEV_2023!I82</f>
        <v>5.45</v>
      </c>
      <c r="J82" s="902">
        <f>GLOBAL_DER_FEV_2023!J82</f>
        <v>6.54</v>
      </c>
      <c r="K82" s="903" t="s">
        <v>10</v>
      </c>
      <c r="L82" s="1137"/>
      <c r="M82" s="1138">
        <f t="shared" si="3"/>
        <v>0</v>
      </c>
      <c r="N82" s="893">
        <f t="shared" si="5"/>
        <v>0</v>
      </c>
      <c r="O82" s="905"/>
      <c r="Q82" s="317" t="str">
        <f t="shared" si="0"/>
        <v/>
      </c>
      <c r="R82" s="317" t="str">
        <f t="shared" si="1"/>
        <v/>
      </c>
      <c r="S82" s="317" t="str">
        <f t="shared" si="2"/>
        <v/>
      </c>
      <c r="T82" s="317" t="str">
        <f>GLOBAL_DER_FEV_2023!S82</f>
        <v/>
      </c>
      <c r="W82" s="582">
        <v>0</v>
      </c>
      <c r="X82" s="580"/>
      <c r="Y82" s="583">
        <f>IF(GLOBAL_DER_FEV_2023!W82=0,0,IF(GLOBAL_DER_FEV_2023!W82&gt;0,"c","b"))</f>
        <v>0</v>
      </c>
    </row>
    <row r="83" spans="1:25" ht="15" hidden="1" customHeight="1" x14ac:dyDescent="0.2">
      <c r="A83" s="317">
        <v>520200</v>
      </c>
      <c r="B83" s="895" t="s">
        <v>1546</v>
      </c>
      <c r="C83" s="896" t="s">
        <v>184</v>
      </c>
      <c r="D83" s="906" t="s">
        <v>1904</v>
      </c>
      <c r="E83" s="907">
        <f>GLOBAL_DER_FEV_2023!E83</f>
        <v>0</v>
      </c>
      <c r="F83" s="908">
        <f>GLOBAL_DER_FEV_2023!F83</f>
        <v>0</v>
      </c>
      <c r="G83" s="909">
        <f>GLOBAL_DER_FEV_2023!G83</f>
        <v>0</v>
      </c>
      <c r="H83" s="889">
        <f>GLOBAL_DER_FEV_2023!H83</f>
        <v>6.66</v>
      </c>
      <c r="I83" s="901">
        <f>GLOBAL_DER_FEV_2023!I83</f>
        <v>6.66</v>
      </c>
      <c r="J83" s="902">
        <f>GLOBAL_DER_FEV_2023!J83</f>
        <v>8</v>
      </c>
      <c r="K83" s="903" t="s">
        <v>10</v>
      </c>
      <c r="L83" s="1137"/>
      <c r="M83" s="1138">
        <f t="shared" si="3"/>
        <v>0</v>
      </c>
      <c r="N83" s="893">
        <f t="shared" si="5"/>
        <v>0</v>
      </c>
      <c r="O83" s="905"/>
      <c r="Q83" s="317" t="str">
        <f t="shared" ref="Q83:Q146" si="6">IF(P83="X","x",IF(P83="xx","x",IF(P83="xy","x",IF(P83="y","x",IF(OR(N83&gt;0,N83&gt;0),"x","")))))</f>
        <v/>
      </c>
      <c r="R83" s="317" t="str">
        <f t="shared" si="1"/>
        <v/>
      </c>
      <c r="S83" s="317" t="str">
        <f t="shared" si="2"/>
        <v/>
      </c>
      <c r="T83" s="317" t="str">
        <f>GLOBAL_DER_FEV_2023!S83</f>
        <v/>
      </c>
      <c r="W83" s="582">
        <v>0</v>
      </c>
      <c r="X83" s="580"/>
      <c r="Y83" s="583">
        <f>IF(GLOBAL_DER_FEV_2023!W83=0,0,IF(GLOBAL_DER_FEV_2023!W83&gt;0,"c","b"))</f>
        <v>0</v>
      </c>
    </row>
    <row r="84" spans="1:25" ht="15" hidden="1" customHeight="1" x14ac:dyDescent="0.2">
      <c r="A84" s="317">
        <v>431010</v>
      </c>
      <c r="B84" s="895">
        <v>431010</v>
      </c>
      <c r="C84" s="896" t="s">
        <v>184</v>
      </c>
      <c r="D84" s="906" t="s">
        <v>1905</v>
      </c>
      <c r="E84" s="907">
        <f>GLOBAL_DER_FEV_2023!E84</f>
        <v>0</v>
      </c>
      <c r="F84" s="908">
        <f>GLOBAL_DER_FEV_2023!F84</f>
        <v>0</v>
      </c>
      <c r="G84" s="909">
        <f>GLOBAL_DER_FEV_2023!G84</f>
        <v>0</v>
      </c>
      <c r="H84" s="889">
        <f>GLOBAL_DER_FEV_2023!H84</f>
        <v>44.4</v>
      </c>
      <c r="I84" s="901">
        <f>GLOBAL_DER_FEV_2023!I84</f>
        <v>44.4</v>
      </c>
      <c r="J84" s="902">
        <f>GLOBAL_DER_FEV_2023!J84</f>
        <v>53.31</v>
      </c>
      <c r="K84" s="903" t="s">
        <v>10</v>
      </c>
      <c r="L84" s="1137"/>
      <c r="M84" s="1138">
        <f t="shared" ref="M84:M147" si="7">IF(L84=0,0,ROUND(J84,2))</f>
        <v>0</v>
      </c>
      <c r="N84" s="893">
        <f t="shared" si="5"/>
        <v>0</v>
      </c>
      <c r="O84" s="905"/>
      <c r="Q84" s="317" t="str">
        <f t="shared" si="6"/>
        <v/>
      </c>
      <c r="R84" s="317" t="str">
        <f t="shared" si="1"/>
        <v/>
      </c>
      <c r="S84" s="317" t="str">
        <f t="shared" si="2"/>
        <v/>
      </c>
      <c r="T84" s="317" t="str">
        <f>GLOBAL_DER_FEV_2023!S84</f>
        <v/>
      </c>
      <c r="W84" s="582">
        <v>0</v>
      </c>
      <c r="X84" s="580"/>
      <c r="Y84" s="583">
        <f>IF(GLOBAL_DER_FEV_2023!W84=0,0,IF(GLOBAL_DER_FEV_2023!W84&gt;0,"c","b"))</f>
        <v>0</v>
      </c>
    </row>
    <row r="85" spans="1:25" ht="15" hidden="1" customHeight="1" x14ac:dyDescent="0.2">
      <c r="A85" s="317">
        <v>520100</v>
      </c>
      <c r="B85" s="895" t="s">
        <v>1547</v>
      </c>
      <c r="C85" s="896" t="s">
        <v>184</v>
      </c>
      <c r="D85" s="906" t="s">
        <v>1909</v>
      </c>
      <c r="E85" s="907">
        <f>GLOBAL_DER_FEV_2023!E85</f>
        <v>2</v>
      </c>
      <c r="F85" s="908">
        <f>GLOBAL_DER_FEV_2023!F85</f>
        <v>1.5</v>
      </c>
      <c r="G85" s="909">
        <f>GLOBAL_DER_FEV_2023!G85</f>
        <v>7.23</v>
      </c>
      <c r="H85" s="889">
        <f>GLOBAL_DER_FEV_2023!H85</f>
        <v>5.45</v>
      </c>
      <c r="I85" s="901">
        <f>GLOBAL_DER_FEV_2023!I85</f>
        <v>12.68</v>
      </c>
      <c r="J85" s="902">
        <f>GLOBAL_DER_FEV_2023!J85</f>
        <v>15.22</v>
      </c>
      <c r="K85" s="903" t="s">
        <v>10</v>
      </c>
      <c r="L85" s="1137"/>
      <c r="M85" s="1138">
        <f t="shared" si="7"/>
        <v>0</v>
      </c>
      <c r="N85" s="893">
        <f t="shared" si="5"/>
        <v>0</v>
      </c>
      <c r="O85" s="905"/>
      <c r="Q85" s="317" t="str">
        <f t="shared" si="6"/>
        <v/>
      </c>
      <c r="R85" s="317" t="str">
        <f t="shared" ref="R85:R148" si="8">IF(P85="X","x",IF(P85="y","x",IF(P85="xx","x",IF(N85&gt;0,"x",""))))</f>
        <v/>
      </c>
      <c r="S85" s="317" t="str">
        <f t="shared" ref="S85:S148" si="9">IF(P85="X","x",IF(N85&gt;0,"x",""))</f>
        <v/>
      </c>
      <c r="T85" s="317" t="str">
        <f>GLOBAL_DER_FEV_2023!S85</f>
        <v/>
      </c>
      <c r="W85" s="582">
        <v>0</v>
      </c>
      <c r="X85" s="580"/>
      <c r="Y85" s="583">
        <f>IF(GLOBAL_DER_FEV_2023!W85=0,0,IF(GLOBAL_DER_FEV_2023!W85&gt;0,"c","b"))</f>
        <v>0</v>
      </c>
    </row>
    <row r="86" spans="1:25" ht="15" hidden="1" customHeight="1" x14ac:dyDescent="0.2">
      <c r="A86" s="317">
        <v>520200</v>
      </c>
      <c r="B86" s="895" t="s">
        <v>1548</v>
      </c>
      <c r="C86" s="896" t="s">
        <v>184</v>
      </c>
      <c r="D86" s="906" t="s">
        <v>1910</v>
      </c>
      <c r="E86" s="907">
        <f>GLOBAL_DER_FEV_2023!E86</f>
        <v>2</v>
      </c>
      <c r="F86" s="908">
        <f>GLOBAL_DER_FEV_2023!F86</f>
        <v>1.5</v>
      </c>
      <c r="G86" s="909">
        <f>GLOBAL_DER_FEV_2023!G86</f>
        <v>7.23</v>
      </c>
      <c r="H86" s="889">
        <f>GLOBAL_DER_FEV_2023!H86</f>
        <v>6.66</v>
      </c>
      <c r="I86" s="901">
        <f>GLOBAL_DER_FEV_2023!I86</f>
        <v>13.89</v>
      </c>
      <c r="J86" s="902">
        <f>GLOBAL_DER_FEV_2023!J86</f>
        <v>16.68</v>
      </c>
      <c r="K86" s="903" t="s">
        <v>10</v>
      </c>
      <c r="L86" s="1137"/>
      <c r="M86" s="1138">
        <f t="shared" si="7"/>
        <v>0</v>
      </c>
      <c r="N86" s="893">
        <f t="shared" si="5"/>
        <v>0</v>
      </c>
      <c r="O86" s="905"/>
      <c r="Q86" s="317" t="str">
        <f t="shared" si="6"/>
        <v/>
      </c>
      <c r="R86" s="317" t="str">
        <f t="shared" si="8"/>
        <v/>
      </c>
      <c r="S86" s="317" t="str">
        <f t="shared" si="9"/>
        <v/>
      </c>
      <c r="T86" s="317" t="str">
        <f>GLOBAL_DER_FEV_2023!S86</f>
        <v/>
      </c>
      <c r="W86" s="582">
        <v>0</v>
      </c>
      <c r="X86" s="580"/>
      <c r="Y86" s="583">
        <f>IF(GLOBAL_DER_FEV_2023!W86=0,0,IF(GLOBAL_DER_FEV_2023!W86&gt;0,"c","b"))</f>
        <v>0</v>
      </c>
    </row>
    <row r="87" spans="1:25" ht="15" hidden="1" customHeight="1" x14ac:dyDescent="0.2">
      <c r="A87" s="317">
        <v>521300</v>
      </c>
      <c r="B87" s="895">
        <v>521300</v>
      </c>
      <c r="C87" s="896" t="s">
        <v>184</v>
      </c>
      <c r="D87" s="906" t="s">
        <v>1911</v>
      </c>
      <c r="E87" s="907">
        <f>GLOBAL_DER_FEV_2023!E87</f>
        <v>2</v>
      </c>
      <c r="F87" s="908">
        <f>GLOBAL_DER_FEV_2023!F87</f>
        <v>1.5</v>
      </c>
      <c r="G87" s="909">
        <f>GLOBAL_DER_FEV_2023!G87</f>
        <v>7.23</v>
      </c>
      <c r="H87" s="889">
        <f>GLOBAL_DER_FEV_2023!H87</f>
        <v>46.06</v>
      </c>
      <c r="I87" s="901">
        <f>GLOBAL_DER_FEV_2023!I87</f>
        <v>53.290000000000006</v>
      </c>
      <c r="J87" s="902">
        <f>GLOBAL_DER_FEV_2023!J87</f>
        <v>63.99</v>
      </c>
      <c r="K87" s="903" t="s">
        <v>10</v>
      </c>
      <c r="L87" s="1137"/>
      <c r="M87" s="1138">
        <f t="shared" si="7"/>
        <v>0</v>
      </c>
      <c r="N87" s="893">
        <f t="shared" si="5"/>
        <v>0</v>
      </c>
      <c r="O87" s="905"/>
      <c r="Q87" s="317" t="str">
        <f t="shared" si="6"/>
        <v/>
      </c>
      <c r="R87" s="317" t="str">
        <f t="shared" si="8"/>
        <v/>
      </c>
      <c r="S87" s="317" t="str">
        <f t="shared" si="9"/>
        <v/>
      </c>
      <c r="T87" s="317" t="str">
        <f>GLOBAL_DER_FEV_2023!S87</f>
        <v/>
      </c>
      <c r="W87" s="582">
        <v>0</v>
      </c>
      <c r="X87" s="580"/>
      <c r="Y87" s="583">
        <f>IF(GLOBAL_DER_FEV_2023!W87=0,0,IF(GLOBAL_DER_FEV_2023!W87&gt;0,"c","b"))</f>
        <v>0</v>
      </c>
    </row>
    <row r="88" spans="1:25" ht="15" hidden="1" customHeight="1" x14ac:dyDescent="0.2">
      <c r="A88" s="317">
        <v>411000</v>
      </c>
      <c r="B88" s="895">
        <v>411000</v>
      </c>
      <c r="C88" s="896" t="s">
        <v>184</v>
      </c>
      <c r="D88" s="906" t="s">
        <v>172</v>
      </c>
      <c r="E88" s="907">
        <f>GLOBAL_DER_FEV_2023!E88</f>
        <v>0</v>
      </c>
      <c r="F88" s="908">
        <f>GLOBAL_DER_FEV_2023!F88</f>
        <v>0</v>
      </c>
      <c r="G88" s="909">
        <f>GLOBAL_DER_FEV_2023!G88</f>
        <v>0</v>
      </c>
      <c r="H88" s="889">
        <f>GLOBAL_DER_FEV_2023!H88</f>
        <v>9.51</v>
      </c>
      <c r="I88" s="901">
        <f>GLOBAL_DER_FEV_2023!I88</f>
        <v>9.51</v>
      </c>
      <c r="J88" s="902">
        <f>GLOBAL_DER_FEV_2023!J88</f>
        <v>11.42</v>
      </c>
      <c r="K88" s="903" t="s">
        <v>10</v>
      </c>
      <c r="L88" s="1137"/>
      <c r="M88" s="1138">
        <f t="shared" si="7"/>
        <v>0</v>
      </c>
      <c r="N88" s="893">
        <f t="shared" si="5"/>
        <v>0</v>
      </c>
      <c r="O88" s="905"/>
      <c r="P88" s="59"/>
      <c r="Q88" s="317" t="str">
        <f t="shared" si="6"/>
        <v/>
      </c>
      <c r="R88" s="317" t="str">
        <f t="shared" si="8"/>
        <v/>
      </c>
      <c r="S88" s="317" t="str">
        <f t="shared" si="9"/>
        <v/>
      </c>
      <c r="T88" s="317" t="str">
        <f>GLOBAL_DER_FEV_2023!S88</f>
        <v/>
      </c>
      <c r="W88" s="582">
        <v>0</v>
      </c>
      <c r="X88" s="580"/>
      <c r="Y88" s="583">
        <f>IF(GLOBAL_DER_FEV_2023!W88=0,0,IF(GLOBAL_DER_FEV_2023!W88&gt;0,"c","b"))</f>
        <v>0</v>
      </c>
    </row>
    <row r="89" spans="1:25" ht="15" hidden="1" customHeight="1" x14ac:dyDescent="0.2">
      <c r="A89" s="317">
        <v>420200</v>
      </c>
      <c r="B89" s="895">
        <v>420200</v>
      </c>
      <c r="C89" s="896" t="s">
        <v>184</v>
      </c>
      <c r="D89" s="906" t="s">
        <v>483</v>
      </c>
      <c r="E89" s="907">
        <f>GLOBAL_DER_FEV_2023!E89</f>
        <v>2</v>
      </c>
      <c r="F89" s="908">
        <f>GLOBAL_DER_FEV_2023!F89</f>
        <v>0.5</v>
      </c>
      <c r="G89" s="909">
        <f>GLOBAL_DER_FEV_2023!G89</f>
        <v>2.41</v>
      </c>
      <c r="H89" s="889">
        <f>GLOBAL_DER_FEV_2023!H89</f>
        <v>11.51</v>
      </c>
      <c r="I89" s="901">
        <f>GLOBAL_DER_FEV_2023!I89</f>
        <v>12.528</v>
      </c>
      <c r="J89" s="902">
        <f>GLOBAL_DER_FEV_2023!J89</f>
        <v>15.04</v>
      </c>
      <c r="K89" s="903" t="s">
        <v>10</v>
      </c>
      <c r="L89" s="1137"/>
      <c r="M89" s="1138">
        <f t="shared" si="7"/>
        <v>0</v>
      </c>
      <c r="N89" s="893">
        <f t="shared" ref="N89:N152" si="10">IF(ISBLANK(L89),0,IF(W89=0,ROUND(L89*M89,2),IF(W89="b",ROUNDDOWN(L89*M89,2),ROUNDUP(L89*M89,2))))</f>
        <v>0</v>
      </c>
      <c r="O89" s="905"/>
      <c r="P89" s="59"/>
      <c r="Q89" s="317" t="str">
        <f t="shared" si="6"/>
        <v/>
      </c>
      <c r="R89" s="317" t="str">
        <f t="shared" si="8"/>
        <v/>
      </c>
      <c r="S89" s="317" t="str">
        <f t="shared" si="9"/>
        <v/>
      </c>
      <c r="T89" s="317" t="str">
        <f>GLOBAL_DER_FEV_2023!S89</f>
        <v/>
      </c>
      <c r="W89" s="582">
        <v>0</v>
      </c>
      <c r="X89" s="580"/>
      <c r="Y89" s="583">
        <f>IF(GLOBAL_DER_FEV_2023!W89=0,0,IF(GLOBAL_DER_FEV_2023!W89&gt;0,"c","b"))</f>
        <v>0</v>
      </c>
    </row>
    <row r="90" spans="1:25" ht="15" hidden="1" customHeight="1" x14ac:dyDescent="0.2">
      <c r="A90" s="317">
        <v>404000</v>
      </c>
      <c r="B90" s="895">
        <v>404000</v>
      </c>
      <c r="C90" s="896" t="s">
        <v>184</v>
      </c>
      <c r="D90" s="906" t="s">
        <v>171</v>
      </c>
      <c r="E90" s="907">
        <f>GLOBAL_DER_FEV_2023!E90</f>
        <v>2</v>
      </c>
      <c r="F90" s="908">
        <f>GLOBAL_DER_FEV_2023!F90</f>
        <v>1.5</v>
      </c>
      <c r="G90" s="909">
        <f>GLOBAL_DER_FEV_2023!G90</f>
        <v>7.23</v>
      </c>
      <c r="H90" s="889">
        <f>GLOBAL_DER_FEV_2023!H90</f>
        <v>11.43</v>
      </c>
      <c r="I90" s="901">
        <f>GLOBAL_DER_FEV_2023!I90</f>
        <v>18.66</v>
      </c>
      <c r="J90" s="902">
        <f>GLOBAL_DER_FEV_2023!J90</f>
        <v>22.41</v>
      </c>
      <c r="K90" s="903" t="s">
        <v>10</v>
      </c>
      <c r="L90" s="1137"/>
      <c r="M90" s="1138">
        <f t="shared" si="7"/>
        <v>0</v>
      </c>
      <c r="N90" s="893">
        <f t="shared" si="10"/>
        <v>0</v>
      </c>
      <c r="O90" s="905"/>
      <c r="P90" s="59"/>
      <c r="Q90" s="317" t="str">
        <f t="shared" si="6"/>
        <v/>
      </c>
      <c r="R90" s="317" t="str">
        <f t="shared" si="8"/>
        <v/>
      </c>
      <c r="S90" s="317" t="str">
        <f t="shared" si="9"/>
        <v/>
      </c>
      <c r="T90" s="317" t="str">
        <f>GLOBAL_DER_FEV_2023!S90</f>
        <v/>
      </c>
      <c r="W90" s="582">
        <v>0</v>
      </c>
      <c r="X90" s="580"/>
      <c r="Y90" s="583">
        <f>IF(GLOBAL_DER_FEV_2023!W90=0,0,IF(GLOBAL_DER_FEV_2023!W90&gt;0,"c","b"))</f>
        <v>0</v>
      </c>
    </row>
    <row r="91" spans="1:25" ht="15" hidden="1" customHeight="1" x14ac:dyDescent="0.2">
      <c r="A91" s="640" t="s">
        <v>165</v>
      </c>
      <c r="B91" s="913" t="s">
        <v>165</v>
      </c>
      <c r="C91" s="914"/>
      <c r="D91" s="915" t="s">
        <v>164</v>
      </c>
      <c r="E91" s="916">
        <f>GLOBAL_DER_FEV_2023!E91</f>
        <v>0</v>
      </c>
      <c r="F91" s="917">
        <f>GLOBAL_DER_FEV_2023!F91</f>
        <v>0</v>
      </c>
      <c r="G91" s="949">
        <f>GLOBAL_DER_FEV_2023!G91</f>
        <v>0</v>
      </c>
      <c r="H91" s="919">
        <f>GLOBAL_DER_FEV_2023!H91</f>
        <v>0</v>
      </c>
      <c r="I91" s="919">
        <f>GLOBAL_DER_FEV_2023!I91</f>
        <v>0</v>
      </c>
      <c r="J91" s="919">
        <f>GLOBAL_DER_FEV_2023!J91</f>
        <v>0</v>
      </c>
      <c r="K91" s="920" t="s">
        <v>507</v>
      </c>
      <c r="L91" s="921"/>
      <c r="M91" s="1138">
        <f t="shared" si="7"/>
        <v>0</v>
      </c>
      <c r="N91" s="923">
        <f t="shared" si="10"/>
        <v>0</v>
      </c>
      <c r="O91" s="905"/>
      <c r="P91" s="58" t="str">
        <f>IF(OR(SUM(N92:N116)&gt;0,SUM(N92:N116)&gt;0),"y","")</f>
        <v/>
      </c>
      <c r="Q91" s="317" t="str">
        <f t="shared" si="6"/>
        <v/>
      </c>
      <c r="R91" s="317" t="str">
        <f t="shared" si="8"/>
        <v/>
      </c>
      <c r="S91" s="317" t="str">
        <f t="shared" si="9"/>
        <v/>
      </c>
      <c r="T91" s="317" t="str">
        <f>GLOBAL_DER_FEV_2023!S91</f>
        <v/>
      </c>
      <c r="W91" s="582">
        <v>0</v>
      </c>
      <c r="X91" s="580"/>
      <c r="Y91" s="583">
        <f>IF(GLOBAL_DER_FEV_2023!W91=0,0,IF(GLOBAL_DER_FEV_2023!W91&gt;0,"c","b"))</f>
        <v>0</v>
      </c>
    </row>
    <row r="92" spans="1:25" ht="15" hidden="1" customHeight="1" x14ac:dyDescent="0.2">
      <c r="A92" s="640" t="s">
        <v>165</v>
      </c>
      <c r="B92" s="1036" t="str">
        <f>GLOBAL_DER_FEV_2023!B92</f>
        <v/>
      </c>
      <c r="C92" s="1072" t="str">
        <f>GLOBAL_DER_FEV_2023!C92</f>
        <v/>
      </c>
      <c r="D92" s="1141">
        <f>GLOBAL_DER_FEV_2023!D92</f>
        <v>0</v>
      </c>
      <c r="E92" s="907">
        <f>GLOBAL_DER_FEV_2023!E92</f>
        <v>0</v>
      </c>
      <c r="F92" s="908">
        <f>GLOBAL_DER_FEV_2023!F92</f>
        <v>0</v>
      </c>
      <c r="G92" s="912">
        <f>GLOBAL_DER_FEV_2023!G92</f>
        <v>0</v>
      </c>
      <c r="H92" s="901">
        <f>GLOBAL_DER_FEV_2023!H92</f>
        <v>0</v>
      </c>
      <c r="I92" s="901">
        <f>GLOBAL_DER_FEV_2023!I92</f>
        <v>0</v>
      </c>
      <c r="J92" s="902">
        <f>GLOBAL_DER_FEV_2023!J92</f>
        <v>0</v>
      </c>
      <c r="K92" s="903" t="str">
        <f>GLOBAL_DER_FEV_2023!K92</f>
        <v xml:space="preserve">     </v>
      </c>
      <c r="L92" s="1137"/>
      <c r="M92" s="1138">
        <f t="shared" si="7"/>
        <v>0</v>
      </c>
      <c r="N92" s="893">
        <f t="shared" si="10"/>
        <v>0</v>
      </c>
      <c r="O92" s="905"/>
      <c r="Q92" s="317" t="str">
        <f t="shared" si="6"/>
        <v/>
      </c>
      <c r="R92" s="317" t="str">
        <f t="shared" si="8"/>
        <v/>
      </c>
      <c r="S92" s="317" t="str">
        <f t="shared" si="9"/>
        <v/>
      </c>
      <c r="T92" s="317" t="str">
        <f>GLOBAL_DER_FEV_2023!S92</f>
        <v/>
      </c>
      <c r="W92" s="582">
        <v>0</v>
      </c>
      <c r="X92" s="580"/>
      <c r="Y92" s="583">
        <f>IF(GLOBAL_DER_FEV_2023!W92=0,0,IF(GLOBAL_DER_FEV_2023!W92&gt;0,"c","b"))</f>
        <v>0</v>
      </c>
    </row>
    <row r="93" spans="1:25" ht="15" hidden="1" customHeight="1" x14ac:dyDescent="0.2">
      <c r="A93" s="640" t="s">
        <v>165</v>
      </c>
      <c r="B93" s="1036" t="str">
        <f>GLOBAL_DER_FEV_2023!B93</f>
        <v/>
      </c>
      <c r="C93" s="1072" t="str">
        <f>GLOBAL_DER_FEV_2023!C93</f>
        <v/>
      </c>
      <c r="D93" s="1141">
        <f>GLOBAL_DER_FEV_2023!D93</f>
        <v>0</v>
      </c>
      <c r="E93" s="907">
        <f>GLOBAL_DER_FEV_2023!E93</f>
        <v>0</v>
      </c>
      <c r="F93" s="908">
        <f>GLOBAL_DER_FEV_2023!F93</f>
        <v>0</v>
      </c>
      <c r="G93" s="912">
        <f>GLOBAL_DER_FEV_2023!G93</f>
        <v>0</v>
      </c>
      <c r="H93" s="901">
        <f>GLOBAL_DER_FEV_2023!H93</f>
        <v>0</v>
      </c>
      <c r="I93" s="901">
        <f>GLOBAL_DER_FEV_2023!I93</f>
        <v>0</v>
      </c>
      <c r="J93" s="890">
        <f>GLOBAL_DER_FEV_2023!J93</f>
        <v>0</v>
      </c>
      <c r="K93" s="903" t="str">
        <f>GLOBAL_DER_FEV_2023!K93</f>
        <v xml:space="preserve">     </v>
      </c>
      <c r="L93" s="1137"/>
      <c r="M93" s="1138">
        <f t="shared" si="7"/>
        <v>0</v>
      </c>
      <c r="N93" s="932">
        <f t="shared" si="10"/>
        <v>0</v>
      </c>
      <c r="O93" s="905"/>
      <c r="Q93" s="317" t="str">
        <f t="shared" si="6"/>
        <v/>
      </c>
      <c r="R93" s="317" t="str">
        <f t="shared" si="8"/>
        <v/>
      </c>
      <c r="S93" s="317" t="str">
        <f t="shared" si="9"/>
        <v/>
      </c>
      <c r="T93" s="317" t="str">
        <f>GLOBAL_DER_FEV_2023!S93</f>
        <v/>
      </c>
      <c r="W93" s="582">
        <v>0</v>
      </c>
      <c r="X93" s="580"/>
      <c r="Y93" s="583">
        <f>IF(GLOBAL_DER_FEV_2023!W93=0,0,IF(GLOBAL_DER_FEV_2023!W93&gt;0,"c","b"))</f>
        <v>0</v>
      </c>
    </row>
    <row r="94" spans="1:25" ht="15" hidden="1" customHeight="1" x14ac:dyDescent="0.2">
      <c r="A94" s="640" t="s">
        <v>165</v>
      </c>
      <c r="B94" s="1036" t="str">
        <f>GLOBAL_DER_FEV_2023!B94</f>
        <v/>
      </c>
      <c r="C94" s="1072" t="str">
        <f>GLOBAL_DER_FEV_2023!C94</f>
        <v/>
      </c>
      <c r="D94" s="1141">
        <f>GLOBAL_DER_FEV_2023!D94</f>
        <v>0</v>
      </c>
      <c r="E94" s="907">
        <f>GLOBAL_DER_FEV_2023!E94</f>
        <v>0</v>
      </c>
      <c r="F94" s="908">
        <f>GLOBAL_DER_FEV_2023!F94</f>
        <v>0</v>
      </c>
      <c r="G94" s="912">
        <f>GLOBAL_DER_FEV_2023!G94</f>
        <v>0</v>
      </c>
      <c r="H94" s="901">
        <f>GLOBAL_DER_FEV_2023!H94</f>
        <v>0</v>
      </c>
      <c r="I94" s="901">
        <f>GLOBAL_DER_FEV_2023!I94</f>
        <v>0</v>
      </c>
      <c r="J94" s="890">
        <f>GLOBAL_DER_FEV_2023!J94</f>
        <v>0</v>
      </c>
      <c r="K94" s="903" t="str">
        <f>GLOBAL_DER_FEV_2023!K94</f>
        <v xml:space="preserve">     </v>
      </c>
      <c r="L94" s="1137"/>
      <c r="M94" s="1138">
        <f t="shared" si="7"/>
        <v>0</v>
      </c>
      <c r="N94" s="893">
        <f t="shared" si="10"/>
        <v>0</v>
      </c>
      <c r="O94" s="905"/>
      <c r="Q94" s="317" t="str">
        <f t="shared" si="6"/>
        <v/>
      </c>
      <c r="R94" s="317" t="str">
        <f t="shared" si="8"/>
        <v/>
      </c>
      <c r="S94" s="317" t="str">
        <f t="shared" si="9"/>
        <v/>
      </c>
      <c r="T94" s="317" t="str">
        <f>GLOBAL_DER_FEV_2023!S94</f>
        <v/>
      </c>
      <c r="W94" s="582">
        <v>0</v>
      </c>
      <c r="X94" s="580"/>
      <c r="Y94" s="583">
        <f>IF(GLOBAL_DER_FEV_2023!W94=0,0,IF(GLOBAL_DER_FEV_2023!W94&gt;0,"c","b"))</f>
        <v>0</v>
      </c>
    </row>
    <row r="95" spans="1:25" ht="15" hidden="1" customHeight="1" x14ac:dyDescent="0.2">
      <c r="A95" s="640" t="s">
        <v>165</v>
      </c>
      <c r="B95" s="1036" t="str">
        <f>GLOBAL_DER_FEV_2023!B95</f>
        <v/>
      </c>
      <c r="C95" s="1072" t="str">
        <f>GLOBAL_DER_FEV_2023!C95</f>
        <v/>
      </c>
      <c r="D95" s="1141">
        <f>GLOBAL_DER_FEV_2023!D95</f>
        <v>0</v>
      </c>
      <c r="E95" s="907">
        <f>GLOBAL_DER_FEV_2023!E95</f>
        <v>0</v>
      </c>
      <c r="F95" s="908">
        <f>GLOBAL_DER_FEV_2023!F95</f>
        <v>0</v>
      </c>
      <c r="G95" s="912">
        <f>GLOBAL_DER_FEV_2023!G95</f>
        <v>0</v>
      </c>
      <c r="H95" s="901">
        <f>GLOBAL_DER_FEV_2023!H95</f>
        <v>0</v>
      </c>
      <c r="I95" s="901">
        <f>GLOBAL_DER_FEV_2023!I95</f>
        <v>0</v>
      </c>
      <c r="J95" s="890">
        <f>GLOBAL_DER_FEV_2023!J95</f>
        <v>0</v>
      </c>
      <c r="K95" s="903" t="str">
        <f>GLOBAL_DER_FEV_2023!K95</f>
        <v xml:space="preserve">     </v>
      </c>
      <c r="L95" s="1137"/>
      <c r="M95" s="1138">
        <f t="shared" si="7"/>
        <v>0</v>
      </c>
      <c r="N95" s="893">
        <f t="shared" si="10"/>
        <v>0</v>
      </c>
      <c r="O95" s="905"/>
      <c r="Q95" s="317" t="str">
        <f t="shared" si="6"/>
        <v/>
      </c>
      <c r="R95" s="317" t="str">
        <f t="shared" si="8"/>
        <v/>
      </c>
      <c r="S95" s="317" t="str">
        <f t="shared" si="9"/>
        <v/>
      </c>
      <c r="T95" s="317" t="str">
        <f>GLOBAL_DER_FEV_2023!S95</f>
        <v/>
      </c>
      <c r="W95" s="582">
        <v>0</v>
      </c>
      <c r="X95" s="580"/>
      <c r="Y95" s="583">
        <f>IF(GLOBAL_DER_FEV_2023!W95=0,0,IF(GLOBAL_DER_FEV_2023!W95&gt;0,"c","b"))</f>
        <v>0</v>
      </c>
    </row>
    <row r="96" spans="1:25" ht="15" hidden="1" customHeight="1" x14ac:dyDescent="0.2">
      <c r="A96" s="640" t="s">
        <v>165</v>
      </c>
      <c r="B96" s="1036" t="str">
        <f>GLOBAL_DER_FEV_2023!B96</f>
        <v/>
      </c>
      <c r="C96" s="1072" t="str">
        <f>GLOBAL_DER_FEV_2023!C96</f>
        <v/>
      </c>
      <c r="D96" s="1141">
        <f>GLOBAL_DER_FEV_2023!D96</f>
        <v>0</v>
      </c>
      <c r="E96" s="907">
        <f>GLOBAL_DER_FEV_2023!E96</f>
        <v>0</v>
      </c>
      <c r="F96" s="908">
        <f>GLOBAL_DER_FEV_2023!F96</f>
        <v>0</v>
      </c>
      <c r="G96" s="912">
        <f>GLOBAL_DER_FEV_2023!G96</f>
        <v>0</v>
      </c>
      <c r="H96" s="901">
        <f>GLOBAL_DER_FEV_2023!H96</f>
        <v>0</v>
      </c>
      <c r="I96" s="901">
        <f>GLOBAL_DER_FEV_2023!I96</f>
        <v>0</v>
      </c>
      <c r="J96" s="890">
        <f>GLOBAL_DER_FEV_2023!J96</f>
        <v>0</v>
      </c>
      <c r="K96" s="903" t="str">
        <f>GLOBAL_DER_FEV_2023!K96</f>
        <v xml:space="preserve">     </v>
      </c>
      <c r="L96" s="1137"/>
      <c r="M96" s="1138">
        <f t="shared" si="7"/>
        <v>0</v>
      </c>
      <c r="N96" s="893">
        <f t="shared" si="10"/>
        <v>0</v>
      </c>
      <c r="O96" s="905"/>
      <c r="Q96" s="317" t="str">
        <f t="shared" si="6"/>
        <v/>
      </c>
      <c r="R96" s="317" t="str">
        <f t="shared" si="8"/>
        <v/>
      </c>
      <c r="S96" s="317" t="str">
        <f t="shared" si="9"/>
        <v/>
      </c>
      <c r="T96" s="317" t="str">
        <f>GLOBAL_DER_FEV_2023!S96</f>
        <v/>
      </c>
      <c r="W96" s="582">
        <v>0</v>
      </c>
      <c r="X96" s="580"/>
      <c r="Y96" s="583">
        <f>IF(GLOBAL_DER_FEV_2023!W96=0,0,IF(GLOBAL_DER_FEV_2023!W96&gt;0,"c","b"))</f>
        <v>0</v>
      </c>
    </row>
    <row r="97" spans="1:25" ht="15" hidden="1" customHeight="1" x14ac:dyDescent="0.2">
      <c r="A97" s="640" t="s">
        <v>165</v>
      </c>
      <c r="B97" s="1036" t="str">
        <f>GLOBAL_DER_FEV_2023!B97</f>
        <v/>
      </c>
      <c r="C97" s="1072" t="str">
        <f>GLOBAL_DER_FEV_2023!C97</f>
        <v/>
      </c>
      <c r="D97" s="1141">
        <f>GLOBAL_DER_FEV_2023!D97</f>
        <v>0</v>
      </c>
      <c r="E97" s="907">
        <f>GLOBAL_DER_FEV_2023!E97</f>
        <v>0</v>
      </c>
      <c r="F97" s="908">
        <f>GLOBAL_DER_FEV_2023!F97</f>
        <v>0</v>
      </c>
      <c r="G97" s="912">
        <f>GLOBAL_DER_FEV_2023!G97</f>
        <v>0</v>
      </c>
      <c r="H97" s="901">
        <f>GLOBAL_DER_FEV_2023!H97</f>
        <v>0</v>
      </c>
      <c r="I97" s="901">
        <f>GLOBAL_DER_FEV_2023!I97</f>
        <v>0</v>
      </c>
      <c r="J97" s="890">
        <f>GLOBAL_DER_FEV_2023!J97</f>
        <v>0</v>
      </c>
      <c r="K97" s="903" t="str">
        <f>GLOBAL_DER_FEV_2023!K97</f>
        <v xml:space="preserve">     </v>
      </c>
      <c r="L97" s="1137"/>
      <c r="M97" s="1138">
        <f t="shared" si="7"/>
        <v>0</v>
      </c>
      <c r="N97" s="893">
        <f t="shared" si="10"/>
        <v>0</v>
      </c>
      <c r="O97" s="905"/>
      <c r="Q97" s="317" t="str">
        <f t="shared" si="6"/>
        <v/>
      </c>
      <c r="R97" s="317" t="str">
        <f t="shared" si="8"/>
        <v/>
      </c>
      <c r="S97" s="317" t="str">
        <f t="shared" si="9"/>
        <v/>
      </c>
      <c r="T97" s="317" t="str">
        <f>GLOBAL_DER_FEV_2023!S97</f>
        <v/>
      </c>
      <c r="W97" s="582">
        <v>0</v>
      </c>
      <c r="X97" s="580"/>
      <c r="Y97" s="583">
        <f>IF(GLOBAL_DER_FEV_2023!W97=0,0,IF(GLOBAL_DER_FEV_2023!W97&gt;0,"c","b"))</f>
        <v>0</v>
      </c>
    </row>
    <row r="98" spans="1:25" ht="15" hidden="1" customHeight="1" x14ac:dyDescent="0.2">
      <c r="A98" s="640" t="s">
        <v>165</v>
      </c>
      <c r="B98" s="1036" t="str">
        <f>GLOBAL_DER_FEV_2023!B98</f>
        <v/>
      </c>
      <c r="C98" s="1072" t="str">
        <f>GLOBAL_DER_FEV_2023!C98</f>
        <v/>
      </c>
      <c r="D98" s="1141">
        <f>GLOBAL_DER_FEV_2023!D98</f>
        <v>0</v>
      </c>
      <c r="E98" s="907">
        <f>GLOBAL_DER_FEV_2023!E98</f>
        <v>0</v>
      </c>
      <c r="F98" s="908">
        <f>GLOBAL_DER_FEV_2023!F98</f>
        <v>0</v>
      </c>
      <c r="G98" s="912">
        <f>GLOBAL_DER_FEV_2023!G98</f>
        <v>0</v>
      </c>
      <c r="H98" s="901">
        <f>GLOBAL_DER_FEV_2023!H98</f>
        <v>0</v>
      </c>
      <c r="I98" s="901">
        <f>GLOBAL_DER_FEV_2023!I98</f>
        <v>0</v>
      </c>
      <c r="J98" s="890">
        <f>GLOBAL_DER_FEV_2023!J98</f>
        <v>0</v>
      </c>
      <c r="K98" s="903" t="str">
        <f>GLOBAL_DER_FEV_2023!K98</f>
        <v xml:space="preserve">     </v>
      </c>
      <c r="L98" s="1137"/>
      <c r="M98" s="1138">
        <f t="shared" si="7"/>
        <v>0</v>
      </c>
      <c r="N98" s="893">
        <f t="shared" si="10"/>
        <v>0</v>
      </c>
      <c r="O98" s="905"/>
      <c r="Q98" s="317" t="str">
        <f t="shared" si="6"/>
        <v/>
      </c>
      <c r="R98" s="317" t="str">
        <f t="shared" si="8"/>
        <v/>
      </c>
      <c r="S98" s="317" t="str">
        <f t="shared" si="9"/>
        <v/>
      </c>
      <c r="T98" s="317" t="str">
        <f>GLOBAL_DER_FEV_2023!S98</f>
        <v/>
      </c>
      <c r="W98" s="582">
        <v>0</v>
      </c>
      <c r="X98" s="580"/>
      <c r="Y98" s="583">
        <f>IF(GLOBAL_DER_FEV_2023!W98=0,0,IF(GLOBAL_DER_FEV_2023!W98&gt;0,"c","b"))</f>
        <v>0</v>
      </c>
    </row>
    <row r="99" spans="1:25" ht="15" hidden="1" customHeight="1" x14ac:dyDescent="0.2">
      <c r="A99" s="640" t="s">
        <v>165</v>
      </c>
      <c r="B99" s="1036" t="str">
        <f>GLOBAL_DER_FEV_2023!B99</f>
        <v/>
      </c>
      <c r="C99" s="1072" t="str">
        <f>GLOBAL_DER_FEV_2023!C99</f>
        <v/>
      </c>
      <c r="D99" s="1141">
        <f>GLOBAL_DER_FEV_2023!D99</f>
        <v>0</v>
      </c>
      <c r="E99" s="907">
        <f>GLOBAL_DER_FEV_2023!E99</f>
        <v>0</v>
      </c>
      <c r="F99" s="908">
        <f>GLOBAL_DER_FEV_2023!F99</f>
        <v>0</v>
      </c>
      <c r="G99" s="912">
        <f>GLOBAL_DER_FEV_2023!G99</f>
        <v>0</v>
      </c>
      <c r="H99" s="901">
        <f>GLOBAL_DER_FEV_2023!H99</f>
        <v>0</v>
      </c>
      <c r="I99" s="901">
        <f>GLOBAL_DER_FEV_2023!I99</f>
        <v>0</v>
      </c>
      <c r="J99" s="890">
        <f>GLOBAL_DER_FEV_2023!J99</f>
        <v>0</v>
      </c>
      <c r="K99" s="903" t="str">
        <f>GLOBAL_DER_FEV_2023!K99</f>
        <v xml:space="preserve">     </v>
      </c>
      <c r="L99" s="1137"/>
      <c r="M99" s="1138">
        <f t="shared" si="7"/>
        <v>0</v>
      </c>
      <c r="N99" s="893">
        <f t="shared" si="10"/>
        <v>0</v>
      </c>
      <c r="O99" s="905"/>
      <c r="Q99" s="317" t="str">
        <f t="shared" si="6"/>
        <v/>
      </c>
      <c r="R99" s="317" t="str">
        <f t="shared" si="8"/>
        <v/>
      </c>
      <c r="S99" s="317" t="str">
        <f t="shared" si="9"/>
        <v/>
      </c>
      <c r="T99" s="317" t="str">
        <f>GLOBAL_DER_FEV_2023!S99</f>
        <v/>
      </c>
      <c r="W99" s="582">
        <v>0</v>
      </c>
      <c r="X99" s="580"/>
      <c r="Y99" s="583">
        <f>IF(GLOBAL_DER_FEV_2023!W99=0,0,IF(GLOBAL_DER_FEV_2023!W99&gt;0,"c","b"))</f>
        <v>0</v>
      </c>
    </row>
    <row r="100" spans="1:25" ht="15" hidden="1" customHeight="1" x14ac:dyDescent="0.2">
      <c r="A100" s="640" t="s">
        <v>165</v>
      </c>
      <c r="B100" s="1036" t="str">
        <f>GLOBAL_DER_FEV_2023!B100</f>
        <v/>
      </c>
      <c r="C100" s="1072" t="str">
        <f>GLOBAL_DER_FEV_2023!C100</f>
        <v/>
      </c>
      <c r="D100" s="1141">
        <f>GLOBAL_DER_FEV_2023!D100</f>
        <v>0</v>
      </c>
      <c r="E100" s="907">
        <f>GLOBAL_DER_FEV_2023!E100</f>
        <v>0</v>
      </c>
      <c r="F100" s="908">
        <f>GLOBAL_DER_FEV_2023!F100</f>
        <v>0</v>
      </c>
      <c r="G100" s="912">
        <f>GLOBAL_DER_FEV_2023!G100</f>
        <v>0</v>
      </c>
      <c r="H100" s="901">
        <f>GLOBAL_DER_FEV_2023!H100</f>
        <v>0</v>
      </c>
      <c r="I100" s="901">
        <f>GLOBAL_DER_FEV_2023!I100</f>
        <v>0</v>
      </c>
      <c r="J100" s="890">
        <f>GLOBAL_DER_FEV_2023!J100</f>
        <v>0</v>
      </c>
      <c r="K100" s="903" t="str">
        <f>GLOBAL_DER_FEV_2023!K100</f>
        <v xml:space="preserve">     </v>
      </c>
      <c r="L100" s="1137"/>
      <c r="M100" s="1138">
        <f t="shared" si="7"/>
        <v>0</v>
      </c>
      <c r="N100" s="893">
        <f t="shared" si="10"/>
        <v>0</v>
      </c>
      <c r="O100" s="905"/>
      <c r="Q100" s="317" t="str">
        <f t="shared" si="6"/>
        <v/>
      </c>
      <c r="R100" s="317" t="str">
        <f t="shared" si="8"/>
        <v/>
      </c>
      <c r="S100" s="317" t="str">
        <f t="shared" si="9"/>
        <v/>
      </c>
      <c r="T100" s="317" t="str">
        <f>GLOBAL_DER_FEV_2023!S100</f>
        <v/>
      </c>
      <c r="W100" s="582">
        <v>0</v>
      </c>
      <c r="X100" s="580"/>
      <c r="Y100" s="583">
        <f>IF(GLOBAL_DER_FEV_2023!W100=0,0,IF(GLOBAL_DER_FEV_2023!W100&gt;0,"c","b"))</f>
        <v>0</v>
      </c>
    </row>
    <row r="101" spans="1:25" ht="15" hidden="1" customHeight="1" x14ac:dyDescent="0.2">
      <c r="A101" s="640" t="s">
        <v>165</v>
      </c>
      <c r="B101" s="1036" t="str">
        <f>GLOBAL_DER_FEV_2023!B101</f>
        <v/>
      </c>
      <c r="C101" s="1072" t="str">
        <f>GLOBAL_DER_FEV_2023!C101</f>
        <v/>
      </c>
      <c r="D101" s="1141">
        <f>GLOBAL_DER_FEV_2023!D101</f>
        <v>0</v>
      </c>
      <c r="E101" s="907">
        <f>GLOBAL_DER_FEV_2023!E101</f>
        <v>0</v>
      </c>
      <c r="F101" s="908">
        <f>GLOBAL_DER_FEV_2023!F101</f>
        <v>0</v>
      </c>
      <c r="G101" s="912">
        <f>GLOBAL_DER_FEV_2023!G101</f>
        <v>0</v>
      </c>
      <c r="H101" s="901">
        <f>GLOBAL_DER_FEV_2023!H101</f>
        <v>0</v>
      </c>
      <c r="I101" s="901">
        <f>GLOBAL_DER_FEV_2023!I101</f>
        <v>0</v>
      </c>
      <c r="J101" s="890">
        <f>GLOBAL_DER_FEV_2023!J101</f>
        <v>0</v>
      </c>
      <c r="K101" s="903" t="str">
        <f>GLOBAL_DER_FEV_2023!K101</f>
        <v xml:space="preserve">     </v>
      </c>
      <c r="L101" s="1137"/>
      <c r="M101" s="1138">
        <f t="shared" si="7"/>
        <v>0</v>
      </c>
      <c r="N101" s="893">
        <f t="shared" si="10"/>
        <v>0</v>
      </c>
      <c r="O101" s="905"/>
      <c r="Q101" s="317" t="str">
        <f t="shared" si="6"/>
        <v/>
      </c>
      <c r="R101" s="317" t="str">
        <f t="shared" si="8"/>
        <v/>
      </c>
      <c r="S101" s="317" t="str">
        <f t="shared" si="9"/>
        <v/>
      </c>
      <c r="T101" s="317" t="str">
        <f>GLOBAL_DER_FEV_2023!S101</f>
        <v/>
      </c>
      <c r="W101" s="582">
        <v>0</v>
      </c>
      <c r="X101" s="580"/>
      <c r="Y101" s="583">
        <f>IF(GLOBAL_DER_FEV_2023!W101=0,0,IF(GLOBAL_DER_FEV_2023!W101&gt;0,"c","b"))</f>
        <v>0</v>
      </c>
    </row>
    <row r="102" spans="1:25" ht="15" hidden="1" customHeight="1" x14ac:dyDescent="0.2">
      <c r="A102" s="640" t="s">
        <v>165</v>
      </c>
      <c r="B102" s="1036" t="str">
        <f>GLOBAL_DER_FEV_2023!B102</f>
        <v/>
      </c>
      <c r="C102" s="1072" t="str">
        <f>GLOBAL_DER_FEV_2023!C102</f>
        <v/>
      </c>
      <c r="D102" s="1141">
        <f>GLOBAL_DER_FEV_2023!D102</f>
        <v>0</v>
      </c>
      <c r="E102" s="907">
        <f>GLOBAL_DER_FEV_2023!E102</f>
        <v>0</v>
      </c>
      <c r="F102" s="908">
        <f>GLOBAL_DER_FEV_2023!F102</f>
        <v>0</v>
      </c>
      <c r="G102" s="912">
        <f>GLOBAL_DER_FEV_2023!G102</f>
        <v>0</v>
      </c>
      <c r="H102" s="901">
        <f>GLOBAL_DER_FEV_2023!H102</f>
        <v>0</v>
      </c>
      <c r="I102" s="901">
        <f>GLOBAL_DER_FEV_2023!I102</f>
        <v>0</v>
      </c>
      <c r="J102" s="890">
        <f>GLOBAL_DER_FEV_2023!J102</f>
        <v>0</v>
      </c>
      <c r="K102" s="903" t="str">
        <f>GLOBAL_DER_FEV_2023!K102</f>
        <v xml:space="preserve">     </v>
      </c>
      <c r="L102" s="1137"/>
      <c r="M102" s="1138">
        <f t="shared" si="7"/>
        <v>0</v>
      </c>
      <c r="N102" s="893">
        <f t="shared" si="10"/>
        <v>0</v>
      </c>
      <c r="O102" s="905"/>
      <c r="Q102" s="317" t="str">
        <f t="shared" si="6"/>
        <v/>
      </c>
      <c r="R102" s="317" t="str">
        <f t="shared" si="8"/>
        <v/>
      </c>
      <c r="S102" s="317" t="str">
        <f t="shared" si="9"/>
        <v/>
      </c>
      <c r="T102" s="317" t="str">
        <f>GLOBAL_DER_FEV_2023!S102</f>
        <v/>
      </c>
      <c r="W102" s="582">
        <v>0</v>
      </c>
      <c r="X102" s="580"/>
      <c r="Y102" s="583">
        <f>IF(GLOBAL_DER_FEV_2023!W102=0,0,IF(GLOBAL_DER_FEV_2023!W102&gt;0,"c","b"))</f>
        <v>0</v>
      </c>
    </row>
    <row r="103" spans="1:25" ht="15" hidden="1" customHeight="1" x14ac:dyDescent="0.2">
      <c r="A103" s="640" t="s">
        <v>165</v>
      </c>
      <c r="B103" s="1036" t="str">
        <f>GLOBAL_DER_FEV_2023!B103</f>
        <v/>
      </c>
      <c r="C103" s="1072" t="str">
        <f>GLOBAL_DER_FEV_2023!C103</f>
        <v/>
      </c>
      <c r="D103" s="1141">
        <f>GLOBAL_DER_FEV_2023!D103</f>
        <v>0</v>
      </c>
      <c r="E103" s="907">
        <f>GLOBAL_DER_FEV_2023!E103</f>
        <v>0</v>
      </c>
      <c r="F103" s="908">
        <f>GLOBAL_DER_FEV_2023!F103</f>
        <v>0</v>
      </c>
      <c r="G103" s="912">
        <f>GLOBAL_DER_FEV_2023!G103</f>
        <v>0</v>
      </c>
      <c r="H103" s="901">
        <f>GLOBAL_DER_FEV_2023!H103</f>
        <v>0</v>
      </c>
      <c r="I103" s="901">
        <f>GLOBAL_DER_FEV_2023!I103</f>
        <v>0</v>
      </c>
      <c r="J103" s="890">
        <f>GLOBAL_DER_FEV_2023!J103</f>
        <v>0</v>
      </c>
      <c r="K103" s="903" t="str">
        <f>GLOBAL_DER_FEV_2023!K103</f>
        <v xml:space="preserve">     </v>
      </c>
      <c r="L103" s="1137"/>
      <c r="M103" s="1138">
        <f t="shared" si="7"/>
        <v>0</v>
      </c>
      <c r="N103" s="893">
        <f t="shared" si="10"/>
        <v>0</v>
      </c>
      <c r="O103" s="905"/>
      <c r="Q103" s="317" t="str">
        <f t="shared" si="6"/>
        <v/>
      </c>
      <c r="R103" s="317" t="str">
        <f t="shared" si="8"/>
        <v/>
      </c>
      <c r="S103" s="317" t="str">
        <f t="shared" si="9"/>
        <v/>
      </c>
      <c r="T103" s="317" t="str">
        <f>GLOBAL_DER_FEV_2023!S103</f>
        <v/>
      </c>
      <c r="W103" s="582">
        <v>0</v>
      </c>
      <c r="X103" s="580"/>
      <c r="Y103" s="583">
        <f>IF(GLOBAL_DER_FEV_2023!W103=0,0,IF(GLOBAL_DER_FEV_2023!W103&gt;0,"c","b"))</f>
        <v>0</v>
      </c>
    </row>
    <row r="104" spans="1:25" ht="15" hidden="1" customHeight="1" x14ac:dyDescent="0.2">
      <c r="A104" s="640" t="s">
        <v>165</v>
      </c>
      <c r="B104" s="1036" t="str">
        <f>GLOBAL_DER_FEV_2023!B104</f>
        <v/>
      </c>
      <c r="C104" s="1072" t="str">
        <f>GLOBAL_DER_FEV_2023!C104</f>
        <v/>
      </c>
      <c r="D104" s="1141">
        <f>GLOBAL_DER_FEV_2023!D104</f>
        <v>0</v>
      </c>
      <c r="E104" s="907">
        <f>GLOBAL_DER_FEV_2023!E104</f>
        <v>0</v>
      </c>
      <c r="F104" s="908">
        <f>GLOBAL_DER_FEV_2023!F104</f>
        <v>0</v>
      </c>
      <c r="G104" s="912">
        <f>GLOBAL_DER_FEV_2023!G104</f>
        <v>0</v>
      </c>
      <c r="H104" s="901">
        <f>GLOBAL_DER_FEV_2023!H104</f>
        <v>0</v>
      </c>
      <c r="I104" s="901">
        <f>GLOBAL_DER_FEV_2023!I104</f>
        <v>0</v>
      </c>
      <c r="J104" s="890">
        <f>GLOBAL_DER_FEV_2023!J104</f>
        <v>0</v>
      </c>
      <c r="K104" s="903" t="str">
        <f>GLOBAL_DER_FEV_2023!K104</f>
        <v xml:space="preserve">     </v>
      </c>
      <c r="L104" s="1137"/>
      <c r="M104" s="1138">
        <f t="shared" si="7"/>
        <v>0</v>
      </c>
      <c r="N104" s="893">
        <f t="shared" si="10"/>
        <v>0</v>
      </c>
      <c r="O104" s="905"/>
      <c r="Q104" s="317" t="str">
        <f t="shared" si="6"/>
        <v/>
      </c>
      <c r="R104" s="317" t="str">
        <f t="shared" si="8"/>
        <v/>
      </c>
      <c r="S104" s="317" t="str">
        <f t="shared" si="9"/>
        <v/>
      </c>
      <c r="T104" s="317" t="str">
        <f>GLOBAL_DER_FEV_2023!S104</f>
        <v/>
      </c>
      <c r="W104" s="582">
        <v>0</v>
      </c>
      <c r="X104" s="580"/>
      <c r="Y104" s="583">
        <f>IF(GLOBAL_DER_FEV_2023!W104=0,0,IF(GLOBAL_DER_FEV_2023!W104&gt;0,"c","b"))</f>
        <v>0</v>
      </c>
    </row>
    <row r="105" spans="1:25" ht="15" hidden="1" customHeight="1" x14ac:dyDescent="0.2">
      <c r="A105" s="640" t="s">
        <v>165</v>
      </c>
      <c r="B105" s="1036" t="str">
        <f>GLOBAL_DER_FEV_2023!B105</f>
        <v/>
      </c>
      <c r="C105" s="1072" t="str">
        <f>GLOBAL_DER_FEV_2023!C105</f>
        <v/>
      </c>
      <c r="D105" s="1141">
        <f>GLOBAL_DER_FEV_2023!D105</f>
        <v>0</v>
      </c>
      <c r="E105" s="907">
        <f>GLOBAL_DER_FEV_2023!E105</f>
        <v>0</v>
      </c>
      <c r="F105" s="908">
        <f>GLOBAL_DER_FEV_2023!F105</f>
        <v>0</v>
      </c>
      <c r="G105" s="912">
        <f>GLOBAL_DER_FEV_2023!G105</f>
        <v>0</v>
      </c>
      <c r="H105" s="901">
        <f>GLOBAL_DER_FEV_2023!H105</f>
        <v>0</v>
      </c>
      <c r="I105" s="901">
        <f>GLOBAL_DER_FEV_2023!I105</f>
        <v>0</v>
      </c>
      <c r="J105" s="890">
        <f>GLOBAL_DER_FEV_2023!J105</f>
        <v>0</v>
      </c>
      <c r="K105" s="903" t="str">
        <f>GLOBAL_DER_FEV_2023!K105</f>
        <v xml:space="preserve">     </v>
      </c>
      <c r="L105" s="1137"/>
      <c r="M105" s="1138">
        <f t="shared" si="7"/>
        <v>0</v>
      </c>
      <c r="N105" s="893">
        <f t="shared" si="10"/>
        <v>0</v>
      </c>
      <c r="O105" s="905"/>
      <c r="Q105" s="317" t="str">
        <f t="shared" si="6"/>
        <v/>
      </c>
      <c r="R105" s="317" t="str">
        <f t="shared" si="8"/>
        <v/>
      </c>
      <c r="S105" s="317" t="str">
        <f t="shared" si="9"/>
        <v/>
      </c>
      <c r="T105" s="317" t="str">
        <f>GLOBAL_DER_FEV_2023!S105</f>
        <v/>
      </c>
      <c r="W105" s="582">
        <v>0</v>
      </c>
      <c r="X105" s="580"/>
      <c r="Y105" s="583">
        <f>IF(GLOBAL_DER_FEV_2023!W105=0,0,IF(GLOBAL_DER_FEV_2023!W105&gt;0,"c","b"))</f>
        <v>0</v>
      </c>
    </row>
    <row r="106" spans="1:25" ht="15" hidden="1" customHeight="1" x14ac:dyDescent="0.2">
      <c r="A106" s="640" t="s">
        <v>165</v>
      </c>
      <c r="B106" s="1036" t="str">
        <f>GLOBAL_DER_FEV_2023!B106</f>
        <v/>
      </c>
      <c r="C106" s="1072" t="str">
        <f>GLOBAL_DER_FEV_2023!C106</f>
        <v/>
      </c>
      <c r="D106" s="1141">
        <f>GLOBAL_DER_FEV_2023!D106</f>
        <v>0</v>
      </c>
      <c r="E106" s="907">
        <f>GLOBAL_DER_FEV_2023!E106</f>
        <v>0</v>
      </c>
      <c r="F106" s="908">
        <f>GLOBAL_DER_FEV_2023!F106</f>
        <v>0</v>
      </c>
      <c r="G106" s="912">
        <f>GLOBAL_DER_FEV_2023!G106</f>
        <v>0</v>
      </c>
      <c r="H106" s="901">
        <f>GLOBAL_DER_FEV_2023!H106</f>
        <v>0</v>
      </c>
      <c r="I106" s="901">
        <f>GLOBAL_DER_FEV_2023!I106</f>
        <v>0</v>
      </c>
      <c r="J106" s="890">
        <f>GLOBAL_DER_FEV_2023!J106</f>
        <v>0</v>
      </c>
      <c r="K106" s="903" t="str">
        <f>GLOBAL_DER_FEV_2023!K106</f>
        <v xml:space="preserve">     </v>
      </c>
      <c r="L106" s="1137"/>
      <c r="M106" s="1138">
        <f t="shared" si="7"/>
        <v>0</v>
      </c>
      <c r="N106" s="893">
        <f t="shared" si="10"/>
        <v>0</v>
      </c>
      <c r="O106" s="905"/>
      <c r="Q106" s="317" t="str">
        <f t="shared" si="6"/>
        <v/>
      </c>
      <c r="R106" s="317" t="str">
        <f t="shared" si="8"/>
        <v/>
      </c>
      <c r="S106" s="317" t="str">
        <f t="shared" si="9"/>
        <v/>
      </c>
      <c r="T106" s="317" t="str">
        <f>GLOBAL_DER_FEV_2023!S106</f>
        <v/>
      </c>
      <c r="W106" s="582">
        <v>0</v>
      </c>
      <c r="X106" s="580"/>
      <c r="Y106" s="583">
        <f>IF(GLOBAL_DER_FEV_2023!W106=0,0,IF(GLOBAL_DER_FEV_2023!W106&gt;0,"c","b"))</f>
        <v>0</v>
      </c>
    </row>
    <row r="107" spans="1:25" ht="15" hidden="1" customHeight="1" x14ac:dyDescent="0.2">
      <c r="A107" s="640" t="s">
        <v>165</v>
      </c>
      <c r="B107" s="1036" t="str">
        <f>GLOBAL_DER_FEV_2023!B107</f>
        <v/>
      </c>
      <c r="C107" s="1072" t="str">
        <f>GLOBAL_DER_FEV_2023!C107</f>
        <v/>
      </c>
      <c r="D107" s="1141">
        <f>GLOBAL_DER_FEV_2023!D107</f>
        <v>0</v>
      </c>
      <c r="E107" s="907">
        <f>GLOBAL_DER_FEV_2023!E107</f>
        <v>0</v>
      </c>
      <c r="F107" s="908">
        <f>GLOBAL_DER_FEV_2023!F107</f>
        <v>0</v>
      </c>
      <c r="G107" s="912">
        <f>GLOBAL_DER_FEV_2023!G107</f>
        <v>0</v>
      </c>
      <c r="H107" s="901">
        <f>GLOBAL_DER_FEV_2023!H107</f>
        <v>0</v>
      </c>
      <c r="I107" s="901">
        <f>GLOBAL_DER_FEV_2023!I107</f>
        <v>0</v>
      </c>
      <c r="J107" s="890">
        <f>GLOBAL_DER_FEV_2023!J107</f>
        <v>0</v>
      </c>
      <c r="K107" s="903" t="str">
        <f>GLOBAL_DER_FEV_2023!K107</f>
        <v xml:space="preserve">     </v>
      </c>
      <c r="L107" s="1137"/>
      <c r="M107" s="1138">
        <f t="shared" si="7"/>
        <v>0</v>
      </c>
      <c r="N107" s="893">
        <f t="shared" si="10"/>
        <v>0</v>
      </c>
      <c r="O107" s="905"/>
      <c r="Q107" s="317" t="str">
        <f t="shared" si="6"/>
        <v/>
      </c>
      <c r="R107" s="317" t="str">
        <f t="shared" si="8"/>
        <v/>
      </c>
      <c r="S107" s="317" t="str">
        <f t="shared" si="9"/>
        <v/>
      </c>
      <c r="T107" s="317" t="str">
        <f>GLOBAL_DER_FEV_2023!S107</f>
        <v/>
      </c>
      <c r="W107" s="582">
        <v>0</v>
      </c>
      <c r="X107" s="580"/>
      <c r="Y107" s="583">
        <f>IF(GLOBAL_DER_FEV_2023!W107=0,0,IF(GLOBAL_DER_FEV_2023!W107&gt;0,"c","b"))</f>
        <v>0</v>
      </c>
    </row>
    <row r="108" spans="1:25" ht="15" hidden="1" customHeight="1" x14ac:dyDescent="0.2">
      <c r="A108" s="640" t="s">
        <v>165</v>
      </c>
      <c r="B108" s="1036" t="str">
        <f>GLOBAL_DER_FEV_2023!B108</f>
        <v/>
      </c>
      <c r="C108" s="1072" t="str">
        <f>GLOBAL_DER_FEV_2023!C108</f>
        <v/>
      </c>
      <c r="D108" s="1141">
        <f>GLOBAL_DER_FEV_2023!D108</f>
        <v>0</v>
      </c>
      <c r="E108" s="907">
        <f>GLOBAL_DER_FEV_2023!E108</f>
        <v>0</v>
      </c>
      <c r="F108" s="908">
        <f>GLOBAL_DER_FEV_2023!F108</f>
        <v>0</v>
      </c>
      <c r="G108" s="912">
        <f>GLOBAL_DER_FEV_2023!G108</f>
        <v>0</v>
      </c>
      <c r="H108" s="901">
        <f>GLOBAL_DER_FEV_2023!H108</f>
        <v>0</v>
      </c>
      <c r="I108" s="901">
        <f>GLOBAL_DER_FEV_2023!I108</f>
        <v>0</v>
      </c>
      <c r="J108" s="890">
        <f>GLOBAL_DER_FEV_2023!J108</f>
        <v>0</v>
      </c>
      <c r="K108" s="903" t="str">
        <f>GLOBAL_DER_FEV_2023!K108</f>
        <v xml:space="preserve">     </v>
      </c>
      <c r="L108" s="1137"/>
      <c r="M108" s="1138">
        <f t="shared" si="7"/>
        <v>0</v>
      </c>
      <c r="N108" s="893">
        <f t="shared" si="10"/>
        <v>0</v>
      </c>
      <c r="O108" s="905"/>
      <c r="Q108" s="317" t="str">
        <f t="shared" si="6"/>
        <v/>
      </c>
      <c r="R108" s="317" t="str">
        <f t="shared" si="8"/>
        <v/>
      </c>
      <c r="S108" s="317" t="str">
        <f t="shared" si="9"/>
        <v/>
      </c>
      <c r="T108" s="317" t="str">
        <f>GLOBAL_DER_FEV_2023!S108</f>
        <v/>
      </c>
      <c r="W108" s="582">
        <v>0</v>
      </c>
      <c r="X108" s="580"/>
      <c r="Y108" s="583">
        <f>IF(GLOBAL_DER_FEV_2023!W108=0,0,IF(GLOBAL_DER_FEV_2023!W108&gt;0,"c","b"))</f>
        <v>0</v>
      </c>
    </row>
    <row r="109" spans="1:25" ht="15" hidden="1" customHeight="1" x14ac:dyDescent="0.2">
      <c r="A109" s="640" t="s">
        <v>165</v>
      </c>
      <c r="B109" s="1036" t="str">
        <f>GLOBAL_DER_FEV_2023!B109</f>
        <v/>
      </c>
      <c r="C109" s="1072" t="str">
        <f>GLOBAL_DER_FEV_2023!C109</f>
        <v/>
      </c>
      <c r="D109" s="1141">
        <f>GLOBAL_DER_FEV_2023!D109</f>
        <v>0</v>
      </c>
      <c r="E109" s="907">
        <f>GLOBAL_DER_FEV_2023!E109</f>
        <v>0</v>
      </c>
      <c r="F109" s="908">
        <f>GLOBAL_DER_FEV_2023!F109</f>
        <v>0</v>
      </c>
      <c r="G109" s="912">
        <f>GLOBAL_DER_FEV_2023!G109</f>
        <v>0</v>
      </c>
      <c r="H109" s="901">
        <f>GLOBAL_DER_FEV_2023!H109</f>
        <v>0</v>
      </c>
      <c r="I109" s="901">
        <f>GLOBAL_DER_FEV_2023!I109</f>
        <v>0</v>
      </c>
      <c r="J109" s="890">
        <f>GLOBAL_DER_FEV_2023!J109</f>
        <v>0</v>
      </c>
      <c r="K109" s="903" t="str">
        <f>GLOBAL_DER_FEV_2023!K109</f>
        <v xml:space="preserve">     </v>
      </c>
      <c r="L109" s="1137"/>
      <c r="M109" s="1138">
        <f t="shared" si="7"/>
        <v>0</v>
      </c>
      <c r="N109" s="893">
        <f t="shared" si="10"/>
        <v>0</v>
      </c>
      <c r="O109" s="905"/>
      <c r="Q109" s="317" t="str">
        <f t="shared" si="6"/>
        <v/>
      </c>
      <c r="R109" s="317" t="str">
        <f t="shared" si="8"/>
        <v/>
      </c>
      <c r="S109" s="317" t="str">
        <f t="shared" si="9"/>
        <v/>
      </c>
      <c r="T109" s="317" t="str">
        <f>GLOBAL_DER_FEV_2023!S109</f>
        <v/>
      </c>
      <c r="W109" s="582">
        <v>0</v>
      </c>
      <c r="X109" s="580"/>
      <c r="Y109" s="583">
        <f>IF(GLOBAL_DER_FEV_2023!W109=0,0,IF(GLOBAL_DER_FEV_2023!W109&gt;0,"c","b"))</f>
        <v>0</v>
      </c>
    </row>
    <row r="110" spans="1:25" ht="15" hidden="1" customHeight="1" x14ac:dyDescent="0.2">
      <c r="A110" s="640" t="s">
        <v>165</v>
      </c>
      <c r="B110" s="1036" t="str">
        <f>GLOBAL_DER_FEV_2023!B110</f>
        <v/>
      </c>
      <c r="C110" s="1072" t="str">
        <f>GLOBAL_DER_FEV_2023!C110</f>
        <v/>
      </c>
      <c r="D110" s="1141">
        <f>GLOBAL_DER_FEV_2023!D110</f>
        <v>0</v>
      </c>
      <c r="E110" s="907">
        <f>GLOBAL_DER_FEV_2023!E110</f>
        <v>0</v>
      </c>
      <c r="F110" s="908">
        <f>GLOBAL_DER_FEV_2023!F110</f>
        <v>0</v>
      </c>
      <c r="G110" s="912">
        <f>GLOBAL_DER_FEV_2023!G110</f>
        <v>0</v>
      </c>
      <c r="H110" s="901">
        <f>GLOBAL_DER_FEV_2023!H110</f>
        <v>0</v>
      </c>
      <c r="I110" s="901">
        <f>GLOBAL_DER_FEV_2023!I110</f>
        <v>0</v>
      </c>
      <c r="J110" s="890">
        <f>GLOBAL_DER_FEV_2023!J110</f>
        <v>0</v>
      </c>
      <c r="K110" s="903" t="str">
        <f>GLOBAL_DER_FEV_2023!K110</f>
        <v xml:space="preserve">     </v>
      </c>
      <c r="L110" s="1137"/>
      <c r="M110" s="1138">
        <f t="shared" si="7"/>
        <v>0</v>
      </c>
      <c r="N110" s="893">
        <f t="shared" si="10"/>
        <v>0</v>
      </c>
      <c r="O110" s="905"/>
      <c r="Q110" s="317" t="str">
        <f t="shared" si="6"/>
        <v/>
      </c>
      <c r="R110" s="317" t="str">
        <f t="shared" si="8"/>
        <v/>
      </c>
      <c r="S110" s="317" t="str">
        <f t="shared" si="9"/>
        <v/>
      </c>
      <c r="T110" s="317" t="str">
        <f>GLOBAL_DER_FEV_2023!S110</f>
        <v/>
      </c>
      <c r="W110" s="582">
        <v>0</v>
      </c>
      <c r="X110" s="580"/>
      <c r="Y110" s="583">
        <f>IF(GLOBAL_DER_FEV_2023!W110=0,0,IF(GLOBAL_DER_FEV_2023!W110&gt;0,"c","b"))</f>
        <v>0</v>
      </c>
    </row>
    <row r="111" spans="1:25" ht="15" hidden="1" customHeight="1" x14ac:dyDescent="0.2">
      <c r="A111" s="640" t="s">
        <v>165</v>
      </c>
      <c r="B111" s="1036" t="str">
        <f>GLOBAL_DER_FEV_2023!B111</f>
        <v/>
      </c>
      <c r="C111" s="1072" t="str">
        <f>GLOBAL_DER_FEV_2023!C111</f>
        <v/>
      </c>
      <c r="D111" s="1141">
        <f>GLOBAL_DER_FEV_2023!D111</f>
        <v>0</v>
      </c>
      <c r="E111" s="907">
        <f>GLOBAL_DER_FEV_2023!E111</f>
        <v>0</v>
      </c>
      <c r="F111" s="908">
        <f>GLOBAL_DER_FEV_2023!F111</f>
        <v>0</v>
      </c>
      <c r="G111" s="912">
        <f>GLOBAL_DER_FEV_2023!G111</f>
        <v>0</v>
      </c>
      <c r="H111" s="901">
        <f>GLOBAL_DER_FEV_2023!H111</f>
        <v>0</v>
      </c>
      <c r="I111" s="901">
        <f>GLOBAL_DER_FEV_2023!I111</f>
        <v>0</v>
      </c>
      <c r="J111" s="890">
        <f>GLOBAL_DER_FEV_2023!J111</f>
        <v>0</v>
      </c>
      <c r="K111" s="903" t="str">
        <f>GLOBAL_DER_FEV_2023!K111</f>
        <v xml:space="preserve">     </v>
      </c>
      <c r="L111" s="1137"/>
      <c r="M111" s="1138">
        <f t="shared" si="7"/>
        <v>0</v>
      </c>
      <c r="N111" s="893">
        <f t="shared" si="10"/>
        <v>0</v>
      </c>
      <c r="O111" s="905"/>
      <c r="Q111" s="317" t="str">
        <f t="shared" si="6"/>
        <v/>
      </c>
      <c r="R111" s="317" t="str">
        <f t="shared" si="8"/>
        <v/>
      </c>
      <c r="S111" s="317" t="str">
        <f t="shared" si="9"/>
        <v/>
      </c>
      <c r="T111" s="317" t="str">
        <f>GLOBAL_DER_FEV_2023!S111</f>
        <v/>
      </c>
      <c r="W111" s="582">
        <v>0</v>
      </c>
      <c r="X111" s="580"/>
      <c r="Y111" s="583">
        <f>IF(GLOBAL_DER_FEV_2023!W111=0,0,IF(GLOBAL_DER_FEV_2023!W111&gt;0,"c","b"))</f>
        <v>0</v>
      </c>
    </row>
    <row r="112" spans="1:25" ht="15" hidden="1" customHeight="1" x14ac:dyDescent="0.2">
      <c r="A112" s="640" t="s">
        <v>165</v>
      </c>
      <c r="B112" s="1036" t="str">
        <f>GLOBAL_DER_FEV_2023!B112</f>
        <v/>
      </c>
      <c r="C112" s="1072" t="str">
        <f>GLOBAL_DER_FEV_2023!C112</f>
        <v/>
      </c>
      <c r="D112" s="1141">
        <f>GLOBAL_DER_FEV_2023!D112</f>
        <v>0</v>
      </c>
      <c r="E112" s="907">
        <f>GLOBAL_DER_FEV_2023!E112</f>
        <v>0</v>
      </c>
      <c r="F112" s="908">
        <f>GLOBAL_DER_FEV_2023!F112</f>
        <v>0</v>
      </c>
      <c r="G112" s="912">
        <f>GLOBAL_DER_FEV_2023!G112</f>
        <v>0</v>
      </c>
      <c r="H112" s="901">
        <f>GLOBAL_DER_FEV_2023!H112</f>
        <v>0</v>
      </c>
      <c r="I112" s="901">
        <f>GLOBAL_DER_FEV_2023!I112</f>
        <v>0</v>
      </c>
      <c r="J112" s="890">
        <f>GLOBAL_DER_FEV_2023!J112</f>
        <v>0</v>
      </c>
      <c r="K112" s="903" t="str">
        <f>GLOBAL_DER_FEV_2023!K112</f>
        <v xml:space="preserve">     </v>
      </c>
      <c r="L112" s="1137"/>
      <c r="M112" s="1138">
        <f t="shared" si="7"/>
        <v>0</v>
      </c>
      <c r="N112" s="893">
        <f t="shared" si="10"/>
        <v>0</v>
      </c>
      <c r="O112" s="905"/>
      <c r="Q112" s="317" t="str">
        <f t="shared" si="6"/>
        <v/>
      </c>
      <c r="R112" s="317" t="str">
        <f t="shared" si="8"/>
        <v/>
      </c>
      <c r="S112" s="317" t="str">
        <f t="shared" si="9"/>
        <v/>
      </c>
      <c r="T112" s="317" t="str">
        <f>GLOBAL_DER_FEV_2023!S112</f>
        <v/>
      </c>
      <c r="W112" s="582">
        <v>0</v>
      </c>
      <c r="X112" s="580"/>
      <c r="Y112" s="583">
        <f>IF(GLOBAL_DER_FEV_2023!W112=0,0,IF(GLOBAL_DER_FEV_2023!W112&gt;0,"c","b"))</f>
        <v>0</v>
      </c>
    </row>
    <row r="113" spans="1:25" ht="15" hidden="1" customHeight="1" x14ac:dyDescent="0.2">
      <c r="A113" s="640" t="s">
        <v>165</v>
      </c>
      <c r="B113" s="1036" t="str">
        <f>GLOBAL_DER_FEV_2023!B113</f>
        <v/>
      </c>
      <c r="C113" s="1072" t="str">
        <f>GLOBAL_DER_FEV_2023!C113</f>
        <v/>
      </c>
      <c r="D113" s="1141">
        <f>GLOBAL_DER_FEV_2023!D113</f>
        <v>0</v>
      </c>
      <c r="E113" s="907">
        <f>GLOBAL_DER_FEV_2023!E113</f>
        <v>0</v>
      </c>
      <c r="F113" s="908">
        <f>GLOBAL_DER_FEV_2023!F113</f>
        <v>0</v>
      </c>
      <c r="G113" s="912">
        <f>GLOBAL_DER_FEV_2023!G113</f>
        <v>0</v>
      </c>
      <c r="H113" s="901">
        <f>GLOBAL_DER_FEV_2023!H113</f>
        <v>0</v>
      </c>
      <c r="I113" s="901">
        <f>GLOBAL_DER_FEV_2023!I113</f>
        <v>0</v>
      </c>
      <c r="J113" s="890">
        <f>GLOBAL_DER_FEV_2023!J113</f>
        <v>0</v>
      </c>
      <c r="K113" s="903" t="str">
        <f>GLOBAL_DER_FEV_2023!K113</f>
        <v xml:space="preserve">     </v>
      </c>
      <c r="L113" s="1137"/>
      <c r="M113" s="1138">
        <f t="shared" si="7"/>
        <v>0</v>
      </c>
      <c r="N113" s="893">
        <f t="shared" si="10"/>
        <v>0</v>
      </c>
      <c r="O113" s="905"/>
      <c r="Q113" s="317" t="str">
        <f t="shared" si="6"/>
        <v/>
      </c>
      <c r="R113" s="317" t="str">
        <f t="shared" si="8"/>
        <v/>
      </c>
      <c r="S113" s="317" t="str">
        <f t="shared" si="9"/>
        <v/>
      </c>
      <c r="T113" s="317" t="str">
        <f>GLOBAL_DER_FEV_2023!S113</f>
        <v/>
      </c>
      <c r="W113" s="582">
        <v>0</v>
      </c>
      <c r="X113" s="580"/>
      <c r="Y113" s="583">
        <f>IF(GLOBAL_DER_FEV_2023!W113=0,0,IF(GLOBAL_DER_FEV_2023!W113&gt;0,"c","b"))</f>
        <v>0</v>
      </c>
    </row>
    <row r="114" spans="1:25" ht="15" hidden="1" customHeight="1" x14ac:dyDescent="0.2">
      <c r="A114" s="640" t="s">
        <v>165</v>
      </c>
      <c r="B114" s="1036" t="str">
        <f>GLOBAL_DER_FEV_2023!B114</f>
        <v/>
      </c>
      <c r="C114" s="1072" t="str">
        <f>GLOBAL_DER_FEV_2023!C114</f>
        <v/>
      </c>
      <c r="D114" s="1141">
        <f>GLOBAL_DER_FEV_2023!D114</f>
        <v>0</v>
      </c>
      <c r="E114" s="907">
        <f>GLOBAL_DER_FEV_2023!E114</f>
        <v>0</v>
      </c>
      <c r="F114" s="908">
        <f>GLOBAL_DER_FEV_2023!F114</f>
        <v>0</v>
      </c>
      <c r="G114" s="912">
        <f>GLOBAL_DER_FEV_2023!G114</f>
        <v>0</v>
      </c>
      <c r="H114" s="901">
        <f>GLOBAL_DER_FEV_2023!H114</f>
        <v>0</v>
      </c>
      <c r="I114" s="901">
        <f>GLOBAL_DER_FEV_2023!I114</f>
        <v>0</v>
      </c>
      <c r="J114" s="890">
        <f>GLOBAL_DER_FEV_2023!J114</f>
        <v>0</v>
      </c>
      <c r="K114" s="903" t="str">
        <f>GLOBAL_DER_FEV_2023!K114</f>
        <v xml:space="preserve">     </v>
      </c>
      <c r="L114" s="1137"/>
      <c r="M114" s="1138">
        <f t="shared" si="7"/>
        <v>0</v>
      </c>
      <c r="N114" s="893">
        <f t="shared" si="10"/>
        <v>0</v>
      </c>
      <c r="O114" s="905"/>
      <c r="Q114" s="317" t="str">
        <f t="shared" si="6"/>
        <v/>
      </c>
      <c r="R114" s="317" t="str">
        <f t="shared" si="8"/>
        <v/>
      </c>
      <c r="S114" s="317" t="str">
        <f t="shared" si="9"/>
        <v/>
      </c>
      <c r="T114" s="317" t="str">
        <f>GLOBAL_DER_FEV_2023!S114</f>
        <v/>
      </c>
      <c r="W114" s="582">
        <v>0</v>
      </c>
      <c r="X114" s="580"/>
      <c r="Y114" s="583">
        <f>IF(GLOBAL_DER_FEV_2023!W114=0,0,IF(GLOBAL_DER_FEV_2023!W114&gt;0,"c","b"))</f>
        <v>0</v>
      </c>
    </row>
    <row r="115" spans="1:25" ht="15" hidden="1" customHeight="1" x14ac:dyDescent="0.2">
      <c r="A115" s="640" t="s">
        <v>165</v>
      </c>
      <c r="B115" s="1036" t="str">
        <f>GLOBAL_DER_FEV_2023!B115</f>
        <v/>
      </c>
      <c r="C115" s="1072" t="str">
        <f>GLOBAL_DER_FEV_2023!C115</f>
        <v/>
      </c>
      <c r="D115" s="1141">
        <f>GLOBAL_DER_FEV_2023!D115</f>
        <v>0</v>
      </c>
      <c r="E115" s="907">
        <f>GLOBAL_DER_FEV_2023!E115</f>
        <v>0</v>
      </c>
      <c r="F115" s="908">
        <f>GLOBAL_DER_FEV_2023!F115</f>
        <v>0</v>
      </c>
      <c r="G115" s="912">
        <f>GLOBAL_DER_FEV_2023!G115</f>
        <v>0</v>
      </c>
      <c r="H115" s="901">
        <f>GLOBAL_DER_FEV_2023!H115</f>
        <v>0</v>
      </c>
      <c r="I115" s="901">
        <f>GLOBAL_DER_FEV_2023!I115</f>
        <v>0</v>
      </c>
      <c r="J115" s="890">
        <f>GLOBAL_DER_FEV_2023!J115</f>
        <v>0</v>
      </c>
      <c r="K115" s="903" t="str">
        <f>GLOBAL_DER_FEV_2023!K115</f>
        <v xml:space="preserve">     </v>
      </c>
      <c r="L115" s="1137"/>
      <c r="M115" s="1138">
        <f t="shared" si="7"/>
        <v>0</v>
      </c>
      <c r="N115" s="893">
        <f t="shared" si="10"/>
        <v>0</v>
      </c>
      <c r="O115" s="905"/>
      <c r="Q115" s="317" t="str">
        <f t="shared" si="6"/>
        <v/>
      </c>
      <c r="R115" s="317" t="str">
        <f t="shared" si="8"/>
        <v/>
      </c>
      <c r="S115" s="317" t="str">
        <f t="shared" si="9"/>
        <v/>
      </c>
      <c r="T115" s="317" t="str">
        <f>GLOBAL_DER_FEV_2023!S115</f>
        <v/>
      </c>
      <c r="W115" s="582">
        <v>0</v>
      </c>
      <c r="X115" s="580"/>
      <c r="Y115" s="583">
        <f>IF(GLOBAL_DER_FEV_2023!W115=0,0,IF(GLOBAL_DER_FEV_2023!W115&gt;0,"c","b"))</f>
        <v>0</v>
      </c>
    </row>
    <row r="116" spans="1:25" ht="15" hidden="1" customHeight="1" thickBot="1" x14ac:dyDescent="0.25">
      <c r="A116" s="640" t="s">
        <v>165</v>
      </c>
      <c r="B116" s="1036" t="str">
        <f>GLOBAL_DER_FEV_2023!B116</f>
        <v/>
      </c>
      <c r="C116" s="1072" t="str">
        <f>GLOBAL_DER_FEV_2023!C116</f>
        <v/>
      </c>
      <c r="D116" s="1141">
        <f>GLOBAL_DER_FEV_2023!D116</f>
        <v>0</v>
      </c>
      <c r="E116" s="907">
        <f>GLOBAL_DER_FEV_2023!E116</f>
        <v>0</v>
      </c>
      <c r="F116" s="908">
        <f>GLOBAL_DER_FEV_2023!F116</f>
        <v>0</v>
      </c>
      <c r="G116" s="912">
        <f>GLOBAL_DER_FEV_2023!G116</f>
        <v>0</v>
      </c>
      <c r="H116" s="901">
        <f>GLOBAL_DER_FEV_2023!H116</f>
        <v>0</v>
      </c>
      <c r="I116" s="901">
        <f>GLOBAL_DER_FEV_2023!I116</f>
        <v>0</v>
      </c>
      <c r="J116" s="890">
        <f>GLOBAL_DER_FEV_2023!J116</f>
        <v>0</v>
      </c>
      <c r="K116" s="903" t="str">
        <f>GLOBAL_DER_FEV_2023!K116</f>
        <v xml:space="preserve">     </v>
      </c>
      <c r="L116" s="1137"/>
      <c r="M116" s="1138">
        <f t="shared" si="7"/>
        <v>0</v>
      </c>
      <c r="N116" s="893">
        <f t="shared" si="10"/>
        <v>0</v>
      </c>
      <c r="O116" s="905"/>
      <c r="Q116" s="317" t="str">
        <f t="shared" si="6"/>
        <v/>
      </c>
      <c r="R116" s="317" t="str">
        <f t="shared" si="8"/>
        <v/>
      </c>
      <c r="S116" s="317" t="str">
        <f t="shared" si="9"/>
        <v/>
      </c>
      <c r="T116" s="317" t="str">
        <f>GLOBAL_DER_FEV_2023!S116</f>
        <v/>
      </c>
      <c r="W116" s="582">
        <v>0</v>
      </c>
      <c r="X116" s="580"/>
      <c r="Y116" s="583">
        <f>IF(GLOBAL_DER_FEV_2023!W116=0,0,IF(GLOBAL_DER_FEV_2023!W116&gt;0,"c","b"))</f>
        <v>0</v>
      </c>
    </row>
    <row r="117" spans="1:25" ht="15" hidden="1" customHeight="1" thickBot="1" x14ac:dyDescent="0.25">
      <c r="A117" s="317" t="s">
        <v>185</v>
      </c>
      <c r="B117" s="950" t="s">
        <v>185</v>
      </c>
      <c r="C117" s="951"/>
      <c r="D117" s="952" t="s">
        <v>434</v>
      </c>
      <c r="E117" s="943">
        <f>GLOBAL_DER_FEV_2023!E117</f>
        <v>0</v>
      </c>
      <c r="F117" s="876"/>
      <c r="G117" s="945"/>
      <c r="H117" s="945">
        <f>GLOBAL_DER_FEV_2023!H117</f>
        <v>0</v>
      </c>
      <c r="I117" s="945">
        <f>GLOBAL_DER_FEV_2023!I117</f>
        <v>0</v>
      </c>
      <c r="J117" s="945">
        <f>GLOBAL_DER_FEV_2023!J117</f>
        <v>0</v>
      </c>
      <c r="K117" s="878" t="s">
        <v>507</v>
      </c>
      <c r="L117" s="879"/>
      <c r="M117" s="880"/>
      <c r="N117" s="881">
        <f t="shared" si="10"/>
        <v>0</v>
      </c>
      <c r="O117" s="882">
        <f>SUM(N118:N227)</f>
        <v>0</v>
      </c>
      <c r="P117" s="58" t="str">
        <f>IF(OR(O117&gt;0,O117&gt;0),"X","")</f>
        <v/>
      </c>
      <c r="Q117" s="317" t="str">
        <f t="shared" si="6"/>
        <v/>
      </c>
      <c r="R117" s="317" t="str">
        <f t="shared" si="8"/>
        <v/>
      </c>
      <c r="S117" s="317" t="str">
        <f t="shared" si="9"/>
        <v/>
      </c>
      <c r="T117" s="317" t="str">
        <f>GLOBAL_DER_FEV_2023!S117</f>
        <v/>
      </c>
      <c r="W117" s="582">
        <v>0</v>
      </c>
      <c r="X117" s="580"/>
      <c r="Y117" s="583">
        <f>IF(GLOBAL_DER_FEV_2023!W117=0,0,IF(GLOBAL_DER_FEV_2023!W117&gt;0,"c","b"))</f>
        <v>0</v>
      </c>
    </row>
    <row r="118" spans="1:25" ht="13.5" hidden="1" thickBot="1" x14ac:dyDescent="0.25">
      <c r="A118" s="317">
        <v>520100</v>
      </c>
      <c r="B118" s="895" t="s">
        <v>1558</v>
      </c>
      <c r="C118" s="896" t="s">
        <v>184</v>
      </c>
      <c r="D118" s="906" t="s">
        <v>270</v>
      </c>
      <c r="E118" s="898">
        <f>GLOBAL_DER_FEV_2023!E118</f>
        <v>0.5</v>
      </c>
      <c r="F118" s="899">
        <f>GLOBAL_DER_FEV_2023!F118</f>
        <v>2.0999999999999996</v>
      </c>
      <c r="G118" s="953">
        <f>GLOBAL_DER_FEV_2023!G118</f>
        <v>6.7514999999999992</v>
      </c>
      <c r="H118" s="954">
        <f>GLOBAL_DER_FEV_2023!H118</f>
        <v>5.45</v>
      </c>
      <c r="I118" s="901">
        <f>GLOBAL_DER_FEV_2023!I118</f>
        <v>12.201499999999999</v>
      </c>
      <c r="J118" s="902">
        <f>GLOBAL_DER_FEV_2023!J118</f>
        <v>14.65</v>
      </c>
      <c r="K118" s="903" t="s">
        <v>10</v>
      </c>
      <c r="L118" s="1137"/>
      <c r="M118" s="1150">
        <f t="shared" si="7"/>
        <v>0</v>
      </c>
      <c r="N118" s="893">
        <f t="shared" si="10"/>
        <v>0</v>
      </c>
      <c r="O118" s="905"/>
      <c r="Q118" s="317" t="str">
        <f t="shared" si="6"/>
        <v/>
      </c>
      <c r="R118" s="317" t="str">
        <f t="shared" si="8"/>
        <v/>
      </c>
      <c r="S118" s="317" t="str">
        <f t="shared" si="9"/>
        <v/>
      </c>
      <c r="T118" s="317" t="str">
        <f>GLOBAL_DER_FEV_2023!S118</f>
        <v/>
      </c>
      <c r="W118" s="582">
        <v>0</v>
      </c>
      <c r="X118" s="580"/>
      <c r="Y118" s="583">
        <f>IF(GLOBAL_DER_FEV_2023!W118=0,0,IF(GLOBAL_DER_FEV_2023!W118&gt;0,"c","b"))</f>
        <v>0</v>
      </c>
    </row>
    <row r="119" spans="1:25" ht="13.5" hidden="1" thickBot="1" x14ac:dyDescent="0.25">
      <c r="A119" s="317">
        <v>520100</v>
      </c>
      <c r="B119" s="895" t="s">
        <v>1559</v>
      </c>
      <c r="C119" s="896" t="s">
        <v>184</v>
      </c>
      <c r="D119" s="906" t="s">
        <v>271</v>
      </c>
      <c r="E119" s="898">
        <f>GLOBAL_DER_FEV_2023!E119</f>
        <v>15</v>
      </c>
      <c r="F119" s="899">
        <f>GLOBAL_DER_FEV_2023!F119</f>
        <v>2.0999999999999996</v>
      </c>
      <c r="G119" s="953">
        <f>GLOBAL_DER_FEV_2023!G119</f>
        <v>39.332999999999991</v>
      </c>
      <c r="H119" s="954">
        <f>GLOBAL_DER_FEV_2023!H119</f>
        <v>5.45</v>
      </c>
      <c r="I119" s="901">
        <f>GLOBAL_DER_FEV_2023!I119</f>
        <v>44.782999999999994</v>
      </c>
      <c r="J119" s="902">
        <f>GLOBAL_DER_FEV_2023!J119</f>
        <v>53.77</v>
      </c>
      <c r="K119" s="903" t="s">
        <v>10</v>
      </c>
      <c r="L119" s="1137"/>
      <c r="M119" s="1150">
        <f t="shared" si="7"/>
        <v>0</v>
      </c>
      <c r="N119" s="893">
        <f t="shared" si="10"/>
        <v>0</v>
      </c>
      <c r="O119" s="905"/>
      <c r="Q119" s="317" t="str">
        <f t="shared" si="6"/>
        <v/>
      </c>
      <c r="R119" s="317" t="str">
        <f t="shared" si="8"/>
        <v/>
      </c>
      <c r="S119" s="317" t="str">
        <f t="shared" si="9"/>
        <v/>
      </c>
      <c r="T119" s="317" t="str">
        <f>GLOBAL_DER_FEV_2023!S119</f>
        <v/>
      </c>
      <c r="W119" s="582">
        <v>0</v>
      </c>
      <c r="X119" s="580"/>
      <c r="Y119" s="583">
        <f>IF(GLOBAL_DER_FEV_2023!W119=0,0,IF(GLOBAL_DER_FEV_2023!W119&gt;0,"c","b"))</f>
        <v>0</v>
      </c>
    </row>
    <row r="120" spans="1:25" ht="13.5" hidden="1" thickBot="1" x14ac:dyDescent="0.25">
      <c r="A120" s="317">
        <v>532100</v>
      </c>
      <c r="B120" s="895">
        <v>532100</v>
      </c>
      <c r="C120" s="896" t="s">
        <v>184</v>
      </c>
      <c r="D120" s="906" t="s">
        <v>182</v>
      </c>
      <c r="E120" s="898">
        <f>GLOBAL_DER_FEV_2023!E120</f>
        <v>20</v>
      </c>
      <c r="F120" s="908">
        <f>GLOBAL_DER_FEV_2023!F120</f>
        <v>2.1</v>
      </c>
      <c r="G120" s="953">
        <f>GLOBAL_DER_FEV_2023!G120</f>
        <v>50.568000000000005</v>
      </c>
      <c r="H120" s="901">
        <f>GLOBAL_DER_FEV_2023!H120</f>
        <v>92.64</v>
      </c>
      <c r="I120" s="901">
        <f>GLOBAL_DER_FEV_2023!I120</f>
        <v>143.208</v>
      </c>
      <c r="J120" s="902">
        <f>GLOBAL_DER_FEV_2023!J120</f>
        <v>171.95</v>
      </c>
      <c r="K120" s="903" t="s">
        <v>10</v>
      </c>
      <c r="L120" s="1137"/>
      <c r="M120" s="1150">
        <f t="shared" si="7"/>
        <v>0</v>
      </c>
      <c r="N120" s="893">
        <f t="shared" si="10"/>
        <v>0</v>
      </c>
      <c r="O120" s="905"/>
      <c r="Q120" s="317" t="str">
        <f t="shared" si="6"/>
        <v/>
      </c>
      <c r="R120" s="317" t="str">
        <f t="shared" si="8"/>
        <v/>
      </c>
      <c r="S120" s="317" t="str">
        <f t="shared" si="9"/>
        <v/>
      </c>
      <c r="T120" s="317" t="str">
        <f>GLOBAL_DER_FEV_2023!S120</f>
        <v/>
      </c>
      <c r="W120" s="582">
        <v>0</v>
      </c>
      <c r="X120" s="580"/>
      <c r="Y120" s="583">
        <f>IF(GLOBAL_DER_FEV_2023!W120=0,0,IF(GLOBAL_DER_FEV_2023!W120&gt;0,"c","b"))</f>
        <v>0</v>
      </c>
    </row>
    <row r="121" spans="1:25" ht="13.5" hidden="1" thickBot="1" x14ac:dyDescent="0.25">
      <c r="A121" s="317">
        <v>452010</v>
      </c>
      <c r="B121" s="955">
        <v>452010</v>
      </c>
      <c r="C121" s="956" t="s">
        <v>184</v>
      </c>
      <c r="D121" s="906" t="s">
        <v>188</v>
      </c>
      <c r="E121" s="898">
        <f>GLOBAL_DER_FEV_2023!E121</f>
        <v>20</v>
      </c>
      <c r="F121" s="899">
        <f>GLOBAL_DER_FEV_2023!F121</f>
        <v>1.98</v>
      </c>
      <c r="G121" s="953">
        <f>GLOBAL_DER_FEV_2023!G121</f>
        <v>47.678400000000003</v>
      </c>
      <c r="H121" s="901">
        <f>GLOBAL_DER_FEV_2023!H121</f>
        <v>15.69</v>
      </c>
      <c r="I121" s="901">
        <f>GLOBAL_DER_FEV_2023!I121</f>
        <v>63.368400000000001</v>
      </c>
      <c r="J121" s="902">
        <f>GLOBAL_DER_FEV_2023!J121</f>
        <v>76.09</v>
      </c>
      <c r="K121" s="903" t="s">
        <v>10</v>
      </c>
      <c r="L121" s="1137"/>
      <c r="M121" s="1150">
        <f t="shared" si="7"/>
        <v>0</v>
      </c>
      <c r="N121" s="893">
        <f t="shared" si="10"/>
        <v>0</v>
      </c>
      <c r="O121" s="905"/>
      <c r="Q121" s="317" t="str">
        <f t="shared" si="6"/>
        <v/>
      </c>
      <c r="R121" s="317" t="str">
        <f t="shared" si="8"/>
        <v/>
      </c>
      <c r="S121" s="317" t="str">
        <f t="shared" si="9"/>
        <v/>
      </c>
      <c r="T121" s="317" t="str">
        <f>GLOBAL_DER_FEV_2023!S121</f>
        <v/>
      </c>
      <c r="W121" s="582">
        <v>0</v>
      </c>
      <c r="X121" s="580"/>
      <c r="Y121" s="583">
        <f>IF(GLOBAL_DER_FEV_2023!W121=0,0,IF(GLOBAL_DER_FEV_2023!W121&gt;0,"c","b"))</f>
        <v>0</v>
      </c>
    </row>
    <row r="122" spans="1:25" ht="13.5" hidden="1" thickBot="1" x14ac:dyDescent="0.25">
      <c r="A122" s="317">
        <v>532500</v>
      </c>
      <c r="B122" s="895" t="s">
        <v>1530</v>
      </c>
      <c r="C122" s="896" t="s">
        <v>184</v>
      </c>
      <c r="D122" s="957" t="s">
        <v>329</v>
      </c>
      <c r="E122" s="907">
        <f>GLOBAL_DER_FEV_2023!E122</f>
        <v>150</v>
      </c>
      <c r="F122" s="908">
        <f>GLOBAL_DER_FEV_2023!F122</f>
        <v>1.7250000000000001</v>
      </c>
      <c r="G122" s="953">
        <f>GLOBAL_DER_FEV_2023!G122</f>
        <v>281.4855</v>
      </c>
      <c r="H122" s="901">
        <f>GLOBAL_DER_FEV_2023!H122</f>
        <v>102.38</v>
      </c>
      <c r="I122" s="901">
        <f>GLOBAL_DER_FEV_2023!I122</f>
        <v>383.8655</v>
      </c>
      <c r="J122" s="902">
        <f>GLOBAL_DER_FEV_2023!J122</f>
        <v>460.91</v>
      </c>
      <c r="K122" s="903" t="s">
        <v>10</v>
      </c>
      <c r="L122" s="1137"/>
      <c r="M122" s="1150">
        <f t="shared" si="7"/>
        <v>0</v>
      </c>
      <c r="N122" s="893">
        <f t="shared" si="10"/>
        <v>0</v>
      </c>
      <c r="O122" s="905"/>
      <c r="Q122" s="317" t="str">
        <f t="shared" si="6"/>
        <v/>
      </c>
      <c r="R122" s="317" t="str">
        <f t="shared" si="8"/>
        <v/>
      </c>
      <c r="S122" s="317" t="str">
        <f t="shared" si="9"/>
        <v/>
      </c>
      <c r="T122" s="317" t="str">
        <f>GLOBAL_DER_FEV_2023!S122</f>
        <v/>
      </c>
      <c r="W122" s="582">
        <v>0</v>
      </c>
      <c r="X122" s="580"/>
      <c r="Y122" s="583">
        <f>IF(GLOBAL_DER_FEV_2023!W122=0,0,IF(GLOBAL_DER_FEV_2023!W122&gt;0,"c","b"))</f>
        <v>0</v>
      </c>
    </row>
    <row r="123" spans="1:25" ht="14.45" hidden="1" customHeight="1" x14ac:dyDescent="0.2">
      <c r="A123" s="317">
        <v>603900</v>
      </c>
      <c r="B123" s="895" t="s">
        <v>1740</v>
      </c>
      <c r="C123" s="896" t="s">
        <v>184</v>
      </c>
      <c r="D123" s="957" t="s">
        <v>330</v>
      </c>
      <c r="E123" s="907">
        <f>GLOBAL_DER_FEV_2023!E123</f>
        <v>0.2</v>
      </c>
      <c r="F123" s="908">
        <f>GLOBAL_DER_FEV_2023!F123</f>
        <v>1.5</v>
      </c>
      <c r="G123" s="953">
        <f>GLOBAL_DER_FEV_2023!G123</f>
        <v>4.3410000000000002</v>
      </c>
      <c r="H123" s="901">
        <f>GLOBAL_DER_FEV_2023!H123</f>
        <v>131.84</v>
      </c>
      <c r="I123" s="901">
        <f>GLOBAL_DER_FEV_2023!I123</f>
        <v>136.18100000000001</v>
      </c>
      <c r="J123" s="902">
        <f>GLOBAL_DER_FEV_2023!J123</f>
        <v>163.51</v>
      </c>
      <c r="K123" s="903" t="s">
        <v>10</v>
      </c>
      <c r="L123" s="1137"/>
      <c r="M123" s="1150">
        <f t="shared" si="7"/>
        <v>0</v>
      </c>
      <c r="N123" s="893">
        <f t="shared" si="10"/>
        <v>0</v>
      </c>
      <c r="O123" s="905"/>
      <c r="Q123" s="317" t="str">
        <f t="shared" si="6"/>
        <v/>
      </c>
      <c r="R123" s="317" t="str">
        <f t="shared" si="8"/>
        <v/>
      </c>
      <c r="S123" s="317" t="str">
        <f t="shared" si="9"/>
        <v/>
      </c>
      <c r="T123" s="317" t="str">
        <f>GLOBAL_DER_FEV_2023!S123</f>
        <v/>
      </c>
      <c r="W123" s="582">
        <v>0</v>
      </c>
      <c r="X123" s="580"/>
      <c r="Y123" s="583">
        <f>IF(GLOBAL_DER_FEV_2023!W123=0,0,IF(GLOBAL_DER_FEV_2023!W123&gt;0,"c","b"))</f>
        <v>0</v>
      </c>
    </row>
    <row r="124" spans="1:25" ht="13.5" hidden="1" thickBot="1" x14ac:dyDescent="0.25">
      <c r="A124" s="317">
        <v>605000</v>
      </c>
      <c r="B124" s="895" t="s">
        <v>298</v>
      </c>
      <c r="C124" s="896" t="s">
        <v>184</v>
      </c>
      <c r="D124" s="906" t="s">
        <v>259</v>
      </c>
      <c r="E124" s="907">
        <f>GLOBAL_DER_FEV_2023!E124</f>
        <v>0</v>
      </c>
      <c r="F124" s="908">
        <f>GLOBAL_DER_FEV_2023!F124</f>
        <v>0</v>
      </c>
      <c r="G124" s="909">
        <f>GLOBAL_DER_FEV_2023!G124</f>
        <v>220.83394000000004</v>
      </c>
      <c r="H124" s="901">
        <f>GLOBAL_DER_FEV_2023!H124</f>
        <v>425.25</v>
      </c>
      <c r="I124" s="901">
        <f>GLOBAL_DER_FEV_2023!I124</f>
        <v>646.08393999999998</v>
      </c>
      <c r="J124" s="902">
        <f>GLOBAL_DER_FEV_2023!J124</f>
        <v>775.75</v>
      </c>
      <c r="K124" s="903" t="s">
        <v>10</v>
      </c>
      <c r="L124" s="1137"/>
      <c r="M124" s="1150">
        <f t="shared" si="7"/>
        <v>0</v>
      </c>
      <c r="N124" s="893">
        <f t="shared" si="10"/>
        <v>0</v>
      </c>
      <c r="O124" s="905"/>
      <c r="Q124" s="317" t="str">
        <f t="shared" si="6"/>
        <v/>
      </c>
      <c r="R124" s="317" t="str">
        <f t="shared" si="8"/>
        <v/>
      </c>
      <c r="S124" s="317" t="str">
        <f t="shared" si="9"/>
        <v/>
      </c>
      <c r="T124" s="317" t="str">
        <f>GLOBAL_DER_FEV_2023!S124</f>
        <v/>
      </c>
      <c r="W124" s="582">
        <v>0</v>
      </c>
      <c r="X124" s="580"/>
      <c r="Y124" s="583">
        <f>IF(GLOBAL_DER_FEV_2023!W124=0,0,IF(GLOBAL_DER_FEV_2023!W124&gt;0,"c","b"))</f>
        <v>0</v>
      </c>
    </row>
    <row r="125" spans="1:25" ht="13.5" hidden="1" thickBot="1" x14ac:dyDescent="0.25">
      <c r="A125" s="317" t="s">
        <v>147</v>
      </c>
      <c r="B125" s="895" t="s">
        <v>147</v>
      </c>
      <c r="C125" s="896"/>
      <c r="D125" s="957" t="s">
        <v>190</v>
      </c>
      <c r="E125" s="907">
        <f>GLOBAL_DER_FEV_2023!E125</f>
        <v>308</v>
      </c>
      <c r="F125" s="908">
        <f>GLOBAL_DER_FEV_2023!F125</f>
        <v>0.18</v>
      </c>
      <c r="G125" s="909">
        <f>GLOBAL_DER_FEV_2023!G125</f>
        <v>44.650799999999997</v>
      </c>
      <c r="H125" s="901">
        <f>GLOBAL_DER_FEV_2023!H125</f>
        <v>0</v>
      </c>
      <c r="I125" s="901">
        <f>GLOBAL_DER_FEV_2023!I125</f>
        <v>0</v>
      </c>
      <c r="J125" s="902">
        <f>GLOBAL_DER_FEV_2023!J125</f>
        <v>0</v>
      </c>
      <c r="K125" s="958" t="s">
        <v>507</v>
      </c>
      <c r="L125" s="959"/>
      <c r="M125" s="1041">
        <f t="shared" si="7"/>
        <v>0</v>
      </c>
      <c r="N125" s="893">
        <f t="shared" si="10"/>
        <v>0</v>
      </c>
      <c r="O125" s="905"/>
      <c r="P125" s="58" t="str">
        <f>IF(N124&gt;0,"xx",IF(N124&gt;0,"xy",""))</f>
        <v/>
      </c>
      <c r="Q125" s="317" t="str">
        <f t="shared" si="6"/>
        <v/>
      </c>
      <c r="R125" s="317" t="str">
        <f t="shared" si="8"/>
        <v/>
      </c>
      <c r="S125" s="317" t="str">
        <f t="shared" si="9"/>
        <v/>
      </c>
      <c r="T125" s="317" t="str">
        <f>GLOBAL_DER_FEV_2023!S125</f>
        <v/>
      </c>
      <c r="W125" s="582">
        <v>0</v>
      </c>
      <c r="X125" s="580"/>
      <c r="Y125" s="583">
        <f>IF(GLOBAL_DER_FEV_2023!W125=0,0,IF(GLOBAL_DER_FEV_2023!W125&gt;0,"c","b"))</f>
        <v>0</v>
      </c>
    </row>
    <row r="126" spans="1:25" ht="13.5" hidden="1" thickBot="1" x14ac:dyDescent="0.25">
      <c r="A126" s="317" t="s">
        <v>147</v>
      </c>
      <c r="B126" s="895" t="s">
        <v>147</v>
      </c>
      <c r="C126" s="896"/>
      <c r="D126" s="957" t="s">
        <v>229</v>
      </c>
      <c r="E126" s="907">
        <f>GLOBAL_DER_FEV_2023!E126</f>
        <v>150</v>
      </c>
      <c r="F126" s="908">
        <f>GLOBAL_DER_FEV_2023!F126</f>
        <v>1.06</v>
      </c>
      <c r="G126" s="909">
        <f>GLOBAL_DER_FEV_2023!G126</f>
        <v>172.97080000000003</v>
      </c>
      <c r="H126" s="901">
        <f>GLOBAL_DER_FEV_2023!H126</f>
        <v>0</v>
      </c>
      <c r="I126" s="901">
        <f>GLOBAL_DER_FEV_2023!I126</f>
        <v>0</v>
      </c>
      <c r="J126" s="902">
        <f>GLOBAL_DER_FEV_2023!J126</f>
        <v>0</v>
      </c>
      <c r="K126" s="958" t="s">
        <v>507</v>
      </c>
      <c r="L126" s="959"/>
      <c r="M126" s="1041">
        <f t="shared" si="7"/>
        <v>0</v>
      </c>
      <c r="N126" s="893">
        <f t="shared" si="10"/>
        <v>0</v>
      </c>
      <c r="O126" s="905"/>
      <c r="P126" s="58" t="str">
        <f>IF(N124&gt;0,"xx",IF(N124&gt;0,"xy",""))</f>
        <v/>
      </c>
      <c r="Q126" s="317" t="str">
        <f t="shared" si="6"/>
        <v/>
      </c>
      <c r="R126" s="317" t="str">
        <f t="shared" si="8"/>
        <v/>
      </c>
      <c r="S126" s="317" t="str">
        <f t="shared" si="9"/>
        <v/>
      </c>
      <c r="T126" s="317" t="str">
        <f>GLOBAL_DER_FEV_2023!S126</f>
        <v/>
      </c>
      <c r="W126" s="582">
        <v>0</v>
      </c>
      <c r="X126" s="580"/>
      <c r="Y126" s="583">
        <f>IF(GLOBAL_DER_FEV_2023!W126=0,0,IF(GLOBAL_DER_FEV_2023!W126&gt;0,"c","b"))</f>
        <v>0</v>
      </c>
    </row>
    <row r="127" spans="1:25" ht="13.5" hidden="1" thickBot="1" x14ac:dyDescent="0.25">
      <c r="A127" s="317" t="s">
        <v>147</v>
      </c>
      <c r="B127" s="895" t="s">
        <v>147</v>
      </c>
      <c r="C127" s="896"/>
      <c r="D127" s="957" t="s">
        <v>233</v>
      </c>
      <c r="E127" s="907">
        <f>GLOBAL_DER_FEV_2023!E127</f>
        <v>0.2</v>
      </c>
      <c r="F127" s="908">
        <f>GLOBAL_DER_FEV_2023!F127</f>
        <v>1.1100000000000001</v>
      </c>
      <c r="G127" s="909">
        <f>GLOBAL_DER_FEV_2023!G127</f>
        <v>3.2123400000000006</v>
      </c>
      <c r="H127" s="901">
        <f>GLOBAL_DER_FEV_2023!H127</f>
        <v>0</v>
      </c>
      <c r="I127" s="901">
        <f>GLOBAL_DER_FEV_2023!I127</f>
        <v>0</v>
      </c>
      <c r="J127" s="902">
        <f>GLOBAL_DER_FEV_2023!J127</f>
        <v>0</v>
      </c>
      <c r="K127" s="958" t="s">
        <v>507</v>
      </c>
      <c r="L127" s="959"/>
      <c r="M127" s="1041">
        <f t="shared" si="7"/>
        <v>0</v>
      </c>
      <c r="N127" s="893">
        <f t="shared" si="10"/>
        <v>0</v>
      </c>
      <c r="O127" s="905"/>
      <c r="P127" s="58" t="str">
        <f>IF(N124&gt;0,"xx",IF(N124&gt;0,"xy",""))</f>
        <v/>
      </c>
      <c r="Q127" s="317" t="str">
        <f t="shared" si="6"/>
        <v/>
      </c>
      <c r="R127" s="317" t="str">
        <f t="shared" si="8"/>
        <v/>
      </c>
      <c r="S127" s="317" t="str">
        <f t="shared" si="9"/>
        <v/>
      </c>
      <c r="T127" s="317" t="str">
        <f>GLOBAL_DER_FEV_2023!S127</f>
        <v/>
      </c>
      <c r="W127" s="582">
        <v>0</v>
      </c>
      <c r="X127" s="580"/>
      <c r="Y127" s="583">
        <f>IF(GLOBAL_DER_FEV_2023!W127=0,0,IF(GLOBAL_DER_FEV_2023!W127&gt;0,"c","b"))</f>
        <v>0</v>
      </c>
    </row>
    <row r="128" spans="1:25" ht="13.5" hidden="1" thickBot="1" x14ac:dyDescent="0.25">
      <c r="A128" s="317">
        <v>400500</v>
      </c>
      <c r="B128" s="895" t="s">
        <v>1529</v>
      </c>
      <c r="C128" s="896" t="s">
        <v>184</v>
      </c>
      <c r="D128" s="906" t="s">
        <v>1732</v>
      </c>
      <c r="E128" s="907">
        <f>GLOBAL_DER_FEV_2023!E128</f>
        <v>150</v>
      </c>
      <c r="F128" s="908">
        <f>GLOBAL_DER_FEV_2023!F128</f>
        <v>1.73</v>
      </c>
      <c r="G128" s="953">
        <f>GLOBAL_DER_FEV_2023!G128</f>
        <v>282.3014</v>
      </c>
      <c r="H128" s="901">
        <f>GLOBAL_DER_FEV_2023!H128</f>
        <v>83.83</v>
      </c>
      <c r="I128" s="901">
        <f>GLOBAL_DER_FEV_2023!I128</f>
        <v>366.13139999999999</v>
      </c>
      <c r="J128" s="902">
        <f>GLOBAL_DER_FEV_2023!J128</f>
        <v>439.61</v>
      </c>
      <c r="K128" s="903" t="s">
        <v>10</v>
      </c>
      <c r="L128" s="1137"/>
      <c r="M128" s="1150">
        <f t="shared" si="7"/>
        <v>0</v>
      </c>
      <c r="N128" s="893">
        <f t="shared" si="10"/>
        <v>0</v>
      </c>
      <c r="O128" s="905"/>
      <c r="Q128" s="317" t="str">
        <f t="shared" si="6"/>
        <v/>
      </c>
      <c r="R128" s="317" t="str">
        <f t="shared" si="8"/>
        <v/>
      </c>
      <c r="S128" s="317" t="str">
        <f t="shared" si="9"/>
        <v/>
      </c>
      <c r="T128" s="317" t="str">
        <f>GLOBAL_DER_FEV_2023!S128</f>
        <v/>
      </c>
      <c r="W128" s="582">
        <v>0</v>
      </c>
      <c r="X128" s="580"/>
      <c r="Y128" s="583">
        <f>IF(GLOBAL_DER_FEV_2023!W128=0,0,IF(GLOBAL_DER_FEV_2023!W128&gt;0,"c","b"))</f>
        <v>0</v>
      </c>
    </row>
    <row r="129" spans="1:25" ht="13.5" hidden="1" thickBot="1" x14ac:dyDescent="0.25">
      <c r="A129" s="317">
        <v>532500</v>
      </c>
      <c r="B129" s="895" t="s">
        <v>1531</v>
      </c>
      <c r="C129" s="896" t="s">
        <v>184</v>
      </c>
      <c r="D129" s="906" t="s">
        <v>1735</v>
      </c>
      <c r="E129" s="907">
        <f>GLOBAL_DER_FEV_2023!E129</f>
        <v>150</v>
      </c>
      <c r="F129" s="908">
        <f>GLOBAL_DER_FEV_2023!F129</f>
        <v>1.7250000000000001</v>
      </c>
      <c r="G129" s="953">
        <f>GLOBAL_DER_FEV_2023!G129</f>
        <v>281.4855</v>
      </c>
      <c r="H129" s="901">
        <f>GLOBAL_DER_FEV_2023!H129</f>
        <v>102.38</v>
      </c>
      <c r="I129" s="901">
        <f>GLOBAL_DER_FEV_2023!I129</f>
        <v>383.8655</v>
      </c>
      <c r="J129" s="902">
        <f>GLOBAL_DER_FEV_2023!J129</f>
        <v>460.91</v>
      </c>
      <c r="K129" s="903" t="s">
        <v>10</v>
      </c>
      <c r="L129" s="1137"/>
      <c r="M129" s="1150">
        <f t="shared" si="7"/>
        <v>0</v>
      </c>
      <c r="N129" s="893">
        <f t="shared" si="10"/>
        <v>0</v>
      </c>
      <c r="O129" s="905"/>
      <c r="Q129" s="317" t="str">
        <f t="shared" si="6"/>
        <v/>
      </c>
      <c r="R129" s="317" t="str">
        <f t="shared" si="8"/>
        <v/>
      </c>
      <c r="S129" s="317" t="str">
        <f t="shared" si="9"/>
        <v/>
      </c>
      <c r="T129" s="317" t="str">
        <f>GLOBAL_DER_FEV_2023!S129</f>
        <v/>
      </c>
      <c r="W129" s="582">
        <v>0</v>
      </c>
      <c r="X129" s="580"/>
      <c r="Y129" s="583">
        <f>IF(GLOBAL_DER_FEV_2023!W129=0,0,IF(GLOBAL_DER_FEV_2023!W129&gt;0,"c","b"))</f>
        <v>0</v>
      </c>
    </row>
    <row r="130" spans="1:25" ht="13.5" hidden="1" thickBot="1" x14ac:dyDescent="0.25">
      <c r="A130" s="317">
        <v>532600</v>
      </c>
      <c r="B130" s="895" t="s">
        <v>1564</v>
      </c>
      <c r="C130" s="896" t="s">
        <v>184</v>
      </c>
      <c r="D130" s="906" t="s">
        <v>1733</v>
      </c>
      <c r="E130" s="898">
        <f>GLOBAL_DER_FEV_2023!E130</f>
        <v>0</v>
      </c>
      <c r="F130" s="908">
        <f>GLOBAL_DER_FEV_2023!F130</f>
        <v>2.25</v>
      </c>
      <c r="G130" s="953">
        <f>GLOBAL_DER_FEV_2023!G130</f>
        <v>6.03</v>
      </c>
      <c r="H130" s="901">
        <f>GLOBAL_DER_FEV_2023!H130</f>
        <v>16.07</v>
      </c>
      <c r="I130" s="901">
        <f>GLOBAL_DER_FEV_2023!I130</f>
        <v>22.1</v>
      </c>
      <c r="J130" s="902">
        <f>GLOBAL_DER_FEV_2023!J130</f>
        <v>26.54</v>
      </c>
      <c r="K130" s="903" t="s">
        <v>10</v>
      </c>
      <c r="L130" s="1137"/>
      <c r="M130" s="1150">
        <f t="shared" si="7"/>
        <v>0</v>
      </c>
      <c r="N130" s="893">
        <f t="shared" si="10"/>
        <v>0</v>
      </c>
      <c r="O130" s="905"/>
      <c r="Q130" s="317" t="str">
        <f t="shared" si="6"/>
        <v/>
      </c>
      <c r="R130" s="317" t="str">
        <f t="shared" si="8"/>
        <v/>
      </c>
      <c r="S130" s="317" t="str">
        <f t="shared" si="9"/>
        <v/>
      </c>
      <c r="T130" s="317" t="str">
        <f>GLOBAL_DER_FEV_2023!S130</f>
        <v/>
      </c>
      <c r="W130" s="582">
        <v>0</v>
      </c>
      <c r="X130" s="580"/>
      <c r="Y130" s="583">
        <f>IF(GLOBAL_DER_FEV_2023!W130=0,0,IF(GLOBAL_DER_FEV_2023!W130&gt;0,"c","b"))</f>
        <v>0</v>
      </c>
    </row>
    <row r="131" spans="1:25" ht="13.5" hidden="1" thickBot="1" x14ac:dyDescent="0.25">
      <c r="A131" s="317">
        <v>603900</v>
      </c>
      <c r="B131" s="895" t="s">
        <v>1730</v>
      </c>
      <c r="C131" s="896" t="s">
        <v>184</v>
      </c>
      <c r="D131" s="906" t="s">
        <v>1734</v>
      </c>
      <c r="E131" s="907">
        <f>GLOBAL_DER_FEV_2023!E131</f>
        <v>0.2</v>
      </c>
      <c r="F131" s="908">
        <f>GLOBAL_DER_FEV_2023!F131</f>
        <v>1.5</v>
      </c>
      <c r="G131" s="953">
        <f>GLOBAL_DER_FEV_2023!G131</f>
        <v>4.3410000000000002</v>
      </c>
      <c r="H131" s="901">
        <f>GLOBAL_DER_FEV_2023!H131</f>
        <v>131.84</v>
      </c>
      <c r="I131" s="901">
        <f>GLOBAL_DER_FEV_2023!I131</f>
        <v>136.18100000000001</v>
      </c>
      <c r="J131" s="902">
        <f>GLOBAL_DER_FEV_2023!J131</f>
        <v>163.51</v>
      </c>
      <c r="K131" s="903" t="s">
        <v>10</v>
      </c>
      <c r="L131" s="1137"/>
      <c r="M131" s="1150">
        <f t="shared" si="7"/>
        <v>0</v>
      </c>
      <c r="N131" s="893">
        <f t="shared" si="10"/>
        <v>0</v>
      </c>
      <c r="O131" s="905"/>
      <c r="Q131" s="317" t="str">
        <f t="shared" si="6"/>
        <v/>
      </c>
      <c r="R131" s="317" t="str">
        <f t="shared" si="8"/>
        <v/>
      </c>
      <c r="S131" s="317" t="str">
        <f t="shared" si="9"/>
        <v/>
      </c>
      <c r="T131" s="317" t="str">
        <f>GLOBAL_DER_FEV_2023!S131</f>
        <v/>
      </c>
      <c r="W131" s="582">
        <v>0</v>
      </c>
      <c r="X131" s="580"/>
      <c r="Y131" s="583">
        <f>IF(GLOBAL_DER_FEV_2023!W131=0,0,IF(GLOBAL_DER_FEV_2023!W131&gt;0,"c","b"))</f>
        <v>0</v>
      </c>
    </row>
    <row r="132" spans="1:25" ht="13.5" hidden="1" thickBot="1" x14ac:dyDescent="0.25">
      <c r="A132" s="317">
        <v>511130</v>
      </c>
      <c r="B132" s="895" t="s">
        <v>1549</v>
      </c>
      <c r="C132" s="896" t="s">
        <v>184</v>
      </c>
      <c r="D132" s="906" t="s">
        <v>448</v>
      </c>
      <c r="E132" s="907">
        <f>GLOBAL_DER_FEV_2023!E132</f>
        <v>0</v>
      </c>
      <c r="F132" s="908">
        <f>GLOBAL_DER_FEV_2023!F132</f>
        <v>0</v>
      </c>
      <c r="G132" s="909">
        <f>GLOBAL_DER_FEV_2023!G132</f>
        <v>0</v>
      </c>
      <c r="H132" s="954">
        <f>GLOBAL_DER_FEV_2023!H132</f>
        <v>1.23</v>
      </c>
      <c r="I132" s="901">
        <f>GLOBAL_DER_FEV_2023!I132</f>
        <v>1.23</v>
      </c>
      <c r="J132" s="902">
        <f>GLOBAL_DER_FEV_2023!J132</f>
        <v>1.48</v>
      </c>
      <c r="K132" s="903" t="s">
        <v>10</v>
      </c>
      <c r="L132" s="1137"/>
      <c r="M132" s="1150">
        <f t="shared" si="7"/>
        <v>0</v>
      </c>
      <c r="N132" s="893">
        <f t="shared" si="10"/>
        <v>0</v>
      </c>
      <c r="O132" s="905"/>
      <c r="P132" s="59"/>
      <c r="Q132" s="317" t="str">
        <f t="shared" si="6"/>
        <v/>
      </c>
      <c r="R132" s="317" t="str">
        <f t="shared" si="8"/>
        <v/>
      </c>
      <c r="S132" s="317" t="str">
        <f t="shared" si="9"/>
        <v/>
      </c>
      <c r="T132" s="317" t="str">
        <f>GLOBAL_DER_FEV_2023!S132</f>
        <v/>
      </c>
      <c r="W132" s="582">
        <v>0</v>
      </c>
      <c r="X132" s="580"/>
      <c r="Y132" s="583">
        <f>IF(GLOBAL_DER_FEV_2023!W132=0,0,IF(GLOBAL_DER_FEV_2023!W132&gt;0,"c","b"))</f>
        <v>0</v>
      </c>
    </row>
    <row r="133" spans="1:25" ht="13.5" hidden="1" thickBot="1" x14ac:dyDescent="0.25">
      <c r="A133" s="317">
        <v>533500</v>
      </c>
      <c r="B133" s="895" t="s">
        <v>1550</v>
      </c>
      <c r="C133" s="896" t="s">
        <v>184</v>
      </c>
      <c r="D133" s="906" t="s">
        <v>449</v>
      </c>
      <c r="E133" s="898">
        <f>GLOBAL_DER_FEV_2023!E133</f>
        <v>0</v>
      </c>
      <c r="F133" s="899">
        <f>GLOBAL_DER_FEV_2023!F133</f>
        <v>1.95</v>
      </c>
      <c r="G133" s="953">
        <f>GLOBAL_DER_FEV_2023!G133</f>
        <v>5.226</v>
      </c>
      <c r="H133" s="901">
        <f>GLOBAL_DER_FEV_2023!H133</f>
        <v>25.79</v>
      </c>
      <c r="I133" s="901">
        <f>GLOBAL_DER_FEV_2023!I133</f>
        <v>31.015999999999998</v>
      </c>
      <c r="J133" s="902">
        <f>GLOBAL_DER_FEV_2023!J133</f>
        <v>37.24</v>
      </c>
      <c r="K133" s="903" t="s">
        <v>10</v>
      </c>
      <c r="L133" s="1137"/>
      <c r="M133" s="1150">
        <f t="shared" si="7"/>
        <v>0</v>
      </c>
      <c r="N133" s="893">
        <f t="shared" si="10"/>
        <v>0</v>
      </c>
      <c r="O133" s="905"/>
      <c r="Q133" s="317" t="str">
        <f t="shared" si="6"/>
        <v/>
      </c>
      <c r="R133" s="317" t="str">
        <f t="shared" si="8"/>
        <v/>
      </c>
      <c r="S133" s="317" t="str">
        <f t="shared" si="9"/>
        <v/>
      </c>
      <c r="T133" s="317" t="str">
        <f>GLOBAL_DER_FEV_2023!S133</f>
        <v/>
      </c>
      <c r="W133" s="582">
        <v>0</v>
      </c>
      <c r="X133" s="580"/>
      <c r="Y133" s="583">
        <f>IF(GLOBAL_DER_FEV_2023!W133=0,0,IF(GLOBAL_DER_FEV_2023!W133&gt;0,"c","b"))</f>
        <v>0</v>
      </c>
    </row>
    <row r="134" spans="1:25" ht="13.5" hidden="1" thickBot="1" x14ac:dyDescent="0.25">
      <c r="A134" s="317">
        <v>533100</v>
      </c>
      <c r="B134" s="895" t="s">
        <v>1552</v>
      </c>
      <c r="C134" s="896" t="s">
        <v>184</v>
      </c>
      <c r="D134" s="906" t="s">
        <v>450</v>
      </c>
      <c r="E134" s="898">
        <f>GLOBAL_DER_FEV_2023!E134</f>
        <v>0</v>
      </c>
      <c r="F134" s="899">
        <f>GLOBAL_DER_FEV_2023!F134</f>
        <v>1.98</v>
      </c>
      <c r="G134" s="953">
        <f>GLOBAL_DER_FEV_2023!G134</f>
        <v>5.3064</v>
      </c>
      <c r="H134" s="901">
        <f>GLOBAL_DER_FEV_2023!H134</f>
        <v>30.58</v>
      </c>
      <c r="I134" s="901">
        <f>GLOBAL_DER_FEV_2023!I134</f>
        <v>35.886399999999995</v>
      </c>
      <c r="J134" s="902">
        <f>GLOBAL_DER_FEV_2023!J134</f>
        <v>43.09</v>
      </c>
      <c r="K134" s="903" t="s">
        <v>10</v>
      </c>
      <c r="L134" s="1137"/>
      <c r="M134" s="1150">
        <f t="shared" si="7"/>
        <v>0</v>
      </c>
      <c r="N134" s="893">
        <f t="shared" si="10"/>
        <v>0</v>
      </c>
      <c r="O134" s="905"/>
      <c r="Q134" s="317" t="str">
        <f t="shared" si="6"/>
        <v/>
      </c>
      <c r="R134" s="317" t="str">
        <f t="shared" si="8"/>
        <v/>
      </c>
      <c r="S134" s="317" t="str">
        <f t="shared" si="9"/>
        <v/>
      </c>
      <c r="T134" s="317" t="str">
        <f>GLOBAL_DER_FEV_2023!S134</f>
        <v/>
      </c>
      <c r="W134" s="582">
        <v>0</v>
      </c>
      <c r="X134" s="580"/>
      <c r="Y134" s="583">
        <f>IF(GLOBAL_DER_FEV_2023!W134=0,0,IF(GLOBAL_DER_FEV_2023!W134&gt;0,"c","b"))</f>
        <v>0</v>
      </c>
    </row>
    <row r="135" spans="1:25" ht="13.5" hidden="1" thickBot="1" x14ac:dyDescent="0.25">
      <c r="A135" s="317">
        <v>511100</v>
      </c>
      <c r="B135" s="895" t="s">
        <v>1568</v>
      </c>
      <c r="C135" s="896" t="s">
        <v>184</v>
      </c>
      <c r="D135" s="906" t="s">
        <v>181</v>
      </c>
      <c r="E135" s="898">
        <f>GLOBAL_DER_FEV_2023!E135</f>
        <v>0</v>
      </c>
      <c r="F135" s="908">
        <f>GLOBAL_DER_FEV_2023!F135</f>
        <v>0</v>
      </c>
      <c r="G135" s="953">
        <f>GLOBAL_DER_FEV_2023!G135</f>
        <v>0</v>
      </c>
      <c r="H135" s="901">
        <f>GLOBAL_DER_FEV_2023!H135</f>
        <v>4.25</v>
      </c>
      <c r="I135" s="901">
        <f>GLOBAL_DER_FEV_2023!I135</f>
        <v>4.25</v>
      </c>
      <c r="J135" s="902">
        <f>GLOBAL_DER_FEV_2023!J135</f>
        <v>5.0999999999999996</v>
      </c>
      <c r="K135" s="903" t="s">
        <v>12</v>
      </c>
      <c r="L135" s="1137"/>
      <c r="M135" s="1150">
        <f t="shared" si="7"/>
        <v>0</v>
      </c>
      <c r="N135" s="893">
        <f t="shared" si="10"/>
        <v>0</v>
      </c>
      <c r="O135" s="905"/>
      <c r="Q135" s="317" t="str">
        <f t="shared" si="6"/>
        <v/>
      </c>
      <c r="R135" s="317" t="str">
        <f t="shared" si="8"/>
        <v/>
      </c>
      <c r="S135" s="317" t="str">
        <f t="shared" si="9"/>
        <v/>
      </c>
      <c r="T135" s="317" t="str">
        <f>GLOBAL_DER_FEV_2023!S135</f>
        <v/>
      </c>
      <c r="W135" s="582">
        <v>0</v>
      </c>
      <c r="X135" s="580"/>
      <c r="Y135" s="583">
        <f>IF(GLOBAL_DER_FEV_2023!W135=0,0,IF(GLOBAL_DER_FEV_2023!W135&gt;0,"c","b"))</f>
        <v>0</v>
      </c>
    </row>
    <row r="136" spans="1:25" ht="13.5" hidden="1" thickBot="1" x14ac:dyDescent="0.25">
      <c r="A136" s="317">
        <v>511000</v>
      </c>
      <c r="B136" s="895" t="s">
        <v>1556</v>
      </c>
      <c r="C136" s="896" t="s">
        <v>184</v>
      </c>
      <c r="D136" s="906" t="s">
        <v>168</v>
      </c>
      <c r="E136" s="898">
        <f>GLOBAL_DER_FEV_2023!E136</f>
        <v>0</v>
      </c>
      <c r="F136" s="908">
        <f>GLOBAL_DER_FEV_2023!F136</f>
        <v>0</v>
      </c>
      <c r="G136" s="953">
        <f>GLOBAL_DER_FEV_2023!G136</f>
        <v>0</v>
      </c>
      <c r="H136" s="901">
        <f>GLOBAL_DER_FEV_2023!H136</f>
        <v>4.91</v>
      </c>
      <c r="I136" s="901">
        <f>GLOBAL_DER_FEV_2023!I136</f>
        <v>4.91</v>
      </c>
      <c r="J136" s="902">
        <f>GLOBAL_DER_FEV_2023!J136</f>
        <v>5.9</v>
      </c>
      <c r="K136" s="903" t="s">
        <v>12</v>
      </c>
      <c r="L136" s="1137"/>
      <c r="M136" s="1150">
        <f t="shared" si="7"/>
        <v>0</v>
      </c>
      <c r="N136" s="893">
        <f t="shared" si="10"/>
        <v>0</v>
      </c>
      <c r="O136" s="905"/>
      <c r="Q136" s="317" t="str">
        <f t="shared" si="6"/>
        <v/>
      </c>
      <c r="R136" s="317" t="str">
        <f t="shared" si="8"/>
        <v/>
      </c>
      <c r="S136" s="317" t="str">
        <f t="shared" si="9"/>
        <v/>
      </c>
      <c r="T136" s="317" t="str">
        <f>GLOBAL_DER_FEV_2023!S136</f>
        <v/>
      </c>
      <c r="W136" s="582">
        <v>0</v>
      </c>
      <c r="X136" s="580"/>
      <c r="Y136" s="583">
        <f>IF(GLOBAL_DER_FEV_2023!W136=0,0,IF(GLOBAL_DER_FEV_2023!W136&gt;0,"c","b"))</f>
        <v>0</v>
      </c>
    </row>
    <row r="137" spans="1:25" ht="13.5" hidden="1" thickBot="1" x14ac:dyDescent="0.25">
      <c r="A137" s="317">
        <v>511300</v>
      </c>
      <c r="B137" s="895" t="s">
        <v>1570</v>
      </c>
      <c r="C137" s="896" t="s">
        <v>184</v>
      </c>
      <c r="D137" s="906" t="s">
        <v>180</v>
      </c>
      <c r="E137" s="898">
        <f>GLOBAL_DER_FEV_2023!E137</f>
        <v>0</v>
      </c>
      <c r="F137" s="908">
        <f>GLOBAL_DER_FEV_2023!F137</f>
        <v>0</v>
      </c>
      <c r="G137" s="953">
        <f>GLOBAL_DER_FEV_2023!G137</f>
        <v>0</v>
      </c>
      <c r="H137" s="901">
        <f>GLOBAL_DER_FEV_2023!H137</f>
        <v>0.28999999999999998</v>
      </c>
      <c r="I137" s="901">
        <f>GLOBAL_DER_FEV_2023!I137</f>
        <v>0.28999999999999998</v>
      </c>
      <c r="J137" s="902">
        <f>GLOBAL_DER_FEV_2023!J137</f>
        <v>0.35</v>
      </c>
      <c r="K137" s="903" t="s">
        <v>12</v>
      </c>
      <c r="L137" s="1137"/>
      <c r="M137" s="1150">
        <f t="shared" si="7"/>
        <v>0</v>
      </c>
      <c r="N137" s="893">
        <f t="shared" si="10"/>
        <v>0</v>
      </c>
      <c r="O137" s="905"/>
      <c r="Q137" s="317" t="str">
        <f t="shared" si="6"/>
        <v/>
      </c>
      <c r="R137" s="317" t="str">
        <f t="shared" si="8"/>
        <v/>
      </c>
      <c r="S137" s="317" t="str">
        <f t="shared" si="9"/>
        <v/>
      </c>
      <c r="T137" s="317" t="str">
        <f>GLOBAL_DER_FEV_2023!S137</f>
        <v/>
      </c>
      <c r="W137" s="582">
        <v>0</v>
      </c>
      <c r="X137" s="580"/>
      <c r="Y137" s="583">
        <f>IF(GLOBAL_DER_FEV_2023!W137=0,0,IF(GLOBAL_DER_FEV_2023!W137&gt;0,"c","b"))</f>
        <v>0</v>
      </c>
    </row>
    <row r="138" spans="1:25" ht="13.5" hidden="1" thickBot="1" x14ac:dyDescent="0.25">
      <c r="A138" s="317">
        <v>100576</v>
      </c>
      <c r="B138" s="895" t="s">
        <v>1744</v>
      </c>
      <c r="C138" s="896" t="s">
        <v>596</v>
      </c>
      <c r="D138" s="906" t="s">
        <v>183</v>
      </c>
      <c r="E138" s="898">
        <f>GLOBAL_DER_FEV_2023!E138</f>
        <v>0</v>
      </c>
      <c r="F138" s="908">
        <f>GLOBAL_DER_FEV_2023!F138</f>
        <v>0</v>
      </c>
      <c r="G138" s="953">
        <f>GLOBAL_DER_FEV_2023!G138</f>
        <v>0</v>
      </c>
      <c r="H138" s="901">
        <f>GLOBAL_DER_FEV_2023!H138</f>
        <v>2.6</v>
      </c>
      <c r="I138" s="901">
        <f>GLOBAL_DER_FEV_2023!I138</f>
        <v>2.6</v>
      </c>
      <c r="J138" s="902">
        <f>GLOBAL_DER_FEV_2023!J138</f>
        <v>3.12</v>
      </c>
      <c r="K138" s="903" t="s">
        <v>12</v>
      </c>
      <c r="L138" s="1137"/>
      <c r="M138" s="1150">
        <f t="shared" si="7"/>
        <v>0</v>
      </c>
      <c r="N138" s="893">
        <f t="shared" si="10"/>
        <v>0</v>
      </c>
      <c r="O138" s="905"/>
      <c r="Q138" s="317" t="str">
        <f t="shared" si="6"/>
        <v/>
      </c>
      <c r="R138" s="317" t="str">
        <f t="shared" si="8"/>
        <v/>
      </c>
      <c r="S138" s="317" t="str">
        <f t="shared" si="9"/>
        <v/>
      </c>
      <c r="T138" s="317" t="str">
        <f>GLOBAL_DER_FEV_2023!S138</f>
        <v/>
      </c>
      <c r="W138" s="582">
        <v>0</v>
      </c>
      <c r="X138" s="580"/>
      <c r="Y138" s="583">
        <f>IF(GLOBAL_DER_FEV_2023!W138=0,0,IF(GLOBAL_DER_FEV_2023!W138&gt;0,"c","b"))</f>
        <v>0</v>
      </c>
    </row>
    <row r="139" spans="1:25" ht="13.5" hidden="1" thickBot="1" x14ac:dyDescent="0.25">
      <c r="A139" s="317">
        <v>450000</v>
      </c>
      <c r="B139" s="955">
        <v>450000</v>
      </c>
      <c r="C139" s="956" t="s">
        <v>184</v>
      </c>
      <c r="D139" s="906" t="s">
        <v>187</v>
      </c>
      <c r="E139" s="898">
        <f>GLOBAL_DER_FEV_2023!E139</f>
        <v>15</v>
      </c>
      <c r="F139" s="899">
        <f>GLOBAL_DER_FEV_2023!F139</f>
        <v>1.98</v>
      </c>
      <c r="G139" s="909">
        <f>GLOBAL_DER_FEV_2023!G139</f>
        <v>37.0854</v>
      </c>
      <c r="H139" s="901">
        <f>GLOBAL_DER_FEV_2023!H139</f>
        <v>15.69</v>
      </c>
      <c r="I139" s="901">
        <f>GLOBAL_DER_FEV_2023!I139</f>
        <v>52.775399999999998</v>
      </c>
      <c r="J139" s="902">
        <f>GLOBAL_DER_FEV_2023!J139</f>
        <v>63.37</v>
      </c>
      <c r="K139" s="903" t="s">
        <v>10</v>
      </c>
      <c r="L139" s="1137"/>
      <c r="M139" s="1150">
        <f t="shared" si="7"/>
        <v>0</v>
      </c>
      <c r="N139" s="893">
        <f t="shared" si="10"/>
        <v>0</v>
      </c>
      <c r="O139" s="905"/>
      <c r="Q139" s="317" t="str">
        <f t="shared" si="6"/>
        <v/>
      </c>
      <c r="R139" s="317" t="str">
        <f t="shared" si="8"/>
        <v/>
      </c>
      <c r="S139" s="317" t="str">
        <f t="shared" si="9"/>
        <v/>
      </c>
      <c r="T139" s="317" t="str">
        <f>GLOBAL_DER_FEV_2023!S139</f>
        <v/>
      </c>
      <c r="W139" s="582">
        <v>0</v>
      </c>
      <c r="X139" s="580"/>
      <c r="Y139" s="583">
        <f>IF(GLOBAL_DER_FEV_2023!W139=0,0,IF(GLOBAL_DER_FEV_2023!W139&gt;0,"c","b"))</f>
        <v>0</v>
      </c>
    </row>
    <row r="140" spans="1:25" ht="13.5" hidden="1" thickBot="1" x14ac:dyDescent="0.25">
      <c r="A140" s="317">
        <v>541000</v>
      </c>
      <c r="B140" s="895">
        <v>541000</v>
      </c>
      <c r="C140" s="896" t="s">
        <v>184</v>
      </c>
      <c r="D140" s="906" t="s">
        <v>189</v>
      </c>
      <c r="E140" s="907">
        <f>GLOBAL_DER_FEV_2023!E140</f>
        <v>15</v>
      </c>
      <c r="F140" s="908">
        <f>GLOBAL_DER_FEV_2023!F140</f>
        <v>2.02</v>
      </c>
      <c r="G140" s="909">
        <f>GLOBAL_DER_FEV_2023!G140</f>
        <v>37.834600000000002</v>
      </c>
      <c r="H140" s="901">
        <f>GLOBAL_DER_FEV_2023!H140</f>
        <v>28.94</v>
      </c>
      <c r="I140" s="901">
        <f>GLOBAL_DER_FEV_2023!I140</f>
        <v>66.774600000000007</v>
      </c>
      <c r="J140" s="902">
        <f>GLOBAL_DER_FEV_2023!J140</f>
        <v>80.180000000000007</v>
      </c>
      <c r="K140" s="903" t="s">
        <v>10</v>
      </c>
      <c r="L140" s="1137"/>
      <c r="M140" s="1150">
        <f t="shared" si="7"/>
        <v>0</v>
      </c>
      <c r="N140" s="893">
        <f t="shared" si="10"/>
        <v>0</v>
      </c>
      <c r="O140" s="905"/>
      <c r="Q140" s="317" t="str">
        <f t="shared" si="6"/>
        <v/>
      </c>
      <c r="R140" s="317" t="str">
        <f t="shared" si="8"/>
        <v/>
      </c>
      <c r="S140" s="317" t="str">
        <f t="shared" si="9"/>
        <v/>
      </c>
      <c r="T140" s="317" t="str">
        <f>GLOBAL_DER_FEV_2023!S140</f>
        <v/>
      </c>
      <c r="W140" s="582">
        <v>0</v>
      </c>
      <c r="X140" s="580"/>
      <c r="Y140" s="583">
        <f>IF(GLOBAL_DER_FEV_2023!W140=0,0,IF(GLOBAL_DER_FEV_2023!W140&gt;0,"c","b"))</f>
        <v>0</v>
      </c>
    </row>
    <row r="141" spans="1:25" ht="13.5" hidden="1" thickBot="1" x14ac:dyDescent="0.25">
      <c r="A141" s="317">
        <v>533100</v>
      </c>
      <c r="B141" s="895" t="s">
        <v>1553</v>
      </c>
      <c r="C141" s="896" t="s">
        <v>184</v>
      </c>
      <c r="D141" s="906" t="s">
        <v>186</v>
      </c>
      <c r="E141" s="898">
        <f>GLOBAL_DER_FEV_2023!E141</f>
        <v>15</v>
      </c>
      <c r="F141" s="899">
        <f>GLOBAL_DER_FEV_2023!F141</f>
        <v>2.1</v>
      </c>
      <c r="G141" s="909">
        <f>GLOBAL_DER_FEV_2023!G141</f>
        <v>39.333000000000006</v>
      </c>
      <c r="H141" s="901">
        <f>GLOBAL_DER_FEV_2023!H141</f>
        <v>30.58</v>
      </c>
      <c r="I141" s="901">
        <f>GLOBAL_DER_FEV_2023!I141</f>
        <v>69.913000000000011</v>
      </c>
      <c r="J141" s="902">
        <f>GLOBAL_DER_FEV_2023!J141</f>
        <v>83.94</v>
      </c>
      <c r="K141" s="903" t="s">
        <v>10</v>
      </c>
      <c r="L141" s="1137"/>
      <c r="M141" s="1150">
        <f t="shared" si="7"/>
        <v>0</v>
      </c>
      <c r="N141" s="893">
        <f t="shared" si="10"/>
        <v>0</v>
      </c>
      <c r="O141" s="905"/>
      <c r="Q141" s="317" t="str">
        <f t="shared" si="6"/>
        <v/>
      </c>
      <c r="R141" s="317" t="str">
        <f t="shared" si="8"/>
        <v/>
      </c>
      <c r="S141" s="317" t="str">
        <f t="shared" si="9"/>
        <v/>
      </c>
      <c r="T141" s="317" t="str">
        <f>GLOBAL_DER_FEV_2023!S141</f>
        <v/>
      </c>
      <c r="W141" s="582">
        <v>0</v>
      </c>
      <c r="X141" s="580"/>
      <c r="Y141" s="583">
        <f>IF(GLOBAL_DER_FEV_2023!W141=0,0,IF(GLOBAL_DER_FEV_2023!W141&gt;0,"c","b"))</f>
        <v>0</v>
      </c>
    </row>
    <row r="142" spans="1:25" ht="13.5" hidden="1" thickBot="1" x14ac:dyDescent="0.25">
      <c r="A142" s="317">
        <v>542000</v>
      </c>
      <c r="B142" s="895">
        <v>542000</v>
      </c>
      <c r="C142" s="896" t="s">
        <v>184</v>
      </c>
      <c r="D142" s="906" t="s">
        <v>2193</v>
      </c>
      <c r="E142" s="898">
        <f>GLOBAL_DER_FEV_2023!E142</f>
        <v>0</v>
      </c>
      <c r="F142" s="908">
        <f>GLOBAL_DER_FEV_2023!F142</f>
        <v>0</v>
      </c>
      <c r="G142" s="953">
        <f>GLOBAL_DER_FEV_2023!G142</f>
        <v>14.171060000000001</v>
      </c>
      <c r="H142" s="901">
        <f>GLOBAL_DER_FEV_2023!H142</f>
        <v>58.55</v>
      </c>
      <c r="I142" s="901">
        <f>GLOBAL_DER_FEV_2023!I142</f>
        <v>72.721059999999994</v>
      </c>
      <c r="J142" s="902">
        <f>GLOBAL_DER_FEV_2023!J142</f>
        <v>87.32</v>
      </c>
      <c r="K142" s="903" t="s">
        <v>10</v>
      </c>
      <c r="L142" s="1137"/>
      <c r="M142" s="1150">
        <f t="shared" si="7"/>
        <v>0</v>
      </c>
      <c r="N142" s="893">
        <f t="shared" si="10"/>
        <v>0</v>
      </c>
      <c r="O142" s="905"/>
      <c r="Q142" s="317" t="str">
        <f t="shared" si="6"/>
        <v/>
      </c>
      <c r="R142" s="317" t="str">
        <f t="shared" si="8"/>
        <v/>
      </c>
      <c r="S142" s="317" t="str">
        <f t="shared" si="9"/>
        <v/>
      </c>
      <c r="T142" s="317" t="str">
        <f>GLOBAL_DER_FEV_2023!S142</f>
        <v/>
      </c>
      <c r="W142" s="582">
        <v>0</v>
      </c>
      <c r="X142" s="580"/>
      <c r="Y142" s="583">
        <f>IF(GLOBAL_DER_FEV_2023!W142=0,0,IF(GLOBAL_DER_FEV_2023!W142&gt;0,"c","b"))</f>
        <v>0</v>
      </c>
    </row>
    <row r="143" spans="1:25" ht="13.5" hidden="1" thickBot="1" x14ac:dyDescent="0.25">
      <c r="A143" s="317" t="s">
        <v>147</v>
      </c>
      <c r="B143" s="895" t="s">
        <v>147</v>
      </c>
      <c r="C143" s="896"/>
      <c r="D143" s="957" t="s">
        <v>190</v>
      </c>
      <c r="E143" s="907">
        <f>GLOBAL_DER_FEV_2023!E143</f>
        <v>308</v>
      </c>
      <c r="F143" s="908">
        <f>GLOBAL_DER_FEV_2023!F143</f>
        <v>3.6999999999999998E-2</v>
      </c>
      <c r="G143" s="909">
        <f>GLOBAL_DER_FEV_2023!G143</f>
        <v>9.1782199999999996</v>
      </c>
      <c r="H143" s="901">
        <f>GLOBAL_DER_FEV_2023!H143</f>
        <v>0</v>
      </c>
      <c r="I143" s="901">
        <f>GLOBAL_DER_FEV_2023!I143</f>
        <v>0</v>
      </c>
      <c r="J143" s="902">
        <f>GLOBAL_DER_FEV_2023!J143</f>
        <v>0</v>
      </c>
      <c r="K143" s="903" t="s">
        <v>507</v>
      </c>
      <c r="L143" s="959"/>
      <c r="M143" s="1041">
        <f t="shared" si="7"/>
        <v>0</v>
      </c>
      <c r="N143" s="893">
        <f t="shared" si="10"/>
        <v>0</v>
      </c>
      <c r="O143" s="905"/>
      <c r="P143" s="58" t="str">
        <f>IF(N142&gt;0,"xx",IF(N142&gt;0,"xy",""))</f>
        <v/>
      </c>
      <c r="Q143" s="317" t="str">
        <f t="shared" si="6"/>
        <v/>
      </c>
      <c r="R143" s="317" t="str">
        <f t="shared" si="8"/>
        <v/>
      </c>
      <c r="S143" s="317" t="str">
        <f t="shared" si="9"/>
        <v/>
      </c>
      <c r="T143" s="317" t="str">
        <f>GLOBAL_DER_FEV_2023!S143</f>
        <v/>
      </c>
      <c r="W143" s="582">
        <v>0</v>
      </c>
      <c r="X143" s="580"/>
      <c r="Y143" s="583">
        <f>IF(GLOBAL_DER_FEV_2023!W143=0,0,IF(GLOBAL_DER_FEV_2023!W143&gt;0,"c","b"))</f>
        <v>0</v>
      </c>
    </row>
    <row r="144" spans="1:25" ht="13.5" hidden="1" thickBot="1" x14ac:dyDescent="0.25">
      <c r="A144" s="317" t="s">
        <v>147</v>
      </c>
      <c r="B144" s="895" t="s">
        <v>147</v>
      </c>
      <c r="C144" s="896"/>
      <c r="D144" s="957" t="s">
        <v>191</v>
      </c>
      <c r="E144" s="898">
        <f>GLOBAL_DER_FEV_2023!E144</f>
        <v>0</v>
      </c>
      <c r="F144" s="908">
        <f>GLOBAL_DER_FEV_2023!F144</f>
        <v>1.863</v>
      </c>
      <c r="G144" s="909">
        <f>GLOBAL_DER_FEV_2023!G144</f>
        <v>4.9928400000000002</v>
      </c>
      <c r="H144" s="901">
        <f>GLOBAL_DER_FEV_2023!H144</f>
        <v>0</v>
      </c>
      <c r="I144" s="901">
        <f>GLOBAL_DER_FEV_2023!I144</f>
        <v>0</v>
      </c>
      <c r="J144" s="902">
        <f>GLOBAL_DER_FEV_2023!J144</f>
        <v>0</v>
      </c>
      <c r="K144" s="903" t="s">
        <v>507</v>
      </c>
      <c r="L144" s="959"/>
      <c r="M144" s="1041">
        <f t="shared" si="7"/>
        <v>0</v>
      </c>
      <c r="N144" s="893">
        <f t="shared" si="10"/>
        <v>0</v>
      </c>
      <c r="O144" s="905"/>
      <c r="P144" s="58" t="str">
        <f>IF(N142&gt;0,"xx",IF(N142&gt;0,"xy",""))</f>
        <v/>
      </c>
      <c r="Q144" s="317" t="str">
        <f t="shared" si="6"/>
        <v/>
      </c>
      <c r="R144" s="317" t="str">
        <f t="shared" si="8"/>
        <v/>
      </c>
      <c r="S144" s="317" t="str">
        <f t="shared" si="9"/>
        <v/>
      </c>
      <c r="T144" s="317" t="str">
        <f>GLOBAL_DER_FEV_2023!S144</f>
        <v/>
      </c>
      <c r="W144" s="582">
        <v>0</v>
      </c>
      <c r="X144" s="580"/>
      <c r="Y144" s="583">
        <f>IF(GLOBAL_DER_FEV_2023!W144=0,0,IF(GLOBAL_DER_FEV_2023!W144&gt;0,"c","b"))</f>
        <v>0</v>
      </c>
    </row>
    <row r="145" spans="1:25" ht="13.5" hidden="1" thickBot="1" x14ac:dyDescent="0.25">
      <c r="A145" s="317">
        <v>543000</v>
      </c>
      <c r="B145" s="895">
        <v>543000</v>
      </c>
      <c r="C145" s="896" t="s">
        <v>184</v>
      </c>
      <c r="D145" s="906" t="s">
        <v>2194</v>
      </c>
      <c r="E145" s="898">
        <f>GLOBAL_DER_FEV_2023!E145</f>
        <v>0</v>
      </c>
      <c r="F145" s="908">
        <f>GLOBAL_DER_FEV_2023!F145</f>
        <v>0</v>
      </c>
      <c r="G145" s="953">
        <f>GLOBAL_DER_FEV_2023!G145</f>
        <v>18.587900000000001</v>
      </c>
      <c r="H145" s="901">
        <f>GLOBAL_DER_FEV_2023!H145</f>
        <v>72.05</v>
      </c>
      <c r="I145" s="901">
        <f>GLOBAL_DER_FEV_2023!I145</f>
        <v>90.637900000000002</v>
      </c>
      <c r="J145" s="902">
        <f>GLOBAL_DER_FEV_2023!J145</f>
        <v>108.83</v>
      </c>
      <c r="K145" s="903" t="s">
        <v>10</v>
      </c>
      <c r="L145" s="1137"/>
      <c r="M145" s="1150">
        <f t="shared" si="7"/>
        <v>0</v>
      </c>
      <c r="N145" s="893">
        <f t="shared" si="10"/>
        <v>0</v>
      </c>
      <c r="O145" s="905"/>
      <c r="Q145" s="317" t="str">
        <f t="shared" si="6"/>
        <v/>
      </c>
      <c r="R145" s="317" t="str">
        <f t="shared" si="8"/>
        <v/>
      </c>
      <c r="S145" s="317" t="str">
        <f t="shared" si="9"/>
        <v/>
      </c>
      <c r="T145" s="317" t="str">
        <f>GLOBAL_DER_FEV_2023!S145</f>
        <v/>
      </c>
      <c r="W145" s="582">
        <v>0</v>
      </c>
      <c r="X145" s="580"/>
      <c r="Y145" s="583">
        <f>IF(GLOBAL_DER_FEV_2023!W145=0,0,IF(GLOBAL_DER_FEV_2023!W145&gt;0,"c","b"))</f>
        <v>0</v>
      </c>
    </row>
    <row r="146" spans="1:25" ht="13.5" hidden="1" thickBot="1" x14ac:dyDescent="0.25">
      <c r="A146" s="317" t="s">
        <v>147</v>
      </c>
      <c r="B146" s="895" t="s">
        <v>147</v>
      </c>
      <c r="C146" s="896"/>
      <c r="D146" s="957" t="s">
        <v>190</v>
      </c>
      <c r="E146" s="907">
        <f>GLOBAL_DER_FEV_2023!E146</f>
        <v>308</v>
      </c>
      <c r="F146" s="908">
        <f>GLOBAL_DER_FEV_2023!F146</f>
        <v>5.5E-2</v>
      </c>
      <c r="G146" s="909">
        <f>GLOBAL_DER_FEV_2023!G146</f>
        <v>13.6433</v>
      </c>
      <c r="H146" s="901">
        <f>GLOBAL_DER_FEV_2023!H146</f>
        <v>0</v>
      </c>
      <c r="I146" s="901">
        <f>GLOBAL_DER_FEV_2023!I146</f>
        <v>0</v>
      </c>
      <c r="J146" s="902">
        <f>GLOBAL_DER_FEV_2023!J146</f>
        <v>0</v>
      </c>
      <c r="K146" s="903" t="s">
        <v>507</v>
      </c>
      <c r="L146" s="959"/>
      <c r="M146" s="1041">
        <f t="shared" si="7"/>
        <v>0</v>
      </c>
      <c r="N146" s="893">
        <f t="shared" si="10"/>
        <v>0</v>
      </c>
      <c r="O146" s="905"/>
      <c r="P146" s="58" t="str">
        <f>IF(N145&gt;0,"xx",IF(N145&gt;0,"xy",""))</f>
        <v/>
      </c>
      <c r="Q146" s="317" t="str">
        <f t="shared" si="6"/>
        <v/>
      </c>
      <c r="R146" s="317" t="str">
        <f t="shared" si="8"/>
        <v/>
      </c>
      <c r="S146" s="317" t="str">
        <f t="shared" si="9"/>
        <v/>
      </c>
      <c r="T146" s="317" t="str">
        <f>GLOBAL_DER_FEV_2023!S146</f>
        <v/>
      </c>
      <c r="W146" s="582">
        <v>0</v>
      </c>
      <c r="X146" s="580"/>
      <c r="Y146" s="583">
        <f>IF(GLOBAL_DER_FEV_2023!W146=0,0,IF(GLOBAL_DER_FEV_2023!W146&gt;0,"c","b"))</f>
        <v>0</v>
      </c>
    </row>
    <row r="147" spans="1:25" ht="13.5" hidden="1" thickBot="1" x14ac:dyDescent="0.25">
      <c r="A147" s="317" t="s">
        <v>147</v>
      </c>
      <c r="B147" s="895" t="s">
        <v>147</v>
      </c>
      <c r="C147" s="896"/>
      <c r="D147" s="957" t="s">
        <v>191</v>
      </c>
      <c r="E147" s="898">
        <f>GLOBAL_DER_FEV_2023!E147</f>
        <v>0</v>
      </c>
      <c r="F147" s="908">
        <f>GLOBAL_DER_FEV_2023!F147</f>
        <v>1.845</v>
      </c>
      <c r="G147" s="909">
        <f>GLOBAL_DER_FEV_2023!G147</f>
        <v>4.9446000000000003</v>
      </c>
      <c r="H147" s="901">
        <f>GLOBAL_DER_FEV_2023!H147</f>
        <v>0</v>
      </c>
      <c r="I147" s="901">
        <f>GLOBAL_DER_FEV_2023!I147</f>
        <v>0</v>
      </c>
      <c r="J147" s="902">
        <f>GLOBAL_DER_FEV_2023!J147</f>
        <v>0</v>
      </c>
      <c r="K147" s="903" t="s">
        <v>507</v>
      </c>
      <c r="L147" s="959"/>
      <c r="M147" s="1041">
        <f t="shared" si="7"/>
        <v>0</v>
      </c>
      <c r="N147" s="893">
        <f t="shared" si="10"/>
        <v>0</v>
      </c>
      <c r="O147" s="905"/>
      <c r="P147" s="58" t="str">
        <f>IF(N145&gt;0,"xx",IF(N145&gt;0,"xy",""))</f>
        <v/>
      </c>
      <c r="Q147" s="317" t="str">
        <f t="shared" ref="Q147:Q210" si="11">IF(P147="X","x",IF(P147="xx","x",IF(P147="xy","x",IF(P147="y","x",IF(OR(N147&gt;0,N147&gt;0),"x","")))))</f>
        <v/>
      </c>
      <c r="R147" s="317" t="str">
        <f t="shared" si="8"/>
        <v/>
      </c>
      <c r="S147" s="317" t="str">
        <f t="shared" si="9"/>
        <v/>
      </c>
      <c r="T147" s="317" t="str">
        <f>GLOBAL_DER_FEV_2023!S147</f>
        <v/>
      </c>
      <c r="W147" s="582">
        <v>0</v>
      </c>
      <c r="X147" s="580"/>
      <c r="Y147" s="583">
        <f>IF(GLOBAL_DER_FEV_2023!W147=0,0,IF(GLOBAL_DER_FEV_2023!W147&gt;0,"c","b"))</f>
        <v>0</v>
      </c>
    </row>
    <row r="148" spans="1:25" ht="13.5" hidden="1" thickBot="1" x14ac:dyDescent="0.25">
      <c r="A148" s="317">
        <v>544000</v>
      </c>
      <c r="B148" s="895">
        <v>544000</v>
      </c>
      <c r="C148" s="896" t="s">
        <v>184</v>
      </c>
      <c r="D148" s="906" t="s">
        <v>2195</v>
      </c>
      <c r="E148" s="898">
        <f>GLOBAL_DER_FEV_2023!E148</f>
        <v>0</v>
      </c>
      <c r="F148" s="908">
        <f>GLOBAL_DER_FEV_2023!F148</f>
        <v>0</v>
      </c>
      <c r="G148" s="953">
        <f>GLOBAL_DER_FEV_2023!G148</f>
        <v>22.37998</v>
      </c>
      <c r="H148" s="901">
        <f>GLOBAL_DER_FEV_2023!H148</f>
        <v>76.39</v>
      </c>
      <c r="I148" s="901">
        <f>GLOBAL_DER_FEV_2023!I148</f>
        <v>98.769980000000004</v>
      </c>
      <c r="J148" s="902">
        <f>GLOBAL_DER_FEV_2023!J148</f>
        <v>118.59</v>
      </c>
      <c r="K148" s="903" t="s">
        <v>10</v>
      </c>
      <c r="L148" s="1137"/>
      <c r="M148" s="1150">
        <f t="shared" ref="M148:M211" si="12">IF(L148=0,0,ROUND(J148,2))</f>
        <v>0</v>
      </c>
      <c r="N148" s="893">
        <f t="shared" si="10"/>
        <v>0</v>
      </c>
      <c r="O148" s="905"/>
      <c r="Q148" s="317" t="str">
        <f t="shared" si="11"/>
        <v/>
      </c>
      <c r="R148" s="317" t="str">
        <f t="shared" si="8"/>
        <v/>
      </c>
      <c r="S148" s="317" t="str">
        <f t="shared" si="9"/>
        <v/>
      </c>
      <c r="T148" s="317" t="str">
        <f>GLOBAL_DER_FEV_2023!S148</f>
        <v/>
      </c>
      <c r="W148" s="582">
        <v>0</v>
      </c>
      <c r="X148" s="580"/>
      <c r="Y148" s="583">
        <f>IF(GLOBAL_DER_FEV_2023!W148=0,0,IF(GLOBAL_DER_FEV_2023!W148&gt;0,"c","b"))</f>
        <v>0</v>
      </c>
    </row>
    <row r="149" spans="1:25" ht="13.5" hidden="1" thickBot="1" x14ac:dyDescent="0.25">
      <c r="A149" s="317" t="s">
        <v>147</v>
      </c>
      <c r="B149" s="895" t="s">
        <v>147</v>
      </c>
      <c r="C149" s="896"/>
      <c r="D149" s="957" t="s">
        <v>190</v>
      </c>
      <c r="E149" s="907">
        <f>GLOBAL_DER_FEV_2023!E149</f>
        <v>308</v>
      </c>
      <c r="F149" s="908">
        <f>GLOBAL_DER_FEV_2023!F149</f>
        <v>7.0999999999999994E-2</v>
      </c>
      <c r="G149" s="909">
        <f>GLOBAL_DER_FEV_2023!G149</f>
        <v>17.612259999999999</v>
      </c>
      <c r="H149" s="901">
        <f>GLOBAL_DER_FEV_2023!H149</f>
        <v>0</v>
      </c>
      <c r="I149" s="901">
        <f>GLOBAL_DER_FEV_2023!I149</f>
        <v>0</v>
      </c>
      <c r="J149" s="902">
        <f>GLOBAL_DER_FEV_2023!J149</f>
        <v>0</v>
      </c>
      <c r="K149" s="903" t="s">
        <v>507</v>
      </c>
      <c r="L149" s="959"/>
      <c r="M149" s="1041">
        <f t="shared" si="12"/>
        <v>0</v>
      </c>
      <c r="N149" s="893">
        <f t="shared" si="10"/>
        <v>0</v>
      </c>
      <c r="O149" s="905"/>
      <c r="P149" s="58" t="str">
        <f>IF(N148&gt;0,"xx",IF(N148&gt;0,"xy",""))</f>
        <v/>
      </c>
      <c r="Q149" s="317" t="str">
        <f t="shared" si="11"/>
        <v/>
      </c>
      <c r="R149" s="317" t="str">
        <f t="shared" ref="R149:R212" si="13">IF(P149="X","x",IF(P149="y","x",IF(P149="xx","x",IF(N149&gt;0,"x",""))))</f>
        <v/>
      </c>
      <c r="S149" s="317" t="str">
        <f t="shared" ref="S149:S212" si="14">IF(P149="X","x",IF(N149&gt;0,"x",""))</f>
        <v/>
      </c>
      <c r="T149" s="317" t="str">
        <f>GLOBAL_DER_FEV_2023!S149</f>
        <v/>
      </c>
      <c r="W149" s="582">
        <v>0</v>
      </c>
      <c r="X149" s="580"/>
      <c r="Y149" s="583">
        <f>IF(GLOBAL_DER_FEV_2023!W149=0,0,IF(GLOBAL_DER_FEV_2023!W149&gt;0,"c","b"))</f>
        <v>0</v>
      </c>
    </row>
    <row r="150" spans="1:25" ht="13.5" hidden="1" thickBot="1" x14ac:dyDescent="0.25">
      <c r="A150" s="317" t="s">
        <v>147</v>
      </c>
      <c r="B150" s="895" t="s">
        <v>147</v>
      </c>
      <c r="C150" s="896"/>
      <c r="D150" s="957" t="s">
        <v>191</v>
      </c>
      <c r="E150" s="898">
        <f>GLOBAL_DER_FEV_2023!E150</f>
        <v>0</v>
      </c>
      <c r="F150" s="908">
        <f>GLOBAL_DER_FEV_2023!F150</f>
        <v>1.7789999999999999</v>
      </c>
      <c r="G150" s="909">
        <f>GLOBAL_DER_FEV_2023!G150</f>
        <v>4.7677199999999997</v>
      </c>
      <c r="H150" s="901">
        <f>GLOBAL_DER_FEV_2023!H150</f>
        <v>0</v>
      </c>
      <c r="I150" s="901">
        <f>GLOBAL_DER_FEV_2023!I150</f>
        <v>0</v>
      </c>
      <c r="J150" s="902">
        <f>GLOBAL_DER_FEV_2023!J150</f>
        <v>0</v>
      </c>
      <c r="K150" s="903" t="s">
        <v>507</v>
      </c>
      <c r="L150" s="959"/>
      <c r="M150" s="1041">
        <f t="shared" si="12"/>
        <v>0</v>
      </c>
      <c r="N150" s="893">
        <f t="shared" si="10"/>
        <v>0</v>
      </c>
      <c r="O150" s="905"/>
      <c r="P150" s="58" t="str">
        <f>IF(N148&gt;0,"xx",IF(N148&gt;0,"xy",""))</f>
        <v/>
      </c>
      <c r="Q150" s="317" t="str">
        <f t="shared" si="11"/>
        <v/>
      </c>
      <c r="R150" s="317" t="str">
        <f t="shared" si="13"/>
        <v/>
      </c>
      <c r="S150" s="317" t="str">
        <f t="shared" si="14"/>
        <v/>
      </c>
      <c r="T150" s="317" t="str">
        <f>GLOBAL_DER_FEV_2023!S150</f>
        <v/>
      </c>
      <c r="W150" s="582">
        <v>0</v>
      </c>
      <c r="X150" s="580"/>
      <c r="Y150" s="583">
        <f>IF(GLOBAL_DER_FEV_2023!W150=0,0,IF(GLOBAL_DER_FEV_2023!W150&gt;0,"c","b"))</f>
        <v>0</v>
      </c>
    </row>
    <row r="151" spans="1:25" ht="13.5" hidden="1" thickBot="1" x14ac:dyDescent="0.25">
      <c r="A151" s="317">
        <v>545000</v>
      </c>
      <c r="B151" s="895">
        <v>545000</v>
      </c>
      <c r="C151" s="896" t="s">
        <v>184</v>
      </c>
      <c r="D151" s="906" t="s">
        <v>2196</v>
      </c>
      <c r="E151" s="898">
        <f>GLOBAL_DER_FEV_2023!E151</f>
        <v>0</v>
      </c>
      <c r="F151" s="908">
        <f>GLOBAL_DER_FEV_2023!F151</f>
        <v>0</v>
      </c>
      <c r="G151" s="953">
        <f>GLOBAL_DER_FEV_2023!G151</f>
        <v>26.551439999999999</v>
      </c>
      <c r="H151" s="901">
        <f>GLOBAL_DER_FEV_2023!H151</f>
        <v>88.51</v>
      </c>
      <c r="I151" s="901">
        <f>GLOBAL_DER_FEV_2023!I151</f>
        <v>115.06144</v>
      </c>
      <c r="J151" s="902">
        <f>GLOBAL_DER_FEV_2023!J151</f>
        <v>138.15</v>
      </c>
      <c r="K151" s="903" t="s">
        <v>10</v>
      </c>
      <c r="L151" s="1137"/>
      <c r="M151" s="1150">
        <f t="shared" si="12"/>
        <v>0</v>
      </c>
      <c r="N151" s="893">
        <f t="shared" si="10"/>
        <v>0</v>
      </c>
      <c r="O151" s="905"/>
      <c r="Q151" s="317" t="str">
        <f t="shared" si="11"/>
        <v/>
      </c>
      <c r="R151" s="317" t="str">
        <f t="shared" si="13"/>
        <v/>
      </c>
      <c r="S151" s="317" t="str">
        <f t="shared" si="14"/>
        <v/>
      </c>
      <c r="T151" s="317" t="str">
        <f>GLOBAL_DER_FEV_2023!S151</f>
        <v/>
      </c>
      <c r="W151" s="582">
        <v>0</v>
      </c>
      <c r="X151" s="580"/>
      <c r="Y151" s="583">
        <f>IF(GLOBAL_DER_FEV_2023!W151=0,0,IF(GLOBAL_DER_FEV_2023!W151&gt;0,"c","b"))</f>
        <v>0</v>
      </c>
    </row>
    <row r="152" spans="1:25" ht="13.5" hidden="1" thickBot="1" x14ac:dyDescent="0.25">
      <c r="A152" s="317" t="s">
        <v>147</v>
      </c>
      <c r="B152" s="895" t="s">
        <v>147</v>
      </c>
      <c r="C152" s="896"/>
      <c r="D152" s="957" t="s">
        <v>190</v>
      </c>
      <c r="E152" s="907">
        <f>GLOBAL_DER_FEV_2023!E152</f>
        <v>308</v>
      </c>
      <c r="F152" s="908">
        <f>GLOBAL_DER_FEV_2023!F152</f>
        <v>8.7999999999999995E-2</v>
      </c>
      <c r="G152" s="909">
        <f>GLOBAL_DER_FEV_2023!G152</f>
        <v>21.829280000000001</v>
      </c>
      <c r="H152" s="901">
        <f>GLOBAL_DER_FEV_2023!H152</f>
        <v>0</v>
      </c>
      <c r="I152" s="901">
        <f>GLOBAL_DER_FEV_2023!I152</f>
        <v>0</v>
      </c>
      <c r="J152" s="902">
        <f>GLOBAL_DER_FEV_2023!J152</f>
        <v>0</v>
      </c>
      <c r="K152" s="903" t="s">
        <v>507</v>
      </c>
      <c r="L152" s="959"/>
      <c r="M152" s="1041">
        <f t="shared" si="12"/>
        <v>0</v>
      </c>
      <c r="N152" s="893">
        <f t="shared" si="10"/>
        <v>0</v>
      </c>
      <c r="O152" s="905"/>
      <c r="P152" s="58" t="str">
        <f>IF(N151&gt;0,"xx",IF(N151&gt;0,"xy",""))</f>
        <v/>
      </c>
      <c r="Q152" s="317" t="str">
        <f t="shared" si="11"/>
        <v/>
      </c>
      <c r="R152" s="317" t="str">
        <f t="shared" si="13"/>
        <v/>
      </c>
      <c r="S152" s="317" t="str">
        <f t="shared" si="14"/>
        <v/>
      </c>
      <c r="T152" s="317" t="str">
        <f>GLOBAL_DER_FEV_2023!S152</f>
        <v/>
      </c>
      <c r="W152" s="582">
        <v>0</v>
      </c>
      <c r="X152" s="580"/>
      <c r="Y152" s="583">
        <f>IF(GLOBAL_DER_FEV_2023!W152=0,0,IF(GLOBAL_DER_FEV_2023!W152&gt;0,"c","b"))</f>
        <v>0</v>
      </c>
    </row>
    <row r="153" spans="1:25" ht="13.5" hidden="1" thickBot="1" x14ac:dyDescent="0.25">
      <c r="A153" s="317" t="s">
        <v>147</v>
      </c>
      <c r="B153" s="895" t="s">
        <v>147</v>
      </c>
      <c r="C153" s="896"/>
      <c r="D153" s="957" t="s">
        <v>191</v>
      </c>
      <c r="E153" s="898">
        <f>GLOBAL_DER_FEV_2023!E153</f>
        <v>0</v>
      </c>
      <c r="F153" s="908">
        <f>GLOBAL_DER_FEV_2023!F153</f>
        <v>1.762</v>
      </c>
      <c r="G153" s="909">
        <f>GLOBAL_DER_FEV_2023!G153</f>
        <v>4.7221600000000006</v>
      </c>
      <c r="H153" s="901">
        <f>GLOBAL_DER_FEV_2023!H153</f>
        <v>0</v>
      </c>
      <c r="I153" s="901">
        <f>GLOBAL_DER_FEV_2023!I153</f>
        <v>0</v>
      </c>
      <c r="J153" s="902">
        <f>GLOBAL_DER_FEV_2023!J153</f>
        <v>0</v>
      </c>
      <c r="K153" s="903" t="s">
        <v>507</v>
      </c>
      <c r="L153" s="959"/>
      <c r="M153" s="1041">
        <f t="shared" si="12"/>
        <v>0</v>
      </c>
      <c r="N153" s="893">
        <f t="shared" ref="N153:N216" si="15">IF(ISBLANK(L153),0,IF(W153=0,ROUND(L153*M153,2),IF(W153="b",ROUNDDOWN(L153*M153,2),ROUNDUP(L153*M153,2))))</f>
        <v>0</v>
      </c>
      <c r="O153" s="905"/>
      <c r="P153" s="58" t="str">
        <f>IF(N151&gt;0,"xx",IF(N151&gt;0,"xy",""))</f>
        <v/>
      </c>
      <c r="Q153" s="317" t="str">
        <f t="shared" si="11"/>
        <v/>
      </c>
      <c r="R153" s="317" t="str">
        <f t="shared" si="13"/>
        <v/>
      </c>
      <c r="S153" s="317" t="str">
        <f t="shared" si="14"/>
        <v/>
      </c>
      <c r="T153" s="317" t="str">
        <f>GLOBAL_DER_FEV_2023!S153</f>
        <v/>
      </c>
      <c r="W153" s="582">
        <v>0</v>
      </c>
      <c r="X153" s="580"/>
      <c r="Y153" s="583">
        <f>IF(GLOBAL_DER_FEV_2023!W153=0,0,IF(GLOBAL_DER_FEV_2023!W153&gt;0,"c","b"))</f>
        <v>0</v>
      </c>
    </row>
    <row r="154" spans="1:25" ht="13.5" hidden="1" thickBot="1" x14ac:dyDescent="0.25">
      <c r="A154" s="317">
        <v>546000</v>
      </c>
      <c r="B154" s="895">
        <v>546000</v>
      </c>
      <c r="C154" s="896" t="s">
        <v>184</v>
      </c>
      <c r="D154" s="906" t="s">
        <v>2197</v>
      </c>
      <c r="E154" s="898">
        <f>GLOBAL_DER_FEV_2023!E154</f>
        <v>0</v>
      </c>
      <c r="F154" s="908">
        <f>GLOBAL_DER_FEV_2023!F154</f>
        <v>0</v>
      </c>
      <c r="G154" s="953">
        <f>GLOBAL_DER_FEV_2023!G154</f>
        <v>30.722899999999999</v>
      </c>
      <c r="H154" s="901">
        <f>GLOBAL_DER_FEV_2023!H154</f>
        <v>100.63</v>
      </c>
      <c r="I154" s="901">
        <f>GLOBAL_DER_FEV_2023!I154</f>
        <v>131.35290000000001</v>
      </c>
      <c r="J154" s="902">
        <f>GLOBAL_DER_FEV_2023!J154</f>
        <v>157.72</v>
      </c>
      <c r="K154" s="903" t="s">
        <v>10</v>
      </c>
      <c r="L154" s="1137"/>
      <c r="M154" s="1150">
        <f t="shared" si="12"/>
        <v>0</v>
      </c>
      <c r="N154" s="893">
        <f t="shared" si="15"/>
        <v>0</v>
      </c>
      <c r="O154" s="905"/>
      <c r="Q154" s="317" t="str">
        <f t="shared" si="11"/>
        <v/>
      </c>
      <c r="R154" s="317" t="str">
        <f t="shared" si="13"/>
        <v/>
      </c>
      <c r="S154" s="317" t="str">
        <f t="shared" si="14"/>
        <v/>
      </c>
      <c r="T154" s="317" t="str">
        <f>GLOBAL_DER_FEV_2023!S154</f>
        <v/>
      </c>
      <c r="W154" s="582">
        <v>0</v>
      </c>
      <c r="X154" s="580"/>
      <c r="Y154" s="583">
        <f>IF(GLOBAL_DER_FEV_2023!W154=0,0,IF(GLOBAL_DER_FEV_2023!W154&gt;0,"c","b"))</f>
        <v>0</v>
      </c>
    </row>
    <row r="155" spans="1:25" ht="13.5" hidden="1" thickBot="1" x14ac:dyDescent="0.25">
      <c r="A155" s="317" t="s">
        <v>147</v>
      </c>
      <c r="B155" s="895" t="s">
        <v>147</v>
      </c>
      <c r="C155" s="896"/>
      <c r="D155" s="957" t="s">
        <v>190</v>
      </c>
      <c r="E155" s="907">
        <f>GLOBAL_DER_FEV_2023!E155</f>
        <v>308</v>
      </c>
      <c r="F155" s="908">
        <f>GLOBAL_DER_FEV_2023!F155</f>
        <v>0.105</v>
      </c>
      <c r="G155" s="909">
        <f>GLOBAL_DER_FEV_2023!G155</f>
        <v>26.046299999999999</v>
      </c>
      <c r="H155" s="901">
        <f>GLOBAL_DER_FEV_2023!H155</f>
        <v>0</v>
      </c>
      <c r="I155" s="901">
        <f>GLOBAL_DER_FEV_2023!I155</f>
        <v>0</v>
      </c>
      <c r="J155" s="902">
        <f>GLOBAL_DER_FEV_2023!J155</f>
        <v>0</v>
      </c>
      <c r="K155" s="903" t="s">
        <v>507</v>
      </c>
      <c r="L155" s="959"/>
      <c r="M155" s="1041">
        <f t="shared" si="12"/>
        <v>0</v>
      </c>
      <c r="N155" s="893">
        <f t="shared" si="15"/>
        <v>0</v>
      </c>
      <c r="O155" s="905"/>
      <c r="P155" s="58" t="str">
        <f>IF(N154&gt;0,"xx",IF(N154&gt;0,"xy",""))</f>
        <v/>
      </c>
      <c r="Q155" s="317" t="str">
        <f t="shared" si="11"/>
        <v/>
      </c>
      <c r="R155" s="317" t="str">
        <f t="shared" si="13"/>
        <v/>
      </c>
      <c r="S155" s="317" t="str">
        <f t="shared" si="14"/>
        <v/>
      </c>
      <c r="T155" s="317" t="str">
        <f>GLOBAL_DER_FEV_2023!S155</f>
        <v/>
      </c>
      <c r="W155" s="582">
        <v>0</v>
      </c>
      <c r="X155" s="580"/>
      <c r="Y155" s="583">
        <f>IF(GLOBAL_DER_FEV_2023!W155=0,0,IF(GLOBAL_DER_FEV_2023!W155&gt;0,"c","b"))</f>
        <v>0</v>
      </c>
    </row>
    <row r="156" spans="1:25" ht="13.5" hidden="1" thickBot="1" x14ac:dyDescent="0.25">
      <c r="A156" s="317" t="s">
        <v>147</v>
      </c>
      <c r="B156" s="895" t="s">
        <v>147</v>
      </c>
      <c r="C156" s="896"/>
      <c r="D156" s="957" t="s">
        <v>191</v>
      </c>
      <c r="E156" s="898">
        <f>GLOBAL_DER_FEV_2023!E156</f>
        <v>0</v>
      </c>
      <c r="F156" s="908">
        <f>GLOBAL_DER_FEV_2023!F156</f>
        <v>1.7450000000000001</v>
      </c>
      <c r="G156" s="909">
        <f>GLOBAL_DER_FEV_2023!G156</f>
        <v>4.6766000000000005</v>
      </c>
      <c r="H156" s="901">
        <f>GLOBAL_DER_FEV_2023!H156</f>
        <v>0</v>
      </c>
      <c r="I156" s="901">
        <f>GLOBAL_DER_FEV_2023!I156</f>
        <v>0</v>
      </c>
      <c r="J156" s="902">
        <f>GLOBAL_DER_FEV_2023!J156</f>
        <v>0</v>
      </c>
      <c r="K156" s="903" t="s">
        <v>507</v>
      </c>
      <c r="L156" s="959"/>
      <c r="M156" s="1041">
        <f t="shared" si="12"/>
        <v>0</v>
      </c>
      <c r="N156" s="893">
        <f t="shared" si="15"/>
        <v>0</v>
      </c>
      <c r="O156" s="905"/>
      <c r="P156" s="58" t="str">
        <f>IF(N154&gt;0,"xx",IF(N154&gt;0,"xy",""))</f>
        <v/>
      </c>
      <c r="Q156" s="317" t="str">
        <f t="shared" si="11"/>
        <v/>
      </c>
      <c r="R156" s="317" t="str">
        <f t="shared" si="13"/>
        <v/>
      </c>
      <c r="S156" s="317" t="str">
        <f t="shared" si="14"/>
        <v/>
      </c>
      <c r="T156" s="317" t="str">
        <f>GLOBAL_DER_FEV_2023!S156</f>
        <v/>
      </c>
      <c r="W156" s="582">
        <v>0</v>
      </c>
      <c r="X156" s="580"/>
      <c r="Y156" s="583">
        <f>IF(GLOBAL_DER_FEV_2023!W156=0,0,IF(GLOBAL_DER_FEV_2023!W156&gt;0,"c","b"))</f>
        <v>0</v>
      </c>
    </row>
    <row r="157" spans="1:25" ht="13.5" hidden="1" thickBot="1" x14ac:dyDescent="0.25">
      <c r="A157" s="317">
        <v>547000</v>
      </c>
      <c r="B157" s="895">
        <v>547000</v>
      </c>
      <c r="C157" s="896" t="s">
        <v>184</v>
      </c>
      <c r="D157" s="906" t="s">
        <v>2198</v>
      </c>
      <c r="E157" s="898">
        <f>GLOBAL_DER_FEV_2023!E157</f>
        <v>0</v>
      </c>
      <c r="F157" s="908">
        <f>GLOBAL_DER_FEV_2023!F157</f>
        <v>0</v>
      </c>
      <c r="G157" s="953">
        <f>GLOBAL_DER_FEV_2023!G157</f>
        <v>34.646299999999997</v>
      </c>
      <c r="H157" s="901">
        <f>GLOBAL_DER_FEV_2023!H157</f>
        <v>113.68</v>
      </c>
      <c r="I157" s="901">
        <f>GLOBAL_DER_FEV_2023!I157</f>
        <v>148.3263</v>
      </c>
      <c r="J157" s="902">
        <f>GLOBAL_DER_FEV_2023!J157</f>
        <v>178.1</v>
      </c>
      <c r="K157" s="903" t="s">
        <v>10</v>
      </c>
      <c r="L157" s="1137"/>
      <c r="M157" s="1150">
        <f t="shared" si="12"/>
        <v>0</v>
      </c>
      <c r="N157" s="893">
        <f t="shared" si="15"/>
        <v>0</v>
      </c>
      <c r="O157" s="905"/>
      <c r="Q157" s="317" t="str">
        <f t="shared" si="11"/>
        <v/>
      </c>
      <c r="R157" s="317" t="str">
        <f t="shared" si="13"/>
        <v/>
      </c>
      <c r="S157" s="317" t="str">
        <f t="shared" si="14"/>
        <v/>
      </c>
      <c r="T157" s="317" t="str">
        <f>GLOBAL_DER_FEV_2023!S157</f>
        <v/>
      </c>
      <c r="W157" s="582">
        <v>0</v>
      </c>
      <c r="X157" s="580"/>
      <c r="Y157" s="583">
        <f>IF(GLOBAL_DER_FEV_2023!W157=0,0,IF(GLOBAL_DER_FEV_2023!W157&gt;0,"c","b"))</f>
        <v>0</v>
      </c>
    </row>
    <row r="158" spans="1:25" ht="13.5" hidden="1" thickBot="1" x14ac:dyDescent="0.25">
      <c r="A158" s="317" t="s">
        <v>147</v>
      </c>
      <c r="B158" s="895" t="s">
        <v>147</v>
      </c>
      <c r="C158" s="896"/>
      <c r="D158" s="957" t="s">
        <v>190</v>
      </c>
      <c r="E158" s="907">
        <f>GLOBAL_DER_FEV_2023!E158</f>
        <v>308</v>
      </c>
      <c r="F158" s="908">
        <f>GLOBAL_DER_FEV_2023!F158</f>
        <v>0.121</v>
      </c>
      <c r="G158" s="909">
        <f>GLOBAL_DER_FEV_2023!G158</f>
        <v>30.015259999999998</v>
      </c>
      <c r="H158" s="901">
        <f>GLOBAL_DER_FEV_2023!H158</f>
        <v>0</v>
      </c>
      <c r="I158" s="901">
        <f>GLOBAL_DER_FEV_2023!I158</f>
        <v>0</v>
      </c>
      <c r="J158" s="902">
        <f>GLOBAL_DER_FEV_2023!J158</f>
        <v>0</v>
      </c>
      <c r="K158" s="903" t="s">
        <v>507</v>
      </c>
      <c r="L158" s="959"/>
      <c r="M158" s="1041">
        <f t="shared" si="12"/>
        <v>0</v>
      </c>
      <c r="N158" s="893">
        <f t="shared" si="15"/>
        <v>0</v>
      </c>
      <c r="O158" s="905"/>
      <c r="P158" s="58" t="str">
        <f>IF(N157&gt;0,"xx",IF(N157&gt;0,"xy",""))</f>
        <v/>
      </c>
      <c r="Q158" s="317" t="str">
        <f t="shared" si="11"/>
        <v/>
      </c>
      <c r="R158" s="317" t="str">
        <f t="shared" si="13"/>
        <v/>
      </c>
      <c r="S158" s="317" t="str">
        <f t="shared" si="14"/>
        <v/>
      </c>
      <c r="T158" s="317" t="str">
        <f>GLOBAL_DER_FEV_2023!S158</f>
        <v/>
      </c>
      <c r="W158" s="582">
        <v>0</v>
      </c>
      <c r="X158" s="580"/>
      <c r="Y158" s="583">
        <f>IF(GLOBAL_DER_FEV_2023!W158=0,0,IF(GLOBAL_DER_FEV_2023!W158&gt;0,"c","b"))</f>
        <v>0</v>
      </c>
    </row>
    <row r="159" spans="1:25" ht="13.5" hidden="1" thickBot="1" x14ac:dyDescent="0.25">
      <c r="A159" s="317" t="s">
        <v>147</v>
      </c>
      <c r="B159" s="895" t="s">
        <v>147</v>
      </c>
      <c r="C159" s="896"/>
      <c r="D159" s="957" t="s">
        <v>191</v>
      </c>
      <c r="E159" s="898">
        <f>GLOBAL_DER_FEV_2023!E159</f>
        <v>0</v>
      </c>
      <c r="F159" s="908">
        <f>GLOBAL_DER_FEV_2023!F159</f>
        <v>1.728</v>
      </c>
      <c r="G159" s="909">
        <f>GLOBAL_DER_FEV_2023!G159</f>
        <v>4.6310400000000005</v>
      </c>
      <c r="H159" s="901">
        <f>GLOBAL_DER_FEV_2023!H159</f>
        <v>0</v>
      </c>
      <c r="I159" s="901">
        <f>GLOBAL_DER_FEV_2023!I159</f>
        <v>0</v>
      </c>
      <c r="J159" s="902">
        <f>GLOBAL_DER_FEV_2023!J159</f>
        <v>0</v>
      </c>
      <c r="K159" s="903" t="s">
        <v>507</v>
      </c>
      <c r="L159" s="959"/>
      <c r="M159" s="1041">
        <f t="shared" si="12"/>
        <v>0</v>
      </c>
      <c r="N159" s="893">
        <f t="shared" si="15"/>
        <v>0</v>
      </c>
      <c r="O159" s="905"/>
      <c r="P159" s="58" t="str">
        <f>IF(N157&gt;0,"xx",IF(N157&gt;0,"xy",""))</f>
        <v/>
      </c>
      <c r="Q159" s="317" t="str">
        <f t="shared" si="11"/>
        <v/>
      </c>
      <c r="R159" s="317" t="str">
        <f t="shared" si="13"/>
        <v/>
      </c>
      <c r="S159" s="317" t="str">
        <f t="shared" si="14"/>
        <v/>
      </c>
      <c r="T159" s="317" t="str">
        <f>GLOBAL_DER_FEV_2023!S159</f>
        <v/>
      </c>
      <c r="W159" s="582">
        <v>0</v>
      </c>
      <c r="X159" s="580"/>
      <c r="Y159" s="583">
        <f>IF(GLOBAL_DER_FEV_2023!W159=0,0,IF(GLOBAL_DER_FEV_2023!W159&gt;0,"c","b"))</f>
        <v>0</v>
      </c>
    </row>
    <row r="160" spans="1:25" ht="13.5" hidden="1" thickBot="1" x14ac:dyDescent="0.25">
      <c r="A160" s="317">
        <v>542100</v>
      </c>
      <c r="B160" s="895">
        <v>542100</v>
      </c>
      <c r="C160" s="896" t="s">
        <v>184</v>
      </c>
      <c r="D160" s="906" t="s">
        <v>2199</v>
      </c>
      <c r="E160" s="898">
        <f>GLOBAL_DER_FEV_2023!E160</f>
        <v>0</v>
      </c>
      <c r="F160" s="908">
        <f>GLOBAL_DER_FEV_2023!F160</f>
        <v>0</v>
      </c>
      <c r="G160" s="953">
        <f>GLOBAL_DER_FEV_2023!G160</f>
        <v>19.263059999999999</v>
      </c>
      <c r="H160" s="901">
        <f>GLOBAL_DER_FEV_2023!H160</f>
        <v>59.6</v>
      </c>
      <c r="I160" s="901">
        <f>GLOBAL_DER_FEV_2023!I160</f>
        <v>78.863060000000004</v>
      </c>
      <c r="J160" s="902">
        <f>GLOBAL_DER_FEV_2023!J160</f>
        <v>94.69</v>
      </c>
      <c r="K160" s="903" t="s">
        <v>10</v>
      </c>
      <c r="L160" s="1137"/>
      <c r="M160" s="1150">
        <f t="shared" si="12"/>
        <v>0</v>
      </c>
      <c r="N160" s="893">
        <f t="shared" si="15"/>
        <v>0</v>
      </c>
      <c r="O160" s="905"/>
      <c r="Q160" s="317" t="str">
        <f t="shared" si="11"/>
        <v/>
      </c>
      <c r="R160" s="317" t="str">
        <f t="shared" si="13"/>
        <v/>
      </c>
      <c r="S160" s="317" t="str">
        <f t="shared" si="14"/>
        <v/>
      </c>
      <c r="T160" s="317" t="str">
        <f>GLOBAL_DER_FEV_2023!S160</f>
        <v/>
      </c>
      <c r="W160" s="582">
        <v>0</v>
      </c>
      <c r="X160" s="580"/>
      <c r="Y160" s="583">
        <f>IF(GLOBAL_DER_FEV_2023!W160=0,0,IF(GLOBAL_DER_FEV_2023!W160&gt;0,"c","b"))</f>
        <v>0</v>
      </c>
    </row>
    <row r="161" spans="1:25" ht="13.5" hidden="1" thickBot="1" x14ac:dyDescent="0.25">
      <c r="A161" s="317" t="s">
        <v>147</v>
      </c>
      <c r="B161" s="895" t="s">
        <v>147</v>
      </c>
      <c r="C161" s="896"/>
      <c r="D161" s="957" t="s">
        <v>190</v>
      </c>
      <c r="E161" s="907">
        <f>GLOBAL_DER_FEV_2023!E161</f>
        <v>308</v>
      </c>
      <c r="F161" s="908">
        <f>GLOBAL_DER_FEV_2023!F161</f>
        <v>3.6999999999999998E-2</v>
      </c>
      <c r="G161" s="909">
        <f>GLOBAL_DER_FEV_2023!G161</f>
        <v>9.1782199999999996</v>
      </c>
      <c r="H161" s="901">
        <f>GLOBAL_DER_FEV_2023!H161</f>
        <v>0</v>
      </c>
      <c r="I161" s="901">
        <f>GLOBAL_DER_FEV_2023!I161</f>
        <v>0</v>
      </c>
      <c r="J161" s="902">
        <f>GLOBAL_DER_FEV_2023!J161</f>
        <v>0</v>
      </c>
      <c r="K161" s="903" t="s">
        <v>507</v>
      </c>
      <c r="L161" s="959"/>
      <c r="M161" s="1041">
        <f t="shared" si="12"/>
        <v>0</v>
      </c>
      <c r="N161" s="893">
        <f t="shared" si="15"/>
        <v>0</v>
      </c>
      <c r="O161" s="905"/>
      <c r="P161" s="58" t="str">
        <f>IF(N160&gt;0,"xx",IF(N160&gt;0,"xy",""))</f>
        <v/>
      </c>
      <c r="Q161" s="317" t="str">
        <f t="shared" si="11"/>
        <v/>
      </c>
      <c r="R161" s="317" t="str">
        <f t="shared" si="13"/>
        <v/>
      </c>
      <c r="S161" s="317" t="str">
        <f t="shared" si="14"/>
        <v/>
      </c>
      <c r="T161" s="317" t="str">
        <f>GLOBAL_DER_FEV_2023!S161</f>
        <v/>
      </c>
      <c r="W161" s="582">
        <v>0</v>
      </c>
      <c r="X161" s="580"/>
      <c r="Y161" s="583">
        <f>IF(GLOBAL_DER_FEV_2023!W161=0,0,IF(GLOBAL_DER_FEV_2023!W161&gt;0,"c","b"))</f>
        <v>0</v>
      </c>
    </row>
    <row r="162" spans="1:25" ht="13.5" hidden="1" thickBot="1" x14ac:dyDescent="0.25">
      <c r="A162" s="317" t="s">
        <v>147</v>
      </c>
      <c r="B162" s="895" t="s">
        <v>147</v>
      </c>
      <c r="C162" s="896"/>
      <c r="D162" s="957" t="s">
        <v>191</v>
      </c>
      <c r="E162" s="898">
        <f>GLOBAL_DER_FEV_2023!E162</f>
        <v>0</v>
      </c>
      <c r="F162" s="908">
        <f>GLOBAL_DER_FEV_2023!F162</f>
        <v>1.9</v>
      </c>
      <c r="G162" s="909">
        <f>GLOBAL_DER_FEV_2023!G162</f>
        <v>5.0919999999999996</v>
      </c>
      <c r="H162" s="901">
        <f>GLOBAL_DER_FEV_2023!H162</f>
        <v>0</v>
      </c>
      <c r="I162" s="901">
        <f>GLOBAL_DER_FEV_2023!I162</f>
        <v>0</v>
      </c>
      <c r="J162" s="902">
        <f>GLOBAL_DER_FEV_2023!J162</f>
        <v>0</v>
      </c>
      <c r="K162" s="903" t="s">
        <v>507</v>
      </c>
      <c r="L162" s="959"/>
      <c r="M162" s="1041">
        <f t="shared" si="12"/>
        <v>0</v>
      </c>
      <c r="N162" s="893">
        <f t="shared" si="15"/>
        <v>0</v>
      </c>
      <c r="O162" s="905"/>
      <c r="P162" s="58" t="str">
        <f>IF(N160&gt;0,"xx",IF(N160&gt;0,"xy",""))</f>
        <v/>
      </c>
      <c r="Q162" s="317" t="str">
        <f t="shared" si="11"/>
        <v/>
      </c>
      <c r="R162" s="317" t="str">
        <f t="shared" si="13"/>
        <v/>
      </c>
      <c r="S162" s="317" t="str">
        <f t="shared" si="14"/>
        <v/>
      </c>
      <c r="T162" s="317" t="str">
        <f>GLOBAL_DER_FEV_2023!S162</f>
        <v/>
      </c>
      <c r="W162" s="582">
        <v>0</v>
      </c>
      <c r="X162" s="580"/>
      <c r="Y162" s="583">
        <f>IF(GLOBAL_DER_FEV_2023!W162=0,0,IF(GLOBAL_DER_FEV_2023!W162&gt;0,"c","b"))</f>
        <v>0</v>
      </c>
    </row>
    <row r="163" spans="1:25" ht="13.5" hidden="1" thickBot="1" x14ac:dyDescent="0.25">
      <c r="A163" s="317" t="s">
        <v>147</v>
      </c>
      <c r="B163" s="895" t="s">
        <v>147</v>
      </c>
      <c r="C163" s="896"/>
      <c r="D163" s="957" t="s">
        <v>192</v>
      </c>
      <c r="E163" s="898">
        <f>GLOBAL_DER_FEV_2023!E163</f>
        <v>0</v>
      </c>
      <c r="F163" s="908">
        <f>GLOBAL_DER_FEV_2023!F163</f>
        <v>1.863</v>
      </c>
      <c r="G163" s="909">
        <f>GLOBAL_DER_FEV_2023!G163</f>
        <v>4.9928400000000002</v>
      </c>
      <c r="H163" s="901">
        <f>GLOBAL_DER_FEV_2023!H163</f>
        <v>0</v>
      </c>
      <c r="I163" s="901">
        <f>GLOBAL_DER_FEV_2023!I163</f>
        <v>0</v>
      </c>
      <c r="J163" s="902">
        <f>GLOBAL_DER_FEV_2023!J163</f>
        <v>0</v>
      </c>
      <c r="K163" s="903" t="s">
        <v>507</v>
      </c>
      <c r="L163" s="959"/>
      <c r="M163" s="1041">
        <f t="shared" si="12"/>
        <v>0</v>
      </c>
      <c r="N163" s="893">
        <f t="shared" si="15"/>
        <v>0</v>
      </c>
      <c r="O163" s="905"/>
      <c r="P163" s="58" t="str">
        <f>IF($N$142&gt;0,"xx",IF($N$142&gt;0,"xy",""))</f>
        <v/>
      </c>
      <c r="Q163" s="317" t="str">
        <f t="shared" si="11"/>
        <v/>
      </c>
      <c r="R163" s="317" t="str">
        <f t="shared" si="13"/>
        <v/>
      </c>
      <c r="S163" s="317" t="str">
        <f t="shared" si="14"/>
        <v/>
      </c>
      <c r="T163" s="317" t="str">
        <f>GLOBAL_DER_FEV_2023!S163</f>
        <v/>
      </c>
      <c r="W163" s="582">
        <v>0</v>
      </c>
      <c r="X163" s="580"/>
      <c r="Y163" s="583">
        <f>IF(GLOBAL_DER_FEV_2023!W163=0,0,IF(GLOBAL_DER_FEV_2023!W163&gt;0,"c","b"))</f>
        <v>0</v>
      </c>
    </row>
    <row r="164" spans="1:25" ht="13.5" hidden="1" thickBot="1" x14ac:dyDescent="0.25">
      <c r="A164" s="317">
        <v>543100</v>
      </c>
      <c r="B164" s="895">
        <v>543100</v>
      </c>
      <c r="C164" s="896" t="s">
        <v>184</v>
      </c>
      <c r="D164" s="906" t="s">
        <v>2200</v>
      </c>
      <c r="E164" s="898">
        <f>GLOBAL_DER_FEV_2023!E164</f>
        <v>0</v>
      </c>
      <c r="F164" s="908">
        <f>GLOBAL_DER_FEV_2023!F164</f>
        <v>0</v>
      </c>
      <c r="G164" s="953">
        <f>GLOBAL_DER_FEV_2023!G164</f>
        <v>23.6799</v>
      </c>
      <c r="H164" s="901">
        <f>GLOBAL_DER_FEV_2023!H164</f>
        <v>70.010000000000005</v>
      </c>
      <c r="I164" s="901">
        <f>GLOBAL_DER_FEV_2023!I164</f>
        <v>93.689900000000009</v>
      </c>
      <c r="J164" s="902">
        <f>GLOBAL_DER_FEV_2023!J164</f>
        <v>112.49</v>
      </c>
      <c r="K164" s="903" t="s">
        <v>10</v>
      </c>
      <c r="L164" s="1137"/>
      <c r="M164" s="1150">
        <f t="shared" si="12"/>
        <v>0</v>
      </c>
      <c r="N164" s="893">
        <f t="shared" si="15"/>
        <v>0</v>
      </c>
      <c r="O164" s="905"/>
      <c r="Q164" s="317" t="str">
        <f t="shared" si="11"/>
        <v/>
      </c>
      <c r="R164" s="317" t="str">
        <f t="shared" si="13"/>
        <v/>
      </c>
      <c r="S164" s="317" t="str">
        <f t="shared" si="14"/>
        <v/>
      </c>
      <c r="T164" s="317" t="str">
        <f>GLOBAL_DER_FEV_2023!S164</f>
        <v/>
      </c>
      <c r="W164" s="582">
        <v>0</v>
      </c>
      <c r="X164" s="580"/>
      <c r="Y164" s="583">
        <f>IF(GLOBAL_DER_FEV_2023!W164=0,0,IF(GLOBAL_DER_FEV_2023!W164&gt;0,"c","b"))</f>
        <v>0</v>
      </c>
    </row>
    <row r="165" spans="1:25" ht="13.5" hidden="1" thickBot="1" x14ac:dyDescent="0.25">
      <c r="A165" s="317" t="s">
        <v>147</v>
      </c>
      <c r="B165" s="895" t="s">
        <v>147</v>
      </c>
      <c r="C165" s="896"/>
      <c r="D165" s="957" t="s">
        <v>190</v>
      </c>
      <c r="E165" s="907">
        <f>GLOBAL_DER_FEV_2023!E165</f>
        <v>308</v>
      </c>
      <c r="F165" s="908">
        <f>GLOBAL_DER_FEV_2023!F165</f>
        <v>5.5E-2</v>
      </c>
      <c r="G165" s="909">
        <f>GLOBAL_DER_FEV_2023!G165</f>
        <v>13.6433</v>
      </c>
      <c r="H165" s="901">
        <f>GLOBAL_DER_FEV_2023!H165</f>
        <v>0</v>
      </c>
      <c r="I165" s="901">
        <f>GLOBAL_DER_FEV_2023!I165</f>
        <v>0</v>
      </c>
      <c r="J165" s="902">
        <f>GLOBAL_DER_FEV_2023!J165</f>
        <v>0</v>
      </c>
      <c r="K165" s="903" t="s">
        <v>507</v>
      </c>
      <c r="L165" s="959"/>
      <c r="M165" s="1041">
        <f t="shared" si="12"/>
        <v>0</v>
      </c>
      <c r="N165" s="893">
        <f t="shared" si="15"/>
        <v>0</v>
      </c>
      <c r="O165" s="905"/>
      <c r="P165" s="58" t="str">
        <f>IF(N164&gt;0,"xx",IF(N164&gt;0,"xy",""))</f>
        <v/>
      </c>
      <c r="Q165" s="317" t="str">
        <f t="shared" si="11"/>
        <v/>
      </c>
      <c r="R165" s="317" t="str">
        <f t="shared" si="13"/>
        <v/>
      </c>
      <c r="S165" s="317" t="str">
        <f t="shared" si="14"/>
        <v/>
      </c>
      <c r="T165" s="317" t="str">
        <f>GLOBAL_DER_FEV_2023!S165</f>
        <v/>
      </c>
      <c r="W165" s="582">
        <v>0</v>
      </c>
      <c r="X165" s="580"/>
      <c r="Y165" s="583">
        <f>IF(GLOBAL_DER_FEV_2023!W165=0,0,IF(GLOBAL_DER_FEV_2023!W165&gt;0,"c","b"))</f>
        <v>0</v>
      </c>
    </row>
    <row r="166" spans="1:25" ht="13.5" hidden="1" thickBot="1" x14ac:dyDescent="0.25">
      <c r="A166" s="317" t="s">
        <v>147</v>
      </c>
      <c r="B166" s="895" t="s">
        <v>147</v>
      </c>
      <c r="C166" s="896"/>
      <c r="D166" s="957" t="s">
        <v>191</v>
      </c>
      <c r="E166" s="898">
        <f>GLOBAL_DER_FEV_2023!E166</f>
        <v>0</v>
      </c>
      <c r="F166" s="908">
        <f>GLOBAL_DER_FEV_2023!F166</f>
        <v>1.9</v>
      </c>
      <c r="G166" s="909">
        <f>GLOBAL_DER_FEV_2023!G166</f>
        <v>5.0919999999999996</v>
      </c>
      <c r="H166" s="901">
        <f>GLOBAL_DER_FEV_2023!H166</f>
        <v>0</v>
      </c>
      <c r="I166" s="901">
        <f>GLOBAL_DER_FEV_2023!I166</f>
        <v>0</v>
      </c>
      <c r="J166" s="902">
        <f>GLOBAL_DER_FEV_2023!J166</f>
        <v>0</v>
      </c>
      <c r="K166" s="903" t="s">
        <v>507</v>
      </c>
      <c r="L166" s="959"/>
      <c r="M166" s="1041">
        <f t="shared" si="12"/>
        <v>0</v>
      </c>
      <c r="N166" s="893">
        <f t="shared" si="15"/>
        <v>0</v>
      </c>
      <c r="O166" s="905"/>
      <c r="P166" s="58" t="str">
        <f>IF(N164&gt;0,"xx",IF(N164&gt;0,"xy",""))</f>
        <v/>
      </c>
      <c r="Q166" s="317" t="str">
        <f t="shared" si="11"/>
        <v/>
      </c>
      <c r="R166" s="317" t="str">
        <f t="shared" si="13"/>
        <v/>
      </c>
      <c r="S166" s="317" t="str">
        <f t="shared" si="14"/>
        <v/>
      </c>
      <c r="T166" s="317" t="str">
        <f>GLOBAL_DER_FEV_2023!S166</f>
        <v/>
      </c>
      <c r="W166" s="582">
        <v>0</v>
      </c>
      <c r="X166" s="580"/>
      <c r="Y166" s="583">
        <f>IF(GLOBAL_DER_FEV_2023!W166=0,0,IF(GLOBAL_DER_FEV_2023!W166&gt;0,"c","b"))</f>
        <v>0</v>
      </c>
    </row>
    <row r="167" spans="1:25" ht="13.5" hidden="1" thickBot="1" x14ac:dyDescent="0.25">
      <c r="A167" s="317" t="s">
        <v>147</v>
      </c>
      <c r="B167" s="895" t="s">
        <v>147</v>
      </c>
      <c r="C167" s="896"/>
      <c r="D167" s="957" t="s">
        <v>192</v>
      </c>
      <c r="E167" s="898">
        <f>GLOBAL_DER_FEV_2023!E167</f>
        <v>0</v>
      </c>
      <c r="F167" s="908">
        <f>GLOBAL_DER_FEV_2023!F167</f>
        <v>1.845</v>
      </c>
      <c r="G167" s="909">
        <f>GLOBAL_DER_FEV_2023!G167</f>
        <v>4.9446000000000003</v>
      </c>
      <c r="H167" s="901">
        <f>GLOBAL_DER_FEV_2023!H167</f>
        <v>0</v>
      </c>
      <c r="I167" s="901">
        <f>GLOBAL_DER_FEV_2023!I167</f>
        <v>0</v>
      </c>
      <c r="J167" s="902">
        <f>GLOBAL_DER_FEV_2023!J167</f>
        <v>0</v>
      </c>
      <c r="K167" s="903" t="s">
        <v>507</v>
      </c>
      <c r="L167" s="959"/>
      <c r="M167" s="1041">
        <f t="shared" si="12"/>
        <v>0</v>
      </c>
      <c r="N167" s="893">
        <f t="shared" si="15"/>
        <v>0</v>
      </c>
      <c r="O167" s="905"/>
      <c r="P167" s="58" t="str">
        <f>IF($N$142&gt;0,"xx",IF($N$142&gt;0,"xy",""))</f>
        <v/>
      </c>
      <c r="Q167" s="317" t="str">
        <f t="shared" si="11"/>
        <v/>
      </c>
      <c r="R167" s="317" t="str">
        <f t="shared" si="13"/>
        <v/>
      </c>
      <c r="S167" s="317" t="str">
        <f t="shared" si="14"/>
        <v/>
      </c>
      <c r="T167" s="317" t="str">
        <f>GLOBAL_DER_FEV_2023!S167</f>
        <v/>
      </c>
      <c r="W167" s="582">
        <v>0</v>
      </c>
      <c r="X167" s="580"/>
      <c r="Y167" s="583">
        <f>IF(GLOBAL_DER_FEV_2023!W167=0,0,IF(GLOBAL_DER_FEV_2023!W167&gt;0,"c","b"))</f>
        <v>0</v>
      </c>
    </row>
    <row r="168" spans="1:25" ht="13.5" hidden="1" thickBot="1" x14ac:dyDescent="0.25">
      <c r="A168" s="317">
        <v>544100</v>
      </c>
      <c r="B168" s="895">
        <v>544100</v>
      </c>
      <c r="C168" s="896" t="s">
        <v>184</v>
      </c>
      <c r="D168" s="906" t="s">
        <v>2201</v>
      </c>
      <c r="E168" s="898">
        <f>GLOBAL_DER_FEV_2023!E168</f>
        <v>0</v>
      </c>
      <c r="F168" s="908">
        <f>GLOBAL_DER_FEV_2023!F168</f>
        <v>0</v>
      </c>
      <c r="G168" s="953">
        <f>GLOBAL_DER_FEV_2023!G168</f>
        <v>27.337979999999998</v>
      </c>
      <c r="H168" s="901">
        <f>GLOBAL_DER_FEV_2023!H168</f>
        <v>72.23</v>
      </c>
      <c r="I168" s="901">
        <f>GLOBAL_DER_FEV_2023!I168</f>
        <v>99.567980000000006</v>
      </c>
      <c r="J168" s="902">
        <f>GLOBAL_DER_FEV_2023!J168</f>
        <v>119.55</v>
      </c>
      <c r="K168" s="903" t="s">
        <v>10</v>
      </c>
      <c r="L168" s="1137"/>
      <c r="M168" s="1150">
        <f t="shared" si="12"/>
        <v>0</v>
      </c>
      <c r="N168" s="893">
        <f t="shared" si="15"/>
        <v>0</v>
      </c>
      <c r="O168" s="905"/>
      <c r="Q168" s="317" t="str">
        <f t="shared" si="11"/>
        <v/>
      </c>
      <c r="R168" s="317" t="str">
        <f t="shared" si="13"/>
        <v/>
      </c>
      <c r="S168" s="317" t="str">
        <f t="shared" si="14"/>
        <v/>
      </c>
      <c r="T168" s="317" t="str">
        <f>GLOBAL_DER_FEV_2023!S168</f>
        <v/>
      </c>
      <c r="W168" s="582">
        <v>0</v>
      </c>
      <c r="X168" s="580"/>
      <c r="Y168" s="583">
        <f>IF(GLOBAL_DER_FEV_2023!W168=0,0,IF(GLOBAL_DER_FEV_2023!W168&gt;0,"c","b"))</f>
        <v>0</v>
      </c>
    </row>
    <row r="169" spans="1:25" ht="13.5" hidden="1" thickBot="1" x14ac:dyDescent="0.25">
      <c r="A169" s="317" t="s">
        <v>147</v>
      </c>
      <c r="B169" s="895" t="s">
        <v>147</v>
      </c>
      <c r="C169" s="896"/>
      <c r="D169" s="957" t="s">
        <v>190</v>
      </c>
      <c r="E169" s="907">
        <f>GLOBAL_DER_FEV_2023!E169</f>
        <v>308</v>
      </c>
      <c r="F169" s="908">
        <f>GLOBAL_DER_FEV_2023!F169</f>
        <v>7.0999999999999994E-2</v>
      </c>
      <c r="G169" s="909">
        <f>GLOBAL_DER_FEV_2023!G169</f>
        <v>17.612259999999999</v>
      </c>
      <c r="H169" s="901">
        <f>GLOBAL_DER_FEV_2023!H169</f>
        <v>0</v>
      </c>
      <c r="I169" s="901">
        <f>GLOBAL_DER_FEV_2023!I169</f>
        <v>0</v>
      </c>
      <c r="J169" s="902">
        <f>GLOBAL_DER_FEV_2023!J169</f>
        <v>0</v>
      </c>
      <c r="K169" s="903" t="s">
        <v>507</v>
      </c>
      <c r="L169" s="959"/>
      <c r="M169" s="1041">
        <f t="shared" si="12"/>
        <v>0</v>
      </c>
      <c r="N169" s="893">
        <f t="shared" si="15"/>
        <v>0</v>
      </c>
      <c r="O169" s="905"/>
      <c r="P169" s="58" t="str">
        <f>IF(N168&gt;0,"xx",IF(N168&gt;0,"xy",""))</f>
        <v/>
      </c>
      <c r="Q169" s="317" t="str">
        <f t="shared" si="11"/>
        <v/>
      </c>
      <c r="R169" s="317" t="str">
        <f t="shared" si="13"/>
        <v/>
      </c>
      <c r="S169" s="317" t="str">
        <f t="shared" si="14"/>
        <v/>
      </c>
      <c r="T169" s="317" t="str">
        <f>GLOBAL_DER_FEV_2023!S169</f>
        <v/>
      </c>
      <c r="W169" s="582">
        <v>0</v>
      </c>
      <c r="X169" s="580"/>
      <c r="Y169" s="583">
        <f>IF(GLOBAL_DER_FEV_2023!W169=0,0,IF(GLOBAL_DER_FEV_2023!W169&gt;0,"c","b"))</f>
        <v>0</v>
      </c>
    </row>
    <row r="170" spans="1:25" ht="13.5" hidden="1" thickBot="1" x14ac:dyDescent="0.25">
      <c r="A170" s="317" t="s">
        <v>147</v>
      </c>
      <c r="B170" s="895" t="s">
        <v>147</v>
      </c>
      <c r="C170" s="896"/>
      <c r="D170" s="957" t="s">
        <v>191</v>
      </c>
      <c r="E170" s="898">
        <f>GLOBAL_DER_FEV_2023!E170</f>
        <v>0</v>
      </c>
      <c r="F170" s="908">
        <f>GLOBAL_DER_FEV_2023!F170</f>
        <v>1.85</v>
      </c>
      <c r="G170" s="909">
        <f>GLOBAL_DER_FEV_2023!G170</f>
        <v>4.9580000000000002</v>
      </c>
      <c r="H170" s="901">
        <f>GLOBAL_DER_FEV_2023!H170</f>
        <v>0</v>
      </c>
      <c r="I170" s="901">
        <f>GLOBAL_DER_FEV_2023!I170</f>
        <v>0</v>
      </c>
      <c r="J170" s="902">
        <f>GLOBAL_DER_FEV_2023!J170</f>
        <v>0</v>
      </c>
      <c r="K170" s="903" t="s">
        <v>507</v>
      </c>
      <c r="L170" s="959"/>
      <c r="M170" s="1041">
        <f t="shared" si="12"/>
        <v>0</v>
      </c>
      <c r="N170" s="893">
        <f t="shared" si="15"/>
        <v>0</v>
      </c>
      <c r="O170" s="905"/>
      <c r="P170" s="58" t="str">
        <f>IF(N168&gt;0,"xx",IF(N168&gt;0,"xy",""))</f>
        <v/>
      </c>
      <c r="Q170" s="317" t="str">
        <f t="shared" si="11"/>
        <v/>
      </c>
      <c r="R170" s="317" t="str">
        <f t="shared" si="13"/>
        <v/>
      </c>
      <c r="S170" s="317" t="str">
        <f t="shared" si="14"/>
        <v/>
      </c>
      <c r="T170" s="317" t="str">
        <f>GLOBAL_DER_FEV_2023!S170</f>
        <v/>
      </c>
      <c r="W170" s="582">
        <v>0</v>
      </c>
      <c r="X170" s="580"/>
      <c r="Y170" s="583">
        <f>IF(GLOBAL_DER_FEV_2023!W170=0,0,IF(GLOBAL_DER_FEV_2023!W170&gt;0,"c","b"))</f>
        <v>0</v>
      </c>
    </row>
    <row r="171" spans="1:25" ht="13.5" hidden="1" thickBot="1" x14ac:dyDescent="0.25">
      <c r="A171" s="317" t="s">
        <v>147</v>
      </c>
      <c r="B171" s="895" t="s">
        <v>147</v>
      </c>
      <c r="C171" s="896"/>
      <c r="D171" s="957" t="s">
        <v>192</v>
      </c>
      <c r="E171" s="898">
        <f>GLOBAL_DER_FEV_2023!E171</f>
        <v>0</v>
      </c>
      <c r="F171" s="908">
        <f>GLOBAL_DER_FEV_2023!F171</f>
        <v>1.7789999999999999</v>
      </c>
      <c r="G171" s="909">
        <f>GLOBAL_DER_FEV_2023!G171</f>
        <v>4.7677199999999997</v>
      </c>
      <c r="H171" s="901">
        <f>GLOBAL_DER_FEV_2023!H171</f>
        <v>0</v>
      </c>
      <c r="I171" s="901">
        <f>GLOBAL_DER_FEV_2023!I171</f>
        <v>0</v>
      </c>
      <c r="J171" s="902">
        <f>GLOBAL_DER_FEV_2023!J171</f>
        <v>0</v>
      </c>
      <c r="K171" s="903" t="s">
        <v>507</v>
      </c>
      <c r="L171" s="959"/>
      <c r="M171" s="1041">
        <f t="shared" si="12"/>
        <v>0</v>
      </c>
      <c r="N171" s="893">
        <f t="shared" si="15"/>
        <v>0</v>
      </c>
      <c r="O171" s="905"/>
      <c r="P171" s="58" t="str">
        <f>IF($N$142&gt;0,"xx",IF($N$142&gt;0,"xy",""))</f>
        <v/>
      </c>
      <c r="Q171" s="317" t="str">
        <f t="shared" si="11"/>
        <v/>
      </c>
      <c r="R171" s="317" t="str">
        <f t="shared" si="13"/>
        <v/>
      </c>
      <c r="S171" s="317" t="str">
        <f t="shared" si="14"/>
        <v/>
      </c>
      <c r="T171" s="317" t="str">
        <f>GLOBAL_DER_FEV_2023!S171</f>
        <v/>
      </c>
      <c r="W171" s="582">
        <v>0</v>
      </c>
      <c r="X171" s="580"/>
      <c r="Y171" s="583">
        <f>IF(GLOBAL_DER_FEV_2023!W171=0,0,IF(GLOBAL_DER_FEV_2023!W171&gt;0,"c","b"))</f>
        <v>0</v>
      </c>
    </row>
    <row r="172" spans="1:25" ht="13.5" hidden="1" thickBot="1" x14ac:dyDescent="0.25">
      <c r="A172" s="317">
        <v>545100</v>
      </c>
      <c r="B172" s="895">
        <v>545100</v>
      </c>
      <c r="C172" s="896" t="s">
        <v>184</v>
      </c>
      <c r="D172" s="906" t="s">
        <v>2202</v>
      </c>
      <c r="E172" s="898">
        <f>GLOBAL_DER_FEV_2023!E172</f>
        <v>0</v>
      </c>
      <c r="F172" s="908">
        <f>GLOBAL_DER_FEV_2023!F172</f>
        <v>0</v>
      </c>
      <c r="G172" s="953">
        <f>GLOBAL_DER_FEV_2023!G172</f>
        <v>31.509440000000005</v>
      </c>
      <c r="H172" s="901">
        <f>GLOBAL_DER_FEV_2023!H172</f>
        <v>82.05</v>
      </c>
      <c r="I172" s="901">
        <f>GLOBAL_DER_FEV_2023!I172</f>
        <v>113.55944</v>
      </c>
      <c r="J172" s="902">
        <f>GLOBAL_DER_FEV_2023!J172</f>
        <v>136.35</v>
      </c>
      <c r="K172" s="903" t="s">
        <v>10</v>
      </c>
      <c r="L172" s="1137"/>
      <c r="M172" s="1150">
        <f t="shared" si="12"/>
        <v>0</v>
      </c>
      <c r="N172" s="893">
        <f t="shared" si="15"/>
        <v>0</v>
      </c>
      <c r="O172" s="905"/>
      <c r="Q172" s="317" t="str">
        <f t="shared" si="11"/>
        <v/>
      </c>
      <c r="R172" s="317" t="str">
        <f t="shared" si="13"/>
        <v/>
      </c>
      <c r="S172" s="317" t="str">
        <f t="shared" si="14"/>
        <v/>
      </c>
      <c r="T172" s="317" t="str">
        <f>GLOBAL_DER_FEV_2023!S172</f>
        <v/>
      </c>
      <c r="W172" s="582">
        <v>0</v>
      </c>
      <c r="X172" s="580"/>
      <c r="Y172" s="583">
        <f>IF(GLOBAL_DER_FEV_2023!W172=0,0,IF(GLOBAL_DER_FEV_2023!W172&gt;0,"c","b"))</f>
        <v>0</v>
      </c>
    </row>
    <row r="173" spans="1:25" ht="13.5" hidden="1" thickBot="1" x14ac:dyDescent="0.25">
      <c r="A173" s="317" t="s">
        <v>147</v>
      </c>
      <c r="B173" s="895" t="s">
        <v>147</v>
      </c>
      <c r="C173" s="896"/>
      <c r="D173" s="957" t="s">
        <v>190</v>
      </c>
      <c r="E173" s="907">
        <f>GLOBAL_DER_FEV_2023!E173</f>
        <v>308</v>
      </c>
      <c r="F173" s="908">
        <f>GLOBAL_DER_FEV_2023!F173</f>
        <v>8.7999999999999995E-2</v>
      </c>
      <c r="G173" s="909">
        <f>GLOBAL_DER_FEV_2023!G173</f>
        <v>21.829280000000001</v>
      </c>
      <c r="H173" s="901">
        <f>GLOBAL_DER_FEV_2023!H173</f>
        <v>0</v>
      </c>
      <c r="I173" s="901">
        <f>GLOBAL_DER_FEV_2023!I173</f>
        <v>0</v>
      </c>
      <c r="J173" s="902">
        <f>GLOBAL_DER_FEV_2023!J173</f>
        <v>0</v>
      </c>
      <c r="K173" s="903" t="s">
        <v>507</v>
      </c>
      <c r="L173" s="959"/>
      <c r="M173" s="1041">
        <f t="shared" si="12"/>
        <v>0</v>
      </c>
      <c r="N173" s="893">
        <f t="shared" si="15"/>
        <v>0</v>
      </c>
      <c r="O173" s="905"/>
      <c r="P173" s="58" t="str">
        <f>IF(N172&gt;0,"xx",IF(N172&gt;0,"xy",""))</f>
        <v/>
      </c>
      <c r="Q173" s="317" t="str">
        <f t="shared" si="11"/>
        <v/>
      </c>
      <c r="R173" s="317" t="str">
        <f t="shared" si="13"/>
        <v/>
      </c>
      <c r="S173" s="317" t="str">
        <f t="shared" si="14"/>
        <v/>
      </c>
      <c r="T173" s="317" t="str">
        <f>GLOBAL_DER_FEV_2023!S173</f>
        <v/>
      </c>
      <c r="W173" s="582">
        <v>0</v>
      </c>
      <c r="X173" s="580"/>
      <c r="Y173" s="583">
        <f>IF(GLOBAL_DER_FEV_2023!W173=0,0,IF(GLOBAL_DER_FEV_2023!W173&gt;0,"c","b"))</f>
        <v>0</v>
      </c>
    </row>
    <row r="174" spans="1:25" ht="13.5" hidden="1" thickBot="1" x14ac:dyDescent="0.25">
      <c r="A174" s="317" t="s">
        <v>147</v>
      </c>
      <c r="B174" s="895" t="s">
        <v>147</v>
      </c>
      <c r="C174" s="896"/>
      <c r="D174" s="957" t="s">
        <v>191</v>
      </c>
      <c r="E174" s="898">
        <f>GLOBAL_DER_FEV_2023!E174</f>
        <v>0</v>
      </c>
      <c r="F174" s="908">
        <f>GLOBAL_DER_FEV_2023!F174</f>
        <v>1.85</v>
      </c>
      <c r="G174" s="909">
        <f>GLOBAL_DER_FEV_2023!G174</f>
        <v>4.9580000000000002</v>
      </c>
      <c r="H174" s="901">
        <f>GLOBAL_DER_FEV_2023!H174</f>
        <v>0</v>
      </c>
      <c r="I174" s="901">
        <f>GLOBAL_DER_FEV_2023!I174</f>
        <v>0</v>
      </c>
      <c r="J174" s="902">
        <f>GLOBAL_DER_FEV_2023!J174</f>
        <v>0</v>
      </c>
      <c r="K174" s="903" t="s">
        <v>507</v>
      </c>
      <c r="L174" s="959"/>
      <c r="M174" s="1041">
        <f t="shared" si="12"/>
        <v>0</v>
      </c>
      <c r="N174" s="893">
        <f t="shared" si="15"/>
        <v>0</v>
      </c>
      <c r="O174" s="905"/>
      <c r="P174" s="58" t="str">
        <f>IF(N172&gt;0,"xx",IF(N172&gt;0,"xy",""))</f>
        <v/>
      </c>
      <c r="Q174" s="317" t="str">
        <f t="shared" si="11"/>
        <v/>
      </c>
      <c r="R174" s="317" t="str">
        <f t="shared" si="13"/>
        <v/>
      </c>
      <c r="S174" s="317" t="str">
        <f t="shared" si="14"/>
        <v/>
      </c>
      <c r="T174" s="317" t="str">
        <f>GLOBAL_DER_FEV_2023!S174</f>
        <v/>
      </c>
      <c r="W174" s="582">
        <v>0</v>
      </c>
      <c r="X174" s="580"/>
      <c r="Y174" s="583">
        <f>IF(GLOBAL_DER_FEV_2023!W174=0,0,IF(GLOBAL_DER_FEV_2023!W174&gt;0,"c","b"))</f>
        <v>0</v>
      </c>
    </row>
    <row r="175" spans="1:25" ht="13.5" hidden="1" thickBot="1" x14ac:dyDescent="0.25">
      <c r="A175" s="317" t="s">
        <v>147</v>
      </c>
      <c r="B175" s="895" t="s">
        <v>147</v>
      </c>
      <c r="C175" s="896"/>
      <c r="D175" s="957" t="s">
        <v>192</v>
      </c>
      <c r="E175" s="898">
        <f>GLOBAL_DER_FEV_2023!E175</f>
        <v>0</v>
      </c>
      <c r="F175" s="908">
        <f>GLOBAL_DER_FEV_2023!F175</f>
        <v>1.762</v>
      </c>
      <c r="G175" s="909">
        <f>GLOBAL_DER_FEV_2023!G175</f>
        <v>4.7221600000000006</v>
      </c>
      <c r="H175" s="901">
        <f>GLOBAL_DER_FEV_2023!H175</f>
        <v>0</v>
      </c>
      <c r="I175" s="901">
        <f>GLOBAL_DER_FEV_2023!I175</f>
        <v>0</v>
      </c>
      <c r="J175" s="902">
        <f>GLOBAL_DER_FEV_2023!J175</f>
        <v>0</v>
      </c>
      <c r="K175" s="903" t="s">
        <v>507</v>
      </c>
      <c r="L175" s="959"/>
      <c r="M175" s="1041">
        <f t="shared" si="12"/>
        <v>0</v>
      </c>
      <c r="N175" s="893">
        <f t="shared" si="15"/>
        <v>0</v>
      </c>
      <c r="O175" s="905"/>
      <c r="P175" s="58" t="str">
        <f>IF($N$142&gt;0,"xx",IF($N$142&gt;0,"xy",""))</f>
        <v/>
      </c>
      <c r="Q175" s="317" t="str">
        <f t="shared" si="11"/>
        <v/>
      </c>
      <c r="R175" s="317" t="str">
        <f t="shared" si="13"/>
        <v/>
      </c>
      <c r="S175" s="317" t="str">
        <f t="shared" si="14"/>
        <v/>
      </c>
      <c r="T175" s="317" t="str">
        <f>GLOBAL_DER_FEV_2023!S175</f>
        <v/>
      </c>
      <c r="W175" s="582">
        <v>0</v>
      </c>
      <c r="X175" s="580"/>
      <c r="Y175" s="583">
        <f>IF(GLOBAL_DER_FEV_2023!W175=0,0,IF(GLOBAL_DER_FEV_2023!W175&gt;0,"c","b"))</f>
        <v>0</v>
      </c>
    </row>
    <row r="176" spans="1:25" ht="13.5" hidden="1" thickBot="1" x14ac:dyDescent="0.25">
      <c r="A176" s="317">
        <v>546100</v>
      </c>
      <c r="B176" s="895">
        <v>546100</v>
      </c>
      <c r="C176" s="896" t="s">
        <v>184</v>
      </c>
      <c r="D176" s="906" t="s">
        <v>2203</v>
      </c>
      <c r="E176" s="898">
        <f>GLOBAL_DER_FEV_2023!E176</f>
        <v>0</v>
      </c>
      <c r="F176" s="908">
        <f>GLOBAL_DER_FEV_2023!F176</f>
        <v>0</v>
      </c>
      <c r="G176" s="953">
        <f>GLOBAL_DER_FEV_2023!G176</f>
        <v>35.680900000000001</v>
      </c>
      <c r="H176" s="901">
        <f>GLOBAL_DER_FEV_2023!H176</f>
        <v>91.87</v>
      </c>
      <c r="I176" s="901">
        <f>GLOBAL_DER_FEV_2023!I176</f>
        <v>127.55090000000001</v>
      </c>
      <c r="J176" s="902">
        <f>GLOBAL_DER_FEV_2023!J176</f>
        <v>153.15</v>
      </c>
      <c r="K176" s="903" t="s">
        <v>10</v>
      </c>
      <c r="L176" s="1137"/>
      <c r="M176" s="1150">
        <f t="shared" si="12"/>
        <v>0</v>
      </c>
      <c r="N176" s="893">
        <f t="shared" si="15"/>
        <v>0</v>
      </c>
      <c r="O176" s="905"/>
      <c r="Q176" s="317" t="str">
        <f t="shared" si="11"/>
        <v/>
      </c>
      <c r="R176" s="317" t="str">
        <f t="shared" si="13"/>
        <v/>
      </c>
      <c r="S176" s="317" t="str">
        <f t="shared" si="14"/>
        <v/>
      </c>
      <c r="T176" s="317" t="str">
        <f>GLOBAL_DER_FEV_2023!S176</f>
        <v/>
      </c>
      <c r="W176" s="582">
        <v>0</v>
      </c>
      <c r="X176" s="580"/>
      <c r="Y176" s="583">
        <f>IF(GLOBAL_DER_FEV_2023!W176=0,0,IF(GLOBAL_DER_FEV_2023!W176&gt;0,"c","b"))</f>
        <v>0</v>
      </c>
    </row>
    <row r="177" spans="1:25" ht="13.5" hidden="1" thickBot="1" x14ac:dyDescent="0.25">
      <c r="A177" s="317" t="s">
        <v>147</v>
      </c>
      <c r="B177" s="895" t="s">
        <v>147</v>
      </c>
      <c r="C177" s="896"/>
      <c r="D177" s="957" t="s">
        <v>190</v>
      </c>
      <c r="E177" s="907">
        <f>GLOBAL_DER_FEV_2023!E177</f>
        <v>308</v>
      </c>
      <c r="F177" s="908">
        <f>GLOBAL_DER_FEV_2023!F177</f>
        <v>0.105</v>
      </c>
      <c r="G177" s="909">
        <f>GLOBAL_DER_FEV_2023!G177</f>
        <v>26.046299999999999</v>
      </c>
      <c r="H177" s="901">
        <f>GLOBAL_DER_FEV_2023!H177</f>
        <v>0</v>
      </c>
      <c r="I177" s="901">
        <f>GLOBAL_DER_FEV_2023!I177</f>
        <v>0</v>
      </c>
      <c r="J177" s="902">
        <f>GLOBAL_DER_FEV_2023!J177</f>
        <v>0</v>
      </c>
      <c r="K177" s="903" t="s">
        <v>507</v>
      </c>
      <c r="L177" s="959"/>
      <c r="M177" s="1041">
        <f t="shared" si="12"/>
        <v>0</v>
      </c>
      <c r="N177" s="893">
        <f t="shared" si="15"/>
        <v>0</v>
      </c>
      <c r="O177" s="905"/>
      <c r="P177" s="58" t="str">
        <f>IF(N176&gt;0,"xx",IF(N176&gt;0,"xy",""))</f>
        <v/>
      </c>
      <c r="Q177" s="317" t="str">
        <f t="shared" si="11"/>
        <v/>
      </c>
      <c r="R177" s="317" t="str">
        <f t="shared" si="13"/>
        <v/>
      </c>
      <c r="S177" s="317" t="str">
        <f t="shared" si="14"/>
        <v/>
      </c>
      <c r="T177" s="317" t="str">
        <f>GLOBAL_DER_FEV_2023!S177</f>
        <v/>
      </c>
      <c r="W177" s="582">
        <v>0</v>
      </c>
      <c r="X177" s="580"/>
      <c r="Y177" s="583">
        <f>IF(GLOBAL_DER_FEV_2023!W177=0,0,IF(GLOBAL_DER_FEV_2023!W177&gt;0,"c","b"))</f>
        <v>0</v>
      </c>
    </row>
    <row r="178" spans="1:25" ht="13.5" hidden="1" thickBot="1" x14ac:dyDescent="0.25">
      <c r="A178" s="317" t="s">
        <v>147</v>
      </c>
      <c r="B178" s="895" t="s">
        <v>147</v>
      </c>
      <c r="C178" s="896"/>
      <c r="D178" s="957" t="s">
        <v>191</v>
      </c>
      <c r="E178" s="898">
        <f>GLOBAL_DER_FEV_2023!E178</f>
        <v>0</v>
      </c>
      <c r="F178" s="908">
        <f>GLOBAL_DER_FEV_2023!F178</f>
        <v>1.85</v>
      </c>
      <c r="G178" s="909">
        <f>GLOBAL_DER_FEV_2023!G178</f>
        <v>4.9580000000000002</v>
      </c>
      <c r="H178" s="901">
        <f>GLOBAL_DER_FEV_2023!H178</f>
        <v>0</v>
      </c>
      <c r="I178" s="901">
        <f>GLOBAL_DER_FEV_2023!I178</f>
        <v>0</v>
      </c>
      <c r="J178" s="902">
        <f>GLOBAL_DER_FEV_2023!J178</f>
        <v>0</v>
      </c>
      <c r="K178" s="903" t="s">
        <v>507</v>
      </c>
      <c r="L178" s="959"/>
      <c r="M178" s="1041">
        <f t="shared" si="12"/>
        <v>0</v>
      </c>
      <c r="N178" s="893">
        <f t="shared" si="15"/>
        <v>0</v>
      </c>
      <c r="O178" s="905"/>
      <c r="P178" s="58" t="str">
        <f>IF(N176&gt;0,"xx",IF(N176&gt;0,"xy",""))</f>
        <v/>
      </c>
      <c r="Q178" s="317" t="str">
        <f t="shared" si="11"/>
        <v/>
      </c>
      <c r="R178" s="317" t="str">
        <f t="shared" si="13"/>
        <v/>
      </c>
      <c r="S178" s="317" t="str">
        <f t="shared" si="14"/>
        <v/>
      </c>
      <c r="T178" s="317" t="str">
        <f>GLOBAL_DER_FEV_2023!S178</f>
        <v/>
      </c>
      <c r="W178" s="582">
        <v>0</v>
      </c>
      <c r="X178" s="580"/>
      <c r="Y178" s="583">
        <f>IF(GLOBAL_DER_FEV_2023!W178=0,0,IF(GLOBAL_DER_FEV_2023!W178&gt;0,"c","b"))</f>
        <v>0</v>
      </c>
    </row>
    <row r="179" spans="1:25" ht="13.5" hidden="1" thickBot="1" x14ac:dyDescent="0.25">
      <c r="A179" s="317" t="s">
        <v>147</v>
      </c>
      <c r="B179" s="895" t="s">
        <v>147</v>
      </c>
      <c r="C179" s="896"/>
      <c r="D179" s="957" t="s">
        <v>192</v>
      </c>
      <c r="E179" s="898">
        <f>GLOBAL_DER_FEV_2023!E179</f>
        <v>0</v>
      </c>
      <c r="F179" s="908">
        <f>GLOBAL_DER_FEV_2023!F179</f>
        <v>1.7450000000000001</v>
      </c>
      <c r="G179" s="909">
        <f>GLOBAL_DER_FEV_2023!G179</f>
        <v>4.6766000000000005</v>
      </c>
      <c r="H179" s="901">
        <f>GLOBAL_DER_FEV_2023!H179</f>
        <v>0</v>
      </c>
      <c r="I179" s="901">
        <f>GLOBAL_DER_FEV_2023!I179</f>
        <v>0</v>
      </c>
      <c r="J179" s="902">
        <f>GLOBAL_DER_FEV_2023!J179</f>
        <v>0</v>
      </c>
      <c r="K179" s="903" t="s">
        <v>507</v>
      </c>
      <c r="L179" s="959"/>
      <c r="M179" s="1041">
        <f t="shared" si="12"/>
        <v>0</v>
      </c>
      <c r="N179" s="893">
        <f t="shared" si="15"/>
        <v>0</v>
      </c>
      <c r="O179" s="905"/>
      <c r="P179" s="58" t="str">
        <f>IF($N$142&gt;0,"xx",IF($N$142&gt;0,"xy",""))</f>
        <v/>
      </c>
      <c r="Q179" s="317" t="str">
        <f t="shared" si="11"/>
        <v/>
      </c>
      <c r="R179" s="317" t="str">
        <f t="shared" si="13"/>
        <v/>
      </c>
      <c r="S179" s="317" t="str">
        <f t="shared" si="14"/>
        <v/>
      </c>
      <c r="T179" s="317" t="str">
        <f>GLOBAL_DER_FEV_2023!S179</f>
        <v/>
      </c>
      <c r="W179" s="582">
        <v>0</v>
      </c>
      <c r="X179" s="580"/>
      <c r="Y179" s="583">
        <f>IF(GLOBAL_DER_FEV_2023!W179=0,0,IF(GLOBAL_DER_FEV_2023!W179&gt;0,"c","b"))</f>
        <v>0</v>
      </c>
    </row>
    <row r="180" spans="1:25" ht="13.5" hidden="1" thickBot="1" x14ac:dyDescent="0.25">
      <c r="A180" s="317">
        <v>547100</v>
      </c>
      <c r="B180" s="895">
        <v>547100</v>
      </c>
      <c r="C180" s="896" t="s">
        <v>184</v>
      </c>
      <c r="D180" s="906" t="s">
        <v>2204</v>
      </c>
      <c r="E180" s="898">
        <f>GLOBAL_DER_FEV_2023!E180</f>
        <v>0</v>
      </c>
      <c r="F180" s="908">
        <f>GLOBAL_DER_FEV_2023!F180</f>
        <v>0</v>
      </c>
      <c r="G180" s="953">
        <f>GLOBAL_DER_FEV_2023!G180</f>
        <v>39.604299999999995</v>
      </c>
      <c r="H180" s="901">
        <f>GLOBAL_DER_FEV_2023!H180</f>
        <v>101.11</v>
      </c>
      <c r="I180" s="901">
        <f>GLOBAL_DER_FEV_2023!I180</f>
        <v>140.71429999999998</v>
      </c>
      <c r="J180" s="902">
        <f>GLOBAL_DER_FEV_2023!J180</f>
        <v>168.96</v>
      </c>
      <c r="K180" s="903" t="s">
        <v>10</v>
      </c>
      <c r="L180" s="1137"/>
      <c r="M180" s="1150">
        <f t="shared" si="12"/>
        <v>0</v>
      </c>
      <c r="N180" s="893">
        <f t="shared" si="15"/>
        <v>0</v>
      </c>
      <c r="O180" s="905"/>
      <c r="Q180" s="317" t="str">
        <f t="shared" si="11"/>
        <v/>
      </c>
      <c r="R180" s="317" t="str">
        <f t="shared" si="13"/>
        <v/>
      </c>
      <c r="S180" s="317" t="str">
        <f t="shared" si="14"/>
        <v/>
      </c>
      <c r="T180" s="317" t="str">
        <f>GLOBAL_DER_FEV_2023!S180</f>
        <v/>
      </c>
      <c r="W180" s="582">
        <v>0</v>
      </c>
      <c r="X180" s="580"/>
      <c r="Y180" s="583">
        <f>IF(GLOBAL_DER_FEV_2023!W180=0,0,IF(GLOBAL_DER_FEV_2023!W180&gt;0,"c","b"))</f>
        <v>0</v>
      </c>
    </row>
    <row r="181" spans="1:25" ht="13.5" hidden="1" thickBot="1" x14ac:dyDescent="0.25">
      <c r="A181" s="317" t="s">
        <v>147</v>
      </c>
      <c r="B181" s="895" t="s">
        <v>147</v>
      </c>
      <c r="C181" s="896"/>
      <c r="D181" s="957" t="s">
        <v>190</v>
      </c>
      <c r="E181" s="907">
        <f>GLOBAL_DER_FEV_2023!E181</f>
        <v>308</v>
      </c>
      <c r="F181" s="908">
        <f>GLOBAL_DER_FEV_2023!F181</f>
        <v>0.121</v>
      </c>
      <c r="G181" s="909">
        <f>GLOBAL_DER_FEV_2023!G181</f>
        <v>30.015259999999998</v>
      </c>
      <c r="H181" s="901">
        <f>GLOBAL_DER_FEV_2023!H181</f>
        <v>0</v>
      </c>
      <c r="I181" s="901">
        <f>GLOBAL_DER_FEV_2023!I181</f>
        <v>0</v>
      </c>
      <c r="J181" s="902">
        <f>GLOBAL_DER_FEV_2023!J181</f>
        <v>0</v>
      </c>
      <c r="K181" s="903" t="s">
        <v>507</v>
      </c>
      <c r="L181" s="959"/>
      <c r="M181" s="1041">
        <f t="shared" si="12"/>
        <v>0</v>
      </c>
      <c r="N181" s="893">
        <f t="shared" si="15"/>
        <v>0</v>
      </c>
      <c r="O181" s="905"/>
      <c r="P181" s="58" t="str">
        <f>IF(N180&gt;0,"xx",IF(N180&gt;0,"xy",""))</f>
        <v/>
      </c>
      <c r="Q181" s="317" t="str">
        <f t="shared" si="11"/>
        <v/>
      </c>
      <c r="R181" s="317" t="str">
        <f t="shared" si="13"/>
        <v/>
      </c>
      <c r="S181" s="317" t="str">
        <f t="shared" si="14"/>
        <v/>
      </c>
      <c r="T181" s="317" t="str">
        <f>GLOBAL_DER_FEV_2023!S181</f>
        <v/>
      </c>
      <c r="W181" s="582">
        <v>0</v>
      </c>
      <c r="X181" s="580"/>
      <c r="Y181" s="583">
        <f>IF(GLOBAL_DER_FEV_2023!W181=0,0,IF(GLOBAL_DER_FEV_2023!W181&gt;0,"c","b"))</f>
        <v>0</v>
      </c>
    </row>
    <row r="182" spans="1:25" ht="13.5" hidden="1" thickBot="1" x14ac:dyDescent="0.25">
      <c r="A182" s="317" t="s">
        <v>147</v>
      </c>
      <c r="B182" s="895" t="s">
        <v>147</v>
      </c>
      <c r="C182" s="896"/>
      <c r="D182" s="957" t="s">
        <v>191</v>
      </c>
      <c r="E182" s="898">
        <f>GLOBAL_DER_FEV_2023!E182</f>
        <v>0</v>
      </c>
      <c r="F182" s="908">
        <f>GLOBAL_DER_FEV_2023!F182</f>
        <v>1.85</v>
      </c>
      <c r="G182" s="909">
        <f>GLOBAL_DER_FEV_2023!G182</f>
        <v>4.9580000000000002</v>
      </c>
      <c r="H182" s="901">
        <f>GLOBAL_DER_FEV_2023!H182</f>
        <v>0</v>
      </c>
      <c r="I182" s="901">
        <f>GLOBAL_DER_FEV_2023!I182</f>
        <v>0</v>
      </c>
      <c r="J182" s="902">
        <f>GLOBAL_DER_FEV_2023!J182</f>
        <v>0</v>
      </c>
      <c r="K182" s="903" t="s">
        <v>507</v>
      </c>
      <c r="L182" s="959"/>
      <c r="M182" s="1041">
        <f t="shared" si="12"/>
        <v>0</v>
      </c>
      <c r="N182" s="893">
        <f t="shared" si="15"/>
        <v>0</v>
      </c>
      <c r="O182" s="905"/>
      <c r="P182" s="58" t="str">
        <f>IF(N180&gt;0,"xx",IF(N180&gt;0,"xy",""))</f>
        <v/>
      </c>
      <c r="Q182" s="317" t="str">
        <f t="shared" si="11"/>
        <v/>
      </c>
      <c r="R182" s="317" t="str">
        <f t="shared" si="13"/>
        <v/>
      </c>
      <c r="S182" s="317" t="str">
        <f t="shared" si="14"/>
        <v/>
      </c>
      <c r="T182" s="317" t="str">
        <f>GLOBAL_DER_FEV_2023!S182</f>
        <v/>
      </c>
      <c r="W182" s="582">
        <v>0</v>
      </c>
      <c r="X182" s="580"/>
      <c r="Y182" s="583">
        <f>IF(GLOBAL_DER_FEV_2023!W182=0,0,IF(GLOBAL_DER_FEV_2023!W182&gt;0,"c","b"))</f>
        <v>0</v>
      </c>
    </row>
    <row r="183" spans="1:25" ht="13.5" hidden="1" thickBot="1" x14ac:dyDescent="0.25">
      <c r="A183" s="317" t="s">
        <v>147</v>
      </c>
      <c r="B183" s="895" t="s">
        <v>147</v>
      </c>
      <c r="C183" s="896"/>
      <c r="D183" s="957" t="s">
        <v>192</v>
      </c>
      <c r="E183" s="898">
        <f>GLOBAL_DER_FEV_2023!E183</f>
        <v>0</v>
      </c>
      <c r="F183" s="908">
        <f>GLOBAL_DER_FEV_2023!F183</f>
        <v>1.728</v>
      </c>
      <c r="G183" s="909">
        <f>GLOBAL_DER_FEV_2023!G183</f>
        <v>4.6310400000000005</v>
      </c>
      <c r="H183" s="901">
        <f>GLOBAL_DER_FEV_2023!H183</f>
        <v>0</v>
      </c>
      <c r="I183" s="901">
        <f>GLOBAL_DER_FEV_2023!I183</f>
        <v>0</v>
      </c>
      <c r="J183" s="902">
        <f>GLOBAL_DER_FEV_2023!J183</f>
        <v>0</v>
      </c>
      <c r="K183" s="903" t="s">
        <v>507</v>
      </c>
      <c r="L183" s="959"/>
      <c r="M183" s="1041">
        <f t="shared" si="12"/>
        <v>0</v>
      </c>
      <c r="N183" s="893">
        <f t="shared" si="15"/>
        <v>0</v>
      </c>
      <c r="O183" s="905"/>
      <c r="P183" s="58" t="str">
        <f>IF($N$142&gt;0,"xx",IF($N$142&gt;0,"xy",""))</f>
        <v/>
      </c>
      <c r="Q183" s="317" t="str">
        <f t="shared" si="11"/>
        <v/>
      </c>
      <c r="R183" s="317" t="str">
        <f t="shared" si="13"/>
        <v/>
      </c>
      <c r="S183" s="317" t="str">
        <f t="shared" si="14"/>
        <v/>
      </c>
      <c r="T183" s="317" t="str">
        <f>GLOBAL_DER_FEV_2023!S183</f>
        <v/>
      </c>
      <c r="W183" s="582">
        <v>0</v>
      </c>
      <c r="X183" s="580"/>
      <c r="Y183" s="583">
        <f>IF(GLOBAL_DER_FEV_2023!W183=0,0,IF(GLOBAL_DER_FEV_2023!W183&gt;0,"c","b"))</f>
        <v>0</v>
      </c>
    </row>
    <row r="184" spans="1:25" ht="13.5" hidden="1" thickBot="1" x14ac:dyDescent="0.25">
      <c r="A184" s="317">
        <v>530200</v>
      </c>
      <c r="B184" s="895" t="s">
        <v>1572</v>
      </c>
      <c r="C184" s="896" t="s">
        <v>184</v>
      </c>
      <c r="D184" s="906" t="s">
        <v>193</v>
      </c>
      <c r="E184" s="898">
        <f>GLOBAL_DER_FEV_2023!E184</f>
        <v>0.2</v>
      </c>
      <c r="F184" s="899">
        <f>GLOBAL_DER_FEV_2023!F184</f>
        <v>2.2000000000000002</v>
      </c>
      <c r="G184" s="909">
        <f>GLOBAL_DER_FEV_2023!G184</f>
        <v>6.3668000000000005</v>
      </c>
      <c r="H184" s="901">
        <f>GLOBAL_DER_FEV_2023!H184</f>
        <v>98.29</v>
      </c>
      <c r="I184" s="901">
        <f>GLOBAL_DER_FEV_2023!I184</f>
        <v>104.6568</v>
      </c>
      <c r="J184" s="902">
        <f>GLOBAL_DER_FEV_2023!J184</f>
        <v>125.66</v>
      </c>
      <c r="K184" s="903" t="s">
        <v>10</v>
      </c>
      <c r="L184" s="1137"/>
      <c r="M184" s="1150">
        <f t="shared" si="12"/>
        <v>0</v>
      </c>
      <c r="N184" s="893">
        <f t="shared" si="15"/>
        <v>0</v>
      </c>
      <c r="O184" s="905"/>
      <c r="Q184" s="317" t="str">
        <f t="shared" si="11"/>
        <v/>
      </c>
      <c r="R184" s="317" t="str">
        <f t="shared" si="13"/>
        <v/>
      </c>
      <c r="S184" s="317" t="str">
        <f t="shared" si="14"/>
        <v/>
      </c>
      <c r="T184" s="317" t="str">
        <f>GLOBAL_DER_FEV_2023!S184</f>
        <v/>
      </c>
      <c r="W184" s="582">
        <v>0</v>
      </c>
      <c r="X184" s="580"/>
      <c r="Y184" s="583">
        <f>IF(GLOBAL_DER_FEV_2023!W184=0,0,IF(GLOBAL_DER_FEV_2023!W184&gt;0,"c","b"))</f>
        <v>0</v>
      </c>
    </row>
    <row r="185" spans="1:25" ht="13.5" hidden="1" thickBot="1" x14ac:dyDescent="0.25">
      <c r="A185" s="317" t="s">
        <v>830</v>
      </c>
      <c r="B185" s="895" t="str">
        <f>GLOBAL_DER_FEV_2023!B185</f>
        <v>PAV-003A</v>
      </c>
      <c r="C185" s="896" t="str">
        <f>GLOBAL_DER_FEV_2023!C185</f>
        <v>PM Curitiba-abr/22</v>
      </c>
      <c r="D185" s="906" t="str">
        <f>GLOBAL_DER_FEV_2023!D185</f>
        <v>Saibro Compactado CBR&gt;=20 (Base ou Sub-Base)</v>
      </c>
      <c r="E185" s="898">
        <f>GLOBAL_DER_FEV_2023!E185</f>
        <v>0</v>
      </c>
      <c r="F185" s="899">
        <f>GLOBAL_DER_FEV_2023!F185</f>
        <v>1.95</v>
      </c>
      <c r="G185" s="909">
        <f>GLOBAL_DER_FEV_2023!G185</f>
        <v>5.226</v>
      </c>
      <c r="H185" s="901">
        <f>GLOBAL_DER_FEV_2023!H185</f>
        <v>67.75</v>
      </c>
      <c r="I185" s="901">
        <f>GLOBAL_DER_FEV_2023!I185</f>
        <v>72.975999999999999</v>
      </c>
      <c r="J185" s="902">
        <f>GLOBAL_DER_FEV_2023!J185</f>
        <v>87.62</v>
      </c>
      <c r="K185" s="903" t="s">
        <v>10</v>
      </c>
      <c r="L185" s="1137"/>
      <c r="M185" s="1150">
        <f t="shared" si="12"/>
        <v>0</v>
      </c>
      <c r="N185" s="893">
        <f t="shared" si="15"/>
        <v>0</v>
      </c>
      <c r="O185" s="905"/>
      <c r="Q185" s="317" t="str">
        <f t="shared" si="11"/>
        <v/>
      </c>
      <c r="R185" s="317" t="str">
        <f t="shared" si="13"/>
        <v/>
      </c>
      <c r="S185" s="317" t="str">
        <f t="shared" si="14"/>
        <v/>
      </c>
      <c r="T185" s="317" t="str">
        <f>GLOBAL_DER_FEV_2023!S185</f>
        <v/>
      </c>
      <c r="W185" s="582">
        <v>0</v>
      </c>
      <c r="X185" s="580"/>
      <c r="Y185" s="583">
        <f>IF(GLOBAL_DER_FEV_2023!W185=0,0,IF(GLOBAL_DER_FEV_2023!W185&gt;0,"c","b"))</f>
        <v>0</v>
      </c>
    </row>
    <row r="186" spans="1:25" ht="13.5" hidden="1" thickBot="1" x14ac:dyDescent="0.25">
      <c r="A186" s="317" t="s">
        <v>831</v>
      </c>
      <c r="B186" s="895" t="str">
        <f>GLOBAL_DER_FEV_2023!B186</f>
        <v>PAV-005A</v>
      </c>
      <c r="C186" s="896" t="str">
        <f>GLOBAL_DER_FEV_2023!C186</f>
        <v>PM Curitiba-abr/22</v>
      </c>
      <c r="D186" s="906" t="str">
        <f>GLOBAL_DER_FEV_2023!D186</f>
        <v>Moledo Compactado CBR&gt;=20 (Base ou Sub-Base)</v>
      </c>
      <c r="E186" s="898">
        <f>GLOBAL_DER_FEV_2023!E186</f>
        <v>0</v>
      </c>
      <c r="F186" s="899">
        <f>GLOBAL_DER_FEV_2023!F186</f>
        <v>2.1</v>
      </c>
      <c r="G186" s="909">
        <f>GLOBAL_DER_FEV_2023!G186</f>
        <v>5.628000000000001</v>
      </c>
      <c r="H186" s="901">
        <f>GLOBAL_DER_FEV_2023!H186</f>
        <v>31.47</v>
      </c>
      <c r="I186" s="901">
        <f>GLOBAL_DER_FEV_2023!I186</f>
        <v>37.097999999999999</v>
      </c>
      <c r="J186" s="902">
        <f>GLOBAL_DER_FEV_2023!J186</f>
        <v>44.54</v>
      </c>
      <c r="K186" s="903" t="s">
        <v>10</v>
      </c>
      <c r="L186" s="1137"/>
      <c r="M186" s="1150">
        <f t="shared" si="12"/>
        <v>0</v>
      </c>
      <c r="N186" s="893">
        <f t="shared" si="15"/>
        <v>0</v>
      </c>
      <c r="O186" s="905"/>
      <c r="Q186" s="317" t="str">
        <f t="shared" si="11"/>
        <v/>
      </c>
      <c r="R186" s="317" t="str">
        <f t="shared" si="13"/>
        <v/>
      </c>
      <c r="S186" s="317" t="str">
        <f t="shared" si="14"/>
        <v/>
      </c>
      <c r="T186" s="317" t="str">
        <f>GLOBAL_DER_FEV_2023!S186</f>
        <v/>
      </c>
      <c r="W186" s="582">
        <v>0</v>
      </c>
      <c r="X186" s="580"/>
      <c r="Y186" s="583">
        <f>IF(GLOBAL_DER_FEV_2023!W186=0,0,IF(GLOBAL_DER_FEV_2023!W186&gt;0,"c","b"))</f>
        <v>0</v>
      </c>
    </row>
    <row r="187" spans="1:25" ht="13.5" hidden="1" thickBot="1" x14ac:dyDescent="0.25">
      <c r="A187" s="317">
        <v>530200</v>
      </c>
      <c r="B187" s="895" t="s">
        <v>1746</v>
      </c>
      <c r="C187" s="896" t="s">
        <v>184</v>
      </c>
      <c r="D187" s="906" t="s">
        <v>452</v>
      </c>
      <c r="E187" s="898">
        <f>GLOBAL_DER_FEV_2023!E187</f>
        <v>0.2</v>
      </c>
      <c r="F187" s="899">
        <f>GLOBAL_DER_FEV_2023!F187</f>
        <v>2.2000000000000002</v>
      </c>
      <c r="G187" s="909">
        <f>GLOBAL_DER_FEV_2023!G187</f>
        <v>6.3668000000000005</v>
      </c>
      <c r="H187" s="901">
        <f>GLOBAL_DER_FEV_2023!H187</f>
        <v>98.29</v>
      </c>
      <c r="I187" s="901">
        <f>GLOBAL_DER_FEV_2023!I187</f>
        <v>104.6568</v>
      </c>
      <c r="J187" s="902">
        <f>GLOBAL_DER_FEV_2023!J187</f>
        <v>125.66</v>
      </c>
      <c r="K187" s="903" t="s">
        <v>10</v>
      </c>
      <c r="L187" s="1137"/>
      <c r="M187" s="1150">
        <f t="shared" si="12"/>
        <v>0</v>
      </c>
      <c r="N187" s="893">
        <f t="shared" si="15"/>
        <v>0</v>
      </c>
      <c r="O187" s="905"/>
      <c r="Q187" s="317" t="str">
        <f t="shared" si="11"/>
        <v/>
      </c>
      <c r="R187" s="317" t="str">
        <f t="shared" si="13"/>
        <v/>
      </c>
      <c r="S187" s="317" t="str">
        <f t="shared" si="14"/>
        <v/>
      </c>
      <c r="T187" s="317" t="str">
        <f>GLOBAL_DER_FEV_2023!S187</f>
        <v/>
      </c>
      <c r="W187" s="582">
        <v>0</v>
      </c>
      <c r="X187" s="580"/>
      <c r="Y187" s="583">
        <f>IF(GLOBAL_DER_FEV_2023!W187=0,0,IF(GLOBAL_DER_FEV_2023!W187&gt;0,"c","b"))</f>
        <v>0</v>
      </c>
    </row>
    <row r="188" spans="1:25" ht="13.5" hidden="1" thickBot="1" x14ac:dyDescent="0.25">
      <c r="A188" s="317">
        <v>516200</v>
      </c>
      <c r="B188" s="895">
        <v>516200</v>
      </c>
      <c r="C188" s="896" t="s">
        <v>184</v>
      </c>
      <c r="D188" s="906" t="s">
        <v>206</v>
      </c>
      <c r="E188" s="898">
        <f>GLOBAL_DER_FEV_2023!E188</f>
        <v>0</v>
      </c>
      <c r="F188" s="899">
        <f>GLOBAL_DER_FEV_2023!F188</f>
        <v>1.95</v>
      </c>
      <c r="G188" s="909">
        <f>GLOBAL_DER_FEV_2023!G188</f>
        <v>5.226</v>
      </c>
      <c r="H188" s="901">
        <f>GLOBAL_DER_FEV_2023!H188</f>
        <v>104.14</v>
      </c>
      <c r="I188" s="901">
        <f>GLOBAL_DER_FEV_2023!I188</f>
        <v>92.961100000000002</v>
      </c>
      <c r="J188" s="902">
        <f>GLOBAL_DER_FEV_2023!J188</f>
        <v>111.62</v>
      </c>
      <c r="K188" s="903" t="s">
        <v>10</v>
      </c>
      <c r="L188" s="1137"/>
      <c r="M188" s="1150">
        <f t="shared" si="12"/>
        <v>0</v>
      </c>
      <c r="N188" s="893">
        <f t="shared" si="15"/>
        <v>0</v>
      </c>
      <c r="O188" s="905"/>
      <c r="Q188" s="317" t="str">
        <f t="shared" si="11"/>
        <v/>
      </c>
      <c r="R188" s="317" t="str">
        <f t="shared" si="13"/>
        <v/>
      </c>
      <c r="S188" s="317" t="str">
        <f t="shared" si="14"/>
        <v/>
      </c>
      <c r="T188" s="317" t="str">
        <f>GLOBAL_DER_FEV_2023!S188</f>
        <v/>
      </c>
      <c r="W188" s="582">
        <v>0</v>
      </c>
      <c r="X188" s="580"/>
      <c r="Y188" s="583">
        <f>IF(GLOBAL_DER_FEV_2023!W188=0,0,IF(GLOBAL_DER_FEV_2023!W188&gt;0,"c","b"))</f>
        <v>0</v>
      </c>
    </row>
    <row r="189" spans="1:25" ht="13.5" hidden="1" thickBot="1" x14ac:dyDescent="0.25">
      <c r="A189" s="317">
        <v>531000</v>
      </c>
      <c r="B189" s="895" t="s">
        <v>1786</v>
      </c>
      <c r="C189" s="896" t="s">
        <v>184</v>
      </c>
      <c r="D189" s="906" t="s">
        <v>194</v>
      </c>
      <c r="E189" s="898">
        <f>GLOBAL_DER_FEV_2023!E189</f>
        <v>0.2</v>
      </c>
      <c r="F189" s="908">
        <f>GLOBAL_DER_FEV_2023!F189</f>
        <v>2.4</v>
      </c>
      <c r="G189" s="909">
        <f>GLOBAL_DER_FEV_2023!G189</f>
        <v>6.9455999999999998</v>
      </c>
      <c r="H189" s="901">
        <f>GLOBAL_DER_FEV_2023!H189</f>
        <v>132.22999999999999</v>
      </c>
      <c r="I189" s="901">
        <f>GLOBAL_DER_FEV_2023!I189</f>
        <v>139.1756</v>
      </c>
      <c r="J189" s="902">
        <f>GLOBAL_DER_FEV_2023!J189</f>
        <v>167.11</v>
      </c>
      <c r="K189" s="903" t="s">
        <v>10</v>
      </c>
      <c r="L189" s="1137"/>
      <c r="M189" s="1150">
        <f t="shared" si="12"/>
        <v>0</v>
      </c>
      <c r="N189" s="893">
        <f t="shared" si="15"/>
        <v>0</v>
      </c>
      <c r="O189" s="905"/>
      <c r="Q189" s="317" t="str">
        <f t="shared" si="11"/>
        <v/>
      </c>
      <c r="R189" s="317" t="str">
        <f t="shared" si="13"/>
        <v/>
      </c>
      <c r="S189" s="317" t="str">
        <f t="shared" si="14"/>
        <v/>
      </c>
      <c r="T189" s="317" t="str">
        <f>GLOBAL_DER_FEV_2023!S189</f>
        <v/>
      </c>
      <c r="W189" s="582">
        <v>0</v>
      </c>
      <c r="X189" s="580"/>
      <c r="Y189" s="583">
        <f>IF(GLOBAL_DER_FEV_2023!W189=0,0,IF(GLOBAL_DER_FEV_2023!W189&gt;0,"c","b"))</f>
        <v>0</v>
      </c>
    </row>
    <row r="190" spans="1:25" ht="13.5" hidden="1" thickBot="1" x14ac:dyDescent="0.25">
      <c r="A190" s="317">
        <v>531120</v>
      </c>
      <c r="B190" s="895">
        <v>531120</v>
      </c>
      <c r="C190" s="896" t="s">
        <v>184</v>
      </c>
      <c r="D190" s="906" t="s">
        <v>200</v>
      </c>
      <c r="E190" s="898">
        <f>GLOBAL_DER_FEV_2023!E190</f>
        <v>0</v>
      </c>
      <c r="F190" s="908">
        <f>GLOBAL_DER_FEV_2023!F190</f>
        <v>0</v>
      </c>
      <c r="G190" s="953">
        <f>GLOBAL_DER_FEV_2023!G190</f>
        <v>95.741760000000014</v>
      </c>
      <c r="H190" s="901">
        <f>GLOBAL_DER_FEV_2023!H190</f>
        <v>186.24</v>
      </c>
      <c r="I190" s="901">
        <f>GLOBAL_DER_FEV_2023!I190</f>
        <v>253.78358400000002</v>
      </c>
      <c r="J190" s="902">
        <f>GLOBAL_DER_FEV_2023!J190</f>
        <v>304.72000000000003</v>
      </c>
      <c r="K190" s="903" t="s">
        <v>10</v>
      </c>
      <c r="L190" s="1137"/>
      <c r="M190" s="1150">
        <f t="shared" si="12"/>
        <v>0</v>
      </c>
      <c r="N190" s="893">
        <f t="shared" si="15"/>
        <v>0</v>
      </c>
      <c r="O190" s="905"/>
      <c r="Q190" s="317" t="str">
        <f t="shared" si="11"/>
        <v/>
      </c>
      <c r="R190" s="317" t="str">
        <f t="shared" si="13"/>
        <v/>
      </c>
      <c r="S190" s="317" t="str">
        <f t="shared" si="14"/>
        <v/>
      </c>
      <c r="T190" s="317" t="str">
        <f>GLOBAL_DER_FEV_2023!S190</f>
        <v/>
      </c>
      <c r="W190" s="582">
        <v>0</v>
      </c>
      <c r="X190" s="580"/>
      <c r="Y190" s="583">
        <f>IF(GLOBAL_DER_FEV_2023!W190=0,0,IF(GLOBAL_DER_FEV_2023!W190&gt;0,"c","b"))</f>
        <v>0</v>
      </c>
    </row>
    <row r="191" spans="1:25" ht="13.5" hidden="1" thickBot="1" x14ac:dyDescent="0.25">
      <c r="A191" s="317" t="s">
        <v>147</v>
      </c>
      <c r="B191" s="895" t="s">
        <v>147</v>
      </c>
      <c r="C191" s="896"/>
      <c r="D191" s="957" t="s">
        <v>190</v>
      </c>
      <c r="E191" s="907">
        <f>GLOBAL_DER_FEV_2023!E191</f>
        <v>308</v>
      </c>
      <c r="F191" s="908">
        <f>GLOBAL_DER_FEV_2023!F191</f>
        <v>9.6000000000000002E-2</v>
      </c>
      <c r="G191" s="909">
        <f>GLOBAL_DER_FEV_2023!G191</f>
        <v>23.813760000000002</v>
      </c>
      <c r="H191" s="901">
        <f>GLOBAL_DER_FEV_2023!H191</f>
        <v>0</v>
      </c>
      <c r="I191" s="901">
        <f>GLOBAL_DER_FEV_2023!I191</f>
        <v>0</v>
      </c>
      <c r="J191" s="902">
        <f>GLOBAL_DER_FEV_2023!J191</f>
        <v>0</v>
      </c>
      <c r="K191" s="903" t="s">
        <v>507</v>
      </c>
      <c r="L191" s="959"/>
      <c r="M191" s="1041">
        <f t="shared" si="12"/>
        <v>0</v>
      </c>
      <c r="N191" s="893">
        <f t="shared" si="15"/>
        <v>0</v>
      </c>
      <c r="O191" s="905"/>
      <c r="P191" s="58" t="str">
        <f>IF(N190&gt;0,"xx",IF(N190&gt;0,"xy",""))</f>
        <v/>
      </c>
      <c r="Q191" s="317" t="str">
        <f t="shared" si="11"/>
        <v/>
      </c>
      <c r="R191" s="317" t="str">
        <f t="shared" si="13"/>
        <v/>
      </c>
      <c r="S191" s="317" t="str">
        <f t="shared" si="14"/>
        <v/>
      </c>
      <c r="T191" s="317" t="str">
        <f>GLOBAL_DER_FEV_2023!S191</f>
        <v/>
      </c>
      <c r="W191" s="582">
        <v>0</v>
      </c>
      <c r="X191" s="580"/>
      <c r="Y191" s="583">
        <f>IF(GLOBAL_DER_FEV_2023!W191=0,0,IF(GLOBAL_DER_FEV_2023!W191&gt;0,"c","b"))</f>
        <v>0</v>
      </c>
    </row>
    <row r="192" spans="1:25" ht="13.5" hidden="1" thickBot="1" x14ac:dyDescent="0.25">
      <c r="A192" s="317" t="s">
        <v>147</v>
      </c>
      <c r="B192" s="895" t="s">
        <v>147</v>
      </c>
      <c r="C192" s="896"/>
      <c r="D192" s="957" t="s">
        <v>201</v>
      </c>
      <c r="E192" s="898">
        <f>GLOBAL_DER_FEV_2023!E192</f>
        <v>0</v>
      </c>
      <c r="F192" s="908">
        <f>GLOBAL_DER_FEV_2023!F192</f>
        <v>2.4</v>
      </c>
      <c r="G192" s="909">
        <f>GLOBAL_DER_FEV_2023!G192</f>
        <v>6.4320000000000004</v>
      </c>
      <c r="H192" s="901">
        <f>GLOBAL_DER_FEV_2023!H192</f>
        <v>0</v>
      </c>
      <c r="I192" s="901">
        <f>GLOBAL_DER_FEV_2023!I192</f>
        <v>0</v>
      </c>
      <c r="J192" s="902">
        <f>GLOBAL_DER_FEV_2023!J192</f>
        <v>0</v>
      </c>
      <c r="K192" s="903" t="s">
        <v>507</v>
      </c>
      <c r="L192" s="959"/>
      <c r="M192" s="1041">
        <f t="shared" si="12"/>
        <v>0</v>
      </c>
      <c r="N192" s="893">
        <f t="shared" si="15"/>
        <v>0</v>
      </c>
      <c r="O192" s="905"/>
      <c r="P192" s="58" t="str">
        <f>IF(N190&gt;0,"xx",IF(N190&gt;0,"xy",""))</f>
        <v/>
      </c>
      <c r="Q192" s="317" t="str">
        <f t="shared" si="11"/>
        <v/>
      </c>
      <c r="R192" s="317" t="str">
        <f t="shared" si="13"/>
        <v/>
      </c>
      <c r="S192" s="317" t="str">
        <f t="shared" si="14"/>
        <v/>
      </c>
      <c r="T192" s="317" t="str">
        <f>GLOBAL_DER_FEV_2023!S192</f>
        <v/>
      </c>
      <c r="W192" s="582">
        <v>0</v>
      </c>
      <c r="X192" s="580"/>
      <c r="Y192" s="583">
        <f>IF(GLOBAL_DER_FEV_2023!W192=0,0,IF(GLOBAL_DER_FEV_2023!W192&gt;0,"c","b"))</f>
        <v>0</v>
      </c>
    </row>
    <row r="193" spans="1:25" ht="13.5" hidden="1" thickBot="1" x14ac:dyDescent="0.25">
      <c r="A193" s="317" t="s">
        <v>147</v>
      </c>
      <c r="B193" s="895" t="s">
        <v>147</v>
      </c>
      <c r="C193" s="896"/>
      <c r="D193" s="957" t="s">
        <v>202</v>
      </c>
      <c r="E193" s="898">
        <f>GLOBAL_DER_FEV_2023!E193</f>
        <v>23</v>
      </c>
      <c r="F193" s="908">
        <f>GLOBAL_DER_FEV_2023!F193</f>
        <v>2.4</v>
      </c>
      <c r="G193" s="909">
        <f>GLOBAL_DER_FEV_2023!G193</f>
        <v>65.496000000000009</v>
      </c>
      <c r="H193" s="901">
        <f>GLOBAL_DER_FEV_2023!H193</f>
        <v>0</v>
      </c>
      <c r="I193" s="901">
        <f>GLOBAL_DER_FEV_2023!I193</f>
        <v>0</v>
      </c>
      <c r="J193" s="902">
        <f>GLOBAL_DER_FEV_2023!J193</f>
        <v>0</v>
      </c>
      <c r="K193" s="903" t="s">
        <v>507</v>
      </c>
      <c r="L193" s="959"/>
      <c r="M193" s="1041">
        <f t="shared" si="12"/>
        <v>0</v>
      </c>
      <c r="N193" s="893">
        <f t="shared" si="15"/>
        <v>0</v>
      </c>
      <c r="O193" s="905"/>
      <c r="P193" s="58" t="str">
        <f>IF($N$142&gt;0,"xx",IF($N$142&gt;0,"xy",""))</f>
        <v/>
      </c>
      <c r="Q193" s="317" t="str">
        <f t="shared" si="11"/>
        <v/>
      </c>
      <c r="R193" s="317" t="str">
        <f t="shared" si="13"/>
        <v/>
      </c>
      <c r="S193" s="317" t="str">
        <f t="shared" si="14"/>
        <v/>
      </c>
      <c r="T193" s="317" t="str">
        <f>GLOBAL_DER_FEV_2023!S193</f>
        <v/>
      </c>
      <c r="W193" s="582">
        <v>0</v>
      </c>
      <c r="X193" s="580"/>
      <c r="Y193" s="583">
        <f>IF(GLOBAL_DER_FEV_2023!W193=0,0,IF(GLOBAL_DER_FEV_2023!W193&gt;0,"c","b"))</f>
        <v>0</v>
      </c>
    </row>
    <row r="194" spans="1:25" ht="13.5" hidden="1" thickBot="1" x14ac:dyDescent="0.25">
      <c r="A194" s="317">
        <v>531350</v>
      </c>
      <c r="B194" s="895">
        <v>531350</v>
      </c>
      <c r="C194" s="896" t="s">
        <v>184</v>
      </c>
      <c r="D194" s="906" t="s">
        <v>195</v>
      </c>
      <c r="E194" s="898">
        <f>GLOBAL_DER_FEV_2023!E194</f>
        <v>0</v>
      </c>
      <c r="F194" s="899">
        <f>GLOBAL_DER_FEV_2023!F194</f>
        <v>0</v>
      </c>
      <c r="G194" s="953">
        <f>GLOBAL_DER_FEV_2023!G194</f>
        <v>5.5859200000000007</v>
      </c>
      <c r="H194" s="901">
        <f>GLOBAL_DER_FEV_2023!H194</f>
        <v>105.23</v>
      </c>
      <c r="I194" s="901">
        <f>GLOBAL_DER_FEV_2023!I194</f>
        <v>110.81592000000001</v>
      </c>
      <c r="J194" s="902">
        <f>GLOBAL_DER_FEV_2023!J194</f>
        <v>133.06</v>
      </c>
      <c r="K194" s="903" t="s">
        <v>10</v>
      </c>
      <c r="L194" s="1137"/>
      <c r="M194" s="1150">
        <f t="shared" si="12"/>
        <v>0</v>
      </c>
      <c r="N194" s="893">
        <f t="shared" si="15"/>
        <v>0</v>
      </c>
      <c r="O194" s="905"/>
      <c r="Q194" s="317" t="str">
        <f t="shared" si="11"/>
        <v/>
      </c>
      <c r="R194" s="317" t="str">
        <f t="shared" si="13"/>
        <v/>
      </c>
      <c r="S194" s="317" t="str">
        <f t="shared" si="14"/>
        <v/>
      </c>
      <c r="T194" s="317" t="str">
        <f>GLOBAL_DER_FEV_2023!S194</f>
        <v/>
      </c>
      <c r="W194" s="582">
        <v>0</v>
      </c>
      <c r="X194" s="580"/>
      <c r="Y194" s="583">
        <f>IF(GLOBAL_DER_FEV_2023!W194=0,0,IF(GLOBAL_DER_FEV_2023!W194&gt;0,"c","b"))</f>
        <v>0</v>
      </c>
    </row>
    <row r="195" spans="1:25" ht="13.5" hidden="1" thickBot="1" x14ac:dyDescent="0.25">
      <c r="A195" s="317" t="s">
        <v>147</v>
      </c>
      <c r="B195" s="895" t="s">
        <v>147</v>
      </c>
      <c r="C195" s="896"/>
      <c r="D195" s="957" t="s">
        <v>196</v>
      </c>
      <c r="E195" s="898">
        <f>GLOBAL_DER_FEV_2023!E195</f>
        <v>0</v>
      </c>
      <c r="F195" s="899">
        <f>GLOBAL_DER_FEV_2023!F195</f>
        <v>1.35</v>
      </c>
      <c r="G195" s="909">
        <f>GLOBAL_DER_FEV_2023!G195</f>
        <v>3.6180000000000003</v>
      </c>
      <c r="H195" s="901">
        <f>GLOBAL_DER_FEV_2023!H195</f>
        <v>0</v>
      </c>
      <c r="I195" s="901">
        <f>GLOBAL_DER_FEV_2023!I195</f>
        <v>0</v>
      </c>
      <c r="J195" s="902">
        <f>GLOBAL_DER_FEV_2023!J195</f>
        <v>0</v>
      </c>
      <c r="K195" s="903" t="s">
        <v>507</v>
      </c>
      <c r="L195" s="959"/>
      <c r="M195" s="1041">
        <f t="shared" si="12"/>
        <v>0</v>
      </c>
      <c r="N195" s="893">
        <f t="shared" si="15"/>
        <v>0</v>
      </c>
      <c r="O195" s="905"/>
      <c r="P195" s="58" t="str">
        <f>IF(N194&gt;0,"xx",IF(N194&gt;0,"xy",""))</f>
        <v/>
      </c>
      <c r="Q195" s="317" t="str">
        <f t="shared" si="11"/>
        <v/>
      </c>
      <c r="R195" s="317" t="str">
        <f t="shared" si="13"/>
        <v/>
      </c>
      <c r="S195" s="317" t="str">
        <f t="shared" si="14"/>
        <v/>
      </c>
      <c r="T195" s="317" t="str">
        <f>GLOBAL_DER_FEV_2023!S195</f>
        <v/>
      </c>
      <c r="W195" s="582">
        <v>0</v>
      </c>
      <c r="X195" s="580"/>
      <c r="Y195" s="583">
        <f>IF(GLOBAL_DER_FEV_2023!W195=0,0,IF(GLOBAL_DER_FEV_2023!W195&gt;0,"c","b"))</f>
        <v>0</v>
      </c>
    </row>
    <row r="196" spans="1:25" ht="13.5" hidden="1" thickBot="1" x14ac:dyDescent="0.25">
      <c r="A196" s="317" t="s">
        <v>147</v>
      </c>
      <c r="B196" s="895" t="s">
        <v>147</v>
      </c>
      <c r="C196" s="896"/>
      <c r="D196" s="957" t="s">
        <v>197</v>
      </c>
      <c r="E196" s="898">
        <f>GLOBAL_DER_FEV_2023!E196</f>
        <v>0.2</v>
      </c>
      <c r="F196" s="899">
        <f>GLOBAL_DER_FEV_2023!F196</f>
        <v>0.68</v>
      </c>
      <c r="G196" s="909">
        <f>GLOBAL_DER_FEV_2023!G196</f>
        <v>1.9679200000000003</v>
      </c>
      <c r="H196" s="901">
        <f>GLOBAL_DER_FEV_2023!H196</f>
        <v>0</v>
      </c>
      <c r="I196" s="901">
        <f>GLOBAL_DER_FEV_2023!I196</f>
        <v>0</v>
      </c>
      <c r="J196" s="902">
        <f>GLOBAL_DER_FEV_2023!J196</f>
        <v>0</v>
      </c>
      <c r="K196" s="903" t="s">
        <v>507</v>
      </c>
      <c r="L196" s="959"/>
      <c r="M196" s="1041">
        <f t="shared" si="12"/>
        <v>0</v>
      </c>
      <c r="N196" s="893">
        <f t="shared" si="15"/>
        <v>0</v>
      </c>
      <c r="O196" s="905"/>
      <c r="P196" s="58" t="str">
        <f>IF(N194&gt;0,"xx",IF(N194&gt;0,"xy",""))</f>
        <v/>
      </c>
      <c r="Q196" s="317" t="str">
        <f t="shared" si="11"/>
        <v/>
      </c>
      <c r="R196" s="317" t="str">
        <f t="shared" si="13"/>
        <v/>
      </c>
      <c r="S196" s="317" t="str">
        <f t="shared" si="14"/>
        <v/>
      </c>
      <c r="T196" s="317" t="str">
        <f>GLOBAL_DER_FEV_2023!S196</f>
        <v/>
      </c>
      <c r="W196" s="582">
        <v>0</v>
      </c>
      <c r="X196" s="580"/>
      <c r="Y196" s="583">
        <f>IF(GLOBAL_DER_FEV_2023!W196=0,0,IF(GLOBAL_DER_FEV_2023!W196&gt;0,"c","b"))</f>
        <v>0</v>
      </c>
    </row>
    <row r="197" spans="1:25" ht="13.5" hidden="1" thickBot="1" x14ac:dyDescent="0.25">
      <c r="A197" s="317">
        <v>531300</v>
      </c>
      <c r="B197" s="895">
        <v>531300</v>
      </c>
      <c r="C197" s="896" t="s">
        <v>184</v>
      </c>
      <c r="D197" s="906" t="s">
        <v>198</v>
      </c>
      <c r="E197" s="898">
        <f>GLOBAL_DER_FEV_2023!E197</f>
        <v>0</v>
      </c>
      <c r="F197" s="899">
        <f>GLOBAL_DER_FEV_2023!F197</f>
        <v>0</v>
      </c>
      <c r="G197" s="953">
        <f>GLOBAL_DER_FEV_2023!G197</f>
        <v>5.5859200000000007</v>
      </c>
      <c r="H197" s="901">
        <f>GLOBAL_DER_FEV_2023!H197</f>
        <v>108.49</v>
      </c>
      <c r="I197" s="901">
        <f>GLOBAL_DER_FEV_2023!I197</f>
        <v>114.07592</v>
      </c>
      <c r="J197" s="902">
        <f>GLOBAL_DER_FEV_2023!J197</f>
        <v>136.97</v>
      </c>
      <c r="K197" s="903" t="s">
        <v>10</v>
      </c>
      <c r="L197" s="1137"/>
      <c r="M197" s="1150">
        <f t="shared" si="12"/>
        <v>0</v>
      </c>
      <c r="N197" s="893">
        <f t="shared" si="15"/>
        <v>0</v>
      </c>
      <c r="O197" s="905"/>
      <c r="Q197" s="317" t="str">
        <f t="shared" si="11"/>
        <v/>
      </c>
      <c r="R197" s="317" t="str">
        <f t="shared" si="13"/>
        <v/>
      </c>
      <c r="S197" s="317" t="str">
        <f t="shared" si="14"/>
        <v/>
      </c>
      <c r="T197" s="317" t="str">
        <f>GLOBAL_DER_FEV_2023!S197</f>
        <v/>
      </c>
      <c r="W197" s="582">
        <v>0</v>
      </c>
      <c r="X197" s="580"/>
      <c r="Y197" s="583">
        <f>IF(GLOBAL_DER_FEV_2023!W197=0,0,IF(GLOBAL_DER_FEV_2023!W197&gt;0,"c","b"))</f>
        <v>0</v>
      </c>
    </row>
    <row r="198" spans="1:25" ht="13.5" hidden="1" thickBot="1" x14ac:dyDescent="0.25">
      <c r="A198" s="317" t="s">
        <v>147</v>
      </c>
      <c r="B198" s="895" t="s">
        <v>147</v>
      </c>
      <c r="C198" s="896"/>
      <c r="D198" s="957" t="s">
        <v>196</v>
      </c>
      <c r="E198" s="898">
        <f>GLOBAL_DER_FEV_2023!E198</f>
        <v>0</v>
      </c>
      <c r="F198" s="899">
        <f>GLOBAL_DER_FEV_2023!F198</f>
        <v>1.35</v>
      </c>
      <c r="G198" s="909">
        <f>GLOBAL_DER_FEV_2023!G198</f>
        <v>3.6180000000000003</v>
      </c>
      <c r="H198" s="901">
        <f>GLOBAL_DER_FEV_2023!H198</f>
        <v>0</v>
      </c>
      <c r="I198" s="901">
        <f>GLOBAL_DER_FEV_2023!I198</f>
        <v>0</v>
      </c>
      <c r="J198" s="902">
        <f>GLOBAL_DER_FEV_2023!J198</f>
        <v>0</v>
      </c>
      <c r="K198" s="903" t="s">
        <v>507</v>
      </c>
      <c r="L198" s="959"/>
      <c r="M198" s="1041">
        <f t="shared" si="12"/>
        <v>0</v>
      </c>
      <c r="N198" s="893">
        <f t="shared" si="15"/>
        <v>0</v>
      </c>
      <c r="O198" s="905"/>
      <c r="P198" s="58" t="str">
        <f>IF(N197&gt;0,"xx",IF(N197&gt;0,"xy",""))</f>
        <v/>
      </c>
      <c r="Q198" s="317" t="str">
        <f t="shared" si="11"/>
        <v/>
      </c>
      <c r="R198" s="317" t="str">
        <f t="shared" si="13"/>
        <v/>
      </c>
      <c r="S198" s="317" t="str">
        <f t="shared" si="14"/>
        <v/>
      </c>
      <c r="T198" s="317" t="str">
        <f>GLOBAL_DER_FEV_2023!S198</f>
        <v/>
      </c>
      <c r="W198" s="582">
        <v>0</v>
      </c>
      <c r="X198" s="580"/>
      <c r="Y198" s="583">
        <f>IF(GLOBAL_DER_FEV_2023!W198=0,0,IF(GLOBAL_DER_FEV_2023!W198&gt;0,"c","b"))</f>
        <v>0</v>
      </c>
    </row>
    <row r="199" spans="1:25" ht="13.5" hidden="1" thickBot="1" x14ac:dyDescent="0.25">
      <c r="A199" s="317" t="s">
        <v>147</v>
      </c>
      <c r="B199" s="895" t="s">
        <v>147</v>
      </c>
      <c r="C199" s="896"/>
      <c r="D199" s="957" t="s">
        <v>197</v>
      </c>
      <c r="E199" s="898">
        <f>GLOBAL_DER_FEV_2023!E199</f>
        <v>0.2</v>
      </c>
      <c r="F199" s="899">
        <f>GLOBAL_DER_FEV_2023!F199</f>
        <v>0.68</v>
      </c>
      <c r="G199" s="909">
        <f>GLOBAL_DER_FEV_2023!G199</f>
        <v>1.9679200000000003</v>
      </c>
      <c r="H199" s="901">
        <f>GLOBAL_DER_FEV_2023!H199</f>
        <v>0</v>
      </c>
      <c r="I199" s="901">
        <f>GLOBAL_DER_FEV_2023!I199</f>
        <v>0</v>
      </c>
      <c r="J199" s="902">
        <f>GLOBAL_DER_FEV_2023!J199</f>
        <v>0</v>
      </c>
      <c r="K199" s="903" t="s">
        <v>507</v>
      </c>
      <c r="L199" s="959"/>
      <c r="M199" s="1041">
        <f t="shared" si="12"/>
        <v>0</v>
      </c>
      <c r="N199" s="893">
        <f t="shared" si="15"/>
        <v>0</v>
      </c>
      <c r="O199" s="905"/>
      <c r="P199" s="58" t="str">
        <f>IF(N197&gt;0,"xx",IF(N197&gt;0,"xy",""))</f>
        <v/>
      </c>
      <c r="Q199" s="317" t="str">
        <f t="shared" si="11"/>
        <v/>
      </c>
      <c r="R199" s="317" t="str">
        <f t="shared" si="13"/>
        <v/>
      </c>
      <c r="S199" s="317" t="str">
        <f t="shared" si="14"/>
        <v/>
      </c>
      <c r="T199" s="317" t="str">
        <f>GLOBAL_DER_FEV_2023!S199</f>
        <v/>
      </c>
      <c r="W199" s="582">
        <v>0</v>
      </c>
      <c r="X199" s="580"/>
      <c r="Y199" s="583">
        <f>IF(GLOBAL_DER_FEV_2023!W199=0,0,IF(GLOBAL_DER_FEV_2023!W199&gt;0,"c","b"))</f>
        <v>0</v>
      </c>
    </row>
    <row r="200" spans="1:25" ht="13.5" hidden="1" thickBot="1" x14ac:dyDescent="0.25">
      <c r="A200" s="317">
        <v>532000</v>
      </c>
      <c r="B200" s="895">
        <v>532000</v>
      </c>
      <c r="C200" s="896"/>
      <c r="D200" s="906" t="s">
        <v>199</v>
      </c>
      <c r="E200" s="907">
        <f>GLOBAL_DER_FEV_2023!E200</f>
        <v>0</v>
      </c>
      <c r="F200" s="908">
        <f>GLOBAL_DER_FEV_2023!F200</f>
        <v>2.2000000000000002</v>
      </c>
      <c r="G200" s="909">
        <f>GLOBAL_DER_FEV_2023!G200</f>
        <v>5.8960000000000008</v>
      </c>
      <c r="H200" s="901">
        <f>GLOBAL_DER_FEV_2023!H200</f>
        <v>121.99</v>
      </c>
      <c r="I200" s="901">
        <f>GLOBAL_DER_FEV_2023!I200</f>
        <v>127.886</v>
      </c>
      <c r="J200" s="902">
        <f>GLOBAL_DER_FEV_2023!J200</f>
        <v>153.55000000000001</v>
      </c>
      <c r="K200" s="903" t="s">
        <v>10</v>
      </c>
      <c r="L200" s="1139"/>
      <c r="M200" s="1151">
        <f t="shared" si="12"/>
        <v>0</v>
      </c>
      <c r="N200" s="893">
        <f t="shared" si="15"/>
        <v>0</v>
      </c>
      <c r="O200" s="905"/>
      <c r="Q200" s="317" t="str">
        <f t="shared" si="11"/>
        <v/>
      </c>
      <c r="R200" s="317" t="str">
        <f t="shared" si="13"/>
        <v/>
      </c>
      <c r="S200" s="317" t="str">
        <f t="shared" si="14"/>
        <v/>
      </c>
      <c r="T200" s="317" t="str">
        <f>GLOBAL_DER_FEV_2023!S200</f>
        <v/>
      </c>
      <c r="W200" s="582">
        <v>0</v>
      </c>
      <c r="X200" s="580"/>
      <c r="Y200" s="583">
        <f>IF(GLOBAL_DER_FEV_2023!W200=0,0,IF(GLOBAL_DER_FEV_2023!W200&gt;0,"c","b"))</f>
        <v>0</v>
      </c>
    </row>
    <row r="201" spans="1:25" ht="34.5" hidden="1" thickBot="1" x14ac:dyDescent="0.25">
      <c r="A201" s="317">
        <v>96398</v>
      </c>
      <c r="B201" s="895">
        <v>96398</v>
      </c>
      <c r="C201" s="896" t="s">
        <v>596</v>
      </c>
      <c r="D201" s="906" t="s">
        <v>1914</v>
      </c>
      <c r="E201" s="907">
        <f>GLOBAL_DER_FEV_2023!E201</f>
        <v>0</v>
      </c>
      <c r="F201" s="908">
        <f>GLOBAL_DER_FEV_2023!F201</f>
        <v>2.4</v>
      </c>
      <c r="G201" s="909">
        <f>GLOBAL_DER_FEV_2023!G201</f>
        <v>6.4320000000000004</v>
      </c>
      <c r="H201" s="901">
        <f>GLOBAL_DER_FEV_2023!H201</f>
        <v>246.41</v>
      </c>
      <c r="I201" s="901">
        <f>GLOBAL_DER_FEV_2023!I201</f>
        <v>252.84199999999998</v>
      </c>
      <c r="J201" s="902">
        <f>GLOBAL_DER_FEV_2023!J201</f>
        <v>303.58999999999997</v>
      </c>
      <c r="K201" s="903" t="s">
        <v>10</v>
      </c>
      <c r="L201" s="1139"/>
      <c r="M201" s="1151">
        <f t="shared" si="12"/>
        <v>0</v>
      </c>
      <c r="N201" s="893">
        <f t="shared" si="15"/>
        <v>0</v>
      </c>
      <c r="O201" s="905"/>
      <c r="Q201" s="317" t="str">
        <f t="shared" si="11"/>
        <v/>
      </c>
      <c r="R201" s="317" t="str">
        <f t="shared" si="13"/>
        <v/>
      </c>
      <c r="S201" s="317" t="str">
        <f t="shared" si="14"/>
        <v/>
      </c>
      <c r="T201" s="317" t="str">
        <f>GLOBAL_DER_FEV_2023!S201</f>
        <v/>
      </c>
      <c r="W201" s="582">
        <v>0</v>
      </c>
      <c r="X201" s="580"/>
      <c r="Y201" s="583">
        <f>IF(GLOBAL_DER_FEV_2023!W201=0,0,IF(GLOBAL_DER_FEV_2023!W201&gt;0,"c","b"))</f>
        <v>0</v>
      </c>
    </row>
    <row r="202" spans="1:25" ht="15" hidden="1" customHeight="1" x14ac:dyDescent="0.2">
      <c r="A202" s="640" t="s">
        <v>165</v>
      </c>
      <c r="B202" s="913" t="s">
        <v>165</v>
      </c>
      <c r="C202" s="914"/>
      <c r="D202" s="915" t="s">
        <v>435</v>
      </c>
      <c r="E202" s="916">
        <f>GLOBAL_DER_FEV_2023!E202</f>
        <v>0</v>
      </c>
      <c r="F202" s="917">
        <f>GLOBAL_DER_FEV_2023!F202</f>
        <v>0</v>
      </c>
      <c r="G202" s="916">
        <f>GLOBAL_DER_FEV_2023!G202</f>
        <v>0</v>
      </c>
      <c r="H202" s="919">
        <f>GLOBAL_DER_FEV_2023!H202</f>
        <v>0</v>
      </c>
      <c r="I202" s="919">
        <f>GLOBAL_DER_FEV_2023!I202</f>
        <v>0</v>
      </c>
      <c r="J202" s="919">
        <f>GLOBAL_DER_FEV_2023!J202</f>
        <v>0</v>
      </c>
      <c r="K202" s="962" t="s">
        <v>507</v>
      </c>
      <c r="L202" s="921"/>
      <c r="M202" s="922"/>
      <c r="N202" s="923">
        <f t="shared" si="15"/>
        <v>0</v>
      </c>
      <c r="O202" s="905"/>
      <c r="P202" s="58" t="str">
        <f>IF(OR(SUM(N203:N227)&gt;0,SUM(N203:N227)&gt;0),"y","")</f>
        <v/>
      </c>
      <c r="Q202" s="317" t="str">
        <f t="shared" si="11"/>
        <v/>
      </c>
      <c r="R202" s="317" t="str">
        <f t="shared" si="13"/>
        <v/>
      </c>
      <c r="S202" s="317" t="str">
        <f t="shared" si="14"/>
        <v/>
      </c>
      <c r="T202" s="317" t="str">
        <f>GLOBAL_DER_FEV_2023!S202</f>
        <v/>
      </c>
      <c r="W202" s="582">
        <v>0</v>
      </c>
      <c r="X202" s="580"/>
      <c r="Y202" s="583">
        <f>IF(GLOBAL_DER_FEV_2023!W202=0,0,IF(GLOBAL_DER_FEV_2023!W202&gt;0,"c","b"))</f>
        <v>0</v>
      </c>
    </row>
    <row r="203" spans="1:25" ht="15" hidden="1" customHeight="1" x14ac:dyDescent="0.2">
      <c r="A203" s="640" t="s">
        <v>165</v>
      </c>
      <c r="B203" s="1036" t="str">
        <f>GLOBAL_DER_FEV_2023!B203</f>
        <v/>
      </c>
      <c r="C203" s="1072" t="str">
        <f>GLOBAL_DER_FEV_2023!C203</f>
        <v/>
      </c>
      <c r="D203" s="1141">
        <f>GLOBAL_DER_FEV_2023!D203</f>
        <v>0</v>
      </c>
      <c r="E203" s="907">
        <f>GLOBAL_DER_FEV_2023!E203</f>
        <v>0</v>
      </c>
      <c r="F203" s="908">
        <f>GLOBAL_DER_FEV_2023!F203</f>
        <v>0</v>
      </c>
      <c r="G203" s="912">
        <f>GLOBAL_DER_FEV_2023!G203</f>
        <v>0</v>
      </c>
      <c r="H203" s="901">
        <f>GLOBAL_DER_FEV_2023!H203</f>
        <v>0</v>
      </c>
      <c r="I203" s="901">
        <f>GLOBAL_DER_FEV_2023!I203</f>
        <v>0</v>
      </c>
      <c r="J203" s="902">
        <f>GLOBAL_DER_FEV_2023!J203</f>
        <v>0</v>
      </c>
      <c r="K203" s="903" t="str">
        <f>GLOBAL_DER_FEV_2023!K203</f>
        <v xml:space="preserve">     </v>
      </c>
      <c r="L203" s="1137"/>
      <c r="M203" s="1151">
        <f t="shared" si="12"/>
        <v>0</v>
      </c>
      <c r="N203" s="893">
        <f t="shared" si="15"/>
        <v>0</v>
      </c>
      <c r="O203" s="905"/>
      <c r="Q203" s="317" t="str">
        <f t="shared" si="11"/>
        <v/>
      </c>
      <c r="R203" s="317" t="str">
        <f t="shared" si="13"/>
        <v/>
      </c>
      <c r="S203" s="317" t="str">
        <f t="shared" si="14"/>
        <v/>
      </c>
      <c r="T203" s="317" t="str">
        <f>GLOBAL_DER_FEV_2023!S203</f>
        <v/>
      </c>
      <c r="W203" s="582">
        <v>0</v>
      </c>
      <c r="X203" s="580"/>
      <c r="Y203" s="583">
        <f>IF(GLOBAL_DER_FEV_2023!W203=0,0,IF(GLOBAL_DER_FEV_2023!W203&gt;0,"c","b"))</f>
        <v>0</v>
      </c>
    </row>
    <row r="204" spans="1:25" ht="15" hidden="1" customHeight="1" x14ac:dyDescent="0.2">
      <c r="A204" s="640" t="s">
        <v>165</v>
      </c>
      <c r="B204" s="1036" t="str">
        <f>GLOBAL_DER_FEV_2023!B204</f>
        <v/>
      </c>
      <c r="C204" s="1072" t="str">
        <f>GLOBAL_DER_FEV_2023!C204</f>
        <v/>
      </c>
      <c r="D204" s="1141">
        <f>GLOBAL_DER_FEV_2023!D204</f>
        <v>0</v>
      </c>
      <c r="E204" s="907">
        <f>GLOBAL_DER_FEV_2023!E204</f>
        <v>0</v>
      </c>
      <c r="F204" s="908">
        <f>GLOBAL_DER_FEV_2023!F204</f>
        <v>0</v>
      </c>
      <c r="G204" s="912">
        <f>GLOBAL_DER_FEV_2023!G204</f>
        <v>0</v>
      </c>
      <c r="H204" s="901">
        <f>GLOBAL_DER_FEV_2023!H204</f>
        <v>0</v>
      </c>
      <c r="I204" s="901">
        <f>GLOBAL_DER_FEV_2023!I204</f>
        <v>0</v>
      </c>
      <c r="J204" s="890">
        <f>GLOBAL_DER_FEV_2023!J204</f>
        <v>0</v>
      </c>
      <c r="K204" s="903" t="str">
        <f>GLOBAL_DER_FEV_2023!K204</f>
        <v xml:space="preserve">     </v>
      </c>
      <c r="L204" s="1137"/>
      <c r="M204" s="1151">
        <f t="shared" si="12"/>
        <v>0</v>
      </c>
      <c r="N204" s="932">
        <f t="shared" si="15"/>
        <v>0</v>
      </c>
      <c r="O204" s="905"/>
      <c r="Q204" s="317" t="str">
        <f t="shared" si="11"/>
        <v/>
      </c>
      <c r="R204" s="317" t="str">
        <f t="shared" si="13"/>
        <v/>
      </c>
      <c r="S204" s="317" t="str">
        <f t="shared" si="14"/>
        <v/>
      </c>
      <c r="T204" s="317" t="str">
        <f>GLOBAL_DER_FEV_2023!S204</f>
        <v/>
      </c>
      <c r="W204" s="582">
        <v>0</v>
      </c>
      <c r="X204" s="580"/>
      <c r="Y204" s="583">
        <f>IF(GLOBAL_DER_FEV_2023!W204=0,0,IF(GLOBAL_DER_FEV_2023!W204&gt;0,"c","b"))</f>
        <v>0</v>
      </c>
    </row>
    <row r="205" spans="1:25" ht="15" hidden="1" customHeight="1" x14ac:dyDescent="0.2">
      <c r="A205" s="640" t="s">
        <v>165</v>
      </c>
      <c r="B205" s="1036" t="str">
        <f>GLOBAL_DER_FEV_2023!B205</f>
        <v/>
      </c>
      <c r="C205" s="1072" t="str">
        <f>GLOBAL_DER_FEV_2023!C205</f>
        <v/>
      </c>
      <c r="D205" s="1141">
        <f>GLOBAL_DER_FEV_2023!D205</f>
        <v>0</v>
      </c>
      <c r="E205" s="907">
        <f>GLOBAL_DER_FEV_2023!E205</f>
        <v>0</v>
      </c>
      <c r="F205" s="908">
        <f>GLOBAL_DER_FEV_2023!F205</f>
        <v>0</v>
      </c>
      <c r="G205" s="912">
        <f>GLOBAL_DER_FEV_2023!G205</f>
        <v>0</v>
      </c>
      <c r="H205" s="901">
        <f>GLOBAL_DER_FEV_2023!H205</f>
        <v>0</v>
      </c>
      <c r="I205" s="901">
        <f>GLOBAL_DER_FEV_2023!I205</f>
        <v>0</v>
      </c>
      <c r="J205" s="890">
        <f>GLOBAL_DER_FEV_2023!J205</f>
        <v>0</v>
      </c>
      <c r="K205" s="903" t="str">
        <f>GLOBAL_DER_FEV_2023!K205</f>
        <v xml:space="preserve">     </v>
      </c>
      <c r="L205" s="1137"/>
      <c r="M205" s="1151">
        <f t="shared" si="12"/>
        <v>0</v>
      </c>
      <c r="N205" s="932">
        <f t="shared" si="15"/>
        <v>0</v>
      </c>
      <c r="O205" s="905"/>
      <c r="Q205" s="317" t="str">
        <f t="shared" si="11"/>
        <v/>
      </c>
      <c r="R205" s="317" t="str">
        <f t="shared" si="13"/>
        <v/>
      </c>
      <c r="S205" s="317" t="str">
        <f t="shared" si="14"/>
        <v/>
      </c>
      <c r="T205" s="317" t="str">
        <f>GLOBAL_DER_FEV_2023!S205</f>
        <v/>
      </c>
      <c r="W205" s="582">
        <v>0</v>
      </c>
      <c r="X205" s="580"/>
      <c r="Y205" s="583">
        <f>IF(GLOBAL_DER_FEV_2023!W205=0,0,IF(GLOBAL_DER_FEV_2023!W205&gt;0,"c","b"))</f>
        <v>0</v>
      </c>
    </row>
    <row r="206" spans="1:25" ht="15" hidden="1" customHeight="1" x14ac:dyDescent="0.2">
      <c r="A206" s="640" t="s">
        <v>165</v>
      </c>
      <c r="B206" s="1036" t="str">
        <f>GLOBAL_DER_FEV_2023!B206</f>
        <v/>
      </c>
      <c r="C206" s="1072" t="str">
        <f>GLOBAL_DER_FEV_2023!C206</f>
        <v/>
      </c>
      <c r="D206" s="1141">
        <f>GLOBAL_DER_FEV_2023!D206</f>
        <v>0</v>
      </c>
      <c r="E206" s="907">
        <f>GLOBAL_DER_FEV_2023!E206</f>
        <v>0</v>
      </c>
      <c r="F206" s="908">
        <f>GLOBAL_DER_FEV_2023!F206</f>
        <v>0</v>
      </c>
      <c r="G206" s="912">
        <f>GLOBAL_DER_FEV_2023!G206</f>
        <v>0</v>
      </c>
      <c r="H206" s="901">
        <f>GLOBAL_DER_FEV_2023!H206</f>
        <v>0</v>
      </c>
      <c r="I206" s="901">
        <f>GLOBAL_DER_FEV_2023!I206</f>
        <v>0</v>
      </c>
      <c r="J206" s="890">
        <f>GLOBAL_DER_FEV_2023!J206</f>
        <v>0</v>
      </c>
      <c r="K206" s="903" t="str">
        <f>GLOBAL_DER_FEV_2023!K206</f>
        <v xml:space="preserve">     </v>
      </c>
      <c r="L206" s="1137"/>
      <c r="M206" s="1151">
        <f t="shared" si="12"/>
        <v>0</v>
      </c>
      <c r="N206" s="932">
        <f t="shared" si="15"/>
        <v>0</v>
      </c>
      <c r="O206" s="905"/>
      <c r="Q206" s="317" t="str">
        <f t="shared" si="11"/>
        <v/>
      </c>
      <c r="R206" s="317" t="str">
        <f t="shared" si="13"/>
        <v/>
      </c>
      <c r="S206" s="317" t="str">
        <f t="shared" si="14"/>
        <v/>
      </c>
      <c r="T206" s="317" t="str">
        <f>GLOBAL_DER_FEV_2023!S206</f>
        <v/>
      </c>
      <c r="W206" s="582">
        <v>0</v>
      </c>
      <c r="X206" s="580"/>
      <c r="Y206" s="583">
        <f>IF(GLOBAL_DER_FEV_2023!W206=0,0,IF(GLOBAL_DER_FEV_2023!W206&gt;0,"c","b"))</f>
        <v>0</v>
      </c>
    </row>
    <row r="207" spans="1:25" ht="15" hidden="1" customHeight="1" x14ac:dyDescent="0.2">
      <c r="A207" s="640" t="s">
        <v>165</v>
      </c>
      <c r="B207" s="1036" t="str">
        <f>GLOBAL_DER_FEV_2023!B207</f>
        <v/>
      </c>
      <c r="C207" s="1072" t="str">
        <f>GLOBAL_DER_FEV_2023!C207</f>
        <v/>
      </c>
      <c r="D207" s="1141">
        <f>GLOBAL_DER_FEV_2023!D207</f>
        <v>0</v>
      </c>
      <c r="E207" s="907">
        <f>GLOBAL_DER_FEV_2023!E207</f>
        <v>0</v>
      </c>
      <c r="F207" s="908">
        <f>GLOBAL_DER_FEV_2023!F207</f>
        <v>0</v>
      </c>
      <c r="G207" s="912">
        <f>GLOBAL_DER_FEV_2023!G207</f>
        <v>0</v>
      </c>
      <c r="H207" s="901">
        <f>GLOBAL_DER_FEV_2023!H207</f>
        <v>0</v>
      </c>
      <c r="I207" s="901">
        <f>GLOBAL_DER_FEV_2023!I207</f>
        <v>0</v>
      </c>
      <c r="J207" s="890">
        <f>GLOBAL_DER_FEV_2023!J207</f>
        <v>0</v>
      </c>
      <c r="K207" s="903" t="str">
        <f>GLOBAL_DER_FEV_2023!K207</f>
        <v xml:space="preserve">     </v>
      </c>
      <c r="L207" s="1137"/>
      <c r="M207" s="1151">
        <f t="shared" si="12"/>
        <v>0</v>
      </c>
      <c r="N207" s="932">
        <f t="shared" si="15"/>
        <v>0</v>
      </c>
      <c r="O207" s="905"/>
      <c r="Q207" s="317" t="str">
        <f t="shared" si="11"/>
        <v/>
      </c>
      <c r="R207" s="317" t="str">
        <f t="shared" si="13"/>
        <v/>
      </c>
      <c r="S207" s="317" t="str">
        <f t="shared" si="14"/>
        <v/>
      </c>
      <c r="T207" s="317" t="str">
        <f>GLOBAL_DER_FEV_2023!S207</f>
        <v/>
      </c>
      <c r="W207" s="582">
        <v>0</v>
      </c>
      <c r="X207" s="580"/>
      <c r="Y207" s="583">
        <f>IF(GLOBAL_DER_FEV_2023!W207=0,0,IF(GLOBAL_DER_FEV_2023!W207&gt;0,"c","b"))</f>
        <v>0</v>
      </c>
    </row>
    <row r="208" spans="1:25" ht="15" hidden="1" customHeight="1" x14ac:dyDescent="0.2">
      <c r="A208" s="640" t="s">
        <v>165</v>
      </c>
      <c r="B208" s="1036" t="str">
        <f>GLOBAL_DER_FEV_2023!B208</f>
        <v/>
      </c>
      <c r="C208" s="1072" t="str">
        <f>GLOBAL_DER_FEV_2023!C208</f>
        <v/>
      </c>
      <c r="D208" s="1141">
        <f>GLOBAL_DER_FEV_2023!D208</f>
        <v>0</v>
      </c>
      <c r="E208" s="907">
        <f>GLOBAL_DER_FEV_2023!E208</f>
        <v>0</v>
      </c>
      <c r="F208" s="908">
        <f>GLOBAL_DER_FEV_2023!F208</f>
        <v>0</v>
      </c>
      <c r="G208" s="912">
        <f>GLOBAL_DER_FEV_2023!G208</f>
        <v>0</v>
      </c>
      <c r="H208" s="901">
        <f>GLOBAL_DER_FEV_2023!H208</f>
        <v>0</v>
      </c>
      <c r="I208" s="901">
        <f>GLOBAL_DER_FEV_2023!I208</f>
        <v>0</v>
      </c>
      <c r="J208" s="890">
        <f>GLOBAL_DER_FEV_2023!J208</f>
        <v>0</v>
      </c>
      <c r="K208" s="903" t="str">
        <f>GLOBAL_DER_FEV_2023!K208</f>
        <v xml:space="preserve">     </v>
      </c>
      <c r="L208" s="1137"/>
      <c r="M208" s="1151">
        <f t="shared" si="12"/>
        <v>0</v>
      </c>
      <c r="N208" s="932">
        <f t="shared" si="15"/>
        <v>0</v>
      </c>
      <c r="O208" s="905"/>
      <c r="Q208" s="317" t="str">
        <f t="shared" si="11"/>
        <v/>
      </c>
      <c r="R208" s="317" t="str">
        <f t="shared" si="13"/>
        <v/>
      </c>
      <c r="S208" s="317" t="str">
        <f t="shared" si="14"/>
        <v/>
      </c>
      <c r="T208" s="317" t="str">
        <f>GLOBAL_DER_FEV_2023!S208</f>
        <v/>
      </c>
      <c r="W208" s="582">
        <v>0</v>
      </c>
      <c r="X208" s="580"/>
      <c r="Y208" s="583">
        <f>IF(GLOBAL_DER_FEV_2023!W208=0,0,IF(GLOBAL_DER_FEV_2023!W208&gt;0,"c","b"))</f>
        <v>0</v>
      </c>
    </row>
    <row r="209" spans="1:25" ht="15" hidden="1" customHeight="1" x14ac:dyDescent="0.2">
      <c r="A209" s="640" t="s">
        <v>165</v>
      </c>
      <c r="B209" s="1036" t="str">
        <f>GLOBAL_DER_FEV_2023!B209</f>
        <v/>
      </c>
      <c r="C209" s="1072" t="str">
        <f>GLOBAL_DER_FEV_2023!C209</f>
        <v/>
      </c>
      <c r="D209" s="1141">
        <f>GLOBAL_DER_FEV_2023!D209</f>
        <v>0</v>
      </c>
      <c r="E209" s="907">
        <f>GLOBAL_DER_FEV_2023!E209</f>
        <v>0</v>
      </c>
      <c r="F209" s="908">
        <f>GLOBAL_DER_FEV_2023!F209</f>
        <v>0</v>
      </c>
      <c r="G209" s="912">
        <f>GLOBAL_DER_FEV_2023!G209</f>
        <v>0</v>
      </c>
      <c r="H209" s="901">
        <f>GLOBAL_DER_FEV_2023!H209</f>
        <v>0</v>
      </c>
      <c r="I209" s="901">
        <f>GLOBAL_DER_FEV_2023!I209</f>
        <v>0</v>
      </c>
      <c r="J209" s="890">
        <f>GLOBAL_DER_FEV_2023!J209</f>
        <v>0</v>
      </c>
      <c r="K209" s="903" t="str">
        <f>GLOBAL_DER_FEV_2023!K209</f>
        <v xml:space="preserve">     </v>
      </c>
      <c r="L209" s="1137"/>
      <c r="M209" s="1151">
        <f t="shared" si="12"/>
        <v>0</v>
      </c>
      <c r="N209" s="932">
        <f t="shared" si="15"/>
        <v>0</v>
      </c>
      <c r="O209" s="905"/>
      <c r="Q209" s="317" t="str">
        <f t="shared" si="11"/>
        <v/>
      </c>
      <c r="R209" s="317" t="str">
        <f t="shared" si="13"/>
        <v/>
      </c>
      <c r="S209" s="317" t="str">
        <f t="shared" si="14"/>
        <v/>
      </c>
      <c r="T209" s="317" t="str">
        <f>GLOBAL_DER_FEV_2023!S209</f>
        <v/>
      </c>
      <c r="W209" s="582">
        <v>0</v>
      </c>
      <c r="X209" s="580"/>
      <c r="Y209" s="583">
        <f>IF(GLOBAL_DER_FEV_2023!W209=0,0,IF(GLOBAL_DER_FEV_2023!W209&gt;0,"c","b"))</f>
        <v>0</v>
      </c>
    </row>
    <row r="210" spans="1:25" ht="15" hidden="1" customHeight="1" x14ac:dyDescent="0.2">
      <c r="A210" s="640" t="s">
        <v>165</v>
      </c>
      <c r="B210" s="1036" t="str">
        <f>GLOBAL_DER_FEV_2023!B210</f>
        <v/>
      </c>
      <c r="C210" s="1072" t="str">
        <f>GLOBAL_DER_FEV_2023!C210</f>
        <v/>
      </c>
      <c r="D210" s="1141">
        <f>GLOBAL_DER_FEV_2023!D210</f>
        <v>0</v>
      </c>
      <c r="E210" s="907">
        <f>GLOBAL_DER_FEV_2023!E210</f>
        <v>0</v>
      </c>
      <c r="F210" s="908">
        <f>GLOBAL_DER_FEV_2023!F210</f>
        <v>0</v>
      </c>
      <c r="G210" s="912">
        <f>GLOBAL_DER_FEV_2023!G210</f>
        <v>0</v>
      </c>
      <c r="H210" s="901">
        <f>GLOBAL_DER_FEV_2023!H210</f>
        <v>0</v>
      </c>
      <c r="I210" s="901">
        <f>GLOBAL_DER_FEV_2023!I210</f>
        <v>0</v>
      </c>
      <c r="J210" s="890">
        <f>GLOBAL_DER_FEV_2023!J210</f>
        <v>0</v>
      </c>
      <c r="K210" s="903" t="str">
        <f>GLOBAL_DER_FEV_2023!K210</f>
        <v xml:space="preserve">     </v>
      </c>
      <c r="L210" s="1137"/>
      <c r="M210" s="1151">
        <f t="shared" si="12"/>
        <v>0</v>
      </c>
      <c r="N210" s="932">
        <f t="shared" si="15"/>
        <v>0</v>
      </c>
      <c r="O210" s="905"/>
      <c r="Q210" s="317" t="str">
        <f t="shared" si="11"/>
        <v/>
      </c>
      <c r="R210" s="317" t="str">
        <f t="shared" si="13"/>
        <v/>
      </c>
      <c r="S210" s="317" t="str">
        <f t="shared" si="14"/>
        <v/>
      </c>
      <c r="T210" s="317" t="str">
        <f>GLOBAL_DER_FEV_2023!S210</f>
        <v/>
      </c>
      <c r="W210" s="582">
        <v>0</v>
      </c>
      <c r="X210" s="580"/>
      <c r="Y210" s="583">
        <f>IF(GLOBAL_DER_FEV_2023!W210=0,0,IF(GLOBAL_DER_FEV_2023!W210&gt;0,"c","b"))</f>
        <v>0</v>
      </c>
    </row>
    <row r="211" spans="1:25" ht="15" hidden="1" customHeight="1" x14ac:dyDescent="0.2">
      <c r="A211" s="640" t="s">
        <v>165</v>
      </c>
      <c r="B211" s="1036" t="str">
        <f>GLOBAL_DER_FEV_2023!B211</f>
        <v/>
      </c>
      <c r="C211" s="1072" t="str">
        <f>GLOBAL_DER_FEV_2023!C211</f>
        <v/>
      </c>
      <c r="D211" s="1141">
        <f>GLOBAL_DER_FEV_2023!D211</f>
        <v>0</v>
      </c>
      <c r="E211" s="907">
        <f>GLOBAL_DER_FEV_2023!E211</f>
        <v>0</v>
      </c>
      <c r="F211" s="908">
        <f>GLOBAL_DER_FEV_2023!F211</f>
        <v>0</v>
      </c>
      <c r="G211" s="912">
        <f>GLOBAL_DER_FEV_2023!G211</f>
        <v>0</v>
      </c>
      <c r="H211" s="901">
        <f>GLOBAL_DER_FEV_2023!H211</f>
        <v>0</v>
      </c>
      <c r="I211" s="901">
        <f>GLOBAL_DER_FEV_2023!I211</f>
        <v>0</v>
      </c>
      <c r="J211" s="890">
        <f>GLOBAL_DER_FEV_2023!J211</f>
        <v>0</v>
      </c>
      <c r="K211" s="903" t="str">
        <f>GLOBAL_DER_FEV_2023!K211</f>
        <v xml:space="preserve">     </v>
      </c>
      <c r="L211" s="1137"/>
      <c r="M211" s="1151">
        <f t="shared" si="12"/>
        <v>0</v>
      </c>
      <c r="N211" s="932">
        <f t="shared" si="15"/>
        <v>0</v>
      </c>
      <c r="O211" s="905"/>
      <c r="Q211" s="317" t="str">
        <f t="shared" ref="Q211:Q274" si="16">IF(P211="X","x",IF(P211="xx","x",IF(P211="xy","x",IF(P211="y","x",IF(OR(N211&gt;0,N211&gt;0),"x","")))))</f>
        <v/>
      </c>
      <c r="R211" s="317" t="str">
        <f t="shared" si="13"/>
        <v/>
      </c>
      <c r="S211" s="317" t="str">
        <f t="shared" si="14"/>
        <v/>
      </c>
      <c r="T211" s="317" t="str">
        <f>GLOBAL_DER_FEV_2023!S211</f>
        <v/>
      </c>
      <c r="W211" s="582">
        <v>0</v>
      </c>
      <c r="X211" s="580"/>
      <c r="Y211" s="583">
        <f>IF(GLOBAL_DER_FEV_2023!W211=0,0,IF(GLOBAL_DER_FEV_2023!W211&gt;0,"c","b"))</f>
        <v>0</v>
      </c>
    </row>
    <row r="212" spans="1:25" ht="15" hidden="1" customHeight="1" x14ac:dyDescent="0.2">
      <c r="A212" s="640" t="s">
        <v>165</v>
      </c>
      <c r="B212" s="1036" t="str">
        <f>GLOBAL_DER_FEV_2023!B212</f>
        <v/>
      </c>
      <c r="C212" s="1072" t="str">
        <f>GLOBAL_DER_FEV_2023!C212</f>
        <v/>
      </c>
      <c r="D212" s="1141">
        <f>GLOBAL_DER_FEV_2023!D212</f>
        <v>0</v>
      </c>
      <c r="E212" s="907">
        <f>GLOBAL_DER_FEV_2023!E212</f>
        <v>0</v>
      </c>
      <c r="F212" s="908">
        <f>GLOBAL_DER_FEV_2023!F212</f>
        <v>0</v>
      </c>
      <c r="G212" s="912">
        <f>GLOBAL_DER_FEV_2023!G212</f>
        <v>0</v>
      </c>
      <c r="H212" s="901">
        <f>GLOBAL_DER_FEV_2023!H212</f>
        <v>0</v>
      </c>
      <c r="I212" s="901">
        <f>GLOBAL_DER_FEV_2023!I212</f>
        <v>0</v>
      </c>
      <c r="J212" s="890">
        <f>GLOBAL_DER_FEV_2023!J212</f>
        <v>0</v>
      </c>
      <c r="K212" s="903" t="str">
        <f>GLOBAL_DER_FEV_2023!K212</f>
        <v xml:space="preserve">     </v>
      </c>
      <c r="L212" s="1137"/>
      <c r="M212" s="1151">
        <f t="shared" ref="M212:M227" si="17">IF(L212=0,0,ROUND(J212,2))</f>
        <v>0</v>
      </c>
      <c r="N212" s="932">
        <f t="shared" si="15"/>
        <v>0</v>
      </c>
      <c r="O212" s="905"/>
      <c r="Q212" s="317" t="str">
        <f t="shared" si="16"/>
        <v/>
      </c>
      <c r="R212" s="317" t="str">
        <f t="shared" si="13"/>
        <v/>
      </c>
      <c r="S212" s="317" t="str">
        <f t="shared" si="14"/>
        <v/>
      </c>
      <c r="T212" s="317" t="str">
        <f>GLOBAL_DER_FEV_2023!S212</f>
        <v/>
      </c>
      <c r="W212" s="582">
        <v>0</v>
      </c>
      <c r="X212" s="580"/>
      <c r="Y212" s="583">
        <f>IF(GLOBAL_DER_FEV_2023!W212=0,0,IF(GLOBAL_DER_FEV_2023!W212&gt;0,"c","b"))</f>
        <v>0</v>
      </c>
    </row>
    <row r="213" spans="1:25" ht="15" hidden="1" customHeight="1" x14ac:dyDescent="0.2">
      <c r="A213" s="640" t="s">
        <v>165</v>
      </c>
      <c r="B213" s="1036" t="str">
        <f>GLOBAL_DER_FEV_2023!B213</f>
        <v/>
      </c>
      <c r="C213" s="1072" t="str">
        <f>GLOBAL_DER_FEV_2023!C213</f>
        <v/>
      </c>
      <c r="D213" s="1141">
        <f>GLOBAL_DER_FEV_2023!D213</f>
        <v>0</v>
      </c>
      <c r="E213" s="907">
        <f>GLOBAL_DER_FEV_2023!E213</f>
        <v>0</v>
      </c>
      <c r="F213" s="908">
        <f>GLOBAL_DER_FEV_2023!F213</f>
        <v>0</v>
      </c>
      <c r="G213" s="912">
        <f>GLOBAL_DER_FEV_2023!G213</f>
        <v>0</v>
      </c>
      <c r="H213" s="901">
        <f>GLOBAL_DER_FEV_2023!H213</f>
        <v>0</v>
      </c>
      <c r="I213" s="901">
        <f>GLOBAL_DER_FEV_2023!I213</f>
        <v>0</v>
      </c>
      <c r="J213" s="890">
        <f>GLOBAL_DER_FEV_2023!J213</f>
        <v>0</v>
      </c>
      <c r="K213" s="903" t="str">
        <f>GLOBAL_DER_FEV_2023!K213</f>
        <v xml:space="preserve">     </v>
      </c>
      <c r="L213" s="1137"/>
      <c r="M213" s="1151">
        <f t="shared" si="17"/>
        <v>0</v>
      </c>
      <c r="N213" s="932">
        <f t="shared" si="15"/>
        <v>0</v>
      </c>
      <c r="O213" s="905"/>
      <c r="Q213" s="317" t="str">
        <f t="shared" si="16"/>
        <v/>
      </c>
      <c r="R213" s="317" t="str">
        <f t="shared" ref="R213:R276" si="18">IF(P213="X","x",IF(P213="y","x",IF(P213="xx","x",IF(N213&gt;0,"x",""))))</f>
        <v/>
      </c>
      <c r="S213" s="317" t="str">
        <f t="shared" ref="S213:S276" si="19">IF(P213="X","x",IF(N213&gt;0,"x",""))</f>
        <v/>
      </c>
      <c r="T213" s="317" t="str">
        <f>GLOBAL_DER_FEV_2023!S213</f>
        <v/>
      </c>
      <c r="W213" s="582">
        <v>0</v>
      </c>
      <c r="X213" s="580"/>
      <c r="Y213" s="583">
        <f>IF(GLOBAL_DER_FEV_2023!W213=0,0,IF(GLOBAL_DER_FEV_2023!W213&gt;0,"c","b"))</f>
        <v>0</v>
      </c>
    </row>
    <row r="214" spans="1:25" ht="15" hidden="1" customHeight="1" x14ac:dyDescent="0.2">
      <c r="A214" s="640" t="s">
        <v>165</v>
      </c>
      <c r="B214" s="1036" t="str">
        <f>GLOBAL_DER_FEV_2023!B214</f>
        <v/>
      </c>
      <c r="C214" s="1072" t="str">
        <f>GLOBAL_DER_FEV_2023!C214</f>
        <v/>
      </c>
      <c r="D214" s="1141">
        <f>GLOBAL_DER_FEV_2023!D214</f>
        <v>0</v>
      </c>
      <c r="E214" s="907">
        <f>GLOBAL_DER_FEV_2023!E214</f>
        <v>0</v>
      </c>
      <c r="F214" s="908">
        <f>GLOBAL_DER_FEV_2023!F214</f>
        <v>0</v>
      </c>
      <c r="G214" s="912">
        <f>GLOBAL_DER_FEV_2023!G214</f>
        <v>0</v>
      </c>
      <c r="H214" s="901">
        <f>GLOBAL_DER_FEV_2023!H214</f>
        <v>0</v>
      </c>
      <c r="I214" s="901">
        <f>GLOBAL_DER_FEV_2023!I214</f>
        <v>0</v>
      </c>
      <c r="J214" s="890">
        <f>GLOBAL_DER_FEV_2023!J214</f>
        <v>0</v>
      </c>
      <c r="K214" s="903" t="str">
        <f>GLOBAL_DER_FEV_2023!K214</f>
        <v xml:space="preserve">     </v>
      </c>
      <c r="L214" s="1137"/>
      <c r="M214" s="1151">
        <f t="shared" si="17"/>
        <v>0</v>
      </c>
      <c r="N214" s="932">
        <f t="shared" si="15"/>
        <v>0</v>
      </c>
      <c r="O214" s="905"/>
      <c r="Q214" s="317" t="str">
        <f t="shared" si="16"/>
        <v/>
      </c>
      <c r="R214" s="317" t="str">
        <f t="shared" si="18"/>
        <v/>
      </c>
      <c r="S214" s="317" t="str">
        <f t="shared" si="19"/>
        <v/>
      </c>
      <c r="T214" s="317" t="str">
        <f>GLOBAL_DER_FEV_2023!S214</f>
        <v/>
      </c>
      <c r="W214" s="582">
        <v>0</v>
      </c>
      <c r="X214" s="580"/>
      <c r="Y214" s="583">
        <f>IF(GLOBAL_DER_FEV_2023!W214=0,0,IF(GLOBAL_DER_FEV_2023!W214&gt;0,"c","b"))</f>
        <v>0</v>
      </c>
    </row>
    <row r="215" spans="1:25" ht="15" hidden="1" customHeight="1" x14ac:dyDescent="0.2">
      <c r="A215" s="640" t="s">
        <v>165</v>
      </c>
      <c r="B215" s="1036" t="str">
        <f>GLOBAL_DER_FEV_2023!B215</f>
        <v/>
      </c>
      <c r="C215" s="1072" t="str">
        <f>GLOBAL_DER_FEV_2023!C215</f>
        <v/>
      </c>
      <c r="D215" s="1141">
        <f>GLOBAL_DER_FEV_2023!D215</f>
        <v>0</v>
      </c>
      <c r="E215" s="907">
        <f>GLOBAL_DER_FEV_2023!E215</f>
        <v>0</v>
      </c>
      <c r="F215" s="908">
        <f>GLOBAL_DER_FEV_2023!F215</f>
        <v>0</v>
      </c>
      <c r="G215" s="912">
        <f>GLOBAL_DER_FEV_2023!G215</f>
        <v>0</v>
      </c>
      <c r="H215" s="901">
        <f>GLOBAL_DER_FEV_2023!H215</f>
        <v>0</v>
      </c>
      <c r="I215" s="901">
        <f>GLOBAL_DER_FEV_2023!I215</f>
        <v>0</v>
      </c>
      <c r="J215" s="890">
        <f>GLOBAL_DER_FEV_2023!J215</f>
        <v>0</v>
      </c>
      <c r="K215" s="903" t="str">
        <f>GLOBAL_DER_FEV_2023!K215</f>
        <v xml:space="preserve">     </v>
      </c>
      <c r="L215" s="1137"/>
      <c r="M215" s="1151">
        <f t="shared" si="17"/>
        <v>0</v>
      </c>
      <c r="N215" s="932">
        <f t="shared" si="15"/>
        <v>0</v>
      </c>
      <c r="O215" s="905"/>
      <c r="Q215" s="317" t="str">
        <f t="shared" si="16"/>
        <v/>
      </c>
      <c r="R215" s="317" t="str">
        <f t="shared" si="18"/>
        <v/>
      </c>
      <c r="S215" s="317" t="str">
        <f t="shared" si="19"/>
        <v/>
      </c>
      <c r="T215" s="317" t="str">
        <f>GLOBAL_DER_FEV_2023!S215</f>
        <v/>
      </c>
      <c r="W215" s="582">
        <v>0</v>
      </c>
      <c r="X215" s="580"/>
      <c r="Y215" s="583">
        <f>IF(GLOBAL_DER_FEV_2023!W215=0,0,IF(GLOBAL_DER_FEV_2023!W215&gt;0,"c","b"))</f>
        <v>0</v>
      </c>
    </row>
    <row r="216" spans="1:25" ht="15" hidden="1" customHeight="1" x14ac:dyDescent="0.2">
      <c r="A216" s="640" t="s">
        <v>165</v>
      </c>
      <c r="B216" s="1036" t="str">
        <f>GLOBAL_DER_FEV_2023!B216</f>
        <v/>
      </c>
      <c r="C216" s="1072" t="str">
        <f>GLOBAL_DER_FEV_2023!C216</f>
        <v/>
      </c>
      <c r="D216" s="1141">
        <f>GLOBAL_DER_FEV_2023!D216</f>
        <v>0</v>
      </c>
      <c r="E216" s="907">
        <f>GLOBAL_DER_FEV_2023!E216</f>
        <v>0</v>
      </c>
      <c r="F216" s="908">
        <f>GLOBAL_DER_FEV_2023!F216</f>
        <v>0</v>
      </c>
      <c r="G216" s="912">
        <f>GLOBAL_DER_FEV_2023!G216</f>
        <v>0</v>
      </c>
      <c r="H216" s="901">
        <f>GLOBAL_DER_FEV_2023!H216</f>
        <v>0</v>
      </c>
      <c r="I216" s="901">
        <f>GLOBAL_DER_FEV_2023!I216</f>
        <v>0</v>
      </c>
      <c r="J216" s="890">
        <f>GLOBAL_DER_FEV_2023!J216</f>
        <v>0</v>
      </c>
      <c r="K216" s="903" t="str">
        <f>GLOBAL_DER_FEV_2023!K216</f>
        <v xml:space="preserve">     </v>
      </c>
      <c r="L216" s="1137"/>
      <c r="M216" s="1151">
        <f t="shared" si="17"/>
        <v>0</v>
      </c>
      <c r="N216" s="932">
        <f t="shared" si="15"/>
        <v>0</v>
      </c>
      <c r="O216" s="905"/>
      <c r="Q216" s="317" t="str">
        <f t="shared" si="16"/>
        <v/>
      </c>
      <c r="R216" s="317" t="str">
        <f t="shared" si="18"/>
        <v/>
      </c>
      <c r="S216" s="317" t="str">
        <f t="shared" si="19"/>
        <v/>
      </c>
      <c r="T216" s="317" t="str">
        <f>GLOBAL_DER_FEV_2023!S216</f>
        <v/>
      </c>
      <c r="W216" s="582">
        <v>0</v>
      </c>
      <c r="X216" s="580"/>
      <c r="Y216" s="583">
        <f>IF(GLOBAL_DER_FEV_2023!W216=0,0,IF(GLOBAL_DER_FEV_2023!W216&gt;0,"c","b"))</f>
        <v>0</v>
      </c>
    </row>
    <row r="217" spans="1:25" ht="15" hidden="1" customHeight="1" x14ac:dyDescent="0.2">
      <c r="A217" s="640" t="s">
        <v>165</v>
      </c>
      <c r="B217" s="1036" t="str">
        <f>GLOBAL_DER_FEV_2023!B217</f>
        <v/>
      </c>
      <c r="C217" s="1072" t="str">
        <f>GLOBAL_DER_FEV_2023!C217</f>
        <v/>
      </c>
      <c r="D217" s="1141">
        <f>GLOBAL_DER_FEV_2023!D217</f>
        <v>0</v>
      </c>
      <c r="E217" s="907">
        <f>GLOBAL_DER_FEV_2023!E217</f>
        <v>0</v>
      </c>
      <c r="F217" s="908">
        <f>GLOBAL_DER_FEV_2023!F217</f>
        <v>0</v>
      </c>
      <c r="G217" s="912">
        <f>GLOBAL_DER_FEV_2023!G217</f>
        <v>0</v>
      </c>
      <c r="H217" s="901">
        <f>GLOBAL_DER_FEV_2023!H217</f>
        <v>0</v>
      </c>
      <c r="I217" s="901">
        <f>GLOBAL_DER_FEV_2023!I217</f>
        <v>0</v>
      </c>
      <c r="J217" s="890">
        <f>GLOBAL_DER_FEV_2023!J217</f>
        <v>0</v>
      </c>
      <c r="K217" s="903" t="str">
        <f>GLOBAL_DER_FEV_2023!K217</f>
        <v xml:space="preserve">     </v>
      </c>
      <c r="L217" s="1137"/>
      <c r="M217" s="1151">
        <f t="shared" si="17"/>
        <v>0</v>
      </c>
      <c r="N217" s="932">
        <f t="shared" ref="N217:N280" si="20">IF(ISBLANK(L217),0,IF(W217=0,ROUND(L217*M217,2),IF(W217="b",ROUNDDOWN(L217*M217,2),ROUNDUP(L217*M217,2))))</f>
        <v>0</v>
      </c>
      <c r="O217" s="905"/>
      <c r="Q217" s="317" t="str">
        <f t="shared" si="16"/>
        <v/>
      </c>
      <c r="R217" s="317" t="str">
        <f t="shared" si="18"/>
        <v/>
      </c>
      <c r="S217" s="317" t="str">
        <f t="shared" si="19"/>
        <v/>
      </c>
      <c r="T217" s="317" t="str">
        <f>GLOBAL_DER_FEV_2023!S217</f>
        <v/>
      </c>
      <c r="W217" s="582">
        <v>0</v>
      </c>
      <c r="X217" s="580"/>
      <c r="Y217" s="583">
        <f>IF(GLOBAL_DER_FEV_2023!W217=0,0,IF(GLOBAL_DER_FEV_2023!W217&gt;0,"c","b"))</f>
        <v>0</v>
      </c>
    </row>
    <row r="218" spans="1:25" ht="15" hidden="1" customHeight="1" x14ac:dyDescent="0.2">
      <c r="A218" s="640" t="s">
        <v>165</v>
      </c>
      <c r="B218" s="1036" t="str">
        <f>GLOBAL_DER_FEV_2023!B218</f>
        <v/>
      </c>
      <c r="C218" s="1072" t="str">
        <f>GLOBAL_DER_FEV_2023!C218</f>
        <v/>
      </c>
      <c r="D218" s="1141">
        <f>GLOBAL_DER_FEV_2023!D218</f>
        <v>0</v>
      </c>
      <c r="E218" s="907">
        <f>GLOBAL_DER_FEV_2023!E218</f>
        <v>0</v>
      </c>
      <c r="F218" s="908">
        <f>GLOBAL_DER_FEV_2023!F218</f>
        <v>0</v>
      </c>
      <c r="G218" s="912">
        <f>GLOBAL_DER_FEV_2023!G218</f>
        <v>0</v>
      </c>
      <c r="H218" s="901">
        <f>GLOBAL_DER_FEV_2023!H218</f>
        <v>0</v>
      </c>
      <c r="I218" s="901">
        <f>GLOBAL_DER_FEV_2023!I218</f>
        <v>0</v>
      </c>
      <c r="J218" s="890">
        <f>GLOBAL_DER_FEV_2023!J218</f>
        <v>0</v>
      </c>
      <c r="K218" s="903" t="str">
        <f>GLOBAL_DER_FEV_2023!K218</f>
        <v xml:space="preserve">     </v>
      </c>
      <c r="L218" s="1137"/>
      <c r="M218" s="1151">
        <f t="shared" si="17"/>
        <v>0</v>
      </c>
      <c r="N218" s="932">
        <f t="shared" si="20"/>
        <v>0</v>
      </c>
      <c r="O218" s="905"/>
      <c r="Q218" s="317" t="str">
        <f t="shared" si="16"/>
        <v/>
      </c>
      <c r="R218" s="317" t="str">
        <f t="shared" si="18"/>
        <v/>
      </c>
      <c r="S218" s="317" t="str">
        <f t="shared" si="19"/>
        <v/>
      </c>
      <c r="T218" s="317" t="str">
        <f>GLOBAL_DER_FEV_2023!S218</f>
        <v/>
      </c>
      <c r="W218" s="582">
        <v>0</v>
      </c>
      <c r="X218" s="580"/>
      <c r="Y218" s="583">
        <f>IF(GLOBAL_DER_FEV_2023!W218=0,0,IF(GLOBAL_DER_FEV_2023!W218&gt;0,"c","b"))</f>
        <v>0</v>
      </c>
    </row>
    <row r="219" spans="1:25" ht="15" hidden="1" customHeight="1" x14ac:dyDescent="0.2">
      <c r="A219" s="640" t="s">
        <v>165</v>
      </c>
      <c r="B219" s="1036" t="str">
        <f>GLOBAL_DER_FEV_2023!B219</f>
        <v/>
      </c>
      <c r="C219" s="1072" t="str">
        <f>GLOBAL_DER_FEV_2023!C219</f>
        <v/>
      </c>
      <c r="D219" s="1141">
        <f>GLOBAL_DER_FEV_2023!D219</f>
        <v>0</v>
      </c>
      <c r="E219" s="907">
        <f>GLOBAL_DER_FEV_2023!E219</f>
        <v>0</v>
      </c>
      <c r="F219" s="908">
        <f>GLOBAL_DER_FEV_2023!F219</f>
        <v>0</v>
      </c>
      <c r="G219" s="912">
        <f>GLOBAL_DER_FEV_2023!G219</f>
        <v>0</v>
      </c>
      <c r="H219" s="901">
        <f>GLOBAL_DER_FEV_2023!H219</f>
        <v>0</v>
      </c>
      <c r="I219" s="901">
        <f>GLOBAL_DER_FEV_2023!I219</f>
        <v>0</v>
      </c>
      <c r="J219" s="890">
        <f>GLOBAL_DER_FEV_2023!J219</f>
        <v>0</v>
      </c>
      <c r="K219" s="903" t="str">
        <f>GLOBAL_DER_FEV_2023!K219</f>
        <v xml:space="preserve">     </v>
      </c>
      <c r="L219" s="1137"/>
      <c r="M219" s="1151">
        <f t="shared" si="17"/>
        <v>0</v>
      </c>
      <c r="N219" s="932">
        <f t="shared" si="20"/>
        <v>0</v>
      </c>
      <c r="O219" s="905"/>
      <c r="Q219" s="317" t="str">
        <f t="shared" si="16"/>
        <v/>
      </c>
      <c r="R219" s="317" t="str">
        <f t="shared" si="18"/>
        <v/>
      </c>
      <c r="S219" s="317" t="str">
        <f t="shared" si="19"/>
        <v/>
      </c>
      <c r="T219" s="317" t="str">
        <f>GLOBAL_DER_FEV_2023!S219</f>
        <v/>
      </c>
      <c r="W219" s="582">
        <v>0</v>
      </c>
      <c r="X219" s="580"/>
      <c r="Y219" s="583">
        <f>IF(GLOBAL_DER_FEV_2023!W219=0,0,IF(GLOBAL_DER_FEV_2023!W219&gt;0,"c","b"))</f>
        <v>0</v>
      </c>
    </row>
    <row r="220" spans="1:25" ht="15" hidden="1" customHeight="1" x14ac:dyDescent="0.2">
      <c r="A220" s="640" t="s">
        <v>165</v>
      </c>
      <c r="B220" s="1036" t="str">
        <f>GLOBAL_DER_FEV_2023!B220</f>
        <v/>
      </c>
      <c r="C220" s="1072" t="str">
        <f>GLOBAL_DER_FEV_2023!C220</f>
        <v/>
      </c>
      <c r="D220" s="1141">
        <f>GLOBAL_DER_FEV_2023!D220</f>
        <v>0</v>
      </c>
      <c r="E220" s="907">
        <f>GLOBAL_DER_FEV_2023!E220</f>
        <v>0</v>
      </c>
      <c r="F220" s="908">
        <f>GLOBAL_DER_FEV_2023!F220</f>
        <v>0</v>
      </c>
      <c r="G220" s="912">
        <f>GLOBAL_DER_FEV_2023!G220</f>
        <v>0</v>
      </c>
      <c r="H220" s="901">
        <f>GLOBAL_DER_FEV_2023!H220</f>
        <v>0</v>
      </c>
      <c r="I220" s="901">
        <f>GLOBAL_DER_FEV_2023!I220</f>
        <v>0</v>
      </c>
      <c r="J220" s="890">
        <f>GLOBAL_DER_FEV_2023!J220</f>
        <v>0</v>
      </c>
      <c r="K220" s="903" t="str">
        <f>GLOBAL_DER_FEV_2023!K220</f>
        <v xml:space="preserve">     </v>
      </c>
      <c r="L220" s="1137"/>
      <c r="M220" s="1151">
        <f t="shared" si="17"/>
        <v>0</v>
      </c>
      <c r="N220" s="932">
        <f t="shared" si="20"/>
        <v>0</v>
      </c>
      <c r="O220" s="905"/>
      <c r="Q220" s="317" t="str">
        <f t="shared" si="16"/>
        <v/>
      </c>
      <c r="R220" s="317" t="str">
        <f t="shared" si="18"/>
        <v/>
      </c>
      <c r="S220" s="317" t="str">
        <f t="shared" si="19"/>
        <v/>
      </c>
      <c r="T220" s="317" t="str">
        <f>GLOBAL_DER_FEV_2023!S220</f>
        <v/>
      </c>
      <c r="W220" s="582">
        <v>0</v>
      </c>
      <c r="X220" s="580"/>
      <c r="Y220" s="583">
        <f>IF(GLOBAL_DER_FEV_2023!W220=0,0,IF(GLOBAL_DER_FEV_2023!W220&gt;0,"c","b"))</f>
        <v>0</v>
      </c>
    </row>
    <row r="221" spans="1:25" ht="15" hidden="1" customHeight="1" x14ac:dyDescent="0.2">
      <c r="A221" s="640" t="s">
        <v>165</v>
      </c>
      <c r="B221" s="1036" t="str">
        <f>GLOBAL_DER_FEV_2023!B221</f>
        <v/>
      </c>
      <c r="C221" s="1072" t="str">
        <f>GLOBAL_DER_FEV_2023!C221</f>
        <v/>
      </c>
      <c r="D221" s="1141">
        <f>GLOBAL_DER_FEV_2023!D221</f>
        <v>0</v>
      </c>
      <c r="E221" s="907">
        <f>GLOBAL_DER_FEV_2023!E221</f>
        <v>0</v>
      </c>
      <c r="F221" s="908">
        <f>GLOBAL_DER_FEV_2023!F221</f>
        <v>0</v>
      </c>
      <c r="G221" s="912">
        <f>GLOBAL_DER_FEV_2023!G221</f>
        <v>0</v>
      </c>
      <c r="H221" s="901">
        <f>GLOBAL_DER_FEV_2023!H221</f>
        <v>0</v>
      </c>
      <c r="I221" s="901">
        <f>GLOBAL_DER_FEV_2023!I221</f>
        <v>0</v>
      </c>
      <c r="J221" s="890">
        <f>GLOBAL_DER_FEV_2023!J221</f>
        <v>0</v>
      </c>
      <c r="K221" s="903" t="str">
        <f>GLOBAL_DER_FEV_2023!K221</f>
        <v xml:space="preserve">     </v>
      </c>
      <c r="L221" s="1137"/>
      <c r="M221" s="1151">
        <f t="shared" si="17"/>
        <v>0</v>
      </c>
      <c r="N221" s="932">
        <f t="shared" si="20"/>
        <v>0</v>
      </c>
      <c r="O221" s="905"/>
      <c r="Q221" s="317" t="str">
        <f t="shared" si="16"/>
        <v/>
      </c>
      <c r="R221" s="317" t="str">
        <f t="shared" si="18"/>
        <v/>
      </c>
      <c r="S221" s="317" t="str">
        <f t="shared" si="19"/>
        <v/>
      </c>
      <c r="T221" s="317" t="str">
        <f>GLOBAL_DER_FEV_2023!S221</f>
        <v/>
      </c>
      <c r="W221" s="582">
        <v>0</v>
      </c>
      <c r="X221" s="580"/>
      <c r="Y221" s="583">
        <f>IF(GLOBAL_DER_FEV_2023!W221=0,0,IF(GLOBAL_DER_FEV_2023!W221&gt;0,"c","b"))</f>
        <v>0</v>
      </c>
    </row>
    <row r="222" spans="1:25" ht="15" hidden="1" customHeight="1" x14ac:dyDescent="0.2">
      <c r="A222" s="640" t="s">
        <v>165</v>
      </c>
      <c r="B222" s="1036" t="str">
        <f>GLOBAL_DER_FEV_2023!B222</f>
        <v/>
      </c>
      <c r="C222" s="1072" t="str">
        <f>GLOBAL_DER_FEV_2023!C222</f>
        <v/>
      </c>
      <c r="D222" s="1141">
        <f>GLOBAL_DER_FEV_2023!D222</f>
        <v>0</v>
      </c>
      <c r="E222" s="907">
        <f>GLOBAL_DER_FEV_2023!E222</f>
        <v>0</v>
      </c>
      <c r="F222" s="908">
        <f>GLOBAL_DER_FEV_2023!F222</f>
        <v>0</v>
      </c>
      <c r="G222" s="912">
        <f>GLOBAL_DER_FEV_2023!G222</f>
        <v>0</v>
      </c>
      <c r="H222" s="901">
        <f>GLOBAL_DER_FEV_2023!H222</f>
        <v>0</v>
      </c>
      <c r="I222" s="901">
        <f>GLOBAL_DER_FEV_2023!I222</f>
        <v>0</v>
      </c>
      <c r="J222" s="890">
        <f>GLOBAL_DER_FEV_2023!J222</f>
        <v>0</v>
      </c>
      <c r="K222" s="903" t="str">
        <f>GLOBAL_DER_FEV_2023!K222</f>
        <v xml:space="preserve">     </v>
      </c>
      <c r="L222" s="1137"/>
      <c r="M222" s="1151">
        <f t="shared" si="17"/>
        <v>0</v>
      </c>
      <c r="N222" s="932">
        <f t="shared" si="20"/>
        <v>0</v>
      </c>
      <c r="O222" s="905"/>
      <c r="Q222" s="317" t="str">
        <f t="shared" si="16"/>
        <v/>
      </c>
      <c r="R222" s="317" t="str">
        <f t="shared" si="18"/>
        <v/>
      </c>
      <c r="S222" s="317" t="str">
        <f t="shared" si="19"/>
        <v/>
      </c>
      <c r="T222" s="317" t="str">
        <f>GLOBAL_DER_FEV_2023!S222</f>
        <v/>
      </c>
      <c r="W222" s="582">
        <v>0</v>
      </c>
      <c r="X222" s="580"/>
      <c r="Y222" s="583">
        <f>IF(GLOBAL_DER_FEV_2023!W222=0,0,IF(GLOBAL_DER_FEV_2023!W222&gt;0,"c","b"))</f>
        <v>0</v>
      </c>
    </row>
    <row r="223" spans="1:25" ht="15" hidden="1" customHeight="1" x14ac:dyDescent="0.2">
      <c r="A223" s="640" t="s">
        <v>165</v>
      </c>
      <c r="B223" s="1036" t="str">
        <f>GLOBAL_DER_FEV_2023!B223</f>
        <v/>
      </c>
      <c r="C223" s="1072" t="str">
        <f>GLOBAL_DER_FEV_2023!C223</f>
        <v/>
      </c>
      <c r="D223" s="1141">
        <f>GLOBAL_DER_FEV_2023!D223</f>
        <v>0</v>
      </c>
      <c r="E223" s="907">
        <f>GLOBAL_DER_FEV_2023!E223</f>
        <v>0</v>
      </c>
      <c r="F223" s="908">
        <f>GLOBAL_DER_FEV_2023!F223</f>
        <v>0</v>
      </c>
      <c r="G223" s="912">
        <f>GLOBAL_DER_FEV_2023!G223</f>
        <v>0</v>
      </c>
      <c r="H223" s="901">
        <f>GLOBAL_DER_FEV_2023!H223</f>
        <v>0</v>
      </c>
      <c r="I223" s="901">
        <f>GLOBAL_DER_FEV_2023!I223</f>
        <v>0</v>
      </c>
      <c r="J223" s="890">
        <f>GLOBAL_DER_FEV_2023!J223</f>
        <v>0</v>
      </c>
      <c r="K223" s="903" t="str">
        <f>GLOBAL_DER_FEV_2023!K223</f>
        <v xml:space="preserve">     </v>
      </c>
      <c r="L223" s="1137"/>
      <c r="M223" s="1151">
        <f t="shared" si="17"/>
        <v>0</v>
      </c>
      <c r="N223" s="932">
        <f t="shared" si="20"/>
        <v>0</v>
      </c>
      <c r="O223" s="905"/>
      <c r="Q223" s="317" t="str">
        <f t="shared" si="16"/>
        <v/>
      </c>
      <c r="R223" s="317" t="str">
        <f t="shared" si="18"/>
        <v/>
      </c>
      <c r="S223" s="317" t="str">
        <f t="shared" si="19"/>
        <v/>
      </c>
      <c r="T223" s="317" t="str">
        <f>GLOBAL_DER_FEV_2023!S223</f>
        <v/>
      </c>
      <c r="W223" s="582">
        <v>0</v>
      </c>
      <c r="X223" s="580"/>
      <c r="Y223" s="583">
        <f>IF(GLOBAL_DER_FEV_2023!W223=0,0,IF(GLOBAL_DER_FEV_2023!W223&gt;0,"c","b"))</f>
        <v>0</v>
      </c>
    </row>
    <row r="224" spans="1:25" ht="15" hidden="1" customHeight="1" x14ac:dyDescent="0.2">
      <c r="A224" s="640" t="s">
        <v>165</v>
      </c>
      <c r="B224" s="1036" t="str">
        <f>GLOBAL_DER_FEV_2023!B224</f>
        <v/>
      </c>
      <c r="C224" s="1072" t="str">
        <f>GLOBAL_DER_FEV_2023!C224</f>
        <v/>
      </c>
      <c r="D224" s="1141">
        <f>GLOBAL_DER_FEV_2023!D224</f>
        <v>0</v>
      </c>
      <c r="E224" s="907">
        <f>GLOBAL_DER_FEV_2023!E224</f>
        <v>0</v>
      </c>
      <c r="F224" s="908">
        <f>GLOBAL_DER_FEV_2023!F224</f>
        <v>0</v>
      </c>
      <c r="G224" s="912">
        <f>GLOBAL_DER_FEV_2023!G224</f>
        <v>0</v>
      </c>
      <c r="H224" s="901">
        <f>GLOBAL_DER_FEV_2023!H224</f>
        <v>0</v>
      </c>
      <c r="I224" s="901">
        <f>GLOBAL_DER_FEV_2023!I224</f>
        <v>0</v>
      </c>
      <c r="J224" s="890">
        <f>GLOBAL_DER_FEV_2023!J224</f>
        <v>0</v>
      </c>
      <c r="K224" s="903" t="str">
        <f>GLOBAL_DER_FEV_2023!K224</f>
        <v xml:space="preserve">     </v>
      </c>
      <c r="L224" s="1137"/>
      <c r="M224" s="1151">
        <f t="shared" si="17"/>
        <v>0</v>
      </c>
      <c r="N224" s="932">
        <f t="shared" si="20"/>
        <v>0</v>
      </c>
      <c r="O224" s="905"/>
      <c r="Q224" s="317" t="str">
        <f t="shared" si="16"/>
        <v/>
      </c>
      <c r="R224" s="317" t="str">
        <f t="shared" si="18"/>
        <v/>
      </c>
      <c r="S224" s="317" t="str">
        <f t="shared" si="19"/>
        <v/>
      </c>
      <c r="T224" s="317" t="str">
        <f>GLOBAL_DER_FEV_2023!S224</f>
        <v/>
      </c>
      <c r="W224" s="582">
        <v>0</v>
      </c>
      <c r="X224" s="580"/>
      <c r="Y224" s="583">
        <f>IF(GLOBAL_DER_FEV_2023!W224=0,0,IF(GLOBAL_DER_FEV_2023!W224&gt;0,"c","b"))</f>
        <v>0</v>
      </c>
    </row>
    <row r="225" spans="1:25" ht="15" hidden="1" customHeight="1" x14ac:dyDescent="0.2">
      <c r="A225" s="640" t="s">
        <v>165</v>
      </c>
      <c r="B225" s="1036" t="str">
        <f>GLOBAL_DER_FEV_2023!B225</f>
        <v/>
      </c>
      <c r="C225" s="1072" t="str">
        <f>GLOBAL_DER_FEV_2023!C225</f>
        <v/>
      </c>
      <c r="D225" s="1141">
        <f>GLOBAL_DER_FEV_2023!D225</f>
        <v>0</v>
      </c>
      <c r="E225" s="907">
        <f>GLOBAL_DER_FEV_2023!E225</f>
        <v>0</v>
      </c>
      <c r="F225" s="908">
        <f>GLOBAL_DER_FEV_2023!F225</f>
        <v>0</v>
      </c>
      <c r="G225" s="912">
        <f>GLOBAL_DER_FEV_2023!G225</f>
        <v>0</v>
      </c>
      <c r="H225" s="901">
        <f>GLOBAL_DER_FEV_2023!H225</f>
        <v>0</v>
      </c>
      <c r="I225" s="901">
        <f>GLOBAL_DER_FEV_2023!I225</f>
        <v>0</v>
      </c>
      <c r="J225" s="890">
        <f>GLOBAL_DER_FEV_2023!J225</f>
        <v>0</v>
      </c>
      <c r="K225" s="903" t="str">
        <f>GLOBAL_DER_FEV_2023!K225</f>
        <v xml:space="preserve">     </v>
      </c>
      <c r="L225" s="1137"/>
      <c r="M225" s="1151">
        <f t="shared" si="17"/>
        <v>0</v>
      </c>
      <c r="N225" s="932">
        <f t="shared" si="20"/>
        <v>0</v>
      </c>
      <c r="O225" s="905"/>
      <c r="Q225" s="317" t="str">
        <f t="shared" si="16"/>
        <v/>
      </c>
      <c r="R225" s="317" t="str">
        <f t="shared" si="18"/>
        <v/>
      </c>
      <c r="S225" s="317" t="str">
        <f t="shared" si="19"/>
        <v/>
      </c>
      <c r="T225" s="317" t="str">
        <f>GLOBAL_DER_FEV_2023!S225</f>
        <v/>
      </c>
      <c r="W225" s="582">
        <v>0</v>
      </c>
      <c r="X225" s="580"/>
      <c r="Y225" s="583">
        <f>IF(GLOBAL_DER_FEV_2023!W225=0,0,IF(GLOBAL_DER_FEV_2023!W225&gt;0,"c","b"))</f>
        <v>0</v>
      </c>
    </row>
    <row r="226" spans="1:25" ht="15" hidden="1" customHeight="1" x14ac:dyDescent="0.2">
      <c r="A226" s="640" t="s">
        <v>165</v>
      </c>
      <c r="B226" s="1036" t="str">
        <f>GLOBAL_DER_FEV_2023!B226</f>
        <v/>
      </c>
      <c r="C226" s="1072" t="str">
        <f>GLOBAL_DER_FEV_2023!C226</f>
        <v/>
      </c>
      <c r="D226" s="1141">
        <f>GLOBAL_DER_FEV_2023!D226</f>
        <v>0</v>
      </c>
      <c r="E226" s="907">
        <f>GLOBAL_DER_FEV_2023!E226</f>
        <v>0</v>
      </c>
      <c r="F226" s="908">
        <f>GLOBAL_DER_FEV_2023!F226</f>
        <v>0</v>
      </c>
      <c r="G226" s="912">
        <f>GLOBAL_DER_FEV_2023!G226</f>
        <v>0</v>
      </c>
      <c r="H226" s="901">
        <f>GLOBAL_DER_FEV_2023!H226</f>
        <v>0</v>
      </c>
      <c r="I226" s="901">
        <f>GLOBAL_DER_FEV_2023!I226</f>
        <v>0</v>
      </c>
      <c r="J226" s="890">
        <f>GLOBAL_DER_FEV_2023!J226</f>
        <v>0</v>
      </c>
      <c r="K226" s="903" t="str">
        <f>GLOBAL_DER_FEV_2023!K226</f>
        <v xml:space="preserve">     </v>
      </c>
      <c r="L226" s="1137"/>
      <c r="M226" s="1151">
        <f t="shared" si="17"/>
        <v>0</v>
      </c>
      <c r="N226" s="932">
        <f t="shared" si="20"/>
        <v>0</v>
      </c>
      <c r="O226" s="905"/>
      <c r="Q226" s="317" t="str">
        <f t="shared" si="16"/>
        <v/>
      </c>
      <c r="R226" s="317" t="str">
        <f t="shared" si="18"/>
        <v/>
      </c>
      <c r="S226" s="317" t="str">
        <f t="shared" si="19"/>
        <v/>
      </c>
      <c r="T226" s="317" t="str">
        <f>GLOBAL_DER_FEV_2023!S226</f>
        <v/>
      </c>
      <c r="W226" s="582">
        <v>0</v>
      </c>
      <c r="X226" s="580"/>
      <c r="Y226" s="583">
        <f>IF(GLOBAL_DER_FEV_2023!W226=0,0,IF(GLOBAL_DER_FEV_2023!W226&gt;0,"c","b"))</f>
        <v>0</v>
      </c>
    </row>
    <row r="227" spans="1:25" ht="15" hidden="1" customHeight="1" thickBot="1" x14ac:dyDescent="0.25">
      <c r="A227" s="640" t="s">
        <v>165</v>
      </c>
      <c r="B227" s="1036" t="str">
        <f>GLOBAL_DER_FEV_2023!B227</f>
        <v/>
      </c>
      <c r="C227" s="1072" t="str">
        <f>GLOBAL_DER_FEV_2023!C227</f>
        <v/>
      </c>
      <c r="D227" s="1141">
        <f>GLOBAL_DER_FEV_2023!D227</f>
        <v>0</v>
      </c>
      <c r="E227" s="907">
        <f>GLOBAL_DER_FEV_2023!E227</f>
        <v>0</v>
      </c>
      <c r="F227" s="908">
        <f>GLOBAL_DER_FEV_2023!F227</f>
        <v>0</v>
      </c>
      <c r="G227" s="912">
        <f>GLOBAL_DER_FEV_2023!G227</f>
        <v>0</v>
      </c>
      <c r="H227" s="901">
        <f>GLOBAL_DER_FEV_2023!H227</f>
        <v>0</v>
      </c>
      <c r="I227" s="901">
        <f>GLOBAL_DER_FEV_2023!I227</f>
        <v>0</v>
      </c>
      <c r="J227" s="890">
        <f>GLOBAL_DER_FEV_2023!J227</f>
        <v>0</v>
      </c>
      <c r="K227" s="903" t="str">
        <f>GLOBAL_DER_FEV_2023!K227</f>
        <v xml:space="preserve">     </v>
      </c>
      <c r="L227" s="1137"/>
      <c r="M227" s="1151">
        <f t="shared" si="17"/>
        <v>0</v>
      </c>
      <c r="N227" s="932">
        <f t="shared" si="20"/>
        <v>0</v>
      </c>
      <c r="O227" s="905"/>
      <c r="Q227" s="317" t="str">
        <f t="shared" si="16"/>
        <v/>
      </c>
      <c r="R227" s="317" t="str">
        <f t="shared" si="18"/>
        <v/>
      </c>
      <c r="S227" s="317" t="str">
        <f t="shared" si="19"/>
        <v/>
      </c>
      <c r="T227" s="317" t="str">
        <f>GLOBAL_DER_FEV_2023!S227</f>
        <v/>
      </c>
      <c r="W227" s="582">
        <v>0</v>
      </c>
      <c r="X227" s="580"/>
      <c r="Y227" s="583">
        <f>IF(GLOBAL_DER_FEV_2023!W227=0,0,IF(GLOBAL_DER_FEV_2023!W227&gt;0,"c","b"))</f>
        <v>0</v>
      </c>
    </row>
    <row r="228" spans="1:25" ht="15" customHeight="1" thickBot="1" x14ac:dyDescent="0.25">
      <c r="A228" s="317" t="s">
        <v>203</v>
      </c>
      <c r="B228" s="950" t="s">
        <v>203</v>
      </c>
      <c r="C228" s="951"/>
      <c r="D228" s="952" t="s">
        <v>429</v>
      </c>
      <c r="E228" s="943">
        <f>GLOBAL_DER_FEV_2023!E228</f>
        <v>0</v>
      </c>
      <c r="F228" s="876"/>
      <c r="G228" s="944"/>
      <c r="H228" s="945">
        <f>GLOBAL_DER_FEV_2023!H228</f>
        <v>0</v>
      </c>
      <c r="I228" s="945">
        <f>GLOBAL_DER_FEV_2023!I228</f>
        <v>0</v>
      </c>
      <c r="J228" s="945">
        <f>GLOBAL_DER_FEV_2023!J228</f>
        <v>0</v>
      </c>
      <c r="K228" s="963" t="s">
        <v>507</v>
      </c>
      <c r="L228" s="879"/>
      <c r="M228" s="880"/>
      <c r="N228" s="881">
        <f t="shared" si="20"/>
        <v>0</v>
      </c>
      <c r="O228" s="882">
        <f>SUM(N229:N588)</f>
        <v>720885.27</v>
      </c>
      <c r="P228" s="58" t="str">
        <f>IF(OR(O228&gt;0,O228&gt;0),"X","")</f>
        <v>X</v>
      </c>
      <c r="Q228" s="317" t="str">
        <f t="shared" si="16"/>
        <v>x</v>
      </c>
      <c r="R228" s="317" t="str">
        <f t="shared" si="18"/>
        <v>x</v>
      </c>
      <c r="S228" s="317" t="str">
        <f t="shared" si="19"/>
        <v>x</v>
      </c>
      <c r="T228" s="317" t="str">
        <f>GLOBAL_DER_FEV_2023!S228</f>
        <v>x</v>
      </c>
      <c r="W228" s="582">
        <v>0</v>
      </c>
      <c r="X228" s="580"/>
      <c r="Y228" s="583">
        <f>IF(GLOBAL_DER_FEV_2023!W228=0,0,IF(GLOBAL_DER_FEV_2023!W228&gt;0,"c","b"))</f>
        <v>0</v>
      </c>
    </row>
    <row r="229" spans="1:25" ht="13.5" thickBot="1" x14ac:dyDescent="0.25">
      <c r="A229" s="317" t="s">
        <v>832</v>
      </c>
      <c r="B229" s="895" t="str">
        <f>GLOBAL_DER_FEV_2023!B229</f>
        <v>PAV-089</v>
      </c>
      <c r="C229" s="896" t="str">
        <f>GLOBAL_DER_FEV_2023!C229</f>
        <v>PM Curitiba-abr/22</v>
      </c>
      <c r="D229" s="906" t="str">
        <f>GLOBAL_DER_FEV_2023!D229</f>
        <v>Limpeza e Lavagem da pista ( Recape )</v>
      </c>
      <c r="E229" s="966">
        <f>GLOBAL_DER_FEV_2023!E229</f>
        <v>0</v>
      </c>
      <c r="F229" s="967">
        <f>GLOBAL_DER_FEV_2023!F229</f>
        <v>0</v>
      </c>
      <c r="G229" s="968">
        <f>GLOBAL_DER_FEV_2023!G229</f>
        <v>0</v>
      </c>
      <c r="H229" s="940">
        <f>GLOBAL_DER_FEV_2023!H229</f>
        <v>0.65</v>
      </c>
      <c r="I229" s="940">
        <f>GLOBAL_DER_FEV_2023!I229</f>
        <v>0.65</v>
      </c>
      <c r="J229" s="969">
        <f>GLOBAL_DER_FEV_2023!J229</f>
        <v>0.78</v>
      </c>
      <c r="K229" s="970" t="s">
        <v>12</v>
      </c>
      <c r="L229" s="1137">
        <v>9565.58</v>
      </c>
      <c r="M229" s="1138">
        <f t="shared" ref="M229:M271" si="21">IF(L229=0,0,ROUND(J229,2))</f>
        <v>0.78</v>
      </c>
      <c r="N229" s="893">
        <f t="shared" si="20"/>
        <v>7461.15</v>
      </c>
      <c r="O229" s="905"/>
      <c r="Q229" s="317" t="str">
        <f t="shared" si="16"/>
        <v>x</v>
      </c>
      <c r="R229" s="317" t="str">
        <f t="shared" si="18"/>
        <v>x</v>
      </c>
      <c r="S229" s="317" t="str">
        <f t="shared" si="19"/>
        <v>x</v>
      </c>
      <c r="T229" s="317" t="str">
        <f>GLOBAL_DER_FEV_2023!S229</f>
        <v>x</v>
      </c>
      <c r="W229" s="582">
        <v>0</v>
      </c>
      <c r="X229" s="580"/>
      <c r="Y229" s="583">
        <f>IF(GLOBAL_DER_FEV_2023!W229=0,0,IF(GLOBAL_DER_FEV_2023!W229&gt;0,"c","b"))</f>
        <v>0</v>
      </c>
    </row>
    <row r="230" spans="1:25" ht="13.5" hidden="1" thickBot="1" x14ac:dyDescent="0.25">
      <c r="A230" s="317">
        <v>560100</v>
      </c>
      <c r="B230" s="971" t="s">
        <v>509</v>
      </c>
      <c r="C230" s="972" t="s">
        <v>184</v>
      </c>
      <c r="D230" s="973" t="s">
        <v>1521</v>
      </c>
      <c r="E230" s="974" t="str">
        <f>GLOBAL_DER_FEV_2023!E230</f>
        <v>taxa RR-1C</v>
      </c>
      <c r="F230" s="975">
        <f>GLOBAL_DER_FEV_2023!F230</f>
        <v>1.1999999999999999E-3</v>
      </c>
      <c r="G230" s="976">
        <f>GLOBAL_DER_FEV_2023!G230</f>
        <v>0</v>
      </c>
      <c r="H230" s="977">
        <f>GLOBAL_DER_FEV_2023!H230</f>
        <v>0.49</v>
      </c>
      <c r="I230" s="977">
        <f>GLOBAL_DER_FEV_2023!I230</f>
        <v>0.49</v>
      </c>
      <c r="J230" s="978">
        <f>GLOBAL_DER_FEV_2023!J230</f>
        <v>0.59</v>
      </c>
      <c r="K230" s="979" t="s">
        <v>12</v>
      </c>
      <c r="L230" s="1152"/>
      <c r="M230" s="1153">
        <f t="shared" si="21"/>
        <v>0</v>
      </c>
      <c r="N230" s="982">
        <f t="shared" si="20"/>
        <v>0</v>
      </c>
      <c r="O230" s="905"/>
      <c r="Q230" s="317" t="str">
        <f t="shared" si="16"/>
        <v/>
      </c>
      <c r="R230" s="317" t="str">
        <f t="shared" si="18"/>
        <v/>
      </c>
      <c r="S230" s="317" t="str">
        <f t="shared" si="19"/>
        <v/>
      </c>
      <c r="T230" s="317" t="str">
        <f>GLOBAL_DER_FEV_2023!S230</f>
        <v/>
      </c>
      <c r="W230" s="582">
        <v>0</v>
      </c>
      <c r="X230" s="580"/>
      <c r="Y230" s="583">
        <f>IF(GLOBAL_DER_FEV_2023!W230=0,0,IF(GLOBAL_DER_FEV_2023!W230&gt;0,"c","b"))</f>
        <v>0</v>
      </c>
    </row>
    <row r="231" spans="1:25" ht="13.5" hidden="1" thickBot="1" x14ac:dyDescent="0.25">
      <c r="A231" s="317">
        <v>589420</v>
      </c>
      <c r="B231" s="983" t="s">
        <v>705</v>
      </c>
      <c r="C231" s="984" t="s">
        <v>213</v>
      </c>
      <c r="D231" s="985" t="s">
        <v>553</v>
      </c>
      <c r="E231" s="986">
        <f>GLOBAL_DER_FEV_2023!E231</f>
        <v>353</v>
      </c>
      <c r="F231" s="987">
        <f>GLOBAL_DER_FEV_2023!F231</f>
        <v>1</v>
      </c>
      <c r="G231" s="949">
        <f>GLOBAL_DER_FEV_2023!G231</f>
        <v>337.96999999999997</v>
      </c>
      <c r="H231" s="988">
        <f>GLOBAL_DER_FEV_2023!H231</f>
        <v>3861.37</v>
      </c>
      <c r="I231" s="988">
        <f>GLOBAL_DER_FEV_2023!I231</f>
        <v>4045.2968393437163</v>
      </c>
      <c r="J231" s="989">
        <f>GLOBAL_DER_FEV_2023!J231</f>
        <v>4857.1899999999996</v>
      </c>
      <c r="K231" s="990" t="s">
        <v>14</v>
      </c>
      <c r="L231" s="1154">
        <f>ROUND(L230*$F230,2)</f>
        <v>0</v>
      </c>
      <c r="M231" s="1155">
        <f t="shared" si="21"/>
        <v>0</v>
      </c>
      <c r="N231" s="993">
        <f t="shared" si="20"/>
        <v>0</v>
      </c>
      <c r="O231" s="905"/>
      <c r="Q231" s="317" t="str">
        <f t="shared" si="16"/>
        <v/>
      </c>
      <c r="R231" s="317" t="str">
        <f t="shared" si="18"/>
        <v/>
      </c>
      <c r="S231" s="317" t="str">
        <f t="shared" si="19"/>
        <v/>
      </c>
      <c r="T231" s="317" t="str">
        <f>GLOBAL_DER_FEV_2023!S231</f>
        <v/>
      </c>
      <c r="W231" s="582">
        <v>0</v>
      </c>
      <c r="X231" s="580"/>
      <c r="Y231" s="583">
        <f>IF(GLOBAL_DER_FEV_2023!W231=0,0,IF(GLOBAL_DER_FEV_2023!W231&gt;0,"c","b"))</f>
        <v>0</v>
      </c>
    </row>
    <row r="232" spans="1:25" ht="13.5" hidden="1" thickBot="1" x14ac:dyDescent="0.25">
      <c r="A232" s="317">
        <v>560100</v>
      </c>
      <c r="B232" s="971" t="s">
        <v>510</v>
      </c>
      <c r="C232" s="972" t="s">
        <v>184</v>
      </c>
      <c r="D232" s="973" t="s">
        <v>540</v>
      </c>
      <c r="E232" s="974" t="str">
        <f>GLOBAL_DER_FEV_2023!E232</f>
        <v>taxa RR-1C</v>
      </c>
      <c r="F232" s="975">
        <f>GLOBAL_DER_FEV_2023!F232</f>
        <v>1.1000000000000001E-3</v>
      </c>
      <c r="G232" s="976">
        <f>GLOBAL_DER_FEV_2023!G232</f>
        <v>0</v>
      </c>
      <c r="H232" s="977">
        <f>GLOBAL_DER_FEV_2023!H232</f>
        <v>0.49</v>
      </c>
      <c r="I232" s="977">
        <f>GLOBAL_DER_FEV_2023!I232</f>
        <v>0.49</v>
      </c>
      <c r="J232" s="978">
        <f>GLOBAL_DER_FEV_2023!J232</f>
        <v>0.59</v>
      </c>
      <c r="K232" s="979" t="s">
        <v>12</v>
      </c>
      <c r="L232" s="1152"/>
      <c r="M232" s="1153">
        <f t="shared" si="21"/>
        <v>0</v>
      </c>
      <c r="N232" s="982">
        <f t="shared" si="20"/>
        <v>0</v>
      </c>
      <c r="O232" s="905"/>
      <c r="Q232" s="317" t="str">
        <f t="shared" si="16"/>
        <v/>
      </c>
      <c r="R232" s="317" t="str">
        <f t="shared" si="18"/>
        <v/>
      </c>
      <c r="S232" s="317" t="str">
        <f t="shared" si="19"/>
        <v/>
      </c>
      <c r="T232" s="317" t="str">
        <f>GLOBAL_DER_FEV_2023!S232</f>
        <v/>
      </c>
      <c r="W232" s="582">
        <v>0</v>
      </c>
      <c r="X232" s="580"/>
      <c r="Y232" s="583">
        <f>IF(GLOBAL_DER_FEV_2023!W232=0,0,IF(GLOBAL_DER_FEV_2023!W232&gt;0,"c","b"))</f>
        <v>0</v>
      </c>
    </row>
    <row r="233" spans="1:25" ht="13.5" hidden="1" thickBot="1" x14ac:dyDescent="0.25">
      <c r="A233" s="317">
        <v>589190</v>
      </c>
      <c r="B233" s="983" t="s">
        <v>1697</v>
      </c>
      <c r="C233" s="984" t="s">
        <v>213</v>
      </c>
      <c r="D233" s="985" t="s">
        <v>554</v>
      </c>
      <c r="E233" s="986">
        <f>GLOBAL_DER_FEV_2023!E233</f>
        <v>45</v>
      </c>
      <c r="F233" s="987">
        <f>GLOBAL_DER_FEV_2023!F233</f>
        <v>1</v>
      </c>
      <c r="G233" s="949">
        <f>GLOBAL_DER_FEV_2023!G233</f>
        <v>79.25</v>
      </c>
      <c r="H233" s="988">
        <f>GLOBAL_DER_FEV_2023!H233</f>
        <v>4730.97</v>
      </c>
      <c r="I233" s="988">
        <f>GLOBAL_DER_FEV_2023!I233</f>
        <v>4621.4855426001504</v>
      </c>
      <c r="J233" s="989">
        <f>GLOBAL_DER_FEV_2023!J233</f>
        <v>5549.02</v>
      </c>
      <c r="K233" s="990" t="s">
        <v>14</v>
      </c>
      <c r="L233" s="1154">
        <f>ROUND(L232*$F232,2)</f>
        <v>0</v>
      </c>
      <c r="M233" s="1155">
        <f t="shared" si="21"/>
        <v>0</v>
      </c>
      <c r="N233" s="993">
        <f t="shared" si="20"/>
        <v>0</v>
      </c>
      <c r="O233" s="905"/>
      <c r="Q233" s="317" t="str">
        <f t="shared" si="16"/>
        <v/>
      </c>
      <c r="R233" s="317" t="str">
        <f t="shared" si="18"/>
        <v/>
      </c>
      <c r="S233" s="317" t="str">
        <f t="shared" si="19"/>
        <v/>
      </c>
      <c r="T233" s="317" t="str">
        <f>GLOBAL_DER_FEV_2023!S233</f>
        <v/>
      </c>
      <c r="W233" s="582">
        <v>0</v>
      </c>
      <c r="X233" s="580"/>
      <c r="Y233" s="583">
        <f>IF(GLOBAL_DER_FEV_2023!W233=0,0,IF(GLOBAL_DER_FEV_2023!W233&gt;0,"c","b"))</f>
        <v>0</v>
      </c>
    </row>
    <row r="234" spans="1:25" ht="13.5" hidden="1" thickBot="1" x14ac:dyDescent="0.25">
      <c r="A234" s="317">
        <v>560400</v>
      </c>
      <c r="B234" s="971" t="s">
        <v>702</v>
      </c>
      <c r="C234" s="972" t="s">
        <v>184</v>
      </c>
      <c r="D234" s="973" t="s">
        <v>541</v>
      </c>
      <c r="E234" s="974" t="str">
        <f>GLOBAL_DER_FEV_2023!E234</f>
        <v>taxa RR-1C</v>
      </c>
      <c r="F234" s="975">
        <f>GLOBAL_DER_FEV_2023!F234</f>
        <v>1.1999999999999999E-3</v>
      </c>
      <c r="G234" s="976">
        <f>GLOBAL_DER_FEV_2023!G234</f>
        <v>0</v>
      </c>
      <c r="H234" s="977">
        <f>GLOBAL_DER_FEV_2023!H234</f>
        <v>0.49</v>
      </c>
      <c r="I234" s="977">
        <f>GLOBAL_DER_FEV_2023!I234</f>
        <v>0.49</v>
      </c>
      <c r="J234" s="978">
        <f>GLOBAL_DER_FEV_2023!J234</f>
        <v>0.59</v>
      </c>
      <c r="K234" s="979" t="s">
        <v>12</v>
      </c>
      <c r="L234" s="1152"/>
      <c r="M234" s="1153">
        <f t="shared" si="21"/>
        <v>0</v>
      </c>
      <c r="N234" s="982">
        <f t="shared" si="20"/>
        <v>0</v>
      </c>
      <c r="O234" s="905"/>
      <c r="Q234" s="317" t="str">
        <f t="shared" si="16"/>
        <v/>
      </c>
      <c r="R234" s="317" t="str">
        <f t="shared" si="18"/>
        <v/>
      </c>
      <c r="S234" s="317" t="str">
        <f t="shared" si="19"/>
        <v/>
      </c>
      <c r="T234" s="317" t="str">
        <f>GLOBAL_DER_FEV_2023!S234</f>
        <v/>
      </c>
      <c r="W234" s="582">
        <v>0</v>
      </c>
      <c r="X234" s="580"/>
      <c r="Y234" s="583">
        <f>IF(GLOBAL_DER_FEV_2023!W234=0,0,IF(GLOBAL_DER_FEV_2023!W234&gt;0,"c","b"))</f>
        <v>0</v>
      </c>
    </row>
    <row r="235" spans="1:25" ht="13.5" hidden="1" thickBot="1" x14ac:dyDescent="0.25">
      <c r="A235" s="317">
        <v>589100</v>
      </c>
      <c r="B235" s="983" t="s">
        <v>724</v>
      </c>
      <c r="C235" s="984" t="s">
        <v>213</v>
      </c>
      <c r="D235" s="985" t="s">
        <v>555</v>
      </c>
      <c r="E235" s="986">
        <f>GLOBAL_DER_FEV_2023!E235</f>
        <v>45</v>
      </c>
      <c r="F235" s="987">
        <f>GLOBAL_DER_FEV_2023!F235</f>
        <v>1</v>
      </c>
      <c r="G235" s="949">
        <f>GLOBAL_DER_FEV_2023!G235</f>
        <v>79.25</v>
      </c>
      <c r="H235" s="988">
        <f>GLOBAL_DER_FEV_2023!H235</f>
        <v>5937.37</v>
      </c>
      <c r="I235" s="988">
        <f>GLOBAL_DER_FEV_2023!I235</f>
        <v>5779.7581502456906</v>
      </c>
      <c r="J235" s="989">
        <f>GLOBAL_DER_FEV_2023!J235</f>
        <v>6939.76</v>
      </c>
      <c r="K235" s="990" t="s">
        <v>14</v>
      </c>
      <c r="L235" s="1154">
        <f>ROUND(L234*$F234,2)</f>
        <v>0</v>
      </c>
      <c r="M235" s="1155">
        <f t="shared" si="21"/>
        <v>0</v>
      </c>
      <c r="N235" s="993">
        <f t="shared" si="20"/>
        <v>0</v>
      </c>
      <c r="O235" s="905"/>
      <c r="Q235" s="317" t="str">
        <f t="shared" si="16"/>
        <v/>
      </c>
      <c r="R235" s="317" t="str">
        <f t="shared" si="18"/>
        <v/>
      </c>
      <c r="S235" s="317" t="str">
        <f t="shared" si="19"/>
        <v/>
      </c>
      <c r="T235" s="317" t="str">
        <f>GLOBAL_DER_FEV_2023!S235</f>
        <v/>
      </c>
      <c r="W235" s="582">
        <v>0</v>
      </c>
      <c r="X235" s="580"/>
      <c r="Y235" s="583">
        <f>IF(GLOBAL_DER_FEV_2023!W235=0,0,IF(GLOBAL_DER_FEV_2023!W235&gt;0,"c","b"))</f>
        <v>0</v>
      </c>
    </row>
    <row r="236" spans="1:25" x14ac:dyDescent="0.2">
      <c r="A236" s="317">
        <v>561100</v>
      </c>
      <c r="B236" s="971" t="s">
        <v>703</v>
      </c>
      <c r="C236" s="972" t="s">
        <v>184</v>
      </c>
      <c r="D236" s="973" t="s">
        <v>542</v>
      </c>
      <c r="E236" s="974" t="str">
        <f>GLOBAL_DER_FEV_2023!E236</f>
        <v>taxa RR-1C</v>
      </c>
      <c r="F236" s="975">
        <f>GLOBAL_DER_FEV_2023!F236</f>
        <v>5.0000000000000001E-4</v>
      </c>
      <c r="G236" s="976">
        <f>GLOBAL_DER_FEV_2023!G236</f>
        <v>0</v>
      </c>
      <c r="H236" s="977">
        <f>GLOBAL_DER_FEV_2023!H236</f>
        <v>0.34</v>
      </c>
      <c r="I236" s="977">
        <f>GLOBAL_DER_FEV_2023!I236</f>
        <v>0.34</v>
      </c>
      <c r="J236" s="978">
        <f>GLOBAL_DER_FEV_2023!J236</f>
        <v>0.41</v>
      </c>
      <c r="K236" s="979" t="s">
        <v>12</v>
      </c>
      <c r="L236" s="1152">
        <f>L229*2</f>
        <v>19131.16</v>
      </c>
      <c r="M236" s="1153">
        <f t="shared" si="21"/>
        <v>0.41</v>
      </c>
      <c r="N236" s="982">
        <f t="shared" si="20"/>
        <v>7843.78</v>
      </c>
      <c r="O236" s="905"/>
      <c r="Q236" s="317" t="str">
        <f t="shared" si="16"/>
        <v>x</v>
      </c>
      <c r="R236" s="317" t="str">
        <f t="shared" si="18"/>
        <v>x</v>
      </c>
      <c r="S236" s="317" t="str">
        <f t="shared" si="19"/>
        <v>x</v>
      </c>
      <c r="T236" s="317" t="str">
        <f>GLOBAL_DER_FEV_2023!S236</f>
        <v>x</v>
      </c>
      <c r="W236" s="582">
        <v>0</v>
      </c>
      <c r="X236" s="580"/>
      <c r="Y236" s="583">
        <f>IF(GLOBAL_DER_FEV_2023!W236=0,0,IF(GLOBAL_DER_FEV_2023!W236&gt;0,"c","b"))</f>
        <v>0</v>
      </c>
    </row>
    <row r="237" spans="1:25" ht="13.5" thickBot="1" x14ac:dyDescent="0.25">
      <c r="A237" s="317">
        <v>589420</v>
      </c>
      <c r="B237" s="983" t="s">
        <v>706</v>
      </c>
      <c r="C237" s="984" t="s">
        <v>213</v>
      </c>
      <c r="D237" s="985" t="s">
        <v>556</v>
      </c>
      <c r="E237" s="986">
        <f>GLOBAL_DER_FEV_2023!E237</f>
        <v>353</v>
      </c>
      <c r="F237" s="994">
        <f>GLOBAL_DER_FEV_2023!F237</f>
        <v>1</v>
      </c>
      <c r="G237" s="949">
        <f>GLOBAL_DER_FEV_2023!G237</f>
        <v>337.96999999999997</v>
      </c>
      <c r="H237" s="988">
        <f>GLOBAL_DER_FEV_2023!H237</f>
        <v>3861.37</v>
      </c>
      <c r="I237" s="988">
        <f>GLOBAL_DER_FEV_2023!I237</f>
        <v>4045.2968393437163</v>
      </c>
      <c r="J237" s="989">
        <f>GLOBAL_DER_FEV_2023!J237</f>
        <v>4857.1899999999996</v>
      </c>
      <c r="K237" s="990" t="s">
        <v>14</v>
      </c>
      <c r="L237" s="1154">
        <f>ROUND(L236*$F236,2)</f>
        <v>9.57</v>
      </c>
      <c r="M237" s="1155">
        <f t="shared" si="21"/>
        <v>4857.1899999999996</v>
      </c>
      <c r="N237" s="993">
        <f t="shared" si="20"/>
        <v>46483.31</v>
      </c>
      <c r="O237" s="905"/>
      <c r="Q237" s="317" t="str">
        <f t="shared" si="16"/>
        <v>x</v>
      </c>
      <c r="R237" s="317" t="str">
        <f t="shared" si="18"/>
        <v>x</v>
      </c>
      <c r="S237" s="317" t="str">
        <f t="shared" si="19"/>
        <v>x</v>
      </c>
      <c r="T237" s="317" t="str">
        <f>GLOBAL_DER_FEV_2023!S237</f>
        <v>x</v>
      </c>
      <c r="W237" s="582">
        <v>0</v>
      </c>
      <c r="X237" s="580"/>
      <c r="Y237" s="583">
        <f>IF(GLOBAL_DER_FEV_2023!W237=0,0,IF(GLOBAL_DER_FEV_2023!W237&gt;0,"c","b"))</f>
        <v>0</v>
      </c>
    </row>
    <row r="238" spans="1:25" ht="13.5" hidden="1" thickBot="1" x14ac:dyDescent="0.25">
      <c r="A238" s="317">
        <v>521450</v>
      </c>
      <c r="B238" s="955" t="s">
        <v>1610</v>
      </c>
      <c r="C238" s="956" t="s">
        <v>184</v>
      </c>
      <c r="D238" s="906" t="s">
        <v>219</v>
      </c>
      <c r="E238" s="907">
        <f>GLOBAL_DER_FEV_2023!E238</f>
        <v>0</v>
      </c>
      <c r="F238" s="887">
        <f>GLOBAL_DER_FEV_2023!F238</f>
        <v>0.3</v>
      </c>
      <c r="G238" s="976">
        <f>GLOBAL_DER_FEV_2023!G238</f>
        <v>0.80400000000000005</v>
      </c>
      <c r="H238" s="901">
        <f>GLOBAL_DER_FEV_2023!H238</f>
        <v>25.31</v>
      </c>
      <c r="I238" s="901">
        <f>GLOBAL_DER_FEV_2023!I238</f>
        <v>26.113999999999997</v>
      </c>
      <c r="J238" s="902">
        <f>GLOBAL_DER_FEV_2023!J238</f>
        <v>31.36</v>
      </c>
      <c r="K238" s="903" t="s">
        <v>12</v>
      </c>
      <c r="L238" s="1137"/>
      <c r="M238" s="1138">
        <f t="shared" si="21"/>
        <v>0</v>
      </c>
      <c r="N238" s="893">
        <f t="shared" si="20"/>
        <v>0</v>
      </c>
      <c r="O238" s="905"/>
      <c r="Q238" s="317" t="str">
        <f t="shared" si="16"/>
        <v/>
      </c>
      <c r="R238" s="317" t="str">
        <f t="shared" si="18"/>
        <v/>
      </c>
      <c r="S238" s="317" t="str">
        <f t="shared" si="19"/>
        <v/>
      </c>
      <c r="T238" s="317" t="str">
        <f>GLOBAL_DER_FEV_2023!S238</f>
        <v/>
      </c>
      <c r="W238" s="582">
        <v>0</v>
      </c>
      <c r="X238" s="580"/>
      <c r="Y238" s="583">
        <f>IF(GLOBAL_DER_FEV_2023!W238=0,0,IF(GLOBAL_DER_FEV_2023!W238&gt;0,"c","b"))</f>
        <v>0</v>
      </c>
    </row>
    <row r="239" spans="1:25" ht="13.5" hidden="1" thickBot="1" x14ac:dyDescent="0.25">
      <c r="A239" s="317">
        <v>535200</v>
      </c>
      <c r="B239" s="895" t="s">
        <v>1607</v>
      </c>
      <c r="C239" s="896" t="s">
        <v>184</v>
      </c>
      <c r="D239" s="906" t="s">
        <v>220</v>
      </c>
      <c r="E239" s="907">
        <f>GLOBAL_DER_FEV_2023!E239</f>
        <v>0</v>
      </c>
      <c r="F239" s="899">
        <f>GLOBAL_DER_FEV_2023!F239</f>
        <v>7.6999999999999999E-2</v>
      </c>
      <c r="G239" s="949">
        <f>GLOBAL_DER_FEV_2023!G239</f>
        <v>0.20636000000000002</v>
      </c>
      <c r="H239" s="901">
        <f>GLOBAL_DER_FEV_2023!H239</f>
        <v>11.65</v>
      </c>
      <c r="I239" s="901">
        <f>GLOBAL_DER_FEV_2023!I239</f>
        <v>11.85636</v>
      </c>
      <c r="J239" s="902">
        <f>GLOBAL_DER_FEV_2023!J239</f>
        <v>14.24</v>
      </c>
      <c r="K239" s="903" t="s">
        <v>13</v>
      </c>
      <c r="L239" s="1137"/>
      <c r="M239" s="1138">
        <f t="shared" si="21"/>
        <v>0</v>
      </c>
      <c r="N239" s="893">
        <f t="shared" si="20"/>
        <v>0</v>
      </c>
      <c r="O239" s="905"/>
      <c r="Q239" s="317" t="str">
        <f t="shared" si="16"/>
        <v/>
      </c>
      <c r="R239" s="317" t="str">
        <f t="shared" si="18"/>
        <v/>
      </c>
      <c r="S239" s="317" t="str">
        <f t="shared" si="19"/>
        <v/>
      </c>
      <c r="T239" s="317" t="str">
        <f>GLOBAL_DER_FEV_2023!S239</f>
        <v/>
      </c>
      <c r="W239" s="582">
        <v>0</v>
      </c>
      <c r="X239" s="580"/>
      <c r="Y239" s="583">
        <f>IF(GLOBAL_DER_FEV_2023!W239=0,0,IF(GLOBAL_DER_FEV_2023!W239&gt;0,"c","b"))</f>
        <v>0</v>
      </c>
    </row>
    <row r="240" spans="1:25" ht="13.5" hidden="1" thickBot="1" x14ac:dyDescent="0.25">
      <c r="A240" s="317">
        <v>521450</v>
      </c>
      <c r="B240" s="895" t="s">
        <v>1611</v>
      </c>
      <c r="C240" s="896" t="s">
        <v>184</v>
      </c>
      <c r="D240" s="906" t="s">
        <v>454</v>
      </c>
      <c r="E240" s="907">
        <f>GLOBAL_DER_FEV_2023!E240</f>
        <v>0</v>
      </c>
      <c r="F240" s="899">
        <f>GLOBAL_DER_FEV_2023!F240</f>
        <v>0</v>
      </c>
      <c r="G240" s="912">
        <f>GLOBAL_DER_FEV_2023!G240</f>
        <v>0</v>
      </c>
      <c r="H240" s="901">
        <f>GLOBAL_DER_FEV_2023!H240</f>
        <v>25.31</v>
      </c>
      <c r="I240" s="901">
        <f>GLOBAL_DER_FEV_2023!I240</f>
        <v>25.31</v>
      </c>
      <c r="J240" s="902">
        <f>GLOBAL_DER_FEV_2023!J240</f>
        <v>30.39</v>
      </c>
      <c r="K240" s="903" t="s">
        <v>12</v>
      </c>
      <c r="L240" s="1137"/>
      <c r="M240" s="1138">
        <f t="shared" si="21"/>
        <v>0</v>
      </c>
      <c r="N240" s="893">
        <f t="shared" si="20"/>
        <v>0</v>
      </c>
      <c r="O240" s="905"/>
      <c r="Q240" s="317" t="str">
        <f t="shared" si="16"/>
        <v/>
      </c>
      <c r="R240" s="317" t="str">
        <f t="shared" si="18"/>
        <v/>
      </c>
      <c r="S240" s="317" t="str">
        <f t="shared" si="19"/>
        <v/>
      </c>
      <c r="T240" s="317" t="str">
        <f>GLOBAL_DER_FEV_2023!S240</f>
        <v/>
      </c>
      <c r="W240" s="582">
        <v>0</v>
      </c>
      <c r="X240" s="580"/>
      <c r="Y240" s="583">
        <f>IF(GLOBAL_DER_FEV_2023!W240=0,0,IF(GLOBAL_DER_FEV_2023!W240&gt;0,"c","b"))</f>
        <v>0</v>
      </c>
    </row>
    <row r="241" spans="1:25" ht="13.5" hidden="1" thickBot="1" x14ac:dyDescent="0.25">
      <c r="A241" s="317">
        <v>521450</v>
      </c>
      <c r="B241" s="895" t="s">
        <v>1612</v>
      </c>
      <c r="C241" s="896" t="s">
        <v>184</v>
      </c>
      <c r="D241" s="906" t="s">
        <v>221</v>
      </c>
      <c r="E241" s="907">
        <f>GLOBAL_DER_FEV_2023!E241</f>
        <v>0</v>
      </c>
      <c r="F241" s="899">
        <f>GLOBAL_DER_FEV_2023!F241</f>
        <v>0</v>
      </c>
      <c r="G241" s="912">
        <f>GLOBAL_DER_FEV_2023!G241</f>
        <v>0</v>
      </c>
      <c r="H241" s="901">
        <f>GLOBAL_DER_FEV_2023!H241</f>
        <v>25.31</v>
      </c>
      <c r="I241" s="901">
        <f>GLOBAL_DER_FEV_2023!I241</f>
        <v>25.31</v>
      </c>
      <c r="J241" s="902">
        <f>GLOBAL_DER_FEV_2023!J241</f>
        <v>30.39</v>
      </c>
      <c r="K241" s="903" t="s">
        <v>12</v>
      </c>
      <c r="L241" s="1137"/>
      <c r="M241" s="1138">
        <f t="shared" si="21"/>
        <v>0</v>
      </c>
      <c r="N241" s="893">
        <f t="shared" si="20"/>
        <v>0</v>
      </c>
      <c r="O241" s="905"/>
      <c r="Q241" s="317" t="str">
        <f t="shared" si="16"/>
        <v/>
      </c>
      <c r="R241" s="317" t="str">
        <f t="shared" si="18"/>
        <v/>
      </c>
      <c r="S241" s="317" t="str">
        <f t="shared" si="19"/>
        <v/>
      </c>
      <c r="T241" s="317" t="str">
        <f>GLOBAL_DER_FEV_2023!S241</f>
        <v/>
      </c>
      <c r="W241" s="582">
        <v>0</v>
      </c>
      <c r="X241" s="580"/>
      <c r="Y241" s="583">
        <f>IF(GLOBAL_DER_FEV_2023!W241=0,0,IF(GLOBAL_DER_FEV_2023!W241&gt;0,"c","b"))</f>
        <v>0</v>
      </c>
    </row>
    <row r="242" spans="1:25" ht="13.5" hidden="1" thickBot="1" x14ac:dyDescent="0.25">
      <c r="A242" s="317">
        <v>535000</v>
      </c>
      <c r="B242" s="895" t="s">
        <v>1618</v>
      </c>
      <c r="C242" s="896" t="s">
        <v>184</v>
      </c>
      <c r="D242" s="906" t="s">
        <v>222</v>
      </c>
      <c r="E242" s="907">
        <f>GLOBAL_DER_FEV_2023!E242</f>
        <v>0</v>
      </c>
      <c r="F242" s="908">
        <f>GLOBAL_DER_FEV_2023!F242</f>
        <v>0.27200000000000002</v>
      </c>
      <c r="G242" s="949">
        <f>GLOBAL_DER_FEV_2023!G242</f>
        <v>0.72896000000000005</v>
      </c>
      <c r="H242" s="901">
        <f>GLOBAL_DER_FEV_2023!H242</f>
        <v>109.55</v>
      </c>
      <c r="I242" s="901">
        <f>GLOBAL_DER_FEV_2023!I242</f>
        <v>110.27896</v>
      </c>
      <c r="J242" s="902">
        <f>GLOBAL_DER_FEV_2023!J242</f>
        <v>132.41</v>
      </c>
      <c r="K242" s="903" t="s">
        <v>12</v>
      </c>
      <c r="L242" s="1137"/>
      <c r="M242" s="1138">
        <f t="shared" si="21"/>
        <v>0</v>
      </c>
      <c r="N242" s="893">
        <f t="shared" si="20"/>
        <v>0</v>
      </c>
      <c r="O242" s="905"/>
      <c r="Q242" s="317" t="str">
        <f t="shared" si="16"/>
        <v/>
      </c>
      <c r="R242" s="317" t="str">
        <f t="shared" si="18"/>
        <v/>
      </c>
      <c r="S242" s="317" t="str">
        <f t="shared" si="19"/>
        <v/>
      </c>
      <c r="T242" s="317" t="str">
        <f>GLOBAL_DER_FEV_2023!S242</f>
        <v/>
      </c>
      <c r="W242" s="582">
        <v>0</v>
      </c>
      <c r="X242" s="580"/>
      <c r="Y242" s="583">
        <f>IF(GLOBAL_DER_FEV_2023!W242=0,0,IF(GLOBAL_DER_FEV_2023!W242&gt;0,"c","b"))</f>
        <v>0</v>
      </c>
    </row>
    <row r="243" spans="1:25" ht="13.5" hidden="1" thickBot="1" x14ac:dyDescent="0.25">
      <c r="A243" s="317">
        <v>863000</v>
      </c>
      <c r="B243" s="895" t="s">
        <v>1620</v>
      </c>
      <c r="C243" s="896" t="s">
        <v>184</v>
      </c>
      <c r="D243" s="906" t="s">
        <v>223</v>
      </c>
      <c r="E243" s="907">
        <f>GLOBAL_DER_FEV_2023!E243</f>
        <v>0.1</v>
      </c>
      <c r="F243" s="908">
        <f>GLOBAL_DER_FEV_2023!F243</f>
        <v>0.08</v>
      </c>
      <c r="G243" s="949">
        <f>GLOBAL_DER_FEV_2023!G243</f>
        <v>0.22296000000000005</v>
      </c>
      <c r="H243" s="901">
        <f>GLOBAL_DER_FEV_2023!H243</f>
        <v>105.61</v>
      </c>
      <c r="I243" s="901">
        <f>GLOBAL_DER_FEV_2023!I243</f>
        <v>105.83296</v>
      </c>
      <c r="J243" s="902">
        <f>GLOBAL_DER_FEV_2023!J243</f>
        <v>127.07</v>
      </c>
      <c r="K243" s="903" t="s">
        <v>12</v>
      </c>
      <c r="L243" s="1137"/>
      <c r="M243" s="1138">
        <f t="shared" si="21"/>
        <v>0</v>
      </c>
      <c r="N243" s="893">
        <f t="shared" si="20"/>
        <v>0</v>
      </c>
      <c r="O243" s="905"/>
      <c r="Q243" s="317" t="str">
        <f t="shared" si="16"/>
        <v/>
      </c>
      <c r="R243" s="317" t="str">
        <f t="shared" si="18"/>
        <v/>
      </c>
      <c r="S243" s="317" t="str">
        <f t="shared" si="19"/>
        <v/>
      </c>
      <c r="T243" s="317" t="str">
        <f>GLOBAL_DER_FEV_2023!S243</f>
        <v/>
      </c>
      <c r="W243" s="582">
        <v>0</v>
      </c>
      <c r="X243" s="580"/>
      <c r="Y243" s="583">
        <f>IF(GLOBAL_DER_FEV_2023!W243=0,0,IF(GLOBAL_DER_FEV_2023!W243&gt;0,"c","b"))</f>
        <v>0</v>
      </c>
    </row>
    <row r="244" spans="1:25" ht="13.5" hidden="1" thickBot="1" x14ac:dyDescent="0.25">
      <c r="A244" s="317">
        <v>863000</v>
      </c>
      <c r="B244" s="895" t="s">
        <v>1621</v>
      </c>
      <c r="C244" s="896" t="s">
        <v>184</v>
      </c>
      <c r="D244" s="906" t="s">
        <v>224</v>
      </c>
      <c r="E244" s="907">
        <f>GLOBAL_DER_FEV_2023!E244</f>
        <v>0.1</v>
      </c>
      <c r="F244" s="908">
        <f>GLOBAL_DER_FEV_2023!F244</f>
        <v>0.1</v>
      </c>
      <c r="G244" s="949">
        <f>GLOBAL_DER_FEV_2023!G244</f>
        <v>0.27870000000000006</v>
      </c>
      <c r="H244" s="901">
        <f>GLOBAL_DER_FEV_2023!H244</f>
        <v>105.61</v>
      </c>
      <c r="I244" s="901">
        <f>GLOBAL_DER_FEV_2023!I244</f>
        <v>105.8887</v>
      </c>
      <c r="J244" s="902">
        <f>GLOBAL_DER_FEV_2023!J244</f>
        <v>127.14</v>
      </c>
      <c r="K244" s="903" t="s">
        <v>12</v>
      </c>
      <c r="L244" s="1137"/>
      <c r="M244" s="1138">
        <f t="shared" si="21"/>
        <v>0</v>
      </c>
      <c r="N244" s="893">
        <f t="shared" si="20"/>
        <v>0</v>
      </c>
      <c r="O244" s="905"/>
      <c r="Q244" s="317" t="str">
        <f t="shared" si="16"/>
        <v/>
      </c>
      <c r="R244" s="317" t="str">
        <f t="shared" si="18"/>
        <v/>
      </c>
      <c r="S244" s="317" t="str">
        <f t="shared" si="19"/>
        <v/>
      </c>
      <c r="T244" s="317" t="str">
        <f>GLOBAL_DER_FEV_2023!S244</f>
        <v/>
      </c>
      <c r="W244" s="582">
        <v>0</v>
      </c>
      <c r="X244" s="580"/>
      <c r="Y244" s="583">
        <f>IF(GLOBAL_DER_FEV_2023!W244=0,0,IF(GLOBAL_DER_FEV_2023!W244&gt;0,"c","b"))</f>
        <v>0</v>
      </c>
    </row>
    <row r="245" spans="1:25" ht="13.5" hidden="1" thickBot="1" x14ac:dyDescent="0.25">
      <c r="A245" s="317">
        <v>534906</v>
      </c>
      <c r="B245" s="895" t="s">
        <v>1624</v>
      </c>
      <c r="C245" s="896" t="s">
        <v>184</v>
      </c>
      <c r="D245" s="906" t="s">
        <v>225</v>
      </c>
      <c r="E245" s="907">
        <f>GLOBAL_DER_FEV_2023!E245</f>
        <v>0.1</v>
      </c>
      <c r="F245" s="908">
        <f>GLOBAL_DER_FEV_2023!F245</f>
        <v>0.12</v>
      </c>
      <c r="G245" s="949">
        <f>GLOBAL_DER_FEV_2023!G245</f>
        <v>0.33444000000000002</v>
      </c>
      <c r="H245" s="901">
        <f>GLOBAL_DER_FEV_2023!H245</f>
        <v>76.400000000000006</v>
      </c>
      <c r="I245" s="901">
        <f>GLOBAL_DER_FEV_2023!I245</f>
        <v>76.734440000000006</v>
      </c>
      <c r="J245" s="902">
        <f>GLOBAL_DER_FEV_2023!J245</f>
        <v>92.14</v>
      </c>
      <c r="K245" s="903" t="s">
        <v>12</v>
      </c>
      <c r="L245" s="1137"/>
      <c r="M245" s="1138">
        <f t="shared" si="21"/>
        <v>0</v>
      </c>
      <c r="N245" s="893">
        <f t="shared" si="20"/>
        <v>0</v>
      </c>
      <c r="O245" s="905"/>
      <c r="Q245" s="317" t="str">
        <f t="shared" si="16"/>
        <v/>
      </c>
      <c r="R245" s="317" t="str">
        <f t="shared" si="18"/>
        <v/>
      </c>
      <c r="S245" s="317" t="str">
        <f t="shared" si="19"/>
        <v/>
      </c>
      <c r="T245" s="317" t="str">
        <f>GLOBAL_DER_FEV_2023!S245</f>
        <v/>
      </c>
      <c r="W245" s="582">
        <v>0</v>
      </c>
      <c r="X245" s="580"/>
      <c r="Y245" s="583">
        <f>IF(GLOBAL_DER_FEV_2023!W245=0,0,IF(GLOBAL_DER_FEV_2023!W245&gt;0,"c","b"))</f>
        <v>0</v>
      </c>
    </row>
    <row r="246" spans="1:25" ht="13.5" hidden="1" thickBot="1" x14ac:dyDescent="0.25">
      <c r="A246" s="317">
        <v>534906</v>
      </c>
      <c r="B246" s="895" t="s">
        <v>1625</v>
      </c>
      <c r="C246" s="896" t="s">
        <v>184</v>
      </c>
      <c r="D246" s="906" t="s">
        <v>226</v>
      </c>
      <c r="E246" s="907">
        <f>GLOBAL_DER_FEV_2023!E246</f>
        <v>0.1</v>
      </c>
      <c r="F246" s="908">
        <f>GLOBAL_DER_FEV_2023!F246</f>
        <v>0.14000000000000001</v>
      </c>
      <c r="G246" s="949">
        <f>GLOBAL_DER_FEV_2023!G246</f>
        <v>0.39018000000000008</v>
      </c>
      <c r="H246" s="901">
        <f>GLOBAL_DER_FEV_2023!H246</f>
        <v>76.400000000000006</v>
      </c>
      <c r="I246" s="901">
        <f>GLOBAL_DER_FEV_2023!I246</f>
        <v>76.790180000000007</v>
      </c>
      <c r="J246" s="902">
        <f>GLOBAL_DER_FEV_2023!J246</f>
        <v>92.2</v>
      </c>
      <c r="K246" s="903" t="s">
        <v>12</v>
      </c>
      <c r="L246" s="1137"/>
      <c r="M246" s="1138">
        <f t="shared" si="21"/>
        <v>0</v>
      </c>
      <c r="N246" s="893">
        <f t="shared" si="20"/>
        <v>0</v>
      </c>
      <c r="O246" s="905"/>
      <c r="Q246" s="317" t="str">
        <f t="shared" si="16"/>
        <v/>
      </c>
      <c r="R246" s="317" t="str">
        <f t="shared" si="18"/>
        <v/>
      </c>
      <c r="S246" s="317" t="str">
        <f t="shared" si="19"/>
        <v/>
      </c>
      <c r="T246" s="317" t="str">
        <f>GLOBAL_DER_FEV_2023!S246</f>
        <v/>
      </c>
      <c r="W246" s="582">
        <v>0</v>
      </c>
      <c r="X246" s="580"/>
      <c r="Y246" s="583">
        <f>IF(GLOBAL_DER_FEV_2023!W246=0,0,IF(GLOBAL_DER_FEV_2023!W246&gt;0,"c","b"))</f>
        <v>0</v>
      </c>
    </row>
    <row r="247" spans="1:25" ht="13.5" hidden="1" thickBot="1" x14ac:dyDescent="0.25">
      <c r="A247" s="317">
        <v>534906</v>
      </c>
      <c r="B247" s="895" t="s">
        <v>151</v>
      </c>
      <c r="C247" s="896" t="s">
        <v>184</v>
      </c>
      <c r="D247" s="906" t="s">
        <v>227</v>
      </c>
      <c r="E247" s="907">
        <f>GLOBAL_DER_FEV_2023!E247</f>
        <v>0.1</v>
      </c>
      <c r="F247" s="908">
        <f>GLOBAL_DER_FEV_2023!F247</f>
        <v>0.16</v>
      </c>
      <c r="G247" s="949">
        <f>GLOBAL_DER_FEV_2023!G247</f>
        <v>0.44592000000000009</v>
      </c>
      <c r="H247" s="901">
        <f>GLOBAL_DER_FEV_2023!H247</f>
        <v>76.400000000000006</v>
      </c>
      <c r="I247" s="901">
        <f>GLOBAL_DER_FEV_2023!I247</f>
        <v>76.845920000000007</v>
      </c>
      <c r="J247" s="902">
        <f>GLOBAL_DER_FEV_2023!J247</f>
        <v>92.27</v>
      </c>
      <c r="K247" s="903" t="s">
        <v>12</v>
      </c>
      <c r="L247" s="1137"/>
      <c r="M247" s="1138">
        <f t="shared" si="21"/>
        <v>0</v>
      </c>
      <c r="N247" s="893">
        <f t="shared" si="20"/>
        <v>0</v>
      </c>
      <c r="O247" s="905"/>
      <c r="Q247" s="317" t="str">
        <f t="shared" si="16"/>
        <v/>
      </c>
      <c r="R247" s="317" t="str">
        <f t="shared" si="18"/>
        <v/>
      </c>
      <c r="S247" s="317" t="str">
        <f t="shared" si="19"/>
        <v/>
      </c>
      <c r="T247" s="317" t="str">
        <f>GLOBAL_DER_FEV_2023!S247</f>
        <v/>
      </c>
      <c r="W247" s="582">
        <v>0</v>
      </c>
      <c r="X247" s="580"/>
      <c r="Y247" s="583">
        <f>IF(GLOBAL_DER_FEV_2023!W247=0,0,IF(GLOBAL_DER_FEV_2023!W247&gt;0,"c","b"))</f>
        <v>0</v>
      </c>
    </row>
    <row r="248" spans="1:25" ht="13.5" hidden="1" thickBot="1" x14ac:dyDescent="0.25">
      <c r="A248" s="317">
        <v>534906</v>
      </c>
      <c r="B248" s="895" t="s">
        <v>207</v>
      </c>
      <c r="C248" s="896" t="s">
        <v>184</v>
      </c>
      <c r="D248" s="906" t="s">
        <v>228</v>
      </c>
      <c r="E248" s="907">
        <f>GLOBAL_DER_FEV_2023!E248</f>
        <v>0.1</v>
      </c>
      <c r="F248" s="908">
        <f>GLOBAL_DER_FEV_2023!F248</f>
        <v>0.2</v>
      </c>
      <c r="G248" s="949">
        <f>GLOBAL_DER_FEV_2023!G248</f>
        <v>0.55740000000000012</v>
      </c>
      <c r="H248" s="901">
        <f>GLOBAL_DER_FEV_2023!H248</f>
        <v>76.400000000000006</v>
      </c>
      <c r="I248" s="901">
        <f>GLOBAL_DER_FEV_2023!I248</f>
        <v>76.957400000000007</v>
      </c>
      <c r="J248" s="902">
        <f>GLOBAL_DER_FEV_2023!J248</f>
        <v>92.4</v>
      </c>
      <c r="K248" s="903" t="s">
        <v>12</v>
      </c>
      <c r="L248" s="1137"/>
      <c r="M248" s="1138">
        <f t="shared" si="21"/>
        <v>0</v>
      </c>
      <c r="N248" s="893">
        <f t="shared" si="20"/>
        <v>0</v>
      </c>
      <c r="O248" s="905"/>
      <c r="Q248" s="317" t="str">
        <f t="shared" si="16"/>
        <v/>
      </c>
      <c r="R248" s="317" t="str">
        <f t="shared" si="18"/>
        <v/>
      </c>
      <c r="S248" s="317" t="str">
        <f t="shared" si="19"/>
        <v/>
      </c>
      <c r="T248" s="317" t="str">
        <f>GLOBAL_DER_FEV_2023!S248</f>
        <v/>
      </c>
      <c r="W248" s="582">
        <v>0</v>
      </c>
      <c r="X248" s="580"/>
      <c r="Y248" s="583">
        <f>IF(GLOBAL_DER_FEV_2023!W248=0,0,IF(GLOBAL_DER_FEV_2023!W248&gt;0,"c","b"))</f>
        <v>0</v>
      </c>
    </row>
    <row r="249" spans="1:25" ht="13.5" hidden="1" thickBot="1" x14ac:dyDescent="0.25">
      <c r="A249" s="317">
        <v>534906</v>
      </c>
      <c r="B249" s="895" t="s">
        <v>208</v>
      </c>
      <c r="C249" s="896" t="s">
        <v>184</v>
      </c>
      <c r="D249" s="906" t="s">
        <v>803</v>
      </c>
      <c r="E249" s="907">
        <f>GLOBAL_DER_FEV_2023!E249</f>
        <v>0.1</v>
      </c>
      <c r="F249" s="908">
        <f>GLOBAL_DER_FEV_2023!F249</f>
        <v>0.14000000000000001</v>
      </c>
      <c r="G249" s="949">
        <f>GLOBAL_DER_FEV_2023!G249</f>
        <v>0.39018000000000008</v>
      </c>
      <c r="H249" s="901">
        <f>GLOBAL_DER_FEV_2023!H249</f>
        <v>76.400000000000006</v>
      </c>
      <c r="I249" s="901">
        <f>GLOBAL_DER_FEV_2023!I249</f>
        <v>76.790180000000007</v>
      </c>
      <c r="J249" s="902">
        <f>GLOBAL_DER_FEV_2023!J249</f>
        <v>92.2</v>
      </c>
      <c r="K249" s="903" t="s">
        <v>12</v>
      </c>
      <c r="L249" s="1137"/>
      <c r="M249" s="1138">
        <f t="shared" si="21"/>
        <v>0</v>
      </c>
      <c r="N249" s="893">
        <f t="shared" si="20"/>
        <v>0</v>
      </c>
      <c r="O249" s="905"/>
      <c r="Q249" s="317" t="str">
        <f t="shared" si="16"/>
        <v/>
      </c>
      <c r="R249" s="317" t="str">
        <f t="shared" si="18"/>
        <v/>
      </c>
      <c r="S249" s="317" t="str">
        <f t="shared" si="19"/>
        <v/>
      </c>
      <c r="T249" s="317" t="str">
        <f>GLOBAL_DER_FEV_2023!S249</f>
        <v/>
      </c>
      <c r="W249" s="582">
        <v>0</v>
      </c>
      <c r="X249" s="580"/>
      <c r="Y249" s="583">
        <f>IF(GLOBAL_DER_FEV_2023!W249=0,0,IF(GLOBAL_DER_FEV_2023!W249&gt;0,"c","b"))</f>
        <v>0</v>
      </c>
    </row>
    <row r="250" spans="1:25" ht="13.5" hidden="1" thickBot="1" x14ac:dyDescent="0.25">
      <c r="A250" s="317">
        <v>534906</v>
      </c>
      <c r="B250" s="895" t="s">
        <v>209</v>
      </c>
      <c r="C250" s="896" t="s">
        <v>184</v>
      </c>
      <c r="D250" s="906" t="s">
        <v>804</v>
      </c>
      <c r="E250" s="907">
        <f>GLOBAL_DER_FEV_2023!E250</f>
        <v>0.1</v>
      </c>
      <c r="F250" s="908">
        <f>GLOBAL_DER_FEV_2023!F250</f>
        <v>0.14000000000000001</v>
      </c>
      <c r="G250" s="949">
        <f>GLOBAL_DER_FEV_2023!G250</f>
        <v>0.39018000000000008</v>
      </c>
      <c r="H250" s="901">
        <f>GLOBAL_DER_FEV_2023!H250</f>
        <v>76.400000000000006</v>
      </c>
      <c r="I250" s="901">
        <f>GLOBAL_DER_FEV_2023!I250</f>
        <v>76.790180000000007</v>
      </c>
      <c r="J250" s="902">
        <f>GLOBAL_DER_FEV_2023!J250</f>
        <v>92.2</v>
      </c>
      <c r="K250" s="903" t="s">
        <v>12</v>
      </c>
      <c r="L250" s="1137"/>
      <c r="M250" s="1138">
        <f t="shared" si="21"/>
        <v>0</v>
      </c>
      <c r="N250" s="893">
        <f t="shared" si="20"/>
        <v>0</v>
      </c>
      <c r="O250" s="905"/>
      <c r="Q250" s="317" t="str">
        <f t="shared" si="16"/>
        <v/>
      </c>
      <c r="R250" s="317" t="str">
        <f t="shared" si="18"/>
        <v/>
      </c>
      <c r="S250" s="317" t="str">
        <f t="shared" si="19"/>
        <v/>
      </c>
      <c r="T250" s="317" t="str">
        <f>GLOBAL_DER_FEV_2023!S250</f>
        <v/>
      </c>
      <c r="W250" s="582">
        <v>0</v>
      </c>
      <c r="X250" s="580"/>
      <c r="Y250" s="583">
        <f>IF(GLOBAL_DER_FEV_2023!W250=0,0,IF(GLOBAL_DER_FEV_2023!W250&gt;0,"c","b"))</f>
        <v>0</v>
      </c>
    </row>
    <row r="251" spans="1:25" ht="13.5" hidden="1" thickBot="1" x14ac:dyDescent="0.25">
      <c r="A251" s="317">
        <v>534908</v>
      </c>
      <c r="B251" s="895" t="s">
        <v>148</v>
      </c>
      <c r="C251" s="896" t="s">
        <v>184</v>
      </c>
      <c r="D251" s="906" t="s">
        <v>805</v>
      </c>
      <c r="E251" s="907">
        <f>GLOBAL_DER_FEV_2023!E251</f>
        <v>0.1</v>
      </c>
      <c r="F251" s="908">
        <f>GLOBAL_DER_FEV_2023!F251</f>
        <v>0.18</v>
      </c>
      <c r="G251" s="949">
        <f>GLOBAL_DER_FEV_2023!G251</f>
        <v>0.50165999999999999</v>
      </c>
      <c r="H251" s="901">
        <f>GLOBAL_DER_FEV_2023!H251</f>
        <v>89.6</v>
      </c>
      <c r="I251" s="901">
        <f>GLOBAL_DER_FEV_2023!I251</f>
        <v>90.101659999999995</v>
      </c>
      <c r="J251" s="902">
        <f>GLOBAL_DER_FEV_2023!J251</f>
        <v>108.19</v>
      </c>
      <c r="K251" s="903" t="s">
        <v>12</v>
      </c>
      <c r="L251" s="1137"/>
      <c r="M251" s="1138">
        <f t="shared" si="21"/>
        <v>0</v>
      </c>
      <c r="N251" s="893">
        <f t="shared" si="20"/>
        <v>0</v>
      </c>
      <c r="O251" s="905"/>
      <c r="Q251" s="317" t="str">
        <f t="shared" si="16"/>
        <v/>
      </c>
      <c r="R251" s="317" t="str">
        <f t="shared" si="18"/>
        <v/>
      </c>
      <c r="S251" s="317" t="str">
        <f t="shared" si="19"/>
        <v/>
      </c>
      <c r="T251" s="317" t="str">
        <f>GLOBAL_DER_FEV_2023!S251</f>
        <v/>
      </c>
      <c r="W251" s="582">
        <v>0</v>
      </c>
      <c r="X251" s="580"/>
      <c r="Y251" s="583">
        <f>IF(GLOBAL_DER_FEV_2023!W251=0,0,IF(GLOBAL_DER_FEV_2023!W251&gt;0,"c","b"))</f>
        <v>0</v>
      </c>
    </row>
    <row r="252" spans="1:25" ht="13.5" hidden="1" thickBot="1" x14ac:dyDescent="0.25">
      <c r="A252" s="317">
        <v>534908</v>
      </c>
      <c r="B252" s="895" t="s">
        <v>149</v>
      </c>
      <c r="C252" s="896" t="s">
        <v>184</v>
      </c>
      <c r="D252" s="906" t="s">
        <v>806</v>
      </c>
      <c r="E252" s="907">
        <f>GLOBAL_DER_FEV_2023!E252</f>
        <v>0.1</v>
      </c>
      <c r="F252" s="908">
        <f>GLOBAL_DER_FEV_2023!F252</f>
        <v>0.18</v>
      </c>
      <c r="G252" s="949">
        <f>GLOBAL_DER_FEV_2023!G252</f>
        <v>0.50165999999999999</v>
      </c>
      <c r="H252" s="901">
        <f>GLOBAL_DER_FEV_2023!H252</f>
        <v>89.6</v>
      </c>
      <c r="I252" s="901">
        <f>GLOBAL_DER_FEV_2023!I252</f>
        <v>90.101659999999995</v>
      </c>
      <c r="J252" s="902">
        <f>GLOBAL_DER_FEV_2023!J252</f>
        <v>108.19</v>
      </c>
      <c r="K252" s="903" t="s">
        <v>12</v>
      </c>
      <c r="L252" s="1137"/>
      <c r="M252" s="1138">
        <f t="shared" si="21"/>
        <v>0</v>
      </c>
      <c r="N252" s="893">
        <f t="shared" si="20"/>
        <v>0</v>
      </c>
      <c r="O252" s="905"/>
      <c r="Q252" s="317" t="str">
        <f t="shared" si="16"/>
        <v/>
      </c>
      <c r="R252" s="317" t="str">
        <f t="shared" si="18"/>
        <v/>
      </c>
      <c r="S252" s="317" t="str">
        <f t="shared" si="19"/>
        <v/>
      </c>
      <c r="T252" s="317" t="str">
        <f>GLOBAL_DER_FEV_2023!S252</f>
        <v/>
      </c>
      <c r="W252" s="582">
        <v>0</v>
      </c>
      <c r="X252" s="580"/>
      <c r="Y252" s="583">
        <f>IF(GLOBAL_DER_FEV_2023!W252=0,0,IF(GLOBAL_DER_FEV_2023!W252&gt;0,"c","b"))</f>
        <v>0</v>
      </c>
    </row>
    <row r="253" spans="1:25" ht="13.5" hidden="1" thickBot="1" x14ac:dyDescent="0.25">
      <c r="A253" s="317">
        <v>534908</v>
      </c>
      <c r="B253" s="895" t="s">
        <v>150</v>
      </c>
      <c r="C253" s="896" t="s">
        <v>184</v>
      </c>
      <c r="D253" s="906" t="s">
        <v>807</v>
      </c>
      <c r="E253" s="907">
        <f>GLOBAL_DER_FEV_2023!E253</f>
        <v>0.1</v>
      </c>
      <c r="F253" s="908">
        <f>GLOBAL_DER_FEV_2023!F253</f>
        <v>0.22</v>
      </c>
      <c r="G253" s="949">
        <f>GLOBAL_DER_FEV_2023!G253</f>
        <v>0.61314000000000013</v>
      </c>
      <c r="H253" s="901">
        <f>GLOBAL_DER_FEV_2023!H253</f>
        <v>89.6</v>
      </c>
      <c r="I253" s="901">
        <f>GLOBAL_DER_FEV_2023!I253</f>
        <v>90.213139999999996</v>
      </c>
      <c r="J253" s="902">
        <f>GLOBAL_DER_FEV_2023!J253</f>
        <v>108.32</v>
      </c>
      <c r="K253" s="903" t="s">
        <v>12</v>
      </c>
      <c r="L253" s="1137"/>
      <c r="M253" s="1138">
        <f t="shared" si="21"/>
        <v>0</v>
      </c>
      <c r="N253" s="893">
        <f t="shared" si="20"/>
        <v>0</v>
      </c>
      <c r="O253" s="905"/>
      <c r="Q253" s="317" t="str">
        <f t="shared" si="16"/>
        <v/>
      </c>
      <c r="R253" s="317" t="str">
        <f t="shared" si="18"/>
        <v/>
      </c>
      <c r="S253" s="317" t="str">
        <f t="shared" si="19"/>
        <v/>
      </c>
      <c r="T253" s="317" t="str">
        <f>GLOBAL_DER_FEV_2023!S253</f>
        <v/>
      </c>
      <c r="W253" s="582">
        <v>0</v>
      </c>
      <c r="X253" s="580"/>
      <c r="Y253" s="583">
        <f>IF(GLOBAL_DER_FEV_2023!W253=0,0,IF(GLOBAL_DER_FEV_2023!W253&gt;0,"c","b"))</f>
        <v>0</v>
      </c>
    </row>
    <row r="254" spans="1:25" ht="13.5" hidden="1" thickBot="1" x14ac:dyDescent="0.25">
      <c r="A254" s="317">
        <v>534908</v>
      </c>
      <c r="B254" s="895" t="s">
        <v>210</v>
      </c>
      <c r="C254" s="896" t="s">
        <v>184</v>
      </c>
      <c r="D254" s="906" t="s">
        <v>808</v>
      </c>
      <c r="E254" s="907">
        <f>GLOBAL_DER_FEV_2023!E254</f>
        <v>0.1</v>
      </c>
      <c r="F254" s="908">
        <f>GLOBAL_DER_FEV_2023!F254</f>
        <v>0.22</v>
      </c>
      <c r="G254" s="949">
        <f>GLOBAL_DER_FEV_2023!G254</f>
        <v>0.61314000000000013</v>
      </c>
      <c r="H254" s="901">
        <f>GLOBAL_DER_FEV_2023!H254</f>
        <v>89.6</v>
      </c>
      <c r="I254" s="901">
        <f>GLOBAL_DER_FEV_2023!I254</f>
        <v>90.213139999999996</v>
      </c>
      <c r="J254" s="902">
        <f>GLOBAL_DER_FEV_2023!J254</f>
        <v>108.32</v>
      </c>
      <c r="K254" s="903" t="s">
        <v>12</v>
      </c>
      <c r="L254" s="1137"/>
      <c r="M254" s="1138">
        <f t="shared" si="21"/>
        <v>0</v>
      </c>
      <c r="N254" s="893">
        <f t="shared" si="20"/>
        <v>0</v>
      </c>
      <c r="O254" s="905"/>
      <c r="Q254" s="317" t="str">
        <f t="shared" si="16"/>
        <v/>
      </c>
      <c r="R254" s="317" t="str">
        <f t="shared" si="18"/>
        <v/>
      </c>
      <c r="S254" s="317" t="str">
        <f t="shared" si="19"/>
        <v/>
      </c>
      <c r="T254" s="317" t="str">
        <f>GLOBAL_DER_FEV_2023!S254</f>
        <v/>
      </c>
      <c r="W254" s="582">
        <v>0</v>
      </c>
      <c r="X254" s="580"/>
      <c r="Y254" s="583">
        <f>IF(GLOBAL_DER_FEV_2023!W254=0,0,IF(GLOBAL_DER_FEV_2023!W254&gt;0,"c","b"))</f>
        <v>0</v>
      </c>
    </row>
    <row r="255" spans="1:25" ht="13.5" hidden="1" thickBot="1" x14ac:dyDescent="0.25">
      <c r="A255" s="317">
        <v>101090</v>
      </c>
      <c r="B255" s="995" t="s">
        <v>1634</v>
      </c>
      <c r="C255" s="996" t="s">
        <v>596</v>
      </c>
      <c r="D255" s="965" t="s">
        <v>1518</v>
      </c>
      <c r="E255" s="966">
        <f>GLOBAL_DER_FEV_2023!E255</f>
        <v>0</v>
      </c>
      <c r="F255" s="997">
        <f>GLOBAL_DER_FEV_2023!F255</f>
        <v>0.3</v>
      </c>
      <c r="G255" s="968">
        <f>GLOBAL_DER_FEV_2023!G255</f>
        <v>0.80400000000000005</v>
      </c>
      <c r="H255" s="940">
        <f>GLOBAL_DER_FEV_2023!H255</f>
        <v>291.81</v>
      </c>
      <c r="I255" s="940">
        <f>GLOBAL_DER_FEV_2023!I255</f>
        <v>292.61399999999998</v>
      </c>
      <c r="J255" s="969">
        <f>GLOBAL_DER_FEV_2023!J255</f>
        <v>351.34</v>
      </c>
      <c r="K255" s="970" t="s">
        <v>12</v>
      </c>
      <c r="L255" s="1145"/>
      <c r="M255" s="1156">
        <f t="shared" si="21"/>
        <v>0</v>
      </c>
      <c r="N255" s="942">
        <f t="shared" si="20"/>
        <v>0</v>
      </c>
      <c r="O255" s="905"/>
      <c r="Q255" s="317" t="str">
        <f t="shared" si="16"/>
        <v/>
      </c>
      <c r="R255" s="317" t="str">
        <f t="shared" si="18"/>
        <v/>
      </c>
      <c r="S255" s="317" t="str">
        <f t="shared" si="19"/>
        <v/>
      </c>
      <c r="T255" s="317" t="str">
        <f>GLOBAL_DER_FEV_2023!S255</f>
        <v/>
      </c>
      <c r="W255" s="582">
        <v>0</v>
      </c>
      <c r="X255" s="580"/>
      <c r="Y255" s="583">
        <f>IF(GLOBAL_DER_FEV_2023!W255=0,0,IF(GLOBAL_DER_FEV_2023!W255&gt;0,"c","b"))</f>
        <v>0</v>
      </c>
    </row>
    <row r="256" spans="1:25" ht="13.5" hidden="1" thickBot="1" x14ac:dyDescent="0.25">
      <c r="A256" s="317">
        <v>562100</v>
      </c>
      <c r="B256" s="999" t="s">
        <v>1636</v>
      </c>
      <c r="C256" s="1000" t="s">
        <v>184</v>
      </c>
      <c r="D256" s="973" t="s">
        <v>544</v>
      </c>
      <c r="E256" s="974" t="str">
        <f>GLOBAL_DER_FEV_2023!E256</f>
        <v>taxa RL</v>
      </c>
      <c r="F256" s="975">
        <f>GLOBAL_DER_FEV_2023!F256</f>
        <v>1.5E-3</v>
      </c>
      <c r="G256" s="976">
        <f>GLOBAL_DER_FEV_2023!G256</f>
        <v>0.44321160000000004</v>
      </c>
      <c r="H256" s="977">
        <f>GLOBAL_DER_FEV_2023!H256</f>
        <v>3.09</v>
      </c>
      <c r="I256" s="977">
        <f>GLOBAL_DER_FEV_2023!I256</f>
        <v>3.5332116</v>
      </c>
      <c r="J256" s="978">
        <f>GLOBAL_DER_FEV_2023!J256</f>
        <v>4.24</v>
      </c>
      <c r="K256" s="979" t="s">
        <v>12</v>
      </c>
      <c r="L256" s="1152"/>
      <c r="M256" s="1153">
        <f t="shared" si="21"/>
        <v>0</v>
      </c>
      <c r="N256" s="982">
        <f t="shared" si="20"/>
        <v>0</v>
      </c>
      <c r="O256" s="905"/>
      <c r="Q256" s="317" t="str">
        <f t="shared" si="16"/>
        <v/>
      </c>
      <c r="R256" s="317" t="str">
        <f t="shared" si="18"/>
        <v/>
      </c>
      <c r="S256" s="317" t="str">
        <f t="shared" si="19"/>
        <v/>
      </c>
      <c r="T256" s="317" t="str">
        <f>GLOBAL_DER_FEV_2023!S256</f>
        <v/>
      </c>
      <c r="W256" s="582">
        <v>0</v>
      </c>
      <c r="X256" s="580"/>
      <c r="Y256" s="583">
        <f>IF(GLOBAL_DER_FEV_2023!W256=0,0,IF(GLOBAL_DER_FEV_2023!W256&gt;0,"c","b"))</f>
        <v>0</v>
      </c>
    </row>
    <row r="257" spans="1:25" ht="13.5" hidden="1" thickBot="1" x14ac:dyDescent="0.25">
      <c r="A257" s="317" t="s">
        <v>147</v>
      </c>
      <c r="B257" s="895" t="s">
        <v>147</v>
      </c>
      <c r="C257" s="896"/>
      <c r="D257" s="1001" t="s">
        <v>229</v>
      </c>
      <c r="E257" s="907">
        <f>GLOBAL_DER_FEV_2023!E257</f>
        <v>150</v>
      </c>
      <c r="F257" s="1002" t="str">
        <f>GLOBAL_DER_FEV_2023!F257</f>
        <v>0,0025</v>
      </c>
      <c r="G257" s="949">
        <f>GLOBAL_DER_FEV_2023!G257</f>
        <v>0.40795000000000003</v>
      </c>
      <c r="H257" s="901">
        <f>GLOBAL_DER_FEV_2023!H257</f>
        <v>0</v>
      </c>
      <c r="I257" s="901">
        <f>GLOBAL_DER_FEV_2023!I257</f>
        <v>0</v>
      </c>
      <c r="J257" s="902">
        <f>GLOBAL_DER_FEV_2023!J257</f>
        <v>0</v>
      </c>
      <c r="K257" s="903" t="s">
        <v>507</v>
      </c>
      <c r="L257" s="1003"/>
      <c r="M257" s="1157">
        <f t="shared" si="21"/>
        <v>0</v>
      </c>
      <c r="N257" s="893">
        <f t="shared" si="20"/>
        <v>0</v>
      </c>
      <c r="O257" s="905"/>
      <c r="P257" s="58" t="str">
        <f>IF(N256&gt;0,"xx",IF(N256&gt;0,"xy",""))</f>
        <v/>
      </c>
      <c r="Q257" s="317" t="str">
        <f t="shared" si="16"/>
        <v/>
      </c>
      <c r="R257" s="317" t="str">
        <f t="shared" si="18"/>
        <v/>
      </c>
      <c r="S257" s="317" t="str">
        <f t="shared" si="19"/>
        <v/>
      </c>
      <c r="T257" s="317" t="str">
        <f>GLOBAL_DER_FEV_2023!S257</f>
        <v/>
      </c>
      <c r="W257" s="582">
        <v>0</v>
      </c>
      <c r="X257" s="580"/>
      <c r="Y257" s="583">
        <f>IF(GLOBAL_DER_FEV_2023!W257=0,0,IF(GLOBAL_DER_FEV_2023!W257&gt;0,"c","b"))</f>
        <v>0</v>
      </c>
    </row>
    <row r="258" spans="1:25" ht="13.5" hidden="1" thickBot="1" x14ac:dyDescent="0.25">
      <c r="A258" s="317" t="s">
        <v>147</v>
      </c>
      <c r="B258" s="895" t="s">
        <v>147</v>
      </c>
      <c r="C258" s="896"/>
      <c r="D258" s="1001" t="s">
        <v>230</v>
      </c>
      <c r="E258" s="907">
        <f>GLOBAL_DER_FEV_2023!E258</f>
        <v>353</v>
      </c>
      <c r="F258" s="1002" t="str">
        <f>GLOBAL_DER_FEV_2023!F258</f>
        <v>0,0001</v>
      </c>
      <c r="G258" s="909">
        <f>GLOBAL_DER_FEV_2023!G258</f>
        <v>2.8316000000000004E-2</v>
      </c>
      <c r="H258" s="901">
        <f>GLOBAL_DER_FEV_2023!H258</f>
        <v>0</v>
      </c>
      <c r="I258" s="901">
        <f>GLOBAL_DER_FEV_2023!I258</f>
        <v>0</v>
      </c>
      <c r="J258" s="902">
        <f>GLOBAL_DER_FEV_2023!J258</f>
        <v>0</v>
      </c>
      <c r="K258" s="903" t="s">
        <v>507</v>
      </c>
      <c r="L258" s="1003"/>
      <c r="M258" s="1157">
        <f t="shared" si="21"/>
        <v>0</v>
      </c>
      <c r="N258" s="893">
        <f t="shared" si="20"/>
        <v>0</v>
      </c>
      <c r="O258" s="905"/>
      <c r="P258" s="58" t="str">
        <f>IF(N256&gt;0,"xx",IF(N256&gt;0,"xy",""))</f>
        <v/>
      </c>
      <c r="Q258" s="317" t="str">
        <f t="shared" si="16"/>
        <v/>
      </c>
      <c r="R258" s="317" t="str">
        <f t="shared" si="18"/>
        <v/>
      </c>
      <c r="S258" s="317" t="str">
        <f t="shared" si="19"/>
        <v/>
      </c>
      <c r="T258" s="317" t="str">
        <f>GLOBAL_DER_FEV_2023!S258</f>
        <v/>
      </c>
      <c r="W258" s="582">
        <v>0</v>
      </c>
      <c r="X258" s="580"/>
      <c r="Y258" s="583">
        <f>IF(GLOBAL_DER_FEV_2023!W258=0,0,IF(GLOBAL_DER_FEV_2023!W258&gt;0,"c","b"))</f>
        <v>0</v>
      </c>
    </row>
    <row r="259" spans="1:25" ht="13.5" hidden="1" thickBot="1" x14ac:dyDescent="0.25">
      <c r="A259" s="317" t="s">
        <v>147</v>
      </c>
      <c r="B259" s="895" t="s">
        <v>147</v>
      </c>
      <c r="C259" s="896"/>
      <c r="D259" s="1001" t="s">
        <v>231</v>
      </c>
      <c r="E259" s="907">
        <f>GLOBAL_DER_FEV_2023!E259</f>
        <v>0.2</v>
      </c>
      <c r="F259" s="908" t="str">
        <f>GLOBAL_DER_FEV_2023!F259</f>
        <v>0,0024</v>
      </c>
      <c r="G259" s="949">
        <f>GLOBAL_DER_FEV_2023!G259</f>
        <v>6.9455999999999997E-3</v>
      </c>
      <c r="H259" s="901">
        <f>GLOBAL_DER_FEV_2023!H259</f>
        <v>0</v>
      </c>
      <c r="I259" s="901">
        <f>GLOBAL_DER_FEV_2023!I259</f>
        <v>0</v>
      </c>
      <c r="J259" s="902">
        <f>GLOBAL_DER_FEV_2023!J259</f>
        <v>0</v>
      </c>
      <c r="K259" s="903" t="s">
        <v>507</v>
      </c>
      <c r="L259" s="1003"/>
      <c r="M259" s="1157">
        <f t="shared" si="21"/>
        <v>0</v>
      </c>
      <c r="N259" s="893">
        <f t="shared" si="20"/>
        <v>0</v>
      </c>
      <c r="O259" s="905"/>
      <c r="P259" s="58" t="str">
        <f>IF(N256&gt;0,"xx",IF(N256&gt;0,"xy",""))</f>
        <v/>
      </c>
      <c r="Q259" s="317" t="str">
        <f t="shared" si="16"/>
        <v/>
      </c>
      <c r="R259" s="317" t="str">
        <f t="shared" si="18"/>
        <v/>
      </c>
      <c r="S259" s="317" t="str">
        <f t="shared" si="19"/>
        <v/>
      </c>
      <c r="T259" s="317" t="str">
        <f>GLOBAL_DER_FEV_2023!S259</f>
        <v/>
      </c>
      <c r="W259" s="582">
        <v>0</v>
      </c>
      <c r="X259" s="580"/>
      <c r="Y259" s="583">
        <f>IF(GLOBAL_DER_FEV_2023!W259=0,0,IF(GLOBAL_DER_FEV_2023!W259&gt;0,"c","b"))</f>
        <v>0</v>
      </c>
    </row>
    <row r="260" spans="1:25" ht="13.5" hidden="1" thickBot="1" x14ac:dyDescent="0.25">
      <c r="A260" s="317">
        <v>589170</v>
      </c>
      <c r="B260" s="1004" t="s">
        <v>1671</v>
      </c>
      <c r="C260" s="984" t="s">
        <v>213</v>
      </c>
      <c r="D260" s="985" t="s">
        <v>543</v>
      </c>
      <c r="E260" s="1005">
        <f>GLOBAL_DER_FEV_2023!E260</f>
        <v>45</v>
      </c>
      <c r="F260" s="1006">
        <f>GLOBAL_DER_FEV_2023!F260</f>
        <v>1</v>
      </c>
      <c r="G260" s="949">
        <f>GLOBAL_DER_FEV_2023!G260</f>
        <v>79.25</v>
      </c>
      <c r="H260" s="988">
        <f>GLOBAL_DER_FEV_2023!H260</f>
        <v>4031.59</v>
      </c>
      <c r="I260" s="988">
        <f>GLOBAL_DER_FEV_2023!I260</f>
        <v>3950.0061855584249</v>
      </c>
      <c r="J260" s="989">
        <f>GLOBAL_DER_FEV_2023!J260</f>
        <v>4742.7700000000004</v>
      </c>
      <c r="K260" s="990" t="s">
        <v>14</v>
      </c>
      <c r="L260" s="1154">
        <f>ROUND(L256*$F256,2)</f>
        <v>0</v>
      </c>
      <c r="M260" s="1156">
        <f t="shared" si="21"/>
        <v>0</v>
      </c>
      <c r="N260" s="993">
        <f t="shared" si="20"/>
        <v>0</v>
      </c>
      <c r="O260" s="905"/>
      <c r="P260" s="58" t="str">
        <f>IF(N256&gt;0,"xx",IF(N256&gt;0,"xy",""))</f>
        <v/>
      </c>
      <c r="Q260" s="317" t="str">
        <f t="shared" si="16"/>
        <v/>
      </c>
      <c r="R260" s="317" t="str">
        <f t="shared" si="18"/>
        <v/>
      </c>
      <c r="S260" s="317" t="str">
        <f t="shared" si="19"/>
        <v/>
      </c>
      <c r="T260" s="317" t="str">
        <f>GLOBAL_DER_FEV_2023!S260</f>
        <v/>
      </c>
      <c r="W260" s="582">
        <v>0</v>
      </c>
      <c r="X260" s="580"/>
      <c r="Y260" s="583">
        <f>IF(GLOBAL_DER_FEV_2023!W260=0,0,IF(GLOBAL_DER_FEV_2023!W260&gt;0,"c","b"))</f>
        <v>0</v>
      </c>
    </row>
    <row r="261" spans="1:25" ht="13.5" hidden="1" thickBot="1" x14ac:dyDescent="0.25">
      <c r="A261" s="317">
        <v>562100</v>
      </c>
      <c r="B261" s="999" t="s">
        <v>1637</v>
      </c>
      <c r="C261" s="1000" t="s">
        <v>184</v>
      </c>
      <c r="D261" s="973" t="s">
        <v>550</v>
      </c>
      <c r="E261" s="974" t="str">
        <f>GLOBAL_DER_FEV_2023!E261</f>
        <v>taxa RL</v>
      </c>
      <c r="F261" s="975">
        <f>GLOBAL_DER_FEV_2023!F261</f>
        <v>1.8E-3</v>
      </c>
      <c r="G261" s="976">
        <f>GLOBAL_DER_FEV_2023!G261</f>
        <v>0.68366160000000009</v>
      </c>
      <c r="H261" s="977">
        <f>GLOBAL_DER_FEV_2023!H261</f>
        <v>3.09</v>
      </c>
      <c r="I261" s="977">
        <f>GLOBAL_DER_FEV_2023!I261</f>
        <v>3.7736616000000001</v>
      </c>
      <c r="J261" s="978">
        <f>GLOBAL_DER_FEV_2023!J261</f>
        <v>4.53</v>
      </c>
      <c r="K261" s="979" t="s">
        <v>12</v>
      </c>
      <c r="L261" s="1152"/>
      <c r="M261" s="1153">
        <f t="shared" si="21"/>
        <v>0</v>
      </c>
      <c r="N261" s="982">
        <f t="shared" si="20"/>
        <v>0</v>
      </c>
      <c r="O261" s="905"/>
      <c r="Q261" s="317" t="str">
        <f t="shared" si="16"/>
        <v/>
      </c>
      <c r="R261" s="317" t="str">
        <f t="shared" si="18"/>
        <v/>
      </c>
      <c r="S261" s="317" t="str">
        <f t="shared" si="19"/>
        <v/>
      </c>
      <c r="T261" s="317" t="str">
        <f>GLOBAL_DER_FEV_2023!S261</f>
        <v/>
      </c>
      <c r="W261" s="582">
        <v>0</v>
      </c>
      <c r="X261" s="580"/>
      <c r="Y261" s="583">
        <f>IF(GLOBAL_DER_FEV_2023!W261=0,0,IF(GLOBAL_DER_FEV_2023!W261&gt;0,"c","b"))</f>
        <v>0</v>
      </c>
    </row>
    <row r="262" spans="1:25" ht="13.5" hidden="1" thickBot="1" x14ac:dyDescent="0.25">
      <c r="A262" s="317" t="s">
        <v>147</v>
      </c>
      <c r="B262" s="895" t="s">
        <v>147</v>
      </c>
      <c r="C262" s="896"/>
      <c r="D262" s="1001" t="s">
        <v>229</v>
      </c>
      <c r="E262" s="907">
        <f>GLOBAL_DER_FEV_2023!E262</f>
        <v>150</v>
      </c>
      <c r="F262" s="1002" t="str">
        <f>GLOBAL_DER_FEV_2023!F262</f>
        <v>0,0038</v>
      </c>
      <c r="G262" s="949">
        <f>GLOBAL_DER_FEV_2023!G262</f>
        <v>0.62008400000000008</v>
      </c>
      <c r="H262" s="901">
        <f>GLOBAL_DER_FEV_2023!H262</f>
        <v>0</v>
      </c>
      <c r="I262" s="901">
        <f>GLOBAL_DER_FEV_2023!I262</f>
        <v>0</v>
      </c>
      <c r="J262" s="902">
        <f>GLOBAL_DER_FEV_2023!J262</f>
        <v>0</v>
      </c>
      <c r="K262" s="903" t="s">
        <v>507</v>
      </c>
      <c r="L262" s="1003"/>
      <c r="M262" s="1157">
        <f t="shared" si="21"/>
        <v>0</v>
      </c>
      <c r="N262" s="893">
        <f t="shared" si="20"/>
        <v>0</v>
      </c>
      <c r="O262" s="905"/>
      <c r="P262" s="58" t="str">
        <f>IF(N261&gt;0,"xx",IF(N261&gt;0,"xy",""))</f>
        <v/>
      </c>
      <c r="Q262" s="317" t="str">
        <f t="shared" si="16"/>
        <v/>
      </c>
      <c r="R262" s="317" t="str">
        <f t="shared" si="18"/>
        <v/>
      </c>
      <c r="S262" s="317" t="str">
        <f t="shared" si="19"/>
        <v/>
      </c>
      <c r="T262" s="317" t="str">
        <f>GLOBAL_DER_FEV_2023!S262</f>
        <v/>
      </c>
      <c r="W262" s="582">
        <v>0</v>
      </c>
      <c r="X262" s="580"/>
      <c r="Y262" s="583">
        <f>IF(GLOBAL_DER_FEV_2023!W262=0,0,IF(GLOBAL_DER_FEV_2023!W262&gt;0,"c","b"))</f>
        <v>0</v>
      </c>
    </row>
    <row r="263" spans="1:25" ht="13.5" hidden="1" thickBot="1" x14ac:dyDescent="0.25">
      <c r="A263" s="317" t="s">
        <v>147</v>
      </c>
      <c r="B263" s="895" t="s">
        <v>147</v>
      </c>
      <c r="C263" s="896"/>
      <c r="D263" s="1001" t="s">
        <v>230</v>
      </c>
      <c r="E263" s="907">
        <f>GLOBAL_DER_FEV_2023!E263</f>
        <v>353</v>
      </c>
      <c r="F263" s="1002" t="str">
        <f>GLOBAL_DER_FEV_2023!F263</f>
        <v>0,0002</v>
      </c>
      <c r="G263" s="909">
        <f>GLOBAL_DER_FEV_2023!G263</f>
        <v>5.6632000000000009E-2</v>
      </c>
      <c r="H263" s="901">
        <f>GLOBAL_DER_FEV_2023!H263</f>
        <v>0</v>
      </c>
      <c r="I263" s="901">
        <f>GLOBAL_DER_FEV_2023!I263</f>
        <v>0</v>
      </c>
      <c r="J263" s="902">
        <f>GLOBAL_DER_FEV_2023!J263</f>
        <v>0</v>
      </c>
      <c r="K263" s="903" t="s">
        <v>507</v>
      </c>
      <c r="L263" s="1003"/>
      <c r="M263" s="1157">
        <f t="shared" si="21"/>
        <v>0</v>
      </c>
      <c r="N263" s="893">
        <f t="shared" si="20"/>
        <v>0</v>
      </c>
      <c r="O263" s="905"/>
      <c r="P263" s="58" t="str">
        <f>IF(N261&gt;0,"xx",IF(N261&gt;0,"xy",""))</f>
        <v/>
      </c>
      <c r="Q263" s="317" t="str">
        <f t="shared" si="16"/>
        <v/>
      </c>
      <c r="R263" s="317" t="str">
        <f t="shared" si="18"/>
        <v/>
      </c>
      <c r="S263" s="317" t="str">
        <f t="shared" si="19"/>
        <v/>
      </c>
      <c r="T263" s="317" t="str">
        <f>GLOBAL_DER_FEV_2023!S263</f>
        <v/>
      </c>
      <c r="W263" s="582">
        <v>0</v>
      </c>
      <c r="X263" s="580"/>
      <c r="Y263" s="583">
        <f>IF(GLOBAL_DER_FEV_2023!W263=0,0,IF(GLOBAL_DER_FEV_2023!W263&gt;0,"c","b"))</f>
        <v>0</v>
      </c>
    </row>
    <row r="264" spans="1:25" ht="13.5" hidden="1" thickBot="1" x14ac:dyDescent="0.25">
      <c r="A264" s="317" t="s">
        <v>147</v>
      </c>
      <c r="B264" s="895" t="s">
        <v>147</v>
      </c>
      <c r="C264" s="896"/>
      <c r="D264" s="957" t="s">
        <v>231</v>
      </c>
      <c r="E264" s="907">
        <f>GLOBAL_DER_FEV_2023!E264</f>
        <v>0.2</v>
      </c>
      <c r="F264" s="908" t="str">
        <f>GLOBAL_DER_FEV_2023!F264</f>
        <v>0,0024</v>
      </c>
      <c r="G264" s="949">
        <f>GLOBAL_DER_FEV_2023!G264</f>
        <v>6.9455999999999997E-3</v>
      </c>
      <c r="H264" s="901">
        <f>GLOBAL_DER_FEV_2023!H264</f>
        <v>0</v>
      </c>
      <c r="I264" s="901">
        <f>GLOBAL_DER_FEV_2023!I264</f>
        <v>0</v>
      </c>
      <c r="J264" s="902">
        <f>GLOBAL_DER_FEV_2023!J264</f>
        <v>0</v>
      </c>
      <c r="K264" s="903" t="s">
        <v>507</v>
      </c>
      <c r="L264" s="1003"/>
      <c r="M264" s="1157">
        <f t="shared" si="21"/>
        <v>0</v>
      </c>
      <c r="N264" s="893">
        <f t="shared" si="20"/>
        <v>0</v>
      </c>
      <c r="O264" s="905"/>
      <c r="P264" s="58" t="str">
        <f>IF(N261&gt;0,"xx",IF(N261&gt;0,"xy",""))</f>
        <v/>
      </c>
      <c r="Q264" s="317" t="str">
        <f t="shared" si="16"/>
        <v/>
      </c>
      <c r="R264" s="317" t="str">
        <f t="shared" si="18"/>
        <v/>
      </c>
      <c r="S264" s="317" t="str">
        <f t="shared" si="19"/>
        <v/>
      </c>
      <c r="T264" s="317" t="str">
        <f>GLOBAL_DER_FEV_2023!S264</f>
        <v/>
      </c>
      <c r="W264" s="582">
        <v>0</v>
      </c>
      <c r="X264" s="580"/>
      <c r="Y264" s="583">
        <f>IF(GLOBAL_DER_FEV_2023!W264=0,0,IF(GLOBAL_DER_FEV_2023!W264&gt;0,"c","b"))</f>
        <v>0</v>
      </c>
    </row>
    <row r="265" spans="1:25" ht="13.5" hidden="1" thickBot="1" x14ac:dyDescent="0.25">
      <c r="A265" s="317">
        <v>589170</v>
      </c>
      <c r="B265" s="883" t="s">
        <v>1672</v>
      </c>
      <c r="C265" s="1007" t="s">
        <v>213</v>
      </c>
      <c r="D265" s="1008" t="s">
        <v>546</v>
      </c>
      <c r="E265" s="1005">
        <f>GLOBAL_DER_FEV_2023!E265</f>
        <v>45</v>
      </c>
      <c r="F265" s="1006">
        <f>GLOBAL_DER_FEV_2023!F265</f>
        <v>1</v>
      </c>
      <c r="G265" s="949">
        <f>GLOBAL_DER_FEV_2023!G265</f>
        <v>79.25</v>
      </c>
      <c r="H265" s="988">
        <f>GLOBAL_DER_FEV_2023!H265</f>
        <v>4031.59</v>
      </c>
      <c r="I265" s="988">
        <f>GLOBAL_DER_FEV_2023!I265</f>
        <v>3950.0061855584249</v>
      </c>
      <c r="J265" s="890">
        <f>GLOBAL_DER_FEV_2023!J265</f>
        <v>4742.7700000000004</v>
      </c>
      <c r="K265" s="990" t="s">
        <v>14</v>
      </c>
      <c r="L265" s="1154">
        <f>ROUND(L261*$F261,2)</f>
        <v>0</v>
      </c>
      <c r="M265" s="1156">
        <f t="shared" si="21"/>
        <v>0</v>
      </c>
      <c r="N265" s="993">
        <f t="shared" si="20"/>
        <v>0</v>
      </c>
      <c r="O265" s="905"/>
      <c r="P265" s="58" t="str">
        <f>IF(N261&gt;0,"xx",IF(N261&gt;0,"xy",""))</f>
        <v/>
      </c>
      <c r="Q265" s="317" t="str">
        <f t="shared" si="16"/>
        <v/>
      </c>
      <c r="R265" s="317" t="str">
        <f t="shared" si="18"/>
        <v/>
      </c>
      <c r="S265" s="317" t="str">
        <f t="shared" si="19"/>
        <v/>
      </c>
      <c r="T265" s="317" t="str">
        <f>GLOBAL_DER_FEV_2023!S265</f>
        <v/>
      </c>
      <c r="W265" s="582">
        <v>0</v>
      </c>
      <c r="X265" s="580"/>
      <c r="Y265" s="583">
        <f>IF(GLOBAL_DER_FEV_2023!W265=0,0,IF(GLOBAL_DER_FEV_2023!W265&gt;0,"c","b"))</f>
        <v>0</v>
      </c>
    </row>
    <row r="266" spans="1:25" ht="13.5" hidden="1" thickBot="1" x14ac:dyDescent="0.25">
      <c r="A266" s="317">
        <v>562200</v>
      </c>
      <c r="B266" s="999" t="s">
        <v>1638</v>
      </c>
      <c r="C266" s="1000" t="s">
        <v>184</v>
      </c>
      <c r="D266" s="973" t="s">
        <v>551</v>
      </c>
      <c r="E266" s="974" t="str">
        <f>GLOBAL_DER_FEV_2023!E266</f>
        <v>taxa RL</v>
      </c>
      <c r="F266" s="975">
        <f>GLOBAL_DER_FEV_2023!F266</f>
        <v>2E-3</v>
      </c>
      <c r="G266" s="976">
        <f>GLOBAL_DER_FEV_2023!G266</f>
        <v>1.0807922000000001</v>
      </c>
      <c r="H266" s="977">
        <f>GLOBAL_DER_FEV_2023!H266</f>
        <v>4.1100000000000003</v>
      </c>
      <c r="I266" s="977">
        <f>GLOBAL_DER_FEV_2023!I266</f>
        <v>5.1907922000000006</v>
      </c>
      <c r="J266" s="978">
        <f>GLOBAL_DER_FEV_2023!J266</f>
        <v>6.23</v>
      </c>
      <c r="K266" s="979" t="s">
        <v>12</v>
      </c>
      <c r="L266" s="1152"/>
      <c r="M266" s="1153">
        <f t="shared" si="21"/>
        <v>0</v>
      </c>
      <c r="N266" s="982">
        <f t="shared" si="20"/>
        <v>0</v>
      </c>
      <c r="O266" s="905"/>
      <c r="Q266" s="317" t="str">
        <f t="shared" si="16"/>
        <v/>
      </c>
      <c r="R266" s="317" t="str">
        <f t="shared" si="18"/>
        <v/>
      </c>
      <c r="S266" s="317" t="str">
        <f t="shared" si="19"/>
        <v/>
      </c>
      <c r="T266" s="317" t="str">
        <f>GLOBAL_DER_FEV_2023!S266</f>
        <v/>
      </c>
      <c r="W266" s="582">
        <v>0</v>
      </c>
      <c r="X266" s="580"/>
      <c r="Y266" s="583">
        <f>IF(GLOBAL_DER_FEV_2023!W266=0,0,IF(GLOBAL_DER_FEV_2023!W266&gt;0,"c","b"))</f>
        <v>0</v>
      </c>
    </row>
    <row r="267" spans="1:25" ht="13.5" hidden="1" thickBot="1" x14ac:dyDescent="0.25">
      <c r="A267" s="317" t="s">
        <v>147</v>
      </c>
      <c r="B267" s="895" t="s">
        <v>147</v>
      </c>
      <c r="C267" s="896"/>
      <c r="D267" s="1001" t="s">
        <v>229</v>
      </c>
      <c r="E267" s="907">
        <f>GLOBAL_DER_FEV_2023!E267</f>
        <v>150</v>
      </c>
      <c r="F267" s="1002" t="str">
        <f>GLOBAL_DER_FEV_2023!F267</f>
        <v>0,0062</v>
      </c>
      <c r="G267" s="949">
        <f>GLOBAL_DER_FEV_2023!G267</f>
        <v>1.0117160000000001</v>
      </c>
      <c r="H267" s="901">
        <f>GLOBAL_DER_FEV_2023!H267</f>
        <v>0</v>
      </c>
      <c r="I267" s="901">
        <f>GLOBAL_DER_FEV_2023!I267</f>
        <v>0</v>
      </c>
      <c r="J267" s="902">
        <f>GLOBAL_DER_FEV_2023!J267</f>
        <v>0</v>
      </c>
      <c r="K267" s="903"/>
      <c r="L267" s="1003"/>
      <c r="M267" s="1157">
        <f t="shared" si="21"/>
        <v>0</v>
      </c>
      <c r="N267" s="893">
        <f t="shared" si="20"/>
        <v>0</v>
      </c>
      <c r="O267" s="905"/>
      <c r="P267" s="58" t="str">
        <f>IF(N266&gt;0,"xx",IF(N266&gt;0,"xy",""))</f>
        <v/>
      </c>
      <c r="Q267" s="317" t="str">
        <f t="shared" si="16"/>
        <v/>
      </c>
      <c r="R267" s="317" t="str">
        <f t="shared" si="18"/>
        <v/>
      </c>
      <c r="S267" s="317" t="str">
        <f t="shared" si="19"/>
        <v/>
      </c>
      <c r="T267" s="317" t="str">
        <f>GLOBAL_DER_FEV_2023!S267</f>
        <v/>
      </c>
      <c r="W267" s="582">
        <v>0</v>
      </c>
      <c r="X267" s="580"/>
      <c r="Y267" s="583">
        <f>IF(GLOBAL_DER_FEV_2023!W267=0,0,IF(GLOBAL_DER_FEV_2023!W267&gt;0,"c","b"))</f>
        <v>0</v>
      </c>
    </row>
    <row r="268" spans="1:25" ht="13.5" hidden="1" thickBot="1" x14ac:dyDescent="0.25">
      <c r="A268" s="317" t="s">
        <v>147</v>
      </c>
      <c r="B268" s="895" t="s">
        <v>147</v>
      </c>
      <c r="C268" s="896"/>
      <c r="D268" s="1001" t="s">
        <v>230</v>
      </c>
      <c r="E268" s="907">
        <f>GLOBAL_DER_FEV_2023!E268</f>
        <v>353</v>
      </c>
      <c r="F268" s="1002" t="str">
        <f>GLOBAL_DER_FEV_2023!F268</f>
        <v>0,0002</v>
      </c>
      <c r="G268" s="909">
        <f>GLOBAL_DER_FEV_2023!G268</f>
        <v>5.6632000000000009E-2</v>
      </c>
      <c r="H268" s="901">
        <f>GLOBAL_DER_FEV_2023!H268</f>
        <v>0</v>
      </c>
      <c r="I268" s="901">
        <f>GLOBAL_DER_FEV_2023!I268</f>
        <v>0</v>
      </c>
      <c r="J268" s="902">
        <f>GLOBAL_DER_FEV_2023!J268</f>
        <v>0</v>
      </c>
      <c r="K268" s="903" t="s">
        <v>507</v>
      </c>
      <c r="L268" s="1003"/>
      <c r="M268" s="1157">
        <f t="shared" si="21"/>
        <v>0</v>
      </c>
      <c r="N268" s="893">
        <f t="shared" si="20"/>
        <v>0</v>
      </c>
      <c r="O268" s="905"/>
      <c r="P268" s="58" t="str">
        <f>IF(N266&gt;0,"xx",IF(N266&gt;0,"xy",""))</f>
        <v/>
      </c>
      <c r="Q268" s="317" t="str">
        <f t="shared" si="16"/>
        <v/>
      </c>
      <c r="R268" s="317" t="str">
        <f t="shared" si="18"/>
        <v/>
      </c>
      <c r="S268" s="317" t="str">
        <f t="shared" si="19"/>
        <v/>
      </c>
      <c r="T268" s="317" t="str">
        <f>GLOBAL_DER_FEV_2023!S268</f>
        <v/>
      </c>
      <c r="W268" s="582">
        <v>0</v>
      </c>
      <c r="X268" s="580"/>
      <c r="Y268" s="583">
        <f>IF(GLOBAL_DER_FEV_2023!W268=0,0,IF(GLOBAL_DER_FEV_2023!W268&gt;0,"c","b"))</f>
        <v>0</v>
      </c>
    </row>
    <row r="269" spans="1:25" ht="13.5" hidden="1" thickBot="1" x14ac:dyDescent="0.25">
      <c r="A269" s="317" t="s">
        <v>147</v>
      </c>
      <c r="B269" s="895" t="s">
        <v>147</v>
      </c>
      <c r="C269" s="896"/>
      <c r="D269" s="957" t="s">
        <v>231</v>
      </c>
      <c r="E269" s="907">
        <f>GLOBAL_DER_FEV_2023!E269</f>
        <v>0.2</v>
      </c>
      <c r="F269" s="908" t="str">
        <f>GLOBAL_DER_FEV_2023!F269</f>
        <v>0,0043</v>
      </c>
      <c r="G269" s="949">
        <f>GLOBAL_DER_FEV_2023!G269</f>
        <v>1.2444200000000001E-2</v>
      </c>
      <c r="H269" s="901">
        <f>GLOBAL_DER_FEV_2023!H269</f>
        <v>0</v>
      </c>
      <c r="I269" s="901">
        <f>GLOBAL_DER_FEV_2023!I269</f>
        <v>0</v>
      </c>
      <c r="J269" s="902">
        <f>GLOBAL_DER_FEV_2023!J269</f>
        <v>0</v>
      </c>
      <c r="K269" s="903" t="s">
        <v>507</v>
      </c>
      <c r="L269" s="1003"/>
      <c r="M269" s="1157">
        <f t="shared" si="21"/>
        <v>0</v>
      </c>
      <c r="N269" s="893">
        <f t="shared" si="20"/>
        <v>0</v>
      </c>
      <c r="O269" s="905"/>
      <c r="P269" s="58" t="str">
        <f>IF(N266&gt;0,"xx",IF(N266&gt;0,"xy",""))</f>
        <v/>
      </c>
      <c r="Q269" s="317" t="str">
        <f t="shared" si="16"/>
        <v/>
      </c>
      <c r="R269" s="317" t="str">
        <f t="shared" si="18"/>
        <v/>
      </c>
      <c r="S269" s="317" t="str">
        <f t="shared" si="19"/>
        <v/>
      </c>
      <c r="T269" s="317" t="str">
        <f>GLOBAL_DER_FEV_2023!S269</f>
        <v/>
      </c>
      <c r="W269" s="582">
        <v>0</v>
      </c>
      <c r="X269" s="580"/>
      <c r="Y269" s="583">
        <f>IF(GLOBAL_DER_FEV_2023!W269=0,0,IF(GLOBAL_DER_FEV_2023!W269&gt;0,"c","b"))</f>
        <v>0</v>
      </c>
    </row>
    <row r="270" spans="1:25" ht="13.5" hidden="1" thickBot="1" x14ac:dyDescent="0.25">
      <c r="A270" s="317">
        <v>589170</v>
      </c>
      <c r="B270" s="883" t="s">
        <v>1673</v>
      </c>
      <c r="C270" s="1007" t="s">
        <v>213</v>
      </c>
      <c r="D270" s="1008" t="s">
        <v>547</v>
      </c>
      <c r="E270" s="1005">
        <f>GLOBAL_DER_FEV_2023!E270</f>
        <v>45</v>
      </c>
      <c r="F270" s="1006">
        <f>GLOBAL_DER_FEV_2023!F270</f>
        <v>1</v>
      </c>
      <c r="G270" s="949">
        <f>GLOBAL_DER_FEV_2023!G270</f>
        <v>79.25</v>
      </c>
      <c r="H270" s="988">
        <f>GLOBAL_DER_FEV_2023!H270</f>
        <v>4031.59</v>
      </c>
      <c r="I270" s="988">
        <f>GLOBAL_DER_FEV_2023!I270</f>
        <v>3950.0061855584249</v>
      </c>
      <c r="J270" s="890">
        <f>GLOBAL_DER_FEV_2023!J270</f>
        <v>4742.7700000000004</v>
      </c>
      <c r="K270" s="990" t="s">
        <v>14</v>
      </c>
      <c r="L270" s="1154">
        <f>ROUND(L266*$F266,2)</f>
        <v>0</v>
      </c>
      <c r="M270" s="1156">
        <f t="shared" si="21"/>
        <v>0</v>
      </c>
      <c r="N270" s="993">
        <f t="shared" si="20"/>
        <v>0</v>
      </c>
      <c r="O270" s="905"/>
      <c r="P270" s="58" t="str">
        <f>IF(N266&gt;0,"xx",IF(N266&gt;0,"xy",""))</f>
        <v/>
      </c>
      <c r="Q270" s="317" t="str">
        <f t="shared" si="16"/>
        <v/>
      </c>
      <c r="R270" s="317" t="str">
        <f t="shared" si="18"/>
        <v/>
      </c>
      <c r="S270" s="317" t="str">
        <f t="shared" si="19"/>
        <v/>
      </c>
      <c r="T270" s="317" t="str">
        <f>GLOBAL_DER_FEV_2023!S270</f>
        <v/>
      </c>
      <c r="W270" s="582">
        <v>0</v>
      </c>
      <c r="X270" s="580"/>
      <c r="Y270" s="583">
        <f>IF(GLOBAL_DER_FEV_2023!W270=0,0,IF(GLOBAL_DER_FEV_2023!W270&gt;0,"c","b"))</f>
        <v>0</v>
      </c>
    </row>
    <row r="271" spans="1:25" ht="13.5" hidden="1" thickBot="1" x14ac:dyDescent="0.25">
      <c r="A271" s="317">
        <v>562200</v>
      </c>
      <c r="B271" s="999" t="s">
        <v>1639</v>
      </c>
      <c r="C271" s="1000" t="s">
        <v>184</v>
      </c>
      <c r="D271" s="973" t="s">
        <v>549</v>
      </c>
      <c r="E271" s="974" t="str">
        <f>GLOBAL_DER_FEV_2023!E271</f>
        <v>taxa RL</v>
      </c>
      <c r="F271" s="975">
        <f>GLOBAL_DER_FEV_2023!F271</f>
        <v>2.5999999999999999E-3</v>
      </c>
      <c r="G271" s="976">
        <f>GLOBAL_DER_FEV_2023!G271</f>
        <v>2.0788368000000004</v>
      </c>
      <c r="H271" s="977">
        <f>GLOBAL_DER_FEV_2023!H271</f>
        <v>4.1100000000000003</v>
      </c>
      <c r="I271" s="977">
        <f>GLOBAL_DER_FEV_2023!I271</f>
        <v>6.1888368000000007</v>
      </c>
      <c r="J271" s="978">
        <f>GLOBAL_DER_FEV_2023!J271</f>
        <v>7.43</v>
      </c>
      <c r="K271" s="979" t="s">
        <v>12</v>
      </c>
      <c r="L271" s="1152"/>
      <c r="M271" s="1153">
        <f t="shared" si="21"/>
        <v>0</v>
      </c>
      <c r="N271" s="982">
        <f t="shared" si="20"/>
        <v>0</v>
      </c>
      <c r="O271" s="905"/>
      <c r="Q271" s="317" t="str">
        <f t="shared" si="16"/>
        <v/>
      </c>
      <c r="R271" s="317" t="str">
        <f t="shared" si="18"/>
        <v/>
      </c>
      <c r="S271" s="317" t="str">
        <f t="shared" si="19"/>
        <v/>
      </c>
      <c r="T271" s="317" t="str">
        <f>GLOBAL_DER_FEV_2023!S271</f>
        <v/>
      </c>
      <c r="W271" s="582">
        <v>0</v>
      </c>
      <c r="X271" s="580"/>
      <c r="Y271" s="583">
        <f>IF(GLOBAL_DER_FEV_2023!W271=0,0,IF(GLOBAL_DER_FEV_2023!W271&gt;0,"c","b"))</f>
        <v>0</v>
      </c>
    </row>
    <row r="272" spans="1:25" ht="13.5" hidden="1" thickBot="1" x14ac:dyDescent="0.25">
      <c r="A272" s="317" t="s">
        <v>147</v>
      </c>
      <c r="B272" s="895" t="s">
        <v>147</v>
      </c>
      <c r="C272" s="896"/>
      <c r="D272" s="1001" t="s">
        <v>229</v>
      </c>
      <c r="E272" s="907">
        <f>GLOBAL_DER_FEV_2023!E272</f>
        <v>150</v>
      </c>
      <c r="F272" s="1002" t="str">
        <f>GLOBAL_DER_FEV_2023!F272</f>
        <v>0,0119</v>
      </c>
      <c r="G272" s="949">
        <f>GLOBAL_DER_FEV_2023!G272</f>
        <v>1.9418420000000003</v>
      </c>
      <c r="H272" s="901">
        <f>GLOBAL_DER_FEV_2023!H272</f>
        <v>0</v>
      </c>
      <c r="I272" s="901">
        <f>GLOBAL_DER_FEV_2023!I272</f>
        <v>0</v>
      </c>
      <c r="J272" s="902">
        <f>GLOBAL_DER_FEV_2023!J272</f>
        <v>0</v>
      </c>
      <c r="K272" s="903" t="s">
        <v>507</v>
      </c>
      <c r="L272" s="1158"/>
      <c r="M272" s="1157">
        <f>IF(L271=0,0,ROUND(J272,2))</f>
        <v>0</v>
      </c>
      <c r="N272" s="893">
        <f t="shared" si="20"/>
        <v>0</v>
      </c>
      <c r="O272" s="905"/>
      <c r="P272" s="58" t="str">
        <f>IF(N271&gt;0,"xx",IF(N271&gt;0,"xy",""))</f>
        <v/>
      </c>
      <c r="Q272" s="317" t="str">
        <f t="shared" si="16"/>
        <v/>
      </c>
      <c r="R272" s="317" t="str">
        <f t="shared" si="18"/>
        <v/>
      </c>
      <c r="S272" s="317" t="str">
        <f t="shared" si="19"/>
        <v/>
      </c>
      <c r="T272" s="317" t="str">
        <f>GLOBAL_DER_FEV_2023!S272</f>
        <v/>
      </c>
      <c r="W272" s="582">
        <v>0</v>
      </c>
      <c r="X272" s="580"/>
      <c r="Y272" s="583">
        <f>IF(GLOBAL_DER_FEV_2023!W272=0,0,IF(GLOBAL_DER_FEV_2023!W272&gt;0,"c","b"))</f>
        <v>0</v>
      </c>
    </row>
    <row r="273" spans="1:25" ht="13.5" hidden="1" thickBot="1" x14ac:dyDescent="0.25">
      <c r="A273" s="317" t="s">
        <v>147</v>
      </c>
      <c r="B273" s="895" t="s">
        <v>147</v>
      </c>
      <c r="C273" s="896"/>
      <c r="D273" s="1001" t="s">
        <v>230</v>
      </c>
      <c r="E273" s="907">
        <f>GLOBAL_DER_FEV_2023!E273</f>
        <v>353</v>
      </c>
      <c r="F273" s="1002" t="str">
        <f>GLOBAL_DER_FEV_2023!F273</f>
        <v>0,0004</v>
      </c>
      <c r="G273" s="909">
        <f>GLOBAL_DER_FEV_2023!G273</f>
        <v>0.11326400000000002</v>
      </c>
      <c r="H273" s="901">
        <f>GLOBAL_DER_FEV_2023!H273</f>
        <v>0</v>
      </c>
      <c r="I273" s="901">
        <f>GLOBAL_DER_FEV_2023!I273</f>
        <v>0</v>
      </c>
      <c r="J273" s="902">
        <f>GLOBAL_DER_FEV_2023!J273</f>
        <v>0</v>
      </c>
      <c r="K273" s="903" t="s">
        <v>507</v>
      </c>
      <c r="L273" s="1003"/>
      <c r="M273" s="1157">
        <f t="shared" ref="M273:M336" si="22">IF(L273=0,0,ROUND(J273,2))</f>
        <v>0</v>
      </c>
      <c r="N273" s="893">
        <f t="shared" si="20"/>
        <v>0</v>
      </c>
      <c r="O273" s="905"/>
      <c r="P273" s="58" t="str">
        <f>IF(N271&gt;0,"xx",IF(N271&gt;0,"xy",""))</f>
        <v/>
      </c>
      <c r="Q273" s="317" t="str">
        <f t="shared" si="16"/>
        <v/>
      </c>
      <c r="R273" s="317" t="str">
        <f t="shared" si="18"/>
        <v/>
      </c>
      <c r="S273" s="317" t="str">
        <f t="shared" si="19"/>
        <v/>
      </c>
      <c r="T273" s="317" t="str">
        <f>GLOBAL_DER_FEV_2023!S273</f>
        <v/>
      </c>
      <c r="W273" s="582">
        <v>0</v>
      </c>
      <c r="X273" s="580"/>
      <c r="Y273" s="583">
        <f>IF(GLOBAL_DER_FEV_2023!W273=0,0,IF(GLOBAL_DER_FEV_2023!W273&gt;0,"c","b"))</f>
        <v>0</v>
      </c>
    </row>
    <row r="274" spans="1:25" ht="13.5" hidden="1" thickBot="1" x14ac:dyDescent="0.25">
      <c r="A274" s="317" t="s">
        <v>147</v>
      </c>
      <c r="B274" s="895" t="s">
        <v>147</v>
      </c>
      <c r="C274" s="896"/>
      <c r="D274" s="957" t="s">
        <v>231</v>
      </c>
      <c r="E274" s="907">
        <f>GLOBAL_DER_FEV_2023!E274</f>
        <v>0.2</v>
      </c>
      <c r="F274" s="908" t="str">
        <f>GLOBAL_DER_FEV_2023!F274</f>
        <v>0,0082</v>
      </c>
      <c r="G274" s="949">
        <f>GLOBAL_DER_FEV_2023!G274</f>
        <v>2.3730800000000003E-2</v>
      </c>
      <c r="H274" s="901">
        <f>GLOBAL_DER_FEV_2023!H274</f>
        <v>0</v>
      </c>
      <c r="I274" s="901">
        <f>GLOBAL_DER_FEV_2023!I274</f>
        <v>0</v>
      </c>
      <c r="J274" s="902">
        <f>GLOBAL_DER_FEV_2023!J274</f>
        <v>0</v>
      </c>
      <c r="K274" s="903" t="s">
        <v>507</v>
      </c>
      <c r="L274" s="1003"/>
      <c r="M274" s="1157">
        <f t="shared" si="22"/>
        <v>0</v>
      </c>
      <c r="N274" s="893">
        <f t="shared" si="20"/>
        <v>0</v>
      </c>
      <c r="O274" s="905"/>
      <c r="P274" s="58" t="str">
        <f>IF(N271&gt;0,"xx",IF(N271&gt;0,"xy",""))</f>
        <v/>
      </c>
      <c r="Q274" s="317" t="str">
        <f t="shared" si="16"/>
        <v/>
      </c>
      <c r="R274" s="317" t="str">
        <f t="shared" si="18"/>
        <v/>
      </c>
      <c r="S274" s="317" t="str">
        <f t="shared" si="19"/>
        <v/>
      </c>
      <c r="T274" s="317" t="str">
        <f>GLOBAL_DER_FEV_2023!S274</f>
        <v/>
      </c>
      <c r="W274" s="582">
        <v>0</v>
      </c>
      <c r="X274" s="580"/>
      <c r="Y274" s="583">
        <f>IF(GLOBAL_DER_FEV_2023!W274=0,0,IF(GLOBAL_DER_FEV_2023!W274&gt;0,"c","b"))</f>
        <v>0</v>
      </c>
    </row>
    <row r="275" spans="1:25" ht="13.5" hidden="1" thickBot="1" x14ac:dyDescent="0.25">
      <c r="A275" s="317">
        <v>589170</v>
      </c>
      <c r="B275" s="1009" t="s">
        <v>1674</v>
      </c>
      <c r="C275" s="984" t="s">
        <v>213</v>
      </c>
      <c r="D275" s="1010" t="s">
        <v>548</v>
      </c>
      <c r="E275" s="1005">
        <f>GLOBAL_DER_FEV_2023!E275</f>
        <v>45</v>
      </c>
      <c r="F275" s="1006">
        <f>GLOBAL_DER_FEV_2023!F275</f>
        <v>1</v>
      </c>
      <c r="G275" s="949">
        <f>GLOBAL_DER_FEV_2023!G275</f>
        <v>79.25</v>
      </c>
      <c r="H275" s="988">
        <f>GLOBAL_DER_FEV_2023!H275</f>
        <v>4031.59</v>
      </c>
      <c r="I275" s="988">
        <f>GLOBAL_DER_FEV_2023!I275</f>
        <v>3950.0061855584249</v>
      </c>
      <c r="J275" s="1011">
        <f>GLOBAL_DER_FEV_2023!J275</f>
        <v>4742.7700000000004</v>
      </c>
      <c r="K275" s="990" t="s">
        <v>14</v>
      </c>
      <c r="L275" s="1154">
        <f>ROUND(L271*$F271,2)</f>
        <v>0</v>
      </c>
      <c r="M275" s="1155">
        <f t="shared" si="22"/>
        <v>0</v>
      </c>
      <c r="N275" s="993">
        <f t="shared" si="20"/>
        <v>0</v>
      </c>
      <c r="O275" s="905"/>
      <c r="P275" s="58" t="str">
        <f>IF(N271&gt;0,"xx",IF(N271&gt;0,"xy",""))</f>
        <v/>
      </c>
      <c r="Q275" s="317" t="str">
        <f t="shared" ref="Q275:Q338" si="23">IF(P275="X","x",IF(P275="xx","x",IF(P275="xy","x",IF(P275="y","x",IF(OR(N275&gt;0,N275&gt;0),"x","")))))</f>
        <v/>
      </c>
      <c r="R275" s="317" t="str">
        <f t="shared" si="18"/>
        <v/>
      </c>
      <c r="S275" s="317" t="str">
        <f t="shared" si="19"/>
        <v/>
      </c>
      <c r="T275" s="317" t="str">
        <f>GLOBAL_DER_FEV_2023!S275</f>
        <v/>
      </c>
      <c r="W275" s="582">
        <v>0</v>
      </c>
      <c r="X275" s="580"/>
      <c r="Y275" s="583">
        <f>IF(GLOBAL_DER_FEV_2023!W275=0,0,IF(GLOBAL_DER_FEV_2023!W275&gt;0,"c","b"))</f>
        <v>0</v>
      </c>
    </row>
    <row r="276" spans="1:25" ht="13.5" hidden="1" thickBot="1" x14ac:dyDescent="0.25">
      <c r="A276" s="317">
        <v>587000</v>
      </c>
      <c r="B276" s="999">
        <v>587000</v>
      </c>
      <c r="C276" s="1000" t="s">
        <v>184</v>
      </c>
      <c r="D276" s="973" t="s">
        <v>232</v>
      </c>
      <c r="E276" s="974" t="str">
        <f>GLOBAL_DER_FEV_2023!E276</f>
        <v>taxa RR-2C</v>
      </c>
      <c r="F276" s="975">
        <f>GLOBAL_DER_FEV_2023!F276</f>
        <v>1.5E-3</v>
      </c>
      <c r="G276" s="976">
        <f>GLOBAL_DER_FEV_2023!G276</f>
        <v>4.3409999999999997E-2</v>
      </c>
      <c r="H276" s="977">
        <f>GLOBAL_DER_FEV_2023!H276</f>
        <v>4.53</v>
      </c>
      <c r="I276" s="977">
        <f>GLOBAL_DER_FEV_2023!I276</f>
        <v>4.57341</v>
      </c>
      <c r="J276" s="978">
        <f>GLOBAL_DER_FEV_2023!J276</f>
        <v>5.49</v>
      </c>
      <c r="K276" s="979" t="s">
        <v>12</v>
      </c>
      <c r="L276" s="1152"/>
      <c r="M276" s="1153">
        <f t="shared" si="22"/>
        <v>0</v>
      </c>
      <c r="N276" s="982">
        <f t="shared" si="20"/>
        <v>0</v>
      </c>
      <c r="O276" s="905"/>
      <c r="Q276" s="317" t="str">
        <f t="shared" si="23"/>
        <v/>
      </c>
      <c r="R276" s="317" t="str">
        <f t="shared" si="18"/>
        <v/>
      </c>
      <c r="S276" s="317" t="str">
        <f t="shared" si="19"/>
        <v/>
      </c>
      <c r="T276" s="317" t="str">
        <f>GLOBAL_DER_FEV_2023!S276</f>
        <v/>
      </c>
      <c r="W276" s="582">
        <v>0</v>
      </c>
      <c r="X276" s="580"/>
      <c r="Y276" s="583">
        <f>IF(GLOBAL_DER_FEV_2023!W276=0,0,IF(GLOBAL_DER_FEV_2023!W276&gt;0,"c","b"))</f>
        <v>0</v>
      </c>
    </row>
    <row r="277" spans="1:25" ht="13.5" hidden="1" thickBot="1" x14ac:dyDescent="0.25">
      <c r="A277" s="317" t="s">
        <v>147</v>
      </c>
      <c r="B277" s="895" t="s">
        <v>147</v>
      </c>
      <c r="C277" s="896"/>
      <c r="D277" s="957" t="s">
        <v>233</v>
      </c>
      <c r="E277" s="898">
        <f>GLOBAL_DER_FEV_2023!E277</f>
        <v>0.2</v>
      </c>
      <c r="F277" s="899">
        <f>GLOBAL_DER_FEV_2023!F277</f>
        <v>1.4999999999999999E-2</v>
      </c>
      <c r="G277" s="949">
        <f>GLOBAL_DER_FEV_2023!G277</f>
        <v>4.3409999999999997E-2</v>
      </c>
      <c r="H277" s="901">
        <f>GLOBAL_DER_FEV_2023!H277</f>
        <v>0</v>
      </c>
      <c r="I277" s="901">
        <f>GLOBAL_DER_FEV_2023!I277</f>
        <v>0</v>
      </c>
      <c r="J277" s="902">
        <f>GLOBAL_DER_FEV_2023!J277</f>
        <v>0</v>
      </c>
      <c r="K277" s="903" t="s">
        <v>507</v>
      </c>
      <c r="L277" s="1003"/>
      <c r="M277" s="1157">
        <f t="shared" si="22"/>
        <v>0</v>
      </c>
      <c r="N277" s="893">
        <f t="shared" si="20"/>
        <v>0</v>
      </c>
      <c r="O277" s="905"/>
      <c r="P277" s="58" t="str">
        <f>IF(N276&gt;0,"xx",IF(N276&gt;0,"xy",""))</f>
        <v/>
      </c>
      <c r="Q277" s="317" t="str">
        <f t="shared" si="23"/>
        <v/>
      </c>
      <c r="R277" s="317" t="str">
        <f t="shared" ref="R277:R340" si="24">IF(P277="X","x",IF(P277="y","x",IF(P277="xx","x",IF(N277&gt;0,"x",""))))</f>
        <v/>
      </c>
      <c r="S277" s="317" t="str">
        <f t="shared" ref="S277:S340" si="25">IF(P277="X","x",IF(N277&gt;0,"x",""))</f>
        <v/>
      </c>
      <c r="T277" s="317" t="str">
        <f>GLOBAL_DER_FEV_2023!S277</f>
        <v/>
      </c>
      <c r="W277" s="582">
        <v>0</v>
      </c>
      <c r="X277" s="580"/>
      <c r="Y277" s="583">
        <f>IF(GLOBAL_DER_FEV_2023!W277=0,0,IF(GLOBAL_DER_FEV_2023!W277&gt;0,"c","b"))</f>
        <v>0</v>
      </c>
    </row>
    <row r="278" spans="1:25" ht="13.5" hidden="1" thickBot="1" x14ac:dyDescent="0.25">
      <c r="A278" s="317">
        <v>589520</v>
      </c>
      <c r="B278" s="1004" t="s">
        <v>1662</v>
      </c>
      <c r="C278" s="984" t="s">
        <v>213</v>
      </c>
      <c r="D278" s="1012" t="s">
        <v>552</v>
      </c>
      <c r="E278" s="1005">
        <f>GLOBAL_DER_FEV_2023!E278</f>
        <v>353</v>
      </c>
      <c r="F278" s="1006">
        <f>GLOBAL_DER_FEV_2023!F278</f>
        <v>1</v>
      </c>
      <c r="G278" s="949">
        <f>GLOBAL_DER_FEV_2023!G278</f>
        <v>337.96999999999997</v>
      </c>
      <c r="H278" s="988">
        <f>GLOBAL_DER_FEV_2023!H278</f>
        <v>4164.04</v>
      </c>
      <c r="I278" s="988">
        <f>GLOBAL_DER_FEV_2023!I278</f>
        <v>4335.8923053218959</v>
      </c>
      <c r="J278" s="989">
        <f>GLOBAL_DER_FEV_2023!J278</f>
        <v>5206.1099999999997</v>
      </c>
      <c r="K278" s="990" t="s">
        <v>14</v>
      </c>
      <c r="L278" s="1154">
        <f>ROUND(L276*$F276,2)</f>
        <v>0</v>
      </c>
      <c r="M278" s="1159">
        <f t="shared" si="22"/>
        <v>0</v>
      </c>
      <c r="N278" s="993">
        <f t="shared" si="20"/>
        <v>0</v>
      </c>
      <c r="O278" s="905"/>
      <c r="P278" s="58" t="str">
        <f>IF(N276&gt;0,"xx",IF(N276&gt;0,"xy",""))</f>
        <v/>
      </c>
      <c r="Q278" s="317" t="str">
        <f t="shared" si="23"/>
        <v/>
      </c>
      <c r="R278" s="317" t="str">
        <f t="shared" si="24"/>
        <v/>
      </c>
      <c r="S278" s="317" t="str">
        <f t="shared" si="25"/>
        <v/>
      </c>
      <c r="T278" s="317" t="str">
        <f>GLOBAL_DER_FEV_2023!S278</f>
        <v/>
      </c>
      <c r="W278" s="582">
        <v>0</v>
      </c>
      <c r="X278" s="580"/>
      <c r="Y278" s="583">
        <f>IF(GLOBAL_DER_FEV_2023!W278=0,0,IF(GLOBAL_DER_FEV_2023!W278&gt;0,"c","b"))</f>
        <v>0</v>
      </c>
    </row>
    <row r="279" spans="1:25" ht="13.5" hidden="1" thickBot="1" x14ac:dyDescent="0.25">
      <c r="A279" s="317">
        <v>583100</v>
      </c>
      <c r="B279" s="999" t="s">
        <v>1640</v>
      </c>
      <c r="C279" s="1000" t="s">
        <v>184</v>
      </c>
      <c r="D279" s="1014" t="s">
        <v>234</v>
      </c>
      <c r="E279" s="974" t="str">
        <f>GLOBAL_DER_FEV_2023!E279</f>
        <v>taxa RR-2C</v>
      </c>
      <c r="F279" s="975">
        <f>GLOBAL_DER_FEV_2023!F279</f>
        <v>3.0999999999999999E-3</v>
      </c>
      <c r="G279" s="976">
        <f>GLOBAL_DER_FEV_2023!G279</f>
        <v>7.6112200000000005E-2</v>
      </c>
      <c r="H279" s="977">
        <f>GLOBAL_DER_FEV_2023!H279</f>
        <v>6.82</v>
      </c>
      <c r="I279" s="977">
        <f>GLOBAL_DER_FEV_2023!I279</f>
        <v>6.8961122000000001</v>
      </c>
      <c r="J279" s="978">
        <f>GLOBAL_DER_FEV_2023!J279</f>
        <v>8.2799999999999994</v>
      </c>
      <c r="K279" s="979" t="s">
        <v>12</v>
      </c>
      <c r="L279" s="1152"/>
      <c r="M279" s="1153">
        <f t="shared" si="22"/>
        <v>0</v>
      </c>
      <c r="N279" s="982">
        <f t="shared" si="20"/>
        <v>0</v>
      </c>
      <c r="O279" s="905"/>
      <c r="Q279" s="317" t="str">
        <f t="shared" si="23"/>
        <v/>
      </c>
      <c r="R279" s="317" t="str">
        <f t="shared" si="24"/>
        <v/>
      </c>
      <c r="S279" s="317" t="str">
        <f t="shared" si="25"/>
        <v/>
      </c>
      <c r="T279" s="317" t="str">
        <f>GLOBAL_DER_FEV_2023!S279</f>
        <v/>
      </c>
      <c r="W279" s="582">
        <v>0</v>
      </c>
      <c r="X279" s="580"/>
      <c r="Y279" s="583">
        <f>IF(GLOBAL_DER_FEV_2023!W279=0,0,IF(GLOBAL_DER_FEV_2023!W279&gt;0,"c","b"))</f>
        <v>0</v>
      </c>
    </row>
    <row r="280" spans="1:25" ht="13.5" hidden="1" thickBot="1" x14ac:dyDescent="0.25">
      <c r="A280" s="317" t="s">
        <v>147</v>
      </c>
      <c r="B280" s="895" t="s">
        <v>147</v>
      </c>
      <c r="C280" s="896"/>
      <c r="D280" s="1015" t="s">
        <v>233</v>
      </c>
      <c r="E280" s="898">
        <f>GLOBAL_DER_FEV_2023!E280</f>
        <v>0.2</v>
      </c>
      <c r="F280" s="908">
        <f>GLOBAL_DER_FEV_2023!F280</f>
        <v>2.63E-2</v>
      </c>
      <c r="G280" s="949">
        <f>GLOBAL_DER_FEV_2023!G280</f>
        <v>7.6112200000000005E-2</v>
      </c>
      <c r="H280" s="901">
        <f>GLOBAL_DER_FEV_2023!H280</f>
        <v>0</v>
      </c>
      <c r="I280" s="901">
        <f>GLOBAL_DER_FEV_2023!I280</f>
        <v>0</v>
      </c>
      <c r="J280" s="902">
        <f>GLOBAL_DER_FEV_2023!J280</f>
        <v>0</v>
      </c>
      <c r="K280" s="903" t="s">
        <v>507</v>
      </c>
      <c r="L280" s="1003"/>
      <c r="M280" s="1157">
        <f t="shared" si="22"/>
        <v>0</v>
      </c>
      <c r="N280" s="893">
        <f t="shared" si="20"/>
        <v>0</v>
      </c>
      <c r="O280" s="905"/>
      <c r="P280" s="58" t="str">
        <f>IF(N279&gt;0,"xx",IF(N279&gt;0,"xy",""))</f>
        <v/>
      </c>
      <c r="Q280" s="317" t="str">
        <f t="shared" si="23"/>
        <v/>
      </c>
      <c r="R280" s="317" t="str">
        <f t="shared" si="24"/>
        <v/>
      </c>
      <c r="S280" s="317" t="str">
        <f t="shared" si="25"/>
        <v/>
      </c>
      <c r="T280" s="317" t="str">
        <f>GLOBAL_DER_FEV_2023!S280</f>
        <v/>
      </c>
      <c r="W280" s="582">
        <v>0</v>
      </c>
      <c r="X280" s="580"/>
      <c r="Y280" s="583">
        <f>IF(GLOBAL_DER_FEV_2023!W280=0,0,IF(GLOBAL_DER_FEV_2023!W280&gt;0,"c","b"))</f>
        <v>0</v>
      </c>
    </row>
    <row r="281" spans="1:25" ht="13.5" hidden="1" thickBot="1" x14ac:dyDescent="0.25">
      <c r="A281" s="317">
        <v>589520</v>
      </c>
      <c r="B281" s="1004" t="s">
        <v>1663</v>
      </c>
      <c r="C281" s="984" t="s">
        <v>213</v>
      </c>
      <c r="D281" s="1016" t="s">
        <v>557</v>
      </c>
      <c r="E281" s="1005">
        <f>GLOBAL_DER_FEV_2023!E281</f>
        <v>353</v>
      </c>
      <c r="F281" s="1006">
        <f>GLOBAL_DER_FEV_2023!F281</f>
        <v>1</v>
      </c>
      <c r="G281" s="949">
        <f>GLOBAL_DER_FEV_2023!G281</f>
        <v>337.96999999999997</v>
      </c>
      <c r="H281" s="988">
        <f>GLOBAL_DER_FEV_2023!H281</f>
        <v>4164.04</v>
      </c>
      <c r="I281" s="988">
        <f>GLOBAL_DER_FEV_2023!I281</f>
        <v>4335.8923053218959</v>
      </c>
      <c r="J281" s="989">
        <f>GLOBAL_DER_FEV_2023!J281</f>
        <v>5206.1099999999997</v>
      </c>
      <c r="K281" s="990" t="s">
        <v>14</v>
      </c>
      <c r="L281" s="1154">
        <f>ROUND(L279*$F279,2)</f>
        <v>0</v>
      </c>
      <c r="M281" s="1159">
        <f t="shared" si="22"/>
        <v>0</v>
      </c>
      <c r="N281" s="993">
        <f t="shared" ref="N281:N344" si="26">IF(ISBLANK(L281),0,IF(W281=0,ROUND(L281*M281,2),IF(W281="b",ROUNDDOWN(L281*M281,2),ROUNDUP(L281*M281,2))))</f>
        <v>0</v>
      </c>
      <c r="O281" s="905"/>
      <c r="P281" s="58" t="str">
        <f>IF(N279&gt;0,"xx",IF(N279&gt;0,"xy",""))</f>
        <v/>
      </c>
      <c r="Q281" s="317" t="str">
        <f t="shared" si="23"/>
        <v/>
      </c>
      <c r="R281" s="317" t="str">
        <f t="shared" si="24"/>
        <v/>
      </c>
      <c r="S281" s="317" t="str">
        <f t="shared" si="25"/>
        <v/>
      </c>
      <c r="T281" s="317" t="str">
        <f>GLOBAL_DER_FEV_2023!S281</f>
        <v/>
      </c>
      <c r="W281" s="582">
        <v>0</v>
      </c>
      <c r="X281" s="580"/>
      <c r="Y281" s="583">
        <f>IF(GLOBAL_DER_FEV_2023!W281=0,0,IF(GLOBAL_DER_FEV_2023!W281&gt;0,"c","b"))</f>
        <v>0</v>
      </c>
    </row>
    <row r="282" spans="1:25" ht="13.5" hidden="1" thickBot="1" x14ac:dyDescent="0.25">
      <c r="A282" s="317">
        <v>583100</v>
      </c>
      <c r="B282" s="999" t="s">
        <v>1641</v>
      </c>
      <c r="C282" s="1000" t="s">
        <v>184</v>
      </c>
      <c r="D282" s="1014" t="s">
        <v>235</v>
      </c>
      <c r="E282" s="974" t="str">
        <f>GLOBAL_DER_FEV_2023!E282</f>
        <v>taxa RR-2C</v>
      </c>
      <c r="F282" s="975">
        <f>GLOBAL_DER_FEV_2023!F282</f>
        <v>3.3999999999999998E-3</v>
      </c>
      <c r="G282" s="976">
        <f>GLOBAL_DER_FEV_2023!G282</f>
        <v>8.8266999999999998E-2</v>
      </c>
      <c r="H282" s="977">
        <f>GLOBAL_DER_FEV_2023!H282</f>
        <v>6.82</v>
      </c>
      <c r="I282" s="977">
        <f>GLOBAL_DER_FEV_2023!I282</f>
        <v>6.9082670000000004</v>
      </c>
      <c r="J282" s="978">
        <f>GLOBAL_DER_FEV_2023!J282</f>
        <v>8.2899999999999991</v>
      </c>
      <c r="K282" s="979" t="s">
        <v>12</v>
      </c>
      <c r="L282" s="1152"/>
      <c r="M282" s="1153">
        <f t="shared" si="22"/>
        <v>0</v>
      </c>
      <c r="N282" s="982">
        <f t="shared" si="26"/>
        <v>0</v>
      </c>
      <c r="O282" s="905"/>
      <c r="Q282" s="317" t="str">
        <f t="shared" si="23"/>
        <v/>
      </c>
      <c r="R282" s="317" t="str">
        <f t="shared" si="24"/>
        <v/>
      </c>
      <c r="S282" s="317" t="str">
        <f t="shared" si="25"/>
        <v/>
      </c>
      <c r="T282" s="317" t="str">
        <f>GLOBAL_DER_FEV_2023!S282</f>
        <v/>
      </c>
      <c r="W282" s="582">
        <v>0</v>
      </c>
      <c r="X282" s="580"/>
      <c r="Y282" s="583">
        <f>IF(GLOBAL_DER_FEV_2023!W282=0,0,IF(GLOBAL_DER_FEV_2023!W282&gt;0,"c","b"))</f>
        <v>0</v>
      </c>
    </row>
    <row r="283" spans="1:25" ht="13.5" hidden="1" thickBot="1" x14ac:dyDescent="0.25">
      <c r="A283" s="317" t="s">
        <v>147</v>
      </c>
      <c r="B283" s="895" t="s">
        <v>147</v>
      </c>
      <c r="C283" s="896"/>
      <c r="D283" s="1015" t="s">
        <v>233</v>
      </c>
      <c r="E283" s="898">
        <f>GLOBAL_DER_FEV_2023!E283</f>
        <v>0.2</v>
      </c>
      <c r="F283" s="908">
        <f>GLOBAL_DER_FEV_2023!F283</f>
        <v>3.0499999999999999E-2</v>
      </c>
      <c r="G283" s="949">
        <f>GLOBAL_DER_FEV_2023!G283</f>
        <v>8.8266999999999998E-2</v>
      </c>
      <c r="H283" s="901">
        <f>GLOBAL_DER_FEV_2023!H283</f>
        <v>0</v>
      </c>
      <c r="I283" s="901">
        <f>GLOBAL_DER_FEV_2023!I283</f>
        <v>0</v>
      </c>
      <c r="J283" s="902">
        <f>GLOBAL_DER_FEV_2023!J283</f>
        <v>0</v>
      </c>
      <c r="K283" s="903" t="s">
        <v>507</v>
      </c>
      <c r="L283" s="1003"/>
      <c r="M283" s="1157">
        <f t="shared" si="22"/>
        <v>0</v>
      </c>
      <c r="N283" s="893">
        <f t="shared" si="26"/>
        <v>0</v>
      </c>
      <c r="O283" s="905"/>
      <c r="P283" s="58" t="str">
        <f>IF(N282&gt;0,"xx",IF(N282&gt;0,"xy",""))</f>
        <v/>
      </c>
      <c r="Q283" s="317" t="str">
        <f t="shared" si="23"/>
        <v/>
      </c>
      <c r="R283" s="317" t="str">
        <f t="shared" si="24"/>
        <v/>
      </c>
      <c r="S283" s="317" t="str">
        <f t="shared" si="25"/>
        <v/>
      </c>
      <c r="T283" s="317" t="str">
        <f>GLOBAL_DER_FEV_2023!S283</f>
        <v/>
      </c>
      <c r="W283" s="582">
        <v>0</v>
      </c>
      <c r="X283" s="580"/>
      <c r="Y283" s="583">
        <f>IF(GLOBAL_DER_FEV_2023!W283=0,0,IF(GLOBAL_DER_FEV_2023!W283&gt;0,"c","b"))</f>
        <v>0</v>
      </c>
    </row>
    <row r="284" spans="1:25" ht="13.5" hidden="1" thickBot="1" x14ac:dyDescent="0.25">
      <c r="A284" s="317">
        <v>589520</v>
      </c>
      <c r="B284" s="1004" t="s">
        <v>1664</v>
      </c>
      <c r="C284" s="984" t="s">
        <v>213</v>
      </c>
      <c r="D284" s="1016" t="s">
        <v>1675</v>
      </c>
      <c r="E284" s="1005">
        <f>GLOBAL_DER_FEV_2023!E284</f>
        <v>353</v>
      </c>
      <c r="F284" s="1006">
        <f>GLOBAL_DER_FEV_2023!F284</f>
        <v>1</v>
      </c>
      <c r="G284" s="949">
        <f>GLOBAL_DER_FEV_2023!G284</f>
        <v>337.96999999999997</v>
      </c>
      <c r="H284" s="988">
        <f>GLOBAL_DER_FEV_2023!H284</f>
        <v>4164.04</v>
      </c>
      <c r="I284" s="988">
        <f>GLOBAL_DER_FEV_2023!I284</f>
        <v>4335.8923053218959</v>
      </c>
      <c r="J284" s="989">
        <f>GLOBAL_DER_FEV_2023!J284</f>
        <v>5206.1099999999997</v>
      </c>
      <c r="K284" s="990" t="s">
        <v>14</v>
      </c>
      <c r="L284" s="1154">
        <f>ROUND(L282*$F282,2)</f>
        <v>0</v>
      </c>
      <c r="M284" s="1159">
        <f t="shared" si="22"/>
        <v>0</v>
      </c>
      <c r="N284" s="993">
        <f t="shared" si="26"/>
        <v>0</v>
      </c>
      <c r="O284" s="905"/>
      <c r="P284" s="58" t="str">
        <f>IF(N282&gt;0,"xx",IF(N282&gt;0,"xy",""))</f>
        <v/>
      </c>
      <c r="Q284" s="317" t="str">
        <f t="shared" si="23"/>
        <v/>
      </c>
      <c r="R284" s="317" t="str">
        <f t="shared" si="24"/>
        <v/>
      </c>
      <c r="S284" s="317" t="str">
        <f t="shared" si="25"/>
        <v/>
      </c>
      <c r="T284" s="317" t="str">
        <f>GLOBAL_DER_FEV_2023!S284</f>
        <v/>
      </c>
      <c r="W284" s="582">
        <v>0</v>
      </c>
      <c r="X284" s="580"/>
      <c r="Y284" s="583">
        <f>IF(GLOBAL_DER_FEV_2023!W284=0,0,IF(GLOBAL_DER_FEV_2023!W284&gt;0,"c","b"))</f>
        <v>0</v>
      </c>
    </row>
    <row r="285" spans="1:25" ht="13.5" hidden="1" thickBot="1" x14ac:dyDescent="0.25">
      <c r="A285" s="317">
        <v>583100</v>
      </c>
      <c r="B285" s="999" t="s">
        <v>1642</v>
      </c>
      <c r="C285" s="1000" t="s">
        <v>184</v>
      </c>
      <c r="D285" s="1014" t="s">
        <v>236</v>
      </c>
      <c r="E285" s="974" t="str">
        <f>GLOBAL_DER_FEV_2023!E285</f>
        <v>taxa RR-2C</v>
      </c>
      <c r="F285" s="975">
        <f>GLOBAL_DER_FEV_2023!F285</f>
        <v>3.8E-3</v>
      </c>
      <c r="G285" s="976">
        <f>GLOBAL_DER_FEV_2023!G285</f>
        <v>0.1064992</v>
      </c>
      <c r="H285" s="977">
        <f>GLOBAL_DER_FEV_2023!H285</f>
        <v>6.82</v>
      </c>
      <c r="I285" s="977">
        <f>GLOBAL_DER_FEV_2023!I285</f>
        <v>6.9264992000000003</v>
      </c>
      <c r="J285" s="978">
        <f>GLOBAL_DER_FEV_2023!J285</f>
        <v>8.32</v>
      </c>
      <c r="K285" s="979" t="s">
        <v>12</v>
      </c>
      <c r="L285" s="1152"/>
      <c r="M285" s="1153">
        <f t="shared" si="22"/>
        <v>0</v>
      </c>
      <c r="N285" s="982">
        <f t="shared" si="26"/>
        <v>0</v>
      </c>
      <c r="O285" s="905"/>
      <c r="Q285" s="317" t="str">
        <f t="shared" si="23"/>
        <v/>
      </c>
      <c r="R285" s="317" t="str">
        <f t="shared" si="24"/>
        <v/>
      </c>
      <c r="S285" s="317" t="str">
        <f t="shared" si="25"/>
        <v/>
      </c>
      <c r="T285" s="317" t="str">
        <f>GLOBAL_DER_FEV_2023!S285</f>
        <v/>
      </c>
      <c r="W285" s="582">
        <v>0</v>
      </c>
      <c r="X285" s="580"/>
      <c r="Y285" s="583">
        <f>IF(GLOBAL_DER_FEV_2023!W285=0,0,IF(GLOBAL_DER_FEV_2023!W285&gt;0,"c","b"))</f>
        <v>0</v>
      </c>
    </row>
    <row r="286" spans="1:25" ht="13.5" hidden="1" thickBot="1" x14ac:dyDescent="0.25">
      <c r="A286" s="317" t="s">
        <v>147</v>
      </c>
      <c r="B286" s="895" t="s">
        <v>147</v>
      </c>
      <c r="C286" s="896"/>
      <c r="D286" s="1015" t="s">
        <v>233</v>
      </c>
      <c r="E286" s="898">
        <f>GLOBAL_DER_FEV_2023!E286</f>
        <v>0.2</v>
      </c>
      <c r="F286" s="908">
        <f>GLOBAL_DER_FEV_2023!F286</f>
        <v>3.6799999999999999E-2</v>
      </c>
      <c r="G286" s="949">
        <f>GLOBAL_DER_FEV_2023!G286</f>
        <v>0.1064992</v>
      </c>
      <c r="H286" s="901">
        <f>GLOBAL_DER_FEV_2023!H286</f>
        <v>0</v>
      </c>
      <c r="I286" s="901">
        <f>GLOBAL_DER_FEV_2023!I286</f>
        <v>0</v>
      </c>
      <c r="J286" s="902">
        <f>GLOBAL_DER_FEV_2023!J286</f>
        <v>0</v>
      </c>
      <c r="K286" s="903" t="s">
        <v>507</v>
      </c>
      <c r="L286" s="1003"/>
      <c r="M286" s="1157">
        <f t="shared" si="22"/>
        <v>0</v>
      </c>
      <c r="N286" s="893">
        <f t="shared" si="26"/>
        <v>0</v>
      </c>
      <c r="O286" s="905"/>
      <c r="P286" s="58" t="str">
        <f>IF(N285&gt;0,"xx",IF(N285&gt;0,"xy",""))</f>
        <v/>
      </c>
      <c r="Q286" s="317" t="str">
        <f t="shared" si="23"/>
        <v/>
      </c>
      <c r="R286" s="317" t="str">
        <f t="shared" si="24"/>
        <v/>
      </c>
      <c r="S286" s="317" t="str">
        <f t="shared" si="25"/>
        <v/>
      </c>
      <c r="T286" s="317" t="str">
        <f>GLOBAL_DER_FEV_2023!S286</f>
        <v/>
      </c>
      <c r="W286" s="582">
        <v>0</v>
      </c>
      <c r="X286" s="580"/>
      <c r="Y286" s="583">
        <f>IF(GLOBAL_DER_FEV_2023!W286=0,0,IF(GLOBAL_DER_FEV_2023!W286&gt;0,"c","b"))</f>
        <v>0</v>
      </c>
    </row>
    <row r="287" spans="1:25" ht="13.5" hidden="1" thickBot="1" x14ac:dyDescent="0.25">
      <c r="A287" s="317">
        <v>589520</v>
      </c>
      <c r="B287" s="1004" t="s">
        <v>1665</v>
      </c>
      <c r="C287" s="984" t="s">
        <v>213</v>
      </c>
      <c r="D287" s="1016" t="s">
        <v>559</v>
      </c>
      <c r="E287" s="1005">
        <f>GLOBAL_DER_FEV_2023!E287</f>
        <v>353</v>
      </c>
      <c r="F287" s="1006">
        <f>GLOBAL_DER_FEV_2023!F287</f>
        <v>1</v>
      </c>
      <c r="G287" s="949">
        <f>GLOBAL_DER_FEV_2023!G287</f>
        <v>337.96999999999997</v>
      </c>
      <c r="H287" s="988">
        <f>GLOBAL_DER_FEV_2023!H287</f>
        <v>4164.04</v>
      </c>
      <c r="I287" s="988">
        <f>GLOBAL_DER_FEV_2023!I287</f>
        <v>4335.8923053218959</v>
      </c>
      <c r="J287" s="989">
        <f>GLOBAL_DER_FEV_2023!J287</f>
        <v>5206.1099999999997</v>
      </c>
      <c r="K287" s="990" t="s">
        <v>14</v>
      </c>
      <c r="L287" s="1154">
        <f>ROUND(L285*$F285,2)</f>
        <v>0</v>
      </c>
      <c r="M287" s="1159">
        <f t="shared" si="22"/>
        <v>0</v>
      </c>
      <c r="N287" s="993">
        <f t="shared" si="26"/>
        <v>0</v>
      </c>
      <c r="O287" s="905"/>
      <c r="P287" s="58" t="str">
        <f>IF(N285&gt;0,"xx",IF(N285&gt;0,"xy",""))</f>
        <v/>
      </c>
      <c r="Q287" s="317" t="str">
        <f t="shared" si="23"/>
        <v/>
      </c>
      <c r="R287" s="317" t="str">
        <f t="shared" si="24"/>
        <v/>
      </c>
      <c r="S287" s="317" t="str">
        <f t="shared" si="25"/>
        <v/>
      </c>
      <c r="T287" s="317" t="str">
        <f>GLOBAL_DER_FEV_2023!S287</f>
        <v/>
      </c>
      <c r="W287" s="582">
        <v>0</v>
      </c>
      <c r="X287" s="580"/>
      <c r="Y287" s="583">
        <f>IF(GLOBAL_DER_FEV_2023!W287=0,0,IF(GLOBAL_DER_FEV_2023!W287&gt;0,"c","b"))</f>
        <v>0</v>
      </c>
    </row>
    <row r="288" spans="1:25" ht="13.5" hidden="1" thickBot="1" x14ac:dyDescent="0.25">
      <c r="A288" s="317">
        <v>584200</v>
      </c>
      <c r="B288" s="999" t="s">
        <v>1643</v>
      </c>
      <c r="C288" s="1000" t="s">
        <v>184</v>
      </c>
      <c r="D288" s="1014" t="s">
        <v>237</v>
      </c>
      <c r="E288" s="974" t="str">
        <f>GLOBAL_DER_FEV_2023!E288</f>
        <v>taxa RR-2C</v>
      </c>
      <c r="F288" s="975">
        <f>GLOBAL_DER_FEV_2023!F288</f>
        <v>3.3E-3</v>
      </c>
      <c r="G288" s="976">
        <f>GLOBAL_DER_FEV_2023!G288</f>
        <v>8.2189600000000002E-2</v>
      </c>
      <c r="H288" s="977">
        <f>GLOBAL_DER_FEV_2023!H288</f>
        <v>8.48</v>
      </c>
      <c r="I288" s="977">
        <f>GLOBAL_DER_FEV_2023!I288</f>
        <v>8.5621896</v>
      </c>
      <c r="J288" s="978">
        <f>GLOBAL_DER_FEV_2023!J288</f>
        <v>10.28</v>
      </c>
      <c r="K288" s="979" t="s">
        <v>12</v>
      </c>
      <c r="L288" s="1152"/>
      <c r="M288" s="1153">
        <f t="shared" si="22"/>
        <v>0</v>
      </c>
      <c r="N288" s="982">
        <f t="shared" si="26"/>
        <v>0</v>
      </c>
      <c r="O288" s="905"/>
      <c r="Q288" s="317" t="str">
        <f t="shared" si="23"/>
        <v/>
      </c>
      <c r="R288" s="317" t="str">
        <f t="shared" si="24"/>
        <v/>
      </c>
      <c r="S288" s="317" t="str">
        <f t="shared" si="25"/>
        <v/>
      </c>
      <c r="T288" s="317" t="str">
        <f>GLOBAL_DER_FEV_2023!S288</f>
        <v/>
      </c>
      <c r="W288" s="582">
        <v>0</v>
      </c>
      <c r="X288" s="580"/>
      <c r="Y288" s="583">
        <f>IF(GLOBAL_DER_FEV_2023!W288=0,0,IF(GLOBAL_DER_FEV_2023!W288&gt;0,"c","b"))</f>
        <v>0</v>
      </c>
    </row>
    <row r="289" spans="1:25" ht="13.5" hidden="1" thickBot="1" x14ac:dyDescent="0.25">
      <c r="A289" s="317" t="s">
        <v>147</v>
      </c>
      <c r="B289" s="895" t="s">
        <v>147</v>
      </c>
      <c r="C289" s="896"/>
      <c r="D289" s="1015" t="s">
        <v>233</v>
      </c>
      <c r="E289" s="898">
        <f>GLOBAL_DER_FEV_2023!E289</f>
        <v>0.2</v>
      </c>
      <c r="F289" s="908">
        <f>GLOBAL_DER_FEV_2023!F289</f>
        <v>2.8400000000000002E-2</v>
      </c>
      <c r="G289" s="949">
        <f>GLOBAL_DER_FEV_2023!G289</f>
        <v>8.2189600000000002E-2</v>
      </c>
      <c r="H289" s="901">
        <f>GLOBAL_DER_FEV_2023!H289</f>
        <v>0</v>
      </c>
      <c r="I289" s="901">
        <f>GLOBAL_DER_FEV_2023!I289</f>
        <v>0</v>
      </c>
      <c r="J289" s="902">
        <f>GLOBAL_DER_FEV_2023!J289</f>
        <v>0</v>
      </c>
      <c r="K289" s="903" t="s">
        <v>507</v>
      </c>
      <c r="L289" s="1003"/>
      <c r="M289" s="1157">
        <f t="shared" si="22"/>
        <v>0</v>
      </c>
      <c r="N289" s="893">
        <f t="shared" si="26"/>
        <v>0</v>
      </c>
      <c r="O289" s="905"/>
      <c r="P289" s="58" t="str">
        <f>IF(N288&gt;0,"xx",IF(N288&gt;0,"xy",""))</f>
        <v/>
      </c>
      <c r="Q289" s="317" t="str">
        <f t="shared" si="23"/>
        <v/>
      </c>
      <c r="R289" s="317" t="str">
        <f t="shared" si="24"/>
        <v/>
      </c>
      <c r="S289" s="317" t="str">
        <f t="shared" si="25"/>
        <v/>
      </c>
      <c r="T289" s="317" t="str">
        <f>GLOBAL_DER_FEV_2023!S289</f>
        <v/>
      </c>
      <c r="W289" s="582">
        <v>0</v>
      </c>
      <c r="X289" s="580"/>
      <c r="Y289" s="583">
        <f>IF(GLOBAL_DER_FEV_2023!W289=0,0,IF(GLOBAL_DER_FEV_2023!W289&gt;0,"c","b"))</f>
        <v>0</v>
      </c>
    </row>
    <row r="290" spans="1:25" ht="13.5" hidden="1" thickBot="1" x14ac:dyDescent="0.25">
      <c r="A290" s="317">
        <v>589520</v>
      </c>
      <c r="B290" s="1004" t="s">
        <v>1666</v>
      </c>
      <c r="C290" s="984" t="s">
        <v>213</v>
      </c>
      <c r="D290" s="1016" t="s">
        <v>558</v>
      </c>
      <c r="E290" s="1005">
        <f>GLOBAL_DER_FEV_2023!E290</f>
        <v>353</v>
      </c>
      <c r="F290" s="1006">
        <f>GLOBAL_DER_FEV_2023!F290</f>
        <v>1</v>
      </c>
      <c r="G290" s="949">
        <f>GLOBAL_DER_FEV_2023!G290</f>
        <v>337.96999999999997</v>
      </c>
      <c r="H290" s="988">
        <f>GLOBAL_DER_FEV_2023!H290</f>
        <v>4164.04</v>
      </c>
      <c r="I290" s="988">
        <f>GLOBAL_DER_FEV_2023!I290</f>
        <v>4335.8923053218959</v>
      </c>
      <c r="J290" s="989">
        <f>GLOBAL_DER_FEV_2023!J290</f>
        <v>5206.1099999999997</v>
      </c>
      <c r="K290" s="990" t="s">
        <v>14</v>
      </c>
      <c r="L290" s="1154">
        <f>ROUND(L288*$F288,2)</f>
        <v>0</v>
      </c>
      <c r="M290" s="1159">
        <f t="shared" si="22"/>
        <v>0</v>
      </c>
      <c r="N290" s="993">
        <f t="shared" si="26"/>
        <v>0</v>
      </c>
      <c r="O290" s="905"/>
      <c r="P290" s="58" t="str">
        <f>IF(N288&gt;0,"xx",IF(N288&gt;0,"xy",""))</f>
        <v/>
      </c>
      <c r="Q290" s="317" t="str">
        <f t="shared" si="23"/>
        <v/>
      </c>
      <c r="R290" s="317" t="str">
        <f t="shared" si="24"/>
        <v/>
      </c>
      <c r="S290" s="317" t="str">
        <f t="shared" si="25"/>
        <v/>
      </c>
      <c r="T290" s="317" t="str">
        <f>GLOBAL_DER_FEV_2023!S290</f>
        <v/>
      </c>
      <c r="W290" s="582">
        <v>0</v>
      </c>
      <c r="X290" s="580"/>
      <c r="Y290" s="583">
        <f>IF(GLOBAL_DER_FEV_2023!W290=0,0,IF(GLOBAL_DER_FEV_2023!W290&gt;0,"c","b"))</f>
        <v>0</v>
      </c>
    </row>
    <row r="291" spans="1:25" ht="13.5" hidden="1" thickBot="1" x14ac:dyDescent="0.25">
      <c r="A291" s="317">
        <v>584200</v>
      </c>
      <c r="B291" s="999" t="s">
        <v>1644</v>
      </c>
      <c r="C291" s="1000" t="s">
        <v>184</v>
      </c>
      <c r="D291" s="1014" t="s">
        <v>238</v>
      </c>
      <c r="E291" s="974" t="str">
        <f>GLOBAL_DER_FEV_2023!E291</f>
        <v>taxa RR-2C</v>
      </c>
      <c r="F291" s="975">
        <f>GLOBAL_DER_FEV_2023!F291</f>
        <v>3.8E-3</v>
      </c>
      <c r="G291" s="976">
        <f>GLOBAL_DER_FEV_2023!G291</f>
        <v>0.10042180000000001</v>
      </c>
      <c r="H291" s="977">
        <f>GLOBAL_DER_FEV_2023!H291</f>
        <v>8.48</v>
      </c>
      <c r="I291" s="977">
        <f>GLOBAL_DER_FEV_2023!I291</f>
        <v>8.5804217999999999</v>
      </c>
      <c r="J291" s="978">
        <f>GLOBAL_DER_FEV_2023!J291</f>
        <v>10.3</v>
      </c>
      <c r="K291" s="979" t="s">
        <v>12</v>
      </c>
      <c r="L291" s="1152"/>
      <c r="M291" s="1153">
        <f t="shared" si="22"/>
        <v>0</v>
      </c>
      <c r="N291" s="982">
        <f t="shared" si="26"/>
        <v>0</v>
      </c>
      <c r="O291" s="905"/>
      <c r="Q291" s="317" t="str">
        <f t="shared" si="23"/>
        <v/>
      </c>
      <c r="R291" s="317" t="str">
        <f t="shared" si="24"/>
        <v/>
      </c>
      <c r="S291" s="317" t="str">
        <f t="shared" si="25"/>
        <v/>
      </c>
      <c r="T291" s="317" t="str">
        <f>GLOBAL_DER_FEV_2023!S291</f>
        <v/>
      </c>
      <c r="W291" s="582">
        <v>0</v>
      </c>
      <c r="X291" s="580"/>
      <c r="Y291" s="583">
        <f>IF(GLOBAL_DER_FEV_2023!W291=0,0,IF(GLOBAL_DER_FEV_2023!W291&gt;0,"c","b"))</f>
        <v>0</v>
      </c>
    </row>
    <row r="292" spans="1:25" ht="13.5" hidden="1" thickBot="1" x14ac:dyDescent="0.25">
      <c r="A292" s="317" t="s">
        <v>147</v>
      </c>
      <c r="B292" s="895" t="s">
        <v>147</v>
      </c>
      <c r="C292" s="896"/>
      <c r="D292" s="1015" t="s">
        <v>233</v>
      </c>
      <c r="E292" s="898">
        <f>GLOBAL_DER_FEV_2023!E292</f>
        <v>0.2</v>
      </c>
      <c r="F292" s="908">
        <f>GLOBAL_DER_FEV_2023!F292</f>
        <v>3.4700000000000002E-2</v>
      </c>
      <c r="G292" s="949">
        <f>GLOBAL_DER_FEV_2023!G292</f>
        <v>0.10042180000000001</v>
      </c>
      <c r="H292" s="901">
        <f>GLOBAL_DER_FEV_2023!H292</f>
        <v>0</v>
      </c>
      <c r="I292" s="901">
        <f>GLOBAL_DER_FEV_2023!I292</f>
        <v>0</v>
      </c>
      <c r="J292" s="902">
        <f>GLOBAL_DER_FEV_2023!J292</f>
        <v>0</v>
      </c>
      <c r="K292" s="903" t="s">
        <v>507</v>
      </c>
      <c r="L292" s="1003"/>
      <c r="M292" s="1157">
        <f t="shared" si="22"/>
        <v>0</v>
      </c>
      <c r="N292" s="893">
        <f t="shared" si="26"/>
        <v>0</v>
      </c>
      <c r="O292" s="905"/>
      <c r="P292" s="58" t="str">
        <f>IF(N291&gt;0,"xx",IF(N291&gt;0,"xy",""))</f>
        <v/>
      </c>
      <c r="Q292" s="317" t="str">
        <f t="shared" si="23"/>
        <v/>
      </c>
      <c r="R292" s="317" t="str">
        <f t="shared" si="24"/>
        <v/>
      </c>
      <c r="S292" s="317" t="str">
        <f t="shared" si="25"/>
        <v/>
      </c>
      <c r="T292" s="317" t="str">
        <f>GLOBAL_DER_FEV_2023!S292</f>
        <v/>
      </c>
      <c r="W292" s="582">
        <v>0</v>
      </c>
      <c r="X292" s="580"/>
      <c r="Y292" s="583">
        <f>IF(GLOBAL_DER_FEV_2023!W292=0,0,IF(GLOBAL_DER_FEV_2023!W292&gt;0,"c","b"))</f>
        <v>0</v>
      </c>
    </row>
    <row r="293" spans="1:25" ht="13.5" hidden="1" thickBot="1" x14ac:dyDescent="0.25">
      <c r="A293" s="317">
        <v>589520</v>
      </c>
      <c r="B293" s="1004" t="s">
        <v>1667</v>
      </c>
      <c r="C293" s="984" t="s">
        <v>213</v>
      </c>
      <c r="D293" s="1016" t="s">
        <v>560</v>
      </c>
      <c r="E293" s="1005">
        <f>GLOBAL_DER_FEV_2023!E293</f>
        <v>353</v>
      </c>
      <c r="F293" s="1006">
        <f>GLOBAL_DER_FEV_2023!F293</f>
        <v>1</v>
      </c>
      <c r="G293" s="949">
        <f>GLOBAL_DER_FEV_2023!G293</f>
        <v>337.96999999999997</v>
      </c>
      <c r="H293" s="988">
        <f>GLOBAL_DER_FEV_2023!H293</f>
        <v>4164.04</v>
      </c>
      <c r="I293" s="988">
        <f>GLOBAL_DER_FEV_2023!I293</f>
        <v>4335.8923053218959</v>
      </c>
      <c r="J293" s="989">
        <f>GLOBAL_DER_FEV_2023!J293</f>
        <v>5206.1099999999997</v>
      </c>
      <c r="K293" s="990" t="s">
        <v>14</v>
      </c>
      <c r="L293" s="1154">
        <f>ROUND(L291*$F291,2)</f>
        <v>0</v>
      </c>
      <c r="M293" s="1159">
        <f t="shared" si="22"/>
        <v>0</v>
      </c>
      <c r="N293" s="993">
        <f t="shared" si="26"/>
        <v>0</v>
      </c>
      <c r="O293" s="905"/>
      <c r="P293" s="58" t="str">
        <f>IF(N291&gt;0,"xx",IF(N291&gt;0,"xy",""))</f>
        <v/>
      </c>
      <c r="Q293" s="317" t="str">
        <f t="shared" si="23"/>
        <v/>
      </c>
      <c r="R293" s="317" t="str">
        <f t="shared" si="24"/>
        <v/>
      </c>
      <c r="S293" s="317" t="str">
        <f t="shared" si="25"/>
        <v/>
      </c>
      <c r="T293" s="317" t="str">
        <f>GLOBAL_DER_FEV_2023!S293</f>
        <v/>
      </c>
      <c r="W293" s="582">
        <v>0</v>
      </c>
      <c r="X293" s="580"/>
      <c r="Y293" s="583">
        <f>IF(GLOBAL_DER_FEV_2023!W293=0,0,IF(GLOBAL_DER_FEV_2023!W293&gt;0,"c","b"))</f>
        <v>0</v>
      </c>
    </row>
    <row r="294" spans="1:25" ht="13.5" hidden="1" thickBot="1" x14ac:dyDescent="0.25">
      <c r="A294" s="317">
        <v>584200</v>
      </c>
      <c r="B294" s="999" t="s">
        <v>1645</v>
      </c>
      <c r="C294" s="1000" t="s">
        <v>184</v>
      </c>
      <c r="D294" s="1014" t="s">
        <v>239</v>
      </c>
      <c r="E294" s="974" t="str">
        <f>GLOBAL_DER_FEV_2023!E294</f>
        <v>taxa RR-2C</v>
      </c>
      <c r="F294" s="975">
        <f>GLOBAL_DER_FEV_2023!F294</f>
        <v>4.0000000000000001E-3</v>
      </c>
      <c r="G294" s="976">
        <f>GLOBAL_DER_FEV_2023!G294</f>
        <v>0.13891200000000001</v>
      </c>
      <c r="H294" s="977">
        <f>GLOBAL_DER_FEV_2023!H294</f>
        <v>8.48</v>
      </c>
      <c r="I294" s="977">
        <f>GLOBAL_DER_FEV_2023!I294</f>
        <v>8.6189119999999999</v>
      </c>
      <c r="J294" s="978">
        <f>GLOBAL_DER_FEV_2023!J294</f>
        <v>10.35</v>
      </c>
      <c r="K294" s="979" t="s">
        <v>12</v>
      </c>
      <c r="L294" s="1152"/>
      <c r="M294" s="1153">
        <f t="shared" si="22"/>
        <v>0</v>
      </c>
      <c r="N294" s="982">
        <f t="shared" si="26"/>
        <v>0</v>
      </c>
      <c r="O294" s="905"/>
      <c r="Q294" s="317" t="str">
        <f t="shared" si="23"/>
        <v/>
      </c>
      <c r="R294" s="317" t="str">
        <f t="shared" si="24"/>
        <v/>
      </c>
      <c r="S294" s="317" t="str">
        <f t="shared" si="25"/>
        <v/>
      </c>
      <c r="T294" s="317" t="str">
        <f>GLOBAL_DER_FEV_2023!S294</f>
        <v/>
      </c>
      <c r="W294" s="582">
        <v>0</v>
      </c>
      <c r="X294" s="580"/>
      <c r="Y294" s="583">
        <f>IF(GLOBAL_DER_FEV_2023!W294=0,0,IF(GLOBAL_DER_FEV_2023!W294&gt;0,"c","b"))</f>
        <v>0</v>
      </c>
    </row>
    <row r="295" spans="1:25" ht="13.5" hidden="1" thickBot="1" x14ac:dyDescent="0.25">
      <c r="A295" s="317" t="s">
        <v>147</v>
      </c>
      <c r="B295" s="895" t="s">
        <v>147</v>
      </c>
      <c r="C295" s="896"/>
      <c r="D295" s="1015" t="s">
        <v>233</v>
      </c>
      <c r="E295" s="898">
        <f>GLOBAL_DER_FEV_2023!E295</f>
        <v>0.2</v>
      </c>
      <c r="F295" s="908">
        <f>GLOBAL_DER_FEV_2023!F295</f>
        <v>4.8000000000000001E-2</v>
      </c>
      <c r="G295" s="949">
        <f>GLOBAL_DER_FEV_2023!G295</f>
        <v>0.13891200000000001</v>
      </c>
      <c r="H295" s="901">
        <f>GLOBAL_DER_FEV_2023!H295</f>
        <v>0</v>
      </c>
      <c r="I295" s="901">
        <f>GLOBAL_DER_FEV_2023!I295</f>
        <v>0</v>
      </c>
      <c r="J295" s="902">
        <f>GLOBAL_DER_FEV_2023!J295</f>
        <v>0</v>
      </c>
      <c r="K295" s="903" t="s">
        <v>507</v>
      </c>
      <c r="L295" s="1003"/>
      <c r="M295" s="1157">
        <f t="shared" si="22"/>
        <v>0</v>
      </c>
      <c r="N295" s="893">
        <f t="shared" si="26"/>
        <v>0</v>
      </c>
      <c r="O295" s="905"/>
      <c r="P295" s="58" t="str">
        <f>IF(N294&gt;0,"xx",IF(N294&gt;0,"xy",""))</f>
        <v/>
      </c>
      <c r="Q295" s="317" t="str">
        <f t="shared" si="23"/>
        <v/>
      </c>
      <c r="R295" s="317" t="str">
        <f t="shared" si="24"/>
        <v/>
      </c>
      <c r="S295" s="317" t="str">
        <f t="shared" si="25"/>
        <v/>
      </c>
      <c r="T295" s="317" t="str">
        <f>GLOBAL_DER_FEV_2023!S295</f>
        <v/>
      </c>
      <c r="W295" s="582">
        <v>0</v>
      </c>
      <c r="X295" s="580"/>
      <c r="Y295" s="583">
        <f>IF(GLOBAL_DER_FEV_2023!W295=0,0,IF(GLOBAL_DER_FEV_2023!W295&gt;0,"c","b"))</f>
        <v>0</v>
      </c>
    </row>
    <row r="296" spans="1:25" ht="13.5" hidden="1" thickBot="1" x14ac:dyDescent="0.25">
      <c r="A296" s="317">
        <v>589520</v>
      </c>
      <c r="B296" s="1004" t="s">
        <v>1668</v>
      </c>
      <c r="C296" s="984" t="s">
        <v>213</v>
      </c>
      <c r="D296" s="1016" t="s">
        <v>561</v>
      </c>
      <c r="E296" s="1005">
        <f>GLOBAL_DER_FEV_2023!E296</f>
        <v>353</v>
      </c>
      <c r="F296" s="1006">
        <f>GLOBAL_DER_FEV_2023!F296</f>
        <v>1</v>
      </c>
      <c r="G296" s="949">
        <f>GLOBAL_DER_FEV_2023!G296</f>
        <v>337.96999999999997</v>
      </c>
      <c r="H296" s="988">
        <f>GLOBAL_DER_FEV_2023!H296</f>
        <v>4164.04</v>
      </c>
      <c r="I296" s="988">
        <f>GLOBAL_DER_FEV_2023!I296</f>
        <v>4335.8923053218959</v>
      </c>
      <c r="J296" s="989">
        <f>GLOBAL_DER_FEV_2023!J296</f>
        <v>5206.1099999999997</v>
      </c>
      <c r="K296" s="990" t="s">
        <v>14</v>
      </c>
      <c r="L296" s="1154">
        <f>ROUND(L294*$F294,2)</f>
        <v>0</v>
      </c>
      <c r="M296" s="1159">
        <f t="shared" si="22"/>
        <v>0</v>
      </c>
      <c r="N296" s="993">
        <f t="shared" si="26"/>
        <v>0</v>
      </c>
      <c r="O296" s="905"/>
      <c r="P296" s="58" t="str">
        <f>IF(N294&gt;0,"xx",IF(N294&gt;0,"xy",""))</f>
        <v/>
      </c>
      <c r="Q296" s="317" t="str">
        <f t="shared" si="23"/>
        <v/>
      </c>
      <c r="R296" s="317" t="str">
        <f t="shared" si="24"/>
        <v/>
      </c>
      <c r="S296" s="317" t="str">
        <f t="shared" si="25"/>
        <v/>
      </c>
      <c r="T296" s="317" t="str">
        <f>GLOBAL_DER_FEV_2023!S296</f>
        <v/>
      </c>
      <c r="W296" s="582">
        <v>0</v>
      </c>
      <c r="X296" s="580"/>
      <c r="Y296" s="583">
        <f>IF(GLOBAL_DER_FEV_2023!W296=0,0,IF(GLOBAL_DER_FEV_2023!W296&gt;0,"c","b"))</f>
        <v>0</v>
      </c>
    </row>
    <row r="297" spans="1:25" ht="13.5" hidden="1" thickBot="1" x14ac:dyDescent="0.25">
      <c r="A297" s="317">
        <v>564000</v>
      </c>
      <c r="B297" s="999">
        <v>564000</v>
      </c>
      <c r="C297" s="1000" t="s">
        <v>184</v>
      </c>
      <c r="D297" s="1014" t="s">
        <v>240</v>
      </c>
      <c r="E297" s="974" t="str">
        <f>GLOBAL_DER_FEV_2023!E297</f>
        <v>taxa RR-2C</v>
      </c>
      <c r="F297" s="975">
        <f>GLOBAL_DER_FEV_2023!F297</f>
        <v>0.125</v>
      </c>
      <c r="G297" s="976">
        <f>GLOBAL_DER_FEV_2023!G297</f>
        <v>6.3668000000000005</v>
      </c>
      <c r="H297" s="977">
        <f>GLOBAL_DER_FEV_2023!H297</f>
        <v>122.99</v>
      </c>
      <c r="I297" s="977">
        <f>GLOBAL_DER_FEV_2023!I297</f>
        <v>129.35679999999999</v>
      </c>
      <c r="J297" s="978">
        <f>GLOBAL_DER_FEV_2023!J297</f>
        <v>155.32</v>
      </c>
      <c r="K297" s="979" t="s">
        <v>10</v>
      </c>
      <c r="L297" s="1152"/>
      <c r="M297" s="1153">
        <f t="shared" si="22"/>
        <v>0</v>
      </c>
      <c r="N297" s="982">
        <f t="shared" si="26"/>
        <v>0</v>
      </c>
      <c r="O297" s="905"/>
      <c r="Q297" s="317" t="str">
        <f t="shared" si="23"/>
        <v/>
      </c>
      <c r="R297" s="317" t="str">
        <f t="shared" si="24"/>
        <v/>
      </c>
      <c r="S297" s="317" t="str">
        <f t="shared" si="25"/>
        <v/>
      </c>
      <c r="T297" s="317" t="str">
        <f>GLOBAL_DER_FEV_2023!S297</f>
        <v/>
      </c>
      <c r="W297" s="582">
        <v>0</v>
      </c>
      <c r="X297" s="580"/>
      <c r="Y297" s="583">
        <f>IF(GLOBAL_DER_FEV_2023!W297=0,0,IF(GLOBAL_DER_FEV_2023!W297&gt;0,"c","b"))</f>
        <v>0</v>
      </c>
    </row>
    <row r="298" spans="1:25" ht="13.5" hidden="1" thickBot="1" x14ac:dyDescent="0.25">
      <c r="A298" s="317" t="s">
        <v>147</v>
      </c>
      <c r="B298" s="895" t="s">
        <v>147</v>
      </c>
      <c r="C298" s="896"/>
      <c r="D298" s="1015" t="s">
        <v>233</v>
      </c>
      <c r="E298" s="898">
        <f>GLOBAL_DER_FEV_2023!E298</f>
        <v>0.2</v>
      </c>
      <c r="F298" s="908">
        <f>GLOBAL_DER_FEV_2023!F298</f>
        <v>2.2000000000000002</v>
      </c>
      <c r="G298" s="949">
        <f>GLOBAL_DER_FEV_2023!G298</f>
        <v>6.3668000000000005</v>
      </c>
      <c r="H298" s="901">
        <f>GLOBAL_DER_FEV_2023!H298</f>
        <v>0</v>
      </c>
      <c r="I298" s="901">
        <f>GLOBAL_DER_FEV_2023!I298</f>
        <v>0</v>
      </c>
      <c r="J298" s="902">
        <f>GLOBAL_DER_FEV_2023!J298</f>
        <v>0</v>
      </c>
      <c r="K298" s="903" t="s">
        <v>507</v>
      </c>
      <c r="L298" s="1003"/>
      <c r="M298" s="1157">
        <f t="shared" si="22"/>
        <v>0</v>
      </c>
      <c r="N298" s="893">
        <f t="shared" si="26"/>
        <v>0</v>
      </c>
      <c r="O298" s="905"/>
      <c r="P298" s="58" t="str">
        <f>IF(N297&gt;0,"xx",IF(N297&gt;0,"xy",""))</f>
        <v/>
      </c>
      <c r="Q298" s="317" t="str">
        <f t="shared" si="23"/>
        <v/>
      </c>
      <c r="R298" s="317" t="str">
        <f t="shared" si="24"/>
        <v/>
      </c>
      <c r="S298" s="317" t="str">
        <f t="shared" si="25"/>
        <v/>
      </c>
      <c r="T298" s="317" t="str">
        <f>GLOBAL_DER_FEV_2023!S298</f>
        <v/>
      </c>
      <c r="W298" s="582">
        <v>0</v>
      </c>
      <c r="X298" s="580"/>
      <c r="Y298" s="583">
        <f>IF(GLOBAL_DER_FEV_2023!W298=0,0,IF(GLOBAL_DER_FEV_2023!W298&gt;0,"c","b"))</f>
        <v>0</v>
      </c>
    </row>
    <row r="299" spans="1:25" ht="13.5" hidden="1" thickBot="1" x14ac:dyDescent="0.25">
      <c r="A299" s="317">
        <v>589520</v>
      </c>
      <c r="B299" s="1004" t="s">
        <v>1669</v>
      </c>
      <c r="C299" s="984" t="s">
        <v>213</v>
      </c>
      <c r="D299" s="1016" t="s">
        <v>562</v>
      </c>
      <c r="E299" s="1005">
        <f>GLOBAL_DER_FEV_2023!E299</f>
        <v>353</v>
      </c>
      <c r="F299" s="1006">
        <f>GLOBAL_DER_FEV_2023!F299</f>
        <v>1</v>
      </c>
      <c r="G299" s="949">
        <f>GLOBAL_DER_FEV_2023!G299</f>
        <v>337.96999999999997</v>
      </c>
      <c r="H299" s="988">
        <f>GLOBAL_DER_FEV_2023!H299</f>
        <v>4164.04</v>
      </c>
      <c r="I299" s="988">
        <f>GLOBAL_DER_FEV_2023!I299</f>
        <v>4335.8923053218959</v>
      </c>
      <c r="J299" s="989">
        <f>GLOBAL_DER_FEV_2023!J299</f>
        <v>5206.1099999999997</v>
      </c>
      <c r="K299" s="990" t="s">
        <v>14</v>
      </c>
      <c r="L299" s="1154">
        <f>ROUND(L297*$F297,2)</f>
        <v>0</v>
      </c>
      <c r="M299" s="1159">
        <f t="shared" si="22"/>
        <v>0</v>
      </c>
      <c r="N299" s="993">
        <f t="shared" si="26"/>
        <v>0</v>
      </c>
      <c r="O299" s="905"/>
      <c r="P299" s="58" t="str">
        <f>IF(N297&gt;0,"xx",IF(N297&gt;0,"xy",""))</f>
        <v/>
      </c>
      <c r="Q299" s="317" t="str">
        <f t="shared" si="23"/>
        <v/>
      </c>
      <c r="R299" s="317" t="str">
        <f t="shared" si="24"/>
        <v/>
      </c>
      <c r="S299" s="317" t="str">
        <f t="shared" si="25"/>
        <v/>
      </c>
      <c r="T299" s="317" t="str">
        <f>GLOBAL_DER_FEV_2023!S299</f>
        <v/>
      </c>
      <c r="W299" s="582">
        <v>0</v>
      </c>
      <c r="X299" s="580"/>
      <c r="Y299" s="583">
        <f>IF(GLOBAL_DER_FEV_2023!W299=0,0,IF(GLOBAL_DER_FEV_2023!W299&gt;0,"c","b"))</f>
        <v>0</v>
      </c>
    </row>
    <row r="300" spans="1:25" ht="13.5" hidden="1" thickBot="1" x14ac:dyDescent="0.25">
      <c r="A300" s="317">
        <v>564300</v>
      </c>
      <c r="B300" s="999">
        <v>564300</v>
      </c>
      <c r="C300" s="1000" t="s">
        <v>184</v>
      </c>
      <c r="D300" s="1014" t="s">
        <v>241</v>
      </c>
      <c r="E300" s="974" t="str">
        <f>GLOBAL_DER_FEV_2023!E300</f>
        <v>taxa CAP</v>
      </c>
      <c r="F300" s="975">
        <f>GLOBAL_DER_FEV_2023!F300</f>
        <v>0.1</v>
      </c>
      <c r="G300" s="976">
        <f>GLOBAL_DER_FEV_2023!G300</f>
        <v>6.3668000000000005</v>
      </c>
      <c r="H300" s="977">
        <f>GLOBAL_DER_FEV_2023!H300</f>
        <v>131</v>
      </c>
      <c r="I300" s="977">
        <f>GLOBAL_DER_FEV_2023!I300</f>
        <v>137.36680000000001</v>
      </c>
      <c r="J300" s="978">
        <f>GLOBAL_DER_FEV_2023!J300</f>
        <v>164.94</v>
      </c>
      <c r="K300" s="979" t="s">
        <v>10</v>
      </c>
      <c r="L300" s="1152"/>
      <c r="M300" s="1153">
        <f t="shared" si="22"/>
        <v>0</v>
      </c>
      <c r="N300" s="982">
        <f t="shared" si="26"/>
        <v>0</v>
      </c>
      <c r="O300" s="905"/>
      <c r="Q300" s="317" t="str">
        <f t="shared" si="23"/>
        <v/>
      </c>
      <c r="R300" s="317" t="str">
        <f t="shared" si="24"/>
        <v/>
      </c>
      <c r="S300" s="317" t="str">
        <f t="shared" si="25"/>
        <v/>
      </c>
      <c r="T300" s="317" t="str">
        <f>GLOBAL_DER_FEV_2023!S300</f>
        <v/>
      </c>
      <c r="W300" s="582">
        <v>0</v>
      </c>
      <c r="X300" s="580"/>
      <c r="Y300" s="583">
        <f>IF(GLOBAL_DER_FEV_2023!W300=0,0,IF(GLOBAL_DER_FEV_2023!W300&gt;0,"c","b"))</f>
        <v>0</v>
      </c>
    </row>
    <row r="301" spans="1:25" ht="13.5" hidden="1" thickBot="1" x14ac:dyDescent="0.25">
      <c r="A301" s="317" t="s">
        <v>147</v>
      </c>
      <c r="B301" s="895" t="s">
        <v>147</v>
      </c>
      <c r="C301" s="896"/>
      <c r="D301" s="1015" t="s">
        <v>233</v>
      </c>
      <c r="E301" s="898">
        <f>GLOBAL_DER_FEV_2023!E301</f>
        <v>0.2</v>
      </c>
      <c r="F301" s="908">
        <f>GLOBAL_DER_FEV_2023!F301</f>
        <v>2.2000000000000002</v>
      </c>
      <c r="G301" s="949">
        <f>GLOBAL_DER_FEV_2023!G301</f>
        <v>6.3668000000000005</v>
      </c>
      <c r="H301" s="901">
        <f>GLOBAL_DER_FEV_2023!H301</f>
        <v>0</v>
      </c>
      <c r="I301" s="901">
        <f>GLOBAL_DER_FEV_2023!I301</f>
        <v>0</v>
      </c>
      <c r="J301" s="902">
        <f>GLOBAL_DER_FEV_2023!J301</f>
        <v>0</v>
      </c>
      <c r="K301" s="903" t="s">
        <v>507</v>
      </c>
      <c r="L301" s="1003"/>
      <c r="M301" s="1157">
        <f t="shared" si="22"/>
        <v>0</v>
      </c>
      <c r="N301" s="893">
        <f t="shared" si="26"/>
        <v>0</v>
      </c>
      <c r="O301" s="905"/>
      <c r="P301" s="58" t="str">
        <f>IF(N300&gt;0,"xx",IF(N300&gt;0,"xy",""))</f>
        <v/>
      </c>
      <c r="Q301" s="317" t="str">
        <f t="shared" si="23"/>
        <v/>
      </c>
      <c r="R301" s="317" t="str">
        <f t="shared" si="24"/>
        <v/>
      </c>
      <c r="S301" s="317" t="str">
        <f t="shared" si="25"/>
        <v/>
      </c>
      <c r="T301" s="317" t="str">
        <f>GLOBAL_DER_FEV_2023!S301</f>
        <v/>
      </c>
      <c r="W301" s="582">
        <v>0</v>
      </c>
      <c r="X301" s="580"/>
      <c r="Y301" s="583">
        <f>IF(GLOBAL_DER_FEV_2023!W301=0,0,IF(GLOBAL_DER_FEV_2023!W301&gt;0,"c","b"))</f>
        <v>0</v>
      </c>
    </row>
    <row r="302" spans="1:25" ht="13.5" hidden="1" thickBot="1" x14ac:dyDescent="0.25">
      <c r="A302" s="317">
        <v>589000</v>
      </c>
      <c r="B302" s="1004" t="s">
        <v>708</v>
      </c>
      <c r="C302" s="984" t="s">
        <v>213</v>
      </c>
      <c r="D302" s="1016" t="s">
        <v>563</v>
      </c>
      <c r="E302" s="1005">
        <f>GLOBAL_DER_FEV_2023!E302</f>
        <v>45</v>
      </c>
      <c r="F302" s="1006">
        <f>GLOBAL_DER_FEV_2023!F302</f>
        <v>1</v>
      </c>
      <c r="G302" s="949">
        <f>GLOBAL_DER_FEV_2023!G302</f>
        <v>79.25</v>
      </c>
      <c r="H302" s="988">
        <f>GLOBAL_DER_FEV_2023!H302</f>
        <v>4828.8599999999997</v>
      </c>
      <c r="I302" s="988">
        <f>GLOBAL_DER_FEV_2023!I302</f>
        <v>4715.4703781127673</v>
      </c>
      <c r="J302" s="989">
        <f>GLOBAL_DER_FEV_2023!J302</f>
        <v>5661.87</v>
      </c>
      <c r="K302" s="990" t="s">
        <v>14</v>
      </c>
      <c r="L302" s="1154">
        <f>ROUND(L300*$F300,2)</f>
        <v>0</v>
      </c>
      <c r="M302" s="1159">
        <f t="shared" si="22"/>
        <v>0</v>
      </c>
      <c r="N302" s="993">
        <f t="shared" si="26"/>
        <v>0</v>
      </c>
      <c r="O302" s="905"/>
      <c r="P302" s="58" t="str">
        <f>IF(N300&gt;0,"xx",IF(N300&gt;0,"xy",""))</f>
        <v/>
      </c>
      <c r="Q302" s="317" t="str">
        <f t="shared" si="23"/>
        <v/>
      </c>
      <c r="R302" s="317" t="str">
        <f t="shared" si="24"/>
        <v/>
      </c>
      <c r="S302" s="317" t="str">
        <f t="shared" si="25"/>
        <v/>
      </c>
      <c r="T302" s="317" t="str">
        <f>GLOBAL_DER_FEV_2023!S302</f>
        <v/>
      </c>
      <c r="W302" s="582">
        <v>0</v>
      </c>
      <c r="X302" s="580"/>
      <c r="Y302" s="583">
        <f>IF(GLOBAL_DER_FEV_2023!W302=0,0,IF(GLOBAL_DER_FEV_2023!W302&gt;0,"c","b"))</f>
        <v>0</v>
      </c>
    </row>
    <row r="303" spans="1:25" ht="13.5" hidden="1" thickBot="1" x14ac:dyDescent="0.25">
      <c r="A303" s="317">
        <v>563100</v>
      </c>
      <c r="B303" s="999" t="s">
        <v>1753</v>
      </c>
      <c r="C303" s="1000" t="s">
        <v>184</v>
      </c>
      <c r="D303" s="1017" t="s">
        <v>242</v>
      </c>
      <c r="E303" s="974" t="str">
        <f>GLOBAL_DER_FEV_2023!E303</f>
        <v>taxa RR-2C</v>
      </c>
      <c r="F303" s="975">
        <f>GLOBAL_DER_FEV_2023!F303</f>
        <v>5.0000000000000001E-4</v>
      </c>
      <c r="G303" s="976">
        <f>GLOBAL_DER_FEV_2023!G303</f>
        <v>2.0258000000000002E-2</v>
      </c>
      <c r="H303" s="977">
        <f>GLOBAL_DER_FEV_2023!H303</f>
        <v>1.27</v>
      </c>
      <c r="I303" s="977">
        <f>GLOBAL_DER_FEV_2023!I303</f>
        <v>1.2902580000000001</v>
      </c>
      <c r="J303" s="978">
        <f>GLOBAL_DER_FEV_2023!J303</f>
        <v>1.55</v>
      </c>
      <c r="K303" s="979" t="s">
        <v>12</v>
      </c>
      <c r="L303" s="1152"/>
      <c r="M303" s="1153">
        <f t="shared" si="22"/>
        <v>0</v>
      </c>
      <c r="N303" s="982">
        <f t="shared" si="26"/>
        <v>0</v>
      </c>
      <c r="O303" s="905"/>
      <c r="Q303" s="317" t="str">
        <f t="shared" si="23"/>
        <v/>
      </c>
      <c r="R303" s="317" t="str">
        <f t="shared" si="24"/>
        <v/>
      </c>
      <c r="S303" s="317" t="str">
        <f t="shared" si="25"/>
        <v/>
      </c>
      <c r="T303" s="317" t="str">
        <f>GLOBAL_DER_FEV_2023!S303</f>
        <v/>
      </c>
      <c r="W303" s="582">
        <v>0</v>
      </c>
      <c r="X303" s="580"/>
      <c r="Y303" s="583">
        <f>IF(GLOBAL_DER_FEV_2023!W303=0,0,IF(GLOBAL_DER_FEV_2023!W303&gt;0,"c","b"))</f>
        <v>0</v>
      </c>
    </row>
    <row r="304" spans="1:25" ht="13.5" hidden="1" thickBot="1" x14ac:dyDescent="0.25">
      <c r="A304" s="317" t="s">
        <v>147</v>
      </c>
      <c r="B304" s="895" t="s">
        <v>147</v>
      </c>
      <c r="C304" s="896"/>
      <c r="D304" s="1018" t="s">
        <v>233</v>
      </c>
      <c r="E304" s="898">
        <f>GLOBAL_DER_FEV_2023!E304</f>
        <v>0.2</v>
      </c>
      <c r="F304" s="908">
        <f>GLOBAL_DER_FEV_2023!F304</f>
        <v>7.0000000000000001E-3</v>
      </c>
      <c r="G304" s="949">
        <f>GLOBAL_DER_FEV_2023!G304</f>
        <v>2.0258000000000002E-2</v>
      </c>
      <c r="H304" s="901">
        <f>GLOBAL_DER_FEV_2023!H304</f>
        <v>0</v>
      </c>
      <c r="I304" s="901">
        <f>GLOBAL_DER_FEV_2023!I304</f>
        <v>0</v>
      </c>
      <c r="J304" s="902">
        <f>GLOBAL_DER_FEV_2023!J304</f>
        <v>0</v>
      </c>
      <c r="K304" s="903" t="s">
        <v>507</v>
      </c>
      <c r="L304" s="1003"/>
      <c r="M304" s="1157">
        <f t="shared" si="22"/>
        <v>0</v>
      </c>
      <c r="N304" s="893">
        <f t="shared" si="26"/>
        <v>0</v>
      </c>
      <c r="O304" s="905"/>
      <c r="P304" s="58" t="str">
        <f>IF(N303&gt;0,"xx",IF(N303&gt;0,"xy",""))</f>
        <v/>
      </c>
      <c r="Q304" s="317" t="str">
        <f t="shared" si="23"/>
        <v/>
      </c>
      <c r="R304" s="317" t="str">
        <f t="shared" si="24"/>
        <v/>
      </c>
      <c r="S304" s="317" t="str">
        <f t="shared" si="25"/>
        <v/>
      </c>
      <c r="T304" s="317" t="str">
        <f>GLOBAL_DER_FEV_2023!S304</f>
        <v/>
      </c>
      <c r="W304" s="582">
        <v>0</v>
      </c>
      <c r="X304" s="580"/>
      <c r="Y304" s="583">
        <f>IF(GLOBAL_DER_FEV_2023!W304=0,0,IF(GLOBAL_DER_FEV_2023!W304&gt;0,"c","b"))</f>
        <v>0</v>
      </c>
    </row>
    <row r="305" spans="1:25" ht="13.5" hidden="1" thickBot="1" x14ac:dyDescent="0.25">
      <c r="A305" s="317">
        <v>589520</v>
      </c>
      <c r="B305" s="1004" t="s">
        <v>1670</v>
      </c>
      <c r="C305" s="984" t="s">
        <v>213</v>
      </c>
      <c r="D305" s="1012" t="s">
        <v>564</v>
      </c>
      <c r="E305" s="1005">
        <f>GLOBAL_DER_FEV_2023!E305</f>
        <v>353</v>
      </c>
      <c r="F305" s="1006">
        <f>GLOBAL_DER_FEV_2023!F305</f>
        <v>1</v>
      </c>
      <c r="G305" s="949">
        <f>GLOBAL_DER_FEV_2023!G305</f>
        <v>337.96999999999997</v>
      </c>
      <c r="H305" s="988">
        <f>GLOBAL_DER_FEV_2023!H305</f>
        <v>4164.04</v>
      </c>
      <c r="I305" s="988">
        <f>GLOBAL_DER_FEV_2023!I305</f>
        <v>4335.8923053218959</v>
      </c>
      <c r="J305" s="989">
        <f>GLOBAL_DER_FEV_2023!J305</f>
        <v>5206.1099999999997</v>
      </c>
      <c r="K305" s="990" t="s">
        <v>14</v>
      </c>
      <c r="L305" s="1154">
        <f>ROUND(L303*$F303,2)</f>
        <v>0</v>
      </c>
      <c r="M305" s="1159">
        <f t="shared" si="22"/>
        <v>0</v>
      </c>
      <c r="N305" s="993">
        <f t="shared" si="26"/>
        <v>0</v>
      </c>
      <c r="O305" s="905"/>
      <c r="P305" s="58" t="str">
        <f>IF(N303&gt;0,"xx",IF(N303&gt;0,"xy",""))</f>
        <v/>
      </c>
      <c r="Q305" s="317" t="str">
        <f t="shared" si="23"/>
        <v/>
      </c>
      <c r="R305" s="317" t="str">
        <f t="shared" si="24"/>
        <v/>
      </c>
      <c r="S305" s="317" t="str">
        <f t="shared" si="25"/>
        <v/>
      </c>
      <c r="T305" s="317" t="str">
        <f>GLOBAL_DER_FEV_2023!S305</f>
        <v/>
      </c>
      <c r="W305" s="582">
        <v>0</v>
      </c>
      <c r="X305" s="580"/>
      <c r="Y305" s="583">
        <f>IF(GLOBAL_DER_FEV_2023!W305=0,0,IF(GLOBAL_DER_FEV_2023!W305&gt;0,"c","b"))</f>
        <v>0</v>
      </c>
    </row>
    <row r="306" spans="1:25" ht="13.5" hidden="1" thickBot="1" x14ac:dyDescent="0.25">
      <c r="A306" s="317">
        <v>534000</v>
      </c>
      <c r="B306" s="999" t="s">
        <v>599</v>
      </c>
      <c r="C306" s="1000" t="s">
        <v>184</v>
      </c>
      <c r="D306" s="973" t="s">
        <v>2205</v>
      </c>
      <c r="E306" s="974" t="str">
        <f>GLOBAL_DER_FEV_2023!E306</f>
        <v>taxa RM-2C</v>
      </c>
      <c r="F306" s="975">
        <f>GLOBAL_DER_FEV_2023!F306</f>
        <v>0.08</v>
      </c>
      <c r="G306" s="976">
        <f>GLOBAL_DER_FEV_2023!G306</f>
        <v>69.737280000000013</v>
      </c>
      <c r="H306" s="977">
        <f>GLOBAL_DER_FEV_2023!H306</f>
        <v>141.84</v>
      </c>
      <c r="I306" s="977">
        <f>GLOBAL_DER_FEV_2023!I306</f>
        <v>211.57728000000003</v>
      </c>
      <c r="J306" s="978">
        <f>GLOBAL_DER_FEV_2023!J306</f>
        <v>254.04</v>
      </c>
      <c r="K306" s="979" t="s">
        <v>10</v>
      </c>
      <c r="L306" s="1152"/>
      <c r="M306" s="1153">
        <f t="shared" si="22"/>
        <v>0</v>
      </c>
      <c r="N306" s="982">
        <f t="shared" si="26"/>
        <v>0</v>
      </c>
      <c r="O306" s="905"/>
      <c r="Q306" s="317" t="str">
        <f t="shared" si="23"/>
        <v/>
      </c>
      <c r="R306" s="317" t="str">
        <f t="shared" si="24"/>
        <v/>
      </c>
      <c r="S306" s="317" t="str">
        <f t="shared" si="25"/>
        <v/>
      </c>
      <c r="T306" s="317" t="str">
        <f>GLOBAL_DER_FEV_2023!S306</f>
        <v/>
      </c>
      <c r="W306" s="582">
        <v>0</v>
      </c>
      <c r="X306" s="580"/>
      <c r="Y306" s="583">
        <f>IF(GLOBAL_DER_FEV_2023!W306=0,0,IF(GLOBAL_DER_FEV_2023!W306&gt;0,"c","b"))</f>
        <v>0</v>
      </c>
    </row>
    <row r="307" spans="1:25" ht="13.5" hidden="1" thickBot="1" x14ac:dyDescent="0.25">
      <c r="A307" s="317" t="s">
        <v>147</v>
      </c>
      <c r="B307" s="895" t="s">
        <v>147</v>
      </c>
      <c r="C307" s="896"/>
      <c r="D307" s="957" t="s">
        <v>229</v>
      </c>
      <c r="E307" s="907">
        <f>GLOBAL_DER_FEV_2023!E307</f>
        <v>150</v>
      </c>
      <c r="F307" s="908">
        <f>GLOBAL_DER_FEV_2023!F307</f>
        <v>0</v>
      </c>
      <c r="G307" s="949">
        <f>GLOBAL_DER_FEV_2023!G307</f>
        <v>0</v>
      </c>
      <c r="H307" s="901">
        <f>GLOBAL_DER_FEV_2023!H307</f>
        <v>0</v>
      </c>
      <c r="I307" s="901">
        <f>GLOBAL_DER_FEV_2023!I307</f>
        <v>0</v>
      </c>
      <c r="J307" s="902">
        <f>GLOBAL_DER_FEV_2023!J307</f>
        <v>0</v>
      </c>
      <c r="K307" s="903" t="s">
        <v>507</v>
      </c>
      <c r="L307" s="1003"/>
      <c r="M307" s="1157">
        <f t="shared" si="22"/>
        <v>0</v>
      </c>
      <c r="N307" s="893">
        <f t="shared" si="26"/>
        <v>0</v>
      </c>
      <c r="O307" s="905"/>
      <c r="P307" s="58" t="str">
        <f>IF(N306&gt;0,"xx",IF(N306&gt;0,"xy",""))</f>
        <v/>
      </c>
      <c r="Q307" s="317" t="str">
        <f t="shared" si="23"/>
        <v/>
      </c>
      <c r="R307" s="317" t="str">
        <f t="shared" si="24"/>
        <v/>
      </c>
      <c r="S307" s="317" t="str">
        <f t="shared" si="25"/>
        <v/>
      </c>
      <c r="T307" s="317" t="str">
        <f>GLOBAL_DER_FEV_2023!S307</f>
        <v/>
      </c>
      <c r="W307" s="582">
        <v>0</v>
      </c>
      <c r="X307" s="580"/>
      <c r="Y307" s="583">
        <f>IF(GLOBAL_DER_FEV_2023!W307=0,0,IF(GLOBAL_DER_FEV_2023!W307&gt;0,"c","b"))</f>
        <v>0</v>
      </c>
    </row>
    <row r="308" spans="1:25" ht="13.5" hidden="1" thickBot="1" x14ac:dyDescent="0.25">
      <c r="A308" s="317" t="s">
        <v>147</v>
      </c>
      <c r="B308" s="895" t="s">
        <v>147</v>
      </c>
      <c r="C308" s="896"/>
      <c r="D308" s="957" t="s">
        <v>230</v>
      </c>
      <c r="E308" s="907">
        <f>GLOBAL_DER_FEV_2023!E308</f>
        <v>353</v>
      </c>
      <c r="F308" s="908">
        <f>GLOBAL_DER_FEV_2023!F308</f>
        <v>0</v>
      </c>
      <c r="G308" s="909">
        <f>GLOBAL_DER_FEV_2023!G308</f>
        <v>0</v>
      </c>
      <c r="H308" s="901">
        <f>GLOBAL_DER_FEV_2023!H308</f>
        <v>0</v>
      </c>
      <c r="I308" s="901">
        <f>GLOBAL_DER_FEV_2023!I308</f>
        <v>0</v>
      </c>
      <c r="J308" s="902">
        <f>GLOBAL_DER_FEV_2023!J308</f>
        <v>0</v>
      </c>
      <c r="K308" s="903" t="s">
        <v>507</v>
      </c>
      <c r="L308" s="1003"/>
      <c r="M308" s="1157">
        <f t="shared" si="22"/>
        <v>0</v>
      </c>
      <c r="N308" s="893">
        <f t="shared" si="26"/>
        <v>0</v>
      </c>
      <c r="O308" s="905"/>
      <c r="P308" s="58" t="str">
        <f>IF(N306&gt;0,"xx",IF(N306&gt;0,"xy",""))</f>
        <v/>
      </c>
      <c r="Q308" s="317" t="str">
        <f t="shared" si="23"/>
        <v/>
      </c>
      <c r="R308" s="317" t="str">
        <f t="shared" si="24"/>
        <v/>
      </c>
      <c r="S308" s="317" t="str">
        <f t="shared" si="25"/>
        <v/>
      </c>
      <c r="T308" s="317" t="str">
        <f>GLOBAL_DER_FEV_2023!S308</f>
        <v/>
      </c>
      <c r="W308" s="582">
        <v>0</v>
      </c>
      <c r="X308" s="580"/>
      <c r="Y308" s="583">
        <f>IF(GLOBAL_DER_FEV_2023!W308=0,0,IF(GLOBAL_DER_FEV_2023!W308&gt;0,"c","b"))</f>
        <v>0</v>
      </c>
    </row>
    <row r="309" spans="1:25" ht="13.5" hidden="1" thickBot="1" x14ac:dyDescent="0.25">
      <c r="A309" s="317" t="s">
        <v>147</v>
      </c>
      <c r="B309" s="895" t="s">
        <v>147</v>
      </c>
      <c r="C309" s="896"/>
      <c r="D309" s="957" t="s">
        <v>243</v>
      </c>
      <c r="E309" s="907">
        <f>GLOBAL_DER_FEV_2023!E309</f>
        <v>0.2</v>
      </c>
      <c r="F309" s="908">
        <f>GLOBAL_DER_FEV_2023!F309</f>
        <v>2.12</v>
      </c>
      <c r="G309" s="949">
        <f>GLOBAL_DER_FEV_2023!G309</f>
        <v>6.1352800000000007</v>
      </c>
      <c r="H309" s="901">
        <f>GLOBAL_DER_FEV_2023!H309</f>
        <v>0</v>
      </c>
      <c r="I309" s="901">
        <f>GLOBAL_DER_FEV_2023!I309</f>
        <v>0</v>
      </c>
      <c r="J309" s="902">
        <f>GLOBAL_DER_FEV_2023!J309</f>
        <v>0</v>
      </c>
      <c r="K309" s="903" t="s">
        <v>507</v>
      </c>
      <c r="L309" s="1003"/>
      <c r="M309" s="1157">
        <f t="shared" si="22"/>
        <v>0</v>
      </c>
      <c r="N309" s="893">
        <f t="shared" si="26"/>
        <v>0</v>
      </c>
      <c r="O309" s="905"/>
      <c r="P309" s="58" t="str">
        <f>IF(N306&gt;0,"xx",IF(N306&gt;0,"xy",""))</f>
        <v/>
      </c>
      <c r="Q309" s="317" t="str">
        <f t="shared" si="23"/>
        <v/>
      </c>
      <c r="R309" s="317" t="str">
        <f t="shared" si="24"/>
        <v/>
      </c>
      <c r="S309" s="317" t="str">
        <f t="shared" si="25"/>
        <v/>
      </c>
      <c r="T309" s="317" t="str">
        <f>GLOBAL_DER_FEV_2023!S309</f>
        <v/>
      </c>
      <c r="W309" s="582">
        <v>0</v>
      </c>
      <c r="X309" s="580"/>
      <c r="Y309" s="583">
        <f>IF(GLOBAL_DER_FEV_2023!W309=0,0,IF(GLOBAL_DER_FEV_2023!W309&gt;0,"c","b"))</f>
        <v>0</v>
      </c>
    </row>
    <row r="310" spans="1:25" ht="13.5" hidden="1" thickBot="1" x14ac:dyDescent="0.25">
      <c r="A310" s="317" t="s">
        <v>147</v>
      </c>
      <c r="B310" s="895" t="s">
        <v>147</v>
      </c>
      <c r="C310" s="896"/>
      <c r="D310" s="957" t="s">
        <v>244</v>
      </c>
      <c r="E310" s="907">
        <f>GLOBAL_DER_FEV_2023!E310</f>
        <v>22</v>
      </c>
      <c r="F310" s="908">
        <f>GLOBAL_DER_FEV_2023!F310</f>
        <v>2.2000000000000002</v>
      </c>
      <c r="G310" s="912">
        <f>GLOBAL_DER_FEV_2023!G310</f>
        <v>63.602000000000011</v>
      </c>
      <c r="H310" s="901">
        <f>GLOBAL_DER_FEV_2023!H310</f>
        <v>0</v>
      </c>
      <c r="I310" s="901">
        <f>GLOBAL_DER_FEV_2023!I310</f>
        <v>0</v>
      </c>
      <c r="J310" s="902">
        <f>GLOBAL_DER_FEV_2023!J310</f>
        <v>0</v>
      </c>
      <c r="K310" s="903" t="s">
        <v>507</v>
      </c>
      <c r="L310" s="1003"/>
      <c r="M310" s="1157">
        <f t="shared" si="22"/>
        <v>0</v>
      </c>
      <c r="N310" s="893">
        <f t="shared" si="26"/>
        <v>0</v>
      </c>
      <c r="O310" s="905"/>
      <c r="P310" s="58" t="str">
        <f>IF(N306&gt;0,"xx",IF(N306&gt;0,"xy",""))</f>
        <v/>
      </c>
      <c r="Q310" s="317" t="str">
        <f t="shared" si="23"/>
        <v/>
      </c>
      <c r="R310" s="317" t="str">
        <f t="shared" si="24"/>
        <v/>
      </c>
      <c r="S310" s="317" t="str">
        <f t="shared" si="25"/>
        <v/>
      </c>
      <c r="T310" s="317" t="str">
        <f>GLOBAL_DER_FEV_2023!S310</f>
        <v/>
      </c>
      <c r="W310" s="582">
        <v>0</v>
      </c>
      <c r="X310" s="580"/>
      <c r="Y310" s="583">
        <f>IF(GLOBAL_DER_FEV_2023!W310=0,0,IF(GLOBAL_DER_FEV_2023!W310&gt;0,"c","b"))</f>
        <v>0</v>
      </c>
    </row>
    <row r="311" spans="1:25" ht="13.5" hidden="1" thickBot="1" x14ac:dyDescent="0.25">
      <c r="A311" s="317">
        <v>589320</v>
      </c>
      <c r="B311" s="1004" t="s">
        <v>719</v>
      </c>
      <c r="C311" s="984" t="s">
        <v>213</v>
      </c>
      <c r="D311" s="1012" t="s">
        <v>699</v>
      </c>
      <c r="E311" s="1005">
        <f>GLOBAL_DER_FEV_2023!E311</f>
        <v>45</v>
      </c>
      <c r="F311" s="1006">
        <f>GLOBAL_DER_FEV_2023!F311</f>
        <v>1</v>
      </c>
      <c r="G311" s="949">
        <f>GLOBAL_DER_FEV_2023!G311</f>
        <v>79.25</v>
      </c>
      <c r="H311" s="988">
        <f>GLOBAL_DER_FEV_2023!H311</f>
        <v>4012.83</v>
      </c>
      <c r="I311" s="988">
        <f>GLOBAL_DER_FEV_2023!I311</f>
        <v>3931.9945856583668</v>
      </c>
      <c r="J311" s="989">
        <f>GLOBAL_DER_FEV_2023!J311</f>
        <v>4721.1499999999996</v>
      </c>
      <c r="K311" s="990" t="s">
        <v>14</v>
      </c>
      <c r="L311" s="1154">
        <f>ROUND(L306*$F306,2)</f>
        <v>0</v>
      </c>
      <c r="M311" s="1159">
        <f t="shared" si="22"/>
        <v>0</v>
      </c>
      <c r="N311" s="993">
        <f t="shared" si="26"/>
        <v>0</v>
      </c>
      <c r="O311" s="905"/>
      <c r="P311" s="58" t="str">
        <f>IF(N306&gt;0,"xx",IF(N306&gt;0,"xy",""))</f>
        <v/>
      </c>
      <c r="Q311" s="317" t="str">
        <f t="shared" si="23"/>
        <v/>
      </c>
      <c r="R311" s="317" t="str">
        <f t="shared" si="24"/>
        <v/>
      </c>
      <c r="S311" s="317" t="str">
        <f t="shared" si="25"/>
        <v/>
      </c>
      <c r="T311" s="317" t="str">
        <f>GLOBAL_DER_FEV_2023!S311</f>
        <v/>
      </c>
      <c r="W311" s="582">
        <v>0</v>
      </c>
      <c r="X311" s="580"/>
      <c r="Y311" s="583">
        <f>IF(GLOBAL_DER_FEV_2023!W311=0,0,IF(GLOBAL_DER_FEV_2023!W311&gt;0,"c","b"))</f>
        <v>0</v>
      </c>
    </row>
    <row r="312" spans="1:25" ht="13.5" hidden="1" thickBot="1" x14ac:dyDescent="0.25">
      <c r="A312" s="317">
        <v>534000</v>
      </c>
      <c r="B312" s="999" t="s">
        <v>600</v>
      </c>
      <c r="C312" s="1000" t="s">
        <v>184</v>
      </c>
      <c r="D312" s="973" t="s">
        <v>2206</v>
      </c>
      <c r="E312" s="974" t="str">
        <f>GLOBAL_DER_FEV_2023!E312</f>
        <v>taxa RM-2C</v>
      </c>
      <c r="F312" s="975">
        <f>GLOBAL_DER_FEV_2023!F312</f>
        <v>0.08</v>
      </c>
      <c r="G312" s="976">
        <f>GLOBAL_DER_FEV_2023!G312</f>
        <v>69.737280000000013</v>
      </c>
      <c r="H312" s="977">
        <f>GLOBAL_DER_FEV_2023!H312</f>
        <v>141.84</v>
      </c>
      <c r="I312" s="977">
        <f>GLOBAL_DER_FEV_2023!I312</f>
        <v>211.57728000000003</v>
      </c>
      <c r="J312" s="978">
        <f>GLOBAL_DER_FEV_2023!J312</f>
        <v>254.04</v>
      </c>
      <c r="K312" s="979" t="s">
        <v>10</v>
      </c>
      <c r="L312" s="1152"/>
      <c r="M312" s="1153">
        <f t="shared" si="22"/>
        <v>0</v>
      </c>
      <c r="N312" s="982">
        <f t="shared" si="26"/>
        <v>0</v>
      </c>
      <c r="O312" s="905"/>
      <c r="Q312" s="317" t="str">
        <f t="shared" si="23"/>
        <v/>
      </c>
      <c r="R312" s="317" t="str">
        <f t="shared" si="24"/>
        <v/>
      </c>
      <c r="S312" s="317" t="str">
        <f t="shared" si="25"/>
        <v/>
      </c>
      <c r="T312" s="317" t="str">
        <f>GLOBAL_DER_FEV_2023!S312</f>
        <v/>
      </c>
      <c r="W312" s="582">
        <v>0</v>
      </c>
      <c r="X312" s="580"/>
      <c r="Y312" s="583">
        <f>IF(GLOBAL_DER_FEV_2023!W312=0,0,IF(GLOBAL_DER_FEV_2023!W312&gt;0,"c","b"))</f>
        <v>0</v>
      </c>
    </row>
    <row r="313" spans="1:25" ht="13.5" hidden="1" thickBot="1" x14ac:dyDescent="0.25">
      <c r="A313" s="317" t="s">
        <v>147</v>
      </c>
      <c r="B313" s="895" t="s">
        <v>147</v>
      </c>
      <c r="C313" s="896"/>
      <c r="D313" s="957" t="s">
        <v>229</v>
      </c>
      <c r="E313" s="907">
        <f>GLOBAL_DER_FEV_2023!E313</f>
        <v>150</v>
      </c>
      <c r="F313" s="908">
        <f>GLOBAL_DER_FEV_2023!F313</f>
        <v>0</v>
      </c>
      <c r="G313" s="949">
        <f>GLOBAL_DER_FEV_2023!G313</f>
        <v>0</v>
      </c>
      <c r="H313" s="901">
        <f>GLOBAL_DER_FEV_2023!H313</f>
        <v>0</v>
      </c>
      <c r="I313" s="901">
        <f>GLOBAL_DER_FEV_2023!I313</f>
        <v>0</v>
      </c>
      <c r="J313" s="902">
        <f>GLOBAL_DER_FEV_2023!J313</f>
        <v>0</v>
      </c>
      <c r="K313" s="903" t="s">
        <v>507</v>
      </c>
      <c r="L313" s="1003"/>
      <c r="M313" s="1157">
        <f t="shared" si="22"/>
        <v>0</v>
      </c>
      <c r="N313" s="893">
        <f t="shared" si="26"/>
        <v>0</v>
      </c>
      <c r="O313" s="905"/>
      <c r="P313" s="58" t="str">
        <f>IF(N312&gt;0,"xx",IF(N312&gt;0,"xy",""))</f>
        <v/>
      </c>
      <c r="Q313" s="317" t="str">
        <f t="shared" si="23"/>
        <v/>
      </c>
      <c r="R313" s="317" t="str">
        <f t="shared" si="24"/>
        <v/>
      </c>
      <c r="S313" s="317" t="str">
        <f t="shared" si="25"/>
        <v/>
      </c>
      <c r="T313" s="317" t="str">
        <f>GLOBAL_DER_FEV_2023!S313</f>
        <v/>
      </c>
      <c r="W313" s="582">
        <v>0</v>
      </c>
      <c r="X313" s="580"/>
      <c r="Y313" s="583">
        <f>IF(GLOBAL_DER_FEV_2023!W313=0,0,IF(GLOBAL_DER_FEV_2023!W313&gt;0,"c","b"))</f>
        <v>0</v>
      </c>
    </row>
    <row r="314" spans="1:25" ht="13.5" hidden="1" thickBot="1" x14ac:dyDescent="0.25">
      <c r="A314" s="317" t="s">
        <v>147</v>
      </c>
      <c r="B314" s="895" t="s">
        <v>147</v>
      </c>
      <c r="C314" s="896"/>
      <c r="D314" s="957" t="s">
        <v>230</v>
      </c>
      <c r="E314" s="907">
        <f>GLOBAL_DER_FEV_2023!E314</f>
        <v>353</v>
      </c>
      <c r="F314" s="908">
        <f>GLOBAL_DER_FEV_2023!F314</f>
        <v>0</v>
      </c>
      <c r="G314" s="909">
        <f>GLOBAL_DER_FEV_2023!G314</f>
        <v>0</v>
      </c>
      <c r="H314" s="901">
        <f>GLOBAL_DER_FEV_2023!H314</f>
        <v>0</v>
      </c>
      <c r="I314" s="901">
        <f>GLOBAL_DER_FEV_2023!I314</f>
        <v>0</v>
      </c>
      <c r="J314" s="902">
        <f>GLOBAL_DER_FEV_2023!J314</f>
        <v>0</v>
      </c>
      <c r="K314" s="903" t="s">
        <v>507</v>
      </c>
      <c r="L314" s="1003"/>
      <c r="M314" s="1157">
        <f t="shared" si="22"/>
        <v>0</v>
      </c>
      <c r="N314" s="893">
        <f t="shared" si="26"/>
        <v>0</v>
      </c>
      <c r="O314" s="905"/>
      <c r="P314" s="58" t="str">
        <f>IF(N312&gt;0,"xx",IF(N312&gt;0,"xy",""))</f>
        <v/>
      </c>
      <c r="Q314" s="317" t="str">
        <f t="shared" si="23"/>
        <v/>
      </c>
      <c r="R314" s="317" t="str">
        <f t="shared" si="24"/>
        <v/>
      </c>
      <c r="S314" s="317" t="str">
        <f t="shared" si="25"/>
        <v/>
      </c>
      <c r="T314" s="317" t="str">
        <f>GLOBAL_DER_FEV_2023!S314</f>
        <v/>
      </c>
      <c r="W314" s="582">
        <v>0</v>
      </c>
      <c r="X314" s="580"/>
      <c r="Y314" s="583">
        <f>IF(GLOBAL_DER_FEV_2023!W314=0,0,IF(GLOBAL_DER_FEV_2023!W314&gt;0,"c","b"))</f>
        <v>0</v>
      </c>
    </row>
    <row r="315" spans="1:25" ht="13.5" hidden="1" thickBot="1" x14ac:dyDescent="0.25">
      <c r="A315" s="317" t="s">
        <v>147</v>
      </c>
      <c r="B315" s="895" t="s">
        <v>147</v>
      </c>
      <c r="C315" s="896"/>
      <c r="D315" s="957" t="s">
        <v>243</v>
      </c>
      <c r="E315" s="907">
        <f>GLOBAL_DER_FEV_2023!E315</f>
        <v>0.2</v>
      </c>
      <c r="F315" s="908">
        <f>GLOBAL_DER_FEV_2023!F315</f>
        <v>2.12</v>
      </c>
      <c r="G315" s="949">
        <f>GLOBAL_DER_FEV_2023!G315</f>
        <v>6.1352800000000007</v>
      </c>
      <c r="H315" s="901">
        <f>GLOBAL_DER_FEV_2023!H315</f>
        <v>0</v>
      </c>
      <c r="I315" s="901">
        <f>GLOBAL_DER_FEV_2023!I315</f>
        <v>0</v>
      </c>
      <c r="J315" s="902">
        <f>GLOBAL_DER_FEV_2023!J315</f>
        <v>0</v>
      </c>
      <c r="K315" s="903" t="s">
        <v>507</v>
      </c>
      <c r="L315" s="1003"/>
      <c r="M315" s="1157">
        <f t="shared" si="22"/>
        <v>0</v>
      </c>
      <c r="N315" s="893">
        <f t="shared" si="26"/>
        <v>0</v>
      </c>
      <c r="O315" s="905"/>
      <c r="P315" s="58" t="str">
        <f>IF(N312&gt;0,"xx",IF(N312&gt;0,"xy",""))</f>
        <v/>
      </c>
      <c r="Q315" s="317" t="str">
        <f t="shared" si="23"/>
        <v/>
      </c>
      <c r="R315" s="317" t="str">
        <f t="shared" si="24"/>
        <v/>
      </c>
      <c r="S315" s="317" t="str">
        <f t="shared" si="25"/>
        <v/>
      </c>
      <c r="T315" s="317" t="str">
        <f>GLOBAL_DER_FEV_2023!S315</f>
        <v/>
      </c>
      <c r="W315" s="582">
        <v>0</v>
      </c>
      <c r="X315" s="580"/>
      <c r="Y315" s="583">
        <f>IF(GLOBAL_DER_FEV_2023!W315=0,0,IF(GLOBAL_DER_FEV_2023!W315&gt;0,"c","b"))</f>
        <v>0</v>
      </c>
    </row>
    <row r="316" spans="1:25" ht="13.5" hidden="1" thickBot="1" x14ac:dyDescent="0.25">
      <c r="A316" s="317" t="s">
        <v>147</v>
      </c>
      <c r="B316" s="895" t="s">
        <v>147</v>
      </c>
      <c r="C316" s="896"/>
      <c r="D316" s="957" t="s">
        <v>244</v>
      </c>
      <c r="E316" s="907">
        <f>GLOBAL_DER_FEV_2023!E316</f>
        <v>22</v>
      </c>
      <c r="F316" s="908">
        <f>GLOBAL_DER_FEV_2023!F316</f>
        <v>2.2000000000000002</v>
      </c>
      <c r="G316" s="912">
        <f>GLOBAL_DER_FEV_2023!G316</f>
        <v>63.602000000000011</v>
      </c>
      <c r="H316" s="901">
        <f>GLOBAL_DER_FEV_2023!H316</f>
        <v>0</v>
      </c>
      <c r="I316" s="901">
        <f>GLOBAL_DER_FEV_2023!I316</f>
        <v>0</v>
      </c>
      <c r="J316" s="902">
        <f>GLOBAL_DER_FEV_2023!J316</f>
        <v>0</v>
      </c>
      <c r="K316" s="903" t="s">
        <v>507</v>
      </c>
      <c r="L316" s="1003"/>
      <c r="M316" s="1157">
        <f t="shared" si="22"/>
        <v>0</v>
      </c>
      <c r="N316" s="893">
        <f t="shared" si="26"/>
        <v>0</v>
      </c>
      <c r="O316" s="905"/>
      <c r="P316" s="58" t="str">
        <f>IF(N312&gt;0,"xx",IF(N312&gt;0,"xy",""))</f>
        <v/>
      </c>
      <c r="Q316" s="317" t="str">
        <f t="shared" si="23"/>
        <v/>
      </c>
      <c r="R316" s="317" t="str">
        <f t="shared" si="24"/>
        <v/>
      </c>
      <c r="S316" s="317" t="str">
        <f t="shared" si="25"/>
        <v/>
      </c>
      <c r="T316" s="317" t="str">
        <f>GLOBAL_DER_FEV_2023!S316</f>
        <v/>
      </c>
      <c r="W316" s="582">
        <v>0</v>
      </c>
      <c r="X316" s="580"/>
      <c r="Y316" s="583">
        <f>IF(GLOBAL_DER_FEV_2023!W316=0,0,IF(GLOBAL_DER_FEV_2023!W316&gt;0,"c","b"))</f>
        <v>0</v>
      </c>
    </row>
    <row r="317" spans="1:25" ht="13.5" hidden="1" thickBot="1" x14ac:dyDescent="0.25">
      <c r="A317" s="317">
        <v>589320</v>
      </c>
      <c r="B317" s="1004" t="s">
        <v>720</v>
      </c>
      <c r="C317" s="984" t="s">
        <v>213</v>
      </c>
      <c r="D317" s="1012" t="s">
        <v>699</v>
      </c>
      <c r="E317" s="1005">
        <f>GLOBAL_DER_FEV_2023!E317</f>
        <v>45</v>
      </c>
      <c r="F317" s="1006">
        <f>GLOBAL_DER_FEV_2023!F317</f>
        <v>1</v>
      </c>
      <c r="G317" s="949">
        <f>GLOBAL_DER_FEV_2023!G317</f>
        <v>79.25</v>
      </c>
      <c r="H317" s="988">
        <f>GLOBAL_DER_FEV_2023!H317</f>
        <v>4012.83</v>
      </c>
      <c r="I317" s="988">
        <f>GLOBAL_DER_FEV_2023!I317</f>
        <v>3931.9945856583668</v>
      </c>
      <c r="J317" s="989">
        <f>GLOBAL_DER_FEV_2023!J317</f>
        <v>4721.1499999999996</v>
      </c>
      <c r="K317" s="990" t="s">
        <v>14</v>
      </c>
      <c r="L317" s="1154">
        <f>ROUND(L312*$F312,2)</f>
        <v>0</v>
      </c>
      <c r="M317" s="1159">
        <f t="shared" si="22"/>
        <v>0</v>
      </c>
      <c r="N317" s="993">
        <f t="shared" si="26"/>
        <v>0</v>
      </c>
      <c r="O317" s="905"/>
      <c r="P317" s="58" t="str">
        <f>IF(N312&gt;0,"xx",IF(N312&gt;0,"xy",""))</f>
        <v/>
      </c>
      <c r="Q317" s="317" t="str">
        <f t="shared" si="23"/>
        <v/>
      </c>
      <c r="R317" s="317" t="str">
        <f t="shared" si="24"/>
        <v/>
      </c>
      <c r="S317" s="317" t="str">
        <f t="shared" si="25"/>
        <v/>
      </c>
      <c r="T317" s="317" t="str">
        <f>GLOBAL_DER_FEV_2023!S317</f>
        <v/>
      </c>
      <c r="W317" s="582">
        <v>0</v>
      </c>
      <c r="X317" s="580"/>
      <c r="Y317" s="583">
        <f>IF(GLOBAL_DER_FEV_2023!W317=0,0,IF(GLOBAL_DER_FEV_2023!W317&gt;0,"c","b"))</f>
        <v>0</v>
      </c>
    </row>
    <row r="318" spans="1:25" ht="13.5" hidden="1" thickBot="1" x14ac:dyDescent="0.25">
      <c r="A318" s="317">
        <v>534000</v>
      </c>
      <c r="B318" s="999" t="s">
        <v>1646</v>
      </c>
      <c r="C318" s="1000" t="s">
        <v>184</v>
      </c>
      <c r="D318" s="973" t="s">
        <v>2207</v>
      </c>
      <c r="E318" s="974" t="str">
        <f>GLOBAL_DER_FEV_2023!E318</f>
        <v>taxa RM-2C</v>
      </c>
      <c r="F318" s="975">
        <f>GLOBAL_DER_FEV_2023!F318</f>
        <v>0.08</v>
      </c>
      <c r="G318" s="976">
        <f>GLOBAL_DER_FEV_2023!G318</f>
        <v>69.737280000000013</v>
      </c>
      <c r="H318" s="977">
        <f>GLOBAL_DER_FEV_2023!H318</f>
        <v>141.84</v>
      </c>
      <c r="I318" s="977">
        <f>GLOBAL_DER_FEV_2023!I318</f>
        <v>211.57728000000003</v>
      </c>
      <c r="J318" s="978">
        <f>GLOBAL_DER_FEV_2023!J318</f>
        <v>254.04</v>
      </c>
      <c r="K318" s="979" t="s">
        <v>10</v>
      </c>
      <c r="L318" s="1152"/>
      <c r="M318" s="1153">
        <f t="shared" si="22"/>
        <v>0</v>
      </c>
      <c r="N318" s="982">
        <f t="shared" si="26"/>
        <v>0</v>
      </c>
      <c r="O318" s="905"/>
      <c r="Q318" s="317" t="str">
        <f t="shared" si="23"/>
        <v/>
      </c>
      <c r="R318" s="317" t="str">
        <f t="shared" si="24"/>
        <v/>
      </c>
      <c r="S318" s="317" t="str">
        <f t="shared" si="25"/>
        <v/>
      </c>
      <c r="T318" s="317" t="str">
        <f>GLOBAL_DER_FEV_2023!S318</f>
        <v/>
      </c>
      <c r="W318" s="582">
        <v>0</v>
      </c>
      <c r="X318" s="580"/>
      <c r="Y318" s="583">
        <f>IF(GLOBAL_DER_FEV_2023!W318=0,0,IF(GLOBAL_DER_FEV_2023!W318&gt;0,"c","b"))</f>
        <v>0</v>
      </c>
    </row>
    <row r="319" spans="1:25" ht="13.5" hidden="1" thickBot="1" x14ac:dyDescent="0.25">
      <c r="A319" s="317" t="s">
        <v>147</v>
      </c>
      <c r="B319" s="895" t="s">
        <v>147</v>
      </c>
      <c r="C319" s="896"/>
      <c r="D319" s="957" t="s">
        <v>229</v>
      </c>
      <c r="E319" s="907">
        <f>GLOBAL_DER_FEV_2023!E319</f>
        <v>150</v>
      </c>
      <c r="F319" s="908">
        <f>GLOBAL_DER_FEV_2023!F319</f>
        <v>0</v>
      </c>
      <c r="G319" s="949">
        <f>GLOBAL_DER_FEV_2023!G319</f>
        <v>0</v>
      </c>
      <c r="H319" s="901">
        <f>GLOBAL_DER_FEV_2023!H319</f>
        <v>0</v>
      </c>
      <c r="I319" s="901">
        <f>GLOBAL_DER_FEV_2023!I319</f>
        <v>0</v>
      </c>
      <c r="J319" s="902">
        <f>GLOBAL_DER_FEV_2023!J319</f>
        <v>0</v>
      </c>
      <c r="K319" s="903" t="s">
        <v>507</v>
      </c>
      <c r="L319" s="1003"/>
      <c r="M319" s="1157">
        <f t="shared" si="22"/>
        <v>0</v>
      </c>
      <c r="N319" s="893">
        <f t="shared" si="26"/>
        <v>0</v>
      </c>
      <c r="O319" s="905"/>
      <c r="P319" s="58" t="str">
        <f>IF(N318&gt;0,"xx",IF(N318&gt;0,"xy",""))</f>
        <v/>
      </c>
      <c r="Q319" s="317" t="str">
        <f t="shared" si="23"/>
        <v/>
      </c>
      <c r="R319" s="317" t="str">
        <f t="shared" si="24"/>
        <v/>
      </c>
      <c r="S319" s="317" t="str">
        <f t="shared" si="25"/>
        <v/>
      </c>
      <c r="T319" s="317" t="str">
        <f>GLOBAL_DER_FEV_2023!S319</f>
        <v/>
      </c>
      <c r="W319" s="582">
        <v>0</v>
      </c>
      <c r="X319" s="580"/>
      <c r="Y319" s="583">
        <f>IF(GLOBAL_DER_FEV_2023!W319=0,0,IF(GLOBAL_DER_FEV_2023!W319&gt;0,"c","b"))</f>
        <v>0</v>
      </c>
    </row>
    <row r="320" spans="1:25" ht="13.5" hidden="1" thickBot="1" x14ac:dyDescent="0.25">
      <c r="A320" s="317" t="s">
        <v>147</v>
      </c>
      <c r="B320" s="895" t="s">
        <v>147</v>
      </c>
      <c r="C320" s="896"/>
      <c r="D320" s="957" t="s">
        <v>230</v>
      </c>
      <c r="E320" s="907">
        <f>GLOBAL_DER_FEV_2023!E320</f>
        <v>353</v>
      </c>
      <c r="F320" s="908">
        <f>GLOBAL_DER_FEV_2023!F320</f>
        <v>0</v>
      </c>
      <c r="G320" s="909">
        <f>GLOBAL_DER_FEV_2023!G320</f>
        <v>0</v>
      </c>
      <c r="H320" s="901">
        <f>GLOBAL_DER_FEV_2023!H320</f>
        <v>0</v>
      </c>
      <c r="I320" s="901">
        <f>GLOBAL_DER_FEV_2023!I320</f>
        <v>0</v>
      </c>
      <c r="J320" s="902">
        <f>GLOBAL_DER_FEV_2023!J320</f>
        <v>0</v>
      </c>
      <c r="K320" s="903" t="s">
        <v>507</v>
      </c>
      <c r="L320" s="1003"/>
      <c r="M320" s="1157">
        <f t="shared" si="22"/>
        <v>0</v>
      </c>
      <c r="N320" s="893">
        <f t="shared" si="26"/>
        <v>0</v>
      </c>
      <c r="O320" s="905"/>
      <c r="P320" s="58" t="str">
        <f>IF(N318&gt;0,"xx",IF(N318&gt;0,"xy",""))</f>
        <v/>
      </c>
      <c r="Q320" s="317" t="str">
        <f t="shared" si="23"/>
        <v/>
      </c>
      <c r="R320" s="317" t="str">
        <f t="shared" si="24"/>
        <v/>
      </c>
      <c r="S320" s="317" t="str">
        <f t="shared" si="25"/>
        <v/>
      </c>
      <c r="T320" s="317" t="str">
        <f>GLOBAL_DER_FEV_2023!S320</f>
        <v/>
      </c>
      <c r="W320" s="582">
        <v>0</v>
      </c>
      <c r="X320" s="580"/>
      <c r="Y320" s="583">
        <f>IF(GLOBAL_DER_FEV_2023!W320=0,0,IF(GLOBAL_DER_FEV_2023!W320&gt;0,"c","b"))</f>
        <v>0</v>
      </c>
    </row>
    <row r="321" spans="1:25" ht="13.5" hidden="1" thickBot="1" x14ac:dyDescent="0.25">
      <c r="A321" s="317" t="s">
        <v>147</v>
      </c>
      <c r="B321" s="895" t="s">
        <v>147</v>
      </c>
      <c r="C321" s="896"/>
      <c r="D321" s="957" t="s">
        <v>243</v>
      </c>
      <c r="E321" s="907">
        <f>GLOBAL_DER_FEV_2023!E321</f>
        <v>0.2</v>
      </c>
      <c r="F321" s="908">
        <f>GLOBAL_DER_FEV_2023!F321</f>
        <v>2.12</v>
      </c>
      <c r="G321" s="949">
        <f>GLOBAL_DER_FEV_2023!G321</f>
        <v>6.1352800000000007</v>
      </c>
      <c r="H321" s="901">
        <f>GLOBAL_DER_FEV_2023!H321</f>
        <v>0</v>
      </c>
      <c r="I321" s="901">
        <f>GLOBAL_DER_FEV_2023!I321</f>
        <v>0</v>
      </c>
      <c r="J321" s="902">
        <f>GLOBAL_DER_FEV_2023!J321</f>
        <v>0</v>
      </c>
      <c r="K321" s="903" t="s">
        <v>507</v>
      </c>
      <c r="L321" s="1003"/>
      <c r="M321" s="1157">
        <f t="shared" si="22"/>
        <v>0</v>
      </c>
      <c r="N321" s="893">
        <f t="shared" si="26"/>
        <v>0</v>
      </c>
      <c r="O321" s="905"/>
      <c r="P321" s="58" t="str">
        <f>IF(N318&gt;0,"xx",IF(N318&gt;0,"xy",""))</f>
        <v/>
      </c>
      <c r="Q321" s="317" t="str">
        <f t="shared" si="23"/>
        <v/>
      </c>
      <c r="R321" s="317" t="str">
        <f t="shared" si="24"/>
        <v/>
      </c>
      <c r="S321" s="317" t="str">
        <f t="shared" si="25"/>
        <v/>
      </c>
      <c r="T321" s="317" t="str">
        <f>GLOBAL_DER_FEV_2023!S321</f>
        <v/>
      </c>
      <c r="W321" s="582">
        <v>0</v>
      </c>
      <c r="X321" s="580"/>
      <c r="Y321" s="583">
        <f>IF(GLOBAL_DER_FEV_2023!W321=0,0,IF(GLOBAL_DER_FEV_2023!W321&gt;0,"c","b"))</f>
        <v>0</v>
      </c>
    </row>
    <row r="322" spans="1:25" ht="13.5" hidden="1" thickBot="1" x14ac:dyDescent="0.25">
      <c r="A322" s="317" t="s">
        <v>147</v>
      </c>
      <c r="B322" s="895" t="s">
        <v>147</v>
      </c>
      <c r="C322" s="896"/>
      <c r="D322" s="957" t="s">
        <v>244</v>
      </c>
      <c r="E322" s="907">
        <f>GLOBAL_DER_FEV_2023!E322</f>
        <v>22</v>
      </c>
      <c r="F322" s="908">
        <f>GLOBAL_DER_FEV_2023!F322</f>
        <v>2.2000000000000002</v>
      </c>
      <c r="G322" s="912">
        <f>GLOBAL_DER_FEV_2023!G322</f>
        <v>63.602000000000011</v>
      </c>
      <c r="H322" s="901">
        <f>GLOBAL_DER_FEV_2023!H322</f>
        <v>0</v>
      </c>
      <c r="I322" s="901">
        <f>GLOBAL_DER_FEV_2023!I322</f>
        <v>0</v>
      </c>
      <c r="J322" s="902">
        <f>GLOBAL_DER_FEV_2023!J322</f>
        <v>0</v>
      </c>
      <c r="K322" s="903" t="s">
        <v>507</v>
      </c>
      <c r="L322" s="1003"/>
      <c r="M322" s="1157">
        <f t="shared" si="22"/>
        <v>0</v>
      </c>
      <c r="N322" s="893">
        <f t="shared" si="26"/>
        <v>0</v>
      </c>
      <c r="O322" s="905"/>
      <c r="P322" s="58" t="str">
        <f>IF(N318&gt;0,"xx",IF(N318&gt;0,"xy",""))</f>
        <v/>
      </c>
      <c r="Q322" s="317" t="str">
        <f t="shared" si="23"/>
        <v/>
      </c>
      <c r="R322" s="317" t="str">
        <f t="shared" si="24"/>
        <v/>
      </c>
      <c r="S322" s="317" t="str">
        <f t="shared" si="25"/>
        <v/>
      </c>
      <c r="T322" s="317" t="str">
        <f>GLOBAL_DER_FEV_2023!S322</f>
        <v/>
      </c>
      <c r="W322" s="582">
        <v>0</v>
      </c>
      <c r="X322" s="580"/>
      <c r="Y322" s="583">
        <f>IF(GLOBAL_DER_FEV_2023!W322=0,0,IF(GLOBAL_DER_FEV_2023!W322&gt;0,"c","b"))</f>
        <v>0</v>
      </c>
    </row>
    <row r="323" spans="1:25" ht="13.5" hidden="1" thickBot="1" x14ac:dyDescent="0.25">
      <c r="A323" s="317">
        <v>589320</v>
      </c>
      <c r="B323" s="1004" t="s">
        <v>721</v>
      </c>
      <c r="C323" s="984" t="s">
        <v>213</v>
      </c>
      <c r="D323" s="1012" t="s">
        <v>699</v>
      </c>
      <c r="E323" s="1005">
        <f>GLOBAL_DER_FEV_2023!E323</f>
        <v>45</v>
      </c>
      <c r="F323" s="1006">
        <f>GLOBAL_DER_FEV_2023!F323</f>
        <v>1</v>
      </c>
      <c r="G323" s="949">
        <f>GLOBAL_DER_FEV_2023!G323</f>
        <v>79.25</v>
      </c>
      <c r="H323" s="988">
        <f>GLOBAL_DER_FEV_2023!H323</f>
        <v>4012.83</v>
      </c>
      <c r="I323" s="988">
        <f>GLOBAL_DER_FEV_2023!I323</f>
        <v>3931.9945856583668</v>
      </c>
      <c r="J323" s="989">
        <f>GLOBAL_DER_FEV_2023!J323</f>
        <v>4721.1499999999996</v>
      </c>
      <c r="K323" s="990" t="s">
        <v>14</v>
      </c>
      <c r="L323" s="1154">
        <f>ROUND(L318*$F318,2)</f>
        <v>0</v>
      </c>
      <c r="M323" s="1159">
        <f t="shared" si="22"/>
        <v>0</v>
      </c>
      <c r="N323" s="993">
        <f t="shared" si="26"/>
        <v>0</v>
      </c>
      <c r="O323" s="905"/>
      <c r="P323" s="58" t="str">
        <f>IF(N318&gt;0,"xx",IF(N318&gt;0,"xy",""))</f>
        <v/>
      </c>
      <c r="Q323" s="317" t="str">
        <f t="shared" si="23"/>
        <v/>
      </c>
      <c r="R323" s="317" t="str">
        <f t="shared" si="24"/>
        <v/>
      </c>
      <c r="S323" s="317" t="str">
        <f t="shared" si="25"/>
        <v/>
      </c>
      <c r="T323" s="317" t="str">
        <f>GLOBAL_DER_FEV_2023!S323</f>
        <v/>
      </c>
      <c r="W323" s="582">
        <v>0</v>
      </c>
      <c r="X323" s="580"/>
      <c r="Y323" s="583">
        <f>IF(GLOBAL_DER_FEV_2023!W323=0,0,IF(GLOBAL_DER_FEV_2023!W323&gt;0,"c","b"))</f>
        <v>0</v>
      </c>
    </row>
    <row r="324" spans="1:25" ht="13.5" hidden="1" thickBot="1" x14ac:dyDescent="0.25">
      <c r="A324" s="317">
        <v>534300</v>
      </c>
      <c r="B324" s="999" t="s">
        <v>1758</v>
      </c>
      <c r="C324" s="1000" t="s">
        <v>184</v>
      </c>
      <c r="D324" s="973" t="s">
        <v>2206</v>
      </c>
      <c r="E324" s="974" t="str">
        <f>GLOBAL_DER_FEV_2023!E324</f>
        <v>taxa RM-2C</v>
      </c>
      <c r="F324" s="975">
        <f>GLOBAL_DER_FEV_2023!F324</f>
        <v>0.11</v>
      </c>
      <c r="G324" s="976">
        <f>GLOBAL_DER_FEV_2023!G324</f>
        <v>69.65046000000001</v>
      </c>
      <c r="H324" s="977">
        <f>GLOBAL_DER_FEV_2023!H324</f>
        <v>140.30000000000001</v>
      </c>
      <c r="I324" s="977">
        <f>GLOBAL_DER_FEV_2023!I324</f>
        <v>209.95046000000002</v>
      </c>
      <c r="J324" s="978">
        <f>GLOBAL_DER_FEV_2023!J324</f>
        <v>252.09</v>
      </c>
      <c r="K324" s="979" t="s">
        <v>10</v>
      </c>
      <c r="L324" s="1152"/>
      <c r="M324" s="1153">
        <f t="shared" si="22"/>
        <v>0</v>
      </c>
      <c r="N324" s="982">
        <f t="shared" si="26"/>
        <v>0</v>
      </c>
      <c r="O324" s="905"/>
      <c r="Q324" s="317" t="str">
        <f t="shared" si="23"/>
        <v/>
      </c>
      <c r="R324" s="317" t="str">
        <f t="shared" si="24"/>
        <v/>
      </c>
      <c r="S324" s="317" t="str">
        <f t="shared" si="25"/>
        <v/>
      </c>
      <c r="T324" s="317" t="str">
        <f>GLOBAL_DER_FEV_2023!S324</f>
        <v/>
      </c>
      <c r="W324" s="582">
        <v>0</v>
      </c>
      <c r="X324" s="580"/>
      <c r="Y324" s="583">
        <f>IF(GLOBAL_DER_FEV_2023!W324=0,0,IF(GLOBAL_DER_FEV_2023!W324&gt;0,"c","b"))</f>
        <v>0</v>
      </c>
    </row>
    <row r="325" spans="1:25" ht="13.5" hidden="1" thickBot="1" x14ac:dyDescent="0.25">
      <c r="A325" s="317" t="s">
        <v>147</v>
      </c>
      <c r="B325" s="895" t="s">
        <v>147</v>
      </c>
      <c r="C325" s="896"/>
      <c r="D325" s="957" t="s">
        <v>229</v>
      </c>
      <c r="E325" s="907">
        <f>GLOBAL_DER_FEV_2023!E325</f>
        <v>150</v>
      </c>
      <c r="F325" s="908">
        <f>GLOBAL_DER_FEV_2023!F325</f>
        <v>0</v>
      </c>
      <c r="G325" s="949">
        <f>GLOBAL_DER_FEV_2023!G325</f>
        <v>0</v>
      </c>
      <c r="H325" s="901">
        <f>GLOBAL_DER_FEV_2023!H325</f>
        <v>0</v>
      </c>
      <c r="I325" s="901">
        <f>GLOBAL_DER_FEV_2023!I325</f>
        <v>0</v>
      </c>
      <c r="J325" s="902">
        <f>GLOBAL_DER_FEV_2023!J325</f>
        <v>0</v>
      </c>
      <c r="K325" s="903" t="s">
        <v>507</v>
      </c>
      <c r="L325" s="1003"/>
      <c r="M325" s="1157">
        <f t="shared" si="22"/>
        <v>0</v>
      </c>
      <c r="N325" s="893">
        <f t="shared" si="26"/>
        <v>0</v>
      </c>
      <c r="O325" s="905"/>
      <c r="P325" s="58" t="str">
        <f>IF(N324&gt;0,"xx",IF(N324&gt;0,"xy",""))</f>
        <v/>
      </c>
      <c r="Q325" s="317" t="str">
        <f t="shared" si="23"/>
        <v/>
      </c>
      <c r="R325" s="317" t="str">
        <f t="shared" si="24"/>
        <v/>
      </c>
      <c r="S325" s="317" t="str">
        <f t="shared" si="25"/>
        <v/>
      </c>
      <c r="T325" s="317" t="str">
        <f>GLOBAL_DER_FEV_2023!S325</f>
        <v/>
      </c>
      <c r="W325" s="582">
        <v>0</v>
      </c>
      <c r="X325" s="580"/>
      <c r="Y325" s="583">
        <f>IF(GLOBAL_DER_FEV_2023!W325=0,0,IF(GLOBAL_DER_FEV_2023!W325&gt;0,"c","b"))</f>
        <v>0</v>
      </c>
    </row>
    <row r="326" spans="1:25" ht="13.5" hidden="1" thickBot="1" x14ac:dyDescent="0.25">
      <c r="A326" s="317" t="s">
        <v>147</v>
      </c>
      <c r="B326" s="895" t="s">
        <v>147</v>
      </c>
      <c r="C326" s="896"/>
      <c r="D326" s="957" t="s">
        <v>230</v>
      </c>
      <c r="E326" s="907">
        <f>GLOBAL_DER_FEV_2023!E326</f>
        <v>353</v>
      </c>
      <c r="F326" s="908">
        <f>GLOBAL_DER_FEV_2023!F326</f>
        <v>0</v>
      </c>
      <c r="G326" s="909">
        <f>GLOBAL_DER_FEV_2023!G326</f>
        <v>0</v>
      </c>
      <c r="H326" s="901">
        <f>GLOBAL_DER_FEV_2023!H326</f>
        <v>0</v>
      </c>
      <c r="I326" s="901">
        <f>GLOBAL_DER_FEV_2023!I326</f>
        <v>0</v>
      </c>
      <c r="J326" s="902">
        <f>GLOBAL_DER_FEV_2023!J326</f>
        <v>0</v>
      </c>
      <c r="K326" s="903" t="s">
        <v>507</v>
      </c>
      <c r="L326" s="1003"/>
      <c r="M326" s="1157">
        <f t="shared" si="22"/>
        <v>0</v>
      </c>
      <c r="N326" s="893">
        <f t="shared" si="26"/>
        <v>0</v>
      </c>
      <c r="O326" s="905"/>
      <c r="P326" s="58" t="str">
        <f>IF(N324&gt;0,"xx",IF(N324&gt;0,"xy",""))</f>
        <v/>
      </c>
      <c r="Q326" s="317" t="str">
        <f t="shared" si="23"/>
        <v/>
      </c>
      <c r="R326" s="317" t="str">
        <f t="shared" si="24"/>
        <v/>
      </c>
      <c r="S326" s="317" t="str">
        <f t="shared" si="25"/>
        <v/>
      </c>
      <c r="T326" s="317" t="str">
        <f>GLOBAL_DER_FEV_2023!S326</f>
        <v/>
      </c>
      <c r="W326" s="582">
        <v>0</v>
      </c>
      <c r="X326" s="580"/>
      <c r="Y326" s="583">
        <f>IF(GLOBAL_DER_FEV_2023!W326=0,0,IF(GLOBAL_DER_FEV_2023!W326&gt;0,"c","b"))</f>
        <v>0</v>
      </c>
    </row>
    <row r="327" spans="1:25" ht="13.5" hidden="1" thickBot="1" x14ac:dyDescent="0.25">
      <c r="A327" s="317" t="s">
        <v>147</v>
      </c>
      <c r="B327" s="895" t="s">
        <v>147</v>
      </c>
      <c r="C327" s="896"/>
      <c r="D327" s="957" t="s">
        <v>243</v>
      </c>
      <c r="E327" s="907">
        <f>GLOBAL_DER_FEV_2023!E327</f>
        <v>0.2</v>
      </c>
      <c r="F327" s="908">
        <f>GLOBAL_DER_FEV_2023!F327</f>
        <v>2.09</v>
      </c>
      <c r="G327" s="949">
        <f>GLOBAL_DER_FEV_2023!G327</f>
        <v>6.0484599999999995</v>
      </c>
      <c r="H327" s="901">
        <f>GLOBAL_DER_FEV_2023!H327</f>
        <v>0</v>
      </c>
      <c r="I327" s="901">
        <f>GLOBAL_DER_FEV_2023!I327</f>
        <v>0</v>
      </c>
      <c r="J327" s="902">
        <f>GLOBAL_DER_FEV_2023!J327</f>
        <v>0</v>
      </c>
      <c r="K327" s="903" t="s">
        <v>507</v>
      </c>
      <c r="L327" s="1003"/>
      <c r="M327" s="1157">
        <f t="shared" si="22"/>
        <v>0</v>
      </c>
      <c r="N327" s="893">
        <f t="shared" si="26"/>
        <v>0</v>
      </c>
      <c r="O327" s="905"/>
      <c r="P327" s="58" t="str">
        <f>IF(N324&gt;0,"xx",IF(N324&gt;0,"xy",""))</f>
        <v/>
      </c>
      <c r="Q327" s="317" t="str">
        <f t="shared" si="23"/>
        <v/>
      </c>
      <c r="R327" s="317" t="str">
        <f t="shared" si="24"/>
        <v/>
      </c>
      <c r="S327" s="317" t="str">
        <f t="shared" si="25"/>
        <v/>
      </c>
      <c r="T327" s="317" t="str">
        <f>GLOBAL_DER_FEV_2023!S327</f>
        <v/>
      </c>
      <c r="W327" s="582">
        <v>0</v>
      </c>
      <c r="X327" s="580"/>
      <c r="Y327" s="583">
        <f>IF(GLOBAL_DER_FEV_2023!W327=0,0,IF(GLOBAL_DER_FEV_2023!W327&gt;0,"c","b"))</f>
        <v>0</v>
      </c>
    </row>
    <row r="328" spans="1:25" ht="13.5" hidden="1" thickBot="1" x14ac:dyDescent="0.25">
      <c r="A328" s="317" t="s">
        <v>147</v>
      </c>
      <c r="B328" s="895" t="s">
        <v>147</v>
      </c>
      <c r="C328" s="896"/>
      <c r="D328" s="957" t="s">
        <v>244</v>
      </c>
      <c r="E328" s="907">
        <f>GLOBAL_DER_FEV_2023!E328</f>
        <v>22</v>
      </c>
      <c r="F328" s="908">
        <f>GLOBAL_DER_FEV_2023!F328</f>
        <v>2.1999999999999997</v>
      </c>
      <c r="G328" s="912">
        <f>GLOBAL_DER_FEV_2023!G328</f>
        <v>63.602000000000004</v>
      </c>
      <c r="H328" s="901">
        <f>GLOBAL_DER_FEV_2023!H328</f>
        <v>0</v>
      </c>
      <c r="I328" s="901">
        <f>GLOBAL_DER_FEV_2023!I328</f>
        <v>0</v>
      </c>
      <c r="J328" s="902">
        <f>GLOBAL_DER_FEV_2023!J328</f>
        <v>0</v>
      </c>
      <c r="K328" s="903" t="s">
        <v>507</v>
      </c>
      <c r="L328" s="1003"/>
      <c r="M328" s="1157">
        <f t="shared" si="22"/>
        <v>0</v>
      </c>
      <c r="N328" s="893">
        <f t="shared" si="26"/>
        <v>0</v>
      </c>
      <c r="O328" s="905"/>
      <c r="P328" s="58" t="str">
        <f>IF(N324&gt;0,"xx",IF(N324&gt;0,"xy",""))</f>
        <v/>
      </c>
      <c r="Q328" s="317" t="str">
        <f t="shared" si="23"/>
        <v/>
      </c>
      <c r="R328" s="317" t="str">
        <f t="shared" si="24"/>
        <v/>
      </c>
      <c r="S328" s="317" t="str">
        <f t="shared" si="25"/>
        <v/>
      </c>
      <c r="T328" s="317" t="str">
        <f>GLOBAL_DER_FEV_2023!S328</f>
        <v/>
      </c>
      <c r="W328" s="582">
        <v>0</v>
      </c>
      <c r="X328" s="580"/>
      <c r="Y328" s="583">
        <f>IF(GLOBAL_DER_FEV_2023!W328=0,0,IF(GLOBAL_DER_FEV_2023!W328&gt;0,"c","b"))</f>
        <v>0</v>
      </c>
    </row>
    <row r="329" spans="1:25" ht="13.5" hidden="1" thickBot="1" x14ac:dyDescent="0.25">
      <c r="A329" s="317">
        <v>589320</v>
      </c>
      <c r="B329" s="1004" t="s">
        <v>722</v>
      </c>
      <c r="C329" s="984" t="s">
        <v>213</v>
      </c>
      <c r="D329" s="1012" t="s">
        <v>699</v>
      </c>
      <c r="E329" s="1005">
        <f>GLOBAL_DER_FEV_2023!E329</f>
        <v>45</v>
      </c>
      <c r="F329" s="1006">
        <f>GLOBAL_DER_FEV_2023!F329</f>
        <v>1</v>
      </c>
      <c r="G329" s="949">
        <f>GLOBAL_DER_FEV_2023!G329</f>
        <v>79.25</v>
      </c>
      <c r="H329" s="988">
        <f>GLOBAL_DER_FEV_2023!H329</f>
        <v>4012.83</v>
      </c>
      <c r="I329" s="988">
        <f>GLOBAL_DER_FEV_2023!I329</f>
        <v>3931.9945856583668</v>
      </c>
      <c r="J329" s="989">
        <f>GLOBAL_DER_FEV_2023!J329</f>
        <v>4721.1499999999996</v>
      </c>
      <c r="K329" s="990" t="s">
        <v>14</v>
      </c>
      <c r="L329" s="1154">
        <f>ROUND(L324*$F324,2)</f>
        <v>0</v>
      </c>
      <c r="M329" s="1159">
        <f t="shared" si="22"/>
        <v>0</v>
      </c>
      <c r="N329" s="993">
        <f t="shared" si="26"/>
        <v>0</v>
      </c>
      <c r="O329" s="905"/>
      <c r="P329" s="58" t="str">
        <f>IF(N324&gt;0,"xx",IF(N324&gt;0,"xy",""))</f>
        <v/>
      </c>
      <c r="Q329" s="317" t="str">
        <f t="shared" si="23"/>
        <v/>
      </c>
      <c r="R329" s="317" t="str">
        <f t="shared" si="24"/>
        <v/>
      </c>
      <c r="S329" s="317" t="str">
        <f t="shared" si="25"/>
        <v/>
      </c>
      <c r="T329" s="317" t="str">
        <f>GLOBAL_DER_FEV_2023!S329</f>
        <v/>
      </c>
      <c r="W329" s="582">
        <v>0</v>
      </c>
      <c r="X329" s="580"/>
      <c r="Y329" s="583">
        <f>IF(GLOBAL_DER_FEV_2023!W329=0,0,IF(GLOBAL_DER_FEV_2023!W329&gt;0,"c","b"))</f>
        <v>0</v>
      </c>
    </row>
    <row r="330" spans="1:25" ht="13.5" hidden="1" thickBot="1" x14ac:dyDescent="0.25">
      <c r="A330" s="317">
        <v>534300</v>
      </c>
      <c r="B330" s="999" t="s">
        <v>1759</v>
      </c>
      <c r="C330" s="1000" t="s">
        <v>184</v>
      </c>
      <c r="D330" s="973" t="s">
        <v>2208</v>
      </c>
      <c r="E330" s="974" t="str">
        <f>GLOBAL_DER_FEV_2023!E330</f>
        <v>taxa RM-2C</v>
      </c>
      <c r="F330" s="975">
        <f>GLOBAL_DER_FEV_2023!F330</f>
        <v>0.11</v>
      </c>
      <c r="G330" s="976">
        <f>GLOBAL_DER_FEV_2023!G330</f>
        <v>69.65046000000001</v>
      </c>
      <c r="H330" s="977">
        <f>GLOBAL_DER_FEV_2023!H330</f>
        <v>140.30000000000001</v>
      </c>
      <c r="I330" s="977">
        <f>GLOBAL_DER_FEV_2023!I330</f>
        <v>209.95046000000002</v>
      </c>
      <c r="J330" s="978">
        <f>GLOBAL_DER_FEV_2023!J330</f>
        <v>252.09</v>
      </c>
      <c r="K330" s="979" t="s">
        <v>10</v>
      </c>
      <c r="L330" s="1152"/>
      <c r="M330" s="1153">
        <f t="shared" si="22"/>
        <v>0</v>
      </c>
      <c r="N330" s="982">
        <f t="shared" si="26"/>
        <v>0</v>
      </c>
      <c r="O330" s="905"/>
      <c r="Q330" s="317" t="str">
        <f t="shared" si="23"/>
        <v/>
      </c>
      <c r="R330" s="317" t="str">
        <f t="shared" si="24"/>
        <v/>
      </c>
      <c r="S330" s="317" t="str">
        <f t="shared" si="25"/>
        <v/>
      </c>
      <c r="T330" s="317" t="str">
        <f>GLOBAL_DER_FEV_2023!S330</f>
        <v/>
      </c>
      <c r="W330" s="582">
        <v>0</v>
      </c>
      <c r="X330" s="580"/>
      <c r="Y330" s="583">
        <f>IF(GLOBAL_DER_FEV_2023!W330=0,0,IF(GLOBAL_DER_FEV_2023!W330&gt;0,"c","b"))</f>
        <v>0</v>
      </c>
    </row>
    <row r="331" spans="1:25" ht="13.5" hidden="1" thickBot="1" x14ac:dyDescent="0.25">
      <c r="A331" s="317" t="s">
        <v>147</v>
      </c>
      <c r="B331" s="895" t="s">
        <v>147</v>
      </c>
      <c r="C331" s="896"/>
      <c r="D331" s="957" t="s">
        <v>229</v>
      </c>
      <c r="E331" s="907">
        <f>GLOBAL_DER_FEV_2023!E331</f>
        <v>150</v>
      </c>
      <c r="F331" s="908">
        <f>GLOBAL_DER_FEV_2023!F331</f>
        <v>0</v>
      </c>
      <c r="G331" s="949">
        <f>GLOBAL_DER_FEV_2023!G331</f>
        <v>0</v>
      </c>
      <c r="H331" s="901">
        <f>GLOBAL_DER_FEV_2023!H331</f>
        <v>0</v>
      </c>
      <c r="I331" s="901">
        <f>GLOBAL_DER_FEV_2023!I331</f>
        <v>0</v>
      </c>
      <c r="J331" s="902">
        <f>GLOBAL_DER_FEV_2023!J331</f>
        <v>0</v>
      </c>
      <c r="K331" s="903" t="s">
        <v>507</v>
      </c>
      <c r="L331" s="1003"/>
      <c r="M331" s="1157">
        <f t="shared" si="22"/>
        <v>0</v>
      </c>
      <c r="N331" s="893">
        <f t="shared" si="26"/>
        <v>0</v>
      </c>
      <c r="O331" s="905"/>
      <c r="P331" s="58" t="str">
        <f>IF(N330&gt;0,"xx",IF(N330&gt;0,"xy",""))</f>
        <v/>
      </c>
      <c r="Q331" s="317" t="str">
        <f t="shared" si="23"/>
        <v/>
      </c>
      <c r="R331" s="317" t="str">
        <f t="shared" si="24"/>
        <v/>
      </c>
      <c r="S331" s="317" t="str">
        <f t="shared" si="25"/>
        <v/>
      </c>
      <c r="T331" s="317" t="str">
        <f>GLOBAL_DER_FEV_2023!S331</f>
        <v/>
      </c>
      <c r="W331" s="582">
        <v>0</v>
      </c>
      <c r="X331" s="580"/>
      <c r="Y331" s="583">
        <f>IF(GLOBAL_DER_FEV_2023!W331=0,0,IF(GLOBAL_DER_FEV_2023!W331&gt;0,"c","b"))</f>
        <v>0</v>
      </c>
    </row>
    <row r="332" spans="1:25" ht="13.5" hidden="1" thickBot="1" x14ac:dyDescent="0.25">
      <c r="A332" s="317" t="s">
        <v>147</v>
      </c>
      <c r="B332" s="895" t="s">
        <v>147</v>
      </c>
      <c r="C332" s="896"/>
      <c r="D332" s="957" t="s">
        <v>230</v>
      </c>
      <c r="E332" s="907">
        <f>GLOBAL_DER_FEV_2023!E332</f>
        <v>353</v>
      </c>
      <c r="F332" s="908">
        <f>GLOBAL_DER_FEV_2023!F332</f>
        <v>0</v>
      </c>
      <c r="G332" s="909">
        <f>GLOBAL_DER_FEV_2023!G332</f>
        <v>0</v>
      </c>
      <c r="H332" s="901">
        <f>GLOBAL_DER_FEV_2023!H332</f>
        <v>0</v>
      </c>
      <c r="I332" s="901">
        <f>GLOBAL_DER_FEV_2023!I332</f>
        <v>0</v>
      </c>
      <c r="J332" s="902">
        <f>GLOBAL_DER_FEV_2023!J332</f>
        <v>0</v>
      </c>
      <c r="K332" s="903" t="s">
        <v>507</v>
      </c>
      <c r="L332" s="1003"/>
      <c r="M332" s="1157">
        <f t="shared" si="22"/>
        <v>0</v>
      </c>
      <c r="N332" s="893">
        <f t="shared" si="26"/>
        <v>0</v>
      </c>
      <c r="O332" s="905"/>
      <c r="P332" s="58" t="str">
        <f>IF(N330&gt;0,"xx",IF(N330&gt;0,"xy",""))</f>
        <v/>
      </c>
      <c r="Q332" s="317" t="str">
        <f t="shared" si="23"/>
        <v/>
      </c>
      <c r="R332" s="317" t="str">
        <f t="shared" si="24"/>
        <v/>
      </c>
      <c r="S332" s="317" t="str">
        <f t="shared" si="25"/>
        <v/>
      </c>
      <c r="T332" s="317" t="str">
        <f>GLOBAL_DER_FEV_2023!S332</f>
        <v/>
      </c>
      <c r="W332" s="582">
        <v>0</v>
      </c>
      <c r="X332" s="580"/>
      <c r="Y332" s="583">
        <f>IF(GLOBAL_DER_FEV_2023!W332=0,0,IF(GLOBAL_DER_FEV_2023!W332&gt;0,"c","b"))</f>
        <v>0</v>
      </c>
    </row>
    <row r="333" spans="1:25" ht="13.5" hidden="1" thickBot="1" x14ac:dyDescent="0.25">
      <c r="A333" s="317" t="s">
        <v>147</v>
      </c>
      <c r="B333" s="895" t="s">
        <v>147</v>
      </c>
      <c r="C333" s="896"/>
      <c r="D333" s="957" t="s">
        <v>243</v>
      </c>
      <c r="E333" s="907">
        <f>GLOBAL_DER_FEV_2023!E333</f>
        <v>0.2</v>
      </c>
      <c r="F333" s="908">
        <f>GLOBAL_DER_FEV_2023!F333</f>
        <v>2.09</v>
      </c>
      <c r="G333" s="949">
        <f>GLOBAL_DER_FEV_2023!G333</f>
        <v>6.0484599999999995</v>
      </c>
      <c r="H333" s="901">
        <f>GLOBAL_DER_FEV_2023!H333</f>
        <v>0</v>
      </c>
      <c r="I333" s="901">
        <f>GLOBAL_DER_FEV_2023!I333</f>
        <v>0</v>
      </c>
      <c r="J333" s="902">
        <f>GLOBAL_DER_FEV_2023!J333</f>
        <v>0</v>
      </c>
      <c r="K333" s="903" t="s">
        <v>507</v>
      </c>
      <c r="L333" s="1003"/>
      <c r="M333" s="1157">
        <f t="shared" si="22"/>
        <v>0</v>
      </c>
      <c r="N333" s="893">
        <f t="shared" si="26"/>
        <v>0</v>
      </c>
      <c r="O333" s="905"/>
      <c r="P333" s="58" t="str">
        <f>IF(N330&gt;0,"xx",IF(N330&gt;0,"xy",""))</f>
        <v/>
      </c>
      <c r="Q333" s="317" t="str">
        <f t="shared" si="23"/>
        <v/>
      </c>
      <c r="R333" s="317" t="str">
        <f t="shared" si="24"/>
        <v/>
      </c>
      <c r="S333" s="317" t="str">
        <f t="shared" si="25"/>
        <v/>
      </c>
      <c r="T333" s="317" t="str">
        <f>GLOBAL_DER_FEV_2023!S333</f>
        <v/>
      </c>
      <c r="W333" s="582">
        <v>0</v>
      </c>
      <c r="X333" s="580"/>
      <c r="Y333" s="583">
        <f>IF(GLOBAL_DER_FEV_2023!W333=0,0,IF(GLOBAL_DER_FEV_2023!W333&gt;0,"c","b"))</f>
        <v>0</v>
      </c>
    </row>
    <row r="334" spans="1:25" ht="13.5" hidden="1" thickBot="1" x14ac:dyDescent="0.25">
      <c r="A334" s="317" t="s">
        <v>147</v>
      </c>
      <c r="B334" s="895" t="s">
        <v>147</v>
      </c>
      <c r="C334" s="896"/>
      <c r="D334" s="957" t="s">
        <v>244</v>
      </c>
      <c r="E334" s="907">
        <f>GLOBAL_DER_FEV_2023!E334</f>
        <v>22</v>
      </c>
      <c r="F334" s="908">
        <f>GLOBAL_DER_FEV_2023!F334</f>
        <v>2.1999999999999997</v>
      </c>
      <c r="G334" s="912">
        <f>GLOBAL_DER_FEV_2023!G334</f>
        <v>63.602000000000004</v>
      </c>
      <c r="H334" s="901">
        <f>GLOBAL_DER_FEV_2023!H334</f>
        <v>0</v>
      </c>
      <c r="I334" s="901">
        <f>GLOBAL_DER_FEV_2023!I334</f>
        <v>0</v>
      </c>
      <c r="J334" s="902">
        <f>GLOBAL_DER_FEV_2023!J334</f>
        <v>0</v>
      </c>
      <c r="K334" s="903" t="s">
        <v>507</v>
      </c>
      <c r="L334" s="1003"/>
      <c r="M334" s="1157">
        <f t="shared" si="22"/>
        <v>0</v>
      </c>
      <c r="N334" s="893">
        <f t="shared" si="26"/>
        <v>0</v>
      </c>
      <c r="O334" s="905"/>
      <c r="P334" s="58" t="str">
        <f>IF(N330&gt;0,"xx",IF(N330&gt;0,"xy",""))</f>
        <v/>
      </c>
      <c r="Q334" s="317" t="str">
        <f t="shared" si="23"/>
        <v/>
      </c>
      <c r="R334" s="317" t="str">
        <f t="shared" si="24"/>
        <v/>
      </c>
      <c r="S334" s="317" t="str">
        <f t="shared" si="25"/>
        <v/>
      </c>
      <c r="T334" s="317" t="str">
        <f>GLOBAL_DER_FEV_2023!S334</f>
        <v/>
      </c>
      <c r="W334" s="582">
        <v>0</v>
      </c>
      <c r="X334" s="580"/>
      <c r="Y334" s="583">
        <f>IF(GLOBAL_DER_FEV_2023!W334=0,0,IF(GLOBAL_DER_FEV_2023!W334&gt;0,"c","b"))</f>
        <v>0</v>
      </c>
    </row>
    <row r="335" spans="1:25" ht="13.5" hidden="1" thickBot="1" x14ac:dyDescent="0.25">
      <c r="A335" s="317">
        <v>589320</v>
      </c>
      <c r="B335" s="1004" t="s">
        <v>723</v>
      </c>
      <c r="C335" s="984" t="s">
        <v>213</v>
      </c>
      <c r="D335" s="1012" t="s">
        <v>700</v>
      </c>
      <c r="E335" s="1005">
        <f>GLOBAL_DER_FEV_2023!E335</f>
        <v>45</v>
      </c>
      <c r="F335" s="1006">
        <f>GLOBAL_DER_FEV_2023!F335</f>
        <v>1</v>
      </c>
      <c r="G335" s="949">
        <f>GLOBAL_DER_FEV_2023!G335</f>
        <v>79.25</v>
      </c>
      <c r="H335" s="988">
        <f>GLOBAL_DER_FEV_2023!H335</f>
        <v>4012.83</v>
      </c>
      <c r="I335" s="988">
        <f>GLOBAL_DER_FEV_2023!I335</f>
        <v>3931.9945856583668</v>
      </c>
      <c r="J335" s="989">
        <f>GLOBAL_DER_FEV_2023!J335</f>
        <v>4721.1499999999996</v>
      </c>
      <c r="K335" s="990" t="s">
        <v>14</v>
      </c>
      <c r="L335" s="1154">
        <f>ROUND(L330*$F330,2)</f>
        <v>0</v>
      </c>
      <c r="M335" s="1159">
        <f t="shared" si="22"/>
        <v>0</v>
      </c>
      <c r="N335" s="993">
        <f t="shared" si="26"/>
        <v>0</v>
      </c>
      <c r="O335" s="905"/>
      <c r="P335" s="58" t="str">
        <f>IF(N330&gt;0,"xx",IF(N330&gt;0,"xy",""))</f>
        <v/>
      </c>
      <c r="Q335" s="317" t="str">
        <f t="shared" si="23"/>
        <v/>
      </c>
      <c r="R335" s="317" t="str">
        <f t="shared" si="24"/>
        <v/>
      </c>
      <c r="S335" s="317" t="str">
        <f t="shared" si="25"/>
        <v/>
      </c>
      <c r="T335" s="317" t="str">
        <f>GLOBAL_DER_FEV_2023!S335</f>
        <v/>
      </c>
      <c r="W335" s="582">
        <v>0</v>
      </c>
      <c r="X335" s="580"/>
      <c r="Y335" s="583">
        <f>IF(GLOBAL_DER_FEV_2023!W335=0,0,IF(GLOBAL_DER_FEV_2023!W335&gt;0,"c","b"))</f>
        <v>0</v>
      </c>
    </row>
    <row r="336" spans="1:25" ht="13.5" hidden="1" thickBot="1" x14ac:dyDescent="0.25">
      <c r="A336" s="317">
        <v>534300</v>
      </c>
      <c r="B336" s="999" t="s">
        <v>1760</v>
      </c>
      <c r="C336" s="1000" t="s">
        <v>184</v>
      </c>
      <c r="D336" s="973" t="s">
        <v>2209</v>
      </c>
      <c r="E336" s="974" t="str">
        <f>GLOBAL_DER_FEV_2023!E336</f>
        <v>taxa RM-2C</v>
      </c>
      <c r="F336" s="975">
        <f>GLOBAL_DER_FEV_2023!F336</f>
        <v>0.14000000000000001</v>
      </c>
      <c r="G336" s="976">
        <f>GLOBAL_DER_FEV_2023!G336</f>
        <v>116.02126000000001</v>
      </c>
      <c r="H336" s="977">
        <f>GLOBAL_DER_FEV_2023!H336</f>
        <v>140.30000000000001</v>
      </c>
      <c r="I336" s="977">
        <f>GLOBAL_DER_FEV_2023!I336</f>
        <v>256.32126000000005</v>
      </c>
      <c r="J336" s="978">
        <f>GLOBAL_DER_FEV_2023!J336</f>
        <v>307.76</v>
      </c>
      <c r="K336" s="979" t="s">
        <v>10</v>
      </c>
      <c r="L336" s="1152"/>
      <c r="M336" s="1153">
        <f t="shared" si="22"/>
        <v>0</v>
      </c>
      <c r="N336" s="982">
        <f t="shared" si="26"/>
        <v>0</v>
      </c>
      <c r="O336" s="905"/>
      <c r="Q336" s="317" t="str">
        <f t="shared" si="23"/>
        <v/>
      </c>
      <c r="R336" s="317" t="str">
        <f t="shared" si="24"/>
        <v/>
      </c>
      <c r="S336" s="317" t="str">
        <f t="shared" si="25"/>
        <v/>
      </c>
      <c r="T336" s="317" t="str">
        <f>GLOBAL_DER_FEV_2023!S336</f>
        <v/>
      </c>
      <c r="W336" s="582">
        <v>0</v>
      </c>
      <c r="X336" s="580"/>
      <c r="Y336" s="583">
        <f>IF(GLOBAL_DER_FEV_2023!W336=0,0,IF(GLOBAL_DER_FEV_2023!W336&gt;0,"c","b"))</f>
        <v>0</v>
      </c>
    </row>
    <row r="337" spans="1:25" ht="13.5" hidden="1" thickBot="1" x14ac:dyDescent="0.25">
      <c r="A337" s="317" t="s">
        <v>147</v>
      </c>
      <c r="B337" s="895" t="s">
        <v>147</v>
      </c>
      <c r="C337" s="896"/>
      <c r="D337" s="957" t="s">
        <v>229</v>
      </c>
      <c r="E337" s="907">
        <f>GLOBAL_DER_FEV_2023!E337</f>
        <v>150</v>
      </c>
      <c r="F337" s="908">
        <f>GLOBAL_DER_FEV_2023!F337</f>
        <v>0.27</v>
      </c>
      <c r="G337" s="949">
        <f>GLOBAL_DER_FEV_2023!G337</f>
        <v>44.058600000000006</v>
      </c>
      <c r="H337" s="901">
        <f>GLOBAL_DER_FEV_2023!H337</f>
        <v>0</v>
      </c>
      <c r="I337" s="901">
        <f>GLOBAL_DER_FEV_2023!I337</f>
        <v>0</v>
      </c>
      <c r="J337" s="902">
        <f>GLOBAL_DER_FEV_2023!J337</f>
        <v>0</v>
      </c>
      <c r="K337" s="903" t="s">
        <v>507</v>
      </c>
      <c r="L337" s="1003"/>
      <c r="M337" s="1157">
        <f t="shared" ref="M337:M424" si="27">IF(L337=0,0,ROUND(J337,2))</f>
        <v>0</v>
      </c>
      <c r="N337" s="893">
        <f t="shared" si="26"/>
        <v>0</v>
      </c>
      <c r="O337" s="905"/>
      <c r="P337" s="58" t="str">
        <f>IF(N336&gt;0,"xx",IF(N336&gt;0,"xy",""))</f>
        <v/>
      </c>
      <c r="Q337" s="317" t="str">
        <f t="shared" si="23"/>
        <v/>
      </c>
      <c r="R337" s="317" t="str">
        <f t="shared" si="24"/>
        <v/>
      </c>
      <c r="S337" s="317" t="str">
        <f t="shared" si="25"/>
        <v/>
      </c>
      <c r="T337" s="317" t="str">
        <f>GLOBAL_DER_FEV_2023!S337</f>
        <v/>
      </c>
      <c r="W337" s="582">
        <v>0</v>
      </c>
      <c r="X337" s="580"/>
      <c r="Y337" s="583">
        <f>IF(GLOBAL_DER_FEV_2023!W337=0,0,IF(GLOBAL_DER_FEV_2023!W337&gt;0,"c","b"))</f>
        <v>0</v>
      </c>
    </row>
    <row r="338" spans="1:25" ht="13.5" hidden="1" thickBot="1" x14ac:dyDescent="0.25">
      <c r="A338" s="317" t="s">
        <v>147</v>
      </c>
      <c r="B338" s="895" t="s">
        <v>147</v>
      </c>
      <c r="C338" s="896"/>
      <c r="D338" s="957" t="s">
        <v>230</v>
      </c>
      <c r="E338" s="907">
        <f>GLOBAL_DER_FEV_2023!E338</f>
        <v>353</v>
      </c>
      <c r="F338" s="908">
        <f>GLOBAL_DER_FEV_2023!F338</f>
        <v>0</v>
      </c>
      <c r="G338" s="909">
        <f>GLOBAL_DER_FEV_2023!G338</f>
        <v>0</v>
      </c>
      <c r="H338" s="901">
        <f>GLOBAL_DER_FEV_2023!H338</f>
        <v>0</v>
      </c>
      <c r="I338" s="901">
        <f>GLOBAL_DER_FEV_2023!I338</f>
        <v>0</v>
      </c>
      <c r="J338" s="902">
        <f>GLOBAL_DER_FEV_2023!J338</f>
        <v>0</v>
      </c>
      <c r="K338" s="903" t="s">
        <v>507</v>
      </c>
      <c r="L338" s="1003"/>
      <c r="M338" s="1157">
        <f t="shared" si="27"/>
        <v>0</v>
      </c>
      <c r="N338" s="893">
        <f t="shared" si="26"/>
        <v>0</v>
      </c>
      <c r="O338" s="905"/>
      <c r="P338" s="58" t="str">
        <f>IF(N336&gt;0,"xx",IF(N336&gt;0,"xy",""))</f>
        <v/>
      </c>
      <c r="Q338" s="317" t="str">
        <f t="shared" si="23"/>
        <v/>
      </c>
      <c r="R338" s="317" t="str">
        <f t="shared" si="24"/>
        <v/>
      </c>
      <c r="S338" s="317" t="str">
        <f t="shared" si="25"/>
        <v/>
      </c>
      <c r="T338" s="317" t="str">
        <f>GLOBAL_DER_FEV_2023!S338</f>
        <v/>
      </c>
      <c r="W338" s="582">
        <v>0</v>
      </c>
      <c r="X338" s="580"/>
      <c r="Y338" s="583">
        <f>IF(GLOBAL_DER_FEV_2023!W338=0,0,IF(GLOBAL_DER_FEV_2023!W338&gt;0,"c","b"))</f>
        <v>0</v>
      </c>
    </row>
    <row r="339" spans="1:25" ht="13.5" hidden="1" thickBot="1" x14ac:dyDescent="0.25">
      <c r="A339" s="317" t="s">
        <v>147</v>
      </c>
      <c r="B339" s="895" t="s">
        <v>147</v>
      </c>
      <c r="C339" s="896"/>
      <c r="D339" s="957" t="s">
        <v>243</v>
      </c>
      <c r="E339" s="907">
        <f>GLOBAL_DER_FEV_2023!E339</f>
        <v>0.2</v>
      </c>
      <c r="F339" s="908">
        <f>GLOBAL_DER_FEV_2023!F339</f>
        <v>1.89</v>
      </c>
      <c r="G339" s="949">
        <f>GLOBAL_DER_FEV_2023!G339</f>
        <v>5.4696600000000002</v>
      </c>
      <c r="H339" s="901">
        <f>GLOBAL_DER_FEV_2023!H339</f>
        <v>0</v>
      </c>
      <c r="I339" s="901">
        <f>GLOBAL_DER_FEV_2023!I339</f>
        <v>0</v>
      </c>
      <c r="J339" s="902">
        <f>GLOBAL_DER_FEV_2023!J339</f>
        <v>0</v>
      </c>
      <c r="K339" s="903" t="s">
        <v>507</v>
      </c>
      <c r="L339" s="1003"/>
      <c r="M339" s="1157">
        <f t="shared" si="27"/>
        <v>0</v>
      </c>
      <c r="N339" s="893">
        <f t="shared" si="26"/>
        <v>0</v>
      </c>
      <c r="O339" s="905"/>
      <c r="P339" s="58" t="str">
        <f>IF(N336&gt;0,"xx",IF(N336&gt;0,"xy",""))</f>
        <v/>
      </c>
      <c r="Q339" s="317" t="str">
        <f t="shared" ref="Q339:Q426" si="28">IF(P339="X","x",IF(P339="xx","x",IF(P339="xy","x",IF(P339="y","x",IF(OR(N339&gt;0,N339&gt;0),"x","")))))</f>
        <v/>
      </c>
      <c r="R339" s="317" t="str">
        <f t="shared" si="24"/>
        <v/>
      </c>
      <c r="S339" s="317" t="str">
        <f t="shared" si="25"/>
        <v/>
      </c>
      <c r="T339" s="317" t="str">
        <f>GLOBAL_DER_FEV_2023!S339</f>
        <v/>
      </c>
      <c r="W339" s="582">
        <v>0</v>
      </c>
      <c r="X339" s="580"/>
      <c r="Y339" s="583">
        <f>IF(GLOBAL_DER_FEV_2023!W339=0,0,IF(GLOBAL_DER_FEV_2023!W339&gt;0,"c","b"))</f>
        <v>0</v>
      </c>
    </row>
    <row r="340" spans="1:25" ht="13.5" hidden="1" thickBot="1" x14ac:dyDescent="0.25">
      <c r="A340" s="317" t="s">
        <v>147</v>
      </c>
      <c r="B340" s="895" t="s">
        <v>147</v>
      </c>
      <c r="C340" s="896"/>
      <c r="D340" s="957" t="s">
        <v>244</v>
      </c>
      <c r="E340" s="907">
        <f>GLOBAL_DER_FEV_2023!E340</f>
        <v>22</v>
      </c>
      <c r="F340" s="908">
        <f>GLOBAL_DER_FEV_2023!F340</f>
        <v>2.2999999999999998</v>
      </c>
      <c r="G340" s="912">
        <f>GLOBAL_DER_FEV_2023!G340</f>
        <v>66.493000000000009</v>
      </c>
      <c r="H340" s="901">
        <f>GLOBAL_DER_FEV_2023!H340</f>
        <v>0</v>
      </c>
      <c r="I340" s="901">
        <f>GLOBAL_DER_FEV_2023!I340</f>
        <v>0</v>
      </c>
      <c r="J340" s="902">
        <f>GLOBAL_DER_FEV_2023!J340</f>
        <v>0</v>
      </c>
      <c r="K340" s="903" t="s">
        <v>507</v>
      </c>
      <c r="L340" s="1003"/>
      <c r="M340" s="1157">
        <f t="shared" si="27"/>
        <v>0</v>
      </c>
      <c r="N340" s="893">
        <f t="shared" si="26"/>
        <v>0</v>
      </c>
      <c r="O340" s="905"/>
      <c r="P340" s="58" t="str">
        <f>IF(N336&gt;0,"xx",IF(N336&gt;0,"xy",""))</f>
        <v/>
      </c>
      <c r="Q340" s="317" t="str">
        <f t="shared" si="28"/>
        <v/>
      </c>
      <c r="R340" s="317" t="str">
        <f t="shared" si="24"/>
        <v/>
      </c>
      <c r="S340" s="317" t="str">
        <f t="shared" si="25"/>
        <v/>
      </c>
      <c r="T340" s="317" t="str">
        <f>GLOBAL_DER_FEV_2023!S340</f>
        <v/>
      </c>
      <c r="W340" s="582">
        <v>0</v>
      </c>
      <c r="X340" s="580"/>
      <c r="Y340" s="583">
        <f>IF(GLOBAL_DER_FEV_2023!W340=0,0,IF(GLOBAL_DER_FEV_2023!W340&gt;0,"c","b"))</f>
        <v>0</v>
      </c>
    </row>
    <row r="341" spans="1:25" ht="13.5" hidden="1" thickBot="1" x14ac:dyDescent="0.25">
      <c r="A341" s="317">
        <v>589320</v>
      </c>
      <c r="B341" s="1004" t="s">
        <v>1686</v>
      </c>
      <c r="C341" s="984" t="s">
        <v>213</v>
      </c>
      <c r="D341" s="1012" t="s">
        <v>700</v>
      </c>
      <c r="E341" s="1005">
        <f>GLOBAL_DER_FEV_2023!E341</f>
        <v>45</v>
      </c>
      <c r="F341" s="1006">
        <f>GLOBAL_DER_FEV_2023!F341</f>
        <v>1</v>
      </c>
      <c r="G341" s="949">
        <f>GLOBAL_DER_FEV_2023!G341</f>
        <v>79.25</v>
      </c>
      <c r="H341" s="988">
        <f>GLOBAL_DER_FEV_2023!H341</f>
        <v>4012.83</v>
      </c>
      <c r="I341" s="988">
        <f>GLOBAL_DER_FEV_2023!I341</f>
        <v>3931.9945856583668</v>
      </c>
      <c r="J341" s="989">
        <f>GLOBAL_DER_FEV_2023!J341</f>
        <v>4721.1499999999996</v>
      </c>
      <c r="K341" s="990" t="s">
        <v>14</v>
      </c>
      <c r="L341" s="1154">
        <f>ROUND(L336*$F336,2)</f>
        <v>0</v>
      </c>
      <c r="M341" s="1159">
        <f t="shared" si="27"/>
        <v>0</v>
      </c>
      <c r="N341" s="993">
        <f t="shared" si="26"/>
        <v>0</v>
      </c>
      <c r="O341" s="905"/>
      <c r="P341" s="58" t="str">
        <f>IF(N336&gt;0,"xx",IF(N336&gt;0,"xy",""))</f>
        <v/>
      </c>
      <c r="Q341" s="317" t="str">
        <f t="shared" si="28"/>
        <v/>
      </c>
      <c r="R341" s="317" t="str">
        <f t="shared" ref="R341:R428" si="29">IF(P341="X","x",IF(P341="y","x",IF(P341="xx","x",IF(N341&gt;0,"x",""))))</f>
        <v/>
      </c>
      <c r="S341" s="317" t="str">
        <f t="shared" ref="S341:S428" si="30">IF(P341="X","x",IF(N341&gt;0,"x",""))</f>
        <v/>
      </c>
      <c r="T341" s="317" t="str">
        <f>GLOBAL_DER_FEV_2023!S341</f>
        <v/>
      </c>
      <c r="W341" s="582">
        <v>0</v>
      </c>
      <c r="X341" s="580"/>
      <c r="Y341" s="583">
        <f>IF(GLOBAL_DER_FEV_2023!W341=0,0,IF(GLOBAL_DER_FEV_2023!W341&gt;0,"c","b"))</f>
        <v>0</v>
      </c>
    </row>
    <row r="342" spans="1:25" ht="13.5" hidden="1" thickBot="1" x14ac:dyDescent="0.25">
      <c r="A342" s="317">
        <v>534300</v>
      </c>
      <c r="B342" s="999" t="s">
        <v>1647</v>
      </c>
      <c r="C342" s="1000" t="s">
        <v>184</v>
      </c>
      <c r="D342" s="973" t="s">
        <v>2208</v>
      </c>
      <c r="E342" s="974" t="str">
        <f>GLOBAL_DER_FEV_2023!E342</f>
        <v>taxa RM-2C</v>
      </c>
      <c r="F342" s="975">
        <f>GLOBAL_DER_FEV_2023!F342</f>
        <v>0.14000000000000001</v>
      </c>
      <c r="G342" s="976">
        <f>GLOBAL_DER_FEV_2023!G342</f>
        <v>116.02126000000001</v>
      </c>
      <c r="H342" s="977">
        <f>GLOBAL_DER_FEV_2023!H342</f>
        <v>140.30000000000001</v>
      </c>
      <c r="I342" s="977">
        <f>GLOBAL_DER_FEV_2023!I342</f>
        <v>256.32126000000005</v>
      </c>
      <c r="J342" s="978">
        <f>GLOBAL_DER_FEV_2023!J342</f>
        <v>307.76</v>
      </c>
      <c r="K342" s="979" t="s">
        <v>10</v>
      </c>
      <c r="L342" s="1152"/>
      <c r="M342" s="1153">
        <f t="shared" si="27"/>
        <v>0</v>
      </c>
      <c r="N342" s="982">
        <f t="shared" si="26"/>
        <v>0</v>
      </c>
      <c r="O342" s="905"/>
      <c r="Q342" s="317" t="str">
        <f t="shared" si="28"/>
        <v/>
      </c>
      <c r="R342" s="317" t="str">
        <f t="shared" si="29"/>
        <v/>
      </c>
      <c r="S342" s="317" t="str">
        <f t="shared" si="30"/>
        <v/>
      </c>
      <c r="T342" s="317" t="str">
        <f>GLOBAL_DER_FEV_2023!S342</f>
        <v/>
      </c>
      <c r="W342" s="582">
        <v>0</v>
      </c>
      <c r="X342" s="580"/>
      <c r="Y342" s="583">
        <f>IF(GLOBAL_DER_FEV_2023!W342=0,0,IF(GLOBAL_DER_FEV_2023!W342&gt;0,"c","b"))</f>
        <v>0</v>
      </c>
    </row>
    <row r="343" spans="1:25" ht="13.5" hidden="1" thickBot="1" x14ac:dyDescent="0.25">
      <c r="A343" s="317" t="s">
        <v>147</v>
      </c>
      <c r="B343" s="895" t="s">
        <v>147</v>
      </c>
      <c r="C343" s="896"/>
      <c r="D343" s="957" t="s">
        <v>229</v>
      </c>
      <c r="E343" s="907">
        <f>GLOBAL_DER_FEV_2023!E343</f>
        <v>150</v>
      </c>
      <c r="F343" s="908">
        <f>GLOBAL_DER_FEV_2023!F343</f>
        <v>0.27</v>
      </c>
      <c r="G343" s="949">
        <f>GLOBAL_DER_FEV_2023!G343</f>
        <v>44.058600000000006</v>
      </c>
      <c r="H343" s="901">
        <f>GLOBAL_DER_FEV_2023!H343</f>
        <v>0</v>
      </c>
      <c r="I343" s="901">
        <f>GLOBAL_DER_FEV_2023!I343</f>
        <v>0</v>
      </c>
      <c r="J343" s="902">
        <f>GLOBAL_DER_FEV_2023!J343</f>
        <v>0</v>
      </c>
      <c r="K343" s="903" t="s">
        <v>507</v>
      </c>
      <c r="L343" s="1003"/>
      <c r="M343" s="1157">
        <f t="shared" si="27"/>
        <v>0</v>
      </c>
      <c r="N343" s="893">
        <f t="shared" si="26"/>
        <v>0</v>
      </c>
      <c r="O343" s="905"/>
      <c r="P343" s="58" t="str">
        <f>IF(N342&gt;0,"xx",IF(N342&gt;0,"xy",""))</f>
        <v/>
      </c>
      <c r="Q343" s="317" t="str">
        <f t="shared" si="28"/>
        <v/>
      </c>
      <c r="R343" s="317" t="str">
        <f t="shared" si="29"/>
        <v/>
      </c>
      <c r="S343" s="317" t="str">
        <f t="shared" si="30"/>
        <v/>
      </c>
      <c r="T343" s="317" t="str">
        <f>GLOBAL_DER_FEV_2023!S343</f>
        <v/>
      </c>
      <c r="W343" s="582">
        <v>0</v>
      </c>
      <c r="X343" s="580"/>
      <c r="Y343" s="583">
        <f>IF(GLOBAL_DER_FEV_2023!W343=0,0,IF(GLOBAL_DER_FEV_2023!W343&gt;0,"c","b"))</f>
        <v>0</v>
      </c>
    </row>
    <row r="344" spans="1:25" ht="13.5" hidden="1" thickBot="1" x14ac:dyDescent="0.25">
      <c r="A344" s="317" t="s">
        <v>147</v>
      </c>
      <c r="B344" s="895" t="s">
        <v>147</v>
      </c>
      <c r="C344" s="896"/>
      <c r="D344" s="957" t="s">
        <v>230</v>
      </c>
      <c r="E344" s="907">
        <f>GLOBAL_DER_FEV_2023!E344</f>
        <v>353</v>
      </c>
      <c r="F344" s="908">
        <f>GLOBAL_DER_FEV_2023!F344</f>
        <v>0</v>
      </c>
      <c r="G344" s="909">
        <f>GLOBAL_DER_FEV_2023!G344</f>
        <v>0</v>
      </c>
      <c r="H344" s="901">
        <f>GLOBAL_DER_FEV_2023!H344</f>
        <v>0</v>
      </c>
      <c r="I344" s="901">
        <f>GLOBAL_DER_FEV_2023!I344</f>
        <v>0</v>
      </c>
      <c r="J344" s="902">
        <f>GLOBAL_DER_FEV_2023!J344</f>
        <v>0</v>
      </c>
      <c r="K344" s="903" t="s">
        <v>507</v>
      </c>
      <c r="L344" s="1003"/>
      <c r="M344" s="1157">
        <f t="shared" si="27"/>
        <v>0</v>
      </c>
      <c r="N344" s="893">
        <f t="shared" si="26"/>
        <v>0</v>
      </c>
      <c r="O344" s="905"/>
      <c r="P344" s="58" t="str">
        <f>IF(N342&gt;0,"xx",IF(N342&gt;0,"xy",""))</f>
        <v/>
      </c>
      <c r="Q344" s="317" t="str">
        <f t="shared" si="28"/>
        <v/>
      </c>
      <c r="R344" s="317" t="str">
        <f t="shared" si="29"/>
        <v/>
      </c>
      <c r="S344" s="317" t="str">
        <f t="shared" si="30"/>
        <v/>
      </c>
      <c r="T344" s="317" t="str">
        <f>GLOBAL_DER_FEV_2023!S344</f>
        <v/>
      </c>
      <c r="W344" s="582">
        <v>0</v>
      </c>
      <c r="X344" s="580"/>
      <c r="Y344" s="583">
        <f>IF(GLOBAL_DER_FEV_2023!W344=0,0,IF(GLOBAL_DER_FEV_2023!W344&gt;0,"c","b"))</f>
        <v>0</v>
      </c>
    </row>
    <row r="345" spans="1:25" ht="13.5" hidden="1" thickBot="1" x14ac:dyDescent="0.25">
      <c r="A345" s="317" t="s">
        <v>147</v>
      </c>
      <c r="B345" s="895" t="s">
        <v>147</v>
      </c>
      <c r="C345" s="896"/>
      <c r="D345" s="957" t="s">
        <v>243</v>
      </c>
      <c r="E345" s="907">
        <f>GLOBAL_DER_FEV_2023!E345</f>
        <v>0.2</v>
      </c>
      <c r="F345" s="908">
        <f>GLOBAL_DER_FEV_2023!F345</f>
        <v>1.89</v>
      </c>
      <c r="G345" s="949">
        <f>GLOBAL_DER_FEV_2023!G345</f>
        <v>5.4696600000000002</v>
      </c>
      <c r="H345" s="901">
        <f>GLOBAL_DER_FEV_2023!H345</f>
        <v>0</v>
      </c>
      <c r="I345" s="901">
        <f>GLOBAL_DER_FEV_2023!I345</f>
        <v>0</v>
      </c>
      <c r="J345" s="902">
        <f>GLOBAL_DER_FEV_2023!J345</f>
        <v>0</v>
      </c>
      <c r="K345" s="903" t="s">
        <v>507</v>
      </c>
      <c r="L345" s="1003"/>
      <c r="M345" s="1157">
        <f t="shared" si="27"/>
        <v>0</v>
      </c>
      <c r="N345" s="893">
        <f t="shared" ref="N345:N432" si="31">IF(ISBLANK(L345),0,IF(W345=0,ROUND(L345*M345,2),IF(W345="b",ROUNDDOWN(L345*M345,2),ROUNDUP(L345*M345,2))))</f>
        <v>0</v>
      </c>
      <c r="O345" s="905"/>
      <c r="P345" s="58" t="str">
        <f>IF(N342&gt;0,"xx",IF(N342&gt;0,"xy",""))</f>
        <v/>
      </c>
      <c r="Q345" s="317" t="str">
        <f t="shared" si="28"/>
        <v/>
      </c>
      <c r="R345" s="317" t="str">
        <f t="shared" si="29"/>
        <v/>
      </c>
      <c r="S345" s="317" t="str">
        <f t="shared" si="30"/>
        <v/>
      </c>
      <c r="T345" s="317" t="str">
        <f>GLOBAL_DER_FEV_2023!S345</f>
        <v/>
      </c>
      <c r="W345" s="582">
        <v>0</v>
      </c>
      <c r="X345" s="580"/>
      <c r="Y345" s="583">
        <f>IF(GLOBAL_DER_FEV_2023!W345=0,0,IF(GLOBAL_DER_FEV_2023!W345&gt;0,"c","b"))</f>
        <v>0</v>
      </c>
    </row>
    <row r="346" spans="1:25" ht="13.5" hidden="1" thickBot="1" x14ac:dyDescent="0.25">
      <c r="A346" s="317" t="s">
        <v>147</v>
      </c>
      <c r="B346" s="895" t="s">
        <v>147</v>
      </c>
      <c r="C346" s="896"/>
      <c r="D346" s="957" t="s">
        <v>244</v>
      </c>
      <c r="E346" s="907">
        <f>GLOBAL_DER_FEV_2023!E346</f>
        <v>22</v>
      </c>
      <c r="F346" s="908">
        <f>GLOBAL_DER_FEV_2023!F346</f>
        <v>2.2999999999999998</v>
      </c>
      <c r="G346" s="912">
        <f>GLOBAL_DER_FEV_2023!G346</f>
        <v>66.493000000000009</v>
      </c>
      <c r="H346" s="901">
        <f>GLOBAL_DER_FEV_2023!H346</f>
        <v>0</v>
      </c>
      <c r="I346" s="901">
        <f>GLOBAL_DER_FEV_2023!I346</f>
        <v>0</v>
      </c>
      <c r="J346" s="902">
        <f>GLOBAL_DER_FEV_2023!J346</f>
        <v>0</v>
      </c>
      <c r="K346" s="903" t="s">
        <v>507</v>
      </c>
      <c r="L346" s="1003"/>
      <c r="M346" s="1157">
        <f t="shared" si="27"/>
        <v>0</v>
      </c>
      <c r="N346" s="893">
        <f t="shared" si="31"/>
        <v>0</v>
      </c>
      <c r="O346" s="905"/>
      <c r="P346" s="58" t="str">
        <f>IF(N342&gt;0,"xx",IF(N342&gt;0,"xy",""))</f>
        <v/>
      </c>
      <c r="Q346" s="317" t="str">
        <f t="shared" si="28"/>
        <v/>
      </c>
      <c r="R346" s="317" t="str">
        <f t="shared" si="29"/>
        <v/>
      </c>
      <c r="S346" s="317" t="str">
        <f t="shared" si="30"/>
        <v/>
      </c>
      <c r="T346" s="317" t="str">
        <f>GLOBAL_DER_FEV_2023!S346</f>
        <v/>
      </c>
      <c r="W346" s="582">
        <v>0</v>
      </c>
      <c r="X346" s="580"/>
      <c r="Y346" s="583">
        <f>IF(GLOBAL_DER_FEV_2023!W346=0,0,IF(GLOBAL_DER_FEV_2023!W346&gt;0,"c","b"))</f>
        <v>0</v>
      </c>
    </row>
    <row r="347" spans="1:25" ht="13.5" hidden="1" thickBot="1" x14ac:dyDescent="0.25">
      <c r="A347" s="317">
        <v>589320</v>
      </c>
      <c r="B347" s="1004" t="s">
        <v>1687</v>
      </c>
      <c r="C347" s="984" t="s">
        <v>213</v>
      </c>
      <c r="D347" s="1012" t="s">
        <v>700</v>
      </c>
      <c r="E347" s="1005">
        <f>GLOBAL_DER_FEV_2023!E347</f>
        <v>45</v>
      </c>
      <c r="F347" s="1006">
        <f>GLOBAL_DER_FEV_2023!F347</f>
        <v>1</v>
      </c>
      <c r="G347" s="949">
        <f>GLOBAL_DER_FEV_2023!G347</f>
        <v>79.25</v>
      </c>
      <c r="H347" s="988">
        <f>GLOBAL_DER_FEV_2023!H347</f>
        <v>4012.83</v>
      </c>
      <c r="I347" s="988">
        <f>GLOBAL_DER_FEV_2023!I347</f>
        <v>3931.9945856583668</v>
      </c>
      <c r="J347" s="989">
        <f>GLOBAL_DER_FEV_2023!J347</f>
        <v>4721.1499999999996</v>
      </c>
      <c r="K347" s="990" t="s">
        <v>14</v>
      </c>
      <c r="L347" s="1154">
        <f>ROUND(L342*$F342,2)</f>
        <v>0</v>
      </c>
      <c r="M347" s="1159">
        <f t="shared" si="27"/>
        <v>0</v>
      </c>
      <c r="N347" s="993">
        <f t="shared" si="31"/>
        <v>0</v>
      </c>
      <c r="O347" s="905"/>
      <c r="P347" s="58" t="str">
        <f>IF(N342&gt;0,"xx",IF(N342&gt;0,"xy",""))</f>
        <v/>
      </c>
      <c r="Q347" s="317" t="str">
        <f t="shared" si="28"/>
        <v/>
      </c>
      <c r="R347" s="317" t="str">
        <f t="shared" si="29"/>
        <v/>
      </c>
      <c r="S347" s="317" t="str">
        <f t="shared" si="30"/>
        <v/>
      </c>
      <c r="T347" s="317" t="str">
        <f>GLOBAL_DER_FEV_2023!S347</f>
        <v/>
      </c>
      <c r="W347" s="582">
        <v>0</v>
      </c>
      <c r="X347" s="580"/>
      <c r="Y347" s="583">
        <f>IF(GLOBAL_DER_FEV_2023!W347=0,0,IF(GLOBAL_DER_FEV_2023!W347&gt;0,"c","b"))</f>
        <v>0</v>
      </c>
    </row>
    <row r="348" spans="1:25" ht="13.5" hidden="1" thickBot="1" x14ac:dyDescent="0.25">
      <c r="A348" s="317">
        <v>534300</v>
      </c>
      <c r="B348" s="999" t="s">
        <v>1648</v>
      </c>
      <c r="C348" s="1000" t="s">
        <v>184</v>
      </c>
      <c r="D348" s="973" t="s">
        <v>2210</v>
      </c>
      <c r="E348" s="974" t="str">
        <f>GLOBAL_DER_FEV_2023!E348</f>
        <v>taxa RM-2C</v>
      </c>
      <c r="F348" s="975">
        <f>GLOBAL_DER_FEV_2023!F348</f>
        <v>0.18240000000000001</v>
      </c>
      <c r="G348" s="976">
        <f>GLOBAL_DER_FEV_2023!G348</f>
        <v>190.80926220000003</v>
      </c>
      <c r="H348" s="977">
        <f>GLOBAL_DER_FEV_2023!H348</f>
        <v>140.30000000000001</v>
      </c>
      <c r="I348" s="977">
        <f>GLOBAL_DER_FEV_2023!I348</f>
        <v>331.10926220000005</v>
      </c>
      <c r="J348" s="978">
        <f>GLOBAL_DER_FEV_2023!J348</f>
        <v>397.56</v>
      </c>
      <c r="K348" s="979" t="s">
        <v>10</v>
      </c>
      <c r="L348" s="1152"/>
      <c r="M348" s="1153">
        <f t="shared" si="27"/>
        <v>0</v>
      </c>
      <c r="N348" s="982">
        <f t="shared" si="31"/>
        <v>0</v>
      </c>
      <c r="O348" s="905"/>
      <c r="Q348" s="317" t="str">
        <f t="shared" si="28"/>
        <v/>
      </c>
      <c r="R348" s="317" t="str">
        <f t="shared" si="29"/>
        <v/>
      </c>
      <c r="S348" s="317" t="str">
        <f t="shared" si="30"/>
        <v/>
      </c>
      <c r="T348" s="317" t="str">
        <f>GLOBAL_DER_FEV_2023!S348</f>
        <v/>
      </c>
      <c r="W348" s="582">
        <v>0</v>
      </c>
      <c r="X348" s="580"/>
      <c r="Y348" s="583">
        <f>IF(GLOBAL_DER_FEV_2023!W348=0,0,IF(GLOBAL_DER_FEV_2023!W348&gt;0,"c","b"))</f>
        <v>0</v>
      </c>
    </row>
    <row r="349" spans="1:25" ht="13.5" hidden="1" thickBot="1" x14ac:dyDescent="0.25">
      <c r="A349" s="317" t="s">
        <v>147</v>
      </c>
      <c r="B349" s="895" t="s">
        <v>147</v>
      </c>
      <c r="C349" s="896"/>
      <c r="D349" s="957" t="s">
        <v>229</v>
      </c>
      <c r="E349" s="907">
        <f>GLOBAL_DER_FEV_2023!E349</f>
        <v>150</v>
      </c>
      <c r="F349" s="908">
        <f>GLOBAL_DER_FEV_2023!F349</f>
        <v>0.56969999999999998</v>
      </c>
      <c r="G349" s="949">
        <f>GLOBAL_DER_FEV_2023!G349</f>
        <v>92.963645999999997</v>
      </c>
      <c r="H349" s="901">
        <f>GLOBAL_DER_FEV_2023!H349</f>
        <v>0</v>
      </c>
      <c r="I349" s="901">
        <f>GLOBAL_DER_FEV_2023!I349</f>
        <v>0</v>
      </c>
      <c r="J349" s="902">
        <f>GLOBAL_DER_FEV_2023!J349</f>
        <v>0</v>
      </c>
      <c r="K349" s="903" t="s">
        <v>507</v>
      </c>
      <c r="L349" s="1003"/>
      <c r="M349" s="1157">
        <f t="shared" si="27"/>
        <v>0</v>
      </c>
      <c r="N349" s="893">
        <f t="shared" si="31"/>
        <v>0</v>
      </c>
      <c r="O349" s="905"/>
      <c r="P349" s="58" t="str">
        <f>IF(N348&gt;0,"xx",IF(N348&gt;0,"xy",""))</f>
        <v/>
      </c>
      <c r="Q349" s="317" t="str">
        <f t="shared" si="28"/>
        <v/>
      </c>
      <c r="R349" s="317" t="str">
        <f t="shared" si="29"/>
        <v/>
      </c>
      <c r="S349" s="317" t="str">
        <f t="shared" si="30"/>
        <v/>
      </c>
      <c r="T349" s="317" t="str">
        <f>GLOBAL_DER_FEV_2023!S349</f>
        <v/>
      </c>
      <c r="W349" s="582">
        <v>0</v>
      </c>
      <c r="X349" s="580"/>
      <c r="Y349" s="583">
        <f>IF(GLOBAL_DER_FEV_2023!W349=0,0,IF(GLOBAL_DER_FEV_2023!W349&gt;0,"c","b"))</f>
        <v>0</v>
      </c>
    </row>
    <row r="350" spans="1:25" ht="13.5" hidden="1" thickBot="1" x14ac:dyDescent="0.25">
      <c r="A350" s="317" t="s">
        <v>147</v>
      </c>
      <c r="B350" s="895" t="s">
        <v>147</v>
      </c>
      <c r="C350" s="896"/>
      <c r="D350" s="957" t="s">
        <v>230</v>
      </c>
      <c r="E350" s="907">
        <f>GLOBAL_DER_FEV_2023!E350</f>
        <v>353</v>
      </c>
      <c r="F350" s="908">
        <f>GLOBAL_DER_FEV_2023!F350</f>
        <v>8.7599999999999997E-2</v>
      </c>
      <c r="G350" s="909">
        <f>GLOBAL_DER_FEV_2023!G350</f>
        <v>24.804816000000002</v>
      </c>
      <c r="H350" s="901">
        <f>GLOBAL_DER_FEV_2023!H350</f>
        <v>0</v>
      </c>
      <c r="I350" s="901">
        <f>GLOBAL_DER_FEV_2023!I350</f>
        <v>0</v>
      </c>
      <c r="J350" s="902">
        <f>GLOBAL_DER_FEV_2023!J350</f>
        <v>0</v>
      </c>
      <c r="K350" s="903" t="s">
        <v>507</v>
      </c>
      <c r="L350" s="1003"/>
      <c r="M350" s="1157">
        <f t="shared" si="27"/>
        <v>0</v>
      </c>
      <c r="N350" s="893">
        <f t="shared" si="31"/>
        <v>0</v>
      </c>
      <c r="O350" s="905"/>
      <c r="P350" s="58" t="str">
        <f>IF(N348&gt;0,"xx",IF(N348&gt;0,"xy",""))</f>
        <v/>
      </c>
      <c r="Q350" s="317" t="str">
        <f t="shared" si="28"/>
        <v/>
      </c>
      <c r="R350" s="317" t="str">
        <f t="shared" si="29"/>
        <v/>
      </c>
      <c r="S350" s="317" t="str">
        <f t="shared" si="30"/>
        <v/>
      </c>
      <c r="T350" s="317" t="str">
        <f>GLOBAL_DER_FEV_2023!S350</f>
        <v/>
      </c>
      <c r="W350" s="582">
        <v>0</v>
      </c>
      <c r="X350" s="580"/>
      <c r="Y350" s="583">
        <f>IF(GLOBAL_DER_FEV_2023!W350=0,0,IF(GLOBAL_DER_FEV_2023!W350&gt;0,"c","b"))</f>
        <v>0</v>
      </c>
    </row>
    <row r="351" spans="1:25" ht="13.5" hidden="1" thickBot="1" x14ac:dyDescent="0.25">
      <c r="A351" s="317" t="s">
        <v>147</v>
      </c>
      <c r="B351" s="895" t="s">
        <v>147</v>
      </c>
      <c r="C351" s="896"/>
      <c r="D351" s="957" t="s">
        <v>243</v>
      </c>
      <c r="E351" s="907">
        <f>GLOBAL_DER_FEV_2023!E351</f>
        <v>0.2</v>
      </c>
      <c r="F351" s="908">
        <f>GLOBAL_DER_FEV_2023!F351</f>
        <v>1.5333000000000001</v>
      </c>
      <c r="G351" s="949">
        <f>GLOBAL_DER_FEV_2023!G351</f>
        <v>4.4373702000000002</v>
      </c>
      <c r="H351" s="901">
        <f>GLOBAL_DER_FEV_2023!H351</f>
        <v>0</v>
      </c>
      <c r="I351" s="901">
        <f>GLOBAL_DER_FEV_2023!I351</f>
        <v>0</v>
      </c>
      <c r="J351" s="902">
        <f>GLOBAL_DER_FEV_2023!J351</f>
        <v>0</v>
      </c>
      <c r="K351" s="903" t="s">
        <v>507</v>
      </c>
      <c r="L351" s="1003"/>
      <c r="M351" s="1157">
        <f t="shared" si="27"/>
        <v>0</v>
      </c>
      <c r="N351" s="893">
        <f t="shared" si="31"/>
        <v>0</v>
      </c>
      <c r="O351" s="905"/>
      <c r="P351" s="58" t="str">
        <f>IF(N348&gt;0,"xx",IF(N348&gt;0,"xy",""))</f>
        <v/>
      </c>
      <c r="Q351" s="317" t="str">
        <f t="shared" si="28"/>
        <v/>
      </c>
      <c r="R351" s="317" t="str">
        <f t="shared" si="29"/>
        <v/>
      </c>
      <c r="S351" s="317" t="str">
        <f t="shared" si="30"/>
        <v/>
      </c>
      <c r="T351" s="317" t="str">
        <f>GLOBAL_DER_FEV_2023!S351</f>
        <v/>
      </c>
      <c r="W351" s="582">
        <v>0</v>
      </c>
      <c r="X351" s="580"/>
      <c r="Y351" s="583">
        <f>IF(GLOBAL_DER_FEV_2023!W351=0,0,IF(GLOBAL_DER_FEV_2023!W351&gt;0,"c","b"))</f>
        <v>0</v>
      </c>
    </row>
    <row r="352" spans="1:25" ht="13.5" hidden="1" thickBot="1" x14ac:dyDescent="0.25">
      <c r="A352" s="317" t="s">
        <v>147</v>
      </c>
      <c r="B352" s="895" t="s">
        <v>147</v>
      </c>
      <c r="C352" s="896"/>
      <c r="D352" s="957" t="s">
        <v>244</v>
      </c>
      <c r="E352" s="907">
        <f>GLOBAL_DER_FEV_2023!E352</f>
        <v>22</v>
      </c>
      <c r="F352" s="908">
        <f>GLOBAL_DER_FEV_2023!F352</f>
        <v>2.3730000000000002</v>
      </c>
      <c r="G352" s="912">
        <f>GLOBAL_DER_FEV_2023!G352</f>
        <v>68.603430000000017</v>
      </c>
      <c r="H352" s="901">
        <f>GLOBAL_DER_FEV_2023!H352</f>
        <v>0</v>
      </c>
      <c r="I352" s="901">
        <f>GLOBAL_DER_FEV_2023!I352</f>
        <v>0</v>
      </c>
      <c r="J352" s="902">
        <f>GLOBAL_DER_FEV_2023!J352</f>
        <v>0</v>
      </c>
      <c r="K352" s="903" t="s">
        <v>507</v>
      </c>
      <c r="L352" s="1003"/>
      <c r="M352" s="1157">
        <f t="shared" si="27"/>
        <v>0</v>
      </c>
      <c r="N352" s="893">
        <f t="shared" si="31"/>
        <v>0</v>
      </c>
      <c r="O352" s="905"/>
      <c r="P352" s="58" t="str">
        <f>IF(N348&gt;0,"xx",IF(N348&gt;0,"xy",""))</f>
        <v/>
      </c>
      <c r="Q352" s="317" t="str">
        <f t="shared" si="28"/>
        <v/>
      </c>
      <c r="R352" s="317" t="str">
        <f t="shared" si="29"/>
        <v/>
      </c>
      <c r="S352" s="317" t="str">
        <f t="shared" si="30"/>
        <v/>
      </c>
      <c r="T352" s="317" t="str">
        <f>GLOBAL_DER_FEV_2023!S352</f>
        <v/>
      </c>
      <c r="W352" s="582">
        <v>0</v>
      </c>
      <c r="X352" s="580"/>
      <c r="Y352" s="583">
        <f>IF(GLOBAL_DER_FEV_2023!W352=0,0,IF(GLOBAL_DER_FEV_2023!W352&gt;0,"c","b"))</f>
        <v>0</v>
      </c>
    </row>
    <row r="353" spans="1:25" ht="13.5" hidden="1" thickBot="1" x14ac:dyDescent="0.25">
      <c r="A353" s="317">
        <v>589320</v>
      </c>
      <c r="B353" s="1004" t="s">
        <v>1688</v>
      </c>
      <c r="C353" s="984" t="s">
        <v>213</v>
      </c>
      <c r="D353" s="1012" t="s">
        <v>1682</v>
      </c>
      <c r="E353" s="1005">
        <f>GLOBAL_DER_FEV_2023!E353</f>
        <v>45</v>
      </c>
      <c r="F353" s="1006">
        <f>GLOBAL_DER_FEV_2023!F353</f>
        <v>1</v>
      </c>
      <c r="G353" s="949">
        <f>GLOBAL_DER_FEV_2023!G353</f>
        <v>79.25</v>
      </c>
      <c r="H353" s="988">
        <f>GLOBAL_DER_FEV_2023!H353</f>
        <v>4012.83</v>
      </c>
      <c r="I353" s="988">
        <f>GLOBAL_DER_FEV_2023!I353</f>
        <v>3931.9945856583668</v>
      </c>
      <c r="J353" s="989">
        <f>GLOBAL_DER_FEV_2023!J353</f>
        <v>4721.1499999999996</v>
      </c>
      <c r="K353" s="990" t="s">
        <v>14</v>
      </c>
      <c r="L353" s="1154">
        <f>ROUND(L348*$F348,2)</f>
        <v>0</v>
      </c>
      <c r="M353" s="1159">
        <f t="shared" si="27"/>
        <v>0</v>
      </c>
      <c r="N353" s="993">
        <f t="shared" si="31"/>
        <v>0</v>
      </c>
      <c r="O353" s="905"/>
      <c r="P353" s="58" t="str">
        <f>IF(N348&gt;0,"xx",IF(N348&gt;0,"xy",""))</f>
        <v/>
      </c>
      <c r="Q353" s="317" t="str">
        <f t="shared" si="28"/>
        <v/>
      </c>
      <c r="R353" s="317" t="str">
        <f t="shared" si="29"/>
        <v/>
      </c>
      <c r="S353" s="317" t="str">
        <f t="shared" si="30"/>
        <v/>
      </c>
      <c r="T353" s="317" t="str">
        <f>GLOBAL_DER_FEV_2023!S353</f>
        <v/>
      </c>
      <c r="W353" s="582">
        <v>0</v>
      </c>
      <c r="X353" s="580"/>
      <c r="Y353" s="583">
        <f>IF(GLOBAL_DER_FEV_2023!W353=0,0,IF(GLOBAL_DER_FEV_2023!W353&gt;0,"c","b"))</f>
        <v>0</v>
      </c>
    </row>
    <row r="354" spans="1:25" ht="13.5" hidden="1" thickBot="1" x14ac:dyDescent="0.25">
      <c r="A354" s="317">
        <v>570300</v>
      </c>
      <c r="B354" s="999" t="s">
        <v>1649</v>
      </c>
      <c r="C354" s="1000" t="s">
        <v>184</v>
      </c>
      <c r="D354" s="1019" t="s">
        <v>769</v>
      </c>
      <c r="E354" s="974" t="str">
        <f>GLOBAL_DER_FEV_2023!E354</f>
        <v>taxa CAP</v>
      </c>
      <c r="F354" s="975">
        <f>GLOBAL_DER_FEV_2023!F354</f>
        <v>0.04</v>
      </c>
      <c r="G354" s="976">
        <f>GLOBAL_DER_FEV_2023!G354</f>
        <v>36.972230000000003</v>
      </c>
      <c r="H354" s="977">
        <f>GLOBAL_DER_FEV_2023!H354</f>
        <v>178.78</v>
      </c>
      <c r="I354" s="977">
        <f>GLOBAL_DER_FEV_2023!I354</f>
        <v>215.75223</v>
      </c>
      <c r="J354" s="978">
        <f>GLOBAL_DER_FEV_2023!J354</f>
        <v>259.05</v>
      </c>
      <c r="K354" s="979" t="s">
        <v>14</v>
      </c>
      <c r="L354" s="1152"/>
      <c r="M354" s="1153">
        <f t="shared" si="27"/>
        <v>0</v>
      </c>
      <c r="N354" s="982">
        <f t="shared" si="31"/>
        <v>0</v>
      </c>
      <c r="O354" s="905"/>
      <c r="Q354" s="317" t="str">
        <f t="shared" si="28"/>
        <v/>
      </c>
      <c r="R354" s="317" t="str">
        <f t="shared" si="29"/>
        <v/>
      </c>
      <c r="S354" s="317" t="str">
        <f t="shared" si="30"/>
        <v/>
      </c>
      <c r="T354" s="317" t="str">
        <f>GLOBAL_DER_FEV_2023!S354</f>
        <v/>
      </c>
      <c r="W354" s="582">
        <v>0</v>
      </c>
      <c r="X354" s="580"/>
      <c r="Y354" s="583">
        <f>IF(GLOBAL_DER_FEV_2023!W354=0,0,IF(GLOBAL_DER_FEV_2023!W354&gt;0,"c","b"))</f>
        <v>0</v>
      </c>
    </row>
    <row r="355" spans="1:25" ht="13.5" hidden="1" thickBot="1" x14ac:dyDescent="0.25">
      <c r="A355" s="317" t="s">
        <v>147</v>
      </c>
      <c r="B355" s="895" t="s">
        <v>147</v>
      </c>
      <c r="C355" s="896"/>
      <c r="D355" s="957" t="s">
        <v>229</v>
      </c>
      <c r="E355" s="907">
        <f>GLOBAL_DER_FEV_2023!E355</f>
        <v>150</v>
      </c>
      <c r="F355" s="908">
        <f>GLOBAL_DER_FEV_2023!F355</f>
        <v>0</v>
      </c>
      <c r="G355" s="949">
        <f>GLOBAL_DER_FEV_2023!G355</f>
        <v>0</v>
      </c>
      <c r="H355" s="901">
        <f>GLOBAL_DER_FEV_2023!H355</f>
        <v>0</v>
      </c>
      <c r="I355" s="901">
        <f>GLOBAL_DER_FEV_2023!I355</f>
        <v>0</v>
      </c>
      <c r="J355" s="902">
        <f>GLOBAL_DER_FEV_2023!J355</f>
        <v>0</v>
      </c>
      <c r="K355" s="903" t="s">
        <v>507</v>
      </c>
      <c r="L355" s="1003"/>
      <c r="M355" s="1157">
        <f t="shared" si="27"/>
        <v>0</v>
      </c>
      <c r="N355" s="893">
        <f t="shared" si="31"/>
        <v>0</v>
      </c>
      <c r="O355" s="905"/>
      <c r="P355" s="58" t="str">
        <f>IF(N354&gt;0,"xx",IF(N354&gt;0,"xy",""))</f>
        <v/>
      </c>
      <c r="Q355" s="317" t="str">
        <f t="shared" si="28"/>
        <v/>
      </c>
      <c r="R355" s="317" t="str">
        <f t="shared" si="29"/>
        <v/>
      </c>
      <c r="S355" s="317" t="str">
        <f t="shared" si="30"/>
        <v/>
      </c>
      <c r="T355" s="317" t="str">
        <f>GLOBAL_DER_FEV_2023!S355</f>
        <v/>
      </c>
      <c r="W355" s="582">
        <v>0</v>
      </c>
      <c r="X355" s="580"/>
      <c r="Y355" s="583">
        <f>IF(GLOBAL_DER_FEV_2023!W355=0,0,IF(GLOBAL_DER_FEV_2023!W355&gt;0,"c","b"))</f>
        <v>0</v>
      </c>
    </row>
    <row r="356" spans="1:25" ht="13.5" hidden="1" thickBot="1" x14ac:dyDescent="0.25">
      <c r="A356" s="317" t="s">
        <v>147</v>
      </c>
      <c r="B356" s="895" t="s">
        <v>147</v>
      </c>
      <c r="C356" s="896"/>
      <c r="D356" s="957" t="s">
        <v>230</v>
      </c>
      <c r="E356" s="907">
        <f>GLOBAL_DER_FEV_2023!E356</f>
        <v>353</v>
      </c>
      <c r="F356" s="908">
        <f>GLOBAL_DER_FEV_2023!F356</f>
        <v>1.4999999999999999E-2</v>
      </c>
      <c r="G356" s="909">
        <f>GLOBAL_DER_FEV_2023!G356</f>
        <v>4.2473999999999998</v>
      </c>
      <c r="H356" s="901">
        <f>GLOBAL_DER_FEV_2023!H356</f>
        <v>0</v>
      </c>
      <c r="I356" s="901">
        <f>GLOBAL_DER_FEV_2023!I356</f>
        <v>0</v>
      </c>
      <c r="J356" s="902">
        <f>GLOBAL_DER_FEV_2023!J356</f>
        <v>0</v>
      </c>
      <c r="K356" s="903" t="s">
        <v>507</v>
      </c>
      <c r="L356" s="1003"/>
      <c r="M356" s="1157">
        <f t="shared" si="27"/>
        <v>0</v>
      </c>
      <c r="N356" s="893">
        <f t="shared" si="31"/>
        <v>0</v>
      </c>
      <c r="O356" s="905"/>
      <c r="P356" s="58" t="str">
        <f>IF(N354&gt;0,"xx",IF(N354&gt;0,"xy",""))</f>
        <v/>
      </c>
      <c r="Q356" s="317" t="str">
        <f t="shared" si="28"/>
        <v/>
      </c>
      <c r="R356" s="317" t="str">
        <f t="shared" si="29"/>
        <v/>
      </c>
      <c r="S356" s="317" t="str">
        <f t="shared" si="30"/>
        <v/>
      </c>
      <c r="T356" s="317" t="str">
        <f>GLOBAL_DER_FEV_2023!S356</f>
        <v/>
      </c>
      <c r="W356" s="582">
        <v>0</v>
      </c>
      <c r="X356" s="580"/>
      <c r="Y356" s="583">
        <f>IF(GLOBAL_DER_FEV_2023!W356=0,0,IF(GLOBAL_DER_FEV_2023!W356&gt;0,"c","b"))</f>
        <v>0</v>
      </c>
    </row>
    <row r="357" spans="1:25" ht="13.5" hidden="1" thickBot="1" x14ac:dyDescent="0.25">
      <c r="A357" s="317" t="s">
        <v>147</v>
      </c>
      <c r="B357" s="895" t="s">
        <v>147</v>
      </c>
      <c r="C357" s="896"/>
      <c r="D357" s="957" t="s">
        <v>243</v>
      </c>
      <c r="E357" s="907">
        <f>GLOBAL_DER_FEV_2023!E357</f>
        <v>0.2</v>
      </c>
      <c r="F357" s="908">
        <f>GLOBAL_DER_FEV_2023!F357</f>
        <v>0.94499999999999995</v>
      </c>
      <c r="G357" s="949">
        <f>GLOBAL_DER_FEV_2023!G357</f>
        <v>2.7348300000000001</v>
      </c>
      <c r="H357" s="901">
        <f>GLOBAL_DER_FEV_2023!H357</f>
        <v>0</v>
      </c>
      <c r="I357" s="901">
        <f>GLOBAL_DER_FEV_2023!I357</f>
        <v>0</v>
      </c>
      <c r="J357" s="902">
        <f>GLOBAL_DER_FEV_2023!J357</f>
        <v>0</v>
      </c>
      <c r="K357" s="903" t="s">
        <v>507</v>
      </c>
      <c r="L357" s="1003"/>
      <c r="M357" s="1157">
        <f t="shared" si="27"/>
        <v>0</v>
      </c>
      <c r="N357" s="893">
        <f t="shared" si="31"/>
        <v>0</v>
      </c>
      <c r="O357" s="905"/>
      <c r="P357" s="58" t="str">
        <f>IF(N354&gt;0,"xx",IF(N354&gt;0,"xy",""))</f>
        <v/>
      </c>
      <c r="Q357" s="317" t="str">
        <f t="shared" si="28"/>
        <v/>
      </c>
      <c r="R357" s="317" t="str">
        <f t="shared" si="29"/>
        <v/>
      </c>
      <c r="S357" s="317" t="str">
        <f t="shared" si="30"/>
        <v/>
      </c>
      <c r="T357" s="317" t="str">
        <f>GLOBAL_DER_FEV_2023!S357</f>
        <v/>
      </c>
      <c r="W357" s="582">
        <v>0</v>
      </c>
      <c r="X357" s="580"/>
      <c r="Y357" s="583">
        <f>IF(GLOBAL_DER_FEV_2023!W357=0,0,IF(GLOBAL_DER_FEV_2023!W357&gt;0,"c","b"))</f>
        <v>0</v>
      </c>
    </row>
    <row r="358" spans="1:25" ht="13.5" hidden="1" thickBot="1" x14ac:dyDescent="0.25">
      <c r="A358" s="317" t="s">
        <v>147</v>
      </c>
      <c r="B358" s="895" t="s">
        <v>147</v>
      </c>
      <c r="C358" s="896"/>
      <c r="D358" s="957" t="s">
        <v>244</v>
      </c>
      <c r="E358" s="907">
        <f>GLOBAL_DER_FEV_2023!E358</f>
        <v>22</v>
      </c>
      <c r="F358" s="908">
        <f>GLOBAL_DER_FEV_2023!F358</f>
        <v>1</v>
      </c>
      <c r="G358" s="912">
        <f>GLOBAL_DER_FEV_2023!G358</f>
        <v>29.990000000000002</v>
      </c>
      <c r="H358" s="901">
        <f>GLOBAL_DER_FEV_2023!H358</f>
        <v>0</v>
      </c>
      <c r="I358" s="901">
        <f>GLOBAL_DER_FEV_2023!I358</f>
        <v>0</v>
      </c>
      <c r="J358" s="902">
        <f>GLOBAL_DER_FEV_2023!J358</f>
        <v>0</v>
      </c>
      <c r="K358" s="903" t="s">
        <v>507</v>
      </c>
      <c r="L358" s="1003"/>
      <c r="M358" s="1157">
        <f t="shared" si="27"/>
        <v>0</v>
      </c>
      <c r="N358" s="893">
        <f t="shared" si="31"/>
        <v>0</v>
      </c>
      <c r="O358" s="905"/>
      <c r="P358" s="58" t="str">
        <f>IF(N354&gt;0,"xx",IF(N354&gt;0,"xy",""))</f>
        <v/>
      </c>
      <c r="Q358" s="317" t="str">
        <f t="shared" si="28"/>
        <v/>
      </c>
      <c r="R358" s="317" t="str">
        <f t="shared" si="29"/>
        <v/>
      </c>
      <c r="S358" s="317" t="str">
        <f t="shared" si="30"/>
        <v/>
      </c>
      <c r="T358" s="317" t="str">
        <f>GLOBAL_DER_FEV_2023!S358</f>
        <v/>
      </c>
      <c r="W358" s="582">
        <v>0</v>
      </c>
      <c r="X358" s="580"/>
      <c r="Y358" s="583">
        <f>IF(GLOBAL_DER_FEV_2023!W358=0,0,IF(GLOBAL_DER_FEV_2023!W358&gt;0,"c","b"))</f>
        <v>0</v>
      </c>
    </row>
    <row r="359" spans="1:25" ht="13.5" hidden="1" thickBot="1" x14ac:dyDescent="0.25">
      <c r="A359" s="317">
        <v>589000</v>
      </c>
      <c r="B359" s="1009" t="s">
        <v>709</v>
      </c>
      <c r="C359" s="860" t="s">
        <v>213</v>
      </c>
      <c r="D359" s="1012" t="s">
        <v>2178</v>
      </c>
      <c r="E359" s="1020">
        <f>GLOBAL_DER_FEV_2023!E359</f>
        <v>45</v>
      </c>
      <c r="F359" s="1006">
        <f>GLOBAL_DER_FEV_2023!F359</f>
        <v>1</v>
      </c>
      <c r="G359" s="949">
        <f>GLOBAL_DER_FEV_2023!G359</f>
        <v>88.36</v>
      </c>
      <c r="H359" s="988">
        <f>GLOBAL_DER_FEV_2023!H359</f>
        <v>4828.8599999999997</v>
      </c>
      <c r="I359" s="988">
        <f>GLOBAL_DER_FEV_2023!I359</f>
        <v>4724.580378112767</v>
      </c>
      <c r="J359" s="1011">
        <f>GLOBAL_DER_FEV_2023!J359</f>
        <v>5672.8</v>
      </c>
      <c r="K359" s="867" t="s">
        <v>14</v>
      </c>
      <c r="L359" s="1154">
        <f>ROUND(L354*$F354,2)</f>
        <v>0</v>
      </c>
      <c r="M359" s="1159">
        <f t="shared" si="27"/>
        <v>0</v>
      </c>
      <c r="N359" s="993">
        <f t="shared" si="31"/>
        <v>0</v>
      </c>
      <c r="O359" s="905"/>
      <c r="P359" s="58" t="str">
        <f>IF(N354&gt;0,"xx",IF(N354&gt;0,"xy",""))</f>
        <v/>
      </c>
      <c r="Q359" s="317" t="str">
        <f t="shared" si="28"/>
        <v/>
      </c>
      <c r="R359" s="317" t="str">
        <f t="shared" si="29"/>
        <v/>
      </c>
      <c r="S359" s="317" t="str">
        <f t="shared" si="30"/>
        <v/>
      </c>
      <c r="T359" s="317" t="str">
        <f>GLOBAL_DER_FEV_2023!S359</f>
        <v/>
      </c>
      <c r="W359" s="582">
        <v>0</v>
      </c>
      <c r="X359" s="580"/>
      <c r="Y359" s="583">
        <f>IF(GLOBAL_DER_FEV_2023!W359=0,0,IF(GLOBAL_DER_FEV_2023!W359&gt;0,"c","b"))</f>
        <v>0</v>
      </c>
    </row>
    <row r="360" spans="1:25" ht="13.5" hidden="1" thickBot="1" x14ac:dyDescent="0.25">
      <c r="A360" s="317">
        <v>570310</v>
      </c>
      <c r="B360" s="999" t="s">
        <v>1764</v>
      </c>
      <c r="C360" s="1000" t="s">
        <v>184</v>
      </c>
      <c r="D360" s="1019" t="s">
        <v>770</v>
      </c>
      <c r="E360" s="974" t="str">
        <f>GLOBAL_DER_FEV_2023!E360</f>
        <v>taxa CAP</v>
      </c>
      <c r="F360" s="975">
        <f>GLOBAL_DER_FEV_2023!F360</f>
        <v>0.04</v>
      </c>
      <c r="G360" s="976">
        <f>GLOBAL_DER_FEV_2023!G360</f>
        <v>36.972230000000003</v>
      </c>
      <c r="H360" s="977">
        <f>GLOBAL_DER_FEV_2023!H360</f>
        <v>158.85</v>
      </c>
      <c r="I360" s="977">
        <f>GLOBAL_DER_FEV_2023!I360</f>
        <v>195.82222999999999</v>
      </c>
      <c r="J360" s="978">
        <f>GLOBAL_DER_FEV_2023!J360</f>
        <v>235.12</v>
      </c>
      <c r="K360" s="979" t="s">
        <v>14</v>
      </c>
      <c r="L360" s="1152"/>
      <c r="M360" s="1153">
        <f t="shared" si="27"/>
        <v>0</v>
      </c>
      <c r="N360" s="982">
        <f t="shared" si="31"/>
        <v>0</v>
      </c>
      <c r="O360" s="905"/>
      <c r="Q360" s="317" t="str">
        <f t="shared" si="28"/>
        <v/>
      </c>
      <c r="R360" s="317" t="str">
        <f t="shared" si="29"/>
        <v/>
      </c>
      <c r="S360" s="317" t="str">
        <f t="shared" si="30"/>
        <v/>
      </c>
      <c r="T360" s="317" t="str">
        <f>GLOBAL_DER_FEV_2023!S360</f>
        <v/>
      </c>
      <c r="W360" s="582">
        <v>0</v>
      </c>
      <c r="X360" s="580"/>
      <c r="Y360" s="583">
        <f>IF(GLOBAL_DER_FEV_2023!W360=0,0,IF(GLOBAL_DER_FEV_2023!W360&gt;0,"c","b"))</f>
        <v>0</v>
      </c>
    </row>
    <row r="361" spans="1:25" ht="13.5" hidden="1" thickBot="1" x14ac:dyDescent="0.25">
      <c r="A361" s="317" t="s">
        <v>147</v>
      </c>
      <c r="B361" s="895" t="s">
        <v>147</v>
      </c>
      <c r="C361" s="896"/>
      <c r="D361" s="957" t="s">
        <v>229</v>
      </c>
      <c r="E361" s="907">
        <f>GLOBAL_DER_FEV_2023!E361</f>
        <v>150</v>
      </c>
      <c r="F361" s="908">
        <f>GLOBAL_DER_FEV_2023!F361</f>
        <v>0</v>
      </c>
      <c r="G361" s="949">
        <f>GLOBAL_DER_FEV_2023!G361</f>
        <v>0</v>
      </c>
      <c r="H361" s="901">
        <f>GLOBAL_DER_FEV_2023!H361</f>
        <v>0</v>
      </c>
      <c r="I361" s="901">
        <f>GLOBAL_DER_FEV_2023!I361</f>
        <v>0</v>
      </c>
      <c r="J361" s="902">
        <f>GLOBAL_DER_FEV_2023!J361</f>
        <v>0</v>
      </c>
      <c r="K361" s="903" t="s">
        <v>507</v>
      </c>
      <c r="L361" s="1003"/>
      <c r="M361" s="1157">
        <f t="shared" si="27"/>
        <v>0</v>
      </c>
      <c r="N361" s="893">
        <f t="shared" si="31"/>
        <v>0</v>
      </c>
      <c r="O361" s="905"/>
      <c r="P361" s="58" t="str">
        <f>IF(N360&gt;0,"xx",IF(N360&gt;0,"xy",""))</f>
        <v/>
      </c>
      <c r="Q361" s="317" t="str">
        <f t="shared" si="28"/>
        <v/>
      </c>
      <c r="R361" s="317" t="str">
        <f t="shared" si="29"/>
        <v/>
      </c>
      <c r="S361" s="317" t="str">
        <f t="shared" si="30"/>
        <v/>
      </c>
      <c r="T361" s="317" t="str">
        <f>GLOBAL_DER_FEV_2023!S361</f>
        <v/>
      </c>
      <c r="W361" s="582">
        <v>0</v>
      </c>
      <c r="X361" s="580"/>
      <c r="Y361" s="583">
        <f>IF(GLOBAL_DER_FEV_2023!W361=0,0,IF(GLOBAL_DER_FEV_2023!W361&gt;0,"c","b"))</f>
        <v>0</v>
      </c>
    </row>
    <row r="362" spans="1:25" ht="13.5" hidden="1" thickBot="1" x14ac:dyDescent="0.25">
      <c r="A362" s="317" t="s">
        <v>147</v>
      </c>
      <c r="B362" s="895" t="s">
        <v>147</v>
      </c>
      <c r="C362" s="896"/>
      <c r="D362" s="957" t="s">
        <v>230</v>
      </c>
      <c r="E362" s="907">
        <f>GLOBAL_DER_FEV_2023!E362</f>
        <v>353</v>
      </c>
      <c r="F362" s="908">
        <f>GLOBAL_DER_FEV_2023!F362</f>
        <v>1.4999999999999999E-2</v>
      </c>
      <c r="G362" s="909">
        <f>GLOBAL_DER_FEV_2023!G362</f>
        <v>4.2473999999999998</v>
      </c>
      <c r="H362" s="901">
        <f>GLOBAL_DER_FEV_2023!H362</f>
        <v>0</v>
      </c>
      <c r="I362" s="901">
        <f>GLOBAL_DER_FEV_2023!I362</f>
        <v>0</v>
      </c>
      <c r="J362" s="902">
        <f>GLOBAL_DER_FEV_2023!J362</f>
        <v>0</v>
      </c>
      <c r="K362" s="903" t="s">
        <v>507</v>
      </c>
      <c r="L362" s="1003"/>
      <c r="M362" s="1157">
        <f t="shared" si="27"/>
        <v>0</v>
      </c>
      <c r="N362" s="893">
        <f t="shared" si="31"/>
        <v>0</v>
      </c>
      <c r="O362" s="905"/>
      <c r="P362" s="58" t="str">
        <f>IF(N360&gt;0,"xx",IF(N360&gt;0,"xy",""))</f>
        <v/>
      </c>
      <c r="Q362" s="317" t="str">
        <f t="shared" si="28"/>
        <v/>
      </c>
      <c r="R362" s="317" t="str">
        <f t="shared" si="29"/>
        <v/>
      </c>
      <c r="S362" s="317" t="str">
        <f t="shared" si="30"/>
        <v/>
      </c>
      <c r="T362" s="317" t="str">
        <f>GLOBAL_DER_FEV_2023!S362</f>
        <v/>
      </c>
      <c r="W362" s="582">
        <v>0</v>
      </c>
      <c r="X362" s="580"/>
      <c r="Y362" s="583">
        <f>IF(GLOBAL_DER_FEV_2023!W362=0,0,IF(GLOBAL_DER_FEV_2023!W362&gt;0,"c","b"))</f>
        <v>0</v>
      </c>
    </row>
    <row r="363" spans="1:25" ht="13.5" hidden="1" thickBot="1" x14ac:dyDescent="0.25">
      <c r="A363" s="317" t="s">
        <v>147</v>
      </c>
      <c r="B363" s="895" t="s">
        <v>147</v>
      </c>
      <c r="C363" s="896"/>
      <c r="D363" s="957" t="s">
        <v>243</v>
      </c>
      <c r="E363" s="907">
        <f>GLOBAL_DER_FEV_2023!E363</f>
        <v>0.2</v>
      </c>
      <c r="F363" s="908">
        <f>GLOBAL_DER_FEV_2023!F363</f>
        <v>0.94499999999999995</v>
      </c>
      <c r="G363" s="949">
        <f>GLOBAL_DER_FEV_2023!G363</f>
        <v>2.7348300000000001</v>
      </c>
      <c r="H363" s="901">
        <f>GLOBAL_DER_FEV_2023!H363</f>
        <v>0</v>
      </c>
      <c r="I363" s="901">
        <f>GLOBAL_DER_FEV_2023!I363</f>
        <v>0</v>
      </c>
      <c r="J363" s="902">
        <f>GLOBAL_DER_FEV_2023!J363</f>
        <v>0</v>
      </c>
      <c r="K363" s="903" t="s">
        <v>507</v>
      </c>
      <c r="L363" s="1003"/>
      <c r="M363" s="1157">
        <f t="shared" si="27"/>
        <v>0</v>
      </c>
      <c r="N363" s="893">
        <f t="shared" si="31"/>
        <v>0</v>
      </c>
      <c r="O363" s="905"/>
      <c r="P363" s="58" t="str">
        <f>IF(N360&gt;0,"xx",IF(N360&gt;0,"xy",""))</f>
        <v/>
      </c>
      <c r="Q363" s="317" t="str">
        <f t="shared" si="28"/>
        <v/>
      </c>
      <c r="R363" s="317" t="str">
        <f t="shared" si="29"/>
        <v/>
      </c>
      <c r="S363" s="317" t="str">
        <f t="shared" si="30"/>
        <v/>
      </c>
      <c r="T363" s="317" t="str">
        <f>GLOBAL_DER_FEV_2023!S363</f>
        <v/>
      </c>
      <c r="W363" s="582">
        <v>0</v>
      </c>
      <c r="X363" s="580"/>
      <c r="Y363" s="583">
        <f>IF(GLOBAL_DER_FEV_2023!W363=0,0,IF(GLOBAL_DER_FEV_2023!W363&gt;0,"c","b"))</f>
        <v>0</v>
      </c>
    </row>
    <row r="364" spans="1:25" ht="13.5" hidden="1" thickBot="1" x14ac:dyDescent="0.25">
      <c r="A364" s="317" t="s">
        <v>147</v>
      </c>
      <c r="B364" s="895" t="s">
        <v>147</v>
      </c>
      <c r="C364" s="896"/>
      <c r="D364" s="957" t="s">
        <v>244</v>
      </c>
      <c r="E364" s="907">
        <f>GLOBAL_DER_FEV_2023!E364</f>
        <v>22</v>
      </c>
      <c r="F364" s="908">
        <f>GLOBAL_DER_FEV_2023!F364</f>
        <v>1</v>
      </c>
      <c r="G364" s="912">
        <f>GLOBAL_DER_FEV_2023!G364</f>
        <v>29.990000000000002</v>
      </c>
      <c r="H364" s="901">
        <f>GLOBAL_DER_FEV_2023!H364</f>
        <v>0</v>
      </c>
      <c r="I364" s="901">
        <f>GLOBAL_DER_FEV_2023!I364</f>
        <v>0</v>
      </c>
      <c r="J364" s="902">
        <f>GLOBAL_DER_FEV_2023!J364</f>
        <v>0</v>
      </c>
      <c r="K364" s="903" t="s">
        <v>507</v>
      </c>
      <c r="L364" s="1003"/>
      <c r="M364" s="1157">
        <f t="shared" si="27"/>
        <v>0</v>
      </c>
      <c r="N364" s="893">
        <f t="shared" si="31"/>
        <v>0</v>
      </c>
      <c r="O364" s="905"/>
      <c r="P364" s="58" t="str">
        <f>IF(N360&gt;0,"xx",IF(N360&gt;0,"xy",""))</f>
        <v/>
      </c>
      <c r="Q364" s="317" t="str">
        <f t="shared" si="28"/>
        <v/>
      </c>
      <c r="R364" s="317" t="str">
        <f t="shared" si="29"/>
        <v/>
      </c>
      <c r="S364" s="317" t="str">
        <f t="shared" si="30"/>
        <v/>
      </c>
      <c r="T364" s="317" t="str">
        <f>GLOBAL_DER_FEV_2023!S364</f>
        <v/>
      </c>
      <c r="W364" s="582">
        <v>0</v>
      </c>
      <c r="X364" s="580"/>
      <c r="Y364" s="583">
        <f>IF(GLOBAL_DER_FEV_2023!W364=0,0,IF(GLOBAL_DER_FEV_2023!W364&gt;0,"c","b"))</f>
        <v>0</v>
      </c>
    </row>
    <row r="365" spans="1:25" ht="13.5" hidden="1" thickBot="1" x14ac:dyDescent="0.25">
      <c r="A365" s="317">
        <v>589000</v>
      </c>
      <c r="B365" s="1004" t="s">
        <v>710</v>
      </c>
      <c r="C365" s="984" t="s">
        <v>213</v>
      </c>
      <c r="D365" s="1012" t="s">
        <v>2177</v>
      </c>
      <c r="E365" s="1020">
        <f>GLOBAL_DER_FEV_2023!E365</f>
        <v>45</v>
      </c>
      <c r="F365" s="1006">
        <f>GLOBAL_DER_FEV_2023!F365</f>
        <v>1</v>
      </c>
      <c r="G365" s="949">
        <f>GLOBAL_DER_FEV_2023!G365</f>
        <v>88.36</v>
      </c>
      <c r="H365" s="988">
        <f>GLOBAL_DER_FEV_2023!H365</f>
        <v>4828.8599999999997</v>
      </c>
      <c r="I365" s="988">
        <f>GLOBAL_DER_FEV_2023!I365</f>
        <v>4724.580378112767</v>
      </c>
      <c r="J365" s="989">
        <f>GLOBAL_DER_FEV_2023!J365</f>
        <v>5672.8</v>
      </c>
      <c r="K365" s="990" t="s">
        <v>14</v>
      </c>
      <c r="L365" s="1154">
        <f>ROUND(L360*$F360,2)</f>
        <v>0</v>
      </c>
      <c r="M365" s="1159">
        <f t="shared" si="27"/>
        <v>0</v>
      </c>
      <c r="N365" s="993">
        <f t="shared" si="31"/>
        <v>0</v>
      </c>
      <c r="O365" s="905"/>
      <c r="P365" s="58" t="str">
        <f>IF(N360&gt;0,"xx",IF(N360&gt;0,"xy",""))</f>
        <v/>
      </c>
      <c r="Q365" s="317" t="str">
        <f t="shared" si="28"/>
        <v/>
      </c>
      <c r="R365" s="317" t="str">
        <f t="shared" si="29"/>
        <v/>
      </c>
      <c r="S365" s="317" t="str">
        <f t="shared" si="30"/>
        <v/>
      </c>
      <c r="T365" s="317" t="str">
        <f>GLOBAL_DER_FEV_2023!S365</f>
        <v/>
      </c>
      <c r="W365" s="582">
        <v>0</v>
      </c>
      <c r="X365" s="580"/>
      <c r="Y365" s="583">
        <f>IF(GLOBAL_DER_FEV_2023!W365=0,0,IF(GLOBAL_DER_FEV_2023!W365&gt;0,"c","b"))</f>
        <v>0</v>
      </c>
    </row>
    <row r="366" spans="1:25" ht="13.5" hidden="1" thickBot="1" x14ac:dyDescent="0.25">
      <c r="A366" s="317">
        <v>570140</v>
      </c>
      <c r="B366" s="999">
        <v>570140</v>
      </c>
      <c r="C366" s="1000" t="s">
        <v>184</v>
      </c>
      <c r="D366" s="1019" t="s">
        <v>597</v>
      </c>
      <c r="E366" s="974" t="str">
        <f>GLOBAL_DER_FEV_2023!E366</f>
        <v>taxa CAP</v>
      </c>
      <c r="F366" s="975">
        <f>GLOBAL_DER_FEV_2023!F366</f>
        <v>0.05</v>
      </c>
      <c r="G366" s="976">
        <f>GLOBAL_DER_FEV_2023!G366</f>
        <v>53.140143399999999</v>
      </c>
      <c r="H366" s="977">
        <f>GLOBAL_DER_FEV_2023!H366</f>
        <v>281.31</v>
      </c>
      <c r="I366" s="977">
        <f>GLOBAL_DER_FEV_2023!I366</f>
        <v>334.4501434</v>
      </c>
      <c r="J366" s="978">
        <f>GLOBAL_DER_FEV_2023!J366</f>
        <v>401.57</v>
      </c>
      <c r="K366" s="979" t="s">
        <v>14</v>
      </c>
      <c r="L366" s="1152"/>
      <c r="M366" s="1153">
        <f t="shared" si="27"/>
        <v>0</v>
      </c>
      <c r="N366" s="982">
        <f t="shared" si="31"/>
        <v>0</v>
      </c>
      <c r="O366" s="905"/>
      <c r="Q366" s="317" t="str">
        <f t="shared" si="28"/>
        <v/>
      </c>
      <c r="R366" s="317" t="str">
        <f t="shared" si="29"/>
        <v/>
      </c>
      <c r="S366" s="317" t="str">
        <f t="shared" si="30"/>
        <v/>
      </c>
      <c r="T366" s="317" t="str">
        <f>GLOBAL_DER_FEV_2023!S366</f>
        <v/>
      </c>
      <c r="W366" s="582">
        <v>0</v>
      </c>
      <c r="X366" s="580"/>
      <c r="Y366" s="583">
        <f>IF(GLOBAL_DER_FEV_2023!W366=0,0,IF(GLOBAL_DER_FEV_2023!W366&gt;0,"c","b"))</f>
        <v>0</v>
      </c>
    </row>
    <row r="367" spans="1:25" ht="13.5" hidden="1" thickBot="1" x14ac:dyDescent="0.25">
      <c r="A367" s="317" t="s">
        <v>147</v>
      </c>
      <c r="B367" s="895" t="s">
        <v>147</v>
      </c>
      <c r="C367" s="896"/>
      <c r="D367" s="957" t="s">
        <v>229</v>
      </c>
      <c r="E367" s="907">
        <f>GLOBAL_DER_FEV_2023!E367</f>
        <v>150</v>
      </c>
      <c r="F367" s="908">
        <f>GLOBAL_DER_FEV_2023!F367</f>
        <v>0.1007</v>
      </c>
      <c r="G367" s="949">
        <f>GLOBAL_DER_FEV_2023!G367</f>
        <v>16.432226</v>
      </c>
      <c r="H367" s="901">
        <f>GLOBAL_DER_FEV_2023!H367</f>
        <v>0</v>
      </c>
      <c r="I367" s="901">
        <f>GLOBAL_DER_FEV_2023!I367</f>
        <v>0</v>
      </c>
      <c r="J367" s="902">
        <f>GLOBAL_DER_FEV_2023!J367</f>
        <v>0</v>
      </c>
      <c r="K367" s="958" t="s">
        <v>507</v>
      </c>
      <c r="L367" s="1003"/>
      <c r="M367" s="1157">
        <f t="shared" si="27"/>
        <v>0</v>
      </c>
      <c r="N367" s="893">
        <f t="shared" si="31"/>
        <v>0</v>
      </c>
      <c r="O367" s="905"/>
      <c r="P367" s="58" t="str">
        <f>IF(N366&gt;0,"xx",IF(N366&gt;0,"xy",""))</f>
        <v/>
      </c>
      <c r="Q367" s="317" t="str">
        <f t="shared" si="28"/>
        <v/>
      </c>
      <c r="R367" s="317" t="str">
        <f t="shared" si="29"/>
        <v/>
      </c>
      <c r="S367" s="317" t="str">
        <f t="shared" si="30"/>
        <v/>
      </c>
      <c r="T367" s="317" t="str">
        <f>GLOBAL_DER_FEV_2023!S367</f>
        <v/>
      </c>
      <c r="W367" s="582">
        <v>0</v>
      </c>
      <c r="X367" s="580"/>
      <c r="Y367" s="583">
        <f>IF(GLOBAL_DER_FEV_2023!W367=0,0,IF(GLOBAL_DER_FEV_2023!W367&gt;0,"c","b"))</f>
        <v>0</v>
      </c>
    </row>
    <row r="368" spans="1:25" ht="13.5" hidden="1" thickBot="1" x14ac:dyDescent="0.25">
      <c r="A368" s="317" t="s">
        <v>147</v>
      </c>
      <c r="B368" s="895" t="s">
        <v>147</v>
      </c>
      <c r="C368" s="896"/>
      <c r="D368" s="957" t="s">
        <v>230</v>
      </c>
      <c r="E368" s="907">
        <f>GLOBAL_DER_FEV_2023!E368</f>
        <v>353</v>
      </c>
      <c r="F368" s="908">
        <f>GLOBAL_DER_FEV_2023!F368</f>
        <v>1.52E-2</v>
      </c>
      <c r="G368" s="909">
        <f>GLOBAL_DER_FEV_2023!G368</f>
        <v>4.3040320000000003</v>
      </c>
      <c r="H368" s="901">
        <f>GLOBAL_DER_FEV_2023!H368</f>
        <v>0</v>
      </c>
      <c r="I368" s="901">
        <f>GLOBAL_DER_FEV_2023!I368</f>
        <v>0</v>
      </c>
      <c r="J368" s="902">
        <f>GLOBAL_DER_FEV_2023!J368</f>
        <v>0</v>
      </c>
      <c r="K368" s="958" t="s">
        <v>507</v>
      </c>
      <c r="L368" s="1003"/>
      <c r="M368" s="1157">
        <f t="shared" si="27"/>
        <v>0</v>
      </c>
      <c r="N368" s="893">
        <f t="shared" si="31"/>
        <v>0</v>
      </c>
      <c r="O368" s="905"/>
      <c r="P368" s="58" t="str">
        <f>IF(N366&gt;0,"xx",IF(N366&gt;0,"xy",""))</f>
        <v/>
      </c>
      <c r="Q368" s="317" t="str">
        <f t="shared" si="28"/>
        <v/>
      </c>
      <c r="R368" s="317" t="str">
        <f t="shared" si="29"/>
        <v/>
      </c>
      <c r="S368" s="317" t="str">
        <f t="shared" si="30"/>
        <v/>
      </c>
      <c r="T368" s="317" t="str">
        <f>GLOBAL_DER_FEV_2023!S368</f>
        <v/>
      </c>
      <c r="W368" s="582">
        <v>0</v>
      </c>
      <c r="X368" s="580"/>
      <c r="Y368" s="583">
        <f>IF(GLOBAL_DER_FEV_2023!W368=0,0,IF(GLOBAL_DER_FEV_2023!W368&gt;0,"c","b"))</f>
        <v>0</v>
      </c>
    </row>
    <row r="369" spans="1:25" ht="13.5" hidden="1" thickBot="1" x14ac:dyDescent="0.25">
      <c r="A369" s="317" t="s">
        <v>147</v>
      </c>
      <c r="B369" s="895" t="s">
        <v>147</v>
      </c>
      <c r="C369" s="896"/>
      <c r="D369" s="957" t="s">
        <v>243</v>
      </c>
      <c r="E369" s="907">
        <f>GLOBAL_DER_FEV_2023!E369</f>
        <v>0.2</v>
      </c>
      <c r="F369" s="908">
        <f>GLOBAL_DER_FEV_2023!F369</f>
        <v>0.83409999999999995</v>
      </c>
      <c r="G369" s="949">
        <f>GLOBAL_DER_FEV_2023!G369</f>
        <v>2.4138853999999998</v>
      </c>
      <c r="H369" s="901">
        <f>GLOBAL_DER_FEV_2023!H369</f>
        <v>0</v>
      </c>
      <c r="I369" s="901">
        <f>GLOBAL_DER_FEV_2023!I369</f>
        <v>0</v>
      </c>
      <c r="J369" s="902">
        <f>GLOBAL_DER_FEV_2023!J369</f>
        <v>0</v>
      </c>
      <c r="K369" s="958" t="s">
        <v>507</v>
      </c>
      <c r="L369" s="1003"/>
      <c r="M369" s="1157">
        <f t="shared" si="27"/>
        <v>0</v>
      </c>
      <c r="N369" s="893">
        <f t="shared" si="31"/>
        <v>0</v>
      </c>
      <c r="O369" s="905"/>
      <c r="P369" s="58" t="str">
        <f>IF(N366&gt;0,"xx",IF(N366&gt;0,"xy",""))</f>
        <v/>
      </c>
      <c r="Q369" s="317" t="str">
        <f t="shared" si="28"/>
        <v/>
      </c>
      <c r="R369" s="317" t="str">
        <f t="shared" si="29"/>
        <v/>
      </c>
      <c r="S369" s="317" t="str">
        <f t="shared" si="30"/>
        <v/>
      </c>
      <c r="T369" s="317" t="str">
        <f>GLOBAL_DER_FEV_2023!S369</f>
        <v/>
      </c>
      <c r="W369" s="582">
        <v>0</v>
      </c>
      <c r="X369" s="580"/>
      <c r="Y369" s="583">
        <f>IF(GLOBAL_DER_FEV_2023!W369=0,0,IF(GLOBAL_DER_FEV_2023!W369&gt;0,"c","b"))</f>
        <v>0</v>
      </c>
    </row>
    <row r="370" spans="1:25" ht="13.5" hidden="1" thickBot="1" x14ac:dyDescent="0.25">
      <c r="A370" s="317" t="s">
        <v>147</v>
      </c>
      <c r="B370" s="895" t="s">
        <v>147</v>
      </c>
      <c r="C370" s="896"/>
      <c r="D370" s="957" t="s">
        <v>244</v>
      </c>
      <c r="E370" s="907">
        <f>GLOBAL_DER_FEV_2023!E370</f>
        <v>22</v>
      </c>
      <c r="F370" s="908">
        <f>GLOBAL_DER_FEV_2023!F370</f>
        <v>1</v>
      </c>
      <c r="G370" s="912">
        <f>GLOBAL_DER_FEV_2023!G370</f>
        <v>29.990000000000002</v>
      </c>
      <c r="H370" s="901">
        <f>GLOBAL_DER_FEV_2023!H370</f>
        <v>0</v>
      </c>
      <c r="I370" s="901">
        <f>GLOBAL_DER_FEV_2023!I370</f>
        <v>0</v>
      </c>
      <c r="J370" s="902">
        <f>GLOBAL_DER_FEV_2023!J370</f>
        <v>0</v>
      </c>
      <c r="K370" s="958" t="s">
        <v>507</v>
      </c>
      <c r="L370" s="1003"/>
      <c r="M370" s="1157">
        <f t="shared" si="27"/>
        <v>0</v>
      </c>
      <c r="N370" s="893">
        <f t="shared" si="31"/>
        <v>0</v>
      </c>
      <c r="O370" s="905"/>
      <c r="P370" s="58" t="str">
        <f>IF(N366&gt;0,"xx",IF(N366&gt;0,"xy",""))</f>
        <v/>
      </c>
      <c r="Q370" s="317" t="str">
        <f t="shared" si="28"/>
        <v/>
      </c>
      <c r="R370" s="317" t="str">
        <f t="shared" si="29"/>
        <v/>
      </c>
      <c r="S370" s="317" t="str">
        <f t="shared" si="30"/>
        <v/>
      </c>
      <c r="T370" s="317" t="str">
        <f>GLOBAL_DER_FEV_2023!S370</f>
        <v/>
      </c>
      <c r="W370" s="582">
        <v>0</v>
      </c>
      <c r="X370" s="580"/>
      <c r="Y370" s="583">
        <f>IF(GLOBAL_DER_FEV_2023!W370=0,0,IF(GLOBAL_DER_FEV_2023!W370&gt;0,"c","b"))</f>
        <v>0</v>
      </c>
    </row>
    <row r="371" spans="1:25" ht="13.5" hidden="1" thickBot="1" x14ac:dyDescent="0.25">
      <c r="A371" s="317">
        <v>589000</v>
      </c>
      <c r="B371" s="1004" t="s">
        <v>711</v>
      </c>
      <c r="C371" s="984" t="s">
        <v>213</v>
      </c>
      <c r="D371" s="1012" t="s">
        <v>2172</v>
      </c>
      <c r="E371" s="1005">
        <f>GLOBAL_DER_FEV_2023!E371</f>
        <v>45</v>
      </c>
      <c r="F371" s="1006">
        <f>GLOBAL_DER_FEV_2023!F371</f>
        <v>1</v>
      </c>
      <c r="G371" s="949">
        <f>GLOBAL_DER_FEV_2023!G371</f>
        <v>88.36</v>
      </c>
      <c r="H371" s="988">
        <f>GLOBAL_DER_FEV_2023!H371</f>
        <v>4828.8599999999997</v>
      </c>
      <c r="I371" s="988">
        <f>GLOBAL_DER_FEV_2023!I371</f>
        <v>4724.580378112767</v>
      </c>
      <c r="J371" s="989">
        <f>GLOBAL_DER_FEV_2023!J371</f>
        <v>5672.8</v>
      </c>
      <c r="K371" s="990" t="s">
        <v>14</v>
      </c>
      <c r="L371" s="1154">
        <f>ROUND(L366*$F366,2)</f>
        <v>0</v>
      </c>
      <c r="M371" s="1159">
        <f t="shared" si="27"/>
        <v>0</v>
      </c>
      <c r="N371" s="993">
        <f t="shared" si="31"/>
        <v>0</v>
      </c>
      <c r="O371" s="905"/>
      <c r="P371" s="58" t="str">
        <f>IF(N366&gt;0,"xx",IF(N366&gt;0,"xy",""))</f>
        <v/>
      </c>
      <c r="Q371" s="317" t="str">
        <f t="shared" si="28"/>
        <v/>
      </c>
      <c r="R371" s="317" t="str">
        <f t="shared" si="29"/>
        <v/>
      </c>
      <c r="S371" s="317" t="str">
        <f t="shared" si="30"/>
        <v/>
      </c>
      <c r="T371" s="317" t="str">
        <f>GLOBAL_DER_FEV_2023!S371</f>
        <v/>
      </c>
      <c r="W371" s="582">
        <v>0</v>
      </c>
      <c r="X371" s="580"/>
      <c r="Y371" s="583">
        <f>IF(GLOBAL_DER_FEV_2023!W371=0,0,IF(GLOBAL_DER_FEV_2023!W371&gt;0,"c","b"))</f>
        <v>0</v>
      </c>
    </row>
    <row r="372" spans="1:25" ht="13.5" hidden="1" thickBot="1" x14ac:dyDescent="0.25">
      <c r="A372" s="317">
        <v>570170</v>
      </c>
      <c r="B372" s="999">
        <v>570170</v>
      </c>
      <c r="C372" s="1000" t="s">
        <v>184</v>
      </c>
      <c r="D372" s="1019" t="s">
        <v>598</v>
      </c>
      <c r="E372" s="974" t="str">
        <f>GLOBAL_DER_FEV_2023!E372</f>
        <v>taxa CAP</v>
      </c>
      <c r="F372" s="975">
        <f>GLOBAL_DER_FEV_2023!F372</f>
        <v>0.05</v>
      </c>
      <c r="G372" s="976">
        <f>GLOBAL_DER_FEV_2023!G372</f>
        <v>53.140143399999999</v>
      </c>
      <c r="H372" s="977">
        <f>GLOBAL_DER_FEV_2023!H372</f>
        <v>209.01</v>
      </c>
      <c r="I372" s="977">
        <f>GLOBAL_DER_FEV_2023!I372</f>
        <v>262.15014339999999</v>
      </c>
      <c r="J372" s="978">
        <f>GLOBAL_DER_FEV_2023!J372</f>
        <v>314.76</v>
      </c>
      <c r="K372" s="979" t="s">
        <v>14</v>
      </c>
      <c r="L372" s="1152"/>
      <c r="M372" s="1153">
        <f t="shared" si="27"/>
        <v>0</v>
      </c>
      <c r="N372" s="982">
        <f t="shared" si="31"/>
        <v>0</v>
      </c>
      <c r="O372" s="905"/>
      <c r="Q372" s="317" t="str">
        <f t="shared" si="28"/>
        <v/>
      </c>
      <c r="R372" s="317" t="str">
        <f t="shared" si="29"/>
        <v/>
      </c>
      <c r="S372" s="317" t="str">
        <f t="shared" si="30"/>
        <v/>
      </c>
      <c r="T372" s="317" t="str">
        <f>GLOBAL_DER_FEV_2023!S372</f>
        <v/>
      </c>
      <c r="W372" s="582">
        <v>0</v>
      </c>
      <c r="X372" s="580"/>
      <c r="Y372" s="583">
        <f>IF(GLOBAL_DER_FEV_2023!W372=0,0,IF(GLOBAL_DER_FEV_2023!W372&gt;0,"c","b"))</f>
        <v>0</v>
      </c>
    </row>
    <row r="373" spans="1:25" ht="13.5" hidden="1" thickBot="1" x14ac:dyDescent="0.25">
      <c r="A373" s="317" t="s">
        <v>147</v>
      </c>
      <c r="B373" s="895" t="s">
        <v>147</v>
      </c>
      <c r="C373" s="896"/>
      <c r="D373" s="957" t="s">
        <v>229</v>
      </c>
      <c r="E373" s="907">
        <f>GLOBAL_DER_FEV_2023!E373</f>
        <v>150</v>
      </c>
      <c r="F373" s="908">
        <f>GLOBAL_DER_FEV_2023!F373</f>
        <v>0.1007</v>
      </c>
      <c r="G373" s="949">
        <f>GLOBAL_DER_FEV_2023!G373</f>
        <v>16.432226</v>
      </c>
      <c r="H373" s="901">
        <f>GLOBAL_DER_FEV_2023!H373</f>
        <v>0</v>
      </c>
      <c r="I373" s="901">
        <f>GLOBAL_DER_FEV_2023!I373</f>
        <v>0</v>
      </c>
      <c r="J373" s="902">
        <f>GLOBAL_DER_FEV_2023!J373</f>
        <v>0</v>
      </c>
      <c r="K373" s="958" t="s">
        <v>507</v>
      </c>
      <c r="L373" s="1003"/>
      <c r="M373" s="1157">
        <f t="shared" si="27"/>
        <v>0</v>
      </c>
      <c r="N373" s="893">
        <f t="shared" si="31"/>
        <v>0</v>
      </c>
      <c r="O373" s="905"/>
      <c r="P373" s="58" t="str">
        <f>IF(N372&gt;0,"xx",IF(N372&gt;0,"xy",""))</f>
        <v/>
      </c>
      <c r="Q373" s="317" t="str">
        <f t="shared" si="28"/>
        <v/>
      </c>
      <c r="R373" s="317" t="str">
        <f t="shared" si="29"/>
        <v/>
      </c>
      <c r="S373" s="317" t="str">
        <f t="shared" si="30"/>
        <v/>
      </c>
      <c r="T373" s="317" t="str">
        <f>GLOBAL_DER_FEV_2023!S373</f>
        <v/>
      </c>
      <c r="W373" s="582">
        <v>0</v>
      </c>
      <c r="X373" s="580"/>
      <c r="Y373" s="583">
        <f>IF(GLOBAL_DER_FEV_2023!W373=0,0,IF(GLOBAL_DER_FEV_2023!W373&gt;0,"c","b"))</f>
        <v>0</v>
      </c>
    </row>
    <row r="374" spans="1:25" ht="13.5" hidden="1" thickBot="1" x14ac:dyDescent="0.25">
      <c r="A374" s="317" t="s">
        <v>147</v>
      </c>
      <c r="B374" s="895" t="s">
        <v>147</v>
      </c>
      <c r="C374" s="896"/>
      <c r="D374" s="957" t="s">
        <v>230</v>
      </c>
      <c r="E374" s="907">
        <f>GLOBAL_DER_FEV_2023!E374</f>
        <v>353</v>
      </c>
      <c r="F374" s="908">
        <f>GLOBAL_DER_FEV_2023!F374</f>
        <v>1.52E-2</v>
      </c>
      <c r="G374" s="909">
        <f>GLOBAL_DER_FEV_2023!G374</f>
        <v>4.3040320000000003</v>
      </c>
      <c r="H374" s="901">
        <f>GLOBAL_DER_FEV_2023!H374</f>
        <v>0</v>
      </c>
      <c r="I374" s="901">
        <f>GLOBAL_DER_FEV_2023!I374</f>
        <v>0</v>
      </c>
      <c r="J374" s="902">
        <f>GLOBAL_DER_FEV_2023!J374</f>
        <v>0</v>
      </c>
      <c r="K374" s="958" t="s">
        <v>507</v>
      </c>
      <c r="L374" s="1003"/>
      <c r="M374" s="1157">
        <f t="shared" si="27"/>
        <v>0</v>
      </c>
      <c r="N374" s="893">
        <f t="shared" si="31"/>
        <v>0</v>
      </c>
      <c r="O374" s="905"/>
      <c r="P374" s="58" t="str">
        <f>IF(N372&gt;0,"xx",IF(N372&gt;0,"xy",""))</f>
        <v/>
      </c>
      <c r="Q374" s="317" t="str">
        <f t="shared" si="28"/>
        <v/>
      </c>
      <c r="R374" s="317" t="str">
        <f t="shared" si="29"/>
        <v/>
      </c>
      <c r="S374" s="317" t="str">
        <f t="shared" si="30"/>
        <v/>
      </c>
      <c r="T374" s="317" t="str">
        <f>GLOBAL_DER_FEV_2023!S374</f>
        <v/>
      </c>
      <c r="W374" s="582">
        <v>0</v>
      </c>
      <c r="X374" s="580"/>
      <c r="Y374" s="583">
        <f>IF(GLOBAL_DER_FEV_2023!W374=0,0,IF(GLOBAL_DER_FEV_2023!W374&gt;0,"c","b"))</f>
        <v>0</v>
      </c>
    </row>
    <row r="375" spans="1:25" ht="13.5" hidden="1" thickBot="1" x14ac:dyDescent="0.25">
      <c r="A375" s="317" t="s">
        <v>147</v>
      </c>
      <c r="B375" s="895" t="s">
        <v>147</v>
      </c>
      <c r="C375" s="896"/>
      <c r="D375" s="957" t="s">
        <v>243</v>
      </c>
      <c r="E375" s="907">
        <f>GLOBAL_DER_FEV_2023!E375</f>
        <v>0.2</v>
      </c>
      <c r="F375" s="908">
        <f>GLOBAL_DER_FEV_2023!F375</f>
        <v>0.83409999999999995</v>
      </c>
      <c r="G375" s="949">
        <f>GLOBAL_DER_FEV_2023!G375</f>
        <v>2.4138853999999998</v>
      </c>
      <c r="H375" s="901">
        <f>GLOBAL_DER_FEV_2023!H375</f>
        <v>0</v>
      </c>
      <c r="I375" s="901">
        <f>GLOBAL_DER_FEV_2023!I375</f>
        <v>0</v>
      </c>
      <c r="J375" s="902">
        <f>GLOBAL_DER_FEV_2023!J375</f>
        <v>0</v>
      </c>
      <c r="K375" s="958" t="s">
        <v>507</v>
      </c>
      <c r="L375" s="1003"/>
      <c r="M375" s="1157">
        <f t="shared" si="27"/>
        <v>0</v>
      </c>
      <c r="N375" s="893">
        <f t="shared" si="31"/>
        <v>0</v>
      </c>
      <c r="O375" s="905"/>
      <c r="P375" s="58" t="str">
        <f>IF(N372&gt;0,"xx",IF(N372&gt;0,"xy",""))</f>
        <v/>
      </c>
      <c r="Q375" s="317" t="str">
        <f t="shared" si="28"/>
        <v/>
      </c>
      <c r="R375" s="317" t="str">
        <f t="shared" si="29"/>
        <v/>
      </c>
      <c r="S375" s="317" t="str">
        <f t="shared" si="30"/>
        <v/>
      </c>
      <c r="T375" s="317" t="str">
        <f>GLOBAL_DER_FEV_2023!S375</f>
        <v/>
      </c>
      <c r="W375" s="582">
        <v>0</v>
      </c>
      <c r="X375" s="580"/>
      <c r="Y375" s="583">
        <f>IF(GLOBAL_DER_FEV_2023!W375=0,0,IF(GLOBAL_DER_FEV_2023!W375&gt;0,"c","b"))</f>
        <v>0</v>
      </c>
    </row>
    <row r="376" spans="1:25" ht="13.5" hidden="1" thickBot="1" x14ac:dyDescent="0.25">
      <c r="A376" s="317" t="s">
        <v>147</v>
      </c>
      <c r="B376" s="895" t="s">
        <v>147</v>
      </c>
      <c r="C376" s="896"/>
      <c r="D376" s="957" t="s">
        <v>244</v>
      </c>
      <c r="E376" s="907">
        <f>GLOBAL_DER_FEV_2023!E376</f>
        <v>22</v>
      </c>
      <c r="F376" s="908">
        <f>GLOBAL_DER_FEV_2023!F376</f>
        <v>1</v>
      </c>
      <c r="G376" s="912">
        <f>GLOBAL_DER_FEV_2023!G376</f>
        <v>29.990000000000002</v>
      </c>
      <c r="H376" s="901">
        <f>GLOBAL_DER_FEV_2023!H376</f>
        <v>0</v>
      </c>
      <c r="I376" s="901">
        <f>GLOBAL_DER_FEV_2023!I376</f>
        <v>0</v>
      </c>
      <c r="J376" s="902">
        <f>GLOBAL_DER_FEV_2023!J376</f>
        <v>0</v>
      </c>
      <c r="K376" s="958" t="s">
        <v>507</v>
      </c>
      <c r="L376" s="1003"/>
      <c r="M376" s="1157">
        <f t="shared" si="27"/>
        <v>0</v>
      </c>
      <c r="N376" s="893">
        <f t="shared" si="31"/>
        <v>0</v>
      </c>
      <c r="O376" s="905"/>
      <c r="P376" s="58" t="str">
        <f>IF(N372&gt;0,"xx",IF(N372&gt;0,"xy",""))</f>
        <v/>
      </c>
      <c r="Q376" s="317" t="str">
        <f t="shared" si="28"/>
        <v/>
      </c>
      <c r="R376" s="317" t="str">
        <f t="shared" si="29"/>
        <v/>
      </c>
      <c r="S376" s="317" t="str">
        <f t="shared" si="30"/>
        <v/>
      </c>
      <c r="T376" s="317" t="str">
        <f>GLOBAL_DER_FEV_2023!S376</f>
        <v/>
      </c>
      <c r="W376" s="582">
        <v>0</v>
      </c>
      <c r="X376" s="580"/>
      <c r="Y376" s="583">
        <f>IF(GLOBAL_DER_FEV_2023!W376=0,0,IF(GLOBAL_DER_FEV_2023!W376&gt;0,"c","b"))</f>
        <v>0</v>
      </c>
    </row>
    <row r="377" spans="1:25" ht="13.5" hidden="1" thickBot="1" x14ac:dyDescent="0.25">
      <c r="A377" s="317">
        <v>589000</v>
      </c>
      <c r="B377" s="1004" t="s">
        <v>712</v>
      </c>
      <c r="C377" s="984" t="s">
        <v>213</v>
      </c>
      <c r="D377" s="1012" t="s">
        <v>2172</v>
      </c>
      <c r="E377" s="1005">
        <f>GLOBAL_DER_FEV_2023!E377</f>
        <v>45</v>
      </c>
      <c r="F377" s="1006">
        <f>GLOBAL_DER_FEV_2023!F377</f>
        <v>1</v>
      </c>
      <c r="G377" s="949">
        <f>GLOBAL_DER_FEV_2023!G377</f>
        <v>88.36</v>
      </c>
      <c r="H377" s="988">
        <f>GLOBAL_DER_FEV_2023!H377</f>
        <v>4828.8599999999997</v>
      </c>
      <c r="I377" s="988">
        <f>GLOBAL_DER_FEV_2023!I377</f>
        <v>4724.580378112767</v>
      </c>
      <c r="J377" s="989">
        <f>GLOBAL_DER_FEV_2023!J377</f>
        <v>5672.8</v>
      </c>
      <c r="K377" s="990" t="s">
        <v>14</v>
      </c>
      <c r="L377" s="1154">
        <f>ROUND(L372*$F372,2)</f>
        <v>0</v>
      </c>
      <c r="M377" s="1159">
        <f t="shared" si="27"/>
        <v>0</v>
      </c>
      <c r="N377" s="993">
        <f t="shared" si="31"/>
        <v>0</v>
      </c>
      <c r="O377" s="905"/>
      <c r="P377" s="58" t="str">
        <f>IF(N372&gt;0,"xx",IF(N372&gt;0,"xy",""))</f>
        <v/>
      </c>
      <c r="Q377" s="317" t="str">
        <f t="shared" si="28"/>
        <v/>
      </c>
      <c r="R377" s="317" t="str">
        <f t="shared" si="29"/>
        <v/>
      </c>
      <c r="S377" s="317" t="str">
        <f t="shared" si="30"/>
        <v/>
      </c>
      <c r="T377" s="317" t="str">
        <f>GLOBAL_DER_FEV_2023!S377</f>
        <v/>
      </c>
      <c r="W377" s="582">
        <v>0</v>
      </c>
      <c r="X377" s="580"/>
      <c r="Y377" s="583">
        <f>IF(GLOBAL_DER_FEV_2023!W377=0,0,IF(GLOBAL_DER_FEV_2023!W377&gt;0,"c","b"))</f>
        <v>0</v>
      </c>
    </row>
    <row r="378" spans="1:25" ht="13.5" hidden="1" thickBot="1" x14ac:dyDescent="0.25">
      <c r="A378" s="317">
        <v>570200</v>
      </c>
      <c r="B378" s="999">
        <v>570200</v>
      </c>
      <c r="C378" s="1000" t="s">
        <v>184</v>
      </c>
      <c r="D378" s="1019" t="s">
        <v>2220</v>
      </c>
      <c r="E378" s="974" t="str">
        <f>GLOBAL_DER_FEV_2023!E378</f>
        <v>taxa CAP</v>
      </c>
      <c r="F378" s="975">
        <f>GLOBAL_DER_FEV_2023!F378</f>
        <v>4.4999999999999998E-2</v>
      </c>
      <c r="G378" s="976">
        <f>GLOBAL_DER_FEV_2023!G378</f>
        <v>35.158060000000006</v>
      </c>
      <c r="H378" s="977">
        <f>GLOBAL_DER_FEV_2023!H378</f>
        <v>181.43</v>
      </c>
      <c r="I378" s="977">
        <f>GLOBAL_DER_FEV_2023!I378</f>
        <v>216.58806000000001</v>
      </c>
      <c r="J378" s="978">
        <f>GLOBAL_DER_FEV_2023!J378</f>
        <v>260.06</v>
      </c>
      <c r="K378" s="979" t="s">
        <v>14</v>
      </c>
      <c r="L378" s="1152"/>
      <c r="M378" s="1153">
        <f t="shared" si="27"/>
        <v>0</v>
      </c>
      <c r="N378" s="982">
        <f t="shared" si="31"/>
        <v>0</v>
      </c>
      <c r="O378" s="905"/>
      <c r="Q378" s="317" t="str">
        <f t="shared" si="28"/>
        <v/>
      </c>
      <c r="R378" s="317" t="str">
        <f t="shared" si="29"/>
        <v/>
      </c>
      <c r="S378" s="317" t="str">
        <f t="shared" si="30"/>
        <v/>
      </c>
      <c r="T378" s="317" t="str">
        <f>GLOBAL_DER_FEV_2023!S378</f>
        <v/>
      </c>
      <c r="W378" s="582">
        <v>0</v>
      </c>
      <c r="X378" s="580"/>
      <c r="Y378" s="583">
        <f>IF(GLOBAL_DER_FEV_2023!W378=0,0,IF(GLOBAL_DER_FEV_2023!W378&gt;0,"c","b"))</f>
        <v>0</v>
      </c>
    </row>
    <row r="379" spans="1:25" ht="13.5" hidden="1" thickBot="1" x14ac:dyDescent="0.25">
      <c r="A379" s="317" t="s">
        <v>147</v>
      </c>
      <c r="B379" s="895" t="s">
        <v>147</v>
      </c>
      <c r="C379" s="896"/>
      <c r="D379" s="957" t="s">
        <v>229</v>
      </c>
      <c r="E379" s="907">
        <f>GLOBAL_DER_FEV_2023!E379</f>
        <v>150</v>
      </c>
      <c r="F379" s="908">
        <f>GLOBAL_DER_FEV_2023!F379</f>
        <v>1.4999999999999999E-2</v>
      </c>
      <c r="G379" s="949">
        <f>GLOBAL_DER_FEV_2023!G379</f>
        <v>2.4477000000000002</v>
      </c>
      <c r="H379" s="901">
        <f>GLOBAL_DER_FEV_2023!H379</f>
        <v>0</v>
      </c>
      <c r="I379" s="901">
        <f>GLOBAL_DER_FEV_2023!I379</f>
        <v>0</v>
      </c>
      <c r="J379" s="902">
        <f>GLOBAL_DER_FEV_2023!J379</f>
        <v>0</v>
      </c>
      <c r="K379" s="958" t="s">
        <v>507</v>
      </c>
      <c r="L379" s="1003"/>
      <c r="M379" s="1157">
        <f t="shared" si="27"/>
        <v>0</v>
      </c>
      <c r="N379" s="893">
        <f t="shared" si="31"/>
        <v>0</v>
      </c>
      <c r="O379" s="905"/>
      <c r="P379" s="58" t="str">
        <f>IF(N378&gt;0,"xx",IF(N378&gt;0,"xy",""))</f>
        <v/>
      </c>
      <c r="Q379" s="317" t="str">
        <f t="shared" si="28"/>
        <v/>
      </c>
      <c r="R379" s="317" t="str">
        <f t="shared" si="29"/>
        <v/>
      </c>
      <c r="S379" s="317" t="str">
        <f t="shared" si="30"/>
        <v/>
      </c>
      <c r="T379" s="317" t="str">
        <f>GLOBAL_DER_FEV_2023!S379</f>
        <v/>
      </c>
      <c r="W379" s="582">
        <v>0</v>
      </c>
      <c r="X379" s="580"/>
      <c r="Y379" s="583">
        <f>IF(GLOBAL_DER_FEV_2023!W379=0,0,IF(GLOBAL_DER_FEV_2023!W379&gt;0,"c","b"))</f>
        <v>0</v>
      </c>
    </row>
    <row r="380" spans="1:25" ht="13.5" hidden="1" thickBot="1" x14ac:dyDescent="0.25">
      <c r="A380" s="317" t="s">
        <v>147</v>
      </c>
      <c r="B380" s="895" t="s">
        <v>147</v>
      </c>
      <c r="C380" s="896"/>
      <c r="D380" s="957" t="s">
        <v>230</v>
      </c>
      <c r="E380" s="907">
        <f>GLOBAL_DER_FEV_2023!E380</f>
        <v>353</v>
      </c>
      <c r="F380" s="908">
        <f>GLOBAL_DER_FEV_2023!F380</f>
        <v>0</v>
      </c>
      <c r="G380" s="909">
        <f>GLOBAL_DER_FEV_2023!G380</f>
        <v>0</v>
      </c>
      <c r="H380" s="901">
        <f>GLOBAL_DER_FEV_2023!H380</f>
        <v>0</v>
      </c>
      <c r="I380" s="901">
        <f>GLOBAL_DER_FEV_2023!I380</f>
        <v>0</v>
      </c>
      <c r="J380" s="902">
        <f>GLOBAL_DER_FEV_2023!J380</f>
        <v>0</v>
      </c>
      <c r="K380" s="958" t="s">
        <v>507</v>
      </c>
      <c r="L380" s="1003"/>
      <c r="M380" s="1157">
        <f t="shared" si="27"/>
        <v>0</v>
      </c>
      <c r="N380" s="893">
        <f t="shared" si="31"/>
        <v>0</v>
      </c>
      <c r="O380" s="905"/>
      <c r="P380" s="58" t="str">
        <f>IF(N378&gt;0,"xx",IF(N378&gt;0,"xy",""))</f>
        <v/>
      </c>
      <c r="Q380" s="317" t="str">
        <f t="shared" si="28"/>
        <v/>
      </c>
      <c r="R380" s="317" t="str">
        <f t="shared" si="29"/>
        <v/>
      </c>
      <c r="S380" s="317" t="str">
        <f t="shared" si="30"/>
        <v/>
      </c>
      <c r="T380" s="317" t="str">
        <f>GLOBAL_DER_FEV_2023!S380</f>
        <v/>
      </c>
      <c r="W380" s="582">
        <v>0</v>
      </c>
      <c r="X380" s="580"/>
      <c r="Y380" s="583">
        <f>IF(GLOBAL_DER_FEV_2023!W380=0,0,IF(GLOBAL_DER_FEV_2023!W380&gt;0,"c","b"))</f>
        <v>0</v>
      </c>
    </row>
    <row r="381" spans="1:25" ht="13.5" hidden="1" thickBot="1" x14ac:dyDescent="0.25">
      <c r="A381" s="317" t="s">
        <v>147</v>
      </c>
      <c r="B381" s="895" t="s">
        <v>147</v>
      </c>
      <c r="C381" s="896"/>
      <c r="D381" s="957" t="s">
        <v>243</v>
      </c>
      <c r="E381" s="907">
        <f>GLOBAL_DER_FEV_2023!E381</f>
        <v>0.2</v>
      </c>
      <c r="F381" s="908">
        <f>GLOBAL_DER_FEV_2023!F381</f>
        <v>0.94</v>
      </c>
      <c r="G381" s="949">
        <f>GLOBAL_DER_FEV_2023!G381</f>
        <v>2.7203599999999999</v>
      </c>
      <c r="H381" s="901">
        <f>GLOBAL_DER_FEV_2023!H381</f>
        <v>0</v>
      </c>
      <c r="I381" s="901">
        <f>GLOBAL_DER_FEV_2023!I381</f>
        <v>0</v>
      </c>
      <c r="J381" s="902">
        <f>GLOBAL_DER_FEV_2023!J381</f>
        <v>0</v>
      </c>
      <c r="K381" s="958" t="s">
        <v>507</v>
      </c>
      <c r="L381" s="1003"/>
      <c r="M381" s="1157">
        <f t="shared" si="27"/>
        <v>0</v>
      </c>
      <c r="N381" s="893">
        <f t="shared" si="31"/>
        <v>0</v>
      </c>
      <c r="O381" s="905"/>
      <c r="P381" s="58" t="str">
        <f>IF(N378&gt;0,"xx",IF(N378&gt;0,"xy",""))</f>
        <v/>
      </c>
      <c r="Q381" s="317" t="str">
        <f t="shared" si="28"/>
        <v/>
      </c>
      <c r="R381" s="317" t="str">
        <f t="shared" si="29"/>
        <v/>
      </c>
      <c r="S381" s="317" t="str">
        <f t="shared" si="30"/>
        <v/>
      </c>
      <c r="T381" s="317" t="str">
        <f>GLOBAL_DER_FEV_2023!S381</f>
        <v/>
      </c>
      <c r="W381" s="582">
        <v>0</v>
      </c>
      <c r="X381" s="580"/>
      <c r="Y381" s="583">
        <f>IF(GLOBAL_DER_FEV_2023!W381=0,0,IF(GLOBAL_DER_FEV_2023!W381&gt;0,"c","b"))</f>
        <v>0</v>
      </c>
    </row>
    <row r="382" spans="1:25" ht="13.5" hidden="1" thickBot="1" x14ac:dyDescent="0.25">
      <c r="A382" s="317" t="s">
        <v>147</v>
      </c>
      <c r="B382" s="895" t="s">
        <v>147</v>
      </c>
      <c r="C382" s="896"/>
      <c r="D382" s="957" t="s">
        <v>244</v>
      </c>
      <c r="E382" s="907">
        <f>GLOBAL_DER_FEV_2023!E382</f>
        <v>22</v>
      </c>
      <c r="F382" s="908">
        <f>GLOBAL_DER_FEV_2023!F382</f>
        <v>1</v>
      </c>
      <c r="G382" s="912">
        <f>GLOBAL_DER_FEV_2023!G382</f>
        <v>29.990000000000002</v>
      </c>
      <c r="H382" s="901">
        <f>GLOBAL_DER_FEV_2023!H382</f>
        <v>0</v>
      </c>
      <c r="I382" s="901">
        <f>GLOBAL_DER_FEV_2023!I382</f>
        <v>0</v>
      </c>
      <c r="J382" s="902">
        <f>GLOBAL_DER_FEV_2023!J382</f>
        <v>0</v>
      </c>
      <c r="K382" s="958" t="s">
        <v>507</v>
      </c>
      <c r="L382" s="1003"/>
      <c r="M382" s="1157">
        <f t="shared" si="27"/>
        <v>0</v>
      </c>
      <c r="N382" s="893">
        <f t="shared" si="31"/>
        <v>0</v>
      </c>
      <c r="O382" s="905"/>
      <c r="P382" s="58" t="str">
        <f>IF(N378&gt;0,"xx",IF(N378&gt;0,"xy",""))</f>
        <v/>
      </c>
      <c r="Q382" s="317" t="str">
        <f t="shared" si="28"/>
        <v/>
      </c>
      <c r="R382" s="317" t="str">
        <f t="shared" si="29"/>
        <v/>
      </c>
      <c r="S382" s="317" t="str">
        <f t="shared" si="30"/>
        <v/>
      </c>
      <c r="T382" s="317" t="str">
        <f>GLOBAL_DER_FEV_2023!S382</f>
        <v/>
      </c>
      <c r="W382" s="582">
        <v>0</v>
      </c>
      <c r="X382" s="580"/>
      <c r="Y382" s="583">
        <f>IF(GLOBAL_DER_FEV_2023!W382=0,0,IF(GLOBAL_DER_FEV_2023!W382&gt;0,"c","b"))</f>
        <v>0</v>
      </c>
    </row>
    <row r="383" spans="1:25" ht="13.5" hidden="1" thickBot="1" x14ac:dyDescent="0.25">
      <c r="A383" s="317">
        <v>589000</v>
      </c>
      <c r="B383" s="1004" t="s">
        <v>713</v>
      </c>
      <c r="C383" s="984" t="s">
        <v>213</v>
      </c>
      <c r="D383" s="1012" t="s">
        <v>2172</v>
      </c>
      <c r="E383" s="1005">
        <f>GLOBAL_DER_FEV_2023!E383</f>
        <v>45</v>
      </c>
      <c r="F383" s="1006">
        <f>GLOBAL_DER_FEV_2023!F383</f>
        <v>1</v>
      </c>
      <c r="G383" s="949">
        <f>GLOBAL_DER_FEV_2023!G383</f>
        <v>88.36</v>
      </c>
      <c r="H383" s="988">
        <f>GLOBAL_DER_FEV_2023!H383</f>
        <v>4828.8599999999997</v>
      </c>
      <c r="I383" s="988">
        <f>GLOBAL_DER_FEV_2023!I383</f>
        <v>4724.580378112767</v>
      </c>
      <c r="J383" s="989">
        <f>GLOBAL_DER_FEV_2023!J383</f>
        <v>5672.8</v>
      </c>
      <c r="K383" s="990" t="s">
        <v>14</v>
      </c>
      <c r="L383" s="1154">
        <f>ROUND(L378*$F378,2)</f>
        <v>0</v>
      </c>
      <c r="M383" s="1159">
        <f t="shared" si="27"/>
        <v>0</v>
      </c>
      <c r="N383" s="993">
        <f t="shared" si="31"/>
        <v>0</v>
      </c>
      <c r="O383" s="905"/>
      <c r="P383" s="58" t="str">
        <f>IF(N378&gt;0,"xx",IF(N378&gt;0,"xy",""))</f>
        <v/>
      </c>
      <c r="Q383" s="317" t="str">
        <f t="shared" si="28"/>
        <v/>
      </c>
      <c r="R383" s="317" t="str">
        <f t="shared" si="29"/>
        <v/>
      </c>
      <c r="S383" s="317" t="str">
        <f t="shared" si="30"/>
        <v/>
      </c>
      <c r="T383" s="317" t="str">
        <f>GLOBAL_DER_FEV_2023!S383</f>
        <v/>
      </c>
      <c r="W383" s="582">
        <v>0</v>
      </c>
      <c r="X383" s="580"/>
      <c r="Y383" s="583">
        <f>IF(GLOBAL_DER_FEV_2023!W383=0,0,IF(GLOBAL_DER_FEV_2023!W383&gt;0,"c","b"))</f>
        <v>0</v>
      </c>
    </row>
    <row r="384" spans="1:25" ht="13.5" hidden="1" thickBot="1" x14ac:dyDescent="0.25">
      <c r="A384" s="317">
        <v>570200</v>
      </c>
      <c r="B384" s="999">
        <f>GLOBAL_DER_FEV_2023!B384</f>
        <v>570200</v>
      </c>
      <c r="C384" s="1000" t="str">
        <f>GLOBAL_DER_FEV_2023!C384</f>
        <v>DER</v>
      </c>
      <c r="D384" s="1024" t="str">
        <f>GLOBAL_DER_FEV_2023!D384</f>
        <v>CBUQ - Novos Traços - BINDER 2 - novo traço (Quantidade menor que 10.000 ton)</v>
      </c>
      <c r="E384" s="974" t="str">
        <f>GLOBAL_DER_FEV_2023!E384</f>
        <v>taxa CAP</v>
      </c>
      <c r="F384" s="1022">
        <f>GLOBAL_DER_FEV_2023!F384</f>
        <v>4.3999999999999997E-2</v>
      </c>
      <c r="G384" s="976">
        <f>GLOBAL_DER_FEV_2023!G384</f>
        <v>35.0487538</v>
      </c>
      <c r="H384" s="977">
        <f>GLOBAL_DER_FEV_2023!H384</f>
        <v>181.43</v>
      </c>
      <c r="I384" s="977">
        <f>GLOBAL_DER_FEV_2023!I384</f>
        <v>216.47875379999999</v>
      </c>
      <c r="J384" s="978">
        <f>GLOBAL_DER_FEV_2023!J384</f>
        <v>259.93</v>
      </c>
      <c r="K384" s="979" t="s">
        <v>14</v>
      </c>
      <c r="L384" s="1152"/>
      <c r="M384" s="1153">
        <f t="shared" si="27"/>
        <v>0</v>
      </c>
      <c r="N384" s="982">
        <f t="shared" si="31"/>
        <v>0</v>
      </c>
      <c r="O384" s="905"/>
      <c r="Q384" s="317" t="str">
        <f t="shared" si="28"/>
        <v/>
      </c>
      <c r="R384" s="317" t="str">
        <f t="shared" si="29"/>
        <v/>
      </c>
      <c r="S384" s="317" t="str">
        <f t="shared" si="30"/>
        <v/>
      </c>
      <c r="T384" s="317" t="str">
        <f>GLOBAL_DER_FEV_2023!S384</f>
        <v/>
      </c>
      <c r="W384" s="582">
        <v>0</v>
      </c>
      <c r="X384" s="580"/>
      <c r="Y384" s="583">
        <f>IF(GLOBAL_DER_FEV_2023!W384=0,0,IF(GLOBAL_DER_FEV_2023!W384&gt;0,"c","b"))</f>
        <v>0</v>
      </c>
    </row>
    <row r="385" spans="1:25" ht="13.5" hidden="1" thickBot="1" x14ac:dyDescent="0.25">
      <c r="A385" s="317" t="s">
        <v>147</v>
      </c>
      <c r="B385" s="895" t="str">
        <f>GLOBAL_DER_FEV_2023!B385</f>
        <v>transporte</v>
      </c>
      <c r="C385" s="896">
        <f>GLOBAL_DER_FEV_2023!C385</f>
        <v>0</v>
      </c>
      <c r="D385" s="957" t="str">
        <f>GLOBAL_DER_FEV_2023!D385</f>
        <v>Areia</v>
      </c>
      <c r="E385" s="907">
        <f>GLOBAL_DER_FEV_2023!E385</f>
        <v>150</v>
      </c>
      <c r="F385" s="1287">
        <f>GLOBAL_DER_FEV_2023!F385</f>
        <v>1.43E-2</v>
      </c>
      <c r="G385" s="949">
        <f>GLOBAL_DER_FEV_2023!G385</f>
        <v>2.3334740000000003</v>
      </c>
      <c r="H385" s="901">
        <f>GLOBAL_DER_FEV_2023!H385</f>
        <v>0</v>
      </c>
      <c r="I385" s="901">
        <f>GLOBAL_DER_FEV_2023!I385</f>
        <v>0</v>
      </c>
      <c r="J385" s="902">
        <f>GLOBAL_DER_FEV_2023!J385</f>
        <v>0</v>
      </c>
      <c r="K385" s="958" t="s">
        <v>507</v>
      </c>
      <c r="L385" s="1003"/>
      <c r="M385" s="1157">
        <f t="shared" si="27"/>
        <v>0</v>
      </c>
      <c r="N385" s="893">
        <f t="shared" si="31"/>
        <v>0</v>
      </c>
      <c r="O385" s="905"/>
      <c r="P385" s="58" t="str">
        <f>IF(N384&gt;0,"xx",IF(N384&gt;0,"xy",""))</f>
        <v/>
      </c>
      <c r="Q385" s="317" t="str">
        <f t="shared" si="28"/>
        <v/>
      </c>
      <c r="R385" s="317" t="str">
        <f t="shared" si="29"/>
        <v/>
      </c>
      <c r="S385" s="317" t="str">
        <f t="shared" si="30"/>
        <v/>
      </c>
      <c r="T385" s="317" t="str">
        <f>GLOBAL_DER_FEV_2023!S385</f>
        <v/>
      </c>
      <c r="W385" s="582">
        <v>0</v>
      </c>
      <c r="X385" s="580"/>
      <c r="Y385" s="583">
        <f>IF(GLOBAL_DER_FEV_2023!W385=0,0,IF(GLOBAL_DER_FEV_2023!W385&gt;0,"c","b"))</f>
        <v>0</v>
      </c>
    </row>
    <row r="386" spans="1:25" ht="13.5" hidden="1" thickBot="1" x14ac:dyDescent="0.25">
      <c r="A386" s="317" t="s">
        <v>147</v>
      </c>
      <c r="B386" s="895" t="str">
        <f>GLOBAL_DER_FEV_2023!B386</f>
        <v>transporte</v>
      </c>
      <c r="C386" s="896">
        <f>GLOBAL_DER_FEV_2023!C386</f>
        <v>0</v>
      </c>
      <c r="D386" s="957" t="str">
        <f>GLOBAL_DER_FEV_2023!D386</f>
        <v>Cal Hidratada CH-1</v>
      </c>
      <c r="E386" s="907">
        <f>GLOBAL_DER_FEV_2023!E386</f>
        <v>353</v>
      </c>
      <c r="F386" s="1287">
        <f>GLOBAL_DER_FEV_2023!F386</f>
        <v>0</v>
      </c>
      <c r="G386" s="909">
        <f>GLOBAL_DER_FEV_2023!G386</f>
        <v>0</v>
      </c>
      <c r="H386" s="901">
        <f>GLOBAL_DER_FEV_2023!H386</f>
        <v>0</v>
      </c>
      <c r="I386" s="901">
        <f>GLOBAL_DER_FEV_2023!I386</f>
        <v>0</v>
      </c>
      <c r="J386" s="902">
        <f>GLOBAL_DER_FEV_2023!J386</f>
        <v>0</v>
      </c>
      <c r="K386" s="958" t="s">
        <v>507</v>
      </c>
      <c r="L386" s="1003"/>
      <c r="M386" s="1157">
        <f t="shared" si="27"/>
        <v>0</v>
      </c>
      <c r="N386" s="893">
        <f t="shared" si="31"/>
        <v>0</v>
      </c>
      <c r="O386" s="905"/>
      <c r="P386" s="58" t="str">
        <f>IF(N384&gt;0,"xx",IF(N384&gt;0,"xy",""))</f>
        <v/>
      </c>
      <c r="Q386" s="317" t="str">
        <f t="shared" si="28"/>
        <v/>
      </c>
      <c r="R386" s="317" t="str">
        <f t="shared" si="29"/>
        <v/>
      </c>
      <c r="S386" s="317" t="str">
        <f t="shared" si="30"/>
        <v/>
      </c>
      <c r="T386" s="317" t="str">
        <f>GLOBAL_DER_FEV_2023!S386</f>
        <v/>
      </c>
      <c r="W386" s="582">
        <v>0</v>
      </c>
      <c r="X386" s="580"/>
      <c r="Y386" s="583">
        <f>IF(GLOBAL_DER_FEV_2023!W386=0,0,IF(GLOBAL_DER_FEV_2023!W386&gt;0,"c","b"))</f>
        <v>0</v>
      </c>
    </row>
    <row r="387" spans="1:25" ht="13.5" hidden="1" thickBot="1" x14ac:dyDescent="0.25">
      <c r="A387" s="317" t="s">
        <v>147</v>
      </c>
      <c r="B387" s="895" t="str">
        <f>GLOBAL_DER_FEV_2023!B387</f>
        <v>transporte</v>
      </c>
      <c r="C387" s="896">
        <f>GLOBAL_DER_FEV_2023!C387</f>
        <v>0</v>
      </c>
      <c r="D387" s="957" t="str">
        <f>GLOBAL_DER_FEV_2023!D387</f>
        <v>Brita ( usina )</v>
      </c>
      <c r="E387" s="907">
        <f>GLOBAL_DER_FEV_2023!E387</f>
        <v>0.2</v>
      </c>
      <c r="F387" s="1287">
        <f>GLOBAL_DER_FEV_2023!F387</f>
        <v>0.94169999999999998</v>
      </c>
      <c r="G387" s="949">
        <f>GLOBAL_DER_FEV_2023!G387</f>
        <v>2.7252798</v>
      </c>
      <c r="H387" s="901">
        <f>GLOBAL_DER_FEV_2023!H387</f>
        <v>0</v>
      </c>
      <c r="I387" s="901">
        <f>GLOBAL_DER_FEV_2023!I387</f>
        <v>0</v>
      </c>
      <c r="J387" s="902">
        <f>GLOBAL_DER_FEV_2023!J387</f>
        <v>0</v>
      </c>
      <c r="K387" s="958" t="s">
        <v>507</v>
      </c>
      <c r="L387" s="1003"/>
      <c r="M387" s="1157">
        <f t="shared" si="27"/>
        <v>0</v>
      </c>
      <c r="N387" s="893">
        <f t="shared" si="31"/>
        <v>0</v>
      </c>
      <c r="O387" s="905"/>
      <c r="P387" s="58" t="str">
        <f>IF(N384&gt;0,"xx",IF(N384&gt;0,"xy",""))</f>
        <v/>
      </c>
      <c r="Q387" s="317" t="str">
        <f t="shared" si="28"/>
        <v/>
      </c>
      <c r="R387" s="317" t="str">
        <f t="shared" si="29"/>
        <v/>
      </c>
      <c r="S387" s="317" t="str">
        <f t="shared" si="30"/>
        <v/>
      </c>
      <c r="T387" s="317" t="str">
        <f>GLOBAL_DER_FEV_2023!S387</f>
        <v/>
      </c>
      <c r="W387" s="582">
        <v>0</v>
      </c>
      <c r="X387" s="580"/>
      <c r="Y387" s="583">
        <f>IF(GLOBAL_DER_FEV_2023!W387=0,0,IF(GLOBAL_DER_FEV_2023!W387&gt;0,"c","b"))</f>
        <v>0</v>
      </c>
    </row>
    <row r="388" spans="1:25" ht="13.5" hidden="1" thickBot="1" x14ac:dyDescent="0.25">
      <c r="A388" s="317" t="s">
        <v>147</v>
      </c>
      <c r="B388" s="895" t="str">
        <f>GLOBAL_DER_FEV_2023!B388</f>
        <v>transporte</v>
      </c>
      <c r="C388" s="896">
        <f>GLOBAL_DER_FEV_2023!C388</f>
        <v>0</v>
      </c>
      <c r="D388" s="957" t="str">
        <f>GLOBAL_DER_FEV_2023!D388</f>
        <v>Massa</v>
      </c>
      <c r="E388" s="907">
        <f>GLOBAL_DER_FEV_2023!E388</f>
        <v>22</v>
      </c>
      <c r="F388" s="1287">
        <f>GLOBAL_DER_FEV_2023!F388</f>
        <v>1</v>
      </c>
      <c r="G388" s="912">
        <f>GLOBAL_DER_FEV_2023!G388</f>
        <v>29.990000000000002</v>
      </c>
      <c r="H388" s="901">
        <f>GLOBAL_DER_FEV_2023!H388</f>
        <v>0</v>
      </c>
      <c r="I388" s="901">
        <f>GLOBAL_DER_FEV_2023!I388</f>
        <v>0</v>
      </c>
      <c r="J388" s="902">
        <f>GLOBAL_DER_FEV_2023!J388</f>
        <v>0</v>
      </c>
      <c r="K388" s="958" t="s">
        <v>507</v>
      </c>
      <c r="L388" s="1003"/>
      <c r="M388" s="1157">
        <f t="shared" si="27"/>
        <v>0</v>
      </c>
      <c r="N388" s="893">
        <f t="shared" si="31"/>
        <v>0</v>
      </c>
      <c r="O388" s="905"/>
      <c r="P388" s="58" t="str">
        <f>IF(N384&gt;0,"xx",IF(N384&gt;0,"xy",""))</f>
        <v/>
      </c>
      <c r="Q388" s="317" t="str">
        <f t="shared" si="28"/>
        <v/>
      </c>
      <c r="R388" s="317" t="str">
        <f t="shared" si="29"/>
        <v/>
      </c>
      <c r="S388" s="317" t="str">
        <f t="shared" si="30"/>
        <v/>
      </c>
      <c r="T388" s="317" t="str">
        <f>GLOBAL_DER_FEV_2023!S388</f>
        <v/>
      </c>
      <c r="W388" s="582">
        <v>0</v>
      </c>
      <c r="X388" s="580"/>
      <c r="Y388" s="583">
        <f>IF(GLOBAL_DER_FEV_2023!W388=0,0,IF(GLOBAL_DER_FEV_2023!W388&gt;0,"c","b"))</f>
        <v>0</v>
      </c>
    </row>
    <row r="389" spans="1:25" ht="13.5" hidden="1" thickBot="1" x14ac:dyDescent="0.25">
      <c r="A389" s="317">
        <v>589000</v>
      </c>
      <c r="B389" s="1004" t="str">
        <f>GLOBAL_DER_FEV_2023!B389</f>
        <v>589000F</v>
      </c>
      <c r="C389" s="984" t="str">
        <f>GLOBAL_DER_FEV_2023!C389</f>
        <v>DER mat</v>
      </c>
      <c r="D389" s="1012" t="str">
        <f>GLOBAL_DER_FEV_2023!D389</f>
        <v>Fornecimento de CAP - CBUQ (Quantidade menor que 10.000 ton)</v>
      </c>
      <c r="E389" s="1005">
        <f>GLOBAL_DER_FEV_2023!E389</f>
        <v>45</v>
      </c>
      <c r="F389" s="1006">
        <f>GLOBAL_DER_FEV_2023!F389</f>
        <v>1</v>
      </c>
      <c r="G389" s="949">
        <f>GLOBAL_DER_FEV_2023!G389</f>
        <v>88.36</v>
      </c>
      <c r="H389" s="988">
        <f>GLOBAL_DER_FEV_2023!H389</f>
        <v>4828.8599999999997</v>
      </c>
      <c r="I389" s="988">
        <f>GLOBAL_DER_FEV_2023!I389</f>
        <v>4724.580378112767</v>
      </c>
      <c r="J389" s="989">
        <f>GLOBAL_DER_FEV_2023!J389</f>
        <v>5672.8</v>
      </c>
      <c r="K389" s="990" t="s">
        <v>14</v>
      </c>
      <c r="L389" s="1154">
        <f>ROUND(L384*$F384,2)</f>
        <v>0</v>
      </c>
      <c r="M389" s="1159">
        <f t="shared" si="27"/>
        <v>0</v>
      </c>
      <c r="N389" s="993">
        <f t="shared" si="31"/>
        <v>0</v>
      </c>
      <c r="O389" s="905"/>
      <c r="P389" s="58" t="str">
        <f>IF(N384&gt;0,"xx",IF(N384&gt;0,"xy",""))</f>
        <v/>
      </c>
      <c r="Q389" s="317" t="str">
        <f t="shared" si="28"/>
        <v/>
      </c>
      <c r="R389" s="317" t="str">
        <f t="shared" si="29"/>
        <v/>
      </c>
      <c r="S389" s="317" t="str">
        <f t="shared" si="30"/>
        <v/>
      </c>
      <c r="T389" s="317" t="str">
        <f>GLOBAL_DER_FEV_2023!S389</f>
        <v/>
      </c>
      <c r="W389" s="582">
        <v>0</v>
      </c>
      <c r="X389" s="580"/>
      <c r="Y389" s="583">
        <f>IF(GLOBAL_DER_FEV_2023!W389=0,0,IF(GLOBAL_DER_FEV_2023!W389&gt;0,"c","b"))</f>
        <v>0</v>
      </c>
    </row>
    <row r="390" spans="1:25" ht="13.5" hidden="1" thickBot="1" x14ac:dyDescent="0.25">
      <c r="A390" s="317">
        <v>570200</v>
      </c>
      <c r="B390" s="999">
        <f>GLOBAL_DER_FEV_2023!B390</f>
        <v>570200</v>
      </c>
      <c r="C390" s="1000" t="str">
        <f>GLOBAL_DER_FEV_2023!C390</f>
        <v>DER</v>
      </c>
      <c r="D390" s="1024" t="str">
        <f>GLOBAL_DER_FEV_2023!D390</f>
        <v>CBUQ -  Novos Traços - BINDER 3 - novo traço (Quantidade menor que 10.000 ton)</v>
      </c>
      <c r="E390" s="974" t="str">
        <f>GLOBAL_DER_FEV_2023!E390</f>
        <v>taxa CAP</v>
      </c>
      <c r="F390" s="1022">
        <f>Novos_Traços_CBUQ!M141</f>
        <v>4.2999999999999997E-2</v>
      </c>
      <c r="G390" s="976">
        <f>GLOBAL_DER_FEV_2023!G390</f>
        <v>35.067676400000003</v>
      </c>
      <c r="H390" s="977">
        <f>GLOBAL_DER_FEV_2023!H390</f>
        <v>181.43</v>
      </c>
      <c r="I390" s="977">
        <f>GLOBAL_DER_FEV_2023!I390</f>
        <v>216.49767640000002</v>
      </c>
      <c r="J390" s="978">
        <f>GLOBAL_DER_FEV_2023!J390</f>
        <v>259.95</v>
      </c>
      <c r="K390" s="979" t="s">
        <v>14</v>
      </c>
      <c r="L390" s="1152"/>
      <c r="M390" s="1153">
        <f t="shared" si="27"/>
        <v>0</v>
      </c>
      <c r="N390" s="982">
        <f t="shared" si="31"/>
        <v>0</v>
      </c>
      <c r="O390" s="905"/>
      <c r="Q390" s="317" t="str">
        <f t="shared" si="28"/>
        <v/>
      </c>
      <c r="R390" s="317" t="str">
        <f t="shared" si="29"/>
        <v/>
      </c>
      <c r="S390" s="317" t="str">
        <f t="shared" si="30"/>
        <v/>
      </c>
      <c r="T390" s="317" t="str">
        <f>GLOBAL_DER_FEV_2023!S390</f>
        <v/>
      </c>
      <c r="W390" s="582">
        <v>0</v>
      </c>
      <c r="X390" s="580"/>
      <c r="Y390" s="583">
        <f>IF(GLOBAL_DER_FEV_2023!W390=0,0,IF(GLOBAL_DER_FEV_2023!W390&gt;0,"c","b"))</f>
        <v>0</v>
      </c>
    </row>
    <row r="391" spans="1:25" ht="13.5" hidden="1" thickBot="1" x14ac:dyDescent="0.25">
      <c r="A391" s="317" t="s">
        <v>147</v>
      </c>
      <c r="B391" s="895" t="str">
        <f>GLOBAL_DER_FEV_2023!B391</f>
        <v>transporte</v>
      </c>
      <c r="C391" s="896">
        <f>GLOBAL_DER_FEV_2023!C391</f>
        <v>0</v>
      </c>
      <c r="D391" s="957" t="str">
        <f>GLOBAL_DER_FEV_2023!D391</f>
        <v>Areia</v>
      </c>
      <c r="E391" s="907">
        <f>GLOBAL_DER_FEV_2023!E391</f>
        <v>150</v>
      </c>
      <c r="F391" s="1287">
        <f>Novos_Traços_CBUQ!M139</f>
        <v>1.44E-2</v>
      </c>
      <c r="G391" s="949">
        <f>GLOBAL_DER_FEV_2023!G391</f>
        <v>2.3497919999999999</v>
      </c>
      <c r="H391" s="901">
        <f>GLOBAL_DER_FEV_2023!H391</f>
        <v>0</v>
      </c>
      <c r="I391" s="901">
        <f>GLOBAL_DER_FEV_2023!I391</f>
        <v>0</v>
      </c>
      <c r="J391" s="902">
        <f>GLOBAL_DER_FEV_2023!J391</f>
        <v>0</v>
      </c>
      <c r="K391" s="958" t="s">
        <v>507</v>
      </c>
      <c r="L391" s="1003"/>
      <c r="M391" s="1157">
        <f t="shared" si="27"/>
        <v>0</v>
      </c>
      <c r="N391" s="893">
        <f t="shared" si="31"/>
        <v>0</v>
      </c>
      <c r="O391" s="905"/>
      <c r="P391" s="58" t="str">
        <f>IF(N390&gt;0,"xx",IF(N390&gt;0,"xy",""))</f>
        <v/>
      </c>
      <c r="Q391" s="317" t="str">
        <f t="shared" si="28"/>
        <v/>
      </c>
      <c r="R391" s="317" t="str">
        <f t="shared" si="29"/>
        <v/>
      </c>
      <c r="S391" s="317" t="str">
        <f t="shared" si="30"/>
        <v/>
      </c>
      <c r="T391" s="317" t="str">
        <f>GLOBAL_DER_FEV_2023!S391</f>
        <v/>
      </c>
      <c r="W391" s="582">
        <v>0</v>
      </c>
      <c r="X391" s="580"/>
      <c r="Y391" s="583">
        <f>IF(GLOBAL_DER_FEV_2023!W391=0,0,IF(GLOBAL_DER_FEV_2023!W391&gt;0,"c","b"))</f>
        <v>0</v>
      </c>
    </row>
    <row r="392" spans="1:25" ht="13.5" hidden="1" thickBot="1" x14ac:dyDescent="0.25">
      <c r="A392" s="317" t="s">
        <v>147</v>
      </c>
      <c r="B392" s="895" t="str">
        <f>GLOBAL_DER_FEV_2023!B392</f>
        <v>transporte</v>
      </c>
      <c r="C392" s="896">
        <f>GLOBAL_DER_FEV_2023!C392</f>
        <v>0</v>
      </c>
      <c r="D392" s="957" t="str">
        <f>GLOBAL_DER_FEV_2023!D392</f>
        <v>Cal Hidratada CH-1</v>
      </c>
      <c r="E392" s="907">
        <f>GLOBAL_DER_FEV_2023!E392</f>
        <v>353</v>
      </c>
      <c r="F392" s="1287">
        <f>Novos_Traços_CBUQ!M140</f>
        <v>0</v>
      </c>
      <c r="G392" s="909">
        <f>GLOBAL_DER_FEV_2023!G392</f>
        <v>0</v>
      </c>
      <c r="H392" s="901">
        <f>GLOBAL_DER_FEV_2023!H392</f>
        <v>0</v>
      </c>
      <c r="I392" s="901">
        <f>GLOBAL_DER_FEV_2023!I392</f>
        <v>0</v>
      </c>
      <c r="J392" s="902">
        <f>GLOBAL_DER_FEV_2023!J392</f>
        <v>0</v>
      </c>
      <c r="K392" s="958" t="s">
        <v>507</v>
      </c>
      <c r="L392" s="1003"/>
      <c r="M392" s="1157">
        <f t="shared" si="27"/>
        <v>0</v>
      </c>
      <c r="N392" s="893">
        <f t="shared" si="31"/>
        <v>0</v>
      </c>
      <c r="O392" s="905"/>
      <c r="P392" s="58" t="str">
        <f>IF(N390&gt;0,"xx",IF(N390&gt;0,"xy",""))</f>
        <v/>
      </c>
      <c r="Q392" s="317" t="str">
        <f t="shared" si="28"/>
        <v/>
      </c>
      <c r="R392" s="317" t="str">
        <f t="shared" si="29"/>
        <v/>
      </c>
      <c r="S392" s="317" t="str">
        <f t="shared" si="30"/>
        <v/>
      </c>
      <c r="T392" s="317" t="str">
        <f>GLOBAL_DER_FEV_2023!S392</f>
        <v/>
      </c>
      <c r="W392" s="582">
        <v>0</v>
      </c>
      <c r="X392" s="580"/>
      <c r="Y392" s="583">
        <f>IF(GLOBAL_DER_FEV_2023!W392=0,0,IF(GLOBAL_DER_FEV_2023!W392&gt;0,"c","b"))</f>
        <v>0</v>
      </c>
    </row>
    <row r="393" spans="1:25" ht="13.5" hidden="1" thickBot="1" x14ac:dyDescent="0.25">
      <c r="A393" s="317" t="s">
        <v>147</v>
      </c>
      <c r="B393" s="895" t="str">
        <f>GLOBAL_DER_FEV_2023!B393</f>
        <v>transporte</v>
      </c>
      <c r="C393" s="896">
        <f>GLOBAL_DER_FEV_2023!C393</f>
        <v>0</v>
      </c>
      <c r="D393" s="957" t="str">
        <f>GLOBAL_DER_FEV_2023!D393</f>
        <v>Brita ( usina )</v>
      </c>
      <c r="E393" s="907">
        <f>GLOBAL_DER_FEV_2023!E393</f>
        <v>0.2</v>
      </c>
      <c r="F393" s="1287">
        <f>Novos_Traços_CBUQ!M137</f>
        <v>0.94259999999999999</v>
      </c>
      <c r="G393" s="949">
        <f>GLOBAL_DER_FEV_2023!G393</f>
        <v>2.7278844000000002</v>
      </c>
      <c r="H393" s="901">
        <f>GLOBAL_DER_FEV_2023!H393</f>
        <v>0</v>
      </c>
      <c r="I393" s="901">
        <f>GLOBAL_DER_FEV_2023!I393</f>
        <v>0</v>
      </c>
      <c r="J393" s="902">
        <f>GLOBAL_DER_FEV_2023!J393</f>
        <v>0</v>
      </c>
      <c r="K393" s="958" t="s">
        <v>507</v>
      </c>
      <c r="L393" s="1003"/>
      <c r="M393" s="1157">
        <f t="shared" si="27"/>
        <v>0</v>
      </c>
      <c r="N393" s="893">
        <f t="shared" si="31"/>
        <v>0</v>
      </c>
      <c r="O393" s="905"/>
      <c r="P393" s="58" t="str">
        <f>IF(N390&gt;0,"xx",IF(N390&gt;0,"xy",""))</f>
        <v/>
      </c>
      <c r="Q393" s="317" t="str">
        <f t="shared" si="28"/>
        <v/>
      </c>
      <c r="R393" s="317" t="str">
        <f t="shared" si="29"/>
        <v/>
      </c>
      <c r="S393" s="317" t="str">
        <f t="shared" si="30"/>
        <v/>
      </c>
      <c r="T393" s="317" t="str">
        <f>GLOBAL_DER_FEV_2023!S393</f>
        <v/>
      </c>
      <c r="W393" s="582">
        <v>0</v>
      </c>
      <c r="X393" s="580"/>
      <c r="Y393" s="583">
        <f>IF(GLOBAL_DER_FEV_2023!W393=0,0,IF(GLOBAL_DER_FEV_2023!W393&gt;0,"c","b"))</f>
        <v>0</v>
      </c>
    </row>
    <row r="394" spans="1:25" ht="13.5" hidden="1" thickBot="1" x14ac:dyDescent="0.25">
      <c r="A394" s="317" t="s">
        <v>147</v>
      </c>
      <c r="B394" s="895" t="str">
        <f>GLOBAL_DER_FEV_2023!B394</f>
        <v>transporte</v>
      </c>
      <c r="C394" s="896">
        <f>GLOBAL_DER_FEV_2023!C394</f>
        <v>0</v>
      </c>
      <c r="D394" s="957" t="str">
        <f>GLOBAL_DER_FEV_2023!D394</f>
        <v>Massa</v>
      </c>
      <c r="E394" s="907">
        <f>GLOBAL_DER_FEV_2023!E394</f>
        <v>22</v>
      </c>
      <c r="F394" s="1287">
        <f>GLOBAL_DER_FEV_2023!F394</f>
        <v>1</v>
      </c>
      <c r="G394" s="912">
        <f>GLOBAL_DER_FEV_2023!G394</f>
        <v>29.990000000000002</v>
      </c>
      <c r="H394" s="901">
        <f>GLOBAL_DER_FEV_2023!H394</f>
        <v>0</v>
      </c>
      <c r="I394" s="901">
        <f>GLOBAL_DER_FEV_2023!I394</f>
        <v>0</v>
      </c>
      <c r="J394" s="902">
        <f>GLOBAL_DER_FEV_2023!J394</f>
        <v>0</v>
      </c>
      <c r="K394" s="958" t="s">
        <v>507</v>
      </c>
      <c r="L394" s="1003"/>
      <c r="M394" s="1157">
        <f t="shared" si="27"/>
        <v>0</v>
      </c>
      <c r="N394" s="893">
        <f t="shared" si="31"/>
        <v>0</v>
      </c>
      <c r="O394" s="905"/>
      <c r="P394" s="58" t="str">
        <f>IF(N390&gt;0,"xx",IF(N390&gt;0,"xy",""))</f>
        <v/>
      </c>
      <c r="Q394" s="317" t="str">
        <f t="shared" si="28"/>
        <v/>
      </c>
      <c r="R394" s="317" t="str">
        <f t="shared" si="29"/>
        <v/>
      </c>
      <c r="S394" s="317" t="str">
        <f t="shared" si="30"/>
        <v/>
      </c>
      <c r="T394" s="317" t="str">
        <f>GLOBAL_DER_FEV_2023!S394</f>
        <v/>
      </c>
      <c r="W394" s="582">
        <v>0</v>
      </c>
      <c r="X394" s="580"/>
      <c r="Y394" s="583">
        <f>IF(GLOBAL_DER_FEV_2023!W394=0,0,IF(GLOBAL_DER_FEV_2023!W394&gt;0,"c","b"))</f>
        <v>0</v>
      </c>
    </row>
    <row r="395" spans="1:25" ht="13.5" hidden="1" thickBot="1" x14ac:dyDescent="0.25">
      <c r="A395" s="317">
        <v>589000</v>
      </c>
      <c r="B395" s="1004" t="str">
        <f>GLOBAL_DER_FEV_2023!B395</f>
        <v>589000F</v>
      </c>
      <c r="C395" s="984" t="str">
        <f>GLOBAL_DER_FEV_2023!C395</f>
        <v>DER mat</v>
      </c>
      <c r="D395" s="1012" t="str">
        <f>GLOBAL_DER_FEV_2023!D395</f>
        <v>Fornecimento de CAP - CBUQ (Quantidade menor que 10.000 ton)</v>
      </c>
      <c r="E395" s="1005">
        <f>GLOBAL_DER_FEV_2023!E395</f>
        <v>45</v>
      </c>
      <c r="F395" s="1006">
        <f>GLOBAL_DER_FEV_2023!F395</f>
        <v>1</v>
      </c>
      <c r="G395" s="949">
        <f>GLOBAL_DER_FEV_2023!G395</f>
        <v>88.36</v>
      </c>
      <c r="H395" s="988">
        <f>GLOBAL_DER_FEV_2023!H395</f>
        <v>4828.8599999999997</v>
      </c>
      <c r="I395" s="988">
        <f>GLOBAL_DER_FEV_2023!I395</f>
        <v>4724.580378112767</v>
      </c>
      <c r="J395" s="989">
        <f>GLOBAL_DER_FEV_2023!J395</f>
        <v>5672.8</v>
      </c>
      <c r="K395" s="990" t="s">
        <v>14</v>
      </c>
      <c r="L395" s="1154">
        <f>ROUND(L390*$F390,2)</f>
        <v>0</v>
      </c>
      <c r="M395" s="1159">
        <f t="shared" si="27"/>
        <v>0</v>
      </c>
      <c r="N395" s="993">
        <f t="shared" si="31"/>
        <v>0</v>
      </c>
      <c r="O395" s="905"/>
      <c r="P395" s="58" t="str">
        <f>IF(N390&gt;0,"xx",IF(N390&gt;0,"xy",""))</f>
        <v/>
      </c>
      <c r="Q395" s="317" t="str">
        <f t="shared" si="28"/>
        <v/>
      </c>
      <c r="R395" s="317" t="str">
        <f t="shared" si="29"/>
        <v/>
      </c>
      <c r="S395" s="317" t="str">
        <f t="shared" si="30"/>
        <v/>
      </c>
      <c r="T395" s="317" t="str">
        <f>GLOBAL_DER_FEV_2023!S395</f>
        <v/>
      </c>
      <c r="W395" s="582">
        <v>0</v>
      </c>
      <c r="X395" s="580"/>
      <c r="Y395" s="583">
        <f>IF(GLOBAL_DER_FEV_2023!W395=0,0,IF(GLOBAL_DER_FEV_2023!W395&gt;0,"c","b"))</f>
        <v>0</v>
      </c>
    </row>
    <row r="396" spans="1:25" ht="13.5" hidden="1" thickBot="1" x14ac:dyDescent="0.25">
      <c r="A396" s="317">
        <v>570210</v>
      </c>
      <c r="B396" s="999">
        <v>570210</v>
      </c>
      <c r="C396" s="1000" t="s">
        <v>184</v>
      </c>
      <c r="D396" s="1019" t="s">
        <v>2221</v>
      </c>
      <c r="E396" s="974" t="str">
        <f>GLOBAL_DER_FEV_2023!E396</f>
        <v>taxa CAP</v>
      </c>
      <c r="F396" s="975">
        <f>GLOBAL_DER_FEV_2023!F396</f>
        <v>4.4999999999999998E-2</v>
      </c>
      <c r="G396" s="976">
        <f>GLOBAL_DER_FEV_2023!G396</f>
        <v>35.158060000000006</v>
      </c>
      <c r="H396" s="977">
        <f>GLOBAL_DER_FEV_2023!H396</f>
        <v>161.52000000000001</v>
      </c>
      <c r="I396" s="977">
        <f>GLOBAL_DER_FEV_2023!I396</f>
        <v>196.67806000000002</v>
      </c>
      <c r="J396" s="978">
        <f>GLOBAL_DER_FEV_2023!J396</f>
        <v>236.15</v>
      </c>
      <c r="K396" s="979" t="s">
        <v>14</v>
      </c>
      <c r="L396" s="1152"/>
      <c r="M396" s="1153">
        <f t="shared" si="27"/>
        <v>0</v>
      </c>
      <c r="N396" s="982">
        <f t="shared" si="31"/>
        <v>0</v>
      </c>
      <c r="O396" s="905"/>
      <c r="Q396" s="317" t="str">
        <f t="shared" si="28"/>
        <v/>
      </c>
      <c r="R396" s="317" t="str">
        <f t="shared" si="29"/>
        <v/>
      </c>
      <c r="S396" s="317" t="str">
        <f t="shared" si="30"/>
        <v/>
      </c>
      <c r="T396" s="317" t="str">
        <f>GLOBAL_DER_FEV_2023!S396</f>
        <v/>
      </c>
      <c r="W396" s="582">
        <v>0</v>
      </c>
      <c r="X396" s="580"/>
      <c r="Y396" s="583">
        <f>IF(GLOBAL_DER_FEV_2023!W396=0,0,IF(GLOBAL_DER_FEV_2023!W396&gt;0,"c","b"))</f>
        <v>0</v>
      </c>
    </row>
    <row r="397" spans="1:25" ht="13.5" hidden="1" thickBot="1" x14ac:dyDescent="0.25">
      <c r="A397" s="317" t="s">
        <v>147</v>
      </c>
      <c r="B397" s="895" t="s">
        <v>147</v>
      </c>
      <c r="C397" s="896"/>
      <c r="D397" s="957" t="s">
        <v>229</v>
      </c>
      <c r="E397" s="907">
        <f>GLOBAL_DER_FEV_2023!E397</f>
        <v>150</v>
      </c>
      <c r="F397" s="908">
        <f>GLOBAL_DER_FEV_2023!F397</f>
        <v>1.4999999999999999E-2</v>
      </c>
      <c r="G397" s="949">
        <f>GLOBAL_DER_FEV_2023!G397</f>
        <v>2.4477000000000002</v>
      </c>
      <c r="H397" s="901">
        <f>GLOBAL_DER_FEV_2023!H397</f>
        <v>0</v>
      </c>
      <c r="I397" s="901">
        <f>GLOBAL_DER_FEV_2023!I397</f>
        <v>0</v>
      </c>
      <c r="J397" s="902">
        <f>GLOBAL_DER_FEV_2023!J397</f>
        <v>0</v>
      </c>
      <c r="K397" s="958" t="s">
        <v>507</v>
      </c>
      <c r="L397" s="1003"/>
      <c r="M397" s="1157">
        <f t="shared" si="27"/>
        <v>0</v>
      </c>
      <c r="N397" s="893">
        <f t="shared" si="31"/>
        <v>0</v>
      </c>
      <c r="O397" s="905"/>
      <c r="P397" s="58" t="str">
        <f>IF(N396&gt;0,"xx",IF(N396&gt;0,"xy",""))</f>
        <v/>
      </c>
      <c r="Q397" s="317" t="str">
        <f t="shared" si="28"/>
        <v/>
      </c>
      <c r="R397" s="317" t="str">
        <f t="shared" si="29"/>
        <v/>
      </c>
      <c r="S397" s="317" t="str">
        <f t="shared" si="30"/>
        <v/>
      </c>
      <c r="T397" s="317" t="str">
        <f>GLOBAL_DER_FEV_2023!S397</f>
        <v/>
      </c>
      <c r="W397" s="582">
        <v>0</v>
      </c>
      <c r="X397" s="580"/>
      <c r="Y397" s="583">
        <f>IF(GLOBAL_DER_FEV_2023!W397=0,0,IF(GLOBAL_DER_FEV_2023!W397&gt;0,"c","b"))</f>
        <v>0</v>
      </c>
    </row>
    <row r="398" spans="1:25" ht="13.5" hidden="1" thickBot="1" x14ac:dyDescent="0.25">
      <c r="A398" s="317" t="s">
        <v>147</v>
      </c>
      <c r="B398" s="895" t="s">
        <v>147</v>
      </c>
      <c r="C398" s="896"/>
      <c r="D398" s="957" t="s">
        <v>230</v>
      </c>
      <c r="E398" s="907">
        <f>GLOBAL_DER_FEV_2023!E398</f>
        <v>353</v>
      </c>
      <c r="F398" s="908">
        <f>GLOBAL_DER_FEV_2023!F398</f>
        <v>0</v>
      </c>
      <c r="G398" s="909">
        <f>GLOBAL_DER_FEV_2023!G398</f>
        <v>0</v>
      </c>
      <c r="H398" s="901">
        <f>GLOBAL_DER_FEV_2023!H398</f>
        <v>0</v>
      </c>
      <c r="I398" s="901">
        <f>GLOBAL_DER_FEV_2023!I398</f>
        <v>0</v>
      </c>
      <c r="J398" s="902">
        <f>GLOBAL_DER_FEV_2023!J398</f>
        <v>0</v>
      </c>
      <c r="K398" s="958" t="s">
        <v>507</v>
      </c>
      <c r="L398" s="1003"/>
      <c r="M398" s="1157">
        <f t="shared" si="27"/>
        <v>0</v>
      </c>
      <c r="N398" s="893">
        <f t="shared" si="31"/>
        <v>0</v>
      </c>
      <c r="O398" s="905"/>
      <c r="P398" s="58" t="str">
        <f>IF(N396&gt;0,"xx",IF(N396&gt;0,"xy",""))</f>
        <v/>
      </c>
      <c r="Q398" s="317" t="str">
        <f t="shared" si="28"/>
        <v/>
      </c>
      <c r="R398" s="317" t="str">
        <f t="shared" si="29"/>
        <v/>
      </c>
      <c r="S398" s="317" t="str">
        <f t="shared" si="30"/>
        <v/>
      </c>
      <c r="T398" s="317" t="str">
        <f>GLOBAL_DER_FEV_2023!S398</f>
        <v/>
      </c>
      <c r="W398" s="582">
        <v>0</v>
      </c>
      <c r="X398" s="580"/>
      <c r="Y398" s="583">
        <f>IF(GLOBAL_DER_FEV_2023!W398=0,0,IF(GLOBAL_DER_FEV_2023!W398&gt;0,"c","b"))</f>
        <v>0</v>
      </c>
    </row>
    <row r="399" spans="1:25" ht="13.5" hidden="1" thickBot="1" x14ac:dyDescent="0.25">
      <c r="A399" s="317" t="s">
        <v>147</v>
      </c>
      <c r="B399" s="895" t="s">
        <v>147</v>
      </c>
      <c r="C399" s="896"/>
      <c r="D399" s="957" t="s">
        <v>243</v>
      </c>
      <c r="E399" s="907">
        <f>GLOBAL_DER_FEV_2023!E399</f>
        <v>0.2</v>
      </c>
      <c r="F399" s="908">
        <f>GLOBAL_DER_FEV_2023!F399</f>
        <v>0.94</v>
      </c>
      <c r="G399" s="949">
        <f>GLOBAL_DER_FEV_2023!G399</f>
        <v>2.7203599999999999</v>
      </c>
      <c r="H399" s="901">
        <f>GLOBAL_DER_FEV_2023!H399</f>
        <v>0</v>
      </c>
      <c r="I399" s="901">
        <f>GLOBAL_DER_FEV_2023!I399</f>
        <v>0</v>
      </c>
      <c r="J399" s="902">
        <f>GLOBAL_DER_FEV_2023!J399</f>
        <v>0</v>
      </c>
      <c r="K399" s="958" t="s">
        <v>507</v>
      </c>
      <c r="L399" s="1003"/>
      <c r="M399" s="1157">
        <f t="shared" si="27"/>
        <v>0</v>
      </c>
      <c r="N399" s="893">
        <f t="shared" si="31"/>
        <v>0</v>
      </c>
      <c r="O399" s="905"/>
      <c r="P399" s="58" t="str">
        <f>IF(N396&gt;0,"xx",IF(N396&gt;0,"xy",""))</f>
        <v/>
      </c>
      <c r="Q399" s="317" t="str">
        <f t="shared" si="28"/>
        <v/>
      </c>
      <c r="R399" s="317" t="str">
        <f t="shared" si="29"/>
        <v/>
      </c>
      <c r="S399" s="317" t="str">
        <f t="shared" si="30"/>
        <v/>
      </c>
      <c r="T399" s="317" t="str">
        <f>GLOBAL_DER_FEV_2023!S399</f>
        <v/>
      </c>
      <c r="W399" s="582">
        <v>0</v>
      </c>
      <c r="X399" s="580"/>
      <c r="Y399" s="583">
        <f>IF(GLOBAL_DER_FEV_2023!W399=0,0,IF(GLOBAL_DER_FEV_2023!W399&gt;0,"c","b"))</f>
        <v>0</v>
      </c>
    </row>
    <row r="400" spans="1:25" ht="13.5" hidden="1" thickBot="1" x14ac:dyDescent="0.25">
      <c r="A400" s="317" t="s">
        <v>147</v>
      </c>
      <c r="B400" s="895" t="s">
        <v>147</v>
      </c>
      <c r="C400" s="896"/>
      <c r="D400" s="957" t="s">
        <v>244</v>
      </c>
      <c r="E400" s="907">
        <f>GLOBAL_DER_FEV_2023!E400</f>
        <v>22</v>
      </c>
      <c r="F400" s="908">
        <f>GLOBAL_DER_FEV_2023!F400</f>
        <v>1</v>
      </c>
      <c r="G400" s="912">
        <f>GLOBAL_DER_FEV_2023!G400</f>
        <v>29.990000000000002</v>
      </c>
      <c r="H400" s="901">
        <f>GLOBAL_DER_FEV_2023!H400</f>
        <v>0</v>
      </c>
      <c r="I400" s="901">
        <f>GLOBAL_DER_FEV_2023!I400</f>
        <v>0</v>
      </c>
      <c r="J400" s="902">
        <f>GLOBAL_DER_FEV_2023!J400</f>
        <v>0</v>
      </c>
      <c r="K400" s="958" t="s">
        <v>507</v>
      </c>
      <c r="L400" s="1003"/>
      <c r="M400" s="1157">
        <f t="shared" si="27"/>
        <v>0</v>
      </c>
      <c r="N400" s="893">
        <f t="shared" si="31"/>
        <v>0</v>
      </c>
      <c r="O400" s="905"/>
      <c r="P400" s="58" t="str">
        <f>IF(N396&gt;0,"xx",IF(N396&gt;0,"xy",""))</f>
        <v/>
      </c>
      <c r="Q400" s="317" t="str">
        <f t="shared" si="28"/>
        <v/>
      </c>
      <c r="R400" s="317" t="str">
        <f t="shared" si="29"/>
        <v/>
      </c>
      <c r="S400" s="317" t="str">
        <f t="shared" si="30"/>
        <v/>
      </c>
      <c r="T400" s="317" t="str">
        <f>GLOBAL_DER_FEV_2023!S400</f>
        <v/>
      </c>
      <c r="W400" s="582">
        <v>0</v>
      </c>
      <c r="X400" s="580"/>
      <c r="Y400" s="583">
        <f>IF(GLOBAL_DER_FEV_2023!W400=0,0,IF(GLOBAL_DER_FEV_2023!W400&gt;0,"c","b"))</f>
        <v>0</v>
      </c>
    </row>
    <row r="401" spans="1:25" ht="13.5" hidden="1" thickBot="1" x14ac:dyDescent="0.25">
      <c r="A401" s="317">
        <v>589000</v>
      </c>
      <c r="B401" s="1004" t="s">
        <v>714</v>
      </c>
      <c r="C401" s="984" t="s">
        <v>213</v>
      </c>
      <c r="D401" s="1012" t="s">
        <v>2172</v>
      </c>
      <c r="E401" s="1005">
        <f>GLOBAL_DER_FEV_2023!E401</f>
        <v>45</v>
      </c>
      <c r="F401" s="1006">
        <f>GLOBAL_DER_FEV_2023!F401</f>
        <v>1</v>
      </c>
      <c r="G401" s="949">
        <f>GLOBAL_DER_FEV_2023!G401</f>
        <v>88.36</v>
      </c>
      <c r="H401" s="988">
        <f>GLOBAL_DER_FEV_2023!H401</f>
        <v>4828.8599999999997</v>
      </c>
      <c r="I401" s="988">
        <f>GLOBAL_DER_FEV_2023!I401</f>
        <v>4724.580378112767</v>
      </c>
      <c r="J401" s="989">
        <f>GLOBAL_DER_FEV_2023!J401</f>
        <v>5672.8</v>
      </c>
      <c r="K401" s="990" t="s">
        <v>14</v>
      </c>
      <c r="L401" s="1154">
        <f>ROUND(L396*$F396,2)</f>
        <v>0</v>
      </c>
      <c r="M401" s="1159">
        <f t="shared" si="27"/>
        <v>0</v>
      </c>
      <c r="N401" s="993">
        <f t="shared" si="31"/>
        <v>0</v>
      </c>
      <c r="O401" s="905"/>
      <c r="P401" s="58" t="str">
        <f>IF(N396&gt;0,"xx",IF(N396&gt;0,"xy",""))</f>
        <v/>
      </c>
      <c r="Q401" s="317" t="str">
        <f t="shared" si="28"/>
        <v/>
      </c>
      <c r="R401" s="317" t="str">
        <f t="shared" si="29"/>
        <v/>
      </c>
      <c r="S401" s="317" t="str">
        <f t="shared" si="30"/>
        <v/>
      </c>
      <c r="T401" s="317" t="str">
        <f>GLOBAL_DER_FEV_2023!S401</f>
        <v/>
      </c>
      <c r="W401" s="582">
        <v>0</v>
      </c>
      <c r="X401" s="580"/>
      <c r="Y401" s="583">
        <f>IF(GLOBAL_DER_FEV_2023!W401=0,0,IF(GLOBAL_DER_FEV_2023!W401&gt;0,"c","b"))</f>
        <v>0</v>
      </c>
    </row>
    <row r="402" spans="1:25" ht="13.5" hidden="1" thickBot="1" x14ac:dyDescent="0.25">
      <c r="A402" s="317">
        <v>570000</v>
      </c>
      <c r="B402" s="999" t="s">
        <v>1651</v>
      </c>
      <c r="C402" s="1000" t="s">
        <v>184</v>
      </c>
      <c r="D402" s="973" t="s">
        <v>2222</v>
      </c>
      <c r="E402" s="974" t="str">
        <f>GLOBAL_DER_FEV_2023!E402</f>
        <v>taxa CAP</v>
      </c>
      <c r="F402" s="975">
        <f>GLOBAL_DER_FEV_2023!F402</f>
        <v>5.7000000000000002E-2</v>
      </c>
      <c r="G402" s="976">
        <f>GLOBAL_DER_FEV_2023!G402</f>
        <v>52.951632000000004</v>
      </c>
      <c r="H402" s="977">
        <f>GLOBAL_DER_FEV_2023!H402</f>
        <v>187.41</v>
      </c>
      <c r="I402" s="977">
        <f>GLOBAL_DER_FEV_2023!I402</f>
        <v>240.36163199999999</v>
      </c>
      <c r="J402" s="978">
        <f>GLOBAL_DER_FEV_2023!J402</f>
        <v>288.60000000000002</v>
      </c>
      <c r="K402" s="979" t="s">
        <v>14</v>
      </c>
      <c r="L402" s="1152"/>
      <c r="M402" s="1153">
        <f t="shared" si="27"/>
        <v>0</v>
      </c>
      <c r="N402" s="982">
        <f t="shared" si="31"/>
        <v>0</v>
      </c>
      <c r="O402" s="905"/>
      <c r="Q402" s="317" t="str">
        <f t="shared" si="28"/>
        <v/>
      </c>
      <c r="R402" s="317" t="str">
        <f t="shared" si="29"/>
        <v/>
      </c>
      <c r="S402" s="317" t="str">
        <f t="shared" si="30"/>
        <v/>
      </c>
      <c r="T402" s="317" t="str">
        <f>GLOBAL_DER_FEV_2023!S402</f>
        <v/>
      </c>
      <c r="W402" s="582">
        <v>0</v>
      </c>
      <c r="X402" s="580"/>
      <c r="Y402" s="583">
        <f>IF(GLOBAL_DER_FEV_2023!W402=0,0,IF(GLOBAL_DER_FEV_2023!W402&gt;0,"c","b"))</f>
        <v>0</v>
      </c>
    </row>
    <row r="403" spans="1:25" ht="13.5" hidden="1" thickBot="1" x14ac:dyDescent="0.25">
      <c r="A403" s="317" t="s">
        <v>147</v>
      </c>
      <c r="B403" s="895" t="s">
        <v>147</v>
      </c>
      <c r="C403" s="896"/>
      <c r="D403" s="957" t="s">
        <v>229</v>
      </c>
      <c r="E403" s="907">
        <f>GLOBAL_DER_FEV_2023!E403</f>
        <v>150</v>
      </c>
      <c r="F403" s="908">
        <f>GLOBAL_DER_FEV_2023!F403</f>
        <v>0.1</v>
      </c>
      <c r="G403" s="949">
        <f>GLOBAL_DER_FEV_2023!G403</f>
        <v>16.318000000000001</v>
      </c>
      <c r="H403" s="901">
        <f>GLOBAL_DER_FEV_2023!H403</f>
        <v>0</v>
      </c>
      <c r="I403" s="901">
        <f>GLOBAL_DER_FEV_2023!I403</f>
        <v>0</v>
      </c>
      <c r="J403" s="902">
        <f>GLOBAL_DER_FEV_2023!J403</f>
        <v>0</v>
      </c>
      <c r="K403" s="903" t="s">
        <v>507</v>
      </c>
      <c r="L403" s="1003"/>
      <c r="M403" s="1157">
        <f t="shared" si="27"/>
        <v>0</v>
      </c>
      <c r="N403" s="893">
        <f t="shared" si="31"/>
        <v>0</v>
      </c>
      <c r="O403" s="905"/>
      <c r="P403" s="58" t="str">
        <f>IF(N402&gt;0,"xx",IF(N402&gt;0,"xy",""))</f>
        <v/>
      </c>
      <c r="Q403" s="317" t="str">
        <f t="shared" si="28"/>
        <v/>
      </c>
      <c r="R403" s="317" t="str">
        <f t="shared" si="29"/>
        <v/>
      </c>
      <c r="S403" s="317" t="str">
        <f t="shared" si="30"/>
        <v/>
      </c>
      <c r="T403" s="317" t="str">
        <f>GLOBAL_DER_FEV_2023!S403</f>
        <v/>
      </c>
      <c r="W403" s="582">
        <v>0</v>
      </c>
      <c r="X403" s="580"/>
      <c r="Y403" s="583">
        <f>IF(GLOBAL_DER_FEV_2023!W403=0,0,IF(GLOBAL_DER_FEV_2023!W403&gt;0,"c","b"))</f>
        <v>0</v>
      </c>
    </row>
    <row r="404" spans="1:25" ht="13.5" hidden="1" thickBot="1" x14ac:dyDescent="0.25">
      <c r="A404" s="317" t="s">
        <v>147</v>
      </c>
      <c r="B404" s="895" t="s">
        <v>147</v>
      </c>
      <c r="C404" s="896"/>
      <c r="D404" s="957" t="s">
        <v>230</v>
      </c>
      <c r="E404" s="907">
        <f>GLOBAL_DER_FEV_2023!E404</f>
        <v>353</v>
      </c>
      <c r="F404" s="908">
        <f>GLOBAL_DER_FEV_2023!F404</f>
        <v>1.4999999999999999E-2</v>
      </c>
      <c r="G404" s="909">
        <f>GLOBAL_DER_FEV_2023!G404</f>
        <v>4.2473999999999998</v>
      </c>
      <c r="H404" s="901">
        <f>GLOBAL_DER_FEV_2023!H404</f>
        <v>0</v>
      </c>
      <c r="I404" s="901">
        <f>GLOBAL_DER_FEV_2023!I404</f>
        <v>0</v>
      </c>
      <c r="J404" s="902">
        <f>GLOBAL_DER_FEV_2023!J404</f>
        <v>0</v>
      </c>
      <c r="K404" s="903" t="s">
        <v>507</v>
      </c>
      <c r="L404" s="1003"/>
      <c r="M404" s="1157">
        <f t="shared" si="27"/>
        <v>0</v>
      </c>
      <c r="N404" s="893">
        <f t="shared" si="31"/>
        <v>0</v>
      </c>
      <c r="O404" s="905"/>
      <c r="P404" s="58" t="str">
        <f>IF(N402&gt;0,"xx",IF(N402&gt;0,"xy",""))</f>
        <v/>
      </c>
      <c r="Q404" s="317" t="str">
        <f t="shared" si="28"/>
        <v/>
      </c>
      <c r="R404" s="317" t="str">
        <f t="shared" si="29"/>
        <v/>
      </c>
      <c r="S404" s="317" t="str">
        <f t="shared" si="30"/>
        <v/>
      </c>
      <c r="T404" s="317" t="str">
        <f>GLOBAL_DER_FEV_2023!S404</f>
        <v/>
      </c>
      <c r="W404" s="582">
        <v>0</v>
      </c>
      <c r="X404" s="580"/>
      <c r="Y404" s="583">
        <f>IF(GLOBAL_DER_FEV_2023!W404=0,0,IF(GLOBAL_DER_FEV_2023!W404&gt;0,"c","b"))</f>
        <v>0</v>
      </c>
    </row>
    <row r="405" spans="1:25" ht="13.5" hidden="1" thickBot="1" x14ac:dyDescent="0.25">
      <c r="A405" s="317" t="s">
        <v>147</v>
      </c>
      <c r="B405" s="895" t="s">
        <v>147</v>
      </c>
      <c r="C405" s="896"/>
      <c r="D405" s="957" t="s">
        <v>243</v>
      </c>
      <c r="E405" s="907">
        <f>GLOBAL_DER_FEV_2023!E405</f>
        <v>0.2</v>
      </c>
      <c r="F405" s="908">
        <f>GLOBAL_DER_FEV_2023!F405</f>
        <v>0.82799999999999996</v>
      </c>
      <c r="G405" s="949">
        <f>GLOBAL_DER_FEV_2023!G405</f>
        <v>2.3962319999999999</v>
      </c>
      <c r="H405" s="901">
        <f>GLOBAL_DER_FEV_2023!H405</f>
        <v>0</v>
      </c>
      <c r="I405" s="901">
        <f>GLOBAL_DER_FEV_2023!I405</f>
        <v>0</v>
      </c>
      <c r="J405" s="902">
        <f>GLOBAL_DER_FEV_2023!J405</f>
        <v>0</v>
      </c>
      <c r="K405" s="903" t="s">
        <v>507</v>
      </c>
      <c r="L405" s="1003"/>
      <c r="M405" s="1157">
        <f t="shared" si="27"/>
        <v>0</v>
      </c>
      <c r="N405" s="893">
        <f t="shared" si="31"/>
        <v>0</v>
      </c>
      <c r="O405" s="905"/>
      <c r="P405" s="58" t="str">
        <f>IF(N402&gt;0,"xx",IF(N402&gt;0,"xy",""))</f>
        <v/>
      </c>
      <c r="Q405" s="317" t="str">
        <f t="shared" si="28"/>
        <v/>
      </c>
      <c r="R405" s="317" t="str">
        <f t="shared" si="29"/>
        <v/>
      </c>
      <c r="S405" s="317" t="str">
        <f t="shared" si="30"/>
        <v/>
      </c>
      <c r="T405" s="317" t="str">
        <f>GLOBAL_DER_FEV_2023!S405</f>
        <v/>
      </c>
      <c r="W405" s="582">
        <v>0</v>
      </c>
      <c r="X405" s="580"/>
      <c r="Y405" s="583">
        <f>IF(GLOBAL_DER_FEV_2023!W405=0,0,IF(GLOBAL_DER_FEV_2023!W405&gt;0,"c","b"))</f>
        <v>0</v>
      </c>
    </row>
    <row r="406" spans="1:25" ht="13.5" hidden="1" thickBot="1" x14ac:dyDescent="0.25">
      <c r="A406" s="317" t="s">
        <v>147</v>
      </c>
      <c r="B406" s="895" t="s">
        <v>147</v>
      </c>
      <c r="C406" s="896"/>
      <c r="D406" s="957" t="s">
        <v>244</v>
      </c>
      <c r="E406" s="907">
        <f>GLOBAL_DER_FEV_2023!E406</f>
        <v>22</v>
      </c>
      <c r="F406" s="908">
        <f>GLOBAL_DER_FEV_2023!F406</f>
        <v>1</v>
      </c>
      <c r="G406" s="912">
        <f>GLOBAL_DER_FEV_2023!G406</f>
        <v>29.990000000000002</v>
      </c>
      <c r="H406" s="901">
        <f>GLOBAL_DER_FEV_2023!H406</f>
        <v>0</v>
      </c>
      <c r="I406" s="901">
        <f>GLOBAL_DER_FEV_2023!I406</f>
        <v>0</v>
      </c>
      <c r="J406" s="902">
        <f>GLOBAL_DER_FEV_2023!J406</f>
        <v>0</v>
      </c>
      <c r="K406" s="903" t="s">
        <v>507</v>
      </c>
      <c r="L406" s="1003"/>
      <c r="M406" s="1157">
        <f t="shared" si="27"/>
        <v>0</v>
      </c>
      <c r="N406" s="893">
        <f t="shared" si="31"/>
        <v>0</v>
      </c>
      <c r="O406" s="905"/>
      <c r="P406" s="58" t="str">
        <f>IF(N402&gt;0,"xx",IF(N402&gt;0,"xy",""))</f>
        <v/>
      </c>
      <c r="Q406" s="317" t="str">
        <f t="shared" si="28"/>
        <v/>
      </c>
      <c r="R406" s="317" t="str">
        <f t="shared" si="29"/>
        <v/>
      </c>
      <c r="S406" s="317" t="str">
        <f t="shared" si="30"/>
        <v/>
      </c>
      <c r="T406" s="317" t="str">
        <f>GLOBAL_DER_FEV_2023!S406</f>
        <v/>
      </c>
      <c r="W406" s="582">
        <v>0</v>
      </c>
      <c r="X406" s="580"/>
      <c r="Y406" s="583">
        <f>IF(GLOBAL_DER_FEV_2023!W406=0,0,IF(GLOBAL_DER_FEV_2023!W406&gt;0,"c","b"))</f>
        <v>0</v>
      </c>
    </row>
    <row r="407" spans="1:25" ht="13.5" hidden="1" thickBot="1" x14ac:dyDescent="0.25">
      <c r="A407" s="317">
        <v>589000</v>
      </c>
      <c r="B407" s="1004" t="s">
        <v>715</v>
      </c>
      <c r="C407" s="984" t="s">
        <v>213</v>
      </c>
      <c r="D407" s="1012" t="s">
        <v>2172</v>
      </c>
      <c r="E407" s="1005">
        <f>GLOBAL_DER_FEV_2023!E407</f>
        <v>45</v>
      </c>
      <c r="F407" s="1006">
        <f>GLOBAL_DER_FEV_2023!F407</f>
        <v>1</v>
      </c>
      <c r="G407" s="949">
        <f>GLOBAL_DER_FEV_2023!G407</f>
        <v>88.36</v>
      </c>
      <c r="H407" s="988">
        <f>GLOBAL_DER_FEV_2023!H407</f>
        <v>4828.8599999999997</v>
      </c>
      <c r="I407" s="988">
        <f>GLOBAL_DER_FEV_2023!I407</f>
        <v>4724.580378112767</v>
      </c>
      <c r="J407" s="989">
        <f>GLOBAL_DER_FEV_2023!J407</f>
        <v>5672.8</v>
      </c>
      <c r="K407" s="990" t="s">
        <v>14</v>
      </c>
      <c r="L407" s="1154">
        <f>ROUND(L402*$F402,2)</f>
        <v>0</v>
      </c>
      <c r="M407" s="1159">
        <f t="shared" si="27"/>
        <v>0</v>
      </c>
      <c r="N407" s="993">
        <f t="shared" si="31"/>
        <v>0</v>
      </c>
      <c r="O407" s="905"/>
      <c r="P407" s="58" t="str">
        <f>IF(N402&gt;0,"xx",IF(N402&gt;0,"xy",""))</f>
        <v/>
      </c>
      <c r="Q407" s="317" t="str">
        <f t="shared" si="28"/>
        <v/>
      </c>
      <c r="R407" s="317" t="str">
        <f t="shared" si="29"/>
        <v/>
      </c>
      <c r="S407" s="317" t="str">
        <f t="shared" si="30"/>
        <v/>
      </c>
      <c r="T407" s="317" t="str">
        <f>GLOBAL_DER_FEV_2023!S407</f>
        <v/>
      </c>
      <c r="W407" s="582">
        <v>0</v>
      </c>
      <c r="X407" s="580"/>
      <c r="Y407" s="583">
        <f>IF(GLOBAL_DER_FEV_2023!W407=0,0,IF(GLOBAL_DER_FEV_2023!W407&gt;0,"c","b"))</f>
        <v>0</v>
      </c>
    </row>
    <row r="408" spans="1:25" ht="15.75" customHeight="1" x14ac:dyDescent="0.2">
      <c r="A408" s="317">
        <v>570000</v>
      </c>
      <c r="B408" s="999" t="str">
        <f>GLOBAL_DER_FEV_2023!B408</f>
        <v>570000A</v>
      </c>
      <c r="C408" s="1000" t="str">
        <f>GLOBAL_DER_FEV_2023!C408</f>
        <v>DER</v>
      </c>
      <c r="D408" s="1024" t="str">
        <f>GLOBAL_DER_FEV_2023!D408</f>
        <v>CBUQ - Novo traço - Reperfilamento 2 - "FAIXA C" - (Quant. menor que 10.000 ton)</v>
      </c>
      <c r="E408" s="974" t="str">
        <f>GLOBAL_DER_FEV_2023!E408</f>
        <v>taxa CAP</v>
      </c>
      <c r="F408" s="1022">
        <f>GLOBAL_DER_FEV_2023!F408</f>
        <v>5.0999999999999997E-2</v>
      </c>
      <c r="G408" s="976">
        <f>GLOBAL_DER_FEV_2023!G408</f>
        <v>51.927324600000006</v>
      </c>
      <c r="H408" s="977">
        <f>GLOBAL_DER_FEV_2023!H408</f>
        <v>187.41</v>
      </c>
      <c r="I408" s="977">
        <f>GLOBAL_DER_FEV_2023!I408</f>
        <v>239.33732459999999</v>
      </c>
      <c r="J408" s="978">
        <f>GLOBAL_DER_FEV_2023!J408</f>
        <v>287.37</v>
      </c>
      <c r="K408" s="979" t="s">
        <v>14</v>
      </c>
      <c r="L408" s="1152">
        <f>L236/2*0.02*2.4</f>
        <v>459.14783999999997</v>
      </c>
      <c r="M408" s="1153">
        <f t="shared" si="27"/>
        <v>287.37</v>
      </c>
      <c r="N408" s="982">
        <f t="shared" si="31"/>
        <v>131945.31</v>
      </c>
      <c r="O408" s="905"/>
      <c r="Q408" s="317" t="str">
        <f t="shared" si="28"/>
        <v>x</v>
      </c>
      <c r="R408" s="317" t="str">
        <f t="shared" si="29"/>
        <v>x</v>
      </c>
      <c r="S408" s="317" t="str">
        <f t="shared" si="30"/>
        <v>x</v>
      </c>
      <c r="T408" s="317" t="str">
        <f>GLOBAL_DER_FEV_2023!S408</f>
        <v>x</v>
      </c>
      <c r="W408" s="582">
        <v>0</v>
      </c>
      <c r="X408" s="580"/>
      <c r="Y408" s="583" t="str">
        <f>IF(GLOBAL_DER_FEV_2023!W408=0,0,IF(GLOBAL_DER_FEV_2023!W408&gt;0,"c","b"))</f>
        <v>b</v>
      </c>
    </row>
    <row r="409" spans="1:25" x14ac:dyDescent="0.2">
      <c r="A409" s="317" t="s">
        <v>147</v>
      </c>
      <c r="B409" s="895" t="str">
        <f>GLOBAL_DER_FEV_2023!B409</f>
        <v>transporte</v>
      </c>
      <c r="C409" s="896">
        <f>GLOBAL_DER_FEV_2023!C409</f>
        <v>0</v>
      </c>
      <c r="D409" s="957" t="str">
        <f>GLOBAL_DER_FEV_2023!D409</f>
        <v>Areia</v>
      </c>
      <c r="E409" s="907">
        <f>GLOBAL_DER_FEV_2023!E409</f>
        <v>150</v>
      </c>
      <c r="F409" s="1287">
        <f>GLOBAL_DER_FEV_2023!F409</f>
        <v>9.4899999999999998E-2</v>
      </c>
      <c r="G409" s="949">
        <f>GLOBAL_DER_FEV_2023!G409</f>
        <v>15.485782</v>
      </c>
      <c r="H409" s="901">
        <f>GLOBAL_DER_FEV_2023!H409</f>
        <v>0</v>
      </c>
      <c r="I409" s="901">
        <f>GLOBAL_DER_FEV_2023!I409</f>
        <v>0</v>
      </c>
      <c r="J409" s="902">
        <f>GLOBAL_DER_FEV_2023!J409</f>
        <v>0</v>
      </c>
      <c r="K409" s="903" t="s">
        <v>507</v>
      </c>
      <c r="L409" s="1003"/>
      <c r="M409" s="1157">
        <f t="shared" si="27"/>
        <v>0</v>
      </c>
      <c r="N409" s="893">
        <f t="shared" si="31"/>
        <v>0</v>
      </c>
      <c r="O409" s="905"/>
      <c r="P409" s="58" t="str">
        <f>IF(N408&gt;0,"xx",IF(N408&gt;0,"xy",""))</f>
        <v>xx</v>
      </c>
      <c r="Q409" s="317" t="str">
        <f t="shared" si="28"/>
        <v>x</v>
      </c>
      <c r="R409" s="317" t="str">
        <f t="shared" si="29"/>
        <v>x</v>
      </c>
      <c r="S409" s="317" t="str">
        <f t="shared" si="30"/>
        <v/>
      </c>
      <c r="T409" s="317" t="str">
        <f>GLOBAL_DER_FEV_2023!S409</f>
        <v/>
      </c>
      <c r="W409" s="582">
        <v>0</v>
      </c>
      <c r="X409" s="580"/>
      <c r="Y409" s="583">
        <f>IF(GLOBAL_DER_FEV_2023!W409=0,0,IF(GLOBAL_DER_FEV_2023!W409&gt;0,"c","b"))</f>
        <v>0</v>
      </c>
    </row>
    <row r="410" spans="1:25" x14ac:dyDescent="0.2">
      <c r="A410" s="317" t="s">
        <v>147</v>
      </c>
      <c r="B410" s="895" t="str">
        <f>GLOBAL_DER_FEV_2023!B410</f>
        <v>transporte</v>
      </c>
      <c r="C410" s="896">
        <f>GLOBAL_DER_FEV_2023!C410</f>
        <v>0</v>
      </c>
      <c r="D410" s="957" t="str">
        <f>GLOBAL_DER_FEV_2023!D410</f>
        <v>Cal Hidratada CH-1</v>
      </c>
      <c r="E410" s="907">
        <f>GLOBAL_DER_FEV_2023!E410</f>
        <v>353</v>
      </c>
      <c r="F410" s="1287">
        <f>GLOBAL_DER_FEV_2023!F410</f>
        <v>1.4200000000000001E-2</v>
      </c>
      <c r="G410" s="909">
        <f>GLOBAL_DER_FEV_2023!G410</f>
        <v>4.0208720000000007</v>
      </c>
      <c r="H410" s="901">
        <f>GLOBAL_DER_FEV_2023!H410</f>
        <v>0</v>
      </c>
      <c r="I410" s="901">
        <f>GLOBAL_DER_FEV_2023!I410</f>
        <v>0</v>
      </c>
      <c r="J410" s="902">
        <f>GLOBAL_DER_FEV_2023!J410</f>
        <v>0</v>
      </c>
      <c r="K410" s="903" t="s">
        <v>507</v>
      </c>
      <c r="L410" s="1003"/>
      <c r="M410" s="1157">
        <f t="shared" si="27"/>
        <v>0</v>
      </c>
      <c r="N410" s="893">
        <f t="shared" si="31"/>
        <v>0</v>
      </c>
      <c r="O410" s="905"/>
      <c r="P410" s="58" t="str">
        <f>IF(N408&gt;0,"xx",IF(N408&gt;0,"xy",""))</f>
        <v>xx</v>
      </c>
      <c r="Q410" s="317" t="str">
        <f t="shared" si="28"/>
        <v>x</v>
      </c>
      <c r="R410" s="317" t="str">
        <f t="shared" si="29"/>
        <v>x</v>
      </c>
      <c r="S410" s="317" t="str">
        <f t="shared" si="30"/>
        <v/>
      </c>
      <c r="T410" s="317" t="str">
        <f>GLOBAL_DER_FEV_2023!S410</f>
        <v/>
      </c>
      <c r="W410" s="582">
        <v>0</v>
      </c>
      <c r="X410" s="580"/>
      <c r="Y410" s="583">
        <f>IF(GLOBAL_DER_FEV_2023!W410=0,0,IF(GLOBAL_DER_FEV_2023!W410&gt;0,"c","b"))</f>
        <v>0</v>
      </c>
    </row>
    <row r="411" spans="1:25" x14ac:dyDescent="0.2">
      <c r="A411" s="317" t="s">
        <v>147</v>
      </c>
      <c r="B411" s="895" t="str">
        <f>GLOBAL_DER_FEV_2023!B411</f>
        <v>transporte</v>
      </c>
      <c r="C411" s="896">
        <f>GLOBAL_DER_FEV_2023!C411</f>
        <v>0</v>
      </c>
      <c r="D411" s="957" t="str">
        <f>GLOBAL_DER_FEV_2023!D411</f>
        <v>Brita ( usina )</v>
      </c>
      <c r="E411" s="907">
        <f>GLOBAL_DER_FEV_2023!E411</f>
        <v>0.2</v>
      </c>
      <c r="F411" s="1287">
        <f>GLOBAL_DER_FEV_2023!F411</f>
        <v>0.83989999999999998</v>
      </c>
      <c r="G411" s="949">
        <f>GLOBAL_DER_FEV_2023!G411</f>
        <v>2.4306706</v>
      </c>
      <c r="H411" s="901">
        <f>GLOBAL_DER_FEV_2023!H411</f>
        <v>0</v>
      </c>
      <c r="I411" s="901">
        <f>GLOBAL_DER_FEV_2023!I411</f>
        <v>0</v>
      </c>
      <c r="J411" s="902">
        <f>GLOBAL_DER_FEV_2023!J411</f>
        <v>0</v>
      </c>
      <c r="K411" s="903" t="s">
        <v>507</v>
      </c>
      <c r="L411" s="1003"/>
      <c r="M411" s="1157">
        <f t="shared" si="27"/>
        <v>0</v>
      </c>
      <c r="N411" s="893">
        <f t="shared" si="31"/>
        <v>0</v>
      </c>
      <c r="O411" s="905"/>
      <c r="P411" s="58" t="str">
        <f>IF(N408&gt;0,"xx",IF(N408&gt;0,"xy",""))</f>
        <v>xx</v>
      </c>
      <c r="Q411" s="317" t="str">
        <f t="shared" si="28"/>
        <v>x</v>
      </c>
      <c r="R411" s="317" t="str">
        <f t="shared" si="29"/>
        <v>x</v>
      </c>
      <c r="S411" s="317" t="str">
        <f t="shared" si="30"/>
        <v/>
      </c>
      <c r="T411" s="317" t="str">
        <f>GLOBAL_DER_FEV_2023!S411</f>
        <v/>
      </c>
      <c r="W411" s="582">
        <v>0</v>
      </c>
      <c r="X411" s="580"/>
      <c r="Y411" s="583">
        <f>IF(GLOBAL_DER_FEV_2023!W411=0,0,IF(GLOBAL_DER_FEV_2023!W411&gt;0,"c","b"))</f>
        <v>0</v>
      </c>
    </row>
    <row r="412" spans="1:25" x14ac:dyDescent="0.2">
      <c r="A412" s="317" t="s">
        <v>147</v>
      </c>
      <c r="B412" s="895" t="str">
        <f>GLOBAL_DER_FEV_2023!B412</f>
        <v>transporte</v>
      </c>
      <c r="C412" s="896">
        <f>GLOBAL_DER_FEV_2023!C412</f>
        <v>0</v>
      </c>
      <c r="D412" s="957" t="str">
        <f>GLOBAL_DER_FEV_2023!D412</f>
        <v>Massa</v>
      </c>
      <c r="E412" s="907">
        <f>GLOBAL_DER_FEV_2023!E412</f>
        <v>22</v>
      </c>
      <c r="F412" s="908">
        <f>GLOBAL_DER_FEV_2023!F412</f>
        <v>1</v>
      </c>
      <c r="G412" s="912">
        <f>GLOBAL_DER_FEV_2023!G412</f>
        <v>29.990000000000002</v>
      </c>
      <c r="H412" s="901">
        <f>GLOBAL_DER_FEV_2023!H412</f>
        <v>0</v>
      </c>
      <c r="I412" s="901">
        <f>GLOBAL_DER_FEV_2023!I412</f>
        <v>0</v>
      </c>
      <c r="J412" s="902">
        <f>GLOBAL_DER_FEV_2023!J412</f>
        <v>0</v>
      </c>
      <c r="K412" s="903" t="s">
        <v>507</v>
      </c>
      <c r="L412" s="1003"/>
      <c r="M412" s="1157">
        <f t="shared" si="27"/>
        <v>0</v>
      </c>
      <c r="N412" s="893">
        <f t="shared" si="31"/>
        <v>0</v>
      </c>
      <c r="O412" s="905"/>
      <c r="P412" s="58" t="str">
        <f>IF(N408&gt;0,"xx",IF(N408&gt;0,"xy",""))</f>
        <v>xx</v>
      </c>
      <c r="Q412" s="317" t="str">
        <f t="shared" si="28"/>
        <v>x</v>
      </c>
      <c r="R412" s="317" t="str">
        <f t="shared" si="29"/>
        <v>x</v>
      </c>
      <c r="S412" s="317" t="str">
        <f t="shared" si="30"/>
        <v/>
      </c>
      <c r="T412" s="317" t="str">
        <f>GLOBAL_DER_FEV_2023!S412</f>
        <v/>
      </c>
      <c r="W412" s="582">
        <v>0</v>
      </c>
      <c r="X412" s="580"/>
      <c r="Y412" s="583">
        <f>IF(GLOBAL_DER_FEV_2023!W412=0,0,IF(GLOBAL_DER_FEV_2023!W412&gt;0,"c","b"))</f>
        <v>0</v>
      </c>
    </row>
    <row r="413" spans="1:25" ht="13.5" thickBot="1" x14ac:dyDescent="0.25">
      <c r="A413" s="317">
        <v>589000</v>
      </c>
      <c r="B413" s="1004" t="str">
        <f>GLOBAL_DER_FEV_2023!B413</f>
        <v>589000H</v>
      </c>
      <c r="C413" s="984" t="str">
        <f>GLOBAL_DER_FEV_2023!C413</f>
        <v>DER mat</v>
      </c>
      <c r="D413" s="1012" t="str">
        <f>GLOBAL_DER_FEV_2023!D413</f>
        <v>Fornecimento de CAP - CBUQ (Quantidade menor que 10.000 ton)</v>
      </c>
      <c r="E413" s="1005">
        <f>GLOBAL_DER_FEV_2023!E413</f>
        <v>45</v>
      </c>
      <c r="F413" s="1006">
        <f>GLOBAL_DER_FEV_2023!F413</f>
        <v>1</v>
      </c>
      <c r="G413" s="949">
        <f>GLOBAL_DER_FEV_2023!G413</f>
        <v>88.36</v>
      </c>
      <c r="H413" s="988">
        <f>GLOBAL_DER_FEV_2023!H413</f>
        <v>4828.8599999999997</v>
      </c>
      <c r="I413" s="988">
        <f>GLOBAL_DER_FEV_2023!I413</f>
        <v>4724.580378112767</v>
      </c>
      <c r="J413" s="989">
        <f>GLOBAL_DER_FEV_2023!J413</f>
        <v>5672.8</v>
      </c>
      <c r="K413" s="990" t="s">
        <v>14</v>
      </c>
      <c r="L413" s="1154">
        <f>ROUND(L408*$F408,2)</f>
        <v>23.42</v>
      </c>
      <c r="M413" s="1159">
        <f t="shared" si="27"/>
        <v>5672.8</v>
      </c>
      <c r="N413" s="993">
        <f t="shared" si="31"/>
        <v>132856.98000000001</v>
      </c>
      <c r="O413" s="905"/>
      <c r="P413" s="58" t="str">
        <f>IF(N408&gt;0,"xx",IF(N408&gt;0,"xy",""))</f>
        <v>xx</v>
      </c>
      <c r="Q413" s="317" t="str">
        <f t="shared" si="28"/>
        <v>x</v>
      </c>
      <c r="R413" s="317" t="str">
        <f t="shared" si="29"/>
        <v>x</v>
      </c>
      <c r="S413" s="317" t="str">
        <f t="shared" si="30"/>
        <v>x</v>
      </c>
      <c r="T413" s="317" t="str">
        <f>GLOBAL_DER_FEV_2023!S413</f>
        <v>x</v>
      </c>
      <c r="W413" s="582">
        <v>0</v>
      </c>
      <c r="X413" s="580"/>
      <c r="Y413" s="583" t="str">
        <f>IF(GLOBAL_DER_FEV_2023!W413=0,0,IF(GLOBAL_DER_FEV_2023!W413&gt;0,"c","b"))</f>
        <v>b</v>
      </c>
    </row>
    <row r="414" spans="1:25" ht="15.75" hidden="1" customHeight="1" x14ac:dyDescent="0.2">
      <c r="A414" s="317">
        <v>570000</v>
      </c>
      <c r="B414" s="999" t="str">
        <f>GLOBAL_DER_FEV_2023!B414</f>
        <v>570000A</v>
      </c>
      <c r="C414" s="1000" t="str">
        <f>GLOBAL_DER_FEV_2023!C414</f>
        <v>DER</v>
      </c>
      <c r="D414" s="1024" t="str">
        <f>GLOBAL_DER_FEV_2023!D414</f>
        <v>CBUQ - Novo traço - Reperfilamento 3 - "FAIXA C" - (Quant. menor que 10.000 ton)</v>
      </c>
      <c r="E414" s="974" t="str">
        <f>GLOBAL_DER_FEV_2023!E414</f>
        <v>taxa CAP</v>
      </c>
      <c r="F414" s="1022">
        <f>Novos_Traços_CBUQ!M178</f>
        <v>0.05</v>
      </c>
      <c r="G414" s="976">
        <f>GLOBAL_DER_FEV_2023!G414</f>
        <v>51.974273800000006</v>
      </c>
      <c r="H414" s="977">
        <f>GLOBAL_DER_FEV_2023!H414</f>
        <v>187.41</v>
      </c>
      <c r="I414" s="977">
        <f>GLOBAL_DER_FEV_2023!I414</f>
        <v>239.38427380000002</v>
      </c>
      <c r="J414" s="978">
        <f>GLOBAL_DER_FEV_2023!J414</f>
        <v>287.43</v>
      </c>
      <c r="K414" s="979" t="s">
        <v>14</v>
      </c>
      <c r="L414" s="1152"/>
      <c r="M414" s="1153">
        <f t="shared" si="27"/>
        <v>0</v>
      </c>
      <c r="N414" s="982">
        <f t="shared" si="31"/>
        <v>0</v>
      </c>
      <c r="O414" s="905"/>
      <c r="Q414" s="317" t="str">
        <f t="shared" si="28"/>
        <v/>
      </c>
      <c r="R414" s="317" t="str">
        <f t="shared" si="29"/>
        <v/>
      </c>
      <c r="S414" s="317" t="str">
        <f t="shared" si="30"/>
        <v/>
      </c>
      <c r="T414" s="317" t="str">
        <f>GLOBAL_DER_FEV_2023!S414</f>
        <v/>
      </c>
      <c r="W414" s="582">
        <v>0</v>
      </c>
      <c r="X414" s="580"/>
      <c r="Y414" s="583">
        <f>IF(GLOBAL_DER_FEV_2023!W414=0,0,IF(GLOBAL_DER_FEV_2023!W414&gt;0,"c","b"))</f>
        <v>0</v>
      </c>
    </row>
    <row r="415" spans="1:25" ht="13.5" hidden="1" thickBot="1" x14ac:dyDescent="0.25">
      <c r="A415" s="317" t="s">
        <v>147</v>
      </c>
      <c r="B415" s="895" t="str">
        <f>GLOBAL_DER_FEV_2023!B415</f>
        <v>transporte</v>
      </c>
      <c r="C415" s="896">
        <f>GLOBAL_DER_FEV_2023!C415</f>
        <v>0</v>
      </c>
      <c r="D415" s="957" t="str">
        <f>GLOBAL_DER_FEV_2023!D415</f>
        <v>Areia</v>
      </c>
      <c r="E415" s="907">
        <f>GLOBAL_DER_FEV_2023!E415</f>
        <v>150</v>
      </c>
      <c r="F415" s="1287">
        <f>Novos_Traços_CBUQ!M176</f>
        <v>9.5000000000000001E-2</v>
      </c>
      <c r="G415" s="949">
        <f>GLOBAL_DER_FEV_2023!G415</f>
        <v>15.5021</v>
      </c>
      <c r="H415" s="901">
        <f>GLOBAL_DER_FEV_2023!H415</f>
        <v>0</v>
      </c>
      <c r="I415" s="901">
        <f>GLOBAL_DER_FEV_2023!I415</f>
        <v>0</v>
      </c>
      <c r="J415" s="902">
        <f>GLOBAL_DER_FEV_2023!J415</f>
        <v>0</v>
      </c>
      <c r="K415" s="903" t="s">
        <v>507</v>
      </c>
      <c r="L415" s="1003"/>
      <c r="M415" s="1157">
        <f t="shared" si="27"/>
        <v>0</v>
      </c>
      <c r="N415" s="893">
        <f t="shared" si="31"/>
        <v>0</v>
      </c>
      <c r="O415" s="905"/>
      <c r="P415" s="58" t="str">
        <f>IF(N414&gt;0,"xx",IF(N414&gt;0,"xy",""))</f>
        <v/>
      </c>
      <c r="Q415" s="317" t="str">
        <f t="shared" si="28"/>
        <v/>
      </c>
      <c r="R415" s="317" t="str">
        <f t="shared" si="29"/>
        <v/>
      </c>
      <c r="S415" s="317" t="str">
        <f t="shared" si="30"/>
        <v/>
      </c>
      <c r="T415" s="317" t="str">
        <f>GLOBAL_DER_FEV_2023!S415</f>
        <v/>
      </c>
      <c r="W415" s="582">
        <v>0</v>
      </c>
      <c r="X415" s="580"/>
      <c r="Y415" s="583">
        <f>IF(GLOBAL_DER_FEV_2023!W415=0,0,IF(GLOBAL_DER_FEV_2023!W415&gt;0,"c","b"))</f>
        <v>0</v>
      </c>
    </row>
    <row r="416" spans="1:25" ht="13.5" hidden="1" thickBot="1" x14ac:dyDescent="0.25">
      <c r="A416" s="317" t="s">
        <v>147</v>
      </c>
      <c r="B416" s="895" t="str">
        <f>GLOBAL_DER_FEV_2023!B416</f>
        <v>transporte</v>
      </c>
      <c r="C416" s="896">
        <f>GLOBAL_DER_FEV_2023!C416</f>
        <v>0</v>
      </c>
      <c r="D416" s="957" t="str">
        <f>GLOBAL_DER_FEV_2023!D416</f>
        <v>Cal Hidratada CH-1</v>
      </c>
      <c r="E416" s="907">
        <f>GLOBAL_DER_FEV_2023!E416</f>
        <v>353</v>
      </c>
      <c r="F416" s="1287">
        <f>Novos_Traços_CBUQ!M177</f>
        <v>1.43E-2</v>
      </c>
      <c r="G416" s="909">
        <f>GLOBAL_DER_FEV_2023!G416</f>
        <v>4.049188</v>
      </c>
      <c r="H416" s="901">
        <f>GLOBAL_DER_FEV_2023!H416</f>
        <v>0</v>
      </c>
      <c r="I416" s="901">
        <f>GLOBAL_DER_FEV_2023!I416</f>
        <v>0</v>
      </c>
      <c r="J416" s="902">
        <f>GLOBAL_DER_FEV_2023!J416</f>
        <v>0</v>
      </c>
      <c r="K416" s="903" t="s">
        <v>507</v>
      </c>
      <c r="L416" s="1003"/>
      <c r="M416" s="1157">
        <f t="shared" si="27"/>
        <v>0</v>
      </c>
      <c r="N416" s="893">
        <f t="shared" si="31"/>
        <v>0</v>
      </c>
      <c r="O416" s="905"/>
      <c r="P416" s="58" t="str">
        <f>IF(N414&gt;0,"xx",IF(N414&gt;0,"xy",""))</f>
        <v/>
      </c>
      <c r="Q416" s="317" t="str">
        <f t="shared" si="28"/>
        <v/>
      </c>
      <c r="R416" s="317" t="str">
        <f t="shared" si="29"/>
        <v/>
      </c>
      <c r="S416" s="317" t="str">
        <f t="shared" si="30"/>
        <v/>
      </c>
      <c r="T416" s="317" t="str">
        <f>GLOBAL_DER_FEV_2023!S416</f>
        <v/>
      </c>
      <c r="W416" s="582">
        <v>0</v>
      </c>
      <c r="X416" s="580"/>
      <c r="Y416" s="583">
        <f>IF(GLOBAL_DER_FEV_2023!W416=0,0,IF(GLOBAL_DER_FEV_2023!W416&gt;0,"c","b"))</f>
        <v>0</v>
      </c>
    </row>
    <row r="417" spans="1:25" ht="13.5" hidden="1" thickBot="1" x14ac:dyDescent="0.25">
      <c r="A417" s="317" t="s">
        <v>147</v>
      </c>
      <c r="B417" s="895" t="str">
        <f>GLOBAL_DER_FEV_2023!B417</f>
        <v>transporte</v>
      </c>
      <c r="C417" s="896">
        <f>GLOBAL_DER_FEV_2023!C417</f>
        <v>0</v>
      </c>
      <c r="D417" s="957" t="str">
        <f>GLOBAL_DER_FEV_2023!D417</f>
        <v>Brita ( usina )</v>
      </c>
      <c r="E417" s="907">
        <f>GLOBAL_DER_FEV_2023!E417</f>
        <v>0.2</v>
      </c>
      <c r="F417" s="1287">
        <f>Novos_Traços_CBUQ!M174</f>
        <v>0.8407</v>
      </c>
      <c r="G417" s="949">
        <f>GLOBAL_DER_FEV_2023!G417</f>
        <v>2.4329858</v>
      </c>
      <c r="H417" s="901">
        <f>GLOBAL_DER_FEV_2023!H417</f>
        <v>0</v>
      </c>
      <c r="I417" s="901">
        <f>GLOBAL_DER_FEV_2023!I417</f>
        <v>0</v>
      </c>
      <c r="J417" s="902">
        <f>GLOBAL_DER_FEV_2023!J417</f>
        <v>0</v>
      </c>
      <c r="K417" s="903" t="s">
        <v>507</v>
      </c>
      <c r="L417" s="1003"/>
      <c r="M417" s="1157">
        <f t="shared" si="27"/>
        <v>0</v>
      </c>
      <c r="N417" s="893">
        <f t="shared" si="31"/>
        <v>0</v>
      </c>
      <c r="O417" s="905"/>
      <c r="P417" s="58" t="str">
        <f>IF(N414&gt;0,"xx",IF(N414&gt;0,"xy",""))</f>
        <v/>
      </c>
      <c r="Q417" s="317" t="str">
        <f t="shared" si="28"/>
        <v/>
      </c>
      <c r="R417" s="317" t="str">
        <f t="shared" si="29"/>
        <v/>
      </c>
      <c r="S417" s="317" t="str">
        <f t="shared" si="30"/>
        <v/>
      </c>
      <c r="T417" s="317" t="str">
        <f>GLOBAL_DER_FEV_2023!S417</f>
        <v/>
      </c>
      <c r="W417" s="582">
        <v>0</v>
      </c>
      <c r="X417" s="580"/>
      <c r="Y417" s="583">
        <f>IF(GLOBAL_DER_FEV_2023!W417=0,0,IF(GLOBAL_DER_FEV_2023!W417&gt;0,"c","b"))</f>
        <v>0</v>
      </c>
    </row>
    <row r="418" spans="1:25" ht="13.5" hidden="1" thickBot="1" x14ac:dyDescent="0.25">
      <c r="A418" s="317" t="s">
        <v>147</v>
      </c>
      <c r="B418" s="895" t="str">
        <f>GLOBAL_DER_FEV_2023!B418</f>
        <v>transporte</v>
      </c>
      <c r="C418" s="896">
        <f>GLOBAL_DER_FEV_2023!C418</f>
        <v>0</v>
      </c>
      <c r="D418" s="957" t="str">
        <f>GLOBAL_DER_FEV_2023!D418</f>
        <v>Massa</v>
      </c>
      <c r="E418" s="907">
        <f>GLOBAL_DER_FEV_2023!E418</f>
        <v>22</v>
      </c>
      <c r="F418" s="908">
        <f>GLOBAL_DER_FEV_2023!F418</f>
        <v>1</v>
      </c>
      <c r="G418" s="912">
        <f>GLOBAL_DER_FEV_2023!G418</f>
        <v>29.990000000000002</v>
      </c>
      <c r="H418" s="901">
        <f>GLOBAL_DER_FEV_2023!H418</f>
        <v>0</v>
      </c>
      <c r="I418" s="901">
        <f>GLOBAL_DER_FEV_2023!I418</f>
        <v>0</v>
      </c>
      <c r="J418" s="902">
        <f>GLOBAL_DER_FEV_2023!J418</f>
        <v>0</v>
      </c>
      <c r="K418" s="903" t="s">
        <v>507</v>
      </c>
      <c r="L418" s="1003"/>
      <c r="M418" s="1157">
        <f t="shared" si="27"/>
        <v>0</v>
      </c>
      <c r="N418" s="893">
        <f t="shared" si="31"/>
        <v>0</v>
      </c>
      <c r="O418" s="905"/>
      <c r="P418" s="58" t="str">
        <f>IF(N414&gt;0,"xx",IF(N414&gt;0,"xy",""))</f>
        <v/>
      </c>
      <c r="Q418" s="317" t="str">
        <f t="shared" si="28"/>
        <v/>
      </c>
      <c r="R418" s="317" t="str">
        <f t="shared" si="29"/>
        <v/>
      </c>
      <c r="S418" s="317" t="str">
        <f t="shared" si="30"/>
        <v/>
      </c>
      <c r="T418" s="317" t="str">
        <f>GLOBAL_DER_FEV_2023!S418</f>
        <v/>
      </c>
      <c r="W418" s="582">
        <v>0</v>
      </c>
      <c r="X418" s="580"/>
      <c r="Y418" s="583">
        <f>IF(GLOBAL_DER_FEV_2023!W418=0,0,IF(GLOBAL_DER_FEV_2023!W418&gt;0,"c","b"))</f>
        <v>0</v>
      </c>
    </row>
    <row r="419" spans="1:25" ht="13.5" hidden="1" thickBot="1" x14ac:dyDescent="0.25">
      <c r="A419" s="317">
        <v>589000</v>
      </c>
      <c r="B419" s="1004" t="str">
        <f>GLOBAL_DER_FEV_2023!B419</f>
        <v>589000H</v>
      </c>
      <c r="C419" s="984" t="str">
        <f>GLOBAL_DER_FEV_2023!C419</f>
        <v>DER mat</v>
      </c>
      <c r="D419" s="1012" t="str">
        <f>GLOBAL_DER_FEV_2023!D419</f>
        <v>Fornecimento de CAP - CBUQ (Quantidade menor que 10.000 ton)</v>
      </c>
      <c r="E419" s="1005">
        <f>GLOBAL_DER_FEV_2023!E419</f>
        <v>45</v>
      </c>
      <c r="F419" s="1006">
        <f>GLOBAL_DER_FEV_2023!F419</f>
        <v>1</v>
      </c>
      <c r="G419" s="949">
        <f>GLOBAL_DER_FEV_2023!G419</f>
        <v>88.36</v>
      </c>
      <c r="H419" s="988">
        <f>GLOBAL_DER_FEV_2023!H419</f>
        <v>4828.8599999999997</v>
      </c>
      <c r="I419" s="988">
        <f>GLOBAL_DER_FEV_2023!I419</f>
        <v>4724.580378112767</v>
      </c>
      <c r="J419" s="989">
        <f>GLOBAL_DER_FEV_2023!J419</f>
        <v>5672.8</v>
      </c>
      <c r="K419" s="990" t="s">
        <v>14</v>
      </c>
      <c r="L419" s="1154">
        <f>ROUND(L414*$F414,2)</f>
        <v>0</v>
      </c>
      <c r="M419" s="1159">
        <f t="shared" si="27"/>
        <v>0</v>
      </c>
      <c r="N419" s="993">
        <f t="shared" si="31"/>
        <v>0</v>
      </c>
      <c r="O419" s="905"/>
      <c r="P419" s="58" t="str">
        <f>IF(N414&gt;0,"xx",IF(N414&gt;0,"xy",""))</f>
        <v/>
      </c>
      <c r="Q419" s="317" t="str">
        <f t="shared" si="28"/>
        <v/>
      </c>
      <c r="R419" s="317" t="str">
        <f t="shared" si="29"/>
        <v/>
      </c>
      <c r="S419" s="317" t="str">
        <f t="shared" si="30"/>
        <v/>
      </c>
      <c r="T419" s="317" t="str">
        <f>GLOBAL_DER_FEV_2023!S419</f>
        <v/>
      </c>
      <c r="W419" s="582">
        <v>0</v>
      </c>
      <c r="X419" s="580"/>
      <c r="Y419" s="583">
        <f>IF(GLOBAL_DER_FEV_2023!W419=0,0,IF(GLOBAL_DER_FEV_2023!W419&gt;0,"c","b"))</f>
        <v>0</v>
      </c>
    </row>
    <row r="420" spans="1:25" ht="21" customHeight="1" x14ac:dyDescent="0.2">
      <c r="A420" s="317">
        <v>570000</v>
      </c>
      <c r="B420" s="999" t="str">
        <f>GLOBAL_DER_FEV_2023!B420</f>
        <v>570000B</v>
      </c>
      <c r="C420" s="1000" t="str">
        <f>GLOBAL_DER_FEV_2023!C420</f>
        <v>DER</v>
      </c>
      <c r="D420" s="1019" t="str">
        <f>GLOBAL_DER_FEV_2023!D420</f>
        <v>CBUQ - TRAÇO 1 - CAPA - Faixa "C" (Quantidade menor que 10.000 ton)</v>
      </c>
      <c r="E420" s="974" t="str">
        <f>GLOBAL_DER_FEV_2023!E420</f>
        <v>taxa CAP</v>
      </c>
      <c r="F420" s="1023">
        <f>Novos_Traços_CBUQ!M184</f>
        <v>0.05</v>
      </c>
      <c r="G420" s="976">
        <f>GLOBAL_DER_FEV_2023!G420</f>
        <v>53.140143399999999</v>
      </c>
      <c r="H420" s="977">
        <f>GLOBAL_DER_FEV_2023!H420</f>
        <v>187.41</v>
      </c>
      <c r="I420" s="977">
        <f>GLOBAL_DER_FEV_2023!I420</f>
        <v>240.5501434</v>
      </c>
      <c r="J420" s="978">
        <f>GLOBAL_DER_FEV_2023!J420</f>
        <v>288.83</v>
      </c>
      <c r="K420" s="979" t="s">
        <v>14</v>
      </c>
      <c r="L420" s="1152">
        <f>L236/2*0.03*2.4</f>
        <v>688.72176000000002</v>
      </c>
      <c r="M420" s="1153">
        <f t="shared" si="27"/>
        <v>288.83</v>
      </c>
      <c r="N420" s="982">
        <f t="shared" si="31"/>
        <v>198923.51</v>
      </c>
      <c r="O420" s="905"/>
      <c r="Q420" s="317" t="str">
        <f t="shared" si="28"/>
        <v>x</v>
      </c>
      <c r="R420" s="317" t="str">
        <f t="shared" si="29"/>
        <v>x</v>
      </c>
      <c r="S420" s="317" t="str">
        <f t="shared" si="30"/>
        <v>x</v>
      </c>
      <c r="T420" s="317" t="str">
        <f>GLOBAL_DER_FEV_2023!S420</f>
        <v>x</v>
      </c>
      <c r="W420" s="582">
        <v>0</v>
      </c>
      <c r="X420" s="580"/>
      <c r="Y420" s="583" t="str">
        <f>IF(GLOBAL_DER_FEV_2023!W420=0,0,IF(GLOBAL_DER_FEV_2023!W420&gt;0,"c","b"))</f>
        <v>b</v>
      </c>
    </row>
    <row r="421" spans="1:25" x14ac:dyDescent="0.2">
      <c r="A421" s="317" t="s">
        <v>147</v>
      </c>
      <c r="B421" s="895" t="str">
        <f>GLOBAL_DER_FEV_2023!B421</f>
        <v>transporte</v>
      </c>
      <c r="C421" s="896">
        <f>GLOBAL_DER_FEV_2023!C421</f>
        <v>0</v>
      </c>
      <c r="D421" s="957" t="str">
        <f>GLOBAL_DER_FEV_2023!D421</f>
        <v>Areia</v>
      </c>
      <c r="E421" s="907">
        <f>GLOBAL_DER_FEV_2023!E421</f>
        <v>150</v>
      </c>
      <c r="F421" s="908">
        <f>Novos_Traços_CBUQ!M182</f>
        <v>0</v>
      </c>
      <c r="G421" s="949">
        <f>GLOBAL_DER_FEV_2023!G421</f>
        <v>16.432226</v>
      </c>
      <c r="H421" s="901">
        <f>GLOBAL_DER_FEV_2023!H421</f>
        <v>0</v>
      </c>
      <c r="I421" s="901">
        <f>GLOBAL_DER_FEV_2023!I421</f>
        <v>0</v>
      </c>
      <c r="J421" s="902">
        <f>GLOBAL_DER_FEV_2023!J421</f>
        <v>0</v>
      </c>
      <c r="K421" s="903" t="s">
        <v>507</v>
      </c>
      <c r="L421" s="1003"/>
      <c r="M421" s="1157">
        <f t="shared" si="27"/>
        <v>0</v>
      </c>
      <c r="N421" s="893">
        <f t="shared" si="31"/>
        <v>0</v>
      </c>
      <c r="O421" s="905"/>
      <c r="P421" s="58" t="str">
        <f>IF(N420&gt;0,"xx",IF(N420&gt;0,"xy",""))</f>
        <v>xx</v>
      </c>
      <c r="Q421" s="317" t="str">
        <f t="shared" si="28"/>
        <v>x</v>
      </c>
      <c r="R421" s="317" t="str">
        <f t="shared" si="29"/>
        <v>x</v>
      </c>
      <c r="S421" s="317" t="str">
        <f t="shared" si="30"/>
        <v/>
      </c>
      <c r="T421" s="317" t="str">
        <f>GLOBAL_DER_FEV_2023!S421</f>
        <v/>
      </c>
      <c r="W421" s="582">
        <v>0</v>
      </c>
      <c r="X421" s="580"/>
      <c r="Y421" s="583">
        <f>IF(GLOBAL_DER_FEV_2023!W421=0,0,IF(GLOBAL_DER_FEV_2023!W421&gt;0,"c","b"))</f>
        <v>0</v>
      </c>
    </row>
    <row r="422" spans="1:25" x14ac:dyDescent="0.2">
      <c r="A422" s="317" t="s">
        <v>147</v>
      </c>
      <c r="B422" s="895" t="str">
        <f>GLOBAL_DER_FEV_2023!B422</f>
        <v>transporte</v>
      </c>
      <c r="C422" s="896">
        <f>GLOBAL_DER_FEV_2023!C422</f>
        <v>0</v>
      </c>
      <c r="D422" s="957" t="str">
        <f>GLOBAL_DER_FEV_2023!D422</f>
        <v>Cal Hidratada CH-1</v>
      </c>
      <c r="E422" s="907">
        <f>GLOBAL_DER_FEV_2023!E422</f>
        <v>353</v>
      </c>
      <c r="F422" s="908">
        <f>Novos_Traços_CBUQ!M183</f>
        <v>0</v>
      </c>
      <c r="G422" s="909">
        <f>GLOBAL_DER_FEV_2023!G422</f>
        <v>4.3040320000000003</v>
      </c>
      <c r="H422" s="901">
        <f>GLOBAL_DER_FEV_2023!H422</f>
        <v>0</v>
      </c>
      <c r="I422" s="901">
        <f>GLOBAL_DER_FEV_2023!I422</f>
        <v>0</v>
      </c>
      <c r="J422" s="902">
        <f>GLOBAL_DER_FEV_2023!J422</f>
        <v>0</v>
      </c>
      <c r="K422" s="903" t="s">
        <v>507</v>
      </c>
      <c r="L422" s="1003"/>
      <c r="M422" s="1157">
        <f t="shared" si="27"/>
        <v>0</v>
      </c>
      <c r="N422" s="893">
        <f t="shared" si="31"/>
        <v>0</v>
      </c>
      <c r="O422" s="905"/>
      <c r="P422" s="58" t="str">
        <f>IF(N420&gt;0,"xx",IF(N420&gt;0,"xy",""))</f>
        <v>xx</v>
      </c>
      <c r="Q422" s="317" t="str">
        <f t="shared" si="28"/>
        <v>x</v>
      </c>
      <c r="R422" s="317" t="str">
        <f t="shared" si="29"/>
        <v>x</v>
      </c>
      <c r="S422" s="317" t="str">
        <f t="shared" si="30"/>
        <v/>
      </c>
      <c r="T422" s="317" t="str">
        <f>GLOBAL_DER_FEV_2023!S422</f>
        <v/>
      </c>
      <c r="W422" s="582">
        <v>0</v>
      </c>
      <c r="X422" s="580"/>
      <c r="Y422" s="583">
        <f>IF(GLOBAL_DER_FEV_2023!W422=0,0,IF(GLOBAL_DER_FEV_2023!W422&gt;0,"c","b"))</f>
        <v>0</v>
      </c>
    </row>
    <row r="423" spans="1:25" x14ac:dyDescent="0.2">
      <c r="A423" s="317" t="s">
        <v>147</v>
      </c>
      <c r="B423" s="895" t="str">
        <f>GLOBAL_DER_FEV_2023!B423</f>
        <v>transporte</v>
      </c>
      <c r="C423" s="896">
        <f>GLOBAL_DER_FEV_2023!C423</f>
        <v>0</v>
      </c>
      <c r="D423" s="957" t="str">
        <f>GLOBAL_DER_FEV_2023!D423</f>
        <v>Brita ( usina )</v>
      </c>
      <c r="E423" s="907">
        <f>GLOBAL_DER_FEV_2023!E423</f>
        <v>0.2</v>
      </c>
      <c r="F423" s="908" t="str">
        <f>Novos_Traços_CBUQ!M180</f>
        <v>OK</v>
      </c>
      <c r="G423" s="949">
        <f>GLOBAL_DER_FEV_2023!G423</f>
        <v>2.4138853999999998</v>
      </c>
      <c r="H423" s="901">
        <f>GLOBAL_DER_FEV_2023!H423</f>
        <v>0</v>
      </c>
      <c r="I423" s="901">
        <f>GLOBAL_DER_FEV_2023!I423</f>
        <v>0</v>
      </c>
      <c r="J423" s="902">
        <f>GLOBAL_DER_FEV_2023!J423</f>
        <v>0</v>
      </c>
      <c r="K423" s="903" t="s">
        <v>507</v>
      </c>
      <c r="L423" s="1003"/>
      <c r="M423" s="1157">
        <f t="shared" si="27"/>
        <v>0</v>
      </c>
      <c r="N423" s="893">
        <f t="shared" si="31"/>
        <v>0</v>
      </c>
      <c r="O423" s="905"/>
      <c r="P423" s="58" t="str">
        <f>IF(N420&gt;0,"xx",IF(N420&gt;0,"xy",""))</f>
        <v>xx</v>
      </c>
      <c r="Q423" s="317" t="str">
        <f t="shared" si="28"/>
        <v>x</v>
      </c>
      <c r="R423" s="317" t="str">
        <f t="shared" si="29"/>
        <v>x</v>
      </c>
      <c r="S423" s="317" t="str">
        <f t="shared" si="30"/>
        <v/>
      </c>
      <c r="T423" s="317" t="str">
        <f>GLOBAL_DER_FEV_2023!S423</f>
        <v/>
      </c>
      <c r="W423" s="582">
        <v>0</v>
      </c>
      <c r="X423" s="580"/>
      <c r="Y423" s="583">
        <f>IF(GLOBAL_DER_FEV_2023!W423=0,0,IF(GLOBAL_DER_FEV_2023!W423&gt;0,"c","b"))</f>
        <v>0</v>
      </c>
    </row>
    <row r="424" spans="1:25" x14ac:dyDescent="0.2">
      <c r="A424" s="317" t="s">
        <v>147</v>
      </c>
      <c r="B424" s="895" t="str">
        <f>GLOBAL_DER_FEV_2023!B424</f>
        <v>transporte</v>
      </c>
      <c r="C424" s="896">
        <f>GLOBAL_DER_FEV_2023!C424</f>
        <v>0</v>
      </c>
      <c r="D424" s="957" t="str">
        <f>GLOBAL_DER_FEV_2023!D424</f>
        <v>Massa</v>
      </c>
      <c r="E424" s="907">
        <f>GLOBAL_DER_FEV_2023!E424</f>
        <v>22</v>
      </c>
      <c r="F424" s="908">
        <f>GLOBAL_DER_FEV_2023!F424</f>
        <v>1</v>
      </c>
      <c r="G424" s="912">
        <f>GLOBAL_DER_FEV_2023!G424</f>
        <v>29.990000000000002</v>
      </c>
      <c r="H424" s="901">
        <f>GLOBAL_DER_FEV_2023!H424</f>
        <v>0</v>
      </c>
      <c r="I424" s="901">
        <f>GLOBAL_DER_FEV_2023!I424</f>
        <v>0</v>
      </c>
      <c r="J424" s="902">
        <f>GLOBAL_DER_FEV_2023!J424</f>
        <v>0</v>
      </c>
      <c r="K424" s="903" t="s">
        <v>507</v>
      </c>
      <c r="L424" s="1003"/>
      <c r="M424" s="1157">
        <f t="shared" si="27"/>
        <v>0</v>
      </c>
      <c r="N424" s="893">
        <f t="shared" si="31"/>
        <v>0</v>
      </c>
      <c r="O424" s="905"/>
      <c r="P424" s="58" t="str">
        <f>IF(N420&gt;0,"xx",IF(N420&gt;0,"xy",""))</f>
        <v>xx</v>
      </c>
      <c r="Q424" s="317" t="str">
        <f t="shared" si="28"/>
        <v>x</v>
      </c>
      <c r="R424" s="317" t="str">
        <f t="shared" si="29"/>
        <v>x</v>
      </c>
      <c r="S424" s="317" t="str">
        <f t="shared" si="30"/>
        <v/>
      </c>
      <c r="T424" s="317" t="str">
        <f>GLOBAL_DER_FEV_2023!S424</f>
        <v/>
      </c>
      <c r="W424" s="582">
        <v>0</v>
      </c>
      <c r="X424" s="580"/>
      <c r="Y424" s="583">
        <f>IF(GLOBAL_DER_FEV_2023!W424=0,0,IF(GLOBAL_DER_FEV_2023!W424&gt;0,"c","b"))</f>
        <v>0</v>
      </c>
    </row>
    <row r="425" spans="1:25" ht="13.5" thickBot="1" x14ac:dyDescent="0.25">
      <c r="A425" s="317">
        <v>589000</v>
      </c>
      <c r="B425" s="1004" t="str">
        <f>GLOBAL_DER_FEV_2023!B425</f>
        <v>589000I</v>
      </c>
      <c r="C425" s="984" t="str">
        <f>GLOBAL_DER_FEV_2023!C425</f>
        <v>DER mat</v>
      </c>
      <c r="D425" s="1012" t="str">
        <f>GLOBAL_DER_FEV_2023!D425</f>
        <v>Fornecimento de CAP - CBUQ (Quantidade menor que 10.000 ton)</v>
      </c>
      <c r="E425" s="1005">
        <f>GLOBAL_DER_FEV_2023!E425</f>
        <v>45</v>
      </c>
      <c r="F425" s="1006">
        <f>GLOBAL_DER_FEV_2023!F425</f>
        <v>1</v>
      </c>
      <c r="G425" s="949">
        <f>GLOBAL_DER_FEV_2023!G425</f>
        <v>88.36</v>
      </c>
      <c r="H425" s="988">
        <f>GLOBAL_DER_FEV_2023!H425</f>
        <v>4828.8599999999997</v>
      </c>
      <c r="I425" s="988">
        <f>GLOBAL_DER_FEV_2023!I425</f>
        <v>4724.580378112767</v>
      </c>
      <c r="J425" s="989">
        <f>GLOBAL_DER_FEV_2023!J425</f>
        <v>5672.8</v>
      </c>
      <c r="K425" s="990" t="s">
        <v>14</v>
      </c>
      <c r="L425" s="1154">
        <f>ROUND(L420*$F420,2)</f>
        <v>34.44</v>
      </c>
      <c r="M425" s="1159">
        <f t="shared" ref="M425:M524" si="32">IF(L425=0,0,ROUND(J425,2))</f>
        <v>5672.8</v>
      </c>
      <c r="N425" s="993">
        <f t="shared" si="31"/>
        <v>195371.23</v>
      </c>
      <c r="O425" s="905"/>
      <c r="P425" s="58" t="str">
        <f>IF(N420&gt;0,"xx",IF(N420&gt;0,"xy",""))</f>
        <v>xx</v>
      </c>
      <c r="Q425" s="317" t="str">
        <f t="shared" si="28"/>
        <v>x</v>
      </c>
      <c r="R425" s="317" t="str">
        <f t="shared" si="29"/>
        <v>x</v>
      </c>
      <c r="S425" s="317" t="str">
        <f t="shared" si="30"/>
        <v>x</v>
      </c>
      <c r="T425" s="317" t="str">
        <f>GLOBAL_DER_FEV_2023!S425</f>
        <v>x</v>
      </c>
      <c r="W425" s="582">
        <v>0</v>
      </c>
      <c r="X425" s="580"/>
      <c r="Y425" s="583">
        <f>IF(GLOBAL_DER_FEV_2023!W425=0,0,IF(GLOBAL_DER_FEV_2023!W425&gt;0,"c","b"))</f>
        <v>0</v>
      </c>
    </row>
    <row r="426" spans="1:25" ht="17.25" hidden="1" customHeight="1" x14ac:dyDescent="0.2">
      <c r="A426" s="317">
        <v>570000</v>
      </c>
      <c r="B426" s="999" t="str">
        <f>GLOBAL_DER_FEV_2023!B426</f>
        <v>570000C</v>
      </c>
      <c r="C426" s="1000" t="str">
        <f>GLOBAL_DER_FEV_2023!C426</f>
        <v>DER</v>
      </c>
      <c r="D426" s="1019" t="str">
        <f>GLOBAL_DER_FEV_2023!D426</f>
        <v>CBUQ - TRAÇO 2 - CAPA - Faixa "C" (Quantidade menor que 10.000 ton)</v>
      </c>
      <c r="E426" s="974" t="str">
        <f>GLOBAL_DER_FEV_2023!E426</f>
        <v>taxa CAP</v>
      </c>
      <c r="F426" s="1023">
        <f>GLOBAL_DER_FEV_2023!F426</f>
        <v>5.5E-2</v>
      </c>
      <c r="G426" s="976">
        <f>GLOBAL_DER_FEV_2023!G426</f>
        <v>53.017503800000007</v>
      </c>
      <c r="H426" s="977">
        <f>GLOBAL_DER_FEV_2023!H426</f>
        <v>187.41</v>
      </c>
      <c r="I426" s="977">
        <f>GLOBAL_DER_FEV_2023!I426</f>
        <v>240.42750380000001</v>
      </c>
      <c r="J426" s="978">
        <f>GLOBAL_DER_FEV_2023!J426</f>
        <v>288.68</v>
      </c>
      <c r="K426" s="979" t="s">
        <v>14</v>
      </c>
      <c r="L426" s="1152"/>
      <c r="M426" s="1153">
        <f t="shared" si="32"/>
        <v>0</v>
      </c>
      <c r="N426" s="982">
        <f t="shared" si="31"/>
        <v>0</v>
      </c>
      <c r="O426" s="905"/>
      <c r="Q426" s="317" t="str">
        <f t="shared" si="28"/>
        <v/>
      </c>
      <c r="R426" s="317" t="str">
        <f t="shared" si="29"/>
        <v/>
      </c>
      <c r="S426" s="317" t="str">
        <f t="shared" si="30"/>
        <v/>
      </c>
      <c r="T426" s="317" t="str">
        <f>GLOBAL_DER_FEV_2023!S426</f>
        <v/>
      </c>
      <c r="W426" s="582">
        <v>0</v>
      </c>
      <c r="X426" s="580"/>
      <c r="Y426" s="583">
        <f>IF(GLOBAL_DER_FEV_2023!W426=0,0,IF(GLOBAL_DER_FEV_2023!W426&gt;0,"c","b"))</f>
        <v>0</v>
      </c>
    </row>
    <row r="427" spans="1:25" ht="13.5" hidden="1" thickBot="1" x14ac:dyDescent="0.25">
      <c r="A427" s="317" t="s">
        <v>147</v>
      </c>
      <c r="B427" s="895" t="str">
        <f>GLOBAL_DER_FEV_2023!B427</f>
        <v>transporte</v>
      </c>
      <c r="C427" s="896">
        <f>GLOBAL_DER_FEV_2023!C427</f>
        <v>0</v>
      </c>
      <c r="D427" s="957" t="str">
        <f>GLOBAL_DER_FEV_2023!D427</f>
        <v>Areia</v>
      </c>
      <c r="E427" s="907">
        <f>GLOBAL_DER_FEV_2023!E427</f>
        <v>150</v>
      </c>
      <c r="F427" s="908">
        <f>GLOBAL_DER_FEV_2023!F427</f>
        <v>0.1002</v>
      </c>
      <c r="G427" s="949">
        <f>GLOBAL_DER_FEV_2023!G427</f>
        <v>16.350636000000002</v>
      </c>
      <c r="H427" s="901">
        <f>GLOBAL_DER_FEV_2023!H427</f>
        <v>0</v>
      </c>
      <c r="I427" s="901">
        <f>GLOBAL_DER_FEV_2023!I427</f>
        <v>0</v>
      </c>
      <c r="J427" s="902">
        <f>GLOBAL_DER_FEV_2023!J427</f>
        <v>0</v>
      </c>
      <c r="K427" s="903" t="s">
        <v>507</v>
      </c>
      <c r="L427" s="1003"/>
      <c r="M427" s="1157">
        <f t="shared" si="32"/>
        <v>0</v>
      </c>
      <c r="N427" s="893">
        <f t="shared" si="31"/>
        <v>0</v>
      </c>
      <c r="O427" s="905"/>
      <c r="P427" s="58" t="str">
        <f>IF(N426&gt;0,"xx",IF(N426&gt;0,"xy",""))</f>
        <v/>
      </c>
      <c r="Q427" s="317" t="str">
        <f t="shared" ref="Q427:Q526" si="33">IF(P427="X","x",IF(P427="xx","x",IF(P427="xy","x",IF(P427="y","x",IF(OR(N427&gt;0,N427&gt;0),"x","")))))</f>
        <v/>
      </c>
      <c r="R427" s="317" t="str">
        <f t="shared" si="29"/>
        <v/>
      </c>
      <c r="S427" s="317" t="str">
        <f t="shared" si="30"/>
        <v/>
      </c>
      <c r="T427" s="317" t="str">
        <f>GLOBAL_DER_FEV_2023!S427</f>
        <v/>
      </c>
      <c r="W427" s="582">
        <v>0</v>
      </c>
      <c r="X427" s="580"/>
      <c r="Y427" s="583">
        <f>IF(GLOBAL_DER_FEV_2023!W427=0,0,IF(GLOBAL_DER_FEV_2023!W427&gt;0,"c","b"))</f>
        <v>0</v>
      </c>
    </row>
    <row r="428" spans="1:25" ht="13.5" hidden="1" thickBot="1" x14ac:dyDescent="0.25">
      <c r="A428" s="317" t="s">
        <v>147</v>
      </c>
      <c r="B428" s="895" t="str">
        <f>GLOBAL_DER_FEV_2023!B428</f>
        <v>transporte</v>
      </c>
      <c r="C428" s="896">
        <f>GLOBAL_DER_FEV_2023!C428</f>
        <v>0</v>
      </c>
      <c r="D428" s="957" t="str">
        <f>GLOBAL_DER_FEV_2023!D428</f>
        <v>Cal Hidratada CH-1</v>
      </c>
      <c r="E428" s="907">
        <f>GLOBAL_DER_FEV_2023!E428</f>
        <v>353</v>
      </c>
      <c r="F428" s="908">
        <f>GLOBAL_DER_FEV_2023!F428</f>
        <v>1.5100000000000001E-2</v>
      </c>
      <c r="G428" s="909">
        <f>GLOBAL_DER_FEV_2023!G428</f>
        <v>4.275716000000001</v>
      </c>
      <c r="H428" s="901">
        <f>GLOBAL_DER_FEV_2023!H428</f>
        <v>0</v>
      </c>
      <c r="I428" s="901">
        <f>GLOBAL_DER_FEV_2023!I428</f>
        <v>0</v>
      </c>
      <c r="J428" s="902">
        <f>GLOBAL_DER_FEV_2023!J428</f>
        <v>0</v>
      </c>
      <c r="K428" s="903" t="s">
        <v>507</v>
      </c>
      <c r="L428" s="1003"/>
      <c r="M428" s="1157">
        <f t="shared" si="32"/>
        <v>0</v>
      </c>
      <c r="N428" s="893">
        <f t="shared" si="31"/>
        <v>0</v>
      </c>
      <c r="O428" s="905"/>
      <c r="P428" s="58" t="str">
        <f>IF(N426&gt;0,"xx",IF(N426&gt;0,"xy",""))</f>
        <v/>
      </c>
      <c r="Q428" s="317" t="str">
        <f t="shared" si="33"/>
        <v/>
      </c>
      <c r="R428" s="317" t="str">
        <f t="shared" si="29"/>
        <v/>
      </c>
      <c r="S428" s="317" t="str">
        <f t="shared" si="30"/>
        <v/>
      </c>
      <c r="T428" s="317" t="str">
        <f>GLOBAL_DER_FEV_2023!S428</f>
        <v/>
      </c>
      <c r="W428" s="582">
        <v>0</v>
      </c>
      <c r="X428" s="580"/>
      <c r="Y428" s="583">
        <f>IF(GLOBAL_DER_FEV_2023!W428=0,0,IF(GLOBAL_DER_FEV_2023!W428&gt;0,"c","b"))</f>
        <v>0</v>
      </c>
    </row>
    <row r="429" spans="1:25" ht="13.5" hidden="1" thickBot="1" x14ac:dyDescent="0.25">
      <c r="A429" s="317" t="s">
        <v>147</v>
      </c>
      <c r="B429" s="895" t="str">
        <f>GLOBAL_DER_FEV_2023!B429</f>
        <v>transporte</v>
      </c>
      <c r="C429" s="896">
        <f>GLOBAL_DER_FEV_2023!C429</f>
        <v>0</v>
      </c>
      <c r="D429" s="957" t="str">
        <f>GLOBAL_DER_FEV_2023!D429</f>
        <v>Brita ( usina )</v>
      </c>
      <c r="E429" s="907">
        <f>GLOBAL_DER_FEV_2023!E429</f>
        <v>0.2</v>
      </c>
      <c r="F429" s="908">
        <f>GLOBAL_DER_FEV_2023!F429</f>
        <v>0.82969999999999999</v>
      </c>
      <c r="G429" s="949">
        <f>GLOBAL_DER_FEV_2023!G429</f>
        <v>2.4011518000000001</v>
      </c>
      <c r="H429" s="901">
        <f>GLOBAL_DER_FEV_2023!H429</f>
        <v>0</v>
      </c>
      <c r="I429" s="901">
        <f>GLOBAL_DER_FEV_2023!I429</f>
        <v>0</v>
      </c>
      <c r="J429" s="902">
        <f>GLOBAL_DER_FEV_2023!J429</f>
        <v>0</v>
      </c>
      <c r="K429" s="903" t="s">
        <v>507</v>
      </c>
      <c r="L429" s="1003"/>
      <c r="M429" s="1157">
        <f t="shared" si="32"/>
        <v>0</v>
      </c>
      <c r="N429" s="893">
        <f t="shared" si="31"/>
        <v>0</v>
      </c>
      <c r="O429" s="905"/>
      <c r="P429" s="58" t="str">
        <f>IF(N426&gt;0,"xx",IF(N426&gt;0,"xy",""))</f>
        <v/>
      </c>
      <c r="Q429" s="317" t="str">
        <f t="shared" si="33"/>
        <v/>
      </c>
      <c r="R429" s="317" t="str">
        <f t="shared" ref="R429:R528" si="34">IF(P429="X","x",IF(P429="y","x",IF(P429="xx","x",IF(N429&gt;0,"x",""))))</f>
        <v/>
      </c>
      <c r="S429" s="317" t="str">
        <f t="shared" ref="S429:S528" si="35">IF(P429="X","x",IF(N429&gt;0,"x",""))</f>
        <v/>
      </c>
      <c r="T429" s="317" t="str">
        <f>GLOBAL_DER_FEV_2023!S429</f>
        <v/>
      </c>
      <c r="W429" s="582">
        <v>0</v>
      </c>
      <c r="X429" s="580"/>
      <c r="Y429" s="583">
        <f>IF(GLOBAL_DER_FEV_2023!W429=0,0,IF(GLOBAL_DER_FEV_2023!W429&gt;0,"c","b"))</f>
        <v>0</v>
      </c>
    </row>
    <row r="430" spans="1:25" ht="13.5" hidden="1" thickBot="1" x14ac:dyDescent="0.25">
      <c r="A430" s="317" t="s">
        <v>147</v>
      </c>
      <c r="B430" s="895" t="str">
        <f>GLOBAL_DER_FEV_2023!B430</f>
        <v>transporte</v>
      </c>
      <c r="C430" s="896">
        <f>GLOBAL_DER_FEV_2023!C430</f>
        <v>0</v>
      </c>
      <c r="D430" s="957" t="str">
        <f>GLOBAL_DER_FEV_2023!D430</f>
        <v>Massa</v>
      </c>
      <c r="E430" s="907">
        <f>GLOBAL_DER_FEV_2023!E430</f>
        <v>22</v>
      </c>
      <c r="F430" s="908">
        <f>GLOBAL_DER_FEV_2023!F430</f>
        <v>1</v>
      </c>
      <c r="G430" s="912">
        <f>GLOBAL_DER_FEV_2023!G430</f>
        <v>29.990000000000002</v>
      </c>
      <c r="H430" s="901">
        <f>GLOBAL_DER_FEV_2023!H430</f>
        <v>0</v>
      </c>
      <c r="I430" s="901">
        <f>GLOBAL_DER_FEV_2023!I430</f>
        <v>0</v>
      </c>
      <c r="J430" s="902">
        <f>GLOBAL_DER_FEV_2023!J430</f>
        <v>0</v>
      </c>
      <c r="K430" s="903" t="s">
        <v>507</v>
      </c>
      <c r="L430" s="1003"/>
      <c r="M430" s="1157">
        <f t="shared" si="32"/>
        <v>0</v>
      </c>
      <c r="N430" s="893">
        <f t="shared" si="31"/>
        <v>0</v>
      </c>
      <c r="O430" s="905"/>
      <c r="P430" s="58" t="str">
        <f>IF(N426&gt;0,"xx",IF(N426&gt;0,"xy",""))</f>
        <v/>
      </c>
      <c r="Q430" s="317" t="str">
        <f t="shared" si="33"/>
        <v/>
      </c>
      <c r="R430" s="317" t="str">
        <f t="shared" si="34"/>
        <v/>
      </c>
      <c r="S430" s="317" t="str">
        <f t="shared" si="35"/>
        <v/>
      </c>
      <c r="T430" s="317" t="str">
        <f>GLOBAL_DER_FEV_2023!S430</f>
        <v/>
      </c>
      <c r="W430" s="582">
        <v>0</v>
      </c>
      <c r="X430" s="580"/>
      <c r="Y430" s="583">
        <f>IF(GLOBAL_DER_FEV_2023!W430=0,0,IF(GLOBAL_DER_FEV_2023!W430&gt;0,"c","b"))</f>
        <v>0</v>
      </c>
    </row>
    <row r="431" spans="1:25" ht="13.5" hidden="1" thickBot="1" x14ac:dyDescent="0.25">
      <c r="A431" s="317">
        <v>589000</v>
      </c>
      <c r="B431" s="1004" t="str">
        <f>GLOBAL_DER_FEV_2023!B431</f>
        <v>589000J</v>
      </c>
      <c r="C431" s="984" t="str">
        <f>GLOBAL_DER_FEV_2023!C431</f>
        <v>DER mat</v>
      </c>
      <c r="D431" s="1012" t="str">
        <f>GLOBAL_DER_FEV_2023!D431</f>
        <v>Fornecimento de CAP - CBUQ (Quantidade menor que 10.000 ton)</v>
      </c>
      <c r="E431" s="1005">
        <f>GLOBAL_DER_FEV_2023!E431</f>
        <v>45</v>
      </c>
      <c r="F431" s="1006">
        <f>GLOBAL_DER_FEV_2023!F431</f>
        <v>1</v>
      </c>
      <c r="G431" s="949">
        <f>GLOBAL_DER_FEV_2023!G431</f>
        <v>88.36</v>
      </c>
      <c r="H431" s="988">
        <f>GLOBAL_DER_FEV_2023!H431</f>
        <v>4828.8599999999997</v>
      </c>
      <c r="I431" s="988">
        <f>GLOBAL_DER_FEV_2023!I431</f>
        <v>4724.580378112767</v>
      </c>
      <c r="J431" s="989">
        <f>GLOBAL_DER_FEV_2023!J431</f>
        <v>5672.8</v>
      </c>
      <c r="K431" s="990" t="s">
        <v>14</v>
      </c>
      <c r="L431" s="1154">
        <f>ROUND(L426*$F426,2)</f>
        <v>0</v>
      </c>
      <c r="M431" s="1159">
        <f t="shared" si="32"/>
        <v>0</v>
      </c>
      <c r="N431" s="993">
        <f t="shared" si="31"/>
        <v>0</v>
      </c>
      <c r="O431" s="905"/>
      <c r="P431" s="58" t="str">
        <f>IF(N426&gt;0,"xx",IF(N426&gt;0,"xy",""))</f>
        <v/>
      </c>
      <c r="Q431" s="317" t="str">
        <f t="shared" si="33"/>
        <v/>
      </c>
      <c r="R431" s="317" t="str">
        <f t="shared" si="34"/>
        <v/>
      </c>
      <c r="S431" s="317" t="str">
        <f t="shared" si="35"/>
        <v/>
      </c>
      <c r="T431" s="317" t="str">
        <f>GLOBAL_DER_FEV_2023!S431</f>
        <v/>
      </c>
      <c r="W431" s="582">
        <v>0</v>
      </c>
      <c r="X431" s="580"/>
      <c r="Y431" s="583">
        <f>IF(GLOBAL_DER_FEV_2023!W431=0,0,IF(GLOBAL_DER_FEV_2023!W431&gt;0,"c","b"))</f>
        <v>0</v>
      </c>
    </row>
    <row r="432" spans="1:25" ht="13.5" hidden="1" thickBot="1" x14ac:dyDescent="0.25">
      <c r="A432" s="317">
        <v>570000</v>
      </c>
      <c r="B432" s="999" t="str">
        <f>GLOBAL_DER_FEV_2023!B432</f>
        <v>570000D</v>
      </c>
      <c r="C432" s="1000" t="str">
        <f>GLOBAL_DER_FEV_2023!C432</f>
        <v>DER</v>
      </c>
      <c r="D432" s="1019" t="str">
        <f>GLOBAL_DER_FEV_2023!D432</f>
        <v>CBUQ - TRAÇO 3 - CAPA - Faixa "C" (Quantidade menor que 10.000 ton)</v>
      </c>
      <c r="E432" s="974" t="str">
        <f>GLOBAL_DER_FEV_2023!E432</f>
        <v>taxa CAP</v>
      </c>
      <c r="F432" s="1023">
        <f>GLOBAL_DER_FEV_2023!F432</f>
        <v>5.7000000000000002E-2</v>
      </c>
      <c r="G432" s="976">
        <f>GLOBAL_DER_FEV_2023!G432</f>
        <v>52.951632000000004</v>
      </c>
      <c r="H432" s="977">
        <f>GLOBAL_DER_FEV_2023!H432</f>
        <v>187.41</v>
      </c>
      <c r="I432" s="977">
        <f>GLOBAL_DER_FEV_2023!I432</f>
        <v>240.36163199999999</v>
      </c>
      <c r="J432" s="978">
        <f>GLOBAL_DER_FEV_2023!J432</f>
        <v>288.60000000000002</v>
      </c>
      <c r="K432" s="979" t="s">
        <v>14</v>
      </c>
      <c r="L432" s="1152"/>
      <c r="M432" s="1153">
        <f t="shared" si="32"/>
        <v>0</v>
      </c>
      <c r="N432" s="982">
        <f t="shared" si="31"/>
        <v>0</v>
      </c>
      <c r="O432" s="905"/>
      <c r="Q432" s="317" t="str">
        <f t="shared" si="33"/>
        <v/>
      </c>
      <c r="R432" s="317" t="str">
        <f t="shared" si="34"/>
        <v/>
      </c>
      <c r="S432" s="317" t="str">
        <f t="shared" si="35"/>
        <v/>
      </c>
      <c r="T432" s="317" t="str">
        <f>GLOBAL_DER_FEV_2023!S432</f>
        <v/>
      </c>
      <c r="W432" s="582">
        <v>0</v>
      </c>
      <c r="X432" s="580"/>
      <c r="Y432" s="583">
        <f>IF(GLOBAL_DER_FEV_2023!W432=0,0,IF(GLOBAL_DER_FEV_2023!W432&gt;0,"c","b"))</f>
        <v>0</v>
      </c>
    </row>
    <row r="433" spans="1:25" ht="13.5" hidden="1" thickBot="1" x14ac:dyDescent="0.25">
      <c r="A433" s="317" t="s">
        <v>147</v>
      </c>
      <c r="B433" s="895" t="str">
        <f>GLOBAL_DER_FEV_2023!B433</f>
        <v>transporte</v>
      </c>
      <c r="C433" s="896">
        <f>GLOBAL_DER_FEV_2023!C433</f>
        <v>0</v>
      </c>
      <c r="D433" s="957" t="str">
        <f>GLOBAL_DER_FEV_2023!D433</f>
        <v>Areia</v>
      </c>
      <c r="E433" s="907">
        <f>GLOBAL_DER_FEV_2023!E433</f>
        <v>150</v>
      </c>
      <c r="F433" s="908">
        <f>GLOBAL_DER_FEV_2023!F433</f>
        <v>0.1</v>
      </c>
      <c r="G433" s="949">
        <f>GLOBAL_DER_FEV_2023!G433</f>
        <v>16.318000000000001</v>
      </c>
      <c r="H433" s="901">
        <f>GLOBAL_DER_FEV_2023!H433</f>
        <v>0</v>
      </c>
      <c r="I433" s="901">
        <f>GLOBAL_DER_FEV_2023!I433</f>
        <v>0</v>
      </c>
      <c r="J433" s="902">
        <f>GLOBAL_DER_FEV_2023!J433</f>
        <v>0</v>
      </c>
      <c r="K433" s="903" t="s">
        <v>507</v>
      </c>
      <c r="L433" s="1003"/>
      <c r="M433" s="1157">
        <f t="shared" si="32"/>
        <v>0</v>
      </c>
      <c r="N433" s="893">
        <f t="shared" ref="N433:N532" si="36">IF(ISBLANK(L433),0,IF(W433=0,ROUND(L433*M433,2),IF(W433="b",ROUNDDOWN(L433*M433,2),ROUNDUP(L433*M433,2))))</f>
        <v>0</v>
      </c>
      <c r="O433" s="905"/>
      <c r="P433" s="58" t="str">
        <f>IF(N432&gt;0,"xx",IF(N432&gt;0,"xy",""))</f>
        <v/>
      </c>
      <c r="Q433" s="317" t="str">
        <f t="shared" si="33"/>
        <v/>
      </c>
      <c r="R433" s="317" t="str">
        <f t="shared" si="34"/>
        <v/>
      </c>
      <c r="S433" s="317" t="str">
        <f t="shared" si="35"/>
        <v/>
      </c>
      <c r="T433" s="317" t="str">
        <f>GLOBAL_DER_FEV_2023!S433</f>
        <v/>
      </c>
      <c r="W433" s="582">
        <v>0</v>
      </c>
      <c r="X433" s="580"/>
      <c r="Y433" s="583">
        <f>IF(GLOBAL_DER_FEV_2023!W433=0,0,IF(GLOBAL_DER_FEV_2023!W433&gt;0,"c","b"))</f>
        <v>0</v>
      </c>
    </row>
    <row r="434" spans="1:25" ht="13.5" hidden="1" thickBot="1" x14ac:dyDescent="0.25">
      <c r="A434" s="317" t="s">
        <v>147</v>
      </c>
      <c r="B434" s="895" t="str">
        <f>GLOBAL_DER_FEV_2023!B434</f>
        <v>transporte</v>
      </c>
      <c r="C434" s="896">
        <f>GLOBAL_DER_FEV_2023!C434</f>
        <v>0</v>
      </c>
      <c r="D434" s="957" t="str">
        <f>GLOBAL_DER_FEV_2023!D434</f>
        <v>Cal Hidratada CH-1</v>
      </c>
      <c r="E434" s="907">
        <f>GLOBAL_DER_FEV_2023!E434</f>
        <v>353</v>
      </c>
      <c r="F434" s="908">
        <f>GLOBAL_DER_FEV_2023!F434</f>
        <v>1.4999999999999999E-2</v>
      </c>
      <c r="G434" s="909">
        <f>GLOBAL_DER_FEV_2023!G434</f>
        <v>4.2473999999999998</v>
      </c>
      <c r="H434" s="901">
        <f>GLOBAL_DER_FEV_2023!H434</f>
        <v>0</v>
      </c>
      <c r="I434" s="901">
        <f>GLOBAL_DER_FEV_2023!I434</f>
        <v>0</v>
      </c>
      <c r="J434" s="902">
        <f>GLOBAL_DER_FEV_2023!J434</f>
        <v>0</v>
      </c>
      <c r="K434" s="903" t="s">
        <v>507</v>
      </c>
      <c r="L434" s="1003"/>
      <c r="M434" s="1157">
        <f t="shared" si="32"/>
        <v>0</v>
      </c>
      <c r="N434" s="893">
        <f t="shared" si="36"/>
        <v>0</v>
      </c>
      <c r="O434" s="905"/>
      <c r="P434" s="58" t="str">
        <f>IF(N432&gt;0,"xx",IF(N432&gt;0,"xy",""))</f>
        <v/>
      </c>
      <c r="Q434" s="317" t="str">
        <f t="shared" si="33"/>
        <v/>
      </c>
      <c r="R434" s="317" t="str">
        <f t="shared" si="34"/>
        <v/>
      </c>
      <c r="S434" s="317" t="str">
        <f t="shared" si="35"/>
        <v/>
      </c>
      <c r="T434" s="317" t="str">
        <f>GLOBAL_DER_FEV_2023!S434</f>
        <v/>
      </c>
      <c r="W434" s="582">
        <v>0</v>
      </c>
      <c r="X434" s="580"/>
      <c r="Y434" s="583">
        <f>IF(GLOBAL_DER_FEV_2023!W434=0,0,IF(GLOBAL_DER_FEV_2023!W434&gt;0,"c","b"))</f>
        <v>0</v>
      </c>
    </row>
    <row r="435" spans="1:25" ht="13.5" hidden="1" thickBot="1" x14ac:dyDescent="0.25">
      <c r="A435" s="317" t="s">
        <v>147</v>
      </c>
      <c r="B435" s="895" t="str">
        <f>GLOBAL_DER_FEV_2023!B435</f>
        <v>transporte</v>
      </c>
      <c r="C435" s="896">
        <f>GLOBAL_DER_FEV_2023!C435</f>
        <v>0</v>
      </c>
      <c r="D435" s="957" t="str">
        <f>GLOBAL_DER_FEV_2023!D435</f>
        <v>Brita ( usina )</v>
      </c>
      <c r="E435" s="907">
        <f>GLOBAL_DER_FEV_2023!E435</f>
        <v>0.2</v>
      </c>
      <c r="F435" s="908">
        <f>GLOBAL_DER_FEV_2023!F435</f>
        <v>0.82799999999999996</v>
      </c>
      <c r="G435" s="949">
        <f>GLOBAL_DER_FEV_2023!G435</f>
        <v>2.3962319999999999</v>
      </c>
      <c r="H435" s="901">
        <f>GLOBAL_DER_FEV_2023!H435</f>
        <v>0</v>
      </c>
      <c r="I435" s="901">
        <f>GLOBAL_DER_FEV_2023!I435</f>
        <v>0</v>
      </c>
      <c r="J435" s="902">
        <f>GLOBAL_DER_FEV_2023!J435</f>
        <v>0</v>
      </c>
      <c r="K435" s="903" t="s">
        <v>507</v>
      </c>
      <c r="L435" s="1003"/>
      <c r="M435" s="1157">
        <f t="shared" si="32"/>
        <v>0</v>
      </c>
      <c r="N435" s="893">
        <f t="shared" si="36"/>
        <v>0</v>
      </c>
      <c r="O435" s="905"/>
      <c r="P435" s="58" t="str">
        <f>IF(N432&gt;0,"xx",IF(N432&gt;0,"xy",""))</f>
        <v/>
      </c>
      <c r="Q435" s="317" t="str">
        <f t="shared" si="33"/>
        <v/>
      </c>
      <c r="R435" s="317" t="str">
        <f t="shared" si="34"/>
        <v/>
      </c>
      <c r="S435" s="317" t="str">
        <f t="shared" si="35"/>
        <v/>
      </c>
      <c r="T435" s="317" t="str">
        <f>GLOBAL_DER_FEV_2023!S435</f>
        <v/>
      </c>
      <c r="W435" s="582">
        <v>0</v>
      </c>
      <c r="X435" s="580"/>
      <c r="Y435" s="583">
        <f>IF(GLOBAL_DER_FEV_2023!W435=0,0,IF(GLOBAL_DER_FEV_2023!W435&gt;0,"c","b"))</f>
        <v>0</v>
      </c>
    </row>
    <row r="436" spans="1:25" ht="13.5" hidden="1" thickBot="1" x14ac:dyDescent="0.25">
      <c r="A436" s="317" t="s">
        <v>147</v>
      </c>
      <c r="B436" s="895" t="str">
        <f>GLOBAL_DER_FEV_2023!B436</f>
        <v>transporte</v>
      </c>
      <c r="C436" s="896">
        <f>GLOBAL_DER_FEV_2023!C436</f>
        <v>0</v>
      </c>
      <c r="D436" s="957" t="str">
        <f>GLOBAL_DER_FEV_2023!D436</f>
        <v>Massa</v>
      </c>
      <c r="E436" s="907">
        <f>GLOBAL_DER_FEV_2023!E436</f>
        <v>22</v>
      </c>
      <c r="F436" s="908">
        <f>GLOBAL_DER_FEV_2023!F436</f>
        <v>1</v>
      </c>
      <c r="G436" s="912">
        <f>GLOBAL_DER_FEV_2023!G436</f>
        <v>29.990000000000002</v>
      </c>
      <c r="H436" s="901">
        <f>GLOBAL_DER_FEV_2023!H436</f>
        <v>0</v>
      </c>
      <c r="I436" s="901">
        <f>GLOBAL_DER_FEV_2023!I436</f>
        <v>0</v>
      </c>
      <c r="J436" s="902">
        <f>GLOBAL_DER_FEV_2023!J436</f>
        <v>0</v>
      </c>
      <c r="K436" s="903" t="s">
        <v>507</v>
      </c>
      <c r="L436" s="1003"/>
      <c r="M436" s="1157">
        <f t="shared" si="32"/>
        <v>0</v>
      </c>
      <c r="N436" s="893">
        <f t="shared" si="36"/>
        <v>0</v>
      </c>
      <c r="O436" s="905"/>
      <c r="P436" s="58" t="str">
        <f>IF(N432&gt;0,"xx",IF(N432&gt;0,"xy",""))</f>
        <v/>
      </c>
      <c r="Q436" s="317" t="str">
        <f t="shared" si="33"/>
        <v/>
      </c>
      <c r="R436" s="317" t="str">
        <f t="shared" si="34"/>
        <v/>
      </c>
      <c r="S436" s="317" t="str">
        <f t="shared" si="35"/>
        <v/>
      </c>
      <c r="T436" s="317" t="str">
        <f>GLOBAL_DER_FEV_2023!S436</f>
        <v/>
      </c>
      <c r="W436" s="582">
        <v>0</v>
      </c>
      <c r="X436" s="580"/>
      <c r="Y436" s="583">
        <f>IF(GLOBAL_DER_FEV_2023!W436=0,0,IF(GLOBAL_DER_FEV_2023!W436&gt;0,"c","b"))</f>
        <v>0</v>
      </c>
    </row>
    <row r="437" spans="1:25" ht="13.5" hidden="1" thickBot="1" x14ac:dyDescent="0.25">
      <c r="A437" s="317">
        <v>589000</v>
      </c>
      <c r="B437" s="1004" t="str">
        <f>GLOBAL_DER_FEV_2023!B437</f>
        <v>589000K</v>
      </c>
      <c r="C437" s="984" t="str">
        <f>GLOBAL_DER_FEV_2023!C437</f>
        <v>DER mat</v>
      </c>
      <c r="D437" s="1012" t="str">
        <f>GLOBAL_DER_FEV_2023!D437</f>
        <v>Fornecimento de CAP - CBUQ (Quantidade menor que 10.000 ton)</v>
      </c>
      <c r="E437" s="1005">
        <f>GLOBAL_DER_FEV_2023!E437</f>
        <v>45</v>
      </c>
      <c r="F437" s="1006">
        <f>GLOBAL_DER_FEV_2023!F437</f>
        <v>1</v>
      </c>
      <c r="G437" s="949">
        <f>GLOBAL_DER_FEV_2023!G437</f>
        <v>88.36</v>
      </c>
      <c r="H437" s="988">
        <f>GLOBAL_DER_FEV_2023!H437</f>
        <v>4828.8599999999997</v>
      </c>
      <c r="I437" s="988">
        <f>GLOBAL_DER_FEV_2023!I437</f>
        <v>4724.580378112767</v>
      </c>
      <c r="J437" s="989">
        <f>GLOBAL_DER_FEV_2023!J437</f>
        <v>5672.8</v>
      </c>
      <c r="K437" s="990" t="s">
        <v>14</v>
      </c>
      <c r="L437" s="1154">
        <f>ROUND(L432*$F432,2)</f>
        <v>0</v>
      </c>
      <c r="M437" s="1159">
        <f t="shared" si="32"/>
        <v>0</v>
      </c>
      <c r="N437" s="993">
        <f t="shared" si="36"/>
        <v>0</v>
      </c>
      <c r="O437" s="905"/>
      <c r="P437" s="58" t="str">
        <f>IF(N432&gt;0,"xx",IF(N432&gt;0,"xy",""))</f>
        <v/>
      </c>
      <c r="Q437" s="317" t="str">
        <f t="shared" si="33"/>
        <v/>
      </c>
      <c r="R437" s="317" t="str">
        <f t="shared" si="34"/>
        <v/>
      </c>
      <c r="S437" s="317" t="str">
        <f t="shared" si="35"/>
        <v/>
      </c>
      <c r="T437" s="317" t="str">
        <f>GLOBAL_DER_FEV_2023!S437</f>
        <v/>
      </c>
      <c r="W437" s="582">
        <v>0</v>
      </c>
      <c r="X437" s="580"/>
      <c r="Y437" s="583">
        <f>IF(GLOBAL_DER_FEV_2023!W437=0,0,IF(GLOBAL_DER_FEV_2023!W437&gt;0,"c","b"))</f>
        <v>0</v>
      </c>
    </row>
    <row r="438" spans="1:25" ht="13.5" hidden="1" thickBot="1" x14ac:dyDescent="0.25">
      <c r="A438" s="317">
        <v>570000</v>
      </c>
      <c r="B438" s="999" t="str">
        <f>GLOBAL_DER_FEV_2023!B438</f>
        <v>570000D</v>
      </c>
      <c r="C438" s="1000" t="str">
        <f>GLOBAL_DER_FEV_2023!C438</f>
        <v>DER</v>
      </c>
      <c r="D438" s="1024" t="str">
        <f>GLOBAL_DER_FEV_2023!D438</f>
        <v>CBUQ - Novos traços - TRAÇO 4 - FAIXA "C" - (Quant. menor que 10.000 ton)</v>
      </c>
      <c r="E438" s="974" t="str">
        <f>GLOBAL_DER_FEV_2023!E438</f>
        <v>taxa CAP</v>
      </c>
      <c r="F438" s="1025">
        <f>GLOBAL_DER_FEV_2023!F438</f>
        <v>5.1999999999999998E-2</v>
      </c>
      <c r="G438" s="976">
        <f>GLOBAL_DER_FEV_2023!G438</f>
        <v>52.076655400000007</v>
      </c>
      <c r="H438" s="977">
        <f>GLOBAL_DER_FEV_2023!H438</f>
        <v>187.41</v>
      </c>
      <c r="I438" s="977">
        <f>GLOBAL_DER_FEV_2023!I438</f>
        <v>239.48665540000002</v>
      </c>
      <c r="J438" s="978">
        <f>GLOBAL_DER_FEV_2023!J438</f>
        <v>287.55</v>
      </c>
      <c r="K438" s="979" t="s">
        <v>14</v>
      </c>
      <c r="L438" s="1152"/>
      <c r="M438" s="1153">
        <f t="shared" si="32"/>
        <v>0</v>
      </c>
      <c r="N438" s="982">
        <f t="shared" si="36"/>
        <v>0</v>
      </c>
      <c r="O438" s="905"/>
      <c r="Q438" s="317" t="str">
        <f t="shared" si="33"/>
        <v/>
      </c>
      <c r="R438" s="317" t="str">
        <f t="shared" si="34"/>
        <v/>
      </c>
      <c r="S438" s="317" t="str">
        <f t="shared" si="35"/>
        <v/>
      </c>
      <c r="T438" s="317" t="str">
        <f>GLOBAL_DER_FEV_2023!S438</f>
        <v/>
      </c>
      <c r="W438" s="582">
        <v>0</v>
      </c>
      <c r="X438" s="580"/>
      <c r="Y438" s="583">
        <f>IF(GLOBAL_DER_FEV_2023!W438=0,0,IF(GLOBAL_DER_FEV_2023!W438&gt;0,"c","b"))</f>
        <v>0</v>
      </c>
    </row>
    <row r="439" spans="1:25" ht="13.5" hidden="1" thickBot="1" x14ac:dyDescent="0.25">
      <c r="A439" s="317" t="s">
        <v>147</v>
      </c>
      <c r="B439" s="895" t="str">
        <f>GLOBAL_DER_FEV_2023!B439</f>
        <v>transporte</v>
      </c>
      <c r="C439" s="896">
        <f>GLOBAL_DER_FEV_2023!C439</f>
        <v>0</v>
      </c>
      <c r="D439" s="957" t="str">
        <f>GLOBAL_DER_FEV_2023!D439</f>
        <v>Areia</v>
      </c>
      <c r="E439" s="907">
        <f>GLOBAL_DER_FEV_2023!E439</f>
        <v>150</v>
      </c>
      <c r="F439" s="1287">
        <f>GLOBAL_DER_FEV_2023!F439</f>
        <v>9.5500000000000002E-2</v>
      </c>
      <c r="G439" s="949">
        <f>GLOBAL_DER_FEV_2023!G439</f>
        <v>15.583690000000001</v>
      </c>
      <c r="H439" s="901">
        <f>GLOBAL_DER_FEV_2023!H439</f>
        <v>0</v>
      </c>
      <c r="I439" s="901">
        <f>GLOBAL_DER_FEV_2023!I439</f>
        <v>0</v>
      </c>
      <c r="J439" s="902">
        <f>GLOBAL_DER_FEV_2023!J439</f>
        <v>0</v>
      </c>
      <c r="K439" s="903" t="s">
        <v>507</v>
      </c>
      <c r="L439" s="1003"/>
      <c r="M439" s="1157">
        <f t="shared" si="32"/>
        <v>0</v>
      </c>
      <c r="N439" s="893">
        <f t="shared" si="36"/>
        <v>0</v>
      </c>
      <c r="O439" s="905"/>
      <c r="P439" s="58" t="str">
        <f>IF(N438&gt;0,"xx",IF(N438&gt;0,"xy",""))</f>
        <v/>
      </c>
      <c r="Q439" s="317" t="str">
        <f t="shared" si="33"/>
        <v/>
      </c>
      <c r="R439" s="317" t="str">
        <f t="shared" si="34"/>
        <v/>
      </c>
      <c r="S439" s="317" t="str">
        <f t="shared" si="35"/>
        <v/>
      </c>
      <c r="T439" s="317" t="str">
        <f>GLOBAL_DER_FEV_2023!S439</f>
        <v/>
      </c>
      <c r="W439" s="582">
        <v>0</v>
      </c>
      <c r="X439" s="580"/>
      <c r="Y439" s="583">
        <f>IF(GLOBAL_DER_FEV_2023!W439=0,0,IF(GLOBAL_DER_FEV_2023!W439&gt;0,"c","b"))</f>
        <v>0</v>
      </c>
    </row>
    <row r="440" spans="1:25" ht="13.5" hidden="1" thickBot="1" x14ac:dyDescent="0.25">
      <c r="A440" s="317" t="s">
        <v>147</v>
      </c>
      <c r="B440" s="895" t="str">
        <f>GLOBAL_DER_FEV_2023!B440</f>
        <v>transporte</v>
      </c>
      <c r="C440" s="896">
        <f>GLOBAL_DER_FEV_2023!C440</f>
        <v>0</v>
      </c>
      <c r="D440" s="957" t="str">
        <f>GLOBAL_DER_FEV_2023!D440</f>
        <v>Cal Hidratada CH-1</v>
      </c>
      <c r="E440" s="907">
        <f>GLOBAL_DER_FEV_2023!E440</f>
        <v>353</v>
      </c>
      <c r="F440" s="1287">
        <f>GLOBAL_DER_FEV_2023!F440</f>
        <v>1.44E-2</v>
      </c>
      <c r="G440" s="909">
        <f>GLOBAL_DER_FEV_2023!G440</f>
        <v>4.0775040000000002</v>
      </c>
      <c r="H440" s="901">
        <f>GLOBAL_DER_FEV_2023!H440</f>
        <v>0</v>
      </c>
      <c r="I440" s="901">
        <f>GLOBAL_DER_FEV_2023!I440</f>
        <v>0</v>
      </c>
      <c r="J440" s="902">
        <f>GLOBAL_DER_FEV_2023!J440</f>
        <v>0</v>
      </c>
      <c r="K440" s="903" t="s">
        <v>507</v>
      </c>
      <c r="L440" s="1003"/>
      <c r="M440" s="1157">
        <f t="shared" si="32"/>
        <v>0</v>
      </c>
      <c r="N440" s="893">
        <f t="shared" si="36"/>
        <v>0</v>
      </c>
      <c r="O440" s="905"/>
      <c r="P440" s="58" t="str">
        <f>IF(N438&gt;0,"xx",IF(N438&gt;0,"xy",""))</f>
        <v/>
      </c>
      <c r="Q440" s="317" t="str">
        <f t="shared" si="33"/>
        <v/>
      </c>
      <c r="R440" s="317" t="str">
        <f t="shared" si="34"/>
        <v/>
      </c>
      <c r="S440" s="317" t="str">
        <f t="shared" si="35"/>
        <v/>
      </c>
      <c r="T440" s="317" t="str">
        <f>GLOBAL_DER_FEV_2023!S440</f>
        <v/>
      </c>
      <c r="W440" s="582">
        <v>0</v>
      </c>
      <c r="X440" s="580"/>
      <c r="Y440" s="583">
        <f>IF(GLOBAL_DER_FEV_2023!W440=0,0,IF(GLOBAL_DER_FEV_2023!W440&gt;0,"c","b"))</f>
        <v>0</v>
      </c>
    </row>
    <row r="441" spans="1:25" ht="13.5" hidden="1" thickBot="1" x14ac:dyDescent="0.25">
      <c r="A441" s="317" t="s">
        <v>147</v>
      </c>
      <c r="B441" s="895" t="str">
        <f>GLOBAL_DER_FEV_2023!B441</f>
        <v>transporte</v>
      </c>
      <c r="C441" s="896">
        <f>GLOBAL_DER_FEV_2023!C441</f>
        <v>0</v>
      </c>
      <c r="D441" s="957" t="str">
        <f>GLOBAL_DER_FEV_2023!D441</f>
        <v>Brita ( usina )</v>
      </c>
      <c r="E441" s="907">
        <f>GLOBAL_DER_FEV_2023!E441</f>
        <v>0.2</v>
      </c>
      <c r="F441" s="1287">
        <f>GLOBAL_DER_FEV_2023!F441</f>
        <v>0.83809999999999996</v>
      </c>
      <c r="G441" s="949">
        <f>GLOBAL_DER_FEV_2023!G441</f>
        <v>2.4254614000000001</v>
      </c>
      <c r="H441" s="901">
        <f>GLOBAL_DER_FEV_2023!H441</f>
        <v>0</v>
      </c>
      <c r="I441" s="901">
        <f>GLOBAL_DER_FEV_2023!I441</f>
        <v>0</v>
      </c>
      <c r="J441" s="902">
        <f>GLOBAL_DER_FEV_2023!J441</f>
        <v>0</v>
      </c>
      <c r="K441" s="903" t="s">
        <v>507</v>
      </c>
      <c r="L441" s="1003"/>
      <c r="M441" s="1157">
        <f t="shared" si="32"/>
        <v>0</v>
      </c>
      <c r="N441" s="893">
        <f t="shared" si="36"/>
        <v>0</v>
      </c>
      <c r="O441" s="905"/>
      <c r="P441" s="58" t="str">
        <f>IF(N438&gt;0,"xx",IF(N438&gt;0,"xy",""))</f>
        <v/>
      </c>
      <c r="Q441" s="317" t="str">
        <f t="shared" si="33"/>
        <v/>
      </c>
      <c r="R441" s="317" t="str">
        <f t="shared" si="34"/>
        <v/>
      </c>
      <c r="S441" s="317" t="str">
        <f t="shared" si="35"/>
        <v/>
      </c>
      <c r="T441" s="317" t="str">
        <f>GLOBAL_DER_FEV_2023!S441</f>
        <v/>
      </c>
      <c r="W441" s="582">
        <v>0</v>
      </c>
      <c r="X441" s="580"/>
      <c r="Y441" s="583">
        <f>IF(GLOBAL_DER_FEV_2023!W441=0,0,IF(GLOBAL_DER_FEV_2023!W441&gt;0,"c","b"))</f>
        <v>0</v>
      </c>
    </row>
    <row r="442" spans="1:25" ht="13.5" hidden="1" thickBot="1" x14ac:dyDescent="0.25">
      <c r="A442" s="317" t="s">
        <v>147</v>
      </c>
      <c r="B442" s="895" t="str">
        <f>GLOBAL_DER_FEV_2023!B442</f>
        <v>transporte</v>
      </c>
      <c r="C442" s="896">
        <f>GLOBAL_DER_FEV_2023!C442</f>
        <v>0</v>
      </c>
      <c r="D442" s="957" t="str">
        <f>GLOBAL_DER_FEV_2023!D442</f>
        <v>Massa</v>
      </c>
      <c r="E442" s="907">
        <f>GLOBAL_DER_FEV_2023!E442</f>
        <v>22</v>
      </c>
      <c r="F442" s="908">
        <f>GLOBAL_DER_FEV_2023!F442</f>
        <v>1</v>
      </c>
      <c r="G442" s="912">
        <f>GLOBAL_DER_FEV_2023!G442</f>
        <v>29.990000000000002</v>
      </c>
      <c r="H442" s="901">
        <f>GLOBAL_DER_FEV_2023!H442</f>
        <v>0</v>
      </c>
      <c r="I442" s="901">
        <f>GLOBAL_DER_FEV_2023!I442</f>
        <v>0</v>
      </c>
      <c r="J442" s="902">
        <f>GLOBAL_DER_FEV_2023!J442</f>
        <v>0</v>
      </c>
      <c r="K442" s="903" t="s">
        <v>507</v>
      </c>
      <c r="L442" s="1003"/>
      <c r="M442" s="1157">
        <f t="shared" si="32"/>
        <v>0</v>
      </c>
      <c r="N442" s="893">
        <f t="shared" si="36"/>
        <v>0</v>
      </c>
      <c r="O442" s="905"/>
      <c r="P442" s="58" t="str">
        <f>IF(N438&gt;0,"xx",IF(N438&gt;0,"xy",""))</f>
        <v/>
      </c>
      <c r="Q442" s="317" t="str">
        <f t="shared" si="33"/>
        <v/>
      </c>
      <c r="R442" s="317" t="str">
        <f t="shared" si="34"/>
        <v/>
      </c>
      <c r="S442" s="317" t="str">
        <f t="shared" si="35"/>
        <v/>
      </c>
      <c r="T442" s="317" t="str">
        <f>GLOBAL_DER_FEV_2023!S442</f>
        <v/>
      </c>
      <c r="W442" s="582">
        <v>0</v>
      </c>
      <c r="X442" s="580"/>
      <c r="Y442" s="583">
        <f>IF(GLOBAL_DER_FEV_2023!W442=0,0,IF(GLOBAL_DER_FEV_2023!W442&gt;0,"c","b"))</f>
        <v>0</v>
      </c>
    </row>
    <row r="443" spans="1:25" ht="13.5" hidden="1" thickBot="1" x14ac:dyDescent="0.25">
      <c r="A443" s="317">
        <v>589000</v>
      </c>
      <c r="B443" s="1004" t="str">
        <f>GLOBAL_DER_FEV_2023!B443</f>
        <v>589000K</v>
      </c>
      <c r="C443" s="984" t="str">
        <f>GLOBAL_DER_FEV_2023!C443</f>
        <v>DER mat</v>
      </c>
      <c r="D443" s="1012" t="str">
        <f>GLOBAL_DER_FEV_2023!D443</f>
        <v>Fornecimento de CAP - CBUQ (Quantidade menor que 10.000 ton)</v>
      </c>
      <c r="E443" s="1005">
        <f>GLOBAL_DER_FEV_2023!E443</f>
        <v>45</v>
      </c>
      <c r="F443" s="1006">
        <f>GLOBAL_DER_FEV_2023!F443</f>
        <v>1</v>
      </c>
      <c r="G443" s="949">
        <f>GLOBAL_DER_FEV_2023!G443</f>
        <v>88.36</v>
      </c>
      <c r="H443" s="988">
        <f>GLOBAL_DER_FEV_2023!H443</f>
        <v>4828.8599999999997</v>
      </c>
      <c r="I443" s="988">
        <f>GLOBAL_DER_FEV_2023!I443</f>
        <v>4724.580378112767</v>
      </c>
      <c r="J443" s="989">
        <f>GLOBAL_DER_FEV_2023!J443</f>
        <v>5672.8</v>
      </c>
      <c r="K443" s="990" t="s">
        <v>14</v>
      </c>
      <c r="L443" s="1154">
        <f>ROUND(L438*$F438,2)</f>
        <v>0</v>
      </c>
      <c r="M443" s="1159">
        <f t="shared" si="32"/>
        <v>0</v>
      </c>
      <c r="N443" s="993">
        <f t="shared" si="36"/>
        <v>0</v>
      </c>
      <c r="O443" s="905"/>
      <c r="P443" s="58" t="str">
        <f>IF(N438&gt;0,"xx",IF(N438&gt;0,"xy",""))</f>
        <v/>
      </c>
      <c r="Q443" s="317" t="str">
        <f t="shared" si="33"/>
        <v/>
      </c>
      <c r="R443" s="317" t="str">
        <f t="shared" si="34"/>
        <v/>
      </c>
      <c r="S443" s="317" t="str">
        <f t="shared" si="35"/>
        <v/>
      </c>
      <c r="T443" s="317" t="str">
        <f>GLOBAL_DER_FEV_2023!S443</f>
        <v/>
      </c>
      <c r="W443" s="582">
        <v>0</v>
      </c>
      <c r="X443" s="580"/>
      <c r="Y443" s="583">
        <f>IF(GLOBAL_DER_FEV_2023!W443=0,0,IF(GLOBAL_DER_FEV_2023!W443&gt;0,"c","b"))</f>
        <v>0</v>
      </c>
    </row>
    <row r="444" spans="1:25" ht="13.5" hidden="1" thickBot="1" x14ac:dyDescent="0.25">
      <c r="A444" s="317">
        <v>570000</v>
      </c>
      <c r="B444" s="999" t="str">
        <f>GLOBAL_DER_FEV_2023!B444</f>
        <v>570000D</v>
      </c>
      <c r="C444" s="1000" t="str">
        <f>GLOBAL_DER_FEV_2023!C444</f>
        <v>DER</v>
      </c>
      <c r="D444" s="1024" t="str">
        <f>GLOBAL_DER_FEV_2023!D444</f>
        <v>CBUQ - Novos traços - TRAÇO 5 - FAIXA "C" - (Quant. menor que 10.000 ton)</v>
      </c>
      <c r="E444" s="974" t="str">
        <f>GLOBAL_DER_FEV_2023!E444</f>
        <v>taxa CAP</v>
      </c>
      <c r="F444" s="1025">
        <f>GLOBAL_DER_FEV_2023!F444</f>
        <v>5.0999999999999997E-2</v>
      </c>
      <c r="G444" s="976">
        <f>GLOBAL_DER_FEV_2023!G444</f>
        <v>52.095578000000003</v>
      </c>
      <c r="H444" s="977">
        <f>GLOBAL_DER_FEV_2023!H444</f>
        <v>187.41</v>
      </c>
      <c r="I444" s="977">
        <f>GLOBAL_DER_FEV_2023!I444</f>
        <v>239.50557800000001</v>
      </c>
      <c r="J444" s="978">
        <f>GLOBAL_DER_FEV_2023!J444</f>
        <v>287.57</v>
      </c>
      <c r="K444" s="979" t="s">
        <v>14</v>
      </c>
      <c r="L444" s="1152"/>
      <c r="M444" s="1153">
        <f t="shared" si="32"/>
        <v>0</v>
      </c>
      <c r="N444" s="982">
        <f t="shared" si="36"/>
        <v>0</v>
      </c>
      <c r="O444" s="905"/>
      <c r="Q444" s="317" t="str">
        <f t="shared" si="33"/>
        <v/>
      </c>
      <c r="R444" s="317" t="str">
        <f t="shared" si="34"/>
        <v/>
      </c>
      <c r="S444" s="317" t="str">
        <f t="shared" si="35"/>
        <v/>
      </c>
      <c r="T444" s="317" t="str">
        <f>GLOBAL_DER_FEV_2023!S444</f>
        <v/>
      </c>
      <c r="W444" s="582">
        <v>0</v>
      </c>
      <c r="X444" s="580"/>
      <c r="Y444" s="583">
        <f>IF(GLOBAL_DER_FEV_2023!W444=0,0,IF(GLOBAL_DER_FEV_2023!W444&gt;0,"c","b"))</f>
        <v>0</v>
      </c>
    </row>
    <row r="445" spans="1:25" ht="13.5" hidden="1" thickBot="1" x14ac:dyDescent="0.25">
      <c r="A445" s="317" t="s">
        <v>147</v>
      </c>
      <c r="B445" s="895" t="str">
        <f>GLOBAL_DER_FEV_2023!B445</f>
        <v>transporte</v>
      </c>
      <c r="C445" s="896">
        <f>GLOBAL_DER_FEV_2023!C445</f>
        <v>0</v>
      </c>
      <c r="D445" s="957" t="str">
        <f>GLOBAL_DER_FEV_2023!D445</f>
        <v>Areia</v>
      </c>
      <c r="E445" s="907">
        <f>GLOBAL_DER_FEV_2023!E445</f>
        <v>150</v>
      </c>
      <c r="F445" s="1287">
        <f>GLOBAL_DER_FEV_2023!F445</f>
        <v>9.5600000000000004E-2</v>
      </c>
      <c r="G445" s="949">
        <f>GLOBAL_DER_FEV_2023!G445</f>
        <v>15.600008000000001</v>
      </c>
      <c r="H445" s="901">
        <f>GLOBAL_DER_FEV_2023!H445</f>
        <v>0</v>
      </c>
      <c r="I445" s="901">
        <f>GLOBAL_DER_FEV_2023!I445</f>
        <v>0</v>
      </c>
      <c r="J445" s="902">
        <f>GLOBAL_DER_FEV_2023!J445</f>
        <v>0</v>
      </c>
      <c r="K445" s="903" t="s">
        <v>507</v>
      </c>
      <c r="L445" s="1003"/>
      <c r="M445" s="1157">
        <f t="shared" si="32"/>
        <v>0</v>
      </c>
      <c r="N445" s="893">
        <f t="shared" si="36"/>
        <v>0</v>
      </c>
      <c r="O445" s="905"/>
      <c r="P445" s="58" t="str">
        <f>IF(N444&gt;0,"xx",IF(N444&gt;0,"xy",""))</f>
        <v/>
      </c>
      <c r="Q445" s="317" t="str">
        <f t="shared" si="33"/>
        <v/>
      </c>
      <c r="R445" s="317" t="str">
        <f t="shared" si="34"/>
        <v/>
      </c>
      <c r="S445" s="317" t="str">
        <f t="shared" si="35"/>
        <v/>
      </c>
      <c r="T445" s="317" t="str">
        <f>GLOBAL_DER_FEV_2023!S445</f>
        <v/>
      </c>
      <c r="W445" s="582">
        <v>0</v>
      </c>
      <c r="X445" s="580"/>
      <c r="Y445" s="583">
        <f>IF(GLOBAL_DER_FEV_2023!W445=0,0,IF(GLOBAL_DER_FEV_2023!W445&gt;0,"c","b"))</f>
        <v>0</v>
      </c>
    </row>
    <row r="446" spans="1:25" ht="13.5" hidden="1" thickBot="1" x14ac:dyDescent="0.25">
      <c r="A446" s="317" t="s">
        <v>147</v>
      </c>
      <c r="B446" s="895" t="str">
        <f>GLOBAL_DER_FEV_2023!B446</f>
        <v>transporte</v>
      </c>
      <c r="C446" s="896">
        <f>GLOBAL_DER_FEV_2023!C446</f>
        <v>0</v>
      </c>
      <c r="D446" s="957" t="str">
        <f>GLOBAL_DER_FEV_2023!D446</f>
        <v>Cal Hidratada CH-1</v>
      </c>
      <c r="E446" s="907">
        <f>GLOBAL_DER_FEV_2023!E446</f>
        <v>353</v>
      </c>
      <c r="F446" s="1287">
        <f>GLOBAL_DER_FEV_2023!F446</f>
        <v>1.44E-2</v>
      </c>
      <c r="G446" s="909">
        <f>GLOBAL_DER_FEV_2023!G446</f>
        <v>4.0775040000000002</v>
      </c>
      <c r="H446" s="901">
        <f>GLOBAL_DER_FEV_2023!H446</f>
        <v>0</v>
      </c>
      <c r="I446" s="901">
        <f>GLOBAL_DER_FEV_2023!I446</f>
        <v>0</v>
      </c>
      <c r="J446" s="902">
        <f>GLOBAL_DER_FEV_2023!J446</f>
        <v>0</v>
      </c>
      <c r="K446" s="903" t="s">
        <v>507</v>
      </c>
      <c r="L446" s="1003"/>
      <c r="M446" s="1157">
        <f t="shared" si="32"/>
        <v>0</v>
      </c>
      <c r="N446" s="893">
        <f t="shared" si="36"/>
        <v>0</v>
      </c>
      <c r="O446" s="905"/>
      <c r="P446" s="58" t="str">
        <f>IF(N444&gt;0,"xx",IF(N444&gt;0,"xy",""))</f>
        <v/>
      </c>
      <c r="Q446" s="317" t="str">
        <f t="shared" si="33"/>
        <v/>
      </c>
      <c r="R446" s="317" t="str">
        <f t="shared" si="34"/>
        <v/>
      </c>
      <c r="S446" s="317" t="str">
        <f t="shared" si="35"/>
        <v/>
      </c>
      <c r="T446" s="317" t="str">
        <f>GLOBAL_DER_FEV_2023!S446</f>
        <v/>
      </c>
      <c r="W446" s="582">
        <v>0</v>
      </c>
      <c r="X446" s="580"/>
      <c r="Y446" s="583">
        <f>IF(GLOBAL_DER_FEV_2023!W446=0,0,IF(GLOBAL_DER_FEV_2023!W446&gt;0,"c","b"))</f>
        <v>0</v>
      </c>
    </row>
    <row r="447" spans="1:25" ht="13.5" hidden="1" thickBot="1" x14ac:dyDescent="0.25">
      <c r="A447" s="317" t="s">
        <v>147</v>
      </c>
      <c r="B447" s="895" t="str">
        <f>GLOBAL_DER_FEV_2023!B447</f>
        <v>transporte</v>
      </c>
      <c r="C447" s="896">
        <f>GLOBAL_DER_FEV_2023!C447</f>
        <v>0</v>
      </c>
      <c r="D447" s="957" t="str">
        <f>GLOBAL_DER_FEV_2023!D447</f>
        <v>Brita ( usina )</v>
      </c>
      <c r="E447" s="907">
        <f>GLOBAL_DER_FEV_2023!E447</f>
        <v>0.2</v>
      </c>
      <c r="F447" s="1287">
        <f>GLOBAL_DER_FEV_2023!F447</f>
        <v>0.83899999999999997</v>
      </c>
      <c r="G447" s="949">
        <f>GLOBAL_DER_FEV_2023!G447</f>
        <v>2.4280659999999998</v>
      </c>
      <c r="H447" s="901">
        <f>GLOBAL_DER_FEV_2023!H447</f>
        <v>0</v>
      </c>
      <c r="I447" s="901">
        <f>GLOBAL_DER_FEV_2023!I447</f>
        <v>0</v>
      </c>
      <c r="J447" s="902">
        <f>GLOBAL_DER_FEV_2023!J447</f>
        <v>0</v>
      </c>
      <c r="K447" s="903" t="s">
        <v>507</v>
      </c>
      <c r="L447" s="1003"/>
      <c r="M447" s="1157">
        <f t="shared" si="32"/>
        <v>0</v>
      </c>
      <c r="N447" s="893">
        <f t="shared" si="36"/>
        <v>0</v>
      </c>
      <c r="O447" s="905"/>
      <c r="P447" s="58" t="str">
        <f>IF(N444&gt;0,"xx",IF(N444&gt;0,"xy",""))</f>
        <v/>
      </c>
      <c r="Q447" s="317" t="str">
        <f t="shared" si="33"/>
        <v/>
      </c>
      <c r="R447" s="317" t="str">
        <f t="shared" si="34"/>
        <v/>
      </c>
      <c r="S447" s="317" t="str">
        <f t="shared" si="35"/>
        <v/>
      </c>
      <c r="T447" s="317" t="str">
        <f>GLOBAL_DER_FEV_2023!S447</f>
        <v/>
      </c>
      <c r="W447" s="582">
        <v>0</v>
      </c>
      <c r="X447" s="580"/>
      <c r="Y447" s="583">
        <f>IF(GLOBAL_DER_FEV_2023!W447=0,0,IF(GLOBAL_DER_FEV_2023!W447&gt;0,"c","b"))</f>
        <v>0</v>
      </c>
    </row>
    <row r="448" spans="1:25" ht="13.5" hidden="1" thickBot="1" x14ac:dyDescent="0.25">
      <c r="A448" s="317" t="s">
        <v>147</v>
      </c>
      <c r="B448" s="895" t="str">
        <f>GLOBAL_DER_FEV_2023!B448</f>
        <v>transporte</v>
      </c>
      <c r="C448" s="896">
        <f>GLOBAL_DER_FEV_2023!C448</f>
        <v>0</v>
      </c>
      <c r="D448" s="957" t="str">
        <f>GLOBAL_DER_FEV_2023!D448</f>
        <v>Massa</v>
      </c>
      <c r="E448" s="907">
        <f>GLOBAL_DER_FEV_2023!E448</f>
        <v>22</v>
      </c>
      <c r="F448" s="908">
        <f>GLOBAL_DER_FEV_2023!F448</f>
        <v>1</v>
      </c>
      <c r="G448" s="912">
        <f>GLOBAL_DER_FEV_2023!G448</f>
        <v>29.990000000000002</v>
      </c>
      <c r="H448" s="901">
        <f>GLOBAL_DER_FEV_2023!H448</f>
        <v>0</v>
      </c>
      <c r="I448" s="901">
        <f>GLOBAL_DER_FEV_2023!I448</f>
        <v>0</v>
      </c>
      <c r="J448" s="902">
        <f>GLOBAL_DER_FEV_2023!J448</f>
        <v>0</v>
      </c>
      <c r="K448" s="903" t="s">
        <v>507</v>
      </c>
      <c r="L448" s="1003"/>
      <c r="M448" s="1157">
        <f t="shared" si="32"/>
        <v>0</v>
      </c>
      <c r="N448" s="893">
        <f t="shared" si="36"/>
        <v>0</v>
      </c>
      <c r="O448" s="905"/>
      <c r="P448" s="58" t="str">
        <f>IF(N444&gt;0,"xx",IF(N444&gt;0,"xy",""))</f>
        <v/>
      </c>
      <c r="Q448" s="317" t="str">
        <f t="shared" si="33"/>
        <v/>
      </c>
      <c r="R448" s="317" t="str">
        <f t="shared" si="34"/>
        <v/>
      </c>
      <c r="S448" s="317" t="str">
        <f t="shared" si="35"/>
        <v/>
      </c>
      <c r="T448" s="317" t="str">
        <f>GLOBAL_DER_FEV_2023!S448</f>
        <v/>
      </c>
      <c r="W448" s="582">
        <v>0</v>
      </c>
      <c r="X448" s="580"/>
      <c r="Y448" s="583">
        <f>IF(GLOBAL_DER_FEV_2023!W448=0,0,IF(GLOBAL_DER_FEV_2023!W448&gt;0,"c","b"))</f>
        <v>0</v>
      </c>
    </row>
    <row r="449" spans="1:25" ht="13.5" hidden="1" thickBot="1" x14ac:dyDescent="0.25">
      <c r="A449" s="317">
        <v>589000</v>
      </c>
      <c r="B449" s="1004" t="str">
        <f>GLOBAL_DER_FEV_2023!B449</f>
        <v>589000K</v>
      </c>
      <c r="C449" s="984" t="str">
        <f>GLOBAL_DER_FEV_2023!C449</f>
        <v>DER mat</v>
      </c>
      <c r="D449" s="1012" t="str">
        <f>GLOBAL_DER_FEV_2023!D449</f>
        <v>Fornecimento de CAP - CBUQ (Quantidade menor que 10.000 ton)</v>
      </c>
      <c r="E449" s="1005">
        <f>GLOBAL_DER_FEV_2023!E449</f>
        <v>45</v>
      </c>
      <c r="F449" s="1006">
        <f>GLOBAL_DER_FEV_2023!F449</f>
        <v>1</v>
      </c>
      <c r="G449" s="949">
        <f>GLOBAL_DER_FEV_2023!G449</f>
        <v>88.36</v>
      </c>
      <c r="H449" s="988">
        <f>GLOBAL_DER_FEV_2023!H449</f>
        <v>4828.8599999999997</v>
      </c>
      <c r="I449" s="988">
        <f>GLOBAL_DER_FEV_2023!I449</f>
        <v>4724.580378112767</v>
      </c>
      <c r="J449" s="989">
        <f>GLOBAL_DER_FEV_2023!J449</f>
        <v>5672.8</v>
      </c>
      <c r="K449" s="990" t="s">
        <v>14</v>
      </c>
      <c r="L449" s="1154">
        <f>ROUND(L444*$F444,2)</f>
        <v>0</v>
      </c>
      <c r="M449" s="1159">
        <f t="shared" si="32"/>
        <v>0</v>
      </c>
      <c r="N449" s="993">
        <f t="shared" si="36"/>
        <v>0</v>
      </c>
      <c r="O449" s="905"/>
      <c r="P449" s="58" t="str">
        <f>IF(N444&gt;0,"xx",IF(N444&gt;0,"xy",""))</f>
        <v/>
      </c>
      <c r="Q449" s="317" t="str">
        <f t="shared" si="33"/>
        <v/>
      </c>
      <c r="R449" s="317" t="str">
        <f t="shared" si="34"/>
        <v/>
      </c>
      <c r="S449" s="317" t="str">
        <f t="shared" si="35"/>
        <v/>
      </c>
      <c r="T449" s="317" t="str">
        <f>GLOBAL_DER_FEV_2023!S449</f>
        <v/>
      </c>
      <c r="W449" s="582">
        <v>0</v>
      </c>
      <c r="X449" s="580"/>
      <c r="Y449" s="583">
        <f>IF(GLOBAL_DER_FEV_2023!W449=0,0,IF(GLOBAL_DER_FEV_2023!W449&gt;0,"c","b"))</f>
        <v>0</v>
      </c>
    </row>
    <row r="450" spans="1:25" ht="13.5" hidden="1" thickBot="1" x14ac:dyDescent="0.25">
      <c r="A450" s="317">
        <v>570000</v>
      </c>
      <c r="B450" s="999" t="str">
        <f>GLOBAL_DER_FEV_2023!B450</f>
        <v>570000D</v>
      </c>
      <c r="C450" s="1000" t="str">
        <f>GLOBAL_DER_FEV_2023!C450</f>
        <v>DER</v>
      </c>
      <c r="D450" s="1024" t="str">
        <f>GLOBAL_DER_FEV_2023!D450</f>
        <v>CBUQ - Novos traços - TRAÇO 6 - FAIXA "C" - (Quant. menor que 10.000 ton)</v>
      </c>
      <c r="E450" s="974" t="str">
        <f>GLOBAL_DER_FEV_2023!E450</f>
        <v>taxa CAP</v>
      </c>
      <c r="F450" s="1025">
        <f>GLOBAL_DER_FEV_2023!F450</f>
        <v>5.2999999999999999E-2</v>
      </c>
      <c r="G450" s="976">
        <f>GLOBAL_DER_FEV_2023!G450</f>
        <v>52.057732800000004</v>
      </c>
      <c r="H450" s="977">
        <f>GLOBAL_DER_FEV_2023!H450</f>
        <v>187.41</v>
      </c>
      <c r="I450" s="977">
        <f>GLOBAL_DER_FEV_2023!I450</f>
        <v>239.46773279999999</v>
      </c>
      <c r="J450" s="978">
        <f>GLOBAL_DER_FEV_2023!J450</f>
        <v>287.52999999999997</v>
      </c>
      <c r="K450" s="979" t="s">
        <v>14</v>
      </c>
      <c r="L450" s="1152"/>
      <c r="M450" s="1153">
        <f t="shared" si="32"/>
        <v>0</v>
      </c>
      <c r="N450" s="982">
        <f t="shared" si="36"/>
        <v>0</v>
      </c>
      <c r="O450" s="905"/>
      <c r="Q450" s="317" t="str">
        <f t="shared" si="33"/>
        <v/>
      </c>
      <c r="R450" s="317" t="str">
        <f t="shared" si="34"/>
        <v/>
      </c>
      <c r="S450" s="317" t="str">
        <f t="shared" si="35"/>
        <v/>
      </c>
      <c r="T450" s="317" t="str">
        <f>GLOBAL_DER_FEV_2023!S450</f>
        <v/>
      </c>
      <c r="W450" s="582">
        <v>0</v>
      </c>
      <c r="X450" s="580"/>
      <c r="Y450" s="583">
        <f>IF(GLOBAL_DER_FEV_2023!W450=0,0,IF(GLOBAL_DER_FEV_2023!W450&gt;0,"c","b"))</f>
        <v>0</v>
      </c>
    </row>
    <row r="451" spans="1:25" ht="13.5" hidden="1" thickBot="1" x14ac:dyDescent="0.25">
      <c r="A451" s="317" t="s">
        <v>147</v>
      </c>
      <c r="B451" s="895" t="str">
        <f>GLOBAL_DER_FEV_2023!B451</f>
        <v>transporte</v>
      </c>
      <c r="C451" s="896">
        <f>GLOBAL_DER_FEV_2023!C451</f>
        <v>0</v>
      </c>
      <c r="D451" s="957" t="str">
        <f>GLOBAL_DER_FEV_2023!D451</f>
        <v>Areia</v>
      </c>
      <c r="E451" s="907">
        <f>GLOBAL_DER_FEV_2023!E451</f>
        <v>150</v>
      </c>
      <c r="F451" s="1287">
        <f>GLOBAL_DER_FEV_2023!F451</f>
        <v>9.5399999999999999E-2</v>
      </c>
      <c r="G451" s="949">
        <f>GLOBAL_DER_FEV_2023!G451</f>
        <v>15.567372000000001</v>
      </c>
      <c r="H451" s="901">
        <f>GLOBAL_DER_FEV_2023!H451</f>
        <v>0</v>
      </c>
      <c r="I451" s="901">
        <f>GLOBAL_DER_FEV_2023!I451</f>
        <v>0</v>
      </c>
      <c r="J451" s="902">
        <f>GLOBAL_DER_FEV_2023!J451</f>
        <v>0</v>
      </c>
      <c r="K451" s="903" t="s">
        <v>507</v>
      </c>
      <c r="L451" s="1003"/>
      <c r="M451" s="1157">
        <f t="shared" si="32"/>
        <v>0</v>
      </c>
      <c r="N451" s="893">
        <f t="shared" si="36"/>
        <v>0</v>
      </c>
      <c r="O451" s="905"/>
      <c r="P451" s="58" t="str">
        <f>IF(N450&gt;0,"xx",IF(N450&gt;0,"xy",""))</f>
        <v/>
      </c>
      <c r="Q451" s="317" t="str">
        <f t="shared" si="33"/>
        <v/>
      </c>
      <c r="R451" s="317" t="str">
        <f t="shared" si="34"/>
        <v/>
      </c>
      <c r="S451" s="317" t="str">
        <f t="shared" si="35"/>
        <v/>
      </c>
      <c r="T451" s="317" t="str">
        <f>GLOBAL_DER_FEV_2023!S451</f>
        <v/>
      </c>
      <c r="W451" s="582">
        <v>0</v>
      </c>
      <c r="X451" s="580"/>
      <c r="Y451" s="583">
        <f>IF(GLOBAL_DER_FEV_2023!W451=0,0,IF(GLOBAL_DER_FEV_2023!W451&gt;0,"c","b"))</f>
        <v>0</v>
      </c>
    </row>
    <row r="452" spans="1:25" ht="13.5" hidden="1" thickBot="1" x14ac:dyDescent="0.25">
      <c r="A452" s="317" t="s">
        <v>147</v>
      </c>
      <c r="B452" s="895" t="str">
        <f>GLOBAL_DER_FEV_2023!B452</f>
        <v>transporte</v>
      </c>
      <c r="C452" s="896">
        <f>GLOBAL_DER_FEV_2023!C452</f>
        <v>0</v>
      </c>
      <c r="D452" s="957" t="str">
        <f>GLOBAL_DER_FEV_2023!D452</f>
        <v>Cal Hidratada CH-1</v>
      </c>
      <c r="E452" s="907">
        <f>GLOBAL_DER_FEV_2023!E452</f>
        <v>353</v>
      </c>
      <c r="F452" s="1287">
        <f>GLOBAL_DER_FEV_2023!F452</f>
        <v>1.44E-2</v>
      </c>
      <c r="G452" s="909">
        <f>GLOBAL_DER_FEV_2023!G452</f>
        <v>4.0775040000000002</v>
      </c>
      <c r="H452" s="901">
        <f>GLOBAL_DER_FEV_2023!H452</f>
        <v>0</v>
      </c>
      <c r="I452" s="901">
        <f>GLOBAL_DER_FEV_2023!I452</f>
        <v>0</v>
      </c>
      <c r="J452" s="902">
        <f>GLOBAL_DER_FEV_2023!J452</f>
        <v>0</v>
      </c>
      <c r="K452" s="903" t="s">
        <v>507</v>
      </c>
      <c r="L452" s="1003"/>
      <c r="M452" s="1157">
        <f t="shared" si="32"/>
        <v>0</v>
      </c>
      <c r="N452" s="893">
        <f t="shared" si="36"/>
        <v>0</v>
      </c>
      <c r="O452" s="905"/>
      <c r="P452" s="58" t="str">
        <f>IF(N450&gt;0,"xx",IF(N450&gt;0,"xy",""))</f>
        <v/>
      </c>
      <c r="Q452" s="317" t="str">
        <f t="shared" si="33"/>
        <v/>
      </c>
      <c r="R452" s="317" t="str">
        <f t="shared" si="34"/>
        <v/>
      </c>
      <c r="S452" s="317" t="str">
        <f t="shared" si="35"/>
        <v/>
      </c>
      <c r="T452" s="317" t="str">
        <f>GLOBAL_DER_FEV_2023!S452</f>
        <v/>
      </c>
      <c r="W452" s="582">
        <v>0</v>
      </c>
      <c r="X452" s="580"/>
      <c r="Y452" s="583">
        <f>IF(GLOBAL_DER_FEV_2023!W452=0,0,IF(GLOBAL_DER_FEV_2023!W452&gt;0,"c","b"))</f>
        <v>0</v>
      </c>
    </row>
    <row r="453" spans="1:25" ht="13.5" hidden="1" thickBot="1" x14ac:dyDescent="0.25">
      <c r="A453" s="317" t="s">
        <v>147</v>
      </c>
      <c r="B453" s="895" t="str">
        <f>GLOBAL_DER_FEV_2023!B453</f>
        <v>transporte</v>
      </c>
      <c r="C453" s="896">
        <f>GLOBAL_DER_FEV_2023!C453</f>
        <v>0</v>
      </c>
      <c r="D453" s="957" t="str">
        <f>GLOBAL_DER_FEV_2023!D453</f>
        <v>Brita ( usina )</v>
      </c>
      <c r="E453" s="907">
        <f>GLOBAL_DER_FEV_2023!E453</f>
        <v>0.2</v>
      </c>
      <c r="F453" s="1287">
        <f>GLOBAL_DER_FEV_2023!F453</f>
        <v>0.83720000000000006</v>
      </c>
      <c r="G453" s="949">
        <f>GLOBAL_DER_FEV_2023!G453</f>
        <v>2.4228568000000004</v>
      </c>
      <c r="H453" s="901">
        <f>GLOBAL_DER_FEV_2023!H453</f>
        <v>0</v>
      </c>
      <c r="I453" s="901">
        <f>GLOBAL_DER_FEV_2023!I453</f>
        <v>0</v>
      </c>
      <c r="J453" s="902">
        <f>GLOBAL_DER_FEV_2023!J453</f>
        <v>0</v>
      </c>
      <c r="K453" s="903" t="s">
        <v>507</v>
      </c>
      <c r="L453" s="1003"/>
      <c r="M453" s="1157">
        <f t="shared" si="32"/>
        <v>0</v>
      </c>
      <c r="N453" s="893">
        <f t="shared" si="36"/>
        <v>0</v>
      </c>
      <c r="O453" s="905"/>
      <c r="P453" s="58" t="str">
        <f>IF(N450&gt;0,"xx",IF(N450&gt;0,"xy",""))</f>
        <v/>
      </c>
      <c r="Q453" s="317" t="str">
        <f t="shared" si="33"/>
        <v/>
      </c>
      <c r="R453" s="317" t="str">
        <f t="shared" si="34"/>
        <v/>
      </c>
      <c r="S453" s="317" t="str">
        <f t="shared" si="35"/>
        <v/>
      </c>
      <c r="T453" s="317" t="str">
        <f>GLOBAL_DER_FEV_2023!S453</f>
        <v/>
      </c>
      <c r="W453" s="582">
        <v>0</v>
      </c>
      <c r="X453" s="580"/>
      <c r="Y453" s="583">
        <f>IF(GLOBAL_DER_FEV_2023!W453=0,0,IF(GLOBAL_DER_FEV_2023!W453&gt;0,"c","b"))</f>
        <v>0</v>
      </c>
    </row>
    <row r="454" spans="1:25" ht="13.5" hidden="1" thickBot="1" x14ac:dyDescent="0.25">
      <c r="A454" s="317" t="s">
        <v>147</v>
      </c>
      <c r="B454" s="895" t="str">
        <f>GLOBAL_DER_FEV_2023!B454</f>
        <v>transporte</v>
      </c>
      <c r="C454" s="896">
        <f>GLOBAL_DER_FEV_2023!C454</f>
        <v>0</v>
      </c>
      <c r="D454" s="957" t="str">
        <f>GLOBAL_DER_FEV_2023!D454</f>
        <v>Massa</v>
      </c>
      <c r="E454" s="907">
        <f>GLOBAL_DER_FEV_2023!E454</f>
        <v>22</v>
      </c>
      <c r="F454" s="908">
        <f>GLOBAL_DER_FEV_2023!F454</f>
        <v>1</v>
      </c>
      <c r="G454" s="912">
        <f>GLOBAL_DER_FEV_2023!G454</f>
        <v>29.990000000000002</v>
      </c>
      <c r="H454" s="901">
        <f>GLOBAL_DER_FEV_2023!H454</f>
        <v>0</v>
      </c>
      <c r="I454" s="901">
        <f>GLOBAL_DER_FEV_2023!I454</f>
        <v>0</v>
      </c>
      <c r="J454" s="902">
        <f>GLOBAL_DER_FEV_2023!J454</f>
        <v>0</v>
      </c>
      <c r="K454" s="903" t="s">
        <v>507</v>
      </c>
      <c r="L454" s="1003"/>
      <c r="M454" s="1157">
        <f t="shared" si="32"/>
        <v>0</v>
      </c>
      <c r="N454" s="893">
        <f t="shared" si="36"/>
        <v>0</v>
      </c>
      <c r="O454" s="905"/>
      <c r="P454" s="58" t="str">
        <f>IF(N450&gt;0,"xx",IF(N450&gt;0,"xy",""))</f>
        <v/>
      </c>
      <c r="Q454" s="317" t="str">
        <f t="shared" si="33"/>
        <v/>
      </c>
      <c r="R454" s="317" t="str">
        <f t="shared" si="34"/>
        <v/>
      </c>
      <c r="S454" s="317" t="str">
        <f t="shared" si="35"/>
        <v/>
      </c>
      <c r="T454" s="317" t="str">
        <f>GLOBAL_DER_FEV_2023!S454</f>
        <v/>
      </c>
      <c r="W454" s="582">
        <v>0</v>
      </c>
      <c r="X454" s="580"/>
      <c r="Y454" s="583">
        <f>IF(GLOBAL_DER_FEV_2023!W454=0,0,IF(GLOBAL_DER_FEV_2023!W454&gt;0,"c","b"))</f>
        <v>0</v>
      </c>
    </row>
    <row r="455" spans="1:25" ht="13.5" hidden="1" thickBot="1" x14ac:dyDescent="0.25">
      <c r="A455" s="317">
        <v>589000</v>
      </c>
      <c r="B455" s="1004" t="str">
        <f>GLOBAL_DER_FEV_2023!B455</f>
        <v>589000K</v>
      </c>
      <c r="C455" s="984" t="str">
        <f>GLOBAL_DER_FEV_2023!C455</f>
        <v>DER mat</v>
      </c>
      <c r="D455" s="1012" t="str">
        <f>GLOBAL_DER_FEV_2023!D455</f>
        <v>Fornecimento de CAP - CBUQ (Quantidade menor que 10.000 ton)</v>
      </c>
      <c r="E455" s="1005">
        <f>GLOBAL_DER_FEV_2023!E455</f>
        <v>45</v>
      </c>
      <c r="F455" s="1006">
        <f>GLOBAL_DER_FEV_2023!F455</f>
        <v>1</v>
      </c>
      <c r="G455" s="949">
        <f>GLOBAL_DER_FEV_2023!G455</f>
        <v>88.36</v>
      </c>
      <c r="H455" s="988">
        <f>GLOBAL_DER_FEV_2023!H455</f>
        <v>4828.8599999999997</v>
      </c>
      <c r="I455" s="988">
        <f>GLOBAL_DER_FEV_2023!I455</f>
        <v>4724.580378112767</v>
      </c>
      <c r="J455" s="989">
        <f>GLOBAL_DER_FEV_2023!J455</f>
        <v>5672.8</v>
      </c>
      <c r="K455" s="990" t="s">
        <v>14</v>
      </c>
      <c r="L455" s="1154">
        <f>ROUND(L450*$F450,2)</f>
        <v>0</v>
      </c>
      <c r="M455" s="1159">
        <f t="shared" si="32"/>
        <v>0</v>
      </c>
      <c r="N455" s="993">
        <f t="shared" si="36"/>
        <v>0</v>
      </c>
      <c r="O455" s="905"/>
      <c r="P455" s="58" t="str">
        <f>IF(N450&gt;0,"xx",IF(N450&gt;0,"xy",""))</f>
        <v/>
      </c>
      <c r="Q455" s="317" t="str">
        <f t="shared" si="33"/>
        <v/>
      </c>
      <c r="R455" s="317" t="str">
        <f t="shared" si="34"/>
        <v/>
      </c>
      <c r="S455" s="317" t="str">
        <f t="shared" si="35"/>
        <v/>
      </c>
      <c r="T455" s="317" t="str">
        <f>GLOBAL_DER_FEV_2023!S455</f>
        <v/>
      </c>
      <c r="W455" s="582">
        <v>0</v>
      </c>
      <c r="X455" s="580"/>
      <c r="Y455" s="583">
        <f>IF(GLOBAL_DER_FEV_2023!W455=0,0,IF(GLOBAL_DER_FEV_2023!W455&gt;0,"c","b"))</f>
        <v>0</v>
      </c>
    </row>
    <row r="456" spans="1:25" ht="13.5" hidden="1" thickBot="1" x14ac:dyDescent="0.25">
      <c r="A456" s="317">
        <v>570000</v>
      </c>
      <c r="B456" s="999" t="str">
        <f>GLOBAL_DER_FEV_2023!B456</f>
        <v>570000D</v>
      </c>
      <c r="C456" s="1000" t="str">
        <f>GLOBAL_DER_FEV_2023!C456</f>
        <v>DER</v>
      </c>
      <c r="D456" s="1024" t="str">
        <f>GLOBAL_DER_FEV_2023!D456</f>
        <v>CBUQ - Novos traços - TRAÇO 7 - FAIXA "C" - (Quant. menor que 10.000 ton)</v>
      </c>
      <c r="E456" s="974" t="str">
        <f>GLOBAL_DER_FEV_2023!E456</f>
        <v>taxa CAP</v>
      </c>
      <c r="F456" s="1025">
        <f>GLOBAL_DER_FEV_2023!F456</f>
        <v>4.9500000000000002E-2</v>
      </c>
      <c r="G456" s="976">
        <f>GLOBAL_DER_FEV_2023!G456</f>
        <v>52.115947599999998</v>
      </c>
      <c r="H456" s="977">
        <f>GLOBAL_DER_FEV_2023!H456</f>
        <v>187.41</v>
      </c>
      <c r="I456" s="977">
        <f>GLOBAL_DER_FEV_2023!I456</f>
        <v>239.52594759999999</v>
      </c>
      <c r="J456" s="978">
        <f>GLOBAL_DER_FEV_2023!J456</f>
        <v>287.60000000000002</v>
      </c>
      <c r="K456" s="979" t="s">
        <v>14</v>
      </c>
      <c r="L456" s="1152"/>
      <c r="M456" s="1153">
        <f t="shared" si="32"/>
        <v>0</v>
      </c>
      <c r="N456" s="982">
        <f t="shared" si="36"/>
        <v>0</v>
      </c>
      <c r="O456" s="905"/>
      <c r="Q456" s="317" t="str">
        <f t="shared" si="33"/>
        <v/>
      </c>
      <c r="R456" s="317" t="str">
        <f t="shared" si="34"/>
        <v/>
      </c>
      <c r="S456" s="317" t="str">
        <f t="shared" si="35"/>
        <v/>
      </c>
      <c r="T456" s="317" t="str">
        <f>GLOBAL_DER_FEV_2023!S456</f>
        <v/>
      </c>
      <c r="W456" s="582">
        <v>0</v>
      </c>
      <c r="X456" s="580"/>
      <c r="Y456" s="583">
        <f>IF(GLOBAL_DER_FEV_2023!W456=0,0,IF(GLOBAL_DER_FEV_2023!W456&gt;0,"c","b"))</f>
        <v>0</v>
      </c>
    </row>
    <row r="457" spans="1:25" ht="13.5" hidden="1" thickBot="1" x14ac:dyDescent="0.25">
      <c r="A457" s="317" t="s">
        <v>147</v>
      </c>
      <c r="B457" s="895" t="str">
        <f>GLOBAL_DER_FEV_2023!B457</f>
        <v>transporte</v>
      </c>
      <c r="C457" s="896">
        <f>GLOBAL_DER_FEV_2023!C457</f>
        <v>0</v>
      </c>
      <c r="D457" s="957" t="str">
        <f>GLOBAL_DER_FEV_2023!D457</f>
        <v>Areia</v>
      </c>
      <c r="E457" s="907">
        <f>GLOBAL_DER_FEV_2023!E457</f>
        <v>150</v>
      </c>
      <c r="F457" s="1287">
        <f>GLOBAL_DER_FEV_2023!F457</f>
        <v>9.5699999999999993E-2</v>
      </c>
      <c r="G457" s="949">
        <f>GLOBAL_DER_FEV_2023!G457</f>
        <v>15.616325999999999</v>
      </c>
      <c r="H457" s="901">
        <f>GLOBAL_DER_FEV_2023!H457</f>
        <v>0</v>
      </c>
      <c r="I457" s="901">
        <f>GLOBAL_DER_FEV_2023!I457</f>
        <v>0</v>
      </c>
      <c r="J457" s="902">
        <f>GLOBAL_DER_FEV_2023!J457</f>
        <v>0</v>
      </c>
      <c r="K457" s="903" t="s">
        <v>507</v>
      </c>
      <c r="L457" s="1003"/>
      <c r="M457" s="1157">
        <f t="shared" si="32"/>
        <v>0</v>
      </c>
      <c r="N457" s="893">
        <f t="shared" si="36"/>
        <v>0</v>
      </c>
      <c r="O457" s="905"/>
      <c r="P457" s="58" t="str">
        <f>IF(N456&gt;0,"xx",IF(N456&gt;0,"xy",""))</f>
        <v/>
      </c>
      <c r="Q457" s="317" t="str">
        <f t="shared" si="33"/>
        <v/>
      </c>
      <c r="R457" s="317" t="str">
        <f t="shared" si="34"/>
        <v/>
      </c>
      <c r="S457" s="317" t="str">
        <f t="shared" si="35"/>
        <v/>
      </c>
      <c r="T457" s="317" t="str">
        <f>GLOBAL_DER_FEV_2023!S457</f>
        <v/>
      </c>
      <c r="W457" s="582">
        <v>0</v>
      </c>
      <c r="X457" s="580"/>
      <c r="Y457" s="583">
        <f>IF(GLOBAL_DER_FEV_2023!W457=0,0,IF(GLOBAL_DER_FEV_2023!W457&gt;0,"c","b"))</f>
        <v>0</v>
      </c>
    </row>
    <row r="458" spans="1:25" ht="13.5" hidden="1" thickBot="1" x14ac:dyDescent="0.25">
      <c r="A458" s="317" t="s">
        <v>147</v>
      </c>
      <c r="B458" s="895" t="str">
        <f>GLOBAL_DER_FEV_2023!B458</f>
        <v>transporte</v>
      </c>
      <c r="C458" s="896">
        <f>GLOBAL_DER_FEV_2023!C458</f>
        <v>0</v>
      </c>
      <c r="D458" s="957" t="str">
        <f>GLOBAL_DER_FEV_2023!D458</f>
        <v>Cal Hidratada CH-1</v>
      </c>
      <c r="E458" s="907">
        <f>GLOBAL_DER_FEV_2023!E458</f>
        <v>353</v>
      </c>
      <c r="F458" s="1287">
        <f>GLOBAL_DER_FEV_2023!F458</f>
        <v>1.44E-2</v>
      </c>
      <c r="G458" s="909">
        <f>GLOBAL_DER_FEV_2023!G458</f>
        <v>4.0775040000000002</v>
      </c>
      <c r="H458" s="901">
        <f>GLOBAL_DER_FEV_2023!H458</f>
        <v>0</v>
      </c>
      <c r="I458" s="901">
        <f>GLOBAL_DER_FEV_2023!I458</f>
        <v>0</v>
      </c>
      <c r="J458" s="902">
        <f>GLOBAL_DER_FEV_2023!J458</f>
        <v>0</v>
      </c>
      <c r="K458" s="903" t="s">
        <v>507</v>
      </c>
      <c r="L458" s="1003"/>
      <c r="M458" s="1157">
        <f t="shared" si="32"/>
        <v>0</v>
      </c>
      <c r="N458" s="893">
        <f t="shared" si="36"/>
        <v>0</v>
      </c>
      <c r="O458" s="905"/>
      <c r="P458" s="58" t="str">
        <f>IF(N456&gt;0,"xx",IF(N456&gt;0,"xy",""))</f>
        <v/>
      </c>
      <c r="Q458" s="317" t="str">
        <f t="shared" si="33"/>
        <v/>
      </c>
      <c r="R458" s="317" t="str">
        <f t="shared" si="34"/>
        <v/>
      </c>
      <c r="S458" s="317" t="str">
        <f t="shared" si="35"/>
        <v/>
      </c>
      <c r="T458" s="317" t="str">
        <f>GLOBAL_DER_FEV_2023!S458</f>
        <v/>
      </c>
      <c r="W458" s="582">
        <v>0</v>
      </c>
      <c r="X458" s="580"/>
      <c r="Y458" s="583">
        <f>IF(GLOBAL_DER_FEV_2023!W458=0,0,IF(GLOBAL_DER_FEV_2023!W458&gt;0,"c","b"))</f>
        <v>0</v>
      </c>
    </row>
    <row r="459" spans="1:25" ht="13.5" hidden="1" thickBot="1" x14ac:dyDescent="0.25">
      <c r="A459" s="317" t="s">
        <v>147</v>
      </c>
      <c r="B459" s="895" t="str">
        <f>GLOBAL_DER_FEV_2023!B459</f>
        <v>transporte</v>
      </c>
      <c r="C459" s="896">
        <f>GLOBAL_DER_FEV_2023!C459</f>
        <v>0</v>
      </c>
      <c r="D459" s="957" t="str">
        <f>GLOBAL_DER_FEV_2023!D459</f>
        <v>Brita ( usina )</v>
      </c>
      <c r="E459" s="907">
        <f>GLOBAL_DER_FEV_2023!E459</f>
        <v>0.2</v>
      </c>
      <c r="F459" s="1287">
        <f>GLOBAL_DER_FEV_2023!F459</f>
        <v>0.84040000000000004</v>
      </c>
      <c r="G459" s="949">
        <f>GLOBAL_DER_FEV_2023!G459</f>
        <v>2.4321176000000002</v>
      </c>
      <c r="H459" s="901">
        <f>GLOBAL_DER_FEV_2023!H459</f>
        <v>0</v>
      </c>
      <c r="I459" s="901">
        <f>GLOBAL_DER_FEV_2023!I459</f>
        <v>0</v>
      </c>
      <c r="J459" s="902">
        <f>GLOBAL_DER_FEV_2023!J459</f>
        <v>0</v>
      </c>
      <c r="K459" s="903" t="s">
        <v>507</v>
      </c>
      <c r="L459" s="1003"/>
      <c r="M459" s="1157">
        <f t="shared" si="32"/>
        <v>0</v>
      </c>
      <c r="N459" s="893">
        <f t="shared" si="36"/>
        <v>0</v>
      </c>
      <c r="O459" s="905"/>
      <c r="P459" s="58" t="str">
        <f>IF(N456&gt;0,"xx",IF(N456&gt;0,"xy",""))</f>
        <v/>
      </c>
      <c r="Q459" s="317" t="str">
        <f t="shared" si="33"/>
        <v/>
      </c>
      <c r="R459" s="317" t="str">
        <f t="shared" si="34"/>
        <v/>
      </c>
      <c r="S459" s="317" t="str">
        <f t="shared" si="35"/>
        <v/>
      </c>
      <c r="T459" s="317" t="str">
        <f>GLOBAL_DER_FEV_2023!S459</f>
        <v/>
      </c>
      <c r="W459" s="582">
        <v>0</v>
      </c>
      <c r="X459" s="580"/>
      <c r="Y459" s="583">
        <f>IF(GLOBAL_DER_FEV_2023!W459=0,0,IF(GLOBAL_DER_FEV_2023!W459&gt;0,"c","b"))</f>
        <v>0</v>
      </c>
    </row>
    <row r="460" spans="1:25" ht="13.5" hidden="1" thickBot="1" x14ac:dyDescent="0.25">
      <c r="A460" s="317" t="s">
        <v>147</v>
      </c>
      <c r="B460" s="895" t="str">
        <f>GLOBAL_DER_FEV_2023!B460</f>
        <v>transporte</v>
      </c>
      <c r="C460" s="896">
        <f>GLOBAL_DER_FEV_2023!C460</f>
        <v>0</v>
      </c>
      <c r="D460" s="957" t="str">
        <f>GLOBAL_DER_FEV_2023!D460</f>
        <v>Massa</v>
      </c>
      <c r="E460" s="907">
        <f>GLOBAL_DER_FEV_2023!E460</f>
        <v>22</v>
      </c>
      <c r="F460" s="1287">
        <f>GLOBAL_DER_FEV_2023!F460</f>
        <v>1</v>
      </c>
      <c r="G460" s="912">
        <f>GLOBAL_DER_FEV_2023!G460</f>
        <v>29.990000000000002</v>
      </c>
      <c r="H460" s="901">
        <f>GLOBAL_DER_FEV_2023!H460</f>
        <v>0</v>
      </c>
      <c r="I460" s="901">
        <f>GLOBAL_DER_FEV_2023!I460</f>
        <v>0</v>
      </c>
      <c r="J460" s="902">
        <f>GLOBAL_DER_FEV_2023!J460</f>
        <v>0</v>
      </c>
      <c r="K460" s="903" t="s">
        <v>507</v>
      </c>
      <c r="L460" s="1003"/>
      <c r="M460" s="1157">
        <f t="shared" si="32"/>
        <v>0</v>
      </c>
      <c r="N460" s="893">
        <f t="shared" si="36"/>
        <v>0</v>
      </c>
      <c r="O460" s="905"/>
      <c r="P460" s="58" t="str">
        <f>IF(N456&gt;0,"xx",IF(N456&gt;0,"xy",""))</f>
        <v/>
      </c>
      <c r="Q460" s="317" t="str">
        <f t="shared" si="33"/>
        <v/>
      </c>
      <c r="R460" s="317" t="str">
        <f t="shared" si="34"/>
        <v/>
      </c>
      <c r="S460" s="317" t="str">
        <f t="shared" si="35"/>
        <v/>
      </c>
      <c r="T460" s="317" t="str">
        <f>GLOBAL_DER_FEV_2023!S460</f>
        <v/>
      </c>
      <c r="W460" s="582">
        <v>0</v>
      </c>
      <c r="X460" s="580"/>
      <c r="Y460" s="583">
        <f>IF(GLOBAL_DER_FEV_2023!W460=0,0,IF(GLOBAL_DER_FEV_2023!W460&gt;0,"c","b"))</f>
        <v>0</v>
      </c>
    </row>
    <row r="461" spans="1:25" ht="13.5" hidden="1" thickBot="1" x14ac:dyDescent="0.25">
      <c r="A461" s="317">
        <v>589000</v>
      </c>
      <c r="B461" s="1004" t="str">
        <f>GLOBAL_DER_FEV_2023!B461</f>
        <v>589000K</v>
      </c>
      <c r="C461" s="984" t="str">
        <f>GLOBAL_DER_FEV_2023!C461</f>
        <v>DER mat</v>
      </c>
      <c r="D461" s="1012" t="str">
        <f>GLOBAL_DER_FEV_2023!D461</f>
        <v>Fornecimento de CAP - CBUQ (Quantidade menor que 10.000 ton)</v>
      </c>
      <c r="E461" s="1005">
        <f>GLOBAL_DER_FEV_2023!E461</f>
        <v>45</v>
      </c>
      <c r="F461" s="1288">
        <f>GLOBAL_DER_FEV_2023!F461</f>
        <v>1</v>
      </c>
      <c r="G461" s="949">
        <f>GLOBAL_DER_FEV_2023!G461</f>
        <v>88.36</v>
      </c>
      <c r="H461" s="988">
        <f>GLOBAL_DER_FEV_2023!H461</f>
        <v>4828.8599999999997</v>
      </c>
      <c r="I461" s="988">
        <f>GLOBAL_DER_FEV_2023!I461</f>
        <v>4724.580378112767</v>
      </c>
      <c r="J461" s="989">
        <f>GLOBAL_DER_FEV_2023!J461</f>
        <v>5672.8</v>
      </c>
      <c r="K461" s="990" t="s">
        <v>14</v>
      </c>
      <c r="L461" s="1154">
        <f>ROUND(L456*$F456,2)</f>
        <v>0</v>
      </c>
      <c r="M461" s="1159">
        <f t="shared" si="32"/>
        <v>0</v>
      </c>
      <c r="N461" s="993">
        <f t="shared" si="36"/>
        <v>0</v>
      </c>
      <c r="O461" s="905"/>
      <c r="P461" s="58" t="str">
        <f>IF(N456&gt;0,"xx",IF(N456&gt;0,"xy",""))</f>
        <v/>
      </c>
      <c r="Q461" s="317" t="str">
        <f t="shared" si="33"/>
        <v/>
      </c>
      <c r="R461" s="317" t="str">
        <f t="shared" si="34"/>
        <v/>
      </c>
      <c r="S461" s="317" t="str">
        <f t="shared" si="35"/>
        <v/>
      </c>
      <c r="T461" s="317" t="str">
        <f>GLOBAL_DER_FEV_2023!S461</f>
        <v/>
      </c>
      <c r="W461" s="582">
        <v>0</v>
      </c>
      <c r="X461" s="580"/>
      <c r="Y461" s="583">
        <f>IF(GLOBAL_DER_FEV_2023!W461=0,0,IF(GLOBAL_DER_FEV_2023!W461&gt;0,"c","b"))</f>
        <v>0</v>
      </c>
    </row>
    <row r="462" spans="1:25" ht="13.5" hidden="1" thickBot="1" x14ac:dyDescent="0.25">
      <c r="A462" s="317">
        <v>570000</v>
      </c>
      <c r="B462" s="999" t="str">
        <f>GLOBAL_DER_FEV_2023!B462</f>
        <v>570000D</v>
      </c>
      <c r="C462" s="1000" t="str">
        <f>GLOBAL_DER_FEV_2023!C462</f>
        <v>DER</v>
      </c>
      <c r="D462" s="1024" t="str">
        <f>GLOBAL_DER_FEV_2023!D462</f>
        <v>CBUQ - Novos traços - TRAÇO 8 - FAIXA "C" - (Quant. menor que 10.000 ton)</v>
      </c>
      <c r="E462" s="974" t="str">
        <f>GLOBAL_DER_FEV_2023!E462</f>
        <v>taxa CAP</v>
      </c>
      <c r="F462" s="1025">
        <f>GLOBAL_DER_FEV_2023!F462</f>
        <v>4.9000000000000002E-2</v>
      </c>
      <c r="G462" s="976">
        <f>GLOBAL_DER_FEV_2023!G462</f>
        <v>52.1614498</v>
      </c>
      <c r="H462" s="977">
        <f>GLOBAL_DER_FEV_2023!H462</f>
        <v>187.41</v>
      </c>
      <c r="I462" s="977">
        <f>GLOBAL_DER_FEV_2023!I462</f>
        <v>239.57144979999998</v>
      </c>
      <c r="J462" s="978">
        <f>GLOBAL_DER_FEV_2023!J462</f>
        <v>287.64999999999998</v>
      </c>
      <c r="K462" s="979" t="s">
        <v>14</v>
      </c>
      <c r="L462" s="1152"/>
      <c r="M462" s="1153">
        <f t="shared" si="32"/>
        <v>0</v>
      </c>
      <c r="N462" s="982">
        <f t="shared" si="36"/>
        <v>0</v>
      </c>
      <c r="O462" s="905"/>
      <c r="Q462" s="317" t="str">
        <f t="shared" si="33"/>
        <v/>
      </c>
      <c r="R462" s="317" t="str">
        <f t="shared" si="34"/>
        <v/>
      </c>
      <c r="S462" s="317" t="str">
        <f t="shared" si="35"/>
        <v/>
      </c>
      <c r="T462" s="317" t="str">
        <f>GLOBAL_DER_FEV_2023!S462</f>
        <v/>
      </c>
      <c r="W462" s="582">
        <v>0</v>
      </c>
      <c r="X462" s="580"/>
      <c r="Y462" s="583">
        <f>IF(GLOBAL_DER_FEV_2023!W462=0,0,IF(GLOBAL_DER_FEV_2023!W462&gt;0,"c","b"))</f>
        <v>0</v>
      </c>
    </row>
    <row r="463" spans="1:25" ht="13.5" hidden="1" thickBot="1" x14ac:dyDescent="0.25">
      <c r="A463" s="317" t="s">
        <v>147</v>
      </c>
      <c r="B463" s="895" t="str">
        <f>GLOBAL_DER_FEV_2023!B463</f>
        <v>transporte</v>
      </c>
      <c r="C463" s="896">
        <f>GLOBAL_DER_FEV_2023!C463</f>
        <v>0</v>
      </c>
      <c r="D463" s="957" t="str">
        <f>GLOBAL_DER_FEV_2023!D463</f>
        <v>Areia</v>
      </c>
      <c r="E463" s="907">
        <f>GLOBAL_DER_FEV_2023!E463</f>
        <v>150</v>
      </c>
      <c r="F463" s="1287">
        <f>GLOBAL_DER_FEV_2023!F463</f>
        <v>9.5799999999999996E-2</v>
      </c>
      <c r="G463" s="949">
        <f>GLOBAL_DER_FEV_2023!G463</f>
        <v>15.632644000000001</v>
      </c>
      <c r="H463" s="901">
        <f>GLOBAL_DER_FEV_2023!H463</f>
        <v>0</v>
      </c>
      <c r="I463" s="901">
        <f>GLOBAL_DER_FEV_2023!I463</f>
        <v>0</v>
      </c>
      <c r="J463" s="902">
        <f>GLOBAL_DER_FEV_2023!J463</f>
        <v>0</v>
      </c>
      <c r="K463" s="903" t="s">
        <v>507</v>
      </c>
      <c r="L463" s="1003"/>
      <c r="M463" s="1157">
        <f t="shared" si="32"/>
        <v>0</v>
      </c>
      <c r="N463" s="893">
        <f t="shared" si="36"/>
        <v>0</v>
      </c>
      <c r="O463" s="905"/>
      <c r="P463" s="58" t="str">
        <f>IF(N462&gt;0,"xx",IF(N462&gt;0,"xy",""))</f>
        <v/>
      </c>
      <c r="Q463" s="317" t="str">
        <f t="shared" si="33"/>
        <v/>
      </c>
      <c r="R463" s="317" t="str">
        <f t="shared" si="34"/>
        <v/>
      </c>
      <c r="S463" s="317" t="str">
        <f t="shared" si="35"/>
        <v/>
      </c>
      <c r="T463" s="317" t="str">
        <f>GLOBAL_DER_FEV_2023!S463</f>
        <v/>
      </c>
      <c r="W463" s="582">
        <v>0</v>
      </c>
      <c r="X463" s="580"/>
      <c r="Y463" s="583">
        <f>IF(GLOBAL_DER_FEV_2023!W463=0,0,IF(GLOBAL_DER_FEV_2023!W463&gt;0,"c","b"))</f>
        <v>0</v>
      </c>
    </row>
    <row r="464" spans="1:25" ht="13.5" hidden="1" thickBot="1" x14ac:dyDescent="0.25">
      <c r="A464" s="317" t="s">
        <v>147</v>
      </c>
      <c r="B464" s="895" t="str">
        <f>GLOBAL_DER_FEV_2023!B464</f>
        <v>transporte</v>
      </c>
      <c r="C464" s="896">
        <f>GLOBAL_DER_FEV_2023!C464</f>
        <v>0</v>
      </c>
      <c r="D464" s="957" t="str">
        <f>GLOBAL_DER_FEV_2023!D464</f>
        <v>Cal Hidratada CH-1</v>
      </c>
      <c r="E464" s="907">
        <f>GLOBAL_DER_FEV_2023!E464</f>
        <v>353</v>
      </c>
      <c r="F464" s="1287">
        <f>GLOBAL_DER_FEV_2023!F464</f>
        <v>1.4500000000000001E-2</v>
      </c>
      <c r="G464" s="909">
        <f>GLOBAL_DER_FEV_2023!G464</f>
        <v>4.1058200000000005</v>
      </c>
      <c r="H464" s="901">
        <f>GLOBAL_DER_FEV_2023!H464</f>
        <v>0</v>
      </c>
      <c r="I464" s="901">
        <f>GLOBAL_DER_FEV_2023!I464</f>
        <v>0</v>
      </c>
      <c r="J464" s="902">
        <f>GLOBAL_DER_FEV_2023!J464</f>
        <v>0</v>
      </c>
      <c r="K464" s="903" t="s">
        <v>507</v>
      </c>
      <c r="L464" s="1003"/>
      <c r="M464" s="1157">
        <f t="shared" si="32"/>
        <v>0</v>
      </c>
      <c r="N464" s="893">
        <f t="shared" si="36"/>
        <v>0</v>
      </c>
      <c r="O464" s="905"/>
      <c r="P464" s="58" t="str">
        <f>IF(N462&gt;0,"xx",IF(N462&gt;0,"xy",""))</f>
        <v/>
      </c>
      <c r="Q464" s="317" t="str">
        <f t="shared" si="33"/>
        <v/>
      </c>
      <c r="R464" s="317" t="str">
        <f t="shared" si="34"/>
        <v/>
      </c>
      <c r="S464" s="317" t="str">
        <f t="shared" si="35"/>
        <v/>
      </c>
      <c r="T464" s="317" t="str">
        <f>GLOBAL_DER_FEV_2023!S464</f>
        <v/>
      </c>
      <c r="W464" s="582">
        <v>0</v>
      </c>
      <c r="X464" s="580"/>
      <c r="Y464" s="583">
        <f>IF(GLOBAL_DER_FEV_2023!W464=0,0,IF(GLOBAL_DER_FEV_2023!W464&gt;0,"c","b"))</f>
        <v>0</v>
      </c>
    </row>
    <row r="465" spans="1:25" ht="13.5" hidden="1" thickBot="1" x14ac:dyDescent="0.25">
      <c r="A465" s="317" t="s">
        <v>147</v>
      </c>
      <c r="B465" s="895" t="str">
        <f>GLOBAL_DER_FEV_2023!B465</f>
        <v>transporte</v>
      </c>
      <c r="C465" s="896">
        <f>GLOBAL_DER_FEV_2023!C465</f>
        <v>0</v>
      </c>
      <c r="D465" s="957" t="str">
        <f>GLOBAL_DER_FEV_2023!D465</f>
        <v>Brita ( usina )</v>
      </c>
      <c r="E465" s="907">
        <f>GLOBAL_DER_FEV_2023!E465</f>
        <v>0.2</v>
      </c>
      <c r="F465" s="1287">
        <f>GLOBAL_DER_FEV_2023!F465</f>
        <v>0.8407</v>
      </c>
      <c r="G465" s="949">
        <f>GLOBAL_DER_FEV_2023!G465</f>
        <v>2.4329858</v>
      </c>
      <c r="H465" s="901">
        <f>GLOBAL_DER_FEV_2023!H465</f>
        <v>0</v>
      </c>
      <c r="I465" s="901">
        <f>GLOBAL_DER_FEV_2023!I465</f>
        <v>0</v>
      </c>
      <c r="J465" s="902">
        <f>GLOBAL_DER_FEV_2023!J465</f>
        <v>0</v>
      </c>
      <c r="K465" s="903" t="s">
        <v>507</v>
      </c>
      <c r="L465" s="1003"/>
      <c r="M465" s="1157">
        <f t="shared" si="32"/>
        <v>0</v>
      </c>
      <c r="N465" s="893">
        <f t="shared" si="36"/>
        <v>0</v>
      </c>
      <c r="O465" s="905"/>
      <c r="P465" s="58" t="str">
        <f>IF(N462&gt;0,"xx",IF(N462&gt;0,"xy",""))</f>
        <v/>
      </c>
      <c r="Q465" s="317" t="str">
        <f t="shared" si="33"/>
        <v/>
      </c>
      <c r="R465" s="317" t="str">
        <f t="shared" si="34"/>
        <v/>
      </c>
      <c r="S465" s="317" t="str">
        <f t="shared" si="35"/>
        <v/>
      </c>
      <c r="T465" s="317" t="str">
        <f>GLOBAL_DER_FEV_2023!S465</f>
        <v/>
      </c>
      <c r="W465" s="582">
        <v>0</v>
      </c>
      <c r="X465" s="580"/>
      <c r="Y465" s="583">
        <f>IF(GLOBAL_DER_FEV_2023!W465=0,0,IF(GLOBAL_DER_FEV_2023!W465&gt;0,"c","b"))</f>
        <v>0</v>
      </c>
    </row>
    <row r="466" spans="1:25" ht="13.5" hidden="1" thickBot="1" x14ac:dyDescent="0.25">
      <c r="A466" s="317" t="s">
        <v>147</v>
      </c>
      <c r="B466" s="895" t="str">
        <f>GLOBAL_DER_FEV_2023!B466</f>
        <v>transporte</v>
      </c>
      <c r="C466" s="896">
        <f>GLOBAL_DER_FEV_2023!C466</f>
        <v>0</v>
      </c>
      <c r="D466" s="957" t="str">
        <f>GLOBAL_DER_FEV_2023!D466</f>
        <v>Massa</v>
      </c>
      <c r="E466" s="907">
        <f>GLOBAL_DER_FEV_2023!E466</f>
        <v>22</v>
      </c>
      <c r="F466" s="908">
        <f>GLOBAL_DER_FEV_2023!F466</f>
        <v>1</v>
      </c>
      <c r="G466" s="912">
        <f>GLOBAL_DER_FEV_2023!G466</f>
        <v>29.990000000000002</v>
      </c>
      <c r="H466" s="901">
        <f>GLOBAL_DER_FEV_2023!H466</f>
        <v>0</v>
      </c>
      <c r="I466" s="901">
        <f>GLOBAL_DER_FEV_2023!I466</f>
        <v>0</v>
      </c>
      <c r="J466" s="902">
        <f>GLOBAL_DER_FEV_2023!J466</f>
        <v>0</v>
      </c>
      <c r="K466" s="903" t="s">
        <v>507</v>
      </c>
      <c r="L466" s="1003"/>
      <c r="M466" s="1157">
        <f t="shared" si="32"/>
        <v>0</v>
      </c>
      <c r="N466" s="893">
        <f t="shared" si="36"/>
        <v>0</v>
      </c>
      <c r="O466" s="905"/>
      <c r="P466" s="58" t="str">
        <f>IF(N462&gt;0,"xx",IF(N462&gt;0,"xy",""))</f>
        <v/>
      </c>
      <c r="Q466" s="317" t="str">
        <f t="shared" si="33"/>
        <v/>
      </c>
      <c r="R466" s="317" t="str">
        <f t="shared" si="34"/>
        <v/>
      </c>
      <c r="S466" s="317" t="str">
        <f t="shared" si="35"/>
        <v/>
      </c>
      <c r="T466" s="317" t="str">
        <f>GLOBAL_DER_FEV_2023!S466</f>
        <v/>
      </c>
      <c r="W466" s="582">
        <v>0</v>
      </c>
      <c r="X466" s="580"/>
      <c r="Y466" s="583">
        <f>IF(GLOBAL_DER_FEV_2023!W466=0,0,IF(GLOBAL_DER_FEV_2023!W466&gt;0,"c","b"))</f>
        <v>0</v>
      </c>
    </row>
    <row r="467" spans="1:25" ht="13.5" hidden="1" thickBot="1" x14ac:dyDescent="0.25">
      <c r="A467" s="317">
        <v>589000</v>
      </c>
      <c r="B467" s="1004" t="str">
        <f>GLOBAL_DER_FEV_2023!B467</f>
        <v>589000K</v>
      </c>
      <c r="C467" s="984" t="str">
        <f>GLOBAL_DER_FEV_2023!C467</f>
        <v>DER mat</v>
      </c>
      <c r="D467" s="1012" t="str">
        <f>GLOBAL_DER_FEV_2023!D467</f>
        <v>Fornecimento de CAP - CBUQ (Quantidade menor que 10.000 ton)</v>
      </c>
      <c r="E467" s="1005">
        <f>GLOBAL_DER_FEV_2023!E467</f>
        <v>45</v>
      </c>
      <c r="F467" s="1006">
        <f>GLOBAL_DER_FEV_2023!F467</f>
        <v>1</v>
      </c>
      <c r="G467" s="949">
        <f>GLOBAL_DER_FEV_2023!G467</f>
        <v>88.36</v>
      </c>
      <c r="H467" s="988">
        <f>GLOBAL_DER_FEV_2023!H467</f>
        <v>4828.8599999999997</v>
      </c>
      <c r="I467" s="988">
        <f>GLOBAL_DER_FEV_2023!I467</f>
        <v>4724.580378112767</v>
      </c>
      <c r="J467" s="989">
        <f>GLOBAL_DER_FEV_2023!J467</f>
        <v>5672.8</v>
      </c>
      <c r="K467" s="990" t="s">
        <v>14</v>
      </c>
      <c r="L467" s="1154">
        <f>ROUND(L462*$F462,2)</f>
        <v>0</v>
      </c>
      <c r="M467" s="1159">
        <f t="shared" si="32"/>
        <v>0</v>
      </c>
      <c r="N467" s="993">
        <f t="shared" si="36"/>
        <v>0</v>
      </c>
      <c r="O467" s="905"/>
      <c r="P467" s="58" t="str">
        <f>IF(N462&gt;0,"xx",IF(N462&gt;0,"xy",""))</f>
        <v/>
      </c>
      <c r="Q467" s="317" t="str">
        <f t="shared" si="33"/>
        <v/>
      </c>
      <c r="R467" s="317" t="str">
        <f t="shared" si="34"/>
        <v/>
      </c>
      <c r="S467" s="317" t="str">
        <f t="shared" si="35"/>
        <v/>
      </c>
      <c r="T467" s="317" t="str">
        <f>GLOBAL_DER_FEV_2023!S467</f>
        <v/>
      </c>
      <c r="W467" s="582">
        <v>0</v>
      </c>
      <c r="X467" s="580"/>
      <c r="Y467" s="583">
        <f>IF(GLOBAL_DER_FEV_2023!W467=0,0,IF(GLOBAL_DER_FEV_2023!W467&gt;0,"c","b"))</f>
        <v>0</v>
      </c>
    </row>
    <row r="468" spans="1:25" ht="13.5" hidden="1" thickBot="1" x14ac:dyDescent="0.25">
      <c r="A468" s="317">
        <v>570400</v>
      </c>
      <c r="B468" s="999" t="s">
        <v>1655</v>
      </c>
      <c r="C468" s="1000" t="s">
        <v>184</v>
      </c>
      <c r="D468" s="1019" t="s">
        <v>2223</v>
      </c>
      <c r="E468" s="974" t="str">
        <f>GLOBAL_DER_FEV_2023!E468</f>
        <v>taxa CAP</v>
      </c>
      <c r="F468" s="975">
        <f>GLOBAL_DER_FEV_2023!F468</f>
        <v>0.05</v>
      </c>
      <c r="G468" s="976">
        <f>GLOBAL_DER_FEV_2023!G468</f>
        <v>53.140143399999999</v>
      </c>
      <c r="H468" s="977">
        <f>GLOBAL_DER_FEV_2023!H468</f>
        <v>169.12</v>
      </c>
      <c r="I468" s="977">
        <f>GLOBAL_DER_FEV_2023!I468</f>
        <v>222.2601434</v>
      </c>
      <c r="J468" s="978">
        <f>GLOBAL_DER_FEV_2023!J468</f>
        <v>266.87</v>
      </c>
      <c r="K468" s="979" t="s">
        <v>14</v>
      </c>
      <c r="L468" s="1152"/>
      <c r="M468" s="1153">
        <f t="shared" si="32"/>
        <v>0</v>
      </c>
      <c r="N468" s="982">
        <f t="shared" si="36"/>
        <v>0</v>
      </c>
      <c r="O468" s="905"/>
      <c r="Q468" s="317" t="str">
        <f t="shared" si="33"/>
        <v/>
      </c>
      <c r="R468" s="317" t="str">
        <f t="shared" si="34"/>
        <v/>
      </c>
      <c r="S468" s="317" t="str">
        <f t="shared" si="35"/>
        <v/>
      </c>
      <c r="T468" s="317" t="str">
        <f>GLOBAL_DER_FEV_2023!S468</f>
        <v/>
      </c>
      <c r="W468" s="582">
        <v>0</v>
      </c>
      <c r="X468" s="580"/>
      <c r="Y468" s="583">
        <f>IF(GLOBAL_DER_FEV_2023!W468=0,0,IF(GLOBAL_DER_FEV_2023!W468&gt;0,"c","b"))</f>
        <v>0</v>
      </c>
    </row>
    <row r="469" spans="1:25" ht="13.5" hidden="1" thickBot="1" x14ac:dyDescent="0.25">
      <c r="A469" s="317" t="s">
        <v>147</v>
      </c>
      <c r="B469" s="895" t="s">
        <v>147</v>
      </c>
      <c r="C469" s="896"/>
      <c r="D469" s="957" t="s">
        <v>229</v>
      </c>
      <c r="E469" s="907">
        <f>GLOBAL_DER_FEV_2023!E469</f>
        <v>150</v>
      </c>
      <c r="F469" s="908">
        <f>GLOBAL_DER_FEV_2023!F469</f>
        <v>0.1007</v>
      </c>
      <c r="G469" s="949">
        <f>GLOBAL_DER_FEV_2023!G469</f>
        <v>16.432226</v>
      </c>
      <c r="H469" s="901">
        <f>GLOBAL_DER_FEV_2023!H469</f>
        <v>0</v>
      </c>
      <c r="I469" s="901">
        <f>GLOBAL_DER_FEV_2023!I469</f>
        <v>0</v>
      </c>
      <c r="J469" s="902">
        <f>GLOBAL_DER_FEV_2023!J469</f>
        <v>0</v>
      </c>
      <c r="K469" s="903" t="s">
        <v>507</v>
      </c>
      <c r="L469" s="1003"/>
      <c r="M469" s="1157">
        <f t="shared" si="32"/>
        <v>0</v>
      </c>
      <c r="N469" s="893">
        <f t="shared" si="36"/>
        <v>0</v>
      </c>
      <c r="O469" s="905"/>
      <c r="P469" s="58" t="str">
        <f>IF(N468&gt;0,"xx",IF(N468&gt;0,"xy",""))</f>
        <v/>
      </c>
      <c r="Q469" s="317" t="str">
        <f t="shared" si="33"/>
        <v/>
      </c>
      <c r="R469" s="317" t="str">
        <f t="shared" si="34"/>
        <v/>
      </c>
      <c r="S469" s="317" t="str">
        <f t="shared" si="35"/>
        <v/>
      </c>
      <c r="T469" s="317" t="str">
        <f>GLOBAL_DER_FEV_2023!S469</f>
        <v/>
      </c>
      <c r="W469" s="582">
        <v>0</v>
      </c>
      <c r="X469" s="580"/>
      <c r="Y469" s="583">
        <f>IF(GLOBAL_DER_FEV_2023!W469=0,0,IF(GLOBAL_DER_FEV_2023!W469&gt;0,"c","b"))</f>
        <v>0</v>
      </c>
    </row>
    <row r="470" spans="1:25" ht="13.5" hidden="1" thickBot="1" x14ac:dyDescent="0.25">
      <c r="A470" s="317" t="s">
        <v>147</v>
      </c>
      <c r="B470" s="895" t="s">
        <v>147</v>
      </c>
      <c r="C470" s="896"/>
      <c r="D470" s="957" t="s">
        <v>230</v>
      </c>
      <c r="E470" s="907">
        <f>GLOBAL_DER_FEV_2023!E470</f>
        <v>353</v>
      </c>
      <c r="F470" s="908">
        <f>GLOBAL_DER_FEV_2023!F470</f>
        <v>1.52E-2</v>
      </c>
      <c r="G470" s="909">
        <f>GLOBAL_DER_FEV_2023!G470</f>
        <v>4.3040320000000003</v>
      </c>
      <c r="H470" s="901">
        <f>GLOBAL_DER_FEV_2023!H470</f>
        <v>0</v>
      </c>
      <c r="I470" s="901">
        <f>GLOBAL_DER_FEV_2023!I470</f>
        <v>0</v>
      </c>
      <c r="J470" s="902">
        <f>GLOBAL_DER_FEV_2023!J470</f>
        <v>0</v>
      </c>
      <c r="K470" s="903" t="s">
        <v>507</v>
      </c>
      <c r="L470" s="1003"/>
      <c r="M470" s="1157">
        <f t="shared" si="32"/>
        <v>0</v>
      </c>
      <c r="N470" s="893">
        <f t="shared" si="36"/>
        <v>0</v>
      </c>
      <c r="O470" s="905"/>
      <c r="P470" s="58" t="str">
        <f>IF(N468&gt;0,"xx",IF(N468&gt;0,"xy",""))</f>
        <v/>
      </c>
      <c r="Q470" s="317" t="str">
        <f t="shared" si="33"/>
        <v/>
      </c>
      <c r="R470" s="317" t="str">
        <f t="shared" si="34"/>
        <v/>
      </c>
      <c r="S470" s="317" t="str">
        <f t="shared" si="35"/>
        <v/>
      </c>
      <c r="T470" s="317" t="str">
        <f>GLOBAL_DER_FEV_2023!S470</f>
        <v/>
      </c>
      <c r="W470" s="582">
        <v>0</v>
      </c>
      <c r="X470" s="580"/>
      <c r="Y470" s="583">
        <f>IF(GLOBAL_DER_FEV_2023!W470=0,0,IF(GLOBAL_DER_FEV_2023!W470&gt;0,"c","b"))</f>
        <v>0</v>
      </c>
    </row>
    <row r="471" spans="1:25" ht="13.5" hidden="1" thickBot="1" x14ac:dyDescent="0.25">
      <c r="A471" s="317" t="s">
        <v>147</v>
      </c>
      <c r="B471" s="895" t="s">
        <v>147</v>
      </c>
      <c r="C471" s="896"/>
      <c r="D471" s="957" t="s">
        <v>243</v>
      </c>
      <c r="E471" s="907">
        <f>GLOBAL_DER_FEV_2023!E471</f>
        <v>0.2</v>
      </c>
      <c r="F471" s="908">
        <f>GLOBAL_DER_FEV_2023!F471</f>
        <v>0.83409999999999995</v>
      </c>
      <c r="G471" s="949">
        <f>GLOBAL_DER_FEV_2023!G471</f>
        <v>2.4138853999999998</v>
      </c>
      <c r="H471" s="901">
        <f>GLOBAL_DER_FEV_2023!H471</f>
        <v>0</v>
      </c>
      <c r="I471" s="901">
        <f>GLOBAL_DER_FEV_2023!I471</f>
        <v>0</v>
      </c>
      <c r="J471" s="902">
        <f>GLOBAL_DER_FEV_2023!J471</f>
        <v>0</v>
      </c>
      <c r="K471" s="903" t="s">
        <v>507</v>
      </c>
      <c r="L471" s="1003"/>
      <c r="M471" s="1157">
        <f t="shared" si="32"/>
        <v>0</v>
      </c>
      <c r="N471" s="893">
        <f t="shared" si="36"/>
        <v>0</v>
      </c>
      <c r="O471" s="905"/>
      <c r="P471" s="58" t="str">
        <f>IF(N468&gt;0,"xx",IF(N468&gt;0,"xy",""))</f>
        <v/>
      </c>
      <c r="Q471" s="317" t="str">
        <f t="shared" si="33"/>
        <v/>
      </c>
      <c r="R471" s="317" t="str">
        <f t="shared" si="34"/>
        <v/>
      </c>
      <c r="S471" s="317" t="str">
        <f t="shared" si="35"/>
        <v/>
      </c>
      <c r="T471" s="317" t="str">
        <f>GLOBAL_DER_FEV_2023!S471</f>
        <v/>
      </c>
      <c r="W471" s="582">
        <v>0</v>
      </c>
      <c r="X471" s="580"/>
      <c r="Y471" s="583">
        <f>IF(GLOBAL_DER_FEV_2023!W471=0,0,IF(GLOBAL_DER_FEV_2023!W471&gt;0,"c","b"))</f>
        <v>0</v>
      </c>
    </row>
    <row r="472" spans="1:25" ht="13.5" hidden="1" thickBot="1" x14ac:dyDescent="0.25">
      <c r="A472" s="317" t="s">
        <v>147</v>
      </c>
      <c r="B472" s="895" t="s">
        <v>147</v>
      </c>
      <c r="C472" s="896"/>
      <c r="D472" s="957" t="s">
        <v>244</v>
      </c>
      <c r="E472" s="907">
        <f>GLOBAL_DER_FEV_2023!E472</f>
        <v>22</v>
      </c>
      <c r="F472" s="908">
        <f>GLOBAL_DER_FEV_2023!F472</f>
        <v>1</v>
      </c>
      <c r="G472" s="912">
        <f>GLOBAL_DER_FEV_2023!G472</f>
        <v>29.990000000000002</v>
      </c>
      <c r="H472" s="901">
        <f>GLOBAL_DER_FEV_2023!H472</f>
        <v>0</v>
      </c>
      <c r="I472" s="901">
        <f>GLOBAL_DER_FEV_2023!I472</f>
        <v>0</v>
      </c>
      <c r="J472" s="902">
        <f>GLOBAL_DER_FEV_2023!J472</f>
        <v>0</v>
      </c>
      <c r="K472" s="903" t="s">
        <v>507</v>
      </c>
      <c r="L472" s="1003"/>
      <c r="M472" s="1157">
        <f t="shared" si="32"/>
        <v>0</v>
      </c>
      <c r="N472" s="893">
        <f t="shared" si="36"/>
        <v>0</v>
      </c>
      <c r="O472" s="905"/>
      <c r="P472" s="58" t="str">
        <f>IF(N468&gt;0,"xx",IF(N468&gt;0,"xy",""))</f>
        <v/>
      </c>
      <c r="Q472" s="317" t="str">
        <f t="shared" si="33"/>
        <v/>
      </c>
      <c r="R472" s="317" t="str">
        <f t="shared" si="34"/>
        <v/>
      </c>
      <c r="S472" s="317" t="str">
        <f t="shared" si="35"/>
        <v/>
      </c>
      <c r="T472" s="317" t="str">
        <f>GLOBAL_DER_FEV_2023!S472</f>
        <v/>
      </c>
      <c r="W472" s="582">
        <v>0</v>
      </c>
      <c r="X472" s="580"/>
      <c r="Y472" s="583">
        <f>IF(GLOBAL_DER_FEV_2023!W472=0,0,IF(GLOBAL_DER_FEV_2023!W472&gt;0,"c","b"))</f>
        <v>0</v>
      </c>
    </row>
    <row r="473" spans="1:25" ht="13.5" hidden="1" thickBot="1" x14ac:dyDescent="0.25">
      <c r="A473" s="317">
        <v>589000</v>
      </c>
      <c r="B473" s="1004" t="s">
        <v>1677</v>
      </c>
      <c r="C473" s="984" t="s">
        <v>213</v>
      </c>
      <c r="D473" s="1012" t="s">
        <v>2173</v>
      </c>
      <c r="E473" s="1005">
        <f>GLOBAL_DER_FEV_2023!E473</f>
        <v>45</v>
      </c>
      <c r="F473" s="1006">
        <f>GLOBAL_DER_FEV_2023!F473</f>
        <v>1</v>
      </c>
      <c r="G473" s="949">
        <f>GLOBAL_DER_FEV_2023!G473</f>
        <v>88.36</v>
      </c>
      <c r="H473" s="988">
        <f>GLOBAL_DER_FEV_2023!H473</f>
        <v>4828.8599999999997</v>
      </c>
      <c r="I473" s="988">
        <f>GLOBAL_DER_FEV_2023!I473</f>
        <v>4724.580378112767</v>
      </c>
      <c r="J473" s="989">
        <f>GLOBAL_DER_FEV_2023!J473</f>
        <v>5672.8</v>
      </c>
      <c r="K473" s="990" t="s">
        <v>14</v>
      </c>
      <c r="L473" s="1154">
        <f>ROUND(L468*$F468,2)</f>
        <v>0</v>
      </c>
      <c r="M473" s="1159">
        <f t="shared" si="32"/>
        <v>0</v>
      </c>
      <c r="N473" s="993">
        <f t="shared" si="36"/>
        <v>0</v>
      </c>
      <c r="O473" s="905"/>
      <c r="P473" s="58" t="str">
        <f>IF(N468&gt;0,"xx",IF(N468&gt;0,"xy",""))</f>
        <v/>
      </c>
      <c r="Q473" s="317" t="str">
        <f t="shared" si="33"/>
        <v/>
      </c>
      <c r="R473" s="317" t="str">
        <f t="shared" si="34"/>
        <v/>
      </c>
      <c r="S473" s="317" t="str">
        <f t="shared" si="35"/>
        <v/>
      </c>
      <c r="T473" s="317" t="str">
        <f>GLOBAL_DER_FEV_2023!S473</f>
        <v/>
      </c>
      <c r="W473" s="582">
        <v>0</v>
      </c>
      <c r="X473" s="580"/>
      <c r="Y473" s="583">
        <f>IF(GLOBAL_DER_FEV_2023!W473=0,0,IF(GLOBAL_DER_FEV_2023!W473&gt;0,"c","b"))</f>
        <v>0</v>
      </c>
    </row>
    <row r="474" spans="1:25" ht="13.5" hidden="1" thickBot="1" x14ac:dyDescent="0.25">
      <c r="A474" s="317">
        <v>570400</v>
      </c>
      <c r="B474" s="999" t="s">
        <v>1656</v>
      </c>
      <c r="C474" s="1000" t="s">
        <v>184</v>
      </c>
      <c r="D474" s="1019" t="s">
        <v>2224</v>
      </c>
      <c r="E474" s="974" t="str">
        <f>GLOBAL_DER_FEV_2023!E474</f>
        <v>taxa CAP</v>
      </c>
      <c r="F474" s="975">
        <f>GLOBAL_DER_FEV_2023!F474</f>
        <v>5.5E-2</v>
      </c>
      <c r="G474" s="976">
        <f>GLOBAL_DER_FEV_2023!G474</f>
        <v>53.017503800000007</v>
      </c>
      <c r="H474" s="977">
        <f>GLOBAL_DER_FEV_2023!H474</f>
        <v>169.12</v>
      </c>
      <c r="I474" s="977">
        <f>GLOBAL_DER_FEV_2023!I474</f>
        <v>222.13750380000002</v>
      </c>
      <c r="J474" s="978">
        <f>GLOBAL_DER_FEV_2023!J474</f>
        <v>266.72000000000003</v>
      </c>
      <c r="K474" s="979" t="s">
        <v>14</v>
      </c>
      <c r="L474" s="1152"/>
      <c r="M474" s="1153">
        <f t="shared" si="32"/>
        <v>0</v>
      </c>
      <c r="N474" s="982">
        <f t="shared" si="36"/>
        <v>0</v>
      </c>
      <c r="O474" s="905"/>
      <c r="Q474" s="317" t="str">
        <f t="shared" si="33"/>
        <v/>
      </c>
      <c r="R474" s="317" t="str">
        <f t="shared" si="34"/>
        <v/>
      </c>
      <c r="S474" s="317" t="str">
        <f t="shared" si="35"/>
        <v/>
      </c>
      <c r="T474" s="317" t="str">
        <f>GLOBAL_DER_FEV_2023!S474</f>
        <v/>
      </c>
      <c r="W474" s="582">
        <v>0</v>
      </c>
      <c r="X474" s="580"/>
      <c r="Y474" s="583">
        <f>IF(GLOBAL_DER_FEV_2023!W474=0,0,IF(GLOBAL_DER_FEV_2023!W474&gt;0,"c","b"))</f>
        <v>0</v>
      </c>
    </row>
    <row r="475" spans="1:25" ht="13.5" hidden="1" thickBot="1" x14ac:dyDescent="0.25">
      <c r="A475" s="317" t="s">
        <v>147</v>
      </c>
      <c r="B475" s="895" t="s">
        <v>147</v>
      </c>
      <c r="C475" s="896"/>
      <c r="D475" s="957" t="s">
        <v>229</v>
      </c>
      <c r="E475" s="907">
        <f>GLOBAL_DER_FEV_2023!E475</f>
        <v>150</v>
      </c>
      <c r="F475" s="908">
        <f>GLOBAL_DER_FEV_2023!F475</f>
        <v>0.1002</v>
      </c>
      <c r="G475" s="949">
        <f>GLOBAL_DER_FEV_2023!G475</f>
        <v>16.350636000000002</v>
      </c>
      <c r="H475" s="901">
        <f>GLOBAL_DER_FEV_2023!H475</f>
        <v>0</v>
      </c>
      <c r="I475" s="901">
        <f>GLOBAL_DER_FEV_2023!I475</f>
        <v>0</v>
      </c>
      <c r="J475" s="902">
        <f>GLOBAL_DER_FEV_2023!J475</f>
        <v>0</v>
      </c>
      <c r="K475" s="903" t="s">
        <v>507</v>
      </c>
      <c r="L475" s="1003"/>
      <c r="M475" s="1157">
        <f t="shared" si="32"/>
        <v>0</v>
      </c>
      <c r="N475" s="893">
        <f t="shared" si="36"/>
        <v>0</v>
      </c>
      <c r="O475" s="905"/>
      <c r="P475" s="58" t="str">
        <f>IF(N474&gt;0,"xx",IF(N474&gt;0,"xy",""))</f>
        <v/>
      </c>
      <c r="Q475" s="317" t="str">
        <f t="shared" si="33"/>
        <v/>
      </c>
      <c r="R475" s="317" t="str">
        <f t="shared" si="34"/>
        <v/>
      </c>
      <c r="S475" s="317" t="str">
        <f t="shared" si="35"/>
        <v/>
      </c>
      <c r="T475" s="317" t="str">
        <f>GLOBAL_DER_FEV_2023!S475</f>
        <v/>
      </c>
      <c r="W475" s="582">
        <v>0</v>
      </c>
      <c r="X475" s="580"/>
      <c r="Y475" s="583">
        <f>IF(GLOBAL_DER_FEV_2023!W475=0,0,IF(GLOBAL_DER_FEV_2023!W475&gt;0,"c","b"))</f>
        <v>0</v>
      </c>
    </row>
    <row r="476" spans="1:25" ht="13.5" hidden="1" thickBot="1" x14ac:dyDescent="0.25">
      <c r="A476" s="317" t="s">
        <v>147</v>
      </c>
      <c r="B476" s="895" t="s">
        <v>147</v>
      </c>
      <c r="C476" s="896"/>
      <c r="D476" s="957" t="s">
        <v>230</v>
      </c>
      <c r="E476" s="907">
        <f>GLOBAL_DER_FEV_2023!E476</f>
        <v>353</v>
      </c>
      <c r="F476" s="908">
        <f>GLOBAL_DER_FEV_2023!F476</f>
        <v>1.5100000000000001E-2</v>
      </c>
      <c r="G476" s="909">
        <f>GLOBAL_DER_FEV_2023!G476</f>
        <v>4.275716000000001</v>
      </c>
      <c r="H476" s="901">
        <f>GLOBAL_DER_FEV_2023!H476</f>
        <v>0</v>
      </c>
      <c r="I476" s="901">
        <f>GLOBAL_DER_FEV_2023!I476</f>
        <v>0</v>
      </c>
      <c r="J476" s="902">
        <f>GLOBAL_DER_FEV_2023!J476</f>
        <v>0</v>
      </c>
      <c r="K476" s="903" t="s">
        <v>507</v>
      </c>
      <c r="L476" s="1003"/>
      <c r="M476" s="1157">
        <f t="shared" si="32"/>
        <v>0</v>
      </c>
      <c r="N476" s="893">
        <f t="shared" si="36"/>
        <v>0</v>
      </c>
      <c r="O476" s="905"/>
      <c r="P476" s="58" t="str">
        <f>IF(N474&gt;0,"xx",IF(N474&gt;0,"xy",""))</f>
        <v/>
      </c>
      <c r="Q476" s="317" t="str">
        <f t="shared" si="33"/>
        <v/>
      </c>
      <c r="R476" s="317" t="str">
        <f t="shared" si="34"/>
        <v/>
      </c>
      <c r="S476" s="317" t="str">
        <f t="shared" si="35"/>
        <v/>
      </c>
      <c r="T476" s="317" t="str">
        <f>GLOBAL_DER_FEV_2023!S476</f>
        <v/>
      </c>
      <c r="W476" s="582">
        <v>0</v>
      </c>
      <c r="X476" s="580"/>
      <c r="Y476" s="583">
        <f>IF(GLOBAL_DER_FEV_2023!W476=0,0,IF(GLOBAL_DER_FEV_2023!W476&gt;0,"c","b"))</f>
        <v>0</v>
      </c>
    </row>
    <row r="477" spans="1:25" ht="13.5" hidden="1" thickBot="1" x14ac:dyDescent="0.25">
      <c r="A477" s="317" t="s">
        <v>147</v>
      </c>
      <c r="B477" s="895" t="s">
        <v>147</v>
      </c>
      <c r="C477" s="896"/>
      <c r="D477" s="957" t="s">
        <v>243</v>
      </c>
      <c r="E477" s="907">
        <f>GLOBAL_DER_FEV_2023!E477</f>
        <v>0.2</v>
      </c>
      <c r="F477" s="908">
        <f>GLOBAL_DER_FEV_2023!F477</f>
        <v>0.82969999999999999</v>
      </c>
      <c r="G477" s="949">
        <f>GLOBAL_DER_FEV_2023!G477</f>
        <v>2.4011518000000001</v>
      </c>
      <c r="H477" s="901">
        <f>GLOBAL_DER_FEV_2023!H477</f>
        <v>0</v>
      </c>
      <c r="I477" s="901">
        <f>GLOBAL_DER_FEV_2023!I477</f>
        <v>0</v>
      </c>
      <c r="J477" s="902">
        <f>GLOBAL_DER_FEV_2023!J477</f>
        <v>0</v>
      </c>
      <c r="K477" s="903" t="s">
        <v>507</v>
      </c>
      <c r="L477" s="1003"/>
      <c r="M477" s="1157">
        <f t="shared" si="32"/>
        <v>0</v>
      </c>
      <c r="N477" s="893">
        <f t="shared" si="36"/>
        <v>0</v>
      </c>
      <c r="O477" s="905"/>
      <c r="P477" s="58" t="str">
        <f>IF(N474&gt;0,"xx",IF(N474&gt;0,"xy",""))</f>
        <v/>
      </c>
      <c r="Q477" s="317" t="str">
        <f t="shared" si="33"/>
        <v/>
      </c>
      <c r="R477" s="317" t="str">
        <f t="shared" si="34"/>
        <v/>
      </c>
      <c r="S477" s="317" t="str">
        <f t="shared" si="35"/>
        <v/>
      </c>
      <c r="T477" s="317" t="str">
        <f>GLOBAL_DER_FEV_2023!S477</f>
        <v/>
      </c>
      <c r="W477" s="582">
        <v>0</v>
      </c>
      <c r="X477" s="580"/>
      <c r="Y477" s="583">
        <f>IF(GLOBAL_DER_FEV_2023!W477=0,0,IF(GLOBAL_DER_FEV_2023!W477&gt;0,"c","b"))</f>
        <v>0</v>
      </c>
    </row>
    <row r="478" spans="1:25" ht="13.5" hidden="1" thickBot="1" x14ac:dyDescent="0.25">
      <c r="A478" s="317" t="s">
        <v>147</v>
      </c>
      <c r="B478" s="895" t="s">
        <v>147</v>
      </c>
      <c r="C478" s="896"/>
      <c r="D478" s="957" t="s">
        <v>244</v>
      </c>
      <c r="E478" s="907">
        <f>GLOBAL_DER_FEV_2023!E478</f>
        <v>22</v>
      </c>
      <c r="F478" s="908">
        <f>GLOBAL_DER_FEV_2023!F478</f>
        <v>1</v>
      </c>
      <c r="G478" s="912">
        <f>GLOBAL_DER_FEV_2023!G478</f>
        <v>29.990000000000002</v>
      </c>
      <c r="H478" s="901">
        <f>GLOBAL_DER_FEV_2023!H478</f>
        <v>0</v>
      </c>
      <c r="I478" s="901">
        <f>GLOBAL_DER_FEV_2023!I478</f>
        <v>0</v>
      </c>
      <c r="J478" s="902">
        <f>GLOBAL_DER_FEV_2023!J478</f>
        <v>0</v>
      </c>
      <c r="K478" s="903" t="s">
        <v>507</v>
      </c>
      <c r="L478" s="1003"/>
      <c r="M478" s="1157">
        <f t="shared" si="32"/>
        <v>0</v>
      </c>
      <c r="N478" s="893">
        <f t="shared" si="36"/>
        <v>0</v>
      </c>
      <c r="O478" s="905"/>
      <c r="P478" s="58" t="str">
        <f>IF(N474&gt;0,"xx",IF(N474&gt;0,"xy",""))</f>
        <v/>
      </c>
      <c r="Q478" s="317" t="str">
        <f t="shared" si="33"/>
        <v/>
      </c>
      <c r="R478" s="317" t="str">
        <f t="shared" si="34"/>
        <v/>
      </c>
      <c r="S478" s="317" t="str">
        <f t="shared" si="35"/>
        <v/>
      </c>
      <c r="T478" s="317" t="str">
        <f>GLOBAL_DER_FEV_2023!S478</f>
        <v/>
      </c>
      <c r="W478" s="582">
        <v>0</v>
      </c>
      <c r="X478" s="580"/>
      <c r="Y478" s="583">
        <f>IF(GLOBAL_DER_FEV_2023!W478=0,0,IF(GLOBAL_DER_FEV_2023!W478&gt;0,"c","b"))</f>
        <v>0</v>
      </c>
    </row>
    <row r="479" spans="1:25" ht="13.5" hidden="1" thickBot="1" x14ac:dyDescent="0.25">
      <c r="A479" s="317">
        <v>589000</v>
      </c>
      <c r="B479" s="1004" t="s">
        <v>1678</v>
      </c>
      <c r="C479" s="984" t="s">
        <v>213</v>
      </c>
      <c r="D479" s="1012" t="s">
        <v>2173</v>
      </c>
      <c r="E479" s="1005">
        <f>GLOBAL_DER_FEV_2023!E479</f>
        <v>45</v>
      </c>
      <c r="F479" s="1006">
        <f>GLOBAL_DER_FEV_2023!F479</f>
        <v>1</v>
      </c>
      <c r="G479" s="949">
        <f>GLOBAL_DER_FEV_2023!G479</f>
        <v>88.36</v>
      </c>
      <c r="H479" s="988">
        <f>GLOBAL_DER_FEV_2023!H479</f>
        <v>4828.8599999999997</v>
      </c>
      <c r="I479" s="988">
        <f>GLOBAL_DER_FEV_2023!I479</f>
        <v>4724.580378112767</v>
      </c>
      <c r="J479" s="989">
        <f>GLOBAL_DER_FEV_2023!J479</f>
        <v>5672.8</v>
      </c>
      <c r="K479" s="990" t="s">
        <v>14</v>
      </c>
      <c r="L479" s="1154">
        <f>ROUND(L474*$F474,2)</f>
        <v>0</v>
      </c>
      <c r="M479" s="1159">
        <f t="shared" si="32"/>
        <v>0</v>
      </c>
      <c r="N479" s="993">
        <f t="shared" si="36"/>
        <v>0</v>
      </c>
      <c r="O479" s="905"/>
      <c r="P479" s="58" t="str">
        <f>IF(N474&gt;0,"xx",IF(N474&gt;0,"xy",""))</f>
        <v/>
      </c>
      <c r="Q479" s="317" t="str">
        <f t="shared" si="33"/>
        <v/>
      </c>
      <c r="R479" s="317" t="str">
        <f t="shared" si="34"/>
        <v/>
      </c>
      <c r="S479" s="317" t="str">
        <f t="shared" si="35"/>
        <v/>
      </c>
      <c r="T479" s="317" t="str">
        <f>GLOBAL_DER_FEV_2023!S479</f>
        <v/>
      </c>
      <c r="W479" s="582">
        <v>0</v>
      </c>
      <c r="X479" s="580"/>
      <c r="Y479" s="583">
        <f>IF(GLOBAL_DER_FEV_2023!W479=0,0,IF(GLOBAL_DER_FEV_2023!W479&gt;0,"c","b"))</f>
        <v>0</v>
      </c>
    </row>
    <row r="480" spans="1:25" ht="13.5" hidden="1" thickBot="1" x14ac:dyDescent="0.25">
      <c r="A480" s="317">
        <v>570400</v>
      </c>
      <c r="B480" s="999" t="s">
        <v>1657</v>
      </c>
      <c r="C480" s="1000" t="s">
        <v>184</v>
      </c>
      <c r="D480" s="1019" t="s">
        <v>2225</v>
      </c>
      <c r="E480" s="974" t="str">
        <f>GLOBAL_DER_FEV_2023!E480</f>
        <v>taxa CAP</v>
      </c>
      <c r="F480" s="975">
        <f>GLOBAL_DER_FEV_2023!F480</f>
        <v>5.7000000000000002E-2</v>
      </c>
      <c r="G480" s="976">
        <f>GLOBAL_DER_FEV_2023!G480</f>
        <v>52.951632000000004</v>
      </c>
      <c r="H480" s="977">
        <f>GLOBAL_DER_FEV_2023!H480</f>
        <v>169.12</v>
      </c>
      <c r="I480" s="977">
        <f>GLOBAL_DER_FEV_2023!I480</f>
        <v>222.07163200000002</v>
      </c>
      <c r="J480" s="978">
        <f>GLOBAL_DER_FEV_2023!J480</f>
        <v>266.64</v>
      </c>
      <c r="K480" s="979" t="s">
        <v>14</v>
      </c>
      <c r="L480" s="1152"/>
      <c r="M480" s="1153">
        <f t="shared" si="32"/>
        <v>0</v>
      </c>
      <c r="N480" s="982">
        <f t="shared" si="36"/>
        <v>0</v>
      </c>
      <c r="O480" s="905"/>
      <c r="Q480" s="317" t="str">
        <f t="shared" si="33"/>
        <v/>
      </c>
      <c r="R480" s="317" t="str">
        <f t="shared" si="34"/>
        <v/>
      </c>
      <c r="S480" s="317" t="str">
        <f t="shared" si="35"/>
        <v/>
      </c>
      <c r="T480" s="317" t="str">
        <f>GLOBAL_DER_FEV_2023!S480</f>
        <v/>
      </c>
      <c r="W480" s="582">
        <v>0</v>
      </c>
      <c r="X480" s="580"/>
      <c r="Y480" s="583">
        <f>IF(GLOBAL_DER_FEV_2023!W480=0,0,IF(GLOBAL_DER_FEV_2023!W480&gt;0,"c","b"))</f>
        <v>0</v>
      </c>
    </row>
    <row r="481" spans="1:25" ht="13.5" hidden="1" thickBot="1" x14ac:dyDescent="0.25">
      <c r="A481" s="317" t="s">
        <v>147</v>
      </c>
      <c r="B481" s="895" t="s">
        <v>147</v>
      </c>
      <c r="C481" s="896"/>
      <c r="D481" s="957" t="s">
        <v>229</v>
      </c>
      <c r="E481" s="907">
        <f>GLOBAL_DER_FEV_2023!E481</f>
        <v>150</v>
      </c>
      <c r="F481" s="908">
        <f>GLOBAL_DER_FEV_2023!F481</f>
        <v>0.1</v>
      </c>
      <c r="G481" s="949">
        <f>GLOBAL_DER_FEV_2023!G481</f>
        <v>16.318000000000001</v>
      </c>
      <c r="H481" s="901">
        <f>GLOBAL_DER_FEV_2023!H481</f>
        <v>0</v>
      </c>
      <c r="I481" s="901">
        <f>GLOBAL_DER_FEV_2023!I481</f>
        <v>0</v>
      </c>
      <c r="J481" s="902">
        <f>GLOBAL_DER_FEV_2023!J481</f>
        <v>0</v>
      </c>
      <c r="K481" s="903" t="s">
        <v>507</v>
      </c>
      <c r="L481" s="1003"/>
      <c r="M481" s="1157">
        <f t="shared" si="32"/>
        <v>0</v>
      </c>
      <c r="N481" s="893">
        <f t="shared" si="36"/>
        <v>0</v>
      </c>
      <c r="O481" s="905"/>
      <c r="P481" s="58" t="str">
        <f>IF(N480&gt;0,"xx",IF(N480&gt;0,"xy",""))</f>
        <v/>
      </c>
      <c r="Q481" s="317" t="str">
        <f t="shared" si="33"/>
        <v/>
      </c>
      <c r="R481" s="317" t="str">
        <f t="shared" si="34"/>
        <v/>
      </c>
      <c r="S481" s="317" t="str">
        <f t="shared" si="35"/>
        <v/>
      </c>
      <c r="T481" s="317" t="str">
        <f>GLOBAL_DER_FEV_2023!S481</f>
        <v/>
      </c>
      <c r="W481" s="582">
        <v>0</v>
      </c>
      <c r="X481" s="580"/>
      <c r="Y481" s="583">
        <f>IF(GLOBAL_DER_FEV_2023!W481=0,0,IF(GLOBAL_DER_FEV_2023!W481&gt;0,"c","b"))</f>
        <v>0</v>
      </c>
    </row>
    <row r="482" spans="1:25" ht="13.5" hidden="1" thickBot="1" x14ac:dyDescent="0.25">
      <c r="A482" s="317" t="s">
        <v>147</v>
      </c>
      <c r="B482" s="895" t="s">
        <v>147</v>
      </c>
      <c r="C482" s="896"/>
      <c r="D482" s="957" t="s">
        <v>230</v>
      </c>
      <c r="E482" s="907">
        <f>GLOBAL_DER_FEV_2023!E482</f>
        <v>353</v>
      </c>
      <c r="F482" s="908">
        <f>GLOBAL_DER_FEV_2023!F482</f>
        <v>1.4999999999999999E-2</v>
      </c>
      <c r="G482" s="909">
        <f>GLOBAL_DER_FEV_2023!G482</f>
        <v>4.2473999999999998</v>
      </c>
      <c r="H482" s="901">
        <f>GLOBAL_DER_FEV_2023!H482</f>
        <v>0</v>
      </c>
      <c r="I482" s="901">
        <f>GLOBAL_DER_FEV_2023!I482</f>
        <v>0</v>
      </c>
      <c r="J482" s="902">
        <f>GLOBAL_DER_FEV_2023!J482</f>
        <v>0</v>
      </c>
      <c r="K482" s="903" t="s">
        <v>507</v>
      </c>
      <c r="L482" s="1003"/>
      <c r="M482" s="1157">
        <f t="shared" si="32"/>
        <v>0</v>
      </c>
      <c r="N482" s="893">
        <f t="shared" si="36"/>
        <v>0</v>
      </c>
      <c r="O482" s="905"/>
      <c r="P482" s="58" t="str">
        <f>IF(N480&gt;0,"xx",IF(N480&gt;0,"xy",""))</f>
        <v/>
      </c>
      <c r="Q482" s="317" t="str">
        <f t="shared" si="33"/>
        <v/>
      </c>
      <c r="R482" s="317" t="str">
        <f t="shared" si="34"/>
        <v/>
      </c>
      <c r="S482" s="317" t="str">
        <f t="shared" si="35"/>
        <v/>
      </c>
      <c r="T482" s="317" t="str">
        <f>GLOBAL_DER_FEV_2023!S482</f>
        <v/>
      </c>
      <c r="W482" s="582">
        <v>0</v>
      </c>
      <c r="X482" s="580"/>
      <c r="Y482" s="583">
        <f>IF(GLOBAL_DER_FEV_2023!W482=0,0,IF(GLOBAL_DER_FEV_2023!W482&gt;0,"c","b"))</f>
        <v>0</v>
      </c>
    </row>
    <row r="483" spans="1:25" ht="13.5" hidden="1" thickBot="1" x14ac:dyDescent="0.25">
      <c r="A483" s="317" t="s">
        <v>147</v>
      </c>
      <c r="B483" s="895" t="s">
        <v>147</v>
      </c>
      <c r="C483" s="896"/>
      <c r="D483" s="957" t="s">
        <v>243</v>
      </c>
      <c r="E483" s="907">
        <f>GLOBAL_DER_FEV_2023!E483</f>
        <v>0.2</v>
      </c>
      <c r="F483" s="908">
        <f>GLOBAL_DER_FEV_2023!F483</f>
        <v>0.82799999999999996</v>
      </c>
      <c r="G483" s="949">
        <f>GLOBAL_DER_FEV_2023!G483</f>
        <v>2.3962319999999999</v>
      </c>
      <c r="H483" s="901">
        <f>GLOBAL_DER_FEV_2023!H483</f>
        <v>0</v>
      </c>
      <c r="I483" s="901">
        <f>GLOBAL_DER_FEV_2023!I483</f>
        <v>0</v>
      </c>
      <c r="J483" s="902">
        <f>GLOBAL_DER_FEV_2023!J483</f>
        <v>0</v>
      </c>
      <c r="K483" s="903" t="s">
        <v>507</v>
      </c>
      <c r="L483" s="1003"/>
      <c r="M483" s="1157">
        <f t="shared" si="32"/>
        <v>0</v>
      </c>
      <c r="N483" s="893">
        <f t="shared" si="36"/>
        <v>0</v>
      </c>
      <c r="O483" s="905"/>
      <c r="P483" s="58" t="str">
        <f>IF(N480&gt;0,"xx",IF(N480&gt;0,"xy",""))</f>
        <v/>
      </c>
      <c r="Q483" s="317" t="str">
        <f t="shared" si="33"/>
        <v/>
      </c>
      <c r="R483" s="317" t="str">
        <f t="shared" si="34"/>
        <v/>
      </c>
      <c r="S483" s="317" t="str">
        <f t="shared" si="35"/>
        <v/>
      </c>
      <c r="T483" s="317" t="str">
        <f>GLOBAL_DER_FEV_2023!S483</f>
        <v/>
      </c>
      <c r="W483" s="582">
        <v>0</v>
      </c>
      <c r="X483" s="580"/>
      <c r="Y483" s="583">
        <f>IF(GLOBAL_DER_FEV_2023!W483=0,0,IF(GLOBAL_DER_FEV_2023!W483&gt;0,"c","b"))</f>
        <v>0</v>
      </c>
    </row>
    <row r="484" spans="1:25" ht="13.5" hidden="1" thickBot="1" x14ac:dyDescent="0.25">
      <c r="A484" s="317" t="s">
        <v>147</v>
      </c>
      <c r="B484" s="895" t="s">
        <v>147</v>
      </c>
      <c r="C484" s="896"/>
      <c r="D484" s="957" t="s">
        <v>244</v>
      </c>
      <c r="E484" s="907">
        <f>GLOBAL_DER_FEV_2023!E484</f>
        <v>22</v>
      </c>
      <c r="F484" s="908">
        <f>GLOBAL_DER_FEV_2023!F484</f>
        <v>1</v>
      </c>
      <c r="G484" s="912">
        <f>GLOBAL_DER_FEV_2023!G484</f>
        <v>29.990000000000002</v>
      </c>
      <c r="H484" s="901">
        <f>GLOBAL_DER_FEV_2023!H484</f>
        <v>0</v>
      </c>
      <c r="I484" s="901">
        <f>GLOBAL_DER_FEV_2023!I484</f>
        <v>0</v>
      </c>
      <c r="J484" s="902">
        <f>GLOBAL_DER_FEV_2023!J484</f>
        <v>0</v>
      </c>
      <c r="K484" s="903" t="s">
        <v>507</v>
      </c>
      <c r="L484" s="1003"/>
      <c r="M484" s="1157">
        <f t="shared" si="32"/>
        <v>0</v>
      </c>
      <c r="N484" s="893">
        <f t="shared" si="36"/>
        <v>0</v>
      </c>
      <c r="O484" s="905"/>
      <c r="P484" s="58" t="str">
        <f>IF(N480&gt;0,"xx",IF(N480&gt;0,"xy",""))</f>
        <v/>
      </c>
      <c r="Q484" s="317" t="str">
        <f t="shared" si="33"/>
        <v/>
      </c>
      <c r="R484" s="317" t="str">
        <f t="shared" si="34"/>
        <v/>
      </c>
      <c r="S484" s="317" t="str">
        <f t="shared" si="35"/>
        <v/>
      </c>
      <c r="T484" s="317" t="str">
        <f>GLOBAL_DER_FEV_2023!S484</f>
        <v/>
      </c>
      <c r="W484" s="582">
        <v>0</v>
      </c>
      <c r="X484" s="580"/>
      <c r="Y484" s="583">
        <f>IF(GLOBAL_DER_FEV_2023!W484=0,0,IF(GLOBAL_DER_FEV_2023!W484&gt;0,"c","b"))</f>
        <v>0</v>
      </c>
    </row>
    <row r="485" spans="1:25" ht="13.5" hidden="1" thickBot="1" x14ac:dyDescent="0.25">
      <c r="A485" s="317">
        <v>589000</v>
      </c>
      <c r="B485" s="1004" t="s">
        <v>725</v>
      </c>
      <c r="C485" s="984" t="s">
        <v>213</v>
      </c>
      <c r="D485" s="1012" t="s">
        <v>2173</v>
      </c>
      <c r="E485" s="1005">
        <f>GLOBAL_DER_FEV_2023!E485</f>
        <v>45</v>
      </c>
      <c r="F485" s="1006">
        <f>GLOBAL_DER_FEV_2023!F485</f>
        <v>1</v>
      </c>
      <c r="G485" s="949">
        <f>GLOBAL_DER_FEV_2023!G485</f>
        <v>88.36</v>
      </c>
      <c r="H485" s="988">
        <f>GLOBAL_DER_FEV_2023!H485</f>
        <v>4828.8599999999997</v>
      </c>
      <c r="I485" s="988">
        <f>GLOBAL_DER_FEV_2023!I485</f>
        <v>4724.580378112767</v>
      </c>
      <c r="J485" s="989">
        <f>GLOBAL_DER_FEV_2023!J485</f>
        <v>5672.8</v>
      </c>
      <c r="K485" s="990" t="s">
        <v>14</v>
      </c>
      <c r="L485" s="1154">
        <f>ROUND(L480*$F480,2)</f>
        <v>0</v>
      </c>
      <c r="M485" s="1159">
        <f t="shared" si="32"/>
        <v>0</v>
      </c>
      <c r="N485" s="993">
        <f t="shared" si="36"/>
        <v>0</v>
      </c>
      <c r="O485" s="905"/>
      <c r="P485" s="58" t="str">
        <f>IF(N480&gt;0,"xx",IF(N480&gt;0,"xy",""))</f>
        <v/>
      </c>
      <c r="Q485" s="317" t="str">
        <f t="shared" si="33"/>
        <v/>
      </c>
      <c r="R485" s="317" t="str">
        <f t="shared" si="34"/>
        <v/>
      </c>
      <c r="S485" s="317" t="str">
        <f t="shared" si="35"/>
        <v/>
      </c>
      <c r="T485" s="317" t="str">
        <f>GLOBAL_DER_FEV_2023!S485</f>
        <v/>
      </c>
      <c r="W485" s="582">
        <v>0</v>
      </c>
      <c r="X485" s="580"/>
      <c r="Y485" s="583">
        <f>IF(GLOBAL_DER_FEV_2023!W485=0,0,IF(GLOBAL_DER_FEV_2023!W485&gt;0,"c","b"))</f>
        <v>0</v>
      </c>
    </row>
    <row r="486" spans="1:25" ht="30" hidden="1" customHeight="1" x14ac:dyDescent="0.2">
      <c r="A486" s="317">
        <v>570000</v>
      </c>
      <c r="B486" s="999" t="str">
        <f>GLOBAL_DER_FEV_2023!B486</f>
        <v>570000D</v>
      </c>
      <c r="C486" s="1000" t="str">
        <f>GLOBAL_DER_FEV_2023!C486</f>
        <v>DER</v>
      </c>
      <c r="D486" s="1024" t="str">
        <f>GLOBAL_DER_FEV_2023!D486</f>
        <v>CBUQ - Novo Traço - TRAÇO 4 - FAIXA "C" - (Quantidade MAIOR que 10.000 ton)</v>
      </c>
      <c r="E486" s="974" t="str">
        <f>GLOBAL_DER_FEV_2023!E486</f>
        <v>taxa CAP</v>
      </c>
      <c r="F486" s="1025">
        <f>GLOBAL_DER_FEV_2023!F486</f>
        <v>0.05</v>
      </c>
      <c r="G486" s="976">
        <f>GLOBAL_DER_FEV_2023!G486</f>
        <v>52.1145006</v>
      </c>
      <c r="H486" s="977">
        <f>GLOBAL_DER_FEV_2023!H486</f>
        <v>187.41</v>
      </c>
      <c r="I486" s="977">
        <f>GLOBAL_DER_FEV_2023!I486</f>
        <v>239.52450060000001</v>
      </c>
      <c r="J486" s="978">
        <f>GLOBAL_DER_FEV_2023!J486</f>
        <v>287.60000000000002</v>
      </c>
      <c r="K486" s="979" t="s">
        <v>14</v>
      </c>
      <c r="L486" s="1152"/>
      <c r="M486" s="1153">
        <f t="shared" si="32"/>
        <v>0</v>
      </c>
      <c r="N486" s="982">
        <f t="shared" si="36"/>
        <v>0</v>
      </c>
      <c r="O486" s="905"/>
      <c r="Q486" s="317" t="str">
        <f t="shared" si="33"/>
        <v/>
      </c>
      <c r="R486" s="317" t="str">
        <f t="shared" si="34"/>
        <v/>
      </c>
      <c r="S486" s="317" t="str">
        <f t="shared" si="35"/>
        <v/>
      </c>
      <c r="T486" s="317" t="str">
        <f>GLOBAL_DER_FEV_2023!S486</f>
        <v/>
      </c>
      <c r="W486" s="582">
        <v>0</v>
      </c>
      <c r="X486" s="580"/>
      <c r="Y486" s="583">
        <f>IF(GLOBAL_DER_FEV_2023!W486=0,0,IF(GLOBAL_DER_FEV_2023!W486&gt;0,"c","b"))</f>
        <v>0</v>
      </c>
    </row>
    <row r="487" spans="1:25" ht="30" hidden="1" customHeight="1" x14ac:dyDescent="0.2">
      <c r="A487" s="317" t="s">
        <v>147</v>
      </c>
      <c r="B487" s="895" t="str">
        <f>GLOBAL_DER_FEV_2023!B487</f>
        <v>transporte</v>
      </c>
      <c r="C487" s="896">
        <f>GLOBAL_DER_FEV_2023!C487</f>
        <v>0</v>
      </c>
      <c r="D487" s="957" t="str">
        <f>GLOBAL_DER_FEV_2023!D487</f>
        <v>Areia</v>
      </c>
      <c r="E487" s="907">
        <f>GLOBAL_DER_FEV_2023!E487</f>
        <v>150</v>
      </c>
      <c r="F487" s="1287">
        <f>GLOBAL_DER_FEV_2023!F487</f>
        <v>9.5699999999999993E-2</v>
      </c>
      <c r="G487" s="949">
        <f>GLOBAL_DER_FEV_2023!G487</f>
        <v>15.616325999999999</v>
      </c>
      <c r="H487" s="901">
        <f>GLOBAL_DER_FEV_2023!H487</f>
        <v>0</v>
      </c>
      <c r="I487" s="901">
        <f>GLOBAL_DER_FEV_2023!I487</f>
        <v>0</v>
      </c>
      <c r="J487" s="902">
        <f>GLOBAL_DER_FEV_2023!J487</f>
        <v>0</v>
      </c>
      <c r="K487" s="903" t="s">
        <v>507</v>
      </c>
      <c r="L487" s="1003"/>
      <c r="M487" s="1157">
        <f t="shared" si="32"/>
        <v>0</v>
      </c>
      <c r="N487" s="893">
        <f t="shared" si="36"/>
        <v>0</v>
      </c>
      <c r="O487" s="905"/>
      <c r="P487" s="58" t="str">
        <f>IF(N486&gt;0,"xx",IF(N486&gt;0,"xy",""))</f>
        <v/>
      </c>
      <c r="Q487" s="317" t="str">
        <f t="shared" si="33"/>
        <v/>
      </c>
      <c r="R487" s="317" t="str">
        <f t="shared" si="34"/>
        <v/>
      </c>
      <c r="S487" s="317" t="str">
        <f t="shared" si="35"/>
        <v/>
      </c>
      <c r="T487" s="317" t="str">
        <f>GLOBAL_DER_FEV_2023!S487</f>
        <v/>
      </c>
      <c r="W487" s="582">
        <v>0</v>
      </c>
      <c r="X487" s="580"/>
      <c r="Y487" s="583">
        <f>IF(GLOBAL_DER_FEV_2023!W487=0,0,IF(GLOBAL_DER_FEV_2023!W487&gt;0,"c","b"))</f>
        <v>0</v>
      </c>
    </row>
    <row r="488" spans="1:25" ht="13.5" hidden="1" thickBot="1" x14ac:dyDescent="0.25">
      <c r="A488" s="317" t="s">
        <v>147</v>
      </c>
      <c r="B488" s="895" t="str">
        <f>GLOBAL_DER_FEV_2023!B488</f>
        <v>transporte</v>
      </c>
      <c r="C488" s="896">
        <f>GLOBAL_DER_FEV_2023!C488</f>
        <v>0</v>
      </c>
      <c r="D488" s="957" t="str">
        <f>GLOBAL_DER_FEV_2023!D488</f>
        <v>Cal Hidratada CH-1</v>
      </c>
      <c r="E488" s="907">
        <f>GLOBAL_DER_FEV_2023!E488</f>
        <v>353</v>
      </c>
      <c r="F488" s="1287">
        <f>GLOBAL_DER_FEV_2023!F488</f>
        <v>1.44E-2</v>
      </c>
      <c r="G488" s="909">
        <f>GLOBAL_DER_FEV_2023!G488</f>
        <v>4.0775040000000002</v>
      </c>
      <c r="H488" s="901">
        <f>GLOBAL_DER_FEV_2023!H488</f>
        <v>0</v>
      </c>
      <c r="I488" s="901">
        <f>GLOBAL_DER_FEV_2023!I488</f>
        <v>0</v>
      </c>
      <c r="J488" s="902">
        <f>GLOBAL_DER_FEV_2023!J488</f>
        <v>0</v>
      </c>
      <c r="K488" s="903" t="s">
        <v>507</v>
      </c>
      <c r="L488" s="1003"/>
      <c r="M488" s="1157">
        <f t="shared" si="32"/>
        <v>0</v>
      </c>
      <c r="N488" s="893">
        <f t="shared" si="36"/>
        <v>0</v>
      </c>
      <c r="O488" s="905"/>
      <c r="P488" s="58" t="str">
        <f>IF(N486&gt;0,"xx",IF(N486&gt;0,"xy",""))</f>
        <v/>
      </c>
      <c r="Q488" s="317" t="str">
        <f t="shared" si="33"/>
        <v/>
      </c>
      <c r="R488" s="317" t="str">
        <f t="shared" si="34"/>
        <v/>
      </c>
      <c r="S488" s="317" t="str">
        <f t="shared" si="35"/>
        <v/>
      </c>
      <c r="T488" s="317" t="str">
        <f>GLOBAL_DER_FEV_2023!S488</f>
        <v/>
      </c>
      <c r="W488" s="582">
        <v>0</v>
      </c>
      <c r="X488" s="580"/>
      <c r="Y488" s="583">
        <f>IF(GLOBAL_DER_FEV_2023!W488=0,0,IF(GLOBAL_DER_FEV_2023!W488&gt;0,"c","b"))</f>
        <v>0</v>
      </c>
    </row>
    <row r="489" spans="1:25" ht="13.5" hidden="1" thickBot="1" x14ac:dyDescent="0.25">
      <c r="A489" s="317" t="s">
        <v>147</v>
      </c>
      <c r="B489" s="895" t="str">
        <f>GLOBAL_DER_FEV_2023!B489</f>
        <v>transporte</v>
      </c>
      <c r="C489" s="896">
        <f>GLOBAL_DER_FEV_2023!C489</f>
        <v>0</v>
      </c>
      <c r="D489" s="957" t="str">
        <f>GLOBAL_DER_FEV_2023!D489</f>
        <v>Brita ( usina )</v>
      </c>
      <c r="E489" s="907">
        <f>GLOBAL_DER_FEV_2023!E489</f>
        <v>0.2</v>
      </c>
      <c r="F489" s="1287">
        <f>GLOBAL_DER_FEV_2023!F489</f>
        <v>0.83989999999999998</v>
      </c>
      <c r="G489" s="949">
        <f>GLOBAL_DER_FEV_2023!G489</f>
        <v>2.4306706</v>
      </c>
      <c r="H489" s="901">
        <f>GLOBAL_DER_FEV_2023!H489</f>
        <v>0</v>
      </c>
      <c r="I489" s="901">
        <f>GLOBAL_DER_FEV_2023!I489</f>
        <v>0</v>
      </c>
      <c r="J489" s="902">
        <f>GLOBAL_DER_FEV_2023!J489</f>
        <v>0</v>
      </c>
      <c r="K489" s="903" t="s">
        <v>507</v>
      </c>
      <c r="L489" s="1003"/>
      <c r="M489" s="1157">
        <f t="shared" si="32"/>
        <v>0</v>
      </c>
      <c r="N489" s="893">
        <f t="shared" si="36"/>
        <v>0</v>
      </c>
      <c r="O489" s="905"/>
      <c r="P489" s="58" t="str">
        <f>IF(N486&gt;0,"xx",IF(N486&gt;0,"xy",""))</f>
        <v/>
      </c>
      <c r="Q489" s="317" t="str">
        <f t="shared" si="33"/>
        <v/>
      </c>
      <c r="R489" s="317" t="str">
        <f t="shared" si="34"/>
        <v/>
      </c>
      <c r="S489" s="317" t="str">
        <f t="shared" si="35"/>
        <v/>
      </c>
      <c r="T489" s="317" t="str">
        <f>GLOBAL_DER_FEV_2023!S489</f>
        <v/>
      </c>
      <c r="W489" s="582">
        <v>0</v>
      </c>
      <c r="X489" s="580"/>
      <c r="Y489" s="583">
        <f>IF(GLOBAL_DER_FEV_2023!W489=0,0,IF(GLOBAL_DER_FEV_2023!W489&gt;0,"c","b"))</f>
        <v>0</v>
      </c>
    </row>
    <row r="490" spans="1:25" ht="13.5" hidden="1" thickBot="1" x14ac:dyDescent="0.25">
      <c r="A490" s="317" t="s">
        <v>147</v>
      </c>
      <c r="B490" s="895" t="str">
        <f>GLOBAL_DER_FEV_2023!B490</f>
        <v>transporte</v>
      </c>
      <c r="C490" s="896">
        <f>GLOBAL_DER_FEV_2023!C490</f>
        <v>0</v>
      </c>
      <c r="D490" s="957" t="str">
        <f>GLOBAL_DER_FEV_2023!D490</f>
        <v>Massa</v>
      </c>
      <c r="E490" s="907">
        <f>GLOBAL_DER_FEV_2023!E490</f>
        <v>22</v>
      </c>
      <c r="F490" s="1287">
        <f>GLOBAL_DER_FEV_2023!F490</f>
        <v>1</v>
      </c>
      <c r="G490" s="912">
        <f>GLOBAL_DER_FEV_2023!G490</f>
        <v>29.990000000000002</v>
      </c>
      <c r="H490" s="901">
        <f>GLOBAL_DER_FEV_2023!H490</f>
        <v>0</v>
      </c>
      <c r="I490" s="901">
        <f>GLOBAL_DER_FEV_2023!I490</f>
        <v>0</v>
      </c>
      <c r="J490" s="902">
        <f>GLOBAL_DER_FEV_2023!J490</f>
        <v>0</v>
      </c>
      <c r="K490" s="903" t="s">
        <v>507</v>
      </c>
      <c r="L490" s="1003"/>
      <c r="M490" s="1157">
        <f t="shared" si="32"/>
        <v>0</v>
      </c>
      <c r="N490" s="893">
        <f t="shared" si="36"/>
        <v>0</v>
      </c>
      <c r="O490" s="905"/>
      <c r="P490" s="58" t="str">
        <f>IF(N486&gt;0,"xx",IF(N486&gt;0,"xy",""))</f>
        <v/>
      </c>
      <c r="Q490" s="317" t="str">
        <f t="shared" si="33"/>
        <v/>
      </c>
      <c r="R490" s="317" t="str">
        <f t="shared" si="34"/>
        <v/>
      </c>
      <c r="S490" s="317" t="str">
        <f t="shared" si="35"/>
        <v/>
      </c>
      <c r="T490" s="317" t="str">
        <f>GLOBAL_DER_FEV_2023!S490</f>
        <v/>
      </c>
      <c r="W490" s="582">
        <v>0</v>
      </c>
      <c r="X490" s="580"/>
      <c r="Y490" s="583">
        <f>IF(GLOBAL_DER_FEV_2023!W490=0,0,IF(GLOBAL_DER_FEV_2023!W490&gt;0,"c","b"))</f>
        <v>0</v>
      </c>
    </row>
    <row r="491" spans="1:25" ht="13.5" hidden="1" thickBot="1" x14ac:dyDescent="0.25">
      <c r="A491" s="317">
        <v>589000</v>
      </c>
      <c r="B491" s="1004" t="str">
        <f>GLOBAL_DER_FEV_2023!B491</f>
        <v>589000K</v>
      </c>
      <c r="C491" s="984" t="str">
        <f>GLOBAL_DER_FEV_2023!C491</f>
        <v>DER mat</v>
      </c>
      <c r="D491" s="1012" t="str">
        <f>GLOBAL_DER_FEV_2023!D491</f>
        <v>Fornecimento de CAP - CBUQ (Quantidade menor que 10.000 ton)</v>
      </c>
      <c r="E491" s="1005">
        <f>GLOBAL_DER_FEV_2023!E491</f>
        <v>45</v>
      </c>
      <c r="F491" s="1006">
        <f>GLOBAL_DER_FEV_2023!F491</f>
        <v>1</v>
      </c>
      <c r="G491" s="949">
        <f>GLOBAL_DER_FEV_2023!G491</f>
        <v>88.36</v>
      </c>
      <c r="H491" s="988">
        <f>GLOBAL_DER_FEV_2023!H491</f>
        <v>4828.8599999999997</v>
      </c>
      <c r="I491" s="988">
        <f>GLOBAL_DER_FEV_2023!I491</f>
        <v>4724.580378112767</v>
      </c>
      <c r="J491" s="989">
        <f>GLOBAL_DER_FEV_2023!J491</f>
        <v>5672.8</v>
      </c>
      <c r="K491" s="990" t="s">
        <v>14</v>
      </c>
      <c r="L491" s="1154">
        <f>ROUND(L486*$F486,2)</f>
        <v>0</v>
      </c>
      <c r="M491" s="1159">
        <f t="shared" si="32"/>
        <v>0</v>
      </c>
      <c r="N491" s="993">
        <f t="shared" si="36"/>
        <v>0</v>
      </c>
      <c r="O491" s="905"/>
      <c r="P491" s="58" t="str">
        <f>IF(N486&gt;0,"xx",IF(N486&gt;0,"xy",""))</f>
        <v/>
      </c>
      <c r="Q491" s="317" t="str">
        <f t="shared" si="33"/>
        <v/>
      </c>
      <c r="R491" s="317" t="str">
        <f t="shared" si="34"/>
        <v/>
      </c>
      <c r="S491" s="317" t="str">
        <f t="shared" si="35"/>
        <v/>
      </c>
      <c r="T491" s="317" t="str">
        <f>GLOBAL_DER_FEV_2023!S491</f>
        <v/>
      </c>
      <c r="W491" s="582">
        <v>0</v>
      </c>
      <c r="X491" s="580"/>
      <c r="Y491" s="583">
        <f>IF(GLOBAL_DER_FEV_2023!W491=0,0,IF(GLOBAL_DER_FEV_2023!W491&gt;0,"c","b"))</f>
        <v>0</v>
      </c>
    </row>
    <row r="492" spans="1:25" ht="23.25" hidden="1" thickBot="1" x14ac:dyDescent="0.25">
      <c r="A492" s="317">
        <v>570360</v>
      </c>
      <c r="B492" s="999">
        <v>570360</v>
      </c>
      <c r="C492" s="1000" t="s">
        <v>184</v>
      </c>
      <c r="D492" s="973" t="s">
        <v>245</v>
      </c>
      <c r="E492" s="1026" t="str">
        <f>GLOBAL_DER_FEV_2023!E492</f>
        <v>taxa CAP 
SBS(60/85)</v>
      </c>
      <c r="F492" s="975">
        <f>GLOBAL_DER_FEV_2023!F492</f>
        <v>5.8999999999999997E-2</v>
      </c>
      <c r="G492" s="976">
        <f>GLOBAL_DER_FEV_2023!G492</f>
        <v>52.945844000000001</v>
      </c>
      <c r="H492" s="977">
        <f>GLOBAL_DER_FEV_2023!H492</f>
        <v>178.95</v>
      </c>
      <c r="I492" s="977">
        <f>GLOBAL_DER_FEV_2023!I492</f>
        <v>231.89584399999998</v>
      </c>
      <c r="J492" s="978">
        <f>GLOBAL_DER_FEV_2023!J492</f>
        <v>278.44</v>
      </c>
      <c r="K492" s="979" t="s">
        <v>14</v>
      </c>
      <c r="L492" s="1152"/>
      <c r="M492" s="1153">
        <f t="shared" si="32"/>
        <v>0</v>
      </c>
      <c r="N492" s="982">
        <f t="shared" si="36"/>
        <v>0</v>
      </c>
      <c r="O492" s="905"/>
      <c r="Q492" s="317" t="str">
        <f t="shared" si="33"/>
        <v/>
      </c>
      <c r="R492" s="317" t="str">
        <f t="shared" si="34"/>
        <v/>
      </c>
      <c r="S492" s="317" t="str">
        <f t="shared" si="35"/>
        <v/>
      </c>
      <c r="T492" s="317" t="str">
        <f>GLOBAL_DER_FEV_2023!S492</f>
        <v/>
      </c>
      <c r="W492" s="582">
        <v>0</v>
      </c>
      <c r="X492" s="580"/>
      <c r="Y492" s="583">
        <f>IF(GLOBAL_DER_FEV_2023!W492=0,0,IF(GLOBAL_DER_FEV_2023!W492&gt;0,"c","b"))</f>
        <v>0</v>
      </c>
    </row>
    <row r="493" spans="1:25" ht="13.5" hidden="1" thickBot="1" x14ac:dyDescent="0.25">
      <c r="A493" s="317" t="s">
        <v>147</v>
      </c>
      <c r="B493" s="895" t="s">
        <v>147</v>
      </c>
      <c r="C493" s="896"/>
      <c r="D493" s="957" t="s">
        <v>229</v>
      </c>
      <c r="E493" s="907">
        <f>GLOBAL_DER_FEV_2023!E493</f>
        <v>150</v>
      </c>
      <c r="F493" s="908">
        <f>GLOBAL_DER_FEV_2023!F493</f>
        <v>0.1</v>
      </c>
      <c r="G493" s="949">
        <f>GLOBAL_DER_FEV_2023!G493</f>
        <v>16.318000000000001</v>
      </c>
      <c r="H493" s="901">
        <f>GLOBAL_DER_FEV_2023!H493</f>
        <v>0</v>
      </c>
      <c r="I493" s="901">
        <f>GLOBAL_DER_FEV_2023!I493</f>
        <v>0</v>
      </c>
      <c r="J493" s="902">
        <f>GLOBAL_DER_FEV_2023!J493</f>
        <v>0</v>
      </c>
      <c r="K493" s="903" t="s">
        <v>507</v>
      </c>
      <c r="L493" s="1003"/>
      <c r="M493" s="1157">
        <f t="shared" si="32"/>
        <v>0</v>
      </c>
      <c r="N493" s="893">
        <f t="shared" si="36"/>
        <v>0</v>
      </c>
      <c r="O493" s="905"/>
      <c r="P493" s="58" t="str">
        <f>IF(N492&gt;0,"xx",IF(N492&gt;0,"xy",""))</f>
        <v/>
      </c>
      <c r="Q493" s="317" t="str">
        <f t="shared" si="33"/>
        <v/>
      </c>
      <c r="R493" s="317" t="str">
        <f t="shared" si="34"/>
        <v/>
      </c>
      <c r="S493" s="317" t="str">
        <f t="shared" si="35"/>
        <v/>
      </c>
      <c r="T493" s="317" t="str">
        <f>GLOBAL_DER_FEV_2023!S493</f>
        <v/>
      </c>
      <c r="W493" s="582">
        <v>0</v>
      </c>
      <c r="X493" s="580"/>
      <c r="Y493" s="583">
        <f>IF(GLOBAL_DER_FEV_2023!W493=0,0,IF(GLOBAL_DER_FEV_2023!W493&gt;0,"c","b"))</f>
        <v>0</v>
      </c>
    </row>
    <row r="494" spans="1:25" ht="13.5" hidden="1" thickBot="1" x14ac:dyDescent="0.25">
      <c r="A494" s="317" t="s">
        <v>147</v>
      </c>
      <c r="B494" s="895" t="s">
        <v>147</v>
      </c>
      <c r="C494" s="896"/>
      <c r="D494" s="957" t="s">
        <v>230</v>
      </c>
      <c r="E494" s="907">
        <f>GLOBAL_DER_FEV_2023!E494</f>
        <v>353</v>
      </c>
      <c r="F494" s="908">
        <f>GLOBAL_DER_FEV_2023!F494</f>
        <v>1.4999999999999999E-2</v>
      </c>
      <c r="G494" s="909">
        <f>GLOBAL_DER_FEV_2023!G494</f>
        <v>4.2473999999999998</v>
      </c>
      <c r="H494" s="901">
        <f>GLOBAL_DER_FEV_2023!H494</f>
        <v>0</v>
      </c>
      <c r="I494" s="901">
        <f>GLOBAL_DER_FEV_2023!I494</f>
        <v>0</v>
      </c>
      <c r="J494" s="902">
        <f>GLOBAL_DER_FEV_2023!J494</f>
        <v>0</v>
      </c>
      <c r="K494" s="903" t="s">
        <v>507</v>
      </c>
      <c r="L494" s="1003"/>
      <c r="M494" s="1157">
        <f t="shared" si="32"/>
        <v>0</v>
      </c>
      <c r="N494" s="893">
        <f t="shared" si="36"/>
        <v>0</v>
      </c>
      <c r="O494" s="905"/>
      <c r="P494" s="58" t="str">
        <f>IF(N492&gt;0,"xx",IF(N492&gt;0,"xy",""))</f>
        <v/>
      </c>
      <c r="Q494" s="317" t="str">
        <f t="shared" si="33"/>
        <v/>
      </c>
      <c r="R494" s="317" t="str">
        <f t="shared" si="34"/>
        <v/>
      </c>
      <c r="S494" s="317" t="str">
        <f t="shared" si="35"/>
        <v/>
      </c>
      <c r="T494" s="317" t="str">
        <f>GLOBAL_DER_FEV_2023!S494</f>
        <v/>
      </c>
      <c r="W494" s="582">
        <v>0</v>
      </c>
      <c r="X494" s="580"/>
      <c r="Y494" s="583">
        <f>IF(GLOBAL_DER_FEV_2023!W494=0,0,IF(GLOBAL_DER_FEV_2023!W494&gt;0,"c","b"))</f>
        <v>0</v>
      </c>
    </row>
    <row r="495" spans="1:25" ht="13.5" hidden="1" thickBot="1" x14ac:dyDescent="0.25">
      <c r="A495" s="317" t="s">
        <v>147</v>
      </c>
      <c r="B495" s="895" t="s">
        <v>147</v>
      </c>
      <c r="C495" s="896"/>
      <c r="D495" s="957" t="s">
        <v>243</v>
      </c>
      <c r="E495" s="907">
        <f>GLOBAL_DER_FEV_2023!E495</f>
        <v>0.2</v>
      </c>
      <c r="F495" s="908">
        <f>GLOBAL_DER_FEV_2023!F495</f>
        <v>0.82599999999999996</v>
      </c>
      <c r="G495" s="949">
        <f>GLOBAL_DER_FEV_2023!G495</f>
        <v>2.390444</v>
      </c>
      <c r="H495" s="901">
        <f>GLOBAL_DER_FEV_2023!H495</f>
        <v>0</v>
      </c>
      <c r="I495" s="901">
        <f>GLOBAL_DER_FEV_2023!I495</f>
        <v>0</v>
      </c>
      <c r="J495" s="902">
        <f>GLOBAL_DER_FEV_2023!J495</f>
        <v>0</v>
      </c>
      <c r="K495" s="903" t="s">
        <v>507</v>
      </c>
      <c r="L495" s="1003"/>
      <c r="M495" s="1157">
        <f t="shared" si="32"/>
        <v>0</v>
      </c>
      <c r="N495" s="893">
        <f t="shared" si="36"/>
        <v>0</v>
      </c>
      <c r="O495" s="905"/>
      <c r="P495" s="58" t="str">
        <f>IF(N492&gt;0,"xx",IF(N492&gt;0,"xy",""))</f>
        <v/>
      </c>
      <c r="Q495" s="317" t="str">
        <f t="shared" si="33"/>
        <v/>
      </c>
      <c r="R495" s="317" t="str">
        <f t="shared" si="34"/>
        <v/>
      </c>
      <c r="S495" s="317" t="str">
        <f t="shared" si="35"/>
        <v/>
      </c>
      <c r="T495" s="317" t="str">
        <f>GLOBAL_DER_FEV_2023!S495</f>
        <v/>
      </c>
      <c r="W495" s="582">
        <v>0</v>
      </c>
      <c r="X495" s="580"/>
      <c r="Y495" s="583">
        <f>IF(GLOBAL_DER_FEV_2023!W495=0,0,IF(GLOBAL_DER_FEV_2023!W495&gt;0,"c","b"))</f>
        <v>0</v>
      </c>
    </row>
    <row r="496" spans="1:25" ht="13.5" hidden="1" thickBot="1" x14ac:dyDescent="0.25">
      <c r="A496" s="317" t="s">
        <v>147</v>
      </c>
      <c r="B496" s="895" t="s">
        <v>147</v>
      </c>
      <c r="C496" s="896"/>
      <c r="D496" s="957" t="s">
        <v>244</v>
      </c>
      <c r="E496" s="907">
        <f>GLOBAL_DER_FEV_2023!E496</f>
        <v>22</v>
      </c>
      <c r="F496" s="908">
        <f>GLOBAL_DER_FEV_2023!F496</f>
        <v>1</v>
      </c>
      <c r="G496" s="912">
        <f>GLOBAL_DER_FEV_2023!G496</f>
        <v>29.990000000000002</v>
      </c>
      <c r="H496" s="901">
        <f>GLOBAL_DER_FEV_2023!H496</f>
        <v>0</v>
      </c>
      <c r="I496" s="901">
        <f>GLOBAL_DER_FEV_2023!I496</f>
        <v>0</v>
      </c>
      <c r="J496" s="902">
        <f>GLOBAL_DER_FEV_2023!J496</f>
        <v>0</v>
      </c>
      <c r="K496" s="903" t="s">
        <v>507</v>
      </c>
      <c r="L496" s="1003"/>
      <c r="M496" s="1157">
        <f t="shared" si="32"/>
        <v>0</v>
      </c>
      <c r="N496" s="893">
        <f t="shared" si="36"/>
        <v>0</v>
      </c>
      <c r="O496" s="905"/>
      <c r="P496" s="58" t="str">
        <f>IF(N492&gt;0,"xx",IF(N492&gt;0,"xy",""))</f>
        <v/>
      </c>
      <c r="Q496" s="317" t="str">
        <f t="shared" si="33"/>
        <v/>
      </c>
      <c r="R496" s="317" t="str">
        <f t="shared" si="34"/>
        <v/>
      </c>
      <c r="S496" s="317" t="str">
        <f t="shared" si="35"/>
        <v/>
      </c>
      <c r="T496" s="317" t="str">
        <f>GLOBAL_DER_FEV_2023!S496</f>
        <v/>
      </c>
      <c r="W496" s="582">
        <v>0</v>
      </c>
      <c r="X496" s="580"/>
      <c r="Y496" s="583">
        <f>IF(GLOBAL_DER_FEV_2023!W496=0,0,IF(GLOBAL_DER_FEV_2023!W496&gt;0,"c","b"))</f>
        <v>0</v>
      </c>
    </row>
    <row r="497" spans="1:25" ht="13.5" hidden="1" thickBot="1" x14ac:dyDescent="0.25">
      <c r="A497" s="317">
        <v>589040</v>
      </c>
      <c r="B497" s="1004">
        <v>589040</v>
      </c>
      <c r="C497" s="984" t="s">
        <v>213</v>
      </c>
      <c r="D497" s="1012" t="s">
        <v>567</v>
      </c>
      <c r="E497" s="1005">
        <f>GLOBAL_DER_FEV_2023!E497</f>
        <v>45</v>
      </c>
      <c r="F497" s="1006">
        <f>GLOBAL_DER_FEV_2023!F497</f>
        <v>1</v>
      </c>
      <c r="G497" s="949">
        <f>GLOBAL_DER_FEV_2023!G497</f>
        <v>88.36</v>
      </c>
      <c r="H497" s="988">
        <f>GLOBAL_DER_FEV_2023!H497</f>
        <v>6122.06</v>
      </c>
      <c r="I497" s="988">
        <f>GLOBAL_DER_FEV_2023!I497</f>
        <v>5966.1902390272353</v>
      </c>
      <c r="J497" s="989">
        <f>GLOBAL_DER_FEV_2023!J497</f>
        <v>7163.6</v>
      </c>
      <c r="K497" s="990" t="s">
        <v>14</v>
      </c>
      <c r="L497" s="1154">
        <f>ROUND(L492*$F492,2)</f>
        <v>0</v>
      </c>
      <c r="M497" s="1159">
        <f t="shared" si="32"/>
        <v>0</v>
      </c>
      <c r="N497" s="993">
        <f t="shared" si="36"/>
        <v>0</v>
      </c>
      <c r="O497" s="905"/>
      <c r="P497" s="58" t="str">
        <f>IF(N492&gt;0,"xx",IF(N492&gt;0,"xy",""))</f>
        <v/>
      </c>
      <c r="Q497" s="317" t="str">
        <f t="shared" si="33"/>
        <v/>
      </c>
      <c r="R497" s="317" t="str">
        <f t="shared" si="34"/>
        <v/>
      </c>
      <c r="S497" s="317" t="str">
        <f t="shared" si="35"/>
        <v/>
      </c>
      <c r="T497" s="317" t="str">
        <f>GLOBAL_DER_FEV_2023!S497</f>
        <v/>
      </c>
      <c r="W497" s="582">
        <v>0</v>
      </c>
      <c r="X497" s="580"/>
      <c r="Y497" s="583">
        <f>IF(GLOBAL_DER_FEV_2023!W497=0,0,IF(GLOBAL_DER_FEV_2023!W497&gt;0,"c","b"))</f>
        <v>0</v>
      </c>
    </row>
    <row r="498" spans="1:25" ht="23.25" hidden="1" thickBot="1" x14ac:dyDescent="0.25">
      <c r="A498" s="317">
        <v>570350</v>
      </c>
      <c r="B498" s="999">
        <v>570350</v>
      </c>
      <c r="C498" s="1000" t="s">
        <v>184</v>
      </c>
      <c r="D498" s="973" t="s">
        <v>1899</v>
      </c>
      <c r="E498" s="1026" t="str">
        <f>GLOBAL_DER_FEV_2023!E498</f>
        <v>taxa CAP 
borracha</v>
      </c>
      <c r="F498" s="975">
        <f>GLOBAL_DER_FEV_2023!F498</f>
        <v>0.06</v>
      </c>
      <c r="G498" s="976">
        <f>GLOBAL_DER_FEV_2023!G498</f>
        <v>52.942950000000003</v>
      </c>
      <c r="H498" s="977">
        <f>GLOBAL_DER_FEV_2023!H498</f>
        <v>188.55</v>
      </c>
      <c r="I498" s="977">
        <f>GLOBAL_DER_FEV_2023!I498</f>
        <v>241.49295000000001</v>
      </c>
      <c r="J498" s="978">
        <f>GLOBAL_DER_FEV_2023!J498</f>
        <v>289.95999999999998</v>
      </c>
      <c r="K498" s="979" t="s">
        <v>573</v>
      </c>
      <c r="L498" s="1152"/>
      <c r="M498" s="1153">
        <f t="shared" si="32"/>
        <v>0</v>
      </c>
      <c r="N498" s="982">
        <f t="shared" si="36"/>
        <v>0</v>
      </c>
      <c r="O498" s="905"/>
      <c r="Q498" s="317" t="str">
        <f t="shared" si="33"/>
        <v/>
      </c>
      <c r="R498" s="317" t="str">
        <f t="shared" si="34"/>
        <v/>
      </c>
      <c r="S498" s="317" t="str">
        <f t="shared" si="35"/>
        <v/>
      </c>
      <c r="T498" s="317" t="str">
        <f>GLOBAL_DER_FEV_2023!S498</f>
        <v/>
      </c>
      <c r="W498" s="582">
        <v>0</v>
      </c>
      <c r="X498" s="580"/>
      <c r="Y498" s="583">
        <f>IF(GLOBAL_DER_FEV_2023!W498=0,0,IF(GLOBAL_DER_FEV_2023!W498&gt;0,"c","b"))</f>
        <v>0</v>
      </c>
    </row>
    <row r="499" spans="1:25" ht="13.5" hidden="1" thickBot="1" x14ac:dyDescent="0.25">
      <c r="A499" s="317" t="s">
        <v>147</v>
      </c>
      <c r="B499" s="895" t="s">
        <v>147</v>
      </c>
      <c r="C499" s="896"/>
      <c r="D499" s="957" t="s">
        <v>229</v>
      </c>
      <c r="E499" s="907">
        <f>GLOBAL_DER_FEV_2023!E499</f>
        <v>150</v>
      </c>
      <c r="F499" s="908">
        <f>GLOBAL_DER_FEV_2023!F499</f>
        <v>0.1</v>
      </c>
      <c r="G499" s="949">
        <f>GLOBAL_DER_FEV_2023!G499</f>
        <v>16.318000000000001</v>
      </c>
      <c r="H499" s="901">
        <f>GLOBAL_DER_FEV_2023!H499</f>
        <v>0</v>
      </c>
      <c r="I499" s="901">
        <f>GLOBAL_DER_FEV_2023!I499</f>
        <v>0</v>
      </c>
      <c r="J499" s="902">
        <f>GLOBAL_DER_FEV_2023!J499</f>
        <v>0</v>
      </c>
      <c r="K499" s="903" t="s">
        <v>507</v>
      </c>
      <c r="L499" s="1003"/>
      <c r="M499" s="1157">
        <f t="shared" si="32"/>
        <v>0</v>
      </c>
      <c r="N499" s="893">
        <f t="shared" si="36"/>
        <v>0</v>
      </c>
      <c r="O499" s="905"/>
      <c r="P499" s="58" t="str">
        <f>IF(N498&gt;0,"xx",IF(N498&gt;0,"xy",""))</f>
        <v/>
      </c>
      <c r="Q499" s="317" t="str">
        <f t="shared" si="33"/>
        <v/>
      </c>
      <c r="R499" s="317" t="str">
        <f t="shared" si="34"/>
        <v/>
      </c>
      <c r="S499" s="317" t="str">
        <f t="shared" si="35"/>
        <v/>
      </c>
      <c r="T499" s="317" t="str">
        <f>GLOBAL_DER_FEV_2023!S499</f>
        <v/>
      </c>
      <c r="W499" s="582">
        <v>0</v>
      </c>
      <c r="X499" s="580"/>
      <c r="Y499" s="583">
        <f>IF(GLOBAL_DER_FEV_2023!W499=0,0,IF(GLOBAL_DER_FEV_2023!W499&gt;0,"c","b"))</f>
        <v>0</v>
      </c>
    </row>
    <row r="500" spans="1:25" ht="13.5" hidden="1" thickBot="1" x14ac:dyDescent="0.25">
      <c r="A500" s="317" t="s">
        <v>147</v>
      </c>
      <c r="B500" s="895" t="s">
        <v>147</v>
      </c>
      <c r="C500" s="896"/>
      <c r="D500" s="957" t="s">
        <v>230</v>
      </c>
      <c r="E500" s="907">
        <f>GLOBAL_DER_FEV_2023!E500</f>
        <v>353</v>
      </c>
      <c r="F500" s="908">
        <f>GLOBAL_DER_FEV_2023!F500</f>
        <v>1.4999999999999999E-2</v>
      </c>
      <c r="G500" s="909">
        <f>GLOBAL_DER_FEV_2023!G500</f>
        <v>4.2473999999999998</v>
      </c>
      <c r="H500" s="901">
        <f>GLOBAL_DER_FEV_2023!H500</f>
        <v>0</v>
      </c>
      <c r="I500" s="901">
        <f>GLOBAL_DER_FEV_2023!I500</f>
        <v>0</v>
      </c>
      <c r="J500" s="902">
        <f>GLOBAL_DER_FEV_2023!J500</f>
        <v>0</v>
      </c>
      <c r="K500" s="903" t="s">
        <v>507</v>
      </c>
      <c r="L500" s="1003"/>
      <c r="M500" s="1157">
        <f t="shared" si="32"/>
        <v>0</v>
      </c>
      <c r="N500" s="893">
        <f t="shared" si="36"/>
        <v>0</v>
      </c>
      <c r="O500" s="905"/>
      <c r="P500" s="58" t="str">
        <f>IF(N498&gt;0,"xx",IF(N498&gt;0,"xy",""))</f>
        <v/>
      </c>
      <c r="Q500" s="317" t="str">
        <f t="shared" si="33"/>
        <v/>
      </c>
      <c r="R500" s="317" t="str">
        <f t="shared" si="34"/>
        <v/>
      </c>
      <c r="S500" s="317" t="str">
        <f t="shared" si="35"/>
        <v/>
      </c>
      <c r="T500" s="317" t="str">
        <f>GLOBAL_DER_FEV_2023!S500</f>
        <v/>
      </c>
      <c r="W500" s="582">
        <v>0</v>
      </c>
      <c r="X500" s="580"/>
      <c r="Y500" s="583">
        <f>IF(GLOBAL_DER_FEV_2023!W500=0,0,IF(GLOBAL_DER_FEV_2023!W500&gt;0,"c","b"))</f>
        <v>0</v>
      </c>
    </row>
    <row r="501" spans="1:25" ht="13.5" hidden="1" thickBot="1" x14ac:dyDescent="0.25">
      <c r="A501" s="317" t="s">
        <v>147</v>
      </c>
      <c r="B501" s="895" t="s">
        <v>147</v>
      </c>
      <c r="C501" s="896"/>
      <c r="D501" s="957" t="s">
        <v>243</v>
      </c>
      <c r="E501" s="907">
        <f>GLOBAL_DER_FEV_2023!E501</f>
        <v>0.2</v>
      </c>
      <c r="F501" s="908">
        <f>GLOBAL_DER_FEV_2023!F501</f>
        <v>0.82499999999999996</v>
      </c>
      <c r="G501" s="949">
        <f>GLOBAL_DER_FEV_2023!G501</f>
        <v>2.3875500000000001</v>
      </c>
      <c r="H501" s="901">
        <f>GLOBAL_DER_FEV_2023!H501</f>
        <v>0</v>
      </c>
      <c r="I501" s="901">
        <f>GLOBAL_DER_FEV_2023!I501</f>
        <v>0</v>
      </c>
      <c r="J501" s="902">
        <f>GLOBAL_DER_FEV_2023!J501</f>
        <v>0</v>
      </c>
      <c r="K501" s="903" t="s">
        <v>507</v>
      </c>
      <c r="L501" s="1003"/>
      <c r="M501" s="1157">
        <f t="shared" si="32"/>
        <v>0</v>
      </c>
      <c r="N501" s="893">
        <f t="shared" si="36"/>
        <v>0</v>
      </c>
      <c r="O501" s="905"/>
      <c r="P501" s="58" t="str">
        <f>IF(N498&gt;0,"xx",IF(N498&gt;0,"xy",""))</f>
        <v/>
      </c>
      <c r="Q501" s="317" t="str">
        <f t="shared" si="33"/>
        <v/>
      </c>
      <c r="R501" s="317" t="str">
        <f t="shared" si="34"/>
        <v/>
      </c>
      <c r="S501" s="317" t="str">
        <f t="shared" si="35"/>
        <v/>
      </c>
      <c r="T501" s="317" t="str">
        <f>GLOBAL_DER_FEV_2023!S501</f>
        <v/>
      </c>
      <c r="W501" s="582">
        <v>0</v>
      </c>
      <c r="X501" s="580"/>
      <c r="Y501" s="583">
        <f>IF(GLOBAL_DER_FEV_2023!W501=0,0,IF(GLOBAL_DER_FEV_2023!W501&gt;0,"c","b"))</f>
        <v>0</v>
      </c>
    </row>
    <row r="502" spans="1:25" ht="13.5" hidden="1" thickBot="1" x14ac:dyDescent="0.25">
      <c r="A502" s="317" t="s">
        <v>147</v>
      </c>
      <c r="B502" s="895" t="s">
        <v>147</v>
      </c>
      <c r="C502" s="896"/>
      <c r="D502" s="957" t="s">
        <v>244</v>
      </c>
      <c r="E502" s="907">
        <f>GLOBAL_DER_FEV_2023!E502</f>
        <v>22</v>
      </c>
      <c r="F502" s="908">
        <f>GLOBAL_DER_FEV_2023!F502</f>
        <v>1</v>
      </c>
      <c r="G502" s="912">
        <f>GLOBAL_DER_FEV_2023!G502</f>
        <v>29.990000000000002</v>
      </c>
      <c r="H502" s="901">
        <f>GLOBAL_DER_FEV_2023!H502</f>
        <v>0</v>
      </c>
      <c r="I502" s="901">
        <f>GLOBAL_DER_FEV_2023!I502</f>
        <v>0</v>
      </c>
      <c r="J502" s="902">
        <f>GLOBAL_DER_FEV_2023!J502</f>
        <v>0</v>
      </c>
      <c r="K502" s="903" t="s">
        <v>507</v>
      </c>
      <c r="L502" s="1003"/>
      <c r="M502" s="1157">
        <f t="shared" si="32"/>
        <v>0</v>
      </c>
      <c r="N502" s="893">
        <f t="shared" si="36"/>
        <v>0</v>
      </c>
      <c r="O502" s="905"/>
      <c r="P502" s="58" t="str">
        <f>IF(N498&gt;0,"xx",IF(N498&gt;0,"xy",""))</f>
        <v/>
      </c>
      <c r="Q502" s="317" t="str">
        <f t="shared" si="33"/>
        <v/>
      </c>
      <c r="R502" s="317" t="str">
        <f t="shared" si="34"/>
        <v/>
      </c>
      <c r="S502" s="317" t="str">
        <f t="shared" si="35"/>
        <v/>
      </c>
      <c r="T502" s="317" t="str">
        <f>GLOBAL_DER_FEV_2023!S502</f>
        <v/>
      </c>
      <c r="W502" s="582">
        <v>0</v>
      </c>
      <c r="X502" s="580"/>
      <c r="Y502" s="583">
        <f>IF(GLOBAL_DER_FEV_2023!W502=0,0,IF(GLOBAL_DER_FEV_2023!W502&gt;0,"c","b"))</f>
        <v>0</v>
      </c>
    </row>
    <row r="503" spans="1:25" ht="13.5" hidden="1" thickBot="1" x14ac:dyDescent="0.25">
      <c r="A503" s="317">
        <v>589050</v>
      </c>
      <c r="B503" s="1004">
        <v>589050</v>
      </c>
      <c r="C503" s="984" t="s">
        <v>213</v>
      </c>
      <c r="D503" s="1012" t="s">
        <v>1900</v>
      </c>
      <c r="E503" s="1005">
        <f>GLOBAL_DER_FEV_2023!E503</f>
        <v>45</v>
      </c>
      <c r="F503" s="1006">
        <f>GLOBAL_DER_FEV_2023!F503</f>
        <v>1</v>
      </c>
      <c r="G503" s="949">
        <f>GLOBAL_DER_FEV_2023!G503</f>
        <v>88.36</v>
      </c>
      <c r="H503" s="988">
        <f>GLOBAL_DER_FEV_2023!H503</f>
        <v>5201.1000000000004</v>
      </c>
      <c r="I503" s="988">
        <f>GLOBAL_DER_FEV_2023!I503</f>
        <v>5081.9704605646712</v>
      </c>
      <c r="J503" s="989">
        <f>GLOBAL_DER_FEV_2023!J503</f>
        <v>6101.92</v>
      </c>
      <c r="K503" s="990" t="s">
        <v>14</v>
      </c>
      <c r="L503" s="1154">
        <f>ROUND(L498*$F498,2)</f>
        <v>0</v>
      </c>
      <c r="M503" s="1159">
        <f t="shared" si="32"/>
        <v>0</v>
      </c>
      <c r="N503" s="993">
        <f t="shared" si="36"/>
        <v>0</v>
      </c>
      <c r="O503" s="905"/>
      <c r="P503" s="58" t="str">
        <f>IF(N498&gt;0,"xx",IF(N498&gt;0,"xy",""))</f>
        <v/>
      </c>
      <c r="Q503" s="317" t="str">
        <f t="shared" si="33"/>
        <v/>
      </c>
      <c r="R503" s="317" t="str">
        <f t="shared" si="34"/>
        <v/>
      </c>
      <c r="S503" s="317" t="str">
        <f t="shared" si="35"/>
        <v/>
      </c>
      <c r="T503" s="317" t="str">
        <f>GLOBAL_DER_FEV_2023!S503</f>
        <v/>
      </c>
      <c r="W503" s="582">
        <v>0</v>
      </c>
      <c r="X503" s="580"/>
      <c r="Y503" s="583">
        <f>IF(GLOBAL_DER_FEV_2023!W503=0,0,IF(GLOBAL_DER_FEV_2023!W503&gt;0,"c","b"))</f>
        <v>0</v>
      </c>
    </row>
    <row r="504" spans="1:25" ht="13.5" hidden="1" thickBot="1" x14ac:dyDescent="0.25">
      <c r="A504" s="317">
        <v>502615</v>
      </c>
      <c r="B504" s="999">
        <v>502615</v>
      </c>
      <c r="C504" s="1000" t="s">
        <v>184</v>
      </c>
      <c r="D504" s="973" t="s">
        <v>1931</v>
      </c>
      <c r="E504" s="974">
        <f>GLOBAL_DER_FEV_2023!E504</f>
        <v>0</v>
      </c>
      <c r="F504" s="975">
        <f>GLOBAL_DER_FEV_2023!F504</f>
        <v>0</v>
      </c>
      <c r="G504" s="976">
        <f>GLOBAL_DER_FEV_2023!G504</f>
        <v>256.41471000000007</v>
      </c>
      <c r="H504" s="977">
        <f>GLOBAL_DER_FEV_2023!H504</f>
        <v>307.27999999999997</v>
      </c>
      <c r="I504" s="977">
        <f>GLOBAL_DER_FEV_2023!I504</f>
        <v>563.69470999999999</v>
      </c>
      <c r="J504" s="978">
        <f>GLOBAL_DER_FEV_2023!J504</f>
        <v>676.83</v>
      </c>
      <c r="K504" s="979" t="s">
        <v>10</v>
      </c>
      <c r="L504" s="1152"/>
      <c r="M504" s="1153">
        <f t="shared" si="32"/>
        <v>0</v>
      </c>
      <c r="N504" s="982">
        <f t="shared" si="36"/>
        <v>0</v>
      </c>
      <c r="O504" s="905"/>
      <c r="Q504" s="317" t="str">
        <f t="shared" si="33"/>
        <v/>
      </c>
      <c r="R504" s="317" t="str">
        <f t="shared" si="34"/>
        <v/>
      </c>
      <c r="S504" s="317" t="str">
        <f t="shared" si="35"/>
        <v/>
      </c>
      <c r="T504" s="317" t="str">
        <f>GLOBAL_DER_FEV_2023!S504</f>
        <v/>
      </c>
      <c r="W504" s="582">
        <v>0</v>
      </c>
      <c r="X504" s="580"/>
      <c r="Y504" s="583">
        <f>IF(GLOBAL_DER_FEV_2023!W504=0,0,IF(GLOBAL_DER_FEV_2023!W504&gt;0,"c","b"))</f>
        <v>0</v>
      </c>
    </row>
    <row r="505" spans="1:25" ht="13.5" hidden="1" thickBot="1" x14ac:dyDescent="0.25">
      <c r="A505" s="317" t="s">
        <v>147</v>
      </c>
      <c r="B505" s="895" t="s">
        <v>147</v>
      </c>
      <c r="C505" s="896"/>
      <c r="D505" s="957" t="s">
        <v>190</v>
      </c>
      <c r="E505" s="907">
        <f>GLOBAL_DER_FEV_2023!E505</f>
        <v>308</v>
      </c>
      <c r="F505" s="908">
        <f>GLOBAL_DER_FEV_2023!F505</f>
        <v>0.33</v>
      </c>
      <c r="G505" s="909">
        <f>GLOBAL_DER_FEV_2023!G505</f>
        <v>81.859800000000007</v>
      </c>
      <c r="H505" s="901">
        <f>GLOBAL_DER_FEV_2023!H505</f>
        <v>0</v>
      </c>
      <c r="I505" s="901">
        <f>GLOBAL_DER_FEV_2023!I505</f>
        <v>0</v>
      </c>
      <c r="J505" s="902">
        <f>GLOBAL_DER_FEV_2023!J505</f>
        <v>0</v>
      </c>
      <c r="K505" s="958" t="s">
        <v>507</v>
      </c>
      <c r="L505" s="959"/>
      <c r="M505" s="1157">
        <f t="shared" si="32"/>
        <v>0</v>
      </c>
      <c r="N505" s="893">
        <f t="shared" si="36"/>
        <v>0</v>
      </c>
      <c r="O505" s="905"/>
      <c r="P505" s="58" t="str">
        <f>IF(N504&gt;0,"xx",IF(N504&gt;0,"xy",""))</f>
        <v/>
      </c>
      <c r="Q505" s="317" t="str">
        <f t="shared" si="33"/>
        <v/>
      </c>
      <c r="R505" s="317" t="str">
        <f t="shared" si="34"/>
        <v/>
      </c>
      <c r="S505" s="317" t="str">
        <f t="shared" si="35"/>
        <v/>
      </c>
      <c r="T505" s="317" t="str">
        <f>GLOBAL_DER_FEV_2023!S505</f>
        <v/>
      </c>
      <c r="W505" s="582">
        <v>0</v>
      </c>
      <c r="X505" s="580"/>
      <c r="Y505" s="583">
        <f>IF(GLOBAL_DER_FEV_2023!W505=0,0,IF(GLOBAL_DER_FEV_2023!W505&gt;0,"c","b"))</f>
        <v>0</v>
      </c>
    </row>
    <row r="506" spans="1:25" ht="13.5" hidden="1" thickBot="1" x14ac:dyDescent="0.25">
      <c r="A506" s="317" t="s">
        <v>147</v>
      </c>
      <c r="B506" s="895" t="s">
        <v>147</v>
      </c>
      <c r="C506" s="896"/>
      <c r="D506" s="957" t="s">
        <v>229</v>
      </c>
      <c r="E506" s="907">
        <f>GLOBAL_DER_FEV_2023!E506</f>
        <v>165</v>
      </c>
      <c r="F506" s="908">
        <f>GLOBAL_DER_FEV_2023!F506</f>
        <v>0.92100000000000004</v>
      </c>
      <c r="G506" s="949">
        <f>GLOBAL_DER_FEV_2023!G506</f>
        <v>165.07083000000003</v>
      </c>
      <c r="H506" s="901">
        <f>GLOBAL_DER_FEV_2023!H506</f>
        <v>0</v>
      </c>
      <c r="I506" s="901">
        <f>GLOBAL_DER_FEV_2023!I506</f>
        <v>0</v>
      </c>
      <c r="J506" s="902">
        <f>GLOBAL_DER_FEV_2023!J506</f>
        <v>0</v>
      </c>
      <c r="K506" s="958" t="s">
        <v>507</v>
      </c>
      <c r="L506" s="959"/>
      <c r="M506" s="1157">
        <f t="shared" si="32"/>
        <v>0</v>
      </c>
      <c r="N506" s="893">
        <f t="shared" si="36"/>
        <v>0</v>
      </c>
      <c r="O506" s="905"/>
      <c r="P506" s="58" t="str">
        <f>IF(N504&gt;0,"xx",IF(N504&gt;0,"xy",""))</f>
        <v/>
      </c>
      <c r="Q506" s="317" t="str">
        <f t="shared" si="33"/>
        <v/>
      </c>
      <c r="R506" s="317" t="str">
        <f t="shared" si="34"/>
        <v/>
      </c>
      <c r="S506" s="317" t="str">
        <f t="shared" si="35"/>
        <v/>
      </c>
      <c r="T506" s="317" t="str">
        <f>GLOBAL_DER_FEV_2023!S506</f>
        <v/>
      </c>
      <c r="W506" s="582">
        <v>0</v>
      </c>
      <c r="X506" s="580"/>
      <c r="Y506" s="583">
        <f>IF(GLOBAL_DER_FEV_2023!W506=0,0,IF(GLOBAL_DER_FEV_2023!W506&gt;0,"c","b"))</f>
        <v>0</v>
      </c>
    </row>
    <row r="507" spans="1:25" ht="13.5" hidden="1" thickBot="1" x14ac:dyDescent="0.25">
      <c r="A507" s="317" t="s">
        <v>147</v>
      </c>
      <c r="B507" s="895" t="s">
        <v>147</v>
      </c>
      <c r="C507" s="896"/>
      <c r="D507" s="957" t="s">
        <v>233</v>
      </c>
      <c r="E507" s="907">
        <f>GLOBAL_DER_FEV_2023!E507</f>
        <v>0.2</v>
      </c>
      <c r="F507" s="908">
        <f>GLOBAL_DER_FEV_2023!F507</f>
        <v>1.1000000000000001</v>
      </c>
      <c r="G507" s="949">
        <f>GLOBAL_DER_FEV_2023!G507</f>
        <v>3.1834000000000002</v>
      </c>
      <c r="H507" s="901">
        <f>GLOBAL_DER_FEV_2023!H507</f>
        <v>0</v>
      </c>
      <c r="I507" s="901">
        <f>GLOBAL_DER_FEV_2023!I507</f>
        <v>0</v>
      </c>
      <c r="J507" s="902">
        <f>GLOBAL_DER_FEV_2023!J507</f>
        <v>0</v>
      </c>
      <c r="K507" s="958" t="s">
        <v>507</v>
      </c>
      <c r="L507" s="959"/>
      <c r="M507" s="1157">
        <f t="shared" si="32"/>
        <v>0</v>
      </c>
      <c r="N507" s="893">
        <f t="shared" si="36"/>
        <v>0</v>
      </c>
      <c r="O507" s="905"/>
      <c r="P507" s="58" t="str">
        <f>IF(N504&gt;0,"xx",IF(N504&gt;0,"xy",""))</f>
        <v/>
      </c>
      <c r="Q507" s="317" t="str">
        <f t="shared" si="33"/>
        <v/>
      </c>
      <c r="R507" s="317" t="str">
        <f t="shared" si="34"/>
        <v/>
      </c>
      <c r="S507" s="317" t="str">
        <f t="shared" si="35"/>
        <v/>
      </c>
      <c r="T507" s="317" t="str">
        <f>GLOBAL_DER_FEV_2023!S507</f>
        <v/>
      </c>
      <c r="W507" s="582">
        <v>0</v>
      </c>
      <c r="X507" s="580"/>
      <c r="Y507" s="583">
        <f>IF(GLOBAL_DER_FEV_2023!W507=0,0,IF(GLOBAL_DER_FEV_2023!W507&gt;0,"c","b"))</f>
        <v>0</v>
      </c>
    </row>
    <row r="508" spans="1:25" ht="13.5" hidden="1" thickBot="1" x14ac:dyDescent="0.25">
      <c r="A508" s="317" t="s">
        <v>147</v>
      </c>
      <c r="B508" s="895" t="s">
        <v>147</v>
      </c>
      <c r="C508" s="896"/>
      <c r="D508" s="957" t="s">
        <v>244</v>
      </c>
      <c r="E508" s="907">
        <f>GLOBAL_DER_FEV_2023!E508</f>
        <v>0</v>
      </c>
      <c r="F508" s="908">
        <f>GLOBAL_DER_FEV_2023!F508</f>
        <v>2.351</v>
      </c>
      <c r="G508" s="912">
        <f>GLOBAL_DER_FEV_2023!G508</f>
        <v>6.3006800000000007</v>
      </c>
      <c r="H508" s="901">
        <f>GLOBAL_DER_FEV_2023!H508</f>
        <v>0</v>
      </c>
      <c r="I508" s="901">
        <f>GLOBAL_DER_FEV_2023!I508</f>
        <v>0</v>
      </c>
      <c r="J508" s="902">
        <f>GLOBAL_DER_FEV_2023!J508</f>
        <v>0</v>
      </c>
      <c r="K508" s="903" t="s">
        <v>507</v>
      </c>
      <c r="L508" s="1003"/>
      <c r="M508" s="1157">
        <f t="shared" si="32"/>
        <v>0</v>
      </c>
      <c r="N508" s="893">
        <f t="shared" si="36"/>
        <v>0</v>
      </c>
      <c r="O508" s="905"/>
      <c r="P508" s="58" t="str">
        <f>IF(N504&gt;0,"xx",IF(N504&gt;0,"xy",""))</f>
        <v/>
      </c>
      <c r="Q508" s="317" t="str">
        <f t="shared" si="33"/>
        <v/>
      </c>
      <c r="R508" s="317" t="str">
        <f t="shared" si="34"/>
        <v/>
      </c>
      <c r="S508" s="317" t="str">
        <f t="shared" si="35"/>
        <v/>
      </c>
      <c r="T508" s="317" t="str">
        <f>GLOBAL_DER_FEV_2023!S508</f>
        <v/>
      </c>
      <c r="W508" s="582">
        <v>0</v>
      </c>
      <c r="X508" s="580"/>
      <c r="Y508" s="583">
        <f>IF(GLOBAL_DER_FEV_2023!W508=0,0,IF(GLOBAL_DER_FEV_2023!W508&gt;0,"c","b"))</f>
        <v>0</v>
      </c>
    </row>
    <row r="509" spans="1:25" ht="13.5" hidden="1" thickBot="1" x14ac:dyDescent="0.25">
      <c r="A509" s="317">
        <v>502605</v>
      </c>
      <c r="B509" s="895">
        <v>502605</v>
      </c>
      <c r="C509" s="896" t="s">
        <v>184</v>
      </c>
      <c r="D509" s="906" t="s">
        <v>1932</v>
      </c>
      <c r="E509" s="907">
        <f>GLOBAL_DER_FEV_2023!E509</f>
        <v>0</v>
      </c>
      <c r="F509" s="908">
        <f>GLOBAL_DER_FEV_2023!F509</f>
        <v>0</v>
      </c>
      <c r="G509" s="949">
        <f>GLOBAL_DER_FEV_2023!G509</f>
        <v>194.48190000000002</v>
      </c>
      <c r="H509" s="901">
        <f>GLOBAL_DER_FEV_2023!H509</f>
        <v>182.71</v>
      </c>
      <c r="I509" s="901">
        <f>GLOBAL_DER_FEV_2023!I509</f>
        <v>377.19190000000003</v>
      </c>
      <c r="J509" s="902">
        <f>GLOBAL_DER_FEV_2023!J509</f>
        <v>452.89</v>
      </c>
      <c r="K509" s="903" t="s">
        <v>10</v>
      </c>
      <c r="L509" s="1139"/>
      <c r="M509" s="1140">
        <f t="shared" si="32"/>
        <v>0</v>
      </c>
      <c r="N509" s="893">
        <f t="shared" si="36"/>
        <v>0</v>
      </c>
      <c r="O509" s="905"/>
      <c r="Q509" s="317" t="str">
        <f t="shared" si="33"/>
        <v/>
      </c>
      <c r="R509" s="317" t="str">
        <f t="shared" si="34"/>
        <v/>
      </c>
      <c r="S509" s="317" t="str">
        <f t="shared" si="35"/>
        <v/>
      </c>
      <c r="T509" s="317" t="str">
        <f>GLOBAL_DER_FEV_2023!S509</f>
        <v/>
      </c>
      <c r="W509" s="582">
        <v>0</v>
      </c>
      <c r="X509" s="580"/>
      <c r="Y509" s="583">
        <f>IF(GLOBAL_DER_FEV_2023!W509=0,0,IF(GLOBAL_DER_FEV_2023!W509&gt;0,"c","b"))</f>
        <v>0</v>
      </c>
    </row>
    <row r="510" spans="1:25" ht="13.5" hidden="1" thickBot="1" x14ac:dyDescent="0.25">
      <c r="A510" s="317" t="s">
        <v>147</v>
      </c>
      <c r="B510" s="895" t="s">
        <v>147</v>
      </c>
      <c r="C510" s="896"/>
      <c r="D510" s="957" t="s">
        <v>190</v>
      </c>
      <c r="E510" s="907">
        <f>GLOBAL_DER_FEV_2023!E510</f>
        <v>308</v>
      </c>
      <c r="F510" s="908">
        <f>GLOBAL_DER_FEV_2023!F510</f>
        <v>0.12</v>
      </c>
      <c r="G510" s="909">
        <f>GLOBAL_DER_FEV_2023!G510</f>
        <v>29.767199999999999</v>
      </c>
      <c r="H510" s="901">
        <f>GLOBAL_DER_FEV_2023!H510</f>
        <v>0</v>
      </c>
      <c r="I510" s="901">
        <f>GLOBAL_DER_FEV_2023!I510</f>
        <v>0</v>
      </c>
      <c r="J510" s="902">
        <f>GLOBAL_DER_FEV_2023!J510</f>
        <v>0</v>
      </c>
      <c r="K510" s="958" t="s">
        <v>507</v>
      </c>
      <c r="L510" s="959"/>
      <c r="M510" s="1157">
        <f t="shared" si="32"/>
        <v>0</v>
      </c>
      <c r="N510" s="893">
        <f t="shared" si="36"/>
        <v>0</v>
      </c>
      <c r="O510" s="905"/>
      <c r="P510" s="58" t="str">
        <f>IF(N509&gt;0,"xx",IF(N509&gt;0,"xy",""))</f>
        <v/>
      </c>
      <c r="Q510" s="317" t="str">
        <f t="shared" si="33"/>
        <v/>
      </c>
      <c r="R510" s="317" t="str">
        <f t="shared" si="34"/>
        <v/>
      </c>
      <c r="S510" s="317" t="str">
        <f t="shared" si="35"/>
        <v/>
      </c>
      <c r="T510" s="317" t="str">
        <f>GLOBAL_DER_FEV_2023!S510</f>
        <v/>
      </c>
      <c r="W510" s="582">
        <v>0</v>
      </c>
      <c r="X510" s="580"/>
      <c r="Y510" s="583">
        <f>IF(GLOBAL_DER_FEV_2023!W510=0,0,IF(GLOBAL_DER_FEV_2023!W510&gt;0,"c","b"))</f>
        <v>0</v>
      </c>
    </row>
    <row r="511" spans="1:25" ht="13.5" hidden="1" thickBot="1" x14ac:dyDescent="0.25">
      <c r="A511" s="317" t="s">
        <v>147</v>
      </c>
      <c r="B511" s="895" t="s">
        <v>147</v>
      </c>
      <c r="C511" s="896"/>
      <c r="D511" s="957" t="s">
        <v>229</v>
      </c>
      <c r="E511" s="907">
        <f>GLOBAL_DER_FEV_2023!E511</f>
        <v>165</v>
      </c>
      <c r="F511" s="908">
        <f>GLOBAL_DER_FEV_2023!F511</f>
        <v>0.87</v>
      </c>
      <c r="G511" s="949">
        <f>GLOBAL_DER_FEV_2023!G511</f>
        <v>155.93010000000001</v>
      </c>
      <c r="H511" s="901">
        <f>GLOBAL_DER_FEV_2023!H511</f>
        <v>0</v>
      </c>
      <c r="I511" s="901">
        <f>GLOBAL_DER_FEV_2023!I511</f>
        <v>0</v>
      </c>
      <c r="J511" s="902">
        <f>GLOBAL_DER_FEV_2023!J511</f>
        <v>0</v>
      </c>
      <c r="K511" s="958" t="s">
        <v>507</v>
      </c>
      <c r="L511" s="959"/>
      <c r="M511" s="1157">
        <f t="shared" si="32"/>
        <v>0</v>
      </c>
      <c r="N511" s="893">
        <f t="shared" si="36"/>
        <v>0</v>
      </c>
      <c r="O511" s="905"/>
      <c r="P511" s="58" t="str">
        <f>IF(N509&gt;0,"xx",IF(N509&gt;0,"xy",""))</f>
        <v/>
      </c>
      <c r="Q511" s="317" t="str">
        <f t="shared" si="33"/>
        <v/>
      </c>
      <c r="R511" s="317" t="str">
        <f t="shared" si="34"/>
        <v/>
      </c>
      <c r="S511" s="317" t="str">
        <f t="shared" si="35"/>
        <v/>
      </c>
      <c r="T511" s="317" t="str">
        <f>GLOBAL_DER_FEV_2023!S511</f>
        <v/>
      </c>
      <c r="W511" s="582">
        <v>0</v>
      </c>
      <c r="X511" s="580"/>
      <c r="Y511" s="583">
        <f>IF(GLOBAL_DER_FEV_2023!W511=0,0,IF(GLOBAL_DER_FEV_2023!W511&gt;0,"c","b"))</f>
        <v>0</v>
      </c>
    </row>
    <row r="512" spans="1:25" ht="13.5" hidden="1" thickBot="1" x14ac:dyDescent="0.25">
      <c r="A512" s="317" t="s">
        <v>147</v>
      </c>
      <c r="B512" s="895" t="s">
        <v>147</v>
      </c>
      <c r="C512" s="896"/>
      <c r="D512" s="957" t="s">
        <v>233</v>
      </c>
      <c r="E512" s="907">
        <f>GLOBAL_DER_FEV_2023!E512</f>
        <v>0.2</v>
      </c>
      <c r="F512" s="908">
        <f>GLOBAL_DER_FEV_2023!F512</f>
        <v>1.1000000000000001</v>
      </c>
      <c r="G512" s="949">
        <f>GLOBAL_DER_FEV_2023!G512</f>
        <v>3.1834000000000002</v>
      </c>
      <c r="H512" s="901">
        <f>GLOBAL_DER_FEV_2023!H512</f>
        <v>0</v>
      </c>
      <c r="I512" s="901">
        <f>GLOBAL_DER_FEV_2023!I512</f>
        <v>0</v>
      </c>
      <c r="J512" s="902">
        <f>GLOBAL_DER_FEV_2023!J512</f>
        <v>0</v>
      </c>
      <c r="K512" s="958" t="s">
        <v>507</v>
      </c>
      <c r="L512" s="959"/>
      <c r="M512" s="1157">
        <f t="shared" si="32"/>
        <v>0</v>
      </c>
      <c r="N512" s="893">
        <f t="shared" si="36"/>
        <v>0</v>
      </c>
      <c r="O512" s="905"/>
      <c r="P512" s="58" t="str">
        <f>IF(N509&gt;0,"xx",IF(N509&gt;0,"xy",""))</f>
        <v/>
      </c>
      <c r="Q512" s="317" t="str">
        <f t="shared" si="33"/>
        <v/>
      </c>
      <c r="R512" s="317" t="str">
        <f t="shared" si="34"/>
        <v/>
      </c>
      <c r="S512" s="317" t="str">
        <f t="shared" si="35"/>
        <v/>
      </c>
      <c r="T512" s="317" t="str">
        <f>GLOBAL_DER_FEV_2023!S512</f>
        <v/>
      </c>
      <c r="W512" s="582">
        <v>0</v>
      </c>
      <c r="X512" s="580"/>
      <c r="Y512" s="583">
        <f>IF(GLOBAL_DER_FEV_2023!W512=0,0,IF(GLOBAL_DER_FEV_2023!W512&gt;0,"c","b"))</f>
        <v>0</v>
      </c>
    </row>
    <row r="513" spans="1:25" ht="13.5" hidden="1" thickBot="1" x14ac:dyDescent="0.25">
      <c r="A513" s="317" t="s">
        <v>147</v>
      </c>
      <c r="B513" s="895" t="s">
        <v>147</v>
      </c>
      <c r="C513" s="896"/>
      <c r="D513" s="957" t="s">
        <v>244</v>
      </c>
      <c r="E513" s="907">
        <f>GLOBAL_DER_FEV_2023!E513</f>
        <v>0</v>
      </c>
      <c r="F513" s="908">
        <f>GLOBAL_DER_FEV_2023!F513</f>
        <v>2.09</v>
      </c>
      <c r="G513" s="912">
        <f>GLOBAL_DER_FEV_2023!G513</f>
        <v>5.6011999999999995</v>
      </c>
      <c r="H513" s="901">
        <f>GLOBAL_DER_FEV_2023!H513</f>
        <v>0</v>
      </c>
      <c r="I513" s="901">
        <f>GLOBAL_DER_FEV_2023!I513</f>
        <v>0</v>
      </c>
      <c r="J513" s="902">
        <f>GLOBAL_DER_FEV_2023!J513</f>
        <v>0</v>
      </c>
      <c r="K513" s="903" t="s">
        <v>507</v>
      </c>
      <c r="L513" s="1003"/>
      <c r="M513" s="1157">
        <f t="shared" si="32"/>
        <v>0</v>
      </c>
      <c r="N513" s="893">
        <f t="shared" si="36"/>
        <v>0</v>
      </c>
      <c r="O513" s="905"/>
      <c r="P513" s="58" t="str">
        <f>IF(N509&gt;0,"xx",IF(N509&gt;0,"xy",""))</f>
        <v/>
      </c>
      <c r="Q513" s="317" t="str">
        <f t="shared" si="33"/>
        <v/>
      </c>
      <c r="R513" s="317" t="str">
        <f t="shared" si="34"/>
        <v/>
      </c>
      <c r="S513" s="317" t="str">
        <f t="shared" si="35"/>
        <v/>
      </c>
      <c r="T513" s="317" t="str">
        <f>GLOBAL_DER_FEV_2023!S513</f>
        <v/>
      </c>
      <c r="W513" s="582">
        <v>0</v>
      </c>
      <c r="X513" s="580"/>
      <c r="Y513" s="583">
        <f>IF(GLOBAL_DER_FEV_2023!W513=0,0,IF(GLOBAL_DER_FEV_2023!W513&gt;0,"c","b"))</f>
        <v>0</v>
      </c>
    </row>
    <row r="514" spans="1:25" ht="13.5" hidden="1" thickBot="1" x14ac:dyDescent="0.25">
      <c r="A514" s="317">
        <v>505185</v>
      </c>
      <c r="B514" s="895">
        <v>505185</v>
      </c>
      <c r="C514" s="896" t="s">
        <v>184</v>
      </c>
      <c r="D514" s="906" t="s">
        <v>1933</v>
      </c>
      <c r="E514" s="907">
        <f>GLOBAL_DER_FEV_2023!E514</f>
        <v>0</v>
      </c>
      <c r="F514" s="908">
        <f>GLOBAL_DER_FEV_2023!F514</f>
        <v>0</v>
      </c>
      <c r="G514" s="949">
        <f>GLOBAL_DER_FEV_2023!G514</f>
        <v>296.94944000000004</v>
      </c>
      <c r="H514" s="901">
        <f>GLOBAL_DER_FEV_2023!H514</f>
        <v>238.23</v>
      </c>
      <c r="I514" s="901">
        <f>GLOBAL_DER_FEV_2023!I514</f>
        <v>535.17944</v>
      </c>
      <c r="J514" s="902">
        <f>GLOBAL_DER_FEV_2023!J514</f>
        <v>642.59</v>
      </c>
      <c r="K514" s="903" t="s">
        <v>10</v>
      </c>
      <c r="L514" s="1139"/>
      <c r="M514" s="1140">
        <f t="shared" si="32"/>
        <v>0</v>
      </c>
      <c r="N514" s="893">
        <f t="shared" si="36"/>
        <v>0</v>
      </c>
      <c r="O514" s="905"/>
      <c r="Q514" s="317" t="str">
        <f t="shared" si="33"/>
        <v/>
      </c>
      <c r="R514" s="317" t="str">
        <f t="shared" si="34"/>
        <v/>
      </c>
      <c r="S514" s="317" t="str">
        <f t="shared" si="35"/>
        <v/>
      </c>
      <c r="T514" s="317" t="str">
        <f>GLOBAL_DER_FEV_2023!S514</f>
        <v/>
      </c>
      <c r="W514" s="582">
        <v>0</v>
      </c>
      <c r="X514" s="580"/>
      <c r="Y514" s="583">
        <f>IF(GLOBAL_DER_FEV_2023!W514=0,0,IF(GLOBAL_DER_FEV_2023!W514&gt;0,"c","b"))</f>
        <v>0</v>
      </c>
    </row>
    <row r="515" spans="1:25" ht="13.5" hidden="1" thickBot="1" x14ac:dyDescent="0.25">
      <c r="A515" s="317" t="s">
        <v>147</v>
      </c>
      <c r="B515" s="895" t="s">
        <v>147</v>
      </c>
      <c r="C515" s="896"/>
      <c r="D515" s="957" t="s">
        <v>190</v>
      </c>
      <c r="E515" s="907">
        <f>GLOBAL_DER_FEV_2023!E515</f>
        <v>308</v>
      </c>
      <c r="F515" s="908">
        <f>GLOBAL_DER_FEV_2023!F515</f>
        <v>0.18</v>
      </c>
      <c r="G515" s="909">
        <f>GLOBAL_DER_FEV_2023!G515</f>
        <v>44.650799999999997</v>
      </c>
      <c r="H515" s="901">
        <f>GLOBAL_DER_FEV_2023!H515</f>
        <v>0</v>
      </c>
      <c r="I515" s="901">
        <f>GLOBAL_DER_FEV_2023!I515</f>
        <v>0</v>
      </c>
      <c r="J515" s="902">
        <f>GLOBAL_DER_FEV_2023!J515</f>
        <v>0</v>
      </c>
      <c r="K515" s="958" t="s">
        <v>507</v>
      </c>
      <c r="L515" s="959"/>
      <c r="M515" s="1157">
        <f t="shared" si="32"/>
        <v>0</v>
      </c>
      <c r="N515" s="893">
        <f t="shared" si="36"/>
        <v>0</v>
      </c>
      <c r="O515" s="905"/>
      <c r="P515" s="58" t="str">
        <f>IF(N514&gt;0,"xx",IF(N514&gt;0,"xy",""))</f>
        <v/>
      </c>
      <c r="Q515" s="317" t="str">
        <f t="shared" si="33"/>
        <v/>
      </c>
      <c r="R515" s="317" t="str">
        <f t="shared" si="34"/>
        <v/>
      </c>
      <c r="S515" s="317" t="str">
        <f t="shared" si="35"/>
        <v/>
      </c>
      <c r="T515" s="317" t="str">
        <f>GLOBAL_DER_FEV_2023!S515</f>
        <v/>
      </c>
      <c r="W515" s="582">
        <v>0</v>
      </c>
      <c r="X515" s="580"/>
      <c r="Y515" s="583">
        <f>IF(GLOBAL_DER_FEV_2023!W515=0,0,IF(GLOBAL_DER_FEV_2023!W515&gt;0,"c","b"))</f>
        <v>0</v>
      </c>
    </row>
    <row r="516" spans="1:25" ht="13.5" hidden="1" thickBot="1" x14ac:dyDescent="0.25">
      <c r="A516" s="317" t="s">
        <v>147</v>
      </c>
      <c r="B516" s="895" t="s">
        <v>147</v>
      </c>
      <c r="C516" s="896"/>
      <c r="D516" s="957" t="s">
        <v>229</v>
      </c>
      <c r="E516" s="907">
        <f>GLOBAL_DER_FEV_2023!E516</f>
        <v>165</v>
      </c>
      <c r="F516" s="908">
        <f>GLOBAL_DER_FEV_2023!F516</f>
        <v>1.06</v>
      </c>
      <c r="G516" s="949">
        <f>GLOBAL_DER_FEV_2023!G516</f>
        <v>189.98380000000003</v>
      </c>
      <c r="H516" s="901">
        <f>GLOBAL_DER_FEV_2023!H516</f>
        <v>0</v>
      </c>
      <c r="I516" s="901">
        <f>GLOBAL_DER_FEV_2023!I516</f>
        <v>0</v>
      </c>
      <c r="J516" s="902">
        <f>GLOBAL_DER_FEV_2023!J516</f>
        <v>0</v>
      </c>
      <c r="K516" s="958" t="s">
        <v>507</v>
      </c>
      <c r="L516" s="959"/>
      <c r="M516" s="1157">
        <f t="shared" si="32"/>
        <v>0</v>
      </c>
      <c r="N516" s="893">
        <f t="shared" si="36"/>
        <v>0</v>
      </c>
      <c r="O516" s="905"/>
      <c r="P516" s="58" t="str">
        <f>IF(N514&gt;0,"xx",IF(N514&gt;0,"xy",""))</f>
        <v/>
      </c>
      <c r="Q516" s="317" t="str">
        <f t="shared" si="33"/>
        <v/>
      </c>
      <c r="R516" s="317" t="str">
        <f t="shared" si="34"/>
        <v/>
      </c>
      <c r="S516" s="317" t="str">
        <f t="shared" si="35"/>
        <v/>
      </c>
      <c r="T516" s="317" t="str">
        <f>GLOBAL_DER_FEV_2023!S516</f>
        <v/>
      </c>
      <c r="W516" s="582">
        <v>0</v>
      </c>
      <c r="X516" s="580"/>
      <c r="Y516" s="583">
        <f>IF(GLOBAL_DER_FEV_2023!W516=0,0,IF(GLOBAL_DER_FEV_2023!W516&gt;0,"c","b"))</f>
        <v>0</v>
      </c>
    </row>
    <row r="517" spans="1:25" ht="13.5" hidden="1" thickBot="1" x14ac:dyDescent="0.25">
      <c r="A517" s="317" t="s">
        <v>147</v>
      </c>
      <c r="B517" s="895" t="s">
        <v>147</v>
      </c>
      <c r="C517" s="896"/>
      <c r="D517" s="957" t="s">
        <v>233</v>
      </c>
      <c r="E517" s="907">
        <f>GLOBAL_DER_FEV_2023!E517</f>
        <v>0.2</v>
      </c>
      <c r="F517" s="908">
        <f>GLOBAL_DER_FEV_2023!F517</f>
        <v>1.1100000000000001</v>
      </c>
      <c r="G517" s="949">
        <f>GLOBAL_DER_FEV_2023!G517</f>
        <v>3.2123400000000006</v>
      </c>
      <c r="H517" s="901">
        <f>GLOBAL_DER_FEV_2023!H517</f>
        <v>0</v>
      </c>
      <c r="I517" s="901">
        <f>GLOBAL_DER_FEV_2023!I517</f>
        <v>0</v>
      </c>
      <c r="J517" s="902">
        <f>GLOBAL_DER_FEV_2023!J517</f>
        <v>0</v>
      </c>
      <c r="K517" s="958" t="s">
        <v>507</v>
      </c>
      <c r="L517" s="959"/>
      <c r="M517" s="1157">
        <f t="shared" si="32"/>
        <v>0</v>
      </c>
      <c r="N517" s="893">
        <f t="shared" si="36"/>
        <v>0</v>
      </c>
      <c r="O517" s="905"/>
      <c r="P517" s="58" t="str">
        <f>IF(N514&gt;0,"xx",IF(N514&gt;0,"xy",""))</f>
        <v/>
      </c>
      <c r="Q517" s="317" t="str">
        <f t="shared" si="33"/>
        <v/>
      </c>
      <c r="R517" s="317" t="str">
        <f t="shared" si="34"/>
        <v/>
      </c>
      <c r="S517" s="317" t="str">
        <f t="shared" si="35"/>
        <v/>
      </c>
      <c r="T517" s="317" t="str">
        <f>GLOBAL_DER_FEV_2023!S517</f>
        <v/>
      </c>
      <c r="W517" s="582">
        <v>0</v>
      </c>
      <c r="X517" s="580"/>
      <c r="Y517" s="583">
        <f>IF(GLOBAL_DER_FEV_2023!W517=0,0,IF(GLOBAL_DER_FEV_2023!W517&gt;0,"c","b"))</f>
        <v>0</v>
      </c>
    </row>
    <row r="518" spans="1:25" ht="13.5" hidden="1" thickBot="1" x14ac:dyDescent="0.25">
      <c r="A518" s="317" t="s">
        <v>147</v>
      </c>
      <c r="B518" s="895" t="s">
        <v>147</v>
      </c>
      <c r="C518" s="896"/>
      <c r="D518" s="957" t="s">
        <v>244</v>
      </c>
      <c r="E518" s="907">
        <f>GLOBAL_DER_FEV_2023!E518</f>
        <v>21</v>
      </c>
      <c r="F518" s="908">
        <f>GLOBAL_DER_FEV_2023!F518</f>
        <v>2.35</v>
      </c>
      <c r="G518" s="949">
        <f>GLOBAL_DER_FEV_2023!G518</f>
        <v>59.102500000000006</v>
      </c>
      <c r="H518" s="901">
        <f>GLOBAL_DER_FEV_2023!H518</f>
        <v>0</v>
      </c>
      <c r="I518" s="901">
        <f>GLOBAL_DER_FEV_2023!I518</f>
        <v>0</v>
      </c>
      <c r="J518" s="902">
        <f>GLOBAL_DER_FEV_2023!J518</f>
        <v>0</v>
      </c>
      <c r="K518" s="903" t="s">
        <v>507</v>
      </c>
      <c r="L518" s="1003"/>
      <c r="M518" s="1157">
        <f t="shared" si="32"/>
        <v>0</v>
      </c>
      <c r="N518" s="893">
        <f t="shared" si="36"/>
        <v>0</v>
      </c>
      <c r="O518" s="905"/>
      <c r="P518" s="58" t="str">
        <f>IF(N514&gt;0,"xx",IF(N514&gt;0,"xy",""))</f>
        <v/>
      </c>
      <c r="Q518" s="317" t="str">
        <f t="shared" si="33"/>
        <v/>
      </c>
      <c r="R518" s="317" t="str">
        <f t="shared" si="34"/>
        <v/>
      </c>
      <c r="S518" s="317" t="str">
        <f t="shared" si="35"/>
        <v/>
      </c>
      <c r="T518" s="317" t="str">
        <f>GLOBAL_DER_FEV_2023!S518</f>
        <v/>
      </c>
      <c r="W518" s="582">
        <v>0</v>
      </c>
      <c r="X518" s="580"/>
      <c r="Y518" s="583">
        <f>IF(GLOBAL_DER_FEV_2023!W518=0,0,IF(GLOBAL_DER_FEV_2023!W518&gt;0,"c","b"))</f>
        <v>0</v>
      </c>
    </row>
    <row r="519" spans="1:25" ht="13.5" hidden="1" thickBot="1" x14ac:dyDescent="0.25">
      <c r="A519" s="317">
        <v>505415</v>
      </c>
      <c r="B519" s="895">
        <v>505415</v>
      </c>
      <c r="C519" s="896" t="s">
        <v>184</v>
      </c>
      <c r="D519" s="906" t="s">
        <v>1934</v>
      </c>
      <c r="E519" s="907">
        <f>GLOBAL_DER_FEV_2023!E519</f>
        <v>0</v>
      </c>
      <c r="F519" s="908">
        <f>GLOBAL_DER_FEV_2023!F519</f>
        <v>0</v>
      </c>
      <c r="G519" s="949">
        <f>GLOBAL_DER_FEV_2023!G519</f>
        <v>0</v>
      </c>
      <c r="H519" s="901">
        <f>GLOBAL_DER_FEV_2023!H519</f>
        <v>8.49</v>
      </c>
      <c r="I519" s="901">
        <f>GLOBAL_DER_FEV_2023!I519</f>
        <v>8.49</v>
      </c>
      <c r="J519" s="902">
        <f>GLOBAL_DER_FEV_2023!J519</f>
        <v>10.19</v>
      </c>
      <c r="K519" s="903" t="s">
        <v>12</v>
      </c>
      <c r="L519" s="1139"/>
      <c r="M519" s="1140">
        <f t="shared" si="32"/>
        <v>0</v>
      </c>
      <c r="N519" s="893">
        <f t="shared" si="36"/>
        <v>0</v>
      </c>
      <c r="O519" s="905"/>
      <c r="Q519" s="317" t="str">
        <f t="shared" si="33"/>
        <v/>
      </c>
      <c r="R519" s="317" t="str">
        <f t="shared" si="34"/>
        <v/>
      </c>
      <c r="S519" s="317" t="str">
        <f t="shared" si="35"/>
        <v/>
      </c>
      <c r="T519" s="317" t="str">
        <f>GLOBAL_DER_FEV_2023!S519</f>
        <v/>
      </c>
      <c r="W519" s="582">
        <v>0</v>
      </c>
      <c r="X519" s="580"/>
      <c r="Y519" s="583">
        <f>IF(GLOBAL_DER_FEV_2023!W519=0,0,IF(GLOBAL_DER_FEV_2023!W519&gt;0,"c","b"))</f>
        <v>0</v>
      </c>
    </row>
    <row r="520" spans="1:25" ht="13.5" hidden="1" thickBot="1" x14ac:dyDescent="0.25">
      <c r="A520" s="317">
        <v>505416</v>
      </c>
      <c r="B520" s="895">
        <v>505416</v>
      </c>
      <c r="C520" s="896" t="s">
        <v>184</v>
      </c>
      <c r="D520" s="906" t="s">
        <v>1935</v>
      </c>
      <c r="E520" s="907">
        <f>GLOBAL_DER_FEV_2023!E520</f>
        <v>0</v>
      </c>
      <c r="F520" s="908">
        <f>GLOBAL_DER_FEV_2023!F520</f>
        <v>0</v>
      </c>
      <c r="G520" s="949">
        <f>GLOBAL_DER_FEV_2023!G520</f>
        <v>0</v>
      </c>
      <c r="H520" s="901">
        <f>GLOBAL_DER_FEV_2023!H520</f>
        <v>10</v>
      </c>
      <c r="I520" s="901">
        <f>GLOBAL_DER_FEV_2023!I520</f>
        <v>10</v>
      </c>
      <c r="J520" s="902">
        <f>GLOBAL_DER_FEV_2023!J520</f>
        <v>12.01</v>
      </c>
      <c r="K520" s="903" t="s">
        <v>12</v>
      </c>
      <c r="L520" s="1139"/>
      <c r="M520" s="1140">
        <f t="shared" si="32"/>
        <v>0</v>
      </c>
      <c r="N520" s="893">
        <f t="shared" si="36"/>
        <v>0</v>
      </c>
      <c r="O520" s="905"/>
      <c r="Q520" s="317" t="str">
        <f t="shared" si="33"/>
        <v/>
      </c>
      <c r="R520" s="317" t="str">
        <f t="shared" si="34"/>
        <v/>
      </c>
      <c r="S520" s="317" t="str">
        <f t="shared" si="35"/>
        <v/>
      </c>
      <c r="T520" s="317" t="str">
        <f>GLOBAL_DER_FEV_2023!S520</f>
        <v/>
      </c>
      <c r="W520" s="582">
        <v>0</v>
      </c>
      <c r="X520" s="580"/>
      <c r="Y520" s="583">
        <f>IF(GLOBAL_DER_FEV_2023!W520=0,0,IF(GLOBAL_DER_FEV_2023!W520&gt;0,"c","b"))</f>
        <v>0</v>
      </c>
    </row>
    <row r="521" spans="1:25" ht="13.5" hidden="1" thickBot="1" x14ac:dyDescent="0.25">
      <c r="A521" s="317">
        <v>5111000</v>
      </c>
      <c r="B521" s="895">
        <v>5111000</v>
      </c>
      <c r="C521" s="896" t="s">
        <v>184</v>
      </c>
      <c r="D521" s="906" t="s">
        <v>1936</v>
      </c>
      <c r="E521" s="907">
        <f>GLOBAL_DER_FEV_2023!E521</f>
        <v>0</v>
      </c>
      <c r="F521" s="908">
        <f>GLOBAL_DER_FEV_2023!F521</f>
        <v>0</v>
      </c>
      <c r="G521" s="949">
        <f>GLOBAL_DER_FEV_2023!G521</f>
        <v>0</v>
      </c>
      <c r="H521" s="901">
        <f>GLOBAL_DER_FEV_2023!H521</f>
        <v>4.25</v>
      </c>
      <c r="I521" s="901">
        <f>GLOBAL_DER_FEV_2023!I521</f>
        <v>4.25</v>
      </c>
      <c r="J521" s="902">
        <f>GLOBAL_DER_FEV_2023!J521</f>
        <v>5.0999999999999996</v>
      </c>
      <c r="K521" s="903" t="s">
        <v>12</v>
      </c>
      <c r="L521" s="1139"/>
      <c r="M521" s="1140">
        <f t="shared" si="32"/>
        <v>0</v>
      </c>
      <c r="N521" s="893">
        <f t="shared" si="36"/>
        <v>0</v>
      </c>
      <c r="O521" s="905"/>
      <c r="Q521" s="317" t="str">
        <f t="shared" si="33"/>
        <v/>
      </c>
      <c r="R521" s="317" t="str">
        <f t="shared" si="34"/>
        <v/>
      </c>
      <c r="S521" s="317" t="str">
        <f t="shared" si="35"/>
        <v/>
      </c>
      <c r="T521" s="317" t="str">
        <f>GLOBAL_DER_FEV_2023!S521</f>
        <v/>
      </c>
      <c r="W521" s="582">
        <v>0</v>
      </c>
      <c r="X521" s="580"/>
      <c r="Y521" s="583">
        <f>IF(GLOBAL_DER_FEV_2023!W521=0,0,IF(GLOBAL_DER_FEV_2023!W521&gt;0,"c","b"))</f>
        <v>0</v>
      </c>
    </row>
    <row r="522" spans="1:25" ht="13.5" hidden="1" thickBot="1" x14ac:dyDescent="0.25">
      <c r="A522" s="317">
        <v>504840</v>
      </c>
      <c r="B522" s="895">
        <v>504840</v>
      </c>
      <c r="C522" s="896" t="s">
        <v>184</v>
      </c>
      <c r="D522" s="906" t="s">
        <v>1937</v>
      </c>
      <c r="E522" s="907">
        <f>GLOBAL_DER_FEV_2023!E522</f>
        <v>0</v>
      </c>
      <c r="F522" s="908">
        <f>GLOBAL_DER_FEV_2023!F522</f>
        <v>0</v>
      </c>
      <c r="G522" s="949">
        <f>GLOBAL_DER_FEV_2023!G522</f>
        <v>0</v>
      </c>
      <c r="H522" s="901">
        <f>GLOBAL_DER_FEV_2023!H522</f>
        <v>41.95</v>
      </c>
      <c r="I522" s="901">
        <f>GLOBAL_DER_FEV_2023!I522</f>
        <v>41.95</v>
      </c>
      <c r="J522" s="902">
        <f>GLOBAL_DER_FEV_2023!J522</f>
        <v>50.37</v>
      </c>
      <c r="K522" s="903" t="s">
        <v>16</v>
      </c>
      <c r="L522" s="1139"/>
      <c r="M522" s="1140">
        <f t="shared" si="32"/>
        <v>0</v>
      </c>
      <c r="N522" s="893">
        <f t="shared" si="36"/>
        <v>0</v>
      </c>
      <c r="O522" s="905"/>
      <c r="Q522" s="317" t="str">
        <f t="shared" si="33"/>
        <v/>
      </c>
      <c r="R522" s="317" t="str">
        <f t="shared" si="34"/>
        <v/>
      </c>
      <c r="S522" s="317" t="str">
        <f t="shared" si="35"/>
        <v/>
      </c>
      <c r="T522" s="317" t="str">
        <f>GLOBAL_DER_FEV_2023!S522</f>
        <v/>
      </c>
      <c r="W522" s="582">
        <v>0</v>
      </c>
      <c r="X522" s="580"/>
      <c r="Y522" s="583">
        <f>IF(GLOBAL_DER_FEV_2023!W522=0,0,IF(GLOBAL_DER_FEV_2023!W522&gt;0,"c","b"))</f>
        <v>0</v>
      </c>
    </row>
    <row r="523" spans="1:25" ht="13.5" hidden="1" thickBot="1" x14ac:dyDescent="0.25">
      <c r="A523" s="317">
        <v>503110</v>
      </c>
      <c r="B523" s="895">
        <v>503110</v>
      </c>
      <c r="C523" s="896" t="s">
        <v>184</v>
      </c>
      <c r="D523" s="906" t="s">
        <v>1938</v>
      </c>
      <c r="E523" s="907">
        <f>GLOBAL_DER_FEV_2023!E523</f>
        <v>0</v>
      </c>
      <c r="F523" s="908">
        <f>GLOBAL_DER_FEV_2023!F523</f>
        <v>0</v>
      </c>
      <c r="G523" s="949">
        <f>GLOBAL_DER_FEV_2023!G523</f>
        <v>0</v>
      </c>
      <c r="H523" s="901">
        <f>GLOBAL_DER_FEV_2023!H523</f>
        <v>3.61</v>
      </c>
      <c r="I523" s="901">
        <f>GLOBAL_DER_FEV_2023!I523</f>
        <v>3.61</v>
      </c>
      <c r="J523" s="902">
        <f>GLOBAL_DER_FEV_2023!J523</f>
        <v>4.33</v>
      </c>
      <c r="K523" s="903" t="s">
        <v>12</v>
      </c>
      <c r="L523" s="1139"/>
      <c r="M523" s="1140">
        <f t="shared" si="32"/>
        <v>0</v>
      </c>
      <c r="N523" s="893">
        <f t="shared" si="36"/>
        <v>0</v>
      </c>
      <c r="O523" s="905"/>
      <c r="Q523" s="317" t="str">
        <f t="shared" si="33"/>
        <v/>
      </c>
      <c r="R523" s="317" t="str">
        <f t="shared" si="34"/>
        <v/>
      </c>
      <c r="S523" s="317" t="str">
        <f t="shared" si="35"/>
        <v/>
      </c>
      <c r="T523" s="317" t="str">
        <f>GLOBAL_DER_FEV_2023!S523</f>
        <v/>
      </c>
      <c r="W523" s="582">
        <v>0</v>
      </c>
      <c r="X523" s="580"/>
      <c r="Y523" s="583">
        <f>IF(GLOBAL_DER_FEV_2023!W523=0,0,IF(GLOBAL_DER_FEV_2023!W523&gt;0,"c","b"))</f>
        <v>0</v>
      </c>
    </row>
    <row r="524" spans="1:25" ht="13.5" hidden="1" thickBot="1" x14ac:dyDescent="0.25">
      <c r="A524" s="317">
        <v>507215</v>
      </c>
      <c r="B524" s="895">
        <v>507215</v>
      </c>
      <c r="C524" s="896" t="s">
        <v>184</v>
      </c>
      <c r="D524" s="906" t="s">
        <v>1939</v>
      </c>
      <c r="E524" s="907">
        <f>GLOBAL_DER_FEV_2023!E524</f>
        <v>0</v>
      </c>
      <c r="F524" s="908">
        <f>GLOBAL_DER_FEV_2023!F524</f>
        <v>0</v>
      </c>
      <c r="G524" s="949">
        <f>GLOBAL_DER_FEV_2023!G524</f>
        <v>0</v>
      </c>
      <c r="H524" s="901">
        <f>GLOBAL_DER_FEV_2023!H524</f>
        <v>7.84</v>
      </c>
      <c r="I524" s="901">
        <f>GLOBAL_DER_FEV_2023!I524</f>
        <v>7.84</v>
      </c>
      <c r="J524" s="902">
        <f>GLOBAL_DER_FEV_2023!J524</f>
        <v>9.41</v>
      </c>
      <c r="K524" s="903" t="s">
        <v>16</v>
      </c>
      <c r="L524" s="1139"/>
      <c r="M524" s="1140">
        <f t="shared" si="32"/>
        <v>0</v>
      </c>
      <c r="N524" s="893">
        <f t="shared" si="36"/>
        <v>0</v>
      </c>
      <c r="O524" s="905"/>
      <c r="Q524" s="317" t="str">
        <f t="shared" si="33"/>
        <v/>
      </c>
      <c r="R524" s="317" t="str">
        <f t="shared" si="34"/>
        <v/>
      </c>
      <c r="S524" s="317" t="str">
        <f t="shared" si="35"/>
        <v/>
      </c>
      <c r="T524" s="317" t="str">
        <f>GLOBAL_DER_FEV_2023!S524</f>
        <v/>
      </c>
      <c r="W524" s="582">
        <v>0</v>
      </c>
      <c r="X524" s="580"/>
      <c r="Y524" s="583">
        <f>IF(GLOBAL_DER_FEV_2023!W524=0,0,IF(GLOBAL_DER_FEV_2023!W524&gt;0,"c","b"))</f>
        <v>0</v>
      </c>
    </row>
    <row r="525" spans="1:25" ht="13.5" hidden="1" thickBot="1" x14ac:dyDescent="0.25">
      <c r="A525" s="317">
        <v>507210</v>
      </c>
      <c r="B525" s="895">
        <v>507210</v>
      </c>
      <c r="C525" s="896" t="s">
        <v>184</v>
      </c>
      <c r="D525" s="906" t="s">
        <v>1940</v>
      </c>
      <c r="E525" s="907">
        <f>GLOBAL_DER_FEV_2023!E525</f>
        <v>0</v>
      </c>
      <c r="F525" s="908">
        <f>GLOBAL_DER_FEV_2023!F525</f>
        <v>0</v>
      </c>
      <c r="G525" s="949">
        <f>GLOBAL_DER_FEV_2023!G525</f>
        <v>0</v>
      </c>
      <c r="H525" s="901">
        <f>GLOBAL_DER_FEV_2023!H525</f>
        <v>8.4</v>
      </c>
      <c r="I525" s="901">
        <f>GLOBAL_DER_FEV_2023!I525</f>
        <v>8.4</v>
      </c>
      <c r="J525" s="902">
        <f>GLOBAL_DER_FEV_2023!J525</f>
        <v>10.09</v>
      </c>
      <c r="K525" s="903" t="s">
        <v>16</v>
      </c>
      <c r="L525" s="1139"/>
      <c r="M525" s="1140">
        <f t="shared" ref="M525:M588" si="37">IF(L525=0,0,ROUND(J525,2))</f>
        <v>0</v>
      </c>
      <c r="N525" s="893">
        <f t="shared" si="36"/>
        <v>0</v>
      </c>
      <c r="O525" s="905"/>
      <c r="Q525" s="317" t="str">
        <f t="shared" si="33"/>
        <v/>
      </c>
      <c r="R525" s="317" t="str">
        <f t="shared" si="34"/>
        <v/>
      </c>
      <c r="S525" s="317" t="str">
        <f t="shared" si="35"/>
        <v/>
      </c>
      <c r="T525" s="317" t="str">
        <f>GLOBAL_DER_FEV_2023!S525</f>
        <v/>
      </c>
      <c r="W525" s="582">
        <v>0</v>
      </c>
      <c r="X525" s="580"/>
      <c r="Y525" s="583">
        <f>IF(GLOBAL_DER_FEV_2023!W525=0,0,IF(GLOBAL_DER_FEV_2023!W525&gt;0,"c","b"))</f>
        <v>0</v>
      </c>
    </row>
    <row r="526" spans="1:25" ht="13.5" hidden="1" thickBot="1" x14ac:dyDescent="0.25">
      <c r="A526" s="317">
        <v>507220</v>
      </c>
      <c r="B526" s="895">
        <v>507220</v>
      </c>
      <c r="C526" s="896" t="s">
        <v>184</v>
      </c>
      <c r="D526" s="906" t="s">
        <v>1941</v>
      </c>
      <c r="E526" s="907">
        <f>GLOBAL_DER_FEV_2023!E526</f>
        <v>0</v>
      </c>
      <c r="F526" s="908">
        <f>GLOBAL_DER_FEV_2023!F526</f>
        <v>0</v>
      </c>
      <c r="G526" s="949">
        <f>GLOBAL_DER_FEV_2023!G526</f>
        <v>0</v>
      </c>
      <c r="H526" s="901">
        <f>GLOBAL_DER_FEV_2023!H526</f>
        <v>7.48</v>
      </c>
      <c r="I526" s="901">
        <f>GLOBAL_DER_FEV_2023!I526</f>
        <v>7.48</v>
      </c>
      <c r="J526" s="902">
        <f>GLOBAL_DER_FEV_2023!J526</f>
        <v>8.98</v>
      </c>
      <c r="K526" s="903" t="s">
        <v>16</v>
      </c>
      <c r="L526" s="1139"/>
      <c r="M526" s="1140">
        <f t="shared" si="37"/>
        <v>0</v>
      </c>
      <c r="N526" s="893">
        <f t="shared" si="36"/>
        <v>0</v>
      </c>
      <c r="O526" s="905"/>
      <c r="Q526" s="317" t="str">
        <f t="shared" si="33"/>
        <v/>
      </c>
      <c r="R526" s="317" t="str">
        <f t="shared" si="34"/>
        <v/>
      </c>
      <c r="S526" s="317" t="str">
        <f t="shared" si="35"/>
        <v/>
      </c>
      <c r="T526" s="317" t="str">
        <f>GLOBAL_DER_FEV_2023!S526</f>
        <v/>
      </c>
      <c r="W526" s="582">
        <v>0</v>
      </c>
      <c r="X526" s="580"/>
      <c r="Y526" s="583">
        <f>IF(GLOBAL_DER_FEV_2023!W526=0,0,IF(GLOBAL_DER_FEV_2023!W526&gt;0,"c","b"))</f>
        <v>0</v>
      </c>
    </row>
    <row r="527" spans="1:25" ht="13.5" hidden="1" thickBot="1" x14ac:dyDescent="0.25">
      <c r="A527" s="317">
        <v>507225</v>
      </c>
      <c r="B527" s="895">
        <v>507225</v>
      </c>
      <c r="C527" s="896" t="s">
        <v>184</v>
      </c>
      <c r="D527" s="906" t="s">
        <v>1942</v>
      </c>
      <c r="E527" s="907">
        <f>GLOBAL_DER_FEV_2023!E527</f>
        <v>0</v>
      </c>
      <c r="F527" s="908">
        <f>GLOBAL_DER_FEV_2023!F527</f>
        <v>0</v>
      </c>
      <c r="G527" s="949">
        <f>GLOBAL_DER_FEV_2023!G527</f>
        <v>0</v>
      </c>
      <c r="H527" s="901">
        <f>GLOBAL_DER_FEV_2023!H527</f>
        <v>7.48</v>
      </c>
      <c r="I527" s="901">
        <f>GLOBAL_DER_FEV_2023!I527</f>
        <v>7.48</v>
      </c>
      <c r="J527" s="902">
        <f>GLOBAL_DER_FEV_2023!J527</f>
        <v>8.98</v>
      </c>
      <c r="K527" s="903" t="s">
        <v>16</v>
      </c>
      <c r="L527" s="1139"/>
      <c r="M527" s="1140">
        <f t="shared" si="37"/>
        <v>0</v>
      </c>
      <c r="N527" s="893">
        <f t="shared" si="36"/>
        <v>0</v>
      </c>
      <c r="O527" s="905"/>
      <c r="Q527" s="317" t="str">
        <f t="shared" ref="Q527:Q590" si="38">IF(P527="X","x",IF(P527="xx","x",IF(P527="xy","x",IF(P527="y","x",IF(OR(N527&gt;0,N527&gt;0),"x","")))))</f>
        <v/>
      </c>
      <c r="R527" s="317" t="str">
        <f t="shared" si="34"/>
        <v/>
      </c>
      <c r="S527" s="317" t="str">
        <f t="shared" si="35"/>
        <v/>
      </c>
      <c r="T527" s="317" t="str">
        <f>GLOBAL_DER_FEV_2023!S527</f>
        <v/>
      </c>
      <c r="W527" s="582">
        <v>0</v>
      </c>
      <c r="X527" s="580"/>
      <c r="Y527" s="583">
        <f>IF(GLOBAL_DER_FEV_2023!W527=0,0,IF(GLOBAL_DER_FEV_2023!W527&gt;0,"c","b"))</f>
        <v>0</v>
      </c>
    </row>
    <row r="528" spans="1:25" ht="13.5" hidden="1" thickBot="1" x14ac:dyDescent="0.25">
      <c r="A528" s="317">
        <v>507232</v>
      </c>
      <c r="B528" s="895">
        <v>507232</v>
      </c>
      <c r="C528" s="896" t="s">
        <v>184</v>
      </c>
      <c r="D528" s="906" t="s">
        <v>1943</v>
      </c>
      <c r="E528" s="907">
        <f>GLOBAL_DER_FEV_2023!E528</f>
        <v>0</v>
      </c>
      <c r="F528" s="908">
        <f>GLOBAL_DER_FEV_2023!F528</f>
        <v>0</v>
      </c>
      <c r="G528" s="949">
        <f>GLOBAL_DER_FEV_2023!G528</f>
        <v>0</v>
      </c>
      <c r="H528" s="901">
        <f>GLOBAL_DER_FEV_2023!H528</f>
        <v>8.3000000000000007</v>
      </c>
      <c r="I528" s="901">
        <f>GLOBAL_DER_FEV_2023!I528</f>
        <v>8.3000000000000007</v>
      </c>
      <c r="J528" s="902">
        <f>GLOBAL_DER_FEV_2023!J528</f>
        <v>9.9700000000000006</v>
      </c>
      <c r="K528" s="903" t="s">
        <v>16</v>
      </c>
      <c r="L528" s="1139"/>
      <c r="M528" s="1140">
        <f t="shared" si="37"/>
        <v>0</v>
      </c>
      <c r="N528" s="893">
        <f t="shared" si="36"/>
        <v>0</v>
      </c>
      <c r="O528" s="905"/>
      <c r="Q528" s="317" t="str">
        <f t="shared" si="38"/>
        <v/>
      </c>
      <c r="R528" s="317" t="str">
        <f t="shared" si="34"/>
        <v/>
      </c>
      <c r="S528" s="317" t="str">
        <f t="shared" si="35"/>
        <v/>
      </c>
      <c r="T528" s="317" t="str">
        <f>GLOBAL_DER_FEV_2023!S528</f>
        <v/>
      </c>
      <c r="W528" s="582">
        <v>0</v>
      </c>
      <c r="X528" s="580"/>
      <c r="Y528" s="583">
        <f>IF(GLOBAL_DER_FEV_2023!W528=0,0,IF(GLOBAL_DER_FEV_2023!W528&gt;0,"c","b"))</f>
        <v>0</v>
      </c>
    </row>
    <row r="529" spans="1:25" ht="13.5" hidden="1" thickBot="1" x14ac:dyDescent="0.25">
      <c r="A529" s="317">
        <v>504920</v>
      </c>
      <c r="B529" s="895">
        <v>504920</v>
      </c>
      <c r="C529" s="896" t="s">
        <v>184</v>
      </c>
      <c r="D529" s="906" t="s">
        <v>1944</v>
      </c>
      <c r="E529" s="907">
        <f>GLOBAL_DER_FEV_2023!E529</f>
        <v>20</v>
      </c>
      <c r="F529" s="908">
        <f>GLOBAL_DER_FEV_2023!F529</f>
        <v>1.1000000000000001E-3</v>
      </c>
      <c r="G529" s="909">
        <f>GLOBAL_DER_FEV_2023!G529</f>
        <v>2.5762000000000004E-2</v>
      </c>
      <c r="H529" s="901">
        <f>GLOBAL_DER_FEV_2023!H529</f>
        <v>11.4</v>
      </c>
      <c r="I529" s="901">
        <f>GLOBAL_DER_FEV_2023!I529</f>
        <v>11.425762000000001</v>
      </c>
      <c r="J529" s="902">
        <f>GLOBAL_DER_FEV_2023!J529</f>
        <v>13.72</v>
      </c>
      <c r="K529" s="903" t="s">
        <v>16</v>
      </c>
      <c r="L529" s="1139"/>
      <c r="M529" s="1140">
        <f t="shared" si="37"/>
        <v>0</v>
      </c>
      <c r="N529" s="893">
        <f t="shared" si="36"/>
        <v>0</v>
      </c>
      <c r="O529" s="905"/>
      <c r="Q529" s="317" t="str">
        <f t="shared" si="38"/>
        <v/>
      </c>
      <c r="R529" s="317" t="str">
        <f t="shared" ref="R529:R592" si="39">IF(P529="X","x",IF(P529="y","x",IF(P529="xx","x",IF(N529&gt;0,"x",""))))</f>
        <v/>
      </c>
      <c r="S529" s="317" t="str">
        <f t="shared" ref="S529:S592" si="40">IF(P529="X","x",IF(N529&gt;0,"x",""))</f>
        <v/>
      </c>
      <c r="T529" s="317" t="str">
        <f>GLOBAL_DER_FEV_2023!S529</f>
        <v/>
      </c>
      <c r="W529" s="582">
        <v>0</v>
      </c>
      <c r="X529" s="580"/>
      <c r="Y529" s="583">
        <f>IF(GLOBAL_DER_FEV_2023!W529=0,0,IF(GLOBAL_DER_FEV_2023!W529&gt;0,"c","b"))</f>
        <v>0</v>
      </c>
    </row>
    <row r="530" spans="1:25" ht="13.5" hidden="1" thickBot="1" x14ac:dyDescent="0.25">
      <c r="A530" s="317">
        <v>502660</v>
      </c>
      <c r="B530" s="895">
        <v>502660</v>
      </c>
      <c r="C530" s="896" t="s">
        <v>184</v>
      </c>
      <c r="D530" s="906" t="s">
        <v>1945</v>
      </c>
      <c r="E530" s="907">
        <f>GLOBAL_DER_FEV_2023!E530</f>
        <v>0</v>
      </c>
      <c r="F530" s="908">
        <f>GLOBAL_DER_FEV_2023!F530</f>
        <v>0</v>
      </c>
      <c r="G530" s="949">
        <f>GLOBAL_DER_FEV_2023!G530</f>
        <v>0</v>
      </c>
      <c r="H530" s="901">
        <f>GLOBAL_DER_FEV_2023!H530</f>
        <v>15.77</v>
      </c>
      <c r="I530" s="901">
        <f>GLOBAL_DER_FEV_2023!I530</f>
        <v>15.77</v>
      </c>
      <c r="J530" s="902">
        <f>GLOBAL_DER_FEV_2023!J530</f>
        <v>18.940000000000001</v>
      </c>
      <c r="K530" s="903" t="s">
        <v>13</v>
      </c>
      <c r="L530" s="1139"/>
      <c r="M530" s="1140">
        <f t="shared" si="37"/>
        <v>0</v>
      </c>
      <c r="N530" s="893">
        <f t="shared" si="36"/>
        <v>0</v>
      </c>
      <c r="O530" s="905"/>
      <c r="Q530" s="317" t="str">
        <f t="shared" si="38"/>
        <v/>
      </c>
      <c r="R530" s="317" t="str">
        <f t="shared" si="39"/>
        <v/>
      </c>
      <c r="S530" s="317" t="str">
        <f t="shared" si="40"/>
        <v/>
      </c>
      <c r="T530" s="317" t="str">
        <f>GLOBAL_DER_FEV_2023!S530</f>
        <v/>
      </c>
      <c r="W530" s="582">
        <v>0</v>
      </c>
      <c r="X530" s="580"/>
      <c r="Y530" s="583">
        <f>IF(GLOBAL_DER_FEV_2023!W530=0,0,IF(GLOBAL_DER_FEV_2023!W530&gt;0,"c","b"))</f>
        <v>0</v>
      </c>
    </row>
    <row r="531" spans="1:25" ht="13.5" hidden="1" thickBot="1" x14ac:dyDescent="0.25">
      <c r="A531" s="317">
        <v>502680</v>
      </c>
      <c r="B531" s="895">
        <v>502680</v>
      </c>
      <c r="C531" s="896" t="s">
        <v>184</v>
      </c>
      <c r="D531" s="906" t="s">
        <v>1946</v>
      </c>
      <c r="E531" s="907">
        <f>GLOBAL_DER_FEV_2023!E531</f>
        <v>0</v>
      </c>
      <c r="F531" s="908">
        <f>GLOBAL_DER_FEV_2023!F531</f>
        <v>0</v>
      </c>
      <c r="G531" s="949">
        <f>GLOBAL_DER_FEV_2023!G531</f>
        <v>0</v>
      </c>
      <c r="H531" s="901">
        <f>GLOBAL_DER_FEV_2023!H531</f>
        <v>14.93</v>
      </c>
      <c r="I531" s="901">
        <f>GLOBAL_DER_FEV_2023!I531</f>
        <v>14.93</v>
      </c>
      <c r="J531" s="902">
        <f>GLOBAL_DER_FEV_2023!J531</f>
        <v>17.93</v>
      </c>
      <c r="K531" s="903" t="s">
        <v>13</v>
      </c>
      <c r="L531" s="1139"/>
      <c r="M531" s="1140">
        <f t="shared" si="37"/>
        <v>0</v>
      </c>
      <c r="N531" s="893">
        <f t="shared" si="36"/>
        <v>0</v>
      </c>
      <c r="O531" s="905"/>
      <c r="Q531" s="317" t="str">
        <f t="shared" si="38"/>
        <v/>
      </c>
      <c r="R531" s="317" t="str">
        <f t="shared" si="39"/>
        <v/>
      </c>
      <c r="S531" s="317" t="str">
        <f t="shared" si="40"/>
        <v/>
      </c>
      <c r="T531" s="317" t="str">
        <f>GLOBAL_DER_FEV_2023!S531</f>
        <v/>
      </c>
      <c r="W531" s="582">
        <v>0</v>
      </c>
      <c r="X531" s="580"/>
      <c r="Y531" s="583">
        <f>IF(GLOBAL_DER_FEV_2023!W531=0,0,IF(GLOBAL_DER_FEV_2023!W531&gt;0,"c","b"))</f>
        <v>0</v>
      </c>
    </row>
    <row r="532" spans="1:25" ht="13.5" hidden="1" thickBot="1" x14ac:dyDescent="0.25">
      <c r="A532" s="317">
        <v>502670</v>
      </c>
      <c r="B532" s="895">
        <v>502670</v>
      </c>
      <c r="C532" s="896" t="s">
        <v>184</v>
      </c>
      <c r="D532" s="906" t="s">
        <v>1947</v>
      </c>
      <c r="E532" s="907">
        <f>GLOBAL_DER_FEV_2023!E532</f>
        <v>0</v>
      </c>
      <c r="F532" s="908">
        <f>GLOBAL_DER_FEV_2023!F532</f>
        <v>0</v>
      </c>
      <c r="G532" s="912">
        <f>GLOBAL_DER_FEV_2023!G532</f>
        <v>0</v>
      </c>
      <c r="H532" s="901">
        <f>GLOBAL_DER_FEV_2023!H532</f>
        <v>19.57</v>
      </c>
      <c r="I532" s="901">
        <f>GLOBAL_DER_FEV_2023!I532</f>
        <v>19.57</v>
      </c>
      <c r="J532" s="902">
        <f>GLOBAL_DER_FEV_2023!J532</f>
        <v>23.5</v>
      </c>
      <c r="K532" s="903" t="s">
        <v>13</v>
      </c>
      <c r="L532" s="1139"/>
      <c r="M532" s="1140">
        <f t="shared" si="37"/>
        <v>0</v>
      </c>
      <c r="N532" s="893">
        <f t="shared" si="36"/>
        <v>0</v>
      </c>
      <c r="O532" s="905"/>
      <c r="Q532" s="317" t="str">
        <f t="shared" si="38"/>
        <v/>
      </c>
      <c r="R532" s="317" t="str">
        <f t="shared" si="39"/>
        <v/>
      </c>
      <c r="S532" s="317" t="str">
        <f t="shared" si="40"/>
        <v/>
      </c>
      <c r="T532" s="317" t="str">
        <f>GLOBAL_DER_FEV_2023!S532</f>
        <v/>
      </c>
      <c r="W532" s="582">
        <v>0</v>
      </c>
      <c r="X532" s="580"/>
      <c r="Y532" s="583">
        <f>IF(GLOBAL_DER_FEV_2023!W532=0,0,IF(GLOBAL_DER_FEV_2023!W532&gt;0,"c","b"))</f>
        <v>0</v>
      </c>
    </row>
    <row r="533" spans="1:25" ht="23.25" hidden="1" thickBot="1" x14ac:dyDescent="0.25">
      <c r="A533" s="317">
        <v>502645</v>
      </c>
      <c r="B533" s="895">
        <v>502645</v>
      </c>
      <c r="C533" s="896" t="s">
        <v>184</v>
      </c>
      <c r="D533" s="906" t="s">
        <v>1948</v>
      </c>
      <c r="E533" s="907">
        <f>GLOBAL_DER_FEV_2023!E533</f>
        <v>0</v>
      </c>
      <c r="F533" s="908">
        <f>GLOBAL_DER_FEV_2023!F533</f>
        <v>0</v>
      </c>
      <c r="G533" s="949">
        <f>GLOBAL_DER_FEV_2023!G533</f>
        <v>278.28509400000002</v>
      </c>
      <c r="H533" s="901">
        <f>GLOBAL_DER_FEV_2023!H533</f>
        <v>322.94</v>
      </c>
      <c r="I533" s="901">
        <f>GLOBAL_DER_FEV_2023!I533</f>
        <v>601.22509400000001</v>
      </c>
      <c r="J533" s="902">
        <f>GLOBAL_DER_FEV_2023!J533</f>
        <v>721.89</v>
      </c>
      <c r="K533" s="903" t="s">
        <v>10</v>
      </c>
      <c r="L533" s="1139"/>
      <c r="M533" s="1140">
        <f t="shared" si="37"/>
        <v>0</v>
      </c>
      <c r="N533" s="893">
        <f t="shared" ref="N533:N596" si="41">IF(ISBLANK(L533),0,IF(W533=0,ROUND(L533*M533,2),IF(W533="b",ROUNDDOWN(L533*M533,2),ROUNDUP(L533*M533,2))))</f>
        <v>0</v>
      </c>
      <c r="O533" s="905"/>
      <c r="Q533" s="317" t="str">
        <f t="shared" si="38"/>
        <v/>
      </c>
      <c r="R533" s="317" t="str">
        <f t="shared" si="39"/>
        <v/>
      </c>
      <c r="S533" s="317" t="str">
        <f t="shared" si="40"/>
        <v/>
      </c>
      <c r="T533" s="317" t="str">
        <f>GLOBAL_DER_FEV_2023!S533</f>
        <v/>
      </c>
      <c r="W533" s="582">
        <v>0</v>
      </c>
      <c r="X533" s="580"/>
      <c r="Y533" s="583">
        <f>IF(GLOBAL_DER_FEV_2023!W533=0,0,IF(GLOBAL_DER_FEV_2023!W533&gt;0,"c","b"))</f>
        <v>0</v>
      </c>
    </row>
    <row r="534" spans="1:25" ht="13.5" hidden="1" thickBot="1" x14ac:dyDescent="0.25">
      <c r="A534" s="317" t="s">
        <v>147</v>
      </c>
      <c r="B534" s="895" t="s">
        <v>147</v>
      </c>
      <c r="C534" s="896"/>
      <c r="D534" s="957" t="s">
        <v>190</v>
      </c>
      <c r="E534" s="907">
        <f>GLOBAL_DER_FEV_2023!E534</f>
        <v>308</v>
      </c>
      <c r="F534" s="908">
        <f>GLOBAL_DER_FEV_2023!F534</f>
        <v>0.38</v>
      </c>
      <c r="G534" s="909">
        <f>GLOBAL_DER_FEV_2023!G534</f>
        <v>94.262799999999999</v>
      </c>
      <c r="H534" s="901">
        <f>GLOBAL_DER_FEV_2023!H534</f>
        <v>0</v>
      </c>
      <c r="I534" s="901">
        <f>GLOBAL_DER_FEV_2023!I534</f>
        <v>0</v>
      </c>
      <c r="J534" s="902">
        <f>GLOBAL_DER_FEV_2023!J534</f>
        <v>0</v>
      </c>
      <c r="K534" s="958"/>
      <c r="L534" s="959"/>
      <c r="M534" s="1157">
        <f t="shared" si="37"/>
        <v>0</v>
      </c>
      <c r="N534" s="893">
        <f t="shared" si="41"/>
        <v>0</v>
      </c>
      <c r="O534" s="905"/>
      <c r="P534" s="58" t="str">
        <f>IF(N533&gt;0,"xx",IF(N533&gt;0,"xy",""))</f>
        <v/>
      </c>
      <c r="Q534" s="317" t="str">
        <f t="shared" si="38"/>
        <v/>
      </c>
      <c r="R534" s="317" t="str">
        <f t="shared" si="39"/>
        <v/>
      </c>
      <c r="S534" s="317" t="str">
        <f t="shared" si="40"/>
        <v/>
      </c>
      <c r="T534" s="317" t="str">
        <f>GLOBAL_DER_FEV_2023!S534</f>
        <v/>
      </c>
      <c r="W534" s="582">
        <v>0</v>
      </c>
      <c r="X534" s="580"/>
      <c r="Y534" s="583">
        <f>IF(GLOBAL_DER_FEV_2023!W534=0,0,IF(GLOBAL_DER_FEV_2023!W534&gt;0,"c","b"))</f>
        <v>0</v>
      </c>
    </row>
    <row r="535" spans="1:25" ht="13.5" hidden="1" thickBot="1" x14ac:dyDescent="0.25">
      <c r="A535" s="317" t="s">
        <v>147</v>
      </c>
      <c r="B535" s="895" t="s">
        <v>147</v>
      </c>
      <c r="C535" s="896"/>
      <c r="D535" s="957" t="s">
        <v>229</v>
      </c>
      <c r="E535" s="907">
        <f>GLOBAL_DER_FEV_2023!E535</f>
        <v>165</v>
      </c>
      <c r="F535" s="908">
        <f>GLOBAL_DER_FEV_2023!F535</f>
        <v>0.70050000000000001</v>
      </c>
      <c r="G535" s="949">
        <f>GLOBAL_DER_FEV_2023!G535</f>
        <v>125.55061500000002</v>
      </c>
      <c r="H535" s="901">
        <f>GLOBAL_DER_FEV_2023!H535</f>
        <v>0</v>
      </c>
      <c r="I535" s="901">
        <f>GLOBAL_DER_FEV_2023!I535</f>
        <v>0</v>
      </c>
      <c r="J535" s="902">
        <f>GLOBAL_DER_FEV_2023!J535</f>
        <v>0</v>
      </c>
      <c r="K535" s="958" t="s">
        <v>507</v>
      </c>
      <c r="L535" s="959"/>
      <c r="M535" s="1157">
        <f t="shared" si="37"/>
        <v>0</v>
      </c>
      <c r="N535" s="893">
        <f t="shared" si="41"/>
        <v>0</v>
      </c>
      <c r="O535" s="905"/>
      <c r="P535" s="58" t="str">
        <f>IF(N533&gt;0,"xx",IF(N533&gt;0,"xy",""))</f>
        <v/>
      </c>
      <c r="Q535" s="317" t="str">
        <f t="shared" si="38"/>
        <v/>
      </c>
      <c r="R535" s="317" t="str">
        <f t="shared" si="39"/>
        <v/>
      </c>
      <c r="S535" s="317" t="str">
        <f t="shared" si="40"/>
        <v/>
      </c>
      <c r="T535" s="317" t="str">
        <f>GLOBAL_DER_FEV_2023!S535</f>
        <v/>
      </c>
      <c r="W535" s="582">
        <v>0</v>
      </c>
      <c r="X535" s="580"/>
      <c r="Y535" s="583">
        <f>IF(GLOBAL_DER_FEV_2023!W535=0,0,IF(GLOBAL_DER_FEV_2023!W535&gt;0,"c","b"))</f>
        <v>0</v>
      </c>
    </row>
    <row r="536" spans="1:25" ht="13.5" hidden="1" thickBot="1" x14ac:dyDescent="0.25">
      <c r="A536" s="317" t="s">
        <v>147</v>
      </c>
      <c r="B536" s="895" t="s">
        <v>147</v>
      </c>
      <c r="C536" s="896"/>
      <c r="D536" s="957" t="s">
        <v>233</v>
      </c>
      <c r="E536" s="907">
        <f>GLOBAL_DER_FEV_2023!E536</f>
        <v>0.2</v>
      </c>
      <c r="F536" s="908">
        <f>GLOBAL_DER_FEV_2023!F536</f>
        <v>1.1160000000000001</v>
      </c>
      <c r="G536" s="949">
        <f>GLOBAL_DER_FEV_2023!G536</f>
        <v>3.2297040000000004</v>
      </c>
      <c r="H536" s="901">
        <f>GLOBAL_DER_FEV_2023!H536</f>
        <v>0</v>
      </c>
      <c r="I536" s="901">
        <f>GLOBAL_DER_FEV_2023!I536</f>
        <v>0</v>
      </c>
      <c r="J536" s="902">
        <f>GLOBAL_DER_FEV_2023!J536</f>
        <v>0</v>
      </c>
      <c r="K536" s="958" t="s">
        <v>507</v>
      </c>
      <c r="L536" s="959"/>
      <c r="M536" s="1157">
        <f t="shared" si="37"/>
        <v>0</v>
      </c>
      <c r="N536" s="893">
        <f t="shared" si="41"/>
        <v>0</v>
      </c>
      <c r="O536" s="905"/>
      <c r="P536" s="58" t="str">
        <f>IF(N533&gt;0,"xx",IF(N533&gt;0,"xy",""))</f>
        <v/>
      </c>
      <c r="Q536" s="317" t="str">
        <f t="shared" si="38"/>
        <v/>
      </c>
      <c r="R536" s="317" t="str">
        <f t="shared" si="39"/>
        <v/>
      </c>
      <c r="S536" s="317" t="str">
        <f t="shared" si="40"/>
        <v/>
      </c>
      <c r="T536" s="317" t="str">
        <f>GLOBAL_DER_FEV_2023!S536</f>
        <v/>
      </c>
      <c r="W536" s="582">
        <v>0</v>
      </c>
      <c r="X536" s="580"/>
      <c r="Y536" s="583">
        <f>IF(GLOBAL_DER_FEV_2023!W536=0,0,IF(GLOBAL_DER_FEV_2023!W536&gt;0,"c","b"))</f>
        <v>0</v>
      </c>
    </row>
    <row r="537" spans="1:25" ht="13.5" hidden="1" thickBot="1" x14ac:dyDescent="0.25">
      <c r="A537" s="317" t="s">
        <v>147</v>
      </c>
      <c r="B537" s="895" t="s">
        <v>147</v>
      </c>
      <c r="C537" s="896"/>
      <c r="D537" s="957" t="s">
        <v>244</v>
      </c>
      <c r="E537" s="907">
        <f>GLOBAL_DER_FEV_2023!E537</f>
        <v>21</v>
      </c>
      <c r="F537" s="908">
        <f>GLOBAL_DER_FEV_2023!F537</f>
        <v>2.1965000000000003</v>
      </c>
      <c r="G537" s="912">
        <f>GLOBAL_DER_FEV_2023!G537</f>
        <v>55.241975000000011</v>
      </c>
      <c r="H537" s="901">
        <f>GLOBAL_DER_FEV_2023!H537</f>
        <v>0</v>
      </c>
      <c r="I537" s="901">
        <f>GLOBAL_DER_FEV_2023!I537</f>
        <v>0</v>
      </c>
      <c r="J537" s="902">
        <f>GLOBAL_DER_FEV_2023!J537</f>
        <v>0</v>
      </c>
      <c r="K537" s="903" t="s">
        <v>507</v>
      </c>
      <c r="L537" s="1003"/>
      <c r="M537" s="1157">
        <f t="shared" si="37"/>
        <v>0</v>
      </c>
      <c r="N537" s="893">
        <f t="shared" si="41"/>
        <v>0</v>
      </c>
      <c r="O537" s="905"/>
      <c r="P537" s="58" t="str">
        <f>IF(N533&gt;0,"xx",IF(N533&gt;0,"xy",""))</f>
        <v/>
      </c>
      <c r="Q537" s="317" t="str">
        <f t="shared" si="38"/>
        <v/>
      </c>
      <c r="R537" s="317" t="str">
        <f t="shared" si="39"/>
        <v/>
      </c>
      <c r="S537" s="317" t="str">
        <f t="shared" si="40"/>
        <v/>
      </c>
      <c r="T537" s="317" t="str">
        <f>GLOBAL_DER_FEV_2023!S537</f>
        <v/>
      </c>
      <c r="W537" s="582">
        <v>0</v>
      </c>
      <c r="X537" s="580"/>
      <c r="Y537" s="583">
        <f>IF(GLOBAL_DER_FEV_2023!W537=0,0,IF(GLOBAL_DER_FEV_2023!W537&gt;0,"c","b"))</f>
        <v>0</v>
      </c>
    </row>
    <row r="538" spans="1:25" ht="13.5" hidden="1" thickBot="1" x14ac:dyDescent="0.25">
      <c r="A538" s="317">
        <v>502646</v>
      </c>
      <c r="B538" s="895">
        <v>502646</v>
      </c>
      <c r="C538" s="896" t="s">
        <v>184</v>
      </c>
      <c r="D538" s="906" t="s">
        <v>1949</v>
      </c>
      <c r="E538" s="907">
        <f>GLOBAL_DER_FEV_2023!E538</f>
        <v>0</v>
      </c>
      <c r="F538" s="908">
        <f>GLOBAL_DER_FEV_2023!F538</f>
        <v>0</v>
      </c>
      <c r="G538" s="949">
        <f>GLOBAL_DER_FEV_2023!G538</f>
        <v>278.28509400000002</v>
      </c>
      <c r="H538" s="901">
        <f>GLOBAL_DER_FEV_2023!H538</f>
        <v>378.42</v>
      </c>
      <c r="I538" s="901">
        <f>GLOBAL_DER_FEV_2023!I538</f>
        <v>656.70509400000003</v>
      </c>
      <c r="J538" s="902">
        <f>GLOBAL_DER_FEV_2023!J538</f>
        <v>788.51</v>
      </c>
      <c r="K538" s="903" t="s">
        <v>10</v>
      </c>
      <c r="L538" s="1139"/>
      <c r="M538" s="1140">
        <f t="shared" si="37"/>
        <v>0</v>
      </c>
      <c r="N538" s="893">
        <f t="shared" si="41"/>
        <v>0</v>
      </c>
      <c r="O538" s="905"/>
      <c r="Q538" s="317" t="str">
        <f t="shared" si="38"/>
        <v/>
      </c>
      <c r="R538" s="317" t="str">
        <f t="shared" si="39"/>
        <v/>
      </c>
      <c r="S538" s="317" t="str">
        <f t="shared" si="40"/>
        <v/>
      </c>
      <c r="T538" s="317" t="str">
        <f>GLOBAL_DER_FEV_2023!S538</f>
        <v/>
      </c>
      <c r="W538" s="582">
        <v>0</v>
      </c>
      <c r="X538" s="580"/>
      <c r="Y538" s="583">
        <f>IF(GLOBAL_DER_FEV_2023!W538=0,0,IF(GLOBAL_DER_FEV_2023!W538&gt;0,"c","b"))</f>
        <v>0</v>
      </c>
    </row>
    <row r="539" spans="1:25" ht="13.5" hidden="1" thickBot="1" x14ac:dyDescent="0.25">
      <c r="A539" s="317" t="s">
        <v>147</v>
      </c>
      <c r="B539" s="895" t="s">
        <v>147</v>
      </c>
      <c r="C539" s="896"/>
      <c r="D539" s="957" t="s">
        <v>190</v>
      </c>
      <c r="E539" s="907">
        <f>GLOBAL_DER_FEV_2023!E539</f>
        <v>308</v>
      </c>
      <c r="F539" s="908">
        <f>GLOBAL_DER_FEV_2023!F539</f>
        <v>0.38</v>
      </c>
      <c r="G539" s="909">
        <f>GLOBAL_DER_FEV_2023!G539</f>
        <v>94.262799999999999</v>
      </c>
      <c r="H539" s="901">
        <f>GLOBAL_DER_FEV_2023!H539</f>
        <v>0</v>
      </c>
      <c r="I539" s="901">
        <f>GLOBAL_DER_FEV_2023!I539</f>
        <v>0</v>
      </c>
      <c r="J539" s="902">
        <f>GLOBAL_DER_FEV_2023!J539</f>
        <v>0</v>
      </c>
      <c r="K539" s="958" t="s">
        <v>507</v>
      </c>
      <c r="L539" s="959"/>
      <c r="M539" s="1157">
        <f t="shared" si="37"/>
        <v>0</v>
      </c>
      <c r="N539" s="893">
        <f t="shared" si="41"/>
        <v>0</v>
      </c>
      <c r="O539" s="905"/>
      <c r="P539" s="58" t="str">
        <f>IF(N538&gt;0,"xx",IF(N538&gt;0,"xy",""))</f>
        <v/>
      </c>
      <c r="Q539" s="317" t="str">
        <f t="shared" si="38"/>
        <v/>
      </c>
      <c r="R539" s="317" t="str">
        <f t="shared" si="39"/>
        <v/>
      </c>
      <c r="S539" s="317" t="str">
        <f t="shared" si="40"/>
        <v/>
      </c>
      <c r="T539" s="317" t="str">
        <f>GLOBAL_DER_FEV_2023!S539</f>
        <v/>
      </c>
      <c r="W539" s="582">
        <v>0</v>
      </c>
      <c r="X539" s="580"/>
      <c r="Y539" s="583">
        <f>IF(GLOBAL_DER_FEV_2023!W539=0,0,IF(GLOBAL_DER_FEV_2023!W539&gt;0,"c","b"))</f>
        <v>0</v>
      </c>
    </row>
    <row r="540" spans="1:25" ht="13.5" hidden="1" thickBot="1" x14ac:dyDescent="0.25">
      <c r="A540" s="317" t="s">
        <v>147</v>
      </c>
      <c r="B540" s="895" t="s">
        <v>147</v>
      </c>
      <c r="C540" s="896"/>
      <c r="D540" s="957" t="s">
        <v>229</v>
      </c>
      <c r="E540" s="907">
        <f>GLOBAL_DER_FEV_2023!E540</f>
        <v>165</v>
      </c>
      <c r="F540" s="908">
        <f>GLOBAL_DER_FEV_2023!F540</f>
        <v>0.70050000000000001</v>
      </c>
      <c r="G540" s="949">
        <f>GLOBAL_DER_FEV_2023!G540</f>
        <v>125.55061500000002</v>
      </c>
      <c r="H540" s="901">
        <f>GLOBAL_DER_FEV_2023!H540</f>
        <v>0</v>
      </c>
      <c r="I540" s="901">
        <f>GLOBAL_DER_FEV_2023!I540</f>
        <v>0</v>
      </c>
      <c r="J540" s="902">
        <f>GLOBAL_DER_FEV_2023!J540</f>
        <v>0</v>
      </c>
      <c r="K540" s="958" t="s">
        <v>507</v>
      </c>
      <c r="L540" s="959"/>
      <c r="M540" s="1157">
        <f t="shared" si="37"/>
        <v>0</v>
      </c>
      <c r="N540" s="893">
        <f t="shared" si="41"/>
        <v>0</v>
      </c>
      <c r="O540" s="905"/>
      <c r="P540" s="58" t="str">
        <f>IF(N538&gt;0,"xx",IF(N538&gt;0,"xy",""))</f>
        <v/>
      </c>
      <c r="Q540" s="317" t="str">
        <f t="shared" si="38"/>
        <v/>
      </c>
      <c r="R540" s="317" t="str">
        <f t="shared" si="39"/>
        <v/>
      </c>
      <c r="S540" s="317" t="str">
        <f t="shared" si="40"/>
        <v/>
      </c>
      <c r="T540" s="317" t="str">
        <f>GLOBAL_DER_FEV_2023!S540</f>
        <v/>
      </c>
      <c r="W540" s="582">
        <v>0</v>
      </c>
      <c r="X540" s="580"/>
      <c r="Y540" s="583">
        <f>IF(GLOBAL_DER_FEV_2023!W540=0,0,IF(GLOBAL_DER_FEV_2023!W540&gt;0,"c","b"))</f>
        <v>0</v>
      </c>
    </row>
    <row r="541" spans="1:25" ht="13.5" hidden="1" thickBot="1" x14ac:dyDescent="0.25">
      <c r="A541" s="317" t="s">
        <v>147</v>
      </c>
      <c r="B541" s="895" t="s">
        <v>147</v>
      </c>
      <c r="C541" s="896"/>
      <c r="D541" s="957" t="s">
        <v>233</v>
      </c>
      <c r="E541" s="907">
        <f>GLOBAL_DER_FEV_2023!E541</f>
        <v>0.2</v>
      </c>
      <c r="F541" s="908">
        <f>GLOBAL_DER_FEV_2023!F541</f>
        <v>1.1160000000000001</v>
      </c>
      <c r="G541" s="949">
        <f>GLOBAL_DER_FEV_2023!G541</f>
        <v>3.2297040000000004</v>
      </c>
      <c r="H541" s="901">
        <f>GLOBAL_DER_FEV_2023!H541</f>
        <v>0</v>
      </c>
      <c r="I541" s="901">
        <f>GLOBAL_DER_FEV_2023!I541</f>
        <v>0</v>
      </c>
      <c r="J541" s="902">
        <f>GLOBAL_DER_FEV_2023!J541</f>
        <v>0</v>
      </c>
      <c r="K541" s="903" t="s">
        <v>507</v>
      </c>
      <c r="L541" s="1003"/>
      <c r="M541" s="1157">
        <f t="shared" si="37"/>
        <v>0</v>
      </c>
      <c r="N541" s="893">
        <f t="shared" si="41"/>
        <v>0</v>
      </c>
      <c r="O541" s="905"/>
      <c r="P541" s="58" t="str">
        <f>IF(N537&gt;0,"xx",IF(N537&gt;0,"xy",""))</f>
        <v/>
      </c>
      <c r="Q541" s="317" t="str">
        <f t="shared" si="38"/>
        <v/>
      </c>
      <c r="R541" s="317" t="str">
        <f t="shared" si="39"/>
        <v/>
      </c>
      <c r="S541" s="317" t="str">
        <f t="shared" si="40"/>
        <v/>
      </c>
      <c r="T541" s="317" t="str">
        <f>GLOBAL_DER_FEV_2023!S541</f>
        <v/>
      </c>
      <c r="W541" s="582">
        <v>0</v>
      </c>
      <c r="X541" s="580"/>
      <c r="Y541" s="583">
        <f>IF(GLOBAL_DER_FEV_2023!W541=0,0,IF(GLOBAL_DER_FEV_2023!W541&gt;0,"c","b"))</f>
        <v>0</v>
      </c>
    </row>
    <row r="542" spans="1:25" ht="13.5" hidden="1" thickBot="1" x14ac:dyDescent="0.25">
      <c r="A542" s="317" t="s">
        <v>147</v>
      </c>
      <c r="B542" s="1004" t="s">
        <v>147</v>
      </c>
      <c r="C542" s="984"/>
      <c r="D542" s="1012" t="s">
        <v>244</v>
      </c>
      <c r="E542" s="1005">
        <f>GLOBAL_DER_FEV_2023!E542</f>
        <v>21</v>
      </c>
      <c r="F542" s="1006">
        <f>GLOBAL_DER_FEV_2023!F542</f>
        <v>2.1965000000000003</v>
      </c>
      <c r="G542" s="1028">
        <f>GLOBAL_DER_FEV_2023!G542</f>
        <v>55.241975000000011</v>
      </c>
      <c r="H542" s="988">
        <f>GLOBAL_DER_FEV_2023!H542</f>
        <v>0</v>
      </c>
      <c r="I542" s="988">
        <f>GLOBAL_DER_FEV_2023!I542</f>
        <v>0</v>
      </c>
      <c r="J542" s="989">
        <f>GLOBAL_DER_FEV_2023!J542</f>
        <v>0</v>
      </c>
      <c r="K542" s="1029" t="s">
        <v>507</v>
      </c>
      <c r="L542" s="1030"/>
      <c r="M542" s="1159">
        <f t="shared" si="37"/>
        <v>0</v>
      </c>
      <c r="N542" s="993">
        <f t="shared" si="41"/>
        <v>0</v>
      </c>
      <c r="O542" s="905"/>
      <c r="P542" s="58" t="str">
        <f>IF(N538&gt;0,"xx",IF(N538&gt;0,"xy",""))</f>
        <v/>
      </c>
      <c r="Q542" s="317" t="str">
        <f t="shared" si="38"/>
        <v/>
      </c>
      <c r="R542" s="317" t="str">
        <f t="shared" si="39"/>
        <v/>
      </c>
      <c r="S542" s="317" t="str">
        <f t="shared" si="40"/>
        <v/>
      </c>
      <c r="T542" s="317" t="str">
        <f>GLOBAL_DER_FEV_2023!S542</f>
        <v/>
      </c>
      <c r="W542" s="582">
        <v>0</v>
      </c>
      <c r="X542" s="580"/>
      <c r="Y542" s="583">
        <f>IF(GLOBAL_DER_FEV_2023!W542=0,0,IF(GLOBAL_DER_FEV_2023!W542&gt;0,"c","b"))</f>
        <v>0</v>
      </c>
    </row>
    <row r="543" spans="1:25" ht="45.75" hidden="1" thickBot="1" x14ac:dyDescent="0.25">
      <c r="A543" s="317">
        <v>97104</v>
      </c>
      <c r="B543" s="883">
        <v>97104</v>
      </c>
      <c r="C543" s="884" t="s">
        <v>596</v>
      </c>
      <c r="D543" s="946" t="s">
        <v>1929</v>
      </c>
      <c r="E543" s="1031">
        <f>GLOBAL_DER_FEV_2023!E543</f>
        <v>21</v>
      </c>
      <c r="F543" s="947">
        <f>GLOBAL_DER_FEV_2023!F543</f>
        <v>0.36</v>
      </c>
      <c r="G543" s="949">
        <f>GLOBAL_DER_FEV_2023!G543</f>
        <v>9.0540000000000003</v>
      </c>
      <c r="H543" s="889">
        <f>GLOBAL_DER_FEV_2023!H543</f>
        <v>121.45</v>
      </c>
      <c r="I543" s="889">
        <f>GLOBAL_DER_FEV_2023!I543</f>
        <v>130.50399999999999</v>
      </c>
      <c r="J543" s="890">
        <f>GLOBAL_DER_FEV_2023!J543</f>
        <v>156.69999999999999</v>
      </c>
      <c r="K543" s="891" t="s">
        <v>12</v>
      </c>
      <c r="L543" s="1160"/>
      <c r="M543" s="1138">
        <f t="shared" si="37"/>
        <v>0</v>
      </c>
      <c r="N543" s="932">
        <f t="shared" si="41"/>
        <v>0</v>
      </c>
      <c r="O543" s="905"/>
      <c r="Q543" s="317" t="str">
        <f t="shared" si="38"/>
        <v/>
      </c>
      <c r="R543" s="317" t="str">
        <f t="shared" si="39"/>
        <v/>
      </c>
      <c r="S543" s="317" t="str">
        <f t="shared" si="40"/>
        <v/>
      </c>
      <c r="T543" s="317" t="str">
        <f>GLOBAL_DER_FEV_2023!S543</f>
        <v/>
      </c>
      <c r="W543" s="582">
        <v>0</v>
      </c>
      <c r="X543" s="580"/>
      <c r="Y543" s="583">
        <f>IF(GLOBAL_DER_FEV_2023!W543=0,0,IF(GLOBAL_DER_FEV_2023!W543&gt;0,"c","b"))</f>
        <v>0</v>
      </c>
    </row>
    <row r="544" spans="1:25" ht="45.75" hidden="1" thickBot="1" x14ac:dyDescent="0.25">
      <c r="A544" s="317">
        <v>97105</v>
      </c>
      <c r="B544" s="895">
        <v>97105</v>
      </c>
      <c r="C544" s="896" t="s">
        <v>596</v>
      </c>
      <c r="D544" s="906" t="s">
        <v>1923</v>
      </c>
      <c r="E544" s="907">
        <f>GLOBAL_DER_FEV_2023!E544</f>
        <v>21</v>
      </c>
      <c r="F544" s="908">
        <f>GLOBAL_DER_FEV_2023!F544</f>
        <v>0.42</v>
      </c>
      <c r="G544" s="949">
        <f>GLOBAL_DER_FEV_2023!G544</f>
        <v>10.563000000000001</v>
      </c>
      <c r="H544" s="901">
        <f>GLOBAL_DER_FEV_2023!H544</f>
        <v>136.68</v>
      </c>
      <c r="I544" s="901">
        <f>GLOBAL_DER_FEV_2023!I544</f>
        <v>147.24299999999999</v>
      </c>
      <c r="J544" s="902">
        <f>GLOBAL_DER_FEV_2023!J544</f>
        <v>176.79</v>
      </c>
      <c r="K544" s="903" t="s">
        <v>12</v>
      </c>
      <c r="L544" s="1139"/>
      <c r="M544" s="1140">
        <f t="shared" si="37"/>
        <v>0</v>
      </c>
      <c r="N544" s="893">
        <f t="shared" si="41"/>
        <v>0</v>
      </c>
      <c r="O544" s="905"/>
      <c r="Q544" s="317" t="str">
        <f t="shared" si="38"/>
        <v/>
      </c>
      <c r="R544" s="317" t="str">
        <f t="shared" si="39"/>
        <v/>
      </c>
      <c r="S544" s="317" t="str">
        <f t="shared" si="40"/>
        <v/>
      </c>
      <c r="T544" s="317" t="str">
        <f>GLOBAL_DER_FEV_2023!S544</f>
        <v/>
      </c>
      <c r="W544" s="582">
        <v>0</v>
      </c>
      <c r="X544" s="580"/>
      <c r="Y544" s="583">
        <f>IF(GLOBAL_DER_FEV_2023!W544=0,0,IF(GLOBAL_DER_FEV_2023!W544&gt;0,"c","b"))</f>
        <v>0</v>
      </c>
    </row>
    <row r="545" spans="1:25" ht="45.75" hidden="1" thickBot="1" x14ac:dyDescent="0.25">
      <c r="A545" s="317">
        <v>97106</v>
      </c>
      <c r="B545" s="895">
        <v>97106</v>
      </c>
      <c r="C545" s="896" t="s">
        <v>596</v>
      </c>
      <c r="D545" s="906" t="s">
        <v>1924</v>
      </c>
      <c r="E545" s="907">
        <f>GLOBAL_DER_FEV_2023!E545</f>
        <v>21</v>
      </c>
      <c r="F545" s="908">
        <f>GLOBAL_DER_FEV_2023!F545</f>
        <v>0.48</v>
      </c>
      <c r="G545" s="949">
        <f>GLOBAL_DER_FEV_2023!G545</f>
        <v>12.072000000000001</v>
      </c>
      <c r="H545" s="901">
        <f>GLOBAL_DER_FEV_2023!H545</f>
        <v>150.85</v>
      </c>
      <c r="I545" s="901">
        <f>GLOBAL_DER_FEV_2023!I545</f>
        <v>162.922</v>
      </c>
      <c r="J545" s="902">
        <f>GLOBAL_DER_FEV_2023!J545</f>
        <v>195.62</v>
      </c>
      <c r="K545" s="903" t="s">
        <v>12</v>
      </c>
      <c r="L545" s="1139"/>
      <c r="M545" s="1140">
        <f t="shared" si="37"/>
        <v>0</v>
      </c>
      <c r="N545" s="893">
        <f t="shared" si="41"/>
        <v>0</v>
      </c>
      <c r="O545" s="905"/>
      <c r="Q545" s="317" t="str">
        <f t="shared" si="38"/>
        <v/>
      </c>
      <c r="R545" s="317" t="str">
        <f t="shared" si="39"/>
        <v/>
      </c>
      <c r="S545" s="317" t="str">
        <f t="shared" si="40"/>
        <v/>
      </c>
      <c r="T545" s="317" t="str">
        <f>GLOBAL_DER_FEV_2023!S545</f>
        <v/>
      </c>
      <c r="W545" s="582">
        <v>0</v>
      </c>
      <c r="X545" s="580"/>
      <c r="Y545" s="583">
        <f>IF(GLOBAL_DER_FEV_2023!W545=0,0,IF(GLOBAL_DER_FEV_2023!W545&gt;0,"c","b"))</f>
        <v>0</v>
      </c>
    </row>
    <row r="546" spans="1:25" ht="45.75" hidden="1" thickBot="1" x14ac:dyDescent="0.25">
      <c r="A546" s="317">
        <v>97107</v>
      </c>
      <c r="B546" s="895">
        <v>97107</v>
      </c>
      <c r="C546" s="896" t="s">
        <v>596</v>
      </c>
      <c r="D546" s="906" t="s">
        <v>1925</v>
      </c>
      <c r="E546" s="907">
        <f>GLOBAL_DER_FEV_2023!E546</f>
        <v>21</v>
      </c>
      <c r="F546" s="908">
        <f>GLOBAL_DER_FEV_2023!F546</f>
        <v>0.54</v>
      </c>
      <c r="G546" s="949">
        <f>GLOBAL_DER_FEV_2023!G546</f>
        <v>13.581000000000001</v>
      </c>
      <c r="H546" s="901">
        <f>GLOBAL_DER_FEV_2023!H546</f>
        <v>172.16</v>
      </c>
      <c r="I546" s="901">
        <f>GLOBAL_DER_FEV_2023!I546</f>
        <v>185.74099999999999</v>
      </c>
      <c r="J546" s="902">
        <f>GLOBAL_DER_FEV_2023!J546</f>
        <v>223.02</v>
      </c>
      <c r="K546" s="903" t="s">
        <v>12</v>
      </c>
      <c r="L546" s="1139"/>
      <c r="M546" s="1140">
        <f t="shared" si="37"/>
        <v>0</v>
      </c>
      <c r="N546" s="893">
        <f t="shared" si="41"/>
        <v>0</v>
      </c>
      <c r="O546" s="905"/>
      <c r="Q546" s="317" t="str">
        <f t="shared" si="38"/>
        <v/>
      </c>
      <c r="R546" s="317" t="str">
        <f t="shared" si="39"/>
        <v/>
      </c>
      <c r="S546" s="317" t="str">
        <f t="shared" si="40"/>
        <v/>
      </c>
      <c r="T546" s="317" t="str">
        <f>GLOBAL_DER_FEV_2023!S546</f>
        <v/>
      </c>
      <c r="W546" s="582">
        <v>0</v>
      </c>
      <c r="X546" s="580"/>
      <c r="Y546" s="583">
        <f>IF(GLOBAL_DER_FEV_2023!W546=0,0,IF(GLOBAL_DER_FEV_2023!W546&gt;0,"c","b"))</f>
        <v>0</v>
      </c>
    </row>
    <row r="547" spans="1:25" ht="45.75" hidden="1" thickBot="1" x14ac:dyDescent="0.25">
      <c r="A547" s="317">
        <v>97108</v>
      </c>
      <c r="B547" s="895">
        <v>97108</v>
      </c>
      <c r="C547" s="896" t="s">
        <v>596</v>
      </c>
      <c r="D547" s="906" t="s">
        <v>1926</v>
      </c>
      <c r="E547" s="907">
        <f>GLOBAL_DER_FEV_2023!E547</f>
        <v>21</v>
      </c>
      <c r="F547" s="908">
        <f>GLOBAL_DER_FEV_2023!F547</f>
        <v>0.6</v>
      </c>
      <c r="G547" s="949">
        <f>GLOBAL_DER_FEV_2023!G547</f>
        <v>15.09</v>
      </c>
      <c r="H547" s="901">
        <f>GLOBAL_DER_FEV_2023!H547</f>
        <v>196.46</v>
      </c>
      <c r="I547" s="901">
        <f>GLOBAL_DER_FEV_2023!I547</f>
        <v>211.55</v>
      </c>
      <c r="J547" s="902">
        <f>GLOBAL_DER_FEV_2023!J547</f>
        <v>254.01</v>
      </c>
      <c r="K547" s="903" t="s">
        <v>12</v>
      </c>
      <c r="L547" s="1139"/>
      <c r="M547" s="1140">
        <f t="shared" si="37"/>
        <v>0</v>
      </c>
      <c r="N547" s="893">
        <f t="shared" si="41"/>
        <v>0</v>
      </c>
      <c r="O547" s="905"/>
      <c r="Q547" s="317" t="str">
        <f t="shared" si="38"/>
        <v/>
      </c>
      <c r="R547" s="317" t="str">
        <f t="shared" si="39"/>
        <v/>
      </c>
      <c r="S547" s="317" t="str">
        <f t="shared" si="40"/>
        <v/>
      </c>
      <c r="T547" s="317" t="str">
        <f>GLOBAL_DER_FEV_2023!S547</f>
        <v/>
      </c>
      <c r="W547" s="582">
        <v>0</v>
      </c>
      <c r="X547" s="580"/>
      <c r="Y547" s="583">
        <f>IF(GLOBAL_DER_FEV_2023!W547=0,0,IF(GLOBAL_DER_FEV_2023!W547&gt;0,"c","b"))</f>
        <v>0</v>
      </c>
    </row>
    <row r="548" spans="1:25" ht="45.75" hidden="1" thickBot="1" x14ac:dyDescent="0.25">
      <c r="A548" s="317">
        <v>97109</v>
      </c>
      <c r="B548" s="895">
        <v>97109</v>
      </c>
      <c r="C548" s="896" t="s">
        <v>596</v>
      </c>
      <c r="D548" s="906" t="s">
        <v>1927</v>
      </c>
      <c r="E548" s="907">
        <f>GLOBAL_DER_FEV_2023!E548</f>
        <v>21</v>
      </c>
      <c r="F548" s="908">
        <f>GLOBAL_DER_FEV_2023!F548</f>
        <v>0.66</v>
      </c>
      <c r="G548" s="949">
        <f>GLOBAL_DER_FEV_2023!G548</f>
        <v>16.599000000000004</v>
      </c>
      <c r="H548" s="901">
        <f>GLOBAL_DER_FEV_2023!H548</f>
        <v>217</v>
      </c>
      <c r="I548" s="901">
        <f>GLOBAL_DER_FEV_2023!I548</f>
        <v>233.59899999999999</v>
      </c>
      <c r="J548" s="902">
        <f>GLOBAL_DER_FEV_2023!J548</f>
        <v>280.48</v>
      </c>
      <c r="K548" s="903" t="s">
        <v>12</v>
      </c>
      <c r="L548" s="1139"/>
      <c r="M548" s="1140">
        <f t="shared" si="37"/>
        <v>0</v>
      </c>
      <c r="N548" s="893">
        <f t="shared" si="41"/>
        <v>0</v>
      </c>
      <c r="O548" s="905"/>
      <c r="Q548" s="317" t="str">
        <f t="shared" si="38"/>
        <v/>
      </c>
      <c r="R548" s="317" t="str">
        <f t="shared" si="39"/>
        <v/>
      </c>
      <c r="S548" s="317" t="str">
        <f t="shared" si="40"/>
        <v/>
      </c>
      <c r="T548" s="317" t="str">
        <f>GLOBAL_DER_FEV_2023!S548</f>
        <v/>
      </c>
      <c r="W548" s="582">
        <v>0</v>
      </c>
      <c r="X548" s="580"/>
      <c r="Y548" s="583">
        <f>IF(GLOBAL_DER_FEV_2023!W548=0,0,IF(GLOBAL_DER_FEV_2023!W548&gt;0,"c","b"))</f>
        <v>0</v>
      </c>
    </row>
    <row r="549" spans="1:25" ht="23.25" hidden="1" thickBot="1" x14ac:dyDescent="0.25">
      <c r="A549" s="317">
        <v>97111</v>
      </c>
      <c r="B549" s="895">
        <v>97111</v>
      </c>
      <c r="C549" s="896" t="s">
        <v>596</v>
      </c>
      <c r="D549" s="906" t="s">
        <v>1993</v>
      </c>
      <c r="E549" s="907">
        <f>GLOBAL_DER_FEV_2023!E549</f>
        <v>21</v>
      </c>
      <c r="F549" s="908">
        <f>GLOBAL_DER_FEV_2023!F549</f>
        <v>0.3</v>
      </c>
      <c r="G549" s="949">
        <f>GLOBAL_DER_FEV_2023!G549</f>
        <v>7.5449999999999999</v>
      </c>
      <c r="H549" s="901">
        <f>GLOBAL_DER_FEV_2023!H549</f>
        <v>274.89</v>
      </c>
      <c r="I549" s="901">
        <f>GLOBAL_DER_FEV_2023!I549</f>
        <v>282.435</v>
      </c>
      <c r="J549" s="902">
        <f>GLOBAL_DER_FEV_2023!J549</f>
        <v>339.12</v>
      </c>
      <c r="K549" s="903" t="s">
        <v>12</v>
      </c>
      <c r="L549" s="1139"/>
      <c r="M549" s="1140">
        <f t="shared" si="37"/>
        <v>0</v>
      </c>
      <c r="N549" s="893">
        <f t="shared" si="41"/>
        <v>0</v>
      </c>
      <c r="O549" s="905"/>
      <c r="Q549" s="317" t="str">
        <f t="shared" si="38"/>
        <v/>
      </c>
      <c r="R549" s="317" t="str">
        <f t="shared" si="39"/>
        <v/>
      </c>
      <c r="S549" s="317" t="str">
        <f t="shared" si="40"/>
        <v/>
      </c>
      <c r="T549" s="317" t="str">
        <f>GLOBAL_DER_FEV_2023!S549</f>
        <v/>
      </c>
      <c r="W549" s="582">
        <v>0</v>
      </c>
      <c r="X549" s="580"/>
      <c r="Y549" s="583">
        <f>IF(GLOBAL_DER_FEV_2023!W549=0,0,IF(GLOBAL_DER_FEV_2023!W549&gt;0,"c","b"))</f>
        <v>0</v>
      </c>
    </row>
    <row r="550" spans="1:25" ht="23.25" hidden="1" thickBot="1" x14ac:dyDescent="0.25">
      <c r="A550" s="317">
        <v>97112</v>
      </c>
      <c r="B550" s="895">
        <v>97112</v>
      </c>
      <c r="C550" s="896" t="s">
        <v>596</v>
      </c>
      <c r="D550" s="906" t="s">
        <v>1998</v>
      </c>
      <c r="E550" s="907">
        <f>GLOBAL_DER_FEV_2023!E550</f>
        <v>21</v>
      </c>
      <c r="F550" s="908">
        <f>GLOBAL_DER_FEV_2023!F550</f>
        <v>0.36</v>
      </c>
      <c r="G550" s="949">
        <f>GLOBAL_DER_FEV_2023!G550</f>
        <v>9.0540000000000003</v>
      </c>
      <c r="H550" s="901">
        <f>GLOBAL_DER_FEV_2023!H550</f>
        <v>231.07</v>
      </c>
      <c r="I550" s="901">
        <f>GLOBAL_DER_FEV_2023!I550</f>
        <v>240.124</v>
      </c>
      <c r="J550" s="902">
        <f>GLOBAL_DER_FEV_2023!J550</f>
        <v>288.32</v>
      </c>
      <c r="K550" s="903" t="s">
        <v>12</v>
      </c>
      <c r="L550" s="1139"/>
      <c r="M550" s="1140">
        <f t="shared" si="37"/>
        <v>0</v>
      </c>
      <c r="N550" s="893">
        <f t="shared" si="41"/>
        <v>0</v>
      </c>
      <c r="O550" s="905"/>
      <c r="Q550" s="317" t="str">
        <f t="shared" si="38"/>
        <v/>
      </c>
      <c r="R550" s="317" t="str">
        <f t="shared" si="39"/>
        <v/>
      </c>
      <c r="S550" s="317" t="str">
        <f t="shared" si="40"/>
        <v/>
      </c>
      <c r="T550" s="317" t="str">
        <f>GLOBAL_DER_FEV_2023!S550</f>
        <v/>
      </c>
      <c r="W550" s="582">
        <v>0</v>
      </c>
      <c r="X550" s="580"/>
      <c r="Y550" s="583">
        <f>IF(GLOBAL_DER_FEV_2023!W550=0,0,IF(GLOBAL_DER_FEV_2023!W550&gt;0,"c","b"))</f>
        <v>0</v>
      </c>
    </row>
    <row r="551" spans="1:25" ht="23.25" hidden="1" thickBot="1" x14ac:dyDescent="0.25">
      <c r="A551" s="317">
        <v>97112</v>
      </c>
      <c r="B551" s="895">
        <v>97112</v>
      </c>
      <c r="C551" s="896" t="s">
        <v>596</v>
      </c>
      <c r="D551" s="906" t="s">
        <v>1998</v>
      </c>
      <c r="E551" s="907">
        <f>GLOBAL_DER_FEV_2023!E551</f>
        <v>21</v>
      </c>
      <c r="F551" s="908">
        <f>GLOBAL_DER_FEV_2023!F551</f>
        <v>0.42</v>
      </c>
      <c r="G551" s="949">
        <f>GLOBAL_DER_FEV_2023!G551</f>
        <v>10.563000000000001</v>
      </c>
      <c r="H551" s="901">
        <f>GLOBAL_DER_FEV_2023!H551</f>
        <v>231.07</v>
      </c>
      <c r="I551" s="901">
        <f>GLOBAL_DER_FEV_2023!I551</f>
        <v>241.63299999999998</v>
      </c>
      <c r="J551" s="902">
        <f>GLOBAL_DER_FEV_2023!J551</f>
        <v>290.13</v>
      </c>
      <c r="K551" s="903" t="s">
        <v>12</v>
      </c>
      <c r="L551" s="1139"/>
      <c r="M551" s="1140">
        <f t="shared" si="37"/>
        <v>0</v>
      </c>
      <c r="N551" s="893">
        <f t="shared" si="41"/>
        <v>0</v>
      </c>
      <c r="O551" s="905"/>
      <c r="Q551" s="317" t="str">
        <f t="shared" si="38"/>
        <v/>
      </c>
      <c r="R551" s="317" t="str">
        <f t="shared" si="39"/>
        <v/>
      </c>
      <c r="S551" s="317" t="str">
        <f t="shared" si="40"/>
        <v/>
      </c>
      <c r="T551" s="317" t="str">
        <f>GLOBAL_DER_FEV_2023!S551</f>
        <v/>
      </c>
      <c r="W551" s="582">
        <v>0</v>
      </c>
      <c r="X551" s="580"/>
      <c r="Y551" s="583">
        <f>IF(GLOBAL_DER_FEV_2023!W551=0,0,IF(GLOBAL_DER_FEV_2023!W551&gt;0,"c","b"))</f>
        <v>0</v>
      </c>
    </row>
    <row r="552" spans="1:25" ht="45.75" hidden="1" thickBot="1" x14ac:dyDescent="0.25">
      <c r="A552" s="317">
        <v>97113</v>
      </c>
      <c r="B552" s="895">
        <v>97113</v>
      </c>
      <c r="C552" s="896" t="s">
        <v>596</v>
      </c>
      <c r="D552" s="906" t="s">
        <v>1928</v>
      </c>
      <c r="E552" s="907">
        <f>GLOBAL_DER_FEV_2023!E552</f>
        <v>0</v>
      </c>
      <c r="F552" s="908">
        <f>GLOBAL_DER_FEV_2023!F552</f>
        <v>0</v>
      </c>
      <c r="G552" s="949">
        <f>GLOBAL_DER_FEV_2023!G552</f>
        <v>0</v>
      </c>
      <c r="H552" s="901">
        <f>GLOBAL_DER_FEV_2023!H552</f>
        <v>3.15</v>
      </c>
      <c r="I552" s="901">
        <f>GLOBAL_DER_FEV_2023!I552</f>
        <v>3.15</v>
      </c>
      <c r="J552" s="902">
        <f>GLOBAL_DER_FEV_2023!J552</f>
        <v>3.78</v>
      </c>
      <c r="K552" s="903" t="s">
        <v>12</v>
      </c>
      <c r="L552" s="1139"/>
      <c r="M552" s="1140">
        <f t="shared" si="37"/>
        <v>0</v>
      </c>
      <c r="N552" s="893">
        <f t="shared" si="41"/>
        <v>0</v>
      </c>
      <c r="O552" s="905"/>
      <c r="Q552" s="317" t="str">
        <f t="shared" si="38"/>
        <v/>
      </c>
      <c r="R552" s="317" t="str">
        <f t="shared" si="39"/>
        <v/>
      </c>
      <c r="S552" s="317" t="str">
        <f t="shared" si="40"/>
        <v/>
      </c>
      <c r="T552" s="317" t="str">
        <f>GLOBAL_DER_FEV_2023!S552</f>
        <v/>
      </c>
      <c r="W552" s="582">
        <v>0</v>
      </c>
      <c r="X552" s="580"/>
      <c r="Y552" s="583">
        <f>IF(GLOBAL_DER_FEV_2023!W552=0,0,IF(GLOBAL_DER_FEV_2023!W552&gt;0,"c","b"))</f>
        <v>0</v>
      </c>
    </row>
    <row r="553" spans="1:25" ht="23.25" hidden="1" thickBot="1" x14ac:dyDescent="0.25">
      <c r="A553" s="317">
        <v>97114</v>
      </c>
      <c r="B553" s="895">
        <v>97114</v>
      </c>
      <c r="C553" s="896" t="s">
        <v>596</v>
      </c>
      <c r="D553" s="906" t="s">
        <v>1915</v>
      </c>
      <c r="E553" s="907">
        <f>GLOBAL_DER_FEV_2023!E553</f>
        <v>0</v>
      </c>
      <c r="F553" s="908">
        <f>GLOBAL_DER_FEV_2023!F553</f>
        <v>0</v>
      </c>
      <c r="G553" s="949">
        <f>GLOBAL_DER_FEV_2023!G553</f>
        <v>0</v>
      </c>
      <c r="H553" s="901">
        <f>GLOBAL_DER_FEV_2023!H553</f>
        <v>0.44</v>
      </c>
      <c r="I553" s="901">
        <f>GLOBAL_DER_FEV_2023!I553</f>
        <v>0.44</v>
      </c>
      <c r="J553" s="902">
        <f>GLOBAL_DER_FEV_2023!J553</f>
        <v>0.53</v>
      </c>
      <c r="K553" s="903" t="s">
        <v>13</v>
      </c>
      <c r="L553" s="1139"/>
      <c r="M553" s="1140">
        <f t="shared" si="37"/>
        <v>0</v>
      </c>
      <c r="N553" s="893">
        <f t="shared" si="41"/>
        <v>0</v>
      </c>
      <c r="O553" s="905"/>
      <c r="Q553" s="317" t="str">
        <f t="shared" si="38"/>
        <v/>
      </c>
      <c r="R553" s="317" t="str">
        <f t="shared" si="39"/>
        <v/>
      </c>
      <c r="S553" s="317" t="str">
        <f t="shared" si="40"/>
        <v/>
      </c>
      <c r="T553" s="317" t="str">
        <f>GLOBAL_DER_FEV_2023!S553</f>
        <v/>
      </c>
      <c r="W553" s="582">
        <v>0</v>
      </c>
      <c r="X553" s="580"/>
      <c r="Y553" s="583">
        <f>IF(GLOBAL_DER_FEV_2023!W553=0,0,IF(GLOBAL_DER_FEV_2023!W553&gt;0,"c","b"))</f>
        <v>0</v>
      </c>
    </row>
    <row r="554" spans="1:25" ht="23.25" hidden="1" thickBot="1" x14ac:dyDescent="0.25">
      <c r="A554" s="317">
        <v>97115</v>
      </c>
      <c r="B554" s="895">
        <v>97115</v>
      </c>
      <c r="C554" s="896" t="s">
        <v>596</v>
      </c>
      <c r="D554" s="906" t="s">
        <v>1916</v>
      </c>
      <c r="E554" s="907">
        <f>GLOBAL_DER_FEV_2023!E554</f>
        <v>0</v>
      </c>
      <c r="F554" s="908">
        <f>GLOBAL_DER_FEV_2023!F554</f>
        <v>0</v>
      </c>
      <c r="G554" s="949">
        <f>GLOBAL_DER_FEV_2023!G554</f>
        <v>0</v>
      </c>
      <c r="H554" s="901">
        <f>GLOBAL_DER_FEV_2023!H554</f>
        <v>46.64</v>
      </c>
      <c r="I554" s="901">
        <f>GLOBAL_DER_FEV_2023!I554</f>
        <v>46.64</v>
      </c>
      <c r="J554" s="902">
        <f>GLOBAL_DER_FEV_2023!J554</f>
        <v>56</v>
      </c>
      <c r="K554" s="903" t="s">
        <v>16</v>
      </c>
      <c r="L554" s="1139"/>
      <c r="M554" s="1140">
        <f t="shared" si="37"/>
        <v>0</v>
      </c>
      <c r="N554" s="893">
        <f t="shared" si="41"/>
        <v>0</v>
      </c>
      <c r="O554" s="905"/>
      <c r="Q554" s="317" t="str">
        <f t="shared" si="38"/>
        <v/>
      </c>
      <c r="R554" s="317" t="str">
        <f t="shared" si="39"/>
        <v/>
      </c>
      <c r="S554" s="317" t="str">
        <f t="shared" si="40"/>
        <v/>
      </c>
      <c r="T554" s="317" t="str">
        <f>GLOBAL_DER_FEV_2023!S554</f>
        <v/>
      </c>
      <c r="W554" s="582">
        <v>0</v>
      </c>
      <c r="X554" s="580"/>
      <c r="Y554" s="583">
        <f>IF(GLOBAL_DER_FEV_2023!W554=0,0,IF(GLOBAL_DER_FEV_2023!W554&gt;0,"c","b"))</f>
        <v>0</v>
      </c>
    </row>
    <row r="555" spans="1:25" ht="23.25" hidden="1" thickBot="1" x14ac:dyDescent="0.25">
      <c r="A555" s="317">
        <v>97116</v>
      </c>
      <c r="B555" s="895">
        <v>97116</v>
      </c>
      <c r="C555" s="896" t="s">
        <v>596</v>
      </c>
      <c r="D555" s="906" t="s">
        <v>1917</v>
      </c>
      <c r="E555" s="907">
        <f>GLOBAL_DER_FEV_2023!E555</f>
        <v>0</v>
      </c>
      <c r="F555" s="908">
        <f>GLOBAL_DER_FEV_2023!F555</f>
        <v>0</v>
      </c>
      <c r="G555" s="949">
        <f>GLOBAL_DER_FEV_2023!G555</f>
        <v>0</v>
      </c>
      <c r="H555" s="901">
        <f>GLOBAL_DER_FEV_2023!H555</f>
        <v>26.06</v>
      </c>
      <c r="I555" s="901">
        <f>GLOBAL_DER_FEV_2023!I555</f>
        <v>26.06</v>
      </c>
      <c r="J555" s="902">
        <f>GLOBAL_DER_FEV_2023!J555</f>
        <v>31.29</v>
      </c>
      <c r="K555" s="903" t="s">
        <v>16</v>
      </c>
      <c r="L555" s="1139"/>
      <c r="M555" s="1140">
        <f t="shared" si="37"/>
        <v>0</v>
      </c>
      <c r="N555" s="893">
        <f t="shared" si="41"/>
        <v>0</v>
      </c>
      <c r="O555" s="905"/>
      <c r="Q555" s="317" t="str">
        <f t="shared" si="38"/>
        <v/>
      </c>
      <c r="R555" s="317" t="str">
        <f t="shared" si="39"/>
        <v/>
      </c>
      <c r="S555" s="317" t="str">
        <f t="shared" si="40"/>
        <v/>
      </c>
      <c r="T555" s="317" t="str">
        <f>GLOBAL_DER_FEV_2023!S555</f>
        <v/>
      </c>
      <c r="W555" s="582">
        <v>0</v>
      </c>
      <c r="X555" s="580"/>
      <c r="Y555" s="583">
        <f>IF(GLOBAL_DER_FEV_2023!W555=0,0,IF(GLOBAL_DER_FEV_2023!W555&gt;0,"c","b"))</f>
        <v>0</v>
      </c>
    </row>
    <row r="556" spans="1:25" ht="23.25" hidden="1" thickBot="1" x14ac:dyDescent="0.25">
      <c r="A556" s="317">
        <v>97117</v>
      </c>
      <c r="B556" s="895">
        <v>97117</v>
      </c>
      <c r="C556" s="896" t="s">
        <v>596</v>
      </c>
      <c r="D556" s="906" t="s">
        <v>1918</v>
      </c>
      <c r="E556" s="907">
        <f>GLOBAL_DER_FEV_2023!E556</f>
        <v>0</v>
      </c>
      <c r="F556" s="908">
        <f>GLOBAL_DER_FEV_2023!F556</f>
        <v>0</v>
      </c>
      <c r="G556" s="949">
        <f>GLOBAL_DER_FEV_2023!G556</f>
        <v>0</v>
      </c>
      <c r="H556" s="901">
        <f>GLOBAL_DER_FEV_2023!H556</f>
        <v>22.24</v>
      </c>
      <c r="I556" s="901">
        <f>GLOBAL_DER_FEV_2023!I556</f>
        <v>22.24</v>
      </c>
      <c r="J556" s="902">
        <f>GLOBAL_DER_FEV_2023!J556</f>
        <v>26.7</v>
      </c>
      <c r="K556" s="903" t="s">
        <v>16</v>
      </c>
      <c r="L556" s="1139"/>
      <c r="M556" s="1140">
        <f t="shared" si="37"/>
        <v>0</v>
      </c>
      <c r="N556" s="893">
        <f t="shared" si="41"/>
        <v>0</v>
      </c>
      <c r="O556" s="905"/>
      <c r="Q556" s="317" t="str">
        <f t="shared" si="38"/>
        <v/>
      </c>
      <c r="R556" s="317" t="str">
        <f t="shared" si="39"/>
        <v/>
      </c>
      <c r="S556" s="317" t="str">
        <f t="shared" si="40"/>
        <v/>
      </c>
      <c r="T556" s="317" t="str">
        <f>GLOBAL_DER_FEV_2023!S556</f>
        <v/>
      </c>
      <c r="W556" s="582">
        <v>0</v>
      </c>
      <c r="X556" s="580"/>
      <c r="Y556" s="583">
        <f>IF(GLOBAL_DER_FEV_2023!W556=0,0,IF(GLOBAL_DER_FEV_2023!W556&gt;0,"c","b"))</f>
        <v>0</v>
      </c>
    </row>
    <row r="557" spans="1:25" ht="23.25" hidden="1" thickBot="1" x14ac:dyDescent="0.25">
      <c r="A557" s="317">
        <v>97118</v>
      </c>
      <c r="B557" s="895">
        <v>97118</v>
      </c>
      <c r="C557" s="896" t="s">
        <v>596</v>
      </c>
      <c r="D557" s="906" t="s">
        <v>1919</v>
      </c>
      <c r="E557" s="907">
        <f>GLOBAL_DER_FEV_2023!E557</f>
        <v>0</v>
      </c>
      <c r="F557" s="908">
        <f>GLOBAL_DER_FEV_2023!F557</f>
        <v>0</v>
      </c>
      <c r="G557" s="949">
        <f>GLOBAL_DER_FEV_2023!G557</f>
        <v>0</v>
      </c>
      <c r="H557" s="901">
        <f>GLOBAL_DER_FEV_2023!H557</f>
        <v>18.18</v>
      </c>
      <c r="I557" s="901">
        <f>GLOBAL_DER_FEV_2023!I557</f>
        <v>18.18</v>
      </c>
      <c r="J557" s="902">
        <f>GLOBAL_DER_FEV_2023!J557</f>
        <v>21.83</v>
      </c>
      <c r="K557" s="903" t="s">
        <v>16</v>
      </c>
      <c r="L557" s="1139"/>
      <c r="M557" s="1140">
        <f t="shared" si="37"/>
        <v>0</v>
      </c>
      <c r="N557" s="893">
        <f t="shared" si="41"/>
        <v>0</v>
      </c>
      <c r="O557" s="905"/>
      <c r="Q557" s="317" t="str">
        <f t="shared" si="38"/>
        <v/>
      </c>
      <c r="R557" s="317" t="str">
        <f t="shared" si="39"/>
        <v/>
      </c>
      <c r="S557" s="317" t="str">
        <f t="shared" si="40"/>
        <v/>
      </c>
      <c r="T557" s="317" t="str">
        <f>GLOBAL_DER_FEV_2023!S557</f>
        <v/>
      </c>
      <c r="W557" s="582">
        <v>0</v>
      </c>
      <c r="X557" s="580"/>
      <c r="Y557" s="583">
        <f>IF(GLOBAL_DER_FEV_2023!W557=0,0,IF(GLOBAL_DER_FEV_2023!W557&gt;0,"c","b"))</f>
        <v>0</v>
      </c>
    </row>
    <row r="558" spans="1:25" ht="23.25" hidden="1" thickBot="1" x14ac:dyDescent="0.25">
      <c r="A558" s="317">
        <v>97119</v>
      </c>
      <c r="B558" s="895">
        <v>97119</v>
      </c>
      <c r="C558" s="896" t="s">
        <v>596</v>
      </c>
      <c r="D558" s="906" t="s">
        <v>1920</v>
      </c>
      <c r="E558" s="907">
        <f>GLOBAL_DER_FEV_2023!E558</f>
        <v>0</v>
      </c>
      <c r="F558" s="908">
        <f>GLOBAL_DER_FEV_2023!F558</f>
        <v>0</v>
      </c>
      <c r="G558" s="949">
        <f>GLOBAL_DER_FEV_2023!G558</f>
        <v>0</v>
      </c>
      <c r="H558" s="901">
        <f>GLOBAL_DER_FEV_2023!H558</f>
        <v>16.12</v>
      </c>
      <c r="I558" s="901">
        <f>GLOBAL_DER_FEV_2023!I558</f>
        <v>16.12</v>
      </c>
      <c r="J558" s="902">
        <f>GLOBAL_DER_FEV_2023!J558</f>
        <v>19.36</v>
      </c>
      <c r="K558" s="903" t="s">
        <v>16</v>
      </c>
      <c r="L558" s="1139"/>
      <c r="M558" s="1140">
        <f t="shared" si="37"/>
        <v>0</v>
      </c>
      <c r="N558" s="893">
        <f t="shared" si="41"/>
        <v>0</v>
      </c>
      <c r="O558" s="905"/>
      <c r="Q558" s="317" t="str">
        <f t="shared" si="38"/>
        <v/>
      </c>
      <c r="R558" s="317" t="str">
        <f t="shared" si="39"/>
        <v/>
      </c>
      <c r="S558" s="317" t="str">
        <f t="shared" si="40"/>
        <v/>
      </c>
      <c r="T558" s="317" t="str">
        <f>GLOBAL_DER_FEV_2023!S558</f>
        <v/>
      </c>
      <c r="W558" s="582">
        <v>0</v>
      </c>
      <c r="X558" s="580"/>
      <c r="Y558" s="583">
        <f>IF(GLOBAL_DER_FEV_2023!W558=0,0,IF(GLOBAL_DER_FEV_2023!W558&gt;0,"c","b"))</f>
        <v>0</v>
      </c>
    </row>
    <row r="559" spans="1:25" ht="23.25" hidden="1" thickBot="1" x14ac:dyDescent="0.25">
      <c r="A559" s="317">
        <v>97120</v>
      </c>
      <c r="B559" s="895">
        <v>97120</v>
      </c>
      <c r="C559" s="896" t="s">
        <v>596</v>
      </c>
      <c r="D559" s="906" t="s">
        <v>1921</v>
      </c>
      <c r="E559" s="907">
        <f>GLOBAL_DER_FEV_2023!E559</f>
        <v>0</v>
      </c>
      <c r="F559" s="908">
        <f>GLOBAL_DER_FEV_2023!F559</f>
        <v>0</v>
      </c>
      <c r="G559" s="949">
        <f>GLOBAL_DER_FEV_2023!G559</f>
        <v>0</v>
      </c>
      <c r="H559" s="901">
        <f>GLOBAL_DER_FEV_2023!H559</f>
        <v>10.31</v>
      </c>
      <c r="I559" s="901">
        <f>GLOBAL_DER_FEV_2023!I559</f>
        <v>10.31</v>
      </c>
      <c r="J559" s="902">
        <f>GLOBAL_DER_FEV_2023!J559</f>
        <v>12.38</v>
      </c>
      <c r="K559" s="903" t="s">
        <v>16</v>
      </c>
      <c r="L559" s="1139"/>
      <c r="M559" s="1140">
        <f t="shared" si="37"/>
        <v>0</v>
      </c>
      <c r="N559" s="893">
        <f t="shared" si="41"/>
        <v>0</v>
      </c>
      <c r="O559" s="905"/>
      <c r="Q559" s="317" t="str">
        <f t="shared" si="38"/>
        <v/>
      </c>
      <c r="R559" s="317" t="str">
        <f t="shared" si="39"/>
        <v/>
      </c>
      <c r="S559" s="317" t="str">
        <f t="shared" si="40"/>
        <v/>
      </c>
      <c r="T559" s="317" t="str">
        <f>GLOBAL_DER_FEV_2023!S559</f>
        <v/>
      </c>
      <c r="W559" s="582">
        <v>0</v>
      </c>
      <c r="X559" s="580"/>
      <c r="Y559" s="583">
        <f>IF(GLOBAL_DER_FEV_2023!W559=0,0,IF(GLOBAL_DER_FEV_2023!W559&gt;0,"c","b"))</f>
        <v>0</v>
      </c>
    </row>
    <row r="560" spans="1:25" ht="13.5" hidden="1" thickBot="1" x14ac:dyDescent="0.25">
      <c r="A560" s="317">
        <v>96395</v>
      </c>
      <c r="B560" s="895">
        <v>96395</v>
      </c>
      <c r="C560" s="896" t="s">
        <v>596</v>
      </c>
      <c r="D560" s="906" t="s">
        <v>1922</v>
      </c>
      <c r="E560" s="907">
        <f>GLOBAL_DER_FEV_2023!E560</f>
        <v>0</v>
      </c>
      <c r="F560" s="908">
        <f>GLOBAL_DER_FEV_2023!F560</f>
        <v>0</v>
      </c>
      <c r="G560" s="912">
        <f>GLOBAL_DER_FEV_2023!G560</f>
        <v>0</v>
      </c>
      <c r="H560" s="901">
        <f>GLOBAL_DER_FEV_2023!H560</f>
        <v>232.87</v>
      </c>
      <c r="I560" s="901">
        <f>GLOBAL_DER_FEV_2023!I560</f>
        <v>232.87</v>
      </c>
      <c r="J560" s="902">
        <f>GLOBAL_DER_FEV_2023!J560</f>
        <v>279.61</v>
      </c>
      <c r="K560" s="903" t="s">
        <v>10</v>
      </c>
      <c r="L560" s="1139"/>
      <c r="M560" s="1140">
        <f t="shared" si="37"/>
        <v>0</v>
      </c>
      <c r="N560" s="893">
        <f t="shared" si="41"/>
        <v>0</v>
      </c>
      <c r="O560" s="905"/>
      <c r="Q560" s="317" t="str">
        <f t="shared" si="38"/>
        <v/>
      </c>
      <c r="R560" s="317" t="str">
        <f t="shared" si="39"/>
        <v/>
      </c>
      <c r="S560" s="317" t="str">
        <f t="shared" si="40"/>
        <v/>
      </c>
      <c r="T560" s="317" t="str">
        <f>GLOBAL_DER_FEV_2023!S560</f>
        <v/>
      </c>
      <c r="W560" s="582">
        <v>0</v>
      </c>
      <c r="X560" s="580"/>
      <c r="Y560" s="583">
        <f>IF(GLOBAL_DER_FEV_2023!W560=0,0,IF(GLOBAL_DER_FEV_2023!W560&gt;0,"c","b"))</f>
        <v>0</v>
      </c>
    </row>
    <row r="561" spans="1:25" ht="13.5" hidden="1" thickBot="1" x14ac:dyDescent="0.25">
      <c r="A561" s="317">
        <v>505000</v>
      </c>
      <c r="B561" s="883">
        <v>505000</v>
      </c>
      <c r="C561" s="884" t="s">
        <v>184</v>
      </c>
      <c r="D561" s="946" t="s">
        <v>246</v>
      </c>
      <c r="E561" s="1161">
        <f>GLOBAL_DER_FEV_2023!E561</f>
        <v>3</v>
      </c>
      <c r="F561" s="947">
        <f>GLOBAL_DER_FEV_2023!F561</f>
        <v>2.4</v>
      </c>
      <c r="G561" s="949">
        <f>GLOBAL_DER_FEV_2023!G561</f>
        <v>14.136000000000001</v>
      </c>
      <c r="H561" s="889">
        <f>GLOBAL_DER_FEV_2023!H561</f>
        <v>233.68</v>
      </c>
      <c r="I561" s="889">
        <f>GLOBAL_DER_FEV_2023!I561</f>
        <v>247.816</v>
      </c>
      <c r="J561" s="890">
        <f>GLOBAL_DER_FEV_2023!J561</f>
        <v>297.55</v>
      </c>
      <c r="K561" s="891" t="s">
        <v>10</v>
      </c>
      <c r="L561" s="1137"/>
      <c r="M561" s="1138">
        <f t="shared" si="37"/>
        <v>0</v>
      </c>
      <c r="N561" s="932">
        <f t="shared" si="41"/>
        <v>0</v>
      </c>
      <c r="O561" s="905"/>
      <c r="Q561" s="317" t="str">
        <f t="shared" si="38"/>
        <v/>
      </c>
      <c r="R561" s="317" t="str">
        <f t="shared" si="39"/>
        <v/>
      </c>
      <c r="S561" s="317" t="str">
        <f t="shared" si="40"/>
        <v/>
      </c>
      <c r="T561" s="317" t="str">
        <f>GLOBAL_DER_FEV_2023!S561</f>
        <v/>
      </c>
      <c r="W561" s="582">
        <v>0</v>
      </c>
      <c r="X561" s="580"/>
      <c r="Y561" s="583">
        <f>IF(GLOBAL_DER_FEV_2023!W561=0,0,IF(GLOBAL_DER_FEV_2023!W561&gt;0,"c","b"))</f>
        <v>0</v>
      </c>
    </row>
    <row r="562" spans="1:25" ht="13.5" hidden="1" thickBot="1" x14ac:dyDescent="0.25">
      <c r="A562" s="317">
        <v>505100</v>
      </c>
      <c r="B562" s="895">
        <v>505100</v>
      </c>
      <c r="C562" s="896" t="s">
        <v>184</v>
      </c>
      <c r="D562" s="906" t="s">
        <v>247</v>
      </c>
      <c r="E562" s="907">
        <f>GLOBAL_DER_FEV_2023!E562</f>
        <v>3</v>
      </c>
      <c r="F562" s="908">
        <f>GLOBAL_DER_FEV_2023!F562</f>
        <v>2.4</v>
      </c>
      <c r="G562" s="949">
        <f>GLOBAL_DER_FEV_2023!G562</f>
        <v>14.136000000000001</v>
      </c>
      <c r="H562" s="901">
        <f>GLOBAL_DER_FEV_2023!H562</f>
        <v>301.82</v>
      </c>
      <c r="I562" s="901">
        <f>GLOBAL_DER_FEV_2023!I562</f>
        <v>315.95600000000002</v>
      </c>
      <c r="J562" s="902">
        <f>GLOBAL_DER_FEV_2023!J562</f>
        <v>379.37</v>
      </c>
      <c r="K562" s="903" t="s">
        <v>10</v>
      </c>
      <c r="L562" s="1139"/>
      <c r="M562" s="1140">
        <f t="shared" si="37"/>
        <v>0</v>
      </c>
      <c r="N562" s="893">
        <f t="shared" si="41"/>
        <v>0</v>
      </c>
      <c r="O562" s="905"/>
      <c r="Q562" s="317" t="str">
        <f t="shared" si="38"/>
        <v/>
      </c>
      <c r="R562" s="317" t="str">
        <f t="shared" si="39"/>
        <v/>
      </c>
      <c r="S562" s="317" t="str">
        <f t="shared" si="40"/>
        <v/>
      </c>
      <c r="T562" s="317" t="str">
        <f>GLOBAL_DER_FEV_2023!S562</f>
        <v/>
      </c>
      <c r="W562" s="582">
        <v>0</v>
      </c>
      <c r="X562" s="580"/>
      <c r="Y562" s="583">
        <f>IF(GLOBAL_DER_FEV_2023!W562=0,0,IF(GLOBAL_DER_FEV_2023!W562&gt;0,"c","b"))</f>
        <v>0</v>
      </c>
    </row>
    <row r="563" spans="1:25" ht="13.5" hidden="1" thickBot="1" x14ac:dyDescent="0.25">
      <c r="A563" s="317" t="s">
        <v>165</v>
      </c>
      <c r="B563" s="913" t="s">
        <v>165</v>
      </c>
      <c r="C563" s="914"/>
      <c r="D563" s="915" t="s">
        <v>204</v>
      </c>
      <c r="E563" s="916">
        <f>GLOBAL_DER_FEV_2023!E563</f>
        <v>0</v>
      </c>
      <c r="F563" s="917">
        <f>GLOBAL_DER_FEV_2023!F563</f>
        <v>0</v>
      </c>
      <c r="G563" s="918">
        <f>GLOBAL_DER_FEV_2023!G563</f>
        <v>0</v>
      </c>
      <c r="H563" s="919">
        <f>GLOBAL_DER_FEV_2023!H563</f>
        <v>0</v>
      </c>
      <c r="I563" s="919">
        <f>GLOBAL_DER_FEV_2023!I563</f>
        <v>0</v>
      </c>
      <c r="J563" s="919">
        <f>GLOBAL_DER_FEV_2023!J563</f>
        <v>0</v>
      </c>
      <c r="K563" s="920" t="s">
        <v>507</v>
      </c>
      <c r="L563" s="921"/>
      <c r="M563" s="922"/>
      <c r="N563" s="923">
        <f t="shared" si="41"/>
        <v>0</v>
      </c>
      <c r="O563" s="905"/>
      <c r="P563" s="58" t="str">
        <f>IF(OR(SUM(N564:N588)&gt;0,SUM(N564:N588)&gt;0),"y","")</f>
        <v/>
      </c>
      <c r="Q563" s="317" t="str">
        <f t="shared" si="38"/>
        <v/>
      </c>
      <c r="R563" s="317" t="str">
        <f t="shared" si="39"/>
        <v/>
      </c>
      <c r="S563" s="317" t="str">
        <f t="shared" si="40"/>
        <v/>
      </c>
      <c r="T563" s="317" t="str">
        <f>GLOBAL_DER_FEV_2023!S563</f>
        <v/>
      </c>
      <c r="W563" s="582">
        <v>0</v>
      </c>
      <c r="X563" s="580"/>
      <c r="Y563" s="583">
        <f>IF(GLOBAL_DER_FEV_2023!W563=0,0,IF(GLOBAL_DER_FEV_2023!W563&gt;0,"c","b"))</f>
        <v>0</v>
      </c>
    </row>
    <row r="564" spans="1:25" ht="13.5" hidden="1" thickBot="1" x14ac:dyDescent="0.25">
      <c r="A564" s="317" t="s">
        <v>165</v>
      </c>
      <c r="B564" s="1036" t="str">
        <f>GLOBAL_DER_FEV_2023!B564</f>
        <v/>
      </c>
      <c r="C564" s="1072" t="str">
        <f>GLOBAL_DER_FEV_2023!C564</f>
        <v/>
      </c>
      <c r="D564" s="1141">
        <f>GLOBAL_DER_FEV_2023!D564</f>
        <v>0</v>
      </c>
      <c r="E564" s="907">
        <f>GLOBAL_DER_FEV_2023!E564</f>
        <v>0</v>
      </c>
      <c r="F564" s="908">
        <f>GLOBAL_DER_FEV_2023!F564</f>
        <v>0</v>
      </c>
      <c r="G564" s="912">
        <f>GLOBAL_DER_FEV_2023!G564</f>
        <v>0</v>
      </c>
      <c r="H564" s="901">
        <f>GLOBAL_DER_FEV_2023!H564</f>
        <v>0</v>
      </c>
      <c r="I564" s="901" t="str">
        <f>GLOBAL_DER_FEV_2023!I564</f>
        <v/>
      </c>
      <c r="J564" s="902" t="str">
        <f>GLOBAL_DER_FEV_2023!J564</f>
        <v/>
      </c>
      <c r="K564" s="903" t="str">
        <f>GLOBAL_DER_FEV_2023!K564</f>
        <v xml:space="preserve">     </v>
      </c>
      <c r="L564" s="1137"/>
      <c r="M564" s="1140">
        <f t="shared" si="37"/>
        <v>0</v>
      </c>
      <c r="N564" s="893">
        <f t="shared" si="41"/>
        <v>0</v>
      </c>
      <c r="O564" s="905"/>
      <c r="Q564" s="317" t="str">
        <f t="shared" si="38"/>
        <v/>
      </c>
      <c r="R564" s="317" t="str">
        <f t="shared" si="39"/>
        <v/>
      </c>
      <c r="S564" s="317" t="str">
        <f t="shared" si="40"/>
        <v/>
      </c>
      <c r="T564" s="317" t="str">
        <f>GLOBAL_DER_FEV_2023!S564</f>
        <v/>
      </c>
      <c r="W564" s="582">
        <v>0</v>
      </c>
      <c r="X564" s="580"/>
      <c r="Y564" s="583">
        <f>IF(GLOBAL_DER_FEV_2023!W564=0,0,IF(GLOBAL_DER_FEV_2023!W564&gt;0,"c","b"))</f>
        <v>0</v>
      </c>
    </row>
    <row r="565" spans="1:25" ht="13.5" hidden="1" thickBot="1" x14ac:dyDescent="0.25">
      <c r="A565" s="317" t="s">
        <v>165</v>
      </c>
      <c r="B565" s="1036" t="str">
        <f>GLOBAL_DER_FEV_2023!B565</f>
        <v/>
      </c>
      <c r="C565" s="1072" t="str">
        <f>GLOBAL_DER_FEV_2023!C565</f>
        <v/>
      </c>
      <c r="D565" s="1141">
        <f>GLOBAL_DER_FEV_2023!D565</f>
        <v>0</v>
      </c>
      <c r="E565" s="907">
        <f>GLOBAL_DER_FEV_2023!E565</f>
        <v>0</v>
      </c>
      <c r="F565" s="908">
        <f>GLOBAL_DER_FEV_2023!F565</f>
        <v>0</v>
      </c>
      <c r="G565" s="912">
        <f>GLOBAL_DER_FEV_2023!G565</f>
        <v>0</v>
      </c>
      <c r="H565" s="901">
        <f>GLOBAL_DER_FEV_2023!H565</f>
        <v>0</v>
      </c>
      <c r="I565" s="901">
        <f>GLOBAL_DER_FEV_2023!I565</f>
        <v>0</v>
      </c>
      <c r="J565" s="890">
        <f>GLOBAL_DER_FEV_2023!J565</f>
        <v>0</v>
      </c>
      <c r="K565" s="903" t="str">
        <f>GLOBAL_DER_FEV_2023!K565</f>
        <v xml:space="preserve">     </v>
      </c>
      <c r="L565" s="1137"/>
      <c r="M565" s="1140">
        <f t="shared" si="37"/>
        <v>0</v>
      </c>
      <c r="N565" s="932">
        <f t="shared" si="41"/>
        <v>0</v>
      </c>
      <c r="O565" s="905"/>
      <c r="Q565" s="317" t="str">
        <f t="shared" si="38"/>
        <v/>
      </c>
      <c r="R565" s="317" t="str">
        <f t="shared" si="39"/>
        <v/>
      </c>
      <c r="S565" s="317" t="str">
        <f t="shared" si="40"/>
        <v/>
      </c>
      <c r="T565" s="317" t="str">
        <f>GLOBAL_DER_FEV_2023!S565</f>
        <v/>
      </c>
      <c r="W565" s="582">
        <v>0</v>
      </c>
      <c r="X565" s="580"/>
      <c r="Y565" s="583">
        <f>IF(GLOBAL_DER_FEV_2023!W565=0,0,IF(GLOBAL_DER_FEV_2023!W565&gt;0,"c","b"))</f>
        <v>0</v>
      </c>
    </row>
    <row r="566" spans="1:25" ht="13.5" hidden="1" thickBot="1" x14ac:dyDescent="0.25">
      <c r="A566" s="317" t="s">
        <v>165</v>
      </c>
      <c r="B566" s="1036" t="str">
        <f>GLOBAL_DER_FEV_2023!B566</f>
        <v/>
      </c>
      <c r="C566" s="1072" t="str">
        <f>GLOBAL_DER_FEV_2023!C566</f>
        <v/>
      </c>
      <c r="D566" s="1141">
        <f>GLOBAL_DER_FEV_2023!D566</f>
        <v>0</v>
      </c>
      <c r="E566" s="907">
        <f>GLOBAL_DER_FEV_2023!E566</f>
        <v>0</v>
      </c>
      <c r="F566" s="908">
        <f>GLOBAL_DER_FEV_2023!F566</f>
        <v>0</v>
      </c>
      <c r="G566" s="912">
        <f>GLOBAL_DER_FEV_2023!G566</f>
        <v>0</v>
      </c>
      <c r="H566" s="901">
        <f>GLOBAL_DER_FEV_2023!H566</f>
        <v>0</v>
      </c>
      <c r="I566" s="901">
        <f>GLOBAL_DER_FEV_2023!I566</f>
        <v>0</v>
      </c>
      <c r="J566" s="890">
        <f>GLOBAL_DER_FEV_2023!J566</f>
        <v>0</v>
      </c>
      <c r="K566" s="903" t="str">
        <f>GLOBAL_DER_FEV_2023!K566</f>
        <v xml:space="preserve">     </v>
      </c>
      <c r="L566" s="1137"/>
      <c r="M566" s="1140">
        <f t="shared" si="37"/>
        <v>0</v>
      </c>
      <c r="N566" s="932">
        <f t="shared" si="41"/>
        <v>0</v>
      </c>
      <c r="O566" s="905"/>
      <c r="Q566" s="317" t="str">
        <f t="shared" si="38"/>
        <v/>
      </c>
      <c r="R566" s="317" t="str">
        <f t="shared" si="39"/>
        <v/>
      </c>
      <c r="S566" s="317" t="str">
        <f t="shared" si="40"/>
        <v/>
      </c>
      <c r="T566" s="317" t="str">
        <f>GLOBAL_DER_FEV_2023!S566</f>
        <v/>
      </c>
      <c r="W566" s="582">
        <v>0</v>
      </c>
      <c r="X566" s="580"/>
      <c r="Y566" s="583">
        <f>IF(GLOBAL_DER_FEV_2023!W566=0,0,IF(GLOBAL_DER_FEV_2023!W566&gt;0,"c","b"))</f>
        <v>0</v>
      </c>
    </row>
    <row r="567" spans="1:25" ht="13.5" hidden="1" thickBot="1" x14ac:dyDescent="0.25">
      <c r="A567" s="317" t="s">
        <v>165</v>
      </c>
      <c r="B567" s="1036" t="str">
        <f>GLOBAL_DER_FEV_2023!B567</f>
        <v/>
      </c>
      <c r="C567" s="1072" t="str">
        <f>GLOBAL_DER_FEV_2023!C567</f>
        <v/>
      </c>
      <c r="D567" s="1141">
        <f>GLOBAL_DER_FEV_2023!D567</f>
        <v>0</v>
      </c>
      <c r="E567" s="907">
        <f>GLOBAL_DER_FEV_2023!E567</f>
        <v>0</v>
      </c>
      <c r="F567" s="908">
        <f>GLOBAL_DER_FEV_2023!F567</f>
        <v>0</v>
      </c>
      <c r="G567" s="912">
        <f>GLOBAL_DER_FEV_2023!G567</f>
        <v>0</v>
      </c>
      <c r="H567" s="901">
        <f>GLOBAL_DER_FEV_2023!H567</f>
        <v>0</v>
      </c>
      <c r="I567" s="901">
        <f>GLOBAL_DER_FEV_2023!I567</f>
        <v>0</v>
      </c>
      <c r="J567" s="890">
        <f>GLOBAL_DER_FEV_2023!J567</f>
        <v>0</v>
      </c>
      <c r="K567" s="903" t="str">
        <f>GLOBAL_DER_FEV_2023!K567</f>
        <v xml:space="preserve">     </v>
      </c>
      <c r="L567" s="1137"/>
      <c r="M567" s="1140">
        <f t="shared" si="37"/>
        <v>0</v>
      </c>
      <c r="N567" s="932">
        <f t="shared" si="41"/>
        <v>0</v>
      </c>
      <c r="O567" s="905"/>
      <c r="Q567" s="317" t="str">
        <f t="shared" si="38"/>
        <v/>
      </c>
      <c r="R567" s="317" t="str">
        <f t="shared" si="39"/>
        <v/>
      </c>
      <c r="S567" s="317" t="str">
        <f t="shared" si="40"/>
        <v/>
      </c>
      <c r="T567" s="317" t="str">
        <f>GLOBAL_DER_FEV_2023!S567</f>
        <v/>
      </c>
      <c r="W567" s="582">
        <v>0</v>
      </c>
      <c r="X567" s="580"/>
      <c r="Y567" s="583">
        <f>IF(GLOBAL_DER_FEV_2023!W567=0,0,IF(GLOBAL_DER_FEV_2023!W567&gt;0,"c","b"))</f>
        <v>0</v>
      </c>
    </row>
    <row r="568" spans="1:25" ht="13.5" hidden="1" thickBot="1" x14ac:dyDescent="0.25">
      <c r="A568" s="317" t="s">
        <v>165</v>
      </c>
      <c r="B568" s="1036" t="str">
        <f>GLOBAL_DER_FEV_2023!B568</f>
        <v/>
      </c>
      <c r="C568" s="1072" t="str">
        <f>GLOBAL_DER_FEV_2023!C568</f>
        <v/>
      </c>
      <c r="D568" s="1141">
        <f>GLOBAL_DER_FEV_2023!D568</f>
        <v>0</v>
      </c>
      <c r="E568" s="907">
        <f>GLOBAL_DER_FEV_2023!E568</f>
        <v>0</v>
      </c>
      <c r="F568" s="908">
        <f>GLOBAL_DER_FEV_2023!F568</f>
        <v>0</v>
      </c>
      <c r="G568" s="912">
        <f>GLOBAL_DER_FEV_2023!G568</f>
        <v>0</v>
      </c>
      <c r="H568" s="901">
        <f>GLOBAL_DER_FEV_2023!H568</f>
        <v>0</v>
      </c>
      <c r="I568" s="901">
        <f>GLOBAL_DER_FEV_2023!I568</f>
        <v>0</v>
      </c>
      <c r="J568" s="890">
        <f>GLOBAL_DER_FEV_2023!J568</f>
        <v>0</v>
      </c>
      <c r="K568" s="903" t="str">
        <f>GLOBAL_DER_FEV_2023!K568</f>
        <v xml:space="preserve">     </v>
      </c>
      <c r="L568" s="1137"/>
      <c r="M568" s="1140">
        <f t="shared" si="37"/>
        <v>0</v>
      </c>
      <c r="N568" s="932">
        <f t="shared" si="41"/>
        <v>0</v>
      </c>
      <c r="O568" s="905"/>
      <c r="Q568" s="317" t="str">
        <f t="shared" si="38"/>
        <v/>
      </c>
      <c r="R568" s="317" t="str">
        <f t="shared" si="39"/>
        <v/>
      </c>
      <c r="S568" s="317" t="str">
        <f t="shared" si="40"/>
        <v/>
      </c>
      <c r="T568" s="317" t="str">
        <f>GLOBAL_DER_FEV_2023!S568</f>
        <v/>
      </c>
      <c r="W568" s="582">
        <v>0</v>
      </c>
      <c r="X568" s="580"/>
      <c r="Y568" s="583">
        <f>IF(GLOBAL_DER_FEV_2023!W568=0,0,IF(GLOBAL_DER_FEV_2023!W568&gt;0,"c","b"))</f>
        <v>0</v>
      </c>
    </row>
    <row r="569" spans="1:25" ht="13.5" hidden="1" thickBot="1" x14ac:dyDescent="0.25">
      <c r="A569" s="317" t="s">
        <v>165</v>
      </c>
      <c r="B569" s="1036" t="str">
        <f>GLOBAL_DER_FEV_2023!B569</f>
        <v/>
      </c>
      <c r="C569" s="1072" t="str">
        <f>GLOBAL_DER_FEV_2023!C569</f>
        <v/>
      </c>
      <c r="D569" s="1141">
        <f>GLOBAL_DER_FEV_2023!D569</f>
        <v>0</v>
      </c>
      <c r="E569" s="907">
        <f>GLOBAL_DER_FEV_2023!E569</f>
        <v>0</v>
      </c>
      <c r="F569" s="908">
        <f>GLOBAL_DER_FEV_2023!F569</f>
        <v>0</v>
      </c>
      <c r="G569" s="912">
        <f>GLOBAL_DER_FEV_2023!G569</f>
        <v>0</v>
      </c>
      <c r="H569" s="901">
        <f>GLOBAL_DER_FEV_2023!H569</f>
        <v>0</v>
      </c>
      <c r="I569" s="901">
        <f>GLOBAL_DER_FEV_2023!I569</f>
        <v>0</v>
      </c>
      <c r="J569" s="890">
        <f>GLOBAL_DER_FEV_2023!J569</f>
        <v>0</v>
      </c>
      <c r="K569" s="903" t="str">
        <f>GLOBAL_DER_FEV_2023!K569</f>
        <v xml:space="preserve">     </v>
      </c>
      <c r="L569" s="1137"/>
      <c r="M569" s="1140">
        <f t="shared" si="37"/>
        <v>0</v>
      </c>
      <c r="N569" s="932">
        <f t="shared" si="41"/>
        <v>0</v>
      </c>
      <c r="O569" s="905"/>
      <c r="Q569" s="317" t="str">
        <f t="shared" si="38"/>
        <v/>
      </c>
      <c r="R569" s="317" t="str">
        <f t="shared" si="39"/>
        <v/>
      </c>
      <c r="S569" s="317" t="str">
        <f t="shared" si="40"/>
        <v/>
      </c>
      <c r="T569" s="317" t="str">
        <f>GLOBAL_DER_FEV_2023!S569</f>
        <v/>
      </c>
      <c r="W569" s="582">
        <v>0</v>
      </c>
      <c r="X569" s="580"/>
      <c r="Y569" s="583">
        <f>IF(GLOBAL_DER_FEV_2023!W569=0,0,IF(GLOBAL_DER_FEV_2023!W569&gt;0,"c","b"))</f>
        <v>0</v>
      </c>
    </row>
    <row r="570" spans="1:25" ht="13.5" hidden="1" thickBot="1" x14ac:dyDescent="0.25">
      <c r="A570" s="317" t="s">
        <v>165</v>
      </c>
      <c r="B570" s="1036" t="str">
        <f>GLOBAL_DER_FEV_2023!B570</f>
        <v/>
      </c>
      <c r="C570" s="1072" t="str">
        <f>GLOBAL_DER_FEV_2023!C570</f>
        <v/>
      </c>
      <c r="D570" s="1141">
        <f>GLOBAL_DER_FEV_2023!D570</f>
        <v>0</v>
      </c>
      <c r="E570" s="907">
        <f>GLOBAL_DER_FEV_2023!E570</f>
        <v>0</v>
      </c>
      <c r="F570" s="908">
        <f>GLOBAL_DER_FEV_2023!F570</f>
        <v>0</v>
      </c>
      <c r="G570" s="912">
        <f>GLOBAL_DER_FEV_2023!G570</f>
        <v>0</v>
      </c>
      <c r="H570" s="901">
        <f>GLOBAL_DER_FEV_2023!H570</f>
        <v>0</v>
      </c>
      <c r="I570" s="901">
        <f>GLOBAL_DER_FEV_2023!I570</f>
        <v>0</v>
      </c>
      <c r="J570" s="890">
        <f>GLOBAL_DER_FEV_2023!J570</f>
        <v>0</v>
      </c>
      <c r="K570" s="903" t="str">
        <f>GLOBAL_DER_FEV_2023!K570</f>
        <v xml:space="preserve">     </v>
      </c>
      <c r="L570" s="1137"/>
      <c r="M570" s="1140">
        <f t="shared" si="37"/>
        <v>0</v>
      </c>
      <c r="N570" s="932">
        <f t="shared" si="41"/>
        <v>0</v>
      </c>
      <c r="O570" s="905"/>
      <c r="Q570" s="317" t="str">
        <f t="shared" si="38"/>
        <v/>
      </c>
      <c r="R570" s="317" t="str">
        <f t="shared" si="39"/>
        <v/>
      </c>
      <c r="S570" s="317" t="str">
        <f t="shared" si="40"/>
        <v/>
      </c>
      <c r="T570" s="317" t="str">
        <f>GLOBAL_DER_FEV_2023!S570</f>
        <v/>
      </c>
      <c r="W570" s="582">
        <v>0</v>
      </c>
      <c r="X570" s="580"/>
      <c r="Y570" s="583">
        <f>IF(GLOBAL_DER_FEV_2023!W570=0,0,IF(GLOBAL_DER_FEV_2023!W570&gt;0,"c","b"))</f>
        <v>0</v>
      </c>
    </row>
    <row r="571" spans="1:25" ht="13.5" hidden="1" thickBot="1" x14ac:dyDescent="0.25">
      <c r="A571" s="317" t="s">
        <v>165</v>
      </c>
      <c r="B571" s="1036" t="str">
        <f>GLOBAL_DER_FEV_2023!B571</f>
        <v/>
      </c>
      <c r="C571" s="1072" t="str">
        <f>GLOBAL_DER_FEV_2023!C571</f>
        <v/>
      </c>
      <c r="D571" s="1141">
        <f>GLOBAL_DER_FEV_2023!D571</f>
        <v>0</v>
      </c>
      <c r="E571" s="907">
        <f>GLOBAL_DER_FEV_2023!E571</f>
        <v>0</v>
      </c>
      <c r="F571" s="908">
        <f>GLOBAL_DER_FEV_2023!F571</f>
        <v>0</v>
      </c>
      <c r="G571" s="912">
        <f>GLOBAL_DER_FEV_2023!G571</f>
        <v>0</v>
      </c>
      <c r="H571" s="901">
        <f>GLOBAL_DER_FEV_2023!H571</f>
        <v>0</v>
      </c>
      <c r="I571" s="901">
        <f>GLOBAL_DER_FEV_2023!I571</f>
        <v>0</v>
      </c>
      <c r="J571" s="890">
        <f>GLOBAL_DER_FEV_2023!J571</f>
        <v>0</v>
      </c>
      <c r="K571" s="903" t="str">
        <f>GLOBAL_DER_FEV_2023!K571</f>
        <v xml:space="preserve">     </v>
      </c>
      <c r="L571" s="1137"/>
      <c r="M571" s="1140">
        <f t="shared" si="37"/>
        <v>0</v>
      </c>
      <c r="N571" s="932">
        <f t="shared" si="41"/>
        <v>0</v>
      </c>
      <c r="O571" s="905"/>
      <c r="Q571" s="317" t="str">
        <f t="shared" si="38"/>
        <v/>
      </c>
      <c r="R571" s="317" t="str">
        <f t="shared" si="39"/>
        <v/>
      </c>
      <c r="S571" s="317" t="str">
        <f t="shared" si="40"/>
        <v/>
      </c>
      <c r="T571" s="317" t="str">
        <f>GLOBAL_DER_FEV_2023!S571</f>
        <v/>
      </c>
      <c r="W571" s="582">
        <v>0</v>
      </c>
      <c r="X571" s="580"/>
      <c r="Y571" s="583">
        <f>IF(GLOBAL_DER_FEV_2023!W571=0,0,IF(GLOBAL_DER_FEV_2023!W571&gt;0,"c","b"))</f>
        <v>0</v>
      </c>
    </row>
    <row r="572" spans="1:25" ht="13.5" hidden="1" thickBot="1" x14ac:dyDescent="0.25">
      <c r="A572" s="317" t="s">
        <v>165</v>
      </c>
      <c r="B572" s="1036" t="str">
        <f>GLOBAL_DER_FEV_2023!B572</f>
        <v/>
      </c>
      <c r="C572" s="1072" t="str">
        <f>GLOBAL_DER_FEV_2023!C572</f>
        <v/>
      </c>
      <c r="D572" s="1141">
        <f>GLOBAL_DER_FEV_2023!D572</f>
        <v>0</v>
      </c>
      <c r="E572" s="907">
        <f>GLOBAL_DER_FEV_2023!E572</f>
        <v>0</v>
      </c>
      <c r="F572" s="908">
        <f>GLOBAL_DER_FEV_2023!F572</f>
        <v>0</v>
      </c>
      <c r="G572" s="912">
        <f>GLOBAL_DER_FEV_2023!G572</f>
        <v>0</v>
      </c>
      <c r="H572" s="901">
        <f>GLOBAL_DER_FEV_2023!H572</f>
        <v>0</v>
      </c>
      <c r="I572" s="901">
        <f>GLOBAL_DER_FEV_2023!I572</f>
        <v>0</v>
      </c>
      <c r="J572" s="890">
        <f>GLOBAL_DER_FEV_2023!J572</f>
        <v>0</v>
      </c>
      <c r="K572" s="903" t="str">
        <f>GLOBAL_DER_FEV_2023!K572</f>
        <v xml:space="preserve">     </v>
      </c>
      <c r="L572" s="1137"/>
      <c r="M572" s="1140">
        <f t="shared" si="37"/>
        <v>0</v>
      </c>
      <c r="N572" s="932">
        <f t="shared" si="41"/>
        <v>0</v>
      </c>
      <c r="O572" s="905"/>
      <c r="Q572" s="317" t="str">
        <f t="shared" si="38"/>
        <v/>
      </c>
      <c r="R572" s="317" t="str">
        <f t="shared" si="39"/>
        <v/>
      </c>
      <c r="S572" s="317" t="str">
        <f t="shared" si="40"/>
        <v/>
      </c>
      <c r="T572" s="317" t="str">
        <f>GLOBAL_DER_FEV_2023!S572</f>
        <v/>
      </c>
      <c r="W572" s="582">
        <v>0</v>
      </c>
      <c r="X572" s="580"/>
      <c r="Y572" s="583">
        <f>IF(GLOBAL_DER_FEV_2023!W572=0,0,IF(GLOBAL_DER_FEV_2023!W572&gt;0,"c","b"))</f>
        <v>0</v>
      </c>
    </row>
    <row r="573" spans="1:25" ht="13.5" hidden="1" thickBot="1" x14ac:dyDescent="0.25">
      <c r="A573" s="317" t="s">
        <v>165</v>
      </c>
      <c r="B573" s="1036" t="str">
        <f>GLOBAL_DER_FEV_2023!B573</f>
        <v/>
      </c>
      <c r="C573" s="1072" t="str">
        <f>GLOBAL_DER_FEV_2023!C573</f>
        <v/>
      </c>
      <c r="D573" s="1141">
        <f>GLOBAL_DER_FEV_2023!D573</f>
        <v>0</v>
      </c>
      <c r="E573" s="907">
        <f>GLOBAL_DER_FEV_2023!E573</f>
        <v>0</v>
      </c>
      <c r="F573" s="908">
        <f>GLOBAL_DER_FEV_2023!F573</f>
        <v>0</v>
      </c>
      <c r="G573" s="912">
        <f>GLOBAL_DER_FEV_2023!G573</f>
        <v>0</v>
      </c>
      <c r="H573" s="901">
        <f>GLOBAL_DER_FEV_2023!H573</f>
        <v>0</v>
      </c>
      <c r="I573" s="901">
        <f>GLOBAL_DER_FEV_2023!I573</f>
        <v>0</v>
      </c>
      <c r="J573" s="890">
        <f>GLOBAL_DER_FEV_2023!J573</f>
        <v>0</v>
      </c>
      <c r="K573" s="903" t="str">
        <f>GLOBAL_DER_FEV_2023!K573</f>
        <v xml:space="preserve">     </v>
      </c>
      <c r="L573" s="1137"/>
      <c r="M573" s="1140">
        <f t="shared" si="37"/>
        <v>0</v>
      </c>
      <c r="N573" s="932">
        <f t="shared" si="41"/>
        <v>0</v>
      </c>
      <c r="O573" s="905"/>
      <c r="Q573" s="317" t="str">
        <f t="shared" si="38"/>
        <v/>
      </c>
      <c r="R573" s="317" t="str">
        <f t="shared" si="39"/>
        <v/>
      </c>
      <c r="S573" s="317" t="str">
        <f t="shared" si="40"/>
        <v/>
      </c>
      <c r="T573" s="317" t="str">
        <f>GLOBAL_DER_FEV_2023!S573</f>
        <v/>
      </c>
      <c r="W573" s="582">
        <v>0</v>
      </c>
      <c r="X573" s="580"/>
      <c r="Y573" s="583">
        <f>IF(GLOBAL_DER_FEV_2023!W573=0,0,IF(GLOBAL_DER_FEV_2023!W573&gt;0,"c","b"))</f>
        <v>0</v>
      </c>
    </row>
    <row r="574" spans="1:25" ht="13.5" hidden="1" thickBot="1" x14ac:dyDescent="0.25">
      <c r="A574" s="317" t="s">
        <v>165</v>
      </c>
      <c r="B574" s="1036" t="str">
        <f>GLOBAL_DER_FEV_2023!B574</f>
        <v/>
      </c>
      <c r="C574" s="1072" t="str">
        <f>GLOBAL_DER_FEV_2023!C574</f>
        <v/>
      </c>
      <c r="D574" s="1141">
        <f>GLOBAL_DER_FEV_2023!D574</f>
        <v>0</v>
      </c>
      <c r="E574" s="907">
        <f>GLOBAL_DER_FEV_2023!E574</f>
        <v>0</v>
      </c>
      <c r="F574" s="908">
        <f>GLOBAL_DER_FEV_2023!F574</f>
        <v>0</v>
      </c>
      <c r="G574" s="912">
        <f>GLOBAL_DER_FEV_2023!G574</f>
        <v>0</v>
      </c>
      <c r="H574" s="901">
        <f>GLOBAL_DER_FEV_2023!H574</f>
        <v>0</v>
      </c>
      <c r="I574" s="901">
        <f>GLOBAL_DER_FEV_2023!I574</f>
        <v>0</v>
      </c>
      <c r="J574" s="890">
        <f>GLOBAL_DER_FEV_2023!J574</f>
        <v>0</v>
      </c>
      <c r="K574" s="903" t="str">
        <f>GLOBAL_DER_FEV_2023!K574</f>
        <v xml:space="preserve">     </v>
      </c>
      <c r="L574" s="1137"/>
      <c r="M574" s="1140">
        <f t="shared" si="37"/>
        <v>0</v>
      </c>
      <c r="N574" s="932">
        <f t="shared" si="41"/>
        <v>0</v>
      </c>
      <c r="O574" s="905"/>
      <c r="Q574" s="317" t="str">
        <f t="shared" si="38"/>
        <v/>
      </c>
      <c r="R574" s="317" t="str">
        <f t="shared" si="39"/>
        <v/>
      </c>
      <c r="S574" s="317" t="str">
        <f t="shared" si="40"/>
        <v/>
      </c>
      <c r="T574" s="317" t="str">
        <f>GLOBAL_DER_FEV_2023!S574</f>
        <v/>
      </c>
      <c r="W574" s="582">
        <v>0</v>
      </c>
      <c r="X574" s="580"/>
      <c r="Y574" s="583">
        <f>IF(GLOBAL_DER_FEV_2023!W574=0,0,IF(GLOBAL_DER_FEV_2023!W574&gt;0,"c","b"))</f>
        <v>0</v>
      </c>
    </row>
    <row r="575" spans="1:25" ht="13.5" hidden="1" thickBot="1" x14ac:dyDescent="0.25">
      <c r="A575" s="317" t="s">
        <v>165</v>
      </c>
      <c r="B575" s="1036" t="str">
        <f>GLOBAL_DER_FEV_2023!B575</f>
        <v/>
      </c>
      <c r="C575" s="1072" t="str">
        <f>GLOBAL_DER_FEV_2023!C575</f>
        <v/>
      </c>
      <c r="D575" s="1141">
        <f>GLOBAL_DER_FEV_2023!D575</f>
        <v>0</v>
      </c>
      <c r="E575" s="907">
        <f>GLOBAL_DER_FEV_2023!E575</f>
        <v>0</v>
      </c>
      <c r="F575" s="908">
        <f>GLOBAL_DER_FEV_2023!F575</f>
        <v>0</v>
      </c>
      <c r="G575" s="912">
        <f>GLOBAL_DER_FEV_2023!G575</f>
        <v>0</v>
      </c>
      <c r="H575" s="901">
        <f>GLOBAL_DER_FEV_2023!H575</f>
        <v>0</v>
      </c>
      <c r="I575" s="901">
        <f>GLOBAL_DER_FEV_2023!I575</f>
        <v>0</v>
      </c>
      <c r="J575" s="890">
        <f>GLOBAL_DER_FEV_2023!J575</f>
        <v>0</v>
      </c>
      <c r="K575" s="903" t="str">
        <f>GLOBAL_DER_FEV_2023!K575</f>
        <v xml:space="preserve">     </v>
      </c>
      <c r="L575" s="1137"/>
      <c r="M575" s="1140">
        <f t="shared" si="37"/>
        <v>0</v>
      </c>
      <c r="N575" s="932">
        <f t="shared" si="41"/>
        <v>0</v>
      </c>
      <c r="O575" s="905"/>
      <c r="Q575" s="317" t="str">
        <f t="shared" si="38"/>
        <v/>
      </c>
      <c r="R575" s="317" t="str">
        <f t="shared" si="39"/>
        <v/>
      </c>
      <c r="S575" s="317" t="str">
        <f t="shared" si="40"/>
        <v/>
      </c>
      <c r="T575" s="317" t="str">
        <f>GLOBAL_DER_FEV_2023!S575</f>
        <v/>
      </c>
      <c r="W575" s="582">
        <v>0</v>
      </c>
      <c r="X575" s="580"/>
      <c r="Y575" s="583">
        <f>IF(GLOBAL_DER_FEV_2023!W575=0,0,IF(GLOBAL_DER_FEV_2023!W575&gt;0,"c","b"))</f>
        <v>0</v>
      </c>
    </row>
    <row r="576" spans="1:25" ht="13.5" hidden="1" thickBot="1" x14ac:dyDescent="0.25">
      <c r="A576" s="317" t="s">
        <v>165</v>
      </c>
      <c r="B576" s="1036" t="str">
        <f>GLOBAL_DER_FEV_2023!B576</f>
        <v/>
      </c>
      <c r="C576" s="1072" t="str">
        <f>GLOBAL_DER_FEV_2023!C576</f>
        <v/>
      </c>
      <c r="D576" s="1141">
        <f>GLOBAL_DER_FEV_2023!D576</f>
        <v>0</v>
      </c>
      <c r="E576" s="907">
        <f>GLOBAL_DER_FEV_2023!E576</f>
        <v>0</v>
      </c>
      <c r="F576" s="908">
        <f>GLOBAL_DER_FEV_2023!F576</f>
        <v>0</v>
      </c>
      <c r="G576" s="912">
        <f>GLOBAL_DER_FEV_2023!G576</f>
        <v>0</v>
      </c>
      <c r="H576" s="901">
        <f>GLOBAL_DER_FEV_2023!H576</f>
        <v>0</v>
      </c>
      <c r="I576" s="901">
        <f>GLOBAL_DER_FEV_2023!I576</f>
        <v>0</v>
      </c>
      <c r="J576" s="890">
        <f>GLOBAL_DER_FEV_2023!J576</f>
        <v>0</v>
      </c>
      <c r="K576" s="903" t="str">
        <f>GLOBAL_DER_FEV_2023!K576</f>
        <v xml:space="preserve">     </v>
      </c>
      <c r="L576" s="1137"/>
      <c r="M576" s="1140">
        <f t="shared" si="37"/>
        <v>0</v>
      </c>
      <c r="N576" s="932">
        <f t="shared" si="41"/>
        <v>0</v>
      </c>
      <c r="O576" s="905"/>
      <c r="Q576" s="317" t="str">
        <f t="shared" si="38"/>
        <v/>
      </c>
      <c r="R576" s="317" t="str">
        <f t="shared" si="39"/>
        <v/>
      </c>
      <c r="S576" s="317" t="str">
        <f t="shared" si="40"/>
        <v/>
      </c>
      <c r="T576" s="317" t="str">
        <f>GLOBAL_DER_FEV_2023!S576</f>
        <v/>
      </c>
      <c r="W576" s="582">
        <v>0</v>
      </c>
      <c r="X576" s="580"/>
      <c r="Y576" s="583">
        <f>IF(GLOBAL_DER_FEV_2023!W576=0,0,IF(GLOBAL_DER_FEV_2023!W576&gt;0,"c","b"))</f>
        <v>0</v>
      </c>
    </row>
    <row r="577" spans="1:25" ht="13.5" hidden="1" thickBot="1" x14ac:dyDescent="0.25">
      <c r="A577" s="317" t="s">
        <v>165</v>
      </c>
      <c r="B577" s="1036" t="str">
        <f>GLOBAL_DER_FEV_2023!B577</f>
        <v/>
      </c>
      <c r="C577" s="1072" t="str">
        <f>GLOBAL_DER_FEV_2023!C577</f>
        <v/>
      </c>
      <c r="D577" s="1141">
        <f>GLOBAL_DER_FEV_2023!D577</f>
        <v>0</v>
      </c>
      <c r="E577" s="907">
        <f>GLOBAL_DER_FEV_2023!E577</f>
        <v>0</v>
      </c>
      <c r="F577" s="908">
        <f>GLOBAL_DER_FEV_2023!F577</f>
        <v>0</v>
      </c>
      <c r="G577" s="912">
        <f>GLOBAL_DER_FEV_2023!G577</f>
        <v>0</v>
      </c>
      <c r="H577" s="901">
        <f>GLOBAL_DER_FEV_2023!H577</f>
        <v>0</v>
      </c>
      <c r="I577" s="901">
        <f>GLOBAL_DER_FEV_2023!I577</f>
        <v>0</v>
      </c>
      <c r="J577" s="890">
        <f>GLOBAL_DER_FEV_2023!J577</f>
        <v>0</v>
      </c>
      <c r="K577" s="903" t="str">
        <f>GLOBAL_DER_FEV_2023!K577</f>
        <v xml:space="preserve">     </v>
      </c>
      <c r="L577" s="1137"/>
      <c r="M577" s="1140">
        <f t="shared" si="37"/>
        <v>0</v>
      </c>
      <c r="N577" s="932">
        <f t="shared" si="41"/>
        <v>0</v>
      </c>
      <c r="O577" s="905"/>
      <c r="Q577" s="317" t="str">
        <f t="shared" si="38"/>
        <v/>
      </c>
      <c r="R577" s="317" t="str">
        <f t="shared" si="39"/>
        <v/>
      </c>
      <c r="S577" s="317" t="str">
        <f t="shared" si="40"/>
        <v/>
      </c>
      <c r="T577" s="317" t="str">
        <f>GLOBAL_DER_FEV_2023!S577</f>
        <v/>
      </c>
      <c r="W577" s="582">
        <v>0</v>
      </c>
      <c r="X577" s="580"/>
      <c r="Y577" s="583">
        <f>IF(GLOBAL_DER_FEV_2023!W577=0,0,IF(GLOBAL_DER_FEV_2023!W577&gt;0,"c","b"))</f>
        <v>0</v>
      </c>
    </row>
    <row r="578" spans="1:25" ht="13.5" hidden="1" thickBot="1" x14ac:dyDescent="0.25">
      <c r="A578" s="317" t="s">
        <v>165</v>
      </c>
      <c r="B578" s="1036" t="str">
        <f>GLOBAL_DER_FEV_2023!B578</f>
        <v/>
      </c>
      <c r="C578" s="1072" t="str">
        <f>GLOBAL_DER_FEV_2023!C578</f>
        <v/>
      </c>
      <c r="D578" s="1141">
        <f>GLOBAL_DER_FEV_2023!D578</f>
        <v>0</v>
      </c>
      <c r="E578" s="907">
        <f>GLOBAL_DER_FEV_2023!E578</f>
        <v>0</v>
      </c>
      <c r="F578" s="908">
        <f>GLOBAL_DER_FEV_2023!F578</f>
        <v>0</v>
      </c>
      <c r="G578" s="912">
        <f>GLOBAL_DER_FEV_2023!G578</f>
        <v>0</v>
      </c>
      <c r="H578" s="901">
        <f>GLOBAL_DER_FEV_2023!H578</f>
        <v>0</v>
      </c>
      <c r="I578" s="901">
        <f>GLOBAL_DER_FEV_2023!I578</f>
        <v>0</v>
      </c>
      <c r="J578" s="890">
        <f>GLOBAL_DER_FEV_2023!J578</f>
        <v>0</v>
      </c>
      <c r="K578" s="903" t="str">
        <f>GLOBAL_DER_FEV_2023!K578</f>
        <v xml:space="preserve">     </v>
      </c>
      <c r="L578" s="1137"/>
      <c r="M578" s="1140">
        <f t="shared" si="37"/>
        <v>0</v>
      </c>
      <c r="N578" s="932">
        <f t="shared" si="41"/>
        <v>0</v>
      </c>
      <c r="O578" s="905"/>
      <c r="Q578" s="317" t="str">
        <f t="shared" si="38"/>
        <v/>
      </c>
      <c r="R578" s="317" t="str">
        <f t="shared" si="39"/>
        <v/>
      </c>
      <c r="S578" s="317" t="str">
        <f t="shared" si="40"/>
        <v/>
      </c>
      <c r="T578" s="317" t="str">
        <f>GLOBAL_DER_FEV_2023!S578</f>
        <v/>
      </c>
      <c r="W578" s="582">
        <v>0</v>
      </c>
      <c r="X578" s="580"/>
      <c r="Y578" s="583">
        <f>IF(GLOBAL_DER_FEV_2023!W578=0,0,IF(GLOBAL_DER_FEV_2023!W578&gt;0,"c","b"))</f>
        <v>0</v>
      </c>
    </row>
    <row r="579" spans="1:25" ht="13.5" hidden="1" thickBot="1" x14ac:dyDescent="0.25">
      <c r="A579" s="317" t="s">
        <v>165</v>
      </c>
      <c r="B579" s="1036" t="str">
        <f>GLOBAL_DER_FEV_2023!B579</f>
        <v/>
      </c>
      <c r="C579" s="1072" t="str">
        <f>GLOBAL_DER_FEV_2023!C579</f>
        <v/>
      </c>
      <c r="D579" s="1141">
        <f>GLOBAL_DER_FEV_2023!D579</f>
        <v>0</v>
      </c>
      <c r="E579" s="907">
        <f>GLOBAL_DER_FEV_2023!E579</f>
        <v>0</v>
      </c>
      <c r="F579" s="908">
        <f>GLOBAL_DER_FEV_2023!F579</f>
        <v>0</v>
      </c>
      <c r="G579" s="912">
        <f>GLOBAL_DER_FEV_2023!G579</f>
        <v>0</v>
      </c>
      <c r="H579" s="901">
        <f>GLOBAL_DER_FEV_2023!H579</f>
        <v>0</v>
      </c>
      <c r="I579" s="901">
        <f>GLOBAL_DER_FEV_2023!I579</f>
        <v>0</v>
      </c>
      <c r="J579" s="890">
        <f>GLOBAL_DER_FEV_2023!J579</f>
        <v>0</v>
      </c>
      <c r="K579" s="903" t="str">
        <f>GLOBAL_DER_FEV_2023!K579</f>
        <v xml:space="preserve">     </v>
      </c>
      <c r="L579" s="1137"/>
      <c r="M579" s="1140">
        <f t="shared" si="37"/>
        <v>0</v>
      </c>
      <c r="N579" s="932">
        <f t="shared" si="41"/>
        <v>0</v>
      </c>
      <c r="O579" s="905"/>
      <c r="Q579" s="317" t="str">
        <f t="shared" si="38"/>
        <v/>
      </c>
      <c r="R579" s="317" t="str">
        <f t="shared" si="39"/>
        <v/>
      </c>
      <c r="S579" s="317" t="str">
        <f t="shared" si="40"/>
        <v/>
      </c>
      <c r="T579" s="317" t="str">
        <f>GLOBAL_DER_FEV_2023!S579</f>
        <v/>
      </c>
      <c r="W579" s="582">
        <v>0</v>
      </c>
      <c r="X579" s="580"/>
      <c r="Y579" s="583">
        <f>IF(GLOBAL_DER_FEV_2023!W579=0,0,IF(GLOBAL_DER_FEV_2023!W579&gt;0,"c","b"))</f>
        <v>0</v>
      </c>
    </row>
    <row r="580" spans="1:25" ht="13.5" hidden="1" thickBot="1" x14ac:dyDescent="0.25">
      <c r="A580" s="317" t="s">
        <v>165</v>
      </c>
      <c r="B580" s="1036" t="str">
        <f>GLOBAL_DER_FEV_2023!B580</f>
        <v/>
      </c>
      <c r="C580" s="1072" t="str">
        <f>GLOBAL_DER_FEV_2023!C580</f>
        <v/>
      </c>
      <c r="D580" s="1141">
        <f>GLOBAL_DER_FEV_2023!D580</f>
        <v>0</v>
      </c>
      <c r="E580" s="907">
        <f>GLOBAL_DER_FEV_2023!E580</f>
        <v>0</v>
      </c>
      <c r="F580" s="908">
        <f>GLOBAL_DER_FEV_2023!F580</f>
        <v>0</v>
      </c>
      <c r="G580" s="912">
        <f>GLOBAL_DER_FEV_2023!G580</f>
        <v>0</v>
      </c>
      <c r="H580" s="901">
        <f>GLOBAL_DER_FEV_2023!H580</f>
        <v>0</v>
      </c>
      <c r="I580" s="901">
        <f>GLOBAL_DER_FEV_2023!I580</f>
        <v>0</v>
      </c>
      <c r="J580" s="890">
        <f>GLOBAL_DER_FEV_2023!J580</f>
        <v>0</v>
      </c>
      <c r="K580" s="903" t="str">
        <f>GLOBAL_DER_FEV_2023!K580</f>
        <v xml:space="preserve">     </v>
      </c>
      <c r="L580" s="1137"/>
      <c r="M580" s="1140">
        <f t="shared" si="37"/>
        <v>0</v>
      </c>
      <c r="N580" s="932">
        <f t="shared" si="41"/>
        <v>0</v>
      </c>
      <c r="O580" s="905"/>
      <c r="Q580" s="317" t="str">
        <f t="shared" si="38"/>
        <v/>
      </c>
      <c r="R580" s="317" t="str">
        <f t="shared" si="39"/>
        <v/>
      </c>
      <c r="S580" s="317" t="str">
        <f t="shared" si="40"/>
        <v/>
      </c>
      <c r="T580" s="317" t="str">
        <f>GLOBAL_DER_FEV_2023!S580</f>
        <v/>
      </c>
      <c r="W580" s="582">
        <v>0</v>
      </c>
      <c r="X580" s="580"/>
      <c r="Y580" s="583">
        <f>IF(GLOBAL_DER_FEV_2023!W580=0,0,IF(GLOBAL_DER_FEV_2023!W580&gt;0,"c","b"))</f>
        <v>0</v>
      </c>
    </row>
    <row r="581" spans="1:25" ht="13.5" hidden="1" thickBot="1" x14ac:dyDescent="0.25">
      <c r="A581" s="317" t="s">
        <v>165</v>
      </c>
      <c r="B581" s="1036" t="str">
        <f>GLOBAL_DER_FEV_2023!B581</f>
        <v/>
      </c>
      <c r="C581" s="1072" t="str">
        <f>GLOBAL_DER_FEV_2023!C581</f>
        <v/>
      </c>
      <c r="D581" s="1141">
        <f>GLOBAL_DER_FEV_2023!D581</f>
        <v>0</v>
      </c>
      <c r="E581" s="907">
        <f>GLOBAL_DER_FEV_2023!E581</f>
        <v>0</v>
      </c>
      <c r="F581" s="908">
        <f>GLOBAL_DER_FEV_2023!F581</f>
        <v>0</v>
      </c>
      <c r="G581" s="912">
        <f>GLOBAL_DER_FEV_2023!G581</f>
        <v>0</v>
      </c>
      <c r="H581" s="901">
        <f>GLOBAL_DER_FEV_2023!H581</f>
        <v>0</v>
      </c>
      <c r="I581" s="901">
        <f>GLOBAL_DER_FEV_2023!I581</f>
        <v>0</v>
      </c>
      <c r="J581" s="890">
        <f>GLOBAL_DER_FEV_2023!J581</f>
        <v>0</v>
      </c>
      <c r="K581" s="903" t="str">
        <f>GLOBAL_DER_FEV_2023!K581</f>
        <v xml:space="preserve">     </v>
      </c>
      <c r="L581" s="1137"/>
      <c r="M581" s="1140">
        <f t="shared" si="37"/>
        <v>0</v>
      </c>
      <c r="N581" s="932">
        <f t="shared" si="41"/>
        <v>0</v>
      </c>
      <c r="O581" s="905"/>
      <c r="Q581" s="317" t="str">
        <f t="shared" si="38"/>
        <v/>
      </c>
      <c r="R581" s="317" t="str">
        <f t="shared" si="39"/>
        <v/>
      </c>
      <c r="S581" s="317" t="str">
        <f t="shared" si="40"/>
        <v/>
      </c>
      <c r="T581" s="317" t="str">
        <f>GLOBAL_DER_FEV_2023!S581</f>
        <v/>
      </c>
      <c r="W581" s="582">
        <v>0</v>
      </c>
      <c r="X581" s="580"/>
      <c r="Y581" s="583">
        <f>IF(GLOBAL_DER_FEV_2023!W581=0,0,IF(GLOBAL_DER_FEV_2023!W581&gt;0,"c","b"))</f>
        <v>0</v>
      </c>
    </row>
    <row r="582" spans="1:25" ht="13.5" hidden="1" thickBot="1" x14ac:dyDescent="0.25">
      <c r="A582" s="317" t="s">
        <v>165</v>
      </c>
      <c r="B582" s="1036" t="str">
        <f>GLOBAL_DER_FEV_2023!B582</f>
        <v/>
      </c>
      <c r="C582" s="1072" t="str">
        <f>GLOBAL_DER_FEV_2023!C582</f>
        <v/>
      </c>
      <c r="D582" s="1141">
        <f>GLOBAL_DER_FEV_2023!D582</f>
        <v>0</v>
      </c>
      <c r="E582" s="907">
        <f>GLOBAL_DER_FEV_2023!E582</f>
        <v>0</v>
      </c>
      <c r="F582" s="908">
        <f>GLOBAL_DER_FEV_2023!F582</f>
        <v>0</v>
      </c>
      <c r="G582" s="912">
        <f>GLOBAL_DER_FEV_2023!G582</f>
        <v>0</v>
      </c>
      <c r="H582" s="901">
        <f>GLOBAL_DER_FEV_2023!H582</f>
        <v>0</v>
      </c>
      <c r="I582" s="901">
        <f>GLOBAL_DER_FEV_2023!I582</f>
        <v>0</v>
      </c>
      <c r="J582" s="890">
        <f>GLOBAL_DER_FEV_2023!J582</f>
        <v>0</v>
      </c>
      <c r="K582" s="903" t="str">
        <f>GLOBAL_DER_FEV_2023!K582</f>
        <v xml:space="preserve">     </v>
      </c>
      <c r="L582" s="1137"/>
      <c r="M582" s="1140">
        <f t="shared" si="37"/>
        <v>0</v>
      </c>
      <c r="N582" s="932">
        <f t="shared" si="41"/>
        <v>0</v>
      </c>
      <c r="O582" s="905"/>
      <c r="Q582" s="317" t="str">
        <f t="shared" si="38"/>
        <v/>
      </c>
      <c r="R582" s="317" t="str">
        <f t="shared" si="39"/>
        <v/>
      </c>
      <c r="S582" s="317" t="str">
        <f t="shared" si="40"/>
        <v/>
      </c>
      <c r="T582" s="317" t="str">
        <f>GLOBAL_DER_FEV_2023!S582</f>
        <v/>
      </c>
      <c r="W582" s="582">
        <v>0</v>
      </c>
      <c r="X582" s="580"/>
      <c r="Y582" s="583">
        <f>IF(GLOBAL_DER_FEV_2023!W582=0,0,IF(GLOBAL_DER_FEV_2023!W582&gt;0,"c","b"))</f>
        <v>0</v>
      </c>
    </row>
    <row r="583" spans="1:25" ht="13.5" hidden="1" thickBot="1" x14ac:dyDescent="0.25">
      <c r="A583" s="317" t="s">
        <v>165</v>
      </c>
      <c r="B583" s="1036" t="str">
        <f>GLOBAL_DER_FEV_2023!B583</f>
        <v/>
      </c>
      <c r="C583" s="1072" t="str">
        <f>GLOBAL_DER_FEV_2023!C583</f>
        <v/>
      </c>
      <c r="D583" s="1141">
        <f>GLOBAL_DER_FEV_2023!D583</f>
        <v>0</v>
      </c>
      <c r="E583" s="907">
        <f>GLOBAL_DER_FEV_2023!E583</f>
        <v>0</v>
      </c>
      <c r="F583" s="908">
        <f>GLOBAL_DER_FEV_2023!F583</f>
        <v>0</v>
      </c>
      <c r="G583" s="912">
        <f>GLOBAL_DER_FEV_2023!G583</f>
        <v>0</v>
      </c>
      <c r="H583" s="901">
        <f>GLOBAL_DER_FEV_2023!H583</f>
        <v>0</v>
      </c>
      <c r="I583" s="901">
        <f>GLOBAL_DER_FEV_2023!I583</f>
        <v>0</v>
      </c>
      <c r="J583" s="890">
        <f>GLOBAL_DER_FEV_2023!J583</f>
        <v>0</v>
      </c>
      <c r="K583" s="903" t="str">
        <f>GLOBAL_DER_FEV_2023!K583</f>
        <v xml:space="preserve">     </v>
      </c>
      <c r="L583" s="1137"/>
      <c r="M583" s="1140">
        <f t="shared" si="37"/>
        <v>0</v>
      </c>
      <c r="N583" s="932">
        <f t="shared" si="41"/>
        <v>0</v>
      </c>
      <c r="O583" s="905"/>
      <c r="Q583" s="317" t="str">
        <f t="shared" si="38"/>
        <v/>
      </c>
      <c r="R583" s="317" t="str">
        <f t="shared" si="39"/>
        <v/>
      </c>
      <c r="S583" s="317" t="str">
        <f t="shared" si="40"/>
        <v/>
      </c>
      <c r="T583" s="317" t="str">
        <f>GLOBAL_DER_FEV_2023!S583</f>
        <v/>
      </c>
      <c r="W583" s="582">
        <v>0</v>
      </c>
      <c r="X583" s="580"/>
      <c r="Y583" s="583">
        <f>IF(GLOBAL_DER_FEV_2023!W583=0,0,IF(GLOBAL_DER_FEV_2023!W583&gt;0,"c","b"))</f>
        <v>0</v>
      </c>
    </row>
    <row r="584" spans="1:25" ht="13.5" hidden="1" thickBot="1" x14ac:dyDescent="0.25">
      <c r="A584" s="317" t="s">
        <v>165</v>
      </c>
      <c r="B584" s="1036" t="str">
        <f>GLOBAL_DER_FEV_2023!B584</f>
        <v/>
      </c>
      <c r="C584" s="1072" t="str">
        <f>GLOBAL_DER_FEV_2023!C584</f>
        <v/>
      </c>
      <c r="D584" s="1141">
        <f>GLOBAL_DER_FEV_2023!D584</f>
        <v>0</v>
      </c>
      <c r="E584" s="907">
        <f>GLOBAL_DER_FEV_2023!E584</f>
        <v>0</v>
      </c>
      <c r="F584" s="908">
        <f>GLOBAL_DER_FEV_2023!F584</f>
        <v>0</v>
      </c>
      <c r="G584" s="912">
        <f>GLOBAL_DER_FEV_2023!G584</f>
        <v>0</v>
      </c>
      <c r="H584" s="901">
        <f>GLOBAL_DER_FEV_2023!H584</f>
        <v>0</v>
      </c>
      <c r="I584" s="901">
        <f>GLOBAL_DER_FEV_2023!I584</f>
        <v>0</v>
      </c>
      <c r="J584" s="890">
        <f>GLOBAL_DER_FEV_2023!J584</f>
        <v>0</v>
      </c>
      <c r="K584" s="903" t="str">
        <f>GLOBAL_DER_FEV_2023!K584</f>
        <v xml:space="preserve">     </v>
      </c>
      <c r="L584" s="1137"/>
      <c r="M584" s="1140">
        <f t="shared" si="37"/>
        <v>0</v>
      </c>
      <c r="N584" s="932">
        <f t="shared" si="41"/>
        <v>0</v>
      </c>
      <c r="O584" s="905"/>
      <c r="Q584" s="317" t="str">
        <f t="shared" si="38"/>
        <v/>
      </c>
      <c r="R584" s="317" t="str">
        <f t="shared" si="39"/>
        <v/>
      </c>
      <c r="S584" s="317" t="str">
        <f t="shared" si="40"/>
        <v/>
      </c>
      <c r="T584" s="317" t="str">
        <f>GLOBAL_DER_FEV_2023!S584</f>
        <v/>
      </c>
      <c r="W584" s="582">
        <v>0</v>
      </c>
      <c r="X584" s="580"/>
      <c r="Y584" s="583">
        <f>IF(GLOBAL_DER_FEV_2023!W584=0,0,IF(GLOBAL_DER_FEV_2023!W584&gt;0,"c","b"))</f>
        <v>0</v>
      </c>
    </row>
    <row r="585" spans="1:25" ht="13.5" hidden="1" thickBot="1" x14ac:dyDescent="0.25">
      <c r="A585" s="317" t="s">
        <v>165</v>
      </c>
      <c r="B585" s="1036" t="str">
        <f>GLOBAL_DER_FEV_2023!B585</f>
        <v/>
      </c>
      <c r="C585" s="1072" t="str">
        <f>GLOBAL_DER_FEV_2023!C585</f>
        <v/>
      </c>
      <c r="D585" s="1141">
        <f>GLOBAL_DER_FEV_2023!D585</f>
        <v>0</v>
      </c>
      <c r="E585" s="907">
        <f>GLOBAL_DER_FEV_2023!E585</f>
        <v>0</v>
      </c>
      <c r="F585" s="908">
        <f>GLOBAL_DER_FEV_2023!F585</f>
        <v>0</v>
      </c>
      <c r="G585" s="912">
        <f>GLOBAL_DER_FEV_2023!G585</f>
        <v>0</v>
      </c>
      <c r="H585" s="901">
        <f>GLOBAL_DER_FEV_2023!H585</f>
        <v>0</v>
      </c>
      <c r="I585" s="901">
        <f>GLOBAL_DER_FEV_2023!I585</f>
        <v>0</v>
      </c>
      <c r="J585" s="890">
        <f>GLOBAL_DER_FEV_2023!J585</f>
        <v>0</v>
      </c>
      <c r="K585" s="903" t="str">
        <f>GLOBAL_DER_FEV_2023!K585</f>
        <v xml:space="preserve">     </v>
      </c>
      <c r="L585" s="1137"/>
      <c r="M585" s="1140">
        <f t="shared" si="37"/>
        <v>0</v>
      </c>
      <c r="N585" s="932">
        <f t="shared" si="41"/>
        <v>0</v>
      </c>
      <c r="O585" s="905"/>
      <c r="Q585" s="317" t="str">
        <f t="shared" si="38"/>
        <v/>
      </c>
      <c r="R585" s="317" t="str">
        <f t="shared" si="39"/>
        <v/>
      </c>
      <c r="S585" s="317" t="str">
        <f t="shared" si="40"/>
        <v/>
      </c>
      <c r="T585" s="317" t="str">
        <f>GLOBAL_DER_FEV_2023!S585</f>
        <v/>
      </c>
      <c r="W585" s="582">
        <v>0</v>
      </c>
      <c r="X585" s="580"/>
      <c r="Y585" s="583">
        <f>IF(GLOBAL_DER_FEV_2023!W585=0,0,IF(GLOBAL_DER_FEV_2023!W585&gt;0,"c","b"))</f>
        <v>0</v>
      </c>
    </row>
    <row r="586" spans="1:25" ht="13.5" hidden="1" thickBot="1" x14ac:dyDescent="0.25">
      <c r="A586" s="317" t="s">
        <v>165</v>
      </c>
      <c r="B586" s="1036" t="str">
        <f>GLOBAL_DER_FEV_2023!B586</f>
        <v/>
      </c>
      <c r="C586" s="1072" t="str">
        <f>GLOBAL_DER_FEV_2023!C586</f>
        <v/>
      </c>
      <c r="D586" s="1141">
        <f>GLOBAL_DER_FEV_2023!D586</f>
        <v>0</v>
      </c>
      <c r="E586" s="907">
        <f>GLOBAL_DER_FEV_2023!E586</f>
        <v>0</v>
      </c>
      <c r="F586" s="908">
        <f>GLOBAL_DER_FEV_2023!F586</f>
        <v>0</v>
      </c>
      <c r="G586" s="912">
        <f>GLOBAL_DER_FEV_2023!G586</f>
        <v>0</v>
      </c>
      <c r="H586" s="901">
        <f>GLOBAL_DER_FEV_2023!H586</f>
        <v>0</v>
      </c>
      <c r="I586" s="901">
        <f>GLOBAL_DER_FEV_2023!I586</f>
        <v>0</v>
      </c>
      <c r="J586" s="890">
        <f>GLOBAL_DER_FEV_2023!J586</f>
        <v>0</v>
      </c>
      <c r="K586" s="903" t="str">
        <f>GLOBAL_DER_FEV_2023!K586</f>
        <v xml:space="preserve">     </v>
      </c>
      <c r="L586" s="1137"/>
      <c r="M586" s="1140">
        <f t="shared" si="37"/>
        <v>0</v>
      </c>
      <c r="N586" s="932">
        <f t="shared" si="41"/>
        <v>0</v>
      </c>
      <c r="O586" s="905"/>
      <c r="Q586" s="317" t="str">
        <f t="shared" si="38"/>
        <v/>
      </c>
      <c r="R586" s="317" t="str">
        <f t="shared" si="39"/>
        <v/>
      </c>
      <c r="S586" s="317" t="str">
        <f t="shared" si="40"/>
        <v/>
      </c>
      <c r="T586" s="317" t="str">
        <f>GLOBAL_DER_FEV_2023!S586</f>
        <v/>
      </c>
      <c r="W586" s="582">
        <v>0</v>
      </c>
      <c r="X586" s="580"/>
      <c r="Y586" s="583">
        <f>IF(GLOBAL_DER_FEV_2023!W586=0,0,IF(GLOBAL_DER_FEV_2023!W586&gt;0,"c","b"))</f>
        <v>0</v>
      </c>
    </row>
    <row r="587" spans="1:25" ht="13.5" hidden="1" thickBot="1" x14ac:dyDescent="0.25">
      <c r="A587" s="317" t="s">
        <v>165</v>
      </c>
      <c r="B587" s="1036" t="str">
        <f>GLOBAL_DER_FEV_2023!B587</f>
        <v/>
      </c>
      <c r="C587" s="1072" t="str">
        <f>GLOBAL_DER_FEV_2023!C587</f>
        <v/>
      </c>
      <c r="D587" s="1141">
        <f>GLOBAL_DER_FEV_2023!D587</f>
        <v>0</v>
      </c>
      <c r="E587" s="907">
        <f>GLOBAL_DER_FEV_2023!E587</f>
        <v>0</v>
      </c>
      <c r="F587" s="908">
        <f>GLOBAL_DER_FEV_2023!F587</f>
        <v>0</v>
      </c>
      <c r="G587" s="912">
        <f>GLOBAL_DER_FEV_2023!G587</f>
        <v>0</v>
      </c>
      <c r="H587" s="901">
        <f>GLOBAL_DER_FEV_2023!H587</f>
        <v>0</v>
      </c>
      <c r="I587" s="901">
        <f>GLOBAL_DER_FEV_2023!I587</f>
        <v>0</v>
      </c>
      <c r="J587" s="890">
        <f>GLOBAL_DER_FEV_2023!J587</f>
        <v>0</v>
      </c>
      <c r="K587" s="903" t="str">
        <f>GLOBAL_DER_FEV_2023!K587</f>
        <v xml:space="preserve">     </v>
      </c>
      <c r="L587" s="1137"/>
      <c r="M587" s="1140">
        <f t="shared" si="37"/>
        <v>0</v>
      </c>
      <c r="N587" s="932">
        <f t="shared" si="41"/>
        <v>0</v>
      </c>
      <c r="O587" s="905"/>
      <c r="Q587" s="317" t="str">
        <f t="shared" si="38"/>
        <v/>
      </c>
      <c r="R587" s="317" t="str">
        <f t="shared" si="39"/>
        <v/>
      </c>
      <c r="S587" s="317" t="str">
        <f t="shared" si="40"/>
        <v/>
      </c>
      <c r="T587" s="317" t="str">
        <f>GLOBAL_DER_FEV_2023!S587</f>
        <v/>
      </c>
      <c r="W587" s="582">
        <v>0</v>
      </c>
      <c r="X587" s="580"/>
      <c r="Y587" s="583">
        <f>IF(GLOBAL_DER_FEV_2023!W587=0,0,IF(GLOBAL_DER_FEV_2023!W587&gt;0,"c","b"))</f>
        <v>0</v>
      </c>
    </row>
    <row r="588" spans="1:25" ht="13.5" hidden="1" thickBot="1" x14ac:dyDescent="0.25">
      <c r="A588" s="317" t="s">
        <v>165</v>
      </c>
      <c r="B588" s="1036" t="str">
        <f>GLOBAL_DER_FEV_2023!B588</f>
        <v/>
      </c>
      <c r="C588" s="1072" t="str">
        <f>GLOBAL_DER_FEV_2023!C588</f>
        <v/>
      </c>
      <c r="D588" s="1141">
        <f>GLOBAL_DER_FEV_2023!D588</f>
        <v>0</v>
      </c>
      <c r="E588" s="907">
        <f>GLOBAL_DER_FEV_2023!E588</f>
        <v>0</v>
      </c>
      <c r="F588" s="908">
        <f>GLOBAL_DER_FEV_2023!F588</f>
        <v>0</v>
      </c>
      <c r="G588" s="912">
        <f>GLOBAL_DER_FEV_2023!G588</f>
        <v>0</v>
      </c>
      <c r="H588" s="901">
        <f>GLOBAL_DER_FEV_2023!H588</f>
        <v>0</v>
      </c>
      <c r="I588" s="901">
        <f>GLOBAL_DER_FEV_2023!I588</f>
        <v>0</v>
      </c>
      <c r="J588" s="890">
        <f>GLOBAL_DER_FEV_2023!J588</f>
        <v>0</v>
      </c>
      <c r="K588" s="903" t="str">
        <f>GLOBAL_DER_FEV_2023!K588</f>
        <v xml:space="preserve">     </v>
      </c>
      <c r="L588" s="1137"/>
      <c r="M588" s="1140">
        <f t="shared" si="37"/>
        <v>0</v>
      </c>
      <c r="N588" s="932">
        <f t="shared" si="41"/>
        <v>0</v>
      </c>
      <c r="O588" s="905"/>
      <c r="Q588" s="317" t="str">
        <f t="shared" si="38"/>
        <v/>
      </c>
      <c r="R588" s="317" t="str">
        <f t="shared" si="39"/>
        <v/>
      </c>
      <c r="S588" s="317" t="str">
        <f t="shared" si="40"/>
        <v/>
      </c>
      <c r="T588" s="317" t="str">
        <f>GLOBAL_DER_FEV_2023!S588</f>
        <v/>
      </c>
      <c r="W588" s="582">
        <v>0</v>
      </c>
      <c r="X588" s="580"/>
      <c r="Y588" s="583">
        <f>IF(GLOBAL_DER_FEV_2023!W588=0,0,IF(GLOBAL_DER_FEV_2023!W588&gt;0,"c","b"))</f>
        <v>0</v>
      </c>
    </row>
    <row r="589" spans="1:25" ht="13.5" hidden="1" thickBot="1" x14ac:dyDescent="0.25">
      <c r="A589" s="317" t="s">
        <v>166</v>
      </c>
      <c r="B589" s="950" t="s">
        <v>166</v>
      </c>
      <c r="C589" s="951"/>
      <c r="D589" s="952" t="s">
        <v>430</v>
      </c>
      <c r="E589" s="943">
        <f>GLOBAL_DER_FEV_2023!E589</f>
        <v>0</v>
      </c>
      <c r="F589" s="876"/>
      <c r="G589" s="944"/>
      <c r="H589" s="945">
        <f>GLOBAL_DER_FEV_2023!H589</f>
        <v>0</v>
      </c>
      <c r="I589" s="945">
        <f>GLOBAL_DER_FEV_2023!I589</f>
        <v>0</v>
      </c>
      <c r="J589" s="945">
        <f>GLOBAL_DER_FEV_2023!J589</f>
        <v>0</v>
      </c>
      <c r="K589" s="878" t="s">
        <v>507</v>
      </c>
      <c r="L589" s="879"/>
      <c r="M589" s="880"/>
      <c r="N589" s="881">
        <f t="shared" si="41"/>
        <v>0</v>
      </c>
      <c r="O589" s="882">
        <f>SUM(N590:N643)</f>
        <v>0</v>
      </c>
      <c r="P589" s="58" t="str">
        <f>IF(OR(O589&gt;0,O589&gt;0),"X","")</f>
        <v/>
      </c>
      <c r="Q589" s="317" t="str">
        <f t="shared" si="38"/>
        <v/>
      </c>
      <c r="R589" s="317" t="str">
        <f t="shared" si="39"/>
        <v/>
      </c>
      <c r="S589" s="317" t="str">
        <f t="shared" si="40"/>
        <v/>
      </c>
      <c r="T589" s="317" t="str">
        <f>GLOBAL_DER_FEV_2023!S589</f>
        <v/>
      </c>
      <c r="W589" s="582">
        <v>0</v>
      </c>
      <c r="X589" s="580"/>
      <c r="Y589" s="583">
        <f>IF(GLOBAL_DER_FEV_2023!W589=0,0,IF(GLOBAL_DER_FEV_2023!W589&gt;0,"c","b"))</f>
        <v>0</v>
      </c>
    </row>
    <row r="590" spans="1:25" ht="13.5" hidden="1" thickBot="1" x14ac:dyDescent="0.25">
      <c r="A590" s="317" t="s">
        <v>833</v>
      </c>
      <c r="B590" s="895" t="str">
        <f>GLOBAL_DER_FEV_2023!B590</f>
        <v>PAV-071</v>
      </c>
      <c r="C590" s="896" t="str">
        <f>GLOBAL_DER_FEV_2023!C590</f>
        <v>PM Curitiba-abr/22</v>
      </c>
      <c r="D590" s="906" t="str">
        <f>GLOBAL_DER_FEV_2023!D590</f>
        <v>Arrancamento de Meio-Fio</v>
      </c>
      <c r="E590" s="907">
        <f>GLOBAL_DER_FEV_2023!E590</f>
        <v>0</v>
      </c>
      <c r="F590" s="908">
        <f>GLOBAL_DER_FEV_2023!F590</f>
        <v>0</v>
      </c>
      <c r="G590" s="912">
        <f>GLOBAL_DER_FEV_2023!G590</f>
        <v>0</v>
      </c>
      <c r="H590" s="901">
        <f>GLOBAL_DER_FEV_2023!H590</f>
        <v>22.14</v>
      </c>
      <c r="I590" s="901">
        <f>GLOBAL_DER_FEV_2023!I590</f>
        <v>22.14</v>
      </c>
      <c r="J590" s="902">
        <f>GLOBAL_DER_FEV_2023!J590</f>
        <v>26.58</v>
      </c>
      <c r="K590" s="903" t="s">
        <v>13</v>
      </c>
      <c r="L590" s="1137"/>
      <c r="M590" s="1138">
        <f t="shared" ref="M590:M653" si="42">IF(L590=0,0,ROUND(J590,2))</f>
        <v>0</v>
      </c>
      <c r="N590" s="893">
        <f t="shared" si="41"/>
        <v>0</v>
      </c>
      <c r="O590" s="905"/>
      <c r="Q590" s="317" t="str">
        <f t="shared" si="38"/>
        <v/>
      </c>
      <c r="R590" s="317" t="str">
        <f t="shared" si="39"/>
        <v/>
      </c>
      <c r="S590" s="317" t="str">
        <f t="shared" si="40"/>
        <v/>
      </c>
      <c r="T590" s="317" t="str">
        <f>GLOBAL_DER_FEV_2023!S590</f>
        <v/>
      </c>
      <c r="W590" s="582">
        <v>0</v>
      </c>
      <c r="X590" s="580"/>
      <c r="Y590" s="583">
        <f>IF(GLOBAL_DER_FEV_2023!W590=0,0,IF(GLOBAL_DER_FEV_2023!W590&gt;0,"c","b"))</f>
        <v>0</v>
      </c>
    </row>
    <row r="591" spans="1:25" ht="13.5" hidden="1" thickBot="1" x14ac:dyDescent="0.25">
      <c r="A591" s="317" t="s">
        <v>834</v>
      </c>
      <c r="B591" s="895" t="str">
        <f>GLOBAL_DER_FEV_2023!B591</f>
        <v>PAV-077</v>
      </c>
      <c r="C591" s="896" t="str">
        <f>GLOBAL_DER_FEV_2023!C591</f>
        <v>PM Curitiba-abr/22</v>
      </c>
      <c r="D591" s="906" t="str">
        <f>GLOBAL_DER_FEV_2023!D591</f>
        <v>Arrancamento e reassentamento de Meio-Fio de Concreto com sarjeta</v>
      </c>
      <c r="E591" s="898">
        <f>GLOBAL_DER_FEV_2023!E591</f>
        <v>0</v>
      </c>
      <c r="F591" s="899">
        <f>GLOBAL_DER_FEV_2023!F591</f>
        <v>0</v>
      </c>
      <c r="G591" s="900">
        <f>GLOBAL_DER_FEV_2023!G591</f>
        <v>0</v>
      </c>
      <c r="H591" s="901">
        <f>GLOBAL_DER_FEV_2023!H591</f>
        <v>6.56</v>
      </c>
      <c r="I591" s="901">
        <f>GLOBAL_DER_FEV_2023!I591</f>
        <v>6.56</v>
      </c>
      <c r="J591" s="902">
        <f>GLOBAL_DER_FEV_2023!J591</f>
        <v>7.88</v>
      </c>
      <c r="K591" s="903" t="s">
        <v>13</v>
      </c>
      <c r="L591" s="1139"/>
      <c r="M591" s="1140">
        <f t="shared" si="42"/>
        <v>0</v>
      </c>
      <c r="N591" s="893">
        <f t="shared" si="41"/>
        <v>0</v>
      </c>
      <c r="O591" s="905"/>
      <c r="Q591" s="317" t="str">
        <f t="shared" ref="Q591:Q654" si="43">IF(P591="X","x",IF(P591="xx","x",IF(P591="xy","x",IF(P591="y","x",IF(OR(N591&gt;0,N591&gt;0),"x","")))))</f>
        <v/>
      </c>
      <c r="R591" s="317" t="str">
        <f t="shared" si="39"/>
        <v/>
      </c>
      <c r="S591" s="317" t="str">
        <f t="shared" si="40"/>
        <v/>
      </c>
      <c r="T591" s="317" t="str">
        <f>GLOBAL_DER_FEV_2023!S591</f>
        <v/>
      </c>
      <c r="W591" s="582">
        <v>0</v>
      </c>
      <c r="X591" s="580"/>
      <c r="Y591" s="583">
        <f>IF(GLOBAL_DER_FEV_2023!W591=0,0,IF(GLOBAL_DER_FEV_2023!W591&gt;0,"c","b"))</f>
        <v>0</v>
      </c>
    </row>
    <row r="592" spans="1:25" ht="13.5" hidden="1" thickBot="1" x14ac:dyDescent="0.25">
      <c r="A592" s="317">
        <v>535200</v>
      </c>
      <c r="B592" s="895" t="s">
        <v>1608</v>
      </c>
      <c r="C592" s="896" t="s">
        <v>184</v>
      </c>
      <c r="D592" s="906" t="s">
        <v>220</v>
      </c>
      <c r="E592" s="907">
        <f>GLOBAL_DER_FEV_2023!E592</f>
        <v>0</v>
      </c>
      <c r="F592" s="899">
        <f>GLOBAL_DER_FEV_2023!F592</f>
        <v>7.6999999999999999E-2</v>
      </c>
      <c r="G592" s="949">
        <f>GLOBAL_DER_FEV_2023!G592</f>
        <v>0.20636000000000002</v>
      </c>
      <c r="H592" s="901">
        <f>GLOBAL_DER_FEV_2023!H592</f>
        <v>11.65</v>
      </c>
      <c r="I592" s="901">
        <f>GLOBAL_DER_FEV_2023!I592</f>
        <v>11.85636</v>
      </c>
      <c r="J592" s="902">
        <f>GLOBAL_DER_FEV_2023!J592</f>
        <v>14.24</v>
      </c>
      <c r="K592" s="903" t="s">
        <v>13</v>
      </c>
      <c r="L592" s="1137"/>
      <c r="M592" s="1138">
        <f t="shared" si="42"/>
        <v>0</v>
      </c>
      <c r="N592" s="893">
        <f t="shared" si="41"/>
        <v>0</v>
      </c>
      <c r="O592" s="905"/>
      <c r="Q592" s="317" t="str">
        <f t="shared" si="43"/>
        <v/>
      </c>
      <c r="R592" s="317" t="str">
        <f t="shared" si="39"/>
        <v/>
      </c>
      <c r="S592" s="317" t="str">
        <f t="shared" si="40"/>
        <v/>
      </c>
      <c r="T592" s="317" t="str">
        <f>GLOBAL_DER_FEV_2023!S592</f>
        <v/>
      </c>
      <c r="W592" s="582">
        <v>0</v>
      </c>
      <c r="X592" s="580"/>
      <c r="Y592" s="583">
        <f>IF(GLOBAL_DER_FEV_2023!W592=0,0,IF(GLOBAL_DER_FEV_2023!W592&gt;0,"c","b"))</f>
        <v>0</v>
      </c>
    </row>
    <row r="593" spans="1:25" ht="13.5" hidden="1" thickBot="1" x14ac:dyDescent="0.25">
      <c r="A593" s="317">
        <v>810100</v>
      </c>
      <c r="B593" s="895">
        <v>810100</v>
      </c>
      <c r="C593" s="896" t="s">
        <v>184</v>
      </c>
      <c r="D593" s="906" t="s">
        <v>248</v>
      </c>
      <c r="E593" s="907">
        <f>GLOBAL_DER_FEV_2023!E593</f>
        <v>0</v>
      </c>
      <c r="F593" s="908">
        <f>GLOBAL_DER_FEV_2023!F593</f>
        <v>0</v>
      </c>
      <c r="G593" s="912">
        <f>GLOBAL_DER_FEV_2023!G593</f>
        <v>23.365354200000002</v>
      </c>
      <c r="H593" s="901">
        <f>GLOBAL_DER_FEV_2023!H593</f>
        <v>66.03</v>
      </c>
      <c r="I593" s="901">
        <f>GLOBAL_DER_FEV_2023!I593</f>
        <v>89.3953542</v>
      </c>
      <c r="J593" s="902">
        <f>GLOBAL_DER_FEV_2023!J593</f>
        <v>107.34</v>
      </c>
      <c r="K593" s="903" t="s">
        <v>13</v>
      </c>
      <c r="L593" s="1137"/>
      <c r="M593" s="1138">
        <f t="shared" si="42"/>
        <v>0</v>
      </c>
      <c r="N593" s="893">
        <f t="shared" si="41"/>
        <v>0</v>
      </c>
      <c r="O593" s="905"/>
      <c r="Q593" s="317" t="str">
        <f t="shared" si="43"/>
        <v/>
      </c>
      <c r="R593" s="317" t="str">
        <f t="shared" ref="R593:R656" si="44">IF(P593="X","x",IF(P593="y","x",IF(P593="xx","x",IF(N593&gt;0,"x",""))))</f>
        <v/>
      </c>
      <c r="S593" s="317" t="str">
        <f t="shared" ref="S593:S656" si="45">IF(P593="X","x",IF(N593&gt;0,"x",""))</f>
        <v/>
      </c>
      <c r="T593" s="317" t="str">
        <f>GLOBAL_DER_FEV_2023!S593</f>
        <v/>
      </c>
      <c r="W593" s="582">
        <v>0</v>
      </c>
      <c r="X593" s="580"/>
      <c r="Y593" s="583">
        <f>IF(GLOBAL_DER_FEV_2023!W593=0,0,IF(GLOBAL_DER_FEV_2023!W593&gt;0,"c","b"))</f>
        <v>0</v>
      </c>
    </row>
    <row r="594" spans="1:25" ht="13.5" hidden="1" thickBot="1" x14ac:dyDescent="0.25">
      <c r="A594" s="317" t="s">
        <v>147</v>
      </c>
      <c r="B594" s="895" t="s">
        <v>147</v>
      </c>
      <c r="C594" s="896"/>
      <c r="D594" s="957" t="s">
        <v>190</v>
      </c>
      <c r="E594" s="907">
        <f>GLOBAL_DER_FEV_2023!E594</f>
        <v>308</v>
      </c>
      <c r="F594" s="908">
        <f>GLOBAL_DER_FEV_2023!F594</f>
        <v>2.7799999999999998E-2</v>
      </c>
      <c r="G594" s="909">
        <f>GLOBAL_DER_FEV_2023!G594</f>
        <v>6.8960679999999996</v>
      </c>
      <c r="H594" s="901">
        <f>GLOBAL_DER_FEV_2023!H594</f>
        <v>0</v>
      </c>
      <c r="I594" s="901">
        <f>GLOBAL_DER_FEV_2023!I594</f>
        <v>0</v>
      </c>
      <c r="J594" s="902">
        <f>GLOBAL_DER_FEV_2023!J594</f>
        <v>0</v>
      </c>
      <c r="K594" s="958" t="s">
        <v>507</v>
      </c>
      <c r="L594" s="959"/>
      <c r="M594" s="1157">
        <f t="shared" si="42"/>
        <v>0</v>
      </c>
      <c r="N594" s="893">
        <f t="shared" si="41"/>
        <v>0</v>
      </c>
      <c r="O594" s="905"/>
      <c r="P594" s="58" t="str">
        <f>IF(N593&gt;0,"xx",IF(N593&gt;0,"xy",""))</f>
        <v/>
      </c>
      <c r="Q594" s="317" t="str">
        <f t="shared" si="43"/>
        <v/>
      </c>
      <c r="R594" s="317" t="str">
        <f t="shared" si="44"/>
        <v/>
      </c>
      <c r="S594" s="317" t="str">
        <f t="shared" si="45"/>
        <v/>
      </c>
      <c r="T594" s="317" t="str">
        <f>GLOBAL_DER_FEV_2023!S594</f>
        <v/>
      </c>
      <c r="W594" s="582">
        <v>0</v>
      </c>
      <c r="X594" s="580"/>
      <c r="Y594" s="583">
        <f>IF(GLOBAL_DER_FEV_2023!W594=0,0,IF(GLOBAL_DER_FEV_2023!W594&gt;0,"c","b"))</f>
        <v>0</v>
      </c>
    </row>
    <row r="595" spans="1:25" ht="13.5" hidden="1" thickBot="1" x14ac:dyDescent="0.25">
      <c r="A595" s="317" t="s">
        <v>147</v>
      </c>
      <c r="B595" s="895" t="s">
        <v>147</v>
      </c>
      <c r="C595" s="896"/>
      <c r="D595" s="957" t="s">
        <v>229</v>
      </c>
      <c r="E595" s="907">
        <f>GLOBAL_DER_FEV_2023!E595</f>
        <v>150</v>
      </c>
      <c r="F595" s="908">
        <f>GLOBAL_DER_FEV_2023!F595</f>
        <v>9.8900000000000002E-2</v>
      </c>
      <c r="G595" s="949">
        <f>GLOBAL_DER_FEV_2023!G595</f>
        <v>16.138502000000003</v>
      </c>
      <c r="H595" s="901">
        <f>GLOBAL_DER_FEV_2023!H595</f>
        <v>0</v>
      </c>
      <c r="I595" s="901">
        <f>GLOBAL_DER_FEV_2023!I595</f>
        <v>0</v>
      </c>
      <c r="J595" s="902">
        <f>GLOBAL_DER_FEV_2023!J595</f>
        <v>0</v>
      </c>
      <c r="K595" s="958" t="s">
        <v>507</v>
      </c>
      <c r="L595" s="959"/>
      <c r="M595" s="1157">
        <f t="shared" si="42"/>
        <v>0</v>
      </c>
      <c r="N595" s="893">
        <f t="shared" si="41"/>
        <v>0</v>
      </c>
      <c r="O595" s="905"/>
      <c r="P595" s="58" t="str">
        <f>IF(N593&gt;0,"xx",IF(N593&gt;0,"xy",""))</f>
        <v/>
      </c>
      <c r="Q595" s="317" t="str">
        <f t="shared" si="43"/>
        <v/>
      </c>
      <c r="R595" s="317" t="str">
        <f t="shared" si="44"/>
        <v/>
      </c>
      <c r="S595" s="317" t="str">
        <f t="shared" si="45"/>
        <v/>
      </c>
      <c r="T595" s="317" t="str">
        <f>GLOBAL_DER_FEV_2023!S595</f>
        <v/>
      </c>
      <c r="W595" s="582">
        <v>0</v>
      </c>
      <c r="X595" s="580"/>
      <c r="Y595" s="583">
        <f>IF(GLOBAL_DER_FEV_2023!W595=0,0,IF(GLOBAL_DER_FEV_2023!W595&gt;0,"c","b"))</f>
        <v>0</v>
      </c>
    </row>
    <row r="596" spans="1:25" ht="13.5" hidden="1" thickBot="1" x14ac:dyDescent="0.25">
      <c r="A596" s="317" t="s">
        <v>147</v>
      </c>
      <c r="B596" s="895" t="s">
        <v>147</v>
      </c>
      <c r="C596" s="896"/>
      <c r="D596" s="957" t="s">
        <v>233</v>
      </c>
      <c r="E596" s="907">
        <f>GLOBAL_DER_FEV_2023!E596</f>
        <v>0.2</v>
      </c>
      <c r="F596" s="908">
        <f>GLOBAL_DER_FEV_2023!F596</f>
        <v>0.1143</v>
      </c>
      <c r="G596" s="949">
        <f>GLOBAL_DER_FEV_2023!G596</f>
        <v>0.33078420000000003</v>
      </c>
      <c r="H596" s="901">
        <f>GLOBAL_DER_FEV_2023!H596</f>
        <v>0</v>
      </c>
      <c r="I596" s="901">
        <f>GLOBAL_DER_FEV_2023!I596</f>
        <v>0</v>
      </c>
      <c r="J596" s="902">
        <f>GLOBAL_DER_FEV_2023!J596</f>
        <v>0</v>
      </c>
      <c r="K596" s="958" t="s">
        <v>507</v>
      </c>
      <c r="L596" s="959"/>
      <c r="M596" s="1157">
        <f t="shared" si="42"/>
        <v>0</v>
      </c>
      <c r="N596" s="893">
        <f t="shared" si="41"/>
        <v>0</v>
      </c>
      <c r="O596" s="905"/>
      <c r="P596" s="58" t="str">
        <f>IF(N593&gt;0,"xx",IF(N593&gt;0,"xy",""))</f>
        <v/>
      </c>
      <c r="Q596" s="317" t="str">
        <f t="shared" si="43"/>
        <v/>
      </c>
      <c r="R596" s="317" t="str">
        <f t="shared" si="44"/>
        <v/>
      </c>
      <c r="S596" s="317" t="str">
        <f t="shared" si="45"/>
        <v/>
      </c>
      <c r="T596" s="317" t="str">
        <f>GLOBAL_DER_FEV_2023!S596</f>
        <v/>
      </c>
      <c r="W596" s="582">
        <v>0</v>
      </c>
      <c r="X596" s="580"/>
      <c r="Y596" s="583">
        <f>IF(GLOBAL_DER_FEV_2023!W596=0,0,IF(GLOBAL_DER_FEV_2023!W596&gt;0,"c","b"))</f>
        <v>0</v>
      </c>
    </row>
    <row r="597" spans="1:25" ht="13.5" hidden="1" thickBot="1" x14ac:dyDescent="0.25">
      <c r="A597" s="317">
        <v>810050</v>
      </c>
      <c r="B597" s="895">
        <v>810050</v>
      </c>
      <c r="C597" s="896" t="s">
        <v>184</v>
      </c>
      <c r="D597" s="906" t="s">
        <v>249</v>
      </c>
      <c r="E597" s="907">
        <f>GLOBAL_DER_FEV_2023!E597</f>
        <v>0.1</v>
      </c>
      <c r="F597" s="908">
        <f>GLOBAL_DER_FEV_2023!F597</f>
        <v>0.2409</v>
      </c>
      <c r="G597" s="949">
        <f>GLOBAL_DER_FEV_2023!G597</f>
        <v>0.67138830000000005</v>
      </c>
      <c r="H597" s="901">
        <f>GLOBAL_DER_FEV_2023!H597</f>
        <v>104.81</v>
      </c>
      <c r="I597" s="901">
        <f>GLOBAL_DER_FEV_2023!I597</f>
        <v>105.48138830000001</v>
      </c>
      <c r="J597" s="902">
        <f>GLOBAL_DER_FEV_2023!J597</f>
        <v>126.65</v>
      </c>
      <c r="K597" s="903" t="s">
        <v>13</v>
      </c>
      <c r="L597" s="1137"/>
      <c r="M597" s="1138">
        <f t="shared" si="42"/>
        <v>0</v>
      </c>
      <c r="N597" s="893">
        <f t="shared" ref="N597:N660" si="46">IF(ISBLANK(L597),0,IF(W597=0,ROUND(L597*M597,2),IF(W597="b",ROUNDDOWN(L597*M597,2),ROUNDUP(L597*M597,2))))</f>
        <v>0</v>
      </c>
      <c r="O597" s="905"/>
      <c r="P597" s="58"/>
      <c r="Q597" s="317" t="str">
        <f t="shared" si="43"/>
        <v/>
      </c>
      <c r="R597" s="317" t="str">
        <f t="shared" si="44"/>
        <v/>
      </c>
      <c r="S597" s="317" t="str">
        <f t="shared" si="45"/>
        <v/>
      </c>
      <c r="T597" s="317" t="str">
        <f>GLOBAL_DER_FEV_2023!S597</f>
        <v/>
      </c>
      <c r="W597" s="582">
        <v>0</v>
      </c>
      <c r="X597" s="580"/>
      <c r="Y597" s="583">
        <f>IF(GLOBAL_DER_FEV_2023!W597=0,0,IF(GLOBAL_DER_FEV_2023!W597&gt;0,"c","b"))</f>
        <v>0</v>
      </c>
    </row>
    <row r="598" spans="1:25" ht="13.5" hidden="1" thickBot="1" x14ac:dyDescent="0.25">
      <c r="A598" s="317">
        <v>810200</v>
      </c>
      <c r="B598" s="895">
        <v>810200</v>
      </c>
      <c r="C598" s="896" t="s">
        <v>184</v>
      </c>
      <c r="D598" s="906" t="s">
        <v>250</v>
      </c>
      <c r="E598" s="907">
        <f>GLOBAL_DER_FEV_2023!E598</f>
        <v>0</v>
      </c>
      <c r="F598" s="908">
        <f>GLOBAL_DER_FEV_2023!F598</f>
        <v>0</v>
      </c>
      <c r="G598" s="912">
        <f>GLOBAL_DER_FEV_2023!G598</f>
        <v>9.5140924000000009</v>
      </c>
      <c r="H598" s="901">
        <f>GLOBAL_DER_FEV_2023!H598</f>
        <v>28.65</v>
      </c>
      <c r="I598" s="901">
        <f>GLOBAL_DER_FEV_2023!I598</f>
        <v>38.164092400000001</v>
      </c>
      <c r="J598" s="902">
        <f>GLOBAL_DER_FEV_2023!J598</f>
        <v>45.82</v>
      </c>
      <c r="K598" s="903" t="s">
        <v>13</v>
      </c>
      <c r="L598" s="1137"/>
      <c r="M598" s="1138">
        <f t="shared" si="42"/>
        <v>0</v>
      </c>
      <c r="N598" s="893">
        <f t="shared" si="46"/>
        <v>0</v>
      </c>
      <c r="O598" s="905"/>
      <c r="P598" s="58"/>
      <c r="Q598" s="317" t="str">
        <f t="shared" si="43"/>
        <v/>
      </c>
      <c r="R598" s="317" t="str">
        <f t="shared" si="44"/>
        <v/>
      </c>
      <c r="S598" s="317" t="str">
        <f t="shared" si="45"/>
        <v/>
      </c>
      <c r="T598" s="317" t="str">
        <f>GLOBAL_DER_FEV_2023!S598</f>
        <v/>
      </c>
      <c r="W598" s="582">
        <v>0</v>
      </c>
      <c r="X598" s="580"/>
      <c r="Y598" s="583">
        <f>IF(GLOBAL_DER_FEV_2023!W598=0,0,IF(GLOBAL_DER_FEV_2023!W598&gt;0,"c","b"))</f>
        <v>0</v>
      </c>
    </row>
    <row r="599" spans="1:25" ht="13.5" hidden="1" thickBot="1" x14ac:dyDescent="0.25">
      <c r="A599" s="317" t="s">
        <v>147</v>
      </c>
      <c r="B599" s="895" t="s">
        <v>147</v>
      </c>
      <c r="C599" s="896"/>
      <c r="D599" s="957" t="s">
        <v>190</v>
      </c>
      <c r="E599" s="907">
        <f>GLOBAL_DER_FEV_2023!E599</f>
        <v>308</v>
      </c>
      <c r="F599" s="908">
        <f>GLOBAL_DER_FEV_2023!F599</f>
        <v>1.1299999999999999E-2</v>
      </c>
      <c r="G599" s="909">
        <f>GLOBAL_DER_FEV_2023!G599</f>
        <v>2.8030779999999997</v>
      </c>
      <c r="H599" s="901">
        <f>GLOBAL_DER_FEV_2023!H599</f>
        <v>0</v>
      </c>
      <c r="I599" s="901">
        <f>GLOBAL_DER_FEV_2023!I599</f>
        <v>0</v>
      </c>
      <c r="J599" s="902">
        <f>GLOBAL_DER_FEV_2023!J599</f>
        <v>0</v>
      </c>
      <c r="K599" s="958" t="s">
        <v>507</v>
      </c>
      <c r="L599" s="959"/>
      <c r="M599" s="1157">
        <f t="shared" si="42"/>
        <v>0</v>
      </c>
      <c r="N599" s="893">
        <f t="shared" si="46"/>
        <v>0</v>
      </c>
      <c r="O599" s="905"/>
      <c r="P599" s="58" t="str">
        <f>IF(N598&gt;0,"xx",IF(N598&gt;0,"xy",""))</f>
        <v/>
      </c>
      <c r="Q599" s="317" t="str">
        <f t="shared" si="43"/>
        <v/>
      </c>
      <c r="R599" s="317" t="str">
        <f t="shared" si="44"/>
        <v/>
      </c>
      <c r="S599" s="317" t="str">
        <f t="shared" si="45"/>
        <v/>
      </c>
      <c r="T599" s="317" t="str">
        <f>GLOBAL_DER_FEV_2023!S599</f>
        <v/>
      </c>
      <c r="W599" s="582">
        <v>0</v>
      </c>
      <c r="X599" s="580"/>
      <c r="Y599" s="583">
        <f>IF(GLOBAL_DER_FEV_2023!W599=0,0,IF(GLOBAL_DER_FEV_2023!W599&gt;0,"c","b"))</f>
        <v>0</v>
      </c>
    </row>
    <row r="600" spans="1:25" ht="13.5" hidden="1" thickBot="1" x14ac:dyDescent="0.25">
      <c r="A600" s="317" t="s">
        <v>147</v>
      </c>
      <c r="B600" s="895" t="s">
        <v>147</v>
      </c>
      <c r="C600" s="896"/>
      <c r="D600" s="957" t="s">
        <v>229</v>
      </c>
      <c r="E600" s="907">
        <f>GLOBAL_DER_FEV_2023!E600</f>
        <v>150</v>
      </c>
      <c r="F600" s="908">
        <f>GLOBAL_DER_FEV_2023!F600</f>
        <v>4.0300000000000002E-2</v>
      </c>
      <c r="G600" s="949">
        <f>GLOBAL_DER_FEV_2023!G600</f>
        <v>6.5761540000000007</v>
      </c>
      <c r="H600" s="901">
        <f>GLOBAL_DER_FEV_2023!H600</f>
        <v>0</v>
      </c>
      <c r="I600" s="901">
        <f>GLOBAL_DER_FEV_2023!I600</f>
        <v>0</v>
      </c>
      <c r="J600" s="902">
        <f>GLOBAL_DER_FEV_2023!J600</f>
        <v>0</v>
      </c>
      <c r="K600" s="958" t="s">
        <v>507</v>
      </c>
      <c r="L600" s="959"/>
      <c r="M600" s="1157">
        <f t="shared" si="42"/>
        <v>0</v>
      </c>
      <c r="N600" s="893">
        <f t="shared" si="46"/>
        <v>0</v>
      </c>
      <c r="O600" s="905"/>
      <c r="P600" s="58" t="str">
        <f>IF(N598&gt;0,"xx",IF(N598&gt;0,"xy",""))</f>
        <v/>
      </c>
      <c r="Q600" s="317" t="str">
        <f t="shared" si="43"/>
        <v/>
      </c>
      <c r="R600" s="317" t="str">
        <f t="shared" si="44"/>
        <v/>
      </c>
      <c r="S600" s="317" t="str">
        <f t="shared" si="45"/>
        <v/>
      </c>
      <c r="T600" s="317" t="str">
        <f>GLOBAL_DER_FEV_2023!S600</f>
        <v/>
      </c>
      <c r="W600" s="582">
        <v>0</v>
      </c>
      <c r="X600" s="580"/>
      <c r="Y600" s="583">
        <f>IF(GLOBAL_DER_FEV_2023!W600=0,0,IF(GLOBAL_DER_FEV_2023!W600&gt;0,"c","b"))</f>
        <v>0</v>
      </c>
    </row>
    <row r="601" spans="1:25" ht="13.5" hidden="1" thickBot="1" x14ac:dyDescent="0.25">
      <c r="A601" s="317" t="s">
        <v>147</v>
      </c>
      <c r="B601" s="895" t="s">
        <v>147</v>
      </c>
      <c r="C601" s="896"/>
      <c r="D601" s="957" t="s">
        <v>233</v>
      </c>
      <c r="E601" s="907">
        <f>GLOBAL_DER_FEV_2023!E601</f>
        <v>0.2</v>
      </c>
      <c r="F601" s="908">
        <f>GLOBAL_DER_FEV_2023!F601</f>
        <v>4.6600000000000003E-2</v>
      </c>
      <c r="G601" s="949">
        <f>GLOBAL_DER_FEV_2023!G601</f>
        <v>0.13486040000000002</v>
      </c>
      <c r="H601" s="901">
        <f>GLOBAL_DER_FEV_2023!H601</f>
        <v>0</v>
      </c>
      <c r="I601" s="901">
        <f>GLOBAL_DER_FEV_2023!I601</f>
        <v>0</v>
      </c>
      <c r="J601" s="902">
        <f>GLOBAL_DER_FEV_2023!J601</f>
        <v>0</v>
      </c>
      <c r="K601" s="958" t="s">
        <v>507</v>
      </c>
      <c r="L601" s="959"/>
      <c r="M601" s="1157">
        <f t="shared" si="42"/>
        <v>0</v>
      </c>
      <c r="N601" s="893">
        <f t="shared" si="46"/>
        <v>0</v>
      </c>
      <c r="O601" s="905"/>
      <c r="P601" s="58" t="str">
        <f>IF(N598&gt;0,"xx",IF(N598&gt;0,"xy",""))</f>
        <v/>
      </c>
      <c r="Q601" s="317" t="str">
        <f t="shared" si="43"/>
        <v/>
      </c>
      <c r="R601" s="317" t="str">
        <f t="shared" si="44"/>
        <v/>
      </c>
      <c r="S601" s="317" t="str">
        <f t="shared" si="45"/>
        <v/>
      </c>
      <c r="T601" s="317" t="str">
        <f>GLOBAL_DER_FEV_2023!S601</f>
        <v/>
      </c>
      <c r="W601" s="582">
        <v>0</v>
      </c>
      <c r="X601" s="580"/>
      <c r="Y601" s="583">
        <f>IF(GLOBAL_DER_FEV_2023!W601=0,0,IF(GLOBAL_DER_FEV_2023!W601&gt;0,"c","b"))</f>
        <v>0</v>
      </c>
    </row>
    <row r="602" spans="1:25" ht="13.5" hidden="1" thickBot="1" x14ac:dyDescent="0.25">
      <c r="A602" s="317">
        <v>810150</v>
      </c>
      <c r="B602" s="895">
        <v>810150</v>
      </c>
      <c r="C602" s="896" t="s">
        <v>184</v>
      </c>
      <c r="D602" s="906" t="s">
        <v>251</v>
      </c>
      <c r="E602" s="907">
        <f>GLOBAL_DER_FEV_2023!E602</f>
        <v>0.1</v>
      </c>
      <c r="F602" s="908">
        <f>GLOBAL_DER_FEV_2023!F602</f>
        <v>9.8199999999999996E-2</v>
      </c>
      <c r="G602" s="949">
        <f>GLOBAL_DER_FEV_2023!G602</f>
        <v>0.27368340000000002</v>
      </c>
      <c r="H602" s="901">
        <f>GLOBAL_DER_FEV_2023!H602</f>
        <v>48.6</v>
      </c>
      <c r="I602" s="901">
        <f>GLOBAL_DER_FEV_2023!I602</f>
        <v>48.873683400000004</v>
      </c>
      <c r="J602" s="902">
        <f>GLOBAL_DER_FEV_2023!J602</f>
        <v>58.68</v>
      </c>
      <c r="K602" s="903" t="s">
        <v>13</v>
      </c>
      <c r="L602" s="1137"/>
      <c r="M602" s="1138">
        <f t="shared" si="42"/>
        <v>0</v>
      </c>
      <c r="N602" s="893">
        <f t="shared" si="46"/>
        <v>0</v>
      </c>
      <c r="O602" s="905"/>
      <c r="Q602" s="317" t="str">
        <f t="shared" si="43"/>
        <v/>
      </c>
      <c r="R602" s="317" t="str">
        <f t="shared" si="44"/>
        <v/>
      </c>
      <c r="S602" s="317" t="str">
        <f t="shared" si="45"/>
        <v/>
      </c>
      <c r="T602" s="317" t="str">
        <f>GLOBAL_DER_FEV_2023!S602</f>
        <v/>
      </c>
      <c r="W602" s="582">
        <v>0</v>
      </c>
      <c r="X602" s="580"/>
      <c r="Y602" s="583">
        <f>IF(GLOBAL_DER_FEV_2023!W602=0,0,IF(GLOBAL_DER_FEV_2023!W602&gt;0,"c","b"))</f>
        <v>0</v>
      </c>
    </row>
    <row r="603" spans="1:25" ht="13.5" hidden="1" thickBot="1" x14ac:dyDescent="0.25">
      <c r="A603" s="317">
        <v>810700</v>
      </c>
      <c r="B603" s="895">
        <v>810700</v>
      </c>
      <c r="C603" s="896" t="s">
        <v>184</v>
      </c>
      <c r="D603" s="906" t="s">
        <v>252</v>
      </c>
      <c r="E603" s="907">
        <f>GLOBAL_DER_FEV_2023!E603</f>
        <v>0</v>
      </c>
      <c r="F603" s="908">
        <f>GLOBAL_DER_FEV_2023!F603</f>
        <v>0</v>
      </c>
      <c r="G603" s="912">
        <f>GLOBAL_DER_FEV_2023!G603</f>
        <v>7.0460216000000004</v>
      </c>
      <c r="H603" s="901">
        <f>GLOBAL_DER_FEV_2023!H603</f>
        <v>23.47</v>
      </c>
      <c r="I603" s="901">
        <f>GLOBAL_DER_FEV_2023!I603</f>
        <v>30.516021599999998</v>
      </c>
      <c r="J603" s="902">
        <f>GLOBAL_DER_FEV_2023!J603</f>
        <v>36.64</v>
      </c>
      <c r="K603" s="903" t="s">
        <v>13</v>
      </c>
      <c r="L603" s="1137"/>
      <c r="M603" s="1138">
        <f t="shared" si="42"/>
        <v>0</v>
      </c>
      <c r="N603" s="893">
        <f t="shared" si="46"/>
        <v>0</v>
      </c>
      <c r="O603" s="905"/>
      <c r="Q603" s="317" t="str">
        <f t="shared" si="43"/>
        <v/>
      </c>
      <c r="R603" s="317" t="str">
        <f t="shared" si="44"/>
        <v/>
      </c>
      <c r="S603" s="317" t="str">
        <f t="shared" si="45"/>
        <v/>
      </c>
      <c r="T603" s="317" t="str">
        <f>GLOBAL_DER_FEV_2023!S603</f>
        <v/>
      </c>
      <c r="W603" s="582">
        <v>0</v>
      </c>
      <c r="X603" s="580"/>
      <c r="Y603" s="583">
        <f>IF(GLOBAL_DER_FEV_2023!W603=0,0,IF(GLOBAL_DER_FEV_2023!W603&gt;0,"c","b"))</f>
        <v>0</v>
      </c>
    </row>
    <row r="604" spans="1:25" ht="13.5" hidden="1" thickBot="1" x14ac:dyDescent="0.25">
      <c r="A604" s="317" t="s">
        <v>147</v>
      </c>
      <c r="B604" s="895" t="s">
        <v>147</v>
      </c>
      <c r="C604" s="896"/>
      <c r="D604" s="957" t="s">
        <v>190</v>
      </c>
      <c r="E604" s="907">
        <f>GLOBAL_DER_FEV_2023!E604</f>
        <v>308</v>
      </c>
      <c r="F604" s="908">
        <f>GLOBAL_DER_FEV_2023!F604</f>
        <v>8.3999999999999995E-3</v>
      </c>
      <c r="G604" s="909">
        <f>GLOBAL_DER_FEV_2023!G604</f>
        <v>2.083704</v>
      </c>
      <c r="H604" s="901">
        <f>GLOBAL_DER_FEV_2023!H604</f>
        <v>0</v>
      </c>
      <c r="I604" s="901">
        <f>GLOBAL_DER_FEV_2023!I604</f>
        <v>0</v>
      </c>
      <c r="J604" s="902">
        <f>GLOBAL_DER_FEV_2023!J604</f>
        <v>0</v>
      </c>
      <c r="K604" s="958" t="s">
        <v>507</v>
      </c>
      <c r="L604" s="959"/>
      <c r="M604" s="1157">
        <f t="shared" si="42"/>
        <v>0</v>
      </c>
      <c r="N604" s="893">
        <f t="shared" si="46"/>
        <v>0</v>
      </c>
      <c r="O604" s="905"/>
      <c r="P604" s="58" t="str">
        <f>IF(N603&gt;0,"xx",IF(N603&gt;0,"xy",""))</f>
        <v/>
      </c>
      <c r="Q604" s="317" t="str">
        <f t="shared" si="43"/>
        <v/>
      </c>
      <c r="R604" s="317" t="str">
        <f t="shared" si="44"/>
        <v/>
      </c>
      <c r="S604" s="317" t="str">
        <f t="shared" si="45"/>
        <v/>
      </c>
      <c r="T604" s="317" t="str">
        <f>GLOBAL_DER_FEV_2023!S604</f>
        <v/>
      </c>
      <c r="W604" s="582">
        <v>0</v>
      </c>
      <c r="X604" s="580"/>
      <c r="Y604" s="583">
        <f>IF(GLOBAL_DER_FEV_2023!W604=0,0,IF(GLOBAL_DER_FEV_2023!W604&gt;0,"c","b"))</f>
        <v>0</v>
      </c>
    </row>
    <row r="605" spans="1:25" ht="13.5" hidden="1" thickBot="1" x14ac:dyDescent="0.25">
      <c r="A605" s="317" t="s">
        <v>147</v>
      </c>
      <c r="B605" s="895" t="s">
        <v>147</v>
      </c>
      <c r="C605" s="896"/>
      <c r="D605" s="957" t="s">
        <v>229</v>
      </c>
      <c r="E605" s="907">
        <f>GLOBAL_DER_FEV_2023!E605</f>
        <v>150</v>
      </c>
      <c r="F605" s="908">
        <f>GLOBAL_DER_FEV_2023!F605</f>
        <v>2.98E-2</v>
      </c>
      <c r="G605" s="949">
        <f>GLOBAL_DER_FEV_2023!G605</f>
        <v>4.8627640000000003</v>
      </c>
      <c r="H605" s="901">
        <f>GLOBAL_DER_FEV_2023!H605</f>
        <v>0</v>
      </c>
      <c r="I605" s="901">
        <f>GLOBAL_DER_FEV_2023!I605</f>
        <v>0</v>
      </c>
      <c r="J605" s="902">
        <f>GLOBAL_DER_FEV_2023!J605</f>
        <v>0</v>
      </c>
      <c r="K605" s="958" t="s">
        <v>507</v>
      </c>
      <c r="L605" s="959"/>
      <c r="M605" s="1157">
        <f t="shared" si="42"/>
        <v>0</v>
      </c>
      <c r="N605" s="893">
        <f t="shared" si="46"/>
        <v>0</v>
      </c>
      <c r="O605" s="905"/>
      <c r="P605" s="58" t="str">
        <f>IF(N603&gt;0,"xx",IF(N603&gt;0,"xy",""))</f>
        <v/>
      </c>
      <c r="Q605" s="317" t="str">
        <f t="shared" si="43"/>
        <v/>
      </c>
      <c r="R605" s="317" t="str">
        <f t="shared" si="44"/>
        <v/>
      </c>
      <c r="S605" s="317" t="str">
        <f t="shared" si="45"/>
        <v/>
      </c>
      <c r="T605" s="317" t="str">
        <f>GLOBAL_DER_FEV_2023!S605</f>
        <v/>
      </c>
      <c r="W605" s="582">
        <v>0</v>
      </c>
      <c r="X605" s="580"/>
      <c r="Y605" s="583">
        <f>IF(GLOBAL_DER_FEV_2023!W605=0,0,IF(GLOBAL_DER_FEV_2023!W605&gt;0,"c","b"))</f>
        <v>0</v>
      </c>
    </row>
    <row r="606" spans="1:25" ht="13.5" hidden="1" thickBot="1" x14ac:dyDescent="0.25">
      <c r="A606" s="317" t="s">
        <v>147</v>
      </c>
      <c r="B606" s="895" t="s">
        <v>147</v>
      </c>
      <c r="C606" s="896"/>
      <c r="D606" s="957" t="s">
        <v>233</v>
      </c>
      <c r="E606" s="907">
        <f>GLOBAL_DER_FEV_2023!E606</f>
        <v>0.2</v>
      </c>
      <c r="F606" s="908">
        <f>GLOBAL_DER_FEV_2023!F606</f>
        <v>3.44E-2</v>
      </c>
      <c r="G606" s="949">
        <f>GLOBAL_DER_FEV_2023!G606</f>
        <v>9.9553600000000006E-2</v>
      </c>
      <c r="H606" s="901">
        <f>GLOBAL_DER_FEV_2023!H606</f>
        <v>0</v>
      </c>
      <c r="I606" s="901">
        <f>GLOBAL_DER_FEV_2023!I606</f>
        <v>0</v>
      </c>
      <c r="J606" s="902">
        <f>GLOBAL_DER_FEV_2023!J606</f>
        <v>0</v>
      </c>
      <c r="K606" s="958" t="s">
        <v>507</v>
      </c>
      <c r="L606" s="959"/>
      <c r="M606" s="1157">
        <f t="shared" si="42"/>
        <v>0</v>
      </c>
      <c r="N606" s="893">
        <f t="shared" si="46"/>
        <v>0</v>
      </c>
      <c r="O606" s="905"/>
      <c r="P606" s="58" t="str">
        <f>IF(N603&gt;0,"xx",IF(N603&gt;0,"xy",""))</f>
        <v/>
      </c>
      <c r="Q606" s="317" t="str">
        <f t="shared" si="43"/>
        <v/>
      </c>
      <c r="R606" s="317" t="str">
        <f t="shared" si="44"/>
        <v/>
      </c>
      <c r="S606" s="317" t="str">
        <f t="shared" si="45"/>
        <v/>
      </c>
      <c r="T606" s="317" t="str">
        <f>GLOBAL_DER_FEV_2023!S606</f>
        <v/>
      </c>
      <c r="W606" s="582">
        <v>0</v>
      </c>
      <c r="X606" s="580"/>
      <c r="Y606" s="583">
        <f>IF(GLOBAL_DER_FEV_2023!W606=0,0,IF(GLOBAL_DER_FEV_2023!W606&gt;0,"c","b"))</f>
        <v>0</v>
      </c>
    </row>
    <row r="607" spans="1:25" ht="13.5" hidden="1" thickBot="1" x14ac:dyDescent="0.25">
      <c r="A607" s="317">
        <v>810650</v>
      </c>
      <c r="B607" s="895">
        <v>810650</v>
      </c>
      <c r="C607" s="896" t="s">
        <v>184</v>
      </c>
      <c r="D607" s="906" t="s">
        <v>253</v>
      </c>
      <c r="E607" s="907">
        <f>GLOBAL_DER_FEV_2023!E607</f>
        <v>0.1</v>
      </c>
      <c r="F607" s="908">
        <f>GLOBAL_DER_FEV_2023!F607</f>
        <v>7.2599999999999998E-2</v>
      </c>
      <c r="G607" s="949">
        <f>GLOBAL_DER_FEV_2023!G607</f>
        <v>0.20233620000000002</v>
      </c>
      <c r="H607" s="901">
        <f>GLOBAL_DER_FEV_2023!H607</f>
        <v>40.98</v>
      </c>
      <c r="I607" s="901">
        <f>GLOBAL_DER_FEV_2023!I607</f>
        <v>41.182336199999995</v>
      </c>
      <c r="J607" s="902">
        <f>GLOBAL_DER_FEV_2023!J607</f>
        <v>49.45</v>
      </c>
      <c r="K607" s="903" t="s">
        <v>13</v>
      </c>
      <c r="L607" s="1137"/>
      <c r="M607" s="1138">
        <f t="shared" si="42"/>
        <v>0</v>
      </c>
      <c r="N607" s="893">
        <f t="shared" si="46"/>
        <v>0</v>
      </c>
      <c r="O607" s="905"/>
      <c r="Q607" s="317" t="str">
        <f t="shared" si="43"/>
        <v/>
      </c>
      <c r="R607" s="317" t="str">
        <f t="shared" si="44"/>
        <v/>
      </c>
      <c r="S607" s="317" t="str">
        <f t="shared" si="45"/>
        <v/>
      </c>
      <c r="T607" s="317" t="str">
        <f>GLOBAL_DER_FEV_2023!S607</f>
        <v/>
      </c>
      <c r="W607" s="582">
        <v>0</v>
      </c>
      <c r="X607" s="580"/>
      <c r="Y607" s="583">
        <f>IF(GLOBAL_DER_FEV_2023!W607=0,0,IF(GLOBAL_DER_FEV_2023!W607&gt;0,"c","b"))</f>
        <v>0</v>
      </c>
    </row>
    <row r="608" spans="1:25" ht="13.5" hidden="1" thickBot="1" x14ac:dyDescent="0.25">
      <c r="A608" s="317">
        <v>810300</v>
      </c>
      <c r="B608" s="895">
        <v>810300</v>
      </c>
      <c r="C608" s="896" t="s">
        <v>184</v>
      </c>
      <c r="D608" s="906" t="s">
        <v>254</v>
      </c>
      <c r="E608" s="907">
        <f>GLOBAL_DER_FEV_2023!E608</f>
        <v>0</v>
      </c>
      <c r="F608" s="908">
        <f>GLOBAL_DER_FEV_2023!F608</f>
        <v>0</v>
      </c>
      <c r="G608" s="912">
        <f>GLOBAL_DER_FEV_2023!G608</f>
        <v>7.7109237999999998</v>
      </c>
      <c r="H608" s="901">
        <f>GLOBAL_DER_FEV_2023!H608</f>
        <v>22.58</v>
      </c>
      <c r="I608" s="901">
        <f>GLOBAL_DER_FEV_2023!I608</f>
        <v>30.290923799999998</v>
      </c>
      <c r="J608" s="902">
        <f>GLOBAL_DER_FEV_2023!J608</f>
        <v>36.369999999999997</v>
      </c>
      <c r="K608" s="903" t="s">
        <v>13</v>
      </c>
      <c r="L608" s="1137"/>
      <c r="M608" s="1138">
        <f t="shared" si="42"/>
        <v>0</v>
      </c>
      <c r="N608" s="893">
        <f t="shared" si="46"/>
        <v>0</v>
      </c>
      <c r="O608" s="905"/>
      <c r="Q608" s="317" t="str">
        <f t="shared" si="43"/>
        <v/>
      </c>
      <c r="R608" s="317" t="str">
        <f t="shared" si="44"/>
        <v/>
      </c>
      <c r="S608" s="317" t="str">
        <f t="shared" si="45"/>
        <v/>
      </c>
      <c r="T608" s="317" t="str">
        <f>GLOBAL_DER_FEV_2023!S608</f>
        <v/>
      </c>
      <c r="W608" s="582">
        <v>0</v>
      </c>
      <c r="X608" s="580"/>
      <c r="Y608" s="583">
        <f>IF(GLOBAL_DER_FEV_2023!W608=0,0,IF(GLOBAL_DER_FEV_2023!W608&gt;0,"c","b"))</f>
        <v>0</v>
      </c>
    </row>
    <row r="609" spans="1:25" ht="13.5" hidden="1" thickBot="1" x14ac:dyDescent="0.25">
      <c r="A609" s="317" t="s">
        <v>147</v>
      </c>
      <c r="B609" s="895" t="s">
        <v>147</v>
      </c>
      <c r="C609" s="896"/>
      <c r="D609" s="957" t="s">
        <v>190</v>
      </c>
      <c r="E609" s="907">
        <f>GLOBAL_DER_FEV_2023!E609</f>
        <v>308</v>
      </c>
      <c r="F609" s="908">
        <f>GLOBAL_DER_FEV_2023!F609</f>
        <v>9.1999999999999998E-3</v>
      </c>
      <c r="G609" s="909">
        <f>GLOBAL_DER_FEV_2023!G609</f>
        <v>2.282152</v>
      </c>
      <c r="H609" s="901">
        <f>GLOBAL_DER_FEV_2023!H609</f>
        <v>0</v>
      </c>
      <c r="I609" s="901">
        <f>GLOBAL_DER_FEV_2023!I609</f>
        <v>0</v>
      </c>
      <c r="J609" s="902">
        <f>GLOBAL_DER_FEV_2023!J609</f>
        <v>0</v>
      </c>
      <c r="K609" s="958" t="s">
        <v>507</v>
      </c>
      <c r="L609" s="959"/>
      <c r="M609" s="1157">
        <f t="shared" si="42"/>
        <v>0</v>
      </c>
      <c r="N609" s="893">
        <f t="shared" si="46"/>
        <v>0</v>
      </c>
      <c r="O609" s="905"/>
      <c r="P609" s="58" t="str">
        <f>IF(N608&gt;0,"xx",IF(N608&gt;0,"xy",""))</f>
        <v/>
      </c>
      <c r="Q609" s="317" t="str">
        <f t="shared" si="43"/>
        <v/>
      </c>
      <c r="R609" s="317" t="str">
        <f t="shared" si="44"/>
        <v/>
      </c>
      <c r="S609" s="317" t="str">
        <f t="shared" si="45"/>
        <v/>
      </c>
      <c r="T609" s="317" t="str">
        <f>GLOBAL_DER_FEV_2023!S609</f>
        <v/>
      </c>
      <c r="W609" s="582">
        <v>0</v>
      </c>
      <c r="X609" s="580"/>
      <c r="Y609" s="583">
        <f>IF(GLOBAL_DER_FEV_2023!W609=0,0,IF(GLOBAL_DER_FEV_2023!W609&gt;0,"c","b"))</f>
        <v>0</v>
      </c>
    </row>
    <row r="610" spans="1:25" ht="13.5" hidden="1" thickBot="1" x14ac:dyDescent="0.25">
      <c r="A610" s="317" t="s">
        <v>147</v>
      </c>
      <c r="B610" s="895" t="s">
        <v>147</v>
      </c>
      <c r="C610" s="896"/>
      <c r="D610" s="957" t="s">
        <v>229</v>
      </c>
      <c r="E610" s="907">
        <f>GLOBAL_DER_FEV_2023!E610</f>
        <v>150</v>
      </c>
      <c r="F610" s="908">
        <f>GLOBAL_DER_FEV_2023!F610</f>
        <v>3.2599999999999997E-2</v>
      </c>
      <c r="G610" s="949">
        <f>GLOBAL_DER_FEV_2023!G610</f>
        <v>5.3196680000000001</v>
      </c>
      <c r="H610" s="901">
        <f>GLOBAL_DER_FEV_2023!H610</f>
        <v>0</v>
      </c>
      <c r="I610" s="901">
        <f>GLOBAL_DER_FEV_2023!I610</f>
        <v>0</v>
      </c>
      <c r="J610" s="902">
        <f>GLOBAL_DER_FEV_2023!J610</f>
        <v>0</v>
      </c>
      <c r="K610" s="958" t="s">
        <v>507</v>
      </c>
      <c r="L610" s="959"/>
      <c r="M610" s="1157">
        <f t="shared" si="42"/>
        <v>0</v>
      </c>
      <c r="N610" s="893">
        <f t="shared" si="46"/>
        <v>0</v>
      </c>
      <c r="O610" s="905"/>
      <c r="P610" s="58" t="str">
        <f>IF(N608&gt;0,"xx",IF(N608&gt;0,"xy",""))</f>
        <v/>
      </c>
      <c r="Q610" s="317" t="str">
        <f t="shared" si="43"/>
        <v/>
      </c>
      <c r="R610" s="317" t="str">
        <f t="shared" si="44"/>
        <v/>
      </c>
      <c r="S610" s="317" t="str">
        <f t="shared" si="45"/>
        <v/>
      </c>
      <c r="T610" s="317" t="str">
        <f>GLOBAL_DER_FEV_2023!S610</f>
        <v/>
      </c>
      <c r="W610" s="582">
        <v>0</v>
      </c>
      <c r="X610" s="580"/>
      <c r="Y610" s="583">
        <f>IF(GLOBAL_DER_FEV_2023!W610=0,0,IF(GLOBAL_DER_FEV_2023!W610&gt;0,"c","b"))</f>
        <v>0</v>
      </c>
    </row>
    <row r="611" spans="1:25" ht="13.5" hidden="1" thickBot="1" x14ac:dyDescent="0.25">
      <c r="A611" s="317" t="s">
        <v>147</v>
      </c>
      <c r="B611" s="895" t="s">
        <v>147</v>
      </c>
      <c r="C611" s="896"/>
      <c r="D611" s="957" t="s">
        <v>233</v>
      </c>
      <c r="E611" s="907">
        <f>GLOBAL_DER_FEV_2023!E611</f>
        <v>0.2</v>
      </c>
      <c r="F611" s="908">
        <f>GLOBAL_DER_FEV_2023!F611</f>
        <v>3.7699999999999997E-2</v>
      </c>
      <c r="G611" s="949">
        <f>GLOBAL_DER_FEV_2023!G611</f>
        <v>0.1091038</v>
      </c>
      <c r="H611" s="901">
        <f>GLOBAL_DER_FEV_2023!H611</f>
        <v>0</v>
      </c>
      <c r="I611" s="901">
        <f>GLOBAL_DER_FEV_2023!I611</f>
        <v>0</v>
      </c>
      <c r="J611" s="902">
        <f>GLOBAL_DER_FEV_2023!J611</f>
        <v>0</v>
      </c>
      <c r="K611" s="958" t="s">
        <v>507</v>
      </c>
      <c r="L611" s="959"/>
      <c r="M611" s="1157">
        <f t="shared" si="42"/>
        <v>0</v>
      </c>
      <c r="N611" s="893">
        <f t="shared" si="46"/>
        <v>0</v>
      </c>
      <c r="O611" s="905"/>
      <c r="P611" s="58" t="str">
        <f>IF(N608&gt;0,"xx",IF(N608&gt;0,"xy",""))</f>
        <v/>
      </c>
      <c r="Q611" s="317" t="str">
        <f t="shared" si="43"/>
        <v/>
      </c>
      <c r="R611" s="317" t="str">
        <f t="shared" si="44"/>
        <v/>
      </c>
      <c r="S611" s="317" t="str">
        <f t="shared" si="45"/>
        <v/>
      </c>
      <c r="T611" s="317" t="str">
        <f>GLOBAL_DER_FEV_2023!S611</f>
        <v/>
      </c>
      <c r="W611" s="582">
        <v>0</v>
      </c>
      <c r="X611" s="580"/>
      <c r="Y611" s="583">
        <f>IF(GLOBAL_DER_FEV_2023!W611=0,0,IF(GLOBAL_DER_FEV_2023!W611&gt;0,"c","b"))</f>
        <v>0</v>
      </c>
    </row>
    <row r="612" spans="1:25" ht="13.5" hidden="1" thickBot="1" x14ac:dyDescent="0.25">
      <c r="A612" s="317">
        <v>810250</v>
      </c>
      <c r="B612" s="895" t="s">
        <v>1710</v>
      </c>
      <c r="C612" s="896" t="s">
        <v>184</v>
      </c>
      <c r="D612" s="906" t="s">
        <v>255</v>
      </c>
      <c r="E612" s="907">
        <f>GLOBAL_DER_FEV_2023!E612</f>
        <v>0.1</v>
      </c>
      <c r="F612" s="908">
        <f>GLOBAL_DER_FEV_2023!F612</f>
        <v>7.9500000000000001E-2</v>
      </c>
      <c r="G612" s="949">
        <f>GLOBAL_DER_FEV_2023!G612</f>
        <v>0.22156650000000003</v>
      </c>
      <c r="H612" s="901">
        <f>GLOBAL_DER_FEV_2023!H612</f>
        <v>40.090000000000003</v>
      </c>
      <c r="I612" s="901">
        <f>GLOBAL_DER_FEV_2023!I612</f>
        <v>40.311566500000005</v>
      </c>
      <c r="J612" s="902">
        <f>GLOBAL_DER_FEV_2023!J612</f>
        <v>48.4</v>
      </c>
      <c r="K612" s="903" t="s">
        <v>13</v>
      </c>
      <c r="L612" s="1137"/>
      <c r="M612" s="1138">
        <f t="shared" si="42"/>
        <v>0</v>
      </c>
      <c r="N612" s="893">
        <f t="shared" si="46"/>
        <v>0</v>
      </c>
      <c r="O612" s="905"/>
      <c r="Q612" s="317" t="str">
        <f t="shared" si="43"/>
        <v/>
      </c>
      <c r="R612" s="317" t="str">
        <f t="shared" si="44"/>
        <v/>
      </c>
      <c r="S612" s="317" t="str">
        <f t="shared" si="45"/>
        <v/>
      </c>
      <c r="T612" s="317" t="str">
        <f>GLOBAL_DER_FEV_2023!S612</f>
        <v/>
      </c>
      <c r="W612" s="582">
        <v>0</v>
      </c>
      <c r="X612" s="580"/>
      <c r="Y612" s="583">
        <f>IF(GLOBAL_DER_FEV_2023!W612=0,0,IF(GLOBAL_DER_FEV_2023!W612&gt;0,"c","b"))</f>
        <v>0</v>
      </c>
    </row>
    <row r="613" spans="1:25" ht="13.5" hidden="1" thickBot="1" x14ac:dyDescent="0.25">
      <c r="A613" s="317">
        <v>810400</v>
      </c>
      <c r="B613" s="895">
        <v>810400</v>
      </c>
      <c r="C613" s="896" t="s">
        <v>184</v>
      </c>
      <c r="D613" s="906" t="s">
        <v>256</v>
      </c>
      <c r="E613" s="907">
        <f>GLOBAL_DER_FEV_2023!E613</f>
        <v>0</v>
      </c>
      <c r="F613" s="908">
        <f>GLOBAL_DER_FEV_2023!F613</f>
        <v>0</v>
      </c>
      <c r="G613" s="912">
        <f>GLOBAL_DER_FEV_2023!G613</f>
        <v>16.319332599999999</v>
      </c>
      <c r="H613" s="901">
        <f>GLOBAL_DER_FEV_2023!H613</f>
        <v>41.97</v>
      </c>
      <c r="I613" s="901">
        <f>GLOBAL_DER_FEV_2023!I613</f>
        <v>58.289332599999994</v>
      </c>
      <c r="J613" s="902">
        <f>GLOBAL_DER_FEV_2023!J613</f>
        <v>69.989999999999995</v>
      </c>
      <c r="K613" s="903" t="s">
        <v>13</v>
      </c>
      <c r="L613" s="1137"/>
      <c r="M613" s="1138">
        <f t="shared" si="42"/>
        <v>0</v>
      </c>
      <c r="N613" s="893">
        <f t="shared" si="46"/>
        <v>0</v>
      </c>
      <c r="O613" s="905"/>
      <c r="Q613" s="317" t="str">
        <f t="shared" si="43"/>
        <v/>
      </c>
      <c r="R613" s="317" t="str">
        <f t="shared" si="44"/>
        <v/>
      </c>
      <c r="S613" s="317" t="str">
        <f t="shared" si="45"/>
        <v/>
      </c>
      <c r="T613" s="317" t="str">
        <f>GLOBAL_DER_FEV_2023!S613</f>
        <v/>
      </c>
      <c r="W613" s="582">
        <v>0</v>
      </c>
      <c r="X613" s="580"/>
      <c r="Y613" s="583">
        <f>IF(GLOBAL_DER_FEV_2023!W613=0,0,IF(GLOBAL_DER_FEV_2023!W613&gt;0,"c","b"))</f>
        <v>0</v>
      </c>
    </row>
    <row r="614" spans="1:25" ht="13.5" hidden="1" thickBot="1" x14ac:dyDescent="0.25">
      <c r="A614" s="317" t="s">
        <v>147</v>
      </c>
      <c r="B614" s="895" t="s">
        <v>147</v>
      </c>
      <c r="C614" s="896"/>
      <c r="D614" s="957" t="s">
        <v>190</v>
      </c>
      <c r="E614" s="907">
        <f>GLOBAL_DER_FEV_2023!E614</f>
        <v>308</v>
      </c>
      <c r="F614" s="908">
        <f>GLOBAL_DER_FEV_2023!F614</f>
        <v>1.9400000000000001E-2</v>
      </c>
      <c r="G614" s="909">
        <f>GLOBAL_DER_FEV_2023!G614</f>
        <v>4.8123640000000005</v>
      </c>
      <c r="H614" s="901">
        <f>GLOBAL_DER_FEV_2023!H614</f>
        <v>0</v>
      </c>
      <c r="I614" s="901">
        <f>GLOBAL_DER_FEV_2023!I614</f>
        <v>0</v>
      </c>
      <c r="J614" s="902">
        <f>GLOBAL_DER_FEV_2023!J614</f>
        <v>0</v>
      </c>
      <c r="K614" s="958" t="s">
        <v>507</v>
      </c>
      <c r="L614" s="959"/>
      <c r="M614" s="1157">
        <f t="shared" si="42"/>
        <v>0</v>
      </c>
      <c r="N614" s="893">
        <f t="shared" si="46"/>
        <v>0</v>
      </c>
      <c r="O614" s="905"/>
      <c r="P614" s="58" t="str">
        <f>IF(N613&gt;0,"xx",IF(N613&gt;0,"xy",""))</f>
        <v/>
      </c>
      <c r="Q614" s="317" t="str">
        <f t="shared" si="43"/>
        <v/>
      </c>
      <c r="R614" s="317" t="str">
        <f t="shared" si="44"/>
        <v/>
      </c>
      <c r="S614" s="317" t="str">
        <f t="shared" si="45"/>
        <v/>
      </c>
      <c r="T614" s="317" t="str">
        <f>GLOBAL_DER_FEV_2023!S614</f>
        <v/>
      </c>
      <c r="W614" s="582">
        <v>0</v>
      </c>
      <c r="X614" s="580"/>
      <c r="Y614" s="583">
        <f>IF(GLOBAL_DER_FEV_2023!W614=0,0,IF(GLOBAL_DER_FEV_2023!W614&gt;0,"c","b"))</f>
        <v>0</v>
      </c>
    </row>
    <row r="615" spans="1:25" ht="13.5" hidden="1" thickBot="1" x14ac:dyDescent="0.25">
      <c r="A615" s="317" t="s">
        <v>147</v>
      </c>
      <c r="B615" s="895" t="s">
        <v>147</v>
      </c>
      <c r="C615" s="896"/>
      <c r="D615" s="957" t="s">
        <v>229</v>
      </c>
      <c r="E615" s="907">
        <f>GLOBAL_DER_FEV_2023!E615</f>
        <v>150</v>
      </c>
      <c r="F615" s="908">
        <f>GLOBAL_DER_FEV_2023!F615</f>
        <v>6.9099999999999995E-2</v>
      </c>
      <c r="G615" s="949">
        <f>GLOBAL_DER_FEV_2023!G615</f>
        <v>11.275738</v>
      </c>
      <c r="H615" s="901">
        <f>GLOBAL_DER_FEV_2023!H615</f>
        <v>0</v>
      </c>
      <c r="I615" s="901">
        <f>GLOBAL_DER_FEV_2023!I615</f>
        <v>0</v>
      </c>
      <c r="J615" s="902">
        <f>GLOBAL_DER_FEV_2023!J615</f>
        <v>0</v>
      </c>
      <c r="K615" s="958" t="s">
        <v>507</v>
      </c>
      <c r="L615" s="959"/>
      <c r="M615" s="1157">
        <f t="shared" si="42"/>
        <v>0</v>
      </c>
      <c r="N615" s="893">
        <f t="shared" si="46"/>
        <v>0</v>
      </c>
      <c r="O615" s="905"/>
      <c r="P615" s="58" t="str">
        <f>IF(N613&gt;0,"xx",IF(N613&gt;0,"xy",""))</f>
        <v/>
      </c>
      <c r="Q615" s="317" t="str">
        <f t="shared" si="43"/>
        <v/>
      </c>
      <c r="R615" s="317" t="str">
        <f t="shared" si="44"/>
        <v/>
      </c>
      <c r="S615" s="317" t="str">
        <f t="shared" si="45"/>
        <v/>
      </c>
      <c r="T615" s="317" t="str">
        <f>GLOBAL_DER_FEV_2023!S615</f>
        <v/>
      </c>
      <c r="W615" s="582">
        <v>0</v>
      </c>
      <c r="X615" s="580"/>
      <c r="Y615" s="583">
        <f>IF(GLOBAL_DER_FEV_2023!W615=0,0,IF(GLOBAL_DER_FEV_2023!W615&gt;0,"c","b"))</f>
        <v>0</v>
      </c>
    </row>
    <row r="616" spans="1:25" ht="13.5" hidden="1" thickBot="1" x14ac:dyDescent="0.25">
      <c r="A616" s="317" t="s">
        <v>147</v>
      </c>
      <c r="B616" s="895" t="s">
        <v>147</v>
      </c>
      <c r="C616" s="896"/>
      <c r="D616" s="957" t="s">
        <v>233</v>
      </c>
      <c r="E616" s="907">
        <f>GLOBAL_DER_FEV_2023!E616</f>
        <v>0.2</v>
      </c>
      <c r="F616" s="908">
        <f>GLOBAL_DER_FEV_2023!F616</f>
        <v>7.9899999999999999E-2</v>
      </c>
      <c r="G616" s="949">
        <f>GLOBAL_DER_FEV_2023!G616</f>
        <v>0.23123060000000001</v>
      </c>
      <c r="H616" s="901">
        <f>GLOBAL_DER_FEV_2023!H616</f>
        <v>0</v>
      </c>
      <c r="I616" s="901">
        <f>GLOBAL_DER_FEV_2023!I616</f>
        <v>0</v>
      </c>
      <c r="J616" s="902">
        <f>GLOBAL_DER_FEV_2023!J616</f>
        <v>0</v>
      </c>
      <c r="K616" s="958" t="s">
        <v>507</v>
      </c>
      <c r="L616" s="959"/>
      <c r="M616" s="1157">
        <f t="shared" si="42"/>
        <v>0</v>
      </c>
      <c r="N616" s="893">
        <f t="shared" si="46"/>
        <v>0</v>
      </c>
      <c r="O616" s="905"/>
      <c r="P616" s="58" t="str">
        <f>IF(N613&gt;0,"xx",IF(N613&gt;0,"xy",""))</f>
        <v/>
      </c>
      <c r="Q616" s="317" t="str">
        <f t="shared" si="43"/>
        <v/>
      </c>
      <c r="R616" s="317" t="str">
        <f t="shared" si="44"/>
        <v/>
      </c>
      <c r="S616" s="317" t="str">
        <f t="shared" si="45"/>
        <v/>
      </c>
      <c r="T616" s="317" t="str">
        <f>GLOBAL_DER_FEV_2023!S616</f>
        <v/>
      </c>
      <c r="W616" s="582">
        <v>0</v>
      </c>
      <c r="X616" s="580"/>
      <c r="Y616" s="583">
        <f>IF(GLOBAL_DER_FEV_2023!W616=0,0,IF(GLOBAL_DER_FEV_2023!W616&gt;0,"c","b"))</f>
        <v>0</v>
      </c>
    </row>
    <row r="617" spans="1:25" ht="13.5" hidden="1" thickBot="1" x14ac:dyDescent="0.25">
      <c r="A617" s="317">
        <v>810350</v>
      </c>
      <c r="B617" s="895">
        <v>810350</v>
      </c>
      <c r="C617" s="896" t="s">
        <v>184</v>
      </c>
      <c r="D617" s="906" t="s">
        <v>257</v>
      </c>
      <c r="E617" s="907">
        <f>GLOBAL_DER_FEV_2023!E617</f>
        <v>0.1</v>
      </c>
      <c r="F617" s="908">
        <f>GLOBAL_DER_FEV_2023!F617</f>
        <v>0.16839999999999999</v>
      </c>
      <c r="G617" s="949">
        <f>GLOBAL_DER_FEV_2023!G617</f>
        <v>0.46933080000000005</v>
      </c>
      <c r="H617" s="901">
        <f>GLOBAL_DER_FEV_2023!H617</f>
        <v>64.56</v>
      </c>
      <c r="I617" s="901">
        <f>GLOBAL_DER_FEV_2023!I617</f>
        <v>65.029330799999997</v>
      </c>
      <c r="J617" s="902">
        <f>GLOBAL_DER_FEV_2023!J617</f>
        <v>78.08</v>
      </c>
      <c r="K617" s="903" t="s">
        <v>13</v>
      </c>
      <c r="L617" s="1139"/>
      <c r="M617" s="1140">
        <f t="shared" si="42"/>
        <v>0</v>
      </c>
      <c r="N617" s="893">
        <f t="shared" si="46"/>
        <v>0</v>
      </c>
      <c r="O617" s="905"/>
      <c r="Q617" s="317" t="str">
        <f t="shared" si="43"/>
        <v/>
      </c>
      <c r="R617" s="317" t="str">
        <f t="shared" si="44"/>
        <v/>
      </c>
      <c r="S617" s="317" t="str">
        <f t="shared" si="45"/>
        <v/>
      </c>
      <c r="T617" s="317" t="str">
        <f>GLOBAL_DER_FEV_2023!S617</f>
        <v/>
      </c>
      <c r="W617" s="582">
        <v>0</v>
      </c>
      <c r="X617" s="580"/>
      <c r="Y617" s="583">
        <f>IF(GLOBAL_DER_FEV_2023!W617=0,0,IF(GLOBAL_DER_FEV_2023!W617&gt;0,"c","b"))</f>
        <v>0</v>
      </c>
    </row>
    <row r="618" spans="1:25" ht="13.5" hidden="1" thickBot="1" x14ac:dyDescent="0.25">
      <c r="A618" s="640" t="s">
        <v>165</v>
      </c>
      <c r="B618" s="913" t="s">
        <v>165</v>
      </c>
      <c r="C618" s="914"/>
      <c r="D618" s="915" t="s">
        <v>214</v>
      </c>
      <c r="E618" s="916">
        <f>GLOBAL_DER_FEV_2023!E618</f>
        <v>0</v>
      </c>
      <c r="F618" s="917">
        <f>GLOBAL_DER_FEV_2023!F618</f>
        <v>0</v>
      </c>
      <c r="G618" s="918">
        <f>GLOBAL_DER_FEV_2023!G618</f>
        <v>0</v>
      </c>
      <c r="H618" s="919">
        <f>GLOBAL_DER_FEV_2023!H618</f>
        <v>0</v>
      </c>
      <c r="I618" s="919">
        <f>GLOBAL_DER_FEV_2023!I618</f>
        <v>0</v>
      </c>
      <c r="J618" s="919">
        <f>GLOBAL_DER_FEV_2023!J618</f>
        <v>0</v>
      </c>
      <c r="K618" s="920" t="s">
        <v>507</v>
      </c>
      <c r="L618" s="1162"/>
      <c r="M618" s="1163"/>
      <c r="N618" s="1164">
        <f t="shared" si="46"/>
        <v>0</v>
      </c>
      <c r="O618" s="1165"/>
      <c r="P618" s="58" t="str">
        <f>IF(OR(SUM(N619:N643)&gt;0,SUM(N619:N643)&gt;0),"y","")</f>
        <v/>
      </c>
      <c r="Q618" s="317" t="str">
        <f t="shared" si="43"/>
        <v/>
      </c>
      <c r="R618" s="317" t="str">
        <f t="shared" si="44"/>
        <v/>
      </c>
      <c r="S618" s="317" t="str">
        <f t="shared" si="45"/>
        <v/>
      </c>
      <c r="T618" s="317" t="str">
        <f>GLOBAL_DER_FEV_2023!S618</f>
        <v/>
      </c>
      <c r="W618" s="582">
        <v>0</v>
      </c>
      <c r="X618" s="580"/>
      <c r="Y618" s="583">
        <f>IF(GLOBAL_DER_FEV_2023!W618=0,0,IF(GLOBAL_DER_FEV_2023!W618&gt;0,"c","b"))</f>
        <v>0</v>
      </c>
    </row>
    <row r="619" spans="1:25" ht="13.5" hidden="1" thickBot="1" x14ac:dyDescent="0.25">
      <c r="A619" s="640" t="s">
        <v>165</v>
      </c>
      <c r="B619" s="1036" t="str">
        <f>GLOBAL_DER_FEV_2023!B619</f>
        <v/>
      </c>
      <c r="C619" s="1072" t="str">
        <f>GLOBAL_DER_FEV_2023!C619</f>
        <v/>
      </c>
      <c r="D619" s="1141">
        <f>GLOBAL_DER_FEV_2023!D619</f>
        <v>0</v>
      </c>
      <c r="E619" s="907">
        <f>GLOBAL_DER_FEV_2023!E619</f>
        <v>0</v>
      </c>
      <c r="F619" s="908">
        <f>GLOBAL_DER_FEV_2023!F619</f>
        <v>0</v>
      </c>
      <c r="G619" s="912">
        <f>GLOBAL_DER_FEV_2023!G619</f>
        <v>0</v>
      </c>
      <c r="H619" s="901">
        <f>GLOBAL_DER_FEV_2023!H619</f>
        <v>0</v>
      </c>
      <c r="I619" s="901">
        <f>GLOBAL_DER_FEV_2023!I619</f>
        <v>0</v>
      </c>
      <c r="J619" s="902">
        <f>GLOBAL_DER_FEV_2023!J619</f>
        <v>0</v>
      </c>
      <c r="K619" s="903" t="str">
        <f>GLOBAL_DER_FEV_2023!K619</f>
        <v xml:space="preserve">     </v>
      </c>
      <c r="L619" s="1137"/>
      <c r="M619" s="1140">
        <f t="shared" si="42"/>
        <v>0</v>
      </c>
      <c r="N619" s="1166">
        <f t="shared" si="46"/>
        <v>0</v>
      </c>
      <c r="O619" s="1165"/>
      <c r="Q619" s="317" t="str">
        <f t="shared" si="43"/>
        <v/>
      </c>
      <c r="R619" s="317" t="str">
        <f t="shared" si="44"/>
        <v/>
      </c>
      <c r="S619" s="317" t="str">
        <f t="shared" si="45"/>
        <v/>
      </c>
      <c r="T619" s="317" t="str">
        <f>GLOBAL_DER_FEV_2023!S619</f>
        <v/>
      </c>
      <c r="W619" s="582">
        <v>0</v>
      </c>
      <c r="X619" s="580"/>
      <c r="Y619" s="583">
        <f>IF(GLOBAL_DER_FEV_2023!W619=0,0,IF(GLOBAL_DER_FEV_2023!W619&gt;0,"c","b"))</f>
        <v>0</v>
      </c>
    </row>
    <row r="620" spans="1:25" ht="13.5" hidden="1" thickBot="1" x14ac:dyDescent="0.25">
      <c r="A620" s="640" t="s">
        <v>165</v>
      </c>
      <c r="B620" s="1036" t="str">
        <f>GLOBAL_DER_FEV_2023!B620</f>
        <v/>
      </c>
      <c r="C620" s="1072" t="str">
        <f>GLOBAL_DER_FEV_2023!C620</f>
        <v/>
      </c>
      <c r="D620" s="1141">
        <f>GLOBAL_DER_FEV_2023!D620</f>
        <v>0</v>
      </c>
      <c r="E620" s="907">
        <f>GLOBAL_DER_FEV_2023!E620</f>
        <v>0</v>
      </c>
      <c r="F620" s="908">
        <f>GLOBAL_DER_FEV_2023!F620</f>
        <v>0</v>
      </c>
      <c r="G620" s="912">
        <f>GLOBAL_DER_FEV_2023!G620</f>
        <v>0</v>
      </c>
      <c r="H620" s="901">
        <f>GLOBAL_DER_FEV_2023!H620</f>
        <v>0</v>
      </c>
      <c r="I620" s="901">
        <f>GLOBAL_DER_FEV_2023!I620</f>
        <v>0</v>
      </c>
      <c r="J620" s="890">
        <f>GLOBAL_DER_FEV_2023!J620</f>
        <v>0</v>
      </c>
      <c r="K620" s="903" t="str">
        <f>GLOBAL_DER_FEV_2023!K620</f>
        <v xml:space="preserve">     </v>
      </c>
      <c r="L620" s="1137"/>
      <c r="M620" s="1140">
        <f t="shared" si="42"/>
        <v>0</v>
      </c>
      <c r="N620" s="1167">
        <f t="shared" si="46"/>
        <v>0</v>
      </c>
      <c r="O620" s="1165"/>
      <c r="Q620" s="317" t="str">
        <f t="shared" si="43"/>
        <v/>
      </c>
      <c r="R620" s="317" t="str">
        <f t="shared" si="44"/>
        <v/>
      </c>
      <c r="S620" s="317" t="str">
        <f t="shared" si="45"/>
        <v/>
      </c>
      <c r="T620" s="317" t="str">
        <f>GLOBAL_DER_FEV_2023!S620</f>
        <v/>
      </c>
      <c r="W620" s="582">
        <v>0</v>
      </c>
      <c r="X620" s="580"/>
      <c r="Y620" s="583">
        <f>IF(GLOBAL_DER_FEV_2023!W620=0,0,IF(GLOBAL_DER_FEV_2023!W620&gt;0,"c","b"))</f>
        <v>0</v>
      </c>
    </row>
    <row r="621" spans="1:25" ht="13.5" hidden="1" thickBot="1" x14ac:dyDescent="0.25">
      <c r="A621" s="640" t="s">
        <v>165</v>
      </c>
      <c r="B621" s="1036" t="str">
        <f>GLOBAL_DER_FEV_2023!B621</f>
        <v/>
      </c>
      <c r="C621" s="1072" t="str">
        <f>GLOBAL_DER_FEV_2023!C621</f>
        <v/>
      </c>
      <c r="D621" s="1141">
        <f>GLOBAL_DER_FEV_2023!D621</f>
        <v>0</v>
      </c>
      <c r="E621" s="907">
        <f>GLOBAL_DER_FEV_2023!E621</f>
        <v>0</v>
      </c>
      <c r="F621" s="908">
        <f>GLOBAL_DER_FEV_2023!F621</f>
        <v>0</v>
      </c>
      <c r="G621" s="912">
        <f>GLOBAL_DER_FEV_2023!G621</f>
        <v>0</v>
      </c>
      <c r="H621" s="901">
        <f>GLOBAL_DER_FEV_2023!H621</f>
        <v>0</v>
      </c>
      <c r="I621" s="901">
        <f>GLOBAL_DER_FEV_2023!I621</f>
        <v>0</v>
      </c>
      <c r="J621" s="890">
        <f>GLOBAL_DER_FEV_2023!J621</f>
        <v>0</v>
      </c>
      <c r="K621" s="903" t="str">
        <f>GLOBAL_DER_FEV_2023!K621</f>
        <v xml:space="preserve">     </v>
      </c>
      <c r="L621" s="1137"/>
      <c r="M621" s="1140">
        <f t="shared" si="42"/>
        <v>0</v>
      </c>
      <c r="N621" s="1167">
        <f t="shared" si="46"/>
        <v>0</v>
      </c>
      <c r="O621" s="1165"/>
      <c r="Q621" s="317" t="str">
        <f t="shared" si="43"/>
        <v/>
      </c>
      <c r="R621" s="317" t="str">
        <f t="shared" si="44"/>
        <v/>
      </c>
      <c r="S621" s="317" t="str">
        <f t="shared" si="45"/>
        <v/>
      </c>
      <c r="T621" s="317" t="str">
        <f>GLOBAL_DER_FEV_2023!S621</f>
        <v/>
      </c>
      <c r="W621" s="582">
        <v>0</v>
      </c>
      <c r="X621" s="580"/>
      <c r="Y621" s="583">
        <f>IF(GLOBAL_DER_FEV_2023!W621=0,0,IF(GLOBAL_DER_FEV_2023!W621&gt;0,"c","b"))</f>
        <v>0</v>
      </c>
    </row>
    <row r="622" spans="1:25" ht="13.5" hidden="1" thickBot="1" x14ac:dyDescent="0.25">
      <c r="A622" s="640" t="s">
        <v>165</v>
      </c>
      <c r="B622" s="1036" t="str">
        <f>GLOBAL_DER_FEV_2023!B622</f>
        <v/>
      </c>
      <c r="C622" s="1072" t="str">
        <f>GLOBAL_DER_FEV_2023!C622</f>
        <v/>
      </c>
      <c r="D622" s="1141">
        <f>GLOBAL_DER_FEV_2023!D622</f>
        <v>0</v>
      </c>
      <c r="E622" s="907">
        <f>GLOBAL_DER_FEV_2023!E622</f>
        <v>0</v>
      </c>
      <c r="F622" s="908">
        <f>GLOBAL_DER_FEV_2023!F622</f>
        <v>0</v>
      </c>
      <c r="G622" s="912">
        <f>GLOBAL_DER_FEV_2023!G622</f>
        <v>0</v>
      </c>
      <c r="H622" s="901">
        <f>GLOBAL_DER_FEV_2023!H622</f>
        <v>0</v>
      </c>
      <c r="I622" s="901">
        <f>GLOBAL_DER_FEV_2023!I622</f>
        <v>0</v>
      </c>
      <c r="J622" s="890">
        <f>GLOBAL_DER_FEV_2023!J622</f>
        <v>0</v>
      </c>
      <c r="K622" s="903" t="str">
        <f>GLOBAL_DER_FEV_2023!K622</f>
        <v xml:space="preserve">     </v>
      </c>
      <c r="L622" s="1137"/>
      <c r="M622" s="1140">
        <f t="shared" si="42"/>
        <v>0</v>
      </c>
      <c r="N622" s="1167">
        <f t="shared" si="46"/>
        <v>0</v>
      </c>
      <c r="O622" s="1165"/>
      <c r="Q622" s="317" t="str">
        <f t="shared" si="43"/>
        <v/>
      </c>
      <c r="R622" s="317" t="str">
        <f t="shared" si="44"/>
        <v/>
      </c>
      <c r="S622" s="317" t="str">
        <f t="shared" si="45"/>
        <v/>
      </c>
      <c r="T622" s="317" t="str">
        <f>GLOBAL_DER_FEV_2023!S622</f>
        <v/>
      </c>
      <c r="W622" s="582">
        <v>0</v>
      </c>
      <c r="X622" s="580"/>
      <c r="Y622" s="583">
        <f>IF(GLOBAL_DER_FEV_2023!W622=0,0,IF(GLOBAL_DER_FEV_2023!W622&gt;0,"c","b"))</f>
        <v>0</v>
      </c>
    </row>
    <row r="623" spans="1:25" ht="13.5" hidden="1" thickBot="1" x14ac:dyDescent="0.25">
      <c r="A623" s="640" t="s">
        <v>165</v>
      </c>
      <c r="B623" s="1036" t="str">
        <f>GLOBAL_DER_FEV_2023!B623</f>
        <v/>
      </c>
      <c r="C623" s="1072" t="str">
        <f>GLOBAL_DER_FEV_2023!C623</f>
        <v/>
      </c>
      <c r="D623" s="1141">
        <f>GLOBAL_DER_FEV_2023!D623</f>
        <v>0</v>
      </c>
      <c r="E623" s="907">
        <f>GLOBAL_DER_FEV_2023!E623</f>
        <v>0</v>
      </c>
      <c r="F623" s="908">
        <f>GLOBAL_DER_FEV_2023!F623</f>
        <v>0</v>
      </c>
      <c r="G623" s="912">
        <f>GLOBAL_DER_FEV_2023!G623</f>
        <v>0</v>
      </c>
      <c r="H623" s="901">
        <f>GLOBAL_DER_FEV_2023!H623</f>
        <v>0</v>
      </c>
      <c r="I623" s="901">
        <f>GLOBAL_DER_FEV_2023!I623</f>
        <v>0</v>
      </c>
      <c r="J623" s="890">
        <f>GLOBAL_DER_FEV_2023!J623</f>
        <v>0</v>
      </c>
      <c r="K623" s="903" t="str">
        <f>GLOBAL_DER_FEV_2023!K623</f>
        <v xml:space="preserve">     </v>
      </c>
      <c r="L623" s="1137"/>
      <c r="M623" s="1140">
        <f t="shared" si="42"/>
        <v>0</v>
      </c>
      <c r="N623" s="1167">
        <f t="shared" si="46"/>
        <v>0</v>
      </c>
      <c r="O623" s="1165"/>
      <c r="Q623" s="317" t="str">
        <f t="shared" si="43"/>
        <v/>
      </c>
      <c r="R623" s="317" t="str">
        <f t="shared" si="44"/>
        <v/>
      </c>
      <c r="S623" s="317" t="str">
        <f t="shared" si="45"/>
        <v/>
      </c>
      <c r="T623" s="317" t="str">
        <f>GLOBAL_DER_FEV_2023!S623</f>
        <v/>
      </c>
      <c r="W623" s="582">
        <v>0</v>
      </c>
      <c r="X623" s="580"/>
      <c r="Y623" s="583">
        <f>IF(GLOBAL_DER_FEV_2023!W623=0,0,IF(GLOBAL_DER_FEV_2023!W623&gt;0,"c","b"))</f>
        <v>0</v>
      </c>
    </row>
    <row r="624" spans="1:25" ht="13.5" hidden="1" thickBot="1" x14ac:dyDescent="0.25">
      <c r="A624" s="640" t="s">
        <v>165</v>
      </c>
      <c r="B624" s="1036" t="str">
        <f>GLOBAL_DER_FEV_2023!B624</f>
        <v/>
      </c>
      <c r="C624" s="1072" t="str">
        <f>GLOBAL_DER_FEV_2023!C624</f>
        <v/>
      </c>
      <c r="D624" s="1141">
        <f>GLOBAL_DER_FEV_2023!D624</f>
        <v>0</v>
      </c>
      <c r="E624" s="907">
        <f>GLOBAL_DER_FEV_2023!E624</f>
        <v>0</v>
      </c>
      <c r="F624" s="908">
        <f>GLOBAL_DER_FEV_2023!F624</f>
        <v>0</v>
      </c>
      <c r="G624" s="912">
        <f>GLOBAL_DER_FEV_2023!G624</f>
        <v>0</v>
      </c>
      <c r="H624" s="901">
        <f>GLOBAL_DER_FEV_2023!H624</f>
        <v>0</v>
      </c>
      <c r="I624" s="901">
        <f>GLOBAL_DER_FEV_2023!I624</f>
        <v>0</v>
      </c>
      <c r="J624" s="890">
        <f>GLOBAL_DER_FEV_2023!J624</f>
        <v>0</v>
      </c>
      <c r="K624" s="903" t="str">
        <f>GLOBAL_DER_FEV_2023!K624</f>
        <v xml:space="preserve">     </v>
      </c>
      <c r="L624" s="1137"/>
      <c r="M624" s="1140">
        <f t="shared" si="42"/>
        <v>0</v>
      </c>
      <c r="N624" s="1167">
        <f t="shared" si="46"/>
        <v>0</v>
      </c>
      <c r="O624" s="1165"/>
      <c r="Q624" s="317" t="str">
        <f t="shared" si="43"/>
        <v/>
      </c>
      <c r="R624" s="317" t="str">
        <f t="shared" si="44"/>
        <v/>
      </c>
      <c r="S624" s="317" t="str">
        <f t="shared" si="45"/>
        <v/>
      </c>
      <c r="T624" s="317" t="str">
        <f>GLOBAL_DER_FEV_2023!S624</f>
        <v/>
      </c>
      <c r="W624" s="582">
        <v>0</v>
      </c>
      <c r="X624" s="580"/>
      <c r="Y624" s="583">
        <f>IF(GLOBAL_DER_FEV_2023!W624=0,0,IF(GLOBAL_DER_FEV_2023!W624&gt;0,"c","b"))</f>
        <v>0</v>
      </c>
    </row>
    <row r="625" spans="1:25" ht="13.5" hidden="1" thickBot="1" x14ac:dyDescent="0.25">
      <c r="A625" s="640" t="s">
        <v>165</v>
      </c>
      <c r="B625" s="1036" t="str">
        <f>GLOBAL_DER_FEV_2023!B625</f>
        <v/>
      </c>
      <c r="C625" s="1072" t="str">
        <f>GLOBAL_DER_FEV_2023!C625</f>
        <v/>
      </c>
      <c r="D625" s="1141">
        <f>GLOBAL_DER_FEV_2023!D625</f>
        <v>0</v>
      </c>
      <c r="E625" s="907">
        <f>GLOBAL_DER_FEV_2023!E625</f>
        <v>0</v>
      </c>
      <c r="F625" s="908">
        <f>GLOBAL_DER_FEV_2023!F625</f>
        <v>0</v>
      </c>
      <c r="G625" s="912">
        <f>GLOBAL_DER_FEV_2023!G625</f>
        <v>0</v>
      </c>
      <c r="H625" s="901">
        <f>GLOBAL_DER_FEV_2023!H625</f>
        <v>0</v>
      </c>
      <c r="I625" s="901">
        <f>GLOBAL_DER_FEV_2023!I625</f>
        <v>0</v>
      </c>
      <c r="J625" s="890">
        <f>GLOBAL_DER_FEV_2023!J625</f>
        <v>0</v>
      </c>
      <c r="K625" s="903" t="str">
        <f>GLOBAL_DER_FEV_2023!K625</f>
        <v xml:space="preserve">     </v>
      </c>
      <c r="L625" s="1137"/>
      <c r="M625" s="1140">
        <f t="shared" si="42"/>
        <v>0</v>
      </c>
      <c r="N625" s="1167">
        <f t="shared" si="46"/>
        <v>0</v>
      </c>
      <c r="O625" s="1165"/>
      <c r="Q625" s="317" t="str">
        <f t="shared" si="43"/>
        <v/>
      </c>
      <c r="R625" s="317" t="str">
        <f t="shared" si="44"/>
        <v/>
      </c>
      <c r="S625" s="317" t="str">
        <f t="shared" si="45"/>
        <v/>
      </c>
      <c r="T625" s="317" t="str">
        <f>GLOBAL_DER_FEV_2023!S625</f>
        <v/>
      </c>
      <c r="W625" s="582">
        <v>0</v>
      </c>
      <c r="X625" s="580"/>
      <c r="Y625" s="583">
        <f>IF(GLOBAL_DER_FEV_2023!W625=0,0,IF(GLOBAL_DER_FEV_2023!W625&gt;0,"c","b"))</f>
        <v>0</v>
      </c>
    </row>
    <row r="626" spans="1:25" ht="13.5" hidden="1" thickBot="1" x14ac:dyDescent="0.25">
      <c r="A626" s="640" t="s">
        <v>165</v>
      </c>
      <c r="B626" s="1036" t="str">
        <f>GLOBAL_DER_FEV_2023!B626</f>
        <v/>
      </c>
      <c r="C626" s="1072" t="str">
        <f>GLOBAL_DER_FEV_2023!C626</f>
        <v/>
      </c>
      <c r="D626" s="1141">
        <f>GLOBAL_DER_FEV_2023!D626</f>
        <v>0</v>
      </c>
      <c r="E626" s="907">
        <f>GLOBAL_DER_FEV_2023!E626</f>
        <v>0</v>
      </c>
      <c r="F626" s="908">
        <f>GLOBAL_DER_FEV_2023!F626</f>
        <v>0</v>
      </c>
      <c r="G626" s="912">
        <f>GLOBAL_DER_FEV_2023!G626</f>
        <v>0</v>
      </c>
      <c r="H626" s="901">
        <f>GLOBAL_DER_FEV_2023!H626</f>
        <v>0</v>
      </c>
      <c r="I626" s="901">
        <f>GLOBAL_DER_FEV_2023!I626</f>
        <v>0</v>
      </c>
      <c r="J626" s="890">
        <f>GLOBAL_DER_FEV_2023!J626</f>
        <v>0</v>
      </c>
      <c r="K626" s="903" t="str">
        <f>GLOBAL_DER_FEV_2023!K626</f>
        <v xml:space="preserve">     </v>
      </c>
      <c r="L626" s="1137"/>
      <c r="M626" s="1140">
        <f t="shared" si="42"/>
        <v>0</v>
      </c>
      <c r="N626" s="1167">
        <f t="shared" si="46"/>
        <v>0</v>
      </c>
      <c r="O626" s="1165"/>
      <c r="Q626" s="317" t="str">
        <f t="shared" si="43"/>
        <v/>
      </c>
      <c r="R626" s="317" t="str">
        <f t="shared" si="44"/>
        <v/>
      </c>
      <c r="S626" s="317" t="str">
        <f t="shared" si="45"/>
        <v/>
      </c>
      <c r="T626" s="317" t="str">
        <f>GLOBAL_DER_FEV_2023!S626</f>
        <v/>
      </c>
      <c r="W626" s="582">
        <v>0</v>
      </c>
      <c r="X626" s="580"/>
      <c r="Y626" s="583">
        <f>IF(GLOBAL_DER_FEV_2023!W626=0,0,IF(GLOBAL_DER_FEV_2023!W626&gt;0,"c","b"))</f>
        <v>0</v>
      </c>
    </row>
    <row r="627" spans="1:25" ht="13.5" hidden="1" thickBot="1" x14ac:dyDescent="0.25">
      <c r="A627" s="640" t="s">
        <v>165</v>
      </c>
      <c r="B627" s="1036" t="str">
        <f>GLOBAL_DER_FEV_2023!B627</f>
        <v/>
      </c>
      <c r="C627" s="1072" t="str">
        <f>GLOBAL_DER_FEV_2023!C627</f>
        <v/>
      </c>
      <c r="D627" s="1141">
        <f>GLOBAL_DER_FEV_2023!D627</f>
        <v>0</v>
      </c>
      <c r="E627" s="907">
        <f>GLOBAL_DER_FEV_2023!E627</f>
        <v>0</v>
      </c>
      <c r="F627" s="908">
        <f>GLOBAL_DER_FEV_2023!F627</f>
        <v>0</v>
      </c>
      <c r="G627" s="912">
        <f>GLOBAL_DER_FEV_2023!G627</f>
        <v>0</v>
      </c>
      <c r="H627" s="901">
        <f>GLOBAL_DER_FEV_2023!H627</f>
        <v>0</v>
      </c>
      <c r="I627" s="901">
        <f>GLOBAL_DER_FEV_2023!I627</f>
        <v>0</v>
      </c>
      <c r="J627" s="890">
        <f>GLOBAL_DER_FEV_2023!J627</f>
        <v>0</v>
      </c>
      <c r="K627" s="903" t="str">
        <f>GLOBAL_DER_FEV_2023!K627</f>
        <v xml:space="preserve">     </v>
      </c>
      <c r="L627" s="1137"/>
      <c r="M627" s="1140">
        <f t="shared" si="42"/>
        <v>0</v>
      </c>
      <c r="N627" s="1167">
        <f t="shared" si="46"/>
        <v>0</v>
      </c>
      <c r="O627" s="1165"/>
      <c r="Q627" s="317" t="str">
        <f t="shared" si="43"/>
        <v/>
      </c>
      <c r="R627" s="317" t="str">
        <f t="shared" si="44"/>
        <v/>
      </c>
      <c r="S627" s="317" t="str">
        <f t="shared" si="45"/>
        <v/>
      </c>
      <c r="T627" s="317" t="str">
        <f>GLOBAL_DER_FEV_2023!S627</f>
        <v/>
      </c>
      <c r="W627" s="582">
        <v>0</v>
      </c>
      <c r="X627" s="580"/>
      <c r="Y627" s="583">
        <f>IF(GLOBAL_DER_FEV_2023!W627=0,0,IF(GLOBAL_DER_FEV_2023!W627&gt;0,"c","b"))</f>
        <v>0</v>
      </c>
    </row>
    <row r="628" spans="1:25" ht="13.5" hidden="1" thickBot="1" x14ac:dyDescent="0.25">
      <c r="A628" s="640" t="s">
        <v>165</v>
      </c>
      <c r="B628" s="1036" t="str">
        <f>GLOBAL_DER_FEV_2023!B628</f>
        <v/>
      </c>
      <c r="C628" s="1072" t="str">
        <f>GLOBAL_DER_FEV_2023!C628</f>
        <v/>
      </c>
      <c r="D628" s="1141">
        <f>GLOBAL_DER_FEV_2023!D628</f>
        <v>0</v>
      </c>
      <c r="E628" s="907">
        <f>GLOBAL_DER_FEV_2023!E628</f>
        <v>0</v>
      </c>
      <c r="F628" s="908">
        <f>GLOBAL_DER_FEV_2023!F628</f>
        <v>0</v>
      </c>
      <c r="G628" s="912">
        <f>GLOBAL_DER_FEV_2023!G628</f>
        <v>0</v>
      </c>
      <c r="H628" s="901">
        <f>GLOBAL_DER_FEV_2023!H628</f>
        <v>0</v>
      </c>
      <c r="I628" s="901">
        <f>GLOBAL_DER_FEV_2023!I628</f>
        <v>0</v>
      </c>
      <c r="J628" s="890">
        <f>GLOBAL_DER_FEV_2023!J628</f>
        <v>0</v>
      </c>
      <c r="K628" s="903" t="str">
        <f>GLOBAL_DER_FEV_2023!K628</f>
        <v xml:space="preserve">     </v>
      </c>
      <c r="L628" s="1137"/>
      <c r="M628" s="1140">
        <f t="shared" si="42"/>
        <v>0</v>
      </c>
      <c r="N628" s="1167">
        <f t="shared" si="46"/>
        <v>0</v>
      </c>
      <c r="O628" s="1165"/>
      <c r="Q628" s="317" t="str">
        <f t="shared" si="43"/>
        <v/>
      </c>
      <c r="R628" s="317" t="str">
        <f t="shared" si="44"/>
        <v/>
      </c>
      <c r="S628" s="317" t="str">
        <f t="shared" si="45"/>
        <v/>
      </c>
      <c r="T628" s="317" t="str">
        <f>GLOBAL_DER_FEV_2023!S628</f>
        <v/>
      </c>
      <c r="W628" s="582">
        <v>0</v>
      </c>
      <c r="X628" s="580"/>
      <c r="Y628" s="583">
        <f>IF(GLOBAL_DER_FEV_2023!W628=0,0,IF(GLOBAL_DER_FEV_2023!W628&gt;0,"c","b"))</f>
        <v>0</v>
      </c>
    </row>
    <row r="629" spans="1:25" ht="13.5" hidden="1" thickBot="1" x14ac:dyDescent="0.25">
      <c r="A629" s="640" t="s">
        <v>165</v>
      </c>
      <c r="B629" s="1036" t="str">
        <f>GLOBAL_DER_FEV_2023!B629</f>
        <v/>
      </c>
      <c r="C629" s="1072" t="str">
        <f>GLOBAL_DER_FEV_2023!C629</f>
        <v/>
      </c>
      <c r="D629" s="1141">
        <f>GLOBAL_DER_FEV_2023!D629</f>
        <v>0</v>
      </c>
      <c r="E629" s="907">
        <f>GLOBAL_DER_FEV_2023!E629</f>
        <v>0</v>
      </c>
      <c r="F629" s="908">
        <f>GLOBAL_DER_FEV_2023!F629</f>
        <v>0</v>
      </c>
      <c r="G629" s="912">
        <f>GLOBAL_DER_FEV_2023!G629</f>
        <v>0</v>
      </c>
      <c r="H629" s="901">
        <f>GLOBAL_DER_FEV_2023!H629</f>
        <v>0</v>
      </c>
      <c r="I629" s="901">
        <f>GLOBAL_DER_FEV_2023!I629</f>
        <v>0</v>
      </c>
      <c r="J629" s="890">
        <f>GLOBAL_DER_FEV_2023!J629</f>
        <v>0</v>
      </c>
      <c r="K629" s="903" t="str">
        <f>GLOBAL_DER_FEV_2023!K629</f>
        <v xml:space="preserve">     </v>
      </c>
      <c r="L629" s="1137"/>
      <c r="M629" s="1140">
        <f t="shared" si="42"/>
        <v>0</v>
      </c>
      <c r="N629" s="1167">
        <f t="shared" si="46"/>
        <v>0</v>
      </c>
      <c r="O629" s="1165"/>
      <c r="Q629" s="317" t="str">
        <f t="shared" si="43"/>
        <v/>
      </c>
      <c r="R629" s="317" t="str">
        <f t="shared" si="44"/>
        <v/>
      </c>
      <c r="S629" s="317" t="str">
        <f t="shared" si="45"/>
        <v/>
      </c>
      <c r="T629" s="317" t="str">
        <f>GLOBAL_DER_FEV_2023!S629</f>
        <v/>
      </c>
      <c r="W629" s="582">
        <v>0</v>
      </c>
      <c r="X629" s="580"/>
      <c r="Y629" s="583">
        <f>IF(GLOBAL_DER_FEV_2023!W629=0,0,IF(GLOBAL_DER_FEV_2023!W629&gt;0,"c","b"))</f>
        <v>0</v>
      </c>
    </row>
    <row r="630" spans="1:25" ht="13.5" hidden="1" thickBot="1" x14ac:dyDescent="0.25">
      <c r="A630" s="640" t="s">
        <v>165</v>
      </c>
      <c r="B630" s="1036" t="str">
        <f>GLOBAL_DER_FEV_2023!B630</f>
        <v/>
      </c>
      <c r="C630" s="1072" t="str">
        <f>GLOBAL_DER_FEV_2023!C630</f>
        <v/>
      </c>
      <c r="D630" s="1141">
        <f>GLOBAL_DER_FEV_2023!D630</f>
        <v>0</v>
      </c>
      <c r="E630" s="907">
        <f>GLOBAL_DER_FEV_2023!E630</f>
        <v>0</v>
      </c>
      <c r="F630" s="908">
        <f>GLOBAL_DER_FEV_2023!F630</f>
        <v>0</v>
      </c>
      <c r="G630" s="912">
        <f>GLOBAL_DER_FEV_2023!G630</f>
        <v>0</v>
      </c>
      <c r="H630" s="901">
        <f>GLOBAL_DER_FEV_2023!H630</f>
        <v>0</v>
      </c>
      <c r="I630" s="901">
        <f>GLOBAL_DER_FEV_2023!I630</f>
        <v>0</v>
      </c>
      <c r="J630" s="890">
        <f>GLOBAL_DER_FEV_2023!J630</f>
        <v>0</v>
      </c>
      <c r="K630" s="903" t="str">
        <f>GLOBAL_DER_FEV_2023!K630</f>
        <v xml:space="preserve">     </v>
      </c>
      <c r="L630" s="1137"/>
      <c r="M630" s="1140">
        <f t="shared" si="42"/>
        <v>0</v>
      </c>
      <c r="N630" s="1167">
        <f t="shared" si="46"/>
        <v>0</v>
      </c>
      <c r="O630" s="1165"/>
      <c r="Q630" s="317" t="str">
        <f t="shared" si="43"/>
        <v/>
      </c>
      <c r="R630" s="317" t="str">
        <f t="shared" si="44"/>
        <v/>
      </c>
      <c r="S630" s="317" t="str">
        <f t="shared" si="45"/>
        <v/>
      </c>
      <c r="T630" s="317" t="str">
        <f>GLOBAL_DER_FEV_2023!S630</f>
        <v/>
      </c>
      <c r="W630" s="582">
        <v>0</v>
      </c>
      <c r="X630" s="580"/>
      <c r="Y630" s="583">
        <f>IF(GLOBAL_DER_FEV_2023!W630=0,0,IF(GLOBAL_DER_FEV_2023!W630&gt;0,"c","b"))</f>
        <v>0</v>
      </c>
    </row>
    <row r="631" spans="1:25" ht="13.5" hidden="1" thickBot="1" x14ac:dyDescent="0.25">
      <c r="A631" s="640" t="s">
        <v>165</v>
      </c>
      <c r="B631" s="1036" t="str">
        <f>GLOBAL_DER_FEV_2023!B631</f>
        <v/>
      </c>
      <c r="C631" s="1072" t="str">
        <f>GLOBAL_DER_FEV_2023!C631</f>
        <v/>
      </c>
      <c r="D631" s="1141">
        <f>GLOBAL_DER_FEV_2023!D631</f>
        <v>0</v>
      </c>
      <c r="E631" s="907">
        <f>GLOBAL_DER_FEV_2023!E631</f>
        <v>0</v>
      </c>
      <c r="F631" s="908">
        <f>GLOBAL_DER_FEV_2023!F631</f>
        <v>0</v>
      </c>
      <c r="G631" s="912">
        <f>GLOBAL_DER_FEV_2023!G631</f>
        <v>0</v>
      </c>
      <c r="H631" s="901">
        <f>GLOBAL_DER_FEV_2023!H631</f>
        <v>0</v>
      </c>
      <c r="I631" s="901">
        <f>GLOBAL_DER_FEV_2023!I631</f>
        <v>0</v>
      </c>
      <c r="J631" s="890">
        <f>GLOBAL_DER_FEV_2023!J631</f>
        <v>0</v>
      </c>
      <c r="K631" s="903" t="str">
        <f>GLOBAL_DER_FEV_2023!K631</f>
        <v xml:space="preserve">     </v>
      </c>
      <c r="L631" s="1137"/>
      <c r="M631" s="1140">
        <f t="shared" si="42"/>
        <v>0</v>
      </c>
      <c r="N631" s="1167">
        <f t="shared" si="46"/>
        <v>0</v>
      </c>
      <c r="O631" s="1165"/>
      <c r="Q631" s="317" t="str">
        <f t="shared" si="43"/>
        <v/>
      </c>
      <c r="R631" s="317" t="str">
        <f t="shared" si="44"/>
        <v/>
      </c>
      <c r="S631" s="317" t="str">
        <f t="shared" si="45"/>
        <v/>
      </c>
      <c r="T631" s="317" t="str">
        <f>GLOBAL_DER_FEV_2023!S631</f>
        <v/>
      </c>
      <c r="W631" s="582">
        <v>0</v>
      </c>
      <c r="X631" s="580"/>
      <c r="Y631" s="583">
        <f>IF(GLOBAL_DER_FEV_2023!W631=0,0,IF(GLOBAL_DER_FEV_2023!W631&gt;0,"c","b"))</f>
        <v>0</v>
      </c>
    </row>
    <row r="632" spans="1:25" ht="13.5" hidden="1" thickBot="1" x14ac:dyDescent="0.25">
      <c r="A632" s="640" t="s">
        <v>165</v>
      </c>
      <c r="B632" s="1036" t="str">
        <f>GLOBAL_DER_FEV_2023!B632</f>
        <v/>
      </c>
      <c r="C632" s="1072" t="str">
        <f>GLOBAL_DER_FEV_2023!C632</f>
        <v/>
      </c>
      <c r="D632" s="1141">
        <f>GLOBAL_DER_FEV_2023!D632</f>
        <v>0</v>
      </c>
      <c r="E632" s="907">
        <f>GLOBAL_DER_FEV_2023!E632</f>
        <v>0</v>
      </c>
      <c r="F632" s="908">
        <f>GLOBAL_DER_FEV_2023!F632</f>
        <v>0</v>
      </c>
      <c r="G632" s="912">
        <f>GLOBAL_DER_FEV_2023!G632</f>
        <v>0</v>
      </c>
      <c r="H632" s="901">
        <f>GLOBAL_DER_FEV_2023!H632</f>
        <v>0</v>
      </c>
      <c r="I632" s="901">
        <f>GLOBAL_DER_FEV_2023!I632</f>
        <v>0</v>
      </c>
      <c r="J632" s="890">
        <f>GLOBAL_DER_FEV_2023!J632</f>
        <v>0</v>
      </c>
      <c r="K632" s="903" t="str">
        <f>GLOBAL_DER_FEV_2023!K632</f>
        <v xml:space="preserve">     </v>
      </c>
      <c r="L632" s="1137"/>
      <c r="M632" s="1140">
        <f t="shared" si="42"/>
        <v>0</v>
      </c>
      <c r="N632" s="1167">
        <f t="shared" si="46"/>
        <v>0</v>
      </c>
      <c r="O632" s="1165"/>
      <c r="Q632" s="317" t="str">
        <f t="shared" si="43"/>
        <v/>
      </c>
      <c r="R632" s="317" t="str">
        <f t="shared" si="44"/>
        <v/>
      </c>
      <c r="S632" s="317" t="str">
        <f t="shared" si="45"/>
        <v/>
      </c>
      <c r="T632" s="317" t="str">
        <f>GLOBAL_DER_FEV_2023!S632</f>
        <v/>
      </c>
      <c r="W632" s="582">
        <v>0</v>
      </c>
      <c r="X632" s="580"/>
      <c r="Y632" s="583">
        <f>IF(GLOBAL_DER_FEV_2023!W632=0,0,IF(GLOBAL_DER_FEV_2023!W632&gt;0,"c","b"))</f>
        <v>0</v>
      </c>
    </row>
    <row r="633" spans="1:25" ht="13.5" hidden="1" thickBot="1" x14ac:dyDescent="0.25">
      <c r="A633" s="640" t="s">
        <v>165</v>
      </c>
      <c r="B633" s="1036" t="str">
        <f>GLOBAL_DER_FEV_2023!B633</f>
        <v/>
      </c>
      <c r="C633" s="1072" t="str">
        <f>GLOBAL_DER_FEV_2023!C633</f>
        <v/>
      </c>
      <c r="D633" s="1141">
        <f>GLOBAL_DER_FEV_2023!D633</f>
        <v>0</v>
      </c>
      <c r="E633" s="907">
        <f>GLOBAL_DER_FEV_2023!E633</f>
        <v>0</v>
      </c>
      <c r="F633" s="908">
        <f>GLOBAL_DER_FEV_2023!F633</f>
        <v>0</v>
      </c>
      <c r="G633" s="912">
        <f>GLOBAL_DER_FEV_2023!G633</f>
        <v>0</v>
      </c>
      <c r="H633" s="901">
        <f>GLOBAL_DER_FEV_2023!H633</f>
        <v>0</v>
      </c>
      <c r="I633" s="901">
        <f>GLOBAL_DER_FEV_2023!I633</f>
        <v>0</v>
      </c>
      <c r="J633" s="890">
        <f>GLOBAL_DER_FEV_2023!J633</f>
        <v>0</v>
      </c>
      <c r="K633" s="903" t="str">
        <f>GLOBAL_DER_FEV_2023!K633</f>
        <v xml:space="preserve">     </v>
      </c>
      <c r="L633" s="1137"/>
      <c r="M633" s="1140">
        <f t="shared" si="42"/>
        <v>0</v>
      </c>
      <c r="N633" s="1167">
        <f t="shared" si="46"/>
        <v>0</v>
      </c>
      <c r="O633" s="1165"/>
      <c r="Q633" s="317" t="str">
        <f t="shared" si="43"/>
        <v/>
      </c>
      <c r="R633" s="317" t="str">
        <f t="shared" si="44"/>
        <v/>
      </c>
      <c r="S633" s="317" t="str">
        <f t="shared" si="45"/>
        <v/>
      </c>
      <c r="T633" s="317" t="str">
        <f>GLOBAL_DER_FEV_2023!S633</f>
        <v/>
      </c>
      <c r="W633" s="582">
        <v>0</v>
      </c>
      <c r="X633" s="580"/>
      <c r="Y633" s="583">
        <f>IF(GLOBAL_DER_FEV_2023!W633=0,0,IF(GLOBAL_DER_FEV_2023!W633&gt;0,"c","b"))</f>
        <v>0</v>
      </c>
    </row>
    <row r="634" spans="1:25" ht="13.5" hidden="1" thickBot="1" x14ac:dyDescent="0.25">
      <c r="A634" s="640" t="s">
        <v>165</v>
      </c>
      <c r="B634" s="1036" t="str">
        <f>GLOBAL_DER_FEV_2023!B634</f>
        <v/>
      </c>
      <c r="C634" s="1072" t="str">
        <f>GLOBAL_DER_FEV_2023!C634</f>
        <v/>
      </c>
      <c r="D634" s="1141">
        <f>GLOBAL_DER_FEV_2023!D634</f>
        <v>0</v>
      </c>
      <c r="E634" s="907">
        <f>GLOBAL_DER_FEV_2023!E634</f>
        <v>0</v>
      </c>
      <c r="F634" s="908">
        <f>GLOBAL_DER_FEV_2023!F634</f>
        <v>0</v>
      </c>
      <c r="G634" s="912">
        <f>GLOBAL_DER_FEV_2023!G634</f>
        <v>0</v>
      </c>
      <c r="H634" s="901">
        <f>GLOBAL_DER_FEV_2023!H634</f>
        <v>0</v>
      </c>
      <c r="I634" s="901">
        <f>GLOBAL_DER_FEV_2023!I634</f>
        <v>0</v>
      </c>
      <c r="J634" s="890">
        <f>GLOBAL_DER_FEV_2023!J634</f>
        <v>0</v>
      </c>
      <c r="K634" s="903" t="str">
        <f>GLOBAL_DER_FEV_2023!K634</f>
        <v xml:space="preserve">     </v>
      </c>
      <c r="L634" s="1137"/>
      <c r="M634" s="1140">
        <f t="shared" si="42"/>
        <v>0</v>
      </c>
      <c r="N634" s="1167">
        <f t="shared" si="46"/>
        <v>0</v>
      </c>
      <c r="O634" s="1165"/>
      <c r="Q634" s="317" t="str">
        <f t="shared" si="43"/>
        <v/>
      </c>
      <c r="R634" s="317" t="str">
        <f t="shared" si="44"/>
        <v/>
      </c>
      <c r="S634" s="317" t="str">
        <f t="shared" si="45"/>
        <v/>
      </c>
      <c r="T634" s="317" t="str">
        <f>GLOBAL_DER_FEV_2023!S634</f>
        <v/>
      </c>
      <c r="W634" s="582">
        <v>0</v>
      </c>
      <c r="X634" s="580"/>
      <c r="Y634" s="583">
        <f>IF(GLOBAL_DER_FEV_2023!W634=0,0,IF(GLOBAL_DER_FEV_2023!W634&gt;0,"c","b"))</f>
        <v>0</v>
      </c>
    </row>
    <row r="635" spans="1:25" ht="13.5" hidden="1" thickBot="1" x14ac:dyDescent="0.25">
      <c r="A635" s="640" t="s">
        <v>165</v>
      </c>
      <c r="B635" s="1036" t="str">
        <f>GLOBAL_DER_FEV_2023!B635</f>
        <v/>
      </c>
      <c r="C635" s="1072" t="str">
        <f>GLOBAL_DER_FEV_2023!C635</f>
        <v/>
      </c>
      <c r="D635" s="1141">
        <f>GLOBAL_DER_FEV_2023!D635</f>
        <v>0</v>
      </c>
      <c r="E635" s="907">
        <f>GLOBAL_DER_FEV_2023!E635</f>
        <v>0</v>
      </c>
      <c r="F635" s="908">
        <f>GLOBAL_DER_FEV_2023!F635</f>
        <v>0</v>
      </c>
      <c r="G635" s="912">
        <f>GLOBAL_DER_FEV_2023!G635</f>
        <v>0</v>
      </c>
      <c r="H635" s="901">
        <f>GLOBAL_DER_FEV_2023!H635</f>
        <v>0</v>
      </c>
      <c r="I635" s="901">
        <f>GLOBAL_DER_FEV_2023!I635</f>
        <v>0</v>
      </c>
      <c r="J635" s="890">
        <f>GLOBAL_DER_FEV_2023!J635</f>
        <v>0</v>
      </c>
      <c r="K635" s="903" t="str">
        <f>GLOBAL_DER_FEV_2023!K635</f>
        <v xml:space="preserve">     </v>
      </c>
      <c r="L635" s="1137"/>
      <c r="M635" s="1140">
        <f t="shared" si="42"/>
        <v>0</v>
      </c>
      <c r="N635" s="1167">
        <f t="shared" si="46"/>
        <v>0</v>
      </c>
      <c r="O635" s="1165"/>
      <c r="Q635" s="317" t="str">
        <f t="shared" si="43"/>
        <v/>
      </c>
      <c r="R635" s="317" t="str">
        <f t="shared" si="44"/>
        <v/>
      </c>
      <c r="S635" s="317" t="str">
        <f t="shared" si="45"/>
        <v/>
      </c>
      <c r="T635" s="317" t="str">
        <f>GLOBAL_DER_FEV_2023!S635</f>
        <v/>
      </c>
      <c r="W635" s="582">
        <v>0</v>
      </c>
      <c r="X635" s="580"/>
      <c r="Y635" s="583">
        <f>IF(GLOBAL_DER_FEV_2023!W635=0,0,IF(GLOBAL_DER_FEV_2023!W635&gt;0,"c","b"))</f>
        <v>0</v>
      </c>
    </row>
    <row r="636" spans="1:25" ht="13.5" hidden="1" thickBot="1" x14ac:dyDescent="0.25">
      <c r="A636" s="640" t="s">
        <v>165</v>
      </c>
      <c r="B636" s="1036" t="str">
        <f>GLOBAL_DER_FEV_2023!B636</f>
        <v/>
      </c>
      <c r="C636" s="1072" t="str">
        <f>GLOBAL_DER_FEV_2023!C636</f>
        <v/>
      </c>
      <c r="D636" s="1141">
        <f>GLOBAL_DER_FEV_2023!D636</f>
        <v>0</v>
      </c>
      <c r="E636" s="907">
        <f>GLOBAL_DER_FEV_2023!E636</f>
        <v>0</v>
      </c>
      <c r="F636" s="908">
        <f>GLOBAL_DER_FEV_2023!F636</f>
        <v>0</v>
      </c>
      <c r="G636" s="912">
        <f>GLOBAL_DER_FEV_2023!G636</f>
        <v>0</v>
      </c>
      <c r="H636" s="901">
        <f>GLOBAL_DER_FEV_2023!H636</f>
        <v>0</v>
      </c>
      <c r="I636" s="901">
        <f>GLOBAL_DER_FEV_2023!I636</f>
        <v>0</v>
      </c>
      <c r="J636" s="890">
        <f>GLOBAL_DER_FEV_2023!J636</f>
        <v>0</v>
      </c>
      <c r="K636" s="903" t="str">
        <f>GLOBAL_DER_FEV_2023!K636</f>
        <v xml:space="preserve">     </v>
      </c>
      <c r="L636" s="1137"/>
      <c r="M636" s="1140">
        <f t="shared" si="42"/>
        <v>0</v>
      </c>
      <c r="N636" s="1167">
        <f t="shared" si="46"/>
        <v>0</v>
      </c>
      <c r="O636" s="1165"/>
      <c r="Q636" s="317" t="str">
        <f t="shared" si="43"/>
        <v/>
      </c>
      <c r="R636" s="317" t="str">
        <f t="shared" si="44"/>
        <v/>
      </c>
      <c r="S636" s="317" t="str">
        <f t="shared" si="45"/>
        <v/>
      </c>
      <c r="T636" s="317" t="str">
        <f>GLOBAL_DER_FEV_2023!S636</f>
        <v/>
      </c>
      <c r="W636" s="582">
        <v>0</v>
      </c>
      <c r="X636" s="580"/>
      <c r="Y636" s="583">
        <f>IF(GLOBAL_DER_FEV_2023!W636=0,0,IF(GLOBAL_DER_FEV_2023!W636&gt;0,"c","b"))</f>
        <v>0</v>
      </c>
    </row>
    <row r="637" spans="1:25" ht="13.5" hidden="1" thickBot="1" x14ac:dyDescent="0.25">
      <c r="A637" s="640" t="s">
        <v>165</v>
      </c>
      <c r="B637" s="1036" t="str">
        <f>GLOBAL_DER_FEV_2023!B637</f>
        <v/>
      </c>
      <c r="C637" s="1072" t="str">
        <f>GLOBAL_DER_FEV_2023!C637</f>
        <v/>
      </c>
      <c r="D637" s="1141">
        <f>GLOBAL_DER_FEV_2023!D637</f>
        <v>0</v>
      </c>
      <c r="E637" s="907">
        <f>GLOBAL_DER_FEV_2023!E637</f>
        <v>0</v>
      </c>
      <c r="F637" s="908">
        <f>GLOBAL_DER_FEV_2023!F637</f>
        <v>0</v>
      </c>
      <c r="G637" s="912">
        <f>GLOBAL_DER_FEV_2023!G637</f>
        <v>0</v>
      </c>
      <c r="H637" s="901">
        <f>GLOBAL_DER_FEV_2023!H637</f>
        <v>0</v>
      </c>
      <c r="I637" s="901">
        <f>GLOBAL_DER_FEV_2023!I637</f>
        <v>0</v>
      </c>
      <c r="J637" s="890">
        <f>GLOBAL_DER_FEV_2023!J637</f>
        <v>0</v>
      </c>
      <c r="K637" s="903" t="str">
        <f>GLOBAL_DER_FEV_2023!K637</f>
        <v xml:space="preserve">     </v>
      </c>
      <c r="L637" s="1137"/>
      <c r="M637" s="1140">
        <f t="shared" si="42"/>
        <v>0</v>
      </c>
      <c r="N637" s="1167">
        <f t="shared" si="46"/>
        <v>0</v>
      </c>
      <c r="O637" s="1165"/>
      <c r="Q637" s="317" t="str">
        <f t="shared" si="43"/>
        <v/>
      </c>
      <c r="R637" s="317" t="str">
        <f t="shared" si="44"/>
        <v/>
      </c>
      <c r="S637" s="317" t="str">
        <f t="shared" si="45"/>
        <v/>
      </c>
      <c r="T637" s="317" t="str">
        <f>GLOBAL_DER_FEV_2023!S637</f>
        <v/>
      </c>
      <c r="W637" s="582">
        <v>0</v>
      </c>
      <c r="X637" s="580"/>
      <c r="Y637" s="583">
        <f>IF(GLOBAL_DER_FEV_2023!W637=0,0,IF(GLOBAL_DER_FEV_2023!W637&gt;0,"c","b"))</f>
        <v>0</v>
      </c>
    </row>
    <row r="638" spans="1:25" ht="13.5" hidden="1" thickBot="1" x14ac:dyDescent="0.25">
      <c r="A638" s="640" t="s">
        <v>165</v>
      </c>
      <c r="B638" s="1036" t="str">
        <f>GLOBAL_DER_FEV_2023!B638</f>
        <v/>
      </c>
      <c r="C638" s="1072" t="str">
        <f>GLOBAL_DER_FEV_2023!C638</f>
        <v/>
      </c>
      <c r="D638" s="1141">
        <f>GLOBAL_DER_FEV_2023!D638</f>
        <v>0</v>
      </c>
      <c r="E638" s="907">
        <f>GLOBAL_DER_FEV_2023!E638</f>
        <v>0</v>
      </c>
      <c r="F638" s="908">
        <f>GLOBAL_DER_FEV_2023!F638</f>
        <v>0</v>
      </c>
      <c r="G638" s="912">
        <f>GLOBAL_DER_FEV_2023!G638</f>
        <v>0</v>
      </c>
      <c r="H638" s="901">
        <f>GLOBAL_DER_FEV_2023!H638</f>
        <v>0</v>
      </c>
      <c r="I638" s="901">
        <f>GLOBAL_DER_FEV_2023!I638</f>
        <v>0</v>
      </c>
      <c r="J638" s="890">
        <f>GLOBAL_DER_FEV_2023!J638</f>
        <v>0</v>
      </c>
      <c r="K638" s="903" t="str">
        <f>GLOBAL_DER_FEV_2023!K638</f>
        <v xml:space="preserve">     </v>
      </c>
      <c r="L638" s="1137"/>
      <c r="M638" s="1140">
        <f t="shared" si="42"/>
        <v>0</v>
      </c>
      <c r="N638" s="1167">
        <f t="shared" si="46"/>
        <v>0</v>
      </c>
      <c r="O638" s="1165"/>
      <c r="Q638" s="317" t="str">
        <f t="shared" si="43"/>
        <v/>
      </c>
      <c r="R638" s="317" t="str">
        <f t="shared" si="44"/>
        <v/>
      </c>
      <c r="S638" s="317" t="str">
        <f t="shared" si="45"/>
        <v/>
      </c>
      <c r="T638" s="317" t="str">
        <f>GLOBAL_DER_FEV_2023!S638</f>
        <v/>
      </c>
      <c r="W638" s="582">
        <v>0</v>
      </c>
      <c r="X638" s="580"/>
      <c r="Y638" s="583">
        <f>IF(GLOBAL_DER_FEV_2023!W638=0,0,IF(GLOBAL_DER_FEV_2023!W638&gt;0,"c","b"))</f>
        <v>0</v>
      </c>
    </row>
    <row r="639" spans="1:25" ht="13.5" hidden="1" thickBot="1" x14ac:dyDescent="0.25">
      <c r="A639" s="640" t="s">
        <v>165</v>
      </c>
      <c r="B639" s="1036" t="str">
        <f>GLOBAL_DER_FEV_2023!B639</f>
        <v/>
      </c>
      <c r="C639" s="1072" t="str">
        <f>GLOBAL_DER_FEV_2023!C639</f>
        <v/>
      </c>
      <c r="D639" s="1141">
        <f>GLOBAL_DER_FEV_2023!D639</f>
        <v>0</v>
      </c>
      <c r="E639" s="907">
        <f>GLOBAL_DER_FEV_2023!E639</f>
        <v>0</v>
      </c>
      <c r="F639" s="908">
        <f>GLOBAL_DER_FEV_2023!F639</f>
        <v>0</v>
      </c>
      <c r="G639" s="912">
        <f>GLOBAL_DER_FEV_2023!G639</f>
        <v>0</v>
      </c>
      <c r="H639" s="901">
        <f>GLOBAL_DER_FEV_2023!H639</f>
        <v>0</v>
      </c>
      <c r="I639" s="901">
        <f>GLOBAL_DER_FEV_2023!I639</f>
        <v>0</v>
      </c>
      <c r="J639" s="890">
        <f>GLOBAL_DER_FEV_2023!J639</f>
        <v>0</v>
      </c>
      <c r="K639" s="903" t="str">
        <f>GLOBAL_DER_FEV_2023!K639</f>
        <v xml:space="preserve">     </v>
      </c>
      <c r="L639" s="1137"/>
      <c r="M639" s="1140">
        <f t="shared" si="42"/>
        <v>0</v>
      </c>
      <c r="N639" s="1167">
        <f t="shared" si="46"/>
        <v>0</v>
      </c>
      <c r="O639" s="1165"/>
      <c r="Q639" s="317" t="str">
        <f t="shared" si="43"/>
        <v/>
      </c>
      <c r="R639" s="317" t="str">
        <f t="shared" si="44"/>
        <v/>
      </c>
      <c r="S639" s="317" t="str">
        <f t="shared" si="45"/>
        <v/>
      </c>
      <c r="T639" s="317" t="str">
        <f>GLOBAL_DER_FEV_2023!S639</f>
        <v/>
      </c>
      <c r="W639" s="582">
        <v>0</v>
      </c>
      <c r="X639" s="580"/>
      <c r="Y639" s="583">
        <f>IF(GLOBAL_DER_FEV_2023!W639=0,0,IF(GLOBAL_DER_FEV_2023!W639&gt;0,"c","b"))</f>
        <v>0</v>
      </c>
    </row>
    <row r="640" spans="1:25" ht="13.5" hidden="1" thickBot="1" x14ac:dyDescent="0.25">
      <c r="A640" s="640" t="s">
        <v>165</v>
      </c>
      <c r="B640" s="1036" t="str">
        <f>GLOBAL_DER_FEV_2023!B640</f>
        <v/>
      </c>
      <c r="C640" s="1072" t="str">
        <f>GLOBAL_DER_FEV_2023!C640</f>
        <v/>
      </c>
      <c r="D640" s="1141">
        <f>GLOBAL_DER_FEV_2023!D640</f>
        <v>0</v>
      </c>
      <c r="E640" s="907">
        <f>GLOBAL_DER_FEV_2023!E640</f>
        <v>0</v>
      </c>
      <c r="F640" s="908">
        <f>GLOBAL_DER_FEV_2023!F640</f>
        <v>0</v>
      </c>
      <c r="G640" s="912">
        <f>GLOBAL_DER_FEV_2023!G640</f>
        <v>0</v>
      </c>
      <c r="H640" s="901">
        <f>GLOBAL_DER_FEV_2023!H640</f>
        <v>0</v>
      </c>
      <c r="I640" s="901">
        <f>GLOBAL_DER_FEV_2023!I640</f>
        <v>0</v>
      </c>
      <c r="J640" s="890">
        <f>GLOBAL_DER_FEV_2023!J640</f>
        <v>0</v>
      </c>
      <c r="K640" s="903" t="str">
        <f>GLOBAL_DER_FEV_2023!K640</f>
        <v xml:space="preserve">     </v>
      </c>
      <c r="L640" s="1137"/>
      <c r="M640" s="1140">
        <f t="shared" si="42"/>
        <v>0</v>
      </c>
      <c r="N640" s="1167">
        <f t="shared" si="46"/>
        <v>0</v>
      </c>
      <c r="O640" s="1165"/>
      <c r="Q640" s="317" t="str">
        <f t="shared" si="43"/>
        <v/>
      </c>
      <c r="R640" s="317" t="str">
        <f t="shared" si="44"/>
        <v/>
      </c>
      <c r="S640" s="317" t="str">
        <f t="shared" si="45"/>
        <v/>
      </c>
      <c r="T640" s="317" t="str">
        <f>GLOBAL_DER_FEV_2023!S640</f>
        <v/>
      </c>
      <c r="W640" s="582">
        <v>0</v>
      </c>
      <c r="X640" s="580"/>
      <c r="Y640" s="583">
        <f>IF(GLOBAL_DER_FEV_2023!W640=0,0,IF(GLOBAL_DER_FEV_2023!W640&gt;0,"c","b"))</f>
        <v>0</v>
      </c>
    </row>
    <row r="641" spans="1:25" ht="13.5" hidden="1" thickBot="1" x14ac:dyDescent="0.25">
      <c r="A641" s="640" t="s">
        <v>165</v>
      </c>
      <c r="B641" s="1036" t="str">
        <f>GLOBAL_DER_FEV_2023!B641</f>
        <v/>
      </c>
      <c r="C641" s="1072" t="str">
        <f>GLOBAL_DER_FEV_2023!C641</f>
        <v/>
      </c>
      <c r="D641" s="1141">
        <f>GLOBAL_DER_FEV_2023!D641</f>
        <v>0</v>
      </c>
      <c r="E641" s="907">
        <f>GLOBAL_DER_FEV_2023!E641</f>
        <v>0</v>
      </c>
      <c r="F641" s="908">
        <f>GLOBAL_DER_FEV_2023!F641</f>
        <v>0</v>
      </c>
      <c r="G641" s="912">
        <f>GLOBAL_DER_FEV_2023!G641</f>
        <v>0</v>
      </c>
      <c r="H641" s="901">
        <f>GLOBAL_DER_FEV_2023!H641</f>
        <v>0</v>
      </c>
      <c r="I641" s="901">
        <f>GLOBAL_DER_FEV_2023!I641</f>
        <v>0</v>
      </c>
      <c r="J641" s="890">
        <f>GLOBAL_DER_FEV_2023!J641</f>
        <v>0</v>
      </c>
      <c r="K641" s="903" t="str">
        <f>GLOBAL_DER_FEV_2023!K641</f>
        <v xml:space="preserve">     </v>
      </c>
      <c r="L641" s="1137"/>
      <c r="M641" s="1140">
        <f t="shared" si="42"/>
        <v>0</v>
      </c>
      <c r="N641" s="1167">
        <f t="shared" si="46"/>
        <v>0</v>
      </c>
      <c r="O641" s="1165"/>
      <c r="Q641" s="317" t="str">
        <f t="shared" si="43"/>
        <v/>
      </c>
      <c r="R641" s="317" t="str">
        <f t="shared" si="44"/>
        <v/>
      </c>
      <c r="S641" s="317" t="str">
        <f t="shared" si="45"/>
        <v/>
      </c>
      <c r="T641" s="317" t="str">
        <f>GLOBAL_DER_FEV_2023!S641</f>
        <v/>
      </c>
      <c r="W641" s="582">
        <v>0</v>
      </c>
      <c r="X641" s="580"/>
      <c r="Y641" s="583">
        <f>IF(GLOBAL_DER_FEV_2023!W641=0,0,IF(GLOBAL_DER_FEV_2023!W641&gt;0,"c","b"))</f>
        <v>0</v>
      </c>
    </row>
    <row r="642" spans="1:25" ht="13.5" hidden="1" thickBot="1" x14ac:dyDescent="0.25">
      <c r="A642" s="640" t="s">
        <v>165</v>
      </c>
      <c r="B642" s="1036" t="str">
        <f>GLOBAL_DER_FEV_2023!B642</f>
        <v/>
      </c>
      <c r="C642" s="1072" t="str">
        <f>GLOBAL_DER_FEV_2023!C642</f>
        <v/>
      </c>
      <c r="D642" s="1141">
        <f>GLOBAL_DER_FEV_2023!D642</f>
        <v>0</v>
      </c>
      <c r="E642" s="907">
        <f>GLOBAL_DER_FEV_2023!E642</f>
        <v>0</v>
      </c>
      <c r="F642" s="908">
        <f>GLOBAL_DER_FEV_2023!F642</f>
        <v>0</v>
      </c>
      <c r="G642" s="912">
        <f>GLOBAL_DER_FEV_2023!G642</f>
        <v>0</v>
      </c>
      <c r="H642" s="901">
        <f>GLOBAL_DER_FEV_2023!H642</f>
        <v>0</v>
      </c>
      <c r="I642" s="901">
        <f>GLOBAL_DER_FEV_2023!I642</f>
        <v>0</v>
      </c>
      <c r="J642" s="890">
        <f>GLOBAL_DER_FEV_2023!J642</f>
        <v>0</v>
      </c>
      <c r="K642" s="903" t="str">
        <f>GLOBAL_DER_FEV_2023!K642</f>
        <v xml:space="preserve">     </v>
      </c>
      <c r="L642" s="1137"/>
      <c r="M642" s="1140">
        <f t="shared" si="42"/>
        <v>0</v>
      </c>
      <c r="N642" s="1167">
        <f t="shared" si="46"/>
        <v>0</v>
      </c>
      <c r="O642" s="1165"/>
      <c r="Q642" s="317" t="str">
        <f t="shared" si="43"/>
        <v/>
      </c>
      <c r="R642" s="317" t="str">
        <f t="shared" si="44"/>
        <v/>
      </c>
      <c r="S642" s="317" t="str">
        <f t="shared" si="45"/>
        <v/>
      </c>
      <c r="T642" s="317" t="str">
        <f>GLOBAL_DER_FEV_2023!S642</f>
        <v/>
      </c>
      <c r="W642" s="582">
        <v>0</v>
      </c>
      <c r="X642" s="580"/>
      <c r="Y642" s="583">
        <f>IF(GLOBAL_DER_FEV_2023!W642=0,0,IF(GLOBAL_DER_FEV_2023!W642&gt;0,"c","b"))</f>
        <v>0</v>
      </c>
    </row>
    <row r="643" spans="1:25" ht="13.5" hidden="1" thickBot="1" x14ac:dyDescent="0.25">
      <c r="A643" s="640" t="s">
        <v>165</v>
      </c>
      <c r="B643" s="1036" t="str">
        <f>GLOBAL_DER_FEV_2023!B643</f>
        <v/>
      </c>
      <c r="C643" s="1072" t="str">
        <f>GLOBAL_DER_FEV_2023!C643</f>
        <v/>
      </c>
      <c r="D643" s="1141">
        <f>GLOBAL_DER_FEV_2023!D643</f>
        <v>0</v>
      </c>
      <c r="E643" s="907">
        <f>GLOBAL_DER_FEV_2023!E643</f>
        <v>0</v>
      </c>
      <c r="F643" s="908">
        <f>GLOBAL_DER_FEV_2023!F643</f>
        <v>0</v>
      </c>
      <c r="G643" s="912">
        <f>GLOBAL_DER_FEV_2023!G643</f>
        <v>0</v>
      </c>
      <c r="H643" s="901">
        <f>GLOBAL_DER_FEV_2023!H643</f>
        <v>0</v>
      </c>
      <c r="I643" s="901">
        <f>GLOBAL_DER_FEV_2023!I643</f>
        <v>0</v>
      </c>
      <c r="J643" s="890">
        <f>GLOBAL_DER_FEV_2023!J643</f>
        <v>0</v>
      </c>
      <c r="K643" s="903" t="str">
        <f>GLOBAL_DER_FEV_2023!K643</f>
        <v xml:space="preserve">     </v>
      </c>
      <c r="L643" s="1137"/>
      <c r="M643" s="1140">
        <f t="shared" si="42"/>
        <v>0</v>
      </c>
      <c r="N643" s="1167">
        <f t="shared" si="46"/>
        <v>0</v>
      </c>
      <c r="O643" s="1165"/>
      <c r="Q643" s="317" t="str">
        <f t="shared" si="43"/>
        <v/>
      </c>
      <c r="R643" s="317" t="str">
        <f t="shared" si="44"/>
        <v/>
      </c>
      <c r="S643" s="317" t="str">
        <f t="shared" si="45"/>
        <v/>
      </c>
      <c r="T643" s="317" t="str">
        <f>GLOBAL_DER_FEV_2023!S643</f>
        <v/>
      </c>
      <c r="W643" s="582">
        <v>0</v>
      </c>
      <c r="X643" s="580"/>
      <c r="Y643" s="583">
        <f>IF(GLOBAL_DER_FEV_2023!W643=0,0,IF(GLOBAL_DER_FEV_2023!W643&gt;0,"c","b"))</f>
        <v>0</v>
      </c>
    </row>
    <row r="644" spans="1:25" ht="13.5" hidden="1" thickBot="1" x14ac:dyDescent="0.25">
      <c r="A644" s="317" t="s">
        <v>205</v>
      </c>
      <c r="B644" s="950" t="s">
        <v>205</v>
      </c>
      <c r="C644" s="951"/>
      <c r="D644" s="952" t="s">
        <v>575</v>
      </c>
      <c r="E644" s="943">
        <f>GLOBAL_DER_FEV_2023!E644</f>
        <v>0</v>
      </c>
      <c r="F644" s="876"/>
      <c r="G644" s="944"/>
      <c r="H644" s="945">
        <f>GLOBAL_DER_FEV_2023!H644</f>
        <v>0</v>
      </c>
      <c r="I644" s="945">
        <f>GLOBAL_DER_FEV_2023!I644</f>
        <v>0</v>
      </c>
      <c r="J644" s="945">
        <f>GLOBAL_DER_FEV_2023!J644</f>
        <v>0</v>
      </c>
      <c r="K644" s="878" t="s">
        <v>507</v>
      </c>
      <c r="L644" s="879"/>
      <c r="M644" s="880"/>
      <c r="N644" s="881">
        <f t="shared" si="46"/>
        <v>0</v>
      </c>
      <c r="O644" s="882">
        <f>SUM(N645:N852)</f>
        <v>0</v>
      </c>
      <c r="P644" s="58" t="str">
        <f>IF(OR(O644&gt;0,O644&gt;0),"X","")</f>
        <v/>
      </c>
      <c r="Q644" s="317" t="str">
        <f t="shared" si="43"/>
        <v/>
      </c>
      <c r="R644" s="317" t="str">
        <f t="shared" si="44"/>
        <v/>
      </c>
      <c r="S644" s="317" t="str">
        <f t="shared" si="45"/>
        <v/>
      </c>
      <c r="T644" s="317" t="str">
        <f>GLOBAL_DER_FEV_2023!S644</f>
        <v/>
      </c>
      <c r="W644" s="582">
        <v>0</v>
      </c>
      <c r="X644" s="580"/>
      <c r="Y644" s="583">
        <f>IF(GLOBAL_DER_FEV_2023!W644=0,0,IF(GLOBAL_DER_FEV_2023!W644&gt;0,"c","b"))</f>
        <v>0</v>
      </c>
    </row>
    <row r="645" spans="1:25" ht="13.5" hidden="1" thickBot="1" x14ac:dyDescent="0.25">
      <c r="A645" s="317">
        <v>810250</v>
      </c>
      <c r="B645" s="895" t="s">
        <v>1707</v>
      </c>
      <c r="C645" s="896" t="s">
        <v>184</v>
      </c>
      <c r="D645" s="906" t="s">
        <v>455</v>
      </c>
      <c r="E645" s="907">
        <f>GLOBAL_DER_FEV_2023!E645</f>
        <v>0.1</v>
      </c>
      <c r="F645" s="908">
        <f>GLOBAL_DER_FEV_2023!F645</f>
        <v>3.9800000000000002E-2</v>
      </c>
      <c r="G645" s="949">
        <f>GLOBAL_DER_FEV_2023!G645</f>
        <v>0.11092260000000002</v>
      </c>
      <c r="H645" s="901">
        <f>GLOBAL_DER_FEV_2023!H645</f>
        <v>20.16</v>
      </c>
      <c r="I645" s="901">
        <f>GLOBAL_DER_FEV_2023!I645</f>
        <v>20.270922599999999</v>
      </c>
      <c r="J645" s="902">
        <f>GLOBAL_DER_FEV_2023!J645</f>
        <v>24.34</v>
      </c>
      <c r="K645" s="903" t="s">
        <v>13</v>
      </c>
      <c r="L645" s="1137"/>
      <c r="M645" s="1138">
        <f t="shared" si="42"/>
        <v>0</v>
      </c>
      <c r="N645" s="893">
        <f t="shared" si="46"/>
        <v>0</v>
      </c>
      <c r="O645" s="905"/>
      <c r="Q645" s="317" t="str">
        <f t="shared" si="43"/>
        <v/>
      </c>
      <c r="R645" s="317" t="str">
        <f t="shared" si="44"/>
        <v/>
      </c>
      <c r="S645" s="317" t="str">
        <f t="shared" si="45"/>
        <v/>
      </c>
      <c r="T645" s="317" t="str">
        <f>GLOBAL_DER_FEV_2023!S645</f>
        <v/>
      </c>
      <c r="W645" s="582">
        <v>0</v>
      </c>
      <c r="X645" s="580"/>
      <c r="Y645" s="583">
        <f>IF(GLOBAL_DER_FEV_2023!W645=0,0,IF(GLOBAL_DER_FEV_2023!W645&gt;0,"c","b"))</f>
        <v>0</v>
      </c>
    </row>
    <row r="646" spans="1:25" ht="13.5" hidden="1" thickBot="1" x14ac:dyDescent="0.25">
      <c r="A646" s="317">
        <v>810250</v>
      </c>
      <c r="B646" s="895" t="s">
        <v>1708</v>
      </c>
      <c r="C646" s="896" t="s">
        <v>184</v>
      </c>
      <c r="D646" s="906" t="s">
        <v>511</v>
      </c>
      <c r="E646" s="907">
        <f>GLOBAL_DER_FEV_2023!E646</f>
        <v>0.1</v>
      </c>
      <c r="F646" s="908">
        <f>GLOBAL_DER_FEV_2023!F646</f>
        <v>2.63E-2</v>
      </c>
      <c r="G646" s="949">
        <f>GLOBAL_DER_FEV_2023!G646</f>
        <v>7.3298100000000005E-2</v>
      </c>
      <c r="H646" s="901">
        <f>GLOBAL_DER_FEV_2023!H646</f>
        <v>13.27</v>
      </c>
      <c r="I646" s="901">
        <f>GLOBAL_DER_FEV_2023!I646</f>
        <v>13.3432981</v>
      </c>
      <c r="J646" s="902">
        <f>GLOBAL_DER_FEV_2023!J646</f>
        <v>16.02</v>
      </c>
      <c r="K646" s="903" t="s">
        <v>13</v>
      </c>
      <c r="L646" s="1137"/>
      <c r="M646" s="1138">
        <f t="shared" si="42"/>
        <v>0</v>
      </c>
      <c r="N646" s="893">
        <f t="shared" si="46"/>
        <v>0</v>
      </c>
      <c r="O646" s="905"/>
      <c r="Q646" s="317" t="str">
        <f t="shared" si="43"/>
        <v/>
      </c>
      <c r="R646" s="317" t="str">
        <f t="shared" si="44"/>
        <v/>
      </c>
      <c r="S646" s="317" t="str">
        <f t="shared" si="45"/>
        <v/>
      </c>
      <c r="T646" s="317" t="str">
        <f>GLOBAL_DER_FEV_2023!S646</f>
        <v/>
      </c>
      <c r="W646" s="582">
        <v>0</v>
      </c>
      <c r="X646" s="580"/>
      <c r="Y646" s="583">
        <f>IF(GLOBAL_DER_FEV_2023!W646=0,0,IF(GLOBAL_DER_FEV_2023!W646&gt;0,"c","b"))</f>
        <v>0</v>
      </c>
    </row>
    <row r="647" spans="1:25" ht="13.5" hidden="1" thickBot="1" x14ac:dyDescent="0.25">
      <c r="A647" s="317">
        <v>810250</v>
      </c>
      <c r="B647" s="895" t="s">
        <v>1709</v>
      </c>
      <c r="C647" s="896" t="s">
        <v>184</v>
      </c>
      <c r="D647" s="906" t="s">
        <v>456</v>
      </c>
      <c r="E647" s="907">
        <f>GLOBAL_DER_FEV_2023!E647</f>
        <v>0.1</v>
      </c>
      <c r="F647" s="908">
        <f>GLOBAL_DER_FEV_2023!F647</f>
        <v>3.2800000000000003E-2</v>
      </c>
      <c r="G647" s="949">
        <f>GLOBAL_DER_FEV_2023!G647</f>
        <v>9.1413600000000025E-2</v>
      </c>
      <c r="H647" s="901">
        <f>GLOBAL_DER_FEV_2023!H647</f>
        <v>16.510000000000002</v>
      </c>
      <c r="I647" s="901">
        <f>GLOBAL_DER_FEV_2023!I647</f>
        <v>16.601413600000001</v>
      </c>
      <c r="J647" s="902">
        <f>GLOBAL_DER_FEV_2023!J647</f>
        <v>19.93</v>
      </c>
      <c r="K647" s="903" t="s">
        <v>13</v>
      </c>
      <c r="L647" s="1137"/>
      <c r="M647" s="1138">
        <f t="shared" si="42"/>
        <v>0</v>
      </c>
      <c r="N647" s="893">
        <f t="shared" si="46"/>
        <v>0</v>
      </c>
      <c r="O647" s="905"/>
      <c r="Q647" s="317" t="str">
        <f t="shared" si="43"/>
        <v/>
      </c>
      <c r="R647" s="317" t="str">
        <f t="shared" si="44"/>
        <v/>
      </c>
      <c r="S647" s="317" t="str">
        <f t="shared" si="45"/>
        <v/>
      </c>
      <c r="T647" s="317" t="str">
        <f>GLOBAL_DER_FEV_2023!S647</f>
        <v/>
      </c>
      <c r="W647" s="582">
        <v>0</v>
      </c>
      <c r="X647" s="580"/>
      <c r="Y647" s="583">
        <f>IF(GLOBAL_DER_FEV_2023!W647=0,0,IF(GLOBAL_DER_FEV_2023!W647&gt;0,"c","b"))</f>
        <v>0</v>
      </c>
    </row>
    <row r="648" spans="1:25" ht="13.5" hidden="1" thickBot="1" x14ac:dyDescent="0.25">
      <c r="A648" s="317" t="s">
        <v>451</v>
      </c>
      <c r="B648" s="895" t="str">
        <f>GLOBAL_DER_FEV_2023!B648</f>
        <v>PAI-004B</v>
      </c>
      <c r="C648" s="896" t="str">
        <f>GLOBAL_DER_FEV_2023!C648</f>
        <v>PM Curitiba-abr/22</v>
      </c>
      <c r="D648" s="906" t="str">
        <f>GLOBAL_DER_FEV_2023!D648</f>
        <v>Fincadinha de Granito - (100x8x15cm)</v>
      </c>
      <c r="E648" s="907">
        <f>GLOBAL_DER_FEV_2023!E648</f>
        <v>0</v>
      </c>
      <c r="F648" s="908">
        <f>GLOBAL_DER_FEV_2023!F648</f>
        <v>2.1600000000000001E-2</v>
      </c>
      <c r="G648" s="949">
        <f>GLOBAL_DER_FEV_2023!G648</f>
        <v>5.7888000000000009E-2</v>
      </c>
      <c r="H648" s="901">
        <f>GLOBAL_DER_FEV_2023!H648</f>
        <v>64.709999999999994</v>
      </c>
      <c r="I648" s="901">
        <f>GLOBAL_DER_FEV_2023!I648</f>
        <v>64.767887999999999</v>
      </c>
      <c r="J648" s="902">
        <f>GLOBAL_DER_FEV_2023!J648</f>
        <v>77.77</v>
      </c>
      <c r="K648" s="903" t="s">
        <v>13</v>
      </c>
      <c r="L648" s="1137"/>
      <c r="M648" s="1138">
        <f t="shared" si="42"/>
        <v>0</v>
      </c>
      <c r="N648" s="893">
        <f t="shared" si="46"/>
        <v>0</v>
      </c>
      <c r="O648" s="905"/>
      <c r="Q648" s="317" t="str">
        <f t="shared" si="43"/>
        <v/>
      </c>
      <c r="R648" s="317" t="str">
        <f t="shared" si="44"/>
        <v/>
      </c>
      <c r="S648" s="317" t="str">
        <f t="shared" si="45"/>
        <v/>
      </c>
      <c r="T648" s="317" t="str">
        <f>GLOBAL_DER_FEV_2023!S648</f>
        <v/>
      </c>
      <c r="W648" s="582">
        <v>0</v>
      </c>
      <c r="X648" s="580"/>
      <c r="Y648" s="583">
        <f>IF(GLOBAL_DER_FEV_2023!W648=0,0,IF(GLOBAL_DER_FEV_2023!W648&gt;0,"c","b"))</f>
        <v>0</v>
      </c>
    </row>
    <row r="649" spans="1:25" ht="13.5" hidden="1" thickBot="1" x14ac:dyDescent="0.25">
      <c r="A649" s="317">
        <v>606700</v>
      </c>
      <c r="B649" s="895" t="s">
        <v>1704</v>
      </c>
      <c r="C649" s="896" t="s">
        <v>184</v>
      </c>
      <c r="D649" s="906" t="s">
        <v>258</v>
      </c>
      <c r="E649" s="907">
        <f>GLOBAL_DER_FEV_2023!E649</f>
        <v>0</v>
      </c>
      <c r="F649" s="908">
        <f>GLOBAL_DER_FEV_2023!F649</f>
        <v>0</v>
      </c>
      <c r="G649" s="912">
        <f>GLOBAL_DER_FEV_2023!G649</f>
        <v>0</v>
      </c>
      <c r="H649" s="901">
        <f>GLOBAL_DER_FEV_2023!H649</f>
        <v>148.04</v>
      </c>
      <c r="I649" s="901">
        <f>GLOBAL_DER_FEV_2023!I649</f>
        <v>148.04</v>
      </c>
      <c r="J649" s="902">
        <f>GLOBAL_DER_FEV_2023!J649</f>
        <v>177.75</v>
      </c>
      <c r="K649" s="903" t="s">
        <v>10</v>
      </c>
      <c r="L649" s="1137"/>
      <c r="M649" s="1138">
        <f t="shared" si="42"/>
        <v>0</v>
      </c>
      <c r="N649" s="893">
        <f t="shared" si="46"/>
        <v>0</v>
      </c>
      <c r="O649" s="905"/>
      <c r="Q649" s="317" t="str">
        <f t="shared" si="43"/>
        <v/>
      </c>
      <c r="R649" s="317" t="str">
        <f t="shared" si="44"/>
        <v/>
      </c>
      <c r="S649" s="317" t="str">
        <f t="shared" si="45"/>
        <v/>
      </c>
      <c r="T649" s="317" t="str">
        <f>GLOBAL_DER_FEV_2023!S649</f>
        <v/>
      </c>
      <c r="W649" s="582">
        <v>0</v>
      </c>
      <c r="X649" s="580"/>
      <c r="Y649" s="583">
        <f>IF(GLOBAL_DER_FEV_2023!W649=0,0,IF(GLOBAL_DER_FEV_2023!W649&gt;0,"c","b"))</f>
        <v>0</v>
      </c>
    </row>
    <row r="650" spans="1:25" ht="13.5" hidden="1" thickBot="1" x14ac:dyDescent="0.25">
      <c r="A650" s="317">
        <v>606600</v>
      </c>
      <c r="B650" s="895" t="s">
        <v>1701</v>
      </c>
      <c r="C650" s="896" t="s">
        <v>184</v>
      </c>
      <c r="D650" s="906" t="s">
        <v>809</v>
      </c>
      <c r="E650" s="907">
        <f>GLOBAL_DER_FEV_2023!E650</f>
        <v>0</v>
      </c>
      <c r="F650" s="908">
        <f>GLOBAL_DER_FEV_2023!F650</f>
        <v>0</v>
      </c>
      <c r="G650" s="912">
        <f>GLOBAL_DER_FEV_2023!G650</f>
        <v>0</v>
      </c>
      <c r="H650" s="901">
        <f>GLOBAL_DER_FEV_2023!H650</f>
        <v>309.52999999999997</v>
      </c>
      <c r="I650" s="901">
        <f>GLOBAL_DER_FEV_2023!I650</f>
        <v>309.52999999999997</v>
      </c>
      <c r="J650" s="902">
        <f>GLOBAL_DER_FEV_2023!J650</f>
        <v>371.65</v>
      </c>
      <c r="K650" s="903" t="s">
        <v>10</v>
      </c>
      <c r="L650" s="1137"/>
      <c r="M650" s="1138">
        <f t="shared" si="42"/>
        <v>0</v>
      </c>
      <c r="N650" s="893">
        <f t="shared" si="46"/>
        <v>0</v>
      </c>
      <c r="O650" s="905"/>
      <c r="Q650" s="317" t="str">
        <f t="shared" si="43"/>
        <v/>
      </c>
      <c r="R650" s="317" t="str">
        <f t="shared" si="44"/>
        <v/>
      </c>
      <c r="S650" s="317" t="str">
        <f t="shared" si="45"/>
        <v/>
      </c>
      <c r="T650" s="317" t="str">
        <f>GLOBAL_DER_FEV_2023!S650</f>
        <v/>
      </c>
      <c r="W650" s="582">
        <v>0</v>
      </c>
      <c r="X650" s="580"/>
      <c r="Y650" s="583">
        <f>IF(GLOBAL_DER_FEV_2023!W650=0,0,IF(GLOBAL_DER_FEV_2023!W650&gt;0,"c","b"))</f>
        <v>0</v>
      </c>
    </row>
    <row r="651" spans="1:25" ht="13.5" hidden="1" thickBot="1" x14ac:dyDescent="0.25">
      <c r="A651" s="317">
        <v>100576</v>
      </c>
      <c r="B651" s="895" t="s">
        <v>1745</v>
      </c>
      <c r="C651" s="896" t="s">
        <v>596</v>
      </c>
      <c r="D651" s="906" t="s">
        <v>183</v>
      </c>
      <c r="E651" s="898">
        <f>GLOBAL_DER_FEV_2023!E651</f>
        <v>0</v>
      </c>
      <c r="F651" s="908">
        <f>GLOBAL_DER_FEV_2023!F651</f>
        <v>0</v>
      </c>
      <c r="G651" s="912">
        <f>GLOBAL_DER_FEV_2023!G651</f>
        <v>0</v>
      </c>
      <c r="H651" s="901">
        <f>GLOBAL_DER_FEV_2023!H651</f>
        <v>2.6</v>
      </c>
      <c r="I651" s="901">
        <f>GLOBAL_DER_FEV_2023!I651</f>
        <v>2.6</v>
      </c>
      <c r="J651" s="902">
        <f>GLOBAL_DER_FEV_2023!J651</f>
        <v>3.12</v>
      </c>
      <c r="K651" s="903" t="s">
        <v>12</v>
      </c>
      <c r="L651" s="1137"/>
      <c r="M651" s="1138">
        <f t="shared" si="42"/>
        <v>0</v>
      </c>
      <c r="N651" s="893">
        <f t="shared" si="46"/>
        <v>0</v>
      </c>
      <c r="O651" s="905"/>
      <c r="Q651" s="317" t="str">
        <f t="shared" si="43"/>
        <v/>
      </c>
      <c r="R651" s="317" t="str">
        <f t="shared" si="44"/>
        <v/>
      </c>
      <c r="S651" s="317" t="str">
        <f t="shared" si="45"/>
        <v/>
      </c>
      <c r="T651" s="317" t="str">
        <f>GLOBAL_DER_FEV_2023!S651</f>
        <v/>
      </c>
      <c r="W651" s="582">
        <v>0</v>
      </c>
      <c r="X651" s="580"/>
      <c r="Y651" s="583">
        <f>IF(GLOBAL_DER_FEV_2023!W651=0,0,IF(GLOBAL_DER_FEV_2023!W651&gt;0,"c","b"))</f>
        <v>0</v>
      </c>
    </row>
    <row r="652" spans="1:25" ht="13.5" hidden="1" thickBot="1" x14ac:dyDescent="0.25">
      <c r="A652" s="317">
        <v>532500</v>
      </c>
      <c r="B652" s="895" t="s">
        <v>1532</v>
      </c>
      <c r="C652" s="896" t="s">
        <v>184</v>
      </c>
      <c r="D652" s="957" t="s">
        <v>329</v>
      </c>
      <c r="E652" s="907">
        <f>GLOBAL_DER_FEV_2023!E652</f>
        <v>150</v>
      </c>
      <c r="F652" s="908">
        <f>GLOBAL_DER_FEV_2023!F652</f>
        <v>1.7250000000000001</v>
      </c>
      <c r="G652" s="949">
        <f>GLOBAL_DER_FEV_2023!G652</f>
        <v>281.4855</v>
      </c>
      <c r="H652" s="901">
        <f>GLOBAL_DER_FEV_2023!H652</f>
        <v>102.38</v>
      </c>
      <c r="I652" s="901">
        <f>GLOBAL_DER_FEV_2023!I652</f>
        <v>383.8655</v>
      </c>
      <c r="J652" s="902">
        <f>GLOBAL_DER_FEV_2023!J652</f>
        <v>460.91</v>
      </c>
      <c r="K652" s="903" t="s">
        <v>10</v>
      </c>
      <c r="L652" s="1137"/>
      <c r="M652" s="1138">
        <f t="shared" si="42"/>
        <v>0</v>
      </c>
      <c r="N652" s="893">
        <f t="shared" si="46"/>
        <v>0</v>
      </c>
      <c r="O652" s="905"/>
      <c r="Q652" s="317" t="str">
        <f t="shared" si="43"/>
        <v/>
      </c>
      <c r="R652" s="317" t="str">
        <f t="shared" si="44"/>
        <v/>
      </c>
      <c r="S652" s="317" t="str">
        <f t="shared" si="45"/>
        <v/>
      </c>
      <c r="T652" s="317" t="str">
        <f>GLOBAL_DER_FEV_2023!S652</f>
        <v/>
      </c>
      <c r="W652" s="582">
        <v>0</v>
      </c>
      <c r="X652" s="580"/>
      <c r="Y652" s="583">
        <f>IF(GLOBAL_DER_FEV_2023!W652=0,0,IF(GLOBAL_DER_FEV_2023!W652&gt;0,"c","b"))</f>
        <v>0</v>
      </c>
    </row>
    <row r="653" spans="1:25" ht="14.45" hidden="1" customHeight="1" x14ac:dyDescent="0.2">
      <c r="A653" s="317">
        <v>603900</v>
      </c>
      <c r="B653" s="895" t="s">
        <v>1731</v>
      </c>
      <c r="C653" s="896" t="s">
        <v>184</v>
      </c>
      <c r="D653" s="957" t="s">
        <v>330</v>
      </c>
      <c r="E653" s="907">
        <f>GLOBAL_DER_FEV_2023!E653</f>
        <v>0.2</v>
      </c>
      <c r="F653" s="908">
        <f>GLOBAL_DER_FEV_2023!F653</f>
        <v>1.5</v>
      </c>
      <c r="G653" s="949">
        <f>GLOBAL_DER_FEV_2023!G653</f>
        <v>4.3410000000000002</v>
      </c>
      <c r="H653" s="901">
        <f>GLOBAL_DER_FEV_2023!H653</f>
        <v>131.84</v>
      </c>
      <c r="I653" s="901">
        <f>GLOBAL_DER_FEV_2023!I653</f>
        <v>136.18100000000001</v>
      </c>
      <c r="J653" s="902">
        <f>GLOBAL_DER_FEV_2023!J653</f>
        <v>163.51</v>
      </c>
      <c r="K653" s="903" t="s">
        <v>10</v>
      </c>
      <c r="L653" s="1137"/>
      <c r="M653" s="1138">
        <f t="shared" si="42"/>
        <v>0</v>
      </c>
      <c r="N653" s="893">
        <f t="shared" si="46"/>
        <v>0</v>
      </c>
      <c r="O653" s="905"/>
      <c r="Q653" s="317" t="str">
        <f t="shared" si="43"/>
        <v/>
      </c>
      <c r="R653" s="317" t="str">
        <f t="shared" si="44"/>
        <v/>
      </c>
      <c r="S653" s="317" t="str">
        <f t="shared" si="45"/>
        <v/>
      </c>
      <c r="T653" s="317" t="str">
        <f>GLOBAL_DER_FEV_2023!S653</f>
        <v/>
      </c>
      <c r="W653" s="582">
        <v>0</v>
      </c>
      <c r="X653" s="580"/>
      <c r="Y653" s="583">
        <f>IF(GLOBAL_DER_FEV_2023!W653=0,0,IF(GLOBAL_DER_FEV_2023!W653&gt;0,"c","b"))</f>
        <v>0</v>
      </c>
    </row>
    <row r="654" spans="1:25" ht="13.5" hidden="1" thickBot="1" x14ac:dyDescent="0.25">
      <c r="A654" s="317">
        <v>605000</v>
      </c>
      <c r="B654" s="895" t="s">
        <v>216</v>
      </c>
      <c r="C654" s="896" t="s">
        <v>184</v>
      </c>
      <c r="D654" s="906" t="s">
        <v>259</v>
      </c>
      <c r="E654" s="907">
        <f>GLOBAL_DER_FEV_2023!E654</f>
        <v>0</v>
      </c>
      <c r="F654" s="908">
        <f>GLOBAL_DER_FEV_2023!F654</f>
        <v>0</v>
      </c>
      <c r="G654" s="912">
        <f>GLOBAL_DER_FEV_2023!G654</f>
        <v>220.83394000000004</v>
      </c>
      <c r="H654" s="901">
        <f>GLOBAL_DER_FEV_2023!H654</f>
        <v>425.25</v>
      </c>
      <c r="I654" s="901">
        <f>GLOBAL_DER_FEV_2023!I654</f>
        <v>646.08393999999998</v>
      </c>
      <c r="J654" s="902">
        <f>GLOBAL_DER_FEV_2023!J654</f>
        <v>775.75</v>
      </c>
      <c r="K654" s="903" t="s">
        <v>10</v>
      </c>
      <c r="L654" s="1137"/>
      <c r="M654" s="1138">
        <f t="shared" ref="M654:M717" si="47">IF(L654=0,0,ROUND(J654,2))</f>
        <v>0</v>
      </c>
      <c r="N654" s="893">
        <f t="shared" si="46"/>
        <v>0</v>
      </c>
      <c r="O654" s="905"/>
      <c r="Q654" s="317" t="str">
        <f t="shared" si="43"/>
        <v/>
      </c>
      <c r="R654" s="317" t="str">
        <f t="shared" si="44"/>
        <v/>
      </c>
      <c r="S654" s="317" t="str">
        <f t="shared" si="45"/>
        <v/>
      </c>
      <c r="T654" s="317" t="str">
        <f>GLOBAL_DER_FEV_2023!S654</f>
        <v/>
      </c>
      <c r="W654" s="582">
        <v>0</v>
      </c>
      <c r="X654" s="580"/>
      <c r="Y654" s="583">
        <f>IF(GLOBAL_DER_FEV_2023!W654=0,0,IF(GLOBAL_DER_FEV_2023!W654&gt;0,"c","b"))</f>
        <v>0</v>
      </c>
    </row>
    <row r="655" spans="1:25" ht="13.5" hidden="1" thickBot="1" x14ac:dyDescent="0.25">
      <c r="A655" s="317" t="s">
        <v>147</v>
      </c>
      <c r="B655" s="895" t="s">
        <v>147</v>
      </c>
      <c r="C655" s="896"/>
      <c r="D655" s="957" t="s">
        <v>190</v>
      </c>
      <c r="E655" s="907">
        <f>GLOBAL_DER_FEV_2023!E655</f>
        <v>308</v>
      </c>
      <c r="F655" s="908">
        <f>GLOBAL_DER_FEV_2023!F655</f>
        <v>0.18</v>
      </c>
      <c r="G655" s="909">
        <f>GLOBAL_DER_FEV_2023!G655</f>
        <v>44.650799999999997</v>
      </c>
      <c r="H655" s="901">
        <f>GLOBAL_DER_FEV_2023!H655</f>
        <v>0</v>
      </c>
      <c r="I655" s="901">
        <f>GLOBAL_DER_FEV_2023!I655</f>
        <v>0</v>
      </c>
      <c r="J655" s="902">
        <f>GLOBAL_DER_FEV_2023!J655</f>
        <v>0</v>
      </c>
      <c r="K655" s="958" t="s">
        <v>507</v>
      </c>
      <c r="L655" s="959"/>
      <c r="M655" s="1157">
        <f t="shared" si="47"/>
        <v>0</v>
      </c>
      <c r="N655" s="893">
        <f t="shared" si="46"/>
        <v>0</v>
      </c>
      <c r="O655" s="905"/>
      <c r="P655" s="58" t="str">
        <f>IF(N654&gt;0,"xx",IF(N654&gt;0,"xy",""))</f>
        <v/>
      </c>
      <c r="Q655" s="317" t="str">
        <f t="shared" ref="Q655:Q718" si="48">IF(P655="X","x",IF(P655="xx","x",IF(P655="xy","x",IF(P655="y","x",IF(OR(N655&gt;0,N655&gt;0),"x","")))))</f>
        <v/>
      </c>
      <c r="R655" s="317" t="str">
        <f t="shared" si="44"/>
        <v/>
      </c>
      <c r="S655" s="317" t="str">
        <f t="shared" si="45"/>
        <v/>
      </c>
      <c r="T655" s="317" t="str">
        <f>GLOBAL_DER_FEV_2023!S655</f>
        <v/>
      </c>
      <c r="W655" s="582">
        <v>0</v>
      </c>
      <c r="X655" s="580"/>
      <c r="Y655" s="583">
        <f>IF(GLOBAL_DER_FEV_2023!W655=0,0,IF(GLOBAL_DER_FEV_2023!W655&gt;0,"c","b"))</f>
        <v>0</v>
      </c>
    </row>
    <row r="656" spans="1:25" ht="13.5" hidden="1" thickBot="1" x14ac:dyDescent="0.25">
      <c r="A656" s="317" t="s">
        <v>147</v>
      </c>
      <c r="B656" s="895" t="s">
        <v>147</v>
      </c>
      <c r="C656" s="896"/>
      <c r="D656" s="957" t="s">
        <v>229</v>
      </c>
      <c r="E656" s="907">
        <f>GLOBAL_DER_FEV_2023!E656</f>
        <v>150</v>
      </c>
      <c r="F656" s="908">
        <f>GLOBAL_DER_FEV_2023!F656</f>
        <v>1.06</v>
      </c>
      <c r="G656" s="949">
        <f>GLOBAL_DER_FEV_2023!G656</f>
        <v>172.97080000000003</v>
      </c>
      <c r="H656" s="901">
        <f>GLOBAL_DER_FEV_2023!H656</f>
        <v>0</v>
      </c>
      <c r="I656" s="901">
        <f>GLOBAL_DER_FEV_2023!I656</f>
        <v>0</v>
      </c>
      <c r="J656" s="902">
        <f>GLOBAL_DER_FEV_2023!J656</f>
        <v>0</v>
      </c>
      <c r="K656" s="958" t="s">
        <v>507</v>
      </c>
      <c r="L656" s="959"/>
      <c r="M656" s="1157">
        <f t="shared" si="47"/>
        <v>0</v>
      </c>
      <c r="N656" s="893">
        <f t="shared" si="46"/>
        <v>0</v>
      </c>
      <c r="O656" s="905"/>
      <c r="P656" s="58" t="str">
        <f>IF(N654&gt;0,"xx",IF(N654&gt;0,"xy",""))</f>
        <v/>
      </c>
      <c r="Q656" s="317" t="str">
        <f t="shared" si="48"/>
        <v/>
      </c>
      <c r="R656" s="317" t="str">
        <f t="shared" si="44"/>
        <v/>
      </c>
      <c r="S656" s="317" t="str">
        <f t="shared" si="45"/>
        <v/>
      </c>
      <c r="T656" s="317" t="str">
        <f>GLOBAL_DER_FEV_2023!S656</f>
        <v/>
      </c>
      <c r="W656" s="582">
        <v>0</v>
      </c>
      <c r="X656" s="580"/>
      <c r="Y656" s="583">
        <f>IF(GLOBAL_DER_FEV_2023!W656=0,0,IF(GLOBAL_DER_FEV_2023!W656&gt;0,"c","b"))</f>
        <v>0</v>
      </c>
    </row>
    <row r="657" spans="1:25" ht="13.5" hidden="1" thickBot="1" x14ac:dyDescent="0.25">
      <c r="A657" s="317" t="s">
        <v>147</v>
      </c>
      <c r="B657" s="895" t="s">
        <v>147</v>
      </c>
      <c r="C657" s="896"/>
      <c r="D657" s="957" t="s">
        <v>233</v>
      </c>
      <c r="E657" s="907">
        <f>GLOBAL_DER_FEV_2023!E657</f>
        <v>0.2</v>
      </c>
      <c r="F657" s="908">
        <f>GLOBAL_DER_FEV_2023!F657</f>
        <v>1.1100000000000001</v>
      </c>
      <c r="G657" s="949">
        <f>GLOBAL_DER_FEV_2023!G657</f>
        <v>3.2123400000000006</v>
      </c>
      <c r="H657" s="901">
        <f>GLOBAL_DER_FEV_2023!H657</f>
        <v>0</v>
      </c>
      <c r="I657" s="901">
        <f>GLOBAL_DER_FEV_2023!I657</f>
        <v>0</v>
      </c>
      <c r="J657" s="902">
        <f>GLOBAL_DER_FEV_2023!J657</f>
        <v>0</v>
      </c>
      <c r="K657" s="958" t="s">
        <v>507</v>
      </c>
      <c r="L657" s="959"/>
      <c r="M657" s="1157">
        <f t="shared" si="47"/>
        <v>0</v>
      </c>
      <c r="N657" s="893">
        <f t="shared" si="46"/>
        <v>0</v>
      </c>
      <c r="O657" s="905"/>
      <c r="P657" s="58" t="str">
        <f>IF(N654&gt;0,"xx",IF(N654&gt;0,"xy",""))</f>
        <v/>
      </c>
      <c r="Q657" s="317" t="str">
        <f t="shared" si="48"/>
        <v/>
      </c>
      <c r="R657" s="317" t="str">
        <f t="shared" ref="R657:R720" si="49">IF(P657="X","x",IF(P657="y","x",IF(P657="xx","x",IF(N657&gt;0,"x",""))))</f>
        <v/>
      </c>
      <c r="S657" s="317" t="str">
        <f t="shared" ref="S657:S720" si="50">IF(P657="X","x",IF(N657&gt;0,"x",""))</f>
        <v/>
      </c>
      <c r="T657" s="317" t="str">
        <f>GLOBAL_DER_FEV_2023!S657</f>
        <v/>
      </c>
      <c r="W657" s="582">
        <v>0</v>
      </c>
      <c r="X657" s="580"/>
      <c r="Y657" s="583">
        <f>IF(GLOBAL_DER_FEV_2023!W657=0,0,IF(GLOBAL_DER_FEV_2023!W657&gt;0,"c","b"))</f>
        <v>0</v>
      </c>
    </row>
    <row r="658" spans="1:25" ht="13.5" hidden="1" thickBot="1" x14ac:dyDescent="0.25">
      <c r="A658" s="317">
        <v>400500</v>
      </c>
      <c r="B658" s="895" t="s">
        <v>1565</v>
      </c>
      <c r="C658" s="896" t="s">
        <v>184</v>
      </c>
      <c r="D658" s="906" t="s">
        <v>1732</v>
      </c>
      <c r="E658" s="907">
        <f>GLOBAL_DER_FEV_2023!E658</f>
        <v>150</v>
      </c>
      <c r="F658" s="908">
        <f>GLOBAL_DER_FEV_2023!F658</f>
        <v>1.73</v>
      </c>
      <c r="G658" s="949">
        <f>GLOBAL_DER_FEV_2023!G658</f>
        <v>282.3014</v>
      </c>
      <c r="H658" s="901">
        <f>GLOBAL_DER_FEV_2023!H658</f>
        <v>83.83</v>
      </c>
      <c r="I658" s="901">
        <f>GLOBAL_DER_FEV_2023!I658</f>
        <v>366.13139999999999</v>
      </c>
      <c r="J658" s="902">
        <f>GLOBAL_DER_FEV_2023!J658</f>
        <v>439.61</v>
      </c>
      <c r="K658" s="903" t="s">
        <v>10</v>
      </c>
      <c r="L658" s="1137"/>
      <c r="M658" s="1138">
        <f t="shared" si="47"/>
        <v>0</v>
      </c>
      <c r="N658" s="893">
        <f t="shared" si="46"/>
        <v>0</v>
      </c>
      <c r="O658" s="905"/>
      <c r="Q658" s="317" t="str">
        <f t="shared" si="48"/>
        <v/>
      </c>
      <c r="R658" s="317" t="str">
        <f t="shared" si="49"/>
        <v/>
      </c>
      <c r="S658" s="317" t="str">
        <f t="shared" si="50"/>
        <v/>
      </c>
      <c r="T658" s="317" t="str">
        <f>GLOBAL_DER_FEV_2023!S658</f>
        <v/>
      </c>
      <c r="W658" s="582">
        <v>0</v>
      </c>
      <c r="X658" s="580"/>
      <c r="Y658" s="583">
        <f>IF(GLOBAL_DER_FEV_2023!W658=0,0,IF(GLOBAL_DER_FEV_2023!W658&gt;0,"c","b"))</f>
        <v>0</v>
      </c>
    </row>
    <row r="659" spans="1:25" ht="13.5" hidden="1" thickBot="1" x14ac:dyDescent="0.25">
      <c r="A659" s="317">
        <v>532500</v>
      </c>
      <c r="B659" s="895" t="s">
        <v>1533</v>
      </c>
      <c r="C659" s="896" t="s">
        <v>184</v>
      </c>
      <c r="D659" s="906" t="s">
        <v>1735</v>
      </c>
      <c r="E659" s="907">
        <f>GLOBAL_DER_FEV_2023!E659</f>
        <v>150</v>
      </c>
      <c r="F659" s="908">
        <f>GLOBAL_DER_FEV_2023!F659</f>
        <v>1.7250000000000001</v>
      </c>
      <c r="G659" s="949">
        <f>GLOBAL_DER_FEV_2023!G659</f>
        <v>281.4855</v>
      </c>
      <c r="H659" s="901">
        <f>GLOBAL_DER_FEV_2023!H659</f>
        <v>102.38</v>
      </c>
      <c r="I659" s="901">
        <f>GLOBAL_DER_FEV_2023!I659</f>
        <v>383.8655</v>
      </c>
      <c r="J659" s="902">
        <f>GLOBAL_DER_FEV_2023!J659</f>
        <v>460.91</v>
      </c>
      <c r="K659" s="903" t="s">
        <v>10</v>
      </c>
      <c r="L659" s="1137"/>
      <c r="M659" s="1138">
        <f t="shared" si="47"/>
        <v>0</v>
      </c>
      <c r="N659" s="893">
        <f t="shared" si="46"/>
        <v>0</v>
      </c>
      <c r="O659" s="905"/>
      <c r="Q659" s="317" t="str">
        <f t="shared" si="48"/>
        <v/>
      </c>
      <c r="R659" s="317" t="str">
        <f t="shared" si="49"/>
        <v/>
      </c>
      <c r="S659" s="317" t="str">
        <f t="shared" si="50"/>
        <v/>
      </c>
      <c r="T659" s="317" t="str">
        <f>GLOBAL_DER_FEV_2023!S659</f>
        <v/>
      </c>
      <c r="W659" s="582">
        <v>0</v>
      </c>
      <c r="X659" s="580"/>
      <c r="Y659" s="583">
        <f>IF(GLOBAL_DER_FEV_2023!W659=0,0,IF(GLOBAL_DER_FEV_2023!W659&gt;0,"c","b"))</f>
        <v>0</v>
      </c>
    </row>
    <row r="660" spans="1:25" ht="13.5" hidden="1" thickBot="1" x14ac:dyDescent="0.25">
      <c r="A660" s="317">
        <v>532600</v>
      </c>
      <c r="B660" s="895" t="s">
        <v>1566</v>
      </c>
      <c r="C660" s="896" t="s">
        <v>184</v>
      </c>
      <c r="D660" s="906" t="s">
        <v>1733</v>
      </c>
      <c r="E660" s="898">
        <f>GLOBAL_DER_FEV_2023!E660</f>
        <v>0</v>
      </c>
      <c r="F660" s="908">
        <f>GLOBAL_DER_FEV_2023!F660</f>
        <v>2.25</v>
      </c>
      <c r="G660" s="949">
        <f>GLOBAL_DER_FEV_2023!G660</f>
        <v>6.03</v>
      </c>
      <c r="H660" s="901">
        <f>GLOBAL_DER_FEV_2023!H660</f>
        <v>16.07</v>
      </c>
      <c r="I660" s="901">
        <f>GLOBAL_DER_FEV_2023!I660</f>
        <v>22.1</v>
      </c>
      <c r="J660" s="902">
        <f>GLOBAL_DER_FEV_2023!J660</f>
        <v>26.54</v>
      </c>
      <c r="K660" s="903" t="s">
        <v>10</v>
      </c>
      <c r="L660" s="1137"/>
      <c r="M660" s="1138">
        <f t="shared" si="47"/>
        <v>0</v>
      </c>
      <c r="N660" s="893">
        <f t="shared" si="46"/>
        <v>0</v>
      </c>
      <c r="O660" s="905"/>
      <c r="Q660" s="317" t="str">
        <f t="shared" si="48"/>
        <v/>
      </c>
      <c r="R660" s="317" t="str">
        <f t="shared" si="49"/>
        <v/>
      </c>
      <c r="S660" s="317" t="str">
        <f t="shared" si="50"/>
        <v/>
      </c>
      <c r="T660" s="317" t="str">
        <f>GLOBAL_DER_FEV_2023!S660</f>
        <v/>
      </c>
      <c r="W660" s="582">
        <v>0</v>
      </c>
      <c r="X660" s="580"/>
      <c r="Y660" s="583">
        <f>IF(GLOBAL_DER_FEV_2023!W660=0,0,IF(GLOBAL_DER_FEV_2023!W660&gt;0,"c","b"))</f>
        <v>0</v>
      </c>
    </row>
    <row r="661" spans="1:25" ht="13.5" hidden="1" thickBot="1" x14ac:dyDescent="0.25">
      <c r="A661" s="317">
        <v>603900</v>
      </c>
      <c r="B661" s="895" t="s">
        <v>1741</v>
      </c>
      <c r="C661" s="896" t="s">
        <v>184</v>
      </c>
      <c r="D661" s="906" t="s">
        <v>1734</v>
      </c>
      <c r="E661" s="907">
        <f>GLOBAL_DER_FEV_2023!E661</f>
        <v>0.2</v>
      </c>
      <c r="F661" s="908">
        <f>GLOBAL_DER_FEV_2023!F661</f>
        <v>1.5</v>
      </c>
      <c r="G661" s="949">
        <f>GLOBAL_DER_FEV_2023!G661</f>
        <v>4.3410000000000002</v>
      </c>
      <c r="H661" s="901">
        <f>GLOBAL_DER_FEV_2023!H661</f>
        <v>131.84</v>
      </c>
      <c r="I661" s="901">
        <f>GLOBAL_DER_FEV_2023!I661</f>
        <v>136.18100000000001</v>
      </c>
      <c r="J661" s="902">
        <f>GLOBAL_DER_FEV_2023!J661</f>
        <v>163.51</v>
      </c>
      <c r="K661" s="903" t="s">
        <v>10</v>
      </c>
      <c r="L661" s="1137"/>
      <c r="M661" s="1138">
        <f t="shared" si="47"/>
        <v>0</v>
      </c>
      <c r="N661" s="893">
        <f t="shared" ref="N661:N724" si="51">IF(ISBLANK(L661),0,IF(W661=0,ROUND(L661*M661,2),IF(W661="b",ROUNDDOWN(L661*M661,2),ROUNDUP(L661*M661,2))))</f>
        <v>0</v>
      </c>
      <c r="O661" s="905"/>
      <c r="Q661" s="317" t="str">
        <f t="shared" si="48"/>
        <v/>
      </c>
      <c r="R661" s="317" t="str">
        <f t="shared" si="49"/>
        <v/>
      </c>
      <c r="S661" s="317" t="str">
        <f t="shared" si="50"/>
        <v/>
      </c>
      <c r="T661" s="317" t="str">
        <f>GLOBAL_DER_FEV_2023!S661</f>
        <v/>
      </c>
      <c r="W661" s="582">
        <v>0</v>
      </c>
      <c r="X661" s="580"/>
      <c r="Y661" s="583">
        <f>IF(GLOBAL_DER_FEV_2023!W661=0,0,IF(GLOBAL_DER_FEV_2023!W661&gt;0,"c","b"))</f>
        <v>0</v>
      </c>
    </row>
    <row r="662" spans="1:25" ht="13.5" hidden="1" thickBot="1" x14ac:dyDescent="0.25">
      <c r="A662" s="317">
        <v>601100</v>
      </c>
      <c r="B662" s="895" t="s">
        <v>1766</v>
      </c>
      <c r="C662" s="896" t="s">
        <v>184</v>
      </c>
      <c r="D662" s="906" t="s">
        <v>260</v>
      </c>
      <c r="E662" s="907">
        <f>GLOBAL_DER_FEV_2023!E662</f>
        <v>0</v>
      </c>
      <c r="F662" s="908">
        <f>GLOBAL_DER_FEV_2023!F662</f>
        <v>0</v>
      </c>
      <c r="G662" s="912">
        <f>GLOBAL_DER_FEV_2023!G662</f>
        <v>0</v>
      </c>
      <c r="H662" s="901">
        <f>GLOBAL_DER_FEV_2023!H662</f>
        <v>54.05</v>
      </c>
      <c r="I662" s="901">
        <f>GLOBAL_DER_FEV_2023!I662</f>
        <v>54.05</v>
      </c>
      <c r="J662" s="902">
        <f>GLOBAL_DER_FEV_2023!J662</f>
        <v>64.900000000000006</v>
      </c>
      <c r="K662" s="903" t="s">
        <v>10</v>
      </c>
      <c r="L662" s="1137"/>
      <c r="M662" s="1138">
        <f t="shared" si="47"/>
        <v>0</v>
      </c>
      <c r="N662" s="893">
        <f t="shared" si="51"/>
        <v>0</v>
      </c>
      <c r="O662" s="905"/>
      <c r="Q662" s="317" t="str">
        <f t="shared" si="48"/>
        <v/>
      </c>
      <c r="R662" s="317" t="str">
        <f t="shared" si="49"/>
        <v/>
      </c>
      <c r="S662" s="317" t="str">
        <f t="shared" si="50"/>
        <v/>
      </c>
      <c r="T662" s="317" t="str">
        <f>GLOBAL_DER_FEV_2023!S662</f>
        <v/>
      </c>
      <c r="W662" s="582">
        <v>0</v>
      </c>
      <c r="X662" s="580"/>
      <c r="Y662" s="583">
        <f>IF(GLOBAL_DER_FEV_2023!W662=0,0,IF(GLOBAL_DER_FEV_2023!W662&gt;0,"c","b"))</f>
        <v>0</v>
      </c>
    </row>
    <row r="663" spans="1:25" ht="13.5" hidden="1" thickBot="1" x14ac:dyDescent="0.25">
      <c r="A663" s="317">
        <v>602000</v>
      </c>
      <c r="B663" s="895" t="s">
        <v>1996</v>
      </c>
      <c r="C663" s="896" t="s">
        <v>184</v>
      </c>
      <c r="D663" s="906" t="s">
        <v>1994</v>
      </c>
      <c r="E663" s="907">
        <f>GLOBAL_DER_FEV_2023!E663</f>
        <v>0</v>
      </c>
      <c r="F663" s="908">
        <f>GLOBAL_DER_FEV_2023!F663</f>
        <v>0</v>
      </c>
      <c r="G663" s="912">
        <f>GLOBAL_DER_FEV_2023!G663</f>
        <v>0</v>
      </c>
      <c r="H663" s="901">
        <f>GLOBAL_DER_FEV_2023!H663</f>
        <v>62.53</v>
      </c>
      <c r="I663" s="901">
        <f>GLOBAL_DER_FEV_2023!I663</f>
        <v>62.53</v>
      </c>
      <c r="J663" s="902">
        <f>GLOBAL_DER_FEV_2023!J663</f>
        <v>75.08</v>
      </c>
      <c r="K663" s="903" t="s">
        <v>12</v>
      </c>
      <c r="L663" s="1137"/>
      <c r="M663" s="1138">
        <f t="shared" si="47"/>
        <v>0</v>
      </c>
      <c r="N663" s="893">
        <f t="shared" si="51"/>
        <v>0</v>
      </c>
      <c r="O663" s="905"/>
      <c r="Q663" s="317" t="str">
        <f t="shared" si="48"/>
        <v/>
      </c>
      <c r="R663" s="317" t="str">
        <f t="shared" si="49"/>
        <v/>
      </c>
      <c r="S663" s="317" t="str">
        <f t="shared" si="50"/>
        <v/>
      </c>
      <c r="T663" s="317" t="str">
        <f>GLOBAL_DER_FEV_2023!S663</f>
        <v/>
      </c>
      <c r="W663" s="582">
        <v>0</v>
      </c>
      <c r="X663" s="580"/>
      <c r="Y663" s="583">
        <f>IF(GLOBAL_DER_FEV_2023!W663=0,0,IF(GLOBAL_DER_FEV_2023!W663&gt;0,"c","b"))</f>
        <v>0</v>
      </c>
    </row>
    <row r="664" spans="1:25" ht="13.5" hidden="1" thickBot="1" x14ac:dyDescent="0.25">
      <c r="A664" s="317">
        <v>603000</v>
      </c>
      <c r="B664" s="895" t="s">
        <v>1768</v>
      </c>
      <c r="C664" s="896" t="s">
        <v>184</v>
      </c>
      <c r="D664" s="906" t="s">
        <v>261</v>
      </c>
      <c r="E664" s="907">
        <f>GLOBAL_DER_FEV_2023!E664</f>
        <v>0</v>
      </c>
      <c r="F664" s="908">
        <f>GLOBAL_DER_FEV_2023!F664</f>
        <v>0</v>
      </c>
      <c r="G664" s="912">
        <f>GLOBAL_DER_FEV_2023!G664</f>
        <v>0</v>
      </c>
      <c r="H664" s="901">
        <f>GLOBAL_DER_FEV_2023!H664</f>
        <v>18.34</v>
      </c>
      <c r="I664" s="901">
        <f>GLOBAL_DER_FEV_2023!I664</f>
        <v>18.34</v>
      </c>
      <c r="J664" s="902">
        <f>GLOBAL_DER_FEV_2023!J664</f>
        <v>22.02</v>
      </c>
      <c r="K664" s="903" t="s">
        <v>16</v>
      </c>
      <c r="L664" s="1137"/>
      <c r="M664" s="1138">
        <f t="shared" si="47"/>
        <v>0</v>
      </c>
      <c r="N664" s="893">
        <f t="shared" si="51"/>
        <v>0</v>
      </c>
      <c r="O664" s="905"/>
      <c r="Q664" s="317" t="str">
        <f t="shared" si="48"/>
        <v/>
      </c>
      <c r="R664" s="317" t="str">
        <f t="shared" si="49"/>
        <v/>
      </c>
      <c r="S664" s="317" t="str">
        <f t="shared" si="50"/>
        <v/>
      </c>
      <c r="T664" s="317" t="str">
        <f>GLOBAL_DER_FEV_2023!S664</f>
        <v/>
      </c>
      <c r="W664" s="582">
        <v>0</v>
      </c>
      <c r="X664" s="580"/>
      <c r="Y664" s="583">
        <f>IF(GLOBAL_DER_FEV_2023!W664=0,0,IF(GLOBAL_DER_FEV_2023!W664&gt;0,"c","b"))</f>
        <v>0</v>
      </c>
    </row>
    <row r="665" spans="1:25" ht="13.5" hidden="1" thickBot="1" x14ac:dyDescent="0.25">
      <c r="A665" s="317">
        <v>603300</v>
      </c>
      <c r="B665" s="895" t="s">
        <v>1771</v>
      </c>
      <c r="C665" s="896" t="s">
        <v>184</v>
      </c>
      <c r="D665" s="906" t="s">
        <v>262</v>
      </c>
      <c r="E665" s="907">
        <f>GLOBAL_DER_FEV_2023!E665</f>
        <v>0</v>
      </c>
      <c r="F665" s="908">
        <f>GLOBAL_DER_FEV_2023!F665</f>
        <v>0</v>
      </c>
      <c r="G665" s="912">
        <f>GLOBAL_DER_FEV_2023!G665</f>
        <v>0</v>
      </c>
      <c r="H665" s="901">
        <f>GLOBAL_DER_FEV_2023!H665</f>
        <v>20.91</v>
      </c>
      <c r="I665" s="901">
        <f>GLOBAL_DER_FEV_2023!I665</f>
        <v>20.91</v>
      </c>
      <c r="J665" s="902">
        <f>GLOBAL_DER_FEV_2023!J665</f>
        <v>25.11</v>
      </c>
      <c r="K665" s="903" t="s">
        <v>16</v>
      </c>
      <c r="L665" s="1137"/>
      <c r="M665" s="1138">
        <f t="shared" si="47"/>
        <v>0</v>
      </c>
      <c r="N665" s="893">
        <f t="shared" si="51"/>
        <v>0</v>
      </c>
      <c r="O665" s="905"/>
      <c r="Q665" s="317" t="str">
        <f t="shared" si="48"/>
        <v/>
      </c>
      <c r="R665" s="317" t="str">
        <f t="shared" si="49"/>
        <v/>
      </c>
      <c r="S665" s="317" t="str">
        <f t="shared" si="50"/>
        <v/>
      </c>
      <c r="T665" s="317" t="str">
        <f>GLOBAL_DER_FEV_2023!S665</f>
        <v/>
      </c>
      <c r="W665" s="582">
        <v>0</v>
      </c>
      <c r="X665" s="580"/>
      <c r="Y665" s="583">
        <f>IF(GLOBAL_DER_FEV_2023!W665=0,0,IF(GLOBAL_DER_FEV_2023!W665&gt;0,"c","b"))</f>
        <v>0</v>
      </c>
    </row>
    <row r="666" spans="1:25" ht="13.5" hidden="1" thickBot="1" x14ac:dyDescent="0.25">
      <c r="A666" s="317">
        <v>605000</v>
      </c>
      <c r="B666" s="895" t="s">
        <v>299</v>
      </c>
      <c r="C666" s="896" t="s">
        <v>184</v>
      </c>
      <c r="D666" s="906" t="s">
        <v>263</v>
      </c>
      <c r="E666" s="907">
        <f>GLOBAL_DER_FEV_2023!E666</f>
        <v>0</v>
      </c>
      <c r="F666" s="908">
        <f>GLOBAL_DER_FEV_2023!F666</f>
        <v>0</v>
      </c>
      <c r="G666" s="912">
        <f>GLOBAL_DER_FEV_2023!G666</f>
        <v>0.56710335000000001</v>
      </c>
      <c r="H666" s="901">
        <f>GLOBAL_DER_FEV_2023!H666</f>
        <v>26.85</v>
      </c>
      <c r="I666" s="901">
        <f>GLOBAL_DER_FEV_2023!I666</f>
        <v>27.417103350000001</v>
      </c>
      <c r="J666" s="902">
        <f>GLOBAL_DER_FEV_2023!J666</f>
        <v>32.92</v>
      </c>
      <c r="K666" s="903" t="s">
        <v>12</v>
      </c>
      <c r="L666" s="1137"/>
      <c r="M666" s="1138">
        <f t="shared" si="47"/>
        <v>0</v>
      </c>
      <c r="N666" s="893">
        <f t="shared" si="51"/>
        <v>0</v>
      </c>
      <c r="O666" s="905"/>
      <c r="Q666" s="317" t="str">
        <f t="shared" si="48"/>
        <v/>
      </c>
      <c r="R666" s="317" t="str">
        <f t="shared" si="49"/>
        <v/>
      </c>
      <c r="S666" s="317" t="str">
        <f t="shared" si="50"/>
        <v/>
      </c>
      <c r="T666" s="317" t="str">
        <f>GLOBAL_DER_FEV_2023!S666</f>
        <v/>
      </c>
      <c r="W666" s="582">
        <v>0</v>
      </c>
      <c r="X666" s="580"/>
      <c r="Y666" s="583">
        <f>IF(GLOBAL_DER_FEV_2023!W666=0,0,IF(GLOBAL_DER_FEV_2023!W666&gt;0,"c","b"))</f>
        <v>0</v>
      </c>
    </row>
    <row r="667" spans="1:25" ht="13.5" hidden="1" thickBot="1" x14ac:dyDescent="0.25">
      <c r="A667" s="317" t="s">
        <v>147</v>
      </c>
      <c r="B667" s="895" t="s">
        <v>147</v>
      </c>
      <c r="C667" s="896"/>
      <c r="D667" s="957" t="s">
        <v>190</v>
      </c>
      <c r="E667" s="907">
        <f>GLOBAL_DER_FEV_2023!E667</f>
        <v>308</v>
      </c>
      <c r="F667" s="908">
        <f>GLOBAL_DER_FEV_2023!F667</f>
        <v>1.35E-2</v>
      </c>
      <c r="G667" s="909">
        <f>GLOBAL_DER_FEV_2023!G667</f>
        <v>3.3488099999999998</v>
      </c>
      <c r="H667" s="901">
        <f>GLOBAL_DER_FEV_2023!H667</f>
        <v>0</v>
      </c>
      <c r="I667" s="901">
        <f>GLOBAL_DER_FEV_2023!I667</f>
        <v>3.3488099999999998</v>
      </c>
      <c r="J667" s="902">
        <f>GLOBAL_DER_FEV_2023!J667</f>
        <v>0</v>
      </c>
      <c r="K667" s="958" t="s">
        <v>507</v>
      </c>
      <c r="L667" s="959"/>
      <c r="M667" s="1157">
        <f t="shared" si="47"/>
        <v>0</v>
      </c>
      <c r="N667" s="893">
        <f t="shared" si="51"/>
        <v>0</v>
      </c>
      <c r="O667" s="905"/>
      <c r="P667" s="58" t="str">
        <f>IF(N666&gt;0,"xx",IF(N666&gt;0,"xy",""))</f>
        <v/>
      </c>
      <c r="Q667" s="317" t="str">
        <f t="shared" si="48"/>
        <v/>
      </c>
      <c r="R667" s="317" t="str">
        <f t="shared" si="49"/>
        <v/>
      </c>
      <c r="S667" s="317" t="str">
        <f t="shared" si="50"/>
        <v/>
      </c>
      <c r="T667" s="317" t="str">
        <f>GLOBAL_DER_FEV_2023!S667</f>
        <v/>
      </c>
      <c r="W667" s="582">
        <v>0</v>
      </c>
      <c r="X667" s="580"/>
      <c r="Y667" s="583">
        <f>IF(GLOBAL_DER_FEV_2023!W667=0,0,IF(GLOBAL_DER_FEV_2023!W667&gt;0,"c","b"))</f>
        <v>0</v>
      </c>
    </row>
    <row r="668" spans="1:25" ht="13.5" hidden="1" thickBot="1" x14ac:dyDescent="0.25">
      <c r="A668" s="317" t="s">
        <v>147</v>
      </c>
      <c r="B668" s="895" t="s">
        <v>147</v>
      </c>
      <c r="C668" s="896"/>
      <c r="D668" s="957" t="s">
        <v>229</v>
      </c>
      <c r="E668" s="907">
        <f>GLOBAL_DER_FEV_2023!E668</f>
        <v>150</v>
      </c>
      <c r="F668" s="908">
        <f>GLOBAL_DER_FEV_2023!F668</f>
        <v>4.8000000000000001E-2</v>
      </c>
      <c r="G668" s="949">
        <f>GLOBAL_DER_FEV_2023!G668</f>
        <v>7.8326400000000005</v>
      </c>
      <c r="H668" s="901">
        <f>GLOBAL_DER_FEV_2023!H668</f>
        <v>0</v>
      </c>
      <c r="I668" s="901">
        <f>GLOBAL_DER_FEV_2023!I668</f>
        <v>7.8326400000000005</v>
      </c>
      <c r="J668" s="902">
        <f>GLOBAL_DER_FEV_2023!J668</f>
        <v>0</v>
      </c>
      <c r="K668" s="958" t="s">
        <v>507</v>
      </c>
      <c r="L668" s="959"/>
      <c r="M668" s="1157">
        <f t="shared" si="47"/>
        <v>0</v>
      </c>
      <c r="N668" s="893">
        <f t="shared" si="51"/>
        <v>0</v>
      </c>
      <c r="O668" s="905"/>
      <c r="P668" s="58" t="str">
        <f>IF(N666&gt;0,"xx",IF(N666&gt;0,"xy",""))</f>
        <v/>
      </c>
      <c r="Q668" s="317" t="str">
        <f t="shared" si="48"/>
        <v/>
      </c>
      <c r="R668" s="317" t="str">
        <f t="shared" si="49"/>
        <v/>
      </c>
      <c r="S668" s="317" t="str">
        <f t="shared" si="50"/>
        <v/>
      </c>
      <c r="T668" s="317" t="str">
        <f>GLOBAL_DER_FEV_2023!S668</f>
        <v/>
      </c>
      <c r="W668" s="582">
        <v>0</v>
      </c>
      <c r="X668" s="580"/>
      <c r="Y668" s="583">
        <f>IF(GLOBAL_DER_FEV_2023!W668=0,0,IF(GLOBAL_DER_FEV_2023!W668&gt;0,"c","b"))</f>
        <v>0</v>
      </c>
    </row>
    <row r="669" spans="1:25" ht="13.5" hidden="1" thickBot="1" x14ac:dyDescent="0.25">
      <c r="A669" s="317" t="s">
        <v>147</v>
      </c>
      <c r="B669" s="895" t="s">
        <v>147</v>
      </c>
      <c r="C669" s="896"/>
      <c r="D669" s="957" t="s">
        <v>233</v>
      </c>
      <c r="E669" s="907">
        <f>GLOBAL_DER_FEV_2023!E669</f>
        <v>0.2</v>
      </c>
      <c r="F669" s="908">
        <f>GLOBAL_DER_FEV_2023!F669</f>
        <v>5.5500000000000001E-2</v>
      </c>
      <c r="G669" s="949">
        <f>GLOBAL_DER_FEV_2023!G669</f>
        <v>0.16061700000000001</v>
      </c>
      <c r="H669" s="901">
        <f>GLOBAL_DER_FEV_2023!H669</f>
        <v>0</v>
      </c>
      <c r="I669" s="901">
        <f>GLOBAL_DER_FEV_2023!I669</f>
        <v>0.16061700000000001</v>
      </c>
      <c r="J669" s="902">
        <f>GLOBAL_DER_FEV_2023!J669</f>
        <v>0</v>
      </c>
      <c r="K669" s="958" t="s">
        <v>507</v>
      </c>
      <c r="L669" s="959"/>
      <c r="M669" s="1157">
        <f t="shared" si="47"/>
        <v>0</v>
      </c>
      <c r="N669" s="893">
        <f t="shared" si="51"/>
        <v>0</v>
      </c>
      <c r="O669" s="905"/>
      <c r="P669" s="58" t="str">
        <f>IF(N666&gt;0,"xx",IF(N666&gt;0,"xy",""))</f>
        <v/>
      </c>
      <c r="Q669" s="317" t="str">
        <f t="shared" si="48"/>
        <v/>
      </c>
      <c r="R669" s="317" t="str">
        <f t="shared" si="49"/>
        <v/>
      </c>
      <c r="S669" s="317" t="str">
        <f t="shared" si="50"/>
        <v/>
      </c>
      <c r="T669" s="317" t="str">
        <f>GLOBAL_DER_FEV_2023!S669</f>
        <v/>
      </c>
      <c r="W669" s="582">
        <v>0</v>
      </c>
      <c r="X669" s="580"/>
      <c r="Y669" s="583">
        <f>IF(GLOBAL_DER_FEV_2023!W669=0,0,IF(GLOBAL_DER_FEV_2023!W669&gt;0,"c","b"))</f>
        <v>0</v>
      </c>
    </row>
    <row r="670" spans="1:25" ht="13.5" hidden="1" thickBot="1" x14ac:dyDescent="0.25">
      <c r="A670" s="317">
        <v>605000</v>
      </c>
      <c r="B670" s="895" t="s">
        <v>300</v>
      </c>
      <c r="C670" s="896" t="s">
        <v>184</v>
      </c>
      <c r="D670" s="906" t="s">
        <v>516</v>
      </c>
      <c r="E670" s="907">
        <f>GLOBAL_DER_FEV_2023!E670</f>
        <v>0</v>
      </c>
      <c r="F670" s="908">
        <f>GLOBAL_DER_FEV_2023!F670</f>
        <v>0</v>
      </c>
      <c r="G670" s="912">
        <f>GLOBAL_DER_FEV_2023!G670</f>
        <v>0.68052402000000001</v>
      </c>
      <c r="H670" s="901">
        <f>GLOBAL_DER_FEV_2023!H670</f>
        <v>31.71</v>
      </c>
      <c r="I670" s="901">
        <f>GLOBAL_DER_FEV_2023!I670</f>
        <v>32.390524020000001</v>
      </c>
      <c r="J670" s="902">
        <f>GLOBAL_DER_FEV_2023!J670</f>
        <v>38.89</v>
      </c>
      <c r="K670" s="903" t="s">
        <v>12</v>
      </c>
      <c r="L670" s="1137"/>
      <c r="M670" s="1138">
        <f t="shared" si="47"/>
        <v>0</v>
      </c>
      <c r="N670" s="893">
        <f t="shared" si="51"/>
        <v>0</v>
      </c>
      <c r="O670" s="905"/>
      <c r="Q670" s="317" t="str">
        <f t="shared" si="48"/>
        <v/>
      </c>
      <c r="R670" s="317" t="str">
        <f t="shared" si="49"/>
        <v/>
      </c>
      <c r="S670" s="317" t="str">
        <f t="shared" si="50"/>
        <v/>
      </c>
      <c r="T670" s="317" t="str">
        <f>GLOBAL_DER_FEV_2023!S670</f>
        <v/>
      </c>
      <c r="W670" s="582">
        <v>0</v>
      </c>
      <c r="X670" s="580"/>
      <c r="Y670" s="583">
        <f>IF(GLOBAL_DER_FEV_2023!W670=0,0,IF(GLOBAL_DER_FEV_2023!W670&gt;0,"c","b"))</f>
        <v>0</v>
      </c>
    </row>
    <row r="671" spans="1:25" ht="13.5" hidden="1" thickBot="1" x14ac:dyDescent="0.25">
      <c r="A671" s="317" t="s">
        <v>147</v>
      </c>
      <c r="B671" s="895" t="s">
        <v>147</v>
      </c>
      <c r="C671" s="896"/>
      <c r="D671" s="957" t="s">
        <v>190</v>
      </c>
      <c r="E671" s="907">
        <f>GLOBAL_DER_FEV_2023!E671</f>
        <v>308</v>
      </c>
      <c r="F671" s="908">
        <f>GLOBAL_DER_FEV_2023!F671</f>
        <v>1.6199999999999999E-2</v>
      </c>
      <c r="G671" s="909">
        <f>GLOBAL_DER_FEV_2023!G671</f>
        <v>4.0185719999999998</v>
      </c>
      <c r="H671" s="901">
        <f>GLOBAL_DER_FEV_2023!H671</f>
        <v>0</v>
      </c>
      <c r="I671" s="901">
        <f>GLOBAL_DER_FEV_2023!I671</f>
        <v>4.0185719999999998</v>
      </c>
      <c r="J671" s="902">
        <f>GLOBAL_DER_FEV_2023!J671</f>
        <v>0</v>
      </c>
      <c r="K671" s="958" t="s">
        <v>507</v>
      </c>
      <c r="L671" s="959"/>
      <c r="M671" s="1157">
        <f t="shared" si="47"/>
        <v>0</v>
      </c>
      <c r="N671" s="893">
        <f t="shared" si="51"/>
        <v>0</v>
      </c>
      <c r="O671" s="905"/>
      <c r="P671" s="58" t="str">
        <f>IF(N670&gt;0,"xx",IF(N670&gt;0,"xy",""))</f>
        <v/>
      </c>
      <c r="Q671" s="317" t="str">
        <f t="shared" si="48"/>
        <v/>
      </c>
      <c r="R671" s="317" t="str">
        <f t="shared" si="49"/>
        <v/>
      </c>
      <c r="S671" s="317" t="str">
        <f t="shared" si="50"/>
        <v/>
      </c>
      <c r="T671" s="317" t="str">
        <f>GLOBAL_DER_FEV_2023!S671</f>
        <v/>
      </c>
      <c r="W671" s="582">
        <v>0</v>
      </c>
      <c r="X671" s="580"/>
      <c r="Y671" s="583">
        <f>IF(GLOBAL_DER_FEV_2023!W671=0,0,IF(GLOBAL_DER_FEV_2023!W671&gt;0,"c","b"))</f>
        <v>0</v>
      </c>
    </row>
    <row r="672" spans="1:25" ht="13.5" hidden="1" thickBot="1" x14ac:dyDescent="0.25">
      <c r="A672" s="317" t="s">
        <v>147</v>
      </c>
      <c r="B672" s="895" t="s">
        <v>147</v>
      </c>
      <c r="C672" s="896"/>
      <c r="D672" s="957" t="s">
        <v>229</v>
      </c>
      <c r="E672" s="907">
        <f>GLOBAL_DER_FEV_2023!E672</f>
        <v>150</v>
      </c>
      <c r="F672" s="908">
        <f>GLOBAL_DER_FEV_2023!F672</f>
        <v>5.7599999999999998E-2</v>
      </c>
      <c r="G672" s="949">
        <f>GLOBAL_DER_FEV_2023!G672</f>
        <v>9.3991679999999995</v>
      </c>
      <c r="H672" s="901">
        <f>GLOBAL_DER_FEV_2023!H672</f>
        <v>0</v>
      </c>
      <c r="I672" s="901">
        <f>GLOBAL_DER_FEV_2023!I672</f>
        <v>9.3991679999999995</v>
      </c>
      <c r="J672" s="902">
        <f>GLOBAL_DER_FEV_2023!J672</f>
        <v>0</v>
      </c>
      <c r="K672" s="958" t="s">
        <v>507</v>
      </c>
      <c r="L672" s="959"/>
      <c r="M672" s="1157">
        <f t="shared" si="47"/>
        <v>0</v>
      </c>
      <c r="N672" s="893">
        <f t="shared" si="51"/>
        <v>0</v>
      </c>
      <c r="O672" s="905"/>
      <c r="P672" s="58" t="str">
        <f>IF(N670&gt;0,"xx",IF(N670&gt;0,"xy",""))</f>
        <v/>
      </c>
      <c r="Q672" s="317" t="str">
        <f t="shared" si="48"/>
        <v/>
      </c>
      <c r="R672" s="317" t="str">
        <f t="shared" si="49"/>
        <v/>
      </c>
      <c r="S672" s="317" t="str">
        <f t="shared" si="50"/>
        <v/>
      </c>
      <c r="T672" s="317" t="str">
        <f>GLOBAL_DER_FEV_2023!S672</f>
        <v/>
      </c>
      <c r="W672" s="582">
        <v>0</v>
      </c>
      <c r="X672" s="580"/>
      <c r="Y672" s="583">
        <f>IF(GLOBAL_DER_FEV_2023!W672=0,0,IF(GLOBAL_DER_FEV_2023!W672&gt;0,"c","b"))</f>
        <v>0</v>
      </c>
    </row>
    <row r="673" spans="1:25" ht="13.5" hidden="1" thickBot="1" x14ac:dyDescent="0.25">
      <c r="A673" s="317" t="s">
        <v>147</v>
      </c>
      <c r="B673" s="895" t="s">
        <v>147</v>
      </c>
      <c r="C673" s="896"/>
      <c r="D673" s="957" t="s">
        <v>233</v>
      </c>
      <c r="E673" s="907">
        <f>GLOBAL_DER_FEV_2023!E673</f>
        <v>0.2</v>
      </c>
      <c r="F673" s="908">
        <f>GLOBAL_DER_FEV_2023!F673</f>
        <v>6.6600000000000006E-2</v>
      </c>
      <c r="G673" s="949">
        <f>GLOBAL_DER_FEV_2023!G673</f>
        <v>0.19274040000000003</v>
      </c>
      <c r="H673" s="901">
        <f>GLOBAL_DER_FEV_2023!H673</f>
        <v>0</v>
      </c>
      <c r="I673" s="901">
        <f>GLOBAL_DER_FEV_2023!I673</f>
        <v>0.19274040000000003</v>
      </c>
      <c r="J673" s="902">
        <f>GLOBAL_DER_FEV_2023!J673</f>
        <v>0</v>
      </c>
      <c r="K673" s="958" t="s">
        <v>507</v>
      </c>
      <c r="L673" s="959"/>
      <c r="M673" s="1157">
        <f t="shared" si="47"/>
        <v>0</v>
      </c>
      <c r="N673" s="893">
        <f t="shared" si="51"/>
        <v>0</v>
      </c>
      <c r="O673" s="905"/>
      <c r="P673" s="58" t="str">
        <f>IF(N670&gt;0,"xx",IF(N670&gt;0,"xy",""))</f>
        <v/>
      </c>
      <c r="Q673" s="317" t="str">
        <f t="shared" si="48"/>
        <v/>
      </c>
      <c r="R673" s="317" t="str">
        <f t="shared" si="49"/>
        <v/>
      </c>
      <c r="S673" s="317" t="str">
        <f t="shared" si="50"/>
        <v/>
      </c>
      <c r="T673" s="317" t="str">
        <f>GLOBAL_DER_FEV_2023!S673</f>
        <v/>
      </c>
      <c r="W673" s="582">
        <v>0</v>
      </c>
      <c r="X673" s="580"/>
      <c r="Y673" s="583">
        <f>IF(GLOBAL_DER_FEV_2023!W673=0,0,IF(GLOBAL_DER_FEV_2023!W673&gt;0,"c","b"))</f>
        <v>0</v>
      </c>
    </row>
    <row r="674" spans="1:25" ht="13.5" hidden="1" thickBot="1" x14ac:dyDescent="0.25">
      <c r="A674" s="317">
        <v>605000</v>
      </c>
      <c r="B674" s="895" t="s">
        <v>301</v>
      </c>
      <c r="C674" s="896" t="s">
        <v>184</v>
      </c>
      <c r="D674" s="906" t="s">
        <v>517</v>
      </c>
      <c r="E674" s="907">
        <f>GLOBAL_DER_FEV_2023!E674</f>
        <v>0</v>
      </c>
      <c r="F674" s="908">
        <f>GLOBAL_DER_FEV_2023!F674</f>
        <v>0</v>
      </c>
      <c r="G674" s="912">
        <f>GLOBAL_DER_FEV_2023!G674</f>
        <v>0.79394469000000001</v>
      </c>
      <c r="H674" s="901">
        <f>GLOBAL_DER_FEV_2023!H674</f>
        <v>36.58</v>
      </c>
      <c r="I674" s="901">
        <f>GLOBAL_DER_FEV_2023!I674</f>
        <v>37.373944690000002</v>
      </c>
      <c r="J674" s="902">
        <f>GLOBAL_DER_FEV_2023!J674</f>
        <v>44.87</v>
      </c>
      <c r="K674" s="903" t="s">
        <v>12</v>
      </c>
      <c r="L674" s="1137"/>
      <c r="M674" s="1138">
        <f t="shared" si="47"/>
        <v>0</v>
      </c>
      <c r="N674" s="893">
        <f t="shared" si="51"/>
        <v>0</v>
      </c>
      <c r="O674" s="905"/>
      <c r="Q674" s="317" t="str">
        <f t="shared" si="48"/>
        <v/>
      </c>
      <c r="R674" s="317" t="str">
        <f t="shared" si="49"/>
        <v/>
      </c>
      <c r="S674" s="317" t="str">
        <f t="shared" si="50"/>
        <v/>
      </c>
      <c r="T674" s="317" t="str">
        <f>GLOBAL_DER_FEV_2023!S674</f>
        <v/>
      </c>
      <c r="W674" s="582">
        <v>0</v>
      </c>
      <c r="X674" s="580"/>
      <c r="Y674" s="583">
        <f>IF(GLOBAL_DER_FEV_2023!W674=0,0,IF(GLOBAL_DER_FEV_2023!W674&gt;0,"c","b"))</f>
        <v>0</v>
      </c>
    </row>
    <row r="675" spans="1:25" ht="13.5" hidden="1" thickBot="1" x14ac:dyDescent="0.25">
      <c r="A675" s="317" t="s">
        <v>147</v>
      </c>
      <c r="B675" s="895" t="s">
        <v>147</v>
      </c>
      <c r="C675" s="896"/>
      <c r="D675" s="957" t="s">
        <v>190</v>
      </c>
      <c r="E675" s="907">
        <f>GLOBAL_DER_FEV_2023!E675</f>
        <v>308</v>
      </c>
      <c r="F675" s="908">
        <f>GLOBAL_DER_FEV_2023!F675</f>
        <v>1.89E-2</v>
      </c>
      <c r="G675" s="909">
        <f>GLOBAL_DER_FEV_2023!G675</f>
        <v>4.6883340000000002</v>
      </c>
      <c r="H675" s="901">
        <f>GLOBAL_DER_FEV_2023!H675</f>
        <v>0</v>
      </c>
      <c r="I675" s="901">
        <f>GLOBAL_DER_FEV_2023!I675</f>
        <v>4.6883340000000002</v>
      </c>
      <c r="J675" s="902">
        <f>GLOBAL_DER_FEV_2023!J675</f>
        <v>0</v>
      </c>
      <c r="K675" s="958" t="s">
        <v>507</v>
      </c>
      <c r="L675" s="959"/>
      <c r="M675" s="1157">
        <f t="shared" si="47"/>
        <v>0</v>
      </c>
      <c r="N675" s="893">
        <f t="shared" si="51"/>
        <v>0</v>
      </c>
      <c r="O675" s="905"/>
      <c r="P675" s="58" t="str">
        <f>IF(N674&gt;0,"xx",IF(N674&gt;0,"xy",""))</f>
        <v/>
      </c>
      <c r="Q675" s="317" t="str">
        <f t="shared" si="48"/>
        <v/>
      </c>
      <c r="R675" s="317" t="str">
        <f t="shared" si="49"/>
        <v/>
      </c>
      <c r="S675" s="317" t="str">
        <f t="shared" si="50"/>
        <v/>
      </c>
      <c r="T675" s="317" t="str">
        <f>GLOBAL_DER_FEV_2023!S675</f>
        <v/>
      </c>
      <c r="W675" s="582">
        <v>0</v>
      </c>
      <c r="X675" s="580"/>
      <c r="Y675" s="583">
        <f>IF(GLOBAL_DER_FEV_2023!W675=0,0,IF(GLOBAL_DER_FEV_2023!W675&gt;0,"c","b"))</f>
        <v>0</v>
      </c>
    </row>
    <row r="676" spans="1:25" ht="13.5" hidden="1" thickBot="1" x14ac:dyDescent="0.25">
      <c r="A676" s="317" t="s">
        <v>147</v>
      </c>
      <c r="B676" s="895" t="s">
        <v>147</v>
      </c>
      <c r="C676" s="896"/>
      <c r="D676" s="957" t="s">
        <v>229</v>
      </c>
      <c r="E676" s="907">
        <f>GLOBAL_DER_FEV_2023!E676</f>
        <v>150</v>
      </c>
      <c r="F676" s="908">
        <f>GLOBAL_DER_FEV_2023!F676</f>
        <v>6.7199999999999996E-2</v>
      </c>
      <c r="G676" s="949">
        <f>GLOBAL_DER_FEV_2023!G676</f>
        <v>10.965695999999999</v>
      </c>
      <c r="H676" s="901">
        <f>GLOBAL_DER_FEV_2023!H676</f>
        <v>0</v>
      </c>
      <c r="I676" s="901">
        <f>GLOBAL_DER_FEV_2023!I676</f>
        <v>10.965695999999999</v>
      </c>
      <c r="J676" s="902">
        <f>GLOBAL_DER_FEV_2023!J676</f>
        <v>0</v>
      </c>
      <c r="K676" s="958" t="s">
        <v>507</v>
      </c>
      <c r="L676" s="959"/>
      <c r="M676" s="1157">
        <f t="shared" si="47"/>
        <v>0</v>
      </c>
      <c r="N676" s="893">
        <f t="shared" si="51"/>
        <v>0</v>
      </c>
      <c r="O676" s="905"/>
      <c r="P676" s="58" t="str">
        <f>IF(N674&gt;0,"xx",IF(N674&gt;0,"xy",""))</f>
        <v/>
      </c>
      <c r="Q676" s="317" t="str">
        <f t="shared" si="48"/>
        <v/>
      </c>
      <c r="R676" s="317" t="str">
        <f t="shared" si="49"/>
        <v/>
      </c>
      <c r="S676" s="317" t="str">
        <f t="shared" si="50"/>
        <v/>
      </c>
      <c r="T676" s="317" t="str">
        <f>GLOBAL_DER_FEV_2023!S676</f>
        <v/>
      </c>
      <c r="W676" s="582">
        <v>0</v>
      </c>
      <c r="X676" s="580"/>
      <c r="Y676" s="583">
        <f>IF(GLOBAL_DER_FEV_2023!W676=0,0,IF(GLOBAL_DER_FEV_2023!W676&gt;0,"c","b"))</f>
        <v>0</v>
      </c>
    </row>
    <row r="677" spans="1:25" ht="13.5" hidden="1" thickBot="1" x14ac:dyDescent="0.25">
      <c r="A677" s="317" t="s">
        <v>147</v>
      </c>
      <c r="B677" s="895" t="s">
        <v>147</v>
      </c>
      <c r="C677" s="896"/>
      <c r="D677" s="957" t="s">
        <v>233</v>
      </c>
      <c r="E677" s="907">
        <f>GLOBAL_DER_FEV_2023!E677</f>
        <v>0.2</v>
      </c>
      <c r="F677" s="908">
        <f>GLOBAL_DER_FEV_2023!F677</f>
        <v>7.7700000000000005E-2</v>
      </c>
      <c r="G677" s="949">
        <f>GLOBAL_DER_FEV_2023!G677</f>
        <v>0.22486380000000003</v>
      </c>
      <c r="H677" s="901">
        <f>GLOBAL_DER_FEV_2023!H677</f>
        <v>0</v>
      </c>
      <c r="I677" s="901">
        <f>GLOBAL_DER_FEV_2023!I677</f>
        <v>0.22486380000000003</v>
      </c>
      <c r="J677" s="902">
        <f>GLOBAL_DER_FEV_2023!J677</f>
        <v>0</v>
      </c>
      <c r="K677" s="958" t="s">
        <v>507</v>
      </c>
      <c r="L677" s="959"/>
      <c r="M677" s="1157">
        <f t="shared" si="47"/>
        <v>0</v>
      </c>
      <c r="N677" s="893">
        <f t="shared" si="51"/>
        <v>0</v>
      </c>
      <c r="O677" s="905"/>
      <c r="P677" s="58" t="str">
        <f>IF(N674&gt;0,"xx",IF(N674&gt;0,"xy",""))</f>
        <v/>
      </c>
      <c r="Q677" s="317" t="str">
        <f t="shared" si="48"/>
        <v/>
      </c>
      <c r="R677" s="317" t="str">
        <f t="shared" si="49"/>
        <v/>
      </c>
      <c r="S677" s="317" t="str">
        <f t="shared" si="50"/>
        <v/>
      </c>
      <c r="T677" s="317" t="str">
        <f>GLOBAL_DER_FEV_2023!S677</f>
        <v/>
      </c>
      <c r="W677" s="582">
        <v>0</v>
      </c>
      <c r="X677" s="580"/>
      <c r="Y677" s="583">
        <f>IF(GLOBAL_DER_FEV_2023!W677=0,0,IF(GLOBAL_DER_FEV_2023!W677&gt;0,"c","b"))</f>
        <v>0</v>
      </c>
    </row>
    <row r="678" spans="1:25" ht="13.5" hidden="1" thickBot="1" x14ac:dyDescent="0.25">
      <c r="A678" s="317">
        <v>605000</v>
      </c>
      <c r="B678" s="895" t="s">
        <v>1775</v>
      </c>
      <c r="C678" s="896" t="s">
        <v>184</v>
      </c>
      <c r="D678" s="906" t="s">
        <v>526</v>
      </c>
      <c r="E678" s="907">
        <f>GLOBAL_DER_FEV_2023!E678</f>
        <v>0</v>
      </c>
      <c r="F678" s="908">
        <f>GLOBAL_DER_FEV_2023!F678</f>
        <v>0</v>
      </c>
      <c r="G678" s="912">
        <f>GLOBAL_DER_FEV_2023!G678</f>
        <v>0.90736536000000001</v>
      </c>
      <c r="H678" s="901">
        <f>GLOBAL_DER_FEV_2023!H678</f>
        <v>41.44</v>
      </c>
      <c r="I678" s="901">
        <f>GLOBAL_DER_FEV_2023!I678</f>
        <v>42.347365359999998</v>
      </c>
      <c r="J678" s="902">
        <f>GLOBAL_DER_FEV_2023!J678</f>
        <v>50.85</v>
      </c>
      <c r="K678" s="903" t="s">
        <v>12</v>
      </c>
      <c r="L678" s="1137"/>
      <c r="M678" s="1138">
        <f t="shared" si="47"/>
        <v>0</v>
      </c>
      <c r="N678" s="893">
        <f t="shared" si="51"/>
        <v>0</v>
      </c>
      <c r="O678" s="905"/>
      <c r="Q678" s="317" t="str">
        <f t="shared" si="48"/>
        <v/>
      </c>
      <c r="R678" s="317" t="str">
        <f t="shared" si="49"/>
        <v/>
      </c>
      <c r="S678" s="317" t="str">
        <f t="shared" si="50"/>
        <v/>
      </c>
      <c r="T678" s="317" t="str">
        <f>GLOBAL_DER_FEV_2023!S678</f>
        <v/>
      </c>
      <c r="W678" s="582">
        <v>0</v>
      </c>
      <c r="X678" s="580"/>
      <c r="Y678" s="583">
        <f>IF(GLOBAL_DER_FEV_2023!W678=0,0,IF(GLOBAL_DER_FEV_2023!W678&gt;0,"c","b"))</f>
        <v>0</v>
      </c>
    </row>
    <row r="679" spans="1:25" ht="13.5" hidden="1" thickBot="1" x14ac:dyDescent="0.25">
      <c r="A679" s="317" t="s">
        <v>147</v>
      </c>
      <c r="B679" s="895" t="s">
        <v>147</v>
      </c>
      <c r="C679" s="896"/>
      <c r="D679" s="957" t="s">
        <v>190</v>
      </c>
      <c r="E679" s="907">
        <f>GLOBAL_DER_FEV_2023!E679</f>
        <v>308</v>
      </c>
      <c r="F679" s="908">
        <f>GLOBAL_DER_FEV_2023!F679</f>
        <v>2.1600000000000001E-2</v>
      </c>
      <c r="G679" s="909">
        <f>GLOBAL_DER_FEV_2023!G679</f>
        <v>5.3580960000000006</v>
      </c>
      <c r="H679" s="901">
        <f>GLOBAL_DER_FEV_2023!H679</f>
        <v>0</v>
      </c>
      <c r="I679" s="901">
        <f>GLOBAL_DER_FEV_2023!I679</f>
        <v>0</v>
      </c>
      <c r="J679" s="902">
        <f>GLOBAL_DER_FEV_2023!J679</f>
        <v>0</v>
      </c>
      <c r="K679" s="958" t="s">
        <v>507</v>
      </c>
      <c r="L679" s="959"/>
      <c r="M679" s="1157">
        <f t="shared" si="47"/>
        <v>0</v>
      </c>
      <c r="N679" s="893">
        <f t="shared" si="51"/>
        <v>0</v>
      </c>
      <c r="O679" s="905"/>
      <c r="P679" s="58" t="str">
        <f>IF(N678&gt;0,"xx",IF(N678&gt;0,"xy",""))</f>
        <v/>
      </c>
      <c r="Q679" s="317" t="str">
        <f t="shared" si="48"/>
        <v/>
      </c>
      <c r="R679" s="317" t="str">
        <f t="shared" si="49"/>
        <v/>
      </c>
      <c r="S679" s="317" t="str">
        <f t="shared" si="50"/>
        <v/>
      </c>
      <c r="T679" s="317" t="str">
        <f>GLOBAL_DER_FEV_2023!S679</f>
        <v/>
      </c>
      <c r="W679" s="582">
        <v>0</v>
      </c>
      <c r="X679" s="580"/>
      <c r="Y679" s="583">
        <f>IF(GLOBAL_DER_FEV_2023!W679=0,0,IF(GLOBAL_DER_FEV_2023!W679&gt;0,"c","b"))</f>
        <v>0</v>
      </c>
    </row>
    <row r="680" spans="1:25" ht="13.5" hidden="1" thickBot="1" x14ac:dyDescent="0.25">
      <c r="A680" s="317" t="s">
        <v>147</v>
      </c>
      <c r="B680" s="895" t="s">
        <v>147</v>
      </c>
      <c r="C680" s="896"/>
      <c r="D680" s="957" t="s">
        <v>229</v>
      </c>
      <c r="E680" s="907">
        <f>GLOBAL_DER_FEV_2023!E680</f>
        <v>150</v>
      </c>
      <c r="F680" s="908">
        <f>GLOBAL_DER_FEV_2023!F680</f>
        <v>7.6799999999999993E-2</v>
      </c>
      <c r="G680" s="949">
        <f>GLOBAL_DER_FEV_2023!G680</f>
        <v>12.532223999999999</v>
      </c>
      <c r="H680" s="901">
        <f>GLOBAL_DER_FEV_2023!H680</f>
        <v>0</v>
      </c>
      <c r="I680" s="901">
        <f>GLOBAL_DER_FEV_2023!I680</f>
        <v>0</v>
      </c>
      <c r="J680" s="902">
        <f>GLOBAL_DER_FEV_2023!J680</f>
        <v>0</v>
      </c>
      <c r="K680" s="958" t="s">
        <v>507</v>
      </c>
      <c r="L680" s="959"/>
      <c r="M680" s="1157">
        <f t="shared" si="47"/>
        <v>0</v>
      </c>
      <c r="N680" s="893">
        <f t="shared" si="51"/>
        <v>0</v>
      </c>
      <c r="O680" s="905"/>
      <c r="P680" s="58" t="str">
        <f>IF(N678&gt;0,"xx",IF(N678&gt;0,"xy",""))</f>
        <v/>
      </c>
      <c r="Q680" s="317" t="str">
        <f t="shared" si="48"/>
        <v/>
      </c>
      <c r="R680" s="317" t="str">
        <f t="shared" si="49"/>
        <v/>
      </c>
      <c r="S680" s="317" t="str">
        <f t="shared" si="50"/>
        <v/>
      </c>
      <c r="T680" s="317" t="str">
        <f>GLOBAL_DER_FEV_2023!S680</f>
        <v/>
      </c>
      <c r="W680" s="582">
        <v>0</v>
      </c>
      <c r="X680" s="580"/>
      <c r="Y680" s="583">
        <f>IF(GLOBAL_DER_FEV_2023!W680=0,0,IF(GLOBAL_DER_FEV_2023!W680&gt;0,"c","b"))</f>
        <v>0</v>
      </c>
    </row>
    <row r="681" spans="1:25" ht="13.5" hidden="1" thickBot="1" x14ac:dyDescent="0.25">
      <c r="A681" s="317" t="s">
        <v>147</v>
      </c>
      <c r="B681" s="895" t="s">
        <v>147</v>
      </c>
      <c r="C681" s="896"/>
      <c r="D681" s="957" t="s">
        <v>233</v>
      </c>
      <c r="E681" s="907">
        <f>GLOBAL_DER_FEV_2023!E681</f>
        <v>0.2</v>
      </c>
      <c r="F681" s="908">
        <f>GLOBAL_DER_FEV_2023!F681</f>
        <v>8.8800000000000004E-2</v>
      </c>
      <c r="G681" s="949">
        <f>GLOBAL_DER_FEV_2023!G681</f>
        <v>0.25698720000000003</v>
      </c>
      <c r="H681" s="901">
        <f>GLOBAL_DER_FEV_2023!H681</f>
        <v>0</v>
      </c>
      <c r="I681" s="901">
        <f>GLOBAL_DER_FEV_2023!I681</f>
        <v>0</v>
      </c>
      <c r="J681" s="902">
        <f>GLOBAL_DER_FEV_2023!J681</f>
        <v>0</v>
      </c>
      <c r="K681" s="958" t="s">
        <v>507</v>
      </c>
      <c r="L681" s="959"/>
      <c r="M681" s="1157">
        <f t="shared" si="47"/>
        <v>0</v>
      </c>
      <c r="N681" s="893">
        <f t="shared" si="51"/>
        <v>0</v>
      </c>
      <c r="O681" s="905"/>
      <c r="P681" s="58" t="str">
        <f>IF(N678&gt;0,"xx",IF(N678&gt;0,"xy",""))</f>
        <v/>
      </c>
      <c r="Q681" s="317" t="str">
        <f t="shared" si="48"/>
        <v/>
      </c>
      <c r="R681" s="317" t="str">
        <f t="shared" si="49"/>
        <v/>
      </c>
      <c r="S681" s="317" t="str">
        <f t="shared" si="50"/>
        <v/>
      </c>
      <c r="T681" s="317" t="str">
        <f>GLOBAL_DER_FEV_2023!S681</f>
        <v/>
      </c>
      <c r="W681" s="582">
        <v>0</v>
      </c>
      <c r="X681" s="580"/>
      <c r="Y681" s="583">
        <f>IF(GLOBAL_DER_FEV_2023!W681=0,0,IF(GLOBAL_DER_FEV_2023!W681&gt;0,"c","b"))</f>
        <v>0</v>
      </c>
    </row>
    <row r="682" spans="1:25" ht="13.5" hidden="1" thickBot="1" x14ac:dyDescent="0.25">
      <c r="A682" s="317">
        <v>511000</v>
      </c>
      <c r="B682" s="895" t="s">
        <v>1557</v>
      </c>
      <c r="C682" s="896" t="s">
        <v>184</v>
      </c>
      <c r="D682" s="906" t="s">
        <v>268</v>
      </c>
      <c r="E682" s="907">
        <f>GLOBAL_DER_FEV_2023!E682</f>
        <v>0</v>
      </c>
      <c r="F682" s="908">
        <f>GLOBAL_DER_FEV_2023!F682</f>
        <v>0</v>
      </c>
      <c r="G682" s="912">
        <f>GLOBAL_DER_FEV_2023!G682</f>
        <v>0</v>
      </c>
      <c r="H682" s="901">
        <f>GLOBAL_DER_FEV_2023!H682</f>
        <v>4.91</v>
      </c>
      <c r="I682" s="901">
        <f>GLOBAL_DER_FEV_2023!I682</f>
        <v>4.91</v>
      </c>
      <c r="J682" s="902">
        <f>GLOBAL_DER_FEV_2023!J682</f>
        <v>5.9</v>
      </c>
      <c r="K682" s="903" t="s">
        <v>12</v>
      </c>
      <c r="L682" s="1137"/>
      <c r="M682" s="1138">
        <f t="shared" si="47"/>
        <v>0</v>
      </c>
      <c r="N682" s="893">
        <f t="shared" si="51"/>
        <v>0</v>
      </c>
      <c r="O682" s="905"/>
      <c r="Q682" s="317" t="str">
        <f t="shared" si="48"/>
        <v/>
      </c>
      <c r="R682" s="317" t="str">
        <f t="shared" si="49"/>
        <v/>
      </c>
      <c r="S682" s="317" t="str">
        <f t="shared" si="50"/>
        <v/>
      </c>
      <c r="T682" s="317" t="str">
        <f>GLOBAL_DER_FEV_2023!S682</f>
        <v/>
      </c>
      <c r="W682" s="582">
        <v>0</v>
      </c>
      <c r="X682" s="580"/>
      <c r="Y682" s="583">
        <f>IF(GLOBAL_DER_FEV_2023!W682=0,0,IF(GLOBAL_DER_FEV_2023!W682&gt;0,"c","b"))</f>
        <v>0</v>
      </c>
    </row>
    <row r="683" spans="1:25" ht="13.5" hidden="1" thickBot="1" x14ac:dyDescent="0.25">
      <c r="A683" s="317">
        <v>511100</v>
      </c>
      <c r="B683" s="895" t="s">
        <v>1569</v>
      </c>
      <c r="C683" s="896" t="s">
        <v>184</v>
      </c>
      <c r="D683" s="906" t="s">
        <v>269</v>
      </c>
      <c r="E683" s="907">
        <f>GLOBAL_DER_FEV_2023!E683</f>
        <v>0</v>
      </c>
      <c r="F683" s="908">
        <f>GLOBAL_DER_FEV_2023!F683</f>
        <v>0</v>
      </c>
      <c r="G683" s="912">
        <f>GLOBAL_DER_FEV_2023!G683</f>
        <v>0</v>
      </c>
      <c r="H683" s="901">
        <f>GLOBAL_DER_FEV_2023!H683</f>
        <v>4.25</v>
      </c>
      <c r="I683" s="901">
        <f>GLOBAL_DER_FEV_2023!I683</f>
        <v>4.25</v>
      </c>
      <c r="J683" s="902">
        <f>GLOBAL_DER_FEV_2023!J683</f>
        <v>5.0999999999999996</v>
      </c>
      <c r="K683" s="903" t="s">
        <v>12</v>
      </c>
      <c r="L683" s="1137"/>
      <c r="M683" s="1138">
        <f t="shared" si="47"/>
        <v>0</v>
      </c>
      <c r="N683" s="893">
        <f t="shared" si="51"/>
        <v>0</v>
      </c>
      <c r="O683" s="905"/>
      <c r="Q683" s="317" t="str">
        <f t="shared" si="48"/>
        <v/>
      </c>
      <c r="R683" s="317" t="str">
        <f t="shared" si="49"/>
        <v/>
      </c>
      <c r="S683" s="317" t="str">
        <f t="shared" si="50"/>
        <v/>
      </c>
      <c r="T683" s="317" t="str">
        <f>GLOBAL_DER_FEV_2023!S683</f>
        <v/>
      </c>
      <c r="W683" s="582">
        <v>0</v>
      </c>
      <c r="X683" s="580"/>
      <c r="Y683" s="583">
        <f>IF(GLOBAL_DER_FEV_2023!W683=0,0,IF(GLOBAL_DER_FEV_2023!W683&gt;0,"c","b"))</f>
        <v>0</v>
      </c>
    </row>
    <row r="684" spans="1:25" ht="13.5" hidden="1" thickBot="1" x14ac:dyDescent="0.25">
      <c r="A684" s="317">
        <v>520100</v>
      </c>
      <c r="B684" s="895" t="s">
        <v>1560</v>
      </c>
      <c r="C684" s="896" t="s">
        <v>184</v>
      </c>
      <c r="D684" s="906" t="s">
        <v>270</v>
      </c>
      <c r="E684" s="898">
        <f>GLOBAL_DER_FEV_2023!E684</f>
        <v>1</v>
      </c>
      <c r="F684" s="899">
        <f>GLOBAL_DER_FEV_2023!F684</f>
        <v>2.0999999999999996</v>
      </c>
      <c r="G684" s="949">
        <f>GLOBAL_DER_FEV_2023!G684</f>
        <v>7.8749999999999982</v>
      </c>
      <c r="H684" s="954">
        <f>GLOBAL_DER_FEV_2023!H684</f>
        <v>5.45</v>
      </c>
      <c r="I684" s="901">
        <f>GLOBAL_DER_FEV_2023!I684</f>
        <v>13.324999999999999</v>
      </c>
      <c r="J684" s="902">
        <f>GLOBAL_DER_FEV_2023!J684</f>
        <v>16</v>
      </c>
      <c r="K684" s="903" t="s">
        <v>10</v>
      </c>
      <c r="L684" s="1137"/>
      <c r="M684" s="1138">
        <f t="shared" si="47"/>
        <v>0</v>
      </c>
      <c r="N684" s="893">
        <f t="shared" si="51"/>
        <v>0</v>
      </c>
      <c r="O684" s="905"/>
      <c r="Q684" s="317" t="str">
        <f t="shared" si="48"/>
        <v/>
      </c>
      <c r="R684" s="317" t="str">
        <f t="shared" si="49"/>
        <v/>
      </c>
      <c r="S684" s="317" t="str">
        <f t="shared" si="50"/>
        <v/>
      </c>
      <c r="T684" s="317" t="str">
        <f>GLOBAL_DER_FEV_2023!S684</f>
        <v/>
      </c>
      <c r="W684" s="582">
        <v>0</v>
      </c>
      <c r="X684" s="580"/>
      <c r="Y684" s="583">
        <f>IF(GLOBAL_DER_FEV_2023!W684=0,0,IF(GLOBAL_DER_FEV_2023!W684&gt;0,"c","b"))</f>
        <v>0</v>
      </c>
    </row>
    <row r="685" spans="1:25" ht="13.5" hidden="1" thickBot="1" x14ac:dyDescent="0.25">
      <c r="A685" s="317">
        <v>520100</v>
      </c>
      <c r="B685" s="895" t="s">
        <v>1561</v>
      </c>
      <c r="C685" s="896" t="s">
        <v>184</v>
      </c>
      <c r="D685" s="906" t="s">
        <v>271</v>
      </c>
      <c r="E685" s="898">
        <f>GLOBAL_DER_FEV_2023!E685</f>
        <v>10</v>
      </c>
      <c r="F685" s="899">
        <f>GLOBAL_DER_FEV_2023!F685</f>
        <v>2.0999999999999996</v>
      </c>
      <c r="G685" s="949">
        <f>GLOBAL_DER_FEV_2023!G685</f>
        <v>28.097999999999995</v>
      </c>
      <c r="H685" s="954">
        <f>GLOBAL_DER_FEV_2023!H685</f>
        <v>5.45</v>
      </c>
      <c r="I685" s="901">
        <f>GLOBAL_DER_FEV_2023!I685</f>
        <v>33.547999999999995</v>
      </c>
      <c r="J685" s="902">
        <f>GLOBAL_DER_FEV_2023!J685</f>
        <v>40.28</v>
      </c>
      <c r="K685" s="903" t="s">
        <v>10</v>
      </c>
      <c r="L685" s="1137"/>
      <c r="M685" s="1138">
        <f t="shared" si="47"/>
        <v>0</v>
      </c>
      <c r="N685" s="893">
        <f t="shared" si="51"/>
        <v>0</v>
      </c>
      <c r="O685" s="905"/>
      <c r="Q685" s="317" t="str">
        <f t="shared" si="48"/>
        <v/>
      </c>
      <c r="R685" s="317" t="str">
        <f t="shared" si="49"/>
        <v/>
      </c>
      <c r="S685" s="317" t="str">
        <f t="shared" si="50"/>
        <v/>
      </c>
      <c r="T685" s="317" t="str">
        <f>GLOBAL_DER_FEV_2023!S685</f>
        <v/>
      </c>
      <c r="W685" s="582">
        <v>0</v>
      </c>
      <c r="X685" s="580"/>
      <c r="Y685" s="583">
        <f>IF(GLOBAL_DER_FEV_2023!W685=0,0,IF(GLOBAL_DER_FEV_2023!W685&gt;0,"c","b"))</f>
        <v>0</v>
      </c>
    </row>
    <row r="686" spans="1:25" ht="13.5" hidden="1" thickBot="1" x14ac:dyDescent="0.25">
      <c r="A686" s="317">
        <v>533500</v>
      </c>
      <c r="B686" s="895" t="s">
        <v>1551</v>
      </c>
      <c r="C686" s="896" t="s">
        <v>184</v>
      </c>
      <c r="D686" s="906" t="s">
        <v>449</v>
      </c>
      <c r="E686" s="898">
        <f>GLOBAL_DER_FEV_2023!E686</f>
        <v>0</v>
      </c>
      <c r="F686" s="899">
        <f>GLOBAL_DER_FEV_2023!F686</f>
        <v>1.95</v>
      </c>
      <c r="G686" s="949">
        <f>GLOBAL_DER_FEV_2023!G686</f>
        <v>5.226</v>
      </c>
      <c r="H686" s="901">
        <f>GLOBAL_DER_FEV_2023!H686</f>
        <v>25.79</v>
      </c>
      <c r="I686" s="901">
        <f>GLOBAL_DER_FEV_2023!I686</f>
        <v>31.015999999999998</v>
      </c>
      <c r="J686" s="902">
        <f>GLOBAL_DER_FEV_2023!J686</f>
        <v>37.24</v>
      </c>
      <c r="K686" s="903" t="s">
        <v>10</v>
      </c>
      <c r="L686" s="1137"/>
      <c r="M686" s="1138">
        <f t="shared" si="47"/>
        <v>0</v>
      </c>
      <c r="N686" s="893">
        <f t="shared" si="51"/>
        <v>0</v>
      </c>
      <c r="O686" s="905"/>
      <c r="Q686" s="317" t="str">
        <f t="shared" si="48"/>
        <v/>
      </c>
      <c r="R686" s="317" t="str">
        <f t="shared" si="49"/>
        <v/>
      </c>
      <c r="S686" s="317" t="str">
        <f t="shared" si="50"/>
        <v/>
      </c>
      <c r="T686" s="317" t="str">
        <f>GLOBAL_DER_FEV_2023!S686</f>
        <v/>
      </c>
      <c r="W686" s="582">
        <v>0</v>
      </c>
      <c r="X686" s="580"/>
      <c r="Y686" s="583">
        <f>IF(GLOBAL_DER_FEV_2023!W686=0,0,IF(GLOBAL_DER_FEV_2023!W686&gt;0,"c","b"))</f>
        <v>0</v>
      </c>
    </row>
    <row r="687" spans="1:25" ht="13.5" hidden="1" thickBot="1" x14ac:dyDescent="0.25">
      <c r="A687" s="317">
        <v>533100</v>
      </c>
      <c r="B687" s="895" t="s">
        <v>1554</v>
      </c>
      <c r="C687" s="896" t="s">
        <v>184</v>
      </c>
      <c r="D687" s="906" t="s">
        <v>457</v>
      </c>
      <c r="E687" s="898">
        <f>GLOBAL_DER_FEV_2023!E687</f>
        <v>0</v>
      </c>
      <c r="F687" s="899">
        <f>GLOBAL_DER_FEV_2023!F687</f>
        <v>1.98</v>
      </c>
      <c r="G687" s="949">
        <f>GLOBAL_DER_FEV_2023!G687</f>
        <v>5.3064</v>
      </c>
      <c r="H687" s="901">
        <f>GLOBAL_DER_FEV_2023!H687</f>
        <v>30.58</v>
      </c>
      <c r="I687" s="901">
        <f>GLOBAL_DER_FEV_2023!I687</f>
        <v>35.886399999999995</v>
      </c>
      <c r="J687" s="902">
        <f>GLOBAL_DER_FEV_2023!J687</f>
        <v>43.09</v>
      </c>
      <c r="K687" s="903" t="s">
        <v>10</v>
      </c>
      <c r="L687" s="1137"/>
      <c r="M687" s="1138">
        <f t="shared" si="47"/>
        <v>0</v>
      </c>
      <c r="N687" s="893">
        <f t="shared" si="51"/>
        <v>0</v>
      </c>
      <c r="O687" s="905"/>
      <c r="Q687" s="317" t="str">
        <f t="shared" si="48"/>
        <v/>
      </c>
      <c r="R687" s="317" t="str">
        <f t="shared" si="49"/>
        <v/>
      </c>
      <c r="S687" s="317" t="str">
        <f t="shared" si="50"/>
        <v/>
      </c>
      <c r="T687" s="317" t="str">
        <f>GLOBAL_DER_FEV_2023!S687</f>
        <v/>
      </c>
      <c r="W687" s="582">
        <v>0</v>
      </c>
      <c r="X687" s="580"/>
      <c r="Y687" s="583">
        <f>IF(GLOBAL_DER_FEV_2023!W687=0,0,IF(GLOBAL_DER_FEV_2023!W687&gt;0,"c","b"))</f>
        <v>0</v>
      </c>
    </row>
    <row r="688" spans="1:25" ht="13.5" hidden="1" thickBot="1" x14ac:dyDescent="0.25">
      <c r="A688" s="317">
        <v>533100</v>
      </c>
      <c r="B688" s="895" t="s">
        <v>1555</v>
      </c>
      <c r="C688" s="896" t="s">
        <v>184</v>
      </c>
      <c r="D688" s="906" t="s">
        <v>272</v>
      </c>
      <c r="E688" s="898">
        <f>GLOBAL_DER_FEV_2023!E688</f>
        <v>10</v>
      </c>
      <c r="F688" s="899">
        <f>GLOBAL_DER_FEV_2023!F688</f>
        <v>2.1</v>
      </c>
      <c r="G688" s="949">
        <f>GLOBAL_DER_FEV_2023!G688</f>
        <v>28.098000000000003</v>
      </c>
      <c r="H688" s="901">
        <f>GLOBAL_DER_FEV_2023!H688</f>
        <v>30.58</v>
      </c>
      <c r="I688" s="901">
        <f>GLOBAL_DER_FEV_2023!I688</f>
        <v>58.677999999999997</v>
      </c>
      <c r="J688" s="902">
        <f>GLOBAL_DER_FEV_2023!J688</f>
        <v>70.45</v>
      </c>
      <c r="K688" s="903" t="s">
        <v>10</v>
      </c>
      <c r="L688" s="1137"/>
      <c r="M688" s="1138">
        <f t="shared" si="47"/>
        <v>0</v>
      </c>
      <c r="N688" s="893">
        <f t="shared" si="51"/>
        <v>0</v>
      </c>
      <c r="O688" s="905"/>
      <c r="Q688" s="317" t="str">
        <f t="shared" si="48"/>
        <v/>
      </c>
      <c r="R688" s="317" t="str">
        <f t="shared" si="49"/>
        <v/>
      </c>
      <c r="S688" s="317" t="str">
        <f t="shared" si="50"/>
        <v/>
      </c>
      <c r="T688" s="317" t="str">
        <f>GLOBAL_DER_FEV_2023!S688</f>
        <v/>
      </c>
      <c r="W688" s="582">
        <v>0</v>
      </c>
      <c r="X688" s="580"/>
      <c r="Y688" s="583">
        <f>IF(GLOBAL_DER_FEV_2023!W688=0,0,IF(GLOBAL_DER_FEV_2023!W688&gt;0,"c","b"))</f>
        <v>0</v>
      </c>
    </row>
    <row r="689" spans="1:25" ht="13.5" hidden="1" thickBot="1" x14ac:dyDescent="0.25">
      <c r="A689" s="317">
        <v>530200</v>
      </c>
      <c r="B689" s="895" t="s">
        <v>1747</v>
      </c>
      <c r="C689" s="896" t="s">
        <v>184</v>
      </c>
      <c r="D689" s="906" t="s">
        <v>217</v>
      </c>
      <c r="E689" s="898">
        <f>GLOBAL_DER_FEV_2023!E689</f>
        <v>0.2</v>
      </c>
      <c r="F689" s="899">
        <f>GLOBAL_DER_FEV_2023!F689</f>
        <v>2.2000000000000002</v>
      </c>
      <c r="G689" s="949">
        <f>GLOBAL_DER_FEV_2023!G689</f>
        <v>6.3668000000000005</v>
      </c>
      <c r="H689" s="901">
        <f>GLOBAL_DER_FEV_2023!H689</f>
        <v>98.29</v>
      </c>
      <c r="I689" s="901">
        <f>GLOBAL_DER_FEV_2023!I689</f>
        <v>104.6568</v>
      </c>
      <c r="J689" s="902">
        <f>GLOBAL_DER_FEV_2023!J689</f>
        <v>125.66</v>
      </c>
      <c r="K689" s="903" t="s">
        <v>10</v>
      </c>
      <c r="L689" s="1137"/>
      <c r="M689" s="1138">
        <f t="shared" si="47"/>
        <v>0</v>
      </c>
      <c r="N689" s="893">
        <f t="shared" si="51"/>
        <v>0</v>
      </c>
      <c r="O689" s="905"/>
      <c r="Q689" s="317" t="str">
        <f t="shared" si="48"/>
        <v/>
      </c>
      <c r="R689" s="317" t="str">
        <f t="shared" si="49"/>
        <v/>
      </c>
      <c r="S689" s="317" t="str">
        <f t="shared" si="50"/>
        <v/>
      </c>
      <c r="T689" s="317" t="str">
        <f>GLOBAL_DER_FEV_2023!S689</f>
        <v/>
      </c>
      <c r="W689" s="582">
        <v>0</v>
      </c>
      <c r="X689" s="580"/>
      <c r="Y689" s="583">
        <f>IF(GLOBAL_DER_FEV_2023!W689=0,0,IF(GLOBAL_DER_FEV_2023!W689&gt;0,"c","b"))</f>
        <v>0</v>
      </c>
    </row>
    <row r="690" spans="1:25" ht="13.5" hidden="1" thickBot="1" x14ac:dyDescent="0.25">
      <c r="A690" s="317" t="s">
        <v>830</v>
      </c>
      <c r="B690" s="895" t="str">
        <f>GLOBAL_DER_FEV_2023!B690</f>
        <v>PAV-003B</v>
      </c>
      <c r="C690" s="896" t="str">
        <f>GLOBAL_DER_FEV_2023!C690</f>
        <v>PM Curitiba-abr/22</v>
      </c>
      <c r="D690" s="906" t="str">
        <f>GLOBAL_DER_FEV_2023!D690</f>
        <v>Saibro Compactado CBR&gt;=20 (Base ou Sub-Base)</v>
      </c>
      <c r="E690" s="898">
        <f>GLOBAL_DER_FEV_2023!E690</f>
        <v>0</v>
      </c>
      <c r="F690" s="899">
        <f>GLOBAL_DER_FEV_2023!F690</f>
        <v>1.95</v>
      </c>
      <c r="G690" s="949">
        <f>GLOBAL_DER_FEV_2023!G690</f>
        <v>5.226</v>
      </c>
      <c r="H690" s="901">
        <f>GLOBAL_DER_FEV_2023!H690</f>
        <v>81.2</v>
      </c>
      <c r="I690" s="901">
        <f>GLOBAL_DER_FEV_2023!I690</f>
        <v>86.426000000000002</v>
      </c>
      <c r="J690" s="902">
        <f>GLOBAL_DER_FEV_2023!J690</f>
        <v>103.77</v>
      </c>
      <c r="K690" s="903" t="s">
        <v>10</v>
      </c>
      <c r="L690" s="1137"/>
      <c r="M690" s="1138">
        <f t="shared" si="47"/>
        <v>0</v>
      </c>
      <c r="N690" s="893">
        <f t="shared" si="51"/>
        <v>0</v>
      </c>
      <c r="O690" s="905"/>
      <c r="Q690" s="317" t="str">
        <f t="shared" si="48"/>
        <v/>
      </c>
      <c r="R690" s="317" t="str">
        <f t="shared" si="49"/>
        <v/>
      </c>
      <c r="S690" s="317" t="str">
        <f t="shared" si="50"/>
        <v/>
      </c>
      <c r="T690" s="317" t="str">
        <f>GLOBAL_DER_FEV_2023!S690</f>
        <v/>
      </c>
      <c r="W690" s="582">
        <v>0</v>
      </c>
      <c r="X690" s="580"/>
      <c r="Y690" s="583">
        <f>IF(GLOBAL_DER_FEV_2023!W690=0,0,IF(GLOBAL_DER_FEV_2023!W690&gt;0,"c","b"))</f>
        <v>0</v>
      </c>
    </row>
    <row r="691" spans="1:25" ht="13.5" hidden="1" thickBot="1" x14ac:dyDescent="0.25">
      <c r="A691" s="317" t="s">
        <v>831</v>
      </c>
      <c r="B691" s="895" t="str">
        <f>GLOBAL_DER_FEV_2023!B691</f>
        <v>PAV-005B</v>
      </c>
      <c r="C691" s="896" t="str">
        <f>GLOBAL_DER_FEV_2023!C691</f>
        <v>PM Curitiba-abr/22</v>
      </c>
      <c r="D691" s="906" t="str">
        <f>GLOBAL_DER_FEV_2023!D691</f>
        <v>Moledo Compactado CBR&gt;=20(Base ou Sub-Base)</v>
      </c>
      <c r="E691" s="898">
        <f>GLOBAL_DER_FEV_2023!E691</f>
        <v>0</v>
      </c>
      <c r="F691" s="899">
        <f>GLOBAL_DER_FEV_2023!F691</f>
        <v>2.1</v>
      </c>
      <c r="G691" s="949">
        <f>GLOBAL_DER_FEV_2023!G691</f>
        <v>5.628000000000001</v>
      </c>
      <c r="H691" s="901">
        <f>GLOBAL_DER_FEV_2023!H691</f>
        <v>44.92</v>
      </c>
      <c r="I691" s="901">
        <f>GLOBAL_DER_FEV_2023!I691</f>
        <v>50.548000000000002</v>
      </c>
      <c r="J691" s="902">
        <f>GLOBAL_DER_FEV_2023!J691</f>
        <v>60.69</v>
      </c>
      <c r="K691" s="903" t="s">
        <v>10</v>
      </c>
      <c r="L691" s="1137"/>
      <c r="M691" s="1138">
        <f t="shared" si="47"/>
        <v>0</v>
      </c>
      <c r="N691" s="893">
        <f t="shared" si="51"/>
        <v>0</v>
      </c>
      <c r="O691" s="905"/>
      <c r="Q691" s="317" t="str">
        <f t="shared" si="48"/>
        <v/>
      </c>
      <c r="R691" s="317" t="str">
        <f t="shared" si="49"/>
        <v/>
      </c>
      <c r="S691" s="317" t="str">
        <f t="shared" si="50"/>
        <v/>
      </c>
      <c r="T691" s="317" t="str">
        <f>GLOBAL_DER_FEV_2023!S691</f>
        <v/>
      </c>
      <c r="W691" s="582">
        <v>0</v>
      </c>
      <c r="X691" s="580"/>
      <c r="Y691" s="583">
        <f>IF(GLOBAL_DER_FEV_2023!W691=0,0,IF(GLOBAL_DER_FEV_2023!W691&gt;0,"c","b"))</f>
        <v>0</v>
      </c>
    </row>
    <row r="692" spans="1:25" ht="13.5" hidden="1" thickBot="1" x14ac:dyDescent="0.25">
      <c r="A692" s="317">
        <v>530200</v>
      </c>
      <c r="B692" s="895" t="s">
        <v>1748</v>
      </c>
      <c r="C692" s="896" t="s">
        <v>184</v>
      </c>
      <c r="D692" s="906" t="s">
        <v>458</v>
      </c>
      <c r="E692" s="898">
        <f>GLOBAL_DER_FEV_2023!E692</f>
        <v>0.2</v>
      </c>
      <c r="F692" s="899">
        <f>GLOBAL_DER_FEV_2023!F692</f>
        <v>2.2000000000000002</v>
      </c>
      <c r="G692" s="949">
        <f>GLOBAL_DER_FEV_2023!G692</f>
        <v>6.3668000000000005</v>
      </c>
      <c r="H692" s="901">
        <f>GLOBAL_DER_FEV_2023!H692</f>
        <v>98.29</v>
      </c>
      <c r="I692" s="901">
        <f>GLOBAL_DER_FEV_2023!I692</f>
        <v>104.6568</v>
      </c>
      <c r="J692" s="902">
        <f>GLOBAL_DER_FEV_2023!J692</f>
        <v>125.66</v>
      </c>
      <c r="K692" s="903" t="s">
        <v>10</v>
      </c>
      <c r="L692" s="1137"/>
      <c r="M692" s="1138">
        <f t="shared" si="47"/>
        <v>0</v>
      </c>
      <c r="N692" s="893">
        <f t="shared" si="51"/>
        <v>0</v>
      </c>
      <c r="O692" s="905"/>
      <c r="Q692" s="317" t="str">
        <f t="shared" si="48"/>
        <v/>
      </c>
      <c r="R692" s="317" t="str">
        <f t="shared" si="49"/>
        <v/>
      </c>
      <c r="S692" s="317" t="str">
        <f t="shared" si="50"/>
        <v/>
      </c>
      <c r="T692" s="317" t="str">
        <f>GLOBAL_DER_FEV_2023!S692</f>
        <v/>
      </c>
      <c r="W692" s="582">
        <v>0</v>
      </c>
      <c r="X692" s="580"/>
      <c r="Y692" s="583">
        <f>IF(GLOBAL_DER_FEV_2023!W692=0,0,IF(GLOBAL_DER_FEV_2023!W692&gt;0,"c","b"))</f>
        <v>0</v>
      </c>
    </row>
    <row r="693" spans="1:25" ht="13.5" hidden="1" thickBot="1" x14ac:dyDescent="0.25">
      <c r="A693" s="317">
        <v>531000</v>
      </c>
      <c r="B693" s="895" t="s">
        <v>1787</v>
      </c>
      <c r="C693" s="896" t="s">
        <v>184</v>
      </c>
      <c r="D693" s="906" t="s">
        <v>273</v>
      </c>
      <c r="E693" s="907">
        <f>GLOBAL_DER_FEV_2023!E693</f>
        <v>0.2</v>
      </c>
      <c r="F693" s="908">
        <f>GLOBAL_DER_FEV_2023!F693</f>
        <v>2.4</v>
      </c>
      <c r="G693" s="912">
        <f>GLOBAL_DER_FEV_2023!G693</f>
        <v>6.9455999999999998</v>
      </c>
      <c r="H693" s="901">
        <f>GLOBAL_DER_FEV_2023!H693</f>
        <v>132.22999999999999</v>
      </c>
      <c r="I693" s="901">
        <f>GLOBAL_DER_FEV_2023!I693</f>
        <v>139.1756</v>
      </c>
      <c r="J693" s="902">
        <f>GLOBAL_DER_FEV_2023!J693</f>
        <v>167.11</v>
      </c>
      <c r="K693" s="903" t="s">
        <v>10</v>
      </c>
      <c r="L693" s="1137"/>
      <c r="M693" s="1138">
        <f t="shared" si="47"/>
        <v>0</v>
      </c>
      <c r="N693" s="893">
        <f t="shared" si="51"/>
        <v>0</v>
      </c>
      <c r="O693" s="905"/>
      <c r="Q693" s="317" t="str">
        <f t="shared" si="48"/>
        <v/>
      </c>
      <c r="R693" s="317" t="str">
        <f t="shared" si="49"/>
        <v/>
      </c>
      <c r="S693" s="317" t="str">
        <f t="shared" si="50"/>
        <v/>
      </c>
      <c r="T693" s="317" t="str">
        <f>GLOBAL_DER_FEV_2023!S693</f>
        <v/>
      </c>
      <c r="W693" s="582">
        <v>0</v>
      </c>
      <c r="X693" s="580"/>
      <c r="Y693" s="583">
        <f>IF(GLOBAL_DER_FEV_2023!W693=0,0,IF(GLOBAL_DER_FEV_2023!W693&gt;0,"c","b"))</f>
        <v>0</v>
      </c>
    </row>
    <row r="694" spans="1:25" ht="13.5" hidden="1" thickBot="1" x14ac:dyDescent="0.25">
      <c r="A694" s="317">
        <v>560100</v>
      </c>
      <c r="B694" s="971" t="s">
        <v>701</v>
      </c>
      <c r="C694" s="972" t="s">
        <v>184</v>
      </c>
      <c r="D694" s="973" t="s">
        <v>1521</v>
      </c>
      <c r="E694" s="974" t="str">
        <f>GLOBAL_DER_FEV_2023!E694</f>
        <v>taxa RR-1C</v>
      </c>
      <c r="F694" s="975">
        <f>GLOBAL_DER_FEV_2023!F694</f>
        <v>1.1999999999999999E-3</v>
      </c>
      <c r="G694" s="976">
        <f>GLOBAL_DER_FEV_2023!G694</f>
        <v>0</v>
      </c>
      <c r="H694" s="977">
        <f>GLOBAL_DER_FEV_2023!H694</f>
        <v>0.49</v>
      </c>
      <c r="I694" s="977">
        <f>GLOBAL_DER_FEV_2023!I694</f>
        <v>0.49</v>
      </c>
      <c r="J694" s="978">
        <f>GLOBAL_DER_FEV_2023!J694</f>
        <v>0.59</v>
      </c>
      <c r="K694" s="979" t="s">
        <v>12</v>
      </c>
      <c r="L694" s="1152"/>
      <c r="M694" s="1153">
        <f t="shared" si="47"/>
        <v>0</v>
      </c>
      <c r="N694" s="982">
        <f t="shared" si="51"/>
        <v>0</v>
      </c>
      <c r="O694" s="905"/>
      <c r="Q694" s="317" t="str">
        <f t="shared" si="48"/>
        <v/>
      </c>
      <c r="R694" s="317" t="str">
        <f t="shared" si="49"/>
        <v/>
      </c>
      <c r="S694" s="317" t="str">
        <f t="shared" si="50"/>
        <v/>
      </c>
      <c r="T694" s="317" t="str">
        <f>GLOBAL_DER_FEV_2023!S694</f>
        <v/>
      </c>
      <c r="W694" s="582">
        <v>0</v>
      </c>
      <c r="X694" s="580"/>
      <c r="Y694" s="583">
        <f>IF(GLOBAL_DER_FEV_2023!W694=0,0,IF(GLOBAL_DER_FEV_2023!W694&gt;0,"c","b"))</f>
        <v>0</v>
      </c>
    </row>
    <row r="695" spans="1:25" ht="13.5" hidden="1" thickBot="1" x14ac:dyDescent="0.25">
      <c r="A695" s="317">
        <v>589420</v>
      </c>
      <c r="B695" s="983" t="s">
        <v>707</v>
      </c>
      <c r="C695" s="1033" t="s">
        <v>213</v>
      </c>
      <c r="D695" s="985" t="s">
        <v>553</v>
      </c>
      <c r="E695" s="986">
        <f>GLOBAL_DER_FEV_2023!E695</f>
        <v>353</v>
      </c>
      <c r="F695" s="987">
        <f>GLOBAL_DER_FEV_2023!F695</f>
        <v>1</v>
      </c>
      <c r="G695" s="949">
        <f>GLOBAL_DER_FEV_2023!G695</f>
        <v>337.96999999999997</v>
      </c>
      <c r="H695" s="988">
        <f>GLOBAL_DER_FEV_2023!H695</f>
        <v>3861.37</v>
      </c>
      <c r="I695" s="988">
        <f>GLOBAL_DER_FEV_2023!I695</f>
        <v>4045.2968393437163</v>
      </c>
      <c r="J695" s="989">
        <f>GLOBAL_DER_FEV_2023!J695</f>
        <v>4857.1899999999996</v>
      </c>
      <c r="K695" s="990" t="s">
        <v>14</v>
      </c>
      <c r="L695" s="1154">
        <f>ROUND(L694*$F694,2)</f>
        <v>0</v>
      </c>
      <c r="M695" s="1155">
        <f t="shared" si="47"/>
        <v>0</v>
      </c>
      <c r="N695" s="993">
        <f t="shared" si="51"/>
        <v>0</v>
      </c>
      <c r="O695" s="905"/>
      <c r="Q695" s="317" t="str">
        <f t="shared" si="48"/>
        <v/>
      </c>
      <c r="R695" s="317" t="str">
        <f t="shared" si="49"/>
        <v/>
      </c>
      <c r="S695" s="317" t="str">
        <f t="shared" si="50"/>
        <v/>
      </c>
      <c r="T695" s="317" t="str">
        <f>GLOBAL_DER_FEV_2023!S695</f>
        <v/>
      </c>
      <c r="W695" s="582">
        <v>0</v>
      </c>
      <c r="X695" s="580"/>
      <c r="Y695" s="583">
        <f>IF(GLOBAL_DER_FEV_2023!W695=0,0,IF(GLOBAL_DER_FEV_2023!W695&gt;0,"c","b"))</f>
        <v>0</v>
      </c>
    </row>
    <row r="696" spans="1:25" ht="13.5" hidden="1" thickBot="1" x14ac:dyDescent="0.25">
      <c r="A696" s="317">
        <v>560100</v>
      </c>
      <c r="B696" s="971" t="s">
        <v>1604</v>
      </c>
      <c r="C696" s="972" t="s">
        <v>184</v>
      </c>
      <c r="D696" s="973" t="s">
        <v>540</v>
      </c>
      <c r="E696" s="974" t="str">
        <f>GLOBAL_DER_FEV_2023!E696</f>
        <v>taxa RR-1C</v>
      </c>
      <c r="F696" s="975">
        <f>GLOBAL_DER_FEV_2023!F696</f>
        <v>1.1000000000000001E-3</v>
      </c>
      <c r="G696" s="976">
        <f>GLOBAL_DER_FEV_2023!G696</f>
        <v>0</v>
      </c>
      <c r="H696" s="977">
        <f>GLOBAL_DER_FEV_2023!H696</f>
        <v>0.49</v>
      </c>
      <c r="I696" s="977">
        <f>GLOBAL_DER_FEV_2023!I696</f>
        <v>0.49</v>
      </c>
      <c r="J696" s="978">
        <f>GLOBAL_DER_FEV_2023!J696</f>
        <v>0.59</v>
      </c>
      <c r="K696" s="979" t="s">
        <v>12</v>
      </c>
      <c r="L696" s="1152"/>
      <c r="M696" s="1153">
        <f t="shared" si="47"/>
        <v>0</v>
      </c>
      <c r="N696" s="982">
        <f t="shared" si="51"/>
        <v>0</v>
      </c>
      <c r="O696" s="905"/>
      <c r="Q696" s="317" t="str">
        <f t="shared" si="48"/>
        <v/>
      </c>
      <c r="R696" s="317" t="str">
        <f t="shared" si="49"/>
        <v/>
      </c>
      <c r="S696" s="317" t="str">
        <f t="shared" si="50"/>
        <v/>
      </c>
      <c r="T696" s="317" t="str">
        <f>GLOBAL_DER_FEV_2023!S696</f>
        <v/>
      </c>
      <c r="W696" s="582">
        <v>0</v>
      </c>
      <c r="X696" s="580"/>
      <c r="Y696" s="583">
        <f>IF(GLOBAL_DER_FEV_2023!W696=0,0,IF(GLOBAL_DER_FEV_2023!W696&gt;0,"c","b"))</f>
        <v>0</v>
      </c>
    </row>
    <row r="697" spans="1:25" ht="13.5" hidden="1" thickBot="1" x14ac:dyDescent="0.25">
      <c r="A697" s="317">
        <v>589190</v>
      </c>
      <c r="B697" s="983" t="s">
        <v>1698</v>
      </c>
      <c r="C697" s="1033" t="s">
        <v>213</v>
      </c>
      <c r="D697" s="985" t="s">
        <v>554</v>
      </c>
      <c r="E697" s="986">
        <f>GLOBAL_DER_FEV_2023!E697</f>
        <v>45</v>
      </c>
      <c r="F697" s="987">
        <f>GLOBAL_DER_FEV_2023!F697</f>
        <v>1</v>
      </c>
      <c r="G697" s="949">
        <f>GLOBAL_DER_FEV_2023!G697</f>
        <v>79.25</v>
      </c>
      <c r="H697" s="988">
        <f>GLOBAL_DER_FEV_2023!H697</f>
        <v>4730.97</v>
      </c>
      <c r="I697" s="988">
        <f>GLOBAL_DER_FEV_2023!I697</f>
        <v>4621.4855426001504</v>
      </c>
      <c r="J697" s="989">
        <f>GLOBAL_DER_FEV_2023!J697</f>
        <v>5549.02</v>
      </c>
      <c r="K697" s="990" t="s">
        <v>14</v>
      </c>
      <c r="L697" s="1154">
        <f>ROUND(L696*$F696,2)</f>
        <v>0</v>
      </c>
      <c r="M697" s="1155">
        <f t="shared" si="47"/>
        <v>0</v>
      </c>
      <c r="N697" s="993">
        <f t="shared" si="51"/>
        <v>0</v>
      </c>
      <c r="O697" s="905"/>
      <c r="Q697" s="317" t="str">
        <f t="shared" si="48"/>
        <v/>
      </c>
      <c r="R697" s="317" t="str">
        <f t="shared" si="49"/>
        <v/>
      </c>
      <c r="S697" s="317" t="str">
        <f t="shared" si="50"/>
        <v/>
      </c>
      <c r="T697" s="317" t="str">
        <f>GLOBAL_DER_FEV_2023!S697</f>
        <v/>
      </c>
      <c r="W697" s="582">
        <v>0</v>
      </c>
      <c r="X697" s="580"/>
      <c r="Y697" s="583">
        <f>IF(GLOBAL_DER_FEV_2023!W697=0,0,IF(GLOBAL_DER_FEV_2023!W697&gt;0,"c","b"))</f>
        <v>0</v>
      </c>
    </row>
    <row r="698" spans="1:25" ht="13.5" hidden="1" thickBot="1" x14ac:dyDescent="0.25">
      <c r="A698" s="317">
        <v>560400</v>
      </c>
      <c r="B698" s="971" t="s">
        <v>1749</v>
      </c>
      <c r="C698" s="972" t="s">
        <v>184</v>
      </c>
      <c r="D698" s="973" t="s">
        <v>541</v>
      </c>
      <c r="E698" s="974" t="str">
        <f>GLOBAL_DER_FEV_2023!E698</f>
        <v>taxa RR-1C</v>
      </c>
      <c r="F698" s="975">
        <f>GLOBAL_DER_FEV_2023!F698</f>
        <v>1.1999999999999999E-3</v>
      </c>
      <c r="G698" s="976">
        <f>GLOBAL_DER_FEV_2023!G698</f>
        <v>0</v>
      </c>
      <c r="H698" s="977">
        <f>GLOBAL_DER_FEV_2023!H698</f>
        <v>0.49</v>
      </c>
      <c r="I698" s="977">
        <f>GLOBAL_DER_FEV_2023!I698</f>
        <v>0.49</v>
      </c>
      <c r="J698" s="978">
        <f>GLOBAL_DER_FEV_2023!J698</f>
        <v>0.59</v>
      </c>
      <c r="K698" s="979" t="s">
        <v>12</v>
      </c>
      <c r="L698" s="1152"/>
      <c r="M698" s="1153">
        <f t="shared" si="47"/>
        <v>0</v>
      </c>
      <c r="N698" s="982">
        <f t="shared" si="51"/>
        <v>0</v>
      </c>
      <c r="O698" s="905"/>
      <c r="Q698" s="317" t="str">
        <f t="shared" si="48"/>
        <v/>
      </c>
      <c r="R698" s="317" t="str">
        <f t="shared" si="49"/>
        <v/>
      </c>
      <c r="S698" s="317" t="str">
        <f t="shared" si="50"/>
        <v/>
      </c>
      <c r="T698" s="317" t="str">
        <f>GLOBAL_DER_FEV_2023!S698</f>
        <v/>
      </c>
      <c r="W698" s="582">
        <v>0</v>
      </c>
      <c r="X698" s="580"/>
      <c r="Y698" s="583">
        <f>IF(GLOBAL_DER_FEV_2023!W698=0,0,IF(GLOBAL_DER_FEV_2023!W698&gt;0,"c","b"))</f>
        <v>0</v>
      </c>
    </row>
    <row r="699" spans="1:25" ht="13.5" hidden="1" thickBot="1" x14ac:dyDescent="0.25">
      <c r="A699" s="317">
        <v>589100</v>
      </c>
      <c r="B699" s="983" t="s">
        <v>1750</v>
      </c>
      <c r="C699" s="1033" t="s">
        <v>213</v>
      </c>
      <c r="D699" s="985" t="s">
        <v>555</v>
      </c>
      <c r="E699" s="986">
        <f>GLOBAL_DER_FEV_2023!E699</f>
        <v>45</v>
      </c>
      <c r="F699" s="987">
        <f>GLOBAL_DER_FEV_2023!F699</f>
        <v>1</v>
      </c>
      <c r="G699" s="949">
        <f>GLOBAL_DER_FEV_2023!G699</f>
        <v>79.25</v>
      </c>
      <c r="H699" s="988">
        <f>GLOBAL_DER_FEV_2023!H699</f>
        <v>5937.37</v>
      </c>
      <c r="I699" s="988">
        <f>GLOBAL_DER_FEV_2023!I699</f>
        <v>5779.7581502456906</v>
      </c>
      <c r="J699" s="989">
        <f>GLOBAL_DER_FEV_2023!J699</f>
        <v>6939.76</v>
      </c>
      <c r="K699" s="990" t="s">
        <v>14</v>
      </c>
      <c r="L699" s="1154">
        <f>ROUND(L698*$F698,2)</f>
        <v>0</v>
      </c>
      <c r="M699" s="1155">
        <f t="shared" si="47"/>
        <v>0</v>
      </c>
      <c r="N699" s="993">
        <f t="shared" si="51"/>
        <v>0</v>
      </c>
      <c r="O699" s="905"/>
      <c r="Q699" s="317" t="str">
        <f t="shared" si="48"/>
        <v/>
      </c>
      <c r="R699" s="317" t="str">
        <f t="shared" si="49"/>
        <v/>
      </c>
      <c r="S699" s="317" t="str">
        <f t="shared" si="50"/>
        <v/>
      </c>
      <c r="T699" s="317" t="str">
        <f>GLOBAL_DER_FEV_2023!S699</f>
        <v/>
      </c>
      <c r="W699" s="582">
        <v>0</v>
      </c>
      <c r="X699" s="580"/>
      <c r="Y699" s="583">
        <f>IF(GLOBAL_DER_FEV_2023!W699=0,0,IF(GLOBAL_DER_FEV_2023!W699&gt;0,"c","b"))</f>
        <v>0</v>
      </c>
    </row>
    <row r="700" spans="1:25" ht="13.5" hidden="1" thickBot="1" x14ac:dyDescent="0.25">
      <c r="A700" s="317">
        <v>561100</v>
      </c>
      <c r="B700" s="971" t="s">
        <v>1751</v>
      </c>
      <c r="C700" s="972" t="s">
        <v>184</v>
      </c>
      <c r="D700" s="973" t="s">
        <v>542</v>
      </c>
      <c r="E700" s="974" t="str">
        <f>GLOBAL_DER_FEV_2023!E700</f>
        <v>taxa RR-1C</v>
      </c>
      <c r="F700" s="975">
        <f>GLOBAL_DER_FEV_2023!F700</f>
        <v>5.0000000000000001E-4</v>
      </c>
      <c r="G700" s="976">
        <f>GLOBAL_DER_FEV_2023!G700</f>
        <v>0</v>
      </c>
      <c r="H700" s="977">
        <f>GLOBAL_DER_FEV_2023!H700</f>
        <v>0.34</v>
      </c>
      <c r="I700" s="977">
        <f>GLOBAL_DER_FEV_2023!I700</f>
        <v>0.34</v>
      </c>
      <c r="J700" s="978">
        <f>GLOBAL_DER_FEV_2023!J700</f>
        <v>0.41</v>
      </c>
      <c r="K700" s="979" t="s">
        <v>12</v>
      </c>
      <c r="L700" s="1152"/>
      <c r="M700" s="1153">
        <f t="shared" si="47"/>
        <v>0</v>
      </c>
      <c r="N700" s="982">
        <f t="shared" si="51"/>
        <v>0</v>
      </c>
      <c r="O700" s="905"/>
      <c r="Q700" s="317" t="str">
        <f t="shared" si="48"/>
        <v/>
      </c>
      <c r="R700" s="317" t="str">
        <f t="shared" si="49"/>
        <v/>
      </c>
      <c r="S700" s="317" t="str">
        <f t="shared" si="50"/>
        <v/>
      </c>
      <c r="T700" s="317" t="str">
        <f>GLOBAL_DER_FEV_2023!S700</f>
        <v/>
      </c>
      <c r="W700" s="582">
        <v>0</v>
      </c>
      <c r="X700" s="580"/>
      <c r="Y700" s="583">
        <f>IF(GLOBAL_DER_FEV_2023!W700=0,0,IF(GLOBAL_DER_FEV_2023!W700&gt;0,"c","b"))</f>
        <v>0</v>
      </c>
    </row>
    <row r="701" spans="1:25" ht="13.5" hidden="1" thickBot="1" x14ac:dyDescent="0.25">
      <c r="A701" s="317">
        <v>589420</v>
      </c>
      <c r="B701" s="983" t="s">
        <v>1606</v>
      </c>
      <c r="C701" s="1033" t="s">
        <v>213</v>
      </c>
      <c r="D701" s="985" t="s">
        <v>704</v>
      </c>
      <c r="E701" s="986">
        <f>GLOBAL_DER_FEV_2023!E701</f>
        <v>353</v>
      </c>
      <c r="F701" s="994">
        <f>GLOBAL_DER_FEV_2023!F701</f>
        <v>1</v>
      </c>
      <c r="G701" s="949">
        <f>GLOBAL_DER_FEV_2023!G701</f>
        <v>337.96999999999997</v>
      </c>
      <c r="H701" s="988">
        <f>GLOBAL_DER_FEV_2023!H701</f>
        <v>3861.37</v>
      </c>
      <c r="I701" s="988">
        <f>GLOBAL_DER_FEV_2023!I701</f>
        <v>4045.2968393437163</v>
      </c>
      <c r="J701" s="989">
        <f>GLOBAL_DER_FEV_2023!J701</f>
        <v>4857.1899999999996</v>
      </c>
      <c r="K701" s="990" t="s">
        <v>14</v>
      </c>
      <c r="L701" s="1154">
        <f>ROUND(L700*$F700,2)</f>
        <v>0</v>
      </c>
      <c r="M701" s="1155">
        <f t="shared" si="47"/>
        <v>0</v>
      </c>
      <c r="N701" s="993">
        <f t="shared" si="51"/>
        <v>0</v>
      </c>
      <c r="O701" s="905"/>
      <c r="Q701" s="317" t="str">
        <f t="shared" si="48"/>
        <v/>
      </c>
      <c r="R701" s="317" t="str">
        <f t="shared" si="49"/>
        <v/>
      </c>
      <c r="S701" s="317" t="str">
        <f t="shared" si="50"/>
        <v/>
      </c>
      <c r="T701" s="317" t="str">
        <f>GLOBAL_DER_FEV_2023!S701</f>
        <v/>
      </c>
      <c r="W701" s="582">
        <v>0</v>
      </c>
      <c r="X701" s="580"/>
      <c r="Y701" s="583">
        <f>IF(GLOBAL_DER_FEV_2023!W701=0,0,IF(GLOBAL_DER_FEV_2023!W701&gt;0,"c","b"))</f>
        <v>0</v>
      </c>
    </row>
    <row r="702" spans="1:25" ht="13.5" hidden="1" thickBot="1" x14ac:dyDescent="0.25">
      <c r="A702" s="317">
        <v>563100</v>
      </c>
      <c r="B702" s="999" t="s">
        <v>1754</v>
      </c>
      <c r="C702" s="1000" t="s">
        <v>184</v>
      </c>
      <c r="D702" s="973" t="s">
        <v>242</v>
      </c>
      <c r="E702" s="974" t="str">
        <f>GLOBAL_DER_FEV_2023!E702</f>
        <v>taxa RR-2C</v>
      </c>
      <c r="F702" s="975">
        <f>GLOBAL_DER_FEV_2023!F702</f>
        <v>5.0000000000000001E-4</v>
      </c>
      <c r="G702" s="976">
        <f>GLOBAL_DER_FEV_2023!G702</f>
        <v>1.6478E-2</v>
      </c>
      <c r="H702" s="977">
        <f>GLOBAL_DER_FEV_2023!H702</f>
        <v>1.27</v>
      </c>
      <c r="I702" s="977">
        <f>GLOBAL_DER_FEV_2023!I702</f>
        <v>1.286478</v>
      </c>
      <c r="J702" s="978">
        <f>GLOBAL_DER_FEV_2023!J702</f>
        <v>1.54</v>
      </c>
      <c r="K702" s="979" t="s">
        <v>12</v>
      </c>
      <c r="L702" s="1152"/>
      <c r="M702" s="1153">
        <f t="shared" si="47"/>
        <v>0</v>
      </c>
      <c r="N702" s="982">
        <f t="shared" si="51"/>
        <v>0</v>
      </c>
      <c r="O702" s="905"/>
      <c r="Q702" s="317" t="str">
        <f t="shared" si="48"/>
        <v/>
      </c>
      <c r="R702" s="317" t="str">
        <f t="shared" si="49"/>
        <v/>
      </c>
      <c r="S702" s="317" t="str">
        <f t="shared" si="50"/>
        <v/>
      </c>
      <c r="T702" s="317" t="str">
        <f>GLOBAL_DER_FEV_2023!S702</f>
        <v/>
      </c>
      <c r="W702" s="582">
        <v>0</v>
      </c>
      <c r="X702" s="580"/>
      <c r="Y702" s="583">
        <f>IF(GLOBAL_DER_FEV_2023!W702=0,0,IF(GLOBAL_DER_FEV_2023!W702&gt;0,"c","b"))</f>
        <v>0</v>
      </c>
    </row>
    <row r="703" spans="1:25" ht="13.5" hidden="1" thickBot="1" x14ac:dyDescent="0.25">
      <c r="A703" s="317" t="s">
        <v>147</v>
      </c>
      <c r="B703" s="895" t="s">
        <v>147</v>
      </c>
      <c r="C703" s="896"/>
      <c r="D703" s="957" t="s">
        <v>233</v>
      </c>
      <c r="E703" s="898">
        <f>GLOBAL_DER_FEV_2023!E703</f>
        <v>0.2</v>
      </c>
      <c r="F703" s="908">
        <f>GLOBAL_DER_FEV_2023!F703</f>
        <v>7.0000000000000001E-3</v>
      </c>
      <c r="G703" s="949">
        <f>GLOBAL_DER_FEV_2023!G703</f>
        <v>1.6478E-2</v>
      </c>
      <c r="H703" s="901">
        <f>GLOBAL_DER_FEV_2023!H703</f>
        <v>0</v>
      </c>
      <c r="I703" s="901">
        <f>GLOBAL_DER_FEV_2023!I703</f>
        <v>0</v>
      </c>
      <c r="J703" s="902">
        <f>GLOBAL_DER_FEV_2023!J703</f>
        <v>0</v>
      </c>
      <c r="K703" s="958" t="s">
        <v>507</v>
      </c>
      <c r="L703" s="1003"/>
      <c r="M703" s="1157">
        <f t="shared" si="47"/>
        <v>0</v>
      </c>
      <c r="N703" s="893">
        <f t="shared" si="51"/>
        <v>0</v>
      </c>
      <c r="O703" s="905"/>
      <c r="P703" s="58" t="str">
        <f>IF(N702&gt;0,"xx",IF(N702&gt;0,"xy",""))</f>
        <v/>
      </c>
      <c r="Q703" s="317" t="str">
        <f t="shared" si="48"/>
        <v/>
      </c>
      <c r="R703" s="317" t="str">
        <f t="shared" si="49"/>
        <v/>
      </c>
      <c r="S703" s="317" t="str">
        <f t="shared" si="50"/>
        <v/>
      </c>
      <c r="T703" s="317" t="str">
        <f>GLOBAL_DER_FEV_2023!S703</f>
        <v/>
      </c>
      <c r="W703" s="582">
        <v>0</v>
      </c>
      <c r="X703" s="580"/>
      <c r="Y703" s="583">
        <f>IF(GLOBAL_DER_FEV_2023!W703=0,0,IF(GLOBAL_DER_FEV_2023!W703&gt;0,"c","b"))</f>
        <v>0</v>
      </c>
    </row>
    <row r="704" spans="1:25" ht="13.5" hidden="1" thickBot="1" x14ac:dyDescent="0.25">
      <c r="A704" s="317">
        <v>589520</v>
      </c>
      <c r="B704" s="1004" t="s">
        <v>1676</v>
      </c>
      <c r="C704" s="984" t="s">
        <v>213</v>
      </c>
      <c r="D704" s="1012" t="s">
        <v>564</v>
      </c>
      <c r="E704" s="1005">
        <f>GLOBAL_DER_FEV_2023!E704</f>
        <v>353</v>
      </c>
      <c r="F704" s="1006">
        <f>GLOBAL_DER_FEV_2023!F704</f>
        <v>1</v>
      </c>
      <c r="G704" s="949">
        <f>GLOBAL_DER_FEV_2023!G704</f>
        <v>337.96999999999997</v>
      </c>
      <c r="H704" s="988">
        <f>GLOBAL_DER_FEV_2023!H704</f>
        <v>4164.04</v>
      </c>
      <c r="I704" s="988">
        <f>GLOBAL_DER_FEV_2023!I704</f>
        <v>4335.8923053218959</v>
      </c>
      <c r="J704" s="989">
        <f>GLOBAL_DER_FEV_2023!J704</f>
        <v>5206.1099999999997</v>
      </c>
      <c r="K704" s="990" t="s">
        <v>14</v>
      </c>
      <c r="L704" s="1154">
        <f>ROUND(L702*$F702,2)</f>
        <v>0</v>
      </c>
      <c r="M704" s="1168">
        <f t="shared" si="47"/>
        <v>0</v>
      </c>
      <c r="N704" s="993">
        <f t="shared" si="51"/>
        <v>0</v>
      </c>
      <c r="O704" s="905"/>
      <c r="P704" s="58" t="str">
        <f>IF(N702&gt;0,"xx",IF(N702&gt;0,"xy",""))</f>
        <v/>
      </c>
      <c r="Q704" s="317" t="str">
        <f t="shared" si="48"/>
        <v/>
      </c>
      <c r="R704" s="317" t="str">
        <f t="shared" si="49"/>
        <v/>
      </c>
      <c r="S704" s="317" t="str">
        <f t="shared" si="50"/>
        <v/>
      </c>
      <c r="T704" s="317" t="str">
        <f>GLOBAL_DER_FEV_2023!S704</f>
        <v/>
      </c>
      <c r="W704" s="582">
        <v>0</v>
      </c>
      <c r="X704" s="580"/>
      <c r="Y704" s="583">
        <f>IF(GLOBAL_DER_FEV_2023!W704=0,0,IF(GLOBAL_DER_FEV_2023!W704&gt;0,"c","b"))</f>
        <v>0</v>
      </c>
    </row>
    <row r="705" spans="1:25" ht="13.5" hidden="1" thickBot="1" x14ac:dyDescent="0.25">
      <c r="A705" s="317">
        <v>534000</v>
      </c>
      <c r="B705" s="999" t="s">
        <v>1755</v>
      </c>
      <c r="C705" s="1000" t="s">
        <v>184</v>
      </c>
      <c r="D705" s="973" t="s">
        <v>2205</v>
      </c>
      <c r="E705" s="974" t="str">
        <f>GLOBAL_DER_FEV_2023!E705</f>
        <v>taxa RM-2C</v>
      </c>
      <c r="F705" s="975">
        <f>GLOBAL_DER_FEV_2023!F705</f>
        <v>0.08</v>
      </c>
      <c r="G705" s="976">
        <f>GLOBAL_DER_FEV_2023!G705</f>
        <v>63.819280000000013</v>
      </c>
      <c r="H705" s="977">
        <f>GLOBAL_DER_FEV_2023!H705</f>
        <v>141.84</v>
      </c>
      <c r="I705" s="977">
        <f>GLOBAL_DER_FEV_2023!I705</f>
        <v>205.65928000000002</v>
      </c>
      <c r="J705" s="978">
        <f>GLOBAL_DER_FEV_2023!J705</f>
        <v>246.94</v>
      </c>
      <c r="K705" s="979" t="s">
        <v>10</v>
      </c>
      <c r="L705" s="1152"/>
      <c r="M705" s="1153">
        <f t="shared" si="47"/>
        <v>0</v>
      </c>
      <c r="N705" s="982">
        <f t="shared" si="51"/>
        <v>0</v>
      </c>
      <c r="O705" s="905"/>
      <c r="Q705" s="317" t="str">
        <f t="shared" si="48"/>
        <v/>
      </c>
      <c r="R705" s="317" t="str">
        <f t="shared" si="49"/>
        <v/>
      </c>
      <c r="S705" s="317" t="str">
        <f t="shared" si="50"/>
        <v/>
      </c>
      <c r="T705" s="317" t="str">
        <f>GLOBAL_DER_FEV_2023!S705</f>
        <v/>
      </c>
      <c r="W705" s="582">
        <v>0</v>
      </c>
      <c r="X705" s="580"/>
      <c r="Y705" s="583">
        <f>IF(GLOBAL_DER_FEV_2023!W705=0,0,IF(GLOBAL_DER_FEV_2023!W705&gt;0,"c","b"))</f>
        <v>0</v>
      </c>
    </row>
    <row r="706" spans="1:25" ht="13.5" hidden="1" thickBot="1" x14ac:dyDescent="0.25">
      <c r="A706" s="317" t="s">
        <v>147</v>
      </c>
      <c r="B706" s="895" t="s">
        <v>147</v>
      </c>
      <c r="C706" s="896"/>
      <c r="D706" s="957" t="s">
        <v>229</v>
      </c>
      <c r="E706" s="907">
        <f>GLOBAL_DER_FEV_2023!E706</f>
        <v>150</v>
      </c>
      <c r="F706" s="908">
        <f>GLOBAL_DER_FEV_2023!F706</f>
        <v>0</v>
      </c>
      <c r="G706" s="912">
        <f>GLOBAL_DER_FEV_2023!G706</f>
        <v>0</v>
      </c>
      <c r="H706" s="901">
        <f>GLOBAL_DER_FEV_2023!H706</f>
        <v>0</v>
      </c>
      <c r="I706" s="901">
        <f>GLOBAL_DER_FEV_2023!I706</f>
        <v>0</v>
      </c>
      <c r="J706" s="902">
        <f>GLOBAL_DER_FEV_2023!J706</f>
        <v>0</v>
      </c>
      <c r="K706" s="903" t="s">
        <v>507</v>
      </c>
      <c r="L706" s="1158"/>
      <c r="M706" s="1157">
        <f t="shared" si="47"/>
        <v>0</v>
      </c>
      <c r="N706" s="893">
        <f t="shared" si="51"/>
        <v>0</v>
      </c>
      <c r="O706" s="905"/>
      <c r="P706" s="58" t="str">
        <f>IF(N705&gt;0,"xx",IF(N705&gt;0,"xy",""))</f>
        <v/>
      </c>
      <c r="Q706" s="317" t="str">
        <f t="shared" si="48"/>
        <v/>
      </c>
      <c r="R706" s="317" t="str">
        <f t="shared" si="49"/>
        <v/>
      </c>
      <c r="S706" s="317" t="str">
        <f t="shared" si="50"/>
        <v/>
      </c>
      <c r="T706" s="317" t="str">
        <f>GLOBAL_DER_FEV_2023!S706</f>
        <v/>
      </c>
      <c r="W706" s="582">
        <v>0</v>
      </c>
      <c r="X706" s="580"/>
      <c r="Y706" s="583">
        <f>IF(GLOBAL_DER_FEV_2023!W706=0,0,IF(GLOBAL_DER_FEV_2023!W706&gt;0,"c","b"))</f>
        <v>0</v>
      </c>
    </row>
    <row r="707" spans="1:25" ht="13.5" hidden="1" thickBot="1" x14ac:dyDescent="0.25">
      <c r="A707" s="317" t="s">
        <v>147</v>
      </c>
      <c r="B707" s="895" t="s">
        <v>147</v>
      </c>
      <c r="C707" s="896"/>
      <c r="D707" s="957" t="s">
        <v>230</v>
      </c>
      <c r="E707" s="907">
        <f>GLOBAL_DER_FEV_2023!E707</f>
        <v>353</v>
      </c>
      <c r="F707" s="908">
        <f>GLOBAL_DER_FEV_2023!F707</f>
        <v>0</v>
      </c>
      <c r="G707" s="909">
        <f>GLOBAL_DER_FEV_2023!G707</f>
        <v>0</v>
      </c>
      <c r="H707" s="901">
        <f>GLOBAL_DER_FEV_2023!H707</f>
        <v>0</v>
      </c>
      <c r="I707" s="901">
        <f>GLOBAL_DER_FEV_2023!I707</f>
        <v>0</v>
      </c>
      <c r="J707" s="902">
        <f>GLOBAL_DER_FEV_2023!J707</f>
        <v>0</v>
      </c>
      <c r="K707" s="903" t="s">
        <v>507</v>
      </c>
      <c r="L707" s="1003"/>
      <c r="M707" s="1157">
        <f t="shared" si="47"/>
        <v>0</v>
      </c>
      <c r="N707" s="893">
        <f t="shared" si="51"/>
        <v>0</v>
      </c>
      <c r="O707" s="905"/>
      <c r="P707" s="58" t="str">
        <f>IF(N705&gt;0,"xx",IF(N705&gt;0,"xy",""))</f>
        <v/>
      </c>
      <c r="Q707" s="317" t="str">
        <f t="shared" si="48"/>
        <v/>
      </c>
      <c r="R707" s="317" t="str">
        <f t="shared" si="49"/>
        <v/>
      </c>
      <c r="S707" s="317" t="str">
        <f t="shared" si="50"/>
        <v/>
      </c>
      <c r="T707" s="317" t="str">
        <f>GLOBAL_DER_FEV_2023!S707</f>
        <v/>
      </c>
      <c r="W707" s="582">
        <v>0</v>
      </c>
      <c r="X707" s="580"/>
      <c r="Y707" s="583">
        <f>IF(GLOBAL_DER_FEV_2023!W707=0,0,IF(GLOBAL_DER_FEV_2023!W707&gt;0,"c","b"))</f>
        <v>0</v>
      </c>
    </row>
    <row r="708" spans="1:25" ht="13.5" hidden="1" thickBot="1" x14ac:dyDescent="0.25">
      <c r="A708" s="317" t="s">
        <v>147</v>
      </c>
      <c r="B708" s="895" t="s">
        <v>147</v>
      </c>
      <c r="C708" s="896"/>
      <c r="D708" s="957" t="s">
        <v>243</v>
      </c>
      <c r="E708" s="907">
        <f>GLOBAL_DER_FEV_2023!E708</f>
        <v>0.2</v>
      </c>
      <c r="F708" s="908">
        <f>GLOBAL_DER_FEV_2023!F708</f>
        <v>2.12</v>
      </c>
      <c r="G708" s="912">
        <f>GLOBAL_DER_FEV_2023!G708</f>
        <v>6.1352800000000007</v>
      </c>
      <c r="H708" s="901">
        <f>GLOBAL_DER_FEV_2023!H708</f>
        <v>0</v>
      </c>
      <c r="I708" s="901">
        <f>GLOBAL_DER_FEV_2023!I708</f>
        <v>0</v>
      </c>
      <c r="J708" s="902">
        <f>GLOBAL_DER_FEV_2023!J708</f>
        <v>0</v>
      </c>
      <c r="K708" s="903" t="s">
        <v>507</v>
      </c>
      <c r="L708" s="1003"/>
      <c r="M708" s="1157">
        <f t="shared" si="47"/>
        <v>0</v>
      </c>
      <c r="N708" s="893">
        <f t="shared" si="51"/>
        <v>0</v>
      </c>
      <c r="O708" s="905"/>
      <c r="P708" s="58" t="str">
        <f>IF(N705&gt;0,"xx",IF(N705&gt;0,"xy",""))</f>
        <v/>
      </c>
      <c r="Q708" s="317" t="str">
        <f t="shared" si="48"/>
        <v/>
      </c>
      <c r="R708" s="317" t="str">
        <f t="shared" si="49"/>
        <v/>
      </c>
      <c r="S708" s="317" t="str">
        <f t="shared" si="50"/>
        <v/>
      </c>
      <c r="T708" s="317" t="str">
        <f>GLOBAL_DER_FEV_2023!S708</f>
        <v/>
      </c>
      <c r="W708" s="582">
        <v>0</v>
      </c>
      <c r="X708" s="580"/>
      <c r="Y708" s="583">
        <f>IF(GLOBAL_DER_FEV_2023!W708=0,0,IF(GLOBAL_DER_FEV_2023!W708&gt;0,"c","b"))</f>
        <v>0</v>
      </c>
    </row>
    <row r="709" spans="1:25" ht="13.5" hidden="1" thickBot="1" x14ac:dyDescent="0.25">
      <c r="A709" s="317" t="s">
        <v>147</v>
      </c>
      <c r="B709" s="895" t="s">
        <v>147</v>
      </c>
      <c r="C709" s="896"/>
      <c r="D709" s="957" t="s">
        <v>244</v>
      </c>
      <c r="E709" s="907">
        <f>GLOBAL_DER_FEV_2023!E709</f>
        <v>22</v>
      </c>
      <c r="F709" s="908">
        <f>GLOBAL_DER_FEV_2023!F709</f>
        <v>2.2000000000000002</v>
      </c>
      <c r="G709" s="912">
        <f>GLOBAL_DER_FEV_2023!G709</f>
        <v>57.684000000000012</v>
      </c>
      <c r="H709" s="901">
        <f>GLOBAL_DER_FEV_2023!H709</f>
        <v>0</v>
      </c>
      <c r="I709" s="901">
        <f>GLOBAL_DER_FEV_2023!I709</f>
        <v>0</v>
      </c>
      <c r="J709" s="902">
        <f>GLOBAL_DER_FEV_2023!J709</f>
        <v>0</v>
      </c>
      <c r="K709" s="903" t="s">
        <v>507</v>
      </c>
      <c r="L709" s="1003"/>
      <c r="M709" s="1157">
        <f t="shared" si="47"/>
        <v>0</v>
      </c>
      <c r="N709" s="893">
        <f t="shared" si="51"/>
        <v>0</v>
      </c>
      <c r="O709" s="905"/>
      <c r="P709" s="58" t="str">
        <f>IF(N705&gt;0,"xx",IF(N705&gt;0,"xy",""))</f>
        <v/>
      </c>
      <c r="Q709" s="317" t="str">
        <f t="shared" si="48"/>
        <v/>
      </c>
      <c r="R709" s="317" t="str">
        <f t="shared" si="49"/>
        <v/>
      </c>
      <c r="S709" s="317" t="str">
        <f t="shared" si="50"/>
        <v/>
      </c>
      <c r="T709" s="317" t="str">
        <f>GLOBAL_DER_FEV_2023!S709</f>
        <v/>
      </c>
      <c r="W709" s="582">
        <v>0</v>
      </c>
      <c r="X709" s="580"/>
      <c r="Y709" s="583">
        <f>IF(GLOBAL_DER_FEV_2023!W709=0,0,IF(GLOBAL_DER_FEV_2023!W709&gt;0,"c","b"))</f>
        <v>0</v>
      </c>
    </row>
    <row r="710" spans="1:25" ht="13.5" hidden="1" thickBot="1" x14ac:dyDescent="0.25">
      <c r="A710" s="317">
        <v>589320</v>
      </c>
      <c r="B710" s="1004" t="s">
        <v>1689</v>
      </c>
      <c r="C710" s="984" t="s">
        <v>213</v>
      </c>
      <c r="D710" s="1012" t="s">
        <v>699</v>
      </c>
      <c r="E710" s="1005">
        <f>GLOBAL_DER_FEV_2023!E710</f>
        <v>45</v>
      </c>
      <c r="F710" s="1006">
        <f>GLOBAL_DER_FEV_2023!F710</f>
        <v>1</v>
      </c>
      <c r="G710" s="949">
        <f>GLOBAL_DER_FEV_2023!G710</f>
        <v>79.25</v>
      </c>
      <c r="H710" s="988">
        <f>GLOBAL_DER_FEV_2023!H710</f>
        <v>4012.83</v>
      </c>
      <c r="I710" s="988">
        <f>GLOBAL_DER_FEV_2023!I710</f>
        <v>3931.9945856583668</v>
      </c>
      <c r="J710" s="989">
        <f>GLOBAL_DER_FEV_2023!J710</f>
        <v>4721.1499999999996</v>
      </c>
      <c r="K710" s="990" t="s">
        <v>14</v>
      </c>
      <c r="L710" s="1169">
        <f>ROUND(L705*$F705,2)</f>
        <v>0</v>
      </c>
      <c r="M710" s="1168">
        <f t="shared" si="47"/>
        <v>0</v>
      </c>
      <c r="N710" s="993">
        <f t="shared" si="51"/>
        <v>0</v>
      </c>
      <c r="O710" s="905"/>
      <c r="P710" s="58" t="str">
        <f>IF(N705&gt;0,"xx",IF(N705&gt;0,"xy",""))</f>
        <v/>
      </c>
      <c r="Q710" s="317" t="str">
        <f t="shared" si="48"/>
        <v/>
      </c>
      <c r="R710" s="317" t="str">
        <f t="shared" si="49"/>
        <v/>
      </c>
      <c r="S710" s="317" t="str">
        <f t="shared" si="50"/>
        <v/>
      </c>
      <c r="T710" s="317" t="str">
        <f>GLOBAL_DER_FEV_2023!S710</f>
        <v/>
      </c>
      <c r="W710" s="582">
        <v>0</v>
      </c>
      <c r="X710" s="580"/>
      <c r="Y710" s="583">
        <f>IF(GLOBAL_DER_FEV_2023!W710=0,0,IF(GLOBAL_DER_FEV_2023!W710&gt;0,"c","b"))</f>
        <v>0</v>
      </c>
    </row>
    <row r="711" spans="1:25" ht="13.5" hidden="1" thickBot="1" x14ac:dyDescent="0.25">
      <c r="A711" s="317">
        <v>534000</v>
      </c>
      <c r="B711" s="999" t="s">
        <v>1756</v>
      </c>
      <c r="C711" s="1000" t="s">
        <v>184</v>
      </c>
      <c r="D711" s="973" t="s">
        <v>2206</v>
      </c>
      <c r="E711" s="974" t="str">
        <f>GLOBAL_DER_FEV_2023!E711</f>
        <v>taxa RM-2C</v>
      </c>
      <c r="F711" s="975">
        <f>GLOBAL_DER_FEV_2023!F711</f>
        <v>0.08</v>
      </c>
      <c r="G711" s="976">
        <f>GLOBAL_DER_FEV_2023!G711</f>
        <v>63.819280000000013</v>
      </c>
      <c r="H711" s="977">
        <f>GLOBAL_DER_FEV_2023!H711</f>
        <v>141.84</v>
      </c>
      <c r="I711" s="977">
        <f>GLOBAL_DER_FEV_2023!I711</f>
        <v>205.65928000000002</v>
      </c>
      <c r="J711" s="978">
        <f>GLOBAL_DER_FEV_2023!J711</f>
        <v>246.94</v>
      </c>
      <c r="K711" s="979" t="s">
        <v>10</v>
      </c>
      <c r="L711" s="1152"/>
      <c r="M711" s="1153">
        <f t="shared" si="47"/>
        <v>0</v>
      </c>
      <c r="N711" s="982">
        <f t="shared" si="51"/>
        <v>0</v>
      </c>
      <c r="O711" s="905"/>
      <c r="Q711" s="317" t="str">
        <f t="shared" si="48"/>
        <v/>
      </c>
      <c r="R711" s="317" t="str">
        <f t="shared" si="49"/>
        <v/>
      </c>
      <c r="S711" s="317" t="str">
        <f t="shared" si="50"/>
        <v/>
      </c>
      <c r="T711" s="317" t="str">
        <f>GLOBAL_DER_FEV_2023!S711</f>
        <v/>
      </c>
      <c r="W711" s="582">
        <v>0</v>
      </c>
      <c r="X711" s="580"/>
      <c r="Y711" s="583">
        <f>IF(GLOBAL_DER_FEV_2023!W711=0,0,IF(GLOBAL_DER_FEV_2023!W711&gt;0,"c","b"))</f>
        <v>0</v>
      </c>
    </row>
    <row r="712" spans="1:25" ht="13.5" hidden="1" thickBot="1" x14ac:dyDescent="0.25">
      <c r="A712" s="317" t="s">
        <v>147</v>
      </c>
      <c r="B712" s="895" t="s">
        <v>147</v>
      </c>
      <c r="C712" s="896"/>
      <c r="D712" s="957" t="s">
        <v>229</v>
      </c>
      <c r="E712" s="907">
        <f>GLOBAL_DER_FEV_2023!E712</f>
        <v>150</v>
      </c>
      <c r="F712" s="908">
        <f>GLOBAL_DER_FEV_2023!F712</f>
        <v>0</v>
      </c>
      <c r="G712" s="912">
        <f>GLOBAL_DER_FEV_2023!G712</f>
        <v>0</v>
      </c>
      <c r="H712" s="901">
        <f>GLOBAL_DER_FEV_2023!H712</f>
        <v>0</v>
      </c>
      <c r="I712" s="901">
        <f>GLOBAL_DER_FEV_2023!I712</f>
        <v>0</v>
      </c>
      <c r="J712" s="902">
        <f>GLOBAL_DER_FEV_2023!J712</f>
        <v>0</v>
      </c>
      <c r="K712" s="903" t="s">
        <v>507</v>
      </c>
      <c r="L712" s="1003"/>
      <c r="M712" s="1157">
        <f t="shared" si="47"/>
        <v>0</v>
      </c>
      <c r="N712" s="893">
        <f t="shared" si="51"/>
        <v>0</v>
      </c>
      <c r="O712" s="905"/>
      <c r="P712" s="58" t="str">
        <f>IF(N711&gt;0,"xx",IF(N711&gt;0,"xy",""))</f>
        <v/>
      </c>
      <c r="Q712" s="317" t="str">
        <f t="shared" si="48"/>
        <v/>
      </c>
      <c r="R712" s="317" t="str">
        <f t="shared" si="49"/>
        <v/>
      </c>
      <c r="S712" s="317" t="str">
        <f t="shared" si="50"/>
        <v/>
      </c>
      <c r="T712" s="317" t="str">
        <f>GLOBAL_DER_FEV_2023!S712</f>
        <v/>
      </c>
      <c r="W712" s="582">
        <v>0</v>
      </c>
      <c r="X712" s="580"/>
      <c r="Y712" s="583">
        <f>IF(GLOBAL_DER_FEV_2023!W712=0,0,IF(GLOBAL_DER_FEV_2023!W712&gt;0,"c","b"))</f>
        <v>0</v>
      </c>
    </row>
    <row r="713" spans="1:25" ht="13.5" hidden="1" thickBot="1" x14ac:dyDescent="0.25">
      <c r="A713" s="317" t="s">
        <v>147</v>
      </c>
      <c r="B713" s="895" t="s">
        <v>147</v>
      </c>
      <c r="C713" s="896"/>
      <c r="D713" s="957" t="s">
        <v>230</v>
      </c>
      <c r="E713" s="907">
        <f>GLOBAL_DER_FEV_2023!E713</f>
        <v>353</v>
      </c>
      <c r="F713" s="908">
        <f>GLOBAL_DER_FEV_2023!F713</f>
        <v>0</v>
      </c>
      <c r="G713" s="909">
        <f>GLOBAL_DER_FEV_2023!G713</f>
        <v>0</v>
      </c>
      <c r="H713" s="901">
        <f>GLOBAL_DER_FEV_2023!H713</f>
        <v>0</v>
      </c>
      <c r="I713" s="901">
        <f>GLOBAL_DER_FEV_2023!I713</f>
        <v>0</v>
      </c>
      <c r="J713" s="902">
        <f>GLOBAL_DER_FEV_2023!J713</f>
        <v>0</v>
      </c>
      <c r="K713" s="903" t="s">
        <v>507</v>
      </c>
      <c r="L713" s="1003"/>
      <c r="M713" s="1157">
        <f t="shared" si="47"/>
        <v>0</v>
      </c>
      <c r="N713" s="893">
        <f t="shared" si="51"/>
        <v>0</v>
      </c>
      <c r="O713" s="905"/>
      <c r="P713" s="58" t="str">
        <f>IF(N711&gt;0,"xx",IF(N711&gt;0,"xy",""))</f>
        <v/>
      </c>
      <c r="Q713" s="317" t="str">
        <f t="shared" si="48"/>
        <v/>
      </c>
      <c r="R713" s="317" t="str">
        <f t="shared" si="49"/>
        <v/>
      </c>
      <c r="S713" s="317" t="str">
        <f t="shared" si="50"/>
        <v/>
      </c>
      <c r="T713" s="317" t="str">
        <f>GLOBAL_DER_FEV_2023!S713</f>
        <v/>
      </c>
      <c r="W713" s="582">
        <v>0</v>
      </c>
      <c r="X713" s="580"/>
      <c r="Y713" s="583">
        <f>IF(GLOBAL_DER_FEV_2023!W713=0,0,IF(GLOBAL_DER_FEV_2023!W713&gt;0,"c","b"))</f>
        <v>0</v>
      </c>
    </row>
    <row r="714" spans="1:25" ht="13.5" hidden="1" thickBot="1" x14ac:dyDescent="0.25">
      <c r="A714" s="317" t="s">
        <v>147</v>
      </c>
      <c r="B714" s="895" t="s">
        <v>147</v>
      </c>
      <c r="C714" s="896"/>
      <c r="D714" s="957" t="s">
        <v>243</v>
      </c>
      <c r="E714" s="907">
        <f>GLOBAL_DER_FEV_2023!E714</f>
        <v>0.2</v>
      </c>
      <c r="F714" s="908">
        <f>GLOBAL_DER_FEV_2023!F714</f>
        <v>2.12</v>
      </c>
      <c r="G714" s="912">
        <f>GLOBAL_DER_FEV_2023!G714</f>
        <v>6.1352800000000007</v>
      </c>
      <c r="H714" s="901">
        <f>GLOBAL_DER_FEV_2023!H714</f>
        <v>0</v>
      </c>
      <c r="I714" s="901">
        <f>GLOBAL_DER_FEV_2023!I714</f>
        <v>0</v>
      </c>
      <c r="J714" s="902">
        <f>GLOBAL_DER_FEV_2023!J714</f>
        <v>0</v>
      </c>
      <c r="K714" s="903" t="s">
        <v>507</v>
      </c>
      <c r="L714" s="1003"/>
      <c r="M714" s="1157">
        <f t="shared" si="47"/>
        <v>0</v>
      </c>
      <c r="N714" s="893">
        <f t="shared" si="51"/>
        <v>0</v>
      </c>
      <c r="O714" s="905"/>
      <c r="P714" s="58" t="str">
        <f>IF(N711&gt;0,"xx",IF(N711&gt;0,"xy",""))</f>
        <v/>
      </c>
      <c r="Q714" s="317" t="str">
        <f t="shared" si="48"/>
        <v/>
      </c>
      <c r="R714" s="317" t="str">
        <f t="shared" si="49"/>
        <v/>
      </c>
      <c r="S714" s="317" t="str">
        <f t="shared" si="50"/>
        <v/>
      </c>
      <c r="T714" s="317" t="str">
        <f>GLOBAL_DER_FEV_2023!S714</f>
        <v/>
      </c>
      <c r="W714" s="582">
        <v>0</v>
      </c>
      <c r="X714" s="580"/>
      <c r="Y714" s="583">
        <f>IF(GLOBAL_DER_FEV_2023!W714=0,0,IF(GLOBAL_DER_FEV_2023!W714&gt;0,"c","b"))</f>
        <v>0</v>
      </c>
    </row>
    <row r="715" spans="1:25" ht="13.5" hidden="1" thickBot="1" x14ac:dyDescent="0.25">
      <c r="A715" s="317" t="s">
        <v>147</v>
      </c>
      <c r="B715" s="895" t="s">
        <v>147</v>
      </c>
      <c r="C715" s="896"/>
      <c r="D715" s="957" t="s">
        <v>244</v>
      </c>
      <c r="E715" s="907">
        <f>GLOBAL_DER_FEV_2023!E715</f>
        <v>22</v>
      </c>
      <c r="F715" s="908">
        <f>GLOBAL_DER_FEV_2023!F715</f>
        <v>2.2000000000000002</v>
      </c>
      <c r="G715" s="912">
        <f>GLOBAL_DER_FEV_2023!G715</f>
        <v>57.684000000000012</v>
      </c>
      <c r="H715" s="901">
        <f>GLOBAL_DER_FEV_2023!H715</f>
        <v>0</v>
      </c>
      <c r="I715" s="901">
        <f>GLOBAL_DER_FEV_2023!I715</f>
        <v>0</v>
      </c>
      <c r="J715" s="902">
        <f>GLOBAL_DER_FEV_2023!J715</f>
        <v>0</v>
      </c>
      <c r="K715" s="903" t="s">
        <v>507</v>
      </c>
      <c r="L715" s="1003"/>
      <c r="M715" s="1157">
        <f t="shared" si="47"/>
        <v>0</v>
      </c>
      <c r="N715" s="893">
        <f t="shared" si="51"/>
        <v>0</v>
      </c>
      <c r="O715" s="905"/>
      <c r="P715" s="58" t="str">
        <f>IF(N711&gt;0,"xx",IF(N711&gt;0,"xy",""))</f>
        <v/>
      </c>
      <c r="Q715" s="317" t="str">
        <f t="shared" si="48"/>
        <v/>
      </c>
      <c r="R715" s="317" t="str">
        <f t="shared" si="49"/>
        <v/>
      </c>
      <c r="S715" s="317" t="str">
        <f t="shared" si="50"/>
        <v/>
      </c>
      <c r="T715" s="317" t="str">
        <f>GLOBAL_DER_FEV_2023!S715</f>
        <v/>
      </c>
      <c r="W715" s="582">
        <v>0</v>
      </c>
      <c r="X715" s="580"/>
      <c r="Y715" s="583">
        <f>IF(GLOBAL_DER_FEV_2023!W715=0,0,IF(GLOBAL_DER_FEV_2023!W715&gt;0,"c","b"))</f>
        <v>0</v>
      </c>
    </row>
    <row r="716" spans="1:25" ht="13.5" hidden="1" thickBot="1" x14ac:dyDescent="0.25">
      <c r="A716" s="317">
        <v>589320</v>
      </c>
      <c r="B716" s="1004" t="s">
        <v>1690</v>
      </c>
      <c r="C716" s="984" t="s">
        <v>213</v>
      </c>
      <c r="D716" s="1012" t="s">
        <v>699</v>
      </c>
      <c r="E716" s="1005">
        <f>GLOBAL_DER_FEV_2023!E716</f>
        <v>45</v>
      </c>
      <c r="F716" s="1006">
        <f>GLOBAL_DER_FEV_2023!F716</f>
        <v>1</v>
      </c>
      <c r="G716" s="949">
        <f>GLOBAL_DER_FEV_2023!G716</f>
        <v>79.25</v>
      </c>
      <c r="H716" s="988">
        <f>GLOBAL_DER_FEV_2023!H716</f>
        <v>4012.83</v>
      </c>
      <c r="I716" s="988">
        <f>GLOBAL_DER_FEV_2023!I716</f>
        <v>3931.9945856583668</v>
      </c>
      <c r="J716" s="989">
        <f>GLOBAL_DER_FEV_2023!J716</f>
        <v>4721.1499999999996</v>
      </c>
      <c r="K716" s="990" t="s">
        <v>14</v>
      </c>
      <c r="L716" s="1169">
        <f>ROUND(L711*$F711,2)</f>
        <v>0</v>
      </c>
      <c r="M716" s="1168">
        <f t="shared" si="47"/>
        <v>0</v>
      </c>
      <c r="N716" s="993">
        <f t="shared" si="51"/>
        <v>0</v>
      </c>
      <c r="O716" s="905"/>
      <c r="P716" s="58" t="str">
        <f>IF(N711&gt;0,"xx",IF(N711&gt;0,"xy",""))</f>
        <v/>
      </c>
      <c r="Q716" s="317" t="str">
        <f t="shared" si="48"/>
        <v/>
      </c>
      <c r="R716" s="317" t="str">
        <f t="shared" si="49"/>
        <v/>
      </c>
      <c r="S716" s="317" t="str">
        <f t="shared" si="50"/>
        <v/>
      </c>
      <c r="T716" s="317" t="str">
        <f>GLOBAL_DER_FEV_2023!S716</f>
        <v/>
      </c>
      <c r="W716" s="582">
        <v>0</v>
      </c>
      <c r="X716" s="580"/>
      <c r="Y716" s="583">
        <f>IF(GLOBAL_DER_FEV_2023!W716=0,0,IF(GLOBAL_DER_FEV_2023!W716&gt;0,"c","b"))</f>
        <v>0</v>
      </c>
    </row>
    <row r="717" spans="1:25" ht="13.5" hidden="1" thickBot="1" x14ac:dyDescent="0.25">
      <c r="A717" s="317">
        <v>534000</v>
      </c>
      <c r="B717" s="999" t="s">
        <v>1757</v>
      </c>
      <c r="C717" s="1000" t="s">
        <v>184</v>
      </c>
      <c r="D717" s="973" t="s">
        <v>2207</v>
      </c>
      <c r="E717" s="974" t="str">
        <f>GLOBAL_DER_FEV_2023!E717</f>
        <v>taxa RM-2C</v>
      </c>
      <c r="F717" s="975">
        <f>GLOBAL_DER_FEV_2023!F717</f>
        <v>0.08</v>
      </c>
      <c r="G717" s="976">
        <f>GLOBAL_DER_FEV_2023!G717</f>
        <v>63.819280000000013</v>
      </c>
      <c r="H717" s="977">
        <f>GLOBAL_DER_FEV_2023!H717</f>
        <v>141.84</v>
      </c>
      <c r="I717" s="977">
        <f>GLOBAL_DER_FEV_2023!I717</f>
        <v>205.65928000000002</v>
      </c>
      <c r="J717" s="978">
        <f>GLOBAL_DER_FEV_2023!J717</f>
        <v>246.94</v>
      </c>
      <c r="K717" s="979" t="s">
        <v>10</v>
      </c>
      <c r="L717" s="1152"/>
      <c r="M717" s="1153">
        <f t="shared" si="47"/>
        <v>0</v>
      </c>
      <c r="N717" s="982">
        <f t="shared" si="51"/>
        <v>0</v>
      </c>
      <c r="O717" s="905"/>
      <c r="Q717" s="317" t="str">
        <f t="shared" si="48"/>
        <v/>
      </c>
      <c r="R717" s="317" t="str">
        <f t="shared" si="49"/>
        <v/>
      </c>
      <c r="S717" s="317" t="str">
        <f t="shared" si="50"/>
        <v/>
      </c>
      <c r="T717" s="317" t="str">
        <f>GLOBAL_DER_FEV_2023!S717</f>
        <v/>
      </c>
      <c r="W717" s="582">
        <v>0</v>
      </c>
      <c r="X717" s="580"/>
      <c r="Y717" s="583">
        <f>IF(GLOBAL_DER_FEV_2023!W717=0,0,IF(GLOBAL_DER_FEV_2023!W717&gt;0,"c","b"))</f>
        <v>0</v>
      </c>
    </row>
    <row r="718" spans="1:25" ht="13.5" hidden="1" thickBot="1" x14ac:dyDescent="0.25">
      <c r="A718" s="317" t="s">
        <v>147</v>
      </c>
      <c r="B718" s="895" t="s">
        <v>147</v>
      </c>
      <c r="C718" s="896"/>
      <c r="D718" s="957" t="s">
        <v>229</v>
      </c>
      <c r="E718" s="907">
        <f>GLOBAL_DER_FEV_2023!E718</f>
        <v>150</v>
      </c>
      <c r="F718" s="908">
        <f>GLOBAL_DER_FEV_2023!F718</f>
        <v>0</v>
      </c>
      <c r="G718" s="912">
        <f>GLOBAL_DER_FEV_2023!G718</f>
        <v>0</v>
      </c>
      <c r="H718" s="901">
        <f>GLOBAL_DER_FEV_2023!H718</f>
        <v>0</v>
      </c>
      <c r="I718" s="901">
        <f>GLOBAL_DER_FEV_2023!I718</f>
        <v>0</v>
      </c>
      <c r="J718" s="902">
        <f>GLOBAL_DER_FEV_2023!J718</f>
        <v>0</v>
      </c>
      <c r="K718" s="903" t="s">
        <v>507</v>
      </c>
      <c r="L718" s="1003"/>
      <c r="M718" s="1157">
        <f t="shared" ref="M718:M793" si="52">IF(L718=0,0,ROUND(J718,2))</f>
        <v>0</v>
      </c>
      <c r="N718" s="893">
        <f t="shared" si="51"/>
        <v>0</v>
      </c>
      <c r="O718" s="905"/>
      <c r="P718" s="58" t="str">
        <f>IF(N717&gt;0,"xx",IF(N717&gt;0,"xy",""))</f>
        <v/>
      </c>
      <c r="Q718" s="317" t="str">
        <f t="shared" si="48"/>
        <v/>
      </c>
      <c r="R718" s="317" t="str">
        <f t="shared" si="49"/>
        <v/>
      </c>
      <c r="S718" s="317" t="str">
        <f t="shared" si="50"/>
        <v/>
      </c>
      <c r="T718" s="317" t="str">
        <f>GLOBAL_DER_FEV_2023!S718</f>
        <v/>
      </c>
      <c r="W718" s="582">
        <v>0</v>
      </c>
      <c r="X718" s="580"/>
      <c r="Y718" s="583">
        <f>IF(GLOBAL_DER_FEV_2023!W718=0,0,IF(GLOBAL_DER_FEV_2023!W718&gt;0,"c","b"))</f>
        <v>0</v>
      </c>
    </row>
    <row r="719" spans="1:25" ht="13.5" hidden="1" thickBot="1" x14ac:dyDescent="0.25">
      <c r="A719" s="317" t="s">
        <v>147</v>
      </c>
      <c r="B719" s="895" t="s">
        <v>147</v>
      </c>
      <c r="C719" s="896"/>
      <c r="D719" s="957" t="s">
        <v>230</v>
      </c>
      <c r="E719" s="907">
        <f>GLOBAL_DER_FEV_2023!E719</f>
        <v>353</v>
      </c>
      <c r="F719" s="908">
        <f>GLOBAL_DER_FEV_2023!F719</f>
        <v>0</v>
      </c>
      <c r="G719" s="909">
        <f>GLOBAL_DER_FEV_2023!G719</f>
        <v>0</v>
      </c>
      <c r="H719" s="901">
        <f>GLOBAL_DER_FEV_2023!H719</f>
        <v>0</v>
      </c>
      <c r="I719" s="901">
        <f>GLOBAL_DER_FEV_2023!I719</f>
        <v>0</v>
      </c>
      <c r="J719" s="902">
        <f>GLOBAL_DER_FEV_2023!J719</f>
        <v>0</v>
      </c>
      <c r="K719" s="903" t="s">
        <v>507</v>
      </c>
      <c r="L719" s="1003"/>
      <c r="M719" s="1157">
        <f t="shared" si="52"/>
        <v>0</v>
      </c>
      <c r="N719" s="893">
        <f t="shared" si="51"/>
        <v>0</v>
      </c>
      <c r="O719" s="905"/>
      <c r="P719" s="58" t="str">
        <f>IF(N717&gt;0,"xx",IF(N717&gt;0,"xy",""))</f>
        <v/>
      </c>
      <c r="Q719" s="317" t="str">
        <f t="shared" ref="Q719:Q794" si="53">IF(P719="X","x",IF(P719="xx","x",IF(P719="xy","x",IF(P719="y","x",IF(OR(N719&gt;0,N719&gt;0),"x","")))))</f>
        <v/>
      </c>
      <c r="R719" s="317" t="str">
        <f t="shared" si="49"/>
        <v/>
      </c>
      <c r="S719" s="317" t="str">
        <f t="shared" si="50"/>
        <v/>
      </c>
      <c r="T719" s="317" t="str">
        <f>GLOBAL_DER_FEV_2023!S719</f>
        <v/>
      </c>
      <c r="W719" s="582">
        <v>0</v>
      </c>
      <c r="X719" s="580"/>
      <c r="Y719" s="583">
        <f>IF(GLOBAL_DER_FEV_2023!W719=0,0,IF(GLOBAL_DER_FEV_2023!W719&gt;0,"c","b"))</f>
        <v>0</v>
      </c>
    </row>
    <row r="720" spans="1:25" ht="13.5" hidden="1" thickBot="1" x14ac:dyDescent="0.25">
      <c r="A720" s="317" t="s">
        <v>147</v>
      </c>
      <c r="B720" s="895" t="s">
        <v>147</v>
      </c>
      <c r="C720" s="896"/>
      <c r="D720" s="957" t="s">
        <v>243</v>
      </c>
      <c r="E720" s="907">
        <f>GLOBAL_DER_FEV_2023!E720</f>
        <v>0.2</v>
      </c>
      <c r="F720" s="908">
        <f>GLOBAL_DER_FEV_2023!F720</f>
        <v>2.12</v>
      </c>
      <c r="G720" s="912">
        <f>GLOBAL_DER_FEV_2023!G720</f>
        <v>6.1352800000000007</v>
      </c>
      <c r="H720" s="901">
        <f>GLOBAL_DER_FEV_2023!H720</f>
        <v>0</v>
      </c>
      <c r="I720" s="901">
        <f>GLOBAL_DER_FEV_2023!I720</f>
        <v>0</v>
      </c>
      <c r="J720" s="902">
        <f>GLOBAL_DER_FEV_2023!J720</f>
        <v>0</v>
      </c>
      <c r="K720" s="903" t="s">
        <v>507</v>
      </c>
      <c r="L720" s="1003"/>
      <c r="M720" s="1157">
        <f t="shared" si="52"/>
        <v>0</v>
      </c>
      <c r="N720" s="893">
        <f t="shared" si="51"/>
        <v>0</v>
      </c>
      <c r="O720" s="905"/>
      <c r="P720" s="58" t="str">
        <f>IF(N717&gt;0,"xx",IF(N717&gt;0,"xy",""))</f>
        <v/>
      </c>
      <c r="Q720" s="317" t="str">
        <f t="shared" si="53"/>
        <v/>
      </c>
      <c r="R720" s="317" t="str">
        <f t="shared" si="49"/>
        <v/>
      </c>
      <c r="S720" s="317" t="str">
        <f t="shared" si="50"/>
        <v/>
      </c>
      <c r="T720" s="317" t="str">
        <f>GLOBAL_DER_FEV_2023!S720</f>
        <v/>
      </c>
      <c r="W720" s="582">
        <v>0</v>
      </c>
      <c r="X720" s="580"/>
      <c r="Y720" s="583">
        <f>IF(GLOBAL_DER_FEV_2023!W720=0,0,IF(GLOBAL_DER_FEV_2023!W720&gt;0,"c","b"))</f>
        <v>0</v>
      </c>
    </row>
    <row r="721" spans="1:25" ht="13.5" hidden="1" thickBot="1" x14ac:dyDescent="0.25">
      <c r="A721" s="317" t="s">
        <v>147</v>
      </c>
      <c r="B721" s="895" t="s">
        <v>147</v>
      </c>
      <c r="C721" s="896"/>
      <c r="D721" s="957" t="s">
        <v>244</v>
      </c>
      <c r="E721" s="907">
        <f>GLOBAL_DER_FEV_2023!E721</f>
        <v>22</v>
      </c>
      <c r="F721" s="908">
        <f>GLOBAL_DER_FEV_2023!F721</f>
        <v>2.2000000000000002</v>
      </c>
      <c r="G721" s="912">
        <f>GLOBAL_DER_FEV_2023!G721</f>
        <v>57.684000000000012</v>
      </c>
      <c r="H721" s="901">
        <f>GLOBAL_DER_FEV_2023!H721</f>
        <v>0</v>
      </c>
      <c r="I721" s="901">
        <f>GLOBAL_DER_FEV_2023!I721</f>
        <v>0</v>
      </c>
      <c r="J721" s="902">
        <f>GLOBAL_DER_FEV_2023!J721</f>
        <v>0</v>
      </c>
      <c r="K721" s="903" t="s">
        <v>507</v>
      </c>
      <c r="L721" s="1003"/>
      <c r="M721" s="1157">
        <f t="shared" si="52"/>
        <v>0</v>
      </c>
      <c r="N721" s="893">
        <f t="shared" si="51"/>
        <v>0</v>
      </c>
      <c r="O721" s="905"/>
      <c r="P721" s="58" t="str">
        <f>IF(N717&gt;0,"xx",IF(N717&gt;0,"xy",""))</f>
        <v/>
      </c>
      <c r="Q721" s="317" t="str">
        <f t="shared" si="53"/>
        <v/>
      </c>
      <c r="R721" s="317" t="str">
        <f t="shared" ref="R721:R796" si="54">IF(P721="X","x",IF(P721="y","x",IF(P721="xx","x",IF(N721&gt;0,"x",""))))</f>
        <v/>
      </c>
      <c r="S721" s="317" t="str">
        <f t="shared" ref="S721:S796" si="55">IF(P721="X","x",IF(N721&gt;0,"x",""))</f>
        <v/>
      </c>
      <c r="T721" s="317" t="str">
        <f>GLOBAL_DER_FEV_2023!S721</f>
        <v/>
      </c>
      <c r="W721" s="582">
        <v>0</v>
      </c>
      <c r="X721" s="580"/>
      <c r="Y721" s="583">
        <f>IF(GLOBAL_DER_FEV_2023!W721=0,0,IF(GLOBAL_DER_FEV_2023!W721&gt;0,"c","b"))</f>
        <v>0</v>
      </c>
    </row>
    <row r="722" spans="1:25" ht="13.5" hidden="1" thickBot="1" x14ac:dyDescent="0.25">
      <c r="A722" s="317">
        <v>589320</v>
      </c>
      <c r="B722" s="1004" t="s">
        <v>1691</v>
      </c>
      <c r="C722" s="984" t="s">
        <v>213</v>
      </c>
      <c r="D722" s="1012" t="s">
        <v>699</v>
      </c>
      <c r="E722" s="1005">
        <f>GLOBAL_DER_FEV_2023!E722</f>
        <v>45</v>
      </c>
      <c r="F722" s="1006">
        <f>GLOBAL_DER_FEV_2023!F722</f>
        <v>1</v>
      </c>
      <c r="G722" s="949">
        <f>GLOBAL_DER_FEV_2023!G722</f>
        <v>79.25</v>
      </c>
      <c r="H722" s="988">
        <f>GLOBAL_DER_FEV_2023!H722</f>
        <v>4012.83</v>
      </c>
      <c r="I722" s="988">
        <f>GLOBAL_DER_FEV_2023!I722</f>
        <v>3931.9945856583668</v>
      </c>
      <c r="J722" s="989">
        <f>GLOBAL_DER_FEV_2023!J722</f>
        <v>4721.1499999999996</v>
      </c>
      <c r="K722" s="990" t="s">
        <v>14</v>
      </c>
      <c r="L722" s="1169">
        <f>ROUND(L717*$F717,2)</f>
        <v>0</v>
      </c>
      <c r="M722" s="1168">
        <f t="shared" si="52"/>
        <v>0</v>
      </c>
      <c r="N722" s="993">
        <f t="shared" si="51"/>
        <v>0</v>
      </c>
      <c r="O722" s="905"/>
      <c r="P722" s="58" t="str">
        <f>IF(N717&gt;0,"xx",IF(N717&gt;0,"xy",""))</f>
        <v/>
      </c>
      <c r="Q722" s="317" t="str">
        <f t="shared" si="53"/>
        <v/>
      </c>
      <c r="R722" s="317" t="str">
        <f t="shared" si="54"/>
        <v/>
      </c>
      <c r="S722" s="317" t="str">
        <f t="shared" si="55"/>
        <v/>
      </c>
      <c r="T722" s="317" t="str">
        <f>GLOBAL_DER_FEV_2023!S722</f>
        <v/>
      </c>
      <c r="W722" s="582">
        <v>0</v>
      </c>
      <c r="X722" s="580"/>
      <c r="Y722" s="583">
        <f>IF(GLOBAL_DER_FEV_2023!W722=0,0,IF(GLOBAL_DER_FEV_2023!W722&gt;0,"c","b"))</f>
        <v>0</v>
      </c>
    </row>
    <row r="723" spans="1:25" ht="13.5" hidden="1" thickBot="1" x14ac:dyDescent="0.25">
      <c r="A723" s="317">
        <v>534300</v>
      </c>
      <c r="B723" s="999" t="s">
        <v>1683</v>
      </c>
      <c r="C723" s="1000" t="s">
        <v>184</v>
      </c>
      <c r="D723" s="973" t="s">
        <v>2209</v>
      </c>
      <c r="E723" s="974" t="str">
        <f>GLOBAL_DER_FEV_2023!E723</f>
        <v>taxa RM-2C</v>
      </c>
      <c r="F723" s="975">
        <f>GLOBAL_DER_FEV_2023!F723</f>
        <v>0.11</v>
      </c>
      <c r="G723" s="976">
        <f>GLOBAL_DER_FEV_2023!G723</f>
        <v>63.732459999999996</v>
      </c>
      <c r="H723" s="977">
        <f>GLOBAL_DER_FEV_2023!H723</f>
        <v>140.30000000000001</v>
      </c>
      <c r="I723" s="977">
        <f>GLOBAL_DER_FEV_2023!I723</f>
        <v>204.03246000000001</v>
      </c>
      <c r="J723" s="978">
        <f>GLOBAL_DER_FEV_2023!J723</f>
        <v>244.98</v>
      </c>
      <c r="K723" s="979" t="s">
        <v>10</v>
      </c>
      <c r="L723" s="1152"/>
      <c r="M723" s="1153">
        <f t="shared" si="52"/>
        <v>0</v>
      </c>
      <c r="N723" s="982">
        <f t="shared" si="51"/>
        <v>0</v>
      </c>
      <c r="O723" s="905"/>
      <c r="Q723" s="317" t="str">
        <f t="shared" si="53"/>
        <v/>
      </c>
      <c r="R723" s="317" t="str">
        <f t="shared" si="54"/>
        <v/>
      </c>
      <c r="S723" s="317" t="str">
        <f t="shared" si="55"/>
        <v/>
      </c>
      <c r="T723" s="317" t="str">
        <f>GLOBAL_DER_FEV_2023!S723</f>
        <v/>
      </c>
      <c r="W723" s="582">
        <v>0</v>
      </c>
      <c r="X723" s="580"/>
      <c r="Y723" s="583">
        <f>IF(GLOBAL_DER_FEV_2023!W723=0,0,IF(GLOBAL_DER_FEV_2023!W723&gt;0,"c","b"))</f>
        <v>0</v>
      </c>
    </row>
    <row r="724" spans="1:25" ht="13.5" hidden="1" thickBot="1" x14ac:dyDescent="0.25">
      <c r="A724" s="317" t="s">
        <v>147</v>
      </c>
      <c r="B724" s="895" t="s">
        <v>147</v>
      </c>
      <c r="C724" s="896"/>
      <c r="D724" s="957" t="s">
        <v>229</v>
      </c>
      <c r="E724" s="907">
        <f>GLOBAL_DER_FEV_2023!E724</f>
        <v>150</v>
      </c>
      <c r="F724" s="908">
        <f>GLOBAL_DER_FEV_2023!F724</f>
        <v>0</v>
      </c>
      <c r="G724" s="912">
        <f>GLOBAL_DER_FEV_2023!G724</f>
        <v>0</v>
      </c>
      <c r="H724" s="901">
        <f>GLOBAL_DER_FEV_2023!H724</f>
        <v>0</v>
      </c>
      <c r="I724" s="901">
        <f>GLOBAL_DER_FEV_2023!I724</f>
        <v>0</v>
      </c>
      <c r="J724" s="902">
        <f>GLOBAL_DER_FEV_2023!J724</f>
        <v>0</v>
      </c>
      <c r="K724" s="903" t="s">
        <v>507</v>
      </c>
      <c r="L724" s="1003"/>
      <c r="M724" s="1157">
        <f t="shared" si="52"/>
        <v>0</v>
      </c>
      <c r="N724" s="893">
        <f t="shared" si="51"/>
        <v>0</v>
      </c>
      <c r="O724" s="905"/>
      <c r="P724" s="58" t="str">
        <f>IF(N723&gt;0,"xx",IF(N723&gt;0,"xy",""))</f>
        <v/>
      </c>
      <c r="Q724" s="317" t="str">
        <f t="shared" si="53"/>
        <v/>
      </c>
      <c r="R724" s="317" t="str">
        <f t="shared" si="54"/>
        <v/>
      </c>
      <c r="S724" s="317" t="str">
        <f t="shared" si="55"/>
        <v/>
      </c>
      <c r="T724" s="317" t="str">
        <f>GLOBAL_DER_FEV_2023!S724</f>
        <v/>
      </c>
      <c r="W724" s="582">
        <v>0</v>
      </c>
      <c r="X724" s="580"/>
      <c r="Y724" s="583">
        <f>IF(GLOBAL_DER_FEV_2023!W724=0,0,IF(GLOBAL_DER_FEV_2023!W724&gt;0,"c","b"))</f>
        <v>0</v>
      </c>
    </row>
    <row r="725" spans="1:25" ht="13.5" hidden="1" thickBot="1" x14ac:dyDescent="0.25">
      <c r="A725" s="317" t="s">
        <v>147</v>
      </c>
      <c r="B725" s="895" t="s">
        <v>147</v>
      </c>
      <c r="C725" s="896"/>
      <c r="D725" s="957" t="s">
        <v>230</v>
      </c>
      <c r="E725" s="907">
        <f>GLOBAL_DER_FEV_2023!E725</f>
        <v>353</v>
      </c>
      <c r="F725" s="908">
        <f>GLOBAL_DER_FEV_2023!F725</f>
        <v>0</v>
      </c>
      <c r="G725" s="909">
        <f>GLOBAL_DER_FEV_2023!G725</f>
        <v>0</v>
      </c>
      <c r="H725" s="901">
        <f>GLOBAL_DER_FEV_2023!H725</f>
        <v>0</v>
      </c>
      <c r="I725" s="901">
        <f>GLOBAL_DER_FEV_2023!I725</f>
        <v>0</v>
      </c>
      <c r="J725" s="902">
        <f>GLOBAL_DER_FEV_2023!J725</f>
        <v>0</v>
      </c>
      <c r="K725" s="903" t="s">
        <v>507</v>
      </c>
      <c r="L725" s="1003"/>
      <c r="M725" s="1157">
        <f t="shared" si="52"/>
        <v>0</v>
      </c>
      <c r="N725" s="893">
        <f t="shared" ref="N725:N800" si="56">IF(ISBLANK(L725),0,IF(W725=0,ROUND(L725*M725,2),IF(W725="b",ROUNDDOWN(L725*M725,2),ROUNDUP(L725*M725,2))))</f>
        <v>0</v>
      </c>
      <c r="O725" s="905"/>
      <c r="P725" s="58" t="str">
        <f>IF(N723&gt;0,"xx",IF(N723&gt;0,"xy",""))</f>
        <v/>
      </c>
      <c r="Q725" s="317" t="str">
        <f t="shared" si="53"/>
        <v/>
      </c>
      <c r="R725" s="317" t="str">
        <f t="shared" si="54"/>
        <v/>
      </c>
      <c r="S725" s="317" t="str">
        <f t="shared" si="55"/>
        <v/>
      </c>
      <c r="T725" s="317" t="str">
        <f>GLOBAL_DER_FEV_2023!S725</f>
        <v/>
      </c>
      <c r="W725" s="582">
        <v>0</v>
      </c>
      <c r="X725" s="580"/>
      <c r="Y725" s="583">
        <f>IF(GLOBAL_DER_FEV_2023!W725=0,0,IF(GLOBAL_DER_FEV_2023!W725&gt;0,"c","b"))</f>
        <v>0</v>
      </c>
    </row>
    <row r="726" spans="1:25" ht="13.5" hidden="1" thickBot="1" x14ac:dyDescent="0.25">
      <c r="A726" s="317" t="s">
        <v>147</v>
      </c>
      <c r="B726" s="895" t="s">
        <v>147</v>
      </c>
      <c r="C726" s="896"/>
      <c r="D726" s="957" t="s">
        <v>243</v>
      </c>
      <c r="E726" s="907">
        <f>GLOBAL_DER_FEV_2023!E726</f>
        <v>0.2</v>
      </c>
      <c r="F726" s="908">
        <f>GLOBAL_DER_FEV_2023!F726</f>
        <v>2.09</v>
      </c>
      <c r="G726" s="912">
        <f>GLOBAL_DER_FEV_2023!G726</f>
        <v>6.0484599999999995</v>
      </c>
      <c r="H726" s="901">
        <f>GLOBAL_DER_FEV_2023!H726</f>
        <v>0</v>
      </c>
      <c r="I726" s="901">
        <f>GLOBAL_DER_FEV_2023!I726</f>
        <v>0</v>
      </c>
      <c r="J726" s="902">
        <f>GLOBAL_DER_FEV_2023!J726</f>
        <v>0</v>
      </c>
      <c r="K726" s="903" t="s">
        <v>507</v>
      </c>
      <c r="L726" s="1003"/>
      <c r="M726" s="1157">
        <f t="shared" si="52"/>
        <v>0</v>
      </c>
      <c r="N726" s="893">
        <f t="shared" si="56"/>
        <v>0</v>
      </c>
      <c r="O726" s="905"/>
      <c r="P726" s="58" t="str">
        <f>IF(N723&gt;0,"xx",IF(N723&gt;0,"xy",""))</f>
        <v/>
      </c>
      <c r="Q726" s="317" t="str">
        <f t="shared" si="53"/>
        <v/>
      </c>
      <c r="R726" s="317" t="str">
        <f t="shared" si="54"/>
        <v/>
      </c>
      <c r="S726" s="317" t="str">
        <f t="shared" si="55"/>
        <v/>
      </c>
      <c r="T726" s="317" t="str">
        <f>GLOBAL_DER_FEV_2023!S726</f>
        <v/>
      </c>
      <c r="W726" s="582">
        <v>0</v>
      </c>
      <c r="X726" s="580"/>
      <c r="Y726" s="583">
        <f>IF(GLOBAL_DER_FEV_2023!W726=0,0,IF(GLOBAL_DER_FEV_2023!W726&gt;0,"c","b"))</f>
        <v>0</v>
      </c>
    </row>
    <row r="727" spans="1:25" ht="13.5" hidden="1" thickBot="1" x14ac:dyDescent="0.25">
      <c r="A727" s="317" t="s">
        <v>147</v>
      </c>
      <c r="B727" s="895" t="s">
        <v>147</v>
      </c>
      <c r="C727" s="896"/>
      <c r="D727" s="957" t="s">
        <v>244</v>
      </c>
      <c r="E727" s="907">
        <f>GLOBAL_DER_FEV_2023!E727</f>
        <v>22</v>
      </c>
      <c r="F727" s="908">
        <f>GLOBAL_DER_FEV_2023!F727</f>
        <v>2.1999999999999997</v>
      </c>
      <c r="G727" s="912">
        <f>GLOBAL_DER_FEV_2023!G727</f>
        <v>57.683999999999997</v>
      </c>
      <c r="H727" s="901">
        <f>GLOBAL_DER_FEV_2023!H727</f>
        <v>0</v>
      </c>
      <c r="I727" s="901">
        <f>GLOBAL_DER_FEV_2023!I727</f>
        <v>0</v>
      </c>
      <c r="J727" s="902">
        <f>GLOBAL_DER_FEV_2023!J727</f>
        <v>0</v>
      </c>
      <c r="K727" s="903" t="s">
        <v>507</v>
      </c>
      <c r="L727" s="1003"/>
      <c r="M727" s="1157">
        <f t="shared" si="52"/>
        <v>0</v>
      </c>
      <c r="N727" s="893">
        <f t="shared" si="56"/>
        <v>0</v>
      </c>
      <c r="O727" s="905"/>
      <c r="P727" s="58" t="str">
        <f>IF(N723&gt;0,"xx",IF(N723&gt;0,"xy",""))</f>
        <v/>
      </c>
      <c r="Q727" s="317" t="str">
        <f t="shared" si="53"/>
        <v/>
      </c>
      <c r="R727" s="317" t="str">
        <f t="shared" si="54"/>
        <v/>
      </c>
      <c r="S727" s="317" t="str">
        <f t="shared" si="55"/>
        <v/>
      </c>
      <c r="T727" s="317" t="str">
        <f>GLOBAL_DER_FEV_2023!S727</f>
        <v/>
      </c>
      <c r="W727" s="582">
        <v>0</v>
      </c>
      <c r="X727" s="580"/>
      <c r="Y727" s="583">
        <f>IF(GLOBAL_DER_FEV_2023!W727=0,0,IF(GLOBAL_DER_FEV_2023!W727&gt;0,"c","b"))</f>
        <v>0</v>
      </c>
    </row>
    <row r="728" spans="1:25" ht="13.5" hidden="1" thickBot="1" x14ac:dyDescent="0.25">
      <c r="A728" s="317">
        <v>589320</v>
      </c>
      <c r="B728" s="1004" t="s">
        <v>1692</v>
      </c>
      <c r="C728" s="984" t="s">
        <v>213</v>
      </c>
      <c r="D728" s="1012" t="s">
        <v>700</v>
      </c>
      <c r="E728" s="1005">
        <f>GLOBAL_DER_FEV_2023!E728</f>
        <v>45</v>
      </c>
      <c r="F728" s="1006">
        <f>GLOBAL_DER_FEV_2023!F728</f>
        <v>1</v>
      </c>
      <c r="G728" s="949">
        <f>GLOBAL_DER_FEV_2023!G728</f>
        <v>79.25</v>
      </c>
      <c r="H728" s="988">
        <f>GLOBAL_DER_FEV_2023!H728</f>
        <v>4012.83</v>
      </c>
      <c r="I728" s="988">
        <f>GLOBAL_DER_FEV_2023!I728</f>
        <v>3931.9945856583668</v>
      </c>
      <c r="J728" s="989">
        <f>GLOBAL_DER_FEV_2023!J728</f>
        <v>4721.1499999999996</v>
      </c>
      <c r="K728" s="990" t="s">
        <v>14</v>
      </c>
      <c r="L728" s="1169">
        <f>ROUND(L723*$F723,2)</f>
        <v>0</v>
      </c>
      <c r="M728" s="1168">
        <f t="shared" si="52"/>
        <v>0</v>
      </c>
      <c r="N728" s="993">
        <f t="shared" si="56"/>
        <v>0</v>
      </c>
      <c r="O728" s="905"/>
      <c r="P728" s="58" t="str">
        <f>IF(N723&gt;0,"xx",IF(N723&gt;0,"xy",""))</f>
        <v/>
      </c>
      <c r="Q728" s="317" t="str">
        <f t="shared" si="53"/>
        <v/>
      </c>
      <c r="R728" s="317" t="str">
        <f t="shared" si="54"/>
        <v/>
      </c>
      <c r="S728" s="317" t="str">
        <f t="shared" si="55"/>
        <v/>
      </c>
      <c r="T728" s="317" t="str">
        <f>GLOBAL_DER_FEV_2023!S728</f>
        <v/>
      </c>
      <c r="W728" s="582">
        <v>0</v>
      </c>
      <c r="X728" s="580"/>
      <c r="Y728" s="583">
        <f>IF(GLOBAL_DER_FEV_2023!W728=0,0,IF(GLOBAL_DER_FEV_2023!W728&gt;0,"c","b"))</f>
        <v>0</v>
      </c>
    </row>
    <row r="729" spans="1:25" ht="13.5" hidden="1" thickBot="1" x14ac:dyDescent="0.25">
      <c r="A729" s="317">
        <v>534300</v>
      </c>
      <c r="B729" s="999" t="s">
        <v>1684</v>
      </c>
      <c r="C729" s="1000" t="s">
        <v>184</v>
      </c>
      <c r="D729" s="973" t="s">
        <v>2208</v>
      </c>
      <c r="E729" s="974" t="str">
        <f>GLOBAL_DER_FEV_2023!E729</f>
        <v>taxa RM-2C</v>
      </c>
      <c r="F729" s="975">
        <f>GLOBAL_DER_FEV_2023!F729</f>
        <v>0.11</v>
      </c>
      <c r="G729" s="976">
        <f>GLOBAL_DER_FEV_2023!G729</f>
        <v>63.732459999999996</v>
      </c>
      <c r="H729" s="977">
        <f>GLOBAL_DER_FEV_2023!H729</f>
        <v>140.30000000000001</v>
      </c>
      <c r="I729" s="977">
        <f>GLOBAL_DER_FEV_2023!I729</f>
        <v>204.03246000000001</v>
      </c>
      <c r="J729" s="978">
        <f>GLOBAL_DER_FEV_2023!J729</f>
        <v>244.98</v>
      </c>
      <c r="K729" s="979" t="s">
        <v>10</v>
      </c>
      <c r="L729" s="1152"/>
      <c r="M729" s="1153">
        <f t="shared" si="52"/>
        <v>0</v>
      </c>
      <c r="N729" s="982">
        <f t="shared" si="56"/>
        <v>0</v>
      </c>
      <c r="O729" s="905"/>
      <c r="Q729" s="317" t="str">
        <f t="shared" si="53"/>
        <v/>
      </c>
      <c r="R729" s="317" t="str">
        <f t="shared" si="54"/>
        <v/>
      </c>
      <c r="S729" s="317" t="str">
        <f t="shared" si="55"/>
        <v/>
      </c>
      <c r="T729" s="317" t="str">
        <f>GLOBAL_DER_FEV_2023!S729</f>
        <v/>
      </c>
      <c r="W729" s="582">
        <v>0</v>
      </c>
      <c r="X729" s="580"/>
      <c r="Y729" s="583">
        <f>IF(GLOBAL_DER_FEV_2023!W729=0,0,IF(GLOBAL_DER_FEV_2023!W729&gt;0,"c","b"))</f>
        <v>0</v>
      </c>
    </row>
    <row r="730" spans="1:25" ht="13.5" hidden="1" thickBot="1" x14ac:dyDescent="0.25">
      <c r="A730" s="317" t="s">
        <v>147</v>
      </c>
      <c r="B730" s="895" t="s">
        <v>147</v>
      </c>
      <c r="C730" s="896"/>
      <c r="D730" s="957" t="s">
        <v>229</v>
      </c>
      <c r="E730" s="907">
        <f>GLOBAL_DER_FEV_2023!E730</f>
        <v>150</v>
      </c>
      <c r="F730" s="908">
        <f>GLOBAL_DER_FEV_2023!F730</f>
        <v>0</v>
      </c>
      <c r="G730" s="912">
        <f>GLOBAL_DER_FEV_2023!G730</f>
        <v>0</v>
      </c>
      <c r="H730" s="901">
        <f>GLOBAL_DER_FEV_2023!H730</f>
        <v>0</v>
      </c>
      <c r="I730" s="901">
        <f>GLOBAL_DER_FEV_2023!I730</f>
        <v>0</v>
      </c>
      <c r="J730" s="902">
        <f>GLOBAL_DER_FEV_2023!J730</f>
        <v>0</v>
      </c>
      <c r="K730" s="903" t="s">
        <v>507</v>
      </c>
      <c r="L730" s="1003"/>
      <c r="M730" s="1157">
        <f t="shared" si="52"/>
        <v>0</v>
      </c>
      <c r="N730" s="893">
        <f t="shared" si="56"/>
        <v>0</v>
      </c>
      <c r="O730" s="905"/>
      <c r="P730" s="58" t="str">
        <f>IF(N729&gt;0,"xx",IF(N729&gt;0,"xy",""))</f>
        <v/>
      </c>
      <c r="Q730" s="317" t="str">
        <f t="shared" si="53"/>
        <v/>
      </c>
      <c r="R730" s="317" t="str">
        <f t="shared" si="54"/>
        <v/>
      </c>
      <c r="S730" s="317" t="str">
        <f t="shared" si="55"/>
        <v/>
      </c>
      <c r="T730" s="317" t="str">
        <f>GLOBAL_DER_FEV_2023!S730</f>
        <v/>
      </c>
      <c r="W730" s="582">
        <v>0</v>
      </c>
      <c r="X730" s="580"/>
      <c r="Y730" s="583">
        <f>IF(GLOBAL_DER_FEV_2023!W730=0,0,IF(GLOBAL_DER_FEV_2023!W730&gt;0,"c","b"))</f>
        <v>0</v>
      </c>
    </row>
    <row r="731" spans="1:25" ht="13.5" hidden="1" thickBot="1" x14ac:dyDescent="0.25">
      <c r="A731" s="317" t="s">
        <v>147</v>
      </c>
      <c r="B731" s="895" t="s">
        <v>147</v>
      </c>
      <c r="C731" s="896"/>
      <c r="D731" s="957" t="s">
        <v>230</v>
      </c>
      <c r="E731" s="907">
        <f>GLOBAL_DER_FEV_2023!E731</f>
        <v>353</v>
      </c>
      <c r="F731" s="908">
        <f>GLOBAL_DER_FEV_2023!F731</f>
        <v>0</v>
      </c>
      <c r="G731" s="909">
        <f>GLOBAL_DER_FEV_2023!G731</f>
        <v>0</v>
      </c>
      <c r="H731" s="901">
        <f>GLOBAL_DER_FEV_2023!H731</f>
        <v>0</v>
      </c>
      <c r="I731" s="901">
        <f>GLOBAL_DER_FEV_2023!I731</f>
        <v>0</v>
      </c>
      <c r="J731" s="902">
        <f>GLOBAL_DER_FEV_2023!J731</f>
        <v>0</v>
      </c>
      <c r="K731" s="903" t="s">
        <v>507</v>
      </c>
      <c r="L731" s="1003"/>
      <c r="M731" s="1157">
        <f t="shared" si="52"/>
        <v>0</v>
      </c>
      <c r="N731" s="893">
        <f t="shared" si="56"/>
        <v>0</v>
      </c>
      <c r="O731" s="905"/>
      <c r="P731" s="58" t="str">
        <f>IF(N729&gt;0,"xx",IF(N729&gt;0,"xy",""))</f>
        <v/>
      </c>
      <c r="Q731" s="317" t="str">
        <f t="shared" si="53"/>
        <v/>
      </c>
      <c r="R731" s="317" t="str">
        <f t="shared" si="54"/>
        <v/>
      </c>
      <c r="S731" s="317" t="str">
        <f t="shared" si="55"/>
        <v/>
      </c>
      <c r="T731" s="317" t="str">
        <f>GLOBAL_DER_FEV_2023!S731</f>
        <v/>
      </c>
      <c r="W731" s="582">
        <v>0</v>
      </c>
      <c r="X731" s="580"/>
      <c r="Y731" s="583">
        <f>IF(GLOBAL_DER_FEV_2023!W731=0,0,IF(GLOBAL_DER_FEV_2023!W731&gt;0,"c","b"))</f>
        <v>0</v>
      </c>
    </row>
    <row r="732" spans="1:25" ht="13.5" hidden="1" thickBot="1" x14ac:dyDescent="0.25">
      <c r="A732" s="317" t="s">
        <v>147</v>
      </c>
      <c r="B732" s="895" t="s">
        <v>147</v>
      </c>
      <c r="C732" s="896"/>
      <c r="D732" s="957" t="s">
        <v>243</v>
      </c>
      <c r="E732" s="907">
        <f>GLOBAL_DER_FEV_2023!E732</f>
        <v>0.2</v>
      </c>
      <c r="F732" s="908">
        <f>GLOBAL_DER_FEV_2023!F732</f>
        <v>2.09</v>
      </c>
      <c r="G732" s="912">
        <f>GLOBAL_DER_FEV_2023!G732</f>
        <v>6.0484599999999995</v>
      </c>
      <c r="H732" s="901">
        <f>GLOBAL_DER_FEV_2023!H732</f>
        <v>0</v>
      </c>
      <c r="I732" s="901">
        <f>GLOBAL_DER_FEV_2023!I732</f>
        <v>0</v>
      </c>
      <c r="J732" s="902">
        <f>GLOBAL_DER_FEV_2023!J732</f>
        <v>0</v>
      </c>
      <c r="K732" s="903" t="s">
        <v>507</v>
      </c>
      <c r="L732" s="1003"/>
      <c r="M732" s="1157">
        <f t="shared" si="52"/>
        <v>0</v>
      </c>
      <c r="N732" s="893">
        <f t="shared" si="56"/>
        <v>0</v>
      </c>
      <c r="O732" s="905"/>
      <c r="P732" s="58" t="str">
        <f>IF(N729&gt;0,"xx",IF(N729&gt;0,"xy",""))</f>
        <v/>
      </c>
      <c r="Q732" s="317" t="str">
        <f t="shared" si="53"/>
        <v/>
      </c>
      <c r="R732" s="317" t="str">
        <f t="shared" si="54"/>
        <v/>
      </c>
      <c r="S732" s="317" t="str">
        <f t="shared" si="55"/>
        <v/>
      </c>
      <c r="T732" s="317" t="str">
        <f>GLOBAL_DER_FEV_2023!S732</f>
        <v/>
      </c>
      <c r="W732" s="582">
        <v>0</v>
      </c>
      <c r="X732" s="580"/>
      <c r="Y732" s="583">
        <f>IF(GLOBAL_DER_FEV_2023!W732=0,0,IF(GLOBAL_DER_FEV_2023!W732&gt;0,"c","b"))</f>
        <v>0</v>
      </c>
    </row>
    <row r="733" spans="1:25" ht="13.5" hidden="1" thickBot="1" x14ac:dyDescent="0.25">
      <c r="A733" s="317" t="s">
        <v>147</v>
      </c>
      <c r="B733" s="895" t="s">
        <v>147</v>
      </c>
      <c r="C733" s="896"/>
      <c r="D733" s="957" t="s">
        <v>244</v>
      </c>
      <c r="E733" s="907">
        <f>GLOBAL_DER_FEV_2023!E733</f>
        <v>22</v>
      </c>
      <c r="F733" s="908">
        <f>GLOBAL_DER_FEV_2023!F733</f>
        <v>2.1999999999999997</v>
      </c>
      <c r="G733" s="912">
        <f>GLOBAL_DER_FEV_2023!G733</f>
        <v>57.683999999999997</v>
      </c>
      <c r="H733" s="901">
        <f>GLOBAL_DER_FEV_2023!H733</f>
        <v>0</v>
      </c>
      <c r="I733" s="901">
        <f>GLOBAL_DER_FEV_2023!I733</f>
        <v>0</v>
      </c>
      <c r="J733" s="902">
        <f>GLOBAL_DER_FEV_2023!J733</f>
        <v>0</v>
      </c>
      <c r="K733" s="903" t="s">
        <v>507</v>
      </c>
      <c r="L733" s="1003"/>
      <c r="M733" s="1157">
        <f t="shared" si="52"/>
        <v>0</v>
      </c>
      <c r="N733" s="893">
        <f t="shared" si="56"/>
        <v>0</v>
      </c>
      <c r="O733" s="905"/>
      <c r="P733" s="58" t="str">
        <f>IF(N729&gt;0,"xx",IF(N729&gt;0,"xy",""))</f>
        <v/>
      </c>
      <c r="Q733" s="317" t="str">
        <f t="shared" si="53"/>
        <v/>
      </c>
      <c r="R733" s="317" t="str">
        <f t="shared" si="54"/>
        <v/>
      </c>
      <c r="S733" s="317" t="str">
        <f t="shared" si="55"/>
        <v/>
      </c>
      <c r="T733" s="317" t="str">
        <f>GLOBAL_DER_FEV_2023!S733</f>
        <v/>
      </c>
      <c r="W733" s="582">
        <v>0</v>
      </c>
      <c r="X733" s="580"/>
      <c r="Y733" s="583">
        <f>IF(GLOBAL_DER_FEV_2023!W733=0,0,IF(GLOBAL_DER_FEV_2023!W733&gt;0,"c","b"))</f>
        <v>0</v>
      </c>
    </row>
    <row r="734" spans="1:25" ht="13.5" hidden="1" thickBot="1" x14ac:dyDescent="0.25">
      <c r="A734" s="317">
        <v>589320</v>
      </c>
      <c r="B734" s="1004" t="s">
        <v>1693</v>
      </c>
      <c r="C734" s="984" t="s">
        <v>213</v>
      </c>
      <c r="D734" s="1012" t="s">
        <v>700</v>
      </c>
      <c r="E734" s="1005">
        <f>GLOBAL_DER_FEV_2023!E734</f>
        <v>45</v>
      </c>
      <c r="F734" s="1006">
        <f>GLOBAL_DER_FEV_2023!F734</f>
        <v>1</v>
      </c>
      <c r="G734" s="949">
        <f>GLOBAL_DER_FEV_2023!G734</f>
        <v>79.25</v>
      </c>
      <c r="H734" s="988">
        <f>GLOBAL_DER_FEV_2023!H734</f>
        <v>4012.83</v>
      </c>
      <c r="I734" s="988">
        <f>GLOBAL_DER_FEV_2023!I734</f>
        <v>3931.9945856583668</v>
      </c>
      <c r="J734" s="989">
        <f>GLOBAL_DER_FEV_2023!J734</f>
        <v>4721.1499999999996</v>
      </c>
      <c r="K734" s="990" t="s">
        <v>14</v>
      </c>
      <c r="L734" s="1169">
        <f>ROUND(L729*$F729,2)</f>
        <v>0</v>
      </c>
      <c r="M734" s="1168">
        <f t="shared" si="52"/>
        <v>0</v>
      </c>
      <c r="N734" s="993">
        <f t="shared" si="56"/>
        <v>0</v>
      </c>
      <c r="O734" s="905"/>
      <c r="P734" s="58" t="str">
        <f>IF(N729&gt;0,"xx",IF(N729&gt;0,"xy",""))</f>
        <v/>
      </c>
      <c r="Q734" s="317" t="str">
        <f t="shared" si="53"/>
        <v/>
      </c>
      <c r="R734" s="317" t="str">
        <f t="shared" si="54"/>
        <v/>
      </c>
      <c r="S734" s="317" t="str">
        <f t="shared" si="55"/>
        <v/>
      </c>
      <c r="T734" s="317" t="str">
        <f>GLOBAL_DER_FEV_2023!S734</f>
        <v/>
      </c>
      <c r="W734" s="582">
        <v>0</v>
      </c>
      <c r="X734" s="580"/>
      <c r="Y734" s="583">
        <f>IF(GLOBAL_DER_FEV_2023!W734=0,0,IF(GLOBAL_DER_FEV_2023!W734&gt;0,"c","b"))</f>
        <v>0</v>
      </c>
    </row>
    <row r="735" spans="1:25" ht="13.5" hidden="1" thickBot="1" x14ac:dyDescent="0.25">
      <c r="A735" s="317">
        <v>534300</v>
      </c>
      <c r="B735" s="999" t="s">
        <v>1685</v>
      </c>
      <c r="C735" s="1000" t="s">
        <v>184</v>
      </c>
      <c r="D735" s="973" t="s">
        <v>2209</v>
      </c>
      <c r="E735" s="974" t="str">
        <f>GLOBAL_DER_FEV_2023!E735</f>
        <v>taxa RM-2C</v>
      </c>
      <c r="F735" s="975">
        <f>GLOBAL_DER_FEV_2023!F735</f>
        <v>0.14000000000000001</v>
      </c>
      <c r="G735" s="976">
        <f>GLOBAL_DER_FEV_2023!G735</f>
        <v>109.83426</v>
      </c>
      <c r="H735" s="977">
        <f>GLOBAL_DER_FEV_2023!H735</f>
        <v>140.30000000000001</v>
      </c>
      <c r="I735" s="977">
        <f>GLOBAL_DER_FEV_2023!I735</f>
        <v>250.13426000000001</v>
      </c>
      <c r="J735" s="978">
        <f>GLOBAL_DER_FEV_2023!J735</f>
        <v>300.33999999999997</v>
      </c>
      <c r="K735" s="979" t="s">
        <v>10</v>
      </c>
      <c r="L735" s="1152"/>
      <c r="M735" s="1153">
        <f t="shared" si="52"/>
        <v>0</v>
      </c>
      <c r="N735" s="982">
        <f t="shared" si="56"/>
        <v>0</v>
      </c>
      <c r="O735" s="905"/>
      <c r="Q735" s="317" t="str">
        <f t="shared" si="53"/>
        <v/>
      </c>
      <c r="R735" s="317" t="str">
        <f t="shared" si="54"/>
        <v/>
      </c>
      <c r="S735" s="317" t="str">
        <f t="shared" si="55"/>
        <v/>
      </c>
      <c r="T735" s="317" t="str">
        <f>GLOBAL_DER_FEV_2023!S735</f>
        <v/>
      </c>
      <c r="W735" s="582">
        <v>0</v>
      </c>
      <c r="X735" s="580"/>
      <c r="Y735" s="583">
        <f>IF(GLOBAL_DER_FEV_2023!W735=0,0,IF(GLOBAL_DER_FEV_2023!W735&gt;0,"c","b"))</f>
        <v>0</v>
      </c>
    </row>
    <row r="736" spans="1:25" ht="13.5" hidden="1" thickBot="1" x14ac:dyDescent="0.25">
      <c r="A736" s="317" t="s">
        <v>147</v>
      </c>
      <c r="B736" s="895" t="s">
        <v>147</v>
      </c>
      <c r="C736" s="896"/>
      <c r="D736" s="957" t="s">
        <v>229</v>
      </c>
      <c r="E736" s="907">
        <f>GLOBAL_DER_FEV_2023!E736</f>
        <v>150</v>
      </c>
      <c r="F736" s="908">
        <f>GLOBAL_DER_FEV_2023!F736</f>
        <v>0.27</v>
      </c>
      <c r="G736" s="912">
        <f>GLOBAL_DER_FEV_2023!G736</f>
        <v>44.058600000000006</v>
      </c>
      <c r="H736" s="901">
        <f>GLOBAL_DER_FEV_2023!H736</f>
        <v>0</v>
      </c>
      <c r="I736" s="901">
        <f>GLOBAL_DER_FEV_2023!I736</f>
        <v>0</v>
      </c>
      <c r="J736" s="902">
        <f>GLOBAL_DER_FEV_2023!J736</f>
        <v>0</v>
      </c>
      <c r="K736" s="903" t="s">
        <v>507</v>
      </c>
      <c r="L736" s="1003"/>
      <c r="M736" s="1157">
        <f t="shared" si="52"/>
        <v>0</v>
      </c>
      <c r="N736" s="893">
        <f t="shared" si="56"/>
        <v>0</v>
      </c>
      <c r="O736" s="905"/>
      <c r="P736" s="58" t="str">
        <f>IF(N735&gt;0,"xx",IF(N735&gt;0,"xy",""))</f>
        <v/>
      </c>
      <c r="Q736" s="317" t="str">
        <f t="shared" si="53"/>
        <v/>
      </c>
      <c r="R736" s="317" t="str">
        <f t="shared" si="54"/>
        <v/>
      </c>
      <c r="S736" s="317" t="str">
        <f t="shared" si="55"/>
        <v/>
      </c>
      <c r="T736" s="317" t="str">
        <f>GLOBAL_DER_FEV_2023!S736</f>
        <v/>
      </c>
      <c r="W736" s="582">
        <v>0</v>
      </c>
      <c r="X736" s="580"/>
      <c r="Y736" s="583">
        <f>IF(GLOBAL_DER_FEV_2023!W736=0,0,IF(GLOBAL_DER_FEV_2023!W736&gt;0,"c","b"))</f>
        <v>0</v>
      </c>
    </row>
    <row r="737" spans="1:25" ht="13.5" hidden="1" thickBot="1" x14ac:dyDescent="0.25">
      <c r="A737" s="317" t="s">
        <v>147</v>
      </c>
      <c r="B737" s="895" t="s">
        <v>147</v>
      </c>
      <c r="C737" s="896"/>
      <c r="D737" s="957" t="s">
        <v>230</v>
      </c>
      <c r="E737" s="907">
        <f>GLOBAL_DER_FEV_2023!E737</f>
        <v>353</v>
      </c>
      <c r="F737" s="908">
        <f>GLOBAL_DER_FEV_2023!F737</f>
        <v>0</v>
      </c>
      <c r="G737" s="909">
        <f>GLOBAL_DER_FEV_2023!G737</f>
        <v>0</v>
      </c>
      <c r="H737" s="901">
        <f>GLOBAL_DER_FEV_2023!H737</f>
        <v>0</v>
      </c>
      <c r="I737" s="901">
        <f>GLOBAL_DER_FEV_2023!I737</f>
        <v>0</v>
      </c>
      <c r="J737" s="902">
        <f>GLOBAL_DER_FEV_2023!J737</f>
        <v>0</v>
      </c>
      <c r="K737" s="903" t="s">
        <v>507</v>
      </c>
      <c r="L737" s="1003"/>
      <c r="M737" s="1157">
        <f t="shared" si="52"/>
        <v>0</v>
      </c>
      <c r="N737" s="893">
        <f t="shared" si="56"/>
        <v>0</v>
      </c>
      <c r="O737" s="905"/>
      <c r="P737" s="58" t="str">
        <f>IF(N735&gt;0,"xx",IF(N735&gt;0,"xy",""))</f>
        <v/>
      </c>
      <c r="Q737" s="317" t="str">
        <f t="shared" si="53"/>
        <v/>
      </c>
      <c r="R737" s="317" t="str">
        <f t="shared" si="54"/>
        <v/>
      </c>
      <c r="S737" s="317" t="str">
        <f t="shared" si="55"/>
        <v/>
      </c>
      <c r="T737" s="317" t="str">
        <f>GLOBAL_DER_FEV_2023!S737</f>
        <v/>
      </c>
      <c r="W737" s="582">
        <v>0</v>
      </c>
      <c r="X737" s="580"/>
      <c r="Y737" s="583">
        <f>IF(GLOBAL_DER_FEV_2023!W737=0,0,IF(GLOBAL_DER_FEV_2023!W737&gt;0,"c","b"))</f>
        <v>0</v>
      </c>
    </row>
    <row r="738" spans="1:25" ht="13.5" hidden="1" thickBot="1" x14ac:dyDescent="0.25">
      <c r="A738" s="317" t="s">
        <v>147</v>
      </c>
      <c r="B738" s="895" t="s">
        <v>147</v>
      </c>
      <c r="C738" s="896"/>
      <c r="D738" s="957" t="s">
        <v>243</v>
      </c>
      <c r="E738" s="907">
        <f>GLOBAL_DER_FEV_2023!E738</f>
        <v>0.2</v>
      </c>
      <c r="F738" s="908">
        <f>GLOBAL_DER_FEV_2023!F738</f>
        <v>1.89</v>
      </c>
      <c r="G738" s="912">
        <f>GLOBAL_DER_FEV_2023!G738</f>
        <v>5.4696600000000002</v>
      </c>
      <c r="H738" s="901">
        <f>GLOBAL_DER_FEV_2023!H738</f>
        <v>0</v>
      </c>
      <c r="I738" s="901">
        <f>GLOBAL_DER_FEV_2023!I738</f>
        <v>0</v>
      </c>
      <c r="J738" s="902">
        <f>GLOBAL_DER_FEV_2023!J738</f>
        <v>0</v>
      </c>
      <c r="K738" s="903" t="s">
        <v>507</v>
      </c>
      <c r="L738" s="1003"/>
      <c r="M738" s="1157">
        <f t="shared" si="52"/>
        <v>0</v>
      </c>
      <c r="N738" s="893">
        <f t="shared" si="56"/>
        <v>0</v>
      </c>
      <c r="O738" s="905"/>
      <c r="P738" s="58" t="str">
        <f>IF(N735&gt;0,"xx",IF(N735&gt;0,"xy",""))</f>
        <v/>
      </c>
      <c r="Q738" s="317" t="str">
        <f t="shared" si="53"/>
        <v/>
      </c>
      <c r="R738" s="317" t="str">
        <f t="shared" si="54"/>
        <v/>
      </c>
      <c r="S738" s="317" t="str">
        <f t="shared" si="55"/>
        <v/>
      </c>
      <c r="T738" s="317" t="str">
        <f>GLOBAL_DER_FEV_2023!S738</f>
        <v/>
      </c>
      <c r="W738" s="582">
        <v>0</v>
      </c>
      <c r="X738" s="580"/>
      <c r="Y738" s="583">
        <f>IF(GLOBAL_DER_FEV_2023!W738=0,0,IF(GLOBAL_DER_FEV_2023!W738&gt;0,"c","b"))</f>
        <v>0</v>
      </c>
    </row>
    <row r="739" spans="1:25" ht="13.5" hidden="1" thickBot="1" x14ac:dyDescent="0.25">
      <c r="A739" s="317" t="s">
        <v>147</v>
      </c>
      <c r="B739" s="895" t="s">
        <v>147</v>
      </c>
      <c r="C739" s="896"/>
      <c r="D739" s="957" t="s">
        <v>244</v>
      </c>
      <c r="E739" s="907">
        <f>GLOBAL_DER_FEV_2023!E739</f>
        <v>22</v>
      </c>
      <c r="F739" s="908">
        <f>GLOBAL_DER_FEV_2023!F739</f>
        <v>2.2999999999999998</v>
      </c>
      <c r="G739" s="912">
        <f>GLOBAL_DER_FEV_2023!G739</f>
        <v>60.305999999999997</v>
      </c>
      <c r="H739" s="901">
        <f>GLOBAL_DER_FEV_2023!H739</f>
        <v>0</v>
      </c>
      <c r="I739" s="901">
        <f>GLOBAL_DER_FEV_2023!I739</f>
        <v>0</v>
      </c>
      <c r="J739" s="902">
        <f>GLOBAL_DER_FEV_2023!J739</f>
        <v>0</v>
      </c>
      <c r="K739" s="903" t="s">
        <v>507</v>
      </c>
      <c r="L739" s="1003"/>
      <c r="M739" s="1157">
        <f t="shared" si="52"/>
        <v>0</v>
      </c>
      <c r="N739" s="893">
        <f t="shared" si="56"/>
        <v>0</v>
      </c>
      <c r="O739" s="905"/>
      <c r="P739" s="58" t="str">
        <f>IF(N735&gt;0,"xx",IF(N735&gt;0,"xy",""))</f>
        <v/>
      </c>
      <c r="Q739" s="317" t="str">
        <f t="shared" si="53"/>
        <v/>
      </c>
      <c r="R739" s="317" t="str">
        <f t="shared" si="54"/>
        <v/>
      </c>
      <c r="S739" s="317" t="str">
        <f t="shared" si="55"/>
        <v/>
      </c>
      <c r="T739" s="317" t="str">
        <f>GLOBAL_DER_FEV_2023!S739</f>
        <v/>
      </c>
      <c r="W739" s="582">
        <v>0</v>
      </c>
      <c r="X739" s="580"/>
      <c r="Y739" s="583">
        <f>IF(GLOBAL_DER_FEV_2023!W739=0,0,IF(GLOBAL_DER_FEV_2023!W739&gt;0,"c","b"))</f>
        <v>0</v>
      </c>
    </row>
    <row r="740" spans="1:25" ht="13.5" hidden="1" thickBot="1" x14ac:dyDescent="0.25">
      <c r="A740" s="317">
        <v>589320</v>
      </c>
      <c r="B740" s="1004" t="s">
        <v>1694</v>
      </c>
      <c r="C740" s="984" t="s">
        <v>213</v>
      </c>
      <c r="D740" s="1012" t="s">
        <v>700</v>
      </c>
      <c r="E740" s="1005">
        <f>GLOBAL_DER_FEV_2023!E740</f>
        <v>45</v>
      </c>
      <c r="F740" s="1006">
        <f>GLOBAL_DER_FEV_2023!F740</f>
        <v>1</v>
      </c>
      <c r="G740" s="949">
        <f>GLOBAL_DER_FEV_2023!G740</f>
        <v>79.25</v>
      </c>
      <c r="H740" s="988">
        <f>GLOBAL_DER_FEV_2023!H740</f>
        <v>4012.83</v>
      </c>
      <c r="I740" s="988">
        <f>GLOBAL_DER_FEV_2023!I740</f>
        <v>3931.9945856583668</v>
      </c>
      <c r="J740" s="989">
        <f>GLOBAL_DER_FEV_2023!J740</f>
        <v>4721.1499999999996</v>
      </c>
      <c r="K740" s="990" t="s">
        <v>14</v>
      </c>
      <c r="L740" s="1169">
        <f>ROUND(L735*$F735,2)</f>
        <v>0</v>
      </c>
      <c r="M740" s="1168">
        <f t="shared" si="52"/>
        <v>0</v>
      </c>
      <c r="N740" s="993">
        <f t="shared" si="56"/>
        <v>0</v>
      </c>
      <c r="O740" s="905"/>
      <c r="P740" s="58" t="str">
        <f>IF(N735&gt;0,"xx",IF(N735&gt;0,"xy",""))</f>
        <v/>
      </c>
      <c r="Q740" s="317" t="str">
        <f t="shared" si="53"/>
        <v/>
      </c>
      <c r="R740" s="317" t="str">
        <f t="shared" si="54"/>
        <v/>
      </c>
      <c r="S740" s="317" t="str">
        <f t="shared" si="55"/>
        <v/>
      </c>
      <c r="T740" s="317" t="str">
        <f>GLOBAL_DER_FEV_2023!S740</f>
        <v/>
      </c>
      <c r="W740" s="582">
        <v>0</v>
      </c>
      <c r="X740" s="580"/>
      <c r="Y740" s="583">
        <f>IF(GLOBAL_DER_FEV_2023!W740=0,0,IF(GLOBAL_DER_FEV_2023!W740&gt;0,"c","b"))</f>
        <v>0</v>
      </c>
    </row>
    <row r="741" spans="1:25" ht="13.5" hidden="1" thickBot="1" x14ac:dyDescent="0.25">
      <c r="A741" s="317">
        <v>534300</v>
      </c>
      <c r="B741" s="999" t="s">
        <v>1761</v>
      </c>
      <c r="C741" s="1000" t="s">
        <v>184</v>
      </c>
      <c r="D741" s="973" t="s">
        <v>2208</v>
      </c>
      <c r="E741" s="974" t="str">
        <f>GLOBAL_DER_FEV_2023!E741</f>
        <v>taxa RM-2C</v>
      </c>
      <c r="F741" s="975">
        <f>GLOBAL_DER_FEV_2023!F741</f>
        <v>0.14000000000000001</v>
      </c>
      <c r="G741" s="976">
        <f>GLOBAL_DER_FEV_2023!G741</f>
        <v>109.83426</v>
      </c>
      <c r="H741" s="977">
        <f>GLOBAL_DER_FEV_2023!H741</f>
        <v>140.30000000000001</v>
      </c>
      <c r="I741" s="977">
        <f>GLOBAL_DER_FEV_2023!I741</f>
        <v>250.13426000000001</v>
      </c>
      <c r="J741" s="978">
        <f>GLOBAL_DER_FEV_2023!J741</f>
        <v>300.33999999999997</v>
      </c>
      <c r="K741" s="979" t="s">
        <v>10</v>
      </c>
      <c r="L741" s="1152"/>
      <c r="M741" s="1153">
        <f t="shared" si="52"/>
        <v>0</v>
      </c>
      <c r="N741" s="982">
        <f t="shared" si="56"/>
        <v>0</v>
      </c>
      <c r="O741" s="905"/>
      <c r="Q741" s="317" t="str">
        <f t="shared" si="53"/>
        <v/>
      </c>
      <c r="R741" s="317" t="str">
        <f t="shared" si="54"/>
        <v/>
      </c>
      <c r="S741" s="317" t="str">
        <f t="shared" si="55"/>
        <v/>
      </c>
      <c r="T741" s="317" t="str">
        <f>GLOBAL_DER_FEV_2023!S741</f>
        <v/>
      </c>
      <c r="W741" s="582">
        <v>0</v>
      </c>
      <c r="X741" s="580"/>
      <c r="Y741" s="583">
        <f>IF(GLOBAL_DER_FEV_2023!W741=0,0,IF(GLOBAL_DER_FEV_2023!W741&gt;0,"c","b"))</f>
        <v>0</v>
      </c>
    </row>
    <row r="742" spans="1:25" ht="13.5" hidden="1" thickBot="1" x14ac:dyDescent="0.25">
      <c r="A742" s="317" t="s">
        <v>147</v>
      </c>
      <c r="B742" s="895" t="s">
        <v>147</v>
      </c>
      <c r="C742" s="896"/>
      <c r="D742" s="957" t="s">
        <v>229</v>
      </c>
      <c r="E742" s="907">
        <f>GLOBAL_DER_FEV_2023!E742</f>
        <v>150</v>
      </c>
      <c r="F742" s="908">
        <f>GLOBAL_DER_FEV_2023!F742</f>
        <v>0.27</v>
      </c>
      <c r="G742" s="912">
        <f>GLOBAL_DER_FEV_2023!G742</f>
        <v>44.058600000000006</v>
      </c>
      <c r="H742" s="901">
        <f>GLOBAL_DER_FEV_2023!H742</f>
        <v>0</v>
      </c>
      <c r="I742" s="901">
        <f>GLOBAL_DER_FEV_2023!I742</f>
        <v>0</v>
      </c>
      <c r="J742" s="902">
        <f>GLOBAL_DER_FEV_2023!J742</f>
        <v>0</v>
      </c>
      <c r="K742" s="903" t="s">
        <v>507</v>
      </c>
      <c r="L742" s="1003"/>
      <c r="M742" s="1157">
        <f t="shared" si="52"/>
        <v>0</v>
      </c>
      <c r="N742" s="893">
        <f t="shared" si="56"/>
        <v>0</v>
      </c>
      <c r="O742" s="905"/>
      <c r="P742" s="58" t="str">
        <f>IF(N741&gt;0,"xx",IF(N741&gt;0,"xy",""))</f>
        <v/>
      </c>
      <c r="Q742" s="317" t="str">
        <f t="shared" si="53"/>
        <v/>
      </c>
      <c r="R742" s="317" t="str">
        <f t="shared" si="54"/>
        <v/>
      </c>
      <c r="S742" s="317" t="str">
        <f t="shared" si="55"/>
        <v/>
      </c>
      <c r="T742" s="317" t="str">
        <f>GLOBAL_DER_FEV_2023!S742</f>
        <v/>
      </c>
      <c r="W742" s="582">
        <v>0</v>
      </c>
      <c r="X742" s="580"/>
      <c r="Y742" s="583">
        <f>IF(GLOBAL_DER_FEV_2023!W742=0,0,IF(GLOBAL_DER_FEV_2023!W742&gt;0,"c","b"))</f>
        <v>0</v>
      </c>
    </row>
    <row r="743" spans="1:25" ht="13.5" hidden="1" thickBot="1" x14ac:dyDescent="0.25">
      <c r="A743" s="317" t="s">
        <v>147</v>
      </c>
      <c r="B743" s="895" t="s">
        <v>147</v>
      </c>
      <c r="C743" s="896"/>
      <c r="D743" s="957" t="s">
        <v>230</v>
      </c>
      <c r="E743" s="907">
        <f>GLOBAL_DER_FEV_2023!E743</f>
        <v>353</v>
      </c>
      <c r="F743" s="908">
        <f>GLOBAL_DER_FEV_2023!F743</f>
        <v>0</v>
      </c>
      <c r="G743" s="909">
        <f>GLOBAL_DER_FEV_2023!G743</f>
        <v>0</v>
      </c>
      <c r="H743" s="901">
        <f>GLOBAL_DER_FEV_2023!H743</f>
        <v>0</v>
      </c>
      <c r="I743" s="901">
        <f>GLOBAL_DER_FEV_2023!I743</f>
        <v>0</v>
      </c>
      <c r="J743" s="902">
        <f>GLOBAL_DER_FEV_2023!J743</f>
        <v>0</v>
      </c>
      <c r="K743" s="903" t="s">
        <v>507</v>
      </c>
      <c r="L743" s="1003"/>
      <c r="M743" s="1157">
        <f t="shared" si="52"/>
        <v>0</v>
      </c>
      <c r="N743" s="893">
        <f t="shared" si="56"/>
        <v>0</v>
      </c>
      <c r="O743" s="905"/>
      <c r="P743" s="58" t="str">
        <f>IF(N741&gt;0,"xx",IF(N741&gt;0,"xy",""))</f>
        <v/>
      </c>
      <c r="Q743" s="317" t="str">
        <f t="shared" si="53"/>
        <v/>
      </c>
      <c r="R743" s="317" t="str">
        <f t="shared" si="54"/>
        <v/>
      </c>
      <c r="S743" s="317" t="str">
        <f t="shared" si="55"/>
        <v/>
      </c>
      <c r="T743" s="317" t="str">
        <f>GLOBAL_DER_FEV_2023!S743</f>
        <v/>
      </c>
      <c r="W743" s="582">
        <v>0</v>
      </c>
      <c r="X743" s="580"/>
      <c r="Y743" s="583">
        <f>IF(GLOBAL_DER_FEV_2023!W743=0,0,IF(GLOBAL_DER_FEV_2023!W743&gt;0,"c","b"))</f>
        <v>0</v>
      </c>
    </row>
    <row r="744" spans="1:25" ht="13.5" hidden="1" thickBot="1" x14ac:dyDescent="0.25">
      <c r="A744" s="317" t="s">
        <v>147</v>
      </c>
      <c r="B744" s="895" t="s">
        <v>147</v>
      </c>
      <c r="C744" s="896"/>
      <c r="D744" s="957" t="s">
        <v>243</v>
      </c>
      <c r="E744" s="907">
        <f>GLOBAL_DER_FEV_2023!E744</f>
        <v>0.2</v>
      </c>
      <c r="F744" s="908">
        <f>GLOBAL_DER_FEV_2023!F744</f>
        <v>1.89</v>
      </c>
      <c r="G744" s="912">
        <f>GLOBAL_DER_FEV_2023!G744</f>
        <v>5.4696600000000002</v>
      </c>
      <c r="H744" s="901">
        <f>GLOBAL_DER_FEV_2023!H744</f>
        <v>0</v>
      </c>
      <c r="I744" s="901">
        <f>GLOBAL_DER_FEV_2023!I744</f>
        <v>0</v>
      </c>
      <c r="J744" s="902">
        <f>GLOBAL_DER_FEV_2023!J744</f>
        <v>0</v>
      </c>
      <c r="K744" s="903" t="s">
        <v>507</v>
      </c>
      <c r="L744" s="1003"/>
      <c r="M744" s="1157">
        <f t="shared" si="52"/>
        <v>0</v>
      </c>
      <c r="N744" s="893">
        <f t="shared" si="56"/>
        <v>0</v>
      </c>
      <c r="O744" s="905"/>
      <c r="P744" s="58" t="str">
        <f>IF(N741&gt;0,"xx",IF(N741&gt;0,"xy",""))</f>
        <v/>
      </c>
      <c r="Q744" s="317" t="str">
        <f t="shared" si="53"/>
        <v/>
      </c>
      <c r="R744" s="317" t="str">
        <f t="shared" si="54"/>
        <v/>
      </c>
      <c r="S744" s="317" t="str">
        <f t="shared" si="55"/>
        <v/>
      </c>
      <c r="T744" s="317" t="str">
        <f>GLOBAL_DER_FEV_2023!S744</f>
        <v/>
      </c>
      <c r="W744" s="582">
        <v>0</v>
      </c>
      <c r="X744" s="580"/>
      <c r="Y744" s="583">
        <f>IF(GLOBAL_DER_FEV_2023!W744=0,0,IF(GLOBAL_DER_FEV_2023!W744&gt;0,"c","b"))</f>
        <v>0</v>
      </c>
    </row>
    <row r="745" spans="1:25" ht="13.5" hidden="1" thickBot="1" x14ac:dyDescent="0.25">
      <c r="A745" s="317" t="s">
        <v>147</v>
      </c>
      <c r="B745" s="895" t="s">
        <v>147</v>
      </c>
      <c r="C745" s="896"/>
      <c r="D745" s="957" t="s">
        <v>244</v>
      </c>
      <c r="E745" s="907">
        <f>GLOBAL_DER_FEV_2023!E745</f>
        <v>22</v>
      </c>
      <c r="F745" s="908">
        <f>GLOBAL_DER_FEV_2023!F745</f>
        <v>2.2999999999999998</v>
      </c>
      <c r="G745" s="912">
        <f>GLOBAL_DER_FEV_2023!G745</f>
        <v>60.305999999999997</v>
      </c>
      <c r="H745" s="901">
        <f>GLOBAL_DER_FEV_2023!H745</f>
        <v>0</v>
      </c>
      <c r="I745" s="901">
        <f>GLOBAL_DER_FEV_2023!I745</f>
        <v>0</v>
      </c>
      <c r="J745" s="902">
        <f>GLOBAL_DER_FEV_2023!J745</f>
        <v>0</v>
      </c>
      <c r="K745" s="903" t="s">
        <v>507</v>
      </c>
      <c r="L745" s="1003"/>
      <c r="M745" s="1157">
        <f t="shared" si="52"/>
        <v>0</v>
      </c>
      <c r="N745" s="893">
        <f t="shared" si="56"/>
        <v>0</v>
      </c>
      <c r="O745" s="905"/>
      <c r="P745" s="58" t="str">
        <f>IF(N741&gt;0,"xx",IF(N741&gt;0,"xy",""))</f>
        <v/>
      </c>
      <c r="Q745" s="317" t="str">
        <f t="shared" si="53"/>
        <v/>
      </c>
      <c r="R745" s="317" t="str">
        <f t="shared" si="54"/>
        <v/>
      </c>
      <c r="S745" s="317" t="str">
        <f t="shared" si="55"/>
        <v/>
      </c>
      <c r="T745" s="317" t="str">
        <f>GLOBAL_DER_FEV_2023!S745</f>
        <v/>
      </c>
      <c r="W745" s="582">
        <v>0</v>
      </c>
      <c r="X745" s="580"/>
      <c r="Y745" s="583">
        <f>IF(GLOBAL_DER_FEV_2023!W745=0,0,IF(GLOBAL_DER_FEV_2023!W745&gt;0,"c","b"))</f>
        <v>0</v>
      </c>
    </row>
    <row r="746" spans="1:25" ht="13.5" hidden="1" thickBot="1" x14ac:dyDescent="0.25">
      <c r="A746" s="317">
        <v>589320</v>
      </c>
      <c r="B746" s="1004" t="s">
        <v>1695</v>
      </c>
      <c r="C746" s="984" t="s">
        <v>213</v>
      </c>
      <c r="D746" s="1012" t="s">
        <v>700</v>
      </c>
      <c r="E746" s="1005">
        <f>GLOBAL_DER_FEV_2023!E746</f>
        <v>45</v>
      </c>
      <c r="F746" s="1006">
        <f>GLOBAL_DER_FEV_2023!F746</f>
        <v>1</v>
      </c>
      <c r="G746" s="949">
        <f>GLOBAL_DER_FEV_2023!G746</f>
        <v>79.25</v>
      </c>
      <c r="H746" s="988">
        <f>GLOBAL_DER_FEV_2023!H746</f>
        <v>4012.83</v>
      </c>
      <c r="I746" s="988">
        <f>GLOBAL_DER_FEV_2023!I746</f>
        <v>3931.9945856583668</v>
      </c>
      <c r="J746" s="989">
        <f>GLOBAL_DER_FEV_2023!J746</f>
        <v>4721.1499999999996</v>
      </c>
      <c r="K746" s="990" t="s">
        <v>14</v>
      </c>
      <c r="L746" s="1169">
        <f>ROUND(L741*$F741,2)</f>
        <v>0</v>
      </c>
      <c r="M746" s="1168">
        <f t="shared" si="52"/>
        <v>0</v>
      </c>
      <c r="N746" s="993">
        <f t="shared" si="56"/>
        <v>0</v>
      </c>
      <c r="O746" s="905"/>
      <c r="P746" s="58" t="str">
        <f>IF(N741&gt;0,"xx",IF(N741&gt;0,"xy",""))</f>
        <v/>
      </c>
      <c r="Q746" s="317" t="str">
        <f t="shared" si="53"/>
        <v/>
      </c>
      <c r="R746" s="317" t="str">
        <f t="shared" si="54"/>
        <v/>
      </c>
      <c r="S746" s="317" t="str">
        <f t="shared" si="55"/>
        <v/>
      </c>
      <c r="T746" s="317" t="str">
        <f>GLOBAL_DER_FEV_2023!S746</f>
        <v/>
      </c>
      <c r="W746" s="582">
        <v>0</v>
      </c>
      <c r="X746" s="580"/>
      <c r="Y746" s="583">
        <f>IF(GLOBAL_DER_FEV_2023!W746=0,0,IF(GLOBAL_DER_FEV_2023!W746&gt;0,"c","b"))</f>
        <v>0</v>
      </c>
    </row>
    <row r="747" spans="1:25" ht="13.5" hidden="1" thickBot="1" x14ac:dyDescent="0.25">
      <c r="A747" s="317">
        <v>534300</v>
      </c>
      <c r="B747" s="999" t="s">
        <v>1762</v>
      </c>
      <c r="C747" s="1000" t="s">
        <v>184</v>
      </c>
      <c r="D747" s="973" t="s">
        <v>2210</v>
      </c>
      <c r="E747" s="974" t="str">
        <f>GLOBAL_DER_FEV_2023!E747</f>
        <v>taxa RM-2C</v>
      </c>
      <c r="F747" s="975">
        <f>GLOBAL_DER_FEV_2023!F747</f>
        <v>0.18240000000000001</v>
      </c>
      <c r="G747" s="976">
        <f>GLOBAL_DER_FEV_2023!G747</f>
        <v>184.42589220000002</v>
      </c>
      <c r="H747" s="977">
        <f>GLOBAL_DER_FEV_2023!H747</f>
        <v>140.30000000000001</v>
      </c>
      <c r="I747" s="977">
        <f>GLOBAL_DER_FEV_2023!I747</f>
        <v>324.72589220000003</v>
      </c>
      <c r="J747" s="978">
        <f>GLOBAL_DER_FEV_2023!J747</f>
        <v>389.9</v>
      </c>
      <c r="K747" s="979" t="s">
        <v>10</v>
      </c>
      <c r="L747" s="1152"/>
      <c r="M747" s="1153">
        <f t="shared" si="52"/>
        <v>0</v>
      </c>
      <c r="N747" s="982">
        <f t="shared" si="56"/>
        <v>0</v>
      </c>
      <c r="O747" s="905"/>
      <c r="Q747" s="317" t="str">
        <f t="shared" si="53"/>
        <v/>
      </c>
      <c r="R747" s="317" t="str">
        <f t="shared" si="54"/>
        <v/>
      </c>
      <c r="S747" s="317" t="str">
        <f t="shared" si="55"/>
        <v/>
      </c>
      <c r="T747" s="317" t="str">
        <f>GLOBAL_DER_FEV_2023!S747</f>
        <v/>
      </c>
      <c r="W747" s="582">
        <v>0</v>
      </c>
      <c r="X747" s="580"/>
      <c r="Y747" s="583">
        <f>IF(GLOBAL_DER_FEV_2023!W747=0,0,IF(GLOBAL_DER_FEV_2023!W747&gt;0,"c","b"))</f>
        <v>0</v>
      </c>
    </row>
    <row r="748" spans="1:25" ht="13.5" hidden="1" thickBot="1" x14ac:dyDescent="0.25">
      <c r="A748" s="317" t="s">
        <v>147</v>
      </c>
      <c r="B748" s="895" t="s">
        <v>147</v>
      </c>
      <c r="C748" s="896"/>
      <c r="D748" s="957" t="s">
        <v>229</v>
      </c>
      <c r="E748" s="907">
        <f>GLOBAL_DER_FEV_2023!E748</f>
        <v>150</v>
      </c>
      <c r="F748" s="908">
        <f>GLOBAL_DER_FEV_2023!F748</f>
        <v>0.56969999999999998</v>
      </c>
      <c r="G748" s="912">
        <f>GLOBAL_DER_FEV_2023!G748</f>
        <v>92.963645999999997</v>
      </c>
      <c r="H748" s="901">
        <f>GLOBAL_DER_FEV_2023!H748</f>
        <v>0</v>
      </c>
      <c r="I748" s="901">
        <f>GLOBAL_DER_FEV_2023!I748</f>
        <v>0</v>
      </c>
      <c r="J748" s="902">
        <f>GLOBAL_DER_FEV_2023!J748</f>
        <v>0</v>
      </c>
      <c r="K748" s="903" t="s">
        <v>507</v>
      </c>
      <c r="L748" s="1003"/>
      <c r="M748" s="1157">
        <f t="shared" si="52"/>
        <v>0</v>
      </c>
      <c r="N748" s="893">
        <f t="shared" si="56"/>
        <v>0</v>
      </c>
      <c r="O748" s="905"/>
      <c r="P748" s="58" t="str">
        <f>IF(N747&gt;0,"xx",IF(N747&gt;0,"xy",""))</f>
        <v/>
      </c>
      <c r="Q748" s="317" t="str">
        <f t="shared" si="53"/>
        <v/>
      </c>
      <c r="R748" s="317" t="str">
        <f t="shared" si="54"/>
        <v/>
      </c>
      <c r="S748" s="317" t="str">
        <f t="shared" si="55"/>
        <v/>
      </c>
      <c r="T748" s="317" t="str">
        <f>GLOBAL_DER_FEV_2023!S748</f>
        <v/>
      </c>
      <c r="W748" s="582">
        <v>0</v>
      </c>
      <c r="X748" s="580"/>
      <c r="Y748" s="583">
        <f>IF(GLOBAL_DER_FEV_2023!W748=0,0,IF(GLOBAL_DER_FEV_2023!W748&gt;0,"c","b"))</f>
        <v>0</v>
      </c>
    </row>
    <row r="749" spans="1:25" ht="13.5" hidden="1" thickBot="1" x14ac:dyDescent="0.25">
      <c r="A749" s="317" t="s">
        <v>147</v>
      </c>
      <c r="B749" s="895" t="s">
        <v>147</v>
      </c>
      <c r="C749" s="896"/>
      <c r="D749" s="957" t="s">
        <v>230</v>
      </c>
      <c r="E749" s="907">
        <f>GLOBAL_DER_FEV_2023!E749</f>
        <v>353</v>
      </c>
      <c r="F749" s="908">
        <f>GLOBAL_DER_FEV_2023!F749</f>
        <v>8.7599999999999997E-2</v>
      </c>
      <c r="G749" s="909">
        <f>GLOBAL_DER_FEV_2023!G749</f>
        <v>24.804816000000002</v>
      </c>
      <c r="H749" s="901">
        <f>GLOBAL_DER_FEV_2023!H749</f>
        <v>0</v>
      </c>
      <c r="I749" s="901">
        <f>GLOBAL_DER_FEV_2023!I749</f>
        <v>0</v>
      </c>
      <c r="J749" s="902">
        <f>GLOBAL_DER_FEV_2023!J749</f>
        <v>0</v>
      </c>
      <c r="K749" s="903" t="s">
        <v>507</v>
      </c>
      <c r="L749" s="1003"/>
      <c r="M749" s="1157">
        <f t="shared" si="52"/>
        <v>0</v>
      </c>
      <c r="N749" s="893">
        <f t="shared" si="56"/>
        <v>0</v>
      </c>
      <c r="O749" s="905"/>
      <c r="P749" s="58" t="str">
        <f>IF(N747&gt;0,"xx",IF(N747&gt;0,"xy",""))</f>
        <v/>
      </c>
      <c r="Q749" s="317" t="str">
        <f t="shared" si="53"/>
        <v/>
      </c>
      <c r="R749" s="317" t="str">
        <f t="shared" si="54"/>
        <v/>
      </c>
      <c r="S749" s="317" t="str">
        <f t="shared" si="55"/>
        <v/>
      </c>
      <c r="T749" s="317" t="str">
        <f>GLOBAL_DER_FEV_2023!S749</f>
        <v/>
      </c>
      <c r="W749" s="582">
        <v>0</v>
      </c>
      <c r="X749" s="580"/>
      <c r="Y749" s="583">
        <f>IF(GLOBAL_DER_FEV_2023!W749=0,0,IF(GLOBAL_DER_FEV_2023!W749&gt;0,"c","b"))</f>
        <v>0</v>
      </c>
    </row>
    <row r="750" spans="1:25" ht="13.5" hidden="1" thickBot="1" x14ac:dyDescent="0.25">
      <c r="A750" s="317" t="s">
        <v>147</v>
      </c>
      <c r="B750" s="895" t="s">
        <v>147</v>
      </c>
      <c r="C750" s="896"/>
      <c r="D750" s="957" t="s">
        <v>243</v>
      </c>
      <c r="E750" s="907">
        <f>GLOBAL_DER_FEV_2023!E750</f>
        <v>0.2</v>
      </c>
      <c r="F750" s="908">
        <f>GLOBAL_DER_FEV_2023!F750</f>
        <v>1.5333000000000001</v>
      </c>
      <c r="G750" s="912">
        <f>GLOBAL_DER_FEV_2023!G750</f>
        <v>4.4373702000000002</v>
      </c>
      <c r="H750" s="901">
        <f>GLOBAL_DER_FEV_2023!H750</f>
        <v>0</v>
      </c>
      <c r="I750" s="901">
        <f>GLOBAL_DER_FEV_2023!I750</f>
        <v>0</v>
      </c>
      <c r="J750" s="902">
        <f>GLOBAL_DER_FEV_2023!J750</f>
        <v>0</v>
      </c>
      <c r="K750" s="903" t="s">
        <v>507</v>
      </c>
      <c r="L750" s="1003"/>
      <c r="M750" s="1157">
        <f t="shared" si="52"/>
        <v>0</v>
      </c>
      <c r="N750" s="893">
        <f t="shared" si="56"/>
        <v>0</v>
      </c>
      <c r="O750" s="905"/>
      <c r="P750" s="58" t="str">
        <f>IF(N747&gt;0,"xx",IF(N747&gt;0,"xy",""))</f>
        <v/>
      </c>
      <c r="Q750" s="317" t="str">
        <f t="shared" si="53"/>
        <v/>
      </c>
      <c r="R750" s="317" t="str">
        <f t="shared" si="54"/>
        <v/>
      </c>
      <c r="S750" s="317" t="str">
        <f t="shared" si="55"/>
        <v/>
      </c>
      <c r="T750" s="317" t="str">
        <f>GLOBAL_DER_FEV_2023!S750</f>
        <v/>
      </c>
      <c r="W750" s="582">
        <v>0</v>
      </c>
      <c r="X750" s="580"/>
      <c r="Y750" s="583">
        <f>IF(GLOBAL_DER_FEV_2023!W750=0,0,IF(GLOBAL_DER_FEV_2023!W750&gt;0,"c","b"))</f>
        <v>0</v>
      </c>
    </row>
    <row r="751" spans="1:25" ht="13.5" hidden="1" thickBot="1" x14ac:dyDescent="0.25">
      <c r="A751" s="317" t="s">
        <v>147</v>
      </c>
      <c r="B751" s="895" t="s">
        <v>147</v>
      </c>
      <c r="C751" s="896"/>
      <c r="D751" s="957" t="s">
        <v>244</v>
      </c>
      <c r="E751" s="907">
        <f>GLOBAL_DER_FEV_2023!E751</f>
        <v>22</v>
      </c>
      <c r="F751" s="908">
        <f>GLOBAL_DER_FEV_2023!F751</f>
        <v>2.3730000000000002</v>
      </c>
      <c r="G751" s="912">
        <f>GLOBAL_DER_FEV_2023!G751</f>
        <v>62.220060000000011</v>
      </c>
      <c r="H751" s="901">
        <f>GLOBAL_DER_FEV_2023!H751</f>
        <v>0</v>
      </c>
      <c r="I751" s="901">
        <f>GLOBAL_DER_FEV_2023!I751</f>
        <v>0</v>
      </c>
      <c r="J751" s="902">
        <f>GLOBAL_DER_FEV_2023!J751</f>
        <v>0</v>
      </c>
      <c r="K751" s="903" t="s">
        <v>507</v>
      </c>
      <c r="L751" s="1003"/>
      <c r="M751" s="1157">
        <f t="shared" si="52"/>
        <v>0</v>
      </c>
      <c r="N751" s="893">
        <f t="shared" si="56"/>
        <v>0</v>
      </c>
      <c r="O751" s="905"/>
      <c r="P751" s="58" t="str">
        <f>IF(N747&gt;0,"xx",IF(N747&gt;0,"xy",""))</f>
        <v/>
      </c>
      <c r="Q751" s="317" t="str">
        <f t="shared" si="53"/>
        <v/>
      </c>
      <c r="R751" s="317" t="str">
        <f t="shared" si="54"/>
        <v/>
      </c>
      <c r="S751" s="317" t="str">
        <f t="shared" si="55"/>
        <v/>
      </c>
      <c r="T751" s="317" t="str">
        <f>GLOBAL_DER_FEV_2023!S751</f>
        <v/>
      </c>
      <c r="W751" s="582">
        <v>0</v>
      </c>
      <c r="X751" s="580"/>
      <c r="Y751" s="583">
        <f>IF(GLOBAL_DER_FEV_2023!W751=0,0,IF(GLOBAL_DER_FEV_2023!W751&gt;0,"c","b"))</f>
        <v>0</v>
      </c>
    </row>
    <row r="752" spans="1:25" ht="13.5" hidden="1" thickBot="1" x14ac:dyDescent="0.25">
      <c r="A752" s="317">
        <v>589320</v>
      </c>
      <c r="B752" s="1004" t="s">
        <v>1696</v>
      </c>
      <c r="C752" s="984" t="s">
        <v>213</v>
      </c>
      <c r="D752" s="1012" t="s">
        <v>1682</v>
      </c>
      <c r="E752" s="1005">
        <f>GLOBAL_DER_FEV_2023!E752</f>
        <v>45</v>
      </c>
      <c r="F752" s="1006">
        <f>GLOBAL_DER_FEV_2023!F752</f>
        <v>1</v>
      </c>
      <c r="G752" s="949">
        <f>GLOBAL_DER_FEV_2023!G752</f>
        <v>79.25</v>
      </c>
      <c r="H752" s="988">
        <f>GLOBAL_DER_FEV_2023!H752</f>
        <v>4012.83</v>
      </c>
      <c r="I752" s="988">
        <f>GLOBAL_DER_FEV_2023!I752</f>
        <v>3931.9945856583668</v>
      </c>
      <c r="J752" s="989">
        <f>GLOBAL_DER_FEV_2023!J752</f>
        <v>4721.1499999999996</v>
      </c>
      <c r="K752" s="990" t="s">
        <v>14</v>
      </c>
      <c r="L752" s="1169">
        <f>ROUND(L747*$F747,2)</f>
        <v>0</v>
      </c>
      <c r="M752" s="1168">
        <f t="shared" si="52"/>
        <v>0</v>
      </c>
      <c r="N752" s="993">
        <f t="shared" si="56"/>
        <v>0</v>
      </c>
      <c r="O752" s="905"/>
      <c r="P752" s="58" t="str">
        <f>IF(N747&gt;0,"xx",IF(N747&gt;0,"xy",""))</f>
        <v/>
      </c>
      <c r="Q752" s="317" t="str">
        <f t="shared" si="53"/>
        <v/>
      </c>
      <c r="R752" s="317" t="str">
        <f t="shared" si="54"/>
        <v/>
      </c>
      <c r="S752" s="317" t="str">
        <f t="shared" si="55"/>
        <v/>
      </c>
      <c r="T752" s="317" t="str">
        <f>GLOBAL_DER_FEV_2023!S752</f>
        <v/>
      </c>
      <c r="W752" s="582">
        <v>0</v>
      </c>
      <c r="X752" s="580"/>
      <c r="Y752" s="583">
        <f>IF(GLOBAL_DER_FEV_2023!W752=0,0,IF(GLOBAL_DER_FEV_2023!W752&gt;0,"c","b"))</f>
        <v>0</v>
      </c>
    </row>
    <row r="753" spans="1:25" ht="13.5" hidden="1" thickBot="1" x14ac:dyDescent="0.25">
      <c r="A753" s="317">
        <v>570300</v>
      </c>
      <c r="B753" s="999" t="s">
        <v>1763</v>
      </c>
      <c r="C753" s="1000" t="s">
        <v>184</v>
      </c>
      <c r="D753" s="1019" t="s">
        <v>769</v>
      </c>
      <c r="E753" s="974" t="str">
        <f>GLOBAL_DER_FEV_2023!E753</f>
        <v>taxa CAP</v>
      </c>
      <c r="F753" s="975">
        <f>GLOBAL_DER_FEV_2023!F753</f>
        <v>0.04</v>
      </c>
      <c r="G753" s="976">
        <f>GLOBAL_DER_FEV_2023!G753</f>
        <v>36.972230000000003</v>
      </c>
      <c r="H753" s="977">
        <f>GLOBAL_DER_FEV_2023!H753</f>
        <v>178.78</v>
      </c>
      <c r="I753" s="977">
        <f>GLOBAL_DER_FEV_2023!I753</f>
        <v>215.75223</v>
      </c>
      <c r="J753" s="978">
        <f>GLOBAL_DER_FEV_2023!J753</f>
        <v>259.05</v>
      </c>
      <c r="K753" s="979" t="s">
        <v>14</v>
      </c>
      <c r="L753" s="1152"/>
      <c r="M753" s="1153">
        <f t="shared" si="52"/>
        <v>0</v>
      </c>
      <c r="N753" s="982">
        <f t="shared" si="56"/>
        <v>0</v>
      </c>
      <c r="O753" s="905"/>
      <c r="Q753" s="317" t="str">
        <f t="shared" si="53"/>
        <v/>
      </c>
      <c r="R753" s="317" t="str">
        <f t="shared" si="54"/>
        <v/>
      </c>
      <c r="S753" s="317" t="str">
        <f t="shared" si="55"/>
        <v/>
      </c>
      <c r="T753" s="317" t="str">
        <f>GLOBAL_DER_FEV_2023!S753</f>
        <v/>
      </c>
      <c r="W753" s="582">
        <v>0</v>
      </c>
      <c r="X753" s="580"/>
      <c r="Y753" s="583">
        <f>IF(GLOBAL_DER_FEV_2023!W753=0,0,IF(GLOBAL_DER_FEV_2023!W753&gt;0,"c","b"))</f>
        <v>0</v>
      </c>
    </row>
    <row r="754" spans="1:25" ht="13.5" hidden="1" thickBot="1" x14ac:dyDescent="0.25">
      <c r="A754" s="317" t="s">
        <v>147</v>
      </c>
      <c r="B754" s="895" t="s">
        <v>147</v>
      </c>
      <c r="C754" s="896"/>
      <c r="D754" s="957" t="s">
        <v>229</v>
      </c>
      <c r="E754" s="907">
        <f>GLOBAL_DER_FEV_2023!E754</f>
        <v>150</v>
      </c>
      <c r="F754" s="908">
        <f>GLOBAL_DER_FEV_2023!F754</f>
        <v>0</v>
      </c>
      <c r="G754" s="949">
        <f>GLOBAL_DER_FEV_2023!G754</f>
        <v>0</v>
      </c>
      <c r="H754" s="901">
        <f>GLOBAL_DER_FEV_2023!H754</f>
        <v>0</v>
      </c>
      <c r="I754" s="901">
        <f>GLOBAL_DER_FEV_2023!I754</f>
        <v>0</v>
      </c>
      <c r="J754" s="902">
        <f>GLOBAL_DER_FEV_2023!J754</f>
        <v>0</v>
      </c>
      <c r="K754" s="903" t="s">
        <v>507</v>
      </c>
      <c r="L754" s="1003"/>
      <c r="M754" s="1157">
        <f t="shared" si="52"/>
        <v>0</v>
      </c>
      <c r="N754" s="893">
        <f t="shared" si="56"/>
        <v>0</v>
      </c>
      <c r="O754" s="905"/>
      <c r="P754" s="58" t="str">
        <f>IF(N753&gt;0,"xx",IF(N753&gt;0,"xy",""))</f>
        <v/>
      </c>
      <c r="Q754" s="317" t="str">
        <f t="shared" si="53"/>
        <v/>
      </c>
      <c r="R754" s="317" t="str">
        <f t="shared" si="54"/>
        <v/>
      </c>
      <c r="S754" s="317" t="str">
        <f t="shared" si="55"/>
        <v/>
      </c>
      <c r="T754" s="317" t="str">
        <f>GLOBAL_DER_FEV_2023!S754</f>
        <v/>
      </c>
      <c r="W754" s="582">
        <v>0</v>
      </c>
      <c r="X754" s="580"/>
      <c r="Y754" s="583">
        <f>IF(GLOBAL_DER_FEV_2023!W754=0,0,IF(GLOBAL_DER_FEV_2023!W754&gt;0,"c","b"))</f>
        <v>0</v>
      </c>
    </row>
    <row r="755" spans="1:25" ht="13.5" hidden="1" thickBot="1" x14ac:dyDescent="0.25">
      <c r="A755" s="317" t="s">
        <v>147</v>
      </c>
      <c r="B755" s="895" t="s">
        <v>147</v>
      </c>
      <c r="C755" s="896"/>
      <c r="D755" s="957" t="s">
        <v>230</v>
      </c>
      <c r="E755" s="907">
        <f>GLOBAL_DER_FEV_2023!E755</f>
        <v>353</v>
      </c>
      <c r="F755" s="908">
        <f>GLOBAL_DER_FEV_2023!F755</f>
        <v>1.4999999999999999E-2</v>
      </c>
      <c r="G755" s="909">
        <f>GLOBAL_DER_FEV_2023!G755</f>
        <v>4.2473999999999998</v>
      </c>
      <c r="H755" s="901">
        <f>GLOBAL_DER_FEV_2023!H755</f>
        <v>0</v>
      </c>
      <c r="I755" s="901">
        <f>GLOBAL_DER_FEV_2023!I755</f>
        <v>0</v>
      </c>
      <c r="J755" s="902">
        <f>GLOBAL_DER_FEV_2023!J755</f>
        <v>0</v>
      </c>
      <c r="K755" s="903" t="s">
        <v>507</v>
      </c>
      <c r="L755" s="1003"/>
      <c r="M755" s="1157">
        <f t="shared" si="52"/>
        <v>0</v>
      </c>
      <c r="N755" s="893">
        <f t="shared" si="56"/>
        <v>0</v>
      </c>
      <c r="O755" s="905"/>
      <c r="P755" s="58" t="str">
        <f>IF(N753&gt;0,"xx",IF(N753&gt;0,"xy",""))</f>
        <v/>
      </c>
      <c r="Q755" s="317" t="str">
        <f t="shared" si="53"/>
        <v/>
      </c>
      <c r="R755" s="317" t="str">
        <f t="shared" si="54"/>
        <v/>
      </c>
      <c r="S755" s="317" t="str">
        <f t="shared" si="55"/>
        <v/>
      </c>
      <c r="T755" s="317" t="str">
        <f>GLOBAL_DER_FEV_2023!S755</f>
        <v/>
      </c>
      <c r="W755" s="582">
        <v>0</v>
      </c>
      <c r="X755" s="580"/>
      <c r="Y755" s="583">
        <f>IF(GLOBAL_DER_FEV_2023!W755=0,0,IF(GLOBAL_DER_FEV_2023!W755&gt;0,"c","b"))</f>
        <v>0</v>
      </c>
    </row>
    <row r="756" spans="1:25" ht="13.5" hidden="1" thickBot="1" x14ac:dyDescent="0.25">
      <c r="A756" s="317" t="s">
        <v>147</v>
      </c>
      <c r="B756" s="895" t="s">
        <v>147</v>
      </c>
      <c r="C756" s="896"/>
      <c r="D756" s="957" t="s">
        <v>243</v>
      </c>
      <c r="E756" s="907">
        <f>GLOBAL_DER_FEV_2023!E756</f>
        <v>0.2</v>
      </c>
      <c r="F756" s="908">
        <f>GLOBAL_DER_FEV_2023!F756</f>
        <v>0.94499999999999995</v>
      </c>
      <c r="G756" s="949">
        <f>GLOBAL_DER_FEV_2023!G756</f>
        <v>2.7348300000000001</v>
      </c>
      <c r="H756" s="901">
        <f>GLOBAL_DER_FEV_2023!H756</f>
        <v>0</v>
      </c>
      <c r="I756" s="901">
        <f>GLOBAL_DER_FEV_2023!I756</f>
        <v>0</v>
      </c>
      <c r="J756" s="902">
        <f>GLOBAL_DER_FEV_2023!J756</f>
        <v>0</v>
      </c>
      <c r="K756" s="903" t="s">
        <v>507</v>
      </c>
      <c r="L756" s="1003"/>
      <c r="M756" s="1157">
        <f t="shared" si="52"/>
        <v>0</v>
      </c>
      <c r="N756" s="893">
        <f t="shared" si="56"/>
        <v>0</v>
      </c>
      <c r="O756" s="905"/>
      <c r="P756" s="58" t="str">
        <f>IF(N753&gt;0,"xx",IF(N753&gt;0,"xy",""))</f>
        <v/>
      </c>
      <c r="Q756" s="317" t="str">
        <f t="shared" si="53"/>
        <v/>
      </c>
      <c r="R756" s="317" t="str">
        <f t="shared" si="54"/>
        <v/>
      </c>
      <c r="S756" s="317" t="str">
        <f t="shared" si="55"/>
        <v/>
      </c>
      <c r="T756" s="317" t="str">
        <f>GLOBAL_DER_FEV_2023!S756</f>
        <v/>
      </c>
      <c r="W756" s="582">
        <v>0</v>
      </c>
      <c r="X756" s="580"/>
      <c r="Y756" s="583">
        <f>IF(GLOBAL_DER_FEV_2023!W756=0,0,IF(GLOBAL_DER_FEV_2023!W756&gt;0,"c","b"))</f>
        <v>0</v>
      </c>
    </row>
    <row r="757" spans="1:25" ht="13.5" hidden="1" thickBot="1" x14ac:dyDescent="0.25">
      <c r="A757" s="317" t="s">
        <v>147</v>
      </c>
      <c r="B757" s="895" t="s">
        <v>147</v>
      </c>
      <c r="C757" s="896"/>
      <c r="D757" s="957" t="s">
        <v>244</v>
      </c>
      <c r="E757" s="907">
        <f>GLOBAL_DER_FEV_2023!E757</f>
        <v>22</v>
      </c>
      <c r="F757" s="908">
        <f>GLOBAL_DER_FEV_2023!F757</f>
        <v>1</v>
      </c>
      <c r="G757" s="912">
        <f>GLOBAL_DER_FEV_2023!G757</f>
        <v>29.990000000000002</v>
      </c>
      <c r="H757" s="901">
        <f>GLOBAL_DER_FEV_2023!H757</f>
        <v>0</v>
      </c>
      <c r="I757" s="901">
        <f>GLOBAL_DER_FEV_2023!I757</f>
        <v>0</v>
      </c>
      <c r="J757" s="902">
        <f>GLOBAL_DER_FEV_2023!J757</f>
        <v>0</v>
      </c>
      <c r="K757" s="903" t="s">
        <v>507</v>
      </c>
      <c r="L757" s="1003"/>
      <c r="M757" s="1157">
        <f t="shared" si="52"/>
        <v>0</v>
      </c>
      <c r="N757" s="893">
        <f t="shared" si="56"/>
        <v>0</v>
      </c>
      <c r="O757" s="905"/>
      <c r="P757" s="58" t="str">
        <f>IF(N753&gt;0,"xx",IF(N753&gt;0,"xy",""))</f>
        <v/>
      </c>
      <c r="Q757" s="317" t="str">
        <f t="shared" si="53"/>
        <v/>
      </c>
      <c r="R757" s="317" t="str">
        <f t="shared" si="54"/>
        <v/>
      </c>
      <c r="S757" s="317" t="str">
        <f t="shared" si="55"/>
        <v/>
      </c>
      <c r="T757" s="317" t="str">
        <f>GLOBAL_DER_FEV_2023!S757</f>
        <v/>
      </c>
      <c r="W757" s="582">
        <v>0</v>
      </c>
      <c r="X757" s="580"/>
      <c r="Y757" s="583">
        <f>IF(GLOBAL_DER_FEV_2023!W757=0,0,IF(GLOBAL_DER_FEV_2023!W757&gt;0,"c","b"))</f>
        <v>0</v>
      </c>
    </row>
    <row r="758" spans="1:25" ht="13.5" hidden="1" thickBot="1" x14ac:dyDescent="0.25">
      <c r="A758" s="317">
        <v>589000</v>
      </c>
      <c r="B758" s="1009" t="s">
        <v>726</v>
      </c>
      <c r="C758" s="860" t="s">
        <v>213</v>
      </c>
      <c r="D758" s="1012" t="s">
        <v>565</v>
      </c>
      <c r="E758" s="1020">
        <f>GLOBAL_DER_FEV_2023!E758</f>
        <v>45</v>
      </c>
      <c r="F758" s="1006">
        <f>GLOBAL_DER_FEV_2023!F758</f>
        <v>1</v>
      </c>
      <c r="G758" s="949">
        <f>GLOBAL_DER_FEV_2023!G758</f>
        <v>88.36</v>
      </c>
      <c r="H758" s="988">
        <f>GLOBAL_DER_FEV_2023!H758</f>
        <v>4828.8599999999997</v>
      </c>
      <c r="I758" s="988">
        <f>GLOBAL_DER_FEV_2023!I758</f>
        <v>4724.580378112767</v>
      </c>
      <c r="J758" s="1011">
        <f>GLOBAL_DER_FEV_2023!J758</f>
        <v>5672.8</v>
      </c>
      <c r="K758" s="867" t="s">
        <v>14</v>
      </c>
      <c r="L758" s="1169">
        <f>ROUND(L753*$F753,2)</f>
        <v>0</v>
      </c>
      <c r="M758" s="1168">
        <f t="shared" si="52"/>
        <v>0</v>
      </c>
      <c r="N758" s="993">
        <f t="shared" si="56"/>
        <v>0</v>
      </c>
      <c r="O758" s="905"/>
      <c r="P758" s="58" t="str">
        <f>IF(N753&gt;0,"xx",IF(N753&gt;0,"xy",""))</f>
        <v/>
      </c>
      <c r="Q758" s="317" t="str">
        <f t="shared" si="53"/>
        <v/>
      </c>
      <c r="R758" s="317" t="str">
        <f t="shared" si="54"/>
        <v/>
      </c>
      <c r="S758" s="317" t="str">
        <f t="shared" si="55"/>
        <v/>
      </c>
      <c r="T758" s="317" t="str">
        <f>GLOBAL_DER_FEV_2023!S758</f>
        <v/>
      </c>
      <c r="W758" s="582">
        <v>0</v>
      </c>
      <c r="X758" s="580"/>
      <c r="Y758" s="583">
        <f>IF(GLOBAL_DER_FEV_2023!W758=0,0,IF(GLOBAL_DER_FEV_2023!W758&gt;0,"c","b"))</f>
        <v>0</v>
      </c>
    </row>
    <row r="759" spans="1:25" ht="13.5" hidden="1" thickBot="1" x14ac:dyDescent="0.25">
      <c r="A759" s="317">
        <v>570310</v>
      </c>
      <c r="B759" s="999" t="s">
        <v>1650</v>
      </c>
      <c r="C759" s="1000" t="s">
        <v>184</v>
      </c>
      <c r="D759" s="1019" t="s">
        <v>770</v>
      </c>
      <c r="E759" s="974" t="str">
        <f>GLOBAL_DER_FEV_2023!E759</f>
        <v>taxa CAP</v>
      </c>
      <c r="F759" s="975">
        <f>GLOBAL_DER_FEV_2023!F759</f>
        <v>0.04</v>
      </c>
      <c r="G759" s="976">
        <f>GLOBAL_DER_FEV_2023!G759</f>
        <v>36.972230000000003</v>
      </c>
      <c r="H759" s="977">
        <f>GLOBAL_DER_FEV_2023!H759</f>
        <v>158.85</v>
      </c>
      <c r="I759" s="977">
        <f>GLOBAL_DER_FEV_2023!I759</f>
        <v>195.82222999999999</v>
      </c>
      <c r="J759" s="978">
        <f>GLOBAL_DER_FEV_2023!J759</f>
        <v>235.12</v>
      </c>
      <c r="K759" s="979" t="s">
        <v>14</v>
      </c>
      <c r="L759" s="1152"/>
      <c r="M759" s="1153">
        <f t="shared" si="52"/>
        <v>0</v>
      </c>
      <c r="N759" s="982">
        <f t="shared" si="56"/>
        <v>0</v>
      </c>
      <c r="O759" s="905"/>
      <c r="Q759" s="317" t="str">
        <f t="shared" si="53"/>
        <v/>
      </c>
      <c r="R759" s="317" t="str">
        <f t="shared" si="54"/>
        <v/>
      </c>
      <c r="S759" s="317" t="str">
        <f t="shared" si="55"/>
        <v/>
      </c>
      <c r="T759" s="317" t="str">
        <f>GLOBAL_DER_FEV_2023!S759</f>
        <v/>
      </c>
      <c r="W759" s="582">
        <v>0</v>
      </c>
      <c r="X759" s="580"/>
      <c r="Y759" s="583">
        <f>IF(GLOBAL_DER_FEV_2023!W759=0,0,IF(GLOBAL_DER_FEV_2023!W759&gt;0,"c","b"))</f>
        <v>0</v>
      </c>
    </row>
    <row r="760" spans="1:25" ht="13.5" hidden="1" thickBot="1" x14ac:dyDescent="0.25">
      <c r="A760" s="317" t="s">
        <v>147</v>
      </c>
      <c r="B760" s="895" t="s">
        <v>147</v>
      </c>
      <c r="C760" s="896"/>
      <c r="D760" s="957" t="s">
        <v>229</v>
      </c>
      <c r="E760" s="907">
        <f>GLOBAL_DER_FEV_2023!E760</f>
        <v>150</v>
      </c>
      <c r="F760" s="908">
        <f>GLOBAL_DER_FEV_2023!F760</f>
        <v>0</v>
      </c>
      <c r="G760" s="949">
        <f>GLOBAL_DER_FEV_2023!G760</f>
        <v>0</v>
      </c>
      <c r="H760" s="901">
        <f>GLOBAL_DER_FEV_2023!H760</f>
        <v>0</v>
      </c>
      <c r="I760" s="901">
        <f>GLOBAL_DER_FEV_2023!I760</f>
        <v>0</v>
      </c>
      <c r="J760" s="902">
        <f>GLOBAL_DER_FEV_2023!J760</f>
        <v>0</v>
      </c>
      <c r="K760" s="903" t="s">
        <v>507</v>
      </c>
      <c r="L760" s="1003"/>
      <c r="M760" s="1157">
        <f t="shared" si="52"/>
        <v>0</v>
      </c>
      <c r="N760" s="893">
        <f t="shared" si="56"/>
        <v>0</v>
      </c>
      <c r="O760" s="905"/>
      <c r="P760" s="58" t="str">
        <f>IF(N759&gt;0,"xx",IF(N759&gt;0,"xy",""))</f>
        <v/>
      </c>
      <c r="Q760" s="317" t="str">
        <f t="shared" si="53"/>
        <v/>
      </c>
      <c r="R760" s="317" t="str">
        <f t="shared" si="54"/>
        <v/>
      </c>
      <c r="S760" s="317" t="str">
        <f t="shared" si="55"/>
        <v/>
      </c>
      <c r="T760" s="317" t="str">
        <f>GLOBAL_DER_FEV_2023!S760</f>
        <v/>
      </c>
      <c r="W760" s="582">
        <v>0</v>
      </c>
      <c r="X760" s="580"/>
      <c r="Y760" s="583">
        <f>IF(GLOBAL_DER_FEV_2023!W760=0,0,IF(GLOBAL_DER_FEV_2023!W760&gt;0,"c","b"))</f>
        <v>0</v>
      </c>
    </row>
    <row r="761" spans="1:25" ht="13.5" hidden="1" thickBot="1" x14ac:dyDescent="0.25">
      <c r="A761" s="317" t="s">
        <v>147</v>
      </c>
      <c r="B761" s="895" t="s">
        <v>147</v>
      </c>
      <c r="C761" s="896"/>
      <c r="D761" s="957" t="s">
        <v>230</v>
      </c>
      <c r="E761" s="907">
        <f>GLOBAL_DER_FEV_2023!E761</f>
        <v>353</v>
      </c>
      <c r="F761" s="908">
        <f>GLOBAL_DER_FEV_2023!F761</f>
        <v>1.4999999999999999E-2</v>
      </c>
      <c r="G761" s="909">
        <f>GLOBAL_DER_FEV_2023!G761</f>
        <v>4.2473999999999998</v>
      </c>
      <c r="H761" s="901">
        <f>GLOBAL_DER_FEV_2023!H761</f>
        <v>0</v>
      </c>
      <c r="I761" s="901">
        <f>GLOBAL_DER_FEV_2023!I761</f>
        <v>0</v>
      </c>
      <c r="J761" s="902">
        <f>GLOBAL_DER_FEV_2023!J761</f>
        <v>0</v>
      </c>
      <c r="K761" s="903" t="s">
        <v>507</v>
      </c>
      <c r="L761" s="1003"/>
      <c r="M761" s="1157">
        <f t="shared" si="52"/>
        <v>0</v>
      </c>
      <c r="N761" s="893">
        <f t="shared" si="56"/>
        <v>0</v>
      </c>
      <c r="O761" s="905"/>
      <c r="P761" s="58" t="str">
        <f>IF(N759&gt;0,"xx",IF(N759&gt;0,"xy",""))</f>
        <v/>
      </c>
      <c r="Q761" s="317" t="str">
        <f t="shared" si="53"/>
        <v/>
      </c>
      <c r="R761" s="317" t="str">
        <f t="shared" si="54"/>
        <v/>
      </c>
      <c r="S761" s="317" t="str">
        <f t="shared" si="55"/>
        <v/>
      </c>
      <c r="T761" s="317" t="str">
        <f>GLOBAL_DER_FEV_2023!S761</f>
        <v/>
      </c>
      <c r="W761" s="582">
        <v>0</v>
      </c>
      <c r="X761" s="580"/>
      <c r="Y761" s="583">
        <f>IF(GLOBAL_DER_FEV_2023!W761=0,0,IF(GLOBAL_DER_FEV_2023!W761&gt;0,"c","b"))</f>
        <v>0</v>
      </c>
    </row>
    <row r="762" spans="1:25" ht="13.5" hidden="1" thickBot="1" x14ac:dyDescent="0.25">
      <c r="A762" s="317" t="s">
        <v>147</v>
      </c>
      <c r="B762" s="895" t="s">
        <v>147</v>
      </c>
      <c r="C762" s="896"/>
      <c r="D762" s="957" t="s">
        <v>243</v>
      </c>
      <c r="E762" s="907">
        <f>GLOBAL_DER_FEV_2023!E762</f>
        <v>0.2</v>
      </c>
      <c r="F762" s="908">
        <f>GLOBAL_DER_FEV_2023!F762</f>
        <v>0.94499999999999995</v>
      </c>
      <c r="G762" s="949">
        <f>GLOBAL_DER_FEV_2023!G762</f>
        <v>2.7348300000000001</v>
      </c>
      <c r="H762" s="901">
        <f>GLOBAL_DER_FEV_2023!H762</f>
        <v>0</v>
      </c>
      <c r="I762" s="901">
        <f>GLOBAL_DER_FEV_2023!I762</f>
        <v>0</v>
      </c>
      <c r="J762" s="902">
        <f>GLOBAL_DER_FEV_2023!J762</f>
        <v>0</v>
      </c>
      <c r="K762" s="903" t="s">
        <v>507</v>
      </c>
      <c r="L762" s="1003"/>
      <c r="M762" s="1157">
        <f t="shared" si="52"/>
        <v>0</v>
      </c>
      <c r="N762" s="893">
        <f t="shared" si="56"/>
        <v>0</v>
      </c>
      <c r="O762" s="905"/>
      <c r="P762" s="58" t="str">
        <f>IF(N759&gt;0,"xx",IF(N759&gt;0,"xy",""))</f>
        <v/>
      </c>
      <c r="Q762" s="317" t="str">
        <f t="shared" si="53"/>
        <v/>
      </c>
      <c r="R762" s="317" t="str">
        <f t="shared" si="54"/>
        <v/>
      </c>
      <c r="S762" s="317" t="str">
        <f t="shared" si="55"/>
        <v/>
      </c>
      <c r="T762" s="317" t="str">
        <f>GLOBAL_DER_FEV_2023!S762</f>
        <v/>
      </c>
      <c r="W762" s="582">
        <v>0</v>
      </c>
      <c r="X762" s="580"/>
      <c r="Y762" s="583">
        <f>IF(GLOBAL_DER_FEV_2023!W762=0,0,IF(GLOBAL_DER_FEV_2023!W762&gt;0,"c","b"))</f>
        <v>0</v>
      </c>
    </row>
    <row r="763" spans="1:25" ht="13.5" hidden="1" thickBot="1" x14ac:dyDescent="0.25">
      <c r="A763" s="317" t="s">
        <v>147</v>
      </c>
      <c r="B763" s="895" t="s">
        <v>147</v>
      </c>
      <c r="C763" s="896"/>
      <c r="D763" s="957" t="s">
        <v>244</v>
      </c>
      <c r="E763" s="907">
        <f>GLOBAL_DER_FEV_2023!E763</f>
        <v>22</v>
      </c>
      <c r="F763" s="908">
        <f>GLOBAL_DER_FEV_2023!F763</f>
        <v>1</v>
      </c>
      <c r="G763" s="912">
        <f>GLOBAL_DER_FEV_2023!G763</f>
        <v>29.990000000000002</v>
      </c>
      <c r="H763" s="901">
        <f>GLOBAL_DER_FEV_2023!H763</f>
        <v>0</v>
      </c>
      <c r="I763" s="901">
        <f>GLOBAL_DER_FEV_2023!I763</f>
        <v>0</v>
      </c>
      <c r="J763" s="902">
        <f>GLOBAL_DER_FEV_2023!J763</f>
        <v>0</v>
      </c>
      <c r="K763" s="903" t="s">
        <v>507</v>
      </c>
      <c r="L763" s="1003"/>
      <c r="M763" s="1157">
        <f t="shared" si="52"/>
        <v>0</v>
      </c>
      <c r="N763" s="893">
        <f t="shared" si="56"/>
        <v>0</v>
      </c>
      <c r="O763" s="905"/>
      <c r="P763" s="58" t="str">
        <f>IF(N759&gt;0,"xx",IF(N759&gt;0,"xy",""))</f>
        <v/>
      </c>
      <c r="Q763" s="317" t="str">
        <f t="shared" si="53"/>
        <v/>
      </c>
      <c r="R763" s="317" t="str">
        <f t="shared" si="54"/>
        <v/>
      </c>
      <c r="S763" s="317" t="str">
        <f t="shared" si="55"/>
        <v/>
      </c>
      <c r="T763" s="317" t="str">
        <f>GLOBAL_DER_FEV_2023!S763</f>
        <v/>
      </c>
      <c r="W763" s="582">
        <v>0</v>
      </c>
      <c r="X763" s="580"/>
      <c r="Y763" s="583">
        <f>IF(GLOBAL_DER_FEV_2023!W763=0,0,IF(GLOBAL_DER_FEV_2023!W763&gt;0,"c","b"))</f>
        <v>0</v>
      </c>
    </row>
    <row r="764" spans="1:25" ht="13.5" hidden="1" thickBot="1" x14ac:dyDescent="0.25">
      <c r="A764" s="317">
        <v>589000</v>
      </c>
      <c r="B764" s="1004" t="s">
        <v>1679</v>
      </c>
      <c r="C764" s="984" t="s">
        <v>213</v>
      </c>
      <c r="D764" s="1012" t="s">
        <v>566</v>
      </c>
      <c r="E764" s="1020">
        <f>GLOBAL_DER_FEV_2023!E764</f>
        <v>45</v>
      </c>
      <c r="F764" s="1006">
        <f>GLOBAL_DER_FEV_2023!F764</f>
        <v>1</v>
      </c>
      <c r="G764" s="949">
        <f>GLOBAL_DER_FEV_2023!G764</f>
        <v>88.36</v>
      </c>
      <c r="H764" s="988">
        <f>GLOBAL_DER_FEV_2023!H764</f>
        <v>4828.8599999999997</v>
      </c>
      <c r="I764" s="988">
        <f>GLOBAL_DER_FEV_2023!I764</f>
        <v>4724.580378112767</v>
      </c>
      <c r="J764" s="989">
        <f>GLOBAL_DER_FEV_2023!J764</f>
        <v>5672.8</v>
      </c>
      <c r="K764" s="990" t="s">
        <v>14</v>
      </c>
      <c r="L764" s="1169">
        <f>ROUND(L759*$F759,2)</f>
        <v>0</v>
      </c>
      <c r="M764" s="1168">
        <f t="shared" si="52"/>
        <v>0</v>
      </c>
      <c r="N764" s="993">
        <f t="shared" si="56"/>
        <v>0</v>
      </c>
      <c r="O764" s="905"/>
      <c r="P764" s="58" t="str">
        <f>IF(N759&gt;0,"xx",IF(N759&gt;0,"xy",""))</f>
        <v/>
      </c>
      <c r="Q764" s="317" t="str">
        <f t="shared" si="53"/>
        <v/>
      </c>
      <c r="R764" s="317" t="str">
        <f t="shared" si="54"/>
        <v/>
      </c>
      <c r="S764" s="317" t="str">
        <f t="shared" si="55"/>
        <v/>
      </c>
      <c r="T764" s="317" t="str">
        <f>GLOBAL_DER_FEV_2023!S764</f>
        <v/>
      </c>
      <c r="W764" s="582">
        <v>0</v>
      </c>
      <c r="X764" s="580"/>
      <c r="Y764" s="583">
        <f>IF(GLOBAL_DER_FEV_2023!W764=0,0,IF(GLOBAL_DER_FEV_2023!W764&gt;0,"c","b"))</f>
        <v>0</v>
      </c>
    </row>
    <row r="765" spans="1:25" ht="13.5" hidden="1" thickBot="1" x14ac:dyDescent="0.25">
      <c r="A765" s="317">
        <v>570000</v>
      </c>
      <c r="B765" s="999" t="str">
        <f>GLOBAL_DER_FEV_2023!B765</f>
        <v>570000E</v>
      </c>
      <c r="C765" s="1000" t="str">
        <f>GLOBAL_DER_FEV_2023!C765</f>
        <v>DER</v>
      </c>
      <c r="D765" s="973" t="str">
        <f>GLOBAL_DER_FEV_2023!D765</f>
        <v>CBUQ - PASSEIO  (Quantidade menor que 10.000 ton)</v>
      </c>
      <c r="E765" s="974" t="str">
        <f>GLOBAL_DER_FEV_2023!E765</f>
        <v>taxa CAP</v>
      </c>
      <c r="F765" s="975">
        <f>GLOBAL_DER_FEV_2023!F765</f>
        <v>5.7000000000000002E-2</v>
      </c>
      <c r="G765" s="976">
        <f>GLOBAL_DER_FEV_2023!G765</f>
        <v>52.951632000000004</v>
      </c>
      <c r="H765" s="977">
        <f>GLOBAL_DER_FEV_2023!H765</f>
        <v>187.41</v>
      </c>
      <c r="I765" s="977">
        <f>GLOBAL_DER_FEV_2023!I765</f>
        <v>240.36163199999999</v>
      </c>
      <c r="J765" s="978">
        <f>GLOBAL_DER_FEV_2023!J765</f>
        <v>288.60000000000002</v>
      </c>
      <c r="K765" s="979" t="s">
        <v>14</v>
      </c>
      <c r="L765" s="1152"/>
      <c r="M765" s="1153">
        <f t="shared" si="52"/>
        <v>0</v>
      </c>
      <c r="N765" s="982">
        <f t="shared" si="56"/>
        <v>0</v>
      </c>
      <c r="O765" s="905"/>
      <c r="Q765" s="317" t="str">
        <f t="shared" si="53"/>
        <v/>
      </c>
      <c r="R765" s="317" t="str">
        <f t="shared" si="54"/>
        <v/>
      </c>
      <c r="S765" s="317" t="str">
        <f t="shared" si="55"/>
        <v/>
      </c>
      <c r="T765" s="317" t="str">
        <f>GLOBAL_DER_FEV_2023!S765</f>
        <v/>
      </c>
      <c r="W765" s="582">
        <v>0</v>
      </c>
      <c r="X765" s="580"/>
      <c r="Y765" s="583">
        <f>IF(GLOBAL_DER_FEV_2023!W765=0,0,IF(GLOBAL_DER_FEV_2023!W765&gt;0,"c","b"))</f>
        <v>0</v>
      </c>
    </row>
    <row r="766" spans="1:25" ht="13.5" hidden="1" thickBot="1" x14ac:dyDescent="0.25">
      <c r="A766" s="317" t="s">
        <v>147</v>
      </c>
      <c r="B766" s="895" t="str">
        <f>GLOBAL_DER_FEV_2023!B766</f>
        <v>transporte</v>
      </c>
      <c r="C766" s="896">
        <f>GLOBAL_DER_FEV_2023!C766</f>
        <v>0</v>
      </c>
      <c r="D766" s="957" t="str">
        <f>GLOBAL_DER_FEV_2023!D766</f>
        <v>Areia</v>
      </c>
      <c r="E766" s="907">
        <f>GLOBAL_DER_FEV_2023!E766</f>
        <v>150</v>
      </c>
      <c r="F766" s="908">
        <f>GLOBAL_DER_FEV_2023!F766</f>
        <v>0.1</v>
      </c>
      <c r="G766" s="949">
        <f>GLOBAL_DER_FEV_2023!G766</f>
        <v>16.318000000000001</v>
      </c>
      <c r="H766" s="901">
        <f>GLOBAL_DER_FEV_2023!H766</f>
        <v>0</v>
      </c>
      <c r="I766" s="901">
        <f>GLOBAL_DER_FEV_2023!I766</f>
        <v>0</v>
      </c>
      <c r="J766" s="902">
        <f>GLOBAL_DER_FEV_2023!J766</f>
        <v>0</v>
      </c>
      <c r="K766" s="903" t="s">
        <v>507</v>
      </c>
      <c r="L766" s="1003"/>
      <c r="M766" s="1157">
        <f t="shared" si="52"/>
        <v>0</v>
      </c>
      <c r="N766" s="893">
        <f t="shared" si="56"/>
        <v>0</v>
      </c>
      <c r="O766" s="905"/>
      <c r="P766" s="58" t="str">
        <f>IF(N765&gt;0,"xx",IF(N765&gt;0,"xy",""))</f>
        <v/>
      </c>
      <c r="Q766" s="317" t="str">
        <f t="shared" si="53"/>
        <v/>
      </c>
      <c r="R766" s="317" t="str">
        <f t="shared" si="54"/>
        <v/>
      </c>
      <c r="S766" s="317" t="str">
        <f t="shared" si="55"/>
        <v/>
      </c>
      <c r="T766" s="317" t="str">
        <f>GLOBAL_DER_FEV_2023!S766</f>
        <v/>
      </c>
      <c r="W766" s="582">
        <v>0</v>
      </c>
      <c r="X766" s="580"/>
      <c r="Y766" s="583">
        <f>IF(GLOBAL_DER_FEV_2023!W766=0,0,IF(GLOBAL_DER_FEV_2023!W766&gt;0,"c","b"))</f>
        <v>0</v>
      </c>
    </row>
    <row r="767" spans="1:25" ht="13.5" hidden="1" thickBot="1" x14ac:dyDescent="0.25">
      <c r="A767" s="317" t="s">
        <v>147</v>
      </c>
      <c r="B767" s="895" t="str">
        <f>GLOBAL_DER_FEV_2023!B767</f>
        <v>transporte</v>
      </c>
      <c r="C767" s="896">
        <f>GLOBAL_DER_FEV_2023!C767</f>
        <v>0</v>
      </c>
      <c r="D767" s="957" t="str">
        <f>GLOBAL_DER_FEV_2023!D767</f>
        <v>Cal Hidratada CH-1</v>
      </c>
      <c r="E767" s="907">
        <f>GLOBAL_DER_FEV_2023!E767</f>
        <v>353</v>
      </c>
      <c r="F767" s="908">
        <f>GLOBAL_DER_FEV_2023!F767</f>
        <v>1.4999999999999999E-2</v>
      </c>
      <c r="G767" s="909">
        <f>GLOBAL_DER_FEV_2023!G767</f>
        <v>4.2473999999999998</v>
      </c>
      <c r="H767" s="901">
        <f>GLOBAL_DER_FEV_2023!H767</f>
        <v>0</v>
      </c>
      <c r="I767" s="901">
        <f>GLOBAL_DER_FEV_2023!I767</f>
        <v>0</v>
      </c>
      <c r="J767" s="902">
        <f>GLOBAL_DER_FEV_2023!J767</f>
        <v>0</v>
      </c>
      <c r="K767" s="903" t="s">
        <v>507</v>
      </c>
      <c r="L767" s="1003"/>
      <c r="M767" s="1157">
        <f t="shared" si="52"/>
        <v>0</v>
      </c>
      <c r="N767" s="893">
        <f t="shared" si="56"/>
        <v>0</v>
      </c>
      <c r="O767" s="905"/>
      <c r="P767" s="58" t="str">
        <f>IF(N765&gt;0,"xx",IF(N765&gt;0,"xy",""))</f>
        <v/>
      </c>
      <c r="Q767" s="317" t="str">
        <f t="shared" si="53"/>
        <v/>
      </c>
      <c r="R767" s="317" t="str">
        <f t="shared" si="54"/>
        <v/>
      </c>
      <c r="S767" s="317" t="str">
        <f t="shared" si="55"/>
        <v/>
      </c>
      <c r="T767" s="317" t="str">
        <f>GLOBAL_DER_FEV_2023!S767</f>
        <v/>
      </c>
      <c r="W767" s="582">
        <v>0</v>
      </c>
      <c r="X767" s="580"/>
      <c r="Y767" s="583">
        <f>IF(GLOBAL_DER_FEV_2023!W767=0,0,IF(GLOBAL_DER_FEV_2023!W767&gt;0,"c","b"))</f>
        <v>0</v>
      </c>
    </row>
    <row r="768" spans="1:25" ht="13.5" hidden="1" thickBot="1" x14ac:dyDescent="0.25">
      <c r="A768" s="317" t="s">
        <v>147</v>
      </c>
      <c r="B768" s="895" t="str">
        <f>GLOBAL_DER_FEV_2023!B768</f>
        <v>transporte</v>
      </c>
      <c r="C768" s="896">
        <f>GLOBAL_DER_FEV_2023!C768</f>
        <v>0</v>
      </c>
      <c r="D768" s="957" t="str">
        <f>GLOBAL_DER_FEV_2023!D768</f>
        <v>Brita ( usina )</v>
      </c>
      <c r="E768" s="907">
        <f>GLOBAL_DER_FEV_2023!E768</f>
        <v>0.2</v>
      </c>
      <c r="F768" s="908">
        <f>GLOBAL_DER_FEV_2023!F768</f>
        <v>0.82799999999999996</v>
      </c>
      <c r="G768" s="949">
        <f>GLOBAL_DER_FEV_2023!G768</f>
        <v>2.3962319999999999</v>
      </c>
      <c r="H768" s="901">
        <f>GLOBAL_DER_FEV_2023!H768</f>
        <v>0</v>
      </c>
      <c r="I768" s="901">
        <f>GLOBAL_DER_FEV_2023!I768</f>
        <v>0</v>
      </c>
      <c r="J768" s="902">
        <f>GLOBAL_DER_FEV_2023!J768</f>
        <v>0</v>
      </c>
      <c r="K768" s="903" t="s">
        <v>507</v>
      </c>
      <c r="L768" s="1003"/>
      <c r="M768" s="1157">
        <f t="shared" si="52"/>
        <v>0</v>
      </c>
      <c r="N768" s="893">
        <f t="shared" si="56"/>
        <v>0</v>
      </c>
      <c r="O768" s="905"/>
      <c r="P768" s="58" t="str">
        <f>IF(N765&gt;0,"xx",IF(N765&gt;0,"xy",""))</f>
        <v/>
      </c>
      <c r="Q768" s="317" t="str">
        <f t="shared" si="53"/>
        <v/>
      </c>
      <c r="R768" s="317" t="str">
        <f t="shared" si="54"/>
        <v/>
      </c>
      <c r="S768" s="317" t="str">
        <f t="shared" si="55"/>
        <v/>
      </c>
      <c r="T768" s="317" t="str">
        <f>GLOBAL_DER_FEV_2023!S768</f>
        <v/>
      </c>
      <c r="W768" s="582">
        <v>0</v>
      </c>
      <c r="X768" s="580"/>
      <c r="Y768" s="583">
        <f>IF(GLOBAL_DER_FEV_2023!W768=0,0,IF(GLOBAL_DER_FEV_2023!W768&gt;0,"c","b"))</f>
        <v>0</v>
      </c>
    </row>
    <row r="769" spans="1:25" ht="13.5" hidden="1" thickBot="1" x14ac:dyDescent="0.25">
      <c r="A769" s="317" t="s">
        <v>147</v>
      </c>
      <c r="B769" s="895" t="str">
        <f>GLOBAL_DER_FEV_2023!B769</f>
        <v>transporte</v>
      </c>
      <c r="C769" s="896">
        <f>GLOBAL_DER_FEV_2023!C769</f>
        <v>0</v>
      </c>
      <c r="D769" s="957" t="str">
        <f>GLOBAL_DER_FEV_2023!D769</f>
        <v>Massa</v>
      </c>
      <c r="E769" s="907">
        <f>GLOBAL_DER_FEV_2023!E769</f>
        <v>22</v>
      </c>
      <c r="F769" s="908">
        <f>GLOBAL_DER_FEV_2023!F769</f>
        <v>1</v>
      </c>
      <c r="G769" s="912">
        <f>GLOBAL_DER_FEV_2023!G769</f>
        <v>29.990000000000002</v>
      </c>
      <c r="H769" s="901">
        <f>GLOBAL_DER_FEV_2023!H769</f>
        <v>0</v>
      </c>
      <c r="I769" s="901">
        <f>GLOBAL_DER_FEV_2023!I769</f>
        <v>0</v>
      </c>
      <c r="J769" s="902">
        <f>GLOBAL_DER_FEV_2023!J769</f>
        <v>0</v>
      </c>
      <c r="K769" s="903" t="s">
        <v>507</v>
      </c>
      <c r="L769" s="1003"/>
      <c r="M769" s="1157">
        <f t="shared" si="52"/>
        <v>0</v>
      </c>
      <c r="N769" s="893">
        <f t="shared" si="56"/>
        <v>0</v>
      </c>
      <c r="O769" s="905"/>
      <c r="P769" s="58" t="str">
        <f>IF(N765&gt;0,"xx",IF(N765&gt;0,"xy",""))</f>
        <v/>
      </c>
      <c r="Q769" s="317" t="str">
        <f t="shared" si="53"/>
        <v/>
      </c>
      <c r="R769" s="317" t="str">
        <f t="shared" si="54"/>
        <v/>
      </c>
      <c r="S769" s="317" t="str">
        <f t="shared" si="55"/>
        <v/>
      </c>
      <c r="T769" s="317" t="str">
        <f>GLOBAL_DER_FEV_2023!S769</f>
        <v/>
      </c>
      <c r="W769" s="582">
        <v>0</v>
      </c>
      <c r="X769" s="580"/>
      <c r="Y769" s="583">
        <f>IF(GLOBAL_DER_FEV_2023!W769=0,0,IF(GLOBAL_DER_FEV_2023!W769&gt;0,"c","b"))</f>
        <v>0</v>
      </c>
    </row>
    <row r="770" spans="1:25" ht="13.5" hidden="1" thickBot="1" x14ac:dyDescent="0.25">
      <c r="A770" s="317">
        <v>589000</v>
      </c>
      <c r="B770" s="1004" t="str">
        <f>GLOBAL_DER_FEV_2023!B770</f>
        <v>589000Q</v>
      </c>
      <c r="C770" s="984" t="str">
        <f>GLOBAL_DER_FEV_2023!C770</f>
        <v>DER mat</v>
      </c>
      <c r="D770" s="1012" t="str">
        <f>GLOBAL_DER_FEV_2023!D770</f>
        <v>Fornecimento de CAP - CBUQ (Quantidade menor que 10.000 ton)</v>
      </c>
      <c r="E770" s="1005">
        <f>GLOBAL_DER_FEV_2023!E770</f>
        <v>45</v>
      </c>
      <c r="F770" s="1006">
        <f>GLOBAL_DER_FEV_2023!F770</f>
        <v>1</v>
      </c>
      <c r="G770" s="949">
        <f>GLOBAL_DER_FEV_2023!G770</f>
        <v>88.36</v>
      </c>
      <c r="H770" s="988">
        <f>GLOBAL_DER_FEV_2023!H770</f>
        <v>4828.8599999999997</v>
      </c>
      <c r="I770" s="988">
        <f>GLOBAL_DER_FEV_2023!I770</f>
        <v>4724.580378112767</v>
      </c>
      <c r="J770" s="989">
        <f>GLOBAL_DER_FEV_2023!J770</f>
        <v>5672.8</v>
      </c>
      <c r="K770" s="990" t="s">
        <v>14</v>
      </c>
      <c r="L770" s="1169">
        <f>ROUND(L765*$F765,2)</f>
        <v>0</v>
      </c>
      <c r="M770" s="1168">
        <f t="shared" si="52"/>
        <v>0</v>
      </c>
      <c r="N770" s="993">
        <f t="shared" si="56"/>
        <v>0</v>
      </c>
      <c r="O770" s="905"/>
      <c r="P770" s="58" t="str">
        <f>IF(N765&gt;0,"xx",IF(N765&gt;0,"xy",""))</f>
        <v/>
      </c>
      <c r="Q770" s="317" t="str">
        <f t="shared" si="53"/>
        <v/>
      </c>
      <c r="R770" s="317" t="str">
        <f t="shared" si="54"/>
        <v/>
      </c>
      <c r="S770" s="317" t="str">
        <f t="shared" si="55"/>
        <v/>
      </c>
      <c r="T770" s="317" t="str">
        <f>GLOBAL_DER_FEV_2023!S770</f>
        <v/>
      </c>
      <c r="W770" s="582">
        <v>0</v>
      </c>
      <c r="X770" s="580"/>
      <c r="Y770" s="583">
        <f>IF(GLOBAL_DER_FEV_2023!W770=0,0,IF(GLOBAL_DER_FEV_2023!W770&gt;0,"c","b"))</f>
        <v>0</v>
      </c>
    </row>
    <row r="771" spans="1:25" ht="13.5" hidden="1" thickBot="1" x14ac:dyDescent="0.25">
      <c r="A771" s="317">
        <v>570400</v>
      </c>
      <c r="B771" s="999" t="str">
        <f>GLOBAL_DER_FEV_2023!B771</f>
        <v>570400D</v>
      </c>
      <c r="C771" s="1000" t="str">
        <f>GLOBAL_DER_FEV_2023!C771</f>
        <v>DER</v>
      </c>
      <c r="D771" s="973" t="str">
        <f>GLOBAL_DER_FEV_2023!D771</f>
        <v>CBUQ - PASSEIO (Quantidade maior que 10.000 ton)</v>
      </c>
      <c r="E771" s="974" t="str">
        <f>GLOBAL_DER_FEV_2023!E771</f>
        <v>taxa CAP</v>
      </c>
      <c r="F771" s="975">
        <f>GLOBAL_DER_FEV_2023!F771</f>
        <v>5.7000000000000002E-2</v>
      </c>
      <c r="G771" s="976">
        <f>GLOBAL_DER_FEV_2023!G771</f>
        <v>52.951632000000004</v>
      </c>
      <c r="H771" s="977">
        <f>GLOBAL_DER_FEV_2023!H771</f>
        <v>169.12</v>
      </c>
      <c r="I771" s="977">
        <f>GLOBAL_DER_FEV_2023!I771</f>
        <v>222.07163200000002</v>
      </c>
      <c r="J771" s="978">
        <f>GLOBAL_DER_FEV_2023!J771</f>
        <v>266.64</v>
      </c>
      <c r="K771" s="979" t="s">
        <v>14</v>
      </c>
      <c r="L771" s="1152"/>
      <c r="M771" s="1153">
        <f t="shared" si="52"/>
        <v>0</v>
      </c>
      <c r="N771" s="982">
        <f t="shared" si="56"/>
        <v>0</v>
      </c>
      <c r="O771" s="905"/>
      <c r="Q771" s="317" t="str">
        <f t="shared" si="53"/>
        <v/>
      </c>
      <c r="R771" s="317" t="str">
        <f t="shared" si="54"/>
        <v/>
      </c>
      <c r="S771" s="317" t="str">
        <f t="shared" si="55"/>
        <v/>
      </c>
      <c r="T771" s="317" t="str">
        <f>GLOBAL_DER_FEV_2023!S771</f>
        <v/>
      </c>
      <c r="W771" s="582">
        <v>0</v>
      </c>
      <c r="X771" s="580"/>
      <c r="Y771" s="583">
        <f>IF(GLOBAL_DER_FEV_2023!W771=0,0,IF(GLOBAL_DER_FEV_2023!W771&gt;0,"c","b"))</f>
        <v>0</v>
      </c>
    </row>
    <row r="772" spans="1:25" ht="13.5" hidden="1" thickBot="1" x14ac:dyDescent="0.25">
      <c r="A772" s="317" t="s">
        <v>147</v>
      </c>
      <c r="B772" s="895" t="str">
        <f>GLOBAL_DER_FEV_2023!B772</f>
        <v>transporte</v>
      </c>
      <c r="C772" s="896">
        <f>GLOBAL_DER_FEV_2023!C772</f>
        <v>0</v>
      </c>
      <c r="D772" s="957" t="str">
        <f>GLOBAL_DER_FEV_2023!D772</f>
        <v>Areia</v>
      </c>
      <c r="E772" s="907">
        <f>GLOBAL_DER_FEV_2023!E772</f>
        <v>150</v>
      </c>
      <c r="F772" s="908">
        <f>GLOBAL_DER_FEV_2023!F772</f>
        <v>0.1</v>
      </c>
      <c r="G772" s="949">
        <f>GLOBAL_DER_FEV_2023!G772</f>
        <v>16.318000000000001</v>
      </c>
      <c r="H772" s="901">
        <f>GLOBAL_DER_FEV_2023!H772</f>
        <v>0</v>
      </c>
      <c r="I772" s="901">
        <f>GLOBAL_DER_FEV_2023!I772</f>
        <v>0</v>
      </c>
      <c r="J772" s="902">
        <f>GLOBAL_DER_FEV_2023!J772</f>
        <v>0</v>
      </c>
      <c r="K772" s="903" t="s">
        <v>507</v>
      </c>
      <c r="L772" s="1003"/>
      <c r="M772" s="1157">
        <f t="shared" si="52"/>
        <v>0</v>
      </c>
      <c r="N772" s="893">
        <f t="shared" si="56"/>
        <v>0</v>
      </c>
      <c r="O772" s="905"/>
      <c r="P772" s="58" t="str">
        <f>IF(N771&gt;0,"xx",IF(N771&gt;0,"xy",""))</f>
        <v/>
      </c>
      <c r="Q772" s="317" t="str">
        <f t="shared" si="53"/>
        <v/>
      </c>
      <c r="R772" s="317" t="str">
        <f t="shared" si="54"/>
        <v/>
      </c>
      <c r="S772" s="317" t="str">
        <f t="shared" si="55"/>
        <v/>
      </c>
      <c r="T772" s="317" t="str">
        <f>GLOBAL_DER_FEV_2023!S772</f>
        <v/>
      </c>
      <c r="W772" s="582">
        <v>0</v>
      </c>
      <c r="X772" s="580"/>
      <c r="Y772" s="583">
        <f>IF(GLOBAL_DER_FEV_2023!W772=0,0,IF(GLOBAL_DER_FEV_2023!W772&gt;0,"c","b"))</f>
        <v>0</v>
      </c>
    </row>
    <row r="773" spans="1:25" ht="13.5" hidden="1" thickBot="1" x14ac:dyDescent="0.25">
      <c r="A773" s="317" t="s">
        <v>147</v>
      </c>
      <c r="B773" s="895" t="str">
        <f>GLOBAL_DER_FEV_2023!B773</f>
        <v>transporte</v>
      </c>
      <c r="C773" s="896">
        <f>GLOBAL_DER_FEV_2023!C773</f>
        <v>0</v>
      </c>
      <c r="D773" s="957" t="str">
        <f>GLOBAL_DER_FEV_2023!D773</f>
        <v>Cal Hidratada CH-1</v>
      </c>
      <c r="E773" s="907">
        <f>GLOBAL_DER_FEV_2023!E773</f>
        <v>353</v>
      </c>
      <c r="F773" s="908">
        <f>GLOBAL_DER_FEV_2023!F773</f>
        <v>1.4999999999999999E-2</v>
      </c>
      <c r="G773" s="909">
        <f>GLOBAL_DER_FEV_2023!G773</f>
        <v>4.2473999999999998</v>
      </c>
      <c r="H773" s="901">
        <f>GLOBAL_DER_FEV_2023!H773</f>
        <v>0</v>
      </c>
      <c r="I773" s="901">
        <f>GLOBAL_DER_FEV_2023!I773</f>
        <v>0</v>
      </c>
      <c r="J773" s="902">
        <f>GLOBAL_DER_FEV_2023!J773</f>
        <v>0</v>
      </c>
      <c r="K773" s="903" t="s">
        <v>507</v>
      </c>
      <c r="L773" s="1003"/>
      <c r="M773" s="1157">
        <f t="shared" si="52"/>
        <v>0</v>
      </c>
      <c r="N773" s="893">
        <f t="shared" si="56"/>
        <v>0</v>
      </c>
      <c r="O773" s="905"/>
      <c r="P773" s="58" t="str">
        <f>IF(N771&gt;0,"xx",IF(N771&gt;0,"xy",""))</f>
        <v/>
      </c>
      <c r="Q773" s="317" t="str">
        <f t="shared" si="53"/>
        <v/>
      </c>
      <c r="R773" s="317" t="str">
        <f t="shared" si="54"/>
        <v/>
      </c>
      <c r="S773" s="317" t="str">
        <f t="shared" si="55"/>
        <v/>
      </c>
      <c r="T773" s="317" t="str">
        <f>GLOBAL_DER_FEV_2023!S773</f>
        <v/>
      </c>
      <c r="W773" s="582">
        <v>0</v>
      </c>
      <c r="X773" s="580"/>
      <c r="Y773" s="583">
        <f>IF(GLOBAL_DER_FEV_2023!W773=0,0,IF(GLOBAL_DER_FEV_2023!W773&gt;0,"c","b"))</f>
        <v>0</v>
      </c>
    </row>
    <row r="774" spans="1:25" ht="13.5" hidden="1" thickBot="1" x14ac:dyDescent="0.25">
      <c r="A774" s="317" t="s">
        <v>147</v>
      </c>
      <c r="B774" s="895" t="str">
        <f>GLOBAL_DER_FEV_2023!B774</f>
        <v>transporte</v>
      </c>
      <c r="C774" s="896">
        <f>GLOBAL_DER_FEV_2023!C774</f>
        <v>0</v>
      </c>
      <c r="D774" s="957" t="str">
        <f>GLOBAL_DER_FEV_2023!D774</f>
        <v>Brita ( usina )</v>
      </c>
      <c r="E774" s="907">
        <f>GLOBAL_DER_FEV_2023!E774</f>
        <v>0.2</v>
      </c>
      <c r="F774" s="908">
        <f>GLOBAL_DER_FEV_2023!F774</f>
        <v>0.82799999999999996</v>
      </c>
      <c r="G774" s="949">
        <f>GLOBAL_DER_FEV_2023!G774</f>
        <v>2.3962319999999999</v>
      </c>
      <c r="H774" s="901">
        <f>GLOBAL_DER_FEV_2023!H774</f>
        <v>0</v>
      </c>
      <c r="I774" s="901">
        <f>GLOBAL_DER_FEV_2023!I774</f>
        <v>0</v>
      </c>
      <c r="J774" s="902">
        <f>GLOBAL_DER_FEV_2023!J774</f>
        <v>0</v>
      </c>
      <c r="K774" s="903" t="s">
        <v>507</v>
      </c>
      <c r="L774" s="1003"/>
      <c r="M774" s="1157">
        <f t="shared" si="52"/>
        <v>0</v>
      </c>
      <c r="N774" s="893">
        <f t="shared" si="56"/>
        <v>0</v>
      </c>
      <c r="O774" s="905"/>
      <c r="P774" s="58" t="str">
        <f>IF(N771&gt;0,"xx",IF(N771&gt;0,"xy",""))</f>
        <v/>
      </c>
      <c r="Q774" s="317" t="str">
        <f t="shared" si="53"/>
        <v/>
      </c>
      <c r="R774" s="317" t="str">
        <f t="shared" si="54"/>
        <v/>
      </c>
      <c r="S774" s="317" t="str">
        <f t="shared" si="55"/>
        <v/>
      </c>
      <c r="T774" s="317" t="str">
        <f>GLOBAL_DER_FEV_2023!S774</f>
        <v/>
      </c>
      <c r="W774" s="582">
        <v>0</v>
      </c>
      <c r="X774" s="580"/>
      <c r="Y774" s="583">
        <f>IF(GLOBAL_DER_FEV_2023!W774=0,0,IF(GLOBAL_DER_FEV_2023!W774&gt;0,"c","b"))</f>
        <v>0</v>
      </c>
    </row>
    <row r="775" spans="1:25" ht="13.5" hidden="1" thickBot="1" x14ac:dyDescent="0.25">
      <c r="A775" s="317" t="s">
        <v>147</v>
      </c>
      <c r="B775" s="895" t="str">
        <f>GLOBAL_DER_FEV_2023!B775</f>
        <v>transporte</v>
      </c>
      <c r="C775" s="896">
        <f>GLOBAL_DER_FEV_2023!C775</f>
        <v>0</v>
      </c>
      <c r="D775" s="957" t="str">
        <f>GLOBAL_DER_FEV_2023!D775</f>
        <v>Massa</v>
      </c>
      <c r="E775" s="907">
        <f>GLOBAL_DER_FEV_2023!E775</f>
        <v>22</v>
      </c>
      <c r="F775" s="908">
        <f>GLOBAL_DER_FEV_2023!F775</f>
        <v>1</v>
      </c>
      <c r="G775" s="912">
        <f>GLOBAL_DER_FEV_2023!G775</f>
        <v>29.990000000000002</v>
      </c>
      <c r="H775" s="901">
        <f>GLOBAL_DER_FEV_2023!H775</f>
        <v>0</v>
      </c>
      <c r="I775" s="901">
        <f>GLOBAL_DER_FEV_2023!I775</f>
        <v>0</v>
      </c>
      <c r="J775" s="902">
        <f>GLOBAL_DER_FEV_2023!J775</f>
        <v>0</v>
      </c>
      <c r="K775" s="903" t="s">
        <v>507</v>
      </c>
      <c r="L775" s="1003"/>
      <c r="M775" s="1157">
        <f t="shared" si="52"/>
        <v>0</v>
      </c>
      <c r="N775" s="893">
        <f t="shared" si="56"/>
        <v>0</v>
      </c>
      <c r="O775" s="905"/>
      <c r="P775" s="58" t="str">
        <f>IF(N771&gt;0,"xx",IF(N771&gt;0,"xy",""))</f>
        <v/>
      </c>
      <c r="Q775" s="317" t="str">
        <f t="shared" si="53"/>
        <v/>
      </c>
      <c r="R775" s="317" t="str">
        <f t="shared" si="54"/>
        <v/>
      </c>
      <c r="S775" s="317" t="str">
        <f t="shared" si="55"/>
        <v/>
      </c>
      <c r="T775" s="317" t="str">
        <f>GLOBAL_DER_FEV_2023!S775</f>
        <v/>
      </c>
      <c r="W775" s="582">
        <v>0</v>
      </c>
      <c r="X775" s="580"/>
      <c r="Y775" s="583">
        <f>IF(GLOBAL_DER_FEV_2023!W775=0,0,IF(GLOBAL_DER_FEV_2023!W775&gt;0,"c","b"))</f>
        <v>0</v>
      </c>
    </row>
    <row r="776" spans="1:25" ht="13.5" hidden="1" thickBot="1" x14ac:dyDescent="0.25">
      <c r="A776" s="317">
        <v>589000</v>
      </c>
      <c r="B776" s="1004" t="str">
        <f>GLOBAL_DER_FEV_2023!B776</f>
        <v>589000R</v>
      </c>
      <c r="C776" s="984" t="str">
        <f>GLOBAL_DER_FEV_2023!C776</f>
        <v>DER mat</v>
      </c>
      <c r="D776" s="1012" t="str">
        <f>GLOBAL_DER_FEV_2023!D776</f>
        <v>Fornecimento de CAP - CBUQ (Quantidade maior que 10.000 ton)</v>
      </c>
      <c r="E776" s="1005">
        <f>GLOBAL_DER_FEV_2023!E776</f>
        <v>45</v>
      </c>
      <c r="F776" s="1006">
        <f>GLOBAL_DER_FEV_2023!F776</f>
        <v>1</v>
      </c>
      <c r="G776" s="1028">
        <f>GLOBAL_DER_FEV_2023!G776</f>
        <v>88.36</v>
      </c>
      <c r="H776" s="988">
        <f>GLOBAL_DER_FEV_2023!H776</f>
        <v>4828.8599999999997</v>
      </c>
      <c r="I776" s="988">
        <f>GLOBAL_DER_FEV_2023!I776</f>
        <v>4724.580378112767</v>
      </c>
      <c r="J776" s="989">
        <f>GLOBAL_DER_FEV_2023!J776</f>
        <v>5672.8</v>
      </c>
      <c r="K776" s="990" t="s">
        <v>14</v>
      </c>
      <c r="L776" s="1169">
        <f>ROUND(L771*$F771,2)</f>
        <v>0</v>
      </c>
      <c r="M776" s="1168">
        <f t="shared" si="52"/>
        <v>0</v>
      </c>
      <c r="N776" s="993">
        <f t="shared" si="56"/>
        <v>0</v>
      </c>
      <c r="O776" s="905"/>
      <c r="P776" s="58" t="str">
        <f>IF(N771&gt;0,"xx",IF(N771&gt;0,"xy",""))</f>
        <v/>
      </c>
      <c r="Q776" s="317" t="str">
        <f t="shared" si="53"/>
        <v/>
      </c>
      <c r="R776" s="317" t="str">
        <f t="shared" si="54"/>
        <v/>
      </c>
      <c r="S776" s="317" t="str">
        <f t="shared" si="55"/>
        <v/>
      </c>
      <c r="T776" s="317" t="str">
        <f>GLOBAL_DER_FEV_2023!S776</f>
        <v/>
      </c>
      <c r="W776" s="582">
        <v>0</v>
      </c>
      <c r="X776" s="580"/>
      <c r="Y776" s="583">
        <f>IF(GLOBAL_DER_FEV_2023!W776=0,0,IF(GLOBAL_DER_FEV_2023!W776&gt;0,"c","b"))</f>
        <v>0</v>
      </c>
    </row>
    <row r="777" spans="1:25" ht="23.25" hidden="1" thickBot="1" x14ac:dyDescent="0.25">
      <c r="A777" s="317">
        <v>570000</v>
      </c>
      <c r="B777" s="999" t="str">
        <f>GLOBAL_DER_FEV_2023!B777</f>
        <v>570000E</v>
      </c>
      <c r="C777" s="1000" t="str">
        <f>GLOBAL_DER_FEV_2023!C777</f>
        <v>DER</v>
      </c>
      <c r="D777" s="1024" t="str">
        <f>GLOBAL_DER_FEV_2023!D777</f>
        <v>CBUQ - PASSEIO - Novo Traço - TRAÇO 4 - FAIXA "D" - (Quant. menor que 10.000 ton)</v>
      </c>
      <c r="E777" s="974" t="str">
        <f>GLOBAL_DER_FEV_2023!E777</f>
        <v>taxa CAP</v>
      </c>
      <c r="F777" s="1022">
        <f>GLOBAL_DER_FEV_2023!F777</f>
        <v>5.6000000000000001E-2</v>
      </c>
      <c r="G777" s="976">
        <f>GLOBAL_DER_FEV_2023!G777</f>
        <v>51.832711599999996</v>
      </c>
      <c r="H777" s="977">
        <f>GLOBAL_DER_FEV_2023!H777</f>
        <v>187.41</v>
      </c>
      <c r="I777" s="977">
        <f>GLOBAL_DER_FEV_2023!I777</f>
        <v>239.24271160000001</v>
      </c>
      <c r="J777" s="978">
        <f>GLOBAL_DER_FEV_2023!J777</f>
        <v>287.26</v>
      </c>
      <c r="K777" s="979" t="s">
        <v>14</v>
      </c>
      <c r="L777" s="1152"/>
      <c r="M777" s="1153">
        <f t="shared" si="52"/>
        <v>0</v>
      </c>
      <c r="N777" s="982">
        <f t="shared" si="56"/>
        <v>0</v>
      </c>
      <c r="O777" s="905"/>
      <c r="Q777" s="317" t="str">
        <f t="shared" si="53"/>
        <v/>
      </c>
      <c r="R777" s="317" t="str">
        <f t="shared" si="54"/>
        <v/>
      </c>
      <c r="S777" s="317" t="str">
        <f t="shared" si="55"/>
        <v/>
      </c>
      <c r="T777" s="317" t="str">
        <f>GLOBAL_DER_FEV_2023!S777</f>
        <v/>
      </c>
      <c r="W777" s="582">
        <v>0</v>
      </c>
      <c r="X777" s="580"/>
      <c r="Y777" s="583">
        <f>IF(GLOBAL_DER_FEV_2023!W777=0,0,IF(GLOBAL_DER_FEV_2023!W777&gt;0,"c","b"))</f>
        <v>0</v>
      </c>
    </row>
    <row r="778" spans="1:25" ht="13.5" hidden="1" thickBot="1" x14ac:dyDescent="0.25">
      <c r="A778" s="317" t="s">
        <v>147</v>
      </c>
      <c r="B778" s="895" t="str">
        <f>GLOBAL_DER_FEV_2023!B778</f>
        <v>transporte</v>
      </c>
      <c r="C778" s="896">
        <f>GLOBAL_DER_FEV_2023!C778</f>
        <v>0</v>
      </c>
      <c r="D778" s="957" t="str">
        <f>GLOBAL_DER_FEV_2023!D778</f>
        <v>Areia</v>
      </c>
      <c r="E778" s="907">
        <f>GLOBAL_DER_FEV_2023!E778</f>
        <v>150</v>
      </c>
      <c r="F778" s="1287">
        <f>GLOBAL_DER_FEV_2023!F778</f>
        <v>9.4399999999999998E-2</v>
      </c>
      <c r="G778" s="949">
        <f>GLOBAL_DER_FEV_2023!G778</f>
        <v>15.404192</v>
      </c>
      <c r="H778" s="901">
        <f>GLOBAL_DER_FEV_2023!H778</f>
        <v>0</v>
      </c>
      <c r="I778" s="901">
        <f>GLOBAL_DER_FEV_2023!I778</f>
        <v>0</v>
      </c>
      <c r="J778" s="902">
        <f>GLOBAL_DER_FEV_2023!J778</f>
        <v>0</v>
      </c>
      <c r="K778" s="903" t="s">
        <v>507</v>
      </c>
      <c r="L778" s="1003"/>
      <c r="M778" s="1157">
        <f t="shared" si="52"/>
        <v>0</v>
      </c>
      <c r="N778" s="893">
        <f t="shared" si="56"/>
        <v>0</v>
      </c>
      <c r="O778" s="905"/>
      <c r="P778" s="58" t="str">
        <f>IF(N777&gt;0,"xx",IF(N777&gt;0,"xy",""))</f>
        <v/>
      </c>
      <c r="Q778" s="317" t="str">
        <f t="shared" si="53"/>
        <v/>
      </c>
      <c r="R778" s="317" t="str">
        <f t="shared" si="54"/>
        <v/>
      </c>
      <c r="S778" s="317" t="str">
        <f t="shared" si="55"/>
        <v/>
      </c>
      <c r="T778" s="317" t="str">
        <f>GLOBAL_DER_FEV_2023!S778</f>
        <v/>
      </c>
      <c r="W778" s="582">
        <v>0</v>
      </c>
      <c r="X778" s="580"/>
      <c r="Y778" s="583">
        <f>IF(GLOBAL_DER_FEV_2023!W778=0,0,IF(GLOBAL_DER_FEV_2023!W778&gt;0,"c","b"))</f>
        <v>0</v>
      </c>
    </row>
    <row r="779" spans="1:25" ht="13.5" hidden="1" thickBot="1" x14ac:dyDescent="0.25">
      <c r="A779" s="317" t="s">
        <v>147</v>
      </c>
      <c r="B779" s="895" t="str">
        <f>GLOBAL_DER_FEV_2023!B779</f>
        <v>transporte</v>
      </c>
      <c r="C779" s="896">
        <f>GLOBAL_DER_FEV_2023!C779</f>
        <v>0</v>
      </c>
      <c r="D779" s="957" t="str">
        <f>GLOBAL_DER_FEV_2023!D779</f>
        <v>Cal Hidratada CH-1</v>
      </c>
      <c r="E779" s="907">
        <f>GLOBAL_DER_FEV_2023!E779</f>
        <v>353</v>
      </c>
      <c r="F779" s="1287">
        <f>GLOBAL_DER_FEV_2023!F779</f>
        <v>1.4200000000000001E-2</v>
      </c>
      <c r="G779" s="909">
        <f>GLOBAL_DER_FEV_2023!G779</f>
        <v>4.0208720000000007</v>
      </c>
      <c r="H779" s="901">
        <f>GLOBAL_DER_FEV_2023!H779</f>
        <v>0</v>
      </c>
      <c r="I779" s="901">
        <f>GLOBAL_DER_FEV_2023!I779</f>
        <v>0</v>
      </c>
      <c r="J779" s="902">
        <f>GLOBAL_DER_FEV_2023!J779</f>
        <v>0</v>
      </c>
      <c r="K779" s="903" t="s">
        <v>507</v>
      </c>
      <c r="L779" s="1003"/>
      <c r="M779" s="1157">
        <f t="shared" si="52"/>
        <v>0</v>
      </c>
      <c r="N779" s="893">
        <f t="shared" si="56"/>
        <v>0</v>
      </c>
      <c r="O779" s="905"/>
      <c r="P779" s="58" t="str">
        <f>IF(N777&gt;0,"xx",IF(N777&gt;0,"xy",""))</f>
        <v/>
      </c>
      <c r="Q779" s="317" t="str">
        <f t="shared" si="53"/>
        <v/>
      </c>
      <c r="R779" s="317" t="str">
        <f t="shared" si="54"/>
        <v/>
      </c>
      <c r="S779" s="317" t="str">
        <f t="shared" si="55"/>
        <v/>
      </c>
      <c r="T779" s="317" t="str">
        <f>GLOBAL_DER_FEV_2023!S779</f>
        <v/>
      </c>
      <c r="W779" s="582">
        <v>0</v>
      </c>
      <c r="X779" s="580"/>
      <c r="Y779" s="583">
        <f>IF(GLOBAL_DER_FEV_2023!W779=0,0,IF(GLOBAL_DER_FEV_2023!W779&gt;0,"c","b"))</f>
        <v>0</v>
      </c>
    </row>
    <row r="780" spans="1:25" ht="13.5" hidden="1" thickBot="1" x14ac:dyDescent="0.25">
      <c r="A780" s="317" t="s">
        <v>147</v>
      </c>
      <c r="B780" s="895" t="str">
        <f>GLOBAL_DER_FEV_2023!B780</f>
        <v>transporte</v>
      </c>
      <c r="C780" s="896">
        <f>GLOBAL_DER_FEV_2023!C780</f>
        <v>0</v>
      </c>
      <c r="D780" s="957" t="str">
        <f>GLOBAL_DER_FEV_2023!D780</f>
        <v>Brita ( usina )</v>
      </c>
      <c r="E780" s="907">
        <f>GLOBAL_DER_FEV_2023!E780</f>
        <v>0.2</v>
      </c>
      <c r="F780" s="1287">
        <f>GLOBAL_DER_FEV_2023!F780</f>
        <v>0.83540000000000003</v>
      </c>
      <c r="G780" s="949">
        <f>GLOBAL_DER_FEV_2023!G780</f>
        <v>2.4176476</v>
      </c>
      <c r="H780" s="901">
        <f>GLOBAL_DER_FEV_2023!H780</f>
        <v>0</v>
      </c>
      <c r="I780" s="901">
        <f>GLOBAL_DER_FEV_2023!I780</f>
        <v>0</v>
      </c>
      <c r="J780" s="902">
        <f>GLOBAL_DER_FEV_2023!J780</f>
        <v>0</v>
      </c>
      <c r="K780" s="903" t="s">
        <v>507</v>
      </c>
      <c r="L780" s="1003"/>
      <c r="M780" s="1157">
        <f t="shared" si="52"/>
        <v>0</v>
      </c>
      <c r="N780" s="893">
        <f t="shared" si="56"/>
        <v>0</v>
      </c>
      <c r="O780" s="905"/>
      <c r="P780" s="58" t="str">
        <f>IF(N777&gt;0,"xx",IF(N777&gt;0,"xy",""))</f>
        <v/>
      </c>
      <c r="Q780" s="317" t="str">
        <f t="shared" si="53"/>
        <v/>
      </c>
      <c r="R780" s="317" t="str">
        <f t="shared" si="54"/>
        <v/>
      </c>
      <c r="S780" s="317" t="str">
        <f t="shared" si="55"/>
        <v/>
      </c>
      <c r="T780" s="317" t="str">
        <f>GLOBAL_DER_FEV_2023!S780</f>
        <v/>
      </c>
      <c r="W780" s="582">
        <v>0</v>
      </c>
      <c r="X780" s="580"/>
      <c r="Y780" s="583">
        <f>IF(GLOBAL_DER_FEV_2023!W780=0,0,IF(GLOBAL_DER_FEV_2023!W780&gt;0,"c","b"))</f>
        <v>0</v>
      </c>
    </row>
    <row r="781" spans="1:25" ht="13.5" hidden="1" thickBot="1" x14ac:dyDescent="0.25">
      <c r="A781" s="317" t="s">
        <v>147</v>
      </c>
      <c r="B781" s="895" t="str">
        <f>GLOBAL_DER_FEV_2023!B781</f>
        <v>transporte</v>
      </c>
      <c r="C781" s="896">
        <f>GLOBAL_DER_FEV_2023!C781</f>
        <v>0</v>
      </c>
      <c r="D781" s="957" t="str">
        <f>GLOBAL_DER_FEV_2023!D781</f>
        <v>Massa</v>
      </c>
      <c r="E781" s="907">
        <f>GLOBAL_DER_FEV_2023!E781</f>
        <v>22</v>
      </c>
      <c r="F781" s="908">
        <f>GLOBAL_DER_FEV_2023!F781</f>
        <v>1</v>
      </c>
      <c r="G781" s="912">
        <f>GLOBAL_DER_FEV_2023!G781</f>
        <v>29.990000000000002</v>
      </c>
      <c r="H781" s="901">
        <f>GLOBAL_DER_FEV_2023!H781</f>
        <v>0</v>
      </c>
      <c r="I781" s="901">
        <f>GLOBAL_DER_FEV_2023!I781</f>
        <v>0</v>
      </c>
      <c r="J781" s="902">
        <f>GLOBAL_DER_FEV_2023!J781</f>
        <v>0</v>
      </c>
      <c r="K781" s="903" t="s">
        <v>507</v>
      </c>
      <c r="L781" s="1003"/>
      <c r="M781" s="1157">
        <f t="shared" si="52"/>
        <v>0</v>
      </c>
      <c r="N781" s="893">
        <f t="shared" si="56"/>
        <v>0</v>
      </c>
      <c r="O781" s="905"/>
      <c r="P781" s="58" t="str">
        <f>IF(N777&gt;0,"xx",IF(N777&gt;0,"xy",""))</f>
        <v/>
      </c>
      <c r="Q781" s="317" t="str">
        <f t="shared" si="53"/>
        <v/>
      </c>
      <c r="R781" s="317" t="str">
        <f t="shared" si="54"/>
        <v/>
      </c>
      <c r="S781" s="317" t="str">
        <f t="shared" si="55"/>
        <v/>
      </c>
      <c r="T781" s="317" t="str">
        <f>GLOBAL_DER_FEV_2023!S781</f>
        <v/>
      </c>
      <c r="W781" s="582">
        <v>0</v>
      </c>
      <c r="X781" s="580"/>
      <c r="Y781" s="583">
        <f>IF(GLOBAL_DER_FEV_2023!W781=0,0,IF(GLOBAL_DER_FEV_2023!W781&gt;0,"c","b"))</f>
        <v>0</v>
      </c>
    </row>
    <row r="782" spans="1:25" ht="13.5" hidden="1" thickBot="1" x14ac:dyDescent="0.25">
      <c r="A782" s="317">
        <v>589000</v>
      </c>
      <c r="B782" s="1004" t="str">
        <f>GLOBAL_DER_FEV_2023!B782</f>
        <v>589000Q</v>
      </c>
      <c r="C782" s="984" t="str">
        <f>GLOBAL_DER_FEV_2023!C782</f>
        <v>DER mat</v>
      </c>
      <c r="D782" s="1012" t="str">
        <f>GLOBAL_DER_FEV_2023!D782</f>
        <v>Fornecimento de CAP - CBUQ (Quantidade menor que 10.000 ton)</v>
      </c>
      <c r="E782" s="1005">
        <f>GLOBAL_DER_FEV_2023!E782</f>
        <v>45</v>
      </c>
      <c r="F782" s="1006">
        <f>GLOBAL_DER_FEV_2023!F782</f>
        <v>1</v>
      </c>
      <c r="G782" s="1028">
        <f>GLOBAL_DER_FEV_2023!G782</f>
        <v>88.36</v>
      </c>
      <c r="H782" s="988">
        <f>GLOBAL_DER_FEV_2023!H782</f>
        <v>4828.8599999999997</v>
      </c>
      <c r="I782" s="988">
        <f>GLOBAL_DER_FEV_2023!I782</f>
        <v>4724.580378112767</v>
      </c>
      <c r="J782" s="989">
        <f>GLOBAL_DER_FEV_2023!J782</f>
        <v>5672.8</v>
      </c>
      <c r="K782" s="990" t="s">
        <v>14</v>
      </c>
      <c r="L782" s="1169">
        <f>ROUND(L777*$F777,2)</f>
        <v>0</v>
      </c>
      <c r="M782" s="1168">
        <f t="shared" si="52"/>
        <v>0</v>
      </c>
      <c r="N782" s="993">
        <f t="shared" si="56"/>
        <v>0</v>
      </c>
      <c r="O782" s="905"/>
      <c r="P782" s="58" t="str">
        <f>IF(N777&gt;0,"xx",IF(N777&gt;0,"xy",""))</f>
        <v/>
      </c>
      <c r="Q782" s="317" t="str">
        <f t="shared" si="53"/>
        <v/>
      </c>
      <c r="R782" s="317" t="str">
        <f t="shared" si="54"/>
        <v/>
      </c>
      <c r="S782" s="317" t="str">
        <f t="shared" si="55"/>
        <v/>
      </c>
      <c r="T782" s="317" t="str">
        <f>GLOBAL_DER_FEV_2023!S782</f>
        <v/>
      </c>
      <c r="W782" s="582">
        <v>0</v>
      </c>
      <c r="X782" s="580"/>
      <c r="Y782" s="583">
        <f>IF(GLOBAL_DER_FEV_2023!W782=0,0,IF(GLOBAL_DER_FEV_2023!W782&gt;0,"c","b"))</f>
        <v>0</v>
      </c>
    </row>
    <row r="783" spans="1:25" ht="23.25" hidden="1" thickBot="1" x14ac:dyDescent="0.25">
      <c r="A783" s="317">
        <v>570000</v>
      </c>
      <c r="B783" s="999" t="str">
        <f>GLOBAL_DER_FEV_2023!B783</f>
        <v>570000E</v>
      </c>
      <c r="C783" s="1000" t="str">
        <f>GLOBAL_DER_FEV_2023!C783</f>
        <v>DER</v>
      </c>
      <c r="D783" s="1024" t="str">
        <f>GLOBAL_DER_FEV_2023!D783</f>
        <v>CBUQ - PASSEIO - Novo Traço - TRAÇO 5 - FAIXA "D" - (Quant. menor que 10.000 ton)</v>
      </c>
      <c r="E783" s="974" t="str">
        <f>GLOBAL_DER_FEV_2023!E783</f>
        <v>taxa CAP</v>
      </c>
      <c r="F783" s="1022">
        <f>GLOBAL_DER_FEV_2023!F783</f>
        <v>5.5E-2</v>
      </c>
      <c r="G783" s="976">
        <f>GLOBAL_DER_FEV_2023!G783</f>
        <v>51.851634200000007</v>
      </c>
      <c r="H783" s="977">
        <f>GLOBAL_DER_FEV_2023!H783</f>
        <v>187.41</v>
      </c>
      <c r="I783" s="977">
        <f>GLOBAL_DER_FEV_2023!I783</f>
        <v>239.2616342</v>
      </c>
      <c r="J783" s="978">
        <f>GLOBAL_DER_FEV_2023!J783</f>
        <v>287.27999999999997</v>
      </c>
      <c r="K783" s="979" t="s">
        <v>14</v>
      </c>
      <c r="L783" s="1152"/>
      <c r="M783" s="1153">
        <f t="shared" si="52"/>
        <v>0</v>
      </c>
      <c r="N783" s="982">
        <f t="shared" si="56"/>
        <v>0</v>
      </c>
      <c r="O783" s="905"/>
      <c r="Q783" s="317" t="str">
        <f t="shared" si="53"/>
        <v/>
      </c>
      <c r="R783" s="317" t="str">
        <f t="shared" si="54"/>
        <v/>
      </c>
      <c r="S783" s="317" t="str">
        <f t="shared" si="55"/>
        <v/>
      </c>
      <c r="T783" s="317" t="str">
        <f>GLOBAL_DER_FEV_2023!S783</f>
        <v/>
      </c>
      <c r="W783" s="582">
        <v>0</v>
      </c>
      <c r="X783" s="580"/>
      <c r="Y783" s="583">
        <f>IF(GLOBAL_DER_FEV_2023!W783=0,0,IF(GLOBAL_DER_FEV_2023!W783&gt;0,"c","b"))</f>
        <v>0</v>
      </c>
    </row>
    <row r="784" spans="1:25" ht="13.5" hidden="1" thickBot="1" x14ac:dyDescent="0.25">
      <c r="A784" s="317" t="s">
        <v>147</v>
      </c>
      <c r="B784" s="895" t="str">
        <f>GLOBAL_DER_FEV_2023!B784</f>
        <v>transporte</v>
      </c>
      <c r="C784" s="896">
        <f>GLOBAL_DER_FEV_2023!C784</f>
        <v>0</v>
      </c>
      <c r="D784" s="957" t="str">
        <f>GLOBAL_DER_FEV_2023!D784</f>
        <v>Areia</v>
      </c>
      <c r="E784" s="907">
        <f>GLOBAL_DER_FEV_2023!E784</f>
        <v>150</v>
      </c>
      <c r="F784" s="1287">
        <f>GLOBAL_DER_FEV_2023!F784</f>
        <v>9.4500000000000001E-2</v>
      </c>
      <c r="G784" s="949">
        <f>GLOBAL_DER_FEV_2023!G784</f>
        <v>15.42051</v>
      </c>
      <c r="H784" s="901">
        <f>GLOBAL_DER_FEV_2023!H784</f>
        <v>0</v>
      </c>
      <c r="I784" s="901">
        <f>GLOBAL_DER_FEV_2023!I784</f>
        <v>0</v>
      </c>
      <c r="J784" s="902">
        <f>GLOBAL_DER_FEV_2023!J784</f>
        <v>0</v>
      </c>
      <c r="K784" s="903" t="s">
        <v>507</v>
      </c>
      <c r="L784" s="1003"/>
      <c r="M784" s="1157">
        <f t="shared" si="52"/>
        <v>0</v>
      </c>
      <c r="N784" s="893">
        <f t="shared" si="56"/>
        <v>0</v>
      </c>
      <c r="O784" s="905"/>
      <c r="P784" s="58" t="str">
        <f>IF(N783&gt;0,"xx",IF(N783&gt;0,"xy",""))</f>
        <v/>
      </c>
      <c r="Q784" s="317" t="str">
        <f t="shared" si="53"/>
        <v/>
      </c>
      <c r="R784" s="317" t="str">
        <f t="shared" si="54"/>
        <v/>
      </c>
      <c r="S784" s="317" t="str">
        <f t="shared" si="55"/>
        <v/>
      </c>
      <c r="T784" s="317" t="str">
        <f>GLOBAL_DER_FEV_2023!S784</f>
        <v/>
      </c>
      <c r="W784" s="582">
        <v>0</v>
      </c>
      <c r="X784" s="580"/>
      <c r="Y784" s="583">
        <f>IF(GLOBAL_DER_FEV_2023!W784=0,0,IF(GLOBAL_DER_FEV_2023!W784&gt;0,"c","b"))</f>
        <v>0</v>
      </c>
    </row>
    <row r="785" spans="1:25" ht="13.5" hidden="1" thickBot="1" x14ac:dyDescent="0.25">
      <c r="A785" s="317" t="s">
        <v>147</v>
      </c>
      <c r="B785" s="895" t="str">
        <f>GLOBAL_DER_FEV_2023!B785</f>
        <v>transporte</v>
      </c>
      <c r="C785" s="896">
        <f>GLOBAL_DER_FEV_2023!C785</f>
        <v>0</v>
      </c>
      <c r="D785" s="957" t="str">
        <f>GLOBAL_DER_FEV_2023!D785</f>
        <v>Cal Hidratada CH-1</v>
      </c>
      <c r="E785" s="907">
        <f>GLOBAL_DER_FEV_2023!E785</f>
        <v>353</v>
      </c>
      <c r="F785" s="1287">
        <f>GLOBAL_DER_FEV_2023!F785</f>
        <v>1.4200000000000001E-2</v>
      </c>
      <c r="G785" s="909">
        <f>GLOBAL_DER_FEV_2023!G785</f>
        <v>4.0208720000000007</v>
      </c>
      <c r="H785" s="901">
        <f>GLOBAL_DER_FEV_2023!H785</f>
        <v>0</v>
      </c>
      <c r="I785" s="901">
        <f>GLOBAL_DER_FEV_2023!I785</f>
        <v>0</v>
      </c>
      <c r="J785" s="902">
        <f>GLOBAL_DER_FEV_2023!J785</f>
        <v>0</v>
      </c>
      <c r="K785" s="903" t="s">
        <v>507</v>
      </c>
      <c r="L785" s="1003"/>
      <c r="M785" s="1157">
        <f t="shared" si="52"/>
        <v>0</v>
      </c>
      <c r="N785" s="893">
        <f t="shared" si="56"/>
        <v>0</v>
      </c>
      <c r="O785" s="905"/>
      <c r="P785" s="58" t="str">
        <f>IF(N783&gt;0,"xx",IF(N783&gt;0,"xy",""))</f>
        <v/>
      </c>
      <c r="Q785" s="317" t="str">
        <f t="shared" si="53"/>
        <v/>
      </c>
      <c r="R785" s="317" t="str">
        <f t="shared" si="54"/>
        <v/>
      </c>
      <c r="S785" s="317" t="str">
        <f t="shared" si="55"/>
        <v/>
      </c>
      <c r="T785" s="317" t="str">
        <f>GLOBAL_DER_FEV_2023!S785</f>
        <v/>
      </c>
      <c r="W785" s="582">
        <v>0</v>
      </c>
      <c r="X785" s="580"/>
      <c r="Y785" s="583">
        <f>IF(GLOBAL_DER_FEV_2023!W785=0,0,IF(GLOBAL_DER_FEV_2023!W785&gt;0,"c","b"))</f>
        <v>0</v>
      </c>
    </row>
    <row r="786" spans="1:25" ht="13.5" hidden="1" thickBot="1" x14ac:dyDescent="0.25">
      <c r="A786" s="317" t="s">
        <v>147</v>
      </c>
      <c r="B786" s="895" t="str">
        <f>GLOBAL_DER_FEV_2023!B786</f>
        <v>transporte</v>
      </c>
      <c r="C786" s="896">
        <f>GLOBAL_DER_FEV_2023!C786</f>
        <v>0</v>
      </c>
      <c r="D786" s="957" t="str">
        <f>GLOBAL_DER_FEV_2023!D786</f>
        <v>Brita ( usina )</v>
      </c>
      <c r="E786" s="907">
        <f>GLOBAL_DER_FEV_2023!E786</f>
        <v>0.2</v>
      </c>
      <c r="F786" s="1287">
        <f>GLOBAL_DER_FEV_2023!F786</f>
        <v>0.83630000000000004</v>
      </c>
      <c r="G786" s="949">
        <f>GLOBAL_DER_FEV_2023!G786</f>
        <v>2.4202522000000002</v>
      </c>
      <c r="H786" s="901">
        <f>GLOBAL_DER_FEV_2023!H786</f>
        <v>0</v>
      </c>
      <c r="I786" s="901">
        <f>GLOBAL_DER_FEV_2023!I786</f>
        <v>0</v>
      </c>
      <c r="J786" s="902">
        <f>GLOBAL_DER_FEV_2023!J786</f>
        <v>0</v>
      </c>
      <c r="K786" s="903" t="s">
        <v>507</v>
      </c>
      <c r="L786" s="1003"/>
      <c r="M786" s="1157">
        <f t="shared" si="52"/>
        <v>0</v>
      </c>
      <c r="N786" s="893">
        <f t="shared" si="56"/>
        <v>0</v>
      </c>
      <c r="O786" s="905"/>
      <c r="P786" s="58" t="str">
        <f>IF(N783&gt;0,"xx",IF(N783&gt;0,"xy",""))</f>
        <v/>
      </c>
      <c r="Q786" s="317" t="str">
        <f t="shared" si="53"/>
        <v/>
      </c>
      <c r="R786" s="317" t="str">
        <f t="shared" si="54"/>
        <v/>
      </c>
      <c r="S786" s="317" t="str">
        <f t="shared" si="55"/>
        <v/>
      </c>
      <c r="T786" s="317" t="str">
        <f>GLOBAL_DER_FEV_2023!S786</f>
        <v/>
      </c>
      <c r="W786" s="582">
        <v>0</v>
      </c>
      <c r="X786" s="580"/>
      <c r="Y786" s="583">
        <f>IF(GLOBAL_DER_FEV_2023!W786=0,0,IF(GLOBAL_DER_FEV_2023!W786&gt;0,"c","b"))</f>
        <v>0</v>
      </c>
    </row>
    <row r="787" spans="1:25" ht="13.5" hidden="1" thickBot="1" x14ac:dyDescent="0.25">
      <c r="A787" s="317" t="s">
        <v>147</v>
      </c>
      <c r="B787" s="895" t="str">
        <f>GLOBAL_DER_FEV_2023!B787</f>
        <v>transporte</v>
      </c>
      <c r="C787" s="896">
        <f>GLOBAL_DER_FEV_2023!C787</f>
        <v>0</v>
      </c>
      <c r="D787" s="957" t="str">
        <f>GLOBAL_DER_FEV_2023!D787</f>
        <v>Massa</v>
      </c>
      <c r="E787" s="907">
        <f>GLOBAL_DER_FEV_2023!E787</f>
        <v>22</v>
      </c>
      <c r="F787" s="1287">
        <f>GLOBAL_DER_FEV_2023!F787</f>
        <v>1</v>
      </c>
      <c r="G787" s="912">
        <f>GLOBAL_DER_FEV_2023!G787</f>
        <v>29.990000000000002</v>
      </c>
      <c r="H787" s="901">
        <f>GLOBAL_DER_FEV_2023!H787</f>
        <v>0</v>
      </c>
      <c r="I787" s="901">
        <f>GLOBAL_DER_FEV_2023!I787</f>
        <v>0</v>
      </c>
      <c r="J787" s="902">
        <f>GLOBAL_DER_FEV_2023!J787</f>
        <v>0</v>
      </c>
      <c r="K787" s="903" t="s">
        <v>507</v>
      </c>
      <c r="L787" s="1003"/>
      <c r="M787" s="1157">
        <f t="shared" si="52"/>
        <v>0</v>
      </c>
      <c r="N787" s="893">
        <f t="shared" si="56"/>
        <v>0</v>
      </c>
      <c r="O787" s="905"/>
      <c r="P787" s="58" t="str">
        <f>IF(N783&gt;0,"xx",IF(N783&gt;0,"xy",""))</f>
        <v/>
      </c>
      <c r="Q787" s="317" t="str">
        <f t="shared" si="53"/>
        <v/>
      </c>
      <c r="R787" s="317" t="str">
        <f t="shared" si="54"/>
        <v/>
      </c>
      <c r="S787" s="317" t="str">
        <f t="shared" si="55"/>
        <v/>
      </c>
      <c r="T787" s="317" t="str">
        <f>GLOBAL_DER_FEV_2023!S787</f>
        <v/>
      </c>
      <c r="W787" s="582">
        <v>0</v>
      </c>
      <c r="X787" s="580"/>
      <c r="Y787" s="583">
        <f>IF(GLOBAL_DER_FEV_2023!W787=0,0,IF(GLOBAL_DER_FEV_2023!W787&gt;0,"c","b"))</f>
        <v>0</v>
      </c>
    </row>
    <row r="788" spans="1:25" ht="13.5" hidden="1" thickBot="1" x14ac:dyDescent="0.25">
      <c r="A788" s="317">
        <v>589000</v>
      </c>
      <c r="B788" s="1004" t="str">
        <f>GLOBAL_DER_FEV_2023!B788</f>
        <v>589000Q</v>
      </c>
      <c r="C788" s="984" t="str">
        <f>GLOBAL_DER_FEV_2023!C788</f>
        <v>DER mat</v>
      </c>
      <c r="D788" s="1012" t="str">
        <f>GLOBAL_DER_FEV_2023!D788</f>
        <v>Fornecimento de CAP - CBUQ (Quantidade menor que 10.000 ton)</v>
      </c>
      <c r="E788" s="1005">
        <f>GLOBAL_DER_FEV_2023!E788</f>
        <v>45</v>
      </c>
      <c r="F788" s="1006">
        <f>GLOBAL_DER_FEV_2023!F788</f>
        <v>1</v>
      </c>
      <c r="G788" s="1028">
        <f>GLOBAL_DER_FEV_2023!G788</f>
        <v>88.36</v>
      </c>
      <c r="H788" s="988">
        <f>GLOBAL_DER_FEV_2023!H788</f>
        <v>4828.8599999999997</v>
      </c>
      <c r="I788" s="988">
        <f>GLOBAL_DER_FEV_2023!I788</f>
        <v>4724.580378112767</v>
      </c>
      <c r="J788" s="989">
        <f>GLOBAL_DER_FEV_2023!J788</f>
        <v>5672.8</v>
      </c>
      <c r="K788" s="990" t="s">
        <v>14</v>
      </c>
      <c r="L788" s="1169">
        <f>ROUND(L783*$F783,2)</f>
        <v>0</v>
      </c>
      <c r="M788" s="1168">
        <f t="shared" si="52"/>
        <v>0</v>
      </c>
      <c r="N788" s="993">
        <f t="shared" si="56"/>
        <v>0</v>
      </c>
      <c r="O788" s="905"/>
      <c r="P788" s="58" t="str">
        <f>IF(N783&gt;0,"xx",IF(N783&gt;0,"xy",""))</f>
        <v/>
      </c>
      <c r="Q788" s="317" t="str">
        <f t="shared" si="53"/>
        <v/>
      </c>
      <c r="R788" s="317" t="str">
        <f t="shared" si="54"/>
        <v/>
      </c>
      <c r="S788" s="317" t="str">
        <f t="shared" si="55"/>
        <v/>
      </c>
      <c r="T788" s="317" t="str">
        <f>GLOBAL_DER_FEV_2023!S788</f>
        <v/>
      </c>
      <c r="W788" s="582">
        <v>0</v>
      </c>
      <c r="X788" s="580"/>
      <c r="Y788" s="583">
        <f>IF(GLOBAL_DER_FEV_2023!W788=0,0,IF(GLOBAL_DER_FEV_2023!W788&gt;0,"c","b"))</f>
        <v>0</v>
      </c>
    </row>
    <row r="789" spans="1:25" ht="13.5" hidden="1" thickBot="1" x14ac:dyDescent="0.25">
      <c r="A789" s="317">
        <v>521450</v>
      </c>
      <c r="B789" s="955" t="s">
        <v>1613</v>
      </c>
      <c r="C789" s="956" t="s">
        <v>184</v>
      </c>
      <c r="D789" s="906" t="s">
        <v>274</v>
      </c>
      <c r="E789" s="907">
        <f>GLOBAL_DER_FEV_2023!E789</f>
        <v>0</v>
      </c>
      <c r="F789" s="899">
        <f>GLOBAL_DER_FEV_2023!F789</f>
        <v>0.3</v>
      </c>
      <c r="G789" s="949">
        <f>GLOBAL_DER_FEV_2023!G789</f>
        <v>0.80400000000000005</v>
      </c>
      <c r="H789" s="901">
        <f>GLOBAL_DER_FEV_2023!H789</f>
        <v>25.31</v>
      </c>
      <c r="I789" s="901">
        <f>GLOBAL_DER_FEV_2023!I789</f>
        <v>26.113999999999997</v>
      </c>
      <c r="J789" s="902">
        <f>GLOBAL_DER_FEV_2023!J789</f>
        <v>31.36</v>
      </c>
      <c r="K789" s="903" t="s">
        <v>12</v>
      </c>
      <c r="L789" s="1137"/>
      <c r="M789" s="1138">
        <f t="shared" si="52"/>
        <v>0</v>
      </c>
      <c r="N789" s="893">
        <f t="shared" si="56"/>
        <v>0</v>
      </c>
      <c r="O789" s="905"/>
      <c r="Q789" s="317" t="str">
        <f t="shared" si="53"/>
        <v/>
      </c>
      <c r="R789" s="317" t="str">
        <f t="shared" si="54"/>
        <v/>
      </c>
      <c r="S789" s="317" t="str">
        <f t="shared" si="55"/>
        <v/>
      </c>
      <c r="T789" s="317" t="str">
        <f>GLOBAL_DER_FEV_2023!S789</f>
        <v/>
      </c>
      <c r="W789" s="582">
        <v>0</v>
      </c>
      <c r="X789" s="580"/>
      <c r="Y789" s="583">
        <f>IF(GLOBAL_DER_FEV_2023!W789=0,0,IF(GLOBAL_DER_FEV_2023!W789&gt;0,"c","b"))</f>
        <v>0</v>
      </c>
    </row>
    <row r="790" spans="1:25" ht="13.5" hidden="1" thickBot="1" x14ac:dyDescent="0.25">
      <c r="A790" s="317">
        <v>535200</v>
      </c>
      <c r="B790" s="895" t="s">
        <v>1609</v>
      </c>
      <c r="C790" s="896" t="s">
        <v>184</v>
      </c>
      <c r="D790" s="906" t="s">
        <v>275</v>
      </c>
      <c r="E790" s="907">
        <f>GLOBAL_DER_FEV_2023!E790</f>
        <v>0</v>
      </c>
      <c r="F790" s="899">
        <f>GLOBAL_DER_FEV_2023!F790</f>
        <v>7.6999999999999999E-2</v>
      </c>
      <c r="G790" s="949">
        <f>GLOBAL_DER_FEV_2023!G790</f>
        <v>0.20636000000000002</v>
      </c>
      <c r="H790" s="901">
        <f>GLOBAL_DER_FEV_2023!H790</f>
        <v>11.65</v>
      </c>
      <c r="I790" s="901">
        <f>GLOBAL_DER_FEV_2023!I790</f>
        <v>11.85636</v>
      </c>
      <c r="J790" s="902">
        <f>GLOBAL_DER_FEV_2023!J790</f>
        <v>14.24</v>
      </c>
      <c r="K790" s="903" t="s">
        <v>13</v>
      </c>
      <c r="L790" s="1137"/>
      <c r="M790" s="1138">
        <f t="shared" si="52"/>
        <v>0</v>
      </c>
      <c r="N790" s="893">
        <f t="shared" si="56"/>
        <v>0</v>
      </c>
      <c r="O790" s="905"/>
      <c r="Q790" s="317" t="str">
        <f t="shared" si="53"/>
        <v/>
      </c>
      <c r="R790" s="317" t="str">
        <f t="shared" si="54"/>
        <v/>
      </c>
      <c r="S790" s="317" t="str">
        <f t="shared" si="55"/>
        <v/>
      </c>
      <c r="T790" s="317" t="str">
        <f>GLOBAL_DER_FEV_2023!S790</f>
        <v/>
      </c>
      <c r="W790" s="582">
        <v>0</v>
      </c>
      <c r="X790" s="580"/>
      <c r="Y790" s="583">
        <f>IF(GLOBAL_DER_FEV_2023!W790=0,0,IF(GLOBAL_DER_FEV_2023!W790&gt;0,"c","b"))</f>
        <v>0</v>
      </c>
    </row>
    <row r="791" spans="1:25" ht="13.5" hidden="1" thickBot="1" x14ac:dyDescent="0.25">
      <c r="A791" s="317">
        <v>521450</v>
      </c>
      <c r="B791" s="895" t="s">
        <v>1614</v>
      </c>
      <c r="C791" s="896" t="s">
        <v>184</v>
      </c>
      <c r="D791" s="906" t="s">
        <v>276</v>
      </c>
      <c r="E791" s="907">
        <f>GLOBAL_DER_FEV_2023!E791</f>
        <v>0</v>
      </c>
      <c r="F791" s="899">
        <f>GLOBAL_DER_FEV_2023!F791</f>
        <v>0</v>
      </c>
      <c r="G791" s="912">
        <f>GLOBAL_DER_FEV_2023!G791</f>
        <v>0</v>
      </c>
      <c r="H791" s="901">
        <f>GLOBAL_DER_FEV_2023!H791</f>
        <v>25.31</v>
      </c>
      <c r="I791" s="901">
        <f>GLOBAL_DER_FEV_2023!I791</f>
        <v>25.31</v>
      </c>
      <c r="J791" s="902">
        <f>GLOBAL_DER_FEV_2023!J791</f>
        <v>30.39</v>
      </c>
      <c r="K791" s="903" t="s">
        <v>12</v>
      </c>
      <c r="L791" s="1137"/>
      <c r="M791" s="1138">
        <f t="shared" si="52"/>
        <v>0</v>
      </c>
      <c r="N791" s="893">
        <f t="shared" si="56"/>
        <v>0</v>
      </c>
      <c r="O791" s="905"/>
      <c r="Q791" s="317" t="str">
        <f t="shared" si="53"/>
        <v/>
      </c>
      <c r="R791" s="317" t="str">
        <f t="shared" si="54"/>
        <v/>
      </c>
      <c r="S791" s="317" t="str">
        <f t="shared" si="55"/>
        <v/>
      </c>
      <c r="T791" s="317" t="str">
        <f>GLOBAL_DER_FEV_2023!S791</f>
        <v/>
      </c>
      <c r="W791" s="582">
        <v>0</v>
      </c>
      <c r="X791" s="580"/>
      <c r="Y791" s="583">
        <f>IF(GLOBAL_DER_FEV_2023!W791=0,0,IF(GLOBAL_DER_FEV_2023!W791&gt;0,"c","b"))</f>
        <v>0</v>
      </c>
    </row>
    <row r="792" spans="1:25" ht="13.5" hidden="1" thickBot="1" x14ac:dyDescent="0.25">
      <c r="A792" s="317">
        <v>521450</v>
      </c>
      <c r="B792" s="895" t="s">
        <v>1615</v>
      </c>
      <c r="C792" s="896" t="s">
        <v>184</v>
      </c>
      <c r="D792" s="906" t="s">
        <v>277</v>
      </c>
      <c r="E792" s="907">
        <f>GLOBAL_DER_FEV_2023!E792</f>
        <v>0</v>
      </c>
      <c r="F792" s="899">
        <f>GLOBAL_DER_FEV_2023!F792</f>
        <v>0</v>
      </c>
      <c r="G792" s="912">
        <f>GLOBAL_DER_FEV_2023!G792</f>
        <v>0</v>
      </c>
      <c r="H792" s="901">
        <f>GLOBAL_DER_FEV_2023!H792</f>
        <v>25.31</v>
      </c>
      <c r="I792" s="901">
        <f>GLOBAL_DER_FEV_2023!I792</f>
        <v>25.31</v>
      </c>
      <c r="J792" s="902">
        <f>GLOBAL_DER_FEV_2023!J792</f>
        <v>30.39</v>
      </c>
      <c r="K792" s="903" t="s">
        <v>12</v>
      </c>
      <c r="L792" s="1137"/>
      <c r="M792" s="1138">
        <f t="shared" si="52"/>
        <v>0</v>
      </c>
      <c r="N792" s="893">
        <f t="shared" si="56"/>
        <v>0</v>
      </c>
      <c r="O792" s="905"/>
      <c r="Q792" s="317" t="str">
        <f t="shared" si="53"/>
        <v/>
      </c>
      <c r="R792" s="317" t="str">
        <f t="shared" si="54"/>
        <v/>
      </c>
      <c r="S792" s="317" t="str">
        <f t="shared" si="55"/>
        <v/>
      </c>
      <c r="T792" s="317" t="str">
        <f>GLOBAL_DER_FEV_2023!S792</f>
        <v/>
      </c>
      <c r="W792" s="582">
        <v>0</v>
      </c>
      <c r="X792" s="580"/>
      <c r="Y792" s="583">
        <f>IF(GLOBAL_DER_FEV_2023!W792=0,0,IF(GLOBAL_DER_FEV_2023!W792&gt;0,"c","b"))</f>
        <v>0</v>
      </c>
    </row>
    <row r="793" spans="1:25" ht="13.5" hidden="1" thickBot="1" x14ac:dyDescent="0.25">
      <c r="A793" s="317">
        <v>535000</v>
      </c>
      <c r="B793" s="895" t="s">
        <v>1752</v>
      </c>
      <c r="C793" s="896" t="s">
        <v>184</v>
      </c>
      <c r="D793" s="906" t="s">
        <v>222</v>
      </c>
      <c r="E793" s="907">
        <f>GLOBAL_DER_FEV_2023!E793</f>
        <v>0</v>
      </c>
      <c r="F793" s="908">
        <f>GLOBAL_DER_FEV_2023!F793</f>
        <v>0.27200000000000002</v>
      </c>
      <c r="G793" s="949">
        <f>GLOBAL_DER_FEV_2023!G793</f>
        <v>0.72896000000000005</v>
      </c>
      <c r="H793" s="901">
        <f>GLOBAL_DER_FEV_2023!H793</f>
        <v>109.55</v>
      </c>
      <c r="I793" s="901">
        <f>GLOBAL_DER_FEV_2023!I793</f>
        <v>110.27896</v>
      </c>
      <c r="J793" s="902">
        <f>GLOBAL_DER_FEV_2023!J793</f>
        <v>132.41</v>
      </c>
      <c r="K793" s="903" t="s">
        <v>12</v>
      </c>
      <c r="L793" s="1137"/>
      <c r="M793" s="1138">
        <f t="shared" si="52"/>
        <v>0</v>
      </c>
      <c r="N793" s="893">
        <f t="shared" si="56"/>
        <v>0</v>
      </c>
      <c r="O793" s="905"/>
      <c r="Q793" s="317" t="str">
        <f t="shared" si="53"/>
        <v/>
      </c>
      <c r="R793" s="317" t="str">
        <f t="shared" si="54"/>
        <v/>
      </c>
      <c r="S793" s="317" t="str">
        <f t="shared" si="55"/>
        <v/>
      </c>
      <c r="T793" s="317" t="str">
        <f>GLOBAL_DER_FEV_2023!S793</f>
        <v/>
      </c>
      <c r="W793" s="582">
        <v>0</v>
      </c>
      <c r="X793" s="580"/>
      <c r="Y793" s="583">
        <f>IF(GLOBAL_DER_FEV_2023!W793=0,0,IF(GLOBAL_DER_FEV_2023!W793&gt;0,"c","b"))</f>
        <v>0</v>
      </c>
    </row>
    <row r="794" spans="1:25" ht="13.5" hidden="1" thickBot="1" x14ac:dyDescent="0.25">
      <c r="A794" s="317">
        <v>863000</v>
      </c>
      <c r="B794" s="895" t="s">
        <v>1622</v>
      </c>
      <c r="C794" s="896" t="s">
        <v>184</v>
      </c>
      <c r="D794" s="906" t="s">
        <v>223</v>
      </c>
      <c r="E794" s="907">
        <f>GLOBAL_DER_FEV_2023!E794</f>
        <v>0.1</v>
      </c>
      <c r="F794" s="908">
        <f>GLOBAL_DER_FEV_2023!F794</f>
        <v>0.08</v>
      </c>
      <c r="G794" s="949">
        <f>GLOBAL_DER_FEV_2023!G794</f>
        <v>0.22296000000000005</v>
      </c>
      <c r="H794" s="901">
        <f>GLOBAL_DER_FEV_2023!H794</f>
        <v>105.61</v>
      </c>
      <c r="I794" s="901">
        <f>GLOBAL_DER_FEV_2023!I794</f>
        <v>105.83296</v>
      </c>
      <c r="J794" s="902">
        <f>GLOBAL_DER_FEV_2023!J794</f>
        <v>127.07</v>
      </c>
      <c r="K794" s="903" t="s">
        <v>12</v>
      </c>
      <c r="L794" s="1137"/>
      <c r="M794" s="1138">
        <f t="shared" ref="M794:M852" si="57">IF(L794=0,0,ROUND(J794,2))</f>
        <v>0</v>
      </c>
      <c r="N794" s="893">
        <f t="shared" si="56"/>
        <v>0</v>
      </c>
      <c r="O794" s="905"/>
      <c r="Q794" s="317" t="str">
        <f t="shared" si="53"/>
        <v/>
      </c>
      <c r="R794" s="317" t="str">
        <f t="shared" si="54"/>
        <v/>
      </c>
      <c r="S794" s="317" t="str">
        <f t="shared" si="55"/>
        <v/>
      </c>
      <c r="T794" s="317" t="str">
        <f>GLOBAL_DER_FEV_2023!S794</f>
        <v/>
      </c>
      <c r="W794" s="582">
        <v>0</v>
      </c>
      <c r="X794" s="580"/>
      <c r="Y794" s="583">
        <f>IF(GLOBAL_DER_FEV_2023!W794=0,0,IF(GLOBAL_DER_FEV_2023!W794&gt;0,"c","b"))</f>
        <v>0</v>
      </c>
    </row>
    <row r="795" spans="1:25" ht="13.5" hidden="1" thickBot="1" x14ac:dyDescent="0.25">
      <c r="A795" s="317">
        <v>863000</v>
      </c>
      <c r="B795" s="895" t="s">
        <v>1623</v>
      </c>
      <c r="C795" s="896" t="s">
        <v>184</v>
      </c>
      <c r="D795" s="906" t="s">
        <v>224</v>
      </c>
      <c r="E795" s="907">
        <f>GLOBAL_DER_FEV_2023!E795</f>
        <v>0.1</v>
      </c>
      <c r="F795" s="908">
        <f>GLOBAL_DER_FEV_2023!F795</f>
        <v>0.1</v>
      </c>
      <c r="G795" s="949">
        <f>GLOBAL_DER_FEV_2023!G795</f>
        <v>0.27870000000000006</v>
      </c>
      <c r="H795" s="901">
        <f>GLOBAL_DER_FEV_2023!H795</f>
        <v>105.61</v>
      </c>
      <c r="I795" s="901">
        <f>GLOBAL_DER_FEV_2023!I795</f>
        <v>105.8887</v>
      </c>
      <c r="J795" s="902">
        <f>GLOBAL_DER_FEV_2023!J795</f>
        <v>127.14</v>
      </c>
      <c r="K795" s="903" t="s">
        <v>12</v>
      </c>
      <c r="L795" s="1137"/>
      <c r="M795" s="1138">
        <f t="shared" si="57"/>
        <v>0</v>
      </c>
      <c r="N795" s="893">
        <f t="shared" si="56"/>
        <v>0</v>
      </c>
      <c r="O795" s="905"/>
      <c r="Q795" s="317" t="str">
        <f t="shared" ref="Q795:Q858" si="58">IF(P795="X","x",IF(P795="xx","x",IF(P795="xy","x",IF(P795="y","x",IF(OR(N795&gt;0,N795&gt;0),"x","")))))</f>
        <v/>
      </c>
      <c r="R795" s="317" t="str">
        <f t="shared" si="54"/>
        <v/>
      </c>
      <c r="S795" s="317" t="str">
        <f t="shared" si="55"/>
        <v/>
      </c>
      <c r="T795" s="317" t="str">
        <f>GLOBAL_DER_FEV_2023!S795</f>
        <v/>
      </c>
      <c r="W795" s="582">
        <v>0</v>
      </c>
      <c r="X795" s="580"/>
      <c r="Y795" s="583">
        <f>IF(GLOBAL_DER_FEV_2023!W795=0,0,IF(GLOBAL_DER_FEV_2023!W795&gt;0,"c","b"))</f>
        <v>0</v>
      </c>
    </row>
    <row r="796" spans="1:25" ht="13.5" hidden="1" thickBot="1" x14ac:dyDescent="0.25">
      <c r="A796" s="317">
        <v>534906</v>
      </c>
      <c r="B796" s="895" t="s">
        <v>1626</v>
      </c>
      <c r="C796" s="896" t="s">
        <v>184</v>
      </c>
      <c r="D796" s="906" t="s">
        <v>225</v>
      </c>
      <c r="E796" s="907">
        <f>GLOBAL_DER_FEV_2023!E796</f>
        <v>0.1</v>
      </c>
      <c r="F796" s="908">
        <f>GLOBAL_DER_FEV_2023!F796</f>
        <v>0.12</v>
      </c>
      <c r="G796" s="949">
        <f>GLOBAL_DER_FEV_2023!G796</f>
        <v>0.33444000000000002</v>
      </c>
      <c r="H796" s="901">
        <f>GLOBAL_DER_FEV_2023!H796</f>
        <v>76.400000000000006</v>
      </c>
      <c r="I796" s="901">
        <f>GLOBAL_DER_FEV_2023!I796</f>
        <v>76.734440000000006</v>
      </c>
      <c r="J796" s="902">
        <f>GLOBAL_DER_FEV_2023!J796</f>
        <v>92.14</v>
      </c>
      <c r="K796" s="903" t="s">
        <v>12</v>
      </c>
      <c r="L796" s="1137"/>
      <c r="M796" s="1138">
        <f t="shared" si="57"/>
        <v>0</v>
      </c>
      <c r="N796" s="893">
        <f t="shared" si="56"/>
        <v>0</v>
      </c>
      <c r="O796" s="905"/>
      <c r="Q796" s="317" t="str">
        <f t="shared" si="58"/>
        <v/>
      </c>
      <c r="R796" s="317" t="str">
        <f t="shared" si="54"/>
        <v/>
      </c>
      <c r="S796" s="317" t="str">
        <f t="shared" si="55"/>
        <v/>
      </c>
      <c r="T796" s="317" t="str">
        <f>GLOBAL_DER_FEV_2023!S796</f>
        <v/>
      </c>
      <c r="W796" s="582">
        <v>0</v>
      </c>
      <c r="X796" s="580"/>
      <c r="Y796" s="583">
        <f>IF(GLOBAL_DER_FEV_2023!W796=0,0,IF(GLOBAL_DER_FEV_2023!W796&gt;0,"c","b"))</f>
        <v>0</v>
      </c>
    </row>
    <row r="797" spans="1:25" ht="13.5" hidden="1" thickBot="1" x14ac:dyDescent="0.25">
      <c r="A797" s="317">
        <v>534906</v>
      </c>
      <c r="B797" s="895" t="s">
        <v>1627</v>
      </c>
      <c r="C797" s="896" t="s">
        <v>184</v>
      </c>
      <c r="D797" s="906" t="s">
        <v>226</v>
      </c>
      <c r="E797" s="907">
        <f>GLOBAL_DER_FEV_2023!E797</f>
        <v>0.1</v>
      </c>
      <c r="F797" s="908">
        <f>GLOBAL_DER_FEV_2023!F797</f>
        <v>0.14000000000000001</v>
      </c>
      <c r="G797" s="949">
        <f>GLOBAL_DER_FEV_2023!G797</f>
        <v>0.39018000000000008</v>
      </c>
      <c r="H797" s="901">
        <f>GLOBAL_DER_FEV_2023!H797</f>
        <v>76.400000000000006</v>
      </c>
      <c r="I797" s="901">
        <f>GLOBAL_DER_FEV_2023!I797</f>
        <v>76.790180000000007</v>
      </c>
      <c r="J797" s="902">
        <f>GLOBAL_DER_FEV_2023!J797</f>
        <v>92.2</v>
      </c>
      <c r="K797" s="903" t="s">
        <v>12</v>
      </c>
      <c r="L797" s="1137"/>
      <c r="M797" s="1138">
        <f t="shared" si="57"/>
        <v>0</v>
      </c>
      <c r="N797" s="893">
        <f t="shared" si="56"/>
        <v>0</v>
      </c>
      <c r="O797" s="905"/>
      <c r="Q797" s="317" t="str">
        <f t="shared" si="58"/>
        <v/>
      </c>
      <c r="R797" s="317" t="str">
        <f t="shared" ref="R797:R860" si="59">IF(P797="X","x",IF(P797="y","x",IF(P797="xx","x",IF(N797&gt;0,"x",""))))</f>
        <v/>
      </c>
      <c r="S797" s="317" t="str">
        <f t="shared" ref="S797:S860" si="60">IF(P797="X","x",IF(N797&gt;0,"x",""))</f>
        <v/>
      </c>
      <c r="T797" s="317" t="str">
        <f>GLOBAL_DER_FEV_2023!S797</f>
        <v/>
      </c>
      <c r="W797" s="582">
        <v>0</v>
      </c>
      <c r="X797" s="580"/>
      <c r="Y797" s="583">
        <f>IF(GLOBAL_DER_FEV_2023!W797=0,0,IF(GLOBAL_DER_FEV_2023!W797&gt;0,"c","b"))</f>
        <v>0</v>
      </c>
    </row>
    <row r="798" spans="1:25" ht="13.5" hidden="1" thickBot="1" x14ac:dyDescent="0.25">
      <c r="A798" s="317">
        <v>534906</v>
      </c>
      <c r="B798" s="895" t="s">
        <v>1628</v>
      </c>
      <c r="C798" s="896" t="s">
        <v>184</v>
      </c>
      <c r="D798" s="906" t="s">
        <v>227</v>
      </c>
      <c r="E798" s="907">
        <f>GLOBAL_DER_FEV_2023!E798</f>
        <v>0.1</v>
      </c>
      <c r="F798" s="908">
        <f>GLOBAL_DER_FEV_2023!F798</f>
        <v>0.16</v>
      </c>
      <c r="G798" s="949">
        <f>GLOBAL_DER_FEV_2023!G798</f>
        <v>0.44592000000000009</v>
      </c>
      <c r="H798" s="901">
        <f>GLOBAL_DER_FEV_2023!H798</f>
        <v>76.400000000000006</v>
      </c>
      <c r="I798" s="901">
        <f>GLOBAL_DER_FEV_2023!I798</f>
        <v>76.845920000000007</v>
      </c>
      <c r="J798" s="902">
        <f>GLOBAL_DER_FEV_2023!J798</f>
        <v>92.27</v>
      </c>
      <c r="K798" s="903" t="s">
        <v>12</v>
      </c>
      <c r="L798" s="1137"/>
      <c r="M798" s="1138">
        <f t="shared" si="57"/>
        <v>0</v>
      </c>
      <c r="N798" s="893">
        <f t="shared" si="56"/>
        <v>0</v>
      </c>
      <c r="O798" s="905"/>
      <c r="Q798" s="317" t="str">
        <f t="shared" si="58"/>
        <v/>
      </c>
      <c r="R798" s="317" t="str">
        <f t="shared" si="59"/>
        <v/>
      </c>
      <c r="S798" s="317" t="str">
        <f t="shared" si="60"/>
        <v/>
      </c>
      <c r="T798" s="317" t="str">
        <f>GLOBAL_DER_FEV_2023!S798</f>
        <v/>
      </c>
      <c r="W798" s="582">
        <v>0</v>
      </c>
      <c r="X798" s="580"/>
      <c r="Y798" s="583">
        <f>IF(GLOBAL_DER_FEV_2023!W798=0,0,IF(GLOBAL_DER_FEV_2023!W798&gt;0,"c","b"))</f>
        <v>0</v>
      </c>
    </row>
    <row r="799" spans="1:25" ht="13.5" hidden="1" thickBot="1" x14ac:dyDescent="0.25">
      <c r="A799" s="317">
        <v>534906</v>
      </c>
      <c r="B799" s="895" t="s">
        <v>1629</v>
      </c>
      <c r="C799" s="896" t="s">
        <v>184</v>
      </c>
      <c r="D799" s="906" t="s">
        <v>228</v>
      </c>
      <c r="E799" s="907">
        <f>GLOBAL_DER_FEV_2023!E799</f>
        <v>0.1</v>
      </c>
      <c r="F799" s="908">
        <f>GLOBAL_DER_FEV_2023!F799</f>
        <v>0.2</v>
      </c>
      <c r="G799" s="949">
        <f>GLOBAL_DER_FEV_2023!G799</f>
        <v>0.55740000000000012</v>
      </c>
      <c r="H799" s="901">
        <f>GLOBAL_DER_FEV_2023!H799</f>
        <v>76.400000000000006</v>
      </c>
      <c r="I799" s="901">
        <f>GLOBAL_DER_FEV_2023!I799</f>
        <v>76.957400000000007</v>
      </c>
      <c r="J799" s="902">
        <f>GLOBAL_DER_FEV_2023!J799</f>
        <v>92.4</v>
      </c>
      <c r="K799" s="903" t="s">
        <v>12</v>
      </c>
      <c r="L799" s="1137"/>
      <c r="M799" s="1138">
        <f t="shared" si="57"/>
        <v>0</v>
      </c>
      <c r="N799" s="893">
        <f t="shared" si="56"/>
        <v>0</v>
      </c>
      <c r="O799" s="905"/>
      <c r="Q799" s="317" t="str">
        <f t="shared" si="58"/>
        <v/>
      </c>
      <c r="R799" s="317" t="str">
        <f t="shared" si="59"/>
        <v/>
      </c>
      <c r="S799" s="317" t="str">
        <f t="shared" si="60"/>
        <v/>
      </c>
      <c r="T799" s="317" t="str">
        <f>GLOBAL_DER_FEV_2023!S799</f>
        <v/>
      </c>
      <c r="W799" s="582">
        <v>0</v>
      </c>
      <c r="X799" s="580"/>
      <c r="Y799" s="583">
        <f>IF(GLOBAL_DER_FEV_2023!W799=0,0,IF(GLOBAL_DER_FEV_2023!W799&gt;0,"c","b"))</f>
        <v>0</v>
      </c>
    </row>
    <row r="800" spans="1:25" ht="13.5" hidden="1" thickBot="1" x14ac:dyDescent="0.25">
      <c r="A800" s="317">
        <v>534906</v>
      </c>
      <c r="B800" s="895" t="s">
        <v>1630</v>
      </c>
      <c r="C800" s="896" t="s">
        <v>184</v>
      </c>
      <c r="D800" s="906" t="s">
        <v>803</v>
      </c>
      <c r="E800" s="907">
        <f>GLOBAL_DER_FEV_2023!E800</f>
        <v>0.1</v>
      </c>
      <c r="F800" s="908">
        <f>GLOBAL_DER_FEV_2023!F800</f>
        <v>0.14000000000000001</v>
      </c>
      <c r="G800" s="949">
        <f>GLOBAL_DER_FEV_2023!G800</f>
        <v>0.39018000000000008</v>
      </c>
      <c r="H800" s="901">
        <f>GLOBAL_DER_FEV_2023!H800</f>
        <v>76.400000000000006</v>
      </c>
      <c r="I800" s="901">
        <f>GLOBAL_DER_FEV_2023!I800</f>
        <v>76.790180000000007</v>
      </c>
      <c r="J800" s="902">
        <f>GLOBAL_DER_FEV_2023!J800</f>
        <v>92.2</v>
      </c>
      <c r="K800" s="903" t="s">
        <v>12</v>
      </c>
      <c r="L800" s="1137"/>
      <c r="M800" s="1138">
        <f t="shared" si="57"/>
        <v>0</v>
      </c>
      <c r="N800" s="893">
        <f t="shared" si="56"/>
        <v>0</v>
      </c>
      <c r="O800" s="905"/>
      <c r="Q800" s="317" t="str">
        <f t="shared" si="58"/>
        <v/>
      </c>
      <c r="R800" s="317" t="str">
        <f t="shared" si="59"/>
        <v/>
      </c>
      <c r="S800" s="317" t="str">
        <f t="shared" si="60"/>
        <v/>
      </c>
      <c r="T800" s="317" t="str">
        <f>GLOBAL_DER_FEV_2023!S800</f>
        <v/>
      </c>
      <c r="W800" s="582">
        <v>0</v>
      </c>
      <c r="X800" s="580"/>
      <c r="Y800" s="583">
        <f>IF(GLOBAL_DER_FEV_2023!W800=0,0,IF(GLOBAL_DER_FEV_2023!W800&gt;0,"c","b"))</f>
        <v>0</v>
      </c>
    </row>
    <row r="801" spans="1:25" ht="13.5" hidden="1" thickBot="1" x14ac:dyDescent="0.25">
      <c r="A801" s="317">
        <v>534906</v>
      </c>
      <c r="B801" s="895" t="s">
        <v>1631</v>
      </c>
      <c r="C801" s="896" t="s">
        <v>184</v>
      </c>
      <c r="D801" s="906" t="s">
        <v>804</v>
      </c>
      <c r="E801" s="907">
        <f>GLOBAL_DER_FEV_2023!E801</f>
        <v>0.1</v>
      </c>
      <c r="F801" s="908">
        <f>GLOBAL_DER_FEV_2023!F801</f>
        <v>0.14000000000000001</v>
      </c>
      <c r="G801" s="949">
        <f>GLOBAL_DER_FEV_2023!G801</f>
        <v>0.39018000000000008</v>
      </c>
      <c r="H801" s="901">
        <f>GLOBAL_DER_FEV_2023!H801</f>
        <v>76.400000000000006</v>
      </c>
      <c r="I801" s="901">
        <f>GLOBAL_DER_FEV_2023!I801</f>
        <v>76.790180000000007</v>
      </c>
      <c r="J801" s="902">
        <f>GLOBAL_DER_FEV_2023!J801</f>
        <v>92.2</v>
      </c>
      <c r="K801" s="903" t="s">
        <v>12</v>
      </c>
      <c r="L801" s="1137"/>
      <c r="M801" s="1138">
        <f t="shared" si="57"/>
        <v>0</v>
      </c>
      <c r="N801" s="893">
        <f t="shared" ref="N801:N864" si="61">IF(ISBLANK(L801),0,IF(W801=0,ROUND(L801*M801,2),IF(W801="b",ROUNDDOWN(L801*M801,2),ROUNDUP(L801*M801,2))))</f>
        <v>0</v>
      </c>
      <c r="O801" s="905"/>
      <c r="Q801" s="317" t="str">
        <f t="shared" si="58"/>
        <v/>
      </c>
      <c r="R801" s="317" t="str">
        <f t="shared" si="59"/>
        <v/>
      </c>
      <c r="S801" s="317" t="str">
        <f t="shared" si="60"/>
        <v/>
      </c>
      <c r="T801" s="317" t="str">
        <f>GLOBAL_DER_FEV_2023!S801</f>
        <v/>
      </c>
      <c r="W801" s="582">
        <v>0</v>
      </c>
      <c r="X801" s="580"/>
      <c r="Y801" s="583">
        <f>IF(GLOBAL_DER_FEV_2023!W801=0,0,IF(GLOBAL_DER_FEV_2023!W801&gt;0,"c","b"))</f>
        <v>0</v>
      </c>
    </row>
    <row r="802" spans="1:25" ht="13.5" hidden="1" thickBot="1" x14ac:dyDescent="0.25">
      <c r="A802" s="317">
        <v>534908</v>
      </c>
      <c r="B802" s="895" t="s">
        <v>211</v>
      </c>
      <c r="C802" s="896" t="s">
        <v>184</v>
      </c>
      <c r="D802" s="906" t="s">
        <v>805</v>
      </c>
      <c r="E802" s="907">
        <f>GLOBAL_DER_FEV_2023!E802</f>
        <v>0.1</v>
      </c>
      <c r="F802" s="908">
        <f>GLOBAL_DER_FEV_2023!F802</f>
        <v>0.18</v>
      </c>
      <c r="G802" s="949">
        <f>GLOBAL_DER_FEV_2023!G802</f>
        <v>0.50165999999999999</v>
      </c>
      <c r="H802" s="901">
        <f>GLOBAL_DER_FEV_2023!H802</f>
        <v>89.6</v>
      </c>
      <c r="I802" s="901">
        <f>GLOBAL_DER_FEV_2023!I802</f>
        <v>90.101659999999995</v>
      </c>
      <c r="J802" s="902">
        <f>GLOBAL_DER_FEV_2023!J802</f>
        <v>108.19</v>
      </c>
      <c r="K802" s="903" t="s">
        <v>12</v>
      </c>
      <c r="L802" s="1137"/>
      <c r="M802" s="1138">
        <f t="shared" si="57"/>
        <v>0</v>
      </c>
      <c r="N802" s="893">
        <f t="shared" si="61"/>
        <v>0</v>
      </c>
      <c r="O802" s="905"/>
      <c r="Q802" s="317" t="str">
        <f t="shared" si="58"/>
        <v/>
      </c>
      <c r="R802" s="317" t="str">
        <f t="shared" si="59"/>
        <v/>
      </c>
      <c r="S802" s="317" t="str">
        <f t="shared" si="60"/>
        <v/>
      </c>
      <c r="T802" s="317" t="str">
        <f>GLOBAL_DER_FEV_2023!S802</f>
        <v/>
      </c>
      <c r="W802" s="582">
        <v>0</v>
      </c>
      <c r="X802" s="580"/>
      <c r="Y802" s="583">
        <f>IF(GLOBAL_DER_FEV_2023!W802=0,0,IF(GLOBAL_DER_FEV_2023!W802&gt;0,"c","b"))</f>
        <v>0</v>
      </c>
    </row>
    <row r="803" spans="1:25" ht="13.5" hidden="1" thickBot="1" x14ac:dyDescent="0.25">
      <c r="A803" s="317">
        <v>534908</v>
      </c>
      <c r="B803" s="895" t="s">
        <v>212</v>
      </c>
      <c r="C803" s="896" t="s">
        <v>184</v>
      </c>
      <c r="D803" s="906" t="s">
        <v>806</v>
      </c>
      <c r="E803" s="907">
        <f>GLOBAL_DER_FEV_2023!E803</f>
        <v>0.1</v>
      </c>
      <c r="F803" s="908">
        <f>GLOBAL_DER_FEV_2023!F803</f>
        <v>0.18</v>
      </c>
      <c r="G803" s="949">
        <f>GLOBAL_DER_FEV_2023!G803</f>
        <v>0.50165999999999999</v>
      </c>
      <c r="H803" s="901">
        <f>GLOBAL_DER_FEV_2023!H803</f>
        <v>89.6</v>
      </c>
      <c r="I803" s="901">
        <f>GLOBAL_DER_FEV_2023!I803</f>
        <v>90.101659999999995</v>
      </c>
      <c r="J803" s="902">
        <f>GLOBAL_DER_FEV_2023!J803</f>
        <v>108.19</v>
      </c>
      <c r="K803" s="903" t="s">
        <v>12</v>
      </c>
      <c r="L803" s="1137"/>
      <c r="M803" s="1138">
        <f t="shared" si="57"/>
        <v>0</v>
      </c>
      <c r="N803" s="893">
        <f t="shared" si="61"/>
        <v>0</v>
      </c>
      <c r="O803" s="905"/>
      <c r="Q803" s="317" t="str">
        <f t="shared" si="58"/>
        <v/>
      </c>
      <c r="R803" s="317" t="str">
        <f t="shared" si="59"/>
        <v/>
      </c>
      <c r="S803" s="317" t="str">
        <f t="shared" si="60"/>
        <v/>
      </c>
      <c r="T803" s="317" t="str">
        <f>GLOBAL_DER_FEV_2023!S803</f>
        <v/>
      </c>
      <c r="W803" s="582">
        <v>0</v>
      </c>
      <c r="X803" s="580"/>
      <c r="Y803" s="583">
        <f>IF(GLOBAL_DER_FEV_2023!W803=0,0,IF(GLOBAL_DER_FEV_2023!W803&gt;0,"c","b"))</f>
        <v>0</v>
      </c>
    </row>
    <row r="804" spans="1:25" ht="13.5" hidden="1" thickBot="1" x14ac:dyDescent="0.25">
      <c r="A804" s="317">
        <v>534908</v>
      </c>
      <c r="B804" s="895" t="s">
        <v>1632</v>
      </c>
      <c r="C804" s="896" t="s">
        <v>184</v>
      </c>
      <c r="D804" s="906" t="s">
        <v>807</v>
      </c>
      <c r="E804" s="907">
        <f>GLOBAL_DER_FEV_2023!E804</f>
        <v>0.1</v>
      </c>
      <c r="F804" s="908">
        <f>GLOBAL_DER_FEV_2023!F804</f>
        <v>0.22</v>
      </c>
      <c r="G804" s="949">
        <f>GLOBAL_DER_FEV_2023!G804</f>
        <v>0.61314000000000013</v>
      </c>
      <c r="H804" s="901">
        <f>GLOBAL_DER_FEV_2023!H804</f>
        <v>89.6</v>
      </c>
      <c r="I804" s="901">
        <f>GLOBAL_DER_FEV_2023!I804</f>
        <v>90.213139999999996</v>
      </c>
      <c r="J804" s="902">
        <f>GLOBAL_DER_FEV_2023!J804</f>
        <v>108.32</v>
      </c>
      <c r="K804" s="903" t="s">
        <v>12</v>
      </c>
      <c r="L804" s="1137"/>
      <c r="M804" s="1138">
        <f t="shared" si="57"/>
        <v>0</v>
      </c>
      <c r="N804" s="893">
        <f t="shared" si="61"/>
        <v>0</v>
      </c>
      <c r="O804" s="905"/>
      <c r="Q804" s="317" t="str">
        <f t="shared" si="58"/>
        <v/>
      </c>
      <c r="R804" s="317" t="str">
        <f t="shared" si="59"/>
        <v/>
      </c>
      <c r="S804" s="317" t="str">
        <f t="shared" si="60"/>
        <v/>
      </c>
      <c r="T804" s="317" t="str">
        <f>GLOBAL_DER_FEV_2023!S804</f>
        <v/>
      </c>
      <c r="W804" s="582">
        <v>0</v>
      </c>
      <c r="X804" s="580"/>
      <c r="Y804" s="583">
        <f>IF(GLOBAL_DER_FEV_2023!W804=0,0,IF(GLOBAL_DER_FEV_2023!W804&gt;0,"c","b"))</f>
        <v>0</v>
      </c>
    </row>
    <row r="805" spans="1:25" ht="13.5" hidden="1" thickBot="1" x14ac:dyDescent="0.25">
      <c r="A805" s="317">
        <v>534908</v>
      </c>
      <c r="B805" s="895" t="s">
        <v>1633</v>
      </c>
      <c r="C805" s="896" t="s">
        <v>184</v>
      </c>
      <c r="D805" s="906" t="s">
        <v>808</v>
      </c>
      <c r="E805" s="907">
        <f>GLOBAL_DER_FEV_2023!E805</f>
        <v>0.1</v>
      </c>
      <c r="F805" s="908">
        <f>GLOBAL_DER_FEV_2023!F805</f>
        <v>0.22</v>
      </c>
      <c r="G805" s="949">
        <f>GLOBAL_DER_FEV_2023!G805</f>
        <v>0.61314000000000013</v>
      </c>
      <c r="H805" s="901">
        <f>GLOBAL_DER_FEV_2023!H805</f>
        <v>89.6</v>
      </c>
      <c r="I805" s="901">
        <f>GLOBAL_DER_FEV_2023!I805</f>
        <v>90.213139999999996</v>
      </c>
      <c r="J805" s="902">
        <f>GLOBAL_DER_FEV_2023!J805</f>
        <v>108.32</v>
      </c>
      <c r="K805" s="903" t="s">
        <v>12</v>
      </c>
      <c r="L805" s="1137"/>
      <c r="M805" s="1138">
        <f t="shared" si="57"/>
        <v>0</v>
      </c>
      <c r="N805" s="893">
        <f t="shared" si="61"/>
        <v>0</v>
      </c>
      <c r="O805" s="905"/>
      <c r="Q805" s="317" t="str">
        <f t="shared" si="58"/>
        <v/>
      </c>
      <c r="R805" s="317" t="str">
        <f t="shared" si="59"/>
        <v/>
      </c>
      <c r="S805" s="317" t="str">
        <f t="shared" si="60"/>
        <v/>
      </c>
      <c r="T805" s="317" t="str">
        <f>GLOBAL_DER_FEV_2023!S805</f>
        <v/>
      </c>
      <c r="W805" s="582">
        <v>0</v>
      </c>
      <c r="X805" s="580"/>
      <c r="Y805" s="583">
        <f>IF(GLOBAL_DER_FEV_2023!W805=0,0,IF(GLOBAL_DER_FEV_2023!W805&gt;0,"c","b"))</f>
        <v>0</v>
      </c>
    </row>
    <row r="806" spans="1:25" ht="13.5" hidden="1" thickBot="1" x14ac:dyDescent="0.25">
      <c r="A806" s="317">
        <v>101090</v>
      </c>
      <c r="B806" s="895" t="s">
        <v>1635</v>
      </c>
      <c r="C806" s="896" t="s">
        <v>596</v>
      </c>
      <c r="D806" s="906" t="s">
        <v>1518</v>
      </c>
      <c r="E806" s="907">
        <f>GLOBAL_DER_FEV_2023!E806</f>
        <v>0</v>
      </c>
      <c r="F806" s="908">
        <f>GLOBAL_DER_FEV_2023!F806</f>
        <v>0.3</v>
      </c>
      <c r="G806" s="949">
        <f>GLOBAL_DER_FEV_2023!G806</f>
        <v>0.80400000000000005</v>
      </c>
      <c r="H806" s="901">
        <f>GLOBAL_DER_FEV_2023!H806</f>
        <v>291.81</v>
      </c>
      <c r="I806" s="901">
        <f>GLOBAL_DER_FEV_2023!I806</f>
        <v>292.61399999999998</v>
      </c>
      <c r="J806" s="902">
        <f>GLOBAL_DER_FEV_2023!J806</f>
        <v>351.34</v>
      </c>
      <c r="K806" s="903" t="s">
        <v>12</v>
      </c>
      <c r="L806" s="1139"/>
      <c r="M806" s="1140">
        <f t="shared" si="57"/>
        <v>0</v>
      </c>
      <c r="N806" s="893">
        <f t="shared" si="61"/>
        <v>0</v>
      </c>
      <c r="O806" s="905"/>
      <c r="Q806" s="317" t="str">
        <f t="shared" si="58"/>
        <v/>
      </c>
      <c r="R806" s="317" t="str">
        <f t="shared" si="59"/>
        <v/>
      </c>
      <c r="S806" s="317" t="str">
        <f t="shared" si="60"/>
        <v/>
      </c>
      <c r="T806" s="317" t="str">
        <f>GLOBAL_DER_FEV_2023!S806</f>
        <v/>
      </c>
      <c r="W806" s="582">
        <v>0</v>
      </c>
      <c r="X806" s="580"/>
      <c r="Y806" s="583">
        <f>IF(GLOBAL_DER_FEV_2023!W806=0,0,IF(GLOBAL_DER_FEV_2023!W806&gt;0,"c","b"))</f>
        <v>0</v>
      </c>
    </row>
    <row r="807" spans="1:25" ht="13.5" hidden="1" thickBot="1" x14ac:dyDescent="0.25">
      <c r="A807" s="317">
        <v>98509</v>
      </c>
      <c r="B807" s="895">
        <v>98509</v>
      </c>
      <c r="C807" s="896" t="s">
        <v>596</v>
      </c>
      <c r="D807" s="906" t="s">
        <v>1527</v>
      </c>
      <c r="E807" s="907">
        <f>GLOBAL_DER_FEV_2023!E807</f>
        <v>0</v>
      </c>
      <c r="F807" s="908">
        <f>GLOBAL_DER_FEV_2023!F807</f>
        <v>0</v>
      </c>
      <c r="G807" s="912">
        <f>GLOBAL_DER_FEV_2023!G807</f>
        <v>0</v>
      </c>
      <c r="H807" s="901">
        <f>GLOBAL_DER_FEV_2023!H807</f>
        <v>31.71</v>
      </c>
      <c r="I807" s="901">
        <f>GLOBAL_DER_FEV_2023!I807</f>
        <v>31.71</v>
      </c>
      <c r="J807" s="902">
        <f>GLOBAL_DER_FEV_2023!J807</f>
        <v>38.07</v>
      </c>
      <c r="K807" s="903" t="s">
        <v>15</v>
      </c>
      <c r="L807" s="1137"/>
      <c r="M807" s="1138">
        <f t="shared" si="57"/>
        <v>0</v>
      </c>
      <c r="N807" s="893">
        <f t="shared" si="61"/>
        <v>0</v>
      </c>
      <c r="O807" s="905"/>
      <c r="Q807" s="317" t="str">
        <f t="shared" si="58"/>
        <v/>
      </c>
      <c r="R807" s="317" t="str">
        <f t="shared" si="59"/>
        <v/>
      </c>
      <c r="S807" s="317" t="str">
        <f t="shared" si="60"/>
        <v/>
      </c>
      <c r="T807" s="317" t="str">
        <f>GLOBAL_DER_FEV_2023!S807</f>
        <v/>
      </c>
      <c r="W807" s="582">
        <v>0</v>
      </c>
      <c r="X807" s="580"/>
      <c r="Y807" s="583">
        <f>IF(GLOBAL_DER_FEV_2023!W807=0,0,IF(GLOBAL_DER_FEV_2023!W807&gt;0,"c","b"))</f>
        <v>0</v>
      </c>
    </row>
    <row r="808" spans="1:25" ht="13.5" hidden="1" thickBot="1" x14ac:dyDescent="0.25">
      <c r="A808" s="317">
        <v>98510</v>
      </c>
      <c r="B808" s="895">
        <v>98510</v>
      </c>
      <c r="C808" s="896" t="s">
        <v>596</v>
      </c>
      <c r="D808" s="906" t="s">
        <v>837</v>
      </c>
      <c r="E808" s="907">
        <f>GLOBAL_DER_FEV_2023!E808</f>
        <v>0</v>
      </c>
      <c r="F808" s="908">
        <f>GLOBAL_DER_FEV_2023!F808</f>
        <v>0</v>
      </c>
      <c r="G808" s="912">
        <f>GLOBAL_DER_FEV_2023!G808</f>
        <v>0</v>
      </c>
      <c r="H808" s="901">
        <f>GLOBAL_DER_FEV_2023!H808</f>
        <v>57.03</v>
      </c>
      <c r="I808" s="901">
        <f>GLOBAL_DER_FEV_2023!I808</f>
        <v>57.03</v>
      </c>
      <c r="J808" s="902">
        <f>GLOBAL_DER_FEV_2023!J808</f>
        <v>68.48</v>
      </c>
      <c r="K808" s="903" t="s">
        <v>15</v>
      </c>
      <c r="L808" s="1137"/>
      <c r="M808" s="1138">
        <f t="shared" si="57"/>
        <v>0</v>
      </c>
      <c r="N808" s="893">
        <f t="shared" si="61"/>
        <v>0</v>
      </c>
      <c r="O808" s="905"/>
      <c r="Q808" s="317" t="str">
        <f t="shared" si="58"/>
        <v/>
      </c>
      <c r="R808" s="317" t="str">
        <f t="shared" si="59"/>
        <v/>
      </c>
      <c r="S808" s="317" t="str">
        <f t="shared" si="60"/>
        <v/>
      </c>
      <c r="T808" s="317" t="str">
        <f>GLOBAL_DER_FEV_2023!S808</f>
        <v/>
      </c>
      <c r="W808" s="582">
        <v>0</v>
      </c>
      <c r="X808" s="580"/>
      <c r="Y808" s="583">
        <f>IF(GLOBAL_DER_FEV_2023!W808=0,0,IF(GLOBAL_DER_FEV_2023!W808&gt;0,"c","b"))</f>
        <v>0</v>
      </c>
    </row>
    <row r="809" spans="1:25" ht="13.5" hidden="1" thickBot="1" x14ac:dyDescent="0.25">
      <c r="A809" s="317">
        <v>98511</v>
      </c>
      <c r="B809" s="895">
        <v>98511</v>
      </c>
      <c r="C809" s="896" t="s">
        <v>596</v>
      </c>
      <c r="D809" s="906" t="s">
        <v>838</v>
      </c>
      <c r="E809" s="907">
        <f>GLOBAL_DER_FEV_2023!E809</f>
        <v>0</v>
      </c>
      <c r="F809" s="908">
        <f>GLOBAL_DER_FEV_2023!F809</f>
        <v>0</v>
      </c>
      <c r="G809" s="912">
        <f>GLOBAL_DER_FEV_2023!G809</f>
        <v>0</v>
      </c>
      <c r="H809" s="901">
        <f>GLOBAL_DER_FEV_2023!H809</f>
        <v>102.8</v>
      </c>
      <c r="I809" s="901">
        <f>GLOBAL_DER_FEV_2023!I809</f>
        <v>102.8</v>
      </c>
      <c r="J809" s="902">
        <f>GLOBAL_DER_FEV_2023!J809</f>
        <v>123.43</v>
      </c>
      <c r="K809" s="903" t="s">
        <v>15</v>
      </c>
      <c r="L809" s="1137"/>
      <c r="M809" s="1138">
        <f t="shared" si="57"/>
        <v>0</v>
      </c>
      <c r="N809" s="893">
        <f t="shared" si="61"/>
        <v>0</v>
      </c>
      <c r="O809" s="905"/>
      <c r="Q809" s="317" t="str">
        <f t="shared" si="58"/>
        <v/>
      </c>
      <c r="R809" s="317" t="str">
        <f t="shared" si="59"/>
        <v/>
      </c>
      <c r="S809" s="317" t="str">
        <f t="shared" si="60"/>
        <v/>
      </c>
      <c r="T809" s="317" t="str">
        <f>GLOBAL_DER_FEV_2023!S809</f>
        <v/>
      </c>
      <c r="W809" s="582">
        <v>0</v>
      </c>
      <c r="X809" s="580"/>
      <c r="Y809" s="583">
        <f>IF(GLOBAL_DER_FEV_2023!W809=0,0,IF(GLOBAL_DER_FEV_2023!W809&gt;0,"c","b"))</f>
        <v>0</v>
      </c>
    </row>
    <row r="810" spans="1:25" ht="13.5" hidden="1" thickBot="1" x14ac:dyDescent="0.25">
      <c r="A810" s="317">
        <v>98516</v>
      </c>
      <c r="B810" s="895">
        <v>98516</v>
      </c>
      <c r="C810" s="896" t="s">
        <v>596</v>
      </c>
      <c r="D810" s="906" t="s">
        <v>839</v>
      </c>
      <c r="E810" s="907">
        <f>GLOBAL_DER_FEV_2023!E810</f>
        <v>0</v>
      </c>
      <c r="F810" s="908">
        <f>GLOBAL_DER_FEV_2023!F810</f>
        <v>0</v>
      </c>
      <c r="G810" s="912">
        <f>GLOBAL_DER_FEV_2023!G810</f>
        <v>0</v>
      </c>
      <c r="H810" s="901">
        <f>GLOBAL_DER_FEV_2023!H810</f>
        <v>348.96</v>
      </c>
      <c r="I810" s="901">
        <f>GLOBAL_DER_FEV_2023!I810</f>
        <v>348.96</v>
      </c>
      <c r="J810" s="902">
        <f>GLOBAL_DER_FEV_2023!J810</f>
        <v>419</v>
      </c>
      <c r="K810" s="903" t="s">
        <v>15</v>
      </c>
      <c r="L810" s="1137"/>
      <c r="M810" s="1138">
        <f t="shared" si="57"/>
        <v>0</v>
      </c>
      <c r="N810" s="893">
        <f t="shared" si="61"/>
        <v>0</v>
      </c>
      <c r="O810" s="905"/>
      <c r="Q810" s="317" t="str">
        <f t="shared" si="58"/>
        <v/>
      </c>
      <c r="R810" s="317" t="str">
        <f t="shared" si="59"/>
        <v/>
      </c>
      <c r="S810" s="317" t="str">
        <f t="shared" si="60"/>
        <v/>
      </c>
      <c r="T810" s="317" t="str">
        <f>GLOBAL_DER_FEV_2023!S810</f>
        <v/>
      </c>
      <c r="W810" s="582">
        <v>0</v>
      </c>
      <c r="X810" s="580"/>
      <c r="Y810" s="583">
        <f>IF(GLOBAL_DER_FEV_2023!W810=0,0,IF(GLOBAL_DER_FEV_2023!W810&gt;0,"c","b"))</f>
        <v>0</v>
      </c>
    </row>
    <row r="811" spans="1:25" ht="13.5" hidden="1" thickBot="1" x14ac:dyDescent="0.25">
      <c r="A811" s="317">
        <v>98504</v>
      </c>
      <c r="B811" s="895">
        <v>98504</v>
      </c>
      <c r="C811" s="896" t="s">
        <v>596</v>
      </c>
      <c r="D811" s="906" t="s">
        <v>459</v>
      </c>
      <c r="E811" s="907">
        <f>GLOBAL_DER_FEV_2023!E811</f>
        <v>0</v>
      </c>
      <c r="F811" s="908">
        <f>GLOBAL_DER_FEV_2023!F811</f>
        <v>0</v>
      </c>
      <c r="G811" s="912">
        <f>GLOBAL_DER_FEV_2023!G811</f>
        <v>0</v>
      </c>
      <c r="H811" s="901">
        <f>GLOBAL_DER_FEV_2023!H811</f>
        <v>11.01</v>
      </c>
      <c r="I811" s="901">
        <f>GLOBAL_DER_FEV_2023!I811</f>
        <v>11.01</v>
      </c>
      <c r="J811" s="902">
        <f>GLOBAL_DER_FEV_2023!J811</f>
        <v>13.22</v>
      </c>
      <c r="K811" s="903" t="s">
        <v>12</v>
      </c>
      <c r="L811" s="1137"/>
      <c r="M811" s="1138">
        <f t="shared" si="57"/>
        <v>0</v>
      </c>
      <c r="N811" s="893">
        <f t="shared" si="61"/>
        <v>0</v>
      </c>
      <c r="O811" s="905"/>
      <c r="Q811" s="317" t="str">
        <f t="shared" si="58"/>
        <v/>
      </c>
      <c r="R811" s="317" t="str">
        <f t="shared" si="59"/>
        <v/>
      </c>
      <c r="S811" s="317" t="str">
        <f t="shared" si="60"/>
        <v/>
      </c>
      <c r="T811" s="317" t="str">
        <f>GLOBAL_DER_FEV_2023!S811</f>
        <v/>
      </c>
      <c r="W811" s="582">
        <v>0</v>
      </c>
      <c r="X811" s="580"/>
      <c r="Y811" s="583">
        <f>IF(GLOBAL_DER_FEV_2023!W811=0,0,IF(GLOBAL_DER_FEV_2023!W811&gt;0,"c","b"))</f>
        <v>0</v>
      </c>
    </row>
    <row r="812" spans="1:25" ht="13.5" hidden="1" thickBot="1" x14ac:dyDescent="0.25">
      <c r="A812" s="317">
        <v>98505</v>
      </c>
      <c r="B812" s="895">
        <v>98505</v>
      </c>
      <c r="C812" s="896" t="s">
        <v>596</v>
      </c>
      <c r="D812" s="906" t="s">
        <v>840</v>
      </c>
      <c r="E812" s="907">
        <f>GLOBAL_DER_FEV_2023!E812</f>
        <v>0</v>
      </c>
      <c r="F812" s="908">
        <f>GLOBAL_DER_FEV_2023!F812</f>
        <v>0</v>
      </c>
      <c r="G812" s="912">
        <f>GLOBAL_DER_FEV_2023!G812</f>
        <v>0</v>
      </c>
      <c r="H812" s="901">
        <f>GLOBAL_DER_FEV_2023!H812</f>
        <v>46.68</v>
      </c>
      <c r="I812" s="901">
        <f>GLOBAL_DER_FEV_2023!I812</f>
        <v>46.68</v>
      </c>
      <c r="J812" s="902">
        <f>GLOBAL_DER_FEV_2023!J812</f>
        <v>56.05</v>
      </c>
      <c r="K812" s="903" t="s">
        <v>12</v>
      </c>
      <c r="L812" s="1137"/>
      <c r="M812" s="1138">
        <f t="shared" si="57"/>
        <v>0</v>
      </c>
      <c r="N812" s="893">
        <f t="shared" si="61"/>
        <v>0</v>
      </c>
      <c r="O812" s="905"/>
      <c r="Q812" s="317" t="str">
        <f t="shared" si="58"/>
        <v/>
      </c>
      <c r="R812" s="317" t="str">
        <f t="shared" si="59"/>
        <v/>
      </c>
      <c r="S812" s="317" t="str">
        <f t="shared" si="60"/>
        <v/>
      </c>
      <c r="T812" s="317" t="str">
        <f>GLOBAL_DER_FEV_2023!S812</f>
        <v/>
      </c>
      <c r="W812" s="582">
        <v>0</v>
      </c>
      <c r="X812" s="580"/>
      <c r="Y812" s="583">
        <f>IF(GLOBAL_DER_FEV_2023!W812=0,0,IF(GLOBAL_DER_FEV_2023!W812&gt;0,"c","b"))</f>
        <v>0</v>
      </c>
    </row>
    <row r="813" spans="1:25" ht="13.5" hidden="1" thickBot="1" x14ac:dyDescent="0.25">
      <c r="A813" s="317">
        <v>800000</v>
      </c>
      <c r="B813" s="895">
        <v>800000</v>
      </c>
      <c r="C813" s="896" t="s">
        <v>184</v>
      </c>
      <c r="D813" s="906" t="s">
        <v>460</v>
      </c>
      <c r="E813" s="907">
        <f>GLOBAL_DER_FEV_2023!E813</f>
        <v>0</v>
      </c>
      <c r="F813" s="908">
        <f>GLOBAL_DER_FEV_2023!F813</f>
        <v>0</v>
      </c>
      <c r="G813" s="912">
        <f>GLOBAL_DER_FEV_2023!G813</f>
        <v>0</v>
      </c>
      <c r="H813" s="901">
        <f>GLOBAL_DER_FEV_2023!H813</f>
        <v>12.41</v>
      </c>
      <c r="I813" s="901">
        <f>GLOBAL_DER_FEV_2023!I813</f>
        <v>12.41</v>
      </c>
      <c r="J813" s="902">
        <f>GLOBAL_DER_FEV_2023!J813</f>
        <v>14.9</v>
      </c>
      <c r="K813" s="903" t="s">
        <v>12</v>
      </c>
      <c r="L813" s="1137"/>
      <c r="M813" s="1138">
        <f t="shared" si="57"/>
        <v>0</v>
      </c>
      <c r="N813" s="893">
        <f t="shared" si="61"/>
        <v>0</v>
      </c>
      <c r="O813" s="905"/>
      <c r="Q813" s="317" t="str">
        <f t="shared" si="58"/>
        <v/>
      </c>
      <c r="R813" s="317" t="str">
        <f t="shared" si="59"/>
        <v/>
      </c>
      <c r="S813" s="317" t="str">
        <f t="shared" si="60"/>
        <v/>
      </c>
      <c r="T813" s="317" t="str">
        <f>GLOBAL_DER_FEV_2023!S813</f>
        <v/>
      </c>
      <c r="W813" s="582">
        <v>0</v>
      </c>
      <c r="X813" s="580"/>
      <c r="Y813" s="583">
        <f>IF(GLOBAL_DER_FEV_2023!W813=0,0,IF(GLOBAL_DER_FEV_2023!W813&gt;0,"c","b"))</f>
        <v>0</v>
      </c>
    </row>
    <row r="814" spans="1:25" ht="13.5" hidden="1" thickBot="1" x14ac:dyDescent="0.25">
      <c r="A814" s="317" t="s">
        <v>297</v>
      </c>
      <c r="B814" s="895" t="s">
        <v>297</v>
      </c>
      <c r="C814" s="896" t="s">
        <v>184</v>
      </c>
      <c r="D814" s="906" t="s">
        <v>280</v>
      </c>
      <c r="E814" s="907">
        <f>GLOBAL_DER_FEV_2023!E814</f>
        <v>0</v>
      </c>
      <c r="F814" s="908">
        <f>GLOBAL_DER_FEV_2023!F814</f>
        <v>0</v>
      </c>
      <c r="G814" s="912">
        <f>GLOBAL_DER_FEV_2023!G814</f>
        <v>0</v>
      </c>
      <c r="H814" s="901">
        <f>GLOBAL_DER_FEV_2023!H814</f>
        <v>0</v>
      </c>
      <c r="I814" s="901">
        <f>GLOBAL_DER_FEV_2023!I814</f>
        <v>0</v>
      </c>
      <c r="J814" s="902">
        <f>GLOBAL_DER_FEV_2023!J814</f>
        <v>0</v>
      </c>
      <c r="K814" s="903" t="s">
        <v>10</v>
      </c>
      <c r="L814" s="1137"/>
      <c r="M814" s="1138">
        <f t="shared" si="57"/>
        <v>0</v>
      </c>
      <c r="N814" s="893">
        <f t="shared" si="61"/>
        <v>0</v>
      </c>
      <c r="O814" s="905"/>
      <c r="Q814" s="317" t="str">
        <f t="shared" si="58"/>
        <v/>
      </c>
      <c r="R814" s="317" t="str">
        <f t="shared" si="59"/>
        <v/>
      </c>
      <c r="S814" s="317" t="str">
        <f t="shared" si="60"/>
        <v/>
      </c>
      <c r="T814" s="317" t="str">
        <f>GLOBAL_DER_FEV_2023!S814</f>
        <v/>
      </c>
      <c r="W814" s="582">
        <v>0</v>
      </c>
      <c r="X814" s="580"/>
      <c r="Y814" s="583">
        <f>IF(GLOBAL_DER_FEV_2023!W814=0,0,IF(GLOBAL_DER_FEV_2023!W814&gt;0,"c","b"))</f>
        <v>0</v>
      </c>
    </row>
    <row r="815" spans="1:25" ht="13.5" hidden="1" thickBot="1" x14ac:dyDescent="0.25">
      <c r="A815" s="317">
        <v>605000</v>
      </c>
      <c r="B815" s="895" t="s">
        <v>1776</v>
      </c>
      <c r="C815" s="896" t="s">
        <v>184</v>
      </c>
      <c r="D815" s="906" t="s">
        <v>281</v>
      </c>
      <c r="E815" s="907">
        <f>GLOBAL_DER_FEV_2023!E815</f>
        <v>0</v>
      </c>
      <c r="F815" s="908">
        <f>GLOBAL_DER_FEV_2023!F815</f>
        <v>0</v>
      </c>
      <c r="G815" s="912">
        <f>GLOBAL_DER_FEV_2023!G815</f>
        <v>0</v>
      </c>
      <c r="H815" s="901">
        <f>GLOBAL_DER_FEV_2023!H815</f>
        <v>481.5</v>
      </c>
      <c r="I815" s="901">
        <f>GLOBAL_DER_FEV_2023!I815</f>
        <v>481.5</v>
      </c>
      <c r="J815" s="902">
        <f>GLOBAL_DER_FEV_2023!J815</f>
        <v>578.14</v>
      </c>
      <c r="K815" s="903" t="s">
        <v>15</v>
      </c>
      <c r="L815" s="1137"/>
      <c r="M815" s="1138">
        <f t="shared" si="57"/>
        <v>0</v>
      </c>
      <c r="N815" s="893">
        <f t="shared" si="61"/>
        <v>0</v>
      </c>
      <c r="O815" s="905"/>
      <c r="Q815" s="317" t="str">
        <f t="shared" si="58"/>
        <v/>
      </c>
      <c r="R815" s="317" t="str">
        <f t="shared" si="59"/>
        <v/>
      </c>
      <c r="S815" s="317" t="str">
        <f t="shared" si="60"/>
        <v/>
      </c>
      <c r="T815" s="317" t="str">
        <f>GLOBAL_DER_FEV_2023!S815</f>
        <v/>
      </c>
      <c r="W815" s="582">
        <v>0</v>
      </c>
      <c r="X815" s="580"/>
      <c r="Y815" s="583">
        <f>IF(GLOBAL_DER_FEV_2023!W815=0,0,IF(GLOBAL_DER_FEV_2023!W815&gt;0,"c","b"))</f>
        <v>0</v>
      </c>
    </row>
    <row r="816" spans="1:25" ht="13.5" hidden="1" thickBot="1" x14ac:dyDescent="0.25">
      <c r="A816" s="317">
        <v>605000</v>
      </c>
      <c r="B816" s="895" t="s">
        <v>1777</v>
      </c>
      <c r="C816" s="896" t="s">
        <v>184</v>
      </c>
      <c r="D816" s="906" t="s">
        <v>282</v>
      </c>
      <c r="E816" s="907">
        <f>GLOBAL_DER_FEV_2023!E816</f>
        <v>0</v>
      </c>
      <c r="F816" s="908">
        <f>GLOBAL_DER_FEV_2023!F816</f>
        <v>0</v>
      </c>
      <c r="G816" s="912">
        <f>GLOBAL_DER_FEV_2023!G816</f>
        <v>0</v>
      </c>
      <c r="H816" s="901">
        <f>GLOBAL_DER_FEV_2023!H816</f>
        <v>481.5</v>
      </c>
      <c r="I816" s="901">
        <f>GLOBAL_DER_FEV_2023!I816</f>
        <v>481.5</v>
      </c>
      <c r="J816" s="902">
        <f>GLOBAL_DER_FEV_2023!J816</f>
        <v>578.14</v>
      </c>
      <c r="K816" s="903" t="s">
        <v>15</v>
      </c>
      <c r="L816" s="1137"/>
      <c r="M816" s="1138">
        <f t="shared" si="57"/>
        <v>0</v>
      </c>
      <c r="N816" s="893">
        <f t="shared" si="61"/>
        <v>0</v>
      </c>
      <c r="O816" s="905"/>
      <c r="Q816" s="317" t="str">
        <f t="shared" si="58"/>
        <v/>
      </c>
      <c r="R816" s="317" t="str">
        <f t="shared" si="59"/>
        <v/>
      </c>
      <c r="S816" s="317" t="str">
        <f t="shared" si="60"/>
        <v/>
      </c>
      <c r="T816" s="317" t="str">
        <f>GLOBAL_DER_FEV_2023!S816</f>
        <v/>
      </c>
      <c r="W816" s="582">
        <v>0</v>
      </c>
      <c r="X816" s="580"/>
      <c r="Y816" s="583">
        <f>IF(GLOBAL_DER_FEV_2023!W816=0,0,IF(GLOBAL_DER_FEV_2023!W816&gt;0,"c","b"))</f>
        <v>0</v>
      </c>
    </row>
    <row r="817" spans="1:25" ht="13.5" hidden="1" thickBot="1" x14ac:dyDescent="0.25">
      <c r="A817" s="317">
        <v>605000</v>
      </c>
      <c r="B817" s="895" t="s">
        <v>1778</v>
      </c>
      <c r="C817" s="896" t="s">
        <v>184</v>
      </c>
      <c r="D817" s="906" t="s">
        <v>283</v>
      </c>
      <c r="E817" s="907">
        <f>GLOBAL_DER_FEV_2023!E817</f>
        <v>0</v>
      </c>
      <c r="F817" s="908">
        <f>GLOBAL_DER_FEV_2023!F817</f>
        <v>0</v>
      </c>
      <c r="G817" s="912">
        <f>GLOBAL_DER_FEV_2023!G817</f>
        <v>0</v>
      </c>
      <c r="H817" s="901">
        <f>GLOBAL_DER_FEV_2023!H817</f>
        <v>481.5</v>
      </c>
      <c r="I817" s="901">
        <f>GLOBAL_DER_FEV_2023!I817</f>
        <v>481.5</v>
      </c>
      <c r="J817" s="902">
        <f>GLOBAL_DER_FEV_2023!J817</f>
        <v>578.14</v>
      </c>
      <c r="K817" s="903" t="s">
        <v>15</v>
      </c>
      <c r="L817" s="1137"/>
      <c r="M817" s="1138">
        <f t="shared" si="57"/>
        <v>0</v>
      </c>
      <c r="N817" s="893">
        <f t="shared" si="61"/>
        <v>0</v>
      </c>
      <c r="O817" s="905"/>
      <c r="Q817" s="317" t="str">
        <f t="shared" si="58"/>
        <v/>
      </c>
      <c r="R817" s="317" t="str">
        <f t="shared" si="59"/>
        <v/>
      </c>
      <c r="S817" s="317" t="str">
        <f t="shared" si="60"/>
        <v/>
      </c>
      <c r="T817" s="317" t="str">
        <f>GLOBAL_DER_FEV_2023!S817</f>
        <v/>
      </c>
      <c r="W817" s="582">
        <v>0</v>
      </c>
      <c r="X817" s="580"/>
      <c r="Y817" s="583">
        <f>IF(GLOBAL_DER_FEV_2023!W817=0,0,IF(GLOBAL_DER_FEV_2023!W817&gt;0,"c","b"))</f>
        <v>0</v>
      </c>
    </row>
    <row r="818" spans="1:25" ht="13.5" hidden="1" thickBot="1" x14ac:dyDescent="0.25">
      <c r="A818" s="317">
        <v>605000</v>
      </c>
      <c r="B818" s="895" t="s">
        <v>1779</v>
      </c>
      <c r="C818" s="896" t="s">
        <v>184</v>
      </c>
      <c r="D818" s="906" t="s">
        <v>284</v>
      </c>
      <c r="E818" s="907">
        <f>GLOBAL_DER_FEV_2023!E818</f>
        <v>0</v>
      </c>
      <c r="F818" s="908">
        <f>GLOBAL_DER_FEV_2023!F818</f>
        <v>0</v>
      </c>
      <c r="G818" s="912">
        <f>GLOBAL_DER_FEV_2023!G818</f>
        <v>0</v>
      </c>
      <c r="H818" s="901">
        <f>GLOBAL_DER_FEV_2023!H818</f>
        <v>654.30999999999995</v>
      </c>
      <c r="I818" s="901">
        <f>GLOBAL_DER_FEV_2023!I818</f>
        <v>654.30999999999995</v>
      </c>
      <c r="J818" s="902">
        <f>GLOBAL_DER_FEV_2023!J818</f>
        <v>785.63</v>
      </c>
      <c r="K818" s="903" t="s">
        <v>15</v>
      </c>
      <c r="L818" s="1137"/>
      <c r="M818" s="1138">
        <f t="shared" si="57"/>
        <v>0</v>
      </c>
      <c r="N818" s="893">
        <f t="shared" si="61"/>
        <v>0</v>
      </c>
      <c r="O818" s="905"/>
      <c r="Q818" s="317" t="str">
        <f t="shared" si="58"/>
        <v/>
      </c>
      <c r="R818" s="317" t="str">
        <f t="shared" si="59"/>
        <v/>
      </c>
      <c r="S818" s="317" t="str">
        <f t="shared" si="60"/>
        <v/>
      </c>
      <c r="T818" s="317" t="str">
        <f>GLOBAL_DER_FEV_2023!S818</f>
        <v/>
      </c>
      <c r="W818" s="582">
        <v>0</v>
      </c>
      <c r="X818" s="580"/>
      <c r="Y818" s="583">
        <f>IF(GLOBAL_DER_FEV_2023!W818=0,0,IF(GLOBAL_DER_FEV_2023!W818&gt;0,"c","b"))</f>
        <v>0</v>
      </c>
    </row>
    <row r="819" spans="1:25" ht="13.5" hidden="1" thickBot="1" x14ac:dyDescent="0.25">
      <c r="A819" s="317">
        <v>605000</v>
      </c>
      <c r="B819" s="895" t="s">
        <v>1780</v>
      </c>
      <c r="C819" s="896" t="s">
        <v>184</v>
      </c>
      <c r="D819" s="906" t="s">
        <v>285</v>
      </c>
      <c r="E819" s="907">
        <f>GLOBAL_DER_FEV_2023!E819</f>
        <v>0</v>
      </c>
      <c r="F819" s="908">
        <f>GLOBAL_DER_FEV_2023!F819</f>
        <v>0</v>
      </c>
      <c r="G819" s="912">
        <f>GLOBAL_DER_FEV_2023!G819</f>
        <v>0</v>
      </c>
      <c r="H819" s="901">
        <f>GLOBAL_DER_FEV_2023!H819</f>
        <v>573.36</v>
      </c>
      <c r="I819" s="901">
        <f>GLOBAL_DER_FEV_2023!I819</f>
        <v>573.36</v>
      </c>
      <c r="J819" s="902">
        <f>GLOBAL_DER_FEV_2023!J819</f>
        <v>688.43</v>
      </c>
      <c r="K819" s="903" t="s">
        <v>15</v>
      </c>
      <c r="L819" s="1137"/>
      <c r="M819" s="1138">
        <f t="shared" si="57"/>
        <v>0</v>
      </c>
      <c r="N819" s="893">
        <f t="shared" si="61"/>
        <v>0</v>
      </c>
      <c r="O819" s="905"/>
      <c r="Q819" s="317" t="str">
        <f t="shared" si="58"/>
        <v/>
      </c>
      <c r="R819" s="317" t="str">
        <f t="shared" si="59"/>
        <v/>
      </c>
      <c r="S819" s="317" t="str">
        <f t="shared" si="60"/>
        <v/>
      </c>
      <c r="T819" s="317" t="str">
        <f>GLOBAL_DER_FEV_2023!S819</f>
        <v/>
      </c>
      <c r="W819" s="582">
        <v>0</v>
      </c>
      <c r="X819" s="580"/>
      <c r="Y819" s="583">
        <f>IF(GLOBAL_DER_FEV_2023!W819=0,0,IF(GLOBAL_DER_FEV_2023!W819&gt;0,"c","b"))</f>
        <v>0</v>
      </c>
    </row>
    <row r="820" spans="1:25" ht="13.5" hidden="1" thickBot="1" x14ac:dyDescent="0.25">
      <c r="A820" s="640" t="s">
        <v>165</v>
      </c>
      <c r="B820" s="913" t="s">
        <v>165</v>
      </c>
      <c r="C820" s="914"/>
      <c r="D820" s="915" t="s">
        <v>215</v>
      </c>
      <c r="E820" s="916">
        <f>GLOBAL_DER_FEV_2023!E820</f>
        <v>0</v>
      </c>
      <c r="F820" s="917">
        <f>GLOBAL_DER_FEV_2023!F820</f>
        <v>0</v>
      </c>
      <c r="G820" s="918">
        <f>GLOBAL_DER_FEV_2023!G820</f>
        <v>0</v>
      </c>
      <c r="H820" s="919">
        <f>GLOBAL_DER_FEV_2023!H820</f>
        <v>0</v>
      </c>
      <c r="I820" s="919">
        <f>GLOBAL_DER_FEV_2023!I820</f>
        <v>0</v>
      </c>
      <c r="J820" s="919">
        <f>GLOBAL_DER_FEV_2023!J820</f>
        <v>0</v>
      </c>
      <c r="K820" s="920" t="s">
        <v>507</v>
      </c>
      <c r="L820" s="921"/>
      <c r="M820" s="922">
        <f t="shared" si="57"/>
        <v>0</v>
      </c>
      <c r="N820" s="923">
        <f t="shared" si="61"/>
        <v>0</v>
      </c>
      <c r="O820" s="905"/>
      <c r="P820" s="58" t="str">
        <f>IF(OR(SUM(N821:N852)&gt;0,SUM(N821:N852)&gt;0),"y","")</f>
        <v/>
      </c>
      <c r="Q820" s="317" t="str">
        <f t="shared" si="58"/>
        <v/>
      </c>
      <c r="R820" s="317" t="str">
        <f t="shared" si="59"/>
        <v/>
      </c>
      <c r="S820" s="317" t="str">
        <f t="shared" si="60"/>
        <v/>
      </c>
      <c r="T820" s="317" t="str">
        <f>GLOBAL_DER_FEV_2023!S820</f>
        <v/>
      </c>
      <c r="W820" s="582">
        <v>0</v>
      </c>
      <c r="X820" s="580"/>
      <c r="Y820" s="583">
        <f>IF(GLOBAL_DER_FEV_2023!W820=0,0,IF(GLOBAL_DER_FEV_2023!W820&gt;0,"c","b"))</f>
        <v>0</v>
      </c>
    </row>
    <row r="821" spans="1:25" ht="26.1" hidden="1" customHeight="1" x14ac:dyDescent="0.2">
      <c r="A821" s="640" t="s">
        <v>165</v>
      </c>
      <c r="B821" s="1036">
        <f>GLOBAL_DER_FEV_2023!B821</f>
        <v>834908</v>
      </c>
      <c r="C821" s="1072" t="str">
        <f>GLOBAL_DER_FEV_2023!C821</f>
        <v>DER</v>
      </c>
      <c r="D821" s="1141" t="str">
        <f>GLOBAL_DER_FEV_2023!D821</f>
        <v>Fornecimento e assentamento de piso tátil de concreto alerta/direcional
20x20cm</v>
      </c>
      <c r="E821" s="907">
        <f>GLOBAL_DER_FEV_2023!E821</f>
        <v>0</v>
      </c>
      <c r="F821" s="908">
        <f>GLOBAL_DER_FEV_2023!F821</f>
        <v>0</v>
      </c>
      <c r="G821" s="912">
        <f>GLOBAL_DER_FEV_2023!G821</f>
        <v>0</v>
      </c>
      <c r="H821" s="901">
        <f>GLOBAL_DER_FEV_2023!H821</f>
        <v>90.41</v>
      </c>
      <c r="I821" s="901">
        <f>GLOBAL_DER_FEV_2023!I821</f>
        <v>90.41</v>
      </c>
      <c r="J821" s="902">
        <f>GLOBAL_DER_FEV_2023!J821</f>
        <v>108.56</v>
      </c>
      <c r="K821" s="903" t="str">
        <f>GLOBAL_DER_FEV_2023!K821</f>
        <v>m2</v>
      </c>
      <c r="L821" s="1137"/>
      <c r="M821" s="922">
        <f t="shared" si="57"/>
        <v>0</v>
      </c>
      <c r="N821" s="1166">
        <f t="shared" si="61"/>
        <v>0</v>
      </c>
      <c r="O821" s="1165"/>
      <c r="Q821" s="317" t="str">
        <f t="shared" si="58"/>
        <v/>
      </c>
      <c r="R821" s="317" t="str">
        <f t="shared" si="59"/>
        <v/>
      </c>
      <c r="S821" s="317" t="str">
        <f t="shared" si="60"/>
        <v/>
      </c>
      <c r="T821" s="317" t="str">
        <f>GLOBAL_DER_FEV_2023!S821</f>
        <v/>
      </c>
      <c r="W821" s="582">
        <v>0</v>
      </c>
      <c r="X821" s="580"/>
      <c r="Y821" s="583">
        <f>IF(GLOBAL_DER_FEV_2023!W821=0,0,IF(GLOBAL_DER_FEV_2023!W821&gt;0,"c","b"))</f>
        <v>0</v>
      </c>
    </row>
    <row r="822" spans="1:25" ht="26.1" hidden="1" customHeight="1" x14ac:dyDescent="0.2">
      <c r="A822" s="640" t="s">
        <v>165</v>
      </c>
      <c r="B822" s="1036">
        <f>GLOBAL_DER_FEV_2023!B822</f>
        <v>834909</v>
      </c>
      <c r="C822" s="1072" t="str">
        <f>GLOBAL_DER_FEV_2023!C822</f>
        <v>DER</v>
      </c>
      <c r="D822" s="1141" t="str">
        <f>GLOBAL_DER_FEV_2023!D822</f>
        <v>Fornecimento e assentamento de piso tátil de concreto alerta/direcional
20x20cm vermelho</v>
      </c>
      <c r="E822" s="907">
        <f>GLOBAL_DER_FEV_2023!E822</f>
        <v>0</v>
      </c>
      <c r="F822" s="908">
        <f>GLOBAL_DER_FEV_2023!F822</f>
        <v>0</v>
      </c>
      <c r="G822" s="912">
        <f>GLOBAL_DER_FEV_2023!G822</f>
        <v>0</v>
      </c>
      <c r="H822" s="901">
        <f>GLOBAL_DER_FEV_2023!H822</f>
        <v>96.16</v>
      </c>
      <c r="I822" s="901">
        <f>GLOBAL_DER_FEV_2023!I822</f>
        <v>96.16</v>
      </c>
      <c r="J822" s="890">
        <f>GLOBAL_DER_FEV_2023!J822</f>
        <v>115.46</v>
      </c>
      <c r="K822" s="903" t="str">
        <f>GLOBAL_DER_FEV_2023!K822</f>
        <v>m2</v>
      </c>
      <c r="L822" s="1137"/>
      <c r="M822" s="922">
        <f t="shared" si="57"/>
        <v>0</v>
      </c>
      <c r="N822" s="1167">
        <f t="shared" si="61"/>
        <v>0</v>
      </c>
      <c r="O822" s="1165"/>
      <c r="Q822" s="317" t="str">
        <f t="shared" si="58"/>
        <v/>
      </c>
      <c r="R822" s="317" t="str">
        <f t="shared" si="59"/>
        <v/>
      </c>
      <c r="S822" s="317" t="str">
        <f t="shared" si="60"/>
        <v/>
      </c>
      <c r="T822" s="317" t="str">
        <f>GLOBAL_DER_FEV_2023!S822</f>
        <v/>
      </c>
      <c r="W822" s="582">
        <v>0</v>
      </c>
      <c r="X822" s="580"/>
      <c r="Y822" s="583">
        <f>IF(GLOBAL_DER_FEV_2023!W822=0,0,IF(GLOBAL_DER_FEV_2023!W822&gt;0,"c","b"))</f>
        <v>0</v>
      </c>
    </row>
    <row r="823" spans="1:25" ht="26.1" hidden="1" customHeight="1" x14ac:dyDescent="0.2">
      <c r="A823" s="640" t="s">
        <v>165</v>
      </c>
      <c r="B823" s="1036">
        <f>GLOBAL_DER_FEV_2023!B823</f>
        <v>834906</v>
      </c>
      <c r="C823" s="1072" t="str">
        <f>GLOBAL_DER_FEV_2023!C823</f>
        <v>DER</v>
      </c>
      <c r="D823" s="1141" t="str">
        <f>GLOBAL_DER_FEV_2023!D823</f>
        <v>Fornecimento e assentamento de piso tátil de concreto alerta/direcional
40x40cm</v>
      </c>
      <c r="E823" s="907">
        <f>GLOBAL_DER_FEV_2023!E823</f>
        <v>0</v>
      </c>
      <c r="F823" s="908">
        <f>GLOBAL_DER_FEV_2023!F823</f>
        <v>0</v>
      </c>
      <c r="G823" s="912">
        <f>GLOBAL_DER_FEV_2023!G823</f>
        <v>0</v>
      </c>
      <c r="H823" s="901">
        <f>GLOBAL_DER_FEV_2023!H823</f>
        <v>96.21</v>
      </c>
      <c r="I823" s="901">
        <f>GLOBAL_DER_FEV_2023!I823</f>
        <v>96.21</v>
      </c>
      <c r="J823" s="890">
        <f>GLOBAL_DER_FEV_2023!J823</f>
        <v>115.52</v>
      </c>
      <c r="K823" s="903" t="str">
        <f>GLOBAL_DER_FEV_2023!K823</f>
        <v>m2</v>
      </c>
      <c r="L823" s="1137"/>
      <c r="M823" s="922">
        <f t="shared" si="57"/>
        <v>0</v>
      </c>
      <c r="N823" s="1167">
        <f t="shared" si="61"/>
        <v>0</v>
      </c>
      <c r="O823" s="1165"/>
      <c r="Q823" s="317" t="str">
        <f t="shared" si="58"/>
        <v/>
      </c>
      <c r="R823" s="317" t="str">
        <f t="shared" si="59"/>
        <v/>
      </c>
      <c r="S823" s="317" t="str">
        <f t="shared" si="60"/>
        <v/>
      </c>
      <c r="T823" s="317" t="str">
        <f>GLOBAL_DER_FEV_2023!S823</f>
        <v/>
      </c>
      <c r="W823" s="582">
        <v>0</v>
      </c>
      <c r="X823" s="580"/>
      <c r="Y823" s="583">
        <f>IF(GLOBAL_DER_FEV_2023!W823=0,0,IF(GLOBAL_DER_FEV_2023!W823&gt;0,"c","b"))</f>
        <v>0</v>
      </c>
    </row>
    <row r="824" spans="1:25" ht="26.1" hidden="1" customHeight="1" x14ac:dyDescent="0.2">
      <c r="A824" s="640" t="s">
        <v>165</v>
      </c>
      <c r="B824" s="1036">
        <f>GLOBAL_DER_FEV_2023!B824</f>
        <v>834907</v>
      </c>
      <c r="C824" s="1072" t="str">
        <f>GLOBAL_DER_FEV_2023!C824</f>
        <v>DER</v>
      </c>
      <c r="D824" s="1141" t="str">
        <f>GLOBAL_DER_FEV_2023!D824</f>
        <v>Fornecimento e assentamento de piso tátil de concreto alerta/direcional
40x40cm vermelho</v>
      </c>
      <c r="E824" s="907">
        <f>GLOBAL_DER_FEV_2023!E824</f>
        <v>0</v>
      </c>
      <c r="F824" s="908">
        <f>GLOBAL_DER_FEV_2023!F824</f>
        <v>0</v>
      </c>
      <c r="G824" s="912">
        <f>GLOBAL_DER_FEV_2023!G824</f>
        <v>0</v>
      </c>
      <c r="H824" s="901">
        <f>GLOBAL_DER_FEV_2023!H824</f>
        <v>99.84</v>
      </c>
      <c r="I824" s="901">
        <f>GLOBAL_DER_FEV_2023!I824</f>
        <v>99.84</v>
      </c>
      <c r="J824" s="890">
        <f>GLOBAL_DER_FEV_2023!J824</f>
        <v>119.88</v>
      </c>
      <c r="K824" s="903" t="str">
        <f>GLOBAL_DER_FEV_2023!K824</f>
        <v>m2</v>
      </c>
      <c r="L824" s="1137"/>
      <c r="M824" s="922">
        <f t="shared" si="57"/>
        <v>0</v>
      </c>
      <c r="N824" s="1167">
        <f t="shared" si="61"/>
        <v>0</v>
      </c>
      <c r="O824" s="1165"/>
      <c r="Q824" s="317" t="str">
        <f t="shared" si="58"/>
        <v/>
      </c>
      <c r="R824" s="317" t="str">
        <f t="shared" si="59"/>
        <v/>
      </c>
      <c r="S824" s="317" t="str">
        <f t="shared" si="60"/>
        <v/>
      </c>
      <c r="T824" s="317" t="str">
        <f>GLOBAL_DER_FEV_2023!S824</f>
        <v/>
      </c>
      <c r="W824" s="582">
        <v>0</v>
      </c>
      <c r="X824" s="580"/>
      <c r="Y824" s="583">
        <f>IF(GLOBAL_DER_FEV_2023!W824=0,0,IF(GLOBAL_DER_FEV_2023!W824&gt;0,"c","b"))</f>
        <v>0</v>
      </c>
    </row>
    <row r="825" spans="1:25" ht="13.5" hidden="1" thickBot="1" x14ac:dyDescent="0.25">
      <c r="A825" s="640" t="s">
        <v>165</v>
      </c>
      <c r="B825" s="1036" t="str">
        <f>GLOBAL_DER_FEV_2023!B825</f>
        <v>COMP.01</v>
      </c>
      <c r="C825" s="1072" t="str">
        <f>GLOBAL_DER_FEV_2023!C825</f>
        <v>DER</v>
      </c>
      <c r="D825" s="1141" t="str">
        <f>GLOBAL_DER_FEV_2023!D825</f>
        <v>RAMPA PARA PNE COM PISO TÁTIL NBR 9050 ÁREA DE 4,50M2</v>
      </c>
      <c r="E825" s="907">
        <f>GLOBAL_DER_FEV_2023!E825</f>
        <v>0</v>
      </c>
      <c r="F825" s="908">
        <f>GLOBAL_DER_FEV_2023!F825</f>
        <v>0</v>
      </c>
      <c r="G825" s="912">
        <f>GLOBAL_DER_FEV_2023!G825</f>
        <v>0</v>
      </c>
      <c r="H825" s="901">
        <f>GLOBAL_DER_FEV_2023!H825</f>
        <v>348.27</v>
      </c>
      <c r="I825" s="901">
        <f>GLOBAL_DER_FEV_2023!I825</f>
        <v>348.27</v>
      </c>
      <c r="J825" s="890">
        <f>GLOBAL_DER_FEV_2023!J825</f>
        <v>418.17</v>
      </c>
      <c r="K825" s="903" t="str">
        <f>GLOBAL_DER_FEV_2023!K825</f>
        <v>UN</v>
      </c>
      <c r="L825" s="1137"/>
      <c r="M825" s="922">
        <f t="shared" si="57"/>
        <v>0</v>
      </c>
      <c r="N825" s="1167">
        <f t="shared" si="61"/>
        <v>0</v>
      </c>
      <c r="O825" s="1165"/>
      <c r="Q825" s="317" t="str">
        <f t="shared" si="58"/>
        <v/>
      </c>
      <c r="R825" s="317" t="str">
        <f t="shared" si="59"/>
        <v/>
      </c>
      <c r="S825" s="317" t="str">
        <f t="shared" si="60"/>
        <v/>
      </c>
      <c r="T825" s="317" t="str">
        <f>GLOBAL_DER_FEV_2023!S825</f>
        <v/>
      </c>
      <c r="W825" s="582">
        <v>0</v>
      </c>
      <c r="X825" s="580"/>
      <c r="Y825" s="583">
        <f>IF(GLOBAL_DER_FEV_2023!W825=0,0,IF(GLOBAL_DER_FEV_2023!W825&gt;0,"c","b"))</f>
        <v>0</v>
      </c>
    </row>
    <row r="826" spans="1:25" ht="13.5" hidden="1" thickBot="1" x14ac:dyDescent="0.25">
      <c r="A826" s="640" t="s">
        <v>165</v>
      </c>
      <c r="B826" s="1036" t="str">
        <f>GLOBAL_DER_FEV_2023!B826</f>
        <v/>
      </c>
      <c r="C826" s="1072" t="str">
        <f>GLOBAL_DER_FEV_2023!C826</f>
        <v/>
      </c>
      <c r="D826" s="1141">
        <f>GLOBAL_DER_FEV_2023!D826</f>
        <v>0</v>
      </c>
      <c r="E826" s="907">
        <f>GLOBAL_DER_FEV_2023!E826</f>
        <v>0</v>
      </c>
      <c r="F826" s="908">
        <f>GLOBAL_DER_FEV_2023!F826</f>
        <v>0</v>
      </c>
      <c r="G826" s="912">
        <f>GLOBAL_DER_FEV_2023!G826</f>
        <v>0</v>
      </c>
      <c r="H826" s="901">
        <f>GLOBAL_DER_FEV_2023!H826</f>
        <v>0</v>
      </c>
      <c r="I826" s="901">
        <f>GLOBAL_DER_FEV_2023!I826</f>
        <v>0</v>
      </c>
      <c r="J826" s="890">
        <f>GLOBAL_DER_FEV_2023!J826</f>
        <v>0</v>
      </c>
      <c r="K826" s="903" t="str">
        <f>GLOBAL_DER_FEV_2023!K826</f>
        <v xml:space="preserve">     </v>
      </c>
      <c r="L826" s="1137"/>
      <c r="M826" s="922">
        <f t="shared" si="57"/>
        <v>0</v>
      </c>
      <c r="N826" s="1167">
        <f t="shared" si="61"/>
        <v>0</v>
      </c>
      <c r="O826" s="1165"/>
      <c r="Q826" s="317" t="str">
        <f t="shared" si="58"/>
        <v/>
      </c>
      <c r="R826" s="317" t="str">
        <f t="shared" si="59"/>
        <v/>
      </c>
      <c r="S826" s="317" t="str">
        <f t="shared" si="60"/>
        <v/>
      </c>
      <c r="T826" s="317" t="str">
        <f>GLOBAL_DER_FEV_2023!S826</f>
        <v/>
      </c>
      <c r="W826" s="582">
        <v>0</v>
      </c>
      <c r="X826" s="580"/>
      <c r="Y826" s="583">
        <f>IF(GLOBAL_DER_FEV_2023!W826=0,0,IF(GLOBAL_DER_FEV_2023!W826&gt;0,"c","b"))</f>
        <v>0</v>
      </c>
    </row>
    <row r="827" spans="1:25" ht="13.5" hidden="1" thickBot="1" x14ac:dyDescent="0.25">
      <c r="A827" s="640" t="s">
        <v>165</v>
      </c>
      <c r="B827" s="1036" t="str">
        <f>GLOBAL_DER_FEV_2023!B827</f>
        <v/>
      </c>
      <c r="C827" s="1072" t="str">
        <f>GLOBAL_DER_FEV_2023!C827</f>
        <v/>
      </c>
      <c r="D827" s="1141">
        <f>GLOBAL_DER_FEV_2023!D827</f>
        <v>0</v>
      </c>
      <c r="E827" s="907">
        <f>GLOBAL_DER_FEV_2023!E827</f>
        <v>0</v>
      </c>
      <c r="F827" s="908">
        <f>GLOBAL_DER_FEV_2023!F827</f>
        <v>0</v>
      </c>
      <c r="G827" s="912">
        <f>GLOBAL_DER_FEV_2023!G827</f>
        <v>0</v>
      </c>
      <c r="H827" s="901">
        <f>GLOBAL_DER_FEV_2023!H827</f>
        <v>0</v>
      </c>
      <c r="I827" s="901">
        <f>GLOBAL_DER_FEV_2023!I827</f>
        <v>0</v>
      </c>
      <c r="J827" s="890">
        <f>GLOBAL_DER_FEV_2023!J827</f>
        <v>0</v>
      </c>
      <c r="K827" s="903" t="str">
        <f>GLOBAL_DER_FEV_2023!K827</f>
        <v xml:space="preserve">     </v>
      </c>
      <c r="L827" s="1137"/>
      <c r="M827" s="922">
        <f t="shared" si="57"/>
        <v>0</v>
      </c>
      <c r="N827" s="1167">
        <f t="shared" si="61"/>
        <v>0</v>
      </c>
      <c r="O827" s="1165"/>
      <c r="Q827" s="317" t="str">
        <f t="shared" si="58"/>
        <v/>
      </c>
      <c r="R827" s="317" t="str">
        <f t="shared" si="59"/>
        <v/>
      </c>
      <c r="S827" s="317" t="str">
        <f t="shared" si="60"/>
        <v/>
      </c>
      <c r="T827" s="317" t="str">
        <f>GLOBAL_DER_FEV_2023!S827</f>
        <v/>
      </c>
      <c r="W827" s="582">
        <v>0</v>
      </c>
      <c r="X827" s="580"/>
      <c r="Y827" s="583">
        <f>IF(GLOBAL_DER_FEV_2023!W827=0,0,IF(GLOBAL_DER_FEV_2023!W827&gt;0,"c","b"))</f>
        <v>0</v>
      </c>
    </row>
    <row r="828" spans="1:25" ht="13.5" hidden="1" thickBot="1" x14ac:dyDescent="0.25">
      <c r="A828" s="640" t="s">
        <v>165</v>
      </c>
      <c r="B828" s="1036" t="str">
        <f>GLOBAL_DER_FEV_2023!B828</f>
        <v/>
      </c>
      <c r="C828" s="1072" t="str">
        <f>GLOBAL_DER_FEV_2023!C828</f>
        <v/>
      </c>
      <c r="D828" s="1141">
        <f>GLOBAL_DER_FEV_2023!D828</f>
        <v>0</v>
      </c>
      <c r="E828" s="907">
        <f>GLOBAL_DER_FEV_2023!E828</f>
        <v>0</v>
      </c>
      <c r="F828" s="908">
        <f>GLOBAL_DER_FEV_2023!F828</f>
        <v>0</v>
      </c>
      <c r="G828" s="912">
        <f>GLOBAL_DER_FEV_2023!G828</f>
        <v>0</v>
      </c>
      <c r="H828" s="901">
        <f>GLOBAL_DER_FEV_2023!H828</f>
        <v>0</v>
      </c>
      <c r="I828" s="901">
        <f>GLOBAL_DER_FEV_2023!I828</f>
        <v>0</v>
      </c>
      <c r="J828" s="890">
        <f>GLOBAL_DER_FEV_2023!J828</f>
        <v>0</v>
      </c>
      <c r="K828" s="903" t="str">
        <f>GLOBAL_DER_FEV_2023!K828</f>
        <v xml:space="preserve">     </v>
      </c>
      <c r="L828" s="1137"/>
      <c r="M828" s="922">
        <f t="shared" si="57"/>
        <v>0</v>
      </c>
      <c r="N828" s="1167">
        <f t="shared" si="61"/>
        <v>0</v>
      </c>
      <c r="O828" s="1165"/>
      <c r="Q828" s="317" t="str">
        <f t="shared" si="58"/>
        <v/>
      </c>
      <c r="R828" s="317" t="str">
        <f t="shared" si="59"/>
        <v/>
      </c>
      <c r="S828" s="317" t="str">
        <f t="shared" si="60"/>
        <v/>
      </c>
      <c r="T828" s="317" t="str">
        <f>GLOBAL_DER_FEV_2023!S828</f>
        <v/>
      </c>
      <c r="W828" s="582">
        <v>0</v>
      </c>
      <c r="X828" s="580"/>
      <c r="Y828" s="583">
        <f>IF(GLOBAL_DER_FEV_2023!W828=0,0,IF(GLOBAL_DER_FEV_2023!W828&gt;0,"c","b"))</f>
        <v>0</v>
      </c>
    </row>
    <row r="829" spans="1:25" ht="13.5" hidden="1" thickBot="1" x14ac:dyDescent="0.25">
      <c r="A829" s="640" t="s">
        <v>165</v>
      </c>
      <c r="B829" s="1036" t="str">
        <f>GLOBAL_DER_FEV_2023!B829</f>
        <v/>
      </c>
      <c r="C829" s="1072" t="str">
        <f>GLOBAL_DER_FEV_2023!C829</f>
        <v/>
      </c>
      <c r="D829" s="1141">
        <f>GLOBAL_DER_FEV_2023!D829</f>
        <v>0</v>
      </c>
      <c r="E829" s="907">
        <f>GLOBAL_DER_FEV_2023!E829</f>
        <v>0</v>
      </c>
      <c r="F829" s="908">
        <f>GLOBAL_DER_FEV_2023!F829</f>
        <v>0</v>
      </c>
      <c r="G829" s="912">
        <f>GLOBAL_DER_FEV_2023!G829</f>
        <v>0</v>
      </c>
      <c r="H829" s="901">
        <f>GLOBAL_DER_FEV_2023!H829</f>
        <v>0</v>
      </c>
      <c r="I829" s="901">
        <f>GLOBAL_DER_FEV_2023!I829</f>
        <v>0</v>
      </c>
      <c r="J829" s="890">
        <f>GLOBAL_DER_FEV_2023!J829</f>
        <v>0</v>
      </c>
      <c r="K829" s="903" t="str">
        <f>GLOBAL_DER_FEV_2023!K829</f>
        <v xml:space="preserve">     </v>
      </c>
      <c r="L829" s="1137"/>
      <c r="M829" s="922">
        <f t="shared" si="57"/>
        <v>0</v>
      </c>
      <c r="N829" s="1167">
        <f t="shared" si="61"/>
        <v>0</v>
      </c>
      <c r="O829" s="1165"/>
      <c r="Q829" s="317" t="str">
        <f t="shared" si="58"/>
        <v/>
      </c>
      <c r="R829" s="317" t="str">
        <f t="shared" si="59"/>
        <v/>
      </c>
      <c r="S829" s="317" t="str">
        <f t="shared" si="60"/>
        <v/>
      </c>
      <c r="T829" s="317" t="str">
        <f>GLOBAL_DER_FEV_2023!S829</f>
        <v/>
      </c>
      <c r="W829" s="582">
        <v>0</v>
      </c>
      <c r="X829" s="580"/>
      <c r="Y829" s="583">
        <f>IF(GLOBAL_DER_FEV_2023!W829=0,0,IF(GLOBAL_DER_FEV_2023!W829&gt;0,"c","b"))</f>
        <v>0</v>
      </c>
    </row>
    <row r="830" spans="1:25" ht="13.5" hidden="1" thickBot="1" x14ac:dyDescent="0.25">
      <c r="A830" s="640" t="s">
        <v>165</v>
      </c>
      <c r="B830" s="1036" t="str">
        <f>GLOBAL_DER_FEV_2023!B830</f>
        <v/>
      </c>
      <c r="C830" s="1072" t="str">
        <f>GLOBAL_DER_FEV_2023!C830</f>
        <v/>
      </c>
      <c r="D830" s="1141">
        <f>GLOBAL_DER_FEV_2023!D830</f>
        <v>0</v>
      </c>
      <c r="E830" s="907">
        <f>GLOBAL_DER_FEV_2023!E830</f>
        <v>0</v>
      </c>
      <c r="F830" s="908">
        <f>GLOBAL_DER_FEV_2023!F830</f>
        <v>0</v>
      </c>
      <c r="G830" s="912">
        <f>GLOBAL_DER_FEV_2023!G830</f>
        <v>0</v>
      </c>
      <c r="H830" s="901">
        <f>GLOBAL_DER_FEV_2023!H830</f>
        <v>0</v>
      </c>
      <c r="I830" s="901">
        <f>GLOBAL_DER_FEV_2023!I830</f>
        <v>0</v>
      </c>
      <c r="J830" s="890">
        <f>GLOBAL_DER_FEV_2023!J830</f>
        <v>0</v>
      </c>
      <c r="K830" s="903" t="str">
        <f>GLOBAL_DER_FEV_2023!K830</f>
        <v xml:space="preserve">     </v>
      </c>
      <c r="L830" s="1137"/>
      <c r="M830" s="922">
        <f t="shared" si="57"/>
        <v>0</v>
      </c>
      <c r="N830" s="1167">
        <f t="shared" si="61"/>
        <v>0</v>
      </c>
      <c r="O830" s="1165"/>
      <c r="Q830" s="317" t="str">
        <f t="shared" si="58"/>
        <v/>
      </c>
      <c r="R830" s="317" t="str">
        <f t="shared" si="59"/>
        <v/>
      </c>
      <c r="S830" s="317" t="str">
        <f t="shared" si="60"/>
        <v/>
      </c>
      <c r="T830" s="317" t="str">
        <f>GLOBAL_DER_FEV_2023!S830</f>
        <v/>
      </c>
      <c r="W830" s="582">
        <v>0</v>
      </c>
      <c r="X830" s="580"/>
      <c r="Y830" s="583">
        <f>IF(GLOBAL_DER_FEV_2023!W830=0,0,IF(GLOBAL_DER_FEV_2023!W830&gt;0,"c","b"))</f>
        <v>0</v>
      </c>
    </row>
    <row r="831" spans="1:25" ht="13.5" hidden="1" thickBot="1" x14ac:dyDescent="0.25">
      <c r="A831" s="640" t="s">
        <v>165</v>
      </c>
      <c r="B831" s="1036" t="str">
        <f>GLOBAL_DER_FEV_2023!B831</f>
        <v/>
      </c>
      <c r="C831" s="1072" t="str">
        <f>GLOBAL_DER_FEV_2023!C831</f>
        <v/>
      </c>
      <c r="D831" s="1141">
        <f>GLOBAL_DER_FEV_2023!D831</f>
        <v>0</v>
      </c>
      <c r="E831" s="907">
        <f>GLOBAL_DER_FEV_2023!E831</f>
        <v>0</v>
      </c>
      <c r="F831" s="908">
        <f>GLOBAL_DER_FEV_2023!F831</f>
        <v>0</v>
      </c>
      <c r="G831" s="912">
        <f>GLOBAL_DER_FEV_2023!G831</f>
        <v>0</v>
      </c>
      <c r="H831" s="901">
        <f>GLOBAL_DER_FEV_2023!H831</f>
        <v>0</v>
      </c>
      <c r="I831" s="901">
        <f>GLOBAL_DER_FEV_2023!I831</f>
        <v>0</v>
      </c>
      <c r="J831" s="890">
        <f>GLOBAL_DER_FEV_2023!J831</f>
        <v>0</v>
      </c>
      <c r="K831" s="903" t="str">
        <f>GLOBAL_DER_FEV_2023!K831</f>
        <v xml:space="preserve">     </v>
      </c>
      <c r="L831" s="1137"/>
      <c r="M831" s="922">
        <f t="shared" si="57"/>
        <v>0</v>
      </c>
      <c r="N831" s="1167">
        <f t="shared" si="61"/>
        <v>0</v>
      </c>
      <c r="O831" s="1165"/>
      <c r="Q831" s="317" t="str">
        <f t="shared" si="58"/>
        <v/>
      </c>
      <c r="R831" s="317" t="str">
        <f t="shared" si="59"/>
        <v/>
      </c>
      <c r="S831" s="317" t="str">
        <f t="shared" si="60"/>
        <v/>
      </c>
      <c r="T831" s="317" t="str">
        <f>GLOBAL_DER_FEV_2023!S831</f>
        <v/>
      </c>
      <c r="W831" s="582">
        <v>0</v>
      </c>
      <c r="X831" s="580"/>
      <c r="Y831" s="583">
        <f>IF(GLOBAL_DER_FEV_2023!W831=0,0,IF(GLOBAL_DER_FEV_2023!W831&gt;0,"c","b"))</f>
        <v>0</v>
      </c>
    </row>
    <row r="832" spans="1:25" ht="13.5" hidden="1" thickBot="1" x14ac:dyDescent="0.25">
      <c r="A832" s="640" t="s">
        <v>165</v>
      </c>
      <c r="B832" s="1036" t="str">
        <f>GLOBAL_DER_FEV_2023!B832</f>
        <v/>
      </c>
      <c r="C832" s="1072" t="str">
        <f>GLOBAL_DER_FEV_2023!C832</f>
        <v/>
      </c>
      <c r="D832" s="1141">
        <f>GLOBAL_DER_FEV_2023!D832</f>
        <v>0</v>
      </c>
      <c r="E832" s="907">
        <f>GLOBAL_DER_FEV_2023!E832</f>
        <v>0</v>
      </c>
      <c r="F832" s="908">
        <f>GLOBAL_DER_FEV_2023!F832</f>
        <v>0</v>
      </c>
      <c r="G832" s="912">
        <f>GLOBAL_DER_FEV_2023!G832</f>
        <v>0</v>
      </c>
      <c r="H832" s="901">
        <f>GLOBAL_DER_FEV_2023!H832</f>
        <v>0</v>
      </c>
      <c r="I832" s="901">
        <f>GLOBAL_DER_FEV_2023!I832</f>
        <v>0</v>
      </c>
      <c r="J832" s="890">
        <f>GLOBAL_DER_FEV_2023!J832</f>
        <v>0</v>
      </c>
      <c r="K832" s="903" t="str">
        <f>GLOBAL_DER_FEV_2023!K832</f>
        <v xml:space="preserve">     </v>
      </c>
      <c r="L832" s="1137"/>
      <c r="M832" s="922">
        <f t="shared" si="57"/>
        <v>0</v>
      </c>
      <c r="N832" s="1167">
        <f t="shared" si="61"/>
        <v>0</v>
      </c>
      <c r="O832" s="1165"/>
      <c r="Q832" s="317" t="str">
        <f t="shared" si="58"/>
        <v/>
      </c>
      <c r="R832" s="317" t="str">
        <f t="shared" si="59"/>
        <v/>
      </c>
      <c r="S832" s="317" t="str">
        <f t="shared" si="60"/>
        <v/>
      </c>
      <c r="T832" s="317" t="str">
        <f>GLOBAL_DER_FEV_2023!S832</f>
        <v/>
      </c>
      <c r="W832" s="582">
        <v>0</v>
      </c>
      <c r="X832" s="580"/>
      <c r="Y832" s="583">
        <f>IF(GLOBAL_DER_FEV_2023!W832=0,0,IF(GLOBAL_DER_FEV_2023!W832&gt;0,"c","b"))</f>
        <v>0</v>
      </c>
    </row>
    <row r="833" spans="1:25" ht="13.5" hidden="1" thickBot="1" x14ac:dyDescent="0.25">
      <c r="A833" s="640" t="s">
        <v>165</v>
      </c>
      <c r="B833" s="1036" t="str">
        <f>GLOBAL_DER_FEV_2023!B833</f>
        <v/>
      </c>
      <c r="C833" s="1072" t="str">
        <f>GLOBAL_DER_FEV_2023!C833</f>
        <v/>
      </c>
      <c r="D833" s="1141">
        <f>GLOBAL_DER_FEV_2023!D833</f>
        <v>0</v>
      </c>
      <c r="E833" s="907">
        <f>GLOBAL_DER_FEV_2023!E833</f>
        <v>0</v>
      </c>
      <c r="F833" s="908">
        <f>GLOBAL_DER_FEV_2023!F833</f>
        <v>0</v>
      </c>
      <c r="G833" s="912">
        <f>GLOBAL_DER_FEV_2023!G833</f>
        <v>0</v>
      </c>
      <c r="H833" s="901">
        <f>GLOBAL_DER_FEV_2023!H833</f>
        <v>0</v>
      </c>
      <c r="I833" s="901">
        <f>GLOBAL_DER_FEV_2023!I833</f>
        <v>0</v>
      </c>
      <c r="J833" s="890">
        <f>GLOBAL_DER_FEV_2023!J833</f>
        <v>0</v>
      </c>
      <c r="K833" s="903" t="str">
        <f>GLOBAL_DER_FEV_2023!K833</f>
        <v xml:space="preserve">     </v>
      </c>
      <c r="L833" s="1137"/>
      <c r="M833" s="922">
        <f t="shared" si="57"/>
        <v>0</v>
      </c>
      <c r="N833" s="1167">
        <f t="shared" si="61"/>
        <v>0</v>
      </c>
      <c r="O833" s="1165"/>
      <c r="Q833" s="317" t="str">
        <f t="shared" si="58"/>
        <v/>
      </c>
      <c r="R833" s="317" t="str">
        <f t="shared" si="59"/>
        <v/>
      </c>
      <c r="S833" s="317" t="str">
        <f t="shared" si="60"/>
        <v/>
      </c>
      <c r="T833" s="317" t="str">
        <f>GLOBAL_DER_FEV_2023!S833</f>
        <v/>
      </c>
      <c r="W833" s="582">
        <v>0</v>
      </c>
      <c r="X833" s="580"/>
      <c r="Y833" s="583">
        <f>IF(GLOBAL_DER_FEV_2023!W833=0,0,IF(GLOBAL_DER_FEV_2023!W833&gt;0,"c","b"))</f>
        <v>0</v>
      </c>
    </row>
    <row r="834" spans="1:25" ht="13.5" hidden="1" thickBot="1" x14ac:dyDescent="0.25">
      <c r="A834" s="640" t="s">
        <v>165</v>
      </c>
      <c r="B834" s="1036" t="str">
        <f>GLOBAL_DER_FEV_2023!B834</f>
        <v/>
      </c>
      <c r="C834" s="1072" t="str">
        <f>GLOBAL_DER_FEV_2023!C834</f>
        <v/>
      </c>
      <c r="D834" s="1141">
        <f>GLOBAL_DER_FEV_2023!D834</f>
        <v>0</v>
      </c>
      <c r="E834" s="907">
        <f>GLOBAL_DER_FEV_2023!E834</f>
        <v>0</v>
      </c>
      <c r="F834" s="908">
        <f>GLOBAL_DER_FEV_2023!F834</f>
        <v>0</v>
      </c>
      <c r="G834" s="912">
        <f>GLOBAL_DER_FEV_2023!G834</f>
        <v>0</v>
      </c>
      <c r="H834" s="901">
        <f>GLOBAL_DER_FEV_2023!H834</f>
        <v>0</v>
      </c>
      <c r="I834" s="901">
        <f>GLOBAL_DER_FEV_2023!I834</f>
        <v>0</v>
      </c>
      <c r="J834" s="890">
        <f>GLOBAL_DER_FEV_2023!J834</f>
        <v>0</v>
      </c>
      <c r="K834" s="903" t="str">
        <f>GLOBAL_DER_FEV_2023!K834</f>
        <v xml:space="preserve">     </v>
      </c>
      <c r="L834" s="1137"/>
      <c r="M834" s="922">
        <f t="shared" si="57"/>
        <v>0</v>
      </c>
      <c r="N834" s="1167">
        <f t="shared" si="61"/>
        <v>0</v>
      </c>
      <c r="O834" s="1165"/>
      <c r="Q834" s="317" t="str">
        <f t="shared" si="58"/>
        <v/>
      </c>
      <c r="R834" s="317" t="str">
        <f t="shared" si="59"/>
        <v/>
      </c>
      <c r="S834" s="317" t="str">
        <f t="shared" si="60"/>
        <v/>
      </c>
      <c r="T834" s="317" t="str">
        <f>GLOBAL_DER_FEV_2023!S834</f>
        <v/>
      </c>
      <c r="W834" s="582">
        <v>0</v>
      </c>
      <c r="X834" s="580"/>
      <c r="Y834" s="583">
        <f>IF(GLOBAL_DER_FEV_2023!W834=0,0,IF(GLOBAL_DER_FEV_2023!W834&gt;0,"c","b"))</f>
        <v>0</v>
      </c>
    </row>
    <row r="835" spans="1:25" ht="13.5" hidden="1" thickBot="1" x14ac:dyDescent="0.25">
      <c r="A835" s="640" t="s">
        <v>165</v>
      </c>
      <c r="B835" s="1036" t="str">
        <f>GLOBAL_DER_FEV_2023!B835</f>
        <v/>
      </c>
      <c r="C835" s="1072" t="str">
        <f>GLOBAL_DER_FEV_2023!C835</f>
        <v/>
      </c>
      <c r="D835" s="1141">
        <f>GLOBAL_DER_FEV_2023!D835</f>
        <v>0</v>
      </c>
      <c r="E835" s="907">
        <f>GLOBAL_DER_FEV_2023!E835</f>
        <v>0</v>
      </c>
      <c r="F835" s="908">
        <f>GLOBAL_DER_FEV_2023!F835</f>
        <v>0</v>
      </c>
      <c r="G835" s="912">
        <f>GLOBAL_DER_FEV_2023!G835</f>
        <v>0</v>
      </c>
      <c r="H835" s="901">
        <f>GLOBAL_DER_FEV_2023!H835</f>
        <v>0</v>
      </c>
      <c r="I835" s="901">
        <f>GLOBAL_DER_FEV_2023!I835</f>
        <v>0</v>
      </c>
      <c r="J835" s="890">
        <f>GLOBAL_DER_FEV_2023!J835</f>
        <v>0</v>
      </c>
      <c r="K835" s="903" t="str">
        <f>GLOBAL_DER_FEV_2023!K835</f>
        <v xml:space="preserve">     </v>
      </c>
      <c r="L835" s="1137"/>
      <c r="M835" s="922">
        <f t="shared" si="57"/>
        <v>0</v>
      </c>
      <c r="N835" s="1167">
        <f t="shared" si="61"/>
        <v>0</v>
      </c>
      <c r="O835" s="1165"/>
      <c r="Q835" s="317" t="str">
        <f t="shared" si="58"/>
        <v/>
      </c>
      <c r="R835" s="317" t="str">
        <f t="shared" si="59"/>
        <v/>
      </c>
      <c r="S835" s="317" t="str">
        <f t="shared" si="60"/>
        <v/>
      </c>
      <c r="T835" s="317" t="str">
        <f>GLOBAL_DER_FEV_2023!S835</f>
        <v/>
      </c>
      <c r="W835" s="582">
        <v>0</v>
      </c>
      <c r="X835" s="580"/>
      <c r="Y835" s="583">
        <f>IF(GLOBAL_DER_FEV_2023!W835=0,0,IF(GLOBAL_DER_FEV_2023!W835&gt;0,"c","b"))</f>
        <v>0</v>
      </c>
    </row>
    <row r="836" spans="1:25" ht="13.5" hidden="1" thickBot="1" x14ac:dyDescent="0.25">
      <c r="A836" s="640" t="s">
        <v>165</v>
      </c>
      <c r="B836" s="1036" t="str">
        <f>GLOBAL_DER_FEV_2023!B836</f>
        <v/>
      </c>
      <c r="C836" s="1072" t="str">
        <f>GLOBAL_DER_FEV_2023!C836</f>
        <v/>
      </c>
      <c r="D836" s="1141">
        <f>GLOBAL_DER_FEV_2023!D836</f>
        <v>0</v>
      </c>
      <c r="E836" s="907">
        <f>GLOBAL_DER_FEV_2023!E836</f>
        <v>0</v>
      </c>
      <c r="F836" s="908">
        <f>GLOBAL_DER_FEV_2023!F836</f>
        <v>0</v>
      </c>
      <c r="G836" s="912">
        <f>GLOBAL_DER_FEV_2023!G836</f>
        <v>0</v>
      </c>
      <c r="H836" s="901">
        <f>GLOBAL_DER_FEV_2023!H836</f>
        <v>0</v>
      </c>
      <c r="I836" s="901">
        <f>GLOBAL_DER_FEV_2023!I836</f>
        <v>0</v>
      </c>
      <c r="J836" s="890">
        <f>GLOBAL_DER_FEV_2023!J836</f>
        <v>0</v>
      </c>
      <c r="K836" s="903" t="str">
        <f>GLOBAL_DER_FEV_2023!K836</f>
        <v xml:space="preserve">     </v>
      </c>
      <c r="L836" s="1137"/>
      <c r="M836" s="922">
        <f t="shared" si="57"/>
        <v>0</v>
      </c>
      <c r="N836" s="1167">
        <f t="shared" si="61"/>
        <v>0</v>
      </c>
      <c r="O836" s="1165"/>
      <c r="Q836" s="317" t="str">
        <f t="shared" si="58"/>
        <v/>
      </c>
      <c r="R836" s="317" t="str">
        <f t="shared" si="59"/>
        <v/>
      </c>
      <c r="S836" s="317" t="str">
        <f t="shared" si="60"/>
        <v/>
      </c>
      <c r="T836" s="317" t="str">
        <f>GLOBAL_DER_FEV_2023!S836</f>
        <v/>
      </c>
      <c r="W836" s="582">
        <v>0</v>
      </c>
      <c r="X836" s="580"/>
      <c r="Y836" s="583">
        <f>IF(GLOBAL_DER_FEV_2023!W836=0,0,IF(GLOBAL_DER_FEV_2023!W836&gt;0,"c","b"))</f>
        <v>0</v>
      </c>
    </row>
    <row r="837" spans="1:25" ht="13.5" hidden="1" thickBot="1" x14ac:dyDescent="0.25">
      <c r="A837" s="640" t="s">
        <v>165</v>
      </c>
      <c r="B837" s="1036" t="str">
        <f>GLOBAL_DER_FEV_2023!B837</f>
        <v/>
      </c>
      <c r="C837" s="1072" t="str">
        <f>GLOBAL_DER_FEV_2023!C837</f>
        <v/>
      </c>
      <c r="D837" s="1141">
        <f>GLOBAL_DER_FEV_2023!D837</f>
        <v>0</v>
      </c>
      <c r="E837" s="907">
        <f>GLOBAL_DER_FEV_2023!E837</f>
        <v>0</v>
      </c>
      <c r="F837" s="908">
        <f>GLOBAL_DER_FEV_2023!F837</f>
        <v>0</v>
      </c>
      <c r="G837" s="912">
        <f>GLOBAL_DER_FEV_2023!G837</f>
        <v>0</v>
      </c>
      <c r="H837" s="901">
        <f>GLOBAL_DER_FEV_2023!H837</f>
        <v>0</v>
      </c>
      <c r="I837" s="901">
        <f>GLOBAL_DER_FEV_2023!I837</f>
        <v>0</v>
      </c>
      <c r="J837" s="890">
        <f>GLOBAL_DER_FEV_2023!J837</f>
        <v>0</v>
      </c>
      <c r="K837" s="903" t="str">
        <f>GLOBAL_DER_FEV_2023!K837</f>
        <v xml:space="preserve">     </v>
      </c>
      <c r="L837" s="1137"/>
      <c r="M837" s="922">
        <f t="shared" si="57"/>
        <v>0</v>
      </c>
      <c r="N837" s="1167">
        <f t="shared" si="61"/>
        <v>0</v>
      </c>
      <c r="O837" s="1165"/>
      <c r="Q837" s="317" t="str">
        <f t="shared" si="58"/>
        <v/>
      </c>
      <c r="R837" s="317" t="str">
        <f t="shared" si="59"/>
        <v/>
      </c>
      <c r="S837" s="317" t="str">
        <f t="shared" si="60"/>
        <v/>
      </c>
      <c r="T837" s="317" t="str">
        <f>GLOBAL_DER_FEV_2023!S837</f>
        <v/>
      </c>
      <c r="W837" s="582">
        <v>0</v>
      </c>
      <c r="X837" s="580"/>
      <c r="Y837" s="583">
        <f>IF(GLOBAL_DER_FEV_2023!W837=0,0,IF(GLOBAL_DER_FEV_2023!W837&gt;0,"c","b"))</f>
        <v>0</v>
      </c>
    </row>
    <row r="838" spans="1:25" ht="13.5" hidden="1" thickBot="1" x14ac:dyDescent="0.25">
      <c r="A838" s="640" t="s">
        <v>165</v>
      </c>
      <c r="B838" s="1036" t="str">
        <f>GLOBAL_DER_FEV_2023!B838</f>
        <v/>
      </c>
      <c r="C838" s="1072" t="str">
        <f>GLOBAL_DER_FEV_2023!C838</f>
        <v/>
      </c>
      <c r="D838" s="1141">
        <f>GLOBAL_DER_FEV_2023!D838</f>
        <v>0</v>
      </c>
      <c r="E838" s="907">
        <f>GLOBAL_DER_FEV_2023!E838</f>
        <v>0</v>
      </c>
      <c r="F838" s="908">
        <f>GLOBAL_DER_FEV_2023!F838</f>
        <v>0</v>
      </c>
      <c r="G838" s="912">
        <f>GLOBAL_DER_FEV_2023!G838</f>
        <v>0</v>
      </c>
      <c r="H838" s="901">
        <f>GLOBAL_DER_FEV_2023!H838</f>
        <v>0</v>
      </c>
      <c r="I838" s="901">
        <f>GLOBAL_DER_FEV_2023!I838</f>
        <v>0</v>
      </c>
      <c r="J838" s="890">
        <f>GLOBAL_DER_FEV_2023!J838</f>
        <v>0</v>
      </c>
      <c r="K838" s="903" t="str">
        <f>GLOBAL_DER_FEV_2023!K838</f>
        <v xml:space="preserve">     </v>
      </c>
      <c r="L838" s="1137"/>
      <c r="M838" s="922">
        <f t="shared" si="57"/>
        <v>0</v>
      </c>
      <c r="N838" s="1167">
        <f t="shared" si="61"/>
        <v>0</v>
      </c>
      <c r="O838" s="1165"/>
      <c r="Q838" s="317" t="str">
        <f t="shared" si="58"/>
        <v/>
      </c>
      <c r="R838" s="317" t="str">
        <f t="shared" si="59"/>
        <v/>
      </c>
      <c r="S838" s="317" t="str">
        <f t="shared" si="60"/>
        <v/>
      </c>
      <c r="T838" s="317" t="str">
        <f>GLOBAL_DER_FEV_2023!S838</f>
        <v/>
      </c>
      <c r="W838" s="582">
        <v>0</v>
      </c>
      <c r="X838" s="580"/>
      <c r="Y838" s="583">
        <f>IF(GLOBAL_DER_FEV_2023!W838=0,0,IF(GLOBAL_DER_FEV_2023!W838&gt;0,"c","b"))</f>
        <v>0</v>
      </c>
    </row>
    <row r="839" spans="1:25" ht="13.5" hidden="1" thickBot="1" x14ac:dyDescent="0.25">
      <c r="A839" s="640" t="s">
        <v>165</v>
      </c>
      <c r="B839" s="1036" t="str">
        <f>GLOBAL_DER_FEV_2023!B839</f>
        <v/>
      </c>
      <c r="C839" s="1072" t="str">
        <f>GLOBAL_DER_FEV_2023!C839</f>
        <v/>
      </c>
      <c r="D839" s="1141">
        <f>GLOBAL_DER_FEV_2023!D839</f>
        <v>0</v>
      </c>
      <c r="E839" s="907">
        <f>GLOBAL_DER_FEV_2023!E839</f>
        <v>0</v>
      </c>
      <c r="F839" s="908">
        <f>GLOBAL_DER_FEV_2023!F839</f>
        <v>0</v>
      </c>
      <c r="G839" s="912">
        <f>GLOBAL_DER_FEV_2023!G839</f>
        <v>0</v>
      </c>
      <c r="H839" s="901">
        <f>GLOBAL_DER_FEV_2023!H839</f>
        <v>0</v>
      </c>
      <c r="I839" s="901">
        <f>GLOBAL_DER_FEV_2023!I839</f>
        <v>0</v>
      </c>
      <c r="J839" s="890">
        <f>GLOBAL_DER_FEV_2023!J839</f>
        <v>0</v>
      </c>
      <c r="K839" s="903" t="str">
        <f>GLOBAL_DER_FEV_2023!K839</f>
        <v xml:space="preserve">     </v>
      </c>
      <c r="L839" s="1137"/>
      <c r="M839" s="922">
        <f t="shared" si="57"/>
        <v>0</v>
      </c>
      <c r="N839" s="1167">
        <f t="shared" si="61"/>
        <v>0</v>
      </c>
      <c r="O839" s="1165"/>
      <c r="Q839" s="317" t="str">
        <f t="shared" si="58"/>
        <v/>
      </c>
      <c r="R839" s="317" t="str">
        <f t="shared" si="59"/>
        <v/>
      </c>
      <c r="S839" s="317" t="str">
        <f t="shared" si="60"/>
        <v/>
      </c>
      <c r="T839" s="317" t="str">
        <f>GLOBAL_DER_FEV_2023!S839</f>
        <v/>
      </c>
      <c r="W839" s="582">
        <v>0</v>
      </c>
      <c r="X839" s="580"/>
      <c r="Y839" s="583">
        <f>IF(GLOBAL_DER_FEV_2023!W839=0,0,IF(GLOBAL_DER_FEV_2023!W839&gt;0,"c","b"))</f>
        <v>0</v>
      </c>
    </row>
    <row r="840" spans="1:25" ht="13.5" hidden="1" thickBot="1" x14ac:dyDescent="0.25">
      <c r="A840" s="640" t="s">
        <v>165</v>
      </c>
      <c r="B840" s="1036" t="str">
        <f>GLOBAL_DER_FEV_2023!B840</f>
        <v/>
      </c>
      <c r="C840" s="1072" t="str">
        <f>GLOBAL_DER_FEV_2023!C840</f>
        <v/>
      </c>
      <c r="D840" s="1141">
        <f>GLOBAL_DER_FEV_2023!D840</f>
        <v>0</v>
      </c>
      <c r="E840" s="907">
        <f>GLOBAL_DER_FEV_2023!E840</f>
        <v>0</v>
      </c>
      <c r="F840" s="908">
        <f>GLOBAL_DER_FEV_2023!F840</f>
        <v>0</v>
      </c>
      <c r="G840" s="912">
        <f>GLOBAL_DER_FEV_2023!G840</f>
        <v>0</v>
      </c>
      <c r="H840" s="901">
        <f>GLOBAL_DER_FEV_2023!H840</f>
        <v>0</v>
      </c>
      <c r="I840" s="901">
        <f>GLOBAL_DER_FEV_2023!I840</f>
        <v>0</v>
      </c>
      <c r="J840" s="890">
        <f>GLOBAL_DER_FEV_2023!J840</f>
        <v>0</v>
      </c>
      <c r="K840" s="903" t="str">
        <f>GLOBAL_DER_FEV_2023!K840</f>
        <v xml:space="preserve">     </v>
      </c>
      <c r="L840" s="1137"/>
      <c r="M840" s="922">
        <f t="shared" si="57"/>
        <v>0</v>
      </c>
      <c r="N840" s="1167">
        <f t="shared" si="61"/>
        <v>0</v>
      </c>
      <c r="O840" s="1165"/>
      <c r="Q840" s="317" t="str">
        <f t="shared" si="58"/>
        <v/>
      </c>
      <c r="R840" s="317" t="str">
        <f t="shared" si="59"/>
        <v/>
      </c>
      <c r="S840" s="317" t="str">
        <f t="shared" si="60"/>
        <v/>
      </c>
      <c r="T840" s="317" t="str">
        <f>GLOBAL_DER_FEV_2023!S840</f>
        <v/>
      </c>
      <c r="W840" s="582">
        <v>0</v>
      </c>
      <c r="X840" s="580"/>
      <c r="Y840" s="583">
        <f>IF(GLOBAL_DER_FEV_2023!W840=0,0,IF(GLOBAL_DER_FEV_2023!W840&gt;0,"c","b"))</f>
        <v>0</v>
      </c>
    </row>
    <row r="841" spans="1:25" ht="13.5" hidden="1" thickBot="1" x14ac:dyDescent="0.25">
      <c r="A841" s="640" t="s">
        <v>165</v>
      </c>
      <c r="B841" s="1036" t="str">
        <f>GLOBAL_DER_FEV_2023!B841</f>
        <v/>
      </c>
      <c r="C841" s="1072" t="str">
        <f>GLOBAL_DER_FEV_2023!C841</f>
        <v/>
      </c>
      <c r="D841" s="1141">
        <f>GLOBAL_DER_FEV_2023!D841</f>
        <v>0</v>
      </c>
      <c r="E841" s="907">
        <f>GLOBAL_DER_FEV_2023!E841</f>
        <v>0</v>
      </c>
      <c r="F841" s="908">
        <f>GLOBAL_DER_FEV_2023!F841</f>
        <v>0</v>
      </c>
      <c r="G841" s="912">
        <f>GLOBAL_DER_FEV_2023!G841</f>
        <v>0</v>
      </c>
      <c r="H841" s="901">
        <f>GLOBAL_DER_FEV_2023!H841</f>
        <v>0</v>
      </c>
      <c r="I841" s="901">
        <f>GLOBAL_DER_FEV_2023!I841</f>
        <v>0</v>
      </c>
      <c r="J841" s="890">
        <f>GLOBAL_DER_FEV_2023!J841</f>
        <v>0</v>
      </c>
      <c r="K841" s="903" t="str">
        <f>GLOBAL_DER_FEV_2023!K841</f>
        <v xml:space="preserve">     </v>
      </c>
      <c r="L841" s="1137"/>
      <c r="M841" s="922">
        <f t="shared" si="57"/>
        <v>0</v>
      </c>
      <c r="N841" s="1167">
        <f t="shared" si="61"/>
        <v>0</v>
      </c>
      <c r="O841" s="1165"/>
      <c r="Q841" s="317" t="str">
        <f t="shared" si="58"/>
        <v/>
      </c>
      <c r="R841" s="317" t="str">
        <f t="shared" si="59"/>
        <v/>
      </c>
      <c r="S841" s="317" t="str">
        <f t="shared" si="60"/>
        <v/>
      </c>
      <c r="T841" s="317" t="str">
        <f>GLOBAL_DER_FEV_2023!S841</f>
        <v/>
      </c>
      <c r="W841" s="582">
        <v>0</v>
      </c>
      <c r="X841" s="580"/>
      <c r="Y841" s="583">
        <f>IF(GLOBAL_DER_FEV_2023!W841=0,0,IF(GLOBAL_DER_FEV_2023!W841&gt;0,"c","b"))</f>
        <v>0</v>
      </c>
    </row>
    <row r="842" spans="1:25" ht="13.5" hidden="1" thickBot="1" x14ac:dyDescent="0.25">
      <c r="A842" s="640" t="s">
        <v>165</v>
      </c>
      <c r="B842" s="1036" t="str">
        <f>GLOBAL_DER_FEV_2023!B842</f>
        <v/>
      </c>
      <c r="C842" s="1072" t="str">
        <f>GLOBAL_DER_FEV_2023!C842</f>
        <v/>
      </c>
      <c r="D842" s="1141">
        <f>GLOBAL_DER_FEV_2023!D842</f>
        <v>0</v>
      </c>
      <c r="E842" s="907">
        <f>GLOBAL_DER_FEV_2023!E842</f>
        <v>0</v>
      </c>
      <c r="F842" s="908">
        <f>GLOBAL_DER_FEV_2023!F842</f>
        <v>0</v>
      </c>
      <c r="G842" s="912">
        <f>GLOBAL_DER_FEV_2023!G842</f>
        <v>0</v>
      </c>
      <c r="H842" s="901">
        <f>GLOBAL_DER_FEV_2023!H842</f>
        <v>0</v>
      </c>
      <c r="I842" s="901">
        <f>GLOBAL_DER_FEV_2023!I842</f>
        <v>0</v>
      </c>
      <c r="J842" s="890">
        <f>GLOBAL_DER_FEV_2023!J842</f>
        <v>0</v>
      </c>
      <c r="K842" s="903" t="str">
        <f>GLOBAL_DER_FEV_2023!K842</f>
        <v xml:space="preserve">     </v>
      </c>
      <c r="L842" s="1137"/>
      <c r="M842" s="922">
        <f t="shared" si="57"/>
        <v>0</v>
      </c>
      <c r="N842" s="1167">
        <f t="shared" si="61"/>
        <v>0</v>
      </c>
      <c r="O842" s="1165"/>
      <c r="Q842" s="317" t="str">
        <f t="shared" si="58"/>
        <v/>
      </c>
      <c r="R842" s="317" t="str">
        <f t="shared" si="59"/>
        <v/>
      </c>
      <c r="S842" s="317" t="str">
        <f t="shared" si="60"/>
        <v/>
      </c>
      <c r="T842" s="317" t="str">
        <f>GLOBAL_DER_FEV_2023!S842</f>
        <v/>
      </c>
      <c r="W842" s="582">
        <v>0</v>
      </c>
      <c r="X842" s="580"/>
      <c r="Y842" s="583">
        <f>IF(GLOBAL_DER_FEV_2023!W842=0,0,IF(GLOBAL_DER_FEV_2023!W842&gt;0,"c","b"))</f>
        <v>0</v>
      </c>
    </row>
    <row r="843" spans="1:25" ht="13.5" hidden="1" thickBot="1" x14ac:dyDescent="0.25">
      <c r="A843" s="640" t="s">
        <v>165</v>
      </c>
      <c r="B843" s="1036" t="str">
        <f>GLOBAL_DER_FEV_2023!B843</f>
        <v/>
      </c>
      <c r="C843" s="1072" t="str">
        <f>GLOBAL_DER_FEV_2023!C843</f>
        <v/>
      </c>
      <c r="D843" s="1141">
        <f>GLOBAL_DER_FEV_2023!D843</f>
        <v>0</v>
      </c>
      <c r="E843" s="907">
        <f>GLOBAL_DER_FEV_2023!E843</f>
        <v>0</v>
      </c>
      <c r="F843" s="908">
        <f>GLOBAL_DER_FEV_2023!F843</f>
        <v>0</v>
      </c>
      <c r="G843" s="912">
        <f>GLOBAL_DER_FEV_2023!G843</f>
        <v>0</v>
      </c>
      <c r="H843" s="901">
        <f>GLOBAL_DER_FEV_2023!H843</f>
        <v>0</v>
      </c>
      <c r="I843" s="901">
        <f>GLOBAL_DER_FEV_2023!I843</f>
        <v>0</v>
      </c>
      <c r="J843" s="890">
        <f>GLOBAL_DER_FEV_2023!J843</f>
        <v>0</v>
      </c>
      <c r="K843" s="903" t="str">
        <f>GLOBAL_DER_FEV_2023!K843</f>
        <v xml:space="preserve">     </v>
      </c>
      <c r="L843" s="1137"/>
      <c r="M843" s="922">
        <f t="shared" si="57"/>
        <v>0</v>
      </c>
      <c r="N843" s="1167">
        <f t="shared" si="61"/>
        <v>0</v>
      </c>
      <c r="O843" s="1165"/>
      <c r="Q843" s="317" t="str">
        <f t="shared" si="58"/>
        <v/>
      </c>
      <c r="R843" s="317" t="str">
        <f t="shared" si="59"/>
        <v/>
      </c>
      <c r="S843" s="317" t="str">
        <f t="shared" si="60"/>
        <v/>
      </c>
      <c r="T843" s="317" t="str">
        <f>GLOBAL_DER_FEV_2023!S843</f>
        <v/>
      </c>
      <c r="W843" s="582">
        <v>0</v>
      </c>
      <c r="X843" s="580"/>
      <c r="Y843" s="583">
        <f>IF(GLOBAL_DER_FEV_2023!W843=0,0,IF(GLOBAL_DER_FEV_2023!W843&gt;0,"c","b"))</f>
        <v>0</v>
      </c>
    </row>
    <row r="844" spans="1:25" ht="13.5" hidden="1" thickBot="1" x14ac:dyDescent="0.25">
      <c r="A844" s="640" t="s">
        <v>165</v>
      </c>
      <c r="B844" s="1036" t="str">
        <f>GLOBAL_DER_FEV_2023!B844</f>
        <v/>
      </c>
      <c r="C844" s="1072" t="str">
        <f>GLOBAL_DER_FEV_2023!C844</f>
        <v/>
      </c>
      <c r="D844" s="1141">
        <f>GLOBAL_DER_FEV_2023!D844</f>
        <v>0</v>
      </c>
      <c r="E844" s="907">
        <f>GLOBAL_DER_FEV_2023!E844</f>
        <v>0</v>
      </c>
      <c r="F844" s="908">
        <f>GLOBAL_DER_FEV_2023!F844</f>
        <v>0</v>
      </c>
      <c r="G844" s="912">
        <f>GLOBAL_DER_FEV_2023!G844</f>
        <v>0</v>
      </c>
      <c r="H844" s="901">
        <f>GLOBAL_DER_FEV_2023!H844</f>
        <v>0</v>
      </c>
      <c r="I844" s="901">
        <f>GLOBAL_DER_FEV_2023!I844</f>
        <v>0</v>
      </c>
      <c r="J844" s="890">
        <f>GLOBAL_DER_FEV_2023!J844</f>
        <v>0</v>
      </c>
      <c r="K844" s="903" t="str">
        <f>GLOBAL_DER_FEV_2023!K844</f>
        <v xml:space="preserve">     </v>
      </c>
      <c r="L844" s="1137"/>
      <c r="M844" s="922">
        <f t="shared" si="57"/>
        <v>0</v>
      </c>
      <c r="N844" s="1167">
        <f t="shared" si="61"/>
        <v>0</v>
      </c>
      <c r="O844" s="1165"/>
      <c r="Q844" s="317" t="str">
        <f t="shared" si="58"/>
        <v/>
      </c>
      <c r="R844" s="317" t="str">
        <f t="shared" si="59"/>
        <v/>
      </c>
      <c r="S844" s="317" t="str">
        <f t="shared" si="60"/>
        <v/>
      </c>
      <c r="T844" s="317" t="str">
        <f>GLOBAL_DER_FEV_2023!S844</f>
        <v/>
      </c>
      <c r="W844" s="582">
        <v>0</v>
      </c>
      <c r="X844" s="580"/>
      <c r="Y844" s="583">
        <f>IF(GLOBAL_DER_FEV_2023!W844=0,0,IF(GLOBAL_DER_FEV_2023!W844&gt;0,"c","b"))</f>
        <v>0</v>
      </c>
    </row>
    <row r="845" spans="1:25" ht="13.5" hidden="1" thickBot="1" x14ac:dyDescent="0.25">
      <c r="A845" s="640" t="s">
        <v>165</v>
      </c>
      <c r="B845" s="1036" t="str">
        <f>GLOBAL_DER_FEV_2023!B845</f>
        <v/>
      </c>
      <c r="C845" s="1072" t="str">
        <f>GLOBAL_DER_FEV_2023!C845</f>
        <v/>
      </c>
      <c r="D845" s="1141">
        <f>GLOBAL_DER_FEV_2023!D845</f>
        <v>0</v>
      </c>
      <c r="E845" s="907">
        <f>GLOBAL_DER_FEV_2023!E845</f>
        <v>0</v>
      </c>
      <c r="F845" s="908">
        <f>GLOBAL_DER_FEV_2023!F845</f>
        <v>0</v>
      </c>
      <c r="G845" s="912">
        <f>GLOBAL_DER_FEV_2023!G845</f>
        <v>0</v>
      </c>
      <c r="H845" s="901">
        <f>GLOBAL_DER_FEV_2023!H845</f>
        <v>0</v>
      </c>
      <c r="I845" s="901">
        <f>GLOBAL_DER_FEV_2023!I845</f>
        <v>0</v>
      </c>
      <c r="J845" s="890">
        <f>GLOBAL_DER_FEV_2023!J845</f>
        <v>0</v>
      </c>
      <c r="K845" s="903" t="str">
        <f>GLOBAL_DER_FEV_2023!K845</f>
        <v xml:space="preserve">     </v>
      </c>
      <c r="L845" s="1137"/>
      <c r="M845" s="922">
        <f t="shared" si="57"/>
        <v>0</v>
      </c>
      <c r="N845" s="1167">
        <f t="shared" si="61"/>
        <v>0</v>
      </c>
      <c r="O845" s="1165"/>
      <c r="Q845" s="317" t="str">
        <f t="shared" si="58"/>
        <v/>
      </c>
      <c r="R845" s="317" t="str">
        <f t="shared" si="59"/>
        <v/>
      </c>
      <c r="S845" s="317" t="str">
        <f t="shared" si="60"/>
        <v/>
      </c>
      <c r="T845" s="317" t="str">
        <f>GLOBAL_DER_FEV_2023!S845</f>
        <v/>
      </c>
      <c r="W845" s="582">
        <v>0</v>
      </c>
      <c r="X845" s="580"/>
      <c r="Y845" s="583">
        <f>IF(GLOBAL_DER_FEV_2023!W845=0,0,IF(GLOBAL_DER_FEV_2023!W845&gt;0,"c","b"))</f>
        <v>0</v>
      </c>
    </row>
    <row r="846" spans="1:25" ht="13.5" hidden="1" thickBot="1" x14ac:dyDescent="0.25">
      <c r="A846" s="640" t="s">
        <v>165</v>
      </c>
      <c r="B846" s="1036" t="str">
        <f>GLOBAL_DER_FEV_2023!B846</f>
        <v/>
      </c>
      <c r="C846" s="1072" t="str">
        <f>GLOBAL_DER_FEV_2023!C846</f>
        <v/>
      </c>
      <c r="D846" s="1141">
        <f>GLOBAL_DER_FEV_2023!D846</f>
        <v>0</v>
      </c>
      <c r="E846" s="907">
        <f>GLOBAL_DER_FEV_2023!E846</f>
        <v>0</v>
      </c>
      <c r="F846" s="908">
        <f>GLOBAL_DER_FEV_2023!F846</f>
        <v>0</v>
      </c>
      <c r="G846" s="912">
        <f>GLOBAL_DER_FEV_2023!G846</f>
        <v>0</v>
      </c>
      <c r="H846" s="901">
        <f>GLOBAL_DER_FEV_2023!H846</f>
        <v>0</v>
      </c>
      <c r="I846" s="901">
        <f>GLOBAL_DER_FEV_2023!I846</f>
        <v>0</v>
      </c>
      <c r="J846" s="890">
        <f>GLOBAL_DER_FEV_2023!J846</f>
        <v>0</v>
      </c>
      <c r="K846" s="903" t="str">
        <f>GLOBAL_DER_FEV_2023!K846</f>
        <v xml:space="preserve">     </v>
      </c>
      <c r="L846" s="1137"/>
      <c r="M846" s="922">
        <f t="shared" si="57"/>
        <v>0</v>
      </c>
      <c r="N846" s="1167">
        <f t="shared" si="61"/>
        <v>0</v>
      </c>
      <c r="O846" s="1165"/>
      <c r="Q846" s="317" t="str">
        <f t="shared" si="58"/>
        <v/>
      </c>
      <c r="R846" s="317" t="str">
        <f t="shared" si="59"/>
        <v/>
      </c>
      <c r="S846" s="317" t="str">
        <f t="shared" si="60"/>
        <v/>
      </c>
      <c r="T846" s="317" t="str">
        <f>GLOBAL_DER_FEV_2023!S846</f>
        <v/>
      </c>
      <c r="W846" s="582">
        <v>0</v>
      </c>
      <c r="X846" s="580"/>
      <c r="Y846" s="583">
        <f>IF(GLOBAL_DER_FEV_2023!W846=0,0,IF(GLOBAL_DER_FEV_2023!W846&gt;0,"c","b"))</f>
        <v>0</v>
      </c>
    </row>
    <row r="847" spans="1:25" ht="13.5" hidden="1" thickBot="1" x14ac:dyDescent="0.25">
      <c r="A847" s="640" t="s">
        <v>165</v>
      </c>
      <c r="B847" s="1036" t="str">
        <f>GLOBAL_DER_FEV_2023!B847</f>
        <v/>
      </c>
      <c r="C847" s="1072" t="str">
        <f>GLOBAL_DER_FEV_2023!C847</f>
        <v/>
      </c>
      <c r="D847" s="1141">
        <f>GLOBAL_DER_FEV_2023!D847</f>
        <v>0</v>
      </c>
      <c r="E847" s="907">
        <f>GLOBAL_DER_FEV_2023!E847</f>
        <v>0</v>
      </c>
      <c r="F847" s="908">
        <f>GLOBAL_DER_FEV_2023!F847</f>
        <v>0</v>
      </c>
      <c r="G847" s="912">
        <f>GLOBAL_DER_FEV_2023!G847</f>
        <v>0</v>
      </c>
      <c r="H847" s="901">
        <f>GLOBAL_DER_FEV_2023!H847</f>
        <v>0</v>
      </c>
      <c r="I847" s="901">
        <f>GLOBAL_DER_FEV_2023!I847</f>
        <v>0</v>
      </c>
      <c r="J847" s="890">
        <f>GLOBAL_DER_FEV_2023!J847</f>
        <v>0</v>
      </c>
      <c r="K847" s="903" t="str">
        <f>GLOBAL_DER_FEV_2023!K847</f>
        <v xml:space="preserve">     </v>
      </c>
      <c r="L847" s="1137"/>
      <c r="M847" s="922">
        <f t="shared" si="57"/>
        <v>0</v>
      </c>
      <c r="N847" s="1167">
        <f t="shared" si="61"/>
        <v>0</v>
      </c>
      <c r="O847" s="1165"/>
      <c r="Q847" s="317" t="str">
        <f t="shared" si="58"/>
        <v/>
      </c>
      <c r="R847" s="317" t="str">
        <f t="shared" si="59"/>
        <v/>
      </c>
      <c r="S847" s="317" t="str">
        <f t="shared" si="60"/>
        <v/>
      </c>
      <c r="T847" s="317" t="str">
        <f>GLOBAL_DER_FEV_2023!S847</f>
        <v/>
      </c>
      <c r="W847" s="582">
        <v>0</v>
      </c>
      <c r="X847" s="580"/>
      <c r="Y847" s="583">
        <f>IF(GLOBAL_DER_FEV_2023!W847=0,0,IF(GLOBAL_DER_FEV_2023!W847&gt;0,"c","b"))</f>
        <v>0</v>
      </c>
    </row>
    <row r="848" spans="1:25" ht="13.5" hidden="1" thickBot="1" x14ac:dyDescent="0.25">
      <c r="A848" s="640" t="s">
        <v>165</v>
      </c>
      <c r="B848" s="1036" t="str">
        <f>GLOBAL_DER_FEV_2023!B848</f>
        <v/>
      </c>
      <c r="C848" s="1072" t="str">
        <f>GLOBAL_DER_FEV_2023!C848</f>
        <v/>
      </c>
      <c r="D848" s="1141">
        <f>GLOBAL_DER_FEV_2023!D848</f>
        <v>0</v>
      </c>
      <c r="E848" s="907">
        <f>GLOBAL_DER_FEV_2023!E848</f>
        <v>0</v>
      </c>
      <c r="F848" s="908">
        <f>GLOBAL_DER_FEV_2023!F848</f>
        <v>0</v>
      </c>
      <c r="G848" s="912">
        <f>GLOBAL_DER_FEV_2023!G848</f>
        <v>0</v>
      </c>
      <c r="H848" s="901">
        <f>GLOBAL_DER_FEV_2023!H848</f>
        <v>0</v>
      </c>
      <c r="I848" s="901">
        <f>GLOBAL_DER_FEV_2023!I848</f>
        <v>0</v>
      </c>
      <c r="J848" s="890">
        <f>GLOBAL_DER_FEV_2023!J848</f>
        <v>0</v>
      </c>
      <c r="K848" s="903" t="str">
        <f>GLOBAL_DER_FEV_2023!K848</f>
        <v xml:space="preserve">     </v>
      </c>
      <c r="L848" s="1137"/>
      <c r="M848" s="922">
        <f t="shared" si="57"/>
        <v>0</v>
      </c>
      <c r="N848" s="1167">
        <f t="shared" si="61"/>
        <v>0</v>
      </c>
      <c r="O848" s="1165"/>
      <c r="Q848" s="317" t="str">
        <f t="shared" si="58"/>
        <v/>
      </c>
      <c r="R848" s="317" t="str">
        <f t="shared" si="59"/>
        <v/>
      </c>
      <c r="S848" s="317" t="str">
        <f t="shared" si="60"/>
        <v/>
      </c>
      <c r="T848" s="317" t="str">
        <f>GLOBAL_DER_FEV_2023!S848</f>
        <v/>
      </c>
      <c r="W848" s="582">
        <v>0</v>
      </c>
      <c r="X848" s="580"/>
      <c r="Y848" s="583">
        <f>IF(GLOBAL_DER_FEV_2023!W848=0,0,IF(GLOBAL_DER_FEV_2023!W848&gt;0,"c","b"))</f>
        <v>0</v>
      </c>
    </row>
    <row r="849" spans="1:25" ht="13.5" hidden="1" thickBot="1" x14ac:dyDescent="0.25">
      <c r="A849" s="640" t="s">
        <v>165</v>
      </c>
      <c r="B849" s="1036" t="str">
        <f>GLOBAL_DER_FEV_2023!B849</f>
        <v/>
      </c>
      <c r="C849" s="1072" t="str">
        <f>GLOBAL_DER_FEV_2023!C849</f>
        <v/>
      </c>
      <c r="D849" s="1141">
        <f>GLOBAL_DER_FEV_2023!D849</f>
        <v>0</v>
      </c>
      <c r="E849" s="907">
        <f>GLOBAL_DER_FEV_2023!E849</f>
        <v>0</v>
      </c>
      <c r="F849" s="908">
        <f>GLOBAL_DER_FEV_2023!F849</f>
        <v>0</v>
      </c>
      <c r="G849" s="912">
        <f>GLOBAL_DER_FEV_2023!G849</f>
        <v>0</v>
      </c>
      <c r="H849" s="901">
        <f>GLOBAL_DER_FEV_2023!H849</f>
        <v>0</v>
      </c>
      <c r="I849" s="901">
        <f>GLOBAL_DER_FEV_2023!I849</f>
        <v>0</v>
      </c>
      <c r="J849" s="890">
        <f>GLOBAL_DER_FEV_2023!J849</f>
        <v>0</v>
      </c>
      <c r="K849" s="903" t="str">
        <f>GLOBAL_DER_FEV_2023!K849</f>
        <v xml:space="preserve">     </v>
      </c>
      <c r="L849" s="1137"/>
      <c r="M849" s="922">
        <f t="shared" si="57"/>
        <v>0</v>
      </c>
      <c r="N849" s="1167">
        <f t="shared" si="61"/>
        <v>0</v>
      </c>
      <c r="O849" s="1165"/>
      <c r="Q849" s="317" t="str">
        <f t="shared" si="58"/>
        <v/>
      </c>
      <c r="R849" s="317" t="str">
        <f t="shared" si="59"/>
        <v/>
      </c>
      <c r="S849" s="317" t="str">
        <f t="shared" si="60"/>
        <v/>
      </c>
      <c r="T849" s="317" t="str">
        <f>GLOBAL_DER_FEV_2023!S849</f>
        <v/>
      </c>
      <c r="W849" s="582">
        <v>0</v>
      </c>
      <c r="X849" s="580"/>
      <c r="Y849" s="583">
        <f>IF(GLOBAL_DER_FEV_2023!W849=0,0,IF(GLOBAL_DER_FEV_2023!W849&gt;0,"c","b"))</f>
        <v>0</v>
      </c>
    </row>
    <row r="850" spans="1:25" ht="13.5" hidden="1" thickBot="1" x14ac:dyDescent="0.25">
      <c r="A850" s="640" t="s">
        <v>165</v>
      </c>
      <c r="B850" s="1036" t="str">
        <f>GLOBAL_DER_FEV_2023!B850</f>
        <v/>
      </c>
      <c r="C850" s="1072" t="str">
        <f>GLOBAL_DER_FEV_2023!C850</f>
        <v/>
      </c>
      <c r="D850" s="1141">
        <f>GLOBAL_DER_FEV_2023!D850</f>
        <v>0</v>
      </c>
      <c r="E850" s="907">
        <f>GLOBAL_DER_FEV_2023!E850</f>
        <v>0</v>
      </c>
      <c r="F850" s="908">
        <f>GLOBAL_DER_FEV_2023!F850</f>
        <v>0</v>
      </c>
      <c r="G850" s="912">
        <f>GLOBAL_DER_FEV_2023!G850</f>
        <v>0</v>
      </c>
      <c r="H850" s="901">
        <f>GLOBAL_DER_FEV_2023!H850</f>
        <v>0</v>
      </c>
      <c r="I850" s="901">
        <f>GLOBAL_DER_FEV_2023!I850</f>
        <v>0</v>
      </c>
      <c r="J850" s="890">
        <f>GLOBAL_DER_FEV_2023!J850</f>
        <v>0</v>
      </c>
      <c r="K850" s="903" t="str">
        <f>GLOBAL_DER_FEV_2023!K850</f>
        <v xml:space="preserve">     </v>
      </c>
      <c r="L850" s="1137"/>
      <c r="M850" s="922">
        <f t="shared" si="57"/>
        <v>0</v>
      </c>
      <c r="N850" s="1167">
        <f t="shared" si="61"/>
        <v>0</v>
      </c>
      <c r="O850" s="1165"/>
      <c r="Q850" s="317" t="str">
        <f t="shared" si="58"/>
        <v/>
      </c>
      <c r="R850" s="317" t="str">
        <f t="shared" si="59"/>
        <v/>
      </c>
      <c r="S850" s="317" t="str">
        <f t="shared" si="60"/>
        <v/>
      </c>
      <c r="T850" s="317" t="str">
        <f>GLOBAL_DER_FEV_2023!S850</f>
        <v/>
      </c>
      <c r="W850" s="582">
        <v>0</v>
      </c>
      <c r="X850" s="580"/>
      <c r="Y850" s="583">
        <f>IF(GLOBAL_DER_FEV_2023!W850=0,0,IF(GLOBAL_DER_FEV_2023!W850&gt;0,"c","b"))</f>
        <v>0</v>
      </c>
    </row>
    <row r="851" spans="1:25" ht="13.5" hidden="1" thickBot="1" x14ac:dyDescent="0.25">
      <c r="A851" s="640" t="s">
        <v>165</v>
      </c>
      <c r="B851" s="1036" t="str">
        <f>GLOBAL_DER_FEV_2023!B851</f>
        <v/>
      </c>
      <c r="C851" s="1072" t="str">
        <f>GLOBAL_DER_FEV_2023!C851</f>
        <v/>
      </c>
      <c r="D851" s="1141">
        <f>GLOBAL_DER_FEV_2023!D851</f>
        <v>0</v>
      </c>
      <c r="E851" s="907">
        <f>GLOBAL_DER_FEV_2023!E851</f>
        <v>0</v>
      </c>
      <c r="F851" s="908">
        <f>GLOBAL_DER_FEV_2023!F851</f>
        <v>0</v>
      </c>
      <c r="G851" s="912">
        <f>GLOBAL_DER_FEV_2023!G851</f>
        <v>0</v>
      </c>
      <c r="H851" s="901">
        <f>GLOBAL_DER_FEV_2023!H851</f>
        <v>0</v>
      </c>
      <c r="I851" s="901">
        <f>GLOBAL_DER_FEV_2023!I851</f>
        <v>0</v>
      </c>
      <c r="J851" s="890">
        <f>GLOBAL_DER_FEV_2023!J851</f>
        <v>0</v>
      </c>
      <c r="K851" s="903" t="str">
        <f>GLOBAL_DER_FEV_2023!K851</f>
        <v xml:space="preserve">     </v>
      </c>
      <c r="L851" s="1137"/>
      <c r="M851" s="922">
        <f t="shared" si="57"/>
        <v>0</v>
      </c>
      <c r="N851" s="1167">
        <f t="shared" si="61"/>
        <v>0</v>
      </c>
      <c r="O851" s="1165"/>
      <c r="Q851" s="317" t="str">
        <f t="shared" si="58"/>
        <v/>
      </c>
      <c r="R851" s="317" t="str">
        <f t="shared" si="59"/>
        <v/>
      </c>
      <c r="S851" s="317" t="str">
        <f t="shared" si="60"/>
        <v/>
      </c>
      <c r="T851" s="317" t="str">
        <f>GLOBAL_DER_FEV_2023!S851</f>
        <v/>
      </c>
      <c r="W851" s="582">
        <v>0</v>
      </c>
      <c r="X851" s="580"/>
      <c r="Y851" s="583">
        <f>IF(GLOBAL_DER_FEV_2023!W851=0,0,IF(GLOBAL_DER_FEV_2023!W851&gt;0,"c","b"))</f>
        <v>0</v>
      </c>
    </row>
    <row r="852" spans="1:25" ht="13.5" hidden="1" thickBot="1" x14ac:dyDescent="0.25">
      <c r="A852" s="640" t="s">
        <v>165</v>
      </c>
      <c r="B852" s="1036" t="str">
        <f>GLOBAL_DER_FEV_2023!B852</f>
        <v/>
      </c>
      <c r="C852" s="1072" t="str">
        <f>GLOBAL_DER_FEV_2023!C852</f>
        <v/>
      </c>
      <c r="D852" s="1141">
        <f>GLOBAL_DER_FEV_2023!D852</f>
        <v>0</v>
      </c>
      <c r="E852" s="907">
        <f>GLOBAL_DER_FEV_2023!E852</f>
        <v>0</v>
      </c>
      <c r="F852" s="908">
        <f>GLOBAL_DER_FEV_2023!F852</f>
        <v>0</v>
      </c>
      <c r="G852" s="912">
        <f>GLOBAL_DER_FEV_2023!G852</f>
        <v>0</v>
      </c>
      <c r="H852" s="901">
        <f>GLOBAL_DER_FEV_2023!H852</f>
        <v>0</v>
      </c>
      <c r="I852" s="901">
        <f>GLOBAL_DER_FEV_2023!I852</f>
        <v>0</v>
      </c>
      <c r="J852" s="890">
        <f>GLOBAL_DER_FEV_2023!J852</f>
        <v>0</v>
      </c>
      <c r="K852" s="903" t="str">
        <f>GLOBAL_DER_FEV_2023!K852</f>
        <v xml:space="preserve">     </v>
      </c>
      <c r="L852" s="1137"/>
      <c r="M852" s="922">
        <f t="shared" si="57"/>
        <v>0</v>
      </c>
      <c r="N852" s="1167">
        <f t="shared" si="61"/>
        <v>0</v>
      </c>
      <c r="O852" s="1165"/>
      <c r="Q852" s="317" t="str">
        <f t="shared" si="58"/>
        <v/>
      </c>
      <c r="R852" s="317" t="str">
        <f t="shared" si="59"/>
        <v/>
      </c>
      <c r="S852" s="317" t="str">
        <f t="shared" si="60"/>
        <v/>
      </c>
      <c r="T852" s="317" t="str">
        <f>GLOBAL_DER_FEV_2023!S852</f>
        <v/>
      </c>
      <c r="W852" s="582">
        <v>0</v>
      </c>
      <c r="X852" s="580"/>
      <c r="Y852" s="583">
        <f>IF(GLOBAL_DER_FEV_2023!W852=0,0,IF(GLOBAL_DER_FEV_2023!W852&gt;0,"c","b"))</f>
        <v>0</v>
      </c>
    </row>
    <row r="853" spans="1:25" ht="13.5" thickBot="1" x14ac:dyDescent="0.25">
      <c r="A853" s="317" t="s">
        <v>417</v>
      </c>
      <c r="B853" s="950" t="s">
        <v>417</v>
      </c>
      <c r="C853" s="951"/>
      <c r="D853" s="952" t="s">
        <v>436</v>
      </c>
      <c r="E853" s="943">
        <f>GLOBAL_DER_FEV_2023!E853</f>
        <v>0</v>
      </c>
      <c r="F853" s="876"/>
      <c r="G853" s="944"/>
      <c r="H853" s="945">
        <f>GLOBAL_DER_FEV_2023!H853</f>
        <v>0</v>
      </c>
      <c r="I853" s="945">
        <f>GLOBAL_DER_FEV_2023!I853</f>
        <v>0</v>
      </c>
      <c r="J853" s="945">
        <f>GLOBAL_DER_FEV_2023!J853</f>
        <v>0</v>
      </c>
      <c r="K853" s="878" t="s">
        <v>507</v>
      </c>
      <c r="L853" s="879"/>
      <c r="M853" s="880"/>
      <c r="N853" s="881">
        <f t="shared" si="61"/>
        <v>0</v>
      </c>
      <c r="O853" s="882">
        <f>SUM(N854:N912)</f>
        <v>13453.97</v>
      </c>
      <c r="P853" s="58" t="str">
        <f>IF(OR(O853&gt;0,O853&gt;0),"X","")</f>
        <v>X</v>
      </c>
      <c r="Q853" s="317" t="str">
        <f t="shared" si="58"/>
        <v>x</v>
      </c>
      <c r="R853" s="317" t="str">
        <f t="shared" si="59"/>
        <v>x</v>
      </c>
      <c r="S853" s="317" t="str">
        <f t="shared" si="60"/>
        <v>x</v>
      </c>
      <c r="T853" s="317" t="str">
        <f>GLOBAL_DER_FEV_2023!S853</f>
        <v>x</v>
      </c>
      <c r="W853" s="582">
        <v>0</v>
      </c>
      <c r="X853" s="580"/>
      <c r="Y853" s="583">
        <f>IF(GLOBAL_DER_FEV_2023!W853=0,0,IF(GLOBAL_DER_FEV_2023!W853&gt;0,"c","b"))</f>
        <v>0</v>
      </c>
    </row>
    <row r="854" spans="1:25" hidden="1" x14ac:dyDescent="0.2">
      <c r="A854" s="317">
        <v>813000</v>
      </c>
      <c r="B854" s="895">
        <v>813000</v>
      </c>
      <c r="C854" s="896" t="s">
        <v>184</v>
      </c>
      <c r="D854" s="906" t="s">
        <v>533</v>
      </c>
      <c r="E854" s="907">
        <f>GLOBAL_DER_FEV_2023!E854</f>
        <v>0</v>
      </c>
      <c r="F854" s="908">
        <f>GLOBAL_DER_FEV_2023!F854</f>
        <v>0</v>
      </c>
      <c r="G854" s="912">
        <f>GLOBAL_DER_FEV_2023!G854</f>
        <v>16.704728600000003</v>
      </c>
      <c r="H854" s="901">
        <f>GLOBAL_DER_FEV_2023!H854</f>
        <v>102.37</v>
      </c>
      <c r="I854" s="901">
        <f>GLOBAL_DER_FEV_2023!I854</f>
        <v>119.07472860000001</v>
      </c>
      <c r="J854" s="902">
        <f>GLOBAL_DER_FEV_2023!J854</f>
        <v>142.97</v>
      </c>
      <c r="K854" s="903" t="s">
        <v>13</v>
      </c>
      <c r="L854" s="1137"/>
      <c r="M854" s="1138">
        <f t="shared" ref="M854:M912" si="62">IF(L854=0,0,ROUND(J854,2))</f>
        <v>0</v>
      </c>
      <c r="N854" s="893">
        <f t="shared" si="61"/>
        <v>0</v>
      </c>
      <c r="O854" s="905"/>
      <c r="Q854" s="317" t="str">
        <f t="shared" si="58"/>
        <v/>
      </c>
      <c r="R854" s="317" t="str">
        <f t="shared" si="59"/>
        <v/>
      </c>
      <c r="S854" s="317" t="str">
        <f t="shared" si="60"/>
        <v/>
      </c>
      <c r="T854" s="317" t="str">
        <f>GLOBAL_DER_FEV_2023!S854</f>
        <v/>
      </c>
      <c r="W854" s="582">
        <v>0</v>
      </c>
      <c r="X854" s="580"/>
      <c r="Y854" s="583">
        <f>IF(GLOBAL_DER_FEV_2023!W854=0,0,IF(GLOBAL_DER_FEV_2023!W854&gt;0,"c","b"))</f>
        <v>0</v>
      </c>
    </row>
    <row r="855" spans="1:25" hidden="1" x14ac:dyDescent="0.2">
      <c r="A855" s="317" t="s">
        <v>147</v>
      </c>
      <c r="B855" s="895" t="s">
        <v>147</v>
      </c>
      <c r="C855" s="896"/>
      <c r="D855" s="957" t="s">
        <v>190</v>
      </c>
      <c r="E855" s="907">
        <f>GLOBAL_DER_FEV_2023!E855</f>
        <v>308</v>
      </c>
      <c r="F855" s="908">
        <f>GLOBAL_DER_FEV_2023!F855</f>
        <v>1.7600000000000001E-2</v>
      </c>
      <c r="G855" s="909">
        <f>GLOBAL_DER_FEV_2023!G855</f>
        <v>4.365856</v>
      </c>
      <c r="H855" s="901">
        <f>GLOBAL_DER_FEV_2023!H855</f>
        <v>0</v>
      </c>
      <c r="I855" s="901">
        <f>GLOBAL_DER_FEV_2023!I855</f>
        <v>0</v>
      </c>
      <c r="J855" s="902">
        <f>GLOBAL_DER_FEV_2023!J855</f>
        <v>0</v>
      </c>
      <c r="K855" s="958" t="s">
        <v>507</v>
      </c>
      <c r="L855" s="959"/>
      <c r="M855" s="1157">
        <f t="shared" si="62"/>
        <v>0</v>
      </c>
      <c r="N855" s="893">
        <f t="shared" si="61"/>
        <v>0</v>
      </c>
      <c r="O855" s="905"/>
      <c r="P855" s="58" t="str">
        <f>IF(N854&gt;0,"xx",IF(N854&gt;0,"xy",""))</f>
        <v/>
      </c>
      <c r="Q855" s="317" t="str">
        <f t="shared" si="58"/>
        <v/>
      </c>
      <c r="R855" s="317" t="str">
        <f t="shared" si="59"/>
        <v/>
      </c>
      <c r="S855" s="317" t="str">
        <f t="shared" si="60"/>
        <v/>
      </c>
      <c r="T855" s="317" t="str">
        <f>GLOBAL_DER_FEV_2023!S855</f>
        <v/>
      </c>
      <c r="W855" s="582">
        <v>0</v>
      </c>
      <c r="X855" s="580"/>
      <c r="Y855" s="583">
        <f>IF(GLOBAL_DER_FEV_2023!W855=0,0,IF(GLOBAL_DER_FEV_2023!W855&gt;0,"c","b"))</f>
        <v>0</v>
      </c>
    </row>
    <row r="856" spans="1:25" hidden="1" x14ac:dyDescent="0.2">
      <c r="A856" s="317" t="s">
        <v>147</v>
      </c>
      <c r="B856" s="895" t="s">
        <v>147</v>
      </c>
      <c r="C856" s="896"/>
      <c r="D856" s="957" t="s">
        <v>229</v>
      </c>
      <c r="E856" s="907">
        <f>GLOBAL_DER_FEV_2023!E856</f>
        <v>150</v>
      </c>
      <c r="F856" s="908">
        <f>GLOBAL_DER_FEV_2023!F856</f>
        <v>7.3400000000000007E-2</v>
      </c>
      <c r="G856" s="949">
        <f>GLOBAL_DER_FEV_2023!G856</f>
        <v>11.977412000000001</v>
      </c>
      <c r="H856" s="901">
        <f>GLOBAL_DER_FEV_2023!H856</f>
        <v>0</v>
      </c>
      <c r="I856" s="901">
        <f>GLOBAL_DER_FEV_2023!I856</f>
        <v>0</v>
      </c>
      <c r="J856" s="902">
        <f>GLOBAL_DER_FEV_2023!J856</f>
        <v>0</v>
      </c>
      <c r="K856" s="958" t="s">
        <v>507</v>
      </c>
      <c r="L856" s="959"/>
      <c r="M856" s="1157">
        <f t="shared" si="62"/>
        <v>0</v>
      </c>
      <c r="N856" s="893">
        <f t="shared" si="61"/>
        <v>0</v>
      </c>
      <c r="O856" s="905"/>
      <c r="P856" s="58" t="str">
        <f>IF(N854&gt;0,"xx",IF(N854&gt;0,"xy",""))</f>
        <v/>
      </c>
      <c r="Q856" s="317" t="str">
        <f t="shared" si="58"/>
        <v/>
      </c>
      <c r="R856" s="317" t="str">
        <f t="shared" si="59"/>
        <v/>
      </c>
      <c r="S856" s="317" t="str">
        <f t="shared" si="60"/>
        <v/>
      </c>
      <c r="T856" s="317" t="str">
        <f>GLOBAL_DER_FEV_2023!S856</f>
        <v/>
      </c>
      <c r="W856" s="582">
        <v>0</v>
      </c>
      <c r="X856" s="580"/>
      <c r="Y856" s="583">
        <f>IF(GLOBAL_DER_FEV_2023!W856=0,0,IF(GLOBAL_DER_FEV_2023!W856&gt;0,"c","b"))</f>
        <v>0</v>
      </c>
    </row>
    <row r="857" spans="1:25" hidden="1" x14ac:dyDescent="0.2">
      <c r="A857" s="317" t="s">
        <v>147</v>
      </c>
      <c r="B857" s="895" t="s">
        <v>147</v>
      </c>
      <c r="C857" s="896"/>
      <c r="D857" s="957" t="s">
        <v>233</v>
      </c>
      <c r="E857" s="907">
        <f>GLOBAL_DER_FEV_2023!E857</f>
        <v>0.2</v>
      </c>
      <c r="F857" s="908">
        <f>GLOBAL_DER_FEV_2023!F857</f>
        <v>0.1249</v>
      </c>
      <c r="G857" s="949">
        <f>GLOBAL_DER_FEV_2023!G857</f>
        <v>0.36146060000000002</v>
      </c>
      <c r="H857" s="901">
        <f>GLOBAL_DER_FEV_2023!H857</f>
        <v>0</v>
      </c>
      <c r="I857" s="901">
        <f>GLOBAL_DER_FEV_2023!I857</f>
        <v>0</v>
      </c>
      <c r="J857" s="902">
        <f>GLOBAL_DER_FEV_2023!J857</f>
        <v>0</v>
      </c>
      <c r="K857" s="958" t="s">
        <v>507</v>
      </c>
      <c r="L857" s="959"/>
      <c r="M857" s="1157">
        <f t="shared" si="62"/>
        <v>0</v>
      </c>
      <c r="N857" s="893">
        <f t="shared" si="61"/>
        <v>0</v>
      </c>
      <c r="O857" s="905"/>
      <c r="P857" s="58" t="str">
        <f>IF(N854&gt;0,"xx",IF(N854&gt;0,"xy",""))</f>
        <v/>
      </c>
      <c r="Q857" s="317" t="str">
        <f t="shared" si="58"/>
        <v/>
      </c>
      <c r="R857" s="317" t="str">
        <f t="shared" si="59"/>
        <v/>
      </c>
      <c r="S857" s="317" t="str">
        <f t="shared" si="60"/>
        <v/>
      </c>
      <c r="T857" s="317" t="str">
        <f>GLOBAL_DER_FEV_2023!S857</f>
        <v/>
      </c>
      <c r="W857" s="582">
        <v>0</v>
      </c>
      <c r="X857" s="580"/>
      <c r="Y857" s="583">
        <f>IF(GLOBAL_DER_FEV_2023!W857=0,0,IF(GLOBAL_DER_FEV_2023!W857&gt;0,"c","b"))</f>
        <v>0</v>
      </c>
    </row>
    <row r="858" spans="1:25" hidden="1" x14ac:dyDescent="0.2">
      <c r="A858" s="317">
        <v>814000</v>
      </c>
      <c r="B858" s="895">
        <v>814000</v>
      </c>
      <c r="C858" s="896" t="s">
        <v>184</v>
      </c>
      <c r="D858" s="906" t="s">
        <v>534</v>
      </c>
      <c r="E858" s="907">
        <f>GLOBAL_DER_FEV_2023!E858</f>
        <v>0</v>
      </c>
      <c r="F858" s="908">
        <f>GLOBAL_DER_FEV_2023!F858</f>
        <v>0</v>
      </c>
      <c r="G858" s="912">
        <f>GLOBAL_DER_FEV_2023!G858</f>
        <v>16.704728600000003</v>
      </c>
      <c r="H858" s="901">
        <f>GLOBAL_DER_FEV_2023!H858</f>
        <v>101.06</v>
      </c>
      <c r="I858" s="901">
        <f>GLOBAL_DER_FEV_2023!I858</f>
        <v>117.76472860000001</v>
      </c>
      <c r="J858" s="902">
        <f>GLOBAL_DER_FEV_2023!J858</f>
        <v>141.4</v>
      </c>
      <c r="K858" s="903" t="s">
        <v>13</v>
      </c>
      <c r="L858" s="1137"/>
      <c r="M858" s="1138">
        <f t="shared" si="62"/>
        <v>0</v>
      </c>
      <c r="N858" s="893">
        <f t="shared" si="61"/>
        <v>0</v>
      </c>
      <c r="O858" s="905"/>
      <c r="Q858" s="317" t="str">
        <f t="shared" si="58"/>
        <v/>
      </c>
      <c r="R858" s="317" t="str">
        <f t="shared" si="59"/>
        <v/>
      </c>
      <c r="S858" s="317" t="str">
        <f t="shared" si="60"/>
        <v/>
      </c>
      <c r="T858" s="317" t="str">
        <f>GLOBAL_DER_FEV_2023!S858</f>
        <v/>
      </c>
      <c r="W858" s="582">
        <v>0</v>
      </c>
      <c r="X858" s="580"/>
      <c r="Y858" s="583">
        <f>IF(GLOBAL_DER_FEV_2023!W858=0,0,IF(GLOBAL_DER_FEV_2023!W858&gt;0,"c","b"))</f>
        <v>0</v>
      </c>
    </row>
    <row r="859" spans="1:25" hidden="1" x14ac:dyDescent="0.2">
      <c r="A859" s="317" t="s">
        <v>147</v>
      </c>
      <c r="B859" s="895" t="s">
        <v>147</v>
      </c>
      <c r="C859" s="896"/>
      <c r="D859" s="957" t="s">
        <v>190</v>
      </c>
      <c r="E859" s="907">
        <f>GLOBAL_DER_FEV_2023!E859</f>
        <v>308</v>
      </c>
      <c r="F859" s="908">
        <f>GLOBAL_DER_FEV_2023!F859</f>
        <v>1.7600000000000001E-2</v>
      </c>
      <c r="G859" s="909">
        <f>GLOBAL_DER_FEV_2023!G859</f>
        <v>4.365856</v>
      </c>
      <c r="H859" s="901">
        <f>GLOBAL_DER_FEV_2023!H859</f>
        <v>0</v>
      </c>
      <c r="I859" s="901">
        <f>GLOBAL_DER_FEV_2023!I859</f>
        <v>0</v>
      </c>
      <c r="J859" s="902">
        <f>GLOBAL_DER_FEV_2023!J859</f>
        <v>0</v>
      </c>
      <c r="K859" s="958" t="s">
        <v>507</v>
      </c>
      <c r="L859" s="959"/>
      <c r="M859" s="1157">
        <f t="shared" si="62"/>
        <v>0</v>
      </c>
      <c r="N859" s="893">
        <f t="shared" si="61"/>
        <v>0</v>
      </c>
      <c r="O859" s="905"/>
      <c r="P859" s="58" t="str">
        <f>IF(N858&gt;0,"xx",IF(N858&gt;0,"xy",""))</f>
        <v/>
      </c>
      <c r="Q859" s="317" t="str">
        <f t="shared" ref="Q859:Q922" si="63">IF(P859="X","x",IF(P859="xx","x",IF(P859="xy","x",IF(P859="y","x",IF(OR(N859&gt;0,N859&gt;0),"x","")))))</f>
        <v/>
      </c>
      <c r="R859" s="317" t="str">
        <f t="shared" si="59"/>
        <v/>
      </c>
      <c r="S859" s="317" t="str">
        <f t="shared" si="60"/>
        <v/>
      </c>
      <c r="T859" s="317" t="str">
        <f>GLOBAL_DER_FEV_2023!S859</f>
        <v/>
      </c>
      <c r="W859" s="582">
        <v>0</v>
      </c>
      <c r="X859" s="580"/>
      <c r="Y859" s="583">
        <f>IF(GLOBAL_DER_FEV_2023!W859=0,0,IF(GLOBAL_DER_FEV_2023!W859&gt;0,"c","b"))</f>
        <v>0</v>
      </c>
    </row>
    <row r="860" spans="1:25" hidden="1" x14ac:dyDescent="0.2">
      <c r="A860" s="317" t="s">
        <v>147</v>
      </c>
      <c r="B860" s="895" t="s">
        <v>147</v>
      </c>
      <c r="C860" s="896"/>
      <c r="D860" s="957" t="s">
        <v>229</v>
      </c>
      <c r="E860" s="907">
        <f>GLOBAL_DER_FEV_2023!E860</f>
        <v>150</v>
      </c>
      <c r="F860" s="908">
        <f>GLOBAL_DER_FEV_2023!F860</f>
        <v>7.3400000000000007E-2</v>
      </c>
      <c r="G860" s="949">
        <f>GLOBAL_DER_FEV_2023!G860</f>
        <v>11.977412000000001</v>
      </c>
      <c r="H860" s="901">
        <f>GLOBAL_DER_FEV_2023!H860</f>
        <v>0</v>
      </c>
      <c r="I860" s="901">
        <f>GLOBAL_DER_FEV_2023!I860</f>
        <v>0</v>
      </c>
      <c r="J860" s="902">
        <f>GLOBAL_DER_FEV_2023!J860</f>
        <v>0</v>
      </c>
      <c r="K860" s="958" t="s">
        <v>507</v>
      </c>
      <c r="L860" s="959"/>
      <c r="M860" s="1157">
        <f t="shared" si="62"/>
        <v>0</v>
      </c>
      <c r="N860" s="893">
        <f t="shared" si="61"/>
        <v>0</v>
      </c>
      <c r="O860" s="905"/>
      <c r="P860" s="58" t="str">
        <f>IF(N858&gt;0,"xx",IF(N858&gt;0,"xy",""))</f>
        <v/>
      </c>
      <c r="Q860" s="317" t="str">
        <f t="shared" si="63"/>
        <v/>
      </c>
      <c r="R860" s="317" t="str">
        <f t="shared" si="59"/>
        <v/>
      </c>
      <c r="S860" s="317" t="str">
        <f t="shared" si="60"/>
        <v/>
      </c>
      <c r="T860" s="317" t="str">
        <f>GLOBAL_DER_FEV_2023!S860</f>
        <v/>
      </c>
      <c r="W860" s="582">
        <v>0</v>
      </c>
      <c r="X860" s="580"/>
      <c r="Y860" s="583">
        <f>IF(GLOBAL_DER_FEV_2023!W860=0,0,IF(GLOBAL_DER_FEV_2023!W860&gt;0,"c","b"))</f>
        <v>0</v>
      </c>
    </row>
    <row r="861" spans="1:25" hidden="1" x14ac:dyDescent="0.2">
      <c r="A861" s="317" t="s">
        <v>147</v>
      </c>
      <c r="B861" s="895" t="s">
        <v>147</v>
      </c>
      <c r="C861" s="896"/>
      <c r="D861" s="957" t="s">
        <v>233</v>
      </c>
      <c r="E861" s="907">
        <f>GLOBAL_DER_FEV_2023!E861</f>
        <v>0.2</v>
      </c>
      <c r="F861" s="908">
        <f>GLOBAL_DER_FEV_2023!F861</f>
        <v>0.1249</v>
      </c>
      <c r="G861" s="949">
        <f>GLOBAL_DER_FEV_2023!G861</f>
        <v>0.36146060000000002</v>
      </c>
      <c r="H861" s="901">
        <f>GLOBAL_DER_FEV_2023!H861</f>
        <v>0</v>
      </c>
      <c r="I861" s="901">
        <f>GLOBAL_DER_FEV_2023!I861</f>
        <v>0</v>
      </c>
      <c r="J861" s="902">
        <f>GLOBAL_DER_FEV_2023!J861</f>
        <v>0</v>
      </c>
      <c r="K861" s="958" t="s">
        <v>507</v>
      </c>
      <c r="L861" s="959"/>
      <c r="M861" s="1157">
        <f t="shared" si="62"/>
        <v>0</v>
      </c>
      <c r="N861" s="893">
        <f t="shared" si="61"/>
        <v>0</v>
      </c>
      <c r="O861" s="905"/>
      <c r="P861" s="58" t="str">
        <f>IF(N858&gt;0,"xx",IF(N858&gt;0,"xy",""))</f>
        <v/>
      </c>
      <c r="Q861" s="317" t="str">
        <f t="shared" si="63"/>
        <v/>
      </c>
      <c r="R861" s="317" t="str">
        <f t="shared" ref="R861:R924" si="64">IF(P861="X","x",IF(P861="y","x",IF(P861="xx","x",IF(N861&gt;0,"x",""))))</f>
        <v/>
      </c>
      <c r="S861" s="317" t="str">
        <f t="shared" ref="S861:S924" si="65">IF(P861="X","x",IF(N861&gt;0,"x",""))</f>
        <v/>
      </c>
      <c r="T861" s="317" t="str">
        <f>GLOBAL_DER_FEV_2023!S861</f>
        <v/>
      </c>
      <c r="W861" s="582">
        <v>0</v>
      </c>
      <c r="X861" s="580"/>
      <c r="Y861" s="583">
        <f>IF(GLOBAL_DER_FEV_2023!W861=0,0,IF(GLOBAL_DER_FEV_2023!W861&gt;0,"c","b"))</f>
        <v>0</v>
      </c>
    </row>
    <row r="862" spans="1:25" hidden="1" x14ac:dyDescent="0.2">
      <c r="A862" s="317">
        <v>823000</v>
      </c>
      <c r="B862" s="895" t="s">
        <v>1788</v>
      </c>
      <c r="C862" s="896" t="s">
        <v>184</v>
      </c>
      <c r="D862" s="906" t="s">
        <v>267</v>
      </c>
      <c r="E862" s="907">
        <f>GLOBAL_DER_FEV_2023!E862</f>
        <v>0</v>
      </c>
      <c r="F862" s="908">
        <f>GLOBAL_DER_FEV_2023!F862</f>
        <v>0</v>
      </c>
      <c r="G862" s="912">
        <f>GLOBAL_DER_FEV_2023!G862</f>
        <v>0</v>
      </c>
      <c r="H862" s="901">
        <f>GLOBAL_DER_FEV_2023!H862</f>
        <v>490.71</v>
      </c>
      <c r="I862" s="901">
        <f>GLOBAL_DER_FEV_2023!I862</f>
        <v>490.71</v>
      </c>
      <c r="J862" s="902">
        <f>GLOBAL_DER_FEV_2023!J862</f>
        <v>589.20000000000005</v>
      </c>
      <c r="K862" s="903" t="s">
        <v>13</v>
      </c>
      <c r="L862" s="1137"/>
      <c r="M862" s="1138">
        <f t="shared" si="62"/>
        <v>0</v>
      </c>
      <c r="N862" s="893">
        <f t="shared" si="61"/>
        <v>0</v>
      </c>
      <c r="O862" s="905"/>
      <c r="Q862" s="317" t="str">
        <f t="shared" si="63"/>
        <v/>
      </c>
      <c r="R862" s="317" t="str">
        <f t="shared" si="64"/>
        <v/>
      </c>
      <c r="S862" s="317" t="str">
        <f t="shared" si="65"/>
        <v/>
      </c>
      <c r="T862" s="317" t="str">
        <f>GLOBAL_DER_FEV_2023!S862</f>
        <v/>
      </c>
      <c r="W862" s="582">
        <v>0</v>
      </c>
      <c r="X862" s="580"/>
      <c r="Y862" s="583">
        <f>IF(GLOBAL_DER_FEV_2023!W862=0,0,IF(GLOBAL_DER_FEV_2023!W862&gt;0,"c","b"))</f>
        <v>0</v>
      </c>
    </row>
    <row r="863" spans="1:25" hidden="1" x14ac:dyDescent="0.2">
      <c r="A863" s="317">
        <v>871000</v>
      </c>
      <c r="B863" s="895">
        <v>871000</v>
      </c>
      <c r="C863" s="896" t="s">
        <v>184</v>
      </c>
      <c r="D863" s="906" t="s">
        <v>462</v>
      </c>
      <c r="E863" s="907">
        <f>GLOBAL_DER_FEV_2023!E863</f>
        <v>0</v>
      </c>
      <c r="F863" s="908">
        <f>GLOBAL_DER_FEV_2023!F863</f>
        <v>0</v>
      </c>
      <c r="G863" s="912">
        <f>GLOBAL_DER_FEV_2023!G863</f>
        <v>0</v>
      </c>
      <c r="H863" s="901">
        <f>GLOBAL_DER_FEV_2023!H863</f>
        <v>18.28</v>
      </c>
      <c r="I863" s="901">
        <f>GLOBAL_DER_FEV_2023!I863</f>
        <v>18.28</v>
      </c>
      <c r="J863" s="902">
        <f>GLOBAL_DER_FEV_2023!J863</f>
        <v>21.95</v>
      </c>
      <c r="K863" s="903" t="s">
        <v>15</v>
      </c>
      <c r="L863" s="1137"/>
      <c r="M863" s="1138">
        <f t="shared" si="62"/>
        <v>0</v>
      </c>
      <c r="N863" s="893">
        <f t="shared" si="61"/>
        <v>0</v>
      </c>
      <c r="O863" s="905"/>
      <c r="Q863" s="317" t="str">
        <f t="shared" si="63"/>
        <v/>
      </c>
      <c r="R863" s="317" t="str">
        <f t="shared" si="64"/>
        <v/>
      </c>
      <c r="S863" s="317" t="str">
        <f t="shared" si="65"/>
        <v/>
      </c>
      <c r="T863" s="317" t="str">
        <f>GLOBAL_DER_FEV_2023!S863</f>
        <v/>
      </c>
      <c r="W863" s="582">
        <v>0</v>
      </c>
      <c r="X863" s="580"/>
      <c r="Y863" s="583">
        <f>IF(GLOBAL_DER_FEV_2023!W863=0,0,IF(GLOBAL_DER_FEV_2023!W863&gt;0,"c","b"))</f>
        <v>0</v>
      </c>
    </row>
    <row r="864" spans="1:25" hidden="1" x14ac:dyDescent="0.2">
      <c r="A864" s="317">
        <v>870000</v>
      </c>
      <c r="B864" s="895">
        <v>870000</v>
      </c>
      <c r="C864" s="896" t="s">
        <v>184</v>
      </c>
      <c r="D864" s="906" t="s">
        <v>463</v>
      </c>
      <c r="E864" s="907">
        <f>GLOBAL_DER_FEV_2023!E864</f>
        <v>0</v>
      </c>
      <c r="F864" s="908">
        <f>GLOBAL_DER_FEV_2023!F864</f>
        <v>0</v>
      </c>
      <c r="G864" s="912">
        <f>GLOBAL_DER_FEV_2023!G864</f>
        <v>0</v>
      </c>
      <c r="H864" s="901">
        <f>GLOBAL_DER_FEV_2023!H864</f>
        <v>17.63</v>
      </c>
      <c r="I864" s="901">
        <f>GLOBAL_DER_FEV_2023!I864</f>
        <v>17.63</v>
      </c>
      <c r="J864" s="902">
        <f>GLOBAL_DER_FEV_2023!J864</f>
        <v>21.17</v>
      </c>
      <c r="K864" s="903" t="s">
        <v>15</v>
      </c>
      <c r="L864" s="1137"/>
      <c r="M864" s="1138">
        <f t="shared" si="62"/>
        <v>0</v>
      </c>
      <c r="N864" s="893">
        <f t="shared" si="61"/>
        <v>0</v>
      </c>
      <c r="O864" s="905"/>
      <c r="Q864" s="317" t="str">
        <f t="shared" si="63"/>
        <v/>
      </c>
      <c r="R864" s="317" t="str">
        <f t="shared" si="64"/>
        <v/>
      </c>
      <c r="S864" s="317" t="str">
        <f t="shared" si="65"/>
        <v/>
      </c>
      <c r="T864" s="317" t="str">
        <f>GLOBAL_DER_FEV_2023!S864</f>
        <v/>
      </c>
      <c r="W864" s="582">
        <v>0</v>
      </c>
      <c r="X864" s="580"/>
      <c r="Y864" s="583">
        <f>IF(GLOBAL_DER_FEV_2023!W864=0,0,IF(GLOBAL_DER_FEV_2023!W864&gt;0,"c","b"))</f>
        <v>0</v>
      </c>
    </row>
    <row r="865" spans="1:25" hidden="1" x14ac:dyDescent="0.2">
      <c r="A865" s="317">
        <v>873000</v>
      </c>
      <c r="B865" s="895">
        <v>873000</v>
      </c>
      <c r="C865" s="896" t="s">
        <v>184</v>
      </c>
      <c r="D865" s="906" t="s">
        <v>464</v>
      </c>
      <c r="E865" s="907">
        <f>GLOBAL_DER_FEV_2023!E865</f>
        <v>0</v>
      </c>
      <c r="F865" s="908">
        <f>GLOBAL_DER_FEV_2023!F865</f>
        <v>0</v>
      </c>
      <c r="G865" s="912">
        <f>GLOBAL_DER_FEV_2023!G865</f>
        <v>0</v>
      </c>
      <c r="H865" s="901">
        <f>GLOBAL_DER_FEV_2023!H865</f>
        <v>31.82</v>
      </c>
      <c r="I865" s="901">
        <f>GLOBAL_DER_FEV_2023!I865</f>
        <v>31.82</v>
      </c>
      <c r="J865" s="902">
        <f>GLOBAL_DER_FEV_2023!J865</f>
        <v>38.21</v>
      </c>
      <c r="K865" s="903" t="s">
        <v>15</v>
      </c>
      <c r="L865" s="1137"/>
      <c r="M865" s="1138">
        <f t="shared" si="62"/>
        <v>0</v>
      </c>
      <c r="N865" s="893">
        <f t="shared" ref="N865:N928" si="66">IF(ISBLANK(L865),0,IF(W865=0,ROUND(L865*M865,2),IF(W865="b",ROUNDDOWN(L865*M865,2),ROUNDUP(L865*M865,2))))</f>
        <v>0</v>
      </c>
      <c r="O865" s="905"/>
      <c r="Q865" s="317" t="str">
        <f t="shared" si="63"/>
        <v/>
      </c>
      <c r="R865" s="317" t="str">
        <f t="shared" si="64"/>
        <v/>
      </c>
      <c r="S865" s="317" t="str">
        <f t="shared" si="65"/>
        <v/>
      </c>
      <c r="T865" s="317" t="str">
        <f>GLOBAL_DER_FEV_2023!S865</f>
        <v/>
      </c>
      <c r="W865" s="582">
        <v>0</v>
      </c>
      <c r="X865" s="580"/>
      <c r="Y865" s="583">
        <f>IF(GLOBAL_DER_FEV_2023!W865=0,0,IF(GLOBAL_DER_FEV_2023!W865&gt;0,"c","b"))</f>
        <v>0</v>
      </c>
    </row>
    <row r="866" spans="1:25" hidden="1" x14ac:dyDescent="0.2">
      <c r="A866" s="317">
        <v>872000</v>
      </c>
      <c r="B866" s="895">
        <v>872000</v>
      </c>
      <c r="C866" s="896" t="s">
        <v>184</v>
      </c>
      <c r="D866" s="906" t="s">
        <v>465</v>
      </c>
      <c r="E866" s="907">
        <f>GLOBAL_DER_FEV_2023!E866</f>
        <v>0</v>
      </c>
      <c r="F866" s="908">
        <f>GLOBAL_DER_FEV_2023!F866</f>
        <v>0</v>
      </c>
      <c r="G866" s="912">
        <f>GLOBAL_DER_FEV_2023!G866</f>
        <v>0</v>
      </c>
      <c r="H866" s="901">
        <f>GLOBAL_DER_FEV_2023!H866</f>
        <v>31.05</v>
      </c>
      <c r="I866" s="901">
        <f>GLOBAL_DER_FEV_2023!I866</f>
        <v>31.05</v>
      </c>
      <c r="J866" s="902">
        <f>GLOBAL_DER_FEV_2023!J866</f>
        <v>37.28</v>
      </c>
      <c r="K866" s="903" t="s">
        <v>15</v>
      </c>
      <c r="L866" s="1137"/>
      <c r="M866" s="1138">
        <f t="shared" si="62"/>
        <v>0</v>
      </c>
      <c r="N866" s="893">
        <f t="shared" si="66"/>
        <v>0</v>
      </c>
      <c r="O866" s="905"/>
      <c r="Q866" s="317" t="str">
        <f t="shared" si="63"/>
        <v/>
      </c>
      <c r="R866" s="317" t="str">
        <f t="shared" si="64"/>
        <v/>
      </c>
      <c r="S866" s="317" t="str">
        <f t="shared" si="65"/>
        <v/>
      </c>
      <c r="T866" s="317" t="str">
        <f>GLOBAL_DER_FEV_2023!S866</f>
        <v/>
      </c>
      <c r="W866" s="582">
        <v>0</v>
      </c>
      <c r="X866" s="580"/>
      <c r="Y866" s="583">
        <f>IF(GLOBAL_DER_FEV_2023!W866=0,0,IF(GLOBAL_DER_FEV_2023!W866&gt;0,"c","b"))</f>
        <v>0</v>
      </c>
    </row>
    <row r="867" spans="1:25" ht="13.5" thickBot="1" x14ac:dyDescent="0.25">
      <c r="A867" s="317">
        <v>822000</v>
      </c>
      <c r="B867" s="895">
        <v>822000</v>
      </c>
      <c r="C867" s="896" t="s">
        <v>184</v>
      </c>
      <c r="D867" s="906" t="s">
        <v>461</v>
      </c>
      <c r="E867" s="907">
        <f>GLOBAL_DER_FEV_2023!E867</f>
        <v>0</v>
      </c>
      <c r="F867" s="908">
        <f>GLOBAL_DER_FEV_2023!F867</f>
        <v>0</v>
      </c>
      <c r="G867" s="912">
        <f>GLOBAL_DER_FEV_2023!G867</f>
        <v>0</v>
      </c>
      <c r="H867" s="901">
        <f>GLOBAL_DER_FEV_2023!H867</f>
        <v>30.86</v>
      </c>
      <c r="I867" s="901">
        <f>GLOBAL_DER_FEV_2023!I867</f>
        <v>30.86</v>
      </c>
      <c r="J867" s="902">
        <f>GLOBAL_DER_FEV_2023!J867</f>
        <v>37.049999999999997</v>
      </c>
      <c r="K867" s="903" t="s">
        <v>12</v>
      </c>
      <c r="L867" s="1137">
        <v>363.13</v>
      </c>
      <c r="M867" s="1138">
        <f t="shared" si="62"/>
        <v>37.049999999999997</v>
      </c>
      <c r="N867" s="893">
        <f t="shared" si="66"/>
        <v>13453.97</v>
      </c>
      <c r="O867" s="905"/>
      <c r="Q867" s="317" t="str">
        <f t="shared" si="63"/>
        <v>x</v>
      </c>
      <c r="R867" s="317" t="str">
        <f t="shared" si="64"/>
        <v>x</v>
      </c>
      <c r="S867" s="317" t="str">
        <f t="shared" si="65"/>
        <v>x</v>
      </c>
      <c r="T867" s="317" t="str">
        <f>GLOBAL_DER_FEV_2023!S867</f>
        <v>x</v>
      </c>
      <c r="W867" s="582">
        <v>0</v>
      </c>
      <c r="X867" s="580"/>
      <c r="Y867" s="583">
        <f>IF(GLOBAL_DER_FEV_2023!W867=0,0,IF(GLOBAL_DER_FEV_2023!W867&gt;0,"c","b"))</f>
        <v>0</v>
      </c>
    </row>
    <row r="868" spans="1:25" ht="13.5" hidden="1" thickBot="1" x14ac:dyDescent="0.25">
      <c r="A868" s="317">
        <v>820000</v>
      </c>
      <c r="B868" s="895" t="s">
        <v>302</v>
      </c>
      <c r="C868" s="896" t="s">
        <v>184</v>
      </c>
      <c r="D868" s="906" t="s">
        <v>286</v>
      </c>
      <c r="E868" s="907">
        <f>GLOBAL_DER_FEV_2023!E868</f>
        <v>0</v>
      </c>
      <c r="F868" s="908">
        <f>GLOBAL_DER_FEV_2023!F868</f>
        <v>0</v>
      </c>
      <c r="G868" s="912">
        <f>GLOBAL_DER_FEV_2023!G868</f>
        <v>0</v>
      </c>
      <c r="H868" s="901">
        <f>GLOBAL_DER_FEV_2023!H868</f>
        <v>542.29999999999995</v>
      </c>
      <c r="I868" s="901">
        <f>GLOBAL_DER_FEV_2023!I868</f>
        <v>542.29999999999995</v>
      </c>
      <c r="J868" s="902">
        <f>GLOBAL_DER_FEV_2023!J868</f>
        <v>651.14</v>
      </c>
      <c r="K868" s="903" t="s">
        <v>12</v>
      </c>
      <c r="L868" s="1137"/>
      <c r="M868" s="1138">
        <f t="shared" si="62"/>
        <v>0</v>
      </c>
      <c r="N868" s="893">
        <f t="shared" si="66"/>
        <v>0</v>
      </c>
      <c r="O868" s="905"/>
      <c r="Q868" s="317" t="str">
        <f t="shared" si="63"/>
        <v/>
      </c>
      <c r="R868" s="317" t="str">
        <f t="shared" si="64"/>
        <v/>
      </c>
      <c r="S868" s="317" t="str">
        <f t="shared" si="65"/>
        <v/>
      </c>
      <c r="T868" s="317" t="str">
        <f>GLOBAL_DER_FEV_2023!S868</f>
        <v/>
      </c>
      <c r="W868" s="582">
        <v>0</v>
      </c>
      <c r="X868" s="580"/>
      <c r="Y868" s="583">
        <f>IF(GLOBAL_DER_FEV_2023!W868=0,0,IF(GLOBAL_DER_FEV_2023!W868&gt;0,"c","b"))</f>
        <v>0</v>
      </c>
    </row>
    <row r="869" spans="1:25" ht="13.5" hidden="1" thickBot="1" x14ac:dyDescent="0.25">
      <c r="A869" s="317">
        <v>821000</v>
      </c>
      <c r="B869" s="895">
        <v>821000</v>
      </c>
      <c r="C869" s="896" t="s">
        <v>184</v>
      </c>
      <c r="D869" s="906" t="s">
        <v>287</v>
      </c>
      <c r="E869" s="907">
        <f>GLOBAL_DER_FEV_2023!E869</f>
        <v>0</v>
      </c>
      <c r="F869" s="908">
        <f>GLOBAL_DER_FEV_2023!F869</f>
        <v>0</v>
      </c>
      <c r="G869" s="912">
        <f>GLOBAL_DER_FEV_2023!G869</f>
        <v>0</v>
      </c>
      <c r="H869" s="901">
        <f>GLOBAL_DER_FEV_2023!H869</f>
        <v>167.69</v>
      </c>
      <c r="I869" s="901">
        <f>GLOBAL_DER_FEV_2023!I869</f>
        <v>167.69</v>
      </c>
      <c r="J869" s="902">
        <f>GLOBAL_DER_FEV_2023!J869</f>
        <v>201.35</v>
      </c>
      <c r="K869" s="903" t="s">
        <v>15</v>
      </c>
      <c r="L869" s="1137"/>
      <c r="M869" s="1138">
        <f t="shared" si="62"/>
        <v>0</v>
      </c>
      <c r="N869" s="893">
        <f t="shared" si="66"/>
        <v>0</v>
      </c>
      <c r="O869" s="905"/>
      <c r="Q869" s="317" t="str">
        <f t="shared" si="63"/>
        <v/>
      </c>
      <c r="R869" s="317" t="str">
        <f t="shared" si="64"/>
        <v/>
      </c>
      <c r="S869" s="317" t="str">
        <f t="shared" si="65"/>
        <v/>
      </c>
      <c r="T869" s="317" t="str">
        <f>GLOBAL_DER_FEV_2023!S869</f>
        <v/>
      </c>
      <c r="W869" s="582">
        <v>0</v>
      </c>
      <c r="X869" s="580"/>
      <c r="Y869" s="583">
        <f>IF(GLOBAL_DER_FEV_2023!W869=0,0,IF(GLOBAL_DER_FEV_2023!W869&gt;0,"c","b"))</f>
        <v>0</v>
      </c>
    </row>
    <row r="870" spans="1:25" ht="13.5" hidden="1" thickBot="1" x14ac:dyDescent="0.25">
      <c r="A870" s="317">
        <v>821300</v>
      </c>
      <c r="B870" s="895">
        <v>821300</v>
      </c>
      <c r="C870" s="896" t="s">
        <v>184</v>
      </c>
      <c r="D870" s="906" t="s">
        <v>288</v>
      </c>
      <c r="E870" s="907">
        <f>GLOBAL_DER_FEV_2023!E870</f>
        <v>0</v>
      </c>
      <c r="F870" s="908">
        <f>GLOBAL_DER_FEV_2023!F870</f>
        <v>0</v>
      </c>
      <c r="G870" s="912">
        <f>GLOBAL_DER_FEV_2023!G870</f>
        <v>0</v>
      </c>
      <c r="H870" s="901">
        <f>GLOBAL_DER_FEV_2023!H870</f>
        <v>416.52</v>
      </c>
      <c r="I870" s="901">
        <f>GLOBAL_DER_FEV_2023!I870</f>
        <v>416.52</v>
      </c>
      <c r="J870" s="902">
        <f>GLOBAL_DER_FEV_2023!J870</f>
        <v>500.12</v>
      </c>
      <c r="K870" s="903" t="s">
        <v>15</v>
      </c>
      <c r="L870" s="1137"/>
      <c r="M870" s="1138">
        <f t="shared" si="62"/>
        <v>0</v>
      </c>
      <c r="N870" s="893">
        <f t="shared" si="66"/>
        <v>0</v>
      </c>
      <c r="O870" s="905"/>
      <c r="Q870" s="317" t="str">
        <f t="shared" si="63"/>
        <v/>
      </c>
      <c r="R870" s="317" t="str">
        <f t="shared" si="64"/>
        <v/>
      </c>
      <c r="S870" s="317" t="str">
        <f t="shared" si="65"/>
        <v/>
      </c>
      <c r="T870" s="317" t="str">
        <f>GLOBAL_DER_FEV_2023!S870</f>
        <v/>
      </c>
      <c r="W870" s="582">
        <v>0</v>
      </c>
      <c r="X870" s="580"/>
      <c r="Y870" s="583">
        <f>IF(GLOBAL_DER_FEV_2023!W870=0,0,IF(GLOBAL_DER_FEV_2023!W870&gt;0,"c","b"))</f>
        <v>0</v>
      </c>
    </row>
    <row r="871" spans="1:25" ht="13.5" hidden="1" thickBot="1" x14ac:dyDescent="0.25">
      <c r="A871" s="317">
        <v>820000</v>
      </c>
      <c r="B871" s="895" t="s">
        <v>303</v>
      </c>
      <c r="C871" s="896" t="s">
        <v>184</v>
      </c>
      <c r="D871" s="906" t="s">
        <v>289</v>
      </c>
      <c r="E871" s="907">
        <f>GLOBAL_DER_FEV_2023!E871</f>
        <v>0</v>
      </c>
      <c r="F871" s="908">
        <f>GLOBAL_DER_FEV_2023!F871</f>
        <v>0</v>
      </c>
      <c r="G871" s="912">
        <f>GLOBAL_DER_FEV_2023!G871</f>
        <v>0</v>
      </c>
      <c r="H871" s="901">
        <f>GLOBAL_DER_FEV_2023!H871</f>
        <v>542.29999999999995</v>
      </c>
      <c r="I871" s="901">
        <f>GLOBAL_DER_FEV_2023!I871</f>
        <v>460.95499999999993</v>
      </c>
      <c r="J871" s="902">
        <f>GLOBAL_DER_FEV_2023!J871</f>
        <v>553.47</v>
      </c>
      <c r="K871" s="903" t="s">
        <v>15</v>
      </c>
      <c r="L871" s="1137"/>
      <c r="M871" s="1138">
        <f t="shared" si="62"/>
        <v>0</v>
      </c>
      <c r="N871" s="893">
        <f t="shared" si="66"/>
        <v>0</v>
      </c>
      <c r="O871" s="905"/>
      <c r="Q871" s="317" t="str">
        <f t="shared" si="63"/>
        <v/>
      </c>
      <c r="R871" s="317" t="str">
        <f t="shared" si="64"/>
        <v/>
      </c>
      <c r="S871" s="317" t="str">
        <f t="shared" si="65"/>
        <v/>
      </c>
      <c r="T871" s="317" t="str">
        <f>GLOBAL_DER_FEV_2023!S871</f>
        <v/>
      </c>
      <c r="W871" s="582">
        <v>0</v>
      </c>
      <c r="X871" s="580"/>
      <c r="Y871" s="583">
        <f>IF(GLOBAL_DER_FEV_2023!W871=0,0,IF(GLOBAL_DER_FEV_2023!W871&gt;0,"c","b"))</f>
        <v>0</v>
      </c>
    </row>
    <row r="872" spans="1:25" ht="13.5" hidden="1" thickBot="1" x14ac:dyDescent="0.25">
      <c r="A872" s="317">
        <v>820000</v>
      </c>
      <c r="B872" s="895" t="s">
        <v>304</v>
      </c>
      <c r="C872" s="896" t="s">
        <v>184</v>
      </c>
      <c r="D872" s="906" t="s">
        <v>290</v>
      </c>
      <c r="E872" s="907">
        <f>GLOBAL_DER_FEV_2023!E872</f>
        <v>0</v>
      </c>
      <c r="F872" s="908">
        <f>GLOBAL_DER_FEV_2023!F872</f>
        <v>0</v>
      </c>
      <c r="G872" s="912">
        <f>GLOBAL_DER_FEV_2023!G872</f>
        <v>0</v>
      </c>
      <c r="H872" s="901">
        <f>GLOBAL_DER_FEV_2023!H872</f>
        <v>542.29999999999995</v>
      </c>
      <c r="I872" s="901">
        <f>GLOBAL_DER_FEV_2023!I872</f>
        <v>460.95499999999993</v>
      </c>
      <c r="J872" s="902">
        <f>GLOBAL_DER_FEV_2023!J872</f>
        <v>553.47</v>
      </c>
      <c r="K872" s="903" t="s">
        <v>15</v>
      </c>
      <c r="L872" s="1137"/>
      <c r="M872" s="1138">
        <f t="shared" si="62"/>
        <v>0</v>
      </c>
      <c r="N872" s="893">
        <f t="shared" si="66"/>
        <v>0</v>
      </c>
      <c r="O872" s="905"/>
      <c r="Q872" s="317" t="str">
        <f t="shared" si="63"/>
        <v/>
      </c>
      <c r="R872" s="317" t="str">
        <f t="shared" si="64"/>
        <v/>
      </c>
      <c r="S872" s="317" t="str">
        <f t="shared" si="65"/>
        <v/>
      </c>
      <c r="T872" s="317" t="str">
        <f>GLOBAL_DER_FEV_2023!S872</f>
        <v/>
      </c>
      <c r="W872" s="582">
        <v>0</v>
      </c>
      <c r="X872" s="580"/>
      <c r="Y872" s="583">
        <f>IF(GLOBAL_DER_FEV_2023!W872=0,0,IF(GLOBAL_DER_FEV_2023!W872&gt;0,"c","b"))</f>
        <v>0</v>
      </c>
    </row>
    <row r="873" spans="1:25" ht="13.5" hidden="1" thickBot="1" x14ac:dyDescent="0.25">
      <c r="A873" s="317">
        <v>820000</v>
      </c>
      <c r="B873" s="895" t="s">
        <v>305</v>
      </c>
      <c r="C873" s="896" t="s">
        <v>184</v>
      </c>
      <c r="D873" s="906" t="s">
        <v>291</v>
      </c>
      <c r="E873" s="907">
        <f>GLOBAL_DER_FEV_2023!E873</f>
        <v>0</v>
      </c>
      <c r="F873" s="908">
        <f>GLOBAL_DER_FEV_2023!F873</f>
        <v>0</v>
      </c>
      <c r="G873" s="912">
        <f>GLOBAL_DER_FEV_2023!G873</f>
        <v>0</v>
      </c>
      <c r="H873" s="901">
        <f>GLOBAL_DER_FEV_2023!H873</f>
        <v>542.29999999999995</v>
      </c>
      <c r="I873" s="901">
        <f>GLOBAL_DER_FEV_2023!I873</f>
        <v>460.95499999999993</v>
      </c>
      <c r="J873" s="902">
        <f>GLOBAL_DER_FEV_2023!J873</f>
        <v>553.47</v>
      </c>
      <c r="K873" s="903" t="s">
        <v>15</v>
      </c>
      <c r="L873" s="1137"/>
      <c r="M873" s="1138">
        <f t="shared" si="62"/>
        <v>0</v>
      </c>
      <c r="N873" s="893">
        <f t="shared" si="66"/>
        <v>0</v>
      </c>
      <c r="O873" s="905"/>
      <c r="Q873" s="317" t="str">
        <f t="shared" si="63"/>
        <v/>
      </c>
      <c r="R873" s="317" t="str">
        <f t="shared" si="64"/>
        <v/>
      </c>
      <c r="S873" s="317" t="str">
        <f t="shared" si="65"/>
        <v/>
      </c>
      <c r="T873" s="317" t="str">
        <f>GLOBAL_DER_FEV_2023!S873</f>
        <v/>
      </c>
      <c r="W873" s="582">
        <v>0</v>
      </c>
      <c r="X873" s="580"/>
      <c r="Y873" s="583">
        <f>IF(GLOBAL_DER_FEV_2023!W873=0,0,IF(GLOBAL_DER_FEV_2023!W873&gt;0,"c","b"))</f>
        <v>0</v>
      </c>
    </row>
    <row r="874" spans="1:25" ht="13.5" hidden="1" thickBot="1" x14ac:dyDescent="0.25">
      <c r="A874" s="317">
        <v>820000</v>
      </c>
      <c r="B874" s="895" t="s">
        <v>306</v>
      </c>
      <c r="C874" s="896" t="s">
        <v>184</v>
      </c>
      <c r="D874" s="906" t="s">
        <v>292</v>
      </c>
      <c r="E874" s="907">
        <f>GLOBAL_DER_FEV_2023!E874</f>
        <v>0</v>
      </c>
      <c r="F874" s="908">
        <f>GLOBAL_DER_FEV_2023!F874</f>
        <v>0</v>
      </c>
      <c r="G874" s="912">
        <f>GLOBAL_DER_FEV_2023!G874</f>
        <v>0</v>
      </c>
      <c r="H874" s="901">
        <f>GLOBAL_DER_FEV_2023!H874</f>
        <v>542.29999999999995</v>
      </c>
      <c r="I874" s="901">
        <f>GLOBAL_DER_FEV_2023!I874</f>
        <v>460.95499999999993</v>
      </c>
      <c r="J874" s="902">
        <f>GLOBAL_DER_FEV_2023!J874</f>
        <v>553.47</v>
      </c>
      <c r="K874" s="903" t="s">
        <v>15</v>
      </c>
      <c r="L874" s="1137"/>
      <c r="M874" s="1138">
        <f t="shared" si="62"/>
        <v>0</v>
      </c>
      <c r="N874" s="893">
        <f t="shared" si="66"/>
        <v>0</v>
      </c>
      <c r="O874" s="905"/>
      <c r="Q874" s="317" t="str">
        <f t="shared" si="63"/>
        <v/>
      </c>
      <c r="R874" s="317" t="str">
        <f t="shared" si="64"/>
        <v/>
      </c>
      <c r="S874" s="317" t="str">
        <f t="shared" si="65"/>
        <v/>
      </c>
      <c r="T874" s="317" t="str">
        <f>GLOBAL_DER_FEV_2023!S874</f>
        <v/>
      </c>
      <c r="W874" s="582">
        <v>0</v>
      </c>
      <c r="X874" s="580"/>
      <c r="Y874" s="583">
        <f>IF(GLOBAL_DER_FEV_2023!W874=0,0,IF(GLOBAL_DER_FEV_2023!W874&gt;0,"c","b"))</f>
        <v>0</v>
      </c>
    </row>
    <row r="875" spans="1:25" ht="13.5" hidden="1" thickBot="1" x14ac:dyDescent="0.25">
      <c r="A875" s="317">
        <v>820000</v>
      </c>
      <c r="B875" s="895" t="s">
        <v>307</v>
      </c>
      <c r="C875" s="896" t="s">
        <v>184</v>
      </c>
      <c r="D875" s="906" t="s">
        <v>293</v>
      </c>
      <c r="E875" s="907">
        <f>GLOBAL_DER_FEV_2023!E875</f>
        <v>0</v>
      </c>
      <c r="F875" s="908">
        <f>GLOBAL_DER_FEV_2023!F875</f>
        <v>0</v>
      </c>
      <c r="G875" s="912">
        <f>GLOBAL_DER_FEV_2023!G875</f>
        <v>0</v>
      </c>
      <c r="H875" s="901">
        <f>GLOBAL_DER_FEV_2023!H875</f>
        <v>542.29999999999995</v>
      </c>
      <c r="I875" s="901">
        <f>GLOBAL_DER_FEV_2023!I875</f>
        <v>542.29999999999995</v>
      </c>
      <c r="J875" s="902">
        <f>GLOBAL_DER_FEV_2023!J875</f>
        <v>651.14</v>
      </c>
      <c r="K875" s="903" t="s">
        <v>15</v>
      </c>
      <c r="L875" s="1137"/>
      <c r="M875" s="1138">
        <f t="shared" si="62"/>
        <v>0</v>
      </c>
      <c r="N875" s="893">
        <f t="shared" si="66"/>
        <v>0</v>
      </c>
      <c r="O875" s="905"/>
      <c r="Q875" s="317" t="str">
        <f t="shared" si="63"/>
        <v/>
      </c>
      <c r="R875" s="317" t="str">
        <f t="shared" si="64"/>
        <v/>
      </c>
      <c r="S875" s="317" t="str">
        <f t="shared" si="65"/>
        <v/>
      </c>
      <c r="T875" s="317" t="str">
        <f>GLOBAL_DER_FEV_2023!S875</f>
        <v/>
      </c>
      <c r="W875" s="582">
        <v>0</v>
      </c>
      <c r="X875" s="580"/>
      <c r="Y875" s="583">
        <f>IF(GLOBAL_DER_FEV_2023!W875=0,0,IF(GLOBAL_DER_FEV_2023!W875&gt;0,"c","b"))</f>
        <v>0</v>
      </c>
    </row>
    <row r="876" spans="1:25" ht="13.5" hidden="1" thickBot="1" x14ac:dyDescent="0.25">
      <c r="A876" s="317">
        <v>820000</v>
      </c>
      <c r="B876" s="895" t="s">
        <v>308</v>
      </c>
      <c r="C876" s="896" t="s">
        <v>184</v>
      </c>
      <c r="D876" s="906" t="s">
        <v>294</v>
      </c>
      <c r="E876" s="907">
        <f>GLOBAL_DER_FEV_2023!E876</f>
        <v>0</v>
      </c>
      <c r="F876" s="908">
        <f>GLOBAL_DER_FEV_2023!F876</f>
        <v>0</v>
      </c>
      <c r="G876" s="912">
        <f>GLOBAL_DER_FEV_2023!G876</f>
        <v>0</v>
      </c>
      <c r="H876" s="901">
        <f>GLOBAL_DER_FEV_2023!H876</f>
        <v>542.29999999999995</v>
      </c>
      <c r="I876" s="901">
        <f>GLOBAL_DER_FEV_2023!I876</f>
        <v>542.29999999999995</v>
      </c>
      <c r="J876" s="902">
        <f>GLOBAL_DER_FEV_2023!J876</f>
        <v>651.14</v>
      </c>
      <c r="K876" s="903" t="s">
        <v>15</v>
      </c>
      <c r="L876" s="1137"/>
      <c r="M876" s="1138">
        <f t="shared" si="62"/>
        <v>0</v>
      </c>
      <c r="N876" s="893">
        <f t="shared" si="66"/>
        <v>0</v>
      </c>
      <c r="O876" s="905"/>
      <c r="Q876" s="317" t="str">
        <f t="shared" si="63"/>
        <v/>
      </c>
      <c r="R876" s="317" t="str">
        <f t="shared" si="64"/>
        <v/>
      </c>
      <c r="S876" s="317" t="str">
        <f t="shared" si="65"/>
        <v/>
      </c>
      <c r="T876" s="317" t="str">
        <f>GLOBAL_DER_FEV_2023!S876</f>
        <v/>
      </c>
      <c r="W876" s="582">
        <v>0</v>
      </c>
      <c r="X876" s="580"/>
      <c r="Y876" s="583">
        <f>IF(GLOBAL_DER_FEV_2023!W876=0,0,IF(GLOBAL_DER_FEV_2023!W876&gt;0,"c","b"))</f>
        <v>0</v>
      </c>
    </row>
    <row r="877" spans="1:25" ht="13.5" hidden="1" thickBot="1" x14ac:dyDescent="0.25">
      <c r="A877" s="317">
        <v>820000</v>
      </c>
      <c r="B877" s="895" t="s">
        <v>309</v>
      </c>
      <c r="C877" s="896" t="s">
        <v>184</v>
      </c>
      <c r="D877" s="906" t="s">
        <v>295</v>
      </c>
      <c r="E877" s="907">
        <f>GLOBAL_DER_FEV_2023!E877</f>
        <v>0</v>
      </c>
      <c r="F877" s="908">
        <f>GLOBAL_DER_FEV_2023!F877</f>
        <v>0</v>
      </c>
      <c r="G877" s="912">
        <f>GLOBAL_DER_FEV_2023!G877</f>
        <v>0</v>
      </c>
      <c r="H877" s="901">
        <f>GLOBAL_DER_FEV_2023!H877</f>
        <v>542.29999999999995</v>
      </c>
      <c r="I877" s="901">
        <f>GLOBAL_DER_FEV_2023!I877</f>
        <v>542.29999999999995</v>
      </c>
      <c r="J877" s="902">
        <f>GLOBAL_DER_FEV_2023!J877</f>
        <v>651.14</v>
      </c>
      <c r="K877" s="903" t="s">
        <v>15</v>
      </c>
      <c r="L877" s="1137"/>
      <c r="M877" s="1138">
        <f t="shared" si="62"/>
        <v>0</v>
      </c>
      <c r="N877" s="893">
        <f t="shared" si="66"/>
        <v>0</v>
      </c>
      <c r="O877" s="905"/>
      <c r="Q877" s="317" t="str">
        <f t="shared" si="63"/>
        <v/>
      </c>
      <c r="R877" s="317" t="str">
        <f t="shared" si="64"/>
        <v/>
      </c>
      <c r="S877" s="317" t="str">
        <f t="shared" si="65"/>
        <v/>
      </c>
      <c r="T877" s="317" t="str">
        <f>GLOBAL_DER_FEV_2023!S877</f>
        <v/>
      </c>
      <c r="W877" s="582">
        <v>0</v>
      </c>
      <c r="X877" s="580"/>
      <c r="Y877" s="583">
        <f>IF(GLOBAL_DER_FEV_2023!W877=0,0,IF(GLOBAL_DER_FEV_2023!W877&gt;0,"c","b"))</f>
        <v>0</v>
      </c>
    </row>
    <row r="878" spans="1:25" ht="13.5" hidden="1" thickBot="1" x14ac:dyDescent="0.25">
      <c r="A878" s="317">
        <v>820000</v>
      </c>
      <c r="B878" s="895" t="s">
        <v>512</v>
      </c>
      <c r="C878" s="896" t="s">
        <v>184</v>
      </c>
      <c r="D878" s="906" t="s">
        <v>296</v>
      </c>
      <c r="E878" s="907">
        <f>GLOBAL_DER_FEV_2023!E878</f>
        <v>0</v>
      </c>
      <c r="F878" s="908">
        <f>GLOBAL_DER_FEV_2023!F878</f>
        <v>0</v>
      </c>
      <c r="G878" s="912">
        <f>GLOBAL_DER_FEV_2023!G878</f>
        <v>0</v>
      </c>
      <c r="H878" s="901">
        <f>GLOBAL_DER_FEV_2023!H878</f>
        <v>542.29999999999995</v>
      </c>
      <c r="I878" s="901">
        <f>GLOBAL_DER_FEV_2023!I878</f>
        <v>542.29999999999995</v>
      </c>
      <c r="J878" s="902">
        <f>GLOBAL_DER_FEV_2023!J878</f>
        <v>651.14</v>
      </c>
      <c r="K878" s="903" t="s">
        <v>15</v>
      </c>
      <c r="L878" s="1139"/>
      <c r="M878" s="1140">
        <f t="shared" si="62"/>
        <v>0</v>
      </c>
      <c r="N878" s="893">
        <f t="shared" si="66"/>
        <v>0</v>
      </c>
      <c r="O878" s="905"/>
      <c r="Q878" s="317" t="str">
        <f t="shared" si="63"/>
        <v/>
      </c>
      <c r="R878" s="317" t="str">
        <f t="shared" si="64"/>
        <v/>
      </c>
      <c r="S878" s="317" t="str">
        <f t="shared" si="65"/>
        <v/>
      </c>
      <c r="T878" s="317" t="str">
        <f>GLOBAL_DER_FEV_2023!S878</f>
        <v/>
      </c>
      <c r="W878" s="582">
        <v>0</v>
      </c>
      <c r="X878" s="580"/>
      <c r="Y878" s="583">
        <f>IF(GLOBAL_DER_FEV_2023!W878=0,0,IF(GLOBAL_DER_FEV_2023!W878&gt;0,"c","b"))</f>
        <v>0</v>
      </c>
    </row>
    <row r="879" spans="1:25" ht="23.25" hidden="1" thickBot="1" x14ac:dyDescent="0.25">
      <c r="A879" s="317">
        <v>820000</v>
      </c>
      <c r="B879" s="895" t="s">
        <v>1790</v>
      </c>
      <c r="C879" s="896" t="s">
        <v>184</v>
      </c>
      <c r="D879" s="906" t="s">
        <v>529</v>
      </c>
      <c r="E879" s="907">
        <f>GLOBAL_DER_FEV_2023!E879</f>
        <v>0</v>
      </c>
      <c r="F879" s="908">
        <f>GLOBAL_DER_FEV_2023!F879</f>
        <v>0</v>
      </c>
      <c r="G879" s="912">
        <f>GLOBAL_DER_FEV_2023!G879</f>
        <v>0</v>
      </c>
      <c r="H879" s="901">
        <f>GLOBAL_DER_FEV_2023!H879</f>
        <v>542.29999999999995</v>
      </c>
      <c r="I879" s="901">
        <f>GLOBAL_DER_FEV_2023!I879</f>
        <v>542.29999999999995</v>
      </c>
      <c r="J879" s="902">
        <f>GLOBAL_DER_FEV_2023!J879</f>
        <v>651.14</v>
      </c>
      <c r="K879" s="903" t="s">
        <v>15</v>
      </c>
      <c r="L879" s="1139"/>
      <c r="M879" s="1140">
        <f t="shared" si="62"/>
        <v>0</v>
      </c>
      <c r="N879" s="893">
        <f t="shared" si="66"/>
        <v>0</v>
      </c>
      <c r="O879" s="905"/>
      <c r="Q879" s="317" t="str">
        <f t="shared" si="63"/>
        <v/>
      </c>
      <c r="R879" s="317" t="str">
        <f t="shared" si="64"/>
        <v/>
      </c>
      <c r="S879" s="317" t="str">
        <f t="shared" si="65"/>
        <v/>
      </c>
      <c r="T879" s="317" t="str">
        <f>GLOBAL_DER_FEV_2023!S879</f>
        <v/>
      </c>
      <c r="W879" s="582">
        <v>0</v>
      </c>
      <c r="X879" s="580"/>
      <c r="Y879" s="583">
        <f>IF(GLOBAL_DER_FEV_2023!W879=0,0,IF(GLOBAL_DER_FEV_2023!W879&gt;0,"c","b"))</f>
        <v>0</v>
      </c>
    </row>
    <row r="880" spans="1:25" ht="15" hidden="1" customHeight="1" x14ac:dyDescent="0.2">
      <c r="B880" s="1170" t="s">
        <v>165</v>
      </c>
      <c r="C880" s="914"/>
      <c r="D880" s="915" t="s">
        <v>437</v>
      </c>
      <c r="E880" s="916">
        <f>GLOBAL_DER_FEV_2023!E880</f>
        <v>0</v>
      </c>
      <c r="F880" s="917">
        <f>GLOBAL_DER_FEV_2023!F880</f>
        <v>0</v>
      </c>
      <c r="G880" s="918">
        <f>GLOBAL_DER_FEV_2023!G880</f>
        <v>0</v>
      </c>
      <c r="H880" s="919">
        <f>GLOBAL_DER_FEV_2023!H880</f>
        <v>0</v>
      </c>
      <c r="I880" s="919">
        <f>GLOBAL_DER_FEV_2023!I880</f>
        <v>0</v>
      </c>
      <c r="J880" s="919">
        <f>GLOBAL_DER_FEV_2023!J880</f>
        <v>0</v>
      </c>
      <c r="K880" s="920" t="s">
        <v>507</v>
      </c>
      <c r="L880" s="921"/>
      <c r="M880" s="1140">
        <f t="shared" si="62"/>
        <v>0</v>
      </c>
      <c r="N880" s="893">
        <f t="shared" si="66"/>
        <v>0</v>
      </c>
      <c r="O880" s="905"/>
      <c r="P880" s="58" t="str">
        <f>IF(OR(SUM(N881:N912)&gt;0,SUM(N881:N912)&gt;0),"y","")</f>
        <v/>
      </c>
      <c r="Q880" s="317" t="str">
        <f t="shared" si="63"/>
        <v/>
      </c>
      <c r="R880" s="317" t="str">
        <f t="shared" si="64"/>
        <v/>
      </c>
      <c r="S880" s="317" t="str">
        <f t="shared" si="65"/>
        <v/>
      </c>
      <c r="T880" s="317" t="str">
        <f>GLOBAL_DER_FEV_2023!S880</f>
        <v/>
      </c>
      <c r="W880" s="582">
        <v>0</v>
      </c>
      <c r="X880" s="580"/>
      <c r="Y880" s="583">
        <f>IF(GLOBAL_DER_FEV_2023!W880=0,0,IF(GLOBAL_DER_FEV_2023!W880&gt;0,"c","b"))</f>
        <v>0</v>
      </c>
    </row>
    <row r="881" spans="1:25" ht="15" hidden="1" customHeight="1" x14ac:dyDescent="0.2">
      <c r="B881" s="1036" t="str">
        <f>GLOBAL_DER_FEV_2023!B881</f>
        <v/>
      </c>
      <c r="C881" s="1072" t="str">
        <f>GLOBAL_DER_FEV_2023!C881</f>
        <v/>
      </c>
      <c r="D881" s="1141">
        <f>GLOBAL_DER_FEV_2023!D881</f>
        <v>0</v>
      </c>
      <c r="E881" s="907">
        <f>GLOBAL_DER_FEV_2023!E881</f>
        <v>0</v>
      </c>
      <c r="F881" s="908">
        <f>GLOBAL_DER_FEV_2023!F881</f>
        <v>0</v>
      </c>
      <c r="G881" s="912">
        <f>GLOBAL_DER_FEV_2023!G881</f>
        <v>0</v>
      </c>
      <c r="H881" s="901">
        <f>GLOBAL_DER_FEV_2023!H881</f>
        <v>0</v>
      </c>
      <c r="I881" s="901">
        <f>GLOBAL_DER_FEV_2023!I881</f>
        <v>0</v>
      </c>
      <c r="J881" s="902">
        <f>GLOBAL_DER_FEV_2023!J881</f>
        <v>0</v>
      </c>
      <c r="K881" s="903" t="str">
        <f>GLOBAL_DER_FEV_2023!K881</f>
        <v xml:space="preserve">     </v>
      </c>
      <c r="L881" s="1137"/>
      <c r="M881" s="1140">
        <f t="shared" si="62"/>
        <v>0</v>
      </c>
      <c r="N881" s="1166">
        <f t="shared" si="66"/>
        <v>0</v>
      </c>
      <c r="O881" s="1165"/>
      <c r="Q881" s="317" t="str">
        <f t="shared" si="63"/>
        <v/>
      </c>
      <c r="R881" s="317" t="str">
        <f t="shared" si="64"/>
        <v/>
      </c>
      <c r="S881" s="317" t="str">
        <f t="shared" si="65"/>
        <v/>
      </c>
      <c r="T881" s="317" t="str">
        <f>GLOBAL_DER_FEV_2023!S881</f>
        <v/>
      </c>
      <c r="W881" s="582">
        <v>0</v>
      </c>
      <c r="X881" s="580"/>
      <c r="Y881" s="583">
        <f>IF(GLOBAL_DER_FEV_2023!W881=0,0,IF(GLOBAL_DER_FEV_2023!W881&gt;0,"c","b"))</f>
        <v>0</v>
      </c>
    </row>
    <row r="882" spans="1:25" ht="15" hidden="1" customHeight="1" x14ac:dyDescent="0.2">
      <c r="A882" s="640" t="s">
        <v>165</v>
      </c>
      <c r="B882" s="1036" t="str">
        <f>GLOBAL_DER_FEV_2023!B882</f>
        <v/>
      </c>
      <c r="C882" s="1072" t="str">
        <f>GLOBAL_DER_FEV_2023!C882</f>
        <v/>
      </c>
      <c r="D882" s="1141">
        <f>GLOBAL_DER_FEV_2023!D882</f>
        <v>0</v>
      </c>
      <c r="E882" s="907">
        <f>GLOBAL_DER_FEV_2023!E882</f>
        <v>0</v>
      </c>
      <c r="F882" s="908">
        <f>GLOBAL_DER_FEV_2023!F882</f>
        <v>0</v>
      </c>
      <c r="G882" s="912">
        <f>GLOBAL_DER_FEV_2023!G882</f>
        <v>0</v>
      </c>
      <c r="H882" s="901">
        <f>GLOBAL_DER_FEV_2023!H882</f>
        <v>0</v>
      </c>
      <c r="I882" s="901">
        <f>GLOBAL_DER_FEV_2023!I882</f>
        <v>0</v>
      </c>
      <c r="J882" s="890">
        <f>GLOBAL_DER_FEV_2023!J882</f>
        <v>0</v>
      </c>
      <c r="K882" s="903" t="str">
        <f>GLOBAL_DER_FEV_2023!K882</f>
        <v xml:space="preserve">     </v>
      </c>
      <c r="L882" s="1137"/>
      <c r="M882" s="1140">
        <f t="shared" si="62"/>
        <v>0</v>
      </c>
      <c r="N882" s="1167">
        <f t="shared" si="66"/>
        <v>0</v>
      </c>
      <c r="O882" s="1165"/>
      <c r="Q882" s="317" t="str">
        <f t="shared" si="63"/>
        <v/>
      </c>
      <c r="R882" s="317" t="str">
        <f t="shared" si="64"/>
        <v/>
      </c>
      <c r="S882" s="317" t="str">
        <f t="shared" si="65"/>
        <v/>
      </c>
      <c r="T882" s="317" t="str">
        <f>GLOBAL_DER_FEV_2023!S882</f>
        <v/>
      </c>
      <c r="W882" s="582">
        <v>0</v>
      </c>
      <c r="X882" s="580"/>
      <c r="Y882" s="583">
        <f>IF(GLOBAL_DER_FEV_2023!W882=0,0,IF(GLOBAL_DER_FEV_2023!W882&gt;0,"c","b"))</f>
        <v>0</v>
      </c>
    </row>
    <row r="883" spans="1:25" ht="15" hidden="1" customHeight="1" x14ac:dyDescent="0.2">
      <c r="A883" s="640" t="s">
        <v>165</v>
      </c>
      <c r="B883" s="1036" t="str">
        <f>GLOBAL_DER_FEV_2023!B883</f>
        <v/>
      </c>
      <c r="C883" s="1072" t="str">
        <f>GLOBAL_DER_FEV_2023!C883</f>
        <v/>
      </c>
      <c r="D883" s="1141">
        <f>GLOBAL_DER_FEV_2023!D883</f>
        <v>0</v>
      </c>
      <c r="E883" s="907">
        <f>GLOBAL_DER_FEV_2023!E883</f>
        <v>0</v>
      </c>
      <c r="F883" s="908">
        <f>GLOBAL_DER_FEV_2023!F883</f>
        <v>0</v>
      </c>
      <c r="G883" s="912">
        <f>GLOBAL_DER_FEV_2023!G883</f>
        <v>0</v>
      </c>
      <c r="H883" s="901">
        <f>GLOBAL_DER_FEV_2023!H883</f>
        <v>0</v>
      </c>
      <c r="I883" s="901">
        <f>GLOBAL_DER_FEV_2023!I883</f>
        <v>0</v>
      </c>
      <c r="J883" s="890">
        <f>GLOBAL_DER_FEV_2023!J883</f>
        <v>0</v>
      </c>
      <c r="K883" s="903" t="str">
        <f>GLOBAL_DER_FEV_2023!K883</f>
        <v xml:space="preserve">     </v>
      </c>
      <c r="L883" s="1137"/>
      <c r="M883" s="1140">
        <f t="shared" si="62"/>
        <v>0</v>
      </c>
      <c r="N883" s="1167">
        <f t="shared" si="66"/>
        <v>0</v>
      </c>
      <c r="O883" s="1165"/>
      <c r="Q883" s="317" t="str">
        <f t="shared" si="63"/>
        <v/>
      </c>
      <c r="R883" s="317" t="str">
        <f t="shared" si="64"/>
        <v/>
      </c>
      <c r="S883" s="317" t="str">
        <f t="shared" si="65"/>
        <v/>
      </c>
      <c r="T883" s="317" t="str">
        <f>GLOBAL_DER_FEV_2023!S883</f>
        <v/>
      </c>
      <c r="W883" s="582">
        <v>0</v>
      </c>
      <c r="X883" s="580"/>
      <c r="Y883" s="583">
        <f>IF(GLOBAL_DER_FEV_2023!W883=0,0,IF(GLOBAL_DER_FEV_2023!W883&gt;0,"c","b"))</f>
        <v>0</v>
      </c>
    </row>
    <row r="884" spans="1:25" ht="15" hidden="1" customHeight="1" x14ac:dyDescent="0.2">
      <c r="A884" s="640" t="s">
        <v>165</v>
      </c>
      <c r="B884" s="1036" t="str">
        <f>GLOBAL_DER_FEV_2023!B884</f>
        <v/>
      </c>
      <c r="C884" s="1072" t="str">
        <f>GLOBAL_DER_FEV_2023!C884</f>
        <v/>
      </c>
      <c r="D884" s="1141">
        <f>GLOBAL_DER_FEV_2023!D884</f>
        <v>0</v>
      </c>
      <c r="E884" s="907">
        <f>GLOBAL_DER_FEV_2023!E884</f>
        <v>0</v>
      </c>
      <c r="F884" s="908">
        <f>GLOBAL_DER_FEV_2023!F884</f>
        <v>0</v>
      </c>
      <c r="G884" s="912">
        <f>GLOBAL_DER_FEV_2023!G884</f>
        <v>0</v>
      </c>
      <c r="H884" s="901">
        <f>GLOBAL_DER_FEV_2023!H884</f>
        <v>0</v>
      </c>
      <c r="I884" s="901">
        <f>GLOBAL_DER_FEV_2023!I884</f>
        <v>0</v>
      </c>
      <c r="J884" s="890">
        <f>GLOBAL_DER_FEV_2023!J884</f>
        <v>0</v>
      </c>
      <c r="K884" s="903" t="str">
        <f>GLOBAL_DER_FEV_2023!K884</f>
        <v xml:space="preserve">     </v>
      </c>
      <c r="L884" s="1137"/>
      <c r="M884" s="1140">
        <f t="shared" si="62"/>
        <v>0</v>
      </c>
      <c r="N884" s="1167">
        <f t="shared" si="66"/>
        <v>0</v>
      </c>
      <c r="O884" s="1165"/>
      <c r="Q884" s="317" t="str">
        <f t="shared" si="63"/>
        <v/>
      </c>
      <c r="R884" s="317" t="str">
        <f t="shared" si="64"/>
        <v/>
      </c>
      <c r="S884" s="317" t="str">
        <f t="shared" si="65"/>
        <v/>
      </c>
      <c r="T884" s="317" t="str">
        <f>GLOBAL_DER_FEV_2023!S884</f>
        <v/>
      </c>
      <c r="W884" s="582">
        <v>0</v>
      </c>
      <c r="X884" s="580"/>
      <c r="Y884" s="583">
        <f>IF(GLOBAL_DER_FEV_2023!W884=0,0,IF(GLOBAL_DER_FEV_2023!W884&gt;0,"c","b"))</f>
        <v>0</v>
      </c>
    </row>
    <row r="885" spans="1:25" ht="15" hidden="1" customHeight="1" x14ac:dyDescent="0.2">
      <c r="A885" s="640" t="s">
        <v>165</v>
      </c>
      <c r="B885" s="1036" t="str">
        <f>GLOBAL_DER_FEV_2023!B885</f>
        <v/>
      </c>
      <c r="C885" s="1072" t="str">
        <f>GLOBAL_DER_FEV_2023!C885</f>
        <v/>
      </c>
      <c r="D885" s="1141">
        <f>GLOBAL_DER_FEV_2023!D885</f>
        <v>0</v>
      </c>
      <c r="E885" s="907">
        <f>GLOBAL_DER_FEV_2023!E885</f>
        <v>0</v>
      </c>
      <c r="F885" s="908">
        <f>GLOBAL_DER_FEV_2023!F885</f>
        <v>0</v>
      </c>
      <c r="G885" s="912">
        <f>GLOBAL_DER_FEV_2023!G885</f>
        <v>0</v>
      </c>
      <c r="H885" s="901">
        <f>GLOBAL_DER_FEV_2023!H885</f>
        <v>0</v>
      </c>
      <c r="I885" s="901">
        <f>GLOBAL_DER_FEV_2023!I885</f>
        <v>0</v>
      </c>
      <c r="J885" s="890">
        <f>GLOBAL_DER_FEV_2023!J885</f>
        <v>0</v>
      </c>
      <c r="K885" s="903" t="str">
        <f>GLOBAL_DER_FEV_2023!K885</f>
        <v xml:space="preserve">     </v>
      </c>
      <c r="L885" s="1137"/>
      <c r="M885" s="1140">
        <f t="shared" si="62"/>
        <v>0</v>
      </c>
      <c r="N885" s="1167">
        <f t="shared" si="66"/>
        <v>0</v>
      </c>
      <c r="O885" s="1165"/>
      <c r="Q885" s="317" t="str">
        <f t="shared" si="63"/>
        <v/>
      </c>
      <c r="R885" s="317" t="str">
        <f t="shared" si="64"/>
        <v/>
      </c>
      <c r="S885" s="317" t="str">
        <f t="shared" si="65"/>
        <v/>
      </c>
      <c r="T885" s="317" t="str">
        <f>GLOBAL_DER_FEV_2023!S885</f>
        <v/>
      </c>
      <c r="W885" s="582">
        <v>0</v>
      </c>
      <c r="X885" s="580"/>
      <c r="Y885" s="583">
        <f>IF(GLOBAL_DER_FEV_2023!W885=0,0,IF(GLOBAL_DER_FEV_2023!W885&gt;0,"c","b"))</f>
        <v>0</v>
      </c>
    </row>
    <row r="886" spans="1:25" ht="15" hidden="1" customHeight="1" x14ac:dyDescent="0.2">
      <c r="A886" s="640" t="s">
        <v>165</v>
      </c>
      <c r="B886" s="1036" t="str">
        <f>GLOBAL_DER_FEV_2023!B886</f>
        <v/>
      </c>
      <c r="C886" s="1072" t="str">
        <f>GLOBAL_DER_FEV_2023!C886</f>
        <v/>
      </c>
      <c r="D886" s="1141">
        <f>GLOBAL_DER_FEV_2023!D886</f>
        <v>0</v>
      </c>
      <c r="E886" s="907">
        <f>GLOBAL_DER_FEV_2023!E886</f>
        <v>0</v>
      </c>
      <c r="F886" s="908">
        <f>GLOBAL_DER_FEV_2023!F886</f>
        <v>0</v>
      </c>
      <c r="G886" s="912">
        <f>GLOBAL_DER_FEV_2023!G886</f>
        <v>0</v>
      </c>
      <c r="H886" s="901">
        <f>GLOBAL_DER_FEV_2023!H886</f>
        <v>0</v>
      </c>
      <c r="I886" s="901">
        <f>GLOBAL_DER_FEV_2023!I886</f>
        <v>0</v>
      </c>
      <c r="J886" s="890">
        <f>GLOBAL_DER_FEV_2023!J886</f>
        <v>0</v>
      </c>
      <c r="K886" s="903" t="str">
        <f>GLOBAL_DER_FEV_2023!K886</f>
        <v xml:space="preserve">     </v>
      </c>
      <c r="L886" s="1137"/>
      <c r="M886" s="1140">
        <f t="shared" si="62"/>
        <v>0</v>
      </c>
      <c r="N886" s="1167">
        <f t="shared" si="66"/>
        <v>0</v>
      </c>
      <c r="O886" s="1165"/>
      <c r="Q886" s="317" t="str">
        <f t="shared" si="63"/>
        <v/>
      </c>
      <c r="R886" s="317" t="str">
        <f t="shared" si="64"/>
        <v/>
      </c>
      <c r="S886" s="317" t="str">
        <f t="shared" si="65"/>
        <v/>
      </c>
      <c r="T886" s="317" t="str">
        <f>GLOBAL_DER_FEV_2023!S886</f>
        <v/>
      </c>
      <c r="W886" s="582">
        <v>0</v>
      </c>
      <c r="X886" s="580"/>
      <c r="Y886" s="583">
        <f>IF(GLOBAL_DER_FEV_2023!W886=0,0,IF(GLOBAL_DER_FEV_2023!W886&gt;0,"c","b"))</f>
        <v>0</v>
      </c>
    </row>
    <row r="887" spans="1:25" ht="15" hidden="1" customHeight="1" x14ac:dyDescent="0.2">
      <c r="A887" s="640" t="s">
        <v>165</v>
      </c>
      <c r="B887" s="1036" t="str">
        <f>GLOBAL_DER_FEV_2023!B887</f>
        <v/>
      </c>
      <c r="C887" s="1072" t="str">
        <f>GLOBAL_DER_FEV_2023!C887</f>
        <v/>
      </c>
      <c r="D887" s="1141">
        <f>GLOBAL_DER_FEV_2023!D887</f>
        <v>0</v>
      </c>
      <c r="E887" s="907">
        <f>GLOBAL_DER_FEV_2023!E887</f>
        <v>0</v>
      </c>
      <c r="F887" s="908">
        <f>GLOBAL_DER_FEV_2023!F887</f>
        <v>0</v>
      </c>
      <c r="G887" s="912">
        <f>GLOBAL_DER_FEV_2023!G887</f>
        <v>0</v>
      </c>
      <c r="H887" s="901">
        <f>GLOBAL_DER_FEV_2023!H887</f>
        <v>0</v>
      </c>
      <c r="I887" s="901">
        <f>GLOBAL_DER_FEV_2023!I887</f>
        <v>0</v>
      </c>
      <c r="J887" s="890">
        <f>GLOBAL_DER_FEV_2023!J887</f>
        <v>0</v>
      </c>
      <c r="K887" s="903" t="str">
        <f>GLOBAL_DER_FEV_2023!K887</f>
        <v xml:space="preserve">     </v>
      </c>
      <c r="L887" s="1137"/>
      <c r="M887" s="1140">
        <f t="shared" si="62"/>
        <v>0</v>
      </c>
      <c r="N887" s="1167">
        <f t="shared" si="66"/>
        <v>0</v>
      </c>
      <c r="O887" s="1165"/>
      <c r="Q887" s="317" t="str">
        <f t="shared" si="63"/>
        <v/>
      </c>
      <c r="R887" s="317" t="str">
        <f t="shared" si="64"/>
        <v/>
      </c>
      <c r="S887" s="317" t="str">
        <f t="shared" si="65"/>
        <v/>
      </c>
      <c r="T887" s="317" t="str">
        <f>GLOBAL_DER_FEV_2023!S887</f>
        <v/>
      </c>
      <c r="W887" s="582">
        <v>0</v>
      </c>
      <c r="X887" s="580"/>
      <c r="Y887" s="583">
        <f>IF(GLOBAL_DER_FEV_2023!W887=0,0,IF(GLOBAL_DER_FEV_2023!W887&gt;0,"c","b"))</f>
        <v>0</v>
      </c>
    </row>
    <row r="888" spans="1:25" ht="15" hidden="1" customHeight="1" x14ac:dyDescent="0.2">
      <c r="A888" s="640" t="s">
        <v>165</v>
      </c>
      <c r="B888" s="1036" t="str">
        <f>GLOBAL_DER_FEV_2023!B888</f>
        <v/>
      </c>
      <c r="C888" s="1072" t="str">
        <f>GLOBAL_DER_FEV_2023!C888</f>
        <v/>
      </c>
      <c r="D888" s="1141">
        <f>GLOBAL_DER_FEV_2023!D888</f>
        <v>0</v>
      </c>
      <c r="E888" s="907">
        <f>GLOBAL_DER_FEV_2023!E888</f>
        <v>0</v>
      </c>
      <c r="F888" s="908">
        <f>GLOBAL_DER_FEV_2023!F888</f>
        <v>0</v>
      </c>
      <c r="G888" s="912">
        <f>GLOBAL_DER_FEV_2023!G888</f>
        <v>0</v>
      </c>
      <c r="H888" s="901">
        <f>GLOBAL_DER_FEV_2023!H888</f>
        <v>0</v>
      </c>
      <c r="I888" s="901">
        <f>GLOBAL_DER_FEV_2023!I888</f>
        <v>0</v>
      </c>
      <c r="J888" s="890">
        <f>GLOBAL_DER_FEV_2023!J888</f>
        <v>0</v>
      </c>
      <c r="K888" s="903" t="str">
        <f>GLOBAL_DER_FEV_2023!K888</f>
        <v xml:space="preserve">     </v>
      </c>
      <c r="L888" s="1137"/>
      <c r="M888" s="1140">
        <f t="shared" si="62"/>
        <v>0</v>
      </c>
      <c r="N888" s="1167">
        <f t="shared" si="66"/>
        <v>0</v>
      </c>
      <c r="O888" s="1165"/>
      <c r="Q888" s="317" t="str">
        <f t="shared" si="63"/>
        <v/>
      </c>
      <c r="R888" s="317" t="str">
        <f t="shared" si="64"/>
        <v/>
      </c>
      <c r="S888" s="317" t="str">
        <f t="shared" si="65"/>
        <v/>
      </c>
      <c r="T888" s="317" t="str">
        <f>GLOBAL_DER_FEV_2023!S888</f>
        <v/>
      </c>
      <c r="W888" s="582">
        <v>0</v>
      </c>
      <c r="X888" s="580"/>
      <c r="Y888" s="583">
        <f>IF(GLOBAL_DER_FEV_2023!W888=0,0,IF(GLOBAL_DER_FEV_2023!W888&gt;0,"c","b"))</f>
        <v>0</v>
      </c>
    </row>
    <row r="889" spans="1:25" ht="15" hidden="1" customHeight="1" x14ac:dyDescent="0.2">
      <c r="A889" s="640" t="s">
        <v>165</v>
      </c>
      <c r="B889" s="1036" t="str">
        <f>GLOBAL_DER_FEV_2023!B889</f>
        <v/>
      </c>
      <c r="C889" s="1072" t="str">
        <f>GLOBAL_DER_FEV_2023!C889</f>
        <v/>
      </c>
      <c r="D889" s="1141">
        <f>GLOBAL_DER_FEV_2023!D889</f>
        <v>0</v>
      </c>
      <c r="E889" s="907">
        <f>GLOBAL_DER_FEV_2023!E889</f>
        <v>0</v>
      </c>
      <c r="F889" s="908">
        <f>GLOBAL_DER_FEV_2023!F889</f>
        <v>0</v>
      </c>
      <c r="G889" s="912">
        <f>GLOBAL_DER_FEV_2023!G889</f>
        <v>0</v>
      </c>
      <c r="H889" s="901">
        <f>GLOBAL_DER_FEV_2023!H889</f>
        <v>0</v>
      </c>
      <c r="I889" s="901">
        <f>GLOBAL_DER_FEV_2023!I889</f>
        <v>0</v>
      </c>
      <c r="J889" s="890">
        <f>GLOBAL_DER_FEV_2023!J889</f>
        <v>0</v>
      </c>
      <c r="K889" s="903" t="str">
        <f>GLOBAL_DER_FEV_2023!K889</f>
        <v xml:space="preserve">     </v>
      </c>
      <c r="L889" s="1137"/>
      <c r="M889" s="1140">
        <f t="shared" si="62"/>
        <v>0</v>
      </c>
      <c r="N889" s="1167">
        <f t="shared" si="66"/>
        <v>0</v>
      </c>
      <c r="O889" s="1165"/>
      <c r="Q889" s="317" t="str">
        <f t="shared" si="63"/>
        <v/>
      </c>
      <c r="R889" s="317" t="str">
        <f t="shared" si="64"/>
        <v/>
      </c>
      <c r="S889" s="317" t="str">
        <f t="shared" si="65"/>
        <v/>
      </c>
      <c r="T889" s="317" t="str">
        <f>GLOBAL_DER_FEV_2023!S889</f>
        <v/>
      </c>
      <c r="W889" s="582">
        <v>0</v>
      </c>
      <c r="X889" s="580"/>
      <c r="Y889" s="583">
        <f>IF(GLOBAL_DER_FEV_2023!W889=0,0,IF(GLOBAL_DER_FEV_2023!W889&gt;0,"c","b"))</f>
        <v>0</v>
      </c>
    </row>
    <row r="890" spans="1:25" ht="15" hidden="1" customHeight="1" x14ac:dyDescent="0.2">
      <c r="A890" s="640" t="s">
        <v>165</v>
      </c>
      <c r="B890" s="1036" t="str">
        <f>GLOBAL_DER_FEV_2023!B890</f>
        <v/>
      </c>
      <c r="C890" s="1072" t="str">
        <f>GLOBAL_DER_FEV_2023!C890</f>
        <v/>
      </c>
      <c r="D890" s="1141">
        <f>GLOBAL_DER_FEV_2023!D890</f>
        <v>0</v>
      </c>
      <c r="E890" s="907">
        <f>GLOBAL_DER_FEV_2023!E890</f>
        <v>0</v>
      </c>
      <c r="F890" s="908">
        <f>GLOBAL_DER_FEV_2023!F890</f>
        <v>0</v>
      </c>
      <c r="G890" s="912">
        <f>GLOBAL_DER_FEV_2023!G890</f>
        <v>0</v>
      </c>
      <c r="H890" s="901">
        <f>GLOBAL_DER_FEV_2023!H890</f>
        <v>0</v>
      </c>
      <c r="I890" s="901">
        <f>GLOBAL_DER_FEV_2023!I890</f>
        <v>0</v>
      </c>
      <c r="J890" s="890">
        <f>GLOBAL_DER_FEV_2023!J890</f>
        <v>0</v>
      </c>
      <c r="K890" s="903" t="str">
        <f>GLOBAL_DER_FEV_2023!K890</f>
        <v xml:space="preserve">     </v>
      </c>
      <c r="L890" s="1137"/>
      <c r="M890" s="1140">
        <f t="shared" si="62"/>
        <v>0</v>
      </c>
      <c r="N890" s="1167">
        <f t="shared" si="66"/>
        <v>0</v>
      </c>
      <c r="O890" s="1165"/>
      <c r="Q890" s="317" t="str">
        <f t="shared" si="63"/>
        <v/>
      </c>
      <c r="R890" s="317" t="str">
        <f t="shared" si="64"/>
        <v/>
      </c>
      <c r="S890" s="317" t="str">
        <f t="shared" si="65"/>
        <v/>
      </c>
      <c r="T890" s="317" t="str">
        <f>GLOBAL_DER_FEV_2023!S890</f>
        <v/>
      </c>
      <c r="W890" s="582">
        <v>0</v>
      </c>
      <c r="X890" s="580"/>
      <c r="Y890" s="583">
        <f>IF(GLOBAL_DER_FEV_2023!W890=0,0,IF(GLOBAL_DER_FEV_2023!W890&gt;0,"c","b"))</f>
        <v>0</v>
      </c>
    </row>
    <row r="891" spans="1:25" ht="15" hidden="1" customHeight="1" x14ac:dyDescent="0.2">
      <c r="A891" s="640" t="s">
        <v>165</v>
      </c>
      <c r="B891" s="1036" t="str">
        <f>GLOBAL_DER_FEV_2023!B891</f>
        <v/>
      </c>
      <c r="C891" s="1072" t="str">
        <f>GLOBAL_DER_FEV_2023!C891</f>
        <v/>
      </c>
      <c r="D891" s="1141">
        <f>GLOBAL_DER_FEV_2023!D891</f>
        <v>0</v>
      </c>
      <c r="E891" s="907">
        <f>GLOBAL_DER_FEV_2023!E891</f>
        <v>0</v>
      </c>
      <c r="F891" s="908">
        <f>GLOBAL_DER_FEV_2023!F891</f>
        <v>0</v>
      </c>
      <c r="G891" s="912">
        <f>GLOBAL_DER_FEV_2023!G891</f>
        <v>0</v>
      </c>
      <c r="H891" s="901">
        <f>GLOBAL_DER_FEV_2023!H891</f>
        <v>0</v>
      </c>
      <c r="I891" s="901">
        <f>GLOBAL_DER_FEV_2023!I891</f>
        <v>0</v>
      </c>
      <c r="J891" s="890">
        <f>GLOBAL_DER_FEV_2023!J891</f>
        <v>0</v>
      </c>
      <c r="K891" s="903" t="str">
        <f>GLOBAL_DER_FEV_2023!K891</f>
        <v xml:space="preserve">     </v>
      </c>
      <c r="L891" s="1137"/>
      <c r="M891" s="1140">
        <f t="shared" si="62"/>
        <v>0</v>
      </c>
      <c r="N891" s="1167">
        <f t="shared" si="66"/>
        <v>0</v>
      </c>
      <c r="O891" s="1165"/>
      <c r="Q891" s="317" t="str">
        <f t="shared" si="63"/>
        <v/>
      </c>
      <c r="R891" s="317" t="str">
        <f t="shared" si="64"/>
        <v/>
      </c>
      <c r="S891" s="317" t="str">
        <f t="shared" si="65"/>
        <v/>
      </c>
      <c r="T891" s="317" t="str">
        <f>GLOBAL_DER_FEV_2023!S891</f>
        <v/>
      </c>
      <c r="W891" s="582">
        <v>0</v>
      </c>
      <c r="X891" s="580"/>
      <c r="Y891" s="583">
        <f>IF(GLOBAL_DER_FEV_2023!W891=0,0,IF(GLOBAL_DER_FEV_2023!W891&gt;0,"c","b"))</f>
        <v>0</v>
      </c>
    </row>
    <row r="892" spans="1:25" ht="15" hidden="1" customHeight="1" x14ac:dyDescent="0.2">
      <c r="A892" s="640" t="s">
        <v>165</v>
      </c>
      <c r="B892" s="1036" t="str">
        <f>GLOBAL_DER_FEV_2023!B892</f>
        <v/>
      </c>
      <c r="C892" s="1072" t="str">
        <f>GLOBAL_DER_FEV_2023!C892</f>
        <v/>
      </c>
      <c r="D892" s="1141">
        <f>GLOBAL_DER_FEV_2023!D892</f>
        <v>0</v>
      </c>
      <c r="E892" s="907">
        <f>GLOBAL_DER_FEV_2023!E892</f>
        <v>0</v>
      </c>
      <c r="F892" s="908">
        <f>GLOBAL_DER_FEV_2023!F892</f>
        <v>0</v>
      </c>
      <c r="G892" s="912">
        <f>GLOBAL_DER_FEV_2023!G892</f>
        <v>0</v>
      </c>
      <c r="H892" s="901">
        <f>GLOBAL_DER_FEV_2023!H892</f>
        <v>0</v>
      </c>
      <c r="I892" s="901">
        <f>GLOBAL_DER_FEV_2023!I892</f>
        <v>0</v>
      </c>
      <c r="J892" s="890">
        <f>GLOBAL_DER_FEV_2023!J892</f>
        <v>0</v>
      </c>
      <c r="K892" s="903" t="str">
        <f>GLOBAL_DER_FEV_2023!K892</f>
        <v xml:space="preserve">     </v>
      </c>
      <c r="L892" s="1137"/>
      <c r="M892" s="1140">
        <f t="shared" si="62"/>
        <v>0</v>
      </c>
      <c r="N892" s="1167">
        <f t="shared" si="66"/>
        <v>0</v>
      </c>
      <c r="O892" s="1165"/>
      <c r="Q892" s="317" t="str">
        <f t="shared" si="63"/>
        <v/>
      </c>
      <c r="R892" s="317" t="str">
        <f t="shared" si="64"/>
        <v/>
      </c>
      <c r="S892" s="317" t="str">
        <f t="shared" si="65"/>
        <v/>
      </c>
      <c r="T892" s="317" t="str">
        <f>GLOBAL_DER_FEV_2023!S892</f>
        <v/>
      </c>
      <c r="W892" s="582">
        <v>0</v>
      </c>
      <c r="X892" s="580"/>
      <c r="Y892" s="583">
        <f>IF(GLOBAL_DER_FEV_2023!W892=0,0,IF(GLOBAL_DER_FEV_2023!W892&gt;0,"c","b"))</f>
        <v>0</v>
      </c>
    </row>
    <row r="893" spans="1:25" ht="15" hidden="1" customHeight="1" x14ac:dyDescent="0.2">
      <c r="A893" s="640" t="s">
        <v>165</v>
      </c>
      <c r="B893" s="1036" t="str">
        <f>GLOBAL_DER_FEV_2023!B893</f>
        <v/>
      </c>
      <c r="C893" s="1072" t="str">
        <f>GLOBAL_DER_FEV_2023!C893</f>
        <v/>
      </c>
      <c r="D893" s="1141">
        <f>GLOBAL_DER_FEV_2023!D893</f>
        <v>0</v>
      </c>
      <c r="E893" s="907">
        <f>GLOBAL_DER_FEV_2023!E893</f>
        <v>0</v>
      </c>
      <c r="F893" s="908">
        <f>GLOBAL_DER_FEV_2023!F893</f>
        <v>0</v>
      </c>
      <c r="G893" s="912">
        <f>GLOBAL_DER_FEV_2023!G893</f>
        <v>0</v>
      </c>
      <c r="H893" s="901">
        <f>GLOBAL_DER_FEV_2023!H893</f>
        <v>0</v>
      </c>
      <c r="I893" s="901">
        <f>GLOBAL_DER_FEV_2023!I893</f>
        <v>0</v>
      </c>
      <c r="J893" s="890">
        <f>GLOBAL_DER_FEV_2023!J893</f>
        <v>0</v>
      </c>
      <c r="K893" s="903" t="str">
        <f>GLOBAL_DER_FEV_2023!K893</f>
        <v xml:space="preserve">     </v>
      </c>
      <c r="L893" s="1137"/>
      <c r="M893" s="1140">
        <f t="shared" si="62"/>
        <v>0</v>
      </c>
      <c r="N893" s="1167">
        <f t="shared" si="66"/>
        <v>0</v>
      </c>
      <c r="O893" s="1165"/>
      <c r="Q893" s="317" t="str">
        <f t="shared" si="63"/>
        <v/>
      </c>
      <c r="R893" s="317" t="str">
        <f t="shared" si="64"/>
        <v/>
      </c>
      <c r="S893" s="317" t="str">
        <f t="shared" si="65"/>
        <v/>
      </c>
      <c r="T893" s="317" t="str">
        <f>GLOBAL_DER_FEV_2023!S893</f>
        <v/>
      </c>
      <c r="W893" s="582">
        <v>0</v>
      </c>
      <c r="X893" s="580"/>
      <c r="Y893" s="583">
        <f>IF(GLOBAL_DER_FEV_2023!W893=0,0,IF(GLOBAL_DER_FEV_2023!W893&gt;0,"c","b"))</f>
        <v>0</v>
      </c>
    </row>
    <row r="894" spans="1:25" ht="15" hidden="1" customHeight="1" x14ac:dyDescent="0.2">
      <c r="A894" s="640" t="s">
        <v>165</v>
      </c>
      <c r="B894" s="1036" t="str">
        <f>GLOBAL_DER_FEV_2023!B894</f>
        <v/>
      </c>
      <c r="C894" s="1072" t="str">
        <f>GLOBAL_DER_FEV_2023!C894</f>
        <v/>
      </c>
      <c r="D894" s="1141">
        <f>GLOBAL_DER_FEV_2023!D894</f>
        <v>0</v>
      </c>
      <c r="E894" s="907">
        <f>GLOBAL_DER_FEV_2023!E894</f>
        <v>0</v>
      </c>
      <c r="F894" s="908">
        <f>GLOBAL_DER_FEV_2023!F894</f>
        <v>0</v>
      </c>
      <c r="G894" s="912">
        <f>GLOBAL_DER_FEV_2023!G894</f>
        <v>0</v>
      </c>
      <c r="H894" s="901">
        <f>GLOBAL_DER_FEV_2023!H894</f>
        <v>0</v>
      </c>
      <c r="I894" s="901">
        <f>GLOBAL_DER_FEV_2023!I894</f>
        <v>0</v>
      </c>
      <c r="J894" s="890">
        <f>GLOBAL_DER_FEV_2023!J894</f>
        <v>0</v>
      </c>
      <c r="K894" s="903" t="str">
        <f>GLOBAL_DER_FEV_2023!K894</f>
        <v xml:space="preserve">     </v>
      </c>
      <c r="L894" s="1137"/>
      <c r="M894" s="1140">
        <f t="shared" si="62"/>
        <v>0</v>
      </c>
      <c r="N894" s="1167">
        <f t="shared" si="66"/>
        <v>0</v>
      </c>
      <c r="O894" s="1165"/>
      <c r="Q894" s="317" t="str">
        <f t="shared" si="63"/>
        <v/>
      </c>
      <c r="R894" s="317" t="str">
        <f t="shared" si="64"/>
        <v/>
      </c>
      <c r="S894" s="317" t="str">
        <f t="shared" si="65"/>
        <v/>
      </c>
      <c r="T894" s="317" t="str">
        <f>GLOBAL_DER_FEV_2023!S894</f>
        <v/>
      </c>
      <c r="W894" s="582">
        <v>0</v>
      </c>
      <c r="X894" s="580"/>
      <c r="Y894" s="583">
        <f>IF(GLOBAL_DER_FEV_2023!W894=0,0,IF(GLOBAL_DER_FEV_2023!W894&gt;0,"c","b"))</f>
        <v>0</v>
      </c>
    </row>
    <row r="895" spans="1:25" ht="15" hidden="1" customHeight="1" x14ac:dyDescent="0.2">
      <c r="A895" s="640" t="s">
        <v>165</v>
      </c>
      <c r="B895" s="1036" t="str">
        <f>GLOBAL_DER_FEV_2023!B895</f>
        <v/>
      </c>
      <c r="C895" s="1072" t="str">
        <f>GLOBAL_DER_FEV_2023!C895</f>
        <v/>
      </c>
      <c r="D895" s="1141">
        <f>GLOBAL_DER_FEV_2023!D895</f>
        <v>0</v>
      </c>
      <c r="E895" s="907">
        <f>GLOBAL_DER_FEV_2023!E895</f>
        <v>0</v>
      </c>
      <c r="F895" s="908">
        <f>GLOBAL_DER_FEV_2023!F895</f>
        <v>0</v>
      </c>
      <c r="G895" s="912">
        <f>GLOBAL_DER_FEV_2023!G895</f>
        <v>0</v>
      </c>
      <c r="H895" s="901">
        <f>GLOBAL_DER_FEV_2023!H895</f>
        <v>0</v>
      </c>
      <c r="I895" s="901">
        <f>GLOBAL_DER_FEV_2023!I895</f>
        <v>0</v>
      </c>
      <c r="J895" s="890">
        <f>GLOBAL_DER_FEV_2023!J895</f>
        <v>0</v>
      </c>
      <c r="K895" s="903" t="str">
        <f>GLOBAL_DER_FEV_2023!K895</f>
        <v xml:space="preserve">     </v>
      </c>
      <c r="L895" s="1137"/>
      <c r="M895" s="1140">
        <f t="shared" si="62"/>
        <v>0</v>
      </c>
      <c r="N895" s="1167">
        <f t="shared" si="66"/>
        <v>0</v>
      </c>
      <c r="O895" s="1165"/>
      <c r="Q895" s="317" t="str">
        <f t="shared" si="63"/>
        <v/>
      </c>
      <c r="R895" s="317" t="str">
        <f t="shared" si="64"/>
        <v/>
      </c>
      <c r="S895" s="317" t="str">
        <f t="shared" si="65"/>
        <v/>
      </c>
      <c r="T895" s="317" t="str">
        <f>GLOBAL_DER_FEV_2023!S895</f>
        <v/>
      </c>
      <c r="W895" s="582">
        <v>0</v>
      </c>
      <c r="X895" s="580"/>
      <c r="Y895" s="583">
        <f>IF(GLOBAL_DER_FEV_2023!W895=0,0,IF(GLOBAL_DER_FEV_2023!W895&gt;0,"c","b"))</f>
        <v>0</v>
      </c>
    </row>
    <row r="896" spans="1:25" ht="15" hidden="1" customHeight="1" x14ac:dyDescent="0.2">
      <c r="A896" s="640" t="s">
        <v>165</v>
      </c>
      <c r="B896" s="1036" t="str">
        <f>GLOBAL_DER_FEV_2023!B896</f>
        <v/>
      </c>
      <c r="C896" s="1072" t="str">
        <f>GLOBAL_DER_FEV_2023!C896</f>
        <v/>
      </c>
      <c r="D896" s="1141">
        <f>GLOBAL_DER_FEV_2023!D896</f>
        <v>0</v>
      </c>
      <c r="E896" s="907">
        <f>GLOBAL_DER_FEV_2023!E896</f>
        <v>0</v>
      </c>
      <c r="F896" s="908">
        <f>GLOBAL_DER_FEV_2023!F896</f>
        <v>0</v>
      </c>
      <c r="G896" s="912">
        <f>GLOBAL_DER_FEV_2023!G896</f>
        <v>0</v>
      </c>
      <c r="H896" s="901">
        <f>GLOBAL_DER_FEV_2023!H896</f>
        <v>0</v>
      </c>
      <c r="I896" s="901">
        <f>GLOBAL_DER_FEV_2023!I896</f>
        <v>0</v>
      </c>
      <c r="J896" s="890">
        <f>GLOBAL_DER_FEV_2023!J896</f>
        <v>0</v>
      </c>
      <c r="K896" s="903" t="str">
        <f>GLOBAL_DER_FEV_2023!K896</f>
        <v xml:space="preserve">     </v>
      </c>
      <c r="L896" s="1137"/>
      <c r="M896" s="1140">
        <f t="shared" si="62"/>
        <v>0</v>
      </c>
      <c r="N896" s="1167">
        <f t="shared" si="66"/>
        <v>0</v>
      </c>
      <c r="O896" s="1165"/>
      <c r="Q896" s="317" t="str">
        <f t="shared" si="63"/>
        <v/>
      </c>
      <c r="R896" s="317" t="str">
        <f t="shared" si="64"/>
        <v/>
      </c>
      <c r="S896" s="317" t="str">
        <f t="shared" si="65"/>
        <v/>
      </c>
      <c r="T896" s="317" t="str">
        <f>GLOBAL_DER_FEV_2023!S896</f>
        <v/>
      </c>
      <c r="W896" s="582">
        <v>0</v>
      </c>
      <c r="X896" s="580"/>
      <c r="Y896" s="583">
        <f>IF(GLOBAL_DER_FEV_2023!W896=0,0,IF(GLOBAL_DER_FEV_2023!W896&gt;0,"c","b"))</f>
        <v>0</v>
      </c>
    </row>
    <row r="897" spans="1:25" ht="15" hidden="1" customHeight="1" x14ac:dyDescent="0.2">
      <c r="A897" s="640" t="s">
        <v>165</v>
      </c>
      <c r="B897" s="1036" t="str">
        <f>GLOBAL_DER_FEV_2023!B897</f>
        <v/>
      </c>
      <c r="C897" s="1072" t="str">
        <f>GLOBAL_DER_FEV_2023!C897</f>
        <v/>
      </c>
      <c r="D897" s="1141">
        <f>GLOBAL_DER_FEV_2023!D897</f>
        <v>0</v>
      </c>
      <c r="E897" s="907">
        <f>GLOBAL_DER_FEV_2023!E897</f>
        <v>0</v>
      </c>
      <c r="F897" s="908">
        <f>GLOBAL_DER_FEV_2023!F897</f>
        <v>0</v>
      </c>
      <c r="G897" s="912">
        <f>GLOBAL_DER_FEV_2023!G897</f>
        <v>0</v>
      </c>
      <c r="H897" s="901">
        <f>GLOBAL_DER_FEV_2023!H897</f>
        <v>0</v>
      </c>
      <c r="I897" s="901">
        <f>GLOBAL_DER_FEV_2023!I897</f>
        <v>0</v>
      </c>
      <c r="J897" s="890">
        <f>GLOBAL_DER_FEV_2023!J897</f>
        <v>0</v>
      </c>
      <c r="K897" s="903" t="str">
        <f>GLOBAL_DER_FEV_2023!K897</f>
        <v xml:space="preserve">     </v>
      </c>
      <c r="L897" s="1137"/>
      <c r="M897" s="1140">
        <f t="shared" si="62"/>
        <v>0</v>
      </c>
      <c r="N897" s="1167">
        <f t="shared" si="66"/>
        <v>0</v>
      </c>
      <c r="O897" s="1165"/>
      <c r="Q897" s="317" t="str">
        <f t="shared" si="63"/>
        <v/>
      </c>
      <c r="R897" s="317" t="str">
        <f t="shared" si="64"/>
        <v/>
      </c>
      <c r="S897" s="317" t="str">
        <f t="shared" si="65"/>
        <v/>
      </c>
      <c r="T897" s="317" t="str">
        <f>GLOBAL_DER_FEV_2023!S897</f>
        <v/>
      </c>
      <c r="W897" s="582">
        <v>0</v>
      </c>
      <c r="X897" s="580"/>
      <c r="Y897" s="583">
        <f>IF(GLOBAL_DER_FEV_2023!W897=0,0,IF(GLOBAL_DER_FEV_2023!W897&gt;0,"c","b"))</f>
        <v>0</v>
      </c>
    </row>
    <row r="898" spans="1:25" ht="15" hidden="1" customHeight="1" x14ac:dyDescent="0.2">
      <c r="A898" s="640" t="s">
        <v>165</v>
      </c>
      <c r="B898" s="1036" t="str">
        <f>GLOBAL_DER_FEV_2023!B898</f>
        <v/>
      </c>
      <c r="C898" s="1072" t="str">
        <f>GLOBAL_DER_FEV_2023!C898</f>
        <v/>
      </c>
      <c r="D898" s="1141">
        <f>GLOBAL_DER_FEV_2023!D898</f>
        <v>0</v>
      </c>
      <c r="E898" s="907">
        <f>GLOBAL_DER_FEV_2023!E898</f>
        <v>0</v>
      </c>
      <c r="F898" s="908">
        <f>GLOBAL_DER_FEV_2023!F898</f>
        <v>0</v>
      </c>
      <c r="G898" s="912">
        <f>GLOBAL_DER_FEV_2023!G898</f>
        <v>0</v>
      </c>
      <c r="H898" s="901">
        <f>GLOBAL_DER_FEV_2023!H898</f>
        <v>0</v>
      </c>
      <c r="I898" s="901">
        <f>GLOBAL_DER_FEV_2023!I898</f>
        <v>0</v>
      </c>
      <c r="J898" s="890">
        <f>GLOBAL_DER_FEV_2023!J898</f>
        <v>0</v>
      </c>
      <c r="K898" s="903" t="str">
        <f>GLOBAL_DER_FEV_2023!K898</f>
        <v xml:space="preserve">     </v>
      </c>
      <c r="L898" s="1137"/>
      <c r="M898" s="1140">
        <f t="shared" si="62"/>
        <v>0</v>
      </c>
      <c r="N898" s="1167">
        <f t="shared" si="66"/>
        <v>0</v>
      </c>
      <c r="O898" s="1165"/>
      <c r="Q898" s="317" t="str">
        <f t="shared" si="63"/>
        <v/>
      </c>
      <c r="R898" s="317" t="str">
        <f t="shared" si="64"/>
        <v/>
      </c>
      <c r="S898" s="317" t="str">
        <f t="shared" si="65"/>
        <v/>
      </c>
      <c r="T898" s="317" t="str">
        <f>GLOBAL_DER_FEV_2023!S898</f>
        <v/>
      </c>
      <c r="W898" s="582">
        <v>0</v>
      </c>
      <c r="X898" s="580"/>
      <c r="Y898" s="583">
        <f>IF(GLOBAL_DER_FEV_2023!W898=0,0,IF(GLOBAL_DER_FEV_2023!W898&gt;0,"c","b"))</f>
        <v>0</v>
      </c>
    </row>
    <row r="899" spans="1:25" ht="15" hidden="1" customHeight="1" x14ac:dyDescent="0.2">
      <c r="A899" s="640" t="s">
        <v>165</v>
      </c>
      <c r="B899" s="1036" t="str">
        <f>GLOBAL_DER_FEV_2023!B899</f>
        <v/>
      </c>
      <c r="C899" s="1072" t="str">
        <f>GLOBAL_DER_FEV_2023!C899</f>
        <v/>
      </c>
      <c r="D899" s="1141">
        <f>GLOBAL_DER_FEV_2023!D899</f>
        <v>0</v>
      </c>
      <c r="E899" s="907">
        <f>GLOBAL_DER_FEV_2023!E899</f>
        <v>0</v>
      </c>
      <c r="F899" s="908">
        <f>GLOBAL_DER_FEV_2023!F899</f>
        <v>0</v>
      </c>
      <c r="G899" s="912">
        <f>GLOBAL_DER_FEV_2023!G899</f>
        <v>0</v>
      </c>
      <c r="H899" s="901">
        <f>GLOBAL_DER_FEV_2023!H899</f>
        <v>0</v>
      </c>
      <c r="I899" s="901">
        <f>GLOBAL_DER_FEV_2023!I899</f>
        <v>0</v>
      </c>
      <c r="J899" s="890">
        <f>GLOBAL_DER_FEV_2023!J899</f>
        <v>0</v>
      </c>
      <c r="K899" s="903" t="str">
        <f>GLOBAL_DER_FEV_2023!K899</f>
        <v xml:space="preserve">     </v>
      </c>
      <c r="L899" s="1137"/>
      <c r="M899" s="1140">
        <f t="shared" si="62"/>
        <v>0</v>
      </c>
      <c r="N899" s="1167">
        <f t="shared" si="66"/>
        <v>0</v>
      </c>
      <c r="O899" s="1165"/>
      <c r="Q899" s="317" t="str">
        <f t="shared" si="63"/>
        <v/>
      </c>
      <c r="R899" s="317" t="str">
        <f t="shared" si="64"/>
        <v/>
      </c>
      <c r="S899" s="317" t="str">
        <f t="shared" si="65"/>
        <v/>
      </c>
      <c r="T899" s="317" t="str">
        <f>GLOBAL_DER_FEV_2023!S899</f>
        <v/>
      </c>
      <c r="W899" s="582">
        <v>0</v>
      </c>
      <c r="X899" s="580"/>
      <c r="Y899" s="583">
        <f>IF(GLOBAL_DER_FEV_2023!W899=0,0,IF(GLOBAL_DER_FEV_2023!W899&gt;0,"c","b"))</f>
        <v>0</v>
      </c>
    </row>
    <row r="900" spans="1:25" ht="15" hidden="1" customHeight="1" x14ac:dyDescent="0.2">
      <c r="A900" s="640" t="s">
        <v>165</v>
      </c>
      <c r="B900" s="1036" t="str">
        <f>GLOBAL_DER_FEV_2023!B900</f>
        <v/>
      </c>
      <c r="C900" s="1072" t="str">
        <f>GLOBAL_DER_FEV_2023!C900</f>
        <v/>
      </c>
      <c r="D900" s="1141">
        <f>GLOBAL_DER_FEV_2023!D900</f>
        <v>0</v>
      </c>
      <c r="E900" s="907">
        <f>GLOBAL_DER_FEV_2023!E900</f>
        <v>0</v>
      </c>
      <c r="F900" s="908">
        <f>GLOBAL_DER_FEV_2023!F900</f>
        <v>0</v>
      </c>
      <c r="G900" s="912">
        <f>GLOBAL_DER_FEV_2023!G900</f>
        <v>0</v>
      </c>
      <c r="H900" s="901">
        <f>GLOBAL_DER_FEV_2023!H900</f>
        <v>0</v>
      </c>
      <c r="I900" s="901">
        <f>GLOBAL_DER_FEV_2023!I900</f>
        <v>0</v>
      </c>
      <c r="J900" s="890">
        <f>GLOBAL_DER_FEV_2023!J900</f>
        <v>0</v>
      </c>
      <c r="K900" s="903" t="str">
        <f>GLOBAL_DER_FEV_2023!K900</f>
        <v xml:space="preserve">     </v>
      </c>
      <c r="L900" s="1137"/>
      <c r="M900" s="1140">
        <f t="shared" si="62"/>
        <v>0</v>
      </c>
      <c r="N900" s="1167">
        <f t="shared" si="66"/>
        <v>0</v>
      </c>
      <c r="O900" s="1165"/>
      <c r="Q900" s="317" t="str">
        <f t="shared" si="63"/>
        <v/>
      </c>
      <c r="R900" s="317" t="str">
        <f t="shared" si="64"/>
        <v/>
      </c>
      <c r="S900" s="317" t="str">
        <f t="shared" si="65"/>
        <v/>
      </c>
      <c r="T900" s="317" t="str">
        <f>GLOBAL_DER_FEV_2023!S900</f>
        <v/>
      </c>
      <c r="W900" s="582">
        <v>0</v>
      </c>
      <c r="X900" s="580"/>
      <c r="Y900" s="583">
        <f>IF(GLOBAL_DER_FEV_2023!W900=0,0,IF(GLOBAL_DER_FEV_2023!W900&gt;0,"c","b"))</f>
        <v>0</v>
      </c>
    </row>
    <row r="901" spans="1:25" ht="15" hidden="1" customHeight="1" x14ac:dyDescent="0.2">
      <c r="A901" s="640" t="s">
        <v>165</v>
      </c>
      <c r="B901" s="1036" t="str">
        <f>GLOBAL_DER_FEV_2023!B901</f>
        <v/>
      </c>
      <c r="C901" s="1072" t="str">
        <f>GLOBAL_DER_FEV_2023!C901</f>
        <v/>
      </c>
      <c r="D901" s="1141">
        <f>GLOBAL_DER_FEV_2023!D901</f>
        <v>0</v>
      </c>
      <c r="E901" s="907">
        <f>GLOBAL_DER_FEV_2023!E901</f>
        <v>0</v>
      </c>
      <c r="F901" s="908">
        <f>GLOBAL_DER_FEV_2023!F901</f>
        <v>0</v>
      </c>
      <c r="G901" s="912">
        <f>GLOBAL_DER_FEV_2023!G901</f>
        <v>0</v>
      </c>
      <c r="H901" s="901">
        <f>GLOBAL_DER_FEV_2023!H901</f>
        <v>0</v>
      </c>
      <c r="I901" s="901">
        <f>GLOBAL_DER_FEV_2023!I901</f>
        <v>0</v>
      </c>
      <c r="J901" s="890">
        <f>GLOBAL_DER_FEV_2023!J901</f>
        <v>0</v>
      </c>
      <c r="K901" s="903" t="str">
        <f>GLOBAL_DER_FEV_2023!K901</f>
        <v xml:space="preserve">     </v>
      </c>
      <c r="L901" s="1137"/>
      <c r="M901" s="1140">
        <f t="shared" si="62"/>
        <v>0</v>
      </c>
      <c r="N901" s="1167">
        <f t="shared" si="66"/>
        <v>0</v>
      </c>
      <c r="O901" s="1165"/>
      <c r="Q901" s="317" t="str">
        <f t="shared" si="63"/>
        <v/>
      </c>
      <c r="R901" s="317" t="str">
        <f t="shared" si="64"/>
        <v/>
      </c>
      <c r="S901" s="317" t="str">
        <f t="shared" si="65"/>
        <v/>
      </c>
      <c r="T901" s="317" t="str">
        <f>GLOBAL_DER_FEV_2023!S901</f>
        <v/>
      </c>
      <c r="W901" s="582">
        <v>0</v>
      </c>
      <c r="X901" s="580"/>
      <c r="Y901" s="583">
        <f>IF(GLOBAL_DER_FEV_2023!W901=0,0,IF(GLOBAL_DER_FEV_2023!W901&gt;0,"c","b"))</f>
        <v>0</v>
      </c>
    </row>
    <row r="902" spans="1:25" ht="15" hidden="1" customHeight="1" x14ac:dyDescent="0.2">
      <c r="A902" s="640" t="s">
        <v>165</v>
      </c>
      <c r="B902" s="1036" t="str">
        <f>GLOBAL_DER_FEV_2023!B902</f>
        <v/>
      </c>
      <c r="C902" s="1072" t="str">
        <f>GLOBAL_DER_FEV_2023!C902</f>
        <v/>
      </c>
      <c r="D902" s="1141">
        <f>GLOBAL_DER_FEV_2023!D902</f>
        <v>0</v>
      </c>
      <c r="E902" s="907">
        <f>GLOBAL_DER_FEV_2023!E902</f>
        <v>0</v>
      </c>
      <c r="F902" s="908">
        <f>GLOBAL_DER_FEV_2023!F902</f>
        <v>0</v>
      </c>
      <c r="G902" s="912">
        <f>GLOBAL_DER_FEV_2023!G902</f>
        <v>0</v>
      </c>
      <c r="H902" s="901">
        <f>GLOBAL_DER_FEV_2023!H902</f>
        <v>0</v>
      </c>
      <c r="I902" s="901">
        <f>GLOBAL_DER_FEV_2023!I902</f>
        <v>0</v>
      </c>
      <c r="J902" s="890">
        <f>GLOBAL_DER_FEV_2023!J902</f>
        <v>0</v>
      </c>
      <c r="K902" s="903" t="str">
        <f>GLOBAL_DER_FEV_2023!K902</f>
        <v xml:space="preserve">     </v>
      </c>
      <c r="L902" s="1137"/>
      <c r="M902" s="1140">
        <f t="shared" si="62"/>
        <v>0</v>
      </c>
      <c r="N902" s="1167">
        <f t="shared" si="66"/>
        <v>0</v>
      </c>
      <c r="O902" s="1165"/>
      <c r="Q902" s="317" t="str">
        <f t="shared" si="63"/>
        <v/>
      </c>
      <c r="R902" s="317" t="str">
        <f t="shared" si="64"/>
        <v/>
      </c>
      <c r="S902" s="317" t="str">
        <f t="shared" si="65"/>
        <v/>
      </c>
      <c r="T902" s="317" t="str">
        <f>GLOBAL_DER_FEV_2023!S902</f>
        <v/>
      </c>
      <c r="W902" s="582">
        <v>0</v>
      </c>
      <c r="X902" s="580"/>
      <c r="Y902" s="583">
        <f>IF(GLOBAL_DER_FEV_2023!W902=0,0,IF(GLOBAL_DER_FEV_2023!W902&gt;0,"c","b"))</f>
        <v>0</v>
      </c>
    </row>
    <row r="903" spans="1:25" ht="15" hidden="1" customHeight="1" x14ac:dyDescent="0.2">
      <c r="A903" s="640" t="s">
        <v>165</v>
      </c>
      <c r="B903" s="1036" t="str">
        <f>GLOBAL_DER_FEV_2023!B903</f>
        <v/>
      </c>
      <c r="C903" s="1072" t="str">
        <f>GLOBAL_DER_FEV_2023!C903</f>
        <v/>
      </c>
      <c r="D903" s="1141">
        <f>GLOBAL_DER_FEV_2023!D903</f>
        <v>0</v>
      </c>
      <c r="E903" s="907">
        <f>GLOBAL_DER_FEV_2023!E903</f>
        <v>0</v>
      </c>
      <c r="F903" s="908">
        <f>GLOBAL_DER_FEV_2023!F903</f>
        <v>0</v>
      </c>
      <c r="G903" s="912">
        <f>GLOBAL_DER_FEV_2023!G903</f>
        <v>0</v>
      </c>
      <c r="H903" s="901">
        <f>GLOBAL_DER_FEV_2023!H903</f>
        <v>0</v>
      </c>
      <c r="I903" s="901">
        <f>GLOBAL_DER_FEV_2023!I903</f>
        <v>0</v>
      </c>
      <c r="J903" s="890">
        <f>GLOBAL_DER_FEV_2023!J903</f>
        <v>0</v>
      </c>
      <c r="K903" s="903" t="str">
        <f>GLOBAL_DER_FEV_2023!K903</f>
        <v xml:space="preserve">     </v>
      </c>
      <c r="L903" s="1137"/>
      <c r="M903" s="1140">
        <f t="shared" si="62"/>
        <v>0</v>
      </c>
      <c r="N903" s="1167">
        <f t="shared" si="66"/>
        <v>0</v>
      </c>
      <c r="O903" s="1165"/>
      <c r="Q903" s="317" t="str">
        <f t="shared" si="63"/>
        <v/>
      </c>
      <c r="R903" s="317" t="str">
        <f t="shared" si="64"/>
        <v/>
      </c>
      <c r="S903" s="317" t="str">
        <f t="shared" si="65"/>
        <v/>
      </c>
      <c r="T903" s="317" t="str">
        <f>GLOBAL_DER_FEV_2023!S903</f>
        <v/>
      </c>
      <c r="W903" s="582">
        <v>0</v>
      </c>
      <c r="X903" s="580"/>
      <c r="Y903" s="583">
        <f>IF(GLOBAL_DER_FEV_2023!W903=0,0,IF(GLOBAL_DER_FEV_2023!W903&gt;0,"c","b"))</f>
        <v>0</v>
      </c>
    </row>
    <row r="904" spans="1:25" ht="15" hidden="1" customHeight="1" x14ac:dyDescent="0.2">
      <c r="A904" s="640" t="s">
        <v>165</v>
      </c>
      <c r="B904" s="1036" t="str">
        <f>GLOBAL_DER_FEV_2023!B904</f>
        <v/>
      </c>
      <c r="C904" s="1072" t="str">
        <f>GLOBAL_DER_FEV_2023!C904</f>
        <v/>
      </c>
      <c r="D904" s="1141">
        <f>GLOBAL_DER_FEV_2023!D904</f>
        <v>0</v>
      </c>
      <c r="E904" s="907">
        <f>GLOBAL_DER_FEV_2023!E904</f>
        <v>0</v>
      </c>
      <c r="F904" s="908">
        <f>GLOBAL_DER_FEV_2023!F904</f>
        <v>0</v>
      </c>
      <c r="G904" s="912">
        <f>GLOBAL_DER_FEV_2023!G904</f>
        <v>0</v>
      </c>
      <c r="H904" s="901">
        <f>GLOBAL_DER_FEV_2023!H904</f>
        <v>0</v>
      </c>
      <c r="I904" s="901">
        <f>GLOBAL_DER_FEV_2023!I904</f>
        <v>0</v>
      </c>
      <c r="J904" s="890">
        <f>GLOBAL_DER_FEV_2023!J904</f>
        <v>0</v>
      </c>
      <c r="K904" s="903" t="str">
        <f>GLOBAL_DER_FEV_2023!K904</f>
        <v xml:space="preserve">     </v>
      </c>
      <c r="L904" s="1137"/>
      <c r="M904" s="1140">
        <f t="shared" si="62"/>
        <v>0</v>
      </c>
      <c r="N904" s="1167">
        <f t="shared" si="66"/>
        <v>0</v>
      </c>
      <c r="O904" s="1165"/>
      <c r="Q904" s="317" t="str">
        <f t="shared" si="63"/>
        <v/>
      </c>
      <c r="R904" s="317" t="str">
        <f t="shared" si="64"/>
        <v/>
      </c>
      <c r="S904" s="317" t="str">
        <f t="shared" si="65"/>
        <v/>
      </c>
      <c r="T904" s="317" t="str">
        <f>GLOBAL_DER_FEV_2023!S904</f>
        <v/>
      </c>
      <c r="W904" s="582">
        <v>0</v>
      </c>
      <c r="X904" s="580"/>
      <c r="Y904" s="583">
        <f>IF(GLOBAL_DER_FEV_2023!W904=0,0,IF(GLOBAL_DER_FEV_2023!W904&gt;0,"c","b"))</f>
        <v>0</v>
      </c>
    </row>
    <row r="905" spans="1:25" ht="15" hidden="1" customHeight="1" x14ac:dyDescent="0.2">
      <c r="A905" s="640" t="s">
        <v>165</v>
      </c>
      <c r="B905" s="1036" t="str">
        <f>GLOBAL_DER_FEV_2023!B905</f>
        <v/>
      </c>
      <c r="C905" s="1072" t="str">
        <f>GLOBAL_DER_FEV_2023!C905</f>
        <v/>
      </c>
      <c r="D905" s="1141">
        <f>GLOBAL_DER_FEV_2023!D905</f>
        <v>0</v>
      </c>
      <c r="E905" s="907">
        <f>GLOBAL_DER_FEV_2023!E905</f>
        <v>0</v>
      </c>
      <c r="F905" s="908">
        <f>GLOBAL_DER_FEV_2023!F905</f>
        <v>0</v>
      </c>
      <c r="G905" s="912">
        <f>GLOBAL_DER_FEV_2023!G905</f>
        <v>0</v>
      </c>
      <c r="H905" s="901">
        <f>GLOBAL_DER_FEV_2023!H905</f>
        <v>0</v>
      </c>
      <c r="I905" s="901">
        <f>GLOBAL_DER_FEV_2023!I905</f>
        <v>0</v>
      </c>
      <c r="J905" s="890">
        <f>GLOBAL_DER_FEV_2023!J905</f>
        <v>0</v>
      </c>
      <c r="K905" s="903" t="str">
        <f>GLOBAL_DER_FEV_2023!K905</f>
        <v xml:space="preserve">     </v>
      </c>
      <c r="L905" s="1137"/>
      <c r="M905" s="1140">
        <f t="shared" si="62"/>
        <v>0</v>
      </c>
      <c r="N905" s="1167">
        <f t="shared" si="66"/>
        <v>0</v>
      </c>
      <c r="O905" s="1165"/>
      <c r="Q905" s="317" t="str">
        <f t="shared" si="63"/>
        <v/>
      </c>
      <c r="R905" s="317" t="str">
        <f t="shared" si="64"/>
        <v/>
      </c>
      <c r="S905" s="317" t="str">
        <f t="shared" si="65"/>
        <v/>
      </c>
      <c r="T905" s="317" t="str">
        <f>GLOBAL_DER_FEV_2023!S905</f>
        <v/>
      </c>
      <c r="W905" s="582">
        <v>0</v>
      </c>
      <c r="X905" s="580"/>
      <c r="Y905" s="583">
        <f>IF(GLOBAL_DER_FEV_2023!W905=0,0,IF(GLOBAL_DER_FEV_2023!W905&gt;0,"c","b"))</f>
        <v>0</v>
      </c>
    </row>
    <row r="906" spans="1:25" ht="15" hidden="1" customHeight="1" x14ac:dyDescent="0.2">
      <c r="A906" s="640" t="s">
        <v>165</v>
      </c>
      <c r="B906" s="1036" t="str">
        <f>GLOBAL_DER_FEV_2023!B906</f>
        <v/>
      </c>
      <c r="C906" s="1072" t="str">
        <f>GLOBAL_DER_FEV_2023!C906</f>
        <v/>
      </c>
      <c r="D906" s="1141">
        <f>GLOBAL_DER_FEV_2023!D906</f>
        <v>0</v>
      </c>
      <c r="E906" s="907">
        <f>GLOBAL_DER_FEV_2023!E906</f>
        <v>0</v>
      </c>
      <c r="F906" s="908">
        <f>GLOBAL_DER_FEV_2023!F906</f>
        <v>0</v>
      </c>
      <c r="G906" s="912">
        <f>GLOBAL_DER_FEV_2023!G906</f>
        <v>0</v>
      </c>
      <c r="H906" s="901">
        <f>GLOBAL_DER_FEV_2023!H906</f>
        <v>0</v>
      </c>
      <c r="I906" s="901">
        <f>GLOBAL_DER_FEV_2023!I906</f>
        <v>0</v>
      </c>
      <c r="J906" s="890">
        <f>GLOBAL_DER_FEV_2023!J906</f>
        <v>0</v>
      </c>
      <c r="K906" s="903" t="str">
        <f>GLOBAL_DER_FEV_2023!K906</f>
        <v xml:space="preserve">     </v>
      </c>
      <c r="L906" s="1137"/>
      <c r="M906" s="1140">
        <f t="shared" si="62"/>
        <v>0</v>
      </c>
      <c r="N906" s="1167">
        <f t="shared" si="66"/>
        <v>0</v>
      </c>
      <c r="O906" s="1165"/>
      <c r="Q906" s="317" t="str">
        <f t="shared" si="63"/>
        <v/>
      </c>
      <c r="R906" s="317" t="str">
        <f t="shared" si="64"/>
        <v/>
      </c>
      <c r="S906" s="317" t="str">
        <f t="shared" si="65"/>
        <v/>
      </c>
      <c r="T906" s="317" t="str">
        <f>GLOBAL_DER_FEV_2023!S906</f>
        <v/>
      </c>
      <c r="W906" s="582">
        <v>0</v>
      </c>
      <c r="X906" s="580"/>
      <c r="Y906" s="583">
        <f>IF(GLOBAL_DER_FEV_2023!W906=0,0,IF(GLOBAL_DER_FEV_2023!W906&gt;0,"c","b"))</f>
        <v>0</v>
      </c>
    </row>
    <row r="907" spans="1:25" ht="15" hidden="1" customHeight="1" x14ac:dyDescent="0.2">
      <c r="A907" s="640" t="s">
        <v>165</v>
      </c>
      <c r="B907" s="1036" t="str">
        <f>GLOBAL_DER_FEV_2023!B907</f>
        <v/>
      </c>
      <c r="C907" s="1072" t="str">
        <f>GLOBAL_DER_FEV_2023!C907</f>
        <v/>
      </c>
      <c r="D907" s="1141">
        <f>GLOBAL_DER_FEV_2023!D907</f>
        <v>0</v>
      </c>
      <c r="E907" s="907">
        <f>GLOBAL_DER_FEV_2023!E907</f>
        <v>0</v>
      </c>
      <c r="F907" s="908">
        <f>GLOBAL_DER_FEV_2023!F907</f>
        <v>0</v>
      </c>
      <c r="G907" s="912">
        <f>GLOBAL_DER_FEV_2023!G907</f>
        <v>0</v>
      </c>
      <c r="H907" s="901">
        <f>GLOBAL_DER_FEV_2023!H907</f>
        <v>0</v>
      </c>
      <c r="I907" s="901">
        <f>GLOBAL_DER_FEV_2023!I907</f>
        <v>0</v>
      </c>
      <c r="J907" s="890">
        <f>GLOBAL_DER_FEV_2023!J907</f>
        <v>0</v>
      </c>
      <c r="K907" s="903" t="str">
        <f>GLOBAL_DER_FEV_2023!K907</f>
        <v xml:space="preserve">     </v>
      </c>
      <c r="L907" s="1137"/>
      <c r="M907" s="1140">
        <f t="shared" si="62"/>
        <v>0</v>
      </c>
      <c r="N907" s="1167">
        <f t="shared" si="66"/>
        <v>0</v>
      </c>
      <c r="O907" s="1165"/>
      <c r="Q907" s="317" t="str">
        <f t="shared" si="63"/>
        <v/>
      </c>
      <c r="R907" s="317" t="str">
        <f t="shared" si="64"/>
        <v/>
      </c>
      <c r="S907" s="317" t="str">
        <f t="shared" si="65"/>
        <v/>
      </c>
      <c r="T907" s="317" t="str">
        <f>GLOBAL_DER_FEV_2023!S907</f>
        <v/>
      </c>
      <c r="W907" s="582">
        <v>0</v>
      </c>
      <c r="X907" s="580"/>
      <c r="Y907" s="583">
        <f>IF(GLOBAL_DER_FEV_2023!W907=0,0,IF(GLOBAL_DER_FEV_2023!W907&gt;0,"c","b"))</f>
        <v>0</v>
      </c>
    </row>
    <row r="908" spans="1:25" ht="15" hidden="1" customHeight="1" x14ac:dyDescent="0.2">
      <c r="A908" s="640" t="s">
        <v>165</v>
      </c>
      <c r="B908" s="1036" t="str">
        <f>GLOBAL_DER_FEV_2023!B908</f>
        <v/>
      </c>
      <c r="C908" s="1072" t="str">
        <f>GLOBAL_DER_FEV_2023!C908</f>
        <v/>
      </c>
      <c r="D908" s="1141">
        <f>GLOBAL_DER_FEV_2023!D908</f>
        <v>0</v>
      </c>
      <c r="E908" s="907">
        <f>GLOBAL_DER_FEV_2023!E908</f>
        <v>0</v>
      </c>
      <c r="F908" s="908">
        <f>GLOBAL_DER_FEV_2023!F908</f>
        <v>0</v>
      </c>
      <c r="G908" s="912">
        <f>GLOBAL_DER_FEV_2023!G908</f>
        <v>0</v>
      </c>
      <c r="H908" s="901">
        <f>GLOBAL_DER_FEV_2023!H908</f>
        <v>0</v>
      </c>
      <c r="I908" s="901">
        <f>GLOBAL_DER_FEV_2023!I908</f>
        <v>0</v>
      </c>
      <c r="J908" s="890">
        <f>GLOBAL_DER_FEV_2023!J908</f>
        <v>0</v>
      </c>
      <c r="K908" s="903" t="str">
        <f>GLOBAL_DER_FEV_2023!K908</f>
        <v xml:space="preserve">     </v>
      </c>
      <c r="L908" s="1137"/>
      <c r="M908" s="1140">
        <f t="shared" si="62"/>
        <v>0</v>
      </c>
      <c r="N908" s="1167">
        <f t="shared" si="66"/>
        <v>0</v>
      </c>
      <c r="O908" s="1165"/>
      <c r="Q908" s="317" t="str">
        <f t="shared" si="63"/>
        <v/>
      </c>
      <c r="R908" s="317" t="str">
        <f t="shared" si="64"/>
        <v/>
      </c>
      <c r="S908" s="317" t="str">
        <f t="shared" si="65"/>
        <v/>
      </c>
      <c r="T908" s="317" t="str">
        <f>GLOBAL_DER_FEV_2023!S908</f>
        <v/>
      </c>
      <c r="W908" s="582">
        <v>0</v>
      </c>
      <c r="X908" s="580"/>
      <c r="Y908" s="583">
        <f>IF(GLOBAL_DER_FEV_2023!W908=0,0,IF(GLOBAL_DER_FEV_2023!W908&gt;0,"c","b"))</f>
        <v>0</v>
      </c>
    </row>
    <row r="909" spans="1:25" ht="15" hidden="1" customHeight="1" x14ac:dyDescent="0.2">
      <c r="A909" s="640" t="s">
        <v>165</v>
      </c>
      <c r="B909" s="1036" t="str">
        <f>GLOBAL_DER_FEV_2023!B909</f>
        <v/>
      </c>
      <c r="C909" s="1072" t="str">
        <f>GLOBAL_DER_FEV_2023!C909</f>
        <v/>
      </c>
      <c r="D909" s="1141">
        <f>GLOBAL_DER_FEV_2023!D909</f>
        <v>0</v>
      </c>
      <c r="E909" s="907">
        <f>GLOBAL_DER_FEV_2023!E909</f>
        <v>0</v>
      </c>
      <c r="F909" s="908">
        <f>GLOBAL_DER_FEV_2023!F909</f>
        <v>0</v>
      </c>
      <c r="G909" s="912">
        <f>GLOBAL_DER_FEV_2023!G909</f>
        <v>0</v>
      </c>
      <c r="H909" s="901">
        <f>GLOBAL_DER_FEV_2023!H909</f>
        <v>0</v>
      </c>
      <c r="I909" s="901">
        <f>GLOBAL_DER_FEV_2023!I909</f>
        <v>0</v>
      </c>
      <c r="J909" s="890">
        <f>GLOBAL_DER_FEV_2023!J909</f>
        <v>0</v>
      </c>
      <c r="K909" s="903" t="str">
        <f>GLOBAL_DER_FEV_2023!K909</f>
        <v xml:space="preserve">     </v>
      </c>
      <c r="L909" s="1137"/>
      <c r="M909" s="1140">
        <f t="shared" si="62"/>
        <v>0</v>
      </c>
      <c r="N909" s="1167">
        <f t="shared" si="66"/>
        <v>0</v>
      </c>
      <c r="O909" s="1165"/>
      <c r="Q909" s="317" t="str">
        <f t="shared" si="63"/>
        <v/>
      </c>
      <c r="R909" s="317" t="str">
        <f t="shared" si="64"/>
        <v/>
      </c>
      <c r="S909" s="317" t="str">
        <f t="shared" si="65"/>
        <v/>
      </c>
      <c r="T909" s="317" t="str">
        <f>GLOBAL_DER_FEV_2023!S909</f>
        <v/>
      </c>
      <c r="W909" s="582">
        <v>0</v>
      </c>
      <c r="X909" s="580"/>
      <c r="Y909" s="583">
        <f>IF(GLOBAL_DER_FEV_2023!W909=0,0,IF(GLOBAL_DER_FEV_2023!W909&gt;0,"c","b"))</f>
        <v>0</v>
      </c>
    </row>
    <row r="910" spans="1:25" ht="15" hidden="1" customHeight="1" x14ac:dyDescent="0.2">
      <c r="A910" s="640" t="s">
        <v>165</v>
      </c>
      <c r="B910" s="1036" t="str">
        <f>GLOBAL_DER_FEV_2023!B910</f>
        <v/>
      </c>
      <c r="C910" s="1072" t="str">
        <f>GLOBAL_DER_FEV_2023!C910</f>
        <v/>
      </c>
      <c r="D910" s="1141">
        <f>GLOBAL_DER_FEV_2023!D910</f>
        <v>0</v>
      </c>
      <c r="E910" s="907">
        <f>GLOBAL_DER_FEV_2023!E910</f>
        <v>0</v>
      </c>
      <c r="F910" s="908">
        <f>GLOBAL_DER_FEV_2023!F910</f>
        <v>0</v>
      </c>
      <c r="G910" s="912">
        <f>GLOBAL_DER_FEV_2023!G910</f>
        <v>0</v>
      </c>
      <c r="H910" s="901">
        <f>GLOBAL_DER_FEV_2023!H910</f>
        <v>0</v>
      </c>
      <c r="I910" s="901">
        <f>GLOBAL_DER_FEV_2023!I910</f>
        <v>0</v>
      </c>
      <c r="J910" s="890">
        <f>GLOBAL_DER_FEV_2023!J910</f>
        <v>0</v>
      </c>
      <c r="K910" s="903" t="str">
        <f>GLOBAL_DER_FEV_2023!K910</f>
        <v xml:space="preserve">     </v>
      </c>
      <c r="L910" s="1137"/>
      <c r="M910" s="1140">
        <f t="shared" si="62"/>
        <v>0</v>
      </c>
      <c r="N910" s="1167">
        <f t="shared" si="66"/>
        <v>0</v>
      </c>
      <c r="O910" s="1165"/>
      <c r="Q910" s="317" t="str">
        <f t="shared" si="63"/>
        <v/>
      </c>
      <c r="R910" s="317" t="str">
        <f t="shared" si="64"/>
        <v/>
      </c>
      <c r="S910" s="317" t="str">
        <f t="shared" si="65"/>
        <v/>
      </c>
      <c r="T910" s="317" t="str">
        <f>GLOBAL_DER_FEV_2023!S910</f>
        <v/>
      </c>
      <c r="W910" s="582">
        <v>0</v>
      </c>
      <c r="X910" s="580"/>
      <c r="Y910" s="583">
        <f>IF(GLOBAL_DER_FEV_2023!W910=0,0,IF(GLOBAL_DER_FEV_2023!W910&gt;0,"c","b"))</f>
        <v>0</v>
      </c>
    </row>
    <row r="911" spans="1:25" ht="15" hidden="1" customHeight="1" x14ac:dyDescent="0.2">
      <c r="A911" s="640" t="s">
        <v>165</v>
      </c>
      <c r="B911" s="1036" t="str">
        <f>GLOBAL_DER_FEV_2023!B911</f>
        <v/>
      </c>
      <c r="C911" s="1072" t="str">
        <f>GLOBAL_DER_FEV_2023!C911</f>
        <v/>
      </c>
      <c r="D911" s="1141">
        <f>GLOBAL_DER_FEV_2023!D911</f>
        <v>0</v>
      </c>
      <c r="E911" s="907">
        <f>GLOBAL_DER_FEV_2023!E911</f>
        <v>0</v>
      </c>
      <c r="F911" s="908">
        <f>GLOBAL_DER_FEV_2023!F911</f>
        <v>0</v>
      </c>
      <c r="G911" s="912">
        <f>GLOBAL_DER_FEV_2023!G911</f>
        <v>0</v>
      </c>
      <c r="H911" s="901">
        <f>GLOBAL_DER_FEV_2023!H911</f>
        <v>0</v>
      </c>
      <c r="I911" s="901">
        <f>GLOBAL_DER_FEV_2023!I911</f>
        <v>0</v>
      </c>
      <c r="J911" s="890">
        <f>GLOBAL_DER_FEV_2023!J911</f>
        <v>0</v>
      </c>
      <c r="K911" s="903" t="str">
        <f>GLOBAL_DER_FEV_2023!K911</f>
        <v xml:space="preserve">     </v>
      </c>
      <c r="L911" s="1137"/>
      <c r="M911" s="1140">
        <f t="shared" si="62"/>
        <v>0</v>
      </c>
      <c r="N911" s="1167">
        <f t="shared" si="66"/>
        <v>0</v>
      </c>
      <c r="O911" s="1165"/>
      <c r="Q911" s="317" t="str">
        <f t="shared" si="63"/>
        <v/>
      </c>
      <c r="R911" s="317" t="str">
        <f t="shared" si="64"/>
        <v/>
      </c>
      <c r="S911" s="317" t="str">
        <f t="shared" si="65"/>
        <v/>
      </c>
      <c r="T911" s="317" t="str">
        <f>GLOBAL_DER_FEV_2023!S911</f>
        <v/>
      </c>
      <c r="W911" s="582">
        <v>0</v>
      </c>
      <c r="X911" s="580"/>
      <c r="Y911" s="583">
        <f>IF(GLOBAL_DER_FEV_2023!W911=0,0,IF(GLOBAL_DER_FEV_2023!W911&gt;0,"c","b"))</f>
        <v>0</v>
      </c>
    </row>
    <row r="912" spans="1:25" ht="15" hidden="1" customHeight="1" thickBot="1" x14ac:dyDescent="0.25">
      <c r="A912" s="640" t="s">
        <v>165</v>
      </c>
      <c r="B912" s="1036" t="str">
        <f>GLOBAL_DER_FEV_2023!B912</f>
        <v/>
      </c>
      <c r="C912" s="1072" t="str">
        <f>GLOBAL_DER_FEV_2023!C912</f>
        <v/>
      </c>
      <c r="D912" s="1141">
        <f>GLOBAL_DER_FEV_2023!D912</f>
        <v>0</v>
      </c>
      <c r="E912" s="907">
        <f>GLOBAL_DER_FEV_2023!E912</f>
        <v>0</v>
      </c>
      <c r="F912" s="908">
        <f>GLOBAL_DER_FEV_2023!F912</f>
        <v>0</v>
      </c>
      <c r="G912" s="912">
        <f>GLOBAL_DER_FEV_2023!G912</f>
        <v>0</v>
      </c>
      <c r="H912" s="901">
        <f>GLOBAL_DER_FEV_2023!H912</f>
        <v>0</v>
      </c>
      <c r="I912" s="901">
        <f>GLOBAL_DER_FEV_2023!I912</f>
        <v>0</v>
      </c>
      <c r="J912" s="890">
        <f>GLOBAL_DER_FEV_2023!J912</f>
        <v>0</v>
      </c>
      <c r="K912" s="903" t="str">
        <f>GLOBAL_DER_FEV_2023!K912</f>
        <v xml:space="preserve">     </v>
      </c>
      <c r="L912" s="1137"/>
      <c r="M912" s="1140">
        <f t="shared" si="62"/>
        <v>0</v>
      </c>
      <c r="N912" s="1167">
        <f t="shared" si="66"/>
        <v>0</v>
      </c>
      <c r="O912" s="1165"/>
      <c r="Q912" s="317" t="str">
        <f t="shared" si="63"/>
        <v/>
      </c>
      <c r="R912" s="317" t="str">
        <f t="shared" si="64"/>
        <v/>
      </c>
      <c r="S912" s="317" t="str">
        <f t="shared" si="65"/>
        <v/>
      </c>
      <c r="T912" s="317" t="str">
        <f>GLOBAL_DER_FEV_2023!S912</f>
        <v/>
      </c>
      <c r="W912" s="582">
        <v>0</v>
      </c>
      <c r="X912" s="580"/>
      <c r="Y912" s="583">
        <f>IF(GLOBAL_DER_FEV_2023!W912=0,0,IF(GLOBAL_DER_FEV_2023!W912&gt;0,"c","b"))</f>
        <v>0</v>
      </c>
    </row>
    <row r="913" spans="1:25" ht="15" hidden="1" customHeight="1" thickBot="1" x14ac:dyDescent="0.25">
      <c r="A913" s="317" t="s">
        <v>310</v>
      </c>
      <c r="B913" s="950" t="s">
        <v>310</v>
      </c>
      <c r="C913" s="951"/>
      <c r="D913" s="952" t="s">
        <v>438</v>
      </c>
      <c r="E913" s="943">
        <f>GLOBAL_DER_FEV_2023!E913</f>
        <v>0</v>
      </c>
      <c r="F913" s="876"/>
      <c r="G913" s="945"/>
      <c r="H913" s="945">
        <f>GLOBAL_DER_FEV_2023!H913</f>
        <v>0</v>
      </c>
      <c r="I913" s="945">
        <f>GLOBAL_DER_FEV_2023!I913</f>
        <v>0</v>
      </c>
      <c r="J913" s="945">
        <f>GLOBAL_DER_FEV_2023!J913</f>
        <v>0</v>
      </c>
      <c r="K913" s="878" t="s">
        <v>507</v>
      </c>
      <c r="L913" s="879"/>
      <c r="M913" s="880"/>
      <c r="N913" s="881">
        <f t="shared" si="66"/>
        <v>0</v>
      </c>
      <c r="O913" s="882">
        <f>SUM(N914:N1624)</f>
        <v>0</v>
      </c>
      <c r="P913" s="58" t="str">
        <f>IF(OR(O913&gt;0,O913&gt;0),"X","")</f>
        <v/>
      </c>
      <c r="Q913" s="317" t="str">
        <f t="shared" si="63"/>
        <v/>
      </c>
      <c r="R913" s="317" t="str">
        <f t="shared" si="64"/>
        <v/>
      </c>
      <c r="S913" s="317" t="str">
        <f t="shared" si="65"/>
        <v/>
      </c>
      <c r="T913" s="317" t="str">
        <f>GLOBAL_DER_FEV_2023!S913</f>
        <v/>
      </c>
      <c r="W913" s="582">
        <v>0</v>
      </c>
      <c r="X913" s="580"/>
      <c r="Y913" s="583">
        <f>IF(GLOBAL_DER_FEV_2023!W913=0,0,IF(GLOBAL_DER_FEV_2023!W913&gt;0,"c","b"))</f>
        <v>0</v>
      </c>
    </row>
    <row r="914" spans="1:25" ht="34.5" hidden="1" thickBot="1" x14ac:dyDescent="0.25">
      <c r="A914" s="317">
        <v>102102</v>
      </c>
      <c r="B914" s="895">
        <v>102102</v>
      </c>
      <c r="C914" s="896" t="s">
        <v>596</v>
      </c>
      <c r="D914" s="906" t="s">
        <v>841</v>
      </c>
      <c r="E914" s="907">
        <f>GLOBAL_DER_FEV_2023!E914</f>
        <v>0</v>
      </c>
      <c r="F914" s="908">
        <f>GLOBAL_DER_FEV_2023!F914</f>
        <v>0</v>
      </c>
      <c r="G914" s="912">
        <f>GLOBAL_DER_FEV_2023!G914</f>
        <v>0</v>
      </c>
      <c r="H914" s="901">
        <f>GLOBAL_DER_FEV_2023!H914</f>
        <v>9956</v>
      </c>
      <c r="I914" s="901">
        <f>GLOBAL_DER_FEV_2023!I914</f>
        <v>9956</v>
      </c>
      <c r="J914" s="902">
        <f>GLOBAL_DER_FEV_2023!J914</f>
        <v>11954.17</v>
      </c>
      <c r="K914" s="903" t="s">
        <v>1516</v>
      </c>
      <c r="L914" s="1137"/>
      <c r="M914" s="1138">
        <f t="shared" ref="M914:M977" si="67">IF(L914=0,0,ROUND(J914,2))</f>
        <v>0</v>
      </c>
      <c r="N914" s="893">
        <f t="shared" si="66"/>
        <v>0</v>
      </c>
      <c r="O914" s="905"/>
      <c r="Q914" s="317" t="str">
        <f t="shared" si="63"/>
        <v/>
      </c>
      <c r="R914" s="317" t="str">
        <f t="shared" si="64"/>
        <v/>
      </c>
      <c r="S914" s="317" t="str">
        <f t="shared" si="65"/>
        <v/>
      </c>
      <c r="T914" s="317" t="str">
        <f>GLOBAL_DER_FEV_2023!S914</f>
        <v/>
      </c>
      <c r="W914" s="582">
        <v>0</v>
      </c>
      <c r="X914" s="580"/>
      <c r="Y914" s="583">
        <f>IF(GLOBAL_DER_FEV_2023!W914=0,0,IF(GLOBAL_DER_FEV_2023!W914&gt;0,"c","b"))</f>
        <v>0</v>
      </c>
    </row>
    <row r="915" spans="1:25" ht="34.5" hidden="1" thickBot="1" x14ac:dyDescent="0.25">
      <c r="A915" s="317">
        <v>102103</v>
      </c>
      <c r="B915" s="895">
        <v>102103</v>
      </c>
      <c r="C915" s="896" t="s">
        <v>596</v>
      </c>
      <c r="D915" s="906" t="s">
        <v>842</v>
      </c>
      <c r="E915" s="907">
        <f>GLOBAL_DER_FEV_2023!E915</f>
        <v>0</v>
      </c>
      <c r="F915" s="908">
        <f>GLOBAL_DER_FEV_2023!F915</f>
        <v>0</v>
      </c>
      <c r="G915" s="912">
        <f>GLOBAL_DER_FEV_2023!G915</f>
        <v>0</v>
      </c>
      <c r="H915" s="901">
        <f>GLOBAL_DER_FEV_2023!H915</f>
        <v>11068.77</v>
      </c>
      <c r="I915" s="901">
        <f>GLOBAL_DER_FEV_2023!I915</f>
        <v>11068.77</v>
      </c>
      <c r="J915" s="902">
        <f>GLOBAL_DER_FEV_2023!J915</f>
        <v>13290.27</v>
      </c>
      <c r="K915" s="903" t="s">
        <v>1516</v>
      </c>
      <c r="L915" s="1137"/>
      <c r="M915" s="1138">
        <f t="shared" si="67"/>
        <v>0</v>
      </c>
      <c r="N915" s="893">
        <f t="shared" si="66"/>
        <v>0</v>
      </c>
      <c r="O915" s="905"/>
      <c r="Q915" s="317" t="str">
        <f t="shared" si="63"/>
        <v/>
      </c>
      <c r="R915" s="317" t="str">
        <f t="shared" si="64"/>
        <v/>
      </c>
      <c r="S915" s="317" t="str">
        <f t="shared" si="65"/>
        <v/>
      </c>
      <c r="T915" s="317" t="str">
        <f>GLOBAL_DER_FEV_2023!S915</f>
        <v/>
      </c>
      <c r="W915" s="582">
        <v>0</v>
      </c>
      <c r="X915" s="580"/>
      <c r="Y915" s="583">
        <f>IF(GLOBAL_DER_FEV_2023!W915=0,0,IF(GLOBAL_DER_FEV_2023!W915&gt;0,"c","b"))</f>
        <v>0</v>
      </c>
    </row>
    <row r="916" spans="1:25" ht="34.5" hidden="1" thickBot="1" x14ac:dyDescent="0.25">
      <c r="A916" s="317">
        <v>102104</v>
      </c>
      <c r="B916" s="895">
        <v>102104</v>
      </c>
      <c r="C916" s="896" t="s">
        <v>596</v>
      </c>
      <c r="D916" s="906" t="s">
        <v>843</v>
      </c>
      <c r="E916" s="907">
        <f>GLOBAL_DER_FEV_2023!E916</f>
        <v>0</v>
      </c>
      <c r="F916" s="908">
        <f>GLOBAL_DER_FEV_2023!F916</f>
        <v>0</v>
      </c>
      <c r="G916" s="912">
        <f>GLOBAL_DER_FEV_2023!G916</f>
        <v>0</v>
      </c>
      <c r="H916" s="901">
        <f>GLOBAL_DER_FEV_2023!H916</f>
        <v>14168.89</v>
      </c>
      <c r="I916" s="901">
        <f>GLOBAL_DER_FEV_2023!I916</f>
        <v>14168.89</v>
      </c>
      <c r="J916" s="902">
        <f>GLOBAL_DER_FEV_2023!J916</f>
        <v>17012.59</v>
      </c>
      <c r="K916" s="903" t="s">
        <v>1516</v>
      </c>
      <c r="L916" s="1137"/>
      <c r="M916" s="1138">
        <f t="shared" si="67"/>
        <v>0</v>
      </c>
      <c r="N916" s="893">
        <f t="shared" si="66"/>
        <v>0</v>
      </c>
      <c r="O916" s="905"/>
      <c r="Q916" s="317" t="str">
        <f t="shared" si="63"/>
        <v/>
      </c>
      <c r="R916" s="317" t="str">
        <f t="shared" si="64"/>
        <v/>
      </c>
      <c r="S916" s="317" t="str">
        <f t="shared" si="65"/>
        <v/>
      </c>
      <c r="T916" s="317" t="str">
        <f>GLOBAL_DER_FEV_2023!S916</f>
        <v/>
      </c>
      <c r="W916" s="582">
        <v>0</v>
      </c>
      <c r="X916" s="580"/>
      <c r="Y916" s="583">
        <f>IF(GLOBAL_DER_FEV_2023!W916=0,0,IF(GLOBAL_DER_FEV_2023!W916&gt;0,"c","b"))</f>
        <v>0</v>
      </c>
    </row>
    <row r="917" spans="1:25" ht="34.5" hidden="1" thickBot="1" x14ac:dyDescent="0.25">
      <c r="A917" s="317">
        <v>102105</v>
      </c>
      <c r="B917" s="895">
        <v>102105</v>
      </c>
      <c r="C917" s="896" t="s">
        <v>596</v>
      </c>
      <c r="D917" s="906" t="s">
        <v>844</v>
      </c>
      <c r="E917" s="907">
        <f>GLOBAL_DER_FEV_2023!E917</f>
        <v>0</v>
      </c>
      <c r="F917" s="908">
        <f>GLOBAL_DER_FEV_2023!F917</f>
        <v>0</v>
      </c>
      <c r="G917" s="912">
        <f>GLOBAL_DER_FEV_2023!G917</f>
        <v>0</v>
      </c>
      <c r="H917" s="901">
        <f>GLOBAL_DER_FEV_2023!H917</f>
        <v>17389.88</v>
      </c>
      <c r="I917" s="901">
        <f>GLOBAL_DER_FEV_2023!I917</f>
        <v>17389.88</v>
      </c>
      <c r="J917" s="902">
        <f>GLOBAL_DER_FEV_2023!J917</f>
        <v>20880.03</v>
      </c>
      <c r="K917" s="903" t="s">
        <v>1516</v>
      </c>
      <c r="L917" s="1137"/>
      <c r="M917" s="1138">
        <f t="shared" si="67"/>
        <v>0</v>
      </c>
      <c r="N917" s="893">
        <f t="shared" si="66"/>
        <v>0</v>
      </c>
      <c r="O917" s="905"/>
      <c r="Q917" s="317" t="str">
        <f t="shared" si="63"/>
        <v/>
      </c>
      <c r="R917" s="317" t="str">
        <f t="shared" si="64"/>
        <v/>
      </c>
      <c r="S917" s="317" t="str">
        <f t="shared" si="65"/>
        <v/>
      </c>
      <c r="T917" s="317" t="str">
        <f>GLOBAL_DER_FEV_2023!S917</f>
        <v/>
      </c>
      <c r="W917" s="582">
        <v>0</v>
      </c>
      <c r="X917" s="580"/>
      <c r="Y917" s="583">
        <f>IF(GLOBAL_DER_FEV_2023!W917=0,0,IF(GLOBAL_DER_FEV_2023!W917&gt;0,"c","b"))</f>
        <v>0</v>
      </c>
    </row>
    <row r="918" spans="1:25" ht="34.5" hidden="1" thickBot="1" x14ac:dyDescent="0.25">
      <c r="A918" s="317">
        <v>102106</v>
      </c>
      <c r="B918" s="895">
        <v>102106</v>
      </c>
      <c r="C918" s="896" t="s">
        <v>596</v>
      </c>
      <c r="D918" s="906" t="s">
        <v>845</v>
      </c>
      <c r="E918" s="907">
        <f>GLOBAL_DER_FEV_2023!E918</f>
        <v>0</v>
      </c>
      <c r="F918" s="908">
        <f>GLOBAL_DER_FEV_2023!F918</f>
        <v>0</v>
      </c>
      <c r="G918" s="912">
        <f>GLOBAL_DER_FEV_2023!G918</f>
        <v>0</v>
      </c>
      <c r="H918" s="901">
        <f>GLOBAL_DER_FEV_2023!H918</f>
        <v>21783.06</v>
      </c>
      <c r="I918" s="901">
        <f>GLOBAL_DER_FEV_2023!I918</f>
        <v>21783.06</v>
      </c>
      <c r="J918" s="902">
        <f>GLOBAL_DER_FEV_2023!J918</f>
        <v>26154.92</v>
      </c>
      <c r="K918" s="903" t="s">
        <v>1516</v>
      </c>
      <c r="L918" s="1137"/>
      <c r="M918" s="1138">
        <f t="shared" si="67"/>
        <v>0</v>
      </c>
      <c r="N918" s="893">
        <f t="shared" si="66"/>
        <v>0</v>
      </c>
      <c r="O918" s="905"/>
      <c r="Q918" s="317" t="str">
        <f t="shared" si="63"/>
        <v/>
      </c>
      <c r="R918" s="317" t="str">
        <f t="shared" si="64"/>
        <v/>
      </c>
      <c r="S918" s="317" t="str">
        <f t="shared" si="65"/>
        <v/>
      </c>
      <c r="T918" s="317" t="str">
        <f>GLOBAL_DER_FEV_2023!S918</f>
        <v/>
      </c>
      <c r="W918" s="582">
        <v>0</v>
      </c>
      <c r="X918" s="580"/>
      <c r="Y918" s="583">
        <f>IF(GLOBAL_DER_FEV_2023!W918=0,0,IF(GLOBAL_DER_FEV_2023!W918&gt;0,"c","b"))</f>
        <v>0</v>
      </c>
    </row>
    <row r="919" spans="1:25" ht="34.5" hidden="1" thickBot="1" x14ac:dyDescent="0.25">
      <c r="A919" s="317">
        <v>102107</v>
      </c>
      <c r="B919" s="895">
        <v>102107</v>
      </c>
      <c r="C919" s="896" t="s">
        <v>596</v>
      </c>
      <c r="D919" s="906" t="s">
        <v>846</v>
      </c>
      <c r="E919" s="907">
        <f>GLOBAL_DER_FEV_2023!E919</f>
        <v>0</v>
      </c>
      <c r="F919" s="908">
        <f>GLOBAL_DER_FEV_2023!F919</f>
        <v>0</v>
      </c>
      <c r="G919" s="912">
        <f>GLOBAL_DER_FEV_2023!G919</f>
        <v>0</v>
      </c>
      <c r="H919" s="901">
        <f>GLOBAL_DER_FEV_2023!H919</f>
        <v>30352.89</v>
      </c>
      <c r="I919" s="901">
        <f>GLOBAL_DER_FEV_2023!I919</f>
        <v>30352.89</v>
      </c>
      <c r="J919" s="902">
        <f>GLOBAL_DER_FEV_2023!J919</f>
        <v>36444.720000000001</v>
      </c>
      <c r="K919" s="903" t="s">
        <v>1516</v>
      </c>
      <c r="L919" s="1137"/>
      <c r="M919" s="1138">
        <f t="shared" si="67"/>
        <v>0</v>
      </c>
      <c r="N919" s="893">
        <f t="shared" si="66"/>
        <v>0</v>
      </c>
      <c r="O919" s="905"/>
      <c r="Q919" s="317" t="str">
        <f t="shared" si="63"/>
        <v/>
      </c>
      <c r="R919" s="317" t="str">
        <f t="shared" si="64"/>
        <v/>
      </c>
      <c r="S919" s="317" t="str">
        <f t="shared" si="65"/>
        <v/>
      </c>
      <c r="T919" s="317" t="str">
        <f>GLOBAL_DER_FEV_2023!S919</f>
        <v/>
      </c>
      <c r="W919" s="582">
        <v>0</v>
      </c>
      <c r="X919" s="580"/>
      <c r="Y919" s="583">
        <f>IF(GLOBAL_DER_FEV_2023!W919=0,0,IF(GLOBAL_DER_FEV_2023!W919&gt;0,"c","b"))</f>
        <v>0</v>
      </c>
    </row>
    <row r="920" spans="1:25" ht="34.5" hidden="1" thickBot="1" x14ac:dyDescent="0.25">
      <c r="A920" s="317">
        <v>102108</v>
      </c>
      <c r="B920" s="895">
        <v>102108</v>
      </c>
      <c r="C920" s="896" t="s">
        <v>596</v>
      </c>
      <c r="D920" s="906" t="s">
        <v>847</v>
      </c>
      <c r="E920" s="907">
        <f>GLOBAL_DER_FEV_2023!E920</f>
        <v>0</v>
      </c>
      <c r="F920" s="908">
        <f>GLOBAL_DER_FEV_2023!F920</f>
        <v>0</v>
      </c>
      <c r="G920" s="912">
        <f>GLOBAL_DER_FEV_2023!G920</f>
        <v>0</v>
      </c>
      <c r="H920" s="901">
        <f>GLOBAL_DER_FEV_2023!H920</f>
        <v>35328.54</v>
      </c>
      <c r="I920" s="901">
        <f>GLOBAL_DER_FEV_2023!I920</f>
        <v>35328.54</v>
      </c>
      <c r="J920" s="902">
        <f>GLOBAL_DER_FEV_2023!J920</f>
        <v>42418.98</v>
      </c>
      <c r="K920" s="903" t="s">
        <v>1516</v>
      </c>
      <c r="L920" s="1137"/>
      <c r="M920" s="1138">
        <f t="shared" si="67"/>
        <v>0</v>
      </c>
      <c r="N920" s="893">
        <f t="shared" si="66"/>
        <v>0</v>
      </c>
      <c r="O920" s="905"/>
      <c r="Q920" s="317" t="str">
        <f t="shared" si="63"/>
        <v/>
      </c>
      <c r="R920" s="317" t="str">
        <f t="shared" si="64"/>
        <v/>
      </c>
      <c r="S920" s="317" t="str">
        <f t="shared" si="65"/>
        <v/>
      </c>
      <c r="T920" s="317" t="str">
        <f>GLOBAL_DER_FEV_2023!S920</f>
        <v/>
      </c>
      <c r="W920" s="582">
        <v>0</v>
      </c>
      <c r="X920" s="580"/>
      <c r="Y920" s="583">
        <f>IF(GLOBAL_DER_FEV_2023!W920=0,0,IF(GLOBAL_DER_FEV_2023!W920&gt;0,"c","b"))</f>
        <v>0</v>
      </c>
    </row>
    <row r="921" spans="1:25" ht="23.25" hidden="1" thickBot="1" x14ac:dyDescent="0.25">
      <c r="A921" s="317">
        <v>102109</v>
      </c>
      <c r="B921" s="895">
        <v>102109</v>
      </c>
      <c r="C921" s="896" t="s">
        <v>596</v>
      </c>
      <c r="D921" s="906" t="s">
        <v>848</v>
      </c>
      <c r="E921" s="907">
        <f>GLOBAL_DER_FEV_2023!E921</f>
        <v>0</v>
      </c>
      <c r="F921" s="908">
        <f>GLOBAL_DER_FEV_2023!F921</f>
        <v>0</v>
      </c>
      <c r="G921" s="912">
        <f>GLOBAL_DER_FEV_2023!G921</f>
        <v>0</v>
      </c>
      <c r="H921" s="901">
        <f>GLOBAL_DER_FEV_2023!H921</f>
        <v>45.94</v>
      </c>
      <c r="I921" s="901">
        <f>GLOBAL_DER_FEV_2023!I921</f>
        <v>45.94</v>
      </c>
      <c r="J921" s="902">
        <f>GLOBAL_DER_FEV_2023!J921</f>
        <v>55.16</v>
      </c>
      <c r="K921" s="903" t="s">
        <v>1516</v>
      </c>
      <c r="L921" s="1137"/>
      <c r="M921" s="1138">
        <f t="shared" si="67"/>
        <v>0</v>
      </c>
      <c r="N921" s="893">
        <f t="shared" si="66"/>
        <v>0</v>
      </c>
      <c r="O921" s="905"/>
      <c r="Q921" s="317" t="str">
        <f t="shared" si="63"/>
        <v/>
      </c>
      <c r="R921" s="317" t="str">
        <f t="shared" si="64"/>
        <v/>
      </c>
      <c r="S921" s="317" t="str">
        <f t="shared" si="65"/>
        <v/>
      </c>
      <c r="T921" s="317" t="str">
        <f>GLOBAL_DER_FEV_2023!S921</f>
        <v/>
      </c>
      <c r="W921" s="582">
        <v>0</v>
      </c>
      <c r="X921" s="580"/>
      <c r="Y921" s="583">
        <f>IF(GLOBAL_DER_FEV_2023!W921=0,0,IF(GLOBAL_DER_FEV_2023!W921&gt;0,"c","b"))</f>
        <v>0</v>
      </c>
    </row>
    <row r="922" spans="1:25" ht="23.25" hidden="1" thickBot="1" x14ac:dyDescent="0.25">
      <c r="A922" s="317">
        <v>102110</v>
      </c>
      <c r="B922" s="895">
        <v>102110</v>
      </c>
      <c r="C922" s="896" t="s">
        <v>596</v>
      </c>
      <c r="D922" s="906" t="s">
        <v>849</v>
      </c>
      <c r="E922" s="907">
        <f>GLOBAL_DER_FEV_2023!E922</f>
        <v>0</v>
      </c>
      <c r="F922" s="908">
        <f>GLOBAL_DER_FEV_2023!F922</f>
        <v>0</v>
      </c>
      <c r="G922" s="912">
        <f>GLOBAL_DER_FEV_2023!G922</f>
        <v>0</v>
      </c>
      <c r="H922" s="901">
        <f>GLOBAL_DER_FEV_2023!H922</f>
        <v>110.92</v>
      </c>
      <c r="I922" s="901">
        <f>GLOBAL_DER_FEV_2023!I922</f>
        <v>110.92</v>
      </c>
      <c r="J922" s="902">
        <f>GLOBAL_DER_FEV_2023!J922</f>
        <v>133.18</v>
      </c>
      <c r="K922" s="903" t="s">
        <v>1516</v>
      </c>
      <c r="L922" s="1137"/>
      <c r="M922" s="1138">
        <f t="shared" si="67"/>
        <v>0</v>
      </c>
      <c r="N922" s="893">
        <f t="shared" si="66"/>
        <v>0</v>
      </c>
      <c r="O922" s="905"/>
      <c r="Q922" s="317" t="str">
        <f t="shared" si="63"/>
        <v/>
      </c>
      <c r="R922" s="317" t="str">
        <f t="shared" si="64"/>
        <v/>
      </c>
      <c r="S922" s="317" t="str">
        <f t="shared" si="65"/>
        <v/>
      </c>
      <c r="T922" s="317" t="str">
        <f>GLOBAL_DER_FEV_2023!S922</f>
        <v/>
      </c>
      <c r="W922" s="582">
        <v>0</v>
      </c>
      <c r="X922" s="580"/>
      <c r="Y922" s="583">
        <f>IF(GLOBAL_DER_FEV_2023!W922=0,0,IF(GLOBAL_DER_FEV_2023!W922&gt;0,"c","b"))</f>
        <v>0</v>
      </c>
    </row>
    <row r="923" spans="1:25" ht="23.25" hidden="1" thickBot="1" x14ac:dyDescent="0.25">
      <c r="A923" s="317">
        <v>100619</v>
      </c>
      <c r="B923" s="895">
        <v>100619</v>
      </c>
      <c r="C923" s="896" t="s">
        <v>596</v>
      </c>
      <c r="D923" s="906" t="s">
        <v>850</v>
      </c>
      <c r="E923" s="907">
        <f>GLOBAL_DER_FEV_2023!E923</f>
        <v>0</v>
      </c>
      <c r="F923" s="908">
        <f>GLOBAL_DER_FEV_2023!F923</f>
        <v>0</v>
      </c>
      <c r="G923" s="912">
        <f>GLOBAL_DER_FEV_2023!G923</f>
        <v>0</v>
      </c>
      <c r="H923" s="901">
        <f>GLOBAL_DER_FEV_2023!H923</f>
        <v>601.52</v>
      </c>
      <c r="I923" s="901">
        <f>GLOBAL_DER_FEV_2023!I923</f>
        <v>601.52</v>
      </c>
      <c r="J923" s="902">
        <f>GLOBAL_DER_FEV_2023!J923</f>
        <v>722.25</v>
      </c>
      <c r="K923" s="903" t="s">
        <v>1516</v>
      </c>
      <c r="L923" s="1137"/>
      <c r="M923" s="1138">
        <f t="shared" si="67"/>
        <v>0</v>
      </c>
      <c r="N923" s="893">
        <f t="shared" si="66"/>
        <v>0</v>
      </c>
      <c r="O923" s="905"/>
      <c r="Q923" s="317" t="str">
        <f t="shared" ref="Q923:Q986" si="68">IF(P923="X","x",IF(P923="xx","x",IF(P923="xy","x",IF(P923="y","x",IF(OR(N923&gt;0,N923&gt;0),"x","")))))</f>
        <v/>
      </c>
      <c r="R923" s="317" t="str">
        <f t="shared" si="64"/>
        <v/>
      </c>
      <c r="S923" s="317" t="str">
        <f t="shared" si="65"/>
        <v/>
      </c>
      <c r="T923" s="317" t="str">
        <f>GLOBAL_DER_FEV_2023!S923</f>
        <v/>
      </c>
      <c r="W923" s="582">
        <v>0</v>
      </c>
      <c r="X923" s="580"/>
      <c r="Y923" s="583">
        <f>IF(GLOBAL_DER_FEV_2023!W923=0,0,IF(GLOBAL_DER_FEV_2023!W923&gt;0,"c","b"))</f>
        <v>0</v>
      </c>
    </row>
    <row r="924" spans="1:25" ht="23.25" hidden="1" thickBot="1" x14ac:dyDescent="0.25">
      <c r="A924" s="317">
        <v>100620</v>
      </c>
      <c r="B924" s="895">
        <v>100620</v>
      </c>
      <c r="C924" s="896" t="s">
        <v>596</v>
      </c>
      <c r="D924" s="906" t="s">
        <v>851</v>
      </c>
      <c r="E924" s="907">
        <f>GLOBAL_DER_FEV_2023!E924</f>
        <v>0</v>
      </c>
      <c r="F924" s="908">
        <f>GLOBAL_DER_FEV_2023!F924</f>
        <v>0</v>
      </c>
      <c r="G924" s="912">
        <f>GLOBAL_DER_FEV_2023!G924</f>
        <v>0</v>
      </c>
      <c r="H924" s="901">
        <f>GLOBAL_DER_FEV_2023!H924</f>
        <v>3497.06</v>
      </c>
      <c r="I924" s="901">
        <f>GLOBAL_DER_FEV_2023!I924</f>
        <v>3497.06</v>
      </c>
      <c r="J924" s="902">
        <f>GLOBAL_DER_FEV_2023!J924</f>
        <v>4198.92</v>
      </c>
      <c r="K924" s="903" t="s">
        <v>1516</v>
      </c>
      <c r="L924" s="1137"/>
      <c r="M924" s="1138">
        <f t="shared" si="67"/>
        <v>0</v>
      </c>
      <c r="N924" s="893">
        <f t="shared" si="66"/>
        <v>0</v>
      </c>
      <c r="O924" s="905"/>
      <c r="Q924" s="317" t="str">
        <f t="shared" si="68"/>
        <v/>
      </c>
      <c r="R924" s="317" t="str">
        <f t="shared" si="64"/>
        <v/>
      </c>
      <c r="S924" s="317" t="str">
        <f t="shared" si="65"/>
        <v/>
      </c>
      <c r="T924" s="317" t="str">
        <f>GLOBAL_DER_FEV_2023!S924</f>
        <v/>
      </c>
      <c r="W924" s="582">
        <v>0</v>
      </c>
      <c r="X924" s="580"/>
      <c r="Y924" s="583">
        <f>IF(GLOBAL_DER_FEV_2023!W924=0,0,IF(GLOBAL_DER_FEV_2023!W924&gt;0,"c","b"))</f>
        <v>0</v>
      </c>
    </row>
    <row r="925" spans="1:25" ht="23.25" hidden="1" thickBot="1" x14ac:dyDescent="0.25">
      <c r="A925" s="317">
        <v>100621</v>
      </c>
      <c r="B925" s="895">
        <v>100621</v>
      </c>
      <c r="C925" s="896" t="s">
        <v>596</v>
      </c>
      <c r="D925" s="906" t="s">
        <v>852</v>
      </c>
      <c r="E925" s="907">
        <f>GLOBAL_DER_FEV_2023!E925</f>
        <v>0</v>
      </c>
      <c r="F925" s="908">
        <f>GLOBAL_DER_FEV_2023!F925</f>
        <v>0</v>
      </c>
      <c r="G925" s="912">
        <f>GLOBAL_DER_FEV_2023!G925</f>
        <v>0</v>
      </c>
      <c r="H925" s="901">
        <f>GLOBAL_DER_FEV_2023!H925</f>
        <v>3985.57</v>
      </c>
      <c r="I925" s="901">
        <f>GLOBAL_DER_FEV_2023!I925</f>
        <v>3985.57</v>
      </c>
      <c r="J925" s="902">
        <f>GLOBAL_DER_FEV_2023!J925</f>
        <v>4785.47</v>
      </c>
      <c r="K925" s="903" t="s">
        <v>1516</v>
      </c>
      <c r="L925" s="1137"/>
      <c r="M925" s="1138">
        <f t="shared" si="67"/>
        <v>0</v>
      </c>
      <c r="N925" s="893">
        <f t="shared" si="66"/>
        <v>0</v>
      </c>
      <c r="O925" s="905"/>
      <c r="Q925" s="317" t="str">
        <f t="shared" si="68"/>
        <v/>
      </c>
      <c r="R925" s="317" t="str">
        <f t="shared" ref="R925:R988" si="69">IF(P925="X","x",IF(P925="y","x",IF(P925="xx","x",IF(N925&gt;0,"x",""))))</f>
        <v/>
      </c>
      <c r="S925" s="317" t="str">
        <f t="shared" ref="S925:S988" si="70">IF(P925="X","x",IF(N925&gt;0,"x",""))</f>
        <v/>
      </c>
      <c r="T925" s="317" t="str">
        <f>GLOBAL_DER_FEV_2023!S925</f>
        <v/>
      </c>
      <c r="W925" s="582">
        <v>0</v>
      </c>
      <c r="X925" s="580"/>
      <c r="Y925" s="583">
        <f>IF(GLOBAL_DER_FEV_2023!W925=0,0,IF(GLOBAL_DER_FEV_2023!W925&gt;0,"c","b"))</f>
        <v>0</v>
      </c>
    </row>
    <row r="926" spans="1:25" ht="23.25" hidden="1" thickBot="1" x14ac:dyDescent="0.25">
      <c r="A926" s="317">
        <v>100622</v>
      </c>
      <c r="B926" s="895">
        <v>100622</v>
      </c>
      <c r="C926" s="896" t="s">
        <v>596</v>
      </c>
      <c r="D926" s="906" t="s">
        <v>853</v>
      </c>
      <c r="E926" s="907">
        <f>GLOBAL_DER_FEV_2023!E926</f>
        <v>0</v>
      </c>
      <c r="F926" s="908">
        <f>GLOBAL_DER_FEV_2023!F926</f>
        <v>0</v>
      </c>
      <c r="G926" s="912">
        <f>GLOBAL_DER_FEV_2023!G926</f>
        <v>0</v>
      </c>
      <c r="H926" s="901">
        <f>GLOBAL_DER_FEV_2023!H926</f>
        <v>2579.4299999999998</v>
      </c>
      <c r="I926" s="901">
        <f>GLOBAL_DER_FEV_2023!I926</f>
        <v>2579.4299999999998</v>
      </c>
      <c r="J926" s="902">
        <f>GLOBAL_DER_FEV_2023!J926</f>
        <v>3097.12</v>
      </c>
      <c r="K926" s="903" t="s">
        <v>1516</v>
      </c>
      <c r="L926" s="1137"/>
      <c r="M926" s="1138">
        <f t="shared" si="67"/>
        <v>0</v>
      </c>
      <c r="N926" s="893">
        <f t="shared" si="66"/>
        <v>0</v>
      </c>
      <c r="O926" s="905"/>
      <c r="Q926" s="317" t="str">
        <f t="shared" si="68"/>
        <v/>
      </c>
      <c r="R926" s="317" t="str">
        <f t="shared" si="69"/>
        <v/>
      </c>
      <c r="S926" s="317" t="str">
        <f t="shared" si="70"/>
        <v/>
      </c>
      <c r="T926" s="317" t="str">
        <f>GLOBAL_DER_FEV_2023!S926</f>
        <v/>
      </c>
      <c r="W926" s="582">
        <v>0</v>
      </c>
      <c r="X926" s="580"/>
      <c r="Y926" s="583">
        <f>IF(GLOBAL_DER_FEV_2023!W926=0,0,IF(GLOBAL_DER_FEV_2023!W926&gt;0,"c","b"))</f>
        <v>0</v>
      </c>
    </row>
    <row r="927" spans="1:25" ht="23.25" hidden="1" thickBot="1" x14ac:dyDescent="0.25">
      <c r="A927" s="317">
        <v>100623</v>
      </c>
      <c r="B927" s="895">
        <v>100623</v>
      </c>
      <c r="C927" s="896" t="s">
        <v>596</v>
      </c>
      <c r="D927" s="906" t="s">
        <v>854</v>
      </c>
      <c r="E927" s="907">
        <f>GLOBAL_DER_FEV_2023!E927</f>
        <v>0</v>
      </c>
      <c r="F927" s="908">
        <f>GLOBAL_DER_FEV_2023!F927</f>
        <v>0</v>
      </c>
      <c r="G927" s="912">
        <f>GLOBAL_DER_FEV_2023!G927</f>
        <v>0</v>
      </c>
      <c r="H927" s="901">
        <f>GLOBAL_DER_FEV_2023!H927</f>
        <v>2785.78</v>
      </c>
      <c r="I927" s="901">
        <f>GLOBAL_DER_FEV_2023!I927</f>
        <v>2785.78</v>
      </c>
      <c r="J927" s="902">
        <f>GLOBAL_DER_FEV_2023!J927</f>
        <v>3344.89</v>
      </c>
      <c r="K927" s="903" t="s">
        <v>1516</v>
      </c>
      <c r="L927" s="1137"/>
      <c r="M927" s="1138">
        <f t="shared" si="67"/>
        <v>0</v>
      </c>
      <c r="N927" s="893">
        <f t="shared" si="66"/>
        <v>0</v>
      </c>
      <c r="O927" s="905"/>
      <c r="Q927" s="317" t="str">
        <f t="shared" si="68"/>
        <v/>
      </c>
      <c r="R927" s="317" t="str">
        <f t="shared" si="69"/>
        <v/>
      </c>
      <c r="S927" s="317" t="str">
        <f t="shared" si="70"/>
        <v/>
      </c>
      <c r="T927" s="317" t="str">
        <f>GLOBAL_DER_FEV_2023!S927</f>
        <v/>
      </c>
      <c r="W927" s="582">
        <v>0</v>
      </c>
      <c r="X927" s="580"/>
      <c r="Y927" s="583">
        <f>IF(GLOBAL_DER_FEV_2023!W927=0,0,IF(GLOBAL_DER_FEV_2023!W927&gt;0,"c","b"))</f>
        <v>0</v>
      </c>
    </row>
    <row r="928" spans="1:25" ht="34.5" hidden="1" thickBot="1" x14ac:dyDescent="0.25">
      <c r="A928" s="317">
        <v>100578</v>
      </c>
      <c r="B928" s="895">
        <v>100578</v>
      </c>
      <c r="C928" s="896" t="s">
        <v>596</v>
      </c>
      <c r="D928" s="906" t="s">
        <v>855</v>
      </c>
      <c r="E928" s="907">
        <f>GLOBAL_DER_FEV_2023!E928</f>
        <v>0</v>
      </c>
      <c r="F928" s="908">
        <f>GLOBAL_DER_FEV_2023!F928</f>
        <v>0</v>
      </c>
      <c r="G928" s="912">
        <f>GLOBAL_DER_FEV_2023!G928</f>
        <v>0</v>
      </c>
      <c r="H928" s="901">
        <f>GLOBAL_DER_FEV_2023!H928</f>
        <v>509.26</v>
      </c>
      <c r="I928" s="901">
        <f>GLOBAL_DER_FEV_2023!I928</f>
        <v>509.26</v>
      </c>
      <c r="J928" s="902">
        <f>GLOBAL_DER_FEV_2023!J928</f>
        <v>611.47</v>
      </c>
      <c r="K928" s="903" t="s">
        <v>1516</v>
      </c>
      <c r="L928" s="1137"/>
      <c r="M928" s="1138">
        <f t="shared" si="67"/>
        <v>0</v>
      </c>
      <c r="N928" s="893">
        <f t="shared" si="66"/>
        <v>0</v>
      </c>
      <c r="O928" s="905"/>
      <c r="Q928" s="317" t="str">
        <f t="shared" si="68"/>
        <v/>
      </c>
      <c r="R928" s="317" t="str">
        <f t="shared" si="69"/>
        <v/>
      </c>
      <c r="S928" s="317" t="str">
        <f t="shared" si="70"/>
        <v/>
      </c>
      <c r="T928" s="317" t="str">
        <f>GLOBAL_DER_FEV_2023!S928</f>
        <v/>
      </c>
      <c r="W928" s="582">
        <v>0</v>
      </c>
      <c r="X928" s="580"/>
      <c r="Y928" s="583">
        <f>IF(GLOBAL_DER_FEV_2023!W928=0,0,IF(GLOBAL_DER_FEV_2023!W928&gt;0,"c","b"))</f>
        <v>0</v>
      </c>
    </row>
    <row r="929" spans="1:25" ht="34.5" hidden="1" thickBot="1" x14ac:dyDescent="0.25">
      <c r="A929" s="317">
        <v>100579</v>
      </c>
      <c r="B929" s="895">
        <v>100579</v>
      </c>
      <c r="C929" s="896" t="s">
        <v>596</v>
      </c>
      <c r="D929" s="906" t="s">
        <v>856</v>
      </c>
      <c r="E929" s="907">
        <f>GLOBAL_DER_FEV_2023!E929</f>
        <v>0</v>
      </c>
      <c r="F929" s="908">
        <f>GLOBAL_DER_FEV_2023!F929</f>
        <v>0</v>
      </c>
      <c r="G929" s="912">
        <f>GLOBAL_DER_FEV_2023!G929</f>
        <v>0</v>
      </c>
      <c r="H929" s="901">
        <f>GLOBAL_DER_FEV_2023!H929</f>
        <v>558</v>
      </c>
      <c r="I929" s="901">
        <f>GLOBAL_DER_FEV_2023!I929</f>
        <v>558</v>
      </c>
      <c r="J929" s="902">
        <f>GLOBAL_DER_FEV_2023!J929</f>
        <v>669.99</v>
      </c>
      <c r="K929" s="903" t="s">
        <v>1516</v>
      </c>
      <c r="L929" s="1137"/>
      <c r="M929" s="1138">
        <f t="shared" si="67"/>
        <v>0</v>
      </c>
      <c r="N929" s="893">
        <f t="shared" ref="N929:N992" si="71">IF(ISBLANK(L929),0,IF(W929=0,ROUND(L929*M929,2),IF(W929="b",ROUNDDOWN(L929*M929,2),ROUNDUP(L929*M929,2))))</f>
        <v>0</v>
      </c>
      <c r="O929" s="905"/>
      <c r="Q929" s="317" t="str">
        <f t="shared" si="68"/>
        <v/>
      </c>
      <c r="R929" s="317" t="str">
        <f t="shared" si="69"/>
        <v/>
      </c>
      <c r="S929" s="317" t="str">
        <f t="shared" si="70"/>
        <v/>
      </c>
      <c r="T929" s="317" t="str">
        <f>GLOBAL_DER_FEV_2023!S929</f>
        <v/>
      </c>
      <c r="W929" s="582">
        <v>0</v>
      </c>
      <c r="X929" s="580"/>
      <c r="Y929" s="583">
        <f>IF(GLOBAL_DER_FEV_2023!W929=0,0,IF(GLOBAL_DER_FEV_2023!W929&gt;0,"c","b"))</f>
        <v>0</v>
      </c>
    </row>
    <row r="930" spans="1:25" ht="34.5" hidden="1" thickBot="1" x14ac:dyDescent="0.25">
      <c r="A930" s="317">
        <v>100580</v>
      </c>
      <c r="B930" s="895">
        <v>100580</v>
      </c>
      <c r="C930" s="896" t="s">
        <v>596</v>
      </c>
      <c r="D930" s="906" t="s">
        <v>857</v>
      </c>
      <c r="E930" s="907">
        <f>GLOBAL_DER_FEV_2023!E930</f>
        <v>0</v>
      </c>
      <c r="F930" s="908">
        <f>GLOBAL_DER_FEV_2023!F930</f>
        <v>0</v>
      </c>
      <c r="G930" s="912">
        <f>GLOBAL_DER_FEV_2023!G930</f>
        <v>0</v>
      </c>
      <c r="H930" s="901">
        <f>GLOBAL_DER_FEV_2023!H930</f>
        <v>615.13</v>
      </c>
      <c r="I930" s="901">
        <f>GLOBAL_DER_FEV_2023!I930</f>
        <v>615.13</v>
      </c>
      <c r="J930" s="902">
        <f>GLOBAL_DER_FEV_2023!J930</f>
        <v>738.59</v>
      </c>
      <c r="K930" s="903" t="s">
        <v>1516</v>
      </c>
      <c r="L930" s="1137"/>
      <c r="M930" s="1138">
        <f t="shared" si="67"/>
        <v>0</v>
      </c>
      <c r="N930" s="893">
        <f t="shared" si="71"/>
        <v>0</v>
      </c>
      <c r="O930" s="905"/>
      <c r="Q930" s="317" t="str">
        <f t="shared" si="68"/>
        <v/>
      </c>
      <c r="R930" s="317" t="str">
        <f t="shared" si="69"/>
        <v/>
      </c>
      <c r="S930" s="317" t="str">
        <f t="shared" si="70"/>
        <v/>
      </c>
      <c r="T930" s="317" t="str">
        <f>GLOBAL_DER_FEV_2023!S930</f>
        <v/>
      </c>
      <c r="W930" s="582">
        <v>0</v>
      </c>
      <c r="X930" s="580"/>
      <c r="Y930" s="583">
        <f>IF(GLOBAL_DER_FEV_2023!W930=0,0,IF(GLOBAL_DER_FEV_2023!W930&gt;0,"c","b"))</f>
        <v>0</v>
      </c>
    </row>
    <row r="931" spans="1:25" ht="34.5" hidden="1" thickBot="1" x14ac:dyDescent="0.25">
      <c r="A931" s="317">
        <v>100581</v>
      </c>
      <c r="B931" s="895">
        <v>100581</v>
      </c>
      <c r="C931" s="896" t="s">
        <v>596</v>
      </c>
      <c r="D931" s="906" t="s">
        <v>858</v>
      </c>
      <c r="E931" s="907">
        <f>GLOBAL_DER_FEV_2023!E931</f>
        <v>0</v>
      </c>
      <c r="F931" s="908">
        <f>GLOBAL_DER_FEV_2023!F931</f>
        <v>0</v>
      </c>
      <c r="G931" s="912">
        <f>GLOBAL_DER_FEV_2023!G931</f>
        <v>0</v>
      </c>
      <c r="H931" s="901">
        <f>GLOBAL_DER_FEV_2023!H931</f>
        <v>582.14</v>
      </c>
      <c r="I931" s="901">
        <f>GLOBAL_DER_FEV_2023!I931</f>
        <v>582.14</v>
      </c>
      <c r="J931" s="902">
        <f>GLOBAL_DER_FEV_2023!J931</f>
        <v>698.98</v>
      </c>
      <c r="K931" s="903" t="s">
        <v>1516</v>
      </c>
      <c r="L931" s="1137"/>
      <c r="M931" s="1138">
        <f t="shared" si="67"/>
        <v>0</v>
      </c>
      <c r="N931" s="893">
        <f t="shared" si="71"/>
        <v>0</v>
      </c>
      <c r="O931" s="905"/>
      <c r="Q931" s="317" t="str">
        <f t="shared" si="68"/>
        <v/>
      </c>
      <c r="R931" s="317" t="str">
        <f t="shared" si="69"/>
        <v/>
      </c>
      <c r="S931" s="317" t="str">
        <f t="shared" si="70"/>
        <v/>
      </c>
      <c r="T931" s="317" t="str">
        <f>GLOBAL_DER_FEV_2023!S931</f>
        <v/>
      </c>
      <c r="W931" s="582">
        <v>0</v>
      </c>
      <c r="X931" s="580"/>
      <c r="Y931" s="583">
        <f>IF(GLOBAL_DER_FEV_2023!W931=0,0,IF(GLOBAL_DER_FEV_2023!W931&gt;0,"c","b"))</f>
        <v>0</v>
      </c>
    </row>
    <row r="932" spans="1:25" ht="34.5" hidden="1" thickBot="1" x14ac:dyDescent="0.25">
      <c r="A932" s="317">
        <v>100582</v>
      </c>
      <c r="B932" s="895">
        <v>100582</v>
      </c>
      <c r="C932" s="896" t="s">
        <v>596</v>
      </c>
      <c r="D932" s="906" t="s">
        <v>859</v>
      </c>
      <c r="E932" s="907">
        <f>GLOBAL_DER_FEV_2023!E932</f>
        <v>0</v>
      </c>
      <c r="F932" s="908">
        <f>GLOBAL_DER_FEV_2023!F932</f>
        <v>0</v>
      </c>
      <c r="G932" s="912">
        <f>GLOBAL_DER_FEV_2023!G932</f>
        <v>0</v>
      </c>
      <c r="H932" s="901">
        <f>GLOBAL_DER_FEV_2023!H932</f>
        <v>685.15</v>
      </c>
      <c r="I932" s="901">
        <f>GLOBAL_DER_FEV_2023!I932</f>
        <v>685.15</v>
      </c>
      <c r="J932" s="902">
        <f>GLOBAL_DER_FEV_2023!J932</f>
        <v>822.66</v>
      </c>
      <c r="K932" s="903" t="s">
        <v>1516</v>
      </c>
      <c r="L932" s="1137"/>
      <c r="M932" s="1138">
        <f t="shared" si="67"/>
        <v>0</v>
      </c>
      <c r="N932" s="893">
        <f t="shared" si="71"/>
        <v>0</v>
      </c>
      <c r="O932" s="905"/>
      <c r="Q932" s="317" t="str">
        <f t="shared" si="68"/>
        <v/>
      </c>
      <c r="R932" s="317" t="str">
        <f t="shared" si="69"/>
        <v/>
      </c>
      <c r="S932" s="317" t="str">
        <f t="shared" si="70"/>
        <v/>
      </c>
      <c r="T932" s="317" t="str">
        <f>GLOBAL_DER_FEV_2023!S932</f>
        <v/>
      </c>
      <c r="W932" s="582">
        <v>0</v>
      </c>
      <c r="X932" s="580"/>
      <c r="Y932" s="583">
        <f>IF(GLOBAL_DER_FEV_2023!W932=0,0,IF(GLOBAL_DER_FEV_2023!W932&gt;0,"c","b"))</f>
        <v>0</v>
      </c>
    </row>
    <row r="933" spans="1:25" ht="34.5" hidden="1" thickBot="1" x14ac:dyDescent="0.25">
      <c r="A933" s="317">
        <v>100583</v>
      </c>
      <c r="B933" s="895">
        <v>100583</v>
      </c>
      <c r="C933" s="896" t="s">
        <v>596</v>
      </c>
      <c r="D933" s="906" t="s">
        <v>860</v>
      </c>
      <c r="E933" s="907">
        <f>GLOBAL_DER_FEV_2023!E933</f>
        <v>0</v>
      </c>
      <c r="F933" s="908">
        <f>GLOBAL_DER_FEV_2023!F933</f>
        <v>0</v>
      </c>
      <c r="G933" s="912">
        <f>GLOBAL_DER_FEV_2023!G933</f>
        <v>0</v>
      </c>
      <c r="H933" s="901">
        <f>GLOBAL_DER_FEV_2023!H933</f>
        <v>608.13</v>
      </c>
      <c r="I933" s="901">
        <f>GLOBAL_DER_FEV_2023!I933</f>
        <v>608.13</v>
      </c>
      <c r="J933" s="902">
        <f>GLOBAL_DER_FEV_2023!J933</f>
        <v>730.18</v>
      </c>
      <c r="K933" s="903" t="s">
        <v>1516</v>
      </c>
      <c r="L933" s="1137"/>
      <c r="M933" s="1138">
        <f t="shared" si="67"/>
        <v>0</v>
      </c>
      <c r="N933" s="893">
        <f t="shared" si="71"/>
        <v>0</v>
      </c>
      <c r="O933" s="905"/>
      <c r="Q933" s="317" t="str">
        <f t="shared" si="68"/>
        <v/>
      </c>
      <c r="R933" s="317" t="str">
        <f t="shared" si="69"/>
        <v/>
      </c>
      <c r="S933" s="317" t="str">
        <f t="shared" si="70"/>
        <v/>
      </c>
      <c r="T933" s="317" t="str">
        <f>GLOBAL_DER_FEV_2023!S933</f>
        <v/>
      </c>
      <c r="W933" s="582">
        <v>0</v>
      </c>
      <c r="X933" s="580"/>
      <c r="Y933" s="583">
        <f>IF(GLOBAL_DER_FEV_2023!W933=0,0,IF(GLOBAL_DER_FEV_2023!W933&gt;0,"c","b"))</f>
        <v>0</v>
      </c>
    </row>
    <row r="934" spans="1:25" ht="34.5" hidden="1" thickBot="1" x14ac:dyDescent="0.25">
      <c r="A934" s="317">
        <v>100584</v>
      </c>
      <c r="B934" s="895">
        <v>100584</v>
      </c>
      <c r="C934" s="896" t="s">
        <v>596</v>
      </c>
      <c r="D934" s="906" t="s">
        <v>861</v>
      </c>
      <c r="E934" s="907">
        <f>GLOBAL_DER_FEV_2023!E934</f>
        <v>0</v>
      </c>
      <c r="F934" s="908">
        <f>GLOBAL_DER_FEV_2023!F934</f>
        <v>0</v>
      </c>
      <c r="G934" s="912">
        <f>GLOBAL_DER_FEV_2023!G934</f>
        <v>0</v>
      </c>
      <c r="H934" s="901">
        <f>GLOBAL_DER_FEV_2023!H934</f>
        <v>670.05</v>
      </c>
      <c r="I934" s="901">
        <f>GLOBAL_DER_FEV_2023!I934</f>
        <v>670.05</v>
      </c>
      <c r="J934" s="902">
        <f>GLOBAL_DER_FEV_2023!J934</f>
        <v>804.53</v>
      </c>
      <c r="K934" s="903" t="s">
        <v>1516</v>
      </c>
      <c r="L934" s="1137"/>
      <c r="M934" s="1138">
        <f t="shared" si="67"/>
        <v>0</v>
      </c>
      <c r="N934" s="893">
        <f t="shared" si="71"/>
        <v>0</v>
      </c>
      <c r="O934" s="905"/>
      <c r="Q934" s="317" t="str">
        <f t="shared" si="68"/>
        <v/>
      </c>
      <c r="R934" s="317" t="str">
        <f t="shared" si="69"/>
        <v/>
      </c>
      <c r="S934" s="317" t="str">
        <f t="shared" si="70"/>
        <v/>
      </c>
      <c r="T934" s="317" t="str">
        <f>GLOBAL_DER_FEV_2023!S934</f>
        <v/>
      </c>
      <c r="W934" s="582">
        <v>0</v>
      </c>
      <c r="X934" s="580"/>
      <c r="Y934" s="583">
        <f>IF(GLOBAL_DER_FEV_2023!W934=0,0,IF(GLOBAL_DER_FEV_2023!W934&gt;0,"c","b"))</f>
        <v>0</v>
      </c>
    </row>
    <row r="935" spans="1:25" ht="34.5" hidden="1" thickBot="1" x14ac:dyDescent="0.25">
      <c r="A935" s="317">
        <v>100585</v>
      </c>
      <c r="B935" s="895">
        <v>100585</v>
      </c>
      <c r="C935" s="896" t="s">
        <v>596</v>
      </c>
      <c r="D935" s="906" t="s">
        <v>862</v>
      </c>
      <c r="E935" s="907">
        <f>GLOBAL_DER_FEV_2023!E935</f>
        <v>0</v>
      </c>
      <c r="F935" s="908">
        <f>GLOBAL_DER_FEV_2023!F935</f>
        <v>0</v>
      </c>
      <c r="G935" s="912">
        <f>GLOBAL_DER_FEV_2023!G935</f>
        <v>0</v>
      </c>
      <c r="H935" s="901">
        <f>GLOBAL_DER_FEV_2023!H935</f>
        <v>658.54</v>
      </c>
      <c r="I935" s="901">
        <f>GLOBAL_DER_FEV_2023!I935</f>
        <v>658.54</v>
      </c>
      <c r="J935" s="902">
        <f>GLOBAL_DER_FEV_2023!J935</f>
        <v>790.71</v>
      </c>
      <c r="K935" s="903" t="s">
        <v>1516</v>
      </c>
      <c r="L935" s="1137"/>
      <c r="M935" s="1138">
        <f t="shared" si="67"/>
        <v>0</v>
      </c>
      <c r="N935" s="893">
        <f t="shared" si="71"/>
        <v>0</v>
      </c>
      <c r="O935" s="905"/>
      <c r="Q935" s="317" t="str">
        <f t="shared" si="68"/>
        <v/>
      </c>
      <c r="R935" s="317" t="str">
        <f t="shared" si="69"/>
        <v/>
      </c>
      <c r="S935" s="317" t="str">
        <f t="shared" si="70"/>
        <v/>
      </c>
      <c r="T935" s="317" t="str">
        <f>GLOBAL_DER_FEV_2023!S935</f>
        <v/>
      </c>
      <c r="W935" s="582">
        <v>0</v>
      </c>
      <c r="X935" s="580"/>
      <c r="Y935" s="583">
        <f>IF(GLOBAL_DER_FEV_2023!W935=0,0,IF(GLOBAL_DER_FEV_2023!W935&gt;0,"c","b"))</f>
        <v>0</v>
      </c>
    </row>
    <row r="936" spans="1:25" ht="34.5" hidden="1" thickBot="1" x14ac:dyDescent="0.25">
      <c r="A936" s="317">
        <v>100586</v>
      </c>
      <c r="B936" s="895">
        <v>100586</v>
      </c>
      <c r="C936" s="896" t="s">
        <v>596</v>
      </c>
      <c r="D936" s="906" t="s">
        <v>863</v>
      </c>
      <c r="E936" s="907">
        <f>GLOBAL_DER_FEV_2023!E936</f>
        <v>0</v>
      </c>
      <c r="F936" s="908">
        <f>GLOBAL_DER_FEV_2023!F936</f>
        <v>0</v>
      </c>
      <c r="G936" s="912">
        <f>GLOBAL_DER_FEV_2023!G936</f>
        <v>0</v>
      </c>
      <c r="H936" s="901">
        <f>GLOBAL_DER_FEV_2023!H936</f>
        <v>757.16</v>
      </c>
      <c r="I936" s="901">
        <f>GLOBAL_DER_FEV_2023!I936</f>
        <v>757.16</v>
      </c>
      <c r="J936" s="902">
        <f>GLOBAL_DER_FEV_2023!J936</f>
        <v>909.12</v>
      </c>
      <c r="K936" s="903" t="s">
        <v>1516</v>
      </c>
      <c r="L936" s="1137"/>
      <c r="M936" s="1138">
        <f t="shared" si="67"/>
        <v>0</v>
      </c>
      <c r="N936" s="893">
        <f t="shared" si="71"/>
        <v>0</v>
      </c>
      <c r="O936" s="905"/>
      <c r="Q936" s="317" t="str">
        <f t="shared" si="68"/>
        <v/>
      </c>
      <c r="R936" s="317" t="str">
        <f t="shared" si="69"/>
        <v/>
      </c>
      <c r="S936" s="317" t="str">
        <f t="shared" si="70"/>
        <v/>
      </c>
      <c r="T936" s="317" t="str">
        <f>GLOBAL_DER_FEV_2023!S936</f>
        <v/>
      </c>
      <c r="W936" s="582">
        <v>0</v>
      </c>
      <c r="X936" s="580"/>
      <c r="Y936" s="583">
        <f>IF(GLOBAL_DER_FEV_2023!W936=0,0,IF(GLOBAL_DER_FEV_2023!W936&gt;0,"c","b"))</f>
        <v>0</v>
      </c>
    </row>
    <row r="937" spans="1:25" ht="34.5" hidden="1" thickBot="1" x14ac:dyDescent="0.25">
      <c r="A937" s="317">
        <v>100587</v>
      </c>
      <c r="B937" s="895">
        <v>100587</v>
      </c>
      <c r="C937" s="896" t="s">
        <v>596</v>
      </c>
      <c r="D937" s="906" t="s">
        <v>864</v>
      </c>
      <c r="E937" s="907">
        <f>GLOBAL_DER_FEV_2023!E937</f>
        <v>0</v>
      </c>
      <c r="F937" s="908">
        <f>GLOBAL_DER_FEV_2023!F937</f>
        <v>0</v>
      </c>
      <c r="G937" s="912">
        <f>GLOBAL_DER_FEV_2023!G937</f>
        <v>0</v>
      </c>
      <c r="H937" s="901">
        <f>GLOBAL_DER_FEV_2023!H937</f>
        <v>710.91</v>
      </c>
      <c r="I937" s="901">
        <f>GLOBAL_DER_FEV_2023!I937</f>
        <v>710.91</v>
      </c>
      <c r="J937" s="902">
        <f>GLOBAL_DER_FEV_2023!J937</f>
        <v>853.59</v>
      </c>
      <c r="K937" s="903" t="s">
        <v>1516</v>
      </c>
      <c r="L937" s="1137"/>
      <c r="M937" s="1138">
        <f t="shared" si="67"/>
        <v>0</v>
      </c>
      <c r="N937" s="893">
        <f t="shared" si="71"/>
        <v>0</v>
      </c>
      <c r="O937" s="905"/>
      <c r="Q937" s="317" t="str">
        <f t="shared" si="68"/>
        <v/>
      </c>
      <c r="R937" s="317" t="str">
        <f t="shared" si="69"/>
        <v/>
      </c>
      <c r="S937" s="317" t="str">
        <f t="shared" si="70"/>
        <v/>
      </c>
      <c r="T937" s="317" t="str">
        <f>GLOBAL_DER_FEV_2023!S937</f>
        <v/>
      </c>
      <c r="W937" s="582">
        <v>0</v>
      </c>
      <c r="X937" s="580"/>
      <c r="Y937" s="583">
        <f>IF(GLOBAL_DER_FEV_2023!W937=0,0,IF(GLOBAL_DER_FEV_2023!W937&gt;0,"c","b"))</f>
        <v>0</v>
      </c>
    </row>
    <row r="938" spans="1:25" ht="34.5" hidden="1" thickBot="1" x14ac:dyDescent="0.25">
      <c r="A938" s="317">
        <v>100588</v>
      </c>
      <c r="B938" s="895">
        <v>100588</v>
      </c>
      <c r="C938" s="896" t="s">
        <v>596</v>
      </c>
      <c r="D938" s="906" t="s">
        <v>865</v>
      </c>
      <c r="E938" s="907">
        <f>GLOBAL_DER_FEV_2023!E938</f>
        <v>0</v>
      </c>
      <c r="F938" s="908">
        <f>GLOBAL_DER_FEV_2023!F938</f>
        <v>0</v>
      </c>
      <c r="G938" s="912">
        <f>GLOBAL_DER_FEV_2023!G938</f>
        <v>0</v>
      </c>
      <c r="H938" s="901">
        <f>GLOBAL_DER_FEV_2023!H938</f>
        <v>787.57</v>
      </c>
      <c r="I938" s="901">
        <f>GLOBAL_DER_FEV_2023!I938</f>
        <v>787.57</v>
      </c>
      <c r="J938" s="902">
        <f>GLOBAL_DER_FEV_2023!J938</f>
        <v>945.64</v>
      </c>
      <c r="K938" s="903" t="s">
        <v>1516</v>
      </c>
      <c r="L938" s="1137"/>
      <c r="M938" s="1138">
        <f t="shared" si="67"/>
        <v>0</v>
      </c>
      <c r="N938" s="893">
        <f t="shared" si="71"/>
        <v>0</v>
      </c>
      <c r="O938" s="905"/>
      <c r="Q938" s="317" t="str">
        <f t="shared" si="68"/>
        <v/>
      </c>
      <c r="R938" s="317" t="str">
        <f t="shared" si="69"/>
        <v/>
      </c>
      <c r="S938" s="317" t="str">
        <f t="shared" si="70"/>
        <v/>
      </c>
      <c r="T938" s="317" t="str">
        <f>GLOBAL_DER_FEV_2023!S938</f>
        <v/>
      </c>
      <c r="W938" s="582">
        <v>0</v>
      </c>
      <c r="X938" s="580"/>
      <c r="Y938" s="583">
        <f>IF(GLOBAL_DER_FEV_2023!W938=0,0,IF(GLOBAL_DER_FEV_2023!W938&gt;0,"c","b"))</f>
        <v>0</v>
      </c>
    </row>
    <row r="939" spans="1:25" ht="34.5" hidden="1" thickBot="1" x14ac:dyDescent="0.25">
      <c r="A939" s="317">
        <v>100589</v>
      </c>
      <c r="B939" s="895">
        <v>100589</v>
      </c>
      <c r="C939" s="896" t="s">
        <v>596</v>
      </c>
      <c r="D939" s="906" t="s">
        <v>866</v>
      </c>
      <c r="E939" s="907">
        <f>GLOBAL_DER_FEV_2023!E939</f>
        <v>0</v>
      </c>
      <c r="F939" s="908">
        <f>GLOBAL_DER_FEV_2023!F939</f>
        <v>0</v>
      </c>
      <c r="G939" s="912">
        <f>GLOBAL_DER_FEV_2023!G939</f>
        <v>0</v>
      </c>
      <c r="H939" s="901">
        <f>GLOBAL_DER_FEV_2023!H939</f>
        <v>790.38</v>
      </c>
      <c r="I939" s="901">
        <f>GLOBAL_DER_FEV_2023!I939</f>
        <v>790.38</v>
      </c>
      <c r="J939" s="902">
        <f>GLOBAL_DER_FEV_2023!J939</f>
        <v>949.01</v>
      </c>
      <c r="K939" s="903" t="s">
        <v>1516</v>
      </c>
      <c r="L939" s="1137"/>
      <c r="M939" s="1138">
        <f t="shared" si="67"/>
        <v>0</v>
      </c>
      <c r="N939" s="893">
        <f t="shared" si="71"/>
        <v>0</v>
      </c>
      <c r="O939" s="905"/>
      <c r="Q939" s="317" t="str">
        <f t="shared" si="68"/>
        <v/>
      </c>
      <c r="R939" s="317" t="str">
        <f t="shared" si="69"/>
        <v/>
      </c>
      <c r="S939" s="317" t="str">
        <f t="shared" si="70"/>
        <v/>
      </c>
      <c r="T939" s="317" t="str">
        <f>GLOBAL_DER_FEV_2023!S939</f>
        <v/>
      </c>
      <c r="W939" s="582">
        <v>0</v>
      </c>
      <c r="X939" s="580"/>
      <c r="Y939" s="583">
        <f>IF(GLOBAL_DER_FEV_2023!W939=0,0,IF(GLOBAL_DER_FEV_2023!W939&gt;0,"c","b"))</f>
        <v>0</v>
      </c>
    </row>
    <row r="940" spans="1:25" ht="34.5" hidden="1" thickBot="1" x14ac:dyDescent="0.25">
      <c r="A940" s="317">
        <v>100590</v>
      </c>
      <c r="B940" s="895">
        <v>100590</v>
      </c>
      <c r="C940" s="896" t="s">
        <v>596</v>
      </c>
      <c r="D940" s="906" t="s">
        <v>867</v>
      </c>
      <c r="E940" s="907">
        <f>GLOBAL_DER_FEV_2023!E940</f>
        <v>0</v>
      </c>
      <c r="F940" s="908">
        <f>GLOBAL_DER_FEV_2023!F940</f>
        <v>0</v>
      </c>
      <c r="G940" s="912">
        <f>GLOBAL_DER_FEV_2023!G940</f>
        <v>0</v>
      </c>
      <c r="H940" s="901">
        <f>GLOBAL_DER_FEV_2023!H940</f>
        <v>866.24</v>
      </c>
      <c r="I940" s="901">
        <f>GLOBAL_DER_FEV_2023!I940</f>
        <v>866.24</v>
      </c>
      <c r="J940" s="902">
        <f>GLOBAL_DER_FEV_2023!J940</f>
        <v>1040.0899999999999</v>
      </c>
      <c r="K940" s="903" t="s">
        <v>1516</v>
      </c>
      <c r="L940" s="1137"/>
      <c r="M940" s="1138">
        <f t="shared" si="67"/>
        <v>0</v>
      </c>
      <c r="N940" s="893">
        <f t="shared" si="71"/>
        <v>0</v>
      </c>
      <c r="O940" s="905"/>
      <c r="Q940" s="317" t="str">
        <f t="shared" si="68"/>
        <v/>
      </c>
      <c r="R940" s="317" t="str">
        <f t="shared" si="69"/>
        <v/>
      </c>
      <c r="S940" s="317" t="str">
        <f t="shared" si="70"/>
        <v/>
      </c>
      <c r="T940" s="317" t="str">
        <f>GLOBAL_DER_FEV_2023!S940</f>
        <v/>
      </c>
      <c r="W940" s="582">
        <v>0</v>
      </c>
      <c r="X940" s="580"/>
      <c r="Y940" s="583">
        <f>IF(GLOBAL_DER_FEV_2023!W940=0,0,IF(GLOBAL_DER_FEV_2023!W940&gt;0,"c","b"))</f>
        <v>0</v>
      </c>
    </row>
    <row r="941" spans="1:25" ht="34.5" hidden="1" thickBot="1" x14ac:dyDescent="0.25">
      <c r="A941" s="317">
        <v>100591</v>
      </c>
      <c r="B941" s="895">
        <v>100591</v>
      </c>
      <c r="C941" s="896" t="s">
        <v>596</v>
      </c>
      <c r="D941" s="906" t="s">
        <v>868</v>
      </c>
      <c r="E941" s="907">
        <f>GLOBAL_DER_FEV_2023!E941</f>
        <v>0</v>
      </c>
      <c r="F941" s="908">
        <f>GLOBAL_DER_FEV_2023!F941</f>
        <v>0</v>
      </c>
      <c r="G941" s="912">
        <f>GLOBAL_DER_FEV_2023!G941</f>
        <v>0</v>
      </c>
      <c r="H941" s="901">
        <f>GLOBAL_DER_FEV_2023!H941</f>
        <v>783.32</v>
      </c>
      <c r="I941" s="901">
        <f>GLOBAL_DER_FEV_2023!I941</f>
        <v>783.32</v>
      </c>
      <c r="J941" s="902">
        <f>GLOBAL_DER_FEV_2023!J941</f>
        <v>940.53</v>
      </c>
      <c r="K941" s="903" t="s">
        <v>1516</v>
      </c>
      <c r="L941" s="1137"/>
      <c r="M941" s="1138">
        <f t="shared" si="67"/>
        <v>0</v>
      </c>
      <c r="N941" s="893">
        <f t="shared" si="71"/>
        <v>0</v>
      </c>
      <c r="O941" s="905"/>
      <c r="Q941" s="317" t="str">
        <f t="shared" si="68"/>
        <v/>
      </c>
      <c r="R941" s="317" t="str">
        <f t="shared" si="69"/>
        <v/>
      </c>
      <c r="S941" s="317" t="str">
        <f t="shared" si="70"/>
        <v/>
      </c>
      <c r="T941" s="317" t="str">
        <f>GLOBAL_DER_FEV_2023!S941</f>
        <v/>
      </c>
      <c r="W941" s="582">
        <v>0</v>
      </c>
      <c r="X941" s="580"/>
      <c r="Y941" s="583">
        <f>IF(GLOBAL_DER_FEV_2023!W941=0,0,IF(GLOBAL_DER_FEV_2023!W941&gt;0,"c","b"))</f>
        <v>0</v>
      </c>
    </row>
    <row r="942" spans="1:25" ht="34.5" hidden="1" thickBot="1" x14ac:dyDescent="0.25">
      <c r="A942" s="317">
        <v>100592</v>
      </c>
      <c r="B942" s="895">
        <v>100592</v>
      </c>
      <c r="C942" s="896" t="s">
        <v>596</v>
      </c>
      <c r="D942" s="906" t="s">
        <v>869</v>
      </c>
      <c r="E942" s="907">
        <f>GLOBAL_DER_FEV_2023!E942</f>
        <v>0</v>
      </c>
      <c r="F942" s="908">
        <f>GLOBAL_DER_FEV_2023!F942</f>
        <v>0</v>
      </c>
      <c r="G942" s="912">
        <f>GLOBAL_DER_FEV_2023!G942</f>
        <v>0</v>
      </c>
      <c r="H942" s="901">
        <f>GLOBAL_DER_FEV_2023!H942</f>
        <v>846.16</v>
      </c>
      <c r="I942" s="901">
        <f>GLOBAL_DER_FEV_2023!I942</f>
        <v>846.16</v>
      </c>
      <c r="J942" s="902">
        <f>GLOBAL_DER_FEV_2023!J942</f>
        <v>1015.98</v>
      </c>
      <c r="K942" s="903" t="s">
        <v>1516</v>
      </c>
      <c r="L942" s="1137"/>
      <c r="M942" s="1138">
        <f t="shared" si="67"/>
        <v>0</v>
      </c>
      <c r="N942" s="893">
        <f t="shared" si="71"/>
        <v>0</v>
      </c>
      <c r="O942" s="905"/>
      <c r="Q942" s="317" t="str">
        <f t="shared" si="68"/>
        <v/>
      </c>
      <c r="R942" s="317" t="str">
        <f t="shared" si="69"/>
        <v/>
      </c>
      <c r="S942" s="317" t="str">
        <f t="shared" si="70"/>
        <v/>
      </c>
      <c r="T942" s="317" t="str">
        <f>GLOBAL_DER_FEV_2023!S942</f>
        <v/>
      </c>
      <c r="W942" s="582">
        <v>0</v>
      </c>
      <c r="X942" s="580"/>
      <c r="Y942" s="583">
        <f>IF(GLOBAL_DER_FEV_2023!W942=0,0,IF(GLOBAL_DER_FEV_2023!W942&gt;0,"c","b"))</f>
        <v>0</v>
      </c>
    </row>
    <row r="943" spans="1:25" ht="34.5" hidden="1" thickBot="1" x14ac:dyDescent="0.25">
      <c r="A943" s="317">
        <v>100593</v>
      </c>
      <c r="B943" s="895">
        <v>100593</v>
      </c>
      <c r="C943" s="896" t="s">
        <v>596</v>
      </c>
      <c r="D943" s="906" t="s">
        <v>870</v>
      </c>
      <c r="E943" s="907">
        <f>GLOBAL_DER_FEV_2023!E943</f>
        <v>0</v>
      </c>
      <c r="F943" s="908">
        <f>GLOBAL_DER_FEV_2023!F943</f>
        <v>0</v>
      </c>
      <c r="G943" s="912">
        <f>GLOBAL_DER_FEV_2023!G943</f>
        <v>0</v>
      </c>
      <c r="H943" s="901">
        <f>GLOBAL_DER_FEV_2023!H943</f>
        <v>839.13</v>
      </c>
      <c r="I943" s="901">
        <f>GLOBAL_DER_FEV_2023!I943</f>
        <v>839.13</v>
      </c>
      <c r="J943" s="902">
        <f>GLOBAL_DER_FEV_2023!J943</f>
        <v>1007.54</v>
      </c>
      <c r="K943" s="903" t="s">
        <v>1516</v>
      </c>
      <c r="L943" s="1137"/>
      <c r="M943" s="1138">
        <f t="shared" si="67"/>
        <v>0</v>
      </c>
      <c r="N943" s="893">
        <f t="shared" si="71"/>
        <v>0</v>
      </c>
      <c r="O943" s="905"/>
      <c r="Q943" s="317" t="str">
        <f t="shared" si="68"/>
        <v/>
      </c>
      <c r="R943" s="317" t="str">
        <f t="shared" si="69"/>
        <v/>
      </c>
      <c r="S943" s="317" t="str">
        <f t="shared" si="70"/>
        <v/>
      </c>
      <c r="T943" s="317" t="str">
        <f>GLOBAL_DER_FEV_2023!S943</f>
        <v/>
      </c>
      <c r="W943" s="582">
        <v>0</v>
      </c>
      <c r="X943" s="580"/>
      <c r="Y943" s="583">
        <f>IF(GLOBAL_DER_FEV_2023!W943=0,0,IF(GLOBAL_DER_FEV_2023!W943&gt;0,"c","b"))</f>
        <v>0</v>
      </c>
    </row>
    <row r="944" spans="1:25" ht="34.5" hidden="1" thickBot="1" x14ac:dyDescent="0.25">
      <c r="A944" s="317">
        <v>100594</v>
      </c>
      <c r="B944" s="895">
        <v>100594</v>
      </c>
      <c r="C944" s="896" t="s">
        <v>596</v>
      </c>
      <c r="D944" s="906" t="s">
        <v>871</v>
      </c>
      <c r="E944" s="907">
        <f>GLOBAL_DER_FEV_2023!E944</f>
        <v>0</v>
      </c>
      <c r="F944" s="908">
        <f>GLOBAL_DER_FEV_2023!F944</f>
        <v>0</v>
      </c>
      <c r="G944" s="912">
        <f>GLOBAL_DER_FEV_2023!G944</f>
        <v>0</v>
      </c>
      <c r="H944" s="901">
        <f>GLOBAL_DER_FEV_2023!H944</f>
        <v>945.58</v>
      </c>
      <c r="I944" s="901">
        <f>GLOBAL_DER_FEV_2023!I944</f>
        <v>945.58</v>
      </c>
      <c r="J944" s="902">
        <f>GLOBAL_DER_FEV_2023!J944</f>
        <v>1135.3599999999999</v>
      </c>
      <c r="K944" s="903" t="s">
        <v>1516</v>
      </c>
      <c r="L944" s="1137"/>
      <c r="M944" s="1138">
        <f t="shared" si="67"/>
        <v>0</v>
      </c>
      <c r="N944" s="893">
        <f t="shared" si="71"/>
        <v>0</v>
      </c>
      <c r="O944" s="905"/>
      <c r="Q944" s="317" t="str">
        <f t="shared" si="68"/>
        <v/>
      </c>
      <c r="R944" s="317" t="str">
        <f t="shared" si="69"/>
        <v/>
      </c>
      <c r="S944" s="317" t="str">
        <f t="shared" si="70"/>
        <v/>
      </c>
      <c r="T944" s="317" t="str">
        <f>GLOBAL_DER_FEV_2023!S944</f>
        <v/>
      </c>
      <c r="W944" s="582">
        <v>0</v>
      </c>
      <c r="X944" s="580"/>
      <c r="Y944" s="583">
        <f>IF(GLOBAL_DER_FEV_2023!W944=0,0,IF(GLOBAL_DER_FEV_2023!W944&gt;0,"c","b"))</f>
        <v>0</v>
      </c>
    </row>
    <row r="945" spans="1:25" ht="34.5" hidden="1" thickBot="1" x14ac:dyDescent="0.25">
      <c r="A945" s="317">
        <v>100595</v>
      </c>
      <c r="B945" s="895">
        <v>100595</v>
      </c>
      <c r="C945" s="896" t="s">
        <v>596</v>
      </c>
      <c r="D945" s="906" t="s">
        <v>872</v>
      </c>
      <c r="E945" s="907">
        <f>GLOBAL_DER_FEV_2023!E945</f>
        <v>0</v>
      </c>
      <c r="F945" s="908">
        <f>GLOBAL_DER_FEV_2023!F945</f>
        <v>0</v>
      </c>
      <c r="G945" s="912">
        <f>GLOBAL_DER_FEV_2023!G945</f>
        <v>0</v>
      </c>
      <c r="H945" s="901">
        <f>GLOBAL_DER_FEV_2023!H945</f>
        <v>1006.57</v>
      </c>
      <c r="I945" s="901">
        <f>GLOBAL_DER_FEV_2023!I945</f>
        <v>1006.57</v>
      </c>
      <c r="J945" s="902">
        <f>GLOBAL_DER_FEV_2023!J945</f>
        <v>1208.5899999999999</v>
      </c>
      <c r="K945" s="903" t="s">
        <v>1516</v>
      </c>
      <c r="L945" s="1137"/>
      <c r="M945" s="1138">
        <f t="shared" si="67"/>
        <v>0</v>
      </c>
      <c r="N945" s="893">
        <f t="shared" si="71"/>
        <v>0</v>
      </c>
      <c r="O945" s="905"/>
      <c r="Q945" s="317" t="str">
        <f t="shared" si="68"/>
        <v/>
      </c>
      <c r="R945" s="317" t="str">
        <f t="shared" si="69"/>
        <v/>
      </c>
      <c r="S945" s="317" t="str">
        <f t="shared" si="70"/>
        <v/>
      </c>
      <c r="T945" s="317" t="str">
        <f>GLOBAL_DER_FEV_2023!S945</f>
        <v/>
      </c>
      <c r="W945" s="582">
        <v>0</v>
      </c>
      <c r="X945" s="580"/>
      <c r="Y945" s="583">
        <f>IF(GLOBAL_DER_FEV_2023!W945=0,0,IF(GLOBAL_DER_FEV_2023!W945&gt;0,"c","b"))</f>
        <v>0</v>
      </c>
    </row>
    <row r="946" spans="1:25" ht="34.5" hidden="1" thickBot="1" x14ac:dyDescent="0.25">
      <c r="A946" s="317">
        <v>100596</v>
      </c>
      <c r="B946" s="895">
        <v>100596</v>
      </c>
      <c r="C946" s="896" t="s">
        <v>596</v>
      </c>
      <c r="D946" s="906" t="s">
        <v>873</v>
      </c>
      <c r="E946" s="907">
        <f>GLOBAL_DER_FEV_2023!E946</f>
        <v>0</v>
      </c>
      <c r="F946" s="908">
        <f>GLOBAL_DER_FEV_2023!F946</f>
        <v>0</v>
      </c>
      <c r="G946" s="912">
        <f>GLOBAL_DER_FEV_2023!G946</f>
        <v>0</v>
      </c>
      <c r="H946" s="901">
        <f>GLOBAL_DER_FEV_2023!H946</f>
        <v>1150.1199999999999</v>
      </c>
      <c r="I946" s="901">
        <f>GLOBAL_DER_FEV_2023!I946</f>
        <v>1150.1199999999999</v>
      </c>
      <c r="J946" s="902">
        <f>GLOBAL_DER_FEV_2023!J946</f>
        <v>1380.95</v>
      </c>
      <c r="K946" s="903" t="s">
        <v>1516</v>
      </c>
      <c r="L946" s="1137"/>
      <c r="M946" s="1138">
        <f t="shared" si="67"/>
        <v>0</v>
      </c>
      <c r="N946" s="893">
        <f t="shared" si="71"/>
        <v>0</v>
      </c>
      <c r="O946" s="905"/>
      <c r="Q946" s="317" t="str">
        <f t="shared" si="68"/>
        <v/>
      </c>
      <c r="R946" s="317" t="str">
        <f t="shared" si="69"/>
        <v/>
      </c>
      <c r="S946" s="317" t="str">
        <f t="shared" si="70"/>
        <v/>
      </c>
      <c r="T946" s="317" t="str">
        <f>GLOBAL_DER_FEV_2023!S946</f>
        <v/>
      </c>
      <c r="W946" s="582">
        <v>0</v>
      </c>
      <c r="X946" s="580"/>
      <c r="Y946" s="583">
        <f>IF(GLOBAL_DER_FEV_2023!W946=0,0,IF(GLOBAL_DER_FEV_2023!W946&gt;0,"c","b"))</f>
        <v>0</v>
      </c>
    </row>
    <row r="947" spans="1:25" ht="34.5" hidden="1" thickBot="1" x14ac:dyDescent="0.25">
      <c r="A947" s="317">
        <v>100597</v>
      </c>
      <c r="B947" s="895">
        <v>100597</v>
      </c>
      <c r="C947" s="896" t="s">
        <v>596</v>
      </c>
      <c r="D947" s="906" t="s">
        <v>874</v>
      </c>
      <c r="E947" s="907">
        <f>GLOBAL_DER_FEV_2023!E947</f>
        <v>0</v>
      </c>
      <c r="F947" s="908">
        <f>GLOBAL_DER_FEV_2023!F947</f>
        <v>0</v>
      </c>
      <c r="G947" s="912">
        <f>GLOBAL_DER_FEV_2023!G947</f>
        <v>0</v>
      </c>
      <c r="H947" s="901">
        <f>GLOBAL_DER_FEV_2023!H947</f>
        <v>1167.05</v>
      </c>
      <c r="I947" s="901">
        <f>GLOBAL_DER_FEV_2023!I947</f>
        <v>1167.05</v>
      </c>
      <c r="J947" s="902">
        <f>GLOBAL_DER_FEV_2023!J947</f>
        <v>1401.28</v>
      </c>
      <c r="K947" s="903" t="s">
        <v>1516</v>
      </c>
      <c r="L947" s="1137"/>
      <c r="M947" s="1138">
        <f t="shared" si="67"/>
        <v>0</v>
      </c>
      <c r="N947" s="893">
        <f t="shared" si="71"/>
        <v>0</v>
      </c>
      <c r="O947" s="905"/>
      <c r="Q947" s="317" t="str">
        <f t="shared" si="68"/>
        <v/>
      </c>
      <c r="R947" s="317" t="str">
        <f t="shared" si="69"/>
        <v/>
      </c>
      <c r="S947" s="317" t="str">
        <f t="shared" si="70"/>
        <v/>
      </c>
      <c r="T947" s="317" t="str">
        <f>GLOBAL_DER_FEV_2023!S947</f>
        <v/>
      </c>
      <c r="W947" s="582">
        <v>0</v>
      </c>
      <c r="X947" s="580"/>
      <c r="Y947" s="583">
        <f>IF(GLOBAL_DER_FEV_2023!W947=0,0,IF(GLOBAL_DER_FEV_2023!W947&gt;0,"c","b"))</f>
        <v>0</v>
      </c>
    </row>
    <row r="948" spans="1:25" ht="34.5" hidden="1" thickBot="1" x14ac:dyDescent="0.25">
      <c r="A948" s="317">
        <v>100598</v>
      </c>
      <c r="B948" s="895">
        <v>100598</v>
      </c>
      <c r="C948" s="896" t="s">
        <v>596</v>
      </c>
      <c r="D948" s="906" t="s">
        <v>875</v>
      </c>
      <c r="E948" s="907">
        <f>GLOBAL_DER_FEV_2023!E948</f>
        <v>0</v>
      </c>
      <c r="F948" s="908">
        <f>GLOBAL_DER_FEV_2023!F948</f>
        <v>0</v>
      </c>
      <c r="G948" s="912">
        <f>GLOBAL_DER_FEV_2023!G948</f>
        <v>0</v>
      </c>
      <c r="H948" s="901">
        <f>GLOBAL_DER_FEV_2023!H948</f>
        <v>1285.3900000000001</v>
      </c>
      <c r="I948" s="901">
        <f>GLOBAL_DER_FEV_2023!I948</f>
        <v>1285.3900000000001</v>
      </c>
      <c r="J948" s="902">
        <f>GLOBAL_DER_FEV_2023!J948</f>
        <v>1543.37</v>
      </c>
      <c r="K948" s="903" t="s">
        <v>1516</v>
      </c>
      <c r="L948" s="1137"/>
      <c r="M948" s="1138">
        <f t="shared" si="67"/>
        <v>0</v>
      </c>
      <c r="N948" s="893">
        <f t="shared" si="71"/>
        <v>0</v>
      </c>
      <c r="O948" s="905"/>
      <c r="Q948" s="317" t="str">
        <f t="shared" si="68"/>
        <v/>
      </c>
      <c r="R948" s="317" t="str">
        <f t="shared" si="69"/>
        <v/>
      </c>
      <c r="S948" s="317" t="str">
        <f t="shared" si="70"/>
        <v/>
      </c>
      <c r="T948" s="317" t="str">
        <f>GLOBAL_DER_FEV_2023!S948</f>
        <v/>
      </c>
      <c r="W948" s="582">
        <v>0</v>
      </c>
      <c r="X948" s="580"/>
      <c r="Y948" s="583">
        <f>IF(GLOBAL_DER_FEV_2023!W948=0,0,IF(GLOBAL_DER_FEV_2023!W948&gt;0,"c","b"))</f>
        <v>0</v>
      </c>
    </row>
    <row r="949" spans="1:25" ht="34.5" hidden="1" thickBot="1" x14ac:dyDescent="0.25">
      <c r="A949" s="317">
        <v>100599</v>
      </c>
      <c r="B949" s="895">
        <v>100599</v>
      </c>
      <c r="C949" s="896" t="s">
        <v>596</v>
      </c>
      <c r="D949" s="906" t="s">
        <v>876</v>
      </c>
      <c r="E949" s="907">
        <f>GLOBAL_DER_FEV_2023!E949</f>
        <v>0</v>
      </c>
      <c r="F949" s="908">
        <f>GLOBAL_DER_FEV_2023!F949</f>
        <v>0</v>
      </c>
      <c r="G949" s="912">
        <f>GLOBAL_DER_FEV_2023!G949</f>
        <v>0</v>
      </c>
      <c r="H949" s="901">
        <f>GLOBAL_DER_FEV_2023!H949</f>
        <v>516.86</v>
      </c>
      <c r="I949" s="901">
        <f>GLOBAL_DER_FEV_2023!I949</f>
        <v>516.86</v>
      </c>
      <c r="J949" s="902">
        <f>GLOBAL_DER_FEV_2023!J949</f>
        <v>620.59</v>
      </c>
      <c r="K949" s="903" t="s">
        <v>1516</v>
      </c>
      <c r="L949" s="1137"/>
      <c r="M949" s="1138">
        <f t="shared" si="67"/>
        <v>0</v>
      </c>
      <c r="N949" s="893">
        <f t="shared" si="71"/>
        <v>0</v>
      </c>
      <c r="O949" s="905"/>
      <c r="Q949" s="317" t="str">
        <f t="shared" si="68"/>
        <v/>
      </c>
      <c r="R949" s="317" t="str">
        <f t="shared" si="69"/>
        <v/>
      </c>
      <c r="S949" s="317" t="str">
        <f t="shared" si="70"/>
        <v/>
      </c>
      <c r="T949" s="317" t="str">
        <f>GLOBAL_DER_FEV_2023!S949</f>
        <v/>
      </c>
      <c r="W949" s="582">
        <v>0</v>
      </c>
      <c r="X949" s="580"/>
      <c r="Y949" s="583">
        <f>IF(GLOBAL_DER_FEV_2023!W949=0,0,IF(GLOBAL_DER_FEV_2023!W949&gt;0,"c","b"))</f>
        <v>0</v>
      </c>
    </row>
    <row r="950" spans="1:25" ht="34.5" hidden="1" thickBot="1" x14ac:dyDescent="0.25">
      <c r="A950" s="317">
        <v>100600</v>
      </c>
      <c r="B950" s="895">
        <v>100600</v>
      </c>
      <c r="C950" s="896" t="s">
        <v>596</v>
      </c>
      <c r="D950" s="906" t="s">
        <v>877</v>
      </c>
      <c r="E950" s="907">
        <f>GLOBAL_DER_FEV_2023!E950</f>
        <v>0</v>
      </c>
      <c r="F950" s="908">
        <f>GLOBAL_DER_FEV_2023!F950</f>
        <v>0</v>
      </c>
      <c r="G950" s="912">
        <f>GLOBAL_DER_FEV_2023!G950</f>
        <v>0</v>
      </c>
      <c r="H950" s="901">
        <f>GLOBAL_DER_FEV_2023!H950</f>
        <v>613.13</v>
      </c>
      <c r="I950" s="901">
        <f>GLOBAL_DER_FEV_2023!I950</f>
        <v>613.13</v>
      </c>
      <c r="J950" s="902">
        <f>GLOBAL_DER_FEV_2023!J950</f>
        <v>736.19</v>
      </c>
      <c r="K950" s="903" t="s">
        <v>1516</v>
      </c>
      <c r="L950" s="1137"/>
      <c r="M950" s="1138">
        <f t="shared" si="67"/>
        <v>0</v>
      </c>
      <c r="N950" s="893">
        <f t="shared" si="71"/>
        <v>0</v>
      </c>
      <c r="O950" s="905"/>
      <c r="Q950" s="317" t="str">
        <f t="shared" si="68"/>
        <v/>
      </c>
      <c r="R950" s="317" t="str">
        <f t="shared" si="69"/>
        <v/>
      </c>
      <c r="S950" s="317" t="str">
        <f t="shared" si="70"/>
        <v/>
      </c>
      <c r="T950" s="317" t="str">
        <f>GLOBAL_DER_FEV_2023!S950</f>
        <v/>
      </c>
      <c r="W950" s="582">
        <v>0</v>
      </c>
      <c r="X950" s="580"/>
      <c r="Y950" s="583">
        <f>IF(GLOBAL_DER_FEV_2023!W950=0,0,IF(GLOBAL_DER_FEV_2023!W950&gt;0,"c","b"))</f>
        <v>0</v>
      </c>
    </row>
    <row r="951" spans="1:25" ht="34.5" hidden="1" thickBot="1" x14ac:dyDescent="0.25">
      <c r="A951" s="317">
        <v>100601</v>
      </c>
      <c r="B951" s="895">
        <v>100601</v>
      </c>
      <c r="C951" s="896" t="s">
        <v>596</v>
      </c>
      <c r="D951" s="906" t="s">
        <v>878</v>
      </c>
      <c r="E951" s="907">
        <f>GLOBAL_DER_FEV_2023!E951</f>
        <v>0</v>
      </c>
      <c r="F951" s="908">
        <f>GLOBAL_DER_FEV_2023!F951</f>
        <v>0</v>
      </c>
      <c r="G951" s="912">
        <f>GLOBAL_DER_FEV_2023!G951</f>
        <v>0</v>
      </c>
      <c r="H951" s="901">
        <f>GLOBAL_DER_FEV_2023!H951</f>
        <v>772.56</v>
      </c>
      <c r="I951" s="901">
        <f>GLOBAL_DER_FEV_2023!I951</f>
        <v>772.56</v>
      </c>
      <c r="J951" s="902">
        <f>GLOBAL_DER_FEV_2023!J951</f>
        <v>927.61</v>
      </c>
      <c r="K951" s="903" t="s">
        <v>1516</v>
      </c>
      <c r="L951" s="1137"/>
      <c r="M951" s="1138">
        <f t="shared" si="67"/>
        <v>0</v>
      </c>
      <c r="N951" s="893">
        <f t="shared" si="71"/>
        <v>0</v>
      </c>
      <c r="O951" s="905"/>
      <c r="Q951" s="317" t="str">
        <f t="shared" si="68"/>
        <v/>
      </c>
      <c r="R951" s="317" t="str">
        <f t="shared" si="69"/>
        <v/>
      </c>
      <c r="S951" s="317" t="str">
        <f t="shared" si="70"/>
        <v/>
      </c>
      <c r="T951" s="317" t="str">
        <f>GLOBAL_DER_FEV_2023!S951</f>
        <v/>
      </c>
      <c r="W951" s="582">
        <v>0</v>
      </c>
      <c r="X951" s="580"/>
      <c r="Y951" s="583">
        <f>IF(GLOBAL_DER_FEV_2023!W951=0,0,IF(GLOBAL_DER_FEV_2023!W951&gt;0,"c","b"))</f>
        <v>0</v>
      </c>
    </row>
    <row r="952" spans="1:25" ht="34.5" hidden="1" thickBot="1" x14ac:dyDescent="0.25">
      <c r="A952" s="317">
        <v>100602</v>
      </c>
      <c r="B952" s="895">
        <v>100602</v>
      </c>
      <c r="C952" s="896" t="s">
        <v>596</v>
      </c>
      <c r="D952" s="906" t="s">
        <v>879</v>
      </c>
      <c r="E952" s="907">
        <f>GLOBAL_DER_FEV_2023!E952</f>
        <v>0</v>
      </c>
      <c r="F952" s="908">
        <f>GLOBAL_DER_FEV_2023!F952</f>
        <v>0</v>
      </c>
      <c r="G952" s="912">
        <f>GLOBAL_DER_FEV_2023!G952</f>
        <v>0</v>
      </c>
      <c r="H952" s="901">
        <f>GLOBAL_DER_FEV_2023!H952</f>
        <v>971.46</v>
      </c>
      <c r="I952" s="901">
        <f>GLOBAL_DER_FEV_2023!I952</f>
        <v>971.46</v>
      </c>
      <c r="J952" s="902">
        <f>GLOBAL_DER_FEV_2023!J952</f>
        <v>1166.43</v>
      </c>
      <c r="K952" s="903" t="s">
        <v>1516</v>
      </c>
      <c r="L952" s="1137"/>
      <c r="M952" s="1138">
        <f t="shared" si="67"/>
        <v>0</v>
      </c>
      <c r="N952" s="893">
        <f t="shared" si="71"/>
        <v>0</v>
      </c>
      <c r="O952" s="905"/>
      <c r="Q952" s="317" t="str">
        <f t="shared" si="68"/>
        <v/>
      </c>
      <c r="R952" s="317" t="str">
        <f t="shared" si="69"/>
        <v/>
      </c>
      <c r="S952" s="317" t="str">
        <f t="shared" si="70"/>
        <v/>
      </c>
      <c r="T952" s="317" t="str">
        <f>GLOBAL_DER_FEV_2023!S952</f>
        <v/>
      </c>
      <c r="W952" s="582">
        <v>0</v>
      </c>
      <c r="X952" s="580"/>
      <c r="Y952" s="583">
        <f>IF(GLOBAL_DER_FEV_2023!W952=0,0,IF(GLOBAL_DER_FEV_2023!W952&gt;0,"c","b"))</f>
        <v>0</v>
      </c>
    </row>
    <row r="953" spans="1:25" ht="34.5" hidden="1" thickBot="1" x14ac:dyDescent="0.25">
      <c r="A953" s="317">
        <v>100603</v>
      </c>
      <c r="B953" s="895">
        <v>100603</v>
      </c>
      <c r="C953" s="896" t="s">
        <v>596</v>
      </c>
      <c r="D953" s="906" t="s">
        <v>880</v>
      </c>
      <c r="E953" s="907">
        <f>GLOBAL_DER_FEV_2023!E953</f>
        <v>0</v>
      </c>
      <c r="F953" s="908">
        <f>GLOBAL_DER_FEV_2023!F953</f>
        <v>0</v>
      </c>
      <c r="G953" s="912">
        <f>GLOBAL_DER_FEV_2023!G953</f>
        <v>0</v>
      </c>
      <c r="H953" s="901">
        <f>GLOBAL_DER_FEV_2023!H953</f>
        <v>1484.28</v>
      </c>
      <c r="I953" s="901">
        <f>GLOBAL_DER_FEV_2023!I953</f>
        <v>1484.28</v>
      </c>
      <c r="J953" s="902">
        <f>GLOBAL_DER_FEV_2023!J953</f>
        <v>1782.17</v>
      </c>
      <c r="K953" s="903" t="s">
        <v>1516</v>
      </c>
      <c r="L953" s="1137"/>
      <c r="M953" s="1138">
        <f t="shared" si="67"/>
        <v>0</v>
      </c>
      <c r="N953" s="893">
        <f t="shared" si="71"/>
        <v>0</v>
      </c>
      <c r="O953" s="905"/>
      <c r="Q953" s="317" t="str">
        <f t="shared" si="68"/>
        <v/>
      </c>
      <c r="R953" s="317" t="str">
        <f t="shared" si="69"/>
        <v/>
      </c>
      <c r="S953" s="317" t="str">
        <f t="shared" si="70"/>
        <v/>
      </c>
      <c r="T953" s="317" t="str">
        <f>GLOBAL_DER_FEV_2023!S953</f>
        <v/>
      </c>
      <c r="W953" s="582">
        <v>0</v>
      </c>
      <c r="X953" s="580"/>
      <c r="Y953" s="583">
        <f>IF(GLOBAL_DER_FEV_2023!W953=0,0,IF(GLOBAL_DER_FEV_2023!W953&gt;0,"c","b"))</f>
        <v>0</v>
      </c>
    </row>
    <row r="954" spans="1:25" ht="34.5" hidden="1" thickBot="1" x14ac:dyDescent="0.25">
      <c r="A954" s="317">
        <v>100604</v>
      </c>
      <c r="B954" s="895">
        <v>100604</v>
      </c>
      <c r="C954" s="896" t="s">
        <v>596</v>
      </c>
      <c r="D954" s="906" t="s">
        <v>881</v>
      </c>
      <c r="E954" s="907">
        <f>GLOBAL_DER_FEV_2023!E954</f>
        <v>0</v>
      </c>
      <c r="F954" s="908">
        <f>GLOBAL_DER_FEV_2023!F954</f>
        <v>0</v>
      </c>
      <c r="G954" s="912">
        <f>GLOBAL_DER_FEV_2023!G954</f>
        <v>0</v>
      </c>
      <c r="H954" s="901">
        <f>GLOBAL_DER_FEV_2023!H954</f>
        <v>652.23</v>
      </c>
      <c r="I954" s="901">
        <f>GLOBAL_DER_FEV_2023!I954</f>
        <v>652.23</v>
      </c>
      <c r="J954" s="902">
        <f>GLOBAL_DER_FEV_2023!J954</f>
        <v>783.13</v>
      </c>
      <c r="K954" s="903" t="s">
        <v>1516</v>
      </c>
      <c r="L954" s="1137"/>
      <c r="M954" s="1138">
        <f t="shared" si="67"/>
        <v>0</v>
      </c>
      <c r="N954" s="893">
        <f t="shared" si="71"/>
        <v>0</v>
      </c>
      <c r="O954" s="905"/>
      <c r="Q954" s="317" t="str">
        <f t="shared" si="68"/>
        <v/>
      </c>
      <c r="R954" s="317" t="str">
        <f t="shared" si="69"/>
        <v/>
      </c>
      <c r="S954" s="317" t="str">
        <f t="shared" si="70"/>
        <v/>
      </c>
      <c r="T954" s="317" t="str">
        <f>GLOBAL_DER_FEV_2023!S954</f>
        <v/>
      </c>
      <c r="W954" s="582">
        <v>0</v>
      </c>
      <c r="X954" s="580"/>
      <c r="Y954" s="583">
        <f>IF(GLOBAL_DER_FEV_2023!W954=0,0,IF(GLOBAL_DER_FEV_2023!W954&gt;0,"c","b"))</f>
        <v>0</v>
      </c>
    </row>
    <row r="955" spans="1:25" ht="34.5" hidden="1" thickBot="1" x14ac:dyDescent="0.25">
      <c r="A955" s="317">
        <v>100605</v>
      </c>
      <c r="B955" s="895">
        <v>100605</v>
      </c>
      <c r="C955" s="896" t="s">
        <v>596</v>
      </c>
      <c r="D955" s="906" t="s">
        <v>882</v>
      </c>
      <c r="E955" s="907">
        <f>GLOBAL_DER_FEV_2023!E955</f>
        <v>0</v>
      </c>
      <c r="F955" s="908">
        <f>GLOBAL_DER_FEV_2023!F955</f>
        <v>0</v>
      </c>
      <c r="G955" s="912">
        <f>GLOBAL_DER_FEV_2023!G955</f>
        <v>0</v>
      </c>
      <c r="H955" s="901">
        <f>GLOBAL_DER_FEV_2023!H955</f>
        <v>1021.11</v>
      </c>
      <c r="I955" s="901">
        <f>GLOBAL_DER_FEV_2023!I955</f>
        <v>1021.11</v>
      </c>
      <c r="J955" s="902">
        <f>GLOBAL_DER_FEV_2023!J955</f>
        <v>1226.05</v>
      </c>
      <c r="K955" s="903" t="s">
        <v>1516</v>
      </c>
      <c r="L955" s="1137"/>
      <c r="M955" s="1138">
        <f t="shared" si="67"/>
        <v>0</v>
      </c>
      <c r="N955" s="893">
        <f t="shared" si="71"/>
        <v>0</v>
      </c>
      <c r="O955" s="905"/>
      <c r="Q955" s="317" t="str">
        <f t="shared" si="68"/>
        <v/>
      </c>
      <c r="R955" s="317" t="str">
        <f t="shared" si="69"/>
        <v/>
      </c>
      <c r="S955" s="317" t="str">
        <f t="shared" si="70"/>
        <v/>
      </c>
      <c r="T955" s="317" t="str">
        <f>GLOBAL_DER_FEV_2023!S955</f>
        <v/>
      </c>
      <c r="W955" s="582">
        <v>0</v>
      </c>
      <c r="X955" s="580"/>
      <c r="Y955" s="583">
        <f>IF(GLOBAL_DER_FEV_2023!W955=0,0,IF(GLOBAL_DER_FEV_2023!W955&gt;0,"c","b"))</f>
        <v>0</v>
      </c>
    </row>
    <row r="956" spans="1:25" ht="34.5" hidden="1" thickBot="1" x14ac:dyDescent="0.25">
      <c r="A956" s="317">
        <v>100606</v>
      </c>
      <c r="B956" s="895">
        <v>100606</v>
      </c>
      <c r="C956" s="896" t="s">
        <v>596</v>
      </c>
      <c r="D956" s="906" t="s">
        <v>883</v>
      </c>
      <c r="E956" s="907">
        <f>GLOBAL_DER_FEV_2023!E956</f>
        <v>0</v>
      </c>
      <c r="F956" s="908">
        <f>GLOBAL_DER_FEV_2023!F956</f>
        <v>0</v>
      </c>
      <c r="G956" s="912">
        <f>GLOBAL_DER_FEV_2023!G956</f>
        <v>0</v>
      </c>
      <c r="H956" s="901">
        <f>GLOBAL_DER_FEV_2023!H956</f>
        <v>1547.64</v>
      </c>
      <c r="I956" s="901">
        <f>GLOBAL_DER_FEV_2023!I956</f>
        <v>1547.64</v>
      </c>
      <c r="J956" s="902">
        <f>GLOBAL_DER_FEV_2023!J956</f>
        <v>1858.25</v>
      </c>
      <c r="K956" s="903" t="s">
        <v>1516</v>
      </c>
      <c r="L956" s="1137"/>
      <c r="M956" s="1138">
        <f t="shared" si="67"/>
        <v>0</v>
      </c>
      <c r="N956" s="893">
        <f t="shared" si="71"/>
        <v>0</v>
      </c>
      <c r="O956" s="905"/>
      <c r="Q956" s="317" t="str">
        <f t="shared" si="68"/>
        <v/>
      </c>
      <c r="R956" s="317" t="str">
        <f t="shared" si="69"/>
        <v/>
      </c>
      <c r="S956" s="317" t="str">
        <f t="shared" si="70"/>
        <v/>
      </c>
      <c r="T956" s="317" t="str">
        <f>GLOBAL_DER_FEV_2023!S956</f>
        <v/>
      </c>
      <c r="W956" s="582">
        <v>0</v>
      </c>
      <c r="X956" s="580"/>
      <c r="Y956" s="583">
        <f>IF(GLOBAL_DER_FEV_2023!W956=0,0,IF(GLOBAL_DER_FEV_2023!W956&gt;0,"c","b"))</f>
        <v>0</v>
      </c>
    </row>
    <row r="957" spans="1:25" ht="34.5" hidden="1" thickBot="1" x14ac:dyDescent="0.25">
      <c r="A957" s="317">
        <v>100607</v>
      </c>
      <c r="B957" s="895">
        <v>100607</v>
      </c>
      <c r="C957" s="896" t="s">
        <v>596</v>
      </c>
      <c r="D957" s="906" t="s">
        <v>884</v>
      </c>
      <c r="E957" s="907">
        <f>GLOBAL_DER_FEV_2023!E957</f>
        <v>0</v>
      </c>
      <c r="F957" s="908">
        <f>GLOBAL_DER_FEV_2023!F957</f>
        <v>0</v>
      </c>
      <c r="G957" s="912">
        <f>GLOBAL_DER_FEV_2023!G957</f>
        <v>0</v>
      </c>
      <c r="H957" s="901">
        <f>GLOBAL_DER_FEV_2023!H957</f>
        <v>670.9</v>
      </c>
      <c r="I957" s="901">
        <f>GLOBAL_DER_FEV_2023!I957</f>
        <v>670.9</v>
      </c>
      <c r="J957" s="902">
        <f>GLOBAL_DER_FEV_2023!J957</f>
        <v>805.55</v>
      </c>
      <c r="K957" s="903" t="s">
        <v>1516</v>
      </c>
      <c r="L957" s="1137"/>
      <c r="M957" s="1138">
        <f t="shared" si="67"/>
        <v>0</v>
      </c>
      <c r="N957" s="893">
        <f t="shared" si="71"/>
        <v>0</v>
      </c>
      <c r="O957" s="905"/>
      <c r="Q957" s="317" t="str">
        <f t="shared" si="68"/>
        <v/>
      </c>
      <c r="R957" s="317" t="str">
        <f t="shared" si="69"/>
        <v/>
      </c>
      <c r="S957" s="317" t="str">
        <f t="shared" si="70"/>
        <v/>
      </c>
      <c r="T957" s="317" t="str">
        <f>GLOBAL_DER_FEV_2023!S957</f>
        <v/>
      </c>
      <c r="W957" s="582">
        <v>0</v>
      </c>
      <c r="X957" s="580"/>
      <c r="Y957" s="583">
        <f>IF(GLOBAL_DER_FEV_2023!W957=0,0,IF(GLOBAL_DER_FEV_2023!W957&gt;0,"c","b"))</f>
        <v>0</v>
      </c>
    </row>
    <row r="958" spans="1:25" ht="34.5" hidden="1" thickBot="1" x14ac:dyDescent="0.25">
      <c r="A958" s="317">
        <v>100608</v>
      </c>
      <c r="B958" s="895">
        <v>100608</v>
      </c>
      <c r="C958" s="896" t="s">
        <v>596</v>
      </c>
      <c r="D958" s="906" t="s">
        <v>885</v>
      </c>
      <c r="E958" s="907">
        <f>GLOBAL_DER_FEV_2023!E958</f>
        <v>0</v>
      </c>
      <c r="F958" s="908">
        <f>GLOBAL_DER_FEV_2023!F958</f>
        <v>0</v>
      </c>
      <c r="G958" s="912">
        <f>GLOBAL_DER_FEV_2023!G958</f>
        <v>0</v>
      </c>
      <c r="H958" s="901">
        <f>GLOBAL_DER_FEV_2023!H958</f>
        <v>1045.5899999999999</v>
      </c>
      <c r="I958" s="901">
        <f>GLOBAL_DER_FEV_2023!I958</f>
        <v>1045.5899999999999</v>
      </c>
      <c r="J958" s="902">
        <f>GLOBAL_DER_FEV_2023!J958</f>
        <v>1255.44</v>
      </c>
      <c r="K958" s="903" t="s">
        <v>1516</v>
      </c>
      <c r="L958" s="1137"/>
      <c r="M958" s="1138">
        <f t="shared" si="67"/>
        <v>0</v>
      </c>
      <c r="N958" s="893">
        <f t="shared" si="71"/>
        <v>0</v>
      </c>
      <c r="O958" s="905"/>
      <c r="Q958" s="317" t="str">
        <f t="shared" si="68"/>
        <v/>
      </c>
      <c r="R958" s="317" t="str">
        <f t="shared" si="69"/>
        <v/>
      </c>
      <c r="S958" s="317" t="str">
        <f t="shared" si="70"/>
        <v/>
      </c>
      <c r="T958" s="317" t="str">
        <f>GLOBAL_DER_FEV_2023!S958</f>
        <v/>
      </c>
      <c r="W958" s="582">
        <v>0</v>
      </c>
      <c r="X958" s="580"/>
      <c r="Y958" s="583">
        <f>IF(GLOBAL_DER_FEV_2023!W958=0,0,IF(GLOBAL_DER_FEV_2023!W958&gt;0,"c","b"))</f>
        <v>0</v>
      </c>
    </row>
    <row r="959" spans="1:25" ht="34.5" hidden="1" thickBot="1" x14ac:dyDescent="0.25">
      <c r="A959" s="317">
        <v>100609</v>
      </c>
      <c r="B959" s="895">
        <v>100609</v>
      </c>
      <c r="C959" s="896" t="s">
        <v>596</v>
      </c>
      <c r="D959" s="906" t="s">
        <v>886</v>
      </c>
      <c r="E959" s="907">
        <f>GLOBAL_DER_FEV_2023!E959</f>
        <v>0</v>
      </c>
      <c r="F959" s="908">
        <f>GLOBAL_DER_FEV_2023!F959</f>
        <v>0</v>
      </c>
      <c r="G959" s="912">
        <f>GLOBAL_DER_FEV_2023!G959</f>
        <v>0</v>
      </c>
      <c r="H959" s="901">
        <f>GLOBAL_DER_FEV_2023!H959</f>
        <v>1581.56</v>
      </c>
      <c r="I959" s="901">
        <f>GLOBAL_DER_FEV_2023!I959</f>
        <v>1581.56</v>
      </c>
      <c r="J959" s="902">
        <f>GLOBAL_DER_FEV_2023!J959</f>
        <v>1898.98</v>
      </c>
      <c r="K959" s="903" t="s">
        <v>1516</v>
      </c>
      <c r="L959" s="1137"/>
      <c r="M959" s="1138">
        <f t="shared" si="67"/>
        <v>0</v>
      </c>
      <c r="N959" s="893">
        <f t="shared" si="71"/>
        <v>0</v>
      </c>
      <c r="O959" s="905"/>
      <c r="Q959" s="317" t="str">
        <f t="shared" si="68"/>
        <v/>
      </c>
      <c r="R959" s="317" t="str">
        <f t="shared" si="69"/>
        <v/>
      </c>
      <c r="S959" s="317" t="str">
        <f t="shared" si="70"/>
        <v/>
      </c>
      <c r="T959" s="317" t="str">
        <f>GLOBAL_DER_FEV_2023!S959</f>
        <v/>
      </c>
      <c r="W959" s="582">
        <v>0</v>
      </c>
      <c r="X959" s="580"/>
      <c r="Y959" s="583">
        <f>IF(GLOBAL_DER_FEV_2023!W959=0,0,IF(GLOBAL_DER_FEV_2023!W959&gt;0,"c","b"))</f>
        <v>0</v>
      </c>
    </row>
    <row r="960" spans="1:25" ht="34.5" hidden="1" thickBot="1" x14ac:dyDescent="0.25">
      <c r="A960" s="317">
        <v>100610</v>
      </c>
      <c r="B960" s="895">
        <v>100610</v>
      </c>
      <c r="C960" s="896" t="s">
        <v>596</v>
      </c>
      <c r="D960" s="906" t="s">
        <v>887</v>
      </c>
      <c r="E960" s="907">
        <f>GLOBAL_DER_FEV_2023!E960</f>
        <v>0</v>
      </c>
      <c r="F960" s="908">
        <f>GLOBAL_DER_FEV_2023!F960</f>
        <v>0</v>
      </c>
      <c r="G960" s="912">
        <f>GLOBAL_DER_FEV_2023!G960</f>
        <v>0</v>
      </c>
      <c r="H960" s="901">
        <f>GLOBAL_DER_FEV_2023!H960</f>
        <v>689.49</v>
      </c>
      <c r="I960" s="901">
        <f>GLOBAL_DER_FEV_2023!I960</f>
        <v>689.49</v>
      </c>
      <c r="J960" s="902">
        <f>GLOBAL_DER_FEV_2023!J960</f>
        <v>827.87</v>
      </c>
      <c r="K960" s="903" t="s">
        <v>1516</v>
      </c>
      <c r="L960" s="1137"/>
      <c r="M960" s="1138">
        <f t="shared" si="67"/>
        <v>0</v>
      </c>
      <c r="N960" s="893">
        <f t="shared" si="71"/>
        <v>0</v>
      </c>
      <c r="O960" s="905"/>
      <c r="Q960" s="317" t="str">
        <f t="shared" si="68"/>
        <v/>
      </c>
      <c r="R960" s="317" t="str">
        <f t="shared" si="69"/>
        <v/>
      </c>
      <c r="S960" s="317" t="str">
        <f t="shared" si="70"/>
        <v/>
      </c>
      <c r="T960" s="317" t="str">
        <f>GLOBAL_DER_FEV_2023!S960</f>
        <v/>
      </c>
      <c r="W960" s="582">
        <v>0</v>
      </c>
      <c r="X960" s="580"/>
      <c r="Y960" s="583">
        <f>IF(GLOBAL_DER_FEV_2023!W960=0,0,IF(GLOBAL_DER_FEV_2023!W960&gt;0,"c","b"))</f>
        <v>0</v>
      </c>
    </row>
    <row r="961" spans="1:25" ht="34.5" hidden="1" thickBot="1" x14ac:dyDescent="0.25">
      <c r="A961" s="317">
        <v>100611</v>
      </c>
      <c r="B961" s="895">
        <v>100611</v>
      </c>
      <c r="C961" s="896" t="s">
        <v>596</v>
      </c>
      <c r="D961" s="906" t="s">
        <v>888</v>
      </c>
      <c r="E961" s="907">
        <f>GLOBAL_DER_FEV_2023!E961</f>
        <v>0</v>
      </c>
      <c r="F961" s="908">
        <f>GLOBAL_DER_FEV_2023!F961</f>
        <v>0</v>
      </c>
      <c r="G961" s="912">
        <f>GLOBAL_DER_FEV_2023!G961</f>
        <v>0</v>
      </c>
      <c r="H961" s="901">
        <f>GLOBAL_DER_FEV_2023!H961</f>
        <v>858.26</v>
      </c>
      <c r="I961" s="901">
        <f>GLOBAL_DER_FEV_2023!I961</f>
        <v>858.26</v>
      </c>
      <c r="J961" s="902">
        <f>GLOBAL_DER_FEV_2023!J961</f>
        <v>1030.51</v>
      </c>
      <c r="K961" s="903" t="s">
        <v>1516</v>
      </c>
      <c r="L961" s="1137"/>
      <c r="M961" s="1138">
        <f t="shared" si="67"/>
        <v>0</v>
      </c>
      <c r="N961" s="893">
        <f t="shared" si="71"/>
        <v>0</v>
      </c>
      <c r="O961" s="905"/>
      <c r="Q961" s="317" t="str">
        <f t="shared" si="68"/>
        <v/>
      </c>
      <c r="R961" s="317" t="str">
        <f t="shared" si="69"/>
        <v/>
      </c>
      <c r="S961" s="317" t="str">
        <f t="shared" si="70"/>
        <v/>
      </c>
      <c r="T961" s="317" t="str">
        <f>GLOBAL_DER_FEV_2023!S961</f>
        <v/>
      </c>
      <c r="W961" s="582">
        <v>0</v>
      </c>
      <c r="X961" s="580"/>
      <c r="Y961" s="583">
        <f>IF(GLOBAL_DER_FEV_2023!W961=0,0,IF(GLOBAL_DER_FEV_2023!W961&gt;0,"c","b"))</f>
        <v>0</v>
      </c>
    </row>
    <row r="962" spans="1:25" ht="34.5" hidden="1" thickBot="1" x14ac:dyDescent="0.25">
      <c r="A962" s="317">
        <v>100612</v>
      </c>
      <c r="B962" s="895">
        <v>100612</v>
      </c>
      <c r="C962" s="896" t="s">
        <v>596</v>
      </c>
      <c r="D962" s="906" t="s">
        <v>889</v>
      </c>
      <c r="E962" s="907">
        <f>GLOBAL_DER_FEV_2023!E962</f>
        <v>0</v>
      </c>
      <c r="F962" s="908">
        <f>GLOBAL_DER_FEV_2023!F962</f>
        <v>0</v>
      </c>
      <c r="G962" s="912">
        <f>GLOBAL_DER_FEV_2023!G962</f>
        <v>0</v>
      </c>
      <c r="H962" s="901">
        <f>GLOBAL_DER_FEV_2023!H962</f>
        <v>1069.6600000000001</v>
      </c>
      <c r="I962" s="901">
        <f>GLOBAL_DER_FEV_2023!I962</f>
        <v>1069.6600000000001</v>
      </c>
      <c r="J962" s="902">
        <f>GLOBAL_DER_FEV_2023!J962</f>
        <v>1284.3399999999999</v>
      </c>
      <c r="K962" s="903" t="s">
        <v>1516</v>
      </c>
      <c r="L962" s="1137"/>
      <c r="M962" s="1138">
        <f t="shared" si="67"/>
        <v>0</v>
      </c>
      <c r="N962" s="893">
        <f t="shared" si="71"/>
        <v>0</v>
      </c>
      <c r="O962" s="905"/>
      <c r="Q962" s="317" t="str">
        <f t="shared" si="68"/>
        <v/>
      </c>
      <c r="R962" s="317" t="str">
        <f t="shared" si="69"/>
        <v/>
      </c>
      <c r="S962" s="317" t="str">
        <f t="shared" si="70"/>
        <v/>
      </c>
      <c r="T962" s="317" t="str">
        <f>GLOBAL_DER_FEV_2023!S962</f>
        <v/>
      </c>
      <c r="W962" s="582">
        <v>0</v>
      </c>
      <c r="X962" s="580"/>
      <c r="Y962" s="583">
        <f>IF(GLOBAL_DER_FEV_2023!W962=0,0,IF(GLOBAL_DER_FEV_2023!W962&gt;0,"c","b"))</f>
        <v>0</v>
      </c>
    </row>
    <row r="963" spans="1:25" ht="34.5" hidden="1" thickBot="1" x14ac:dyDescent="0.25">
      <c r="A963" s="317">
        <v>100613</v>
      </c>
      <c r="B963" s="895">
        <v>100613</v>
      </c>
      <c r="C963" s="896" t="s">
        <v>596</v>
      </c>
      <c r="D963" s="906" t="s">
        <v>890</v>
      </c>
      <c r="E963" s="907">
        <f>GLOBAL_DER_FEV_2023!E963</f>
        <v>0</v>
      </c>
      <c r="F963" s="908">
        <f>GLOBAL_DER_FEV_2023!F963</f>
        <v>0</v>
      </c>
      <c r="G963" s="912">
        <f>GLOBAL_DER_FEV_2023!G963</f>
        <v>0</v>
      </c>
      <c r="H963" s="901">
        <f>GLOBAL_DER_FEV_2023!H963</f>
        <v>1614.79</v>
      </c>
      <c r="I963" s="901">
        <f>GLOBAL_DER_FEV_2023!I963</f>
        <v>1614.79</v>
      </c>
      <c r="J963" s="902">
        <f>GLOBAL_DER_FEV_2023!J963</f>
        <v>1938.88</v>
      </c>
      <c r="K963" s="903" t="s">
        <v>1516</v>
      </c>
      <c r="L963" s="1137"/>
      <c r="M963" s="1138">
        <f t="shared" si="67"/>
        <v>0</v>
      </c>
      <c r="N963" s="893">
        <f t="shared" si="71"/>
        <v>0</v>
      </c>
      <c r="O963" s="905"/>
      <c r="Q963" s="317" t="str">
        <f t="shared" si="68"/>
        <v/>
      </c>
      <c r="R963" s="317" t="str">
        <f t="shared" si="69"/>
        <v/>
      </c>
      <c r="S963" s="317" t="str">
        <f t="shared" si="70"/>
        <v/>
      </c>
      <c r="T963" s="317" t="str">
        <f>GLOBAL_DER_FEV_2023!S963</f>
        <v/>
      </c>
      <c r="W963" s="582">
        <v>0</v>
      </c>
      <c r="X963" s="580"/>
      <c r="Y963" s="583">
        <f>IF(GLOBAL_DER_FEV_2023!W963=0,0,IF(GLOBAL_DER_FEV_2023!W963&gt;0,"c","b"))</f>
        <v>0</v>
      </c>
    </row>
    <row r="964" spans="1:25" ht="34.5" hidden="1" thickBot="1" x14ac:dyDescent="0.25">
      <c r="A964" s="317">
        <v>100614</v>
      </c>
      <c r="B964" s="895">
        <v>100614</v>
      </c>
      <c r="C964" s="896" t="s">
        <v>596</v>
      </c>
      <c r="D964" s="906" t="s">
        <v>891</v>
      </c>
      <c r="E964" s="907">
        <f>GLOBAL_DER_FEV_2023!E964</f>
        <v>0</v>
      </c>
      <c r="F964" s="908">
        <f>GLOBAL_DER_FEV_2023!F964</f>
        <v>0</v>
      </c>
      <c r="G964" s="912">
        <f>GLOBAL_DER_FEV_2023!G964</f>
        <v>0</v>
      </c>
      <c r="H964" s="901">
        <f>GLOBAL_DER_FEV_2023!H964</f>
        <v>900.34</v>
      </c>
      <c r="I964" s="901">
        <f>GLOBAL_DER_FEV_2023!I964</f>
        <v>900.34</v>
      </c>
      <c r="J964" s="902">
        <f>GLOBAL_DER_FEV_2023!J964</f>
        <v>1081.04</v>
      </c>
      <c r="K964" s="903" t="s">
        <v>1516</v>
      </c>
      <c r="L964" s="1137"/>
      <c r="M964" s="1138">
        <f t="shared" si="67"/>
        <v>0</v>
      </c>
      <c r="N964" s="893">
        <f t="shared" si="71"/>
        <v>0</v>
      </c>
      <c r="O964" s="905"/>
      <c r="Q964" s="317" t="str">
        <f t="shared" si="68"/>
        <v/>
      </c>
      <c r="R964" s="317" t="str">
        <f t="shared" si="69"/>
        <v/>
      </c>
      <c r="S964" s="317" t="str">
        <f t="shared" si="70"/>
        <v/>
      </c>
      <c r="T964" s="317" t="str">
        <f>GLOBAL_DER_FEV_2023!S964</f>
        <v/>
      </c>
      <c r="W964" s="582">
        <v>0</v>
      </c>
      <c r="X964" s="580"/>
      <c r="Y964" s="583">
        <f>IF(GLOBAL_DER_FEV_2023!W964=0,0,IF(GLOBAL_DER_FEV_2023!W964&gt;0,"c","b"))</f>
        <v>0</v>
      </c>
    </row>
    <row r="965" spans="1:25" ht="34.5" hidden="1" thickBot="1" x14ac:dyDescent="0.25">
      <c r="A965" s="317">
        <v>100615</v>
      </c>
      <c r="B965" s="895">
        <v>100615</v>
      </c>
      <c r="C965" s="896" t="s">
        <v>596</v>
      </c>
      <c r="D965" s="906" t="s">
        <v>892</v>
      </c>
      <c r="E965" s="907">
        <f>GLOBAL_DER_FEV_2023!E965</f>
        <v>0</v>
      </c>
      <c r="F965" s="908">
        <f>GLOBAL_DER_FEV_2023!F965</f>
        <v>0</v>
      </c>
      <c r="G965" s="912">
        <f>GLOBAL_DER_FEV_2023!G965</f>
        <v>0</v>
      </c>
      <c r="H965" s="901">
        <f>GLOBAL_DER_FEV_2023!H965</f>
        <v>1117.47</v>
      </c>
      <c r="I965" s="901">
        <f>GLOBAL_DER_FEV_2023!I965</f>
        <v>1117.47</v>
      </c>
      <c r="J965" s="902">
        <f>GLOBAL_DER_FEV_2023!J965</f>
        <v>1341.75</v>
      </c>
      <c r="K965" s="903" t="s">
        <v>1516</v>
      </c>
      <c r="L965" s="1137"/>
      <c r="M965" s="1138">
        <f t="shared" si="67"/>
        <v>0</v>
      </c>
      <c r="N965" s="893">
        <f t="shared" si="71"/>
        <v>0</v>
      </c>
      <c r="O965" s="905"/>
      <c r="Q965" s="317" t="str">
        <f t="shared" si="68"/>
        <v/>
      </c>
      <c r="R965" s="317" t="str">
        <f t="shared" si="69"/>
        <v/>
      </c>
      <c r="S965" s="317" t="str">
        <f t="shared" si="70"/>
        <v/>
      </c>
      <c r="T965" s="317" t="str">
        <f>GLOBAL_DER_FEV_2023!S965</f>
        <v/>
      </c>
      <c r="W965" s="582">
        <v>0</v>
      </c>
      <c r="X965" s="580"/>
      <c r="Y965" s="583">
        <f>IF(GLOBAL_DER_FEV_2023!W965=0,0,IF(GLOBAL_DER_FEV_2023!W965&gt;0,"c","b"))</f>
        <v>0</v>
      </c>
    </row>
    <row r="966" spans="1:25" ht="34.5" hidden="1" thickBot="1" x14ac:dyDescent="0.25">
      <c r="A966" s="317">
        <v>100616</v>
      </c>
      <c r="B966" s="895">
        <v>100616</v>
      </c>
      <c r="C966" s="896" t="s">
        <v>596</v>
      </c>
      <c r="D966" s="906" t="s">
        <v>893</v>
      </c>
      <c r="E966" s="907">
        <f>GLOBAL_DER_FEV_2023!E966</f>
        <v>0</v>
      </c>
      <c r="F966" s="908">
        <f>GLOBAL_DER_FEV_2023!F966</f>
        <v>0</v>
      </c>
      <c r="G966" s="912">
        <f>GLOBAL_DER_FEV_2023!G966</f>
        <v>0</v>
      </c>
      <c r="H966" s="901">
        <f>GLOBAL_DER_FEV_2023!H966</f>
        <v>1684.75</v>
      </c>
      <c r="I966" s="901">
        <f>GLOBAL_DER_FEV_2023!I966</f>
        <v>1684.75</v>
      </c>
      <c r="J966" s="902">
        <f>GLOBAL_DER_FEV_2023!J966</f>
        <v>2022.88</v>
      </c>
      <c r="K966" s="903" t="s">
        <v>1516</v>
      </c>
      <c r="L966" s="1137"/>
      <c r="M966" s="1138">
        <f t="shared" si="67"/>
        <v>0</v>
      </c>
      <c r="N966" s="893">
        <f t="shared" si="71"/>
        <v>0</v>
      </c>
      <c r="O966" s="905"/>
      <c r="Q966" s="317" t="str">
        <f t="shared" si="68"/>
        <v/>
      </c>
      <c r="R966" s="317" t="str">
        <f t="shared" si="69"/>
        <v/>
      </c>
      <c r="S966" s="317" t="str">
        <f t="shared" si="70"/>
        <v/>
      </c>
      <c r="T966" s="317" t="str">
        <f>GLOBAL_DER_FEV_2023!S966</f>
        <v/>
      </c>
      <c r="W966" s="582">
        <v>0</v>
      </c>
      <c r="X966" s="580"/>
      <c r="Y966" s="583">
        <f>IF(GLOBAL_DER_FEV_2023!W966=0,0,IF(GLOBAL_DER_FEV_2023!W966&gt;0,"c","b"))</f>
        <v>0</v>
      </c>
    </row>
    <row r="967" spans="1:25" ht="34.5" hidden="1" thickBot="1" x14ac:dyDescent="0.25">
      <c r="A967" s="317">
        <v>100617</v>
      </c>
      <c r="B967" s="895">
        <v>100617</v>
      </c>
      <c r="C967" s="896" t="s">
        <v>596</v>
      </c>
      <c r="D967" s="906" t="s">
        <v>894</v>
      </c>
      <c r="E967" s="907">
        <f>GLOBAL_DER_FEV_2023!E967</f>
        <v>0</v>
      </c>
      <c r="F967" s="908">
        <f>GLOBAL_DER_FEV_2023!F967</f>
        <v>0</v>
      </c>
      <c r="G967" s="912">
        <f>GLOBAL_DER_FEV_2023!G967</f>
        <v>0</v>
      </c>
      <c r="H967" s="901">
        <f>GLOBAL_DER_FEV_2023!H967</f>
        <v>1165.17</v>
      </c>
      <c r="I967" s="901">
        <f>GLOBAL_DER_FEV_2023!I967</f>
        <v>1165.17</v>
      </c>
      <c r="J967" s="902">
        <f>GLOBAL_DER_FEV_2023!J967</f>
        <v>1399.02</v>
      </c>
      <c r="K967" s="903" t="s">
        <v>1516</v>
      </c>
      <c r="L967" s="1137"/>
      <c r="M967" s="1138">
        <f t="shared" si="67"/>
        <v>0</v>
      </c>
      <c r="N967" s="893">
        <f t="shared" si="71"/>
        <v>0</v>
      </c>
      <c r="O967" s="905"/>
      <c r="Q967" s="317" t="str">
        <f t="shared" si="68"/>
        <v/>
      </c>
      <c r="R967" s="317" t="str">
        <f t="shared" si="69"/>
        <v/>
      </c>
      <c r="S967" s="317" t="str">
        <f t="shared" si="70"/>
        <v/>
      </c>
      <c r="T967" s="317" t="str">
        <f>GLOBAL_DER_FEV_2023!S967</f>
        <v/>
      </c>
      <c r="W967" s="582">
        <v>0</v>
      </c>
      <c r="X967" s="580"/>
      <c r="Y967" s="583">
        <f>IF(GLOBAL_DER_FEV_2023!W967=0,0,IF(GLOBAL_DER_FEV_2023!W967&gt;0,"c","b"))</f>
        <v>0</v>
      </c>
    </row>
    <row r="968" spans="1:25" ht="45.75" hidden="1" thickBot="1" x14ac:dyDescent="0.25">
      <c r="A968" s="317">
        <v>100618</v>
      </c>
      <c r="B968" s="895">
        <v>100618</v>
      </c>
      <c r="C968" s="896" t="s">
        <v>596</v>
      </c>
      <c r="D968" s="906" t="s">
        <v>895</v>
      </c>
      <c r="E968" s="907">
        <f>GLOBAL_DER_FEV_2023!E968</f>
        <v>0</v>
      </c>
      <c r="F968" s="908">
        <f>GLOBAL_DER_FEV_2023!F968</f>
        <v>0</v>
      </c>
      <c r="G968" s="912">
        <f>GLOBAL_DER_FEV_2023!G968</f>
        <v>0</v>
      </c>
      <c r="H968" s="901">
        <f>GLOBAL_DER_FEV_2023!H968</f>
        <v>1758.03</v>
      </c>
      <c r="I968" s="901">
        <f>GLOBAL_DER_FEV_2023!I968</f>
        <v>1758.03</v>
      </c>
      <c r="J968" s="902">
        <f>GLOBAL_DER_FEV_2023!J968</f>
        <v>2110.87</v>
      </c>
      <c r="K968" s="903" t="s">
        <v>1516</v>
      </c>
      <c r="L968" s="1137"/>
      <c r="M968" s="1138">
        <f t="shared" si="67"/>
        <v>0</v>
      </c>
      <c r="N968" s="893">
        <f t="shared" si="71"/>
        <v>0</v>
      </c>
      <c r="O968" s="905"/>
      <c r="Q968" s="317" t="str">
        <f t="shared" si="68"/>
        <v/>
      </c>
      <c r="R968" s="317" t="str">
        <f t="shared" si="69"/>
        <v/>
      </c>
      <c r="S968" s="317" t="str">
        <f t="shared" si="70"/>
        <v/>
      </c>
      <c r="T968" s="317" t="str">
        <f>GLOBAL_DER_FEV_2023!S968</f>
        <v/>
      </c>
      <c r="W968" s="582">
        <v>0</v>
      </c>
      <c r="X968" s="580"/>
      <c r="Y968" s="583">
        <f>IF(GLOBAL_DER_FEV_2023!W968=0,0,IF(GLOBAL_DER_FEV_2023!W968&gt;0,"c","b"))</f>
        <v>0</v>
      </c>
    </row>
    <row r="969" spans="1:25" ht="23.25" hidden="1" thickBot="1" x14ac:dyDescent="0.25">
      <c r="A969" s="317">
        <v>97660</v>
      </c>
      <c r="B969" s="895">
        <v>97660</v>
      </c>
      <c r="C969" s="896" t="s">
        <v>596</v>
      </c>
      <c r="D969" s="906" t="s">
        <v>896</v>
      </c>
      <c r="E969" s="907">
        <f>GLOBAL_DER_FEV_2023!E969</f>
        <v>0</v>
      </c>
      <c r="F969" s="908">
        <f>GLOBAL_DER_FEV_2023!F969</f>
        <v>0</v>
      </c>
      <c r="G969" s="912">
        <f>GLOBAL_DER_FEV_2023!G969</f>
        <v>0</v>
      </c>
      <c r="H969" s="901">
        <f>GLOBAL_DER_FEV_2023!H969</f>
        <v>0.77</v>
      </c>
      <c r="I969" s="901">
        <f>GLOBAL_DER_FEV_2023!I969</f>
        <v>0.77</v>
      </c>
      <c r="J969" s="902">
        <f>GLOBAL_DER_FEV_2023!J969</f>
        <v>0.92</v>
      </c>
      <c r="K969" s="903" t="s">
        <v>1516</v>
      </c>
      <c r="L969" s="1137"/>
      <c r="M969" s="1138">
        <f t="shared" si="67"/>
        <v>0</v>
      </c>
      <c r="N969" s="893">
        <f t="shared" si="71"/>
        <v>0</v>
      </c>
      <c r="O969" s="905"/>
      <c r="Q969" s="317" t="str">
        <f t="shared" si="68"/>
        <v/>
      </c>
      <c r="R969" s="317" t="str">
        <f t="shared" si="69"/>
        <v/>
      </c>
      <c r="S969" s="317" t="str">
        <f t="shared" si="70"/>
        <v/>
      </c>
      <c r="T969" s="317" t="str">
        <f>GLOBAL_DER_FEV_2023!S969</f>
        <v/>
      </c>
      <c r="W969" s="582">
        <v>0</v>
      </c>
      <c r="X969" s="580"/>
      <c r="Y969" s="583">
        <f>IF(GLOBAL_DER_FEV_2023!W969=0,0,IF(GLOBAL_DER_FEV_2023!W969&gt;0,"c","b"))</f>
        <v>0</v>
      </c>
    </row>
    <row r="970" spans="1:25" ht="23.25" hidden="1" thickBot="1" x14ac:dyDescent="0.25">
      <c r="A970" s="317">
        <v>90447</v>
      </c>
      <c r="B970" s="895">
        <v>90447</v>
      </c>
      <c r="C970" s="896" t="s">
        <v>596</v>
      </c>
      <c r="D970" s="906" t="s">
        <v>897</v>
      </c>
      <c r="E970" s="907">
        <f>GLOBAL_DER_FEV_2023!E970</f>
        <v>0</v>
      </c>
      <c r="F970" s="908">
        <f>GLOBAL_DER_FEV_2023!F970</f>
        <v>0</v>
      </c>
      <c r="G970" s="912">
        <f>GLOBAL_DER_FEV_2023!G970</f>
        <v>0</v>
      </c>
      <c r="H970" s="901">
        <f>GLOBAL_DER_FEV_2023!H970</f>
        <v>8.0299999999999994</v>
      </c>
      <c r="I970" s="901">
        <f>GLOBAL_DER_FEV_2023!I970</f>
        <v>8.0299999999999994</v>
      </c>
      <c r="J970" s="902">
        <f>GLOBAL_DER_FEV_2023!J970</f>
        <v>9.64</v>
      </c>
      <c r="K970" s="903" t="s">
        <v>62</v>
      </c>
      <c r="L970" s="1137"/>
      <c r="M970" s="1138">
        <f t="shared" si="67"/>
        <v>0</v>
      </c>
      <c r="N970" s="893">
        <f t="shared" si="71"/>
        <v>0</v>
      </c>
      <c r="O970" s="905"/>
      <c r="Q970" s="317" t="str">
        <f t="shared" si="68"/>
        <v/>
      </c>
      <c r="R970" s="317" t="str">
        <f t="shared" si="69"/>
        <v/>
      </c>
      <c r="S970" s="317" t="str">
        <f t="shared" si="70"/>
        <v/>
      </c>
      <c r="T970" s="317" t="str">
        <f>GLOBAL_DER_FEV_2023!S970</f>
        <v/>
      </c>
      <c r="W970" s="582">
        <v>0</v>
      </c>
      <c r="X970" s="580"/>
      <c r="Y970" s="583">
        <f>IF(GLOBAL_DER_FEV_2023!W970=0,0,IF(GLOBAL_DER_FEV_2023!W970&gt;0,"c","b"))</f>
        <v>0</v>
      </c>
    </row>
    <row r="971" spans="1:25" ht="23.25" hidden="1" thickBot="1" x14ac:dyDescent="0.25">
      <c r="A971" s="317">
        <v>90456</v>
      </c>
      <c r="B971" s="895">
        <v>90456</v>
      </c>
      <c r="C971" s="896" t="s">
        <v>596</v>
      </c>
      <c r="D971" s="906" t="s">
        <v>898</v>
      </c>
      <c r="E971" s="907">
        <f>GLOBAL_DER_FEV_2023!E971</f>
        <v>0</v>
      </c>
      <c r="F971" s="908">
        <f>GLOBAL_DER_FEV_2023!F971</f>
        <v>0</v>
      </c>
      <c r="G971" s="912">
        <f>GLOBAL_DER_FEV_2023!G971</f>
        <v>0</v>
      </c>
      <c r="H971" s="901">
        <f>GLOBAL_DER_FEV_2023!H971</f>
        <v>5.16</v>
      </c>
      <c r="I971" s="901">
        <f>GLOBAL_DER_FEV_2023!I971</f>
        <v>5.16</v>
      </c>
      <c r="J971" s="902">
        <f>GLOBAL_DER_FEV_2023!J971</f>
        <v>6.2</v>
      </c>
      <c r="K971" s="903" t="s">
        <v>1516</v>
      </c>
      <c r="L971" s="1137"/>
      <c r="M971" s="1138">
        <f t="shared" si="67"/>
        <v>0</v>
      </c>
      <c r="N971" s="893">
        <f t="shared" si="71"/>
        <v>0</v>
      </c>
      <c r="O971" s="905"/>
      <c r="Q971" s="317" t="str">
        <f t="shared" si="68"/>
        <v/>
      </c>
      <c r="R971" s="317" t="str">
        <f t="shared" si="69"/>
        <v/>
      </c>
      <c r="S971" s="317" t="str">
        <f t="shared" si="70"/>
        <v/>
      </c>
      <c r="T971" s="317" t="str">
        <f>GLOBAL_DER_FEV_2023!S971</f>
        <v/>
      </c>
      <c r="W971" s="582">
        <v>0</v>
      </c>
      <c r="X971" s="580"/>
      <c r="Y971" s="583">
        <f>IF(GLOBAL_DER_FEV_2023!W971=0,0,IF(GLOBAL_DER_FEV_2023!W971&gt;0,"c","b"))</f>
        <v>0</v>
      </c>
    </row>
    <row r="972" spans="1:25" ht="23.25" hidden="1" thickBot="1" x14ac:dyDescent="0.25">
      <c r="A972" s="317">
        <v>90457</v>
      </c>
      <c r="B972" s="895">
        <v>90457</v>
      </c>
      <c r="C972" s="896" t="s">
        <v>596</v>
      </c>
      <c r="D972" s="906" t="s">
        <v>899</v>
      </c>
      <c r="E972" s="907">
        <f>GLOBAL_DER_FEV_2023!E972</f>
        <v>0</v>
      </c>
      <c r="F972" s="908">
        <f>GLOBAL_DER_FEV_2023!F972</f>
        <v>0</v>
      </c>
      <c r="G972" s="912">
        <f>GLOBAL_DER_FEV_2023!G972</f>
        <v>0</v>
      </c>
      <c r="H972" s="901">
        <f>GLOBAL_DER_FEV_2023!H972</f>
        <v>11.77</v>
      </c>
      <c r="I972" s="901">
        <f>GLOBAL_DER_FEV_2023!I972</f>
        <v>11.77</v>
      </c>
      <c r="J972" s="902">
        <f>GLOBAL_DER_FEV_2023!J972</f>
        <v>14.13</v>
      </c>
      <c r="K972" s="903" t="s">
        <v>1516</v>
      </c>
      <c r="L972" s="1137"/>
      <c r="M972" s="1138">
        <f t="shared" si="67"/>
        <v>0</v>
      </c>
      <c r="N972" s="893">
        <f t="shared" si="71"/>
        <v>0</v>
      </c>
      <c r="O972" s="905"/>
      <c r="Q972" s="317" t="str">
        <f t="shared" si="68"/>
        <v/>
      </c>
      <c r="R972" s="317" t="str">
        <f t="shared" si="69"/>
        <v/>
      </c>
      <c r="S972" s="317" t="str">
        <f t="shared" si="70"/>
        <v/>
      </c>
      <c r="T972" s="317" t="str">
        <f>GLOBAL_DER_FEV_2023!S972</f>
        <v/>
      </c>
      <c r="W972" s="582">
        <v>0</v>
      </c>
      <c r="X972" s="580"/>
      <c r="Y972" s="583">
        <f>IF(GLOBAL_DER_FEV_2023!W972=0,0,IF(GLOBAL_DER_FEV_2023!W972&gt;0,"c","b"))</f>
        <v>0</v>
      </c>
    </row>
    <row r="973" spans="1:25" ht="23.25" hidden="1" thickBot="1" x14ac:dyDescent="0.25">
      <c r="A973" s="317">
        <v>90458</v>
      </c>
      <c r="B973" s="895">
        <v>90458</v>
      </c>
      <c r="C973" s="896" t="s">
        <v>596</v>
      </c>
      <c r="D973" s="906" t="s">
        <v>900</v>
      </c>
      <c r="E973" s="907">
        <f>GLOBAL_DER_FEV_2023!E973</f>
        <v>0</v>
      </c>
      <c r="F973" s="908">
        <f>GLOBAL_DER_FEV_2023!F973</f>
        <v>0</v>
      </c>
      <c r="G973" s="912">
        <f>GLOBAL_DER_FEV_2023!G973</f>
        <v>0</v>
      </c>
      <c r="H973" s="901">
        <f>GLOBAL_DER_FEV_2023!H973</f>
        <v>33.409999999999997</v>
      </c>
      <c r="I973" s="901">
        <f>GLOBAL_DER_FEV_2023!I973</f>
        <v>33.409999999999997</v>
      </c>
      <c r="J973" s="902">
        <f>GLOBAL_DER_FEV_2023!J973</f>
        <v>40.119999999999997</v>
      </c>
      <c r="K973" s="903" t="s">
        <v>1516</v>
      </c>
      <c r="L973" s="1137"/>
      <c r="M973" s="1138">
        <f t="shared" si="67"/>
        <v>0</v>
      </c>
      <c r="N973" s="893">
        <f t="shared" si="71"/>
        <v>0</v>
      </c>
      <c r="O973" s="905"/>
      <c r="Q973" s="317" t="str">
        <f t="shared" si="68"/>
        <v/>
      </c>
      <c r="R973" s="317" t="str">
        <f t="shared" si="69"/>
        <v/>
      </c>
      <c r="S973" s="317" t="str">
        <f t="shared" si="70"/>
        <v/>
      </c>
      <c r="T973" s="317" t="str">
        <f>GLOBAL_DER_FEV_2023!S973</f>
        <v/>
      </c>
      <c r="W973" s="582">
        <v>0</v>
      </c>
      <c r="X973" s="580"/>
      <c r="Y973" s="583">
        <f>IF(GLOBAL_DER_FEV_2023!W973=0,0,IF(GLOBAL_DER_FEV_2023!W973&gt;0,"c","b"))</f>
        <v>0</v>
      </c>
    </row>
    <row r="974" spans="1:25" ht="23.25" hidden="1" thickBot="1" x14ac:dyDescent="0.25">
      <c r="A974" s="317">
        <v>101938</v>
      </c>
      <c r="B974" s="895">
        <v>101938</v>
      </c>
      <c r="C974" s="896" t="s">
        <v>596</v>
      </c>
      <c r="D974" s="906" t="s">
        <v>901</v>
      </c>
      <c r="E974" s="907">
        <f>GLOBAL_DER_FEV_2023!E974</f>
        <v>0</v>
      </c>
      <c r="F974" s="908">
        <f>GLOBAL_DER_FEV_2023!F974</f>
        <v>0</v>
      </c>
      <c r="G974" s="912">
        <f>GLOBAL_DER_FEV_2023!G974</f>
        <v>0</v>
      </c>
      <c r="H974" s="901">
        <f>GLOBAL_DER_FEV_2023!H974</f>
        <v>127.45</v>
      </c>
      <c r="I974" s="901">
        <f>GLOBAL_DER_FEV_2023!I974</f>
        <v>127.45</v>
      </c>
      <c r="J974" s="902">
        <f>GLOBAL_DER_FEV_2023!J974</f>
        <v>153.03</v>
      </c>
      <c r="K974" s="903" t="s">
        <v>1516</v>
      </c>
      <c r="L974" s="1137"/>
      <c r="M974" s="1138">
        <f t="shared" si="67"/>
        <v>0</v>
      </c>
      <c r="N974" s="893">
        <f t="shared" si="71"/>
        <v>0</v>
      </c>
      <c r="O974" s="905"/>
      <c r="Q974" s="317" t="str">
        <f t="shared" si="68"/>
        <v/>
      </c>
      <c r="R974" s="317" t="str">
        <f t="shared" si="69"/>
        <v/>
      </c>
      <c r="S974" s="317" t="str">
        <f t="shared" si="70"/>
        <v/>
      </c>
      <c r="T974" s="317" t="str">
        <f>GLOBAL_DER_FEV_2023!S974</f>
        <v/>
      </c>
      <c r="W974" s="582">
        <v>0</v>
      </c>
      <c r="X974" s="580"/>
      <c r="Y974" s="583">
        <f>IF(GLOBAL_DER_FEV_2023!W974=0,0,IF(GLOBAL_DER_FEV_2023!W974&gt;0,"c","b"))</f>
        <v>0</v>
      </c>
    </row>
    <row r="975" spans="1:25" ht="34.5" hidden="1" thickBot="1" x14ac:dyDescent="0.25">
      <c r="A975" s="317">
        <v>101489</v>
      </c>
      <c r="B975" s="895">
        <v>101489</v>
      </c>
      <c r="C975" s="896" t="s">
        <v>596</v>
      </c>
      <c r="D975" s="906" t="s">
        <v>902</v>
      </c>
      <c r="E975" s="907">
        <f>GLOBAL_DER_FEV_2023!E975</f>
        <v>0</v>
      </c>
      <c r="F975" s="908">
        <f>GLOBAL_DER_FEV_2023!F975</f>
        <v>0</v>
      </c>
      <c r="G975" s="912">
        <f>GLOBAL_DER_FEV_2023!G975</f>
        <v>0</v>
      </c>
      <c r="H975" s="901">
        <f>GLOBAL_DER_FEV_2023!H975</f>
        <v>1507.06</v>
      </c>
      <c r="I975" s="901">
        <f>GLOBAL_DER_FEV_2023!I975</f>
        <v>1507.06</v>
      </c>
      <c r="J975" s="902">
        <f>GLOBAL_DER_FEV_2023!J975</f>
        <v>1809.53</v>
      </c>
      <c r="K975" s="903" t="s">
        <v>1516</v>
      </c>
      <c r="L975" s="1137"/>
      <c r="M975" s="1138">
        <f t="shared" si="67"/>
        <v>0</v>
      </c>
      <c r="N975" s="893">
        <f t="shared" si="71"/>
        <v>0</v>
      </c>
      <c r="O975" s="905"/>
      <c r="Q975" s="317" t="str">
        <f t="shared" si="68"/>
        <v/>
      </c>
      <c r="R975" s="317" t="str">
        <f t="shared" si="69"/>
        <v/>
      </c>
      <c r="S975" s="317" t="str">
        <f t="shared" si="70"/>
        <v/>
      </c>
      <c r="T975" s="317" t="str">
        <f>GLOBAL_DER_FEV_2023!S975</f>
        <v/>
      </c>
      <c r="W975" s="582">
        <v>0</v>
      </c>
      <c r="X975" s="580"/>
      <c r="Y975" s="583">
        <f>IF(GLOBAL_DER_FEV_2023!W975=0,0,IF(GLOBAL_DER_FEV_2023!W975&gt;0,"c","b"))</f>
        <v>0</v>
      </c>
    </row>
    <row r="976" spans="1:25" ht="34.5" hidden="1" thickBot="1" x14ac:dyDescent="0.25">
      <c r="A976" s="317">
        <v>101490</v>
      </c>
      <c r="B976" s="895">
        <v>101490</v>
      </c>
      <c r="C976" s="896" t="s">
        <v>596</v>
      </c>
      <c r="D976" s="906" t="s">
        <v>903</v>
      </c>
      <c r="E976" s="907">
        <f>GLOBAL_DER_FEV_2023!E976</f>
        <v>0</v>
      </c>
      <c r="F976" s="908">
        <f>GLOBAL_DER_FEV_2023!F976</f>
        <v>0</v>
      </c>
      <c r="G976" s="912">
        <f>GLOBAL_DER_FEV_2023!G976</f>
        <v>0</v>
      </c>
      <c r="H976" s="901">
        <f>GLOBAL_DER_FEV_2023!H976</f>
        <v>1605.18</v>
      </c>
      <c r="I976" s="901">
        <f>GLOBAL_DER_FEV_2023!I976</f>
        <v>1605.18</v>
      </c>
      <c r="J976" s="902">
        <f>GLOBAL_DER_FEV_2023!J976</f>
        <v>1927.34</v>
      </c>
      <c r="K976" s="903" t="s">
        <v>1516</v>
      </c>
      <c r="L976" s="1137"/>
      <c r="M976" s="1138">
        <f t="shared" si="67"/>
        <v>0</v>
      </c>
      <c r="N976" s="893">
        <f t="shared" si="71"/>
        <v>0</v>
      </c>
      <c r="O976" s="905"/>
      <c r="Q976" s="317" t="str">
        <f t="shared" si="68"/>
        <v/>
      </c>
      <c r="R976" s="317" t="str">
        <f t="shared" si="69"/>
        <v/>
      </c>
      <c r="S976" s="317" t="str">
        <f t="shared" si="70"/>
        <v/>
      </c>
      <c r="T976" s="317" t="str">
        <f>GLOBAL_DER_FEV_2023!S976</f>
        <v/>
      </c>
      <c r="W976" s="582">
        <v>0</v>
      </c>
      <c r="X976" s="580"/>
      <c r="Y976" s="583">
        <f>IF(GLOBAL_DER_FEV_2023!W976=0,0,IF(GLOBAL_DER_FEV_2023!W976&gt;0,"c","b"))</f>
        <v>0</v>
      </c>
    </row>
    <row r="977" spans="1:25" ht="34.5" hidden="1" thickBot="1" x14ac:dyDescent="0.25">
      <c r="A977" s="317">
        <v>101491</v>
      </c>
      <c r="B977" s="895">
        <v>101491</v>
      </c>
      <c r="C977" s="896" t="s">
        <v>596</v>
      </c>
      <c r="D977" s="906" t="s">
        <v>904</v>
      </c>
      <c r="E977" s="907">
        <f>GLOBAL_DER_FEV_2023!E977</f>
        <v>0</v>
      </c>
      <c r="F977" s="908">
        <f>GLOBAL_DER_FEV_2023!F977</f>
        <v>0</v>
      </c>
      <c r="G977" s="912">
        <f>GLOBAL_DER_FEV_2023!G977</f>
        <v>0</v>
      </c>
      <c r="H977" s="901">
        <f>GLOBAL_DER_FEV_2023!H977</f>
        <v>1632.79</v>
      </c>
      <c r="I977" s="901">
        <f>GLOBAL_DER_FEV_2023!I977</f>
        <v>1632.79</v>
      </c>
      <c r="J977" s="902">
        <f>GLOBAL_DER_FEV_2023!J977</f>
        <v>1960.49</v>
      </c>
      <c r="K977" s="903" t="s">
        <v>1516</v>
      </c>
      <c r="L977" s="1137"/>
      <c r="M977" s="1138">
        <f t="shared" si="67"/>
        <v>0</v>
      </c>
      <c r="N977" s="893">
        <f t="shared" si="71"/>
        <v>0</v>
      </c>
      <c r="O977" s="905"/>
      <c r="Q977" s="317" t="str">
        <f t="shared" si="68"/>
        <v/>
      </c>
      <c r="R977" s="317" t="str">
        <f t="shared" si="69"/>
        <v/>
      </c>
      <c r="S977" s="317" t="str">
        <f t="shared" si="70"/>
        <v/>
      </c>
      <c r="T977" s="317" t="str">
        <f>GLOBAL_DER_FEV_2023!S977</f>
        <v/>
      </c>
      <c r="W977" s="582">
        <v>0</v>
      </c>
      <c r="X977" s="580"/>
      <c r="Y977" s="583">
        <f>IF(GLOBAL_DER_FEV_2023!W977=0,0,IF(GLOBAL_DER_FEV_2023!W977&gt;0,"c","b"))</f>
        <v>0</v>
      </c>
    </row>
    <row r="978" spans="1:25" ht="34.5" hidden="1" thickBot="1" x14ac:dyDescent="0.25">
      <c r="A978" s="317">
        <v>101492</v>
      </c>
      <c r="B978" s="895">
        <v>101492</v>
      </c>
      <c r="C978" s="896" t="s">
        <v>596</v>
      </c>
      <c r="D978" s="906" t="s">
        <v>905</v>
      </c>
      <c r="E978" s="907">
        <f>GLOBAL_DER_FEV_2023!E978</f>
        <v>0</v>
      </c>
      <c r="F978" s="908">
        <f>GLOBAL_DER_FEV_2023!F978</f>
        <v>0</v>
      </c>
      <c r="G978" s="912">
        <f>GLOBAL_DER_FEV_2023!G978</f>
        <v>0</v>
      </c>
      <c r="H978" s="901">
        <f>GLOBAL_DER_FEV_2023!H978</f>
        <v>1787.27</v>
      </c>
      <c r="I978" s="901">
        <f>GLOBAL_DER_FEV_2023!I978</f>
        <v>1787.27</v>
      </c>
      <c r="J978" s="902">
        <f>GLOBAL_DER_FEV_2023!J978</f>
        <v>2145.98</v>
      </c>
      <c r="K978" s="903" t="s">
        <v>1516</v>
      </c>
      <c r="L978" s="1137"/>
      <c r="M978" s="1138">
        <f t="shared" ref="M978:M1041" si="72">IF(L978=0,0,ROUND(J978,2))</f>
        <v>0</v>
      </c>
      <c r="N978" s="893">
        <f t="shared" si="71"/>
        <v>0</v>
      </c>
      <c r="O978" s="905"/>
      <c r="Q978" s="317" t="str">
        <f t="shared" si="68"/>
        <v/>
      </c>
      <c r="R978" s="317" t="str">
        <f t="shared" si="69"/>
        <v/>
      </c>
      <c r="S978" s="317" t="str">
        <f t="shared" si="70"/>
        <v/>
      </c>
      <c r="T978" s="317" t="str">
        <f>GLOBAL_DER_FEV_2023!S978</f>
        <v/>
      </c>
      <c r="W978" s="582">
        <v>0</v>
      </c>
      <c r="X978" s="580"/>
      <c r="Y978" s="583">
        <f>IF(GLOBAL_DER_FEV_2023!W978=0,0,IF(GLOBAL_DER_FEV_2023!W978&gt;0,"c","b"))</f>
        <v>0</v>
      </c>
    </row>
    <row r="979" spans="1:25" ht="34.5" hidden="1" thickBot="1" x14ac:dyDescent="0.25">
      <c r="A979" s="317">
        <v>101493</v>
      </c>
      <c r="B979" s="895">
        <v>101493</v>
      </c>
      <c r="C979" s="896" t="s">
        <v>596</v>
      </c>
      <c r="D979" s="906" t="s">
        <v>906</v>
      </c>
      <c r="E979" s="907">
        <f>GLOBAL_DER_FEV_2023!E979</f>
        <v>0</v>
      </c>
      <c r="F979" s="908">
        <f>GLOBAL_DER_FEV_2023!F979</f>
        <v>0</v>
      </c>
      <c r="G979" s="912">
        <f>GLOBAL_DER_FEV_2023!G979</f>
        <v>0</v>
      </c>
      <c r="H979" s="901">
        <f>GLOBAL_DER_FEV_2023!H979</f>
        <v>1487.05</v>
      </c>
      <c r="I979" s="901">
        <f>GLOBAL_DER_FEV_2023!I979</f>
        <v>1487.05</v>
      </c>
      <c r="J979" s="902">
        <f>GLOBAL_DER_FEV_2023!J979</f>
        <v>1785.5</v>
      </c>
      <c r="K979" s="903" t="s">
        <v>1516</v>
      </c>
      <c r="L979" s="1137"/>
      <c r="M979" s="1138">
        <f t="shared" si="72"/>
        <v>0</v>
      </c>
      <c r="N979" s="893">
        <f t="shared" si="71"/>
        <v>0</v>
      </c>
      <c r="O979" s="905"/>
      <c r="Q979" s="317" t="str">
        <f t="shared" si="68"/>
        <v/>
      </c>
      <c r="R979" s="317" t="str">
        <f t="shared" si="69"/>
        <v/>
      </c>
      <c r="S979" s="317" t="str">
        <f t="shared" si="70"/>
        <v/>
      </c>
      <c r="T979" s="317" t="str">
        <f>GLOBAL_DER_FEV_2023!S979</f>
        <v/>
      </c>
      <c r="W979" s="582">
        <v>0</v>
      </c>
      <c r="X979" s="580"/>
      <c r="Y979" s="583">
        <f>IF(GLOBAL_DER_FEV_2023!W979=0,0,IF(GLOBAL_DER_FEV_2023!W979&gt;0,"c","b"))</f>
        <v>0</v>
      </c>
    </row>
    <row r="980" spans="1:25" ht="34.5" hidden="1" thickBot="1" x14ac:dyDescent="0.25">
      <c r="A980" s="317">
        <v>101494</v>
      </c>
      <c r="B980" s="895">
        <v>101494</v>
      </c>
      <c r="C980" s="896" t="s">
        <v>596</v>
      </c>
      <c r="D980" s="906" t="s">
        <v>907</v>
      </c>
      <c r="E980" s="907">
        <f>GLOBAL_DER_FEV_2023!E980</f>
        <v>0</v>
      </c>
      <c r="F980" s="908">
        <f>GLOBAL_DER_FEV_2023!F980</f>
        <v>0</v>
      </c>
      <c r="G980" s="912">
        <f>GLOBAL_DER_FEV_2023!G980</f>
        <v>0</v>
      </c>
      <c r="H980" s="901">
        <f>GLOBAL_DER_FEV_2023!H980</f>
        <v>1585.17</v>
      </c>
      <c r="I980" s="901">
        <f>GLOBAL_DER_FEV_2023!I980</f>
        <v>1585.17</v>
      </c>
      <c r="J980" s="902">
        <f>GLOBAL_DER_FEV_2023!J980</f>
        <v>1903.31</v>
      </c>
      <c r="K980" s="903" t="s">
        <v>1516</v>
      </c>
      <c r="L980" s="1137"/>
      <c r="M980" s="1138">
        <f t="shared" si="72"/>
        <v>0</v>
      </c>
      <c r="N980" s="893">
        <f t="shared" si="71"/>
        <v>0</v>
      </c>
      <c r="O980" s="905"/>
      <c r="Q980" s="317" t="str">
        <f t="shared" si="68"/>
        <v/>
      </c>
      <c r="R980" s="317" t="str">
        <f t="shared" si="69"/>
        <v/>
      </c>
      <c r="S980" s="317" t="str">
        <f t="shared" si="70"/>
        <v/>
      </c>
      <c r="T980" s="317" t="str">
        <f>GLOBAL_DER_FEV_2023!S980</f>
        <v/>
      </c>
      <c r="W980" s="582">
        <v>0</v>
      </c>
      <c r="X980" s="580"/>
      <c r="Y980" s="583">
        <f>IF(GLOBAL_DER_FEV_2023!W980=0,0,IF(GLOBAL_DER_FEV_2023!W980&gt;0,"c","b"))</f>
        <v>0</v>
      </c>
    </row>
    <row r="981" spans="1:25" ht="34.5" hidden="1" thickBot="1" x14ac:dyDescent="0.25">
      <c r="A981" s="317">
        <v>101495</v>
      </c>
      <c r="B981" s="895">
        <v>101495</v>
      </c>
      <c r="C981" s="896" t="s">
        <v>596</v>
      </c>
      <c r="D981" s="906" t="s">
        <v>908</v>
      </c>
      <c r="E981" s="907">
        <f>GLOBAL_DER_FEV_2023!E981</f>
        <v>0</v>
      </c>
      <c r="F981" s="908">
        <f>GLOBAL_DER_FEV_2023!F981</f>
        <v>0</v>
      </c>
      <c r="G981" s="912">
        <f>GLOBAL_DER_FEV_2023!G981</f>
        <v>0</v>
      </c>
      <c r="H981" s="901">
        <f>GLOBAL_DER_FEV_2023!H981</f>
        <v>1612.78</v>
      </c>
      <c r="I981" s="901">
        <f>GLOBAL_DER_FEV_2023!I981</f>
        <v>1612.78</v>
      </c>
      <c r="J981" s="902">
        <f>GLOBAL_DER_FEV_2023!J981</f>
        <v>1936.46</v>
      </c>
      <c r="K981" s="903" t="s">
        <v>1516</v>
      </c>
      <c r="L981" s="1137"/>
      <c r="M981" s="1138">
        <f t="shared" si="72"/>
        <v>0</v>
      </c>
      <c r="N981" s="893">
        <f t="shared" si="71"/>
        <v>0</v>
      </c>
      <c r="O981" s="905"/>
      <c r="Q981" s="317" t="str">
        <f t="shared" si="68"/>
        <v/>
      </c>
      <c r="R981" s="317" t="str">
        <f t="shared" si="69"/>
        <v/>
      </c>
      <c r="S981" s="317" t="str">
        <f t="shared" si="70"/>
        <v/>
      </c>
      <c r="T981" s="317" t="str">
        <f>GLOBAL_DER_FEV_2023!S981</f>
        <v/>
      </c>
      <c r="W981" s="582">
        <v>0</v>
      </c>
      <c r="X981" s="580"/>
      <c r="Y981" s="583">
        <f>IF(GLOBAL_DER_FEV_2023!W981=0,0,IF(GLOBAL_DER_FEV_2023!W981&gt;0,"c","b"))</f>
        <v>0</v>
      </c>
    </row>
    <row r="982" spans="1:25" ht="34.5" hidden="1" thickBot="1" x14ac:dyDescent="0.25">
      <c r="A982" s="317">
        <v>101496</v>
      </c>
      <c r="B982" s="895">
        <v>101496</v>
      </c>
      <c r="C982" s="896" t="s">
        <v>596</v>
      </c>
      <c r="D982" s="906" t="s">
        <v>909</v>
      </c>
      <c r="E982" s="907">
        <f>GLOBAL_DER_FEV_2023!E982</f>
        <v>0</v>
      </c>
      <c r="F982" s="908">
        <f>GLOBAL_DER_FEV_2023!F982</f>
        <v>0</v>
      </c>
      <c r="G982" s="912">
        <f>GLOBAL_DER_FEV_2023!G982</f>
        <v>0</v>
      </c>
      <c r="H982" s="901">
        <f>GLOBAL_DER_FEV_2023!H982</f>
        <v>1767.26</v>
      </c>
      <c r="I982" s="901">
        <f>GLOBAL_DER_FEV_2023!I982</f>
        <v>1767.26</v>
      </c>
      <c r="J982" s="902">
        <f>GLOBAL_DER_FEV_2023!J982</f>
        <v>2121.9499999999998</v>
      </c>
      <c r="K982" s="903" t="s">
        <v>1516</v>
      </c>
      <c r="L982" s="1137"/>
      <c r="M982" s="1138">
        <f t="shared" si="72"/>
        <v>0</v>
      </c>
      <c r="N982" s="893">
        <f t="shared" si="71"/>
        <v>0</v>
      </c>
      <c r="O982" s="905"/>
      <c r="Q982" s="317" t="str">
        <f t="shared" si="68"/>
        <v/>
      </c>
      <c r="R982" s="317" t="str">
        <f t="shared" si="69"/>
        <v/>
      </c>
      <c r="S982" s="317" t="str">
        <f t="shared" si="70"/>
        <v/>
      </c>
      <c r="T982" s="317" t="str">
        <f>GLOBAL_DER_FEV_2023!S982</f>
        <v/>
      </c>
      <c r="W982" s="582">
        <v>0</v>
      </c>
      <c r="X982" s="580"/>
      <c r="Y982" s="583">
        <f>IF(GLOBAL_DER_FEV_2023!W982=0,0,IF(GLOBAL_DER_FEV_2023!W982&gt;0,"c","b"))</f>
        <v>0</v>
      </c>
    </row>
    <row r="983" spans="1:25" ht="34.5" hidden="1" thickBot="1" x14ac:dyDescent="0.25">
      <c r="A983" s="317">
        <v>101497</v>
      </c>
      <c r="B983" s="895">
        <v>101497</v>
      </c>
      <c r="C983" s="896" t="s">
        <v>596</v>
      </c>
      <c r="D983" s="906" t="s">
        <v>910</v>
      </c>
      <c r="E983" s="907">
        <f>GLOBAL_DER_FEV_2023!E983</f>
        <v>0</v>
      </c>
      <c r="F983" s="908">
        <f>GLOBAL_DER_FEV_2023!F983</f>
        <v>0</v>
      </c>
      <c r="G983" s="912">
        <f>GLOBAL_DER_FEV_2023!G983</f>
        <v>0</v>
      </c>
      <c r="H983" s="901">
        <f>GLOBAL_DER_FEV_2023!H983</f>
        <v>1782.8</v>
      </c>
      <c r="I983" s="901">
        <f>GLOBAL_DER_FEV_2023!I983</f>
        <v>1782.8</v>
      </c>
      <c r="J983" s="902">
        <f>GLOBAL_DER_FEV_2023!J983</f>
        <v>2140.61</v>
      </c>
      <c r="K983" s="903" t="s">
        <v>1516</v>
      </c>
      <c r="L983" s="1137"/>
      <c r="M983" s="1138">
        <f t="shared" si="72"/>
        <v>0</v>
      </c>
      <c r="N983" s="893">
        <f t="shared" si="71"/>
        <v>0</v>
      </c>
      <c r="O983" s="905"/>
      <c r="Q983" s="317" t="str">
        <f t="shared" si="68"/>
        <v/>
      </c>
      <c r="R983" s="317" t="str">
        <f t="shared" si="69"/>
        <v/>
      </c>
      <c r="S983" s="317" t="str">
        <f t="shared" si="70"/>
        <v/>
      </c>
      <c r="T983" s="317" t="str">
        <f>GLOBAL_DER_FEV_2023!S983</f>
        <v/>
      </c>
      <c r="W983" s="582">
        <v>0</v>
      </c>
      <c r="X983" s="580"/>
      <c r="Y983" s="583">
        <f>IF(GLOBAL_DER_FEV_2023!W983=0,0,IF(GLOBAL_DER_FEV_2023!W983&gt;0,"c","b"))</f>
        <v>0</v>
      </c>
    </row>
    <row r="984" spans="1:25" ht="34.5" hidden="1" thickBot="1" x14ac:dyDescent="0.25">
      <c r="A984" s="317">
        <v>101498</v>
      </c>
      <c r="B984" s="895">
        <v>101498</v>
      </c>
      <c r="C984" s="896" t="s">
        <v>596</v>
      </c>
      <c r="D984" s="906" t="s">
        <v>911</v>
      </c>
      <c r="E984" s="907">
        <f>GLOBAL_DER_FEV_2023!E984</f>
        <v>0</v>
      </c>
      <c r="F984" s="908">
        <f>GLOBAL_DER_FEV_2023!F984</f>
        <v>0</v>
      </c>
      <c r="G984" s="912">
        <f>GLOBAL_DER_FEV_2023!G984</f>
        <v>0</v>
      </c>
      <c r="H984" s="901">
        <f>GLOBAL_DER_FEV_2023!H984</f>
        <v>1931.32</v>
      </c>
      <c r="I984" s="901">
        <f>GLOBAL_DER_FEV_2023!I984</f>
        <v>1931.32</v>
      </c>
      <c r="J984" s="902">
        <f>GLOBAL_DER_FEV_2023!J984</f>
        <v>2318.94</v>
      </c>
      <c r="K984" s="903" t="s">
        <v>1516</v>
      </c>
      <c r="L984" s="1137"/>
      <c r="M984" s="1138">
        <f t="shared" si="72"/>
        <v>0</v>
      </c>
      <c r="N984" s="893">
        <f t="shared" si="71"/>
        <v>0</v>
      </c>
      <c r="O984" s="905"/>
      <c r="Q984" s="317" t="str">
        <f t="shared" si="68"/>
        <v/>
      </c>
      <c r="R984" s="317" t="str">
        <f t="shared" si="69"/>
        <v/>
      </c>
      <c r="S984" s="317" t="str">
        <f t="shared" si="70"/>
        <v/>
      </c>
      <c r="T984" s="317" t="str">
        <f>GLOBAL_DER_FEV_2023!S984</f>
        <v/>
      </c>
      <c r="W984" s="582">
        <v>0</v>
      </c>
      <c r="X984" s="580"/>
      <c r="Y984" s="583">
        <f>IF(GLOBAL_DER_FEV_2023!W984=0,0,IF(GLOBAL_DER_FEV_2023!W984&gt;0,"c","b"))</f>
        <v>0</v>
      </c>
    </row>
    <row r="985" spans="1:25" ht="34.5" hidden="1" thickBot="1" x14ac:dyDescent="0.25">
      <c r="A985" s="317">
        <v>101499</v>
      </c>
      <c r="B985" s="895">
        <v>101499</v>
      </c>
      <c r="C985" s="896" t="s">
        <v>596</v>
      </c>
      <c r="D985" s="906" t="s">
        <v>912</v>
      </c>
      <c r="E985" s="907">
        <f>GLOBAL_DER_FEV_2023!E985</f>
        <v>0</v>
      </c>
      <c r="F985" s="908">
        <f>GLOBAL_DER_FEV_2023!F985</f>
        <v>0</v>
      </c>
      <c r="G985" s="912">
        <f>GLOBAL_DER_FEV_2023!G985</f>
        <v>0</v>
      </c>
      <c r="H985" s="901">
        <f>GLOBAL_DER_FEV_2023!H985</f>
        <v>1973.11</v>
      </c>
      <c r="I985" s="901">
        <f>GLOBAL_DER_FEV_2023!I985</f>
        <v>1973.11</v>
      </c>
      <c r="J985" s="902">
        <f>GLOBAL_DER_FEV_2023!J985</f>
        <v>2369.11</v>
      </c>
      <c r="K985" s="903" t="s">
        <v>1516</v>
      </c>
      <c r="L985" s="1137"/>
      <c r="M985" s="1138">
        <f t="shared" si="72"/>
        <v>0</v>
      </c>
      <c r="N985" s="893">
        <f t="shared" si="71"/>
        <v>0</v>
      </c>
      <c r="O985" s="905"/>
      <c r="Q985" s="317" t="str">
        <f t="shared" si="68"/>
        <v/>
      </c>
      <c r="R985" s="317" t="str">
        <f t="shared" si="69"/>
        <v/>
      </c>
      <c r="S985" s="317" t="str">
        <f t="shared" si="70"/>
        <v/>
      </c>
      <c r="T985" s="317" t="str">
        <f>GLOBAL_DER_FEV_2023!S985</f>
        <v/>
      </c>
      <c r="W985" s="582">
        <v>0</v>
      </c>
      <c r="X985" s="580"/>
      <c r="Y985" s="583">
        <f>IF(GLOBAL_DER_FEV_2023!W985=0,0,IF(GLOBAL_DER_FEV_2023!W985&gt;0,"c","b"))</f>
        <v>0</v>
      </c>
    </row>
    <row r="986" spans="1:25" ht="34.5" hidden="1" thickBot="1" x14ac:dyDescent="0.25">
      <c r="A986" s="317">
        <v>101500</v>
      </c>
      <c r="B986" s="895">
        <v>101500</v>
      </c>
      <c r="C986" s="896" t="s">
        <v>596</v>
      </c>
      <c r="D986" s="906" t="s">
        <v>913</v>
      </c>
      <c r="E986" s="907">
        <f>GLOBAL_DER_FEV_2023!E986</f>
        <v>0</v>
      </c>
      <c r="F986" s="908">
        <f>GLOBAL_DER_FEV_2023!F986</f>
        <v>0</v>
      </c>
      <c r="G986" s="912">
        <f>GLOBAL_DER_FEV_2023!G986</f>
        <v>0</v>
      </c>
      <c r="H986" s="901">
        <f>GLOBAL_DER_FEV_2023!H986</f>
        <v>2185.7800000000002</v>
      </c>
      <c r="I986" s="901">
        <f>GLOBAL_DER_FEV_2023!I986</f>
        <v>2185.7800000000002</v>
      </c>
      <c r="J986" s="902">
        <f>GLOBAL_DER_FEV_2023!J986</f>
        <v>2624.47</v>
      </c>
      <c r="K986" s="903" t="s">
        <v>1516</v>
      </c>
      <c r="L986" s="1137"/>
      <c r="M986" s="1138">
        <f t="shared" si="72"/>
        <v>0</v>
      </c>
      <c r="N986" s="893">
        <f t="shared" si="71"/>
        <v>0</v>
      </c>
      <c r="O986" s="905"/>
      <c r="Q986" s="317" t="str">
        <f t="shared" si="68"/>
        <v/>
      </c>
      <c r="R986" s="317" t="str">
        <f t="shared" si="69"/>
        <v/>
      </c>
      <c r="S986" s="317" t="str">
        <f t="shared" si="70"/>
        <v/>
      </c>
      <c r="T986" s="317" t="str">
        <f>GLOBAL_DER_FEV_2023!S986</f>
        <v/>
      </c>
      <c r="W986" s="582">
        <v>0</v>
      </c>
      <c r="X986" s="580"/>
      <c r="Y986" s="583">
        <f>IF(GLOBAL_DER_FEV_2023!W986=0,0,IF(GLOBAL_DER_FEV_2023!W986&gt;0,"c","b"))</f>
        <v>0</v>
      </c>
    </row>
    <row r="987" spans="1:25" ht="23.25" hidden="1" thickBot="1" x14ac:dyDescent="0.25">
      <c r="A987" s="317">
        <v>101501</v>
      </c>
      <c r="B987" s="895">
        <v>101501</v>
      </c>
      <c r="C987" s="896" t="s">
        <v>596</v>
      </c>
      <c r="D987" s="906" t="s">
        <v>914</v>
      </c>
      <c r="E987" s="907">
        <f>GLOBAL_DER_FEV_2023!E987</f>
        <v>0</v>
      </c>
      <c r="F987" s="908">
        <f>GLOBAL_DER_FEV_2023!F987</f>
        <v>0</v>
      </c>
      <c r="G987" s="912">
        <f>GLOBAL_DER_FEV_2023!G987</f>
        <v>0</v>
      </c>
      <c r="H987" s="901">
        <f>GLOBAL_DER_FEV_2023!H987</f>
        <v>1770.67</v>
      </c>
      <c r="I987" s="901">
        <f>GLOBAL_DER_FEV_2023!I987</f>
        <v>1770.67</v>
      </c>
      <c r="J987" s="902">
        <f>GLOBAL_DER_FEV_2023!J987</f>
        <v>2126.04</v>
      </c>
      <c r="K987" s="903" t="s">
        <v>1516</v>
      </c>
      <c r="L987" s="1137"/>
      <c r="M987" s="1138">
        <f t="shared" si="72"/>
        <v>0</v>
      </c>
      <c r="N987" s="893">
        <f t="shared" si="71"/>
        <v>0</v>
      </c>
      <c r="O987" s="905"/>
      <c r="Q987" s="317" t="str">
        <f t="shared" ref="Q987:Q1050" si="73">IF(P987="X","x",IF(P987="xx","x",IF(P987="xy","x",IF(P987="y","x",IF(OR(N987&gt;0,N987&gt;0),"x","")))))</f>
        <v/>
      </c>
      <c r="R987" s="317" t="str">
        <f t="shared" si="69"/>
        <v/>
      </c>
      <c r="S987" s="317" t="str">
        <f t="shared" si="70"/>
        <v/>
      </c>
      <c r="T987" s="317" t="str">
        <f>GLOBAL_DER_FEV_2023!S987</f>
        <v/>
      </c>
      <c r="W987" s="582">
        <v>0</v>
      </c>
      <c r="X987" s="580"/>
      <c r="Y987" s="583">
        <f>IF(GLOBAL_DER_FEV_2023!W987=0,0,IF(GLOBAL_DER_FEV_2023!W987&gt;0,"c","b"))</f>
        <v>0</v>
      </c>
    </row>
    <row r="988" spans="1:25" ht="23.25" hidden="1" thickBot="1" x14ac:dyDescent="0.25">
      <c r="A988" s="317">
        <v>101502</v>
      </c>
      <c r="B988" s="895">
        <v>101502</v>
      </c>
      <c r="C988" s="896" t="s">
        <v>596</v>
      </c>
      <c r="D988" s="906" t="s">
        <v>915</v>
      </c>
      <c r="E988" s="907">
        <f>GLOBAL_DER_FEV_2023!E988</f>
        <v>0</v>
      </c>
      <c r="F988" s="908">
        <f>GLOBAL_DER_FEV_2023!F988</f>
        <v>0</v>
      </c>
      <c r="G988" s="912">
        <f>GLOBAL_DER_FEV_2023!G988</f>
        <v>0</v>
      </c>
      <c r="H988" s="901">
        <f>GLOBAL_DER_FEV_2023!H988</f>
        <v>1919.19</v>
      </c>
      <c r="I988" s="901">
        <f>GLOBAL_DER_FEV_2023!I988</f>
        <v>1919.19</v>
      </c>
      <c r="J988" s="902">
        <f>GLOBAL_DER_FEV_2023!J988</f>
        <v>2304.37</v>
      </c>
      <c r="K988" s="903" t="s">
        <v>1516</v>
      </c>
      <c r="L988" s="1137"/>
      <c r="M988" s="1138">
        <f t="shared" si="72"/>
        <v>0</v>
      </c>
      <c r="N988" s="893">
        <f t="shared" si="71"/>
        <v>0</v>
      </c>
      <c r="O988" s="905"/>
      <c r="Q988" s="317" t="str">
        <f t="shared" si="73"/>
        <v/>
      </c>
      <c r="R988" s="317" t="str">
        <f t="shared" si="69"/>
        <v/>
      </c>
      <c r="S988" s="317" t="str">
        <f t="shared" si="70"/>
        <v/>
      </c>
      <c r="T988" s="317" t="str">
        <f>GLOBAL_DER_FEV_2023!S988</f>
        <v/>
      </c>
      <c r="W988" s="582">
        <v>0</v>
      </c>
      <c r="X988" s="580"/>
      <c r="Y988" s="583">
        <f>IF(GLOBAL_DER_FEV_2023!W988=0,0,IF(GLOBAL_DER_FEV_2023!W988&gt;0,"c","b"))</f>
        <v>0</v>
      </c>
    </row>
    <row r="989" spans="1:25" ht="23.25" hidden="1" thickBot="1" x14ac:dyDescent="0.25">
      <c r="A989" s="317">
        <v>101503</v>
      </c>
      <c r="B989" s="895">
        <v>101503</v>
      </c>
      <c r="C989" s="896" t="s">
        <v>596</v>
      </c>
      <c r="D989" s="906" t="s">
        <v>916</v>
      </c>
      <c r="E989" s="907">
        <f>GLOBAL_DER_FEV_2023!E989</f>
        <v>0</v>
      </c>
      <c r="F989" s="908">
        <f>GLOBAL_DER_FEV_2023!F989</f>
        <v>0</v>
      </c>
      <c r="G989" s="912">
        <f>GLOBAL_DER_FEV_2023!G989</f>
        <v>0</v>
      </c>
      <c r="H989" s="901">
        <f>GLOBAL_DER_FEV_2023!H989</f>
        <v>1960.98</v>
      </c>
      <c r="I989" s="901">
        <f>GLOBAL_DER_FEV_2023!I989</f>
        <v>1960.98</v>
      </c>
      <c r="J989" s="902">
        <f>GLOBAL_DER_FEV_2023!J989</f>
        <v>2354.5500000000002</v>
      </c>
      <c r="K989" s="903" t="s">
        <v>1516</v>
      </c>
      <c r="L989" s="1137"/>
      <c r="M989" s="1138">
        <f t="shared" si="72"/>
        <v>0</v>
      </c>
      <c r="N989" s="893">
        <f t="shared" si="71"/>
        <v>0</v>
      </c>
      <c r="O989" s="905"/>
      <c r="Q989" s="317" t="str">
        <f t="shared" si="73"/>
        <v/>
      </c>
      <c r="R989" s="317" t="str">
        <f t="shared" ref="R989:R1052" si="74">IF(P989="X","x",IF(P989="y","x",IF(P989="xx","x",IF(N989&gt;0,"x",""))))</f>
        <v/>
      </c>
      <c r="S989" s="317" t="str">
        <f t="shared" ref="S989:S1052" si="75">IF(P989="X","x",IF(N989&gt;0,"x",""))</f>
        <v/>
      </c>
      <c r="T989" s="317" t="str">
        <f>GLOBAL_DER_FEV_2023!S989</f>
        <v/>
      </c>
      <c r="W989" s="582">
        <v>0</v>
      </c>
      <c r="X989" s="580"/>
      <c r="Y989" s="583">
        <f>IF(GLOBAL_DER_FEV_2023!W989=0,0,IF(GLOBAL_DER_FEV_2023!W989&gt;0,"c","b"))</f>
        <v>0</v>
      </c>
    </row>
    <row r="990" spans="1:25" ht="23.25" hidden="1" thickBot="1" x14ac:dyDescent="0.25">
      <c r="A990" s="317">
        <v>101504</v>
      </c>
      <c r="B990" s="895">
        <v>101504</v>
      </c>
      <c r="C990" s="896" t="s">
        <v>596</v>
      </c>
      <c r="D990" s="906" t="s">
        <v>917</v>
      </c>
      <c r="E990" s="907">
        <f>GLOBAL_DER_FEV_2023!E990</f>
        <v>0</v>
      </c>
      <c r="F990" s="908">
        <f>GLOBAL_DER_FEV_2023!F990</f>
        <v>0</v>
      </c>
      <c r="G990" s="912">
        <f>GLOBAL_DER_FEV_2023!G990</f>
        <v>0</v>
      </c>
      <c r="H990" s="901">
        <f>GLOBAL_DER_FEV_2023!H990</f>
        <v>2173.65</v>
      </c>
      <c r="I990" s="901">
        <f>GLOBAL_DER_FEV_2023!I990</f>
        <v>2173.65</v>
      </c>
      <c r="J990" s="902">
        <f>GLOBAL_DER_FEV_2023!J990</f>
        <v>2609.9</v>
      </c>
      <c r="K990" s="903" t="s">
        <v>1516</v>
      </c>
      <c r="L990" s="1137"/>
      <c r="M990" s="1138">
        <f t="shared" si="72"/>
        <v>0</v>
      </c>
      <c r="N990" s="893">
        <f t="shared" si="71"/>
        <v>0</v>
      </c>
      <c r="O990" s="905"/>
      <c r="Q990" s="317" t="str">
        <f t="shared" si="73"/>
        <v/>
      </c>
      <c r="R990" s="317" t="str">
        <f t="shared" si="74"/>
        <v/>
      </c>
      <c r="S990" s="317" t="str">
        <f t="shared" si="75"/>
        <v/>
      </c>
      <c r="T990" s="317" t="str">
        <f>GLOBAL_DER_FEV_2023!S990</f>
        <v/>
      </c>
      <c r="W990" s="582">
        <v>0</v>
      </c>
      <c r="X990" s="580"/>
      <c r="Y990" s="583">
        <f>IF(GLOBAL_DER_FEV_2023!W990=0,0,IF(GLOBAL_DER_FEV_2023!W990&gt;0,"c","b"))</f>
        <v>0</v>
      </c>
    </row>
    <row r="991" spans="1:25" ht="34.5" hidden="1" thickBot="1" x14ac:dyDescent="0.25">
      <c r="A991" s="317">
        <v>101505</v>
      </c>
      <c r="B991" s="895">
        <v>101505</v>
      </c>
      <c r="C991" s="896" t="s">
        <v>596</v>
      </c>
      <c r="D991" s="906" t="s">
        <v>918</v>
      </c>
      <c r="E991" s="907">
        <f>GLOBAL_DER_FEV_2023!E991</f>
        <v>0</v>
      </c>
      <c r="F991" s="908">
        <f>GLOBAL_DER_FEV_2023!F991</f>
        <v>0</v>
      </c>
      <c r="G991" s="912">
        <f>GLOBAL_DER_FEV_2023!G991</f>
        <v>0</v>
      </c>
      <c r="H991" s="901">
        <f>GLOBAL_DER_FEV_2023!H991</f>
        <v>1896.69</v>
      </c>
      <c r="I991" s="901">
        <f>GLOBAL_DER_FEV_2023!I991</f>
        <v>1896.69</v>
      </c>
      <c r="J991" s="902">
        <f>GLOBAL_DER_FEV_2023!J991</f>
        <v>2277.36</v>
      </c>
      <c r="K991" s="903" t="s">
        <v>1516</v>
      </c>
      <c r="L991" s="1137"/>
      <c r="M991" s="1138">
        <f t="shared" si="72"/>
        <v>0</v>
      </c>
      <c r="N991" s="893">
        <f t="shared" si="71"/>
        <v>0</v>
      </c>
      <c r="O991" s="905"/>
      <c r="Q991" s="317" t="str">
        <f t="shared" si="73"/>
        <v/>
      </c>
      <c r="R991" s="317" t="str">
        <f t="shared" si="74"/>
        <v/>
      </c>
      <c r="S991" s="317" t="str">
        <f t="shared" si="75"/>
        <v/>
      </c>
      <c r="T991" s="317" t="str">
        <f>GLOBAL_DER_FEV_2023!S991</f>
        <v/>
      </c>
      <c r="W991" s="582">
        <v>0</v>
      </c>
      <c r="X991" s="580"/>
      <c r="Y991" s="583">
        <f>IF(GLOBAL_DER_FEV_2023!W991=0,0,IF(GLOBAL_DER_FEV_2023!W991&gt;0,"c","b"))</f>
        <v>0</v>
      </c>
    </row>
    <row r="992" spans="1:25" ht="34.5" hidden="1" thickBot="1" x14ac:dyDescent="0.25">
      <c r="A992" s="317">
        <v>101506</v>
      </c>
      <c r="B992" s="895">
        <v>101506</v>
      </c>
      <c r="C992" s="896" t="s">
        <v>596</v>
      </c>
      <c r="D992" s="906" t="s">
        <v>919</v>
      </c>
      <c r="E992" s="907">
        <f>GLOBAL_DER_FEV_2023!E992</f>
        <v>0</v>
      </c>
      <c r="F992" s="908">
        <f>GLOBAL_DER_FEV_2023!F992</f>
        <v>0</v>
      </c>
      <c r="G992" s="912">
        <f>GLOBAL_DER_FEV_2023!G992</f>
        <v>0</v>
      </c>
      <c r="H992" s="901">
        <f>GLOBAL_DER_FEV_2023!H992</f>
        <v>2094.7199999999998</v>
      </c>
      <c r="I992" s="901">
        <f>GLOBAL_DER_FEV_2023!I992</f>
        <v>2094.7199999999998</v>
      </c>
      <c r="J992" s="902">
        <f>GLOBAL_DER_FEV_2023!J992</f>
        <v>2515.13</v>
      </c>
      <c r="K992" s="903" t="s">
        <v>1516</v>
      </c>
      <c r="L992" s="1137"/>
      <c r="M992" s="1138">
        <f t="shared" si="72"/>
        <v>0</v>
      </c>
      <c r="N992" s="893">
        <f t="shared" si="71"/>
        <v>0</v>
      </c>
      <c r="O992" s="905"/>
      <c r="Q992" s="317" t="str">
        <f t="shared" si="73"/>
        <v/>
      </c>
      <c r="R992" s="317" t="str">
        <f t="shared" si="74"/>
        <v/>
      </c>
      <c r="S992" s="317" t="str">
        <f t="shared" si="75"/>
        <v/>
      </c>
      <c r="T992" s="317" t="str">
        <f>GLOBAL_DER_FEV_2023!S992</f>
        <v/>
      </c>
      <c r="W992" s="582">
        <v>0</v>
      </c>
      <c r="X992" s="580"/>
      <c r="Y992" s="583">
        <f>IF(GLOBAL_DER_FEV_2023!W992=0,0,IF(GLOBAL_DER_FEV_2023!W992&gt;0,"c","b"))</f>
        <v>0</v>
      </c>
    </row>
    <row r="993" spans="1:25" ht="34.5" hidden="1" thickBot="1" x14ac:dyDescent="0.25">
      <c r="A993" s="317">
        <v>101507</v>
      </c>
      <c r="B993" s="895">
        <v>101507</v>
      </c>
      <c r="C993" s="896" t="s">
        <v>596</v>
      </c>
      <c r="D993" s="906" t="s">
        <v>920</v>
      </c>
      <c r="E993" s="907">
        <f>GLOBAL_DER_FEV_2023!E993</f>
        <v>0</v>
      </c>
      <c r="F993" s="908">
        <f>GLOBAL_DER_FEV_2023!F993</f>
        <v>0</v>
      </c>
      <c r="G993" s="912">
        <f>GLOBAL_DER_FEV_2023!G993</f>
        <v>0</v>
      </c>
      <c r="H993" s="901">
        <f>GLOBAL_DER_FEV_2023!H993</f>
        <v>2150.44</v>
      </c>
      <c r="I993" s="901">
        <f>GLOBAL_DER_FEV_2023!I993</f>
        <v>2150.44</v>
      </c>
      <c r="J993" s="902">
        <f>GLOBAL_DER_FEV_2023!J993</f>
        <v>2582.0300000000002</v>
      </c>
      <c r="K993" s="903" t="s">
        <v>1516</v>
      </c>
      <c r="L993" s="1137"/>
      <c r="M993" s="1138">
        <f t="shared" si="72"/>
        <v>0</v>
      </c>
      <c r="N993" s="893">
        <f t="shared" ref="N993:N1056" si="76">IF(ISBLANK(L993),0,IF(W993=0,ROUND(L993*M993,2),IF(W993="b",ROUNDDOWN(L993*M993,2),ROUNDUP(L993*M993,2))))</f>
        <v>0</v>
      </c>
      <c r="O993" s="905"/>
      <c r="Q993" s="317" t="str">
        <f t="shared" si="73"/>
        <v/>
      </c>
      <c r="R993" s="317" t="str">
        <f t="shared" si="74"/>
        <v/>
      </c>
      <c r="S993" s="317" t="str">
        <f t="shared" si="75"/>
        <v/>
      </c>
      <c r="T993" s="317" t="str">
        <f>GLOBAL_DER_FEV_2023!S993</f>
        <v/>
      </c>
      <c r="W993" s="582">
        <v>0</v>
      </c>
      <c r="X993" s="580"/>
      <c r="Y993" s="583">
        <f>IF(GLOBAL_DER_FEV_2023!W993=0,0,IF(GLOBAL_DER_FEV_2023!W993&gt;0,"c","b"))</f>
        <v>0</v>
      </c>
    </row>
    <row r="994" spans="1:25" ht="34.5" hidden="1" thickBot="1" x14ac:dyDescent="0.25">
      <c r="A994" s="317">
        <v>101508</v>
      </c>
      <c r="B994" s="895">
        <v>101508</v>
      </c>
      <c r="C994" s="896" t="s">
        <v>596</v>
      </c>
      <c r="D994" s="906" t="s">
        <v>921</v>
      </c>
      <c r="E994" s="907">
        <f>GLOBAL_DER_FEV_2023!E994</f>
        <v>0</v>
      </c>
      <c r="F994" s="908">
        <f>GLOBAL_DER_FEV_2023!F994</f>
        <v>0</v>
      </c>
      <c r="G994" s="912">
        <f>GLOBAL_DER_FEV_2023!G994</f>
        <v>0</v>
      </c>
      <c r="H994" s="901">
        <f>GLOBAL_DER_FEV_2023!H994</f>
        <v>2420.2800000000002</v>
      </c>
      <c r="I994" s="901">
        <f>GLOBAL_DER_FEV_2023!I994</f>
        <v>2420.2800000000002</v>
      </c>
      <c r="J994" s="902">
        <f>GLOBAL_DER_FEV_2023!J994</f>
        <v>2906.03</v>
      </c>
      <c r="K994" s="903" t="s">
        <v>1516</v>
      </c>
      <c r="L994" s="1137"/>
      <c r="M994" s="1138">
        <f t="shared" si="72"/>
        <v>0</v>
      </c>
      <c r="N994" s="893">
        <f t="shared" si="76"/>
        <v>0</v>
      </c>
      <c r="O994" s="905"/>
      <c r="Q994" s="317" t="str">
        <f t="shared" si="73"/>
        <v/>
      </c>
      <c r="R994" s="317" t="str">
        <f t="shared" si="74"/>
        <v/>
      </c>
      <c r="S994" s="317" t="str">
        <f t="shared" si="75"/>
        <v/>
      </c>
      <c r="T994" s="317" t="str">
        <f>GLOBAL_DER_FEV_2023!S994</f>
        <v/>
      </c>
      <c r="W994" s="582">
        <v>0</v>
      </c>
      <c r="X994" s="580"/>
      <c r="Y994" s="583">
        <f>IF(GLOBAL_DER_FEV_2023!W994=0,0,IF(GLOBAL_DER_FEV_2023!W994&gt;0,"c","b"))</f>
        <v>0</v>
      </c>
    </row>
    <row r="995" spans="1:25" ht="23.25" hidden="1" thickBot="1" x14ac:dyDescent="0.25">
      <c r="A995" s="317">
        <v>101509</v>
      </c>
      <c r="B995" s="895">
        <v>101509</v>
      </c>
      <c r="C995" s="896" t="s">
        <v>596</v>
      </c>
      <c r="D995" s="906" t="s">
        <v>922</v>
      </c>
      <c r="E995" s="907">
        <f>GLOBAL_DER_FEV_2023!E995</f>
        <v>0</v>
      </c>
      <c r="F995" s="908">
        <f>GLOBAL_DER_FEV_2023!F995</f>
        <v>0</v>
      </c>
      <c r="G995" s="912">
        <f>GLOBAL_DER_FEV_2023!G995</f>
        <v>0</v>
      </c>
      <c r="H995" s="901">
        <f>GLOBAL_DER_FEV_2023!H995</f>
        <v>2020.87</v>
      </c>
      <c r="I995" s="901">
        <f>GLOBAL_DER_FEV_2023!I995</f>
        <v>2020.87</v>
      </c>
      <c r="J995" s="902">
        <f>GLOBAL_DER_FEV_2023!J995</f>
        <v>2426.46</v>
      </c>
      <c r="K995" s="903" t="s">
        <v>1516</v>
      </c>
      <c r="L995" s="1137"/>
      <c r="M995" s="1138">
        <f t="shared" si="72"/>
        <v>0</v>
      </c>
      <c r="N995" s="893">
        <f t="shared" si="76"/>
        <v>0</v>
      </c>
      <c r="O995" s="905"/>
      <c r="Q995" s="317" t="str">
        <f t="shared" si="73"/>
        <v/>
      </c>
      <c r="R995" s="317" t="str">
        <f t="shared" si="74"/>
        <v/>
      </c>
      <c r="S995" s="317" t="str">
        <f t="shared" si="75"/>
        <v/>
      </c>
      <c r="T995" s="317" t="str">
        <f>GLOBAL_DER_FEV_2023!S995</f>
        <v/>
      </c>
      <c r="W995" s="582">
        <v>0</v>
      </c>
      <c r="X995" s="580"/>
      <c r="Y995" s="583">
        <f>IF(GLOBAL_DER_FEV_2023!W995=0,0,IF(GLOBAL_DER_FEV_2023!W995&gt;0,"c","b"))</f>
        <v>0</v>
      </c>
    </row>
    <row r="996" spans="1:25" ht="23.25" hidden="1" thickBot="1" x14ac:dyDescent="0.25">
      <c r="A996" s="317">
        <v>101510</v>
      </c>
      <c r="B996" s="895">
        <v>101510</v>
      </c>
      <c r="C996" s="896" t="s">
        <v>596</v>
      </c>
      <c r="D996" s="906" t="s">
        <v>923</v>
      </c>
      <c r="E996" s="907">
        <f>GLOBAL_DER_FEV_2023!E996</f>
        <v>0</v>
      </c>
      <c r="F996" s="908">
        <f>GLOBAL_DER_FEV_2023!F996</f>
        <v>0</v>
      </c>
      <c r="G996" s="912">
        <f>GLOBAL_DER_FEV_2023!G996</f>
        <v>0</v>
      </c>
      <c r="H996" s="901">
        <f>GLOBAL_DER_FEV_2023!H996</f>
        <v>2218.9</v>
      </c>
      <c r="I996" s="901">
        <f>GLOBAL_DER_FEV_2023!I996</f>
        <v>2218.9</v>
      </c>
      <c r="J996" s="902">
        <f>GLOBAL_DER_FEV_2023!J996</f>
        <v>2664.23</v>
      </c>
      <c r="K996" s="903" t="s">
        <v>1516</v>
      </c>
      <c r="L996" s="1137"/>
      <c r="M996" s="1138">
        <f t="shared" si="72"/>
        <v>0</v>
      </c>
      <c r="N996" s="893">
        <f t="shared" si="76"/>
        <v>0</v>
      </c>
      <c r="O996" s="905"/>
      <c r="Q996" s="317" t="str">
        <f t="shared" si="73"/>
        <v/>
      </c>
      <c r="R996" s="317" t="str">
        <f t="shared" si="74"/>
        <v/>
      </c>
      <c r="S996" s="317" t="str">
        <f t="shared" si="75"/>
        <v/>
      </c>
      <c r="T996" s="317" t="str">
        <f>GLOBAL_DER_FEV_2023!S996</f>
        <v/>
      </c>
      <c r="W996" s="582">
        <v>0</v>
      </c>
      <c r="X996" s="580"/>
      <c r="Y996" s="583">
        <f>IF(GLOBAL_DER_FEV_2023!W996=0,0,IF(GLOBAL_DER_FEV_2023!W996&gt;0,"c","b"))</f>
        <v>0</v>
      </c>
    </row>
    <row r="997" spans="1:25" ht="23.25" hidden="1" thickBot="1" x14ac:dyDescent="0.25">
      <c r="A997" s="317">
        <v>101511</v>
      </c>
      <c r="B997" s="895">
        <v>101511</v>
      </c>
      <c r="C997" s="896" t="s">
        <v>596</v>
      </c>
      <c r="D997" s="906" t="s">
        <v>924</v>
      </c>
      <c r="E997" s="907">
        <f>GLOBAL_DER_FEV_2023!E997</f>
        <v>0</v>
      </c>
      <c r="F997" s="908">
        <f>GLOBAL_DER_FEV_2023!F997</f>
        <v>0</v>
      </c>
      <c r="G997" s="912">
        <f>GLOBAL_DER_FEV_2023!G997</f>
        <v>0</v>
      </c>
      <c r="H997" s="901">
        <f>GLOBAL_DER_FEV_2023!H997</f>
        <v>2274.62</v>
      </c>
      <c r="I997" s="901">
        <f>GLOBAL_DER_FEV_2023!I997</f>
        <v>2274.62</v>
      </c>
      <c r="J997" s="902">
        <f>GLOBAL_DER_FEV_2023!J997</f>
        <v>2731.14</v>
      </c>
      <c r="K997" s="903" t="s">
        <v>1516</v>
      </c>
      <c r="L997" s="1137"/>
      <c r="M997" s="1138">
        <f t="shared" si="72"/>
        <v>0</v>
      </c>
      <c r="N997" s="893">
        <f t="shared" si="76"/>
        <v>0</v>
      </c>
      <c r="O997" s="905"/>
      <c r="Q997" s="317" t="str">
        <f t="shared" si="73"/>
        <v/>
      </c>
      <c r="R997" s="317" t="str">
        <f t="shared" si="74"/>
        <v/>
      </c>
      <c r="S997" s="317" t="str">
        <f t="shared" si="75"/>
        <v/>
      </c>
      <c r="T997" s="317" t="str">
        <f>GLOBAL_DER_FEV_2023!S997</f>
        <v/>
      </c>
      <c r="W997" s="582">
        <v>0</v>
      </c>
      <c r="X997" s="580"/>
      <c r="Y997" s="583">
        <f>IF(GLOBAL_DER_FEV_2023!W997=0,0,IF(GLOBAL_DER_FEV_2023!W997&gt;0,"c","b"))</f>
        <v>0</v>
      </c>
    </row>
    <row r="998" spans="1:25" ht="23.25" hidden="1" thickBot="1" x14ac:dyDescent="0.25">
      <c r="A998" s="317">
        <v>101512</v>
      </c>
      <c r="B998" s="895">
        <v>101512</v>
      </c>
      <c r="C998" s="896" t="s">
        <v>596</v>
      </c>
      <c r="D998" s="906" t="s">
        <v>925</v>
      </c>
      <c r="E998" s="907">
        <f>GLOBAL_DER_FEV_2023!E998</f>
        <v>0</v>
      </c>
      <c r="F998" s="908">
        <f>GLOBAL_DER_FEV_2023!F998</f>
        <v>0</v>
      </c>
      <c r="G998" s="912">
        <f>GLOBAL_DER_FEV_2023!G998</f>
        <v>0</v>
      </c>
      <c r="H998" s="901">
        <f>GLOBAL_DER_FEV_2023!H998</f>
        <v>2544.46</v>
      </c>
      <c r="I998" s="901">
        <f>GLOBAL_DER_FEV_2023!I998</f>
        <v>2544.46</v>
      </c>
      <c r="J998" s="902">
        <f>GLOBAL_DER_FEV_2023!J998</f>
        <v>3055.13</v>
      </c>
      <c r="K998" s="903" t="s">
        <v>1516</v>
      </c>
      <c r="L998" s="1137"/>
      <c r="M998" s="1138">
        <f t="shared" si="72"/>
        <v>0</v>
      </c>
      <c r="N998" s="893">
        <f t="shared" si="76"/>
        <v>0</v>
      </c>
      <c r="O998" s="905"/>
      <c r="Q998" s="317" t="str">
        <f t="shared" si="73"/>
        <v/>
      </c>
      <c r="R998" s="317" t="str">
        <f t="shared" si="74"/>
        <v/>
      </c>
      <c r="S998" s="317" t="str">
        <f t="shared" si="75"/>
        <v/>
      </c>
      <c r="T998" s="317" t="str">
        <f>GLOBAL_DER_FEV_2023!S998</f>
        <v/>
      </c>
      <c r="W998" s="582">
        <v>0</v>
      </c>
      <c r="X998" s="580"/>
      <c r="Y998" s="583">
        <f>IF(GLOBAL_DER_FEV_2023!W998=0,0,IF(GLOBAL_DER_FEV_2023!W998&gt;0,"c","b"))</f>
        <v>0</v>
      </c>
    </row>
    <row r="999" spans="1:25" ht="34.5" hidden="1" thickBot="1" x14ac:dyDescent="0.25">
      <c r="A999" s="317">
        <v>101513</v>
      </c>
      <c r="B999" s="895">
        <v>101513</v>
      </c>
      <c r="C999" s="896" t="s">
        <v>596</v>
      </c>
      <c r="D999" s="906" t="s">
        <v>926</v>
      </c>
      <c r="E999" s="907">
        <f>GLOBAL_DER_FEV_2023!E999</f>
        <v>0</v>
      </c>
      <c r="F999" s="908">
        <f>GLOBAL_DER_FEV_2023!F999</f>
        <v>0</v>
      </c>
      <c r="G999" s="912">
        <f>GLOBAL_DER_FEV_2023!G999</f>
        <v>0</v>
      </c>
      <c r="H999" s="901">
        <f>GLOBAL_DER_FEV_2023!H999</f>
        <v>840</v>
      </c>
      <c r="I999" s="901">
        <f>GLOBAL_DER_FEV_2023!I999</f>
        <v>840</v>
      </c>
      <c r="J999" s="902">
        <f>GLOBAL_DER_FEV_2023!J999</f>
        <v>1008.59</v>
      </c>
      <c r="K999" s="903" t="s">
        <v>1516</v>
      </c>
      <c r="L999" s="1137"/>
      <c r="M999" s="1138">
        <f t="shared" si="72"/>
        <v>0</v>
      </c>
      <c r="N999" s="893">
        <f t="shared" si="76"/>
        <v>0</v>
      </c>
      <c r="O999" s="905"/>
      <c r="Q999" s="317" t="str">
        <f t="shared" si="73"/>
        <v/>
      </c>
      <c r="R999" s="317" t="str">
        <f t="shared" si="74"/>
        <v/>
      </c>
      <c r="S999" s="317" t="str">
        <f t="shared" si="75"/>
        <v/>
      </c>
      <c r="T999" s="317" t="str">
        <f>GLOBAL_DER_FEV_2023!S999</f>
        <v/>
      </c>
      <c r="W999" s="582">
        <v>0</v>
      </c>
      <c r="X999" s="580"/>
      <c r="Y999" s="583">
        <f>IF(GLOBAL_DER_FEV_2023!W999=0,0,IF(GLOBAL_DER_FEV_2023!W999&gt;0,"c","b"))</f>
        <v>0</v>
      </c>
    </row>
    <row r="1000" spans="1:25" ht="34.5" hidden="1" thickBot="1" x14ac:dyDescent="0.25">
      <c r="A1000" s="317">
        <v>101514</v>
      </c>
      <c r="B1000" s="895">
        <v>101514</v>
      </c>
      <c r="C1000" s="896" t="s">
        <v>596</v>
      </c>
      <c r="D1000" s="906" t="s">
        <v>927</v>
      </c>
      <c r="E1000" s="907">
        <f>GLOBAL_DER_FEV_2023!E1000</f>
        <v>0</v>
      </c>
      <c r="F1000" s="908">
        <f>GLOBAL_DER_FEV_2023!F1000</f>
        <v>0</v>
      </c>
      <c r="G1000" s="912">
        <f>GLOBAL_DER_FEV_2023!G1000</f>
        <v>0</v>
      </c>
      <c r="H1000" s="901">
        <f>GLOBAL_DER_FEV_2023!H1000</f>
        <v>957.75</v>
      </c>
      <c r="I1000" s="901">
        <f>GLOBAL_DER_FEV_2023!I1000</f>
        <v>957.75</v>
      </c>
      <c r="J1000" s="902">
        <f>GLOBAL_DER_FEV_2023!J1000</f>
        <v>1149.97</v>
      </c>
      <c r="K1000" s="903" t="s">
        <v>1516</v>
      </c>
      <c r="L1000" s="1137"/>
      <c r="M1000" s="1138">
        <f t="shared" si="72"/>
        <v>0</v>
      </c>
      <c r="N1000" s="893">
        <f t="shared" si="76"/>
        <v>0</v>
      </c>
      <c r="O1000" s="905"/>
      <c r="Q1000" s="317" t="str">
        <f t="shared" si="73"/>
        <v/>
      </c>
      <c r="R1000" s="317" t="str">
        <f t="shared" si="74"/>
        <v/>
      </c>
      <c r="S1000" s="317" t="str">
        <f t="shared" si="75"/>
        <v/>
      </c>
      <c r="T1000" s="317" t="str">
        <f>GLOBAL_DER_FEV_2023!S1000</f>
        <v/>
      </c>
      <c r="W1000" s="582">
        <v>0</v>
      </c>
      <c r="X1000" s="580"/>
      <c r="Y1000" s="583">
        <f>IF(GLOBAL_DER_FEV_2023!W1000=0,0,IF(GLOBAL_DER_FEV_2023!W1000&gt;0,"c","b"))</f>
        <v>0</v>
      </c>
    </row>
    <row r="1001" spans="1:25" ht="34.5" hidden="1" thickBot="1" x14ac:dyDescent="0.25">
      <c r="A1001" s="317">
        <v>101515</v>
      </c>
      <c r="B1001" s="895">
        <v>101515</v>
      </c>
      <c r="C1001" s="896" t="s">
        <v>596</v>
      </c>
      <c r="D1001" s="906" t="s">
        <v>928</v>
      </c>
      <c r="E1001" s="907">
        <f>GLOBAL_DER_FEV_2023!E1001</f>
        <v>0</v>
      </c>
      <c r="F1001" s="908">
        <f>GLOBAL_DER_FEV_2023!F1001</f>
        <v>0</v>
      </c>
      <c r="G1001" s="912">
        <f>GLOBAL_DER_FEV_2023!G1001</f>
        <v>0</v>
      </c>
      <c r="H1001" s="901">
        <f>GLOBAL_DER_FEV_2023!H1001</f>
        <v>990.88</v>
      </c>
      <c r="I1001" s="901">
        <f>GLOBAL_DER_FEV_2023!I1001</f>
        <v>990.88</v>
      </c>
      <c r="J1001" s="902">
        <f>GLOBAL_DER_FEV_2023!J1001</f>
        <v>1189.75</v>
      </c>
      <c r="K1001" s="903" t="s">
        <v>1516</v>
      </c>
      <c r="L1001" s="1137"/>
      <c r="M1001" s="1138">
        <f t="shared" si="72"/>
        <v>0</v>
      </c>
      <c r="N1001" s="893">
        <f t="shared" si="76"/>
        <v>0</v>
      </c>
      <c r="O1001" s="905"/>
      <c r="Q1001" s="317" t="str">
        <f t="shared" si="73"/>
        <v/>
      </c>
      <c r="R1001" s="317" t="str">
        <f t="shared" si="74"/>
        <v/>
      </c>
      <c r="S1001" s="317" t="str">
        <f t="shared" si="75"/>
        <v/>
      </c>
      <c r="T1001" s="317" t="str">
        <f>GLOBAL_DER_FEV_2023!S1001</f>
        <v/>
      </c>
      <c r="W1001" s="582">
        <v>0</v>
      </c>
      <c r="X1001" s="580"/>
      <c r="Y1001" s="583">
        <f>IF(GLOBAL_DER_FEV_2023!W1001=0,0,IF(GLOBAL_DER_FEV_2023!W1001&gt;0,"c","b"))</f>
        <v>0</v>
      </c>
    </row>
    <row r="1002" spans="1:25" ht="34.5" hidden="1" thickBot="1" x14ac:dyDescent="0.25">
      <c r="A1002" s="317">
        <v>101516</v>
      </c>
      <c r="B1002" s="895">
        <v>101516</v>
      </c>
      <c r="C1002" s="896" t="s">
        <v>596</v>
      </c>
      <c r="D1002" s="906" t="s">
        <v>929</v>
      </c>
      <c r="E1002" s="907">
        <f>GLOBAL_DER_FEV_2023!E1002</f>
        <v>0</v>
      </c>
      <c r="F1002" s="908">
        <f>GLOBAL_DER_FEV_2023!F1002</f>
        <v>0</v>
      </c>
      <c r="G1002" s="912">
        <f>GLOBAL_DER_FEV_2023!G1002</f>
        <v>0</v>
      </c>
      <c r="H1002" s="901">
        <f>GLOBAL_DER_FEV_2023!H1002</f>
        <v>1126.8399999999999</v>
      </c>
      <c r="I1002" s="901">
        <f>GLOBAL_DER_FEV_2023!I1002</f>
        <v>1126.8399999999999</v>
      </c>
      <c r="J1002" s="902">
        <f>GLOBAL_DER_FEV_2023!J1002</f>
        <v>1353</v>
      </c>
      <c r="K1002" s="903" t="s">
        <v>1516</v>
      </c>
      <c r="L1002" s="1137"/>
      <c r="M1002" s="1138">
        <f t="shared" si="72"/>
        <v>0</v>
      </c>
      <c r="N1002" s="893">
        <f t="shared" si="76"/>
        <v>0</v>
      </c>
      <c r="O1002" s="905"/>
      <c r="Q1002" s="317" t="str">
        <f t="shared" si="73"/>
        <v/>
      </c>
      <c r="R1002" s="317" t="str">
        <f t="shared" si="74"/>
        <v/>
      </c>
      <c r="S1002" s="317" t="str">
        <f t="shared" si="75"/>
        <v/>
      </c>
      <c r="T1002" s="317" t="str">
        <f>GLOBAL_DER_FEV_2023!S1002</f>
        <v/>
      </c>
      <c r="W1002" s="582">
        <v>0</v>
      </c>
      <c r="X1002" s="580"/>
      <c r="Y1002" s="583">
        <f>IF(GLOBAL_DER_FEV_2023!W1002=0,0,IF(GLOBAL_DER_FEV_2023!W1002&gt;0,"c","b"))</f>
        <v>0</v>
      </c>
    </row>
    <row r="1003" spans="1:25" ht="34.5" hidden="1" thickBot="1" x14ac:dyDescent="0.25">
      <c r="A1003" s="317">
        <v>101517</v>
      </c>
      <c r="B1003" s="895">
        <v>101517</v>
      </c>
      <c r="C1003" s="896" t="s">
        <v>596</v>
      </c>
      <c r="D1003" s="906" t="s">
        <v>930</v>
      </c>
      <c r="E1003" s="907">
        <f>GLOBAL_DER_FEV_2023!E1003</f>
        <v>0</v>
      </c>
      <c r="F1003" s="908">
        <f>GLOBAL_DER_FEV_2023!F1003</f>
        <v>0</v>
      </c>
      <c r="G1003" s="912">
        <f>GLOBAL_DER_FEV_2023!G1003</f>
        <v>0</v>
      </c>
      <c r="H1003" s="901">
        <f>GLOBAL_DER_FEV_2023!H1003</f>
        <v>819.99</v>
      </c>
      <c r="I1003" s="901">
        <f>GLOBAL_DER_FEV_2023!I1003</f>
        <v>819.99</v>
      </c>
      <c r="J1003" s="902">
        <f>GLOBAL_DER_FEV_2023!J1003</f>
        <v>984.56</v>
      </c>
      <c r="K1003" s="903" t="s">
        <v>1516</v>
      </c>
      <c r="L1003" s="1137"/>
      <c r="M1003" s="1138">
        <f t="shared" si="72"/>
        <v>0</v>
      </c>
      <c r="N1003" s="893">
        <f t="shared" si="76"/>
        <v>0</v>
      </c>
      <c r="O1003" s="905"/>
      <c r="Q1003" s="317" t="str">
        <f t="shared" si="73"/>
        <v/>
      </c>
      <c r="R1003" s="317" t="str">
        <f t="shared" si="74"/>
        <v/>
      </c>
      <c r="S1003" s="317" t="str">
        <f t="shared" si="75"/>
        <v/>
      </c>
      <c r="T1003" s="317" t="str">
        <f>GLOBAL_DER_FEV_2023!S1003</f>
        <v/>
      </c>
      <c r="W1003" s="582">
        <v>0</v>
      </c>
      <c r="X1003" s="580"/>
      <c r="Y1003" s="583">
        <f>IF(GLOBAL_DER_FEV_2023!W1003=0,0,IF(GLOBAL_DER_FEV_2023!W1003&gt;0,"c","b"))</f>
        <v>0</v>
      </c>
    </row>
    <row r="1004" spans="1:25" ht="34.5" hidden="1" thickBot="1" x14ac:dyDescent="0.25">
      <c r="A1004" s="317">
        <v>101518</v>
      </c>
      <c r="B1004" s="895">
        <v>101518</v>
      </c>
      <c r="C1004" s="896" t="s">
        <v>596</v>
      </c>
      <c r="D1004" s="906" t="s">
        <v>931</v>
      </c>
      <c r="E1004" s="907">
        <f>GLOBAL_DER_FEV_2023!E1004</f>
        <v>0</v>
      </c>
      <c r="F1004" s="908">
        <f>GLOBAL_DER_FEV_2023!F1004</f>
        <v>0</v>
      </c>
      <c r="G1004" s="912">
        <f>GLOBAL_DER_FEV_2023!G1004</f>
        <v>0</v>
      </c>
      <c r="H1004" s="901">
        <f>GLOBAL_DER_FEV_2023!H1004</f>
        <v>937.74</v>
      </c>
      <c r="I1004" s="901">
        <f>GLOBAL_DER_FEV_2023!I1004</f>
        <v>937.74</v>
      </c>
      <c r="J1004" s="902">
        <f>GLOBAL_DER_FEV_2023!J1004</f>
        <v>1125.94</v>
      </c>
      <c r="K1004" s="903" t="s">
        <v>1516</v>
      </c>
      <c r="L1004" s="1137"/>
      <c r="M1004" s="1138">
        <f t="shared" si="72"/>
        <v>0</v>
      </c>
      <c r="N1004" s="893">
        <f t="shared" si="76"/>
        <v>0</v>
      </c>
      <c r="O1004" s="905"/>
      <c r="Q1004" s="317" t="str">
        <f t="shared" si="73"/>
        <v/>
      </c>
      <c r="R1004" s="317" t="str">
        <f t="shared" si="74"/>
        <v/>
      </c>
      <c r="S1004" s="317" t="str">
        <f t="shared" si="75"/>
        <v/>
      </c>
      <c r="T1004" s="317" t="str">
        <f>GLOBAL_DER_FEV_2023!S1004</f>
        <v/>
      </c>
      <c r="W1004" s="582">
        <v>0</v>
      </c>
      <c r="X1004" s="580"/>
      <c r="Y1004" s="583">
        <f>IF(GLOBAL_DER_FEV_2023!W1004=0,0,IF(GLOBAL_DER_FEV_2023!W1004&gt;0,"c","b"))</f>
        <v>0</v>
      </c>
    </row>
    <row r="1005" spans="1:25" ht="34.5" hidden="1" thickBot="1" x14ac:dyDescent="0.25">
      <c r="A1005" s="317">
        <v>101519</v>
      </c>
      <c r="B1005" s="895">
        <v>101519</v>
      </c>
      <c r="C1005" s="896" t="s">
        <v>596</v>
      </c>
      <c r="D1005" s="906" t="s">
        <v>932</v>
      </c>
      <c r="E1005" s="907">
        <f>GLOBAL_DER_FEV_2023!E1005</f>
        <v>0</v>
      </c>
      <c r="F1005" s="908">
        <f>GLOBAL_DER_FEV_2023!F1005</f>
        <v>0</v>
      </c>
      <c r="G1005" s="912">
        <f>GLOBAL_DER_FEV_2023!G1005</f>
        <v>0</v>
      </c>
      <c r="H1005" s="901">
        <f>GLOBAL_DER_FEV_2023!H1005</f>
        <v>970.87</v>
      </c>
      <c r="I1005" s="901">
        <f>GLOBAL_DER_FEV_2023!I1005</f>
        <v>970.87</v>
      </c>
      <c r="J1005" s="902">
        <f>GLOBAL_DER_FEV_2023!J1005</f>
        <v>1165.72</v>
      </c>
      <c r="K1005" s="903" t="s">
        <v>1516</v>
      </c>
      <c r="L1005" s="1137"/>
      <c r="M1005" s="1138">
        <f t="shared" si="72"/>
        <v>0</v>
      </c>
      <c r="N1005" s="893">
        <f t="shared" si="76"/>
        <v>0</v>
      </c>
      <c r="O1005" s="905"/>
      <c r="Q1005" s="317" t="str">
        <f t="shared" si="73"/>
        <v/>
      </c>
      <c r="R1005" s="317" t="str">
        <f t="shared" si="74"/>
        <v/>
      </c>
      <c r="S1005" s="317" t="str">
        <f t="shared" si="75"/>
        <v/>
      </c>
      <c r="T1005" s="317" t="str">
        <f>GLOBAL_DER_FEV_2023!S1005</f>
        <v/>
      </c>
      <c r="W1005" s="582">
        <v>0</v>
      </c>
      <c r="X1005" s="580"/>
      <c r="Y1005" s="583">
        <f>IF(GLOBAL_DER_FEV_2023!W1005=0,0,IF(GLOBAL_DER_FEV_2023!W1005&gt;0,"c","b"))</f>
        <v>0</v>
      </c>
    </row>
    <row r="1006" spans="1:25" ht="34.5" hidden="1" thickBot="1" x14ac:dyDescent="0.25">
      <c r="A1006" s="317">
        <v>101520</v>
      </c>
      <c r="B1006" s="895">
        <v>101520</v>
      </c>
      <c r="C1006" s="896" t="s">
        <v>596</v>
      </c>
      <c r="D1006" s="906" t="s">
        <v>933</v>
      </c>
      <c r="E1006" s="907">
        <f>GLOBAL_DER_FEV_2023!E1006</f>
        <v>0</v>
      </c>
      <c r="F1006" s="908">
        <f>GLOBAL_DER_FEV_2023!F1006</f>
        <v>0</v>
      </c>
      <c r="G1006" s="912">
        <f>GLOBAL_DER_FEV_2023!G1006</f>
        <v>0</v>
      </c>
      <c r="H1006" s="901">
        <f>GLOBAL_DER_FEV_2023!H1006</f>
        <v>1106.83</v>
      </c>
      <c r="I1006" s="901">
        <f>GLOBAL_DER_FEV_2023!I1006</f>
        <v>1106.83</v>
      </c>
      <c r="J1006" s="902">
        <f>GLOBAL_DER_FEV_2023!J1006</f>
        <v>1328.97</v>
      </c>
      <c r="K1006" s="903" t="s">
        <v>1516</v>
      </c>
      <c r="L1006" s="1137"/>
      <c r="M1006" s="1138">
        <f t="shared" si="72"/>
        <v>0</v>
      </c>
      <c r="N1006" s="893">
        <f t="shared" si="76"/>
        <v>0</v>
      </c>
      <c r="O1006" s="905"/>
      <c r="Q1006" s="317" t="str">
        <f t="shared" si="73"/>
        <v/>
      </c>
      <c r="R1006" s="317" t="str">
        <f t="shared" si="74"/>
        <v/>
      </c>
      <c r="S1006" s="317" t="str">
        <f t="shared" si="75"/>
        <v/>
      </c>
      <c r="T1006" s="317" t="str">
        <f>GLOBAL_DER_FEV_2023!S1006</f>
        <v/>
      </c>
      <c r="W1006" s="582">
        <v>0</v>
      </c>
      <c r="X1006" s="580"/>
      <c r="Y1006" s="583">
        <f>IF(GLOBAL_DER_FEV_2023!W1006=0,0,IF(GLOBAL_DER_FEV_2023!W1006&gt;0,"c","b"))</f>
        <v>0</v>
      </c>
    </row>
    <row r="1007" spans="1:25" ht="34.5" hidden="1" thickBot="1" x14ac:dyDescent="0.25">
      <c r="A1007" s="317">
        <v>101521</v>
      </c>
      <c r="B1007" s="895">
        <v>101521</v>
      </c>
      <c r="C1007" s="896" t="s">
        <v>596</v>
      </c>
      <c r="D1007" s="906" t="s">
        <v>934</v>
      </c>
      <c r="E1007" s="907">
        <f>GLOBAL_DER_FEV_2023!E1007</f>
        <v>0</v>
      </c>
      <c r="F1007" s="908">
        <f>GLOBAL_DER_FEV_2023!F1007</f>
        <v>0</v>
      </c>
      <c r="G1007" s="912">
        <f>GLOBAL_DER_FEV_2023!G1007</f>
        <v>0</v>
      </c>
      <c r="H1007" s="901">
        <f>GLOBAL_DER_FEV_2023!H1007</f>
        <v>1130.83</v>
      </c>
      <c r="I1007" s="901">
        <f>GLOBAL_DER_FEV_2023!I1007</f>
        <v>1130.83</v>
      </c>
      <c r="J1007" s="902">
        <f>GLOBAL_DER_FEV_2023!J1007</f>
        <v>1357.79</v>
      </c>
      <c r="K1007" s="903" t="s">
        <v>1516</v>
      </c>
      <c r="L1007" s="1137"/>
      <c r="M1007" s="1138">
        <f t="shared" si="72"/>
        <v>0</v>
      </c>
      <c r="N1007" s="893">
        <f t="shared" si="76"/>
        <v>0</v>
      </c>
      <c r="O1007" s="905"/>
      <c r="Q1007" s="317" t="str">
        <f t="shared" si="73"/>
        <v/>
      </c>
      <c r="R1007" s="317" t="str">
        <f t="shared" si="74"/>
        <v/>
      </c>
      <c r="S1007" s="317" t="str">
        <f t="shared" si="75"/>
        <v/>
      </c>
      <c r="T1007" s="317" t="str">
        <f>GLOBAL_DER_FEV_2023!S1007</f>
        <v/>
      </c>
      <c r="W1007" s="582">
        <v>0</v>
      </c>
      <c r="X1007" s="580"/>
      <c r="Y1007" s="583">
        <f>IF(GLOBAL_DER_FEV_2023!W1007=0,0,IF(GLOBAL_DER_FEV_2023!W1007&gt;0,"c","b"))</f>
        <v>0</v>
      </c>
    </row>
    <row r="1008" spans="1:25" ht="34.5" hidden="1" thickBot="1" x14ac:dyDescent="0.25">
      <c r="A1008" s="317">
        <v>101522</v>
      </c>
      <c r="B1008" s="895">
        <v>101522</v>
      </c>
      <c r="C1008" s="896" t="s">
        <v>596</v>
      </c>
      <c r="D1008" s="906" t="s">
        <v>935</v>
      </c>
      <c r="E1008" s="907">
        <f>GLOBAL_DER_FEV_2023!E1008</f>
        <v>0</v>
      </c>
      <c r="F1008" s="908">
        <f>GLOBAL_DER_FEV_2023!F1008</f>
        <v>0</v>
      </c>
      <c r="G1008" s="912">
        <f>GLOBAL_DER_FEV_2023!G1008</f>
        <v>0</v>
      </c>
      <c r="H1008" s="901">
        <f>GLOBAL_DER_FEV_2023!H1008</f>
        <v>1307.45</v>
      </c>
      <c r="I1008" s="901">
        <f>GLOBAL_DER_FEV_2023!I1008</f>
        <v>1307.45</v>
      </c>
      <c r="J1008" s="902">
        <f>GLOBAL_DER_FEV_2023!J1008</f>
        <v>1569.86</v>
      </c>
      <c r="K1008" s="903" t="s">
        <v>1516</v>
      </c>
      <c r="L1008" s="1137"/>
      <c r="M1008" s="1138">
        <f t="shared" si="72"/>
        <v>0</v>
      </c>
      <c r="N1008" s="893">
        <f t="shared" si="76"/>
        <v>0</v>
      </c>
      <c r="O1008" s="905"/>
      <c r="Q1008" s="317" t="str">
        <f t="shared" si="73"/>
        <v/>
      </c>
      <c r="R1008" s="317" t="str">
        <f t="shared" si="74"/>
        <v/>
      </c>
      <c r="S1008" s="317" t="str">
        <f t="shared" si="75"/>
        <v/>
      </c>
      <c r="T1008" s="317" t="str">
        <f>GLOBAL_DER_FEV_2023!S1008</f>
        <v/>
      </c>
      <c r="W1008" s="582">
        <v>0</v>
      </c>
      <c r="X1008" s="580"/>
      <c r="Y1008" s="583">
        <f>IF(GLOBAL_DER_FEV_2023!W1008=0,0,IF(GLOBAL_DER_FEV_2023!W1008&gt;0,"c","b"))</f>
        <v>0</v>
      </c>
    </row>
    <row r="1009" spans="1:25" ht="34.5" hidden="1" thickBot="1" x14ac:dyDescent="0.25">
      <c r="A1009" s="317">
        <v>101523</v>
      </c>
      <c r="B1009" s="895">
        <v>101523</v>
      </c>
      <c r="C1009" s="896" t="s">
        <v>596</v>
      </c>
      <c r="D1009" s="906" t="s">
        <v>936</v>
      </c>
      <c r="E1009" s="907">
        <f>GLOBAL_DER_FEV_2023!E1009</f>
        <v>0</v>
      </c>
      <c r="F1009" s="908">
        <f>GLOBAL_DER_FEV_2023!F1009</f>
        <v>0</v>
      </c>
      <c r="G1009" s="912">
        <f>GLOBAL_DER_FEV_2023!G1009</f>
        <v>0</v>
      </c>
      <c r="H1009" s="901">
        <f>GLOBAL_DER_FEV_2023!H1009</f>
        <v>1357.14</v>
      </c>
      <c r="I1009" s="901">
        <f>GLOBAL_DER_FEV_2023!I1009</f>
        <v>1357.14</v>
      </c>
      <c r="J1009" s="902">
        <f>GLOBAL_DER_FEV_2023!J1009</f>
        <v>1629.52</v>
      </c>
      <c r="K1009" s="903" t="s">
        <v>1516</v>
      </c>
      <c r="L1009" s="1137"/>
      <c r="M1009" s="1138">
        <f t="shared" si="72"/>
        <v>0</v>
      </c>
      <c r="N1009" s="893">
        <f t="shared" si="76"/>
        <v>0</v>
      </c>
      <c r="O1009" s="905"/>
      <c r="Q1009" s="317" t="str">
        <f t="shared" si="73"/>
        <v/>
      </c>
      <c r="R1009" s="317" t="str">
        <f t="shared" si="74"/>
        <v/>
      </c>
      <c r="S1009" s="317" t="str">
        <f t="shared" si="75"/>
        <v/>
      </c>
      <c r="T1009" s="317" t="str">
        <f>GLOBAL_DER_FEV_2023!S1009</f>
        <v/>
      </c>
      <c r="W1009" s="582">
        <v>0</v>
      </c>
      <c r="X1009" s="580"/>
      <c r="Y1009" s="583">
        <f>IF(GLOBAL_DER_FEV_2023!W1009=0,0,IF(GLOBAL_DER_FEV_2023!W1009&gt;0,"c","b"))</f>
        <v>0</v>
      </c>
    </row>
    <row r="1010" spans="1:25" ht="34.5" hidden="1" thickBot="1" x14ac:dyDescent="0.25">
      <c r="A1010" s="317">
        <v>101524</v>
      </c>
      <c r="B1010" s="895">
        <v>101524</v>
      </c>
      <c r="C1010" s="896" t="s">
        <v>596</v>
      </c>
      <c r="D1010" s="906" t="s">
        <v>937</v>
      </c>
      <c r="E1010" s="907">
        <f>GLOBAL_DER_FEV_2023!E1010</f>
        <v>0</v>
      </c>
      <c r="F1010" s="908">
        <f>GLOBAL_DER_FEV_2023!F1010</f>
        <v>0</v>
      </c>
      <c r="G1010" s="912">
        <f>GLOBAL_DER_FEV_2023!G1010</f>
        <v>0</v>
      </c>
      <c r="H1010" s="901">
        <f>GLOBAL_DER_FEV_2023!H1010</f>
        <v>1561.08</v>
      </c>
      <c r="I1010" s="901">
        <f>GLOBAL_DER_FEV_2023!I1010</f>
        <v>1561.08</v>
      </c>
      <c r="J1010" s="902">
        <f>GLOBAL_DER_FEV_2023!J1010</f>
        <v>1874.39</v>
      </c>
      <c r="K1010" s="903" t="s">
        <v>1516</v>
      </c>
      <c r="L1010" s="1137"/>
      <c r="M1010" s="1138">
        <f t="shared" si="72"/>
        <v>0</v>
      </c>
      <c r="N1010" s="893">
        <f t="shared" si="76"/>
        <v>0</v>
      </c>
      <c r="O1010" s="905"/>
      <c r="Q1010" s="317" t="str">
        <f t="shared" si="73"/>
        <v/>
      </c>
      <c r="R1010" s="317" t="str">
        <f t="shared" si="74"/>
        <v/>
      </c>
      <c r="S1010" s="317" t="str">
        <f t="shared" si="75"/>
        <v/>
      </c>
      <c r="T1010" s="317" t="str">
        <f>GLOBAL_DER_FEV_2023!S1010</f>
        <v/>
      </c>
      <c r="W1010" s="582">
        <v>0</v>
      </c>
      <c r="X1010" s="580"/>
      <c r="Y1010" s="583">
        <f>IF(GLOBAL_DER_FEV_2023!W1010=0,0,IF(GLOBAL_DER_FEV_2023!W1010&gt;0,"c","b"))</f>
        <v>0</v>
      </c>
    </row>
    <row r="1011" spans="1:25" ht="34.5" hidden="1" thickBot="1" x14ac:dyDescent="0.25">
      <c r="A1011" s="317">
        <v>101525</v>
      </c>
      <c r="B1011" s="895">
        <v>101525</v>
      </c>
      <c r="C1011" s="896" t="s">
        <v>596</v>
      </c>
      <c r="D1011" s="906" t="s">
        <v>938</v>
      </c>
      <c r="E1011" s="907">
        <f>GLOBAL_DER_FEV_2023!E1011</f>
        <v>0</v>
      </c>
      <c r="F1011" s="908">
        <f>GLOBAL_DER_FEV_2023!F1011</f>
        <v>0</v>
      </c>
      <c r="G1011" s="912">
        <f>GLOBAL_DER_FEV_2023!G1011</f>
        <v>0</v>
      </c>
      <c r="H1011" s="901">
        <f>GLOBAL_DER_FEV_2023!H1011</f>
        <v>1118.71</v>
      </c>
      <c r="I1011" s="901">
        <f>GLOBAL_DER_FEV_2023!I1011</f>
        <v>1118.71</v>
      </c>
      <c r="J1011" s="902">
        <f>GLOBAL_DER_FEV_2023!J1011</f>
        <v>1343.24</v>
      </c>
      <c r="K1011" s="903" t="s">
        <v>1516</v>
      </c>
      <c r="L1011" s="1137"/>
      <c r="M1011" s="1138">
        <f t="shared" si="72"/>
        <v>0</v>
      </c>
      <c r="N1011" s="893">
        <f t="shared" si="76"/>
        <v>0</v>
      </c>
      <c r="O1011" s="905"/>
      <c r="Q1011" s="317" t="str">
        <f t="shared" si="73"/>
        <v/>
      </c>
      <c r="R1011" s="317" t="str">
        <f t="shared" si="74"/>
        <v/>
      </c>
      <c r="S1011" s="317" t="str">
        <f t="shared" si="75"/>
        <v/>
      </c>
      <c r="T1011" s="317" t="str">
        <f>GLOBAL_DER_FEV_2023!S1011</f>
        <v/>
      </c>
      <c r="W1011" s="582">
        <v>0</v>
      </c>
      <c r="X1011" s="580"/>
      <c r="Y1011" s="583">
        <f>IF(GLOBAL_DER_FEV_2023!W1011=0,0,IF(GLOBAL_DER_FEV_2023!W1011&gt;0,"c","b"))</f>
        <v>0</v>
      </c>
    </row>
    <row r="1012" spans="1:25" ht="34.5" hidden="1" thickBot="1" x14ac:dyDescent="0.25">
      <c r="A1012" s="317">
        <v>101526</v>
      </c>
      <c r="B1012" s="895">
        <v>101526</v>
      </c>
      <c r="C1012" s="896" t="s">
        <v>596</v>
      </c>
      <c r="D1012" s="906" t="s">
        <v>939</v>
      </c>
      <c r="E1012" s="907">
        <f>GLOBAL_DER_FEV_2023!E1012</f>
        <v>0</v>
      </c>
      <c r="F1012" s="908">
        <f>GLOBAL_DER_FEV_2023!F1012</f>
        <v>0</v>
      </c>
      <c r="G1012" s="912">
        <f>GLOBAL_DER_FEV_2023!G1012</f>
        <v>0</v>
      </c>
      <c r="H1012" s="901">
        <f>GLOBAL_DER_FEV_2023!H1012</f>
        <v>1295.33</v>
      </c>
      <c r="I1012" s="901">
        <f>GLOBAL_DER_FEV_2023!I1012</f>
        <v>1295.33</v>
      </c>
      <c r="J1012" s="902">
        <f>GLOBAL_DER_FEV_2023!J1012</f>
        <v>1555.3</v>
      </c>
      <c r="K1012" s="903" t="s">
        <v>1516</v>
      </c>
      <c r="L1012" s="1137"/>
      <c r="M1012" s="1138">
        <f t="shared" si="72"/>
        <v>0</v>
      </c>
      <c r="N1012" s="893">
        <f t="shared" si="76"/>
        <v>0</v>
      </c>
      <c r="O1012" s="905"/>
      <c r="Q1012" s="317" t="str">
        <f t="shared" si="73"/>
        <v/>
      </c>
      <c r="R1012" s="317" t="str">
        <f t="shared" si="74"/>
        <v/>
      </c>
      <c r="S1012" s="317" t="str">
        <f t="shared" si="75"/>
        <v/>
      </c>
      <c r="T1012" s="317" t="str">
        <f>GLOBAL_DER_FEV_2023!S1012</f>
        <v/>
      </c>
      <c r="W1012" s="582">
        <v>0</v>
      </c>
      <c r="X1012" s="580"/>
      <c r="Y1012" s="583">
        <f>IF(GLOBAL_DER_FEV_2023!W1012=0,0,IF(GLOBAL_DER_FEV_2023!W1012&gt;0,"c","b"))</f>
        <v>0</v>
      </c>
    </row>
    <row r="1013" spans="1:25" ht="34.5" hidden="1" thickBot="1" x14ac:dyDescent="0.25">
      <c r="A1013" s="317">
        <v>101527</v>
      </c>
      <c r="B1013" s="895">
        <v>101527</v>
      </c>
      <c r="C1013" s="896" t="s">
        <v>596</v>
      </c>
      <c r="D1013" s="906" t="s">
        <v>940</v>
      </c>
      <c r="E1013" s="907">
        <f>GLOBAL_DER_FEV_2023!E1013</f>
        <v>0</v>
      </c>
      <c r="F1013" s="908">
        <f>GLOBAL_DER_FEV_2023!F1013</f>
        <v>0</v>
      </c>
      <c r="G1013" s="912">
        <f>GLOBAL_DER_FEV_2023!G1013</f>
        <v>0</v>
      </c>
      <c r="H1013" s="901">
        <f>GLOBAL_DER_FEV_2023!H1013</f>
        <v>1345.02</v>
      </c>
      <c r="I1013" s="901">
        <f>GLOBAL_DER_FEV_2023!I1013</f>
        <v>1345.02</v>
      </c>
      <c r="J1013" s="902">
        <f>GLOBAL_DER_FEV_2023!J1013</f>
        <v>1614.97</v>
      </c>
      <c r="K1013" s="903" t="s">
        <v>1516</v>
      </c>
      <c r="L1013" s="1137"/>
      <c r="M1013" s="1138">
        <f t="shared" si="72"/>
        <v>0</v>
      </c>
      <c r="N1013" s="893">
        <f t="shared" si="76"/>
        <v>0</v>
      </c>
      <c r="O1013" s="905"/>
      <c r="Q1013" s="317" t="str">
        <f t="shared" si="73"/>
        <v/>
      </c>
      <c r="R1013" s="317" t="str">
        <f t="shared" si="74"/>
        <v/>
      </c>
      <c r="S1013" s="317" t="str">
        <f t="shared" si="75"/>
        <v/>
      </c>
      <c r="T1013" s="317" t="str">
        <f>GLOBAL_DER_FEV_2023!S1013</f>
        <v/>
      </c>
      <c r="W1013" s="582">
        <v>0</v>
      </c>
      <c r="X1013" s="580"/>
      <c r="Y1013" s="583">
        <f>IF(GLOBAL_DER_FEV_2023!W1013=0,0,IF(GLOBAL_DER_FEV_2023!W1013&gt;0,"c","b"))</f>
        <v>0</v>
      </c>
    </row>
    <row r="1014" spans="1:25" ht="34.5" hidden="1" thickBot="1" x14ac:dyDescent="0.25">
      <c r="A1014" s="317">
        <v>101528</v>
      </c>
      <c r="B1014" s="895">
        <v>101528</v>
      </c>
      <c r="C1014" s="896" t="s">
        <v>596</v>
      </c>
      <c r="D1014" s="906" t="s">
        <v>941</v>
      </c>
      <c r="E1014" s="907">
        <f>GLOBAL_DER_FEV_2023!E1014</f>
        <v>0</v>
      </c>
      <c r="F1014" s="908">
        <f>GLOBAL_DER_FEV_2023!F1014</f>
        <v>0</v>
      </c>
      <c r="G1014" s="912">
        <f>GLOBAL_DER_FEV_2023!G1014</f>
        <v>0</v>
      </c>
      <c r="H1014" s="901">
        <f>GLOBAL_DER_FEV_2023!H1014</f>
        <v>1548.96</v>
      </c>
      <c r="I1014" s="901">
        <f>GLOBAL_DER_FEV_2023!I1014</f>
        <v>1548.96</v>
      </c>
      <c r="J1014" s="902">
        <f>GLOBAL_DER_FEV_2023!J1014</f>
        <v>1859.84</v>
      </c>
      <c r="K1014" s="903" t="s">
        <v>1516</v>
      </c>
      <c r="L1014" s="1137"/>
      <c r="M1014" s="1138">
        <f t="shared" si="72"/>
        <v>0</v>
      </c>
      <c r="N1014" s="893">
        <f t="shared" si="76"/>
        <v>0</v>
      </c>
      <c r="O1014" s="905"/>
      <c r="Q1014" s="317" t="str">
        <f t="shared" si="73"/>
        <v/>
      </c>
      <c r="R1014" s="317" t="str">
        <f t="shared" si="74"/>
        <v/>
      </c>
      <c r="S1014" s="317" t="str">
        <f t="shared" si="75"/>
        <v/>
      </c>
      <c r="T1014" s="317" t="str">
        <f>GLOBAL_DER_FEV_2023!S1014</f>
        <v/>
      </c>
      <c r="W1014" s="582">
        <v>0</v>
      </c>
      <c r="X1014" s="580"/>
      <c r="Y1014" s="583">
        <f>IF(GLOBAL_DER_FEV_2023!W1014=0,0,IF(GLOBAL_DER_FEV_2023!W1014&gt;0,"c","b"))</f>
        <v>0</v>
      </c>
    </row>
    <row r="1015" spans="1:25" ht="34.5" hidden="1" thickBot="1" x14ac:dyDescent="0.25">
      <c r="A1015" s="317">
        <v>101529</v>
      </c>
      <c r="B1015" s="895">
        <v>101529</v>
      </c>
      <c r="C1015" s="896" t="s">
        <v>596</v>
      </c>
      <c r="D1015" s="906" t="s">
        <v>942</v>
      </c>
      <c r="E1015" s="907">
        <f>GLOBAL_DER_FEV_2023!E1015</f>
        <v>0</v>
      </c>
      <c r="F1015" s="908">
        <f>GLOBAL_DER_FEV_2023!F1015</f>
        <v>0</v>
      </c>
      <c r="G1015" s="912">
        <f>GLOBAL_DER_FEV_2023!G1015</f>
        <v>0</v>
      </c>
      <c r="H1015" s="901">
        <f>GLOBAL_DER_FEV_2023!H1015</f>
        <v>1261.4000000000001</v>
      </c>
      <c r="I1015" s="901">
        <f>GLOBAL_DER_FEV_2023!I1015</f>
        <v>1261.4000000000001</v>
      </c>
      <c r="J1015" s="902">
        <f>GLOBAL_DER_FEV_2023!J1015</f>
        <v>1514.56</v>
      </c>
      <c r="K1015" s="903" t="s">
        <v>1516</v>
      </c>
      <c r="L1015" s="1137"/>
      <c r="M1015" s="1138">
        <f t="shared" si="72"/>
        <v>0</v>
      </c>
      <c r="N1015" s="893">
        <f t="shared" si="76"/>
        <v>0</v>
      </c>
      <c r="O1015" s="905"/>
      <c r="Q1015" s="317" t="str">
        <f t="shared" si="73"/>
        <v/>
      </c>
      <c r="R1015" s="317" t="str">
        <f t="shared" si="74"/>
        <v/>
      </c>
      <c r="S1015" s="317" t="str">
        <f t="shared" si="75"/>
        <v/>
      </c>
      <c r="T1015" s="317" t="str">
        <f>GLOBAL_DER_FEV_2023!S1015</f>
        <v/>
      </c>
      <c r="W1015" s="582">
        <v>0</v>
      </c>
      <c r="X1015" s="580"/>
      <c r="Y1015" s="583">
        <f>IF(GLOBAL_DER_FEV_2023!W1015=0,0,IF(GLOBAL_DER_FEV_2023!W1015&gt;0,"c","b"))</f>
        <v>0</v>
      </c>
    </row>
    <row r="1016" spans="1:25" ht="34.5" hidden="1" thickBot="1" x14ac:dyDescent="0.25">
      <c r="A1016" s="317">
        <v>101530</v>
      </c>
      <c r="B1016" s="895">
        <v>101530</v>
      </c>
      <c r="C1016" s="896" t="s">
        <v>596</v>
      </c>
      <c r="D1016" s="906" t="s">
        <v>943</v>
      </c>
      <c r="E1016" s="907">
        <f>GLOBAL_DER_FEV_2023!E1016</f>
        <v>0</v>
      </c>
      <c r="F1016" s="908">
        <f>GLOBAL_DER_FEV_2023!F1016</f>
        <v>0</v>
      </c>
      <c r="G1016" s="912">
        <f>GLOBAL_DER_FEV_2023!G1016</f>
        <v>0</v>
      </c>
      <c r="H1016" s="901">
        <f>GLOBAL_DER_FEV_2023!H1016</f>
        <v>1496.89</v>
      </c>
      <c r="I1016" s="901">
        <f>GLOBAL_DER_FEV_2023!I1016</f>
        <v>1496.89</v>
      </c>
      <c r="J1016" s="902">
        <f>GLOBAL_DER_FEV_2023!J1016</f>
        <v>1797.32</v>
      </c>
      <c r="K1016" s="903" t="s">
        <v>1516</v>
      </c>
      <c r="L1016" s="1137"/>
      <c r="M1016" s="1138">
        <f t="shared" si="72"/>
        <v>0</v>
      </c>
      <c r="N1016" s="893">
        <f t="shared" si="76"/>
        <v>0</v>
      </c>
      <c r="O1016" s="905"/>
      <c r="Q1016" s="317" t="str">
        <f t="shared" si="73"/>
        <v/>
      </c>
      <c r="R1016" s="317" t="str">
        <f t="shared" si="74"/>
        <v/>
      </c>
      <c r="S1016" s="317" t="str">
        <f t="shared" si="75"/>
        <v/>
      </c>
      <c r="T1016" s="317" t="str">
        <f>GLOBAL_DER_FEV_2023!S1016</f>
        <v/>
      </c>
      <c r="W1016" s="582">
        <v>0</v>
      </c>
      <c r="X1016" s="580"/>
      <c r="Y1016" s="583">
        <f>IF(GLOBAL_DER_FEV_2023!W1016=0,0,IF(GLOBAL_DER_FEV_2023!W1016&gt;0,"c","b"))</f>
        <v>0</v>
      </c>
    </row>
    <row r="1017" spans="1:25" ht="34.5" hidden="1" thickBot="1" x14ac:dyDescent="0.25">
      <c r="A1017" s="317">
        <v>101531</v>
      </c>
      <c r="B1017" s="895">
        <v>101531</v>
      </c>
      <c r="C1017" s="896" t="s">
        <v>596</v>
      </c>
      <c r="D1017" s="906" t="s">
        <v>944</v>
      </c>
      <c r="E1017" s="907">
        <f>GLOBAL_DER_FEV_2023!E1017</f>
        <v>0</v>
      </c>
      <c r="F1017" s="908">
        <f>GLOBAL_DER_FEV_2023!F1017</f>
        <v>0</v>
      </c>
      <c r="G1017" s="912">
        <f>GLOBAL_DER_FEV_2023!G1017</f>
        <v>0</v>
      </c>
      <c r="H1017" s="901">
        <f>GLOBAL_DER_FEV_2023!H1017</f>
        <v>1563.15</v>
      </c>
      <c r="I1017" s="901">
        <f>GLOBAL_DER_FEV_2023!I1017</f>
        <v>1563.15</v>
      </c>
      <c r="J1017" s="902">
        <f>GLOBAL_DER_FEV_2023!J1017</f>
        <v>1876.87</v>
      </c>
      <c r="K1017" s="903" t="s">
        <v>1516</v>
      </c>
      <c r="L1017" s="1137"/>
      <c r="M1017" s="1138">
        <f t="shared" si="72"/>
        <v>0</v>
      </c>
      <c r="N1017" s="893">
        <f t="shared" si="76"/>
        <v>0</v>
      </c>
      <c r="O1017" s="905"/>
      <c r="Q1017" s="317" t="str">
        <f t="shared" si="73"/>
        <v/>
      </c>
      <c r="R1017" s="317" t="str">
        <f t="shared" si="74"/>
        <v/>
      </c>
      <c r="S1017" s="317" t="str">
        <f t="shared" si="75"/>
        <v/>
      </c>
      <c r="T1017" s="317" t="str">
        <f>GLOBAL_DER_FEV_2023!S1017</f>
        <v/>
      </c>
      <c r="W1017" s="582">
        <v>0</v>
      </c>
      <c r="X1017" s="580"/>
      <c r="Y1017" s="583">
        <f>IF(GLOBAL_DER_FEV_2023!W1017=0,0,IF(GLOBAL_DER_FEV_2023!W1017&gt;0,"c","b"))</f>
        <v>0</v>
      </c>
    </row>
    <row r="1018" spans="1:25" ht="34.5" hidden="1" thickBot="1" x14ac:dyDescent="0.25">
      <c r="A1018" s="317">
        <v>101532</v>
      </c>
      <c r="B1018" s="895">
        <v>101532</v>
      </c>
      <c r="C1018" s="896" t="s">
        <v>596</v>
      </c>
      <c r="D1018" s="906" t="s">
        <v>945</v>
      </c>
      <c r="E1018" s="907">
        <f>GLOBAL_DER_FEV_2023!E1018</f>
        <v>0</v>
      </c>
      <c r="F1018" s="908">
        <f>GLOBAL_DER_FEV_2023!F1018</f>
        <v>0</v>
      </c>
      <c r="G1018" s="912">
        <f>GLOBAL_DER_FEV_2023!G1018</f>
        <v>0</v>
      </c>
      <c r="H1018" s="901">
        <f>GLOBAL_DER_FEV_2023!H1018</f>
        <v>1835.07</v>
      </c>
      <c r="I1018" s="901">
        <f>GLOBAL_DER_FEV_2023!I1018</f>
        <v>1835.07</v>
      </c>
      <c r="J1018" s="902">
        <f>GLOBAL_DER_FEV_2023!J1018</f>
        <v>2203.37</v>
      </c>
      <c r="K1018" s="903" t="s">
        <v>1516</v>
      </c>
      <c r="L1018" s="1137"/>
      <c r="M1018" s="1138">
        <f t="shared" si="72"/>
        <v>0</v>
      </c>
      <c r="N1018" s="893">
        <f t="shared" si="76"/>
        <v>0</v>
      </c>
      <c r="O1018" s="905"/>
      <c r="Q1018" s="317" t="str">
        <f t="shared" si="73"/>
        <v/>
      </c>
      <c r="R1018" s="317" t="str">
        <f t="shared" si="74"/>
        <v/>
      </c>
      <c r="S1018" s="317" t="str">
        <f t="shared" si="75"/>
        <v/>
      </c>
      <c r="T1018" s="317" t="str">
        <f>GLOBAL_DER_FEV_2023!S1018</f>
        <v/>
      </c>
      <c r="W1018" s="582">
        <v>0</v>
      </c>
      <c r="X1018" s="580"/>
      <c r="Y1018" s="583">
        <f>IF(GLOBAL_DER_FEV_2023!W1018=0,0,IF(GLOBAL_DER_FEV_2023!W1018&gt;0,"c","b"))</f>
        <v>0</v>
      </c>
    </row>
    <row r="1019" spans="1:25" ht="34.5" hidden="1" thickBot="1" x14ac:dyDescent="0.25">
      <c r="A1019" s="317">
        <v>101533</v>
      </c>
      <c r="B1019" s="895">
        <v>101533</v>
      </c>
      <c r="C1019" s="896" t="s">
        <v>596</v>
      </c>
      <c r="D1019" s="906" t="s">
        <v>946</v>
      </c>
      <c r="E1019" s="907">
        <f>GLOBAL_DER_FEV_2023!E1019</f>
        <v>0</v>
      </c>
      <c r="F1019" s="908">
        <f>GLOBAL_DER_FEV_2023!F1019</f>
        <v>0</v>
      </c>
      <c r="G1019" s="912">
        <f>GLOBAL_DER_FEV_2023!G1019</f>
        <v>0</v>
      </c>
      <c r="H1019" s="901">
        <f>GLOBAL_DER_FEV_2023!H1019</f>
        <v>1385.59</v>
      </c>
      <c r="I1019" s="901">
        <f>GLOBAL_DER_FEV_2023!I1019</f>
        <v>1385.59</v>
      </c>
      <c r="J1019" s="902">
        <f>GLOBAL_DER_FEV_2023!J1019</f>
        <v>1663.68</v>
      </c>
      <c r="K1019" s="903" t="s">
        <v>1516</v>
      </c>
      <c r="L1019" s="1137"/>
      <c r="M1019" s="1138">
        <f t="shared" si="72"/>
        <v>0</v>
      </c>
      <c r="N1019" s="893">
        <f t="shared" si="76"/>
        <v>0</v>
      </c>
      <c r="O1019" s="905"/>
      <c r="Q1019" s="317" t="str">
        <f t="shared" si="73"/>
        <v/>
      </c>
      <c r="R1019" s="317" t="str">
        <f t="shared" si="74"/>
        <v/>
      </c>
      <c r="S1019" s="317" t="str">
        <f t="shared" si="75"/>
        <v/>
      </c>
      <c r="T1019" s="317" t="str">
        <f>GLOBAL_DER_FEV_2023!S1019</f>
        <v/>
      </c>
      <c r="W1019" s="582">
        <v>0</v>
      </c>
      <c r="X1019" s="580"/>
      <c r="Y1019" s="583">
        <f>IF(GLOBAL_DER_FEV_2023!W1019=0,0,IF(GLOBAL_DER_FEV_2023!W1019&gt;0,"c","b"))</f>
        <v>0</v>
      </c>
    </row>
    <row r="1020" spans="1:25" ht="34.5" hidden="1" thickBot="1" x14ac:dyDescent="0.25">
      <c r="A1020" s="317">
        <v>101534</v>
      </c>
      <c r="B1020" s="895">
        <v>101534</v>
      </c>
      <c r="C1020" s="896" t="s">
        <v>596</v>
      </c>
      <c r="D1020" s="906" t="s">
        <v>947</v>
      </c>
      <c r="E1020" s="907">
        <f>GLOBAL_DER_FEV_2023!E1020</f>
        <v>0</v>
      </c>
      <c r="F1020" s="908">
        <f>GLOBAL_DER_FEV_2023!F1020</f>
        <v>0</v>
      </c>
      <c r="G1020" s="912">
        <f>GLOBAL_DER_FEV_2023!G1020</f>
        <v>0</v>
      </c>
      <c r="H1020" s="901">
        <f>GLOBAL_DER_FEV_2023!H1020</f>
        <v>1621.08</v>
      </c>
      <c r="I1020" s="901">
        <f>GLOBAL_DER_FEV_2023!I1020</f>
        <v>1621.08</v>
      </c>
      <c r="J1020" s="902">
        <f>GLOBAL_DER_FEV_2023!J1020</f>
        <v>1946.43</v>
      </c>
      <c r="K1020" s="903" t="s">
        <v>1516</v>
      </c>
      <c r="L1020" s="1137"/>
      <c r="M1020" s="1138">
        <f t="shared" si="72"/>
        <v>0</v>
      </c>
      <c r="N1020" s="893">
        <f t="shared" si="76"/>
        <v>0</v>
      </c>
      <c r="O1020" s="905"/>
      <c r="Q1020" s="317" t="str">
        <f t="shared" si="73"/>
        <v/>
      </c>
      <c r="R1020" s="317" t="str">
        <f t="shared" si="74"/>
        <v/>
      </c>
      <c r="S1020" s="317" t="str">
        <f t="shared" si="75"/>
        <v/>
      </c>
      <c r="T1020" s="317" t="str">
        <f>GLOBAL_DER_FEV_2023!S1020</f>
        <v/>
      </c>
      <c r="W1020" s="582">
        <v>0</v>
      </c>
      <c r="X1020" s="580"/>
      <c r="Y1020" s="583">
        <f>IF(GLOBAL_DER_FEV_2023!W1020=0,0,IF(GLOBAL_DER_FEV_2023!W1020&gt;0,"c","b"))</f>
        <v>0</v>
      </c>
    </row>
    <row r="1021" spans="1:25" ht="34.5" hidden="1" thickBot="1" x14ac:dyDescent="0.25">
      <c r="A1021" s="317">
        <v>101535</v>
      </c>
      <c r="B1021" s="895">
        <v>101535</v>
      </c>
      <c r="C1021" s="896" t="s">
        <v>596</v>
      </c>
      <c r="D1021" s="906" t="s">
        <v>948</v>
      </c>
      <c r="E1021" s="907">
        <f>GLOBAL_DER_FEV_2023!E1021</f>
        <v>0</v>
      </c>
      <c r="F1021" s="908">
        <f>GLOBAL_DER_FEV_2023!F1021</f>
        <v>0</v>
      </c>
      <c r="G1021" s="912">
        <f>GLOBAL_DER_FEV_2023!G1021</f>
        <v>0</v>
      </c>
      <c r="H1021" s="901">
        <f>GLOBAL_DER_FEV_2023!H1021</f>
        <v>1687.34</v>
      </c>
      <c r="I1021" s="901">
        <f>GLOBAL_DER_FEV_2023!I1021</f>
        <v>1687.34</v>
      </c>
      <c r="J1021" s="902">
        <f>GLOBAL_DER_FEV_2023!J1021</f>
        <v>2025.99</v>
      </c>
      <c r="K1021" s="903" t="s">
        <v>1516</v>
      </c>
      <c r="L1021" s="1137"/>
      <c r="M1021" s="1138">
        <f t="shared" si="72"/>
        <v>0</v>
      </c>
      <c r="N1021" s="893">
        <f t="shared" si="76"/>
        <v>0</v>
      </c>
      <c r="O1021" s="905"/>
      <c r="Q1021" s="317" t="str">
        <f t="shared" si="73"/>
        <v/>
      </c>
      <c r="R1021" s="317" t="str">
        <f t="shared" si="74"/>
        <v/>
      </c>
      <c r="S1021" s="317" t="str">
        <f t="shared" si="75"/>
        <v/>
      </c>
      <c r="T1021" s="317" t="str">
        <f>GLOBAL_DER_FEV_2023!S1021</f>
        <v/>
      </c>
      <c r="W1021" s="582">
        <v>0</v>
      </c>
      <c r="X1021" s="580"/>
      <c r="Y1021" s="583">
        <f>IF(GLOBAL_DER_FEV_2023!W1021=0,0,IF(GLOBAL_DER_FEV_2023!W1021&gt;0,"c","b"))</f>
        <v>0</v>
      </c>
    </row>
    <row r="1022" spans="1:25" ht="34.5" hidden="1" thickBot="1" x14ac:dyDescent="0.25">
      <c r="A1022" s="317">
        <v>101536</v>
      </c>
      <c r="B1022" s="895">
        <v>101536</v>
      </c>
      <c r="C1022" s="896" t="s">
        <v>596</v>
      </c>
      <c r="D1022" s="906" t="s">
        <v>949</v>
      </c>
      <c r="E1022" s="907">
        <f>GLOBAL_DER_FEV_2023!E1022</f>
        <v>0</v>
      </c>
      <c r="F1022" s="908">
        <f>GLOBAL_DER_FEV_2023!F1022</f>
        <v>0</v>
      </c>
      <c r="G1022" s="912">
        <f>GLOBAL_DER_FEV_2023!G1022</f>
        <v>0</v>
      </c>
      <c r="H1022" s="901">
        <f>GLOBAL_DER_FEV_2023!H1022</f>
        <v>1959.26</v>
      </c>
      <c r="I1022" s="901">
        <f>GLOBAL_DER_FEV_2023!I1022</f>
        <v>1959.26</v>
      </c>
      <c r="J1022" s="902">
        <f>GLOBAL_DER_FEV_2023!J1022</f>
        <v>2352.48</v>
      </c>
      <c r="K1022" s="903" t="s">
        <v>1516</v>
      </c>
      <c r="L1022" s="1137"/>
      <c r="M1022" s="1138">
        <f t="shared" si="72"/>
        <v>0</v>
      </c>
      <c r="N1022" s="893">
        <f t="shared" si="76"/>
        <v>0</v>
      </c>
      <c r="O1022" s="905"/>
      <c r="Q1022" s="317" t="str">
        <f t="shared" si="73"/>
        <v/>
      </c>
      <c r="R1022" s="317" t="str">
        <f t="shared" si="74"/>
        <v/>
      </c>
      <c r="S1022" s="317" t="str">
        <f t="shared" si="75"/>
        <v/>
      </c>
      <c r="T1022" s="317" t="str">
        <f>GLOBAL_DER_FEV_2023!S1022</f>
        <v/>
      </c>
      <c r="W1022" s="582">
        <v>0</v>
      </c>
      <c r="X1022" s="580"/>
      <c r="Y1022" s="583">
        <f>IF(GLOBAL_DER_FEV_2023!W1022=0,0,IF(GLOBAL_DER_FEV_2023!W1022&gt;0,"c","b"))</f>
        <v>0</v>
      </c>
    </row>
    <row r="1023" spans="1:25" ht="35.1" hidden="1" customHeight="1" x14ac:dyDescent="0.2">
      <c r="A1023" s="317" t="s">
        <v>950</v>
      </c>
      <c r="B1023" s="895" t="str">
        <f>GLOBAL_DER_FEV_2023!B1023</f>
        <v>16.105.000030.SER</v>
      </c>
      <c r="C1023" s="896" t="str">
        <f>GLOBAL_DER_FEV_2023!C1023</f>
        <v>PINI - fev/23</v>
      </c>
      <c r="D1023" s="906" t="str">
        <f>GLOBAL_DER_FEV_2023!D1023</f>
        <v>ENTRADA DE ENERGIA ELÉTRICA, SUBTERRÂNEA, TRIFÁSICA, COM CAIXA DE EMBUTIR, CABO DE 16 MM2 E DISJUNTOR DIN 50A (NÃO INCLUSA MURETA DE ALVENARIA). AF_07/2020</v>
      </c>
      <c r="E1023" s="907">
        <f>GLOBAL_DER_FEV_2023!E1023</f>
        <v>0</v>
      </c>
      <c r="F1023" s="908">
        <f>GLOBAL_DER_FEV_2023!F1023</f>
        <v>0</v>
      </c>
      <c r="G1023" s="912">
        <f>GLOBAL_DER_FEV_2023!G1023</f>
        <v>0</v>
      </c>
      <c r="H1023" s="901">
        <f>GLOBAL_DER_FEV_2023!H1023</f>
        <v>1885.87</v>
      </c>
      <c r="I1023" s="901">
        <f>GLOBAL_DER_FEV_2023!I1023</f>
        <v>1885.87</v>
      </c>
      <c r="J1023" s="902">
        <f>GLOBAL_DER_FEV_2023!J1023</f>
        <v>2264.36</v>
      </c>
      <c r="K1023" s="903" t="s">
        <v>1516</v>
      </c>
      <c r="L1023" s="1137"/>
      <c r="M1023" s="1138">
        <f t="shared" si="72"/>
        <v>0</v>
      </c>
      <c r="N1023" s="893">
        <f t="shared" si="76"/>
        <v>0</v>
      </c>
      <c r="O1023" s="905"/>
      <c r="Q1023" s="317" t="str">
        <f t="shared" si="73"/>
        <v/>
      </c>
      <c r="R1023" s="317" t="str">
        <f t="shared" si="74"/>
        <v/>
      </c>
      <c r="S1023" s="317" t="str">
        <f t="shared" si="75"/>
        <v/>
      </c>
      <c r="T1023" s="317" t="str">
        <f>GLOBAL_DER_FEV_2023!S1023</f>
        <v/>
      </c>
      <c r="W1023" s="582">
        <v>0</v>
      </c>
      <c r="X1023" s="580"/>
      <c r="Y1023" s="583">
        <f>IF(GLOBAL_DER_FEV_2023!W1023=0,0,IF(GLOBAL_DER_FEV_2023!W1023&gt;0,"c","b"))</f>
        <v>0</v>
      </c>
    </row>
    <row r="1024" spans="1:25" ht="35.1" hidden="1" customHeight="1" x14ac:dyDescent="0.2">
      <c r="A1024" s="317" t="s">
        <v>951</v>
      </c>
      <c r="B1024" s="895" t="str">
        <f>GLOBAL_DER_FEV_2023!B1024</f>
        <v>16.105.000031.SER</v>
      </c>
      <c r="C1024" s="896" t="str">
        <f>GLOBAL_DER_FEV_2023!C1024</f>
        <v>PINI - fev/23</v>
      </c>
      <c r="D1024" s="906" t="str">
        <f>GLOBAL_DER_FEV_2023!D1024</f>
        <v>ENTRADA DE ENERGIA ELÉTRICA, SUBTERRÂNEA, TRIFÁSICA, COM CAIXA DE EMBUTIR, CABO DE 25 MM2 E DISJUNTOR DIN 50A (NÃO INCLUSA MURETA DE ALVENARIA). AF_07/2020</v>
      </c>
      <c r="E1024" s="907">
        <f>GLOBAL_DER_FEV_2023!E1024</f>
        <v>0</v>
      </c>
      <c r="F1024" s="908">
        <f>GLOBAL_DER_FEV_2023!F1024</f>
        <v>0</v>
      </c>
      <c r="G1024" s="912">
        <f>GLOBAL_DER_FEV_2023!G1024</f>
        <v>0</v>
      </c>
      <c r="H1024" s="901">
        <f>GLOBAL_DER_FEV_2023!H1024</f>
        <v>2069.96</v>
      </c>
      <c r="I1024" s="901">
        <f>GLOBAL_DER_FEV_2023!I1024</f>
        <v>2069.96</v>
      </c>
      <c r="J1024" s="902">
        <f>GLOBAL_DER_FEV_2023!J1024</f>
        <v>2485.4</v>
      </c>
      <c r="K1024" s="903" t="s">
        <v>1516</v>
      </c>
      <c r="L1024" s="1137"/>
      <c r="M1024" s="1138">
        <f t="shared" si="72"/>
        <v>0</v>
      </c>
      <c r="N1024" s="893">
        <f t="shared" si="76"/>
        <v>0</v>
      </c>
      <c r="O1024" s="905"/>
      <c r="Q1024" s="317" t="str">
        <f t="shared" si="73"/>
        <v/>
      </c>
      <c r="R1024" s="317" t="str">
        <f t="shared" si="74"/>
        <v/>
      </c>
      <c r="S1024" s="317" t="str">
        <f t="shared" si="75"/>
        <v/>
      </c>
      <c r="T1024" s="317" t="str">
        <f>GLOBAL_DER_FEV_2023!S1024</f>
        <v/>
      </c>
      <c r="W1024" s="582">
        <v>0</v>
      </c>
      <c r="X1024" s="580"/>
      <c r="Y1024" s="583">
        <f>IF(GLOBAL_DER_FEV_2023!W1024=0,0,IF(GLOBAL_DER_FEV_2023!W1024&gt;0,"c","b"))</f>
        <v>0</v>
      </c>
    </row>
    <row r="1025" spans="1:25" ht="35.1" hidden="1" customHeight="1" x14ac:dyDescent="0.2">
      <c r="A1025" s="317" t="s">
        <v>952</v>
      </c>
      <c r="B1025" s="895" t="str">
        <f>GLOBAL_DER_FEV_2023!B1025</f>
        <v>16.105.000032.SER</v>
      </c>
      <c r="C1025" s="896" t="str">
        <f>GLOBAL_DER_FEV_2023!C1025</f>
        <v>PINI - fev/23</v>
      </c>
      <c r="D1025" s="906" t="str">
        <f>GLOBAL_DER_FEV_2023!D1025</f>
        <v>ENTRADA DE ENERGIA ELÉTRICA, SUBTERRÂNEA, TRIFÁSICA, COM CAIXA DE EMBUTIR, CABO DE 35 MM2 E DISJUNTOR DIN 50A (NÃO INCLUSA MURETA DE ALVENARIA). AF_07/2020</v>
      </c>
      <c r="E1025" s="907">
        <f>GLOBAL_DER_FEV_2023!E1025</f>
        <v>0</v>
      </c>
      <c r="F1025" s="908">
        <f>GLOBAL_DER_FEV_2023!F1025</f>
        <v>0</v>
      </c>
      <c r="G1025" s="912">
        <f>GLOBAL_DER_FEV_2023!G1025</f>
        <v>0</v>
      </c>
      <c r="H1025" s="901">
        <f>GLOBAL_DER_FEV_2023!H1025</f>
        <v>2505.64</v>
      </c>
      <c r="I1025" s="901">
        <f>GLOBAL_DER_FEV_2023!I1025</f>
        <v>2505.64</v>
      </c>
      <c r="J1025" s="902">
        <f>GLOBAL_DER_FEV_2023!J1025</f>
        <v>3008.52</v>
      </c>
      <c r="K1025" s="903" t="s">
        <v>1516</v>
      </c>
      <c r="L1025" s="1137"/>
      <c r="M1025" s="1138">
        <f t="shared" si="72"/>
        <v>0</v>
      </c>
      <c r="N1025" s="893">
        <f t="shared" si="76"/>
        <v>0</v>
      </c>
      <c r="O1025" s="905"/>
      <c r="Q1025" s="317" t="str">
        <f t="shared" si="73"/>
        <v/>
      </c>
      <c r="R1025" s="317" t="str">
        <f t="shared" si="74"/>
        <v/>
      </c>
      <c r="S1025" s="317" t="str">
        <f t="shared" si="75"/>
        <v/>
      </c>
      <c r="T1025" s="317" t="str">
        <f>GLOBAL_DER_FEV_2023!S1025</f>
        <v/>
      </c>
      <c r="W1025" s="582">
        <v>0</v>
      </c>
      <c r="X1025" s="580"/>
      <c r="Y1025" s="583">
        <f>IF(GLOBAL_DER_FEV_2023!W1025=0,0,IF(GLOBAL_DER_FEV_2023!W1025&gt;0,"c","b"))</f>
        <v>0</v>
      </c>
    </row>
    <row r="1026" spans="1:25" ht="13.5" hidden="1" thickBot="1" x14ac:dyDescent="0.25">
      <c r="A1026" s="317" t="s">
        <v>953</v>
      </c>
      <c r="B1026" s="895" t="str">
        <f>GLOBAL_DER_FEV_2023!B1026</f>
        <v>16.105.000033.SER</v>
      </c>
      <c r="C1026" s="896" t="str">
        <f>GLOBAL_DER_FEV_2023!C1026</f>
        <v>PINI - fev/23</v>
      </c>
      <c r="D1026" s="906" t="str">
        <f>GLOBAL_DER_FEV_2023!D1026</f>
        <v>Entrada de energia em poste próprio da edificação com potência instalada de 15 a 20 KW</v>
      </c>
      <c r="E1026" s="907">
        <f>GLOBAL_DER_FEV_2023!E1026</f>
        <v>0</v>
      </c>
      <c r="F1026" s="908">
        <f>GLOBAL_DER_FEV_2023!F1026</f>
        <v>0</v>
      </c>
      <c r="G1026" s="912">
        <f>GLOBAL_DER_FEV_2023!G1026</f>
        <v>0</v>
      </c>
      <c r="H1026" s="901">
        <f>GLOBAL_DER_FEV_2023!H1026</f>
        <v>2829.71</v>
      </c>
      <c r="I1026" s="901">
        <f>GLOBAL_DER_FEV_2023!I1026</f>
        <v>2829.71</v>
      </c>
      <c r="J1026" s="902">
        <f>GLOBAL_DER_FEV_2023!J1026</f>
        <v>3397.63</v>
      </c>
      <c r="K1026" s="903" t="s">
        <v>1516</v>
      </c>
      <c r="L1026" s="1137"/>
      <c r="M1026" s="1138">
        <f t="shared" si="72"/>
        <v>0</v>
      </c>
      <c r="N1026" s="893">
        <f t="shared" si="76"/>
        <v>0</v>
      </c>
      <c r="O1026" s="905"/>
      <c r="Q1026" s="317" t="str">
        <f t="shared" si="73"/>
        <v/>
      </c>
      <c r="R1026" s="317" t="str">
        <f t="shared" si="74"/>
        <v/>
      </c>
      <c r="S1026" s="317" t="str">
        <f t="shared" si="75"/>
        <v/>
      </c>
      <c r="T1026" s="317" t="str">
        <f>GLOBAL_DER_FEV_2023!S1026</f>
        <v/>
      </c>
      <c r="W1026" s="582">
        <v>0</v>
      </c>
      <c r="X1026" s="580"/>
      <c r="Y1026" s="583">
        <f>IF(GLOBAL_DER_FEV_2023!W1026=0,0,IF(GLOBAL_DER_FEV_2023!W1026&gt;0,"c","b"))</f>
        <v>0</v>
      </c>
    </row>
    <row r="1027" spans="1:25" ht="13.5" hidden="1" thickBot="1" x14ac:dyDescent="0.25">
      <c r="A1027" s="317" t="s">
        <v>955</v>
      </c>
      <c r="B1027" s="895" t="str">
        <f>GLOBAL_DER_FEV_2023!B1027</f>
        <v>16.105.000034.SER</v>
      </c>
      <c r="C1027" s="896" t="str">
        <f>GLOBAL_DER_FEV_2023!C1027</f>
        <v>PINI - fev/23</v>
      </c>
      <c r="D1027" s="906" t="str">
        <f>GLOBAL_DER_FEV_2023!D1027</f>
        <v>Entrada de energia em poste próprio da edificação com potência instalada de 20 a 25 KW</v>
      </c>
      <c r="E1027" s="907">
        <f>GLOBAL_DER_FEV_2023!E1027</f>
        <v>0</v>
      </c>
      <c r="F1027" s="908">
        <f>GLOBAL_DER_FEV_2023!F1027</f>
        <v>0</v>
      </c>
      <c r="G1027" s="912">
        <f>GLOBAL_DER_FEV_2023!G1027</f>
        <v>0</v>
      </c>
      <c r="H1027" s="901">
        <f>GLOBAL_DER_FEV_2023!H1027</f>
        <v>4324.09</v>
      </c>
      <c r="I1027" s="901">
        <f>GLOBAL_DER_FEV_2023!I1027</f>
        <v>4324.09</v>
      </c>
      <c r="J1027" s="902">
        <f>GLOBAL_DER_FEV_2023!J1027</f>
        <v>5191.93</v>
      </c>
      <c r="K1027" s="903" t="s">
        <v>1516</v>
      </c>
      <c r="L1027" s="1137"/>
      <c r="M1027" s="1138">
        <f t="shared" si="72"/>
        <v>0</v>
      </c>
      <c r="N1027" s="893">
        <f t="shared" si="76"/>
        <v>0</v>
      </c>
      <c r="O1027" s="905"/>
      <c r="Q1027" s="317" t="str">
        <f t="shared" si="73"/>
        <v/>
      </c>
      <c r="R1027" s="317" t="str">
        <f t="shared" si="74"/>
        <v/>
      </c>
      <c r="S1027" s="317" t="str">
        <f t="shared" si="75"/>
        <v/>
      </c>
      <c r="T1027" s="317" t="str">
        <f>GLOBAL_DER_FEV_2023!S1027</f>
        <v/>
      </c>
      <c r="W1027" s="582">
        <v>0</v>
      </c>
      <c r="X1027" s="580"/>
      <c r="Y1027" s="583">
        <f>IF(GLOBAL_DER_FEV_2023!W1027=0,0,IF(GLOBAL_DER_FEV_2023!W1027&gt;0,"c","b"))</f>
        <v>0</v>
      </c>
    </row>
    <row r="1028" spans="1:25" ht="13.5" hidden="1" thickBot="1" x14ac:dyDescent="0.25">
      <c r="A1028" s="317" t="s">
        <v>957</v>
      </c>
      <c r="B1028" s="895" t="str">
        <f>GLOBAL_DER_FEV_2023!B1028</f>
        <v>16.105.000035.SER</v>
      </c>
      <c r="C1028" s="896" t="str">
        <f>GLOBAL_DER_FEV_2023!C1028</f>
        <v>PINI - fev/23</v>
      </c>
      <c r="D1028" s="906" t="str">
        <f>GLOBAL_DER_FEV_2023!D1028</f>
        <v>Entrada de energia em poste próprio da edificação com potência instalada de 25 a 30 KW</v>
      </c>
      <c r="E1028" s="907">
        <f>GLOBAL_DER_FEV_2023!E1028</f>
        <v>0</v>
      </c>
      <c r="F1028" s="908">
        <f>GLOBAL_DER_FEV_2023!F1028</f>
        <v>0</v>
      </c>
      <c r="G1028" s="912">
        <f>GLOBAL_DER_FEV_2023!G1028</f>
        <v>0</v>
      </c>
      <c r="H1028" s="901">
        <f>GLOBAL_DER_FEV_2023!H1028</f>
        <v>5277.61</v>
      </c>
      <c r="I1028" s="901">
        <f>GLOBAL_DER_FEV_2023!I1028</f>
        <v>5277.61</v>
      </c>
      <c r="J1028" s="902">
        <f>GLOBAL_DER_FEV_2023!J1028</f>
        <v>6336.83</v>
      </c>
      <c r="K1028" s="903" t="s">
        <v>1516</v>
      </c>
      <c r="L1028" s="1137"/>
      <c r="M1028" s="1138">
        <f t="shared" si="72"/>
        <v>0</v>
      </c>
      <c r="N1028" s="893">
        <f t="shared" si="76"/>
        <v>0</v>
      </c>
      <c r="O1028" s="905"/>
      <c r="Q1028" s="317" t="str">
        <f t="shared" si="73"/>
        <v/>
      </c>
      <c r="R1028" s="317" t="str">
        <f t="shared" si="74"/>
        <v/>
      </c>
      <c r="S1028" s="317" t="str">
        <f t="shared" si="75"/>
        <v/>
      </c>
      <c r="T1028" s="317" t="str">
        <f>GLOBAL_DER_FEV_2023!S1028</f>
        <v/>
      </c>
      <c r="W1028" s="582">
        <v>0</v>
      </c>
      <c r="X1028" s="580"/>
      <c r="Y1028" s="583">
        <f>IF(GLOBAL_DER_FEV_2023!W1028=0,0,IF(GLOBAL_DER_FEV_2023!W1028&gt;0,"c","b"))</f>
        <v>0</v>
      </c>
    </row>
    <row r="1029" spans="1:25" ht="23.25" hidden="1" thickBot="1" x14ac:dyDescent="0.25">
      <c r="A1029" s="317">
        <v>96984</v>
      </c>
      <c r="B1029" s="895">
        <v>96984</v>
      </c>
      <c r="C1029" s="896" t="s">
        <v>596</v>
      </c>
      <c r="D1029" s="906" t="s">
        <v>959</v>
      </c>
      <c r="E1029" s="907">
        <f>GLOBAL_DER_FEV_2023!E1029</f>
        <v>0</v>
      </c>
      <c r="F1029" s="908">
        <f>GLOBAL_DER_FEV_2023!F1029</f>
        <v>0</v>
      </c>
      <c r="G1029" s="912">
        <f>GLOBAL_DER_FEV_2023!G1029</f>
        <v>0</v>
      </c>
      <c r="H1029" s="901">
        <f>GLOBAL_DER_FEV_2023!H1029</f>
        <v>77.59</v>
      </c>
      <c r="I1029" s="901">
        <f>GLOBAL_DER_FEV_2023!I1029</f>
        <v>77.59</v>
      </c>
      <c r="J1029" s="902">
        <f>GLOBAL_DER_FEV_2023!J1029</f>
        <v>93.16</v>
      </c>
      <c r="K1029" s="903" t="s">
        <v>1516</v>
      </c>
      <c r="L1029" s="1137"/>
      <c r="M1029" s="1138">
        <f t="shared" si="72"/>
        <v>0</v>
      </c>
      <c r="N1029" s="893">
        <f t="shared" si="76"/>
        <v>0</v>
      </c>
      <c r="O1029" s="905"/>
      <c r="Q1029" s="317" t="str">
        <f t="shared" si="73"/>
        <v/>
      </c>
      <c r="R1029" s="317" t="str">
        <f t="shared" si="74"/>
        <v/>
      </c>
      <c r="S1029" s="317" t="str">
        <f t="shared" si="75"/>
        <v/>
      </c>
      <c r="T1029" s="317" t="str">
        <f>GLOBAL_DER_FEV_2023!S1029</f>
        <v/>
      </c>
      <c r="W1029" s="582">
        <v>0</v>
      </c>
      <c r="X1029" s="580"/>
      <c r="Y1029" s="583">
        <f>IF(GLOBAL_DER_FEV_2023!W1029=0,0,IF(GLOBAL_DER_FEV_2023!W1029&gt;0,"c","b"))</f>
        <v>0</v>
      </c>
    </row>
    <row r="1030" spans="1:25" ht="23.25" hidden="1" thickBot="1" x14ac:dyDescent="0.25">
      <c r="A1030" s="317">
        <v>91831</v>
      </c>
      <c r="B1030" s="895">
        <v>91831</v>
      </c>
      <c r="C1030" s="896" t="s">
        <v>596</v>
      </c>
      <c r="D1030" s="906" t="s">
        <v>960</v>
      </c>
      <c r="E1030" s="907">
        <f>GLOBAL_DER_FEV_2023!E1030</f>
        <v>0</v>
      </c>
      <c r="F1030" s="908">
        <f>GLOBAL_DER_FEV_2023!F1030</f>
        <v>0</v>
      </c>
      <c r="G1030" s="912">
        <f>GLOBAL_DER_FEV_2023!G1030</f>
        <v>0</v>
      </c>
      <c r="H1030" s="901">
        <f>GLOBAL_DER_FEV_2023!H1030</f>
        <v>10.69</v>
      </c>
      <c r="I1030" s="901">
        <f>GLOBAL_DER_FEV_2023!I1030</f>
        <v>10.69</v>
      </c>
      <c r="J1030" s="902">
        <f>GLOBAL_DER_FEV_2023!J1030</f>
        <v>12.84</v>
      </c>
      <c r="K1030" s="903" t="s">
        <v>62</v>
      </c>
      <c r="L1030" s="1137"/>
      <c r="M1030" s="1138">
        <f t="shared" si="72"/>
        <v>0</v>
      </c>
      <c r="N1030" s="893">
        <f t="shared" si="76"/>
        <v>0</v>
      </c>
      <c r="O1030" s="905"/>
      <c r="Q1030" s="317" t="str">
        <f t="shared" si="73"/>
        <v/>
      </c>
      <c r="R1030" s="317" t="str">
        <f t="shared" si="74"/>
        <v/>
      </c>
      <c r="S1030" s="317" t="str">
        <f t="shared" si="75"/>
        <v/>
      </c>
      <c r="T1030" s="317" t="str">
        <f>GLOBAL_DER_FEV_2023!S1030</f>
        <v/>
      </c>
      <c r="W1030" s="582">
        <v>0</v>
      </c>
      <c r="X1030" s="580"/>
      <c r="Y1030" s="583">
        <f>IF(GLOBAL_DER_FEV_2023!W1030=0,0,IF(GLOBAL_DER_FEV_2023!W1030&gt;0,"c","b"))</f>
        <v>0</v>
      </c>
    </row>
    <row r="1031" spans="1:25" ht="23.25" hidden="1" thickBot="1" x14ac:dyDescent="0.25">
      <c r="A1031" s="317">
        <v>91834</v>
      </c>
      <c r="B1031" s="895">
        <v>91834</v>
      </c>
      <c r="C1031" s="896" t="s">
        <v>596</v>
      </c>
      <c r="D1031" s="906" t="s">
        <v>961</v>
      </c>
      <c r="E1031" s="907">
        <f>GLOBAL_DER_FEV_2023!E1031</f>
        <v>0</v>
      </c>
      <c r="F1031" s="908">
        <f>GLOBAL_DER_FEV_2023!F1031</f>
        <v>0</v>
      </c>
      <c r="G1031" s="912">
        <f>GLOBAL_DER_FEV_2023!G1031</f>
        <v>0</v>
      </c>
      <c r="H1031" s="901">
        <f>GLOBAL_DER_FEV_2023!H1031</f>
        <v>11.9</v>
      </c>
      <c r="I1031" s="901">
        <f>GLOBAL_DER_FEV_2023!I1031</f>
        <v>11.9</v>
      </c>
      <c r="J1031" s="902">
        <f>GLOBAL_DER_FEV_2023!J1031</f>
        <v>14.29</v>
      </c>
      <c r="K1031" s="903" t="s">
        <v>62</v>
      </c>
      <c r="L1031" s="1137"/>
      <c r="M1031" s="1138">
        <f t="shared" si="72"/>
        <v>0</v>
      </c>
      <c r="N1031" s="893">
        <f t="shared" si="76"/>
        <v>0</v>
      </c>
      <c r="O1031" s="905"/>
      <c r="Q1031" s="317" t="str">
        <f t="shared" si="73"/>
        <v/>
      </c>
      <c r="R1031" s="317" t="str">
        <f t="shared" si="74"/>
        <v/>
      </c>
      <c r="S1031" s="317" t="str">
        <f t="shared" si="75"/>
        <v/>
      </c>
      <c r="T1031" s="317" t="str">
        <f>GLOBAL_DER_FEV_2023!S1031</f>
        <v/>
      </c>
      <c r="W1031" s="582">
        <v>0</v>
      </c>
      <c r="X1031" s="580"/>
      <c r="Y1031" s="583">
        <f>IF(GLOBAL_DER_FEV_2023!W1031=0,0,IF(GLOBAL_DER_FEV_2023!W1031&gt;0,"c","b"))</f>
        <v>0</v>
      </c>
    </row>
    <row r="1032" spans="1:25" ht="23.25" hidden="1" thickBot="1" x14ac:dyDescent="0.25">
      <c r="A1032" s="317">
        <v>91836</v>
      </c>
      <c r="B1032" s="895">
        <v>91836</v>
      </c>
      <c r="C1032" s="896" t="s">
        <v>596</v>
      </c>
      <c r="D1032" s="906" t="s">
        <v>962</v>
      </c>
      <c r="E1032" s="907">
        <f>GLOBAL_DER_FEV_2023!E1032</f>
        <v>0</v>
      </c>
      <c r="F1032" s="908">
        <f>GLOBAL_DER_FEV_2023!F1032</f>
        <v>0</v>
      </c>
      <c r="G1032" s="912">
        <f>GLOBAL_DER_FEV_2023!G1032</f>
        <v>0</v>
      </c>
      <c r="H1032" s="901">
        <f>GLOBAL_DER_FEV_2023!H1032</f>
        <v>15.96</v>
      </c>
      <c r="I1032" s="901">
        <f>GLOBAL_DER_FEV_2023!I1032</f>
        <v>15.96</v>
      </c>
      <c r="J1032" s="902">
        <f>GLOBAL_DER_FEV_2023!J1032</f>
        <v>19.16</v>
      </c>
      <c r="K1032" s="903" t="s">
        <v>62</v>
      </c>
      <c r="L1032" s="1137"/>
      <c r="M1032" s="1138">
        <f t="shared" si="72"/>
        <v>0</v>
      </c>
      <c r="N1032" s="893">
        <f t="shared" si="76"/>
        <v>0</v>
      </c>
      <c r="O1032" s="905"/>
      <c r="Q1032" s="317" t="str">
        <f t="shared" si="73"/>
        <v/>
      </c>
      <c r="R1032" s="317" t="str">
        <f t="shared" si="74"/>
        <v/>
      </c>
      <c r="S1032" s="317" t="str">
        <f t="shared" si="75"/>
        <v/>
      </c>
      <c r="T1032" s="317" t="str">
        <f>GLOBAL_DER_FEV_2023!S1032</f>
        <v/>
      </c>
      <c r="W1032" s="582">
        <v>0</v>
      </c>
      <c r="X1032" s="580"/>
      <c r="Y1032" s="583">
        <f>IF(GLOBAL_DER_FEV_2023!W1032=0,0,IF(GLOBAL_DER_FEV_2023!W1032&gt;0,"c","b"))</f>
        <v>0</v>
      </c>
    </row>
    <row r="1033" spans="1:25" ht="23.25" hidden="1" thickBot="1" x14ac:dyDescent="0.25">
      <c r="A1033" s="317">
        <v>91842</v>
      </c>
      <c r="B1033" s="895">
        <v>91842</v>
      </c>
      <c r="C1033" s="896" t="s">
        <v>596</v>
      </c>
      <c r="D1033" s="906" t="s">
        <v>963</v>
      </c>
      <c r="E1033" s="907">
        <f>GLOBAL_DER_FEV_2023!E1033</f>
        <v>0</v>
      </c>
      <c r="F1033" s="908">
        <f>GLOBAL_DER_FEV_2023!F1033</f>
        <v>0</v>
      </c>
      <c r="G1033" s="912">
        <f>GLOBAL_DER_FEV_2023!G1033</f>
        <v>0</v>
      </c>
      <c r="H1033" s="901">
        <f>GLOBAL_DER_FEV_2023!H1033</f>
        <v>8.0500000000000007</v>
      </c>
      <c r="I1033" s="901">
        <f>GLOBAL_DER_FEV_2023!I1033</f>
        <v>8.0500000000000007</v>
      </c>
      <c r="J1033" s="902">
        <f>GLOBAL_DER_FEV_2023!J1033</f>
        <v>9.67</v>
      </c>
      <c r="K1033" s="903" t="s">
        <v>62</v>
      </c>
      <c r="L1033" s="1137"/>
      <c r="M1033" s="1138">
        <f t="shared" si="72"/>
        <v>0</v>
      </c>
      <c r="N1033" s="893">
        <f t="shared" si="76"/>
        <v>0</v>
      </c>
      <c r="O1033" s="905"/>
      <c r="Q1033" s="317" t="str">
        <f t="shared" si="73"/>
        <v/>
      </c>
      <c r="R1033" s="317" t="str">
        <f t="shared" si="74"/>
        <v/>
      </c>
      <c r="S1033" s="317" t="str">
        <f t="shared" si="75"/>
        <v/>
      </c>
      <c r="T1033" s="317" t="str">
        <f>GLOBAL_DER_FEV_2023!S1033</f>
        <v/>
      </c>
      <c r="W1033" s="582">
        <v>0</v>
      </c>
      <c r="X1033" s="580"/>
      <c r="Y1033" s="583">
        <f>IF(GLOBAL_DER_FEV_2023!W1033=0,0,IF(GLOBAL_DER_FEV_2023!W1033&gt;0,"c","b"))</f>
        <v>0</v>
      </c>
    </row>
    <row r="1034" spans="1:25" ht="23.25" hidden="1" thickBot="1" x14ac:dyDescent="0.25">
      <c r="A1034" s="317">
        <v>91844</v>
      </c>
      <c r="B1034" s="895">
        <v>91844</v>
      </c>
      <c r="C1034" s="896" t="s">
        <v>596</v>
      </c>
      <c r="D1034" s="906" t="s">
        <v>964</v>
      </c>
      <c r="E1034" s="907">
        <f>GLOBAL_DER_FEV_2023!E1034</f>
        <v>0</v>
      </c>
      <c r="F1034" s="908">
        <f>GLOBAL_DER_FEV_2023!F1034</f>
        <v>0</v>
      </c>
      <c r="G1034" s="912">
        <f>GLOBAL_DER_FEV_2023!G1034</f>
        <v>0</v>
      </c>
      <c r="H1034" s="901">
        <f>GLOBAL_DER_FEV_2023!H1034</f>
        <v>9.26</v>
      </c>
      <c r="I1034" s="901">
        <f>GLOBAL_DER_FEV_2023!I1034</f>
        <v>9.26</v>
      </c>
      <c r="J1034" s="902">
        <f>GLOBAL_DER_FEV_2023!J1034</f>
        <v>11.12</v>
      </c>
      <c r="K1034" s="903" t="s">
        <v>62</v>
      </c>
      <c r="L1034" s="1137"/>
      <c r="M1034" s="1138">
        <f t="shared" si="72"/>
        <v>0</v>
      </c>
      <c r="N1034" s="893">
        <f t="shared" si="76"/>
        <v>0</v>
      </c>
      <c r="O1034" s="905"/>
      <c r="Q1034" s="317" t="str">
        <f t="shared" si="73"/>
        <v/>
      </c>
      <c r="R1034" s="317" t="str">
        <f t="shared" si="74"/>
        <v/>
      </c>
      <c r="S1034" s="317" t="str">
        <f t="shared" si="75"/>
        <v/>
      </c>
      <c r="T1034" s="317" t="str">
        <f>GLOBAL_DER_FEV_2023!S1034</f>
        <v/>
      </c>
      <c r="W1034" s="582">
        <v>0</v>
      </c>
      <c r="X1034" s="580"/>
      <c r="Y1034" s="583">
        <f>IF(GLOBAL_DER_FEV_2023!W1034=0,0,IF(GLOBAL_DER_FEV_2023!W1034&gt;0,"c","b"))</f>
        <v>0</v>
      </c>
    </row>
    <row r="1035" spans="1:25" ht="23.25" hidden="1" thickBot="1" x14ac:dyDescent="0.25">
      <c r="A1035" s="317">
        <v>91846</v>
      </c>
      <c r="B1035" s="895">
        <v>91846</v>
      </c>
      <c r="C1035" s="896" t="s">
        <v>596</v>
      </c>
      <c r="D1035" s="906" t="s">
        <v>965</v>
      </c>
      <c r="E1035" s="907">
        <f>GLOBAL_DER_FEV_2023!E1035</f>
        <v>0</v>
      </c>
      <c r="F1035" s="908">
        <f>GLOBAL_DER_FEV_2023!F1035</f>
        <v>0</v>
      </c>
      <c r="G1035" s="912">
        <f>GLOBAL_DER_FEV_2023!G1035</f>
        <v>0</v>
      </c>
      <c r="H1035" s="901">
        <f>GLOBAL_DER_FEV_2023!H1035</f>
        <v>13.33</v>
      </c>
      <c r="I1035" s="901">
        <f>GLOBAL_DER_FEV_2023!I1035</f>
        <v>13.33</v>
      </c>
      <c r="J1035" s="902">
        <f>GLOBAL_DER_FEV_2023!J1035</f>
        <v>16.010000000000002</v>
      </c>
      <c r="K1035" s="903" t="s">
        <v>62</v>
      </c>
      <c r="L1035" s="1137"/>
      <c r="M1035" s="1138">
        <f t="shared" si="72"/>
        <v>0</v>
      </c>
      <c r="N1035" s="893">
        <f t="shared" si="76"/>
        <v>0</v>
      </c>
      <c r="O1035" s="905"/>
      <c r="Q1035" s="317" t="str">
        <f t="shared" si="73"/>
        <v/>
      </c>
      <c r="R1035" s="317" t="str">
        <f t="shared" si="74"/>
        <v/>
      </c>
      <c r="S1035" s="317" t="str">
        <f t="shared" si="75"/>
        <v/>
      </c>
      <c r="T1035" s="317" t="str">
        <f>GLOBAL_DER_FEV_2023!S1035</f>
        <v/>
      </c>
      <c r="W1035" s="582">
        <v>0</v>
      </c>
      <c r="X1035" s="580"/>
      <c r="Y1035" s="583">
        <f>IF(GLOBAL_DER_FEV_2023!W1035=0,0,IF(GLOBAL_DER_FEV_2023!W1035&gt;0,"c","b"))</f>
        <v>0</v>
      </c>
    </row>
    <row r="1036" spans="1:25" ht="23.25" hidden="1" thickBot="1" x14ac:dyDescent="0.25">
      <c r="A1036" s="317">
        <v>91852</v>
      </c>
      <c r="B1036" s="895">
        <v>91852</v>
      </c>
      <c r="C1036" s="896" t="s">
        <v>596</v>
      </c>
      <c r="D1036" s="906" t="s">
        <v>966</v>
      </c>
      <c r="E1036" s="907">
        <f>GLOBAL_DER_FEV_2023!E1036</f>
        <v>0</v>
      </c>
      <c r="F1036" s="908">
        <f>GLOBAL_DER_FEV_2023!F1036</f>
        <v>0</v>
      </c>
      <c r="G1036" s="912">
        <f>GLOBAL_DER_FEV_2023!G1036</f>
        <v>0</v>
      </c>
      <c r="H1036" s="901">
        <f>GLOBAL_DER_FEV_2023!H1036</f>
        <v>11.16</v>
      </c>
      <c r="I1036" s="901">
        <f>GLOBAL_DER_FEV_2023!I1036</f>
        <v>11.16</v>
      </c>
      <c r="J1036" s="902">
        <f>GLOBAL_DER_FEV_2023!J1036</f>
        <v>13.4</v>
      </c>
      <c r="K1036" s="903" t="s">
        <v>62</v>
      </c>
      <c r="L1036" s="1137"/>
      <c r="M1036" s="1138">
        <f t="shared" si="72"/>
        <v>0</v>
      </c>
      <c r="N1036" s="893">
        <f t="shared" si="76"/>
        <v>0</v>
      </c>
      <c r="O1036" s="905"/>
      <c r="Q1036" s="317" t="str">
        <f t="shared" si="73"/>
        <v/>
      </c>
      <c r="R1036" s="317" t="str">
        <f t="shared" si="74"/>
        <v/>
      </c>
      <c r="S1036" s="317" t="str">
        <f t="shared" si="75"/>
        <v/>
      </c>
      <c r="T1036" s="317" t="str">
        <f>GLOBAL_DER_FEV_2023!S1036</f>
        <v/>
      </c>
      <c r="W1036" s="582">
        <v>0</v>
      </c>
      <c r="X1036" s="580"/>
      <c r="Y1036" s="583">
        <f>IF(GLOBAL_DER_FEV_2023!W1036=0,0,IF(GLOBAL_DER_FEV_2023!W1036&gt;0,"c","b"))</f>
        <v>0</v>
      </c>
    </row>
    <row r="1037" spans="1:25" ht="23.25" hidden="1" thickBot="1" x14ac:dyDescent="0.25">
      <c r="A1037" s="317">
        <v>91854</v>
      </c>
      <c r="B1037" s="895">
        <v>91854</v>
      </c>
      <c r="C1037" s="896" t="s">
        <v>596</v>
      </c>
      <c r="D1037" s="906" t="s">
        <v>967</v>
      </c>
      <c r="E1037" s="907">
        <f>GLOBAL_DER_FEV_2023!E1037</f>
        <v>0</v>
      </c>
      <c r="F1037" s="908">
        <f>GLOBAL_DER_FEV_2023!F1037</f>
        <v>0</v>
      </c>
      <c r="G1037" s="912">
        <f>GLOBAL_DER_FEV_2023!G1037</f>
        <v>0</v>
      </c>
      <c r="H1037" s="901">
        <f>GLOBAL_DER_FEV_2023!H1037</f>
        <v>12.34</v>
      </c>
      <c r="I1037" s="901">
        <f>GLOBAL_DER_FEV_2023!I1037</f>
        <v>12.34</v>
      </c>
      <c r="J1037" s="902">
        <f>GLOBAL_DER_FEV_2023!J1037</f>
        <v>14.82</v>
      </c>
      <c r="K1037" s="903" t="s">
        <v>62</v>
      </c>
      <c r="L1037" s="1137"/>
      <c r="M1037" s="1138">
        <f t="shared" si="72"/>
        <v>0</v>
      </c>
      <c r="N1037" s="893">
        <f t="shared" si="76"/>
        <v>0</v>
      </c>
      <c r="O1037" s="905"/>
      <c r="Q1037" s="317" t="str">
        <f t="shared" si="73"/>
        <v/>
      </c>
      <c r="R1037" s="317" t="str">
        <f t="shared" si="74"/>
        <v/>
      </c>
      <c r="S1037" s="317" t="str">
        <f t="shared" si="75"/>
        <v/>
      </c>
      <c r="T1037" s="317" t="str">
        <f>GLOBAL_DER_FEV_2023!S1037</f>
        <v/>
      </c>
      <c r="W1037" s="582">
        <v>0</v>
      </c>
      <c r="X1037" s="580"/>
      <c r="Y1037" s="583">
        <f>IF(GLOBAL_DER_FEV_2023!W1037=0,0,IF(GLOBAL_DER_FEV_2023!W1037&gt;0,"c","b"))</f>
        <v>0</v>
      </c>
    </row>
    <row r="1038" spans="1:25" ht="23.25" hidden="1" thickBot="1" x14ac:dyDescent="0.25">
      <c r="A1038" s="317">
        <v>91856</v>
      </c>
      <c r="B1038" s="895">
        <v>91856</v>
      </c>
      <c r="C1038" s="896" t="s">
        <v>596</v>
      </c>
      <c r="D1038" s="906" t="s">
        <v>968</v>
      </c>
      <c r="E1038" s="907">
        <f>GLOBAL_DER_FEV_2023!E1038</f>
        <v>0</v>
      </c>
      <c r="F1038" s="908">
        <f>GLOBAL_DER_FEV_2023!F1038</f>
        <v>0</v>
      </c>
      <c r="G1038" s="912">
        <f>GLOBAL_DER_FEV_2023!G1038</f>
        <v>0</v>
      </c>
      <c r="H1038" s="901">
        <f>GLOBAL_DER_FEV_2023!H1038</f>
        <v>16.18</v>
      </c>
      <c r="I1038" s="901">
        <f>GLOBAL_DER_FEV_2023!I1038</f>
        <v>16.18</v>
      </c>
      <c r="J1038" s="902">
        <f>GLOBAL_DER_FEV_2023!J1038</f>
        <v>19.43</v>
      </c>
      <c r="K1038" s="903" t="s">
        <v>62</v>
      </c>
      <c r="L1038" s="1137"/>
      <c r="M1038" s="1138">
        <f t="shared" si="72"/>
        <v>0</v>
      </c>
      <c r="N1038" s="893">
        <f t="shared" si="76"/>
        <v>0</v>
      </c>
      <c r="O1038" s="905"/>
      <c r="Q1038" s="317" t="str">
        <f t="shared" si="73"/>
        <v/>
      </c>
      <c r="R1038" s="317" t="str">
        <f t="shared" si="74"/>
        <v/>
      </c>
      <c r="S1038" s="317" t="str">
        <f t="shared" si="75"/>
        <v/>
      </c>
      <c r="T1038" s="317" t="str">
        <f>GLOBAL_DER_FEV_2023!S1038</f>
        <v/>
      </c>
      <c r="W1038" s="582">
        <v>0</v>
      </c>
      <c r="X1038" s="580"/>
      <c r="Y1038" s="583">
        <f>IF(GLOBAL_DER_FEV_2023!W1038=0,0,IF(GLOBAL_DER_FEV_2023!W1038&gt;0,"c","b"))</f>
        <v>0</v>
      </c>
    </row>
    <row r="1039" spans="1:25" ht="34.5" hidden="1" thickBot="1" x14ac:dyDescent="0.25">
      <c r="A1039" s="317">
        <v>91833</v>
      </c>
      <c r="B1039" s="895">
        <v>91833</v>
      </c>
      <c r="C1039" s="896" t="s">
        <v>596</v>
      </c>
      <c r="D1039" s="906" t="s">
        <v>969</v>
      </c>
      <c r="E1039" s="907">
        <f>GLOBAL_DER_FEV_2023!E1039</f>
        <v>0</v>
      </c>
      <c r="F1039" s="908">
        <f>GLOBAL_DER_FEV_2023!F1039</f>
        <v>0</v>
      </c>
      <c r="G1039" s="912">
        <f>GLOBAL_DER_FEV_2023!G1039</f>
        <v>0</v>
      </c>
      <c r="H1039" s="901">
        <f>GLOBAL_DER_FEV_2023!H1039</f>
        <v>11.52</v>
      </c>
      <c r="I1039" s="901">
        <f>GLOBAL_DER_FEV_2023!I1039</f>
        <v>11.52</v>
      </c>
      <c r="J1039" s="902">
        <f>GLOBAL_DER_FEV_2023!J1039</f>
        <v>13.83</v>
      </c>
      <c r="K1039" s="903" t="s">
        <v>62</v>
      </c>
      <c r="L1039" s="1137"/>
      <c r="M1039" s="1138">
        <f t="shared" si="72"/>
        <v>0</v>
      </c>
      <c r="N1039" s="893">
        <f t="shared" si="76"/>
        <v>0</v>
      </c>
      <c r="O1039" s="905"/>
      <c r="Q1039" s="317" t="str">
        <f t="shared" si="73"/>
        <v/>
      </c>
      <c r="R1039" s="317" t="str">
        <f t="shared" si="74"/>
        <v/>
      </c>
      <c r="S1039" s="317" t="str">
        <f t="shared" si="75"/>
        <v/>
      </c>
      <c r="T1039" s="317" t="str">
        <f>GLOBAL_DER_FEV_2023!S1039</f>
        <v/>
      </c>
      <c r="W1039" s="582">
        <v>0</v>
      </c>
      <c r="X1039" s="580"/>
      <c r="Y1039" s="583">
        <f>IF(GLOBAL_DER_FEV_2023!W1039=0,0,IF(GLOBAL_DER_FEV_2023!W1039&gt;0,"c","b"))</f>
        <v>0</v>
      </c>
    </row>
    <row r="1040" spans="1:25" ht="34.5" hidden="1" thickBot="1" x14ac:dyDescent="0.25">
      <c r="A1040" s="317">
        <v>91835</v>
      </c>
      <c r="B1040" s="895">
        <v>91835</v>
      </c>
      <c r="C1040" s="896" t="s">
        <v>596</v>
      </c>
      <c r="D1040" s="906" t="s">
        <v>970</v>
      </c>
      <c r="E1040" s="907">
        <f>GLOBAL_DER_FEV_2023!E1040</f>
        <v>0</v>
      </c>
      <c r="F1040" s="908">
        <f>GLOBAL_DER_FEV_2023!F1040</f>
        <v>0</v>
      </c>
      <c r="G1040" s="912">
        <f>GLOBAL_DER_FEV_2023!G1040</f>
        <v>0</v>
      </c>
      <c r="H1040" s="901">
        <f>GLOBAL_DER_FEV_2023!H1040</f>
        <v>14.01</v>
      </c>
      <c r="I1040" s="901">
        <f>GLOBAL_DER_FEV_2023!I1040</f>
        <v>14.01</v>
      </c>
      <c r="J1040" s="902">
        <f>GLOBAL_DER_FEV_2023!J1040</f>
        <v>16.82</v>
      </c>
      <c r="K1040" s="903" t="s">
        <v>62</v>
      </c>
      <c r="L1040" s="1137"/>
      <c r="M1040" s="1138">
        <f t="shared" si="72"/>
        <v>0</v>
      </c>
      <c r="N1040" s="893">
        <f t="shared" si="76"/>
        <v>0</v>
      </c>
      <c r="O1040" s="905"/>
      <c r="Q1040" s="317" t="str">
        <f t="shared" si="73"/>
        <v/>
      </c>
      <c r="R1040" s="317" t="str">
        <f t="shared" si="74"/>
        <v/>
      </c>
      <c r="S1040" s="317" t="str">
        <f t="shared" si="75"/>
        <v/>
      </c>
      <c r="T1040" s="317" t="str">
        <f>GLOBAL_DER_FEV_2023!S1040</f>
        <v/>
      </c>
      <c r="W1040" s="582">
        <v>0</v>
      </c>
      <c r="X1040" s="580"/>
      <c r="Y1040" s="583">
        <f>IF(GLOBAL_DER_FEV_2023!W1040=0,0,IF(GLOBAL_DER_FEV_2023!W1040&gt;0,"c","b"))</f>
        <v>0</v>
      </c>
    </row>
    <row r="1041" spans="1:25" ht="34.5" hidden="1" thickBot="1" x14ac:dyDescent="0.25">
      <c r="A1041" s="317">
        <v>91837</v>
      </c>
      <c r="B1041" s="895">
        <v>91837</v>
      </c>
      <c r="C1041" s="896" t="s">
        <v>596</v>
      </c>
      <c r="D1041" s="906" t="s">
        <v>971</v>
      </c>
      <c r="E1041" s="907">
        <f>GLOBAL_DER_FEV_2023!E1041</f>
        <v>0</v>
      </c>
      <c r="F1041" s="908">
        <f>GLOBAL_DER_FEV_2023!F1041</f>
        <v>0</v>
      </c>
      <c r="G1041" s="912">
        <f>GLOBAL_DER_FEV_2023!G1041</f>
        <v>0</v>
      </c>
      <c r="H1041" s="901">
        <f>GLOBAL_DER_FEV_2023!H1041</f>
        <v>20.87</v>
      </c>
      <c r="I1041" s="901">
        <f>GLOBAL_DER_FEV_2023!I1041</f>
        <v>20.87</v>
      </c>
      <c r="J1041" s="902">
        <f>GLOBAL_DER_FEV_2023!J1041</f>
        <v>25.06</v>
      </c>
      <c r="K1041" s="903" t="s">
        <v>62</v>
      </c>
      <c r="L1041" s="1137"/>
      <c r="M1041" s="1138">
        <f t="shared" si="72"/>
        <v>0</v>
      </c>
      <c r="N1041" s="893">
        <f t="shared" si="76"/>
        <v>0</v>
      </c>
      <c r="O1041" s="905"/>
      <c r="Q1041" s="317" t="str">
        <f t="shared" si="73"/>
        <v/>
      </c>
      <c r="R1041" s="317" t="str">
        <f t="shared" si="74"/>
        <v/>
      </c>
      <c r="S1041" s="317" t="str">
        <f t="shared" si="75"/>
        <v/>
      </c>
      <c r="T1041" s="317" t="str">
        <f>GLOBAL_DER_FEV_2023!S1041</f>
        <v/>
      </c>
      <c r="W1041" s="582">
        <v>0</v>
      </c>
      <c r="X1041" s="580"/>
      <c r="Y1041" s="583">
        <f>IF(GLOBAL_DER_FEV_2023!W1041=0,0,IF(GLOBAL_DER_FEV_2023!W1041&gt;0,"c","b"))</f>
        <v>0</v>
      </c>
    </row>
    <row r="1042" spans="1:25" ht="34.5" hidden="1" thickBot="1" x14ac:dyDescent="0.25">
      <c r="A1042" s="317">
        <v>91843</v>
      </c>
      <c r="B1042" s="895">
        <v>91843</v>
      </c>
      <c r="C1042" s="896" t="s">
        <v>596</v>
      </c>
      <c r="D1042" s="906" t="s">
        <v>972</v>
      </c>
      <c r="E1042" s="907">
        <f>GLOBAL_DER_FEV_2023!E1042</f>
        <v>0</v>
      </c>
      <c r="F1042" s="908">
        <f>GLOBAL_DER_FEV_2023!F1042</f>
        <v>0</v>
      </c>
      <c r="G1042" s="912">
        <f>GLOBAL_DER_FEV_2023!G1042</f>
        <v>0</v>
      </c>
      <c r="H1042" s="901">
        <f>GLOBAL_DER_FEV_2023!H1042</f>
        <v>8.8800000000000008</v>
      </c>
      <c r="I1042" s="901">
        <f>GLOBAL_DER_FEV_2023!I1042</f>
        <v>8.8800000000000008</v>
      </c>
      <c r="J1042" s="902">
        <f>GLOBAL_DER_FEV_2023!J1042</f>
        <v>10.66</v>
      </c>
      <c r="K1042" s="903" t="s">
        <v>62</v>
      </c>
      <c r="L1042" s="1137"/>
      <c r="M1042" s="1138">
        <f t="shared" ref="M1042:M1105" si="77">IF(L1042=0,0,ROUND(J1042,2))</f>
        <v>0</v>
      </c>
      <c r="N1042" s="893">
        <f t="shared" si="76"/>
        <v>0</v>
      </c>
      <c r="O1042" s="905"/>
      <c r="Q1042" s="317" t="str">
        <f t="shared" si="73"/>
        <v/>
      </c>
      <c r="R1042" s="317" t="str">
        <f t="shared" si="74"/>
        <v/>
      </c>
      <c r="S1042" s="317" t="str">
        <f t="shared" si="75"/>
        <v/>
      </c>
      <c r="T1042" s="317" t="str">
        <f>GLOBAL_DER_FEV_2023!S1042</f>
        <v/>
      </c>
      <c r="W1042" s="582">
        <v>0</v>
      </c>
      <c r="X1042" s="580"/>
      <c r="Y1042" s="583">
        <f>IF(GLOBAL_DER_FEV_2023!W1042=0,0,IF(GLOBAL_DER_FEV_2023!W1042&gt;0,"c","b"))</f>
        <v>0</v>
      </c>
    </row>
    <row r="1043" spans="1:25" ht="34.5" hidden="1" thickBot="1" x14ac:dyDescent="0.25">
      <c r="A1043" s="317">
        <v>91845</v>
      </c>
      <c r="B1043" s="895">
        <v>91845</v>
      </c>
      <c r="C1043" s="896" t="s">
        <v>596</v>
      </c>
      <c r="D1043" s="906" t="s">
        <v>973</v>
      </c>
      <c r="E1043" s="907">
        <f>GLOBAL_DER_FEV_2023!E1043</f>
        <v>0</v>
      </c>
      <c r="F1043" s="908">
        <f>GLOBAL_DER_FEV_2023!F1043</f>
        <v>0</v>
      </c>
      <c r="G1043" s="912">
        <f>GLOBAL_DER_FEV_2023!G1043</f>
        <v>0</v>
      </c>
      <c r="H1043" s="901">
        <f>GLOBAL_DER_FEV_2023!H1043</f>
        <v>11.37</v>
      </c>
      <c r="I1043" s="901">
        <f>GLOBAL_DER_FEV_2023!I1043</f>
        <v>11.37</v>
      </c>
      <c r="J1043" s="902">
        <f>GLOBAL_DER_FEV_2023!J1043</f>
        <v>13.65</v>
      </c>
      <c r="K1043" s="903" t="s">
        <v>62</v>
      </c>
      <c r="L1043" s="1137"/>
      <c r="M1043" s="1138">
        <f t="shared" si="77"/>
        <v>0</v>
      </c>
      <c r="N1043" s="893">
        <f t="shared" si="76"/>
        <v>0</v>
      </c>
      <c r="O1043" s="905"/>
      <c r="Q1043" s="317" t="str">
        <f t="shared" si="73"/>
        <v/>
      </c>
      <c r="R1043" s="317" t="str">
        <f t="shared" si="74"/>
        <v/>
      </c>
      <c r="S1043" s="317" t="str">
        <f t="shared" si="75"/>
        <v/>
      </c>
      <c r="T1043" s="317" t="str">
        <f>GLOBAL_DER_FEV_2023!S1043</f>
        <v/>
      </c>
      <c r="W1043" s="582">
        <v>0</v>
      </c>
      <c r="X1043" s="580"/>
      <c r="Y1043" s="583">
        <f>IF(GLOBAL_DER_FEV_2023!W1043=0,0,IF(GLOBAL_DER_FEV_2023!W1043&gt;0,"c","b"))</f>
        <v>0</v>
      </c>
    </row>
    <row r="1044" spans="1:25" ht="34.5" hidden="1" thickBot="1" x14ac:dyDescent="0.25">
      <c r="A1044" s="317">
        <v>91847</v>
      </c>
      <c r="B1044" s="895">
        <v>91847</v>
      </c>
      <c r="C1044" s="896" t="s">
        <v>596</v>
      </c>
      <c r="D1044" s="906" t="s">
        <v>974</v>
      </c>
      <c r="E1044" s="907">
        <f>GLOBAL_DER_FEV_2023!E1044</f>
        <v>0</v>
      </c>
      <c r="F1044" s="908">
        <f>GLOBAL_DER_FEV_2023!F1044</f>
        <v>0</v>
      </c>
      <c r="G1044" s="912">
        <f>GLOBAL_DER_FEV_2023!G1044</f>
        <v>0</v>
      </c>
      <c r="H1044" s="901">
        <f>GLOBAL_DER_FEV_2023!H1044</f>
        <v>18.239999999999998</v>
      </c>
      <c r="I1044" s="901">
        <f>GLOBAL_DER_FEV_2023!I1044</f>
        <v>18.239999999999998</v>
      </c>
      <c r="J1044" s="902">
        <f>GLOBAL_DER_FEV_2023!J1044</f>
        <v>21.9</v>
      </c>
      <c r="K1044" s="903" t="s">
        <v>62</v>
      </c>
      <c r="L1044" s="1137"/>
      <c r="M1044" s="1138">
        <f t="shared" si="77"/>
        <v>0</v>
      </c>
      <c r="N1044" s="893">
        <f t="shared" si="76"/>
        <v>0</v>
      </c>
      <c r="O1044" s="905"/>
      <c r="Q1044" s="317" t="str">
        <f t="shared" si="73"/>
        <v/>
      </c>
      <c r="R1044" s="317" t="str">
        <f t="shared" si="74"/>
        <v/>
      </c>
      <c r="S1044" s="317" t="str">
        <f t="shared" si="75"/>
        <v/>
      </c>
      <c r="T1044" s="317" t="str">
        <f>GLOBAL_DER_FEV_2023!S1044</f>
        <v/>
      </c>
      <c r="W1044" s="582">
        <v>0</v>
      </c>
      <c r="X1044" s="580"/>
      <c r="Y1044" s="583">
        <f>IF(GLOBAL_DER_FEV_2023!W1044=0,0,IF(GLOBAL_DER_FEV_2023!W1044&gt;0,"c","b"))</f>
        <v>0</v>
      </c>
    </row>
    <row r="1045" spans="1:25" ht="34.5" hidden="1" thickBot="1" x14ac:dyDescent="0.25">
      <c r="A1045" s="317">
        <v>91853</v>
      </c>
      <c r="B1045" s="895">
        <v>91853</v>
      </c>
      <c r="C1045" s="896" t="s">
        <v>596</v>
      </c>
      <c r="D1045" s="906" t="s">
        <v>975</v>
      </c>
      <c r="E1045" s="907">
        <f>GLOBAL_DER_FEV_2023!E1045</f>
        <v>0</v>
      </c>
      <c r="F1045" s="908">
        <f>GLOBAL_DER_FEV_2023!F1045</f>
        <v>0</v>
      </c>
      <c r="G1045" s="912">
        <f>GLOBAL_DER_FEV_2023!G1045</f>
        <v>0</v>
      </c>
      <c r="H1045" s="901">
        <f>GLOBAL_DER_FEV_2023!H1045</f>
        <v>11.93</v>
      </c>
      <c r="I1045" s="901">
        <f>GLOBAL_DER_FEV_2023!I1045</f>
        <v>11.93</v>
      </c>
      <c r="J1045" s="902">
        <f>GLOBAL_DER_FEV_2023!J1045</f>
        <v>14.32</v>
      </c>
      <c r="K1045" s="903" t="s">
        <v>62</v>
      </c>
      <c r="L1045" s="1137"/>
      <c r="M1045" s="1138">
        <f t="shared" si="77"/>
        <v>0</v>
      </c>
      <c r="N1045" s="893">
        <f t="shared" si="76"/>
        <v>0</v>
      </c>
      <c r="O1045" s="905"/>
      <c r="Q1045" s="317" t="str">
        <f t="shared" si="73"/>
        <v/>
      </c>
      <c r="R1045" s="317" t="str">
        <f t="shared" si="74"/>
        <v/>
      </c>
      <c r="S1045" s="317" t="str">
        <f t="shared" si="75"/>
        <v/>
      </c>
      <c r="T1045" s="317" t="str">
        <f>GLOBAL_DER_FEV_2023!S1045</f>
        <v/>
      </c>
      <c r="W1045" s="582">
        <v>0</v>
      </c>
      <c r="X1045" s="580"/>
      <c r="Y1045" s="583">
        <f>IF(GLOBAL_DER_FEV_2023!W1045=0,0,IF(GLOBAL_DER_FEV_2023!W1045&gt;0,"c","b"))</f>
        <v>0</v>
      </c>
    </row>
    <row r="1046" spans="1:25" ht="34.5" hidden="1" thickBot="1" x14ac:dyDescent="0.25">
      <c r="A1046" s="317">
        <v>91855</v>
      </c>
      <c r="B1046" s="895">
        <v>91855</v>
      </c>
      <c r="C1046" s="896" t="s">
        <v>596</v>
      </c>
      <c r="D1046" s="906" t="s">
        <v>976</v>
      </c>
      <c r="E1046" s="907">
        <f>GLOBAL_DER_FEV_2023!E1046</f>
        <v>0</v>
      </c>
      <c r="F1046" s="908">
        <f>GLOBAL_DER_FEV_2023!F1046</f>
        <v>0</v>
      </c>
      <c r="G1046" s="912">
        <f>GLOBAL_DER_FEV_2023!G1046</f>
        <v>0</v>
      </c>
      <c r="H1046" s="901">
        <f>GLOBAL_DER_FEV_2023!H1046</f>
        <v>14.29</v>
      </c>
      <c r="I1046" s="901">
        <f>GLOBAL_DER_FEV_2023!I1046</f>
        <v>14.29</v>
      </c>
      <c r="J1046" s="902">
        <f>GLOBAL_DER_FEV_2023!J1046</f>
        <v>17.16</v>
      </c>
      <c r="K1046" s="903" t="s">
        <v>62</v>
      </c>
      <c r="L1046" s="1137"/>
      <c r="M1046" s="1138">
        <f t="shared" si="77"/>
        <v>0</v>
      </c>
      <c r="N1046" s="893">
        <f t="shared" si="76"/>
        <v>0</v>
      </c>
      <c r="O1046" s="905"/>
      <c r="Q1046" s="317" t="str">
        <f t="shared" si="73"/>
        <v/>
      </c>
      <c r="R1046" s="317" t="str">
        <f t="shared" si="74"/>
        <v/>
      </c>
      <c r="S1046" s="317" t="str">
        <f t="shared" si="75"/>
        <v/>
      </c>
      <c r="T1046" s="317" t="str">
        <f>GLOBAL_DER_FEV_2023!S1046</f>
        <v/>
      </c>
      <c r="W1046" s="582">
        <v>0</v>
      </c>
      <c r="X1046" s="580"/>
      <c r="Y1046" s="583">
        <f>IF(GLOBAL_DER_FEV_2023!W1046=0,0,IF(GLOBAL_DER_FEV_2023!W1046&gt;0,"c","b"))</f>
        <v>0</v>
      </c>
    </row>
    <row r="1047" spans="1:25" ht="34.5" hidden="1" thickBot="1" x14ac:dyDescent="0.25">
      <c r="A1047" s="317">
        <v>91857</v>
      </c>
      <c r="B1047" s="895">
        <v>91857</v>
      </c>
      <c r="C1047" s="896" t="s">
        <v>596</v>
      </c>
      <c r="D1047" s="906" t="s">
        <v>977</v>
      </c>
      <c r="E1047" s="907">
        <f>GLOBAL_DER_FEV_2023!E1047</f>
        <v>0</v>
      </c>
      <c r="F1047" s="908">
        <f>GLOBAL_DER_FEV_2023!F1047</f>
        <v>0</v>
      </c>
      <c r="G1047" s="912">
        <f>GLOBAL_DER_FEV_2023!G1047</f>
        <v>0</v>
      </c>
      <c r="H1047" s="901">
        <f>GLOBAL_DER_FEV_2023!H1047</f>
        <v>20.72</v>
      </c>
      <c r="I1047" s="901">
        <f>GLOBAL_DER_FEV_2023!I1047</f>
        <v>20.72</v>
      </c>
      <c r="J1047" s="902">
        <f>GLOBAL_DER_FEV_2023!J1047</f>
        <v>24.88</v>
      </c>
      <c r="K1047" s="903" t="s">
        <v>62</v>
      </c>
      <c r="L1047" s="1137"/>
      <c r="M1047" s="1138">
        <f t="shared" si="77"/>
        <v>0</v>
      </c>
      <c r="N1047" s="893">
        <f t="shared" si="76"/>
        <v>0</v>
      </c>
      <c r="O1047" s="905"/>
      <c r="Q1047" s="317" t="str">
        <f t="shared" si="73"/>
        <v/>
      </c>
      <c r="R1047" s="317" t="str">
        <f t="shared" si="74"/>
        <v/>
      </c>
      <c r="S1047" s="317" t="str">
        <f t="shared" si="75"/>
        <v/>
      </c>
      <c r="T1047" s="317" t="str">
        <f>GLOBAL_DER_FEV_2023!S1047</f>
        <v/>
      </c>
      <c r="W1047" s="582">
        <v>0</v>
      </c>
      <c r="X1047" s="580"/>
      <c r="Y1047" s="583">
        <f>IF(GLOBAL_DER_FEV_2023!W1047=0,0,IF(GLOBAL_DER_FEV_2023!W1047&gt;0,"c","b"))</f>
        <v>0</v>
      </c>
    </row>
    <row r="1048" spans="1:25" ht="23.25" hidden="1" thickBot="1" x14ac:dyDescent="0.25">
      <c r="A1048" s="317">
        <v>91874</v>
      </c>
      <c r="B1048" s="895">
        <v>91874</v>
      </c>
      <c r="C1048" s="896" t="s">
        <v>596</v>
      </c>
      <c r="D1048" s="906" t="s">
        <v>978</v>
      </c>
      <c r="E1048" s="907">
        <f>GLOBAL_DER_FEV_2023!E1048</f>
        <v>0</v>
      </c>
      <c r="F1048" s="908">
        <f>GLOBAL_DER_FEV_2023!F1048</f>
        <v>0</v>
      </c>
      <c r="G1048" s="912">
        <f>GLOBAL_DER_FEV_2023!G1048</f>
        <v>0</v>
      </c>
      <c r="H1048" s="901">
        <f>GLOBAL_DER_FEV_2023!H1048</f>
        <v>6.07</v>
      </c>
      <c r="I1048" s="901">
        <f>GLOBAL_DER_FEV_2023!I1048</f>
        <v>6.07</v>
      </c>
      <c r="J1048" s="902">
        <f>GLOBAL_DER_FEV_2023!J1048</f>
        <v>7.29</v>
      </c>
      <c r="K1048" s="903" t="s">
        <v>1516</v>
      </c>
      <c r="L1048" s="1137"/>
      <c r="M1048" s="1138">
        <f t="shared" si="77"/>
        <v>0</v>
      </c>
      <c r="N1048" s="893">
        <f t="shared" si="76"/>
        <v>0</v>
      </c>
      <c r="O1048" s="905"/>
      <c r="Q1048" s="317" t="str">
        <f t="shared" si="73"/>
        <v/>
      </c>
      <c r="R1048" s="317" t="str">
        <f t="shared" si="74"/>
        <v/>
      </c>
      <c r="S1048" s="317" t="str">
        <f t="shared" si="75"/>
        <v/>
      </c>
      <c r="T1048" s="317" t="str">
        <f>GLOBAL_DER_FEV_2023!S1048</f>
        <v/>
      </c>
      <c r="W1048" s="582">
        <v>0</v>
      </c>
      <c r="X1048" s="580"/>
      <c r="Y1048" s="583">
        <f>IF(GLOBAL_DER_FEV_2023!W1048=0,0,IF(GLOBAL_DER_FEV_2023!W1048&gt;0,"c","b"))</f>
        <v>0</v>
      </c>
    </row>
    <row r="1049" spans="1:25" ht="23.25" hidden="1" thickBot="1" x14ac:dyDescent="0.25">
      <c r="A1049" s="317">
        <v>91875</v>
      </c>
      <c r="B1049" s="895">
        <v>91875</v>
      </c>
      <c r="C1049" s="896" t="s">
        <v>596</v>
      </c>
      <c r="D1049" s="906" t="s">
        <v>979</v>
      </c>
      <c r="E1049" s="907">
        <f>GLOBAL_DER_FEV_2023!E1049</f>
        <v>0</v>
      </c>
      <c r="F1049" s="908">
        <f>GLOBAL_DER_FEV_2023!F1049</f>
        <v>0</v>
      </c>
      <c r="G1049" s="912">
        <f>GLOBAL_DER_FEV_2023!G1049</f>
        <v>0</v>
      </c>
      <c r="H1049" s="901">
        <f>GLOBAL_DER_FEV_2023!H1049</f>
        <v>8.0399999999999991</v>
      </c>
      <c r="I1049" s="901">
        <f>GLOBAL_DER_FEV_2023!I1049</f>
        <v>8.0399999999999991</v>
      </c>
      <c r="J1049" s="902">
        <f>GLOBAL_DER_FEV_2023!J1049</f>
        <v>9.65</v>
      </c>
      <c r="K1049" s="903" t="s">
        <v>1516</v>
      </c>
      <c r="L1049" s="1137"/>
      <c r="M1049" s="1138">
        <f t="shared" si="77"/>
        <v>0</v>
      </c>
      <c r="N1049" s="893">
        <f t="shared" si="76"/>
        <v>0</v>
      </c>
      <c r="O1049" s="905"/>
      <c r="Q1049" s="317" t="str">
        <f t="shared" si="73"/>
        <v/>
      </c>
      <c r="R1049" s="317" t="str">
        <f t="shared" si="74"/>
        <v/>
      </c>
      <c r="S1049" s="317" t="str">
        <f t="shared" si="75"/>
        <v/>
      </c>
      <c r="T1049" s="317" t="str">
        <f>GLOBAL_DER_FEV_2023!S1049</f>
        <v/>
      </c>
      <c r="W1049" s="582">
        <v>0</v>
      </c>
      <c r="X1049" s="580"/>
      <c r="Y1049" s="583">
        <f>IF(GLOBAL_DER_FEV_2023!W1049=0,0,IF(GLOBAL_DER_FEV_2023!W1049&gt;0,"c","b"))</f>
        <v>0</v>
      </c>
    </row>
    <row r="1050" spans="1:25" ht="23.25" hidden="1" thickBot="1" x14ac:dyDescent="0.25">
      <c r="A1050" s="317">
        <v>91876</v>
      </c>
      <c r="B1050" s="895">
        <v>91876</v>
      </c>
      <c r="C1050" s="896" t="s">
        <v>596</v>
      </c>
      <c r="D1050" s="906" t="s">
        <v>980</v>
      </c>
      <c r="E1050" s="907">
        <f>GLOBAL_DER_FEV_2023!E1050</f>
        <v>0</v>
      </c>
      <c r="F1050" s="908">
        <f>GLOBAL_DER_FEV_2023!F1050</f>
        <v>0</v>
      </c>
      <c r="G1050" s="912">
        <f>GLOBAL_DER_FEV_2023!G1050</f>
        <v>0</v>
      </c>
      <c r="H1050" s="901">
        <f>GLOBAL_DER_FEV_2023!H1050</f>
        <v>10.61</v>
      </c>
      <c r="I1050" s="901">
        <f>GLOBAL_DER_FEV_2023!I1050</f>
        <v>10.61</v>
      </c>
      <c r="J1050" s="902">
        <f>GLOBAL_DER_FEV_2023!J1050</f>
        <v>12.74</v>
      </c>
      <c r="K1050" s="903" t="s">
        <v>1516</v>
      </c>
      <c r="L1050" s="1137"/>
      <c r="M1050" s="1138">
        <f t="shared" si="77"/>
        <v>0</v>
      </c>
      <c r="N1050" s="893">
        <f t="shared" si="76"/>
        <v>0</v>
      </c>
      <c r="O1050" s="905"/>
      <c r="Q1050" s="317" t="str">
        <f t="shared" si="73"/>
        <v/>
      </c>
      <c r="R1050" s="317" t="str">
        <f t="shared" si="74"/>
        <v/>
      </c>
      <c r="S1050" s="317" t="str">
        <f t="shared" si="75"/>
        <v/>
      </c>
      <c r="T1050" s="317" t="str">
        <f>GLOBAL_DER_FEV_2023!S1050</f>
        <v/>
      </c>
      <c r="W1050" s="582">
        <v>0</v>
      </c>
      <c r="X1050" s="580"/>
      <c r="Y1050" s="583">
        <f>IF(GLOBAL_DER_FEV_2023!W1050=0,0,IF(GLOBAL_DER_FEV_2023!W1050&gt;0,"c","b"))</f>
        <v>0</v>
      </c>
    </row>
    <row r="1051" spans="1:25" ht="23.25" hidden="1" thickBot="1" x14ac:dyDescent="0.25">
      <c r="A1051" s="317">
        <v>91877</v>
      </c>
      <c r="B1051" s="895">
        <v>91877</v>
      </c>
      <c r="C1051" s="896" t="s">
        <v>596</v>
      </c>
      <c r="D1051" s="906" t="s">
        <v>981</v>
      </c>
      <c r="E1051" s="907">
        <f>GLOBAL_DER_FEV_2023!E1051</f>
        <v>0</v>
      </c>
      <c r="F1051" s="908">
        <f>GLOBAL_DER_FEV_2023!F1051</f>
        <v>0</v>
      </c>
      <c r="G1051" s="912">
        <f>GLOBAL_DER_FEV_2023!G1051</f>
        <v>0</v>
      </c>
      <c r="H1051" s="901">
        <f>GLOBAL_DER_FEV_2023!H1051</f>
        <v>14.08</v>
      </c>
      <c r="I1051" s="901">
        <f>GLOBAL_DER_FEV_2023!I1051</f>
        <v>14.08</v>
      </c>
      <c r="J1051" s="902">
        <f>GLOBAL_DER_FEV_2023!J1051</f>
        <v>16.91</v>
      </c>
      <c r="K1051" s="903" t="s">
        <v>1516</v>
      </c>
      <c r="L1051" s="1137"/>
      <c r="M1051" s="1138">
        <f t="shared" si="77"/>
        <v>0</v>
      </c>
      <c r="N1051" s="893">
        <f t="shared" si="76"/>
        <v>0</v>
      </c>
      <c r="O1051" s="905"/>
      <c r="Q1051" s="317" t="str">
        <f t="shared" ref="Q1051:Q1114" si="78">IF(P1051="X","x",IF(P1051="xx","x",IF(P1051="xy","x",IF(P1051="y","x",IF(OR(N1051&gt;0,N1051&gt;0),"x","")))))</f>
        <v/>
      </c>
      <c r="R1051" s="317" t="str">
        <f t="shared" si="74"/>
        <v/>
      </c>
      <c r="S1051" s="317" t="str">
        <f t="shared" si="75"/>
        <v/>
      </c>
      <c r="T1051" s="317" t="str">
        <f>GLOBAL_DER_FEV_2023!S1051</f>
        <v/>
      </c>
      <c r="W1051" s="582">
        <v>0</v>
      </c>
      <c r="X1051" s="580"/>
      <c r="Y1051" s="583">
        <f>IF(GLOBAL_DER_FEV_2023!W1051=0,0,IF(GLOBAL_DER_FEV_2023!W1051&gt;0,"c","b"))</f>
        <v>0</v>
      </c>
    </row>
    <row r="1052" spans="1:25" ht="23.25" hidden="1" thickBot="1" x14ac:dyDescent="0.25">
      <c r="A1052" s="317">
        <v>91878</v>
      </c>
      <c r="B1052" s="895">
        <v>91878</v>
      </c>
      <c r="C1052" s="896" t="s">
        <v>596</v>
      </c>
      <c r="D1052" s="906" t="s">
        <v>982</v>
      </c>
      <c r="E1052" s="907">
        <f>GLOBAL_DER_FEV_2023!E1052</f>
        <v>0</v>
      </c>
      <c r="F1052" s="908">
        <f>GLOBAL_DER_FEV_2023!F1052</f>
        <v>0</v>
      </c>
      <c r="G1052" s="912">
        <f>GLOBAL_DER_FEV_2023!G1052</f>
        <v>0</v>
      </c>
      <c r="H1052" s="901">
        <f>GLOBAL_DER_FEV_2023!H1052</f>
        <v>7.82</v>
      </c>
      <c r="I1052" s="901">
        <f>GLOBAL_DER_FEV_2023!I1052</f>
        <v>7.82</v>
      </c>
      <c r="J1052" s="902">
        <f>GLOBAL_DER_FEV_2023!J1052</f>
        <v>9.39</v>
      </c>
      <c r="K1052" s="903" t="s">
        <v>1516</v>
      </c>
      <c r="L1052" s="1137"/>
      <c r="M1052" s="1138">
        <f t="shared" si="77"/>
        <v>0</v>
      </c>
      <c r="N1052" s="893">
        <f t="shared" si="76"/>
        <v>0</v>
      </c>
      <c r="O1052" s="905"/>
      <c r="Q1052" s="317" t="str">
        <f t="shared" si="78"/>
        <v/>
      </c>
      <c r="R1052" s="317" t="str">
        <f t="shared" si="74"/>
        <v/>
      </c>
      <c r="S1052" s="317" t="str">
        <f t="shared" si="75"/>
        <v/>
      </c>
      <c r="T1052" s="317" t="str">
        <f>GLOBAL_DER_FEV_2023!S1052</f>
        <v/>
      </c>
      <c r="W1052" s="582">
        <v>0</v>
      </c>
      <c r="X1052" s="580"/>
      <c r="Y1052" s="583">
        <f>IF(GLOBAL_DER_FEV_2023!W1052=0,0,IF(GLOBAL_DER_FEV_2023!W1052&gt;0,"c","b"))</f>
        <v>0</v>
      </c>
    </row>
    <row r="1053" spans="1:25" ht="23.25" hidden="1" thickBot="1" x14ac:dyDescent="0.25">
      <c r="A1053" s="317">
        <v>91879</v>
      </c>
      <c r="B1053" s="895">
        <v>91879</v>
      </c>
      <c r="C1053" s="896" t="s">
        <v>596</v>
      </c>
      <c r="D1053" s="906" t="s">
        <v>983</v>
      </c>
      <c r="E1053" s="907">
        <f>GLOBAL_DER_FEV_2023!E1053</f>
        <v>0</v>
      </c>
      <c r="F1053" s="908">
        <f>GLOBAL_DER_FEV_2023!F1053</f>
        <v>0</v>
      </c>
      <c r="G1053" s="912">
        <f>GLOBAL_DER_FEV_2023!G1053</f>
        <v>0</v>
      </c>
      <c r="H1053" s="901">
        <f>GLOBAL_DER_FEV_2023!H1053</f>
        <v>9.7200000000000006</v>
      </c>
      <c r="I1053" s="901">
        <f>GLOBAL_DER_FEV_2023!I1053</f>
        <v>9.7200000000000006</v>
      </c>
      <c r="J1053" s="902">
        <f>GLOBAL_DER_FEV_2023!J1053</f>
        <v>11.67</v>
      </c>
      <c r="K1053" s="903" t="s">
        <v>1516</v>
      </c>
      <c r="L1053" s="1137"/>
      <c r="M1053" s="1138">
        <f t="shared" si="77"/>
        <v>0</v>
      </c>
      <c r="N1053" s="893">
        <f t="shared" si="76"/>
        <v>0</v>
      </c>
      <c r="O1053" s="905"/>
      <c r="Q1053" s="317" t="str">
        <f t="shared" si="78"/>
        <v/>
      </c>
      <c r="R1053" s="317" t="str">
        <f t="shared" ref="R1053:R1116" si="79">IF(P1053="X","x",IF(P1053="y","x",IF(P1053="xx","x",IF(N1053&gt;0,"x",""))))</f>
        <v/>
      </c>
      <c r="S1053" s="317" t="str">
        <f t="shared" ref="S1053:S1116" si="80">IF(P1053="X","x",IF(N1053&gt;0,"x",""))</f>
        <v/>
      </c>
      <c r="T1053" s="317" t="str">
        <f>GLOBAL_DER_FEV_2023!S1053</f>
        <v/>
      </c>
      <c r="W1053" s="582">
        <v>0</v>
      </c>
      <c r="X1053" s="580"/>
      <c r="Y1053" s="583">
        <f>IF(GLOBAL_DER_FEV_2023!W1053=0,0,IF(GLOBAL_DER_FEV_2023!W1053&gt;0,"c","b"))</f>
        <v>0</v>
      </c>
    </row>
    <row r="1054" spans="1:25" ht="23.25" hidden="1" thickBot="1" x14ac:dyDescent="0.25">
      <c r="A1054" s="317">
        <v>91880</v>
      </c>
      <c r="B1054" s="895">
        <v>91880</v>
      </c>
      <c r="C1054" s="896" t="s">
        <v>596</v>
      </c>
      <c r="D1054" s="906" t="s">
        <v>984</v>
      </c>
      <c r="E1054" s="907">
        <f>GLOBAL_DER_FEV_2023!E1054</f>
        <v>0</v>
      </c>
      <c r="F1054" s="908">
        <f>GLOBAL_DER_FEV_2023!F1054</f>
        <v>0</v>
      </c>
      <c r="G1054" s="912">
        <f>GLOBAL_DER_FEV_2023!G1054</f>
        <v>0</v>
      </c>
      <c r="H1054" s="901">
        <f>GLOBAL_DER_FEV_2023!H1054</f>
        <v>12.34</v>
      </c>
      <c r="I1054" s="901">
        <f>GLOBAL_DER_FEV_2023!I1054</f>
        <v>12.34</v>
      </c>
      <c r="J1054" s="902">
        <f>GLOBAL_DER_FEV_2023!J1054</f>
        <v>14.82</v>
      </c>
      <c r="K1054" s="903" t="s">
        <v>1516</v>
      </c>
      <c r="L1054" s="1137"/>
      <c r="M1054" s="1138">
        <f t="shared" si="77"/>
        <v>0</v>
      </c>
      <c r="N1054" s="893">
        <f t="shared" si="76"/>
        <v>0</v>
      </c>
      <c r="O1054" s="905"/>
      <c r="Q1054" s="317" t="str">
        <f t="shared" si="78"/>
        <v/>
      </c>
      <c r="R1054" s="317" t="str">
        <f t="shared" si="79"/>
        <v/>
      </c>
      <c r="S1054" s="317" t="str">
        <f t="shared" si="80"/>
        <v/>
      </c>
      <c r="T1054" s="317" t="str">
        <f>GLOBAL_DER_FEV_2023!S1054</f>
        <v/>
      </c>
      <c r="W1054" s="582">
        <v>0</v>
      </c>
      <c r="X1054" s="580"/>
      <c r="Y1054" s="583">
        <f>IF(GLOBAL_DER_FEV_2023!W1054=0,0,IF(GLOBAL_DER_FEV_2023!W1054&gt;0,"c","b"))</f>
        <v>0</v>
      </c>
    </row>
    <row r="1055" spans="1:25" ht="23.25" hidden="1" thickBot="1" x14ac:dyDescent="0.25">
      <c r="A1055" s="317">
        <v>91881</v>
      </c>
      <c r="B1055" s="895">
        <v>91881</v>
      </c>
      <c r="C1055" s="896" t="s">
        <v>596</v>
      </c>
      <c r="D1055" s="906" t="s">
        <v>985</v>
      </c>
      <c r="E1055" s="907">
        <f>GLOBAL_DER_FEV_2023!E1055</f>
        <v>0</v>
      </c>
      <c r="F1055" s="908">
        <f>GLOBAL_DER_FEV_2023!F1055</f>
        <v>0</v>
      </c>
      <c r="G1055" s="912">
        <f>GLOBAL_DER_FEV_2023!G1055</f>
        <v>0</v>
      </c>
      <c r="H1055" s="901">
        <f>GLOBAL_DER_FEV_2023!H1055</f>
        <v>15.82</v>
      </c>
      <c r="I1055" s="901">
        <f>GLOBAL_DER_FEV_2023!I1055</f>
        <v>15.82</v>
      </c>
      <c r="J1055" s="902">
        <f>GLOBAL_DER_FEV_2023!J1055</f>
        <v>19</v>
      </c>
      <c r="K1055" s="903" t="s">
        <v>1516</v>
      </c>
      <c r="L1055" s="1137"/>
      <c r="M1055" s="1138">
        <f t="shared" si="77"/>
        <v>0</v>
      </c>
      <c r="N1055" s="893">
        <f t="shared" si="76"/>
        <v>0</v>
      </c>
      <c r="O1055" s="905"/>
      <c r="Q1055" s="317" t="str">
        <f t="shared" si="78"/>
        <v/>
      </c>
      <c r="R1055" s="317" t="str">
        <f t="shared" si="79"/>
        <v/>
      </c>
      <c r="S1055" s="317" t="str">
        <f t="shared" si="80"/>
        <v/>
      </c>
      <c r="T1055" s="317" t="str">
        <f>GLOBAL_DER_FEV_2023!S1055</f>
        <v/>
      </c>
      <c r="W1055" s="582">
        <v>0</v>
      </c>
      <c r="X1055" s="580"/>
      <c r="Y1055" s="583">
        <f>IF(GLOBAL_DER_FEV_2023!W1055=0,0,IF(GLOBAL_DER_FEV_2023!W1055&gt;0,"c","b"))</f>
        <v>0</v>
      </c>
    </row>
    <row r="1056" spans="1:25" ht="23.25" hidden="1" thickBot="1" x14ac:dyDescent="0.25">
      <c r="A1056" s="317">
        <v>91882</v>
      </c>
      <c r="B1056" s="895">
        <v>91882</v>
      </c>
      <c r="C1056" s="896" t="s">
        <v>596</v>
      </c>
      <c r="D1056" s="906" t="s">
        <v>986</v>
      </c>
      <c r="E1056" s="907">
        <f>GLOBAL_DER_FEV_2023!E1056</f>
        <v>0</v>
      </c>
      <c r="F1056" s="908">
        <f>GLOBAL_DER_FEV_2023!F1056</f>
        <v>0</v>
      </c>
      <c r="G1056" s="912">
        <f>GLOBAL_DER_FEV_2023!G1056</f>
        <v>0</v>
      </c>
      <c r="H1056" s="901">
        <f>GLOBAL_DER_FEV_2023!H1056</f>
        <v>9.67</v>
      </c>
      <c r="I1056" s="901">
        <f>GLOBAL_DER_FEV_2023!I1056</f>
        <v>9.67</v>
      </c>
      <c r="J1056" s="902">
        <f>GLOBAL_DER_FEV_2023!J1056</f>
        <v>11.61</v>
      </c>
      <c r="K1056" s="903" t="s">
        <v>1516</v>
      </c>
      <c r="L1056" s="1137"/>
      <c r="M1056" s="1138">
        <f t="shared" si="77"/>
        <v>0</v>
      </c>
      <c r="N1056" s="893">
        <f t="shared" si="76"/>
        <v>0</v>
      </c>
      <c r="O1056" s="905"/>
      <c r="Q1056" s="317" t="str">
        <f t="shared" si="78"/>
        <v/>
      </c>
      <c r="R1056" s="317" t="str">
        <f t="shared" si="79"/>
        <v/>
      </c>
      <c r="S1056" s="317" t="str">
        <f t="shared" si="80"/>
        <v/>
      </c>
      <c r="T1056" s="317" t="str">
        <f>GLOBAL_DER_FEV_2023!S1056</f>
        <v/>
      </c>
      <c r="W1056" s="582">
        <v>0</v>
      </c>
      <c r="X1056" s="580"/>
      <c r="Y1056" s="583">
        <f>IF(GLOBAL_DER_FEV_2023!W1056=0,0,IF(GLOBAL_DER_FEV_2023!W1056&gt;0,"c","b"))</f>
        <v>0</v>
      </c>
    </row>
    <row r="1057" spans="1:25" ht="23.25" hidden="1" thickBot="1" x14ac:dyDescent="0.25">
      <c r="A1057" s="317">
        <v>91884</v>
      </c>
      <c r="B1057" s="895">
        <v>91884</v>
      </c>
      <c r="C1057" s="896" t="s">
        <v>596</v>
      </c>
      <c r="D1057" s="906" t="s">
        <v>987</v>
      </c>
      <c r="E1057" s="907">
        <f>GLOBAL_DER_FEV_2023!E1057</f>
        <v>0</v>
      </c>
      <c r="F1057" s="908">
        <f>GLOBAL_DER_FEV_2023!F1057</f>
        <v>0</v>
      </c>
      <c r="G1057" s="912">
        <f>GLOBAL_DER_FEV_2023!G1057</f>
        <v>0</v>
      </c>
      <c r="H1057" s="901">
        <f>GLOBAL_DER_FEV_2023!H1057</f>
        <v>11.16</v>
      </c>
      <c r="I1057" s="901">
        <f>GLOBAL_DER_FEV_2023!I1057</f>
        <v>11.16</v>
      </c>
      <c r="J1057" s="902">
        <f>GLOBAL_DER_FEV_2023!J1057</f>
        <v>13.4</v>
      </c>
      <c r="K1057" s="903" t="s">
        <v>1516</v>
      </c>
      <c r="L1057" s="1137"/>
      <c r="M1057" s="1138">
        <f t="shared" si="77"/>
        <v>0</v>
      </c>
      <c r="N1057" s="893">
        <f t="shared" ref="N1057:N1120" si="81">IF(ISBLANK(L1057),0,IF(W1057=0,ROUND(L1057*M1057,2),IF(W1057="b",ROUNDDOWN(L1057*M1057,2),ROUNDUP(L1057*M1057,2))))</f>
        <v>0</v>
      </c>
      <c r="O1057" s="905"/>
      <c r="Q1057" s="317" t="str">
        <f t="shared" si="78"/>
        <v/>
      </c>
      <c r="R1057" s="317" t="str">
        <f t="shared" si="79"/>
        <v/>
      </c>
      <c r="S1057" s="317" t="str">
        <f t="shared" si="80"/>
        <v/>
      </c>
      <c r="T1057" s="317" t="str">
        <f>GLOBAL_DER_FEV_2023!S1057</f>
        <v/>
      </c>
      <c r="W1057" s="582">
        <v>0</v>
      </c>
      <c r="X1057" s="580"/>
      <c r="Y1057" s="583">
        <f>IF(GLOBAL_DER_FEV_2023!W1057=0,0,IF(GLOBAL_DER_FEV_2023!W1057&gt;0,"c","b"))</f>
        <v>0</v>
      </c>
    </row>
    <row r="1058" spans="1:25" ht="23.25" hidden="1" thickBot="1" x14ac:dyDescent="0.25">
      <c r="A1058" s="317">
        <v>91885</v>
      </c>
      <c r="B1058" s="895">
        <v>91885</v>
      </c>
      <c r="C1058" s="896" t="s">
        <v>596</v>
      </c>
      <c r="D1058" s="906" t="s">
        <v>988</v>
      </c>
      <c r="E1058" s="907">
        <f>GLOBAL_DER_FEV_2023!E1058</f>
        <v>0</v>
      </c>
      <c r="F1058" s="908">
        <f>GLOBAL_DER_FEV_2023!F1058</f>
        <v>0</v>
      </c>
      <c r="G1058" s="912">
        <f>GLOBAL_DER_FEV_2023!G1058</f>
        <v>0</v>
      </c>
      <c r="H1058" s="901">
        <f>GLOBAL_DER_FEV_2023!H1058</f>
        <v>13.18</v>
      </c>
      <c r="I1058" s="901">
        <f>GLOBAL_DER_FEV_2023!I1058</f>
        <v>13.18</v>
      </c>
      <c r="J1058" s="902">
        <f>GLOBAL_DER_FEV_2023!J1058</f>
        <v>15.83</v>
      </c>
      <c r="K1058" s="903" t="s">
        <v>1516</v>
      </c>
      <c r="L1058" s="1137"/>
      <c r="M1058" s="1138">
        <f t="shared" si="77"/>
        <v>0</v>
      </c>
      <c r="N1058" s="893">
        <f t="shared" si="81"/>
        <v>0</v>
      </c>
      <c r="O1058" s="905"/>
      <c r="Q1058" s="317" t="str">
        <f t="shared" si="78"/>
        <v/>
      </c>
      <c r="R1058" s="317" t="str">
        <f t="shared" si="79"/>
        <v/>
      </c>
      <c r="S1058" s="317" t="str">
        <f t="shared" si="80"/>
        <v/>
      </c>
      <c r="T1058" s="317" t="str">
        <f>GLOBAL_DER_FEV_2023!S1058</f>
        <v/>
      </c>
      <c r="W1058" s="582">
        <v>0</v>
      </c>
      <c r="X1058" s="580"/>
      <c r="Y1058" s="583">
        <f>IF(GLOBAL_DER_FEV_2023!W1058=0,0,IF(GLOBAL_DER_FEV_2023!W1058&gt;0,"c","b"))</f>
        <v>0</v>
      </c>
    </row>
    <row r="1059" spans="1:25" ht="23.25" hidden="1" thickBot="1" x14ac:dyDescent="0.25">
      <c r="A1059" s="317">
        <v>91886</v>
      </c>
      <c r="B1059" s="895">
        <v>91886</v>
      </c>
      <c r="C1059" s="896" t="s">
        <v>596</v>
      </c>
      <c r="D1059" s="906" t="s">
        <v>989</v>
      </c>
      <c r="E1059" s="907">
        <f>GLOBAL_DER_FEV_2023!E1059</f>
        <v>0</v>
      </c>
      <c r="F1059" s="908">
        <f>GLOBAL_DER_FEV_2023!F1059</f>
        <v>0</v>
      </c>
      <c r="G1059" s="912">
        <f>GLOBAL_DER_FEV_2023!G1059</f>
        <v>0</v>
      </c>
      <c r="H1059" s="901">
        <f>GLOBAL_DER_FEV_2023!H1059</f>
        <v>16</v>
      </c>
      <c r="I1059" s="901">
        <f>GLOBAL_DER_FEV_2023!I1059</f>
        <v>16</v>
      </c>
      <c r="J1059" s="902">
        <f>GLOBAL_DER_FEV_2023!J1059</f>
        <v>19.21</v>
      </c>
      <c r="K1059" s="903" t="s">
        <v>1516</v>
      </c>
      <c r="L1059" s="1137"/>
      <c r="M1059" s="1138">
        <f t="shared" si="77"/>
        <v>0</v>
      </c>
      <c r="N1059" s="893">
        <f t="shared" si="81"/>
        <v>0</v>
      </c>
      <c r="O1059" s="905"/>
      <c r="Q1059" s="317" t="str">
        <f t="shared" si="78"/>
        <v/>
      </c>
      <c r="R1059" s="317" t="str">
        <f t="shared" si="79"/>
        <v/>
      </c>
      <c r="S1059" s="317" t="str">
        <f t="shared" si="80"/>
        <v/>
      </c>
      <c r="T1059" s="317" t="str">
        <f>GLOBAL_DER_FEV_2023!S1059</f>
        <v/>
      </c>
      <c r="W1059" s="582">
        <v>0</v>
      </c>
      <c r="X1059" s="580"/>
      <c r="Y1059" s="583">
        <f>IF(GLOBAL_DER_FEV_2023!W1059=0,0,IF(GLOBAL_DER_FEV_2023!W1059&gt;0,"c","b"))</f>
        <v>0</v>
      </c>
    </row>
    <row r="1060" spans="1:25" ht="34.5" hidden="1" thickBot="1" x14ac:dyDescent="0.25">
      <c r="A1060" s="317">
        <v>91887</v>
      </c>
      <c r="B1060" s="895">
        <v>91887</v>
      </c>
      <c r="C1060" s="896" t="s">
        <v>596</v>
      </c>
      <c r="D1060" s="906" t="s">
        <v>990</v>
      </c>
      <c r="E1060" s="907">
        <f>GLOBAL_DER_FEV_2023!E1060</f>
        <v>0</v>
      </c>
      <c r="F1060" s="908">
        <f>GLOBAL_DER_FEV_2023!F1060</f>
        <v>0</v>
      </c>
      <c r="G1060" s="912">
        <f>GLOBAL_DER_FEV_2023!G1060</f>
        <v>0</v>
      </c>
      <c r="H1060" s="901">
        <f>GLOBAL_DER_FEV_2023!H1060</f>
        <v>11.2</v>
      </c>
      <c r="I1060" s="901">
        <f>GLOBAL_DER_FEV_2023!I1060</f>
        <v>11.2</v>
      </c>
      <c r="J1060" s="902">
        <f>GLOBAL_DER_FEV_2023!J1060</f>
        <v>13.45</v>
      </c>
      <c r="K1060" s="903" t="s">
        <v>1516</v>
      </c>
      <c r="L1060" s="1137"/>
      <c r="M1060" s="1138">
        <f t="shared" si="77"/>
        <v>0</v>
      </c>
      <c r="N1060" s="893">
        <f t="shared" si="81"/>
        <v>0</v>
      </c>
      <c r="O1060" s="905"/>
      <c r="Q1060" s="317" t="str">
        <f t="shared" si="78"/>
        <v/>
      </c>
      <c r="R1060" s="317" t="str">
        <f t="shared" si="79"/>
        <v/>
      </c>
      <c r="S1060" s="317" t="str">
        <f t="shared" si="80"/>
        <v/>
      </c>
      <c r="T1060" s="317" t="str">
        <f>GLOBAL_DER_FEV_2023!S1060</f>
        <v/>
      </c>
      <c r="W1060" s="582">
        <v>0</v>
      </c>
      <c r="X1060" s="580"/>
      <c r="Y1060" s="583">
        <f>IF(GLOBAL_DER_FEV_2023!W1060=0,0,IF(GLOBAL_DER_FEV_2023!W1060&gt;0,"c","b"))</f>
        <v>0</v>
      </c>
    </row>
    <row r="1061" spans="1:25" ht="34.5" hidden="1" thickBot="1" x14ac:dyDescent="0.25">
      <c r="A1061" s="317">
        <v>91889</v>
      </c>
      <c r="B1061" s="895">
        <v>91889</v>
      </c>
      <c r="C1061" s="896" t="s">
        <v>596</v>
      </c>
      <c r="D1061" s="906" t="s">
        <v>991</v>
      </c>
      <c r="E1061" s="907">
        <f>GLOBAL_DER_FEV_2023!E1061</f>
        <v>0</v>
      </c>
      <c r="F1061" s="908">
        <f>GLOBAL_DER_FEV_2023!F1061</f>
        <v>0</v>
      </c>
      <c r="G1061" s="912">
        <f>GLOBAL_DER_FEV_2023!G1061</f>
        <v>0</v>
      </c>
      <c r="H1061" s="901">
        <f>GLOBAL_DER_FEV_2023!H1061</f>
        <v>10.8</v>
      </c>
      <c r="I1061" s="901">
        <f>GLOBAL_DER_FEV_2023!I1061</f>
        <v>10.8</v>
      </c>
      <c r="J1061" s="902">
        <f>GLOBAL_DER_FEV_2023!J1061</f>
        <v>12.97</v>
      </c>
      <c r="K1061" s="903" t="s">
        <v>1516</v>
      </c>
      <c r="L1061" s="1137"/>
      <c r="M1061" s="1138">
        <f t="shared" si="77"/>
        <v>0</v>
      </c>
      <c r="N1061" s="893">
        <f t="shared" si="81"/>
        <v>0</v>
      </c>
      <c r="O1061" s="905"/>
      <c r="Q1061" s="317" t="str">
        <f t="shared" si="78"/>
        <v/>
      </c>
      <c r="R1061" s="317" t="str">
        <f t="shared" si="79"/>
        <v/>
      </c>
      <c r="S1061" s="317" t="str">
        <f t="shared" si="80"/>
        <v/>
      </c>
      <c r="T1061" s="317" t="str">
        <f>GLOBAL_DER_FEV_2023!S1061</f>
        <v/>
      </c>
      <c r="W1061" s="582">
        <v>0</v>
      </c>
      <c r="X1061" s="580"/>
      <c r="Y1061" s="583">
        <f>IF(GLOBAL_DER_FEV_2023!W1061=0,0,IF(GLOBAL_DER_FEV_2023!W1061&gt;0,"c","b"))</f>
        <v>0</v>
      </c>
    </row>
    <row r="1062" spans="1:25" ht="34.5" hidden="1" thickBot="1" x14ac:dyDescent="0.25">
      <c r="A1062" s="317">
        <v>91890</v>
      </c>
      <c r="B1062" s="895">
        <v>91890</v>
      </c>
      <c r="C1062" s="896" t="s">
        <v>596</v>
      </c>
      <c r="D1062" s="906" t="s">
        <v>992</v>
      </c>
      <c r="E1062" s="907">
        <f>GLOBAL_DER_FEV_2023!E1062</f>
        <v>0</v>
      </c>
      <c r="F1062" s="908">
        <f>GLOBAL_DER_FEV_2023!F1062</f>
        <v>0</v>
      </c>
      <c r="G1062" s="912">
        <f>GLOBAL_DER_FEV_2023!G1062</f>
        <v>0</v>
      </c>
      <c r="H1062" s="901">
        <f>GLOBAL_DER_FEV_2023!H1062</f>
        <v>13.35</v>
      </c>
      <c r="I1062" s="901">
        <f>GLOBAL_DER_FEV_2023!I1062</f>
        <v>13.35</v>
      </c>
      <c r="J1062" s="902">
        <f>GLOBAL_DER_FEV_2023!J1062</f>
        <v>16.03</v>
      </c>
      <c r="K1062" s="903" t="s">
        <v>1516</v>
      </c>
      <c r="L1062" s="1137"/>
      <c r="M1062" s="1138">
        <f t="shared" si="77"/>
        <v>0</v>
      </c>
      <c r="N1062" s="893">
        <f t="shared" si="81"/>
        <v>0</v>
      </c>
      <c r="O1062" s="905"/>
      <c r="Q1062" s="317" t="str">
        <f t="shared" si="78"/>
        <v/>
      </c>
      <c r="R1062" s="317" t="str">
        <f t="shared" si="79"/>
        <v/>
      </c>
      <c r="S1062" s="317" t="str">
        <f t="shared" si="80"/>
        <v/>
      </c>
      <c r="T1062" s="317" t="str">
        <f>GLOBAL_DER_FEV_2023!S1062</f>
        <v/>
      </c>
      <c r="W1062" s="582">
        <v>0</v>
      </c>
      <c r="X1062" s="580"/>
      <c r="Y1062" s="583">
        <f>IF(GLOBAL_DER_FEV_2023!W1062=0,0,IF(GLOBAL_DER_FEV_2023!W1062&gt;0,"c","b"))</f>
        <v>0</v>
      </c>
    </row>
    <row r="1063" spans="1:25" ht="34.5" hidden="1" thickBot="1" x14ac:dyDescent="0.25">
      <c r="A1063" s="317">
        <v>91892</v>
      </c>
      <c r="B1063" s="895">
        <v>91892</v>
      </c>
      <c r="C1063" s="896" t="s">
        <v>596</v>
      </c>
      <c r="D1063" s="906" t="s">
        <v>993</v>
      </c>
      <c r="E1063" s="907">
        <f>GLOBAL_DER_FEV_2023!E1063</f>
        <v>0</v>
      </c>
      <c r="F1063" s="908">
        <f>GLOBAL_DER_FEV_2023!F1063</f>
        <v>0</v>
      </c>
      <c r="G1063" s="912">
        <f>GLOBAL_DER_FEV_2023!G1063</f>
        <v>0</v>
      </c>
      <c r="H1063" s="901">
        <f>GLOBAL_DER_FEV_2023!H1063</f>
        <v>16.04</v>
      </c>
      <c r="I1063" s="901">
        <f>GLOBAL_DER_FEV_2023!I1063</f>
        <v>16.04</v>
      </c>
      <c r="J1063" s="902">
        <f>GLOBAL_DER_FEV_2023!J1063</f>
        <v>19.260000000000002</v>
      </c>
      <c r="K1063" s="903" t="s">
        <v>1516</v>
      </c>
      <c r="L1063" s="1137"/>
      <c r="M1063" s="1138">
        <f t="shared" si="77"/>
        <v>0</v>
      </c>
      <c r="N1063" s="893">
        <f t="shared" si="81"/>
        <v>0</v>
      </c>
      <c r="O1063" s="905"/>
      <c r="Q1063" s="317" t="str">
        <f t="shared" si="78"/>
        <v/>
      </c>
      <c r="R1063" s="317" t="str">
        <f t="shared" si="79"/>
        <v/>
      </c>
      <c r="S1063" s="317" t="str">
        <f t="shared" si="80"/>
        <v/>
      </c>
      <c r="T1063" s="317" t="str">
        <f>GLOBAL_DER_FEV_2023!S1063</f>
        <v/>
      </c>
      <c r="W1063" s="582">
        <v>0</v>
      </c>
      <c r="X1063" s="580"/>
      <c r="Y1063" s="583">
        <f>IF(GLOBAL_DER_FEV_2023!W1063=0,0,IF(GLOBAL_DER_FEV_2023!W1063&gt;0,"c","b"))</f>
        <v>0</v>
      </c>
    </row>
    <row r="1064" spans="1:25" ht="34.5" hidden="1" thickBot="1" x14ac:dyDescent="0.25">
      <c r="A1064" s="317">
        <v>91893</v>
      </c>
      <c r="B1064" s="895">
        <v>91893</v>
      </c>
      <c r="C1064" s="896" t="s">
        <v>596</v>
      </c>
      <c r="D1064" s="906" t="s">
        <v>994</v>
      </c>
      <c r="E1064" s="907">
        <f>GLOBAL_DER_FEV_2023!E1064</f>
        <v>0</v>
      </c>
      <c r="F1064" s="908">
        <f>GLOBAL_DER_FEV_2023!F1064</f>
        <v>0</v>
      </c>
      <c r="G1064" s="912">
        <f>GLOBAL_DER_FEV_2023!G1064</f>
        <v>0</v>
      </c>
      <c r="H1064" s="901">
        <f>GLOBAL_DER_FEV_2023!H1064</f>
        <v>18.22</v>
      </c>
      <c r="I1064" s="901">
        <f>GLOBAL_DER_FEV_2023!I1064</f>
        <v>18.22</v>
      </c>
      <c r="J1064" s="902">
        <f>GLOBAL_DER_FEV_2023!J1064</f>
        <v>21.88</v>
      </c>
      <c r="K1064" s="903" t="s">
        <v>1516</v>
      </c>
      <c r="L1064" s="1137"/>
      <c r="M1064" s="1138">
        <f t="shared" si="77"/>
        <v>0</v>
      </c>
      <c r="N1064" s="893">
        <f t="shared" si="81"/>
        <v>0</v>
      </c>
      <c r="O1064" s="905"/>
      <c r="Q1064" s="317" t="str">
        <f t="shared" si="78"/>
        <v/>
      </c>
      <c r="R1064" s="317" t="str">
        <f t="shared" si="79"/>
        <v/>
      </c>
      <c r="S1064" s="317" t="str">
        <f t="shared" si="80"/>
        <v/>
      </c>
      <c r="T1064" s="317" t="str">
        <f>GLOBAL_DER_FEV_2023!S1064</f>
        <v/>
      </c>
      <c r="W1064" s="582">
        <v>0</v>
      </c>
      <c r="X1064" s="580"/>
      <c r="Y1064" s="583">
        <f>IF(GLOBAL_DER_FEV_2023!W1064=0,0,IF(GLOBAL_DER_FEV_2023!W1064&gt;0,"c","b"))</f>
        <v>0</v>
      </c>
    </row>
    <row r="1065" spans="1:25" ht="34.5" hidden="1" thickBot="1" x14ac:dyDescent="0.25">
      <c r="A1065" s="317">
        <v>91896</v>
      </c>
      <c r="B1065" s="895">
        <v>91896</v>
      </c>
      <c r="C1065" s="896" t="s">
        <v>596</v>
      </c>
      <c r="D1065" s="906" t="s">
        <v>995</v>
      </c>
      <c r="E1065" s="907">
        <f>GLOBAL_DER_FEV_2023!E1065</f>
        <v>0</v>
      </c>
      <c r="F1065" s="908">
        <f>GLOBAL_DER_FEV_2023!F1065</f>
        <v>0</v>
      </c>
      <c r="G1065" s="912">
        <f>GLOBAL_DER_FEV_2023!G1065</f>
        <v>0</v>
      </c>
      <c r="H1065" s="901">
        <f>GLOBAL_DER_FEV_2023!H1065</f>
        <v>22.26</v>
      </c>
      <c r="I1065" s="901">
        <f>GLOBAL_DER_FEV_2023!I1065</f>
        <v>22.26</v>
      </c>
      <c r="J1065" s="902">
        <f>GLOBAL_DER_FEV_2023!J1065</f>
        <v>26.73</v>
      </c>
      <c r="K1065" s="903" t="s">
        <v>1516</v>
      </c>
      <c r="L1065" s="1137"/>
      <c r="M1065" s="1138">
        <f t="shared" si="77"/>
        <v>0</v>
      </c>
      <c r="N1065" s="893">
        <f t="shared" si="81"/>
        <v>0</v>
      </c>
      <c r="O1065" s="905"/>
      <c r="Q1065" s="317" t="str">
        <f t="shared" si="78"/>
        <v/>
      </c>
      <c r="R1065" s="317" t="str">
        <f t="shared" si="79"/>
        <v/>
      </c>
      <c r="S1065" s="317" t="str">
        <f t="shared" si="80"/>
        <v/>
      </c>
      <c r="T1065" s="317" t="str">
        <f>GLOBAL_DER_FEV_2023!S1065</f>
        <v/>
      </c>
      <c r="W1065" s="582">
        <v>0</v>
      </c>
      <c r="X1065" s="580"/>
      <c r="Y1065" s="583">
        <f>IF(GLOBAL_DER_FEV_2023!W1065=0,0,IF(GLOBAL_DER_FEV_2023!W1065&gt;0,"c","b"))</f>
        <v>0</v>
      </c>
    </row>
    <row r="1066" spans="1:25" ht="34.5" hidden="1" thickBot="1" x14ac:dyDescent="0.25">
      <c r="A1066" s="317">
        <v>91898</v>
      </c>
      <c r="B1066" s="895">
        <v>91898</v>
      </c>
      <c r="C1066" s="896" t="s">
        <v>596</v>
      </c>
      <c r="D1066" s="906" t="s">
        <v>996</v>
      </c>
      <c r="E1066" s="907">
        <f>GLOBAL_DER_FEV_2023!E1066</f>
        <v>0</v>
      </c>
      <c r="F1066" s="908">
        <f>GLOBAL_DER_FEV_2023!F1066</f>
        <v>0</v>
      </c>
      <c r="G1066" s="912">
        <f>GLOBAL_DER_FEV_2023!G1066</f>
        <v>0</v>
      </c>
      <c r="H1066" s="901">
        <f>GLOBAL_DER_FEV_2023!H1066</f>
        <v>25.18</v>
      </c>
      <c r="I1066" s="901">
        <f>GLOBAL_DER_FEV_2023!I1066</f>
        <v>25.18</v>
      </c>
      <c r="J1066" s="902">
        <f>GLOBAL_DER_FEV_2023!J1066</f>
        <v>30.23</v>
      </c>
      <c r="K1066" s="903" t="s">
        <v>1516</v>
      </c>
      <c r="L1066" s="1137"/>
      <c r="M1066" s="1138">
        <f t="shared" si="77"/>
        <v>0</v>
      </c>
      <c r="N1066" s="893">
        <f t="shared" si="81"/>
        <v>0</v>
      </c>
      <c r="O1066" s="905"/>
      <c r="Q1066" s="317" t="str">
        <f t="shared" si="78"/>
        <v/>
      </c>
      <c r="R1066" s="317" t="str">
        <f t="shared" si="79"/>
        <v/>
      </c>
      <c r="S1066" s="317" t="str">
        <f t="shared" si="80"/>
        <v/>
      </c>
      <c r="T1066" s="317" t="str">
        <f>GLOBAL_DER_FEV_2023!S1066</f>
        <v/>
      </c>
      <c r="W1066" s="582">
        <v>0</v>
      </c>
      <c r="X1066" s="580"/>
      <c r="Y1066" s="583">
        <f>IF(GLOBAL_DER_FEV_2023!W1066=0,0,IF(GLOBAL_DER_FEV_2023!W1066&gt;0,"c","b"))</f>
        <v>0</v>
      </c>
    </row>
    <row r="1067" spans="1:25" ht="34.5" hidden="1" thickBot="1" x14ac:dyDescent="0.25">
      <c r="A1067" s="317">
        <v>91899</v>
      </c>
      <c r="B1067" s="895">
        <v>91899</v>
      </c>
      <c r="C1067" s="896" t="s">
        <v>596</v>
      </c>
      <c r="D1067" s="906" t="s">
        <v>997</v>
      </c>
      <c r="E1067" s="907">
        <f>GLOBAL_DER_FEV_2023!E1067</f>
        <v>0</v>
      </c>
      <c r="F1067" s="908">
        <f>GLOBAL_DER_FEV_2023!F1067</f>
        <v>0</v>
      </c>
      <c r="G1067" s="912">
        <f>GLOBAL_DER_FEV_2023!G1067</f>
        <v>0</v>
      </c>
      <c r="H1067" s="901">
        <f>GLOBAL_DER_FEV_2023!H1067</f>
        <v>13.72</v>
      </c>
      <c r="I1067" s="901">
        <f>GLOBAL_DER_FEV_2023!I1067</f>
        <v>13.72</v>
      </c>
      <c r="J1067" s="902">
        <f>GLOBAL_DER_FEV_2023!J1067</f>
        <v>16.47</v>
      </c>
      <c r="K1067" s="903" t="s">
        <v>1516</v>
      </c>
      <c r="L1067" s="1137"/>
      <c r="M1067" s="1138">
        <f t="shared" si="77"/>
        <v>0</v>
      </c>
      <c r="N1067" s="893">
        <f t="shared" si="81"/>
        <v>0</v>
      </c>
      <c r="O1067" s="905"/>
      <c r="Q1067" s="317" t="str">
        <f t="shared" si="78"/>
        <v/>
      </c>
      <c r="R1067" s="317" t="str">
        <f t="shared" si="79"/>
        <v/>
      </c>
      <c r="S1067" s="317" t="str">
        <f t="shared" si="80"/>
        <v/>
      </c>
      <c r="T1067" s="317" t="str">
        <f>GLOBAL_DER_FEV_2023!S1067</f>
        <v/>
      </c>
      <c r="W1067" s="582">
        <v>0</v>
      </c>
      <c r="X1067" s="580"/>
      <c r="Y1067" s="583">
        <f>IF(GLOBAL_DER_FEV_2023!W1067=0,0,IF(GLOBAL_DER_FEV_2023!W1067&gt;0,"c","b"))</f>
        <v>0</v>
      </c>
    </row>
    <row r="1068" spans="1:25" ht="34.5" hidden="1" thickBot="1" x14ac:dyDescent="0.25">
      <c r="A1068" s="317">
        <v>91901</v>
      </c>
      <c r="B1068" s="895">
        <v>91901</v>
      </c>
      <c r="C1068" s="896" t="s">
        <v>596</v>
      </c>
      <c r="D1068" s="906" t="s">
        <v>998</v>
      </c>
      <c r="E1068" s="907">
        <f>GLOBAL_DER_FEV_2023!E1068</f>
        <v>0</v>
      </c>
      <c r="F1068" s="908">
        <f>GLOBAL_DER_FEV_2023!F1068</f>
        <v>0</v>
      </c>
      <c r="G1068" s="912">
        <f>GLOBAL_DER_FEV_2023!G1068</f>
        <v>0</v>
      </c>
      <c r="H1068" s="901">
        <f>GLOBAL_DER_FEV_2023!H1068</f>
        <v>13.32</v>
      </c>
      <c r="I1068" s="901">
        <f>GLOBAL_DER_FEV_2023!I1068</f>
        <v>13.32</v>
      </c>
      <c r="J1068" s="902">
        <f>GLOBAL_DER_FEV_2023!J1068</f>
        <v>15.99</v>
      </c>
      <c r="K1068" s="903" t="s">
        <v>1516</v>
      </c>
      <c r="L1068" s="1137"/>
      <c r="M1068" s="1138">
        <f t="shared" si="77"/>
        <v>0</v>
      </c>
      <c r="N1068" s="893">
        <f t="shared" si="81"/>
        <v>0</v>
      </c>
      <c r="O1068" s="905"/>
      <c r="Q1068" s="317" t="str">
        <f t="shared" si="78"/>
        <v/>
      </c>
      <c r="R1068" s="317" t="str">
        <f t="shared" si="79"/>
        <v/>
      </c>
      <c r="S1068" s="317" t="str">
        <f t="shared" si="80"/>
        <v/>
      </c>
      <c r="T1068" s="317" t="str">
        <f>GLOBAL_DER_FEV_2023!S1068</f>
        <v/>
      </c>
      <c r="W1068" s="582">
        <v>0</v>
      </c>
      <c r="X1068" s="580"/>
      <c r="Y1068" s="583">
        <f>IF(GLOBAL_DER_FEV_2023!W1068=0,0,IF(GLOBAL_DER_FEV_2023!W1068&gt;0,"c","b"))</f>
        <v>0</v>
      </c>
    </row>
    <row r="1069" spans="1:25" ht="34.5" hidden="1" thickBot="1" x14ac:dyDescent="0.25">
      <c r="A1069" s="317">
        <v>91902</v>
      </c>
      <c r="B1069" s="895">
        <v>91902</v>
      </c>
      <c r="C1069" s="896" t="s">
        <v>596</v>
      </c>
      <c r="D1069" s="906" t="s">
        <v>999</v>
      </c>
      <c r="E1069" s="907">
        <f>GLOBAL_DER_FEV_2023!E1069</f>
        <v>0</v>
      </c>
      <c r="F1069" s="908">
        <f>GLOBAL_DER_FEV_2023!F1069</f>
        <v>0</v>
      </c>
      <c r="G1069" s="912">
        <f>GLOBAL_DER_FEV_2023!G1069</f>
        <v>0</v>
      </c>
      <c r="H1069" s="901">
        <f>GLOBAL_DER_FEV_2023!H1069</f>
        <v>15.87</v>
      </c>
      <c r="I1069" s="901">
        <f>GLOBAL_DER_FEV_2023!I1069</f>
        <v>15.87</v>
      </c>
      <c r="J1069" s="902">
        <f>GLOBAL_DER_FEV_2023!J1069</f>
        <v>19.059999999999999</v>
      </c>
      <c r="K1069" s="903" t="s">
        <v>1516</v>
      </c>
      <c r="L1069" s="1137"/>
      <c r="M1069" s="1138">
        <f t="shared" si="77"/>
        <v>0</v>
      </c>
      <c r="N1069" s="893">
        <f t="shared" si="81"/>
        <v>0</v>
      </c>
      <c r="O1069" s="905"/>
      <c r="Q1069" s="317" t="str">
        <f t="shared" si="78"/>
        <v/>
      </c>
      <c r="R1069" s="317" t="str">
        <f t="shared" si="79"/>
        <v/>
      </c>
      <c r="S1069" s="317" t="str">
        <f t="shared" si="80"/>
        <v/>
      </c>
      <c r="T1069" s="317" t="str">
        <f>GLOBAL_DER_FEV_2023!S1069</f>
        <v/>
      </c>
      <c r="W1069" s="582">
        <v>0</v>
      </c>
      <c r="X1069" s="580"/>
      <c r="Y1069" s="583">
        <f>IF(GLOBAL_DER_FEV_2023!W1069=0,0,IF(GLOBAL_DER_FEV_2023!W1069&gt;0,"c","b"))</f>
        <v>0</v>
      </c>
    </row>
    <row r="1070" spans="1:25" ht="34.5" hidden="1" thickBot="1" x14ac:dyDescent="0.25">
      <c r="A1070" s="317">
        <v>91895</v>
      </c>
      <c r="B1070" s="895">
        <v>91895</v>
      </c>
      <c r="C1070" s="896" t="s">
        <v>596</v>
      </c>
      <c r="D1070" s="906" t="s">
        <v>1000</v>
      </c>
      <c r="E1070" s="907">
        <f>GLOBAL_DER_FEV_2023!E1070</f>
        <v>0</v>
      </c>
      <c r="F1070" s="908">
        <f>GLOBAL_DER_FEV_2023!F1070</f>
        <v>0</v>
      </c>
      <c r="G1070" s="912">
        <f>GLOBAL_DER_FEV_2023!G1070</f>
        <v>0</v>
      </c>
      <c r="H1070" s="901">
        <f>GLOBAL_DER_FEV_2023!H1070</f>
        <v>20.96</v>
      </c>
      <c r="I1070" s="901">
        <f>GLOBAL_DER_FEV_2023!I1070</f>
        <v>20.96</v>
      </c>
      <c r="J1070" s="902">
        <f>GLOBAL_DER_FEV_2023!J1070</f>
        <v>25.17</v>
      </c>
      <c r="K1070" s="903" t="s">
        <v>1516</v>
      </c>
      <c r="L1070" s="1137"/>
      <c r="M1070" s="1138">
        <f t="shared" si="77"/>
        <v>0</v>
      </c>
      <c r="N1070" s="893">
        <f t="shared" si="81"/>
        <v>0</v>
      </c>
      <c r="O1070" s="905"/>
      <c r="Q1070" s="317" t="str">
        <f t="shared" si="78"/>
        <v/>
      </c>
      <c r="R1070" s="317" t="str">
        <f t="shared" si="79"/>
        <v/>
      </c>
      <c r="S1070" s="317" t="str">
        <f t="shared" si="80"/>
        <v/>
      </c>
      <c r="T1070" s="317" t="str">
        <f>GLOBAL_DER_FEV_2023!S1070</f>
        <v/>
      </c>
      <c r="W1070" s="582">
        <v>0</v>
      </c>
      <c r="X1070" s="580"/>
      <c r="Y1070" s="583">
        <f>IF(GLOBAL_DER_FEV_2023!W1070=0,0,IF(GLOBAL_DER_FEV_2023!W1070&gt;0,"c","b"))</f>
        <v>0</v>
      </c>
    </row>
    <row r="1071" spans="1:25" ht="34.5" hidden="1" thickBot="1" x14ac:dyDescent="0.25">
      <c r="A1071" s="317">
        <v>91907</v>
      </c>
      <c r="B1071" s="895">
        <v>91907</v>
      </c>
      <c r="C1071" s="896" t="s">
        <v>596</v>
      </c>
      <c r="D1071" s="906" t="s">
        <v>1001</v>
      </c>
      <c r="E1071" s="907">
        <f>GLOBAL_DER_FEV_2023!E1071</f>
        <v>0</v>
      </c>
      <c r="F1071" s="908">
        <f>GLOBAL_DER_FEV_2023!F1071</f>
        <v>0</v>
      </c>
      <c r="G1071" s="912">
        <f>GLOBAL_DER_FEV_2023!G1071</f>
        <v>0</v>
      </c>
      <c r="H1071" s="901">
        <f>GLOBAL_DER_FEV_2023!H1071</f>
        <v>23.49</v>
      </c>
      <c r="I1071" s="901">
        <f>GLOBAL_DER_FEV_2023!I1071</f>
        <v>23.49</v>
      </c>
      <c r="J1071" s="902">
        <f>GLOBAL_DER_FEV_2023!J1071</f>
        <v>28.2</v>
      </c>
      <c r="K1071" s="903" t="s">
        <v>1516</v>
      </c>
      <c r="L1071" s="1137"/>
      <c r="M1071" s="1138">
        <f t="shared" si="77"/>
        <v>0</v>
      </c>
      <c r="N1071" s="893">
        <f t="shared" si="81"/>
        <v>0</v>
      </c>
      <c r="O1071" s="905"/>
      <c r="Q1071" s="317" t="str">
        <f t="shared" si="78"/>
        <v/>
      </c>
      <c r="R1071" s="317" t="str">
        <f t="shared" si="79"/>
        <v/>
      </c>
      <c r="S1071" s="317" t="str">
        <f t="shared" si="80"/>
        <v/>
      </c>
      <c r="T1071" s="317" t="str">
        <f>GLOBAL_DER_FEV_2023!S1071</f>
        <v/>
      </c>
      <c r="W1071" s="582">
        <v>0</v>
      </c>
      <c r="X1071" s="580"/>
      <c r="Y1071" s="583">
        <f>IF(GLOBAL_DER_FEV_2023!W1071=0,0,IF(GLOBAL_DER_FEV_2023!W1071&gt;0,"c","b"))</f>
        <v>0</v>
      </c>
    </row>
    <row r="1072" spans="1:25" ht="34.5" hidden="1" thickBot="1" x14ac:dyDescent="0.25">
      <c r="A1072" s="317">
        <v>91919</v>
      </c>
      <c r="B1072" s="895">
        <v>91919</v>
      </c>
      <c r="C1072" s="896" t="s">
        <v>596</v>
      </c>
      <c r="D1072" s="906" t="s">
        <v>1002</v>
      </c>
      <c r="E1072" s="907">
        <f>GLOBAL_DER_FEV_2023!E1072</f>
        <v>0</v>
      </c>
      <c r="F1072" s="908">
        <f>GLOBAL_DER_FEV_2023!F1072</f>
        <v>0</v>
      </c>
      <c r="G1072" s="912">
        <f>GLOBAL_DER_FEV_2023!G1072</f>
        <v>0</v>
      </c>
      <c r="H1072" s="901">
        <f>GLOBAL_DER_FEV_2023!H1072</f>
        <v>24.8</v>
      </c>
      <c r="I1072" s="901">
        <f>GLOBAL_DER_FEV_2023!I1072</f>
        <v>24.8</v>
      </c>
      <c r="J1072" s="902">
        <f>GLOBAL_DER_FEV_2023!J1072</f>
        <v>29.78</v>
      </c>
      <c r="K1072" s="903" t="s">
        <v>1516</v>
      </c>
      <c r="L1072" s="1137"/>
      <c r="M1072" s="1138">
        <f t="shared" si="77"/>
        <v>0</v>
      </c>
      <c r="N1072" s="893">
        <f t="shared" si="81"/>
        <v>0</v>
      </c>
      <c r="O1072" s="905"/>
      <c r="Q1072" s="317" t="str">
        <f t="shared" si="78"/>
        <v/>
      </c>
      <c r="R1072" s="317" t="str">
        <f t="shared" si="79"/>
        <v/>
      </c>
      <c r="S1072" s="317" t="str">
        <f t="shared" si="80"/>
        <v/>
      </c>
      <c r="T1072" s="317" t="str">
        <f>GLOBAL_DER_FEV_2023!S1072</f>
        <v/>
      </c>
      <c r="W1072" s="582">
        <v>0</v>
      </c>
      <c r="X1072" s="580"/>
      <c r="Y1072" s="583">
        <f>IF(GLOBAL_DER_FEV_2023!W1072=0,0,IF(GLOBAL_DER_FEV_2023!W1072&gt;0,"c","b"))</f>
        <v>0</v>
      </c>
    </row>
    <row r="1073" spans="1:25" ht="34.5" hidden="1" thickBot="1" x14ac:dyDescent="0.25">
      <c r="A1073" s="317">
        <v>91904</v>
      </c>
      <c r="B1073" s="895">
        <v>91904</v>
      </c>
      <c r="C1073" s="896" t="s">
        <v>596</v>
      </c>
      <c r="D1073" s="906" t="s">
        <v>1003</v>
      </c>
      <c r="E1073" s="907">
        <f>GLOBAL_DER_FEV_2023!E1073</f>
        <v>0</v>
      </c>
      <c r="F1073" s="908">
        <f>GLOBAL_DER_FEV_2023!F1073</f>
        <v>0</v>
      </c>
      <c r="G1073" s="912">
        <f>GLOBAL_DER_FEV_2023!G1073</f>
        <v>0</v>
      </c>
      <c r="H1073" s="901">
        <f>GLOBAL_DER_FEV_2023!H1073</f>
        <v>18.559999999999999</v>
      </c>
      <c r="I1073" s="901">
        <f>GLOBAL_DER_FEV_2023!I1073</f>
        <v>18.559999999999999</v>
      </c>
      <c r="J1073" s="902">
        <f>GLOBAL_DER_FEV_2023!J1073</f>
        <v>22.28</v>
      </c>
      <c r="K1073" s="903" t="s">
        <v>1516</v>
      </c>
      <c r="L1073" s="1137"/>
      <c r="M1073" s="1138">
        <f t="shared" si="77"/>
        <v>0</v>
      </c>
      <c r="N1073" s="893">
        <f t="shared" si="81"/>
        <v>0</v>
      </c>
      <c r="O1073" s="905"/>
      <c r="Q1073" s="317" t="str">
        <f t="shared" si="78"/>
        <v/>
      </c>
      <c r="R1073" s="317" t="str">
        <f t="shared" si="79"/>
        <v/>
      </c>
      <c r="S1073" s="317" t="str">
        <f t="shared" si="80"/>
        <v/>
      </c>
      <c r="T1073" s="317" t="str">
        <f>GLOBAL_DER_FEV_2023!S1073</f>
        <v/>
      </c>
      <c r="W1073" s="582">
        <v>0</v>
      </c>
      <c r="X1073" s="580"/>
      <c r="Y1073" s="583">
        <f>IF(GLOBAL_DER_FEV_2023!W1073=0,0,IF(GLOBAL_DER_FEV_2023!W1073&gt;0,"c","b"))</f>
        <v>0</v>
      </c>
    </row>
    <row r="1074" spans="1:25" ht="34.5" hidden="1" thickBot="1" x14ac:dyDescent="0.25">
      <c r="A1074" s="317">
        <v>91905</v>
      </c>
      <c r="B1074" s="895">
        <v>91905</v>
      </c>
      <c r="C1074" s="896" t="s">
        <v>596</v>
      </c>
      <c r="D1074" s="906" t="s">
        <v>1004</v>
      </c>
      <c r="E1074" s="907">
        <f>GLOBAL_DER_FEV_2023!E1074</f>
        <v>0</v>
      </c>
      <c r="F1074" s="908">
        <f>GLOBAL_DER_FEV_2023!F1074</f>
        <v>0</v>
      </c>
      <c r="G1074" s="912">
        <f>GLOBAL_DER_FEV_2023!G1074</f>
        <v>0</v>
      </c>
      <c r="H1074" s="901">
        <f>GLOBAL_DER_FEV_2023!H1074</f>
        <v>20.75</v>
      </c>
      <c r="I1074" s="901">
        <f>GLOBAL_DER_FEV_2023!I1074</f>
        <v>20.75</v>
      </c>
      <c r="J1074" s="902">
        <f>GLOBAL_DER_FEV_2023!J1074</f>
        <v>24.91</v>
      </c>
      <c r="K1074" s="903" t="s">
        <v>1516</v>
      </c>
      <c r="L1074" s="1137"/>
      <c r="M1074" s="1138">
        <f t="shared" si="77"/>
        <v>0</v>
      </c>
      <c r="N1074" s="893">
        <f t="shared" si="81"/>
        <v>0</v>
      </c>
      <c r="O1074" s="905"/>
      <c r="Q1074" s="317" t="str">
        <f t="shared" si="78"/>
        <v/>
      </c>
      <c r="R1074" s="317" t="str">
        <f t="shared" si="79"/>
        <v/>
      </c>
      <c r="S1074" s="317" t="str">
        <f t="shared" si="80"/>
        <v/>
      </c>
      <c r="T1074" s="317" t="str">
        <f>GLOBAL_DER_FEV_2023!S1074</f>
        <v/>
      </c>
      <c r="W1074" s="582">
        <v>0</v>
      </c>
      <c r="X1074" s="580"/>
      <c r="Y1074" s="583">
        <f>IF(GLOBAL_DER_FEV_2023!W1074=0,0,IF(GLOBAL_DER_FEV_2023!W1074&gt;0,"c","b"))</f>
        <v>0</v>
      </c>
    </row>
    <row r="1075" spans="1:25" ht="34.5" hidden="1" thickBot="1" x14ac:dyDescent="0.25">
      <c r="A1075" s="317">
        <v>91908</v>
      </c>
      <c r="B1075" s="895">
        <v>91908</v>
      </c>
      <c r="C1075" s="896" t="s">
        <v>596</v>
      </c>
      <c r="D1075" s="906" t="s">
        <v>1005</v>
      </c>
      <c r="E1075" s="907">
        <f>GLOBAL_DER_FEV_2023!E1075</f>
        <v>0</v>
      </c>
      <c r="F1075" s="908">
        <f>GLOBAL_DER_FEV_2023!F1075</f>
        <v>0</v>
      </c>
      <c r="G1075" s="912">
        <f>GLOBAL_DER_FEV_2023!G1075</f>
        <v>0</v>
      </c>
      <c r="H1075" s="901">
        <f>GLOBAL_DER_FEV_2023!H1075</f>
        <v>24.84</v>
      </c>
      <c r="I1075" s="901">
        <f>GLOBAL_DER_FEV_2023!I1075</f>
        <v>24.84</v>
      </c>
      <c r="J1075" s="902">
        <f>GLOBAL_DER_FEV_2023!J1075</f>
        <v>29.83</v>
      </c>
      <c r="K1075" s="903" t="s">
        <v>1516</v>
      </c>
      <c r="L1075" s="1137"/>
      <c r="M1075" s="1138">
        <f t="shared" si="77"/>
        <v>0</v>
      </c>
      <c r="N1075" s="893">
        <f t="shared" si="81"/>
        <v>0</v>
      </c>
      <c r="O1075" s="905"/>
      <c r="Q1075" s="317" t="str">
        <f t="shared" si="78"/>
        <v/>
      </c>
      <c r="R1075" s="317" t="str">
        <f t="shared" si="79"/>
        <v/>
      </c>
      <c r="S1075" s="317" t="str">
        <f t="shared" si="80"/>
        <v/>
      </c>
      <c r="T1075" s="317" t="str">
        <f>GLOBAL_DER_FEV_2023!S1075</f>
        <v/>
      </c>
      <c r="W1075" s="582">
        <v>0</v>
      </c>
      <c r="X1075" s="580"/>
      <c r="Y1075" s="583">
        <f>IF(GLOBAL_DER_FEV_2023!W1075=0,0,IF(GLOBAL_DER_FEV_2023!W1075&gt;0,"c","b"))</f>
        <v>0</v>
      </c>
    </row>
    <row r="1076" spans="1:25" ht="34.5" hidden="1" thickBot="1" x14ac:dyDescent="0.25">
      <c r="A1076" s="317">
        <v>91910</v>
      </c>
      <c r="B1076" s="895">
        <v>91910</v>
      </c>
      <c r="C1076" s="896" t="s">
        <v>596</v>
      </c>
      <c r="D1076" s="906" t="s">
        <v>1006</v>
      </c>
      <c r="E1076" s="907">
        <f>GLOBAL_DER_FEV_2023!E1076</f>
        <v>0</v>
      </c>
      <c r="F1076" s="908">
        <f>GLOBAL_DER_FEV_2023!F1076</f>
        <v>0</v>
      </c>
      <c r="G1076" s="912">
        <f>GLOBAL_DER_FEV_2023!G1076</f>
        <v>0</v>
      </c>
      <c r="H1076" s="901">
        <f>GLOBAL_DER_FEV_2023!H1076</f>
        <v>27.76</v>
      </c>
      <c r="I1076" s="901">
        <f>GLOBAL_DER_FEV_2023!I1076</f>
        <v>27.76</v>
      </c>
      <c r="J1076" s="902">
        <f>GLOBAL_DER_FEV_2023!J1076</f>
        <v>33.33</v>
      </c>
      <c r="K1076" s="903" t="s">
        <v>1516</v>
      </c>
      <c r="L1076" s="1137"/>
      <c r="M1076" s="1138">
        <f t="shared" si="77"/>
        <v>0</v>
      </c>
      <c r="N1076" s="893">
        <f t="shared" si="81"/>
        <v>0</v>
      </c>
      <c r="O1076" s="905"/>
      <c r="Q1076" s="317" t="str">
        <f t="shared" si="78"/>
        <v/>
      </c>
      <c r="R1076" s="317" t="str">
        <f t="shared" si="79"/>
        <v/>
      </c>
      <c r="S1076" s="317" t="str">
        <f t="shared" si="80"/>
        <v/>
      </c>
      <c r="T1076" s="317" t="str">
        <f>GLOBAL_DER_FEV_2023!S1076</f>
        <v/>
      </c>
      <c r="W1076" s="582">
        <v>0</v>
      </c>
      <c r="X1076" s="580"/>
      <c r="Y1076" s="583">
        <f>IF(GLOBAL_DER_FEV_2023!W1076=0,0,IF(GLOBAL_DER_FEV_2023!W1076&gt;0,"c","b"))</f>
        <v>0</v>
      </c>
    </row>
    <row r="1077" spans="1:25" ht="34.5" hidden="1" thickBot="1" x14ac:dyDescent="0.25">
      <c r="A1077" s="317">
        <v>91911</v>
      </c>
      <c r="B1077" s="895">
        <v>91911</v>
      </c>
      <c r="C1077" s="896" t="s">
        <v>596</v>
      </c>
      <c r="D1077" s="906" t="s">
        <v>1007</v>
      </c>
      <c r="E1077" s="907">
        <f>GLOBAL_DER_FEV_2023!E1077</f>
        <v>0</v>
      </c>
      <c r="F1077" s="908">
        <f>GLOBAL_DER_FEV_2023!F1077</f>
        <v>0</v>
      </c>
      <c r="G1077" s="912">
        <f>GLOBAL_DER_FEV_2023!G1077</f>
        <v>0</v>
      </c>
      <c r="H1077" s="901">
        <f>GLOBAL_DER_FEV_2023!H1077</f>
        <v>16.600000000000001</v>
      </c>
      <c r="I1077" s="901">
        <f>GLOBAL_DER_FEV_2023!I1077</f>
        <v>16.600000000000001</v>
      </c>
      <c r="J1077" s="902">
        <f>GLOBAL_DER_FEV_2023!J1077</f>
        <v>19.93</v>
      </c>
      <c r="K1077" s="903" t="s">
        <v>1516</v>
      </c>
      <c r="L1077" s="1137"/>
      <c r="M1077" s="1138">
        <f t="shared" si="77"/>
        <v>0</v>
      </c>
      <c r="N1077" s="893">
        <f t="shared" si="81"/>
        <v>0</v>
      </c>
      <c r="O1077" s="905"/>
      <c r="Q1077" s="317" t="str">
        <f t="shared" si="78"/>
        <v/>
      </c>
      <c r="R1077" s="317" t="str">
        <f t="shared" si="79"/>
        <v/>
      </c>
      <c r="S1077" s="317" t="str">
        <f t="shared" si="80"/>
        <v/>
      </c>
      <c r="T1077" s="317" t="str">
        <f>GLOBAL_DER_FEV_2023!S1077</f>
        <v/>
      </c>
      <c r="W1077" s="582">
        <v>0</v>
      </c>
      <c r="X1077" s="580"/>
      <c r="Y1077" s="583">
        <f>IF(GLOBAL_DER_FEV_2023!W1077=0,0,IF(GLOBAL_DER_FEV_2023!W1077&gt;0,"c","b"))</f>
        <v>0</v>
      </c>
    </row>
    <row r="1078" spans="1:25" ht="34.5" hidden="1" thickBot="1" x14ac:dyDescent="0.25">
      <c r="A1078" s="317">
        <v>91913</v>
      </c>
      <c r="B1078" s="895">
        <v>91913</v>
      </c>
      <c r="C1078" s="896" t="s">
        <v>596</v>
      </c>
      <c r="D1078" s="906" t="s">
        <v>1008</v>
      </c>
      <c r="E1078" s="907">
        <f>GLOBAL_DER_FEV_2023!E1078</f>
        <v>0</v>
      </c>
      <c r="F1078" s="908">
        <f>GLOBAL_DER_FEV_2023!F1078</f>
        <v>0</v>
      </c>
      <c r="G1078" s="912">
        <f>GLOBAL_DER_FEV_2023!G1078</f>
        <v>0</v>
      </c>
      <c r="H1078" s="901">
        <f>GLOBAL_DER_FEV_2023!H1078</f>
        <v>16.2</v>
      </c>
      <c r="I1078" s="901">
        <f>GLOBAL_DER_FEV_2023!I1078</f>
        <v>16.2</v>
      </c>
      <c r="J1078" s="902">
        <f>GLOBAL_DER_FEV_2023!J1078</f>
        <v>19.45</v>
      </c>
      <c r="K1078" s="903" t="s">
        <v>1516</v>
      </c>
      <c r="L1078" s="1137"/>
      <c r="M1078" s="1138">
        <f t="shared" si="77"/>
        <v>0</v>
      </c>
      <c r="N1078" s="893">
        <f t="shared" si="81"/>
        <v>0</v>
      </c>
      <c r="O1078" s="905"/>
      <c r="Q1078" s="317" t="str">
        <f t="shared" si="78"/>
        <v/>
      </c>
      <c r="R1078" s="317" t="str">
        <f t="shared" si="79"/>
        <v/>
      </c>
      <c r="S1078" s="317" t="str">
        <f t="shared" si="80"/>
        <v/>
      </c>
      <c r="T1078" s="317" t="str">
        <f>GLOBAL_DER_FEV_2023!S1078</f>
        <v/>
      </c>
      <c r="W1078" s="582">
        <v>0</v>
      </c>
      <c r="X1078" s="580"/>
      <c r="Y1078" s="583">
        <f>IF(GLOBAL_DER_FEV_2023!W1078=0,0,IF(GLOBAL_DER_FEV_2023!W1078&gt;0,"c","b"))</f>
        <v>0</v>
      </c>
    </row>
    <row r="1079" spans="1:25" ht="34.5" hidden="1" thickBot="1" x14ac:dyDescent="0.25">
      <c r="A1079" s="317">
        <v>91914</v>
      </c>
      <c r="B1079" s="895">
        <v>91914</v>
      </c>
      <c r="C1079" s="896" t="s">
        <v>596</v>
      </c>
      <c r="D1079" s="906" t="s">
        <v>1009</v>
      </c>
      <c r="E1079" s="907">
        <f>GLOBAL_DER_FEV_2023!E1079</f>
        <v>0</v>
      </c>
      <c r="F1079" s="908">
        <f>GLOBAL_DER_FEV_2023!F1079</f>
        <v>0</v>
      </c>
      <c r="G1079" s="912">
        <f>GLOBAL_DER_FEV_2023!G1079</f>
        <v>0</v>
      </c>
      <c r="H1079" s="901">
        <f>GLOBAL_DER_FEV_2023!H1079</f>
        <v>18.09</v>
      </c>
      <c r="I1079" s="901">
        <f>GLOBAL_DER_FEV_2023!I1079</f>
        <v>18.09</v>
      </c>
      <c r="J1079" s="902">
        <f>GLOBAL_DER_FEV_2023!J1079</f>
        <v>21.72</v>
      </c>
      <c r="K1079" s="903" t="s">
        <v>1516</v>
      </c>
      <c r="L1079" s="1137"/>
      <c r="M1079" s="1138">
        <f t="shared" si="77"/>
        <v>0</v>
      </c>
      <c r="N1079" s="893">
        <f t="shared" si="81"/>
        <v>0</v>
      </c>
      <c r="O1079" s="905"/>
      <c r="Q1079" s="317" t="str">
        <f t="shared" si="78"/>
        <v/>
      </c>
      <c r="R1079" s="317" t="str">
        <f t="shared" si="79"/>
        <v/>
      </c>
      <c r="S1079" s="317" t="str">
        <f t="shared" si="80"/>
        <v/>
      </c>
      <c r="T1079" s="317" t="str">
        <f>GLOBAL_DER_FEV_2023!S1079</f>
        <v/>
      </c>
      <c r="W1079" s="582">
        <v>0</v>
      </c>
      <c r="X1079" s="580"/>
      <c r="Y1079" s="583">
        <f>IF(GLOBAL_DER_FEV_2023!W1079=0,0,IF(GLOBAL_DER_FEV_2023!W1079&gt;0,"c","b"))</f>
        <v>0</v>
      </c>
    </row>
    <row r="1080" spans="1:25" ht="34.5" hidden="1" thickBot="1" x14ac:dyDescent="0.25">
      <c r="A1080" s="317">
        <v>91916</v>
      </c>
      <c r="B1080" s="895">
        <v>91916</v>
      </c>
      <c r="C1080" s="896" t="s">
        <v>596</v>
      </c>
      <c r="D1080" s="906" t="s">
        <v>1010</v>
      </c>
      <c r="E1080" s="907">
        <f>GLOBAL_DER_FEV_2023!E1080</f>
        <v>0</v>
      </c>
      <c r="F1080" s="908">
        <f>GLOBAL_DER_FEV_2023!F1080</f>
        <v>0</v>
      </c>
      <c r="G1080" s="912">
        <f>GLOBAL_DER_FEV_2023!G1080</f>
        <v>0</v>
      </c>
      <c r="H1080" s="901">
        <f>GLOBAL_DER_FEV_2023!H1080</f>
        <v>20.78</v>
      </c>
      <c r="I1080" s="901">
        <f>GLOBAL_DER_FEV_2023!I1080</f>
        <v>20.78</v>
      </c>
      <c r="J1080" s="902">
        <f>GLOBAL_DER_FEV_2023!J1080</f>
        <v>24.95</v>
      </c>
      <c r="K1080" s="903" t="s">
        <v>1516</v>
      </c>
      <c r="L1080" s="1137"/>
      <c r="M1080" s="1138">
        <f t="shared" si="77"/>
        <v>0</v>
      </c>
      <c r="N1080" s="893">
        <f t="shared" si="81"/>
        <v>0</v>
      </c>
      <c r="O1080" s="905"/>
      <c r="Q1080" s="317" t="str">
        <f t="shared" si="78"/>
        <v/>
      </c>
      <c r="R1080" s="317" t="str">
        <f t="shared" si="79"/>
        <v/>
      </c>
      <c r="S1080" s="317" t="str">
        <f t="shared" si="80"/>
        <v/>
      </c>
      <c r="T1080" s="317" t="str">
        <f>GLOBAL_DER_FEV_2023!S1080</f>
        <v/>
      </c>
      <c r="W1080" s="582">
        <v>0</v>
      </c>
      <c r="X1080" s="580"/>
      <c r="Y1080" s="583">
        <f>IF(GLOBAL_DER_FEV_2023!W1080=0,0,IF(GLOBAL_DER_FEV_2023!W1080&gt;0,"c","b"))</f>
        <v>0</v>
      </c>
    </row>
    <row r="1081" spans="1:25" ht="34.5" hidden="1" thickBot="1" x14ac:dyDescent="0.25">
      <c r="A1081" s="317">
        <v>91917</v>
      </c>
      <c r="B1081" s="895">
        <v>91917</v>
      </c>
      <c r="C1081" s="896" t="s">
        <v>596</v>
      </c>
      <c r="D1081" s="906" t="s">
        <v>1011</v>
      </c>
      <c r="E1081" s="907">
        <f>GLOBAL_DER_FEV_2023!E1081</f>
        <v>0</v>
      </c>
      <c r="F1081" s="908">
        <f>GLOBAL_DER_FEV_2023!F1081</f>
        <v>0</v>
      </c>
      <c r="G1081" s="912">
        <f>GLOBAL_DER_FEV_2023!G1081</f>
        <v>0</v>
      </c>
      <c r="H1081" s="901">
        <f>GLOBAL_DER_FEV_2023!H1081</f>
        <v>22.06</v>
      </c>
      <c r="I1081" s="901">
        <f>GLOBAL_DER_FEV_2023!I1081</f>
        <v>22.06</v>
      </c>
      <c r="J1081" s="902">
        <f>GLOBAL_DER_FEV_2023!J1081</f>
        <v>26.49</v>
      </c>
      <c r="K1081" s="903" t="s">
        <v>1516</v>
      </c>
      <c r="L1081" s="1137"/>
      <c r="M1081" s="1138">
        <f t="shared" si="77"/>
        <v>0</v>
      </c>
      <c r="N1081" s="893">
        <f t="shared" si="81"/>
        <v>0</v>
      </c>
      <c r="O1081" s="905"/>
      <c r="Q1081" s="317" t="str">
        <f t="shared" si="78"/>
        <v/>
      </c>
      <c r="R1081" s="317" t="str">
        <f t="shared" si="79"/>
        <v/>
      </c>
      <c r="S1081" s="317" t="str">
        <f t="shared" si="80"/>
        <v/>
      </c>
      <c r="T1081" s="317" t="str">
        <f>GLOBAL_DER_FEV_2023!S1081</f>
        <v/>
      </c>
      <c r="W1081" s="582">
        <v>0</v>
      </c>
      <c r="X1081" s="580"/>
      <c r="Y1081" s="583">
        <f>IF(GLOBAL_DER_FEV_2023!W1081=0,0,IF(GLOBAL_DER_FEV_2023!W1081&gt;0,"c","b"))</f>
        <v>0</v>
      </c>
    </row>
    <row r="1082" spans="1:25" ht="34.5" hidden="1" thickBot="1" x14ac:dyDescent="0.25">
      <c r="A1082" s="317">
        <v>91920</v>
      </c>
      <c r="B1082" s="895">
        <v>91920</v>
      </c>
      <c r="C1082" s="896" t="s">
        <v>596</v>
      </c>
      <c r="D1082" s="906" t="s">
        <v>1012</v>
      </c>
      <c r="E1082" s="907">
        <f>GLOBAL_DER_FEV_2023!E1082</f>
        <v>0</v>
      </c>
      <c r="F1082" s="908">
        <f>GLOBAL_DER_FEV_2023!F1082</f>
        <v>0</v>
      </c>
      <c r="G1082" s="912">
        <f>GLOBAL_DER_FEV_2023!G1082</f>
        <v>0</v>
      </c>
      <c r="H1082" s="901">
        <f>GLOBAL_DER_FEV_2023!H1082</f>
        <v>25.15</v>
      </c>
      <c r="I1082" s="901">
        <f>GLOBAL_DER_FEV_2023!I1082</f>
        <v>25.15</v>
      </c>
      <c r="J1082" s="902">
        <f>GLOBAL_DER_FEV_2023!J1082</f>
        <v>30.2</v>
      </c>
      <c r="K1082" s="903" t="s">
        <v>1516</v>
      </c>
      <c r="L1082" s="1137"/>
      <c r="M1082" s="1138">
        <f t="shared" si="77"/>
        <v>0</v>
      </c>
      <c r="N1082" s="893">
        <f t="shared" si="81"/>
        <v>0</v>
      </c>
      <c r="O1082" s="905"/>
      <c r="Q1082" s="317" t="str">
        <f t="shared" si="78"/>
        <v/>
      </c>
      <c r="R1082" s="317" t="str">
        <f t="shared" si="79"/>
        <v/>
      </c>
      <c r="S1082" s="317" t="str">
        <f t="shared" si="80"/>
        <v/>
      </c>
      <c r="T1082" s="317" t="str">
        <f>GLOBAL_DER_FEV_2023!S1082</f>
        <v/>
      </c>
      <c r="W1082" s="582">
        <v>0</v>
      </c>
      <c r="X1082" s="580"/>
      <c r="Y1082" s="583">
        <f>IF(GLOBAL_DER_FEV_2023!W1082=0,0,IF(GLOBAL_DER_FEV_2023!W1082&gt;0,"c","b"))</f>
        <v>0</v>
      </c>
    </row>
    <row r="1083" spans="1:25" ht="34.5" hidden="1" thickBot="1" x14ac:dyDescent="0.25">
      <c r="A1083" s="317">
        <v>91922</v>
      </c>
      <c r="B1083" s="895">
        <v>91922</v>
      </c>
      <c r="C1083" s="896" t="s">
        <v>596</v>
      </c>
      <c r="D1083" s="906" t="s">
        <v>1013</v>
      </c>
      <c r="E1083" s="907">
        <f>GLOBAL_DER_FEV_2023!E1083</f>
        <v>0</v>
      </c>
      <c r="F1083" s="908">
        <f>GLOBAL_DER_FEV_2023!F1083</f>
        <v>0</v>
      </c>
      <c r="G1083" s="912">
        <f>GLOBAL_DER_FEV_2023!G1083</f>
        <v>0</v>
      </c>
      <c r="H1083" s="901">
        <f>GLOBAL_DER_FEV_2023!H1083</f>
        <v>28.07</v>
      </c>
      <c r="I1083" s="901">
        <f>GLOBAL_DER_FEV_2023!I1083</f>
        <v>28.07</v>
      </c>
      <c r="J1083" s="902">
        <f>GLOBAL_DER_FEV_2023!J1083</f>
        <v>33.700000000000003</v>
      </c>
      <c r="K1083" s="903" t="s">
        <v>1516</v>
      </c>
      <c r="L1083" s="1137"/>
      <c r="M1083" s="1138">
        <f t="shared" si="77"/>
        <v>0</v>
      </c>
      <c r="N1083" s="893">
        <f t="shared" si="81"/>
        <v>0</v>
      </c>
      <c r="O1083" s="905"/>
      <c r="Q1083" s="317" t="str">
        <f t="shared" si="78"/>
        <v/>
      </c>
      <c r="R1083" s="317" t="str">
        <f t="shared" si="79"/>
        <v/>
      </c>
      <c r="S1083" s="317" t="str">
        <f t="shared" si="80"/>
        <v/>
      </c>
      <c r="T1083" s="317" t="str">
        <f>GLOBAL_DER_FEV_2023!S1083</f>
        <v/>
      </c>
      <c r="W1083" s="582">
        <v>0</v>
      </c>
      <c r="X1083" s="580"/>
      <c r="Y1083" s="583">
        <f>IF(GLOBAL_DER_FEV_2023!W1083=0,0,IF(GLOBAL_DER_FEV_2023!W1083&gt;0,"c","b"))</f>
        <v>0</v>
      </c>
    </row>
    <row r="1084" spans="1:25" ht="23.25" hidden="1" thickBot="1" x14ac:dyDescent="0.25">
      <c r="A1084" s="317">
        <v>93013</v>
      </c>
      <c r="B1084" s="895">
        <v>93013</v>
      </c>
      <c r="C1084" s="896" t="s">
        <v>596</v>
      </c>
      <c r="D1084" s="906" t="s">
        <v>1014</v>
      </c>
      <c r="E1084" s="907">
        <f>GLOBAL_DER_FEV_2023!E1084</f>
        <v>0</v>
      </c>
      <c r="F1084" s="908">
        <f>GLOBAL_DER_FEV_2023!F1084</f>
        <v>0</v>
      </c>
      <c r="G1084" s="912">
        <f>GLOBAL_DER_FEV_2023!G1084</f>
        <v>0</v>
      </c>
      <c r="H1084" s="901">
        <f>GLOBAL_DER_FEV_2023!H1084</f>
        <v>18.309999999999999</v>
      </c>
      <c r="I1084" s="901">
        <f>GLOBAL_DER_FEV_2023!I1084</f>
        <v>18.309999999999999</v>
      </c>
      <c r="J1084" s="902">
        <f>GLOBAL_DER_FEV_2023!J1084</f>
        <v>21.98</v>
      </c>
      <c r="K1084" s="903" t="s">
        <v>1516</v>
      </c>
      <c r="L1084" s="1137"/>
      <c r="M1084" s="1138">
        <f t="shared" si="77"/>
        <v>0</v>
      </c>
      <c r="N1084" s="893">
        <f t="shared" si="81"/>
        <v>0</v>
      </c>
      <c r="O1084" s="905"/>
      <c r="Q1084" s="317" t="str">
        <f t="shared" si="78"/>
        <v/>
      </c>
      <c r="R1084" s="317" t="str">
        <f t="shared" si="79"/>
        <v/>
      </c>
      <c r="S1084" s="317" t="str">
        <f t="shared" si="80"/>
        <v/>
      </c>
      <c r="T1084" s="317" t="str">
        <f>GLOBAL_DER_FEV_2023!S1084</f>
        <v/>
      </c>
      <c r="W1084" s="582">
        <v>0</v>
      </c>
      <c r="X1084" s="580"/>
      <c r="Y1084" s="583">
        <f>IF(GLOBAL_DER_FEV_2023!W1084=0,0,IF(GLOBAL_DER_FEV_2023!W1084&gt;0,"c","b"))</f>
        <v>0</v>
      </c>
    </row>
    <row r="1085" spans="1:25" ht="23.25" hidden="1" thickBot="1" x14ac:dyDescent="0.25">
      <c r="A1085" s="317">
        <v>93014</v>
      </c>
      <c r="B1085" s="895">
        <v>93014</v>
      </c>
      <c r="C1085" s="896" t="s">
        <v>596</v>
      </c>
      <c r="D1085" s="906" t="s">
        <v>1015</v>
      </c>
      <c r="E1085" s="907">
        <f>GLOBAL_DER_FEV_2023!E1085</f>
        <v>0</v>
      </c>
      <c r="F1085" s="908">
        <f>GLOBAL_DER_FEV_2023!F1085</f>
        <v>0</v>
      </c>
      <c r="G1085" s="912">
        <f>GLOBAL_DER_FEV_2023!G1085</f>
        <v>0</v>
      </c>
      <c r="H1085" s="901">
        <f>GLOBAL_DER_FEV_2023!H1085</f>
        <v>22.49</v>
      </c>
      <c r="I1085" s="901">
        <f>GLOBAL_DER_FEV_2023!I1085</f>
        <v>22.49</v>
      </c>
      <c r="J1085" s="902">
        <f>GLOBAL_DER_FEV_2023!J1085</f>
        <v>27</v>
      </c>
      <c r="K1085" s="903" t="s">
        <v>1516</v>
      </c>
      <c r="L1085" s="1137"/>
      <c r="M1085" s="1138">
        <f t="shared" si="77"/>
        <v>0</v>
      </c>
      <c r="N1085" s="893">
        <f t="shared" si="81"/>
        <v>0</v>
      </c>
      <c r="O1085" s="905"/>
      <c r="Q1085" s="317" t="str">
        <f t="shared" si="78"/>
        <v/>
      </c>
      <c r="R1085" s="317" t="str">
        <f t="shared" si="79"/>
        <v/>
      </c>
      <c r="S1085" s="317" t="str">
        <f t="shared" si="80"/>
        <v/>
      </c>
      <c r="T1085" s="317" t="str">
        <f>GLOBAL_DER_FEV_2023!S1085</f>
        <v/>
      </c>
      <c r="W1085" s="582">
        <v>0</v>
      </c>
      <c r="X1085" s="580"/>
      <c r="Y1085" s="583">
        <f>IF(GLOBAL_DER_FEV_2023!W1085=0,0,IF(GLOBAL_DER_FEV_2023!W1085&gt;0,"c","b"))</f>
        <v>0</v>
      </c>
    </row>
    <row r="1086" spans="1:25" ht="23.25" hidden="1" thickBot="1" x14ac:dyDescent="0.25">
      <c r="A1086" s="317">
        <v>93015</v>
      </c>
      <c r="B1086" s="895">
        <v>93015</v>
      </c>
      <c r="C1086" s="896" t="s">
        <v>596</v>
      </c>
      <c r="D1086" s="906" t="s">
        <v>1016</v>
      </c>
      <c r="E1086" s="907">
        <f>GLOBAL_DER_FEV_2023!E1086</f>
        <v>0</v>
      </c>
      <c r="F1086" s="908">
        <f>GLOBAL_DER_FEV_2023!F1086</f>
        <v>0</v>
      </c>
      <c r="G1086" s="912">
        <f>GLOBAL_DER_FEV_2023!G1086</f>
        <v>0</v>
      </c>
      <c r="H1086" s="901">
        <f>GLOBAL_DER_FEV_2023!H1086</f>
        <v>34.130000000000003</v>
      </c>
      <c r="I1086" s="901">
        <f>GLOBAL_DER_FEV_2023!I1086</f>
        <v>34.130000000000003</v>
      </c>
      <c r="J1086" s="902">
        <f>GLOBAL_DER_FEV_2023!J1086</f>
        <v>40.98</v>
      </c>
      <c r="K1086" s="903" t="s">
        <v>1516</v>
      </c>
      <c r="L1086" s="1137"/>
      <c r="M1086" s="1138">
        <f t="shared" si="77"/>
        <v>0</v>
      </c>
      <c r="N1086" s="893">
        <f t="shared" si="81"/>
        <v>0</v>
      </c>
      <c r="O1086" s="905"/>
      <c r="Q1086" s="317" t="str">
        <f t="shared" si="78"/>
        <v/>
      </c>
      <c r="R1086" s="317" t="str">
        <f t="shared" si="79"/>
        <v/>
      </c>
      <c r="S1086" s="317" t="str">
        <f t="shared" si="80"/>
        <v/>
      </c>
      <c r="T1086" s="317" t="str">
        <f>GLOBAL_DER_FEV_2023!S1086</f>
        <v/>
      </c>
      <c r="W1086" s="582">
        <v>0</v>
      </c>
      <c r="X1086" s="580"/>
      <c r="Y1086" s="583">
        <f>IF(GLOBAL_DER_FEV_2023!W1086=0,0,IF(GLOBAL_DER_FEV_2023!W1086&gt;0,"c","b"))</f>
        <v>0</v>
      </c>
    </row>
    <row r="1087" spans="1:25" ht="23.25" hidden="1" thickBot="1" x14ac:dyDescent="0.25">
      <c r="A1087" s="317">
        <v>93016</v>
      </c>
      <c r="B1087" s="895">
        <v>93016</v>
      </c>
      <c r="C1087" s="896" t="s">
        <v>596</v>
      </c>
      <c r="D1087" s="906" t="s">
        <v>1017</v>
      </c>
      <c r="E1087" s="907">
        <f>GLOBAL_DER_FEV_2023!E1087</f>
        <v>0</v>
      </c>
      <c r="F1087" s="908">
        <f>GLOBAL_DER_FEV_2023!F1087</f>
        <v>0</v>
      </c>
      <c r="G1087" s="912">
        <f>GLOBAL_DER_FEV_2023!G1087</f>
        <v>0</v>
      </c>
      <c r="H1087" s="901">
        <f>GLOBAL_DER_FEV_2023!H1087</f>
        <v>41.5</v>
      </c>
      <c r="I1087" s="901">
        <f>GLOBAL_DER_FEV_2023!I1087</f>
        <v>41.5</v>
      </c>
      <c r="J1087" s="902">
        <f>GLOBAL_DER_FEV_2023!J1087</f>
        <v>49.83</v>
      </c>
      <c r="K1087" s="903" t="s">
        <v>1516</v>
      </c>
      <c r="L1087" s="1137"/>
      <c r="M1087" s="1138">
        <f t="shared" si="77"/>
        <v>0</v>
      </c>
      <c r="N1087" s="893">
        <f t="shared" si="81"/>
        <v>0</v>
      </c>
      <c r="O1087" s="905"/>
      <c r="Q1087" s="317" t="str">
        <f t="shared" si="78"/>
        <v/>
      </c>
      <c r="R1087" s="317" t="str">
        <f t="shared" si="79"/>
        <v/>
      </c>
      <c r="S1087" s="317" t="str">
        <f t="shared" si="80"/>
        <v/>
      </c>
      <c r="T1087" s="317" t="str">
        <f>GLOBAL_DER_FEV_2023!S1087</f>
        <v/>
      </c>
      <c r="W1087" s="582">
        <v>0</v>
      </c>
      <c r="X1087" s="580"/>
      <c r="Y1087" s="583">
        <f>IF(GLOBAL_DER_FEV_2023!W1087=0,0,IF(GLOBAL_DER_FEV_2023!W1087&gt;0,"c","b"))</f>
        <v>0</v>
      </c>
    </row>
    <row r="1088" spans="1:25" ht="23.25" hidden="1" thickBot="1" x14ac:dyDescent="0.25">
      <c r="A1088" s="317">
        <v>93017</v>
      </c>
      <c r="B1088" s="895">
        <v>93017</v>
      </c>
      <c r="C1088" s="896" t="s">
        <v>596</v>
      </c>
      <c r="D1088" s="906" t="s">
        <v>1018</v>
      </c>
      <c r="E1088" s="907">
        <f>GLOBAL_DER_FEV_2023!E1088</f>
        <v>0</v>
      </c>
      <c r="F1088" s="908">
        <f>GLOBAL_DER_FEV_2023!F1088</f>
        <v>0</v>
      </c>
      <c r="G1088" s="912">
        <f>GLOBAL_DER_FEV_2023!G1088</f>
        <v>0</v>
      </c>
      <c r="H1088" s="901">
        <f>GLOBAL_DER_FEV_2023!H1088</f>
        <v>62.43</v>
      </c>
      <c r="I1088" s="901">
        <f>GLOBAL_DER_FEV_2023!I1088</f>
        <v>62.43</v>
      </c>
      <c r="J1088" s="902">
        <f>GLOBAL_DER_FEV_2023!J1088</f>
        <v>74.959999999999994</v>
      </c>
      <c r="K1088" s="903" t="s">
        <v>1516</v>
      </c>
      <c r="L1088" s="1137"/>
      <c r="M1088" s="1138">
        <f t="shared" si="77"/>
        <v>0</v>
      </c>
      <c r="N1088" s="893">
        <f t="shared" si="81"/>
        <v>0</v>
      </c>
      <c r="O1088" s="905"/>
      <c r="Q1088" s="317" t="str">
        <f t="shared" si="78"/>
        <v/>
      </c>
      <c r="R1088" s="317" t="str">
        <f t="shared" si="79"/>
        <v/>
      </c>
      <c r="S1088" s="317" t="str">
        <f t="shared" si="80"/>
        <v/>
      </c>
      <c r="T1088" s="317" t="str">
        <f>GLOBAL_DER_FEV_2023!S1088</f>
        <v/>
      </c>
      <c r="W1088" s="582">
        <v>0</v>
      </c>
      <c r="X1088" s="580"/>
      <c r="Y1088" s="583">
        <f>IF(GLOBAL_DER_FEV_2023!W1088=0,0,IF(GLOBAL_DER_FEV_2023!W1088&gt;0,"c","b"))</f>
        <v>0</v>
      </c>
    </row>
    <row r="1089" spans="1:25" ht="23.25" hidden="1" thickBot="1" x14ac:dyDescent="0.25">
      <c r="A1089" s="317">
        <v>93018</v>
      </c>
      <c r="B1089" s="895">
        <v>93018</v>
      </c>
      <c r="C1089" s="896" t="s">
        <v>596</v>
      </c>
      <c r="D1089" s="906" t="s">
        <v>1019</v>
      </c>
      <c r="E1089" s="907">
        <f>GLOBAL_DER_FEV_2023!E1089</f>
        <v>0</v>
      </c>
      <c r="F1089" s="908">
        <f>GLOBAL_DER_FEV_2023!F1089</f>
        <v>0</v>
      </c>
      <c r="G1089" s="912">
        <f>GLOBAL_DER_FEV_2023!G1089</f>
        <v>0</v>
      </c>
      <c r="H1089" s="901">
        <f>GLOBAL_DER_FEV_2023!H1089</f>
        <v>27.96</v>
      </c>
      <c r="I1089" s="901">
        <f>GLOBAL_DER_FEV_2023!I1089</f>
        <v>27.96</v>
      </c>
      <c r="J1089" s="902">
        <f>GLOBAL_DER_FEV_2023!J1089</f>
        <v>33.57</v>
      </c>
      <c r="K1089" s="903" t="s">
        <v>1516</v>
      </c>
      <c r="L1089" s="1137"/>
      <c r="M1089" s="1138">
        <f t="shared" si="77"/>
        <v>0</v>
      </c>
      <c r="N1089" s="893">
        <f t="shared" si="81"/>
        <v>0</v>
      </c>
      <c r="O1089" s="905"/>
      <c r="Q1089" s="317" t="str">
        <f t="shared" si="78"/>
        <v/>
      </c>
      <c r="R1089" s="317" t="str">
        <f t="shared" si="79"/>
        <v/>
      </c>
      <c r="S1089" s="317" t="str">
        <f t="shared" si="80"/>
        <v/>
      </c>
      <c r="T1089" s="317" t="str">
        <f>GLOBAL_DER_FEV_2023!S1089</f>
        <v/>
      </c>
      <c r="W1089" s="582">
        <v>0</v>
      </c>
      <c r="X1089" s="580"/>
      <c r="Y1089" s="583">
        <f>IF(GLOBAL_DER_FEV_2023!W1089=0,0,IF(GLOBAL_DER_FEV_2023!W1089&gt;0,"c","b"))</f>
        <v>0</v>
      </c>
    </row>
    <row r="1090" spans="1:25" ht="23.25" hidden="1" thickBot="1" x14ac:dyDescent="0.25">
      <c r="A1090" s="317">
        <v>93020</v>
      </c>
      <c r="B1090" s="895">
        <v>93020</v>
      </c>
      <c r="C1090" s="896" t="s">
        <v>596</v>
      </c>
      <c r="D1090" s="906" t="s">
        <v>1020</v>
      </c>
      <c r="E1090" s="907">
        <f>GLOBAL_DER_FEV_2023!E1090</f>
        <v>0</v>
      </c>
      <c r="F1090" s="908">
        <f>GLOBAL_DER_FEV_2023!F1090</f>
        <v>0</v>
      </c>
      <c r="G1090" s="912">
        <f>GLOBAL_DER_FEV_2023!G1090</f>
        <v>0</v>
      </c>
      <c r="H1090" s="901">
        <f>GLOBAL_DER_FEV_2023!H1090</f>
        <v>35.840000000000003</v>
      </c>
      <c r="I1090" s="901">
        <f>GLOBAL_DER_FEV_2023!I1090</f>
        <v>35.840000000000003</v>
      </c>
      <c r="J1090" s="902">
        <f>GLOBAL_DER_FEV_2023!J1090</f>
        <v>43.03</v>
      </c>
      <c r="K1090" s="903" t="s">
        <v>1516</v>
      </c>
      <c r="L1090" s="1137"/>
      <c r="M1090" s="1138">
        <f t="shared" si="77"/>
        <v>0</v>
      </c>
      <c r="N1090" s="893">
        <f t="shared" si="81"/>
        <v>0</v>
      </c>
      <c r="O1090" s="905"/>
      <c r="Q1090" s="317" t="str">
        <f t="shared" si="78"/>
        <v/>
      </c>
      <c r="R1090" s="317" t="str">
        <f t="shared" si="79"/>
        <v/>
      </c>
      <c r="S1090" s="317" t="str">
        <f t="shared" si="80"/>
        <v/>
      </c>
      <c r="T1090" s="317" t="str">
        <f>GLOBAL_DER_FEV_2023!S1090</f>
        <v/>
      </c>
      <c r="W1090" s="582">
        <v>0</v>
      </c>
      <c r="X1090" s="580"/>
      <c r="Y1090" s="583">
        <f>IF(GLOBAL_DER_FEV_2023!W1090=0,0,IF(GLOBAL_DER_FEV_2023!W1090&gt;0,"c","b"))</f>
        <v>0</v>
      </c>
    </row>
    <row r="1091" spans="1:25" ht="23.25" hidden="1" thickBot="1" x14ac:dyDescent="0.25">
      <c r="A1091" s="317">
        <v>93022</v>
      </c>
      <c r="B1091" s="895">
        <v>93022</v>
      </c>
      <c r="C1091" s="896" t="s">
        <v>596</v>
      </c>
      <c r="D1091" s="906" t="s">
        <v>1021</v>
      </c>
      <c r="E1091" s="907">
        <f>GLOBAL_DER_FEV_2023!E1091</f>
        <v>0</v>
      </c>
      <c r="F1091" s="908">
        <f>GLOBAL_DER_FEV_2023!F1091</f>
        <v>0</v>
      </c>
      <c r="G1091" s="912">
        <f>GLOBAL_DER_FEV_2023!G1091</f>
        <v>0</v>
      </c>
      <c r="H1091" s="901">
        <f>GLOBAL_DER_FEV_2023!H1091</f>
        <v>60</v>
      </c>
      <c r="I1091" s="901">
        <f>GLOBAL_DER_FEV_2023!I1091</f>
        <v>60</v>
      </c>
      <c r="J1091" s="902">
        <f>GLOBAL_DER_FEV_2023!J1091</f>
        <v>72.040000000000006</v>
      </c>
      <c r="K1091" s="903" t="s">
        <v>1516</v>
      </c>
      <c r="L1091" s="1137"/>
      <c r="M1091" s="1138">
        <f t="shared" si="77"/>
        <v>0</v>
      </c>
      <c r="N1091" s="893">
        <f t="shared" si="81"/>
        <v>0</v>
      </c>
      <c r="O1091" s="905"/>
      <c r="Q1091" s="317" t="str">
        <f t="shared" si="78"/>
        <v/>
      </c>
      <c r="R1091" s="317" t="str">
        <f t="shared" si="79"/>
        <v/>
      </c>
      <c r="S1091" s="317" t="str">
        <f t="shared" si="80"/>
        <v/>
      </c>
      <c r="T1091" s="317" t="str">
        <f>GLOBAL_DER_FEV_2023!S1091</f>
        <v/>
      </c>
      <c r="W1091" s="582">
        <v>0</v>
      </c>
      <c r="X1091" s="580"/>
      <c r="Y1091" s="583">
        <f>IF(GLOBAL_DER_FEV_2023!W1091=0,0,IF(GLOBAL_DER_FEV_2023!W1091&gt;0,"c","b"))</f>
        <v>0</v>
      </c>
    </row>
    <row r="1092" spans="1:25" ht="23.25" hidden="1" thickBot="1" x14ac:dyDescent="0.25">
      <c r="A1092" s="317">
        <v>93024</v>
      </c>
      <c r="B1092" s="895">
        <v>93024</v>
      </c>
      <c r="C1092" s="896" t="s">
        <v>596</v>
      </c>
      <c r="D1092" s="906" t="s">
        <v>1022</v>
      </c>
      <c r="E1092" s="907">
        <f>GLOBAL_DER_FEV_2023!E1092</f>
        <v>0</v>
      </c>
      <c r="F1092" s="908">
        <f>GLOBAL_DER_FEV_2023!F1092</f>
        <v>0</v>
      </c>
      <c r="G1092" s="912">
        <f>GLOBAL_DER_FEV_2023!G1092</f>
        <v>0</v>
      </c>
      <c r="H1092" s="901">
        <f>GLOBAL_DER_FEV_2023!H1092</f>
        <v>63.08</v>
      </c>
      <c r="I1092" s="901">
        <f>GLOBAL_DER_FEV_2023!I1092</f>
        <v>63.08</v>
      </c>
      <c r="J1092" s="902">
        <f>GLOBAL_DER_FEV_2023!J1092</f>
        <v>75.739999999999995</v>
      </c>
      <c r="K1092" s="903" t="s">
        <v>1516</v>
      </c>
      <c r="L1092" s="1137"/>
      <c r="M1092" s="1138">
        <f t="shared" si="77"/>
        <v>0</v>
      </c>
      <c r="N1092" s="893">
        <f t="shared" si="81"/>
        <v>0</v>
      </c>
      <c r="O1092" s="905"/>
      <c r="Q1092" s="317" t="str">
        <f t="shared" si="78"/>
        <v/>
      </c>
      <c r="R1092" s="317" t="str">
        <f t="shared" si="79"/>
        <v/>
      </c>
      <c r="S1092" s="317" t="str">
        <f t="shared" si="80"/>
        <v/>
      </c>
      <c r="T1092" s="317" t="str">
        <f>GLOBAL_DER_FEV_2023!S1092</f>
        <v/>
      </c>
      <c r="W1092" s="582">
        <v>0</v>
      </c>
      <c r="X1092" s="580"/>
      <c r="Y1092" s="583">
        <f>IF(GLOBAL_DER_FEV_2023!W1092=0,0,IF(GLOBAL_DER_FEV_2023!W1092&gt;0,"c","b"))</f>
        <v>0</v>
      </c>
    </row>
    <row r="1093" spans="1:25" ht="23.25" hidden="1" thickBot="1" x14ac:dyDescent="0.25">
      <c r="A1093" s="317">
        <v>93026</v>
      </c>
      <c r="B1093" s="895">
        <v>93026</v>
      </c>
      <c r="C1093" s="896" t="s">
        <v>596</v>
      </c>
      <c r="D1093" s="906" t="s">
        <v>1023</v>
      </c>
      <c r="E1093" s="907">
        <f>GLOBAL_DER_FEV_2023!E1093</f>
        <v>0</v>
      </c>
      <c r="F1093" s="908">
        <f>GLOBAL_DER_FEV_2023!F1093</f>
        <v>0</v>
      </c>
      <c r="G1093" s="912">
        <f>GLOBAL_DER_FEV_2023!G1093</f>
        <v>0</v>
      </c>
      <c r="H1093" s="901">
        <f>GLOBAL_DER_FEV_2023!H1093</f>
        <v>103.23</v>
      </c>
      <c r="I1093" s="901">
        <f>GLOBAL_DER_FEV_2023!I1093</f>
        <v>103.23</v>
      </c>
      <c r="J1093" s="902">
        <f>GLOBAL_DER_FEV_2023!J1093</f>
        <v>123.95</v>
      </c>
      <c r="K1093" s="903" t="s">
        <v>1516</v>
      </c>
      <c r="L1093" s="1137"/>
      <c r="M1093" s="1138">
        <f t="shared" si="77"/>
        <v>0</v>
      </c>
      <c r="N1093" s="893">
        <f t="shared" si="81"/>
        <v>0</v>
      </c>
      <c r="O1093" s="905"/>
      <c r="Q1093" s="317" t="str">
        <f t="shared" si="78"/>
        <v/>
      </c>
      <c r="R1093" s="317" t="str">
        <f t="shared" si="79"/>
        <v/>
      </c>
      <c r="S1093" s="317" t="str">
        <f t="shared" si="80"/>
        <v/>
      </c>
      <c r="T1093" s="317" t="str">
        <f>GLOBAL_DER_FEV_2023!S1093</f>
        <v/>
      </c>
      <c r="W1093" s="582">
        <v>0</v>
      </c>
      <c r="X1093" s="580"/>
      <c r="Y1093" s="583">
        <f>IF(GLOBAL_DER_FEV_2023!W1093=0,0,IF(GLOBAL_DER_FEV_2023!W1093&gt;0,"c","b"))</f>
        <v>0</v>
      </c>
    </row>
    <row r="1094" spans="1:25" ht="34.5" hidden="1" thickBot="1" x14ac:dyDescent="0.25">
      <c r="A1094" s="317">
        <v>97559</v>
      </c>
      <c r="B1094" s="895">
        <v>97559</v>
      </c>
      <c r="C1094" s="896" t="s">
        <v>596</v>
      </c>
      <c r="D1094" s="906" t="s">
        <v>1024</v>
      </c>
      <c r="E1094" s="907">
        <f>GLOBAL_DER_FEV_2023!E1094</f>
        <v>0</v>
      </c>
      <c r="F1094" s="908">
        <f>GLOBAL_DER_FEV_2023!F1094</f>
        <v>0</v>
      </c>
      <c r="G1094" s="912">
        <f>GLOBAL_DER_FEV_2023!G1094</f>
        <v>0</v>
      </c>
      <c r="H1094" s="901">
        <f>GLOBAL_DER_FEV_2023!H1094</f>
        <v>13.05</v>
      </c>
      <c r="I1094" s="901">
        <f>GLOBAL_DER_FEV_2023!I1094</f>
        <v>13.05</v>
      </c>
      <c r="J1094" s="902">
        <f>GLOBAL_DER_FEV_2023!J1094</f>
        <v>15.67</v>
      </c>
      <c r="K1094" s="903" t="s">
        <v>1516</v>
      </c>
      <c r="L1094" s="1137"/>
      <c r="M1094" s="1138">
        <f t="shared" si="77"/>
        <v>0</v>
      </c>
      <c r="N1094" s="893">
        <f t="shared" si="81"/>
        <v>0</v>
      </c>
      <c r="O1094" s="905"/>
      <c r="Q1094" s="317" t="str">
        <f t="shared" si="78"/>
        <v/>
      </c>
      <c r="R1094" s="317" t="str">
        <f t="shared" si="79"/>
        <v/>
      </c>
      <c r="S1094" s="317" t="str">
        <f t="shared" si="80"/>
        <v/>
      </c>
      <c r="T1094" s="317" t="str">
        <f>GLOBAL_DER_FEV_2023!S1094</f>
        <v/>
      </c>
      <c r="W1094" s="582">
        <v>0</v>
      </c>
      <c r="X1094" s="580"/>
      <c r="Y1094" s="583">
        <f>IF(GLOBAL_DER_FEV_2023!W1094=0,0,IF(GLOBAL_DER_FEV_2023!W1094&gt;0,"c","b"))</f>
        <v>0</v>
      </c>
    </row>
    <row r="1095" spans="1:25" ht="34.5" hidden="1" thickBot="1" x14ac:dyDescent="0.25">
      <c r="A1095" s="317">
        <v>97562</v>
      </c>
      <c r="B1095" s="895">
        <v>97562</v>
      </c>
      <c r="C1095" s="896" t="s">
        <v>596</v>
      </c>
      <c r="D1095" s="906" t="s">
        <v>1025</v>
      </c>
      <c r="E1095" s="907">
        <f>GLOBAL_DER_FEV_2023!E1095</f>
        <v>0</v>
      </c>
      <c r="F1095" s="908">
        <f>GLOBAL_DER_FEV_2023!F1095</f>
        <v>0</v>
      </c>
      <c r="G1095" s="912">
        <f>GLOBAL_DER_FEV_2023!G1095</f>
        <v>0</v>
      </c>
      <c r="H1095" s="901">
        <f>GLOBAL_DER_FEV_2023!H1095</f>
        <v>15.57</v>
      </c>
      <c r="I1095" s="901">
        <f>GLOBAL_DER_FEV_2023!I1095</f>
        <v>15.57</v>
      </c>
      <c r="J1095" s="902">
        <f>GLOBAL_DER_FEV_2023!J1095</f>
        <v>18.690000000000001</v>
      </c>
      <c r="K1095" s="903" t="s">
        <v>1516</v>
      </c>
      <c r="L1095" s="1137"/>
      <c r="M1095" s="1138">
        <f t="shared" si="77"/>
        <v>0</v>
      </c>
      <c r="N1095" s="893">
        <f t="shared" si="81"/>
        <v>0</v>
      </c>
      <c r="O1095" s="905"/>
      <c r="Q1095" s="317" t="str">
        <f t="shared" si="78"/>
        <v/>
      </c>
      <c r="R1095" s="317" t="str">
        <f t="shared" si="79"/>
        <v/>
      </c>
      <c r="S1095" s="317" t="str">
        <f t="shared" si="80"/>
        <v/>
      </c>
      <c r="T1095" s="317" t="str">
        <f>GLOBAL_DER_FEV_2023!S1095</f>
        <v/>
      </c>
      <c r="W1095" s="582">
        <v>0</v>
      </c>
      <c r="X1095" s="580"/>
      <c r="Y1095" s="583">
        <f>IF(GLOBAL_DER_FEV_2023!W1095=0,0,IF(GLOBAL_DER_FEV_2023!W1095&gt;0,"c","b"))</f>
        <v>0</v>
      </c>
    </row>
    <row r="1096" spans="1:25" ht="34.5" hidden="1" thickBot="1" x14ac:dyDescent="0.25">
      <c r="A1096" s="317">
        <v>97564</v>
      </c>
      <c r="B1096" s="895">
        <v>97564</v>
      </c>
      <c r="C1096" s="896" t="s">
        <v>596</v>
      </c>
      <c r="D1096" s="906" t="s">
        <v>1026</v>
      </c>
      <c r="E1096" s="907">
        <f>GLOBAL_DER_FEV_2023!E1096</f>
        <v>0</v>
      </c>
      <c r="F1096" s="908">
        <f>GLOBAL_DER_FEV_2023!F1096</f>
        <v>0</v>
      </c>
      <c r="G1096" s="912">
        <f>GLOBAL_DER_FEV_2023!G1096</f>
        <v>0</v>
      </c>
      <c r="H1096" s="901">
        <f>GLOBAL_DER_FEV_2023!H1096</f>
        <v>17.79</v>
      </c>
      <c r="I1096" s="901">
        <f>GLOBAL_DER_FEV_2023!I1096</f>
        <v>17.79</v>
      </c>
      <c r="J1096" s="902">
        <f>GLOBAL_DER_FEV_2023!J1096</f>
        <v>21.36</v>
      </c>
      <c r="K1096" s="903" t="s">
        <v>1516</v>
      </c>
      <c r="L1096" s="1137"/>
      <c r="M1096" s="1138">
        <f t="shared" si="77"/>
        <v>0</v>
      </c>
      <c r="N1096" s="893">
        <f t="shared" si="81"/>
        <v>0</v>
      </c>
      <c r="O1096" s="905"/>
      <c r="Q1096" s="317" t="str">
        <f t="shared" si="78"/>
        <v/>
      </c>
      <c r="R1096" s="317" t="str">
        <f t="shared" si="79"/>
        <v/>
      </c>
      <c r="S1096" s="317" t="str">
        <f t="shared" si="80"/>
        <v/>
      </c>
      <c r="T1096" s="317" t="str">
        <f>GLOBAL_DER_FEV_2023!S1096</f>
        <v/>
      </c>
      <c r="W1096" s="582">
        <v>0</v>
      </c>
      <c r="X1096" s="580"/>
      <c r="Y1096" s="583">
        <f>IF(GLOBAL_DER_FEV_2023!W1096=0,0,IF(GLOBAL_DER_FEV_2023!W1096&gt;0,"c","b"))</f>
        <v>0</v>
      </c>
    </row>
    <row r="1097" spans="1:25" ht="23.25" hidden="1" thickBot="1" x14ac:dyDescent="0.25">
      <c r="A1097" s="317">
        <v>91862</v>
      </c>
      <c r="B1097" s="895">
        <v>91862</v>
      </c>
      <c r="C1097" s="896" t="s">
        <v>596</v>
      </c>
      <c r="D1097" s="906" t="s">
        <v>1027</v>
      </c>
      <c r="E1097" s="907">
        <f>GLOBAL_DER_FEV_2023!E1097</f>
        <v>0</v>
      </c>
      <c r="F1097" s="908">
        <f>GLOBAL_DER_FEV_2023!F1097</f>
        <v>0</v>
      </c>
      <c r="G1097" s="912">
        <f>GLOBAL_DER_FEV_2023!G1097</f>
        <v>0</v>
      </c>
      <c r="H1097" s="901">
        <f>GLOBAL_DER_FEV_2023!H1097</f>
        <v>13.26</v>
      </c>
      <c r="I1097" s="901">
        <f>GLOBAL_DER_FEV_2023!I1097</f>
        <v>13.26</v>
      </c>
      <c r="J1097" s="902">
        <f>GLOBAL_DER_FEV_2023!J1097</f>
        <v>15.92</v>
      </c>
      <c r="K1097" s="903" t="s">
        <v>62</v>
      </c>
      <c r="L1097" s="1137"/>
      <c r="M1097" s="1138">
        <f t="shared" si="77"/>
        <v>0</v>
      </c>
      <c r="N1097" s="893">
        <f t="shared" si="81"/>
        <v>0</v>
      </c>
      <c r="O1097" s="905"/>
      <c r="Q1097" s="317" t="str">
        <f t="shared" si="78"/>
        <v/>
      </c>
      <c r="R1097" s="317" t="str">
        <f t="shared" si="79"/>
        <v/>
      </c>
      <c r="S1097" s="317" t="str">
        <f t="shared" si="80"/>
        <v/>
      </c>
      <c r="T1097" s="317" t="str">
        <f>GLOBAL_DER_FEV_2023!S1097</f>
        <v/>
      </c>
      <c r="W1097" s="582">
        <v>0</v>
      </c>
      <c r="X1097" s="580"/>
      <c r="Y1097" s="583">
        <f>IF(GLOBAL_DER_FEV_2023!W1097=0,0,IF(GLOBAL_DER_FEV_2023!W1097&gt;0,"c","b"))</f>
        <v>0</v>
      </c>
    </row>
    <row r="1098" spans="1:25" ht="23.25" hidden="1" thickBot="1" x14ac:dyDescent="0.25">
      <c r="A1098" s="317">
        <v>91863</v>
      </c>
      <c r="B1098" s="895">
        <v>91863</v>
      </c>
      <c r="C1098" s="896" t="s">
        <v>596</v>
      </c>
      <c r="D1098" s="906" t="s">
        <v>1028</v>
      </c>
      <c r="E1098" s="907">
        <f>GLOBAL_DER_FEV_2023!E1098</f>
        <v>0</v>
      </c>
      <c r="F1098" s="908">
        <f>GLOBAL_DER_FEV_2023!F1098</f>
        <v>0</v>
      </c>
      <c r="G1098" s="912">
        <f>GLOBAL_DER_FEV_2023!G1098</f>
        <v>0</v>
      </c>
      <c r="H1098" s="901">
        <f>GLOBAL_DER_FEV_2023!H1098</f>
        <v>15.67</v>
      </c>
      <c r="I1098" s="901">
        <f>GLOBAL_DER_FEV_2023!I1098</f>
        <v>15.67</v>
      </c>
      <c r="J1098" s="902">
        <f>GLOBAL_DER_FEV_2023!J1098</f>
        <v>18.809999999999999</v>
      </c>
      <c r="K1098" s="903" t="s">
        <v>62</v>
      </c>
      <c r="L1098" s="1137"/>
      <c r="M1098" s="1138">
        <f t="shared" si="77"/>
        <v>0</v>
      </c>
      <c r="N1098" s="893">
        <f t="shared" si="81"/>
        <v>0</v>
      </c>
      <c r="O1098" s="905"/>
      <c r="Q1098" s="317" t="str">
        <f t="shared" si="78"/>
        <v/>
      </c>
      <c r="R1098" s="317" t="str">
        <f t="shared" si="79"/>
        <v/>
      </c>
      <c r="S1098" s="317" t="str">
        <f t="shared" si="80"/>
        <v/>
      </c>
      <c r="T1098" s="317" t="str">
        <f>GLOBAL_DER_FEV_2023!S1098</f>
        <v/>
      </c>
      <c r="W1098" s="582">
        <v>0</v>
      </c>
      <c r="X1098" s="580"/>
      <c r="Y1098" s="583">
        <f>IF(GLOBAL_DER_FEV_2023!W1098=0,0,IF(GLOBAL_DER_FEV_2023!W1098&gt;0,"c","b"))</f>
        <v>0</v>
      </c>
    </row>
    <row r="1099" spans="1:25" ht="23.25" hidden="1" thickBot="1" x14ac:dyDescent="0.25">
      <c r="A1099" s="317">
        <v>91864</v>
      </c>
      <c r="B1099" s="895">
        <v>91864</v>
      </c>
      <c r="C1099" s="896" t="s">
        <v>596</v>
      </c>
      <c r="D1099" s="906" t="s">
        <v>1029</v>
      </c>
      <c r="E1099" s="907">
        <f>GLOBAL_DER_FEV_2023!E1099</f>
        <v>0</v>
      </c>
      <c r="F1099" s="908">
        <f>GLOBAL_DER_FEV_2023!F1099</f>
        <v>0</v>
      </c>
      <c r="G1099" s="912">
        <f>GLOBAL_DER_FEV_2023!G1099</f>
        <v>0</v>
      </c>
      <c r="H1099" s="901">
        <f>GLOBAL_DER_FEV_2023!H1099</f>
        <v>21.09</v>
      </c>
      <c r="I1099" s="901">
        <f>GLOBAL_DER_FEV_2023!I1099</f>
        <v>21.09</v>
      </c>
      <c r="J1099" s="902">
        <f>GLOBAL_DER_FEV_2023!J1099</f>
        <v>25.32</v>
      </c>
      <c r="K1099" s="903" t="s">
        <v>62</v>
      </c>
      <c r="L1099" s="1137"/>
      <c r="M1099" s="1138">
        <f t="shared" si="77"/>
        <v>0</v>
      </c>
      <c r="N1099" s="893">
        <f t="shared" si="81"/>
        <v>0</v>
      </c>
      <c r="O1099" s="905"/>
      <c r="Q1099" s="317" t="str">
        <f t="shared" si="78"/>
        <v/>
      </c>
      <c r="R1099" s="317" t="str">
        <f t="shared" si="79"/>
        <v/>
      </c>
      <c r="S1099" s="317" t="str">
        <f t="shared" si="80"/>
        <v/>
      </c>
      <c r="T1099" s="317" t="str">
        <f>GLOBAL_DER_FEV_2023!S1099</f>
        <v/>
      </c>
      <c r="W1099" s="582">
        <v>0</v>
      </c>
      <c r="X1099" s="580"/>
      <c r="Y1099" s="583">
        <f>IF(GLOBAL_DER_FEV_2023!W1099=0,0,IF(GLOBAL_DER_FEV_2023!W1099&gt;0,"c","b"))</f>
        <v>0</v>
      </c>
    </row>
    <row r="1100" spans="1:25" ht="23.25" hidden="1" thickBot="1" x14ac:dyDescent="0.25">
      <c r="A1100" s="317">
        <v>91865</v>
      </c>
      <c r="B1100" s="895">
        <v>91865</v>
      </c>
      <c r="C1100" s="896" t="s">
        <v>596</v>
      </c>
      <c r="D1100" s="906" t="s">
        <v>1030</v>
      </c>
      <c r="E1100" s="907">
        <f>GLOBAL_DER_FEV_2023!E1100</f>
        <v>0</v>
      </c>
      <c r="F1100" s="908">
        <f>GLOBAL_DER_FEV_2023!F1100</f>
        <v>0</v>
      </c>
      <c r="G1100" s="912">
        <f>GLOBAL_DER_FEV_2023!G1100</f>
        <v>0</v>
      </c>
      <c r="H1100" s="901">
        <f>GLOBAL_DER_FEV_2023!H1100</f>
        <v>26.43</v>
      </c>
      <c r="I1100" s="901">
        <f>GLOBAL_DER_FEV_2023!I1100</f>
        <v>26.43</v>
      </c>
      <c r="J1100" s="902">
        <f>GLOBAL_DER_FEV_2023!J1100</f>
        <v>31.73</v>
      </c>
      <c r="K1100" s="903" t="s">
        <v>62</v>
      </c>
      <c r="L1100" s="1137"/>
      <c r="M1100" s="1138">
        <f t="shared" si="77"/>
        <v>0</v>
      </c>
      <c r="N1100" s="893">
        <f t="shared" si="81"/>
        <v>0</v>
      </c>
      <c r="O1100" s="905"/>
      <c r="Q1100" s="317" t="str">
        <f t="shared" si="78"/>
        <v/>
      </c>
      <c r="R1100" s="317" t="str">
        <f t="shared" si="79"/>
        <v/>
      </c>
      <c r="S1100" s="317" t="str">
        <f t="shared" si="80"/>
        <v/>
      </c>
      <c r="T1100" s="317" t="str">
        <f>GLOBAL_DER_FEV_2023!S1100</f>
        <v/>
      </c>
      <c r="W1100" s="582">
        <v>0</v>
      </c>
      <c r="X1100" s="580"/>
      <c r="Y1100" s="583">
        <f>IF(GLOBAL_DER_FEV_2023!W1100=0,0,IF(GLOBAL_DER_FEV_2023!W1100&gt;0,"c","b"))</f>
        <v>0</v>
      </c>
    </row>
    <row r="1101" spans="1:25" ht="23.25" hidden="1" thickBot="1" x14ac:dyDescent="0.25">
      <c r="A1101" s="317">
        <v>91866</v>
      </c>
      <c r="B1101" s="895">
        <v>91866</v>
      </c>
      <c r="C1101" s="896" t="s">
        <v>596</v>
      </c>
      <c r="D1101" s="906" t="s">
        <v>1031</v>
      </c>
      <c r="E1101" s="907">
        <f>GLOBAL_DER_FEV_2023!E1101</f>
        <v>0</v>
      </c>
      <c r="F1101" s="908">
        <f>GLOBAL_DER_FEV_2023!F1101</f>
        <v>0</v>
      </c>
      <c r="G1101" s="912">
        <f>GLOBAL_DER_FEV_2023!G1101</f>
        <v>0</v>
      </c>
      <c r="H1101" s="901">
        <f>GLOBAL_DER_FEV_2023!H1101</f>
        <v>10.81</v>
      </c>
      <c r="I1101" s="901">
        <f>GLOBAL_DER_FEV_2023!I1101</f>
        <v>10.81</v>
      </c>
      <c r="J1101" s="902">
        <f>GLOBAL_DER_FEV_2023!J1101</f>
        <v>12.98</v>
      </c>
      <c r="K1101" s="903" t="s">
        <v>62</v>
      </c>
      <c r="L1101" s="1137"/>
      <c r="M1101" s="1138">
        <f t="shared" si="77"/>
        <v>0</v>
      </c>
      <c r="N1101" s="893">
        <f t="shared" si="81"/>
        <v>0</v>
      </c>
      <c r="O1101" s="905"/>
      <c r="Q1101" s="317" t="str">
        <f t="shared" si="78"/>
        <v/>
      </c>
      <c r="R1101" s="317" t="str">
        <f t="shared" si="79"/>
        <v/>
      </c>
      <c r="S1101" s="317" t="str">
        <f t="shared" si="80"/>
        <v/>
      </c>
      <c r="T1101" s="317" t="str">
        <f>GLOBAL_DER_FEV_2023!S1101</f>
        <v/>
      </c>
      <c r="W1101" s="582">
        <v>0</v>
      </c>
      <c r="X1101" s="580"/>
      <c r="Y1101" s="583">
        <f>IF(GLOBAL_DER_FEV_2023!W1101=0,0,IF(GLOBAL_DER_FEV_2023!W1101&gt;0,"c","b"))</f>
        <v>0</v>
      </c>
    </row>
    <row r="1102" spans="1:25" ht="23.25" hidden="1" thickBot="1" x14ac:dyDescent="0.25">
      <c r="A1102" s="317">
        <v>91867</v>
      </c>
      <c r="B1102" s="895">
        <v>91867</v>
      </c>
      <c r="C1102" s="896" t="s">
        <v>596</v>
      </c>
      <c r="D1102" s="906" t="s">
        <v>1032</v>
      </c>
      <c r="E1102" s="907">
        <f>GLOBAL_DER_FEV_2023!E1102</f>
        <v>0</v>
      </c>
      <c r="F1102" s="908">
        <f>GLOBAL_DER_FEV_2023!F1102</f>
        <v>0</v>
      </c>
      <c r="G1102" s="912">
        <f>GLOBAL_DER_FEV_2023!G1102</f>
        <v>0</v>
      </c>
      <c r="H1102" s="901">
        <f>GLOBAL_DER_FEV_2023!H1102</f>
        <v>13.22</v>
      </c>
      <c r="I1102" s="901">
        <f>GLOBAL_DER_FEV_2023!I1102</f>
        <v>13.22</v>
      </c>
      <c r="J1102" s="902">
        <f>GLOBAL_DER_FEV_2023!J1102</f>
        <v>15.87</v>
      </c>
      <c r="K1102" s="903" t="s">
        <v>62</v>
      </c>
      <c r="L1102" s="1137"/>
      <c r="M1102" s="1138">
        <f t="shared" si="77"/>
        <v>0</v>
      </c>
      <c r="N1102" s="893">
        <f t="shared" si="81"/>
        <v>0</v>
      </c>
      <c r="O1102" s="905"/>
      <c r="Q1102" s="317" t="str">
        <f t="shared" si="78"/>
        <v/>
      </c>
      <c r="R1102" s="317" t="str">
        <f t="shared" si="79"/>
        <v/>
      </c>
      <c r="S1102" s="317" t="str">
        <f t="shared" si="80"/>
        <v/>
      </c>
      <c r="T1102" s="317" t="str">
        <f>GLOBAL_DER_FEV_2023!S1102</f>
        <v/>
      </c>
      <c r="W1102" s="582">
        <v>0</v>
      </c>
      <c r="X1102" s="580"/>
      <c r="Y1102" s="583">
        <f>IF(GLOBAL_DER_FEV_2023!W1102=0,0,IF(GLOBAL_DER_FEV_2023!W1102&gt;0,"c","b"))</f>
        <v>0</v>
      </c>
    </row>
    <row r="1103" spans="1:25" ht="23.25" hidden="1" thickBot="1" x14ac:dyDescent="0.25">
      <c r="A1103" s="317">
        <v>91868</v>
      </c>
      <c r="B1103" s="895">
        <v>91868</v>
      </c>
      <c r="C1103" s="896" t="s">
        <v>596</v>
      </c>
      <c r="D1103" s="906" t="s">
        <v>1033</v>
      </c>
      <c r="E1103" s="907">
        <f>GLOBAL_DER_FEV_2023!E1103</f>
        <v>0</v>
      </c>
      <c r="F1103" s="908">
        <f>GLOBAL_DER_FEV_2023!F1103</f>
        <v>0</v>
      </c>
      <c r="G1103" s="912">
        <f>GLOBAL_DER_FEV_2023!G1103</f>
        <v>0</v>
      </c>
      <c r="H1103" s="901">
        <f>GLOBAL_DER_FEV_2023!H1103</f>
        <v>18.64</v>
      </c>
      <c r="I1103" s="901">
        <f>GLOBAL_DER_FEV_2023!I1103</f>
        <v>18.64</v>
      </c>
      <c r="J1103" s="902">
        <f>GLOBAL_DER_FEV_2023!J1103</f>
        <v>22.38</v>
      </c>
      <c r="K1103" s="903" t="s">
        <v>62</v>
      </c>
      <c r="L1103" s="1137"/>
      <c r="M1103" s="1138">
        <f t="shared" si="77"/>
        <v>0</v>
      </c>
      <c r="N1103" s="893">
        <f t="shared" si="81"/>
        <v>0</v>
      </c>
      <c r="O1103" s="905"/>
      <c r="Q1103" s="317" t="str">
        <f t="shared" si="78"/>
        <v/>
      </c>
      <c r="R1103" s="317" t="str">
        <f t="shared" si="79"/>
        <v/>
      </c>
      <c r="S1103" s="317" t="str">
        <f t="shared" si="80"/>
        <v/>
      </c>
      <c r="T1103" s="317" t="str">
        <f>GLOBAL_DER_FEV_2023!S1103</f>
        <v/>
      </c>
      <c r="W1103" s="582">
        <v>0</v>
      </c>
      <c r="X1103" s="580"/>
      <c r="Y1103" s="583">
        <f>IF(GLOBAL_DER_FEV_2023!W1103=0,0,IF(GLOBAL_DER_FEV_2023!W1103&gt;0,"c","b"))</f>
        <v>0</v>
      </c>
    </row>
    <row r="1104" spans="1:25" ht="23.25" hidden="1" thickBot="1" x14ac:dyDescent="0.25">
      <c r="A1104" s="317">
        <v>91869</v>
      </c>
      <c r="B1104" s="895">
        <v>91869</v>
      </c>
      <c r="C1104" s="896" t="s">
        <v>596</v>
      </c>
      <c r="D1104" s="906" t="s">
        <v>1034</v>
      </c>
      <c r="E1104" s="907">
        <f>GLOBAL_DER_FEV_2023!E1104</f>
        <v>0</v>
      </c>
      <c r="F1104" s="908">
        <f>GLOBAL_DER_FEV_2023!F1104</f>
        <v>0</v>
      </c>
      <c r="G1104" s="912">
        <f>GLOBAL_DER_FEV_2023!G1104</f>
        <v>0</v>
      </c>
      <c r="H1104" s="901">
        <f>GLOBAL_DER_FEV_2023!H1104</f>
        <v>23.99</v>
      </c>
      <c r="I1104" s="901">
        <f>GLOBAL_DER_FEV_2023!I1104</f>
        <v>23.99</v>
      </c>
      <c r="J1104" s="902">
        <f>GLOBAL_DER_FEV_2023!J1104</f>
        <v>28.8</v>
      </c>
      <c r="K1104" s="903" t="s">
        <v>62</v>
      </c>
      <c r="L1104" s="1137"/>
      <c r="M1104" s="1138">
        <f t="shared" si="77"/>
        <v>0</v>
      </c>
      <c r="N1104" s="893">
        <f t="shared" si="81"/>
        <v>0</v>
      </c>
      <c r="O1104" s="905"/>
      <c r="Q1104" s="317" t="str">
        <f t="shared" si="78"/>
        <v/>
      </c>
      <c r="R1104" s="317" t="str">
        <f t="shared" si="79"/>
        <v/>
      </c>
      <c r="S1104" s="317" t="str">
        <f t="shared" si="80"/>
        <v/>
      </c>
      <c r="T1104" s="317" t="str">
        <f>GLOBAL_DER_FEV_2023!S1104</f>
        <v/>
      </c>
      <c r="W1104" s="582">
        <v>0</v>
      </c>
      <c r="X1104" s="580"/>
      <c r="Y1104" s="583">
        <f>IF(GLOBAL_DER_FEV_2023!W1104=0,0,IF(GLOBAL_DER_FEV_2023!W1104&gt;0,"c","b"))</f>
        <v>0</v>
      </c>
    </row>
    <row r="1105" spans="1:25" ht="23.25" hidden="1" thickBot="1" x14ac:dyDescent="0.25">
      <c r="A1105" s="317">
        <v>91870</v>
      </c>
      <c r="B1105" s="895">
        <v>91870</v>
      </c>
      <c r="C1105" s="896" t="s">
        <v>596</v>
      </c>
      <c r="D1105" s="906" t="s">
        <v>1035</v>
      </c>
      <c r="E1105" s="907">
        <f>GLOBAL_DER_FEV_2023!E1105</f>
        <v>0</v>
      </c>
      <c r="F1105" s="908">
        <f>GLOBAL_DER_FEV_2023!F1105</f>
        <v>0</v>
      </c>
      <c r="G1105" s="912">
        <f>GLOBAL_DER_FEV_2023!G1105</f>
        <v>0</v>
      </c>
      <c r="H1105" s="901">
        <f>GLOBAL_DER_FEV_2023!H1105</f>
        <v>14.78</v>
      </c>
      <c r="I1105" s="901">
        <f>GLOBAL_DER_FEV_2023!I1105</f>
        <v>14.78</v>
      </c>
      <c r="J1105" s="902">
        <f>GLOBAL_DER_FEV_2023!J1105</f>
        <v>17.75</v>
      </c>
      <c r="K1105" s="903" t="s">
        <v>62</v>
      </c>
      <c r="L1105" s="1137"/>
      <c r="M1105" s="1138">
        <f t="shared" si="77"/>
        <v>0</v>
      </c>
      <c r="N1105" s="893">
        <f t="shared" si="81"/>
        <v>0</v>
      </c>
      <c r="O1105" s="905"/>
      <c r="Q1105" s="317" t="str">
        <f t="shared" si="78"/>
        <v/>
      </c>
      <c r="R1105" s="317" t="str">
        <f t="shared" si="79"/>
        <v/>
      </c>
      <c r="S1105" s="317" t="str">
        <f t="shared" si="80"/>
        <v/>
      </c>
      <c r="T1105" s="317" t="str">
        <f>GLOBAL_DER_FEV_2023!S1105</f>
        <v/>
      </c>
      <c r="W1105" s="582">
        <v>0</v>
      </c>
      <c r="X1105" s="580"/>
      <c r="Y1105" s="583">
        <f>IF(GLOBAL_DER_FEV_2023!W1105=0,0,IF(GLOBAL_DER_FEV_2023!W1105&gt;0,"c","b"))</f>
        <v>0</v>
      </c>
    </row>
    <row r="1106" spans="1:25" ht="23.25" hidden="1" thickBot="1" x14ac:dyDescent="0.25">
      <c r="A1106" s="317">
        <v>91871</v>
      </c>
      <c r="B1106" s="895">
        <v>91871</v>
      </c>
      <c r="C1106" s="896" t="s">
        <v>596</v>
      </c>
      <c r="D1106" s="906" t="s">
        <v>1036</v>
      </c>
      <c r="E1106" s="907">
        <f>GLOBAL_DER_FEV_2023!E1106</f>
        <v>0</v>
      </c>
      <c r="F1106" s="908">
        <f>GLOBAL_DER_FEV_2023!F1106</f>
        <v>0</v>
      </c>
      <c r="G1106" s="912">
        <f>GLOBAL_DER_FEV_2023!G1106</f>
        <v>0</v>
      </c>
      <c r="H1106" s="901">
        <f>GLOBAL_DER_FEV_2023!H1106</f>
        <v>17.260000000000002</v>
      </c>
      <c r="I1106" s="901">
        <f>GLOBAL_DER_FEV_2023!I1106</f>
        <v>17.260000000000002</v>
      </c>
      <c r="J1106" s="902">
        <f>GLOBAL_DER_FEV_2023!J1106</f>
        <v>20.72</v>
      </c>
      <c r="K1106" s="903" t="s">
        <v>62</v>
      </c>
      <c r="L1106" s="1137"/>
      <c r="M1106" s="1138">
        <f t="shared" ref="M1106:M1169" si="82">IF(L1106=0,0,ROUND(J1106,2))</f>
        <v>0</v>
      </c>
      <c r="N1106" s="893">
        <f t="shared" si="81"/>
        <v>0</v>
      </c>
      <c r="O1106" s="905"/>
      <c r="Q1106" s="317" t="str">
        <f t="shared" si="78"/>
        <v/>
      </c>
      <c r="R1106" s="317" t="str">
        <f t="shared" si="79"/>
        <v/>
      </c>
      <c r="S1106" s="317" t="str">
        <f t="shared" si="80"/>
        <v/>
      </c>
      <c r="T1106" s="317" t="str">
        <f>GLOBAL_DER_FEV_2023!S1106</f>
        <v/>
      </c>
      <c r="W1106" s="582">
        <v>0</v>
      </c>
      <c r="X1106" s="580"/>
      <c r="Y1106" s="583">
        <f>IF(GLOBAL_DER_FEV_2023!W1106=0,0,IF(GLOBAL_DER_FEV_2023!W1106&gt;0,"c","b"))</f>
        <v>0</v>
      </c>
    </row>
    <row r="1107" spans="1:25" ht="23.25" hidden="1" thickBot="1" x14ac:dyDescent="0.25">
      <c r="A1107" s="317">
        <v>91872</v>
      </c>
      <c r="B1107" s="895">
        <v>91872</v>
      </c>
      <c r="C1107" s="896" t="s">
        <v>596</v>
      </c>
      <c r="D1107" s="906" t="s">
        <v>1037</v>
      </c>
      <c r="E1107" s="907">
        <f>GLOBAL_DER_FEV_2023!E1107</f>
        <v>0</v>
      </c>
      <c r="F1107" s="908">
        <f>GLOBAL_DER_FEV_2023!F1107</f>
        <v>0</v>
      </c>
      <c r="G1107" s="912">
        <f>GLOBAL_DER_FEV_2023!G1107</f>
        <v>0</v>
      </c>
      <c r="H1107" s="901">
        <f>GLOBAL_DER_FEV_2023!H1107</f>
        <v>22.67</v>
      </c>
      <c r="I1107" s="901">
        <f>GLOBAL_DER_FEV_2023!I1107</f>
        <v>22.67</v>
      </c>
      <c r="J1107" s="902">
        <f>GLOBAL_DER_FEV_2023!J1107</f>
        <v>27.22</v>
      </c>
      <c r="K1107" s="903" t="s">
        <v>62</v>
      </c>
      <c r="L1107" s="1137"/>
      <c r="M1107" s="1138">
        <f t="shared" si="82"/>
        <v>0</v>
      </c>
      <c r="N1107" s="893">
        <f t="shared" si="81"/>
        <v>0</v>
      </c>
      <c r="O1107" s="905"/>
      <c r="Q1107" s="317" t="str">
        <f t="shared" si="78"/>
        <v/>
      </c>
      <c r="R1107" s="317" t="str">
        <f t="shared" si="79"/>
        <v/>
      </c>
      <c r="S1107" s="317" t="str">
        <f t="shared" si="80"/>
        <v/>
      </c>
      <c r="T1107" s="317" t="str">
        <f>GLOBAL_DER_FEV_2023!S1107</f>
        <v/>
      </c>
      <c r="W1107" s="582">
        <v>0</v>
      </c>
      <c r="X1107" s="580"/>
      <c r="Y1107" s="583">
        <f>IF(GLOBAL_DER_FEV_2023!W1107=0,0,IF(GLOBAL_DER_FEV_2023!W1107&gt;0,"c","b"))</f>
        <v>0</v>
      </c>
    </row>
    <row r="1108" spans="1:25" ht="23.25" hidden="1" thickBot="1" x14ac:dyDescent="0.25">
      <c r="A1108" s="317">
        <v>91873</v>
      </c>
      <c r="B1108" s="895">
        <v>91873</v>
      </c>
      <c r="C1108" s="896" t="s">
        <v>596</v>
      </c>
      <c r="D1108" s="906" t="s">
        <v>1038</v>
      </c>
      <c r="E1108" s="907">
        <f>GLOBAL_DER_FEV_2023!E1108</f>
        <v>0</v>
      </c>
      <c r="F1108" s="908">
        <f>GLOBAL_DER_FEV_2023!F1108</f>
        <v>0</v>
      </c>
      <c r="G1108" s="912">
        <f>GLOBAL_DER_FEV_2023!G1108</f>
        <v>0</v>
      </c>
      <c r="H1108" s="901">
        <f>GLOBAL_DER_FEV_2023!H1108</f>
        <v>27.96</v>
      </c>
      <c r="I1108" s="901">
        <f>GLOBAL_DER_FEV_2023!I1108</f>
        <v>27.96</v>
      </c>
      <c r="J1108" s="902">
        <f>GLOBAL_DER_FEV_2023!J1108</f>
        <v>33.57</v>
      </c>
      <c r="K1108" s="903" t="s">
        <v>62</v>
      </c>
      <c r="L1108" s="1137"/>
      <c r="M1108" s="1138">
        <f t="shared" si="82"/>
        <v>0</v>
      </c>
      <c r="N1108" s="893">
        <f t="shared" si="81"/>
        <v>0</v>
      </c>
      <c r="O1108" s="905"/>
      <c r="Q1108" s="317" t="str">
        <f t="shared" si="78"/>
        <v/>
      </c>
      <c r="R1108" s="317" t="str">
        <f t="shared" si="79"/>
        <v/>
      </c>
      <c r="S1108" s="317" t="str">
        <f t="shared" si="80"/>
        <v/>
      </c>
      <c r="T1108" s="317" t="str">
        <f>GLOBAL_DER_FEV_2023!S1108</f>
        <v/>
      </c>
      <c r="W1108" s="582">
        <v>0</v>
      </c>
      <c r="X1108" s="580"/>
      <c r="Y1108" s="583">
        <f>IF(GLOBAL_DER_FEV_2023!W1108=0,0,IF(GLOBAL_DER_FEV_2023!W1108&gt;0,"c","b"))</f>
        <v>0</v>
      </c>
    </row>
    <row r="1109" spans="1:25" ht="23.25" hidden="1" thickBot="1" x14ac:dyDescent="0.25">
      <c r="A1109" s="317">
        <v>93008</v>
      </c>
      <c r="B1109" s="895">
        <v>93008</v>
      </c>
      <c r="C1109" s="896" t="s">
        <v>596</v>
      </c>
      <c r="D1109" s="906" t="s">
        <v>1039</v>
      </c>
      <c r="E1109" s="907">
        <f>GLOBAL_DER_FEV_2023!E1109</f>
        <v>0</v>
      </c>
      <c r="F1109" s="908">
        <f>GLOBAL_DER_FEV_2023!F1109</f>
        <v>0</v>
      </c>
      <c r="G1109" s="912">
        <f>GLOBAL_DER_FEV_2023!G1109</f>
        <v>0</v>
      </c>
      <c r="H1109" s="901">
        <f>GLOBAL_DER_FEV_2023!H1109</f>
        <v>24.19</v>
      </c>
      <c r="I1109" s="901">
        <f>GLOBAL_DER_FEV_2023!I1109</f>
        <v>24.19</v>
      </c>
      <c r="J1109" s="902">
        <f>GLOBAL_DER_FEV_2023!J1109</f>
        <v>29.04</v>
      </c>
      <c r="K1109" s="903" t="s">
        <v>62</v>
      </c>
      <c r="L1109" s="1137"/>
      <c r="M1109" s="1138">
        <f t="shared" si="82"/>
        <v>0</v>
      </c>
      <c r="N1109" s="893">
        <f t="shared" si="81"/>
        <v>0</v>
      </c>
      <c r="O1109" s="905"/>
      <c r="Q1109" s="317" t="str">
        <f t="shared" si="78"/>
        <v/>
      </c>
      <c r="R1109" s="317" t="str">
        <f t="shared" si="79"/>
        <v/>
      </c>
      <c r="S1109" s="317" t="str">
        <f t="shared" si="80"/>
        <v/>
      </c>
      <c r="T1109" s="317" t="str">
        <f>GLOBAL_DER_FEV_2023!S1109</f>
        <v/>
      </c>
      <c r="W1109" s="582">
        <v>0</v>
      </c>
      <c r="X1109" s="580"/>
      <c r="Y1109" s="583">
        <f>IF(GLOBAL_DER_FEV_2023!W1109=0,0,IF(GLOBAL_DER_FEV_2023!W1109&gt;0,"c","b"))</f>
        <v>0</v>
      </c>
    </row>
    <row r="1110" spans="1:25" ht="23.25" hidden="1" thickBot="1" x14ac:dyDescent="0.25">
      <c r="A1110" s="317">
        <v>93009</v>
      </c>
      <c r="B1110" s="895">
        <v>93009</v>
      </c>
      <c r="C1110" s="896" t="s">
        <v>596</v>
      </c>
      <c r="D1110" s="906" t="s">
        <v>1040</v>
      </c>
      <c r="E1110" s="907">
        <f>GLOBAL_DER_FEV_2023!E1110</f>
        <v>0</v>
      </c>
      <c r="F1110" s="908">
        <f>GLOBAL_DER_FEV_2023!F1110</f>
        <v>0</v>
      </c>
      <c r="G1110" s="912">
        <f>GLOBAL_DER_FEV_2023!G1110</f>
        <v>0</v>
      </c>
      <c r="H1110" s="901">
        <f>GLOBAL_DER_FEV_2023!H1110</f>
        <v>36.299999999999997</v>
      </c>
      <c r="I1110" s="901">
        <f>GLOBAL_DER_FEV_2023!I1110</f>
        <v>36.299999999999997</v>
      </c>
      <c r="J1110" s="902">
        <f>GLOBAL_DER_FEV_2023!J1110</f>
        <v>43.59</v>
      </c>
      <c r="K1110" s="903" t="s">
        <v>62</v>
      </c>
      <c r="L1110" s="1137"/>
      <c r="M1110" s="1138">
        <f t="shared" si="82"/>
        <v>0</v>
      </c>
      <c r="N1110" s="893">
        <f t="shared" si="81"/>
        <v>0</v>
      </c>
      <c r="O1110" s="905"/>
      <c r="Q1110" s="317" t="str">
        <f t="shared" si="78"/>
        <v/>
      </c>
      <c r="R1110" s="317" t="str">
        <f t="shared" si="79"/>
        <v/>
      </c>
      <c r="S1110" s="317" t="str">
        <f t="shared" si="80"/>
        <v/>
      </c>
      <c r="T1110" s="317" t="str">
        <f>GLOBAL_DER_FEV_2023!S1110</f>
        <v/>
      </c>
      <c r="W1110" s="582">
        <v>0</v>
      </c>
      <c r="X1110" s="580"/>
      <c r="Y1110" s="583">
        <f>IF(GLOBAL_DER_FEV_2023!W1110=0,0,IF(GLOBAL_DER_FEV_2023!W1110&gt;0,"c","b"))</f>
        <v>0</v>
      </c>
    </row>
    <row r="1111" spans="1:25" ht="23.25" hidden="1" thickBot="1" x14ac:dyDescent="0.25">
      <c r="A1111" s="317">
        <v>93010</v>
      </c>
      <c r="B1111" s="895">
        <v>93010</v>
      </c>
      <c r="C1111" s="896" t="s">
        <v>596</v>
      </c>
      <c r="D1111" s="906" t="s">
        <v>1041</v>
      </c>
      <c r="E1111" s="907">
        <f>GLOBAL_DER_FEV_2023!E1111</f>
        <v>0</v>
      </c>
      <c r="F1111" s="908">
        <f>GLOBAL_DER_FEV_2023!F1111</f>
        <v>0</v>
      </c>
      <c r="G1111" s="912">
        <f>GLOBAL_DER_FEV_2023!G1111</f>
        <v>0</v>
      </c>
      <c r="H1111" s="901">
        <f>GLOBAL_DER_FEV_2023!H1111</f>
        <v>50.91</v>
      </c>
      <c r="I1111" s="901">
        <f>GLOBAL_DER_FEV_2023!I1111</f>
        <v>50.91</v>
      </c>
      <c r="J1111" s="902">
        <f>GLOBAL_DER_FEV_2023!J1111</f>
        <v>61.13</v>
      </c>
      <c r="K1111" s="903" t="s">
        <v>62</v>
      </c>
      <c r="L1111" s="1137"/>
      <c r="M1111" s="1138">
        <f t="shared" si="82"/>
        <v>0</v>
      </c>
      <c r="N1111" s="893">
        <f t="shared" si="81"/>
        <v>0</v>
      </c>
      <c r="O1111" s="905"/>
      <c r="Q1111" s="317" t="str">
        <f t="shared" si="78"/>
        <v/>
      </c>
      <c r="R1111" s="317" t="str">
        <f t="shared" si="79"/>
        <v/>
      </c>
      <c r="S1111" s="317" t="str">
        <f t="shared" si="80"/>
        <v/>
      </c>
      <c r="T1111" s="317" t="str">
        <f>GLOBAL_DER_FEV_2023!S1111</f>
        <v/>
      </c>
      <c r="W1111" s="582">
        <v>0</v>
      </c>
      <c r="X1111" s="580"/>
      <c r="Y1111" s="583">
        <f>IF(GLOBAL_DER_FEV_2023!W1111=0,0,IF(GLOBAL_DER_FEV_2023!W1111&gt;0,"c","b"))</f>
        <v>0</v>
      </c>
    </row>
    <row r="1112" spans="1:25" ht="23.25" hidden="1" thickBot="1" x14ac:dyDescent="0.25">
      <c r="A1112" s="317">
        <v>93011</v>
      </c>
      <c r="B1112" s="895">
        <v>93011</v>
      </c>
      <c r="C1112" s="896" t="s">
        <v>596</v>
      </c>
      <c r="D1112" s="906" t="s">
        <v>1042</v>
      </c>
      <c r="E1112" s="907">
        <f>GLOBAL_DER_FEV_2023!E1112</f>
        <v>0</v>
      </c>
      <c r="F1112" s="908">
        <f>GLOBAL_DER_FEV_2023!F1112</f>
        <v>0</v>
      </c>
      <c r="G1112" s="912">
        <f>GLOBAL_DER_FEV_2023!G1112</f>
        <v>0</v>
      </c>
      <c r="H1112" s="901">
        <f>GLOBAL_DER_FEV_2023!H1112</f>
        <v>62.51</v>
      </c>
      <c r="I1112" s="901">
        <f>GLOBAL_DER_FEV_2023!I1112</f>
        <v>62.51</v>
      </c>
      <c r="J1112" s="902">
        <f>GLOBAL_DER_FEV_2023!J1112</f>
        <v>75.06</v>
      </c>
      <c r="K1112" s="903" t="s">
        <v>62</v>
      </c>
      <c r="L1112" s="1137"/>
      <c r="M1112" s="1138">
        <f t="shared" si="82"/>
        <v>0</v>
      </c>
      <c r="N1112" s="893">
        <f t="shared" si="81"/>
        <v>0</v>
      </c>
      <c r="O1112" s="905"/>
      <c r="Q1112" s="317" t="str">
        <f t="shared" si="78"/>
        <v/>
      </c>
      <c r="R1112" s="317" t="str">
        <f t="shared" si="79"/>
        <v/>
      </c>
      <c r="S1112" s="317" t="str">
        <f t="shared" si="80"/>
        <v/>
      </c>
      <c r="T1112" s="317" t="str">
        <f>GLOBAL_DER_FEV_2023!S1112</f>
        <v/>
      </c>
      <c r="W1112" s="582">
        <v>0</v>
      </c>
      <c r="X1112" s="580"/>
      <c r="Y1112" s="583">
        <f>IF(GLOBAL_DER_FEV_2023!W1112=0,0,IF(GLOBAL_DER_FEV_2023!W1112&gt;0,"c","b"))</f>
        <v>0</v>
      </c>
    </row>
    <row r="1113" spans="1:25" ht="23.25" hidden="1" thickBot="1" x14ac:dyDescent="0.25">
      <c r="A1113" s="317">
        <v>93012</v>
      </c>
      <c r="B1113" s="895">
        <v>93012</v>
      </c>
      <c r="C1113" s="896" t="s">
        <v>596</v>
      </c>
      <c r="D1113" s="906" t="s">
        <v>1043</v>
      </c>
      <c r="E1113" s="907">
        <f>GLOBAL_DER_FEV_2023!E1113</f>
        <v>0</v>
      </c>
      <c r="F1113" s="908">
        <f>GLOBAL_DER_FEV_2023!F1113</f>
        <v>0</v>
      </c>
      <c r="G1113" s="912">
        <f>GLOBAL_DER_FEV_2023!G1113</f>
        <v>0</v>
      </c>
      <c r="H1113" s="901">
        <f>GLOBAL_DER_FEV_2023!H1113</f>
        <v>95.11</v>
      </c>
      <c r="I1113" s="901">
        <f>GLOBAL_DER_FEV_2023!I1113</f>
        <v>95.11</v>
      </c>
      <c r="J1113" s="902">
        <f>GLOBAL_DER_FEV_2023!J1113</f>
        <v>114.2</v>
      </c>
      <c r="K1113" s="903" t="s">
        <v>62</v>
      </c>
      <c r="L1113" s="1137"/>
      <c r="M1113" s="1138">
        <f t="shared" si="82"/>
        <v>0</v>
      </c>
      <c r="N1113" s="893">
        <f t="shared" si="81"/>
        <v>0</v>
      </c>
      <c r="O1113" s="905"/>
      <c r="Q1113" s="317" t="str">
        <f t="shared" si="78"/>
        <v/>
      </c>
      <c r="R1113" s="317" t="str">
        <f t="shared" si="79"/>
        <v/>
      </c>
      <c r="S1113" s="317" t="str">
        <f t="shared" si="80"/>
        <v/>
      </c>
      <c r="T1113" s="317" t="str">
        <f>GLOBAL_DER_FEV_2023!S1113</f>
        <v/>
      </c>
      <c r="W1113" s="582">
        <v>0</v>
      </c>
      <c r="X1113" s="580"/>
      <c r="Y1113" s="583">
        <f>IF(GLOBAL_DER_FEV_2023!W1113=0,0,IF(GLOBAL_DER_FEV_2023!W1113&gt;0,"c","b"))</f>
        <v>0</v>
      </c>
    </row>
    <row r="1114" spans="1:25" ht="23.25" hidden="1" thickBot="1" x14ac:dyDescent="0.25">
      <c r="A1114" s="317">
        <v>95726</v>
      </c>
      <c r="B1114" s="895">
        <v>95726</v>
      </c>
      <c r="C1114" s="896" t="s">
        <v>596</v>
      </c>
      <c r="D1114" s="906" t="s">
        <v>1044</v>
      </c>
      <c r="E1114" s="907">
        <f>GLOBAL_DER_FEV_2023!E1114</f>
        <v>0</v>
      </c>
      <c r="F1114" s="908">
        <f>GLOBAL_DER_FEV_2023!F1114</f>
        <v>0</v>
      </c>
      <c r="G1114" s="912">
        <f>GLOBAL_DER_FEV_2023!G1114</f>
        <v>0</v>
      </c>
      <c r="H1114" s="901">
        <f>GLOBAL_DER_FEV_2023!H1114</f>
        <v>10.94</v>
      </c>
      <c r="I1114" s="901">
        <f>GLOBAL_DER_FEV_2023!I1114</f>
        <v>10.94</v>
      </c>
      <c r="J1114" s="902">
        <f>GLOBAL_DER_FEV_2023!J1114</f>
        <v>13.14</v>
      </c>
      <c r="K1114" s="903" t="s">
        <v>62</v>
      </c>
      <c r="L1114" s="1137"/>
      <c r="M1114" s="1138">
        <f t="shared" si="82"/>
        <v>0</v>
      </c>
      <c r="N1114" s="893">
        <f t="shared" si="81"/>
        <v>0</v>
      </c>
      <c r="O1114" s="905"/>
      <c r="Q1114" s="317" t="str">
        <f t="shared" si="78"/>
        <v/>
      </c>
      <c r="R1114" s="317" t="str">
        <f t="shared" si="79"/>
        <v/>
      </c>
      <c r="S1114" s="317" t="str">
        <f t="shared" si="80"/>
        <v/>
      </c>
      <c r="T1114" s="317" t="str">
        <f>GLOBAL_DER_FEV_2023!S1114</f>
        <v/>
      </c>
      <c r="W1114" s="582">
        <v>0</v>
      </c>
      <c r="X1114" s="580"/>
      <c r="Y1114" s="583">
        <f>IF(GLOBAL_DER_FEV_2023!W1114=0,0,IF(GLOBAL_DER_FEV_2023!W1114&gt;0,"c","b"))</f>
        <v>0</v>
      </c>
    </row>
    <row r="1115" spans="1:25" ht="23.25" hidden="1" thickBot="1" x14ac:dyDescent="0.25">
      <c r="A1115" s="317">
        <v>95727</v>
      </c>
      <c r="B1115" s="895">
        <v>95727</v>
      </c>
      <c r="C1115" s="896" t="s">
        <v>596</v>
      </c>
      <c r="D1115" s="906" t="s">
        <v>1045</v>
      </c>
      <c r="E1115" s="907">
        <f>GLOBAL_DER_FEV_2023!E1115</f>
        <v>0</v>
      </c>
      <c r="F1115" s="908">
        <f>GLOBAL_DER_FEV_2023!F1115</f>
        <v>0</v>
      </c>
      <c r="G1115" s="912">
        <f>GLOBAL_DER_FEV_2023!G1115</f>
        <v>0</v>
      </c>
      <c r="H1115" s="901">
        <f>GLOBAL_DER_FEV_2023!H1115</f>
        <v>15.28</v>
      </c>
      <c r="I1115" s="901">
        <f>GLOBAL_DER_FEV_2023!I1115</f>
        <v>15.28</v>
      </c>
      <c r="J1115" s="902">
        <f>GLOBAL_DER_FEV_2023!J1115</f>
        <v>18.350000000000001</v>
      </c>
      <c r="K1115" s="903" t="s">
        <v>62</v>
      </c>
      <c r="L1115" s="1137"/>
      <c r="M1115" s="1138">
        <f t="shared" si="82"/>
        <v>0</v>
      </c>
      <c r="N1115" s="893">
        <f t="shared" si="81"/>
        <v>0</v>
      </c>
      <c r="O1115" s="905"/>
      <c r="Q1115" s="317" t="str">
        <f t="shared" ref="Q1115:Q1178" si="83">IF(P1115="X","x",IF(P1115="xx","x",IF(P1115="xy","x",IF(P1115="y","x",IF(OR(N1115&gt;0,N1115&gt;0),"x","")))))</f>
        <v/>
      </c>
      <c r="R1115" s="317" t="str">
        <f t="shared" si="79"/>
        <v/>
      </c>
      <c r="S1115" s="317" t="str">
        <f t="shared" si="80"/>
        <v/>
      </c>
      <c r="T1115" s="317" t="str">
        <f>GLOBAL_DER_FEV_2023!S1115</f>
        <v/>
      </c>
      <c r="W1115" s="582">
        <v>0</v>
      </c>
      <c r="X1115" s="580"/>
      <c r="Y1115" s="583">
        <f>IF(GLOBAL_DER_FEV_2023!W1115=0,0,IF(GLOBAL_DER_FEV_2023!W1115&gt;0,"c","b"))</f>
        <v>0</v>
      </c>
    </row>
    <row r="1116" spans="1:25" ht="23.25" hidden="1" thickBot="1" x14ac:dyDescent="0.25">
      <c r="A1116" s="317">
        <v>95728</v>
      </c>
      <c r="B1116" s="895">
        <v>95728</v>
      </c>
      <c r="C1116" s="896" t="s">
        <v>596</v>
      </c>
      <c r="D1116" s="906" t="s">
        <v>1046</v>
      </c>
      <c r="E1116" s="907">
        <f>GLOBAL_DER_FEV_2023!E1116</f>
        <v>0</v>
      </c>
      <c r="F1116" s="908">
        <f>GLOBAL_DER_FEV_2023!F1116</f>
        <v>0</v>
      </c>
      <c r="G1116" s="912">
        <f>GLOBAL_DER_FEV_2023!G1116</f>
        <v>0</v>
      </c>
      <c r="H1116" s="901">
        <f>GLOBAL_DER_FEV_2023!H1116</f>
        <v>22.47</v>
      </c>
      <c r="I1116" s="901">
        <f>GLOBAL_DER_FEV_2023!I1116</f>
        <v>22.47</v>
      </c>
      <c r="J1116" s="902">
        <f>GLOBAL_DER_FEV_2023!J1116</f>
        <v>26.98</v>
      </c>
      <c r="K1116" s="903" t="s">
        <v>62</v>
      </c>
      <c r="L1116" s="1137"/>
      <c r="M1116" s="1138">
        <f t="shared" si="82"/>
        <v>0</v>
      </c>
      <c r="N1116" s="893">
        <f t="shared" si="81"/>
        <v>0</v>
      </c>
      <c r="O1116" s="905"/>
      <c r="Q1116" s="317" t="str">
        <f t="shared" si="83"/>
        <v/>
      </c>
      <c r="R1116" s="317" t="str">
        <f t="shared" si="79"/>
        <v/>
      </c>
      <c r="S1116" s="317" t="str">
        <f t="shared" si="80"/>
        <v/>
      </c>
      <c r="T1116" s="317" t="str">
        <f>GLOBAL_DER_FEV_2023!S1116</f>
        <v/>
      </c>
      <c r="W1116" s="582">
        <v>0</v>
      </c>
      <c r="X1116" s="580"/>
      <c r="Y1116" s="583">
        <f>IF(GLOBAL_DER_FEV_2023!W1116=0,0,IF(GLOBAL_DER_FEV_2023!W1116&gt;0,"c","b"))</f>
        <v>0</v>
      </c>
    </row>
    <row r="1117" spans="1:25" ht="23.25" hidden="1" thickBot="1" x14ac:dyDescent="0.25">
      <c r="A1117" s="317">
        <v>95729</v>
      </c>
      <c r="B1117" s="895">
        <v>95729</v>
      </c>
      <c r="C1117" s="896" t="s">
        <v>596</v>
      </c>
      <c r="D1117" s="906" t="s">
        <v>1047</v>
      </c>
      <c r="E1117" s="907">
        <f>GLOBAL_DER_FEV_2023!E1117</f>
        <v>0</v>
      </c>
      <c r="F1117" s="908">
        <f>GLOBAL_DER_FEV_2023!F1117</f>
        <v>0</v>
      </c>
      <c r="G1117" s="912">
        <f>GLOBAL_DER_FEV_2023!G1117</f>
        <v>0</v>
      </c>
      <c r="H1117" s="901">
        <f>GLOBAL_DER_FEV_2023!H1117</f>
        <v>10.130000000000001</v>
      </c>
      <c r="I1117" s="901">
        <f>GLOBAL_DER_FEV_2023!I1117</f>
        <v>10.130000000000001</v>
      </c>
      <c r="J1117" s="902">
        <f>GLOBAL_DER_FEV_2023!J1117</f>
        <v>12.16</v>
      </c>
      <c r="K1117" s="903" t="s">
        <v>62</v>
      </c>
      <c r="L1117" s="1137"/>
      <c r="M1117" s="1138">
        <f t="shared" si="82"/>
        <v>0</v>
      </c>
      <c r="N1117" s="893">
        <f t="shared" si="81"/>
        <v>0</v>
      </c>
      <c r="O1117" s="905"/>
      <c r="Q1117" s="317" t="str">
        <f t="shared" si="83"/>
        <v/>
      </c>
      <c r="R1117" s="317" t="str">
        <f t="shared" ref="R1117:R1180" si="84">IF(P1117="X","x",IF(P1117="y","x",IF(P1117="xx","x",IF(N1117&gt;0,"x",""))))</f>
        <v/>
      </c>
      <c r="S1117" s="317" t="str">
        <f t="shared" ref="S1117:S1180" si="85">IF(P1117="X","x",IF(N1117&gt;0,"x",""))</f>
        <v/>
      </c>
      <c r="T1117" s="317" t="str">
        <f>GLOBAL_DER_FEV_2023!S1117</f>
        <v/>
      </c>
      <c r="W1117" s="582">
        <v>0</v>
      </c>
      <c r="X1117" s="580"/>
      <c r="Y1117" s="583">
        <f>IF(GLOBAL_DER_FEV_2023!W1117=0,0,IF(GLOBAL_DER_FEV_2023!W1117&gt;0,"c","b"))</f>
        <v>0</v>
      </c>
    </row>
    <row r="1118" spans="1:25" ht="23.25" hidden="1" thickBot="1" x14ac:dyDescent="0.25">
      <c r="A1118" s="317">
        <v>95730</v>
      </c>
      <c r="B1118" s="895">
        <v>95730</v>
      </c>
      <c r="C1118" s="896" t="s">
        <v>596</v>
      </c>
      <c r="D1118" s="906" t="s">
        <v>1048</v>
      </c>
      <c r="E1118" s="907">
        <f>GLOBAL_DER_FEV_2023!E1118</f>
        <v>0</v>
      </c>
      <c r="F1118" s="908">
        <f>GLOBAL_DER_FEV_2023!F1118</f>
        <v>0</v>
      </c>
      <c r="G1118" s="912">
        <f>GLOBAL_DER_FEV_2023!G1118</f>
        <v>0</v>
      </c>
      <c r="H1118" s="901">
        <f>GLOBAL_DER_FEV_2023!H1118</f>
        <v>11.31</v>
      </c>
      <c r="I1118" s="901">
        <f>GLOBAL_DER_FEV_2023!I1118</f>
        <v>11.31</v>
      </c>
      <c r="J1118" s="902">
        <f>GLOBAL_DER_FEV_2023!J1118</f>
        <v>13.58</v>
      </c>
      <c r="K1118" s="903" t="s">
        <v>62</v>
      </c>
      <c r="L1118" s="1137"/>
      <c r="M1118" s="1138">
        <f t="shared" si="82"/>
        <v>0</v>
      </c>
      <c r="N1118" s="893">
        <f t="shared" si="81"/>
        <v>0</v>
      </c>
      <c r="O1118" s="905"/>
      <c r="Q1118" s="317" t="str">
        <f t="shared" si="83"/>
        <v/>
      </c>
      <c r="R1118" s="317" t="str">
        <f t="shared" si="84"/>
        <v/>
      </c>
      <c r="S1118" s="317" t="str">
        <f t="shared" si="85"/>
        <v/>
      </c>
      <c r="T1118" s="317" t="str">
        <f>GLOBAL_DER_FEV_2023!S1118</f>
        <v/>
      </c>
      <c r="W1118" s="582">
        <v>0</v>
      </c>
      <c r="X1118" s="580"/>
      <c r="Y1118" s="583">
        <f>IF(GLOBAL_DER_FEV_2023!W1118=0,0,IF(GLOBAL_DER_FEV_2023!W1118&gt;0,"c","b"))</f>
        <v>0</v>
      </c>
    </row>
    <row r="1119" spans="1:25" ht="23.25" hidden="1" thickBot="1" x14ac:dyDescent="0.25">
      <c r="A1119" s="317">
        <v>95731</v>
      </c>
      <c r="B1119" s="895">
        <v>95731</v>
      </c>
      <c r="C1119" s="896" t="s">
        <v>596</v>
      </c>
      <c r="D1119" s="906" t="s">
        <v>1049</v>
      </c>
      <c r="E1119" s="907">
        <f>GLOBAL_DER_FEV_2023!E1119</f>
        <v>0</v>
      </c>
      <c r="F1119" s="908">
        <f>GLOBAL_DER_FEV_2023!F1119</f>
        <v>0</v>
      </c>
      <c r="G1119" s="912">
        <f>GLOBAL_DER_FEV_2023!G1119</f>
        <v>0</v>
      </c>
      <c r="H1119" s="901">
        <f>GLOBAL_DER_FEV_2023!H1119</f>
        <v>13.96</v>
      </c>
      <c r="I1119" s="901">
        <f>GLOBAL_DER_FEV_2023!I1119</f>
        <v>13.96</v>
      </c>
      <c r="J1119" s="902">
        <f>GLOBAL_DER_FEV_2023!J1119</f>
        <v>16.760000000000002</v>
      </c>
      <c r="K1119" s="903" t="s">
        <v>62</v>
      </c>
      <c r="L1119" s="1137"/>
      <c r="M1119" s="1138">
        <f t="shared" si="82"/>
        <v>0</v>
      </c>
      <c r="N1119" s="893">
        <f t="shared" si="81"/>
        <v>0</v>
      </c>
      <c r="O1119" s="905"/>
      <c r="Q1119" s="317" t="str">
        <f t="shared" si="83"/>
        <v/>
      </c>
      <c r="R1119" s="317" t="str">
        <f t="shared" si="84"/>
        <v/>
      </c>
      <c r="S1119" s="317" t="str">
        <f t="shared" si="85"/>
        <v/>
      </c>
      <c r="T1119" s="317" t="str">
        <f>GLOBAL_DER_FEV_2023!S1119</f>
        <v/>
      </c>
      <c r="W1119" s="582">
        <v>0</v>
      </c>
      <c r="X1119" s="580"/>
      <c r="Y1119" s="583">
        <f>IF(GLOBAL_DER_FEV_2023!W1119=0,0,IF(GLOBAL_DER_FEV_2023!W1119&gt;0,"c","b"))</f>
        <v>0</v>
      </c>
    </row>
    <row r="1120" spans="1:25" ht="23.25" hidden="1" thickBot="1" x14ac:dyDescent="0.25">
      <c r="A1120" s="317">
        <v>95733</v>
      </c>
      <c r="B1120" s="895">
        <v>95733</v>
      </c>
      <c r="C1120" s="896" t="s">
        <v>596</v>
      </c>
      <c r="D1120" s="906" t="s">
        <v>1050</v>
      </c>
      <c r="E1120" s="907">
        <f>GLOBAL_DER_FEV_2023!E1120</f>
        <v>0</v>
      </c>
      <c r="F1120" s="908">
        <f>GLOBAL_DER_FEV_2023!F1120</f>
        <v>0</v>
      </c>
      <c r="G1120" s="912">
        <f>GLOBAL_DER_FEV_2023!G1120</f>
        <v>0</v>
      </c>
      <c r="H1120" s="901">
        <f>GLOBAL_DER_FEV_2023!H1120</f>
        <v>6.78</v>
      </c>
      <c r="I1120" s="901">
        <f>GLOBAL_DER_FEV_2023!I1120</f>
        <v>6.78</v>
      </c>
      <c r="J1120" s="902">
        <f>GLOBAL_DER_FEV_2023!J1120</f>
        <v>8.14</v>
      </c>
      <c r="K1120" s="903" t="s">
        <v>1516</v>
      </c>
      <c r="L1120" s="1137"/>
      <c r="M1120" s="1138">
        <f t="shared" si="82"/>
        <v>0</v>
      </c>
      <c r="N1120" s="893">
        <f t="shared" si="81"/>
        <v>0</v>
      </c>
      <c r="O1120" s="905"/>
      <c r="Q1120" s="317" t="str">
        <f t="shared" si="83"/>
        <v/>
      </c>
      <c r="R1120" s="317" t="str">
        <f t="shared" si="84"/>
        <v/>
      </c>
      <c r="S1120" s="317" t="str">
        <f t="shared" si="85"/>
        <v/>
      </c>
      <c r="T1120" s="317" t="str">
        <f>GLOBAL_DER_FEV_2023!S1120</f>
        <v/>
      </c>
      <c r="W1120" s="582">
        <v>0</v>
      </c>
      <c r="X1120" s="580"/>
      <c r="Y1120" s="583">
        <f>IF(GLOBAL_DER_FEV_2023!W1120=0,0,IF(GLOBAL_DER_FEV_2023!W1120&gt;0,"c","b"))</f>
        <v>0</v>
      </c>
    </row>
    <row r="1121" spans="1:25" ht="23.25" hidden="1" thickBot="1" x14ac:dyDescent="0.25">
      <c r="A1121" s="317">
        <v>95734</v>
      </c>
      <c r="B1121" s="895">
        <v>95734</v>
      </c>
      <c r="C1121" s="896" t="s">
        <v>596</v>
      </c>
      <c r="D1121" s="906" t="s">
        <v>1051</v>
      </c>
      <c r="E1121" s="907">
        <f>GLOBAL_DER_FEV_2023!E1121</f>
        <v>0</v>
      </c>
      <c r="F1121" s="908">
        <f>GLOBAL_DER_FEV_2023!F1121</f>
        <v>0</v>
      </c>
      <c r="G1121" s="912">
        <f>GLOBAL_DER_FEV_2023!G1121</f>
        <v>0</v>
      </c>
      <c r="H1121" s="901">
        <f>GLOBAL_DER_FEV_2023!H1121</f>
        <v>9.0299999999999994</v>
      </c>
      <c r="I1121" s="901">
        <f>GLOBAL_DER_FEV_2023!I1121</f>
        <v>9.0299999999999994</v>
      </c>
      <c r="J1121" s="902">
        <f>GLOBAL_DER_FEV_2023!J1121</f>
        <v>10.84</v>
      </c>
      <c r="K1121" s="903" t="s">
        <v>1516</v>
      </c>
      <c r="L1121" s="1137"/>
      <c r="M1121" s="1138">
        <f t="shared" si="82"/>
        <v>0</v>
      </c>
      <c r="N1121" s="893">
        <f t="shared" ref="N1121:N1184" si="86">IF(ISBLANK(L1121),0,IF(W1121=0,ROUND(L1121*M1121,2),IF(W1121="b",ROUNDDOWN(L1121*M1121,2),ROUNDUP(L1121*M1121,2))))</f>
        <v>0</v>
      </c>
      <c r="O1121" s="905"/>
      <c r="Q1121" s="317" t="str">
        <f t="shared" si="83"/>
        <v/>
      </c>
      <c r="R1121" s="317" t="str">
        <f t="shared" si="84"/>
        <v/>
      </c>
      <c r="S1121" s="317" t="str">
        <f t="shared" si="85"/>
        <v/>
      </c>
      <c r="T1121" s="317" t="str">
        <f>GLOBAL_DER_FEV_2023!S1121</f>
        <v/>
      </c>
      <c r="W1121" s="582">
        <v>0</v>
      </c>
      <c r="X1121" s="580"/>
      <c r="Y1121" s="583">
        <f>IF(GLOBAL_DER_FEV_2023!W1121=0,0,IF(GLOBAL_DER_FEV_2023!W1121&gt;0,"c","b"))</f>
        <v>0</v>
      </c>
    </row>
    <row r="1122" spans="1:25" ht="23.25" hidden="1" thickBot="1" x14ac:dyDescent="0.25">
      <c r="A1122" s="317">
        <v>95735</v>
      </c>
      <c r="B1122" s="895">
        <v>95735</v>
      </c>
      <c r="C1122" s="896" t="s">
        <v>596</v>
      </c>
      <c r="D1122" s="906" t="s">
        <v>1052</v>
      </c>
      <c r="E1122" s="907">
        <f>GLOBAL_DER_FEV_2023!E1122</f>
        <v>0</v>
      </c>
      <c r="F1122" s="908">
        <f>GLOBAL_DER_FEV_2023!F1122</f>
        <v>0</v>
      </c>
      <c r="G1122" s="912">
        <f>GLOBAL_DER_FEV_2023!G1122</f>
        <v>0</v>
      </c>
      <c r="H1122" s="901">
        <f>GLOBAL_DER_FEV_2023!H1122</f>
        <v>7.48</v>
      </c>
      <c r="I1122" s="901">
        <f>GLOBAL_DER_FEV_2023!I1122</f>
        <v>7.48</v>
      </c>
      <c r="J1122" s="902">
        <f>GLOBAL_DER_FEV_2023!J1122</f>
        <v>8.98</v>
      </c>
      <c r="K1122" s="903" t="s">
        <v>1516</v>
      </c>
      <c r="L1122" s="1137"/>
      <c r="M1122" s="1138">
        <f t="shared" si="82"/>
        <v>0</v>
      </c>
      <c r="N1122" s="893">
        <f t="shared" si="86"/>
        <v>0</v>
      </c>
      <c r="O1122" s="905"/>
      <c r="Q1122" s="317" t="str">
        <f t="shared" si="83"/>
        <v/>
      </c>
      <c r="R1122" s="317" t="str">
        <f t="shared" si="84"/>
        <v/>
      </c>
      <c r="S1122" s="317" t="str">
        <f t="shared" si="85"/>
        <v/>
      </c>
      <c r="T1122" s="317" t="str">
        <f>GLOBAL_DER_FEV_2023!S1122</f>
        <v/>
      </c>
      <c r="W1122" s="582">
        <v>0</v>
      </c>
      <c r="X1122" s="580"/>
      <c r="Y1122" s="583">
        <f>IF(GLOBAL_DER_FEV_2023!W1122=0,0,IF(GLOBAL_DER_FEV_2023!W1122&gt;0,"c","b"))</f>
        <v>0</v>
      </c>
    </row>
    <row r="1123" spans="1:25" ht="23.25" hidden="1" thickBot="1" x14ac:dyDescent="0.25">
      <c r="A1123" s="317">
        <v>95736</v>
      </c>
      <c r="B1123" s="895">
        <v>95736</v>
      </c>
      <c r="C1123" s="896" t="s">
        <v>596</v>
      </c>
      <c r="D1123" s="906" t="s">
        <v>1053</v>
      </c>
      <c r="E1123" s="907">
        <f>GLOBAL_DER_FEV_2023!E1123</f>
        <v>0</v>
      </c>
      <c r="F1123" s="908">
        <f>GLOBAL_DER_FEV_2023!F1123</f>
        <v>0</v>
      </c>
      <c r="G1123" s="912">
        <f>GLOBAL_DER_FEV_2023!G1123</f>
        <v>0</v>
      </c>
      <c r="H1123" s="901">
        <f>GLOBAL_DER_FEV_2023!H1123</f>
        <v>8.85</v>
      </c>
      <c r="I1123" s="901">
        <f>GLOBAL_DER_FEV_2023!I1123</f>
        <v>8.85</v>
      </c>
      <c r="J1123" s="902">
        <f>GLOBAL_DER_FEV_2023!J1123</f>
        <v>10.63</v>
      </c>
      <c r="K1123" s="903" t="s">
        <v>1516</v>
      </c>
      <c r="L1123" s="1137"/>
      <c r="M1123" s="1138">
        <f t="shared" si="82"/>
        <v>0</v>
      </c>
      <c r="N1123" s="893">
        <f t="shared" si="86"/>
        <v>0</v>
      </c>
      <c r="O1123" s="905"/>
      <c r="Q1123" s="317" t="str">
        <f t="shared" si="83"/>
        <v/>
      </c>
      <c r="R1123" s="317" t="str">
        <f t="shared" si="84"/>
        <v/>
      </c>
      <c r="S1123" s="317" t="str">
        <f t="shared" si="85"/>
        <v/>
      </c>
      <c r="T1123" s="317" t="str">
        <f>GLOBAL_DER_FEV_2023!S1123</f>
        <v/>
      </c>
      <c r="W1123" s="582">
        <v>0</v>
      </c>
      <c r="X1123" s="580"/>
      <c r="Y1123" s="583">
        <f>IF(GLOBAL_DER_FEV_2023!W1123=0,0,IF(GLOBAL_DER_FEV_2023!W1123&gt;0,"c","b"))</f>
        <v>0</v>
      </c>
    </row>
    <row r="1124" spans="1:25" ht="23.25" hidden="1" thickBot="1" x14ac:dyDescent="0.25">
      <c r="A1124" s="317">
        <v>95738</v>
      </c>
      <c r="B1124" s="895">
        <v>95738</v>
      </c>
      <c r="C1124" s="896" t="s">
        <v>596</v>
      </c>
      <c r="D1124" s="906" t="s">
        <v>1054</v>
      </c>
      <c r="E1124" s="907">
        <f>GLOBAL_DER_FEV_2023!E1124</f>
        <v>0</v>
      </c>
      <c r="F1124" s="908">
        <f>GLOBAL_DER_FEV_2023!F1124</f>
        <v>0</v>
      </c>
      <c r="G1124" s="912">
        <f>GLOBAL_DER_FEV_2023!G1124</f>
        <v>0</v>
      </c>
      <c r="H1124" s="901">
        <f>GLOBAL_DER_FEV_2023!H1124</f>
        <v>10.71</v>
      </c>
      <c r="I1124" s="901">
        <f>GLOBAL_DER_FEV_2023!I1124</f>
        <v>10.71</v>
      </c>
      <c r="J1124" s="902">
        <f>GLOBAL_DER_FEV_2023!J1124</f>
        <v>12.86</v>
      </c>
      <c r="K1124" s="903" t="s">
        <v>1516</v>
      </c>
      <c r="L1124" s="1137"/>
      <c r="M1124" s="1138">
        <f t="shared" si="82"/>
        <v>0</v>
      </c>
      <c r="N1124" s="893">
        <f t="shared" si="86"/>
        <v>0</v>
      </c>
      <c r="O1124" s="905"/>
      <c r="Q1124" s="317" t="str">
        <f t="shared" si="83"/>
        <v/>
      </c>
      <c r="R1124" s="317" t="str">
        <f t="shared" si="84"/>
        <v/>
      </c>
      <c r="S1124" s="317" t="str">
        <f t="shared" si="85"/>
        <v/>
      </c>
      <c r="T1124" s="317" t="str">
        <f>GLOBAL_DER_FEV_2023!S1124</f>
        <v/>
      </c>
      <c r="W1124" s="582">
        <v>0</v>
      </c>
      <c r="X1124" s="580"/>
      <c r="Y1124" s="583">
        <f>IF(GLOBAL_DER_FEV_2023!W1124=0,0,IF(GLOBAL_DER_FEV_2023!W1124&gt;0,"c","b"))</f>
        <v>0</v>
      </c>
    </row>
    <row r="1125" spans="1:25" ht="23.25" hidden="1" thickBot="1" x14ac:dyDescent="0.25">
      <c r="A1125" s="317">
        <v>95732</v>
      </c>
      <c r="B1125" s="895">
        <v>95732</v>
      </c>
      <c r="C1125" s="896" t="s">
        <v>596</v>
      </c>
      <c r="D1125" s="906" t="s">
        <v>1055</v>
      </c>
      <c r="E1125" s="907">
        <f>GLOBAL_DER_FEV_2023!E1125</f>
        <v>0</v>
      </c>
      <c r="F1125" s="908">
        <f>GLOBAL_DER_FEV_2023!F1125</f>
        <v>0</v>
      </c>
      <c r="G1125" s="912">
        <f>GLOBAL_DER_FEV_2023!G1125</f>
        <v>0</v>
      </c>
      <c r="H1125" s="901">
        <f>GLOBAL_DER_FEV_2023!H1125</f>
        <v>5.14</v>
      </c>
      <c r="I1125" s="901">
        <f>GLOBAL_DER_FEV_2023!I1125</f>
        <v>5.14</v>
      </c>
      <c r="J1125" s="902">
        <f>GLOBAL_DER_FEV_2023!J1125</f>
        <v>6.17</v>
      </c>
      <c r="K1125" s="903" t="s">
        <v>1516</v>
      </c>
      <c r="L1125" s="1137"/>
      <c r="M1125" s="1138">
        <f t="shared" si="82"/>
        <v>0</v>
      </c>
      <c r="N1125" s="893">
        <f t="shared" si="86"/>
        <v>0</v>
      </c>
      <c r="O1125" s="905"/>
      <c r="Q1125" s="317" t="str">
        <f t="shared" si="83"/>
        <v/>
      </c>
      <c r="R1125" s="317" t="str">
        <f t="shared" si="84"/>
        <v/>
      </c>
      <c r="S1125" s="317" t="str">
        <f t="shared" si="85"/>
        <v/>
      </c>
      <c r="T1125" s="317" t="str">
        <f>GLOBAL_DER_FEV_2023!S1125</f>
        <v/>
      </c>
      <c r="W1125" s="582">
        <v>0</v>
      </c>
      <c r="X1125" s="580"/>
      <c r="Y1125" s="583">
        <f>IF(GLOBAL_DER_FEV_2023!W1125=0,0,IF(GLOBAL_DER_FEV_2023!W1125&gt;0,"c","b"))</f>
        <v>0</v>
      </c>
    </row>
    <row r="1126" spans="1:25" ht="23.25" hidden="1" thickBot="1" x14ac:dyDescent="0.25">
      <c r="A1126" s="317">
        <v>95745</v>
      </c>
      <c r="B1126" s="895">
        <v>95745</v>
      </c>
      <c r="C1126" s="896" t="s">
        <v>596</v>
      </c>
      <c r="D1126" s="906" t="s">
        <v>1056</v>
      </c>
      <c r="E1126" s="907">
        <f>GLOBAL_DER_FEV_2023!E1126</f>
        <v>0</v>
      </c>
      <c r="F1126" s="908">
        <f>GLOBAL_DER_FEV_2023!F1126</f>
        <v>0</v>
      </c>
      <c r="G1126" s="912">
        <f>GLOBAL_DER_FEV_2023!G1126</f>
        <v>0</v>
      </c>
      <c r="H1126" s="901">
        <f>GLOBAL_DER_FEV_2023!H1126</f>
        <v>23.89</v>
      </c>
      <c r="I1126" s="901">
        <f>GLOBAL_DER_FEV_2023!I1126</f>
        <v>23.89</v>
      </c>
      <c r="J1126" s="902">
        <f>GLOBAL_DER_FEV_2023!J1126</f>
        <v>28.68</v>
      </c>
      <c r="K1126" s="903" t="s">
        <v>62</v>
      </c>
      <c r="L1126" s="1137"/>
      <c r="M1126" s="1138">
        <f t="shared" si="82"/>
        <v>0</v>
      </c>
      <c r="N1126" s="893">
        <f t="shared" si="86"/>
        <v>0</v>
      </c>
      <c r="O1126" s="905"/>
      <c r="Q1126" s="317" t="str">
        <f t="shared" si="83"/>
        <v/>
      </c>
      <c r="R1126" s="317" t="str">
        <f t="shared" si="84"/>
        <v/>
      </c>
      <c r="S1126" s="317" t="str">
        <f t="shared" si="85"/>
        <v/>
      </c>
      <c r="T1126" s="317" t="str">
        <f>GLOBAL_DER_FEV_2023!S1126</f>
        <v/>
      </c>
      <c r="W1126" s="582">
        <v>0</v>
      </c>
      <c r="X1126" s="580"/>
      <c r="Y1126" s="583">
        <f>IF(GLOBAL_DER_FEV_2023!W1126=0,0,IF(GLOBAL_DER_FEV_2023!W1126&gt;0,"c","b"))</f>
        <v>0</v>
      </c>
    </row>
    <row r="1127" spans="1:25" ht="23.25" hidden="1" thickBot="1" x14ac:dyDescent="0.25">
      <c r="A1127" s="317">
        <v>95746</v>
      </c>
      <c r="B1127" s="895">
        <v>95746</v>
      </c>
      <c r="C1127" s="896" t="s">
        <v>596</v>
      </c>
      <c r="D1127" s="906" t="s">
        <v>1057</v>
      </c>
      <c r="E1127" s="907">
        <f>GLOBAL_DER_FEV_2023!E1127</f>
        <v>0</v>
      </c>
      <c r="F1127" s="908">
        <f>GLOBAL_DER_FEV_2023!F1127</f>
        <v>0</v>
      </c>
      <c r="G1127" s="912">
        <f>GLOBAL_DER_FEV_2023!G1127</f>
        <v>0</v>
      </c>
      <c r="H1127" s="901">
        <f>GLOBAL_DER_FEV_2023!H1127</f>
        <v>29.71</v>
      </c>
      <c r="I1127" s="901">
        <f>GLOBAL_DER_FEV_2023!I1127</f>
        <v>29.71</v>
      </c>
      <c r="J1127" s="902">
        <f>GLOBAL_DER_FEV_2023!J1127</f>
        <v>35.67</v>
      </c>
      <c r="K1127" s="903" t="s">
        <v>62</v>
      </c>
      <c r="L1127" s="1137"/>
      <c r="M1127" s="1138">
        <f t="shared" si="82"/>
        <v>0</v>
      </c>
      <c r="N1127" s="893">
        <f t="shared" si="86"/>
        <v>0</v>
      </c>
      <c r="O1127" s="905"/>
      <c r="Q1127" s="317" t="str">
        <f t="shared" si="83"/>
        <v/>
      </c>
      <c r="R1127" s="317" t="str">
        <f t="shared" si="84"/>
        <v/>
      </c>
      <c r="S1127" s="317" t="str">
        <f t="shared" si="85"/>
        <v/>
      </c>
      <c r="T1127" s="317" t="str">
        <f>GLOBAL_DER_FEV_2023!S1127</f>
        <v/>
      </c>
      <c r="W1127" s="582">
        <v>0</v>
      </c>
      <c r="X1127" s="580"/>
      <c r="Y1127" s="583">
        <f>IF(GLOBAL_DER_FEV_2023!W1127=0,0,IF(GLOBAL_DER_FEV_2023!W1127&gt;0,"c","b"))</f>
        <v>0</v>
      </c>
    </row>
    <row r="1128" spans="1:25" ht="23.25" hidden="1" thickBot="1" x14ac:dyDescent="0.25">
      <c r="A1128" s="317">
        <v>95747</v>
      </c>
      <c r="B1128" s="895">
        <v>95747</v>
      </c>
      <c r="C1128" s="896" t="s">
        <v>596</v>
      </c>
      <c r="D1128" s="906" t="s">
        <v>1058</v>
      </c>
      <c r="E1128" s="907">
        <f>GLOBAL_DER_FEV_2023!E1128</f>
        <v>0</v>
      </c>
      <c r="F1128" s="908">
        <f>GLOBAL_DER_FEV_2023!F1128</f>
        <v>0</v>
      </c>
      <c r="G1128" s="912">
        <f>GLOBAL_DER_FEV_2023!G1128</f>
        <v>0</v>
      </c>
      <c r="H1128" s="901">
        <f>GLOBAL_DER_FEV_2023!H1128</f>
        <v>49.07</v>
      </c>
      <c r="I1128" s="901">
        <f>GLOBAL_DER_FEV_2023!I1128</f>
        <v>49.07</v>
      </c>
      <c r="J1128" s="902">
        <f>GLOBAL_DER_FEV_2023!J1128</f>
        <v>58.92</v>
      </c>
      <c r="K1128" s="903" t="s">
        <v>62</v>
      </c>
      <c r="L1128" s="1137"/>
      <c r="M1128" s="1138">
        <f t="shared" si="82"/>
        <v>0</v>
      </c>
      <c r="N1128" s="893">
        <f t="shared" si="86"/>
        <v>0</v>
      </c>
      <c r="O1128" s="905"/>
      <c r="Q1128" s="317" t="str">
        <f t="shared" si="83"/>
        <v/>
      </c>
      <c r="R1128" s="317" t="str">
        <f t="shared" si="84"/>
        <v/>
      </c>
      <c r="S1128" s="317" t="str">
        <f t="shared" si="85"/>
        <v/>
      </c>
      <c r="T1128" s="317" t="str">
        <f>GLOBAL_DER_FEV_2023!S1128</f>
        <v/>
      </c>
      <c r="W1128" s="582">
        <v>0</v>
      </c>
      <c r="X1128" s="580"/>
      <c r="Y1128" s="583">
        <f>IF(GLOBAL_DER_FEV_2023!W1128=0,0,IF(GLOBAL_DER_FEV_2023!W1128&gt;0,"c","b"))</f>
        <v>0</v>
      </c>
    </row>
    <row r="1129" spans="1:25" ht="23.25" hidden="1" thickBot="1" x14ac:dyDescent="0.25">
      <c r="A1129" s="317">
        <v>95748</v>
      </c>
      <c r="B1129" s="895">
        <v>95748</v>
      </c>
      <c r="C1129" s="896" t="s">
        <v>596</v>
      </c>
      <c r="D1129" s="906" t="s">
        <v>1059</v>
      </c>
      <c r="E1129" s="907">
        <f>GLOBAL_DER_FEV_2023!E1129</f>
        <v>0</v>
      </c>
      <c r="F1129" s="908">
        <f>GLOBAL_DER_FEV_2023!F1129</f>
        <v>0</v>
      </c>
      <c r="G1129" s="912">
        <f>GLOBAL_DER_FEV_2023!G1129</f>
        <v>0</v>
      </c>
      <c r="H1129" s="901">
        <f>GLOBAL_DER_FEV_2023!H1129</f>
        <v>53.05</v>
      </c>
      <c r="I1129" s="901">
        <f>GLOBAL_DER_FEV_2023!I1129</f>
        <v>53.05</v>
      </c>
      <c r="J1129" s="902">
        <f>GLOBAL_DER_FEV_2023!J1129</f>
        <v>63.7</v>
      </c>
      <c r="K1129" s="903" t="s">
        <v>62</v>
      </c>
      <c r="L1129" s="1137"/>
      <c r="M1129" s="1138">
        <f t="shared" si="82"/>
        <v>0</v>
      </c>
      <c r="N1129" s="893">
        <f t="shared" si="86"/>
        <v>0</v>
      </c>
      <c r="O1129" s="905"/>
      <c r="Q1129" s="317" t="str">
        <f t="shared" si="83"/>
        <v/>
      </c>
      <c r="R1129" s="317" t="str">
        <f t="shared" si="84"/>
        <v/>
      </c>
      <c r="S1129" s="317" t="str">
        <f t="shared" si="85"/>
        <v/>
      </c>
      <c r="T1129" s="317" t="str">
        <f>GLOBAL_DER_FEV_2023!S1129</f>
        <v/>
      </c>
      <c r="W1129" s="582">
        <v>0</v>
      </c>
      <c r="X1129" s="580"/>
      <c r="Y1129" s="583">
        <f>IF(GLOBAL_DER_FEV_2023!W1129=0,0,IF(GLOBAL_DER_FEV_2023!W1129&gt;0,"c","b"))</f>
        <v>0</v>
      </c>
    </row>
    <row r="1130" spans="1:25" ht="23.25" hidden="1" thickBot="1" x14ac:dyDescent="0.25">
      <c r="A1130" s="317">
        <v>95749</v>
      </c>
      <c r="B1130" s="895">
        <v>95749</v>
      </c>
      <c r="C1130" s="896" t="s">
        <v>596</v>
      </c>
      <c r="D1130" s="906" t="s">
        <v>1060</v>
      </c>
      <c r="E1130" s="907">
        <f>GLOBAL_DER_FEV_2023!E1130</f>
        <v>0</v>
      </c>
      <c r="F1130" s="908">
        <f>GLOBAL_DER_FEV_2023!F1130</f>
        <v>0</v>
      </c>
      <c r="G1130" s="912">
        <f>GLOBAL_DER_FEV_2023!G1130</f>
        <v>0</v>
      </c>
      <c r="H1130" s="901">
        <f>GLOBAL_DER_FEV_2023!H1130</f>
        <v>31.18</v>
      </c>
      <c r="I1130" s="901">
        <f>GLOBAL_DER_FEV_2023!I1130</f>
        <v>31.18</v>
      </c>
      <c r="J1130" s="902">
        <f>GLOBAL_DER_FEV_2023!J1130</f>
        <v>37.44</v>
      </c>
      <c r="K1130" s="903" t="s">
        <v>62</v>
      </c>
      <c r="L1130" s="1137"/>
      <c r="M1130" s="1138">
        <f t="shared" si="82"/>
        <v>0</v>
      </c>
      <c r="N1130" s="893">
        <f t="shared" si="86"/>
        <v>0</v>
      </c>
      <c r="O1130" s="905"/>
      <c r="Q1130" s="317" t="str">
        <f t="shared" si="83"/>
        <v/>
      </c>
      <c r="R1130" s="317" t="str">
        <f t="shared" si="84"/>
        <v/>
      </c>
      <c r="S1130" s="317" t="str">
        <f t="shared" si="85"/>
        <v/>
      </c>
      <c r="T1130" s="317" t="str">
        <f>GLOBAL_DER_FEV_2023!S1130</f>
        <v/>
      </c>
      <c r="W1130" s="582">
        <v>0</v>
      </c>
      <c r="X1130" s="580"/>
      <c r="Y1130" s="583">
        <f>IF(GLOBAL_DER_FEV_2023!W1130=0,0,IF(GLOBAL_DER_FEV_2023!W1130&gt;0,"c","b"))</f>
        <v>0</v>
      </c>
    </row>
    <row r="1131" spans="1:25" ht="23.25" hidden="1" thickBot="1" x14ac:dyDescent="0.25">
      <c r="A1131" s="317">
        <v>95750</v>
      </c>
      <c r="B1131" s="895">
        <v>95750</v>
      </c>
      <c r="C1131" s="896" t="s">
        <v>596</v>
      </c>
      <c r="D1131" s="906" t="s">
        <v>1061</v>
      </c>
      <c r="E1131" s="907">
        <f>GLOBAL_DER_FEV_2023!E1131</f>
        <v>0</v>
      </c>
      <c r="F1131" s="908">
        <f>GLOBAL_DER_FEV_2023!F1131</f>
        <v>0</v>
      </c>
      <c r="G1131" s="912">
        <f>GLOBAL_DER_FEV_2023!G1131</f>
        <v>0</v>
      </c>
      <c r="H1131" s="901">
        <f>GLOBAL_DER_FEV_2023!H1131</f>
        <v>36.840000000000003</v>
      </c>
      <c r="I1131" s="901">
        <f>GLOBAL_DER_FEV_2023!I1131</f>
        <v>36.840000000000003</v>
      </c>
      <c r="J1131" s="902">
        <f>GLOBAL_DER_FEV_2023!J1131</f>
        <v>44.23</v>
      </c>
      <c r="K1131" s="903" t="s">
        <v>62</v>
      </c>
      <c r="L1131" s="1137"/>
      <c r="M1131" s="1138">
        <f t="shared" si="82"/>
        <v>0</v>
      </c>
      <c r="N1131" s="893">
        <f t="shared" si="86"/>
        <v>0</v>
      </c>
      <c r="O1131" s="905"/>
      <c r="Q1131" s="317" t="str">
        <f t="shared" si="83"/>
        <v/>
      </c>
      <c r="R1131" s="317" t="str">
        <f t="shared" si="84"/>
        <v/>
      </c>
      <c r="S1131" s="317" t="str">
        <f t="shared" si="85"/>
        <v/>
      </c>
      <c r="T1131" s="317" t="str">
        <f>GLOBAL_DER_FEV_2023!S1131</f>
        <v/>
      </c>
      <c r="W1131" s="582">
        <v>0</v>
      </c>
      <c r="X1131" s="580"/>
      <c r="Y1131" s="583">
        <f>IF(GLOBAL_DER_FEV_2023!W1131=0,0,IF(GLOBAL_DER_FEV_2023!W1131&gt;0,"c","b"))</f>
        <v>0</v>
      </c>
    </row>
    <row r="1132" spans="1:25" ht="23.25" hidden="1" thickBot="1" x14ac:dyDescent="0.25">
      <c r="A1132" s="317">
        <v>95751</v>
      </c>
      <c r="B1132" s="895">
        <v>95751</v>
      </c>
      <c r="C1132" s="896" t="s">
        <v>596</v>
      </c>
      <c r="D1132" s="906" t="s">
        <v>1062</v>
      </c>
      <c r="E1132" s="907">
        <f>GLOBAL_DER_FEV_2023!E1132</f>
        <v>0</v>
      </c>
      <c r="F1132" s="908">
        <f>GLOBAL_DER_FEV_2023!F1132</f>
        <v>0</v>
      </c>
      <c r="G1132" s="912">
        <f>GLOBAL_DER_FEV_2023!G1132</f>
        <v>0</v>
      </c>
      <c r="H1132" s="901">
        <f>GLOBAL_DER_FEV_2023!H1132</f>
        <v>55.99</v>
      </c>
      <c r="I1132" s="901">
        <f>GLOBAL_DER_FEV_2023!I1132</f>
        <v>55.99</v>
      </c>
      <c r="J1132" s="902">
        <f>GLOBAL_DER_FEV_2023!J1132</f>
        <v>67.23</v>
      </c>
      <c r="K1132" s="903" t="s">
        <v>62</v>
      </c>
      <c r="L1132" s="1137"/>
      <c r="M1132" s="1138">
        <f t="shared" si="82"/>
        <v>0</v>
      </c>
      <c r="N1132" s="893">
        <f t="shared" si="86"/>
        <v>0</v>
      </c>
      <c r="O1132" s="905"/>
      <c r="Q1132" s="317" t="str">
        <f t="shared" si="83"/>
        <v/>
      </c>
      <c r="R1132" s="317" t="str">
        <f t="shared" si="84"/>
        <v/>
      </c>
      <c r="S1132" s="317" t="str">
        <f t="shared" si="85"/>
        <v/>
      </c>
      <c r="T1132" s="317" t="str">
        <f>GLOBAL_DER_FEV_2023!S1132</f>
        <v/>
      </c>
      <c r="W1132" s="582">
        <v>0</v>
      </c>
      <c r="X1132" s="580"/>
      <c r="Y1132" s="583">
        <f>IF(GLOBAL_DER_FEV_2023!W1132=0,0,IF(GLOBAL_DER_FEV_2023!W1132&gt;0,"c","b"))</f>
        <v>0</v>
      </c>
    </row>
    <row r="1133" spans="1:25" ht="23.25" hidden="1" thickBot="1" x14ac:dyDescent="0.25">
      <c r="A1133" s="317">
        <v>95752</v>
      </c>
      <c r="B1133" s="895">
        <v>95752</v>
      </c>
      <c r="C1133" s="896" t="s">
        <v>596</v>
      </c>
      <c r="D1133" s="906" t="s">
        <v>1063</v>
      </c>
      <c r="E1133" s="907">
        <f>GLOBAL_DER_FEV_2023!E1133</f>
        <v>0</v>
      </c>
      <c r="F1133" s="908">
        <f>GLOBAL_DER_FEV_2023!F1133</f>
        <v>0</v>
      </c>
      <c r="G1133" s="912">
        <f>GLOBAL_DER_FEV_2023!G1133</f>
        <v>0</v>
      </c>
      <c r="H1133" s="901">
        <f>GLOBAL_DER_FEV_2023!H1133</f>
        <v>59.7</v>
      </c>
      <c r="I1133" s="901">
        <f>GLOBAL_DER_FEV_2023!I1133</f>
        <v>59.7</v>
      </c>
      <c r="J1133" s="902">
        <f>GLOBAL_DER_FEV_2023!J1133</f>
        <v>71.680000000000007</v>
      </c>
      <c r="K1133" s="903" t="s">
        <v>62</v>
      </c>
      <c r="L1133" s="1137"/>
      <c r="M1133" s="1138">
        <f t="shared" si="82"/>
        <v>0</v>
      </c>
      <c r="N1133" s="893">
        <f t="shared" si="86"/>
        <v>0</v>
      </c>
      <c r="O1133" s="905"/>
      <c r="Q1133" s="317" t="str">
        <f t="shared" si="83"/>
        <v/>
      </c>
      <c r="R1133" s="317" t="str">
        <f t="shared" si="84"/>
        <v/>
      </c>
      <c r="S1133" s="317" t="str">
        <f t="shared" si="85"/>
        <v/>
      </c>
      <c r="T1133" s="317" t="str">
        <f>GLOBAL_DER_FEV_2023!S1133</f>
        <v/>
      </c>
      <c r="W1133" s="582">
        <v>0</v>
      </c>
      <c r="X1133" s="580"/>
      <c r="Y1133" s="583">
        <f>IF(GLOBAL_DER_FEV_2023!W1133=0,0,IF(GLOBAL_DER_FEV_2023!W1133&gt;0,"c","b"))</f>
        <v>0</v>
      </c>
    </row>
    <row r="1134" spans="1:25" ht="23.25" hidden="1" thickBot="1" x14ac:dyDescent="0.25">
      <c r="A1134" s="317">
        <v>95753</v>
      </c>
      <c r="B1134" s="895">
        <v>95753</v>
      </c>
      <c r="C1134" s="896" t="s">
        <v>596</v>
      </c>
      <c r="D1134" s="906" t="s">
        <v>1064</v>
      </c>
      <c r="E1134" s="907">
        <f>GLOBAL_DER_FEV_2023!E1134</f>
        <v>0</v>
      </c>
      <c r="F1134" s="908">
        <f>GLOBAL_DER_FEV_2023!F1134</f>
        <v>0</v>
      </c>
      <c r="G1134" s="912">
        <f>GLOBAL_DER_FEV_2023!G1134</f>
        <v>0</v>
      </c>
      <c r="H1134" s="901">
        <f>GLOBAL_DER_FEV_2023!H1134</f>
        <v>7.96</v>
      </c>
      <c r="I1134" s="901">
        <f>GLOBAL_DER_FEV_2023!I1134</f>
        <v>7.96</v>
      </c>
      <c r="J1134" s="902">
        <f>GLOBAL_DER_FEV_2023!J1134</f>
        <v>9.56</v>
      </c>
      <c r="K1134" s="903" t="s">
        <v>1516</v>
      </c>
      <c r="L1134" s="1137"/>
      <c r="M1134" s="1138">
        <f t="shared" si="82"/>
        <v>0</v>
      </c>
      <c r="N1134" s="893">
        <f t="shared" si="86"/>
        <v>0</v>
      </c>
      <c r="O1134" s="905"/>
      <c r="Q1134" s="317" t="str">
        <f t="shared" si="83"/>
        <v/>
      </c>
      <c r="R1134" s="317" t="str">
        <f t="shared" si="84"/>
        <v/>
      </c>
      <c r="S1134" s="317" t="str">
        <f t="shared" si="85"/>
        <v/>
      </c>
      <c r="T1134" s="317" t="str">
        <f>GLOBAL_DER_FEV_2023!S1134</f>
        <v/>
      </c>
      <c r="W1134" s="582">
        <v>0</v>
      </c>
      <c r="X1134" s="580"/>
      <c r="Y1134" s="583">
        <f>IF(GLOBAL_DER_FEV_2023!W1134=0,0,IF(GLOBAL_DER_FEV_2023!W1134&gt;0,"c","b"))</f>
        <v>0</v>
      </c>
    </row>
    <row r="1135" spans="1:25" ht="23.25" hidden="1" thickBot="1" x14ac:dyDescent="0.25">
      <c r="A1135" s="317">
        <v>95754</v>
      </c>
      <c r="B1135" s="895">
        <v>95754</v>
      </c>
      <c r="C1135" s="896" t="s">
        <v>596</v>
      </c>
      <c r="D1135" s="906" t="s">
        <v>1065</v>
      </c>
      <c r="E1135" s="907">
        <f>GLOBAL_DER_FEV_2023!E1135</f>
        <v>0</v>
      </c>
      <c r="F1135" s="908">
        <f>GLOBAL_DER_FEV_2023!F1135</f>
        <v>0</v>
      </c>
      <c r="G1135" s="912">
        <f>GLOBAL_DER_FEV_2023!G1135</f>
        <v>0</v>
      </c>
      <c r="H1135" s="901">
        <f>GLOBAL_DER_FEV_2023!H1135</f>
        <v>9.91</v>
      </c>
      <c r="I1135" s="901">
        <f>GLOBAL_DER_FEV_2023!I1135</f>
        <v>9.91</v>
      </c>
      <c r="J1135" s="902">
        <f>GLOBAL_DER_FEV_2023!J1135</f>
        <v>11.9</v>
      </c>
      <c r="K1135" s="903" t="s">
        <v>1516</v>
      </c>
      <c r="L1135" s="1137"/>
      <c r="M1135" s="1138">
        <f t="shared" si="82"/>
        <v>0</v>
      </c>
      <c r="N1135" s="893">
        <f t="shared" si="86"/>
        <v>0</v>
      </c>
      <c r="O1135" s="905"/>
      <c r="Q1135" s="317" t="str">
        <f t="shared" si="83"/>
        <v/>
      </c>
      <c r="R1135" s="317" t="str">
        <f t="shared" si="84"/>
        <v/>
      </c>
      <c r="S1135" s="317" t="str">
        <f t="shared" si="85"/>
        <v/>
      </c>
      <c r="T1135" s="317" t="str">
        <f>GLOBAL_DER_FEV_2023!S1135</f>
        <v/>
      </c>
      <c r="W1135" s="582">
        <v>0</v>
      </c>
      <c r="X1135" s="580"/>
      <c r="Y1135" s="583">
        <f>IF(GLOBAL_DER_FEV_2023!W1135=0,0,IF(GLOBAL_DER_FEV_2023!W1135&gt;0,"c","b"))</f>
        <v>0</v>
      </c>
    </row>
    <row r="1136" spans="1:25" ht="23.25" hidden="1" thickBot="1" x14ac:dyDescent="0.25">
      <c r="A1136" s="317">
        <v>95755</v>
      </c>
      <c r="B1136" s="895">
        <v>95755</v>
      </c>
      <c r="C1136" s="896" t="s">
        <v>596</v>
      </c>
      <c r="D1136" s="906" t="s">
        <v>1066</v>
      </c>
      <c r="E1136" s="907">
        <f>GLOBAL_DER_FEV_2023!E1136</f>
        <v>0</v>
      </c>
      <c r="F1136" s="908">
        <f>GLOBAL_DER_FEV_2023!F1136</f>
        <v>0</v>
      </c>
      <c r="G1136" s="912">
        <f>GLOBAL_DER_FEV_2023!G1136</f>
        <v>0</v>
      </c>
      <c r="H1136" s="901">
        <f>GLOBAL_DER_FEV_2023!H1136</f>
        <v>14.25</v>
      </c>
      <c r="I1136" s="901">
        <f>GLOBAL_DER_FEV_2023!I1136</f>
        <v>14.25</v>
      </c>
      <c r="J1136" s="902">
        <f>GLOBAL_DER_FEV_2023!J1136</f>
        <v>17.11</v>
      </c>
      <c r="K1136" s="903" t="s">
        <v>1516</v>
      </c>
      <c r="L1136" s="1137"/>
      <c r="M1136" s="1138">
        <f t="shared" si="82"/>
        <v>0</v>
      </c>
      <c r="N1136" s="893">
        <f t="shared" si="86"/>
        <v>0</v>
      </c>
      <c r="O1136" s="905"/>
      <c r="Q1136" s="317" t="str">
        <f t="shared" si="83"/>
        <v/>
      </c>
      <c r="R1136" s="317" t="str">
        <f t="shared" si="84"/>
        <v/>
      </c>
      <c r="S1136" s="317" t="str">
        <f t="shared" si="85"/>
        <v/>
      </c>
      <c r="T1136" s="317" t="str">
        <f>GLOBAL_DER_FEV_2023!S1136</f>
        <v/>
      </c>
      <c r="W1136" s="582">
        <v>0</v>
      </c>
      <c r="X1136" s="580"/>
      <c r="Y1136" s="583">
        <f>IF(GLOBAL_DER_FEV_2023!W1136=0,0,IF(GLOBAL_DER_FEV_2023!W1136&gt;0,"c","b"))</f>
        <v>0</v>
      </c>
    </row>
    <row r="1137" spans="1:25" ht="23.25" hidden="1" thickBot="1" x14ac:dyDescent="0.25">
      <c r="A1137" s="317">
        <v>95756</v>
      </c>
      <c r="B1137" s="895">
        <v>95756</v>
      </c>
      <c r="C1137" s="896" t="s">
        <v>596</v>
      </c>
      <c r="D1137" s="906" t="s">
        <v>1067</v>
      </c>
      <c r="E1137" s="907">
        <f>GLOBAL_DER_FEV_2023!E1137</f>
        <v>0</v>
      </c>
      <c r="F1137" s="908">
        <f>GLOBAL_DER_FEV_2023!F1137</f>
        <v>0</v>
      </c>
      <c r="G1137" s="912">
        <f>GLOBAL_DER_FEV_2023!G1137</f>
        <v>0</v>
      </c>
      <c r="H1137" s="901">
        <f>GLOBAL_DER_FEV_2023!H1137</f>
        <v>18.989999999999998</v>
      </c>
      <c r="I1137" s="901">
        <f>GLOBAL_DER_FEV_2023!I1137</f>
        <v>18.989999999999998</v>
      </c>
      <c r="J1137" s="902">
        <f>GLOBAL_DER_FEV_2023!J1137</f>
        <v>22.8</v>
      </c>
      <c r="K1137" s="903" t="s">
        <v>1516</v>
      </c>
      <c r="L1137" s="1137"/>
      <c r="M1137" s="1138">
        <f t="shared" si="82"/>
        <v>0</v>
      </c>
      <c r="N1137" s="893">
        <f t="shared" si="86"/>
        <v>0</v>
      </c>
      <c r="O1137" s="905"/>
      <c r="Q1137" s="317" t="str">
        <f t="shared" si="83"/>
        <v/>
      </c>
      <c r="R1137" s="317" t="str">
        <f t="shared" si="84"/>
        <v/>
      </c>
      <c r="S1137" s="317" t="str">
        <f t="shared" si="85"/>
        <v/>
      </c>
      <c r="T1137" s="317" t="str">
        <f>GLOBAL_DER_FEV_2023!S1137</f>
        <v/>
      </c>
      <c r="W1137" s="582">
        <v>0</v>
      </c>
      <c r="X1137" s="580"/>
      <c r="Y1137" s="583">
        <f>IF(GLOBAL_DER_FEV_2023!W1137=0,0,IF(GLOBAL_DER_FEV_2023!W1137&gt;0,"c","b"))</f>
        <v>0</v>
      </c>
    </row>
    <row r="1138" spans="1:25" ht="23.25" hidden="1" thickBot="1" x14ac:dyDescent="0.25">
      <c r="A1138" s="317">
        <v>95757</v>
      </c>
      <c r="B1138" s="895">
        <v>95757</v>
      </c>
      <c r="C1138" s="896" t="s">
        <v>596</v>
      </c>
      <c r="D1138" s="906" t="s">
        <v>1068</v>
      </c>
      <c r="E1138" s="907">
        <f>GLOBAL_DER_FEV_2023!E1138</f>
        <v>0</v>
      </c>
      <c r="F1138" s="908">
        <f>GLOBAL_DER_FEV_2023!F1138</f>
        <v>0</v>
      </c>
      <c r="G1138" s="912">
        <f>GLOBAL_DER_FEV_2023!G1138</f>
        <v>0</v>
      </c>
      <c r="H1138" s="901">
        <f>GLOBAL_DER_FEV_2023!H1138</f>
        <v>12.01</v>
      </c>
      <c r="I1138" s="901">
        <f>GLOBAL_DER_FEV_2023!I1138</f>
        <v>12.01</v>
      </c>
      <c r="J1138" s="902">
        <f>GLOBAL_DER_FEV_2023!J1138</f>
        <v>14.42</v>
      </c>
      <c r="K1138" s="903" t="s">
        <v>1516</v>
      </c>
      <c r="L1138" s="1137"/>
      <c r="M1138" s="1138">
        <f t="shared" si="82"/>
        <v>0</v>
      </c>
      <c r="N1138" s="893">
        <f t="shared" si="86"/>
        <v>0</v>
      </c>
      <c r="O1138" s="905"/>
      <c r="Q1138" s="317" t="str">
        <f t="shared" si="83"/>
        <v/>
      </c>
      <c r="R1138" s="317" t="str">
        <f t="shared" si="84"/>
        <v/>
      </c>
      <c r="S1138" s="317" t="str">
        <f t="shared" si="85"/>
        <v/>
      </c>
      <c r="T1138" s="317" t="str">
        <f>GLOBAL_DER_FEV_2023!S1138</f>
        <v/>
      </c>
      <c r="W1138" s="582">
        <v>0</v>
      </c>
      <c r="X1138" s="580"/>
      <c r="Y1138" s="583">
        <f>IF(GLOBAL_DER_FEV_2023!W1138=0,0,IF(GLOBAL_DER_FEV_2023!W1138&gt;0,"c","b"))</f>
        <v>0</v>
      </c>
    </row>
    <row r="1139" spans="1:25" ht="23.25" hidden="1" thickBot="1" x14ac:dyDescent="0.25">
      <c r="A1139" s="317">
        <v>95758</v>
      </c>
      <c r="B1139" s="895">
        <v>95758</v>
      </c>
      <c r="C1139" s="896" t="s">
        <v>596</v>
      </c>
      <c r="D1139" s="906" t="s">
        <v>1069</v>
      </c>
      <c r="E1139" s="907">
        <f>GLOBAL_DER_FEV_2023!E1139</f>
        <v>0</v>
      </c>
      <c r="F1139" s="908">
        <f>GLOBAL_DER_FEV_2023!F1139</f>
        <v>0</v>
      </c>
      <c r="G1139" s="912">
        <f>GLOBAL_DER_FEV_2023!G1139</f>
        <v>0</v>
      </c>
      <c r="H1139" s="901">
        <f>GLOBAL_DER_FEV_2023!H1139</f>
        <v>13.5</v>
      </c>
      <c r="I1139" s="901">
        <f>GLOBAL_DER_FEV_2023!I1139</f>
        <v>13.5</v>
      </c>
      <c r="J1139" s="902">
        <f>GLOBAL_DER_FEV_2023!J1139</f>
        <v>16.21</v>
      </c>
      <c r="K1139" s="903" t="s">
        <v>1516</v>
      </c>
      <c r="L1139" s="1137"/>
      <c r="M1139" s="1138">
        <f t="shared" si="82"/>
        <v>0</v>
      </c>
      <c r="N1139" s="893">
        <f t="shared" si="86"/>
        <v>0</v>
      </c>
      <c r="O1139" s="905"/>
      <c r="Q1139" s="317" t="str">
        <f t="shared" si="83"/>
        <v/>
      </c>
      <c r="R1139" s="317" t="str">
        <f t="shared" si="84"/>
        <v/>
      </c>
      <c r="S1139" s="317" t="str">
        <f t="shared" si="85"/>
        <v/>
      </c>
      <c r="T1139" s="317" t="str">
        <f>GLOBAL_DER_FEV_2023!S1139</f>
        <v/>
      </c>
      <c r="W1139" s="582">
        <v>0</v>
      </c>
      <c r="X1139" s="580"/>
      <c r="Y1139" s="583">
        <f>IF(GLOBAL_DER_FEV_2023!W1139=0,0,IF(GLOBAL_DER_FEV_2023!W1139&gt;0,"c","b"))</f>
        <v>0</v>
      </c>
    </row>
    <row r="1140" spans="1:25" ht="23.25" hidden="1" thickBot="1" x14ac:dyDescent="0.25">
      <c r="A1140" s="317">
        <v>95759</v>
      </c>
      <c r="B1140" s="895">
        <v>95759</v>
      </c>
      <c r="C1140" s="896" t="s">
        <v>596</v>
      </c>
      <c r="D1140" s="906" t="s">
        <v>1070</v>
      </c>
      <c r="E1140" s="907">
        <f>GLOBAL_DER_FEV_2023!E1140</f>
        <v>0</v>
      </c>
      <c r="F1140" s="908">
        <f>GLOBAL_DER_FEV_2023!F1140</f>
        <v>0</v>
      </c>
      <c r="G1140" s="912">
        <f>GLOBAL_DER_FEV_2023!G1140</f>
        <v>0</v>
      </c>
      <c r="H1140" s="901">
        <f>GLOBAL_DER_FEV_2023!H1140</f>
        <v>17.16</v>
      </c>
      <c r="I1140" s="901">
        <f>GLOBAL_DER_FEV_2023!I1140</f>
        <v>17.16</v>
      </c>
      <c r="J1140" s="902">
        <f>GLOBAL_DER_FEV_2023!J1140</f>
        <v>20.6</v>
      </c>
      <c r="K1140" s="903" t="s">
        <v>1516</v>
      </c>
      <c r="L1140" s="1137"/>
      <c r="M1140" s="1138">
        <f t="shared" si="82"/>
        <v>0</v>
      </c>
      <c r="N1140" s="893">
        <f t="shared" si="86"/>
        <v>0</v>
      </c>
      <c r="O1140" s="905"/>
      <c r="Q1140" s="317" t="str">
        <f t="shared" si="83"/>
        <v/>
      </c>
      <c r="R1140" s="317" t="str">
        <f t="shared" si="84"/>
        <v/>
      </c>
      <c r="S1140" s="317" t="str">
        <f t="shared" si="85"/>
        <v/>
      </c>
      <c r="T1140" s="317" t="str">
        <f>GLOBAL_DER_FEV_2023!S1140</f>
        <v/>
      </c>
      <c r="W1140" s="582">
        <v>0</v>
      </c>
      <c r="X1140" s="580"/>
      <c r="Y1140" s="583">
        <f>IF(GLOBAL_DER_FEV_2023!W1140=0,0,IF(GLOBAL_DER_FEV_2023!W1140&gt;0,"c","b"))</f>
        <v>0</v>
      </c>
    </row>
    <row r="1141" spans="1:25" ht="23.25" hidden="1" thickBot="1" x14ac:dyDescent="0.25">
      <c r="A1141" s="317">
        <v>95760</v>
      </c>
      <c r="B1141" s="895">
        <v>95760</v>
      </c>
      <c r="C1141" s="896" t="s">
        <v>596</v>
      </c>
      <c r="D1141" s="906" t="s">
        <v>1071</v>
      </c>
      <c r="E1141" s="907">
        <f>GLOBAL_DER_FEV_2023!E1141</f>
        <v>0</v>
      </c>
      <c r="F1141" s="908">
        <f>GLOBAL_DER_FEV_2023!F1141</f>
        <v>0</v>
      </c>
      <c r="G1141" s="912">
        <f>GLOBAL_DER_FEV_2023!G1141</f>
        <v>0</v>
      </c>
      <c r="H1141" s="901">
        <f>GLOBAL_DER_FEV_2023!H1141</f>
        <v>21.11</v>
      </c>
      <c r="I1141" s="901">
        <f>GLOBAL_DER_FEV_2023!I1141</f>
        <v>21.11</v>
      </c>
      <c r="J1141" s="902">
        <f>GLOBAL_DER_FEV_2023!J1141</f>
        <v>25.35</v>
      </c>
      <c r="K1141" s="903" t="s">
        <v>1516</v>
      </c>
      <c r="L1141" s="1137"/>
      <c r="M1141" s="1138">
        <f t="shared" si="82"/>
        <v>0</v>
      </c>
      <c r="N1141" s="893">
        <f t="shared" si="86"/>
        <v>0</v>
      </c>
      <c r="O1141" s="905"/>
      <c r="Q1141" s="317" t="str">
        <f t="shared" si="83"/>
        <v/>
      </c>
      <c r="R1141" s="317" t="str">
        <f t="shared" si="84"/>
        <v/>
      </c>
      <c r="S1141" s="317" t="str">
        <f t="shared" si="85"/>
        <v/>
      </c>
      <c r="T1141" s="317" t="str">
        <f>GLOBAL_DER_FEV_2023!S1141</f>
        <v/>
      </c>
      <c r="W1141" s="582">
        <v>0</v>
      </c>
      <c r="X1141" s="580"/>
      <c r="Y1141" s="583">
        <f>IF(GLOBAL_DER_FEV_2023!W1141=0,0,IF(GLOBAL_DER_FEV_2023!W1141&gt;0,"c","b"))</f>
        <v>0</v>
      </c>
    </row>
    <row r="1142" spans="1:25" ht="23.25" hidden="1" thickBot="1" x14ac:dyDescent="0.25">
      <c r="A1142" s="317">
        <v>91839</v>
      </c>
      <c r="B1142" s="895">
        <v>91839</v>
      </c>
      <c r="C1142" s="896" t="s">
        <v>596</v>
      </c>
      <c r="D1142" s="906" t="s">
        <v>1072</v>
      </c>
      <c r="E1142" s="907">
        <f>GLOBAL_DER_FEV_2023!E1142</f>
        <v>0</v>
      </c>
      <c r="F1142" s="908">
        <f>GLOBAL_DER_FEV_2023!F1142</f>
        <v>0</v>
      </c>
      <c r="G1142" s="912">
        <f>GLOBAL_DER_FEV_2023!G1142</f>
        <v>0</v>
      </c>
      <c r="H1142" s="901">
        <f>GLOBAL_DER_FEV_2023!H1142</f>
        <v>12.12</v>
      </c>
      <c r="I1142" s="901">
        <f>GLOBAL_DER_FEV_2023!I1142</f>
        <v>12.12</v>
      </c>
      <c r="J1142" s="902">
        <f>GLOBAL_DER_FEV_2023!J1142</f>
        <v>14.55</v>
      </c>
      <c r="K1142" s="903" t="s">
        <v>62</v>
      </c>
      <c r="L1142" s="1137"/>
      <c r="M1142" s="1138">
        <f t="shared" si="82"/>
        <v>0</v>
      </c>
      <c r="N1142" s="893">
        <f t="shared" si="86"/>
        <v>0</v>
      </c>
      <c r="O1142" s="905"/>
      <c r="Q1142" s="317" t="str">
        <f t="shared" si="83"/>
        <v/>
      </c>
      <c r="R1142" s="317" t="str">
        <f t="shared" si="84"/>
        <v/>
      </c>
      <c r="S1142" s="317" t="str">
        <f t="shared" si="85"/>
        <v/>
      </c>
      <c r="T1142" s="317" t="str">
        <f>GLOBAL_DER_FEV_2023!S1142</f>
        <v/>
      </c>
      <c r="W1142" s="582">
        <v>0</v>
      </c>
      <c r="X1142" s="580"/>
      <c r="Y1142" s="583">
        <f>IF(GLOBAL_DER_FEV_2023!W1142=0,0,IF(GLOBAL_DER_FEV_2023!W1142&gt;0,"c","b"))</f>
        <v>0</v>
      </c>
    </row>
    <row r="1143" spans="1:25" ht="23.25" hidden="1" thickBot="1" x14ac:dyDescent="0.25">
      <c r="A1143" s="317">
        <v>91840</v>
      </c>
      <c r="B1143" s="895">
        <v>91840</v>
      </c>
      <c r="C1143" s="896" t="s">
        <v>596</v>
      </c>
      <c r="D1143" s="906" t="s">
        <v>1073</v>
      </c>
      <c r="E1143" s="907">
        <f>GLOBAL_DER_FEV_2023!E1143</f>
        <v>0</v>
      </c>
      <c r="F1143" s="908">
        <f>GLOBAL_DER_FEV_2023!F1143</f>
        <v>0</v>
      </c>
      <c r="G1143" s="912">
        <f>GLOBAL_DER_FEV_2023!G1143</f>
        <v>0</v>
      </c>
      <c r="H1143" s="901">
        <f>GLOBAL_DER_FEV_2023!H1143</f>
        <v>15.07</v>
      </c>
      <c r="I1143" s="901">
        <f>GLOBAL_DER_FEV_2023!I1143</f>
        <v>15.07</v>
      </c>
      <c r="J1143" s="902">
        <f>GLOBAL_DER_FEV_2023!J1143</f>
        <v>18.09</v>
      </c>
      <c r="K1143" s="903" t="s">
        <v>62</v>
      </c>
      <c r="L1143" s="1137"/>
      <c r="M1143" s="1138">
        <f t="shared" si="82"/>
        <v>0</v>
      </c>
      <c r="N1143" s="893">
        <f t="shared" si="86"/>
        <v>0</v>
      </c>
      <c r="O1143" s="905"/>
      <c r="Q1143" s="317" t="str">
        <f t="shared" si="83"/>
        <v/>
      </c>
      <c r="R1143" s="317" t="str">
        <f t="shared" si="84"/>
        <v/>
      </c>
      <c r="S1143" s="317" t="str">
        <f t="shared" si="85"/>
        <v/>
      </c>
      <c r="T1143" s="317" t="str">
        <f>GLOBAL_DER_FEV_2023!S1143</f>
        <v/>
      </c>
      <c r="W1143" s="582">
        <v>0</v>
      </c>
      <c r="X1143" s="580"/>
      <c r="Y1143" s="583">
        <f>IF(GLOBAL_DER_FEV_2023!W1143=0,0,IF(GLOBAL_DER_FEV_2023!W1143&gt;0,"c","b"))</f>
        <v>0</v>
      </c>
    </row>
    <row r="1144" spans="1:25" ht="23.25" hidden="1" thickBot="1" x14ac:dyDescent="0.25">
      <c r="A1144" s="317">
        <v>91841</v>
      </c>
      <c r="B1144" s="895">
        <v>91841</v>
      </c>
      <c r="C1144" s="896" t="s">
        <v>596</v>
      </c>
      <c r="D1144" s="906" t="s">
        <v>1074</v>
      </c>
      <c r="E1144" s="907">
        <f>GLOBAL_DER_FEV_2023!E1144</f>
        <v>0</v>
      </c>
      <c r="F1144" s="908">
        <f>GLOBAL_DER_FEV_2023!F1144</f>
        <v>0</v>
      </c>
      <c r="G1144" s="912">
        <f>GLOBAL_DER_FEV_2023!G1144</f>
        <v>0</v>
      </c>
      <c r="H1144" s="901">
        <f>GLOBAL_DER_FEV_2023!H1144</f>
        <v>14.37</v>
      </c>
      <c r="I1144" s="901">
        <f>GLOBAL_DER_FEV_2023!I1144</f>
        <v>14.37</v>
      </c>
      <c r="J1144" s="902">
        <f>GLOBAL_DER_FEV_2023!J1144</f>
        <v>17.25</v>
      </c>
      <c r="K1144" s="903" t="s">
        <v>62</v>
      </c>
      <c r="L1144" s="1137"/>
      <c r="M1144" s="1138">
        <f t="shared" si="82"/>
        <v>0</v>
      </c>
      <c r="N1144" s="893">
        <f t="shared" si="86"/>
        <v>0</v>
      </c>
      <c r="O1144" s="905"/>
      <c r="Q1144" s="317" t="str">
        <f t="shared" si="83"/>
        <v/>
      </c>
      <c r="R1144" s="317" t="str">
        <f t="shared" si="84"/>
        <v/>
      </c>
      <c r="S1144" s="317" t="str">
        <f t="shared" si="85"/>
        <v/>
      </c>
      <c r="T1144" s="317" t="str">
        <f>GLOBAL_DER_FEV_2023!S1144</f>
        <v/>
      </c>
      <c r="W1144" s="582">
        <v>0</v>
      </c>
      <c r="X1144" s="580"/>
      <c r="Y1144" s="583">
        <f>IF(GLOBAL_DER_FEV_2023!W1144=0,0,IF(GLOBAL_DER_FEV_2023!W1144&gt;0,"c","b"))</f>
        <v>0</v>
      </c>
    </row>
    <row r="1145" spans="1:25" ht="23.25" hidden="1" thickBot="1" x14ac:dyDescent="0.25">
      <c r="A1145" s="317">
        <v>91849</v>
      </c>
      <c r="B1145" s="895">
        <v>91849</v>
      </c>
      <c r="C1145" s="896" t="s">
        <v>596</v>
      </c>
      <c r="D1145" s="906" t="s">
        <v>1075</v>
      </c>
      <c r="E1145" s="907">
        <f>GLOBAL_DER_FEV_2023!E1145</f>
        <v>0</v>
      </c>
      <c r="F1145" s="908">
        <f>GLOBAL_DER_FEV_2023!F1145</f>
        <v>0</v>
      </c>
      <c r="G1145" s="912">
        <f>GLOBAL_DER_FEV_2023!G1145</f>
        <v>0</v>
      </c>
      <c r="H1145" s="901">
        <f>GLOBAL_DER_FEV_2023!H1145</f>
        <v>9.49</v>
      </c>
      <c r="I1145" s="901">
        <f>GLOBAL_DER_FEV_2023!I1145</f>
        <v>9.49</v>
      </c>
      <c r="J1145" s="902">
        <f>GLOBAL_DER_FEV_2023!J1145</f>
        <v>11.39</v>
      </c>
      <c r="K1145" s="903" t="s">
        <v>62</v>
      </c>
      <c r="L1145" s="1137"/>
      <c r="M1145" s="1138">
        <f t="shared" si="82"/>
        <v>0</v>
      </c>
      <c r="N1145" s="893">
        <f t="shared" si="86"/>
        <v>0</v>
      </c>
      <c r="O1145" s="905"/>
      <c r="Q1145" s="317" t="str">
        <f t="shared" si="83"/>
        <v/>
      </c>
      <c r="R1145" s="317" t="str">
        <f t="shared" si="84"/>
        <v/>
      </c>
      <c r="S1145" s="317" t="str">
        <f t="shared" si="85"/>
        <v/>
      </c>
      <c r="T1145" s="317" t="str">
        <f>GLOBAL_DER_FEV_2023!S1145</f>
        <v/>
      </c>
      <c r="W1145" s="582">
        <v>0</v>
      </c>
      <c r="X1145" s="580"/>
      <c r="Y1145" s="583">
        <f>IF(GLOBAL_DER_FEV_2023!W1145=0,0,IF(GLOBAL_DER_FEV_2023!W1145&gt;0,"c","b"))</f>
        <v>0</v>
      </c>
    </row>
    <row r="1146" spans="1:25" ht="23.25" hidden="1" thickBot="1" x14ac:dyDescent="0.25">
      <c r="A1146" s="317">
        <v>91850</v>
      </c>
      <c r="B1146" s="895">
        <v>91850</v>
      </c>
      <c r="C1146" s="896" t="s">
        <v>596</v>
      </c>
      <c r="D1146" s="906" t="s">
        <v>1076</v>
      </c>
      <c r="E1146" s="907">
        <f>GLOBAL_DER_FEV_2023!E1146</f>
        <v>0</v>
      </c>
      <c r="F1146" s="908">
        <f>GLOBAL_DER_FEV_2023!F1146</f>
        <v>0</v>
      </c>
      <c r="G1146" s="912">
        <f>GLOBAL_DER_FEV_2023!G1146</f>
        <v>0</v>
      </c>
      <c r="H1146" s="901">
        <f>GLOBAL_DER_FEV_2023!H1146</f>
        <v>12.51</v>
      </c>
      <c r="I1146" s="901">
        <f>GLOBAL_DER_FEV_2023!I1146</f>
        <v>12.51</v>
      </c>
      <c r="J1146" s="902">
        <f>GLOBAL_DER_FEV_2023!J1146</f>
        <v>15.02</v>
      </c>
      <c r="K1146" s="903" t="s">
        <v>62</v>
      </c>
      <c r="L1146" s="1137"/>
      <c r="M1146" s="1138">
        <f t="shared" si="82"/>
        <v>0</v>
      </c>
      <c r="N1146" s="893">
        <f t="shared" si="86"/>
        <v>0</v>
      </c>
      <c r="O1146" s="905"/>
      <c r="Q1146" s="317" t="str">
        <f t="shared" si="83"/>
        <v/>
      </c>
      <c r="R1146" s="317" t="str">
        <f t="shared" si="84"/>
        <v/>
      </c>
      <c r="S1146" s="317" t="str">
        <f t="shared" si="85"/>
        <v/>
      </c>
      <c r="T1146" s="317" t="str">
        <f>GLOBAL_DER_FEV_2023!S1146</f>
        <v/>
      </c>
      <c r="W1146" s="582">
        <v>0</v>
      </c>
      <c r="X1146" s="580"/>
      <c r="Y1146" s="583">
        <f>IF(GLOBAL_DER_FEV_2023!W1146=0,0,IF(GLOBAL_DER_FEV_2023!W1146&gt;0,"c","b"))</f>
        <v>0</v>
      </c>
    </row>
    <row r="1147" spans="1:25" ht="23.25" hidden="1" thickBot="1" x14ac:dyDescent="0.25">
      <c r="A1147" s="317">
        <v>91851</v>
      </c>
      <c r="B1147" s="895">
        <v>91851</v>
      </c>
      <c r="C1147" s="896" t="s">
        <v>596</v>
      </c>
      <c r="D1147" s="906" t="s">
        <v>1077</v>
      </c>
      <c r="E1147" s="907">
        <f>GLOBAL_DER_FEV_2023!E1147</f>
        <v>0</v>
      </c>
      <c r="F1147" s="908">
        <f>GLOBAL_DER_FEV_2023!F1147</f>
        <v>0</v>
      </c>
      <c r="G1147" s="912">
        <f>GLOBAL_DER_FEV_2023!G1147</f>
        <v>0</v>
      </c>
      <c r="H1147" s="901">
        <f>GLOBAL_DER_FEV_2023!H1147</f>
        <v>11.81</v>
      </c>
      <c r="I1147" s="901">
        <f>GLOBAL_DER_FEV_2023!I1147</f>
        <v>11.81</v>
      </c>
      <c r="J1147" s="902">
        <f>GLOBAL_DER_FEV_2023!J1147</f>
        <v>14.18</v>
      </c>
      <c r="K1147" s="903" t="s">
        <v>62</v>
      </c>
      <c r="L1147" s="1137"/>
      <c r="M1147" s="1138">
        <f t="shared" si="82"/>
        <v>0</v>
      </c>
      <c r="N1147" s="893">
        <f t="shared" si="86"/>
        <v>0</v>
      </c>
      <c r="O1147" s="905"/>
      <c r="Q1147" s="317" t="str">
        <f t="shared" si="83"/>
        <v/>
      </c>
      <c r="R1147" s="317" t="str">
        <f t="shared" si="84"/>
        <v/>
      </c>
      <c r="S1147" s="317" t="str">
        <f t="shared" si="85"/>
        <v/>
      </c>
      <c r="T1147" s="317" t="str">
        <f>GLOBAL_DER_FEV_2023!S1147</f>
        <v/>
      </c>
      <c r="W1147" s="582">
        <v>0</v>
      </c>
      <c r="X1147" s="580"/>
      <c r="Y1147" s="583">
        <f>IF(GLOBAL_DER_FEV_2023!W1147=0,0,IF(GLOBAL_DER_FEV_2023!W1147&gt;0,"c","b"))</f>
        <v>0</v>
      </c>
    </row>
    <row r="1148" spans="1:25" ht="23.25" hidden="1" thickBot="1" x14ac:dyDescent="0.25">
      <c r="A1148" s="317">
        <v>91859</v>
      </c>
      <c r="B1148" s="895">
        <v>91859</v>
      </c>
      <c r="C1148" s="896" t="s">
        <v>596</v>
      </c>
      <c r="D1148" s="906" t="s">
        <v>1078</v>
      </c>
      <c r="E1148" s="907">
        <f>GLOBAL_DER_FEV_2023!E1148</f>
        <v>0</v>
      </c>
      <c r="F1148" s="908">
        <f>GLOBAL_DER_FEV_2023!F1148</f>
        <v>0</v>
      </c>
      <c r="G1148" s="912">
        <f>GLOBAL_DER_FEV_2023!G1148</f>
        <v>0</v>
      </c>
      <c r="H1148" s="901">
        <f>GLOBAL_DER_FEV_2023!H1148</f>
        <v>12.63</v>
      </c>
      <c r="I1148" s="901">
        <f>GLOBAL_DER_FEV_2023!I1148</f>
        <v>12.63</v>
      </c>
      <c r="J1148" s="902">
        <f>GLOBAL_DER_FEV_2023!J1148</f>
        <v>15.16</v>
      </c>
      <c r="K1148" s="903" t="s">
        <v>62</v>
      </c>
      <c r="L1148" s="1137"/>
      <c r="M1148" s="1138">
        <f t="shared" si="82"/>
        <v>0</v>
      </c>
      <c r="N1148" s="893">
        <f t="shared" si="86"/>
        <v>0</v>
      </c>
      <c r="O1148" s="905"/>
      <c r="Q1148" s="317" t="str">
        <f t="shared" si="83"/>
        <v/>
      </c>
      <c r="R1148" s="317" t="str">
        <f t="shared" si="84"/>
        <v/>
      </c>
      <c r="S1148" s="317" t="str">
        <f t="shared" si="85"/>
        <v/>
      </c>
      <c r="T1148" s="317" t="str">
        <f>GLOBAL_DER_FEV_2023!S1148</f>
        <v/>
      </c>
      <c r="W1148" s="582">
        <v>0</v>
      </c>
      <c r="X1148" s="580"/>
      <c r="Y1148" s="583">
        <f>IF(GLOBAL_DER_FEV_2023!W1148=0,0,IF(GLOBAL_DER_FEV_2023!W1148&gt;0,"c","b"))</f>
        <v>0</v>
      </c>
    </row>
    <row r="1149" spans="1:25" ht="23.25" hidden="1" thickBot="1" x14ac:dyDescent="0.25">
      <c r="A1149" s="317">
        <v>91860</v>
      </c>
      <c r="B1149" s="895">
        <v>91860</v>
      </c>
      <c r="C1149" s="896" t="s">
        <v>596</v>
      </c>
      <c r="D1149" s="906" t="s">
        <v>1079</v>
      </c>
      <c r="E1149" s="907">
        <f>GLOBAL_DER_FEV_2023!E1149</f>
        <v>0</v>
      </c>
      <c r="F1149" s="908">
        <f>GLOBAL_DER_FEV_2023!F1149</f>
        <v>0</v>
      </c>
      <c r="G1149" s="912">
        <f>GLOBAL_DER_FEV_2023!G1149</f>
        <v>0</v>
      </c>
      <c r="H1149" s="901">
        <f>GLOBAL_DER_FEV_2023!H1149</f>
        <v>15.53</v>
      </c>
      <c r="I1149" s="901">
        <f>GLOBAL_DER_FEV_2023!I1149</f>
        <v>15.53</v>
      </c>
      <c r="J1149" s="902">
        <f>GLOBAL_DER_FEV_2023!J1149</f>
        <v>18.649999999999999</v>
      </c>
      <c r="K1149" s="903" t="s">
        <v>62</v>
      </c>
      <c r="L1149" s="1137"/>
      <c r="M1149" s="1138">
        <f t="shared" si="82"/>
        <v>0</v>
      </c>
      <c r="N1149" s="893">
        <f t="shared" si="86"/>
        <v>0</v>
      </c>
      <c r="O1149" s="905"/>
      <c r="Q1149" s="317" t="str">
        <f t="shared" si="83"/>
        <v/>
      </c>
      <c r="R1149" s="317" t="str">
        <f t="shared" si="84"/>
        <v/>
      </c>
      <c r="S1149" s="317" t="str">
        <f t="shared" si="85"/>
        <v/>
      </c>
      <c r="T1149" s="317" t="str">
        <f>GLOBAL_DER_FEV_2023!S1149</f>
        <v/>
      </c>
      <c r="W1149" s="582">
        <v>0</v>
      </c>
      <c r="X1149" s="580"/>
      <c r="Y1149" s="583">
        <f>IF(GLOBAL_DER_FEV_2023!W1149=0,0,IF(GLOBAL_DER_FEV_2023!W1149&gt;0,"c","b"))</f>
        <v>0</v>
      </c>
    </row>
    <row r="1150" spans="1:25" ht="23.25" hidden="1" thickBot="1" x14ac:dyDescent="0.25">
      <c r="A1150" s="317">
        <v>91861</v>
      </c>
      <c r="B1150" s="895">
        <v>91861</v>
      </c>
      <c r="C1150" s="896" t="s">
        <v>596</v>
      </c>
      <c r="D1150" s="906" t="s">
        <v>1080</v>
      </c>
      <c r="E1150" s="907">
        <f>GLOBAL_DER_FEV_2023!E1150</f>
        <v>0</v>
      </c>
      <c r="F1150" s="908">
        <f>GLOBAL_DER_FEV_2023!F1150</f>
        <v>0</v>
      </c>
      <c r="G1150" s="912">
        <f>GLOBAL_DER_FEV_2023!G1150</f>
        <v>0</v>
      </c>
      <c r="H1150" s="901">
        <f>GLOBAL_DER_FEV_2023!H1150</f>
        <v>14.88</v>
      </c>
      <c r="I1150" s="901">
        <f>GLOBAL_DER_FEV_2023!I1150</f>
        <v>14.88</v>
      </c>
      <c r="J1150" s="902">
        <f>GLOBAL_DER_FEV_2023!J1150</f>
        <v>17.87</v>
      </c>
      <c r="K1150" s="903" t="s">
        <v>62</v>
      </c>
      <c r="L1150" s="1137"/>
      <c r="M1150" s="1138">
        <f t="shared" si="82"/>
        <v>0</v>
      </c>
      <c r="N1150" s="893">
        <f t="shared" si="86"/>
        <v>0</v>
      </c>
      <c r="O1150" s="905"/>
      <c r="Q1150" s="317" t="str">
        <f t="shared" si="83"/>
        <v/>
      </c>
      <c r="R1150" s="317" t="str">
        <f t="shared" si="84"/>
        <v/>
      </c>
      <c r="S1150" s="317" t="str">
        <f t="shared" si="85"/>
        <v/>
      </c>
      <c r="T1150" s="317" t="str">
        <f>GLOBAL_DER_FEV_2023!S1150</f>
        <v/>
      </c>
      <c r="W1150" s="582">
        <v>0</v>
      </c>
      <c r="X1150" s="580"/>
      <c r="Y1150" s="583">
        <f>IF(GLOBAL_DER_FEV_2023!W1150=0,0,IF(GLOBAL_DER_FEV_2023!W1150&gt;0,"c","b"))</f>
        <v>0</v>
      </c>
    </row>
    <row r="1151" spans="1:25" ht="23.25" hidden="1" thickBot="1" x14ac:dyDescent="0.25">
      <c r="A1151" s="317">
        <v>97667</v>
      </c>
      <c r="B1151" s="895">
        <v>97667</v>
      </c>
      <c r="C1151" s="896" t="s">
        <v>596</v>
      </c>
      <c r="D1151" s="906" t="s">
        <v>1081</v>
      </c>
      <c r="E1151" s="907">
        <f>GLOBAL_DER_FEV_2023!E1151</f>
        <v>0</v>
      </c>
      <c r="F1151" s="908">
        <f>GLOBAL_DER_FEV_2023!F1151</f>
        <v>0</v>
      </c>
      <c r="G1151" s="912">
        <f>GLOBAL_DER_FEV_2023!G1151</f>
        <v>0</v>
      </c>
      <c r="H1151" s="901">
        <f>GLOBAL_DER_FEV_2023!H1151</f>
        <v>9.3000000000000007</v>
      </c>
      <c r="I1151" s="901">
        <f>GLOBAL_DER_FEV_2023!I1151</f>
        <v>9.3000000000000007</v>
      </c>
      <c r="J1151" s="902">
        <f>GLOBAL_DER_FEV_2023!J1151</f>
        <v>11.17</v>
      </c>
      <c r="K1151" s="903" t="s">
        <v>62</v>
      </c>
      <c r="L1151" s="1137"/>
      <c r="M1151" s="1138">
        <f t="shared" si="82"/>
        <v>0</v>
      </c>
      <c r="N1151" s="893">
        <f t="shared" si="86"/>
        <v>0</v>
      </c>
      <c r="O1151" s="905"/>
      <c r="Q1151" s="317" t="str">
        <f t="shared" si="83"/>
        <v/>
      </c>
      <c r="R1151" s="317" t="str">
        <f t="shared" si="84"/>
        <v/>
      </c>
      <c r="S1151" s="317" t="str">
        <f t="shared" si="85"/>
        <v/>
      </c>
      <c r="T1151" s="317" t="str">
        <f>GLOBAL_DER_FEV_2023!S1151</f>
        <v/>
      </c>
      <c r="W1151" s="582">
        <v>0</v>
      </c>
      <c r="X1151" s="580"/>
      <c r="Y1151" s="583">
        <f>IF(GLOBAL_DER_FEV_2023!W1151=0,0,IF(GLOBAL_DER_FEV_2023!W1151&gt;0,"c","b"))</f>
        <v>0</v>
      </c>
    </row>
    <row r="1152" spans="1:25" ht="23.25" hidden="1" thickBot="1" x14ac:dyDescent="0.25">
      <c r="A1152" s="317">
        <v>97668</v>
      </c>
      <c r="B1152" s="895">
        <v>97668</v>
      </c>
      <c r="C1152" s="896" t="s">
        <v>596</v>
      </c>
      <c r="D1152" s="906" t="s">
        <v>1082</v>
      </c>
      <c r="E1152" s="907">
        <f>GLOBAL_DER_FEV_2023!E1152</f>
        <v>0</v>
      </c>
      <c r="F1152" s="908">
        <f>GLOBAL_DER_FEV_2023!F1152</f>
        <v>0</v>
      </c>
      <c r="G1152" s="912">
        <f>GLOBAL_DER_FEV_2023!G1152</f>
        <v>0</v>
      </c>
      <c r="H1152" s="901">
        <f>GLOBAL_DER_FEV_2023!H1152</f>
        <v>13.25</v>
      </c>
      <c r="I1152" s="901">
        <f>GLOBAL_DER_FEV_2023!I1152</f>
        <v>13.25</v>
      </c>
      <c r="J1152" s="902">
        <f>GLOBAL_DER_FEV_2023!J1152</f>
        <v>15.91</v>
      </c>
      <c r="K1152" s="903" t="s">
        <v>62</v>
      </c>
      <c r="L1152" s="1137"/>
      <c r="M1152" s="1138">
        <f t="shared" si="82"/>
        <v>0</v>
      </c>
      <c r="N1152" s="893">
        <f t="shared" si="86"/>
        <v>0</v>
      </c>
      <c r="O1152" s="905"/>
      <c r="Q1152" s="317" t="str">
        <f t="shared" si="83"/>
        <v/>
      </c>
      <c r="R1152" s="317" t="str">
        <f t="shared" si="84"/>
        <v/>
      </c>
      <c r="S1152" s="317" t="str">
        <f t="shared" si="85"/>
        <v/>
      </c>
      <c r="T1152" s="317" t="str">
        <f>GLOBAL_DER_FEV_2023!S1152</f>
        <v/>
      </c>
      <c r="W1152" s="582">
        <v>0</v>
      </c>
      <c r="X1152" s="580"/>
      <c r="Y1152" s="583">
        <f>IF(GLOBAL_DER_FEV_2023!W1152=0,0,IF(GLOBAL_DER_FEV_2023!W1152&gt;0,"c","b"))</f>
        <v>0</v>
      </c>
    </row>
    <row r="1153" spans="1:25" ht="23.25" hidden="1" thickBot="1" x14ac:dyDescent="0.25">
      <c r="A1153" s="317">
        <v>97669</v>
      </c>
      <c r="B1153" s="895">
        <v>97669</v>
      </c>
      <c r="C1153" s="896" t="s">
        <v>596</v>
      </c>
      <c r="D1153" s="906" t="s">
        <v>1083</v>
      </c>
      <c r="E1153" s="907">
        <f>GLOBAL_DER_FEV_2023!E1153</f>
        <v>0</v>
      </c>
      <c r="F1153" s="908">
        <f>GLOBAL_DER_FEV_2023!F1153</f>
        <v>0</v>
      </c>
      <c r="G1153" s="912">
        <f>GLOBAL_DER_FEV_2023!G1153</f>
        <v>0</v>
      </c>
      <c r="H1153" s="901">
        <f>GLOBAL_DER_FEV_2023!H1153</f>
        <v>19.670000000000002</v>
      </c>
      <c r="I1153" s="901">
        <f>GLOBAL_DER_FEV_2023!I1153</f>
        <v>19.670000000000002</v>
      </c>
      <c r="J1153" s="902">
        <f>GLOBAL_DER_FEV_2023!J1153</f>
        <v>23.62</v>
      </c>
      <c r="K1153" s="903" t="s">
        <v>62</v>
      </c>
      <c r="L1153" s="1137"/>
      <c r="M1153" s="1138">
        <f t="shared" si="82"/>
        <v>0</v>
      </c>
      <c r="N1153" s="893">
        <f t="shared" si="86"/>
        <v>0</v>
      </c>
      <c r="O1153" s="905"/>
      <c r="Q1153" s="317" t="str">
        <f t="shared" si="83"/>
        <v/>
      </c>
      <c r="R1153" s="317" t="str">
        <f t="shared" si="84"/>
        <v/>
      </c>
      <c r="S1153" s="317" t="str">
        <f t="shared" si="85"/>
        <v/>
      </c>
      <c r="T1153" s="317" t="str">
        <f>GLOBAL_DER_FEV_2023!S1153</f>
        <v/>
      </c>
      <c r="W1153" s="582">
        <v>0</v>
      </c>
      <c r="X1153" s="580"/>
      <c r="Y1153" s="583">
        <f>IF(GLOBAL_DER_FEV_2023!W1153=0,0,IF(GLOBAL_DER_FEV_2023!W1153&gt;0,"c","b"))</f>
        <v>0</v>
      </c>
    </row>
    <row r="1154" spans="1:25" ht="23.25" hidden="1" thickBot="1" x14ac:dyDescent="0.25">
      <c r="A1154" s="317">
        <v>97670</v>
      </c>
      <c r="B1154" s="895">
        <v>97670</v>
      </c>
      <c r="C1154" s="896" t="s">
        <v>596</v>
      </c>
      <c r="D1154" s="906" t="s">
        <v>1084</v>
      </c>
      <c r="E1154" s="907">
        <f>GLOBAL_DER_FEV_2023!E1154</f>
        <v>0</v>
      </c>
      <c r="F1154" s="908">
        <f>GLOBAL_DER_FEV_2023!F1154</f>
        <v>0</v>
      </c>
      <c r="G1154" s="912">
        <f>GLOBAL_DER_FEV_2023!G1154</f>
        <v>0</v>
      </c>
      <c r="H1154" s="901">
        <f>GLOBAL_DER_FEV_2023!H1154</f>
        <v>25.13</v>
      </c>
      <c r="I1154" s="901">
        <f>GLOBAL_DER_FEV_2023!I1154</f>
        <v>25.13</v>
      </c>
      <c r="J1154" s="902">
        <f>GLOBAL_DER_FEV_2023!J1154</f>
        <v>30.17</v>
      </c>
      <c r="K1154" s="903" t="s">
        <v>62</v>
      </c>
      <c r="L1154" s="1137"/>
      <c r="M1154" s="1138">
        <f t="shared" si="82"/>
        <v>0</v>
      </c>
      <c r="N1154" s="893">
        <f t="shared" si="86"/>
        <v>0</v>
      </c>
      <c r="O1154" s="905"/>
      <c r="Q1154" s="317" t="str">
        <f t="shared" si="83"/>
        <v/>
      </c>
      <c r="R1154" s="317" t="str">
        <f t="shared" si="84"/>
        <v/>
      </c>
      <c r="S1154" s="317" t="str">
        <f t="shared" si="85"/>
        <v/>
      </c>
      <c r="T1154" s="317" t="str">
        <f>GLOBAL_DER_FEV_2023!S1154</f>
        <v/>
      </c>
      <c r="W1154" s="582">
        <v>0</v>
      </c>
      <c r="X1154" s="580"/>
      <c r="Y1154" s="583">
        <f>IF(GLOBAL_DER_FEV_2023!W1154=0,0,IF(GLOBAL_DER_FEV_2023!W1154&gt;0,"c","b"))</f>
        <v>0</v>
      </c>
    </row>
    <row r="1155" spans="1:25" ht="23.25" hidden="1" thickBot="1" x14ac:dyDescent="0.25">
      <c r="A1155" s="317">
        <v>91924</v>
      </c>
      <c r="B1155" s="895">
        <v>91924</v>
      </c>
      <c r="C1155" s="896" t="s">
        <v>596</v>
      </c>
      <c r="D1155" s="906" t="s">
        <v>1085</v>
      </c>
      <c r="E1155" s="907">
        <f>GLOBAL_DER_FEV_2023!E1155</f>
        <v>0</v>
      </c>
      <c r="F1155" s="908">
        <f>GLOBAL_DER_FEV_2023!F1155</f>
        <v>0</v>
      </c>
      <c r="G1155" s="912">
        <f>GLOBAL_DER_FEV_2023!G1155</f>
        <v>0</v>
      </c>
      <c r="H1155" s="901">
        <f>GLOBAL_DER_FEV_2023!H1155</f>
        <v>3.11</v>
      </c>
      <c r="I1155" s="901">
        <f>GLOBAL_DER_FEV_2023!I1155</f>
        <v>3.11</v>
      </c>
      <c r="J1155" s="902">
        <f>GLOBAL_DER_FEV_2023!J1155</f>
        <v>3.73</v>
      </c>
      <c r="K1155" s="903" t="s">
        <v>62</v>
      </c>
      <c r="L1155" s="1137"/>
      <c r="M1155" s="1138">
        <f t="shared" si="82"/>
        <v>0</v>
      </c>
      <c r="N1155" s="893">
        <f t="shared" si="86"/>
        <v>0</v>
      </c>
      <c r="O1155" s="905"/>
      <c r="Q1155" s="317" t="str">
        <f t="shared" si="83"/>
        <v/>
      </c>
      <c r="R1155" s="317" t="str">
        <f t="shared" si="84"/>
        <v/>
      </c>
      <c r="S1155" s="317" t="str">
        <f t="shared" si="85"/>
        <v/>
      </c>
      <c r="T1155" s="317" t="str">
        <f>GLOBAL_DER_FEV_2023!S1155</f>
        <v/>
      </c>
      <c r="W1155" s="582">
        <v>0</v>
      </c>
      <c r="X1155" s="580"/>
      <c r="Y1155" s="583">
        <f>IF(GLOBAL_DER_FEV_2023!W1155=0,0,IF(GLOBAL_DER_FEV_2023!W1155&gt;0,"c","b"))</f>
        <v>0</v>
      </c>
    </row>
    <row r="1156" spans="1:25" ht="23.25" hidden="1" thickBot="1" x14ac:dyDescent="0.25">
      <c r="A1156" s="317">
        <v>91926</v>
      </c>
      <c r="B1156" s="895">
        <v>91926</v>
      </c>
      <c r="C1156" s="896" t="s">
        <v>596</v>
      </c>
      <c r="D1156" s="906" t="s">
        <v>1086</v>
      </c>
      <c r="E1156" s="907">
        <f>GLOBAL_DER_FEV_2023!E1156</f>
        <v>0</v>
      </c>
      <c r="F1156" s="908">
        <f>GLOBAL_DER_FEV_2023!F1156</f>
        <v>0</v>
      </c>
      <c r="G1156" s="912">
        <f>GLOBAL_DER_FEV_2023!G1156</f>
        <v>0</v>
      </c>
      <c r="H1156" s="901">
        <f>GLOBAL_DER_FEV_2023!H1156</f>
        <v>4.42</v>
      </c>
      <c r="I1156" s="901">
        <f>GLOBAL_DER_FEV_2023!I1156</f>
        <v>4.42</v>
      </c>
      <c r="J1156" s="902">
        <f>GLOBAL_DER_FEV_2023!J1156</f>
        <v>5.31</v>
      </c>
      <c r="K1156" s="903" t="s">
        <v>62</v>
      </c>
      <c r="L1156" s="1137"/>
      <c r="M1156" s="1138">
        <f t="shared" si="82"/>
        <v>0</v>
      </c>
      <c r="N1156" s="893">
        <f t="shared" si="86"/>
        <v>0</v>
      </c>
      <c r="O1156" s="905"/>
      <c r="Q1156" s="317" t="str">
        <f t="shared" si="83"/>
        <v/>
      </c>
      <c r="R1156" s="317" t="str">
        <f t="shared" si="84"/>
        <v/>
      </c>
      <c r="S1156" s="317" t="str">
        <f t="shared" si="85"/>
        <v/>
      </c>
      <c r="T1156" s="317" t="str">
        <f>GLOBAL_DER_FEV_2023!S1156</f>
        <v/>
      </c>
      <c r="W1156" s="582">
        <v>0</v>
      </c>
      <c r="X1156" s="580"/>
      <c r="Y1156" s="583">
        <f>IF(GLOBAL_DER_FEV_2023!W1156=0,0,IF(GLOBAL_DER_FEV_2023!W1156&gt;0,"c","b"))</f>
        <v>0</v>
      </c>
    </row>
    <row r="1157" spans="1:25" ht="23.25" hidden="1" thickBot="1" x14ac:dyDescent="0.25">
      <c r="A1157" s="317">
        <v>91928</v>
      </c>
      <c r="B1157" s="895">
        <v>91928</v>
      </c>
      <c r="C1157" s="896" t="s">
        <v>596</v>
      </c>
      <c r="D1157" s="906" t="s">
        <v>1087</v>
      </c>
      <c r="E1157" s="907">
        <f>GLOBAL_DER_FEV_2023!E1157</f>
        <v>0</v>
      </c>
      <c r="F1157" s="908">
        <f>GLOBAL_DER_FEV_2023!F1157</f>
        <v>0</v>
      </c>
      <c r="G1157" s="912">
        <f>GLOBAL_DER_FEV_2023!G1157</f>
        <v>0</v>
      </c>
      <c r="H1157" s="901">
        <f>GLOBAL_DER_FEV_2023!H1157</f>
        <v>6.72</v>
      </c>
      <c r="I1157" s="901">
        <f>GLOBAL_DER_FEV_2023!I1157</f>
        <v>6.72</v>
      </c>
      <c r="J1157" s="902">
        <f>GLOBAL_DER_FEV_2023!J1157</f>
        <v>8.07</v>
      </c>
      <c r="K1157" s="903" t="s">
        <v>62</v>
      </c>
      <c r="L1157" s="1137"/>
      <c r="M1157" s="1138">
        <f t="shared" si="82"/>
        <v>0</v>
      </c>
      <c r="N1157" s="893">
        <f t="shared" si="86"/>
        <v>0</v>
      </c>
      <c r="O1157" s="905"/>
      <c r="Q1157" s="317" t="str">
        <f t="shared" si="83"/>
        <v/>
      </c>
      <c r="R1157" s="317" t="str">
        <f t="shared" si="84"/>
        <v/>
      </c>
      <c r="S1157" s="317" t="str">
        <f t="shared" si="85"/>
        <v/>
      </c>
      <c r="T1157" s="317" t="str">
        <f>GLOBAL_DER_FEV_2023!S1157</f>
        <v/>
      </c>
      <c r="W1157" s="582">
        <v>0</v>
      </c>
      <c r="X1157" s="580"/>
      <c r="Y1157" s="583">
        <f>IF(GLOBAL_DER_FEV_2023!W1157=0,0,IF(GLOBAL_DER_FEV_2023!W1157&gt;0,"c","b"))</f>
        <v>0</v>
      </c>
    </row>
    <row r="1158" spans="1:25" ht="23.25" hidden="1" thickBot="1" x14ac:dyDescent="0.25">
      <c r="A1158" s="317">
        <v>91930</v>
      </c>
      <c r="B1158" s="895">
        <v>91930</v>
      </c>
      <c r="C1158" s="896" t="s">
        <v>596</v>
      </c>
      <c r="D1158" s="906" t="s">
        <v>1088</v>
      </c>
      <c r="E1158" s="907">
        <f>GLOBAL_DER_FEV_2023!E1158</f>
        <v>0</v>
      </c>
      <c r="F1158" s="908">
        <f>GLOBAL_DER_FEV_2023!F1158</f>
        <v>0</v>
      </c>
      <c r="G1158" s="912">
        <f>GLOBAL_DER_FEV_2023!G1158</f>
        <v>0</v>
      </c>
      <c r="H1158" s="901">
        <f>GLOBAL_DER_FEV_2023!H1158</f>
        <v>9.31</v>
      </c>
      <c r="I1158" s="901">
        <f>GLOBAL_DER_FEV_2023!I1158</f>
        <v>9.31</v>
      </c>
      <c r="J1158" s="902">
        <f>GLOBAL_DER_FEV_2023!J1158</f>
        <v>11.18</v>
      </c>
      <c r="K1158" s="903" t="s">
        <v>62</v>
      </c>
      <c r="L1158" s="1137"/>
      <c r="M1158" s="1138">
        <f t="shared" si="82"/>
        <v>0</v>
      </c>
      <c r="N1158" s="893">
        <f t="shared" si="86"/>
        <v>0</v>
      </c>
      <c r="O1158" s="905"/>
      <c r="Q1158" s="317" t="str">
        <f t="shared" si="83"/>
        <v/>
      </c>
      <c r="R1158" s="317" t="str">
        <f t="shared" si="84"/>
        <v/>
      </c>
      <c r="S1158" s="317" t="str">
        <f t="shared" si="85"/>
        <v/>
      </c>
      <c r="T1158" s="317" t="str">
        <f>GLOBAL_DER_FEV_2023!S1158</f>
        <v/>
      </c>
      <c r="W1158" s="582">
        <v>0</v>
      </c>
      <c r="X1158" s="580"/>
      <c r="Y1158" s="583">
        <f>IF(GLOBAL_DER_FEV_2023!W1158=0,0,IF(GLOBAL_DER_FEV_2023!W1158&gt;0,"c","b"))</f>
        <v>0</v>
      </c>
    </row>
    <row r="1159" spans="1:25" ht="23.25" hidden="1" thickBot="1" x14ac:dyDescent="0.25">
      <c r="A1159" s="317">
        <v>91932</v>
      </c>
      <c r="B1159" s="895">
        <v>91932</v>
      </c>
      <c r="C1159" s="896" t="s">
        <v>596</v>
      </c>
      <c r="D1159" s="906" t="s">
        <v>1089</v>
      </c>
      <c r="E1159" s="907">
        <f>GLOBAL_DER_FEV_2023!E1159</f>
        <v>0</v>
      </c>
      <c r="F1159" s="908">
        <f>GLOBAL_DER_FEV_2023!F1159</f>
        <v>0</v>
      </c>
      <c r="G1159" s="912">
        <f>GLOBAL_DER_FEV_2023!G1159</f>
        <v>0</v>
      </c>
      <c r="H1159" s="901">
        <f>GLOBAL_DER_FEV_2023!H1159</f>
        <v>16.420000000000002</v>
      </c>
      <c r="I1159" s="901">
        <f>GLOBAL_DER_FEV_2023!I1159</f>
        <v>16.420000000000002</v>
      </c>
      <c r="J1159" s="902">
        <f>GLOBAL_DER_FEV_2023!J1159</f>
        <v>19.72</v>
      </c>
      <c r="K1159" s="903" t="s">
        <v>62</v>
      </c>
      <c r="L1159" s="1137"/>
      <c r="M1159" s="1138">
        <f t="shared" si="82"/>
        <v>0</v>
      </c>
      <c r="N1159" s="893">
        <f t="shared" si="86"/>
        <v>0</v>
      </c>
      <c r="O1159" s="905"/>
      <c r="Q1159" s="317" t="str">
        <f t="shared" si="83"/>
        <v/>
      </c>
      <c r="R1159" s="317" t="str">
        <f t="shared" si="84"/>
        <v/>
      </c>
      <c r="S1159" s="317" t="str">
        <f t="shared" si="85"/>
        <v/>
      </c>
      <c r="T1159" s="317" t="str">
        <f>GLOBAL_DER_FEV_2023!S1159</f>
        <v/>
      </c>
      <c r="W1159" s="582">
        <v>0</v>
      </c>
      <c r="X1159" s="580"/>
      <c r="Y1159" s="583">
        <f>IF(GLOBAL_DER_FEV_2023!W1159=0,0,IF(GLOBAL_DER_FEV_2023!W1159&gt;0,"c","b"))</f>
        <v>0</v>
      </c>
    </row>
    <row r="1160" spans="1:25" ht="23.25" hidden="1" thickBot="1" x14ac:dyDescent="0.25">
      <c r="A1160" s="317">
        <v>91934</v>
      </c>
      <c r="B1160" s="895">
        <v>91934</v>
      </c>
      <c r="C1160" s="896" t="s">
        <v>596</v>
      </c>
      <c r="D1160" s="906" t="s">
        <v>1090</v>
      </c>
      <c r="E1160" s="907">
        <f>GLOBAL_DER_FEV_2023!E1160</f>
        <v>0</v>
      </c>
      <c r="F1160" s="908">
        <f>GLOBAL_DER_FEV_2023!F1160</f>
        <v>0</v>
      </c>
      <c r="G1160" s="912">
        <f>GLOBAL_DER_FEV_2023!G1160</f>
        <v>0</v>
      </c>
      <c r="H1160" s="901">
        <f>GLOBAL_DER_FEV_2023!H1160</f>
        <v>23.75</v>
      </c>
      <c r="I1160" s="901">
        <f>GLOBAL_DER_FEV_2023!I1160</f>
        <v>23.75</v>
      </c>
      <c r="J1160" s="902">
        <f>GLOBAL_DER_FEV_2023!J1160</f>
        <v>28.52</v>
      </c>
      <c r="K1160" s="903" t="s">
        <v>62</v>
      </c>
      <c r="L1160" s="1137"/>
      <c r="M1160" s="1138">
        <f t="shared" si="82"/>
        <v>0</v>
      </c>
      <c r="N1160" s="893">
        <f t="shared" si="86"/>
        <v>0</v>
      </c>
      <c r="O1160" s="905"/>
      <c r="Q1160" s="317" t="str">
        <f t="shared" si="83"/>
        <v/>
      </c>
      <c r="R1160" s="317" t="str">
        <f t="shared" si="84"/>
        <v/>
      </c>
      <c r="S1160" s="317" t="str">
        <f t="shared" si="85"/>
        <v/>
      </c>
      <c r="T1160" s="317" t="str">
        <f>GLOBAL_DER_FEV_2023!S1160</f>
        <v/>
      </c>
      <c r="W1160" s="582">
        <v>0</v>
      </c>
      <c r="X1160" s="580"/>
      <c r="Y1160" s="583">
        <f>IF(GLOBAL_DER_FEV_2023!W1160=0,0,IF(GLOBAL_DER_FEV_2023!W1160&gt;0,"c","b"))</f>
        <v>0</v>
      </c>
    </row>
    <row r="1161" spans="1:25" ht="23.25" hidden="1" thickBot="1" x14ac:dyDescent="0.25">
      <c r="A1161" s="317">
        <v>92979</v>
      </c>
      <c r="B1161" s="895">
        <v>92979</v>
      </c>
      <c r="C1161" s="896" t="s">
        <v>596</v>
      </c>
      <c r="D1161" s="906" t="s">
        <v>1091</v>
      </c>
      <c r="E1161" s="907">
        <f>GLOBAL_DER_FEV_2023!E1161</f>
        <v>0</v>
      </c>
      <c r="F1161" s="908">
        <f>GLOBAL_DER_FEV_2023!F1161</f>
        <v>0</v>
      </c>
      <c r="G1161" s="912">
        <f>GLOBAL_DER_FEV_2023!G1161</f>
        <v>0</v>
      </c>
      <c r="H1161" s="901">
        <f>GLOBAL_DER_FEV_2023!H1161</f>
        <v>10.73</v>
      </c>
      <c r="I1161" s="901">
        <f>GLOBAL_DER_FEV_2023!I1161</f>
        <v>10.73</v>
      </c>
      <c r="J1161" s="902">
        <f>GLOBAL_DER_FEV_2023!J1161</f>
        <v>12.88</v>
      </c>
      <c r="K1161" s="903" t="s">
        <v>62</v>
      </c>
      <c r="L1161" s="1137"/>
      <c r="M1161" s="1138">
        <f t="shared" si="82"/>
        <v>0</v>
      </c>
      <c r="N1161" s="893">
        <f t="shared" si="86"/>
        <v>0</v>
      </c>
      <c r="O1161" s="905"/>
      <c r="Q1161" s="317" t="str">
        <f t="shared" si="83"/>
        <v/>
      </c>
      <c r="R1161" s="317" t="str">
        <f t="shared" si="84"/>
        <v/>
      </c>
      <c r="S1161" s="317" t="str">
        <f t="shared" si="85"/>
        <v/>
      </c>
      <c r="T1161" s="317" t="str">
        <f>GLOBAL_DER_FEV_2023!S1161</f>
        <v/>
      </c>
      <c r="W1161" s="582">
        <v>0</v>
      </c>
      <c r="X1161" s="580"/>
      <c r="Y1161" s="583">
        <f>IF(GLOBAL_DER_FEV_2023!W1161=0,0,IF(GLOBAL_DER_FEV_2023!W1161&gt;0,"c","b"))</f>
        <v>0</v>
      </c>
    </row>
    <row r="1162" spans="1:25" ht="23.25" hidden="1" thickBot="1" x14ac:dyDescent="0.25">
      <c r="A1162" s="317">
        <v>92981</v>
      </c>
      <c r="B1162" s="895">
        <v>92981</v>
      </c>
      <c r="C1162" s="896" t="s">
        <v>596</v>
      </c>
      <c r="D1162" s="906" t="s">
        <v>1092</v>
      </c>
      <c r="E1162" s="907">
        <f>GLOBAL_DER_FEV_2023!E1162</f>
        <v>0</v>
      </c>
      <c r="F1162" s="908">
        <f>GLOBAL_DER_FEV_2023!F1162</f>
        <v>0</v>
      </c>
      <c r="G1162" s="912">
        <f>GLOBAL_DER_FEV_2023!G1162</f>
        <v>0</v>
      </c>
      <c r="H1162" s="901">
        <f>GLOBAL_DER_FEV_2023!H1162</f>
        <v>15.33</v>
      </c>
      <c r="I1162" s="901">
        <f>GLOBAL_DER_FEV_2023!I1162</f>
        <v>15.33</v>
      </c>
      <c r="J1162" s="902">
        <f>GLOBAL_DER_FEV_2023!J1162</f>
        <v>18.41</v>
      </c>
      <c r="K1162" s="903" t="s">
        <v>62</v>
      </c>
      <c r="L1162" s="1137"/>
      <c r="M1162" s="1138">
        <f t="shared" si="82"/>
        <v>0</v>
      </c>
      <c r="N1162" s="893">
        <f t="shared" si="86"/>
        <v>0</v>
      </c>
      <c r="O1162" s="905"/>
      <c r="Q1162" s="317" t="str">
        <f t="shared" si="83"/>
        <v/>
      </c>
      <c r="R1162" s="317" t="str">
        <f t="shared" si="84"/>
        <v/>
      </c>
      <c r="S1162" s="317" t="str">
        <f t="shared" si="85"/>
        <v/>
      </c>
      <c r="T1162" s="317" t="str">
        <f>GLOBAL_DER_FEV_2023!S1162</f>
        <v/>
      </c>
      <c r="W1162" s="582">
        <v>0</v>
      </c>
      <c r="X1162" s="580"/>
      <c r="Y1162" s="583">
        <f>IF(GLOBAL_DER_FEV_2023!W1162=0,0,IF(GLOBAL_DER_FEV_2023!W1162&gt;0,"c","b"))</f>
        <v>0</v>
      </c>
    </row>
    <row r="1163" spans="1:25" ht="23.25" hidden="1" thickBot="1" x14ac:dyDescent="0.25">
      <c r="A1163" s="317">
        <v>91925</v>
      </c>
      <c r="B1163" s="895">
        <v>91925</v>
      </c>
      <c r="C1163" s="896" t="s">
        <v>596</v>
      </c>
      <c r="D1163" s="906" t="s">
        <v>1093</v>
      </c>
      <c r="E1163" s="907">
        <f>GLOBAL_DER_FEV_2023!E1163</f>
        <v>0</v>
      </c>
      <c r="F1163" s="908">
        <f>GLOBAL_DER_FEV_2023!F1163</f>
        <v>0</v>
      </c>
      <c r="G1163" s="912">
        <f>GLOBAL_DER_FEV_2023!G1163</f>
        <v>0</v>
      </c>
      <c r="H1163" s="901">
        <f>GLOBAL_DER_FEV_2023!H1163</f>
        <v>3.68</v>
      </c>
      <c r="I1163" s="901">
        <f>GLOBAL_DER_FEV_2023!I1163</f>
        <v>3.68</v>
      </c>
      <c r="J1163" s="902">
        <f>GLOBAL_DER_FEV_2023!J1163</f>
        <v>4.42</v>
      </c>
      <c r="K1163" s="903" t="s">
        <v>62</v>
      </c>
      <c r="L1163" s="1137"/>
      <c r="M1163" s="1138">
        <f t="shared" si="82"/>
        <v>0</v>
      </c>
      <c r="N1163" s="893">
        <f t="shared" si="86"/>
        <v>0</v>
      </c>
      <c r="O1163" s="905"/>
      <c r="Q1163" s="317" t="str">
        <f t="shared" si="83"/>
        <v/>
      </c>
      <c r="R1163" s="317" t="str">
        <f t="shared" si="84"/>
        <v/>
      </c>
      <c r="S1163" s="317" t="str">
        <f t="shared" si="85"/>
        <v/>
      </c>
      <c r="T1163" s="317" t="str">
        <f>GLOBAL_DER_FEV_2023!S1163</f>
        <v/>
      </c>
      <c r="W1163" s="582">
        <v>0</v>
      </c>
      <c r="X1163" s="580"/>
      <c r="Y1163" s="583">
        <f>IF(GLOBAL_DER_FEV_2023!W1163=0,0,IF(GLOBAL_DER_FEV_2023!W1163&gt;0,"c","b"))</f>
        <v>0</v>
      </c>
    </row>
    <row r="1164" spans="1:25" ht="23.25" hidden="1" thickBot="1" x14ac:dyDescent="0.25">
      <c r="A1164" s="317">
        <v>91927</v>
      </c>
      <c r="B1164" s="895">
        <v>91927</v>
      </c>
      <c r="C1164" s="896" t="s">
        <v>596</v>
      </c>
      <c r="D1164" s="906" t="s">
        <v>1094</v>
      </c>
      <c r="E1164" s="907">
        <f>GLOBAL_DER_FEV_2023!E1164</f>
        <v>0</v>
      </c>
      <c r="F1164" s="908">
        <f>GLOBAL_DER_FEV_2023!F1164</f>
        <v>0</v>
      </c>
      <c r="G1164" s="912">
        <f>GLOBAL_DER_FEV_2023!G1164</f>
        <v>0</v>
      </c>
      <c r="H1164" s="901">
        <f>GLOBAL_DER_FEV_2023!H1164</f>
        <v>4.91</v>
      </c>
      <c r="I1164" s="901">
        <f>GLOBAL_DER_FEV_2023!I1164</f>
        <v>4.91</v>
      </c>
      <c r="J1164" s="902">
        <f>GLOBAL_DER_FEV_2023!J1164</f>
        <v>5.9</v>
      </c>
      <c r="K1164" s="903" t="s">
        <v>62</v>
      </c>
      <c r="L1164" s="1137"/>
      <c r="M1164" s="1138">
        <f t="shared" si="82"/>
        <v>0</v>
      </c>
      <c r="N1164" s="893">
        <f t="shared" si="86"/>
        <v>0</v>
      </c>
      <c r="O1164" s="905"/>
      <c r="Q1164" s="317" t="str">
        <f t="shared" si="83"/>
        <v/>
      </c>
      <c r="R1164" s="317" t="str">
        <f t="shared" si="84"/>
        <v/>
      </c>
      <c r="S1164" s="317" t="str">
        <f t="shared" si="85"/>
        <v/>
      </c>
      <c r="T1164" s="317" t="str">
        <f>GLOBAL_DER_FEV_2023!S1164</f>
        <v/>
      </c>
      <c r="W1164" s="582">
        <v>0</v>
      </c>
      <c r="X1164" s="580"/>
      <c r="Y1164" s="583">
        <f>IF(GLOBAL_DER_FEV_2023!W1164=0,0,IF(GLOBAL_DER_FEV_2023!W1164&gt;0,"c","b"))</f>
        <v>0</v>
      </c>
    </row>
    <row r="1165" spans="1:25" ht="23.25" hidden="1" thickBot="1" x14ac:dyDescent="0.25">
      <c r="A1165" s="317">
        <v>91929</v>
      </c>
      <c r="B1165" s="895">
        <v>91929</v>
      </c>
      <c r="C1165" s="896" t="s">
        <v>596</v>
      </c>
      <c r="D1165" s="906" t="s">
        <v>1095</v>
      </c>
      <c r="E1165" s="907">
        <f>GLOBAL_DER_FEV_2023!E1165</f>
        <v>0</v>
      </c>
      <c r="F1165" s="908">
        <f>GLOBAL_DER_FEV_2023!F1165</f>
        <v>0</v>
      </c>
      <c r="G1165" s="912">
        <f>GLOBAL_DER_FEV_2023!G1165</f>
        <v>0</v>
      </c>
      <c r="H1165" s="901">
        <f>GLOBAL_DER_FEV_2023!H1165</f>
        <v>7.14</v>
      </c>
      <c r="I1165" s="901">
        <f>GLOBAL_DER_FEV_2023!I1165</f>
        <v>7.14</v>
      </c>
      <c r="J1165" s="902">
        <f>GLOBAL_DER_FEV_2023!J1165</f>
        <v>8.57</v>
      </c>
      <c r="K1165" s="903" t="s">
        <v>62</v>
      </c>
      <c r="L1165" s="1137"/>
      <c r="M1165" s="1138">
        <f t="shared" si="82"/>
        <v>0</v>
      </c>
      <c r="N1165" s="893">
        <f t="shared" si="86"/>
        <v>0</v>
      </c>
      <c r="O1165" s="905"/>
      <c r="Q1165" s="317" t="str">
        <f t="shared" si="83"/>
        <v/>
      </c>
      <c r="R1165" s="317" t="str">
        <f t="shared" si="84"/>
        <v/>
      </c>
      <c r="S1165" s="317" t="str">
        <f t="shared" si="85"/>
        <v/>
      </c>
      <c r="T1165" s="317" t="str">
        <f>GLOBAL_DER_FEV_2023!S1165</f>
        <v/>
      </c>
      <c r="W1165" s="582">
        <v>0</v>
      </c>
      <c r="X1165" s="580"/>
      <c r="Y1165" s="583">
        <f>IF(GLOBAL_DER_FEV_2023!W1165=0,0,IF(GLOBAL_DER_FEV_2023!W1165&gt;0,"c","b"))</f>
        <v>0</v>
      </c>
    </row>
    <row r="1166" spans="1:25" ht="23.25" hidden="1" thickBot="1" x14ac:dyDescent="0.25">
      <c r="A1166" s="317">
        <v>91931</v>
      </c>
      <c r="B1166" s="895">
        <v>91931</v>
      </c>
      <c r="C1166" s="896" t="s">
        <v>596</v>
      </c>
      <c r="D1166" s="906" t="s">
        <v>1096</v>
      </c>
      <c r="E1166" s="907">
        <f>GLOBAL_DER_FEV_2023!E1166</f>
        <v>0</v>
      </c>
      <c r="F1166" s="908">
        <f>GLOBAL_DER_FEV_2023!F1166</f>
        <v>0</v>
      </c>
      <c r="G1166" s="912">
        <f>GLOBAL_DER_FEV_2023!G1166</f>
        <v>0</v>
      </c>
      <c r="H1166" s="901">
        <f>GLOBAL_DER_FEV_2023!H1166</f>
        <v>10</v>
      </c>
      <c r="I1166" s="901">
        <f>GLOBAL_DER_FEV_2023!I1166</f>
        <v>10</v>
      </c>
      <c r="J1166" s="902">
        <f>GLOBAL_DER_FEV_2023!J1166</f>
        <v>12.01</v>
      </c>
      <c r="K1166" s="903" t="s">
        <v>62</v>
      </c>
      <c r="L1166" s="1137"/>
      <c r="M1166" s="1138">
        <f t="shared" si="82"/>
        <v>0</v>
      </c>
      <c r="N1166" s="893">
        <f t="shared" si="86"/>
        <v>0</v>
      </c>
      <c r="O1166" s="905"/>
      <c r="Q1166" s="317" t="str">
        <f t="shared" si="83"/>
        <v/>
      </c>
      <c r="R1166" s="317" t="str">
        <f t="shared" si="84"/>
        <v/>
      </c>
      <c r="S1166" s="317" t="str">
        <f t="shared" si="85"/>
        <v/>
      </c>
      <c r="T1166" s="317" t="str">
        <f>GLOBAL_DER_FEV_2023!S1166</f>
        <v/>
      </c>
      <c r="W1166" s="582">
        <v>0</v>
      </c>
      <c r="X1166" s="580"/>
      <c r="Y1166" s="583">
        <f>IF(GLOBAL_DER_FEV_2023!W1166=0,0,IF(GLOBAL_DER_FEV_2023!W1166&gt;0,"c","b"))</f>
        <v>0</v>
      </c>
    </row>
    <row r="1167" spans="1:25" ht="23.25" hidden="1" thickBot="1" x14ac:dyDescent="0.25">
      <c r="A1167" s="317">
        <v>91933</v>
      </c>
      <c r="B1167" s="895">
        <v>91933</v>
      </c>
      <c r="C1167" s="896" t="s">
        <v>596</v>
      </c>
      <c r="D1167" s="906" t="s">
        <v>1097</v>
      </c>
      <c r="E1167" s="907">
        <f>GLOBAL_DER_FEV_2023!E1167</f>
        <v>0</v>
      </c>
      <c r="F1167" s="908">
        <f>GLOBAL_DER_FEV_2023!F1167</f>
        <v>0</v>
      </c>
      <c r="G1167" s="912">
        <f>GLOBAL_DER_FEV_2023!G1167</f>
        <v>0</v>
      </c>
      <c r="H1167" s="901">
        <f>GLOBAL_DER_FEV_2023!H1167</f>
        <v>15.88</v>
      </c>
      <c r="I1167" s="901">
        <f>GLOBAL_DER_FEV_2023!I1167</f>
        <v>15.88</v>
      </c>
      <c r="J1167" s="902">
        <f>GLOBAL_DER_FEV_2023!J1167</f>
        <v>19.07</v>
      </c>
      <c r="K1167" s="903" t="s">
        <v>62</v>
      </c>
      <c r="L1167" s="1137"/>
      <c r="M1167" s="1138">
        <f t="shared" si="82"/>
        <v>0</v>
      </c>
      <c r="N1167" s="893">
        <f t="shared" si="86"/>
        <v>0</v>
      </c>
      <c r="O1167" s="905"/>
      <c r="Q1167" s="317" t="str">
        <f t="shared" si="83"/>
        <v/>
      </c>
      <c r="R1167" s="317" t="str">
        <f t="shared" si="84"/>
        <v/>
      </c>
      <c r="S1167" s="317" t="str">
        <f t="shared" si="85"/>
        <v/>
      </c>
      <c r="T1167" s="317" t="str">
        <f>GLOBAL_DER_FEV_2023!S1167</f>
        <v/>
      </c>
      <c r="W1167" s="582">
        <v>0</v>
      </c>
      <c r="X1167" s="580"/>
      <c r="Y1167" s="583">
        <f>IF(GLOBAL_DER_FEV_2023!W1167=0,0,IF(GLOBAL_DER_FEV_2023!W1167&gt;0,"c","b"))</f>
        <v>0</v>
      </c>
    </row>
    <row r="1168" spans="1:25" ht="23.25" hidden="1" thickBot="1" x14ac:dyDescent="0.25">
      <c r="A1168" s="317">
        <v>91935</v>
      </c>
      <c r="B1168" s="895">
        <v>91935</v>
      </c>
      <c r="C1168" s="896" t="s">
        <v>596</v>
      </c>
      <c r="D1168" s="906" t="s">
        <v>1098</v>
      </c>
      <c r="E1168" s="907">
        <f>GLOBAL_DER_FEV_2023!E1168</f>
        <v>0</v>
      </c>
      <c r="F1168" s="908">
        <f>GLOBAL_DER_FEV_2023!F1168</f>
        <v>0</v>
      </c>
      <c r="G1168" s="912">
        <f>GLOBAL_DER_FEV_2023!G1168</f>
        <v>0</v>
      </c>
      <c r="H1168" s="901">
        <f>GLOBAL_DER_FEV_2023!H1168</f>
        <v>24.8</v>
      </c>
      <c r="I1168" s="901">
        <f>GLOBAL_DER_FEV_2023!I1168</f>
        <v>24.8</v>
      </c>
      <c r="J1168" s="902">
        <f>GLOBAL_DER_FEV_2023!J1168</f>
        <v>29.78</v>
      </c>
      <c r="K1168" s="903" t="s">
        <v>62</v>
      </c>
      <c r="L1168" s="1137"/>
      <c r="M1168" s="1138">
        <f t="shared" si="82"/>
        <v>0</v>
      </c>
      <c r="N1168" s="893">
        <f t="shared" si="86"/>
        <v>0</v>
      </c>
      <c r="O1168" s="905"/>
      <c r="Q1168" s="317" t="str">
        <f t="shared" si="83"/>
        <v/>
      </c>
      <c r="R1168" s="317" t="str">
        <f t="shared" si="84"/>
        <v/>
      </c>
      <c r="S1168" s="317" t="str">
        <f t="shared" si="85"/>
        <v/>
      </c>
      <c r="T1168" s="317" t="str">
        <f>GLOBAL_DER_FEV_2023!S1168</f>
        <v/>
      </c>
      <c r="W1168" s="582">
        <v>0</v>
      </c>
      <c r="X1168" s="580"/>
      <c r="Y1168" s="583">
        <f>IF(GLOBAL_DER_FEV_2023!W1168=0,0,IF(GLOBAL_DER_FEV_2023!W1168&gt;0,"c","b"))</f>
        <v>0</v>
      </c>
    </row>
    <row r="1169" spans="1:25" ht="23.25" hidden="1" thickBot="1" x14ac:dyDescent="0.25">
      <c r="A1169" s="317">
        <v>92980</v>
      </c>
      <c r="B1169" s="895">
        <v>92980</v>
      </c>
      <c r="C1169" s="896" t="s">
        <v>596</v>
      </c>
      <c r="D1169" s="906" t="s">
        <v>1099</v>
      </c>
      <c r="E1169" s="907">
        <f>GLOBAL_DER_FEV_2023!E1169</f>
        <v>0</v>
      </c>
      <c r="F1169" s="908">
        <f>GLOBAL_DER_FEV_2023!F1169</f>
        <v>0</v>
      </c>
      <c r="G1169" s="912">
        <f>GLOBAL_DER_FEV_2023!G1169</f>
        <v>0</v>
      </c>
      <c r="H1169" s="901">
        <f>GLOBAL_DER_FEV_2023!H1169</f>
        <v>10.26</v>
      </c>
      <c r="I1169" s="901">
        <f>GLOBAL_DER_FEV_2023!I1169</f>
        <v>10.26</v>
      </c>
      <c r="J1169" s="902">
        <f>GLOBAL_DER_FEV_2023!J1169</f>
        <v>12.32</v>
      </c>
      <c r="K1169" s="903" t="s">
        <v>62</v>
      </c>
      <c r="L1169" s="1137"/>
      <c r="M1169" s="1138">
        <f t="shared" si="82"/>
        <v>0</v>
      </c>
      <c r="N1169" s="893">
        <f t="shared" si="86"/>
        <v>0</v>
      </c>
      <c r="O1169" s="905"/>
      <c r="Q1169" s="317" t="str">
        <f t="shared" si="83"/>
        <v/>
      </c>
      <c r="R1169" s="317" t="str">
        <f t="shared" si="84"/>
        <v/>
      </c>
      <c r="S1169" s="317" t="str">
        <f t="shared" si="85"/>
        <v/>
      </c>
      <c r="T1169" s="317" t="str">
        <f>GLOBAL_DER_FEV_2023!S1169</f>
        <v/>
      </c>
      <c r="W1169" s="582">
        <v>0</v>
      </c>
      <c r="X1169" s="580"/>
      <c r="Y1169" s="583">
        <f>IF(GLOBAL_DER_FEV_2023!W1169=0,0,IF(GLOBAL_DER_FEV_2023!W1169&gt;0,"c","b"))</f>
        <v>0</v>
      </c>
    </row>
    <row r="1170" spans="1:25" ht="23.25" hidden="1" thickBot="1" x14ac:dyDescent="0.25">
      <c r="A1170" s="317">
        <v>92982</v>
      </c>
      <c r="B1170" s="895">
        <v>92982</v>
      </c>
      <c r="C1170" s="896" t="s">
        <v>596</v>
      </c>
      <c r="D1170" s="906" t="s">
        <v>1100</v>
      </c>
      <c r="E1170" s="907">
        <f>GLOBAL_DER_FEV_2023!E1170</f>
        <v>0</v>
      </c>
      <c r="F1170" s="908">
        <f>GLOBAL_DER_FEV_2023!F1170</f>
        <v>0</v>
      </c>
      <c r="G1170" s="912">
        <f>GLOBAL_DER_FEV_2023!G1170</f>
        <v>0</v>
      </c>
      <c r="H1170" s="901">
        <f>GLOBAL_DER_FEV_2023!H1170</f>
        <v>16.23</v>
      </c>
      <c r="I1170" s="901">
        <f>GLOBAL_DER_FEV_2023!I1170</f>
        <v>16.23</v>
      </c>
      <c r="J1170" s="902">
        <f>GLOBAL_DER_FEV_2023!J1170</f>
        <v>19.489999999999998</v>
      </c>
      <c r="K1170" s="903" t="s">
        <v>62</v>
      </c>
      <c r="L1170" s="1137"/>
      <c r="M1170" s="1138">
        <f t="shared" ref="M1170:M1233" si="87">IF(L1170=0,0,ROUND(J1170,2))</f>
        <v>0</v>
      </c>
      <c r="N1170" s="893">
        <f t="shared" si="86"/>
        <v>0</v>
      </c>
      <c r="O1170" s="905"/>
      <c r="Q1170" s="317" t="str">
        <f t="shared" si="83"/>
        <v/>
      </c>
      <c r="R1170" s="317" t="str">
        <f t="shared" si="84"/>
        <v/>
      </c>
      <c r="S1170" s="317" t="str">
        <f t="shared" si="85"/>
        <v/>
      </c>
      <c r="T1170" s="317" t="str">
        <f>GLOBAL_DER_FEV_2023!S1170</f>
        <v/>
      </c>
      <c r="W1170" s="582">
        <v>0</v>
      </c>
      <c r="X1170" s="580"/>
      <c r="Y1170" s="583">
        <f>IF(GLOBAL_DER_FEV_2023!W1170=0,0,IF(GLOBAL_DER_FEV_2023!W1170&gt;0,"c","b"))</f>
        <v>0</v>
      </c>
    </row>
    <row r="1171" spans="1:25" ht="23.25" hidden="1" thickBot="1" x14ac:dyDescent="0.25">
      <c r="A1171" s="317">
        <v>92984</v>
      </c>
      <c r="B1171" s="895">
        <v>92984</v>
      </c>
      <c r="C1171" s="896" t="s">
        <v>596</v>
      </c>
      <c r="D1171" s="906" t="s">
        <v>1101</v>
      </c>
      <c r="E1171" s="907">
        <f>GLOBAL_DER_FEV_2023!E1171</f>
        <v>0</v>
      </c>
      <c r="F1171" s="908">
        <f>GLOBAL_DER_FEV_2023!F1171</f>
        <v>0</v>
      </c>
      <c r="G1171" s="912">
        <f>GLOBAL_DER_FEV_2023!G1171</f>
        <v>0</v>
      </c>
      <c r="H1171" s="901">
        <f>GLOBAL_DER_FEV_2023!H1171</f>
        <v>27.31</v>
      </c>
      <c r="I1171" s="901">
        <f>GLOBAL_DER_FEV_2023!I1171</f>
        <v>27.31</v>
      </c>
      <c r="J1171" s="902">
        <f>GLOBAL_DER_FEV_2023!J1171</f>
        <v>32.79</v>
      </c>
      <c r="K1171" s="903" t="s">
        <v>62</v>
      </c>
      <c r="L1171" s="1137"/>
      <c r="M1171" s="1138">
        <f t="shared" si="87"/>
        <v>0</v>
      </c>
      <c r="N1171" s="893">
        <f t="shared" si="86"/>
        <v>0</v>
      </c>
      <c r="O1171" s="905"/>
      <c r="Q1171" s="317" t="str">
        <f t="shared" si="83"/>
        <v/>
      </c>
      <c r="R1171" s="317" t="str">
        <f t="shared" si="84"/>
        <v/>
      </c>
      <c r="S1171" s="317" t="str">
        <f t="shared" si="85"/>
        <v/>
      </c>
      <c r="T1171" s="317" t="str">
        <f>GLOBAL_DER_FEV_2023!S1171</f>
        <v/>
      </c>
      <c r="W1171" s="582">
        <v>0</v>
      </c>
      <c r="X1171" s="580"/>
      <c r="Y1171" s="583">
        <f>IF(GLOBAL_DER_FEV_2023!W1171=0,0,IF(GLOBAL_DER_FEV_2023!W1171&gt;0,"c","b"))</f>
        <v>0</v>
      </c>
    </row>
    <row r="1172" spans="1:25" ht="23.25" hidden="1" thickBot="1" x14ac:dyDescent="0.25">
      <c r="A1172" s="317">
        <v>92986</v>
      </c>
      <c r="B1172" s="895">
        <v>92986</v>
      </c>
      <c r="C1172" s="896" t="s">
        <v>596</v>
      </c>
      <c r="D1172" s="906" t="s">
        <v>1102</v>
      </c>
      <c r="E1172" s="907">
        <f>GLOBAL_DER_FEV_2023!E1172</f>
        <v>0</v>
      </c>
      <c r="F1172" s="908">
        <f>GLOBAL_DER_FEV_2023!F1172</f>
        <v>0</v>
      </c>
      <c r="G1172" s="912">
        <f>GLOBAL_DER_FEV_2023!G1172</f>
        <v>0</v>
      </c>
      <c r="H1172" s="901">
        <f>GLOBAL_DER_FEV_2023!H1172</f>
        <v>37.61</v>
      </c>
      <c r="I1172" s="901">
        <f>GLOBAL_DER_FEV_2023!I1172</f>
        <v>37.61</v>
      </c>
      <c r="J1172" s="902">
        <f>GLOBAL_DER_FEV_2023!J1172</f>
        <v>45.16</v>
      </c>
      <c r="K1172" s="903" t="s">
        <v>62</v>
      </c>
      <c r="L1172" s="1137"/>
      <c r="M1172" s="1138">
        <f t="shared" si="87"/>
        <v>0</v>
      </c>
      <c r="N1172" s="893">
        <f t="shared" si="86"/>
        <v>0</v>
      </c>
      <c r="O1172" s="905"/>
      <c r="Q1172" s="317" t="str">
        <f t="shared" si="83"/>
        <v/>
      </c>
      <c r="R1172" s="317" t="str">
        <f t="shared" si="84"/>
        <v/>
      </c>
      <c r="S1172" s="317" t="str">
        <f t="shared" si="85"/>
        <v/>
      </c>
      <c r="T1172" s="317" t="str">
        <f>GLOBAL_DER_FEV_2023!S1172</f>
        <v/>
      </c>
      <c r="W1172" s="582">
        <v>0</v>
      </c>
      <c r="X1172" s="580"/>
      <c r="Y1172" s="583">
        <f>IF(GLOBAL_DER_FEV_2023!W1172=0,0,IF(GLOBAL_DER_FEV_2023!W1172&gt;0,"c","b"))</f>
        <v>0</v>
      </c>
    </row>
    <row r="1173" spans="1:25" ht="23.25" hidden="1" thickBot="1" x14ac:dyDescent="0.25">
      <c r="A1173" s="317">
        <v>92988</v>
      </c>
      <c r="B1173" s="895">
        <v>92988</v>
      </c>
      <c r="C1173" s="896" t="s">
        <v>596</v>
      </c>
      <c r="D1173" s="906" t="s">
        <v>1103</v>
      </c>
      <c r="E1173" s="907">
        <f>GLOBAL_DER_FEV_2023!E1173</f>
        <v>0</v>
      </c>
      <c r="F1173" s="908">
        <f>GLOBAL_DER_FEV_2023!F1173</f>
        <v>0</v>
      </c>
      <c r="G1173" s="912">
        <f>GLOBAL_DER_FEV_2023!G1173</f>
        <v>0</v>
      </c>
      <c r="H1173" s="901">
        <f>GLOBAL_DER_FEV_2023!H1173</f>
        <v>54.4</v>
      </c>
      <c r="I1173" s="901">
        <f>GLOBAL_DER_FEV_2023!I1173</f>
        <v>54.4</v>
      </c>
      <c r="J1173" s="902">
        <f>GLOBAL_DER_FEV_2023!J1173</f>
        <v>65.319999999999993</v>
      </c>
      <c r="K1173" s="903" t="s">
        <v>62</v>
      </c>
      <c r="L1173" s="1137"/>
      <c r="M1173" s="1138">
        <f t="shared" si="87"/>
        <v>0</v>
      </c>
      <c r="N1173" s="893">
        <f t="shared" si="86"/>
        <v>0</v>
      </c>
      <c r="O1173" s="905"/>
      <c r="Q1173" s="317" t="str">
        <f t="shared" si="83"/>
        <v/>
      </c>
      <c r="R1173" s="317" t="str">
        <f t="shared" si="84"/>
        <v/>
      </c>
      <c r="S1173" s="317" t="str">
        <f t="shared" si="85"/>
        <v/>
      </c>
      <c r="T1173" s="317" t="str">
        <f>GLOBAL_DER_FEV_2023!S1173</f>
        <v/>
      </c>
      <c r="W1173" s="582">
        <v>0</v>
      </c>
      <c r="X1173" s="580"/>
      <c r="Y1173" s="583">
        <f>IF(GLOBAL_DER_FEV_2023!W1173=0,0,IF(GLOBAL_DER_FEV_2023!W1173&gt;0,"c","b"))</f>
        <v>0</v>
      </c>
    </row>
    <row r="1174" spans="1:25" ht="23.25" hidden="1" thickBot="1" x14ac:dyDescent="0.25">
      <c r="A1174" s="317">
        <v>92990</v>
      </c>
      <c r="B1174" s="895">
        <v>92990</v>
      </c>
      <c r="C1174" s="896" t="s">
        <v>596</v>
      </c>
      <c r="D1174" s="906" t="s">
        <v>1104</v>
      </c>
      <c r="E1174" s="907">
        <f>GLOBAL_DER_FEV_2023!E1174</f>
        <v>0</v>
      </c>
      <c r="F1174" s="908">
        <f>GLOBAL_DER_FEV_2023!F1174</f>
        <v>0</v>
      </c>
      <c r="G1174" s="912">
        <f>GLOBAL_DER_FEV_2023!G1174</f>
        <v>0</v>
      </c>
      <c r="H1174" s="901">
        <f>GLOBAL_DER_FEV_2023!H1174</f>
        <v>75.17</v>
      </c>
      <c r="I1174" s="901">
        <f>GLOBAL_DER_FEV_2023!I1174</f>
        <v>75.17</v>
      </c>
      <c r="J1174" s="902">
        <f>GLOBAL_DER_FEV_2023!J1174</f>
        <v>90.26</v>
      </c>
      <c r="K1174" s="903" t="s">
        <v>62</v>
      </c>
      <c r="L1174" s="1137"/>
      <c r="M1174" s="1138">
        <f t="shared" si="87"/>
        <v>0</v>
      </c>
      <c r="N1174" s="893">
        <f t="shared" si="86"/>
        <v>0</v>
      </c>
      <c r="O1174" s="905"/>
      <c r="Q1174" s="317" t="str">
        <f t="shared" si="83"/>
        <v/>
      </c>
      <c r="R1174" s="317" t="str">
        <f t="shared" si="84"/>
        <v/>
      </c>
      <c r="S1174" s="317" t="str">
        <f t="shared" si="85"/>
        <v/>
      </c>
      <c r="T1174" s="317" t="str">
        <f>GLOBAL_DER_FEV_2023!S1174</f>
        <v/>
      </c>
      <c r="W1174" s="582">
        <v>0</v>
      </c>
      <c r="X1174" s="580"/>
      <c r="Y1174" s="583">
        <f>IF(GLOBAL_DER_FEV_2023!W1174=0,0,IF(GLOBAL_DER_FEV_2023!W1174&gt;0,"c","b"))</f>
        <v>0</v>
      </c>
    </row>
    <row r="1175" spans="1:25" ht="23.25" hidden="1" thickBot="1" x14ac:dyDescent="0.25">
      <c r="A1175" s="317">
        <v>92992</v>
      </c>
      <c r="B1175" s="895">
        <v>92992</v>
      </c>
      <c r="C1175" s="896" t="s">
        <v>596</v>
      </c>
      <c r="D1175" s="906" t="s">
        <v>1105</v>
      </c>
      <c r="E1175" s="907">
        <f>GLOBAL_DER_FEV_2023!E1175</f>
        <v>0</v>
      </c>
      <c r="F1175" s="908">
        <f>GLOBAL_DER_FEV_2023!F1175</f>
        <v>0</v>
      </c>
      <c r="G1175" s="912">
        <f>GLOBAL_DER_FEV_2023!G1175</f>
        <v>0</v>
      </c>
      <c r="H1175" s="901">
        <f>GLOBAL_DER_FEV_2023!H1175</f>
        <v>97.11</v>
      </c>
      <c r="I1175" s="901">
        <f>GLOBAL_DER_FEV_2023!I1175</f>
        <v>97.11</v>
      </c>
      <c r="J1175" s="902">
        <f>GLOBAL_DER_FEV_2023!J1175</f>
        <v>116.6</v>
      </c>
      <c r="K1175" s="903" t="s">
        <v>62</v>
      </c>
      <c r="L1175" s="1137"/>
      <c r="M1175" s="1138">
        <f t="shared" si="87"/>
        <v>0</v>
      </c>
      <c r="N1175" s="893">
        <f t="shared" si="86"/>
        <v>0</v>
      </c>
      <c r="O1175" s="905"/>
      <c r="Q1175" s="317" t="str">
        <f t="shared" si="83"/>
        <v/>
      </c>
      <c r="R1175" s="317" t="str">
        <f t="shared" si="84"/>
        <v/>
      </c>
      <c r="S1175" s="317" t="str">
        <f t="shared" si="85"/>
        <v/>
      </c>
      <c r="T1175" s="317" t="str">
        <f>GLOBAL_DER_FEV_2023!S1175</f>
        <v/>
      </c>
      <c r="W1175" s="582">
        <v>0</v>
      </c>
      <c r="X1175" s="580"/>
      <c r="Y1175" s="583">
        <f>IF(GLOBAL_DER_FEV_2023!W1175=0,0,IF(GLOBAL_DER_FEV_2023!W1175&gt;0,"c","b"))</f>
        <v>0</v>
      </c>
    </row>
    <row r="1176" spans="1:25" ht="23.25" hidden="1" thickBot="1" x14ac:dyDescent="0.25">
      <c r="A1176" s="317">
        <v>92994</v>
      </c>
      <c r="B1176" s="895">
        <v>92994</v>
      </c>
      <c r="C1176" s="896" t="s">
        <v>596</v>
      </c>
      <c r="D1176" s="906" t="s">
        <v>1106</v>
      </c>
      <c r="E1176" s="907">
        <f>GLOBAL_DER_FEV_2023!E1176</f>
        <v>0</v>
      </c>
      <c r="F1176" s="908">
        <f>GLOBAL_DER_FEV_2023!F1176</f>
        <v>0</v>
      </c>
      <c r="G1176" s="912">
        <f>GLOBAL_DER_FEV_2023!G1176</f>
        <v>0</v>
      </c>
      <c r="H1176" s="901">
        <f>GLOBAL_DER_FEV_2023!H1176</f>
        <v>126.04</v>
      </c>
      <c r="I1176" s="901">
        <f>GLOBAL_DER_FEV_2023!I1176</f>
        <v>126.04</v>
      </c>
      <c r="J1176" s="902">
        <f>GLOBAL_DER_FEV_2023!J1176</f>
        <v>151.34</v>
      </c>
      <c r="K1176" s="903" t="s">
        <v>62</v>
      </c>
      <c r="L1176" s="1137"/>
      <c r="M1176" s="1138">
        <f t="shared" si="87"/>
        <v>0</v>
      </c>
      <c r="N1176" s="893">
        <f t="shared" si="86"/>
        <v>0</v>
      </c>
      <c r="O1176" s="905"/>
      <c r="Q1176" s="317" t="str">
        <f t="shared" si="83"/>
        <v/>
      </c>
      <c r="R1176" s="317" t="str">
        <f t="shared" si="84"/>
        <v/>
      </c>
      <c r="S1176" s="317" t="str">
        <f t="shared" si="85"/>
        <v/>
      </c>
      <c r="T1176" s="317" t="str">
        <f>GLOBAL_DER_FEV_2023!S1176</f>
        <v/>
      </c>
      <c r="W1176" s="582">
        <v>0</v>
      </c>
      <c r="X1176" s="580"/>
      <c r="Y1176" s="583">
        <f>IF(GLOBAL_DER_FEV_2023!W1176=0,0,IF(GLOBAL_DER_FEV_2023!W1176&gt;0,"c","b"))</f>
        <v>0</v>
      </c>
    </row>
    <row r="1177" spans="1:25" ht="23.25" hidden="1" thickBot="1" x14ac:dyDescent="0.25">
      <c r="A1177" s="317">
        <v>92996</v>
      </c>
      <c r="B1177" s="895">
        <v>92996</v>
      </c>
      <c r="C1177" s="896" t="s">
        <v>596</v>
      </c>
      <c r="D1177" s="906" t="s">
        <v>1107</v>
      </c>
      <c r="E1177" s="907">
        <f>GLOBAL_DER_FEV_2023!E1177</f>
        <v>0</v>
      </c>
      <c r="F1177" s="908">
        <f>GLOBAL_DER_FEV_2023!F1177</f>
        <v>0</v>
      </c>
      <c r="G1177" s="912">
        <f>GLOBAL_DER_FEV_2023!G1177</f>
        <v>0</v>
      </c>
      <c r="H1177" s="901">
        <f>GLOBAL_DER_FEV_2023!H1177</f>
        <v>152.46</v>
      </c>
      <c r="I1177" s="901">
        <f>GLOBAL_DER_FEV_2023!I1177</f>
        <v>152.46</v>
      </c>
      <c r="J1177" s="902">
        <f>GLOBAL_DER_FEV_2023!J1177</f>
        <v>183.06</v>
      </c>
      <c r="K1177" s="903" t="s">
        <v>62</v>
      </c>
      <c r="L1177" s="1137"/>
      <c r="M1177" s="1138">
        <f t="shared" si="87"/>
        <v>0</v>
      </c>
      <c r="N1177" s="893">
        <f t="shared" si="86"/>
        <v>0</v>
      </c>
      <c r="O1177" s="905"/>
      <c r="Q1177" s="317" t="str">
        <f t="shared" si="83"/>
        <v/>
      </c>
      <c r="R1177" s="317" t="str">
        <f t="shared" si="84"/>
        <v/>
      </c>
      <c r="S1177" s="317" t="str">
        <f t="shared" si="85"/>
        <v/>
      </c>
      <c r="T1177" s="317" t="str">
        <f>GLOBAL_DER_FEV_2023!S1177</f>
        <v/>
      </c>
      <c r="W1177" s="582">
        <v>0</v>
      </c>
      <c r="X1177" s="580"/>
      <c r="Y1177" s="583">
        <f>IF(GLOBAL_DER_FEV_2023!W1177=0,0,IF(GLOBAL_DER_FEV_2023!W1177&gt;0,"c","b"))</f>
        <v>0</v>
      </c>
    </row>
    <row r="1178" spans="1:25" ht="23.25" hidden="1" thickBot="1" x14ac:dyDescent="0.25">
      <c r="A1178" s="317">
        <v>92998</v>
      </c>
      <c r="B1178" s="895">
        <v>92998</v>
      </c>
      <c r="C1178" s="896" t="s">
        <v>596</v>
      </c>
      <c r="D1178" s="906" t="s">
        <v>1108</v>
      </c>
      <c r="E1178" s="907">
        <f>GLOBAL_DER_FEV_2023!E1178</f>
        <v>0</v>
      </c>
      <c r="F1178" s="908">
        <f>GLOBAL_DER_FEV_2023!F1178</f>
        <v>0</v>
      </c>
      <c r="G1178" s="912">
        <f>GLOBAL_DER_FEV_2023!G1178</f>
        <v>0</v>
      </c>
      <c r="H1178" s="901">
        <f>GLOBAL_DER_FEV_2023!H1178</f>
        <v>186.74</v>
      </c>
      <c r="I1178" s="901">
        <f>GLOBAL_DER_FEV_2023!I1178</f>
        <v>186.74</v>
      </c>
      <c r="J1178" s="902">
        <f>GLOBAL_DER_FEV_2023!J1178</f>
        <v>224.22</v>
      </c>
      <c r="K1178" s="903" t="s">
        <v>62</v>
      </c>
      <c r="L1178" s="1137"/>
      <c r="M1178" s="1138">
        <f t="shared" si="87"/>
        <v>0</v>
      </c>
      <c r="N1178" s="893">
        <f t="shared" si="86"/>
        <v>0</v>
      </c>
      <c r="O1178" s="905"/>
      <c r="Q1178" s="317" t="str">
        <f t="shared" si="83"/>
        <v/>
      </c>
      <c r="R1178" s="317" t="str">
        <f t="shared" si="84"/>
        <v/>
      </c>
      <c r="S1178" s="317" t="str">
        <f t="shared" si="85"/>
        <v/>
      </c>
      <c r="T1178" s="317" t="str">
        <f>GLOBAL_DER_FEV_2023!S1178</f>
        <v/>
      </c>
      <c r="W1178" s="582">
        <v>0</v>
      </c>
      <c r="X1178" s="580"/>
      <c r="Y1178" s="583">
        <f>IF(GLOBAL_DER_FEV_2023!W1178=0,0,IF(GLOBAL_DER_FEV_2023!W1178&gt;0,"c","b"))</f>
        <v>0</v>
      </c>
    </row>
    <row r="1179" spans="1:25" ht="23.25" hidden="1" thickBot="1" x14ac:dyDescent="0.25">
      <c r="A1179" s="317">
        <v>93000</v>
      </c>
      <c r="B1179" s="895">
        <v>93000</v>
      </c>
      <c r="C1179" s="896" t="s">
        <v>596</v>
      </c>
      <c r="D1179" s="906" t="s">
        <v>1109</v>
      </c>
      <c r="E1179" s="907">
        <f>GLOBAL_DER_FEV_2023!E1179</f>
        <v>0</v>
      </c>
      <c r="F1179" s="908">
        <f>GLOBAL_DER_FEV_2023!F1179</f>
        <v>0</v>
      </c>
      <c r="G1179" s="912">
        <f>GLOBAL_DER_FEV_2023!G1179</f>
        <v>0</v>
      </c>
      <c r="H1179" s="901">
        <f>GLOBAL_DER_FEV_2023!H1179</f>
        <v>247.07</v>
      </c>
      <c r="I1179" s="901">
        <f>GLOBAL_DER_FEV_2023!I1179</f>
        <v>247.07</v>
      </c>
      <c r="J1179" s="902">
        <f>GLOBAL_DER_FEV_2023!J1179</f>
        <v>296.66000000000003</v>
      </c>
      <c r="K1179" s="903" t="s">
        <v>62</v>
      </c>
      <c r="L1179" s="1137"/>
      <c r="M1179" s="1138">
        <f t="shared" si="87"/>
        <v>0</v>
      </c>
      <c r="N1179" s="893">
        <f t="shared" si="86"/>
        <v>0</v>
      </c>
      <c r="O1179" s="905"/>
      <c r="Q1179" s="317" t="str">
        <f t="shared" ref="Q1179:Q1242" si="88">IF(P1179="X","x",IF(P1179="xx","x",IF(P1179="xy","x",IF(P1179="y","x",IF(OR(N1179&gt;0,N1179&gt;0),"x","")))))</f>
        <v/>
      </c>
      <c r="R1179" s="317" t="str">
        <f t="shared" si="84"/>
        <v/>
      </c>
      <c r="S1179" s="317" t="str">
        <f t="shared" si="85"/>
        <v/>
      </c>
      <c r="T1179" s="317" t="str">
        <f>GLOBAL_DER_FEV_2023!S1179</f>
        <v/>
      </c>
      <c r="W1179" s="582">
        <v>0</v>
      </c>
      <c r="X1179" s="580"/>
      <c r="Y1179" s="583">
        <f>IF(GLOBAL_DER_FEV_2023!W1179=0,0,IF(GLOBAL_DER_FEV_2023!W1179&gt;0,"c","b"))</f>
        <v>0</v>
      </c>
    </row>
    <row r="1180" spans="1:25" ht="23.25" hidden="1" thickBot="1" x14ac:dyDescent="0.25">
      <c r="A1180" s="317">
        <v>93002</v>
      </c>
      <c r="B1180" s="895">
        <v>93002</v>
      </c>
      <c r="C1180" s="896" t="s">
        <v>596</v>
      </c>
      <c r="D1180" s="906" t="s">
        <v>1110</v>
      </c>
      <c r="E1180" s="907">
        <f>GLOBAL_DER_FEV_2023!E1180</f>
        <v>0</v>
      </c>
      <c r="F1180" s="908">
        <f>GLOBAL_DER_FEV_2023!F1180</f>
        <v>0</v>
      </c>
      <c r="G1180" s="912">
        <f>GLOBAL_DER_FEV_2023!G1180</f>
        <v>0</v>
      </c>
      <c r="H1180" s="901">
        <f>GLOBAL_DER_FEV_2023!H1180</f>
        <v>319.27</v>
      </c>
      <c r="I1180" s="901">
        <f>GLOBAL_DER_FEV_2023!I1180</f>
        <v>319.27</v>
      </c>
      <c r="J1180" s="902">
        <f>GLOBAL_DER_FEV_2023!J1180</f>
        <v>383.35</v>
      </c>
      <c r="K1180" s="903" t="s">
        <v>62</v>
      </c>
      <c r="L1180" s="1137"/>
      <c r="M1180" s="1138">
        <f t="shared" si="87"/>
        <v>0</v>
      </c>
      <c r="N1180" s="893">
        <f t="shared" si="86"/>
        <v>0</v>
      </c>
      <c r="O1180" s="905"/>
      <c r="Q1180" s="317" t="str">
        <f t="shared" si="88"/>
        <v/>
      </c>
      <c r="R1180" s="317" t="str">
        <f t="shared" si="84"/>
        <v/>
      </c>
      <c r="S1180" s="317" t="str">
        <f t="shared" si="85"/>
        <v/>
      </c>
      <c r="T1180" s="317" t="str">
        <f>GLOBAL_DER_FEV_2023!S1180</f>
        <v/>
      </c>
      <c r="W1180" s="582">
        <v>0</v>
      </c>
      <c r="X1180" s="580"/>
      <c r="Y1180" s="583">
        <f>IF(GLOBAL_DER_FEV_2023!W1180=0,0,IF(GLOBAL_DER_FEV_2023!W1180&gt;0,"c","b"))</f>
        <v>0</v>
      </c>
    </row>
    <row r="1181" spans="1:25" ht="23.25" hidden="1" thickBot="1" x14ac:dyDescent="0.25">
      <c r="A1181" s="317">
        <v>101884</v>
      </c>
      <c r="B1181" s="895">
        <v>101884</v>
      </c>
      <c r="C1181" s="896" t="s">
        <v>596</v>
      </c>
      <c r="D1181" s="906" t="s">
        <v>1111</v>
      </c>
      <c r="E1181" s="907">
        <f>GLOBAL_DER_FEV_2023!E1181</f>
        <v>0</v>
      </c>
      <c r="F1181" s="908">
        <f>GLOBAL_DER_FEV_2023!F1181</f>
        <v>0</v>
      </c>
      <c r="G1181" s="912">
        <f>GLOBAL_DER_FEV_2023!G1181</f>
        <v>0</v>
      </c>
      <c r="H1181" s="901">
        <f>GLOBAL_DER_FEV_2023!H1181</f>
        <v>10.42</v>
      </c>
      <c r="I1181" s="901">
        <f>GLOBAL_DER_FEV_2023!I1181</f>
        <v>10.42</v>
      </c>
      <c r="J1181" s="902">
        <f>GLOBAL_DER_FEV_2023!J1181</f>
        <v>12.51</v>
      </c>
      <c r="K1181" s="903" t="s">
        <v>62</v>
      </c>
      <c r="L1181" s="1137"/>
      <c r="M1181" s="1138">
        <f t="shared" si="87"/>
        <v>0</v>
      </c>
      <c r="N1181" s="893">
        <f t="shared" si="86"/>
        <v>0</v>
      </c>
      <c r="O1181" s="905"/>
      <c r="Q1181" s="317" t="str">
        <f t="shared" si="88"/>
        <v/>
      </c>
      <c r="R1181" s="317" t="str">
        <f t="shared" ref="R1181:R1244" si="89">IF(P1181="X","x",IF(P1181="y","x",IF(P1181="xx","x",IF(N1181&gt;0,"x",""))))</f>
        <v/>
      </c>
      <c r="S1181" s="317" t="str">
        <f t="shared" ref="S1181:S1244" si="90">IF(P1181="X","x",IF(N1181&gt;0,"x",""))</f>
        <v/>
      </c>
      <c r="T1181" s="317" t="str">
        <f>GLOBAL_DER_FEV_2023!S1181</f>
        <v/>
      </c>
      <c r="W1181" s="582">
        <v>0</v>
      </c>
      <c r="X1181" s="580"/>
      <c r="Y1181" s="583">
        <f>IF(GLOBAL_DER_FEV_2023!W1181=0,0,IF(GLOBAL_DER_FEV_2023!W1181&gt;0,"c","b"))</f>
        <v>0</v>
      </c>
    </row>
    <row r="1182" spans="1:25" ht="23.25" hidden="1" thickBot="1" x14ac:dyDescent="0.25">
      <c r="A1182" s="317">
        <v>101885</v>
      </c>
      <c r="B1182" s="895">
        <v>101885</v>
      </c>
      <c r="C1182" s="896" t="s">
        <v>596</v>
      </c>
      <c r="D1182" s="906" t="s">
        <v>1112</v>
      </c>
      <c r="E1182" s="907">
        <f>GLOBAL_DER_FEV_2023!E1182</f>
        <v>0</v>
      </c>
      <c r="F1182" s="908">
        <f>GLOBAL_DER_FEV_2023!F1182</f>
        <v>0</v>
      </c>
      <c r="G1182" s="912">
        <f>GLOBAL_DER_FEV_2023!G1182</f>
        <v>0</v>
      </c>
      <c r="H1182" s="901">
        <f>GLOBAL_DER_FEV_2023!H1182</f>
        <v>9.9499999999999993</v>
      </c>
      <c r="I1182" s="901">
        <f>GLOBAL_DER_FEV_2023!I1182</f>
        <v>9.9499999999999993</v>
      </c>
      <c r="J1182" s="902">
        <f>GLOBAL_DER_FEV_2023!J1182</f>
        <v>11.95</v>
      </c>
      <c r="K1182" s="903" t="s">
        <v>62</v>
      </c>
      <c r="L1182" s="1137"/>
      <c r="M1182" s="1138">
        <f t="shared" si="87"/>
        <v>0</v>
      </c>
      <c r="N1182" s="893">
        <f t="shared" si="86"/>
        <v>0</v>
      </c>
      <c r="O1182" s="905"/>
      <c r="Q1182" s="317" t="str">
        <f t="shared" si="88"/>
        <v/>
      </c>
      <c r="R1182" s="317" t="str">
        <f t="shared" si="89"/>
        <v/>
      </c>
      <c r="S1182" s="317" t="str">
        <f t="shared" si="90"/>
        <v/>
      </c>
      <c r="T1182" s="317" t="str">
        <f>GLOBAL_DER_FEV_2023!S1182</f>
        <v/>
      </c>
      <c r="W1182" s="582">
        <v>0</v>
      </c>
      <c r="X1182" s="580"/>
      <c r="Y1182" s="583">
        <f>IF(GLOBAL_DER_FEV_2023!W1182=0,0,IF(GLOBAL_DER_FEV_2023!W1182&gt;0,"c","b"))</f>
        <v>0</v>
      </c>
    </row>
    <row r="1183" spans="1:25" ht="23.25" hidden="1" thickBot="1" x14ac:dyDescent="0.25">
      <c r="A1183" s="317">
        <v>101886</v>
      </c>
      <c r="B1183" s="895">
        <v>101886</v>
      </c>
      <c r="C1183" s="896" t="s">
        <v>596</v>
      </c>
      <c r="D1183" s="906" t="s">
        <v>1113</v>
      </c>
      <c r="E1183" s="907">
        <f>GLOBAL_DER_FEV_2023!E1183</f>
        <v>0</v>
      </c>
      <c r="F1183" s="908">
        <f>GLOBAL_DER_FEV_2023!F1183</f>
        <v>0</v>
      </c>
      <c r="G1183" s="912">
        <f>GLOBAL_DER_FEV_2023!G1183</f>
        <v>0</v>
      </c>
      <c r="H1183" s="901">
        <f>GLOBAL_DER_FEV_2023!H1183</f>
        <v>14.98</v>
      </c>
      <c r="I1183" s="901">
        <f>GLOBAL_DER_FEV_2023!I1183</f>
        <v>14.98</v>
      </c>
      <c r="J1183" s="902">
        <f>GLOBAL_DER_FEV_2023!J1183</f>
        <v>17.989999999999998</v>
      </c>
      <c r="K1183" s="903" t="s">
        <v>62</v>
      </c>
      <c r="L1183" s="1137"/>
      <c r="M1183" s="1138">
        <f t="shared" si="87"/>
        <v>0</v>
      </c>
      <c r="N1183" s="893">
        <f t="shared" si="86"/>
        <v>0</v>
      </c>
      <c r="O1183" s="905"/>
      <c r="Q1183" s="317" t="str">
        <f t="shared" si="88"/>
        <v/>
      </c>
      <c r="R1183" s="317" t="str">
        <f t="shared" si="89"/>
        <v/>
      </c>
      <c r="S1183" s="317" t="str">
        <f t="shared" si="90"/>
        <v/>
      </c>
      <c r="T1183" s="317" t="str">
        <f>GLOBAL_DER_FEV_2023!S1183</f>
        <v/>
      </c>
      <c r="W1183" s="582">
        <v>0</v>
      </c>
      <c r="X1183" s="580"/>
      <c r="Y1183" s="583">
        <f>IF(GLOBAL_DER_FEV_2023!W1183=0,0,IF(GLOBAL_DER_FEV_2023!W1183&gt;0,"c","b"))</f>
        <v>0</v>
      </c>
    </row>
    <row r="1184" spans="1:25" ht="23.25" hidden="1" thickBot="1" x14ac:dyDescent="0.25">
      <c r="A1184" s="317">
        <v>101887</v>
      </c>
      <c r="B1184" s="895">
        <v>101887</v>
      </c>
      <c r="C1184" s="896" t="s">
        <v>596</v>
      </c>
      <c r="D1184" s="906" t="s">
        <v>1114</v>
      </c>
      <c r="E1184" s="907">
        <f>GLOBAL_DER_FEV_2023!E1184</f>
        <v>0</v>
      </c>
      <c r="F1184" s="908">
        <f>GLOBAL_DER_FEV_2023!F1184</f>
        <v>0</v>
      </c>
      <c r="G1184" s="912">
        <f>GLOBAL_DER_FEV_2023!G1184</f>
        <v>0</v>
      </c>
      <c r="H1184" s="901">
        <f>GLOBAL_DER_FEV_2023!H1184</f>
        <v>15.88</v>
      </c>
      <c r="I1184" s="901">
        <f>GLOBAL_DER_FEV_2023!I1184</f>
        <v>15.88</v>
      </c>
      <c r="J1184" s="902">
        <f>GLOBAL_DER_FEV_2023!J1184</f>
        <v>19.07</v>
      </c>
      <c r="K1184" s="903" t="s">
        <v>62</v>
      </c>
      <c r="L1184" s="1137"/>
      <c r="M1184" s="1138">
        <f t="shared" si="87"/>
        <v>0</v>
      </c>
      <c r="N1184" s="893">
        <f t="shared" si="86"/>
        <v>0</v>
      </c>
      <c r="O1184" s="905"/>
      <c r="Q1184" s="317" t="str">
        <f t="shared" si="88"/>
        <v/>
      </c>
      <c r="R1184" s="317" t="str">
        <f t="shared" si="89"/>
        <v/>
      </c>
      <c r="S1184" s="317" t="str">
        <f t="shared" si="90"/>
        <v/>
      </c>
      <c r="T1184" s="317" t="str">
        <f>GLOBAL_DER_FEV_2023!S1184</f>
        <v/>
      </c>
      <c r="W1184" s="582">
        <v>0</v>
      </c>
      <c r="X1184" s="580"/>
      <c r="Y1184" s="583">
        <f>IF(GLOBAL_DER_FEV_2023!W1184=0,0,IF(GLOBAL_DER_FEV_2023!W1184&gt;0,"c","b"))</f>
        <v>0</v>
      </c>
    </row>
    <row r="1185" spans="1:25" ht="23.25" hidden="1" thickBot="1" x14ac:dyDescent="0.25">
      <c r="A1185" s="317">
        <v>101888</v>
      </c>
      <c r="B1185" s="895">
        <v>101888</v>
      </c>
      <c r="C1185" s="896" t="s">
        <v>596</v>
      </c>
      <c r="D1185" s="906" t="s">
        <v>1115</v>
      </c>
      <c r="E1185" s="907">
        <f>GLOBAL_DER_FEV_2023!E1185</f>
        <v>0</v>
      </c>
      <c r="F1185" s="908">
        <f>GLOBAL_DER_FEV_2023!F1185</f>
        <v>0</v>
      </c>
      <c r="G1185" s="912">
        <f>GLOBAL_DER_FEV_2023!G1185</f>
        <v>0</v>
      </c>
      <c r="H1185" s="901">
        <f>GLOBAL_DER_FEV_2023!H1185</f>
        <v>23.48</v>
      </c>
      <c r="I1185" s="901">
        <f>GLOBAL_DER_FEV_2023!I1185</f>
        <v>23.48</v>
      </c>
      <c r="J1185" s="902">
        <f>GLOBAL_DER_FEV_2023!J1185</f>
        <v>28.19</v>
      </c>
      <c r="K1185" s="903" t="s">
        <v>62</v>
      </c>
      <c r="L1185" s="1137"/>
      <c r="M1185" s="1138">
        <f t="shared" si="87"/>
        <v>0</v>
      </c>
      <c r="N1185" s="893">
        <f t="shared" ref="N1185:N1248" si="91">IF(ISBLANK(L1185),0,IF(W1185=0,ROUND(L1185*M1185,2),IF(W1185="b",ROUNDDOWN(L1185*M1185,2),ROUNDUP(L1185*M1185,2))))</f>
        <v>0</v>
      </c>
      <c r="O1185" s="905"/>
      <c r="Q1185" s="317" t="str">
        <f t="shared" si="88"/>
        <v/>
      </c>
      <c r="R1185" s="317" t="str">
        <f t="shared" si="89"/>
        <v/>
      </c>
      <c r="S1185" s="317" t="str">
        <f t="shared" si="90"/>
        <v/>
      </c>
      <c r="T1185" s="317" t="str">
        <f>GLOBAL_DER_FEV_2023!S1185</f>
        <v/>
      </c>
      <c r="W1185" s="582">
        <v>0</v>
      </c>
      <c r="X1185" s="580"/>
      <c r="Y1185" s="583">
        <f>IF(GLOBAL_DER_FEV_2023!W1185=0,0,IF(GLOBAL_DER_FEV_2023!W1185&gt;0,"c","b"))</f>
        <v>0</v>
      </c>
    </row>
    <row r="1186" spans="1:25" ht="23.25" hidden="1" thickBot="1" x14ac:dyDescent="0.25">
      <c r="A1186" s="317">
        <v>101889</v>
      </c>
      <c r="B1186" s="895">
        <v>101889</v>
      </c>
      <c r="C1186" s="896" t="s">
        <v>596</v>
      </c>
      <c r="D1186" s="906" t="s">
        <v>1116</v>
      </c>
      <c r="E1186" s="907">
        <f>GLOBAL_DER_FEV_2023!E1186</f>
        <v>0</v>
      </c>
      <c r="F1186" s="908">
        <f>GLOBAL_DER_FEV_2023!F1186</f>
        <v>0</v>
      </c>
      <c r="G1186" s="912">
        <f>GLOBAL_DER_FEV_2023!G1186</f>
        <v>0</v>
      </c>
      <c r="H1186" s="901">
        <f>GLOBAL_DER_FEV_2023!H1186</f>
        <v>24.66</v>
      </c>
      <c r="I1186" s="901">
        <f>GLOBAL_DER_FEV_2023!I1186</f>
        <v>24.66</v>
      </c>
      <c r="J1186" s="902">
        <f>GLOBAL_DER_FEV_2023!J1186</f>
        <v>29.61</v>
      </c>
      <c r="K1186" s="903" t="s">
        <v>62</v>
      </c>
      <c r="L1186" s="1137"/>
      <c r="M1186" s="1138">
        <f t="shared" si="87"/>
        <v>0</v>
      </c>
      <c r="N1186" s="893">
        <f t="shared" si="91"/>
        <v>0</v>
      </c>
      <c r="O1186" s="905"/>
      <c r="Q1186" s="317" t="str">
        <f t="shared" si="88"/>
        <v/>
      </c>
      <c r="R1186" s="317" t="str">
        <f t="shared" si="89"/>
        <v/>
      </c>
      <c r="S1186" s="317" t="str">
        <f t="shared" si="90"/>
        <v/>
      </c>
      <c r="T1186" s="317" t="str">
        <f>GLOBAL_DER_FEV_2023!S1186</f>
        <v/>
      </c>
      <c r="W1186" s="582">
        <v>0</v>
      </c>
      <c r="X1186" s="580"/>
      <c r="Y1186" s="583">
        <f>IF(GLOBAL_DER_FEV_2023!W1186=0,0,IF(GLOBAL_DER_FEV_2023!W1186&gt;0,"c","b"))</f>
        <v>0</v>
      </c>
    </row>
    <row r="1187" spans="1:25" ht="34.5" hidden="1" thickBot="1" x14ac:dyDescent="0.25">
      <c r="A1187" s="317">
        <v>101560</v>
      </c>
      <c r="B1187" s="895">
        <v>101560</v>
      </c>
      <c r="C1187" s="896" t="s">
        <v>596</v>
      </c>
      <c r="D1187" s="906" t="s">
        <v>1117</v>
      </c>
      <c r="E1187" s="907">
        <f>GLOBAL_DER_FEV_2023!E1187</f>
        <v>0</v>
      </c>
      <c r="F1187" s="908">
        <f>GLOBAL_DER_FEV_2023!F1187</f>
        <v>0</v>
      </c>
      <c r="G1187" s="912">
        <f>GLOBAL_DER_FEV_2023!G1187</f>
        <v>0</v>
      </c>
      <c r="H1187" s="901">
        <f>GLOBAL_DER_FEV_2023!H1187</f>
        <v>9.89</v>
      </c>
      <c r="I1187" s="901">
        <f>GLOBAL_DER_FEV_2023!I1187</f>
        <v>9.89</v>
      </c>
      <c r="J1187" s="902">
        <f>GLOBAL_DER_FEV_2023!J1187</f>
        <v>11.87</v>
      </c>
      <c r="K1187" s="903" t="s">
        <v>62</v>
      </c>
      <c r="L1187" s="1137"/>
      <c r="M1187" s="1138">
        <f t="shared" si="87"/>
        <v>0</v>
      </c>
      <c r="N1187" s="893">
        <f t="shared" si="91"/>
        <v>0</v>
      </c>
      <c r="O1187" s="905"/>
      <c r="Q1187" s="317" t="str">
        <f t="shared" si="88"/>
        <v/>
      </c>
      <c r="R1187" s="317" t="str">
        <f t="shared" si="89"/>
        <v/>
      </c>
      <c r="S1187" s="317" t="str">
        <f t="shared" si="90"/>
        <v/>
      </c>
      <c r="T1187" s="317" t="str">
        <f>GLOBAL_DER_FEV_2023!S1187</f>
        <v/>
      </c>
      <c r="W1187" s="582">
        <v>0</v>
      </c>
      <c r="X1187" s="580"/>
      <c r="Y1187" s="583">
        <f>IF(GLOBAL_DER_FEV_2023!W1187=0,0,IF(GLOBAL_DER_FEV_2023!W1187&gt;0,"c","b"))</f>
        <v>0</v>
      </c>
    </row>
    <row r="1188" spans="1:25" ht="34.5" hidden="1" thickBot="1" x14ac:dyDescent="0.25">
      <c r="A1188" s="317">
        <v>101561</v>
      </c>
      <c r="B1188" s="895">
        <v>101561</v>
      </c>
      <c r="C1188" s="896" t="s">
        <v>596</v>
      </c>
      <c r="D1188" s="906" t="s">
        <v>1118</v>
      </c>
      <c r="E1188" s="907">
        <f>GLOBAL_DER_FEV_2023!E1188</f>
        <v>0</v>
      </c>
      <c r="F1188" s="908">
        <f>GLOBAL_DER_FEV_2023!F1188</f>
        <v>0</v>
      </c>
      <c r="G1188" s="912">
        <f>GLOBAL_DER_FEV_2023!G1188</f>
        <v>0</v>
      </c>
      <c r="H1188" s="901">
        <f>GLOBAL_DER_FEV_2023!H1188</f>
        <v>15.7</v>
      </c>
      <c r="I1188" s="901">
        <f>GLOBAL_DER_FEV_2023!I1188</f>
        <v>15.7</v>
      </c>
      <c r="J1188" s="902">
        <f>GLOBAL_DER_FEV_2023!J1188</f>
        <v>18.850000000000001</v>
      </c>
      <c r="K1188" s="903" t="s">
        <v>62</v>
      </c>
      <c r="L1188" s="1137"/>
      <c r="M1188" s="1138">
        <f t="shared" si="87"/>
        <v>0</v>
      </c>
      <c r="N1188" s="893">
        <f t="shared" si="91"/>
        <v>0</v>
      </c>
      <c r="O1188" s="905"/>
      <c r="Q1188" s="317" t="str">
        <f t="shared" si="88"/>
        <v/>
      </c>
      <c r="R1188" s="317" t="str">
        <f t="shared" si="89"/>
        <v/>
      </c>
      <c r="S1188" s="317" t="str">
        <f t="shared" si="90"/>
        <v/>
      </c>
      <c r="T1188" s="317" t="str">
        <f>GLOBAL_DER_FEV_2023!S1188</f>
        <v/>
      </c>
      <c r="W1188" s="582">
        <v>0</v>
      </c>
      <c r="X1188" s="580"/>
      <c r="Y1188" s="583">
        <f>IF(GLOBAL_DER_FEV_2023!W1188=0,0,IF(GLOBAL_DER_FEV_2023!W1188&gt;0,"c","b"))</f>
        <v>0</v>
      </c>
    </row>
    <row r="1189" spans="1:25" ht="34.5" hidden="1" thickBot="1" x14ac:dyDescent="0.25">
      <c r="A1189" s="317">
        <v>101562</v>
      </c>
      <c r="B1189" s="895">
        <v>101562</v>
      </c>
      <c r="C1189" s="896" t="s">
        <v>596</v>
      </c>
      <c r="D1189" s="906" t="s">
        <v>1119</v>
      </c>
      <c r="E1189" s="907">
        <f>GLOBAL_DER_FEV_2023!E1189</f>
        <v>0</v>
      </c>
      <c r="F1189" s="908">
        <f>GLOBAL_DER_FEV_2023!F1189</f>
        <v>0</v>
      </c>
      <c r="G1189" s="912">
        <f>GLOBAL_DER_FEV_2023!G1189</f>
        <v>0</v>
      </c>
      <c r="H1189" s="901">
        <f>GLOBAL_DER_FEV_2023!H1189</f>
        <v>24.3</v>
      </c>
      <c r="I1189" s="901">
        <f>GLOBAL_DER_FEV_2023!I1189</f>
        <v>24.3</v>
      </c>
      <c r="J1189" s="902">
        <f>GLOBAL_DER_FEV_2023!J1189</f>
        <v>29.18</v>
      </c>
      <c r="K1189" s="903" t="s">
        <v>62</v>
      </c>
      <c r="L1189" s="1137"/>
      <c r="M1189" s="1138">
        <f t="shared" si="87"/>
        <v>0</v>
      </c>
      <c r="N1189" s="893">
        <f t="shared" si="91"/>
        <v>0</v>
      </c>
      <c r="O1189" s="905"/>
      <c r="Q1189" s="317" t="str">
        <f t="shared" si="88"/>
        <v/>
      </c>
      <c r="R1189" s="317" t="str">
        <f t="shared" si="89"/>
        <v/>
      </c>
      <c r="S1189" s="317" t="str">
        <f t="shared" si="90"/>
        <v/>
      </c>
      <c r="T1189" s="317" t="str">
        <f>GLOBAL_DER_FEV_2023!S1189</f>
        <v/>
      </c>
      <c r="W1189" s="582">
        <v>0</v>
      </c>
      <c r="X1189" s="580"/>
      <c r="Y1189" s="583">
        <f>IF(GLOBAL_DER_FEV_2023!W1189=0,0,IF(GLOBAL_DER_FEV_2023!W1189&gt;0,"c","b"))</f>
        <v>0</v>
      </c>
    </row>
    <row r="1190" spans="1:25" ht="34.5" hidden="1" thickBot="1" x14ac:dyDescent="0.25">
      <c r="A1190" s="317">
        <v>101563</v>
      </c>
      <c r="B1190" s="895">
        <v>101563</v>
      </c>
      <c r="C1190" s="896" t="s">
        <v>596</v>
      </c>
      <c r="D1190" s="906" t="s">
        <v>1120</v>
      </c>
      <c r="E1190" s="907">
        <f>GLOBAL_DER_FEV_2023!E1190</f>
        <v>0</v>
      </c>
      <c r="F1190" s="908">
        <f>GLOBAL_DER_FEV_2023!F1190</f>
        <v>0</v>
      </c>
      <c r="G1190" s="912">
        <f>GLOBAL_DER_FEV_2023!G1190</f>
        <v>0</v>
      </c>
      <c r="H1190" s="901">
        <f>GLOBAL_DER_FEV_2023!H1190</f>
        <v>34.299999999999997</v>
      </c>
      <c r="I1190" s="901">
        <f>GLOBAL_DER_FEV_2023!I1190</f>
        <v>34.299999999999997</v>
      </c>
      <c r="J1190" s="902">
        <f>GLOBAL_DER_FEV_2023!J1190</f>
        <v>41.18</v>
      </c>
      <c r="K1190" s="903" t="s">
        <v>62</v>
      </c>
      <c r="L1190" s="1137"/>
      <c r="M1190" s="1138">
        <f t="shared" si="87"/>
        <v>0</v>
      </c>
      <c r="N1190" s="893">
        <f t="shared" si="91"/>
        <v>0</v>
      </c>
      <c r="O1190" s="905"/>
      <c r="Q1190" s="317" t="str">
        <f t="shared" si="88"/>
        <v/>
      </c>
      <c r="R1190" s="317" t="str">
        <f t="shared" si="89"/>
        <v/>
      </c>
      <c r="S1190" s="317" t="str">
        <f t="shared" si="90"/>
        <v/>
      </c>
      <c r="T1190" s="317" t="str">
        <f>GLOBAL_DER_FEV_2023!S1190</f>
        <v/>
      </c>
      <c r="W1190" s="582">
        <v>0</v>
      </c>
      <c r="X1190" s="580"/>
      <c r="Y1190" s="583">
        <f>IF(GLOBAL_DER_FEV_2023!W1190=0,0,IF(GLOBAL_DER_FEV_2023!W1190&gt;0,"c","b"))</f>
        <v>0</v>
      </c>
    </row>
    <row r="1191" spans="1:25" ht="34.5" hidden="1" thickBot="1" x14ac:dyDescent="0.25">
      <c r="A1191" s="317">
        <v>101564</v>
      </c>
      <c r="B1191" s="895">
        <v>101564</v>
      </c>
      <c r="C1191" s="896" t="s">
        <v>596</v>
      </c>
      <c r="D1191" s="906" t="s">
        <v>1121</v>
      </c>
      <c r="E1191" s="907">
        <f>GLOBAL_DER_FEV_2023!E1191</f>
        <v>0</v>
      </c>
      <c r="F1191" s="908">
        <f>GLOBAL_DER_FEV_2023!F1191</f>
        <v>0</v>
      </c>
      <c r="G1191" s="912">
        <f>GLOBAL_DER_FEV_2023!G1191</f>
        <v>0</v>
      </c>
      <c r="H1191" s="901">
        <f>GLOBAL_DER_FEV_2023!H1191</f>
        <v>50.7</v>
      </c>
      <c r="I1191" s="901">
        <f>GLOBAL_DER_FEV_2023!I1191</f>
        <v>50.7</v>
      </c>
      <c r="J1191" s="902">
        <f>GLOBAL_DER_FEV_2023!J1191</f>
        <v>60.88</v>
      </c>
      <c r="K1191" s="903" t="s">
        <v>62</v>
      </c>
      <c r="L1191" s="1137"/>
      <c r="M1191" s="1138">
        <f t="shared" si="87"/>
        <v>0</v>
      </c>
      <c r="N1191" s="893">
        <f t="shared" si="91"/>
        <v>0</v>
      </c>
      <c r="O1191" s="905"/>
      <c r="Q1191" s="317" t="str">
        <f t="shared" si="88"/>
        <v/>
      </c>
      <c r="R1191" s="317" t="str">
        <f t="shared" si="89"/>
        <v/>
      </c>
      <c r="S1191" s="317" t="str">
        <f t="shared" si="90"/>
        <v/>
      </c>
      <c r="T1191" s="317" t="str">
        <f>GLOBAL_DER_FEV_2023!S1191</f>
        <v/>
      </c>
      <c r="W1191" s="582">
        <v>0</v>
      </c>
      <c r="X1191" s="580"/>
      <c r="Y1191" s="583">
        <f>IF(GLOBAL_DER_FEV_2023!W1191=0,0,IF(GLOBAL_DER_FEV_2023!W1191&gt;0,"c","b"))</f>
        <v>0</v>
      </c>
    </row>
    <row r="1192" spans="1:25" ht="34.5" hidden="1" thickBot="1" x14ac:dyDescent="0.25">
      <c r="A1192" s="317">
        <v>101565</v>
      </c>
      <c r="B1192" s="895">
        <v>101565</v>
      </c>
      <c r="C1192" s="896" t="s">
        <v>596</v>
      </c>
      <c r="D1192" s="906" t="s">
        <v>1122</v>
      </c>
      <c r="E1192" s="907">
        <f>GLOBAL_DER_FEV_2023!E1192</f>
        <v>0</v>
      </c>
      <c r="F1192" s="908">
        <f>GLOBAL_DER_FEV_2023!F1192</f>
        <v>0</v>
      </c>
      <c r="G1192" s="912">
        <f>GLOBAL_DER_FEV_2023!G1192</f>
        <v>0</v>
      </c>
      <c r="H1192" s="901">
        <f>GLOBAL_DER_FEV_2023!H1192</f>
        <v>70.89</v>
      </c>
      <c r="I1192" s="901">
        <f>GLOBAL_DER_FEV_2023!I1192</f>
        <v>70.89</v>
      </c>
      <c r="J1192" s="902">
        <f>GLOBAL_DER_FEV_2023!J1192</f>
        <v>85.12</v>
      </c>
      <c r="K1192" s="903" t="s">
        <v>62</v>
      </c>
      <c r="L1192" s="1137"/>
      <c r="M1192" s="1138">
        <f t="shared" si="87"/>
        <v>0</v>
      </c>
      <c r="N1192" s="893">
        <f t="shared" si="91"/>
        <v>0</v>
      </c>
      <c r="O1192" s="905"/>
      <c r="Q1192" s="317" t="str">
        <f t="shared" si="88"/>
        <v/>
      </c>
      <c r="R1192" s="317" t="str">
        <f t="shared" si="89"/>
        <v/>
      </c>
      <c r="S1192" s="317" t="str">
        <f t="shared" si="90"/>
        <v/>
      </c>
      <c r="T1192" s="317" t="str">
        <f>GLOBAL_DER_FEV_2023!S1192</f>
        <v/>
      </c>
      <c r="W1192" s="582">
        <v>0</v>
      </c>
      <c r="X1192" s="580"/>
      <c r="Y1192" s="583">
        <f>IF(GLOBAL_DER_FEV_2023!W1192=0,0,IF(GLOBAL_DER_FEV_2023!W1192&gt;0,"c","b"))</f>
        <v>0</v>
      </c>
    </row>
    <row r="1193" spans="1:25" ht="34.5" hidden="1" thickBot="1" x14ac:dyDescent="0.25">
      <c r="A1193" s="317">
        <v>101567</v>
      </c>
      <c r="B1193" s="895">
        <v>101567</v>
      </c>
      <c r="C1193" s="896" t="s">
        <v>596</v>
      </c>
      <c r="D1193" s="906" t="s">
        <v>1123</v>
      </c>
      <c r="E1193" s="907">
        <f>GLOBAL_DER_FEV_2023!E1193</f>
        <v>0</v>
      </c>
      <c r="F1193" s="908">
        <f>GLOBAL_DER_FEV_2023!F1193</f>
        <v>0</v>
      </c>
      <c r="G1193" s="912">
        <f>GLOBAL_DER_FEV_2023!G1193</f>
        <v>0</v>
      </c>
      <c r="H1193" s="901">
        <f>GLOBAL_DER_FEV_2023!H1193</f>
        <v>92.02</v>
      </c>
      <c r="I1193" s="901">
        <f>GLOBAL_DER_FEV_2023!I1193</f>
        <v>92.02</v>
      </c>
      <c r="J1193" s="902">
        <f>GLOBAL_DER_FEV_2023!J1193</f>
        <v>110.49</v>
      </c>
      <c r="K1193" s="903" t="s">
        <v>62</v>
      </c>
      <c r="L1193" s="1137"/>
      <c r="M1193" s="1138">
        <f t="shared" si="87"/>
        <v>0</v>
      </c>
      <c r="N1193" s="893">
        <f t="shared" si="91"/>
        <v>0</v>
      </c>
      <c r="O1193" s="905"/>
      <c r="Q1193" s="317" t="str">
        <f t="shared" si="88"/>
        <v/>
      </c>
      <c r="R1193" s="317" t="str">
        <f t="shared" si="89"/>
        <v/>
      </c>
      <c r="S1193" s="317" t="str">
        <f t="shared" si="90"/>
        <v/>
      </c>
      <c r="T1193" s="317" t="str">
        <f>GLOBAL_DER_FEV_2023!S1193</f>
        <v/>
      </c>
      <c r="W1193" s="582">
        <v>0</v>
      </c>
      <c r="X1193" s="580"/>
      <c r="Y1193" s="583">
        <f>IF(GLOBAL_DER_FEV_2023!W1193=0,0,IF(GLOBAL_DER_FEV_2023!W1193&gt;0,"c","b"))</f>
        <v>0</v>
      </c>
    </row>
    <row r="1194" spans="1:25" ht="34.5" hidden="1" thickBot="1" x14ac:dyDescent="0.25">
      <c r="A1194" s="317">
        <v>101568</v>
      </c>
      <c r="B1194" s="895">
        <v>101568</v>
      </c>
      <c r="C1194" s="896" t="s">
        <v>596</v>
      </c>
      <c r="D1194" s="906" t="s">
        <v>1124</v>
      </c>
      <c r="E1194" s="907">
        <f>GLOBAL_DER_FEV_2023!E1194</f>
        <v>0</v>
      </c>
      <c r="F1194" s="908">
        <f>GLOBAL_DER_FEV_2023!F1194</f>
        <v>0</v>
      </c>
      <c r="G1194" s="912">
        <f>GLOBAL_DER_FEV_2023!G1194</f>
        <v>0</v>
      </c>
      <c r="H1194" s="901">
        <f>GLOBAL_DER_FEV_2023!H1194</f>
        <v>120.3</v>
      </c>
      <c r="I1194" s="901">
        <f>GLOBAL_DER_FEV_2023!I1194</f>
        <v>120.3</v>
      </c>
      <c r="J1194" s="902">
        <f>GLOBAL_DER_FEV_2023!J1194</f>
        <v>144.44</v>
      </c>
      <c r="K1194" s="903" t="s">
        <v>62</v>
      </c>
      <c r="L1194" s="1137"/>
      <c r="M1194" s="1138">
        <f t="shared" si="87"/>
        <v>0</v>
      </c>
      <c r="N1194" s="893">
        <f t="shared" si="91"/>
        <v>0</v>
      </c>
      <c r="O1194" s="905"/>
      <c r="Q1194" s="317" t="str">
        <f t="shared" si="88"/>
        <v/>
      </c>
      <c r="R1194" s="317" t="str">
        <f t="shared" si="89"/>
        <v/>
      </c>
      <c r="S1194" s="317" t="str">
        <f t="shared" si="90"/>
        <v/>
      </c>
      <c r="T1194" s="317" t="str">
        <f>GLOBAL_DER_FEV_2023!S1194</f>
        <v/>
      </c>
      <c r="W1194" s="582">
        <v>0</v>
      </c>
      <c r="X1194" s="580"/>
      <c r="Y1194" s="583">
        <f>IF(GLOBAL_DER_FEV_2023!W1194=0,0,IF(GLOBAL_DER_FEV_2023!W1194&gt;0,"c","b"))</f>
        <v>0</v>
      </c>
    </row>
    <row r="1195" spans="1:25" ht="23.25" hidden="1" thickBot="1" x14ac:dyDescent="0.25">
      <c r="A1195" s="317">
        <v>95777</v>
      </c>
      <c r="B1195" s="895">
        <v>95777</v>
      </c>
      <c r="C1195" s="896" t="s">
        <v>596</v>
      </c>
      <c r="D1195" s="906" t="s">
        <v>1125</v>
      </c>
      <c r="E1195" s="907">
        <f>GLOBAL_DER_FEV_2023!E1195</f>
        <v>0</v>
      </c>
      <c r="F1195" s="908">
        <f>GLOBAL_DER_FEV_2023!F1195</f>
        <v>0</v>
      </c>
      <c r="G1195" s="912">
        <f>GLOBAL_DER_FEV_2023!G1195</f>
        <v>0</v>
      </c>
      <c r="H1195" s="901">
        <f>GLOBAL_DER_FEV_2023!H1195</f>
        <v>28.73</v>
      </c>
      <c r="I1195" s="901">
        <f>GLOBAL_DER_FEV_2023!I1195</f>
        <v>28.73</v>
      </c>
      <c r="J1195" s="902">
        <f>GLOBAL_DER_FEV_2023!J1195</f>
        <v>34.5</v>
      </c>
      <c r="K1195" s="903" t="s">
        <v>1516</v>
      </c>
      <c r="L1195" s="1137"/>
      <c r="M1195" s="1138">
        <f t="shared" si="87"/>
        <v>0</v>
      </c>
      <c r="N1195" s="893">
        <f t="shared" si="91"/>
        <v>0</v>
      </c>
      <c r="O1195" s="905"/>
      <c r="Q1195" s="317" t="str">
        <f t="shared" si="88"/>
        <v/>
      </c>
      <c r="R1195" s="317" t="str">
        <f t="shared" si="89"/>
        <v/>
      </c>
      <c r="S1195" s="317" t="str">
        <f t="shared" si="90"/>
        <v/>
      </c>
      <c r="T1195" s="317" t="str">
        <f>GLOBAL_DER_FEV_2023!S1195</f>
        <v/>
      </c>
      <c r="W1195" s="582">
        <v>0</v>
      </c>
      <c r="X1195" s="580"/>
      <c r="Y1195" s="583">
        <f>IF(GLOBAL_DER_FEV_2023!W1195=0,0,IF(GLOBAL_DER_FEV_2023!W1195&gt;0,"c","b"))</f>
        <v>0</v>
      </c>
    </row>
    <row r="1196" spans="1:25" ht="23.25" hidden="1" thickBot="1" x14ac:dyDescent="0.25">
      <c r="A1196" s="317">
        <v>95778</v>
      </c>
      <c r="B1196" s="895">
        <v>95778</v>
      </c>
      <c r="C1196" s="896" t="s">
        <v>596</v>
      </c>
      <c r="D1196" s="906" t="s">
        <v>1126</v>
      </c>
      <c r="E1196" s="907">
        <f>GLOBAL_DER_FEV_2023!E1196</f>
        <v>0</v>
      </c>
      <c r="F1196" s="908">
        <f>GLOBAL_DER_FEV_2023!F1196</f>
        <v>0</v>
      </c>
      <c r="G1196" s="912">
        <f>GLOBAL_DER_FEV_2023!G1196</f>
        <v>0</v>
      </c>
      <c r="H1196" s="901">
        <f>GLOBAL_DER_FEV_2023!H1196</f>
        <v>32.130000000000003</v>
      </c>
      <c r="I1196" s="901">
        <f>GLOBAL_DER_FEV_2023!I1196</f>
        <v>32.130000000000003</v>
      </c>
      <c r="J1196" s="902">
        <f>GLOBAL_DER_FEV_2023!J1196</f>
        <v>38.58</v>
      </c>
      <c r="K1196" s="903" t="s">
        <v>1516</v>
      </c>
      <c r="L1196" s="1137"/>
      <c r="M1196" s="1138">
        <f t="shared" si="87"/>
        <v>0</v>
      </c>
      <c r="N1196" s="893">
        <f t="shared" si="91"/>
        <v>0</v>
      </c>
      <c r="O1196" s="905"/>
      <c r="Q1196" s="317" t="str">
        <f t="shared" si="88"/>
        <v/>
      </c>
      <c r="R1196" s="317" t="str">
        <f t="shared" si="89"/>
        <v/>
      </c>
      <c r="S1196" s="317" t="str">
        <f t="shared" si="90"/>
        <v/>
      </c>
      <c r="T1196" s="317" t="str">
        <f>GLOBAL_DER_FEV_2023!S1196</f>
        <v/>
      </c>
      <c r="W1196" s="582">
        <v>0</v>
      </c>
      <c r="X1196" s="580"/>
      <c r="Y1196" s="583">
        <f>IF(GLOBAL_DER_FEV_2023!W1196=0,0,IF(GLOBAL_DER_FEV_2023!W1196&gt;0,"c","b"))</f>
        <v>0</v>
      </c>
    </row>
    <row r="1197" spans="1:25" ht="23.25" hidden="1" thickBot="1" x14ac:dyDescent="0.25">
      <c r="A1197" s="317">
        <v>95779</v>
      </c>
      <c r="B1197" s="895">
        <v>95779</v>
      </c>
      <c r="C1197" s="896" t="s">
        <v>596</v>
      </c>
      <c r="D1197" s="906" t="s">
        <v>1127</v>
      </c>
      <c r="E1197" s="907">
        <f>GLOBAL_DER_FEV_2023!E1197</f>
        <v>0</v>
      </c>
      <c r="F1197" s="908">
        <f>GLOBAL_DER_FEV_2023!F1197</f>
        <v>0</v>
      </c>
      <c r="G1197" s="912">
        <f>GLOBAL_DER_FEV_2023!G1197</f>
        <v>0</v>
      </c>
      <c r="H1197" s="901">
        <f>GLOBAL_DER_FEV_2023!H1197</f>
        <v>26.72</v>
      </c>
      <c r="I1197" s="901">
        <f>GLOBAL_DER_FEV_2023!I1197</f>
        <v>26.72</v>
      </c>
      <c r="J1197" s="902">
        <f>GLOBAL_DER_FEV_2023!J1197</f>
        <v>32.08</v>
      </c>
      <c r="K1197" s="903" t="s">
        <v>1516</v>
      </c>
      <c r="L1197" s="1137"/>
      <c r="M1197" s="1138">
        <f t="shared" si="87"/>
        <v>0</v>
      </c>
      <c r="N1197" s="893">
        <f t="shared" si="91"/>
        <v>0</v>
      </c>
      <c r="O1197" s="905"/>
      <c r="Q1197" s="317" t="str">
        <f t="shared" si="88"/>
        <v/>
      </c>
      <c r="R1197" s="317" t="str">
        <f t="shared" si="89"/>
        <v/>
      </c>
      <c r="S1197" s="317" t="str">
        <f t="shared" si="90"/>
        <v/>
      </c>
      <c r="T1197" s="317" t="str">
        <f>GLOBAL_DER_FEV_2023!S1197</f>
        <v/>
      </c>
      <c r="W1197" s="582">
        <v>0</v>
      </c>
      <c r="X1197" s="580"/>
      <c r="Y1197" s="583">
        <f>IF(GLOBAL_DER_FEV_2023!W1197=0,0,IF(GLOBAL_DER_FEV_2023!W1197&gt;0,"c","b"))</f>
        <v>0</v>
      </c>
    </row>
    <row r="1198" spans="1:25" ht="23.25" hidden="1" thickBot="1" x14ac:dyDescent="0.25">
      <c r="A1198" s="317">
        <v>95780</v>
      </c>
      <c r="B1198" s="895">
        <v>95780</v>
      </c>
      <c r="C1198" s="896" t="s">
        <v>596</v>
      </c>
      <c r="D1198" s="906" t="s">
        <v>1128</v>
      </c>
      <c r="E1198" s="907">
        <f>GLOBAL_DER_FEV_2023!E1198</f>
        <v>0</v>
      </c>
      <c r="F1198" s="908">
        <f>GLOBAL_DER_FEV_2023!F1198</f>
        <v>0</v>
      </c>
      <c r="G1198" s="912">
        <f>GLOBAL_DER_FEV_2023!G1198</f>
        <v>0</v>
      </c>
      <c r="H1198" s="901">
        <f>GLOBAL_DER_FEV_2023!H1198</f>
        <v>34.22</v>
      </c>
      <c r="I1198" s="901">
        <f>GLOBAL_DER_FEV_2023!I1198</f>
        <v>34.22</v>
      </c>
      <c r="J1198" s="902">
        <f>GLOBAL_DER_FEV_2023!J1198</f>
        <v>41.09</v>
      </c>
      <c r="K1198" s="903" t="s">
        <v>1516</v>
      </c>
      <c r="L1198" s="1137"/>
      <c r="M1198" s="1138">
        <f t="shared" si="87"/>
        <v>0</v>
      </c>
      <c r="N1198" s="893">
        <f t="shared" si="91"/>
        <v>0</v>
      </c>
      <c r="O1198" s="905"/>
      <c r="Q1198" s="317" t="str">
        <f t="shared" si="88"/>
        <v/>
      </c>
      <c r="R1198" s="317" t="str">
        <f t="shared" si="89"/>
        <v/>
      </c>
      <c r="S1198" s="317" t="str">
        <f t="shared" si="90"/>
        <v/>
      </c>
      <c r="T1198" s="317" t="str">
        <f>GLOBAL_DER_FEV_2023!S1198</f>
        <v/>
      </c>
      <c r="W1198" s="582">
        <v>0</v>
      </c>
      <c r="X1198" s="580"/>
      <c r="Y1198" s="583">
        <f>IF(GLOBAL_DER_FEV_2023!W1198=0,0,IF(GLOBAL_DER_FEV_2023!W1198&gt;0,"c","b"))</f>
        <v>0</v>
      </c>
    </row>
    <row r="1199" spans="1:25" ht="23.25" hidden="1" thickBot="1" x14ac:dyDescent="0.25">
      <c r="A1199" s="317">
        <v>95781</v>
      </c>
      <c r="B1199" s="895">
        <v>95781</v>
      </c>
      <c r="C1199" s="896" t="s">
        <v>596</v>
      </c>
      <c r="D1199" s="906" t="s">
        <v>1129</v>
      </c>
      <c r="E1199" s="907">
        <f>GLOBAL_DER_FEV_2023!E1199</f>
        <v>0</v>
      </c>
      <c r="F1199" s="908">
        <f>GLOBAL_DER_FEV_2023!F1199</f>
        <v>0</v>
      </c>
      <c r="G1199" s="912">
        <f>GLOBAL_DER_FEV_2023!G1199</f>
        <v>0</v>
      </c>
      <c r="H1199" s="901">
        <f>GLOBAL_DER_FEV_2023!H1199</f>
        <v>38.9</v>
      </c>
      <c r="I1199" s="901">
        <f>GLOBAL_DER_FEV_2023!I1199</f>
        <v>38.9</v>
      </c>
      <c r="J1199" s="902">
        <f>GLOBAL_DER_FEV_2023!J1199</f>
        <v>46.71</v>
      </c>
      <c r="K1199" s="903" t="s">
        <v>1516</v>
      </c>
      <c r="L1199" s="1137"/>
      <c r="M1199" s="1138">
        <f t="shared" si="87"/>
        <v>0</v>
      </c>
      <c r="N1199" s="893">
        <f t="shared" si="91"/>
        <v>0</v>
      </c>
      <c r="O1199" s="905"/>
      <c r="Q1199" s="317" t="str">
        <f t="shared" si="88"/>
        <v/>
      </c>
      <c r="R1199" s="317" t="str">
        <f t="shared" si="89"/>
        <v/>
      </c>
      <c r="S1199" s="317" t="str">
        <f t="shared" si="90"/>
        <v/>
      </c>
      <c r="T1199" s="317" t="str">
        <f>GLOBAL_DER_FEV_2023!S1199</f>
        <v/>
      </c>
      <c r="W1199" s="582">
        <v>0</v>
      </c>
      <c r="X1199" s="580"/>
      <c r="Y1199" s="583">
        <f>IF(GLOBAL_DER_FEV_2023!W1199=0,0,IF(GLOBAL_DER_FEV_2023!W1199&gt;0,"c","b"))</f>
        <v>0</v>
      </c>
    </row>
    <row r="1200" spans="1:25" ht="23.25" hidden="1" thickBot="1" x14ac:dyDescent="0.25">
      <c r="A1200" s="317">
        <v>95782</v>
      </c>
      <c r="B1200" s="895">
        <v>95782</v>
      </c>
      <c r="C1200" s="896" t="s">
        <v>596</v>
      </c>
      <c r="D1200" s="906" t="s">
        <v>1130</v>
      </c>
      <c r="E1200" s="907">
        <f>GLOBAL_DER_FEV_2023!E1200</f>
        <v>0</v>
      </c>
      <c r="F1200" s="908">
        <f>GLOBAL_DER_FEV_2023!F1200</f>
        <v>0</v>
      </c>
      <c r="G1200" s="912">
        <f>GLOBAL_DER_FEV_2023!G1200</f>
        <v>0</v>
      </c>
      <c r="H1200" s="901">
        <f>GLOBAL_DER_FEV_2023!H1200</f>
        <v>36.520000000000003</v>
      </c>
      <c r="I1200" s="901">
        <f>GLOBAL_DER_FEV_2023!I1200</f>
        <v>36.520000000000003</v>
      </c>
      <c r="J1200" s="902">
        <f>GLOBAL_DER_FEV_2023!J1200</f>
        <v>43.85</v>
      </c>
      <c r="K1200" s="903" t="s">
        <v>1516</v>
      </c>
      <c r="L1200" s="1137"/>
      <c r="M1200" s="1138">
        <f t="shared" si="87"/>
        <v>0</v>
      </c>
      <c r="N1200" s="893">
        <f t="shared" si="91"/>
        <v>0</v>
      </c>
      <c r="O1200" s="905"/>
      <c r="Q1200" s="317" t="str">
        <f t="shared" si="88"/>
        <v/>
      </c>
      <c r="R1200" s="317" t="str">
        <f t="shared" si="89"/>
        <v/>
      </c>
      <c r="S1200" s="317" t="str">
        <f t="shared" si="90"/>
        <v/>
      </c>
      <c r="T1200" s="317" t="str">
        <f>GLOBAL_DER_FEV_2023!S1200</f>
        <v/>
      </c>
      <c r="W1200" s="582">
        <v>0</v>
      </c>
      <c r="X1200" s="580"/>
      <c r="Y1200" s="583">
        <f>IF(GLOBAL_DER_FEV_2023!W1200=0,0,IF(GLOBAL_DER_FEV_2023!W1200&gt;0,"c","b"))</f>
        <v>0</v>
      </c>
    </row>
    <row r="1201" spans="1:25" ht="23.25" hidden="1" thickBot="1" x14ac:dyDescent="0.25">
      <c r="A1201" s="317">
        <v>95785</v>
      </c>
      <c r="B1201" s="895">
        <v>95785</v>
      </c>
      <c r="C1201" s="896" t="s">
        <v>596</v>
      </c>
      <c r="D1201" s="906" t="s">
        <v>1131</v>
      </c>
      <c r="E1201" s="907">
        <f>GLOBAL_DER_FEV_2023!E1201</f>
        <v>0</v>
      </c>
      <c r="F1201" s="908">
        <f>GLOBAL_DER_FEV_2023!F1201</f>
        <v>0</v>
      </c>
      <c r="G1201" s="912">
        <f>GLOBAL_DER_FEV_2023!G1201</f>
        <v>0</v>
      </c>
      <c r="H1201" s="901">
        <f>GLOBAL_DER_FEV_2023!H1201</f>
        <v>43.24</v>
      </c>
      <c r="I1201" s="901">
        <f>GLOBAL_DER_FEV_2023!I1201</f>
        <v>43.24</v>
      </c>
      <c r="J1201" s="902">
        <f>GLOBAL_DER_FEV_2023!J1201</f>
        <v>51.92</v>
      </c>
      <c r="K1201" s="903" t="s">
        <v>1516</v>
      </c>
      <c r="L1201" s="1137"/>
      <c r="M1201" s="1138">
        <f t="shared" si="87"/>
        <v>0</v>
      </c>
      <c r="N1201" s="893">
        <f t="shared" si="91"/>
        <v>0</v>
      </c>
      <c r="O1201" s="905"/>
      <c r="Q1201" s="317" t="str">
        <f t="shared" si="88"/>
        <v/>
      </c>
      <c r="R1201" s="317" t="str">
        <f t="shared" si="89"/>
        <v/>
      </c>
      <c r="S1201" s="317" t="str">
        <f t="shared" si="90"/>
        <v/>
      </c>
      <c r="T1201" s="317" t="str">
        <f>GLOBAL_DER_FEV_2023!S1201</f>
        <v/>
      </c>
      <c r="W1201" s="582">
        <v>0</v>
      </c>
      <c r="X1201" s="580"/>
      <c r="Y1201" s="583">
        <f>IF(GLOBAL_DER_FEV_2023!W1201=0,0,IF(GLOBAL_DER_FEV_2023!W1201&gt;0,"c","b"))</f>
        <v>0</v>
      </c>
    </row>
    <row r="1202" spans="1:25" ht="23.25" hidden="1" thickBot="1" x14ac:dyDescent="0.25">
      <c r="A1202" s="317">
        <v>95787</v>
      </c>
      <c r="B1202" s="895">
        <v>95787</v>
      </c>
      <c r="C1202" s="896" t="s">
        <v>596</v>
      </c>
      <c r="D1202" s="906" t="s">
        <v>1132</v>
      </c>
      <c r="E1202" s="907">
        <f>GLOBAL_DER_FEV_2023!E1202</f>
        <v>0</v>
      </c>
      <c r="F1202" s="908">
        <f>GLOBAL_DER_FEV_2023!F1202</f>
        <v>0</v>
      </c>
      <c r="G1202" s="912">
        <f>GLOBAL_DER_FEV_2023!G1202</f>
        <v>0</v>
      </c>
      <c r="H1202" s="901">
        <f>GLOBAL_DER_FEV_2023!H1202</f>
        <v>32.24</v>
      </c>
      <c r="I1202" s="901">
        <f>GLOBAL_DER_FEV_2023!I1202</f>
        <v>32.24</v>
      </c>
      <c r="J1202" s="902">
        <f>GLOBAL_DER_FEV_2023!J1202</f>
        <v>38.71</v>
      </c>
      <c r="K1202" s="903" t="s">
        <v>1516</v>
      </c>
      <c r="L1202" s="1137"/>
      <c r="M1202" s="1138">
        <f t="shared" si="87"/>
        <v>0</v>
      </c>
      <c r="N1202" s="893">
        <f t="shared" si="91"/>
        <v>0</v>
      </c>
      <c r="O1202" s="905"/>
      <c r="Q1202" s="317" t="str">
        <f t="shared" si="88"/>
        <v/>
      </c>
      <c r="R1202" s="317" t="str">
        <f t="shared" si="89"/>
        <v/>
      </c>
      <c r="S1202" s="317" t="str">
        <f t="shared" si="90"/>
        <v/>
      </c>
      <c r="T1202" s="317" t="str">
        <f>GLOBAL_DER_FEV_2023!S1202</f>
        <v/>
      </c>
      <c r="W1202" s="582">
        <v>0</v>
      </c>
      <c r="X1202" s="580"/>
      <c r="Y1202" s="583">
        <f>IF(GLOBAL_DER_FEV_2023!W1202=0,0,IF(GLOBAL_DER_FEV_2023!W1202&gt;0,"c","b"))</f>
        <v>0</v>
      </c>
    </row>
    <row r="1203" spans="1:25" ht="23.25" hidden="1" thickBot="1" x14ac:dyDescent="0.25">
      <c r="A1203" s="317">
        <v>95789</v>
      </c>
      <c r="B1203" s="895">
        <v>95789</v>
      </c>
      <c r="C1203" s="896" t="s">
        <v>596</v>
      </c>
      <c r="D1203" s="906" t="s">
        <v>1133</v>
      </c>
      <c r="E1203" s="907">
        <f>GLOBAL_DER_FEV_2023!E1203</f>
        <v>0</v>
      </c>
      <c r="F1203" s="908">
        <f>GLOBAL_DER_FEV_2023!F1203</f>
        <v>0</v>
      </c>
      <c r="G1203" s="912">
        <f>GLOBAL_DER_FEV_2023!G1203</f>
        <v>0</v>
      </c>
      <c r="H1203" s="901">
        <f>GLOBAL_DER_FEV_2023!H1203</f>
        <v>43.94</v>
      </c>
      <c r="I1203" s="901">
        <f>GLOBAL_DER_FEV_2023!I1203</f>
        <v>43.94</v>
      </c>
      <c r="J1203" s="902">
        <f>GLOBAL_DER_FEV_2023!J1203</f>
        <v>52.76</v>
      </c>
      <c r="K1203" s="903" t="s">
        <v>1516</v>
      </c>
      <c r="L1203" s="1137"/>
      <c r="M1203" s="1138">
        <f t="shared" si="87"/>
        <v>0</v>
      </c>
      <c r="N1203" s="893">
        <f t="shared" si="91"/>
        <v>0</v>
      </c>
      <c r="O1203" s="905"/>
      <c r="Q1203" s="317" t="str">
        <f t="shared" si="88"/>
        <v/>
      </c>
      <c r="R1203" s="317" t="str">
        <f t="shared" si="89"/>
        <v/>
      </c>
      <c r="S1203" s="317" t="str">
        <f t="shared" si="90"/>
        <v/>
      </c>
      <c r="T1203" s="317" t="str">
        <f>GLOBAL_DER_FEV_2023!S1203</f>
        <v/>
      </c>
      <c r="W1203" s="582">
        <v>0</v>
      </c>
      <c r="X1203" s="580"/>
      <c r="Y1203" s="583">
        <f>IF(GLOBAL_DER_FEV_2023!W1203=0,0,IF(GLOBAL_DER_FEV_2023!W1203&gt;0,"c","b"))</f>
        <v>0</v>
      </c>
    </row>
    <row r="1204" spans="1:25" ht="23.25" hidden="1" thickBot="1" x14ac:dyDescent="0.25">
      <c r="A1204" s="317">
        <v>95791</v>
      </c>
      <c r="B1204" s="895">
        <v>95791</v>
      </c>
      <c r="C1204" s="896" t="s">
        <v>596</v>
      </c>
      <c r="D1204" s="906" t="s">
        <v>1134</v>
      </c>
      <c r="E1204" s="907">
        <f>GLOBAL_DER_FEV_2023!E1204</f>
        <v>0</v>
      </c>
      <c r="F1204" s="908">
        <f>GLOBAL_DER_FEV_2023!F1204</f>
        <v>0</v>
      </c>
      <c r="G1204" s="912">
        <f>GLOBAL_DER_FEV_2023!G1204</f>
        <v>0</v>
      </c>
      <c r="H1204" s="901">
        <f>GLOBAL_DER_FEV_2023!H1204</f>
        <v>61.1</v>
      </c>
      <c r="I1204" s="901">
        <f>GLOBAL_DER_FEV_2023!I1204</f>
        <v>61.1</v>
      </c>
      <c r="J1204" s="902">
        <f>GLOBAL_DER_FEV_2023!J1204</f>
        <v>73.36</v>
      </c>
      <c r="K1204" s="903" t="s">
        <v>1516</v>
      </c>
      <c r="L1204" s="1137"/>
      <c r="M1204" s="1138">
        <f t="shared" si="87"/>
        <v>0</v>
      </c>
      <c r="N1204" s="893">
        <f t="shared" si="91"/>
        <v>0</v>
      </c>
      <c r="O1204" s="905"/>
      <c r="Q1204" s="317" t="str">
        <f t="shared" si="88"/>
        <v/>
      </c>
      <c r="R1204" s="317" t="str">
        <f t="shared" si="89"/>
        <v/>
      </c>
      <c r="S1204" s="317" t="str">
        <f t="shared" si="90"/>
        <v/>
      </c>
      <c r="T1204" s="317" t="str">
        <f>GLOBAL_DER_FEV_2023!S1204</f>
        <v/>
      </c>
      <c r="W1204" s="582">
        <v>0</v>
      </c>
      <c r="X1204" s="580"/>
      <c r="Y1204" s="583">
        <f>IF(GLOBAL_DER_FEV_2023!W1204=0,0,IF(GLOBAL_DER_FEV_2023!W1204&gt;0,"c","b"))</f>
        <v>0</v>
      </c>
    </row>
    <row r="1205" spans="1:25" ht="23.25" hidden="1" thickBot="1" x14ac:dyDescent="0.25">
      <c r="A1205" s="317">
        <v>95795</v>
      </c>
      <c r="B1205" s="895">
        <v>95795</v>
      </c>
      <c r="C1205" s="896" t="s">
        <v>596</v>
      </c>
      <c r="D1205" s="906" t="s">
        <v>1135</v>
      </c>
      <c r="E1205" s="907">
        <f>GLOBAL_DER_FEV_2023!E1205</f>
        <v>0</v>
      </c>
      <c r="F1205" s="908">
        <f>GLOBAL_DER_FEV_2023!F1205</f>
        <v>0</v>
      </c>
      <c r="G1205" s="912">
        <f>GLOBAL_DER_FEV_2023!G1205</f>
        <v>0</v>
      </c>
      <c r="H1205" s="901">
        <f>GLOBAL_DER_FEV_2023!H1205</f>
        <v>36.74</v>
      </c>
      <c r="I1205" s="901">
        <f>GLOBAL_DER_FEV_2023!I1205</f>
        <v>36.74</v>
      </c>
      <c r="J1205" s="902">
        <f>GLOBAL_DER_FEV_2023!J1205</f>
        <v>44.11</v>
      </c>
      <c r="K1205" s="903" t="s">
        <v>1516</v>
      </c>
      <c r="L1205" s="1137"/>
      <c r="M1205" s="1138">
        <f t="shared" si="87"/>
        <v>0</v>
      </c>
      <c r="N1205" s="893">
        <f t="shared" si="91"/>
        <v>0</v>
      </c>
      <c r="O1205" s="905"/>
      <c r="Q1205" s="317" t="str">
        <f t="shared" si="88"/>
        <v/>
      </c>
      <c r="R1205" s="317" t="str">
        <f t="shared" si="89"/>
        <v/>
      </c>
      <c r="S1205" s="317" t="str">
        <f t="shared" si="90"/>
        <v/>
      </c>
      <c r="T1205" s="317" t="str">
        <f>GLOBAL_DER_FEV_2023!S1205</f>
        <v/>
      </c>
      <c r="W1205" s="582">
        <v>0</v>
      </c>
      <c r="X1205" s="580"/>
      <c r="Y1205" s="583">
        <f>IF(GLOBAL_DER_FEV_2023!W1205=0,0,IF(GLOBAL_DER_FEV_2023!W1205&gt;0,"c","b"))</f>
        <v>0</v>
      </c>
    </row>
    <row r="1206" spans="1:25" ht="23.25" hidden="1" thickBot="1" x14ac:dyDescent="0.25">
      <c r="A1206" s="317">
        <v>95796</v>
      </c>
      <c r="B1206" s="895">
        <v>95796</v>
      </c>
      <c r="C1206" s="896" t="s">
        <v>596</v>
      </c>
      <c r="D1206" s="906" t="s">
        <v>1136</v>
      </c>
      <c r="E1206" s="907">
        <f>GLOBAL_DER_FEV_2023!E1206</f>
        <v>0</v>
      </c>
      <c r="F1206" s="908">
        <f>GLOBAL_DER_FEV_2023!F1206</f>
        <v>0</v>
      </c>
      <c r="G1206" s="912">
        <f>GLOBAL_DER_FEV_2023!G1206</f>
        <v>0</v>
      </c>
      <c r="H1206" s="901">
        <f>GLOBAL_DER_FEV_2023!H1206</f>
        <v>51.6</v>
      </c>
      <c r="I1206" s="901">
        <f>GLOBAL_DER_FEV_2023!I1206</f>
        <v>51.6</v>
      </c>
      <c r="J1206" s="902">
        <f>GLOBAL_DER_FEV_2023!J1206</f>
        <v>61.96</v>
      </c>
      <c r="K1206" s="903" t="s">
        <v>1516</v>
      </c>
      <c r="L1206" s="1137"/>
      <c r="M1206" s="1138">
        <f t="shared" si="87"/>
        <v>0</v>
      </c>
      <c r="N1206" s="893">
        <f t="shared" si="91"/>
        <v>0</v>
      </c>
      <c r="O1206" s="905"/>
      <c r="Q1206" s="317" t="str">
        <f t="shared" si="88"/>
        <v/>
      </c>
      <c r="R1206" s="317" t="str">
        <f t="shared" si="89"/>
        <v/>
      </c>
      <c r="S1206" s="317" t="str">
        <f t="shared" si="90"/>
        <v/>
      </c>
      <c r="T1206" s="317" t="str">
        <f>GLOBAL_DER_FEV_2023!S1206</f>
        <v/>
      </c>
      <c r="W1206" s="582">
        <v>0</v>
      </c>
      <c r="X1206" s="580"/>
      <c r="Y1206" s="583">
        <f>IF(GLOBAL_DER_FEV_2023!W1206=0,0,IF(GLOBAL_DER_FEV_2023!W1206&gt;0,"c","b"))</f>
        <v>0</v>
      </c>
    </row>
    <row r="1207" spans="1:25" ht="23.25" hidden="1" thickBot="1" x14ac:dyDescent="0.25">
      <c r="A1207" s="317">
        <v>95797</v>
      </c>
      <c r="B1207" s="895">
        <v>95797</v>
      </c>
      <c r="C1207" s="896" t="s">
        <v>596</v>
      </c>
      <c r="D1207" s="906" t="s">
        <v>1137</v>
      </c>
      <c r="E1207" s="907">
        <f>GLOBAL_DER_FEV_2023!E1207</f>
        <v>0</v>
      </c>
      <c r="F1207" s="908">
        <f>GLOBAL_DER_FEV_2023!F1207</f>
        <v>0</v>
      </c>
      <c r="G1207" s="912">
        <f>GLOBAL_DER_FEV_2023!G1207</f>
        <v>0</v>
      </c>
      <c r="H1207" s="901">
        <f>GLOBAL_DER_FEV_2023!H1207</f>
        <v>71.37</v>
      </c>
      <c r="I1207" s="901">
        <f>GLOBAL_DER_FEV_2023!I1207</f>
        <v>71.37</v>
      </c>
      <c r="J1207" s="902">
        <f>GLOBAL_DER_FEV_2023!J1207</f>
        <v>85.69</v>
      </c>
      <c r="K1207" s="903" t="s">
        <v>1516</v>
      </c>
      <c r="L1207" s="1137"/>
      <c r="M1207" s="1138">
        <f t="shared" si="87"/>
        <v>0</v>
      </c>
      <c r="N1207" s="893">
        <f t="shared" si="91"/>
        <v>0</v>
      </c>
      <c r="O1207" s="905"/>
      <c r="Q1207" s="317" t="str">
        <f t="shared" si="88"/>
        <v/>
      </c>
      <c r="R1207" s="317" t="str">
        <f t="shared" si="89"/>
        <v/>
      </c>
      <c r="S1207" s="317" t="str">
        <f t="shared" si="90"/>
        <v/>
      </c>
      <c r="T1207" s="317" t="str">
        <f>GLOBAL_DER_FEV_2023!S1207</f>
        <v/>
      </c>
      <c r="W1207" s="582">
        <v>0</v>
      </c>
      <c r="X1207" s="580"/>
      <c r="Y1207" s="583">
        <f>IF(GLOBAL_DER_FEV_2023!W1207=0,0,IF(GLOBAL_DER_FEV_2023!W1207&gt;0,"c","b"))</f>
        <v>0</v>
      </c>
    </row>
    <row r="1208" spans="1:25" ht="23.25" hidden="1" thickBot="1" x14ac:dyDescent="0.25">
      <c r="A1208" s="317">
        <v>95801</v>
      </c>
      <c r="B1208" s="895">
        <v>95801</v>
      </c>
      <c r="C1208" s="896" t="s">
        <v>596</v>
      </c>
      <c r="D1208" s="906" t="s">
        <v>1138</v>
      </c>
      <c r="E1208" s="907">
        <f>GLOBAL_DER_FEV_2023!E1208</f>
        <v>0</v>
      </c>
      <c r="F1208" s="908">
        <f>GLOBAL_DER_FEV_2023!F1208</f>
        <v>0</v>
      </c>
      <c r="G1208" s="912">
        <f>GLOBAL_DER_FEV_2023!G1208</f>
        <v>0</v>
      </c>
      <c r="H1208" s="901">
        <f>GLOBAL_DER_FEV_2023!H1208</f>
        <v>43.96</v>
      </c>
      <c r="I1208" s="901">
        <f>GLOBAL_DER_FEV_2023!I1208</f>
        <v>43.96</v>
      </c>
      <c r="J1208" s="902">
        <f>GLOBAL_DER_FEV_2023!J1208</f>
        <v>52.78</v>
      </c>
      <c r="K1208" s="903" t="s">
        <v>1516</v>
      </c>
      <c r="L1208" s="1137"/>
      <c r="M1208" s="1138">
        <f t="shared" si="87"/>
        <v>0</v>
      </c>
      <c r="N1208" s="893">
        <f t="shared" si="91"/>
        <v>0</v>
      </c>
      <c r="O1208" s="905"/>
      <c r="Q1208" s="317" t="str">
        <f t="shared" si="88"/>
        <v/>
      </c>
      <c r="R1208" s="317" t="str">
        <f t="shared" si="89"/>
        <v/>
      </c>
      <c r="S1208" s="317" t="str">
        <f t="shared" si="90"/>
        <v/>
      </c>
      <c r="T1208" s="317" t="str">
        <f>GLOBAL_DER_FEV_2023!S1208</f>
        <v/>
      </c>
      <c r="W1208" s="582">
        <v>0</v>
      </c>
      <c r="X1208" s="580"/>
      <c r="Y1208" s="583">
        <f>IF(GLOBAL_DER_FEV_2023!W1208=0,0,IF(GLOBAL_DER_FEV_2023!W1208&gt;0,"c","b"))</f>
        <v>0</v>
      </c>
    </row>
    <row r="1209" spans="1:25" ht="23.25" hidden="1" thickBot="1" x14ac:dyDescent="0.25">
      <c r="A1209" s="317">
        <v>95802</v>
      </c>
      <c r="B1209" s="895">
        <v>95802</v>
      </c>
      <c r="C1209" s="896" t="s">
        <v>596</v>
      </c>
      <c r="D1209" s="906" t="s">
        <v>1139</v>
      </c>
      <c r="E1209" s="907">
        <f>GLOBAL_DER_FEV_2023!E1209</f>
        <v>0</v>
      </c>
      <c r="F1209" s="908">
        <f>GLOBAL_DER_FEV_2023!F1209</f>
        <v>0</v>
      </c>
      <c r="G1209" s="912">
        <f>GLOBAL_DER_FEV_2023!G1209</f>
        <v>0</v>
      </c>
      <c r="H1209" s="901">
        <f>GLOBAL_DER_FEV_2023!H1209</f>
        <v>54.65</v>
      </c>
      <c r="I1209" s="901">
        <f>GLOBAL_DER_FEV_2023!I1209</f>
        <v>54.65</v>
      </c>
      <c r="J1209" s="902">
        <f>GLOBAL_DER_FEV_2023!J1209</f>
        <v>65.62</v>
      </c>
      <c r="K1209" s="903" t="s">
        <v>1516</v>
      </c>
      <c r="L1209" s="1137"/>
      <c r="M1209" s="1138">
        <f t="shared" si="87"/>
        <v>0</v>
      </c>
      <c r="N1209" s="893">
        <f t="shared" si="91"/>
        <v>0</v>
      </c>
      <c r="O1209" s="905"/>
      <c r="Q1209" s="317" t="str">
        <f t="shared" si="88"/>
        <v/>
      </c>
      <c r="R1209" s="317" t="str">
        <f t="shared" si="89"/>
        <v/>
      </c>
      <c r="S1209" s="317" t="str">
        <f t="shared" si="90"/>
        <v/>
      </c>
      <c r="T1209" s="317" t="str">
        <f>GLOBAL_DER_FEV_2023!S1209</f>
        <v/>
      </c>
      <c r="W1209" s="582">
        <v>0</v>
      </c>
      <c r="X1209" s="580"/>
      <c r="Y1209" s="583">
        <f>IF(GLOBAL_DER_FEV_2023!W1209=0,0,IF(GLOBAL_DER_FEV_2023!W1209&gt;0,"c","b"))</f>
        <v>0</v>
      </c>
    </row>
    <row r="1210" spans="1:25" ht="23.25" hidden="1" thickBot="1" x14ac:dyDescent="0.25">
      <c r="A1210" s="317">
        <v>95803</v>
      </c>
      <c r="B1210" s="895">
        <v>95803</v>
      </c>
      <c r="C1210" s="896" t="s">
        <v>596</v>
      </c>
      <c r="D1210" s="906" t="s">
        <v>1140</v>
      </c>
      <c r="E1210" s="907">
        <f>GLOBAL_DER_FEV_2023!E1210</f>
        <v>0</v>
      </c>
      <c r="F1210" s="908">
        <f>GLOBAL_DER_FEV_2023!F1210</f>
        <v>0</v>
      </c>
      <c r="G1210" s="912">
        <f>GLOBAL_DER_FEV_2023!G1210</f>
        <v>0</v>
      </c>
      <c r="H1210" s="901">
        <f>GLOBAL_DER_FEV_2023!H1210</f>
        <v>79.510000000000005</v>
      </c>
      <c r="I1210" s="901">
        <f>GLOBAL_DER_FEV_2023!I1210</f>
        <v>79.510000000000005</v>
      </c>
      <c r="J1210" s="902">
        <f>GLOBAL_DER_FEV_2023!J1210</f>
        <v>95.47</v>
      </c>
      <c r="K1210" s="903" t="s">
        <v>1516</v>
      </c>
      <c r="L1210" s="1137"/>
      <c r="M1210" s="1138">
        <f t="shared" si="87"/>
        <v>0</v>
      </c>
      <c r="N1210" s="893">
        <f t="shared" si="91"/>
        <v>0</v>
      </c>
      <c r="O1210" s="905"/>
      <c r="Q1210" s="317" t="str">
        <f t="shared" si="88"/>
        <v/>
      </c>
      <c r="R1210" s="317" t="str">
        <f t="shared" si="89"/>
        <v/>
      </c>
      <c r="S1210" s="317" t="str">
        <f t="shared" si="90"/>
        <v/>
      </c>
      <c r="T1210" s="317" t="str">
        <f>GLOBAL_DER_FEV_2023!S1210</f>
        <v/>
      </c>
      <c r="W1210" s="582">
        <v>0</v>
      </c>
      <c r="X1210" s="580"/>
      <c r="Y1210" s="583">
        <f>IF(GLOBAL_DER_FEV_2023!W1210=0,0,IF(GLOBAL_DER_FEV_2023!W1210&gt;0,"c","b"))</f>
        <v>0</v>
      </c>
    </row>
    <row r="1211" spans="1:25" ht="23.25" hidden="1" thickBot="1" x14ac:dyDescent="0.25">
      <c r="A1211" s="317">
        <v>95804</v>
      </c>
      <c r="B1211" s="895">
        <v>95804</v>
      </c>
      <c r="C1211" s="896" t="s">
        <v>596</v>
      </c>
      <c r="D1211" s="906" t="s">
        <v>1141</v>
      </c>
      <c r="E1211" s="907">
        <f>GLOBAL_DER_FEV_2023!E1211</f>
        <v>0</v>
      </c>
      <c r="F1211" s="908">
        <f>GLOBAL_DER_FEV_2023!F1211</f>
        <v>0</v>
      </c>
      <c r="G1211" s="912">
        <f>GLOBAL_DER_FEV_2023!G1211</f>
        <v>0</v>
      </c>
      <c r="H1211" s="901">
        <f>GLOBAL_DER_FEV_2023!H1211</f>
        <v>27.21</v>
      </c>
      <c r="I1211" s="901">
        <f>GLOBAL_DER_FEV_2023!I1211</f>
        <v>27.21</v>
      </c>
      <c r="J1211" s="902">
        <f>GLOBAL_DER_FEV_2023!J1211</f>
        <v>32.67</v>
      </c>
      <c r="K1211" s="903" t="s">
        <v>1516</v>
      </c>
      <c r="L1211" s="1137"/>
      <c r="M1211" s="1138">
        <f t="shared" si="87"/>
        <v>0</v>
      </c>
      <c r="N1211" s="893">
        <f t="shared" si="91"/>
        <v>0</v>
      </c>
      <c r="O1211" s="905"/>
      <c r="Q1211" s="317" t="str">
        <f t="shared" si="88"/>
        <v/>
      </c>
      <c r="R1211" s="317" t="str">
        <f t="shared" si="89"/>
        <v/>
      </c>
      <c r="S1211" s="317" t="str">
        <f t="shared" si="90"/>
        <v/>
      </c>
      <c r="T1211" s="317" t="str">
        <f>GLOBAL_DER_FEV_2023!S1211</f>
        <v/>
      </c>
      <c r="W1211" s="582">
        <v>0</v>
      </c>
      <c r="X1211" s="580"/>
      <c r="Y1211" s="583">
        <f>IF(GLOBAL_DER_FEV_2023!W1211=0,0,IF(GLOBAL_DER_FEV_2023!W1211&gt;0,"c","b"))</f>
        <v>0</v>
      </c>
    </row>
    <row r="1212" spans="1:25" ht="23.25" hidden="1" thickBot="1" x14ac:dyDescent="0.25">
      <c r="A1212" s="317">
        <v>95805</v>
      </c>
      <c r="B1212" s="895">
        <v>95805</v>
      </c>
      <c r="C1212" s="896" t="s">
        <v>596</v>
      </c>
      <c r="D1212" s="906" t="s">
        <v>1142</v>
      </c>
      <c r="E1212" s="907">
        <f>GLOBAL_DER_FEV_2023!E1212</f>
        <v>0</v>
      </c>
      <c r="F1212" s="908">
        <f>GLOBAL_DER_FEV_2023!F1212</f>
        <v>0</v>
      </c>
      <c r="G1212" s="912">
        <f>GLOBAL_DER_FEV_2023!G1212</f>
        <v>0</v>
      </c>
      <c r="H1212" s="901">
        <f>GLOBAL_DER_FEV_2023!H1212</f>
        <v>28.7</v>
      </c>
      <c r="I1212" s="901">
        <f>GLOBAL_DER_FEV_2023!I1212</f>
        <v>28.7</v>
      </c>
      <c r="J1212" s="902">
        <f>GLOBAL_DER_FEV_2023!J1212</f>
        <v>34.46</v>
      </c>
      <c r="K1212" s="903" t="s">
        <v>1516</v>
      </c>
      <c r="L1212" s="1137"/>
      <c r="M1212" s="1138">
        <f t="shared" si="87"/>
        <v>0</v>
      </c>
      <c r="N1212" s="893">
        <f t="shared" si="91"/>
        <v>0</v>
      </c>
      <c r="O1212" s="905"/>
      <c r="Q1212" s="317" t="str">
        <f t="shared" si="88"/>
        <v/>
      </c>
      <c r="R1212" s="317" t="str">
        <f t="shared" si="89"/>
        <v/>
      </c>
      <c r="S1212" s="317" t="str">
        <f t="shared" si="90"/>
        <v/>
      </c>
      <c r="T1212" s="317" t="str">
        <f>GLOBAL_DER_FEV_2023!S1212</f>
        <v/>
      </c>
      <c r="W1212" s="582">
        <v>0</v>
      </c>
      <c r="X1212" s="580"/>
      <c r="Y1212" s="583">
        <f>IF(GLOBAL_DER_FEV_2023!W1212=0,0,IF(GLOBAL_DER_FEV_2023!W1212&gt;0,"c","b"))</f>
        <v>0</v>
      </c>
    </row>
    <row r="1213" spans="1:25" ht="23.25" hidden="1" thickBot="1" x14ac:dyDescent="0.25">
      <c r="A1213" s="317">
        <v>95806</v>
      </c>
      <c r="B1213" s="895">
        <v>95806</v>
      </c>
      <c r="C1213" s="896" t="s">
        <v>596</v>
      </c>
      <c r="D1213" s="906" t="s">
        <v>1143</v>
      </c>
      <c r="E1213" s="907">
        <f>GLOBAL_DER_FEV_2023!E1213</f>
        <v>0</v>
      </c>
      <c r="F1213" s="908">
        <f>GLOBAL_DER_FEV_2023!F1213</f>
        <v>0</v>
      </c>
      <c r="G1213" s="912">
        <f>GLOBAL_DER_FEV_2023!G1213</f>
        <v>0</v>
      </c>
      <c r="H1213" s="901">
        <f>GLOBAL_DER_FEV_2023!H1213</f>
        <v>31.42</v>
      </c>
      <c r="I1213" s="901">
        <f>GLOBAL_DER_FEV_2023!I1213</f>
        <v>31.42</v>
      </c>
      <c r="J1213" s="902">
        <f>GLOBAL_DER_FEV_2023!J1213</f>
        <v>37.729999999999997</v>
      </c>
      <c r="K1213" s="903" t="s">
        <v>1516</v>
      </c>
      <c r="L1213" s="1137"/>
      <c r="M1213" s="1138">
        <f t="shared" si="87"/>
        <v>0</v>
      </c>
      <c r="N1213" s="893">
        <f t="shared" si="91"/>
        <v>0</v>
      </c>
      <c r="O1213" s="905"/>
      <c r="Q1213" s="317" t="str">
        <f t="shared" si="88"/>
        <v/>
      </c>
      <c r="R1213" s="317" t="str">
        <f t="shared" si="89"/>
        <v/>
      </c>
      <c r="S1213" s="317" t="str">
        <f t="shared" si="90"/>
        <v/>
      </c>
      <c r="T1213" s="317" t="str">
        <f>GLOBAL_DER_FEV_2023!S1213</f>
        <v/>
      </c>
      <c r="W1213" s="582">
        <v>0</v>
      </c>
      <c r="X1213" s="580"/>
      <c r="Y1213" s="583">
        <f>IF(GLOBAL_DER_FEV_2023!W1213=0,0,IF(GLOBAL_DER_FEV_2023!W1213&gt;0,"c","b"))</f>
        <v>0</v>
      </c>
    </row>
    <row r="1214" spans="1:25" ht="23.25" hidden="1" thickBot="1" x14ac:dyDescent="0.25">
      <c r="A1214" s="317">
        <v>95807</v>
      </c>
      <c r="B1214" s="895">
        <v>95807</v>
      </c>
      <c r="C1214" s="896" t="s">
        <v>596</v>
      </c>
      <c r="D1214" s="906" t="s">
        <v>1144</v>
      </c>
      <c r="E1214" s="907">
        <f>GLOBAL_DER_FEV_2023!E1214</f>
        <v>0</v>
      </c>
      <c r="F1214" s="908">
        <f>GLOBAL_DER_FEV_2023!F1214</f>
        <v>0</v>
      </c>
      <c r="G1214" s="912">
        <f>GLOBAL_DER_FEV_2023!G1214</f>
        <v>0</v>
      </c>
      <c r="H1214" s="901">
        <f>GLOBAL_DER_FEV_2023!H1214</f>
        <v>31.89</v>
      </c>
      <c r="I1214" s="901">
        <f>GLOBAL_DER_FEV_2023!I1214</f>
        <v>31.89</v>
      </c>
      <c r="J1214" s="902">
        <f>GLOBAL_DER_FEV_2023!J1214</f>
        <v>38.29</v>
      </c>
      <c r="K1214" s="903" t="s">
        <v>1516</v>
      </c>
      <c r="L1214" s="1137"/>
      <c r="M1214" s="1138">
        <f t="shared" si="87"/>
        <v>0</v>
      </c>
      <c r="N1214" s="893">
        <f t="shared" si="91"/>
        <v>0</v>
      </c>
      <c r="O1214" s="905"/>
      <c r="Q1214" s="317" t="str">
        <f t="shared" si="88"/>
        <v/>
      </c>
      <c r="R1214" s="317" t="str">
        <f t="shared" si="89"/>
        <v/>
      </c>
      <c r="S1214" s="317" t="str">
        <f t="shared" si="90"/>
        <v/>
      </c>
      <c r="T1214" s="317" t="str">
        <f>GLOBAL_DER_FEV_2023!S1214</f>
        <v/>
      </c>
      <c r="W1214" s="582">
        <v>0</v>
      </c>
      <c r="X1214" s="580"/>
      <c r="Y1214" s="583">
        <f>IF(GLOBAL_DER_FEV_2023!W1214=0,0,IF(GLOBAL_DER_FEV_2023!W1214&gt;0,"c","b"))</f>
        <v>0</v>
      </c>
    </row>
    <row r="1215" spans="1:25" ht="23.25" hidden="1" thickBot="1" x14ac:dyDescent="0.25">
      <c r="A1215" s="317">
        <v>95808</v>
      </c>
      <c r="B1215" s="895">
        <v>95808</v>
      </c>
      <c r="C1215" s="896" t="s">
        <v>596</v>
      </c>
      <c r="D1215" s="906" t="s">
        <v>1145</v>
      </c>
      <c r="E1215" s="907">
        <f>GLOBAL_DER_FEV_2023!E1215</f>
        <v>0</v>
      </c>
      <c r="F1215" s="908">
        <f>GLOBAL_DER_FEV_2023!F1215</f>
        <v>0</v>
      </c>
      <c r="G1215" s="912">
        <f>GLOBAL_DER_FEV_2023!G1215</f>
        <v>0</v>
      </c>
      <c r="H1215" s="901">
        <f>GLOBAL_DER_FEV_2023!H1215</f>
        <v>36.369999999999997</v>
      </c>
      <c r="I1215" s="901">
        <f>GLOBAL_DER_FEV_2023!I1215</f>
        <v>36.369999999999997</v>
      </c>
      <c r="J1215" s="902">
        <f>GLOBAL_DER_FEV_2023!J1215</f>
        <v>43.67</v>
      </c>
      <c r="K1215" s="903" t="s">
        <v>1516</v>
      </c>
      <c r="L1215" s="1137"/>
      <c r="M1215" s="1138">
        <f t="shared" si="87"/>
        <v>0</v>
      </c>
      <c r="N1215" s="893">
        <f t="shared" si="91"/>
        <v>0</v>
      </c>
      <c r="O1215" s="905"/>
      <c r="Q1215" s="317" t="str">
        <f t="shared" si="88"/>
        <v/>
      </c>
      <c r="R1215" s="317" t="str">
        <f t="shared" si="89"/>
        <v/>
      </c>
      <c r="S1215" s="317" t="str">
        <f t="shared" si="90"/>
        <v/>
      </c>
      <c r="T1215" s="317" t="str">
        <f>GLOBAL_DER_FEV_2023!S1215</f>
        <v/>
      </c>
      <c r="W1215" s="582">
        <v>0</v>
      </c>
      <c r="X1215" s="580"/>
      <c r="Y1215" s="583">
        <f>IF(GLOBAL_DER_FEV_2023!W1215=0,0,IF(GLOBAL_DER_FEV_2023!W1215&gt;0,"c","b"))</f>
        <v>0</v>
      </c>
    </row>
    <row r="1216" spans="1:25" ht="23.25" hidden="1" thickBot="1" x14ac:dyDescent="0.25">
      <c r="A1216" s="317">
        <v>95809</v>
      </c>
      <c r="B1216" s="895">
        <v>95809</v>
      </c>
      <c r="C1216" s="896" t="s">
        <v>596</v>
      </c>
      <c r="D1216" s="906" t="s">
        <v>1146</v>
      </c>
      <c r="E1216" s="907">
        <f>GLOBAL_DER_FEV_2023!E1216</f>
        <v>0</v>
      </c>
      <c r="F1216" s="908">
        <f>GLOBAL_DER_FEV_2023!F1216</f>
        <v>0</v>
      </c>
      <c r="G1216" s="912">
        <f>GLOBAL_DER_FEV_2023!G1216</f>
        <v>0</v>
      </c>
      <c r="H1216" s="901">
        <f>GLOBAL_DER_FEV_2023!H1216</f>
        <v>45.11</v>
      </c>
      <c r="I1216" s="901">
        <f>GLOBAL_DER_FEV_2023!I1216</f>
        <v>45.11</v>
      </c>
      <c r="J1216" s="902">
        <f>GLOBAL_DER_FEV_2023!J1216</f>
        <v>54.16</v>
      </c>
      <c r="K1216" s="903" t="s">
        <v>1516</v>
      </c>
      <c r="L1216" s="1137"/>
      <c r="M1216" s="1138">
        <f t="shared" si="87"/>
        <v>0</v>
      </c>
      <c r="N1216" s="893">
        <f t="shared" si="91"/>
        <v>0</v>
      </c>
      <c r="O1216" s="905"/>
      <c r="Q1216" s="317" t="str">
        <f t="shared" si="88"/>
        <v/>
      </c>
      <c r="R1216" s="317" t="str">
        <f t="shared" si="89"/>
        <v/>
      </c>
      <c r="S1216" s="317" t="str">
        <f t="shared" si="90"/>
        <v/>
      </c>
      <c r="T1216" s="317" t="str">
        <f>GLOBAL_DER_FEV_2023!S1216</f>
        <v/>
      </c>
      <c r="W1216" s="582">
        <v>0</v>
      </c>
      <c r="X1216" s="580"/>
      <c r="Y1216" s="583">
        <f>IF(GLOBAL_DER_FEV_2023!W1216=0,0,IF(GLOBAL_DER_FEV_2023!W1216&gt;0,"c","b"))</f>
        <v>0</v>
      </c>
    </row>
    <row r="1217" spans="1:25" ht="23.25" hidden="1" thickBot="1" x14ac:dyDescent="0.25">
      <c r="A1217" s="317">
        <v>95810</v>
      </c>
      <c r="B1217" s="895">
        <v>95810</v>
      </c>
      <c r="C1217" s="896" t="s">
        <v>596</v>
      </c>
      <c r="D1217" s="906" t="s">
        <v>1147</v>
      </c>
      <c r="E1217" s="907">
        <f>GLOBAL_DER_FEV_2023!E1217</f>
        <v>0</v>
      </c>
      <c r="F1217" s="908">
        <f>GLOBAL_DER_FEV_2023!F1217</f>
        <v>0</v>
      </c>
      <c r="G1217" s="912">
        <f>GLOBAL_DER_FEV_2023!G1217</f>
        <v>0</v>
      </c>
      <c r="H1217" s="901">
        <f>GLOBAL_DER_FEV_2023!H1217</f>
        <v>19.940000000000001</v>
      </c>
      <c r="I1217" s="901">
        <f>GLOBAL_DER_FEV_2023!I1217</f>
        <v>19.940000000000001</v>
      </c>
      <c r="J1217" s="902">
        <f>GLOBAL_DER_FEV_2023!J1217</f>
        <v>23.94</v>
      </c>
      <c r="K1217" s="903" t="s">
        <v>1516</v>
      </c>
      <c r="L1217" s="1137"/>
      <c r="M1217" s="1138">
        <f t="shared" si="87"/>
        <v>0</v>
      </c>
      <c r="N1217" s="893">
        <f t="shared" si="91"/>
        <v>0</v>
      </c>
      <c r="O1217" s="905"/>
      <c r="Q1217" s="317" t="str">
        <f t="shared" si="88"/>
        <v/>
      </c>
      <c r="R1217" s="317" t="str">
        <f t="shared" si="89"/>
        <v/>
      </c>
      <c r="S1217" s="317" t="str">
        <f t="shared" si="90"/>
        <v/>
      </c>
      <c r="T1217" s="317" t="str">
        <f>GLOBAL_DER_FEV_2023!S1217</f>
        <v/>
      </c>
      <c r="W1217" s="582">
        <v>0</v>
      </c>
      <c r="X1217" s="580"/>
      <c r="Y1217" s="583">
        <f>IF(GLOBAL_DER_FEV_2023!W1217=0,0,IF(GLOBAL_DER_FEV_2023!W1217&gt;0,"c","b"))</f>
        <v>0</v>
      </c>
    </row>
    <row r="1218" spans="1:25" ht="23.25" hidden="1" thickBot="1" x14ac:dyDescent="0.25">
      <c r="A1218" s="317">
        <v>95811</v>
      </c>
      <c r="B1218" s="895">
        <v>95811</v>
      </c>
      <c r="C1218" s="896" t="s">
        <v>596</v>
      </c>
      <c r="D1218" s="906" t="s">
        <v>1148</v>
      </c>
      <c r="E1218" s="907">
        <f>GLOBAL_DER_FEV_2023!E1218</f>
        <v>0</v>
      </c>
      <c r="F1218" s="908">
        <f>GLOBAL_DER_FEV_2023!F1218</f>
        <v>0</v>
      </c>
      <c r="G1218" s="912">
        <f>GLOBAL_DER_FEV_2023!G1218</f>
        <v>0</v>
      </c>
      <c r="H1218" s="901">
        <f>GLOBAL_DER_FEV_2023!H1218</f>
        <v>24.43</v>
      </c>
      <c r="I1218" s="901">
        <f>GLOBAL_DER_FEV_2023!I1218</f>
        <v>24.43</v>
      </c>
      <c r="J1218" s="902">
        <f>GLOBAL_DER_FEV_2023!J1218</f>
        <v>29.33</v>
      </c>
      <c r="K1218" s="903" t="s">
        <v>1516</v>
      </c>
      <c r="L1218" s="1137"/>
      <c r="M1218" s="1138">
        <f t="shared" si="87"/>
        <v>0</v>
      </c>
      <c r="N1218" s="893">
        <f t="shared" si="91"/>
        <v>0</v>
      </c>
      <c r="O1218" s="905"/>
      <c r="Q1218" s="317" t="str">
        <f t="shared" si="88"/>
        <v/>
      </c>
      <c r="R1218" s="317" t="str">
        <f t="shared" si="89"/>
        <v/>
      </c>
      <c r="S1218" s="317" t="str">
        <f t="shared" si="90"/>
        <v/>
      </c>
      <c r="T1218" s="317" t="str">
        <f>GLOBAL_DER_FEV_2023!S1218</f>
        <v/>
      </c>
      <c r="W1218" s="582">
        <v>0</v>
      </c>
      <c r="X1218" s="580"/>
      <c r="Y1218" s="583">
        <f>IF(GLOBAL_DER_FEV_2023!W1218=0,0,IF(GLOBAL_DER_FEV_2023!W1218&gt;0,"c","b"))</f>
        <v>0</v>
      </c>
    </row>
    <row r="1219" spans="1:25" ht="23.25" hidden="1" thickBot="1" x14ac:dyDescent="0.25">
      <c r="A1219" s="317">
        <v>95812</v>
      </c>
      <c r="B1219" s="895">
        <v>95812</v>
      </c>
      <c r="C1219" s="896" t="s">
        <v>596</v>
      </c>
      <c r="D1219" s="906" t="s">
        <v>1149</v>
      </c>
      <c r="E1219" s="907">
        <f>GLOBAL_DER_FEV_2023!E1219</f>
        <v>0</v>
      </c>
      <c r="F1219" s="908">
        <f>GLOBAL_DER_FEV_2023!F1219</f>
        <v>0</v>
      </c>
      <c r="G1219" s="912">
        <f>GLOBAL_DER_FEV_2023!G1219</f>
        <v>0</v>
      </c>
      <c r="H1219" s="901">
        <f>GLOBAL_DER_FEV_2023!H1219</f>
        <v>33.159999999999997</v>
      </c>
      <c r="I1219" s="901">
        <f>GLOBAL_DER_FEV_2023!I1219</f>
        <v>33.159999999999997</v>
      </c>
      <c r="J1219" s="902">
        <f>GLOBAL_DER_FEV_2023!J1219</f>
        <v>39.82</v>
      </c>
      <c r="K1219" s="903" t="s">
        <v>1516</v>
      </c>
      <c r="L1219" s="1137"/>
      <c r="M1219" s="1138">
        <f t="shared" si="87"/>
        <v>0</v>
      </c>
      <c r="N1219" s="893">
        <f t="shared" si="91"/>
        <v>0</v>
      </c>
      <c r="O1219" s="905"/>
      <c r="Q1219" s="317" t="str">
        <f t="shared" si="88"/>
        <v/>
      </c>
      <c r="R1219" s="317" t="str">
        <f t="shared" si="89"/>
        <v/>
      </c>
      <c r="S1219" s="317" t="str">
        <f t="shared" si="90"/>
        <v/>
      </c>
      <c r="T1219" s="317" t="str">
        <f>GLOBAL_DER_FEV_2023!S1219</f>
        <v/>
      </c>
      <c r="W1219" s="582">
        <v>0</v>
      </c>
      <c r="X1219" s="580"/>
      <c r="Y1219" s="583">
        <f>IF(GLOBAL_DER_FEV_2023!W1219=0,0,IF(GLOBAL_DER_FEV_2023!W1219&gt;0,"c","b"))</f>
        <v>0</v>
      </c>
    </row>
    <row r="1220" spans="1:25" ht="23.25" hidden="1" thickBot="1" x14ac:dyDescent="0.25">
      <c r="A1220" s="317">
        <v>95813</v>
      </c>
      <c r="B1220" s="895">
        <v>95813</v>
      </c>
      <c r="C1220" s="896" t="s">
        <v>596</v>
      </c>
      <c r="D1220" s="906" t="s">
        <v>1150</v>
      </c>
      <c r="E1220" s="907">
        <f>GLOBAL_DER_FEV_2023!E1220</f>
        <v>0</v>
      </c>
      <c r="F1220" s="908">
        <f>GLOBAL_DER_FEV_2023!F1220</f>
        <v>0</v>
      </c>
      <c r="G1220" s="912">
        <f>GLOBAL_DER_FEV_2023!G1220</f>
        <v>0</v>
      </c>
      <c r="H1220" s="901">
        <f>GLOBAL_DER_FEV_2023!H1220</f>
        <v>23.14</v>
      </c>
      <c r="I1220" s="901">
        <f>GLOBAL_DER_FEV_2023!I1220</f>
        <v>23.14</v>
      </c>
      <c r="J1220" s="902">
        <f>GLOBAL_DER_FEV_2023!J1220</f>
        <v>27.78</v>
      </c>
      <c r="K1220" s="903" t="s">
        <v>1516</v>
      </c>
      <c r="L1220" s="1137"/>
      <c r="M1220" s="1138">
        <f t="shared" si="87"/>
        <v>0</v>
      </c>
      <c r="N1220" s="893">
        <f t="shared" si="91"/>
        <v>0</v>
      </c>
      <c r="O1220" s="905"/>
      <c r="Q1220" s="317" t="str">
        <f t="shared" si="88"/>
        <v/>
      </c>
      <c r="R1220" s="317" t="str">
        <f t="shared" si="89"/>
        <v/>
      </c>
      <c r="S1220" s="317" t="str">
        <f t="shared" si="90"/>
        <v/>
      </c>
      <c r="T1220" s="317" t="str">
        <f>GLOBAL_DER_FEV_2023!S1220</f>
        <v/>
      </c>
      <c r="W1220" s="582">
        <v>0</v>
      </c>
      <c r="X1220" s="580"/>
      <c r="Y1220" s="583">
        <f>IF(GLOBAL_DER_FEV_2023!W1220=0,0,IF(GLOBAL_DER_FEV_2023!W1220&gt;0,"c","b"))</f>
        <v>0</v>
      </c>
    </row>
    <row r="1221" spans="1:25" ht="23.25" hidden="1" thickBot="1" x14ac:dyDescent="0.25">
      <c r="A1221" s="317">
        <v>95814</v>
      </c>
      <c r="B1221" s="895">
        <v>95814</v>
      </c>
      <c r="C1221" s="896" t="s">
        <v>596</v>
      </c>
      <c r="D1221" s="906" t="s">
        <v>1151</v>
      </c>
      <c r="E1221" s="907">
        <f>GLOBAL_DER_FEV_2023!E1221</f>
        <v>0</v>
      </c>
      <c r="F1221" s="908">
        <f>GLOBAL_DER_FEV_2023!F1221</f>
        <v>0</v>
      </c>
      <c r="G1221" s="912">
        <f>GLOBAL_DER_FEV_2023!G1221</f>
        <v>0</v>
      </c>
      <c r="H1221" s="901">
        <f>GLOBAL_DER_FEV_2023!H1221</f>
        <v>29.12</v>
      </c>
      <c r="I1221" s="901">
        <f>GLOBAL_DER_FEV_2023!I1221</f>
        <v>29.12</v>
      </c>
      <c r="J1221" s="902">
        <f>GLOBAL_DER_FEV_2023!J1221</f>
        <v>34.96</v>
      </c>
      <c r="K1221" s="903" t="s">
        <v>1516</v>
      </c>
      <c r="L1221" s="1137"/>
      <c r="M1221" s="1138">
        <f t="shared" si="87"/>
        <v>0</v>
      </c>
      <c r="N1221" s="893">
        <f t="shared" si="91"/>
        <v>0</v>
      </c>
      <c r="O1221" s="905"/>
      <c r="Q1221" s="317" t="str">
        <f t="shared" si="88"/>
        <v/>
      </c>
      <c r="R1221" s="317" t="str">
        <f t="shared" si="89"/>
        <v/>
      </c>
      <c r="S1221" s="317" t="str">
        <f t="shared" si="90"/>
        <v/>
      </c>
      <c r="T1221" s="317" t="str">
        <f>GLOBAL_DER_FEV_2023!S1221</f>
        <v/>
      </c>
      <c r="W1221" s="582">
        <v>0</v>
      </c>
      <c r="X1221" s="580"/>
      <c r="Y1221" s="583">
        <f>IF(GLOBAL_DER_FEV_2023!W1221=0,0,IF(GLOBAL_DER_FEV_2023!W1221&gt;0,"c","b"))</f>
        <v>0</v>
      </c>
    </row>
    <row r="1222" spans="1:25" ht="23.25" hidden="1" thickBot="1" x14ac:dyDescent="0.25">
      <c r="A1222" s="317">
        <v>95815</v>
      </c>
      <c r="B1222" s="895">
        <v>95815</v>
      </c>
      <c r="C1222" s="896" t="s">
        <v>596</v>
      </c>
      <c r="D1222" s="906" t="s">
        <v>1152</v>
      </c>
      <c r="E1222" s="907">
        <f>GLOBAL_DER_FEV_2023!E1222</f>
        <v>0</v>
      </c>
      <c r="F1222" s="908">
        <f>GLOBAL_DER_FEV_2023!F1222</f>
        <v>0</v>
      </c>
      <c r="G1222" s="912">
        <f>GLOBAL_DER_FEV_2023!G1222</f>
        <v>0</v>
      </c>
      <c r="H1222" s="901">
        <f>GLOBAL_DER_FEV_2023!H1222</f>
        <v>42.77</v>
      </c>
      <c r="I1222" s="901">
        <f>GLOBAL_DER_FEV_2023!I1222</f>
        <v>42.77</v>
      </c>
      <c r="J1222" s="902">
        <f>GLOBAL_DER_FEV_2023!J1222</f>
        <v>51.35</v>
      </c>
      <c r="K1222" s="903" t="s">
        <v>1516</v>
      </c>
      <c r="L1222" s="1137"/>
      <c r="M1222" s="1138">
        <f t="shared" si="87"/>
        <v>0</v>
      </c>
      <c r="N1222" s="893">
        <f t="shared" si="91"/>
        <v>0</v>
      </c>
      <c r="O1222" s="905"/>
      <c r="Q1222" s="317" t="str">
        <f t="shared" si="88"/>
        <v/>
      </c>
      <c r="R1222" s="317" t="str">
        <f t="shared" si="89"/>
        <v/>
      </c>
      <c r="S1222" s="317" t="str">
        <f t="shared" si="90"/>
        <v/>
      </c>
      <c r="T1222" s="317" t="str">
        <f>GLOBAL_DER_FEV_2023!S1222</f>
        <v/>
      </c>
      <c r="W1222" s="582">
        <v>0</v>
      </c>
      <c r="X1222" s="580"/>
      <c r="Y1222" s="583">
        <f>IF(GLOBAL_DER_FEV_2023!W1222=0,0,IF(GLOBAL_DER_FEV_2023!W1222&gt;0,"c","b"))</f>
        <v>0</v>
      </c>
    </row>
    <row r="1223" spans="1:25" ht="23.25" hidden="1" thickBot="1" x14ac:dyDescent="0.25">
      <c r="A1223" s="317">
        <v>95816</v>
      </c>
      <c r="B1223" s="895">
        <v>95816</v>
      </c>
      <c r="C1223" s="896" t="s">
        <v>596</v>
      </c>
      <c r="D1223" s="906" t="s">
        <v>1153</v>
      </c>
      <c r="E1223" s="907">
        <f>GLOBAL_DER_FEV_2023!E1223</f>
        <v>0</v>
      </c>
      <c r="F1223" s="908">
        <f>GLOBAL_DER_FEV_2023!F1223</f>
        <v>0</v>
      </c>
      <c r="G1223" s="912">
        <f>GLOBAL_DER_FEV_2023!G1223</f>
        <v>0</v>
      </c>
      <c r="H1223" s="901">
        <f>GLOBAL_DER_FEV_2023!H1223</f>
        <v>38.6</v>
      </c>
      <c r="I1223" s="901">
        <f>GLOBAL_DER_FEV_2023!I1223</f>
        <v>38.6</v>
      </c>
      <c r="J1223" s="902">
        <f>GLOBAL_DER_FEV_2023!J1223</f>
        <v>46.35</v>
      </c>
      <c r="K1223" s="903" t="s">
        <v>1516</v>
      </c>
      <c r="L1223" s="1137"/>
      <c r="M1223" s="1138">
        <f t="shared" si="87"/>
        <v>0</v>
      </c>
      <c r="N1223" s="893">
        <f t="shared" si="91"/>
        <v>0</v>
      </c>
      <c r="O1223" s="905"/>
      <c r="Q1223" s="317" t="str">
        <f t="shared" si="88"/>
        <v/>
      </c>
      <c r="R1223" s="317" t="str">
        <f t="shared" si="89"/>
        <v/>
      </c>
      <c r="S1223" s="317" t="str">
        <f t="shared" si="90"/>
        <v/>
      </c>
      <c r="T1223" s="317" t="str">
        <f>GLOBAL_DER_FEV_2023!S1223</f>
        <v/>
      </c>
      <c r="W1223" s="582">
        <v>0</v>
      </c>
      <c r="X1223" s="580"/>
      <c r="Y1223" s="583">
        <f>IF(GLOBAL_DER_FEV_2023!W1223=0,0,IF(GLOBAL_DER_FEV_2023!W1223&gt;0,"c","b"))</f>
        <v>0</v>
      </c>
    </row>
    <row r="1224" spans="1:25" ht="23.25" hidden="1" thickBot="1" x14ac:dyDescent="0.25">
      <c r="A1224" s="317">
        <v>95817</v>
      </c>
      <c r="B1224" s="895">
        <v>95817</v>
      </c>
      <c r="C1224" s="896" t="s">
        <v>596</v>
      </c>
      <c r="D1224" s="906" t="s">
        <v>1154</v>
      </c>
      <c r="E1224" s="907">
        <f>GLOBAL_DER_FEV_2023!E1224</f>
        <v>0</v>
      </c>
      <c r="F1224" s="908">
        <f>GLOBAL_DER_FEV_2023!F1224</f>
        <v>0</v>
      </c>
      <c r="G1224" s="912">
        <f>GLOBAL_DER_FEV_2023!G1224</f>
        <v>0</v>
      </c>
      <c r="H1224" s="901">
        <f>GLOBAL_DER_FEV_2023!H1224</f>
        <v>45.47</v>
      </c>
      <c r="I1224" s="901">
        <f>GLOBAL_DER_FEV_2023!I1224</f>
        <v>45.47</v>
      </c>
      <c r="J1224" s="902">
        <f>GLOBAL_DER_FEV_2023!J1224</f>
        <v>54.6</v>
      </c>
      <c r="K1224" s="903" t="s">
        <v>1516</v>
      </c>
      <c r="L1224" s="1137"/>
      <c r="M1224" s="1138">
        <f t="shared" si="87"/>
        <v>0</v>
      </c>
      <c r="N1224" s="893">
        <f t="shared" si="91"/>
        <v>0</v>
      </c>
      <c r="O1224" s="905"/>
      <c r="Q1224" s="317" t="str">
        <f t="shared" si="88"/>
        <v/>
      </c>
      <c r="R1224" s="317" t="str">
        <f t="shared" si="89"/>
        <v/>
      </c>
      <c r="S1224" s="317" t="str">
        <f t="shared" si="90"/>
        <v/>
      </c>
      <c r="T1224" s="317" t="str">
        <f>GLOBAL_DER_FEV_2023!S1224</f>
        <v/>
      </c>
      <c r="W1224" s="582">
        <v>0</v>
      </c>
      <c r="X1224" s="580"/>
      <c r="Y1224" s="583">
        <f>IF(GLOBAL_DER_FEV_2023!W1224=0,0,IF(GLOBAL_DER_FEV_2023!W1224&gt;0,"c","b"))</f>
        <v>0</v>
      </c>
    </row>
    <row r="1225" spans="1:25" ht="23.25" hidden="1" thickBot="1" x14ac:dyDescent="0.25">
      <c r="A1225" s="317">
        <v>95818</v>
      </c>
      <c r="B1225" s="895">
        <v>95818</v>
      </c>
      <c r="C1225" s="896" t="s">
        <v>596</v>
      </c>
      <c r="D1225" s="906" t="s">
        <v>1155</v>
      </c>
      <c r="E1225" s="907">
        <f>GLOBAL_DER_FEV_2023!E1225</f>
        <v>0</v>
      </c>
      <c r="F1225" s="908">
        <f>GLOBAL_DER_FEV_2023!F1225</f>
        <v>0</v>
      </c>
      <c r="G1225" s="912">
        <f>GLOBAL_DER_FEV_2023!G1225</f>
        <v>0</v>
      </c>
      <c r="H1225" s="901">
        <f>GLOBAL_DER_FEV_2023!H1225</f>
        <v>63.06</v>
      </c>
      <c r="I1225" s="901">
        <f>GLOBAL_DER_FEV_2023!I1225</f>
        <v>63.06</v>
      </c>
      <c r="J1225" s="902">
        <f>GLOBAL_DER_FEV_2023!J1225</f>
        <v>75.72</v>
      </c>
      <c r="K1225" s="903" t="s">
        <v>1516</v>
      </c>
      <c r="L1225" s="1137"/>
      <c r="M1225" s="1138">
        <f t="shared" si="87"/>
        <v>0</v>
      </c>
      <c r="N1225" s="893">
        <f t="shared" si="91"/>
        <v>0</v>
      </c>
      <c r="O1225" s="905"/>
      <c r="Q1225" s="317" t="str">
        <f t="shared" si="88"/>
        <v/>
      </c>
      <c r="R1225" s="317" t="str">
        <f t="shared" si="89"/>
        <v/>
      </c>
      <c r="S1225" s="317" t="str">
        <f t="shared" si="90"/>
        <v/>
      </c>
      <c r="T1225" s="317" t="str">
        <f>GLOBAL_DER_FEV_2023!S1225</f>
        <v/>
      </c>
      <c r="W1225" s="582">
        <v>0</v>
      </c>
      <c r="X1225" s="580"/>
      <c r="Y1225" s="583">
        <f>IF(GLOBAL_DER_FEV_2023!W1225=0,0,IF(GLOBAL_DER_FEV_2023!W1225&gt;0,"c","b"))</f>
        <v>0</v>
      </c>
    </row>
    <row r="1226" spans="1:25" ht="23.25" hidden="1" thickBot="1" x14ac:dyDescent="0.25">
      <c r="A1226" s="317">
        <v>91936</v>
      </c>
      <c r="B1226" s="895">
        <v>91936</v>
      </c>
      <c r="C1226" s="896" t="s">
        <v>596</v>
      </c>
      <c r="D1226" s="906" t="s">
        <v>1156</v>
      </c>
      <c r="E1226" s="907">
        <f>GLOBAL_DER_FEV_2023!E1226</f>
        <v>0</v>
      </c>
      <c r="F1226" s="908">
        <f>GLOBAL_DER_FEV_2023!F1226</f>
        <v>0</v>
      </c>
      <c r="G1226" s="912">
        <f>GLOBAL_DER_FEV_2023!G1226</f>
        <v>0</v>
      </c>
      <c r="H1226" s="901">
        <f>GLOBAL_DER_FEV_2023!H1226</f>
        <v>16.95</v>
      </c>
      <c r="I1226" s="901">
        <f>GLOBAL_DER_FEV_2023!I1226</f>
        <v>16.95</v>
      </c>
      <c r="J1226" s="902">
        <f>GLOBAL_DER_FEV_2023!J1226</f>
        <v>20.350000000000001</v>
      </c>
      <c r="K1226" s="903" t="s">
        <v>1516</v>
      </c>
      <c r="L1226" s="1137"/>
      <c r="M1226" s="1138">
        <f t="shared" si="87"/>
        <v>0</v>
      </c>
      <c r="N1226" s="893">
        <f t="shared" si="91"/>
        <v>0</v>
      </c>
      <c r="O1226" s="905"/>
      <c r="Q1226" s="317" t="str">
        <f t="shared" si="88"/>
        <v/>
      </c>
      <c r="R1226" s="317" t="str">
        <f t="shared" si="89"/>
        <v/>
      </c>
      <c r="S1226" s="317" t="str">
        <f t="shared" si="90"/>
        <v/>
      </c>
      <c r="T1226" s="317" t="str">
        <f>GLOBAL_DER_FEV_2023!S1226</f>
        <v/>
      </c>
      <c r="W1226" s="582">
        <v>0</v>
      </c>
      <c r="X1226" s="580"/>
      <c r="Y1226" s="583">
        <f>IF(GLOBAL_DER_FEV_2023!W1226=0,0,IF(GLOBAL_DER_FEV_2023!W1226&gt;0,"c","b"))</f>
        <v>0</v>
      </c>
    </row>
    <row r="1227" spans="1:25" ht="23.25" hidden="1" thickBot="1" x14ac:dyDescent="0.25">
      <c r="A1227" s="317">
        <v>91937</v>
      </c>
      <c r="B1227" s="895">
        <v>91937</v>
      </c>
      <c r="C1227" s="896" t="s">
        <v>596</v>
      </c>
      <c r="D1227" s="906" t="s">
        <v>1157</v>
      </c>
      <c r="E1227" s="907">
        <f>GLOBAL_DER_FEV_2023!E1227</f>
        <v>0</v>
      </c>
      <c r="F1227" s="908">
        <f>GLOBAL_DER_FEV_2023!F1227</f>
        <v>0</v>
      </c>
      <c r="G1227" s="912">
        <f>GLOBAL_DER_FEV_2023!G1227</f>
        <v>0</v>
      </c>
      <c r="H1227" s="901">
        <f>GLOBAL_DER_FEV_2023!H1227</f>
        <v>14.37</v>
      </c>
      <c r="I1227" s="901">
        <f>GLOBAL_DER_FEV_2023!I1227</f>
        <v>14.37</v>
      </c>
      <c r="J1227" s="902">
        <f>GLOBAL_DER_FEV_2023!J1227</f>
        <v>17.25</v>
      </c>
      <c r="K1227" s="903" t="s">
        <v>1516</v>
      </c>
      <c r="L1227" s="1137"/>
      <c r="M1227" s="1138">
        <f t="shared" si="87"/>
        <v>0</v>
      </c>
      <c r="N1227" s="893">
        <f t="shared" si="91"/>
        <v>0</v>
      </c>
      <c r="O1227" s="905"/>
      <c r="Q1227" s="317" t="str">
        <f t="shared" si="88"/>
        <v/>
      </c>
      <c r="R1227" s="317" t="str">
        <f t="shared" si="89"/>
        <v/>
      </c>
      <c r="S1227" s="317" t="str">
        <f t="shared" si="90"/>
        <v/>
      </c>
      <c r="T1227" s="317" t="str">
        <f>GLOBAL_DER_FEV_2023!S1227</f>
        <v/>
      </c>
      <c r="W1227" s="582">
        <v>0</v>
      </c>
      <c r="X1227" s="580"/>
      <c r="Y1227" s="583">
        <f>IF(GLOBAL_DER_FEV_2023!W1227=0,0,IF(GLOBAL_DER_FEV_2023!W1227&gt;0,"c","b"))</f>
        <v>0</v>
      </c>
    </row>
    <row r="1228" spans="1:25" ht="23.25" hidden="1" thickBot="1" x14ac:dyDescent="0.25">
      <c r="A1228" s="317">
        <v>91939</v>
      </c>
      <c r="B1228" s="895">
        <v>91939</v>
      </c>
      <c r="C1228" s="896" t="s">
        <v>596</v>
      </c>
      <c r="D1228" s="906" t="s">
        <v>1158</v>
      </c>
      <c r="E1228" s="907">
        <f>GLOBAL_DER_FEV_2023!E1228</f>
        <v>0</v>
      </c>
      <c r="F1228" s="908">
        <f>GLOBAL_DER_FEV_2023!F1228</f>
        <v>0</v>
      </c>
      <c r="G1228" s="912">
        <f>GLOBAL_DER_FEV_2023!G1228</f>
        <v>0</v>
      </c>
      <c r="H1228" s="901">
        <f>GLOBAL_DER_FEV_2023!H1228</f>
        <v>34.94</v>
      </c>
      <c r="I1228" s="901">
        <f>GLOBAL_DER_FEV_2023!I1228</f>
        <v>34.94</v>
      </c>
      <c r="J1228" s="902">
        <f>GLOBAL_DER_FEV_2023!J1228</f>
        <v>41.95</v>
      </c>
      <c r="K1228" s="903" t="s">
        <v>1516</v>
      </c>
      <c r="L1228" s="1137"/>
      <c r="M1228" s="1138">
        <f t="shared" si="87"/>
        <v>0</v>
      </c>
      <c r="N1228" s="893">
        <f t="shared" si="91"/>
        <v>0</v>
      </c>
      <c r="O1228" s="905"/>
      <c r="Q1228" s="317" t="str">
        <f t="shared" si="88"/>
        <v/>
      </c>
      <c r="R1228" s="317" t="str">
        <f t="shared" si="89"/>
        <v/>
      </c>
      <c r="S1228" s="317" t="str">
        <f t="shared" si="90"/>
        <v/>
      </c>
      <c r="T1228" s="317" t="str">
        <f>GLOBAL_DER_FEV_2023!S1228</f>
        <v/>
      </c>
      <c r="W1228" s="582">
        <v>0</v>
      </c>
      <c r="X1228" s="580"/>
      <c r="Y1228" s="583">
        <f>IF(GLOBAL_DER_FEV_2023!W1228=0,0,IF(GLOBAL_DER_FEV_2023!W1228&gt;0,"c","b"))</f>
        <v>0</v>
      </c>
    </row>
    <row r="1229" spans="1:25" ht="23.25" hidden="1" thickBot="1" x14ac:dyDescent="0.25">
      <c r="A1229" s="317">
        <v>91940</v>
      </c>
      <c r="B1229" s="895">
        <v>91940</v>
      </c>
      <c r="C1229" s="896" t="s">
        <v>596</v>
      </c>
      <c r="D1229" s="906" t="s">
        <v>1159</v>
      </c>
      <c r="E1229" s="907">
        <f>GLOBAL_DER_FEV_2023!E1229</f>
        <v>0</v>
      </c>
      <c r="F1229" s="908">
        <f>GLOBAL_DER_FEV_2023!F1229</f>
        <v>0</v>
      </c>
      <c r="G1229" s="912">
        <f>GLOBAL_DER_FEV_2023!G1229</f>
        <v>0</v>
      </c>
      <c r="H1229" s="901">
        <f>GLOBAL_DER_FEV_2023!H1229</f>
        <v>18.61</v>
      </c>
      <c r="I1229" s="901">
        <f>GLOBAL_DER_FEV_2023!I1229</f>
        <v>18.61</v>
      </c>
      <c r="J1229" s="902">
        <f>GLOBAL_DER_FEV_2023!J1229</f>
        <v>22.35</v>
      </c>
      <c r="K1229" s="903" t="s">
        <v>1516</v>
      </c>
      <c r="L1229" s="1137"/>
      <c r="M1229" s="1138">
        <f t="shared" si="87"/>
        <v>0</v>
      </c>
      <c r="N1229" s="893">
        <f t="shared" si="91"/>
        <v>0</v>
      </c>
      <c r="O1229" s="905"/>
      <c r="Q1229" s="317" t="str">
        <f t="shared" si="88"/>
        <v/>
      </c>
      <c r="R1229" s="317" t="str">
        <f t="shared" si="89"/>
        <v/>
      </c>
      <c r="S1229" s="317" t="str">
        <f t="shared" si="90"/>
        <v/>
      </c>
      <c r="T1229" s="317" t="str">
        <f>GLOBAL_DER_FEV_2023!S1229</f>
        <v/>
      </c>
      <c r="W1229" s="582">
        <v>0</v>
      </c>
      <c r="X1229" s="580"/>
      <c r="Y1229" s="583">
        <f>IF(GLOBAL_DER_FEV_2023!W1229=0,0,IF(GLOBAL_DER_FEV_2023!W1229&gt;0,"c","b"))</f>
        <v>0</v>
      </c>
    </row>
    <row r="1230" spans="1:25" ht="23.25" hidden="1" thickBot="1" x14ac:dyDescent="0.25">
      <c r="A1230" s="317">
        <v>91941</v>
      </c>
      <c r="B1230" s="895">
        <v>91941</v>
      </c>
      <c r="C1230" s="896" t="s">
        <v>596</v>
      </c>
      <c r="D1230" s="906" t="s">
        <v>1160</v>
      </c>
      <c r="E1230" s="907">
        <f>GLOBAL_DER_FEV_2023!E1230</f>
        <v>0</v>
      </c>
      <c r="F1230" s="908">
        <f>GLOBAL_DER_FEV_2023!F1230</f>
        <v>0</v>
      </c>
      <c r="G1230" s="912">
        <f>GLOBAL_DER_FEV_2023!G1230</f>
        <v>0</v>
      </c>
      <c r="H1230" s="901">
        <f>GLOBAL_DER_FEV_2023!H1230</f>
        <v>12.49</v>
      </c>
      <c r="I1230" s="901">
        <f>GLOBAL_DER_FEV_2023!I1230</f>
        <v>12.49</v>
      </c>
      <c r="J1230" s="902">
        <f>GLOBAL_DER_FEV_2023!J1230</f>
        <v>15</v>
      </c>
      <c r="K1230" s="903" t="s">
        <v>1516</v>
      </c>
      <c r="L1230" s="1137"/>
      <c r="M1230" s="1138">
        <f t="shared" si="87"/>
        <v>0</v>
      </c>
      <c r="N1230" s="893">
        <f t="shared" si="91"/>
        <v>0</v>
      </c>
      <c r="O1230" s="905"/>
      <c r="Q1230" s="317" t="str">
        <f t="shared" si="88"/>
        <v/>
      </c>
      <c r="R1230" s="317" t="str">
        <f t="shared" si="89"/>
        <v/>
      </c>
      <c r="S1230" s="317" t="str">
        <f t="shared" si="90"/>
        <v/>
      </c>
      <c r="T1230" s="317" t="str">
        <f>GLOBAL_DER_FEV_2023!S1230</f>
        <v/>
      </c>
      <c r="W1230" s="582">
        <v>0</v>
      </c>
      <c r="X1230" s="580"/>
      <c r="Y1230" s="583">
        <f>IF(GLOBAL_DER_FEV_2023!W1230=0,0,IF(GLOBAL_DER_FEV_2023!W1230&gt;0,"c","b"))</f>
        <v>0</v>
      </c>
    </row>
    <row r="1231" spans="1:25" ht="23.25" hidden="1" thickBot="1" x14ac:dyDescent="0.25">
      <c r="A1231" s="317">
        <v>91942</v>
      </c>
      <c r="B1231" s="895">
        <v>91942</v>
      </c>
      <c r="C1231" s="896" t="s">
        <v>596</v>
      </c>
      <c r="D1231" s="906" t="s">
        <v>1161</v>
      </c>
      <c r="E1231" s="907">
        <f>GLOBAL_DER_FEV_2023!E1231</f>
        <v>0</v>
      </c>
      <c r="F1231" s="908">
        <f>GLOBAL_DER_FEV_2023!F1231</f>
        <v>0</v>
      </c>
      <c r="G1231" s="912">
        <f>GLOBAL_DER_FEV_2023!G1231</f>
        <v>0</v>
      </c>
      <c r="H1231" s="901">
        <f>GLOBAL_DER_FEV_2023!H1231</f>
        <v>42.95</v>
      </c>
      <c r="I1231" s="901">
        <f>GLOBAL_DER_FEV_2023!I1231</f>
        <v>42.95</v>
      </c>
      <c r="J1231" s="902">
        <f>GLOBAL_DER_FEV_2023!J1231</f>
        <v>51.57</v>
      </c>
      <c r="K1231" s="903" t="s">
        <v>1516</v>
      </c>
      <c r="L1231" s="1137"/>
      <c r="M1231" s="1138">
        <f t="shared" si="87"/>
        <v>0</v>
      </c>
      <c r="N1231" s="893">
        <f t="shared" si="91"/>
        <v>0</v>
      </c>
      <c r="O1231" s="905"/>
      <c r="Q1231" s="317" t="str">
        <f t="shared" si="88"/>
        <v/>
      </c>
      <c r="R1231" s="317" t="str">
        <f t="shared" si="89"/>
        <v/>
      </c>
      <c r="S1231" s="317" t="str">
        <f t="shared" si="90"/>
        <v/>
      </c>
      <c r="T1231" s="317" t="str">
        <f>GLOBAL_DER_FEV_2023!S1231</f>
        <v/>
      </c>
      <c r="W1231" s="582">
        <v>0</v>
      </c>
      <c r="X1231" s="580"/>
      <c r="Y1231" s="583">
        <f>IF(GLOBAL_DER_FEV_2023!W1231=0,0,IF(GLOBAL_DER_FEV_2023!W1231&gt;0,"c","b"))</f>
        <v>0</v>
      </c>
    </row>
    <row r="1232" spans="1:25" ht="23.25" hidden="1" thickBot="1" x14ac:dyDescent="0.25">
      <c r="A1232" s="317">
        <v>91943</v>
      </c>
      <c r="B1232" s="895">
        <v>91943</v>
      </c>
      <c r="C1232" s="896" t="s">
        <v>596</v>
      </c>
      <c r="D1232" s="906" t="s">
        <v>1162</v>
      </c>
      <c r="E1232" s="907">
        <f>GLOBAL_DER_FEV_2023!E1232</f>
        <v>0</v>
      </c>
      <c r="F1232" s="908">
        <f>GLOBAL_DER_FEV_2023!F1232</f>
        <v>0</v>
      </c>
      <c r="G1232" s="912">
        <f>GLOBAL_DER_FEV_2023!G1232</f>
        <v>0</v>
      </c>
      <c r="H1232" s="901">
        <f>GLOBAL_DER_FEV_2023!H1232</f>
        <v>24.17</v>
      </c>
      <c r="I1232" s="901">
        <f>GLOBAL_DER_FEV_2023!I1232</f>
        <v>24.17</v>
      </c>
      <c r="J1232" s="902">
        <f>GLOBAL_DER_FEV_2023!J1232</f>
        <v>29.02</v>
      </c>
      <c r="K1232" s="903" t="s">
        <v>1516</v>
      </c>
      <c r="L1232" s="1137"/>
      <c r="M1232" s="1138">
        <f t="shared" si="87"/>
        <v>0</v>
      </c>
      <c r="N1232" s="893">
        <f t="shared" si="91"/>
        <v>0</v>
      </c>
      <c r="O1232" s="905"/>
      <c r="Q1232" s="317" t="str">
        <f t="shared" si="88"/>
        <v/>
      </c>
      <c r="R1232" s="317" t="str">
        <f t="shared" si="89"/>
        <v/>
      </c>
      <c r="S1232" s="317" t="str">
        <f t="shared" si="90"/>
        <v/>
      </c>
      <c r="T1232" s="317" t="str">
        <f>GLOBAL_DER_FEV_2023!S1232</f>
        <v/>
      </c>
      <c r="W1232" s="582">
        <v>0</v>
      </c>
      <c r="X1232" s="580"/>
      <c r="Y1232" s="583">
        <f>IF(GLOBAL_DER_FEV_2023!W1232=0,0,IF(GLOBAL_DER_FEV_2023!W1232&gt;0,"c","b"))</f>
        <v>0</v>
      </c>
    </row>
    <row r="1233" spans="1:25" ht="23.25" hidden="1" thickBot="1" x14ac:dyDescent="0.25">
      <c r="A1233" s="317">
        <v>91944</v>
      </c>
      <c r="B1233" s="895">
        <v>91944</v>
      </c>
      <c r="C1233" s="896" t="s">
        <v>596</v>
      </c>
      <c r="D1233" s="906" t="s">
        <v>1163</v>
      </c>
      <c r="E1233" s="907">
        <f>GLOBAL_DER_FEV_2023!E1233</f>
        <v>0</v>
      </c>
      <c r="F1233" s="908">
        <f>GLOBAL_DER_FEV_2023!F1233</f>
        <v>0</v>
      </c>
      <c r="G1233" s="912">
        <f>GLOBAL_DER_FEV_2023!G1233</f>
        <v>0</v>
      </c>
      <c r="H1233" s="901">
        <f>GLOBAL_DER_FEV_2023!H1233</f>
        <v>17.149999999999999</v>
      </c>
      <c r="I1233" s="901">
        <f>GLOBAL_DER_FEV_2023!I1233</f>
        <v>17.149999999999999</v>
      </c>
      <c r="J1233" s="902">
        <f>GLOBAL_DER_FEV_2023!J1233</f>
        <v>20.59</v>
      </c>
      <c r="K1233" s="903" t="s">
        <v>1516</v>
      </c>
      <c r="L1233" s="1137"/>
      <c r="M1233" s="1138">
        <f t="shared" si="87"/>
        <v>0</v>
      </c>
      <c r="N1233" s="893">
        <f t="shared" si="91"/>
        <v>0</v>
      </c>
      <c r="O1233" s="905"/>
      <c r="Q1233" s="317" t="str">
        <f t="shared" si="88"/>
        <v/>
      </c>
      <c r="R1233" s="317" t="str">
        <f t="shared" si="89"/>
        <v/>
      </c>
      <c r="S1233" s="317" t="str">
        <f t="shared" si="90"/>
        <v/>
      </c>
      <c r="T1233" s="317" t="str">
        <f>GLOBAL_DER_FEV_2023!S1233</f>
        <v/>
      </c>
      <c r="W1233" s="582">
        <v>0</v>
      </c>
      <c r="X1233" s="580"/>
      <c r="Y1233" s="583">
        <f>IF(GLOBAL_DER_FEV_2023!W1233=0,0,IF(GLOBAL_DER_FEV_2023!W1233&gt;0,"c","b"))</f>
        <v>0</v>
      </c>
    </row>
    <row r="1234" spans="1:25" ht="23.25" hidden="1" thickBot="1" x14ac:dyDescent="0.25">
      <c r="A1234" s="317">
        <v>92865</v>
      </c>
      <c r="B1234" s="895">
        <v>92865</v>
      </c>
      <c r="C1234" s="896" t="s">
        <v>596</v>
      </c>
      <c r="D1234" s="906" t="s">
        <v>1164</v>
      </c>
      <c r="E1234" s="907">
        <f>GLOBAL_DER_FEV_2023!E1234</f>
        <v>0</v>
      </c>
      <c r="F1234" s="908">
        <f>GLOBAL_DER_FEV_2023!F1234</f>
        <v>0</v>
      </c>
      <c r="G1234" s="912">
        <f>GLOBAL_DER_FEV_2023!G1234</f>
        <v>0</v>
      </c>
      <c r="H1234" s="901">
        <f>GLOBAL_DER_FEV_2023!H1234</f>
        <v>13.15</v>
      </c>
      <c r="I1234" s="901">
        <f>GLOBAL_DER_FEV_2023!I1234</f>
        <v>13.15</v>
      </c>
      <c r="J1234" s="902">
        <f>GLOBAL_DER_FEV_2023!J1234</f>
        <v>15.79</v>
      </c>
      <c r="K1234" s="903" t="s">
        <v>1516</v>
      </c>
      <c r="L1234" s="1137"/>
      <c r="M1234" s="1138">
        <f t="shared" ref="M1234:M1297" si="92">IF(L1234=0,0,ROUND(J1234,2))</f>
        <v>0</v>
      </c>
      <c r="N1234" s="893">
        <f t="shared" si="91"/>
        <v>0</v>
      </c>
      <c r="O1234" s="905"/>
      <c r="Q1234" s="317" t="str">
        <f t="shared" si="88"/>
        <v/>
      </c>
      <c r="R1234" s="317" t="str">
        <f t="shared" si="89"/>
        <v/>
      </c>
      <c r="S1234" s="317" t="str">
        <f t="shared" si="90"/>
        <v/>
      </c>
      <c r="T1234" s="317" t="str">
        <f>GLOBAL_DER_FEV_2023!S1234</f>
        <v/>
      </c>
      <c r="W1234" s="582">
        <v>0</v>
      </c>
      <c r="X1234" s="580"/>
      <c r="Y1234" s="583">
        <f>IF(GLOBAL_DER_FEV_2023!W1234=0,0,IF(GLOBAL_DER_FEV_2023!W1234&gt;0,"c","b"))</f>
        <v>0</v>
      </c>
    </row>
    <row r="1235" spans="1:25" ht="23.25" hidden="1" thickBot="1" x14ac:dyDescent="0.25">
      <c r="A1235" s="317">
        <v>92866</v>
      </c>
      <c r="B1235" s="895">
        <v>92866</v>
      </c>
      <c r="C1235" s="896" t="s">
        <v>596</v>
      </c>
      <c r="D1235" s="906" t="s">
        <v>1165</v>
      </c>
      <c r="E1235" s="907">
        <f>GLOBAL_DER_FEV_2023!E1235</f>
        <v>0</v>
      </c>
      <c r="F1235" s="908">
        <f>GLOBAL_DER_FEV_2023!F1235</f>
        <v>0</v>
      </c>
      <c r="G1235" s="912">
        <f>GLOBAL_DER_FEV_2023!G1235</f>
        <v>0</v>
      </c>
      <c r="H1235" s="901">
        <f>GLOBAL_DER_FEV_2023!H1235</f>
        <v>10.67</v>
      </c>
      <c r="I1235" s="901">
        <f>GLOBAL_DER_FEV_2023!I1235</f>
        <v>10.67</v>
      </c>
      <c r="J1235" s="902">
        <f>GLOBAL_DER_FEV_2023!J1235</f>
        <v>12.81</v>
      </c>
      <c r="K1235" s="903" t="s">
        <v>1516</v>
      </c>
      <c r="L1235" s="1137"/>
      <c r="M1235" s="1138">
        <f t="shared" si="92"/>
        <v>0</v>
      </c>
      <c r="N1235" s="893">
        <f t="shared" si="91"/>
        <v>0</v>
      </c>
      <c r="O1235" s="905"/>
      <c r="Q1235" s="317" t="str">
        <f t="shared" si="88"/>
        <v/>
      </c>
      <c r="R1235" s="317" t="str">
        <f t="shared" si="89"/>
        <v/>
      </c>
      <c r="S1235" s="317" t="str">
        <f t="shared" si="90"/>
        <v/>
      </c>
      <c r="T1235" s="317" t="str">
        <f>GLOBAL_DER_FEV_2023!S1235</f>
        <v/>
      </c>
      <c r="W1235" s="582">
        <v>0</v>
      </c>
      <c r="X1235" s="580"/>
      <c r="Y1235" s="583">
        <f>IF(GLOBAL_DER_FEV_2023!W1235=0,0,IF(GLOBAL_DER_FEV_2023!W1235&gt;0,"c","b"))</f>
        <v>0</v>
      </c>
    </row>
    <row r="1236" spans="1:25" ht="23.25" hidden="1" thickBot="1" x14ac:dyDescent="0.25">
      <c r="A1236" s="317">
        <v>92867</v>
      </c>
      <c r="B1236" s="895">
        <v>92867</v>
      </c>
      <c r="C1236" s="896" t="s">
        <v>596</v>
      </c>
      <c r="D1236" s="906" t="s">
        <v>1166</v>
      </c>
      <c r="E1236" s="907">
        <f>GLOBAL_DER_FEV_2023!E1236</f>
        <v>0</v>
      </c>
      <c r="F1236" s="908">
        <f>GLOBAL_DER_FEV_2023!F1236</f>
        <v>0</v>
      </c>
      <c r="G1236" s="912">
        <f>GLOBAL_DER_FEV_2023!G1236</f>
        <v>0</v>
      </c>
      <c r="H1236" s="901">
        <f>GLOBAL_DER_FEV_2023!H1236</f>
        <v>33.869999999999997</v>
      </c>
      <c r="I1236" s="901">
        <f>GLOBAL_DER_FEV_2023!I1236</f>
        <v>33.869999999999997</v>
      </c>
      <c r="J1236" s="902">
        <f>GLOBAL_DER_FEV_2023!J1236</f>
        <v>40.67</v>
      </c>
      <c r="K1236" s="903" t="s">
        <v>1516</v>
      </c>
      <c r="L1236" s="1137"/>
      <c r="M1236" s="1138">
        <f t="shared" si="92"/>
        <v>0</v>
      </c>
      <c r="N1236" s="893">
        <f t="shared" si="91"/>
        <v>0</v>
      </c>
      <c r="O1236" s="905"/>
      <c r="Q1236" s="317" t="str">
        <f t="shared" si="88"/>
        <v/>
      </c>
      <c r="R1236" s="317" t="str">
        <f t="shared" si="89"/>
        <v/>
      </c>
      <c r="S1236" s="317" t="str">
        <f t="shared" si="90"/>
        <v/>
      </c>
      <c r="T1236" s="317" t="str">
        <f>GLOBAL_DER_FEV_2023!S1236</f>
        <v/>
      </c>
      <c r="W1236" s="582">
        <v>0</v>
      </c>
      <c r="X1236" s="580"/>
      <c r="Y1236" s="583">
        <f>IF(GLOBAL_DER_FEV_2023!W1236=0,0,IF(GLOBAL_DER_FEV_2023!W1236&gt;0,"c","b"))</f>
        <v>0</v>
      </c>
    </row>
    <row r="1237" spans="1:25" ht="23.25" hidden="1" thickBot="1" x14ac:dyDescent="0.25">
      <c r="A1237" s="317">
        <v>92868</v>
      </c>
      <c r="B1237" s="895">
        <v>92868</v>
      </c>
      <c r="C1237" s="896" t="s">
        <v>596</v>
      </c>
      <c r="D1237" s="906" t="s">
        <v>1167</v>
      </c>
      <c r="E1237" s="907">
        <f>GLOBAL_DER_FEV_2023!E1237</f>
        <v>0</v>
      </c>
      <c r="F1237" s="908">
        <f>GLOBAL_DER_FEV_2023!F1237</f>
        <v>0</v>
      </c>
      <c r="G1237" s="912">
        <f>GLOBAL_DER_FEV_2023!G1237</f>
        <v>0</v>
      </c>
      <c r="H1237" s="901">
        <f>GLOBAL_DER_FEV_2023!H1237</f>
        <v>17.54</v>
      </c>
      <c r="I1237" s="901">
        <f>GLOBAL_DER_FEV_2023!I1237</f>
        <v>17.54</v>
      </c>
      <c r="J1237" s="902">
        <f>GLOBAL_DER_FEV_2023!J1237</f>
        <v>21.06</v>
      </c>
      <c r="K1237" s="903" t="s">
        <v>1516</v>
      </c>
      <c r="L1237" s="1137"/>
      <c r="M1237" s="1138">
        <f t="shared" si="92"/>
        <v>0</v>
      </c>
      <c r="N1237" s="893">
        <f t="shared" si="91"/>
        <v>0</v>
      </c>
      <c r="O1237" s="905"/>
      <c r="Q1237" s="317" t="str">
        <f t="shared" si="88"/>
        <v/>
      </c>
      <c r="R1237" s="317" t="str">
        <f t="shared" si="89"/>
        <v/>
      </c>
      <c r="S1237" s="317" t="str">
        <f t="shared" si="90"/>
        <v/>
      </c>
      <c r="T1237" s="317" t="str">
        <f>GLOBAL_DER_FEV_2023!S1237</f>
        <v/>
      </c>
      <c r="W1237" s="582">
        <v>0</v>
      </c>
      <c r="X1237" s="580"/>
      <c r="Y1237" s="583">
        <f>IF(GLOBAL_DER_FEV_2023!W1237=0,0,IF(GLOBAL_DER_FEV_2023!W1237&gt;0,"c","b"))</f>
        <v>0</v>
      </c>
    </row>
    <row r="1238" spans="1:25" ht="23.25" hidden="1" thickBot="1" x14ac:dyDescent="0.25">
      <c r="A1238" s="317">
        <v>92869</v>
      </c>
      <c r="B1238" s="895">
        <v>92869</v>
      </c>
      <c r="C1238" s="896" t="s">
        <v>596</v>
      </c>
      <c r="D1238" s="906" t="s">
        <v>1168</v>
      </c>
      <c r="E1238" s="907">
        <f>GLOBAL_DER_FEV_2023!E1238</f>
        <v>0</v>
      </c>
      <c r="F1238" s="908">
        <f>GLOBAL_DER_FEV_2023!F1238</f>
        <v>0</v>
      </c>
      <c r="G1238" s="912">
        <f>GLOBAL_DER_FEV_2023!G1238</f>
        <v>0</v>
      </c>
      <c r="H1238" s="901">
        <f>GLOBAL_DER_FEV_2023!H1238</f>
        <v>11.42</v>
      </c>
      <c r="I1238" s="901">
        <f>GLOBAL_DER_FEV_2023!I1238</f>
        <v>11.42</v>
      </c>
      <c r="J1238" s="902">
        <f>GLOBAL_DER_FEV_2023!J1238</f>
        <v>13.71</v>
      </c>
      <c r="K1238" s="903" t="s">
        <v>1516</v>
      </c>
      <c r="L1238" s="1137"/>
      <c r="M1238" s="1138">
        <f t="shared" si="92"/>
        <v>0</v>
      </c>
      <c r="N1238" s="893">
        <f t="shared" si="91"/>
        <v>0</v>
      </c>
      <c r="O1238" s="905"/>
      <c r="Q1238" s="317" t="str">
        <f t="shared" si="88"/>
        <v/>
      </c>
      <c r="R1238" s="317" t="str">
        <f t="shared" si="89"/>
        <v/>
      </c>
      <c r="S1238" s="317" t="str">
        <f t="shared" si="90"/>
        <v/>
      </c>
      <c r="T1238" s="317" t="str">
        <f>GLOBAL_DER_FEV_2023!S1238</f>
        <v/>
      </c>
      <c r="W1238" s="582">
        <v>0</v>
      </c>
      <c r="X1238" s="580"/>
      <c r="Y1238" s="583">
        <f>IF(GLOBAL_DER_FEV_2023!W1238=0,0,IF(GLOBAL_DER_FEV_2023!W1238&gt;0,"c","b"))</f>
        <v>0</v>
      </c>
    </row>
    <row r="1239" spans="1:25" ht="23.25" hidden="1" thickBot="1" x14ac:dyDescent="0.25">
      <c r="A1239" s="317">
        <v>92870</v>
      </c>
      <c r="B1239" s="895">
        <v>92870</v>
      </c>
      <c r="C1239" s="896" t="s">
        <v>596</v>
      </c>
      <c r="D1239" s="906" t="s">
        <v>1169</v>
      </c>
      <c r="E1239" s="907">
        <f>GLOBAL_DER_FEV_2023!E1239</f>
        <v>0</v>
      </c>
      <c r="F1239" s="908">
        <f>GLOBAL_DER_FEV_2023!F1239</f>
        <v>0</v>
      </c>
      <c r="G1239" s="912">
        <f>GLOBAL_DER_FEV_2023!G1239</f>
        <v>0</v>
      </c>
      <c r="H1239" s="901">
        <f>GLOBAL_DER_FEV_2023!H1239</f>
        <v>41.08</v>
      </c>
      <c r="I1239" s="901">
        <f>GLOBAL_DER_FEV_2023!I1239</f>
        <v>41.08</v>
      </c>
      <c r="J1239" s="902">
        <f>GLOBAL_DER_FEV_2023!J1239</f>
        <v>49.32</v>
      </c>
      <c r="K1239" s="903" t="s">
        <v>1516</v>
      </c>
      <c r="L1239" s="1137"/>
      <c r="M1239" s="1138">
        <f t="shared" si="92"/>
        <v>0</v>
      </c>
      <c r="N1239" s="893">
        <f t="shared" si="91"/>
        <v>0</v>
      </c>
      <c r="O1239" s="905"/>
      <c r="Q1239" s="317" t="str">
        <f t="shared" si="88"/>
        <v/>
      </c>
      <c r="R1239" s="317" t="str">
        <f t="shared" si="89"/>
        <v/>
      </c>
      <c r="S1239" s="317" t="str">
        <f t="shared" si="90"/>
        <v/>
      </c>
      <c r="T1239" s="317" t="str">
        <f>GLOBAL_DER_FEV_2023!S1239</f>
        <v/>
      </c>
      <c r="W1239" s="582">
        <v>0</v>
      </c>
      <c r="X1239" s="580"/>
      <c r="Y1239" s="583">
        <f>IF(GLOBAL_DER_FEV_2023!W1239=0,0,IF(GLOBAL_DER_FEV_2023!W1239&gt;0,"c","b"))</f>
        <v>0</v>
      </c>
    </row>
    <row r="1240" spans="1:25" ht="23.25" hidden="1" thickBot="1" x14ac:dyDescent="0.25">
      <c r="A1240" s="317">
        <v>92871</v>
      </c>
      <c r="B1240" s="895">
        <v>92871</v>
      </c>
      <c r="C1240" s="896" t="s">
        <v>596</v>
      </c>
      <c r="D1240" s="906" t="s">
        <v>1170</v>
      </c>
      <c r="E1240" s="907">
        <f>GLOBAL_DER_FEV_2023!E1240</f>
        <v>0</v>
      </c>
      <c r="F1240" s="908">
        <f>GLOBAL_DER_FEV_2023!F1240</f>
        <v>0</v>
      </c>
      <c r="G1240" s="912">
        <f>GLOBAL_DER_FEV_2023!G1240</f>
        <v>0</v>
      </c>
      <c r="H1240" s="901">
        <f>GLOBAL_DER_FEV_2023!H1240</f>
        <v>22.3</v>
      </c>
      <c r="I1240" s="901">
        <f>GLOBAL_DER_FEV_2023!I1240</f>
        <v>22.3</v>
      </c>
      <c r="J1240" s="902">
        <f>GLOBAL_DER_FEV_2023!J1240</f>
        <v>26.78</v>
      </c>
      <c r="K1240" s="903" t="s">
        <v>1516</v>
      </c>
      <c r="L1240" s="1137"/>
      <c r="M1240" s="1138">
        <f t="shared" si="92"/>
        <v>0</v>
      </c>
      <c r="N1240" s="893">
        <f t="shared" si="91"/>
        <v>0</v>
      </c>
      <c r="O1240" s="905"/>
      <c r="Q1240" s="317" t="str">
        <f t="shared" si="88"/>
        <v/>
      </c>
      <c r="R1240" s="317" t="str">
        <f t="shared" si="89"/>
        <v/>
      </c>
      <c r="S1240" s="317" t="str">
        <f t="shared" si="90"/>
        <v/>
      </c>
      <c r="T1240" s="317" t="str">
        <f>GLOBAL_DER_FEV_2023!S1240</f>
        <v/>
      </c>
      <c r="W1240" s="582">
        <v>0</v>
      </c>
      <c r="X1240" s="580"/>
      <c r="Y1240" s="583">
        <f>IF(GLOBAL_DER_FEV_2023!W1240=0,0,IF(GLOBAL_DER_FEV_2023!W1240&gt;0,"c","b"))</f>
        <v>0</v>
      </c>
    </row>
    <row r="1241" spans="1:25" ht="23.25" hidden="1" thickBot="1" x14ac:dyDescent="0.25">
      <c r="A1241" s="317">
        <v>92872</v>
      </c>
      <c r="B1241" s="895">
        <v>92872</v>
      </c>
      <c r="C1241" s="896" t="s">
        <v>596</v>
      </c>
      <c r="D1241" s="906" t="s">
        <v>1171</v>
      </c>
      <c r="E1241" s="907">
        <f>GLOBAL_DER_FEV_2023!E1241</f>
        <v>0</v>
      </c>
      <c r="F1241" s="908">
        <f>GLOBAL_DER_FEV_2023!F1241</f>
        <v>0</v>
      </c>
      <c r="G1241" s="912">
        <f>GLOBAL_DER_FEV_2023!G1241</f>
        <v>0</v>
      </c>
      <c r="H1241" s="901">
        <f>GLOBAL_DER_FEV_2023!H1241</f>
        <v>15.28</v>
      </c>
      <c r="I1241" s="901">
        <f>GLOBAL_DER_FEV_2023!I1241</f>
        <v>15.28</v>
      </c>
      <c r="J1241" s="902">
        <f>GLOBAL_DER_FEV_2023!J1241</f>
        <v>18.350000000000001</v>
      </c>
      <c r="K1241" s="903" t="s">
        <v>1516</v>
      </c>
      <c r="L1241" s="1137"/>
      <c r="M1241" s="1138">
        <f t="shared" si="92"/>
        <v>0</v>
      </c>
      <c r="N1241" s="893">
        <f t="shared" si="91"/>
        <v>0</v>
      </c>
      <c r="O1241" s="905"/>
      <c r="Q1241" s="317" t="str">
        <f t="shared" si="88"/>
        <v/>
      </c>
      <c r="R1241" s="317" t="str">
        <f t="shared" si="89"/>
        <v/>
      </c>
      <c r="S1241" s="317" t="str">
        <f t="shared" si="90"/>
        <v/>
      </c>
      <c r="T1241" s="317" t="str">
        <f>GLOBAL_DER_FEV_2023!S1241</f>
        <v/>
      </c>
      <c r="W1241" s="582">
        <v>0</v>
      </c>
      <c r="X1241" s="580"/>
      <c r="Y1241" s="583">
        <f>IF(GLOBAL_DER_FEV_2023!W1241=0,0,IF(GLOBAL_DER_FEV_2023!W1241&gt;0,"c","b"))</f>
        <v>0</v>
      </c>
    </row>
    <row r="1242" spans="1:25" ht="23.25" hidden="1" thickBot="1" x14ac:dyDescent="0.25">
      <c r="A1242" s="317">
        <v>97886</v>
      </c>
      <c r="B1242" s="895">
        <v>97886</v>
      </c>
      <c r="C1242" s="896" t="s">
        <v>596</v>
      </c>
      <c r="D1242" s="906" t="s">
        <v>1172</v>
      </c>
      <c r="E1242" s="907">
        <f>GLOBAL_DER_FEV_2023!E1242</f>
        <v>0</v>
      </c>
      <c r="F1242" s="908">
        <f>GLOBAL_DER_FEV_2023!F1242</f>
        <v>0</v>
      </c>
      <c r="G1242" s="912">
        <f>GLOBAL_DER_FEV_2023!G1242</f>
        <v>0</v>
      </c>
      <c r="H1242" s="901">
        <f>GLOBAL_DER_FEV_2023!H1242</f>
        <v>177.3</v>
      </c>
      <c r="I1242" s="901">
        <f>GLOBAL_DER_FEV_2023!I1242</f>
        <v>177.3</v>
      </c>
      <c r="J1242" s="902">
        <f>GLOBAL_DER_FEV_2023!J1242</f>
        <v>212.88</v>
      </c>
      <c r="K1242" s="903" t="s">
        <v>1516</v>
      </c>
      <c r="L1242" s="1137"/>
      <c r="M1242" s="1138">
        <f t="shared" si="92"/>
        <v>0</v>
      </c>
      <c r="N1242" s="893">
        <f t="shared" si="91"/>
        <v>0</v>
      </c>
      <c r="O1242" s="905"/>
      <c r="Q1242" s="317" t="str">
        <f t="shared" si="88"/>
        <v/>
      </c>
      <c r="R1242" s="317" t="str">
        <f t="shared" si="89"/>
        <v/>
      </c>
      <c r="S1242" s="317" t="str">
        <f t="shared" si="90"/>
        <v/>
      </c>
      <c r="T1242" s="317" t="str">
        <f>GLOBAL_DER_FEV_2023!S1242</f>
        <v/>
      </c>
      <c r="W1242" s="582">
        <v>0</v>
      </c>
      <c r="X1242" s="580"/>
      <c r="Y1242" s="583">
        <f>IF(GLOBAL_DER_FEV_2023!W1242=0,0,IF(GLOBAL_DER_FEV_2023!W1242&gt;0,"c","b"))</f>
        <v>0</v>
      </c>
    </row>
    <row r="1243" spans="1:25" ht="23.25" hidden="1" thickBot="1" x14ac:dyDescent="0.25">
      <c r="A1243" s="317">
        <v>97887</v>
      </c>
      <c r="B1243" s="895">
        <v>97887</v>
      </c>
      <c r="C1243" s="896" t="s">
        <v>596</v>
      </c>
      <c r="D1243" s="906" t="s">
        <v>1173</v>
      </c>
      <c r="E1243" s="907">
        <f>GLOBAL_DER_FEV_2023!E1243</f>
        <v>0</v>
      </c>
      <c r="F1243" s="908">
        <f>GLOBAL_DER_FEV_2023!F1243</f>
        <v>0</v>
      </c>
      <c r="G1243" s="912">
        <f>GLOBAL_DER_FEV_2023!G1243</f>
        <v>0</v>
      </c>
      <c r="H1243" s="901">
        <f>GLOBAL_DER_FEV_2023!H1243</f>
        <v>279.77999999999997</v>
      </c>
      <c r="I1243" s="901">
        <f>GLOBAL_DER_FEV_2023!I1243</f>
        <v>279.77999999999997</v>
      </c>
      <c r="J1243" s="902">
        <f>GLOBAL_DER_FEV_2023!J1243</f>
        <v>335.93</v>
      </c>
      <c r="K1243" s="903" t="s">
        <v>1516</v>
      </c>
      <c r="L1243" s="1137"/>
      <c r="M1243" s="1138">
        <f t="shared" si="92"/>
        <v>0</v>
      </c>
      <c r="N1243" s="893">
        <f t="shared" si="91"/>
        <v>0</v>
      </c>
      <c r="O1243" s="905"/>
      <c r="Q1243" s="317" t="str">
        <f t="shared" ref="Q1243:Q1306" si="93">IF(P1243="X","x",IF(P1243="xx","x",IF(P1243="xy","x",IF(P1243="y","x",IF(OR(N1243&gt;0,N1243&gt;0),"x","")))))</f>
        <v/>
      </c>
      <c r="R1243" s="317" t="str">
        <f t="shared" si="89"/>
        <v/>
      </c>
      <c r="S1243" s="317" t="str">
        <f t="shared" si="90"/>
        <v/>
      </c>
      <c r="T1243" s="317" t="str">
        <f>GLOBAL_DER_FEV_2023!S1243</f>
        <v/>
      </c>
      <c r="W1243" s="582">
        <v>0</v>
      </c>
      <c r="X1243" s="580"/>
      <c r="Y1243" s="583">
        <f>IF(GLOBAL_DER_FEV_2023!W1243=0,0,IF(GLOBAL_DER_FEV_2023!W1243&gt;0,"c","b"))</f>
        <v>0</v>
      </c>
    </row>
    <row r="1244" spans="1:25" ht="23.25" hidden="1" thickBot="1" x14ac:dyDescent="0.25">
      <c r="A1244" s="317">
        <v>97888</v>
      </c>
      <c r="B1244" s="895">
        <v>97888</v>
      </c>
      <c r="C1244" s="896" t="s">
        <v>596</v>
      </c>
      <c r="D1244" s="906" t="s">
        <v>1174</v>
      </c>
      <c r="E1244" s="907">
        <f>GLOBAL_DER_FEV_2023!E1244</f>
        <v>0</v>
      </c>
      <c r="F1244" s="908">
        <f>GLOBAL_DER_FEV_2023!F1244</f>
        <v>0</v>
      </c>
      <c r="G1244" s="912">
        <f>GLOBAL_DER_FEV_2023!G1244</f>
        <v>0</v>
      </c>
      <c r="H1244" s="901">
        <f>GLOBAL_DER_FEV_2023!H1244</f>
        <v>539.29</v>
      </c>
      <c r="I1244" s="901">
        <f>GLOBAL_DER_FEV_2023!I1244</f>
        <v>539.29</v>
      </c>
      <c r="J1244" s="902">
        <f>GLOBAL_DER_FEV_2023!J1244</f>
        <v>647.53</v>
      </c>
      <c r="K1244" s="903" t="s">
        <v>1516</v>
      </c>
      <c r="L1244" s="1137"/>
      <c r="M1244" s="1138">
        <f t="shared" si="92"/>
        <v>0</v>
      </c>
      <c r="N1244" s="893">
        <f t="shared" si="91"/>
        <v>0</v>
      </c>
      <c r="O1244" s="905"/>
      <c r="Q1244" s="317" t="str">
        <f t="shared" si="93"/>
        <v/>
      </c>
      <c r="R1244" s="317" t="str">
        <f t="shared" si="89"/>
        <v/>
      </c>
      <c r="S1244" s="317" t="str">
        <f t="shared" si="90"/>
        <v/>
      </c>
      <c r="T1244" s="317" t="str">
        <f>GLOBAL_DER_FEV_2023!S1244</f>
        <v/>
      </c>
      <c r="W1244" s="582">
        <v>0</v>
      </c>
      <c r="X1244" s="580"/>
      <c r="Y1244" s="583">
        <f>IF(GLOBAL_DER_FEV_2023!W1244=0,0,IF(GLOBAL_DER_FEV_2023!W1244&gt;0,"c","b"))</f>
        <v>0</v>
      </c>
    </row>
    <row r="1245" spans="1:25" ht="23.25" hidden="1" thickBot="1" x14ac:dyDescent="0.25">
      <c r="A1245" s="317">
        <v>97889</v>
      </c>
      <c r="B1245" s="895">
        <v>97889</v>
      </c>
      <c r="C1245" s="896" t="s">
        <v>596</v>
      </c>
      <c r="D1245" s="906" t="s">
        <v>1175</v>
      </c>
      <c r="E1245" s="907">
        <f>GLOBAL_DER_FEV_2023!E1245</f>
        <v>0</v>
      </c>
      <c r="F1245" s="908">
        <f>GLOBAL_DER_FEV_2023!F1245</f>
        <v>0</v>
      </c>
      <c r="G1245" s="912">
        <f>GLOBAL_DER_FEV_2023!G1245</f>
        <v>0</v>
      </c>
      <c r="H1245" s="901">
        <f>GLOBAL_DER_FEV_2023!H1245</f>
        <v>730.16</v>
      </c>
      <c r="I1245" s="901">
        <f>GLOBAL_DER_FEV_2023!I1245</f>
        <v>730.16</v>
      </c>
      <c r="J1245" s="902">
        <f>GLOBAL_DER_FEV_2023!J1245</f>
        <v>876.7</v>
      </c>
      <c r="K1245" s="903" t="s">
        <v>1516</v>
      </c>
      <c r="L1245" s="1137"/>
      <c r="M1245" s="1138">
        <f t="shared" si="92"/>
        <v>0</v>
      </c>
      <c r="N1245" s="893">
        <f t="shared" si="91"/>
        <v>0</v>
      </c>
      <c r="O1245" s="905"/>
      <c r="Q1245" s="317" t="str">
        <f t="shared" si="93"/>
        <v/>
      </c>
      <c r="R1245" s="317" t="str">
        <f t="shared" ref="R1245:R1308" si="94">IF(P1245="X","x",IF(P1245="y","x",IF(P1245="xx","x",IF(N1245&gt;0,"x",""))))</f>
        <v/>
      </c>
      <c r="S1245" s="317" t="str">
        <f t="shared" ref="S1245:S1308" si="95">IF(P1245="X","x",IF(N1245&gt;0,"x",""))</f>
        <v/>
      </c>
      <c r="T1245" s="317" t="str">
        <f>GLOBAL_DER_FEV_2023!S1245</f>
        <v/>
      </c>
      <c r="W1245" s="582">
        <v>0</v>
      </c>
      <c r="X1245" s="580"/>
      <c r="Y1245" s="583">
        <f>IF(GLOBAL_DER_FEV_2023!W1245=0,0,IF(GLOBAL_DER_FEV_2023!W1245&gt;0,"c","b"))</f>
        <v>0</v>
      </c>
    </row>
    <row r="1246" spans="1:25" ht="23.25" hidden="1" thickBot="1" x14ac:dyDescent="0.25">
      <c r="A1246" s="317">
        <v>97890</v>
      </c>
      <c r="B1246" s="895">
        <v>97890</v>
      </c>
      <c r="C1246" s="896" t="s">
        <v>596</v>
      </c>
      <c r="D1246" s="906" t="s">
        <v>1176</v>
      </c>
      <c r="E1246" s="907">
        <f>GLOBAL_DER_FEV_2023!E1246</f>
        <v>0</v>
      </c>
      <c r="F1246" s="908">
        <f>GLOBAL_DER_FEV_2023!F1246</f>
        <v>0</v>
      </c>
      <c r="G1246" s="912">
        <f>GLOBAL_DER_FEV_2023!G1246</f>
        <v>0</v>
      </c>
      <c r="H1246" s="901">
        <f>GLOBAL_DER_FEV_2023!H1246</f>
        <v>822.62</v>
      </c>
      <c r="I1246" s="901">
        <f>GLOBAL_DER_FEV_2023!I1246</f>
        <v>822.62</v>
      </c>
      <c r="J1246" s="902">
        <f>GLOBAL_DER_FEV_2023!J1246</f>
        <v>987.72</v>
      </c>
      <c r="K1246" s="903" t="s">
        <v>1516</v>
      </c>
      <c r="L1246" s="1137"/>
      <c r="M1246" s="1138">
        <f t="shared" si="92"/>
        <v>0</v>
      </c>
      <c r="N1246" s="893">
        <f t="shared" si="91"/>
        <v>0</v>
      </c>
      <c r="O1246" s="905"/>
      <c r="Q1246" s="317" t="str">
        <f t="shared" si="93"/>
        <v/>
      </c>
      <c r="R1246" s="317" t="str">
        <f t="shared" si="94"/>
        <v/>
      </c>
      <c r="S1246" s="317" t="str">
        <f t="shared" si="95"/>
        <v/>
      </c>
      <c r="T1246" s="317" t="str">
        <f>GLOBAL_DER_FEV_2023!S1246</f>
        <v/>
      </c>
      <c r="W1246" s="582">
        <v>0</v>
      </c>
      <c r="X1246" s="580"/>
      <c r="Y1246" s="583">
        <f>IF(GLOBAL_DER_FEV_2023!W1246=0,0,IF(GLOBAL_DER_FEV_2023!W1246&gt;0,"c","b"))</f>
        <v>0</v>
      </c>
    </row>
    <row r="1247" spans="1:25" ht="23.25" hidden="1" thickBot="1" x14ac:dyDescent="0.25">
      <c r="A1247" s="317">
        <v>97933</v>
      </c>
      <c r="B1247" s="895">
        <v>97933</v>
      </c>
      <c r="C1247" s="896" t="s">
        <v>596</v>
      </c>
      <c r="D1247" s="906" t="s">
        <v>1177</v>
      </c>
      <c r="E1247" s="907">
        <f>GLOBAL_DER_FEV_2023!E1247</f>
        <v>0</v>
      </c>
      <c r="F1247" s="908">
        <f>GLOBAL_DER_FEV_2023!F1247</f>
        <v>0</v>
      </c>
      <c r="G1247" s="912">
        <f>GLOBAL_DER_FEV_2023!G1247</f>
        <v>0</v>
      </c>
      <c r="H1247" s="901">
        <f>GLOBAL_DER_FEV_2023!H1247</f>
        <v>779.23</v>
      </c>
      <c r="I1247" s="901">
        <f>GLOBAL_DER_FEV_2023!I1247</f>
        <v>779.23</v>
      </c>
      <c r="J1247" s="902">
        <f>GLOBAL_DER_FEV_2023!J1247</f>
        <v>935.62</v>
      </c>
      <c r="K1247" s="903" t="s">
        <v>1516</v>
      </c>
      <c r="L1247" s="1137"/>
      <c r="M1247" s="1138">
        <f t="shared" si="92"/>
        <v>0</v>
      </c>
      <c r="N1247" s="893">
        <f t="shared" si="91"/>
        <v>0</v>
      </c>
      <c r="O1247" s="905"/>
      <c r="Q1247" s="317" t="str">
        <f t="shared" si="93"/>
        <v/>
      </c>
      <c r="R1247" s="317" t="str">
        <f t="shared" si="94"/>
        <v/>
      </c>
      <c r="S1247" s="317" t="str">
        <f t="shared" si="95"/>
        <v/>
      </c>
      <c r="T1247" s="317" t="str">
        <f>GLOBAL_DER_FEV_2023!S1247</f>
        <v/>
      </c>
      <c r="W1247" s="582">
        <v>0</v>
      </c>
      <c r="X1247" s="580"/>
      <c r="Y1247" s="583">
        <f>IF(GLOBAL_DER_FEV_2023!W1247=0,0,IF(GLOBAL_DER_FEV_2023!W1247&gt;0,"c","b"))</f>
        <v>0</v>
      </c>
    </row>
    <row r="1248" spans="1:25" ht="23.25" hidden="1" thickBot="1" x14ac:dyDescent="0.25">
      <c r="A1248" s="317">
        <v>97947</v>
      </c>
      <c r="B1248" s="895">
        <v>97947</v>
      </c>
      <c r="C1248" s="896" t="s">
        <v>596</v>
      </c>
      <c r="D1248" s="906" t="s">
        <v>1178</v>
      </c>
      <c r="E1248" s="907">
        <f>GLOBAL_DER_FEV_2023!E1248</f>
        <v>0</v>
      </c>
      <c r="F1248" s="908">
        <f>GLOBAL_DER_FEV_2023!F1248</f>
        <v>0</v>
      </c>
      <c r="G1248" s="912">
        <f>GLOBAL_DER_FEV_2023!G1248</f>
        <v>0</v>
      </c>
      <c r="H1248" s="901">
        <f>GLOBAL_DER_FEV_2023!H1248</f>
        <v>1737.19</v>
      </c>
      <c r="I1248" s="901">
        <f>GLOBAL_DER_FEV_2023!I1248</f>
        <v>1737.19</v>
      </c>
      <c r="J1248" s="902">
        <f>GLOBAL_DER_FEV_2023!J1248</f>
        <v>2085.84</v>
      </c>
      <c r="K1248" s="903" t="s">
        <v>1516</v>
      </c>
      <c r="L1248" s="1137"/>
      <c r="M1248" s="1138">
        <f t="shared" si="92"/>
        <v>0</v>
      </c>
      <c r="N1248" s="893">
        <f t="shared" si="91"/>
        <v>0</v>
      </c>
      <c r="O1248" s="905"/>
      <c r="Q1248" s="317" t="str">
        <f t="shared" si="93"/>
        <v/>
      </c>
      <c r="R1248" s="317" t="str">
        <f t="shared" si="94"/>
        <v/>
      </c>
      <c r="S1248" s="317" t="str">
        <f t="shared" si="95"/>
        <v/>
      </c>
      <c r="T1248" s="317" t="str">
        <f>GLOBAL_DER_FEV_2023!S1248</f>
        <v/>
      </c>
      <c r="W1248" s="582">
        <v>0</v>
      </c>
      <c r="X1248" s="580"/>
      <c r="Y1248" s="583">
        <f>IF(GLOBAL_DER_FEV_2023!W1248=0,0,IF(GLOBAL_DER_FEV_2023!W1248&gt;0,"c","b"))</f>
        <v>0</v>
      </c>
    </row>
    <row r="1249" spans="1:25" ht="23.25" hidden="1" thickBot="1" x14ac:dyDescent="0.25">
      <c r="A1249" s="317">
        <v>97948</v>
      </c>
      <c r="B1249" s="895">
        <v>97948</v>
      </c>
      <c r="C1249" s="896" t="s">
        <v>596</v>
      </c>
      <c r="D1249" s="906" t="s">
        <v>1179</v>
      </c>
      <c r="E1249" s="907">
        <f>GLOBAL_DER_FEV_2023!E1249</f>
        <v>0</v>
      </c>
      <c r="F1249" s="908">
        <f>GLOBAL_DER_FEV_2023!F1249</f>
        <v>0</v>
      </c>
      <c r="G1249" s="912">
        <f>GLOBAL_DER_FEV_2023!G1249</f>
        <v>0</v>
      </c>
      <c r="H1249" s="901">
        <f>GLOBAL_DER_FEV_2023!H1249</f>
        <v>3167.41</v>
      </c>
      <c r="I1249" s="901">
        <f>GLOBAL_DER_FEV_2023!I1249</f>
        <v>3167.41</v>
      </c>
      <c r="J1249" s="902">
        <f>GLOBAL_DER_FEV_2023!J1249</f>
        <v>3803.11</v>
      </c>
      <c r="K1249" s="903" t="s">
        <v>1516</v>
      </c>
      <c r="L1249" s="1137"/>
      <c r="M1249" s="1138">
        <f t="shared" si="92"/>
        <v>0</v>
      </c>
      <c r="N1249" s="893">
        <f t="shared" ref="N1249:N1312" si="96">IF(ISBLANK(L1249),0,IF(W1249=0,ROUND(L1249*M1249,2),IF(W1249="b",ROUNDDOWN(L1249*M1249,2),ROUNDUP(L1249*M1249,2))))</f>
        <v>0</v>
      </c>
      <c r="O1249" s="905"/>
      <c r="Q1249" s="317" t="str">
        <f t="shared" si="93"/>
        <v/>
      </c>
      <c r="R1249" s="317" t="str">
        <f t="shared" si="94"/>
        <v/>
      </c>
      <c r="S1249" s="317" t="str">
        <f t="shared" si="95"/>
        <v/>
      </c>
      <c r="T1249" s="317" t="str">
        <f>GLOBAL_DER_FEV_2023!S1249</f>
        <v/>
      </c>
      <c r="W1249" s="582">
        <v>0</v>
      </c>
      <c r="X1249" s="580"/>
      <c r="Y1249" s="583">
        <f>IF(GLOBAL_DER_FEV_2023!W1249=0,0,IF(GLOBAL_DER_FEV_2023!W1249&gt;0,"c","b"))</f>
        <v>0</v>
      </c>
    </row>
    <row r="1250" spans="1:25" ht="23.25" hidden="1" thickBot="1" x14ac:dyDescent="0.25">
      <c r="A1250" s="317">
        <v>97953</v>
      </c>
      <c r="B1250" s="895">
        <v>97953</v>
      </c>
      <c r="C1250" s="896" t="s">
        <v>596</v>
      </c>
      <c r="D1250" s="906" t="s">
        <v>1180</v>
      </c>
      <c r="E1250" s="907">
        <f>GLOBAL_DER_FEV_2023!E1250</f>
        <v>0</v>
      </c>
      <c r="F1250" s="908">
        <f>GLOBAL_DER_FEV_2023!F1250</f>
        <v>0</v>
      </c>
      <c r="G1250" s="912">
        <f>GLOBAL_DER_FEV_2023!G1250</f>
        <v>0</v>
      </c>
      <c r="H1250" s="901">
        <f>GLOBAL_DER_FEV_2023!H1250</f>
        <v>1225.21</v>
      </c>
      <c r="I1250" s="901">
        <f>GLOBAL_DER_FEV_2023!I1250</f>
        <v>1225.21</v>
      </c>
      <c r="J1250" s="902">
        <f>GLOBAL_DER_FEV_2023!J1250</f>
        <v>1471.11</v>
      </c>
      <c r="K1250" s="903" t="s">
        <v>1516</v>
      </c>
      <c r="L1250" s="1137"/>
      <c r="M1250" s="1138">
        <f t="shared" si="92"/>
        <v>0</v>
      </c>
      <c r="N1250" s="893">
        <f t="shared" si="96"/>
        <v>0</v>
      </c>
      <c r="O1250" s="905"/>
      <c r="Q1250" s="317" t="str">
        <f t="shared" si="93"/>
        <v/>
      </c>
      <c r="R1250" s="317" t="str">
        <f t="shared" si="94"/>
        <v/>
      </c>
      <c r="S1250" s="317" t="str">
        <f t="shared" si="95"/>
        <v/>
      </c>
      <c r="T1250" s="317" t="str">
        <f>GLOBAL_DER_FEV_2023!S1250</f>
        <v/>
      </c>
      <c r="W1250" s="582">
        <v>0</v>
      </c>
      <c r="X1250" s="580"/>
      <c r="Y1250" s="583">
        <f>IF(GLOBAL_DER_FEV_2023!W1250=0,0,IF(GLOBAL_DER_FEV_2023!W1250&gt;0,"c","b"))</f>
        <v>0</v>
      </c>
    </row>
    <row r="1251" spans="1:25" ht="23.25" hidden="1" thickBot="1" x14ac:dyDescent="0.25">
      <c r="A1251" s="317">
        <v>97955</v>
      </c>
      <c r="B1251" s="895">
        <v>97955</v>
      </c>
      <c r="C1251" s="896" t="s">
        <v>596</v>
      </c>
      <c r="D1251" s="906" t="s">
        <v>1181</v>
      </c>
      <c r="E1251" s="907">
        <f>GLOBAL_DER_FEV_2023!E1251</f>
        <v>0</v>
      </c>
      <c r="F1251" s="908">
        <f>GLOBAL_DER_FEV_2023!F1251</f>
        <v>0</v>
      </c>
      <c r="G1251" s="912">
        <f>GLOBAL_DER_FEV_2023!G1251</f>
        <v>0</v>
      </c>
      <c r="H1251" s="901">
        <f>GLOBAL_DER_FEV_2023!H1251</f>
        <v>2655.52</v>
      </c>
      <c r="I1251" s="901">
        <f>GLOBAL_DER_FEV_2023!I1251</f>
        <v>2655.52</v>
      </c>
      <c r="J1251" s="902">
        <f>GLOBAL_DER_FEV_2023!J1251</f>
        <v>3188.48</v>
      </c>
      <c r="K1251" s="903" t="s">
        <v>1516</v>
      </c>
      <c r="L1251" s="1137"/>
      <c r="M1251" s="1138">
        <f t="shared" si="92"/>
        <v>0</v>
      </c>
      <c r="N1251" s="893">
        <f t="shared" si="96"/>
        <v>0</v>
      </c>
      <c r="O1251" s="905"/>
      <c r="Q1251" s="317" t="str">
        <f t="shared" si="93"/>
        <v/>
      </c>
      <c r="R1251" s="317" t="str">
        <f t="shared" si="94"/>
        <v/>
      </c>
      <c r="S1251" s="317" t="str">
        <f t="shared" si="95"/>
        <v/>
      </c>
      <c r="T1251" s="317" t="str">
        <f>GLOBAL_DER_FEV_2023!S1251</f>
        <v/>
      </c>
      <c r="W1251" s="582">
        <v>0</v>
      </c>
      <c r="X1251" s="580"/>
      <c r="Y1251" s="583">
        <f>IF(GLOBAL_DER_FEV_2023!W1251=0,0,IF(GLOBAL_DER_FEV_2023!W1251&gt;0,"c","b"))</f>
        <v>0</v>
      </c>
    </row>
    <row r="1252" spans="1:25" ht="23.25" hidden="1" thickBot="1" x14ac:dyDescent="0.25">
      <c r="A1252" s="317">
        <v>97891</v>
      </c>
      <c r="B1252" s="895">
        <v>97891</v>
      </c>
      <c r="C1252" s="896" t="s">
        <v>596</v>
      </c>
      <c r="D1252" s="906" t="s">
        <v>1182</v>
      </c>
      <c r="E1252" s="907">
        <f>GLOBAL_DER_FEV_2023!E1252</f>
        <v>0</v>
      </c>
      <c r="F1252" s="908">
        <f>GLOBAL_DER_FEV_2023!F1252</f>
        <v>0</v>
      </c>
      <c r="G1252" s="912">
        <f>GLOBAL_DER_FEV_2023!G1252</f>
        <v>0</v>
      </c>
      <c r="H1252" s="901">
        <f>GLOBAL_DER_FEV_2023!H1252</f>
        <v>208.61</v>
      </c>
      <c r="I1252" s="901">
        <f>GLOBAL_DER_FEV_2023!I1252</f>
        <v>208.61</v>
      </c>
      <c r="J1252" s="902">
        <f>GLOBAL_DER_FEV_2023!J1252</f>
        <v>250.48</v>
      </c>
      <c r="K1252" s="903" t="s">
        <v>1516</v>
      </c>
      <c r="L1252" s="1137"/>
      <c r="M1252" s="1138">
        <f t="shared" si="92"/>
        <v>0</v>
      </c>
      <c r="N1252" s="893">
        <f t="shared" si="96"/>
        <v>0</v>
      </c>
      <c r="O1252" s="905"/>
      <c r="Q1252" s="317" t="str">
        <f t="shared" si="93"/>
        <v/>
      </c>
      <c r="R1252" s="317" t="str">
        <f t="shared" si="94"/>
        <v/>
      </c>
      <c r="S1252" s="317" t="str">
        <f t="shared" si="95"/>
        <v/>
      </c>
      <c r="T1252" s="317" t="str">
        <f>GLOBAL_DER_FEV_2023!S1252</f>
        <v/>
      </c>
      <c r="W1252" s="582">
        <v>0</v>
      </c>
      <c r="X1252" s="580"/>
      <c r="Y1252" s="583">
        <f>IF(GLOBAL_DER_FEV_2023!W1252=0,0,IF(GLOBAL_DER_FEV_2023!W1252&gt;0,"c","b"))</f>
        <v>0</v>
      </c>
    </row>
    <row r="1253" spans="1:25" ht="23.25" hidden="1" thickBot="1" x14ac:dyDescent="0.25">
      <c r="A1253" s="317">
        <v>97892</v>
      </c>
      <c r="B1253" s="895">
        <v>97892</v>
      </c>
      <c r="C1253" s="896" t="s">
        <v>596</v>
      </c>
      <c r="D1253" s="906" t="s">
        <v>1183</v>
      </c>
      <c r="E1253" s="907">
        <f>GLOBAL_DER_FEV_2023!E1253</f>
        <v>0</v>
      </c>
      <c r="F1253" s="908">
        <f>GLOBAL_DER_FEV_2023!F1253</f>
        <v>0</v>
      </c>
      <c r="G1253" s="912">
        <f>GLOBAL_DER_FEV_2023!G1253</f>
        <v>0</v>
      </c>
      <c r="H1253" s="901">
        <f>GLOBAL_DER_FEV_2023!H1253</f>
        <v>388.86</v>
      </c>
      <c r="I1253" s="901">
        <f>GLOBAL_DER_FEV_2023!I1253</f>
        <v>388.86</v>
      </c>
      <c r="J1253" s="902">
        <f>GLOBAL_DER_FEV_2023!J1253</f>
        <v>466.9</v>
      </c>
      <c r="K1253" s="903" t="s">
        <v>1516</v>
      </c>
      <c r="L1253" s="1137"/>
      <c r="M1253" s="1138">
        <f t="shared" si="92"/>
        <v>0</v>
      </c>
      <c r="N1253" s="893">
        <f t="shared" si="96"/>
        <v>0</v>
      </c>
      <c r="O1253" s="905"/>
      <c r="Q1253" s="317" t="str">
        <f t="shared" si="93"/>
        <v/>
      </c>
      <c r="R1253" s="317" t="str">
        <f t="shared" si="94"/>
        <v/>
      </c>
      <c r="S1253" s="317" t="str">
        <f t="shared" si="95"/>
        <v/>
      </c>
      <c r="T1253" s="317" t="str">
        <f>GLOBAL_DER_FEV_2023!S1253</f>
        <v/>
      </c>
      <c r="W1253" s="582">
        <v>0</v>
      </c>
      <c r="X1253" s="580"/>
      <c r="Y1253" s="583">
        <f>IF(GLOBAL_DER_FEV_2023!W1253=0,0,IF(GLOBAL_DER_FEV_2023!W1253&gt;0,"c","b"))</f>
        <v>0</v>
      </c>
    </row>
    <row r="1254" spans="1:25" ht="23.25" hidden="1" thickBot="1" x14ac:dyDescent="0.25">
      <c r="A1254" s="317">
        <v>97893</v>
      </c>
      <c r="B1254" s="895">
        <v>97893</v>
      </c>
      <c r="C1254" s="896" t="s">
        <v>596</v>
      </c>
      <c r="D1254" s="906" t="s">
        <v>1184</v>
      </c>
      <c r="E1254" s="907">
        <f>GLOBAL_DER_FEV_2023!E1254</f>
        <v>0</v>
      </c>
      <c r="F1254" s="908">
        <f>GLOBAL_DER_FEV_2023!F1254</f>
        <v>0</v>
      </c>
      <c r="G1254" s="912">
        <f>GLOBAL_DER_FEV_2023!G1254</f>
        <v>0</v>
      </c>
      <c r="H1254" s="901">
        <f>GLOBAL_DER_FEV_2023!H1254</f>
        <v>538.29</v>
      </c>
      <c r="I1254" s="901">
        <f>GLOBAL_DER_FEV_2023!I1254</f>
        <v>538.29</v>
      </c>
      <c r="J1254" s="902">
        <f>GLOBAL_DER_FEV_2023!J1254</f>
        <v>646.32000000000005</v>
      </c>
      <c r="K1254" s="903" t="s">
        <v>1516</v>
      </c>
      <c r="L1254" s="1137"/>
      <c r="M1254" s="1138">
        <f t="shared" si="92"/>
        <v>0</v>
      </c>
      <c r="N1254" s="893">
        <f t="shared" si="96"/>
        <v>0</v>
      </c>
      <c r="O1254" s="905"/>
      <c r="Q1254" s="317" t="str">
        <f t="shared" si="93"/>
        <v/>
      </c>
      <c r="R1254" s="317" t="str">
        <f t="shared" si="94"/>
        <v/>
      </c>
      <c r="S1254" s="317" t="str">
        <f t="shared" si="95"/>
        <v/>
      </c>
      <c r="T1254" s="317" t="str">
        <f>GLOBAL_DER_FEV_2023!S1254</f>
        <v/>
      </c>
      <c r="W1254" s="582">
        <v>0</v>
      </c>
      <c r="X1254" s="580"/>
      <c r="Y1254" s="583">
        <f>IF(GLOBAL_DER_FEV_2023!W1254=0,0,IF(GLOBAL_DER_FEV_2023!W1254&gt;0,"c","b"))</f>
        <v>0</v>
      </c>
    </row>
    <row r="1255" spans="1:25" ht="23.25" hidden="1" thickBot="1" x14ac:dyDescent="0.25">
      <c r="A1255" s="317">
        <v>97894</v>
      </c>
      <c r="B1255" s="895">
        <v>97894</v>
      </c>
      <c r="C1255" s="896" t="s">
        <v>596</v>
      </c>
      <c r="D1255" s="906" t="s">
        <v>1185</v>
      </c>
      <c r="E1255" s="907">
        <f>GLOBAL_DER_FEV_2023!E1255</f>
        <v>0</v>
      </c>
      <c r="F1255" s="908">
        <f>GLOBAL_DER_FEV_2023!F1255</f>
        <v>0</v>
      </c>
      <c r="G1255" s="912">
        <f>GLOBAL_DER_FEV_2023!G1255</f>
        <v>0</v>
      </c>
      <c r="H1255" s="901">
        <f>GLOBAL_DER_FEV_2023!H1255</f>
        <v>590.13</v>
      </c>
      <c r="I1255" s="901">
        <f>GLOBAL_DER_FEV_2023!I1255</f>
        <v>590.13</v>
      </c>
      <c r="J1255" s="902">
        <f>GLOBAL_DER_FEV_2023!J1255</f>
        <v>708.57</v>
      </c>
      <c r="K1255" s="903" t="s">
        <v>1516</v>
      </c>
      <c r="L1255" s="1137"/>
      <c r="M1255" s="1138">
        <f t="shared" si="92"/>
        <v>0</v>
      </c>
      <c r="N1255" s="893">
        <f t="shared" si="96"/>
        <v>0</v>
      </c>
      <c r="O1255" s="905"/>
      <c r="Q1255" s="317" t="str">
        <f t="shared" si="93"/>
        <v/>
      </c>
      <c r="R1255" s="317" t="str">
        <f t="shared" si="94"/>
        <v/>
      </c>
      <c r="S1255" s="317" t="str">
        <f t="shared" si="95"/>
        <v/>
      </c>
      <c r="T1255" s="317" t="str">
        <f>GLOBAL_DER_FEV_2023!S1255</f>
        <v/>
      </c>
      <c r="W1255" s="582">
        <v>0</v>
      </c>
      <c r="X1255" s="580"/>
      <c r="Y1255" s="583">
        <f>IF(GLOBAL_DER_FEV_2023!W1255=0,0,IF(GLOBAL_DER_FEV_2023!W1255&gt;0,"c","b"))</f>
        <v>0</v>
      </c>
    </row>
    <row r="1256" spans="1:25" ht="23.25" hidden="1" thickBot="1" x14ac:dyDescent="0.25">
      <c r="A1256" s="317">
        <v>97881</v>
      </c>
      <c r="B1256" s="895">
        <v>97881</v>
      </c>
      <c r="C1256" s="896" t="s">
        <v>596</v>
      </c>
      <c r="D1256" s="906" t="s">
        <v>1186</v>
      </c>
      <c r="E1256" s="907">
        <f>GLOBAL_DER_FEV_2023!E1256</f>
        <v>0</v>
      </c>
      <c r="F1256" s="908">
        <f>GLOBAL_DER_FEV_2023!F1256</f>
        <v>0</v>
      </c>
      <c r="G1256" s="912">
        <f>GLOBAL_DER_FEV_2023!G1256</f>
        <v>0</v>
      </c>
      <c r="H1256" s="901">
        <f>GLOBAL_DER_FEV_2023!H1256</f>
        <v>108.09</v>
      </c>
      <c r="I1256" s="901">
        <f>GLOBAL_DER_FEV_2023!I1256</f>
        <v>108.09</v>
      </c>
      <c r="J1256" s="902">
        <f>GLOBAL_DER_FEV_2023!J1256</f>
        <v>129.78</v>
      </c>
      <c r="K1256" s="903" t="s">
        <v>1516</v>
      </c>
      <c r="L1256" s="1137"/>
      <c r="M1256" s="1138">
        <f t="shared" si="92"/>
        <v>0</v>
      </c>
      <c r="N1256" s="893">
        <f t="shared" si="96"/>
        <v>0</v>
      </c>
      <c r="O1256" s="905"/>
      <c r="Q1256" s="317" t="str">
        <f t="shared" si="93"/>
        <v/>
      </c>
      <c r="R1256" s="317" t="str">
        <f t="shared" si="94"/>
        <v/>
      </c>
      <c r="S1256" s="317" t="str">
        <f t="shared" si="95"/>
        <v/>
      </c>
      <c r="T1256" s="317" t="str">
        <f>GLOBAL_DER_FEV_2023!S1256</f>
        <v/>
      </c>
      <c r="W1256" s="582">
        <v>0</v>
      </c>
      <c r="X1256" s="580"/>
      <c r="Y1256" s="583">
        <f>IF(GLOBAL_DER_FEV_2023!W1256=0,0,IF(GLOBAL_DER_FEV_2023!W1256&gt;0,"c","b"))</f>
        <v>0</v>
      </c>
    </row>
    <row r="1257" spans="1:25" ht="23.25" hidden="1" thickBot="1" x14ac:dyDescent="0.25">
      <c r="A1257" s="317">
        <v>97882</v>
      </c>
      <c r="B1257" s="895">
        <v>97882</v>
      </c>
      <c r="C1257" s="896" t="s">
        <v>596</v>
      </c>
      <c r="D1257" s="906" t="s">
        <v>1187</v>
      </c>
      <c r="E1257" s="907">
        <f>GLOBAL_DER_FEV_2023!E1257</f>
        <v>0</v>
      </c>
      <c r="F1257" s="908">
        <f>GLOBAL_DER_FEV_2023!F1257</f>
        <v>0</v>
      </c>
      <c r="G1257" s="912">
        <f>GLOBAL_DER_FEV_2023!G1257</f>
        <v>0</v>
      </c>
      <c r="H1257" s="901">
        <f>GLOBAL_DER_FEV_2023!H1257</f>
        <v>168.28</v>
      </c>
      <c r="I1257" s="901">
        <f>GLOBAL_DER_FEV_2023!I1257</f>
        <v>168.28</v>
      </c>
      <c r="J1257" s="902">
        <f>GLOBAL_DER_FEV_2023!J1257</f>
        <v>202.05</v>
      </c>
      <c r="K1257" s="903" t="s">
        <v>1516</v>
      </c>
      <c r="L1257" s="1137"/>
      <c r="M1257" s="1138">
        <f t="shared" si="92"/>
        <v>0</v>
      </c>
      <c r="N1257" s="893">
        <f t="shared" si="96"/>
        <v>0</v>
      </c>
      <c r="O1257" s="905"/>
      <c r="Q1257" s="317" t="str">
        <f t="shared" si="93"/>
        <v/>
      </c>
      <c r="R1257" s="317" t="str">
        <f t="shared" si="94"/>
        <v/>
      </c>
      <c r="S1257" s="317" t="str">
        <f t="shared" si="95"/>
        <v/>
      </c>
      <c r="T1257" s="317" t="str">
        <f>GLOBAL_DER_FEV_2023!S1257</f>
        <v/>
      </c>
      <c r="W1257" s="582">
        <v>0</v>
      </c>
      <c r="X1257" s="580"/>
      <c r="Y1257" s="583">
        <f>IF(GLOBAL_DER_FEV_2023!W1257=0,0,IF(GLOBAL_DER_FEV_2023!W1257&gt;0,"c","b"))</f>
        <v>0</v>
      </c>
    </row>
    <row r="1258" spans="1:25" ht="23.25" hidden="1" thickBot="1" x14ac:dyDescent="0.25">
      <c r="A1258" s="317">
        <v>97883</v>
      </c>
      <c r="B1258" s="895">
        <v>97883</v>
      </c>
      <c r="C1258" s="896" t="s">
        <v>596</v>
      </c>
      <c r="D1258" s="906" t="s">
        <v>1188</v>
      </c>
      <c r="E1258" s="907">
        <f>GLOBAL_DER_FEV_2023!E1258</f>
        <v>0</v>
      </c>
      <c r="F1258" s="908">
        <f>GLOBAL_DER_FEV_2023!F1258</f>
        <v>0</v>
      </c>
      <c r="G1258" s="912">
        <f>GLOBAL_DER_FEV_2023!G1258</f>
        <v>0</v>
      </c>
      <c r="H1258" s="901">
        <f>GLOBAL_DER_FEV_2023!H1258</f>
        <v>324.05</v>
      </c>
      <c r="I1258" s="901">
        <f>GLOBAL_DER_FEV_2023!I1258</f>
        <v>324.05</v>
      </c>
      <c r="J1258" s="902">
        <f>GLOBAL_DER_FEV_2023!J1258</f>
        <v>389.09</v>
      </c>
      <c r="K1258" s="903" t="s">
        <v>1516</v>
      </c>
      <c r="L1258" s="1137"/>
      <c r="M1258" s="1138">
        <f t="shared" si="92"/>
        <v>0</v>
      </c>
      <c r="N1258" s="893">
        <f t="shared" si="96"/>
        <v>0</v>
      </c>
      <c r="O1258" s="905"/>
      <c r="Q1258" s="317" t="str">
        <f t="shared" si="93"/>
        <v/>
      </c>
      <c r="R1258" s="317" t="str">
        <f t="shared" si="94"/>
        <v/>
      </c>
      <c r="S1258" s="317" t="str">
        <f t="shared" si="95"/>
        <v/>
      </c>
      <c r="T1258" s="317" t="str">
        <f>GLOBAL_DER_FEV_2023!S1258</f>
        <v/>
      </c>
      <c r="W1258" s="582">
        <v>0</v>
      </c>
      <c r="X1258" s="580"/>
      <c r="Y1258" s="583">
        <f>IF(GLOBAL_DER_FEV_2023!W1258=0,0,IF(GLOBAL_DER_FEV_2023!W1258&gt;0,"c","b"))</f>
        <v>0</v>
      </c>
    </row>
    <row r="1259" spans="1:25" ht="23.25" hidden="1" thickBot="1" x14ac:dyDescent="0.25">
      <c r="A1259" s="317">
        <v>97884</v>
      </c>
      <c r="B1259" s="895">
        <v>97884</v>
      </c>
      <c r="C1259" s="896" t="s">
        <v>596</v>
      </c>
      <c r="D1259" s="906" t="s">
        <v>1189</v>
      </c>
      <c r="E1259" s="907">
        <f>GLOBAL_DER_FEV_2023!E1259</f>
        <v>0</v>
      </c>
      <c r="F1259" s="908">
        <f>GLOBAL_DER_FEV_2023!F1259</f>
        <v>0</v>
      </c>
      <c r="G1259" s="912">
        <f>GLOBAL_DER_FEV_2023!G1259</f>
        <v>0</v>
      </c>
      <c r="H1259" s="901">
        <f>GLOBAL_DER_FEV_2023!H1259</f>
        <v>625.80999999999995</v>
      </c>
      <c r="I1259" s="901">
        <f>GLOBAL_DER_FEV_2023!I1259</f>
        <v>625.80999999999995</v>
      </c>
      <c r="J1259" s="902">
        <f>GLOBAL_DER_FEV_2023!J1259</f>
        <v>751.41</v>
      </c>
      <c r="K1259" s="903" t="s">
        <v>1516</v>
      </c>
      <c r="L1259" s="1137"/>
      <c r="M1259" s="1138">
        <f t="shared" si="92"/>
        <v>0</v>
      </c>
      <c r="N1259" s="893">
        <f t="shared" si="96"/>
        <v>0</v>
      </c>
      <c r="O1259" s="905"/>
      <c r="Q1259" s="317" t="str">
        <f t="shared" si="93"/>
        <v/>
      </c>
      <c r="R1259" s="317" t="str">
        <f t="shared" si="94"/>
        <v/>
      </c>
      <c r="S1259" s="317" t="str">
        <f t="shared" si="95"/>
        <v/>
      </c>
      <c r="T1259" s="317" t="str">
        <f>GLOBAL_DER_FEV_2023!S1259</f>
        <v/>
      </c>
      <c r="W1259" s="582">
        <v>0</v>
      </c>
      <c r="X1259" s="580"/>
      <c r="Y1259" s="583">
        <f>IF(GLOBAL_DER_FEV_2023!W1259=0,0,IF(GLOBAL_DER_FEV_2023!W1259&gt;0,"c","b"))</f>
        <v>0</v>
      </c>
    </row>
    <row r="1260" spans="1:25" ht="23.25" hidden="1" thickBot="1" x14ac:dyDescent="0.25">
      <c r="A1260" s="317">
        <v>97885</v>
      </c>
      <c r="B1260" s="895">
        <v>97885</v>
      </c>
      <c r="C1260" s="896" t="s">
        <v>596</v>
      </c>
      <c r="D1260" s="906" t="s">
        <v>1190</v>
      </c>
      <c r="E1260" s="907">
        <f>GLOBAL_DER_FEV_2023!E1260</f>
        <v>0</v>
      </c>
      <c r="F1260" s="908">
        <f>GLOBAL_DER_FEV_2023!F1260</f>
        <v>0</v>
      </c>
      <c r="G1260" s="912">
        <f>GLOBAL_DER_FEV_2023!G1260</f>
        <v>0</v>
      </c>
      <c r="H1260" s="901">
        <f>GLOBAL_DER_FEV_2023!H1260</f>
        <v>954.37</v>
      </c>
      <c r="I1260" s="901">
        <f>GLOBAL_DER_FEV_2023!I1260</f>
        <v>954.37</v>
      </c>
      <c r="J1260" s="902">
        <f>GLOBAL_DER_FEV_2023!J1260</f>
        <v>1145.9100000000001</v>
      </c>
      <c r="K1260" s="903" t="s">
        <v>1516</v>
      </c>
      <c r="L1260" s="1137"/>
      <c r="M1260" s="1138">
        <f t="shared" si="92"/>
        <v>0</v>
      </c>
      <c r="N1260" s="893">
        <f t="shared" si="96"/>
        <v>0</v>
      </c>
      <c r="O1260" s="905"/>
      <c r="Q1260" s="317" t="str">
        <f t="shared" si="93"/>
        <v/>
      </c>
      <c r="R1260" s="317" t="str">
        <f t="shared" si="94"/>
        <v/>
      </c>
      <c r="S1260" s="317" t="str">
        <f t="shared" si="95"/>
        <v/>
      </c>
      <c r="T1260" s="317" t="str">
        <f>GLOBAL_DER_FEV_2023!S1260</f>
        <v/>
      </c>
      <c r="W1260" s="582">
        <v>0</v>
      </c>
      <c r="X1260" s="580"/>
      <c r="Y1260" s="583">
        <f>IF(GLOBAL_DER_FEV_2023!W1260=0,0,IF(GLOBAL_DER_FEV_2023!W1260&gt;0,"c","b"))</f>
        <v>0</v>
      </c>
    </row>
    <row r="1261" spans="1:25" ht="23.25" hidden="1" thickBot="1" x14ac:dyDescent="0.25">
      <c r="A1261" s="317">
        <v>91945</v>
      </c>
      <c r="B1261" s="895">
        <v>91945</v>
      </c>
      <c r="C1261" s="896" t="s">
        <v>596</v>
      </c>
      <c r="D1261" s="906" t="s">
        <v>1191</v>
      </c>
      <c r="E1261" s="907">
        <f>GLOBAL_DER_FEV_2023!E1261</f>
        <v>0</v>
      </c>
      <c r="F1261" s="908">
        <f>GLOBAL_DER_FEV_2023!F1261</f>
        <v>0</v>
      </c>
      <c r="G1261" s="912">
        <f>GLOBAL_DER_FEV_2023!G1261</f>
        <v>0</v>
      </c>
      <c r="H1261" s="901">
        <f>GLOBAL_DER_FEV_2023!H1261</f>
        <v>11.14</v>
      </c>
      <c r="I1261" s="901">
        <f>GLOBAL_DER_FEV_2023!I1261</f>
        <v>11.14</v>
      </c>
      <c r="J1261" s="902">
        <f>GLOBAL_DER_FEV_2023!J1261</f>
        <v>13.38</v>
      </c>
      <c r="K1261" s="903" t="s">
        <v>1516</v>
      </c>
      <c r="L1261" s="1137"/>
      <c r="M1261" s="1138">
        <f t="shared" si="92"/>
        <v>0</v>
      </c>
      <c r="N1261" s="893">
        <f t="shared" si="96"/>
        <v>0</v>
      </c>
      <c r="O1261" s="905"/>
      <c r="Q1261" s="317" t="str">
        <f t="shared" si="93"/>
        <v/>
      </c>
      <c r="R1261" s="317" t="str">
        <f t="shared" si="94"/>
        <v/>
      </c>
      <c r="S1261" s="317" t="str">
        <f t="shared" si="95"/>
        <v/>
      </c>
      <c r="T1261" s="317" t="str">
        <f>GLOBAL_DER_FEV_2023!S1261</f>
        <v/>
      </c>
      <c r="W1261" s="582">
        <v>0</v>
      </c>
      <c r="X1261" s="580"/>
      <c r="Y1261" s="583">
        <f>IF(GLOBAL_DER_FEV_2023!W1261=0,0,IF(GLOBAL_DER_FEV_2023!W1261&gt;0,"c","b"))</f>
        <v>0</v>
      </c>
    </row>
    <row r="1262" spans="1:25" ht="23.25" hidden="1" thickBot="1" x14ac:dyDescent="0.25">
      <c r="A1262" s="317">
        <v>91946</v>
      </c>
      <c r="B1262" s="895">
        <v>91946</v>
      </c>
      <c r="C1262" s="896" t="s">
        <v>596</v>
      </c>
      <c r="D1262" s="906" t="s">
        <v>1192</v>
      </c>
      <c r="E1262" s="907">
        <f>GLOBAL_DER_FEV_2023!E1262</f>
        <v>0</v>
      </c>
      <c r="F1262" s="908">
        <f>GLOBAL_DER_FEV_2023!F1262</f>
        <v>0</v>
      </c>
      <c r="G1262" s="912">
        <f>GLOBAL_DER_FEV_2023!G1262</f>
        <v>0</v>
      </c>
      <c r="H1262" s="901">
        <f>GLOBAL_DER_FEV_2023!H1262</f>
        <v>9.23</v>
      </c>
      <c r="I1262" s="901">
        <f>GLOBAL_DER_FEV_2023!I1262</f>
        <v>9.23</v>
      </c>
      <c r="J1262" s="902">
        <f>GLOBAL_DER_FEV_2023!J1262</f>
        <v>11.08</v>
      </c>
      <c r="K1262" s="903" t="s">
        <v>1516</v>
      </c>
      <c r="L1262" s="1137"/>
      <c r="M1262" s="1138">
        <f t="shared" si="92"/>
        <v>0</v>
      </c>
      <c r="N1262" s="893">
        <f t="shared" si="96"/>
        <v>0</v>
      </c>
      <c r="O1262" s="905"/>
      <c r="Q1262" s="317" t="str">
        <f t="shared" si="93"/>
        <v/>
      </c>
      <c r="R1262" s="317" t="str">
        <f t="shared" si="94"/>
        <v/>
      </c>
      <c r="S1262" s="317" t="str">
        <f t="shared" si="95"/>
        <v/>
      </c>
      <c r="T1262" s="317" t="str">
        <f>GLOBAL_DER_FEV_2023!S1262</f>
        <v/>
      </c>
      <c r="W1262" s="582">
        <v>0</v>
      </c>
      <c r="X1262" s="580"/>
      <c r="Y1262" s="583">
        <f>IF(GLOBAL_DER_FEV_2023!W1262=0,0,IF(GLOBAL_DER_FEV_2023!W1262&gt;0,"c","b"))</f>
        <v>0</v>
      </c>
    </row>
    <row r="1263" spans="1:25" ht="23.25" hidden="1" thickBot="1" x14ac:dyDescent="0.25">
      <c r="A1263" s="317">
        <v>91947</v>
      </c>
      <c r="B1263" s="895">
        <v>91947</v>
      </c>
      <c r="C1263" s="896" t="s">
        <v>596</v>
      </c>
      <c r="D1263" s="906" t="s">
        <v>1193</v>
      </c>
      <c r="E1263" s="907">
        <f>GLOBAL_DER_FEV_2023!E1263</f>
        <v>0</v>
      </c>
      <c r="F1263" s="908">
        <f>GLOBAL_DER_FEV_2023!F1263</f>
        <v>0</v>
      </c>
      <c r="G1263" s="912">
        <f>GLOBAL_DER_FEV_2023!G1263</f>
        <v>0</v>
      </c>
      <c r="H1263" s="901">
        <f>GLOBAL_DER_FEV_2023!H1263</f>
        <v>8.0399999999999991</v>
      </c>
      <c r="I1263" s="901">
        <f>GLOBAL_DER_FEV_2023!I1263</f>
        <v>8.0399999999999991</v>
      </c>
      <c r="J1263" s="902">
        <f>GLOBAL_DER_FEV_2023!J1263</f>
        <v>9.65</v>
      </c>
      <c r="K1263" s="903" t="s">
        <v>1516</v>
      </c>
      <c r="L1263" s="1137"/>
      <c r="M1263" s="1138">
        <f t="shared" si="92"/>
        <v>0</v>
      </c>
      <c r="N1263" s="893">
        <f t="shared" si="96"/>
        <v>0</v>
      </c>
      <c r="O1263" s="905"/>
      <c r="Q1263" s="317" t="str">
        <f t="shared" si="93"/>
        <v/>
      </c>
      <c r="R1263" s="317" t="str">
        <f t="shared" si="94"/>
        <v/>
      </c>
      <c r="S1263" s="317" t="str">
        <f t="shared" si="95"/>
        <v/>
      </c>
      <c r="T1263" s="317" t="str">
        <f>GLOBAL_DER_FEV_2023!S1263</f>
        <v/>
      </c>
      <c r="W1263" s="582">
        <v>0</v>
      </c>
      <c r="X1263" s="580"/>
      <c r="Y1263" s="583">
        <f>IF(GLOBAL_DER_FEV_2023!W1263=0,0,IF(GLOBAL_DER_FEV_2023!W1263&gt;0,"c","b"))</f>
        <v>0</v>
      </c>
    </row>
    <row r="1264" spans="1:25" ht="23.25" hidden="1" thickBot="1" x14ac:dyDescent="0.25">
      <c r="A1264" s="317">
        <v>91949</v>
      </c>
      <c r="B1264" s="895">
        <v>91949</v>
      </c>
      <c r="C1264" s="896" t="s">
        <v>596</v>
      </c>
      <c r="D1264" s="906" t="s">
        <v>1194</v>
      </c>
      <c r="E1264" s="907">
        <f>GLOBAL_DER_FEV_2023!E1264</f>
        <v>0</v>
      </c>
      <c r="F1264" s="908">
        <f>GLOBAL_DER_FEV_2023!F1264</f>
        <v>0</v>
      </c>
      <c r="G1264" s="912">
        <f>GLOBAL_DER_FEV_2023!G1264</f>
        <v>0</v>
      </c>
      <c r="H1264" s="901">
        <f>GLOBAL_DER_FEV_2023!H1264</f>
        <v>16.88</v>
      </c>
      <c r="I1264" s="901">
        <f>GLOBAL_DER_FEV_2023!I1264</f>
        <v>16.88</v>
      </c>
      <c r="J1264" s="902">
        <f>GLOBAL_DER_FEV_2023!J1264</f>
        <v>20.27</v>
      </c>
      <c r="K1264" s="903" t="s">
        <v>1516</v>
      </c>
      <c r="L1264" s="1137"/>
      <c r="M1264" s="1138">
        <f t="shared" si="92"/>
        <v>0</v>
      </c>
      <c r="N1264" s="893">
        <f t="shared" si="96"/>
        <v>0</v>
      </c>
      <c r="O1264" s="905"/>
      <c r="Q1264" s="317" t="str">
        <f t="shared" si="93"/>
        <v/>
      </c>
      <c r="R1264" s="317" t="str">
        <f t="shared" si="94"/>
        <v/>
      </c>
      <c r="S1264" s="317" t="str">
        <f t="shared" si="95"/>
        <v/>
      </c>
      <c r="T1264" s="317" t="str">
        <f>GLOBAL_DER_FEV_2023!S1264</f>
        <v/>
      </c>
      <c r="W1264" s="582">
        <v>0</v>
      </c>
      <c r="X1264" s="580"/>
      <c r="Y1264" s="583">
        <f>IF(GLOBAL_DER_FEV_2023!W1264=0,0,IF(GLOBAL_DER_FEV_2023!W1264&gt;0,"c","b"))</f>
        <v>0</v>
      </c>
    </row>
    <row r="1265" spans="1:25" ht="23.25" hidden="1" thickBot="1" x14ac:dyDescent="0.25">
      <c r="A1265" s="317">
        <v>91950</v>
      </c>
      <c r="B1265" s="895">
        <v>91950</v>
      </c>
      <c r="C1265" s="896" t="s">
        <v>596</v>
      </c>
      <c r="D1265" s="906" t="s">
        <v>1195</v>
      </c>
      <c r="E1265" s="907">
        <f>GLOBAL_DER_FEV_2023!E1265</f>
        <v>0</v>
      </c>
      <c r="F1265" s="908">
        <f>GLOBAL_DER_FEV_2023!F1265</f>
        <v>0</v>
      </c>
      <c r="G1265" s="912">
        <f>GLOBAL_DER_FEV_2023!G1265</f>
        <v>0</v>
      </c>
      <c r="H1265" s="901">
        <f>GLOBAL_DER_FEV_2023!H1265</f>
        <v>14.58</v>
      </c>
      <c r="I1265" s="901">
        <f>GLOBAL_DER_FEV_2023!I1265</f>
        <v>14.58</v>
      </c>
      <c r="J1265" s="902">
        <f>GLOBAL_DER_FEV_2023!J1265</f>
        <v>17.510000000000002</v>
      </c>
      <c r="K1265" s="903" t="s">
        <v>1516</v>
      </c>
      <c r="L1265" s="1137"/>
      <c r="M1265" s="1138">
        <f t="shared" si="92"/>
        <v>0</v>
      </c>
      <c r="N1265" s="893">
        <f t="shared" si="96"/>
        <v>0</v>
      </c>
      <c r="O1265" s="905"/>
      <c r="Q1265" s="317" t="str">
        <f t="shared" si="93"/>
        <v/>
      </c>
      <c r="R1265" s="317" t="str">
        <f t="shared" si="94"/>
        <v/>
      </c>
      <c r="S1265" s="317" t="str">
        <f t="shared" si="95"/>
        <v/>
      </c>
      <c r="T1265" s="317" t="str">
        <f>GLOBAL_DER_FEV_2023!S1265</f>
        <v/>
      </c>
      <c r="W1265" s="582">
        <v>0</v>
      </c>
      <c r="X1265" s="580"/>
      <c r="Y1265" s="583">
        <f>IF(GLOBAL_DER_FEV_2023!W1265=0,0,IF(GLOBAL_DER_FEV_2023!W1265&gt;0,"c","b"))</f>
        <v>0</v>
      </c>
    </row>
    <row r="1266" spans="1:25" ht="23.25" hidden="1" thickBot="1" x14ac:dyDescent="0.25">
      <c r="A1266" s="317">
        <v>91951</v>
      </c>
      <c r="B1266" s="895">
        <v>91951</v>
      </c>
      <c r="C1266" s="896" t="s">
        <v>596</v>
      </c>
      <c r="D1266" s="906" t="s">
        <v>1196</v>
      </c>
      <c r="E1266" s="907">
        <f>GLOBAL_DER_FEV_2023!E1266</f>
        <v>0</v>
      </c>
      <c r="F1266" s="908">
        <f>GLOBAL_DER_FEV_2023!F1266</f>
        <v>0</v>
      </c>
      <c r="G1266" s="912">
        <f>GLOBAL_DER_FEV_2023!G1266</f>
        <v>0</v>
      </c>
      <c r="H1266" s="901">
        <f>GLOBAL_DER_FEV_2023!H1266</f>
        <v>13.19</v>
      </c>
      <c r="I1266" s="901">
        <f>GLOBAL_DER_FEV_2023!I1266</f>
        <v>13.19</v>
      </c>
      <c r="J1266" s="902">
        <f>GLOBAL_DER_FEV_2023!J1266</f>
        <v>15.84</v>
      </c>
      <c r="K1266" s="903" t="s">
        <v>1516</v>
      </c>
      <c r="L1266" s="1137"/>
      <c r="M1266" s="1138">
        <f t="shared" si="92"/>
        <v>0</v>
      </c>
      <c r="N1266" s="893">
        <f t="shared" si="96"/>
        <v>0</v>
      </c>
      <c r="O1266" s="905"/>
      <c r="Q1266" s="317" t="str">
        <f t="shared" si="93"/>
        <v/>
      </c>
      <c r="R1266" s="317" t="str">
        <f t="shared" si="94"/>
        <v/>
      </c>
      <c r="S1266" s="317" t="str">
        <f t="shared" si="95"/>
        <v/>
      </c>
      <c r="T1266" s="317" t="str">
        <f>GLOBAL_DER_FEV_2023!S1266</f>
        <v/>
      </c>
      <c r="W1266" s="582">
        <v>0</v>
      </c>
      <c r="X1266" s="580"/>
      <c r="Y1266" s="583">
        <f>IF(GLOBAL_DER_FEV_2023!W1266=0,0,IF(GLOBAL_DER_FEV_2023!W1266&gt;0,"c","b"))</f>
        <v>0</v>
      </c>
    </row>
    <row r="1267" spans="1:25" ht="23.25" hidden="1" thickBot="1" x14ac:dyDescent="0.25">
      <c r="A1267" s="317">
        <v>101946</v>
      </c>
      <c r="B1267" s="895">
        <v>101946</v>
      </c>
      <c r="C1267" s="896" t="s">
        <v>596</v>
      </c>
      <c r="D1267" s="906" t="s">
        <v>1197</v>
      </c>
      <c r="E1267" s="907">
        <f>GLOBAL_DER_FEV_2023!E1267</f>
        <v>0</v>
      </c>
      <c r="F1267" s="908">
        <f>GLOBAL_DER_FEV_2023!F1267</f>
        <v>0</v>
      </c>
      <c r="G1267" s="912">
        <f>GLOBAL_DER_FEV_2023!G1267</f>
        <v>0</v>
      </c>
      <c r="H1267" s="901">
        <f>GLOBAL_DER_FEV_2023!H1267</f>
        <v>191.01</v>
      </c>
      <c r="I1267" s="901">
        <f>GLOBAL_DER_FEV_2023!I1267</f>
        <v>191.01</v>
      </c>
      <c r="J1267" s="902">
        <f>GLOBAL_DER_FEV_2023!J1267</f>
        <v>229.35</v>
      </c>
      <c r="K1267" s="903" t="s">
        <v>1516</v>
      </c>
      <c r="L1267" s="1137"/>
      <c r="M1267" s="1138">
        <f t="shared" si="92"/>
        <v>0</v>
      </c>
      <c r="N1267" s="893">
        <f t="shared" si="96"/>
        <v>0</v>
      </c>
      <c r="O1267" s="905"/>
      <c r="Q1267" s="317" t="str">
        <f t="shared" si="93"/>
        <v/>
      </c>
      <c r="R1267" s="317" t="str">
        <f t="shared" si="94"/>
        <v/>
      </c>
      <c r="S1267" s="317" t="str">
        <f t="shared" si="95"/>
        <v/>
      </c>
      <c r="T1267" s="317" t="str">
        <f>GLOBAL_DER_FEV_2023!S1267</f>
        <v/>
      </c>
      <c r="W1267" s="582">
        <v>0</v>
      </c>
      <c r="X1267" s="580"/>
      <c r="Y1267" s="583">
        <f>IF(GLOBAL_DER_FEV_2023!W1267=0,0,IF(GLOBAL_DER_FEV_2023!W1267&gt;0,"c","b"))</f>
        <v>0</v>
      </c>
    </row>
    <row r="1268" spans="1:25" ht="23.25" hidden="1" thickBot="1" x14ac:dyDescent="0.25">
      <c r="A1268" s="317">
        <v>97362</v>
      </c>
      <c r="B1268" s="895">
        <v>97362</v>
      </c>
      <c r="C1268" s="896" t="s">
        <v>596</v>
      </c>
      <c r="D1268" s="906" t="s">
        <v>1198</v>
      </c>
      <c r="E1268" s="907">
        <f>GLOBAL_DER_FEV_2023!E1268</f>
        <v>0</v>
      </c>
      <c r="F1268" s="908">
        <f>GLOBAL_DER_FEV_2023!F1268</f>
        <v>0</v>
      </c>
      <c r="G1268" s="912">
        <f>GLOBAL_DER_FEV_2023!G1268</f>
        <v>0</v>
      </c>
      <c r="H1268" s="901">
        <f>GLOBAL_DER_FEV_2023!H1268</f>
        <v>2474.29</v>
      </c>
      <c r="I1268" s="901">
        <f>GLOBAL_DER_FEV_2023!I1268</f>
        <v>2474.29</v>
      </c>
      <c r="J1268" s="902">
        <f>GLOBAL_DER_FEV_2023!J1268</f>
        <v>2970.88</v>
      </c>
      <c r="K1268" s="903" t="s">
        <v>1516</v>
      </c>
      <c r="L1268" s="1137"/>
      <c r="M1268" s="1138">
        <f t="shared" si="92"/>
        <v>0</v>
      </c>
      <c r="N1268" s="893">
        <f t="shared" si="96"/>
        <v>0</v>
      </c>
      <c r="O1268" s="905"/>
      <c r="Q1268" s="317" t="str">
        <f t="shared" si="93"/>
        <v/>
      </c>
      <c r="R1268" s="317" t="str">
        <f t="shared" si="94"/>
        <v/>
      </c>
      <c r="S1268" s="317" t="str">
        <f t="shared" si="95"/>
        <v/>
      </c>
      <c r="T1268" s="317" t="str">
        <f>GLOBAL_DER_FEV_2023!S1268</f>
        <v/>
      </c>
      <c r="W1268" s="582">
        <v>0</v>
      </c>
      <c r="X1268" s="580"/>
      <c r="Y1268" s="583">
        <f>IF(GLOBAL_DER_FEV_2023!W1268=0,0,IF(GLOBAL_DER_FEV_2023!W1268&gt;0,"c","b"))</f>
        <v>0</v>
      </c>
    </row>
    <row r="1269" spans="1:25" ht="23.25" hidden="1" thickBot="1" x14ac:dyDescent="0.25">
      <c r="A1269" s="317">
        <v>97359</v>
      </c>
      <c r="B1269" s="895">
        <v>97359</v>
      </c>
      <c r="C1269" s="896" t="s">
        <v>596</v>
      </c>
      <c r="D1269" s="906" t="s">
        <v>1199</v>
      </c>
      <c r="E1269" s="907">
        <f>GLOBAL_DER_FEV_2023!E1269</f>
        <v>0</v>
      </c>
      <c r="F1269" s="908">
        <f>GLOBAL_DER_FEV_2023!F1269</f>
        <v>0</v>
      </c>
      <c r="G1269" s="912">
        <f>GLOBAL_DER_FEV_2023!G1269</f>
        <v>0</v>
      </c>
      <c r="H1269" s="901">
        <f>GLOBAL_DER_FEV_2023!H1269</f>
        <v>4248.38</v>
      </c>
      <c r="I1269" s="901">
        <f>GLOBAL_DER_FEV_2023!I1269</f>
        <v>4248.38</v>
      </c>
      <c r="J1269" s="902">
        <f>GLOBAL_DER_FEV_2023!J1269</f>
        <v>5101.03</v>
      </c>
      <c r="K1269" s="903" t="s">
        <v>1516</v>
      </c>
      <c r="L1269" s="1137"/>
      <c r="M1269" s="1138">
        <f t="shared" si="92"/>
        <v>0</v>
      </c>
      <c r="N1269" s="893">
        <f t="shared" si="96"/>
        <v>0</v>
      </c>
      <c r="O1269" s="905"/>
      <c r="Q1269" s="317" t="str">
        <f t="shared" si="93"/>
        <v/>
      </c>
      <c r="R1269" s="317" t="str">
        <f t="shared" si="94"/>
        <v/>
      </c>
      <c r="S1269" s="317" t="str">
        <f t="shared" si="95"/>
        <v/>
      </c>
      <c r="T1269" s="317" t="str">
        <f>GLOBAL_DER_FEV_2023!S1269</f>
        <v/>
      </c>
      <c r="W1269" s="582">
        <v>0</v>
      </c>
      <c r="X1269" s="580"/>
      <c r="Y1269" s="583">
        <f>IF(GLOBAL_DER_FEV_2023!W1269=0,0,IF(GLOBAL_DER_FEV_2023!W1269&gt;0,"c","b"))</f>
        <v>0</v>
      </c>
    </row>
    <row r="1270" spans="1:25" ht="23.25" hidden="1" thickBot="1" x14ac:dyDescent="0.25">
      <c r="A1270" s="317">
        <v>97360</v>
      </c>
      <c r="B1270" s="895">
        <v>97360</v>
      </c>
      <c r="C1270" s="896" t="s">
        <v>596</v>
      </c>
      <c r="D1270" s="906" t="s">
        <v>1200</v>
      </c>
      <c r="E1270" s="907">
        <f>GLOBAL_DER_FEV_2023!E1270</f>
        <v>0</v>
      </c>
      <c r="F1270" s="908">
        <f>GLOBAL_DER_FEV_2023!F1270</f>
        <v>0</v>
      </c>
      <c r="G1270" s="912">
        <f>GLOBAL_DER_FEV_2023!G1270</f>
        <v>0</v>
      </c>
      <c r="H1270" s="901">
        <f>GLOBAL_DER_FEV_2023!H1270</f>
        <v>8185.52</v>
      </c>
      <c r="I1270" s="901">
        <f>GLOBAL_DER_FEV_2023!I1270</f>
        <v>8185.52</v>
      </c>
      <c r="J1270" s="902">
        <f>GLOBAL_DER_FEV_2023!J1270</f>
        <v>9828.35</v>
      </c>
      <c r="K1270" s="903" t="s">
        <v>1516</v>
      </c>
      <c r="L1270" s="1137"/>
      <c r="M1270" s="1138">
        <f t="shared" si="92"/>
        <v>0</v>
      </c>
      <c r="N1270" s="893">
        <f t="shared" si="96"/>
        <v>0</v>
      </c>
      <c r="O1270" s="905"/>
      <c r="Q1270" s="317" t="str">
        <f t="shared" si="93"/>
        <v/>
      </c>
      <c r="R1270" s="317" t="str">
        <f t="shared" si="94"/>
        <v/>
      </c>
      <c r="S1270" s="317" t="str">
        <f t="shared" si="95"/>
        <v/>
      </c>
      <c r="T1270" s="317" t="str">
        <f>GLOBAL_DER_FEV_2023!S1270</f>
        <v/>
      </c>
      <c r="W1270" s="582">
        <v>0</v>
      </c>
      <c r="X1270" s="580"/>
      <c r="Y1270" s="583">
        <f>IF(GLOBAL_DER_FEV_2023!W1270=0,0,IF(GLOBAL_DER_FEV_2023!W1270&gt;0,"c","b"))</f>
        <v>0</v>
      </c>
    </row>
    <row r="1271" spans="1:25" ht="23.25" hidden="1" thickBot="1" x14ac:dyDescent="0.25">
      <c r="A1271" s="317">
        <v>97361</v>
      </c>
      <c r="B1271" s="895">
        <v>97361</v>
      </c>
      <c r="C1271" s="896" t="s">
        <v>596</v>
      </c>
      <c r="D1271" s="906" t="s">
        <v>1201</v>
      </c>
      <c r="E1271" s="907">
        <f>GLOBAL_DER_FEV_2023!E1271</f>
        <v>0</v>
      </c>
      <c r="F1271" s="908">
        <f>GLOBAL_DER_FEV_2023!F1271</f>
        <v>0</v>
      </c>
      <c r="G1271" s="912">
        <f>GLOBAL_DER_FEV_2023!G1271</f>
        <v>0</v>
      </c>
      <c r="H1271" s="901">
        <f>GLOBAL_DER_FEV_2023!H1271</f>
        <v>10914.04</v>
      </c>
      <c r="I1271" s="901">
        <f>GLOBAL_DER_FEV_2023!I1271</f>
        <v>10914.04</v>
      </c>
      <c r="J1271" s="902">
        <f>GLOBAL_DER_FEV_2023!J1271</f>
        <v>13104.49</v>
      </c>
      <c r="K1271" s="903" t="s">
        <v>1516</v>
      </c>
      <c r="L1271" s="1137"/>
      <c r="M1271" s="1138">
        <f t="shared" si="92"/>
        <v>0</v>
      </c>
      <c r="N1271" s="893">
        <f t="shared" si="96"/>
        <v>0</v>
      </c>
      <c r="O1271" s="905"/>
      <c r="Q1271" s="317" t="str">
        <f t="shared" si="93"/>
        <v/>
      </c>
      <c r="R1271" s="317" t="str">
        <f t="shared" si="94"/>
        <v/>
      </c>
      <c r="S1271" s="317" t="str">
        <f t="shared" si="95"/>
        <v/>
      </c>
      <c r="T1271" s="317" t="str">
        <f>GLOBAL_DER_FEV_2023!S1271</f>
        <v/>
      </c>
      <c r="W1271" s="582">
        <v>0</v>
      </c>
      <c r="X1271" s="580"/>
      <c r="Y1271" s="583">
        <f>IF(GLOBAL_DER_FEV_2023!W1271=0,0,IF(GLOBAL_DER_FEV_2023!W1271&gt;0,"c","b"))</f>
        <v>0</v>
      </c>
    </row>
    <row r="1272" spans="1:25" ht="34.5" hidden="1" thickBot="1" x14ac:dyDescent="0.25">
      <c r="A1272" s="317">
        <v>101875</v>
      </c>
      <c r="B1272" s="895">
        <v>101875</v>
      </c>
      <c r="C1272" s="896" t="s">
        <v>596</v>
      </c>
      <c r="D1272" s="906" t="s">
        <v>1202</v>
      </c>
      <c r="E1272" s="907">
        <f>GLOBAL_DER_FEV_2023!E1272</f>
        <v>0</v>
      </c>
      <c r="F1272" s="908">
        <f>GLOBAL_DER_FEV_2023!F1272</f>
        <v>0</v>
      </c>
      <c r="G1272" s="912">
        <f>GLOBAL_DER_FEV_2023!G1272</f>
        <v>0</v>
      </c>
      <c r="H1272" s="901">
        <f>GLOBAL_DER_FEV_2023!H1272</f>
        <v>527.42999999999995</v>
      </c>
      <c r="I1272" s="901">
        <f>GLOBAL_DER_FEV_2023!I1272</f>
        <v>527.42999999999995</v>
      </c>
      <c r="J1272" s="902">
        <f>GLOBAL_DER_FEV_2023!J1272</f>
        <v>633.29</v>
      </c>
      <c r="K1272" s="903" t="s">
        <v>1516</v>
      </c>
      <c r="L1272" s="1137"/>
      <c r="M1272" s="1138">
        <f t="shared" si="92"/>
        <v>0</v>
      </c>
      <c r="N1272" s="893">
        <f t="shared" si="96"/>
        <v>0</v>
      </c>
      <c r="O1272" s="905"/>
      <c r="Q1272" s="317" t="str">
        <f t="shared" si="93"/>
        <v/>
      </c>
      <c r="R1272" s="317" t="str">
        <f t="shared" si="94"/>
        <v/>
      </c>
      <c r="S1272" s="317" t="str">
        <f t="shared" si="95"/>
        <v/>
      </c>
      <c r="T1272" s="317" t="str">
        <f>GLOBAL_DER_FEV_2023!S1272</f>
        <v/>
      </c>
      <c r="W1272" s="582">
        <v>0</v>
      </c>
      <c r="X1272" s="580"/>
      <c r="Y1272" s="583">
        <f>IF(GLOBAL_DER_FEV_2023!W1272=0,0,IF(GLOBAL_DER_FEV_2023!W1272&gt;0,"c","b"))</f>
        <v>0</v>
      </c>
    </row>
    <row r="1273" spans="1:25" ht="23.25" hidden="1" thickBot="1" x14ac:dyDescent="0.25">
      <c r="A1273" s="317">
        <v>101876</v>
      </c>
      <c r="B1273" s="895">
        <v>101876</v>
      </c>
      <c r="C1273" s="896" t="s">
        <v>596</v>
      </c>
      <c r="D1273" s="906" t="s">
        <v>1203</v>
      </c>
      <c r="E1273" s="907">
        <f>GLOBAL_DER_FEV_2023!E1273</f>
        <v>0</v>
      </c>
      <c r="F1273" s="908">
        <f>GLOBAL_DER_FEV_2023!F1273</f>
        <v>0</v>
      </c>
      <c r="G1273" s="912">
        <f>GLOBAL_DER_FEV_2023!G1273</f>
        <v>0</v>
      </c>
      <c r="H1273" s="901">
        <f>GLOBAL_DER_FEV_2023!H1273</f>
        <v>95.28</v>
      </c>
      <c r="I1273" s="901">
        <f>GLOBAL_DER_FEV_2023!I1273</f>
        <v>95.28</v>
      </c>
      <c r="J1273" s="902">
        <f>GLOBAL_DER_FEV_2023!J1273</f>
        <v>114.4</v>
      </c>
      <c r="K1273" s="903" t="s">
        <v>1516</v>
      </c>
      <c r="L1273" s="1137"/>
      <c r="M1273" s="1138">
        <f t="shared" si="92"/>
        <v>0</v>
      </c>
      <c r="N1273" s="893">
        <f t="shared" si="96"/>
        <v>0</v>
      </c>
      <c r="O1273" s="905"/>
      <c r="Q1273" s="317" t="str">
        <f t="shared" si="93"/>
        <v/>
      </c>
      <c r="R1273" s="317" t="str">
        <f t="shared" si="94"/>
        <v/>
      </c>
      <c r="S1273" s="317" t="str">
        <f t="shared" si="95"/>
        <v/>
      </c>
      <c r="T1273" s="317" t="str">
        <f>GLOBAL_DER_FEV_2023!S1273</f>
        <v/>
      </c>
      <c r="W1273" s="582">
        <v>0</v>
      </c>
      <c r="X1273" s="580"/>
      <c r="Y1273" s="583">
        <f>IF(GLOBAL_DER_FEV_2023!W1273=0,0,IF(GLOBAL_DER_FEV_2023!W1273&gt;0,"c","b"))</f>
        <v>0</v>
      </c>
    </row>
    <row r="1274" spans="1:25" ht="23.25" hidden="1" thickBot="1" x14ac:dyDescent="0.25">
      <c r="A1274" s="317">
        <v>101877</v>
      </c>
      <c r="B1274" s="895">
        <v>101877</v>
      </c>
      <c r="C1274" s="896" t="s">
        <v>596</v>
      </c>
      <c r="D1274" s="906" t="s">
        <v>1204</v>
      </c>
      <c r="E1274" s="907">
        <f>GLOBAL_DER_FEV_2023!E1274</f>
        <v>0</v>
      </c>
      <c r="F1274" s="908">
        <f>GLOBAL_DER_FEV_2023!F1274</f>
        <v>0</v>
      </c>
      <c r="G1274" s="912">
        <f>GLOBAL_DER_FEV_2023!G1274</f>
        <v>0</v>
      </c>
      <c r="H1274" s="901">
        <f>GLOBAL_DER_FEV_2023!H1274</f>
        <v>65.819999999999993</v>
      </c>
      <c r="I1274" s="901">
        <f>GLOBAL_DER_FEV_2023!I1274</f>
        <v>65.819999999999993</v>
      </c>
      <c r="J1274" s="902">
        <f>GLOBAL_DER_FEV_2023!J1274</f>
        <v>79.03</v>
      </c>
      <c r="K1274" s="903" t="s">
        <v>1516</v>
      </c>
      <c r="L1274" s="1137"/>
      <c r="M1274" s="1138">
        <f t="shared" si="92"/>
        <v>0</v>
      </c>
      <c r="N1274" s="893">
        <f t="shared" si="96"/>
        <v>0</v>
      </c>
      <c r="O1274" s="905"/>
      <c r="Q1274" s="317" t="str">
        <f t="shared" si="93"/>
        <v/>
      </c>
      <c r="R1274" s="317" t="str">
        <f t="shared" si="94"/>
        <v/>
      </c>
      <c r="S1274" s="317" t="str">
        <f t="shared" si="95"/>
        <v/>
      </c>
      <c r="T1274" s="317" t="str">
        <f>GLOBAL_DER_FEV_2023!S1274</f>
        <v/>
      </c>
      <c r="W1274" s="582">
        <v>0</v>
      </c>
      <c r="X1274" s="580"/>
      <c r="Y1274" s="583">
        <f>IF(GLOBAL_DER_FEV_2023!W1274=0,0,IF(GLOBAL_DER_FEV_2023!W1274&gt;0,"c","b"))</f>
        <v>0</v>
      </c>
    </row>
    <row r="1275" spans="1:25" ht="34.5" hidden="1" thickBot="1" x14ac:dyDescent="0.25">
      <c r="A1275" s="317">
        <v>101878</v>
      </c>
      <c r="B1275" s="895">
        <v>101878</v>
      </c>
      <c r="C1275" s="896" t="s">
        <v>596</v>
      </c>
      <c r="D1275" s="906" t="s">
        <v>1205</v>
      </c>
      <c r="E1275" s="907">
        <f>GLOBAL_DER_FEV_2023!E1275</f>
        <v>0</v>
      </c>
      <c r="F1275" s="908">
        <f>GLOBAL_DER_FEV_2023!F1275</f>
        <v>0</v>
      </c>
      <c r="G1275" s="912">
        <f>GLOBAL_DER_FEV_2023!G1275</f>
        <v>0</v>
      </c>
      <c r="H1275" s="901">
        <f>GLOBAL_DER_FEV_2023!H1275</f>
        <v>728.23</v>
      </c>
      <c r="I1275" s="901">
        <f>GLOBAL_DER_FEV_2023!I1275</f>
        <v>728.23</v>
      </c>
      <c r="J1275" s="902">
        <f>GLOBAL_DER_FEV_2023!J1275</f>
        <v>874.39</v>
      </c>
      <c r="K1275" s="903" t="s">
        <v>1516</v>
      </c>
      <c r="L1275" s="1137"/>
      <c r="M1275" s="1138">
        <f t="shared" si="92"/>
        <v>0</v>
      </c>
      <c r="N1275" s="893">
        <f t="shared" si="96"/>
        <v>0</v>
      </c>
      <c r="O1275" s="905"/>
      <c r="Q1275" s="317" t="str">
        <f t="shared" si="93"/>
        <v/>
      </c>
      <c r="R1275" s="317" t="str">
        <f t="shared" si="94"/>
        <v/>
      </c>
      <c r="S1275" s="317" t="str">
        <f t="shared" si="95"/>
        <v/>
      </c>
      <c r="T1275" s="317" t="str">
        <f>GLOBAL_DER_FEV_2023!S1275</f>
        <v/>
      </c>
      <c r="W1275" s="582">
        <v>0</v>
      </c>
      <c r="X1275" s="580"/>
      <c r="Y1275" s="583">
        <f>IF(GLOBAL_DER_FEV_2023!W1275=0,0,IF(GLOBAL_DER_FEV_2023!W1275&gt;0,"c","b"))</f>
        <v>0</v>
      </c>
    </row>
    <row r="1276" spans="1:25" ht="34.5" hidden="1" thickBot="1" x14ac:dyDescent="0.25">
      <c r="A1276" s="317">
        <v>101879</v>
      </c>
      <c r="B1276" s="895">
        <v>101879</v>
      </c>
      <c r="C1276" s="896" t="s">
        <v>596</v>
      </c>
      <c r="D1276" s="906" t="s">
        <v>1206</v>
      </c>
      <c r="E1276" s="907">
        <f>GLOBAL_DER_FEV_2023!E1276</f>
        <v>0</v>
      </c>
      <c r="F1276" s="908">
        <f>GLOBAL_DER_FEV_2023!F1276</f>
        <v>0</v>
      </c>
      <c r="G1276" s="912">
        <f>GLOBAL_DER_FEV_2023!G1276</f>
        <v>0</v>
      </c>
      <c r="H1276" s="901">
        <f>GLOBAL_DER_FEV_2023!H1276</f>
        <v>764.5</v>
      </c>
      <c r="I1276" s="901">
        <f>GLOBAL_DER_FEV_2023!I1276</f>
        <v>764.5</v>
      </c>
      <c r="J1276" s="902">
        <f>GLOBAL_DER_FEV_2023!J1276</f>
        <v>917.94</v>
      </c>
      <c r="K1276" s="903" t="s">
        <v>1516</v>
      </c>
      <c r="L1276" s="1137"/>
      <c r="M1276" s="1138">
        <f t="shared" si="92"/>
        <v>0</v>
      </c>
      <c r="N1276" s="893">
        <f t="shared" si="96"/>
        <v>0</v>
      </c>
      <c r="O1276" s="905"/>
      <c r="Q1276" s="317" t="str">
        <f t="shared" si="93"/>
        <v/>
      </c>
      <c r="R1276" s="317" t="str">
        <f t="shared" si="94"/>
        <v/>
      </c>
      <c r="S1276" s="317" t="str">
        <f t="shared" si="95"/>
        <v/>
      </c>
      <c r="T1276" s="317" t="str">
        <f>GLOBAL_DER_FEV_2023!S1276</f>
        <v/>
      </c>
      <c r="W1276" s="582">
        <v>0</v>
      </c>
      <c r="X1276" s="580"/>
      <c r="Y1276" s="583">
        <f>IF(GLOBAL_DER_FEV_2023!W1276=0,0,IF(GLOBAL_DER_FEV_2023!W1276&gt;0,"c","b"))</f>
        <v>0</v>
      </c>
    </row>
    <row r="1277" spans="1:25" ht="34.5" hidden="1" thickBot="1" x14ac:dyDescent="0.25">
      <c r="A1277" s="317">
        <v>101880</v>
      </c>
      <c r="B1277" s="895">
        <v>101880</v>
      </c>
      <c r="C1277" s="896" t="s">
        <v>596</v>
      </c>
      <c r="D1277" s="906" t="s">
        <v>1207</v>
      </c>
      <c r="E1277" s="907">
        <f>GLOBAL_DER_FEV_2023!E1277</f>
        <v>0</v>
      </c>
      <c r="F1277" s="908">
        <f>GLOBAL_DER_FEV_2023!F1277</f>
        <v>0</v>
      </c>
      <c r="G1277" s="912">
        <f>GLOBAL_DER_FEV_2023!G1277</f>
        <v>0</v>
      </c>
      <c r="H1277" s="901">
        <f>GLOBAL_DER_FEV_2023!H1277</f>
        <v>879.71</v>
      </c>
      <c r="I1277" s="901">
        <f>GLOBAL_DER_FEV_2023!I1277</f>
        <v>879.71</v>
      </c>
      <c r="J1277" s="902">
        <f>GLOBAL_DER_FEV_2023!J1277</f>
        <v>1056.27</v>
      </c>
      <c r="K1277" s="903" t="s">
        <v>1516</v>
      </c>
      <c r="L1277" s="1137"/>
      <c r="M1277" s="1138">
        <f t="shared" si="92"/>
        <v>0</v>
      </c>
      <c r="N1277" s="893">
        <f t="shared" si="96"/>
        <v>0</v>
      </c>
      <c r="O1277" s="905"/>
      <c r="Q1277" s="317" t="str">
        <f t="shared" si="93"/>
        <v/>
      </c>
      <c r="R1277" s="317" t="str">
        <f t="shared" si="94"/>
        <v/>
      </c>
      <c r="S1277" s="317" t="str">
        <f t="shared" si="95"/>
        <v/>
      </c>
      <c r="T1277" s="317" t="str">
        <f>GLOBAL_DER_FEV_2023!S1277</f>
        <v/>
      </c>
      <c r="W1277" s="582">
        <v>0</v>
      </c>
      <c r="X1277" s="580"/>
      <c r="Y1277" s="583">
        <f>IF(GLOBAL_DER_FEV_2023!W1277=0,0,IF(GLOBAL_DER_FEV_2023!W1277&gt;0,"c","b"))</f>
        <v>0</v>
      </c>
    </row>
    <row r="1278" spans="1:25" ht="34.5" hidden="1" thickBot="1" x14ac:dyDescent="0.25">
      <c r="A1278" s="317">
        <v>101881</v>
      </c>
      <c r="B1278" s="895">
        <v>101881</v>
      </c>
      <c r="C1278" s="896" t="s">
        <v>596</v>
      </c>
      <c r="D1278" s="906" t="s">
        <v>1208</v>
      </c>
      <c r="E1278" s="907">
        <f>GLOBAL_DER_FEV_2023!E1278</f>
        <v>0</v>
      </c>
      <c r="F1278" s="908">
        <f>GLOBAL_DER_FEV_2023!F1278</f>
        <v>0</v>
      </c>
      <c r="G1278" s="912">
        <f>GLOBAL_DER_FEV_2023!G1278</f>
        <v>0</v>
      </c>
      <c r="H1278" s="901">
        <f>GLOBAL_DER_FEV_2023!H1278</f>
        <v>1267.3399999999999</v>
      </c>
      <c r="I1278" s="901">
        <f>GLOBAL_DER_FEV_2023!I1278</f>
        <v>1267.3399999999999</v>
      </c>
      <c r="J1278" s="902">
        <f>GLOBAL_DER_FEV_2023!J1278</f>
        <v>1521.7</v>
      </c>
      <c r="K1278" s="903" t="s">
        <v>1516</v>
      </c>
      <c r="L1278" s="1137"/>
      <c r="M1278" s="1138">
        <f t="shared" si="92"/>
        <v>0</v>
      </c>
      <c r="N1278" s="893">
        <f t="shared" si="96"/>
        <v>0</v>
      </c>
      <c r="O1278" s="905"/>
      <c r="Q1278" s="317" t="str">
        <f t="shared" si="93"/>
        <v/>
      </c>
      <c r="R1278" s="317" t="str">
        <f t="shared" si="94"/>
        <v/>
      </c>
      <c r="S1278" s="317" t="str">
        <f t="shared" si="95"/>
        <v/>
      </c>
      <c r="T1278" s="317" t="str">
        <f>GLOBAL_DER_FEV_2023!S1278</f>
        <v/>
      </c>
      <c r="W1278" s="582">
        <v>0</v>
      </c>
      <c r="X1278" s="580"/>
      <c r="Y1278" s="583">
        <f>IF(GLOBAL_DER_FEV_2023!W1278=0,0,IF(GLOBAL_DER_FEV_2023!W1278&gt;0,"c","b"))</f>
        <v>0</v>
      </c>
    </row>
    <row r="1279" spans="1:25" ht="34.5" hidden="1" thickBot="1" x14ac:dyDescent="0.25">
      <c r="A1279" s="317">
        <v>101882</v>
      </c>
      <c r="B1279" s="895">
        <v>101882</v>
      </c>
      <c r="C1279" s="896" t="s">
        <v>596</v>
      </c>
      <c r="D1279" s="906" t="s">
        <v>1209</v>
      </c>
      <c r="E1279" s="907">
        <f>GLOBAL_DER_FEV_2023!E1279</f>
        <v>0</v>
      </c>
      <c r="F1279" s="908">
        <f>GLOBAL_DER_FEV_2023!F1279</f>
        <v>0</v>
      </c>
      <c r="G1279" s="912">
        <f>GLOBAL_DER_FEV_2023!G1279</f>
        <v>0</v>
      </c>
      <c r="H1279" s="901">
        <f>GLOBAL_DER_FEV_2023!H1279</f>
        <v>1801.44</v>
      </c>
      <c r="I1279" s="901">
        <f>GLOBAL_DER_FEV_2023!I1279</f>
        <v>1801.44</v>
      </c>
      <c r="J1279" s="902">
        <f>GLOBAL_DER_FEV_2023!J1279</f>
        <v>2162.9899999999998</v>
      </c>
      <c r="K1279" s="903" t="s">
        <v>1516</v>
      </c>
      <c r="L1279" s="1137"/>
      <c r="M1279" s="1138">
        <f t="shared" si="92"/>
        <v>0</v>
      </c>
      <c r="N1279" s="893">
        <f t="shared" si="96"/>
        <v>0</v>
      </c>
      <c r="O1279" s="905"/>
      <c r="Q1279" s="317" t="str">
        <f t="shared" si="93"/>
        <v/>
      </c>
      <c r="R1279" s="317" t="str">
        <f t="shared" si="94"/>
        <v/>
      </c>
      <c r="S1279" s="317" t="str">
        <f t="shared" si="95"/>
        <v/>
      </c>
      <c r="T1279" s="317" t="str">
        <f>GLOBAL_DER_FEV_2023!S1279</f>
        <v/>
      </c>
      <c r="W1279" s="582">
        <v>0</v>
      </c>
      <c r="X1279" s="580"/>
      <c r="Y1279" s="583">
        <f>IF(GLOBAL_DER_FEV_2023!W1279=0,0,IF(GLOBAL_DER_FEV_2023!W1279&gt;0,"c","b"))</f>
        <v>0</v>
      </c>
    </row>
    <row r="1280" spans="1:25" ht="34.5" hidden="1" thickBot="1" x14ac:dyDescent="0.25">
      <c r="A1280" s="317">
        <v>101883</v>
      </c>
      <c r="B1280" s="895">
        <v>101883</v>
      </c>
      <c r="C1280" s="896" t="s">
        <v>596</v>
      </c>
      <c r="D1280" s="906" t="s">
        <v>1210</v>
      </c>
      <c r="E1280" s="907">
        <f>GLOBAL_DER_FEV_2023!E1280</f>
        <v>0</v>
      </c>
      <c r="F1280" s="908">
        <f>GLOBAL_DER_FEV_2023!F1280</f>
        <v>0</v>
      </c>
      <c r="G1280" s="912">
        <f>GLOBAL_DER_FEV_2023!G1280</f>
        <v>0</v>
      </c>
      <c r="H1280" s="901">
        <f>GLOBAL_DER_FEV_2023!H1280</f>
        <v>728.76</v>
      </c>
      <c r="I1280" s="901">
        <f>GLOBAL_DER_FEV_2023!I1280</f>
        <v>728.76</v>
      </c>
      <c r="J1280" s="902">
        <f>GLOBAL_DER_FEV_2023!J1280</f>
        <v>875.02</v>
      </c>
      <c r="K1280" s="903" t="s">
        <v>1516</v>
      </c>
      <c r="L1280" s="1137"/>
      <c r="M1280" s="1138">
        <f t="shared" si="92"/>
        <v>0</v>
      </c>
      <c r="N1280" s="893">
        <f t="shared" si="96"/>
        <v>0</v>
      </c>
      <c r="O1280" s="905"/>
      <c r="Q1280" s="317" t="str">
        <f t="shared" si="93"/>
        <v/>
      </c>
      <c r="R1280" s="317" t="str">
        <f t="shared" si="94"/>
        <v/>
      </c>
      <c r="S1280" s="317" t="str">
        <f t="shared" si="95"/>
        <v/>
      </c>
      <c r="T1280" s="317" t="str">
        <f>GLOBAL_DER_FEV_2023!S1280</f>
        <v/>
      </c>
      <c r="W1280" s="582">
        <v>0</v>
      </c>
      <c r="X1280" s="580"/>
      <c r="Y1280" s="583">
        <f>IF(GLOBAL_DER_FEV_2023!W1280=0,0,IF(GLOBAL_DER_FEV_2023!W1280&gt;0,"c","b"))</f>
        <v>0</v>
      </c>
    </row>
    <row r="1281" spans="1:25" ht="13.5" hidden="1" thickBot="1" x14ac:dyDescent="0.25">
      <c r="A1281" s="317">
        <v>101901</v>
      </c>
      <c r="B1281" s="895">
        <v>101901</v>
      </c>
      <c r="C1281" s="896" t="s">
        <v>596</v>
      </c>
      <c r="D1281" s="906" t="s">
        <v>1211</v>
      </c>
      <c r="E1281" s="907">
        <f>GLOBAL_DER_FEV_2023!E1281</f>
        <v>0</v>
      </c>
      <c r="F1281" s="908">
        <f>GLOBAL_DER_FEV_2023!F1281</f>
        <v>0</v>
      </c>
      <c r="G1281" s="912">
        <f>GLOBAL_DER_FEV_2023!G1281</f>
        <v>0</v>
      </c>
      <c r="H1281" s="901">
        <f>GLOBAL_DER_FEV_2023!H1281</f>
        <v>109.64</v>
      </c>
      <c r="I1281" s="901">
        <f>GLOBAL_DER_FEV_2023!I1281</f>
        <v>109.64</v>
      </c>
      <c r="J1281" s="902">
        <f>GLOBAL_DER_FEV_2023!J1281</f>
        <v>131.63999999999999</v>
      </c>
      <c r="K1281" s="903" t="s">
        <v>1516</v>
      </c>
      <c r="L1281" s="1137"/>
      <c r="M1281" s="1138">
        <f t="shared" si="92"/>
        <v>0</v>
      </c>
      <c r="N1281" s="893">
        <f t="shared" si="96"/>
        <v>0</v>
      </c>
      <c r="O1281" s="905"/>
      <c r="Q1281" s="317" t="str">
        <f t="shared" si="93"/>
        <v/>
      </c>
      <c r="R1281" s="317" t="str">
        <f t="shared" si="94"/>
        <v/>
      </c>
      <c r="S1281" s="317" t="str">
        <f t="shared" si="95"/>
        <v/>
      </c>
      <c r="T1281" s="317" t="str">
        <f>GLOBAL_DER_FEV_2023!S1281</f>
        <v/>
      </c>
      <c r="W1281" s="582">
        <v>0</v>
      </c>
      <c r="X1281" s="580"/>
      <c r="Y1281" s="583">
        <f>IF(GLOBAL_DER_FEV_2023!W1281=0,0,IF(GLOBAL_DER_FEV_2023!W1281&gt;0,"c","b"))</f>
        <v>0</v>
      </c>
    </row>
    <row r="1282" spans="1:25" ht="13.5" hidden="1" thickBot="1" x14ac:dyDescent="0.25">
      <c r="A1282" s="317">
        <v>101902</v>
      </c>
      <c r="B1282" s="895">
        <v>101902</v>
      </c>
      <c r="C1282" s="896" t="s">
        <v>596</v>
      </c>
      <c r="D1282" s="906" t="s">
        <v>1212</v>
      </c>
      <c r="E1282" s="907">
        <f>GLOBAL_DER_FEV_2023!E1282</f>
        <v>0</v>
      </c>
      <c r="F1282" s="908">
        <f>GLOBAL_DER_FEV_2023!F1282</f>
        <v>0</v>
      </c>
      <c r="G1282" s="912">
        <f>GLOBAL_DER_FEV_2023!G1282</f>
        <v>0</v>
      </c>
      <c r="H1282" s="901">
        <f>GLOBAL_DER_FEV_2023!H1282</f>
        <v>136.05000000000001</v>
      </c>
      <c r="I1282" s="901">
        <f>GLOBAL_DER_FEV_2023!I1282</f>
        <v>136.05000000000001</v>
      </c>
      <c r="J1282" s="902">
        <f>GLOBAL_DER_FEV_2023!J1282</f>
        <v>163.36000000000001</v>
      </c>
      <c r="K1282" s="903" t="s">
        <v>1516</v>
      </c>
      <c r="L1282" s="1137"/>
      <c r="M1282" s="1138">
        <f t="shared" si="92"/>
        <v>0</v>
      </c>
      <c r="N1282" s="893">
        <f t="shared" si="96"/>
        <v>0</v>
      </c>
      <c r="O1282" s="905"/>
      <c r="Q1282" s="317" t="str">
        <f t="shared" si="93"/>
        <v/>
      </c>
      <c r="R1282" s="317" t="str">
        <f t="shared" si="94"/>
        <v/>
      </c>
      <c r="S1282" s="317" t="str">
        <f t="shared" si="95"/>
        <v/>
      </c>
      <c r="T1282" s="317" t="str">
        <f>GLOBAL_DER_FEV_2023!S1282</f>
        <v/>
      </c>
      <c r="W1282" s="582">
        <v>0</v>
      </c>
      <c r="X1282" s="580"/>
      <c r="Y1282" s="583">
        <f>IF(GLOBAL_DER_FEV_2023!W1282=0,0,IF(GLOBAL_DER_FEV_2023!W1282&gt;0,"c","b"))</f>
        <v>0</v>
      </c>
    </row>
    <row r="1283" spans="1:25" ht="13.5" hidden="1" thickBot="1" x14ac:dyDescent="0.25">
      <c r="A1283" s="317">
        <v>101903</v>
      </c>
      <c r="B1283" s="895">
        <v>101903</v>
      </c>
      <c r="C1283" s="896" t="s">
        <v>596</v>
      </c>
      <c r="D1283" s="906" t="s">
        <v>1213</v>
      </c>
      <c r="E1283" s="907">
        <f>GLOBAL_DER_FEV_2023!E1283</f>
        <v>0</v>
      </c>
      <c r="F1283" s="908">
        <f>GLOBAL_DER_FEV_2023!F1283</f>
        <v>0</v>
      </c>
      <c r="G1283" s="912">
        <f>GLOBAL_DER_FEV_2023!G1283</f>
        <v>0</v>
      </c>
      <c r="H1283" s="901">
        <f>GLOBAL_DER_FEV_2023!H1283</f>
        <v>283.02</v>
      </c>
      <c r="I1283" s="901">
        <f>GLOBAL_DER_FEV_2023!I1283</f>
        <v>283.02</v>
      </c>
      <c r="J1283" s="902">
        <f>GLOBAL_DER_FEV_2023!J1283</f>
        <v>339.82</v>
      </c>
      <c r="K1283" s="903" t="s">
        <v>1516</v>
      </c>
      <c r="L1283" s="1137"/>
      <c r="M1283" s="1138">
        <f t="shared" si="92"/>
        <v>0</v>
      </c>
      <c r="N1283" s="893">
        <f t="shared" si="96"/>
        <v>0</v>
      </c>
      <c r="O1283" s="905"/>
      <c r="Q1283" s="317" t="str">
        <f t="shared" si="93"/>
        <v/>
      </c>
      <c r="R1283" s="317" t="str">
        <f t="shared" si="94"/>
        <v/>
      </c>
      <c r="S1283" s="317" t="str">
        <f t="shared" si="95"/>
        <v/>
      </c>
      <c r="T1283" s="317" t="str">
        <f>GLOBAL_DER_FEV_2023!S1283</f>
        <v/>
      </c>
      <c r="W1283" s="582">
        <v>0</v>
      </c>
      <c r="X1283" s="580"/>
      <c r="Y1283" s="583">
        <f>IF(GLOBAL_DER_FEV_2023!W1283=0,0,IF(GLOBAL_DER_FEV_2023!W1283&gt;0,"c","b"))</f>
        <v>0</v>
      </c>
    </row>
    <row r="1284" spans="1:25" ht="13.5" hidden="1" thickBot="1" x14ac:dyDescent="0.25">
      <c r="A1284" s="317">
        <v>101904</v>
      </c>
      <c r="B1284" s="895">
        <v>101904</v>
      </c>
      <c r="C1284" s="896" t="s">
        <v>596</v>
      </c>
      <c r="D1284" s="906" t="s">
        <v>1214</v>
      </c>
      <c r="E1284" s="907">
        <f>GLOBAL_DER_FEV_2023!E1284</f>
        <v>0</v>
      </c>
      <c r="F1284" s="908">
        <f>GLOBAL_DER_FEV_2023!F1284</f>
        <v>0</v>
      </c>
      <c r="G1284" s="912">
        <f>GLOBAL_DER_FEV_2023!G1284</f>
        <v>0</v>
      </c>
      <c r="H1284" s="901">
        <f>GLOBAL_DER_FEV_2023!H1284</f>
        <v>1021.61</v>
      </c>
      <c r="I1284" s="901">
        <f>GLOBAL_DER_FEV_2023!I1284</f>
        <v>1021.61</v>
      </c>
      <c r="J1284" s="902">
        <f>GLOBAL_DER_FEV_2023!J1284</f>
        <v>1226.6500000000001</v>
      </c>
      <c r="K1284" s="903" t="s">
        <v>1516</v>
      </c>
      <c r="L1284" s="1137"/>
      <c r="M1284" s="1138">
        <f t="shared" si="92"/>
        <v>0</v>
      </c>
      <c r="N1284" s="893">
        <f t="shared" si="96"/>
        <v>0</v>
      </c>
      <c r="O1284" s="905"/>
      <c r="Q1284" s="317" t="str">
        <f t="shared" si="93"/>
        <v/>
      </c>
      <c r="R1284" s="317" t="str">
        <f t="shared" si="94"/>
        <v/>
      </c>
      <c r="S1284" s="317" t="str">
        <f t="shared" si="95"/>
        <v/>
      </c>
      <c r="T1284" s="317" t="str">
        <f>GLOBAL_DER_FEV_2023!S1284</f>
        <v/>
      </c>
      <c r="W1284" s="582">
        <v>0</v>
      </c>
      <c r="X1284" s="580"/>
      <c r="Y1284" s="583">
        <f>IF(GLOBAL_DER_FEV_2023!W1284=0,0,IF(GLOBAL_DER_FEV_2023!W1284&gt;0,"c","b"))</f>
        <v>0</v>
      </c>
    </row>
    <row r="1285" spans="1:25" ht="23.25" hidden="1" thickBot="1" x14ac:dyDescent="0.25">
      <c r="A1285" s="317">
        <v>93653</v>
      </c>
      <c r="B1285" s="895">
        <v>93653</v>
      </c>
      <c r="C1285" s="896" t="s">
        <v>596</v>
      </c>
      <c r="D1285" s="906" t="s">
        <v>1215</v>
      </c>
      <c r="E1285" s="907">
        <f>GLOBAL_DER_FEV_2023!E1285</f>
        <v>0</v>
      </c>
      <c r="F1285" s="908">
        <f>GLOBAL_DER_FEV_2023!F1285</f>
        <v>0</v>
      </c>
      <c r="G1285" s="912">
        <f>GLOBAL_DER_FEV_2023!G1285</f>
        <v>0</v>
      </c>
      <c r="H1285" s="901">
        <f>GLOBAL_DER_FEV_2023!H1285</f>
        <v>12.16</v>
      </c>
      <c r="I1285" s="901">
        <f>GLOBAL_DER_FEV_2023!I1285</f>
        <v>12.16</v>
      </c>
      <c r="J1285" s="902">
        <f>GLOBAL_DER_FEV_2023!J1285</f>
        <v>14.6</v>
      </c>
      <c r="K1285" s="903" t="s">
        <v>1516</v>
      </c>
      <c r="L1285" s="1137"/>
      <c r="M1285" s="1138">
        <f t="shared" si="92"/>
        <v>0</v>
      </c>
      <c r="N1285" s="893">
        <f t="shared" si="96"/>
        <v>0</v>
      </c>
      <c r="O1285" s="905"/>
      <c r="Q1285" s="317" t="str">
        <f t="shared" si="93"/>
        <v/>
      </c>
      <c r="R1285" s="317" t="str">
        <f t="shared" si="94"/>
        <v/>
      </c>
      <c r="S1285" s="317" t="str">
        <f t="shared" si="95"/>
        <v/>
      </c>
      <c r="T1285" s="317" t="str">
        <f>GLOBAL_DER_FEV_2023!S1285</f>
        <v/>
      </c>
      <c r="W1285" s="582">
        <v>0</v>
      </c>
      <c r="X1285" s="580"/>
      <c r="Y1285" s="583">
        <f>IF(GLOBAL_DER_FEV_2023!W1285=0,0,IF(GLOBAL_DER_FEV_2023!W1285&gt;0,"c","b"))</f>
        <v>0</v>
      </c>
    </row>
    <row r="1286" spans="1:25" ht="23.25" hidden="1" thickBot="1" x14ac:dyDescent="0.25">
      <c r="A1286" s="317">
        <v>93654</v>
      </c>
      <c r="B1286" s="895">
        <v>93654</v>
      </c>
      <c r="C1286" s="896" t="s">
        <v>596</v>
      </c>
      <c r="D1286" s="906" t="s">
        <v>1216</v>
      </c>
      <c r="E1286" s="907">
        <f>GLOBAL_DER_FEV_2023!E1286</f>
        <v>0</v>
      </c>
      <c r="F1286" s="908">
        <f>GLOBAL_DER_FEV_2023!F1286</f>
        <v>0</v>
      </c>
      <c r="G1286" s="912">
        <f>GLOBAL_DER_FEV_2023!G1286</f>
        <v>0</v>
      </c>
      <c r="H1286" s="901">
        <f>GLOBAL_DER_FEV_2023!H1286</f>
        <v>12.9</v>
      </c>
      <c r="I1286" s="901">
        <f>GLOBAL_DER_FEV_2023!I1286</f>
        <v>12.9</v>
      </c>
      <c r="J1286" s="902">
        <f>GLOBAL_DER_FEV_2023!J1286</f>
        <v>15.49</v>
      </c>
      <c r="K1286" s="903" t="s">
        <v>1516</v>
      </c>
      <c r="L1286" s="1137"/>
      <c r="M1286" s="1138">
        <f t="shared" si="92"/>
        <v>0</v>
      </c>
      <c r="N1286" s="893">
        <f t="shared" si="96"/>
        <v>0</v>
      </c>
      <c r="O1286" s="905"/>
      <c r="Q1286" s="317" t="str">
        <f t="shared" si="93"/>
        <v/>
      </c>
      <c r="R1286" s="317" t="str">
        <f t="shared" si="94"/>
        <v/>
      </c>
      <c r="S1286" s="317" t="str">
        <f t="shared" si="95"/>
        <v/>
      </c>
      <c r="T1286" s="317" t="str">
        <f>GLOBAL_DER_FEV_2023!S1286</f>
        <v/>
      </c>
      <c r="W1286" s="582">
        <v>0</v>
      </c>
      <c r="X1286" s="580"/>
      <c r="Y1286" s="583">
        <f>IF(GLOBAL_DER_FEV_2023!W1286=0,0,IF(GLOBAL_DER_FEV_2023!W1286&gt;0,"c","b"))</f>
        <v>0</v>
      </c>
    </row>
    <row r="1287" spans="1:25" ht="23.25" hidden="1" thickBot="1" x14ac:dyDescent="0.25">
      <c r="A1287" s="317">
        <v>93655</v>
      </c>
      <c r="B1287" s="895">
        <v>93655</v>
      </c>
      <c r="C1287" s="896" t="s">
        <v>596</v>
      </c>
      <c r="D1287" s="906" t="s">
        <v>1217</v>
      </c>
      <c r="E1287" s="907">
        <f>GLOBAL_DER_FEV_2023!E1287</f>
        <v>0</v>
      </c>
      <c r="F1287" s="908">
        <f>GLOBAL_DER_FEV_2023!F1287</f>
        <v>0</v>
      </c>
      <c r="G1287" s="912">
        <f>GLOBAL_DER_FEV_2023!G1287</f>
        <v>0</v>
      </c>
      <c r="H1287" s="901">
        <f>GLOBAL_DER_FEV_2023!H1287</f>
        <v>14.29</v>
      </c>
      <c r="I1287" s="901">
        <f>GLOBAL_DER_FEV_2023!I1287</f>
        <v>14.29</v>
      </c>
      <c r="J1287" s="902">
        <f>GLOBAL_DER_FEV_2023!J1287</f>
        <v>17.16</v>
      </c>
      <c r="K1287" s="903" t="s">
        <v>1516</v>
      </c>
      <c r="L1287" s="1137"/>
      <c r="M1287" s="1138">
        <f t="shared" si="92"/>
        <v>0</v>
      </c>
      <c r="N1287" s="893">
        <f t="shared" si="96"/>
        <v>0</v>
      </c>
      <c r="O1287" s="905"/>
      <c r="Q1287" s="317" t="str">
        <f t="shared" si="93"/>
        <v/>
      </c>
      <c r="R1287" s="317" t="str">
        <f t="shared" si="94"/>
        <v/>
      </c>
      <c r="S1287" s="317" t="str">
        <f t="shared" si="95"/>
        <v/>
      </c>
      <c r="T1287" s="317" t="str">
        <f>GLOBAL_DER_FEV_2023!S1287</f>
        <v/>
      </c>
      <c r="W1287" s="582">
        <v>0</v>
      </c>
      <c r="X1287" s="580"/>
      <c r="Y1287" s="583">
        <f>IF(GLOBAL_DER_FEV_2023!W1287=0,0,IF(GLOBAL_DER_FEV_2023!W1287&gt;0,"c","b"))</f>
        <v>0</v>
      </c>
    </row>
    <row r="1288" spans="1:25" ht="23.25" hidden="1" thickBot="1" x14ac:dyDescent="0.25">
      <c r="A1288" s="317">
        <v>93656</v>
      </c>
      <c r="B1288" s="895">
        <v>93656</v>
      </c>
      <c r="C1288" s="896" t="s">
        <v>596</v>
      </c>
      <c r="D1288" s="906" t="s">
        <v>1218</v>
      </c>
      <c r="E1288" s="907">
        <f>GLOBAL_DER_FEV_2023!E1288</f>
        <v>0</v>
      </c>
      <c r="F1288" s="908">
        <f>GLOBAL_DER_FEV_2023!F1288</f>
        <v>0</v>
      </c>
      <c r="G1288" s="912">
        <f>GLOBAL_DER_FEV_2023!G1288</f>
        <v>0</v>
      </c>
      <c r="H1288" s="901">
        <f>GLOBAL_DER_FEV_2023!H1288</f>
        <v>14.29</v>
      </c>
      <c r="I1288" s="901">
        <f>GLOBAL_DER_FEV_2023!I1288</f>
        <v>14.29</v>
      </c>
      <c r="J1288" s="902">
        <f>GLOBAL_DER_FEV_2023!J1288</f>
        <v>17.16</v>
      </c>
      <c r="K1288" s="903" t="s">
        <v>1516</v>
      </c>
      <c r="L1288" s="1137"/>
      <c r="M1288" s="1138">
        <f t="shared" si="92"/>
        <v>0</v>
      </c>
      <c r="N1288" s="893">
        <f t="shared" si="96"/>
        <v>0</v>
      </c>
      <c r="O1288" s="905"/>
      <c r="Q1288" s="317" t="str">
        <f t="shared" si="93"/>
        <v/>
      </c>
      <c r="R1288" s="317" t="str">
        <f t="shared" si="94"/>
        <v/>
      </c>
      <c r="S1288" s="317" t="str">
        <f t="shared" si="95"/>
        <v/>
      </c>
      <c r="T1288" s="317" t="str">
        <f>GLOBAL_DER_FEV_2023!S1288</f>
        <v/>
      </c>
      <c r="W1288" s="582">
        <v>0</v>
      </c>
      <c r="X1288" s="580"/>
      <c r="Y1288" s="583">
        <f>IF(GLOBAL_DER_FEV_2023!W1288=0,0,IF(GLOBAL_DER_FEV_2023!W1288&gt;0,"c","b"))</f>
        <v>0</v>
      </c>
    </row>
    <row r="1289" spans="1:25" ht="23.25" hidden="1" thickBot="1" x14ac:dyDescent="0.25">
      <c r="A1289" s="317">
        <v>93657</v>
      </c>
      <c r="B1289" s="895">
        <v>93657</v>
      </c>
      <c r="C1289" s="896" t="s">
        <v>596</v>
      </c>
      <c r="D1289" s="906" t="s">
        <v>1219</v>
      </c>
      <c r="E1289" s="907">
        <f>GLOBAL_DER_FEV_2023!E1289</f>
        <v>0</v>
      </c>
      <c r="F1289" s="908">
        <f>GLOBAL_DER_FEV_2023!F1289</f>
        <v>0</v>
      </c>
      <c r="G1289" s="912">
        <f>GLOBAL_DER_FEV_2023!G1289</f>
        <v>0</v>
      </c>
      <c r="H1289" s="901">
        <f>GLOBAL_DER_FEV_2023!H1289</f>
        <v>15.99</v>
      </c>
      <c r="I1289" s="901">
        <f>GLOBAL_DER_FEV_2023!I1289</f>
        <v>15.99</v>
      </c>
      <c r="J1289" s="902">
        <f>GLOBAL_DER_FEV_2023!J1289</f>
        <v>19.2</v>
      </c>
      <c r="K1289" s="903" t="s">
        <v>1516</v>
      </c>
      <c r="L1289" s="1137"/>
      <c r="M1289" s="1138">
        <f t="shared" si="92"/>
        <v>0</v>
      </c>
      <c r="N1289" s="893">
        <f t="shared" si="96"/>
        <v>0</v>
      </c>
      <c r="O1289" s="905"/>
      <c r="Q1289" s="317" t="str">
        <f t="shared" si="93"/>
        <v/>
      </c>
      <c r="R1289" s="317" t="str">
        <f t="shared" si="94"/>
        <v/>
      </c>
      <c r="S1289" s="317" t="str">
        <f t="shared" si="95"/>
        <v/>
      </c>
      <c r="T1289" s="317" t="str">
        <f>GLOBAL_DER_FEV_2023!S1289</f>
        <v/>
      </c>
      <c r="W1289" s="582">
        <v>0</v>
      </c>
      <c r="X1289" s="580"/>
      <c r="Y1289" s="583">
        <f>IF(GLOBAL_DER_FEV_2023!W1289=0,0,IF(GLOBAL_DER_FEV_2023!W1289&gt;0,"c","b"))</f>
        <v>0</v>
      </c>
    </row>
    <row r="1290" spans="1:25" ht="23.25" hidden="1" thickBot="1" x14ac:dyDescent="0.25">
      <c r="A1290" s="317">
        <v>93658</v>
      </c>
      <c r="B1290" s="895">
        <v>93658</v>
      </c>
      <c r="C1290" s="896" t="s">
        <v>596</v>
      </c>
      <c r="D1290" s="906" t="s">
        <v>1220</v>
      </c>
      <c r="E1290" s="907">
        <f>GLOBAL_DER_FEV_2023!E1290</f>
        <v>0</v>
      </c>
      <c r="F1290" s="908">
        <f>GLOBAL_DER_FEV_2023!F1290</f>
        <v>0</v>
      </c>
      <c r="G1290" s="912">
        <f>GLOBAL_DER_FEV_2023!G1290</f>
        <v>0</v>
      </c>
      <c r="H1290" s="901">
        <f>GLOBAL_DER_FEV_2023!H1290</f>
        <v>23.17</v>
      </c>
      <c r="I1290" s="901">
        <f>GLOBAL_DER_FEV_2023!I1290</f>
        <v>23.17</v>
      </c>
      <c r="J1290" s="902">
        <f>GLOBAL_DER_FEV_2023!J1290</f>
        <v>27.82</v>
      </c>
      <c r="K1290" s="903" t="s">
        <v>1516</v>
      </c>
      <c r="L1290" s="1137"/>
      <c r="M1290" s="1138">
        <f t="shared" si="92"/>
        <v>0</v>
      </c>
      <c r="N1290" s="893">
        <f t="shared" si="96"/>
        <v>0</v>
      </c>
      <c r="O1290" s="905"/>
      <c r="Q1290" s="317" t="str">
        <f t="shared" si="93"/>
        <v/>
      </c>
      <c r="R1290" s="317" t="str">
        <f t="shared" si="94"/>
        <v/>
      </c>
      <c r="S1290" s="317" t="str">
        <f t="shared" si="95"/>
        <v/>
      </c>
      <c r="T1290" s="317" t="str">
        <f>GLOBAL_DER_FEV_2023!S1290</f>
        <v/>
      </c>
      <c r="W1290" s="582">
        <v>0</v>
      </c>
      <c r="X1290" s="580"/>
      <c r="Y1290" s="583">
        <f>IF(GLOBAL_DER_FEV_2023!W1290=0,0,IF(GLOBAL_DER_FEV_2023!W1290&gt;0,"c","b"))</f>
        <v>0</v>
      </c>
    </row>
    <row r="1291" spans="1:25" ht="23.25" hidden="1" thickBot="1" x14ac:dyDescent="0.25">
      <c r="A1291" s="317">
        <v>93659</v>
      </c>
      <c r="B1291" s="895">
        <v>93659</v>
      </c>
      <c r="C1291" s="896" t="s">
        <v>596</v>
      </c>
      <c r="D1291" s="906" t="s">
        <v>1221</v>
      </c>
      <c r="E1291" s="907">
        <f>GLOBAL_DER_FEV_2023!E1291</f>
        <v>0</v>
      </c>
      <c r="F1291" s="908">
        <f>GLOBAL_DER_FEV_2023!F1291</f>
        <v>0</v>
      </c>
      <c r="G1291" s="912">
        <f>GLOBAL_DER_FEV_2023!G1291</f>
        <v>0</v>
      </c>
      <c r="H1291" s="901">
        <f>GLOBAL_DER_FEV_2023!H1291</f>
        <v>26.68</v>
      </c>
      <c r="I1291" s="901">
        <f>GLOBAL_DER_FEV_2023!I1291</f>
        <v>26.68</v>
      </c>
      <c r="J1291" s="902">
        <f>GLOBAL_DER_FEV_2023!J1291</f>
        <v>32.03</v>
      </c>
      <c r="K1291" s="903" t="s">
        <v>1516</v>
      </c>
      <c r="L1291" s="1137"/>
      <c r="M1291" s="1138">
        <f t="shared" si="92"/>
        <v>0</v>
      </c>
      <c r="N1291" s="893">
        <f t="shared" si="96"/>
        <v>0</v>
      </c>
      <c r="O1291" s="905"/>
      <c r="Q1291" s="317" t="str">
        <f t="shared" si="93"/>
        <v/>
      </c>
      <c r="R1291" s="317" t="str">
        <f t="shared" si="94"/>
        <v/>
      </c>
      <c r="S1291" s="317" t="str">
        <f t="shared" si="95"/>
        <v/>
      </c>
      <c r="T1291" s="317" t="str">
        <f>GLOBAL_DER_FEV_2023!S1291</f>
        <v/>
      </c>
      <c r="W1291" s="582">
        <v>0</v>
      </c>
      <c r="X1291" s="580"/>
      <c r="Y1291" s="583">
        <f>IF(GLOBAL_DER_FEV_2023!W1291=0,0,IF(GLOBAL_DER_FEV_2023!W1291&gt;0,"c","b"))</f>
        <v>0</v>
      </c>
    </row>
    <row r="1292" spans="1:25" ht="23.25" hidden="1" thickBot="1" x14ac:dyDescent="0.25">
      <c r="A1292" s="317">
        <v>101890</v>
      </c>
      <c r="B1292" s="895">
        <v>101890</v>
      </c>
      <c r="C1292" s="896" t="s">
        <v>596</v>
      </c>
      <c r="D1292" s="906" t="s">
        <v>1222</v>
      </c>
      <c r="E1292" s="907">
        <f>GLOBAL_DER_FEV_2023!E1292</f>
        <v>0</v>
      </c>
      <c r="F1292" s="908">
        <f>GLOBAL_DER_FEV_2023!F1292</f>
        <v>0</v>
      </c>
      <c r="G1292" s="912">
        <f>GLOBAL_DER_FEV_2023!G1292</f>
        <v>0</v>
      </c>
      <c r="H1292" s="901">
        <f>GLOBAL_DER_FEV_2023!H1292</f>
        <v>17</v>
      </c>
      <c r="I1292" s="901">
        <f>GLOBAL_DER_FEV_2023!I1292</f>
        <v>17</v>
      </c>
      <c r="J1292" s="902">
        <f>GLOBAL_DER_FEV_2023!J1292</f>
        <v>20.41</v>
      </c>
      <c r="K1292" s="903" t="s">
        <v>1516</v>
      </c>
      <c r="L1292" s="1137"/>
      <c r="M1292" s="1138">
        <f t="shared" si="92"/>
        <v>0</v>
      </c>
      <c r="N1292" s="893">
        <f t="shared" si="96"/>
        <v>0</v>
      </c>
      <c r="O1292" s="905"/>
      <c r="Q1292" s="317" t="str">
        <f t="shared" si="93"/>
        <v/>
      </c>
      <c r="R1292" s="317" t="str">
        <f t="shared" si="94"/>
        <v/>
      </c>
      <c r="S1292" s="317" t="str">
        <f t="shared" si="95"/>
        <v/>
      </c>
      <c r="T1292" s="317" t="str">
        <f>GLOBAL_DER_FEV_2023!S1292</f>
        <v/>
      </c>
      <c r="W1292" s="582">
        <v>0</v>
      </c>
      <c r="X1292" s="580"/>
      <c r="Y1292" s="583">
        <f>IF(GLOBAL_DER_FEV_2023!W1292=0,0,IF(GLOBAL_DER_FEV_2023!W1292&gt;0,"c","b"))</f>
        <v>0</v>
      </c>
    </row>
    <row r="1293" spans="1:25" ht="23.25" hidden="1" thickBot="1" x14ac:dyDescent="0.25">
      <c r="A1293" s="317">
        <v>101891</v>
      </c>
      <c r="B1293" s="895">
        <v>101891</v>
      </c>
      <c r="C1293" s="896" t="s">
        <v>596</v>
      </c>
      <c r="D1293" s="906" t="s">
        <v>1223</v>
      </c>
      <c r="E1293" s="907">
        <f>GLOBAL_DER_FEV_2023!E1293</f>
        <v>0</v>
      </c>
      <c r="F1293" s="908">
        <f>GLOBAL_DER_FEV_2023!F1293</f>
        <v>0</v>
      </c>
      <c r="G1293" s="912">
        <f>GLOBAL_DER_FEV_2023!G1293</f>
        <v>0</v>
      </c>
      <c r="H1293" s="901">
        <f>GLOBAL_DER_FEV_2023!H1293</f>
        <v>29.51</v>
      </c>
      <c r="I1293" s="901">
        <f>GLOBAL_DER_FEV_2023!I1293</f>
        <v>29.51</v>
      </c>
      <c r="J1293" s="902">
        <f>GLOBAL_DER_FEV_2023!J1293</f>
        <v>35.43</v>
      </c>
      <c r="K1293" s="903" t="s">
        <v>1516</v>
      </c>
      <c r="L1293" s="1137"/>
      <c r="M1293" s="1138">
        <f t="shared" si="92"/>
        <v>0</v>
      </c>
      <c r="N1293" s="893">
        <f t="shared" si="96"/>
        <v>0</v>
      </c>
      <c r="O1293" s="905"/>
      <c r="Q1293" s="317" t="str">
        <f t="shared" si="93"/>
        <v/>
      </c>
      <c r="R1293" s="317" t="str">
        <f t="shared" si="94"/>
        <v/>
      </c>
      <c r="S1293" s="317" t="str">
        <f t="shared" si="95"/>
        <v/>
      </c>
      <c r="T1293" s="317" t="str">
        <f>GLOBAL_DER_FEV_2023!S1293</f>
        <v/>
      </c>
      <c r="W1293" s="582">
        <v>0</v>
      </c>
      <c r="X1293" s="580"/>
      <c r="Y1293" s="583">
        <f>IF(GLOBAL_DER_FEV_2023!W1293=0,0,IF(GLOBAL_DER_FEV_2023!W1293&gt;0,"c","b"))</f>
        <v>0</v>
      </c>
    </row>
    <row r="1294" spans="1:25" ht="23.25" hidden="1" thickBot="1" x14ac:dyDescent="0.25">
      <c r="A1294" s="317">
        <v>93660</v>
      </c>
      <c r="B1294" s="895">
        <v>93660</v>
      </c>
      <c r="C1294" s="896" t="s">
        <v>596</v>
      </c>
      <c r="D1294" s="906" t="s">
        <v>1224</v>
      </c>
      <c r="E1294" s="907">
        <f>GLOBAL_DER_FEV_2023!E1294</f>
        <v>0</v>
      </c>
      <c r="F1294" s="908">
        <f>GLOBAL_DER_FEV_2023!F1294</f>
        <v>0</v>
      </c>
      <c r="G1294" s="912">
        <f>GLOBAL_DER_FEV_2023!G1294</f>
        <v>0</v>
      </c>
      <c r="H1294" s="901">
        <f>GLOBAL_DER_FEV_2023!H1294</f>
        <v>58.62</v>
      </c>
      <c r="I1294" s="901">
        <f>GLOBAL_DER_FEV_2023!I1294</f>
        <v>58.62</v>
      </c>
      <c r="J1294" s="902">
        <f>GLOBAL_DER_FEV_2023!J1294</f>
        <v>70.39</v>
      </c>
      <c r="K1294" s="903" t="s">
        <v>1516</v>
      </c>
      <c r="L1294" s="1137"/>
      <c r="M1294" s="1138">
        <f t="shared" si="92"/>
        <v>0</v>
      </c>
      <c r="N1294" s="893">
        <f t="shared" si="96"/>
        <v>0</v>
      </c>
      <c r="O1294" s="905"/>
      <c r="Q1294" s="317" t="str">
        <f t="shared" si="93"/>
        <v/>
      </c>
      <c r="R1294" s="317" t="str">
        <f t="shared" si="94"/>
        <v/>
      </c>
      <c r="S1294" s="317" t="str">
        <f t="shared" si="95"/>
        <v/>
      </c>
      <c r="T1294" s="317" t="str">
        <f>GLOBAL_DER_FEV_2023!S1294</f>
        <v/>
      </c>
      <c r="W1294" s="582">
        <v>0</v>
      </c>
      <c r="X1294" s="580"/>
      <c r="Y1294" s="583">
        <f>IF(GLOBAL_DER_FEV_2023!W1294=0,0,IF(GLOBAL_DER_FEV_2023!W1294&gt;0,"c","b"))</f>
        <v>0</v>
      </c>
    </row>
    <row r="1295" spans="1:25" ht="23.25" hidden="1" thickBot="1" x14ac:dyDescent="0.25">
      <c r="A1295" s="317">
        <v>93661</v>
      </c>
      <c r="B1295" s="895">
        <v>93661</v>
      </c>
      <c r="C1295" s="896" t="s">
        <v>596</v>
      </c>
      <c r="D1295" s="906" t="s">
        <v>1225</v>
      </c>
      <c r="E1295" s="907">
        <f>GLOBAL_DER_FEV_2023!E1295</f>
        <v>0</v>
      </c>
      <c r="F1295" s="908">
        <f>GLOBAL_DER_FEV_2023!F1295</f>
        <v>0</v>
      </c>
      <c r="G1295" s="912">
        <f>GLOBAL_DER_FEV_2023!G1295</f>
        <v>0</v>
      </c>
      <c r="H1295" s="901">
        <f>GLOBAL_DER_FEV_2023!H1295</f>
        <v>60.11</v>
      </c>
      <c r="I1295" s="901">
        <f>GLOBAL_DER_FEV_2023!I1295</f>
        <v>60.11</v>
      </c>
      <c r="J1295" s="902">
        <f>GLOBAL_DER_FEV_2023!J1295</f>
        <v>72.17</v>
      </c>
      <c r="K1295" s="903" t="s">
        <v>1516</v>
      </c>
      <c r="L1295" s="1137"/>
      <c r="M1295" s="1138">
        <f t="shared" si="92"/>
        <v>0</v>
      </c>
      <c r="N1295" s="893">
        <f t="shared" si="96"/>
        <v>0</v>
      </c>
      <c r="O1295" s="905"/>
      <c r="Q1295" s="317" t="str">
        <f t="shared" si="93"/>
        <v/>
      </c>
      <c r="R1295" s="317" t="str">
        <f t="shared" si="94"/>
        <v/>
      </c>
      <c r="S1295" s="317" t="str">
        <f t="shared" si="95"/>
        <v/>
      </c>
      <c r="T1295" s="317" t="str">
        <f>GLOBAL_DER_FEV_2023!S1295</f>
        <v/>
      </c>
      <c r="W1295" s="582">
        <v>0</v>
      </c>
      <c r="X1295" s="580"/>
      <c r="Y1295" s="583">
        <f>IF(GLOBAL_DER_FEV_2023!W1295=0,0,IF(GLOBAL_DER_FEV_2023!W1295&gt;0,"c","b"))</f>
        <v>0</v>
      </c>
    </row>
    <row r="1296" spans="1:25" ht="23.25" hidden="1" thickBot="1" x14ac:dyDescent="0.25">
      <c r="A1296" s="317">
        <v>93662</v>
      </c>
      <c r="B1296" s="895">
        <v>93662</v>
      </c>
      <c r="C1296" s="896" t="s">
        <v>596</v>
      </c>
      <c r="D1296" s="906" t="s">
        <v>1226</v>
      </c>
      <c r="E1296" s="907">
        <f>GLOBAL_DER_FEV_2023!E1296</f>
        <v>0</v>
      </c>
      <c r="F1296" s="908">
        <f>GLOBAL_DER_FEV_2023!F1296</f>
        <v>0</v>
      </c>
      <c r="G1296" s="912">
        <f>GLOBAL_DER_FEV_2023!G1296</f>
        <v>0</v>
      </c>
      <c r="H1296" s="901">
        <f>GLOBAL_DER_FEV_2023!H1296</f>
        <v>62.87</v>
      </c>
      <c r="I1296" s="901">
        <f>GLOBAL_DER_FEV_2023!I1296</f>
        <v>62.87</v>
      </c>
      <c r="J1296" s="902">
        <f>GLOBAL_DER_FEV_2023!J1296</f>
        <v>75.489999999999995</v>
      </c>
      <c r="K1296" s="903" t="s">
        <v>1516</v>
      </c>
      <c r="L1296" s="1137"/>
      <c r="M1296" s="1138">
        <f t="shared" si="92"/>
        <v>0</v>
      </c>
      <c r="N1296" s="893">
        <f t="shared" si="96"/>
        <v>0</v>
      </c>
      <c r="O1296" s="905"/>
      <c r="Q1296" s="317" t="str">
        <f t="shared" si="93"/>
        <v/>
      </c>
      <c r="R1296" s="317" t="str">
        <f t="shared" si="94"/>
        <v/>
      </c>
      <c r="S1296" s="317" t="str">
        <f t="shared" si="95"/>
        <v/>
      </c>
      <c r="T1296" s="317" t="str">
        <f>GLOBAL_DER_FEV_2023!S1296</f>
        <v/>
      </c>
      <c r="W1296" s="582">
        <v>0</v>
      </c>
      <c r="X1296" s="580"/>
      <c r="Y1296" s="583">
        <f>IF(GLOBAL_DER_FEV_2023!W1296=0,0,IF(GLOBAL_DER_FEV_2023!W1296&gt;0,"c","b"))</f>
        <v>0</v>
      </c>
    </row>
    <row r="1297" spans="1:25" ht="23.25" hidden="1" thickBot="1" x14ac:dyDescent="0.25">
      <c r="A1297" s="317">
        <v>93663</v>
      </c>
      <c r="B1297" s="895">
        <v>93663</v>
      </c>
      <c r="C1297" s="896" t="s">
        <v>596</v>
      </c>
      <c r="D1297" s="906" t="s">
        <v>1227</v>
      </c>
      <c r="E1297" s="907">
        <f>GLOBAL_DER_FEV_2023!E1297</f>
        <v>0</v>
      </c>
      <c r="F1297" s="908">
        <f>GLOBAL_DER_FEV_2023!F1297</f>
        <v>0</v>
      </c>
      <c r="G1297" s="912">
        <f>GLOBAL_DER_FEV_2023!G1297</f>
        <v>0</v>
      </c>
      <c r="H1297" s="901">
        <f>GLOBAL_DER_FEV_2023!H1297</f>
        <v>62.87</v>
      </c>
      <c r="I1297" s="901">
        <f>GLOBAL_DER_FEV_2023!I1297</f>
        <v>62.87</v>
      </c>
      <c r="J1297" s="902">
        <f>GLOBAL_DER_FEV_2023!J1297</f>
        <v>75.489999999999995</v>
      </c>
      <c r="K1297" s="903" t="s">
        <v>1516</v>
      </c>
      <c r="L1297" s="1137"/>
      <c r="M1297" s="1138">
        <f t="shared" si="92"/>
        <v>0</v>
      </c>
      <c r="N1297" s="893">
        <f t="shared" si="96"/>
        <v>0</v>
      </c>
      <c r="O1297" s="905"/>
      <c r="Q1297" s="317" t="str">
        <f t="shared" si="93"/>
        <v/>
      </c>
      <c r="R1297" s="317" t="str">
        <f t="shared" si="94"/>
        <v/>
      </c>
      <c r="S1297" s="317" t="str">
        <f t="shared" si="95"/>
        <v/>
      </c>
      <c r="T1297" s="317" t="str">
        <f>GLOBAL_DER_FEV_2023!S1297</f>
        <v/>
      </c>
      <c r="W1297" s="582">
        <v>0</v>
      </c>
      <c r="X1297" s="580"/>
      <c r="Y1297" s="583">
        <f>IF(GLOBAL_DER_FEV_2023!W1297=0,0,IF(GLOBAL_DER_FEV_2023!W1297&gt;0,"c","b"))</f>
        <v>0</v>
      </c>
    </row>
    <row r="1298" spans="1:25" ht="23.25" hidden="1" thickBot="1" x14ac:dyDescent="0.25">
      <c r="A1298" s="317">
        <v>93664</v>
      </c>
      <c r="B1298" s="895">
        <v>93664</v>
      </c>
      <c r="C1298" s="896" t="s">
        <v>596</v>
      </c>
      <c r="D1298" s="906" t="s">
        <v>1228</v>
      </c>
      <c r="E1298" s="907">
        <f>GLOBAL_DER_FEV_2023!E1298</f>
        <v>0</v>
      </c>
      <c r="F1298" s="908">
        <f>GLOBAL_DER_FEV_2023!F1298</f>
        <v>0</v>
      </c>
      <c r="G1298" s="912">
        <f>GLOBAL_DER_FEV_2023!G1298</f>
        <v>0</v>
      </c>
      <c r="H1298" s="901">
        <f>GLOBAL_DER_FEV_2023!H1298</f>
        <v>66.28</v>
      </c>
      <c r="I1298" s="901">
        <f>GLOBAL_DER_FEV_2023!I1298</f>
        <v>66.28</v>
      </c>
      <c r="J1298" s="902">
        <f>GLOBAL_DER_FEV_2023!J1298</f>
        <v>79.58</v>
      </c>
      <c r="K1298" s="903" t="s">
        <v>1516</v>
      </c>
      <c r="L1298" s="1137"/>
      <c r="M1298" s="1138">
        <f t="shared" ref="M1298:M1361" si="97">IF(L1298=0,0,ROUND(J1298,2))</f>
        <v>0</v>
      </c>
      <c r="N1298" s="893">
        <f t="shared" si="96"/>
        <v>0</v>
      </c>
      <c r="O1298" s="905"/>
      <c r="Q1298" s="317" t="str">
        <f t="shared" si="93"/>
        <v/>
      </c>
      <c r="R1298" s="317" t="str">
        <f t="shared" si="94"/>
        <v/>
      </c>
      <c r="S1298" s="317" t="str">
        <f t="shared" si="95"/>
        <v/>
      </c>
      <c r="T1298" s="317" t="str">
        <f>GLOBAL_DER_FEV_2023!S1298</f>
        <v/>
      </c>
      <c r="W1298" s="582">
        <v>0</v>
      </c>
      <c r="X1298" s="580"/>
      <c r="Y1298" s="583">
        <f>IF(GLOBAL_DER_FEV_2023!W1298=0,0,IF(GLOBAL_DER_FEV_2023!W1298&gt;0,"c","b"))</f>
        <v>0</v>
      </c>
    </row>
    <row r="1299" spans="1:25" ht="23.25" hidden="1" thickBot="1" x14ac:dyDescent="0.25">
      <c r="A1299" s="317">
        <v>93665</v>
      </c>
      <c r="B1299" s="895">
        <v>93665</v>
      </c>
      <c r="C1299" s="896" t="s">
        <v>596</v>
      </c>
      <c r="D1299" s="906" t="s">
        <v>1229</v>
      </c>
      <c r="E1299" s="907">
        <f>GLOBAL_DER_FEV_2023!E1299</f>
        <v>0</v>
      </c>
      <c r="F1299" s="908">
        <f>GLOBAL_DER_FEV_2023!F1299</f>
        <v>0</v>
      </c>
      <c r="G1299" s="912">
        <f>GLOBAL_DER_FEV_2023!G1299</f>
        <v>0</v>
      </c>
      <c r="H1299" s="901">
        <f>GLOBAL_DER_FEV_2023!H1299</f>
        <v>70.98</v>
      </c>
      <c r="I1299" s="901">
        <f>GLOBAL_DER_FEV_2023!I1299</f>
        <v>70.98</v>
      </c>
      <c r="J1299" s="902">
        <f>GLOBAL_DER_FEV_2023!J1299</f>
        <v>85.23</v>
      </c>
      <c r="K1299" s="903" t="s">
        <v>1516</v>
      </c>
      <c r="L1299" s="1137"/>
      <c r="M1299" s="1138">
        <f t="shared" si="97"/>
        <v>0</v>
      </c>
      <c r="N1299" s="893">
        <f t="shared" si="96"/>
        <v>0</v>
      </c>
      <c r="O1299" s="905"/>
      <c r="Q1299" s="317" t="str">
        <f t="shared" si="93"/>
        <v/>
      </c>
      <c r="R1299" s="317" t="str">
        <f t="shared" si="94"/>
        <v/>
      </c>
      <c r="S1299" s="317" t="str">
        <f t="shared" si="95"/>
        <v/>
      </c>
      <c r="T1299" s="317" t="str">
        <f>GLOBAL_DER_FEV_2023!S1299</f>
        <v/>
      </c>
      <c r="W1299" s="582">
        <v>0</v>
      </c>
      <c r="X1299" s="580"/>
      <c r="Y1299" s="583">
        <f>IF(GLOBAL_DER_FEV_2023!W1299=0,0,IF(GLOBAL_DER_FEV_2023!W1299&gt;0,"c","b"))</f>
        <v>0</v>
      </c>
    </row>
    <row r="1300" spans="1:25" ht="23.25" hidden="1" thickBot="1" x14ac:dyDescent="0.25">
      <c r="A1300" s="317">
        <v>93666</v>
      </c>
      <c r="B1300" s="895">
        <v>93666</v>
      </c>
      <c r="C1300" s="896" t="s">
        <v>596</v>
      </c>
      <c r="D1300" s="906" t="s">
        <v>1230</v>
      </c>
      <c r="E1300" s="907">
        <f>GLOBAL_DER_FEV_2023!E1300</f>
        <v>0</v>
      </c>
      <c r="F1300" s="908">
        <f>GLOBAL_DER_FEV_2023!F1300</f>
        <v>0</v>
      </c>
      <c r="G1300" s="912">
        <f>GLOBAL_DER_FEV_2023!G1300</f>
        <v>0</v>
      </c>
      <c r="H1300" s="901">
        <f>GLOBAL_DER_FEV_2023!H1300</f>
        <v>77.989999999999995</v>
      </c>
      <c r="I1300" s="901">
        <f>GLOBAL_DER_FEV_2023!I1300</f>
        <v>77.989999999999995</v>
      </c>
      <c r="J1300" s="902">
        <f>GLOBAL_DER_FEV_2023!J1300</f>
        <v>93.64</v>
      </c>
      <c r="K1300" s="903" t="s">
        <v>1516</v>
      </c>
      <c r="L1300" s="1137"/>
      <c r="M1300" s="1138">
        <f t="shared" si="97"/>
        <v>0</v>
      </c>
      <c r="N1300" s="893">
        <f t="shared" si="96"/>
        <v>0</v>
      </c>
      <c r="O1300" s="905"/>
      <c r="Q1300" s="317" t="str">
        <f t="shared" si="93"/>
        <v/>
      </c>
      <c r="R1300" s="317" t="str">
        <f t="shared" si="94"/>
        <v/>
      </c>
      <c r="S1300" s="317" t="str">
        <f t="shared" si="95"/>
        <v/>
      </c>
      <c r="T1300" s="317" t="str">
        <f>GLOBAL_DER_FEV_2023!S1300</f>
        <v/>
      </c>
      <c r="W1300" s="582">
        <v>0</v>
      </c>
      <c r="X1300" s="580"/>
      <c r="Y1300" s="583">
        <f>IF(GLOBAL_DER_FEV_2023!W1300=0,0,IF(GLOBAL_DER_FEV_2023!W1300&gt;0,"c","b"))</f>
        <v>0</v>
      </c>
    </row>
    <row r="1301" spans="1:25" ht="23.25" hidden="1" thickBot="1" x14ac:dyDescent="0.25">
      <c r="A1301" s="317">
        <v>101892</v>
      </c>
      <c r="B1301" s="895">
        <v>101892</v>
      </c>
      <c r="C1301" s="896" t="s">
        <v>596</v>
      </c>
      <c r="D1301" s="906" t="s">
        <v>1231</v>
      </c>
      <c r="E1301" s="907">
        <f>GLOBAL_DER_FEV_2023!E1301</f>
        <v>0</v>
      </c>
      <c r="F1301" s="908">
        <f>GLOBAL_DER_FEV_2023!F1301</f>
        <v>0</v>
      </c>
      <c r="G1301" s="912">
        <f>GLOBAL_DER_FEV_2023!G1301</f>
        <v>0</v>
      </c>
      <c r="H1301" s="901">
        <f>GLOBAL_DER_FEV_2023!H1301</f>
        <v>74.239999999999995</v>
      </c>
      <c r="I1301" s="901">
        <f>GLOBAL_DER_FEV_2023!I1301</f>
        <v>74.239999999999995</v>
      </c>
      <c r="J1301" s="902">
        <f>GLOBAL_DER_FEV_2023!J1301</f>
        <v>89.14</v>
      </c>
      <c r="K1301" s="903" t="s">
        <v>1516</v>
      </c>
      <c r="L1301" s="1137"/>
      <c r="M1301" s="1138">
        <f t="shared" si="97"/>
        <v>0</v>
      </c>
      <c r="N1301" s="893">
        <f t="shared" si="96"/>
        <v>0</v>
      </c>
      <c r="O1301" s="905"/>
      <c r="Q1301" s="317" t="str">
        <f t="shared" si="93"/>
        <v/>
      </c>
      <c r="R1301" s="317" t="str">
        <f t="shared" si="94"/>
        <v/>
      </c>
      <c r="S1301" s="317" t="str">
        <f t="shared" si="95"/>
        <v/>
      </c>
      <c r="T1301" s="317" t="str">
        <f>GLOBAL_DER_FEV_2023!S1301</f>
        <v/>
      </c>
      <c r="W1301" s="582">
        <v>0</v>
      </c>
      <c r="X1301" s="580"/>
      <c r="Y1301" s="583">
        <f>IF(GLOBAL_DER_FEV_2023!W1301=0,0,IF(GLOBAL_DER_FEV_2023!W1301&gt;0,"c","b"))</f>
        <v>0</v>
      </c>
    </row>
    <row r="1302" spans="1:25" ht="23.25" hidden="1" thickBot="1" x14ac:dyDescent="0.25">
      <c r="A1302" s="317">
        <v>93667</v>
      </c>
      <c r="B1302" s="895">
        <v>93667</v>
      </c>
      <c r="C1302" s="896" t="s">
        <v>596</v>
      </c>
      <c r="D1302" s="906" t="s">
        <v>1232</v>
      </c>
      <c r="E1302" s="907">
        <f>GLOBAL_DER_FEV_2023!E1302</f>
        <v>0</v>
      </c>
      <c r="F1302" s="908">
        <f>GLOBAL_DER_FEV_2023!F1302</f>
        <v>0</v>
      </c>
      <c r="G1302" s="912">
        <f>GLOBAL_DER_FEV_2023!G1302</f>
        <v>0</v>
      </c>
      <c r="H1302" s="901">
        <f>GLOBAL_DER_FEV_2023!H1302</f>
        <v>73.459999999999994</v>
      </c>
      <c r="I1302" s="901">
        <f>GLOBAL_DER_FEV_2023!I1302</f>
        <v>73.459999999999994</v>
      </c>
      <c r="J1302" s="902">
        <f>GLOBAL_DER_FEV_2023!J1302</f>
        <v>88.2</v>
      </c>
      <c r="K1302" s="903" t="s">
        <v>1516</v>
      </c>
      <c r="L1302" s="1137"/>
      <c r="M1302" s="1138">
        <f t="shared" si="97"/>
        <v>0</v>
      </c>
      <c r="N1302" s="893">
        <f t="shared" si="96"/>
        <v>0</v>
      </c>
      <c r="O1302" s="905"/>
      <c r="Q1302" s="317" t="str">
        <f t="shared" si="93"/>
        <v/>
      </c>
      <c r="R1302" s="317" t="str">
        <f t="shared" si="94"/>
        <v/>
      </c>
      <c r="S1302" s="317" t="str">
        <f t="shared" si="95"/>
        <v/>
      </c>
      <c r="T1302" s="317" t="str">
        <f>GLOBAL_DER_FEV_2023!S1302</f>
        <v/>
      </c>
      <c r="W1302" s="582">
        <v>0</v>
      </c>
      <c r="X1302" s="580"/>
      <c r="Y1302" s="583">
        <f>IF(GLOBAL_DER_FEV_2023!W1302=0,0,IF(GLOBAL_DER_FEV_2023!W1302&gt;0,"c","b"))</f>
        <v>0</v>
      </c>
    </row>
    <row r="1303" spans="1:25" ht="23.25" hidden="1" thickBot="1" x14ac:dyDescent="0.25">
      <c r="A1303" s="317">
        <v>93668</v>
      </c>
      <c r="B1303" s="895">
        <v>93668</v>
      </c>
      <c r="C1303" s="896" t="s">
        <v>596</v>
      </c>
      <c r="D1303" s="906" t="s">
        <v>1233</v>
      </c>
      <c r="E1303" s="907">
        <f>GLOBAL_DER_FEV_2023!E1303</f>
        <v>0</v>
      </c>
      <c r="F1303" s="908">
        <f>GLOBAL_DER_FEV_2023!F1303</f>
        <v>0</v>
      </c>
      <c r="G1303" s="912">
        <f>GLOBAL_DER_FEV_2023!G1303</f>
        <v>0</v>
      </c>
      <c r="H1303" s="901">
        <f>GLOBAL_DER_FEV_2023!H1303</f>
        <v>75.7</v>
      </c>
      <c r="I1303" s="901">
        <f>GLOBAL_DER_FEV_2023!I1303</f>
        <v>75.7</v>
      </c>
      <c r="J1303" s="902">
        <f>GLOBAL_DER_FEV_2023!J1303</f>
        <v>90.89</v>
      </c>
      <c r="K1303" s="903" t="s">
        <v>1516</v>
      </c>
      <c r="L1303" s="1137"/>
      <c r="M1303" s="1138">
        <f t="shared" si="97"/>
        <v>0</v>
      </c>
      <c r="N1303" s="893">
        <f t="shared" si="96"/>
        <v>0</v>
      </c>
      <c r="O1303" s="905"/>
      <c r="Q1303" s="317" t="str">
        <f t="shared" si="93"/>
        <v/>
      </c>
      <c r="R1303" s="317" t="str">
        <f t="shared" si="94"/>
        <v/>
      </c>
      <c r="S1303" s="317" t="str">
        <f t="shared" si="95"/>
        <v/>
      </c>
      <c r="T1303" s="317" t="str">
        <f>GLOBAL_DER_FEV_2023!S1303</f>
        <v/>
      </c>
      <c r="W1303" s="582">
        <v>0</v>
      </c>
      <c r="X1303" s="580"/>
      <c r="Y1303" s="583">
        <f>IF(GLOBAL_DER_FEV_2023!W1303=0,0,IF(GLOBAL_DER_FEV_2023!W1303&gt;0,"c","b"))</f>
        <v>0</v>
      </c>
    </row>
    <row r="1304" spans="1:25" ht="23.25" hidden="1" thickBot="1" x14ac:dyDescent="0.25">
      <c r="A1304" s="317">
        <v>93669</v>
      </c>
      <c r="B1304" s="895">
        <v>93669</v>
      </c>
      <c r="C1304" s="896" t="s">
        <v>596</v>
      </c>
      <c r="D1304" s="906" t="s">
        <v>1234</v>
      </c>
      <c r="E1304" s="907">
        <f>GLOBAL_DER_FEV_2023!E1304</f>
        <v>0</v>
      </c>
      <c r="F1304" s="908">
        <f>GLOBAL_DER_FEV_2023!F1304</f>
        <v>0</v>
      </c>
      <c r="G1304" s="912">
        <f>GLOBAL_DER_FEV_2023!G1304</f>
        <v>0</v>
      </c>
      <c r="H1304" s="901">
        <f>GLOBAL_DER_FEV_2023!H1304</f>
        <v>79.84</v>
      </c>
      <c r="I1304" s="901">
        <f>GLOBAL_DER_FEV_2023!I1304</f>
        <v>79.84</v>
      </c>
      <c r="J1304" s="902">
        <f>GLOBAL_DER_FEV_2023!J1304</f>
        <v>95.86</v>
      </c>
      <c r="K1304" s="903" t="s">
        <v>1516</v>
      </c>
      <c r="L1304" s="1137"/>
      <c r="M1304" s="1138">
        <f t="shared" si="97"/>
        <v>0</v>
      </c>
      <c r="N1304" s="893">
        <f t="shared" si="96"/>
        <v>0</v>
      </c>
      <c r="O1304" s="905"/>
      <c r="Q1304" s="317" t="str">
        <f t="shared" si="93"/>
        <v/>
      </c>
      <c r="R1304" s="317" t="str">
        <f t="shared" si="94"/>
        <v/>
      </c>
      <c r="S1304" s="317" t="str">
        <f t="shared" si="95"/>
        <v/>
      </c>
      <c r="T1304" s="317" t="str">
        <f>GLOBAL_DER_FEV_2023!S1304</f>
        <v/>
      </c>
      <c r="W1304" s="582">
        <v>0</v>
      </c>
      <c r="X1304" s="580"/>
      <c r="Y1304" s="583">
        <f>IF(GLOBAL_DER_FEV_2023!W1304=0,0,IF(GLOBAL_DER_FEV_2023!W1304&gt;0,"c","b"))</f>
        <v>0</v>
      </c>
    </row>
    <row r="1305" spans="1:25" ht="23.25" hidden="1" thickBot="1" x14ac:dyDescent="0.25">
      <c r="A1305" s="317">
        <v>93670</v>
      </c>
      <c r="B1305" s="895">
        <v>93670</v>
      </c>
      <c r="C1305" s="896" t="s">
        <v>596</v>
      </c>
      <c r="D1305" s="906" t="s">
        <v>1235</v>
      </c>
      <c r="E1305" s="907">
        <f>GLOBAL_DER_FEV_2023!E1305</f>
        <v>0</v>
      </c>
      <c r="F1305" s="908">
        <f>GLOBAL_DER_FEV_2023!F1305</f>
        <v>0</v>
      </c>
      <c r="G1305" s="912">
        <f>GLOBAL_DER_FEV_2023!G1305</f>
        <v>0</v>
      </c>
      <c r="H1305" s="901">
        <f>GLOBAL_DER_FEV_2023!H1305</f>
        <v>79.84</v>
      </c>
      <c r="I1305" s="901">
        <f>GLOBAL_DER_FEV_2023!I1305</f>
        <v>79.84</v>
      </c>
      <c r="J1305" s="902">
        <f>GLOBAL_DER_FEV_2023!J1305</f>
        <v>95.86</v>
      </c>
      <c r="K1305" s="903" t="s">
        <v>1516</v>
      </c>
      <c r="L1305" s="1137"/>
      <c r="M1305" s="1138">
        <f t="shared" si="97"/>
        <v>0</v>
      </c>
      <c r="N1305" s="893">
        <f t="shared" si="96"/>
        <v>0</v>
      </c>
      <c r="O1305" s="905"/>
      <c r="Q1305" s="317" t="str">
        <f t="shared" si="93"/>
        <v/>
      </c>
      <c r="R1305" s="317" t="str">
        <f t="shared" si="94"/>
        <v/>
      </c>
      <c r="S1305" s="317" t="str">
        <f t="shared" si="95"/>
        <v/>
      </c>
      <c r="T1305" s="317" t="str">
        <f>GLOBAL_DER_FEV_2023!S1305</f>
        <v/>
      </c>
      <c r="W1305" s="582">
        <v>0</v>
      </c>
      <c r="X1305" s="580"/>
      <c r="Y1305" s="583">
        <f>IF(GLOBAL_DER_FEV_2023!W1305=0,0,IF(GLOBAL_DER_FEV_2023!W1305&gt;0,"c","b"))</f>
        <v>0</v>
      </c>
    </row>
    <row r="1306" spans="1:25" ht="23.25" hidden="1" thickBot="1" x14ac:dyDescent="0.25">
      <c r="A1306" s="317">
        <v>93671</v>
      </c>
      <c r="B1306" s="895">
        <v>93671</v>
      </c>
      <c r="C1306" s="896" t="s">
        <v>596</v>
      </c>
      <c r="D1306" s="906" t="s">
        <v>1236</v>
      </c>
      <c r="E1306" s="907">
        <f>GLOBAL_DER_FEV_2023!E1306</f>
        <v>0</v>
      </c>
      <c r="F1306" s="908">
        <f>GLOBAL_DER_FEV_2023!F1306</f>
        <v>0</v>
      </c>
      <c r="G1306" s="912">
        <f>GLOBAL_DER_FEV_2023!G1306</f>
        <v>0</v>
      </c>
      <c r="H1306" s="901">
        <f>GLOBAL_DER_FEV_2023!H1306</f>
        <v>84.94</v>
      </c>
      <c r="I1306" s="901">
        <f>GLOBAL_DER_FEV_2023!I1306</f>
        <v>84.94</v>
      </c>
      <c r="J1306" s="902">
        <f>GLOBAL_DER_FEV_2023!J1306</f>
        <v>101.99</v>
      </c>
      <c r="K1306" s="903" t="s">
        <v>1516</v>
      </c>
      <c r="L1306" s="1137"/>
      <c r="M1306" s="1138">
        <f t="shared" si="97"/>
        <v>0</v>
      </c>
      <c r="N1306" s="893">
        <f t="shared" si="96"/>
        <v>0</v>
      </c>
      <c r="O1306" s="905"/>
      <c r="Q1306" s="317" t="str">
        <f t="shared" si="93"/>
        <v/>
      </c>
      <c r="R1306" s="317" t="str">
        <f t="shared" si="94"/>
        <v/>
      </c>
      <c r="S1306" s="317" t="str">
        <f t="shared" si="95"/>
        <v/>
      </c>
      <c r="T1306" s="317" t="str">
        <f>GLOBAL_DER_FEV_2023!S1306</f>
        <v/>
      </c>
      <c r="W1306" s="582">
        <v>0</v>
      </c>
      <c r="X1306" s="580"/>
      <c r="Y1306" s="583">
        <f>IF(GLOBAL_DER_FEV_2023!W1306=0,0,IF(GLOBAL_DER_FEV_2023!W1306&gt;0,"c","b"))</f>
        <v>0</v>
      </c>
    </row>
    <row r="1307" spans="1:25" ht="23.25" hidden="1" thickBot="1" x14ac:dyDescent="0.25">
      <c r="A1307" s="317">
        <v>93672</v>
      </c>
      <c r="B1307" s="895">
        <v>93672</v>
      </c>
      <c r="C1307" s="896" t="s">
        <v>596</v>
      </c>
      <c r="D1307" s="906" t="s">
        <v>1237</v>
      </c>
      <c r="E1307" s="907">
        <f>GLOBAL_DER_FEV_2023!E1307</f>
        <v>0</v>
      </c>
      <c r="F1307" s="908">
        <f>GLOBAL_DER_FEV_2023!F1307</f>
        <v>0</v>
      </c>
      <c r="G1307" s="912">
        <f>GLOBAL_DER_FEV_2023!G1307</f>
        <v>0</v>
      </c>
      <c r="H1307" s="901">
        <f>GLOBAL_DER_FEV_2023!H1307</f>
        <v>93.21</v>
      </c>
      <c r="I1307" s="901">
        <f>GLOBAL_DER_FEV_2023!I1307</f>
        <v>93.21</v>
      </c>
      <c r="J1307" s="902">
        <f>GLOBAL_DER_FEV_2023!J1307</f>
        <v>111.92</v>
      </c>
      <c r="K1307" s="903" t="s">
        <v>1516</v>
      </c>
      <c r="L1307" s="1137"/>
      <c r="M1307" s="1138">
        <f t="shared" si="97"/>
        <v>0</v>
      </c>
      <c r="N1307" s="893">
        <f t="shared" si="96"/>
        <v>0</v>
      </c>
      <c r="O1307" s="905"/>
      <c r="Q1307" s="317" t="str">
        <f t="shared" ref="Q1307:Q1370" si="98">IF(P1307="X","x",IF(P1307="xx","x",IF(P1307="xy","x",IF(P1307="y","x",IF(OR(N1307&gt;0,N1307&gt;0),"x","")))))</f>
        <v/>
      </c>
      <c r="R1307" s="317" t="str">
        <f t="shared" si="94"/>
        <v/>
      </c>
      <c r="S1307" s="317" t="str">
        <f t="shared" si="95"/>
        <v/>
      </c>
      <c r="T1307" s="317" t="str">
        <f>GLOBAL_DER_FEV_2023!S1307</f>
        <v/>
      </c>
      <c r="W1307" s="582">
        <v>0</v>
      </c>
      <c r="X1307" s="580"/>
      <c r="Y1307" s="583">
        <f>IF(GLOBAL_DER_FEV_2023!W1307=0,0,IF(GLOBAL_DER_FEV_2023!W1307&gt;0,"c","b"))</f>
        <v>0</v>
      </c>
    </row>
    <row r="1308" spans="1:25" ht="23.25" hidden="1" thickBot="1" x14ac:dyDescent="0.25">
      <c r="A1308" s="317">
        <v>93673</v>
      </c>
      <c r="B1308" s="895">
        <v>93673</v>
      </c>
      <c r="C1308" s="896" t="s">
        <v>596</v>
      </c>
      <c r="D1308" s="906" t="s">
        <v>1238</v>
      </c>
      <c r="E1308" s="907">
        <f>GLOBAL_DER_FEV_2023!E1308</f>
        <v>0</v>
      </c>
      <c r="F1308" s="908">
        <f>GLOBAL_DER_FEV_2023!F1308</f>
        <v>0</v>
      </c>
      <c r="G1308" s="912">
        <f>GLOBAL_DER_FEV_2023!G1308</f>
        <v>0</v>
      </c>
      <c r="H1308" s="901">
        <f>GLOBAL_DER_FEV_2023!H1308</f>
        <v>103.75</v>
      </c>
      <c r="I1308" s="901">
        <f>GLOBAL_DER_FEV_2023!I1308</f>
        <v>103.75</v>
      </c>
      <c r="J1308" s="902">
        <f>GLOBAL_DER_FEV_2023!J1308</f>
        <v>124.57</v>
      </c>
      <c r="K1308" s="903" t="s">
        <v>1516</v>
      </c>
      <c r="L1308" s="1137"/>
      <c r="M1308" s="1138">
        <f t="shared" si="97"/>
        <v>0</v>
      </c>
      <c r="N1308" s="893">
        <f t="shared" si="96"/>
        <v>0</v>
      </c>
      <c r="O1308" s="905"/>
      <c r="Q1308" s="317" t="str">
        <f t="shared" si="98"/>
        <v/>
      </c>
      <c r="R1308" s="317" t="str">
        <f t="shared" si="94"/>
        <v/>
      </c>
      <c r="S1308" s="317" t="str">
        <f t="shared" si="95"/>
        <v/>
      </c>
      <c r="T1308" s="317" t="str">
        <f>GLOBAL_DER_FEV_2023!S1308</f>
        <v/>
      </c>
      <c r="W1308" s="582">
        <v>0</v>
      </c>
      <c r="X1308" s="580"/>
      <c r="Y1308" s="583">
        <f>IF(GLOBAL_DER_FEV_2023!W1308=0,0,IF(GLOBAL_DER_FEV_2023!W1308&gt;0,"c","b"))</f>
        <v>0</v>
      </c>
    </row>
    <row r="1309" spans="1:25" ht="23.25" hidden="1" thickBot="1" x14ac:dyDescent="0.25">
      <c r="A1309" s="317">
        <v>101893</v>
      </c>
      <c r="B1309" s="895">
        <v>101893</v>
      </c>
      <c r="C1309" s="896" t="s">
        <v>596</v>
      </c>
      <c r="D1309" s="906" t="s">
        <v>1239</v>
      </c>
      <c r="E1309" s="907">
        <f>GLOBAL_DER_FEV_2023!E1309</f>
        <v>0</v>
      </c>
      <c r="F1309" s="908">
        <f>GLOBAL_DER_FEV_2023!F1309</f>
        <v>0</v>
      </c>
      <c r="G1309" s="912">
        <f>GLOBAL_DER_FEV_2023!G1309</f>
        <v>0</v>
      </c>
      <c r="H1309" s="901">
        <f>GLOBAL_DER_FEV_2023!H1309</f>
        <v>95.19</v>
      </c>
      <c r="I1309" s="901">
        <f>GLOBAL_DER_FEV_2023!I1309</f>
        <v>95.19</v>
      </c>
      <c r="J1309" s="902">
        <f>GLOBAL_DER_FEV_2023!J1309</f>
        <v>114.29</v>
      </c>
      <c r="K1309" s="903" t="s">
        <v>1516</v>
      </c>
      <c r="L1309" s="1137"/>
      <c r="M1309" s="1138">
        <f t="shared" si="97"/>
        <v>0</v>
      </c>
      <c r="N1309" s="893">
        <f t="shared" si="96"/>
        <v>0</v>
      </c>
      <c r="O1309" s="905"/>
      <c r="Q1309" s="317" t="str">
        <f t="shared" si="98"/>
        <v/>
      </c>
      <c r="R1309" s="317" t="str">
        <f t="shared" ref="R1309:R1372" si="99">IF(P1309="X","x",IF(P1309="y","x",IF(P1309="xx","x",IF(N1309&gt;0,"x",""))))</f>
        <v/>
      </c>
      <c r="S1309" s="317" t="str">
        <f t="shared" ref="S1309:S1372" si="100">IF(P1309="X","x",IF(N1309&gt;0,"x",""))</f>
        <v/>
      </c>
      <c r="T1309" s="317" t="str">
        <f>GLOBAL_DER_FEV_2023!S1309</f>
        <v/>
      </c>
      <c r="W1309" s="582">
        <v>0</v>
      </c>
      <c r="X1309" s="580"/>
      <c r="Y1309" s="583">
        <f>IF(GLOBAL_DER_FEV_2023!W1309=0,0,IF(GLOBAL_DER_FEV_2023!W1309&gt;0,"c","b"))</f>
        <v>0</v>
      </c>
    </row>
    <row r="1310" spans="1:25" ht="23.25" hidden="1" thickBot="1" x14ac:dyDescent="0.25">
      <c r="A1310" s="317">
        <v>101894</v>
      </c>
      <c r="B1310" s="895">
        <v>101894</v>
      </c>
      <c r="C1310" s="896" t="s">
        <v>596</v>
      </c>
      <c r="D1310" s="906" t="s">
        <v>1240</v>
      </c>
      <c r="E1310" s="907">
        <f>GLOBAL_DER_FEV_2023!E1310</f>
        <v>0</v>
      </c>
      <c r="F1310" s="908">
        <f>GLOBAL_DER_FEV_2023!F1310</f>
        <v>0</v>
      </c>
      <c r="G1310" s="912">
        <f>GLOBAL_DER_FEV_2023!G1310</f>
        <v>0</v>
      </c>
      <c r="H1310" s="901">
        <f>GLOBAL_DER_FEV_2023!H1310</f>
        <v>166.69</v>
      </c>
      <c r="I1310" s="901">
        <f>GLOBAL_DER_FEV_2023!I1310</f>
        <v>166.69</v>
      </c>
      <c r="J1310" s="902">
        <f>GLOBAL_DER_FEV_2023!J1310</f>
        <v>200.14</v>
      </c>
      <c r="K1310" s="903" t="s">
        <v>1516</v>
      </c>
      <c r="L1310" s="1137"/>
      <c r="M1310" s="1138">
        <f t="shared" si="97"/>
        <v>0</v>
      </c>
      <c r="N1310" s="893">
        <f t="shared" si="96"/>
        <v>0</v>
      </c>
      <c r="O1310" s="905"/>
      <c r="Q1310" s="317" t="str">
        <f t="shared" si="98"/>
        <v/>
      </c>
      <c r="R1310" s="317" t="str">
        <f t="shared" si="99"/>
        <v/>
      </c>
      <c r="S1310" s="317" t="str">
        <f t="shared" si="100"/>
        <v/>
      </c>
      <c r="T1310" s="317" t="str">
        <f>GLOBAL_DER_FEV_2023!S1310</f>
        <v/>
      </c>
      <c r="W1310" s="582">
        <v>0</v>
      </c>
      <c r="X1310" s="580"/>
      <c r="Y1310" s="583">
        <f>IF(GLOBAL_DER_FEV_2023!W1310=0,0,IF(GLOBAL_DER_FEV_2023!W1310&gt;0,"c","b"))</f>
        <v>0</v>
      </c>
    </row>
    <row r="1311" spans="1:25" ht="23.25" hidden="1" thickBot="1" x14ac:dyDescent="0.25">
      <c r="A1311" s="317">
        <v>101663</v>
      </c>
      <c r="B1311" s="895">
        <v>101663</v>
      </c>
      <c r="C1311" s="896" t="s">
        <v>596</v>
      </c>
      <c r="D1311" s="906" t="s">
        <v>1241</v>
      </c>
      <c r="E1311" s="907">
        <f>GLOBAL_DER_FEV_2023!E1311</f>
        <v>0</v>
      </c>
      <c r="F1311" s="908">
        <f>GLOBAL_DER_FEV_2023!F1311</f>
        <v>0</v>
      </c>
      <c r="G1311" s="912">
        <f>GLOBAL_DER_FEV_2023!G1311</f>
        <v>0</v>
      </c>
      <c r="H1311" s="901">
        <f>GLOBAL_DER_FEV_2023!H1311</f>
        <v>29.2</v>
      </c>
      <c r="I1311" s="901">
        <f>GLOBAL_DER_FEV_2023!I1311</f>
        <v>29.2</v>
      </c>
      <c r="J1311" s="902">
        <f>GLOBAL_DER_FEV_2023!J1311</f>
        <v>35.06</v>
      </c>
      <c r="K1311" s="903" t="s">
        <v>1516</v>
      </c>
      <c r="L1311" s="1137"/>
      <c r="M1311" s="1138">
        <f t="shared" si="97"/>
        <v>0</v>
      </c>
      <c r="N1311" s="893">
        <f t="shared" si="96"/>
        <v>0</v>
      </c>
      <c r="O1311" s="905"/>
      <c r="Q1311" s="317" t="str">
        <f t="shared" si="98"/>
        <v/>
      </c>
      <c r="R1311" s="317" t="str">
        <f t="shared" si="99"/>
        <v/>
      </c>
      <c r="S1311" s="317" t="str">
        <f t="shared" si="100"/>
        <v/>
      </c>
      <c r="T1311" s="317" t="str">
        <f>GLOBAL_DER_FEV_2023!S1311</f>
        <v/>
      </c>
      <c r="W1311" s="582">
        <v>0</v>
      </c>
      <c r="X1311" s="580"/>
      <c r="Y1311" s="583">
        <f>IF(GLOBAL_DER_FEV_2023!W1311=0,0,IF(GLOBAL_DER_FEV_2023!W1311&gt;0,"c","b"))</f>
        <v>0</v>
      </c>
    </row>
    <row r="1312" spans="1:25" ht="23.25" hidden="1" thickBot="1" x14ac:dyDescent="0.25">
      <c r="A1312" s="317">
        <v>101664</v>
      </c>
      <c r="B1312" s="895">
        <v>101664</v>
      </c>
      <c r="C1312" s="896" t="s">
        <v>596</v>
      </c>
      <c r="D1312" s="906" t="s">
        <v>1242</v>
      </c>
      <c r="E1312" s="907">
        <f>GLOBAL_DER_FEV_2023!E1312</f>
        <v>0</v>
      </c>
      <c r="F1312" s="908">
        <f>GLOBAL_DER_FEV_2023!F1312</f>
        <v>0</v>
      </c>
      <c r="G1312" s="912">
        <f>GLOBAL_DER_FEV_2023!G1312</f>
        <v>0</v>
      </c>
      <c r="H1312" s="901">
        <f>GLOBAL_DER_FEV_2023!H1312</f>
        <v>30.24</v>
      </c>
      <c r="I1312" s="901">
        <f>GLOBAL_DER_FEV_2023!I1312</f>
        <v>30.24</v>
      </c>
      <c r="J1312" s="902">
        <f>GLOBAL_DER_FEV_2023!J1312</f>
        <v>36.31</v>
      </c>
      <c r="K1312" s="903" t="s">
        <v>1516</v>
      </c>
      <c r="L1312" s="1137"/>
      <c r="M1312" s="1138">
        <f t="shared" si="97"/>
        <v>0</v>
      </c>
      <c r="N1312" s="893">
        <f t="shared" si="96"/>
        <v>0</v>
      </c>
      <c r="O1312" s="905"/>
      <c r="Q1312" s="317" t="str">
        <f t="shared" si="98"/>
        <v/>
      </c>
      <c r="R1312" s="317" t="str">
        <f t="shared" si="99"/>
        <v/>
      </c>
      <c r="S1312" s="317" t="str">
        <f t="shared" si="100"/>
        <v/>
      </c>
      <c r="T1312" s="317" t="str">
        <f>GLOBAL_DER_FEV_2023!S1312</f>
        <v/>
      </c>
      <c r="W1312" s="582">
        <v>0</v>
      </c>
      <c r="X1312" s="580"/>
      <c r="Y1312" s="583">
        <f>IF(GLOBAL_DER_FEV_2023!W1312=0,0,IF(GLOBAL_DER_FEV_2023!W1312&gt;0,"c","b"))</f>
        <v>0</v>
      </c>
    </row>
    <row r="1313" spans="1:25" ht="23.25" hidden="1" thickBot="1" x14ac:dyDescent="0.25">
      <c r="A1313" s="317">
        <v>101665</v>
      </c>
      <c r="B1313" s="895">
        <v>101665</v>
      </c>
      <c r="C1313" s="896" t="s">
        <v>596</v>
      </c>
      <c r="D1313" s="906" t="s">
        <v>1243</v>
      </c>
      <c r="E1313" s="907">
        <f>GLOBAL_DER_FEV_2023!E1313</f>
        <v>0</v>
      </c>
      <c r="F1313" s="908">
        <f>GLOBAL_DER_FEV_2023!F1313</f>
        <v>0</v>
      </c>
      <c r="G1313" s="912">
        <f>GLOBAL_DER_FEV_2023!G1313</f>
        <v>0</v>
      </c>
      <c r="H1313" s="901">
        <f>GLOBAL_DER_FEV_2023!H1313</f>
        <v>34.729999999999997</v>
      </c>
      <c r="I1313" s="901">
        <f>GLOBAL_DER_FEV_2023!I1313</f>
        <v>34.729999999999997</v>
      </c>
      <c r="J1313" s="902">
        <f>GLOBAL_DER_FEV_2023!J1313</f>
        <v>41.7</v>
      </c>
      <c r="K1313" s="903" t="s">
        <v>1516</v>
      </c>
      <c r="L1313" s="1137"/>
      <c r="M1313" s="1138">
        <f t="shared" si="97"/>
        <v>0</v>
      </c>
      <c r="N1313" s="893">
        <f t="shared" ref="N1313:N1376" si="101">IF(ISBLANK(L1313),0,IF(W1313=0,ROUND(L1313*M1313,2),IF(W1313="b",ROUNDDOWN(L1313*M1313,2),ROUNDUP(L1313*M1313,2))))</f>
        <v>0</v>
      </c>
      <c r="O1313" s="905"/>
      <c r="Q1313" s="317" t="str">
        <f t="shared" si="98"/>
        <v/>
      </c>
      <c r="R1313" s="317" t="str">
        <f t="shared" si="99"/>
        <v/>
      </c>
      <c r="S1313" s="317" t="str">
        <f t="shared" si="100"/>
        <v/>
      </c>
      <c r="T1313" s="317" t="str">
        <f>GLOBAL_DER_FEV_2023!S1313</f>
        <v/>
      </c>
      <c r="W1313" s="582">
        <v>0</v>
      </c>
      <c r="X1313" s="580"/>
      <c r="Y1313" s="583">
        <f>IF(GLOBAL_DER_FEV_2023!W1313=0,0,IF(GLOBAL_DER_FEV_2023!W1313&gt;0,"c","b"))</f>
        <v>0</v>
      </c>
    </row>
    <row r="1314" spans="1:25" ht="23.25" hidden="1" thickBot="1" x14ac:dyDescent="0.25">
      <c r="A1314" s="317">
        <v>101895</v>
      </c>
      <c r="B1314" s="895">
        <v>101895</v>
      </c>
      <c r="C1314" s="896" t="s">
        <v>596</v>
      </c>
      <c r="D1314" s="906" t="s">
        <v>1244</v>
      </c>
      <c r="E1314" s="907">
        <f>GLOBAL_DER_FEV_2023!E1314</f>
        <v>0</v>
      </c>
      <c r="F1314" s="908">
        <f>GLOBAL_DER_FEV_2023!F1314</f>
        <v>0</v>
      </c>
      <c r="G1314" s="912">
        <f>GLOBAL_DER_FEV_2023!G1314</f>
        <v>0</v>
      </c>
      <c r="H1314" s="901">
        <f>GLOBAL_DER_FEV_2023!H1314</f>
        <v>445.37</v>
      </c>
      <c r="I1314" s="901">
        <f>GLOBAL_DER_FEV_2023!I1314</f>
        <v>445.37</v>
      </c>
      <c r="J1314" s="902">
        <f>GLOBAL_DER_FEV_2023!J1314</f>
        <v>534.76</v>
      </c>
      <c r="K1314" s="903" t="s">
        <v>1516</v>
      </c>
      <c r="L1314" s="1137"/>
      <c r="M1314" s="1138">
        <f t="shared" si="97"/>
        <v>0</v>
      </c>
      <c r="N1314" s="893">
        <f t="shared" si="101"/>
        <v>0</v>
      </c>
      <c r="O1314" s="905"/>
      <c r="Q1314" s="317" t="str">
        <f t="shared" si="98"/>
        <v/>
      </c>
      <c r="R1314" s="317" t="str">
        <f t="shared" si="99"/>
        <v/>
      </c>
      <c r="S1314" s="317" t="str">
        <f t="shared" si="100"/>
        <v/>
      </c>
      <c r="T1314" s="317" t="str">
        <f>GLOBAL_DER_FEV_2023!S1314</f>
        <v/>
      </c>
      <c r="W1314" s="582">
        <v>0</v>
      </c>
      <c r="X1314" s="580"/>
      <c r="Y1314" s="583">
        <f>IF(GLOBAL_DER_FEV_2023!W1314=0,0,IF(GLOBAL_DER_FEV_2023!W1314&gt;0,"c","b"))</f>
        <v>0</v>
      </c>
    </row>
    <row r="1315" spans="1:25" ht="23.25" hidden="1" thickBot="1" x14ac:dyDescent="0.25">
      <c r="A1315" s="317">
        <v>101896</v>
      </c>
      <c r="B1315" s="895">
        <v>101896</v>
      </c>
      <c r="C1315" s="896" t="s">
        <v>596</v>
      </c>
      <c r="D1315" s="906" t="s">
        <v>1245</v>
      </c>
      <c r="E1315" s="907">
        <f>GLOBAL_DER_FEV_2023!E1315</f>
        <v>0</v>
      </c>
      <c r="F1315" s="908">
        <f>GLOBAL_DER_FEV_2023!F1315</f>
        <v>0</v>
      </c>
      <c r="G1315" s="912">
        <f>GLOBAL_DER_FEV_2023!G1315</f>
        <v>0</v>
      </c>
      <c r="H1315" s="901">
        <f>GLOBAL_DER_FEV_2023!H1315</f>
        <v>661.28</v>
      </c>
      <c r="I1315" s="901">
        <f>GLOBAL_DER_FEV_2023!I1315</f>
        <v>661.28</v>
      </c>
      <c r="J1315" s="902">
        <f>GLOBAL_DER_FEV_2023!J1315</f>
        <v>794</v>
      </c>
      <c r="K1315" s="903" t="s">
        <v>1516</v>
      </c>
      <c r="L1315" s="1137"/>
      <c r="M1315" s="1138">
        <f t="shared" si="97"/>
        <v>0</v>
      </c>
      <c r="N1315" s="893">
        <f t="shared" si="101"/>
        <v>0</v>
      </c>
      <c r="O1315" s="905"/>
      <c r="Q1315" s="317" t="str">
        <f t="shared" si="98"/>
        <v/>
      </c>
      <c r="R1315" s="317" t="str">
        <f t="shared" si="99"/>
        <v/>
      </c>
      <c r="S1315" s="317" t="str">
        <f t="shared" si="100"/>
        <v/>
      </c>
      <c r="T1315" s="317" t="str">
        <f>GLOBAL_DER_FEV_2023!S1315</f>
        <v/>
      </c>
      <c r="W1315" s="582">
        <v>0</v>
      </c>
      <c r="X1315" s="580"/>
      <c r="Y1315" s="583">
        <f>IF(GLOBAL_DER_FEV_2023!W1315=0,0,IF(GLOBAL_DER_FEV_2023!W1315&gt;0,"c","b"))</f>
        <v>0</v>
      </c>
    </row>
    <row r="1316" spans="1:25" ht="23.25" hidden="1" thickBot="1" x14ac:dyDescent="0.25">
      <c r="A1316" s="317">
        <v>101897</v>
      </c>
      <c r="B1316" s="895">
        <v>101897</v>
      </c>
      <c r="C1316" s="896" t="s">
        <v>596</v>
      </c>
      <c r="D1316" s="906" t="s">
        <v>1246</v>
      </c>
      <c r="E1316" s="907">
        <f>GLOBAL_DER_FEV_2023!E1316</f>
        <v>0</v>
      </c>
      <c r="F1316" s="908">
        <f>GLOBAL_DER_FEV_2023!F1316</f>
        <v>0</v>
      </c>
      <c r="G1316" s="912">
        <f>GLOBAL_DER_FEV_2023!G1316</f>
        <v>0</v>
      </c>
      <c r="H1316" s="901">
        <f>GLOBAL_DER_FEV_2023!H1316</f>
        <v>1048.0899999999999</v>
      </c>
      <c r="I1316" s="901">
        <f>GLOBAL_DER_FEV_2023!I1316</f>
        <v>1048.0899999999999</v>
      </c>
      <c r="J1316" s="902">
        <f>GLOBAL_DER_FEV_2023!J1316</f>
        <v>1258.44</v>
      </c>
      <c r="K1316" s="903" t="s">
        <v>1516</v>
      </c>
      <c r="L1316" s="1137"/>
      <c r="M1316" s="1138">
        <f t="shared" si="97"/>
        <v>0</v>
      </c>
      <c r="N1316" s="893">
        <f t="shared" si="101"/>
        <v>0</v>
      </c>
      <c r="O1316" s="905"/>
      <c r="Q1316" s="317" t="str">
        <f t="shared" si="98"/>
        <v/>
      </c>
      <c r="R1316" s="317" t="str">
        <f t="shared" si="99"/>
        <v/>
      </c>
      <c r="S1316" s="317" t="str">
        <f t="shared" si="100"/>
        <v/>
      </c>
      <c r="T1316" s="317" t="str">
        <f>GLOBAL_DER_FEV_2023!S1316</f>
        <v/>
      </c>
      <c r="W1316" s="582">
        <v>0</v>
      </c>
      <c r="X1316" s="580"/>
      <c r="Y1316" s="583">
        <f>IF(GLOBAL_DER_FEV_2023!W1316=0,0,IF(GLOBAL_DER_FEV_2023!W1316&gt;0,"c","b"))</f>
        <v>0</v>
      </c>
    </row>
    <row r="1317" spans="1:25" ht="23.25" hidden="1" thickBot="1" x14ac:dyDescent="0.25">
      <c r="A1317" s="317">
        <v>101898</v>
      </c>
      <c r="B1317" s="895">
        <v>101898</v>
      </c>
      <c r="C1317" s="896" t="s">
        <v>596</v>
      </c>
      <c r="D1317" s="906" t="s">
        <v>1247</v>
      </c>
      <c r="E1317" s="907">
        <f>GLOBAL_DER_FEV_2023!E1317</f>
        <v>0</v>
      </c>
      <c r="F1317" s="908">
        <f>GLOBAL_DER_FEV_2023!F1317</f>
        <v>0</v>
      </c>
      <c r="G1317" s="912">
        <f>GLOBAL_DER_FEV_2023!G1317</f>
        <v>0</v>
      </c>
      <c r="H1317" s="901">
        <f>GLOBAL_DER_FEV_2023!H1317</f>
        <v>1398.72</v>
      </c>
      <c r="I1317" s="901">
        <f>GLOBAL_DER_FEV_2023!I1317</f>
        <v>1398.72</v>
      </c>
      <c r="J1317" s="902">
        <f>GLOBAL_DER_FEV_2023!J1317</f>
        <v>1679.44</v>
      </c>
      <c r="K1317" s="903" t="s">
        <v>1516</v>
      </c>
      <c r="L1317" s="1137"/>
      <c r="M1317" s="1138">
        <f t="shared" si="97"/>
        <v>0</v>
      </c>
      <c r="N1317" s="893">
        <f t="shared" si="101"/>
        <v>0</v>
      </c>
      <c r="O1317" s="905"/>
      <c r="Q1317" s="317" t="str">
        <f t="shared" si="98"/>
        <v/>
      </c>
      <c r="R1317" s="317" t="str">
        <f t="shared" si="99"/>
        <v/>
      </c>
      <c r="S1317" s="317" t="str">
        <f t="shared" si="100"/>
        <v/>
      </c>
      <c r="T1317" s="317" t="str">
        <f>GLOBAL_DER_FEV_2023!S1317</f>
        <v/>
      </c>
      <c r="W1317" s="582">
        <v>0</v>
      </c>
      <c r="X1317" s="580"/>
      <c r="Y1317" s="583">
        <f>IF(GLOBAL_DER_FEV_2023!W1317=0,0,IF(GLOBAL_DER_FEV_2023!W1317&gt;0,"c","b"))</f>
        <v>0</v>
      </c>
    </row>
    <row r="1318" spans="1:25" ht="23.25" hidden="1" thickBot="1" x14ac:dyDescent="0.25">
      <c r="A1318" s="317">
        <v>101899</v>
      </c>
      <c r="B1318" s="895">
        <v>101899</v>
      </c>
      <c r="C1318" s="896" t="s">
        <v>596</v>
      </c>
      <c r="D1318" s="906" t="s">
        <v>1248</v>
      </c>
      <c r="E1318" s="907">
        <f>GLOBAL_DER_FEV_2023!E1318</f>
        <v>0</v>
      </c>
      <c r="F1318" s="908">
        <f>GLOBAL_DER_FEV_2023!F1318</f>
        <v>0</v>
      </c>
      <c r="G1318" s="912">
        <f>GLOBAL_DER_FEV_2023!G1318</f>
        <v>0</v>
      </c>
      <c r="H1318" s="901">
        <f>GLOBAL_DER_FEV_2023!H1318</f>
        <v>2232.7399999999998</v>
      </c>
      <c r="I1318" s="901">
        <f>GLOBAL_DER_FEV_2023!I1318</f>
        <v>2232.7399999999998</v>
      </c>
      <c r="J1318" s="902">
        <f>GLOBAL_DER_FEV_2023!J1318</f>
        <v>2680.85</v>
      </c>
      <c r="K1318" s="903" t="s">
        <v>1516</v>
      </c>
      <c r="L1318" s="1137"/>
      <c r="M1318" s="1138">
        <f t="shared" si="97"/>
        <v>0</v>
      </c>
      <c r="N1318" s="893">
        <f t="shared" si="101"/>
        <v>0</v>
      </c>
      <c r="O1318" s="905"/>
      <c r="Q1318" s="317" t="str">
        <f t="shared" si="98"/>
        <v/>
      </c>
      <c r="R1318" s="317" t="str">
        <f t="shared" si="99"/>
        <v/>
      </c>
      <c r="S1318" s="317" t="str">
        <f t="shared" si="100"/>
        <v/>
      </c>
      <c r="T1318" s="317" t="str">
        <f>GLOBAL_DER_FEV_2023!S1318</f>
        <v/>
      </c>
      <c r="W1318" s="582">
        <v>0</v>
      </c>
      <c r="X1318" s="580"/>
      <c r="Y1318" s="583">
        <f>IF(GLOBAL_DER_FEV_2023!W1318=0,0,IF(GLOBAL_DER_FEV_2023!W1318&gt;0,"c","b"))</f>
        <v>0</v>
      </c>
    </row>
    <row r="1319" spans="1:25" ht="23.25" hidden="1" thickBot="1" x14ac:dyDescent="0.25">
      <c r="A1319" s="317">
        <v>101900</v>
      </c>
      <c r="B1319" s="895">
        <v>101900</v>
      </c>
      <c r="C1319" s="896" t="s">
        <v>596</v>
      </c>
      <c r="D1319" s="906" t="s">
        <v>1249</v>
      </c>
      <c r="E1319" s="907">
        <f>GLOBAL_DER_FEV_2023!E1319</f>
        <v>0</v>
      </c>
      <c r="F1319" s="908">
        <f>GLOBAL_DER_FEV_2023!F1319</f>
        <v>0</v>
      </c>
      <c r="G1319" s="912">
        <f>GLOBAL_DER_FEV_2023!G1319</f>
        <v>0</v>
      </c>
      <c r="H1319" s="901">
        <f>GLOBAL_DER_FEV_2023!H1319</f>
        <v>4648.41</v>
      </c>
      <c r="I1319" s="901">
        <f>GLOBAL_DER_FEV_2023!I1319</f>
        <v>4648.41</v>
      </c>
      <c r="J1319" s="902">
        <f>GLOBAL_DER_FEV_2023!J1319</f>
        <v>5581.35</v>
      </c>
      <c r="K1319" s="903" t="s">
        <v>1516</v>
      </c>
      <c r="L1319" s="1137"/>
      <c r="M1319" s="1138">
        <f t="shared" si="97"/>
        <v>0</v>
      </c>
      <c r="N1319" s="893">
        <f t="shared" si="101"/>
        <v>0</v>
      </c>
      <c r="O1319" s="905"/>
      <c r="Q1319" s="317" t="str">
        <f t="shared" si="98"/>
        <v/>
      </c>
      <c r="R1319" s="317" t="str">
        <f t="shared" si="99"/>
        <v/>
      </c>
      <c r="S1319" s="317" t="str">
        <f t="shared" si="100"/>
        <v/>
      </c>
      <c r="T1319" s="317" t="str">
        <f>GLOBAL_DER_FEV_2023!S1319</f>
        <v/>
      </c>
      <c r="W1319" s="582">
        <v>0</v>
      </c>
      <c r="X1319" s="580"/>
      <c r="Y1319" s="583">
        <f>IF(GLOBAL_DER_FEV_2023!W1319=0,0,IF(GLOBAL_DER_FEV_2023!W1319&gt;0,"c","b"))</f>
        <v>0</v>
      </c>
    </row>
    <row r="1320" spans="1:25" ht="23.25" hidden="1" thickBot="1" x14ac:dyDescent="0.25">
      <c r="A1320" s="317">
        <v>91952</v>
      </c>
      <c r="B1320" s="895">
        <v>91952</v>
      </c>
      <c r="C1320" s="896" t="s">
        <v>596</v>
      </c>
      <c r="D1320" s="906" t="s">
        <v>1250</v>
      </c>
      <c r="E1320" s="907">
        <f>GLOBAL_DER_FEV_2023!E1320</f>
        <v>0</v>
      </c>
      <c r="F1320" s="908">
        <f>GLOBAL_DER_FEV_2023!F1320</f>
        <v>0</v>
      </c>
      <c r="G1320" s="912">
        <f>GLOBAL_DER_FEV_2023!G1320</f>
        <v>0</v>
      </c>
      <c r="H1320" s="901">
        <f>GLOBAL_DER_FEV_2023!H1320</f>
        <v>21.5</v>
      </c>
      <c r="I1320" s="901">
        <f>GLOBAL_DER_FEV_2023!I1320</f>
        <v>21.5</v>
      </c>
      <c r="J1320" s="902">
        <f>GLOBAL_DER_FEV_2023!J1320</f>
        <v>25.82</v>
      </c>
      <c r="K1320" s="903" t="s">
        <v>1516</v>
      </c>
      <c r="L1320" s="1137"/>
      <c r="M1320" s="1138">
        <f t="shared" si="97"/>
        <v>0</v>
      </c>
      <c r="N1320" s="893">
        <f t="shared" si="101"/>
        <v>0</v>
      </c>
      <c r="O1320" s="905"/>
      <c r="Q1320" s="317" t="str">
        <f t="shared" si="98"/>
        <v/>
      </c>
      <c r="R1320" s="317" t="str">
        <f t="shared" si="99"/>
        <v/>
      </c>
      <c r="S1320" s="317" t="str">
        <f t="shared" si="100"/>
        <v/>
      </c>
      <c r="T1320" s="317" t="str">
        <f>GLOBAL_DER_FEV_2023!S1320</f>
        <v/>
      </c>
      <c r="W1320" s="582">
        <v>0</v>
      </c>
      <c r="X1320" s="580"/>
      <c r="Y1320" s="583">
        <f>IF(GLOBAL_DER_FEV_2023!W1320=0,0,IF(GLOBAL_DER_FEV_2023!W1320&gt;0,"c","b"))</f>
        <v>0</v>
      </c>
    </row>
    <row r="1321" spans="1:25" ht="23.25" hidden="1" thickBot="1" x14ac:dyDescent="0.25">
      <c r="A1321" s="317">
        <v>91953</v>
      </c>
      <c r="B1321" s="895">
        <v>91953</v>
      </c>
      <c r="C1321" s="896" t="s">
        <v>596</v>
      </c>
      <c r="D1321" s="906" t="s">
        <v>1251</v>
      </c>
      <c r="E1321" s="907">
        <f>GLOBAL_DER_FEV_2023!E1321</f>
        <v>0</v>
      </c>
      <c r="F1321" s="908">
        <f>GLOBAL_DER_FEV_2023!F1321</f>
        <v>0</v>
      </c>
      <c r="G1321" s="912">
        <f>GLOBAL_DER_FEV_2023!G1321</f>
        <v>0</v>
      </c>
      <c r="H1321" s="901">
        <f>GLOBAL_DER_FEV_2023!H1321</f>
        <v>30.73</v>
      </c>
      <c r="I1321" s="901">
        <f>GLOBAL_DER_FEV_2023!I1321</f>
        <v>30.73</v>
      </c>
      <c r="J1321" s="902">
        <f>GLOBAL_DER_FEV_2023!J1321</f>
        <v>36.9</v>
      </c>
      <c r="K1321" s="903" t="s">
        <v>1516</v>
      </c>
      <c r="L1321" s="1137"/>
      <c r="M1321" s="1138">
        <f t="shared" si="97"/>
        <v>0</v>
      </c>
      <c r="N1321" s="893">
        <f t="shared" si="101"/>
        <v>0</v>
      </c>
      <c r="O1321" s="905"/>
      <c r="Q1321" s="317" t="str">
        <f t="shared" si="98"/>
        <v/>
      </c>
      <c r="R1321" s="317" t="str">
        <f t="shared" si="99"/>
        <v/>
      </c>
      <c r="S1321" s="317" t="str">
        <f t="shared" si="100"/>
        <v/>
      </c>
      <c r="T1321" s="317" t="str">
        <f>GLOBAL_DER_FEV_2023!S1321</f>
        <v/>
      </c>
      <c r="W1321" s="582">
        <v>0</v>
      </c>
      <c r="X1321" s="580"/>
      <c r="Y1321" s="583">
        <f>IF(GLOBAL_DER_FEV_2023!W1321=0,0,IF(GLOBAL_DER_FEV_2023!W1321&gt;0,"c","b"))</f>
        <v>0</v>
      </c>
    </row>
    <row r="1322" spans="1:25" ht="23.25" hidden="1" thickBot="1" x14ac:dyDescent="0.25">
      <c r="A1322" s="317">
        <v>91956</v>
      </c>
      <c r="B1322" s="895">
        <v>91956</v>
      </c>
      <c r="C1322" s="896" t="s">
        <v>596</v>
      </c>
      <c r="D1322" s="906" t="s">
        <v>1252</v>
      </c>
      <c r="E1322" s="907">
        <f>GLOBAL_DER_FEV_2023!E1322</f>
        <v>0</v>
      </c>
      <c r="F1322" s="908">
        <f>GLOBAL_DER_FEV_2023!F1322</f>
        <v>0</v>
      </c>
      <c r="G1322" s="912">
        <f>GLOBAL_DER_FEV_2023!G1322</f>
        <v>0</v>
      </c>
      <c r="H1322" s="901">
        <f>GLOBAL_DER_FEV_2023!H1322</f>
        <v>46.76</v>
      </c>
      <c r="I1322" s="901">
        <f>GLOBAL_DER_FEV_2023!I1322</f>
        <v>46.76</v>
      </c>
      <c r="J1322" s="902">
        <f>GLOBAL_DER_FEV_2023!J1322</f>
        <v>56.14</v>
      </c>
      <c r="K1322" s="903" t="s">
        <v>1516</v>
      </c>
      <c r="L1322" s="1137"/>
      <c r="M1322" s="1138">
        <f t="shared" si="97"/>
        <v>0</v>
      </c>
      <c r="N1322" s="893">
        <f t="shared" si="101"/>
        <v>0</v>
      </c>
      <c r="O1322" s="905"/>
      <c r="Q1322" s="317" t="str">
        <f t="shared" si="98"/>
        <v/>
      </c>
      <c r="R1322" s="317" t="str">
        <f t="shared" si="99"/>
        <v/>
      </c>
      <c r="S1322" s="317" t="str">
        <f t="shared" si="100"/>
        <v/>
      </c>
      <c r="T1322" s="317" t="str">
        <f>GLOBAL_DER_FEV_2023!S1322</f>
        <v/>
      </c>
      <c r="W1322" s="582">
        <v>0</v>
      </c>
      <c r="X1322" s="580"/>
      <c r="Y1322" s="583">
        <f>IF(GLOBAL_DER_FEV_2023!W1322=0,0,IF(GLOBAL_DER_FEV_2023!W1322&gt;0,"c","b"))</f>
        <v>0</v>
      </c>
    </row>
    <row r="1323" spans="1:25" ht="23.25" hidden="1" thickBot="1" x14ac:dyDescent="0.25">
      <c r="A1323" s="317">
        <v>91957</v>
      </c>
      <c r="B1323" s="895">
        <v>91957</v>
      </c>
      <c r="C1323" s="896" t="s">
        <v>596</v>
      </c>
      <c r="D1323" s="906" t="s">
        <v>1253</v>
      </c>
      <c r="E1323" s="907">
        <f>GLOBAL_DER_FEV_2023!E1323</f>
        <v>0</v>
      </c>
      <c r="F1323" s="908">
        <f>GLOBAL_DER_FEV_2023!F1323</f>
        <v>0</v>
      </c>
      <c r="G1323" s="912">
        <f>GLOBAL_DER_FEV_2023!G1323</f>
        <v>0</v>
      </c>
      <c r="H1323" s="901">
        <f>GLOBAL_DER_FEV_2023!H1323</f>
        <v>55.99</v>
      </c>
      <c r="I1323" s="901">
        <f>GLOBAL_DER_FEV_2023!I1323</f>
        <v>55.99</v>
      </c>
      <c r="J1323" s="902">
        <f>GLOBAL_DER_FEV_2023!J1323</f>
        <v>67.23</v>
      </c>
      <c r="K1323" s="903" t="s">
        <v>1516</v>
      </c>
      <c r="L1323" s="1137"/>
      <c r="M1323" s="1138">
        <f t="shared" si="97"/>
        <v>0</v>
      </c>
      <c r="N1323" s="893">
        <f t="shared" si="101"/>
        <v>0</v>
      </c>
      <c r="O1323" s="905"/>
      <c r="Q1323" s="317" t="str">
        <f t="shared" si="98"/>
        <v/>
      </c>
      <c r="R1323" s="317" t="str">
        <f t="shared" si="99"/>
        <v/>
      </c>
      <c r="S1323" s="317" t="str">
        <f t="shared" si="100"/>
        <v/>
      </c>
      <c r="T1323" s="317" t="str">
        <f>GLOBAL_DER_FEV_2023!S1323</f>
        <v/>
      </c>
      <c r="W1323" s="582">
        <v>0</v>
      </c>
      <c r="X1323" s="580"/>
      <c r="Y1323" s="583">
        <f>IF(GLOBAL_DER_FEV_2023!W1323=0,0,IF(GLOBAL_DER_FEV_2023!W1323&gt;0,"c","b"))</f>
        <v>0</v>
      </c>
    </row>
    <row r="1324" spans="1:25" ht="23.25" hidden="1" thickBot="1" x14ac:dyDescent="0.25">
      <c r="A1324" s="317">
        <v>91958</v>
      </c>
      <c r="B1324" s="895">
        <v>91958</v>
      </c>
      <c r="C1324" s="896" t="s">
        <v>596</v>
      </c>
      <c r="D1324" s="906" t="s">
        <v>1254</v>
      </c>
      <c r="E1324" s="907">
        <f>GLOBAL_DER_FEV_2023!E1324</f>
        <v>0</v>
      </c>
      <c r="F1324" s="908">
        <f>GLOBAL_DER_FEV_2023!F1324</f>
        <v>0</v>
      </c>
      <c r="G1324" s="912">
        <f>GLOBAL_DER_FEV_2023!G1324</f>
        <v>0</v>
      </c>
      <c r="H1324" s="901">
        <f>GLOBAL_DER_FEV_2023!H1324</f>
        <v>39.42</v>
      </c>
      <c r="I1324" s="901">
        <f>GLOBAL_DER_FEV_2023!I1324</f>
        <v>39.42</v>
      </c>
      <c r="J1324" s="902">
        <f>GLOBAL_DER_FEV_2023!J1324</f>
        <v>47.33</v>
      </c>
      <c r="K1324" s="903" t="s">
        <v>1516</v>
      </c>
      <c r="L1324" s="1137"/>
      <c r="M1324" s="1138">
        <f t="shared" si="97"/>
        <v>0</v>
      </c>
      <c r="N1324" s="893">
        <f t="shared" si="101"/>
        <v>0</v>
      </c>
      <c r="O1324" s="905"/>
      <c r="Q1324" s="317" t="str">
        <f t="shared" si="98"/>
        <v/>
      </c>
      <c r="R1324" s="317" t="str">
        <f t="shared" si="99"/>
        <v/>
      </c>
      <c r="S1324" s="317" t="str">
        <f t="shared" si="100"/>
        <v/>
      </c>
      <c r="T1324" s="317" t="str">
        <f>GLOBAL_DER_FEV_2023!S1324</f>
        <v/>
      </c>
      <c r="W1324" s="582">
        <v>0</v>
      </c>
      <c r="X1324" s="580"/>
      <c r="Y1324" s="583">
        <f>IF(GLOBAL_DER_FEV_2023!W1324=0,0,IF(GLOBAL_DER_FEV_2023!W1324&gt;0,"c","b"))</f>
        <v>0</v>
      </c>
    </row>
    <row r="1325" spans="1:25" ht="23.25" hidden="1" thickBot="1" x14ac:dyDescent="0.25">
      <c r="A1325" s="317">
        <v>91959</v>
      </c>
      <c r="B1325" s="895">
        <v>91959</v>
      </c>
      <c r="C1325" s="896" t="s">
        <v>596</v>
      </c>
      <c r="D1325" s="906" t="s">
        <v>1255</v>
      </c>
      <c r="E1325" s="907">
        <f>GLOBAL_DER_FEV_2023!E1325</f>
        <v>0</v>
      </c>
      <c r="F1325" s="908">
        <f>GLOBAL_DER_FEV_2023!F1325</f>
        <v>0</v>
      </c>
      <c r="G1325" s="912">
        <f>GLOBAL_DER_FEV_2023!G1325</f>
        <v>0</v>
      </c>
      <c r="H1325" s="901">
        <f>GLOBAL_DER_FEV_2023!H1325</f>
        <v>48.65</v>
      </c>
      <c r="I1325" s="901">
        <f>GLOBAL_DER_FEV_2023!I1325</f>
        <v>48.65</v>
      </c>
      <c r="J1325" s="902">
        <f>GLOBAL_DER_FEV_2023!J1325</f>
        <v>58.41</v>
      </c>
      <c r="K1325" s="903" t="s">
        <v>1516</v>
      </c>
      <c r="L1325" s="1137"/>
      <c r="M1325" s="1138">
        <f t="shared" si="97"/>
        <v>0</v>
      </c>
      <c r="N1325" s="893">
        <f t="shared" si="101"/>
        <v>0</v>
      </c>
      <c r="O1325" s="905"/>
      <c r="Q1325" s="317" t="str">
        <f t="shared" si="98"/>
        <v/>
      </c>
      <c r="R1325" s="317" t="str">
        <f t="shared" si="99"/>
        <v/>
      </c>
      <c r="S1325" s="317" t="str">
        <f t="shared" si="100"/>
        <v/>
      </c>
      <c r="T1325" s="317" t="str">
        <f>GLOBAL_DER_FEV_2023!S1325</f>
        <v/>
      </c>
      <c r="W1325" s="582">
        <v>0</v>
      </c>
      <c r="X1325" s="580"/>
      <c r="Y1325" s="583">
        <f>IF(GLOBAL_DER_FEV_2023!W1325=0,0,IF(GLOBAL_DER_FEV_2023!W1325&gt;0,"c","b"))</f>
        <v>0</v>
      </c>
    </row>
    <row r="1326" spans="1:25" ht="23.25" hidden="1" thickBot="1" x14ac:dyDescent="0.25">
      <c r="A1326" s="317">
        <v>91962</v>
      </c>
      <c r="B1326" s="895">
        <v>91962</v>
      </c>
      <c r="C1326" s="896" t="s">
        <v>596</v>
      </c>
      <c r="D1326" s="906" t="s">
        <v>1256</v>
      </c>
      <c r="E1326" s="907">
        <f>GLOBAL_DER_FEV_2023!E1326</f>
        <v>0</v>
      </c>
      <c r="F1326" s="908">
        <f>GLOBAL_DER_FEV_2023!F1326</f>
        <v>0</v>
      </c>
      <c r="G1326" s="912">
        <f>GLOBAL_DER_FEV_2023!G1326</f>
        <v>0</v>
      </c>
      <c r="H1326" s="901">
        <f>GLOBAL_DER_FEV_2023!H1326</f>
        <v>72.069999999999993</v>
      </c>
      <c r="I1326" s="901">
        <f>GLOBAL_DER_FEV_2023!I1326</f>
        <v>72.069999999999993</v>
      </c>
      <c r="J1326" s="902">
        <f>GLOBAL_DER_FEV_2023!J1326</f>
        <v>86.53</v>
      </c>
      <c r="K1326" s="903" t="s">
        <v>1516</v>
      </c>
      <c r="L1326" s="1137"/>
      <c r="M1326" s="1138">
        <f t="shared" si="97"/>
        <v>0</v>
      </c>
      <c r="N1326" s="893">
        <f t="shared" si="101"/>
        <v>0</v>
      </c>
      <c r="O1326" s="905"/>
      <c r="Q1326" s="317" t="str">
        <f t="shared" si="98"/>
        <v/>
      </c>
      <c r="R1326" s="317" t="str">
        <f t="shared" si="99"/>
        <v/>
      </c>
      <c r="S1326" s="317" t="str">
        <f t="shared" si="100"/>
        <v/>
      </c>
      <c r="T1326" s="317" t="str">
        <f>GLOBAL_DER_FEV_2023!S1326</f>
        <v/>
      </c>
      <c r="W1326" s="582">
        <v>0</v>
      </c>
      <c r="X1326" s="580"/>
      <c r="Y1326" s="583">
        <f>IF(GLOBAL_DER_FEV_2023!W1326=0,0,IF(GLOBAL_DER_FEV_2023!W1326&gt;0,"c","b"))</f>
        <v>0</v>
      </c>
    </row>
    <row r="1327" spans="1:25" ht="23.25" hidden="1" thickBot="1" x14ac:dyDescent="0.25">
      <c r="A1327" s="317">
        <v>91963</v>
      </c>
      <c r="B1327" s="895">
        <v>91963</v>
      </c>
      <c r="C1327" s="896" t="s">
        <v>596</v>
      </c>
      <c r="D1327" s="906" t="s">
        <v>1257</v>
      </c>
      <c r="E1327" s="907">
        <f>GLOBAL_DER_FEV_2023!E1327</f>
        <v>0</v>
      </c>
      <c r="F1327" s="908">
        <f>GLOBAL_DER_FEV_2023!F1327</f>
        <v>0</v>
      </c>
      <c r="G1327" s="912">
        <f>GLOBAL_DER_FEV_2023!G1327</f>
        <v>0</v>
      </c>
      <c r="H1327" s="901">
        <f>GLOBAL_DER_FEV_2023!H1327</f>
        <v>81.3</v>
      </c>
      <c r="I1327" s="901">
        <f>GLOBAL_DER_FEV_2023!I1327</f>
        <v>81.3</v>
      </c>
      <c r="J1327" s="902">
        <f>GLOBAL_DER_FEV_2023!J1327</f>
        <v>97.62</v>
      </c>
      <c r="K1327" s="903" t="s">
        <v>1516</v>
      </c>
      <c r="L1327" s="1137"/>
      <c r="M1327" s="1138">
        <f t="shared" si="97"/>
        <v>0</v>
      </c>
      <c r="N1327" s="893">
        <f t="shared" si="101"/>
        <v>0</v>
      </c>
      <c r="O1327" s="905"/>
      <c r="Q1327" s="317" t="str">
        <f t="shared" si="98"/>
        <v/>
      </c>
      <c r="R1327" s="317" t="str">
        <f t="shared" si="99"/>
        <v/>
      </c>
      <c r="S1327" s="317" t="str">
        <f t="shared" si="100"/>
        <v/>
      </c>
      <c r="T1327" s="317" t="str">
        <f>GLOBAL_DER_FEV_2023!S1327</f>
        <v/>
      </c>
      <c r="W1327" s="582">
        <v>0</v>
      </c>
      <c r="X1327" s="580"/>
      <c r="Y1327" s="583">
        <f>IF(GLOBAL_DER_FEV_2023!W1327=0,0,IF(GLOBAL_DER_FEV_2023!W1327&gt;0,"c","b"))</f>
        <v>0</v>
      </c>
    </row>
    <row r="1328" spans="1:25" ht="23.25" hidden="1" thickBot="1" x14ac:dyDescent="0.25">
      <c r="A1328" s="317">
        <v>91964</v>
      </c>
      <c r="B1328" s="895">
        <v>91964</v>
      </c>
      <c r="C1328" s="896" t="s">
        <v>596</v>
      </c>
      <c r="D1328" s="906" t="s">
        <v>1258</v>
      </c>
      <c r="E1328" s="907">
        <f>GLOBAL_DER_FEV_2023!E1328</f>
        <v>0</v>
      </c>
      <c r="F1328" s="908">
        <f>GLOBAL_DER_FEV_2023!F1328</f>
        <v>0</v>
      </c>
      <c r="G1328" s="912">
        <f>GLOBAL_DER_FEV_2023!G1328</f>
        <v>0</v>
      </c>
      <c r="H1328" s="901">
        <f>GLOBAL_DER_FEV_2023!H1328</f>
        <v>64.66</v>
      </c>
      <c r="I1328" s="901">
        <f>GLOBAL_DER_FEV_2023!I1328</f>
        <v>64.66</v>
      </c>
      <c r="J1328" s="902">
        <f>GLOBAL_DER_FEV_2023!J1328</f>
        <v>77.64</v>
      </c>
      <c r="K1328" s="903" t="s">
        <v>1516</v>
      </c>
      <c r="L1328" s="1137"/>
      <c r="M1328" s="1138">
        <f t="shared" si="97"/>
        <v>0</v>
      </c>
      <c r="N1328" s="893">
        <f t="shared" si="101"/>
        <v>0</v>
      </c>
      <c r="O1328" s="905"/>
      <c r="Q1328" s="317" t="str">
        <f t="shared" si="98"/>
        <v/>
      </c>
      <c r="R1328" s="317" t="str">
        <f t="shared" si="99"/>
        <v/>
      </c>
      <c r="S1328" s="317" t="str">
        <f t="shared" si="100"/>
        <v/>
      </c>
      <c r="T1328" s="317" t="str">
        <f>GLOBAL_DER_FEV_2023!S1328</f>
        <v/>
      </c>
      <c r="W1328" s="582">
        <v>0</v>
      </c>
      <c r="X1328" s="580"/>
      <c r="Y1328" s="583">
        <f>IF(GLOBAL_DER_FEV_2023!W1328=0,0,IF(GLOBAL_DER_FEV_2023!W1328&gt;0,"c","b"))</f>
        <v>0</v>
      </c>
    </row>
    <row r="1329" spans="1:25" ht="23.25" hidden="1" thickBot="1" x14ac:dyDescent="0.25">
      <c r="A1329" s="317">
        <v>91965</v>
      </c>
      <c r="B1329" s="895">
        <v>91965</v>
      </c>
      <c r="C1329" s="896" t="s">
        <v>596</v>
      </c>
      <c r="D1329" s="906" t="s">
        <v>1259</v>
      </c>
      <c r="E1329" s="907">
        <f>GLOBAL_DER_FEV_2023!E1329</f>
        <v>0</v>
      </c>
      <c r="F1329" s="908">
        <f>GLOBAL_DER_FEV_2023!F1329</f>
        <v>0</v>
      </c>
      <c r="G1329" s="912">
        <f>GLOBAL_DER_FEV_2023!G1329</f>
        <v>0</v>
      </c>
      <c r="H1329" s="901">
        <f>GLOBAL_DER_FEV_2023!H1329</f>
        <v>73.89</v>
      </c>
      <c r="I1329" s="901">
        <f>GLOBAL_DER_FEV_2023!I1329</f>
        <v>73.89</v>
      </c>
      <c r="J1329" s="902">
        <f>GLOBAL_DER_FEV_2023!J1329</f>
        <v>88.72</v>
      </c>
      <c r="K1329" s="903" t="s">
        <v>1516</v>
      </c>
      <c r="L1329" s="1137"/>
      <c r="M1329" s="1138">
        <f t="shared" si="97"/>
        <v>0</v>
      </c>
      <c r="N1329" s="893">
        <f t="shared" si="101"/>
        <v>0</v>
      </c>
      <c r="O1329" s="905"/>
      <c r="Q1329" s="317" t="str">
        <f t="shared" si="98"/>
        <v/>
      </c>
      <c r="R1329" s="317" t="str">
        <f t="shared" si="99"/>
        <v/>
      </c>
      <c r="S1329" s="317" t="str">
        <f t="shared" si="100"/>
        <v/>
      </c>
      <c r="T1329" s="317" t="str">
        <f>GLOBAL_DER_FEV_2023!S1329</f>
        <v/>
      </c>
      <c r="W1329" s="582">
        <v>0</v>
      </c>
      <c r="X1329" s="580"/>
      <c r="Y1329" s="583">
        <f>IF(GLOBAL_DER_FEV_2023!W1329=0,0,IF(GLOBAL_DER_FEV_2023!W1329&gt;0,"c","b"))</f>
        <v>0</v>
      </c>
    </row>
    <row r="1330" spans="1:25" ht="23.25" hidden="1" thickBot="1" x14ac:dyDescent="0.25">
      <c r="A1330" s="317">
        <v>91966</v>
      </c>
      <c r="B1330" s="895">
        <v>91966</v>
      </c>
      <c r="C1330" s="896" t="s">
        <v>596</v>
      </c>
      <c r="D1330" s="906" t="s">
        <v>1260</v>
      </c>
      <c r="E1330" s="907">
        <f>GLOBAL_DER_FEV_2023!E1330</f>
        <v>0</v>
      </c>
      <c r="F1330" s="908">
        <f>GLOBAL_DER_FEV_2023!F1330</f>
        <v>0</v>
      </c>
      <c r="G1330" s="912">
        <f>GLOBAL_DER_FEV_2023!G1330</f>
        <v>0</v>
      </c>
      <c r="H1330" s="901">
        <f>GLOBAL_DER_FEV_2023!H1330</f>
        <v>57.32</v>
      </c>
      <c r="I1330" s="901">
        <f>GLOBAL_DER_FEV_2023!I1330</f>
        <v>57.32</v>
      </c>
      <c r="J1330" s="902">
        <f>GLOBAL_DER_FEV_2023!J1330</f>
        <v>68.819999999999993</v>
      </c>
      <c r="K1330" s="903" t="s">
        <v>1516</v>
      </c>
      <c r="L1330" s="1137"/>
      <c r="M1330" s="1138">
        <f t="shared" si="97"/>
        <v>0</v>
      </c>
      <c r="N1330" s="893">
        <f t="shared" si="101"/>
        <v>0</v>
      </c>
      <c r="O1330" s="905"/>
      <c r="Q1330" s="317" t="str">
        <f t="shared" si="98"/>
        <v/>
      </c>
      <c r="R1330" s="317" t="str">
        <f t="shared" si="99"/>
        <v/>
      </c>
      <c r="S1330" s="317" t="str">
        <f t="shared" si="100"/>
        <v/>
      </c>
      <c r="T1330" s="317" t="str">
        <f>GLOBAL_DER_FEV_2023!S1330</f>
        <v/>
      </c>
      <c r="W1330" s="582">
        <v>0</v>
      </c>
      <c r="X1330" s="580"/>
      <c r="Y1330" s="583">
        <f>IF(GLOBAL_DER_FEV_2023!W1330=0,0,IF(GLOBAL_DER_FEV_2023!W1330&gt;0,"c","b"))</f>
        <v>0</v>
      </c>
    </row>
    <row r="1331" spans="1:25" ht="23.25" hidden="1" thickBot="1" x14ac:dyDescent="0.25">
      <c r="A1331" s="317">
        <v>91967</v>
      </c>
      <c r="B1331" s="895">
        <v>91967</v>
      </c>
      <c r="C1331" s="896" t="s">
        <v>596</v>
      </c>
      <c r="D1331" s="906" t="s">
        <v>1261</v>
      </c>
      <c r="E1331" s="907">
        <f>GLOBAL_DER_FEV_2023!E1331</f>
        <v>0</v>
      </c>
      <c r="F1331" s="908">
        <f>GLOBAL_DER_FEV_2023!F1331</f>
        <v>0</v>
      </c>
      <c r="G1331" s="912">
        <f>GLOBAL_DER_FEV_2023!G1331</f>
        <v>0</v>
      </c>
      <c r="H1331" s="901">
        <f>GLOBAL_DER_FEV_2023!H1331</f>
        <v>66.55</v>
      </c>
      <c r="I1331" s="901">
        <f>GLOBAL_DER_FEV_2023!I1331</f>
        <v>66.55</v>
      </c>
      <c r="J1331" s="902">
        <f>GLOBAL_DER_FEV_2023!J1331</f>
        <v>79.91</v>
      </c>
      <c r="K1331" s="903" t="s">
        <v>1516</v>
      </c>
      <c r="L1331" s="1137"/>
      <c r="M1331" s="1138">
        <f t="shared" si="97"/>
        <v>0</v>
      </c>
      <c r="N1331" s="893">
        <f t="shared" si="101"/>
        <v>0</v>
      </c>
      <c r="O1331" s="905"/>
      <c r="Q1331" s="317" t="str">
        <f t="shared" si="98"/>
        <v/>
      </c>
      <c r="R1331" s="317" t="str">
        <f t="shared" si="99"/>
        <v/>
      </c>
      <c r="S1331" s="317" t="str">
        <f t="shared" si="100"/>
        <v/>
      </c>
      <c r="T1331" s="317" t="str">
        <f>GLOBAL_DER_FEV_2023!S1331</f>
        <v/>
      </c>
      <c r="W1331" s="582">
        <v>0</v>
      </c>
      <c r="X1331" s="580"/>
      <c r="Y1331" s="583">
        <f>IF(GLOBAL_DER_FEV_2023!W1331=0,0,IF(GLOBAL_DER_FEV_2023!W1331&gt;0,"c","b"))</f>
        <v>0</v>
      </c>
    </row>
    <row r="1332" spans="1:25" ht="23.25" hidden="1" thickBot="1" x14ac:dyDescent="0.25">
      <c r="A1332" s="317">
        <v>91970</v>
      </c>
      <c r="B1332" s="895">
        <v>91970</v>
      </c>
      <c r="C1332" s="896" t="s">
        <v>596</v>
      </c>
      <c r="D1332" s="906" t="s">
        <v>1262</v>
      </c>
      <c r="E1332" s="907">
        <f>GLOBAL_DER_FEV_2023!E1332</f>
        <v>0</v>
      </c>
      <c r="F1332" s="908">
        <f>GLOBAL_DER_FEV_2023!F1332</f>
        <v>0</v>
      </c>
      <c r="G1332" s="912">
        <f>GLOBAL_DER_FEV_2023!G1332</f>
        <v>0</v>
      </c>
      <c r="H1332" s="901">
        <f>GLOBAL_DER_FEV_2023!H1332</f>
        <v>83</v>
      </c>
      <c r="I1332" s="901">
        <f>GLOBAL_DER_FEV_2023!I1332</f>
        <v>83</v>
      </c>
      <c r="J1332" s="902">
        <f>GLOBAL_DER_FEV_2023!J1332</f>
        <v>99.66</v>
      </c>
      <c r="K1332" s="903" t="s">
        <v>1516</v>
      </c>
      <c r="L1332" s="1137"/>
      <c r="M1332" s="1138">
        <f t="shared" si="97"/>
        <v>0</v>
      </c>
      <c r="N1332" s="893">
        <f t="shared" si="101"/>
        <v>0</v>
      </c>
      <c r="O1332" s="905"/>
      <c r="Q1332" s="317" t="str">
        <f t="shared" si="98"/>
        <v/>
      </c>
      <c r="R1332" s="317" t="str">
        <f t="shared" si="99"/>
        <v/>
      </c>
      <c r="S1332" s="317" t="str">
        <f t="shared" si="100"/>
        <v/>
      </c>
      <c r="T1332" s="317" t="str">
        <f>GLOBAL_DER_FEV_2023!S1332</f>
        <v/>
      </c>
      <c r="W1332" s="582">
        <v>0</v>
      </c>
      <c r="X1332" s="580"/>
      <c r="Y1332" s="583">
        <f>IF(GLOBAL_DER_FEV_2023!W1332=0,0,IF(GLOBAL_DER_FEV_2023!W1332&gt;0,"c","b"))</f>
        <v>0</v>
      </c>
    </row>
    <row r="1333" spans="1:25" ht="23.25" hidden="1" thickBot="1" x14ac:dyDescent="0.25">
      <c r="A1333" s="317">
        <v>91971</v>
      </c>
      <c r="B1333" s="895">
        <v>91971</v>
      </c>
      <c r="C1333" s="896" t="s">
        <v>596</v>
      </c>
      <c r="D1333" s="906" t="s">
        <v>1263</v>
      </c>
      <c r="E1333" s="907">
        <f>GLOBAL_DER_FEV_2023!E1333</f>
        <v>0</v>
      </c>
      <c r="F1333" s="908">
        <f>GLOBAL_DER_FEV_2023!F1333</f>
        <v>0</v>
      </c>
      <c r="G1333" s="912">
        <f>GLOBAL_DER_FEV_2023!G1333</f>
        <v>0</v>
      </c>
      <c r="H1333" s="901">
        <f>GLOBAL_DER_FEV_2023!H1333</f>
        <v>97.58</v>
      </c>
      <c r="I1333" s="901">
        <f>GLOBAL_DER_FEV_2023!I1333</f>
        <v>97.58</v>
      </c>
      <c r="J1333" s="902">
        <f>GLOBAL_DER_FEV_2023!J1333</f>
        <v>117.16</v>
      </c>
      <c r="K1333" s="903" t="s">
        <v>1516</v>
      </c>
      <c r="L1333" s="1137"/>
      <c r="M1333" s="1138">
        <f t="shared" si="97"/>
        <v>0</v>
      </c>
      <c r="N1333" s="893">
        <f t="shared" si="101"/>
        <v>0</v>
      </c>
      <c r="O1333" s="905"/>
      <c r="Q1333" s="317" t="str">
        <f t="shared" si="98"/>
        <v/>
      </c>
      <c r="R1333" s="317" t="str">
        <f t="shared" si="99"/>
        <v/>
      </c>
      <c r="S1333" s="317" t="str">
        <f t="shared" si="100"/>
        <v/>
      </c>
      <c r="T1333" s="317" t="str">
        <f>GLOBAL_DER_FEV_2023!S1333</f>
        <v/>
      </c>
      <c r="W1333" s="582">
        <v>0</v>
      </c>
      <c r="X1333" s="580"/>
      <c r="Y1333" s="583">
        <f>IF(GLOBAL_DER_FEV_2023!W1333=0,0,IF(GLOBAL_DER_FEV_2023!W1333&gt;0,"c","b"))</f>
        <v>0</v>
      </c>
    </row>
    <row r="1334" spans="1:25" ht="23.25" hidden="1" thickBot="1" x14ac:dyDescent="0.25">
      <c r="A1334" s="317">
        <v>91972</v>
      </c>
      <c r="B1334" s="895">
        <v>91972</v>
      </c>
      <c r="C1334" s="896" t="s">
        <v>596</v>
      </c>
      <c r="D1334" s="906" t="s">
        <v>1264</v>
      </c>
      <c r="E1334" s="907">
        <f>GLOBAL_DER_FEV_2023!E1334</f>
        <v>0</v>
      </c>
      <c r="F1334" s="908">
        <f>GLOBAL_DER_FEV_2023!F1334</f>
        <v>0</v>
      </c>
      <c r="G1334" s="912">
        <f>GLOBAL_DER_FEV_2023!G1334</f>
        <v>0</v>
      </c>
      <c r="H1334" s="901">
        <f>GLOBAL_DER_FEV_2023!H1334</f>
        <v>90.4</v>
      </c>
      <c r="I1334" s="901">
        <f>GLOBAL_DER_FEV_2023!I1334</f>
        <v>90.4</v>
      </c>
      <c r="J1334" s="902">
        <f>GLOBAL_DER_FEV_2023!J1334</f>
        <v>108.54</v>
      </c>
      <c r="K1334" s="903" t="s">
        <v>1516</v>
      </c>
      <c r="L1334" s="1137"/>
      <c r="M1334" s="1138">
        <f t="shared" si="97"/>
        <v>0</v>
      </c>
      <c r="N1334" s="893">
        <f t="shared" si="101"/>
        <v>0</v>
      </c>
      <c r="O1334" s="905"/>
      <c r="Q1334" s="317" t="str">
        <f t="shared" si="98"/>
        <v/>
      </c>
      <c r="R1334" s="317" t="str">
        <f t="shared" si="99"/>
        <v/>
      </c>
      <c r="S1334" s="317" t="str">
        <f t="shared" si="100"/>
        <v/>
      </c>
      <c r="T1334" s="317" t="str">
        <f>GLOBAL_DER_FEV_2023!S1334</f>
        <v/>
      </c>
      <c r="W1334" s="582">
        <v>0</v>
      </c>
      <c r="X1334" s="580"/>
      <c r="Y1334" s="583">
        <f>IF(GLOBAL_DER_FEV_2023!W1334=0,0,IF(GLOBAL_DER_FEV_2023!W1334&gt;0,"c","b"))</f>
        <v>0</v>
      </c>
    </row>
    <row r="1335" spans="1:25" ht="23.25" hidden="1" thickBot="1" x14ac:dyDescent="0.25">
      <c r="A1335" s="317">
        <v>91973</v>
      </c>
      <c r="B1335" s="895">
        <v>91973</v>
      </c>
      <c r="C1335" s="896" t="s">
        <v>596</v>
      </c>
      <c r="D1335" s="906" t="s">
        <v>1265</v>
      </c>
      <c r="E1335" s="907">
        <f>GLOBAL_DER_FEV_2023!E1335</f>
        <v>0</v>
      </c>
      <c r="F1335" s="908">
        <f>GLOBAL_DER_FEV_2023!F1335</f>
        <v>0</v>
      </c>
      <c r="G1335" s="912">
        <f>GLOBAL_DER_FEV_2023!G1335</f>
        <v>0</v>
      </c>
      <c r="H1335" s="901">
        <f>GLOBAL_DER_FEV_2023!H1335</f>
        <v>104.98</v>
      </c>
      <c r="I1335" s="901">
        <f>GLOBAL_DER_FEV_2023!I1335</f>
        <v>104.98</v>
      </c>
      <c r="J1335" s="902">
        <f>GLOBAL_DER_FEV_2023!J1335</f>
        <v>126.05</v>
      </c>
      <c r="K1335" s="903" t="s">
        <v>1516</v>
      </c>
      <c r="L1335" s="1137"/>
      <c r="M1335" s="1138">
        <f t="shared" si="97"/>
        <v>0</v>
      </c>
      <c r="N1335" s="893">
        <f t="shared" si="101"/>
        <v>0</v>
      </c>
      <c r="O1335" s="905"/>
      <c r="Q1335" s="317" t="str">
        <f t="shared" si="98"/>
        <v/>
      </c>
      <c r="R1335" s="317" t="str">
        <f t="shared" si="99"/>
        <v/>
      </c>
      <c r="S1335" s="317" t="str">
        <f t="shared" si="100"/>
        <v/>
      </c>
      <c r="T1335" s="317" t="str">
        <f>GLOBAL_DER_FEV_2023!S1335</f>
        <v/>
      </c>
      <c r="W1335" s="582">
        <v>0</v>
      </c>
      <c r="X1335" s="580"/>
      <c r="Y1335" s="583">
        <f>IF(GLOBAL_DER_FEV_2023!W1335=0,0,IF(GLOBAL_DER_FEV_2023!W1335&gt;0,"c","b"))</f>
        <v>0</v>
      </c>
    </row>
    <row r="1336" spans="1:25" ht="23.25" hidden="1" thickBot="1" x14ac:dyDescent="0.25">
      <c r="A1336" s="317">
        <v>91974</v>
      </c>
      <c r="B1336" s="895">
        <v>91974</v>
      </c>
      <c r="C1336" s="896" t="s">
        <v>596</v>
      </c>
      <c r="D1336" s="906" t="s">
        <v>1266</v>
      </c>
      <c r="E1336" s="907">
        <f>GLOBAL_DER_FEV_2023!E1336</f>
        <v>0</v>
      </c>
      <c r="F1336" s="908">
        <f>GLOBAL_DER_FEV_2023!F1336</f>
        <v>0</v>
      </c>
      <c r="G1336" s="912">
        <f>GLOBAL_DER_FEV_2023!G1336</f>
        <v>0</v>
      </c>
      <c r="H1336" s="901">
        <f>GLOBAL_DER_FEV_2023!H1336</f>
        <v>75.599999999999994</v>
      </c>
      <c r="I1336" s="901">
        <f>GLOBAL_DER_FEV_2023!I1336</f>
        <v>75.599999999999994</v>
      </c>
      <c r="J1336" s="902">
        <f>GLOBAL_DER_FEV_2023!J1336</f>
        <v>90.77</v>
      </c>
      <c r="K1336" s="903" t="s">
        <v>1516</v>
      </c>
      <c r="L1336" s="1137"/>
      <c r="M1336" s="1138">
        <f t="shared" si="97"/>
        <v>0</v>
      </c>
      <c r="N1336" s="893">
        <f t="shared" si="101"/>
        <v>0</v>
      </c>
      <c r="O1336" s="905"/>
      <c r="Q1336" s="317" t="str">
        <f t="shared" si="98"/>
        <v/>
      </c>
      <c r="R1336" s="317" t="str">
        <f t="shared" si="99"/>
        <v/>
      </c>
      <c r="S1336" s="317" t="str">
        <f t="shared" si="100"/>
        <v/>
      </c>
      <c r="T1336" s="317" t="str">
        <f>GLOBAL_DER_FEV_2023!S1336</f>
        <v/>
      </c>
      <c r="W1336" s="582">
        <v>0</v>
      </c>
      <c r="X1336" s="580"/>
      <c r="Y1336" s="583">
        <f>IF(GLOBAL_DER_FEV_2023!W1336=0,0,IF(GLOBAL_DER_FEV_2023!W1336&gt;0,"c","b"))</f>
        <v>0</v>
      </c>
    </row>
    <row r="1337" spans="1:25" ht="23.25" hidden="1" thickBot="1" x14ac:dyDescent="0.25">
      <c r="A1337" s="317">
        <v>91975</v>
      </c>
      <c r="B1337" s="895">
        <v>91975</v>
      </c>
      <c r="C1337" s="896" t="s">
        <v>596</v>
      </c>
      <c r="D1337" s="906" t="s">
        <v>1267</v>
      </c>
      <c r="E1337" s="907">
        <f>GLOBAL_DER_FEV_2023!E1337</f>
        <v>0</v>
      </c>
      <c r="F1337" s="908">
        <f>GLOBAL_DER_FEV_2023!F1337</f>
        <v>0</v>
      </c>
      <c r="G1337" s="912">
        <f>GLOBAL_DER_FEV_2023!G1337</f>
        <v>0</v>
      </c>
      <c r="H1337" s="901">
        <f>GLOBAL_DER_FEV_2023!H1337</f>
        <v>90.18</v>
      </c>
      <c r="I1337" s="901">
        <f>GLOBAL_DER_FEV_2023!I1337</f>
        <v>90.18</v>
      </c>
      <c r="J1337" s="902">
        <f>GLOBAL_DER_FEV_2023!J1337</f>
        <v>108.28</v>
      </c>
      <c r="K1337" s="903" t="s">
        <v>1516</v>
      </c>
      <c r="L1337" s="1137"/>
      <c r="M1337" s="1138">
        <f t="shared" si="97"/>
        <v>0</v>
      </c>
      <c r="N1337" s="893">
        <f t="shared" si="101"/>
        <v>0</v>
      </c>
      <c r="O1337" s="905"/>
      <c r="Q1337" s="317" t="str">
        <f t="shared" si="98"/>
        <v/>
      </c>
      <c r="R1337" s="317" t="str">
        <f t="shared" si="99"/>
        <v/>
      </c>
      <c r="S1337" s="317" t="str">
        <f t="shared" si="100"/>
        <v/>
      </c>
      <c r="T1337" s="317" t="str">
        <f>GLOBAL_DER_FEV_2023!S1337</f>
        <v/>
      </c>
      <c r="W1337" s="582">
        <v>0</v>
      </c>
      <c r="X1337" s="580"/>
      <c r="Y1337" s="583">
        <f>IF(GLOBAL_DER_FEV_2023!W1337=0,0,IF(GLOBAL_DER_FEV_2023!W1337&gt;0,"c","b"))</f>
        <v>0</v>
      </c>
    </row>
    <row r="1338" spans="1:25" ht="23.25" hidden="1" thickBot="1" x14ac:dyDescent="0.25">
      <c r="A1338" s="317">
        <v>91976</v>
      </c>
      <c r="B1338" s="895">
        <v>91976</v>
      </c>
      <c r="C1338" s="896" t="s">
        <v>596</v>
      </c>
      <c r="D1338" s="906" t="s">
        <v>1268</v>
      </c>
      <c r="E1338" s="907">
        <f>GLOBAL_DER_FEV_2023!E1338</f>
        <v>0</v>
      </c>
      <c r="F1338" s="908">
        <f>GLOBAL_DER_FEV_2023!F1338</f>
        <v>0</v>
      </c>
      <c r="G1338" s="912">
        <f>GLOBAL_DER_FEV_2023!G1338</f>
        <v>0</v>
      </c>
      <c r="H1338" s="901">
        <f>GLOBAL_DER_FEV_2023!H1338</f>
        <v>111.54</v>
      </c>
      <c r="I1338" s="901">
        <f>GLOBAL_DER_FEV_2023!I1338</f>
        <v>111.54</v>
      </c>
      <c r="J1338" s="902">
        <f>GLOBAL_DER_FEV_2023!J1338</f>
        <v>133.93</v>
      </c>
      <c r="K1338" s="903" t="s">
        <v>1516</v>
      </c>
      <c r="L1338" s="1137"/>
      <c r="M1338" s="1138">
        <f t="shared" si="97"/>
        <v>0</v>
      </c>
      <c r="N1338" s="893">
        <f t="shared" si="101"/>
        <v>0</v>
      </c>
      <c r="O1338" s="905"/>
      <c r="Q1338" s="317" t="str">
        <f t="shared" si="98"/>
        <v/>
      </c>
      <c r="R1338" s="317" t="str">
        <f t="shared" si="99"/>
        <v/>
      </c>
      <c r="S1338" s="317" t="str">
        <f t="shared" si="100"/>
        <v/>
      </c>
      <c r="T1338" s="317" t="str">
        <f>GLOBAL_DER_FEV_2023!S1338</f>
        <v/>
      </c>
      <c r="W1338" s="582">
        <v>0</v>
      </c>
      <c r="X1338" s="580"/>
      <c r="Y1338" s="583">
        <f>IF(GLOBAL_DER_FEV_2023!W1338=0,0,IF(GLOBAL_DER_FEV_2023!W1338&gt;0,"c","b"))</f>
        <v>0</v>
      </c>
    </row>
    <row r="1339" spans="1:25" ht="23.25" hidden="1" thickBot="1" x14ac:dyDescent="0.25">
      <c r="A1339" s="317">
        <v>91977</v>
      </c>
      <c r="B1339" s="895">
        <v>91977</v>
      </c>
      <c r="C1339" s="896" t="s">
        <v>596</v>
      </c>
      <c r="D1339" s="906" t="s">
        <v>1269</v>
      </c>
      <c r="E1339" s="907">
        <f>GLOBAL_DER_FEV_2023!E1339</f>
        <v>0</v>
      </c>
      <c r="F1339" s="908">
        <f>GLOBAL_DER_FEV_2023!F1339</f>
        <v>0</v>
      </c>
      <c r="G1339" s="912">
        <f>GLOBAL_DER_FEV_2023!G1339</f>
        <v>0</v>
      </c>
      <c r="H1339" s="901">
        <f>GLOBAL_DER_FEV_2023!H1339</f>
        <v>126.12</v>
      </c>
      <c r="I1339" s="901">
        <f>GLOBAL_DER_FEV_2023!I1339</f>
        <v>126.12</v>
      </c>
      <c r="J1339" s="902">
        <f>GLOBAL_DER_FEV_2023!J1339</f>
        <v>151.43</v>
      </c>
      <c r="K1339" s="903" t="s">
        <v>1516</v>
      </c>
      <c r="L1339" s="1137"/>
      <c r="M1339" s="1138">
        <f t="shared" si="97"/>
        <v>0</v>
      </c>
      <c r="N1339" s="893">
        <f t="shared" si="101"/>
        <v>0</v>
      </c>
      <c r="O1339" s="905"/>
      <c r="Q1339" s="317" t="str">
        <f t="shared" si="98"/>
        <v/>
      </c>
      <c r="R1339" s="317" t="str">
        <f t="shared" si="99"/>
        <v/>
      </c>
      <c r="S1339" s="317" t="str">
        <f t="shared" si="100"/>
        <v/>
      </c>
      <c r="T1339" s="317" t="str">
        <f>GLOBAL_DER_FEV_2023!S1339</f>
        <v/>
      </c>
      <c r="W1339" s="582">
        <v>0</v>
      </c>
      <c r="X1339" s="580"/>
      <c r="Y1339" s="583">
        <f>IF(GLOBAL_DER_FEV_2023!W1339=0,0,IF(GLOBAL_DER_FEV_2023!W1339&gt;0,"c","b"))</f>
        <v>0</v>
      </c>
    </row>
    <row r="1340" spans="1:25" ht="23.25" hidden="1" thickBot="1" x14ac:dyDescent="0.25">
      <c r="A1340" s="317">
        <v>92022</v>
      </c>
      <c r="B1340" s="895">
        <v>92022</v>
      </c>
      <c r="C1340" s="896" t="s">
        <v>596</v>
      </c>
      <c r="D1340" s="906" t="s">
        <v>1270</v>
      </c>
      <c r="E1340" s="907">
        <f>GLOBAL_DER_FEV_2023!E1340</f>
        <v>0</v>
      </c>
      <c r="F1340" s="908">
        <f>GLOBAL_DER_FEV_2023!F1340</f>
        <v>0</v>
      </c>
      <c r="G1340" s="912">
        <f>GLOBAL_DER_FEV_2023!G1340</f>
        <v>0</v>
      </c>
      <c r="H1340" s="901">
        <f>GLOBAL_DER_FEV_2023!H1340</f>
        <v>45.44</v>
      </c>
      <c r="I1340" s="901">
        <f>GLOBAL_DER_FEV_2023!I1340</f>
        <v>45.44</v>
      </c>
      <c r="J1340" s="902">
        <f>GLOBAL_DER_FEV_2023!J1340</f>
        <v>54.56</v>
      </c>
      <c r="K1340" s="903" t="s">
        <v>1516</v>
      </c>
      <c r="L1340" s="1137"/>
      <c r="M1340" s="1138">
        <f t="shared" si="97"/>
        <v>0</v>
      </c>
      <c r="N1340" s="893">
        <f t="shared" si="101"/>
        <v>0</v>
      </c>
      <c r="O1340" s="905"/>
      <c r="Q1340" s="317" t="str">
        <f t="shared" si="98"/>
        <v/>
      </c>
      <c r="R1340" s="317" t="str">
        <f t="shared" si="99"/>
        <v/>
      </c>
      <c r="S1340" s="317" t="str">
        <f t="shared" si="100"/>
        <v/>
      </c>
      <c r="T1340" s="317" t="str">
        <f>GLOBAL_DER_FEV_2023!S1340</f>
        <v/>
      </c>
      <c r="W1340" s="582">
        <v>0</v>
      </c>
      <c r="X1340" s="580"/>
      <c r="Y1340" s="583">
        <f>IF(GLOBAL_DER_FEV_2023!W1340=0,0,IF(GLOBAL_DER_FEV_2023!W1340&gt;0,"c","b"))</f>
        <v>0</v>
      </c>
    </row>
    <row r="1341" spans="1:25" ht="23.25" hidden="1" thickBot="1" x14ac:dyDescent="0.25">
      <c r="A1341" s="317">
        <v>92023</v>
      </c>
      <c r="B1341" s="895">
        <v>92023</v>
      </c>
      <c r="C1341" s="896" t="s">
        <v>596</v>
      </c>
      <c r="D1341" s="906" t="s">
        <v>1271</v>
      </c>
      <c r="E1341" s="907">
        <f>GLOBAL_DER_FEV_2023!E1341</f>
        <v>0</v>
      </c>
      <c r="F1341" s="908">
        <f>GLOBAL_DER_FEV_2023!F1341</f>
        <v>0</v>
      </c>
      <c r="G1341" s="912">
        <f>GLOBAL_DER_FEV_2023!G1341</f>
        <v>0</v>
      </c>
      <c r="H1341" s="901">
        <f>GLOBAL_DER_FEV_2023!H1341</f>
        <v>54.67</v>
      </c>
      <c r="I1341" s="901">
        <f>GLOBAL_DER_FEV_2023!I1341</f>
        <v>54.67</v>
      </c>
      <c r="J1341" s="902">
        <f>GLOBAL_DER_FEV_2023!J1341</f>
        <v>65.64</v>
      </c>
      <c r="K1341" s="903" t="s">
        <v>1516</v>
      </c>
      <c r="L1341" s="1137"/>
      <c r="M1341" s="1138">
        <f t="shared" si="97"/>
        <v>0</v>
      </c>
      <c r="N1341" s="893">
        <f t="shared" si="101"/>
        <v>0</v>
      </c>
      <c r="O1341" s="905"/>
      <c r="Q1341" s="317" t="str">
        <f t="shared" si="98"/>
        <v/>
      </c>
      <c r="R1341" s="317" t="str">
        <f t="shared" si="99"/>
        <v/>
      </c>
      <c r="S1341" s="317" t="str">
        <f t="shared" si="100"/>
        <v/>
      </c>
      <c r="T1341" s="317" t="str">
        <f>GLOBAL_DER_FEV_2023!S1341</f>
        <v/>
      </c>
      <c r="W1341" s="582">
        <v>0</v>
      </c>
      <c r="X1341" s="580"/>
      <c r="Y1341" s="583">
        <f>IF(GLOBAL_DER_FEV_2023!W1341=0,0,IF(GLOBAL_DER_FEV_2023!W1341&gt;0,"c","b"))</f>
        <v>0</v>
      </c>
    </row>
    <row r="1342" spans="1:25" ht="23.25" hidden="1" thickBot="1" x14ac:dyDescent="0.25">
      <c r="A1342" s="317">
        <v>92024</v>
      </c>
      <c r="B1342" s="895">
        <v>92024</v>
      </c>
      <c r="C1342" s="896" t="s">
        <v>596</v>
      </c>
      <c r="D1342" s="906" t="s">
        <v>1272</v>
      </c>
      <c r="E1342" s="907">
        <f>GLOBAL_DER_FEV_2023!E1342</f>
        <v>0</v>
      </c>
      <c r="F1342" s="908">
        <f>GLOBAL_DER_FEV_2023!F1342</f>
        <v>0</v>
      </c>
      <c r="G1342" s="912">
        <f>GLOBAL_DER_FEV_2023!G1342</f>
        <v>0</v>
      </c>
      <c r="H1342" s="901">
        <f>GLOBAL_DER_FEV_2023!H1342</f>
        <v>69.430000000000007</v>
      </c>
      <c r="I1342" s="901">
        <f>GLOBAL_DER_FEV_2023!I1342</f>
        <v>69.430000000000007</v>
      </c>
      <c r="J1342" s="902">
        <f>GLOBAL_DER_FEV_2023!J1342</f>
        <v>83.36</v>
      </c>
      <c r="K1342" s="903" t="s">
        <v>1516</v>
      </c>
      <c r="L1342" s="1137"/>
      <c r="M1342" s="1138">
        <f t="shared" si="97"/>
        <v>0</v>
      </c>
      <c r="N1342" s="893">
        <f t="shared" si="101"/>
        <v>0</v>
      </c>
      <c r="O1342" s="905"/>
      <c r="Q1342" s="317" t="str">
        <f t="shared" si="98"/>
        <v/>
      </c>
      <c r="R1342" s="317" t="str">
        <f t="shared" si="99"/>
        <v/>
      </c>
      <c r="S1342" s="317" t="str">
        <f t="shared" si="100"/>
        <v/>
      </c>
      <c r="T1342" s="317" t="str">
        <f>GLOBAL_DER_FEV_2023!S1342</f>
        <v/>
      </c>
      <c r="W1342" s="582">
        <v>0</v>
      </c>
      <c r="X1342" s="580"/>
      <c r="Y1342" s="583">
        <f>IF(GLOBAL_DER_FEV_2023!W1342=0,0,IF(GLOBAL_DER_FEV_2023!W1342&gt;0,"c","b"))</f>
        <v>0</v>
      </c>
    </row>
    <row r="1343" spans="1:25" ht="23.25" hidden="1" thickBot="1" x14ac:dyDescent="0.25">
      <c r="A1343" s="317">
        <v>92025</v>
      </c>
      <c r="B1343" s="895">
        <v>92025</v>
      </c>
      <c r="C1343" s="896" t="s">
        <v>596</v>
      </c>
      <c r="D1343" s="906" t="s">
        <v>1273</v>
      </c>
      <c r="E1343" s="907">
        <f>GLOBAL_DER_FEV_2023!E1343</f>
        <v>0</v>
      </c>
      <c r="F1343" s="908">
        <f>GLOBAL_DER_FEV_2023!F1343</f>
        <v>0</v>
      </c>
      <c r="G1343" s="912">
        <f>GLOBAL_DER_FEV_2023!G1343</f>
        <v>0</v>
      </c>
      <c r="H1343" s="901">
        <f>GLOBAL_DER_FEV_2023!H1343</f>
        <v>78.66</v>
      </c>
      <c r="I1343" s="901">
        <f>GLOBAL_DER_FEV_2023!I1343</f>
        <v>78.66</v>
      </c>
      <c r="J1343" s="902">
        <f>GLOBAL_DER_FEV_2023!J1343</f>
        <v>94.45</v>
      </c>
      <c r="K1343" s="903" t="s">
        <v>1516</v>
      </c>
      <c r="L1343" s="1137"/>
      <c r="M1343" s="1138">
        <f t="shared" si="97"/>
        <v>0</v>
      </c>
      <c r="N1343" s="893">
        <f t="shared" si="101"/>
        <v>0</v>
      </c>
      <c r="O1343" s="905"/>
      <c r="Q1343" s="317" t="str">
        <f t="shared" si="98"/>
        <v/>
      </c>
      <c r="R1343" s="317" t="str">
        <f t="shared" si="99"/>
        <v/>
      </c>
      <c r="S1343" s="317" t="str">
        <f t="shared" si="100"/>
        <v/>
      </c>
      <c r="T1343" s="317" t="str">
        <f>GLOBAL_DER_FEV_2023!S1343</f>
        <v/>
      </c>
      <c r="W1343" s="582">
        <v>0</v>
      </c>
      <c r="X1343" s="580"/>
      <c r="Y1343" s="583">
        <f>IF(GLOBAL_DER_FEV_2023!W1343=0,0,IF(GLOBAL_DER_FEV_2023!W1343&gt;0,"c","b"))</f>
        <v>0</v>
      </c>
    </row>
    <row r="1344" spans="1:25" ht="23.25" hidden="1" thickBot="1" x14ac:dyDescent="0.25">
      <c r="A1344" s="317">
        <v>92026</v>
      </c>
      <c r="B1344" s="895">
        <v>92026</v>
      </c>
      <c r="C1344" s="896" t="s">
        <v>596</v>
      </c>
      <c r="D1344" s="906" t="s">
        <v>1274</v>
      </c>
      <c r="E1344" s="907">
        <f>GLOBAL_DER_FEV_2023!E1344</f>
        <v>0</v>
      </c>
      <c r="F1344" s="908">
        <f>GLOBAL_DER_FEV_2023!F1344</f>
        <v>0</v>
      </c>
      <c r="G1344" s="912">
        <f>GLOBAL_DER_FEV_2023!G1344</f>
        <v>0</v>
      </c>
      <c r="H1344" s="901">
        <f>GLOBAL_DER_FEV_2023!H1344</f>
        <v>63.34</v>
      </c>
      <c r="I1344" s="901">
        <f>GLOBAL_DER_FEV_2023!I1344</f>
        <v>63.34</v>
      </c>
      <c r="J1344" s="902">
        <f>GLOBAL_DER_FEV_2023!J1344</f>
        <v>76.05</v>
      </c>
      <c r="K1344" s="903" t="s">
        <v>1516</v>
      </c>
      <c r="L1344" s="1137"/>
      <c r="M1344" s="1138">
        <f t="shared" si="97"/>
        <v>0</v>
      </c>
      <c r="N1344" s="893">
        <f t="shared" si="101"/>
        <v>0</v>
      </c>
      <c r="O1344" s="905"/>
      <c r="Q1344" s="317" t="str">
        <f t="shared" si="98"/>
        <v/>
      </c>
      <c r="R1344" s="317" t="str">
        <f t="shared" si="99"/>
        <v/>
      </c>
      <c r="S1344" s="317" t="str">
        <f t="shared" si="100"/>
        <v/>
      </c>
      <c r="T1344" s="317" t="str">
        <f>GLOBAL_DER_FEV_2023!S1344</f>
        <v/>
      </c>
      <c r="W1344" s="582">
        <v>0</v>
      </c>
      <c r="X1344" s="580"/>
      <c r="Y1344" s="583">
        <f>IF(GLOBAL_DER_FEV_2023!W1344=0,0,IF(GLOBAL_DER_FEV_2023!W1344&gt;0,"c","b"))</f>
        <v>0</v>
      </c>
    </row>
    <row r="1345" spans="1:25" ht="23.25" hidden="1" thickBot="1" x14ac:dyDescent="0.25">
      <c r="A1345" s="317">
        <v>92027</v>
      </c>
      <c r="B1345" s="895">
        <v>92027</v>
      </c>
      <c r="C1345" s="896" t="s">
        <v>596</v>
      </c>
      <c r="D1345" s="906" t="s">
        <v>1275</v>
      </c>
      <c r="E1345" s="907">
        <f>GLOBAL_DER_FEV_2023!E1345</f>
        <v>0</v>
      </c>
      <c r="F1345" s="908">
        <f>GLOBAL_DER_FEV_2023!F1345</f>
        <v>0</v>
      </c>
      <c r="G1345" s="912">
        <f>GLOBAL_DER_FEV_2023!G1345</f>
        <v>0</v>
      </c>
      <c r="H1345" s="901">
        <f>GLOBAL_DER_FEV_2023!H1345</f>
        <v>72.569999999999993</v>
      </c>
      <c r="I1345" s="901">
        <f>GLOBAL_DER_FEV_2023!I1345</f>
        <v>72.569999999999993</v>
      </c>
      <c r="J1345" s="902">
        <f>GLOBAL_DER_FEV_2023!J1345</f>
        <v>87.13</v>
      </c>
      <c r="K1345" s="903" t="s">
        <v>1516</v>
      </c>
      <c r="L1345" s="1137"/>
      <c r="M1345" s="1138">
        <f t="shared" si="97"/>
        <v>0</v>
      </c>
      <c r="N1345" s="893">
        <f t="shared" si="101"/>
        <v>0</v>
      </c>
      <c r="O1345" s="905"/>
      <c r="Q1345" s="317" t="str">
        <f t="shared" si="98"/>
        <v/>
      </c>
      <c r="R1345" s="317" t="str">
        <f t="shared" si="99"/>
        <v/>
      </c>
      <c r="S1345" s="317" t="str">
        <f t="shared" si="100"/>
        <v/>
      </c>
      <c r="T1345" s="317" t="str">
        <f>GLOBAL_DER_FEV_2023!S1345</f>
        <v/>
      </c>
      <c r="W1345" s="582">
        <v>0</v>
      </c>
      <c r="X1345" s="580"/>
      <c r="Y1345" s="583">
        <f>IF(GLOBAL_DER_FEV_2023!W1345=0,0,IF(GLOBAL_DER_FEV_2023!W1345&gt;0,"c","b"))</f>
        <v>0</v>
      </c>
    </row>
    <row r="1346" spans="1:25" ht="34.5" hidden="1" thickBot="1" x14ac:dyDescent="0.25">
      <c r="A1346" s="317">
        <v>92034</v>
      </c>
      <c r="B1346" s="895">
        <v>92034</v>
      </c>
      <c r="C1346" s="896" t="s">
        <v>596</v>
      </c>
      <c r="D1346" s="906" t="s">
        <v>1276</v>
      </c>
      <c r="E1346" s="907">
        <f>GLOBAL_DER_FEV_2023!E1346</f>
        <v>0</v>
      </c>
      <c r="F1346" s="908">
        <f>GLOBAL_DER_FEV_2023!F1346</f>
        <v>0</v>
      </c>
      <c r="G1346" s="912">
        <f>GLOBAL_DER_FEV_2023!G1346</f>
        <v>0</v>
      </c>
      <c r="H1346" s="901">
        <f>GLOBAL_DER_FEV_2023!H1346</f>
        <v>70.75</v>
      </c>
      <c r="I1346" s="901">
        <f>GLOBAL_DER_FEV_2023!I1346</f>
        <v>70.75</v>
      </c>
      <c r="J1346" s="902">
        <f>GLOBAL_DER_FEV_2023!J1346</f>
        <v>84.95</v>
      </c>
      <c r="K1346" s="903" t="s">
        <v>1516</v>
      </c>
      <c r="L1346" s="1137"/>
      <c r="M1346" s="1138">
        <f t="shared" si="97"/>
        <v>0</v>
      </c>
      <c r="N1346" s="893">
        <f t="shared" si="101"/>
        <v>0</v>
      </c>
      <c r="O1346" s="905"/>
      <c r="Q1346" s="317" t="str">
        <f t="shared" si="98"/>
        <v/>
      </c>
      <c r="R1346" s="317" t="str">
        <f t="shared" si="99"/>
        <v/>
      </c>
      <c r="S1346" s="317" t="str">
        <f t="shared" si="100"/>
        <v/>
      </c>
      <c r="T1346" s="317" t="str">
        <f>GLOBAL_DER_FEV_2023!S1346</f>
        <v/>
      </c>
      <c r="W1346" s="582">
        <v>0</v>
      </c>
      <c r="X1346" s="580"/>
      <c r="Y1346" s="583">
        <f>IF(GLOBAL_DER_FEV_2023!W1346=0,0,IF(GLOBAL_DER_FEV_2023!W1346&gt;0,"c","b"))</f>
        <v>0</v>
      </c>
    </row>
    <row r="1347" spans="1:25" ht="34.5" hidden="1" thickBot="1" x14ac:dyDescent="0.25">
      <c r="A1347" s="317">
        <v>92035</v>
      </c>
      <c r="B1347" s="895">
        <v>92035</v>
      </c>
      <c r="C1347" s="896" t="s">
        <v>596</v>
      </c>
      <c r="D1347" s="906" t="s">
        <v>1277</v>
      </c>
      <c r="E1347" s="907">
        <f>GLOBAL_DER_FEV_2023!E1347</f>
        <v>0</v>
      </c>
      <c r="F1347" s="908">
        <f>GLOBAL_DER_FEV_2023!F1347</f>
        <v>0</v>
      </c>
      <c r="G1347" s="912">
        <f>GLOBAL_DER_FEV_2023!G1347</f>
        <v>0</v>
      </c>
      <c r="H1347" s="901">
        <f>GLOBAL_DER_FEV_2023!H1347</f>
        <v>79.98</v>
      </c>
      <c r="I1347" s="901">
        <f>GLOBAL_DER_FEV_2023!I1347</f>
        <v>79.98</v>
      </c>
      <c r="J1347" s="902">
        <f>GLOBAL_DER_FEV_2023!J1347</f>
        <v>96.03</v>
      </c>
      <c r="K1347" s="903" t="s">
        <v>1516</v>
      </c>
      <c r="L1347" s="1137"/>
      <c r="M1347" s="1138">
        <f t="shared" si="97"/>
        <v>0</v>
      </c>
      <c r="N1347" s="893">
        <f t="shared" si="101"/>
        <v>0</v>
      </c>
      <c r="O1347" s="905"/>
      <c r="Q1347" s="317" t="str">
        <f t="shared" si="98"/>
        <v/>
      </c>
      <c r="R1347" s="317" t="str">
        <f t="shared" si="99"/>
        <v/>
      </c>
      <c r="S1347" s="317" t="str">
        <f t="shared" si="100"/>
        <v/>
      </c>
      <c r="T1347" s="317" t="str">
        <f>GLOBAL_DER_FEV_2023!S1347</f>
        <v/>
      </c>
      <c r="W1347" s="582">
        <v>0</v>
      </c>
      <c r="X1347" s="580"/>
      <c r="Y1347" s="583">
        <f>IF(GLOBAL_DER_FEV_2023!W1347=0,0,IF(GLOBAL_DER_FEV_2023!W1347&gt;0,"c","b"))</f>
        <v>0</v>
      </c>
    </row>
    <row r="1348" spans="1:25" ht="23.25" hidden="1" thickBot="1" x14ac:dyDescent="0.25">
      <c r="A1348" s="317">
        <v>91954</v>
      </c>
      <c r="B1348" s="895">
        <v>91954</v>
      </c>
      <c r="C1348" s="896" t="s">
        <v>596</v>
      </c>
      <c r="D1348" s="906" t="s">
        <v>1278</v>
      </c>
      <c r="E1348" s="907">
        <f>GLOBAL_DER_FEV_2023!E1348</f>
        <v>0</v>
      </c>
      <c r="F1348" s="908">
        <f>GLOBAL_DER_FEV_2023!F1348</f>
        <v>0</v>
      </c>
      <c r="G1348" s="912">
        <f>GLOBAL_DER_FEV_2023!G1348</f>
        <v>0</v>
      </c>
      <c r="H1348" s="901">
        <f>GLOBAL_DER_FEV_2023!H1348</f>
        <v>28.9</v>
      </c>
      <c r="I1348" s="901">
        <f>GLOBAL_DER_FEV_2023!I1348</f>
        <v>28.9</v>
      </c>
      <c r="J1348" s="902">
        <f>GLOBAL_DER_FEV_2023!J1348</f>
        <v>34.700000000000003</v>
      </c>
      <c r="K1348" s="903" t="s">
        <v>1516</v>
      </c>
      <c r="L1348" s="1137"/>
      <c r="M1348" s="1138">
        <f t="shared" si="97"/>
        <v>0</v>
      </c>
      <c r="N1348" s="893">
        <f t="shared" si="101"/>
        <v>0</v>
      </c>
      <c r="O1348" s="905"/>
      <c r="Q1348" s="317" t="str">
        <f t="shared" si="98"/>
        <v/>
      </c>
      <c r="R1348" s="317" t="str">
        <f t="shared" si="99"/>
        <v/>
      </c>
      <c r="S1348" s="317" t="str">
        <f t="shared" si="100"/>
        <v/>
      </c>
      <c r="T1348" s="317" t="str">
        <f>GLOBAL_DER_FEV_2023!S1348</f>
        <v/>
      </c>
      <c r="W1348" s="582">
        <v>0</v>
      </c>
      <c r="X1348" s="580"/>
      <c r="Y1348" s="583">
        <f>IF(GLOBAL_DER_FEV_2023!W1348=0,0,IF(GLOBAL_DER_FEV_2023!W1348&gt;0,"c","b"))</f>
        <v>0</v>
      </c>
    </row>
    <row r="1349" spans="1:25" ht="23.25" hidden="1" thickBot="1" x14ac:dyDescent="0.25">
      <c r="A1349" s="317">
        <v>91955</v>
      </c>
      <c r="B1349" s="895">
        <v>91955</v>
      </c>
      <c r="C1349" s="896" t="s">
        <v>596</v>
      </c>
      <c r="D1349" s="906" t="s">
        <v>1279</v>
      </c>
      <c r="E1349" s="907">
        <f>GLOBAL_DER_FEV_2023!E1349</f>
        <v>0</v>
      </c>
      <c r="F1349" s="908">
        <f>GLOBAL_DER_FEV_2023!F1349</f>
        <v>0</v>
      </c>
      <c r="G1349" s="912">
        <f>GLOBAL_DER_FEV_2023!G1349</f>
        <v>0</v>
      </c>
      <c r="H1349" s="901">
        <f>GLOBAL_DER_FEV_2023!H1349</f>
        <v>38.130000000000003</v>
      </c>
      <c r="I1349" s="901">
        <f>GLOBAL_DER_FEV_2023!I1349</f>
        <v>38.130000000000003</v>
      </c>
      <c r="J1349" s="902">
        <f>GLOBAL_DER_FEV_2023!J1349</f>
        <v>45.78</v>
      </c>
      <c r="K1349" s="903" t="s">
        <v>1516</v>
      </c>
      <c r="L1349" s="1137"/>
      <c r="M1349" s="1138">
        <f t="shared" si="97"/>
        <v>0</v>
      </c>
      <c r="N1349" s="893">
        <f t="shared" si="101"/>
        <v>0</v>
      </c>
      <c r="O1349" s="905"/>
      <c r="Q1349" s="317" t="str">
        <f t="shared" si="98"/>
        <v/>
      </c>
      <c r="R1349" s="317" t="str">
        <f t="shared" si="99"/>
        <v/>
      </c>
      <c r="S1349" s="317" t="str">
        <f t="shared" si="100"/>
        <v/>
      </c>
      <c r="T1349" s="317" t="str">
        <f>GLOBAL_DER_FEV_2023!S1349</f>
        <v/>
      </c>
      <c r="W1349" s="582">
        <v>0</v>
      </c>
      <c r="X1349" s="580"/>
      <c r="Y1349" s="583">
        <f>IF(GLOBAL_DER_FEV_2023!W1349=0,0,IF(GLOBAL_DER_FEV_2023!W1349&gt;0,"c","b"))</f>
        <v>0</v>
      </c>
    </row>
    <row r="1350" spans="1:25" ht="23.25" hidden="1" thickBot="1" x14ac:dyDescent="0.25">
      <c r="A1350" s="317">
        <v>91960</v>
      </c>
      <c r="B1350" s="895">
        <v>91960</v>
      </c>
      <c r="C1350" s="896" t="s">
        <v>596</v>
      </c>
      <c r="D1350" s="906" t="s">
        <v>1280</v>
      </c>
      <c r="E1350" s="907">
        <f>GLOBAL_DER_FEV_2023!E1350</f>
        <v>0</v>
      </c>
      <c r="F1350" s="908">
        <f>GLOBAL_DER_FEV_2023!F1350</f>
        <v>0</v>
      </c>
      <c r="G1350" s="912">
        <f>GLOBAL_DER_FEV_2023!G1350</f>
        <v>0</v>
      </c>
      <c r="H1350" s="901">
        <f>GLOBAL_DER_FEV_2023!H1350</f>
        <v>54.15</v>
      </c>
      <c r="I1350" s="901">
        <f>GLOBAL_DER_FEV_2023!I1350</f>
        <v>54.15</v>
      </c>
      <c r="J1350" s="902">
        <f>GLOBAL_DER_FEV_2023!J1350</f>
        <v>65.02</v>
      </c>
      <c r="K1350" s="903" t="s">
        <v>1516</v>
      </c>
      <c r="L1350" s="1137"/>
      <c r="M1350" s="1138">
        <f t="shared" si="97"/>
        <v>0</v>
      </c>
      <c r="N1350" s="893">
        <f t="shared" si="101"/>
        <v>0</v>
      </c>
      <c r="O1350" s="905"/>
      <c r="Q1350" s="317" t="str">
        <f t="shared" si="98"/>
        <v/>
      </c>
      <c r="R1350" s="317" t="str">
        <f t="shared" si="99"/>
        <v/>
      </c>
      <c r="S1350" s="317" t="str">
        <f t="shared" si="100"/>
        <v/>
      </c>
      <c r="T1350" s="317" t="str">
        <f>GLOBAL_DER_FEV_2023!S1350</f>
        <v/>
      </c>
      <c r="W1350" s="582">
        <v>0</v>
      </c>
      <c r="X1350" s="580"/>
      <c r="Y1350" s="583">
        <f>IF(GLOBAL_DER_FEV_2023!W1350=0,0,IF(GLOBAL_DER_FEV_2023!W1350&gt;0,"c","b"))</f>
        <v>0</v>
      </c>
    </row>
    <row r="1351" spans="1:25" ht="23.25" hidden="1" thickBot="1" x14ac:dyDescent="0.25">
      <c r="A1351" s="317">
        <v>91961</v>
      </c>
      <c r="B1351" s="895">
        <v>91961</v>
      </c>
      <c r="C1351" s="896" t="s">
        <v>596</v>
      </c>
      <c r="D1351" s="906" t="s">
        <v>1281</v>
      </c>
      <c r="E1351" s="907">
        <f>GLOBAL_DER_FEV_2023!E1351</f>
        <v>0</v>
      </c>
      <c r="F1351" s="908">
        <f>GLOBAL_DER_FEV_2023!F1351</f>
        <v>0</v>
      </c>
      <c r="G1351" s="912">
        <f>GLOBAL_DER_FEV_2023!G1351</f>
        <v>0</v>
      </c>
      <c r="H1351" s="901">
        <f>GLOBAL_DER_FEV_2023!H1351</f>
        <v>63.38</v>
      </c>
      <c r="I1351" s="901">
        <f>GLOBAL_DER_FEV_2023!I1351</f>
        <v>63.38</v>
      </c>
      <c r="J1351" s="902">
        <f>GLOBAL_DER_FEV_2023!J1351</f>
        <v>76.099999999999994</v>
      </c>
      <c r="K1351" s="903" t="s">
        <v>1516</v>
      </c>
      <c r="L1351" s="1137"/>
      <c r="M1351" s="1138">
        <f t="shared" si="97"/>
        <v>0</v>
      </c>
      <c r="N1351" s="893">
        <f t="shared" si="101"/>
        <v>0</v>
      </c>
      <c r="O1351" s="905"/>
      <c r="Q1351" s="317" t="str">
        <f t="shared" si="98"/>
        <v/>
      </c>
      <c r="R1351" s="317" t="str">
        <f t="shared" si="99"/>
        <v/>
      </c>
      <c r="S1351" s="317" t="str">
        <f t="shared" si="100"/>
        <v/>
      </c>
      <c r="T1351" s="317" t="str">
        <f>GLOBAL_DER_FEV_2023!S1351</f>
        <v/>
      </c>
      <c r="W1351" s="582">
        <v>0</v>
      </c>
      <c r="X1351" s="580"/>
      <c r="Y1351" s="583">
        <f>IF(GLOBAL_DER_FEV_2023!W1351=0,0,IF(GLOBAL_DER_FEV_2023!W1351&gt;0,"c","b"))</f>
        <v>0</v>
      </c>
    </row>
    <row r="1352" spans="1:25" ht="23.25" hidden="1" thickBot="1" x14ac:dyDescent="0.25">
      <c r="A1352" s="317">
        <v>91968</v>
      </c>
      <c r="B1352" s="895">
        <v>91968</v>
      </c>
      <c r="C1352" s="896" t="s">
        <v>596</v>
      </c>
      <c r="D1352" s="906" t="s">
        <v>1282</v>
      </c>
      <c r="E1352" s="907">
        <f>GLOBAL_DER_FEV_2023!E1352</f>
        <v>0</v>
      </c>
      <c r="F1352" s="908">
        <f>GLOBAL_DER_FEV_2023!F1352</f>
        <v>0</v>
      </c>
      <c r="G1352" s="912">
        <f>GLOBAL_DER_FEV_2023!G1352</f>
        <v>0</v>
      </c>
      <c r="H1352" s="901">
        <f>GLOBAL_DER_FEV_2023!H1352</f>
        <v>79.41</v>
      </c>
      <c r="I1352" s="901">
        <f>GLOBAL_DER_FEV_2023!I1352</f>
        <v>79.41</v>
      </c>
      <c r="J1352" s="902">
        <f>GLOBAL_DER_FEV_2023!J1352</f>
        <v>95.35</v>
      </c>
      <c r="K1352" s="903" t="s">
        <v>1516</v>
      </c>
      <c r="L1352" s="1137"/>
      <c r="M1352" s="1138">
        <f t="shared" si="97"/>
        <v>0</v>
      </c>
      <c r="N1352" s="893">
        <f t="shared" si="101"/>
        <v>0</v>
      </c>
      <c r="O1352" s="905"/>
      <c r="Q1352" s="317" t="str">
        <f t="shared" si="98"/>
        <v/>
      </c>
      <c r="R1352" s="317" t="str">
        <f t="shared" si="99"/>
        <v/>
      </c>
      <c r="S1352" s="317" t="str">
        <f t="shared" si="100"/>
        <v/>
      </c>
      <c r="T1352" s="317" t="str">
        <f>GLOBAL_DER_FEV_2023!S1352</f>
        <v/>
      </c>
      <c r="W1352" s="582">
        <v>0</v>
      </c>
      <c r="X1352" s="580"/>
      <c r="Y1352" s="583">
        <f>IF(GLOBAL_DER_FEV_2023!W1352=0,0,IF(GLOBAL_DER_FEV_2023!W1352&gt;0,"c","b"))</f>
        <v>0</v>
      </c>
    </row>
    <row r="1353" spans="1:25" ht="23.25" hidden="1" thickBot="1" x14ac:dyDescent="0.25">
      <c r="A1353" s="317">
        <v>91969</v>
      </c>
      <c r="B1353" s="895">
        <v>91969</v>
      </c>
      <c r="C1353" s="896" t="s">
        <v>596</v>
      </c>
      <c r="D1353" s="906" t="s">
        <v>1283</v>
      </c>
      <c r="E1353" s="907">
        <f>GLOBAL_DER_FEV_2023!E1353</f>
        <v>0</v>
      </c>
      <c r="F1353" s="908">
        <f>GLOBAL_DER_FEV_2023!F1353</f>
        <v>0</v>
      </c>
      <c r="G1353" s="912">
        <f>GLOBAL_DER_FEV_2023!G1353</f>
        <v>0</v>
      </c>
      <c r="H1353" s="901">
        <f>GLOBAL_DER_FEV_2023!H1353</f>
        <v>88.64</v>
      </c>
      <c r="I1353" s="901">
        <f>GLOBAL_DER_FEV_2023!I1353</f>
        <v>88.64</v>
      </c>
      <c r="J1353" s="902">
        <f>GLOBAL_DER_FEV_2023!J1353</f>
        <v>106.43</v>
      </c>
      <c r="K1353" s="903" t="s">
        <v>1516</v>
      </c>
      <c r="L1353" s="1137"/>
      <c r="M1353" s="1138">
        <f t="shared" si="97"/>
        <v>0</v>
      </c>
      <c r="N1353" s="893">
        <f t="shared" si="101"/>
        <v>0</v>
      </c>
      <c r="O1353" s="905"/>
      <c r="Q1353" s="317" t="str">
        <f t="shared" si="98"/>
        <v/>
      </c>
      <c r="R1353" s="317" t="str">
        <f t="shared" si="99"/>
        <v/>
      </c>
      <c r="S1353" s="317" t="str">
        <f t="shared" si="100"/>
        <v/>
      </c>
      <c r="T1353" s="317" t="str">
        <f>GLOBAL_DER_FEV_2023!S1353</f>
        <v/>
      </c>
      <c r="W1353" s="582">
        <v>0</v>
      </c>
      <c r="X1353" s="580"/>
      <c r="Y1353" s="583">
        <f>IF(GLOBAL_DER_FEV_2023!W1353=0,0,IF(GLOBAL_DER_FEV_2023!W1353&gt;0,"c","b"))</f>
        <v>0</v>
      </c>
    </row>
    <row r="1354" spans="1:25" ht="23.25" hidden="1" thickBot="1" x14ac:dyDescent="0.25">
      <c r="A1354" s="317">
        <v>92028</v>
      </c>
      <c r="B1354" s="895">
        <v>92028</v>
      </c>
      <c r="C1354" s="896" t="s">
        <v>596</v>
      </c>
      <c r="D1354" s="906" t="s">
        <v>1284</v>
      </c>
      <c r="E1354" s="907">
        <f>GLOBAL_DER_FEV_2023!E1354</f>
        <v>0</v>
      </c>
      <c r="F1354" s="908">
        <f>GLOBAL_DER_FEV_2023!F1354</f>
        <v>0</v>
      </c>
      <c r="G1354" s="912">
        <f>GLOBAL_DER_FEV_2023!G1354</f>
        <v>0</v>
      </c>
      <c r="H1354" s="901">
        <f>GLOBAL_DER_FEV_2023!H1354</f>
        <v>52.83</v>
      </c>
      <c r="I1354" s="901">
        <f>GLOBAL_DER_FEV_2023!I1354</f>
        <v>52.83</v>
      </c>
      <c r="J1354" s="902">
        <f>GLOBAL_DER_FEV_2023!J1354</f>
        <v>63.43</v>
      </c>
      <c r="K1354" s="903" t="s">
        <v>1516</v>
      </c>
      <c r="L1354" s="1137"/>
      <c r="M1354" s="1138">
        <f t="shared" si="97"/>
        <v>0</v>
      </c>
      <c r="N1354" s="893">
        <f t="shared" si="101"/>
        <v>0</v>
      </c>
      <c r="O1354" s="905"/>
      <c r="Q1354" s="317" t="str">
        <f t="shared" si="98"/>
        <v/>
      </c>
      <c r="R1354" s="317" t="str">
        <f t="shared" si="99"/>
        <v/>
      </c>
      <c r="S1354" s="317" t="str">
        <f t="shared" si="100"/>
        <v/>
      </c>
      <c r="T1354" s="317" t="str">
        <f>GLOBAL_DER_FEV_2023!S1354</f>
        <v/>
      </c>
      <c r="W1354" s="582">
        <v>0</v>
      </c>
      <c r="X1354" s="580"/>
      <c r="Y1354" s="583">
        <f>IF(GLOBAL_DER_FEV_2023!W1354=0,0,IF(GLOBAL_DER_FEV_2023!W1354&gt;0,"c","b"))</f>
        <v>0</v>
      </c>
    </row>
    <row r="1355" spans="1:25" ht="23.25" hidden="1" thickBot="1" x14ac:dyDescent="0.25">
      <c r="A1355" s="317">
        <v>92029</v>
      </c>
      <c r="B1355" s="895">
        <v>92029</v>
      </c>
      <c r="C1355" s="896" t="s">
        <v>596</v>
      </c>
      <c r="D1355" s="906" t="s">
        <v>1285</v>
      </c>
      <c r="E1355" s="907">
        <f>GLOBAL_DER_FEV_2023!E1355</f>
        <v>0</v>
      </c>
      <c r="F1355" s="908">
        <f>GLOBAL_DER_FEV_2023!F1355</f>
        <v>0</v>
      </c>
      <c r="G1355" s="912">
        <f>GLOBAL_DER_FEV_2023!G1355</f>
        <v>0</v>
      </c>
      <c r="H1355" s="901">
        <f>GLOBAL_DER_FEV_2023!H1355</f>
        <v>62.06</v>
      </c>
      <c r="I1355" s="901">
        <f>GLOBAL_DER_FEV_2023!I1355</f>
        <v>62.06</v>
      </c>
      <c r="J1355" s="902">
        <f>GLOBAL_DER_FEV_2023!J1355</f>
        <v>74.52</v>
      </c>
      <c r="K1355" s="903" t="s">
        <v>1516</v>
      </c>
      <c r="L1355" s="1137"/>
      <c r="M1355" s="1138">
        <f t="shared" si="97"/>
        <v>0</v>
      </c>
      <c r="N1355" s="893">
        <f t="shared" si="101"/>
        <v>0</v>
      </c>
      <c r="O1355" s="905"/>
      <c r="Q1355" s="317" t="str">
        <f t="shared" si="98"/>
        <v/>
      </c>
      <c r="R1355" s="317" t="str">
        <f t="shared" si="99"/>
        <v/>
      </c>
      <c r="S1355" s="317" t="str">
        <f t="shared" si="100"/>
        <v/>
      </c>
      <c r="T1355" s="317" t="str">
        <f>GLOBAL_DER_FEV_2023!S1355</f>
        <v/>
      </c>
      <c r="W1355" s="582">
        <v>0</v>
      </c>
      <c r="X1355" s="580"/>
      <c r="Y1355" s="583">
        <f>IF(GLOBAL_DER_FEV_2023!W1355=0,0,IF(GLOBAL_DER_FEV_2023!W1355&gt;0,"c","b"))</f>
        <v>0</v>
      </c>
    </row>
    <row r="1356" spans="1:25" ht="23.25" hidden="1" thickBot="1" x14ac:dyDescent="0.25">
      <c r="A1356" s="317">
        <v>92030</v>
      </c>
      <c r="B1356" s="895">
        <v>92030</v>
      </c>
      <c r="C1356" s="896" t="s">
        <v>596</v>
      </c>
      <c r="D1356" s="906" t="s">
        <v>1286</v>
      </c>
      <c r="E1356" s="907">
        <f>GLOBAL_DER_FEV_2023!E1356</f>
        <v>0</v>
      </c>
      <c r="F1356" s="908">
        <f>GLOBAL_DER_FEV_2023!F1356</f>
        <v>0</v>
      </c>
      <c r="G1356" s="912">
        <f>GLOBAL_DER_FEV_2023!G1356</f>
        <v>0</v>
      </c>
      <c r="H1356" s="901">
        <f>GLOBAL_DER_FEV_2023!H1356</f>
        <v>76.77</v>
      </c>
      <c r="I1356" s="901">
        <f>GLOBAL_DER_FEV_2023!I1356</f>
        <v>76.77</v>
      </c>
      <c r="J1356" s="902">
        <f>GLOBAL_DER_FEV_2023!J1356</f>
        <v>92.18</v>
      </c>
      <c r="K1356" s="903" t="s">
        <v>1516</v>
      </c>
      <c r="L1356" s="1137"/>
      <c r="M1356" s="1138">
        <f t="shared" si="97"/>
        <v>0</v>
      </c>
      <c r="N1356" s="893">
        <f t="shared" si="101"/>
        <v>0</v>
      </c>
      <c r="O1356" s="905"/>
      <c r="Q1356" s="317" t="str">
        <f t="shared" si="98"/>
        <v/>
      </c>
      <c r="R1356" s="317" t="str">
        <f t="shared" si="99"/>
        <v/>
      </c>
      <c r="S1356" s="317" t="str">
        <f t="shared" si="100"/>
        <v/>
      </c>
      <c r="T1356" s="317" t="str">
        <f>GLOBAL_DER_FEV_2023!S1356</f>
        <v/>
      </c>
      <c r="W1356" s="582">
        <v>0</v>
      </c>
      <c r="X1356" s="580"/>
      <c r="Y1356" s="583">
        <f>IF(GLOBAL_DER_FEV_2023!W1356=0,0,IF(GLOBAL_DER_FEV_2023!W1356&gt;0,"c","b"))</f>
        <v>0</v>
      </c>
    </row>
    <row r="1357" spans="1:25" ht="23.25" hidden="1" thickBot="1" x14ac:dyDescent="0.25">
      <c r="A1357" s="317">
        <v>92031</v>
      </c>
      <c r="B1357" s="895">
        <v>92031</v>
      </c>
      <c r="C1357" s="896" t="s">
        <v>596</v>
      </c>
      <c r="D1357" s="906" t="s">
        <v>1287</v>
      </c>
      <c r="E1357" s="907">
        <f>GLOBAL_DER_FEV_2023!E1357</f>
        <v>0</v>
      </c>
      <c r="F1357" s="908">
        <f>GLOBAL_DER_FEV_2023!F1357</f>
        <v>0</v>
      </c>
      <c r="G1357" s="912">
        <f>GLOBAL_DER_FEV_2023!G1357</f>
        <v>0</v>
      </c>
      <c r="H1357" s="901">
        <f>GLOBAL_DER_FEV_2023!H1357</f>
        <v>86</v>
      </c>
      <c r="I1357" s="901">
        <f>GLOBAL_DER_FEV_2023!I1357</f>
        <v>86</v>
      </c>
      <c r="J1357" s="902">
        <f>GLOBAL_DER_FEV_2023!J1357</f>
        <v>103.26</v>
      </c>
      <c r="K1357" s="903" t="s">
        <v>1516</v>
      </c>
      <c r="L1357" s="1137"/>
      <c r="M1357" s="1138">
        <f t="shared" si="97"/>
        <v>0</v>
      </c>
      <c r="N1357" s="893">
        <f t="shared" si="101"/>
        <v>0</v>
      </c>
      <c r="O1357" s="905"/>
      <c r="Q1357" s="317" t="str">
        <f t="shared" si="98"/>
        <v/>
      </c>
      <c r="R1357" s="317" t="str">
        <f t="shared" si="99"/>
        <v/>
      </c>
      <c r="S1357" s="317" t="str">
        <f t="shared" si="100"/>
        <v/>
      </c>
      <c r="T1357" s="317" t="str">
        <f>GLOBAL_DER_FEV_2023!S1357</f>
        <v/>
      </c>
      <c r="W1357" s="582">
        <v>0</v>
      </c>
      <c r="X1357" s="580"/>
      <c r="Y1357" s="583">
        <f>IF(GLOBAL_DER_FEV_2023!W1357=0,0,IF(GLOBAL_DER_FEV_2023!W1357&gt;0,"c","b"))</f>
        <v>0</v>
      </c>
    </row>
    <row r="1358" spans="1:25" ht="23.25" hidden="1" thickBot="1" x14ac:dyDescent="0.25">
      <c r="A1358" s="317">
        <v>92032</v>
      </c>
      <c r="B1358" s="895">
        <v>92032</v>
      </c>
      <c r="C1358" s="896" t="s">
        <v>596</v>
      </c>
      <c r="D1358" s="906" t="s">
        <v>1288</v>
      </c>
      <c r="E1358" s="907">
        <f>GLOBAL_DER_FEV_2023!E1358</f>
        <v>0</v>
      </c>
      <c r="F1358" s="908">
        <f>GLOBAL_DER_FEV_2023!F1358</f>
        <v>0</v>
      </c>
      <c r="G1358" s="912">
        <f>GLOBAL_DER_FEV_2023!G1358</f>
        <v>0</v>
      </c>
      <c r="H1358" s="901">
        <f>GLOBAL_DER_FEV_2023!H1358</f>
        <v>78.09</v>
      </c>
      <c r="I1358" s="901">
        <f>GLOBAL_DER_FEV_2023!I1358</f>
        <v>78.09</v>
      </c>
      <c r="J1358" s="902">
        <f>GLOBAL_DER_FEV_2023!J1358</f>
        <v>93.76</v>
      </c>
      <c r="K1358" s="903" t="s">
        <v>1516</v>
      </c>
      <c r="L1358" s="1137"/>
      <c r="M1358" s="1138">
        <f t="shared" si="97"/>
        <v>0</v>
      </c>
      <c r="N1358" s="893">
        <f t="shared" si="101"/>
        <v>0</v>
      </c>
      <c r="O1358" s="905"/>
      <c r="Q1358" s="317" t="str">
        <f t="shared" si="98"/>
        <v/>
      </c>
      <c r="R1358" s="317" t="str">
        <f t="shared" si="99"/>
        <v/>
      </c>
      <c r="S1358" s="317" t="str">
        <f t="shared" si="100"/>
        <v/>
      </c>
      <c r="T1358" s="317" t="str">
        <f>GLOBAL_DER_FEV_2023!S1358</f>
        <v/>
      </c>
      <c r="W1358" s="582">
        <v>0</v>
      </c>
      <c r="X1358" s="580"/>
      <c r="Y1358" s="583">
        <f>IF(GLOBAL_DER_FEV_2023!W1358=0,0,IF(GLOBAL_DER_FEV_2023!W1358&gt;0,"c","b"))</f>
        <v>0</v>
      </c>
    </row>
    <row r="1359" spans="1:25" ht="23.25" hidden="1" thickBot="1" x14ac:dyDescent="0.25">
      <c r="A1359" s="317">
        <v>92033</v>
      </c>
      <c r="B1359" s="895">
        <v>92033</v>
      </c>
      <c r="C1359" s="896" t="s">
        <v>596</v>
      </c>
      <c r="D1359" s="906" t="s">
        <v>1289</v>
      </c>
      <c r="E1359" s="907">
        <f>GLOBAL_DER_FEV_2023!E1359</f>
        <v>0</v>
      </c>
      <c r="F1359" s="908">
        <f>GLOBAL_DER_FEV_2023!F1359</f>
        <v>0</v>
      </c>
      <c r="G1359" s="912">
        <f>GLOBAL_DER_FEV_2023!G1359</f>
        <v>0</v>
      </c>
      <c r="H1359" s="901">
        <f>GLOBAL_DER_FEV_2023!H1359</f>
        <v>87.32</v>
      </c>
      <c r="I1359" s="901">
        <f>GLOBAL_DER_FEV_2023!I1359</f>
        <v>87.32</v>
      </c>
      <c r="J1359" s="902">
        <f>GLOBAL_DER_FEV_2023!J1359</f>
        <v>104.85</v>
      </c>
      <c r="K1359" s="903" t="s">
        <v>1516</v>
      </c>
      <c r="L1359" s="1137"/>
      <c r="M1359" s="1138">
        <f t="shared" si="97"/>
        <v>0</v>
      </c>
      <c r="N1359" s="893">
        <f t="shared" si="101"/>
        <v>0</v>
      </c>
      <c r="O1359" s="905"/>
      <c r="Q1359" s="317" t="str">
        <f t="shared" si="98"/>
        <v/>
      </c>
      <c r="R1359" s="317" t="str">
        <f t="shared" si="99"/>
        <v/>
      </c>
      <c r="S1359" s="317" t="str">
        <f t="shared" si="100"/>
        <v/>
      </c>
      <c r="T1359" s="317" t="str">
        <f>GLOBAL_DER_FEV_2023!S1359</f>
        <v/>
      </c>
      <c r="W1359" s="582">
        <v>0</v>
      </c>
      <c r="X1359" s="580"/>
      <c r="Y1359" s="583">
        <f>IF(GLOBAL_DER_FEV_2023!W1359=0,0,IF(GLOBAL_DER_FEV_2023!W1359&gt;0,"c","b"))</f>
        <v>0</v>
      </c>
    </row>
    <row r="1360" spans="1:25" ht="23.25" hidden="1" thickBot="1" x14ac:dyDescent="0.25">
      <c r="A1360" s="317">
        <v>91978</v>
      </c>
      <c r="B1360" s="895">
        <v>91978</v>
      </c>
      <c r="C1360" s="896" t="s">
        <v>596</v>
      </c>
      <c r="D1360" s="906" t="s">
        <v>1290</v>
      </c>
      <c r="E1360" s="907">
        <f>GLOBAL_DER_FEV_2023!E1360</f>
        <v>0</v>
      </c>
      <c r="F1360" s="908">
        <f>GLOBAL_DER_FEV_2023!F1360</f>
        <v>0</v>
      </c>
      <c r="G1360" s="912">
        <f>GLOBAL_DER_FEV_2023!G1360</f>
        <v>0</v>
      </c>
      <c r="H1360" s="901">
        <f>GLOBAL_DER_FEV_2023!H1360</f>
        <v>45.56</v>
      </c>
      <c r="I1360" s="901">
        <f>GLOBAL_DER_FEV_2023!I1360</f>
        <v>45.56</v>
      </c>
      <c r="J1360" s="902">
        <f>GLOBAL_DER_FEV_2023!J1360</f>
        <v>54.7</v>
      </c>
      <c r="K1360" s="903" t="s">
        <v>1516</v>
      </c>
      <c r="L1360" s="1137"/>
      <c r="M1360" s="1138">
        <f t="shared" si="97"/>
        <v>0</v>
      </c>
      <c r="N1360" s="893">
        <f t="shared" si="101"/>
        <v>0</v>
      </c>
      <c r="O1360" s="905"/>
      <c r="Q1360" s="317" t="str">
        <f t="shared" si="98"/>
        <v/>
      </c>
      <c r="R1360" s="317" t="str">
        <f t="shared" si="99"/>
        <v/>
      </c>
      <c r="S1360" s="317" t="str">
        <f t="shared" si="100"/>
        <v/>
      </c>
      <c r="T1360" s="317" t="str">
        <f>GLOBAL_DER_FEV_2023!S1360</f>
        <v/>
      </c>
      <c r="W1360" s="582">
        <v>0</v>
      </c>
      <c r="X1360" s="580"/>
      <c r="Y1360" s="583">
        <f>IF(GLOBAL_DER_FEV_2023!W1360=0,0,IF(GLOBAL_DER_FEV_2023!W1360&gt;0,"c","b"))</f>
        <v>0</v>
      </c>
    </row>
    <row r="1361" spans="1:25" ht="23.25" hidden="1" thickBot="1" x14ac:dyDescent="0.25">
      <c r="A1361" s="317">
        <v>91979</v>
      </c>
      <c r="B1361" s="895">
        <v>91979</v>
      </c>
      <c r="C1361" s="896" t="s">
        <v>596</v>
      </c>
      <c r="D1361" s="906" t="s">
        <v>1291</v>
      </c>
      <c r="E1361" s="907">
        <f>GLOBAL_DER_FEV_2023!E1361</f>
        <v>0</v>
      </c>
      <c r="F1361" s="908">
        <f>GLOBAL_DER_FEV_2023!F1361</f>
        <v>0</v>
      </c>
      <c r="G1361" s="912">
        <f>GLOBAL_DER_FEV_2023!G1361</f>
        <v>0</v>
      </c>
      <c r="H1361" s="901">
        <f>GLOBAL_DER_FEV_2023!H1361</f>
        <v>54.79</v>
      </c>
      <c r="I1361" s="901">
        <f>GLOBAL_DER_FEV_2023!I1361</f>
        <v>54.79</v>
      </c>
      <c r="J1361" s="902">
        <f>GLOBAL_DER_FEV_2023!J1361</f>
        <v>65.790000000000006</v>
      </c>
      <c r="K1361" s="903" t="s">
        <v>1516</v>
      </c>
      <c r="L1361" s="1137"/>
      <c r="M1361" s="1138">
        <f t="shared" si="97"/>
        <v>0</v>
      </c>
      <c r="N1361" s="893">
        <f t="shared" si="101"/>
        <v>0</v>
      </c>
      <c r="O1361" s="905"/>
      <c r="Q1361" s="317" t="str">
        <f t="shared" si="98"/>
        <v/>
      </c>
      <c r="R1361" s="317" t="str">
        <f t="shared" si="99"/>
        <v/>
      </c>
      <c r="S1361" s="317" t="str">
        <f t="shared" si="100"/>
        <v/>
      </c>
      <c r="T1361" s="317" t="str">
        <f>GLOBAL_DER_FEV_2023!S1361</f>
        <v/>
      </c>
      <c r="W1361" s="582">
        <v>0</v>
      </c>
      <c r="X1361" s="580"/>
      <c r="Y1361" s="583">
        <f>IF(GLOBAL_DER_FEV_2023!W1361=0,0,IF(GLOBAL_DER_FEV_2023!W1361&gt;0,"c","b"))</f>
        <v>0</v>
      </c>
    </row>
    <row r="1362" spans="1:25" ht="23.25" hidden="1" thickBot="1" x14ac:dyDescent="0.25">
      <c r="A1362" s="317">
        <v>91980</v>
      </c>
      <c r="B1362" s="895">
        <v>91980</v>
      </c>
      <c r="C1362" s="896" t="s">
        <v>596</v>
      </c>
      <c r="D1362" s="906" t="s">
        <v>1292</v>
      </c>
      <c r="E1362" s="907">
        <f>GLOBAL_DER_FEV_2023!E1362</f>
        <v>0</v>
      </c>
      <c r="F1362" s="908">
        <f>GLOBAL_DER_FEV_2023!F1362</f>
        <v>0</v>
      </c>
      <c r="G1362" s="912">
        <f>GLOBAL_DER_FEV_2023!G1362</f>
        <v>0</v>
      </c>
      <c r="H1362" s="901">
        <f>GLOBAL_DER_FEV_2023!H1362</f>
        <v>44.15</v>
      </c>
      <c r="I1362" s="901">
        <f>GLOBAL_DER_FEV_2023!I1362</f>
        <v>44.15</v>
      </c>
      <c r="J1362" s="902">
        <f>GLOBAL_DER_FEV_2023!J1362</f>
        <v>53.01</v>
      </c>
      <c r="K1362" s="903" t="s">
        <v>1516</v>
      </c>
      <c r="L1362" s="1137"/>
      <c r="M1362" s="1138">
        <f t="shared" ref="M1362:M1425" si="102">IF(L1362=0,0,ROUND(J1362,2))</f>
        <v>0</v>
      </c>
      <c r="N1362" s="893">
        <f t="shared" si="101"/>
        <v>0</v>
      </c>
      <c r="O1362" s="905"/>
      <c r="Q1362" s="317" t="str">
        <f t="shared" si="98"/>
        <v/>
      </c>
      <c r="R1362" s="317" t="str">
        <f t="shared" si="99"/>
        <v/>
      </c>
      <c r="S1362" s="317" t="str">
        <f t="shared" si="100"/>
        <v/>
      </c>
      <c r="T1362" s="317" t="str">
        <f>GLOBAL_DER_FEV_2023!S1362</f>
        <v/>
      </c>
      <c r="W1362" s="582">
        <v>0</v>
      </c>
      <c r="X1362" s="580"/>
      <c r="Y1362" s="583">
        <f>IF(GLOBAL_DER_FEV_2023!W1362=0,0,IF(GLOBAL_DER_FEV_2023!W1362&gt;0,"c","b"))</f>
        <v>0</v>
      </c>
    </row>
    <row r="1363" spans="1:25" ht="23.25" hidden="1" thickBot="1" x14ac:dyDescent="0.25">
      <c r="A1363" s="317">
        <v>91981</v>
      </c>
      <c r="B1363" s="895">
        <v>91981</v>
      </c>
      <c r="C1363" s="896" t="s">
        <v>596</v>
      </c>
      <c r="D1363" s="906" t="s">
        <v>1293</v>
      </c>
      <c r="E1363" s="907">
        <f>GLOBAL_DER_FEV_2023!E1363</f>
        <v>0</v>
      </c>
      <c r="F1363" s="908">
        <f>GLOBAL_DER_FEV_2023!F1363</f>
        <v>0</v>
      </c>
      <c r="G1363" s="912">
        <f>GLOBAL_DER_FEV_2023!G1363</f>
        <v>0</v>
      </c>
      <c r="H1363" s="901">
        <f>GLOBAL_DER_FEV_2023!H1363</f>
        <v>53.38</v>
      </c>
      <c r="I1363" s="901">
        <f>GLOBAL_DER_FEV_2023!I1363</f>
        <v>53.38</v>
      </c>
      <c r="J1363" s="902">
        <f>GLOBAL_DER_FEV_2023!J1363</f>
        <v>64.09</v>
      </c>
      <c r="K1363" s="903" t="s">
        <v>1516</v>
      </c>
      <c r="L1363" s="1137"/>
      <c r="M1363" s="1138">
        <f t="shared" si="102"/>
        <v>0</v>
      </c>
      <c r="N1363" s="893">
        <f t="shared" si="101"/>
        <v>0</v>
      </c>
      <c r="O1363" s="905"/>
      <c r="Q1363" s="317" t="str">
        <f t="shared" si="98"/>
        <v/>
      </c>
      <c r="R1363" s="317" t="str">
        <f t="shared" si="99"/>
        <v/>
      </c>
      <c r="S1363" s="317" t="str">
        <f t="shared" si="100"/>
        <v/>
      </c>
      <c r="T1363" s="317" t="str">
        <f>GLOBAL_DER_FEV_2023!S1363</f>
        <v/>
      </c>
      <c r="W1363" s="582">
        <v>0</v>
      </c>
      <c r="X1363" s="580"/>
      <c r="Y1363" s="583">
        <f>IF(GLOBAL_DER_FEV_2023!W1363=0,0,IF(GLOBAL_DER_FEV_2023!W1363&gt;0,"c","b"))</f>
        <v>0</v>
      </c>
    </row>
    <row r="1364" spans="1:25" ht="23.25" hidden="1" thickBot="1" x14ac:dyDescent="0.25">
      <c r="A1364" s="317">
        <v>91978</v>
      </c>
      <c r="B1364" s="895">
        <v>91978</v>
      </c>
      <c r="C1364" s="896" t="s">
        <v>596</v>
      </c>
      <c r="D1364" s="906" t="s">
        <v>1290</v>
      </c>
      <c r="E1364" s="907">
        <f>GLOBAL_DER_FEV_2023!E1364</f>
        <v>0</v>
      </c>
      <c r="F1364" s="908">
        <f>GLOBAL_DER_FEV_2023!F1364</f>
        <v>0</v>
      </c>
      <c r="G1364" s="912">
        <f>GLOBAL_DER_FEV_2023!G1364</f>
        <v>0</v>
      </c>
      <c r="H1364" s="901">
        <f>GLOBAL_DER_FEV_2023!H1364</f>
        <v>45.56</v>
      </c>
      <c r="I1364" s="901">
        <f>GLOBAL_DER_FEV_2023!I1364</f>
        <v>45.56</v>
      </c>
      <c r="J1364" s="902">
        <f>GLOBAL_DER_FEV_2023!J1364</f>
        <v>54.7</v>
      </c>
      <c r="K1364" s="903" t="s">
        <v>1516</v>
      </c>
      <c r="L1364" s="1137"/>
      <c r="M1364" s="1138">
        <f t="shared" si="102"/>
        <v>0</v>
      </c>
      <c r="N1364" s="893">
        <f t="shared" si="101"/>
        <v>0</v>
      </c>
      <c r="O1364" s="905"/>
      <c r="Q1364" s="317" t="str">
        <f t="shared" si="98"/>
        <v/>
      </c>
      <c r="R1364" s="317" t="str">
        <f t="shared" si="99"/>
        <v/>
      </c>
      <c r="S1364" s="317" t="str">
        <f t="shared" si="100"/>
        <v/>
      </c>
      <c r="T1364" s="317" t="str">
        <f>GLOBAL_DER_FEV_2023!S1364</f>
        <v/>
      </c>
      <c r="W1364" s="582">
        <v>0</v>
      </c>
      <c r="X1364" s="580"/>
      <c r="Y1364" s="583">
        <f>IF(GLOBAL_DER_FEV_2023!W1364=0,0,IF(GLOBAL_DER_FEV_2023!W1364&gt;0,"c","b"))</f>
        <v>0</v>
      </c>
    </row>
    <row r="1365" spans="1:25" ht="23.25" hidden="1" thickBot="1" x14ac:dyDescent="0.25">
      <c r="A1365" s="317">
        <v>91979</v>
      </c>
      <c r="B1365" s="895">
        <v>91979</v>
      </c>
      <c r="C1365" s="896" t="s">
        <v>596</v>
      </c>
      <c r="D1365" s="906" t="s">
        <v>1291</v>
      </c>
      <c r="E1365" s="907">
        <f>GLOBAL_DER_FEV_2023!E1365</f>
        <v>0</v>
      </c>
      <c r="F1365" s="908">
        <f>GLOBAL_DER_FEV_2023!F1365</f>
        <v>0</v>
      </c>
      <c r="G1365" s="912">
        <f>GLOBAL_DER_FEV_2023!G1365</f>
        <v>0</v>
      </c>
      <c r="H1365" s="901">
        <f>GLOBAL_DER_FEV_2023!H1365</f>
        <v>54.79</v>
      </c>
      <c r="I1365" s="901">
        <f>GLOBAL_DER_FEV_2023!I1365</f>
        <v>54.79</v>
      </c>
      <c r="J1365" s="902">
        <f>GLOBAL_DER_FEV_2023!J1365</f>
        <v>65.790000000000006</v>
      </c>
      <c r="K1365" s="903" t="s">
        <v>1516</v>
      </c>
      <c r="L1365" s="1137"/>
      <c r="M1365" s="1138">
        <f t="shared" si="102"/>
        <v>0</v>
      </c>
      <c r="N1365" s="893">
        <f t="shared" si="101"/>
        <v>0</v>
      </c>
      <c r="O1365" s="905"/>
      <c r="Q1365" s="317" t="str">
        <f t="shared" si="98"/>
        <v/>
      </c>
      <c r="R1365" s="317" t="str">
        <f t="shared" si="99"/>
        <v/>
      </c>
      <c r="S1365" s="317" t="str">
        <f t="shared" si="100"/>
        <v/>
      </c>
      <c r="T1365" s="317" t="str">
        <f>GLOBAL_DER_FEV_2023!S1365</f>
        <v/>
      </c>
      <c r="W1365" s="582">
        <v>0</v>
      </c>
      <c r="X1365" s="580"/>
      <c r="Y1365" s="583">
        <f>IF(GLOBAL_DER_FEV_2023!W1365=0,0,IF(GLOBAL_DER_FEV_2023!W1365&gt;0,"c","b"))</f>
        <v>0</v>
      </c>
    </row>
    <row r="1366" spans="1:25" ht="23.25" hidden="1" thickBot="1" x14ac:dyDescent="0.25">
      <c r="A1366" s="317">
        <v>91980</v>
      </c>
      <c r="B1366" s="895">
        <v>91980</v>
      </c>
      <c r="C1366" s="896" t="s">
        <v>596</v>
      </c>
      <c r="D1366" s="906" t="s">
        <v>1292</v>
      </c>
      <c r="E1366" s="907">
        <f>GLOBAL_DER_FEV_2023!E1366</f>
        <v>0</v>
      </c>
      <c r="F1366" s="908">
        <f>GLOBAL_DER_FEV_2023!F1366</f>
        <v>0</v>
      </c>
      <c r="G1366" s="912">
        <f>GLOBAL_DER_FEV_2023!G1366</f>
        <v>0</v>
      </c>
      <c r="H1366" s="901">
        <f>GLOBAL_DER_FEV_2023!H1366</f>
        <v>44.15</v>
      </c>
      <c r="I1366" s="901">
        <f>GLOBAL_DER_FEV_2023!I1366</f>
        <v>44.15</v>
      </c>
      <c r="J1366" s="902">
        <f>GLOBAL_DER_FEV_2023!J1366</f>
        <v>53.01</v>
      </c>
      <c r="K1366" s="903" t="s">
        <v>1516</v>
      </c>
      <c r="L1366" s="1137"/>
      <c r="M1366" s="1138">
        <f t="shared" si="102"/>
        <v>0</v>
      </c>
      <c r="N1366" s="893">
        <f t="shared" si="101"/>
        <v>0</v>
      </c>
      <c r="O1366" s="905"/>
      <c r="Q1366" s="317" t="str">
        <f t="shared" si="98"/>
        <v/>
      </c>
      <c r="R1366" s="317" t="str">
        <f t="shared" si="99"/>
        <v/>
      </c>
      <c r="S1366" s="317" t="str">
        <f t="shared" si="100"/>
        <v/>
      </c>
      <c r="T1366" s="317" t="str">
        <f>GLOBAL_DER_FEV_2023!S1366</f>
        <v/>
      </c>
      <c r="W1366" s="582">
        <v>0</v>
      </c>
      <c r="X1366" s="580"/>
      <c r="Y1366" s="583">
        <f>IF(GLOBAL_DER_FEV_2023!W1366=0,0,IF(GLOBAL_DER_FEV_2023!W1366&gt;0,"c","b"))</f>
        <v>0</v>
      </c>
    </row>
    <row r="1367" spans="1:25" ht="23.25" hidden="1" thickBot="1" x14ac:dyDescent="0.25">
      <c r="A1367" s="317">
        <v>91981</v>
      </c>
      <c r="B1367" s="895">
        <v>91981</v>
      </c>
      <c r="C1367" s="896" t="s">
        <v>596</v>
      </c>
      <c r="D1367" s="906" t="s">
        <v>1293</v>
      </c>
      <c r="E1367" s="907">
        <f>GLOBAL_DER_FEV_2023!E1367</f>
        <v>0</v>
      </c>
      <c r="F1367" s="908">
        <f>GLOBAL_DER_FEV_2023!F1367</f>
        <v>0</v>
      </c>
      <c r="G1367" s="912">
        <f>GLOBAL_DER_FEV_2023!G1367</f>
        <v>0</v>
      </c>
      <c r="H1367" s="901">
        <f>GLOBAL_DER_FEV_2023!H1367</f>
        <v>53.38</v>
      </c>
      <c r="I1367" s="901">
        <f>GLOBAL_DER_FEV_2023!I1367</f>
        <v>53.38</v>
      </c>
      <c r="J1367" s="902">
        <f>GLOBAL_DER_FEV_2023!J1367</f>
        <v>64.09</v>
      </c>
      <c r="K1367" s="903" t="s">
        <v>1516</v>
      </c>
      <c r="L1367" s="1137"/>
      <c r="M1367" s="1138">
        <f t="shared" si="102"/>
        <v>0</v>
      </c>
      <c r="N1367" s="893">
        <f t="shared" si="101"/>
        <v>0</v>
      </c>
      <c r="O1367" s="905"/>
      <c r="Q1367" s="317" t="str">
        <f t="shared" si="98"/>
        <v/>
      </c>
      <c r="R1367" s="317" t="str">
        <f t="shared" si="99"/>
        <v/>
      </c>
      <c r="S1367" s="317" t="str">
        <f t="shared" si="100"/>
        <v/>
      </c>
      <c r="T1367" s="317" t="str">
        <f>GLOBAL_DER_FEV_2023!S1367</f>
        <v/>
      </c>
      <c r="W1367" s="582">
        <v>0</v>
      </c>
      <c r="X1367" s="580"/>
      <c r="Y1367" s="583">
        <f>IF(GLOBAL_DER_FEV_2023!W1367=0,0,IF(GLOBAL_DER_FEV_2023!W1367&gt;0,"c","b"))</f>
        <v>0</v>
      </c>
    </row>
    <row r="1368" spans="1:25" ht="23.25" hidden="1" thickBot="1" x14ac:dyDescent="0.25">
      <c r="A1368" s="317">
        <v>91982</v>
      </c>
      <c r="B1368" s="895">
        <v>91982</v>
      </c>
      <c r="C1368" s="896" t="s">
        <v>596</v>
      </c>
      <c r="D1368" s="906" t="s">
        <v>1294</v>
      </c>
      <c r="E1368" s="907">
        <f>GLOBAL_DER_FEV_2023!E1368</f>
        <v>0</v>
      </c>
      <c r="F1368" s="908">
        <f>GLOBAL_DER_FEV_2023!F1368</f>
        <v>0</v>
      </c>
      <c r="G1368" s="912">
        <f>GLOBAL_DER_FEV_2023!G1368</f>
        <v>0</v>
      </c>
      <c r="H1368" s="901">
        <f>GLOBAL_DER_FEV_2023!H1368</f>
        <v>102.63</v>
      </c>
      <c r="I1368" s="901">
        <f>GLOBAL_DER_FEV_2023!I1368</f>
        <v>102.63</v>
      </c>
      <c r="J1368" s="902">
        <f>GLOBAL_DER_FEV_2023!J1368</f>
        <v>123.23</v>
      </c>
      <c r="K1368" s="903" t="s">
        <v>1516</v>
      </c>
      <c r="L1368" s="1137"/>
      <c r="M1368" s="1138">
        <f t="shared" si="102"/>
        <v>0</v>
      </c>
      <c r="N1368" s="893">
        <f t="shared" si="101"/>
        <v>0</v>
      </c>
      <c r="O1368" s="905"/>
      <c r="Q1368" s="317" t="str">
        <f t="shared" si="98"/>
        <v/>
      </c>
      <c r="R1368" s="317" t="str">
        <f t="shared" si="99"/>
        <v/>
      </c>
      <c r="S1368" s="317" t="str">
        <f t="shared" si="100"/>
        <v/>
      </c>
      <c r="T1368" s="317" t="str">
        <f>GLOBAL_DER_FEV_2023!S1368</f>
        <v/>
      </c>
      <c r="W1368" s="582">
        <v>0</v>
      </c>
      <c r="X1368" s="580"/>
      <c r="Y1368" s="583">
        <f>IF(GLOBAL_DER_FEV_2023!W1368=0,0,IF(GLOBAL_DER_FEV_2023!W1368&gt;0,"c","b"))</f>
        <v>0</v>
      </c>
    </row>
    <row r="1369" spans="1:25" ht="23.25" hidden="1" thickBot="1" x14ac:dyDescent="0.25">
      <c r="A1369" s="317">
        <v>91983</v>
      </c>
      <c r="B1369" s="895">
        <v>91983</v>
      </c>
      <c r="C1369" s="896" t="s">
        <v>596</v>
      </c>
      <c r="D1369" s="906" t="s">
        <v>1295</v>
      </c>
      <c r="E1369" s="907">
        <f>GLOBAL_DER_FEV_2023!E1369</f>
        <v>0</v>
      </c>
      <c r="F1369" s="908">
        <f>GLOBAL_DER_FEV_2023!F1369</f>
        <v>0</v>
      </c>
      <c r="G1369" s="912">
        <f>GLOBAL_DER_FEV_2023!G1369</f>
        <v>0</v>
      </c>
      <c r="H1369" s="901">
        <f>GLOBAL_DER_FEV_2023!H1369</f>
        <v>111.86</v>
      </c>
      <c r="I1369" s="901">
        <f>GLOBAL_DER_FEV_2023!I1369</f>
        <v>111.86</v>
      </c>
      <c r="J1369" s="902">
        <f>GLOBAL_DER_FEV_2023!J1369</f>
        <v>134.31</v>
      </c>
      <c r="K1369" s="903" t="s">
        <v>1516</v>
      </c>
      <c r="L1369" s="1137"/>
      <c r="M1369" s="1138">
        <f t="shared" si="102"/>
        <v>0</v>
      </c>
      <c r="N1369" s="893">
        <f t="shared" si="101"/>
        <v>0</v>
      </c>
      <c r="O1369" s="905"/>
      <c r="Q1369" s="317" t="str">
        <f t="shared" si="98"/>
        <v/>
      </c>
      <c r="R1369" s="317" t="str">
        <f t="shared" si="99"/>
        <v/>
      </c>
      <c r="S1369" s="317" t="str">
        <f t="shared" si="100"/>
        <v/>
      </c>
      <c r="T1369" s="317" t="str">
        <f>GLOBAL_DER_FEV_2023!S1369</f>
        <v/>
      </c>
      <c r="W1369" s="582">
        <v>0</v>
      </c>
      <c r="X1369" s="580"/>
      <c r="Y1369" s="583">
        <f>IF(GLOBAL_DER_FEV_2023!W1369=0,0,IF(GLOBAL_DER_FEV_2023!W1369&gt;0,"c","b"))</f>
        <v>0</v>
      </c>
    </row>
    <row r="1370" spans="1:25" ht="23.25" hidden="1" thickBot="1" x14ac:dyDescent="0.25">
      <c r="A1370" s="317">
        <v>91984</v>
      </c>
      <c r="B1370" s="895">
        <v>91984</v>
      </c>
      <c r="C1370" s="896" t="s">
        <v>596</v>
      </c>
      <c r="D1370" s="906" t="s">
        <v>1296</v>
      </c>
      <c r="E1370" s="907">
        <f>GLOBAL_DER_FEV_2023!E1370</f>
        <v>0</v>
      </c>
      <c r="F1370" s="908">
        <f>GLOBAL_DER_FEV_2023!F1370</f>
        <v>0</v>
      </c>
      <c r="G1370" s="912">
        <f>GLOBAL_DER_FEV_2023!G1370</f>
        <v>0</v>
      </c>
      <c r="H1370" s="901">
        <f>GLOBAL_DER_FEV_2023!H1370</f>
        <v>20.2</v>
      </c>
      <c r="I1370" s="901">
        <f>GLOBAL_DER_FEV_2023!I1370</f>
        <v>20.2</v>
      </c>
      <c r="J1370" s="902">
        <f>GLOBAL_DER_FEV_2023!J1370</f>
        <v>24.25</v>
      </c>
      <c r="K1370" s="903" t="s">
        <v>1516</v>
      </c>
      <c r="L1370" s="1137"/>
      <c r="M1370" s="1138">
        <f t="shared" si="102"/>
        <v>0</v>
      </c>
      <c r="N1370" s="893">
        <f t="shared" si="101"/>
        <v>0</v>
      </c>
      <c r="O1370" s="905"/>
      <c r="Q1370" s="317" t="str">
        <f t="shared" si="98"/>
        <v/>
      </c>
      <c r="R1370" s="317" t="str">
        <f t="shared" si="99"/>
        <v/>
      </c>
      <c r="S1370" s="317" t="str">
        <f t="shared" si="100"/>
        <v/>
      </c>
      <c r="T1370" s="317" t="str">
        <f>GLOBAL_DER_FEV_2023!S1370</f>
        <v/>
      </c>
      <c r="W1370" s="582">
        <v>0</v>
      </c>
      <c r="X1370" s="580"/>
      <c r="Y1370" s="583">
        <f>IF(GLOBAL_DER_FEV_2023!W1370=0,0,IF(GLOBAL_DER_FEV_2023!W1370&gt;0,"c","b"))</f>
        <v>0</v>
      </c>
    </row>
    <row r="1371" spans="1:25" ht="23.25" hidden="1" thickBot="1" x14ac:dyDescent="0.25">
      <c r="A1371" s="317">
        <v>91985</v>
      </c>
      <c r="B1371" s="895">
        <v>91985</v>
      </c>
      <c r="C1371" s="896" t="s">
        <v>596</v>
      </c>
      <c r="D1371" s="906" t="s">
        <v>1297</v>
      </c>
      <c r="E1371" s="907">
        <f>GLOBAL_DER_FEV_2023!E1371</f>
        <v>0</v>
      </c>
      <c r="F1371" s="908">
        <f>GLOBAL_DER_FEV_2023!F1371</f>
        <v>0</v>
      </c>
      <c r="G1371" s="912">
        <f>GLOBAL_DER_FEV_2023!G1371</f>
        <v>0</v>
      </c>
      <c r="H1371" s="901">
        <f>GLOBAL_DER_FEV_2023!H1371</f>
        <v>29.43</v>
      </c>
      <c r="I1371" s="901">
        <f>GLOBAL_DER_FEV_2023!I1371</f>
        <v>29.43</v>
      </c>
      <c r="J1371" s="902">
        <f>GLOBAL_DER_FEV_2023!J1371</f>
        <v>35.340000000000003</v>
      </c>
      <c r="K1371" s="903" t="s">
        <v>1516</v>
      </c>
      <c r="L1371" s="1137"/>
      <c r="M1371" s="1138">
        <f t="shared" si="102"/>
        <v>0</v>
      </c>
      <c r="N1371" s="893">
        <f t="shared" si="101"/>
        <v>0</v>
      </c>
      <c r="O1371" s="905"/>
      <c r="Q1371" s="317" t="str">
        <f t="shared" ref="Q1371:Q1434" si="103">IF(P1371="X","x",IF(P1371="xx","x",IF(P1371="xy","x",IF(P1371="y","x",IF(OR(N1371&gt;0,N1371&gt;0),"x","")))))</f>
        <v/>
      </c>
      <c r="R1371" s="317" t="str">
        <f t="shared" si="99"/>
        <v/>
      </c>
      <c r="S1371" s="317" t="str">
        <f t="shared" si="100"/>
        <v/>
      </c>
      <c r="T1371" s="317" t="str">
        <f>GLOBAL_DER_FEV_2023!S1371</f>
        <v/>
      </c>
      <c r="W1371" s="582">
        <v>0</v>
      </c>
      <c r="X1371" s="580"/>
      <c r="Y1371" s="583">
        <f>IF(GLOBAL_DER_FEV_2023!W1371=0,0,IF(GLOBAL_DER_FEV_2023!W1371&gt;0,"c","b"))</f>
        <v>0</v>
      </c>
    </row>
    <row r="1372" spans="1:25" ht="23.25" hidden="1" thickBot="1" x14ac:dyDescent="0.25">
      <c r="A1372" s="317">
        <v>91986</v>
      </c>
      <c r="B1372" s="895">
        <v>91986</v>
      </c>
      <c r="C1372" s="896" t="s">
        <v>596</v>
      </c>
      <c r="D1372" s="906" t="s">
        <v>1298</v>
      </c>
      <c r="E1372" s="907">
        <f>GLOBAL_DER_FEV_2023!E1372</f>
        <v>0</v>
      </c>
      <c r="F1372" s="908">
        <f>GLOBAL_DER_FEV_2023!F1372</f>
        <v>0</v>
      </c>
      <c r="G1372" s="912">
        <f>GLOBAL_DER_FEV_2023!G1372</f>
        <v>0</v>
      </c>
      <c r="H1372" s="901">
        <f>GLOBAL_DER_FEV_2023!H1372</f>
        <v>42.51</v>
      </c>
      <c r="I1372" s="901">
        <f>GLOBAL_DER_FEV_2023!I1372</f>
        <v>42.51</v>
      </c>
      <c r="J1372" s="902">
        <f>GLOBAL_DER_FEV_2023!J1372</f>
        <v>51.04</v>
      </c>
      <c r="K1372" s="903" t="s">
        <v>1516</v>
      </c>
      <c r="L1372" s="1137"/>
      <c r="M1372" s="1138">
        <f t="shared" si="102"/>
        <v>0</v>
      </c>
      <c r="N1372" s="893">
        <f t="shared" si="101"/>
        <v>0</v>
      </c>
      <c r="O1372" s="905"/>
      <c r="Q1372" s="317" t="str">
        <f t="shared" si="103"/>
        <v/>
      </c>
      <c r="R1372" s="317" t="str">
        <f t="shared" si="99"/>
        <v/>
      </c>
      <c r="S1372" s="317" t="str">
        <f t="shared" si="100"/>
        <v/>
      </c>
      <c r="T1372" s="317" t="str">
        <f>GLOBAL_DER_FEV_2023!S1372</f>
        <v/>
      </c>
      <c r="W1372" s="582">
        <v>0</v>
      </c>
      <c r="X1372" s="580"/>
      <c r="Y1372" s="583">
        <f>IF(GLOBAL_DER_FEV_2023!W1372=0,0,IF(GLOBAL_DER_FEV_2023!W1372&gt;0,"c","b"))</f>
        <v>0</v>
      </c>
    </row>
    <row r="1373" spans="1:25" ht="23.25" hidden="1" thickBot="1" x14ac:dyDescent="0.25">
      <c r="A1373" s="317">
        <v>91987</v>
      </c>
      <c r="B1373" s="895">
        <v>91987</v>
      </c>
      <c r="C1373" s="896" t="s">
        <v>596</v>
      </c>
      <c r="D1373" s="906" t="s">
        <v>1299</v>
      </c>
      <c r="E1373" s="907">
        <f>GLOBAL_DER_FEV_2023!E1373</f>
        <v>0</v>
      </c>
      <c r="F1373" s="908">
        <f>GLOBAL_DER_FEV_2023!F1373</f>
        <v>0</v>
      </c>
      <c r="G1373" s="912">
        <f>GLOBAL_DER_FEV_2023!G1373</f>
        <v>0</v>
      </c>
      <c r="H1373" s="901">
        <f>GLOBAL_DER_FEV_2023!H1373</f>
        <v>51.74</v>
      </c>
      <c r="I1373" s="901">
        <f>GLOBAL_DER_FEV_2023!I1373</f>
        <v>51.74</v>
      </c>
      <c r="J1373" s="902">
        <f>GLOBAL_DER_FEV_2023!J1373</f>
        <v>62.12</v>
      </c>
      <c r="K1373" s="903" t="s">
        <v>1516</v>
      </c>
      <c r="L1373" s="1137"/>
      <c r="M1373" s="1138">
        <f t="shared" si="102"/>
        <v>0</v>
      </c>
      <c r="N1373" s="893">
        <f t="shared" si="101"/>
        <v>0</v>
      </c>
      <c r="O1373" s="905"/>
      <c r="Q1373" s="317" t="str">
        <f t="shared" si="103"/>
        <v/>
      </c>
      <c r="R1373" s="317" t="str">
        <f t="shared" ref="R1373:R1436" si="104">IF(P1373="X","x",IF(P1373="y","x",IF(P1373="xx","x",IF(N1373&gt;0,"x",""))))</f>
        <v/>
      </c>
      <c r="S1373" s="317" t="str">
        <f t="shared" ref="S1373:S1436" si="105">IF(P1373="X","x",IF(N1373&gt;0,"x",""))</f>
        <v/>
      </c>
      <c r="T1373" s="317" t="str">
        <f>GLOBAL_DER_FEV_2023!S1373</f>
        <v/>
      </c>
      <c r="W1373" s="582">
        <v>0</v>
      </c>
      <c r="X1373" s="580"/>
      <c r="Y1373" s="583">
        <f>IF(GLOBAL_DER_FEV_2023!W1373=0,0,IF(GLOBAL_DER_FEV_2023!W1373&gt;0,"c","b"))</f>
        <v>0</v>
      </c>
    </row>
    <row r="1374" spans="1:25" ht="23.25" hidden="1" thickBot="1" x14ac:dyDescent="0.25">
      <c r="A1374" s="317">
        <v>91988</v>
      </c>
      <c r="B1374" s="895">
        <v>91988</v>
      </c>
      <c r="C1374" s="896" t="s">
        <v>596</v>
      </c>
      <c r="D1374" s="906" t="s">
        <v>1300</v>
      </c>
      <c r="E1374" s="907">
        <f>GLOBAL_DER_FEV_2023!E1374</f>
        <v>0</v>
      </c>
      <c r="F1374" s="908">
        <f>GLOBAL_DER_FEV_2023!F1374</f>
        <v>0</v>
      </c>
      <c r="G1374" s="912">
        <f>GLOBAL_DER_FEV_2023!G1374</f>
        <v>0</v>
      </c>
      <c r="H1374" s="901">
        <f>GLOBAL_DER_FEV_2023!H1374</f>
        <v>24.92</v>
      </c>
      <c r="I1374" s="901">
        <f>GLOBAL_DER_FEV_2023!I1374</f>
        <v>24.92</v>
      </c>
      <c r="J1374" s="902">
        <f>GLOBAL_DER_FEV_2023!J1374</f>
        <v>29.92</v>
      </c>
      <c r="K1374" s="903" t="s">
        <v>1516</v>
      </c>
      <c r="L1374" s="1137"/>
      <c r="M1374" s="1138">
        <f t="shared" si="102"/>
        <v>0</v>
      </c>
      <c r="N1374" s="893">
        <f t="shared" si="101"/>
        <v>0</v>
      </c>
      <c r="O1374" s="905"/>
      <c r="Q1374" s="317" t="str">
        <f t="shared" si="103"/>
        <v/>
      </c>
      <c r="R1374" s="317" t="str">
        <f t="shared" si="104"/>
        <v/>
      </c>
      <c r="S1374" s="317" t="str">
        <f t="shared" si="105"/>
        <v/>
      </c>
      <c r="T1374" s="317" t="str">
        <f>GLOBAL_DER_FEV_2023!S1374</f>
        <v/>
      </c>
      <c r="W1374" s="582">
        <v>0</v>
      </c>
      <c r="X1374" s="580"/>
      <c r="Y1374" s="583">
        <f>IF(GLOBAL_DER_FEV_2023!W1374=0,0,IF(GLOBAL_DER_FEV_2023!W1374&gt;0,"c","b"))</f>
        <v>0</v>
      </c>
    </row>
    <row r="1375" spans="1:25" ht="23.25" hidden="1" thickBot="1" x14ac:dyDescent="0.25">
      <c r="A1375" s="317">
        <v>91989</v>
      </c>
      <c r="B1375" s="895">
        <v>91989</v>
      </c>
      <c r="C1375" s="896" t="s">
        <v>596</v>
      </c>
      <c r="D1375" s="906" t="s">
        <v>1301</v>
      </c>
      <c r="E1375" s="907">
        <f>GLOBAL_DER_FEV_2023!E1375</f>
        <v>0</v>
      </c>
      <c r="F1375" s="908">
        <f>GLOBAL_DER_FEV_2023!F1375</f>
        <v>0</v>
      </c>
      <c r="G1375" s="912">
        <f>GLOBAL_DER_FEV_2023!G1375</f>
        <v>0</v>
      </c>
      <c r="H1375" s="901">
        <f>GLOBAL_DER_FEV_2023!H1375</f>
        <v>34.15</v>
      </c>
      <c r="I1375" s="901">
        <f>GLOBAL_DER_FEV_2023!I1375</f>
        <v>34.15</v>
      </c>
      <c r="J1375" s="902">
        <f>GLOBAL_DER_FEV_2023!J1375</f>
        <v>41</v>
      </c>
      <c r="K1375" s="903" t="s">
        <v>1516</v>
      </c>
      <c r="L1375" s="1137"/>
      <c r="M1375" s="1138">
        <f t="shared" si="102"/>
        <v>0</v>
      </c>
      <c r="N1375" s="893">
        <f t="shared" si="101"/>
        <v>0</v>
      </c>
      <c r="O1375" s="905"/>
      <c r="Q1375" s="317" t="str">
        <f t="shared" si="103"/>
        <v/>
      </c>
      <c r="R1375" s="317" t="str">
        <f t="shared" si="104"/>
        <v/>
      </c>
      <c r="S1375" s="317" t="str">
        <f t="shared" si="105"/>
        <v/>
      </c>
      <c r="T1375" s="317" t="str">
        <f>GLOBAL_DER_FEV_2023!S1375</f>
        <v/>
      </c>
      <c r="W1375" s="582">
        <v>0</v>
      </c>
      <c r="X1375" s="580"/>
      <c r="Y1375" s="583">
        <f>IF(GLOBAL_DER_FEV_2023!W1375=0,0,IF(GLOBAL_DER_FEV_2023!W1375&gt;0,"c","b"))</f>
        <v>0</v>
      </c>
    </row>
    <row r="1376" spans="1:25" ht="23.25" hidden="1" thickBot="1" x14ac:dyDescent="0.25">
      <c r="A1376" s="317">
        <v>91990</v>
      </c>
      <c r="B1376" s="895">
        <v>91990</v>
      </c>
      <c r="C1376" s="896" t="s">
        <v>596</v>
      </c>
      <c r="D1376" s="906" t="s">
        <v>1302</v>
      </c>
      <c r="E1376" s="907">
        <f>GLOBAL_DER_FEV_2023!E1376</f>
        <v>0</v>
      </c>
      <c r="F1376" s="908">
        <f>GLOBAL_DER_FEV_2023!F1376</f>
        <v>0</v>
      </c>
      <c r="G1376" s="912">
        <f>GLOBAL_DER_FEV_2023!G1376</f>
        <v>0</v>
      </c>
      <c r="H1376" s="901">
        <f>GLOBAL_DER_FEV_2023!H1376</f>
        <v>38.869999999999997</v>
      </c>
      <c r="I1376" s="901">
        <f>GLOBAL_DER_FEV_2023!I1376</f>
        <v>38.869999999999997</v>
      </c>
      <c r="J1376" s="902">
        <f>GLOBAL_DER_FEV_2023!J1376</f>
        <v>46.67</v>
      </c>
      <c r="K1376" s="903" t="s">
        <v>1516</v>
      </c>
      <c r="L1376" s="1137"/>
      <c r="M1376" s="1138">
        <f t="shared" si="102"/>
        <v>0</v>
      </c>
      <c r="N1376" s="893">
        <f t="shared" si="101"/>
        <v>0</v>
      </c>
      <c r="O1376" s="905"/>
      <c r="Q1376" s="317" t="str">
        <f t="shared" si="103"/>
        <v/>
      </c>
      <c r="R1376" s="317" t="str">
        <f t="shared" si="104"/>
        <v/>
      </c>
      <c r="S1376" s="317" t="str">
        <f t="shared" si="105"/>
        <v/>
      </c>
      <c r="T1376" s="317" t="str">
        <f>GLOBAL_DER_FEV_2023!S1376</f>
        <v/>
      </c>
      <c r="W1376" s="582">
        <v>0</v>
      </c>
      <c r="X1376" s="580"/>
      <c r="Y1376" s="583">
        <f>IF(GLOBAL_DER_FEV_2023!W1376=0,0,IF(GLOBAL_DER_FEV_2023!W1376&gt;0,"c","b"))</f>
        <v>0</v>
      </c>
    </row>
    <row r="1377" spans="1:25" ht="23.25" hidden="1" thickBot="1" x14ac:dyDescent="0.25">
      <c r="A1377" s="317">
        <v>91991</v>
      </c>
      <c r="B1377" s="895">
        <v>91991</v>
      </c>
      <c r="C1377" s="896" t="s">
        <v>596</v>
      </c>
      <c r="D1377" s="906" t="s">
        <v>1303</v>
      </c>
      <c r="E1377" s="907">
        <f>GLOBAL_DER_FEV_2023!E1377</f>
        <v>0</v>
      </c>
      <c r="F1377" s="908">
        <f>GLOBAL_DER_FEV_2023!F1377</f>
        <v>0</v>
      </c>
      <c r="G1377" s="912">
        <f>GLOBAL_DER_FEV_2023!G1377</f>
        <v>0</v>
      </c>
      <c r="H1377" s="901">
        <f>GLOBAL_DER_FEV_2023!H1377</f>
        <v>41.42</v>
      </c>
      <c r="I1377" s="901">
        <f>GLOBAL_DER_FEV_2023!I1377</f>
        <v>41.42</v>
      </c>
      <c r="J1377" s="902">
        <f>GLOBAL_DER_FEV_2023!J1377</f>
        <v>49.73</v>
      </c>
      <c r="K1377" s="903" t="s">
        <v>1516</v>
      </c>
      <c r="L1377" s="1137"/>
      <c r="M1377" s="1138">
        <f t="shared" si="102"/>
        <v>0</v>
      </c>
      <c r="N1377" s="893">
        <f t="shared" ref="N1377:N1440" si="106">IF(ISBLANK(L1377),0,IF(W1377=0,ROUND(L1377*M1377,2),IF(W1377="b",ROUNDDOWN(L1377*M1377,2),ROUNDUP(L1377*M1377,2))))</f>
        <v>0</v>
      </c>
      <c r="O1377" s="905"/>
      <c r="Q1377" s="317" t="str">
        <f t="shared" si="103"/>
        <v/>
      </c>
      <c r="R1377" s="317" t="str">
        <f t="shared" si="104"/>
        <v/>
      </c>
      <c r="S1377" s="317" t="str">
        <f t="shared" si="105"/>
        <v/>
      </c>
      <c r="T1377" s="317" t="str">
        <f>GLOBAL_DER_FEV_2023!S1377</f>
        <v/>
      </c>
      <c r="W1377" s="582">
        <v>0</v>
      </c>
      <c r="X1377" s="580"/>
      <c r="Y1377" s="583">
        <f>IF(GLOBAL_DER_FEV_2023!W1377=0,0,IF(GLOBAL_DER_FEV_2023!W1377&gt;0,"c","b"))</f>
        <v>0</v>
      </c>
    </row>
    <row r="1378" spans="1:25" ht="23.25" hidden="1" thickBot="1" x14ac:dyDescent="0.25">
      <c r="A1378" s="317">
        <v>91992</v>
      </c>
      <c r="B1378" s="895">
        <v>91992</v>
      </c>
      <c r="C1378" s="896" t="s">
        <v>596</v>
      </c>
      <c r="D1378" s="906" t="s">
        <v>1304</v>
      </c>
      <c r="E1378" s="907">
        <f>GLOBAL_DER_FEV_2023!E1378</f>
        <v>0</v>
      </c>
      <c r="F1378" s="908">
        <f>GLOBAL_DER_FEV_2023!F1378</f>
        <v>0</v>
      </c>
      <c r="G1378" s="912">
        <f>GLOBAL_DER_FEV_2023!G1378</f>
        <v>0</v>
      </c>
      <c r="H1378" s="901">
        <f>GLOBAL_DER_FEV_2023!H1378</f>
        <v>48.1</v>
      </c>
      <c r="I1378" s="901">
        <f>GLOBAL_DER_FEV_2023!I1378</f>
        <v>48.1</v>
      </c>
      <c r="J1378" s="902">
        <f>GLOBAL_DER_FEV_2023!J1378</f>
        <v>57.75</v>
      </c>
      <c r="K1378" s="903" t="s">
        <v>1516</v>
      </c>
      <c r="L1378" s="1137"/>
      <c r="M1378" s="1138">
        <f t="shared" si="102"/>
        <v>0</v>
      </c>
      <c r="N1378" s="893">
        <f t="shared" si="106"/>
        <v>0</v>
      </c>
      <c r="O1378" s="905"/>
      <c r="Q1378" s="317" t="str">
        <f t="shared" si="103"/>
        <v/>
      </c>
      <c r="R1378" s="317" t="str">
        <f t="shared" si="104"/>
        <v/>
      </c>
      <c r="S1378" s="317" t="str">
        <f t="shared" si="105"/>
        <v/>
      </c>
      <c r="T1378" s="317" t="str">
        <f>GLOBAL_DER_FEV_2023!S1378</f>
        <v/>
      </c>
      <c r="W1378" s="582">
        <v>0</v>
      </c>
      <c r="X1378" s="580"/>
      <c r="Y1378" s="583">
        <f>IF(GLOBAL_DER_FEV_2023!W1378=0,0,IF(GLOBAL_DER_FEV_2023!W1378&gt;0,"c","b"))</f>
        <v>0</v>
      </c>
    </row>
    <row r="1379" spans="1:25" ht="23.25" hidden="1" thickBot="1" x14ac:dyDescent="0.25">
      <c r="A1379" s="317">
        <v>91993</v>
      </c>
      <c r="B1379" s="895">
        <v>91993</v>
      </c>
      <c r="C1379" s="896" t="s">
        <v>596</v>
      </c>
      <c r="D1379" s="906" t="s">
        <v>1305</v>
      </c>
      <c r="E1379" s="907">
        <f>GLOBAL_DER_FEV_2023!E1379</f>
        <v>0</v>
      </c>
      <c r="F1379" s="908">
        <f>GLOBAL_DER_FEV_2023!F1379</f>
        <v>0</v>
      </c>
      <c r="G1379" s="912">
        <f>GLOBAL_DER_FEV_2023!G1379</f>
        <v>0</v>
      </c>
      <c r="H1379" s="901">
        <f>GLOBAL_DER_FEV_2023!H1379</f>
        <v>50.65</v>
      </c>
      <c r="I1379" s="901">
        <f>GLOBAL_DER_FEV_2023!I1379</f>
        <v>50.65</v>
      </c>
      <c r="J1379" s="902">
        <f>GLOBAL_DER_FEV_2023!J1379</f>
        <v>60.82</v>
      </c>
      <c r="K1379" s="903" t="s">
        <v>1516</v>
      </c>
      <c r="L1379" s="1137"/>
      <c r="M1379" s="1138">
        <f t="shared" si="102"/>
        <v>0</v>
      </c>
      <c r="N1379" s="893">
        <f t="shared" si="106"/>
        <v>0</v>
      </c>
      <c r="O1379" s="905"/>
      <c r="Q1379" s="317" t="str">
        <f t="shared" si="103"/>
        <v/>
      </c>
      <c r="R1379" s="317" t="str">
        <f t="shared" si="104"/>
        <v/>
      </c>
      <c r="S1379" s="317" t="str">
        <f t="shared" si="105"/>
        <v/>
      </c>
      <c r="T1379" s="317" t="str">
        <f>GLOBAL_DER_FEV_2023!S1379</f>
        <v/>
      </c>
      <c r="W1379" s="582">
        <v>0</v>
      </c>
      <c r="X1379" s="580"/>
      <c r="Y1379" s="583">
        <f>IF(GLOBAL_DER_FEV_2023!W1379=0,0,IF(GLOBAL_DER_FEV_2023!W1379&gt;0,"c","b"))</f>
        <v>0</v>
      </c>
    </row>
    <row r="1380" spans="1:25" ht="23.25" hidden="1" thickBot="1" x14ac:dyDescent="0.25">
      <c r="A1380" s="317">
        <v>91994</v>
      </c>
      <c r="B1380" s="895">
        <v>91994</v>
      </c>
      <c r="C1380" s="896" t="s">
        <v>596</v>
      </c>
      <c r="D1380" s="906" t="s">
        <v>1306</v>
      </c>
      <c r="E1380" s="907">
        <f>GLOBAL_DER_FEV_2023!E1380</f>
        <v>0</v>
      </c>
      <c r="F1380" s="908">
        <f>GLOBAL_DER_FEV_2023!F1380</f>
        <v>0</v>
      </c>
      <c r="G1380" s="912">
        <f>GLOBAL_DER_FEV_2023!G1380</f>
        <v>0</v>
      </c>
      <c r="H1380" s="901">
        <f>GLOBAL_DER_FEV_2023!H1380</f>
        <v>27.58</v>
      </c>
      <c r="I1380" s="901">
        <f>GLOBAL_DER_FEV_2023!I1380</f>
        <v>27.58</v>
      </c>
      <c r="J1380" s="902">
        <f>GLOBAL_DER_FEV_2023!J1380</f>
        <v>33.119999999999997</v>
      </c>
      <c r="K1380" s="903" t="s">
        <v>1516</v>
      </c>
      <c r="L1380" s="1137"/>
      <c r="M1380" s="1138">
        <f t="shared" si="102"/>
        <v>0</v>
      </c>
      <c r="N1380" s="893">
        <f t="shared" si="106"/>
        <v>0</v>
      </c>
      <c r="O1380" s="905"/>
      <c r="Q1380" s="317" t="str">
        <f t="shared" si="103"/>
        <v/>
      </c>
      <c r="R1380" s="317" t="str">
        <f t="shared" si="104"/>
        <v/>
      </c>
      <c r="S1380" s="317" t="str">
        <f t="shared" si="105"/>
        <v/>
      </c>
      <c r="T1380" s="317" t="str">
        <f>GLOBAL_DER_FEV_2023!S1380</f>
        <v/>
      </c>
      <c r="W1380" s="582">
        <v>0</v>
      </c>
      <c r="X1380" s="580"/>
      <c r="Y1380" s="583">
        <f>IF(GLOBAL_DER_FEV_2023!W1380=0,0,IF(GLOBAL_DER_FEV_2023!W1380&gt;0,"c","b"))</f>
        <v>0</v>
      </c>
    </row>
    <row r="1381" spans="1:25" ht="23.25" hidden="1" thickBot="1" x14ac:dyDescent="0.25">
      <c r="A1381" s="317">
        <v>91995</v>
      </c>
      <c r="B1381" s="895">
        <v>91995</v>
      </c>
      <c r="C1381" s="896" t="s">
        <v>596</v>
      </c>
      <c r="D1381" s="906" t="s">
        <v>1307</v>
      </c>
      <c r="E1381" s="907">
        <f>GLOBAL_DER_FEV_2023!E1381</f>
        <v>0</v>
      </c>
      <c r="F1381" s="908">
        <f>GLOBAL_DER_FEV_2023!F1381</f>
        <v>0</v>
      </c>
      <c r="G1381" s="912">
        <f>GLOBAL_DER_FEV_2023!G1381</f>
        <v>0</v>
      </c>
      <c r="H1381" s="901">
        <f>GLOBAL_DER_FEV_2023!H1381</f>
        <v>30.13</v>
      </c>
      <c r="I1381" s="901">
        <f>GLOBAL_DER_FEV_2023!I1381</f>
        <v>30.13</v>
      </c>
      <c r="J1381" s="902">
        <f>GLOBAL_DER_FEV_2023!J1381</f>
        <v>36.18</v>
      </c>
      <c r="K1381" s="903" t="s">
        <v>1516</v>
      </c>
      <c r="L1381" s="1137"/>
      <c r="M1381" s="1138">
        <f t="shared" si="102"/>
        <v>0</v>
      </c>
      <c r="N1381" s="893">
        <f t="shared" si="106"/>
        <v>0</v>
      </c>
      <c r="O1381" s="905"/>
      <c r="Q1381" s="317" t="str">
        <f t="shared" si="103"/>
        <v/>
      </c>
      <c r="R1381" s="317" t="str">
        <f t="shared" si="104"/>
        <v/>
      </c>
      <c r="S1381" s="317" t="str">
        <f t="shared" si="105"/>
        <v/>
      </c>
      <c r="T1381" s="317" t="str">
        <f>GLOBAL_DER_FEV_2023!S1381</f>
        <v/>
      </c>
      <c r="W1381" s="582">
        <v>0</v>
      </c>
      <c r="X1381" s="580"/>
      <c r="Y1381" s="583">
        <f>IF(GLOBAL_DER_FEV_2023!W1381=0,0,IF(GLOBAL_DER_FEV_2023!W1381&gt;0,"c","b"))</f>
        <v>0</v>
      </c>
    </row>
    <row r="1382" spans="1:25" ht="23.25" hidden="1" thickBot="1" x14ac:dyDescent="0.25">
      <c r="A1382" s="317">
        <v>91996</v>
      </c>
      <c r="B1382" s="895">
        <v>91996</v>
      </c>
      <c r="C1382" s="896" t="s">
        <v>596</v>
      </c>
      <c r="D1382" s="906" t="s">
        <v>1308</v>
      </c>
      <c r="E1382" s="907">
        <f>GLOBAL_DER_FEV_2023!E1382</f>
        <v>0</v>
      </c>
      <c r="F1382" s="908">
        <f>GLOBAL_DER_FEV_2023!F1382</f>
        <v>0</v>
      </c>
      <c r="G1382" s="912">
        <f>GLOBAL_DER_FEV_2023!G1382</f>
        <v>0</v>
      </c>
      <c r="H1382" s="901">
        <f>GLOBAL_DER_FEV_2023!H1382</f>
        <v>36.81</v>
      </c>
      <c r="I1382" s="901">
        <f>GLOBAL_DER_FEV_2023!I1382</f>
        <v>36.81</v>
      </c>
      <c r="J1382" s="902">
        <f>GLOBAL_DER_FEV_2023!J1382</f>
        <v>44.2</v>
      </c>
      <c r="K1382" s="903" t="s">
        <v>1516</v>
      </c>
      <c r="L1382" s="1137"/>
      <c r="M1382" s="1138">
        <f t="shared" si="102"/>
        <v>0</v>
      </c>
      <c r="N1382" s="893">
        <f t="shared" si="106"/>
        <v>0</v>
      </c>
      <c r="O1382" s="905"/>
      <c r="Q1382" s="317" t="str">
        <f t="shared" si="103"/>
        <v/>
      </c>
      <c r="R1382" s="317" t="str">
        <f t="shared" si="104"/>
        <v/>
      </c>
      <c r="S1382" s="317" t="str">
        <f t="shared" si="105"/>
        <v/>
      </c>
      <c r="T1382" s="317" t="str">
        <f>GLOBAL_DER_FEV_2023!S1382</f>
        <v/>
      </c>
      <c r="W1382" s="582">
        <v>0</v>
      </c>
      <c r="X1382" s="580"/>
      <c r="Y1382" s="583">
        <f>IF(GLOBAL_DER_FEV_2023!W1382=0,0,IF(GLOBAL_DER_FEV_2023!W1382&gt;0,"c","b"))</f>
        <v>0</v>
      </c>
    </row>
    <row r="1383" spans="1:25" ht="23.25" hidden="1" thickBot="1" x14ac:dyDescent="0.25">
      <c r="A1383" s="317">
        <v>91997</v>
      </c>
      <c r="B1383" s="895">
        <v>91997</v>
      </c>
      <c r="C1383" s="896" t="s">
        <v>596</v>
      </c>
      <c r="D1383" s="906" t="s">
        <v>1309</v>
      </c>
      <c r="E1383" s="907">
        <f>GLOBAL_DER_FEV_2023!E1383</f>
        <v>0</v>
      </c>
      <c r="F1383" s="908">
        <f>GLOBAL_DER_FEV_2023!F1383</f>
        <v>0</v>
      </c>
      <c r="G1383" s="912">
        <f>GLOBAL_DER_FEV_2023!G1383</f>
        <v>0</v>
      </c>
      <c r="H1383" s="901">
        <f>GLOBAL_DER_FEV_2023!H1383</f>
        <v>39.36</v>
      </c>
      <c r="I1383" s="901">
        <f>GLOBAL_DER_FEV_2023!I1383</f>
        <v>39.36</v>
      </c>
      <c r="J1383" s="902">
        <f>GLOBAL_DER_FEV_2023!J1383</f>
        <v>47.26</v>
      </c>
      <c r="K1383" s="903" t="s">
        <v>1516</v>
      </c>
      <c r="L1383" s="1137"/>
      <c r="M1383" s="1138">
        <f t="shared" si="102"/>
        <v>0</v>
      </c>
      <c r="N1383" s="893">
        <f t="shared" si="106"/>
        <v>0</v>
      </c>
      <c r="O1383" s="905"/>
      <c r="Q1383" s="317" t="str">
        <f t="shared" si="103"/>
        <v/>
      </c>
      <c r="R1383" s="317" t="str">
        <f t="shared" si="104"/>
        <v/>
      </c>
      <c r="S1383" s="317" t="str">
        <f t="shared" si="105"/>
        <v/>
      </c>
      <c r="T1383" s="317" t="str">
        <f>GLOBAL_DER_FEV_2023!S1383</f>
        <v/>
      </c>
      <c r="W1383" s="582">
        <v>0</v>
      </c>
      <c r="X1383" s="580"/>
      <c r="Y1383" s="583">
        <f>IF(GLOBAL_DER_FEV_2023!W1383=0,0,IF(GLOBAL_DER_FEV_2023!W1383&gt;0,"c","b"))</f>
        <v>0</v>
      </c>
    </row>
    <row r="1384" spans="1:25" ht="23.25" hidden="1" thickBot="1" x14ac:dyDescent="0.25">
      <c r="A1384" s="317">
        <v>91998</v>
      </c>
      <c r="B1384" s="895">
        <v>91998</v>
      </c>
      <c r="C1384" s="896" t="s">
        <v>596</v>
      </c>
      <c r="D1384" s="906" t="s">
        <v>1310</v>
      </c>
      <c r="E1384" s="907">
        <f>GLOBAL_DER_FEV_2023!E1384</f>
        <v>0</v>
      </c>
      <c r="F1384" s="908">
        <f>GLOBAL_DER_FEV_2023!F1384</f>
        <v>0</v>
      </c>
      <c r="G1384" s="912">
        <f>GLOBAL_DER_FEV_2023!G1384</f>
        <v>0</v>
      </c>
      <c r="H1384" s="901">
        <f>GLOBAL_DER_FEV_2023!H1384</f>
        <v>23.2</v>
      </c>
      <c r="I1384" s="901">
        <f>GLOBAL_DER_FEV_2023!I1384</f>
        <v>23.2</v>
      </c>
      <c r="J1384" s="902">
        <f>GLOBAL_DER_FEV_2023!J1384</f>
        <v>27.86</v>
      </c>
      <c r="K1384" s="903" t="s">
        <v>1516</v>
      </c>
      <c r="L1384" s="1137"/>
      <c r="M1384" s="1138">
        <f t="shared" si="102"/>
        <v>0</v>
      </c>
      <c r="N1384" s="893">
        <f t="shared" si="106"/>
        <v>0</v>
      </c>
      <c r="O1384" s="905"/>
      <c r="Q1384" s="317" t="str">
        <f t="shared" si="103"/>
        <v/>
      </c>
      <c r="R1384" s="317" t="str">
        <f t="shared" si="104"/>
        <v/>
      </c>
      <c r="S1384" s="317" t="str">
        <f t="shared" si="105"/>
        <v/>
      </c>
      <c r="T1384" s="317" t="str">
        <f>GLOBAL_DER_FEV_2023!S1384</f>
        <v/>
      </c>
      <c r="W1384" s="582">
        <v>0</v>
      </c>
      <c r="X1384" s="580"/>
      <c r="Y1384" s="583">
        <f>IF(GLOBAL_DER_FEV_2023!W1384=0,0,IF(GLOBAL_DER_FEV_2023!W1384&gt;0,"c","b"))</f>
        <v>0</v>
      </c>
    </row>
    <row r="1385" spans="1:25" ht="23.25" hidden="1" thickBot="1" x14ac:dyDescent="0.25">
      <c r="A1385" s="317">
        <v>91999</v>
      </c>
      <c r="B1385" s="895">
        <v>91999</v>
      </c>
      <c r="C1385" s="896" t="s">
        <v>596</v>
      </c>
      <c r="D1385" s="906" t="s">
        <v>1311</v>
      </c>
      <c r="E1385" s="907">
        <f>GLOBAL_DER_FEV_2023!E1385</f>
        <v>0</v>
      </c>
      <c r="F1385" s="908">
        <f>GLOBAL_DER_FEV_2023!F1385</f>
        <v>0</v>
      </c>
      <c r="G1385" s="912">
        <f>GLOBAL_DER_FEV_2023!G1385</f>
        <v>0</v>
      </c>
      <c r="H1385" s="901">
        <f>GLOBAL_DER_FEV_2023!H1385</f>
        <v>25.75</v>
      </c>
      <c r="I1385" s="901">
        <f>GLOBAL_DER_FEV_2023!I1385</f>
        <v>25.75</v>
      </c>
      <c r="J1385" s="902">
        <f>GLOBAL_DER_FEV_2023!J1385</f>
        <v>30.92</v>
      </c>
      <c r="K1385" s="903" t="s">
        <v>1516</v>
      </c>
      <c r="L1385" s="1137"/>
      <c r="M1385" s="1138">
        <f t="shared" si="102"/>
        <v>0</v>
      </c>
      <c r="N1385" s="893">
        <f t="shared" si="106"/>
        <v>0</v>
      </c>
      <c r="O1385" s="905"/>
      <c r="Q1385" s="317" t="str">
        <f t="shared" si="103"/>
        <v/>
      </c>
      <c r="R1385" s="317" t="str">
        <f t="shared" si="104"/>
        <v/>
      </c>
      <c r="S1385" s="317" t="str">
        <f t="shared" si="105"/>
        <v/>
      </c>
      <c r="T1385" s="317" t="str">
        <f>GLOBAL_DER_FEV_2023!S1385</f>
        <v/>
      </c>
      <c r="W1385" s="582">
        <v>0</v>
      </c>
      <c r="X1385" s="580"/>
      <c r="Y1385" s="583">
        <f>IF(GLOBAL_DER_FEV_2023!W1385=0,0,IF(GLOBAL_DER_FEV_2023!W1385&gt;0,"c","b"))</f>
        <v>0</v>
      </c>
    </row>
    <row r="1386" spans="1:25" ht="23.25" hidden="1" thickBot="1" x14ac:dyDescent="0.25">
      <c r="A1386" s="317">
        <v>92000</v>
      </c>
      <c r="B1386" s="895">
        <v>92000</v>
      </c>
      <c r="C1386" s="896" t="s">
        <v>596</v>
      </c>
      <c r="D1386" s="906" t="s">
        <v>1312</v>
      </c>
      <c r="E1386" s="907">
        <f>GLOBAL_DER_FEV_2023!E1386</f>
        <v>0</v>
      </c>
      <c r="F1386" s="908">
        <f>GLOBAL_DER_FEV_2023!F1386</f>
        <v>0</v>
      </c>
      <c r="G1386" s="912">
        <f>GLOBAL_DER_FEV_2023!G1386</f>
        <v>0</v>
      </c>
      <c r="H1386" s="901">
        <f>GLOBAL_DER_FEV_2023!H1386</f>
        <v>32.43</v>
      </c>
      <c r="I1386" s="901">
        <f>GLOBAL_DER_FEV_2023!I1386</f>
        <v>32.43</v>
      </c>
      <c r="J1386" s="902">
        <f>GLOBAL_DER_FEV_2023!J1386</f>
        <v>38.94</v>
      </c>
      <c r="K1386" s="903" t="s">
        <v>1516</v>
      </c>
      <c r="L1386" s="1137"/>
      <c r="M1386" s="1138">
        <f t="shared" si="102"/>
        <v>0</v>
      </c>
      <c r="N1386" s="893">
        <f t="shared" si="106"/>
        <v>0</v>
      </c>
      <c r="O1386" s="905"/>
      <c r="Q1386" s="317" t="str">
        <f t="shared" si="103"/>
        <v/>
      </c>
      <c r="R1386" s="317" t="str">
        <f t="shared" si="104"/>
        <v/>
      </c>
      <c r="S1386" s="317" t="str">
        <f t="shared" si="105"/>
        <v/>
      </c>
      <c r="T1386" s="317" t="str">
        <f>GLOBAL_DER_FEV_2023!S1386</f>
        <v/>
      </c>
      <c r="W1386" s="582">
        <v>0</v>
      </c>
      <c r="X1386" s="580"/>
      <c r="Y1386" s="583">
        <f>IF(GLOBAL_DER_FEV_2023!W1386=0,0,IF(GLOBAL_DER_FEV_2023!W1386&gt;0,"c","b"))</f>
        <v>0</v>
      </c>
    </row>
    <row r="1387" spans="1:25" ht="23.25" hidden="1" thickBot="1" x14ac:dyDescent="0.25">
      <c r="A1387" s="317">
        <v>92001</v>
      </c>
      <c r="B1387" s="895">
        <v>92001</v>
      </c>
      <c r="C1387" s="896" t="s">
        <v>596</v>
      </c>
      <c r="D1387" s="906" t="s">
        <v>1313</v>
      </c>
      <c r="E1387" s="907">
        <f>GLOBAL_DER_FEV_2023!E1387</f>
        <v>0</v>
      </c>
      <c r="F1387" s="908">
        <f>GLOBAL_DER_FEV_2023!F1387</f>
        <v>0</v>
      </c>
      <c r="G1387" s="912">
        <f>GLOBAL_DER_FEV_2023!G1387</f>
        <v>0</v>
      </c>
      <c r="H1387" s="901">
        <f>GLOBAL_DER_FEV_2023!H1387</f>
        <v>34.979999999999997</v>
      </c>
      <c r="I1387" s="901">
        <f>GLOBAL_DER_FEV_2023!I1387</f>
        <v>34.979999999999997</v>
      </c>
      <c r="J1387" s="902">
        <f>GLOBAL_DER_FEV_2023!J1387</f>
        <v>42</v>
      </c>
      <c r="K1387" s="903" t="s">
        <v>1516</v>
      </c>
      <c r="L1387" s="1137"/>
      <c r="M1387" s="1138">
        <f t="shared" si="102"/>
        <v>0</v>
      </c>
      <c r="N1387" s="893">
        <f t="shared" si="106"/>
        <v>0</v>
      </c>
      <c r="O1387" s="905"/>
      <c r="Q1387" s="317" t="str">
        <f t="shared" si="103"/>
        <v/>
      </c>
      <c r="R1387" s="317" t="str">
        <f t="shared" si="104"/>
        <v/>
      </c>
      <c r="S1387" s="317" t="str">
        <f t="shared" si="105"/>
        <v/>
      </c>
      <c r="T1387" s="317" t="str">
        <f>GLOBAL_DER_FEV_2023!S1387</f>
        <v/>
      </c>
      <c r="W1387" s="582">
        <v>0</v>
      </c>
      <c r="X1387" s="580"/>
      <c r="Y1387" s="583">
        <f>IF(GLOBAL_DER_FEV_2023!W1387=0,0,IF(GLOBAL_DER_FEV_2023!W1387&gt;0,"c","b"))</f>
        <v>0</v>
      </c>
    </row>
    <row r="1388" spans="1:25" ht="23.25" hidden="1" thickBot="1" x14ac:dyDescent="0.25">
      <c r="A1388" s="317">
        <v>92002</v>
      </c>
      <c r="B1388" s="895">
        <v>92002</v>
      </c>
      <c r="C1388" s="896" t="s">
        <v>596</v>
      </c>
      <c r="D1388" s="906" t="s">
        <v>1314</v>
      </c>
      <c r="E1388" s="907">
        <f>GLOBAL_DER_FEV_2023!E1388</f>
        <v>0</v>
      </c>
      <c r="F1388" s="908">
        <f>GLOBAL_DER_FEV_2023!F1388</f>
        <v>0</v>
      </c>
      <c r="G1388" s="912">
        <f>GLOBAL_DER_FEV_2023!G1388</f>
        <v>0</v>
      </c>
      <c r="H1388" s="901">
        <f>GLOBAL_DER_FEV_2023!H1388</f>
        <v>51.51</v>
      </c>
      <c r="I1388" s="901">
        <f>GLOBAL_DER_FEV_2023!I1388</f>
        <v>51.51</v>
      </c>
      <c r="J1388" s="902">
        <f>GLOBAL_DER_FEV_2023!J1388</f>
        <v>61.85</v>
      </c>
      <c r="K1388" s="903" t="s">
        <v>1516</v>
      </c>
      <c r="L1388" s="1137"/>
      <c r="M1388" s="1138">
        <f t="shared" si="102"/>
        <v>0</v>
      </c>
      <c r="N1388" s="893">
        <f t="shared" si="106"/>
        <v>0</v>
      </c>
      <c r="O1388" s="905"/>
      <c r="Q1388" s="317" t="str">
        <f t="shared" si="103"/>
        <v/>
      </c>
      <c r="R1388" s="317" t="str">
        <f t="shared" si="104"/>
        <v/>
      </c>
      <c r="S1388" s="317" t="str">
        <f t="shared" si="105"/>
        <v/>
      </c>
      <c r="T1388" s="317" t="str">
        <f>GLOBAL_DER_FEV_2023!S1388</f>
        <v/>
      </c>
      <c r="W1388" s="582">
        <v>0</v>
      </c>
      <c r="X1388" s="580"/>
      <c r="Y1388" s="583">
        <f>IF(GLOBAL_DER_FEV_2023!W1388=0,0,IF(GLOBAL_DER_FEV_2023!W1388&gt;0,"c","b"))</f>
        <v>0</v>
      </c>
    </row>
    <row r="1389" spans="1:25" ht="23.25" hidden="1" thickBot="1" x14ac:dyDescent="0.25">
      <c r="A1389" s="317">
        <v>92003</v>
      </c>
      <c r="B1389" s="895">
        <v>92003</v>
      </c>
      <c r="C1389" s="896" t="s">
        <v>596</v>
      </c>
      <c r="D1389" s="906" t="s">
        <v>1315</v>
      </c>
      <c r="E1389" s="907">
        <f>GLOBAL_DER_FEV_2023!E1389</f>
        <v>0</v>
      </c>
      <c r="F1389" s="908">
        <f>GLOBAL_DER_FEV_2023!F1389</f>
        <v>0</v>
      </c>
      <c r="G1389" s="912">
        <f>GLOBAL_DER_FEV_2023!G1389</f>
        <v>0</v>
      </c>
      <c r="H1389" s="901">
        <f>GLOBAL_DER_FEV_2023!H1389</f>
        <v>56.61</v>
      </c>
      <c r="I1389" s="901">
        <f>GLOBAL_DER_FEV_2023!I1389</f>
        <v>56.61</v>
      </c>
      <c r="J1389" s="902">
        <f>GLOBAL_DER_FEV_2023!J1389</f>
        <v>67.97</v>
      </c>
      <c r="K1389" s="903" t="s">
        <v>1516</v>
      </c>
      <c r="L1389" s="1137"/>
      <c r="M1389" s="1138">
        <f t="shared" si="102"/>
        <v>0</v>
      </c>
      <c r="N1389" s="893">
        <f t="shared" si="106"/>
        <v>0</v>
      </c>
      <c r="O1389" s="905"/>
      <c r="Q1389" s="317" t="str">
        <f t="shared" si="103"/>
        <v/>
      </c>
      <c r="R1389" s="317" t="str">
        <f t="shared" si="104"/>
        <v/>
      </c>
      <c r="S1389" s="317" t="str">
        <f t="shared" si="105"/>
        <v/>
      </c>
      <c r="T1389" s="317" t="str">
        <f>GLOBAL_DER_FEV_2023!S1389</f>
        <v/>
      </c>
      <c r="W1389" s="582">
        <v>0</v>
      </c>
      <c r="X1389" s="580"/>
      <c r="Y1389" s="583">
        <f>IF(GLOBAL_DER_FEV_2023!W1389=0,0,IF(GLOBAL_DER_FEV_2023!W1389&gt;0,"c","b"))</f>
        <v>0</v>
      </c>
    </row>
    <row r="1390" spans="1:25" ht="23.25" hidden="1" thickBot="1" x14ac:dyDescent="0.25">
      <c r="A1390" s="317">
        <v>92004</v>
      </c>
      <c r="B1390" s="895">
        <v>92004</v>
      </c>
      <c r="C1390" s="896" t="s">
        <v>596</v>
      </c>
      <c r="D1390" s="906" t="s">
        <v>1316</v>
      </c>
      <c r="E1390" s="907">
        <f>GLOBAL_DER_FEV_2023!E1390</f>
        <v>0</v>
      </c>
      <c r="F1390" s="908">
        <f>GLOBAL_DER_FEV_2023!F1390</f>
        <v>0</v>
      </c>
      <c r="G1390" s="912">
        <f>GLOBAL_DER_FEV_2023!G1390</f>
        <v>0</v>
      </c>
      <c r="H1390" s="901">
        <f>GLOBAL_DER_FEV_2023!H1390</f>
        <v>60.74</v>
      </c>
      <c r="I1390" s="901">
        <f>GLOBAL_DER_FEV_2023!I1390</f>
        <v>60.74</v>
      </c>
      <c r="J1390" s="902">
        <f>GLOBAL_DER_FEV_2023!J1390</f>
        <v>72.930000000000007</v>
      </c>
      <c r="K1390" s="903" t="s">
        <v>1516</v>
      </c>
      <c r="L1390" s="1137"/>
      <c r="M1390" s="1138">
        <f t="shared" si="102"/>
        <v>0</v>
      </c>
      <c r="N1390" s="893">
        <f t="shared" si="106"/>
        <v>0</v>
      </c>
      <c r="O1390" s="905"/>
      <c r="Q1390" s="317" t="str">
        <f t="shared" si="103"/>
        <v/>
      </c>
      <c r="R1390" s="317" t="str">
        <f t="shared" si="104"/>
        <v/>
      </c>
      <c r="S1390" s="317" t="str">
        <f t="shared" si="105"/>
        <v/>
      </c>
      <c r="T1390" s="317" t="str">
        <f>GLOBAL_DER_FEV_2023!S1390</f>
        <v/>
      </c>
      <c r="W1390" s="582">
        <v>0</v>
      </c>
      <c r="X1390" s="580"/>
      <c r="Y1390" s="583">
        <f>IF(GLOBAL_DER_FEV_2023!W1390=0,0,IF(GLOBAL_DER_FEV_2023!W1390&gt;0,"c","b"))</f>
        <v>0</v>
      </c>
    </row>
    <row r="1391" spans="1:25" ht="23.25" hidden="1" thickBot="1" x14ac:dyDescent="0.25">
      <c r="A1391" s="317">
        <v>92005</v>
      </c>
      <c r="B1391" s="895">
        <v>92005</v>
      </c>
      <c r="C1391" s="896" t="s">
        <v>596</v>
      </c>
      <c r="D1391" s="906" t="s">
        <v>1317</v>
      </c>
      <c r="E1391" s="907">
        <f>GLOBAL_DER_FEV_2023!E1391</f>
        <v>0</v>
      </c>
      <c r="F1391" s="908">
        <f>GLOBAL_DER_FEV_2023!F1391</f>
        <v>0</v>
      </c>
      <c r="G1391" s="912">
        <f>GLOBAL_DER_FEV_2023!G1391</f>
        <v>0</v>
      </c>
      <c r="H1391" s="901">
        <f>GLOBAL_DER_FEV_2023!H1391</f>
        <v>65.84</v>
      </c>
      <c r="I1391" s="901">
        <f>GLOBAL_DER_FEV_2023!I1391</f>
        <v>65.84</v>
      </c>
      <c r="J1391" s="902">
        <f>GLOBAL_DER_FEV_2023!J1391</f>
        <v>79.05</v>
      </c>
      <c r="K1391" s="903" t="s">
        <v>1516</v>
      </c>
      <c r="L1391" s="1137"/>
      <c r="M1391" s="1138">
        <f t="shared" si="102"/>
        <v>0</v>
      </c>
      <c r="N1391" s="893">
        <f t="shared" si="106"/>
        <v>0</v>
      </c>
      <c r="O1391" s="905"/>
      <c r="Q1391" s="317" t="str">
        <f t="shared" si="103"/>
        <v/>
      </c>
      <c r="R1391" s="317" t="str">
        <f t="shared" si="104"/>
        <v/>
      </c>
      <c r="S1391" s="317" t="str">
        <f t="shared" si="105"/>
        <v/>
      </c>
      <c r="T1391" s="317" t="str">
        <f>GLOBAL_DER_FEV_2023!S1391</f>
        <v/>
      </c>
      <c r="W1391" s="582">
        <v>0</v>
      </c>
      <c r="X1391" s="580"/>
      <c r="Y1391" s="583">
        <f>IF(GLOBAL_DER_FEV_2023!W1391=0,0,IF(GLOBAL_DER_FEV_2023!W1391&gt;0,"c","b"))</f>
        <v>0</v>
      </c>
    </row>
    <row r="1392" spans="1:25" ht="23.25" hidden="1" thickBot="1" x14ac:dyDescent="0.25">
      <c r="A1392" s="317">
        <v>92006</v>
      </c>
      <c r="B1392" s="895">
        <v>92006</v>
      </c>
      <c r="C1392" s="896" t="s">
        <v>596</v>
      </c>
      <c r="D1392" s="906" t="s">
        <v>1318</v>
      </c>
      <c r="E1392" s="907">
        <f>GLOBAL_DER_FEV_2023!E1392</f>
        <v>0</v>
      </c>
      <c r="F1392" s="908">
        <f>GLOBAL_DER_FEV_2023!F1392</f>
        <v>0</v>
      </c>
      <c r="G1392" s="912">
        <f>GLOBAL_DER_FEV_2023!G1392</f>
        <v>0</v>
      </c>
      <c r="H1392" s="901">
        <f>GLOBAL_DER_FEV_2023!H1392</f>
        <v>42.75</v>
      </c>
      <c r="I1392" s="901">
        <f>GLOBAL_DER_FEV_2023!I1392</f>
        <v>42.75</v>
      </c>
      <c r="J1392" s="902">
        <f>GLOBAL_DER_FEV_2023!J1392</f>
        <v>51.33</v>
      </c>
      <c r="K1392" s="903" t="s">
        <v>1516</v>
      </c>
      <c r="L1392" s="1137"/>
      <c r="M1392" s="1138">
        <f t="shared" si="102"/>
        <v>0</v>
      </c>
      <c r="N1392" s="893">
        <f t="shared" si="106"/>
        <v>0</v>
      </c>
      <c r="O1392" s="905"/>
      <c r="Q1392" s="317" t="str">
        <f t="shared" si="103"/>
        <v/>
      </c>
      <c r="R1392" s="317" t="str">
        <f t="shared" si="104"/>
        <v/>
      </c>
      <c r="S1392" s="317" t="str">
        <f t="shared" si="105"/>
        <v/>
      </c>
      <c r="T1392" s="317" t="str">
        <f>GLOBAL_DER_FEV_2023!S1392</f>
        <v/>
      </c>
      <c r="W1392" s="582">
        <v>0</v>
      </c>
      <c r="X1392" s="580"/>
      <c r="Y1392" s="583">
        <f>IF(GLOBAL_DER_FEV_2023!W1392=0,0,IF(GLOBAL_DER_FEV_2023!W1392&gt;0,"c","b"))</f>
        <v>0</v>
      </c>
    </row>
    <row r="1393" spans="1:25" ht="23.25" hidden="1" thickBot="1" x14ac:dyDescent="0.25">
      <c r="A1393" s="317">
        <v>92007</v>
      </c>
      <c r="B1393" s="895">
        <v>92007</v>
      </c>
      <c r="C1393" s="896" t="s">
        <v>596</v>
      </c>
      <c r="D1393" s="906" t="s">
        <v>1319</v>
      </c>
      <c r="E1393" s="907">
        <f>GLOBAL_DER_FEV_2023!E1393</f>
        <v>0</v>
      </c>
      <c r="F1393" s="908">
        <f>GLOBAL_DER_FEV_2023!F1393</f>
        <v>0</v>
      </c>
      <c r="G1393" s="912">
        <f>GLOBAL_DER_FEV_2023!G1393</f>
        <v>0</v>
      </c>
      <c r="H1393" s="901">
        <f>GLOBAL_DER_FEV_2023!H1393</f>
        <v>47.85</v>
      </c>
      <c r="I1393" s="901">
        <f>GLOBAL_DER_FEV_2023!I1393</f>
        <v>47.85</v>
      </c>
      <c r="J1393" s="902">
        <f>GLOBAL_DER_FEV_2023!J1393</f>
        <v>57.45</v>
      </c>
      <c r="K1393" s="903" t="s">
        <v>1516</v>
      </c>
      <c r="L1393" s="1137"/>
      <c r="M1393" s="1138">
        <f t="shared" si="102"/>
        <v>0</v>
      </c>
      <c r="N1393" s="893">
        <f t="shared" si="106"/>
        <v>0</v>
      </c>
      <c r="O1393" s="905"/>
      <c r="Q1393" s="317" t="str">
        <f t="shared" si="103"/>
        <v/>
      </c>
      <c r="R1393" s="317" t="str">
        <f t="shared" si="104"/>
        <v/>
      </c>
      <c r="S1393" s="317" t="str">
        <f t="shared" si="105"/>
        <v/>
      </c>
      <c r="T1393" s="317" t="str">
        <f>GLOBAL_DER_FEV_2023!S1393</f>
        <v/>
      </c>
      <c r="W1393" s="582">
        <v>0</v>
      </c>
      <c r="X1393" s="580"/>
      <c r="Y1393" s="583">
        <f>IF(GLOBAL_DER_FEV_2023!W1393=0,0,IF(GLOBAL_DER_FEV_2023!W1393&gt;0,"c","b"))</f>
        <v>0</v>
      </c>
    </row>
    <row r="1394" spans="1:25" ht="23.25" hidden="1" thickBot="1" x14ac:dyDescent="0.25">
      <c r="A1394" s="317">
        <v>92008</v>
      </c>
      <c r="B1394" s="895">
        <v>92008</v>
      </c>
      <c r="C1394" s="896" t="s">
        <v>596</v>
      </c>
      <c r="D1394" s="906" t="s">
        <v>1320</v>
      </c>
      <c r="E1394" s="907">
        <f>GLOBAL_DER_FEV_2023!E1394</f>
        <v>0</v>
      </c>
      <c r="F1394" s="908">
        <f>GLOBAL_DER_FEV_2023!F1394</f>
        <v>0</v>
      </c>
      <c r="G1394" s="912">
        <f>GLOBAL_DER_FEV_2023!G1394</f>
        <v>0</v>
      </c>
      <c r="H1394" s="901">
        <f>GLOBAL_DER_FEV_2023!H1394</f>
        <v>51.98</v>
      </c>
      <c r="I1394" s="901">
        <f>GLOBAL_DER_FEV_2023!I1394</f>
        <v>51.98</v>
      </c>
      <c r="J1394" s="902">
        <f>GLOBAL_DER_FEV_2023!J1394</f>
        <v>62.41</v>
      </c>
      <c r="K1394" s="903" t="s">
        <v>1516</v>
      </c>
      <c r="L1394" s="1137"/>
      <c r="M1394" s="1138">
        <f t="shared" si="102"/>
        <v>0</v>
      </c>
      <c r="N1394" s="893">
        <f t="shared" si="106"/>
        <v>0</v>
      </c>
      <c r="O1394" s="905"/>
      <c r="Q1394" s="317" t="str">
        <f t="shared" si="103"/>
        <v/>
      </c>
      <c r="R1394" s="317" t="str">
        <f t="shared" si="104"/>
        <v/>
      </c>
      <c r="S1394" s="317" t="str">
        <f t="shared" si="105"/>
        <v/>
      </c>
      <c r="T1394" s="317" t="str">
        <f>GLOBAL_DER_FEV_2023!S1394</f>
        <v/>
      </c>
      <c r="W1394" s="582">
        <v>0</v>
      </c>
      <c r="X1394" s="580"/>
      <c r="Y1394" s="583">
        <f>IF(GLOBAL_DER_FEV_2023!W1394=0,0,IF(GLOBAL_DER_FEV_2023!W1394&gt;0,"c","b"))</f>
        <v>0</v>
      </c>
    </row>
    <row r="1395" spans="1:25" ht="23.25" hidden="1" thickBot="1" x14ac:dyDescent="0.25">
      <c r="A1395" s="317">
        <v>92009</v>
      </c>
      <c r="B1395" s="895">
        <v>92009</v>
      </c>
      <c r="C1395" s="896" t="s">
        <v>596</v>
      </c>
      <c r="D1395" s="906" t="s">
        <v>1321</v>
      </c>
      <c r="E1395" s="907">
        <f>GLOBAL_DER_FEV_2023!E1395</f>
        <v>0</v>
      </c>
      <c r="F1395" s="908">
        <f>GLOBAL_DER_FEV_2023!F1395</f>
        <v>0</v>
      </c>
      <c r="G1395" s="912">
        <f>GLOBAL_DER_FEV_2023!G1395</f>
        <v>0</v>
      </c>
      <c r="H1395" s="901">
        <f>GLOBAL_DER_FEV_2023!H1395</f>
        <v>57.08</v>
      </c>
      <c r="I1395" s="901">
        <f>GLOBAL_DER_FEV_2023!I1395</f>
        <v>57.08</v>
      </c>
      <c r="J1395" s="902">
        <f>GLOBAL_DER_FEV_2023!J1395</f>
        <v>68.540000000000006</v>
      </c>
      <c r="K1395" s="903" t="s">
        <v>1516</v>
      </c>
      <c r="L1395" s="1137"/>
      <c r="M1395" s="1138">
        <f t="shared" si="102"/>
        <v>0</v>
      </c>
      <c r="N1395" s="893">
        <f t="shared" si="106"/>
        <v>0</v>
      </c>
      <c r="O1395" s="905"/>
      <c r="Q1395" s="317" t="str">
        <f t="shared" si="103"/>
        <v/>
      </c>
      <c r="R1395" s="317" t="str">
        <f t="shared" si="104"/>
        <v/>
      </c>
      <c r="S1395" s="317" t="str">
        <f t="shared" si="105"/>
        <v/>
      </c>
      <c r="T1395" s="317" t="str">
        <f>GLOBAL_DER_FEV_2023!S1395</f>
        <v/>
      </c>
      <c r="W1395" s="582">
        <v>0</v>
      </c>
      <c r="X1395" s="580"/>
      <c r="Y1395" s="583">
        <f>IF(GLOBAL_DER_FEV_2023!W1395=0,0,IF(GLOBAL_DER_FEV_2023!W1395&gt;0,"c","b"))</f>
        <v>0</v>
      </c>
    </row>
    <row r="1396" spans="1:25" ht="23.25" hidden="1" thickBot="1" x14ac:dyDescent="0.25">
      <c r="A1396" s="317">
        <v>92010</v>
      </c>
      <c r="B1396" s="895">
        <v>92010</v>
      </c>
      <c r="C1396" s="896" t="s">
        <v>596</v>
      </c>
      <c r="D1396" s="906" t="s">
        <v>1322</v>
      </c>
      <c r="E1396" s="907">
        <f>GLOBAL_DER_FEV_2023!E1396</f>
        <v>0</v>
      </c>
      <c r="F1396" s="908">
        <f>GLOBAL_DER_FEV_2023!F1396</f>
        <v>0</v>
      </c>
      <c r="G1396" s="912">
        <f>GLOBAL_DER_FEV_2023!G1396</f>
        <v>0</v>
      </c>
      <c r="H1396" s="901">
        <f>GLOBAL_DER_FEV_2023!H1396</f>
        <v>75.45</v>
      </c>
      <c r="I1396" s="901">
        <f>GLOBAL_DER_FEV_2023!I1396</f>
        <v>75.45</v>
      </c>
      <c r="J1396" s="902">
        <f>GLOBAL_DER_FEV_2023!J1396</f>
        <v>90.59</v>
      </c>
      <c r="K1396" s="903" t="s">
        <v>1516</v>
      </c>
      <c r="L1396" s="1137"/>
      <c r="M1396" s="1138">
        <f t="shared" si="102"/>
        <v>0</v>
      </c>
      <c r="N1396" s="893">
        <f t="shared" si="106"/>
        <v>0</v>
      </c>
      <c r="O1396" s="905"/>
      <c r="Q1396" s="317" t="str">
        <f t="shared" si="103"/>
        <v/>
      </c>
      <c r="R1396" s="317" t="str">
        <f t="shared" si="104"/>
        <v/>
      </c>
      <c r="S1396" s="317" t="str">
        <f t="shared" si="105"/>
        <v/>
      </c>
      <c r="T1396" s="317" t="str">
        <f>GLOBAL_DER_FEV_2023!S1396</f>
        <v/>
      </c>
      <c r="W1396" s="582">
        <v>0</v>
      </c>
      <c r="X1396" s="580"/>
      <c r="Y1396" s="583">
        <f>IF(GLOBAL_DER_FEV_2023!W1396=0,0,IF(GLOBAL_DER_FEV_2023!W1396&gt;0,"c","b"))</f>
        <v>0</v>
      </c>
    </row>
    <row r="1397" spans="1:25" ht="23.25" hidden="1" thickBot="1" x14ac:dyDescent="0.25">
      <c r="A1397" s="317">
        <v>92011</v>
      </c>
      <c r="B1397" s="895">
        <v>92011</v>
      </c>
      <c r="C1397" s="896" t="s">
        <v>596</v>
      </c>
      <c r="D1397" s="906" t="s">
        <v>1323</v>
      </c>
      <c r="E1397" s="907">
        <f>GLOBAL_DER_FEV_2023!E1397</f>
        <v>0</v>
      </c>
      <c r="F1397" s="908">
        <f>GLOBAL_DER_FEV_2023!F1397</f>
        <v>0</v>
      </c>
      <c r="G1397" s="912">
        <f>GLOBAL_DER_FEV_2023!G1397</f>
        <v>0</v>
      </c>
      <c r="H1397" s="901">
        <f>GLOBAL_DER_FEV_2023!H1397</f>
        <v>83.1</v>
      </c>
      <c r="I1397" s="901">
        <f>GLOBAL_DER_FEV_2023!I1397</f>
        <v>83.1</v>
      </c>
      <c r="J1397" s="902">
        <f>GLOBAL_DER_FEV_2023!J1397</f>
        <v>99.78</v>
      </c>
      <c r="K1397" s="903" t="s">
        <v>1516</v>
      </c>
      <c r="L1397" s="1137"/>
      <c r="M1397" s="1138">
        <f t="shared" si="102"/>
        <v>0</v>
      </c>
      <c r="N1397" s="893">
        <f t="shared" si="106"/>
        <v>0</v>
      </c>
      <c r="O1397" s="905"/>
      <c r="Q1397" s="317" t="str">
        <f t="shared" si="103"/>
        <v/>
      </c>
      <c r="R1397" s="317" t="str">
        <f t="shared" si="104"/>
        <v/>
      </c>
      <c r="S1397" s="317" t="str">
        <f t="shared" si="105"/>
        <v/>
      </c>
      <c r="T1397" s="317" t="str">
        <f>GLOBAL_DER_FEV_2023!S1397</f>
        <v/>
      </c>
      <c r="W1397" s="582">
        <v>0</v>
      </c>
      <c r="X1397" s="580"/>
      <c r="Y1397" s="583">
        <f>IF(GLOBAL_DER_FEV_2023!W1397=0,0,IF(GLOBAL_DER_FEV_2023!W1397&gt;0,"c","b"))</f>
        <v>0</v>
      </c>
    </row>
    <row r="1398" spans="1:25" ht="23.25" hidden="1" thickBot="1" x14ac:dyDescent="0.25">
      <c r="A1398" s="317">
        <v>92012</v>
      </c>
      <c r="B1398" s="895">
        <v>92012</v>
      </c>
      <c r="C1398" s="896" t="s">
        <v>596</v>
      </c>
      <c r="D1398" s="906" t="s">
        <v>1324</v>
      </c>
      <c r="E1398" s="907">
        <f>GLOBAL_DER_FEV_2023!E1398</f>
        <v>0</v>
      </c>
      <c r="F1398" s="908">
        <f>GLOBAL_DER_FEV_2023!F1398</f>
        <v>0</v>
      </c>
      <c r="G1398" s="912">
        <f>GLOBAL_DER_FEV_2023!G1398</f>
        <v>0</v>
      </c>
      <c r="H1398" s="901">
        <f>GLOBAL_DER_FEV_2023!H1398</f>
        <v>84.68</v>
      </c>
      <c r="I1398" s="901">
        <f>GLOBAL_DER_FEV_2023!I1398</f>
        <v>84.68</v>
      </c>
      <c r="J1398" s="902">
        <f>GLOBAL_DER_FEV_2023!J1398</f>
        <v>101.68</v>
      </c>
      <c r="K1398" s="903" t="s">
        <v>1516</v>
      </c>
      <c r="L1398" s="1137"/>
      <c r="M1398" s="1138">
        <f t="shared" si="102"/>
        <v>0</v>
      </c>
      <c r="N1398" s="893">
        <f t="shared" si="106"/>
        <v>0</v>
      </c>
      <c r="O1398" s="905"/>
      <c r="Q1398" s="317" t="str">
        <f t="shared" si="103"/>
        <v/>
      </c>
      <c r="R1398" s="317" t="str">
        <f t="shared" si="104"/>
        <v/>
      </c>
      <c r="S1398" s="317" t="str">
        <f t="shared" si="105"/>
        <v/>
      </c>
      <c r="T1398" s="317" t="str">
        <f>GLOBAL_DER_FEV_2023!S1398</f>
        <v/>
      </c>
      <c r="W1398" s="582">
        <v>0</v>
      </c>
      <c r="X1398" s="580"/>
      <c r="Y1398" s="583">
        <f>IF(GLOBAL_DER_FEV_2023!W1398=0,0,IF(GLOBAL_DER_FEV_2023!W1398&gt;0,"c","b"))</f>
        <v>0</v>
      </c>
    </row>
    <row r="1399" spans="1:25" ht="23.25" hidden="1" thickBot="1" x14ac:dyDescent="0.25">
      <c r="A1399" s="317">
        <v>92013</v>
      </c>
      <c r="B1399" s="895">
        <v>92013</v>
      </c>
      <c r="C1399" s="896" t="s">
        <v>596</v>
      </c>
      <c r="D1399" s="906" t="s">
        <v>1325</v>
      </c>
      <c r="E1399" s="907">
        <f>GLOBAL_DER_FEV_2023!E1399</f>
        <v>0</v>
      </c>
      <c r="F1399" s="908">
        <f>GLOBAL_DER_FEV_2023!F1399</f>
        <v>0</v>
      </c>
      <c r="G1399" s="912">
        <f>GLOBAL_DER_FEV_2023!G1399</f>
        <v>0</v>
      </c>
      <c r="H1399" s="901">
        <f>GLOBAL_DER_FEV_2023!H1399</f>
        <v>92.33</v>
      </c>
      <c r="I1399" s="901">
        <f>GLOBAL_DER_FEV_2023!I1399</f>
        <v>92.33</v>
      </c>
      <c r="J1399" s="902">
        <f>GLOBAL_DER_FEV_2023!J1399</f>
        <v>110.86</v>
      </c>
      <c r="K1399" s="903" t="s">
        <v>1516</v>
      </c>
      <c r="L1399" s="1137"/>
      <c r="M1399" s="1138">
        <f t="shared" si="102"/>
        <v>0</v>
      </c>
      <c r="N1399" s="893">
        <f t="shared" si="106"/>
        <v>0</v>
      </c>
      <c r="O1399" s="905"/>
      <c r="Q1399" s="317" t="str">
        <f t="shared" si="103"/>
        <v/>
      </c>
      <c r="R1399" s="317" t="str">
        <f t="shared" si="104"/>
        <v/>
      </c>
      <c r="S1399" s="317" t="str">
        <f t="shared" si="105"/>
        <v/>
      </c>
      <c r="T1399" s="317" t="str">
        <f>GLOBAL_DER_FEV_2023!S1399</f>
        <v/>
      </c>
      <c r="W1399" s="582">
        <v>0</v>
      </c>
      <c r="X1399" s="580"/>
      <c r="Y1399" s="583">
        <f>IF(GLOBAL_DER_FEV_2023!W1399=0,0,IF(GLOBAL_DER_FEV_2023!W1399&gt;0,"c","b"))</f>
        <v>0</v>
      </c>
    </row>
    <row r="1400" spans="1:25" ht="23.25" hidden="1" thickBot="1" x14ac:dyDescent="0.25">
      <c r="A1400" s="317">
        <v>92014</v>
      </c>
      <c r="B1400" s="895">
        <v>92014</v>
      </c>
      <c r="C1400" s="896" t="s">
        <v>596</v>
      </c>
      <c r="D1400" s="906" t="s">
        <v>1326</v>
      </c>
      <c r="E1400" s="907">
        <f>GLOBAL_DER_FEV_2023!E1400</f>
        <v>0</v>
      </c>
      <c r="F1400" s="908">
        <f>GLOBAL_DER_FEV_2023!F1400</f>
        <v>0</v>
      </c>
      <c r="G1400" s="912">
        <f>GLOBAL_DER_FEV_2023!G1400</f>
        <v>0</v>
      </c>
      <c r="H1400" s="901">
        <f>GLOBAL_DER_FEV_2023!H1400</f>
        <v>62.3</v>
      </c>
      <c r="I1400" s="901">
        <f>GLOBAL_DER_FEV_2023!I1400</f>
        <v>62.3</v>
      </c>
      <c r="J1400" s="902">
        <f>GLOBAL_DER_FEV_2023!J1400</f>
        <v>74.8</v>
      </c>
      <c r="K1400" s="903" t="s">
        <v>1516</v>
      </c>
      <c r="L1400" s="1137"/>
      <c r="M1400" s="1138">
        <f t="shared" si="102"/>
        <v>0</v>
      </c>
      <c r="N1400" s="893">
        <f t="shared" si="106"/>
        <v>0</v>
      </c>
      <c r="O1400" s="905"/>
      <c r="Q1400" s="317" t="str">
        <f t="shared" si="103"/>
        <v/>
      </c>
      <c r="R1400" s="317" t="str">
        <f t="shared" si="104"/>
        <v/>
      </c>
      <c r="S1400" s="317" t="str">
        <f t="shared" si="105"/>
        <v/>
      </c>
      <c r="T1400" s="317" t="str">
        <f>GLOBAL_DER_FEV_2023!S1400</f>
        <v/>
      </c>
      <c r="W1400" s="582">
        <v>0</v>
      </c>
      <c r="X1400" s="580"/>
      <c r="Y1400" s="583">
        <f>IF(GLOBAL_DER_FEV_2023!W1400=0,0,IF(GLOBAL_DER_FEV_2023!W1400&gt;0,"c","b"))</f>
        <v>0</v>
      </c>
    </row>
    <row r="1401" spans="1:25" ht="23.25" hidden="1" thickBot="1" x14ac:dyDescent="0.25">
      <c r="A1401" s="317">
        <v>92015</v>
      </c>
      <c r="B1401" s="895">
        <v>92015</v>
      </c>
      <c r="C1401" s="896" t="s">
        <v>596</v>
      </c>
      <c r="D1401" s="906" t="s">
        <v>1327</v>
      </c>
      <c r="E1401" s="907">
        <f>GLOBAL_DER_FEV_2023!E1401</f>
        <v>0</v>
      </c>
      <c r="F1401" s="908">
        <f>GLOBAL_DER_FEV_2023!F1401</f>
        <v>0</v>
      </c>
      <c r="G1401" s="912">
        <f>GLOBAL_DER_FEV_2023!G1401</f>
        <v>0</v>
      </c>
      <c r="H1401" s="901">
        <f>GLOBAL_DER_FEV_2023!H1401</f>
        <v>69.95</v>
      </c>
      <c r="I1401" s="901">
        <f>GLOBAL_DER_FEV_2023!I1401</f>
        <v>69.95</v>
      </c>
      <c r="J1401" s="902">
        <f>GLOBAL_DER_FEV_2023!J1401</f>
        <v>83.99</v>
      </c>
      <c r="K1401" s="903" t="s">
        <v>1516</v>
      </c>
      <c r="L1401" s="1137"/>
      <c r="M1401" s="1138">
        <f t="shared" si="102"/>
        <v>0</v>
      </c>
      <c r="N1401" s="893">
        <f t="shared" si="106"/>
        <v>0</v>
      </c>
      <c r="O1401" s="905"/>
      <c r="Q1401" s="317" t="str">
        <f t="shared" si="103"/>
        <v/>
      </c>
      <c r="R1401" s="317" t="str">
        <f t="shared" si="104"/>
        <v/>
      </c>
      <c r="S1401" s="317" t="str">
        <f t="shared" si="105"/>
        <v/>
      </c>
      <c r="T1401" s="317" t="str">
        <f>GLOBAL_DER_FEV_2023!S1401</f>
        <v/>
      </c>
      <c r="W1401" s="582">
        <v>0</v>
      </c>
      <c r="X1401" s="580"/>
      <c r="Y1401" s="583">
        <f>IF(GLOBAL_DER_FEV_2023!W1401=0,0,IF(GLOBAL_DER_FEV_2023!W1401&gt;0,"c","b"))</f>
        <v>0</v>
      </c>
    </row>
    <row r="1402" spans="1:25" ht="23.25" hidden="1" thickBot="1" x14ac:dyDescent="0.25">
      <c r="A1402" s="317">
        <v>92016</v>
      </c>
      <c r="B1402" s="895">
        <v>92016</v>
      </c>
      <c r="C1402" s="896" t="s">
        <v>596</v>
      </c>
      <c r="D1402" s="906" t="s">
        <v>1328</v>
      </c>
      <c r="E1402" s="907">
        <f>GLOBAL_DER_FEV_2023!E1402</f>
        <v>0</v>
      </c>
      <c r="F1402" s="908">
        <f>GLOBAL_DER_FEV_2023!F1402</f>
        <v>0</v>
      </c>
      <c r="G1402" s="912">
        <f>GLOBAL_DER_FEV_2023!G1402</f>
        <v>0</v>
      </c>
      <c r="H1402" s="901">
        <f>GLOBAL_DER_FEV_2023!H1402</f>
        <v>71.53</v>
      </c>
      <c r="I1402" s="901">
        <f>GLOBAL_DER_FEV_2023!I1402</f>
        <v>71.53</v>
      </c>
      <c r="J1402" s="902">
        <f>GLOBAL_DER_FEV_2023!J1402</f>
        <v>85.89</v>
      </c>
      <c r="K1402" s="903" t="s">
        <v>1516</v>
      </c>
      <c r="L1402" s="1137"/>
      <c r="M1402" s="1138">
        <f t="shared" si="102"/>
        <v>0</v>
      </c>
      <c r="N1402" s="893">
        <f t="shared" si="106"/>
        <v>0</v>
      </c>
      <c r="O1402" s="905"/>
      <c r="Q1402" s="317" t="str">
        <f t="shared" si="103"/>
        <v/>
      </c>
      <c r="R1402" s="317" t="str">
        <f t="shared" si="104"/>
        <v/>
      </c>
      <c r="S1402" s="317" t="str">
        <f t="shared" si="105"/>
        <v/>
      </c>
      <c r="T1402" s="317" t="str">
        <f>GLOBAL_DER_FEV_2023!S1402</f>
        <v/>
      </c>
      <c r="W1402" s="582">
        <v>0</v>
      </c>
      <c r="X1402" s="580"/>
      <c r="Y1402" s="583">
        <f>IF(GLOBAL_DER_FEV_2023!W1402=0,0,IF(GLOBAL_DER_FEV_2023!W1402&gt;0,"c","b"))</f>
        <v>0</v>
      </c>
    </row>
    <row r="1403" spans="1:25" ht="23.25" hidden="1" thickBot="1" x14ac:dyDescent="0.25">
      <c r="A1403" s="317">
        <v>92017</v>
      </c>
      <c r="B1403" s="895">
        <v>92017</v>
      </c>
      <c r="C1403" s="896" t="s">
        <v>596</v>
      </c>
      <c r="D1403" s="906" t="s">
        <v>1329</v>
      </c>
      <c r="E1403" s="907">
        <f>GLOBAL_DER_FEV_2023!E1403</f>
        <v>0</v>
      </c>
      <c r="F1403" s="908">
        <f>GLOBAL_DER_FEV_2023!F1403</f>
        <v>0</v>
      </c>
      <c r="G1403" s="912">
        <f>GLOBAL_DER_FEV_2023!G1403</f>
        <v>0</v>
      </c>
      <c r="H1403" s="901">
        <f>GLOBAL_DER_FEV_2023!H1403</f>
        <v>79.180000000000007</v>
      </c>
      <c r="I1403" s="901">
        <f>GLOBAL_DER_FEV_2023!I1403</f>
        <v>79.180000000000007</v>
      </c>
      <c r="J1403" s="902">
        <f>GLOBAL_DER_FEV_2023!J1403</f>
        <v>95.07</v>
      </c>
      <c r="K1403" s="903" t="s">
        <v>1516</v>
      </c>
      <c r="L1403" s="1137"/>
      <c r="M1403" s="1138">
        <f t="shared" si="102"/>
        <v>0</v>
      </c>
      <c r="N1403" s="893">
        <f t="shared" si="106"/>
        <v>0</v>
      </c>
      <c r="O1403" s="905"/>
      <c r="Q1403" s="317" t="str">
        <f t="shared" si="103"/>
        <v/>
      </c>
      <c r="R1403" s="317" t="str">
        <f t="shared" si="104"/>
        <v/>
      </c>
      <c r="S1403" s="317" t="str">
        <f t="shared" si="105"/>
        <v/>
      </c>
      <c r="T1403" s="317" t="str">
        <f>GLOBAL_DER_FEV_2023!S1403</f>
        <v/>
      </c>
      <c r="W1403" s="582">
        <v>0</v>
      </c>
      <c r="X1403" s="580"/>
      <c r="Y1403" s="583">
        <f>IF(GLOBAL_DER_FEV_2023!W1403=0,0,IF(GLOBAL_DER_FEV_2023!W1403&gt;0,"c","b"))</f>
        <v>0</v>
      </c>
    </row>
    <row r="1404" spans="1:25" ht="23.25" hidden="1" thickBot="1" x14ac:dyDescent="0.25">
      <c r="A1404" s="317">
        <v>92018</v>
      </c>
      <c r="B1404" s="895">
        <v>92018</v>
      </c>
      <c r="C1404" s="896" t="s">
        <v>596</v>
      </c>
      <c r="D1404" s="906" t="s">
        <v>1330</v>
      </c>
      <c r="E1404" s="907">
        <f>GLOBAL_DER_FEV_2023!E1404</f>
        <v>0</v>
      </c>
      <c r="F1404" s="908">
        <f>GLOBAL_DER_FEV_2023!F1404</f>
        <v>0</v>
      </c>
      <c r="G1404" s="912">
        <f>GLOBAL_DER_FEV_2023!G1404</f>
        <v>0</v>
      </c>
      <c r="H1404" s="901">
        <f>GLOBAL_DER_FEV_2023!H1404</f>
        <v>82.46</v>
      </c>
      <c r="I1404" s="901">
        <f>GLOBAL_DER_FEV_2023!I1404</f>
        <v>82.46</v>
      </c>
      <c r="J1404" s="902">
        <f>GLOBAL_DER_FEV_2023!J1404</f>
        <v>99.01</v>
      </c>
      <c r="K1404" s="903" t="s">
        <v>1516</v>
      </c>
      <c r="L1404" s="1137"/>
      <c r="M1404" s="1138">
        <f t="shared" si="102"/>
        <v>0</v>
      </c>
      <c r="N1404" s="893">
        <f t="shared" si="106"/>
        <v>0</v>
      </c>
      <c r="O1404" s="905"/>
      <c r="Q1404" s="317" t="str">
        <f t="shared" si="103"/>
        <v/>
      </c>
      <c r="R1404" s="317" t="str">
        <f t="shared" si="104"/>
        <v/>
      </c>
      <c r="S1404" s="317" t="str">
        <f t="shared" si="105"/>
        <v/>
      </c>
      <c r="T1404" s="317" t="str">
        <f>GLOBAL_DER_FEV_2023!S1404</f>
        <v/>
      </c>
      <c r="W1404" s="582">
        <v>0</v>
      </c>
      <c r="X1404" s="580"/>
      <c r="Y1404" s="583">
        <f>IF(GLOBAL_DER_FEV_2023!W1404=0,0,IF(GLOBAL_DER_FEV_2023!W1404&gt;0,"c","b"))</f>
        <v>0</v>
      </c>
    </row>
    <row r="1405" spans="1:25" ht="23.25" hidden="1" thickBot="1" x14ac:dyDescent="0.25">
      <c r="A1405" s="317">
        <v>92019</v>
      </c>
      <c r="B1405" s="895">
        <v>92019</v>
      </c>
      <c r="C1405" s="896" t="s">
        <v>596</v>
      </c>
      <c r="D1405" s="906" t="s">
        <v>1331</v>
      </c>
      <c r="E1405" s="907">
        <f>GLOBAL_DER_FEV_2023!E1405</f>
        <v>0</v>
      </c>
      <c r="F1405" s="908">
        <f>GLOBAL_DER_FEV_2023!F1405</f>
        <v>0</v>
      </c>
      <c r="G1405" s="912">
        <f>GLOBAL_DER_FEV_2023!G1405</f>
        <v>0</v>
      </c>
      <c r="H1405" s="901">
        <f>GLOBAL_DER_FEV_2023!H1405</f>
        <v>97.04</v>
      </c>
      <c r="I1405" s="901">
        <f>GLOBAL_DER_FEV_2023!I1405</f>
        <v>97.04</v>
      </c>
      <c r="J1405" s="902">
        <f>GLOBAL_DER_FEV_2023!J1405</f>
        <v>116.52</v>
      </c>
      <c r="K1405" s="903" t="s">
        <v>1516</v>
      </c>
      <c r="L1405" s="1137"/>
      <c r="M1405" s="1138">
        <f t="shared" si="102"/>
        <v>0</v>
      </c>
      <c r="N1405" s="893">
        <f t="shared" si="106"/>
        <v>0</v>
      </c>
      <c r="O1405" s="905"/>
      <c r="Q1405" s="317" t="str">
        <f t="shared" si="103"/>
        <v/>
      </c>
      <c r="R1405" s="317" t="str">
        <f t="shared" si="104"/>
        <v/>
      </c>
      <c r="S1405" s="317" t="str">
        <f t="shared" si="105"/>
        <v/>
      </c>
      <c r="T1405" s="317" t="str">
        <f>GLOBAL_DER_FEV_2023!S1405</f>
        <v/>
      </c>
      <c r="W1405" s="582">
        <v>0</v>
      </c>
      <c r="X1405" s="580"/>
      <c r="Y1405" s="583">
        <f>IF(GLOBAL_DER_FEV_2023!W1405=0,0,IF(GLOBAL_DER_FEV_2023!W1405&gt;0,"c","b"))</f>
        <v>0</v>
      </c>
    </row>
    <row r="1406" spans="1:25" ht="23.25" hidden="1" thickBot="1" x14ac:dyDescent="0.25">
      <c r="A1406" s="317">
        <v>92020</v>
      </c>
      <c r="B1406" s="895">
        <v>92020</v>
      </c>
      <c r="C1406" s="896" t="s">
        <v>596</v>
      </c>
      <c r="D1406" s="906" t="s">
        <v>1332</v>
      </c>
      <c r="E1406" s="907">
        <f>GLOBAL_DER_FEV_2023!E1406</f>
        <v>0</v>
      </c>
      <c r="F1406" s="908">
        <f>GLOBAL_DER_FEV_2023!F1406</f>
        <v>0</v>
      </c>
      <c r="G1406" s="912">
        <f>GLOBAL_DER_FEV_2023!G1406</f>
        <v>0</v>
      </c>
      <c r="H1406" s="901">
        <f>GLOBAL_DER_FEV_2023!H1406</f>
        <v>121.86</v>
      </c>
      <c r="I1406" s="901">
        <f>GLOBAL_DER_FEV_2023!I1406</f>
        <v>121.86</v>
      </c>
      <c r="J1406" s="902">
        <f>GLOBAL_DER_FEV_2023!J1406</f>
        <v>146.32</v>
      </c>
      <c r="K1406" s="903" t="s">
        <v>1516</v>
      </c>
      <c r="L1406" s="1137"/>
      <c r="M1406" s="1138">
        <f t="shared" si="102"/>
        <v>0</v>
      </c>
      <c r="N1406" s="893">
        <f t="shared" si="106"/>
        <v>0</v>
      </c>
      <c r="O1406" s="905"/>
      <c r="Q1406" s="317" t="str">
        <f t="shared" si="103"/>
        <v/>
      </c>
      <c r="R1406" s="317" t="str">
        <f t="shared" si="104"/>
        <v/>
      </c>
      <c r="S1406" s="317" t="str">
        <f t="shared" si="105"/>
        <v/>
      </c>
      <c r="T1406" s="317" t="str">
        <f>GLOBAL_DER_FEV_2023!S1406</f>
        <v/>
      </c>
      <c r="W1406" s="582">
        <v>0</v>
      </c>
      <c r="X1406" s="580"/>
      <c r="Y1406" s="583">
        <f>IF(GLOBAL_DER_FEV_2023!W1406=0,0,IF(GLOBAL_DER_FEV_2023!W1406&gt;0,"c","b"))</f>
        <v>0</v>
      </c>
    </row>
    <row r="1407" spans="1:25" ht="23.25" hidden="1" thickBot="1" x14ac:dyDescent="0.25">
      <c r="A1407" s="317">
        <v>92021</v>
      </c>
      <c r="B1407" s="895">
        <v>92021</v>
      </c>
      <c r="C1407" s="896" t="s">
        <v>596</v>
      </c>
      <c r="D1407" s="906" t="s">
        <v>1333</v>
      </c>
      <c r="E1407" s="907">
        <f>GLOBAL_DER_FEV_2023!E1407</f>
        <v>0</v>
      </c>
      <c r="F1407" s="908">
        <f>GLOBAL_DER_FEV_2023!F1407</f>
        <v>0</v>
      </c>
      <c r="G1407" s="912">
        <f>GLOBAL_DER_FEV_2023!G1407</f>
        <v>0</v>
      </c>
      <c r="H1407" s="901">
        <f>GLOBAL_DER_FEV_2023!H1407</f>
        <v>136.44</v>
      </c>
      <c r="I1407" s="901">
        <f>GLOBAL_DER_FEV_2023!I1407</f>
        <v>136.44</v>
      </c>
      <c r="J1407" s="902">
        <f>GLOBAL_DER_FEV_2023!J1407</f>
        <v>163.82</v>
      </c>
      <c r="K1407" s="903" t="s">
        <v>1516</v>
      </c>
      <c r="L1407" s="1137"/>
      <c r="M1407" s="1138">
        <f t="shared" si="102"/>
        <v>0</v>
      </c>
      <c r="N1407" s="893">
        <f t="shared" si="106"/>
        <v>0</v>
      </c>
      <c r="O1407" s="905"/>
      <c r="Q1407" s="317" t="str">
        <f t="shared" si="103"/>
        <v/>
      </c>
      <c r="R1407" s="317" t="str">
        <f t="shared" si="104"/>
        <v/>
      </c>
      <c r="S1407" s="317" t="str">
        <f t="shared" si="105"/>
        <v/>
      </c>
      <c r="T1407" s="317" t="str">
        <f>GLOBAL_DER_FEV_2023!S1407</f>
        <v/>
      </c>
      <c r="W1407" s="582">
        <v>0</v>
      </c>
      <c r="X1407" s="580"/>
      <c r="Y1407" s="583">
        <f>IF(GLOBAL_DER_FEV_2023!W1407=0,0,IF(GLOBAL_DER_FEV_2023!W1407&gt;0,"c","b"))</f>
        <v>0</v>
      </c>
    </row>
    <row r="1408" spans="1:25" ht="23.25" hidden="1" thickBot="1" x14ac:dyDescent="0.25">
      <c r="A1408" s="317">
        <v>93141</v>
      </c>
      <c r="B1408" s="895">
        <v>93141</v>
      </c>
      <c r="C1408" s="896" t="s">
        <v>596</v>
      </c>
      <c r="D1408" s="906" t="s">
        <v>1334</v>
      </c>
      <c r="E1408" s="907">
        <f>GLOBAL_DER_FEV_2023!E1408</f>
        <v>0</v>
      </c>
      <c r="F1408" s="908">
        <f>GLOBAL_DER_FEV_2023!F1408</f>
        <v>0</v>
      </c>
      <c r="G1408" s="912">
        <f>GLOBAL_DER_FEV_2023!G1408</f>
        <v>0</v>
      </c>
      <c r="H1408" s="901">
        <f>GLOBAL_DER_FEV_2023!H1408</f>
        <v>200.2</v>
      </c>
      <c r="I1408" s="901">
        <f>GLOBAL_DER_FEV_2023!I1408</f>
        <v>200.2</v>
      </c>
      <c r="J1408" s="902">
        <f>GLOBAL_DER_FEV_2023!J1408</f>
        <v>240.38</v>
      </c>
      <c r="K1408" s="903" t="s">
        <v>1516</v>
      </c>
      <c r="L1408" s="1137"/>
      <c r="M1408" s="1138">
        <f t="shared" si="102"/>
        <v>0</v>
      </c>
      <c r="N1408" s="893">
        <f t="shared" si="106"/>
        <v>0</v>
      </c>
      <c r="O1408" s="905"/>
      <c r="Q1408" s="317" t="str">
        <f t="shared" si="103"/>
        <v/>
      </c>
      <c r="R1408" s="317" t="str">
        <f t="shared" si="104"/>
        <v/>
      </c>
      <c r="S1408" s="317" t="str">
        <f t="shared" si="105"/>
        <v/>
      </c>
      <c r="T1408" s="317" t="str">
        <f>GLOBAL_DER_FEV_2023!S1408</f>
        <v/>
      </c>
      <c r="W1408" s="582">
        <v>0</v>
      </c>
      <c r="X1408" s="580"/>
      <c r="Y1408" s="583">
        <f>IF(GLOBAL_DER_FEV_2023!W1408=0,0,IF(GLOBAL_DER_FEV_2023!W1408&gt;0,"c","b"))</f>
        <v>0</v>
      </c>
    </row>
    <row r="1409" spans="1:25" ht="23.25" hidden="1" thickBot="1" x14ac:dyDescent="0.25">
      <c r="A1409" s="317">
        <v>93142</v>
      </c>
      <c r="B1409" s="895">
        <v>93142</v>
      </c>
      <c r="C1409" s="896" t="s">
        <v>596</v>
      </c>
      <c r="D1409" s="906" t="s">
        <v>1335</v>
      </c>
      <c r="E1409" s="907">
        <f>GLOBAL_DER_FEV_2023!E1409</f>
        <v>0</v>
      </c>
      <c r="F1409" s="908">
        <f>GLOBAL_DER_FEV_2023!F1409</f>
        <v>0</v>
      </c>
      <c r="G1409" s="912">
        <f>GLOBAL_DER_FEV_2023!G1409</f>
        <v>0</v>
      </c>
      <c r="H1409" s="901">
        <f>GLOBAL_DER_FEV_2023!H1409</f>
        <v>224.18</v>
      </c>
      <c r="I1409" s="901">
        <f>GLOBAL_DER_FEV_2023!I1409</f>
        <v>224.18</v>
      </c>
      <c r="J1409" s="902">
        <f>GLOBAL_DER_FEV_2023!J1409</f>
        <v>269.17</v>
      </c>
      <c r="K1409" s="903" t="s">
        <v>1516</v>
      </c>
      <c r="L1409" s="1137"/>
      <c r="M1409" s="1138">
        <f t="shared" si="102"/>
        <v>0</v>
      </c>
      <c r="N1409" s="893">
        <f t="shared" si="106"/>
        <v>0</v>
      </c>
      <c r="O1409" s="905"/>
      <c r="Q1409" s="317" t="str">
        <f t="shared" si="103"/>
        <v/>
      </c>
      <c r="R1409" s="317" t="str">
        <f t="shared" si="104"/>
        <v/>
      </c>
      <c r="S1409" s="317" t="str">
        <f t="shared" si="105"/>
        <v/>
      </c>
      <c r="T1409" s="317" t="str">
        <f>GLOBAL_DER_FEV_2023!S1409</f>
        <v/>
      </c>
      <c r="W1409" s="582">
        <v>0</v>
      </c>
      <c r="X1409" s="580"/>
      <c r="Y1409" s="583">
        <f>IF(GLOBAL_DER_FEV_2023!W1409=0,0,IF(GLOBAL_DER_FEV_2023!W1409&gt;0,"c","b"))</f>
        <v>0</v>
      </c>
    </row>
    <row r="1410" spans="1:25" ht="23.25" hidden="1" thickBot="1" x14ac:dyDescent="0.25">
      <c r="A1410" s="317">
        <v>93143</v>
      </c>
      <c r="B1410" s="895">
        <v>93143</v>
      </c>
      <c r="C1410" s="896" t="s">
        <v>596</v>
      </c>
      <c r="D1410" s="906" t="s">
        <v>1336</v>
      </c>
      <c r="E1410" s="907">
        <f>GLOBAL_DER_FEV_2023!E1410</f>
        <v>0</v>
      </c>
      <c r="F1410" s="908">
        <f>GLOBAL_DER_FEV_2023!F1410</f>
        <v>0</v>
      </c>
      <c r="G1410" s="912">
        <f>GLOBAL_DER_FEV_2023!G1410</f>
        <v>0</v>
      </c>
      <c r="H1410" s="901">
        <f>GLOBAL_DER_FEV_2023!H1410</f>
        <v>203.26</v>
      </c>
      <c r="I1410" s="901">
        <f>GLOBAL_DER_FEV_2023!I1410</f>
        <v>203.26</v>
      </c>
      <c r="J1410" s="902">
        <f>GLOBAL_DER_FEV_2023!J1410</f>
        <v>244.05</v>
      </c>
      <c r="K1410" s="903" t="s">
        <v>1516</v>
      </c>
      <c r="L1410" s="1137"/>
      <c r="M1410" s="1138">
        <f t="shared" si="102"/>
        <v>0</v>
      </c>
      <c r="N1410" s="893">
        <f t="shared" si="106"/>
        <v>0</v>
      </c>
      <c r="O1410" s="905"/>
      <c r="Q1410" s="317" t="str">
        <f t="shared" si="103"/>
        <v/>
      </c>
      <c r="R1410" s="317" t="str">
        <f t="shared" si="104"/>
        <v/>
      </c>
      <c r="S1410" s="317" t="str">
        <f t="shared" si="105"/>
        <v/>
      </c>
      <c r="T1410" s="317" t="str">
        <f>GLOBAL_DER_FEV_2023!S1410</f>
        <v/>
      </c>
      <c r="W1410" s="582">
        <v>0</v>
      </c>
      <c r="X1410" s="580"/>
      <c r="Y1410" s="583">
        <f>IF(GLOBAL_DER_FEV_2023!W1410=0,0,IF(GLOBAL_DER_FEV_2023!W1410&gt;0,"c","b"))</f>
        <v>0</v>
      </c>
    </row>
    <row r="1411" spans="1:25" ht="34.5" hidden="1" thickBot="1" x14ac:dyDescent="0.25">
      <c r="A1411" s="317">
        <v>93144</v>
      </c>
      <c r="B1411" s="895">
        <v>93144</v>
      </c>
      <c r="C1411" s="896" t="s">
        <v>596</v>
      </c>
      <c r="D1411" s="906" t="s">
        <v>1337</v>
      </c>
      <c r="E1411" s="907">
        <f>GLOBAL_DER_FEV_2023!E1411</f>
        <v>0</v>
      </c>
      <c r="F1411" s="908">
        <f>GLOBAL_DER_FEV_2023!F1411</f>
        <v>0</v>
      </c>
      <c r="G1411" s="912">
        <f>GLOBAL_DER_FEV_2023!G1411</f>
        <v>0</v>
      </c>
      <c r="H1411" s="901">
        <f>GLOBAL_DER_FEV_2023!H1411</f>
        <v>258.51</v>
      </c>
      <c r="I1411" s="901">
        <f>GLOBAL_DER_FEV_2023!I1411</f>
        <v>258.51</v>
      </c>
      <c r="J1411" s="902">
        <f>GLOBAL_DER_FEV_2023!J1411</f>
        <v>310.39</v>
      </c>
      <c r="K1411" s="903" t="s">
        <v>1516</v>
      </c>
      <c r="L1411" s="1137"/>
      <c r="M1411" s="1138">
        <f t="shared" si="102"/>
        <v>0</v>
      </c>
      <c r="N1411" s="893">
        <f t="shared" si="106"/>
        <v>0</v>
      </c>
      <c r="O1411" s="905"/>
      <c r="Q1411" s="317" t="str">
        <f t="shared" si="103"/>
        <v/>
      </c>
      <c r="R1411" s="317" t="str">
        <f t="shared" si="104"/>
        <v/>
      </c>
      <c r="S1411" s="317" t="str">
        <f t="shared" si="105"/>
        <v/>
      </c>
      <c r="T1411" s="317" t="str">
        <f>GLOBAL_DER_FEV_2023!S1411</f>
        <v/>
      </c>
      <c r="W1411" s="582">
        <v>0</v>
      </c>
      <c r="X1411" s="580"/>
      <c r="Y1411" s="583">
        <f>IF(GLOBAL_DER_FEV_2023!W1411=0,0,IF(GLOBAL_DER_FEV_2023!W1411&gt;0,"c","b"))</f>
        <v>0</v>
      </c>
    </row>
    <row r="1412" spans="1:25" ht="34.5" hidden="1" thickBot="1" x14ac:dyDescent="0.25">
      <c r="A1412" s="317">
        <v>93145</v>
      </c>
      <c r="B1412" s="895">
        <v>93145</v>
      </c>
      <c r="C1412" s="896" t="s">
        <v>596</v>
      </c>
      <c r="D1412" s="906" t="s">
        <v>1338</v>
      </c>
      <c r="E1412" s="907">
        <f>GLOBAL_DER_FEV_2023!E1412</f>
        <v>0</v>
      </c>
      <c r="F1412" s="908">
        <f>GLOBAL_DER_FEV_2023!F1412</f>
        <v>0</v>
      </c>
      <c r="G1412" s="912">
        <f>GLOBAL_DER_FEV_2023!G1412</f>
        <v>0</v>
      </c>
      <c r="H1412" s="901">
        <f>GLOBAL_DER_FEV_2023!H1412</f>
        <v>243.22</v>
      </c>
      <c r="I1412" s="901">
        <f>GLOBAL_DER_FEV_2023!I1412</f>
        <v>243.22</v>
      </c>
      <c r="J1412" s="902">
        <f>GLOBAL_DER_FEV_2023!J1412</f>
        <v>292.02999999999997</v>
      </c>
      <c r="K1412" s="903" t="s">
        <v>1516</v>
      </c>
      <c r="L1412" s="1137"/>
      <c r="M1412" s="1138">
        <f t="shared" si="102"/>
        <v>0</v>
      </c>
      <c r="N1412" s="893">
        <f t="shared" si="106"/>
        <v>0</v>
      </c>
      <c r="O1412" s="905"/>
      <c r="Q1412" s="317" t="str">
        <f t="shared" si="103"/>
        <v/>
      </c>
      <c r="R1412" s="317" t="str">
        <f t="shared" si="104"/>
        <v/>
      </c>
      <c r="S1412" s="317" t="str">
        <f t="shared" si="105"/>
        <v/>
      </c>
      <c r="T1412" s="317" t="str">
        <f>GLOBAL_DER_FEV_2023!S1412</f>
        <v/>
      </c>
      <c r="W1412" s="582">
        <v>0</v>
      </c>
      <c r="X1412" s="580"/>
      <c r="Y1412" s="583">
        <f>IF(GLOBAL_DER_FEV_2023!W1412=0,0,IF(GLOBAL_DER_FEV_2023!W1412&gt;0,"c","b"))</f>
        <v>0</v>
      </c>
    </row>
    <row r="1413" spans="1:25" ht="34.5" hidden="1" thickBot="1" x14ac:dyDescent="0.25">
      <c r="A1413" s="317">
        <v>93146</v>
      </c>
      <c r="B1413" s="895">
        <v>93146</v>
      </c>
      <c r="C1413" s="896" t="s">
        <v>596</v>
      </c>
      <c r="D1413" s="906" t="s">
        <v>1339</v>
      </c>
      <c r="E1413" s="907">
        <f>GLOBAL_DER_FEV_2023!E1413</f>
        <v>0</v>
      </c>
      <c r="F1413" s="908">
        <f>GLOBAL_DER_FEV_2023!F1413</f>
        <v>0</v>
      </c>
      <c r="G1413" s="912">
        <f>GLOBAL_DER_FEV_2023!G1413</f>
        <v>0</v>
      </c>
      <c r="H1413" s="901">
        <f>GLOBAL_DER_FEV_2023!H1413</f>
        <v>262.87</v>
      </c>
      <c r="I1413" s="901">
        <f>GLOBAL_DER_FEV_2023!I1413</f>
        <v>262.87</v>
      </c>
      <c r="J1413" s="902">
        <f>GLOBAL_DER_FEV_2023!J1413</f>
        <v>315.63</v>
      </c>
      <c r="K1413" s="903" t="s">
        <v>1516</v>
      </c>
      <c r="L1413" s="1137"/>
      <c r="M1413" s="1138">
        <f t="shared" si="102"/>
        <v>0</v>
      </c>
      <c r="N1413" s="893">
        <f t="shared" si="106"/>
        <v>0</v>
      </c>
      <c r="O1413" s="905"/>
      <c r="Q1413" s="317" t="str">
        <f t="shared" si="103"/>
        <v/>
      </c>
      <c r="R1413" s="317" t="str">
        <f t="shared" si="104"/>
        <v/>
      </c>
      <c r="S1413" s="317" t="str">
        <f t="shared" si="105"/>
        <v/>
      </c>
      <c r="T1413" s="317" t="str">
        <f>GLOBAL_DER_FEV_2023!S1413</f>
        <v/>
      </c>
      <c r="W1413" s="582">
        <v>0</v>
      </c>
      <c r="X1413" s="580"/>
      <c r="Y1413" s="583">
        <f>IF(GLOBAL_DER_FEV_2023!W1413=0,0,IF(GLOBAL_DER_FEV_2023!W1413&gt;0,"c","b"))</f>
        <v>0</v>
      </c>
    </row>
    <row r="1414" spans="1:25" ht="34.5" hidden="1" thickBot="1" x14ac:dyDescent="0.25">
      <c r="A1414" s="317">
        <v>93147</v>
      </c>
      <c r="B1414" s="895">
        <v>93147</v>
      </c>
      <c r="C1414" s="896" t="s">
        <v>596</v>
      </c>
      <c r="D1414" s="906" t="s">
        <v>1340</v>
      </c>
      <c r="E1414" s="907">
        <f>GLOBAL_DER_FEV_2023!E1414</f>
        <v>0</v>
      </c>
      <c r="F1414" s="908">
        <f>GLOBAL_DER_FEV_2023!F1414</f>
        <v>0</v>
      </c>
      <c r="G1414" s="912">
        <f>GLOBAL_DER_FEV_2023!G1414</f>
        <v>0</v>
      </c>
      <c r="H1414" s="901">
        <f>GLOBAL_DER_FEV_2023!H1414</f>
        <v>299.76</v>
      </c>
      <c r="I1414" s="901">
        <f>GLOBAL_DER_FEV_2023!I1414</f>
        <v>299.76</v>
      </c>
      <c r="J1414" s="902">
        <f>GLOBAL_DER_FEV_2023!J1414</f>
        <v>359.92</v>
      </c>
      <c r="K1414" s="903" t="s">
        <v>1516</v>
      </c>
      <c r="L1414" s="1137"/>
      <c r="M1414" s="1138">
        <f t="shared" si="102"/>
        <v>0</v>
      </c>
      <c r="N1414" s="893">
        <f t="shared" si="106"/>
        <v>0</v>
      </c>
      <c r="O1414" s="905"/>
      <c r="Q1414" s="317" t="str">
        <f t="shared" si="103"/>
        <v/>
      </c>
      <c r="R1414" s="317" t="str">
        <f t="shared" si="104"/>
        <v/>
      </c>
      <c r="S1414" s="317" t="str">
        <f t="shared" si="105"/>
        <v/>
      </c>
      <c r="T1414" s="317" t="str">
        <f>GLOBAL_DER_FEV_2023!S1414</f>
        <v/>
      </c>
      <c r="W1414" s="582">
        <v>0</v>
      </c>
      <c r="X1414" s="580"/>
      <c r="Y1414" s="583">
        <f>IF(GLOBAL_DER_FEV_2023!W1414=0,0,IF(GLOBAL_DER_FEV_2023!W1414&gt;0,"c","b"))</f>
        <v>0</v>
      </c>
    </row>
    <row r="1415" spans="1:25" ht="34.5" hidden="1" thickBot="1" x14ac:dyDescent="0.25">
      <c r="A1415" s="317">
        <v>93128</v>
      </c>
      <c r="B1415" s="895">
        <v>93128</v>
      </c>
      <c r="C1415" s="896" t="s">
        <v>596</v>
      </c>
      <c r="D1415" s="906" t="s">
        <v>1341</v>
      </c>
      <c r="E1415" s="907">
        <f>GLOBAL_DER_FEV_2023!E1415</f>
        <v>0</v>
      </c>
      <c r="F1415" s="908">
        <f>GLOBAL_DER_FEV_2023!F1415</f>
        <v>0</v>
      </c>
      <c r="G1415" s="912">
        <f>GLOBAL_DER_FEV_2023!G1415</f>
        <v>0</v>
      </c>
      <c r="H1415" s="901">
        <f>GLOBAL_DER_FEV_2023!H1415</f>
        <v>165.8</v>
      </c>
      <c r="I1415" s="901">
        <f>GLOBAL_DER_FEV_2023!I1415</f>
        <v>165.8</v>
      </c>
      <c r="J1415" s="902">
        <f>GLOBAL_DER_FEV_2023!J1415</f>
        <v>199.08</v>
      </c>
      <c r="K1415" s="903" t="s">
        <v>1516</v>
      </c>
      <c r="L1415" s="1137"/>
      <c r="M1415" s="1138">
        <f t="shared" si="102"/>
        <v>0</v>
      </c>
      <c r="N1415" s="893">
        <f t="shared" si="106"/>
        <v>0</v>
      </c>
      <c r="O1415" s="905"/>
      <c r="Q1415" s="317" t="str">
        <f t="shared" si="103"/>
        <v/>
      </c>
      <c r="R1415" s="317" t="str">
        <f t="shared" si="104"/>
        <v/>
      </c>
      <c r="S1415" s="317" t="str">
        <f t="shared" si="105"/>
        <v/>
      </c>
      <c r="T1415" s="317" t="str">
        <f>GLOBAL_DER_FEV_2023!S1415</f>
        <v/>
      </c>
      <c r="W1415" s="582">
        <v>0</v>
      </c>
      <c r="X1415" s="580"/>
      <c r="Y1415" s="583">
        <f>IF(GLOBAL_DER_FEV_2023!W1415=0,0,IF(GLOBAL_DER_FEV_2023!W1415&gt;0,"c","b"))</f>
        <v>0</v>
      </c>
    </row>
    <row r="1416" spans="1:25" ht="34.5" hidden="1" thickBot="1" x14ac:dyDescent="0.25">
      <c r="A1416" s="317">
        <v>93137</v>
      </c>
      <c r="B1416" s="895">
        <v>93137</v>
      </c>
      <c r="C1416" s="896" t="s">
        <v>596</v>
      </c>
      <c r="D1416" s="906" t="s">
        <v>1342</v>
      </c>
      <c r="E1416" s="907">
        <f>GLOBAL_DER_FEV_2023!E1416</f>
        <v>0</v>
      </c>
      <c r="F1416" s="908">
        <f>GLOBAL_DER_FEV_2023!F1416</f>
        <v>0</v>
      </c>
      <c r="G1416" s="912">
        <f>GLOBAL_DER_FEV_2023!G1416</f>
        <v>0</v>
      </c>
      <c r="H1416" s="901">
        <f>GLOBAL_DER_FEV_2023!H1416</f>
        <v>196.5</v>
      </c>
      <c r="I1416" s="901">
        <f>GLOBAL_DER_FEV_2023!I1416</f>
        <v>196.5</v>
      </c>
      <c r="J1416" s="902">
        <f>GLOBAL_DER_FEV_2023!J1416</f>
        <v>235.94</v>
      </c>
      <c r="K1416" s="903" t="s">
        <v>1516</v>
      </c>
      <c r="L1416" s="1137"/>
      <c r="M1416" s="1138">
        <f t="shared" si="102"/>
        <v>0</v>
      </c>
      <c r="N1416" s="893">
        <f t="shared" si="106"/>
        <v>0</v>
      </c>
      <c r="O1416" s="905"/>
      <c r="Q1416" s="317" t="str">
        <f t="shared" si="103"/>
        <v/>
      </c>
      <c r="R1416" s="317" t="str">
        <f t="shared" si="104"/>
        <v/>
      </c>
      <c r="S1416" s="317" t="str">
        <f t="shared" si="105"/>
        <v/>
      </c>
      <c r="T1416" s="317" t="str">
        <f>GLOBAL_DER_FEV_2023!S1416</f>
        <v/>
      </c>
      <c r="W1416" s="582">
        <v>0</v>
      </c>
      <c r="X1416" s="580"/>
      <c r="Y1416" s="583">
        <f>IF(GLOBAL_DER_FEV_2023!W1416=0,0,IF(GLOBAL_DER_FEV_2023!W1416&gt;0,"c","b"))</f>
        <v>0</v>
      </c>
    </row>
    <row r="1417" spans="1:25" ht="34.5" hidden="1" thickBot="1" x14ac:dyDescent="0.25">
      <c r="A1417" s="317">
        <v>93138</v>
      </c>
      <c r="B1417" s="895">
        <v>93138</v>
      </c>
      <c r="C1417" s="896" t="s">
        <v>596</v>
      </c>
      <c r="D1417" s="906" t="s">
        <v>1343</v>
      </c>
      <c r="E1417" s="907">
        <f>GLOBAL_DER_FEV_2023!E1417</f>
        <v>0</v>
      </c>
      <c r="F1417" s="908">
        <f>GLOBAL_DER_FEV_2023!F1417</f>
        <v>0</v>
      </c>
      <c r="G1417" s="912">
        <f>GLOBAL_DER_FEV_2023!G1417</f>
        <v>0</v>
      </c>
      <c r="H1417" s="901">
        <f>GLOBAL_DER_FEV_2023!H1417</f>
        <v>185.46</v>
      </c>
      <c r="I1417" s="901">
        <f>GLOBAL_DER_FEV_2023!I1417</f>
        <v>185.46</v>
      </c>
      <c r="J1417" s="902">
        <f>GLOBAL_DER_FEV_2023!J1417</f>
        <v>222.68</v>
      </c>
      <c r="K1417" s="903" t="s">
        <v>1516</v>
      </c>
      <c r="L1417" s="1137"/>
      <c r="M1417" s="1138">
        <f t="shared" si="102"/>
        <v>0</v>
      </c>
      <c r="N1417" s="893">
        <f t="shared" si="106"/>
        <v>0</v>
      </c>
      <c r="O1417" s="905"/>
      <c r="Q1417" s="317" t="str">
        <f t="shared" si="103"/>
        <v/>
      </c>
      <c r="R1417" s="317" t="str">
        <f t="shared" si="104"/>
        <v/>
      </c>
      <c r="S1417" s="317" t="str">
        <f t="shared" si="105"/>
        <v/>
      </c>
      <c r="T1417" s="317" t="str">
        <f>GLOBAL_DER_FEV_2023!S1417</f>
        <v/>
      </c>
      <c r="W1417" s="582">
        <v>0</v>
      </c>
      <c r="X1417" s="580"/>
      <c r="Y1417" s="583">
        <f>IF(GLOBAL_DER_FEV_2023!W1417=0,0,IF(GLOBAL_DER_FEV_2023!W1417&gt;0,"c","b"))</f>
        <v>0</v>
      </c>
    </row>
    <row r="1418" spans="1:25" ht="34.5" hidden="1" thickBot="1" x14ac:dyDescent="0.25">
      <c r="A1418" s="317">
        <v>93139</v>
      </c>
      <c r="B1418" s="895">
        <v>93139</v>
      </c>
      <c r="C1418" s="896" t="s">
        <v>596</v>
      </c>
      <c r="D1418" s="906" t="s">
        <v>1344</v>
      </c>
      <c r="E1418" s="907">
        <f>GLOBAL_DER_FEV_2023!E1418</f>
        <v>0</v>
      </c>
      <c r="F1418" s="908">
        <f>GLOBAL_DER_FEV_2023!F1418</f>
        <v>0</v>
      </c>
      <c r="G1418" s="912">
        <f>GLOBAL_DER_FEV_2023!G1418</f>
        <v>0</v>
      </c>
      <c r="H1418" s="901">
        <f>GLOBAL_DER_FEV_2023!H1418</f>
        <v>235.76</v>
      </c>
      <c r="I1418" s="901">
        <f>GLOBAL_DER_FEV_2023!I1418</f>
        <v>235.76</v>
      </c>
      <c r="J1418" s="902">
        <f>GLOBAL_DER_FEV_2023!J1418</f>
        <v>283.08</v>
      </c>
      <c r="K1418" s="903" t="s">
        <v>1516</v>
      </c>
      <c r="L1418" s="1137"/>
      <c r="M1418" s="1138">
        <f t="shared" si="102"/>
        <v>0</v>
      </c>
      <c r="N1418" s="893">
        <f t="shared" si="106"/>
        <v>0</v>
      </c>
      <c r="O1418" s="905"/>
      <c r="Q1418" s="317" t="str">
        <f t="shared" si="103"/>
        <v/>
      </c>
      <c r="R1418" s="317" t="str">
        <f t="shared" si="104"/>
        <v/>
      </c>
      <c r="S1418" s="317" t="str">
        <f t="shared" si="105"/>
        <v/>
      </c>
      <c r="T1418" s="317" t="str">
        <f>GLOBAL_DER_FEV_2023!S1418</f>
        <v/>
      </c>
      <c r="W1418" s="582">
        <v>0</v>
      </c>
      <c r="X1418" s="580"/>
      <c r="Y1418" s="583">
        <f>IF(GLOBAL_DER_FEV_2023!W1418=0,0,IF(GLOBAL_DER_FEV_2023!W1418&gt;0,"c","b"))</f>
        <v>0</v>
      </c>
    </row>
    <row r="1419" spans="1:25" ht="34.5" hidden="1" thickBot="1" x14ac:dyDescent="0.25">
      <c r="A1419" s="317">
        <v>93140</v>
      </c>
      <c r="B1419" s="895">
        <v>93140</v>
      </c>
      <c r="C1419" s="896" t="s">
        <v>596</v>
      </c>
      <c r="D1419" s="906" t="s">
        <v>1345</v>
      </c>
      <c r="E1419" s="907">
        <f>GLOBAL_DER_FEV_2023!E1419</f>
        <v>0</v>
      </c>
      <c r="F1419" s="908">
        <f>GLOBAL_DER_FEV_2023!F1419</f>
        <v>0</v>
      </c>
      <c r="G1419" s="912">
        <f>GLOBAL_DER_FEV_2023!G1419</f>
        <v>0</v>
      </c>
      <c r="H1419" s="901">
        <f>GLOBAL_DER_FEV_2023!H1419</f>
        <v>222.29</v>
      </c>
      <c r="I1419" s="901">
        <f>GLOBAL_DER_FEV_2023!I1419</f>
        <v>222.29</v>
      </c>
      <c r="J1419" s="902">
        <f>GLOBAL_DER_FEV_2023!J1419</f>
        <v>266.89999999999998</v>
      </c>
      <c r="K1419" s="903" t="s">
        <v>1516</v>
      </c>
      <c r="L1419" s="1137"/>
      <c r="M1419" s="1138">
        <f t="shared" si="102"/>
        <v>0</v>
      </c>
      <c r="N1419" s="893">
        <f t="shared" si="106"/>
        <v>0</v>
      </c>
      <c r="O1419" s="905"/>
      <c r="Q1419" s="317" t="str">
        <f t="shared" si="103"/>
        <v/>
      </c>
      <c r="R1419" s="317" t="str">
        <f t="shared" si="104"/>
        <v/>
      </c>
      <c r="S1419" s="317" t="str">
        <f t="shared" si="105"/>
        <v/>
      </c>
      <c r="T1419" s="317" t="str">
        <f>GLOBAL_DER_FEV_2023!S1419</f>
        <v/>
      </c>
      <c r="W1419" s="582">
        <v>0</v>
      </c>
      <c r="X1419" s="580"/>
      <c r="Y1419" s="583">
        <f>IF(GLOBAL_DER_FEV_2023!W1419=0,0,IF(GLOBAL_DER_FEV_2023!W1419&gt;0,"c","b"))</f>
        <v>0</v>
      </c>
    </row>
    <row r="1420" spans="1:25" ht="23.25" hidden="1" thickBot="1" x14ac:dyDescent="0.25">
      <c r="A1420" s="317">
        <v>97595</v>
      </c>
      <c r="B1420" s="895">
        <v>97595</v>
      </c>
      <c r="C1420" s="896" t="s">
        <v>596</v>
      </c>
      <c r="D1420" s="906" t="s">
        <v>1346</v>
      </c>
      <c r="E1420" s="907">
        <f>GLOBAL_DER_FEV_2023!E1420</f>
        <v>0</v>
      </c>
      <c r="F1420" s="908">
        <f>GLOBAL_DER_FEV_2023!F1420</f>
        <v>0</v>
      </c>
      <c r="G1420" s="912">
        <f>GLOBAL_DER_FEV_2023!G1420</f>
        <v>0</v>
      </c>
      <c r="H1420" s="901">
        <f>GLOBAL_DER_FEV_2023!H1420</f>
        <v>118.06</v>
      </c>
      <c r="I1420" s="901">
        <f>GLOBAL_DER_FEV_2023!I1420</f>
        <v>118.06</v>
      </c>
      <c r="J1420" s="902">
        <f>GLOBAL_DER_FEV_2023!J1420</f>
        <v>141.75</v>
      </c>
      <c r="K1420" s="903" t="s">
        <v>1516</v>
      </c>
      <c r="L1420" s="1137"/>
      <c r="M1420" s="1138">
        <f t="shared" si="102"/>
        <v>0</v>
      </c>
      <c r="N1420" s="893">
        <f t="shared" si="106"/>
        <v>0</v>
      </c>
      <c r="O1420" s="905"/>
      <c r="Q1420" s="317" t="str">
        <f t="shared" si="103"/>
        <v/>
      </c>
      <c r="R1420" s="317" t="str">
        <f t="shared" si="104"/>
        <v/>
      </c>
      <c r="S1420" s="317" t="str">
        <f t="shared" si="105"/>
        <v/>
      </c>
      <c r="T1420" s="317" t="str">
        <f>GLOBAL_DER_FEV_2023!S1420</f>
        <v/>
      </c>
      <c r="W1420" s="582">
        <v>0</v>
      </c>
      <c r="X1420" s="580"/>
      <c r="Y1420" s="583">
        <f>IF(GLOBAL_DER_FEV_2023!W1420=0,0,IF(GLOBAL_DER_FEV_2023!W1420&gt;0,"c","b"))</f>
        <v>0</v>
      </c>
    </row>
    <row r="1421" spans="1:25" ht="23.25" hidden="1" thickBot="1" x14ac:dyDescent="0.25">
      <c r="A1421" s="317">
        <v>97596</v>
      </c>
      <c r="B1421" s="895">
        <v>97596</v>
      </c>
      <c r="C1421" s="896" t="s">
        <v>596</v>
      </c>
      <c r="D1421" s="906" t="s">
        <v>1347</v>
      </c>
      <c r="E1421" s="907">
        <f>GLOBAL_DER_FEV_2023!E1421</f>
        <v>0</v>
      </c>
      <c r="F1421" s="908">
        <f>GLOBAL_DER_FEV_2023!F1421</f>
        <v>0</v>
      </c>
      <c r="G1421" s="912">
        <f>GLOBAL_DER_FEV_2023!G1421</f>
        <v>0</v>
      </c>
      <c r="H1421" s="901">
        <f>GLOBAL_DER_FEV_2023!H1421</f>
        <v>82.53</v>
      </c>
      <c r="I1421" s="901">
        <f>GLOBAL_DER_FEV_2023!I1421</f>
        <v>82.53</v>
      </c>
      <c r="J1421" s="902">
        <f>GLOBAL_DER_FEV_2023!J1421</f>
        <v>99.09</v>
      </c>
      <c r="K1421" s="903" t="s">
        <v>1516</v>
      </c>
      <c r="L1421" s="1137"/>
      <c r="M1421" s="1138">
        <f t="shared" si="102"/>
        <v>0</v>
      </c>
      <c r="N1421" s="893">
        <f t="shared" si="106"/>
        <v>0</v>
      </c>
      <c r="O1421" s="905"/>
      <c r="Q1421" s="317" t="str">
        <f t="shared" si="103"/>
        <v/>
      </c>
      <c r="R1421" s="317" t="str">
        <f t="shared" si="104"/>
        <v/>
      </c>
      <c r="S1421" s="317" t="str">
        <f t="shared" si="105"/>
        <v/>
      </c>
      <c r="T1421" s="317" t="str">
        <f>GLOBAL_DER_FEV_2023!S1421</f>
        <v/>
      </c>
      <c r="W1421" s="582">
        <v>0</v>
      </c>
      <c r="X1421" s="580"/>
      <c r="Y1421" s="583">
        <f>IF(GLOBAL_DER_FEV_2023!W1421=0,0,IF(GLOBAL_DER_FEV_2023!W1421&gt;0,"c","b"))</f>
        <v>0</v>
      </c>
    </row>
    <row r="1422" spans="1:25" ht="23.25" hidden="1" thickBot="1" x14ac:dyDescent="0.25">
      <c r="A1422" s="317">
        <v>97597</v>
      </c>
      <c r="B1422" s="895">
        <v>97597</v>
      </c>
      <c r="C1422" s="896" t="s">
        <v>596</v>
      </c>
      <c r="D1422" s="906" t="s">
        <v>1348</v>
      </c>
      <c r="E1422" s="907">
        <f>GLOBAL_DER_FEV_2023!E1422</f>
        <v>0</v>
      </c>
      <c r="F1422" s="908">
        <f>GLOBAL_DER_FEV_2023!F1422</f>
        <v>0</v>
      </c>
      <c r="G1422" s="912">
        <f>GLOBAL_DER_FEV_2023!G1422</f>
        <v>0</v>
      </c>
      <c r="H1422" s="901">
        <f>GLOBAL_DER_FEV_2023!H1422</f>
        <v>81.42</v>
      </c>
      <c r="I1422" s="901">
        <f>GLOBAL_DER_FEV_2023!I1422</f>
        <v>81.42</v>
      </c>
      <c r="J1422" s="902">
        <f>GLOBAL_DER_FEV_2023!J1422</f>
        <v>97.76</v>
      </c>
      <c r="K1422" s="903" t="s">
        <v>1516</v>
      </c>
      <c r="L1422" s="1137"/>
      <c r="M1422" s="1138">
        <f t="shared" si="102"/>
        <v>0</v>
      </c>
      <c r="N1422" s="893">
        <f t="shared" si="106"/>
        <v>0</v>
      </c>
      <c r="O1422" s="905"/>
      <c r="Q1422" s="317" t="str">
        <f t="shared" si="103"/>
        <v/>
      </c>
      <c r="R1422" s="317" t="str">
        <f t="shared" si="104"/>
        <v/>
      </c>
      <c r="S1422" s="317" t="str">
        <f t="shared" si="105"/>
        <v/>
      </c>
      <c r="T1422" s="317" t="str">
        <f>GLOBAL_DER_FEV_2023!S1422</f>
        <v/>
      </c>
      <c r="W1422" s="582">
        <v>0</v>
      </c>
      <c r="X1422" s="580"/>
      <c r="Y1422" s="583">
        <f>IF(GLOBAL_DER_FEV_2023!W1422=0,0,IF(GLOBAL_DER_FEV_2023!W1422&gt;0,"c","b"))</f>
        <v>0</v>
      </c>
    </row>
    <row r="1423" spans="1:25" ht="23.25" hidden="1" thickBot="1" x14ac:dyDescent="0.25">
      <c r="A1423" s="317">
        <v>97598</v>
      </c>
      <c r="B1423" s="895">
        <v>97598</v>
      </c>
      <c r="C1423" s="896" t="s">
        <v>596</v>
      </c>
      <c r="D1423" s="906" t="s">
        <v>1349</v>
      </c>
      <c r="E1423" s="907">
        <f>GLOBAL_DER_FEV_2023!E1423</f>
        <v>0</v>
      </c>
      <c r="F1423" s="908">
        <f>GLOBAL_DER_FEV_2023!F1423</f>
        <v>0</v>
      </c>
      <c r="G1423" s="912">
        <f>GLOBAL_DER_FEV_2023!G1423</f>
        <v>0</v>
      </c>
      <c r="H1423" s="901">
        <f>GLOBAL_DER_FEV_2023!H1423</f>
        <v>76.88</v>
      </c>
      <c r="I1423" s="901">
        <f>GLOBAL_DER_FEV_2023!I1423</f>
        <v>76.88</v>
      </c>
      <c r="J1423" s="902">
        <f>GLOBAL_DER_FEV_2023!J1423</f>
        <v>92.31</v>
      </c>
      <c r="K1423" s="903" t="s">
        <v>1516</v>
      </c>
      <c r="L1423" s="1137"/>
      <c r="M1423" s="1138">
        <f t="shared" si="102"/>
        <v>0</v>
      </c>
      <c r="N1423" s="893">
        <f t="shared" si="106"/>
        <v>0</v>
      </c>
      <c r="O1423" s="905"/>
      <c r="Q1423" s="317" t="str">
        <f t="shared" si="103"/>
        <v/>
      </c>
      <c r="R1423" s="317" t="str">
        <f t="shared" si="104"/>
        <v/>
      </c>
      <c r="S1423" s="317" t="str">
        <f t="shared" si="105"/>
        <v/>
      </c>
      <c r="T1423" s="317" t="str">
        <f>GLOBAL_DER_FEV_2023!S1423</f>
        <v/>
      </c>
      <c r="W1423" s="582">
        <v>0</v>
      </c>
      <c r="X1423" s="580"/>
      <c r="Y1423" s="583">
        <f>IF(GLOBAL_DER_FEV_2023!W1423=0,0,IF(GLOBAL_DER_FEV_2023!W1423&gt;0,"c","b"))</f>
        <v>0</v>
      </c>
    </row>
    <row r="1424" spans="1:25" ht="23.25" hidden="1" thickBot="1" x14ac:dyDescent="0.25">
      <c r="A1424" s="317">
        <v>97599</v>
      </c>
      <c r="B1424" s="895">
        <v>97599</v>
      </c>
      <c r="C1424" s="896" t="s">
        <v>596</v>
      </c>
      <c r="D1424" s="906" t="s">
        <v>1350</v>
      </c>
      <c r="E1424" s="907">
        <f>GLOBAL_DER_FEV_2023!E1424</f>
        <v>0</v>
      </c>
      <c r="F1424" s="908">
        <f>GLOBAL_DER_FEV_2023!F1424</f>
        <v>0</v>
      </c>
      <c r="G1424" s="912">
        <f>GLOBAL_DER_FEV_2023!G1424</f>
        <v>0</v>
      </c>
      <c r="H1424" s="901">
        <f>GLOBAL_DER_FEV_2023!H1424</f>
        <v>28.78</v>
      </c>
      <c r="I1424" s="901">
        <f>GLOBAL_DER_FEV_2023!I1424</f>
        <v>28.78</v>
      </c>
      <c r="J1424" s="902">
        <f>GLOBAL_DER_FEV_2023!J1424</f>
        <v>34.56</v>
      </c>
      <c r="K1424" s="903" t="s">
        <v>1516</v>
      </c>
      <c r="L1424" s="1137"/>
      <c r="M1424" s="1138">
        <f t="shared" si="102"/>
        <v>0</v>
      </c>
      <c r="N1424" s="893">
        <f t="shared" si="106"/>
        <v>0</v>
      </c>
      <c r="O1424" s="905"/>
      <c r="Q1424" s="317" t="str">
        <f t="shared" si="103"/>
        <v/>
      </c>
      <c r="R1424" s="317" t="str">
        <f t="shared" si="104"/>
        <v/>
      </c>
      <c r="S1424" s="317" t="str">
        <f t="shared" si="105"/>
        <v/>
      </c>
      <c r="T1424" s="317" t="str">
        <f>GLOBAL_DER_FEV_2023!S1424</f>
        <v/>
      </c>
      <c r="W1424" s="582">
        <v>0</v>
      </c>
      <c r="X1424" s="580"/>
      <c r="Y1424" s="583">
        <f>IF(GLOBAL_DER_FEV_2023!W1424=0,0,IF(GLOBAL_DER_FEV_2023!W1424&gt;0,"c","b"))</f>
        <v>0</v>
      </c>
    </row>
    <row r="1425" spans="1:25" ht="23.25" hidden="1" thickBot="1" x14ac:dyDescent="0.25">
      <c r="A1425" s="317">
        <v>97583</v>
      </c>
      <c r="B1425" s="895">
        <v>97583</v>
      </c>
      <c r="C1425" s="896" t="s">
        <v>596</v>
      </c>
      <c r="D1425" s="906" t="s">
        <v>1351</v>
      </c>
      <c r="E1425" s="907">
        <f>GLOBAL_DER_FEV_2023!E1425</f>
        <v>0</v>
      </c>
      <c r="F1425" s="908">
        <f>GLOBAL_DER_FEV_2023!F1425</f>
        <v>0</v>
      </c>
      <c r="G1425" s="912">
        <f>GLOBAL_DER_FEV_2023!G1425</f>
        <v>0</v>
      </c>
      <c r="H1425" s="901">
        <f>GLOBAL_DER_FEV_2023!H1425</f>
        <v>99.02</v>
      </c>
      <c r="I1425" s="901">
        <f>GLOBAL_DER_FEV_2023!I1425</f>
        <v>99.02</v>
      </c>
      <c r="J1425" s="902">
        <f>GLOBAL_DER_FEV_2023!J1425</f>
        <v>118.89</v>
      </c>
      <c r="K1425" s="903" t="s">
        <v>1516</v>
      </c>
      <c r="L1425" s="1137"/>
      <c r="M1425" s="1138">
        <f t="shared" si="102"/>
        <v>0</v>
      </c>
      <c r="N1425" s="893">
        <f t="shared" si="106"/>
        <v>0</v>
      </c>
      <c r="O1425" s="905"/>
      <c r="Q1425" s="317" t="str">
        <f t="shared" si="103"/>
        <v/>
      </c>
      <c r="R1425" s="317" t="str">
        <f t="shared" si="104"/>
        <v/>
      </c>
      <c r="S1425" s="317" t="str">
        <f t="shared" si="105"/>
        <v/>
      </c>
      <c r="T1425" s="317" t="str">
        <f>GLOBAL_DER_FEV_2023!S1425</f>
        <v/>
      </c>
      <c r="W1425" s="582">
        <v>0</v>
      </c>
      <c r="X1425" s="580"/>
      <c r="Y1425" s="583">
        <f>IF(GLOBAL_DER_FEV_2023!W1425=0,0,IF(GLOBAL_DER_FEV_2023!W1425&gt;0,"c","b"))</f>
        <v>0</v>
      </c>
    </row>
    <row r="1426" spans="1:25" ht="34.5" hidden="1" thickBot="1" x14ac:dyDescent="0.25">
      <c r="A1426" s="317">
        <v>101662</v>
      </c>
      <c r="B1426" s="895">
        <v>101662</v>
      </c>
      <c r="C1426" s="896" t="s">
        <v>596</v>
      </c>
      <c r="D1426" s="906" t="s">
        <v>1352</v>
      </c>
      <c r="E1426" s="907">
        <f>GLOBAL_DER_FEV_2023!E1426</f>
        <v>0</v>
      </c>
      <c r="F1426" s="908">
        <f>GLOBAL_DER_FEV_2023!F1426</f>
        <v>0</v>
      </c>
      <c r="G1426" s="912">
        <f>GLOBAL_DER_FEV_2023!G1426</f>
        <v>0</v>
      </c>
      <c r="H1426" s="901">
        <f>GLOBAL_DER_FEV_2023!H1426</f>
        <v>794.92</v>
      </c>
      <c r="I1426" s="901">
        <f>GLOBAL_DER_FEV_2023!I1426</f>
        <v>794.92</v>
      </c>
      <c r="J1426" s="902">
        <f>GLOBAL_DER_FEV_2023!J1426</f>
        <v>954.46</v>
      </c>
      <c r="K1426" s="903" t="s">
        <v>1516</v>
      </c>
      <c r="L1426" s="1137"/>
      <c r="M1426" s="1138">
        <f t="shared" ref="M1426:M1489" si="107">IF(L1426=0,0,ROUND(J1426,2))</f>
        <v>0</v>
      </c>
      <c r="N1426" s="893">
        <f t="shared" si="106"/>
        <v>0</v>
      </c>
      <c r="O1426" s="905"/>
      <c r="Q1426" s="317" t="str">
        <f t="shared" si="103"/>
        <v/>
      </c>
      <c r="R1426" s="317" t="str">
        <f t="shared" si="104"/>
        <v/>
      </c>
      <c r="S1426" s="317" t="str">
        <f t="shared" si="105"/>
        <v/>
      </c>
      <c r="T1426" s="317" t="str">
        <f>GLOBAL_DER_FEV_2023!S1426</f>
        <v/>
      </c>
      <c r="W1426" s="582">
        <v>0</v>
      </c>
      <c r="X1426" s="580"/>
      <c r="Y1426" s="583">
        <f>IF(GLOBAL_DER_FEV_2023!W1426=0,0,IF(GLOBAL_DER_FEV_2023!W1426&gt;0,"c","b"))</f>
        <v>0</v>
      </c>
    </row>
    <row r="1427" spans="1:25" ht="23.25" hidden="1" thickBot="1" x14ac:dyDescent="0.25">
      <c r="A1427" s="317">
        <v>101652</v>
      </c>
      <c r="B1427" s="895">
        <v>101652</v>
      </c>
      <c r="C1427" s="896" t="s">
        <v>596</v>
      </c>
      <c r="D1427" s="906" t="s">
        <v>1353</v>
      </c>
      <c r="E1427" s="907">
        <f>GLOBAL_DER_FEV_2023!E1427</f>
        <v>0</v>
      </c>
      <c r="F1427" s="908">
        <f>GLOBAL_DER_FEV_2023!F1427</f>
        <v>0</v>
      </c>
      <c r="G1427" s="912">
        <f>GLOBAL_DER_FEV_2023!G1427</f>
        <v>0</v>
      </c>
      <c r="H1427" s="901">
        <f>GLOBAL_DER_FEV_2023!H1427</f>
        <v>576.32000000000005</v>
      </c>
      <c r="I1427" s="901">
        <f>GLOBAL_DER_FEV_2023!I1427</f>
        <v>576.32000000000005</v>
      </c>
      <c r="J1427" s="902">
        <f>GLOBAL_DER_FEV_2023!J1427</f>
        <v>691.99</v>
      </c>
      <c r="K1427" s="903" t="s">
        <v>1516</v>
      </c>
      <c r="L1427" s="1137"/>
      <c r="M1427" s="1138">
        <f t="shared" si="107"/>
        <v>0</v>
      </c>
      <c r="N1427" s="893">
        <f t="shared" si="106"/>
        <v>0</v>
      </c>
      <c r="O1427" s="905"/>
      <c r="Q1427" s="317" t="str">
        <f t="shared" si="103"/>
        <v/>
      </c>
      <c r="R1427" s="317" t="str">
        <f t="shared" si="104"/>
        <v/>
      </c>
      <c r="S1427" s="317" t="str">
        <f t="shared" si="105"/>
        <v/>
      </c>
      <c r="T1427" s="317" t="str">
        <f>GLOBAL_DER_FEV_2023!S1427</f>
        <v/>
      </c>
      <c r="W1427" s="582">
        <v>0</v>
      </c>
      <c r="X1427" s="580"/>
      <c r="Y1427" s="583">
        <f>IF(GLOBAL_DER_FEV_2023!W1427=0,0,IF(GLOBAL_DER_FEV_2023!W1427&gt;0,"c","b"))</f>
        <v>0</v>
      </c>
    </row>
    <row r="1428" spans="1:25" ht="45.75" hidden="1" thickBot="1" x14ac:dyDescent="0.25">
      <c r="A1428" s="317">
        <v>101653</v>
      </c>
      <c r="B1428" s="895">
        <v>101653</v>
      </c>
      <c r="C1428" s="896" t="s">
        <v>596</v>
      </c>
      <c r="D1428" s="906" t="s">
        <v>1354</v>
      </c>
      <c r="E1428" s="907">
        <f>GLOBAL_DER_FEV_2023!E1428</f>
        <v>0</v>
      </c>
      <c r="F1428" s="908">
        <f>GLOBAL_DER_FEV_2023!F1428</f>
        <v>0</v>
      </c>
      <c r="G1428" s="912">
        <f>GLOBAL_DER_FEV_2023!G1428</f>
        <v>0</v>
      </c>
      <c r="H1428" s="901">
        <f>GLOBAL_DER_FEV_2023!H1428</f>
        <v>311.74</v>
      </c>
      <c r="I1428" s="901">
        <f>GLOBAL_DER_FEV_2023!I1428</f>
        <v>311.74</v>
      </c>
      <c r="J1428" s="902">
        <f>GLOBAL_DER_FEV_2023!J1428</f>
        <v>374.31</v>
      </c>
      <c r="K1428" s="903" t="s">
        <v>1516</v>
      </c>
      <c r="L1428" s="1137"/>
      <c r="M1428" s="1138">
        <f t="shared" si="107"/>
        <v>0</v>
      </c>
      <c r="N1428" s="893">
        <f t="shared" si="106"/>
        <v>0</v>
      </c>
      <c r="O1428" s="905"/>
      <c r="Q1428" s="317" t="str">
        <f t="shared" si="103"/>
        <v/>
      </c>
      <c r="R1428" s="317" t="str">
        <f t="shared" si="104"/>
        <v/>
      </c>
      <c r="S1428" s="317" t="str">
        <f t="shared" si="105"/>
        <v/>
      </c>
      <c r="T1428" s="317" t="str">
        <f>GLOBAL_DER_FEV_2023!S1428</f>
        <v/>
      </c>
      <c r="W1428" s="582">
        <v>0</v>
      </c>
      <c r="X1428" s="580"/>
      <c r="Y1428" s="583">
        <f>IF(GLOBAL_DER_FEV_2023!W1428=0,0,IF(GLOBAL_DER_FEV_2023!W1428&gt;0,"c","b"))</f>
        <v>0</v>
      </c>
    </row>
    <row r="1429" spans="1:25" ht="23.25" hidden="1" thickBot="1" x14ac:dyDescent="0.25">
      <c r="A1429" s="317">
        <v>97584</v>
      </c>
      <c r="B1429" s="895">
        <v>97584</v>
      </c>
      <c r="C1429" s="896" t="s">
        <v>596</v>
      </c>
      <c r="D1429" s="906" t="s">
        <v>1355</v>
      </c>
      <c r="E1429" s="907">
        <f>GLOBAL_DER_FEV_2023!E1429</f>
        <v>0</v>
      </c>
      <c r="F1429" s="908">
        <f>GLOBAL_DER_FEV_2023!F1429</f>
        <v>0</v>
      </c>
      <c r="G1429" s="912">
        <f>GLOBAL_DER_FEV_2023!G1429</f>
        <v>0</v>
      </c>
      <c r="H1429" s="901">
        <f>GLOBAL_DER_FEV_2023!H1429</f>
        <v>138.43</v>
      </c>
      <c r="I1429" s="901">
        <f>GLOBAL_DER_FEV_2023!I1429</f>
        <v>138.43</v>
      </c>
      <c r="J1429" s="902">
        <f>GLOBAL_DER_FEV_2023!J1429</f>
        <v>166.21</v>
      </c>
      <c r="K1429" s="903" t="s">
        <v>1516</v>
      </c>
      <c r="L1429" s="1137"/>
      <c r="M1429" s="1138">
        <f t="shared" si="107"/>
        <v>0</v>
      </c>
      <c r="N1429" s="893">
        <f t="shared" si="106"/>
        <v>0</v>
      </c>
      <c r="O1429" s="905"/>
      <c r="Q1429" s="317" t="str">
        <f t="shared" si="103"/>
        <v/>
      </c>
      <c r="R1429" s="317" t="str">
        <f t="shared" si="104"/>
        <v/>
      </c>
      <c r="S1429" s="317" t="str">
        <f t="shared" si="105"/>
        <v/>
      </c>
      <c r="T1429" s="317" t="str">
        <f>GLOBAL_DER_FEV_2023!S1429</f>
        <v/>
      </c>
      <c r="W1429" s="582">
        <v>0</v>
      </c>
      <c r="X1429" s="580"/>
      <c r="Y1429" s="583">
        <f>IF(GLOBAL_DER_FEV_2023!W1429=0,0,IF(GLOBAL_DER_FEV_2023!W1429&gt;0,"c","b"))</f>
        <v>0</v>
      </c>
    </row>
    <row r="1430" spans="1:25" ht="34.5" hidden="1" thickBot="1" x14ac:dyDescent="0.25">
      <c r="A1430" s="317">
        <v>97585</v>
      </c>
      <c r="B1430" s="895">
        <v>97585</v>
      </c>
      <c r="C1430" s="896" t="s">
        <v>596</v>
      </c>
      <c r="D1430" s="906" t="s">
        <v>1356</v>
      </c>
      <c r="E1430" s="907">
        <f>GLOBAL_DER_FEV_2023!E1430</f>
        <v>0</v>
      </c>
      <c r="F1430" s="908">
        <f>GLOBAL_DER_FEV_2023!F1430</f>
        <v>0</v>
      </c>
      <c r="G1430" s="912">
        <f>GLOBAL_DER_FEV_2023!G1430</f>
        <v>0</v>
      </c>
      <c r="H1430" s="901">
        <f>GLOBAL_DER_FEV_2023!H1430</f>
        <v>133.19999999999999</v>
      </c>
      <c r="I1430" s="901">
        <f>GLOBAL_DER_FEV_2023!I1430</f>
        <v>133.19999999999999</v>
      </c>
      <c r="J1430" s="902">
        <f>GLOBAL_DER_FEV_2023!J1430</f>
        <v>159.93</v>
      </c>
      <c r="K1430" s="903" t="s">
        <v>1516</v>
      </c>
      <c r="L1430" s="1137"/>
      <c r="M1430" s="1138">
        <f t="shared" si="107"/>
        <v>0</v>
      </c>
      <c r="N1430" s="893">
        <f t="shared" si="106"/>
        <v>0</v>
      </c>
      <c r="O1430" s="905"/>
      <c r="Q1430" s="317" t="str">
        <f t="shared" si="103"/>
        <v/>
      </c>
      <c r="R1430" s="317" t="str">
        <f t="shared" si="104"/>
        <v/>
      </c>
      <c r="S1430" s="317" t="str">
        <f t="shared" si="105"/>
        <v/>
      </c>
      <c r="T1430" s="317" t="str">
        <f>GLOBAL_DER_FEV_2023!S1430</f>
        <v/>
      </c>
      <c r="W1430" s="582">
        <v>0</v>
      </c>
      <c r="X1430" s="580"/>
      <c r="Y1430" s="583">
        <f>IF(GLOBAL_DER_FEV_2023!W1430=0,0,IF(GLOBAL_DER_FEV_2023!W1430&gt;0,"c","b"))</f>
        <v>0</v>
      </c>
    </row>
    <row r="1431" spans="1:25" ht="34.5" hidden="1" thickBot="1" x14ac:dyDescent="0.25">
      <c r="A1431" s="317">
        <v>97586</v>
      </c>
      <c r="B1431" s="895">
        <v>97586</v>
      </c>
      <c r="C1431" s="896" t="s">
        <v>596</v>
      </c>
      <c r="D1431" s="906" t="s">
        <v>1357</v>
      </c>
      <c r="E1431" s="907">
        <f>GLOBAL_DER_FEV_2023!E1431</f>
        <v>0</v>
      </c>
      <c r="F1431" s="908">
        <f>GLOBAL_DER_FEV_2023!F1431</f>
        <v>0</v>
      </c>
      <c r="G1431" s="912">
        <f>GLOBAL_DER_FEV_2023!G1431</f>
        <v>0</v>
      </c>
      <c r="H1431" s="901">
        <f>GLOBAL_DER_FEV_2023!H1431</f>
        <v>180.8</v>
      </c>
      <c r="I1431" s="901">
        <f>GLOBAL_DER_FEV_2023!I1431</f>
        <v>180.8</v>
      </c>
      <c r="J1431" s="902">
        <f>GLOBAL_DER_FEV_2023!J1431</f>
        <v>217.09</v>
      </c>
      <c r="K1431" s="903" t="s">
        <v>1516</v>
      </c>
      <c r="L1431" s="1137"/>
      <c r="M1431" s="1138">
        <f t="shared" si="107"/>
        <v>0</v>
      </c>
      <c r="N1431" s="893">
        <f t="shared" si="106"/>
        <v>0</v>
      </c>
      <c r="O1431" s="905"/>
      <c r="Q1431" s="317" t="str">
        <f t="shared" si="103"/>
        <v/>
      </c>
      <c r="R1431" s="317" t="str">
        <f t="shared" si="104"/>
        <v/>
      </c>
      <c r="S1431" s="317" t="str">
        <f t="shared" si="105"/>
        <v/>
      </c>
      <c r="T1431" s="317" t="str">
        <f>GLOBAL_DER_FEV_2023!S1431</f>
        <v/>
      </c>
      <c r="W1431" s="582">
        <v>0</v>
      </c>
      <c r="X1431" s="580"/>
      <c r="Y1431" s="583">
        <f>IF(GLOBAL_DER_FEV_2023!W1431=0,0,IF(GLOBAL_DER_FEV_2023!W1431&gt;0,"c","b"))</f>
        <v>0</v>
      </c>
    </row>
    <row r="1432" spans="1:25" ht="23.25" hidden="1" thickBot="1" x14ac:dyDescent="0.25">
      <c r="A1432" s="317">
        <v>97587</v>
      </c>
      <c r="B1432" s="895">
        <v>97587</v>
      </c>
      <c r="C1432" s="896" t="s">
        <v>596</v>
      </c>
      <c r="D1432" s="906" t="s">
        <v>1358</v>
      </c>
      <c r="E1432" s="907">
        <f>GLOBAL_DER_FEV_2023!E1432</f>
        <v>0</v>
      </c>
      <c r="F1432" s="908">
        <f>GLOBAL_DER_FEV_2023!F1432</f>
        <v>0</v>
      </c>
      <c r="G1432" s="912">
        <f>GLOBAL_DER_FEV_2023!G1432</f>
        <v>0</v>
      </c>
      <c r="H1432" s="901">
        <f>GLOBAL_DER_FEV_2023!H1432</f>
        <v>329.67</v>
      </c>
      <c r="I1432" s="901">
        <f>GLOBAL_DER_FEV_2023!I1432</f>
        <v>329.67</v>
      </c>
      <c r="J1432" s="902">
        <f>GLOBAL_DER_FEV_2023!J1432</f>
        <v>395.83</v>
      </c>
      <c r="K1432" s="903" t="s">
        <v>1516</v>
      </c>
      <c r="L1432" s="1137"/>
      <c r="M1432" s="1138">
        <f t="shared" si="107"/>
        <v>0</v>
      </c>
      <c r="N1432" s="893">
        <f t="shared" si="106"/>
        <v>0</v>
      </c>
      <c r="O1432" s="905"/>
      <c r="Q1432" s="317" t="str">
        <f t="shared" si="103"/>
        <v/>
      </c>
      <c r="R1432" s="317" t="str">
        <f t="shared" si="104"/>
        <v/>
      </c>
      <c r="S1432" s="317" t="str">
        <f t="shared" si="105"/>
        <v/>
      </c>
      <c r="T1432" s="317" t="str">
        <f>GLOBAL_DER_FEV_2023!S1432</f>
        <v/>
      </c>
      <c r="W1432" s="582">
        <v>0</v>
      </c>
      <c r="X1432" s="580"/>
      <c r="Y1432" s="583">
        <f>IF(GLOBAL_DER_FEV_2023!W1432=0,0,IF(GLOBAL_DER_FEV_2023!W1432&gt;0,"c","b"))</f>
        <v>0</v>
      </c>
    </row>
    <row r="1433" spans="1:25" ht="23.25" hidden="1" thickBot="1" x14ac:dyDescent="0.25">
      <c r="A1433" s="317">
        <v>97589</v>
      </c>
      <c r="B1433" s="895">
        <v>97589</v>
      </c>
      <c r="C1433" s="896" t="s">
        <v>596</v>
      </c>
      <c r="D1433" s="906" t="s">
        <v>1359</v>
      </c>
      <c r="E1433" s="907">
        <f>GLOBAL_DER_FEV_2023!E1433</f>
        <v>0</v>
      </c>
      <c r="F1433" s="908">
        <f>GLOBAL_DER_FEV_2023!F1433</f>
        <v>0</v>
      </c>
      <c r="G1433" s="912">
        <f>GLOBAL_DER_FEV_2023!G1433</f>
        <v>0</v>
      </c>
      <c r="H1433" s="901">
        <f>GLOBAL_DER_FEV_2023!H1433</f>
        <v>47.54</v>
      </c>
      <c r="I1433" s="901">
        <f>GLOBAL_DER_FEV_2023!I1433</f>
        <v>47.54</v>
      </c>
      <c r="J1433" s="902">
        <f>GLOBAL_DER_FEV_2023!J1433</f>
        <v>57.08</v>
      </c>
      <c r="K1433" s="903" t="s">
        <v>1516</v>
      </c>
      <c r="L1433" s="1137"/>
      <c r="M1433" s="1138">
        <f t="shared" si="107"/>
        <v>0</v>
      </c>
      <c r="N1433" s="893">
        <f t="shared" si="106"/>
        <v>0</v>
      </c>
      <c r="O1433" s="905"/>
      <c r="Q1433" s="317" t="str">
        <f t="shared" si="103"/>
        <v/>
      </c>
      <c r="R1433" s="317" t="str">
        <f t="shared" si="104"/>
        <v/>
      </c>
      <c r="S1433" s="317" t="str">
        <f t="shared" si="105"/>
        <v/>
      </c>
      <c r="T1433" s="317" t="str">
        <f>GLOBAL_DER_FEV_2023!S1433</f>
        <v/>
      </c>
      <c r="W1433" s="582">
        <v>0</v>
      </c>
      <c r="X1433" s="580"/>
      <c r="Y1433" s="583">
        <f>IF(GLOBAL_DER_FEV_2023!W1433=0,0,IF(GLOBAL_DER_FEV_2023!W1433&gt;0,"c","b"))</f>
        <v>0</v>
      </c>
    </row>
    <row r="1434" spans="1:25" ht="34.5" hidden="1" thickBot="1" x14ac:dyDescent="0.25">
      <c r="A1434" s="317">
        <v>97590</v>
      </c>
      <c r="B1434" s="895">
        <v>97590</v>
      </c>
      <c r="C1434" s="896" t="s">
        <v>596</v>
      </c>
      <c r="D1434" s="906" t="s">
        <v>1360</v>
      </c>
      <c r="E1434" s="907">
        <f>GLOBAL_DER_FEV_2023!E1434</f>
        <v>0</v>
      </c>
      <c r="F1434" s="908">
        <f>GLOBAL_DER_FEV_2023!F1434</f>
        <v>0</v>
      </c>
      <c r="G1434" s="912">
        <f>GLOBAL_DER_FEV_2023!G1434</f>
        <v>0</v>
      </c>
      <c r="H1434" s="901">
        <f>GLOBAL_DER_FEV_2023!H1434</f>
        <v>113.3</v>
      </c>
      <c r="I1434" s="901">
        <f>GLOBAL_DER_FEV_2023!I1434</f>
        <v>113.3</v>
      </c>
      <c r="J1434" s="902">
        <f>GLOBAL_DER_FEV_2023!J1434</f>
        <v>136.04</v>
      </c>
      <c r="K1434" s="903" t="s">
        <v>1516</v>
      </c>
      <c r="L1434" s="1137"/>
      <c r="M1434" s="1138">
        <f t="shared" si="107"/>
        <v>0</v>
      </c>
      <c r="N1434" s="893">
        <f t="shared" si="106"/>
        <v>0</v>
      </c>
      <c r="O1434" s="905"/>
      <c r="Q1434" s="317" t="str">
        <f t="shared" si="103"/>
        <v/>
      </c>
      <c r="R1434" s="317" t="str">
        <f t="shared" si="104"/>
        <v/>
      </c>
      <c r="S1434" s="317" t="str">
        <f t="shared" si="105"/>
        <v/>
      </c>
      <c r="T1434" s="317" t="str">
        <f>GLOBAL_DER_FEV_2023!S1434</f>
        <v/>
      </c>
      <c r="W1434" s="582">
        <v>0</v>
      </c>
      <c r="X1434" s="580"/>
      <c r="Y1434" s="583">
        <f>IF(GLOBAL_DER_FEV_2023!W1434=0,0,IF(GLOBAL_DER_FEV_2023!W1434&gt;0,"c","b"))</f>
        <v>0</v>
      </c>
    </row>
    <row r="1435" spans="1:25" ht="34.5" hidden="1" thickBot="1" x14ac:dyDescent="0.25">
      <c r="A1435" s="317">
        <v>97591</v>
      </c>
      <c r="B1435" s="895">
        <v>97591</v>
      </c>
      <c r="C1435" s="896" t="s">
        <v>596</v>
      </c>
      <c r="D1435" s="906" t="s">
        <v>1361</v>
      </c>
      <c r="E1435" s="907">
        <f>GLOBAL_DER_FEV_2023!E1435</f>
        <v>0</v>
      </c>
      <c r="F1435" s="908">
        <f>GLOBAL_DER_FEV_2023!F1435</f>
        <v>0</v>
      </c>
      <c r="G1435" s="912">
        <f>GLOBAL_DER_FEV_2023!G1435</f>
        <v>0</v>
      </c>
      <c r="H1435" s="901">
        <f>GLOBAL_DER_FEV_2023!H1435</f>
        <v>147.91999999999999</v>
      </c>
      <c r="I1435" s="901">
        <f>GLOBAL_DER_FEV_2023!I1435</f>
        <v>147.91999999999999</v>
      </c>
      <c r="J1435" s="902">
        <f>GLOBAL_DER_FEV_2023!J1435</f>
        <v>177.61</v>
      </c>
      <c r="K1435" s="903" t="s">
        <v>1516</v>
      </c>
      <c r="L1435" s="1137"/>
      <c r="M1435" s="1138">
        <f t="shared" si="107"/>
        <v>0</v>
      </c>
      <c r="N1435" s="893">
        <f t="shared" si="106"/>
        <v>0</v>
      </c>
      <c r="O1435" s="905"/>
      <c r="Q1435" s="317" t="str">
        <f t="shared" ref="Q1435:Q1498" si="108">IF(P1435="X","x",IF(P1435="xx","x",IF(P1435="xy","x",IF(P1435="y","x",IF(OR(N1435&gt;0,N1435&gt;0),"x","")))))</f>
        <v/>
      </c>
      <c r="R1435" s="317" t="str">
        <f t="shared" si="104"/>
        <v/>
      </c>
      <c r="S1435" s="317" t="str">
        <f t="shared" si="105"/>
        <v/>
      </c>
      <c r="T1435" s="317" t="str">
        <f>GLOBAL_DER_FEV_2023!S1435</f>
        <v/>
      </c>
      <c r="W1435" s="582">
        <v>0</v>
      </c>
      <c r="X1435" s="580"/>
      <c r="Y1435" s="583">
        <f>IF(GLOBAL_DER_FEV_2023!W1435=0,0,IF(GLOBAL_DER_FEV_2023!W1435&gt;0,"c","b"))</f>
        <v>0</v>
      </c>
    </row>
    <row r="1436" spans="1:25" ht="23.25" hidden="1" thickBot="1" x14ac:dyDescent="0.25">
      <c r="A1436" s="317">
        <v>103782</v>
      </c>
      <c r="B1436" s="895">
        <v>103782</v>
      </c>
      <c r="C1436" s="896" t="s">
        <v>596</v>
      </c>
      <c r="D1436" s="906" t="s">
        <v>1992</v>
      </c>
      <c r="E1436" s="907">
        <f>GLOBAL_DER_FEV_2023!E1436</f>
        <v>0</v>
      </c>
      <c r="F1436" s="908">
        <f>GLOBAL_DER_FEV_2023!F1436</f>
        <v>0</v>
      </c>
      <c r="G1436" s="912">
        <f>GLOBAL_DER_FEV_2023!G1436</f>
        <v>0</v>
      </c>
      <c r="H1436" s="901">
        <f>GLOBAL_DER_FEV_2023!H1436</f>
        <v>41.27</v>
      </c>
      <c r="I1436" s="901">
        <f>GLOBAL_DER_FEV_2023!I1436</f>
        <v>41.27</v>
      </c>
      <c r="J1436" s="902">
        <f>GLOBAL_DER_FEV_2023!J1436</f>
        <v>49.55</v>
      </c>
      <c r="K1436" s="903" t="s">
        <v>1516</v>
      </c>
      <c r="L1436" s="1137"/>
      <c r="M1436" s="1138">
        <f t="shared" si="107"/>
        <v>0</v>
      </c>
      <c r="N1436" s="893">
        <f t="shared" si="106"/>
        <v>0</v>
      </c>
      <c r="O1436" s="905"/>
      <c r="Q1436" s="317" t="str">
        <f t="shared" si="108"/>
        <v/>
      </c>
      <c r="R1436" s="317" t="str">
        <f t="shared" si="104"/>
        <v/>
      </c>
      <c r="S1436" s="317" t="str">
        <f t="shared" si="105"/>
        <v/>
      </c>
      <c r="T1436" s="317" t="str">
        <f>GLOBAL_DER_FEV_2023!S1436</f>
        <v/>
      </c>
      <c r="W1436" s="582">
        <v>0</v>
      </c>
      <c r="X1436" s="580"/>
      <c r="Y1436" s="583">
        <f>IF(GLOBAL_DER_FEV_2023!W1436=0,0,IF(GLOBAL_DER_FEV_2023!W1436&gt;0,"c","b"))</f>
        <v>0</v>
      </c>
    </row>
    <row r="1437" spans="1:25" ht="23.25" hidden="1" thickBot="1" x14ac:dyDescent="0.25">
      <c r="A1437" s="317">
        <v>97593</v>
      </c>
      <c r="B1437" s="895">
        <v>97593</v>
      </c>
      <c r="C1437" s="896" t="s">
        <v>596</v>
      </c>
      <c r="D1437" s="906" t="s">
        <v>1362</v>
      </c>
      <c r="E1437" s="907">
        <f>GLOBAL_DER_FEV_2023!E1437</f>
        <v>0</v>
      </c>
      <c r="F1437" s="908">
        <f>GLOBAL_DER_FEV_2023!F1437</f>
        <v>0</v>
      </c>
      <c r="G1437" s="912">
        <f>GLOBAL_DER_FEV_2023!G1437</f>
        <v>0</v>
      </c>
      <c r="H1437" s="901">
        <f>GLOBAL_DER_FEV_2023!H1437</f>
        <v>163.66999999999999</v>
      </c>
      <c r="I1437" s="901">
        <f>GLOBAL_DER_FEV_2023!I1437</f>
        <v>163.66999999999999</v>
      </c>
      <c r="J1437" s="902">
        <f>GLOBAL_DER_FEV_2023!J1437</f>
        <v>196.52</v>
      </c>
      <c r="K1437" s="903" t="s">
        <v>1516</v>
      </c>
      <c r="L1437" s="1137"/>
      <c r="M1437" s="1138">
        <f t="shared" si="107"/>
        <v>0</v>
      </c>
      <c r="N1437" s="893">
        <f t="shared" si="106"/>
        <v>0</v>
      </c>
      <c r="O1437" s="905"/>
      <c r="Q1437" s="317" t="str">
        <f t="shared" si="108"/>
        <v/>
      </c>
      <c r="R1437" s="317" t="str">
        <f t="shared" ref="R1437:R1500" si="109">IF(P1437="X","x",IF(P1437="y","x",IF(P1437="xx","x",IF(N1437&gt;0,"x",""))))</f>
        <v/>
      </c>
      <c r="S1437" s="317" t="str">
        <f t="shared" ref="S1437:S1500" si="110">IF(P1437="X","x",IF(N1437&gt;0,"x",""))</f>
        <v/>
      </c>
      <c r="T1437" s="317" t="str">
        <f>GLOBAL_DER_FEV_2023!S1437</f>
        <v/>
      </c>
      <c r="W1437" s="582">
        <v>0</v>
      </c>
      <c r="X1437" s="580"/>
      <c r="Y1437" s="583">
        <f>IF(GLOBAL_DER_FEV_2023!W1437=0,0,IF(GLOBAL_DER_FEV_2023!W1437&gt;0,"c","b"))</f>
        <v>0</v>
      </c>
    </row>
    <row r="1438" spans="1:25" ht="23.25" hidden="1" thickBot="1" x14ac:dyDescent="0.25">
      <c r="A1438" s="317">
        <v>97594</v>
      </c>
      <c r="B1438" s="895">
        <v>97594</v>
      </c>
      <c r="C1438" s="896" t="s">
        <v>596</v>
      </c>
      <c r="D1438" s="906" t="s">
        <v>1363</v>
      </c>
      <c r="E1438" s="907">
        <f>GLOBAL_DER_FEV_2023!E1438</f>
        <v>0</v>
      </c>
      <c r="F1438" s="908">
        <f>GLOBAL_DER_FEV_2023!F1438</f>
        <v>0</v>
      </c>
      <c r="G1438" s="912">
        <f>GLOBAL_DER_FEV_2023!G1438</f>
        <v>0</v>
      </c>
      <c r="H1438" s="901">
        <f>GLOBAL_DER_FEV_2023!H1438</f>
        <v>148.53</v>
      </c>
      <c r="I1438" s="901">
        <f>GLOBAL_DER_FEV_2023!I1438</f>
        <v>148.53</v>
      </c>
      <c r="J1438" s="902">
        <f>GLOBAL_DER_FEV_2023!J1438</f>
        <v>178.34</v>
      </c>
      <c r="K1438" s="903" t="s">
        <v>1516</v>
      </c>
      <c r="L1438" s="1137"/>
      <c r="M1438" s="1138">
        <f t="shared" si="107"/>
        <v>0</v>
      </c>
      <c r="N1438" s="893">
        <f t="shared" si="106"/>
        <v>0</v>
      </c>
      <c r="O1438" s="905"/>
      <c r="Q1438" s="317" t="str">
        <f t="shared" si="108"/>
        <v/>
      </c>
      <c r="R1438" s="317" t="str">
        <f t="shared" si="109"/>
        <v/>
      </c>
      <c r="S1438" s="317" t="str">
        <f t="shared" si="110"/>
        <v/>
      </c>
      <c r="T1438" s="317" t="str">
        <f>GLOBAL_DER_FEV_2023!S1438</f>
        <v/>
      </c>
      <c r="W1438" s="582">
        <v>0</v>
      </c>
      <c r="X1438" s="580"/>
      <c r="Y1438" s="583">
        <f>IF(GLOBAL_DER_FEV_2023!W1438=0,0,IF(GLOBAL_DER_FEV_2023!W1438&gt;0,"c","b"))</f>
        <v>0</v>
      </c>
    </row>
    <row r="1439" spans="1:25" ht="23.25" hidden="1" thickBot="1" x14ac:dyDescent="0.25">
      <c r="A1439" s="317">
        <v>101666</v>
      </c>
      <c r="B1439" s="895">
        <v>101666</v>
      </c>
      <c r="C1439" s="896" t="s">
        <v>596</v>
      </c>
      <c r="D1439" s="906" t="s">
        <v>1364</v>
      </c>
      <c r="E1439" s="907">
        <f>GLOBAL_DER_FEV_2023!E1439</f>
        <v>0</v>
      </c>
      <c r="F1439" s="908">
        <f>GLOBAL_DER_FEV_2023!F1439</f>
        <v>0</v>
      </c>
      <c r="G1439" s="912">
        <f>GLOBAL_DER_FEV_2023!G1439</f>
        <v>0</v>
      </c>
      <c r="H1439" s="901">
        <f>GLOBAL_DER_FEV_2023!H1439</f>
        <v>450.92</v>
      </c>
      <c r="I1439" s="901">
        <f>GLOBAL_DER_FEV_2023!I1439</f>
        <v>450.92</v>
      </c>
      <c r="J1439" s="902">
        <f>GLOBAL_DER_FEV_2023!J1439</f>
        <v>541.41999999999996</v>
      </c>
      <c r="K1439" s="903" t="s">
        <v>1516</v>
      </c>
      <c r="L1439" s="1137"/>
      <c r="M1439" s="1138">
        <f t="shared" si="107"/>
        <v>0</v>
      </c>
      <c r="N1439" s="893">
        <f t="shared" si="106"/>
        <v>0</v>
      </c>
      <c r="O1439" s="905"/>
      <c r="Q1439" s="317" t="str">
        <f t="shared" si="108"/>
        <v/>
      </c>
      <c r="R1439" s="317" t="str">
        <f t="shared" si="109"/>
        <v/>
      </c>
      <c r="S1439" s="317" t="str">
        <f t="shared" si="110"/>
        <v/>
      </c>
      <c r="T1439" s="317" t="str">
        <f>GLOBAL_DER_FEV_2023!S1439</f>
        <v/>
      </c>
      <c r="W1439" s="582">
        <v>0</v>
      </c>
      <c r="X1439" s="580"/>
      <c r="Y1439" s="583">
        <f>IF(GLOBAL_DER_FEV_2023!W1439=0,0,IF(GLOBAL_DER_FEV_2023!W1439&gt;0,"c","b"))</f>
        <v>0</v>
      </c>
    </row>
    <row r="1440" spans="1:25" ht="34.5" hidden="1" thickBot="1" x14ac:dyDescent="0.25">
      <c r="A1440" s="317">
        <v>97600</v>
      </c>
      <c r="B1440" s="895">
        <v>97600</v>
      </c>
      <c r="C1440" s="896" t="s">
        <v>596</v>
      </c>
      <c r="D1440" s="906" t="s">
        <v>1365</v>
      </c>
      <c r="E1440" s="907">
        <f>GLOBAL_DER_FEV_2023!E1440</f>
        <v>0</v>
      </c>
      <c r="F1440" s="908">
        <f>GLOBAL_DER_FEV_2023!F1440</f>
        <v>0</v>
      </c>
      <c r="G1440" s="912">
        <f>GLOBAL_DER_FEV_2023!G1440</f>
        <v>0</v>
      </c>
      <c r="H1440" s="901">
        <f>GLOBAL_DER_FEV_2023!H1440</f>
        <v>360.17</v>
      </c>
      <c r="I1440" s="901">
        <f>GLOBAL_DER_FEV_2023!I1440</f>
        <v>360.17</v>
      </c>
      <c r="J1440" s="902">
        <f>GLOBAL_DER_FEV_2023!J1440</f>
        <v>432.46</v>
      </c>
      <c r="K1440" s="903" t="s">
        <v>1516</v>
      </c>
      <c r="L1440" s="1137"/>
      <c r="M1440" s="1138">
        <f t="shared" si="107"/>
        <v>0</v>
      </c>
      <c r="N1440" s="893">
        <f t="shared" si="106"/>
        <v>0</v>
      </c>
      <c r="O1440" s="905"/>
      <c r="Q1440" s="317" t="str">
        <f t="shared" si="108"/>
        <v/>
      </c>
      <c r="R1440" s="317" t="str">
        <f t="shared" si="109"/>
        <v/>
      </c>
      <c r="S1440" s="317" t="str">
        <f t="shared" si="110"/>
        <v/>
      </c>
      <c r="T1440" s="317" t="str">
        <f>GLOBAL_DER_FEV_2023!S1440</f>
        <v/>
      </c>
      <c r="W1440" s="582">
        <v>0</v>
      </c>
      <c r="X1440" s="580"/>
      <c r="Y1440" s="583">
        <f>IF(GLOBAL_DER_FEV_2023!W1440=0,0,IF(GLOBAL_DER_FEV_2023!W1440&gt;0,"c","b"))</f>
        <v>0</v>
      </c>
    </row>
    <row r="1441" spans="1:25" ht="34.5" hidden="1" thickBot="1" x14ac:dyDescent="0.25">
      <c r="A1441" s="317">
        <v>97601</v>
      </c>
      <c r="B1441" s="895">
        <v>97601</v>
      </c>
      <c r="C1441" s="896" t="s">
        <v>596</v>
      </c>
      <c r="D1441" s="906" t="s">
        <v>1366</v>
      </c>
      <c r="E1441" s="907">
        <f>GLOBAL_DER_FEV_2023!E1441</f>
        <v>0</v>
      </c>
      <c r="F1441" s="908">
        <f>GLOBAL_DER_FEV_2023!F1441</f>
        <v>0</v>
      </c>
      <c r="G1441" s="912">
        <f>GLOBAL_DER_FEV_2023!G1441</f>
        <v>0</v>
      </c>
      <c r="H1441" s="901">
        <f>GLOBAL_DER_FEV_2023!H1441</f>
        <v>380.4</v>
      </c>
      <c r="I1441" s="901">
        <f>GLOBAL_DER_FEV_2023!I1441</f>
        <v>380.4</v>
      </c>
      <c r="J1441" s="902">
        <f>GLOBAL_DER_FEV_2023!J1441</f>
        <v>456.75</v>
      </c>
      <c r="K1441" s="903" t="s">
        <v>1516</v>
      </c>
      <c r="L1441" s="1137"/>
      <c r="M1441" s="1138">
        <f t="shared" si="107"/>
        <v>0</v>
      </c>
      <c r="N1441" s="893">
        <f t="shared" ref="N1441:N1504" si="111">IF(ISBLANK(L1441),0,IF(W1441=0,ROUND(L1441*M1441,2),IF(W1441="b",ROUNDDOWN(L1441*M1441,2),ROUNDUP(L1441*M1441,2))))</f>
        <v>0</v>
      </c>
      <c r="O1441" s="905"/>
      <c r="Q1441" s="317" t="str">
        <f t="shared" si="108"/>
        <v/>
      </c>
      <c r="R1441" s="317" t="str">
        <f t="shared" si="109"/>
        <v/>
      </c>
      <c r="S1441" s="317" t="str">
        <f t="shared" si="110"/>
        <v/>
      </c>
      <c r="T1441" s="317" t="str">
        <f>GLOBAL_DER_FEV_2023!S1441</f>
        <v/>
      </c>
      <c r="W1441" s="582">
        <v>0</v>
      </c>
      <c r="X1441" s="580"/>
      <c r="Y1441" s="583">
        <f>IF(GLOBAL_DER_FEV_2023!W1441=0,0,IF(GLOBAL_DER_FEV_2023!W1441&gt;0,"c","b"))</f>
        <v>0</v>
      </c>
    </row>
    <row r="1442" spans="1:25" ht="23.25" hidden="1" thickBot="1" x14ac:dyDescent="0.25">
      <c r="A1442" s="317">
        <v>97611</v>
      </c>
      <c r="B1442" s="895">
        <v>97611</v>
      </c>
      <c r="C1442" s="896" t="s">
        <v>596</v>
      </c>
      <c r="D1442" s="906" t="s">
        <v>1367</v>
      </c>
      <c r="E1442" s="907">
        <f>GLOBAL_DER_FEV_2023!E1442</f>
        <v>0</v>
      </c>
      <c r="F1442" s="908">
        <f>GLOBAL_DER_FEV_2023!F1442</f>
        <v>0</v>
      </c>
      <c r="G1442" s="912">
        <f>GLOBAL_DER_FEV_2023!G1442</f>
        <v>0</v>
      </c>
      <c r="H1442" s="901">
        <f>GLOBAL_DER_FEV_2023!H1442</f>
        <v>27.22</v>
      </c>
      <c r="I1442" s="901">
        <f>GLOBAL_DER_FEV_2023!I1442</f>
        <v>27.22</v>
      </c>
      <c r="J1442" s="902">
        <f>GLOBAL_DER_FEV_2023!J1442</f>
        <v>32.68</v>
      </c>
      <c r="K1442" s="903" t="s">
        <v>1516</v>
      </c>
      <c r="L1442" s="1137"/>
      <c r="M1442" s="1138">
        <f t="shared" si="107"/>
        <v>0</v>
      </c>
      <c r="N1442" s="893">
        <f t="shared" si="111"/>
        <v>0</v>
      </c>
      <c r="O1442" s="905"/>
      <c r="Q1442" s="317" t="str">
        <f t="shared" si="108"/>
        <v/>
      </c>
      <c r="R1442" s="317" t="str">
        <f t="shared" si="109"/>
        <v/>
      </c>
      <c r="S1442" s="317" t="str">
        <f t="shared" si="110"/>
        <v/>
      </c>
      <c r="T1442" s="317" t="str">
        <f>GLOBAL_DER_FEV_2023!S1442</f>
        <v/>
      </c>
      <c r="W1442" s="582">
        <v>0</v>
      </c>
      <c r="X1442" s="580"/>
      <c r="Y1442" s="583">
        <f>IF(GLOBAL_DER_FEV_2023!W1442=0,0,IF(GLOBAL_DER_FEV_2023!W1442&gt;0,"c","b"))</f>
        <v>0</v>
      </c>
    </row>
    <row r="1443" spans="1:25" ht="23.25" hidden="1" thickBot="1" x14ac:dyDescent="0.25">
      <c r="A1443" s="317">
        <v>97612</v>
      </c>
      <c r="B1443" s="895">
        <v>97612</v>
      </c>
      <c r="C1443" s="896" t="s">
        <v>596</v>
      </c>
      <c r="D1443" s="906" t="s">
        <v>1368</v>
      </c>
      <c r="E1443" s="907">
        <f>GLOBAL_DER_FEV_2023!E1443</f>
        <v>0</v>
      </c>
      <c r="F1443" s="908">
        <f>GLOBAL_DER_FEV_2023!F1443</f>
        <v>0</v>
      </c>
      <c r="G1443" s="912">
        <f>GLOBAL_DER_FEV_2023!G1443</f>
        <v>0</v>
      </c>
      <c r="H1443" s="901">
        <f>GLOBAL_DER_FEV_2023!H1443</f>
        <v>29.48</v>
      </c>
      <c r="I1443" s="901">
        <f>GLOBAL_DER_FEV_2023!I1443</f>
        <v>29.48</v>
      </c>
      <c r="J1443" s="902">
        <f>GLOBAL_DER_FEV_2023!J1443</f>
        <v>35.4</v>
      </c>
      <c r="K1443" s="903" t="s">
        <v>1516</v>
      </c>
      <c r="L1443" s="1137"/>
      <c r="M1443" s="1138">
        <f t="shared" si="107"/>
        <v>0</v>
      </c>
      <c r="N1443" s="893">
        <f t="shared" si="111"/>
        <v>0</v>
      </c>
      <c r="O1443" s="905"/>
      <c r="Q1443" s="317" t="str">
        <f t="shared" si="108"/>
        <v/>
      </c>
      <c r="R1443" s="317" t="str">
        <f t="shared" si="109"/>
        <v/>
      </c>
      <c r="S1443" s="317" t="str">
        <f t="shared" si="110"/>
        <v/>
      </c>
      <c r="T1443" s="317" t="str">
        <f>GLOBAL_DER_FEV_2023!S1443</f>
        <v/>
      </c>
      <c r="W1443" s="582">
        <v>0</v>
      </c>
      <c r="X1443" s="580"/>
      <c r="Y1443" s="583">
        <f>IF(GLOBAL_DER_FEV_2023!W1443=0,0,IF(GLOBAL_DER_FEV_2023!W1443&gt;0,"c","b"))</f>
        <v>0</v>
      </c>
    </row>
    <row r="1444" spans="1:25" ht="23.25" hidden="1" thickBot="1" x14ac:dyDescent="0.25">
      <c r="A1444" s="317">
        <v>97615</v>
      </c>
      <c r="B1444" s="895">
        <v>97615</v>
      </c>
      <c r="C1444" s="896" t="s">
        <v>596</v>
      </c>
      <c r="D1444" s="906" t="s">
        <v>1369</v>
      </c>
      <c r="E1444" s="907">
        <f>GLOBAL_DER_FEV_2023!E1444</f>
        <v>0</v>
      </c>
      <c r="F1444" s="908">
        <f>GLOBAL_DER_FEV_2023!F1444</f>
        <v>0</v>
      </c>
      <c r="G1444" s="912">
        <f>GLOBAL_DER_FEV_2023!G1444</f>
        <v>0</v>
      </c>
      <c r="H1444" s="901">
        <f>GLOBAL_DER_FEV_2023!H1444</f>
        <v>62.31</v>
      </c>
      <c r="I1444" s="901">
        <f>GLOBAL_DER_FEV_2023!I1444</f>
        <v>62.31</v>
      </c>
      <c r="J1444" s="902">
        <f>GLOBAL_DER_FEV_2023!J1444</f>
        <v>74.819999999999993</v>
      </c>
      <c r="K1444" s="903" t="s">
        <v>1516</v>
      </c>
      <c r="L1444" s="1137"/>
      <c r="M1444" s="1138">
        <f t="shared" si="107"/>
        <v>0</v>
      </c>
      <c r="N1444" s="893">
        <f t="shared" si="111"/>
        <v>0</v>
      </c>
      <c r="O1444" s="905"/>
      <c r="Q1444" s="317" t="str">
        <f t="shared" si="108"/>
        <v/>
      </c>
      <c r="R1444" s="317" t="str">
        <f t="shared" si="109"/>
        <v/>
      </c>
      <c r="S1444" s="317" t="str">
        <f t="shared" si="110"/>
        <v/>
      </c>
      <c r="T1444" s="317" t="str">
        <f>GLOBAL_DER_FEV_2023!S1444</f>
        <v/>
      </c>
      <c r="W1444" s="582">
        <v>0</v>
      </c>
      <c r="X1444" s="580"/>
      <c r="Y1444" s="583">
        <f>IF(GLOBAL_DER_FEV_2023!W1444=0,0,IF(GLOBAL_DER_FEV_2023!W1444&gt;0,"c","b"))</f>
        <v>0</v>
      </c>
    </row>
    <row r="1445" spans="1:25" ht="23.25" hidden="1" thickBot="1" x14ac:dyDescent="0.25">
      <c r="A1445" s="317">
        <v>97616</v>
      </c>
      <c r="B1445" s="895">
        <v>97616</v>
      </c>
      <c r="C1445" s="896" t="s">
        <v>596</v>
      </c>
      <c r="D1445" s="906" t="s">
        <v>1370</v>
      </c>
      <c r="E1445" s="907">
        <f>GLOBAL_DER_FEV_2023!E1445</f>
        <v>0</v>
      </c>
      <c r="F1445" s="908">
        <f>GLOBAL_DER_FEV_2023!F1445</f>
        <v>0</v>
      </c>
      <c r="G1445" s="912">
        <f>GLOBAL_DER_FEV_2023!G1445</f>
        <v>0</v>
      </c>
      <c r="H1445" s="901">
        <f>GLOBAL_DER_FEV_2023!H1445</f>
        <v>71.38</v>
      </c>
      <c r="I1445" s="901">
        <f>GLOBAL_DER_FEV_2023!I1445</f>
        <v>71.38</v>
      </c>
      <c r="J1445" s="902">
        <f>GLOBAL_DER_FEV_2023!J1445</f>
        <v>85.71</v>
      </c>
      <c r="K1445" s="903" t="s">
        <v>1516</v>
      </c>
      <c r="L1445" s="1137"/>
      <c r="M1445" s="1138">
        <f t="shared" si="107"/>
        <v>0</v>
      </c>
      <c r="N1445" s="893">
        <f t="shared" si="111"/>
        <v>0</v>
      </c>
      <c r="O1445" s="905"/>
      <c r="Q1445" s="317" t="str">
        <f t="shared" si="108"/>
        <v/>
      </c>
      <c r="R1445" s="317" t="str">
        <f t="shared" si="109"/>
        <v/>
      </c>
      <c r="S1445" s="317" t="str">
        <f t="shared" si="110"/>
        <v/>
      </c>
      <c r="T1445" s="317" t="str">
        <f>GLOBAL_DER_FEV_2023!S1445</f>
        <v/>
      </c>
      <c r="W1445" s="582">
        <v>0</v>
      </c>
      <c r="X1445" s="580"/>
      <c r="Y1445" s="583">
        <f>IF(GLOBAL_DER_FEV_2023!W1445=0,0,IF(GLOBAL_DER_FEV_2023!W1445&gt;0,"c","b"))</f>
        <v>0</v>
      </c>
    </row>
    <row r="1446" spans="1:25" ht="23.25" hidden="1" thickBot="1" x14ac:dyDescent="0.25">
      <c r="A1446" s="317">
        <v>97617</v>
      </c>
      <c r="B1446" s="895">
        <v>97617</v>
      </c>
      <c r="C1446" s="896" t="s">
        <v>596</v>
      </c>
      <c r="D1446" s="906" t="s">
        <v>1371</v>
      </c>
      <c r="E1446" s="907">
        <f>GLOBAL_DER_FEV_2023!E1446</f>
        <v>0</v>
      </c>
      <c r="F1446" s="908">
        <f>GLOBAL_DER_FEV_2023!F1446</f>
        <v>0</v>
      </c>
      <c r="G1446" s="912">
        <f>GLOBAL_DER_FEV_2023!G1446</f>
        <v>0</v>
      </c>
      <c r="H1446" s="901">
        <f>GLOBAL_DER_FEV_2023!H1446</f>
        <v>71.03</v>
      </c>
      <c r="I1446" s="901">
        <f>GLOBAL_DER_FEV_2023!I1446</f>
        <v>71.03</v>
      </c>
      <c r="J1446" s="902">
        <f>GLOBAL_DER_FEV_2023!J1446</f>
        <v>85.29</v>
      </c>
      <c r="K1446" s="903" t="s">
        <v>1516</v>
      </c>
      <c r="L1446" s="1137"/>
      <c r="M1446" s="1138">
        <f t="shared" si="107"/>
        <v>0</v>
      </c>
      <c r="N1446" s="893">
        <f t="shared" si="111"/>
        <v>0</v>
      </c>
      <c r="O1446" s="905"/>
      <c r="Q1446" s="317" t="str">
        <f t="shared" si="108"/>
        <v/>
      </c>
      <c r="R1446" s="317" t="str">
        <f t="shared" si="109"/>
        <v/>
      </c>
      <c r="S1446" s="317" t="str">
        <f t="shared" si="110"/>
        <v/>
      </c>
      <c r="T1446" s="317" t="str">
        <f>GLOBAL_DER_FEV_2023!S1446</f>
        <v/>
      </c>
      <c r="W1446" s="582">
        <v>0</v>
      </c>
      <c r="X1446" s="580"/>
      <c r="Y1446" s="583">
        <f>IF(GLOBAL_DER_FEV_2023!W1446=0,0,IF(GLOBAL_DER_FEV_2023!W1446&gt;0,"c","b"))</f>
        <v>0</v>
      </c>
    </row>
    <row r="1447" spans="1:25" ht="23.25" hidden="1" thickBot="1" x14ac:dyDescent="0.25">
      <c r="A1447" s="317">
        <v>97618</v>
      </c>
      <c r="B1447" s="895">
        <v>97618</v>
      </c>
      <c r="C1447" s="896" t="s">
        <v>596</v>
      </c>
      <c r="D1447" s="906" t="s">
        <v>1372</v>
      </c>
      <c r="E1447" s="907">
        <f>GLOBAL_DER_FEV_2023!E1447</f>
        <v>0</v>
      </c>
      <c r="F1447" s="908">
        <f>GLOBAL_DER_FEV_2023!F1447</f>
        <v>0</v>
      </c>
      <c r="G1447" s="912">
        <f>GLOBAL_DER_FEV_2023!G1447</f>
        <v>0</v>
      </c>
      <c r="H1447" s="901">
        <f>GLOBAL_DER_FEV_2023!H1447</f>
        <v>65.489999999999995</v>
      </c>
      <c r="I1447" s="901">
        <f>GLOBAL_DER_FEV_2023!I1447</f>
        <v>65.489999999999995</v>
      </c>
      <c r="J1447" s="902">
        <f>GLOBAL_DER_FEV_2023!J1447</f>
        <v>78.63</v>
      </c>
      <c r="K1447" s="903" t="s">
        <v>1516</v>
      </c>
      <c r="L1447" s="1137"/>
      <c r="M1447" s="1138">
        <f t="shared" si="107"/>
        <v>0</v>
      </c>
      <c r="N1447" s="893">
        <f t="shared" si="111"/>
        <v>0</v>
      </c>
      <c r="O1447" s="905"/>
      <c r="Q1447" s="317" t="str">
        <f t="shared" si="108"/>
        <v/>
      </c>
      <c r="R1447" s="317" t="str">
        <f t="shared" si="109"/>
        <v/>
      </c>
      <c r="S1447" s="317" t="str">
        <f t="shared" si="110"/>
        <v/>
      </c>
      <c r="T1447" s="317" t="str">
        <f>GLOBAL_DER_FEV_2023!S1447</f>
        <v/>
      </c>
      <c r="W1447" s="582">
        <v>0</v>
      </c>
      <c r="X1447" s="580"/>
      <c r="Y1447" s="583">
        <f>IF(GLOBAL_DER_FEV_2023!W1447=0,0,IF(GLOBAL_DER_FEV_2023!W1447&gt;0,"c","b"))</f>
        <v>0</v>
      </c>
    </row>
    <row r="1448" spans="1:25" ht="23.25" hidden="1" thickBot="1" x14ac:dyDescent="0.25">
      <c r="A1448" s="317">
        <v>97613</v>
      </c>
      <c r="B1448" s="895">
        <v>97613</v>
      </c>
      <c r="C1448" s="896" t="s">
        <v>596</v>
      </c>
      <c r="D1448" s="906" t="s">
        <v>1373</v>
      </c>
      <c r="E1448" s="907">
        <f>GLOBAL_DER_FEV_2023!E1448</f>
        <v>0</v>
      </c>
      <c r="F1448" s="908">
        <f>GLOBAL_DER_FEV_2023!F1448</f>
        <v>0</v>
      </c>
      <c r="G1448" s="912">
        <f>GLOBAL_DER_FEV_2023!G1448</f>
        <v>0</v>
      </c>
      <c r="H1448" s="901">
        <f>GLOBAL_DER_FEV_2023!H1448</f>
        <v>37.01</v>
      </c>
      <c r="I1448" s="901">
        <f>GLOBAL_DER_FEV_2023!I1448</f>
        <v>37.01</v>
      </c>
      <c r="J1448" s="902">
        <f>GLOBAL_DER_FEV_2023!J1448</f>
        <v>44.44</v>
      </c>
      <c r="K1448" s="903" t="s">
        <v>1516</v>
      </c>
      <c r="L1448" s="1137"/>
      <c r="M1448" s="1138">
        <f t="shared" si="107"/>
        <v>0</v>
      </c>
      <c r="N1448" s="893">
        <f t="shared" si="111"/>
        <v>0</v>
      </c>
      <c r="O1448" s="905"/>
      <c r="Q1448" s="317" t="str">
        <f t="shared" si="108"/>
        <v/>
      </c>
      <c r="R1448" s="317" t="str">
        <f t="shared" si="109"/>
        <v/>
      </c>
      <c r="S1448" s="317" t="str">
        <f t="shared" si="110"/>
        <v/>
      </c>
      <c r="T1448" s="317" t="str">
        <f>GLOBAL_DER_FEV_2023!S1448</f>
        <v/>
      </c>
      <c r="W1448" s="582">
        <v>0</v>
      </c>
      <c r="X1448" s="580"/>
      <c r="Y1448" s="583">
        <f>IF(GLOBAL_DER_FEV_2023!W1448=0,0,IF(GLOBAL_DER_FEV_2023!W1448&gt;0,"c","b"))</f>
        <v>0</v>
      </c>
    </row>
    <row r="1449" spans="1:25" ht="23.25" hidden="1" thickBot="1" x14ac:dyDescent="0.25">
      <c r="A1449" s="317">
        <v>97614</v>
      </c>
      <c r="B1449" s="895">
        <v>97614</v>
      </c>
      <c r="C1449" s="896" t="s">
        <v>596</v>
      </c>
      <c r="D1449" s="906" t="s">
        <v>1374</v>
      </c>
      <c r="E1449" s="907">
        <f>GLOBAL_DER_FEV_2023!E1449</f>
        <v>0</v>
      </c>
      <c r="F1449" s="908">
        <f>GLOBAL_DER_FEV_2023!F1449</f>
        <v>0</v>
      </c>
      <c r="G1449" s="912">
        <f>GLOBAL_DER_FEV_2023!G1449</f>
        <v>0</v>
      </c>
      <c r="H1449" s="901">
        <f>GLOBAL_DER_FEV_2023!H1449</f>
        <v>64.17</v>
      </c>
      <c r="I1449" s="901">
        <f>GLOBAL_DER_FEV_2023!I1449</f>
        <v>64.17</v>
      </c>
      <c r="J1449" s="902">
        <f>GLOBAL_DER_FEV_2023!J1449</f>
        <v>77.05</v>
      </c>
      <c r="K1449" s="903" t="s">
        <v>1516</v>
      </c>
      <c r="L1449" s="1137"/>
      <c r="M1449" s="1138">
        <f t="shared" si="107"/>
        <v>0</v>
      </c>
      <c r="N1449" s="893">
        <f t="shared" si="111"/>
        <v>0</v>
      </c>
      <c r="O1449" s="905"/>
      <c r="Q1449" s="317" t="str">
        <f t="shared" si="108"/>
        <v/>
      </c>
      <c r="R1449" s="317" t="str">
        <f t="shared" si="109"/>
        <v/>
      </c>
      <c r="S1449" s="317" t="str">
        <f t="shared" si="110"/>
        <v/>
      </c>
      <c r="T1449" s="317" t="str">
        <f>GLOBAL_DER_FEV_2023!S1449</f>
        <v/>
      </c>
      <c r="W1449" s="582">
        <v>0</v>
      </c>
      <c r="X1449" s="580"/>
      <c r="Y1449" s="583">
        <f>IF(GLOBAL_DER_FEV_2023!W1449=0,0,IF(GLOBAL_DER_FEV_2023!W1449&gt;0,"c","b"))</f>
        <v>0</v>
      </c>
    </row>
    <row r="1450" spans="1:25" ht="13.5" hidden="1" thickBot="1" x14ac:dyDescent="0.25">
      <c r="A1450" s="317">
        <v>101648</v>
      </c>
      <c r="B1450" s="895">
        <v>101648</v>
      </c>
      <c r="C1450" s="896" t="s">
        <v>596</v>
      </c>
      <c r="D1450" s="906" t="s">
        <v>1375</v>
      </c>
      <c r="E1450" s="907">
        <f>GLOBAL_DER_FEV_2023!E1450</f>
        <v>0</v>
      </c>
      <c r="F1450" s="908">
        <f>GLOBAL_DER_FEV_2023!F1450</f>
        <v>0</v>
      </c>
      <c r="G1450" s="912">
        <f>GLOBAL_DER_FEV_2023!G1450</f>
        <v>0</v>
      </c>
      <c r="H1450" s="901">
        <f>GLOBAL_DER_FEV_2023!H1450</f>
        <v>57.65</v>
      </c>
      <c r="I1450" s="901">
        <f>GLOBAL_DER_FEV_2023!I1450</f>
        <v>57.65</v>
      </c>
      <c r="J1450" s="902">
        <f>GLOBAL_DER_FEV_2023!J1450</f>
        <v>69.22</v>
      </c>
      <c r="K1450" s="903" t="s">
        <v>1516</v>
      </c>
      <c r="L1450" s="1137"/>
      <c r="M1450" s="1138">
        <f t="shared" si="107"/>
        <v>0</v>
      </c>
      <c r="N1450" s="893">
        <f t="shared" si="111"/>
        <v>0</v>
      </c>
      <c r="O1450" s="905"/>
      <c r="Q1450" s="317" t="str">
        <f t="shared" si="108"/>
        <v/>
      </c>
      <c r="R1450" s="317" t="str">
        <f t="shared" si="109"/>
        <v/>
      </c>
      <c r="S1450" s="317" t="str">
        <f t="shared" si="110"/>
        <v/>
      </c>
      <c r="T1450" s="317" t="str">
        <f>GLOBAL_DER_FEV_2023!S1450</f>
        <v/>
      </c>
      <c r="W1450" s="582">
        <v>0</v>
      </c>
      <c r="X1450" s="580"/>
      <c r="Y1450" s="583">
        <f>IF(GLOBAL_DER_FEV_2023!W1450=0,0,IF(GLOBAL_DER_FEV_2023!W1450&gt;0,"c","b"))</f>
        <v>0</v>
      </c>
    </row>
    <row r="1451" spans="1:25" ht="13.5" hidden="1" thickBot="1" x14ac:dyDescent="0.25">
      <c r="A1451" s="317">
        <v>101649</v>
      </c>
      <c r="B1451" s="895">
        <v>101649</v>
      </c>
      <c r="C1451" s="896" t="s">
        <v>596</v>
      </c>
      <c r="D1451" s="906" t="s">
        <v>1376</v>
      </c>
      <c r="E1451" s="907">
        <f>GLOBAL_DER_FEV_2023!E1451</f>
        <v>0</v>
      </c>
      <c r="F1451" s="908">
        <f>GLOBAL_DER_FEV_2023!F1451</f>
        <v>0</v>
      </c>
      <c r="G1451" s="912">
        <f>GLOBAL_DER_FEV_2023!G1451</f>
        <v>0</v>
      </c>
      <c r="H1451" s="901">
        <f>GLOBAL_DER_FEV_2023!H1451</f>
        <v>66.41</v>
      </c>
      <c r="I1451" s="901">
        <f>GLOBAL_DER_FEV_2023!I1451</f>
        <v>66.41</v>
      </c>
      <c r="J1451" s="902">
        <f>GLOBAL_DER_FEV_2023!J1451</f>
        <v>79.739999999999995</v>
      </c>
      <c r="K1451" s="903" t="s">
        <v>1516</v>
      </c>
      <c r="L1451" s="1137"/>
      <c r="M1451" s="1138">
        <f t="shared" si="107"/>
        <v>0</v>
      </c>
      <c r="N1451" s="893">
        <f t="shared" si="111"/>
        <v>0</v>
      </c>
      <c r="O1451" s="905"/>
      <c r="Q1451" s="317" t="str">
        <f t="shared" si="108"/>
        <v/>
      </c>
      <c r="R1451" s="317" t="str">
        <f t="shared" si="109"/>
        <v/>
      </c>
      <c r="S1451" s="317" t="str">
        <f t="shared" si="110"/>
        <v/>
      </c>
      <c r="T1451" s="317" t="str">
        <f>GLOBAL_DER_FEV_2023!S1451</f>
        <v/>
      </c>
      <c r="W1451" s="582">
        <v>0</v>
      </c>
      <c r="X1451" s="580"/>
      <c r="Y1451" s="583">
        <f>IF(GLOBAL_DER_FEV_2023!W1451=0,0,IF(GLOBAL_DER_FEV_2023!W1451&gt;0,"c","b"))</f>
        <v>0</v>
      </c>
    </row>
    <row r="1452" spans="1:25" ht="13.5" hidden="1" thickBot="1" x14ac:dyDescent="0.25">
      <c r="A1452" s="317">
        <v>101650</v>
      </c>
      <c r="B1452" s="895">
        <v>101650</v>
      </c>
      <c r="C1452" s="896" t="s">
        <v>596</v>
      </c>
      <c r="D1452" s="906" t="s">
        <v>1377</v>
      </c>
      <c r="E1452" s="907">
        <f>GLOBAL_DER_FEV_2023!E1452</f>
        <v>0</v>
      </c>
      <c r="F1452" s="908">
        <f>GLOBAL_DER_FEV_2023!F1452</f>
        <v>0</v>
      </c>
      <c r="G1452" s="912">
        <f>GLOBAL_DER_FEV_2023!G1452</f>
        <v>0</v>
      </c>
      <c r="H1452" s="901">
        <f>GLOBAL_DER_FEV_2023!H1452</f>
        <v>77.16</v>
      </c>
      <c r="I1452" s="901">
        <f>GLOBAL_DER_FEV_2023!I1452</f>
        <v>77.16</v>
      </c>
      <c r="J1452" s="902">
        <f>GLOBAL_DER_FEV_2023!J1452</f>
        <v>92.65</v>
      </c>
      <c r="K1452" s="903" t="s">
        <v>1516</v>
      </c>
      <c r="L1452" s="1137"/>
      <c r="M1452" s="1138">
        <f t="shared" si="107"/>
        <v>0</v>
      </c>
      <c r="N1452" s="893">
        <f t="shared" si="111"/>
        <v>0</v>
      </c>
      <c r="O1452" s="905"/>
      <c r="Q1452" s="317" t="str">
        <f t="shared" si="108"/>
        <v/>
      </c>
      <c r="R1452" s="317" t="str">
        <f t="shared" si="109"/>
        <v/>
      </c>
      <c r="S1452" s="317" t="str">
        <f t="shared" si="110"/>
        <v/>
      </c>
      <c r="T1452" s="317" t="str">
        <f>GLOBAL_DER_FEV_2023!S1452</f>
        <v/>
      </c>
      <c r="W1452" s="582">
        <v>0</v>
      </c>
      <c r="X1452" s="580"/>
      <c r="Y1452" s="583">
        <f>IF(GLOBAL_DER_FEV_2023!W1452=0,0,IF(GLOBAL_DER_FEV_2023!W1452&gt;0,"c","b"))</f>
        <v>0</v>
      </c>
    </row>
    <row r="1453" spans="1:25" ht="13.5" hidden="1" thickBot="1" x14ac:dyDescent="0.25">
      <c r="A1453" s="317">
        <v>101640</v>
      </c>
      <c r="B1453" s="895">
        <v>101640</v>
      </c>
      <c r="C1453" s="896" t="s">
        <v>596</v>
      </c>
      <c r="D1453" s="906" t="s">
        <v>1378</v>
      </c>
      <c r="E1453" s="907">
        <f>GLOBAL_DER_FEV_2023!E1453</f>
        <v>0</v>
      </c>
      <c r="F1453" s="908">
        <f>GLOBAL_DER_FEV_2023!F1453</f>
        <v>0</v>
      </c>
      <c r="G1453" s="912">
        <f>GLOBAL_DER_FEV_2023!G1453</f>
        <v>0</v>
      </c>
      <c r="H1453" s="901">
        <f>GLOBAL_DER_FEV_2023!H1453</f>
        <v>105.4</v>
      </c>
      <c r="I1453" s="901">
        <f>GLOBAL_DER_FEV_2023!I1453</f>
        <v>105.4</v>
      </c>
      <c r="J1453" s="902">
        <f>GLOBAL_DER_FEV_2023!J1453</f>
        <v>126.55</v>
      </c>
      <c r="K1453" s="903" t="s">
        <v>1516</v>
      </c>
      <c r="L1453" s="1137"/>
      <c r="M1453" s="1138">
        <f t="shared" si="107"/>
        <v>0</v>
      </c>
      <c r="N1453" s="893">
        <f t="shared" si="111"/>
        <v>0</v>
      </c>
      <c r="O1453" s="905"/>
      <c r="Q1453" s="317" t="str">
        <f t="shared" si="108"/>
        <v/>
      </c>
      <c r="R1453" s="317" t="str">
        <f t="shared" si="109"/>
        <v/>
      </c>
      <c r="S1453" s="317" t="str">
        <f t="shared" si="110"/>
        <v/>
      </c>
      <c r="T1453" s="317" t="str">
        <f>GLOBAL_DER_FEV_2023!S1453</f>
        <v/>
      </c>
      <c r="W1453" s="582">
        <v>0</v>
      </c>
      <c r="X1453" s="580"/>
      <c r="Y1453" s="583">
        <f>IF(GLOBAL_DER_FEV_2023!W1453=0,0,IF(GLOBAL_DER_FEV_2023!W1453&gt;0,"c","b"))</f>
        <v>0</v>
      </c>
    </row>
    <row r="1454" spans="1:25" ht="13.5" hidden="1" thickBot="1" x14ac:dyDescent="0.25">
      <c r="A1454" s="317">
        <v>101641</v>
      </c>
      <c r="B1454" s="895">
        <v>101641</v>
      </c>
      <c r="C1454" s="896" t="s">
        <v>596</v>
      </c>
      <c r="D1454" s="906" t="s">
        <v>1379</v>
      </c>
      <c r="E1454" s="907">
        <f>GLOBAL_DER_FEV_2023!E1454</f>
        <v>0</v>
      </c>
      <c r="F1454" s="908">
        <f>GLOBAL_DER_FEV_2023!F1454</f>
        <v>0</v>
      </c>
      <c r="G1454" s="912">
        <f>GLOBAL_DER_FEV_2023!G1454</f>
        <v>0</v>
      </c>
      <c r="H1454" s="901">
        <f>GLOBAL_DER_FEV_2023!H1454</f>
        <v>54.66</v>
      </c>
      <c r="I1454" s="901">
        <f>GLOBAL_DER_FEV_2023!I1454</f>
        <v>54.66</v>
      </c>
      <c r="J1454" s="902">
        <f>GLOBAL_DER_FEV_2023!J1454</f>
        <v>65.63</v>
      </c>
      <c r="K1454" s="903" t="s">
        <v>1516</v>
      </c>
      <c r="L1454" s="1137"/>
      <c r="M1454" s="1138">
        <f t="shared" si="107"/>
        <v>0</v>
      </c>
      <c r="N1454" s="893">
        <f t="shared" si="111"/>
        <v>0</v>
      </c>
      <c r="O1454" s="905"/>
      <c r="Q1454" s="317" t="str">
        <f t="shared" si="108"/>
        <v/>
      </c>
      <c r="R1454" s="317" t="str">
        <f t="shared" si="109"/>
        <v/>
      </c>
      <c r="S1454" s="317" t="str">
        <f t="shared" si="110"/>
        <v/>
      </c>
      <c r="T1454" s="317" t="str">
        <f>GLOBAL_DER_FEV_2023!S1454</f>
        <v/>
      </c>
      <c r="W1454" s="582">
        <v>0</v>
      </c>
      <c r="X1454" s="580"/>
      <c r="Y1454" s="583">
        <f>IF(GLOBAL_DER_FEV_2023!W1454=0,0,IF(GLOBAL_DER_FEV_2023!W1454&gt;0,"c","b"))</f>
        <v>0</v>
      </c>
    </row>
    <row r="1455" spans="1:25" ht="13.5" hidden="1" thickBot="1" x14ac:dyDescent="0.25">
      <c r="A1455" s="317">
        <v>101642</v>
      </c>
      <c r="B1455" s="895">
        <v>101642</v>
      </c>
      <c r="C1455" s="896" t="s">
        <v>596</v>
      </c>
      <c r="D1455" s="906" t="s">
        <v>1380</v>
      </c>
      <c r="E1455" s="907">
        <f>GLOBAL_DER_FEV_2023!E1455</f>
        <v>0</v>
      </c>
      <c r="F1455" s="908">
        <f>GLOBAL_DER_FEV_2023!F1455</f>
        <v>0</v>
      </c>
      <c r="G1455" s="912">
        <f>GLOBAL_DER_FEV_2023!G1455</f>
        <v>0</v>
      </c>
      <c r="H1455" s="901">
        <f>GLOBAL_DER_FEV_2023!H1455</f>
        <v>27.5</v>
      </c>
      <c r="I1455" s="901">
        <f>GLOBAL_DER_FEV_2023!I1455</f>
        <v>27.5</v>
      </c>
      <c r="J1455" s="902">
        <f>GLOBAL_DER_FEV_2023!J1455</f>
        <v>33.020000000000003</v>
      </c>
      <c r="K1455" s="903" t="s">
        <v>1516</v>
      </c>
      <c r="L1455" s="1137"/>
      <c r="M1455" s="1138">
        <f t="shared" si="107"/>
        <v>0</v>
      </c>
      <c r="N1455" s="893">
        <f t="shared" si="111"/>
        <v>0</v>
      </c>
      <c r="O1455" s="905"/>
      <c r="Q1455" s="317" t="str">
        <f t="shared" si="108"/>
        <v/>
      </c>
      <c r="R1455" s="317" t="str">
        <f t="shared" si="109"/>
        <v/>
      </c>
      <c r="S1455" s="317" t="str">
        <f t="shared" si="110"/>
        <v/>
      </c>
      <c r="T1455" s="317" t="str">
        <f>GLOBAL_DER_FEV_2023!S1455</f>
        <v/>
      </c>
      <c r="W1455" s="582">
        <v>0</v>
      </c>
      <c r="X1455" s="580"/>
      <c r="Y1455" s="583">
        <f>IF(GLOBAL_DER_FEV_2023!W1455=0,0,IF(GLOBAL_DER_FEV_2023!W1455&gt;0,"c","b"))</f>
        <v>0</v>
      </c>
    </row>
    <row r="1456" spans="1:25" ht="13.5" hidden="1" thickBot="1" x14ac:dyDescent="0.25">
      <c r="A1456" s="317">
        <v>101643</v>
      </c>
      <c r="B1456" s="895">
        <v>101643</v>
      </c>
      <c r="C1456" s="896" t="s">
        <v>596</v>
      </c>
      <c r="D1456" s="906" t="s">
        <v>1381</v>
      </c>
      <c r="E1456" s="907">
        <f>GLOBAL_DER_FEV_2023!E1456</f>
        <v>0</v>
      </c>
      <c r="F1456" s="908">
        <f>GLOBAL_DER_FEV_2023!F1456</f>
        <v>0</v>
      </c>
      <c r="G1456" s="912">
        <f>GLOBAL_DER_FEV_2023!G1456</f>
        <v>0</v>
      </c>
      <c r="H1456" s="901">
        <f>GLOBAL_DER_FEV_2023!H1456</f>
        <v>47.73</v>
      </c>
      <c r="I1456" s="901">
        <f>GLOBAL_DER_FEV_2023!I1456</f>
        <v>47.73</v>
      </c>
      <c r="J1456" s="902">
        <f>GLOBAL_DER_FEV_2023!J1456</f>
        <v>57.31</v>
      </c>
      <c r="K1456" s="903" t="s">
        <v>1516</v>
      </c>
      <c r="L1456" s="1137"/>
      <c r="M1456" s="1138">
        <f t="shared" si="107"/>
        <v>0</v>
      </c>
      <c r="N1456" s="893">
        <f t="shared" si="111"/>
        <v>0</v>
      </c>
      <c r="O1456" s="905"/>
      <c r="Q1456" s="317" t="str">
        <f t="shared" si="108"/>
        <v/>
      </c>
      <c r="R1456" s="317" t="str">
        <f t="shared" si="109"/>
        <v/>
      </c>
      <c r="S1456" s="317" t="str">
        <f t="shared" si="110"/>
        <v/>
      </c>
      <c r="T1456" s="317" t="str">
        <f>GLOBAL_DER_FEV_2023!S1456</f>
        <v/>
      </c>
      <c r="W1456" s="582">
        <v>0</v>
      </c>
      <c r="X1456" s="580"/>
      <c r="Y1456" s="583">
        <f>IF(GLOBAL_DER_FEV_2023!W1456=0,0,IF(GLOBAL_DER_FEV_2023!W1456&gt;0,"c","b"))</f>
        <v>0</v>
      </c>
    </row>
    <row r="1457" spans="1:25" ht="13.5" hidden="1" thickBot="1" x14ac:dyDescent="0.25">
      <c r="A1457" s="317">
        <v>101644</v>
      </c>
      <c r="B1457" s="895">
        <v>101644</v>
      </c>
      <c r="C1457" s="896" t="s">
        <v>596</v>
      </c>
      <c r="D1457" s="906" t="s">
        <v>1382</v>
      </c>
      <c r="E1457" s="907">
        <f>GLOBAL_DER_FEV_2023!E1457</f>
        <v>0</v>
      </c>
      <c r="F1457" s="908">
        <f>GLOBAL_DER_FEV_2023!F1457</f>
        <v>0</v>
      </c>
      <c r="G1457" s="912">
        <f>GLOBAL_DER_FEV_2023!G1457</f>
        <v>0</v>
      </c>
      <c r="H1457" s="901">
        <f>GLOBAL_DER_FEV_2023!H1457</f>
        <v>64.540000000000006</v>
      </c>
      <c r="I1457" s="901">
        <f>GLOBAL_DER_FEV_2023!I1457</f>
        <v>64.540000000000006</v>
      </c>
      <c r="J1457" s="902">
        <f>GLOBAL_DER_FEV_2023!J1457</f>
        <v>77.489999999999995</v>
      </c>
      <c r="K1457" s="903" t="s">
        <v>1516</v>
      </c>
      <c r="L1457" s="1137"/>
      <c r="M1457" s="1138">
        <f t="shared" si="107"/>
        <v>0</v>
      </c>
      <c r="N1457" s="893">
        <f t="shared" si="111"/>
        <v>0</v>
      </c>
      <c r="O1457" s="905"/>
      <c r="Q1457" s="317" t="str">
        <f t="shared" si="108"/>
        <v/>
      </c>
      <c r="R1457" s="317" t="str">
        <f t="shared" si="109"/>
        <v/>
      </c>
      <c r="S1457" s="317" t="str">
        <f t="shared" si="110"/>
        <v/>
      </c>
      <c r="T1457" s="317" t="str">
        <f>GLOBAL_DER_FEV_2023!S1457</f>
        <v/>
      </c>
      <c r="W1457" s="582">
        <v>0</v>
      </c>
      <c r="X1457" s="580"/>
      <c r="Y1457" s="583">
        <f>IF(GLOBAL_DER_FEV_2023!W1457=0,0,IF(GLOBAL_DER_FEV_2023!W1457&gt;0,"c","b"))</f>
        <v>0</v>
      </c>
    </row>
    <row r="1458" spans="1:25" ht="13.5" hidden="1" thickBot="1" x14ac:dyDescent="0.25">
      <c r="A1458" s="317">
        <v>101645</v>
      </c>
      <c r="B1458" s="895">
        <v>101645</v>
      </c>
      <c r="C1458" s="896" t="s">
        <v>596</v>
      </c>
      <c r="D1458" s="906" t="s">
        <v>1383</v>
      </c>
      <c r="E1458" s="907">
        <f>GLOBAL_DER_FEV_2023!E1458</f>
        <v>0</v>
      </c>
      <c r="F1458" s="908">
        <f>GLOBAL_DER_FEV_2023!F1458</f>
        <v>0</v>
      </c>
      <c r="G1458" s="912">
        <f>GLOBAL_DER_FEV_2023!G1458</f>
        <v>0</v>
      </c>
      <c r="H1458" s="901">
        <f>GLOBAL_DER_FEV_2023!H1458</f>
        <v>30.63</v>
      </c>
      <c r="I1458" s="901">
        <f>GLOBAL_DER_FEV_2023!I1458</f>
        <v>30.63</v>
      </c>
      <c r="J1458" s="902">
        <f>GLOBAL_DER_FEV_2023!J1458</f>
        <v>36.78</v>
      </c>
      <c r="K1458" s="903" t="s">
        <v>1516</v>
      </c>
      <c r="L1458" s="1137"/>
      <c r="M1458" s="1138">
        <f t="shared" si="107"/>
        <v>0</v>
      </c>
      <c r="N1458" s="893">
        <f t="shared" si="111"/>
        <v>0</v>
      </c>
      <c r="O1458" s="905"/>
      <c r="Q1458" s="317" t="str">
        <f t="shared" si="108"/>
        <v/>
      </c>
      <c r="R1458" s="317" t="str">
        <f t="shared" si="109"/>
        <v/>
      </c>
      <c r="S1458" s="317" t="str">
        <f t="shared" si="110"/>
        <v/>
      </c>
      <c r="T1458" s="317" t="str">
        <f>GLOBAL_DER_FEV_2023!S1458</f>
        <v/>
      </c>
      <c r="W1458" s="582">
        <v>0</v>
      </c>
      <c r="X1458" s="580"/>
      <c r="Y1458" s="583">
        <f>IF(GLOBAL_DER_FEV_2023!W1458=0,0,IF(GLOBAL_DER_FEV_2023!W1458&gt;0,"c","b"))</f>
        <v>0</v>
      </c>
    </row>
    <row r="1459" spans="1:25" ht="13.5" hidden="1" thickBot="1" x14ac:dyDescent="0.25">
      <c r="A1459" s="317">
        <v>101646</v>
      </c>
      <c r="B1459" s="895">
        <v>101646</v>
      </c>
      <c r="C1459" s="896" t="s">
        <v>596</v>
      </c>
      <c r="D1459" s="906" t="s">
        <v>1384</v>
      </c>
      <c r="E1459" s="907">
        <f>GLOBAL_DER_FEV_2023!E1459</f>
        <v>0</v>
      </c>
      <c r="F1459" s="908">
        <f>GLOBAL_DER_FEV_2023!F1459</f>
        <v>0</v>
      </c>
      <c r="G1459" s="912">
        <f>GLOBAL_DER_FEV_2023!G1459</f>
        <v>0</v>
      </c>
      <c r="H1459" s="901">
        <f>GLOBAL_DER_FEV_2023!H1459</f>
        <v>40.630000000000003</v>
      </c>
      <c r="I1459" s="901">
        <f>GLOBAL_DER_FEV_2023!I1459</f>
        <v>40.630000000000003</v>
      </c>
      <c r="J1459" s="902">
        <f>GLOBAL_DER_FEV_2023!J1459</f>
        <v>48.78</v>
      </c>
      <c r="K1459" s="903" t="s">
        <v>1516</v>
      </c>
      <c r="L1459" s="1137"/>
      <c r="M1459" s="1138">
        <f t="shared" si="107"/>
        <v>0</v>
      </c>
      <c r="N1459" s="893">
        <f t="shared" si="111"/>
        <v>0</v>
      </c>
      <c r="O1459" s="905"/>
      <c r="Q1459" s="317" t="str">
        <f t="shared" si="108"/>
        <v/>
      </c>
      <c r="R1459" s="317" t="str">
        <f t="shared" si="109"/>
        <v/>
      </c>
      <c r="S1459" s="317" t="str">
        <f t="shared" si="110"/>
        <v/>
      </c>
      <c r="T1459" s="317" t="str">
        <f>GLOBAL_DER_FEV_2023!S1459</f>
        <v/>
      </c>
      <c r="W1459" s="582">
        <v>0</v>
      </c>
      <c r="X1459" s="580"/>
      <c r="Y1459" s="583">
        <f>IF(GLOBAL_DER_FEV_2023!W1459=0,0,IF(GLOBAL_DER_FEV_2023!W1459&gt;0,"c","b"))</f>
        <v>0</v>
      </c>
    </row>
    <row r="1460" spans="1:25" ht="13.5" hidden="1" thickBot="1" x14ac:dyDescent="0.25">
      <c r="A1460" s="317">
        <v>101647</v>
      </c>
      <c r="B1460" s="895">
        <v>101647</v>
      </c>
      <c r="C1460" s="896" t="s">
        <v>596</v>
      </c>
      <c r="D1460" s="906" t="s">
        <v>1385</v>
      </c>
      <c r="E1460" s="907">
        <f>GLOBAL_DER_FEV_2023!E1460</f>
        <v>0</v>
      </c>
      <c r="F1460" s="908">
        <f>GLOBAL_DER_FEV_2023!F1460</f>
        <v>0</v>
      </c>
      <c r="G1460" s="912">
        <f>GLOBAL_DER_FEV_2023!G1460</f>
        <v>0</v>
      </c>
      <c r="H1460" s="901">
        <f>GLOBAL_DER_FEV_2023!H1460</f>
        <v>74.489999999999995</v>
      </c>
      <c r="I1460" s="901">
        <f>GLOBAL_DER_FEV_2023!I1460</f>
        <v>74.489999999999995</v>
      </c>
      <c r="J1460" s="902">
        <f>GLOBAL_DER_FEV_2023!J1460</f>
        <v>89.44</v>
      </c>
      <c r="K1460" s="903" t="s">
        <v>1516</v>
      </c>
      <c r="L1460" s="1137"/>
      <c r="M1460" s="1138">
        <f t="shared" si="107"/>
        <v>0</v>
      </c>
      <c r="N1460" s="893">
        <f t="shared" si="111"/>
        <v>0</v>
      </c>
      <c r="O1460" s="905"/>
      <c r="Q1460" s="317" t="str">
        <f t="shared" si="108"/>
        <v/>
      </c>
      <c r="R1460" s="317" t="str">
        <f t="shared" si="109"/>
        <v/>
      </c>
      <c r="S1460" s="317" t="str">
        <f t="shared" si="110"/>
        <v/>
      </c>
      <c r="T1460" s="317" t="str">
        <f>GLOBAL_DER_FEV_2023!S1460</f>
        <v/>
      </c>
      <c r="W1460" s="582">
        <v>0</v>
      </c>
      <c r="X1460" s="580"/>
      <c r="Y1460" s="583">
        <f>IF(GLOBAL_DER_FEV_2023!W1460=0,0,IF(GLOBAL_DER_FEV_2023!W1460&gt;0,"c","b"))</f>
        <v>0</v>
      </c>
    </row>
    <row r="1461" spans="1:25" ht="23.25" hidden="1" thickBot="1" x14ac:dyDescent="0.25">
      <c r="A1461" s="317">
        <v>102085</v>
      </c>
      <c r="B1461" s="895">
        <v>102085</v>
      </c>
      <c r="C1461" s="896" t="s">
        <v>596</v>
      </c>
      <c r="D1461" s="906" t="s">
        <v>1386</v>
      </c>
      <c r="E1461" s="907">
        <f>GLOBAL_DER_FEV_2023!E1461</f>
        <v>0</v>
      </c>
      <c r="F1461" s="908">
        <f>GLOBAL_DER_FEV_2023!F1461</f>
        <v>0</v>
      </c>
      <c r="G1461" s="912">
        <f>GLOBAL_DER_FEV_2023!G1461</f>
        <v>0</v>
      </c>
      <c r="H1461" s="901">
        <f>GLOBAL_DER_FEV_2023!H1461</f>
        <v>228.92</v>
      </c>
      <c r="I1461" s="901">
        <f>GLOBAL_DER_FEV_2023!I1461</f>
        <v>228.92</v>
      </c>
      <c r="J1461" s="902">
        <f>GLOBAL_DER_FEV_2023!J1461</f>
        <v>274.86</v>
      </c>
      <c r="K1461" s="903" t="s">
        <v>1516</v>
      </c>
      <c r="L1461" s="1137"/>
      <c r="M1461" s="1138">
        <f t="shared" si="107"/>
        <v>0</v>
      </c>
      <c r="N1461" s="893">
        <f t="shared" si="111"/>
        <v>0</v>
      </c>
      <c r="O1461" s="905"/>
      <c r="Q1461" s="317" t="str">
        <f t="shared" si="108"/>
        <v/>
      </c>
      <c r="R1461" s="317" t="str">
        <f t="shared" si="109"/>
        <v/>
      </c>
      <c r="S1461" s="317" t="str">
        <f t="shared" si="110"/>
        <v/>
      </c>
      <c r="T1461" s="317" t="str">
        <f>GLOBAL_DER_FEV_2023!S1461</f>
        <v/>
      </c>
      <c r="W1461" s="582">
        <v>0</v>
      </c>
      <c r="X1461" s="580"/>
      <c r="Y1461" s="583">
        <f>IF(GLOBAL_DER_FEV_2023!W1461=0,0,IF(GLOBAL_DER_FEV_2023!W1461&gt;0,"c","b"))</f>
        <v>0</v>
      </c>
    </row>
    <row r="1462" spans="1:25" ht="23.25" hidden="1" thickBot="1" x14ac:dyDescent="0.25">
      <c r="A1462" s="317">
        <v>97605</v>
      </c>
      <c r="B1462" s="895">
        <v>97605</v>
      </c>
      <c r="C1462" s="896" t="s">
        <v>596</v>
      </c>
      <c r="D1462" s="906" t="s">
        <v>1387</v>
      </c>
      <c r="E1462" s="907">
        <f>GLOBAL_DER_FEV_2023!E1462</f>
        <v>0</v>
      </c>
      <c r="F1462" s="908">
        <f>GLOBAL_DER_FEV_2023!F1462</f>
        <v>0</v>
      </c>
      <c r="G1462" s="912">
        <f>GLOBAL_DER_FEV_2023!G1462</f>
        <v>0</v>
      </c>
      <c r="H1462" s="901">
        <f>GLOBAL_DER_FEV_2023!H1462</f>
        <v>105.71</v>
      </c>
      <c r="I1462" s="901">
        <f>GLOBAL_DER_FEV_2023!I1462</f>
        <v>105.71</v>
      </c>
      <c r="J1462" s="902">
        <f>GLOBAL_DER_FEV_2023!J1462</f>
        <v>126.93</v>
      </c>
      <c r="K1462" s="903" t="s">
        <v>1516</v>
      </c>
      <c r="L1462" s="1137"/>
      <c r="M1462" s="1138">
        <f t="shared" si="107"/>
        <v>0</v>
      </c>
      <c r="N1462" s="893">
        <f t="shared" si="111"/>
        <v>0</v>
      </c>
      <c r="O1462" s="905"/>
      <c r="Q1462" s="317" t="str">
        <f t="shared" si="108"/>
        <v/>
      </c>
      <c r="R1462" s="317" t="str">
        <f t="shared" si="109"/>
        <v/>
      </c>
      <c r="S1462" s="317" t="str">
        <f t="shared" si="110"/>
        <v/>
      </c>
      <c r="T1462" s="317" t="str">
        <f>GLOBAL_DER_FEV_2023!S1462</f>
        <v/>
      </c>
      <c r="W1462" s="582">
        <v>0</v>
      </c>
      <c r="X1462" s="580"/>
      <c r="Y1462" s="583">
        <f>IF(GLOBAL_DER_FEV_2023!W1462=0,0,IF(GLOBAL_DER_FEV_2023!W1462&gt;0,"c","b"))</f>
        <v>0</v>
      </c>
    </row>
    <row r="1463" spans="1:25" ht="23.25" hidden="1" thickBot="1" x14ac:dyDescent="0.25">
      <c r="A1463" s="317">
        <v>101654</v>
      </c>
      <c r="B1463" s="895">
        <v>101654</v>
      </c>
      <c r="C1463" s="896" t="s">
        <v>596</v>
      </c>
      <c r="D1463" s="906" t="s">
        <v>1388</v>
      </c>
      <c r="E1463" s="907">
        <f>GLOBAL_DER_FEV_2023!E1463</f>
        <v>0</v>
      </c>
      <c r="F1463" s="908">
        <f>GLOBAL_DER_FEV_2023!F1463</f>
        <v>0</v>
      </c>
      <c r="G1463" s="912">
        <f>GLOBAL_DER_FEV_2023!G1463</f>
        <v>0</v>
      </c>
      <c r="H1463" s="901">
        <f>GLOBAL_DER_FEV_2023!H1463</f>
        <v>292.29000000000002</v>
      </c>
      <c r="I1463" s="901">
        <f>GLOBAL_DER_FEV_2023!I1463</f>
        <v>292.29000000000002</v>
      </c>
      <c r="J1463" s="902">
        <f>GLOBAL_DER_FEV_2023!J1463</f>
        <v>350.95</v>
      </c>
      <c r="K1463" s="903" t="s">
        <v>1516</v>
      </c>
      <c r="L1463" s="1137"/>
      <c r="M1463" s="1138">
        <f t="shared" si="107"/>
        <v>0</v>
      </c>
      <c r="N1463" s="893">
        <f t="shared" si="111"/>
        <v>0</v>
      </c>
      <c r="O1463" s="905"/>
      <c r="Q1463" s="317" t="str">
        <f t="shared" si="108"/>
        <v/>
      </c>
      <c r="R1463" s="317" t="str">
        <f t="shared" si="109"/>
        <v/>
      </c>
      <c r="S1463" s="317" t="str">
        <f t="shared" si="110"/>
        <v/>
      </c>
      <c r="T1463" s="317" t="str">
        <f>GLOBAL_DER_FEV_2023!S1463</f>
        <v/>
      </c>
      <c r="W1463" s="582">
        <v>0</v>
      </c>
      <c r="X1463" s="580"/>
      <c r="Y1463" s="583">
        <f>IF(GLOBAL_DER_FEV_2023!W1463=0,0,IF(GLOBAL_DER_FEV_2023!W1463&gt;0,"c","b"))</f>
        <v>0</v>
      </c>
    </row>
    <row r="1464" spans="1:25" ht="23.25" hidden="1" thickBot="1" x14ac:dyDescent="0.25">
      <c r="A1464" s="317">
        <v>101655</v>
      </c>
      <c r="B1464" s="895">
        <v>101655</v>
      </c>
      <c r="C1464" s="896" t="s">
        <v>596</v>
      </c>
      <c r="D1464" s="906" t="s">
        <v>1389</v>
      </c>
      <c r="E1464" s="907">
        <f>GLOBAL_DER_FEV_2023!E1464</f>
        <v>0</v>
      </c>
      <c r="F1464" s="908">
        <f>GLOBAL_DER_FEV_2023!F1464</f>
        <v>0</v>
      </c>
      <c r="G1464" s="912">
        <f>GLOBAL_DER_FEV_2023!G1464</f>
        <v>0</v>
      </c>
      <c r="H1464" s="901">
        <f>GLOBAL_DER_FEV_2023!H1464</f>
        <v>473.09</v>
      </c>
      <c r="I1464" s="901">
        <f>GLOBAL_DER_FEV_2023!I1464</f>
        <v>473.09</v>
      </c>
      <c r="J1464" s="902">
        <f>GLOBAL_DER_FEV_2023!J1464</f>
        <v>568.04</v>
      </c>
      <c r="K1464" s="903" t="s">
        <v>1516</v>
      </c>
      <c r="L1464" s="1137"/>
      <c r="M1464" s="1138">
        <f t="shared" si="107"/>
        <v>0</v>
      </c>
      <c r="N1464" s="893">
        <f t="shared" si="111"/>
        <v>0</v>
      </c>
      <c r="O1464" s="905"/>
      <c r="Q1464" s="317" t="str">
        <f t="shared" si="108"/>
        <v/>
      </c>
      <c r="R1464" s="317" t="str">
        <f t="shared" si="109"/>
        <v/>
      </c>
      <c r="S1464" s="317" t="str">
        <f t="shared" si="110"/>
        <v/>
      </c>
      <c r="T1464" s="317" t="str">
        <f>GLOBAL_DER_FEV_2023!S1464</f>
        <v/>
      </c>
      <c r="W1464" s="582">
        <v>0</v>
      </c>
      <c r="X1464" s="580"/>
      <c r="Y1464" s="583">
        <f>IF(GLOBAL_DER_FEV_2023!W1464=0,0,IF(GLOBAL_DER_FEV_2023!W1464&gt;0,"c","b"))</f>
        <v>0</v>
      </c>
    </row>
    <row r="1465" spans="1:25" ht="23.25" hidden="1" thickBot="1" x14ac:dyDescent="0.25">
      <c r="A1465" s="317">
        <v>101656</v>
      </c>
      <c r="B1465" s="895">
        <v>101656</v>
      </c>
      <c r="C1465" s="896" t="s">
        <v>596</v>
      </c>
      <c r="D1465" s="906" t="s">
        <v>1390</v>
      </c>
      <c r="E1465" s="907">
        <f>GLOBAL_DER_FEV_2023!E1465</f>
        <v>0</v>
      </c>
      <c r="F1465" s="908">
        <f>GLOBAL_DER_FEV_2023!F1465</f>
        <v>0</v>
      </c>
      <c r="G1465" s="912">
        <f>GLOBAL_DER_FEV_2023!G1465</f>
        <v>0</v>
      </c>
      <c r="H1465" s="901">
        <f>GLOBAL_DER_FEV_2023!H1465</f>
        <v>515.30999999999995</v>
      </c>
      <c r="I1465" s="901">
        <f>GLOBAL_DER_FEV_2023!I1465</f>
        <v>515.30999999999995</v>
      </c>
      <c r="J1465" s="902">
        <f>GLOBAL_DER_FEV_2023!J1465</f>
        <v>618.73</v>
      </c>
      <c r="K1465" s="903" t="s">
        <v>1516</v>
      </c>
      <c r="L1465" s="1137"/>
      <c r="M1465" s="1138">
        <f t="shared" si="107"/>
        <v>0</v>
      </c>
      <c r="N1465" s="893">
        <f t="shared" si="111"/>
        <v>0</v>
      </c>
      <c r="O1465" s="905"/>
      <c r="Q1465" s="317" t="str">
        <f t="shared" si="108"/>
        <v/>
      </c>
      <c r="R1465" s="317" t="str">
        <f t="shared" si="109"/>
        <v/>
      </c>
      <c r="S1465" s="317" t="str">
        <f t="shared" si="110"/>
        <v/>
      </c>
      <c r="T1465" s="317" t="str">
        <f>GLOBAL_DER_FEV_2023!S1465</f>
        <v/>
      </c>
      <c r="W1465" s="582">
        <v>0</v>
      </c>
      <c r="X1465" s="580"/>
      <c r="Y1465" s="583">
        <f>IF(GLOBAL_DER_FEV_2023!W1465=0,0,IF(GLOBAL_DER_FEV_2023!W1465&gt;0,"c","b"))</f>
        <v>0</v>
      </c>
    </row>
    <row r="1466" spans="1:25" ht="23.25" hidden="1" thickBot="1" x14ac:dyDescent="0.25">
      <c r="A1466" s="317">
        <v>101657</v>
      </c>
      <c r="B1466" s="895">
        <v>101657</v>
      </c>
      <c r="C1466" s="896" t="s">
        <v>596</v>
      </c>
      <c r="D1466" s="906" t="s">
        <v>1391</v>
      </c>
      <c r="E1466" s="907">
        <f>GLOBAL_DER_FEV_2023!E1466</f>
        <v>0</v>
      </c>
      <c r="F1466" s="908">
        <f>GLOBAL_DER_FEV_2023!F1466</f>
        <v>0</v>
      </c>
      <c r="G1466" s="912">
        <f>GLOBAL_DER_FEV_2023!G1466</f>
        <v>0</v>
      </c>
      <c r="H1466" s="901">
        <f>GLOBAL_DER_FEV_2023!H1466</f>
        <v>605.23</v>
      </c>
      <c r="I1466" s="901">
        <f>GLOBAL_DER_FEV_2023!I1466</f>
        <v>605.23</v>
      </c>
      <c r="J1466" s="902">
        <f>GLOBAL_DER_FEV_2023!J1466</f>
        <v>726.7</v>
      </c>
      <c r="K1466" s="903" t="s">
        <v>1516</v>
      </c>
      <c r="L1466" s="1137"/>
      <c r="M1466" s="1138">
        <f t="shared" si="107"/>
        <v>0</v>
      </c>
      <c r="N1466" s="893">
        <f t="shared" si="111"/>
        <v>0</v>
      </c>
      <c r="O1466" s="905"/>
      <c r="Q1466" s="317" t="str">
        <f t="shared" si="108"/>
        <v/>
      </c>
      <c r="R1466" s="317" t="str">
        <f t="shared" si="109"/>
        <v/>
      </c>
      <c r="S1466" s="317" t="str">
        <f t="shared" si="110"/>
        <v/>
      </c>
      <c r="T1466" s="317" t="str">
        <f>GLOBAL_DER_FEV_2023!S1466</f>
        <v/>
      </c>
      <c r="W1466" s="582">
        <v>0</v>
      </c>
      <c r="X1466" s="580"/>
      <c r="Y1466" s="583">
        <f>IF(GLOBAL_DER_FEV_2023!W1466=0,0,IF(GLOBAL_DER_FEV_2023!W1466&gt;0,"c","b"))</f>
        <v>0</v>
      </c>
    </row>
    <row r="1467" spans="1:25" ht="23.25" hidden="1" thickBot="1" x14ac:dyDescent="0.25">
      <c r="A1467" s="317">
        <v>101658</v>
      </c>
      <c r="B1467" s="895">
        <v>101658</v>
      </c>
      <c r="C1467" s="896" t="s">
        <v>596</v>
      </c>
      <c r="D1467" s="906" t="s">
        <v>1392</v>
      </c>
      <c r="E1467" s="907">
        <f>GLOBAL_DER_FEV_2023!E1467</f>
        <v>0</v>
      </c>
      <c r="F1467" s="908">
        <f>GLOBAL_DER_FEV_2023!F1467</f>
        <v>0</v>
      </c>
      <c r="G1467" s="912">
        <f>GLOBAL_DER_FEV_2023!G1467</f>
        <v>0</v>
      </c>
      <c r="H1467" s="901">
        <f>GLOBAL_DER_FEV_2023!H1467</f>
        <v>790.12</v>
      </c>
      <c r="I1467" s="901">
        <f>GLOBAL_DER_FEV_2023!I1467</f>
        <v>790.12</v>
      </c>
      <c r="J1467" s="902">
        <f>GLOBAL_DER_FEV_2023!J1467</f>
        <v>948.7</v>
      </c>
      <c r="K1467" s="903" t="s">
        <v>1516</v>
      </c>
      <c r="L1467" s="1137"/>
      <c r="M1467" s="1138">
        <f t="shared" si="107"/>
        <v>0</v>
      </c>
      <c r="N1467" s="893">
        <f t="shared" si="111"/>
        <v>0</v>
      </c>
      <c r="O1467" s="905"/>
      <c r="Q1467" s="317" t="str">
        <f t="shared" si="108"/>
        <v/>
      </c>
      <c r="R1467" s="317" t="str">
        <f t="shared" si="109"/>
        <v/>
      </c>
      <c r="S1467" s="317" t="str">
        <f t="shared" si="110"/>
        <v/>
      </c>
      <c r="T1467" s="317" t="str">
        <f>GLOBAL_DER_FEV_2023!S1467</f>
        <v/>
      </c>
      <c r="W1467" s="582">
        <v>0</v>
      </c>
      <c r="X1467" s="580"/>
      <c r="Y1467" s="583">
        <f>IF(GLOBAL_DER_FEV_2023!W1467=0,0,IF(GLOBAL_DER_FEV_2023!W1467&gt;0,"c","b"))</f>
        <v>0</v>
      </c>
    </row>
    <row r="1468" spans="1:25" ht="23.25" hidden="1" thickBot="1" x14ac:dyDescent="0.25">
      <c r="A1468" s="317">
        <v>101659</v>
      </c>
      <c r="B1468" s="895">
        <v>101659</v>
      </c>
      <c r="C1468" s="896" t="s">
        <v>596</v>
      </c>
      <c r="D1468" s="906" t="s">
        <v>1393</v>
      </c>
      <c r="E1468" s="907">
        <f>GLOBAL_DER_FEV_2023!E1468</f>
        <v>0</v>
      </c>
      <c r="F1468" s="908">
        <f>GLOBAL_DER_FEV_2023!F1468</f>
        <v>0</v>
      </c>
      <c r="G1468" s="912">
        <f>GLOBAL_DER_FEV_2023!G1468</f>
        <v>0</v>
      </c>
      <c r="H1468" s="901">
        <f>GLOBAL_DER_FEV_2023!H1468</f>
        <v>905.12</v>
      </c>
      <c r="I1468" s="901">
        <f>GLOBAL_DER_FEV_2023!I1468</f>
        <v>905.12</v>
      </c>
      <c r="J1468" s="902">
        <f>GLOBAL_DER_FEV_2023!J1468</f>
        <v>1086.78</v>
      </c>
      <c r="K1468" s="903" t="s">
        <v>1516</v>
      </c>
      <c r="L1468" s="1137"/>
      <c r="M1468" s="1138">
        <f t="shared" si="107"/>
        <v>0</v>
      </c>
      <c r="N1468" s="893">
        <f t="shared" si="111"/>
        <v>0</v>
      </c>
      <c r="O1468" s="905"/>
      <c r="Q1468" s="317" t="str">
        <f t="shared" si="108"/>
        <v/>
      </c>
      <c r="R1468" s="317" t="str">
        <f t="shared" si="109"/>
        <v/>
      </c>
      <c r="S1468" s="317" t="str">
        <f t="shared" si="110"/>
        <v/>
      </c>
      <c r="T1468" s="317" t="str">
        <f>GLOBAL_DER_FEV_2023!S1468</f>
        <v/>
      </c>
      <c r="W1468" s="582">
        <v>0</v>
      </c>
      <c r="X1468" s="580"/>
      <c r="Y1468" s="583">
        <f>IF(GLOBAL_DER_FEV_2023!W1468=0,0,IF(GLOBAL_DER_FEV_2023!W1468&gt;0,"c","b"))</f>
        <v>0</v>
      </c>
    </row>
    <row r="1469" spans="1:25" ht="23.25" hidden="1" thickBot="1" x14ac:dyDescent="0.25">
      <c r="A1469" s="317">
        <v>101660</v>
      </c>
      <c r="B1469" s="895">
        <v>101660</v>
      </c>
      <c r="C1469" s="896" t="s">
        <v>596</v>
      </c>
      <c r="D1469" s="906" t="s">
        <v>1394</v>
      </c>
      <c r="E1469" s="907">
        <f>GLOBAL_DER_FEV_2023!E1469</f>
        <v>0</v>
      </c>
      <c r="F1469" s="908">
        <f>GLOBAL_DER_FEV_2023!F1469</f>
        <v>0</v>
      </c>
      <c r="G1469" s="912">
        <f>GLOBAL_DER_FEV_2023!G1469</f>
        <v>0</v>
      </c>
      <c r="H1469" s="901">
        <f>GLOBAL_DER_FEV_2023!H1469</f>
        <v>1447.98</v>
      </c>
      <c r="I1469" s="901">
        <f>GLOBAL_DER_FEV_2023!I1469</f>
        <v>1447.98</v>
      </c>
      <c r="J1469" s="902">
        <f>GLOBAL_DER_FEV_2023!J1469</f>
        <v>1738.59</v>
      </c>
      <c r="K1469" s="903" t="s">
        <v>1516</v>
      </c>
      <c r="L1469" s="1137"/>
      <c r="M1469" s="1138">
        <f t="shared" si="107"/>
        <v>0</v>
      </c>
      <c r="N1469" s="893">
        <f t="shared" si="111"/>
        <v>0</v>
      </c>
      <c r="O1469" s="905"/>
      <c r="Q1469" s="317" t="str">
        <f t="shared" si="108"/>
        <v/>
      </c>
      <c r="R1469" s="317" t="str">
        <f t="shared" si="109"/>
        <v/>
      </c>
      <c r="S1469" s="317" t="str">
        <f t="shared" si="110"/>
        <v/>
      </c>
      <c r="T1469" s="317" t="str">
        <f>GLOBAL_DER_FEV_2023!S1469</f>
        <v/>
      </c>
      <c r="W1469" s="582">
        <v>0</v>
      </c>
      <c r="X1469" s="580"/>
      <c r="Y1469" s="583">
        <f>IF(GLOBAL_DER_FEV_2023!W1469=0,0,IF(GLOBAL_DER_FEV_2023!W1469&gt;0,"c","b"))</f>
        <v>0</v>
      </c>
    </row>
    <row r="1470" spans="1:25" ht="23.25" hidden="1" thickBot="1" x14ac:dyDescent="0.25">
      <c r="A1470" s="317">
        <v>97606</v>
      </c>
      <c r="B1470" s="895">
        <v>97606</v>
      </c>
      <c r="C1470" s="896" t="s">
        <v>596</v>
      </c>
      <c r="D1470" s="906" t="s">
        <v>1395</v>
      </c>
      <c r="E1470" s="907">
        <f>GLOBAL_DER_FEV_2023!E1470</f>
        <v>0</v>
      </c>
      <c r="F1470" s="908">
        <f>GLOBAL_DER_FEV_2023!F1470</f>
        <v>0</v>
      </c>
      <c r="G1470" s="912">
        <f>GLOBAL_DER_FEV_2023!G1470</f>
        <v>0</v>
      </c>
      <c r="H1470" s="901">
        <f>GLOBAL_DER_FEV_2023!H1470</f>
        <v>114.57</v>
      </c>
      <c r="I1470" s="901">
        <f>GLOBAL_DER_FEV_2023!I1470</f>
        <v>114.57</v>
      </c>
      <c r="J1470" s="902">
        <f>GLOBAL_DER_FEV_2023!J1470</f>
        <v>137.56</v>
      </c>
      <c r="K1470" s="903" t="s">
        <v>1516</v>
      </c>
      <c r="L1470" s="1137"/>
      <c r="M1470" s="1138">
        <f t="shared" si="107"/>
        <v>0</v>
      </c>
      <c r="N1470" s="893">
        <f t="shared" si="111"/>
        <v>0</v>
      </c>
      <c r="O1470" s="905"/>
      <c r="Q1470" s="317" t="str">
        <f t="shared" si="108"/>
        <v/>
      </c>
      <c r="R1470" s="317" t="str">
        <f t="shared" si="109"/>
        <v/>
      </c>
      <c r="S1470" s="317" t="str">
        <f t="shared" si="110"/>
        <v/>
      </c>
      <c r="T1470" s="317" t="str">
        <f>GLOBAL_DER_FEV_2023!S1470</f>
        <v/>
      </c>
      <c r="W1470" s="582">
        <v>0</v>
      </c>
      <c r="X1470" s="580"/>
      <c r="Y1470" s="583">
        <f>IF(GLOBAL_DER_FEV_2023!W1470=0,0,IF(GLOBAL_DER_FEV_2023!W1470&gt;0,"c","b"))</f>
        <v>0</v>
      </c>
    </row>
    <row r="1471" spans="1:25" ht="23.25" hidden="1" thickBot="1" x14ac:dyDescent="0.25">
      <c r="A1471" s="317">
        <v>97607</v>
      </c>
      <c r="B1471" s="895">
        <v>97607</v>
      </c>
      <c r="C1471" s="896" t="s">
        <v>596</v>
      </c>
      <c r="D1471" s="906" t="s">
        <v>1396</v>
      </c>
      <c r="E1471" s="907">
        <f>GLOBAL_DER_FEV_2023!E1471</f>
        <v>0</v>
      </c>
      <c r="F1471" s="908">
        <f>GLOBAL_DER_FEV_2023!F1471</f>
        <v>0</v>
      </c>
      <c r="G1471" s="912">
        <f>GLOBAL_DER_FEV_2023!G1471</f>
        <v>0</v>
      </c>
      <c r="H1471" s="901">
        <f>GLOBAL_DER_FEV_2023!H1471</f>
        <v>127.64</v>
      </c>
      <c r="I1471" s="901">
        <f>GLOBAL_DER_FEV_2023!I1471</f>
        <v>127.64</v>
      </c>
      <c r="J1471" s="902">
        <f>GLOBAL_DER_FEV_2023!J1471</f>
        <v>153.26</v>
      </c>
      <c r="K1471" s="903" t="s">
        <v>1516</v>
      </c>
      <c r="L1471" s="1137"/>
      <c r="M1471" s="1138">
        <f t="shared" si="107"/>
        <v>0</v>
      </c>
      <c r="N1471" s="893">
        <f t="shared" si="111"/>
        <v>0</v>
      </c>
      <c r="O1471" s="905"/>
      <c r="Q1471" s="317" t="str">
        <f t="shared" si="108"/>
        <v/>
      </c>
      <c r="R1471" s="317" t="str">
        <f t="shared" si="109"/>
        <v/>
      </c>
      <c r="S1471" s="317" t="str">
        <f t="shared" si="110"/>
        <v/>
      </c>
      <c r="T1471" s="317" t="str">
        <f>GLOBAL_DER_FEV_2023!S1471</f>
        <v/>
      </c>
      <c r="W1471" s="582">
        <v>0</v>
      </c>
      <c r="X1471" s="580"/>
      <c r="Y1471" s="583">
        <f>IF(GLOBAL_DER_FEV_2023!W1471=0,0,IF(GLOBAL_DER_FEV_2023!W1471&gt;0,"c","b"))</f>
        <v>0</v>
      </c>
    </row>
    <row r="1472" spans="1:25" ht="34.5" hidden="1" thickBot="1" x14ac:dyDescent="0.25">
      <c r="A1472" s="317">
        <v>97608</v>
      </c>
      <c r="B1472" s="895">
        <v>97608</v>
      </c>
      <c r="C1472" s="896" t="s">
        <v>596</v>
      </c>
      <c r="D1472" s="906" t="s">
        <v>1397</v>
      </c>
      <c r="E1472" s="907">
        <f>GLOBAL_DER_FEV_2023!E1472</f>
        <v>0</v>
      </c>
      <c r="F1472" s="908">
        <f>GLOBAL_DER_FEV_2023!F1472</f>
        <v>0</v>
      </c>
      <c r="G1472" s="912">
        <f>GLOBAL_DER_FEV_2023!G1472</f>
        <v>0</v>
      </c>
      <c r="H1472" s="901">
        <f>GLOBAL_DER_FEV_2023!H1472</f>
        <v>136.5</v>
      </c>
      <c r="I1472" s="901">
        <f>GLOBAL_DER_FEV_2023!I1472</f>
        <v>136.5</v>
      </c>
      <c r="J1472" s="902">
        <f>GLOBAL_DER_FEV_2023!J1472</f>
        <v>163.9</v>
      </c>
      <c r="K1472" s="903" t="s">
        <v>1516</v>
      </c>
      <c r="L1472" s="1137"/>
      <c r="M1472" s="1138">
        <f t="shared" si="107"/>
        <v>0</v>
      </c>
      <c r="N1472" s="893">
        <f t="shared" si="111"/>
        <v>0</v>
      </c>
      <c r="O1472" s="905"/>
      <c r="Q1472" s="317" t="str">
        <f t="shared" si="108"/>
        <v/>
      </c>
      <c r="R1472" s="317" t="str">
        <f t="shared" si="109"/>
        <v/>
      </c>
      <c r="S1472" s="317" t="str">
        <f t="shared" si="110"/>
        <v/>
      </c>
      <c r="T1472" s="317" t="str">
        <f>GLOBAL_DER_FEV_2023!S1472</f>
        <v/>
      </c>
      <c r="W1472" s="582">
        <v>0</v>
      </c>
      <c r="X1472" s="580"/>
      <c r="Y1472" s="583">
        <f>IF(GLOBAL_DER_FEV_2023!W1472=0,0,IF(GLOBAL_DER_FEV_2023!W1472&gt;0,"c","b"))</f>
        <v>0</v>
      </c>
    </row>
    <row r="1473" spans="1:25" ht="23.25" hidden="1" thickBot="1" x14ac:dyDescent="0.25">
      <c r="A1473" s="317">
        <v>100902</v>
      </c>
      <c r="B1473" s="895">
        <v>100902</v>
      </c>
      <c r="C1473" s="896" t="s">
        <v>596</v>
      </c>
      <c r="D1473" s="906" t="s">
        <v>1398</v>
      </c>
      <c r="E1473" s="907">
        <f>GLOBAL_DER_FEV_2023!E1473</f>
        <v>0</v>
      </c>
      <c r="F1473" s="908">
        <f>GLOBAL_DER_FEV_2023!F1473</f>
        <v>0</v>
      </c>
      <c r="G1473" s="912">
        <f>GLOBAL_DER_FEV_2023!G1473</f>
        <v>0</v>
      </c>
      <c r="H1473" s="901">
        <f>GLOBAL_DER_FEV_2023!H1473</f>
        <v>29.72</v>
      </c>
      <c r="I1473" s="901">
        <f>GLOBAL_DER_FEV_2023!I1473</f>
        <v>29.72</v>
      </c>
      <c r="J1473" s="902">
        <f>GLOBAL_DER_FEV_2023!J1473</f>
        <v>35.68</v>
      </c>
      <c r="K1473" s="903" t="s">
        <v>1516</v>
      </c>
      <c r="L1473" s="1137"/>
      <c r="M1473" s="1138">
        <f t="shared" si="107"/>
        <v>0</v>
      </c>
      <c r="N1473" s="893">
        <f t="shared" si="111"/>
        <v>0</v>
      </c>
      <c r="O1473" s="905"/>
      <c r="Q1473" s="317" t="str">
        <f t="shared" si="108"/>
        <v/>
      </c>
      <c r="R1473" s="317" t="str">
        <f t="shared" si="109"/>
        <v/>
      </c>
      <c r="S1473" s="317" t="str">
        <f t="shared" si="110"/>
        <v/>
      </c>
      <c r="T1473" s="317" t="str">
        <f>GLOBAL_DER_FEV_2023!S1473</f>
        <v/>
      </c>
      <c r="W1473" s="582">
        <v>0</v>
      </c>
      <c r="X1473" s="580"/>
      <c r="Y1473" s="583">
        <f>IF(GLOBAL_DER_FEV_2023!W1473=0,0,IF(GLOBAL_DER_FEV_2023!W1473&gt;0,"c","b"))</f>
        <v>0</v>
      </c>
    </row>
    <row r="1474" spans="1:25" ht="23.25" hidden="1" thickBot="1" x14ac:dyDescent="0.25">
      <c r="A1474" s="317">
        <v>100903</v>
      </c>
      <c r="B1474" s="895">
        <v>100903</v>
      </c>
      <c r="C1474" s="896" t="s">
        <v>596</v>
      </c>
      <c r="D1474" s="906" t="s">
        <v>1399</v>
      </c>
      <c r="E1474" s="907">
        <f>GLOBAL_DER_FEV_2023!E1474</f>
        <v>0</v>
      </c>
      <c r="F1474" s="908">
        <f>GLOBAL_DER_FEV_2023!F1474</f>
        <v>0</v>
      </c>
      <c r="G1474" s="912">
        <f>GLOBAL_DER_FEV_2023!G1474</f>
        <v>0</v>
      </c>
      <c r="H1474" s="901">
        <f>GLOBAL_DER_FEV_2023!H1474</f>
        <v>34.54</v>
      </c>
      <c r="I1474" s="901">
        <f>GLOBAL_DER_FEV_2023!I1474</f>
        <v>34.54</v>
      </c>
      <c r="J1474" s="902">
        <f>GLOBAL_DER_FEV_2023!J1474</f>
        <v>41.47</v>
      </c>
      <c r="K1474" s="903" t="s">
        <v>1516</v>
      </c>
      <c r="L1474" s="1137"/>
      <c r="M1474" s="1138">
        <f t="shared" si="107"/>
        <v>0</v>
      </c>
      <c r="N1474" s="893">
        <f t="shared" si="111"/>
        <v>0</v>
      </c>
      <c r="O1474" s="905"/>
      <c r="Q1474" s="317" t="str">
        <f t="shared" si="108"/>
        <v/>
      </c>
      <c r="R1474" s="317" t="str">
        <f t="shared" si="109"/>
        <v/>
      </c>
      <c r="S1474" s="317" t="str">
        <f t="shared" si="110"/>
        <v/>
      </c>
      <c r="T1474" s="317" t="str">
        <f>GLOBAL_DER_FEV_2023!S1474</f>
        <v/>
      </c>
      <c r="W1474" s="582">
        <v>0</v>
      </c>
      <c r="X1474" s="580"/>
      <c r="Y1474" s="583">
        <f>IF(GLOBAL_DER_FEV_2023!W1474=0,0,IF(GLOBAL_DER_FEV_2023!W1474&gt;0,"c","b"))</f>
        <v>0</v>
      </c>
    </row>
    <row r="1475" spans="1:25" ht="34.5" hidden="1" thickBot="1" x14ac:dyDescent="0.25">
      <c r="A1475" s="317">
        <v>100904</v>
      </c>
      <c r="B1475" s="895">
        <v>100904</v>
      </c>
      <c r="C1475" s="896" t="s">
        <v>596</v>
      </c>
      <c r="D1475" s="906" t="s">
        <v>1400</v>
      </c>
      <c r="E1475" s="907">
        <f>GLOBAL_DER_FEV_2023!E1475</f>
        <v>0</v>
      </c>
      <c r="F1475" s="908">
        <f>GLOBAL_DER_FEV_2023!F1475</f>
        <v>0</v>
      </c>
      <c r="G1475" s="912">
        <f>GLOBAL_DER_FEV_2023!G1475</f>
        <v>0</v>
      </c>
      <c r="H1475" s="901">
        <f>GLOBAL_DER_FEV_2023!H1475</f>
        <v>99.02</v>
      </c>
      <c r="I1475" s="901">
        <f>GLOBAL_DER_FEV_2023!I1475</f>
        <v>99.02</v>
      </c>
      <c r="J1475" s="902">
        <f>GLOBAL_DER_FEV_2023!J1475</f>
        <v>118.89</v>
      </c>
      <c r="K1475" s="903" t="s">
        <v>1516</v>
      </c>
      <c r="L1475" s="1137"/>
      <c r="M1475" s="1138">
        <f t="shared" si="107"/>
        <v>0</v>
      </c>
      <c r="N1475" s="893">
        <f t="shared" si="111"/>
        <v>0</v>
      </c>
      <c r="O1475" s="905"/>
      <c r="Q1475" s="317" t="str">
        <f t="shared" si="108"/>
        <v/>
      </c>
      <c r="R1475" s="317" t="str">
        <f t="shared" si="109"/>
        <v/>
      </c>
      <c r="S1475" s="317" t="str">
        <f t="shared" si="110"/>
        <v/>
      </c>
      <c r="T1475" s="317" t="str">
        <f>GLOBAL_DER_FEV_2023!S1475</f>
        <v/>
      </c>
      <c r="W1475" s="582">
        <v>0</v>
      </c>
      <c r="X1475" s="580"/>
      <c r="Y1475" s="583">
        <f>IF(GLOBAL_DER_FEV_2023!W1475=0,0,IF(GLOBAL_DER_FEV_2023!W1475&gt;0,"c","b"))</f>
        <v>0</v>
      </c>
    </row>
    <row r="1476" spans="1:25" ht="34.5" hidden="1" thickBot="1" x14ac:dyDescent="0.25">
      <c r="A1476" s="317">
        <v>100905</v>
      </c>
      <c r="B1476" s="895">
        <v>100905</v>
      </c>
      <c r="C1476" s="896" t="s">
        <v>596</v>
      </c>
      <c r="D1476" s="906" t="s">
        <v>1401</v>
      </c>
      <c r="E1476" s="907">
        <f>GLOBAL_DER_FEV_2023!E1476</f>
        <v>0</v>
      </c>
      <c r="F1476" s="908">
        <f>GLOBAL_DER_FEV_2023!F1476</f>
        <v>0</v>
      </c>
      <c r="G1476" s="912">
        <f>GLOBAL_DER_FEV_2023!G1476</f>
        <v>0</v>
      </c>
      <c r="H1476" s="901">
        <f>GLOBAL_DER_FEV_2023!H1476</f>
        <v>266.39999999999998</v>
      </c>
      <c r="I1476" s="901">
        <f>GLOBAL_DER_FEV_2023!I1476</f>
        <v>266.39999999999998</v>
      </c>
      <c r="J1476" s="902">
        <f>GLOBAL_DER_FEV_2023!J1476</f>
        <v>319.87</v>
      </c>
      <c r="K1476" s="903" t="s">
        <v>1516</v>
      </c>
      <c r="L1476" s="1137"/>
      <c r="M1476" s="1138">
        <f t="shared" si="107"/>
        <v>0</v>
      </c>
      <c r="N1476" s="893">
        <f t="shared" si="111"/>
        <v>0</v>
      </c>
      <c r="O1476" s="905"/>
      <c r="Q1476" s="317" t="str">
        <f t="shared" si="108"/>
        <v/>
      </c>
      <c r="R1476" s="317" t="str">
        <f t="shared" si="109"/>
        <v/>
      </c>
      <c r="S1476" s="317" t="str">
        <f t="shared" si="110"/>
        <v/>
      </c>
      <c r="T1476" s="317" t="str">
        <f>GLOBAL_DER_FEV_2023!S1476</f>
        <v/>
      </c>
      <c r="W1476" s="582">
        <v>0</v>
      </c>
      <c r="X1476" s="580"/>
      <c r="Y1476" s="583">
        <f>IF(GLOBAL_DER_FEV_2023!W1476=0,0,IF(GLOBAL_DER_FEV_2023!W1476&gt;0,"c","b"))</f>
        <v>0</v>
      </c>
    </row>
    <row r="1477" spans="1:25" ht="34.5" hidden="1" thickBot="1" x14ac:dyDescent="0.25">
      <c r="A1477" s="317">
        <v>100906</v>
      </c>
      <c r="B1477" s="895">
        <v>100906</v>
      </c>
      <c r="C1477" s="896" t="s">
        <v>596</v>
      </c>
      <c r="D1477" s="906" t="s">
        <v>1402</v>
      </c>
      <c r="E1477" s="907">
        <f>GLOBAL_DER_FEV_2023!E1477</f>
        <v>0</v>
      </c>
      <c r="F1477" s="908">
        <f>GLOBAL_DER_FEV_2023!F1477</f>
        <v>0</v>
      </c>
      <c r="G1477" s="912">
        <f>GLOBAL_DER_FEV_2023!G1477</f>
        <v>0</v>
      </c>
      <c r="H1477" s="901">
        <f>GLOBAL_DER_FEV_2023!H1477</f>
        <v>361.6</v>
      </c>
      <c r="I1477" s="901">
        <f>GLOBAL_DER_FEV_2023!I1477</f>
        <v>361.6</v>
      </c>
      <c r="J1477" s="902">
        <f>GLOBAL_DER_FEV_2023!J1477</f>
        <v>434.17</v>
      </c>
      <c r="K1477" s="903" t="s">
        <v>1516</v>
      </c>
      <c r="L1477" s="1137"/>
      <c r="M1477" s="1138">
        <f t="shared" si="107"/>
        <v>0</v>
      </c>
      <c r="N1477" s="893">
        <f t="shared" si="111"/>
        <v>0</v>
      </c>
      <c r="O1477" s="905"/>
      <c r="Q1477" s="317" t="str">
        <f t="shared" si="108"/>
        <v/>
      </c>
      <c r="R1477" s="317" t="str">
        <f t="shared" si="109"/>
        <v/>
      </c>
      <c r="S1477" s="317" t="str">
        <f t="shared" si="110"/>
        <v/>
      </c>
      <c r="T1477" s="317" t="str">
        <f>GLOBAL_DER_FEV_2023!S1477</f>
        <v/>
      </c>
      <c r="W1477" s="582">
        <v>0</v>
      </c>
      <c r="X1477" s="580"/>
      <c r="Y1477" s="583">
        <f>IF(GLOBAL_DER_FEV_2023!W1477=0,0,IF(GLOBAL_DER_FEV_2023!W1477&gt;0,"c","b"))</f>
        <v>0</v>
      </c>
    </row>
    <row r="1478" spans="1:25" ht="23.25" hidden="1" thickBot="1" x14ac:dyDescent="0.25">
      <c r="A1478" s="317">
        <v>100919</v>
      </c>
      <c r="B1478" s="895">
        <v>100919</v>
      </c>
      <c r="C1478" s="896" t="s">
        <v>596</v>
      </c>
      <c r="D1478" s="906" t="s">
        <v>1403</v>
      </c>
      <c r="E1478" s="907">
        <f>GLOBAL_DER_FEV_2023!E1478</f>
        <v>0</v>
      </c>
      <c r="F1478" s="908">
        <f>GLOBAL_DER_FEV_2023!F1478</f>
        <v>0</v>
      </c>
      <c r="G1478" s="912">
        <f>GLOBAL_DER_FEV_2023!G1478</f>
        <v>0</v>
      </c>
      <c r="H1478" s="901">
        <f>GLOBAL_DER_FEV_2023!H1478</f>
        <v>73.05</v>
      </c>
      <c r="I1478" s="901">
        <f>GLOBAL_DER_FEV_2023!I1478</f>
        <v>73.05</v>
      </c>
      <c r="J1478" s="902">
        <f>GLOBAL_DER_FEV_2023!J1478</f>
        <v>87.71</v>
      </c>
      <c r="K1478" s="903" t="s">
        <v>1516</v>
      </c>
      <c r="L1478" s="1137"/>
      <c r="M1478" s="1138">
        <f t="shared" si="107"/>
        <v>0</v>
      </c>
      <c r="N1478" s="893">
        <f t="shared" si="111"/>
        <v>0</v>
      </c>
      <c r="O1478" s="905"/>
      <c r="Q1478" s="317" t="str">
        <f t="shared" si="108"/>
        <v/>
      </c>
      <c r="R1478" s="317" t="str">
        <f t="shared" si="109"/>
        <v/>
      </c>
      <c r="S1478" s="317" t="str">
        <f t="shared" si="110"/>
        <v/>
      </c>
      <c r="T1478" s="317" t="str">
        <f>GLOBAL_DER_FEV_2023!S1478</f>
        <v/>
      </c>
      <c r="W1478" s="582">
        <v>0</v>
      </c>
      <c r="X1478" s="580"/>
      <c r="Y1478" s="583">
        <f>IF(GLOBAL_DER_FEV_2023!W1478=0,0,IF(GLOBAL_DER_FEV_2023!W1478&gt;0,"c","b"))</f>
        <v>0</v>
      </c>
    </row>
    <row r="1479" spans="1:25" ht="23.25" hidden="1" thickBot="1" x14ac:dyDescent="0.25">
      <c r="A1479" s="317">
        <v>100920</v>
      </c>
      <c r="B1479" s="895">
        <v>100920</v>
      </c>
      <c r="C1479" s="896" t="s">
        <v>596</v>
      </c>
      <c r="D1479" s="906" t="s">
        <v>1404</v>
      </c>
      <c r="E1479" s="907">
        <f>GLOBAL_DER_FEV_2023!E1479</f>
        <v>0</v>
      </c>
      <c r="F1479" s="908">
        <f>GLOBAL_DER_FEV_2023!F1479</f>
        <v>0</v>
      </c>
      <c r="G1479" s="912">
        <f>GLOBAL_DER_FEV_2023!G1479</f>
        <v>0</v>
      </c>
      <c r="H1479" s="901">
        <f>GLOBAL_DER_FEV_2023!H1479</f>
        <v>123.15</v>
      </c>
      <c r="I1479" s="901">
        <f>GLOBAL_DER_FEV_2023!I1479</f>
        <v>123.15</v>
      </c>
      <c r="J1479" s="902">
        <f>GLOBAL_DER_FEV_2023!J1479</f>
        <v>147.87</v>
      </c>
      <c r="K1479" s="903" t="s">
        <v>1516</v>
      </c>
      <c r="L1479" s="1137"/>
      <c r="M1479" s="1138">
        <f t="shared" si="107"/>
        <v>0</v>
      </c>
      <c r="N1479" s="893">
        <f t="shared" si="111"/>
        <v>0</v>
      </c>
      <c r="O1479" s="905"/>
      <c r="Q1479" s="317" t="str">
        <f t="shared" si="108"/>
        <v/>
      </c>
      <c r="R1479" s="317" t="str">
        <f t="shared" si="109"/>
        <v/>
      </c>
      <c r="S1479" s="317" t="str">
        <f t="shared" si="110"/>
        <v/>
      </c>
      <c r="T1479" s="317" t="str">
        <f>GLOBAL_DER_FEV_2023!S1479</f>
        <v/>
      </c>
      <c r="W1479" s="582">
        <v>0</v>
      </c>
      <c r="X1479" s="580"/>
      <c r="Y1479" s="583">
        <f>IF(GLOBAL_DER_FEV_2023!W1479=0,0,IF(GLOBAL_DER_FEV_2023!W1479&gt;0,"c","b"))</f>
        <v>0</v>
      </c>
    </row>
    <row r="1480" spans="1:25" ht="23.25" hidden="1" thickBot="1" x14ac:dyDescent="0.25">
      <c r="A1480" s="317">
        <v>97609</v>
      </c>
      <c r="B1480" s="895">
        <v>97609</v>
      </c>
      <c r="C1480" s="896" t="s">
        <v>596</v>
      </c>
      <c r="D1480" s="906" t="s">
        <v>1405</v>
      </c>
      <c r="E1480" s="907">
        <f>GLOBAL_DER_FEV_2023!E1480</f>
        <v>0</v>
      </c>
      <c r="F1480" s="908">
        <f>GLOBAL_DER_FEV_2023!F1480</f>
        <v>0</v>
      </c>
      <c r="G1480" s="912">
        <f>GLOBAL_DER_FEV_2023!G1480</f>
        <v>0</v>
      </c>
      <c r="H1480" s="901">
        <f>GLOBAL_DER_FEV_2023!H1480</f>
        <v>18.36</v>
      </c>
      <c r="I1480" s="901">
        <f>GLOBAL_DER_FEV_2023!I1480</f>
        <v>18.36</v>
      </c>
      <c r="J1480" s="902">
        <f>GLOBAL_DER_FEV_2023!J1480</f>
        <v>22.04</v>
      </c>
      <c r="K1480" s="903" t="s">
        <v>1516</v>
      </c>
      <c r="L1480" s="1137"/>
      <c r="M1480" s="1138">
        <f t="shared" si="107"/>
        <v>0</v>
      </c>
      <c r="N1480" s="893">
        <f t="shared" si="111"/>
        <v>0</v>
      </c>
      <c r="O1480" s="905"/>
      <c r="Q1480" s="317" t="str">
        <f t="shared" si="108"/>
        <v/>
      </c>
      <c r="R1480" s="317" t="str">
        <f t="shared" si="109"/>
        <v/>
      </c>
      <c r="S1480" s="317" t="str">
        <f t="shared" si="110"/>
        <v/>
      </c>
      <c r="T1480" s="317" t="str">
        <f>GLOBAL_DER_FEV_2023!S1480</f>
        <v/>
      </c>
      <c r="W1480" s="582">
        <v>0</v>
      </c>
      <c r="X1480" s="580"/>
      <c r="Y1480" s="583">
        <f>IF(GLOBAL_DER_FEV_2023!W1480=0,0,IF(GLOBAL_DER_FEV_2023!W1480&gt;0,"c","b"))</f>
        <v>0</v>
      </c>
    </row>
    <row r="1481" spans="1:25" ht="23.25" hidden="1" thickBot="1" x14ac:dyDescent="0.25">
      <c r="A1481" s="317">
        <v>97610</v>
      </c>
      <c r="B1481" s="895">
        <v>97610</v>
      </c>
      <c r="C1481" s="896" t="s">
        <v>596</v>
      </c>
      <c r="D1481" s="906" t="s">
        <v>1406</v>
      </c>
      <c r="E1481" s="907">
        <f>GLOBAL_DER_FEV_2023!E1481</f>
        <v>0</v>
      </c>
      <c r="F1481" s="908">
        <f>GLOBAL_DER_FEV_2023!F1481</f>
        <v>0</v>
      </c>
      <c r="G1481" s="912">
        <f>GLOBAL_DER_FEV_2023!G1481</f>
        <v>0</v>
      </c>
      <c r="H1481" s="901">
        <f>GLOBAL_DER_FEV_2023!H1481</f>
        <v>19.45</v>
      </c>
      <c r="I1481" s="901">
        <f>GLOBAL_DER_FEV_2023!I1481</f>
        <v>19.45</v>
      </c>
      <c r="J1481" s="902">
        <f>GLOBAL_DER_FEV_2023!J1481</f>
        <v>23.35</v>
      </c>
      <c r="K1481" s="903" t="s">
        <v>1516</v>
      </c>
      <c r="L1481" s="1137"/>
      <c r="M1481" s="1138">
        <f t="shared" si="107"/>
        <v>0</v>
      </c>
      <c r="N1481" s="893">
        <f t="shared" si="111"/>
        <v>0</v>
      </c>
      <c r="O1481" s="905"/>
      <c r="Q1481" s="317" t="str">
        <f t="shared" si="108"/>
        <v/>
      </c>
      <c r="R1481" s="317" t="str">
        <f t="shared" si="109"/>
        <v/>
      </c>
      <c r="S1481" s="317" t="str">
        <f t="shared" si="110"/>
        <v/>
      </c>
      <c r="T1481" s="317" t="str">
        <f>GLOBAL_DER_FEV_2023!S1481</f>
        <v/>
      </c>
      <c r="W1481" s="582">
        <v>0</v>
      </c>
      <c r="X1481" s="580"/>
      <c r="Y1481" s="583">
        <f>IF(GLOBAL_DER_FEV_2023!W1481=0,0,IF(GLOBAL_DER_FEV_2023!W1481&gt;0,"c","b"))</f>
        <v>0</v>
      </c>
    </row>
    <row r="1482" spans="1:25" ht="23.25" hidden="1" thickBot="1" x14ac:dyDescent="0.25">
      <c r="A1482" s="317">
        <v>101537</v>
      </c>
      <c r="B1482" s="895">
        <v>101537</v>
      </c>
      <c r="C1482" s="896" t="s">
        <v>596</v>
      </c>
      <c r="D1482" s="906" t="s">
        <v>1407</v>
      </c>
      <c r="E1482" s="907">
        <f>GLOBAL_DER_FEV_2023!E1482</f>
        <v>0</v>
      </c>
      <c r="F1482" s="908">
        <f>GLOBAL_DER_FEV_2023!F1482</f>
        <v>0</v>
      </c>
      <c r="G1482" s="912">
        <f>GLOBAL_DER_FEV_2023!G1482</f>
        <v>0</v>
      </c>
      <c r="H1482" s="901">
        <f>GLOBAL_DER_FEV_2023!H1482</f>
        <v>139.63999999999999</v>
      </c>
      <c r="I1482" s="901">
        <f>GLOBAL_DER_FEV_2023!I1482</f>
        <v>139.63999999999999</v>
      </c>
      <c r="J1482" s="902">
        <f>GLOBAL_DER_FEV_2023!J1482</f>
        <v>167.67</v>
      </c>
      <c r="K1482" s="903" t="s">
        <v>1516</v>
      </c>
      <c r="L1482" s="1137"/>
      <c r="M1482" s="1138">
        <f t="shared" si="107"/>
        <v>0</v>
      </c>
      <c r="N1482" s="893">
        <f t="shared" si="111"/>
        <v>0</v>
      </c>
      <c r="O1482" s="905"/>
      <c r="Q1482" s="317" t="str">
        <f t="shared" si="108"/>
        <v/>
      </c>
      <c r="R1482" s="317" t="str">
        <f t="shared" si="109"/>
        <v/>
      </c>
      <c r="S1482" s="317" t="str">
        <f t="shared" si="110"/>
        <v/>
      </c>
      <c r="T1482" s="317" t="str">
        <f>GLOBAL_DER_FEV_2023!S1482</f>
        <v/>
      </c>
      <c r="W1482" s="582">
        <v>0</v>
      </c>
      <c r="X1482" s="580"/>
      <c r="Y1482" s="583">
        <f>IF(GLOBAL_DER_FEV_2023!W1482=0,0,IF(GLOBAL_DER_FEV_2023!W1482&gt;0,"c","b"))</f>
        <v>0</v>
      </c>
    </row>
    <row r="1483" spans="1:25" ht="13.5" hidden="1" thickBot="1" x14ac:dyDescent="0.25">
      <c r="A1483" s="317">
        <v>97054</v>
      </c>
      <c r="B1483" s="895">
        <v>97054</v>
      </c>
      <c r="C1483" s="896" t="s">
        <v>596</v>
      </c>
      <c r="D1483" s="906" t="s">
        <v>1408</v>
      </c>
      <c r="E1483" s="907">
        <f>GLOBAL_DER_FEV_2023!E1483</f>
        <v>0</v>
      </c>
      <c r="F1483" s="908">
        <f>GLOBAL_DER_FEV_2023!F1483</f>
        <v>0</v>
      </c>
      <c r="G1483" s="912">
        <f>GLOBAL_DER_FEV_2023!G1483</f>
        <v>0</v>
      </c>
      <c r="H1483" s="901">
        <f>GLOBAL_DER_FEV_2023!H1483</f>
        <v>28.63</v>
      </c>
      <c r="I1483" s="901">
        <f>GLOBAL_DER_FEV_2023!I1483</f>
        <v>28.63</v>
      </c>
      <c r="J1483" s="902">
        <f>GLOBAL_DER_FEV_2023!J1483</f>
        <v>34.380000000000003</v>
      </c>
      <c r="K1483" s="903" t="s">
        <v>1516</v>
      </c>
      <c r="L1483" s="1137"/>
      <c r="M1483" s="1138">
        <f t="shared" si="107"/>
        <v>0</v>
      </c>
      <c r="N1483" s="893">
        <f t="shared" si="111"/>
        <v>0</v>
      </c>
      <c r="O1483" s="905"/>
      <c r="Q1483" s="317" t="str">
        <f t="shared" si="108"/>
        <v/>
      </c>
      <c r="R1483" s="317" t="str">
        <f t="shared" si="109"/>
        <v/>
      </c>
      <c r="S1483" s="317" t="str">
        <f t="shared" si="110"/>
        <v/>
      </c>
      <c r="T1483" s="317" t="str">
        <f>GLOBAL_DER_FEV_2023!S1483</f>
        <v/>
      </c>
      <c r="W1483" s="582">
        <v>0</v>
      </c>
      <c r="X1483" s="580"/>
      <c r="Y1483" s="583">
        <f>IF(GLOBAL_DER_FEV_2023!W1483=0,0,IF(GLOBAL_DER_FEV_2023!W1483&gt;0,"c","b"))</f>
        <v>0</v>
      </c>
    </row>
    <row r="1484" spans="1:25" ht="23.25" hidden="1" thickBot="1" x14ac:dyDescent="0.25">
      <c r="A1484" s="317">
        <v>101538</v>
      </c>
      <c r="B1484" s="895">
        <v>101538</v>
      </c>
      <c r="C1484" s="896" t="s">
        <v>596</v>
      </c>
      <c r="D1484" s="906" t="s">
        <v>1409</v>
      </c>
      <c r="E1484" s="907">
        <f>GLOBAL_DER_FEV_2023!E1484</f>
        <v>0</v>
      </c>
      <c r="F1484" s="908">
        <f>GLOBAL_DER_FEV_2023!F1484</f>
        <v>0</v>
      </c>
      <c r="G1484" s="912">
        <f>GLOBAL_DER_FEV_2023!G1484</f>
        <v>0</v>
      </c>
      <c r="H1484" s="901">
        <f>GLOBAL_DER_FEV_2023!H1484</f>
        <v>33.369999999999997</v>
      </c>
      <c r="I1484" s="901">
        <f>GLOBAL_DER_FEV_2023!I1484</f>
        <v>33.369999999999997</v>
      </c>
      <c r="J1484" s="902">
        <f>GLOBAL_DER_FEV_2023!J1484</f>
        <v>40.07</v>
      </c>
      <c r="K1484" s="903" t="s">
        <v>1516</v>
      </c>
      <c r="L1484" s="1137"/>
      <c r="M1484" s="1138">
        <f t="shared" si="107"/>
        <v>0</v>
      </c>
      <c r="N1484" s="893">
        <f t="shared" si="111"/>
        <v>0</v>
      </c>
      <c r="O1484" s="905"/>
      <c r="Q1484" s="317" t="str">
        <f t="shared" si="108"/>
        <v/>
      </c>
      <c r="R1484" s="317" t="str">
        <f t="shared" si="109"/>
        <v/>
      </c>
      <c r="S1484" s="317" t="str">
        <f t="shared" si="110"/>
        <v/>
      </c>
      <c r="T1484" s="317" t="str">
        <f>GLOBAL_DER_FEV_2023!S1484</f>
        <v/>
      </c>
      <c r="W1484" s="582">
        <v>0</v>
      </c>
      <c r="X1484" s="580"/>
      <c r="Y1484" s="583">
        <f>IF(GLOBAL_DER_FEV_2023!W1484=0,0,IF(GLOBAL_DER_FEV_2023!W1484&gt;0,"c","b"))</f>
        <v>0</v>
      </c>
    </row>
    <row r="1485" spans="1:25" ht="23.25" hidden="1" thickBot="1" x14ac:dyDescent="0.25">
      <c r="A1485" s="317">
        <v>101539</v>
      </c>
      <c r="B1485" s="895">
        <v>101539</v>
      </c>
      <c r="C1485" s="896" t="s">
        <v>596</v>
      </c>
      <c r="D1485" s="906" t="s">
        <v>1410</v>
      </c>
      <c r="E1485" s="907">
        <f>GLOBAL_DER_FEV_2023!E1485</f>
        <v>0</v>
      </c>
      <c r="F1485" s="908">
        <f>GLOBAL_DER_FEV_2023!F1485</f>
        <v>0</v>
      </c>
      <c r="G1485" s="912">
        <f>GLOBAL_DER_FEV_2023!G1485</f>
        <v>0</v>
      </c>
      <c r="H1485" s="901">
        <f>GLOBAL_DER_FEV_2023!H1485</f>
        <v>58.76</v>
      </c>
      <c r="I1485" s="901">
        <f>GLOBAL_DER_FEV_2023!I1485</f>
        <v>58.76</v>
      </c>
      <c r="J1485" s="902">
        <f>GLOBAL_DER_FEV_2023!J1485</f>
        <v>70.55</v>
      </c>
      <c r="K1485" s="903" t="s">
        <v>1516</v>
      </c>
      <c r="L1485" s="1137"/>
      <c r="M1485" s="1138">
        <f t="shared" si="107"/>
        <v>0</v>
      </c>
      <c r="N1485" s="893">
        <f t="shared" si="111"/>
        <v>0</v>
      </c>
      <c r="O1485" s="905"/>
      <c r="Q1485" s="317" t="str">
        <f t="shared" si="108"/>
        <v/>
      </c>
      <c r="R1485" s="317" t="str">
        <f t="shared" si="109"/>
        <v/>
      </c>
      <c r="S1485" s="317" t="str">
        <f t="shared" si="110"/>
        <v/>
      </c>
      <c r="T1485" s="317" t="str">
        <f>GLOBAL_DER_FEV_2023!S1485</f>
        <v/>
      </c>
      <c r="W1485" s="582">
        <v>0</v>
      </c>
      <c r="X1485" s="580"/>
      <c r="Y1485" s="583">
        <f>IF(GLOBAL_DER_FEV_2023!W1485=0,0,IF(GLOBAL_DER_FEV_2023!W1485&gt;0,"c","b"))</f>
        <v>0</v>
      </c>
    </row>
    <row r="1486" spans="1:25" ht="23.25" hidden="1" thickBot="1" x14ac:dyDescent="0.25">
      <c r="A1486" s="317">
        <v>101540</v>
      </c>
      <c r="B1486" s="895">
        <v>101540</v>
      </c>
      <c r="C1486" s="896" t="s">
        <v>596</v>
      </c>
      <c r="D1486" s="906" t="s">
        <v>1411</v>
      </c>
      <c r="E1486" s="907">
        <f>GLOBAL_DER_FEV_2023!E1486</f>
        <v>0</v>
      </c>
      <c r="F1486" s="908">
        <f>GLOBAL_DER_FEV_2023!F1486</f>
        <v>0</v>
      </c>
      <c r="G1486" s="912">
        <f>GLOBAL_DER_FEV_2023!G1486</f>
        <v>0</v>
      </c>
      <c r="H1486" s="901">
        <f>GLOBAL_DER_FEV_2023!H1486</f>
        <v>95.26</v>
      </c>
      <c r="I1486" s="901">
        <f>GLOBAL_DER_FEV_2023!I1486</f>
        <v>95.26</v>
      </c>
      <c r="J1486" s="902">
        <f>GLOBAL_DER_FEV_2023!J1486</f>
        <v>114.38</v>
      </c>
      <c r="K1486" s="903" t="s">
        <v>1516</v>
      </c>
      <c r="L1486" s="1137"/>
      <c r="M1486" s="1138">
        <f t="shared" si="107"/>
        <v>0</v>
      </c>
      <c r="N1486" s="893">
        <f t="shared" si="111"/>
        <v>0</v>
      </c>
      <c r="O1486" s="905"/>
      <c r="Q1486" s="317" t="str">
        <f t="shared" si="108"/>
        <v/>
      </c>
      <c r="R1486" s="317" t="str">
        <f t="shared" si="109"/>
        <v/>
      </c>
      <c r="S1486" s="317" t="str">
        <f t="shared" si="110"/>
        <v/>
      </c>
      <c r="T1486" s="317" t="str">
        <f>GLOBAL_DER_FEV_2023!S1486</f>
        <v/>
      </c>
      <c r="W1486" s="582">
        <v>0</v>
      </c>
      <c r="X1486" s="580"/>
      <c r="Y1486" s="583">
        <f>IF(GLOBAL_DER_FEV_2023!W1486=0,0,IF(GLOBAL_DER_FEV_2023!W1486&gt;0,"c","b"))</f>
        <v>0</v>
      </c>
    </row>
    <row r="1487" spans="1:25" ht="23.25" hidden="1" thickBot="1" x14ac:dyDescent="0.25">
      <c r="A1487" s="317">
        <v>101541</v>
      </c>
      <c r="B1487" s="895">
        <v>101541</v>
      </c>
      <c r="C1487" s="896" t="s">
        <v>596</v>
      </c>
      <c r="D1487" s="906" t="s">
        <v>1412</v>
      </c>
      <c r="E1487" s="907">
        <f>GLOBAL_DER_FEV_2023!E1487</f>
        <v>0</v>
      </c>
      <c r="F1487" s="908">
        <f>GLOBAL_DER_FEV_2023!F1487</f>
        <v>0</v>
      </c>
      <c r="G1487" s="912">
        <f>GLOBAL_DER_FEV_2023!G1487</f>
        <v>0</v>
      </c>
      <c r="H1487" s="901">
        <f>GLOBAL_DER_FEV_2023!H1487</f>
        <v>125.15</v>
      </c>
      <c r="I1487" s="901">
        <f>GLOBAL_DER_FEV_2023!I1487</f>
        <v>125.15</v>
      </c>
      <c r="J1487" s="902">
        <f>GLOBAL_DER_FEV_2023!J1487</f>
        <v>150.27000000000001</v>
      </c>
      <c r="K1487" s="903" t="s">
        <v>1516</v>
      </c>
      <c r="L1487" s="1137"/>
      <c r="M1487" s="1138">
        <f t="shared" si="107"/>
        <v>0</v>
      </c>
      <c r="N1487" s="893">
        <f t="shared" si="111"/>
        <v>0</v>
      </c>
      <c r="O1487" s="905"/>
      <c r="Q1487" s="317" t="str">
        <f t="shared" si="108"/>
        <v/>
      </c>
      <c r="R1487" s="317" t="str">
        <f t="shared" si="109"/>
        <v/>
      </c>
      <c r="S1487" s="317" t="str">
        <f t="shared" si="110"/>
        <v/>
      </c>
      <c r="T1487" s="317" t="str">
        <f>GLOBAL_DER_FEV_2023!S1487</f>
        <v/>
      </c>
      <c r="W1487" s="582">
        <v>0</v>
      </c>
      <c r="X1487" s="580"/>
      <c r="Y1487" s="583">
        <f>IF(GLOBAL_DER_FEV_2023!W1487=0,0,IF(GLOBAL_DER_FEV_2023!W1487&gt;0,"c","b"))</f>
        <v>0</v>
      </c>
    </row>
    <row r="1488" spans="1:25" ht="23.25" hidden="1" thickBot="1" x14ac:dyDescent="0.25">
      <c r="A1488" s="317">
        <v>101542</v>
      </c>
      <c r="B1488" s="895">
        <v>101542</v>
      </c>
      <c r="C1488" s="896" t="s">
        <v>596</v>
      </c>
      <c r="D1488" s="906" t="s">
        <v>1413</v>
      </c>
      <c r="E1488" s="907">
        <f>GLOBAL_DER_FEV_2023!E1488</f>
        <v>0</v>
      </c>
      <c r="F1488" s="908">
        <f>GLOBAL_DER_FEV_2023!F1488</f>
        <v>0</v>
      </c>
      <c r="G1488" s="912">
        <f>GLOBAL_DER_FEV_2023!G1488</f>
        <v>0</v>
      </c>
      <c r="H1488" s="901">
        <f>GLOBAL_DER_FEV_2023!H1488</f>
        <v>26.46</v>
      </c>
      <c r="I1488" s="901">
        <f>GLOBAL_DER_FEV_2023!I1488</f>
        <v>26.46</v>
      </c>
      <c r="J1488" s="902">
        <f>GLOBAL_DER_FEV_2023!J1488</f>
        <v>31.77</v>
      </c>
      <c r="K1488" s="903" t="s">
        <v>1516</v>
      </c>
      <c r="L1488" s="1137"/>
      <c r="M1488" s="1138">
        <f t="shared" si="107"/>
        <v>0</v>
      </c>
      <c r="N1488" s="893">
        <f t="shared" si="111"/>
        <v>0</v>
      </c>
      <c r="O1488" s="905"/>
      <c r="Q1488" s="317" t="str">
        <f t="shared" si="108"/>
        <v/>
      </c>
      <c r="R1488" s="317" t="str">
        <f t="shared" si="109"/>
        <v/>
      </c>
      <c r="S1488" s="317" t="str">
        <f t="shared" si="110"/>
        <v/>
      </c>
      <c r="T1488" s="317" t="str">
        <f>GLOBAL_DER_FEV_2023!S1488</f>
        <v/>
      </c>
      <c r="W1488" s="582">
        <v>0</v>
      </c>
      <c r="X1488" s="580"/>
      <c r="Y1488" s="583">
        <f>IF(GLOBAL_DER_FEV_2023!W1488=0,0,IF(GLOBAL_DER_FEV_2023!W1488&gt;0,"c","b"))</f>
        <v>0</v>
      </c>
    </row>
    <row r="1489" spans="1:25" ht="23.25" hidden="1" thickBot="1" x14ac:dyDescent="0.25">
      <c r="A1489" s="317">
        <v>101543</v>
      </c>
      <c r="B1489" s="895">
        <v>101543</v>
      </c>
      <c r="C1489" s="896" t="s">
        <v>596</v>
      </c>
      <c r="D1489" s="906" t="s">
        <v>1414</v>
      </c>
      <c r="E1489" s="907">
        <f>GLOBAL_DER_FEV_2023!E1489</f>
        <v>0</v>
      </c>
      <c r="F1489" s="908">
        <f>GLOBAL_DER_FEV_2023!F1489</f>
        <v>0</v>
      </c>
      <c r="G1489" s="912">
        <f>GLOBAL_DER_FEV_2023!G1489</f>
        <v>0</v>
      </c>
      <c r="H1489" s="901">
        <f>GLOBAL_DER_FEV_2023!H1489</f>
        <v>49.08</v>
      </c>
      <c r="I1489" s="901">
        <f>GLOBAL_DER_FEV_2023!I1489</f>
        <v>49.08</v>
      </c>
      <c r="J1489" s="902">
        <f>GLOBAL_DER_FEV_2023!J1489</f>
        <v>58.93</v>
      </c>
      <c r="K1489" s="903" t="s">
        <v>1516</v>
      </c>
      <c r="L1489" s="1137"/>
      <c r="M1489" s="1138">
        <f t="shared" si="107"/>
        <v>0</v>
      </c>
      <c r="N1489" s="893">
        <f t="shared" si="111"/>
        <v>0</v>
      </c>
      <c r="O1489" s="905"/>
      <c r="Q1489" s="317" t="str">
        <f t="shared" si="108"/>
        <v/>
      </c>
      <c r="R1489" s="317" t="str">
        <f t="shared" si="109"/>
        <v/>
      </c>
      <c r="S1489" s="317" t="str">
        <f t="shared" si="110"/>
        <v/>
      </c>
      <c r="T1489" s="317" t="str">
        <f>GLOBAL_DER_FEV_2023!S1489</f>
        <v/>
      </c>
      <c r="W1489" s="582">
        <v>0</v>
      </c>
      <c r="X1489" s="580"/>
      <c r="Y1489" s="583">
        <f>IF(GLOBAL_DER_FEV_2023!W1489=0,0,IF(GLOBAL_DER_FEV_2023!W1489&gt;0,"c","b"))</f>
        <v>0</v>
      </c>
    </row>
    <row r="1490" spans="1:25" ht="23.25" hidden="1" thickBot="1" x14ac:dyDescent="0.25">
      <c r="A1490" s="317">
        <v>101544</v>
      </c>
      <c r="B1490" s="895">
        <v>101544</v>
      </c>
      <c r="C1490" s="896" t="s">
        <v>596</v>
      </c>
      <c r="D1490" s="906" t="s">
        <v>1415</v>
      </c>
      <c r="E1490" s="907">
        <f>GLOBAL_DER_FEV_2023!E1490</f>
        <v>0</v>
      </c>
      <c r="F1490" s="908">
        <f>GLOBAL_DER_FEV_2023!F1490</f>
        <v>0</v>
      </c>
      <c r="G1490" s="912">
        <f>GLOBAL_DER_FEV_2023!G1490</f>
        <v>0</v>
      </c>
      <c r="H1490" s="901">
        <f>GLOBAL_DER_FEV_2023!H1490</f>
        <v>76.709999999999994</v>
      </c>
      <c r="I1490" s="901">
        <f>GLOBAL_DER_FEV_2023!I1490</f>
        <v>76.709999999999994</v>
      </c>
      <c r="J1490" s="902">
        <f>GLOBAL_DER_FEV_2023!J1490</f>
        <v>92.11</v>
      </c>
      <c r="K1490" s="903" t="s">
        <v>1516</v>
      </c>
      <c r="L1490" s="1137"/>
      <c r="M1490" s="1138">
        <f t="shared" ref="M1490:M1553" si="112">IF(L1490=0,0,ROUND(J1490,2))</f>
        <v>0</v>
      </c>
      <c r="N1490" s="893">
        <f t="shared" si="111"/>
        <v>0</v>
      </c>
      <c r="O1490" s="905"/>
      <c r="Q1490" s="317" t="str">
        <f t="shared" si="108"/>
        <v/>
      </c>
      <c r="R1490" s="317" t="str">
        <f t="shared" si="109"/>
        <v/>
      </c>
      <c r="S1490" s="317" t="str">
        <f t="shared" si="110"/>
        <v/>
      </c>
      <c r="T1490" s="317" t="str">
        <f>GLOBAL_DER_FEV_2023!S1490</f>
        <v/>
      </c>
      <c r="W1490" s="582">
        <v>0</v>
      </c>
      <c r="X1490" s="580"/>
      <c r="Y1490" s="583">
        <f>IF(GLOBAL_DER_FEV_2023!W1490=0,0,IF(GLOBAL_DER_FEV_2023!W1490&gt;0,"c","b"))</f>
        <v>0</v>
      </c>
    </row>
    <row r="1491" spans="1:25" ht="23.25" hidden="1" thickBot="1" x14ac:dyDescent="0.25">
      <c r="A1491" s="317">
        <v>101545</v>
      </c>
      <c r="B1491" s="895">
        <v>101545</v>
      </c>
      <c r="C1491" s="896" t="s">
        <v>596</v>
      </c>
      <c r="D1491" s="906" t="s">
        <v>1416</v>
      </c>
      <c r="E1491" s="907">
        <f>GLOBAL_DER_FEV_2023!E1491</f>
        <v>0</v>
      </c>
      <c r="F1491" s="908">
        <f>GLOBAL_DER_FEV_2023!F1491</f>
        <v>0</v>
      </c>
      <c r="G1491" s="912">
        <f>GLOBAL_DER_FEV_2023!G1491</f>
        <v>0</v>
      </c>
      <c r="H1491" s="901">
        <f>GLOBAL_DER_FEV_2023!H1491</f>
        <v>108.1</v>
      </c>
      <c r="I1491" s="901">
        <f>GLOBAL_DER_FEV_2023!I1491</f>
        <v>108.1</v>
      </c>
      <c r="J1491" s="902">
        <f>GLOBAL_DER_FEV_2023!J1491</f>
        <v>129.80000000000001</v>
      </c>
      <c r="K1491" s="903" t="s">
        <v>1516</v>
      </c>
      <c r="L1491" s="1137"/>
      <c r="M1491" s="1138">
        <f t="shared" si="112"/>
        <v>0</v>
      </c>
      <c r="N1491" s="893">
        <f t="shared" si="111"/>
        <v>0</v>
      </c>
      <c r="O1491" s="905"/>
      <c r="Q1491" s="317" t="str">
        <f t="shared" si="108"/>
        <v/>
      </c>
      <c r="R1491" s="317" t="str">
        <f t="shared" si="109"/>
        <v/>
      </c>
      <c r="S1491" s="317" t="str">
        <f t="shared" si="110"/>
        <v/>
      </c>
      <c r="T1491" s="317" t="str">
        <f>GLOBAL_DER_FEV_2023!S1491</f>
        <v/>
      </c>
      <c r="W1491" s="582">
        <v>0</v>
      </c>
      <c r="X1491" s="580"/>
      <c r="Y1491" s="583">
        <f>IF(GLOBAL_DER_FEV_2023!W1491=0,0,IF(GLOBAL_DER_FEV_2023!W1491&gt;0,"c","b"))</f>
        <v>0</v>
      </c>
    </row>
    <row r="1492" spans="1:25" ht="23.25" hidden="1" thickBot="1" x14ac:dyDescent="0.25">
      <c r="A1492" s="317">
        <v>101546</v>
      </c>
      <c r="B1492" s="895">
        <v>101546</v>
      </c>
      <c r="C1492" s="896" t="s">
        <v>596</v>
      </c>
      <c r="D1492" s="906" t="s">
        <v>1417</v>
      </c>
      <c r="E1492" s="907">
        <f>GLOBAL_DER_FEV_2023!E1492</f>
        <v>0</v>
      </c>
      <c r="F1492" s="908">
        <f>GLOBAL_DER_FEV_2023!F1492</f>
        <v>0</v>
      </c>
      <c r="G1492" s="912">
        <f>GLOBAL_DER_FEV_2023!G1492</f>
        <v>0</v>
      </c>
      <c r="H1492" s="901">
        <f>GLOBAL_DER_FEV_2023!H1492</f>
        <v>28.34</v>
      </c>
      <c r="I1492" s="901">
        <f>GLOBAL_DER_FEV_2023!I1492</f>
        <v>28.34</v>
      </c>
      <c r="J1492" s="902">
        <f>GLOBAL_DER_FEV_2023!J1492</f>
        <v>34.03</v>
      </c>
      <c r="K1492" s="903" t="s">
        <v>1516</v>
      </c>
      <c r="L1492" s="1137"/>
      <c r="M1492" s="1138">
        <f t="shared" si="112"/>
        <v>0</v>
      </c>
      <c r="N1492" s="893">
        <f t="shared" si="111"/>
        <v>0</v>
      </c>
      <c r="O1492" s="905"/>
      <c r="Q1492" s="317" t="str">
        <f t="shared" si="108"/>
        <v/>
      </c>
      <c r="R1492" s="317" t="str">
        <f t="shared" si="109"/>
        <v/>
      </c>
      <c r="S1492" s="317" t="str">
        <f t="shared" si="110"/>
        <v/>
      </c>
      <c r="T1492" s="317" t="str">
        <f>GLOBAL_DER_FEV_2023!S1492</f>
        <v/>
      </c>
      <c r="W1492" s="582">
        <v>0</v>
      </c>
      <c r="X1492" s="580"/>
      <c r="Y1492" s="583">
        <f>IF(GLOBAL_DER_FEV_2023!W1492=0,0,IF(GLOBAL_DER_FEV_2023!W1492&gt;0,"c","b"))</f>
        <v>0</v>
      </c>
    </row>
    <row r="1493" spans="1:25" ht="23.25" hidden="1" thickBot="1" x14ac:dyDescent="0.25">
      <c r="A1493" s="317">
        <v>101547</v>
      </c>
      <c r="B1493" s="895">
        <v>101547</v>
      </c>
      <c r="C1493" s="896" t="s">
        <v>596</v>
      </c>
      <c r="D1493" s="906" t="s">
        <v>1418</v>
      </c>
      <c r="E1493" s="907">
        <f>GLOBAL_DER_FEV_2023!E1493</f>
        <v>0</v>
      </c>
      <c r="F1493" s="908">
        <f>GLOBAL_DER_FEV_2023!F1493</f>
        <v>0</v>
      </c>
      <c r="G1493" s="912">
        <f>GLOBAL_DER_FEV_2023!G1493</f>
        <v>0</v>
      </c>
      <c r="H1493" s="901">
        <f>GLOBAL_DER_FEV_2023!H1493</f>
        <v>87.57</v>
      </c>
      <c r="I1493" s="901">
        <f>GLOBAL_DER_FEV_2023!I1493</f>
        <v>87.57</v>
      </c>
      <c r="J1493" s="902">
        <f>GLOBAL_DER_FEV_2023!J1493</f>
        <v>105.15</v>
      </c>
      <c r="K1493" s="903" t="s">
        <v>1516</v>
      </c>
      <c r="L1493" s="1137"/>
      <c r="M1493" s="1138">
        <f t="shared" si="112"/>
        <v>0</v>
      </c>
      <c r="N1493" s="893">
        <f t="shared" si="111"/>
        <v>0</v>
      </c>
      <c r="O1493" s="905"/>
      <c r="Q1493" s="317" t="str">
        <f t="shared" si="108"/>
        <v/>
      </c>
      <c r="R1493" s="317" t="str">
        <f t="shared" si="109"/>
        <v/>
      </c>
      <c r="S1493" s="317" t="str">
        <f t="shared" si="110"/>
        <v/>
      </c>
      <c r="T1493" s="317" t="str">
        <f>GLOBAL_DER_FEV_2023!S1493</f>
        <v/>
      </c>
      <c r="W1493" s="582">
        <v>0</v>
      </c>
      <c r="X1493" s="580"/>
      <c r="Y1493" s="583">
        <f>IF(GLOBAL_DER_FEV_2023!W1493=0,0,IF(GLOBAL_DER_FEV_2023!W1493&gt;0,"c","b"))</f>
        <v>0</v>
      </c>
    </row>
    <row r="1494" spans="1:25" ht="23.25" hidden="1" thickBot="1" x14ac:dyDescent="0.25">
      <c r="A1494" s="317">
        <v>101548</v>
      </c>
      <c r="B1494" s="895">
        <v>101548</v>
      </c>
      <c r="C1494" s="896" t="s">
        <v>596</v>
      </c>
      <c r="D1494" s="906" t="s">
        <v>1419</v>
      </c>
      <c r="E1494" s="907">
        <f>GLOBAL_DER_FEV_2023!E1494</f>
        <v>0</v>
      </c>
      <c r="F1494" s="908">
        <f>GLOBAL_DER_FEV_2023!F1494</f>
        <v>0</v>
      </c>
      <c r="G1494" s="912">
        <f>GLOBAL_DER_FEV_2023!G1494</f>
        <v>0</v>
      </c>
      <c r="H1494" s="901">
        <f>GLOBAL_DER_FEV_2023!H1494</f>
        <v>7.45</v>
      </c>
      <c r="I1494" s="901">
        <f>GLOBAL_DER_FEV_2023!I1494</f>
        <v>7.45</v>
      </c>
      <c r="J1494" s="902">
        <f>GLOBAL_DER_FEV_2023!J1494</f>
        <v>8.9499999999999993</v>
      </c>
      <c r="K1494" s="903" t="s">
        <v>1516</v>
      </c>
      <c r="L1494" s="1137"/>
      <c r="M1494" s="1138">
        <f t="shared" si="112"/>
        <v>0</v>
      </c>
      <c r="N1494" s="893">
        <f t="shared" si="111"/>
        <v>0</v>
      </c>
      <c r="O1494" s="905"/>
      <c r="Q1494" s="317" t="str">
        <f t="shared" si="108"/>
        <v/>
      </c>
      <c r="R1494" s="317" t="str">
        <f t="shared" si="109"/>
        <v/>
      </c>
      <c r="S1494" s="317" t="str">
        <f t="shared" si="110"/>
        <v/>
      </c>
      <c r="T1494" s="317" t="str">
        <f>GLOBAL_DER_FEV_2023!S1494</f>
        <v/>
      </c>
      <c r="W1494" s="582">
        <v>0</v>
      </c>
      <c r="X1494" s="580"/>
      <c r="Y1494" s="583">
        <f>IF(GLOBAL_DER_FEV_2023!W1494=0,0,IF(GLOBAL_DER_FEV_2023!W1494&gt;0,"c","b"))</f>
        <v>0</v>
      </c>
    </row>
    <row r="1495" spans="1:25" ht="23.25" hidden="1" thickBot="1" x14ac:dyDescent="0.25">
      <c r="A1495" s="317">
        <v>101549</v>
      </c>
      <c r="B1495" s="895">
        <v>101549</v>
      </c>
      <c r="C1495" s="896" t="s">
        <v>596</v>
      </c>
      <c r="D1495" s="906" t="s">
        <v>1420</v>
      </c>
      <c r="E1495" s="907">
        <f>GLOBAL_DER_FEV_2023!E1495</f>
        <v>0</v>
      </c>
      <c r="F1495" s="908">
        <f>GLOBAL_DER_FEV_2023!F1495</f>
        <v>0</v>
      </c>
      <c r="G1495" s="912">
        <f>GLOBAL_DER_FEV_2023!G1495</f>
        <v>0</v>
      </c>
      <c r="H1495" s="901">
        <f>GLOBAL_DER_FEV_2023!H1495</f>
        <v>22.14</v>
      </c>
      <c r="I1495" s="901">
        <f>GLOBAL_DER_FEV_2023!I1495</f>
        <v>22.14</v>
      </c>
      <c r="J1495" s="902">
        <f>GLOBAL_DER_FEV_2023!J1495</f>
        <v>26.58</v>
      </c>
      <c r="K1495" s="903" t="s">
        <v>1516</v>
      </c>
      <c r="L1495" s="1137"/>
      <c r="M1495" s="1138">
        <f t="shared" si="112"/>
        <v>0</v>
      </c>
      <c r="N1495" s="893">
        <f t="shared" si="111"/>
        <v>0</v>
      </c>
      <c r="O1495" s="905"/>
      <c r="Q1495" s="317" t="str">
        <f t="shared" si="108"/>
        <v/>
      </c>
      <c r="R1495" s="317" t="str">
        <f t="shared" si="109"/>
        <v/>
      </c>
      <c r="S1495" s="317" t="str">
        <f t="shared" si="110"/>
        <v/>
      </c>
      <c r="T1495" s="317" t="str">
        <f>GLOBAL_DER_FEV_2023!S1495</f>
        <v/>
      </c>
      <c r="W1495" s="582">
        <v>0</v>
      </c>
      <c r="X1495" s="580"/>
      <c r="Y1495" s="583">
        <f>IF(GLOBAL_DER_FEV_2023!W1495=0,0,IF(GLOBAL_DER_FEV_2023!W1495&gt;0,"c","b"))</f>
        <v>0</v>
      </c>
    </row>
    <row r="1496" spans="1:25" ht="23.25" hidden="1" thickBot="1" x14ac:dyDescent="0.25">
      <c r="A1496" s="317">
        <v>101553</v>
      </c>
      <c r="B1496" s="895">
        <v>101553</v>
      </c>
      <c r="C1496" s="896" t="s">
        <v>596</v>
      </c>
      <c r="D1496" s="906" t="s">
        <v>1421</v>
      </c>
      <c r="E1496" s="907">
        <f>GLOBAL_DER_FEV_2023!E1496</f>
        <v>0</v>
      </c>
      <c r="F1496" s="908">
        <f>GLOBAL_DER_FEV_2023!F1496</f>
        <v>0</v>
      </c>
      <c r="G1496" s="912">
        <f>GLOBAL_DER_FEV_2023!G1496</f>
        <v>0</v>
      </c>
      <c r="H1496" s="901">
        <f>GLOBAL_DER_FEV_2023!H1496</f>
        <v>11.35</v>
      </c>
      <c r="I1496" s="901">
        <f>GLOBAL_DER_FEV_2023!I1496</f>
        <v>11.35</v>
      </c>
      <c r="J1496" s="902">
        <f>GLOBAL_DER_FEV_2023!J1496</f>
        <v>13.63</v>
      </c>
      <c r="K1496" s="903" t="s">
        <v>1516</v>
      </c>
      <c r="L1496" s="1137"/>
      <c r="M1496" s="1138">
        <f t="shared" si="112"/>
        <v>0</v>
      </c>
      <c r="N1496" s="893">
        <f t="shared" si="111"/>
        <v>0</v>
      </c>
      <c r="O1496" s="905"/>
      <c r="Q1496" s="317" t="str">
        <f t="shared" si="108"/>
        <v/>
      </c>
      <c r="R1496" s="317" t="str">
        <f t="shared" si="109"/>
        <v/>
      </c>
      <c r="S1496" s="317" t="str">
        <f t="shared" si="110"/>
        <v/>
      </c>
      <c r="T1496" s="317" t="str">
        <f>GLOBAL_DER_FEV_2023!S1496</f>
        <v/>
      </c>
      <c r="W1496" s="582">
        <v>0</v>
      </c>
      <c r="X1496" s="580"/>
      <c r="Y1496" s="583">
        <f>IF(GLOBAL_DER_FEV_2023!W1496=0,0,IF(GLOBAL_DER_FEV_2023!W1496&gt;0,"c","b"))</f>
        <v>0</v>
      </c>
    </row>
    <row r="1497" spans="1:25" ht="23.25" hidden="1" thickBot="1" x14ac:dyDescent="0.25">
      <c r="A1497" s="317">
        <v>101554</v>
      </c>
      <c r="B1497" s="895">
        <v>101554</v>
      </c>
      <c r="C1497" s="896" t="s">
        <v>596</v>
      </c>
      <c r="D1497" s="906" t="s">
        <v>1422</v>
      </c>
      <c r="E1497" s="907">
        <f>GLOBAL_DER_FEV_2023!E1497</f>
        <v>0</v>
      </c>
      <c r="F1497" s="908">
        <f>GLOBAL_DER_FEV_2023!F1497</f>
        <v>0</v>
      </c>
      <c r="G1497" s="912">
        <f>GLOBAL_DER_FEV_2023!G1497</f>
        <v>0</v>
      </c>
      <c r="H1497" s="901">
        <f>GLOBAL_DER_FEV_2023!H1497</f>
        <v>9.09</v>
      </c>
      <c r="I1497" s="901">
        <f>GLOBAL_DER_FEV_2023!I1497</f>
        <v>9.09</v>
      </c>
      <c r="J1497" s="902">
        <f>GLOBAL_DER_FEV_2023!J1497</f>
        <v>10.91</v>
      </c>
      <c r="K1497" s="903" t="s">
        <v>1516</v>
      </c>
      <c r="L1497" s="1137"/>
      <c r="M1497" s="1138">
        <f t="shared" si="112"/>
        <v>0</v>
      </c>
      <c r="N1497" s="893">
        <f t="shared" si="111"/>
        <v>0</v>
      </c>
      <c r="O1497" s="905"/>
      <c r="Q1497" s="317" t="str">
        <f t="shared" si="108"/>
        <v/>
      </c>
      <c r="R1497" s="317" t="str">
        <f t="shared" si="109"/>
        <v/>
      </c>
      <c r="S1497" s="317" t="str">
        <f t="shared" si="110"/>
        <v/>
      </c>
      <c r="T1497" s="317" t="str">
        <f>GLOBAL_DER_FEV_2023!S1497</f>
        <v/>
      </c>
      <c r="W1497" s="582">
        <v>0</v>
      </c>
      <c r="X1497" s="580"/>
      <c r="Y1497" s="583">
        <f>IF(GLOBAL_DER_FEV_2023!W1497=0,0,IF(GLOBAL_DER_FEV_2023!W1497&gt;0,"c","b"))</f>
        <v>0</v>
      </c>
    </row>
    <row r="1498" spans="1:25" ht="23.25" hidden="1" thickBot="1" x14ac:dyDescent="0.25">
      <c r="A1498" s="317">
        <v>101555</v>
      </c>
      <c r="B1498" s="895">
        <v>101555</v>
      </c>
      <c r="C1498" s="896" t="s">
        <v>596</v>
      </c>
      <c r="D1498" s="906" t="s">
        <v>1423</v>
      </c>
      <c r="E1498" s="907">
        <f>GLOBAL_DER_FEV_2023!E1498</f>
        <v>0</v>
      </c>
      <c r="F1498" s="908">
        <f>GLOBAL_DER_FEV_2023!F1498</f>
        <v>0</v>
      </c>
      <c r="G1498" s="912">
        <f>GLOBAL_DER_FEV_2023!G1498</f>
        <v>0</v>
      </c>
      <c r="H1498" s="901">
        <f>GLOBAL_DER_FEV_2023!H1498</f>
        <v>7.02</v>
      </c>
      <c r="I1498" s="901">
        <f>GLOBAL_DER_FEV_2023!I1498</f>
        <v>7.02</v>
      </c>
      <c r="J1498" s="902">
        <f>GLOBAL_DER_FEV_2023!J1498</f>
        <v>8.43</v>
      </c>
      <c r="K1498" s="903" t="s">
        <v>1516</v>
      </c>
      <c r="L1498" s="1137"/>
      <c r="M1498" s="1138">
        <f t="shared" si="112"/>
        <v>0</v>
      </c>
      <c r="N1498" s="893">
        <f t="shared" si="111"/>
        <v>0</v>
      </c>
      <c r="O1498" s="905"/>
      <c r="Q1498" s="317" t="str">
        <f t="shared" si="108"/>
        <v/>
      </c>
      <c r="R1498" s="317" t="str">
        <f t="shared" si="109"/>
        <v/>
      </c>
      <c r="S1498" s="317" t="str">
        <f t="shared" si="110"/>
        <v/>
      </c>
      <c r="T1498" s="317" t="str">
        <f>GLOBAL_DER_FEV_2023!S1498</f>
        <v/>
      </c>
      <c r="W1498" s="582">
        <v>0</v>
      </c>
      <c r="X1498" s="580"/>
      <c r="Y1498" s="583">
        <f>IF(GLOBAL_DER_FEV_2023!W1498=0,0,IF(GLOBAL_DER_FEV_2023!W1498&gt;0,"c","b"))</f>
        <v>0</v>
      </c>
    </row>
    <row r="1499" spans="1:25" ht="23.25" hidden="1" thickBot="1" x14ac:dyDescent="0.25">
      <c r="A1499" s="317">
        <v>101556</v>
      </c>
      <c r="B1499" s="895">
        <v>101556</v>
      </c>
      <c r="C1499" s="896" t="s">
        <v>596</v>
      </c>
      <c r="D1499" s="906" t="s">
        <v>1424</v>
      </c>
      <c r="E1499" s="907">
        <f>GLOBAL_DER_FEV_2023!E1499</f>
        <v>0</v>
      </c>
      <c r="F1499" s="908">
        <f>GLOBAL_DER_FEV_2023!F1499</f>
        <v>0</v>
      </c>
      <c r="G1499" s="912">
        <f>GLOBAL_DER_FEV_2023!G1499</f>
        <v>0</v>
      </c>
      <c r="H1499" s="901">
        <f>GLOBAL_DER_FEV_2023!H1499</f>
        <v>6.69</v>
      </c>
      <c r="I1499" s="901">
        <f>GLOBAL_DER_FEV_2023!I1499</f>
        <v>6.69</v>
      </c>
      <c r="J1499" s="902">
        <f>GLOBAL_DER_FEV_2023!J1499</f>
        <v>8.0299999999999994</v>
      </c>
      <c r="K1499" s="903" t="s">
        <v>1516</v>
      </c>
      <c r="L1499" s="1137"/>
      <c r="M1499" s="1138">
        <f t="shared" si="112"/>
        <v>0</v>
      </c>
      <c r="N1499" s="893">
        <f t="shared" si="111"/>
        <v>0</v>
      </c>
      <c r="O1499" s="905"/>
      <c r="Q1499" s="317" t="str">
        <f t="shared" ref="Q1499:Q1562" si="113">IF(P1499="X","x",IF(P1499="xx","x",IF(P1499="xy","x",IF(P1499="y","x",IF(OR(N1499&gt;0,N1499&gt;0),"x","")))))</f>
        <v/>
      </c>
      <c r="R1499" s="317" t="str">
        <f t="shared" si="109"/>
        <v/>
      </c>
      <c r="S1499" s="317" t="str">
        <f t="shared" si="110"/>
        <v/>
      </c>
      <c r="T1499" s="317" t="str">
        <f>GLOBAL_DER_FEV_2023!S1499</f>
        <v/>
      </c>
      <c r="W1499" s="582">
        <v>0</v>
      </c>
      <c r="X1499" s="580"/>
      <c r="Y1499" s="583">
        <f>IF(GLOBAL_DER_FEV_2023!W1499=0,0,IF(GLOBAL_DER_FEV_2023!W1499&gt;0,"c","b"))</f>
        <v>0</v>
      </c>
    </row>
    <row r="1500" spans="1:25" ht="23.25" hidden="1" thickBot="1" x14ac:dyDescent="0.25">
      <c r="A1500" s="317">
        <v>101626</v>
      </c>
      <c r="B1500" s="895">
        <v>101626</v>
      </c>
      <c r="C1500" s="896" t="s">
        <v>596</v>
      </c>
      <c r="D1500" s="906" t="s">
        <v>1425</v>
      </c>
      <c r="E1500" s="907">
        <f>GLOBAL_DER_FEV_2023!E1500</f>
        <v>0</v>
      </c>
      <c r="F1500" s="908">
        <f>GLOBAL_DER_FEV_2023!F1500</f>
        <v>0</v>
      </c>
      <c r="G1500" s="912">
        <f>GLOBAL_DER_FEV_2023!G1500</f>
        <v>0</v>
      </c>
      <c r="H1500" s="901">
        <f>GLOBAL_DER_FEV_2023!H1500</f>
        <v>195.03</v>
      </c>
      <c r="I1500" s="901">
        <f>GLOBAL_DER_FEV_2023!I1500</f>
        <v>195.03</v>
      </c>
      <c r="J1500" s="902">
        <f>GLOBAL_DER_FEV_2023!J1500</f>
        <v>234.17</v>
      </c>
      <c r="K1500" s="903" t="s">
        <v>1516</v>
      </c>
      <c r="L1500" s="1137"/>
      <c r="M1500" s="1138">
        <f t="shared" si="112"/>
        <v>0</v>
      </c>
      <c r="N1500" s="893">
        <f t="shared" si="111"/>
        <v>0</v>
      </c>
      <c r="O1500" s="905"/>
      <c r="Q1500" s="317" t="str">
        <f t="shared" si="113"/>
        <v/>
      </c>
      <c r="R1500" s="317" t="str">
        <f t="shared" si="109"/>
        <v/>
      </c>
      <c r="S1500" s="317" t="str">
        <f t="shared" si="110"/>
        <v/>
      </c>
      <c r="T1500" s="317" t="str">
        <f>GLOBAL_DER_FEV_2023!S1500</f>
        <v/>
      </c>
      <c r="W1500" s="582">
        <v>0</v>
      </c>
      <c r="X1500" s="580"/>
      <c r="Y1500" s="583">
        <f>IF(GLOBAL_DER_FEV_2023!W1500=0,0,IF(GLOBAL_DER_FEV_2023!W1500&gt;0,"c","b"))</f>
        <v>0</v>
      </c>
    </row>
    <row r="1501" spans="1:25" ht="23.25" hidden="1" thickBot="1" x14ac:dyDescent="0.25">
      <c r="A1501" s="317">
        <v>101627</v>
      </c>
      <c r="B1501" s="895">
        <v>101627</v>
      </c>
      <c r="C1501" s="896" t="s">
        <v>596</v>
      </c>
      <c r="D1501" s="906" t="s">
        <v>1426</v>
      </c>
      <c r="E1501" s="907">
        <f>GLOBAL_DER_FEV_2023!E1501</f>
        <v>0</v>
      </c>
      <c r="F1501" s="908">
        <f>GLOBAL_DER_FEV_2023!F1501</f>
        <v>0</v>
      </c>
      <c r="G1501" s="912">
        <f>GLOBAL_DER_FEV_2023!G1501</f>
        <v>0</v>
      </c>
      <c r="H1501" s="901">
        <f>GLOBAL_DER_FEV_2023!H1501</f>
        <v>302.79000000000002</v>
      </c>
      <c r="I1501" s="901">
        <f>GLOBAL_DER_FEV_2023!I1501</f>
        <v>302.79000000000002</v>
      </c>
      <c r="J1501" s="902">
        <f>GLOBAL_DER_FEV_2023!J1501</f>
        <v>363.56</v>
      </c>
      <c r="K1501" s="903" t="s">
        <v>1516</v>
      </c>
      <c r="L1501" s="1137"/>
      <c r="M1501" s="1138">
        <f t="shared" si="112"/>
        <v>0</v>
      </c>
      <c r="N1501" s="893">
        <f t="shared" si="111"/>
        <v>0</v>
      </c>
      <c r="O1501" s="905"/>
      <c r="Q1501" s="317" t="str">
        <f t="shared" si="113"/>
        <v/>
      </c>
      <c r="R1501" s="317" t="str">
        <f t="shared" ref="R1501:R1564" si="114">IF(P1501="X","x",IF(P1501="y","x",IF(P1501="xx","x",IF(N1501&gt;0,"x",""))))</f>
        <v/>
      </c>
      <c r="S1501" s="317" t="str">
        <f t="shared" ref="S1501:S1564" si="115">IF(P1501="X","x",IF(N1501&gt;0,"x",""))</f>
        <v/>
      </c>
      <c r="T1501" s="317" t="str">
        <f>GLOBAL_DER_FEV_2023!S1501</f>
        <v/>
      </c>
      <c r="W1501" s="582">
        <v>0</v>
      </c>
      <c r="X1501" s="580"/>
      <c r="Y1501" s="583">
        <f>IF(GLOBAL_DER_FEV_2023!W1501=0,0,IF(GLOBAL_DER_FEV_2023!W1501&gt;0,"c","b"))</f>
        <v>0</v>
      </c>
    </row>
    <row r="1502" spans="1:25" ht="23.25" hidden="1" thickBot="1" x14ac:dyDescent="0.25">
      <c r="A1502" s="317">
        <v>101628</v>
      </c>
      <c r="B1502" s="895">
        <v>101628</v>
      </c>
      <c r="C1502" s="896" t="s">
        <v>596</v>
      </c>
      <c r="D1502" s="906" t="s">
        <v>1427</v>
      </c>
      <c r="E1502" s="907">
        <f>GLOBAL_DER_FEV_2023!E1502</f>
        <v>0</v>
      </c>
      <c r="F1502" s="908">
        <f>GLOBAL_DER_FEV_2023!F1502</f>
        <v>0</v>
      </c>
      <c r="G1502" s="912">
        <f>GLOBAL_DER_FEV_2023!G1502</f>
        <v>0</v>
      </c>
      <c r="H1502" s="901">
        <f>GLOBAL_DER_FEV_2023!H1502</f>
        <v>145.18</v>
      </c>
      <c r="I1502" s="901">
        <f>GLOBAL_DER_FEV_2023!I1502</f>
        <v>145.18</v>
      </c>
      <c r="J1502" s="902">
        <f>GLOBAL_DER_FEV_2023!J1502</f>
        <v>174.32</v>
      </c>
      <c r="K1502" s="903" t="s">
        <v>1516</v>
      </c>
      <c r="L1502" s="1137"/>
      <c r="M1502" s="1138">
        <f t="shared" si="112"/>
        <v>0</v>
      </c>
      <c r="N1502" s="893">
        <f t="shared" si="111"/>
        <v>0</v>
      </c>
      <c r="O1502" s="905"/>
      <c r="Q1502" s="317" t="str">
        <f t="shared" si="113"/>
        <v/>
      </c>
      <c r="R1502" s="317" t="str">
        <f t="shared" si="114"/>
        <v/>
      </c>
      <c r="S1502" s="317" t="str">
        <f t="shared" si="115"/>
        <v/>
      </c>
      <c r="T1502" s="317" t="str">
        <f>GLOBAL_DER_FEV_2023!S1502</f>
        <v/>
      </c>
      <c r="W1502" s="582">
        <v>0</v>
      </c>
      <c r="X1502" s="580"/>
      <c r="Y1502" s="583">
        <f>IF(GLOBAL_DER_FEV_2023!W1502=0,0,IF(GLOBAL_DER_FEV_2023!W1502&gt;0,"c","b"))</f>
        <v>0</v>
      </c>
    </row>
    <row r="1503" spans="1:25" ht="23.25" hidden="1" thickBot="1" x14ac:dyDescent="0.25">
      <c r="A1503" s="317">
        <v>101629</v>
      </c>
      <c r="B1503" s="895">
        <v>101629</v>
      </c>
      <c r="C1503" s="896" t="s">
        <v>596</v>
      </c>
      <c r="D1503" s="906" t="s">
        <v>1428</v>
      </c>
      <c r="E1503" s="907">
        <f>GLOBAL_DER_FEV_2023!E1503</f>
        <v>0</v>
      </c>
      <c r="F1503" s="908">
        <f>GLOBAL_DER_FEV_2023!F1503</f>
        <v>0</v>
      </c>
      <c r="G1503" s="912">
        <f>GLOBAL_DER_FEV_2023!G1503</f>
        <v>0</v>
      </c>
      <c r="H1503" s="901">
        <f>GLOBAL_DER_FEV_2023!H1503</f>
        <v>170.85</v>
      </c>
      <c r="I1503" s="901">
        <f>GLOBAL_DER_FEV_2023!I1503</f>
        <v>170.85</v>
      </c>
      <c r="J1503" s="902">
        <f>GLOBAL_DER_FEV_2023!J1503</f>
        <v>205.14</v>
      </c>
      <c r="K1503" s="903" t="s">
        <v>1516</v>
      </c>
      <c r="L1503" s="1137"/>
      <c r="M1503" s="1138">
        <f t="shared" si="112"/>
        <v>0</v>
      </c>
      <c r="N1503" s="893">
        <f t="shared" si="111"/>
        <v>0</v>
      </c>
      <c r="O1503" s="905"/>
      <c r="Q1503" s="317" t="str">
        <f t="shared" si="113"/>
        <v/>
      </c>
      <c r="R1503" s="317" t="str">
        <f t="shared" si="114"/>
        <v/>
      </c>
      <c r="S1503" s="317" t="str">
        <f t="shared" si="115"/>
        <v/>
      </c>
      <c r="T1503" s="317" t="str">
        <f>GLOBAL_DER_FEV_2023!S1503</f>
        <v/>
      </c>
      <c r="W1503" s="582">
        <v>0</v>
      </c>
      <c r="X1503" s="580"/>
      <c r="Y1503" s="583">
        <f>IF(GLOBAL_DER_FEV_2023!W1503=0,0,IF(GLOBAL_DER_FEV_2023!W1503&gt;0,"c","b"))</f>
        <v>0</v>
      </c>
    </row>
    <row r="1504" spans="1:25" ht="23.25" hidden="1" thickBot="1" x14ac:dyDescent="0.25">
      <c r="A1504" s="317">
        <v>100921</v>
      </c>
      <c r="B1504" s="895">
        <v>100921</v>
      </c>
      <c r="C1504" s="896" t="s">
        <v>596</v>
      </c>
      <c r="D1504" s="906" t="s">
        <v>1429</v>
      </c>
      <c r="E1504" s="907">
        <f>GLOBAL_DER_FEV_2023!E1504</f>
        <v>0</v>
      </c>
      <c r="F1504" s="908">
        <f>GLOBAL_DER_FEV_2023!F1504</f>
        <v>0</v>
      </c>
      <c r="G1504" s="912">
        <f>GLOBAL_DER_FEV_2023!G1504</f>
        <v>0</v>
      </c>
      <c r="H1504" s="901">
        <f>GLOBAL_DER_FEV_2023!H1504</f>
        <v>76.739999999999995</v>
      </c>
      <c r="I1504" s="901">
        <f>GLOBAL_DER_FEV_2023!I1504</f>
        <v>76.739999999999995</v>
      </c>
      <c r="J1504" s="902">
        <f>GLOBAL_DER_FEV_2023!J1504</f>
        <v>92.14</v>
      </c>
      <c r="K1504" s="903" t="s">
        <v>1516</v>
      </c>
      <c r="L1504" s="1137"/>
      <c r="M1504" s="1138">
        <f t="shared" si="112"/>
        <v>0</v>
      </c>
      <c r="N1504" s="893">
        <f t="shared" si="111"/>
        <v>0</v>
      </c>
      <c r="O1504" s="905"/>
      <c r="Q1504" s="317" t="str">
        <f t="shared" si="113"/>
        <v/>
      </c>
      <c r="R1504" s="317" t="str">
        <f t="shared" si="114"/>
        <v/>
      </c>
      <c r="S1504" s="317" t="str">
        <f t="shared" si="115"/>
        <v/>
      </c>
      <c r="T1504" s="317" t="str">
        <f>GLOBAL_DER_FEV_2023!S1504</f>
        <v/>
      </c>
      <c r="W1504" s="582">
        <v>0</v>
      </c>
      <c r="X1504" s="580"/>
      <c r="Y1504" s="583">
        <f>IF(GLOBAL_DER_FEV_2023!W1504=0,0,IF(GLOBAL_DER_FEV_2023!W1504&gt;0,"c","b"))</f>
        <v>0</v>
      </c>
    </row>
    <row r="1505" spans="1:25" ht="23.25" hidden="1" thickBot="1" x14ac:dyDescent="0.25">
      <c r="A1505" s="317">
        <v>100922</v>
      </c>
      <c r="B1505" s="895">
        <v>100922</v>
      </c>
      <c r="C1505" s="896" t="s">
        <v>596</v>
      </c>
      <c r="D1505" s="906" t="s">
        <v>1430</v>
      </c>
      <c r="E1505" s="907">
        <f>GLOBAL_DER_FEV_2023!E1505</f>
        <v>0</v>
      </c>
      <c r="F1505" s="908">
        <f>GLOBAL_DER_FEV_2023!F1505</f>
        <v>0</v>
      </c>
      <c r="G1505" s="912">
        <f>GLOBAL_DER_FEV_2023!G1505</f>
        <v>0</v>
      </c>
      <c r="H1505" s="901">
        <f>GLOBAL_DER_FEV_2023!H1505</f>
        <v>55.07</v>
      </c>
      <c r="I1505" s="901">
        <f>GLOBAL_DER_FEV_2023!I1505</f>
        <v>55.07</v>
      </c>
      <c r="J1505" s="902">
        <f>GLOBAL_DER_FEV_2023!J1505</f>
        <v>66.12</v>
      </c>
      <c r="K1505" s="903" t="s">
        <v>1516</v>
      </c>
      <c r="L1505" s="1137"/>
      <c r="M1505" s="1138">
        <f t="shared" si="112"/>
        <v>0</v>
      </c>
      <c r="N1505" s="893">
        <f t="shared" ref="N1505:N1568" si="116">IF(ISBLANK(L1505),0,IF(W1505=0,ROUND(L1505*M1505,2),IF(W1505="b",ROUNDDOWN(L1505*M1505,2),ROUNDUP(L1505*M1505,2))))</f>
        <v>0</v>
      </c>
      <c r="O1505" s="905"/>
      <c r="Q1505" s="317" t="str">
        <f t="shared" si="113"/>
        <v/>
      </c>
      <c r="R1505" s="317" t="str">
        <f t="shared" si="114"/>
        <v/>
      </c>
      <c r="S1505" s="317" t="str">
        <f t="shared" si="115"/>
        <v/>
      </c>
      <c r="T1505" s="317" t="str">
        <f>GLOBAL_DER_FEV_2023!S1505</f>
        <v/>
      </c>
      <c r="W1505" s="582">
        <v>0</v>
      </c>
      <c r="X1505" s="580"/>
      <c r="Y1505" s="583">
        <f>IF(GLOBAL_DER_FEV_2023!W1505=0,0,IF(GLOBAL_DER_FEV_2023!W1505&gt;0,"c","b"))</f>
        <v>0</v>
      </c>
    </row>
    <row r="1506" spans="1:25" ht="23.25" hidden="1" thickBot="1" x14ac:dyDescent="0.25">
      <c r="A1506" s="317">
        <v>100923</v>
      </c>
      <c r="B1506" s="895">
        <v>100923</v>
      </c>
      <c r="C1506" s="896" t="s">
        <v>596</v>
      </c>
      <c r="D1506" s="906" t="s">
        <v>1431</v>
      </c>
      <c r="E1506" s="907">
        <f>GLOBAL_DER_FEV_2023!E1506</f>
        <v>0</v>
      </c>
      <c r="F1506" s="908">
        <f>GLOBAL_DER_FEV_2023!F1506</f>
        <v>0</v>
      </c>
      <c r="G1506" s="912">
        <f>GLOBAL_DER_FEV_2023!G1506</f>
        <v>0</v>
      </c>
      <c r="H1506" s="901">
        <f>GLOBAL_DER_FEV_2023!H1506</f>
        <v>63.57</v>
      </c>
      <c r="I1506" s="901">
        <f>GLOBAL_DER_FEV_2023!I1506</f>
        <v>63.57</v>
      </c>
      <c r="J1506" s="902">
        <f>GLOBAL_DER_FEV_2023!J1506</f>
        <v>76.33</v>
      </c>
      <c r="K1506" s="903" t="s">
        <v>1516</v>
      </c>
      <c r="L1506" s="1137"/>
      <c r="M1506" s="1138">
        <f t="shared" si="112"/>
        <v>0</v>
      </c>
      <c r="N1506" s="893">
        <f t="shared" si="116"/>
        <v>0</v>
      </c>
      <c r="O1506" s="905"/>
      <c r="Q1506" s="317" t="str">
        <f t="shared" si="113"/>
        <v/>
      </c>
      <c r="R1506" s="317" t="str">
        <f t="shared" si="114"/>
        <v/>
      </c>
      <c r="S1506" s="317" t="str">
        <f t="shared" si="115"/>
        <v/>
      </c>
      <c r="T1506" s="317" t="str">
        <f>GLOBAL_DER_FEV_2023!S1506</f>
        <v/>
      </c>
      <c r="W1506" s="582">
        <v>0</v>
      </c>
      <c r="X1506" s="580"/>
      <c r="Y1506" s="583">
        <f>IF(GLOBAL_DER_FEV_2023!W1506=0,0,IF(GLOBAL_DER_FEV_2023!W1506&gt;0,"c","b"))</f>
        <v>0</v>
      </c>
    </row>
    <row r="1507" spans="1:25" ht="34.5" hidden="1" thickBot="1" x14ac:dyDescent="0.25">
      <c r="A1507" s="317">
        <v>101661</v>
      </c>
      <c r="B1507" s="895">
        <v>101661</v>
      </c>
      <c r="C1507" s="896" t="s">
        <v>596</v>
      </c>
      <c r="D1507" s="906" t="s">
        <v>1432</v>
      </c>
      <c r="E1507" s="907">
        <f>GLOBAL_DER_FEV_2023!E1507</f>
        <v>0</v>
      </c>
      <c r="F1507" s="908">
        <f>GLOBAL_DER_FEV_2023!F1507</f>
        <v>0</v>
      </c>
      <c r="G1507" s="912">
        <f>GLOBAL_DER_FEV_2023!G1507</f>
        <v>0</v>
      </c>
      <c r="H1507" s="901">
        <f>GLOBAL_DER_FEV_2023!H1507</f>
        <v>126.97</v>
      </c>
      <c r="I1507" s="901">
        <f>GLOBAL_DER_FEV_2023!I1507</f>
        <v>126.97</v>
      </c>
      <c r="J1507" s="902">
        <f>GLOBAL_DER_FEV_2023!J1507</f>
        <v>152.44999999999999</v>
      </c>
      <c r="K1507" s="903" t="s">
        <v>1516</v>
      </c>
      <c r="L1507" s="1137"/>
      <c r="M1507" s="1138">
        <f t="shared" si="112"/>
        <v>0</v>
      </c>
      <c r="N1507" s="893">
        <f t="shared" si="116"/>
        <v>0</v>
      </c>
      <c r="O1507" s="905"/>
      <c r="Q1507" s="317" t="str">
        <f t="shared" si="113"/>
        <v/>
      </c>
      <c r="R1507" s="317" t="str">
        <f t="shared" si="114"/>
        <v/>
      </c>
      <c r="S1507" s="317" t="str">
        <f t="shared" si="115"/>
        <v/>
      </c>
      <c r="T1507" s="317" t="str">
        <f>GLOBAL_DER_FEV_2023!S1507</f>
        <v/>
      </c>
      <c r="W1507" s="582">
        <v>0</v>
      </c>
      <c r="X1507" s="580"/>
      <c r="Y1507" s="583">
        <f>IF(GLOBAL_DER_FEV_2023!W1507=0,0,IF(GLOBAL_DER_FEV_2023!W1507&gt;0,"c","b"))</f>
        <v>0</v>
      </c>
    </row>
    <row r="1508" spans="1:25" ht="23.25" hidden="1" thickBot="1" x14ac:dyDescent="0.25">
      <c r="A1508" s="317">
        <v>101651</v>
      </c>
      <c r="B1508" s="895">
        <v>101651</v>
      </c>
      <c r="C1508" s="896" t="s">
        <v>596</v>
      </c>
      <c r="D1508" s="906" t="s">
        <v>1433</v>
      </c>
      <c r="E1508" s="907">
        <f>GLOBAL_DER_FEV_2023!E1508</f>
        <v>0</v>
      </c>
      <c r="F1508" s="908">
        <f>GLOBAL_DER_FEV_2023!F1508</f>
        <v>0</v>
      </c>
      <c r="G1508" s="912">
        <f>GLOBAL_DER_FEV_2023!G1508</f>
        <v>0</v>
      </c>
      <c r="H1508" s="901">
        <f>GLOBAL_DER_FEV_2023!H1508</f>
        <v>67.55</v>
      </c>
      <c r="I1508" s="901">
        <f>GLOBAL_DER_FEV_2023!I1508</f>
        <v>67.55</v>
      </c>
      <c r="J1508" s="902">
        <f>GLOBAL_DER_FEV_2023!J1508</f>
        <v>81.11</v>
      </c>
      <c r="K1508" s="903" t="s">
        <v>1516</v>
      </c>
      <c r="L1508" s="1137"/>
      <c r="M1508" s="1138">
        <f t="shared" si="112"/>
        <v>0</v>
      </c>
      <c r="N1508" s="893">
        <f t="shared" si="116"/>
        <v>0</v>
      </c>
      <c r="O1508" s="905"/>
      <c r="Q1508" s="317" t="str">
        <f t="shared" si="113"/>
        <v/>
      </c>
      <c r="R1508" s="317" t="str">
        <f t="shared" si="114"/>
        <v/>
      </c>
      <c r="S1508" s="317" t="str">
        <f t="shared" si="115"/>
        <v/>
      </c>
      <c r="T1508" s="317" t="str">
        <f>GLOBAL_DER_FEV_2023!S1508</f>
        <v/>
      </c>
      <c r="W1508" s="582">
        <v>0</v>
      </c>
      <c r="X1508" s="580"/>
      <c r="Y1508" s="583">
        <f>IF(GLOBAL_DER_FEV_2023!W1508=0,0,IF(GLOBAL_DER_FEV_2023!W1508&gt;0,"c","b"))</f>
        <v>0</v>
      </c>
    </row>
    <row r="1509" spans="1:25" ht="23.25" hidden="1" thickBot="1" x14ac:dyDescent="0.25">
      <c r="A1509" s="317">
        <v>101630</v>
      </c>
      <c r="B1509" s="895">
        <v>101630</v>
      </c>
      <c r="C1509" s="896" t="s">
        <v>596</v>
      </c>
      <c r="D1509" s="906" t="s">
        <v>1434</v>
      </c>
      <c r="E1509" s="907">
        <f>GLOBAL_DER_FEV_2023!E1509</f>
        <v>0</v>
      </c>
      <c r="F1509" s="908">
        <f>GLOBAL_DER_FEV_2023!F1509</f>
        <v>0</v>
      </c>
      <c r="G1509" s="912">
        <f>GLOBAL_DER_FEV_2023!G1509</f>
        <v>0</v>
      </c>
      <c r="H1509" s="901">
        <f>GLOBAL_DER_FEV_2023!H1509</f>
        <v>80.7</v>
      </c>
      <c r="I1509" s="901">
        <f>GLOBAL_DER_FEV_2023!I1509</f>
        <v>80.7</v>
      </c>
      <c r="J1509" s="902">
        <f>GLOBAL_DER_FEV_2023!J1509</f>
        <v>96.9</v>
      </c>
      <c r="K1509" s="903" t="s">
        <v>1516</v>
      </c>
      <c r="L1509" s="1137"/>
      <c r="M1509" s="1138">
        <f t="shared" si="112"/>
        <v>0</v>
      </c>
      <c r="N1509" s="893">
        <f t="shared" si="116"/>
        <v>0</v>
      </c>
      <c r="O1509" s="905"/>
      <c r="Q1509" s="317" t="str">
        <f t="shared" si="113"/>
        <v/>
      </c>
      <c r="R1509" s="317" t="str">
        <f t="shared" si="114"/>
        <v/>
      </c>
      <c r="S1509" s="317" t="str">
        <f t="shared" si="115"/>
        <v/>
      </c>
      <c r="T1509" s="317" t="str">
        <f>GLOBAL_DER_FEV_2023!S1509</f>
        <v/>
      </c>
      <c r="W1509" s="582">
        <v>0</v>
      </c>
      <c r="X1509" s="580"/>
      <c r="Y1509" s="583">
        <f>IF(GLOBAL_DER_FEV_2023!W1509=0,0,IF(GLOBAL_DER_FEV_2023!W1509&gt;0,"c","b"))</f>
        <v>0</v>
      </c>
    </row>
    <row r="1510" spans="1:25" ht="23.25" hidden="1" thickBot="1" x14ac:dyDescent="0.25">
      <c r="A1510" s="317">
        <v>101631</v>
      </c>
      <c r="B1510" s="895">
        <v>101631</v>
      </c>
      <c r="C1510" s="896" t="s">
        <v>596</v>
      </c>
      <c r="D1510" s="906" t="s">
        <v>1435</v>
      </c>
      <c r="E1510" s="907">
        <f>GLOBAL_DER_FEV_2023!E1510</f>
        <v>0</v>
      </c>
      <c r="F1510" s="908">
        <f>GLOBAL_DER_FEV_2023!F1510</f>
        <v>0</v>
      </c>
      <c r="G1510" s="912">
        <f>GLOBAL_DER_FEV_2023!G1510</f>
        <v>0</v>
      </c>
      <c r="H1510" s="901">
        <f>GLOBAL_DER_FEV_2023!H1510</f>
        <v>39.08</v>
      </c>
      <c r="I1510" s="901">
        <f>GLOBAL_DER_FEV_2023!I1510</f>
        <v>39.08</v>
      </c>
      <c r="J1510" s="902">
        <f>GLOBAL_DER_FEV_2023!J1510</f>
        <v>46.92</v>
      </c>
      <c r="K1510" s="903" t="s">
        <v>1516</v>
      </c>
      <c r="L1510" s="1137"/>
      <c r="M1510" s="1138">
        <f t="shared" si="112"/>
        <v>0</v>
      </c>
      <c r="N1510" s="893">
        <f t="shared" si="116"/>
        <v>0</v>
      </c>
      <c r="O1510" s="905"/>
      <c r="Q1510" s="317" t="str">
        <f t="shared" si="113"/>
        <v/>
      </c>
      <c r="R1510" s="317" t="str">
        <f t="shared" si="114"/>
        <v/>
      </c>
      <c r="S1510" s="317" t="str">
        <f t="shared" si="115"/>
        <v/>
      </c>
      <c r="T1510" s="317" t="str">
        <f>GLOBAL_DER_FEV_2023!S1510</f>
        <v/>
      </c>
      <c r="W1510" s="582">
        <v>0</v>
      </c>
      <c r="X1510" s="580"/>
      <c r="Y1510" s="583">
        <f>IF(GLOBAL_DER_FEV_2023!W1510=0,0,IF(GLOBAL_DER_FEV_2023!W1510&gt;0,"c","b"))</f>
        <v>0</v>
      </c>
    </row>
    <row r="1511" spans="1:25" ht="23.25" hidden="1" thickBot="1" x14ac:dyDescent="0.25">
      <c r="A1511" s="317">
        <v>101632</v>
      </c>
      <c r="B1511" s="895">
        <v>101632</v>
      </c>
      <c r="C1511" s="896" t="s">
        <v>596</v>
      </c>
      <c r="D1511" s="906" t="s">
        <v>1436</v>
      </c>
      <c r="E1511" s="907">
        <f>GLOBAL_DER_FEV_2023!E1511</f>
        <v>0</v>
      </c>
      <c r="F1511" s="908">
        <f>GLOBAL_DER_FEV_2023!F1511</f>
        <v>0</v>
      </c>
      <c r="G1511" s="912">
        <f>GLOBAL_DER_FEV_2023!G1511</f>
        <v>0</v>
      </c>
      <c r="H1511" s="901">
        <f>GLOBAL_DER_FEV_2023!H1511</f>
        <v>43.27</v>
      </c>
      <c r="I1511" s="901">
        <f>GLOBAL_DER_FEV_2023!I1511</f>
        <v>43.27</v>
      </c>
      <c r="J1511" s="902">
        <f>GLOBAL_DER_FEV_2023!J1511</f>
        <v>51.95</v>
      </c>
      <c r="K1511" s="903" t="s">
        <v>1516</v>
      </c>
      <c r="L1511" s="1137"/>
      <c r="M1511" s="1138">
        <f t="shared" si="112"/>
        <v>0</v>
      </c>
      <c r="N1511" s="893">
        <f t="shared" si="116"/>
        <v>0</v>
      </c>
      <c r="O1511" s="905"/>
      <c r="Q1511" s="317" t="str">
        <f t="shared" si="113"/>
        <v/>
      </c>
      <c r="R1511" s="317" t="str">
        <f t="shared" si="114"/>
        <v/>
      </c>
      <c r="S1511" s="317" t="str">
        <f t="shared" si="115"/>
        <v/>
      </c>
      <c r="T1511" s="317" t="str">
        <f>GLOBAL_DER_FEV_2023!S1511</f>
        <v/>
      </c>
      <c r="W1511" s="582">
        <v>0</v>
      </c>
      <c r="X1511" s="580"/>
      <c r="Y1511" s="583">
        <f>IF(GLOBAL_DER_FEV_2023!W1511=0,0,IF(GLOBAL_DER_FEV_2023!W1511&gt;0,"c","b"))</f>
        <v>0</v>
      </c>
    </row>
    <row r="1512" spans="1:25" ht="23.25" hidden="1" thickBot="1" x14ac:dyDescent="0.25">
      <c r="A1512" s="317">
        <v>101633</v>
      </c>
      <c r="B1512" s="895">
        <v>101633</v>
      </c>
      <c r="C1512" s="896" t="s">
        <v>596</v>
      </c>
      <c r="D1512" s="906" t="s">
        <v>1437</v>
      </c>
      <c r="E1512" s="907">
        <f>GLOBAL_DER_FEV_2023!E1512</f>
        <v>0</v>
      </c>
      <c r="F1512" s="908">
        <f>GLOBAL_DER_FEV_2023!F1512</f>
        <v>0</v>
      </c>
      <c r="G1512" s="912">
        <f>GLOBAL_DER_FEV_2023!G1512</f>
        <v>0</v>
      </c>
      <c r="H1512" s="901">
        <f>GLOBAL_DER_FEV_2023!H1512</f>
        <v>108.32</v>
      </c>
      <c r="I1512" s="901">
        <f>GLOBAL_DER_FEV_2023!I1512</f>
        <v>108.32</v>
      </c>
      <c r="J1512" s="902">
        <f>GLOBAL_DER_FEV_2023!J1512</f>
        <v>130.06</v>
      </c>
      <c r="K1512" s="903" t="s">
        <v>1516</v>
      </c>
      <c r="L1512" s="1137"/>
      <c r="M1512" s="1138">
        <f t="shared" si="112"/>
        <v>0</v>
      </c>
      <c r="N1512" s="893">
        <f t="shared" si="116"/>
        <v>0</v>
      </c>
      <c r="O1512" s="905"/>
      <c r="Q1512" s="317" t="str">
        <f t="shared" si="113"/>
        <v/>
      </c>
      <c r="R1512" s="317" t="str">
        <f t="shared" si="114"/>
        <v/>
      </c>
      <c r="S1512" s="317" t="str">
        <f t="shared" si="115"/>
        <v/>
      </c>
      <c r="T1512" s="317" t="str">
        <f>GLOBAL_DER_FEV_2023!S1512</f>
        <v/>
      </c>
      <c r="W1512" s="582">
        <v>0</v>
      </c>
      <c r="X1512" s="580"/>
      <c r="Y1512" s="583">
        <f>IF(GLOBAL_DER_FEV_2023!W1512=0,0,IF(GLOBAL_DER_FEV_2023!W1512&gt;0,"c","b"))</f>
        <v>0</v>
      </c>
    </row>
    <row r="1513" spans="1:25" ht="34.5" hidden="1" thickBot="1" x14ac:dyDescent="0.25">
      <c r="A1513" s="317">
        <v>101636</v>
      </c>
      <c r="B1513" s="895">
        <v>101636</v>
      </c>
      <c r="C1513" s="896" t="s">
        <v>596</v>
      </c>
      <c r="D1513" s="906" t="s">
        <v>1438</v>
      </c>
      <c r="E1513" s="907">
        <f>GLOBAL_DER_FEV_2023!E1513</f>
        <v>0</v>
      </c>
      <c r="F1513" s="908">
        <f>GLOBAL_DER_FEV_2023!F1513</f>
        <v>0</v>
      </c>
      <c r="G1513" s="912">
        <f>GLOBAL_DER_FEV_2023!G1513</f>
        <v>0</v>
      </c>
      <c r="H1513" s="901">
        <f>GLOBAL_DER_FEV_2023!H1513</f>
        <v>163.68</v>
      </c>
      <c r="I1513" s="901">
        <f>GLOBAL_DER_FEV_2023!I1513</f>
        <v>163.68</v>
      </c>
      <c r="J1513" s="902">
        <f>GLOBAL_DER_FEV_2023!J1513</f>
        <v>196.53</v>
      </c>
      <c r="K1513" s="903" t="s">
        <v>1516</v>
      </c>
      <c r="L1513" s="1137"/>
      <c r="M1513" s="1138">
        <f t="shared" si="112"/>
        <v>0</v>
      </c>
      <c r="N1513" s="893">
        <f t="shared" si="116"/>
        <v>0</v>
      </c>
      <c r="O1513" s="905"/>
      <c r="Q1513" s="317" t="str">
        <f t="shared" si="113"/>
        <v/>
      </c>
      <c r="R1513" s="317" t="str">
        <f t="shared" si="114"/>
        <v/>
      </c>
      <c r="S1513" s="317" t="str">
        <f t="shared" si="115"/>
        <v/>
      </c>
      <c r="T1513" s="317" t="str">
        <f>GLOBAL_DER_FEV_2023!S1513</f>
        <v/>
      </c>
      <c r="W1513" s="582">
        <v>0</v>
      </c>
      <c r="X1513" s="580"/>
      <c r="Y1513" s="583">
        <f>IF(GLOBAL_DER_FEV_2023!W1513=0,0,IF(GLOBAL_DER_FEV_2023!W1513&gt;0,"c","b"))</f>
        <v>0</v>
      </c>
    </row>
    <row r="1514" spans="1:25" ht="34.5" hidden="1" thickBot="1" x14ac:dyDescent="0.25">
      <c r="A1514" s="317">
        <v>101637</v>
      </c>
      <c r="B1514" s="895">
        <v>101637</v>
      </c>
      <c r="C1514" s="896" t="s">
        <v>596</v>
      </c>
      <c r="D1514" s="906" t="s">
        <v>1439</v>
      </c>
      <c r="E1514" s="907">
        <f>GLOBAL_DER_FEV_2023!E1514</f>
        <v>0</v>
      </c>
      <c r="F1514" s="908">
        <f>GLOBAL_DER_FEV_2023!F1514</f>
        <v>0</v>
      </c>
      <c r="G1514" s="912">
        <f>GLOBAL_DER_FEV_2023!G1514</f>
        <v>0</v>
      </c>
      <c r="H1514" s="901">
        <f>GLOBAL_DER_FEV_2023!H1514</f>
        <v>158.52000000000001</v>
      </c>
      <c r="I1514" s="901">
        <f>GLOBAL_DER_FEV_2023!I1514</f>
        <v>158.52000000000001</v>
      </c>
      <c r="J1514" s="902">
        <f>GLOBAL_DER_FEV_2023!J1514</f>
        <v>190.33</v>
      </c>
      <c r="K1514" s="903" t="s">
        <v>1516</v>
      </c>
      <c r="L1514" s="1137"/>
      <c r="M1514" s="1138">
        <f t="shared" si="112"/>
        <v>0</v>
      </c>
      <c r="N1514" s="893">
        <f t="shared" si="116"/>
        <v>0</v>
      </c>
      <c r="O1514" s="905"/>
      <c r="Q1514" s="317" t="str">
        <f t="shared" si="113"/>
        <v/>
      </c>
      <c r="R1514" s="317" t="str">
        <f t="shared" si="114"/>
        <v/>
      </c>
      <c r="S1514" s="317" t="str">
        <f t="shared" si="115"/>
        <v/>
      </c>
      <c r="T1514" s="317" t="str">
        <f>GLOBAL_DER_FEV_2023!S1514</f>
        <v/>
      </c>
      <c r="W1514" s="582">
        <v>0</v>
      </c>
      <c r="X1514" s="580"/>
      <c r="Y1514" s="583">
        <f>IF(GLOBAL_DER_FEV_2023!W1514=0,0,IF(GLOBAL_DER_FEV_2023!W1514&gt;0,"c","b"))</f>
        <v>0</v>
      </c>
    </row>
    <row r="1515" spans="1:25" ht="23.25" hidden="1" thickBot="1" x14ac:dyDescent="0.25">
      <c r="A1515" s="317">
        <v>96985</v>
      </c>
      <c r="B1515" s="895">
        <v>96985</v>
      </c>
      <c r="C1515" s="896" t="s">
        <v>596</v>
      </c>
      <c r="D1515" s="906" t="s">
        <v>1440</v>
      </c>
      <c r="E1515" s="907">
        <f>GLOBAL_DER_FEV_2023!E1515</f>
        <v>0</v>
      </c>
      <c r="F1515" s="908">
        <f>GLOBAL_DER_FEV_2023!F1515</f>
        <v>0</v>
      </c>
      <c r="G1515" s="912">
        <f>GLOBAL_DER_FEV_2023!G1515</f>
        <v>0</v>
      </c>
      <c r="H1515" s="901">
        <f>GLOBAL_DER_FEV_2023!H1515</f>
        <v>91.92</v>
      </c>
      <c r="I1515" s="901">
        <f>GLOBAL_DER_FEV_2023!I1515</f>
        <v>91.92</v>
      </c>
      <c r="J1515" s="902">
        <f>GLOBAL_DER_FEV_2023!J1515</f>
        <v>110.37</v>
      </c>
      <c r="K1515" s="903" t="s">
        <v>1516</v>
      </c>
      <c r="L1515" s="1137"/>
      <c r="M1515" s="1138">
        <f t="shared" si="112"/>
        <v>0</v>
      </c>
      <c r="N1515" s="893">
        <f t="shared" si="116"/>
        <v>0</v>
      </c>
      <c r="O1515" s="905"/>
      <c r="Q1515" s="317" t="str">
        <f t="shared" si="113"/>
        <v/>
      </c>
      <c r="R1515" s="317" t="str">
        <f t="shared" si="114"/>
        <v/>
      </c>
      <c r="S1515" s="317" t="str">
        <f t="shared" si="115"/>
        <v/>
      </c>
      <c r="T1515" s="317" t="str">
        <f>GLOBAL_DER_FEV_2023!S1515</f>
        <v/>
      </c>
      <c r="W1515" s="582">
        <v>0</v>
      </c>
      <c r="X1515" s="580"/>
      <c r="Y1515" s="583">
        <f>IF(GLOBAL_DER_FEV_2023!W1515=0,0,IF(GLOBAL_DER_FEV_2023!W1515&gt;0,"c","b"))</f>
        <v>0</v>
      </c>
    </row>
    <row r="1516" spans="1:25" ht="23.25" hidden="1" thickBot="1" x14ac:dyDescent="0.25">
      <c r="A1516" s="317">
        <v>96986</v>
      </c>
      <c r="B1516" s="895">
        <v>96986</v>
      </c>
      <c r="C1516" s="896" t="s">
        <v>596</v>
      </c>
      <c r="D1516" s="906" t="s">
        <v>1441</v>
      </c>
      <c r="E1516" s="907">
        <f>GLOBAL_DER_FEV_2023!E1516</f>
        <v>0</v>
      </c>
      <c r="F1516" s="908">
        <f>GLOBAL_DER_FEV_2023!F1516</f>
        <v>0</v>
      </c>
      <c r="G1516" s="912">
        <f>GLOBAL_DER_FEV_2023!G1516</f>
        <v>0</v>
      </c>
      <c r="H1516" s="901">
        <f>GLOBAL_DER_FEV_2023!H1516</f>
        <v>137.30000000000001</v>
      </c>
      <c r="I1516" s="901">
        <f>GLOBAL_DER_FEV_2023!I1516</f>
        <v>137.30000000000001</v>
      </c>
      <c r="J1516" s="902">
        <f>GLOBAL_DER_FEV_2023!J1516</f>
        <v>164.86</v>
      </c>
      <c r="K1516" s="903" t="s">
        <v>1516</v>
      </c>
      <c r="L1516" s="1137"/>
      <c r="M1516" s="1138">
        <f t="shared" si="112"/>
        <v>0</v>
      </c>
      <c r="N1516" s="893">
        <f t="shared" si="116"/>
        <v>0</v>
      </c>
      <c r="O1516" s="905"/>
      <c r="Q1516" s="317" t="str">
        <f t="shared" si="113"/>
        <v/>
      </c>
      <c r="R1516" s="317" t="str">
        <f t="shared" si="114"/>
        <v/>
      </c>
      <c r="S1516" s="317" t="str">
        <f t="shared" si="115"/>
        <v/>
      </c>
      <c r="T1516" s="317" t="str">
        <f>GLOBAL_DER_FEV_2023!S1516</f>
        <v/>
      </c>
      <c r="W1516" s="582">
        <v>0</v>
      </c>
      <c r="X1516" s="580"/>
      <c r="Y1516" s="583">
        <f>IF(GLOBAL_DER_FEV_2023!W1516=0,0,IF(GLOBAL_DER_FEV_2023!W1516&gt;0,"c","b"))</f>
        <v>0</v>
      </c>
    </row>
    <row r="1517" spans="1:25" ht="23.25" hidden="1" thickBot="1" x14ac:dyDescent="0.25">
      <c r="A1517" s="317">
        <v>96987</v>
      </c>
      <c r="B1517" s="895">
        <v>96987</v>
      </c>
      <c r="C1517" s="896" t="s">
        <v>596</v>
      </c>
      <c r="D1517" s="906" t="s">
        <v>1442</v>
      </c>
      <c r="E1517" s="907">
        <f>GLOBAL_DER_FEV_2023!E1517</f>
        <v>0</v>
      </c>
      <c r="F1517" s="908">
        <f>GLOBAL_DER_FEV_2023!F1517</f>
        <v>0</v>
      </c>
      <c r="G1517" s="912">
        <f>GLOBAL_DER_FEV_2023!G1517</f>
        <v>0</v>
      </c>
      <c r="H1517" s="901">
        <f>GLOBAL_DER_FEV_2023!H1517</f>
        <v>118</v>
      </c>
      <c r="I1517" s="901">
        <f>GLOBAL_DER_FEV_2023!I1517</f>
        <v>118</v>
      </c>
      <c r="J1517" s="902">
        <f>GLOBAL_DER_FEV_2023!J1517</f>
        <v>141.68</v>
      </c>
      <c r="K1517" s="903" t="s">
        <v>1516</v>
      </c>
      <c r="L1517" s="1137"/>
      <c r="M1517" s="1138">
        <f t="shared" si="112"/>
        <v>0</v>
      </c>
      <c r="N1517" s="893">
        <f t="shared" si="116"/>
        <v>0</v>
      </c>
      <c r="O1517" s="905"/>
      <c r="Q1517" s="317" t="str">
        <f t="shared" si="113"/>
        <v/>
      </c>
      <c r="R1517" s="317" t="str">
        <f t="shared" si="114"/>
        <v/>
      </c>
      <c r="S1517" s="317" t="str">
        <f t="shared" si="115"/>
        <v/>
      </c>
      <c r="T1517" s="317" t="str">
        <f>GLOBAL_DER_FEV_2023!S1517</f>
        <v/>
      </c>
      <c r="W1517" s="582">
        <v>0</v>
      </c>
      <c r="X1517" s="580"/>
      <c r="Y1517" s="583">
        <f>IF(GLOBAL_DER_FEV_2023!W1517=0,0,IF(GLOBAL_DER_FEV_2023!W1517&gt;0,"c","b"))</f>
        <v>0</v>
      </c>
    </row>
    <row r="1518" spans="1:25" ht="13.5" hidden="1" thickBot="1" x14ac:dyDescent="0.25">
      <c r="A1518" s="317">
        <v>96988</v>
      </c>
      <c r="B1518" s="895">
        <v>96988</v>
      </c>
      <c r="C1518" s="896" t="s">
        <v>596</v>
      </c>
      <c r="D1518" s="906" t="s">
        <v>1443</v>
      </c>
      <c r="E1518" s="907">
        <f>GLOBAL_DER_FEV_2023!E1518</f>
        <v>0</v>
      </c>
      <c r="F1518" s="908">
        <f>GLOBAL_DER_FEV_2023!F1518</f>
        <v>0</v>
      </c>
      <c r="G1518" s="912">
        <f>GLOBAL_DER_FEV_2023!G1518</f>
        <v>0</v>
      </c>
      <c r="H1518" s="901">
        <f>GLOBAL_DER_FEV_2023!H1518</f>
        <v>157.33000000000001</v>
      </c>
      <c r="I1518" s="901">
        <f>GLOBAL_DER_FEV_2023!I1518</f>
        <v>157.33000000000001</v>
      </c>
      <c r="J1518" s="902">
        <f>GLOBAL_DER_FEV_2023!J1518</f>
        <v>188.91</v>
      </c>
      <c r="K1518" s="903" t="s">
        <v>1516</v>
      </c>
      <c r="L1518" s="1137"/>
      <c r="M1518" s="1138">
        <f t="shared" si="112"/>
        <v>0</v>
      </c>
      <c r="N1518" s="893">
        <f t="shared" si="116"/>
        <v>0</v>
      </c>
      <c r="O1518" s="905"/>
      <c r="Q1518" s="317" t="str">
        <f t="shared" si="113"/>
        <v/>
      </c>
      <c r="R1518" s="317" t="str">
        <f t="shared" si="114"/>
        <v/>
      </c>
      <c r="S1518" s="317" t="str">
        <f t="shared" si="115"/>
        <v/>
      </c>
      <c r="T1518" s="317" t="str">
        <f>GLOBAL_DER_FEV_2023!S1518</f>
        <v/>
      </c>
      <c r="W1518" s="582">
        <v>0</v>
      </c>
      <c r="X1518" s="580"/>
      <c r="Y1518" s="583">
        <f>IF(GLOBAL_DER_FEV_2023!W1518=0,0,IF(GLOBAL_DER_FEV_2023!W1518&gt;0,"c","b"))</f>
        <v>0</v>
      </c>
    </row>
    <row r="1519" spans="1:25" ht="23.25" hidden="1" thickBot="1" x14ac:dyDescent="0.25">
      <c r="A1519" s="317">
        <v>96971</v>
      </c>
      <c r="B1519" s="895">
        <v>96971</v>
      </c>
      <c r="C1519" s="896" t="s">
        <v>596</v>
      </c>
      <c r="D1519" s="906" t="s">
        <v>1444</v>
      </c>
      <c r="E1519" s="907">
        <f>GLOBAL_DER_FEV_2023!E1519</f>
        <v>0</v>
      </c>
      <c r="F1519" s="908">
        <f>GLOBAL_DER_FEV_2023!F1519</f>
        <v>0</v>
      </c>
      <c r="G1519" s="912">
        <f>GLOBAL_DER_FEV_2023!G1519</f>
        <v>0</v>
      </c>
      <c r="H1519" s="901">
        <f>GLOBAL_DER_FEV_2023!H1519</f>
        <v>37.03</v>
      </c>
      <c r="I1519" s="901">
        <f>GLOBAL_DER_FEV_2023!I1519</f>
        <v>37.03</v>
      </c>
      <c r="J1519" s="902">
        <f>GLOBAL_DER_FEV_2023!J1519</f>
        <v>44.46</v>
      </c>
      <c r="K1519" s="903" t="s">
        <v>62</v>
      </c>
      <c r="L1519" s="1137"/>
      <c r="M1519" s="1138">
        <f t="shared" si="112"/>
        <v>0</v>
      </c>
      <c r="N1519" s="893">
        <f t="shared" si="116"/>
        <v>0</v>
      </c>
      <c r="O1519" s="905"/>
      <c r="Q1519" s="317" t="str">
        <f t="shared" si="113"/>
        <v/>
      </c>
      <c r="R1519" s="317" t="str">
        <f t="shared" si="114"/>
        <v/>
      </c>
      <c r="S1519" s="317" t="str">
        <f t="shared" si="115"/>
        <v/>
      </c>
      <c r="T1519" s="317" t="str">
        <f>GLOBAL_DER_FEV_2023!S1519</f>
        <v/>
      </c>
      <c r="W1519" s="582">
        <v>0</v>
      </c>
      <c r="X1519" s="580"/>
      <c r="Y1519" s="583">
        <f>IF(GLOBAL_DER_FEV_2023!W1519=0,0,IF(GLOBAL_DER_FEV_2023!W1519&gt;0,"c","b"))</f>
        <v>0</v>
      </c>
    </row>
    <row r="1520" spans="1:25" ht="23.25" hidden="1" thickBot="1" x14ac:dyDescent="0.25">
      <c r="A1520" s="317">
        <v>96972</v>
      </c>
      <c r="B1520" s="895">
        <v>96972</v>
      </c>
      <c r="C1520" s="896" t="s">
        <v>596</v>
      </c>
      <c r="D1520" s="906" t="s">
        <v>1445</v>
      </c>
      <c r="E1520" s="907">
        <f>GLOBAL_DER_FEV_2023!E1520</f>
        <v>0</v>
      </c>
      <c r="F1520" s="908">
        <f>GLOBAL_DER_FEV_2023!F1520</f>
        <v>0</v>
      </c>
      <c r="G1520" s="912">
        <f>GLOBAL_DER_FEV_2023!G1520</f>
        <v>0</v>
      </c>
      <c r="H1520" s="901">
        <f>GLOBAL_DER_FEV_2023!H1520</f>
        <v>50.05</v>
      </c>
      <c r="I1520" s="901">
        <f>GLOBAL_DER_FEV_2023!I1520</f>
        <v>50.05</v>
      </c>
      <c r="J1520" s="902">
        <f>GLOBAL_DER_FEV_2023!J1520</f>
        <v>60.1</v>
      </c>
      <c r="K1520" s="903" t="s">
        <v>62</v>
      </c>
      <c r="L1520" s="1137"/>
      <c r="M1520" s="1138">
        <f t="shared" si="112"/>
        <v>0</v>
      </c>
      <c r="N1520" s="893">
        <f t="shared" si="116"/>
        <v>0</v>
      </c>
      <c r="O1520" s="905"/>
      <c r="Q1520" s="317" t="str">
        <f t="shared" si="113"/>
        <v/>
      </c>
      <c r="R1520" s="317" t="str">
        <f t="shared" si="114"/>
        <v/>
      </c>
      <c r="S1520" s="317" t="str">
        <f t="shared" si="115"/>
        <v/>
      </c>
      <c r="T1520" s="317" t="str">
        <f>GLOBAL_DER_FEV_2023!S1520</f>
        <v/>
      </c>
      <c r="W1520" s="582">
        <v>0</v>
      </c>
      <c r="X1520" s="580"/>
      <c r="Y1520" s="583">
        <f>IF(GLOBAL_DER_FEV_2023!W1520=0,0,IF(GLOBAL_DER_FEV_2023!W1520&gt;0,"c","b"))</f>
        <v>0</v>
      </c>
    </row>
    <row r="1521" spans="1:25" ht="23.25" hidden="1" thickBot="1" x14ac:dyDescent="0.25">
      <c r="A1521" s="317">
        <v>96973</v>
      </c>
      <c r="B1521" s="895">
        <v>96973</v>
      </c>
      <c r="C1521" s="896" t="s">
        <v>596</v>
      </c>
      <c r="D1521" s="906" t="s">
        <v>1446</v>
      </c>
      <c r="E1521" s="907">
        <f>GLOBAL_DER_FEV_2023!E1521</f>
        <v>0</v>
      </c>
      <c r="F1521" s="908">
        <f>GLOBAL_DER_FEV_2023!F1521</f>
        <v>0</v>
      </c>
      <c r="G1521" s="912">
        <f>GLOBAL_DER_FEV_2023!G1521</f>
        <v>0</v>
      </c>
      <c r="H1521" s="901">
        <f>GLOBAL_DER_FEV_2023!H1521</f>
        <v>66.23</v>
      </c>
      <c r="I1521" s="901">
        <f>GLOBAL_DER_FEV_2023!I1521</f>
        <v>66.23</v>
      </c>
      <c r="J1521" s="902">
        <f>GLOBAL_DER_FEV_2023!J1521</f>
        <v>79.52</v>
      </c>
      <c r="K1521" s="903" t="s">
        <v>62</v>
      </c>
      <c r="L1521" s="1137"/>
      <c r="M1521" s="1138">
        <f t="shared" si="112"/>
        <v>0</v>
      </c>
      <c r="N1521" s="893">
        <f t="shared" si="116"/>
        <v>0</v>
      </c>
      <c r="O1521" s="905"/>
      <c r="Q1521" s="317" t="str">
        <f t="shared" si="113"/>
        <v/>
      </c>
      <c r="R1521" s="317" t="str">
        <f t="shared" si="114"/>
        <v/>
      </c>
      <c r="S1521" s="317" t="str">
        <f t="shared" si="115"/>
        <v/>
      </c>
      <c r="T1521" s="317" t="str">
        <f>GLOBAL_DER_FEV_2023!S1521</f>
        <v/>
      </c>
      <c r="W1521" s="582">
        <v>0</v>
      </c>
      <c r="X1521" s="580"/>
      <c r="Y1521" s="583">
        <f>IF(GLOBAL_DER_FEV_2023!W1521=0,0,IF(GLOBAL_DER_FEV_2023!W1521&gt;0,"c","b"))</f>
        <v>0</v>
      </c>
    </row>
    <row r="1522" spans="1:25" ht="23.25" hidden="1" thickBot="1" x14ac:dyDescent="0.25">
      <c r="A1522" s="317">
        <v>96974</v>
      </c>
      <c r="B1522" s="895">
        <v>96974</v>
      </c>
      <c r="C1522" s="896" t="s">
        <v>596</v>
      </c>
      <c r="D1522" s="906" t="s">
        <v>1447</v>
      </c>
      <c r="E1522" s="907">
        <f>GLOBAL_DER_FEV_2023!E1522</f>
        <v>0</v>
      </c>
      <c r="F1522" s="908">
        <f>GLOBAL_DER_FEV_2023!F1522</f>
        <v>0</v>
      </c>
      <c r="G1522" s="912">
        <f>GLOBAL_DER_FEV_2023!G1522</f>
        <v>0</v>
      </c>
      <c r="H1522" s="901">
        <f>GLOBAL_DER_FEV_2023!H1522</f>
        <v>86.55</v>
      </c>
      <c r="I1522" s="901">
        <f>GLOBAL_DER_FEV_2023!I1522</f>
        <v>86.55</v>
      </c>
      <c r="J1522" s="902">
        <f>GLOBAL_DER_FEV_2023!J1522</f>
        <v>103.92</v>
      </c>
      <c r="K1522" s="903" t="s">
        <v>62</v>
      </c>
      <c r="L1522" s="1137"/>
      <c r="M1522" s="1138">
        <f t="shared" si="112"/>
        <v>0</v>
      </c>
      <c r="N1522" s="893">
        <f t="shared" si="116"/>
        <v>0</v>
      </c>
      <c r="O1522" s="905"/>
      <c r="Q1522" s="317" t="str">
        <f t="shared" si="113"/>
        <v/>
      </c>
      <c r="R1522" s="317" t="str">
        <f t="shared" si="114"/>
        <v/>
      </c>
      <c r="S1522" s="317" t="str">
        <f t="shared" si="115"/>
        <v/>
      </c>
      <c r="T1522" s="317" t="str">
        <f>GLOBAL_DER_FEV_2023!S1522</f>
        <v/>
      </c>
      <c r="W1522" s="582">
        <v>0</v>
      </c>
      <c r="X1522" s="580"/>
      <c r="Y1522" s="583">
        <f>IF(GLOBAL_DER_FEV_2023!W1522=0,0,IF(GLOBAL_DER_FEV_2023!W1522&gt;0,"c","b"))</f>
        <v>0</v>
      </c>
    </row>
    <row r="1523" spans="1:25" ht="23.25" hidden="1" thickBot="1" x14ac:dyDescent="0.25">
      <c r="A1523" s="317">
        <v>96975</v>
      </c>
      <c r="B1523" s="895">
        <v>96975</v>
      </c>
      <c r="C1523" s="896" t="s">
        <v>596</v>
      </c>
      <c r="D1523" s="906" t="s">
        <v>1448</v>
      </c>
      <c r="E1523" s="907">
        <f>GLOBAL_DER_FEV_2023!E1523</f>
        <v>0</v>
      </c>
      <c r="F1523" s="908">
        <f>GLOBAL_DER_FEV_2023!F1523</f>
        <v>0</v>
      </c>
      <c r="G1523" s="912">
        <f>GLOBAL_DER_FEV_2023!G1523</f>
        <v>0</v>
      </c>
      <c r="H1523" s="901">
        <f>GLOBAL_DER_FEV_2023!H1523</f>
        <v>107.85</v>
      </c>
      <c r="I1523" s="901">
        <f>GLOBAL_DER_FEV_2023!I1523</f>
        <v>107.85</v>
      </c>
      <c r="J1523" s="902">
        <f>GLOBAL_DER_FEV_2023!J1523</f>
        <v>129.5</v>
      </c>
      <c r="K1523" s="903" t="s">
        <v>62</v>
      </c>
      <c r="L1523" s="1137"/>
      <c r="M1523" s="1138">
        <f t="shared" si="112"/>
        <v>0</v>
      </c>
      <c r="N1523" s="893">
        <f t="shared" si="116"/>
        <v>0</v>
      </c>
      <c r="O1523" s="905"/>
      <c r="Q1523" s="317" t="str">
        <f t="shared" si="113"/>
        <v/>
      </c>
      <c r="R1523" s="317" t="str">
        <f t="shared" si="114"/>
        <v/>
      </c>
      <c r="S1523" s="317" t="str">
        <f t="shared" si="115"/>
        <v/>
      </c>
      <c r="T1523" s="317" t="str">
        <f>GLOBAL_DER_FEV_2023!S1523</f>
        <v/>
      </c>
      <c r="W1523" s="582">
        <v>0</v>
      </c>
      <c r="X1523" s="580"/>
      <c r="Y1523" s="583">
        <f>IF(GLOBAL_DER_FEV_2023!W1523=0,0,IF(GLOBAL_DER_FEV_2023!W1523&gt;0,"c","b"))</f>
        <v>0</v>
      </c>
    </row>
    <row r="1524" spans="1:25" ht="23.25" hidden="1" thickBot="1" x14ac:dyDescent="0.25">
      <c r="A1524" s="317">
        <v>96976</v>
      </c>
      <c r="B1524" s="895">
        <v>96976</v>
      </c>
      <c r="C1524" s="896" t="s">
        <v>596</v>
      </c>
      <c r="D1524" s="906" t="s">
        <v>1449</v>
      </c>
      <c r="E1524" s="907">
        <f>GLOBAL_DER_FEV_2023!E1524</f>
        <v>0</v>
      </c>
      <c r="F1524" s="908">
        <f>GLOBAL_DER_FEV_2023!F1524</f>
        <v>0</v>
      </c>
      <c r="G1524" s="912">
        <f>GLOBAL_DER_FEV_2023!G1524</f>
        <v>0</v>
      </c>
      <c r="H1524" s="901">
        <f>GLOBAL_DER_FEV_2023!H1524</f>
        <v>142.65</v>
      </c>
      <c r="I1524" s="901">
        <f>GLOBAL_DER_FEV_2023!I1524</f>
        <v>142.65</v>
      </c>
      <c r="J1524" s="902">
        <f>GLOBAL_DER_FEV_2023!J1524</f>
        <v>171.28</v>
      </c>
      <c r="K1524" s="903" t="s">
        <v>62</v>
      </c>
      <c r="L1524" s="1137"/>
      <c r="M1524" s="1138">
        <f t="shared" si="112"/>
        <v>0</v>
      </c>
      <c r="N1524" s="893">
        <f t="shared" si="116"/>
        <v>0</v>
      </c>
      <c r="O1524" s="905"/>
      <c r="Q1524" s="317" t="str">
        <f t="shared" si="113"/>
        <v/>
      </c>
      <c r="R1524" s="317" t="str">
        <f t="shared" si="114"/>
        <v/>
      </c>
      <c r="S1524" s="317" t="str">
        <f t="shared" si="115"/>
        <v/>
      </c>
      <c r="T1524" s="317" t="str">
        <f>GLOBAL_DER_FEV_2023!S1524</f>
        <v/>
      </c>
      <c r="W1524" s="582">
        <v>0</v>
      </c>
      <c r="X1524" s="580"/>
      <c r="Y1524" s="583">
        <f>IF(GLOBAL_DER_FEV_2023!W1524=0,0,IF(GLOBAL_DER_FEV_2023!W1524&gt;0,"c","b"))</f>
        <v>0</v>
      </c>
    </row>
    <row r="1525" spans="1:25" ht="23.25" hidden="1" thickBot="1" x14ac:dyDescent="0.25">
      <c r="A1525" s="317">
        <v>96977</v>
      </c>
      <c r="B1525" s="895">
        <v>96977</v>
      </c>
      <c r="C1525" s="896" t="s">
        <v>596</v>
      </c>
      <c r="D1525" s="906" t="s">
        <v>1450</v>
      </c>
      <c r="E1525" s="907">
        <f>GLOBAL_DER_FEV_2023!E1525</f>
        <v>0</v>
      </c>
      <c r="F1525" s="908">
        <f>GLOBAL_DER_FEV_2023!F1525</f>
        <v>0</v>
      </c>
      <c r="G1525" s="912">
        <f>GLOBAL_DER_FEV_2023!G1525</f>
        <v>0</v>
      </c>
      <c r="H1525" s="901">
        <f>GLOBAL_DER_FEV_2023!H1525</f>
        <v>58.29</v>
      </c>
      <c r="I1525" s="901">
        <f>GLOBAL_DER_FEV_2023!I1525</f>
        <v>58.29</v>
      </c>
      <c r="J1525" s="902">
        <f>GLOBAL_DER_FEV_2023!J1525</f>
        <v>69.989999999999995</v>
      </c>
      <c r="K1525" s="903" t="s">
        <v>62</v>
      </c>
      <c r="L1525" s="1137"/>
      <c r="M1525" s="1138">
        <f t="shared" si="112"/>
        <v>0</v>
      </c>
      <c r="N1525" s="893">
        <f t="shared" si="116"/>
        <v>0</v>
      </c>
      <c r="O1525" s="905"/>
      <c r="Q1525" s="317" t="str">
        <f t="shared" si="113"/>
        <v/>
      </c>
      <c r="R1525" s="317" t="str">
        <f t="shared" si="114"/>
        <v/>
      </c>
      <c r="S1525" s="317" t="str">
        <f t="shared" si="115"/>
        <v/>
      </c>
      <c r="T1525" s="317" t="str">
        <f>GLOBAL_DER_FEV_2023!S1525</f>
        <v/>
      </c>
      <c r="W1525" s="582">
        <v>0</v>
      </c>
      <c r="X1525" s="580"/>
      <c r="Y1525" s="583">
        <f>IF(GLOBAL_DER_FEV_2023!W1525=0,0,IF(GLOBAL_DER_FEV_2023!W1525&gt;0,"c","b"))</f>
        <v>0</v>
      </c>
    </row>
    <row r="1526" spans="1:25" ht="23.25" hidden="1" thickBot="1" x14ac:dyDescent="0.25">
      <c r="A1526" s="317">
        <v>96978</v>
      </c>
      <c r="B1526" s="895">
        <v>96978</v>
      </c>
      <c r="C1526" s="896" t="s">
        <v>596</v>
      </c>
      <c r="D1526" s="906" t="s">
        <v>1451</v>
      </c>
      <c r="E1526" s="907">
        <f>GLOBAL_DER_FEV_2023!E1526</f>
        <v>0</v>
      </c>
      <c r="F1526" s="908">
        <f>GLOBAL_DER_FEV_2023!F1526</f>
        <v>0</v>
      </c>
      <c r="G1526" s="912">
        <f>GLOBAL_DER_FEV_2023!G1526</f>
        <v>0</v>
      </c>
      <c r="H1526" s="901">
        <f>GLOBAL_DER_FEV_2023!H1526</f>
        <v>76.77</v>
      </c>
      <c r="I1526" s="901">
        <f>GLOBAL_DER_FEV_2023!I1526</f>
        <v>76.77</v>
      </c>
      <c r="J1526" s="902">
        <f>GLOBAL_DER_FEV_2023!J1526</f>
        <v>92.18</v>
      </c>
      <c r="K1526" s="903" t="s">
        <v>62</v>
      </c>
      <c r="L1526" s="1137"/>
      <c r="M1526" s="1138">
        <f t="shared" si="112"/>
        <v>0</v>
      </c>
      <c r="N1526" s="893">
        <f t="shared" si="116"/>
        <v>0</v>
      </c>
      <c r="O1526" s="905"/>
      <c r="Q1526" s="317" t="str">
        <f t="shared" si="113"/>
        <v/>
      </c>
      <c r="R1526" s="317" t="str">
        <f t="shared" si="114"/>
        <v/>
      </c>
      <c r="S1526" s="317" t="str">
        <f t="shared" si="115"/>
        <v/>
      </c>
      <c r="T1526" s="317" t="str">
        <f>GLOBAL_DER_FEV_2023!S1526</f>
        <v/>
      </c>
      <c r="W1526" s="582">
        <v>0</v>
      </c>
      <c r="X1526" s="580"/>
      <c r="Y1526" s="583">
        <f>IF(GLOBAL_DER_FEV_2023!W1526=0,0,IF(GLOBAL_DER_FEV_2023!W1526&gt;0,"c","b"))</f>
        <v>0</v>
      </c>
    </row>
    <row r="1527" spans="1:25" ht="23.25" hidden="1" thickBot="1" x14ac:dyDescent="0.25">
      <c r="A1527" s="317">
        <v>96979</v>
      </c>
      <c r="B1527" s="895">
        <v>96979</v>
      </c>
      <c r="C1527" s="896" t="s">
        <v>596</v>
      </c>
      <c r="D1527" s="906" t="s">
        <v>1452</v>
      </c>
      <c r="E1527" s="907">
        <f>GLOBAL_DER_FEV_2023!E1527</f>
        <v>0</v>
      </c>
      <c r="F1527" s="908">
        <f>GLOBAL_DER_FEV_2023!F1527</f>
        <v>0</v>
      </c>
      <c r="G1527" s="912">
        <f>GLOBAL_DER_FEV_2023!G1527</f>
        <v>0</v>
      </c>
      <c r="H1527" s="901">
        <f>GLOBAL_DER_FEV_2023!H1527</f>
        <v>109.74</v>
      </c>
      <c r="I1527" s="901">
        <f>GLOBAL_DER_FEV_2023!I1527</f>
        <v>109.74</v>
      </c>
      <c r="J1527" s="902">
        <f>GLOBAL_DER_FEV_2023!J1527</f>
        <v>131.76</v>
      </c>
      <c r="K1527" s="903" t="s">
        <v>62</v>
      </c>
      <c r="L1527" s="1137"/>
      <c r="M1527" s="1138">
        <f t="shared" si="112"/>
        <v>0</v>
      </c>
      <c r="N1527" s="893">
        <f t="shared" si="116"/>
        <v>0</v>
      </c>
      <c r="O1527" s="905"/>
      <c r="Q1527" s="317" t="str">
        <f t="shared" si="113"/>
        <v/>
      </c>
      <c r="R1527" s="317" t="str">
        <f t="shared" si="114"/>
        <v/>
      </c>
      <c r="S1527" s="317" t="str">
        <f t="shared" si="115"/>
        <v/>
      </c>
      <c r="T1527" s="317" t="str">
        <f>GLOBAL_DER_FEV_2023!S1527</f>
        <v/>
      </c>
      <c r="W1527" s="582">
        <v>0</v>
      </c>
      <c r="X1527" s="580"/>
      <c r="Y1527" s="583">
        <f>IF(GLOBAL_DER_FEV_2023!W1527=0,0,IF(GLOBAL_DER_FEV_2023!W1527&gt;0,"c","b"))</f>
        <v>0</v>
      </c>
    </row>
    <row r="1528" spans="1:25" ht="13.5" hidden="1" thickBot="1" x14ac:dyDescent="0.25">
      <c r="A1528" s="317">
        <v>96989</v>
      </c>
      <c r="B1528" s="895">
        <v>96989</v>
      </c>
      <c r="C1528" s="896" t="s">
        <v>596</v>
      </c>
      <c r="D1528" s="906" t="s">
        <v>1453</v>
      </c>
      <c r="E1528" s="907">
        <f>GLOBAL_DER_FEV_2023!E1528</f>
        <v>0</v>
      </c>
      <c r="F1528" s="908">
        <f>GLOBAL_DER_FEV_2023!F1528</f>
        <v>0</v>
      </c>
      <c r="G1528" s="912">
        <f>GLOBAL_DER_FEV_2023!G1528</f>
        <v>0</v>
      </c>
      <c r="H1528" s="901">
        <f>GLOBAL_DER_FEV_2023!H1528</f>
        <v>131.58000000000001</v>
      </c>
      <c r="I1528" s="901">
        <f>GLOBAL_DER_FEV_2023!I1528</f>
        <v>131.58000000000001</v>
      </c>
      <c r="J1528" s="902">
        <f>GLOBAL_DER_FEV_2023!J1528</f>
        <v>157.99</v>
      </c>
      <c r="K1528" s="903" t="s">
        <v>1516</v>
      </c>
      <c r="L1528" s="1137"/>
      <c r="M1528" s="1138">
        <f t="shared" si="112"/>
        <v>0</v>
      </c>
      <c r="N1528" s="893">
        <f t="shared" si="116"/>
        <v>0</v>
      </c>
      <c r="O1528" s="905"/>
      <c r="Q1528" s="317" t="str">
        <f t="shared" si="113"/>
        <v/>
      </c>
      <c r="R1528" s="317" t="str">
        <f t="shared" si="114"/>
        <v/>
      </c>
      <c r="S1528" s="317" t="str">
        <f t="shared" si="115"/>
        <v/>
      </c>
      <c r="T1528" s="317" t="str">
        <f>GLOBAL_DER_FEV_2023!S1528</f>
        <v/>
      </c>
      <c r="W1528" s="582">
        <v>0</v>
      </c>
      <c r="X1528" s="580"/>
      <c r="Y1528" s="583">
        <f>IF(GLOBAL_DER_FEV_2023!W1528=0,0,IF(GLOBAL_DER_FEV_2023!W1528&gt;0,"c","b"))</f>
        <v>0</v>
      </c>
    </row>
    <row r="1529" spans="1:25" ht="23.25" hidden="1" thickBot="1" x14ac:dyDescent="0.25">
      <c r="A1529" s="317">
        <v>98463</v>
      </c>
      <c r="B1529" s="895">
        <v>98463</v>
      </c>
      <c r="C1529" s="896" t="s">
        <v>596</v>
      </c>
      <c r="D1529" s="906" t="s">
        <v>1454</v>
      </c>
      <c r="E1529" s="907">
        <f>GLOBAL_DER_FEV_2023!E1529</f>
        <v>0</v>
      </c>
      <c r="F1529" s="908">
        <f>GLOBAL_DER_FEV_2023!F1529</f>
        <v>0</v>
      </c>
      <c r="G1529" s="912">
        <f>GLOBAL_DER_FEV_2023!G1529</f>
        <v>0</v>
      </c>
      <c r="H1529" s="901">
        <f>GLOBAL_DER_FEV_2023!H1529</f>
        <v>26.69</v>
      </c>
      <c r="I1529" s="901">
        <f>GLOBAL_DER_FEV_2023!I1529</f>
        <v>26.69</v>
      </c>
      <c r="J1529" s="902">
        <f>GLOBAL_DER_FEV_2023!J1529</f>
        <v>32.049999999999997</v>
      </c>
      <c r="K1529" s="903" t="s">
        <v>1516</v>
      </c>
      <c r="L1529" s="1137"/>
      <c r="M1529" s="1138">
        <f t="shared" si="112"/>
        <v>0</v>
      </c>
      <c r="N1529" s="893">
        <f t="shared" si="116"/>
        <v>0</v>
      </c>
      <c r="O1529" s="905"/>
      <c r="Q1529" s="317" t="str">
        <f t="shared" si="113"/>
        <v/>
      </c>
      <c r="R1529" s="317" t="str">
        <f t="shared" si="114"/>
        <v/>
      </c>
      <c r="S1529" s="317" t="str">
        <f t="shared" si="115"/>
        <v/>
      </c>
      <c r="T1529" s="317" t="str">
        <f>GLOBAL_DER_FEV_2023!S1529</f>
        <v/>
      </c>
      <c r="W1529" s="582">
        <v>0</v>
      </c>
      <c r="X1529" s="580"/>
      <c r="Y1529" s="583">
        <f>IF(GLOBAL_DER_FEV_2023!W1529=0,0,IF(GLOBAL_DER_FEV_2023!W1529&gt;0,"c","b"))</f>
        <v>0</v>
      </c>
    </row>
    <row r="1530" spans="1:25" ht="34.5" hidden="1" thickBot="1" x14ac:dyDescent="0.25">
      <c r="A1530" s="317">
        <v>100560</v>
      </c>
      <c r="B1530" s="895">
        <v>100560</v>
      </c>
      <c r="C1530" s="896" t="s">
        <v>596</v>
      </c>
      <c r="D1530" s="906" t="s">
        <v>1455</v>
      </c>
      <c r="E1530" s="907">
        <f>GLOBAL_DER_FEV_2023!E1530</f>
        <v>0</v>
      </c>
      <c r="F1530" s="908">
        <f>GLOBAL_DER_FEV_2023!F1530</f>
        <v>0</v>
      </c>
      <c r="G1530" s="912">
        <f>GLOBAL_DER_FEV_2023!G1530</f>
        <v>0</v>
      </c>
      <c r="H1530" s="901">
        <f>GLOBAL_DER_FEV_2023!H1530</f>
        <v>139.51</v>
      </c>
      <c r="I1530" s="901">
        <f>GLOBAL_DER_FEV_2023!I1530</f>
        <v>139.51</v>
      </c>
      <c r="J1530" s="902">
        <f>GLOBAL_DER_FEV_2023!J1530</f>
        <v>167.51</v>
      </c>
      <c r="K1530" s="903" t="s">
        <v>1516</v>
      </c>
      <c r="L1530" s="1137"/>
      <c r="M1530" s="1138">
        <f t="shared" si="112"/>
        <v>0</v>
      </c>
      <c r="N1530" s="893">
        <f t="shared" si="116"/>
        <v>0</v>
      </c>
      <c r="O1530" s="905"/>
      <c r="Q1530" s="317" t="str">
        <f t="shared" si="113"/>
        <v/>
      </c>
      <c r="R1530" s="317" t="str">
        <f t="shared" si="114"/>
        <v/>
      </c>
      <c r="S1530" s="317" t="str">
        <f t="shared" si="115"/>
        <v/>
      </c>
      <c r="T1530" s="317" t="str">
        <f>GLOBAL_DER_FEV_2023!S1530</f>
        <v/>
      </c>
      <c r="W1530" s="582">
        <v>0</v>
      </c>
      <c r="X1530" s="580"/>
      <c r="Y1530" s="583">
        <f>IF(GLOBAL_DER_FEV_2023!W1530=0,0,IF(GLOBAL_DER_FEV_2023!W1530&gt;0,"c","b"))</f>
        <v>0</v>
      </c>
    </row>
    <row r="1531" spans="1:25" ht="34.5" hidden="1" thickBot="1" x14ac:dyDescent="0.25">
      <c r="A1531" s="317">
        <v>100561</v>
      </c>
      <c r="B1531" s="895">
        <v>100561</v>
      </c>
      <c r="C1531" s="896" t="s">
        <v>596</v>
      </c>
      <c r="D1531" s="906" t="s">
        <v>1456</v>
      </c>
      <c r="E1531" s="907">
        <f>GLOBAL_DER_FEV_2023!E1531</f>
        <v>0</v>
      </c>
      <c r="F1531" s="908">
        <f>GLOBAL_DER_FEV_2023!F1531</f>
        <v>0</v>
      </c>
      <c r="G1531" s="912">
        <f>GLOBAL_DER_FEV_2023!G1531</f>
        <v>0</v>
      </c>
      <c r="H1531" s="901">
        <f>GLOBAL_DER_FEV_2023!H1531</f>
        <v>252.88</v>
      </c>
      <c r="I1531" s="901">
        <f>GLOBAL_DER_FEV_2023!I1531</f>
        <v>252.88</v>
      </c>
      <c r="J1531" s="902">
        <f>GLOBAL_DER_FEV_2023!J1531</f>
        <v>303.63</v>
      </c>
      <c r="K1531" s="903" t="s">
        <v>1516</v>
      </c>
      <c r="L1531" s="1137"/>
      <c r="M1531" s="1138">
        <f t="shared" si="112"/>
        <v>0</v>
      </c>
      <c r="N1531" s="893">
        <f t="shared" si="116"/>
        <v>0</v>
      </c>
      <c r="O1531" s="905"/>
      <c r="Q1531" s="317" t="str">
        <f t="shared" si="113"/>
        <v/>
      </c>
      <c r="R1531" s="317" t="str">
        <f t="shared" si="114"/>
        <v/>
      </c>
      <c r="S1531" s="317" t="str">
        <f t="shared" si="115"/>
        <v/>
      </c>
      <c r="T1531" s="317" t="str">
        <f>GLOBAL_DER_FEV_2023!S1531</f>
        <v/>
      </c>
      <c r="W1531" s="582">
        <v>0</v>
      </c>
      <c r="X1531" s="580"/>
      <c r="Y1531" s="583">
        <f>IF(GLOBAL_DER_FEV_2023!W1531=0,0,IF(GLOBAL_DER_FEV_2023!W1531&gt;0,"c","b"))</f>
        <v>0</v>
      </c>
    </row>
    <row r="1532" spans="1:25" ht="34.5" hidden="1" thickBot="1" x14ac:dyDescent="0.25">
      <c r="A1532" s="317">
        <v>100562</v>
      </c>
      <c r="B1532" s="895">
        <v>100562</v>
      </c>
      <c r="C1532" s="896" t="s">
        <v>596</v>
      </c>
      <c r="D1532" s="906" t="s">
        <v>1457</v>
      </c>
      <c r="E1532" s="907">
        <f>GLOBAL_DER_FEV_2023!E1532</f>
        <v>0</v>
      </c>
      <c r="F1532" s="908">
        <f>GLOBAL_DER_FEV_2023!F1532</f>
        <v>0</v>
      </c>
      <c r="G1532" s="912">
        <f>GLOBAL_DER_FEV_2023!G1532</f>
        <v>0</v>
      </c>
      <c r="H1532" s="901">
        <f>GLOBAL_DER_FEV_2023!H1532</f>
        <v>389.51</v>
      </c>
      <c r="I1532" s="901">
        <f>GLOBAL_DER_FEV_2023!I1532</f>
        <v>389.51</v>
      </c>
      <c r="J1532" s="902">
        <f>GLOBAL_DER_FEV_2023!J1532</f>
        <v>467.68</v>
      </c>
      <c r="K1532" s="903" t="s">
        <v>1516</v>
      </c>
      <c r="L1532" s="1137"/>
      <c r="M1532" s="1138">
        <f t="shared" si="112"/>
        <v>0</v>
      </c>
      <c r="N1532" s="893">
        <f t="shared" si="116"/>
        <v>0</v>
      </c>
      <c r="O1532" s="905"/>
      <c r="Q1532" s="317" t="str">
        <f t="shared" si="113"/>
        <v/>
      </c>
      <c r="R1532" s="317" t="str">
        <f t="shared" si="114"/>
        <v/>
      </c>
      <c r="S1532" s="317" t="str">
        <f t="shared" si="115"/>
        <v/>
      </c>
      <c r="T1532" s="317" t="str">
        <f>GLOBAL_DER_FEV_2023!S1532</f>
        <v/>
      </c>
      <c r="W1532" s="582">
        <v>0</v>
      </c>
      <c r="X1532" s="580"/>
      <c r="Y1532" s="583">
        <f>IF(GLOBAL_DER_FEV_2023!W1532=0,0,IF(GLOBAL_DER_FEV_2023!W1532&gt;0,"c","b"))</f>
        <v>0</v>
      </c>
    </row>
    <row r="1533" spans="1:25" ht="23.25" hidden="1" thickBot="1" x14ac:dyDescent="0.25">
      <c r="A1533" s="317">
        <v>100563</v>
      </c>
      <c r="B1533" s="895">
        <v>100563</v>
      </c>
      <c r="C1533" s="896" t="s">
        <v>596</v>
      </c>
      <c r="D1533" s="906" t="s">
        <v>1458</v>
      </c>
      <c r="E1533" s="907">
        <f>GLOBAL_DER_FEV_2023!E1533</f>
        <v>0</v>
      </c>
      <c r="F1533" s="908">
        <f>GLOBAL_DER_FEV_2023!F1533</f>
        <v>0</v>
      </c>
      <c r="G1533" s="912">
        <f>GLOBAL_DER_FEV_2023!G1533</f>
        <v>0</v>
      </c>
      <c r="H1533" s="901">
        <f>GLOBAL_DER_FEV_2023!H1533</f>
        <v>559.6</v>
      </c>
      <c r="I1533" s="901">
        <f>GLOBAL_DER_FEV_2023!I1533</f>
        <v>559.6</v>
      </c>
      <c r="J1533" s="902">
        <f>GLOBAL_DER_FEV_2023!J1533</f>
        <v>671.91</v>
      </c>
      <c r="K1533" s="903" t="s">
        <v>1516</v>
      </c>
      <c r="L1533" s="1137"/>
      <c r="M1533" s="1138">
        <f t="shared" si="112"/>
        <v>0</v>
      </c>
      <c r="N1533" s="893">
        <f t="shared" si="116"/>
        <v>0</v>
      </c>
      <c r="O1533" s="905"/>
      <c r="Q1533" s="317" t="str">
        <f t="shared" si="113"/>
        <v/>
      </c>
      <c r="R1533" s="317" t="str">
        <f t="shared" si="114"/>
        <v/>
      </c>
      <c r="S1533" s="317" t="str">
        <f t="shared" si="115"/>
        <v/>
      </c>
      <c r="T1533" s="317" t="str">
        <f>GLOBAL_DER_FEV_2023!S1533</f>
        <v/>
      </c>
      <c r="W1533" s="582">
        <v>0</v>
      </c>
      <c r="X1533" s="580"/>
      <c r="Y1533" s="583">
        <f>IF(GLOBAL_DER_FEV_2023!W1533=0,0,IF(GLOBAL_DER_FEV_2023!W1533&gt;0,"c","b"))</f>
        <v>0</v>
      </c>
    </row>
    <row r="1534" spans="1:25" ht="23.25" hidden="1" thickBot="1" x14ac:dyDescent="0.25">
      <c r="A1534" s="317">
        <v>100556</v>
      </c>
      <c r="B1534" s="895">
        <v>100556</v>
      </c>
      <c r="C1534" s="896" t="s">
        <v>596</v>
      </c>
      <c r="D1534" s="906" t="s">
        <v>1459</v>
      </c>
      <c r="E1534" s="907">
        <f>GLOBAL_DER_FEV_2023!E1534</f>
        <v>0</v>
      </c>
      <c r="F1534" s="908">
        <f>GLOBAL_DER_FEV_2023!F1534</f>
        <v>0</v>
      </c>
      <c r="G1534" s="912">
        <f>GLOBAL_DER_FEV_2023!G1534</f>
        <v>0</v>
      </c>
      <c r="H1534" s="901">
        <f>GLOBAL_DER_FEV_2023!H1534</f>
        <v>51.63</v>
      </c>
      <c r="I1534" s="901">
        <f>GLOBAL_DER_FEV_2023!I1534</f>
        <v>51.63</v>
      </c>
      <c r="J1534" s="902">
        <f>GLOBAL_DER_FEV_2023!J1534</f>
        <v>61.99</v>
      </c>
      <c r="K1534" s="903" t="s">
        <v>1516</v>
      </c>
      <c r="L1534" s="1137"/>
      <c r="M1534" s="1138">
        <f t="shared" si="112"/>
        <v>0</v>
      </c>
      <c r="N1534" s="893">
        <f t="shared" si="116"/>
        <v>0</v>
      </c>
      <c r="O1534" s="905"/>
      <c r="Q1534" s="317" t="str">
        <f t="shared" si="113"/>
        <v/>
      </c>
      <c r="R1534" s="317" t="str">
        <f t="shared" si="114"/>
        <v/>
      </c>
      <c r="S1534" s="317" t="str">
        <f t="shared" si="115"/>
        <v/>
      </c>
      <c r="T1534" s="317" t="str">
        <f>GLOBAL_DER_FEV_2023!S1534</f>
        <v/>
      </c>
      <c r="W1534" s="582">
        <v>0</v>
      </c>
      <c r="X1534" s="580"/>
      <c r="Y1534" s="583">
        <f>IF(GLOBAL_DER_FEV_2023!W1534=0,0,IF(GLOBAL_DER_FEV_2023!W1534&gt;0,"c","b"))</f>
        <v>0</v>
      </c>
    </row>
    <row r="1535" spans="1:25" ht="23.25" hidden="1" thickBot="1" x14ac:dyDescent="0.25">
      <c r="A1535" s="317">
        <v>100557</v>
      </c>
      <c r="B1535" s="895">
        <v>100557</v>
      </c>
      <c r="C1535" s="896" t="s">
        <v>596</v>
      </c>
      <c r="D1535" s="906" t="s">
        <v>1460</v>
      </c>
      <c r="E1535" s="907">
        <f>GLOBAL_DER_FEV_2023!E1535</f>
        <v>0</v>
      </c>
      <c r="F1535" s="908">
        <f>GLOBAL_DER_FEV_2023!F1535</f>
        <v>0</v>
      </c>
      <c r="G1535" s="912">
        <f>GLOBAL_DER_FEV_2023!G1535</f>
        <v>0</v>
      </c>
      <c r="H1535" s="901">
        <f>GLOBAL_DER_FEV_2023!H1535</f>
        <v>638.92999999999995</v>
      </c>
      <c r="I1535" s="901">
        <f>GLOBAL_DER_FEV_2023!I1535</f>
        <v>638.92999999999995</v>
      </c>
      <c r="J1535" s="902">
        <f>GLOBAL_DER_FEV_2023!J1535</f>
        <v>767.16</v>
      </c>
      <c r="K1535" s="903" t="s">
        <v>1516</v>
      </c>
      <c r="L1535" s="1137"/>
      <c r="M1535" s="1138">
        <f t="shared" si="112"/>
        <v>0</v>
      </c>
      <c r="N1535" s="893">
        <f t="shared" si="116"/>
        <v>0</v>
      </c>
      <c r="O1535" s="905"/>
      <c r="Q1535" s="317" t="str">
        <f t="shared" si="113"/>
        <v/>
      </c>
      <c r="R1535" s="317" t="str">
        <f t="shared" si="114"/>
        <v/>
      </c>
      <c r="S1535" s="317" t="str">
        <f t="shared" si="115"/>
        <v/>
      </c>
      <c r="T1535" s="317" t="str">
        <f>GLOBAL_DER_FEV_2023!S1535</f>
        <v/>
      </c>
      <c r="W1535" s="582">
        <v>0</v>
      </c>
      <c r="X1535" s="580"/>
      <c r="Y1535" s="583">
        <f>IF(GLOBAL_DER_FEV_2023!W1535=0,0,IF(GLOBAL_DER_FEV_2023!W1535&gt;0,"c","b"))</f>
        <v>0</v>
      </c>
    </row>
    <row r="1536" spans="1:25" ht="23.25" hidden="1" thickBot="1" x14ac:dyDescent="0.25">
      <c r="A1536" s="317">
        <v>98294</v>
      </c>
      <c r="B1536" s="895">
        <v>98294</v>
      </c>
      <c r="C1536" s="896" t="s">
        <v>596</v>
      </c>
      <c r="D1536" s="906" t="s">
        <v>1461</v>
      </c>
      <c r="E1536" s="907">
        <f>GLOBAL_DER_FEV_2023!E1536</f>
        <v>0</v>
      </c>
      <c r="F1536" s="908">
        <f>GLOBAL_DER_FEV_2023!F1536</f>
        <v>0</v>
      </c>
      <c r="G1536" s="912">
        <f>GLOBAL_DER_FEV_2023!G1536</f>
        <v>0</v>
      </c>
      <c r="H1536" s="901">
        <f>GLOBAL_DER_FEV_2023!H1536</f>
        <v>8.24</v>
      </c>
      <c r="I1536" s="901">
        <f>GLOBAL_DER_FEV_2023!I1536</f>
        <v>8.24</v>
      </c>
      <c r="J1536" s="902">
        <f>GLOBAL_DER_FEV_2023!J1536</f>
        <v>9.89</v>
      </c>
      <c r="K1536" s="903" t="s">
        <v>62</v>
      </c>
      <c r="L1536" s="1137"/>
      <c r="M1536" s="1138">
        <f t="shared" si="112"/>
        <v>0</v>
      </c>
      <c r="N1536" s="893">
        <f t="shared" si="116"/>
        <v>0</v>
      </c>
      <c r="O1536" s="905"/>
      <c r="Q1536" s="317" t="str">
        <f t="shared" si="113"/>
        <v/>
      </c>
      <c r="R1536" s="317" t="str">
        <f t="shared" si="114"/>
        <v/>
      </c>
      <c r="S1536" s="317" t="str">
        <f t="shared" si="115"/>
        <v/>
      </c>
      <c r="T1536" s="317" t="str">
        <f>GLOBAL_DER_FEV_2023!S1536</f>
        <v/>
      </c>
      <c r="W1536" s="582">
        <v>0</v>
      </c>
      <c r="X1536" s="580"/>
      <c r="Y1536" s="583">
        <f>IF(GLOBAL_DER_FEV_2023!W1536=0,0,IF(GLOBAL_DER_FEV_2023!W1536&gt;0,"c","b"))</f>
        <v>0</v>
      </c>
    </row>
    <row r="1537" spans="1:25" ht="23.25" hidden="1" thickBot="1" x14ac:dyDescent="0.25">
      <c r="A1537" s="317">
        <v>98295</v>
      </c>
      <c r="B1537" s="895">
        <v>98295</v>
      </c>
      <c r="C1537" s="896" t="s">
        <v>596</v>
      </c>
      <c r="D1537" s="906" t="s">
        <v>1462</v>
      </c>
      <c r="E1537" s="907">
        <f>GLOBAL_DER_FEV_2023!E1537</f>
        <v>0</v>
      </c>
      <c r="F1537" s="908">
        <f>GLOBAL_DER_FEV_2023!F1537</f>
        <v>0</v>
      </c>
      <c r="G1537" s="912">
        <f>GLOBAL_DER_FEV_2023!G1537</f>
        <v>0</v>
      </c>
      <c r="H1537" s="901">
        <f>GLOBAL_DER_FEV_2023!H1537</f>
        <v>7.4</v>
      </c>
      <c r="I1537" s="901">
        <f>GLOBAL_DER_FEV_2023!I1537</f>
        <v>7.4</v>
      </c>
      <c r="J1537" s="902">
        <f>GLOBAL_DER_FEV_2023!J1537</f>
        <v>8.89</v>
      </c>
      <c r="K1537" s="903" t="s">
        <v>62</v>
      </c>
      <c r="L1537" s="1137"/>
      <c r="M1537" s="1138">
        <f t="shared" si="112"/>
        <v>0</v>
      </c>
      <c r="N1537" s="893">
        <f t="shared" si="116"/>
        <v>0</v>
      </c>
      <c r="O1537" s="905"/>
      <c r="Q1537" s="317" t="str">
        <f t="shared" si="113"/>
        <v/>
      </c>
      <c r="R1537" s="317" t="str">
        <f t="shared" si="114"/>
        <v/>
      </c>
      <c r="S1537" s="317" t="str">
        <f t="shared" si="115"/>
        <v/>
      </c>
      <c r="T1537" s="317" t="str">
        <f>GLOBAL_DER_FEV_2023!S1537</f>
        <v/>
      </c>
      <c r="W1537" s="582">
        <v>0</v>
      </c>
      <c r="X1537" s="580"/>
      <c r="Y1537" s="583">
        <f>IF(GLOBAL_DER_FEV_2023!W1537=0,0,IF(GLOBAL_DER_FEV_2023!W1537&gt;0,"c","b"))</f>
        <v>0</v>
      </c>
    </row>
    <row r="1538" spans="1:25" ht="23.25" hidden="1" thickBot="1" x14ac:dyDescent="0.25">
      <c r="A1538" s="317">
        <v>98296</v>
      </c>
      <c r="B1538" s="895">
        <v>98296</v>
      </c>
      <c r="C1538" s="896" t="s">
        <v>596</v>
      </c>
      <c r="D1538" s="906" t="s">
        <v>1463</v>
      </c>
      <c r="E1538" s="907">
        <f>GLOBAL_DER_FEV_2023!E1538</f>
        <v>0</v>
      </c>
      <c r="F1538" s="908">
        <f>GLOBAL_DER_FEV_2023!F1538</f>
        <v>0</v>
      </c>
      <c r="G1538" s="912">
        <f>GLOBAL_DER_FEV_2023!G1538</f>
        <v>0</v>
      </c>
      <c r="H1538" s="901">
        <f>GLOBAL_DER_FEV_2023!H1538</f>
        <v>12.01</v>
      </c>
      <c r="I1538" s="901">
        <f>GLOBAL_DER_FEV_2023!I1538</f>
        <v>12.01</v>
      </c>
      <c r="J1538" s="902">
        <f>GLOBAL_DER_FEV_2023!J1538</f>
        <v>14.42</v>
      </c>
      <c r="K1538" s="903" t="s">
        <v>62</v>
      </c>
      <c r="L1538" s="1137"/>
      <c r="M1538" s="1138">
        <f t="shared" si="112"/>
        <v>0</v>
      </c>
      <c r="N1538" s="893">
        <f t="shared" si="116"/>
        <v>0</v>
      </c>
      <c r="O1538" s="905"/>
      <c r="Q1538" s="317" t="str">
        <f t="shared" si="113"/>
        <v/>
      </c>
      <c r="R1538" s="317" t="str">
        <f t="shared" si="114"/>
        <v/>
      </c>
      <c r="S1538" s="317" t="str">
        <f t="shared" si="115"/>
        <v/>
      </c>
      <c r="T1538" s="317" t="str">
        <f>GLOBAL_DER_FEV_2023!S1538</f>
        <v/>
      </c>
      <c r="W1538" s="582">
        <v>0</v>
      </c>
      <c r="X1538" s="580"/>
      <c r="Y1538" s="583">
        <f>IF(GLOBAL_DER_FEV_2023!W1538=0,0,IF(GLOBAL_DER_FEV_2023!W1538&gt;0,"c","b"))</f>
        <v>0</v>
      </c>
    </row>
    <row r="1539" spans="1:25" ht="23.25" hidden="1" thickBot="1" x14ac:dyDescent="0.25">
      <c r="A1539" s="317">
        <v>98297</v>
      </c>
      <c r="B1539" s="895">
        <v>98297</v>
      </c>
      <c r="C1539" s="896" t="s">
        <v>596</v>
      </c>
      <c r="D1539" s="906" t="s">
        <v>1464</v>
      </c>
      <c r="E1539" s="907">
        <f>GLOBAL_DER_FEV_2023!E1539</f>
        <v>0</v>
      </c>
      <c r="F1539" s="908">
        <f>GLOBAL_DER_FEV_2023!F1539</f>
        <v>0</v>
      </c>
      <c r="G1539" s="912">
        <f>GLOBAL_DER_FEV_2023!G1539</f>
        <v>0</v>
      </c>
      <c r="H1539" s="901">
        <f>GLOBAL_DER_FEV_2023!H1539</f>
        <v>10.67</v>
      </c>
      <c r="I1539" s="901">
        <f>GLOBAL_DER_FEV_2023!I1539</f>
        <v>10.67</v>
      </c>
      <c r="J1539" s="902">
        <f>GLOBAL_DER_FEV_2023!J1539</f>
        <v>12.81</v>
      </c>
      <c r="K1539" s="903" t="s">
        <v>62</v>
      </c>
      <c r="L1539" s="1137"/>
      <c r="M1539" s="1138">
        <f t="shared" si="112"/>
        <v>0</v>
      </c>
      <c r="N1539" s="893">
        <f t="shared" si="116"/>
        <v>0</v>
      </c>
      <c r="O1539" s="905"/>
      <c r="Q1539" s="317" t="str">
        <f t="shared" si="113"/>
        <v/>
      </c>
      <c r="R1539" s="317" t="str">
        <f t="shared" si="114"/>
        <v/>
      </c>
      <c r="S1539" s="317" t="str">
        <f t="shared" si="115"/>
        <v/>
      </c>
      <c r="T1539" s="317" t="str">
        <f>GLOBAL_DER_FEV_2023!S1539</f>
        <v/>
      </c>
      <c r="W1539" s="582">
        <v>0</v>
      </c>
      <c r="X1539" s="580"/>
      <c r="Y1539" s="583">
        <f>IF(GLOBAL_DER_FEV_2023!W1539=0,0,IF(GLOBAL_DER_FEV_2023!W1539&gt;0,"c","b"))</f>
        <v>0</v>
      </c>
    </row>
    <row r="1540" spans="1:25" ht="23.25" hidden="1" thickBot="1" x14ac:dyDescent="0.25">
      <c r="A1540" s="317">
        <v>98301</v>
      </c>
      <c r="B1540" s="895">
        <v>98301</v>
      </c>
      <c r="C1540" s="896" t="s">
        <v>596</v>
      </c>
      <c r="D1540" s="906" t="s">
        <v>1465</v>
      </c>
      <c r="E1540" s="907">
        <f>GLOBAL_DER_FEV_2023!E1540</f>
        <v>0</v>
      </c>
      <c r="F1540" s="908">
        <f>GLOBAL_DER_FEV_2023!F1540</f>
        <v>0</v>
      </c>
      <c r="G1540" s="912">
        <f>GLOBAL_DER_FEV_2023!G1540</f>
        <v>0</v>
      </c>
      <c r="H1540" s="901">
        <f>GLOBAL_DER_FEV_2023!H1540</f>
        <v>792.1</v>
      </c>
      <c r="I1540" s="901">
        <f>GLOBAL_DER_FEV_2023!I1540</f>
        <v>792.1</v>
      </c>
      <c r="J1540" s="902">
        <f>GLOBAL_DER_FEV_2023!J1540</f>
        <v>951.07</v>
      </c>
      <c r="K1540" s="903" t="s">
        <v>1516</v>
      </c>
      <c r="L1540" s="1137"/>
      <c r="M1540" s="1138">
        <f t="shared" si="112"/>
        <v>0</v>
      </c>
      <c r="N1540" s="893">
        <f t="shared" si="116"/>
        <v>0</v>
      </c>
      <c r="O1540" s="905"/>
      <c r="Q1540" s="317" t="str">
        <f t="shared" si="113"/>
        <v/>
      </c>
      <c r="R1540" s="317" t="str">
        <f t="shared" si="114"/>
        <v/>
      </c>
      <c r="S1540" s="317" t="str">
        <f t="shared" si="115"/>
        <v/>
      </c>
      <c r="T1540" s="317" t="str">
        <f>GLOBAL_DER_FEV_2023!S1540</f>
        <v/>
      </c>
      <c r="W1540" s="582">
        <v>0</v>
      </c>
      <c r="X1540" s="580"/>
      <c r="Y1540" s="583">
        <f>IF(GLOBAL_DER_FEV_2023!W1540=0,0,IF(GLOBAL_DER_FEV_2023!W1540&gt;0,"c","b"))</f>
        <v>0</v>
      </c>
    </row>
    <row r="1541" spans="1:25" ht="13.5" hidden="1" thickBot="1" x14ac:dyDescent="0.25">
      <c r="A1541" s="317">
        <v>98302</v>
      </c>
      <c r="B1541" s="895">
        <v>98302</v>
      </c>
      <c r="C1541" s="896" t="s">
        <v>596</v>
      </c>
      <c r="D1541" s="906" t="s">
        <v>1466</v>
      </c>
      <c r="E1541" s="907">
        <f>GLOBAL_DER_FEV_2023!E1541</f>
        <v>0</v>
      </c>
      <c r="F1541" s="908">
        <f>GLOBAL_DER_FEV_2023!F1541</f>
        <v>0</v>
      </c>
      <c r="G1541" s="912">
        <f>GLOBAL_DER_FEV_2023!G1541</f>
        <v>0</v>
      </c>
      <c r="H1541" s="901">
        <f>GLOBAL_DER_FEV_2023!H1541</f>
        <v>1496.89</v>
      </c>
      <c r="I1541" s="901">
        <f>GLOBAL_DER_FEV_2023!I1541</f>
        <v>1496.89</v>
      </c>
      <c r="J1541" s="902">
        <f>GLOBAL_DER_FEV_2023!J1541</f>
        <v>1797.32</v>
      </c>
      <c r="K1541" s="903" t="s">
        <v>1516</v>
      </c>
      <c r="L1541" s="1137"/>
      <c r="M1541" s="1138">
        <f t="shared" si="112"/>
        <v>0</v>
      </c>
      <c r="N1541" s="893">
        <f t="shared" si="116"/>
        <v>0</v>
      </c>
      <c r="O1541" s="905"/>
      <c r="Q1541" s="317" t="str">
        <f t="shared" si="113"/>
        <v/>
      </c>
      <c r="R1541" s="317" t="str">
        <f t="shared" si="114"/>
        <v/>
      </c>
      <c r="S1541" s="317" t="str">
        <f t="shared" si="115"/>
        <v/>
      </c>
      <c r="T1541" s="317" t="str">
        <f>GLOBAL_DER_FEV_2023!S1541</f>
        <v/>
      </c>
      <c r="W1541" s="582">
        <v>0</v>
      </c>
      <c r="X1541" s="580"/>
      <c r="Y1541" s="583">
        <f>IF(GLOBAL_DER_FEV_2023!W1541=0,0,IF(GLOBAL_DER_FEV_2023!W1541&gt;0,"c","b"))</f>
        <v>0</v>
      </c>
    </row>
    <row r="1542" spans="1:25" ht="13.5" hidden="1" thickBot="1" x14ac:dyDescent="0.25">
      <c r="A1542" s="317">
        <v>98304</v>
      </c>
      <c r="B1542" s="895">
        <v>98304</v>
      </c>
      <c r="C1542" s="896" t="s">
        <v>596</v>
      </c>
      <c r="D1542" s="906" t="s">
        <v>1467</v>
      </c>
      <c r="E1542" s="907">
        <f>GLOBAL_DER_FEV_2023!E1542</f>
        <v>0</v>
      </c>
      <c r="F1542" s="908">
        <f>GLOBAL_DER_FEV_2023!F1542</f>
        <v>0</v>
      </c>
      <c r="G1542" s="912">
        <f>GLOBAL_DER_FEV_2023!G1542</f>
        <v>0</v>
      </c>
      <c r="H1542" s="901">
        <f>GLOBAL_DER_FEV_2023!H1542</f>
        <v>4703.87</v>
      </c>
      <c r="I1542" s="901">
        <f>GLOBAL_DER_FEV_2023!I1542</f>
        <v>4703.87</v>
      </c>
      <c r="J1542" s="902">
        <f>GLOBAL_DER_FEV_2023!J1542</f>
        <v>5647.94</v>
      </c>
      <c r="K1542" s="903" t="s">
        <v>1516</v>
      </c>
      <c r="L1542" s="1137"/>
      <c r="M1542" s="1138">
        <f t="shared" si="112"/>
        <v>0</v>
      </c>
      <c r="N1542" s="893">
        <f t="shared" si="116"/>
        <v>0</v>
      </c>
      <c r="O1542" s="905"/>
      <c r="Q1542" s="317" t="str">
        <f t="shared" si="113"/>
        <v/>
      </c>
      <c r="R1542" s="317" t="str">
        <f t="shared" si="114"/>
        <v/>
      </c>
      <c r="S1542" s="317" t="str">
        <f t="shared" si="115"/>
        <v/>
      </c>
      <c r="T1542" s="317" t="str">
        <f>GLOBAL_DER_FEV_2023!S1542</f>
        <v/>
      </c>
      <c r="W1542" s="582">
        <v>0</v>
      </c>
      <c r="X1542" s="580"/>
      <c r="Y1542" s="583">
        <f>IF(GLOBAL_DER_FEV_2023!W1542=0,0,IF(GLOBAL_DER_FEV_2023!W1542&gt;0,"c","b"))</f>
        <v>0</v>
      </c>
    </row>
    <row r="1543" spans="1:25" ht="13.5" hidden="1" thickBot="1" x14ac:dyDescent="0.25">
      <c r="A1543" s="317">
        <v>98307</v>
      </c>
      <c r="B1543" s="895">
        <v>98307</v>
      </c>
      <c r="C1543" s="896" t="s">
        <v>596</v>
      </c>
      <c r="D1543" s="906" t="s">
        <v>1468</v>
      </c>
      <c r="E1543" s="907">
        <f>GLOBAL_DER_FEV_2023!E1543</f>
        <v>0</v>
      </c>
      <c r="F1543" s="908">
        <f>GLOBAL_DER_FEV_2023!F1543</f>
        <v>0</v>
      </c>
      <c r="G1543" s="912">
        <f>GLOBAL_DER_FEV_2023!G1543</f>
        <v>0</v>
      </c>
      <c r="H1543" s="901">
        <f>GLOBAL_DER_FEV_2023!H1543</f>
        <v>54.02</v>
      </c>
      <c r="I1543" s="901">
        <f>GLOBAL_DER_FEV_2023!I1543</f>
        <v>54.02</v>
      </c>
      <c r="J1543" s="902">
        <f>GLOBAL_DER_FEV_2023!J1543</f>
        <v>64.86</v>
      </c>
      <c r="K1543" s="903" t="s">
        <v>1516</v>
      </c>
      <c r="L1543" s="1137"/>
      <c r="M1543" s="1138">
        <f t="shared" si="112"/>
        <v>0</v>
      </c>
      <c r="N1543" s="893">
        <f t="shared" si="116"/>
        <v>0</v>
      </c>
      <c r="O1543" s="905"/>
      <c r="Q1543" s="317" t="str">
        <f t="shared" si="113"/>
        <v/>
      </c>
      <c r="R1543" s="317" t="str">
        <f t="shared" si="114"/>
        <v/>
      </c>
      <c r="S1543" s="317" t="str">
        <f t="shared" si="115"/>
        <v/>
      </c>
      <c r="T1543" s="317" t="str">
        <f>GLOBAL_DER_FEV_2023!S1543</f>
        <v/>
      </c>
      <c r="W1543" s="582">
        <v>0</v>
      </c>
      <c r="X1543" s="580"/>
      <c r="Y1543" s="583">
        <f>IF(GLOBAL_DER_FEV_2023!W1543=0,0,IF(GLOBAL_DER_FEV_2023!W1543&gt;0,"c","b"))</f>
        <v>0</v>
      </c>
    </row>
    <row r="1544" spans="1:25" ht="13.5" hidden="1" thickBot="1" x14ac:dyDescent="0.25">
      <c r="A1544" s="317">
        <v>98308</v>
      </c>
      <c r="B1544" s="895">
        <v>98308</v>
      </c>
      <c r="C1544" s="896" t="s">
        <v>596</v>
      </c>
      <c r="D1544" s="906" t="s">
        <v>1469</v>
      </c>
      <c r="E1544" s="907">
        <f>GLOBAL_DER_FEV_2023!E1544</f>
        <v>0</v>
      </c>
      <c r="F1544" s="908">
        <f>GLOBAL_DER_FEV_2023!F1544</f>
        <v>0</v>
      </c>
      <c r="G1544" s="912">
        <f>GLOBAL_DER_FEV_2023!G1544</f>
        <v>0</v>
      </c>
      <c r="H1544" s="901">
        <f>GLOBAL_DER_FEV_2023!H1544</f>
        <v>35.97</v>
      </c>
      <c r="I1544" s="901">
        <f>GLOBAL_DER_FEV_2023!I1544</f>
        <v>35.97</v>
      </c>
      <c r="J1544" s="902">
        <f>GLOBAL_DER_FEV_2023!J1544</f>
        <v>43.19</v>
      </c>
      <c r="K1544" s="903" t="s">
        <v>1516</v>
      </c>
      <c r="L1544" s="1137"/>
      <c r="M1544" s="1138">
        <f t="shared" si="112"/>
        <v>0</v>
      </c>
      <c r="N1544" s="893">
        <f t="shared" si="116"/>
        <v>0</v>
      </c>
      <c r="O1544" s="905"/>
      <c r="Q1544" s="317" t="str">
        <f t="shared" si="113"/>
        <v/>
      </c>
      <c r="R1544" s="317" t="str">
        <f t="shared" si="114"/>
        <v/>
      </c>
      <c r="S1544" s="317" t="str">
        <f t="shared" si="115"/>
        <v/>
      </c>
      <c r="T1544" s="317" t="str">
        <f>GLOBAL_DER_FEV_2023!S1544</f>
        <v/>
      </c>
      <c r="W1544" s="582">
        <v>0</v>
      </c>
      <c r="X1544" s="580"/>
      <c r="Y1544" s="583">
        <f>IF(GLOBAL_DER_FEV_2023!W1544=0,0,IF(GLOBAL_DER_FEV_2023!W1544&gt;0,"c","b"))</f>
        <v>0</v>
      </c>
    </row>
    <row r="1545" spans="1:25" ht="23.25" hidden="1" thickBot="1" x14ac:dyDescent="0.25">
      <c r="A1545" s="317">
        <v>98593</v>
      </c>
      <c r="B1545" s="895">
        <v>98593</v>
      </c>
      <c r="C1545" s="896" t="s">
        <v>596</v>
      </c>
      <c r="D1545" s="906" t="s">
        <v>1470</v>
      </c>
      <c r="E1545" s="907">
        <f>GLOBAL_DER_FEV_2023!E1545</f>
        <v>0</v>
      </c>
      <c r="F1545" s="908">
        <f>GLOBAL_DER_FEV_2023!F1545</f>
        <v>0</v>
      </c>
      <c r="G1545" s="912">
        <f>GLOBAL_DER_FEV_2023!G1545</f>
        <v>0</v>
      </c>
      <c r="H1545" s="901">
        <f>GLOBAL_DER_FEV_2023!H1545</f>
        <v>3266.78</v>
      </c>
      <c r="I1545" s="901">
        <f>GLOBAL_DER_FEV_2023!I1545</f>
        <v>3266.78</v>
      </c>
      <c r="J1545" s="902">
        <f>GLOBAL_DER_FEV_2023!J1545</f>
        <v>3922.42</v>
      </c>
      <c r="K1545" s="903" t="s">
        <v>1516</v>
      </c>
      <c r="L1545" s="1137"/>
      <c r="M1545" s="1138">
        <f t="shared" si="112"/>
        <v>0</v>
      </c>
      <c r="N1545" s="893">
        <f t="shared" si="116"/>
        <v>0</v>
      </c>
      <c r="O1545" s="905"/>
      <c r="Q1545" s="317" t="str">
        <f t="shared" si="113"/>
        <v/>
      </c>
      <c r="R1545" s="317" t="str">
        <f t="shared" si="114"/>
        <v/>
      </c>
      <c r="S1545" s="317" t="str">
        <f t="shared" si="115"/>
        <v/>
      </c>
      <c r="T1545" s="317" t="str">
        <f>GLOBAL_DER_FEV_2023!S1545</f>
        <v/>
      </c>
      <c r="W1545" s="582">
        <v>0</v>
      </c>
      <c r="X1545" s="580"/>
      <c r="Y1545" s="583">
        <f>IF(GLOBAL_DER_FEV_2023!W1545=0,0,IF(GLOBAL_DER_FEV_2023!W1545&gt;0,"c","b"))</f>
        <v>0</v>
      </c>
    </row>
    <row r="1546" spans="1:25" ht="23.25" hidden="1" thickBot="1" x14ac:dyDescent="0.25">
      <c r="A1546" s="317">
        <v>98400</v>
      </c>
      <c r="B1546" s="895">
        <v>98400</v>
      </c>
      <c r="C1546" s="896" t="s">
        <v>596</v>
      </c>
      <c r="D1546" s="906" t="s">
        <v>1471</v>
      </c>
      <c r="E1546" s="907">
        <f>GLOBAL_DER_FEV_2023!E1546</f>
        <v>0</v>
      </c>
      <c r="F1546" s="908">
        <f>GLOBAL_DER_FEV_2023!F1546</f>
        <v>0</v>
      </c>
      <c r="G1546" s="912">
        <f>GLOBAL_DER_FEV_2023!G1546</f>
        <v>0</v>
      </c>
      <c r="H1546" s="901">
        <f>GLOBAL_DER_FEV_2023!H1546</f>
        <v>16.71</v>
      </c>
      <c r="I1546" s="901">
        <f>GLOBAL_DER_FEV_2023!I1546</f>
        <v>16.71</v>
      </c>
      <c r="J1546" s="902">
        <f>GLOBAL_DER_FEV_2023!J1546</f>
        <v>20.059999999999999</v>
      </c>
      <c r="K1546" s="903" t="s">
        <v>62</v>
      </c>
      <c r="L1546" s="1137"/>
      <c r="M1546" s="1138">
        <f t="shared" si="112"/>
        <v>0</v>
      </c>
      <c r="N1546" s="893">
        <f t="shared" si="116"/>
        <v>0</v>
      </c>
      <c r="O1546" s="905"/>
      <c r="Q1546" s="317" t="str">
        <f t="shared" si="113"/>
        <v/>
      </c>
      <c r="R1546" s="317" t="str">
        <f t="shared" si="114"/>
        <v/>
      </c>
      <c r="S1546" s="317" t="str">
        <f t="shared" si="115"/>
        <v/>
      </c>
      <c r="T1546" s="317" t="str">
        <f>GLOBAL_DER_FEV_2023!S1546</f>
        <v/>
      </c>
      <c r="W1546" s="582">
        <v>0</v>
      </c>
      <c r="X1546" s="580"/>
      <c r="Y1546" s="583">
        <f>IF(GLOBAL_DER_FEV_2023!W1546=0,0,IF(GLOBAL_DER_FEV_2023!W1546&gt;0,"c","b"))</f>
        <v>0</v>
      </c>
    </row>
    <row r="1547" spans="1:25" ht="23.25" hidden="1" thickBot="1" x14ac:dyDescent="0.25">
      <c r="A1547" s="317">
        <v>98401</v>
      </c>
      <c r="B1547" s="895">
        <v>98401</v>
      </c>
      <c r="C1547" s="896" t="s">
        <v>596</v>
      </c>
      <c r="D1547" s="906" t="s">
        <v>1472</v>
      </c>
      <c r="E1547" s="907">
        <f>GLOBAL_DER_FEV_2023!E1547</f>
        <v>0</v>
      </c>
      <c r="F1547" s="908">
        <f>GLOBAL_DER_FEV_2023!F1547</f>
        <v>0</v>
      </c>
      <c r="G1547" s="912">
        <f>GLOBAL_DER_FEV_2023!G1547</f>
        <v>0</v>
      </c>
      <c r="H1547" s="901">
        <f>GLOBAL_DER_FEV_2023!H1547</f>
        <v>25.99</v>
      </c>
      <c r="I1547" s="901">
        <f>GLOBAL_DER_FEV_2023!I1547</f>
        <v>25.99</v>
      </c>
      <c r="J1547" s="902">
        <f>GLOBAL_DER_FEV_2023!J1547</f>
        <v>31.21</v>
      </c>
      <c r="K1547" s="903" t="s">
        <v>62</v>
      </c>
      <c r="L1547" s="1137"/>
      <c r="M1547" s="1138">
        <f t="shared" si="112"/>
        <v>0</v>
      </c>
      <c r="N1547" s="893">
        <f t="shared" si="116"/>
        <v>0</v>
      </c>
      <c r="O1547" s="905"/>
      <c r="Q1547" s="317" t="str">
        <f t="shared" si="113"/>
        <v/>
      </c>
      <c r="R1547" s="317" t="str">
        <f t="shared" si="114"/>
        <v/>
      </c>
      <c r="S1547" s="317" t="str">
        <f t="shared" si="115"/>
        <v/>
      </c>
      <c r="T1547" s="317" t="str">
        <f>GLOBAL_DER_FEV_2023!S1547</f>
        <v/>
      </c>
      <c r="W1547" s="582">
        <v>0</v>
      </c>
      <c r="X1547" s="580"/>
      <c r="Y1547" s="583">
        <f>IF(GLOBAL_DER_FEV_2023!W1547=0,0,IF(GLOBAL_DER_FEV_2023!W1547&gt;0,"c","b"))</f>
        <v>0</v>
      </c>
    </row>
    <row r="1548" spans="1:25" ht="23.25" hidden="1" thickBot="1" x14ac:dyDescent="0.25">
      <c r="A1548" s="317">
        <v>98402</v>
      </c>
      <c r="B1548" s="895">
        <v>98402</v>
      </c>
      <c r="C1548" s="896" t="s">
        <v>596</v>
      </c>
      <c r="D1548" s="906" t="s">
        <v>1473</v>
      </c>
      <c r="E1548" s="907">
        <f>GLOBAL_DER_FEV_2023!E1548</f>
        <v>0</v>
      </c>
      <c r="F1548" s="908">
        <f>GLOBAL_DER_FEV_2023!F1548</f>
        <v>0</v>
      </c>
      <c r="G1548" s="912">
        <f>GLOBAL_DER_FEV_2023!G1548</f>
        <v>0</v>
      </c>
      <c r="H1548" s="901">
        <f>GLOBAL_DER_FEV_2023!H1548</f>
        <v>30.27</v>
      </c>
      <c r="I1548" s="901">
        <f>GLOBAL_DER_FEV_2023!I1548</f>
        <v>30.27</v>
      </c>
      <c r="J1548" s="902">
        <f>GLOBAL_DER_FEV_2023!J1548</f>
        <v>36.35</v>
      </c>
      <c r="K1548" s="903" t="s">
        <v>62</v>
      </c>
      <c r="L1548" s="1137"/>
      <c r="M1548" s="1138">
        <f t="shared" si="112"/>
        <v>0</v>
      </c>
      <c r="N1548" s="893">
        <f t="shared" si="116"/>
        <v>0</v>
      </c>
      <c r="O1548" s="905"/>
      <c r="Q1548" s="317" t="str">
        <f t="shared" si="113"/>
        <v/>
      </c>
      <c r="R1548" s="317" t="str">
        <f t="shared" si="114"/>
        <v/>
      </c>
      <c r="S1548" s="317" t="str">
        <f t="shared" si="115"/>
        <v/>
      </c>
      <c r="T1548" s="317" t="str">
        <f>GLOBAL_DER_FEV_2023!S1548</f>
        <v/>
      </c>
      <c r="W1548" s="582">
        <v>0</v>
      </c>
      <c r="X1548" s="580"/>
      <c r="Y1548" s="583">
        <f>IF(GLOBAL_DER_FEV_2023!W1548=0,0,IF(GLOBAL_DER_FEV_2023!W1548&gt;0,"c","b"))</f>
        <v>0</v>
      </c>
    </row>
    <row r="1549" spans="1:25" ht="23.25" hidden="1" thickBot="1" x14ac:dyDescent="0.25">
      <c r="A1549" s="317">
        <v>98267</v>
      </c>
      <c r="B1549" s="895">
        <v>98267</v>
      </c>
      <c r="C1549" s="896" t="s">
        <v>596</v>
      </c>
      <c r="D1549" s="906" t="s">
        <v>1474</v>
      </c>
      <c r="E1549" s="907">
        <f>GLOBAL_DER_FEV_2023!E1549</f>
        <v>0</v>
      </c>
      <c r="F1549" s="908">
        <f>GLOBAL_DER_FEV_2023!F1549</f>
        <v>0</v>
      </c>
      <c r="G1549" s="912">
        <f>GLOBAL_DER_FEV_2023!G1549</f>
        <v>0</v>
      </c>
      <c r="H1549" s="901">
        <f>GLOBAL_DER_FEV_2023!H1549</f>
        <v>13.69</v>
      </c>
      <c r="I1549" s="901">
        <f>GLOBAL_DER_FEV_2023!I1549</f>
        <v>13.69</v>
      </c>
      <c r="J1549" s="902">
        <f>GLOBAL_DER_FEV_2023!J1549</f>
        <v>16.440000000000001</v>
      </c>
      <c r="K1549" s="903" t="s">
        <v>62</v>
      </c>
      <c r="L1549" s="1137"/>
      <c r="M1549" s="1138">
        <f t="shared" si="112"/>
        <v>0</v>
      </c>
      <c r="N1549" s="893">
        <f t="shared" si="116"/>
        <v>0</v>
      </c>
      <c r="O1549" s="905"/>
      <c r="Q1549" s="317" t="str">
        <f t="shared" si="113"/>
        <v/>
      </c>
      <c r="R1549" s="317" t="str">
        <f t="shared" si="114"/>
        <v/>
      </c>
      <c r="S1549" s="317" t="str">
        <f t="shared" si="115"/>
        <v/>
      </c>
      <c r="T1549" s="317" t="str">
        <f>GLOBAL_DER_FEV_2023!S1549</f>
        <v/>
      </c>
      <c r="W1549" s="582">
        <v>0</v>
      </c>
      <c r="X1549" s="580"/>
      <c r="Y1549" s="583">
        <f>IF(GLOBAL_DER_FEV_2023!W1549=0,0,IF(GLOBAL_DER_FEV_2023!W1549&gt;0,"c","b"))</f>
        <v>0</v>
      </c>
    </row>
    <row r="1550" spans="1:25" ht="23.25" hidden="1" thickBot="1" x14ac:dyDescent="0.25">
      <c r="A1550" s="317">
        <v>98268</v>
      </c>
      <c r="B1550" s="895">
        <v>98268</v>
      </c>
      <c r="C1550" s="896" t="s">
        <v>596</v>
      </c>
      <c r="D1550" s="906" t="s">
        <v>1475</v>
      </c>
      <c r="E1550" s="907">
        <f>GLOBAL_DER_FEV_2023!E1550</f>
        <v>0</v>
      </c>
      <c r="F1550" s="908">
        <f>GLOBAL_DER_FEV_2023!F1550</f>
        <v>0</v>
      </c>
      <c r="G1550" s="912">
        <f>GLOBAL_DER_FEV_2023!G1550</f>
        <v>0</v>
      </c>
      <c r="H1550" s="901">
        <f>GLOBAL_DER_FEV_2023!H1550</f>
        <v>21.8</v>
      </c>
      <c r="I1550" s="901">
        <f>GLOBAL_DER_FEV_2023!I1550</f>
        <v>21.8</v>
      </c>
      <c r="J1550" s="902">
        <f>GLOBAL_DER_FEV_2023!J1550</f>
        <v>26.18</v>
      </c>
      <c r="K1550" s="903" t="s">
        <v>62</v>
      </c>
      <c r="L1550" s="1137"/>
      <c r="M1550" s="1138">
        <f t="shared" si="112"/>
        <v>0</v>
      </c>
      <c r="N1550" s="893">
        <f t="shared" si="116"/>
        <v>0</v>
      </c>
      <c r="O1550" s="905"/>
      <c r="Q1550" s="317" t="str">
        <f t="shared" si="113"/>
        <v/>
      </c>
      <c r="R1550" s="317" t="str">
        <f t="shared" si="114"/>
        <v/>
      </c>
      <c r="S1550" s="317" t="str">
        <f t="shared" si="115"/>
        <v/>
      </c>
      <c r="T1550" s="317" t="str">
        <f>GLOBAL_DER_FEV_2023!S1550</f>
        <v/>
      </c>
      <c r="W1550" s="582">
        <v>0</v>
      </c>
      <c r="X1550" s="580"/>
      <c r="Y1550" s="583">
        <f>IF(GLOBAL_DER_FEV_2023!W1550=0,0,IF(GLOBAL_DER_FEV_2023!W1550&gt;0,"c","b"))</f>
        <v>0</v>
      </c>
    </row>
    <row r="1551" spans="1:25" ht="23.25" hidden="1" thickBot="1" x14ac:dyDescent="0.25">
      <c r="A1551" s="317">
        <v>98269</v>
      </c>
      <c r="B1551" s="895">
        <v>98269</v>
      </c>
      <c r="C1551" s="896" t="s">
        <v>596</v>
      </c>
      <c r="D1551" s="906" t="s">
        <v>1476</v>
      </c>
      <c r="E1551" s="907">
        <f>GLOBAL_DER_FEV_2023!E1551</f>
        <v>0</v>
      </c>
      <c r="F1551" s="908">
        <f>GLOBAL_DER_FEV_2023!F1551</f>
        <v>0</v>
      </c>
      <c r="G1551" s="912">
        <f>GLOBAL_DER_FEV_2023!G1551</f>
        <v>0</v>
      </c>
      <c r="H1551" s="901">
        <f>GLOBAL_DER_FEV_2023!H1551</f>
        <v>29.62</v>
      </c>
      <c r="I1551" s="901">
        <f>GLOBAL_DER_FEV_2023!I1551</f>
        <v>29.62</v>
      </c>
      <c r="J1551" s="902">
        <f>GLOBAL_DER_FEV_2023!J1551</f>
        <v>35.56</v>
      </c>
      <c r="K1551" s="903" t="s">
        <v>62</v>
      </c>
      <c r="L1551" s="1137"/>
      <c r="M1551" s="1138">
        <f t="shared" si="112"/>
        <v>0</v>
      </c>
      <c r="N1551" s="893">
        <f t="shared" si="116"/>
        <v>0</v>
      </c>
      <c r="O1551" s="905"/>
      <c r="Q1551" s="317" t="str">
        <f t="shared" si="113"/>
        <v/>
      </c>
      <c r="R1551" s="317" t="str">
        <f t="shared" si="114"/>
        <v/>
      </c>
      <c r="S1551" s="317" t="str">
        <f t="shared" si="115"/>
        <v/>
      </c>
      <c r="T1551" s="317" t="str">
        <f>GLOBAL_DER_FEV_2023!S1551</f>
        <v/>
      </c>
      <c r="W1551" s="582">
        <v>0</v>
      </c>
      <c r="X1551" s="580"/>
      <c r="Y1551" s="583">
        <f>IF(GLOBAL_DER_FEV_2023!W1551=0,0,IF(GLOBAL_DER_FEV_2023!W1551&gt;0,"c","b"))</f>
        <v>0</v>
      </c>
    </row>
    <row r="1552" spans="1:25" ht="23.25" hidden="1" thickBot="1" x14ac:dyDescent="0.25">
      <c r="A1552" s="317">
        <v>98270</v>
      </c>
      <c r="B1552" s="895">
        <v>98270</v>
      </c>
      <c r="C1552" s="896" t="s">
        <v>596</v>
      </c>
      <c r="D1552" s="906" t="s">
        <v>1477</v>
      </c>
      <c r="E1552" s="907">
        <f>GLOBAL_DER_FEV_2023!E1552</f>
        <v>0</v>
      </c>
      <c r="F1552" s="908">
        <f>GLOBAL_DER_FEV_2023!F1552</f>
        <v>0</v>
      </c>
      <c r="G1552" s="912">
        <f>GLOBAL_DER_FEV_2023!G1552</f>
        <v>0</v>
      </c>
      <c r="H1552" s="901">
        <f>GLOBAL_DER_FEV_2023!H1552</f>
        <v>44.42</v>
      </c>
      <c r="I1552" s="901">
        <f>GLOBAL_DER_FEV_2023!I1552</f>
        <v>44.42</v>
      </c>
      <c r="J1552" s="902">
        <f>GLOBAL_DER_FEV_2023!J1552</f>
        <v>53.34</v>
      </c>
      <c r="K1552" s="903" t="s">
        <v>62</v>
      </c>
      <c r="L1552" s="1137"/>
      <c r="M1552" s="1138">
        <f t="shared" si="112"/>
        <v>0</v>
      </c>
      <c r="N1552" s="893">
        <f t="shared" si="116"/>
        <v>0</v>
      </c>
      <c r="O1552" s="905"/>
      <c r="Q1552" s="317" t="str">
        <f t="shared" si="113"/>
        <v/>
      </c>
      <c r="R1552" s="317" t="str">
        <f t="shared" si="114"/>
        <v/>
      </c>
      <c r="S1552" s="317" t="str">
        <f t="shared" si="115"/>
        <v/>
      </c>
      <c r="T1552" s="317" t="str">
        <f>GLOBAL_DER_FEV_2023!S1552</f>
        <v/>
      </c>
      <c r="W1552" s="582">
        <v>0</v>
      </c>
      <c r="X1552" s="580"/>
      <c r="Y1552" s="583">
        <f>IF(GLOBAL_DER_FEV_2023!W1552=0,0,IF(GLOBAL_DER_FEV_2023!W1552&gt;0,"c","b"))</f>
        <v>0</v>
      </c>
    </row>
    <row r="1553" spans="1:25" ht="23.25" hidden="1" thickBot="1" x14ac:dyDescent="0.25">
      <c r="A1553" s="317">
        <v>98271</v>
      </c>
      <c r="B1553" s="895">
        <v>98271</v>
      </c>
      <c r="C1553" s="896" t="s">
        <v>596</v>
      </c>
      <c r="D1553" s="906" t="s">
        <v>1478</v>
      </c>
      <c r="E1553" s="907">
        <f>GLOBAL_DER_FEV_2023!E1553</f>
        <v>0</v>
      </c>
      <c r="F1553" s="908">
        <f>GLOBAL_DER_FEV_2023!F1553</f>
        <v>0</v>
      </c>
      <c r="G1553" s="912">
        <f>GLOBAL_DER_FEV_2023!G1553</f>
        <v>0</v>
      </c>
      <c r="H1553" s="901">
        <f>GLOBAL_DER_FEV_2023!H1553</f>
        <v>62.23</v>
      </c>
      <c r="I1553" s="901">
        <f>GLOBAL_DER_FEV_2023!I1553</f>
        <v>62.23</v>
      </c>
      <c r="J1553" s="902">
        <f>GLOBAL_DER_FEV_2023!J1553</f>
        <v>74.72</v>
      </c>
      <c r="K1553" s="903" t="s">
        <v>62</v>
      </c>
      <c r="L1553" s="1137"/>
      <c r="M1553" s="1138">
        <f t="shared" si="112"/>
        <v>0</v>
      </c>
      <c r="N1553" s="893">
        <f t="shared" si="116"/>
        <v>0</v>
      </c>
      <c r="O1553" s="905"/>
      <c r="Q1553" s="317" t="str">
        <f t="shared" si="113"/>
        <v/>
      </c>
      <c r="R1553" s="317" t="str">
        <f t="shared" si="114"/>
        <v/>
      </c>
      <c r="S1553" s="317" t="str">
        <f t="shared" si="115"/>
        <v/>
      </c>
      <c r="T1553" s="317" t="str">
        <f>GLOBAL_DER_FEV_2023!S1553</f>
        <v/>
      </c>
      <c r="W1553" s="582">
        <v>0</v>
      </c>
      <c r="X1553" s="580"/>
      <c r="Y1553" s="583">
        <f>IF(GLOBAL_DER_FEV_2023!W1553=0,0,IF(GLOBAL_DER_FEV_2023!W1553&gt;0,"c","b"))</f>
        <v>0</v>
      </c>
    </row>
    <row r="1554" spans="1:25" ht="23.25" hidden="1" thickBot="1" x14ac:dyDescent="0.25">
      <c r="A1554" s="317">
        <v>98272</v>
      </c>
      <c r="B1554" s="895">
        <v>98272</v>
      </c>
      <c r="C1554" s="896" t="s">
        <v>596</v>
      </c>
      <c r="D1554" s="906" t="s">
        <v>1479</v>
      </c>
      <c r="E1554" s="907">
        <f>GLOBAL_DER_FEV_2023!E1554</f>
        <v>0</v>
      </c>
      <c r="F1554" s="908">
        <f>GLOBAL_DER_FEV_2023!F1554</f>
        <v>0</v>
      </c>
      <c r="G1554" s="912">
        <f>GLOBAL_DER_FEV_2023!G1554</f>
        <v>0</v>
      </c>
      <c r="H1554" s="901">
        <f>GLOBAL_DER_FEV_2023!H1554</f>
        <v>142.05000000000001</v>
      </c>
      <c r="I1554" s="901">
        <f>GLOBAL_DER_FEV_2023!I1554</f>
        <v>142.05000000000001</v>
      </c>
      <c r="J1554" s="902">
        <f>GLOBAL_DER_FEV_2023!J1554</f>
        <v>170.56</v>
      </c>
      <c r="K1554" s="903" t="s">
        <v>62</v>
      </c>
      <c r="L1554" s="1137"/>
      <c r="M1554" s="1138">
        <f t="shared" ref="M1554:M1617" si="117">IF(L1554=0,0,ROUND(J1554,2))</f>
        <v>0</v>
      </c>
      <c r="N1554" s="893">
        <f t="shared" si="116"/>
        <v>0</v>
      </c>
      <c r="O1554" s="905"/>
      <c r="Q1554" s="317" t="str">
        <f t="shared" si="113"/>
        <v/>
      </c>
      <c r="R1554" s="317" t="str">
        <f t="shared" si="114"/>
        <v/>
      </c>
      <c r="S1554" s="317" t="str">
        <f t="shared" si="115"/>
        <v/>
      </c>
      <c r="T1554" s="317" t="str">
        <f>GLOBAL_DER_FEV_2023!S1554</f>
        <v/>
      </c>
      <c r="W1554" s="582">
        <v>0</v>
      </c>
      <c r="X1554" s="580"/>
      <c r="Y1554" s="583">
        <f>IF(GLOBAL_DER_FEV_2023!W1554=0,0,IF(GLOBAL_DER_FEV_2023!W1554&gt;0,"c","b"))</f>
        <v>0</v>
      </c>
    </row>
    <row r="1555" spans="1:25" ht="23.25" hidden="1" thickBot="1" x14ac:dyDescent="0.25">
      <c r="A1555" s="317">
        <v>98276</v>
      </c>
      <c r="B1555" s="895">
        <v>98276</v>
      </c>
      <c r="C1555" s="896" t="s">
        <v>596</v>
      </c>
      <c r="D1555" s="906" t="s">
        <v>1480</v>
      </c>
      <c r="E1555" s="907">
        <f>GLOBAL_DER_FEV_2023!E1555</f>
        <v>0</v>
      </c>
      <c r="F1555" s="908">
        <f>GLOBAL_DER_FEV_2023!F1555</f>
        <v>0</v>
      </c>
      <c r="G1555" s="912">
        <f>GLOBAL_DER_FEV_2023!G1555</f>
        <v>0</v>
      </c>
      <c r="H1555" s="901">
        <f>GLOBAL_DER_FEV_2023!H1555</f>
        <v>10.08</v>
      </c>
      <c r="I1555" s="901">
        <f>GLOBAL_DER_FEV_2023!I1555</f>
        <v>10.08</v>
      </c>
      <c r="J1555" s="902">
        <f>GLOBAL_DER_FEV_2023!J1555</f>
        <v>12.1</v>
      </c>
      <c r="K1555" s="903" t="s">
        <v>62</v>
      </c>
      <c r="L1555" s="1137"/>
      <c r="M1555" s="1138">
        <f t="shared" si="117"/>
        <v>0</v>
      </c>
      <c r="N1555" s="893">
        <f t="shared" si="116"/>
        <v>0</v>
      </c>
      <c r="O1555" s="905"/>
      <c r="Q1555" s="317" t="str">
        <f t="shared" si="113"/>
        <v/>
      </c>
      <c r="R1555" s="317" t="str">
        <f t="shared" si="114"/>
        <v/>
      </c>
      <c r="S1555" s="317" t="str">
        <f t="shared" si="115"/>
        <v/>
      </c>
      <c r="T1555" s="317" t="str">
        <f>GLOBAL_DER_FEV_2023!S1555</f>
        <v/>
      </c>
      <c r="W1555" s="582">
        <v>0</v>
      </c>
      <c r="X1555" s="580"/>
      <c r="Y1555" s="583">
        <f>IF(GLOBAL_DER_FEV_2023!W1555=0,0,IF(GLOBAL_DER_FEV_2023!W1555&gt;0,"c","b"))</f>
        <v>0</v>
      </c>
    </row>
    <row r="1556" spans="1:25" ht="23.25" hidden="1" thickBot="1" x14ac:dyDescent="0.25">
      <c r="A1556" s="317">
        <v>98277</v>
      </c>
      <c r="B1556" s="895">
        <v>98277</v>
      </c>
      <c r="C1556" s="896" t="s">
        <v>596</v>
      </c>
      <c r="D1556" s="906" t="s">
        <v>1481</v>
      </c>
      <c r="E1556" s="907">
        <f>GLOBAL_DER_FEV_2023!E1556</f>
        <v>0</v>
      </c>
      <c r="F1556" s="908">
        <f>GLOBAL_DER_FEV_2023!F1556</f>
        <v>0</v>
      </c>
      <c r="G1556" s="912">
        <f>GLOBAL_DER_FEV_2023!G1556</f>
        <v>0</v>
      </c>
      <c r="H1556" s="901">
        <f>GLOBAL_DER_FEV_2023!H1556</f>
        <v>18.18</v>
      </c>
      <c r="I1556" s="901">
        <f>GLOBAL_DER_FEV_2023!I1556</f>
        <v>18.18</v>
      </c>
      <c r="J1556" s="902">
        <f>GLOBAL_DER_FEV_2023!J1556</f>
        <v>21.83</v>
      </c>
      <c r="K1556" s="903" t="s">
        <v>62</v>
      </c>
      <c r="L1556" s="1137"/>
      <c r="M1556" s="1138">
        <f t="shared" si="117"/>
        <v>0</v>
      </c>
      <c r="N1556" s="893">
        <f t="shared" si="116"/>
        <v>0</v>
      </c>
      <c r="O1556" s="905"/>
      <c r="Q1556" s="317" t="str">
        <f t="shared" si="113"/>
        <v/>
      </c>
      <c r="R1556" s="317" t="str">
        <f t="shared" si="114"/>
        <v/>
      </c>
      <c r="S1556" s="317" t="str">
        <f t="shared" si="115"/>
        <v/>
      </c>
      <c r="T1556" s="317" t="str">
        <f>GLOBAL_DER_FEV_2023!S1556</f>
        <v/>
      </c>
      <c r="W1556" s="582">
        <v>0</v>
      </c>
      <c r="X1556" s="580"/>
      <c r="Y1556" s="583">
        <f>IF(GLOBAL_DER_FEV_2023!W1556=0,0,IF(GLOBAL_DER_FEV_2023!W1556&gt;0,"c","b"))</f>
        <v>0</v>
      </c>
    </row>
    <row r="1557" spans="1:25" ht="23.25" hidden="1" thickBot="1" x14ac:dyDescent="0.25">
      <c r="A1557" s="317">
        <v>98278</v>
      </c>
      <c r="B1557" s="895">
        <v>98278</v>
      </c>
      <c r="C1557" s="896" t="s">
        <v>596</v>
      </c>
      <c r="D1557" s="906" t="s">
        <v>1482</v>
      </c>
      <c r="E1557" s="907">
        <f>GLOBAL_DER_FEV_2023!E1557</f>
        <v>0</v>
      </c>
      <c r="F1557" s="908">
        <f>GLOBAL_DER_FEV_2023!F1557</f>
        <v>0</v>
      </c>
      <c r="G1557" s="912">
        <f>GLOBAL_DER_FEV_2023!G1557</f>
        <v>0</v>
      </c>
      <c r="H1557" s="901">
        <f>GLOBAL_DER_FEV_2023!H1557</f>
        <v>26.01</v>
      </c>
      <c r="I1557" s="901">
        <f>GLOBAL_DER_FEV_2023!I1557</f>
        <v>26.01</v>
      </c>
      <c r="J1557" s="902">
        <f>GLOBAL_DER_FEV_2023!J1557</f>
        <v>31.23</v>
      </c>
      <c r="K1557" s="903" t="s">
        <v>62</v>
      </c>
      <c r="L1557" s="1137"/>
      <c r="M1557" s="1138">
        <f t="shared" si="117"/>
        <v>0</v>
      </c>
      <c r="N1557" s="893">
        <f t="shared" si="116"/>
        <v>0</v>
      </c>
      <c r="O1557" s="905"/>
      <c r="Q1557" s="317" t="str">
        <f t="shared" si="113"/>
        <v/>
      </c>
      <c r="R1557" s="317" t="str">
        <f t="shared" si="114"/>
        <v/>
      </c>
      <c r="S1557" s="317" t="str">
        <f t="shared" si="115"/>
        <v/>
      </c>
      <c r="T1557" s="317" t="str">
        <f>GLOBAL_DER_FEV_2023!S1557</f>
        <v/>
      </c>
      <c r="W1557" s="582">
        <v>0</v>
      </c>
      <c r="X1557" s="580"/>
      <c r="Y1557" s="583">
        <f>IF(GLOBAL_DER_FEV_2023!W1557=0,0,IF(GLOBAL_DER_FEV_2023!W1557&gt;0,"c","b"))</f>
        <v>0</v>
      </c>
    </row>
    <row r="1558" spans="1:25" ht="23.25" hidden="1" thickBot="1" x14ac:dyDescent="0.25">
      <c r="A1558" s="317">
        <v>98279</v>
      </c>
      <c r="B1558" s="895">
        <v>98279</v>
      </c>
      <c r="C1558" s="896" t="s">
        <v>596</v>
      </c>
      <c r="D1558" s="906" t="s">
        <v>1483</v>
      </c>
      <c r="E1558" s="907">
        <f>GLOBAL_DER_FEV_2023!E1558</f>
        <v>0</v>
      </c>
      <c r="F1558" s="908">
        <f>GLOBAL_DER_FEV_2023!F1558</f>
        <v>0</v>
      </c>
      <c r="G1558" s="912">
        <f>GLOBAL_DER_FEV_2023!G1558</f>
        <v>0</v>
      </c>
      <c r="H1558" s="901">
        <f>GLOBAL_DER_FEV_2023!H1558</f>
        <v>40.799999999999997</v>
      </c>
      <c r="I1558" s="901">
        <f>GLOBAL_DER_FEV_2023!I1558</f>
        <v>40.799999999999997</v>
      </c>
      <c r="J1558" s="902">
        <f>GLOBAL_DER_FEV_2023!J1558</f>
        <v>48.99</v>
      </c>
      <c r="K1558" s="903" t="s">
        <v>62</v>
      </c>
      <c r="L1558" s="1137"/>
      <c r="M1558" s="1138">
        <f t="shared" si="117"/>
        <v>0</v>
      </c>
      <c r="N1558" s="893">
        <f t="shared" si="116"/>
        <v>0</v>
      </c>
      <c r="O1558" s="905"/>
      <c r="Q1558" s="317" t="str">
        <f t="shared" si="113"/>
        <v/>
      </c>
      <c r="R1558" s="317" t="str">
        <f t="shared" si="114"/>
        <v/>
      </c>
      <c r="S1558" s="317" t="str">
        <f t="shared" si="115"/>
        <v/>
      </c>
      <c r="T1558" s="317" t="str">
        <f>GLOBAL_DER_FEV_2023!S1558</f>
        <v/>
      </c>
      <c r="W1558" s="582">
        <v>0</v>
      </c>
      <c r="X1558" s="580"/>
      <c r="Y1558" s="583">
        <f>IF(GLOBAL_DER_FEV_2023!W1558=0,0,IF(GLOBAL_DER_FEV_2023!W1558&gt;0,"c","b"))</f>
        <v>0</v>
      </c>
    </row>
    <row r="1559" spans="1:25" ht="23.25" hidden="1" thickBot="1" x14ac:dyDescent="0.25">
      <c r="A1559" s="317">
        <v>98286</v>
      </c>
      <c r="B1559" s="895">
        <v>98286</v>
      </c>
      <c r="C1559" s="896" t="s">
        <v>596</v>
      </c>
      <c r="D1559" s="906" t="s">
        <v>1484</v>
      </c>
      <c r="E1559" s="907">
        <f>GLOBAL_DER_FEV_2023!E1559</f>
        <v>0</v>
      </c>
      <c r="F1559" s="908">
        <f>GLOBAL_DER_FEV_2023!F1559</f>
        <v>0</v>
      </c>
      <c r="G1559" s="912">
        <f>GLOBAL_DER_FEV_2023!G1559</f>
        <v>0</v>
      </c>
      <c r="H1559" s="901">
        <f>GLOBAL_DER_FEV_2023!H1559</f>
        <v>18.350000000000001</v>
      </c>
      <c r="I1559" s="901">
        <f>GLOBAL_DER_FEV_2023!I1559</f>
        <v>18.350000000000001</v>
      </c>
      <c r="J1559" s="902">
        <f>GLOBAL_DER_FEV_2023!J1559</f>
        <v>22.03</v>
      </c>
      <c r="K1559" s="903" t="s">
        <v>62</v>
      </c>
      <c r="L1559" s="1137"/>
      <c r="M1559" s="1138">
        <f t="shared" si="117"/>
        <v>0</v>
      </c>
      <c r="N1559" s="893">
        <f t="shared" si="116"/>
        <v>0</v>
      </c>
      <c r="O1559" s="905"/>
      <c r="Q1559" s="317" t="str">
        <f t="shared" si="113"/>
        <v/>
      </c>
      <c r="R1559" s="317" t="str">
        <f t="shared" si="114"/>
        <v/>
      </c>
      <c r="S1559" s="317" t="str">
        <f t="shared" si="115"/>
        <v/>
      </c>
      <c r="T1559" s="317" t="str">
        <f>GLOBAL_DER_FEV_2023!S1559</f>
        <v/>
      </c>
      <c r="W1559" s="582">
        <v>0</v>
      </c>
      <c r="X1559" s="580"/>
      <c r="Y1559" s="583">
        <f>IF(GLOBAL_DER_FEV_2023!W1559=0,0,IF(GLOBAL_DER_FEV_2023!W1559&gt;0,"c","b"))</f>
        <v>0</v>
      </c>
    </row>
    <row r="1560" spans="1:25" ht="23.25" hidden="1" thickBot="1" x14ac:dyDescent="0.25">
      <c r="A1560" s="317">
        <v>98293</v>
      </c>
      <c r="B1560" s="895">
        <v>98293</v>
      </c>
      <c r="C1560" s="896" t="s">
        <v>596</v>
      </c>
      <c r="D1560" s="906" t="s">
        <v>1485</v>
      </c>
      <c r="E1560" s="907">
        <f>GLOBAL_DER_FEV_2023!E1560</f>
        <v>0</v>
      </c>
      <c r="F1560" s="908">
        <f>GLOBAL_DER_FEV_2023!F1560</f>
        <v>0</v>
      </c>
      <c r="G1560" s="912">
        <f>GLOBAL_DER_FEV_2023!G1560</f>
        <v>0</v>
      </c>
      <c r="H1560" s="901">
        <f>GLOBAL_DER_FEV_2023!H1560</f>
        <v>10.9</v>
      </c>
      <c r="I1560" s="901">
        <f>GLOBAL_DER_FEV_2023!I1560</f>
        <v>10.9</v>
      </c>
      <c r="J1560" s="902">
        <f>GLOBAL_DER_FEV_2023!J1560</f>
        <v>13.09</v>
      </c>
      <c r="K1560" s="903" t="s">
        <v>62</v>
      </c>
      <c r="L1560" s="1137"/>
      <c r="M1560" s="1138">
        <f t="shared" si="117"/>
        <v>0</v>
      </c>
      <c r="N1560" s="893">
        <f t="shared" si="116"/>
        <v>0</v>
      </c>
      <c r="O1560" s="905"/>
      <c r="Q1560" s="317" t="str">
        <f t="shared" si="113"/>
        <v/>
      </c>
      <c r="R1560" s="317" t="str">
        <f t="shared" si="114"/>
        <v/>
      </c>
      <c r="S1560" s="317" t="str">
        <f t="shared" si="115"/>
        <v/>
      </c>
      <c r="T1560" s="317" t="str">
        <f>GLOBAL_DER_FEV_2023!S1560</f>
        <v/>
      </c>
      <c r="W1560" s="582">
        <v>0</v>
      </c>
      <c r="X1560" s="580"/>
      <c r="Y1560" s="583">
        <f>IF(GLOBAL_DER_FEV_2023!W1560=0,0,IF(GLOBAL_DER_FEV_2023!W1560&gt;0,"c","b"))</f>
        <v>0</v>
      </c>
    </row>
    <row r="1561" spans="1:25" ht="23.25" hidden="1" thickBot="1" x14ac:dyDescent="0.25">
      <c r="A1561" s="317">
        <v>98261</v>
      </c>
      <c r="B1561" s="895">
        <v>98261</v>
      </c>
      <c r="C1561" s="896" t="s">
        <v>596</v>
      </c>
      <c r="D1561" s="906" t="s">
        <v>1486</v>
      </c>
      <c r="E1561" s="907">
        <f>GLOBAL_DER_FEV_2023!E1561</f>
        <v>0</v>
      </c>
      <c r="F1561" s="908">
        <f>GLOBAL_DER_FEV_2023!F1561</f>
        <v>0</v>
      </c>
      <c r="G1561" s="912">
        <f>GLOBAL_DER_FEV_2023!G1561</f>
        <v>0</v>
      </c>
      <c r="H1561" s="901">
        <f>GLOBAL_DER_FEV_2023!H1561</f>
        <v>4.59</v>
      </c>
      <c r="I1561" s="901">
        <f>GLOBAL_DER_FEV_2023!I1561</f>
        <v>4.59</v>
      </c>
      <c r="J1561" s="902">
        <f>GLOBAL_DER_FEV_2023!J1561</f>
        <v>5.51</v>
      </c>
      <c r="K1561" s="903" t="s">
        <v>62</v>
      </c>
      <c r="L1561" s="1137"/>
      <c r="M1561" s="1138">
        <f t="shared" si="117"/>
        <v>0</v>
      </c>
      <c r="N1561" s="893">
        <f t="shared" si="116"/>
        <v>0</v>
      </c>
      <c r="O1561" s="905"/>
      <c r="Q1561" s="317" t="str">
        <f t="shared" si="113"/>
        <v/>
      </c>
      <c r="R1561" s="317" t="str">
        <f t="shared" si="114"/>
        <v/>
      </c>
      <c r="S1561" s="317" t="str">
        <f t="shared" si="115"/>
        <v/>
      </c>
      <c r="T1561" s="317" t="str">
        <f>GLOBAL_DER_FEV_2023!S1561</f>
        <v/>
      </c>
      <c r="W1561" s="582">
        <v>0</v>
      </c>
      <c r="X1561" s="580"/>
      <c r="Y1561" s="583">
        <f>IF(GLOBAL_DER_FEV_2023!W1561=0,0,IF(GLOBAL_DER_FEV_2023!W1561&gt;0,"c","b"))</f>
        <v>0</v>
      </c>
    </row>
    <row r="1562" spans="1:25" ht="23.25" hidden="1" thickBot="1" x14ac:dyDescent="0.25">
      <c r="A1562" s="317">
        <v>98262</v>
      </c>
      <c r="B1562" s="895">
        <v>98262</v>
      </c>
      <c r="C1562" s="896" t="s">
        <v>596</v>
      </c>
      <c r="D1562" s="906" t="s">
        <v>1487</v>
      </c>
      <c r="E1562" s="907">
        <f>GLOBAL_DER_FEV_2023!E1562</f>
        <v>0</v>
      </c>
      <c r="F1562" s="908">
        <f>GLOBAL_DER_FEV_2023!F1562</f>
        <v>0</v>
      </c>
      <c r="G1562" s="912">
        <f>GLOBAL_DER_FEV_2023!G1562</f>
        <v>0</v>
      </c>
      <c r="H1562" s="901">
        <f>GLOBAL_DER_FEV_2023!H1562</f>
        <v>5.63</v>
      </c>
      <c r="I1562" s="901">
        <f>GLOBAL_DER_FEV_2023!I1562</f>
        <v>5.63</v>
      </c>
      <c r="J1562" s="902">
        <f>GLOBAL_DER_FEV_2023!J1562</f>
        <v>6.76</v>
      </c>
      <c r="K1562" s="903" t="s">
        <v>62</v>
      </c>
      <c r="L1562" s="1137"/>
      <c r="M1562" s="1138">
        <f t="shared" si="117"/>
        <v>0</v>
      </c>
      <c r="N1562" s="893">
        <f t="shared" si="116"/>
        <v>0</v>
      </c>
      <c r="O1562" s="905"/>
      <c r="Q1562" s="317" t="str">
        <f t="shared" si="113"/>
        <v/>
      </c>
      <c r="R1562" s="317" t="str">
        <f t="shared" si="114"/>
        <v/>
      </c>
      <c r="S1562" s="317" t="str">
        <f t="shared" si="115"/>
        <v/>
      </c>
      <c r="T1562" s="317" t="str">
        <f>GLOBAL_DER_FEV_2023!S1562</f>
        <v/>
      </c>
      <c r="W1562" s="582">
        <v>0</v>
      </c>
      <c r="X1562" s="580"/>
      <c r="Y1562" s="583">
        <f>IF(GLOBAL_DER_FEV_2023!W1562=0,0,IF(GLOBAL_DER_FEV_2023!W1562&gt;0,"c","b"))</f>
        <v>0</v>
      </c>
    </row>
    <row r="1563" spans="1:25" ht="23.25" hidden="1" thickBot="1" x14ac:dyDescent="0.25">
      <c r="A1563" s="317">
        <v>98263</v>
      </c>
      <c r="B1563" s="895">
        <v>98263</v>
      </c>
      <c r="C1563" s="896" t="s">
        <v>596</v>
      </c>
      <c r="D1563" s="906" t="s">
        <v>1488</v>
      </c>
      <c r="E1563" s="907">
        <f>GLOBAL_DER_FEV_2023!E1563</f>
        <v>0</v>
      </c>
      <c r="F1563" s="908">
        <f>GLOBAL_DER_FEV_2023!F1563</f>
        <v>0</v>
      </c>
      <c r="G1563" s="912">
        <f>GLOBAL_DER_FEV_2023!G1563</f>
        <v>0</v>
      </c>
      <c r="H1563" s="901">
        <f>GLOBAL_DER_FEV_2023!H1563</f>
        <v>5.89</v>
      </c>
      <c r="I1563" s="901">
        <f>GLOBAL_DER_FEV_2023!I1563</f>
        <v>5.89</v>
      </c>
      <c r="J1563" s="902">
        <f>GLOBAL_DER_FEV_2023!J1563</f>
        <v>7.07</v>
      </c>
      <c r="K1563" s="903" t="s">
        <v>62</v>
      </c>
      <c r="L1563" s="1137"/>
      <c r="M1563" s="1138">
        <f t="shared" si="117"/>
        <v>0</v>
      </c>
      <c r="N1563" s="893">
        <f t="shared" si="116"/>
        <v>0</v>
      </c>
      <c r="O1563" s="905"/>
      <c r="Q1563" s="317" t="str">
        <f t="shared" ref="Q1563:Q1626" si="118">IF(P1563="X","x",IF(P1563="xx","x",IF(P1563="xy","x",IF(P1563="y","x",IF(OR(N1563&gt;0,N1563&gt;0),"x","")))))</f>
        <v/>
      </c>
      <c r="R1563" s="317" t="str">
        <f t="shared" si="114"/>
        <v/>
      </c>
      <c r="S1563" s="317" t="str">
        <f t="shared" si="115"/>
        <v/>
      </c>
      <c r="T1563" s="317" t="str">
        <f>GLOBAL_DER_FEV_2023!S1563</f>
        <v/>
      </c>
      <c r="W1563" s="582">
        <v>0</v>
      </c>
      <c r="X1563" s="580"/>
      <c r="Y1563" s="583">
        <f>IF(GLOBAL_DER_FEV_2023!W1563=0,0,IF(GLOBAL_DER_FEV_2023!W1563&gt;0,"c","b"))</f>
        <v>0</v>
      </c>
    </row>
    <row r="1564" spans="1:25" ht="23.25" hidden="1" thickBot="1" x14ac:dyDescent="0.25">
      <c r="A1564" s="317">
        <v>98264</v>
      </c>
      <c r="B1564" s="895">
        <v>98264</v>
      </c>
      <c r="C1564" s="896" t="s">
        <v>596</v>
      </c>
      <c r="D1564" s="906" t="s">
        <v>1489</v>
      </c>
      <c r="E1564" s="907">
        <f>GLOBAL_DER_FEV_2023!E1564</f>
        <v>0</v>
      </c>
      <c r="F1564" s="908">
        <f>GLOBAL_DER_FEV_2023!F1564</f>
        <v>0</v>
      </c>
      <c r="G1564" s="912">
        <f>GLOBAL_DER_FEV_2023!G1564</f>
        <v>0</v>
      </c>
      <c r="H1564" s="901">
        <f>GLOBAL_DER_FEV_2023!H1564</f>
        <v>6.99</v>
      </c>
      <c r="I1564" s="901">
        <f>GLOBAL_DER_FEV_2023!I1564</f>
        <v>6.99</v>
      </c>
      <c r="J1564" s="902">
        <f>GLOBAL_DER_FEV_2023!J1564</f>
        <v>8.39</v>
      </c>
      <c r="K1564" s="903" t="s">
        <v>62</v>
      </c>
      <c r="L1564" s="1137"/>
      <c r="M1564" s="1138">
        <f t="shared" si="117"/>
        <v>0</v>
      </c>
      <c r="N1564" s="893">
        <f t="shared" si="116"/>
        <v>0</v>
      </c>
      <c r="O1564" s="905"/>
      <c r="Q1564" s="317" t="str">
        <f t="shared" si="118"/>
        <v/>
      </c>
      <c r="R1564" s="317" t="str">
        <f t="shared" si="114"/>
        <v/>
      </c>
      <c r="S1564" s="317" t="str">
        <f t="shared" si="115"/>
        <v/>
      </c>
      <c r="T1564" s="317" t="str">
        <f>GLOBAL_DER_FEV_2023!S1564</f>
        <v/>
      </c>
      <c r="W1564" s="582">
        <v>0</v>
      </c>
      <c r="X1564" s="580"/>
      <c r="Y1564" s="583">
        <f>IF(GLOBAL_DER_FEV_2023!W1564=0,0,IF(GLOBAL_DER_FEV_2023!W1564&gt;0,"c","b"))</f>
        <v>0</v>
      </c>
    </row>
    <row r="1565" spans="1:25" ht="23.25" hidden="1" thickBot="1" x14ac:dyDescent="0.25">
      <c r="A1565" s="317">
        <v>98265</v>
      </c>
      <c r="B1565" s="895">
        <v>98265</v>
      </c>
      <c r="C1565" s="896" t="s">
        <v>596</v>
      </c>
      <c r="D1565" s="906" t="s">
        <v>1490</v>
      </c>
      <c r="E1565" s="907">
        <f>GLOBAL_DER_FEV_2023!E1565</f>
        <v>0</v>
      </c>
      <c r="F1565" s="908">
        <f>GLOBAL_DER_FEV_2023!F1565</f>
        <v>0</v>
      </c>
      <c r="G1565" s="912">
        <f>GLOBAL_DER_FEV_2023!G1565</f>
        <v>0</v>
      </c>
      <c r="H1565" s="901">
        <f>GLOBAL_DER_FEV_2023!H1565</f>
        <v>7.72</v>
      </c>
      <c r="I1565" s="901">
        <f>GLOBAL_DER_FEV_2023!I1565</f>
        <v>7.72</v>
      </c>
      <c r="J1565" s="902">
        <f>GLOBAL_DER_FEV_2023!J1565</f>
        <v>9.27</v>
      </c>
      <c r="K1565" s="903" t="s">
        <v>62</v>
      </c>
      <c r="L1565" s="1137"/>
      <c r="M1565" s="1138">
        <f t="shared" si="117"/>
        <v>0</v>
      </c>
      <c r="N1565" s="893">
        <f t="shared" si="116"/>
        <v>0</v>
      </c>
      <c r="O1565" s="905"/>
      <c r="Q1565" s="317" t="str">
        <f t="shared" si="118"/>
        <v/>
      </c>
      <c r="R1565" s="317" t="str">
        <f t="shared" ref="R1565:R1628" si="119">IF(P1565="X","x",IF(P1565="y","x",IF(P1565="xx","x",IF(N1565&gt;0,"x",""))))</f>
        <v/>
      </c>
      <c r="S1565" s="317" t="str">
        <f t="shared" ref="S1565:S1628" si="120">IF(P1565="X","x",IF(N1565&gt;0,"x",""))</f>
        <v/>
      </c>
      <c r="T1565" s="317" t="str">
        <f>GLOBAL_DER_FEV_2023!S1565</f>
        <v/>
      </c>
      <c r="W1565" s="582">
        <v>0</v>
      </c>
      <c r="X1565" s="580"/>
      <c r="Y1565" s="583">
        <f>IF(GLOBAL_DER_FEV_2023!W1565=0,0,IF(GLOBAL_DER_FEV_2023!W1565&gt;0,"c","b"))</f>
        <v>0</v>
      </c>
    </row>
    <row r="1566" spans="1:25" ht="23.25" hidden="1" thickBot="1" x14ac:dyDescent="0.25">
      <c r="A1566" s="317">
        <v>98266</v>
      </c>
      <c r="B1566" s="895">
        <v>98266</v>
      </c>
      <c r="C1566" s="896" t="s">
        <v>596</v>
      </c>
      <c r="D1566" s="906" t="s">
        <v>1491</v>
      </c>
      <c r="E1566" s="907">
        <f>GLOBAL_DER_FEV_2023!E1566</f>
        <v>0</v>
      </c>
      <c r="F1566" s="908">
        <f>GLOBAL_DER_FEV_2023!F1566</f>
        <v>0</v>
      </c>
      <c r="G1566" s="912">
        <f>GLOBAL_DER_FEV_2023!G1566</f>
        <v>0</v>
      </c>
      <c r="H1566" s="901">
        <f>GLOBAL_DER_FEV_2023!H1566</f>
        <v>8.73</v>
      </c>
      <c r="I1566" s="901">
        <f>GLOBAL_DER_FEV_2023!I1566</f>
        <v>8.73</v>
      </c>
      <c r="J1566" s="902">
        <f>GLOBAL_DER_FEV_2023!J1566</f>
        <v>10.48</v>
      </c>
      <c r="K1566" s="903" t="s">
        <v>62</v>
      </c>
      <c r="L1566" s="1137"/>
      <c r="M1566" s="1138">
        <f t="shared" si="117"/>
        <v>0</v>
      </c>
      <c r="N1566" s="893">
        <f t="shared" si="116"/>
        <v>0</v>
      </c>
      <c r="O1566" s="905"/>
      <c r="Q1566" s="317" t="str">
        <f t="shared" si="118"/>
        <v/>
      </c>
      <c r="R1566" s="317" t="str">
        <f t="shared" si="119"/>
        <v/>
      </c>
      <c r="S1566" s="317" t="str">
        <f t="shared" si="120"/>
        <v/>
      </c>
      <c r="T1566" s="317" t="str">
        <f>GLOBAL_DER_FEV_2023!S1566</f>
        <v/>
      </c>
      <c r="W1566" s="582">
        <v>0</v>
      </c>
      <c r="X1566" s="580"/>
      <c r="Y1566" s="583">
        <f>IF(GLOBAL_DER_FEV_2023!W1566=0,0,IF(GLOBAL_DER_FEV_2023!W1566&gt;0,"c","b"))</f>
        <v>0</v>
      </c>
    </row>
    <row r="1567" spans="1:25" ht="23.25" hidden="1" thickBot="1" x14ac:dyDescent="0.25">
      <c r="A1567" s="317">
        <v>98273</v>
      </c>
      <c r="B1567" s="895">
        <v>98273</v>
      </c>
      <c r="C1567" s="896" t="s">
        <v>596</v>
      </c>
      <c r="D1567" s="906" t="s">
        <v>1492</v>
      </c>
      <c r="E1567" s="907">
        <f>GLOBAL_DER_FEV_2023!E1567</f>
        <v>0</v>
      </c>
      <c r="F1567" s="908">
        <f>GLOBAL_DER_FEV_2023!F1567</f>
        <v>0</v>
      </c>
      <c r="G1567" s="912">
        <f>GLOBAL_DER_FEV_2023!G1567</f>
        <v>0</v>
      </c>
      <c r="H1567" s="901">
        <f>GLOBAL_DER_FEV_2023!H1567</f>
        <v>3.37</v>
      </c>
      <c r="I1567" s="901">
        <f>GLOBAL_DER_FEV_2023!I1567</f>
        <v>3.37</v>
      </c>
      <c r="J1567" s="902">
        <f>GLOBAL_DER_FEV_2023!J1567</f>
        <v>4.05</v>
      </c>
      <c r="K1567" s="903" t="s">
        <v>62</v>
      </c>
      <c r="L1567" s="1137"/>
      <c r="M1567" s="1138">
        <f t="shared" si="117"/>
        <v>0</v>
      </c>
      <c r="N1567" s="893">
        <f t="shared" si="116"/>
        <v>0</v>
      </c>
      <c r="O1567" s="905"/>
      <c r="Q1567" s="317" t="str">
        <f t="shared" si="118"/>
        <v/>
      </c>
      <c r="R1567" s="317" t="str">
        <f t="shared" si="119"/>
        <v/>
      </c>
      <c r="S1567" s="317" t="str">
        <f t="shared" si="120"/>
        <v/>
      </c>
      <c r="T1567" s="317" t="str">
        <f>GLOBAL_DER_FEV_2023!S1567</f>
        <v/>
      </c>
      <c r="W1567" s="582">
        <v>0</v>
      </c>
      <c r="X1567" s="580"/>
      <c r="Y1567" s="583">
        <f>IF(GLOBAL_DER_FEV_2023!W1567=0,0,IF(GLOBAL_DER_FEV_2023!W1567&gt;0,"c","b"))</f>
        <v>0</v>
      </c>
    </row>
    <row r="1568" spans="1:25" ht="23.25" hidden="1" thickBot="1" x14ac:dyDescent="0.25">
      <c r="A1568" s="317">
        <v>98274</v>
      </c>
      <c r="B1568" s="895">
        <v>98274</v>
      </c>
      <c r="C1568" s="896" t="s">
        <v>596</v>
      </c>
      <c r="D1568" s="906" t="s">
        <v>1493</v>
      </c>
      <c r="E1568" s="907">
        <f>GLOBAL_DER_FEV_2023!E1568</f>
        <v>0</v>
      </c>
      <c r="F1568" s="908">
        <f>GLOBAL_DER_FEV_2023!F1568</f>
        <v>0</v>
      </c>
      <c r="G1568" s="912">
        <f>GLOBAL_DER_FEV_2023!G1568</f>
        <v>0</v>
      </c>
      <c r="H1568" s="901">
        <f>GLOBAL_DER_FEV_2023!H1568</f>
        <v>4.0999999999999996</v>
      </c>
      <c r="I1568" s="901">
        <f>GLOBAL_DER_FEV_2023!I1568</f>
        <v>4.0999999999999996</v>
      </c>
      <c r="J1568" s="902">
        <f>GLOBAL_DER_FEV_2023!J1568</f>
        <v>4.92</v>
      </c>
      <c r="K1568" s="903" t="s">
        <v>62</v>
      </c>
      <c r="L1568" s="1137"/>
      <c r="M1568" s="1138">
        <f t="shared" si="117"/>
        <v>0</v>
      </c>
      <c r="N1568" s="893">
        <f t="shared" si="116"/>
        <v>0</v>
      </c>
      <c r="O1568" s="905"/>
      <c r="Q1568" s="317" t="str">
        <f t="shared" si="118"/>
        <v/>
      </c>
      <c r="R1568" s="317" t="str">
        <f t="shared" si="119"/>
        <v/>
      </c>
      <c r="S1568" s="317" t="str">
        <f t="shared" si="120"/>
        <v/>
      </c>
      <c r="T1568" s="317" t="str">
        <f>GLOBAL_DER_FEV_2023!S1568</f>
        <v/>
      </c>
      <c r="W1568" s="582">
        <v>0</v>
      </c>
      <c r="X1568" s="580"/>
      <c r="Y1568" s="583">
        <f>IF(GLOBAL_DER_FEV_2023!W1568=0,0,IF(GLOBAL_DER_FEV_2023!W1568&gt;0,"c","b"))</f>
        <v>0</v>
      </c>
    </row>
    <row r="1569" spans="1:25" ht="23.25" hidden="1" thickBot="1" x14ac:dyDescent="0.25">
      <c r="A1569" s="317">
        <v>98275</v>
      </c>
      <c r="B1569" s="895">
        <v>98275</v>
      </c>
      <c r="C1569" s="896" t="s">
        <v>596</v>
      </c>
      <c r="D1569" s="906" t="s">
        <v>1494</v>
      </c>
      <c r="E1569" s="907">
        <f>GLOBAL_DER_FEV_2023!E1569</f>
        <v>0</v>
      </c>
      <c r="F1569" s="908">
        <f>GLOBAL_DER_FEV_2023!F1569</f>
        <v>0</v>
      </c>
      <c r="G1569" s="912">
        <f>GLOBAL_DER_FEV_2023!G1569</f>
        <v>0</v>
      </c>
      <c r="H1569" s="901">
        <f>GLOBAL_DER_FEV_2023!H1569</f>
        <v>5.1100000000000003</v>
      </c>
      <c r="I1569" s="901">
        <f>GLOBAL_DER_FEV_2023!I1569</f>
        <v>5.1100000000000003</v>
      </c>
      <c r="J1569" s="902">
        <f>GLOBAL_DER_FEV_2023!J1569</f>
        <v>6.14</v>
      </c>
      <c r="K1569" s="903" t="s">
        <v>62</v>
      </c>
      <c r="L1569" s="1137"/>
      <c r="M1569" s="1138">
        <f t="shared" si="117"/>
        <v>0</v>
      </c>
      <c r="N1569" s="893">
        <f t="shared" ref="N1569:N1632" si="121">IF(ISBLANK(L1569),0,IF(W1569=0,ROUND(L1569*M1569,2),IF(W1569="b",ROUNDDOWN(L1569*M1569,2),ROUNDUP(L1569*M1569,2))))</f>
        <v>0</v>
      </c>
      <c r="O1569" s="905"/>
      <c r="Q1569" s="317" t="str">
        <f t="shared" si="118"/>
        <v/>
      </c>
      <c r="R1569" s="317" t="str">
        <f t="shared" si="119"/>
        <v/>
      </c>
      <c r="S1569" s="317" t="str">
        <f t="shared" si="120"/>
        <v/>
      </c>
      <c r="T1569" s="317" t="str">
        <f>GLOBAL_DER_FEV_2023!S1569</f>
        <v/>
      </c>
      <c r="W1569" s="582">
        <v>0</v>
      </c>
      <c r="X1569" s="580"/>
      <c r="Y1569" s="583">
        <f>IF(GLOBAL_DER_FEV_2023!W1569=0,0,IF(GLOBAL_DER_FEV_2023!W1569&gt;0,"c","b"))</f>
        <v>0</v>
      </c>
    </row>
    <row r="1570" spans="1:25" ht="23.25" hidden="1" thickBot="1" x14ac:dyDescent="0.25">
      <c r="A1570" s="317">
        <v>98280</v>
      </c>
      <c r="B1570" s="895">
        <v>98280</v>
      </c>
      <c r="C1570" s="896" t="s">
        <v>596</v>
      </c>
      <c r="D1570" s="906" t="s">
        <v>1495</v>
      </c>
      <c r="E1570" s="907">
        <f>GLOBAL_DER_FEV_2023!E1570</f>
        <v>0</v>
      </c>
      <c r="F1570" s="908">
        <f>GLOBAL_DER_FEV_2023!F1570</f>
        <v>0</v>
      </c>
      <c r="G1570" s="912">
        <f>GLOBAL_DER_FEV_2023!G1570</f>
        <v>0</v>
      </c>
      <c r="H1570" s="901">
        <f>GLOBAL_DER_FEV_2023!H1570</f>
        <v>9.25</v>
      </c>
      <c r="I1570" s="901">
        <f>GLOBAL_DER_FEV_2023!I1570</f>
        <v>9.25</v>
      </c>
      <c r="J1570" s="902">
        <f>GLOBAL_DER_FEV_2023!J1570</f>
        <v>11.11</v>
      </c>
      <c r="K1570" s="903" t="s">
        <v>62</v>
      </c>
      <c r="L1570" s="1137"/>
      <c r="M1570" s="1138">
        <f t="shared" si="117"/>
        <v>0</v>
      </c>
      <c r="N1570" s="893">
        <f t="shared" si="121"/>
        <v>0</v>
      </c>
      <c r="O1570" s="905"/>
      <c r="Q1570" s="317" t="str">
        <f t="shared" si="118"/>
        <v/>
      </c>
      <c r="R1570" s="317" t="str">
        <f t="shared" si="119"/>
        <v/>
      </c>
      <c r="S1570" s="317" t="str">
        <f t="shared" si="120"/>
        <v/>
      </c>
      <c r="T1570" s="317" t="str">
        <f>GLOBAL_DER_FEV_2023!S1570</f>
        <v/>
      </c>
      <c r="W1570" s="582">
        <v>0</v>
      </c>
      <c r="X1570" s="580"/>
      <c r="Y1570" s="583">
        <f>IF(GLOBAL_DER_FEV_2023!W1570=0,0,IF(GLOBAL_DER_FEV_2023!W1570&gt;0,"c","b"))</f>
        <v>0</v>
      </c>
    </row>
    <row r="1571" spans="1:25" ht="23.25" hidden="1" thickBot="1" x14ac:dyDescent="0.25">
      <c r="A1571" s="317">
        <v>98281</v>
      </c>
      <c r="B1571" s="895">
        <v>98281</v>
      </c>
      <c r="C1571" s="896" t="s">
        <v>596</v>
      </c>
      <c r="D1571" s="906" t="s">
        <v>1496</v>
      </c>
      <c r="E1571" s="907">
        <f>GLOBAL_DER_FEV_2023!E1571</f>
        <v>0</v>
      </c>
      <c r="F1571" s="908">
        <f>GLOBAL_DER_FEV_2023!F1571</f>
        <v>0</v>
      </c>
      <c r="G1571" s="912">
        <f>GLOBAL_DER_FEV_2023!G1571</f>
        <v>0</v>
      </c>
      <c r="H1571" s="901">
        <f>GLOBAL_DER_FEV_2023!H1571</f>
        <v>10.28</v>
      </c>
      <c r="I1571" s="901">
        <f>GLOBAL_DER_FEV_2023!I1571</f>
        <v>10.28</v>
      </c>
      <c r="J1571" s="902">
        <f>GLOBAL_DER_FEV_2023!J1571</f>
        <v>12.34</v>
      </c>
      <c r="K1571" s="903" t="s">
        <v>62</v>
      </c>
      <c r="L1571" s="1137"/>
      <c r="M1571" s="1138">
        <f t="shared" si="117"/>
        <v>0</v>
      </c>
      <c r="N1571" s="893">
        <f t="shared" si="121"/>
        <v>0</v>
      </c>
      <c r="O1571" s="905"/>
      <c r="Q1571" s="317" t="str">
        <f t="shared" si="118"/>
        <v/>
      </c>
      <c r="R1571" s="317" t="str">
        <f t="shared" si="119"/>
        <v/>
      </c>
      <c r="S1571" s="317" t="str">
        <f t="shared" si="120"/>
        <v/>
      </c>
      <c r="T1571" s="317" t="str">
        <f>GLOBAL_DER_FEV_2023!S1571</f>
        <v/>
      </c>
      <c r="W1571" s="582">
        <v>0</v>
      </c>
      <c r="X1571" s="580"/>
      <c r="Y1571" s="583">
        <f>IF(GLOBAL_DER_FEV_2023!W1571=0,0,IF(GLOBAL_DER_FEV_2023!W1571&gt;0,"c","b"))</f>
        <v>0</v>
      </c>
    </row>
    <row r="1572" spans="1:25" ht="23.25" hidden="1" thickBot="1" x14ac:dyDescent="0.25">
      <c r="A1572" s="317">
        <v>98282</v>
      </c>
      <c r="B1572" s="895">
        <v>98282</v>
      </c>
      <c r="C1572" s="896" t="s">
        <v>596</v>
      </c>
      <c r="D1572" s="906" t="s">
        <v>1497</v>
      </c>
      <c r="E1572" s="907">
        <f>GLOBAL_DER_FEV_2023!E1572</f>
        <v>0</v>
      </c>
      <c r="F1572" s="908">
        <f>GLOBAL_DER_FEV_2023!F1572</f>
        <v>0</v>
      </c>
      <c r="G1572" s="912">
        <f>GLOBAL_DER_FEV_2023!G1572</f>
        <v>0</v>
      </c>
      <c r="H1572" s="901">
        <f>GLOBAL_DER_FEV_2023!H1572</f>
        <v>10.53</v>
      </c>
      <c r="I1572" s="901">
        <f>GLOBAL_DER_FEV_2023!I1572</f>
        <v>10.53</v>
      </c>
      <c r="J1572" s="902">
        <f>GLOBAL_DER_FEV_2023!J1572</f>
        <v>12.64</v>
      </c>
      <c r="K1572" s="903" t="s">
        <v>62</v>
      </c>
      <c r="L1572" s="1137"/>
      <c r="M1572" s="1138">
        <f t="shared" si="117"/>
        <v>0</v>
      </c>
      <c r="N1572" s="893">
        <f t="shared" si="121"/>
        <v>0</v>
      </c>
      <c r="O1572" s="905"/>
      <c r="Q1572" s="317" t="str">
        <f t="shared" si="118"/>
        <v/>
      </c>
      <c r="R1572" s="317" t="str">
        <f t="shared" si="119"/>
        <v/>
      </c>
      <c r="S1572" s="317" t="str">
        <f t="shared" si="120"/>
        <v/>
      </c>
      <c r="T1572" s="317" t="str">
        <f>GLOBAL_DER_FEV_2023!S1572</f>
        <v/>
      </c>
      <c r="W1572" s="582">
        <v>0</v>
      </c>
      <c r="X1572" s="580"/>
      <c r="Y1572" s="583">
        <f>IF(GLOBAL_DER_FEV_2023!W1572=0,0,IF(GLOBAL_DER_FEV_2023!W1572&gt;0,"c","b"))</f>
        <v>0</v>
      </c>
    </row>
    <row r="1573" spans="1:25" ht="23.25" hidden="1" thickBot="1" x14ac:dyDescent="0.25">
      <c r="A1573" s="317">
        <v>98283</v>
      </c>
      <c r="B1573" s="895">
        <v>98283</v>
      </c>
      <c r="C1573" s="896" t="s">
        <v>596</v>
      </c>
      <c r="D1573" s="906" t="s">
        <v>1498</v>
      </c>
      <c r="E1573" s="907">
        <f>GLOBAL_DER_FEV_2023!E1573</f>
        <v>0</v>
      </c>
      <c r="F1573" s="908">
        <f>GLOBAL_DER_FEV_2023!F1573</f>
        <v>0</v>
      </c>
      <c r="G1573" s="912">
        <f>GLOBAL_DER_FEV_2023!G1573</f>
        <v>0</v>
      </c>
      <c r="H1573" s="901">
        <f>GLOBAL_DER_FEV_2023!H1573</f>
        <v>11.64</v>
      </c>
      <c r="I1573" s="901">
        <f>GLOBAL_DER_FEV_2023!I1573</f>
        <v>11.64</v>
      </c>
      <c r="J1573" s="902">
        <f>GLOBAL_DER_FEV_2023!J1573</f>
        <v>13.98</v>
      </c>
      <c r="K1573" s="903" t="s">
        <v>62</v>
      </c>
      <c r="L1573" s="1137"/>
      <c r="M1573" s="1138">
        <f t="shared" si="117"/>
        <v>0</v>
      </c>
      <c r="N1573" s="893">
        <f t="shared" si="121"/>
        <v>0</v>
      </c>
      <c r="O1573" s="905"/>
      <c r="Q1573" s="317" t="str">
        <f t="shared" si="118"/>
        <v/>
      </c>
      <c r="R1573" s="317" t="str">
        <f t="shared" si="119"/>
        <v/>
      </c>
      <c r="S1573" s="317" t="str">
        <f t="shared" si="120"/>
        <v/>
      </c>
      <c r="T1573" s="317" t="str">
        <f>GLOBAL_DER_FEV_2023!S1573</f>
        <v/>
      </c>
      <c r="W1573" s="582">
        <v>0</v>
      </c>
      <c r="X1573" s="580"/>
      <c r="Y1573" s="583">
        <f>IF(GLOBAL_DER_FEV_2023!W1573=0,0,IF(GLOBAL_DER_FEV_2023!W1573&gt;0,"c","b"))</f>
        <v>0</v>
      </c>
    </row>
    <row r="1574" spans="1:25" ht="23.25" hidden="1" thickBot="1" x14ac:dyDescent="0.25">
      <c r="A1574" s="317">
        <v>98284</v>
      </c>
      <c r="B1574" s="895">
        <v>98284</v>
      </c>
      <c r="C1574" s="896" t="s">
        <v>596</v>
      </c>
      <c r="D1574" s="906" t="s">
        <v>1499</v>
      </c>
      <c r="E1574" s="907">
        <f>GLOBAL_DER_FEV_2023!E1574</f>
        <v>0</v>
      </c>
      <c r="F1574" s="908">
        <f>GLOBAL_DER_FEV_2023!F1574</f>
        <v>0</v>
      </c>
      <c r="G1574" s="912">
        <f>GLOBAL_DER_FEV_2023!G1574</f>
        <v>0</v>
      </c>
      <c r="H1574" s="901">
        <f>GLOBAL_DER_FEV_2023!H1574</f>
        <v>12.36</v>
      </c>
      <c r="I1574" s="901">
        <f>GLOBAL_DER_FEV_2023!I1574</f>
        <v>12.36</v>
      </c>
      <c r="J1574" s="902">
        <f>GLOBAL_DER_FEV_2023!J1574</f>
        <v>14.84</v>
      </c>
      <c r="K1574" s="903" t="s">
        <v>62</v>
      </c>
      <c r="L1574" s="1137"/>
      <c r="M1574" s="1138">
        <f t="shared" si="117"/>
        <v>0</v>
      </c>
      <c r="N1574" s="893">
        <f t="shared" si="121"/>
        <v>0</v>
      </c>
      <c r="O1574" s="905"/>
      <c r="Q1574" s="317" t="str">
        <f t="shared" si="118"/>
        <v/>
      </c>
      <c r="R1574" s="317" t="str">
        <f t="shared" si="119"/>
        <v/>
      </c>
      <c r="S1574" s="317" t="str">
        <f t="shared" si="120"/>
        <v/>
      </c>
      <c r="T1574" s="317" t="str">
        <f>GLOBAL_DER_FEV_2023!S1574</f>
        <v/>
      </c>
      <c r="W1574" s="582">
        <v>0</v>
      </c>
      <c r="X1574" s="580"/>
      <c r="Y1574" s="583">
        <f>IF(GLOBAL_DER_FEV_2023!W1574=0,0,IF(GLOBAL_DER_FEV_2023!W1574&gt;0,"c","b"))</f>
        <v>0</v>
      </c>
    </row>
    <row r="1575" spans="1:25" ht="23.25" hidden="1" thickBot="1" x14ac:dyDescent="0.25">
      <c r="A1575" s="317">
        <v>98285</v>
      </c>
      <c r="B1575" s="895">
        <v>98285</v>
      </c>
      <c r="C1575" s="896" t="s">
        <v>596</v>
      </c>
      <c r="D1575" s="906" t="s">
        <v>1500</v>
      </c>
      <c r="E1575" s="907">
        <f>GLOBAL_DER_FEV_2023!E1575</f>
        <v>0</v>
      </c>
      <c r="F1575" s="908">
        <f>GLOBAL_DER_FEV_2023!F1575</f>
        <v>0</v>
      </c>
      <c r="G1575" s="912">
        <f>GLOBAL_DER_FEV_2023!G1575</f>
        <v>0</v>
      </c>
      <c r="H1575" s="901">
        <f>GLOBAL_DER_FEV_2023!H1575</f>
        <v>13.38</v>
      </c>
      <c r="I1575" s="901">
        <f>GLOBAL_DER_FEV_2023!I1575</f>
        <v>13.38</v>
      </c>
      <c r="J1575" s="902">
        <f>GLOBAL_DER_FEV_2023!J1575</f>
        <v>16.07</v>
      </c>
      <c r="K1575" s="903" t="s">
        <v>62</v>
      </c>
      <c r="L1575" s="1137"/>
      <c r="M1575" s="1138">
        <f t="shared" si="117"/>
        <v>0</v>
      </c>
      <c r="N1575" s="893">
        <f t="shared" si="121"/>
        <v>0</v>
      </c>
      <c r="O1575" s="905"/>
      <c r="Q1575" s="317" t="str">
        <f t="shared" si="118"/>
        <v/>
      </c>
      <c r="R1575" s="317" t="str">
        <f t="shared" si="119"/>
        <v/>
      </c>
      <c r="S1575" s="317" t="str">
        <f t="shared" si="120"/>
        <v/>
      </c>
      <c r="T1575" s="317" t="str">
        <f>GLOBAL_DER_FEV_2023!S1575</f>
        <v/>
      </c>
      <c r="W1575" s="582">
        <v>0</v>
      </c>
      <c r="X1575" s="580"/>
      <c r="Y1575" s="583">
        <f>IF(GLOBAL_DER_FEV_2023!W1575=0,0,IF(GLOBAL_DER_FEV_2023!W1575&gt;0,"c","b"))</f>
        <v>0</v>
      </c>
    </row>
    <row r="1576" spans="1:25" ht="23.25" hidden="1" thickBot="1" x14ac:dyDescent="0.25">
      <c r="A1576" s="317">
        <v>98287</v>
      </c>
      <c r="B1576" s="895">
        <v>98287</v>
      </c>
      <c r="C1576" s="896" t="s">
        <v>596</v>
      </c>
      <c r="D1576" s="906" t="s">
        <v>1501</v>
      </c>
      <c r="E1576" s="907">
        <f>GLOBAL_DER_FEV_2023!E1576</f>
        <v>0</v>
      </c>
      <c r="F1576" s="908">
        <f>GLOBAL_DER_FEV_2023!F1576</f>
        <v>0</v>
      </c>
      <c r="G1576" s="912">
        <f>GLOBAL_DER_FEV_2023!G1576</f>
        <v>0</v>
      </c>
      <c r="H1576" s="901">
        <f>GLOBAL_DER_FEV_2023!H1576</f>
        <v>1.81</v>
      </c>
      <c r="I1576" s="901">
        <f>GLOBAL_DER_FEV_2023!I1576</f>
        <v>1.81</v>
      </c>
      <c r="J1576" s="902">
        <f>GLOBAL_DER_FEV_2023!J1576</f>
        <v>2.17</v>
      </c>
      <c r="K1576" s="903" t="s">
        <v>62</v>
      </c>
      <c r="L1576" s="1137"/>
      <c r="M1576" s="1138">
        <f t="shared" si="117"/>
        <v>0</v>
      </c>
      <c r="N1576" s="893">
        <f t="shared" si="121"/>
        <v>0</v>
      </c>
      <c r="O1576" s="905"/>
      <c r="Q1576" s="317" t="str">
        <f t="shared" si="118"/>
        <v/>
      </c>
      <c r="R1576" s="317" t="str">
        <f t="shared" si="119"/>
        <v/>
      </c>
      <c r="S1576" s="317" t="str">
        <f t="shared" si="120"/>
        <v/>
      </c>
      <c r="T1576" s="317" t="str">
        <f>GLOBAL_DER_FEV_2023!S1576</f>
        <v/>
      </c>
      <c r="W1576" s="582">
        <v>0</v>
      </c>
      <c r="X1576" s="580"/>
      <c r="Y1576" s="583">
        <f>IF(GLOBAL_DER_FEV_2023!W1576=0,0,IF(GLOBAL_DER_FEV_2023!W1576&gt;0,"c","b"))</f>
        <v>0</v>
      </c>
    </row>
    <row r="1577" spans="1:25" ht="23.25" hidden="1" thickBot="1" x14ac:dyDescent="0.25">
      <c r="A1577" s="317">
        <v>98288</v>
      </c>
      <c r="B1577" s="895">
        <v>98288</v>
      </c>
      <c r="C1577" s="896" t="s">
        <v>596</v>
      </c>
      <c r="D1577" s="906" t="s">
        <v>1502</v>
      </c>
      <c r="E1577" s="907">
        <f>GLOBAL_DER_FEV_2023!E1577</f>
        <v>0</v>
      </c>
      <c r="F1577" s="908">
        <f>GLOBAL_DER_FEV_2023!F1577</f>
        <v>0</v>
      </c>
      <c r="G1577" s="912">
        <f>GLOBAL_DER_FEV_2023!G1577</f>
        <v>0</v>
      </c>
      <c r="H1577" s="901">
        <f>GLOBAL_DER_FEV_2023!H1577</f>
        <v>2.83</v>
      </c>
      <c r="I1577" s="901">
        <f>GLOBAL_DER_FEV_2023!I1577</f>
        <v>2.83</v>
      </c>
      <c r="J1577" s="902">
        <f>GLOBAL_DER_FEV_2023!J1577</f>
        <v>3.4</v>
      </c>
      <c r="K1577" s="903" t="s">
        <v>62</v>
      </c>
      <c r="L1577" s="1137"/>
      <c r="M1577" s="1138">
        <f t="shared" si="117"/>
        <v>0</v>
      </c>
      <c r="N1577" s="893">
        <f t="shared" si="121"/>
        <v>0</v>
      </c>
      <c r="O1577" s="905"/>
      <c r="Q1577" s="317" t="str">
        <f t="shared" si="118"/>
        <v/>
      </c>
      <c r="R1577" s="317" t="str">
        <f t="shared" si="119"/>
        <v/>
      </c>
      <c r="S1577" s="317" t="str">
        <f t="shared" si="120"/>
        <v/>
      </c>
      <c r="T1577" s="317" t="str">
        <f>GLOBAL_DER_FEV_2023!S1577</f>
        <v/>
      </c>
      <c r="W1577" s="582">
        <v>0</v>
      </c>
      <c r="X1577" s="580"/>
      <c r="Y1577" s="583">
        <f>IF(GLOBAL_DER_FEV_2023!W1577=0,0,IF(GLOBAL_DER_FEV_2023!W1577&gt;0,"c","b"))</f>
        <v>0</v>
      </c>
    </row>
    <row r="1578" spans="1:25" ht="23.25" hidden="1" thickBot="1" x14ac:dyDescent="0.25">
      <c r="A1578" s="317">
        <v>98289</v>
      </c>
      <c r="B1578" s="895">
        <v>98289</v>
      </c>
      <c r="C1578" s="896" t="s">
        <v>596</v>
      </c>
      <c r="D1578" s="906" t="s">
        <v>1503</v>
      </c>
      <c r="E1578" s="907">
        <f>GLOBAL_DER_FEV_2023!E1578</f>
        <v>0</v>
      </c>
      <c r="F1578" s="908">
        <f>GLOBAL_DER_FEV_2023!F1578</f>
        <v>0</v>
      </c>
      <c r="G1578" s="912">
        <f>GLOBAL_DER_FEV_2023!G1578</f>
        <v>0</v>
      </c>
      <c r="H1578" s="901">
        <f>GLOBAL_DER_FEV_2023!H1578</f>
        <v>3.1</v>
      </c>
      <c r="I1578" s="901">
        <f>GLOBAL_DER_FEV_2023!I1578</f>
        <v>3.1</v>
      </c>
      <c r="J1578" s="902">
        <f>GLOBAL_DER_FEV_2023!J1578</f>
        <v>3.72</v>
      </c>
      <c r="K1578" s="903" t="s">
        <v>62</v>
      </c>
      <c r="L1578" s="1137"/>
      <c r="M1578" s="1138">
        <f t="shared" si="117"/>
        <v>0</v>
      </c>
      <c r="N1578" s="893">
        <f t="shared" si="121"/>
        <v>0</v>
      </c>
      <c r="O1578" s="905"/>
      <c r="Q1578" s="317" t="str">
        <f t="shared" si="118"/>
        <v/>
      </c>
      <c r="R1578" s="317" t="str">
        <f t="shared" si="119"/>
        <v/>
      </c>
      <c r="S1578" s="317" t="str">
        <f t="shared" si="120"/>
        <v/>
      </c>
      <c r="T1578" s="317" t="str">
        <f>GLOBAL_DER_FEV_2023!S1578</f>
        <v/>
      </c>
      <c r="W1578" s="582">
        <v>0</v>
      </c>
      <c r="X1578" s="580"/>
      <c r="Y1578" s="583">
        <f>IF(GLOBAL_DER_FEV_2023!W1578=0,0,IF(GLOBAL_DER_FEV_2023!W1578&gt;0,"c","b"))</f>
        <v>0</v>
      </c>
    </row>
    <row r="1579" spans="1:25" ht="23.25" hidden="1" thickBot="1" x14ac:dyDescent="0.25">
      <c r="A1579" s="317">
        <v>98290</v>
      </c>
      <c r="B1579" s="895">
        <v>98290</v>
      </c>
      <c r="C1579" s="896" t="s">
        <v>596</v>
      </c>
      <c r="D1579" s="906" t="s">
        <v>1504</v>
      </c>
      <c r="E1579" s="907">
        <f>GLOBAL_DER_FEV_2023!E1579</f>
        <v>0</v>
      </c>
      <c r="F1579" s="908">
        <f>GLOBAL_DER_FEV_2023!F1579</f>
        <v>0</v>
      </c>
      <c r="G1579" s="912">
        <f>GLOBAL_DER_FEV_2023!G1579</f>
        <v>0</v>
      </c>
      <c r="H1579" s="901">
        <f>GLOBAL_DER_FEV_2023!H1579</f>
        <v>4.1900000000000004</v>
      </c>
      <c r="I1579" s="901">
        <f>GLOBAL_DER_FEV_2023!I1579</f>
        <v>4.1900000000000004</v>
      </c>
      <c r="J1579" s="902">
        <f>GLOBAL_DER_FEV_2023!J1579</f>
        <v>5.03</v>
      </c>
      <c r="K1579" s="903" t="s">
        <v>62</v>
      </c>
      <c r="L1579" s="1137"/>
      <c r="M1579" s="1138">
        <f t="shared" si="117"/>
        <v>0</v>
      </c>
      <c r="N1579" s="893">
        <f t="shared" si="121"/>
        <v>0</v>
      </c>
      <c r="O1579" s="905"/>
      <c r="Q1579" s="317" t="str">
        <f t="shared" si="118"/>
        <v/>
      </c>
      <c r="R1579" s="317" t="str">
        <f t="shared" si="119"/>
        <v/>
      </c>
      <c r="S1579" s="317" t="str">
        <f t="shared" si="120"/>
        <v/>
      </c>
      <c r="T1579" s="317" t="str">
        <f>GLOBAL_DER_FEV_2023!S1579</f>
        <v/>
      </c>
      <c r="W1579" s="582">
        <v>0</v>
      </c>
      <c r="X1579" s="580"/>
      <c r="Y1579" s="583">
        <f>IF(GLOBAL_DER_FEV_2023!W1579=0,0,IF(GLOBAL_DER_FEV_2023!W1579&gt;0,"c","b"))</f>
        <v>0</v>
      </c>
    </row>
    <row r="1580" spans="1:25" ht="23.25" hidden="1" thickBot="1" x14ac:dyDescent="0.25">
      <c r="A1580" s="317">
        <v>98291</v>
      </c>
      <c r="B1580" s="895">
        <v>98291</v>
      </c>
      <c r="C1580" s="896" t="s">
        <v>596</v>
      </c>
      <c r="D1580" s="906" t="s">
        <v>1505</v>
      </c>
      <c r="E1580" s="907">
        <f>GLOBAL_DER_FEV_2023!E1580</f>
        <v>0</v>
      </c>
      <c r="F1580" s="908">
        <f>GLOBAL_DER_FEV_2023!F1580</f>
        <v>0</v>
      </c>
      <c r="G1580" s="912">
        <f>GLOBAL_DER_FEV_2023!G1580</f>
        <v>0</v>
      </c>
      <c r="H1580" s="901">
        <f>GLOBAL_DER_FEV_2023!H1580</f>
        <v>4.93</v>
      </c>
      <c r="I1580" s="901">
        <f>GLOBAL_DER_FEV_2023!I1580</f>
        <v>4.93</v>
      </c>
      <c r="J1580" s="902">
        <f>GLOBAL_DER_FEV_2023!J1580</f>
        <v>5.92</v>
      </c>
      <c r="K1580" s="903" t="s">
        <v>62</v>
      </c>
      <c r="L1580" s="1137"/>
      <c r="M1580" s="1138">
        <f t="shared" si="117"/>
        <v>0</v>
      </c>
      <c r="N1580" s="893">
        <f t="shared" si="121"/>
        <v>0</v>
      </c>
      <c r="O1580" s="905"/>
      <c r="Q1580" s="317" t="str">
        <f t="shared" si="118"/>
        <v/>
      </c>
      <c r="R1580" s="317" t="str">
        <f t="shared" si="119"/>
        <v/>
      </c>
      <c r="S1580" s="317" t="str">
        <f t="shared" si="120"/>
        <v/>
      </c>
      <c r="T1580" s="317" t="str">
        <f>GLOBAL_DER_FEV_2023!S1580</f>
        <v/>
      </c>
      <c r="W1580" s="582">
        <v>0</v>
      </c>
      <c r="X1580" s="580"/>
      <c r="Y1580" s="583">
        <f>IF(GLOBAL_DER_FEV_2023!W1580=0,0,IF(GLOBAL_DER_FEV_2023!W1580&gt;0,"c","b"))</f>
        <v>0</v>
      </c>
    </row>
    <row r="1581" spans="1:25" ht="23.25" hidden="1" thickBot="1" x14ac:dyDescent="0.25">
      <c r="A1581" s="317">
        <v>98292</v>
      </c>
      <c r="B1581" s="895">
        <v>98292</v>
      </c>
      <c r="C1581" s="896" t="s">
        <v>596</v>
      </c>
      <c r="D1581" s="906" t="s">
        <v>1506</v>
      </c>
      <c r="E1581" s="907">
        <f>GLOBAL_DER_FEV_2023!E1581</f>
        <v>0</v>
      </c>
      <c r="F1581" s="908">
        <f>GLOBAL_DER_FEV_2023!F1581</f>
        <v>0</v>
      </c>
      <c r="G1581" s="912">
        <f>GLOBAL_DER_FEV_2023!G1581</f>
        <v>0</v>
      </c>
      <c r="H1581" s="901">
        <f>GLOBAL_DER_FEV_2023!H1581</f>
        <v>5.94</v>
      </c>
      <c r="I1581" s="901">
        <f>GLOBAL_DER_FEV_2023!I1581</f>
        <v>5.94</v>
      </c>
      <c r="J1581" s="902">
        <f>GLOBAL_DER_FEV_2023!J1581</f>
        <v>7.13</v>
      </c>
      <c r="K1581" s="903" t="s">
        <v>62</v>
      </c>
      <c r="L1581" s="1137"/>
      <c r="M1581" s="1138">
        <f t="shared" si="117"/>
        <v>0</v>
      </c>
      <c r="N1581" s="893">
        <f t="shared" si="121"/>
        <v>0</v>
      </c>
      <c r="O1581" s="905"/>
      <c r="Q1581" s="317" t="str">
        <f t="shared" si="118"/>
        <v/>
      </c>
      <c r="R1581" s="317" t="str">
        <f t="shared" si="119"/>
        <v/>
      </c>
      <c r="S1581" s="317" t="str">
        <f t="shared" si="120"/>
        <v/>
      </c>
      <c r="T1581" s="317" t="str">
        <f>GLOBAL_DER_FEV_2023!S1581</f>
        <v/>
      </c>
      <c r="W1581" s="582">
        <v>0</v>
      </c>
      <c r="X1581" s="580"/>
      <c r="Y1581" s="583">
        <f>IF(GLOBAL_DER_FEV_2023!W1581=0,0,IF(GLOBAL_DER_FEV_2023!W1581&gt;0,"c","b"))</f>
        <v>0</v>
      </c>
    </row>
    <row r="1582" spans="1:25" ht="13.5" hidden="1" thickBot="1" x14ac:dyDescent="0.25">
      <c r="A1582" s="317">
        <v>98397</v>
      </c>
      <c r="B1582" s="895">
        <v>98397</v>
      </c>
      <c r="C1582" s="896" t="s">
        <v>596</v>
      </c>
      <c r="D1582" s="906" t="s">
        <v>1507</v>
      </c>
      <c r="E1582" s="907">
        <f>GLOBAL_DER_FEV_2023!E1582</f>
        <v>0</v>
      </c>
      <c r="F1582" s="908">
        <f>GLOBAL_DER_FEV_2023!F1582</f>
        <v>0</v>
      </c>
      <c r="G1582" s="912">
        <f>GLOBAL_DER_FEV_2023!G1582</f>
        <v>0</v>
      </c>
      <c r="H1582" s="901">
        <f>GLOBAL_DER_FEV_2023!H1582</f>
        <v>13.82</v>
      </c>
      <c r="I1582" s="901">
        <f>GLOBAL_DER_FEV_2023!I1582</f>
        <v>13.82</v>
      </c>
      <c r="J1582" s="902">
        <f>GLOBAL_DER_FEV_2023!J1582</f>
        <v>16.59</v>
      </c>
      <c r="K1582" s="903" t="s">
        <v>1517</v>
      </c>
      <c r="L1582" s="1137"/>
      <c r="M1582" s="1138">
        <f t="shared" si="117"/>
        <v>0</v>
      </c>
      <c r="N1582" s="893">
        <f t="shared" si="121"/>
        <v>0</v>
      </c>
      <c r="O1582" s="905"/>
      <c r="Q1582" s="317" t="str">
        <f t="shared" si="118"/>
        <v/>
      </c>
      <c r="R1582" s="317" t="str">
        <f t="shared" si="119"/>
        <v/>
      </c>
      <c r="S1582" s="317" t="str">
        <f t="shared" si="120"/>
        <v/>
      </c>
      <c r="T1582" s="317" t="str">
        <f>GLOBAL_DER_FEV_2023!S1582</f>
        <v/>
      </c>
      <c r="W1582" s="582">
        <v>0</v>
      </c>
      <c r="X1582" s="580"/>
      <c r="Y1582" s="583">
        <f>IF(GLOBAL_DER_FEV_2023!W1582=0,0,IF(GLOBAL_DER_FEV_2023!W1582&gt;0,"c","b"))</f>
        <v>0</v>
      </c>
    </row>
    <row r="1583" spans="1:25" ht="34.5" hidden="1" thickBot="1" x14ac:dyDescent="0.25">
      <c r="A1583" s="317">
        <v>97327</v>
      </c>
      <c r="B1583" s="895">
        <v>97327</v>
      </c>
      <c r="C1583" s="896" t="s">
        <v>596</v>
      </c>
      <c r="D1583" s="906" t="s">
        <v>1508</v>
      </c>
      <c r="E1583" s="907">
        <f>GLOBAL_DER_FEV_2023!E1583</f>
        <v>0</v>
      </c>
      <c r="F1583" s="908">
        <f>GLOBAL_DER_FEV_2023!F1583</f>
        <v>0</v>
      </c>
      <c r="G1583" s="912">
        <f>GLOBAL_DER_FEV_2023!G1583</f>
        <v>0</v>
      </c>
      <c r="H1583" s="901">
        <f>GLOBAL_DER_FEV_2023!H1583</f>
        <v>30.58</v>
      </c>
      <c r="I1583" s="901">
        <f>GLOBAL_DER_FEV_2023!I1583</f>
        <v>30.58</v>
      </c>
      <c r="J1583" s="902">
        <f>GLOBAL_DER_FEV_2023!J1583</f>
        <v>36.72</v>
      </c>
      <c r="K1583" s="903" t="s">
        <v>62</v>
      </c>
      <c r="L1583" s="1137"/>
      <c r="M1583" s="1138">
        <f t="shared" si="117"/>
        <v>0</v>
      </c>
      <c r="N1583" s="893">
        <f t="shared" si="121"/>
        <v>0</v>
      </c>
      <c r="O1583" s="905"/>
      <c r="Q1583" s="317" t="str">
        <f t="shared" si="118"/>
        <v/>
      </c>
      <c r="R1583" s="317" t="str">
        <f t="shared" si="119"/>
        <v/>
      </c>
      <c r="S1583" s="317" t="str">
        <f t="shared" si="120"/>
        <v/>
      </c>
      <c r="T1583" s="317" t="str">
        <f>GLOBAL_DER_FEV_2023!S1583</f>
        <v/>
      </c>
      <c r="W1583" s="582">
        <v>0</v>
      </c>
      <c r="X1583" s="580"/>
      <c r="Y1583" s="583">
        <f>IF(GLOBAL_DER_FEV_2023!W1583=0,0,IF(GLOBAL_DER_FEV_2023!W1583&gt;0,"c","b"))</f>
        <v>0</v>
      </c>
    </row>
    <row r="1584" spans="1:25" ht="34.5" hidden="1" thickBot="1" x14ac:dyDescent="0.25">
      <c r="A1584" s="317">
        <v>97328</v>
      </c>
      <c r="B1584" s="895">
        <v>97328</v>
      </c>
      <c r="C1584" s="896" t="s">
        <v>596</v>
      </c>
      <c r="D1584" s="906" t="s">
        <v>1509</v>
      </c>
      <c r="E1584" s="907">
        <f>GLOBAL_DER_FEV_2023!E1584</f>
        <v>0</v>
      </c>
      <c r="F1584" s="908">
        <f>GLOBAL_DER_FEV_2023!F1584</f>
        <v>0</v>
      </c>
      <c r="G1584" s="912">
        <f>GLOBAL_DER_FEV_2023!G1584</f>
        <v>0</v>
      </c>
      <c r="H1584" s="901">
        <f>GLOBAL_DER_FEV_2023!H1584</f>
        <v>53.95</v>
      </c>
      <c r="I1584" s="901">
        <f>GLOBAL_DER_FEV_2023!I1584</f>
        <v>53.95</v>
      </c>
      <c r="J1584" s="902">
        <f>GLOBAL_DER_FEV_2023!J1584</f>
        <v>64.78</v>
      </c>
      <c r="K1584" s="903" t="s">
        <v>62</v>
      </c>
      <c r="L1584" s="1137"/>
      <c r="M1584" s="1138">
        <f t="shared" si="117"/>
        <v>0</v>
      </c>
      <c r="N1584" s="893">
        <f t="shared" si="121"/>
        <v>0</v>
      </c>
      <c r="O1584" s="905"/>
      <c r="Q1584" s="317" t="str">
        <f t="shared" si="118"/>
        <v/>
      </c>
      <c r="R1584" s="317" t="str">
        <f t="shared" si="119"/>
        <v/>
      </c>
      <c r="S1584" s="317" t="str">
        <f t="shared" si="120"/>
        <v/>
      </c>
      <c r="T1584" s="317" t="str">
        <f>GLOBAL_DER_FEV_2023!S1584</f>
        <v/>
      </c>
      <c r="W1584" s="582">
        <v>0</v>
      </c>
      <c r="X1584" s="580"/>
      <c r="Y1584" s="583">
        <f>IF(GLOBAL_DER_FEV_2023!W1584=0,0,IF(GLOBAL_DER_FEV_2023!W1584&gt;0,"c","b"))</f>
        <v>0</v>
      </c>
    </row>
    <row r="1585" spans="1:25" ht="34.5" hidden="1" thickBot="1" x14ac:dyDescent="0.25">
      <c r="A1585" s="317">
        <v>97329</v>
      </c>
      <c r="B1585" s="895">
        <v>97329</v>
      </c>
      <c r="C1585" s="896" t="s">
        <v>596</v>
      </c>
      <c r="D1585" s="906" t="s">
        <v>1510</v>
      </c>
      <c r="E1585" s="907">
        <f>GLOBAL_DER_FEV_2023!E1585</f>
        <v>0</v>
      </c>
      <c r="F1585" s="908">
        <f>GLOBAL_DER_FEV_2023!F1585</f>
        <v>0</v>
      </c>
      <c r="G1585" s="912">
        <f>GLOBAL_DER_FEV_2023!G1585</f>
        <v>0</v>
      </c>
      <c r="H1585" s="901">
        <f>GLOBAL_DER_FEV_2023!H1585</f>
        <v>66.78</v>
      </c>
      <c r="I1585" s="901">
        <f>GLOBAL_DER_FEV_2023!I1585</f>
        <v>66.78</v>
      </c>
      <c r="J1585" s="902">
        <f>GLOBAL_DER_FEV_2023!J1585</f>
        <v>80.180000000000007</v>
      </c>
      <c r="K1585" s="903" t="s">
        <v>62</v>
      </c>
      <c r="L1585" s="1137"/>
      <c r="M1585" s="1138">
        <f t="shared" si="117"/>
        <v>0</v>
      </c>
      <c r="N1585" s="893">
        <f t="shared" si="121"/>
        <v>0</v>
      </c>
      <c r="O1585" s="905"/>
      <c r="Q1585" s="317" t="str">
        <f t="shared" si="118"/>
        <v/>
      </c>
      <c r="R1585" s="317" t="str">
        <f t="shared" si="119"/>
        <v/>
      </c>
      <c r="S1585" s="317" t="str">
        <f t="shared" si="120"/>
        <v/>
      </c>
      <c r="T1585" s="317" t="str">
        <f>GLOBAL_DER_FEV_2023!S1585</f>
        <v/>
      </c>
      <c r="W1585" s="582">
        <v>0</v>
      </c>
      <c r="X1585" s="580"/>
      <c r="Y1585" s="583">
        <f>IF(GLOBAL_DER_FEV_2023!W1585=0,0,IF(GLOBAL_DER_FEV_2023!W1585&gt;0,"c","b"))</f>
        <v>0</v>
      </c>
    </row>
    <row r="1586" spans="1:25" ht="34.5" hidden="1" thickBot="1" x14ac:dyDescent="0.25">
      <c r="A1586" s="317">
        <v>97330</v>
      </c>
      <c r="B1586" s="895">
        <v>97330</v>
      </c>
      <c r="C1586" s="896" t="s">
        <v>596</v>
      </c>
      <c r="D1586" s="906" t="s">
        <v>1511</v>
      </c>
      <c r="E1586" s="907">
        <f>GLOBAL_DER_FEV_2023!E1586</f>
        <v>0</v>
      </c>
      <c r="F1586" s="908">
        <f>GLOBAL_DER_FEV_2023!F1586</f>
        <v>0</v>
      </c>
      <c r="G1586" s="912">
        <f>GLOBAL_DER_FEV_2023!G1586</f>
        <v>0</v>
      </c>
      <c r="H1586" s="901">
        <f>GLOBAL_DER_FEV_2023!H1586</f>
        <v>81.25</v>
      </c>
      <c r="I1586" s="901">
        <f>GLOBAL_DER_FEV_2023!I1586</f>
        <v>81.25</v>
      </c>
      <c r="J1586" s="902">
        <f>GLOBAL_DER_FEV_2023!J1586</f>
        <v>97.56</v>
      </c>
      <c r="K1586" s="903" t="s">
        <v>62</v>
      </c>
      <c r="L1586" s="1137"/>
      <c r="M1586" s="1138">
        <f t="shared" si="117"/>
        <v>0</v>
      </c>
      <c r="N1586" s="893">
        <f t="shared" si="121"/>
        <v>0</v>
      </c>
      <c r="O1586" s="905"/>
      <c r="Q1586" s="317" t="str">
        <f t="shared" si="118"/>
        <v/>
      </c>
      <c r="R1586" s="317" t="str">
        <f t="shared" si="119"/>
        <v/>
      </c>
      <c r="S1586" s="317" t="str">
        <f t="shared" si="120"/>
        <v/>
      </c>
      <c r="T1586" s="317" t="str">
        <f>GLOBAL_DER_FEV_2023!S1586</f>
        <v/>
      </c>
      <c r="W1586" s="582">
        <v>0</v>
      </c>
      <c r="X1586" s="580"/>
      <c r="Y1586" s="583">
        <f>IF(GLOBAL_DER_FEV_2023!W1586=0,0,IF(GLOBAL_DER_FEV_2023!W1586&gt;0,"c","b"))</f>
        <v>0</v>
      </c>
    </row>
    <row r="1587" spans="1:25" ht="34.5" hidden="1" thickBot="1" x14ac:dyDescent="0.25">
      <c r="A1587" s="317">
        <v>97331</v>
      </c>
      <c r="B1587" s="895">
        <v>97331</v>
      </c>
      <c r="C1587" s="896" t="s">
        <v>596</v>
      </c>
      <c r="D1587" s="906" t="s">
        <v>1512</v>
      </c>
      <c r="E1587" s="907">
        <f>GLOBAL_DER_FEV_2023!E1587</f>
        <v>0</v>
      </c>
      <c r="F1587" s="908">
        <f>GLOBAL_DER_FEV_2023!F1587</f>
        <v>0</v>
      </c>
      <c r="G1587" s="912">
        <f>GLOBAL_DER_FEV_2023!G1587</f>
        <v>0</v>
      </c>
      <c r="H1587" s="901">
        <f>GLOBAL_DER_FEV_2023!H1587</f>
        <v>30.98</v>
      </c>
      <c r="I1587" s="901">
        <f>GLOBAL_DER_FEV_2023!I1587</f>
        <v>30.98</v>
      </c>
      <c r="J1587" s="902">
        <f>GLOBAL_DER_FEV_2023!J1587</f>
        <v>37.200000000000003</v>
      </c>
      <c r="K1587" s="903" t="s">
        <v>62</v>
      </c>
      <c r="L1587" s="1137"/>
      <c r="M1587" s="1138">
        <f t="shared" si="117"/>
        <v>0</v>
      </c>
      <c r="N1587" s="893">
        <f t="shared" si="121"/>
        <v>0</v>
      </c>
      <c r="O1587" s="905"/>
      <c r="Q1587" s="317" t="str">
        <f t="shared" si="118"/>
        <v/>
      </c>
      <c r="R1587" s="317" t="str">
        <f t="shared" si="119"/>
        <v/>
      </c>
      <c r="S1587" s="317" t="str">
        <f t="shared" si="120"/>
        <v/>
      </c>
      <c r="T1587" s="317" t="str">
        <f>GLOBAL_DER_FEV_2023!S1587</f>
        <v/>
      </c>
      <c r="W1587" s="582">
        <v>0</v>
      </c>
      <c r="X1587" s="580"/>
      <c r="Y1587" s="583">
        <f>IF(GLOBAL_DER_FEV_2023!W1587=0,0,IF(GLOBAL_DER_FEV_2023!W1587&gt;0,"c","b"))</f>
        <v>0</v>
      </c>
    </row>
    <row r="1588" spans="1:25" ht="34.5" hidden="1" thickBot="1" x14ac:dyDescent="0.25">
      <c r="A1588" s="317">
        <v>97332</v>
      </c>
      <c r="B1588" s="895">
        <v>97332</v>
      </c>
      <c r="C1588" s="896" t="s">
        <v>596</v>
      </c>
      <c r="D1588" s="906" t="s">
        <v>1513</v>
      </c>
      <c r="E1588" s="907">
        <f>GLOBAL_DER_FEV_2023!E1588</f>
        <v>0</v>
      </c>
      <c r="F1588" s="908">
        <f>GLOBAL_DER_FEV_2023!F1588</f>
        <v>0</v>
      </c>
      <c r="G1588" s="912">
        <f>GLOBAL_DER_FEV_2023!G1588</f>
        <v>0</v>
      </c>
      <c r="H1588" s="901">
        <f>GLOBAL_DER_FEV_2023!H1588</f>
        <v>54.41</v>
      </c>
      <c r="I1588" s="901">
        <f>GLOBAL_DER_FEV_2023!I1588</f>
        <v>54.41</v>
      </c>
      <c r="J1588" s="902">
        <f>GLOBAL_DER_FEV_2023!J1588</f>
        <v>65.33</v>
      </c>
      <c r="K1588" s="903" t="s">
        <v>62</v>
      </c>
      <c r="L1588" s="1137"/>
      <c r="M1588" s="1138">
        <f t="shared" si="117"/>
        <v>0</v>
      </c>
      <c r="N1588" s="893">
        <f t="shared" si="121"/>
        <v>0</v>
      </c>
      <c r="O1588" s="905"/>
      <c r="Q1588" s="317" t="str">
        <f t="shared" si="118"/>
        <v/>
      </c>
      <c r="R1588" s="317" t="str">
        <f t="shared" si="119"/>
        <v/>
      </c>
      <c r="S1588" s="317" t="str">
        <f t="shared" si="120"/>
        <v/>
      </c>
      <c r="T1588" s="317" t="str">
        <f>GLOBAL_DER_FEV_2023!S1588</f>
        <v/>
      </c>
      <c r="W1588" s="582">
        <v>0</v>
      </c>
      <c r="X1588" s="580"/>
      <c r="Y1588" s="583">
        <f>IF(GLOBAL_DER_FEV_2023!W1588=0,0,IF(GLOBAL_DER_FEV_2023!W1588&gt;0,"c","b"))</f>
        <v>0</v>
      </c>
    </row>
    <row r="1589" spans="1:25" ht="34.5" hidden="1" thickBot="1" x14ac:dyDescent="0.25">
      <c r="A1589" s="317">
        <v>97333</v>
      </c>
      <c r="B1589" s="895">
        <v>97333</v>
      </c>
      <c r="C1589" s="896" t="s">
        <v>596</v>
      </c>
      <c r="D1589" s="906" t="s">
        <v>1514</v>
      </c>
      <c r="E1589" s="907">
        <f>GLOBAL_DER_FEV_2023!E1589</f>
        <v>0</v>
      </c>
      <c r="F1589" s="908">
        <f>GLOBAL_DER_FEV_2023!F1589</f>
        <v>0</v>
      </c>
      <c r="G1589" s="912">
        <f>GLOBAL_DER_FEV_2023!G1589</f>
        <v>0</v>
      </c>
      <c r="H1589" s="901">
        <f>GLOBAL_DER_FEV_2023!H1589</f>
        <v>67.36</v>
      </c>
      <c r="I1589" s="901">
        <f>GLOBAL_DER_FEV_2023!I1589</f>
        <v>67.36</v>
      </c>
      <c r="J1589" s="902">
        <f>GLOBAL_DER_FEV_2023!J1589</f>
        <v>80.88</v>
      </c>
      <c r="K1589" s="903" t="s">
        <v>62</v>
      </c>
      <c r="L1589" s="1137"/>
      <c r="M1589" s="1138">
        <f t="shared" si="117"/>
        <v>0</v>
      </c>
      <c r="N1589" s="893">
        <f t="shared" si="121"/>
        <v>0</v>
      </c>
      <c r="O1589" s="905"/>
      <c r="Q1589" s="317" t="str">
        <f t="shared" si="118"/>
        <v/>
      </c>
      <c r="R1589" s="317" t="str">
        <f t="shared" si="119"/>
        <v/>
      </c>
      <c r="S1589" s="317" t="str">
        <f t="shared" si="120"/>
        <v/>
      </c>
      <c r="T1589" s="317" t="str">
        <f>GLOBAL_DER_FEV_2023!S1589</f>
        <v/>
      </c>
      <c r="W1589" s="582">
        <v>0</v>
      </c>
      <c r="X1589" s="580"/>
      <c r="Y1589" s="583">
        <f>IF(GLOBAL_DER_FEV_2023!W1589=0,0,IF(GLOBAL_DER_FEV_2023!W1589&gt;0,"c","b"))</f>
        <v>0</v>
      </c>
    </row>
    <row r="1590" spans="1:25" ht="34.5" hidden="1" thickBot="1" x14ac:dyDescent="0.25">
      <c r="A1590" s="317">
        <v>97334</v>
      </c>
      <c r="B1590" s="895">
        <v>97334</v>
      </c>
      <c r="C1590" s="896" t="s">
        <v>596</v>
      </c>
      <c r="D1590" s="906" t="s">
        <v>1515</v>
      </c>
      <c r="E1590" s="907">
        <f>GLOBAL_DER_FEV_2023!E1590</f>
        <v>0</v>
      </c>
      <c r="F1590" s="908">
        <f>GLOBAL_DER_FEV_2023!F1590</f>
        <v>0</v>
      </c>
      <c r="G1590" s="912">
        <f>GLOBAL_DER_FEV_2023!G1590</f>
        <v>0</v>
      </c>
      <c r="H1590" s="901">
        <f>GLOBAL_DER_FEV_2023!H1590</f>
        <v>81.89</v>
      </c>
      <c r="I1590" s="901">
        <f>GLOBAL_DER_FEV_2023!I1590</f>
        <v>81.89</v>
      </c>
      <c r="J1590" s="902">
        <f>GLOBAL_DER_FEV_2023!J1590</f>
        <v>98.33</v>
      </c>
      <c r="K1590" s="903" t="s">
        <v>62</v>
      </c>
      <c r="L1590" s="1137"/>
      <c r="M1590" s="1138">
        <f t="shared" si="117"/>
        <v>0</v>
      </c>
      <c r="N1590" s="893">
        <f t="shared" si="121"/>
        <v>0</v>
      </c>
      <c r="O1590" s="905"/>
      <c r="Q1590" s="317" t="str">
        <f t="shared" si="118"/>
        <v/>
      </c>
      <c r="R1590" s="317" t="str">
        <f t="shared" si="119"/>
        <v/>
      </c>
      <c r="S1590" s="317" t="str">
        <f t="shared" si="120"/>
        <v/>
      </c>
      <c r="T1590" s="317" t="str">
        <f>GLOBAL_DER_FEV_2023!S1590</f>
        <v/>
      </c>
      <c r="W1590" s="582">
        <v>0</v>
      </c>
      <c r="X1590" s="580"/>
      <c r="Y1590" s="583">
        <f>IF(GLOBAL_DER_FEV_2023!W1590=0,0,IF(GLOBAL_DER_FEV_2023!W1590&gt;0,"c","b"))</f>
        <v>0</v>
      </c>
    </row>
    <row r="1591" spans="1:25" ht="15" hidden="1" customHeight="1" x14ac:dyDescent="0.2">
      <c r="A1591" s="317">
        <v>844000</v>
      </c>
      <c r="B1591" s="895">
        <v>844000</v>
      </c>
      <c r="C1591" s="896" t="s">
        <v>184</v>
      </c>
      <c r="D1591" s="906" t="s">
        <v>486</v>
      </c>
      <c r="E1591" s="907">
        <f>GLOBAL_DER_FEV_2023!E1591</f>
        <v>0</v>
      </c>
      <c r="F1591" s="908">
        <f>GLOBAL_DER_FEV_2023!F1591</f>
        <v>0</v>
      </c>
      <c r="G1591" s="912">
        <f>GLOBAL_DER_FEV_2023!G1591</f>
        <v>0</v>
      </c>
      <c r="H1591" s="901">
        <f>GLOBAL_DER_FEV_2023!H1591</f>
        <v>5276</v>
      </c>
      <c r="I1591" s="901">
        <f>GLOBAL_DER_FEV_2023!I1591</f>
        <v>5276</v>
      </c>
      <c r="J1591" s="902">
        <f>GLOBAL_DER_FEV_2023!J1591</f>
        <v>6334.89</v>
      </c>
      <c r="K1591" s="903" t="s">
        <v>15</v>
      </c>
      <c r="L1591" s="1137"/>
      <c r="M1591" s="1138">
        <f t="shared" si="117"/>
        <v>0</v>
      </c>
      <c r="N1591" s="893">
        <f t="shared" si="121"/>
        <v>0</v>
      </c>
      <c r="O1591" s="905"/>
      <c r="Q1591" s="317" t="str">
        <f t="shared" si="118"/>
        <v/>
      </c>
      <c r="R1591" s="317" t="str">
        <f t="shared" si="119"/>
        <v/>
      </c>
      <c r="S1591" s="317" t="str">
        <f t="shared" si="120"/>
        <v/>
      </c>
      <c r="T1591" s="317" t="str">
        <f>GLOBAL_DER_FEV_2023!S1591</f>
        <v/>
      </c>
      <c r="W1591" s="582">
        <v>0</v>
      </c>
      <c r="X1591" s="580"/>
      <c r="Y1591" s="583">
        <f>IF(GLOBAL_DER_FEV_2023!W1591=0,0,IF(GLOBAL_DER_FEV_2023!W1591&gt;0,"c","b"))</f>
        <v>0</v>
      </c>
    </row>
    <row r="1592" spans="1:25" ht="15" hidden="1" customHeight="1" x14ac:dyDescent="0.2">
      <c r="A1592" s="640" t="s">
        <v>165</v>
      </c>
      <c r="B1592" s="913" t="s">
        <v>165</v>
      </c>
      <c r="C1592" s="914"/>
      <c r="D1592" s="915" t="s">
        <v>475</v>
      </c>
      <c r="E1592" s="916">
        <f>GLOBAL_DER_FEV_2023!E1592</f>
        <v>0</v>
      </c>
      <c r="F1592" s="917">
        <f>GLOBAL_DER_FEV_2023!F1592</f>
        <v>0</v>
      </c>
      <c r="G1592" s="918">
        <f>GLOBAL_DER_FEV_2023!G1592</f>
        <v>0</v>
      </c>
      <c r="H1592" s="919">
        <f>GLOBAL_DER_FEV_2023!H1592</f>
        <v>0</v>
      </c>
      <c r="I1592" s="919">
        <f>GLOBAL_DER_FEV_2023!I1592</f>
        <v>0</v>
      </c>
      <c r="J1592" s="919">
        <f>GLOBAL_DER_FEV_2023!J1592</f>
        <v>0</v>
      </c>
      <c r="K1592" s="920" t="s">
        <v>507</v>
      </c>
      <c r="L1592" s="1162"/>
      <c r="M1592" s="1138">
        <f t="shared" si="117"/>
        <v>0</v>
      </c>
      <c r="N1592" s="1164">
        <f t="shared" si="121"/>
        <v>0</v>
      </c>
      <c r="O1592" s="1165"/>
      <c r="P1592" s="58" t="str">
        <f>IF(OR(SUM(N1593:N1624)&gt;0,SUM(N1593:N1624)&gt;0),"y","")</f>
        <v/>
      </c>
      <c r="Q1592" s="317" t="str">
        <f t="shared" si="118"/>
        <v/>
      </c>
      <c r="R1592" s="317" t="str">
        <f t="shared" si="119"/>
        <v/>
      </c>
      <c r="S1592" s="317" t="str">
        <f t="shared" si="120"/>
        <v/>
      </c>
      <c r="T1592" s="317" t="str">
        <f>GLOBAL_DER_FEV_2023!S1592</f>
        <v/>
      </c>
      <c r="W1592" s="582">
        <v>0</v>
      </c>
      <c r="X1592" s="580"/>
      <c r="Y1592" s="583">
        <f>IF(GLOBAL_DER_FEV_2023!W1592=0,0,IF(GLOBAL_DER_FEV_2023!W1592&gt;0,"c","b"))</f>
        <v>0</v>
      </c>
    </row>
    <row r="1593" spans="1:25" ht="15" hidden="1" customHeight="1" x14ac:dyDescent="0.2">
      <c r="A1593" s="640" t="s">
        <v>165</v>
      </c>
      <c r="B1593" s="1036" t="str">
        <f>GLOBAL_DER_FEV_2023!B1593</f>
        <v/>
      </c>
      <c r="C1593" s="1072" t="str">
        <f>GLOBAL_DER_FEV_2023!C1593</f>
        <v/>
      </c>
      <c r="D1593" s="1141">
        <f>GLOBAL_DER_FEV_2023!D1593</f>
        <v>0</v>
      </c>
      <c r="E1593" s="907">
        <f>GLOBAL_DER_FEV_2023!E1593</f>
        <v>0</v>
      </c>
      <c r="F1593" s="908">
        <f>GLOBAL_DER_FEV_2023!F1593</f>
        <v>0</v>
      </c>
      <c r="G1593" s="912">
        <f>GLOBAL_DER_FEV_2023!G1593</f>
        <v>0</v>
      </c>
      <c r="H1593" s="901">
        <f>GLOBAL_DER_FEV_2023!H1593</f>
        <v>0</v>
      </c>
      <c r="I1593" s="901" t="str">
        <f>GLOBAL_DER_FEV_2023!I1593</f>
        <v/>
      </c>
      <c r="J1593" s="890">
        <f>GLOBAL_DER_FEV_2023!J1593</f>
        <v>0</v>
      </c>
      <c r="K1593" s="903" t="str">
        <f>GLOBAL_DER_FEV_2023!K1593</f>
        <v xml:space="preserve">     </v>
      </c>
      <c r="L1593" s="1137"/>
      <c r="M1593" s="1138">
        <f t="shared" si="117"/>
        <v>0</v>
      </c>
      <c r="N1593" s="1167">
        <f t="shared" si="121"/>
        <v>0</v>
      </c>
      <c r="O1593" s="1165"/>
      <c r="Q1593" s="317" t="str">
        <f t="shared" si="118"/>
        <v/>
      </c>
      <c r="R1593" s="317" t="str">
        <f t="shared" si="119"/>
        <v/>
      </c>
      <c r="S1593" s="317" t="str">
        <f t="shared" si="120"/>
        <v/>
      </c>
      <c r="T1593" s="317" t="str">
        <f>GLOBAL_DER_FEV_2023!S1593</f>
        <v/>
      </c>
      <c r="W1593" s="582">
        <v>0</v>
      </c>
      <c r="X1593" s="580"/>
      <c r="Y1593" s="583">
        <f>IF(GLOBAL_DER_FEV_2023!W1593=0,0,IF(GLOBAL_DER_FEV_2023!W1593&gt;0,"c","b"))</f>
        <v>0</v>
      </c>
    </row>
    <row r="1594" spans="1:25" ht="15" hidden="1" customHeight="1" x14ac:dyDescent="0.2">
      <c r="A1594" s="640" t="s">
        <v>165</v>
      </c>
      <c r="B1594" s="1036" t="str">
        <f>GLOBAL_DER_FEV_2023!B1594</f>
        <v/>
      </c>
      <c r="C1594" s="1072" t="str">
        <f>GLOBAL_DER_FEV_2023!C1594</f>
        <v/>
      </c>
      <c r="D1594" s="1141">
        <f>GLOBAL_DER_FEV_2023!D1594</f>
        <v>0</v>
      </c>
      <c r="E1594" s="907">
        <f>GLOBAL_DER_FEV_2023!E1594</f>
        <v>0</v>
      </c>
      <c r="F1594" s="908">
        <f>GLOBAL_DER_FEV_2023!F1594</f>
        <v>0</v>
      </c>
      <c r="G1594" s="912">
        <f>GLOBAL_DER_FEV_2023!G1594</f>
        <v>0</v>
      </c>
      <c r="H1594" s="901">
        <f>GLOBAL_DER_FEV_2023!H1594</f>
        <v>0</v>
      </c>
      <c r="I1594" s="901" t="str">
        <f>GLOBAL_DER_FEV_2023!I1594</f>
        <v/>
      </c>
      <c r="J1594" s="890">
        <f>GLOBAL_DER_FEV_2023!J1594</f>
        <v>0</v>
      </c>
      <c r="K1594" s="903" t="str">
        <f>GLOBAL_DER_FEV_2023!K1594</f>
        <v xml:space="preserve">     </v>
      </c>
      <c r="L1594" s="1137"/>
      <c r="M1594" s="1138">
        <f t="shared" si="117"/>
        <v>0</v>
      </c>
      <c r="N1594" s="1167">
        <f t="shared" si="121"/>
        <v>0</v>
      </c>
      <c r="O1594" s="1165"/>
      <c r="Q1594" s="317" t="str">
        <f t="shared" si="118"/>
        <v/>
      </c>
      <c r="R1594" s="317" t="str">
        <f t="shared" si="119"/>
        <v/>
      </c>
      <c r="S1594" s="317" t="str">
        <f t="shared" si="120"/>
        <v/>
      </c>
      <c r="T1594" s="317" t="str">
        <f>GLOBAL_DER_FEV_2023!S1594</f>
        <v/>
      </c>
      <c r="W1594" s="582">
        <v>0</v>
      </c>
      <c r="X1594" s="580"/>
      <c r="Y1594" s="583">
        <f>IF(GLOBAL_DER_FEV_2023!W1594=0,0,IF(GLOBAL_DER_FEV_2023!W1594&gt;0,"c","b"))</f>
        <v>0</v>
      </c>
    </row>
    <row r="1595" spans="1:25" ht="15" hidden="1" customHeight="1" x14ac:dyDescent="0.2">
      <c r="A1595" s="640" t="s">
        <v>165</v>
      </c>
      <c r="B1595" s="1036" t="str">
        <f>GLOBAL_DER_FEV_2023!B1595</f>
        <v/>
      </c>
      <c r="C1595" s="1072" t="str">
        <f>GLOBAL_DER_FEV_2023!C1595</f>
        <v/>
      </c>
      <c r="D1595" s="1141">
        <f>GLOBAL_DER_FEV_2023!D1595</f>
        <v>0</v>
      </c>
      <c r="E1595" s="907">
        <f>GLOBAL_DER_FEV_2023!E1595</f>
        <v>0</v>
      </c>
      <c r="F1595" s="908">
        <f>GLOBAL_DER_FEV_2023!F1595</f>
        <v>0</v>
      </c>
      <c r="G1595" s="912">
        <f>GLOBAL_DER_FEV_2023!G1595</f>
        <v>0</v>
      </c>
      <c r="H1595" s="901">
        <f>GLOBAL_DER_FEV_2023!H1595</f>
        <v>0</v>
      </c>
      <c r="I1595" s="901" t="str">
        <f>GLOBAL_DER_FEV_2023!I1595</f>
        <v/>
      </c>
      <c r="J1595" s="890">
        <f>GLOBAL_DER_FEV_2023!J1595</f>
        <v>0</v>
      </c>
      <c r="K1595" s="903" t="str">
        <f>GLOBAL_DER_FEV_2023!K1595</f>
        <v xml:space="preserve">     </v>
      </c>
      <c r="L1595" s="1137"/>
      <c r="M1595" s="1138">
        <f t="shared" si="117"/>
        <v>0</v>
      </c>
      <c r="N1595" s="1167">
        <f t="shared" si="121"/>
        <v>0</v>
      </c>
      <c r="O1595" s="1165"/>
      <c r="Q1595" s="317" t="str">
        <f t="shared" si="118"/>
        <v/>
      </c>
      <c r="R1595" s="317" t="str">
        <f t="shared" si="119"/>
        <v/>
      </c>
      <c r="S1595" s="317" t="str">
        <f t="shared" si="120"/>
        <v/>
      </c>
      <c r="T1595" s="317" t="str">
        <f>GLOBAL_DER_FEV_2023!S1595</f>
        <v/>
      </c>
      <c r="W1595" s="582">
        <v>0</v>
      </c>
      <c r="X1595" s="580"/>
      <c r="Y1595" s="583">
        <f>IF(GLOBAL_DER_FEV_2023!W1595=0,0,IF(GLOBAL_DER_FEV_2023!W1595&gt;0,"c","b"))</f>
        <v>0</v>
      </c>
    </row>
    <row r="1596" spans="1:25" ht="15" hidden="1" customHeight="1" x14ac:dyDescent="0.2">
      <c r="A1596" s="640" t="s">
        <v>165</v>
      </c>
      <c r="B1596" s="1036" t="str">
        <f>GLOBAL_DER_FEV_2023!B1596</f>
        <v/>
      </c>
      <c r="C1596" s="1072" t="str">
        <f>GLOBAL_DER_FEV_2023!C1596</f>
        <v/>
      </c>
      <c r="D1596" s="1141">
        <f>GLOBAL_DER_FEV_2023!D1596</f>
        <v>0</v>
      </c>
      <c r="E1596" s="907">
        <f>GLOBAL_DER_FEV_2023!E1596</f>
        <v>0</v>
      </c>
      <c r="F1596" s="908">
        <f>GLOBAL_DER_FEV_2023!F1596</f>
        <v>0</v>
      </c>
      <c r="G1596" s="912">
        <f>GLOBAL_DER_FEV_2023!G1596</f>
        <v>0</v>
      </c>
      <c r="H1596" s="901">
        <f>GLOBAL_DER_FEV_2023!H1596</f>
        <v>0</v>
      </c>
      <c r="I1596" s="901" t="str">
        <f>GLOBAL_DER_FEV_2023!I1596</f>
        <v/>
      </c>
      <c r="J1596" s="890">
        <f>GLOBAL_DER_FEV_2023!J1596</f>
        <v>0</v>
      </c>
      <c r="K1596" s="903" t="str">
        <f>GLOBAL_DER_FEV_2023!K1596</f>
        <v xml:space="preserve">     </v>
      </c>
      <c r="L1596" s="1137"/>
      <c r="M1596" s="1138">
        <f t="shared" si="117"/>
        <v>0</v>
      </c>
      <c r="N1596" s="1167">
        <f t="shared" si="121"/>
        <v>0</v>
      </c>
      <c r="O1596" s="1165"/>
      <c r="Q1596" s="317" t="str">
        <f t="shared" si="118"/>
        <v/>
      </c>
      <c r="R1596" s="317" t="str">
        <f t="shared" si="119"/>
        <v/>
      </c>
      <c r="S1596" s="317" t="str">
        <f t="shared" si="120"/>
        <v/>
      </c>
      <c r="T1596" s="317" t="str">
        <f>GLOBAL_DER_FEV_2023!S1596</f>
        <v/>
      </c>
      <c r="W1596" s="582">
        <v>0</v>
      </c>
      <c r="X1596" s="580"/>
      <c r="Y1596" s="583">
        <f>IF(GLOBAL_DER_FEV_2023!W1596=0,0,IF(GLOBAL_DER_FEV_2023!W1596&gt;0,"c","b"))</f>
        <v>0</v>
      </c>
    </row>
    <row r="1597" spans="1:25" ht="15" hidden="1" customHeight="1" x14ac:dyDescent="0.2">
      <c r="A1597" s="640" t="s">
        <v>165</v>
      </c>
      <c r="B1597" s="1036" t="str">
        <f>GLOBAL_DER_FEV_2023!B1597</f>
        <v/>
      </c>
      <c r="C1597" s="1072" t="str">
        <f>GLOBAL_DER_FEV_2023!C1597</f>
        <v/>
      </c>
      <c r="D1597" s="1141">
        <f>GLOBAL_DER_FEV_2023!D1597</f>
        <v>0</v>
      </c>
      <c r="E1597" s="907">
        <f>GLOBAL_DER_FEV_2023!E1597</f>
        <v>0</v>
      </c>
      <c r="F1597" s="908">
        <f>GLOBAL_DER_FEV_2023!F1597</f>
        <v>0</v>
      </c>
      <c r="G1597" s="912">
        <f>GLOBAL_DER_FEV_2023!G1597</f>
        <v>0</v>
      </c>
      <c r="H1597" s="901">
        <f>GLOBAL_DER_FEV_2023!H1597</f>
        <v>0</v>
      </c>
      <c r="I1597" s="901" t="str">
        <f>GLOBAL_DER_FEV_2023!I1597</f>
        <v/>
      </c>
      <c r="J1597" s="890">
        <f>GLOBAL_DER_FEV_2023!J1597</f>
        <v>0</v>
      </c>
      <c r="K1597" s="903" t="str">
        <f>GLOBAL_DER_FEV_2023!K1597</f>
        <v xml:space="preserve">     </v>
      </c>
      <c r="L1597" s="1137"/>
      <c r="M1597" s="1138">
        <f t="shared" si="117"/>
        <v>0</v>
      </c>
      <c r="N1597" s="1167">
        <f t="shared" si="121"/>
        <v>0</v>
      </c>
      <c r="O1597" s="1165"/>
      <c r="Q1597" s="317" t="str">
        <f t="shared" si="118"/>
        <v/>
      </c>
      <c r="R1597" s="317" t="str">
        <f t="shared" si="119"/>
        <v/>
      </c>
      <c r="S1597" s="317" t="str">
        <f t="shared" si="120"/>
        <v/>
      </c>
      <c r="T1597" s="317" t="str">
        <f>GLOBAL_DER_FEV_2023!S1597</f>
        <v/>
      </c>
      <c r="W1597" s="582">
        <v>0</v>
      </c>
      <c r="X1597" s="580"/>
      <c r="Y1597" s="583">
        <f>IF(GLOBAL_DER_FEV_2023!W1597=0,0,IF(GLOBAL_DER_FEV_2023!W1597&gt;0,"c","b"))</f>
        <v>0</v>
      </c>
    </row>
    <row r="1598" spans="1:25" ht="15" hidden="1" customHeight="1" x14ac:dyDescent="0.2">
      <c r="A1598" s="640" t="s">
        <v>165</v>
      </c>
      <c r="B1598" s="1036" t="str">
        <f>GLOBAL_DER_FEV_2023!B1598</f>
        <v/>
      </c>
      <c r="C1598" s="1072" t="str">
        <f>GLOBAL_DER_FEV_2023!C1598</f>
        <v/>
      </c>
      <c r="D1598" s="1141">
        <f>GLOBAL_DER_FEV_2023!D1598</f>
        <v>0</v>
      </c>
      <c r="E1598" s="907">
        <f>GLOBAL_DER_FEV_2023!E1598</f>
        <v>0</v>
      </c>
      <c r="F1598" s="908">
        <f>GLOBAL_DER_FEV_2023!F1598</f>
        <v>0</v>
      </c>
      <c r="G1598" s="912">
        <f>GLOBAL_DER_FEV_2023!G1598</f>
        <v>0</v>
      </c>
      <c r="H1598" s="901">
        <f>GLOBAL_DER_FEV_2023!H1598</f>
        <v>0</v>
      </c>
      <c r="I1598" s="901" t="str">
        <f>GLOBAL_DER_FEV_2023!I1598</f>
        <v/>
      </c>
      <c r="J1598" s="890">
        <f>GLOBAL_DER_FEV_2023!J1598</f>
        <v>0</v>
      </c>
      <c r="K1598" s="903" t="str">
        <f>GLOBAL_DER_FEV_2023!K1598</f>
        <v xml:space="preserve">     </v>
      </c>
      <c r="L1598" s="1137"/>
      <c r="M1598" s="1138">
        <f t="shared" si="117"/>
        <v>0</v>
      </c>
      <c r="N1598" s="1167">
        <f t="shared" si="121"/>
        <v>0</v>
      </c>
      <c r="O1598" s="1165"/>
      <c r="Q1598" s="317" t="str">
        <f t="shared" si="118"/>
        <v/>
      </c>
      <c r="R1598" s="317" t="str">
        <f t="shared" si="119"/>
        <v/>
      </c>
      <c r="S1598" s="317" t="str">
        <f t="shared" si="120"/>
        <v/>
      </c>
      <c r="T1598" s="317" t="str">
        <f>GLOBAL_DER_FEV_2023!S1598</f>
        <v/>
      </c>
      <c r="W1598" s="582">
        <v>0</v>
      </c>
      <c r="X1598" s="580"/>
      <c r="Y1598" s="583">
        <f>IF(GLOBAL_DER_FEV_2023!W1598=0,0,IF(GLOBAL_DER_FEV_2023!W1598&gt;0,"c","b"))</f>
        <v>0</v>
      </c>
    </row>
    <row r="1599" spans="1:25" ht="15" hidden="1" customHeight="1" x14ac:dyDescent="0.2">
      <c r="A1599" s="640" t="s">
        <v>165</v>
      </c>
      <c r="B1599" s="1036" t="str">
        <f>GLOBAL_DER_FEV_2023!B1599</f>
        <v/>
      </c>
      <c r="C1599" s="1072" t="str">
        <f>GLOBAL_DER_FEV_2023!C1599</f>
        <v/>
      </c>
      <c r="D1599" s="1141">
        <f>GLOBAL_DER_FEV_2023!D1599</f>
        <v>0</v>
      </c>
      <c r="E1599" s="907">
        <f>GLOBAL_DER_FEV_2023!E1599</f>
        <v>0</v>
      </c>
      <c r="F1599" s="908">
        <f>GLOBAL_DER_FEV_2023!F1599</f>
        <v>0</v>
      </c>
      <c r="G1599" s="912">
        <f>GLOBAL_DER_FEV_2023!G1599</f>
        <v>0</v>
      </c>
      <c r="H1599" s="901">
        <f>GLOBAL_DER_FEV_2023!H1599</f>
        <v>0</v>
      </c>
      <c r="I1599" s="901" t="str">
        <f>GLOBAL_DER_FEV_2023!I1599</f>
        <v/>
      </c>
      <c r="J1599" s="890">
        <f>GLOBAL_DER_FEV_2023!J1599</f>
        <v>0</v>
      </c>
      <c r="K1599" s="903" t="str">
        <f>GLOBAL_DER_FEV_2023!K1599</f>
        <v xml:space="preserve">     </v>
      </c>
      <c r="L1599" s="1137"/>
      <c r="M1599" s="1138">
        <f t="shared" si="117"/>
        <v>0</v>
      </c>
      <c r="N1599" s="1167">
        <f t="shared" si="121"/>
        <v>0</v>
      </c>
      <c r="O1599" s="1165"/>
      <c r="Q1599" s="317" t="str">
        <f t="shared" si="118"/>
        <v/>
      </c>
      <c r="R1599" s="317" t="str">
        <f t="shared" si="119"/>
        <v/>
      </c>
      <c r="S1599" s="317" t="str">
        <f t="shared" si="120"/>
        <v/>
      </c>
      <c r="T1599" s="317" t="str">
        <f>GLOBAL_DER_FEV_2023!S1599</f>
        <v/>
      </c>
      <c r="W1599" s="582">
        <v>0</v>
      </c>
      <c r="X1599" s="580"/>
      <c r="Y1599" s="583">
        <f>IF(GLOBAL_DER_FEV_2023!W1599=0,0,IF(GLOBAL_DER_FEV_2023!W1599&gt;0,"c","b"))</f>
        <v>0</v>
      </c>
    </row>
    <row r="1600" spans="1:25" ht="15" hidden="1" customHeight="1" x14ac:dyDescent="0.2">
      <c r="A1600" s="640" t="s">
        <v>165</v>
      </c>
      <c r="B1600" s="1036" t="str">
        <f>GLOBAL_DER_FEV_2023!B1600</f>
        <v/>
      </c>
      <c r="C1600" s="1072" t="str">
        <f>GLOBAL_DER_FEV_2023!C1600</f>
        <v/>
      </c>
      <c r="D1600" s="1141">
        <f>GLOBAL_DER_FEV_2023!D1600</f>
        <v>0</v>
      </c>
      <c r="E1600" s="907">
        <f>GLOBAL_DER_FEV_2023!E1600</f>
        <v>0</v>
      </c>
      <c r="F1600" s="908">
        <f>GLOBAL_DER_FEV_2023!F1600</f>
        <v>0</v>
      </c>
      <c r="G1600" s="912">
        <f>GLOBAL_DER_FEV_2023!G1600</f>
        <v>0</v>
      </c>
      <c r="H1600" s="901">
        <f>GLOBAL_DER_FEV_2023!H1600</f>
        <v>0</v>
      </c>
      <c r="I1600" s="901" t="str">
        <f>GLOBAL_DER_FEV_2023!I1600</f>
        <v/>
      </c>
      <c r="J1600" s="890">
        <f>GLOBAL_DER_FEV_2023!J1600</f>
        <v>0</v>
      </c>
      <c r="K1600" s="903" t="str">
        <f>GLOBAL_DER_FEV_2023!K1600</f>
        <v xml:space="preserve">     </v>
      </c>
      <c r="L1600" s="1137"/>
      <c r="M1600" s="1138">
        <f t="shared" si="117"/>
        <v>0</v>
      </c>
      <c r="N1600" s="1167">
        <f t="shared" si="121"/>
        <v>0</v>
      </c>
      <c r="O1600" s="1165"/>
      <c r="Q1600" s="317" t="str">
        <f t="shared" si="118"/>
        <v/>
      </c>
      <c r="R1600" s="317" t="str">
        <f t="shared" si="119"/>
        <v/>
      </c>
      <c r="S1600" s="317" t="str">
        <f t="shared" si="120"/>
        <v/>
      </c>
      <c r="T1600" s="317" t="str">
        <f>GLOBAL_DER_FEV_2023!S1600</f>
        <v/>
      </c>
      <c r="W1600" s="582">
        <v>0</v>
      </c>
      <c r="X1600" s="580"/>
      <c r="Y1600" s="583">
        <f>IF(GLOBAL_DER_FEV_2023!W1600=0,0,IF(GLOBAL_DER_FEV_2023!W1600&gt;0,"c","b"))</f>
        <v>0</v>
      </c>
    </row>
    <row r="1601" spans="1:25" ht="15" hidden="1" customHeight="1" x14ac:dyDescent="0.2">
      <c r="A1601" s="640" t="s">
        <v>165</v>
      </c>
      <c r="B1601" s="1036" t="str">
        <f>GLOBAL_DER_FEV_2023!B1601</f>
        <v/>
      </c>
      <c r="C1601" s="1072" t="str">
        <f>GLOBAL_DER_FEV_2023!C1601</f>
        <v/>
      </c>
      <c r="D1601" s="1141">
        <f>GLOBAL_DER_FEV_2023!D1601</f>
        <v>0</v>
      </c>
      <c r="E1601" s="907">
        <f>GLOBAL_DER_FEV_2023!E1601</f>
        <v>0</v>
      </c>
      <c r="F1601" s="908">
        <f>GLOBAL_DER_FEV_2023!F1601</f>
        <v>0</v>
      </c>
      <c r="G1601" s="912">
        <f>GLOBAL_DER_FEV_2023!G1601</f>
        <v>0</v>
      </c>
      <c r="H1601" s="901">
        <f>GLOBAL_DER_FEV_2023!H1601</f>
        <v>0</v>
      </c>
      <c r="I1601" s="901" t="str">
        <f>GLOBAL_DER_FEV_2023!I1601</f>
        <v/>
      </c>
      <c r="J1601" s="890">
        <f>GLOBAL_DER_FEV_2023!J1601</f>
        <v>0</v>
      </c>
      <c r="K1601" s="903" t="str">
        <f>GLOBAL_DER_FEV_2023!K1601</f>
        <v xml:space="preserve">     </v>
      </c>
      <c r="L1601" s="1137"/>
      <c r="M1601" s="1138">
        <f t="shared" si="117"/>
        <v>0</v>
      </c>
      <c r="N1601" s="1167">
        <f t="shared" si="121"/>
        <v>0</v>
      </c>
      <c r="O1601" s="1165"/>
      <c r="Q1601" s="317" t="str">
        <f t="shared" si="118"/>
        <v/>
      </c>
      <c r="R1601" s="317" t="str">
        <f t="shared" si="119"/>
        <v/>
      </c>
      <c r="S1601" s="317" t="str">
        <f t="shared" si="120"/>
        <v/>
      </c>
      <c r="T1601" s="317" t="str">
        <f>GLOBAL_DER_FEV_2023!S1601</f>
        <v/>
      </c>
      <c r="W1601" s="582">
        <v>0</v>
      </c>
      <c r="X1601" s="580"/>
      <c r="Y1601" s="583">
        <f>IF(GLOBAL_DER_FEV_2023!W1601=0,0,IF(GLOBAL_DER_FEV_2023!W1601&gt;0,"c","b"))</f>
        <v>0</v>
      </c>
    </row>
    <row r="1602" spans="1:25" ht="15" hidden="1" customHeight="1" x14ac:dyDescent="0.2">
      <c r="A1602" s="640" t="s">
        <v>165</v>
      </c>
      <c r="B1602" s="1036" t="str">
        <f>GLOBAL_DER_FEV_2023!B1602</f>
        <v/>
      </c>
      <c r="C1602" s="1072" t="str">
        <f>GLOBAL_DER_FEV_2023!C1602</f>
        <v/>
      </c>
      <c r="D1602" s="1141">
        <f>GLOBAL_DER_FEV_2023!D1602</f>
        <v>0</v>
      </c>
      <c r="E1602" s="907">
        <f>GLOBAL_DER_FEV_2023!E1602</f>
        <v>0</v>
      </c>
      <c r="F1602" s="908">
        <f>GLOBAL_DER_FEV_2023!F1602</f>
        <v>0</v>
      </c>
      <c r="G1602" s="912">
        <f>GLOBAL_DER_FEV_2023!G1602</f>
        <v>0</v>
      </c>
      <c r="H1602" s="901">
        <f>GLOBAL_DER_FEV_2023!H1602</f>
        <v>0</v>
      </c>
      <c r="I1602" s="901" t="str">
        <f>GLOBAL_DER_FEV_2023!I1602</f>
        <v/>
      </c>
      <c r="J1602" s="890">
        <f>GLOBAL_DER_FEV_2023!J1602</f>
        <v>0</v>
      </c>
      <c r="K1602" s="903" t="str">
        <f>GLOBAL_DER_FEV_2023!K1602</f>
        <v xml:space="preserve">     </v>
      </c>
      <c r="L1602" s="1137"/>
      <c r="M1602" s="1138">
        <f t="shared" si="117"/>
        <v>0</v>
      </c>
      <c r="N1602" s="1167">
        <f t="shared" si="121"/>
        <v>0</v>
      </c>
      <c r="O1602" s="1165"/>
      <c r="Q1602" s="317" t="str">
        <f t="shared" si="118"/>
        <v/>
      </c>
      <c r="R1602" s="317" t="str">
        <f t="shared" si="119"/>
        <v/>
      </c>
      <c r="S1602" s="317" t="str">
        <f t="shared" si="120"/>
        <v/>
      </c>
      <c r="T1602" s="317" t="str">
        <f>GLOBAL_DER_FEV_2023!S1602</f>
        <v/>
      </c>
      <c r="W1602" s="582">
        <v>0</v>
      </c>
      <c r="X1602" s="580"/>
      <c r="Y1602" s="583">
        <f>IF(GLOBAL_DER_FEV_2023!W1602=0,0,IF(GLOBAL_DER_FEV_2023!W1602&gt;0,"c","b"))</f>
        <v>0</v>
      </c>
    </row>
    <row r="1603" spans="1:25" ht="15" hidden="1" customHeight="1" x14ac:dyDescent="0.2">
      <c r="A1603" s="640" t="s">
        <v>165</v>
      </c>
      <c r="B1603" s="1036" t="str">
        <f>GLOBAL_DER_FEV_2023!B1603</f>
        <v/>
      </c>
      <c r="C1603" s="1072" t="str">
        <f>GLOBAL_DER_FEV_2023!C1603</f>
        <v/>
      </c>
      <c r="D1603" s="1141">
        <f>GLOBAL_DER_FEV_2023!D1603</f>
        <v>0</v>
      </c>
      <c r="E1603" s="907">
        <f>GLOBAL_DER_FEV_2023!E1603</f>
        <v>0</v>
      </c>
      <c r="F1603" s="908">
        <f>GLOBAL_DER_FEV_2023!F1603</f>
        <v>0</v>
      </c>
      <c r="G1603" s="912">
        <f>GLOBAL_DER_FEV_2023!G1603</f>
        <v>0</v>
      </c>
      <c r="H1603" s="901">
        <f>GLOBAL_DER_FEV_2023!H1603</f>
        <v>0</v>
      </c>
      <c r="I1603" s="901" t="str">
        <f>GLOBAL_DER_FEV_2023!I1603</f>
        <v/>
      </c>
      <c r="J1603" s="890">
        <f>GLOBAL_DER_FEV_2023!J1603</f>
        <v>0</v>
      </c>
      <c r="K1603" s="903" t="str">
        <f>GLOBAL_DER_FEV_2023!K1603</f>
        <v xml:space="preserve">     </v>
      </c>
      <c r="L1603" s="1137"/>
      <c r="M1603" s="1138">
        <f t="shared" si="117"/>
        <v>0</v>
      </c>
      <c r="N1603" s="1167">
        <f t="shared" si="121"/>
        <v>0</v>
      </c>
      <c r="O1603" s="1165"/>
      <c r="Q1603" s="317" t="str">
        <f t="shared" si="118"/>
        <v/>
      </c>
      <c r="R1603" s="317" t="str">
        <f t="shared" si="119"/>
        <v/>
      </c>
      <c r="S1603" s="317" t="str">
        <f t="shared" si="120"/>
        <v/>
      </c>
      <c r="T1603" s="317" t="str">
        <f>GLOBAL_DER_FEV_2023!S1603</f>
        <v/>
      </c>
      <c r="W1603" s="582">
        <v>0</v>
      </c>
      <c r="X1603" s="580"/>
      <c r="Y1603" s="583">
        <f>IF(GLOBAL_DER_FEV_2023!W1603=0,0,IF(GLOBAL_DER_FEV_2023!W1603&gt;0,"c","b"))</f>
        <v>0</v>
      </c>
    </row>
    <row r="1604" spans="1:25" ht="15" hidden="1" customHeight="1" x14ac:dyDescent="0.2">
      <c r="A1604" s="640" t="s">
        <v>165</v>
      </c>
      <c r="B1604" s="1036" t="str">
        <f>GLOBAL_DER_FEV_2023!B1604</f>
        <v/>
      </c>
      <c r="C1604" s="1072" t="str">
        <f>GLOBAL_DER_FEV_2023!C1604</f>
        <v/>
      </c>
      <c r="D1604" s="1141">
        <f>GLOBAL_DER_FEV_2023!D1604</f>
        <v>0</v>
      </c>
      <c r="E1604" s="907">
        <f>GLOBAL_DER_FEV_2023!E1604</f>
        <v>0</v>
      </c>
      <c r="F1604" s="908">
        <f>GLOBAL_DER_FEV_2023!F1604</f>
        <v>0</v>
      </c>
      <c r="G1604" s="912">
        <f>GLOBAL_DER_FEV_2023!G1604</f>
        <v>0</v>
      </c>
      <c r="H1604" s="901">
        <f>GLOBAL_DER_FEV_2023!H1604</f>
        <v>0</v>
      </c>
      <c r="I1604" s="901" t="str">
        <f>GLOBAL_DER_FEV_2023!I1604</f>
        <v/>
      </c>
      <c r="J1604" s="890">
        <f>GLOBAL_DER_FEV_2023!J1604</f>
        <v>0</v>
      </c>
      <c r="K1604" s="903" t="str">
        <f>GLOBAL_DER_FEV_2023!K1604</f>
        <v xml:space="preserve">     </v>
      </c>
      <c r="L1604" s="1137"/>
      <c r="M1604" s="1138">
        <f t="shared" si="117"/>
        <v>0</v>
      </c>
      <c r="N1604" s="1167">
        <f t="shared" si="121"/>
        <v>0</v>
      </c>
      <c r="O1604" s="1165"/>
      <c r="Q1604" s="317" t="str">
        <f t="shared" si="118"/>
        <v/>
      </c>
      <c r="R1604" s="317" t="str">
        <f t="shared" si="119"/>
        <v/>
      </c>
      <c r="S1604" s="317" t="str">
        <f t="shared" si="120"/>
        <v/>
      </c>
      <c r="T1604" s="317" t="str">
        <f>GLOBAL_DER_FEV_2023!S1604</f>
        <v/>
      </c>
      <c r="W1604" s="582">
        <v>0</v>
      </c>
      <c r="X1604" s="580"/>
      <c r="Y1604" s="583">
        <f>IF(GLOBAL_DER_FEV_2023!W1604=0,0,IF(GLOBAL_DER_FEV_2023!W1604&gt;0,"c","b"))</f>
        <v>0</v>
      </c>
    </row>
    <row r="1605" spans="1:25" ht="15" hidden="1" customHeight="1" x14ac:dyDescent="0.2">
      <c r="A1605" s="640" t="s">
        <v>165</v>
      </c>
      <c r="B1605" s="1036" t="str">
        <f>GLOBAL_DER_FEV_2023!B1605</f>
        <v/>
      </c>
      <c r="C1605" s="1072" t="str">
        <f>GLOBAL_DER_FEV_2023!C1605</f>
        <v/>
      </c>
      <c r="D1605" s="1141">
        <f>GLOBAL_DER_FEV_2023!D1605</f>
        <v>0</v>
      </c>
      <c r="E1605" s="907">
        <f>GLOBAL_DER_FEV_2023!E1605</f>
        <v>0</v>
      </c>
      <c r="F1605" s="908">
        <f>GLOBAL_DER_FEV_2023!F1605</f>
        <v>0</v>
      </c>
      <c r="G1605" s="912">
        <f>GLOBAL_DER_FEV_2023!G1605</f>
        <v>0</v>
      </c>
      <c r="H1605" s="901">
        <f>GLOBAL_DER_FEV_2023!H1605</f>
        <v>0</v>
      </c>
      <c r="I1605" s="901" t="str">
        <f>GLOBAL_DER_FEV_2023!I1605</f>
        <v/>
      </c>
      <c r="J1605" s="890">
        <f>GLOBAL_DER_FEV_2023!J1605</f>
        <v>0</v>
      </c>
      <c r="K1605" s="903" t="str">
        <f>GLOBAL_DER_FEV_2023!K1605</f>
        <v xml:space="preserve">     </v>
      </c>
      <c r="L1605" s="1137"/>
      <c r="M1605" s="1138">
        <f t="shared" si="117"/>
        <v>0</v>
      </c>
      <c r="N1605" s="1167">
        <f t="shared" si="121"/>
        <v>0</v>
      </c>
      <c r="O1605" s="1165"/>
      <c r="Q1605" s="317" t="str">
        <f t="shared" si="118"/>
        <v/>
      </c>
      <c r="R1605" s="317" t="str">
        <f t="shared" si="119"/>
        <v/>
      </c>
      <c r="S1605" s="317" t="str">
        <f t="shared" si="120"/>
        <v/>
      </c>
      <c r="T1605" s="317" t="str">
        <f>GLOBAL_DER_FEV_2023!S1605</f>
        <v/>
      </c>
      <c r="W1605" s="582">
        <v>0</v>
      </c>
      <c r="X1605" s="580"/>
      <c r="Y1605" s="583">
        <f>IF(GLOBAL_DER_FEV_2023!W1605=0,0,IF(GLOBAL_DER_FEV_2023!W1605&gt;0,"c","b"))</f>
        <v>0</v>
      </c>
    </row>
    <row r="1606" spans="1:25" ht="15" hidden="1" customHeight="1" x14ac:dyDescent="0.2">
      <c r="A1606" s="640" t="s">
        <v>165</v>
      </c>
      <c r="B1606" s="1036" t="str">
        <f>GLOBAL_DER_FEV_2023!B1606</f>
        <v/>
      </c>
      <c r="C1606" s="1072" t="str">
        <f>GLOBAL_DER_FEV_2023!C1606</f>
        <v/>
      </c>
      <c r="D1606" s="1141">
        <f>GLOBAL_DER_FEV_2023!D1606</f>
        <v>0</v>
      </c>
      <c r="E1606" s="907">
        <f>GLOBAL_DER_FEV_2023!E1606</f>
        <v>0</v>
      </c>
      <c r="F1606" s="908">
        <f>GLOBAL_DER_FEV_2023!F1606</f>
        <v>0</v>
      </c>
      <c r="G1606" s="912">
        <f>GLOBAL_DER_FEV_2023!G1606</f>
        <v>0</v>
      </c>
      <c r="H1606" s="901">
        <f>GLOBAL_DER_FEV_2023!H1606</f>
        <v>0</v>
      </c>
      <c r="I1606" s="901" t="str">
        <f>GLOBAL_DER_FEV_2023!I1606</f>
        <v/>
      </c>
      <c r="J1606" s="890">
        <f>GLOBAL_DER_FEV_2023!J1606</f>
        <v>0</v>
      </c>
      <c r="K1606" s="903" t="str">
        <f>GLOBAL_DER_FEV_2023!K1606</f>
        <v xml:space="preserve">     </v>
      </c>
      <c r="L1606" s="1137"/>
      <c r="M1606" s="1138">
        <f t="shared" si="117"/>
        <v>0</v>
      </c>
      <c r="N1606" s="1167">
        <f t="shared" si="121"/>
        <v>0</v>
      </c>
      <c r="O1606" s="1165"/>
      <c r="Q1606" s="317" t="str">
        <f t="shared" si="118"/>
        <v/>
      </c>
      <c r="R1606" s="317" t="str">
        <f t="shared" si="119"/>
        <v/>
      </c>
      <c r="S1606" s="317" t="str">
        <f t="shared" si="120"/>
        <v/>
      </c>
      <c r="T1606" s="317" t="str">
        <f>GLOBAL_DER_FEV_2023!S1606</f>
        <v/>
      </c>
      <c r="W1606" s="582">
        <v>0</v>
      </c>
      <c r="X1606" s="580"/>
      <c r="Y1606" s="583">
        <f>IF(GLOBAL_DER_FEV_2023!W1606=0,0,IF(GLOBAL_DER_FEV_2023!W1606&gt;0,"c","b"))</f>
        <v>0</v>
      </c>
    </row>
    <row r="1607" spans="1:25" ht="15" hidden="1" customHeight="1" x14ac:dyDescent="0.2">
      <c r="A1607" s="640" t="s">
        <v>165</v>
      </c>
      <c r="B1607" s="1036" t="str">
        <f>GLOBAL_DER_FEV_2023!B1607</f>
        <v/>
      </c>
      <c r="C1607" s="1072" t="str">
        <f>GLOBAL_DER_FEV_2023!C1607</f>
        <v/>
      </c>
      <c r="D1607" s="1141">
        <f>GLOBAL_DER_FEV_2023!D1607</f>
        <v>0</v>
      </c>
      <c r="E1607" s="907">
        <f>GLOBAL_DER_FEV_2023!E1607</f>
        <v>0</v>
      </c>
      <c r="F1607" s="908">
        <f>GLOBAL_DER_FEV_2023!F1607</f>
        <v>0</v>
      </c>
      <c r="G1607" s="912">
        <f>GLOBAL_DER_FEV_2023!G1607</f>
        <v>0</v>
      </c>
      <c r="H1607" s="901">
        <f>GLOBAL_DER_FEV_2023!H1607</f>
        <v>0</v>
      </c>
      <c r="I1607" s="901" t="str">
        <f>GLOBAL_DER_FEV_2023!I1607</f>
        <v/>
      </c>
      <c r="J1607" s="890">
        <f>GLOBAL_DER_FEV_2023!J1607</f>
        <v>0</v>
      </c>
      <c r="K1607" s="903" t="str">
        <f>GLOBAL_DER_FEV_2023!K1607</f>
        <v xml:space="preserve">     </v>
      </c>
      <c r="L1607" s="1137"/>
      <c r="M1607" s="1138">
        <f t="shared" si="117"/>
        <v>0</v>
      </c>
      <c r="N1607" s="1167">
        <f t="shared" si="121"/>
        <v>0</v>
      </c>
      <c r="O1607" s="1165"/>
      <c r="Q1607" s="317" t="str">
        <f t="shared" si="118"/>
        <v/>
      </c>
      <c r="R1607" s="317" t="str">
        <f t="shared" si="119"/>
        <v/>
      </c>
      <c r="S1607" s="317" t="str">
        <f t="shared" si="120"/>
        <v/>
      </c>
      <c r="T1607" s="317" t="str">
        <f>GLOBAL_DER_FEV_2023!S1607</f>
        <v/>
      </c>
      <c r="W1607" s="582">
        <v>0</v>
      </c>
      <c r="X1607" s="580"/>
      <c r="Y1607" s="583">
        <f>IF(GLOBAL_DER_FEV_2023!W1607=0,0,IF(GLOBAL_DER_FEV_2023!W1607&gt;0,"c","b"))</f>
        <v>0</v>
      </c>
    </row>
    <row r="1608" spans="1:25" ht="15" hidden="1" customHeight="1" x14ac:dyDescent="0.2">
      <c r="A1608" s="640" t="s">
        <v>165</v>
      </c>
      <c r="B1608" s="1036" t="str">
        <f>GLOBAL_DER_FEV_2023!B1608</f>
        <v/>
      </c>
      <c r="C1608" s="1072" t="str">
        <f>GLOBAL_DER_FEV_2023!C1608</f>
        <v/>
      </c>
      <c r="D1608" s="1141">
        <f>GLOBAL_DER_FEV_2023!D1608</f>
        <v>0</v>
      </c>
      <c r="E1608" s="907">
        <f>GLOBAL_DER_FEV_2023!E1608</f>
        <v>0</v>
      </c>
      <c r="F1608" s="908">
        <f>GLOBAL_DER_FEV_2023!F1608</f>
        <v>0</v>
      </c>
      <c r="G1608" s="912">
        <f>GLOBAL_DER_FEV_2023!G1608</f>
        <v>0</v>
      </c>
      <c r="H1608" s="901">
        <f>GLOBAL_DER_FEV_2023!H1608</f>
        <v>0</v>
      </c>
      <c r="I1608" s="901" t="str">
        <f>GLOBAL_DER_FEV_2023!I1608</f>
        <v/>
      </c>
      <c r="J1608" s="890">
        <f>GLOBAL_DER_FEV_2023!J1608</f>
        <v>0</v>
      </c>
      <c r="K1608" s="903" t="str">
        <f>GLOBAL_DER_FEV_2023!K1608</f>
        <v xml:space="preserve">     </v>
      </c>
      <c r="L1608" s="1137"/>
      <c r="M1608" s="1138">
        <f t="shared" si="117"/>
        <v>0</v>
      </c>
      <c r="N1608" s="1167">
        <f t="shared" si="121"/>
        <v>0</v>
      </c>
      <c r="O1608" s="1165"/>
      <c r="Q1608" s="317" t="str">
        <f t="shared" si="118"/>
        <v/>
      </c>
      <c r="R1608" s="317" t="str">
        <f t="shared" si="119"/>
        <v/>
      </c>
      <c r="S1608" s="317" t="str">
        <f t="shared" si="120"/>
        <v/>
      </c>
      <c r="T1608" s="317" t="str">
        <f>GLOBAL_DER_FEV_2023!S1608</f>
        <v/>
      </c>
      <c r="W1608" s="582">
        <v>0</v>
      </c>
      <c r="X1608" s="580"/>
      <c r="Y1608" s="583">
        <f>IF(GLOBAL_DER_FEV_2023!W1608=0,0,IF(GLOBAL_DER_FEV_2023!W1608&gt;0,"c","b"))</f>
        <v>0</v>
      </c>
    </row>
    <row r="1609" spans="1:25" ht="15" hidden="1" customHeight="1" x14ac:dyDescent="0.2">
      <c r="A1609" s="640" t="s">
        <v>165</v>
      </c>
      <c r="B1609" s="1036" t="str">
        <f>GLOBAL_DER_FEV_2023!B1609</f>
        <v/>
      </c>
      <c r="C1609" s="1072" t="str">
        <f>GLOBAL_DER_FEV_2023!C1609</f>
        <v/>
      </c>
      <c r="D1609" s="1141">
        <f>GLOBAL_DER_FEV_2023!D1609</f>
        <v>0</v>
      </c>
      <c r="E1609" s="907">
        <f>GLOBAL_DER_FEV_2023!E1609</f>
        <v>0</v>
      </c>
      <c r="F1609" s="908">
        <f>GLOBAL_DER_FEV_2023!F1609</f>
        <v>0</v>
      </c>
      <c r="G1609" s="912">
        <f>GLOBAL_DER_FEV_2023!G1609</f>
        <v>0</v>
      </c>
      <c r="H1609" s="901">
        <f>GLOBAL_DER_FEV_2023!H1609</f>
        <v>0</v>
      </c>
      <c r="I1609" s="901" t="str">
        <f>GLOBAL_DER_FEV_2023!I1609</f>
        <v/>
      </c>
      <c r="J1609" s="890">
        <f>GLOBAL_DER_FEV_2023!J1609</f>
        <v>0</v>
      </c>
      <c r="K1609" s="903" t="str">
        <f>GLOBAL_DER_FEV_2023!K1609</f>
        <v xml:space="preserve">     </v>
      </c>
      <c r="L1609" s="1137"/>
      <c r="M1609" s="1138">
        <f t="shared" si="117"/>
        <v>0</v>
      </c>
      <c r="N1609" s="1167">
        <f t="shared" si="121"/>
        <v>0</v>
      </c>
      <c r="O1609" s="1165"/>
      <c r="Q1609" s="317" t="str">
        <f t="shared" si="118"/>
        <v/>
      </c>
      <c r="R1609" s="317" t="str">
        <f t="shared" si="119"/>
        <v/>
      </c>
      <c r="S1609" s="317" t="str">
        <f t="shared" si="120"/>
        <v/>
      </c>
      <c r="T1609" s="317" t="str">
        <f>GLOBAL_DER_FEV_2023!S1609</f>
        <v/>
      </c>
      <c r="W1609" s="582">
        <v>0</v>
      </c>
      <c r="X1609" s="580"/>
      <c r="Y1609" s="583">
        <f>IF(GLOBAL_DER_FEV_2023!W1609=0,0,IF(GLOBAL_DER_FEV_2023!W1609&gt;0,"c","b"))</f>
        <v>0</v>
      </c>
    </row>
    <row r="1610" spans="1:25" ht="15" hidden="1" customHeight="1" x14ac:dyDescent="0.2">
      <c r="A1610" s="640" t="s">
        <v>165</v>
      </c>
      <c r="B1610" s="1036" t="str">
        <f>GLOBAL_DER_FEV_2023!B1610</f>
        <v/>
      </c>
      <c r="C1610" s="1072" t="str">
        <f>GLOBAL_DER_FEV_2023!C1610</f>
        <v/>
      </c>
      <c r="D1610" s="1141">
        <f>GLOBAL_DER_FEV_2023!D1610</f>
        <v>0</v>
      </c>
      <c r="E1610" s="907">
        <f>GLOBAL_DER_FEV_2023!E1610</f>
        <v>0</v>
      </c>
      <c r="F1610" s="908">
        <f>GLOBAL_DER_FEV_2023!F1610</f>
        <v>0</v>
      </c>
      <c r="G1610" s="912">
        <f>GLOBAL_DER_FEV_2023!G1610</f>
        <v>0</v>
      </c>
      <c r="H1610" s="901">
        <f>GLOBAL_DER_FEV_2023!H1610</f>
        <v>0</v>
      </c>
      <c r="I1610" s="901" t="str">
        <f>GLOBAL_DER_FEV_2023!I1610</f>
        <v/>
      </c>
      <c r="J1610" s="890">
        <f>GLOBAL_DER_FEV_2023!J1610</f>
        <v>0</v>
      </c>
      <c r="K1610" s="903" t="str">
        <f>GLOBAL_DER_FEV_2023!K1610</f>
        <v xml:space="preserve">     </v>
      </c>
      <c r="L1610" s="1137"/>
      <c r="M1610" s="1138">
        <f t="shared" si="117"/>
        <v>0</v>
      </c>
      <c r="N1610" s="1167">
        <f t="shared" si="121"/>
        <v>0</v>
      </c>
      <c r="O1610" s="1165"/>
      <c r="Q1610" s="317" t="str">
        <f t="shared" si="118"/>
        <v/>
      </c>
      <c r="R1610" s="317" t="str">
        <f t="shared" si="119"/>
        <v/>
      </c>
      <c r="S1610" s="317" t="str">
        <f t="shared" si="120"/>
        <v/>
      </c>
      <c r="T1610" s="317" t="str">
        <f>GLOBAL_DER_FEV_2023!S1610</f>
        <v/>
      </c>
      <c r="W1610" s="582">
        <v>0</v>
      </c>
      <c r="X1610" s="580"/>
      <c r="Y1610" s="583">
        <f>IF(GLOBAL_DER_FEV_2023!W1610=0,0,IF(GLOBAL_DER_FEV_2023!W1610&gt;0,"c","b"))</f>
        <v>0</v>
      </c>
    </row>
    <row r="1611" spans="1:25" ht="15" hidden="1" customHeight="1" x14ac:dyDescent="0.2">
      <c r="A1611" s="640" t="s">
        <v>165</v>
      </c>
      <c r="B1611" s="1036" t="str">
        <f>GLOBAL_DER_FEV_2023!B1611</f>
        <v/>
      </c>
      <c r="C1611" s="1072" t="str">
        <f>GLOBAL_DER_FEV_2023!C1611</f>
        <v/>
      </c>
      <c r="D1611" s="1141">
        <f>GLOBAL_DER_FEV_2023!D1611</f>
        <v>0</v>
      </c>
      <c r="E1611" s="907">
        <f>GLOBAL_DER_FEV_2023!E1611</f>
        <v>0</v>
      </c>
      <c r="F1611" s="908">
        <f>GLOBAL_DER_FEV_2023!F1611</f>
        <v>0</v>
      </c>
      <c r="G1611" s="912">
        <f>GLOBAL_DER_FEV_2023!G1611</f>
        <v>0</v>
      </c>
      <c r="H1611" s="901">
        <f>GLOBAL_DER_FEV_2023!H1611</f>
        <v>0</v>
      </c>
      <c r="I1611" s="901" t="str">
        <f>GLOBAL_DER_FEV_2023!I1611</f>
        <v/>
      </c>
      <c r="J1611" s="890">
        <f>GLOBAL_DER_FEV_2023!J1611</f>
        <v>0</v>
      </c>
      <c r="K1611" s="903" t="str">
        <f>GLOBAL_DER_FEV_2023!K1611</f>
        <v xml:space="preserve">     </v>
      </c>
      <c r="L1611" s="1137"/>
      <c r="M1611" s="1138">
        <f t="shared" si="117"/>
        <v>0</v>
      </c>
      <c r="N1611" s="1167">
        <f t="shared" si="121"/>
        <v>0</v>
      </c>
      <c r="O1611" s="1165"/>
      <c r="Q1611" s="317" t="str">
        <f t="shared" si="118"/>
        <v/>
      </c>
      <c r="R1611" s="317" t="str">
        <f t="shared" si="119"/>
        <v/>
      </c>
      <c r="S1611" s="317" t="str">
        <f t="shared" si="120"/>
        <v/>
      </c>
      <c r="T1611" s="317" t="str">
        <f>GLOBAL_DER_FEV_2023!S1611</f>
        <v/>
      </c>
      <c r="W1611" s="582">
        <v>0</v>
      </c>
      <c r="X1611" s="580"/>
      <c r="Y1611" s="583">
        <f>IF(GLOBAL_DER_FEV_2023!W1611=0,0,IF(GLOBAL_DER_FEV_2023!W1611&gt;0,"c","b"))</f>
        <v>0</v>
      </c>
    </row>
    <row r="1612" spans="1:25" ht="15" hidden="1" customHeight="1" x14ac:dyDescent="0.2">
      <c r="A1612" s="640" t="s">
        <v>165</v>
      </c>
      <c r="B1612" s="1036" t="str">
        <f>GLOBAL_DER_FEV_2023!B1612</f>
        <v/>
      </c>
      <c r="C1612" s="1072" t="str">
        <f>GLOBAL_DER_FEV_2023!C1612</f>
        <v/>
      </c>
      <c r="D1612" s="1141">
        <f>GLOBAL_DER_FEV_2023!D1612</f>
        <v>0</v>
      </c>
      <c r="E1612" s="907">
        <f>GLOBAL_DER_FEV_2023!E1612</f>
        <v>0</v>
      </c>
      <c r="F1612" s="908">
        <f>GLOBAL_DER_FEV_2023!F1612</f>
        <v>0</v>
      </c>
      <c r="G1612" s="912">
        <f>GLOBAL_DER_FEV_2023!G1612</f>
        <v>0</v>
      </c>
      <c r="H1612" s="901">
        <f>GLOBAL_DER_FEV_2023!H1612</f>
        <v>0</v>
      </c>
      <c r="I1612" s="901" t="str">
        <f>GLOBAL_DER_FEV_2023!I1612</f>
        <v/>
      </c>
      <c r="J1612" s="890">
        <f>GLOBAL_DER_FEV_2023!J1612</f>
        <v>0</v>
      </c>
      <c r="K1612" s="903" t="str">
        <f>GLOBAL_DER_FEV_2023!K1612</f>
        <v xml:space="preserve">     </v>
      </c>
      <c r="L1612" s="1137"/>
      <c r="M1612" s="1138">
        <f t="shared" si="117"/>
        <v>0</v>
      </c>
      <c r="N1612" s="1167">
        <f t="shared" si="121"/>
        <v>0</v>
      </c>
      <c r="O1612" s="1165"/>
      <c r="Q1612" s="317" t="str">
        <f t="shared" si="118"/>
        <v/>
      </c>
      <c r="R1612" s="317" t="str">
        <f t="shared" si="119"/>
        <v/>
      </c>
      <c r="S1612" s="317" t="str">
        <f t="shared" si="120"/>
        <v/>
      </c>
      <c r="T1612" s="317" t="str">
        <f>GLOBAL_DER_FEV_2023!S1612</f>
        <v/>
      </c>
      <c r="W1612" s="582">
        <v>0</v>
      </c>
      <c r="X1612" s="580"/>
      <c r="Y1612" s="583">
        <f>IF(GLOBAL_DER_FEV_2023!W1612=0,0,IF(GLOBAL_DER_FEV_2023!W1612&gt;0,"c","b"))</f>
        <v>0</v>
      </c>
    </row>
    <row r="1613" spans="1:25" ht="15" hidden="1" customHeight="1" x14ac:dyDescent="0.2">
      <c r="A1613" s="640" t="s">
        <v>165</v>
      </c>
      <c r="B1613" s="1036" t="str">
        <f>GLOBAL_DER_FEV_2023!B1613</f>
        <v/>
      </c>
      <c r="C1613" s="1072" t="str">
        <f>GLOBAL_DER_FEV_2023!C1613</f>
        <v/>
      </c>
      <c r="D1613" s="1141">
        <f>GLOBAL_DER_FEV_2023!D1613</f>
        <v>0</v>
      </c>
      <c r="E1613" s="907">
        <f>GLOBAL_DER_FEV_2023!E1613</f>
        <v>0</v>
      </c>
      <c r="F1613" s="908">
        <f>GLOBAL_DER_FEV_2023!F1613</f>
        <v>0</v>
      </c>
      <c r="G1613" s="912">
        <f>GLOBAL_DER_FEV_2023!G1613</f>
        <v>0</v>
      </c>
      <c r="H1613" s="901">
        <f>GLOBAL_DER_FEV_2023!H1613</f>
        <v>0</v>
      </c>
      <c r="I1613" s="901" t="str">
        <f>GLOBAL_DER_FEV_2023!I1613</f>
        <v/>
      </c>
      <c r="J1613" s="890">
        <f>GLOBAL_DER_FEV_2023!J1613</f>
        <v>0</v>
      </c>
      <c r="K1613" s="903" t="str">
        <f>GLOBAL_DER_FEV_2023!K1613</f>
        <v xml:space="preserve">     </v>
      </c>
      <c r="L1613" s="1137"/>
      <c r="M1613" s="1138">
        <f t="shared" si="117"/>
        <v>0</v>
      </c>
      <c r="N1613" s="1167">
        <f t="shared" si="121"/>
        <v>0</v>
      </c>
      <c r="O1613" s="1165"/>
      <c r="Q1613" s="317" t="str">
        <f t="shared" si="118"/>
        <v/>
      </c>
      <c r="R1613" s="317" t="str">
        <f t="shared" si="119"/>
        <v/>
      </c>
      <c r="S1613" s="317" t="str">
        <f t="shared" si="120"/>
        <v/>
      </c>
      <c r="T1613" s="317" t="str">
        <f>GLOBAL_DER_FEV_2023!S1613</f>
        <v/>
      </c>
      <c r="W1613" s="582">
        <v>0</v>
      </c>
      <c r="X1613" s="580"/>
      <c r="Y1613" s="583">
        <f>IF(GLOBAL_DER_FEV_2023!W1613=0,0,IF(GLOBAL_DER_FEV_2023!W1613&gt;0,"c","b"))</f>
        <v>0</v>
      </c>
    </row>
    <row r="1614" spans="1:25" ht="15" hidden="1" customHeight="1" x14ac:dyDescent="0.2">
      <c r="A1614" s="640" t="s">
        <v>165</v>
      </c>
      <c r="B1614" s="1036" t="str">
        <f>GLOBAL_DER_FEV_2023!B1614</f>
        <v/>
      </c>
      <c r="C1614" s="1072" t="str">
        <f>GLOBAL_DER_FEV_2023!C1614</f>
        <v/>
      </c>
      <c r="D1614" s="1141">
        <f>GLOBAL_DER_FEV_2023!D1614</f>
        <v>0</v>
      </c>
      <c r="E1614" s="907">
        <f>GLOBAL_DER_FEV_2023!E1614</f>
        <v>0</v>
      </c>
      <c r="F1614" s="908">
        <f>GLOBAL_DER_FEV_2023!F1614</f>
        <v>0</v>
      </c>
      <c r="G1614" s="912">
        <f>GLOBAL_DER_FEV_2023!G1614</f>
        <v>0</v>
      </c>
      <c r="H1614" s="901">
        <f>GLOBAL_DER_FEV_2023!H1614</f>
        <v>0</v>
      </c>
      <c r="I1614" s="901" t="str">
        <f>GLOBAL_DER_FEV_2023!I1614</f>
        <v/>
      </c>
      <c r="J1614" s="890">
        <f>GLOBAL_DER_FEV_2023!J1614</f>
        <v>0</v>
      </c>
      <c r="K1614" s="903" t="str">
        <f>GLOBAL_DER_FEV_2023!K1614</f>
        <v xml:space="preserve">     </v>
      </c>
      <c r="L1614" s="1137"/>
      <c r="M1614" s="1138">
        <f t="shared" si="117"/>
        <v>0</v>
      </c>
      <c r="N1614" s="1167">
        <f t="shared" si="121"/>
        <v>0</v>
      </c>
      <c r="O1614" s="1165"/>
      <c r="Q1614" s="317" t="str">
        <f t="shared" si="118"/>
        <v/>
      </c>
      <c r="R1614" s="317" t="str">
        <f t="shared" si="119"/>
        <v/>
      </c>
      <c r="S1614" s="317" t="str">
        <f t="shared" si="120"/>
        <v/>
      </c>
      <c r="T1614" s="317" t="str">
        <f>GLOBAL_DER_FEV_2023!S1614</f>
        <v/>
      </c>
      <c r="W1614" s="582">
        <v>0</v>
      </c>
      <c r="X1614" s="580"/>
      <c r="Y1614" s="583">
        <f>IF(GLOBAL_DER_FEV_2023!W1614=0,0,IF(GLOBAL_DER_FEV_2023!W1614&gt;0,"c","b"))</f>
        <v>0</v>
      </c>
    </row>
    <row r="1615" spans="1:25" ht="15" hidden="1" customHeight="1" x14ac:dyDescent="0.2">
      <c r="A1615" s="640" t="s">
        <v>165</v>
      </c>
      <c r="B1615" s="1036" t="str">
        <f>GLOBAL_DER_FEV_2023!B1615</f>
        <v/>
      </c>
      <c r="C1615" s="1072" t="str">
        <f>GLOBAL_DER_FEV_2023!C1615</f>
        <v/>
      </c>
      <c r="D1615" s="1141">
        <f>GLOBAL_DER_FEV_2023!D1615</f>
        <v>0</v>
      </c>
      <c r="E1615" s="907">
        <f>GLOBAL_DER_FEV_2023!E1615</f>
        <v>0</v>
      </c>
      <c r="F1615" s="908">
        <f>GLOBAL_DER_FEV_2023!F1615</f>
        <v>0</v>
      </c>
      <c r="G1615" s="912">
        <f>GLOBAL_DER_FEV_2023!G1615</f>
        <v>0</v>
      </c>
      <c r="H1615" s="901">
        <f>GLOBAL_DER_FEV_2023!H1615</f>
        <v>0</v>
      </c>
      <c r="I1615" s="901" t="str">
        <f>GLOBAL_DER_FEV_2023!I1615</f>
        <v/>
      </c>
      <c r="J1615" s="890">
        <f>GLOBAL_DER_FEV_2023!J1615</f>
        <v>0</v>
      </c>
      <c r="K1615" s="903" t="str">
        <f>GLOBAL_DER_FEV_2023!K1615</f>
        <v xml:space="preserve">     </v>
      </c>
      <c r="L1615" s="1137"/>
      <c r="M1615" s="1138">
        <f t="shared" si="117"/>
        <v>0</v>
      </c>
      <c r="N1615" s="1167">
        <f t="shared" si="121"/>
        <v>0</v>
      </c>
      <c r="O1615" s="1165"/>
      <c r="Q1615" s="317" t="str">
        <f t="shared" si="118"/>
        <v/>
      </c>
      <c r="R1615" s="317" t="str">
        <f t="shared" si="119"/>
        <v/>
      </c>
      <c r="S1615" s="317" t="str">
        <f t="shared" si="120"/>
        <v/>
      </c>
      <c r="T1615" s="317" t="str">
        <f>GLOBAL_DER_FEV_2023!S1615</f>
        <v/>
      </c>
      <c r="W1615" s="582">
        <v>0</v>
      </c>
      <c r="X1615" s="580"/>
      <c r="Y1615" s="583">
        <f>IF(GLOBAL_DER_FEV_2023!W1615=0,0,IF(GLOBAL_DER_FEV_2023!W1615&gt;0,"c","b"))</f>
        <v>0</v>
      </c>
    </row>
    <row r="1616" spans="1:25" ht="15" hidden="1" customHeight="1" x14ac:dyDescent="0.2">
      <c r="A1616" s="640" t="s">
        <v>165</v>
      </c>
      <c r="B1616" s="1036" t="str">
        <f>GLOBAL_DER_FEV_2023!B1616</f>
        <v/>
      </c>
      <c r="C1616" s="1072" t="str">
        <f>GLOBAL_DER_FEV_2023!C1616</f>
        <v/>
      </c>
      <c r="D1616" s="1141">
        <f>GLOBAL_DER_FEV_2023!D1616</f>
        <v>0</v>
      </c>
      <c r="E1616" s="907">
        <f>GLOBAL_DER_FEV_2023!E1616</f>
        <v>0</v>
      </c>
      <c r="F1616" s="908">
        <f>GLOBAL_DER_FEV_2023!F1616</f>
        <v>0</v>
      </c>
      <c r="G1616" s="912">
        <f>GLOBAL_DER_FEV_2023!G1616</f>
        <v>0</v>
      </c>
      <c r="H1616" s="901">
        <f>GLOBAL_DER_FEV_2023!H1616</f>
        <v>0</v>
      </c>
      <c r="I1616" s="901" t="str">
        <f>GLOBAL_DER_FEV_2023!I1616</f>
        <v/>
      </c>
      <c r="J1616" s="890">
        <f>GLOBAL_DER_FEV_2023!J1616</f>
        <v>0</v>
      </c>
      <c r="K1616" s="903" t="str">
        <f>GLOBAL_DER_FEV_2023!K1616</f>
        <v xml:space="preserve">     </v>
      </c>
      <c r="L1616" s="1137"/>
      <c r="M1616" s="1138">
        <f t="shared" si="117"/>
        <v>0</v>
      </c>
      <c r="N1616" s="1167">
        <f t="shared" si="121"/>
        <v>0</v>
      </c>
      <c r="O1616" s="1165"/>
      <c r="Q1616" s="317" t="str">
        <f t="shared" si="118"/>
        <v/>
      </c>
      <c r="R1616" s="317" t="str">
        <f t="shared" si="119"/>
        <v/>
      </c>
      <c r="S1616" s="317" t="str">
        <f t="shared" si="120"/>
        <v/>
      </c>
      <c r="T1616" s="317" t="str">
        <f>GLOBAL_DER_FEV_2023!S1616</f>
        <v/>
      </c>
      <c r="W1616" s="582">
        <v>0</v>
      </c>
      <c r="X1616" s="580"/>
      <c r="Y1616" s="583">
        <f>IF(GLOBAL_DER_FEV_2023!W1616=0,0,IF(GLOBAL_DER_FEV_2023!W1616&gt;0,"c","b"))</f>
        <v>0</v>
      </c>
    </row>
    <row r="1617" spans="1:25" ht="15" hidden="1" customHeight="1" x14ac:dyDescent="0.2">
      <c r="A1617" s="640" t="s">
        <v>165</v>
      </c>
      <c r="B1617" s="1036" t="str">
        <f>GLOBAL_DER_FEV_2023!B1617</f>
        <v/>
      </c>
      <c r="C1617" s="1072" t="str">
        <f>GLOBAL_DER_FEV_2023!C1617</f>
        <v/>
      </c>
      <c r="D1617" s="1141">
        <f>GLOBAL_DER_FEV_2023!D1617</f>
        <v>0</v>
      </c>
      <c r="E1617" s="907">
        <f>GLOBAL_DER_FEV_2023!E1617</f>
        <v>0</v>
      </c>
      <c r="F1617" s="908">
        <f>GLOBAL_DER_FEV_2023!F1617</f>
        <v>0</v>
      </c>
      <c r="G1617" s="912">
        <f>GLOBAL_DER_FEV_2023!G1617</f>
        <v>0</v>
      </c>
      <c r="H1617" s="901">
        <f>GLOBAL_DER_FEV_2023!H1617</f>
        <v>0</v>
      </c>
      <c r="I1617" s="901" t="str">
        <f>GLOBAL_DER_FEV_2023!I1617</f>
        <v/>
      </c>
      <c r="J1617" s="890">
        <f>GLOBAL_DER_FEV_2023!J1617</f>
        <v>0</v>
      </c>
      <c r="K1617" s="903" t="str">
        <f>GLOBAL_DER_FEV_2023!K1617</f>
        <v xml:space="preserve">     </v>
      </c>
      <c r="L1617" s="1137"/>
      <c r="M1617" s="1138">
        <f t="shared" si="117"/>
        <v>0</v>
      </c>
      <c r="N1617" s="1167">
        <f t="shared" si="121"/>
        <v>0</v>
      </c>
      <c r="O1617" s="1165"/>
      <c r="Q1617" s="317" t="str">
        <f t="shared" si="118"/>
        <v/>
      </c>
      <c r="R1617" s="317" t="str">
        <f t="shared" si="119"/>
        <v/>
      </c>
      <c r="S1617" s="317" t="str">
        <f t="shared" si="120"/>
        <v/>
      </c>
      <c r="T1617" s="317" t="str">
        <f>GLOBAL_DER_FEV_2023!S1617</f>
        <v/>
      </c>
      <c r="W1617" s="582">
        <v>0</v>
      </c>
      <c r="X1617" s="580"/>
      <c r="Y1617" s="583">
        <f>IF(GLOBAL_DER_FEV_2023!W1617=0,0,IF(GLOBAL_DER_FEV_2023!W1617&gt;0,"c","b"))</f>
        <v>0</v>
      </c>
    </row>
    <row r="1618" spans="1:25" ht="15" hidden="1" customHeight="1" x14ac:dyDescent="0.2">
      <c r="A1618" s="640" t="s">
        <v>165</v>
      </c>
      <c r="B1618" s="1036" t="str">
        <f>GLOBAL_DER_FEV_2023!B1618</f>
        <v/>
      </c>
      <c r="C1618" s="1072" t="str">
        <f>GLOBAL_DER_FEV_2023!C1618</f>
        <v/>
      </c>
      <c r="D1618" s="1141">
        <f>GLOBAL_DER_FEV_2023!D1618</f>
        <v>0</v>
      </c>
      <c r="E1618" s="907">
        <f>GLOBAL_DER_FEV_2023!E1618</f>
        <v>0</v>
      </c>
      <c r="F1618" s="908">
        <f>GLOBAL_DER_FEV_2023!F1618</f>
        <v>0</v>
      </c>
      <c r="G1618" s="912">
        <f>GLOBAL_DER_FEV_2023!G1618</f>
        <v>0</v>
      </c>
      <c r="H1618" s="901">
        <f>GLOBAL_DER_FEV_2023!H1618</f>
        <v>0</v>
      </c>
      <c r="I1618" s="901" t="str">
        <f>GLOBAL_DER_FEV_2023!I1618</f>
        <v/>
      </c>
      <c r="J1618" s="890">
        <f>GLOBAL_DER_FEV_2023!J1618</f>
        <v>0</v>
      </c>
      <c r="K1618" s="903" t="str">
        <f>GLOBAL_DER_FEV_2023!K1618</f>
        <v xml:space="preserve">     </v>
      </c>
      <c r="L1618" s="1137"/>
      <c r="M1618" s="1138">
        <f t="shared" ref="M1618:M1681" si="122">IF(L1618=0,0,ROUND(J1618,2))</f>
        <v>0</v>
      </c>
      <c r="N1618" s="1167">
        <f t="shared" si="121"/>
        <v>0</v>
      </c>
      <c r="O1618" s="1165"/>
      <c r="Q1618" s="317" t="str">
        <f t="shared" si="118"/>
        <v/>
      </c>
      <c r="R1618" s="317" t="str">
        <f t="shared" si="119"/>
        <v/>
      </c>
      <c r="S1618" s="317" t="str">
        <f t="shared" si="120"/>
        <v/>
      </c>
      <c r="T1618" s="317" t="str">
        <f>GLOBAL_DER_FEV_2023!S1618</f>
        <v/>
      </c>
      <c r="W1618" s="582">
        <v>0</v>
      </c>
      <c r="X1618" s="580"/>
      <c r="Y1618" s="583">
        <f>IF(GLOBAL_DER_FEV_2023!W1618=0,0,IF(GLOBAL_DER_FEV_2023!W1618&gt;0,"c","b"))</f>
        <v>0</v>
      </c>
    </row>
    <row r="1619" spans="1:25" ht="15" hidden="1" customHeight="1" x14ac:dyDescent="0.2">
      <c r="A1619" s="640" t="s">
        <v>165</v>
      </c>
      <c r="B1619" s="1036" t="str">
        <f>GLOBAL_DER_FEV_2023!B1619</f>
        <v/>
      </c>
      <c r="C1619" s="1072" t="str">
        <f>GLOBAL_DER_FEV_2023!C1619</f>
        <v/>
      </c>
      <c r="D1619" s="1141">
        <f>GLOBAL_DER_FEV_2023!D1619</f>
        <v>0</v>
      </c>
      <c r="E1619" s="907">
        <f>GLOBAL_DER_FEV_2023!E1619</f>
        <v>0</v>
      </c>
      <c r="F1619" s="908">
        <f>GLOBAL_DER_FEV_2023!F1619</f>
        <v>0</v>
      </c>
      <c r="G1619" s="912">
        <f>GLOBAL_DER_FEV_2023!G1619</f>
        <v>0</v>
      </c>
      <c r="H1619" s="901">
        <f>GLOBAL_DER_FEV_2023!H1619</f>
        <v>0</v>
      </c>
      <c r="I1619" s="901" t="str">
        <f>GLOBAL_DER_FEV_2023!I1619</f>
        <v/>
      </c>
      <c r="J1619" s="890">
        <f>GLOBAL_DER_FEV_2023!J1619</f>
        <v>0</v>
      </c>
      <c r="K1619" s="903" t="str">
        <f>GLOBAL_DER_FEV_2023!K1619</f>
        <v xml:space="preserve">     </v>
      </c>
      <c r="L1619" s="1137"/>
      <c r="M1619" s="1138">
        <f t="shared" si="122"/>
        <v>0</v>
      </c>
      <c r="N1619" s="1167">
        <f t="shared" si="121"/>
        <v>0</v>
      </c>
      <c r="O1619" s="1165"/>
      <c r="Q1619" s="317" t="str">
        <f t="shared" si="118"/>
        <v/>
      </c>
      <c r="R1619" s="317" t="str">
        <f t="shared" si="119"/>
        <v/>
      </c>
      <c r="S1619" s="317" t="str">
        <f t="shared" si="120"/>
        <v/>
      </c>
      <c r="T1619" s="317" t="str">
        <f>GLOBAL_DER_FEV_2023!S1619</f>
        <v/>
      </c>
      <c r="W1619" s="582">
        <v>0</v>
      </c>
      <c r="X1619" s="580"/>
      <c r="Y1619" s="583">
        <f>IF(GLOBAL_DER_FEV_2023!W1619=0,0,IF(GLOBAL_DER_FEV_2023!W1619&gt;0,"c","b"))</f>
        <v>0</v>
      </c>
    </row>
    <row r="1620" spans="1:25" ht="15" hidden="1" customHeight="1" x14ac:dyDescent="0.2">
      <c r="A1620" s="640" t="s">
        <v>165</v>
      </c>
      <c r="B1620" s="1036" t="str">
        <f>GLOBAL_DER_FEV_2023!B1620</f>
        <v/>
      </c>
      <c r="C1620" s="1072" t="str">
        <f>GLOBAL_DER_FEV_2023!C1620</f>
        <v/>
      </c>
      <c r="D1620" s="1141">
        <f>GLOBAL_DER_FEV_2023!D1620</f>
        <v>0</v>
      </c>
      <c r="E1620" s="907">
        <f>GLOBAL_DER_FEV_2023!E1620</f>
        <v>0</v>
      </c>
      <c r="F1620" s="908">
        <f>GLOBAL_DER_FEV_2023!F1620</f>
        <v>0</v>
      </c>
      <c r="G1620" s="912">
        <f>GLOBAL_DER_FEV_2023!G1620</f>
        <v>0</v>
      </c>
      <c r="H1620" s="901">
        <f>GLOBAL_DER_FEV_2023!H1620</f>
        <v>0</v>
      </c>
      <c r="I1620" s="901" t="str">
        <f>GLOBAL_DER_FEV_2023!I1620</f>
        <v/>
      </c>
      <c r="J1620" s="890">
        <f>GLOBAL_DER_FEV_2023!J1620</f>
        <v>0</v>
      </c>
      <c r="K1620" s="903" t="str">
        <f>GLOBAL_DER_FEV_2023!K1620</f>
        <v xml:space="preserve">     </v>
      </c>
      <c r="L1620" s="1137"/>
      <c r="M1620" s="1138">
        <f t="shared" si="122"/>
        <v>0</v>
      </c>
      <c r="N1620" s="1167">
        <f t="shared" si="121"/>
        <v>0</v>
      </c>
      <c r="O1620" s="1165"/>
      <c r="Q1620" s="317" t="str">
        <f t="shared" si="118"/>
        <v/>
      </c>
      <c r="R1620" s="317" t="str">
        <f t="shared" si="119"/>
        <v/>
      </c>
      <c r="S1620" s="317" t="str">
        <f t="shared" si="120"/>
        <v/>
      </c>
      <c r="T1620" s="317" t="str">
        <f>GLOBAL_DER_FEV_2023!S1620</f>
        <v/>
      </c>
      <c r="W1620" s="582">
        <v>0</v>
      </c>
      <c r="X1620" s="580"/>
      <c r="Y1620" s="583">
        <f>IF(GLOBAL_DER_FEV_2023!W1620=0,0,IF(GLOBAL_DER_FEV_2023!W1620&gt;0,"c","b"))</f>
        <v>0</v>
      </c>
    </row>
    <row r="1621" spans="1:25" ht="15" hidden="1" customHeight="1" x14ac:dyDescent="0.2">
      <c r="A1621" s="640" t="s">
        <v>165</v>
      </c>
      <c r="B1621" s="1036" t="str">
        <f>GLOBAL_DER_FEV_2023!B1621</f>
        <v/>
      </c>
      <c r="C1621" s="1072" t="str">
        <f>GLOBAL_DER_FEV_2023!C1621</f>
        <v/>
      </c>
      <c r="D1621" s="1141">
        <f>GLOBAL_DER_FEV_2023!D1621</f>
        <v>0</v>
      </c>
      <c r="E1621" s="907">
        <f>GLOBAL_DER_FEV_2023!E1621</f>
        <v>0</v>
      </c>
      <c r="F1621" s="908">
        <f>GLOBAL_DER_FEV_2023!F1621</f>
        <v>0</v>
      </c>
      <c r="G1621" s="912">
        <f>GLOBAL_DER_FEV_2023!G1621</f>
        <v>0</v>
      </c>
      <c r="H1621" s="901">
        <f>GLOBAL_DER_FEV_2023!H1621</f>
        <v>0</v>
      </c>
      <c r="I1621" s="901" t="str">
        <f>GLOBAL_DER_FEV_2023!I1621</f>
        <v/>
      </c>
      <c r="J1621" s="890">
        <f>GLOBAL_DER_FEV_2023!J1621</f>
        <v>0</v>
      </c>
      <c r="K1621" s="903" t="str">
        <f>GLOBAL_DER_FEV_2023!K1621</f>
        <v xml:space="preserve">     </v>
      </c>
      <c r="L1621" s="1137"/>
      <c r="M1621" s="1138">
        <f t="shared" si="122"/>
        <v>0</v>
      </c>
      <c r="N1621" s="1167">
        <f t="shared" si="121"/>
        <v>0</v>
      </c>
      <c r="O1621" s="1165"/>
      <c r="Q1621" s="317" t="str">
        <f t="shared" si="118"/>
        <v/>
      </c>
      <c r="R1621" s="317" t="str">
        <f t="shared" si="119"/>
        <v/>
      </c>
      <c r="S1621" s="317" t="str">
        <f t="shared" si="120"/>
        <v/>
      </c>
      <c r="T1621" s="317" t="str">
        <f>GLOBAL_DER_FEV_2023!S1621</f>
        <v/>
      </c>
      <c r="W1621" s="582">
        <v>0</v>
      </c>
      <c r="X1621" s="580"/>
      <c r="Y1621" s="583">
        <f>IF(GLOBAL_DER_FEV_2023!W1621=0,0,IF(GLOBAL_DER_FEV_2023!W1621&gt;0,"c","b"))</f>
        <v>0</v>
      </c>
    </row>
    <row r="1622" spans="1:25" ht="15" hidden="1" customHeight="1" x14ac:dyDescent="0.2">
      <c r="A1622" s="640" t="s">
        <v>165</v>
      </c>
      <c r="B1622" s="1036" t="str">
        <f>GLOBAL_DER_FEV_2023!B1622</f>
        <v/>
      </c>
      <c r="C1622" s="1072" t="str">
        <f>GLOBAL_DER_FEV_2023!C1622</f>
        <v/>
      </c>
      <c r="D1622" s="1141">
        <f>GLOBAL_DER_FEV_2023!D1622</f>
        <v>0</v>
      </c>
      <c r="E1622" s="907">
        <f>GLOBAL_DER_FEV_2023!E1622</f>
        <v>0</v>
      </c>
      <c r="F1622" s="908">
        <f>GLOBAL_DER_FEV_2023!F1622</f>
        <v>0</v>
      </c>
      <c r="G1622" s="912">
        <f>GLOBAL_DER_FEV_2023!G1622</f>
        <v>0</v>
      </c>
      <c r="H1622" s="901">
        <f>GLOBAL_DER_FEV_2023!H1622</f>
        <v>0</v>
      </c>
      <c r="I1622" s="901" t="str">
        <f>GLOBAL_DER_FEV_2023!I1622</f>
        <v/>
      </c>
      <c r="J1622" s="890">
        <f>GLOBAL_DER_FEV_2023!J1622</f>
        <v>0</v>
      </c>
      <c r="K1622" s="903" t="str">
        <f>GLOBAL_DER_FEV_2023!K1622</f>
        <v xml:space="preserve">     </v>
      </c>
      <c r="L1622" s="1137"/>
      <c r="M1622" s="1138">
        <f t="shared" si="122"/>
        <v>0</v>
      </c>
      <c r="N1622" s="1167">
        <f t="shared" si="121"/>
        <v>0</v>
      </c>
      <c r="O1622" s="1165"/>
      <c r="Q1622" s="317" t="str">
        <f t="shared" si="118"/>
        <v/>
      </c>
      <c r="R1622" s="317" t="str">
        <f t="shared" si="119"/>
        <v/>
      </c>
      <c r="S1622" s="317" t="str">
        <f t="shared" si="120"/>
        <v/>
      </c>
      <c r="T1622" s="317" t="str">
        <f>GLOBAL_DER_FEV_2023!S1622</f>
        <v/>
      </c>
      <c r="W1622" s="582">
        <v>0</v>
      </c>
      <c r="X1622" s="580"/>
      <c r="Y1622" s="583">
        <f>IF(GLOBAL_DER_FEV_2023!W1622=0,0,IF(GLOBAL_DER_FEV_2023!W1622&gt;0,"c","b"))</f>
        <v>0</v>
      </c>
    </row>
    <row r="1623" spans="1:25" ht="15" hidden="1" customHeight="1" x14ac:dyDescent="0.2">
      <c r="A1623" s="640" t="s">
        <v>165</v>
      </c>
      <c r="B1623" s="1036" t="str">
        <f>GLOBAL_DER_FEV_2023!B1623</f>
        <v/>
      </c>
      <c r="C1623" s="1072" t="str">
        <f>GLOBAL_DER_FEV_2023!C1623</f>
        <v/>
      </c>
      <c r="D1623" s="1141">
        <f>GLOBAL_DER_FEV_2023!D1623</f>
        <v>0</v>
      </c>
      <c r="E1623" s="907">
        <f>GLOBAL_DER_FEV_2023!E1623</f>
        <v>0</v>
      </c>
      <c r="F1623" s="908">
        <f>GLOBAL_DER_FEV_2023!F1623</f>
        <v>0</v>
      </c>
      <c r="G1623" s="912">
        <f>GLOBAL_DER_FEV_2023!G1623</f>
        <v>0</v>
      </c>
      <c r="H1623" s="901">
        <f>GLOBAL_DER_FEV_2023!H1623</f>
        <v>0</v>
      </c>
      <c r="I1623" s="901" t="str">
        <f>GLOBAL_DER_FEV_2023!I1623</f>
        <v/>
      </c>
      <c r="J1623" s="890">
        <f>GLOBAL_DER_FEV_2023!J1623</f>
        <v>0</v>
      </c>
      <c r="K1623" s="903" t="str">
        <f>GLOBAL_DER_FEV_2023!K1623</f>
        <v xml:space="preserve">     </v>
      </c>
      <c r="L1623" s="1137"/>
      <c r="M1623" s="1138">
        <f t="shared" si="122"/>
        <v>0</v>
      </c>
      <c r="N1623" s="1167">
        <f t="shared" si="121"/>
        <v>0</v>
      </c>
      <c r="O1623" s="1165"/>
      <c r="Q1623" s="317" t="str">
        <f t="shared" si="118"/>
        <v/>
      </c>
      <c r="R1623" s="317" t="str">
        <f t="shared" si="119"/>
        <v/>
      </c>
      <c r="S1623" s="317" t="str">
        <f t="shared" si="120"/>
        <v/>
      </c>
      <c r="T1623" s="317" t="str">
        <f>GLOBAL_DER_FEV_2023!S1623</f>
        <v/>
      </c>
      <c r="W1623" s="582">
        <v>0</v>
      </c>
      <c r="X1623" s="580"/>
      <c r="Y1623" s="583">
        <f>IF(GLOBAL_DER_FEV_2023!W1623=0,0,IF(GLOBAL_DER_FEV_2023!W1623&gt;0,"c","b"))</f>
        <v>0</v>
      </c>
    </row>
    <row r="1624" spans="1:25" ht="15" hidden="1" customHeight="1" thickBot="1" x14ac:dyDescent="0.25">
      <c r="A1624" s="640" t="s">
        <v>165</v>
      </c>
      <c r="B1624" s="1036" t="str">
        <f>GLOBAL_DER_FEV_2023!B1624</f>
        <v/>
      </c>
      <c r="C1624" s="1072" t="str">
        <f>GLOBAL_DER_FEV_2023!C1624</f>
        <v/>
      </c>
      <c r="D1624" s="1141">
        <f>GLOBAL_DER_FEV_2023!D1624</f>
        <v>0</v>
      </c>
      <c r="E1624" s="907">
        <f>GLOBAL_DER_FEV_2023!E1624</f>
        <v>0</v>
      </c>
      <c r="F1624" s="908">
        <f>GLOBAL_DER_FEV_2023!F1624</f>
        <v>0</v>
      </c>
      <c r="G1624" s="912">
        <f>GLOBAL_DER_FEV_2023!G1624</f>
        <v>0</v>
      </c>
      <c r="H1624" s="901">
        <f>GLOBAL_DER_FEV_2023!H1624</f>
        <v>0</v>
      </c>
      <c r="I1624" s="901" t="str">
        <f>GLOBAL_DER_FEV_2023!I1624</f>
        <v/>
      </c>
      <c r="J1624" s="890">
        <f>GLOBAL_DER_FEV_2023!J1624</f>
        <v>0</v>
      </c>
      <c r="K1624" s="903" t="str">
        <f>GLOBAL_DER_FEV_2023!K1624</f>
        <v xml:space="preserve">     </v>
      </c>
      <c r="L1624" s="1137"/>
      <c r="M1624" s="1138">
        <f t="shared" si="122"/>
        <v>0</v>
      </c>
      <c r="N1624" s="1167">
        <f t="shared" si="121"/>
        <v>0</v>
      </c>
      <c r="O1624" s="1165"/>
      <c r="Q1624" s="317" t="str">
        <f t="shared" si="118"/>
        <v/>
      </c>
      <c r="R1624" s="317" t="str">
        <f t="shared" si="119"/>
        <v/>
      </c>
      <c r="S1624" s="317" t="str">
        <f t="shared" si="120"/>
        <v/>
      </c>
      <c r="T1624" s="317" t="str">
        <f>GLOBAL_DER_FEV_2023!S1624</f>
        <v/>
      </c>
      <c r="W1624" s="582">
        <v>0</v>
      </c>
      <c r="X1624" s="580"/>
      <c r="Y1624" s="583">
        <f>IF(GLOBAL_DER_FEV_2023!W1624=0,0,IF(GLOBAL_DER_FEV_2023!W1624&gt;0,"c","b"))</f>
        <v>0</v>
      </c>
    </row>
    <row r="1625" spans="1:25" ht="15" hidden="1" customHeight="1" thickBot="1" x14ac:dyDescent="0.25">
      <c r="A1625" s="317" t="s">
        <v>441</v>
      </c>
      <c r="B1625" s="950" t="s">
        <v>439</v>
      </c>
      <c r="C1625" s="951"/>
      <c r="D1625" s="952" t="s">
        <v>440</v>
      </c>
      <c r="E1625" s="943">
        <f>GLOBAL_DER_FEV_2023!E1625</f>
        <v>0</v>
      </c>
      <c r="F1625" s="876"/>
      <c r="G1625" s="944"/>
      <c r="H1625" s="945">
        <f>GLOBAL_DER_FEV_2023!H1625</f>
        <v>0</v>
      </c>
      <c r="I1625" s="945">
        <f>GLOBAL_DER_FEV_2023!I1625</f>
        <v>0</v>
      </c>
      <c r="J1625" s="945">
        <f>GLOBAL_DER_FEV_2023!J1625</f>
        <v>0</v>
      </c>
      <c r="K1625" s="878" t="s">
        <v>507</v>
      </c>
      <c r="L1625" s="1171"/>
      <c r="M1625" s="1172">
        <f t="shared" si="122"/>
        <v>0</v>
      </c>
      <c r="N1625" s="1173">
        <f t="shared" si="121"/>
        <v>0</v>
      </c>
      <c r="O1625" s="1174">
        <f>SUM(N1626:N1719)</f>
        <v>0</v>
      </c>
      <c r="P1625" s="58" t="str">
        <f>IF(OR(O1625&gt;0,O1625&gt;0),"X","")</f>
        <v/>
      </c>
      <c r="Q1625" s="317" t="str">
        <f t="shared" si="118"/>
        <v/>
      </c>
      <c r="R1625" s="317" t="str">
        <f t="shared" si="119"/>
        <v/>
      </c>
      <c r="S1625" s="317" t="str">
        <f t="shared" si="120"/>
        <v/>
      </c>
      <c r="T1625" s="317" t="str">
        <f>GLOBAL_DER_FEV_2023!S1625</f>
        <v/>
      </c>
      <c r="W1625" s="582">
        <v>0</v>
      </c>
      <c r="X1625" s="580"/>
      <c r="Y1625" s="583">
        <f>IF(GLOBAL_DER_FEV_2023!W1625=0,0,IF(GLOBAL_DER_FEV_2023!W1625&gt;0,"c","b"))</f>
        <v>0</v>
      </c>
    </row>
    <row r="1626" spans="1:25" ht="15" hidden="1" customHeight="1" x14ac:dyDescent="0.2">
      <c r="A1626" s="317">
        <v>850000</v>
      </c>
      <c r="B1626" s="895">
        <v>850000</v>
      </c>
      <c r="C1626" s="896" t="s">
        <v>184</v>
      </c>
      <c r="D1626" s="906" t="s">
        <v>279</v>
      </c>
      <c r="E1626" s="898">
        <f>GLOBAL_DER_FEV_2023!E1626</f>
        <v>0</v>
      </c>
      <c r="F1626" s="908">
        <f>GLOBAL_DER_FEV_2023!F1626</f>
        <v>1.73</v>
      </c>
      <c r="G1626" s="909">
        <f>GLOBAL_DER_FEV_2023!G1626</f>
        <v>4.6364000000000001</v>
      </c>
      <c r="H1626" s="901">
        <f>GLOBAL_DER_FEV_2023!H1626</f>
        <v>7254.91</v>
      </c>
      <c r="I1626" s="901">
        <f>GLOBAL_DER_FEV_2023!I1626</f>
        <v>7259.5464000000002</v>
      </c>
      <c r="J1626" s="902">
        <f>GLOBAL_DER_FEV_2023!J1626</f>
        <v>8716.5400000000009</v>
      </c>
      <c r="K1626" s="903" t="s">
        <v>15</v>
      </c>
      <c r="L1626" s="1137"/>
      <c r="M1626" s="1138">
        <f t="shared" si="122"/>
        <v>0</v>
      </c>
      <c r="N1626" s="893">
        <f t="shared" si="121"/>
        <v>0</v>
      </c>
      <c r="O1626" s="905"/>
      <c r="Q1626" s="317" t="str">
        <f t="shared" si="118"/>
        <v/>
      </c>
      <c r="R1626" s="317" t="str">
        <f t="shared" si="119"/>
        <v/>
      </c>
      <c r="S1626" s="317" t="str">
        <f t="shared" si="120"/>
        <v/>
      </c>
      <c r="T1626" s="317" t="str">
        <f>GLOBAL_DER_FEV_2023!S1626</f>
        <v/>
      </c>
      <c r="W1626" s="582">
        <v>0</v>
      </c>
      <c r="X1626" s="580"/>
      <c r="Y1626" s="583">
        <f>IF(GLOBAL_DER_FEV_2023!W1626=0,0,IF(GLOBAL_DER_FEV_2023!W1626&gt;0,"c","b"))</f>
        <v>0</v>
      </c>
    </row>
    <row r="1627" spans="1:25" ht="15" hidden="1" customHeight="1" x14ac:dyDescent="0.2">
      <c r="A1627" s="317">
        <v>603000</v>
      </c>
      <c r="B1627" s="895" t="s">
        <v>1769</v>
      </c>
      <c r="C1627" s="896" t="s">
        <v>184</v>
      </c>
      <c r="D1627" s="906" t="s">
        <v>261</v>
      </c>
      <c r="E1627" s="907">
        <f>GLOBAL_DER_FEV_2023!E1627</f>
        <v>0</v>
      </c>
      <c r="F1627" s="908">
        <f>GLOBAL_DER_FEV_2023!F1627</f>
        <v>0</v>
      </c>
      <c r="G1627" s="949">
        <f>GLOBAL_DER_FEV_2023!G1627</f>
        <v>0</v>
      </c>
      <c r="H1627" s="901">
        <f>GLOBAL_DER_FEV_2023!H1627</f>
        <v>18.34</v>
      </c>
      <c r="I1627" s="901">
        <f>GLOBAL_DER_FEV_2023!I1627</f>
        <v>18.34</v>
      </c>
      <c r="J1627" s="902">
        <f>GLOBAL_DER_FEV_2023!J1627</f>
        <v>22.02</v>
      </c>
      <c r="K1627" s="903" t="s">
        <v>16</v>
      </c>
      <c r="L1627" s="1137"/>
      <c r="M1627" s="1138">
        <f t="shared" si="122"/>
        <v>0</v>
      </c>
      <c r="N1627" s="893">
        <f t="shared" si="121"/>
        <v>0</v>
      </c>
      <c r="O1627" s="905"/>
      <c r="Q1627" s="317" t="str">
        <f t="shared" ref="Q1627:Q1690" si="123">IF(P1627="X","x",IF(P1627="xx","x",IF(P1627="xy","x",IF(P1627="y","x",IF(OR(N1627&gt;0,N1627&gt;0),"x","")))))</f>
        <v/>
      </c>
      <c r="R1627" s="317" t="str">
        <f t="shared" si="119"/>
        <v/>
      </c>
      <c r="S1627" s="317" t="str">
        <f t="shared" si="120"/>
        <v/>
      </c>
      <c r="T1627" s="317" t="str">
        <f>GLOBAL_DER_FEV_2023!S1627</f>
        <v/>
      </c>
      <c r="W1627" s="582">
        <v>0</v>
      </c>
      <c r="X1627" s="580"/>
      <c r="Y1627" s="583">
        <f>IF(GLOBAL_DER_FEV_2023!W1627=0,0,IF(GLOBAL_DER_FEV_2023!W1627&gt;0,"c","b"))</f>
        <v>0</v>
      </c>
    </row>
    <row r="1628" spans="1:25" ht="15" hidden="1" customHeight="1" x14ac:dyDescent="0.2">
      <c r="A1628" s="317">
        <v>603300</v>
      </c>
      <c r="B1628" s="895" t="s">
        <v>1772</v>
      </c>
      <c r="C1628" s="896" t="s">
        <v>184</v>
      </c>
      <c r="D1628" s="906" t="s">
        <v>262</v>
      </c>
      <c r="E1628" s="907">
        <f>GLOBAL_DER_FEV_2023!E1628</f>
        <v>0</v>
      </c>
      <c r="F1628" s="908">
        <f>GLOBAL_DER_FEV_2023!F1628</f>
        <v>0</v>
      </c>
      <c r="G1628" s="949">
        <f>GLOBAL_DER_FEV_2023!G1628</f>
        <v>0</v>
      </c>
      <c r="H1628" s="901">
        <f>GLOBAL_DER_FEV_2023!H1628</f>
        <v>20.91</v>
      </c>
      <c r="I1628" s="901">
        <f>GLOBAL_DER_FEV_2023!I1628</f>
        <v>20.91</v>
      </c>
      <c r="J1628" s="902">
        <f>GLOBAL_DER_FEV_2023!J1628</f>
        <v>25.11</v>
      </c>
      <c r="K1628" s="903" t="s">
        <v>16</v>
      </c>
      <c r="L1628" s="1137"/>
      <c r="M1628" s="1138">
        <f t="shared" si="122"/>
        <v>0</v>
      </c>
      <c r="N1628" s="893">
        <f t="shared" si="121"/>
        <v>0</v>
      </c>
      <c r="O1628" s="905"/>
      <c r="Q1628" s="317" t="str">
        <f t="shared" si="123"/>
        <v/>
      </c>
      <c r="R1628" s="317" t="str">
        <f t="shared" si="119"/>
        <v/>
      </c>
      <c r="S1628" s="317" t="str">
        <f t="shared" si="120"/>
        <v/>
      </c>
      <c r="T1628" s="317" t="str">
        <f>GLOBAL_DER_FEV_2023!S1628</f>
        <v/>
      </c>
      <c r="W1628" s="582">
        <v>0</v>
      </c>
      <c r="X1628" s="580"/>
      <c r="Y1628" s="583">
        <f>IF(GLOBAL_DER_FEV_2023!W1628=0,0,IF(GLOBAL_DER_FEV_2023!W1628&gt;0,"c","b"))</f>
        <v>0</v>
      </c>
    </row>
    <row r="1629" spans="1:25" ht="15" hidden="1" customHeight="1" x14ac:dyDescent="0.2">
      <c r="A1629" s="317">
        <v>601100</v>
      </c>
      <c r="B1629" s="895" t="s">
        <v>1767</v>
      </c>
      <c r="C1629" s="896" t="s">
        <v>184</v>
      </c>
      <c r="D1629" s="906" t="s">
        <v>324</v>
      </c>
      <c r="E1629" s="907">
        <f>GLOBAL_DER_FEV_2023!E1629</f>
        <v>0</v>
      </c>
      <c r="F1629" s="908">
        <f>GLOBAL_DER_FEV_2023!F1629</f>
        <v>0</v>
      </c>
      <c r="G1629" s="912">
        <f>GLOBAL_DER_FEV_2023!G1629</f>
        <v>0</v>
      </c>
      <c r="H1629" s="901">
        <f>GLOBAL_DER_FEV_2023!H1629</f>
        <v>54.05</v>
      </c>
      <c r="I1629" s="901">
        <f>GLOBAL_DER_FEV_2023!I1629</f>
        <v>54.05</v>
      </c>
      <c r="J1629" s="902">
        <f>GLOBAL_DER_FEV_2023!J1629</f>
        <v>64.900000000000006</v>
      </c>
      <c r="K1629" s="903" t="s">
        <v>10</v>
      </c>
      <c r="L1629" s="1137"/>
      <c r="M1629" s="1138">
        <f t="shared" si="122"/>
        <v>0</v>
      </c>
      <c r="N1629" s="893">
        <f t="shared" si="121"/>
        <v>0</v>
      </c>
      <c r="O1629" s="905"/>
      <c r="Q1629" s="317" t="str">
        <f t="shared" si="123"/>
        <v/>
      </c>
      <c r="R1629" s="317" t="str">
        <f t="shared" ref="R1629:R1692" si="124">IF(P1629="X","x",IF(P1629="y","x",IF(P1629="xx","x",IF(N1629&gt;0,"x",""))))</f>
        <v/>
      </c>
      <c r="S1629" s="317" t="str">
        <f t="shared" ref="S1629:S1692" si="125">IF(P1629="X","x",IF(N1629&gt;0,"x",""))</f>
        <v/>
      </c>
      <c r="T1629" s="317" t="str">
        <f>GLOBAL_DER_FEV_2023!S1629</f>
        <v/>
      </c>
      <c r="W1629" s="582">
        <v>0</v>
      </c>
      <c r="X1629" s="580"/>
      <c r="Y1629" s="583">
        <f>IF(GLOBAL_DER_FEV_2023!W1629=0,0,IF(GLOBAL_DER_FEV_2023!W1629&gt;0,"c","b"))</f>
        <v>0</v>
      </c>
    </row>
    <row r="1630" spans="1:25" ht="15" hidden="1" customHeight="1" x14ac:dyDescent="0.2">
      <c r="A1630" s="317">
        <v>520100</v>
      </c>
      <c r="B1630" s="895" t="s">
        <v>1562</v>
      </c>
      <c r="C1630" s="896" t="s">
        <v>184</v>
      </c>
      <c r="D1630" s="906" t="s">
        <v>270</v>
      </c>
      <c r="E1630" s="898">
        <f>GLOBAL_DER_FEV_2023!E1630</f>
        <v>1</v>
      </c>
      <c r="F1630" s="899">
        <f>GLOBAL_DER_FEV_2023!F1630</f>
        <v>2.0999999999999996</v>
      </c>
      <c r="G1630" s="909">
        <f>GLOBAL_DER_FEV_2023!G1630</f>
        <v>7.8749999999999982</v>
      </c>
      <c r="H1630" s="954">
        <f>GLOBAL_DER_FEV_2023!H1630</f>
        <v>5.45</v>
      </c>
      <c r="I1630" s="901">
        <f>GLOBAL_DER_FEV_2023!I1630</f>
        <v>13.324999999999999</v>
      </c>
      <c r="J1630" s="902">
        <f>GLOBAL_DER_FEV_2023!J1630</f>
        <v>16</v>
      </c>
      <c r="K1630" s="903" t="s">
        <v>10</v>
      </c>
      <c r="L1630" s="1137"/>
      <c r="M1630" s="1138">
        <f t="shared" si="122"/>
        <v>0</v>
      </c>
      <c r="N1630" s="893">
        <f t="shared" si="121"/>
        <v>0</v>
      </c>
      <c r="O1630" s="905"/>
      <c r="Q1630" s="317" t="str">
        <f t="shared" si="123"/>
        <v/>
      </c>
      <c r="R1630" s="317" t="str">
        <f t="shared" si="124"/>
        <v/>
      </c>
      <c r="S1630" s="317" t="str">
        <f t="shared" si="125"/>
        <v/>
      </c>
      <c r="T1630" s="317" t="str">
        <f>GLOBAL_DER_FEV_2023!S1630</f>
        <v/>
      </c>
      <c r="W1630" s="582">
        <v>0</v>
      </c>
      <c r="X1630" s="580"/>
      <c r="Y1630" s="583">
        <f>IF(GLOBAL_DER_FEV_2023!W1630=0,0,IF(GLOBAL_DER_FEV_2023!W1630&gt;0,"c","b"))</f>
        <v>0</v>
      </c>
    </row>
    <row r="1631" spans="1:25" ht="15" hidden="1" customHeight="1" x14ac:dyDescent="0.2">
      <c r="A1631" s="317">
        <v>520100</v>
      </c>
      <c r="B1631" s="895" t="s">
        <v>1563</v>
      </c>
      <c r="C1631" s="896" t="s">
        <v>184</v>
      </c>
      <c r="D1631" s="906" t="s">
        <v>271</v>
      </c>
      <c r="E1631" s="898">
        <f>GLOBAL_DER_FEV_2023!E1631</f>
        <v>10</v>
      </c>
      <c r="F1631" s="899">
        <f>GLOBAL_DER_FEV_2023!F1631</f>
        <v>2.0999999999999996</v>
      </c>
      <c r="G1631" s="909">
        <f>GLOBAL_DER_FEV_2023!G1631</f>
        <v>28.097999999999995</v>
      </c>
      <c r="H1631" s="954">
        <f>GLOBAL_DER_FEV_2023!H1631</f>
        <v>5.45</v>
      </c>
      <c r="I1631" s="901">
        <f>GLOBAL_DER_FEV_2023!I1631</f>
        <v>33.547999999999995</v>
      </c>
      <c r="J1631" s="902">
        <f>GLOBAL_DER_FEV_2023!J1631</f>
        <v>40.28</v>
      </c>
      <c r="K1631" s="903" t="s">
        <v>10</v>
      </c>
      <c r="L1631" s="1137"/>
      <c r="M1631" s="1138">
        <f t="shared" si="122"/>
        <v>0</v>
      </c>
      <c r="N1631" s="893">
        <f t="shared" si="121"/>
        <v>0</v>
      </c>
      <c r="O1631" s="905"/>
      <c r="Q1631" s="317" t="str">
        <f t="shared" si="123"/>
        <v/>
      </c>
      <c r="R1631" s="317" t="str">
        <f t="shared" si="124"/>
        <v/>
      </c>
      <c r="S1631" s="317" t="str">
        <f t="shared" si="125"/>
        <v/>
      </c>
      <c r="T1631" s="317" t="str">
        <f>GLOBAL_DER_FEV_2023!S1631</f>
        <v/>
      </c>
      <c r="W1631" s="582">
        <v>0</v>
      </c>
      <c r="X1631" s="580"/>
      <c r="Y1631" s="583">
        <f>IF(GLOBAL_DER_FEV_2023!W1631=0,0,IF(GLOBAL_DER_FEV_2023!W1631&gt;0,"c","b"))</f>
        <v>0</v>
      </c>
    </row>
    <row r="1632" spans="1:25" ht="15" hidden="1" customHeight="1" x14ac:dyDescent="0.2">
      <c r="A1632" s="317">
        <v>532500</v>
      </c>
      <c r="B1632" s="895" t="s">
        <v>1737</v>
      </c>
      <c r="C1632" s="896" t="s">
        <v>184</v>
      </c>
      <c r="D1632" s="957" t="s">
        <v>329</v>
      </c>
      <c r="E1632" s="907">
        <f>GLOBAL_DER_FEV_2023!E1632</f>
        <v>150</v>
      </c>
      <c r="F1632" s="908">
        <f>GLOBAL_DER_FEV_2023!F1632</f>
        <v>1.7250000000000001</v>
      </c>
      <c r="G1632" s="909">
        <f>GLOBAL_DER_FEV_2023!G1632</f>
        <v>281.4855</v>
      </c>
      <c r="H1632" s="901">
        <f>GLOBAL_DER_FEV_2023!H1632</f>
        <v>102.38</v>
      </c>
      <c r="I1632" s="901">
        <f>GLOBAL_DER_FEV_2023!I1632</f>
        <v>383.8655</v>
      </c>
      <c r="J1632" s="902">
        <f>GLOBAL_DER_FEV_2023!J1632</f>
        <v>460.91</v>
      </c>
      <c r="K1632" s="903" t="s">
        <v>10</v>
      </c>
      <c r="L1632" s="1137"/>
      <c r="M1632" s="1138">
        <f t="shared" si="122"/>
        <v>0</v>
      </c>
      <c r="N1632" s="893">
        <f t="shared" si="121"/>
        <v>0</v>
      </c>
      <c r="O1632" s="905"/>
      <c r="Q1632" s="317" t="str">
        <f t="shared" si="123"/>
        <v/>
      </c>
      <c r="R1632" s="317" t="str">
        <f t="shared" si="124"/>
        <v/>
      </c>
      <c r="S1632" s="317" t="str">
        <f t="shared" si="125"/>
        <v/>
      </c>
      <c r="T1632" s="317" t="str">
        <f>GLOBAL_DER_FEV_2023!S1632</f>
        <v/>
      </c>
      <c r="W1632" s="582">
        <v>0</v>
      </c>
      <c r="X1632" s="580"/>
      <c r="Y1632" s="583">
        <f>IF(GLOBAL_DER_FEV_2023!W1632=0,0,IF(GLOBAL_DER_FEV_2023!W1632&gt;0,"c","b"))</f>
        <v>0</v>
      </c>
    </row>
    <row r="1633" spans="1:25" ht="15" hidden="1" customHeight="1" x14ac:dyDescent="0.2">
      <c r="A1633" s="317">
        <v>603900</v>
      </c>
      <c r="B1633" s="895" t="s">
        <v>1742</v>
      </c>
      <c r="C1633" s="896" t="s">
        <v>184</v>
      </c>
      <c r="D1633" s="957" t="s">
        <v>330</v>
      </c>
      <c r="E1633" s="907">
        <f>GLOBAL_DER_FEV_2023!E1633</f>
        <v>0.2</v>
      </c>
      <c r="F1633" s="908">
        <f>GLOBAL_DER_FEV_2023!F1633</f>
        <v>1.5</v>
      </c>
      <c r="G1633" s="909">
        <f>GLOBAL_DER_FEV_2023!G1633</f>
        <v>4.3410000000000002</v>
      </c>
      <c r="H1633" s="901">
        <f>GLOBAL_DER_FEV_2023!H1633</f>
        <v>131.84</v>
      </c>
      <c r="I1633" s="901">
        <f>GLOBAL_DER_FEV_2023!I1633</f>
        <v>136.18100000000001</v>
      </c>
      <c r="J1633" s="902">
        <f>GLOBAL_DER_FEV_2023!J1633</f>
        <v>163.51</v>
      </c>
      <c r="K1633" s="903" t="s">
        <v>10</v>
      </c>
      <c r="L1633" s="1137"/>
      <c r="M1633" s="1138">
        <f t="shared" si="122"/>
        <v>0</v>
      </c>
      <c r="N1633" s="893">
        <f t="shared" ref="N1633:N1696" si="126">IF(ISBLANK(L1633),0,IF(W1633=0,ROUND(L1633*M1633,2),IF(W1633="b",ROUNDDOWN(L1633*M1633,2),ROUNDUP(L1633*M1633,2))))</f>
        <v>0</v>
      </c>
      <c r="O1633" s="905"/>
      <c r="Q1633" s="317" t="str">
        <f t="shared" si="123"/>
        <v/>
      </c>
      <c r="R1633" s="317" t="str">
        <f t="shared" si="124"/>
        <v/>
      </c>
      <c r="S1633" s="317" t="str">
        <f t="shared" si="125"/>
        <v/>
      </c>
      <c r="T1633" s="317" t="str">
        <f>GLOBAL_DER_FEV_2023!S1633</f>
        <v/>
      </c>
      <c r="W1633" s="582">
        <v>0</v>
      </c>
      <c r="X1633" s="580"/>
      <c r="Y1633" s="583">
        <f>IF(GLOBAL_DER_FEV_2023!W1633=0,0,IF(GLOBAL_DER_FEV_2023!W1633&gt;0,"c","b"))</f>
        <v>0</v>
      </c>
    </row>
    <row r="1634" spans="1:25" ht="15" hidden="1" customHeight="1" x14ac:dyDescent="0.2">
      <c r="A1634" s="317">
        <v>605000</v>
      </c>
      <c r="B1634" s="895" t="s">
        <v>1781</v>
      </c>
      <c r="C1634" s="896" t="s">
        <v>184</v>
      </c>
      <c r="D1634" s="906" t="s">
        <v>259</v>
      </c>
      <c r="E1634" s="907">
        <f>GLOBAL_DER_FEV_2023!E1634</f>
        <v>0</v>
      </c>
      <c r="F1634" s="908">
        <f>GLOBAL_DER_FEV_2023!F1634</f>
        <v>0</v>
      </c>
      <c r="G1634" s="912">
        <f>GLOBAL_DER_FEV_2023!G1634</f>
        <v>220.83394000000004</v>
      </c>
      <c r="H1634" s="901">
        <f>GLOBAL_DER_FEV_2023!H1634</f>
        <v>425.25</v>
      </c>
      <c r="I1634" s="901">
        <f>GLOBAL_DER_FEV_2023!I1634</f>
        <v>646.08393999999998</v>
      </c>
      <c r="J1634" s="902">
        <f>GLOBAL_DER_FEV_2023!J1634</f>
        <v>775.75</v>
      </c>
      <c r="K1634" s="903" t="s">
        <v>10</v>
      </c>
      <c r="L1634" s="1137"/>
      <c r="M1634" s="1138">
        <f t="shared" si="122"/>
        <v>0</v>
      </c>
      <c r="N1634" s="893">
        <f t="shared" si="126"/>
        <v>0</v>
      </c>
      <c r="O1634" s="905"/>
      <c r="Q1634" s="317" t="str">
        <f t="shared" si="123"/>
        <v/>
      </c>
      <c r="R1634" s="317" t="str">
        <f t="shared" si="124"/>
        <v/>
      </c>
      <c r="S1634" s="317" t="str">
        <f t="shared" si="125"/>
        <v/>
      </c>
      <c r="T1634" s="317" t="str">
        <f>GLOBAL_DER_FEV_2023!S1634</f>
        <v/>
      </c>
      <c r="W1634" s="582">
        <v>0</v>
      </c>
      <c r="X1634" s="580"/>
      <c r="Y1634" s="583">
        <f>IF(GLOBAL_DER_FEV_2023!W1634=0,0,IF(GLOBAL_DER_FEV_2023!W1634&gt;0,"c","b"))</f>
        <v>0</v>
      </c>
    </row>
    <row r="1635" spans="1:25" ht="15" hidden="1" customHeight="1" x14ac:dyDescent="0.2">
      <c r="A1635" s="317" t="s">
        <v>147</v>
      </c>
      <c r="B1635" s="895" t="s">
        <v>147</v>
      </c>
      <c r="C1635" s="896"/>
      <c r="D1635" s="957" t="s">
        <v>190</v>
      </c>
      <c r="E1635" s="907">
        <f>GLOBAL_DER_FEV_2023!E1635</f>
        <v>308</v>
      </c>
      <c r="F1635" s="908">
        <f>GLOBAL_DER_FEV_2023!F1635</f>
        <v>0.18</v>
      </c>
      <c r="G1635" s="909">
        <f>GLOBAL_DER_FEV_2023!G1635</f>
        <v>44.650799999999997</v>
      </c>
      <c r="H1635" s="901">
        <f>GLOBAL_DER_FEV_2023!H1635</f>
        <v>0</v>
      </c>
      <c r="I1635" s="901">
        <f>GLOBAL_DER_FEV_2023!I1635</f>
        <v>0</v>
      </c>
      <c r="J1635" s="902">
        <f>GLOBAL_DER_FEV_2023!J1635</f>
        <v>0</v>
      </c>
      <c r="K1635" s="958" t="s">
        <v>507</v>
      </c>
      <c r="L1635" s="959"/>
      <c r="M1635" s="1157">
        <f t="shared" si="122"/>
        <v>0</v>
      </c>
      <c r="N1635" s="893">
        <f t="shared" si="126"/>
        <v>0</v>
      </c>
      <c r="O1635" s="905"/>
      <c r="P1635" s="58" t="str">
        <f>IF(N1634&gt;0,"xx",IF(N1634&gt;0,"xy",""))</f>
        <v/>
      </c>
      <c r="Q1635" s="317" t="str">
        <f t="shared" si="123"/>
        <v/>
      </c>
      <c r="R1635" s="317" t="str">
        <f t="shared" si="124"/>
        <v/>
      </c>
      <c r="S1635" s="317" t="str">
        <f t="shared" si="125"/>
        <v/>
      </c>
      <c r="T1635" s="317" t="str">
        <f>GLOBAL_DER_FEV_2023!S1635</f>
        <v/>
      </c>
      <c r="W1635" s="582">
        <v>0</v>
      </c>
      <c r="X1635" s="580"/>
      <c r="Y1635" s="583">
        <f>IF(GLOBAL_DER_FEV_2023!W1635=0,0,IF(GLOBAL_DER_FEV_2023!W1635&gt;0,"c","b"))</f>
        <v>0</v>
      </c>
    </row>
    <row r="1636" spans="1:25" ht="15" hidden="1" customHeight="1" x14ac:dyDescent="0.2">
      <c r="A1636" s="317" t="s">
        <v>147</v>
      </c>
      <c r="B1636" s="895" t="s">
        <v>147</v>
      </c>
      <c r="C1636" s="896"/>
      <c r="D1636" s="957" t="s">
        <v>229</v>
      </c>
      <c r="E1636" s="907">
        <f>GLOBAL_DER_FEV_2023!E1636</f>
        <v>150</v>
      </c>
      <c r="F1636" s="908">
        <f>GLOBAL_DER_FEV_2023!F1636</f>
        <v>1.06</v>
      </c>
      <c r="G1636" s="949">
        <f>GLOBAL_DER_FEV_2023!G1636</f>
        <v>172.97080000000003</v>
      </c>
      <c r="H1636" s="901">
        <f>GLOBAL_DER_FEV_2023!H1636</f>
        <v>0</v>
      </c>
      <c r="I1636" s="901">
        <f>GLOBAL_DER_FEV_2023!I1636</f>
        <v>0</v>
      </c>
      <c r="J1636" s="902">
        <f>GLOBAL_DER_FEV_2023!J1636</f>
        <v>0</v>
      </c>
      <c r="K1636" s="958" t="s">
        <v>507</v>
      </c>
      <c r="L1636" s="959"/>
      <c r="M1636" s="1157">
        <f t="shared" si="122"/>
        <v>0</v>
      </c>
      <c r="N1636" s="893">
        <f t="shared" si="126"/>
        <v>0</v>
      </c>
      <c r="O1636" s="905"/>
      <c r="P1636" s="58" t="str">
        <f>IF(N1634&gt;0,"xx",IF(N1634&gt;0,"xy",""))</f>
        <v/>
      </c>
      <c r="Q1636" s="317" t="str">
        <f t="shared" si="123"/>
        <v/>
      </c>
      <c r="R1636" s="317" t="str">
        <f t="shared" si="124"/>
        <v/>
      </c>
      <c r="S1636" s="317" t="str">
        <f t="shared" si="125"/>
        <v/>
      </c>
      <c r="T1636" s="317" t="str">
        <f>GLOBAL_DER_FEV_2023!S1636</f>
        <v/>
      </c>
      <c r="W1636" s="582">
        <v>0</v>
      </c>
      <c r="X1636" s="580"/>
      <c r="Y1636" s="583">
        <f>IF(GLOBAL_DER_FEV_2023!W1636=0,0,IF(GLOBAL_DER_FEV_2023!W1636&gt;0,"c","b"))</f>
        <v>0</v>
      </c>
    </row>
    <row r="1637" spans="1:25" ht="15" hidden="1" customHeight="1" x14ac:dyDescent="0.2">
      <c r="A1637" s="317" t="s">
        <v>147</v>
      </c>
      <c r="B1637" s="895" t="s">
        <v>147</v>
      </c>
      <c r="C1637" s="896"/>
      <c r="D1637" s="957" t="s">
        <v>233</v>
      </c>
      <c r="E1637" s="907">
        <f>GLOBAL_DER_FEV_2023!E1637</f>
        <v>0.2</v>
      </c>
      <c r="F1637" s="908">
        <f>GLOBAL_DER_FEV_2023!F1637</f>
        <v>1.1100000000000001</v>
      </c>
      <c r="G1637" s="949">
        <f>GLOBAL_DER_FEV_2023!G1637</f>
        <v>3.2123400000000006</v>
      </c>
      <c r="H1637" s="901">
        <f>GLOBAL_DER_FEV_2023!H1637</f>
        <v>0</v>
      </c>
      <c r="I1637" s="901">
        <f>GLOBAL_DER_FEV_2023!I1637</f>
        <v>0</v>
      </c>
      <c r="J1637" s="902">
        <f>GLOBAL_DER_FEV_2023!J1637</f>
        <v>0</v>
      </c>
      <c r="K1637" s="958" t="s">
        <v>507</v>
      </c>
      <c r="L1637" s="959"/>
      <c r="M1637" s="1157">
        <f t="shared" si="122"/>
        <v>0</v>
      </c>
      <c r="N1637" s="893">
        <f t="shared" si="126"/>
        <v>0</v>
      </c>
      <c r="O1637" s="905"/>
      <c r="P1637" s="58" t="str">
        <f>IF(N1634&gt;0,"xx",IF(N1634&gt;0,"xy",""))</f>
        <v/>
      </c>
      <c r="Q1637" s="317" t="str">
        <f t="shared" si="123"/>
        <v/>
      </c>
      <c r="R1637" s="317" t="str">
        <f t="shared" si="124"/>
        <v/>
      </c>
      <c r="S1637" s="317" t="str">
        <f t="shared" si="125"/>
        <v/>
      </c>
      <c r="T1637" s="317" t="str">
        <f>GLOBAL_DER_FEV_2023!S1637</f>
        <v/>
      </c>
      <c r="W1637" s="582">
        <v>0</v>
      </c>
      <c r="X1637" s="580"/>
      <c r="Y1637" s="583">
        <f>IF(GLOBAL_DER_FEV_2023!W1637=0,0,IF(GLOBAL_DER_FEV_2023!W1637&gt;0,"c","b"))</f>
        <v>0</v>
      </c>
    </row>
    <row r="1638" spans="1:25" ht="15" hidden="1" customHeight="1" x14ac:dyDescent="0.2">
      <c r="A1638" s="317">
        <v>400500</v>
      </c>
      <c r="B1638" s="895" t="s">
        <v>1736</v>
      </c>
      <c r="C1638" s="896" t="s">
        <v>184</v>
      </c>
      <c r="D1638" s="906" t="s">
        <v>1732</v>
      </c>
      <c r="E1638" s="907">
        <f>GLOBAL_DER_FEV_2023!E1638</f>
        <v>150</v>
      </c>
      <c r="F1638" s="908">
        <f>GLOBAL_DER_FEV_2023!F1638</f>
        <v>1.73</v>
      </c>
      <c r="G1638" s="949">
        <f>GLOBAL_DER_FEV_2023!G1638</f>
        <v>282.3014</v>
      </c>
      <c r="H1638" s="901">
        <f>GLOBAL_DER_FEV_2023!H1638</f>
        <v>83.83</v>
      </c>
      <c r="I1638" s="901">
        <f>GLOBAL_DER_FEV_2023!I1638</f>
        <v>366.13139999999999</v>
      </c>
      <c r="J1638" s="902">
        <f>GLOBAL_DER_FEV_2023!J1638</f>
        <v>439.61</v>
      </c>
      <c r="K1638" s="903" t="s">
        <v>10</v>
      </c>
      <c r="L1638" s="1137"/>
      <c r="M1638" s="1138">
        <f t="shared" si="122"/>
        <v>0</v>
      </c>
      <c r="N1638" s="893">
        <f t="shared" si="126"/>
        <v>0</v>
      </c>
      <c r="O1638" s="905"/>
      <c r="Q1638" s="317" t="str">
        <f t="shared" si="123"/>
        <v/>
      </c>
      <c r="R1638" s="317" t="str">
        <f t="shared" si="124"/>
        <v/>
      </c>
      <c r="S1638" s="317" t="str">
        <f t="shared" si="125"/>
        <v/>
      </c>
      <c r="T1638" s="317" t="str">
        <f>GLOBAL_DER_FEV_2023!S1638</f>
        <v/>
      </c>
      <c r="W1638" s="582">
        <v>0</v>
      </c>
      <c r="X1638" s="580"/>
      <c r="Y1638" s="583">
        <f>IF(GLOBAL_DER_FEV_2023!W1638=0,0,IF(GLOBAL_DER_FEV_2023!W1638&gt;0,"c","b"))</f>
        <v>0</v>
      </c>
    </row>
    <row r="1639" spans="1:25" ht="15" hidden="1" customHeight="1" x14ac:dyDescent="0.2">
      <c r="A1639" s="317">
        <v>532500</v>
      </c>
      <c r="B1639" s="895" t="s">
        <v>1738</v>
      </c>
      <c r="C1639" s="896" t="s">
        <v>184</v>
      </c>
      <c r="D1639" s="906" t="s">
        <v>1735</v>
      </c>
      <c r="E1639" s="907">
        <f>GLOBAL_DER_FEV_2023!E1639</f>
        <v>150</v>
      </c>
      <c r="F1639" s="908">
        <f>GLOBAL_DER_FEV_2023!F1639</f>
        <v>1.7250000000000001</v>
      </c>
      <c r="G1639" s="949">
        <f>GLOBAL_DER_FEV_2023!G1639</f>
        <v>281.4855</v>
      </c>
      <c r="H1639" s="901">
        <f>GLOBAL_DER_FEV_2023!H1639</f>
        <v>102.38</v>
      </c>
      <c r="I1639" s="901">
        <f>GLOBAL_DER_FEV_2023!I1639</f>
        <v>383.8655</v>
      </c>
      <c r="J1639" s="902">
        <f>GLOBAL_DER_FEV_2023!J1639</f>
        <v>460.91</v>
      </c>
      <c r="K1639" s="903" t="s">
        <v>10</v>
      </c>
      <c r="L1639" s="1137"/>
      <c r="M1639" s="1138">
        <f t="shared" si="122"/>
        <v>0</v>
      </c>
      <c r="N1639" s="893">
        <f t="shared" si="126"/>
        <v>0</v>
      </c>
      <c r="O1639" s="905"/>
      <c r="Q1639" s="317" t="str">
        <f t="shared" si="123"/>
        <v/>
      </c>
      <c r="R1639" s="317" t="str">
        <f t="shared" si="124"/>
        <v/>
      </c>
      <c r="S1639" s="317" t="str">
        <f t="shared" si="125"/>
        <v/>
      </c>
      <c r="T1639" s="317" t="str">
        <f>GLOBAL_DER_FEV_2023!S1639</f>
        <v/>
      </c>
      <c r="W1639" s="582">
        <v>0</v>
      </c>
      <c r="X1639" s="580"/>
      <c r="Y1639" s="583">
        <f>IF(GLOBAL_DER_FEV_2023!W1639=0,0,IF(GLOBAL_DER_FEV_2023!W1639&gt;0,"c","b"))</f>
        <v>0</v>
      </c>
    </row>
    <row r="1640" spans="1:25" ht="15" hidden="1" customHeight="1" x14ac:dyDescent="0.2">
      <c r="A1640" s="317">
        <v>532600</v>
      </c>
      <c r="B1640" s="895" t="s">
        <v>1567</v>
      </c>
      <c r="C1640" s="896" t="s">
        <v>184</v>
      </c>
      <c r="D1640" s="906" t="s">
        <v>1733</v>
      </c>
      <c r="E1640" s="898">
        <f>GLOBAL_DER_FEV_2023!E1640</f>
        <v>0</v>
      </c>
      <c r="F1640" s="908">
        <f>GLOBAL_DER_FEV_2023!F1640</f>
        <v>2.25</v>
      </c>
      <c r="G1640" s="949">
        <f>GLOBAL_DER_FEV_2023!G1640</f>
        <v>6.03</v>
      </c>
      <c r="H1640" s="901">
        <f>GLOBAL_DER_FEV_2023!H1640</f>
        <v>16.07</v>
      </c>
      <c r="I1640" s="901">
        <f>GLOBAL_DER_FEV_2023!I1640</f>
        <v>22.1</v>
      </c>
      <c r="J1640" s="902">
        <f>GLOBAL_DER_FEV_2023!J1640</f>
        <v>26.54</v>
      </c>
      <c r="K1640" s="903" t="s">
        <v>10</v>
      </c>
      <c r="L1640" s="1137"/>
      <c r="M1640" s="1138">
        <f t="shared" si="122"/>
        <v>0</v>
      </c>
      <c r="N1640" s="893">
        <f t="shared" si="126"/>
        <v>0</v>
      </c>
      <c r="O1640" s="905"/>
      <c r="Q1640" s="317" t="str">
        <f t="shared" si="123"/>
        <v/>
      </c>
      <c r="R1640" s="317" t="str">
        <f t="shared" si="124"/>
        <v/>
      </c>
      <c r="S1640" s="317" t="str">
        <f t="shared" si="125"/>
        <v/>
      </c>
      <c r="T1640" s="317" t="str">
        <f>GLOBAL_DER_FEV_2023!S1640</f>
        <v/>
      </c>
      <c r="W1640" s="582">
        <v>0</v>
      </c>
      <c r="X1640" s="580"/>
      <c r="Y1640" s="583">
        <f>IF(GLOBAL_DER_FEV_2023!W1640=0,0,IF(GLOBAL_DER_FEV_2023!W1640&gt;0,"c","b"))</f>
        <v>0</v>
      </c>
    </row>
    <row r="1641" spans="1:25" ht="15" hidden="1" customHeight="1" x14ac:dyDescent="0.2">
      <c r="A1641" s="317">
        <v>603900</v>
      </c>
      <c r="B1641" s="895" t="s">
        <v>1743</v>
      </c>
      <c r="C1641" s="896" t="s">
        <v>184</v>
      </c>
      <c r="D1641" s="906" t="s">
        <v>1734</v>
      </c>
      <c r="E1641" s="907">
        <f>GLOBAL_DER_FEV_2023!E1641</f>
        <v>0.2</v>
      </c>
      <c r="F1641" s="908">
        <f>GLOBAL_DER_FEV_2023!F1641</f>
        <v>1.5</v>
      </c>
      <c r="G1641" s="949">
        <f>GLOBAL_DER_FEV_2023!G1641</f>
        <v>4.3410000000000002</v>
      </c>
      <c r="H1641" s="901">
        <f>GLOBAL_DER_FEV_2023!H1641</f>
        <v>131.84</v>
      </c>
      <c r="I1641" s="901">
        <f>GLOBAL_DER_FEV_2023!I1641</f>
        <v>136.18100000000001</v>
      </c>
      <c r="J1641" s="902">
        <f>GLOBAL_DER_FEV_2023!J1641</f>
        <v>163.51</v>
      </c>
      <c r="K1641" s="903" t="s">
        <v>10</v>
      </c>
      <c r="L1641" s="1137"/>
      <c r="M1641" s="1138">
        <f t="shared" si="122"/>
        <v>0</v>
      </c>
      <c r="N1641" s="893">
        <f t="shared" si="126"/>
        <v>0</v>
      </c>
      <c r="O1641" s="905"/>
      <c r="Q1641" s="317" t="str">
        <f t="shared" si="123"/>
        <v/>
      </c>
      <c r="R1641" s="317" t="str">
        <f t="shared" si="124"/>
        <v/>
      </c>
      <c r="S1641" s="317" t="str">
        <f t="shared" si="125"/>
        <v/>
      </c>
      <c r="T1641" s="317" t="str">
        <f>GLOBAL_DER_FEV_2023!S1641</f>
        <v/>
      </c>
      <c r="W1641" s="582">
        <v>0</v>
      </c>
      <c r="X1641" s="580"/>
      <c r="Y1641" s="583">
        <f>IF(GLOBAL_DER_FEV_2023!W1641=0,0,IF(GLOBAL_DER_FEV_2023!W1641&gt;0,"c","b"))</f>
        <v>0</v>
      </c>
    </row>
    <row r="1642" spans="1:25" ht="15" hidden="1" customHeight="1" x14ac:dyDescent="0.2">
      <c r="A1642" s="317">
        <v>605000</v>
      </c>
      <c r="B1642" s="895" t="s">
        <v>1782</v>
      </c>
      <c r="C1642" s="896" t="s">
        <v>184</v>
      </c>
      <c r="D1642" s="906" t="s">
        <v>337</v>
      </c>
      <c r="E1642" s="907">
        <f>GLOBAL_DER_FEV_2023!E1642</f>
        <v>0</v>
      </c>
      <c r="F1642" s="908">
        <f>GLOBAL_DER_FEV_2023!F1642</f>
        <v>0</v>
      </c>
      <c r="G1642" s="912">
        <f>GLOBAL_DER_FEV_2023!G1642</f>
        <v>220.83394000000004</v>
      </c>
      <c r="H1642" s="901">
        <f>GLOBAL_DER_FEV_2023!H1642</f>
        <v>425.25</v>
      </c>
      <c r="I1642" s="901">
        <f>GLOBAL_DER_FEV_2023!I1642</f>
        <v>646.08393999999998</v>
      </c>
      <c r="J1642" s="902">
        <f>GLOBAL_DER_FEV_2023!J1642</f>
        <v>775.75</v>
      </c>
      <c r="K1642" s="903" t="s">
        <v>10</v>
      </c>
      <c r="L1642" s="1137"/>
      <c r="M1642" s="1138">
        <f t="shared" si="122"/>
        <v>0</v>
      </c>
      <c r="N1642" s="893">
        <f t="shared" si="126"/>
        <v>0</v>
      </c>
      <c r="O1642" s="905"/>
      <c r="Q1642" s="317" t="str">
        <f t="shared" si="123"/>
        <v/>
      </c>
      <c r="R1642" s="317" t="str">
        <f t="shared" si="124"/>
        <v/>
      </c>
      <c r="S1642" s="317" t="str">
        <f t="shared" si="125"/>
        <v/>
      </c>
      <c r="T1642" s="317" t="str">
        <f>GLOBAL_DER_FEV_2023!S1642</f>
        <v/>
      </c>
      <c r="W1642" s="582">
        <v>0</v>
      </c>
      <c r="X1642" s="580"/>
      <c r="Y1642" s="583">
        <f>IF(GLOBAL_DER_FEV_2023!W1642=0,0,IF(GLOBAL_DER_FEV_2023!W1642&gt;0,"c","b"))</f>
        <v>0</v>
      </c>
    </row>
    <row r="1643" spans="1:25" ht="15" hidden="1" customHeight="1" x14ac:dyDescent="0.2">
      <c r="A1643" s="317" t="s">
        <v>147</v>
      </c>
      <c r="B1643" s="895" t="s">
        <v>147</v>
      </c>
      <c r="C1643" s="896"/>
      <c r="D1643" s="957" t="s">
        <v>190</v>
      </c>
      <c r="E1643" s="907">
        <f>GLOBAL_DER_FEV_2023!E1643</f>
        <v>308</v>
      </c>
      <c r="F1643" s="908">
        <f>GLOBAL_DER_FEV_2023!F1643</f>
        <v>0.18</v>
      </c>
      <c r="G1643" s="909">
        <f>GLOBAL_DER_FEV_2023!G1643</f>
        <v>44.650799999999997</v>
      </c>
      <c r="H1643" s="901">
        <f>GLOBAL_DER_FEV_2023!H1643</f>
        <v>0</v>
      </c>
      <c r="I1643" s="901">
        <f>GLOBAL_DER_FEV_2023!I1643</f>
        <v>0</v>
      </c>
      <c r="J1643" s="902">
        <f>GLOBAL_DER_FEV_2023!J1643</f>
        <v>0</v>
      </c>
      <c r="K1643" s="958" t="s">
        <v>507</v>
      </c>
      <c r="L1643" s="959"/>
      <c r="M1643" s="1157">
        <f t="shared" si="122"/>
        <v>0</v>
      </c>
      <c r="N1643" s="893">
        <f t="shared" si="126"/>
        <v>0</v>
      </c>
      <c r="O1643" s="905"/>
      <c r="P1643" s="58" t="str">
        <f>IF(N1642&gt;0,"xx",IF(N1642&gt;0,"xy",""))</f>
        <v/>
      </c>
      <c r="Q1643" s="317" t="str">
        <f t="shared" si="123"/>
        <v/>
      </c>
      <c r="R1643" s="317" t="str">
        <f t="shared" si="124"/>
        <v/>
      </c>
      <c r="S1643" s="317" t="str">
        <f t="shared" si="125"/>
        <v/>
      </c>
      <c r="T1643" s="317" t="str">
        <f>GLOBAL_DER_FEV_2023!S1643</f>
        <v/>
      </c>
      <c r="W1643" s="582">
        <v>0</v>
      </c>
      <c r="X1643" s="580"/>
      <c r="Y1643" s="583">
        <f>IF(GLOBAL_DER_FEV_2023!W1643=0,0,IF(GLOBAL_DER_FEV_2023!W1643&gt;0,"c","b"))</f>
        <v>0</v>
      </c>
    </row>
    <row r="1644" spans="1:25" ht="15" hidden="1" customHeight="1" x14ac:dyDescent="0.2">
      <c r="A1644" s="317" t="s">
        <v>147</v>
      </c>
      <c r="B1644" s="895" t="s">
        <v>147</v>
      </c>
      <c r="C1644" s="896"/>
      <c r="D1644" s="957" t="s">
        <v>229</v>
      </c>
      <c r="E1644" s="907">
        <f>GLOBAL_DER_FEV_2023!E1644</f>
        <v>150</v>
      </c>
      <c r="F1644" s="908">
        <f>GLOBAL_DER_FEV_2023!F1644</f>
        <v>1.06</v>
      </c>
      <c r="G1644" s="949">
        <f>GLOBAL_DER_FEV_2023!G1644</f>
        <v>172.97080000000003</v>
      </c>
      <c r="H1644" s="901">
        <f>GLOBAL_DER_FEV_2023!H1644</f>
        <v>0</v>
      </c>
      <c r="I1644" s="901">
        <f>GLOBAL_DER_FEV_2023!I1644</f>
        <v>0</v>
      </c>
      <c r="J1644" s="902">
        <f>GLOBAL_DER_FEV_2023!J1644</f>
        <v>0</v>
      </c>
      <c r="K1644" s="958" t="s">
        <v>507</v>
      </c>
      <c r="L1644" s="959"/>
      <c r="M1644" s="1157">
        <f t="shared" si="122"/>
        <v>0</v>
      </c>
      <c r="N1644" s="893">
        <f t="shared" si="126"/>
        <v>0</v>
      </c>
      <c r="O1644" s="905"/>
      <c r="P1644" s="58" t="str">
        <f>IF(N1642&gt;0,"xx",IF(N1642&gt;0,"xy",""))</f>
        <v/>
      </c>
      <c r="Q1644" s="317" t="str">
        <f t="shared" si="123"/>
        <v/>
      </c>
      <c r="R1644" s="317" t="str">
        <f t="shared" si="124"/>
        <v/>
      </c>
      <c r="S1644" s="317" t="str">
        <f t="shared" si="125"/>
        <v/>
      </c>
      <c r="T1644" s="317" t="str">
        <f>GLOBAL_DER_FEV_2023!S1644</f>
        <v/>
      </c>
      <c r="W1644" s="582">
        <v>0</v>
      </c>
      <c r="X1644" s="580"/>
      <c r="Y1644" s="583">
        <f>IF(GLOBAL_DER_FEV_2023!W1644=0,0,IF(GLOBAL_DER_FEV_2023!W1644&gt;0,"c","b"))</f>
        <v>0</v>
      </c>
    </row>
    <row r="1645" spans="1:25" ht="15" hidden="1" customHeight="1" x14ac:dyDescent="0.2">
      <c r="A1645" s="317" t="s">
        <v>147</v>
      </c>
      <c r="B1645" s="895" t="s">
        <v>147</v>
      </c>
      <c r="C1645" s="896"/>
      <c r="D1645" s="957" t="s">
        <v>233</v>
      </c>
      <c r="E1645" s="907">
        <f>GLOBAL_DER_FEV_2023!E1645</f>
        <v>0.2</v>
      </c>
      <c r="F1645" s="908">
        <f>GLOBAL_DER_FEV_2023!F1645</f>
        <v>1.1100000000000001</v>
      </c>
      <c r="G1645" s="949">
        <f>GLOBAL_DER_FEV_2023!G1645</f>
        <v>3.2123400000000006</v>
      </c>
      <c r="H1645" s="901">
        <f>GLOBAL_DER_FEV_2023!H1645</f>
        <v>0</v>
      </c>
      <c r="I1645" s="901">
        <f>GLOBAL_DER_FEV_2023!I1645</f>
        <v>0</v>
      </c>
      <c r="J1645" s="902">
        <f>GLOBAL_DER_FEV_2023!J1645</f>
        <v>0</v>
      </c>
      <c r="K1645" s="958" t="s">
        <v>507</v>
      </c>
      <c r="L1645" s="959"/>
      <c r="M1645" s="1157">
        <f t="shared" si="122"/>
        <v>0</v>
      </c>
      <c r="N1645" s="893">
        <f t="shared" si="126"/>
        <v>0</v>
      </c>
      <c r="O1645" s="905"/>
      <c r="P1645" s="58" t="str">
        <f>IF(N1642&gt;0,"xx",IF(N1642&gt;0,"xy",""))</f>
        <v/>
      </c>
      <c r="Q1645" s="317" t="str">
        <f t="shared" si="123"/>
        <v/>
      </c>
      <c r="R1645" s="317" t="str">
        <f t="shared" si="124"/>
        <v/>
      </c>
      <c r="S1645" s="317" t="str">
        <f t="shared" si="125"/>
        <v/>
      </c>
      <c r="T1645" s="317" t="str">
        <f>GLOBAL_DER_FEV_2023!S1645</f>
        <v/>
      </c>
      <c r="W1645" s="582">
        <v>0</v>
      </c>
      <c r="X1645" s="580"/>
      <c r="Y1645" s="583">
        <f>IF(GLOBAL_DER_FEV_2023!W1645=0,0,IF(GLOBAL_DER_FEV_2023!W1645&gt;0,"c","b"))</f>
        <v>0</v>
      </c>
    </row>
    <row r="1646" spans="1:25" ht="15" hidden="1" customHeight="1" x14ac:dyDescent="0.2">
      <c r="A1646" s="317">
        <v>606000</v>
      </c>
      <c r="B1646" s="895" t="s">
        <v>1791</v>
      </c>
      <c r="C1646" s="896" t="s">
        <v>184</v>
      </c>
      <c r="D1646" s="906" t="s">
        <v>338</v>
      </c>
      <c r="E1646" s="907">
        <f>GLOBAL_DER_FEV_2023!E1646</f>
        <v>0</v>
      </c>
      <c r="F1646" s="908">
        <f>GLOBAL_DER_FEV_2023!F1646</f>
        <v>0</v>
      </c>
      <c r="G1646" s="912">
        <f>GLOBAL_DER_FEV_2023!G1646</f>
        <v>159.82866000000001</v>
      </c>
      <c r="H1646" s="901">
        <f>GLOBAL_DER_FEV_2023!H1646</f>
        <v>378.9</v>
      </c>
      <c r="I1646" s="901">
        <f>GLOBAL_DER_FEV_2023!I1646</f>
        <v>538.72865999999999</v>
      </c>
      <c r="J1646" s="902">
        <f>GLOBAL_DER_FEV_2023!J1646</f>
        <v>646.85</v>
      </c>
      <c r="K1646" s="903" t="s">
        <v>10</v>
      </c>
      <c r="L1646" s="1137"/>
      <c r="M1646" s="1138">
        <f t="shared" si="122"/>
        <v>0</v>
      </c>
      <c r="N1646" s="893">
        <f t="shared" si="126"/>
        <v>0</v>
      </c>
      <c r="O1646" s="905"/>
      <c r="Q1646" s="317" t="str">
        <f t="shared" si="123"/>
        <v/>
      </c>
      <c r="R1646" s="317" t="str">
        <f t="shared" si="124"/>
        <v/>
      </c>
      <c r="S1646" s="317" t="str">
        <f t="shared" si="125"/>
        <v/>
      </c>
      <c r="T1646" s="317" t="str">
        <f>GLOBAL_DER_FEV_2023!S1646</f>
        <v/>
      </c>
      <c r="W1646" s="582">
        <v>0</v>
      </c>
      <c r="X1646" s="580"/>
      <c r="Y1646" s="583">
        <f>IF(GLOBAL_DER_FEV_2023!W1646=0,0,IF(GLOBAL_DER_FEV_2023!W1646&gt;0,"c","b"))</f>
        <v>0</v>
      </c>
    </row>
    <row r="1647" spans="1:25" ht="15" hidden="1" customHeight="1" x14ac:dyDescent="0.2">
      <c r="A1647" s="317" t="s">
        <v>147</v>
      </c>
      <c r="B1647" s="895" t="s">
        <v>147</v>
      </c>
      <c r="C1647" s="896"/>
      <c r="D1647" s="957" t="s">
        <v>190</v>
      </c>
      <c r="E1647" s="907">
        <f>GLOBAL_DER_FEV_2023!E1647</f>
        <v>308</v>
      </c>
      <c r="F1647" s="908">
        <f>GLOBAL_DER_FEV_2023!F1647</f>
        <v>0.189</v>
      </c>
      <c r="G1647" s="909">
        <f>GLOBAL_DER_FEV_2023!G1647</f>
        <v>46.883340000000004</v>
      </c>
      <c r="H1647" s="901">
        <f>GLOBAL_DER_FEV_2023!H1647</f>
        <v>0</v>
      </c>
      <c r="I1647" s="901">
        <f>GLOBAL_DER_FEV_2023!I1647</f>
        <v>0</v>
      </c>
      <c r="J1647" s="902">
        <f>GLOBAL_DER_FEV_2023!J1647</f>
        <v>0</v>
      </c>
      <c r="K1647" s="958" t="s">
        <v>507</v>
      </c>
      <c r="L1647" s="959"/>
      <c r="M1647" s="1157">
        <f t="shared" si="122"/>
        <v>0</v>
      </c>
      <c r="N1647" s="893">
        <f t="shared" si="126"/>
        <v>0</v>
      </c>
      <c r="O1647" s="905"/>
      <c r="P1647" s="58" t="str">
        <f>IF(N1646&gt;0,"xx",IF(N1646&gt;0,"xy",""))</f>
        <v/>
      </c>
      <c r="Q1647" s="317" t="str">
        <f t="shared" si="123"/>
        <v/>
      </c>
      <c r="R1647" s="317" t="str">
        <f t="shared" si="124"/>
        <v/>
      </c>
      <c r="S1647" s="317" t="str">
        <f t="shared" si="125"/>
        <v/>
      </c>
      <c r="T1647" s="317" t="str">
        <f>GLOBAL_DER_FEV_2023!S1647</f>
        <v/>
      </c>
      <c r="W1647" s="582">
        <v>0</v>
      </c>
      <c r="X1647" s="580"/>
      <c r="Y1647" s="583">
        <f>IF(GLOBAL_DER_FEV_2023!W1647=0,0,IF(GLOBAL_DER_FEV_2023!W1647&gt;0,"c","b"))</f>
        <v>0</v>
      </c>
    </row>
    <row r="1648" spans="1:25" ht="15" hidden="1" customHeight="1" x14ac:dyDescent="0.2">
      <c r="A1648" s="317" t="s">
        <v>147</v>
      </c>
      <c r="B1648" s="895" t="s">
        <v>147</v>
      </c>
      <c r="C1648" s="896"/>
      <c r="D1648" s="957" t="s">
        <v>229</v>
      </c>
      <c r="E1648" s="907">
        <f>GLOBAL_DER_FEV_2023!E1648</f>
        <v>150</v>
      </c>
      <c r="F1648" s="908">
        <f>GLOBAL_DER_FEV_2023!F1648</f>
        <v>0.67200000000000004</v>
      </c>
      <c r="G1648" s="949">
        <f>GLOBAL_DER_FEV_2023!G1648</f>
        <v>109.65696000000001</v>
      </c>
      <c r="H1648" s="901">
        <f>GLOBAL_DER_FEV_2023!H1648</f>
        <v>0</v>
      </c>
      <c r="I1648" s="901">
        <f>GLOBAL_DER_FEV_2023!I1648</f>
        <v>0</v>
      </c>
      <c r="J1648" s="902">
        <f>GLOBAL_DER_FEV_2023!J1648</f>
        <v>0</v>
      </c>
      <c r="K1648" s="958" t="s">
        <v>507</v>
      </c>
      <c r="L1648" s="959"/>
      <c r="M1648" s="1157">
        <f t="shared" si="122"/>
        <v>0</v>
      </c>
      <c r="N1648" s="893">
        <f t="shared" si="126"/>
        <v>0</v>
      </c>
      <c r="O1648" s="905"/>
      <c r="P1648" s="58" t="str">
        <f>IF(N1646&gt;0,"xx",IF(N1646&gt;0,"xy",""))</f>
        <v/>
      </c>
      <c r="Q1648" s="317" t="str">
        <f t="shared" si="123"/>
        <v/>
      </c>
      <c r="R1648" s="317" t="str">
        <f t="shared" si="124"/>
        <v/>
      </c>
      <c r="S1648" s="317" t="str">
        <f t="shared" si="125"/>
        <v/>
      </c>
      <c r="T1648" s="317" t="str">
        <f>GLOBAL_DER_FEV_2023!S1648</f>
        <v/>
      </c>
      <c r="W1648" s="582">
        <v>0</v>
      </c>
      <c r="X1648" s="580"/>
      <c r="Y1648" s="583">
        <f>IF(GLOBAL_DER_FEV_2023!W1648=0,0,IF(GLOBAL_DER_FEV_2023!W1648&gt;0,"c","b"))</f>
        <v>0</v>
      </c>
    </row>
    <row r="1649" spans="1:25" ht="15" hidden="1" customHeight="1" x14ac:dyDescent="0.2">
      <c r="A1649" s="317" t="s">
        <v>147</v>
      </c>
      <c r="B1649" s="895" t="s">
        <v>147</v>
      </c>
      <c r="C1649" s="896"/>
      <c r="D1649" s="957" t="s">
        <v>339</v>
      </c>
      <c r="E1649" s="907">
        <f>GLOBAL_DER_FEV_2023!E1649</f>
        <v>0</v>
      </c>
      <c r="F1649" s="908">
        <f>GLOBAL_DER_FEV_2023!F1649</f>
        <v>1.2270000000000001</v>
      </c>
      <c r="G1649" s="949">
        <f>GLOBAL_DER_FEV_2023!G1649</f>
        <v>3.2883600000000004</v>
      </c>
      <c r="H1649" s="901">
        <f>GLOBAL_DER_FEV_2023!H1649</f>
        <v>0</v>
      </c>
      <c r="I1649" s="901">
        <f>GLOBAL_DER_FEV_2023!I1649</f>
        <v>0</v>
      </c>
      <c r="J1649" s="902">
        <f>GLOBAL_DER_FEV_2023!J1649</f>
        <v>0</v>
      </c>
      <c r="K1649" s="958" t="s">
        <v>507</v>
      </c>
      <c r="L1649" s="959"/>
      <c r="M1649" s="1157">
        <f t="shared" si="122"/>
        <v>0</v>
      </c>
      <c r="N1649" s="893">
        <f t="shared" si="126"/>
        <v>0</v>
      </c>
      <c r="O1649" s="905"/>
      <c r="P1649" s="58" t="str">
        <f>IF(N1646&gt;0,"xx",IF(N1646&gt;0,"xy",""))</f>
        <v/>
      </c>
      <c r="Q1649" s="317" t="str">
        <f t="shared" si="123"/>
        <v/>
      </c>
      <c r="R1649" s="317" t="str">
        <f t="shared" si="124"/>
        <v/>
      </c>
      <c r="S1649" s="317" t="str">
        <f t="shared" si="125"/>
        <v/>
      </c>
      <c r="T1649" s="317" t="str">
        <f>GLOBAL_DER_FEV_2023!S1649</f>
        <v/>
      </c>
      <c r="W1649" s="582">
        <v>0</v>
      </c>
      <c r="X1649" s="580"/>
      <c r="Y1649" s="583">
        <f>IF(GLOBAL_DER_FEV_2023!W1649=0,0,IF(GLOBAL_DER_FEV_2023!W1649&gt;0,"c","b"))</f>
        <v>0</v>
      </c>
    </row>
    <row r="1650" spans="1:25" ht="15" hidden="1" customHeight="1" x14ac:dyDescent="0.2">
      <c r="A1650" s="317">
        <v>605200</v>
      </c>
      <c r="B1650" s="895" t="s">
        <v>1793</v>
      </c>
      <c r="C1650" s="896" t="s">
        <v>184</v>
      </c>
      <c r="D1650" s="906" t="s">
        <v>340</v>
      </c>
      <c r="E1650" s="907">
        <f>GLOBAL_DER_FEV_2023!E1650</f>
        <v>0</v>
      </c>
      <c r="F1650" s="908">
        <f>GLOBAL_DER_FEV_2023!F1650</f>
        <v>0</v>
      </c>
      <c r="G1650" s="912">
        <f>GLOBAL_DER_FEV_2023!G1650</f>
        <v>226.84134000000003</v>
      </c>
      <c r="H1650" s="901">
        <f>GLOBAL_DER_FEV_2023!H1650</f>
        <v>471.16</v>
      </c>
      <c r="I1650" s="901">
        <f>GLOBAL_DER_FEV_2023!I1650</f>
        <v>698.00134000000003</v>
      </c>
      <c r="J1650" s="902">
        <f>GLOBAL_DER_FEV_2023!J1650</f>
        <v>838.09</v>
      </c>
      <c r="K1650" s="903" t="s">
        <v>10</v>
      </c>
      <c r="L1650" s="1137"/>
      <c r="M1650" s="1138">
        <f t="shared" si="122"/>
        <v>0</v>
      </c>
      <c r="N1650" s="893">
        <f t="shared" si="126"/>
        <v>0</v>
      </c>
      <c r="O1650" s="905"/>
      <c r="Q1650" s="317" t="str">
        <f t="shared" si="123"/>
        <v/>
      </c>
      <c r="R1650" s="317" t="str">
        <f t="shared" si="124"/>
        <v/>
      </c>
      <c r="S1650" s="317" t="str">
        <f t="shared" si="125"/>
        <v/>
      </c>
      <c r="T1650" s="317" t="str">
        <f>GLOBAL_DER_FEV_2023!S1650</f>
        <v/>
      </c>
      <c r="W1650" s="582">
        <v>0</v>
      </c>
      <c r="X1650" s="580"/>
      <c r="Y1650" s="583">
        <f>IF(GLOBAL_DER_FEV_2023!W1650=0,0,IF(GLOBAL_DER_FEV_2023!W1650&gt;0,"c","b"))</f>
        <v>0</v>
      </c>
    </row>
    <row r="1651" spans="1:25" ht="15" hidden="1" customHeight="1" x14ac:dyDescent="0.2">
      <c r="A1651" s="317" t="s">
        <v>147</v>
      </c>
      <c r="B1651" s="895" t="s">
        <v>147</v>
      </c>
      <c r="C1651" s="896"/>
      <c r="D1651" s="957" t="s">
        <v>190</v>
      </c>
      <c r="E1651" s="907">
        <f>GLOBAL_DER_FEV_2023!E1651</f>
        <v>308</v>
      </c>
      <c r="F1651" s="908">
        <f>GLOBAL_DER_FEV_2023!F1651</f>
        <v>0.27</v>
      </c>
      <c r="G1651" s="909">
        <f>GLOBAL_DER_FEV_2023!G1651</f>
        <v>66.976200000000006</v>
      </c>
      <c r="H1651" s="901">
        <f>GLOBAL_DER_FEV_2023!H1651</f>
        <v>0</v>
      </c>
      <c r="I1651" s="901">
        <f>GLOBAL_DER_FEV_2023!I1651</f>
        <v>0</v>
      </c>
      <c r="J1651" s="902">
        <f>GLOBAL_DER_FEV_2023!J1651</f>
        <v>0</v>
      </c>
      <c r="K1651" s="958" t="s">
        <v>507</v>
      </c>
      <c r="L1651" s="959"/>
      <c r="M1651" s="1157">
        <f t="shared" si="122"/>
        <v>0</v>
      </c>
      <c r="N1651" s="893">
        <f t="shared" si="126"/>
        <v>0</v>
      </c>
      <c r="O1651" s="905"/>
      <c r="P1651" s="58" t="str">
        <f>IF(N1650&gt;0,"xx",IF(N1650&gt;0,"xy",""))</f>
        <v/>
      </c>
      <c r="Q1651" s="317" t="str">
        <f t="shared" si="123"/>
        <v/>
      </c>
      <c r="R1651" s="317" t="str">
        <f t="shared" si="124"/>
        <v/>
      </c>
      <c r="S1651" s="317" t="str">
        <f t="shared" si="125"/>
        <v/>
      </c>
      <c r="T1651" s="317" t="str">
        <f>GLOBAL_DER_FEV_2023!S1651</f>
        <v/>
      </c>
      <c r="W1651" s="582">
        <v>0</v>
      </c>
      <c r="X1651" s="580"/>
      <c r="Y1651" s="583">
        <f>IF(GLOBAL_DER_FEV_2023!W1651=0,0,IF(GLOBAL_DER_FEV_2023!W1651&gt;0,"c","b"))</f>
        <v>0</v>
      </c>
    </row>
    <row r="1652" spans="1:25" ht="15" hidden="1" customHeight="1" x14ac:dyDescent="0.2">
      <c r="A1652" s="317" t="s">
        <v>147</v>
      </c>
      <c r="B1652" s="895" t="s">
        <v>147</v>
      </c>
      <c r="C1652" s="896"/>
      <c r="D1652" s="957" t="s">
        <v>229</v>
      </c>
      <c r="E1652" s="907">
        <f>GLOBAL_DER_FEV_2023!E1652</f>
        <v>150</v>
      </c>
      <c r="F1652" s="908">
        <f>GLOBAL_DER_FEV_2023!F1652</f>
        <v>0.96</v>
      </c>
      <c r="G1652" s="949">
        <f>GLOBAL_DER_FEV_2023!G1652</f>
        <v>156.65280000000001</v>
      </c>
      <c r="H1652" s="901">
        <f>GLOBAL_DER_FEV_2023!H1652</f>
        <v>0</v>
      </c>
      <c r="I1652" s="901">
        <f>GLOBAL_DER_FEV_2023!I1652</f>
        <v>0</v>
      </c>
      <c r="J1652" s="902">
        <f>GLOBAL_DER_FEV_2023!J1652</f>
        <v>0</v>
      </c>
      <c r="K1652" s="958" t="s">
        <v>507</v>
      </c>
      <c r="L1652" s="959"/>
      <c r="M1652" s="1157">
        <f t="shared" si="122"/>
        <v>0</v>
      </c>
      <c r="N1652" s="893">
        <f t="shared" si="126"/>
        <v>0</v>
      </c>
      <c r="O1652" s="905"/>
      <c r="P1652" s="58" t="str">
        <f>IF(N1650&gt;0,"xx",IF(N1650&gt;0,"xy",""))</f>
        <v/>
      </c>
      <c r="Q1652" s="317" t="str">
        <f t="shared" si="123"/>
        <v/>
      </c>
      <c r="R1652" s="317" t="str">
        <f t="shared" si="124"/>
        <v/>
      </c>
      <c r="S1652" s="317" t="str">
        <f t="shared" si="125"/>
        <v/>
      </c>
      <c r="T1652" s="317" t="str">
        <f>GLOBAL_DER_FEV_2023!S1652</f>
        <v/>
      </c>
      <c r="W1652" s="582">
        <v>0</v>
      </c>
      <c r="X1652" s="580"/>
      <c r="Y1652" s="583">
        <f>IF(GLOBAL_DER_FEV_2023!W1652=0,0,IF(GLOBAL_DER_FEV_2023!W1652&gt;0,"c","b"))</f>
        <v>0</v>
      </c>
    </row>
    <row r="1653" spans="1:25" ht="15" hidden="1" customHeight="1" x14ac:dyDescent="0.2">
      <c r="A1653" s="317" t="s">
        <v>147</v>
      </c>
      <c r="B1653" s="895" t="s">
        <v>147</v>
      </c>
      <c r="C1653" s="896"/>
      <c r="D1653" s="957" t="s">
        <v>233</v>
      </c>
      <c r="E1653" s="907">
        <f>GLOBAL_DER_FEV_2023!E1653</f>
        <v>0.2</v>
      </c>
      <c r="F1653" s="908">
        <f>GLOBAL_DER_FEV_2023!F1653</f>
        <v>1.1100000000000001</v>
      </c>
      <c r="G1653" s="949">
        <f>GLOBAL_DER_FEV_2023!G1653</f>
        <v>3.2123400000000006</v>
      </c>
      <c r="H1653" s="901">
        <f>GLOBAL_DER_FEV_2023!H1653</f>
        <v>0</v>
      </c>
      <c r="I1653" s="901">
        <f>GLOBAL_DER_FEV_2023!I1653</f>
        <v>0</v>
      </c>
      <c r="J1653" s="902">
        <f>GLOBAL_DER_FEV_2023!J1653</f>
        <v>0</v>
      </c>
      <c r="K1653" s="958" t="s">
        <v>507</v>
      </c>
      <c r="L1653" s="959"/>
      <c r="M1653" s="1157">
        <f t="shared" si="122"/>
        <v>0</v>
      </c>
      <c r="N1653" s="893">
        <f t="shared" si="126"/>
        <v>0</v>
      </c>
      <c r="O1653" s="905"/>
      <c r="P1653" s="58" t="str">
        <f>IF(N1650&gt;0,"xx",IF(N1650&gt;0,"xy",""))</f>
        <v/>
      </c>
      <c r="Q1653" s="317" t="str">
        <f t="shared" si="123"/>
        <v/>
      </c>
      <c r="R1653" s="317" t="str">
        <f t="shared" si="124"/>
        <v/>
      </c>
      <c r="S1653" s="317" t="str">
        <f t="shared" si="125"/>
        <v/>
      </c>
      <c r="T1653" s="317" t="str">
        <f>GLOBAL_DER_FEV_2023!S1653</f>
        <v/>
      </c>
      <c r="W1653" s="582">
        <v>0</v>
      </c>
      <c r="X1653" s="580"/>
      <c r="Y1653" s="583">
        <f>IF(GLOBAL_DER_FEV_2023!W1653=0,0,IF(GLOBAL_DER_FEV_2023!W1653&gt;0,"c","b"))</f>
        <v>0</v>
      </c>
    </row>
    <row r="1654" spans="1:25" ht="15" hidden="1" customHeight="1" x14ac:dyDescent="0.2">
      <c r="A1654" s="317">
        <v>605300</v>
      </c>
      <c r="B1654" s="895" t="s">
        <v>1795</v>
      </c>
      <c r="C1654" s="896" t="s">
        <v>184</v>
      </c>
      <c r="D1654" s="906" t="s">
        <v>341</v>
      </c>
      <c r="E1654" s="907">
        <f>GLOBAL_DER_FEV_2023!E1654</f>
        <v>0</v>
      </c>
      <c r="F1654" s="908">
        <f>GLOBAL_DER_FEV_2023!F1654</f>
        <v>0</v>
      </c>
      <c r="G1654" s="912">
        <f>GLOBAL_DER_FEV_2023!G1654</f>
        <v>235.36092000000002</v>
      </c>
      <c r="H1654" s="901">
        <f>GLOBAL_DER_FEV_2023!H1654</f>
        <v>503.25</v>
      </c>
      <c r="I1654" s="901">
        <f>GLOBAL_DER_FEV_2023!I1654</f>
        <v>738.61092000000008</v>
      </c>
      <c r="J1654" s="902">
        <f>GLOBAL_DER_FEV_2023!J1654</f>
        <v>886.85</v>
      </c>
      <c r="K1654" s="903" t="s">
        <v>10</v>
      </c>
      <c r="L1654" s="1137"/>
      <c r="M1654" s="1138">
        <f t="shared" si="122"/>
        <v>0</v>
      </c>
      <c r="N1654" s="893">
        <f t="shared" si="126"/>
        <v>0</v>
      </c>
      <c r="O1654" s="905"/>
      <c r="Q1654" s="317" t="str">
        <f t="shared" si="123"/>
        <v/>
      </c>
      <c r="R1654" s="317" t="str">
        <f t="shared" si="124"/>
        <v/>
      </c>
      <c r="S1654" s="317" t="str">
        <f t="shared" si="125"/>
        <v/>
      </c>
      <c r="T1654" s="317" t="str">
        <f>GLOBAL_DER_FEV_2023!S1654</f>
        <v/>
      </c>
      <c r="W1654" s="582">
        <v>0</v>
      </c>
      <c r="X1654" s="580"/>
      <c r="Y1654" s="583">
        <f>IF(GLOBAL_DER_FEV_2023!W1654=0,0,IF(GLOBAL_DER_FEV_2023!W1654&gt;0,"c","b"))</f>
        <v>0</v>
      </c>
    </row>
    <row r="1655" spans="1:25" ht="15" hidden="1" customHeight="1" x14ac:dyDescent="0.2">
      <c r="A1655" s="317" t="s">
        <v>147</v>
      </c>
      <c r="B1655" s="895" t="s">
        <v>147</v>
      </c>
      <c r="C1655" s="896"/>
      <c r="D1655" s="957" t="s">
        <v>190</v>
      </c>
      <c r="E1655" s="907">
        <f>GLOBAL_DER_FEV_2023!E1655</f>
        <v>308</v>
      </c>
      <c r="F1655" s="908">
        <f>GLOBAL_DER_FEV_2023!F1655</f>
        <v>0.33</v>
      </c>
      <c r="G1655" s="909">
        <f>GLOBAL_DER_FEV_2023!G1655</f>
        <v>81.859800000000007</v>
      </c>
      <c r="H1655" s="901">
        <f>GLOBAL_DER_FEV_2023!H1655</f>
        <v>0</v>
      </c>
      <c r="I1655" s="901">
        <f>GLOBAL_DER_FEV_2023!I1655</f>
        <v>0</v>
      </c>
      <c r="J1655" s="902">
        <f>GLOBAL_DER_FEV_2023!J1655</f>
        <v>0</v>
      </c>
      <c r="K1655" s="958" t="s">
        <v>507</v>
      </c>
      <c r="L1655" s="959"/>
      <c r="M1655" s="1157">
        <f t="shared" si="122"/>
        <v>0</v>
      </c>
      <c r="N1655" s="893">
        <f t="shared" si="126"/>
        <v>0</v>
      </c>
      <c r="O1655" s="905"/>
      <c r="P1655" s="58" t="str">
        <f>IF(N1654&gt;0,"xx",IF(N1654&gt;0,"xy",""))</f>
        <v/>
      </c>
      <c r="Q1655" s="317" t="str">
        <f t="shared" si="123"/>
        <v/>
      </c>
      <c r="R1655" s="317" t="str">
        <f t="shared" si="124"/>
        <v/>
      </c>
      <c r="S1655" s="317" t="str">
        <f t="shared" si="125"/>
        <v/>
      </c>
      <c r="T1655" s="317" t="str">
        <f>GLOBAL_DER_FEV_2023!S1655</f>
        <v/>
      </c>
      <c r="W1655" s="582">
        <v>0</v>
      </c>
      <c r="X1655" s="580"/>
      <c r="Y1655" s="583">
        <f>IF(GLOBAL_DER_FEV_2023!W1655=0,0,IF(GLOBAL_DER_FEV_2023!W1655&gt;0,"c","b"))</f>
        <v>0</v>
      </c>
    </row>
    <row r="1656" spans="1:25" ht="15" hidden="1" customHeight="1" x14ac:dyDescent="0.2">
      <c r="A1656" s="317" t="s">
        <v>147</v>
      </c>
      <c r="B1656" s="895" t="s">
        <v>147</v>
      </c>
      <c r="C1656" s="896"/>
      <c r="D1656" s="957" t="s">
        <v>229</v>
      </c>
      <c r="E1656" s="907">
        <f>GLOBAL_DER_FEV_2023!E1656</f>
        <v>150</v>
      </c>
      <c r="F1656" s="908">
        <f>GLOBAL_DER_FEV_2023!F1656</f>
        <v>0.92100000000000004</v>
      </c>
      <c r="G1656" s="949">
        <f>GLOBAL_DER_FEV_2023!G1656</f>
        <v>150.28878</v>
      </c>
      <c r="H1656" s="901">
        <f>GLOBAL_DER_FEV_2023!H1656</f>
        <v>0</v>
      </c>
      <c r="I1656" s="901">
        <f>GLOBAL_DER_FEV_2023!I1656</f>
        <v>0</v>
      </c>
      <c r="J1656" s="902">
        <f>GLOBAL_DER_FEV_2023!J1656</f>
        <v>0</v>
      </c>
      <c r="K1656" s="958" t="s">
        <v>507</v>
      </c>
      <c r="L1656" s="959"/>
      <c r="M1656" s="1157">
        <f t="shared" si="122"/>
        <v>0</v>
      </c>
      <c r="N1656" s="893">
        <f t="shared" si="126"/>
        <v>0</v>
      </c>
      <c r="O1656" s="905"/>
      <c r="P1656" s="58" t="str">
        <f>IF(N1654&gt;0,"xx",IF(N1654&gt;0,"xy",""))</f>
        <v/>
      </c>
      <c r="Q1656" s="317" t="str">
        <f t="shared" si="123"/>
        <v/>
      </c>
      <c r="R1656" s="317" t="str">
        <f t="shared" si="124"/>
        <v/>
      </c>
      <c r="S1656" s="317" t="str">
        <f t="shared" si="125"/>
        <v/>
      </c>
      <c r="T1656" s="317" t="str">
        <f>GLOBAL_DER_FEV_2023!S1656</f>
        <v/>
      </c>
      <c r="W1656" s="582">
        <v>0</v>
      </c>
      <c r="X1656" s="580"/>
      <c r="Y1656" s="583">
        <f>IF(GLOBAL_DER_FEV_2023!W1656=0,0,IF(GLOBAL_DER_FEV_2023!W1656&gt;0,"c","b"))</f>
        <v>0</v>
      </c>
    </row>
    <row r="1657" spans="1:25" ht="15" hidden="1" customHeight="1" x14ac:dyDescent="0.2">
      <c r="A1657" s="317" t="s">
        <v>147</v>
      </c>
      <c r="B1657" s="895" t="s">
        <v>147</v>
      </c>
      <c r="C1657" s="896"/>
      <c r="D1657" s="957" t="s">
        <v>233</v>
      </c>
      <c r="E1657" s="907">
        <f>GLOBAL_DER_FEV_2023!E1657</f>
        <v>0.2</v>
      </c>
      <c r="F1657" s="908">
        <f>GLOBAL_DER_FEV_2023!F1657</f>
        <v>1.1100000000000001</v>
      </c>
      <c r="G1657" s="949">
        <f>GLOBAL_DER_FEV_2023!G1657</f>
        <v>3.2123400000000006</v>
      </c>
      <c r="H1657" s="901">
        <f>GLOBAL_DER_FEV_2023!H1657</f>
        <v>0</v>
      </c>
      <c r="I1657" s="901">
        <f>GLOBAL_DER_FEV_2023!I1657</f>
        <v>0</v>
      </c>
      <c r="J1657" s="902">
        <f>GLOBAL_DER_FEV_2023!J1657</f>
        <v>0</v>
      </c>
      <c r="K1657" s="958" t="s">
        <v>507</v>
      </c>
      <c r="L1657" s="959"/>
      <c r="M1657" s="1157">
        <f t="shared" si="122"/>
        <v>0</v>
      </c>
      <c r="N1657" s="893">
        <f t="shared" si="126"/>
        <v>0</v>
      </c>
      <c r="O1657" s="905"/>
      <c r="P1657" s="58" t="str">
        <f>IF(N1654&gt;0,"xx",IF(N1654&gt;0,"xy",""))</f>
        <v/>
      </c>
      <c r="Q1657" s="317" t="str">
        <f t="shared" si="123"/>
        <v/>
      </c>
      <c r="R1657" s="317" t="str">
        <f t="shared" si="124"/>
        <v/>
      </c>
      <c r="S1657" s="317" t="str">
        <f t="shared" si="125"/>
        <v/>
      </c>
      <c r="T1657" s="317" t="str">
        <f>GLOBAL_DER_FEV_2023!S1657</f>
        <v/>
      </c>
      <c r="W1657" s="582">
        <v>0</v>
      </c>
      <c r="X1657" s="580"/>
      <c r="Y1657" s="583">
        <f>IF(GLOBAL_DER_FEV_2023!W1657=0,0,IF(GLOBAL_DER_FEV_2023!W1657&gt;0,"c","b"))</f>
        <v>0</v>
      </c>
    </row>
    <row r="1658" spans="1:25" ht="15" hidden="1" customHeight="1" x14ac:dyDescent="0.2">
      <c r="A1658" s="317">
        <v>605400</v>
      </c>
      <c r="B1658" s="895" t="s">
        <v>1797</v>
      </c>
      <c r="C1658" s="896" t="s">
        <v>184</v>
      </c>
      <c r="D1658" s="906" t="s">
        <v>342</v>
      </c>
      <c r="E1658" s="907">
        <f>GLOBAL_DER_FEV_2023!E1658</f>
        <v>0</v>
      </c>
      <c r="F1658" s="908">
        <f>GLOBAL_DER_FEV_2023!F1658</f>
        <v>0</v>
      </c>
      <c r="G1658" s="912">
        <f>GLOBAL_DER_FEV_2023!G1658</f>
        <v>254.98858000000001</v>
      </c>
      <c r="H1658" s="901">
        <f>GLOBAL_DER_FEV_2023!H1658</f>
        <v>510.89</v>
      </c>
      <c r="I1658" s="901">
        <f>GLOBAL_DER_FEV_2023!I1658</f>
        <v>765.87858000000006</v>
      </c>
      <c r="J1658" s="902">
        <f>GLOBAL_DER_FEV_2023!J1658</f>
        <v>919.59</v>
      </c>
      <c r="K1658" s="903" t="s">
        <v>10</v>
      </c>
      <c r="L1658" s="1137"/>
      <c r="M1658" s="1138">
        <f t="shared" si="122"/>
        <v>0</v>
      </c>
      <c r="N1658" s="893">
        <f t="shared" si="126"/>
        <v>0</v>
      </c>
      <c r="O1658" s="905"/>
      <c r="Q1658" s="317" t="str">
        <f t="shared" si="123"/>
        <v/>
      </c>
      <c r="R1658" s="317" t="str">
        <f t="shared" si="124"/>
        <v/>
      </c>
      <c r="S1658" s="317" t="str">
        <f t="shared" si="125"/>
        <v/>
      </c>
      <c r="T1658" s="317" t="str">
        <f>GLOBAL_DER_FEV_2023!S1658</f>
        <v/>
      </c>
      <c r="W1658" s="582">
        <v>0</v>
      </c>
      <c r="X1658" s="580"/>
      <c r="Y1658" s="583">
        <f>IF(GLOBAL_DER_FEV_2023!W1658=0,0,IF(GLOBAL_DER_FEV_2023!W1658&gt;0,"c","b"))</f>
        <v>0</v>
      </c>
    </row>
    <row r="1659" spans="1:25" ht="15" hidden="1" customHeight="1" x14ac:dyDescent="0.2">
      <c r="A1659" s="317" t="s">
        <v>147</v>
      </c>
      <c r="B1659" s="895" t="s">
        <v>147</v>
      </c>
      <c r="C1659" s="896"/>
      <c r="D1659" s="957" t="s">
        <v>190</v>
      </c>
      <c r="E1659" s="907">
        <f>GLOBAL_DER_FEV_2023!E1659</f>
        <v>308</v>
      </c>
      <c r="F1659" s="908">
        <f>GLOBAL_DER_FEV_2023!F1659</f>
        <v>0.34399999999999997</v>
      </c>
      <c r="G1659" s="909">
        <f>GLOBAL_DER_FEV_2023!G1659</f>
        <v>85.332639999999998</v>
      </c>
      <c r="H1659" s="901">
        <f>GLOBAL_DER_FEV_2023!H1659</f>
        <v>0</v>
      </c>
      <c r="I1659" s="901">
        <f>GLOBAL_DER_FEV_2023!I1659</f>
        <v>0</v>
      </c>
      <c r="J1659" s="902">
        <f>GLOBAL_DER_FEV_2023!J1659</f>
        <v>0</v>
      </c>
      <c r="K1659" s="958" t="s">
        <v>507</v>
      </c>
      <c r="L1659" s="959"/>
      <c r="M1659" s="1157">
        <f t="shared" si="122"/>
        <v>0</v>
      </c>
      <c r="N1659" s="893">
        <f t="shared" si="126"/>
        <v>0</v>
      </c>
      <c r="O1659" s="905"/>
      <c r="P1659" s="58" t="str">
        <f>IF(N1658&gt;0,"xx",IF(N1658&gt;0,"xy",""))</f>
        <v/>
      </c>
      <c r="Q1659" s="317" t="str">
        <f t="shared" si="123"/>
        <v/>
      </c>
      <c r="R1659" s="317" t="str">
        <f t="shared" si="124"/>
        <v/>
      </c>
      <c r="S1659" s="317" t="str">
        <f t="shared" si="125"/>
        <v/>
      </c>
      <c r="T1659" s="317" t="str">
        <f>GLOBAL_DER_FEV_2023!S1659</f>
        <v/>
      </c>
      <c r="W1659" s="582">
        <v>0</v>
      </c>
      <c r="X1659" s="580"/>
      <c r="Y1659" s="583">
        <f>IF(GLOBAL_DER_FEV_2023!W1659=0,0,IF(GLOBAL_DER_FEV_2023!W1659&gt;0,"c","b"))</f>
        <v>0</v>
      </c>
    </row>
    <row r="1660" spans="1:25" ht="15" hidden="1" customHeight="1" x14ac:dyDescent="0.2">
      <c r="A1660" s="317" t="s">
        <v>147</v>
      </c>
      <c r="B1660" s="895" t="s">
        <v>147</v>
      </c>
      <c r="C1660" s="896"/>
      <c r="D1660" s="957" t="s">
        <v>229</v>
      </c>
      <c r="E1660" s="907">
        <f>GLOBAL_DER_FEV_2023!E1660</f>
        <v>150</v>
      </c>
      <c r="F1660" s="908">
        <f>GLOBAL_DER_FEV_2023!F1660</f>
        <v>1.02</v>
      </c>
      <c r="G1660" s="949">
        <f>GLOBAL_DER_FEV_2023!G1660</f>
        <v>166.4436</v>
      </c>
      <c r="H1660" s="901">
        <f>GLOBAL_DER_FEV_2023!H1660</f>
        <v>0</v>
      </c>
      <c r="I1660" s="901">
        <f>GLOBAL_DER_FEV_2023!I1660</f>
        <v>0</v>
      </c>
      <c r="J1660" s="902">
        <f>GLOBAL_DER_FEV_2023!J1660</f>
        <v>0</v>
      </c>
      <c r="K1660" s="958" t="s">
        <v>507</v>
      </c>
      <c r="L1660" s="959"/>
      <c r="M1660" s="1157">
        <f t="shared" si="122"/>
        <v>0</v>
      </c>
      <c r="N1660" s="893">
        <f t="shared" si="126"/>
        <v>0</v>
      </c>
      <c r="O1660" s="905"/>
      <c r="P1660" s="58" t="str">
        <f>IF(N1658&gt;0,"xx",IF(N1658&gt;0,"xy",""))</f>
        <v/>
      </c>
      <c r="Q1660" s="317" t="str">
        <f t="shared" si="123"/>
        <v/>
      </c>
      <c r="R1660" s="317" t="str">
        <f t="shared" si="124"/>
        <v/>
      </c>
      <c r="S1660" s="317" t="str">
        <f t="shared" si="125"/>
        <v/>
      </c>
      <c r="T1660" s="317" t="str">
        <f>GLOBAL_DER_FEV_2023!S1660</f>
        <v/>
      </c>
      <c r="W1660" s="582">
        <v>0</v>
      </c>
      <c r="X1660" s="580"/>
      <c r="Y1660" s="583">
        <f>IF(GLOBAL_DER_FEV_2023!W1660=0,0,IF(GLOBAL_DER_FEV_2023!W1660&gt;0,"c","b"))</f>
        <v>0</v>
      </c>
    </row>
    <row r="1661" spans="1:25" ht="15" hidden="1" customHeight="1" x14ac:dyDescent="0.2">
      <c r="A1661" s="317" t="s">
        <v>147</v>
      </c>
      <c r="B1661" s="895" t="s">
        <v>147</v>
      </c>
      <c r="C1661" s="896"/>
      <c r="D1661" s="957" t="s">
        <v>233</v>
      </c>
      <c r="E1661" s="907">
        <f>GLOBAL_DER_FEV_2023!E1661</f>
        <v>0.2</v>
      </c>
      <c r="F1661" s="908">
        <f>GLOBAL_DER_FEV_2023!F1661</f>
        <v>1.1100000000000001</v>
      </c>
      <c r="G1661" s="949">
        <f>GLOBAL_DER_FEV_2023!G1661</f>
        <v>3.2123400000000006</v>
      </c>
      <c r="H1661" s="901">
        <f>GLOBAL_DER_FEV_2023!H1661</f>
        <v>0</v>
      </c>
      <c r="I1661" s="901">
        <f>GLOBAL_DER_FEV_2023!I1661</f>
        <v>0</v>
      </c>
      <c r="J1661" s="902">
        <f>GLOBAL_DER_FEV_2023!J1661</f>
        <v>0</v>
      </c>
      <c r="K1661" s="958" t="s">
        <v>507</v>
      </c>
      <c r="L1661" s="959"/>
      <c r="M1661" s="1157">
        <f t="shared" si="122"/>
        <v>0</v>
      </c>
      <c r="N1661" s="893">
        <f t="shared" si="126"/>
        <v>0</v>
      </c>
      <c r="O1661" s="905"/>
      <c r="P1661" s="58" t="str">
        <f>IF(N1658&gt;0,"xx",IF(N1658&gt;0,"xy",""))</f>
        <v/>
      </c>
      <c r="Q1661" s="317" t="str">
        <f t="shared" si="123"/>
        <v/>
      </c>
      <c r="R1661" s="317" t="str">
        <f t="shared" si="124"/>
        <v/>
      </c>
      <c r="S1661" s="317" t="str">
        <f t="shared" si="125"/>
        <v/>
      </c>
      <c r="T1661" s="317" t="str">
        <f>GLOBAL_DER_FEV_2023!S1661</f>
        <v/>
      </c>
      <c r="W1661" s="582">
        <v>0</v>
      </c>
      <c r="X1661" s="580"/>
      <c r="Y1661" s="583">
        <f>IF(GLOBAL_DER_FEV_2023!W1661=0,0,IF(GLOBAL_DER_FEV_2023!W1661&gt;0,"c","b"))</f>
        <v>0</v>
      </c>
    </row>
    <row r="1662" spans="1:25" ht="15" hidden="1" customHeight="1" x14ac:dyDescent="0.2">
      <c r="A1662" s="317">
        <v>831000</v>
      </c>
      <c r="B1662" s="895" t="s">
        <v>1699</v>
      </c>
      <c r="C1662" s="896" t="s">
        <v>184</v>
      </c>
      <c r="D1662" s="906" t="s">
        <v>265</v>
      </c>
      <c r="E1662" s="907">
        <f>GLOBAL_DER_FEV_2023!E1662</f>
        <v>0</v>
      </c>
      <c r="F1662" s="908">
        <f>GLOBAL_DER_FEV_2023!F1662</f>
        <v>0</v>
      </c>
      <c r="G1662" s="912">
        <f>GLOBAL_DER_FEV_2023!G1662</f>
        <v>0</v>
      </c>
      <c r="H1662" s="901">
        <f>GLOBAL_DER_FEV_2023!H1662</f>
        <v>41.45</v>
      </c>
      <c r="I1662" s="901">
        <f>GLOBAL_DER_FEV_2023!I1662</f>
        <v>41.45</v>
      </c>
      <c r="J1662" s="902">
        <f>GLOBAL_DER_FEV_2023!J1662</f>
        <v>49.77</v>
      </c>
      <c r="K1662" s="903" t="s">
        <v>13</v>
      </c>
      <c r="L1662" s="1137"/>
      <c r="M1662" s="1138">
        <f t="shared" si="122"/>
        <v>0</v>
      </c>
      <c r="N1662" s="893">
        <f t="shared" si="126"/>
        <v>0</v>
      </c>
      <c r="O1662" s="905"/>
      <c r="Q1662" s="317" t="str">
        <f t="shared" si="123"/>
        <v/>
      </c>
      <c r="R1662" s="317" t="str">
        <f t="shared" si="124"/>
        <v/>
      </c>
      <c r="S1662" s="317" t="str">
        <f t="shared" si="125"/>
        <v/>
      </c>
      <c r="T1662" s="317" t="str">
        <f>GLOBAL_DER_FEV_2023!S1662</f>
        <v/>
      </c>
      <c r="W1662" s="582">
        <v>0</v>
      </c>
      <c r="X1662" s="580"/>
      <c r="Y1662" s="583">
        <f>IF(GLOBAL_DER_FEV_2023!W1662=0,0,IF(GLOBAL_DER_FEV_2023!W1662&gt;0,"c","b"))</f>
        <v>0</v>
      </c>
    </row>
    <row r="1663" spans="1:25" ht="15" hidden="1" customHeight="1" x14ac:dyDescent="0.2">
      <c r="A1663" s="317">
        <v>830000</v>
      </c>
      <c r="B1663" s="895" t="s">
        <v>1700</v>
      </c>
      <c r="C1663" s="896" t="s">
        <v>184</v>
      </c>
      <c r="D1663" s="906" t="s">
        <v>266</v>
      </c>
      <c r="E1663" s="907">
        <f>GLOBAL_DER_FEV_2023!E1663</f>
        <v>0</v>
      </c>
      <c r="F1663" s="908">
        <f>GLOBAL_DER_FEV_2023!F1663</f>
        <v>0</v>
      </c>
      <c r="G1663" s="912">
        <f>GLOBAL_DER_FEV_2023!G1663</f>
        <v>0</v>
      </c>
      <c r="H1663" s="901">
        <f>GLOBAL_DER_FEV_2023!H1663</f>
        <v>36.44</v>
      </c>
      <c r="I1663" s="901">
        <f>GLOBAL_DER_FEV_2023!I1663</f>
        <v>36.44</v>
      </c>
      <c r="J1663" s="902">
        <f>GLOBAL_DER_FEV_2023!J1663</f>
        <v>43.75</v>
      </c>
      <c r="K1663" s="903" t="s">
        <v>13</v>
      </c>
      <c r="L1663" s="1137"/>
      <c r="M1663" s="1138">
        <f t="shared" si="122"/>
        <v>0</v>
      </c>
      <c r="N1663" s="893">
        <f t="shared" si="126"/>
        <v>0</v>
      </c>
      <c r="O1663" s="905"/>
      <c r="Q1663" s="317" t="str">
        <f t="shared" si="123"/>
        <v/>
      </c>
      <c r="R1663" s="317" t="str">
        <f t="shared" si="124"/>
        <v/>
      </c>
      <c r="S1663" s="317" t="str">
        <f t="shared" si="125"/>
        <v/>
      </c>
      <c r="T1663" s="317" t="str">
        <f>GLOBAL_DER_FEV_2023!S1663</f>
        <v/>
      </c>
      <c r="W1663" s="582">
        <v>0</v>
      </c>
      <c r="X1663" s="580"/>
      <c r="Y1663" s="583">
        <f>IF(GLOBAL_DER_FEV_2023!W1663=0,0,IF(GLOBAL_DER_FEV_2023!W1663&gt;0,"c","b"))</f>
        <v>0</v>
      </c>
    </row>
    <row r="1664" spans="1:25" ht="15" hidden="1" customHeight="1" x14ac:dyDescent="0.2">
      <c r="A1664" s="317">
        <v>823000</v>
      </c>
      <c r="B1664" s="895" t="s">
        <v>1789</v>
      </c>
      <c r="C1664" s="896" t="s">
        <v>184</v>
      </c>
      <c r="D1664" s="906" t="s">
        <v>267</v>
      </c>
      <c r="E1664" s="907">
        <f>GLOBAL_DER_FEV_2023!E1664</f>
        <v>0</v>
      </c>
      <c r="F1664" s="908">
        <f>GLOBAL_DER_FEV_2023!F1664</f>
        <v>0</v>
      </c>
      <c r="G1664" s="912">
        <f>GLOBAL_DER_FEV_2023!G1664</f>
        <v>0</v>
      </c>
      <c r="H1664" s="901">
        <f>GLOBAL_DER_FEV_2023!H1664</f>
        <v>490.71</v>
      </c>
      <c r="I1664" s="901">
        <f>GLOBAL_DER_FEV_2023!I1664</f>
        <v>490.71</v>
      </c>
      <c r="J1664" s="902">
        <f>GLOBAL_DER_FEV_2023!J1664</f>
        <v>589.20000000000005</v>
      </c>
      <c r="K1664" s="903" t="s">
        <v>13</v>
      </c>
      <c r="L1664" s="1137"/>
      <c r="M1664" s="1138">
        <f t="shared" si="122"/>
        <v>0</v>
      </c>
      <c r="N1664" s="893">
        <f t="shared" si="126"/>
        <v>0</v>
      </c>
      <c r="O1664" s="905"/>
      <c r="Q1664" s="317" t="str">
        <f t="shared" si="123"/>
        <v/>
      </c>
      <c r="R1664" s="317" t="str">
        <f t="shared" si="124"/>
        <v/>
      </c>
      <c r="S1664" s="317" t="str">
        <f t="shared" si="125"/>
        <v/>
      </c>
      <c r="T1664" s="317" t="str">
        <f>GLOBAL_DER_FEV_2023!S1664</f>
        <v/>
      </c>
      <c r="W1664" s="582">
        <v>0</v>
      </c>
      <c r="X1664" s="580"/>
      <c r="Y1664" s="583">
        <f>IF(GLOBAL_DER_FEV_2023!W1664=0,0,IF(GLOBAL_DER_FEV_2023!W1664&gt;0,"c","b"))</f>
        <v>0</v>
      </c>
    </row>
    <row r="1665" spans="1:25" ht="15" hidden="1" customHeight="1" x14ac:dyDescent="0.2">
      <c r="A1665" s="317">
        <v>97623</v>
      </c>
      <c r="B1665" s="895" t="s">
        <v>1723</v>
      </c>
      <c r="C1665" s="896" t="s">
        <v>596</v>
      </c>
      <c r="D1665" s="897" t="s">
        <v>1724</v>
      </c>
      <c r="E1665" s="898">
        <f>GLOBAL_DER_FEV_2023!E1665</f>
        <v>0</v>
      </c>
      <c r="F1665" s="899">
        <f>GLOBAL_DER_FEV_2023!F1665</f>
        <v>0</v>
      </c>
      <c r="G1665" s="900">
        <f>GLOBAL_DER_FEV_2023!G1665</f>
        <v>0</v>
      </c>
      <c r="H1665" s="901">
        <f>GLOBAL_DER_FEV_2023!H1665</f>
        <v>201.31</v>
      </c>
      <c r="I1665" s="901">
        <f>GLOBAL_DER_FEV_2023!I1665</f>
        <v>201.31</v>
      </c>
      <c r="J1665" s="902">
        <f>GLOBAL_DER_FEV_2023!J1665</f>
        <v>241.71</v>
      </c>
      <c r="K1665" s="903" t="s">
        <v>10</v>
      </c>
      <c r="L1665" s="1139"/>
      <c r="M1665" s="1140">
        <f t="shared" si="122"/>
        <v>0</v>
      </c>
      <c r="N1665" s="893">
        <f t="shared" si="126"/>
        <v>0</v>
      </c>
      <c r="O1665" s="905"/>
      <c r="Q1665" s="317" t="str">
        <f t="shared" si="123"/>
        <v/>
      </c>
      <c r="R1665" s="317" t="str">
        <f t="shared" si="124"/>
        <v/>
      </c>
      <c r="S1665" s="317" t="str">
        <f t="shared" si="125"/>
        <v/>
      </c>
      <c r="T1665" s="317" t="str">
        <f>GLOBAL_DER_FEV_2023!S1665</f>
        <v/>
      </c>
      <c r="W1665" s="582">
        <v>0</v>
      </c>
      <c r="X1665" s="580"/>
      <c r="Y1665" s="583">
        <f>IF(GLOBAL_DER_FEV_2023!W1665=0,0,IF(GLOBAL_DER_FEV_2023!W1665&gt;0,"c","b"))</f>
        <v>0</v>
      </c>
    </row>
    <row r="1666" spans="1:25" ht="15" hidden="1" customHeight="1" x14ac:dyDescent="0.2">
      <c r="A1666" s="317">
        <v>97624</v>
      </c>
      <c r="B1666" s="895" t="s">
        <v>1720</v>
      </c>
      <c r="C1666" s="896" t="s">
        <v>596</v>
      </c>
      <c r="D1666" s="897" t="s">
        <v>1721</v>
      </c>
      <c r="E1666" s="898">
        <f>GLOBAL_DER_FEV_2023!E1666</f>
        <v>0</v>
      </c>
      <c r="F1666" s="899">
        <f>GLOBAL_DER_FEV_2023!F1666</f>
        <v>0</v>
      </c>
      <c r="G1666" s="900">
        <f>GLOBAL_DER_FEV_2023!G1666</f>
        <v>0</v>
      </c>
      <c r="H1666" s="901">
        <f>GLOBAL_DER_FEV_2023!H1666</f>
        <v>123.54</v>
      </c>
      <c r="I1666" s="901">
        <f>GLOBAL_DER_FEV_2023!I1666</f>
        <v>123.54</v>
      </c>
      <c r="J1666" s="902">
        <f>GLOBAL_DER_FEV_2023!J1666</f>
        <v>148.33000000000001</v>
      </c>
      <c r="K1666" s="903" t="s">
        <v>10</v>
      </c>
      <c r="L1666" s="1139"/>
      <c r="M1666" s="1140">
        <f t="shared" si="122"/>
        <v>0</v>
      </c>
      <c r="N1666" s="893">
        <f t="shared" si="126"/>
        <v>0</v>
      </c>
      <c r="O1666" s="905"/>
      <c r="Q1666" s="317" t="str">
        <f t="shared" si="123"/>
        <v/>
      </c>
      <c r="R1666" s="317" t="str">
        <f t="shared" si="124"/>
        <v/>
      </c>
      <c r="S1666" s="317" t="str">
        <f t="shared" si="125"/>
        <v/>
      </c>
      <c r="T1666" s="317" t="str">
        <f>GLOBAL_DER_FEV_2023!S1666</f>
        <v/>
      </c>
      <c r="W1666" s="582">
        <v>0</v>
      </c>
      <c r="X1666" s="580"/>
      <c r="Y1666" s="583">
        <f>IF(GLOBAL_DER_FEV_2023!W1666=0,0,IF(GLOBAL_DER_FEV_2023!W1666&gt;0,"c","b"))</f>
        <v>0</v>
      </c>
    </row>
    <row r="1667" spans="1:25" ht="15" hidden="1" customHeight="1" x14ac:dyDescent="0.2">
      <c r="A1667" s="317">
        <v>606500</v>
      </c>
      <c r="B1667" s="895" t="s">
        <v>1726</v>
      </c>
      <c r="C1667" s="896" t="s">
        <v>184</v>
      </c>
      <c r="D1667" s="897" t="s">
        <v>466</v>
      </c>
      <c r="E1667" s="898">
        <f>GLOBAL_DER_FEV_2023!E1667</f>
        <v>0</v>
      </c>
      <c r="F1667" s="899">
        <f>GLOBAL_DER_FEV_2023!F1667</f>
        <v>0</v>
      </c>
      <c r="G1667" s="900">
        <f>GLOBAL_DER_FEV_2023!G1667</f>
        <v>0</v>
      </c>
      <c r="H1667" s="901">
        <f>GLOBAL_DER_FEV_2023!H1667</f>
        <v>182.46</v>
      </c>
      <c r="I1667" s="901">
        <f>GLOBAL_DER_FEV_2023!I1667</f>
        <v>182.46</v>
      </c>
      <c r="J1667" s="902">
        <f>GLOBAL_DER_FEV_2023!J1667</f>
        <v>219.08</v>
      </c>
      <c r="K1667" s="903" t="s">
        <v>10</v>
      </c>
      <c r="L1667" s="1139"/>
      <c r="M1667" s="1140">
        <f t="shared" si="122"/>
        <v>0</v>
      </c>
      <c r="N1667" s="893">
        <f t="shared" si="126"/>
        <v>0</v>
      </c>
      <c r="O1667" s="905"/>
      <c r="Q1667" s="317" t="str">
        <f t="shared" si="123"/>
        <v/>
      </c>
      <c r="R1667" s="317" t="str">
        <f t="shared" si="124"/>
        <v/>
      </c>
      <c r="S1667" s="317" t="str">
        <f t="shared" si="125"/>
        <v/>
      </c>
      <c r="T1667" s="317" t="str">
        <f>GLOBAL_DER_FEV_2023!S1667</f>
        <v/>
      </c>
      <c r="W1667" s="582">
        <v>0</v>
      </c>
      <c r="X1667" s="580"/>
      <c r="Y1667" s="583">
        <f>IF(GLOBAL_DER_FEV_2023!W1667=0,0,IF(GLOBAL_DER_FEV_2023!W1667&gt;0,"c","b"))</f>
        <v>0</v>
      </c>
    </row>
    <row r="1668" spans="1:25" ht="15" hidden="1" customHeight="1" x14ac:dyDescent="0.2">
      <c r="A1668" s="317">
        <v>841000</v>
      </c>
      <c r="B1668" s="895" t="s">
        <v>1716</v>
      </c>
      <c r="C1668" s="896" t="s">
        <v>184</v>
      </c>
      <c r="D1668" s="906" t="s">
        <v>445</v>
      </c>
      <c r="E1668" s="907">
        <f>GLOBAL_DER_FEV_2023!E1668</f>
        <v>0</v>
      </c>
      <c r="F1668" s="908">
        <f>GLOBAL_DER_FEV_2023!F1668</f>
        <v>0</v>
      </c>
      <c r="G1668" s="912">
        <f>GLOBAL_DER_FEV_2023!G1668</f>
        <v>0</v>
      </c>
      <c r="H1668" s="901">
        <f>GLOBAL_DER_FEV_2023!H1668</f>
        <v>12.51</v>
      </c>
      <c r="I1668" s="901">
        <f>GLOBAL_DER_FEV_2023!I1668</f>
        <v>12.51</v>
      </c>
      <c r="J1668" s="902">
        <f>GLOBAL_DER_FEV_2023!J1668</f>
        <v>15.02</v>
      </c>
      <c r="K1668" s="903" t="s">
        <v>13</v>
      </c>
      <c r="L1668" s="1137"/>
      <c r="M1668" s="1138">
        <f t="shared" si="122"/>
        <v>0</v>
      </c>
      <c r="N1668" s="893">
        <f t="shared" si="126"/>
        <v>0</v>
      </c>
      <c r="O1668" s="905"/>
      <c r="Q1668" s="317" t="str">
        <f t="shared" si="123"/>
        <v/>
      </c>
      <c r="R1668" s="317" t="str">
        <f t="shared" si="124"/>
        <v/>
      </c>
      <c r="S1668" s="317" t="str">
        <f t="shared" si="125"/>
        <v/>
      </c>
      <c r="T1668" s="317" t="str">
        <f>GLOBAL_DER_FEV_2023!S1668</f>
        <v/>
      </c>
      <c r="W1668" s="582">
        <v>0</v>
      </c>
      <c r="X1668" s="580"/>
      <c r="Y1668" s="583">
        <f>IF(GLOBAL_DER_FEV_2023!W1668=0,0,IF(GLOBAL_DER_FEV_2023!W1668&gt;0,"c","b"))</f>
        <v>0</v>
      </c>
    </row>
    <row r="1669" spans="1:25" ht="15" hidden="1" customHeight="1" x14ac:dyDescent="0.2">
      <c r="A1669" s="317">
        <v>840000</v>
      </c>
      <c r="B1669" s="895" t="s">
        <v>1718</v>
      </c>
      <c r="C1669" s="896" t="s">
        <v>184</v>
      </c>
      <c r="D1669" s="906" t="s">
        <v>264</v>
      </c>
      <c r="E1669" s="907">
        <f>GLOBAL_DER_FEV_2023!E1669</f>
        <v>0</v>
      </c>
      <c r="F1669" s="908">
        <f>GLOBAL_DER_FEV_2023!F1669</f>
        <v>0</v>
      </c>
      <c r="G1669" s="912">
        <f>GLOBAL_DER_FEV_2023!G1669</f>
        <v>0</v>
      </c>
      <c r="H1669" s="901">
        <f>GLOBAL_DER_FEV_2023!H1669</f>
        <v>34.53</v>
      </c>
      <c r="I1669" s="901">
        <f>GLOBAL_DER_FEV_2023!I1669</f>
        <v>34.53</v>
      </c>
      <c r="J1669" s="902">
        <f>GLOBAL_DER_FEV_2023!J1669</f>
        <v>41.46</v>
      </c>
      <c r="K1669" s="903" t="s">
        <v>13</v>
      </c>
      <c r="L1669" s="1137"/>
      <c r="M1669" s="1138">
        <f t="shared" si="122"/>
        <v>0</v>
      </c>
      <c r="N1669" s="893">
        <f t="shared" si="126"/>
        <v>0</v>
      </c>
      <c r="O1669" s="905"/>
      <c r="Q1669" s="317" t="str">
        <f t="shared" si="123"/>
        <v/>
      </c>
      <c r="R1669" s="317" t="str">
        <f t="shared" si="124"/>
        <v/>
      </c>
      <c r="S1669" s="317" t="str">
        <f t="shared" si="125"/>
        <v/>
      </c>
      <c r="T1669" s="317" t="str">
        <f>GLOBAL_DER_FEV_2023!S1669</f>
        <v/>
      </c>
      <c r="W1669" s="582">
        <v>0</v>
      </c>
      <c r="X1669" s="580"/>
      <c r="Y1669" s="583">
        <f>IF(GLOBAL_DER_FEV_2023!W1669=0,0,IF(GLOBAL_DER_FEV_2023!W1669&gt;0,"c","b"))</f>
        <v>0</v>
      </c>
    </row>
    <row r="1670" spans="1:25" ht="15" hidden="1" customHeight="1" x14ac:dyDescent="0.2">
      <c r="A1670" s="317">
        <v>606600</v>
      </c>
      <c r="B1670" s="895" t="s">
        <v>1702</v>
      </c>
      <c r="C1670" s="896" t="s">
        <v>184</v>
      </c>
      <c r="D1670" s="906" t="s">
        <v>178</v>
      </c>
      <c r="E1670" s="907">
        <f>GLOBAL_DER_FEV_2023!E1670</f>
        <v>0</v>
      </c>
      <c r="F1670" s="908">
        <f>GLOBAL_DER_FEV_2023!F1670</f>
        <v>0</v>
      </c>
      <c r="G1670" s="912">
        <f>GLOBAL_DER_FEV_2023!G1670</f>
        <v>0</v>
      </c>
      <c r="H1670" s="901">
        <f>GLOBAL_DER_FEV_2023!H1670</f>
        <v>309.52999999999997</v>
      </c>
      <c r="I1670" s="901">
        <f>GLOBAL_DER_FEV_2023!I1670</f>
        <v>309.52999999999997</v>
      </c>
      <c r="J1670" s="902">
        <f>GLOBAL_DER_FEV_2023!J1670</f>
        <v>371.65</v>
      </c>
      <c r="K1670" s="903" t="s">
        <v>10</v>
      </c>
      <c r="L1670" s="1137"/>
      <c r="M1670" s="1138">
        <f t="shared" si="122"/>
        <v>0</v>
      </c>
      <c r="N1670" s="893">
        <f t="shared" si="126"/>
        <v>0</v>
      </c>
      <c r="O1670" s="905"/>
      <c r="Q1670" s="317" t="str">
        <f t="shared" si="123"/>
        <v/>
      </c>
      <c r="R1670" s="317" t="str">
        <f t="shared" si="124"/>
        <v/>
      </c>
      <c r="S1670" s="317" t="str">
        <f t="shared" si="125"/>
        <v/>
      </c>
      <c r="T1670" s="317" t="str">
        <f>GLOBAL_DER_FEV_2023!S1670</f>
        <v/>
      </c>
      <c r="W1670" s="582">
        <v>0</v>
      </c>
      <c r="X1670" s="580"/>
      <c r="Y1670" s="583">
        <f>IF(GLOBAL_DER_FEV_2023!W1670=0,0,IF(GLOBAL_DER_FEV_2023!W1670&gt;0,"c","b"))</f>
        <v>0</v>
      </c>
    </row>
    <row r="1671" spans="1:25" ht="15" hidden="1" customHeight="1" x14ac:dyDescent="0.2">
      <c r="A1671" s="317">
        <v>606700</v>
      </c>
      <c r="B1671" s="895" t="s">
        <v>1705</v>
      </c>
      <c r="C1671" s="896" t="s">
        <v>184</v>
      </c>
      <c r="D1671" s="906" t="s">
        <v>258</v>
      </c>
      <c r="E1671" s="907">
        <f>GLOBAL_DER_FEV_2023!E1671</f>
        <v>0</v>
      </c>
      <c r="F1671" s="908">
        <f>GLOBAL_DER_FEV_2023!F1671</f>
        <v>0</v>
      </c>
      <c r="G1671" s="912">
        <f>GLOBAL_DER_FEV_2023!G1671</f>
        <v>0</v>
      </c>
      <c r="H1671" s="901">
        <f>GLOBAL_DER_FEV_2023!H1671</f>
        <v>148.04</v>
      </c>
      <c r="I1671" s="901">
        <f>GLOBAL_DER_FEV_2023!I1671</f>
        <v>148.04</v>
      </c>
      <c r="J1671" s="902">
        <f>GLOBAL_DER_FEV_2023!J1671</f>
        <v>177.75</v>
      </c>
      <c r="K1671" s="903" t="s">
        <v>10</v>
      </c>
      <c r="L1671" s="1137"/>
      <c r="M1671" s="1138">
        <f t="shared" si="122"/>
        <v>0</v>
      </c>
      <c r="N1671" s="893">
        <f t="shared" si="126"/>
        <v>0</v>
      </c>
      <c r="O1671" s="905"/>
      <c r="Q1671" s="317" t="str">
        <f t="shared" si="123"/>
        <v/>
      </c>
      <c r="R1671" s="317" t="str">
        <f t="shared" si="124"/>
        <v/>
      </c>
      <c r="S1671" s="317" t="str">
        <f t="shared" si="125"/>
        <v/>
      </c>
      <c r="T1671" s="317" t="str">
        <f>GLOBAL_DER_FEV_2023!S1671</f>
        <v/>
      </c>
      <c r="W1671" s="582">
        <v>0</v>
      </c>
      <c r="X1671" s="580"/>
      <c r="Y1671" s="583">
        <f>IF(GLOBAL_DER_FEV_2023!W1671=0,0,IF(GLOBAL_DER_FEV_2023!W1671&gt;0,"c","b"))</f>
        <v>0</v>
      </c>
    </row>
    <row r="1672" spans="1:25" ht="15" hidden="1" customHeight="1" x14ac:dyDescent="0.2">
      <c r="A1672" s="317">
        <v>603700</v>
      </c>
      <c r="B1672" s="895" t="s">
        <v>1799</v>
      </c>
      <c r="C1672" s="896" t="s">
        <v>184</v>
      </c>
      <c r="D1672" s="906" t="s">
        <v>327</v>
      </c>
      <c r="E1672" s="907">
        <f>GLOBAL_DER_FEV_2023!E1672</f>
        <v>0</v>
      </c>
      <c r="F1672" s="908">
        <f>GLOBAL_DER_FEV_2023!F1672</f>
        <v>1.8</v>
      </c>
      <c r="G1672" s="949">
        <f>GLOBAL_DER_FEV_2023!G1672</f>
        <v>4.8240000000000007</v>
      </c>
      <c r="H1672" s="901">
        <f>GLOBAL_DER_FEV_2023!H1672</f>
        <v>213.87</v>
      </c>
      <c r="I1672" s="901">
        <f>GLOBAL_DER_FEV_2023!I1672</f>
        <v>218.69400000000002</v>
      </c>
      <c r="J1672" s="902">
        <f>GLOBAL_DER_FEV_2023!J1672</f>
        <v>262.58999999999997</v>
      </c>
      <c r="K1672" s="903" t="s">
        <v>10</v>
      </c>
      <c r="L1672" s="1137"/>
      <c r="M1672" s="1138">
        <f t="shared" si="122"/>
        <v>0</v>
      </c>
      <c r="N1672" s="893">
        <f t="shared" si="126"/>
        <v>0</v>
      </c>
      <c r="O1672" s="905"/>
      <c r="P1672" s="58"/>
      <c r="Q1672" s="317" t="str">
        <f t="shared" si="123"/>
        <v/>
      </c>
      <c r="R1672" s="317" t="str">
        <f t="shared" si="124"/>
        <v/>
      </c>
      <c r="S1672" s="317" t="str">
        <f t="shared" si="125"/>
        <v/>
      </c>
      <c r="T1672" s="317" t="str">
        <f>GLOBAL_DER_FEV_2023!S1672</f>
        <v/>
      </c>
      <c r="W1672" s="582">
        <v>0</v>
      </c>
      <c r="X1672" s="580"/>
      <c r="Y1672" s="583">
        <f>IF(GLOBAL_DER_FEV_2023!W1672=0,0,IF(GLOBAL_DER_FEV_2023!W1672&gt;0,"c","b"))</f>
        <v>0</v>
      </c>
    </row>
    <row r="1673" spans="1:25" ht="15" hidden="1" customHeight="1" x14ac:dyDescent="0.2">
      <c r="A1673" s="317">
        <v>603800</v>
      </c>
      <c r="B1673" s="895" t="s">
        <v>1800</v>
      </c>
      <c r="C1673" s="896" t="s">
        <v>184</v>
      </c>
      <c r="D1673" s="906" t="s">
        <v>328</v>
      </c>
      <c r="E1673" s="907">
        <f>GLOBAL_DER_FEV_2023!E1673</f>
        <v>0</v>
      </c>
      <c r="F1673" s="908">
        <f>GLOBAL_DER_FEV_2023!F1673</f>
        <v>1.5</v>
      </c>
      <c r="G1673" s="949">
        <f>GLOBAL_DER_FEV_2023!G1673</f>
        <v>4.0200000000000005</v>
      </c>
      <c r="H1673" s="901">
        <f>GLOBAL_DER_FEV_2023!H1673</f>
        <v>126.05</v>
      </c>
      <c r="I1673" s="901">
        <f>GLOBAL_DER_FEV_2023!I1673</f>
        <v>130.07</v>
      </c>
      <c r="J1673" s="902">
        <f>GLOBAL_DER_FEV_2023!J1673</f>
        <v>156.18</v>
      </c>
      <c r="K1673" s="903" t="s">
        <v>10</v>
      </c>
      <c r="L1673" s="1137"/>
      <c r="M1673" s="1138">
        <f t="shared" si="122"/>
        <v>0</v>
      </c>
      <c r="N1673" s="893">
        <f t="shared" si="126"/>
        <v>0</v>
      </c>
      <c r="O1673" s="905"/>
      <c r="Q1673" s="317" t="str">
        <f t="shared" si="123"/>
        <v/>
      </c>
      <c r="R1673" s="317" t="str">
        <f t="shared" si="124"/>
        <v/>
      </c>
      <c r="S1673" s="317" t="str">
        <f t="shared" si="125"/>
        <v/>
      </c>
      <c r="T1673" s="317" t="str">
        <f>GLOBAL_DER_FEV_2023!S1673</f>
        <v/>
      </c>
      <c r="W1673" s="582">
        <v>0</v>
      </c>
      <c r="X1673" s="580"/>
      <c r="Y1673" s="583">
        <f>IF(GLOBAL_DER_FEV_2023!W1673=0,0,IF(GLOBAL_DER_FEV_2023!W1673&gt;0,"c","b"))</f>
        <v>0</v>
      </c>
    </row>
    <row r="1674" spans="1:25" ht="15" hidden="1" customHeight="1" x14ac:dyDescent="0.2">
      <c r="A1674" s="317">
        <v>600000</v>
      </c>
      <c r="B1674" s="895" t="s">
        <v>1803</v>
      </c>
      <c r="C1674" s="896" t="s">
        <v>184</v>
      </c>
      <c r="D1674" s="906" t="s">
        <v>311</v>
      </c>
      <c r="E1674" s="907">
        <f>GLOBAL_DER_FEV_2023!E1674</f>
        <v>0</v>
      </c>
      <c r="F1674" s="908">
        <f>GLOBAL_DER_FEV_2023!F1674</f>
        <v>0</v>
      </c>
      <c r="G1674" s="912">
        <f>GLOBAL_DER_FEV_2023!G1674</f>
        <v>0</v>
      </c>
      <c r="H1674" s="901">
        <f>GLOBAL_DER_FEV_2023!H1674</f>
        <v>49.54</v>
      </c>
      <c r="I1674" s="901">
        <f>GLOBAL_DER_FEV_2023!I1674</f>
        <v>49.54</v>
      </c>
      <c r="J1674" s="902">
        <f>GLOBAL_DER_FEV_2023!J1674</f>
        <v>59.48</v>
      </c>
      <c r="K1674" s="903" t="s">
        <v>10</v>
      </c>
      <c r="L1674" s="1137"/>
      <c r="M1674" s="1138">
        <f t="shared" si="122"/>
        <v>0</v>
      </c>
      <c r="N1674" s="893">
        <f t="shared" si="126"/>
        <v>0</v>
      </c>
      <c r="O1674" s="905"/>
      <c r="Q1674" s="317" t="str">
        <f t="shared" si="123"/>
        <v/>
      </c>
      <c r="R1674" s="317" t="str">
        <f t="shared" si="124"/>
        <v/>
      </c>
      <c r="S1674" s="317" t="str">
        <f t="shared" si="125"/>
        <v/>
      </c>
      <c r="T1674" s="317" t="str">
        <f>GLOBAL_DER_FEV_2023!S1674</f>
        <v/>
      </c>
      <c r="W1674" s="582">
        <v>0</v>
      </c>
      <c r="X1674" s="580"/>
      <c r="Y1674" s="583">
        <f>IF(GLOBAL_DER_FEV_2023!W1674=0,0,IF(GLOBAL_DER_FEV_2023!W1674&gt;0,"c","b"))</f>
        <v>0</v>
      </c>
    </row>
    <row r="1675" spans="1:25" ht="15" hidden="1" customHeight="1" x14ac:dyDescent="0.2">
      <c r="A1675" s="317">
        <v>602000</v>
      </c>
      <c r="B1675" s="895" t="s">
        <v>1995</v>
      </c>
      <c r="C1675" s="896" t="s">
        <v>184</v>
      </c>
      <c r="D1675" s="906" t="s">
        <v>1994</v>
      </c>
      <c r="E1675" s="907">
        <f>GLOBAL_DER_FEV_2023!E1675</f>
        <v>0</v>
      </c>
      <c r="F1675" s="908">
        <f>GLOBAL_DER_FEV_2023!F1675</f>
        <v>0</v>
      </c>
      <c r="G1675" s="912">
        <f>GLOBAL_DER_FEV_2023!G1675</f>
        <v>0</v>
      </c>
      <c r="H1675" s="901">
        <f>GLOBAL_DER_FEV_2023!H1675</f>
        <v>62.53</v>
      </c>
      <c r="I1675" s="901">
        <f>GLOBAL_DER_FEV_2023!I1675</f>
        <v>62.53</v>
      </c>
      <c r="J1675" s="902">
        <f>GLOBAL_DER_FEV_2023!J1675</f>
        <v>75.08</v>
      </c>
      <c r="K1675" s="903" t="s">
        <v>12</v>
      </c>
      <c r="L1675" s="1137"/>
      <c r="M1675" s="1138">
        <f t="shared" si="122"/>
        <v>0</v>
      </c>
      <c r="N1675" s="893">
        <f t="shared" si="126"/>
        <v>0</v>
      </c>
      <c r="O1675" s="905"/>
      <c r="Q1675" s="317" t="str">
        <f t="shared" si="123"/>
        <v/>
      </c>
      <c r="R1675" s="317" t="str">
        <f t="shared" si="124"/>
        <v/>
      </c>
      <c r="S1675" s="317" t="str">
        <f t="shared" si="125"/>
        <v/>
      </c>
      <c r="T1675" s="317" t="str">
        <f>GLOBAL_DER_FEV_2023!S1675</f>
        <v/>
      </c>
      <c r="W1675" s="582">
        <v>0</v>
      </c>
      <c r="X1675" s="580"/>
      <c r="Y1675" s="583">
        <f>IF(GLOBAL_DER_FEV_2023!W1675=0,0,IF(GLOBAL_DER_FEV_2023!W1675&gt;0,"c","b"))</f>
        <v>0</v>
      </c>
    </row>
    <row r="1676" spans="1:25" ht="15" hidden="1" customHeight="1" x14ac:dyDescent="0.2">
      <c r="A1676" s="317">
        <v>600310</v>
      </c>
      <c r="B1676" s="895" t="s">
        <v>1711</v>
      </c>
      <c r="C1676" s="896" t="s">
        <v>184</v>
      </c>
      <c r="D1676" s="897" t="s">
        <v>442</v>
      </c>
      <c r="E1676" s="898">
        <f>GLOBAL_DER_FEV_2023!E1676</f>
        <v>0</v>
      </c>
      <c r="F1676" s="899">
        <f>GLOBAL_DER_FEV_2023!F1676</f>
        <v>0</v>
      </c>
      <c r="G1676" s="900">
        <f>GLOBAL_DER_FEV_2023!G1676</f>
        <v>0</v>
      </c>
      <c r="H1676" s="901">
        <f>GLOBAL_DER_FEV_2023!H1676</f>
        <v>142.88</v>
      </c>
      <c r="I1676" s="901">
        <f>GLOBAL_DER_FEV_2023!I1676</f>
        <v>142.88</v>
      </c>
      <c r="J1676" s="902">
        <f>GLOBAL_DER_FEV_2023!J1676</f>
        <v>171.56</v>
      </c>
      <c r="K1676" s="903" t="s">
        <v>15</v>
      </c>
      <c r="L1676" s="1137"/>
      <c r="M1676" s="1138">
        <f t="shared" si="122"/>
        <v>0</v>
      </c>
      <c r="N1676" s="893">
        <f t="shared" si="126"/>
        <v>0</v>
      </c>
      <c r="O1676" s="905"/>
      <c r="Q1676" s="317" t="str">
        <f t="shared" si="123"/>
        <v/>
      </c>
      <c r="R1676" s="317" t="str">
        <f t="shared" si="124"/>
        <v/>
      </c>
      <c r="S1676" s="317" t="str">
        <f t="shared" si="125"/>
        <v/>
      </c>
      <c r="T1676" s="317" t="str">
        <f>GLOBAL_DER_FEV_2023!S1676</f>
        <v/>
      </c>
      <c r="W1676" s="582">
        <v>0</v>
      </c>
      <c r="X1676" s="580"/>
      <c r="Y1676" s="583">
        <f>IF(GLOBAL_DER_FEV_2023!W1676=0,0,IF(GLOBAL_DER_FEV_2023!W1676&gt;0,"c","b"))</f>
        <v>0</v>
      </c>
    </row>
    <row r="1677" spans="1:25" ht="15" hidden="1" customHeight="1" x14ac:dyDescent="0.2">
      <c r="A1677" s="317">
        <v>633000</v>
      </c>
      <c r="B1677" s="895" t="s">
        <v>1805</v>
      </c>
      <c r="C1677" s="896" t="s">
        <v>184</v>
      </c>
      <c r="D1677" s="897" t="s">
        <v>518</v>
      </c>
      <c r="E1677" s="898">
        <f>GLOBAL_DER_FEV_2023!E1677</f>
        <v>0</v>
      </c>
      <c r="F1677" s="899">
        <f>GLOBAL_DER_FEV_2023!F1677</f>
        <v>0</v>
      </c>
      <c r="G1677" s="900">
        <f>GLOBAL_DER_FEV_2023!G1677</f>
        <v>0</v>
      </c>
      <c r="H1677" s="901">
        <f>GLOBAL_DER_FEV_2023!H1677</f>
        <v>82.58</v>
      </c>
      <c r="I1677" s="901">
        <f>GLOBAL_DER_FEV_2023!I1677</f>
        <v>82.58</v>
      </c>
      <c r="J1677" s="902">
        <f>GLOBAL_DER_FEV_2023!J1677</f>
        <v>99.15</v>
      </c>
      <c r="K1677" s="903" t="s">
        <v>13</v>
      </c>
      <c r="L1677" s="1137"/>
      <c r="M1677" s="1138">
        <f t="shared" si="122"/>
        <v>0</v>
      </c>
      <c r="N1677" s="893">
        <f t="shared" si="126"/>
        <v>0</v>
      </c>
      <c r="O1677" s="905"/>
      <c r="Q1677" s="317" t="str">
        <f t="shared" si="123"/>
        <v/>
      </c>
      <c r="R1677" s="317" t="str">
        <f t="shared" si="124"/>
        <v/>
      </c>
      <c r="S1677" s="317" t="str">
        <f t="shared" si="125"/>
        <v/>
      </c>
      <c r="T1677" s="317" t="str">
        <f>GLOBAL_DER_FEV_2023!S1677</f>
        <v/>
      </c>
      <c r="W1677" s="582">
        <v>0</v>
      </c>
      <c r="X1677" s="580"/>
      <c r="Y1677" s="583">
        <f>IF(GLOBAL_DER_FEV_2023!W1677=0,0,IF(GLOBAL_DER_FEV_2023!W1677&gt;0,"c","b"))</f>
        <v>0</v>
      </c>
    </row>
    <row r="1678" spans="1:25" ht="15" hidden="1" customHeight="1" x14ac:dyDescent="0.2">
      <c r="A1678" s="317">
        <v>633100</v>
      </c>
      <c r="B1678" s="895" t="s">
        <v>1807</v>
      </c>
      <c r="C1678" s="896" t="s">
        <v>184</v>
      </c>
      <c r="D1678" s="897" t="s">
        <v>519</v>
      </c>
      <c r="E1678" s="898">
        <f>GLOBAL_DER_FEV_2023!E1678</f>
        <v>0</v>
      </c>
      <c r="F1678" s="899">
        <f>GLOBAL_DER_FEV_2023!F1678</f>
        <v>0</v>
      </c>
      <c r="G1678" s="900">
        <f>GLOBAL_DER_FEV_2023!G1678</f>
        <v>0</v>
      </c>
      <c r="H1678" s="901">
        <f>GLOBAL_DER_FEV_2023!H1678</f>
        <v>165.16</v>
      </c>
      <c r="I1678" s="901">
        <f>GLOBAL_DER_FEV_2023!I1678</f>
        <v>165.16</v>
      </c>
      <c r="J1678" s="902">
        <f>GLOBAL_DER_FEV_2023!J1678</f>
        <v>198.31</v>
      </c>
      <c r="K1678" s="903" t="s">
        <v>13</v>
      </c>
      <c r="L1678" s="1137"/>
      <c r="M1678" s="1138">
        <f t="shared" si="122"/>
        <v>0</v>
      </c>
      <c r="N1678" s="893">
        <f t="shared" si="126"/>
        <v>0</v>
      </c>
      <c r="O1678" s="905"/>
      <c r="Q1678" s="317" t="str">
        <f t="shared" si="123"/>
        <v/>
      </c>
      <c r="R1678" s="317" t="str">
        <f t="shared" si="124"/>
        <v/>
      </c>
      <c r="S1678" s="317" t="str">
        <f t="shared" si="125"/>
        <v/>
      </c>
      <c r="T1678" s="317" t="str">
        <f>GLOBAL_DER_FEV_2023!S1678</f>
        <v/>
      </c>
      <c r="W1678" s="582">
        <v>0</v>
      </c>
      <c r="X1678" s="580"/>
      <c r="Y1678" s="583">
        <f>IF(GLOBAL_DER_FEV_2023!W1678=0,0,IF(GLOBAL_DER_FEV_2023!W1678&gt;0,"c","b"))</f>
        <v>0</v>
      </c>
    </row>
    <row r="1679" spans="1:25" ht="15" hidden="1" customHeight="1" x14ac:dyDescent="0.2">
      <c r="A1679" s="317">
        <v>633200</v>
      </c>
      <c r="B1679" s="895" t="s">
        <v>1808</v>
      </c>
      <c r="C1679" s="896" t="s">
        <v>184</v>
      </c>
      <c r="D1679" s="897" t="s">
        <v>520</v>
      </c>
      <c r="E1679" s="898">
        <f>GLOBAL_DER_FEV_2023!E1679</f>
        <v>0</v>
      </c>
      <c r="F1679" s="899">
        <f>GLOBAL_DER_FEV_2023!F1679</f>
        <v>0</v>
      </c>
      <c r="G1679" s="900">
        <f>GLOBAL_DER_FEV_2023!G1679</f>
        <v>0</v>
      </c>
      <c r="H1679" s="901">
        <f>GLOBAL_DER_FEV_2023!H1679</f>
        <v>247.74</v>
      </c>
      <c r="I1679" s="901">
        <f>GLOBAL_DER_FEV_2023!I1679</f>
        <v>247.74</v>
      </c>
      <c r="J1679" s="902">
        <f>GLOBAL_DER_FEV_2023!J1679</f>
        <v>297.45999999999998</v>
      </c>
      <c r="K1679" s="903" t="s">
        <v>13</v>
      </c>
      <c r="L1679" s="1137"/>
      <c r="M1679" s="1138">
        <f t="shared" si="122"/>
        <v>0</v>
      </c>
      <c r="N1679" s="893">
        <f t="shared" si="126"/>
        <v>0</v>
      </c>
      <c r="O1679" s="905"/>
      <c r="Q1679" s="317" t="str">
        <f t="shared" si="123"/>
        <v/>
      </c>
      <c r="R1679" s="317" t="str">
        <f t="shared" si="124"/>
        <v/>
      </c>
      <c r="S1679" s="317" t="str">
        <f t="shared" si="125"/>
        <v/>
      </c>
      <c r="T1679" s="317" t="str">
        <f>GLOBAL_DER_FEV_2023!S1679</f>
        <v/>
      </c>
      <c r="W1679" s="582">
        <v>0</v>
      </c>
      <c r="X1679" s="580"/>
      <c r="Y1679" s="583">
        <f>IF(GLOBAL_DER_FEV_2023!W1679=0,0,IF(GLOBAL_DER_FEV_2023!W1679&gt;0,"c","b"))</f>
        <v>0</v>
      </c>
    </row>
    <row r="1680" spans="1:25" ht="15" hidden="1" customHeight="1" x14ac:dyDescent="0.2">
      <c r="A1680" s="317">
        <v>800900</v>
      </c>
      <c r="B1680" s="895" t="s">
        <v>1713</v>
      </c>
      <c r="C1680" s="896" t="s">
        <v>184</v>
      </c>
      <c r="D1680" s="897" t="s">
        <v>443</v>
      </c>
      <c r="E1680" s="898">
        <f>GLOBAL_DER_FEV_2023!E1680</f>
        <v>0</v>
      </c>
      <c r="F1680" s="899">
        <f>GLOBAL_DER_FEV_2023!F1680</f>
        <v>0</v>
      </c>
      <c r="G1680" s="900">
        <f>GLOBAL_DER_FEV_2023!G1680</f>
        <v>0</v>
      </c>
      <c r="H1680" s="901">
        <f>GLOBAL_DER_FEV_2023!H1680</f>
        <v>13.25</v>
      </c>
      <c r="I1680" s="901">
        <f>GLOBAL_DER_FEV_2023!I1680</f>
        <v>13.25</v>
      </c>
      <c r="J1680" s="902">
        <f>GLOBAL_DER_FEV_2023!J1680</f>
        <v>15.91</v>
      </c>
      <c r="K1680" s="903" t="s">
        <v>12</v>
      </c>
      <c r="L1680" s="1137"/>
      <c r="M1680" s="1138">
        <f t="shared" si="122"/>
        <v>0</v>
      </c>
      <c r="N1680" s="893">
        <f t="shared" si="126"/>
        <v>0</v>
      </c>
      <c r="O1680" s="905"/>
      <c r="Q1680" s="317" t="str">
        <f t="shared" si="123"/>
        <v/>
      </c>
      <c r="R1680" s="317" t="str">
        <f t="shared" si="124"/>
        <v/>
      </c>
      <c r="S1680" s="317" t="str">
        <f t="shared" si="125"/>
        <v/>
      </c>
      <c r="T1680" s="317" t="str">
        <f>GLOBAL_DER_FEV_2023!S1680</f>
        <v/>
      </c>
      <c r="W1680" s="582">
        <v>0</v>
      </c>
      <c r="X1680" s="580"/>
      <c r="Y1680" s="583">
        <f>IF(GLOBAL_DER_FEV_2023!W1680=0,0,IF(GLOBAL_DER_FEV_2023!W1680&gt;0,"c","b"))</f>
        <v>0</v>
      </c>
    </row>
    <row r="1681" spans="1:25" ht="15" hidden="1" customHeight="1" x14ac:dyDescent="0.2">
      <c r="A1681" s="317">
        <v>801100</v>
      </c>
      <c r="B1681" s="895" t="s">
        <v>1714</v>
      </c>
      <c r="C1681" s="896" t="s">
        <v>184</v>
      </c>
      <c r="D1681" s="897" t="s">
        <v>278</v>
      </c>
      <c r="E1681" s="898">
        <f>GLOBAL_DER_FEV_2023!E1681</f>
        <v>0</v>
      </c>
      <c r="F1681" s="899">
        <f>GLOBAL_DER_FEV_2023!F1681</f>
        <v>0</v>
      </c>
      <c r="G1681" s="900">
        <f>GLOBAL_DER_FEV_2023!G1681</f>
        <v>0</v>
      </c>
      <c r="H1681" s="901">
        <f>GLOBAL_DER_FEV_2023!H1681</f>
        <v>19.149999999999999</v>
      </c>
      <c r="I1681" s="901">
        <f>GLOBAL_DER_FEV_2023!I1681</f>
        <v>19.149999999999999</v>
      </c>
      <c r="J1681" s="902">
        <f>GLOBAL_DER_FEV_2023!J1681</f>
        <v>22.99</v>
      </c>
      <c r="K1681" s="903" t="s">
        <v>12</v>
      </c>
      <c r="L1681" s="1139"/>
      <c r="M1681" s="1140">
        <f t="shared" si="122"/>
        <v>0</v>
      </c>
      <c r="N1681" s="893">
        <f t="shared" si="126"/>
        <v>0</v>
      </c>
      <c r="O1681" s="905"/>
      <c r="Q1681" s="317" t="str">
        <f t="shared" si="123"/>
        <v/>
      </c>
      <c r="R1681" s="317" t="str">
        <f t="shared" si="124"/>
        <v/>
      </c>
      <c r="S1681" s="317" t="str">
        <f t="shared" si="125"/>
        <v/>
      </c>
      <c r="T1681" s="317" t="str">
        <f>GLOBAL_DER_FEV_2023!S1681</f>
        <v/>
      </c>
      <c r="W1681" s="582">
        <v>0</v>
      </c>
      <c r="X1681" s="580"/>
      <c r="Y1681" s="583">
        <f>IF(GLOBAL_DER_FEV_2023!W1681=0,0,IF(GLOBAL_DER_FEV_2023!W1681&gt;0,"c","b"))</f>
        <v>0</v>
      </c>
    </row>
    <row r="1682" spans="1:25" ht="15" hidden="1" customHeight="1" x14ac:dyDescent="0.2">
      <c r="A1682" s="317">
        <v>600510</v>
      </c>
      <c r="B1682" s="895" t="s">
        <v>1715</v>
      </c>
      <c r="C1682" s="896" t="s">
        <v>184</v>
      </c>
      <c r="D1682" s="897" t="s">
        <v>444</v>
      </c>
      <c r="E1682" s="898">
        <f>GLOBAL_DER_FEV_2023!E1682</f>
        <v>0</v>
      </c>
      <c r="F1682" s="899">
        <f>GLOBAL_DER_FEV_2023!F1682</f>
        <v>0</v>
      </c>
      <c r="G1682" s="900">
        <f>GLOBAL_DER_FEV_2023!G1682</f>
        <v>0</v>
      </c>
      <c r="H1682" s="901">
        <f>GLOBAL_DER_FEV_2023!H1682</f>
        <v>2.52</v>
      </c>
      <c r="I1682" s="901">
        <f>GLOBAL_DER_FEV_2023!I1682</f>
        <v>2.52</v>
      </c>
      <c r="J1682" s="902">
        <f>GLOBAL_DER_FEV_2023!J1682</f>
        <v>3.03</v>
      </c>
      <c r="K1682" s="903" t="s">
        <v>13</v>
      </c>
      <c r="L1682" s="1139"/>
      <c r="M1682" s="1140">
        <f t="shared" ref="M1682:M1745" si="127">IF(L1682=0,0,ROUND(J1682,2))</f>
        <v>0</v>
      </c>
      <c r="N1682" s="893">
        <f t="shared" si="126"/>
        <v>0</v>
      </c>
      <c r="O1682" s="905"/>
      <c r="Q1682" s="317" t="str">
        <f t="shared" si="123"/>
        <v/>
      </c>
      <c r="R1682" s="317" t="str">
        <f t="shared" si="124"/>
        <v/>
      </c>
      <c r="S1682" s="317" t="str">
        <f t="shared" si="125"/>
        <v/>
      </c>
      <c r="T1682" s="317" t="str">
        <f>GLOBAL_DER_FEV_2023!S1682</f>
        <v/>
      </c>
      <c r="W1682" s="582">
        <v>0</v>
      </c>
      <c r="X1682" s="580"/>
      <c r="Y1682" s="583">
        <f>IF(GLOBAL_DER_FEV_2023!W1682=0,0,IF(GLOBAL_DER_FEV_2023!W1682&gt;0,"c","b"))</f>
        <v>0</v>
      </c>
    </row>
    <row r="1683" spans="1:25" ht="15" hidden="1" customHeight="1" x14ac:dyDescent="0.2">
      <c r="A1683" s="317">
        <v>521450</v>
      </c>
      <c r="B1683" s="955" t="s">
        <v>1616</v>
      </c>
      <c r="C1683" s="956" t="s">
        <v>184</v>
      </c>
      <c r="D1683" s="906" t="s">
        <v>219</v>
      </c>
      <c r="E1683" s="907">
        <f>GLOBAL_DER_FEV_2023!E1683</f>
        <v>0</v>
      </c>
      <c r="F1683" s="899">
        <f>GLOBAL_DER_FEV_2023!F1683</f>
        <v>0.3</v>
      </c>
      <c r="G1683" s="949">
        <f>GLOBAL_DER_FEV_2023!G1683</f>
        <v>0.80400000000000005</v>
      </c>
      <c r="H1683" s="901">
        <f>GLOBAL_DER_FEV_2023!H1683</f>
        <v>25.31</v>
      </c>
      <c r="I1683" s="901">
        <f>GLOBAL_DER_FEV_2023!I1683</f>
        <v>26.113999999999997</v>
      </c>
      <c r="J1683" s="902">
        <f>GLOBAL_DER_FEV_2023!J1683</f>
        <v>31.36</v>
      </c>
      <c r="K1683" s="903" t="s">
        <v>12</v>
      </c>
      <c r="L1683" s="1137"/>
      <c r="M1683" s="1138">
        <f t="shared" si="127"/>
        <v>0</v>
      </c>
      <c r="N1683" s="893">
        <f t="shared" si="126"/>
        <v>0</v>
      </c>
      <c r="O1683" s="905"/>
      <c r="Q1683" s="317" t="str">
        <f t="shared" si="123"/>
        <v/>
      </c>
      <c r="R1683" s="317" t="str">
        <f t="shared" si="124"/>
        <v/>
      </c>
      <c r="S1683" s="317" t="str">
        <f t="shared" si="125"/>
        <v/>
      </c>
      <c r="T1683" s="317" t="str">
        <f>GLOBAL_DER_FEV_2023!S1683</f>
        <v/>
      </c>
      <c r="W1683" s="582">
        <v>0</v>
      </c>
      <c r="X1683" s="580"/>
      <c r="Y1683" s="583">
        <f>IF(GLOBAL_DER_FEV_2023!W1683=0,0,IF(GLOBAL_DER_FEV_2023!W1683&gt;0,"c","b"))</f>
        <v>0</v>
      </c>
    </row>
    <row r="1684" spans="1:25" ht="15" hidden="1" customHeight="1" x14ac:dyDescent="0.2">
      <c r="A1684" s="317">
        <v>511300</v>
      </c>
      <c r="B1684" s="895" t="s">
        <v>1571</v>
      </c>
      <c r="C1684" s="896" t="s">
        <v>184</v>
      </c>
      <c r="D1684" s="906" t="s">
        <v>180</v>
      </c>
      <c r="E1684" s="907">
        <f>GLOBAL_DER_FEV_2023!E1684</f>
        <v>0</v>
      </c>
      <c r="F1684" s="908">
        <f>GLOBAL_DER_FEV_2023!F1684</f>
        <v>0</v>
      </c>
      <c r="G1684" s="912">
        <f>GLOBAL_DER_FEV_2023!G1684</f>
        <v>0</v>
      </c>
      <c r="H1684" s="901">
        <f>GLOBAL_DER_FEV_2023!H1684</f>
        <v>0.28999999999999998</v>
      </c>
      <c r="I1684" s="901">
        <f>GLOBAL_DER_FEV_2023!I1684</f>
        <v>0.28999999999999998</v>
      </c>
      <c r="J1684" s="902">
        <f>GLOBAL_DER_FEV_2023!J1684</f>
        <v>0.35</v>
      </c>
      <c r="K1684" s="903" t="s">
        <v>12</v>
      </c>
      <c r="L1684" s="1137"/>
      <c r="M1684" s="1138">
        <f t="shared" si="127"/>
        <v>0</v>
      </c>
      <c r="N1684" s="893">
        <f t="shared" si="126"/>
        <v>0</v>
      </c>
      <c r="O1684" s="905"/>
      <c r="Q1684" s="317" t="str">
        <f t="shared" si="123"/>
        <v/>
      </c>
      <c r="R1684" s="317" t="str">
        <f t="shared" si="124"/>
        <v/>
      </c>
      <c r="S1684" s="317" t="str">
        <f t="shared" si="125"/>
        <v/>
      </c>
      <c r="T1684" s="317" t="str">
        <f>GLOBAL_DER_FEV_2023!S1684</f>
        <v/>
      </c>
      <c r="W1684" s="582">
        <v>0</v>
      </c>
      <c r="X1684" s="580"/>
      <c r="Y1684" s="583">
        <f>IF(GLOBAL_DER_FEV_2023!W1684=0,0,IF(GLOBAL_DER_FEV_2023!W1684&gt;0,"c","b"))</f>
        <v>0</v>
      </c>
    </row>
    <row r="1685" spans="1:25" ht="15" hidden="1" customHeight="1" x14ac:dyDescent="0.2">
      <c r="A1685" s="317">
        <v>521450</v>
      </c>
      <c r="B1685" s="895" t="s">
        <v>1617</v>
      </c>
      <c r="C1685" s="896" t="s">
        <v>184</v>
      </c>
      <c r="D1685" s="906" t="s">
        <v>454</v>
      </c>
      <c r="E1685" s="907">
        <f>GLOBAL_DER_FEV_2023!E1685</f>
        <v>0</v>
      </c>
      <c r="F1685" s="899">
        <f>GLOBAL_DER_FEV_2023!F1685</f>
        <v>0</v>
      </c>
      <c r="G1685" s="912">
        <f>GLOBAL_DER_FEV_2023!G1685</f>
        <v>0</v>
      </c>
      <c r="H1685" s="901">
        <f>GLOBAL_DER_FEV_2023!H1685</f>
        <v>25.31</v>
      </c>
      <c r="I1685" s="901">
        <f>GLOBAL_DER_FEV_2023!I1685</f>
        <v>25.31</v>
      </c>
      <c r="J1685" s="902">
        <f>GLOBAL_DER_FEV_2023!J1685</f>
        <v>30.39</v>
      </c>
      <c r="K1685" s="903" t="s">
        <v>12</v>
      </c>
      <c r="L1685" s="1137"/>
      <c r="M1685" s="1138">
        <f t="shared" si="127"/>
        <v>0</v>
      </c>
      <c r="N1685" s="893">
        <f t="shared" si="126"/>
        <v>0</v>
      </c>
      <c r="O1685" s="905"/>
      <c r="Q1685" s="317" t="str">
        <f t="shared" si="123"/>
        <v/>
      </c>
      <c r="R1685" s="317" t="str">
        <f t="shared" si="124"/>
        <v/>
      </c>
      <c r="S1685" s="317" t="str">
        <f t="shared" si="125"/>
        <v/>
      </c>
      <c r="T1685" s="317" t="str">
        <f>GLOBAL_DER_FEV_2023!S1685</f>
        <v/>
      </c>
      <c r="W1685" s="582">
        <v>0</v>
      </c>
      <c r="X1685" s="580"/>
      <c r="Y1685" s="583">
        <f>IF(GLOBAL_DER_FEV_2023!W1685=0,0,IF(GLOBAL_DER_FEV_2023!W1685&gt;0,"c","b"))</f>
        <v>0</v>
      </c>
    </row>
    <row r="1686" spans="1:25" ht="15" hidden="1" customHeight="1" x14ac:dyDescent="0.2">
      <c r="A1686" s="317">
        <v>521450</v>
      </c>
      <c r="B1686" s="895" t="s">
        <v>1619</v>
      </c>
      <c r="C1686" s="896" t="s">
        <v>184</v>
      </c>
      <c r="D1686" s="906" t="s">
        <v>221</v>
      </c>
      <c r="E1686" s="907">
        <f>GLOBAL_DER_FEV_2023!E1686</f>
        <v>0</v>
      </c>
      <c r="F1686" s="899">
        <f>GLOBAL_DER_FEV_2023!F1686</f>
        <v>0</v>
      </c>
      <c r="G1686" s="912">
        <f>GLOBAL_DER_FEV_2023!G1686</f>
        <v>0</v>
      </c>
      <c r="H1686" s="901">
        <f>GLOBAL_DER_FEV_2023!H1686</f>
        <v>25.31</v>
      </c>
      <c r="I1686" s="901">
        <f>GLOBAL_DER_FEV_2023!I1686</f>
        <v>25.31</v>
      </c>
      <c r="J1686" s="902">
        <f>GLOBAL_DER_FEV_2023!J1686</f>
        <v>30.39</v>
      </c>
      <c r="K1686" s="903" t="s">
        <v>12</v>
      </c>
      <c r="L1686" s="1137"/>
      <c r="M1686" s="1138">
        <f t="shared" si="127"/>
        <v>0</v>
      </c>
      <c r="N1686" s="893">
        <f t="shared" si="126"/>
        <v>0</v>
      </c>
      <c r="O1686" s="905"/>
      <c r="Q1686" s="317" t="str">
        <f t="shared" si="123"/>
        <v/>
      </c>
      <c r="R1686" s="317" t="str">
        <f t="shared" si="124"/>
        <v/>
      </c>
      <c r="S1686" s="317" t="str">
        <f t="shared" si="125"/>
        <v/>
      </c>
      <c r="T1686" s="317" t="str">
        <f>GLOBAL_DER_FEV_2023!S1686</f>
        <v/>
      </c>
      <c r="W1686" s="582">
        <v>0</v>
      </c>
      <c r="X1686" s="580"/>
      <c r="Y1686" s="583">
        <f>IF(GLOBAL_DER_FEV_2023!W1686=0,0,IF(GLOBAL_DER_FEV_2023!W1686&gt;0,"c","b"))</f>
        <v>0</v>
      </c>
    </row>
    <row r="1687" spans="1:25" ht="15" hidden="1" customHeight="1" x14ac:dyDescent="0.2">
      <c r="A1687" s="640" t="s">
        <v>165</v>
      </c>
      <c r="B1687" s="913" t="s">
        <v>165</v>
      </c>
      <c r="C1687" s="914"/>
      <c r="D1687" s="915" t="s">
        <v>485</v>
      </c>
      <c r="E1687" s="916">
        <f>GLOBAL_DER_FEV_2023!E1687</f>
        <v>0</v>
      </c>
      <c r="F1687" s="917">
        <f>GLOBAL_DER_FEV_2023!F1687</f>
        <v>0</v>
      </c>
      <c r="G1687" s="918">
        <f>GLOBAL_DER_FEV_2023!G1687</f>
        <v>0</v>
      </c>
      <c r="H1687" s="919">
        <f>GLOBAL_DER_FEV_2023!H1687</f>
        <v>0</v>
      </c>
      <c r="I1687" s="919">
        <f>GLOBAL_DER_FEV_2023!I1687</f>
        <v>0</v>
      </c>
      <c r="J1687" s="919">
        <f>GLOBAL_DER_FEV_2023!J1687</f>
        <v>0</v>
      </c>
      <c r="K1687" s="920" t="s">
        <v>507</v>
      </c>
      <c r="L1687" s="921"/>
      <c r="M1687" s="1175">
        <f t="shared" si="127"/>
        <v>0</v>
      </c>
      <c r="N1687" s="923">
        <f t="shared" si="126"/>
        <v>0</v>
      </c>
      <c r="O1687" s="905"/>
      <c r="P1687" s="58" t="str">
        <f>IF(OR(SUM(N1688:N1719)&gt;0,SUM(N1688:N1719)&gt;0),"y","")</f>
        <v/>
      </c>
      <c r="Q1687" s="317" t="str">
        <f t="shared" si="123"/>
        <v/>
      </c>
      <c r="R1687" s="317" t="str">
        <f t="shared" si="124"/>
        <v/>
      </c>
      <c r="S1687" s="317" t="str">
        <f t="shared" si="125"/>
        <v/>
      </c>
      <c r="T1687" s="317" t="str">
        <f>GLOBAL_DER_FEV_2023!S1687</f>
        <v/>
      </c>
      <c r="W1687" s="582">
        <v>0</v>
      </c>
      <c r="X1687" s="580"/>
      <c r="Y1687" s="583">
        <f>IF(GLOBAL_DER_FEV_2023!W1687=0,0,IF(GLOBAL_DER_FEV_2023!W1687&gt;0,"c","b"))</f>
        <v>0</v>
      </c>
    </row>
    <row r="1688" spans="1:25" ht="25.5" hidden="1" customHeight="1" x14ac:dyDescent="0.2">
      <c r="A1688" s="640" t="s">
        <v>165</v>
      </c>
      <c r="B1688" s="1036" t="str">
        <f>GLOBAL_DER_FEV_2023!B1688</f>
        <v>101173</v>
      </c>
      <c r="C1688" s="1072" t="str">
        <f>GLOBAL_DER_FEV_2023!C1688</f>
        <v>SINAPI</v>
      </c>
      <c r="D1688" s="1141" t="str">
        <f>GLOBAL_DER_FEV_2023!D1688</f>
        <v>ESTACA BROCA DE CONCRETO, DIÂMETRO DE 20 CM, ESCAVAÇÃO MANUAL COM TRADO CONCHA, COM ARMADURA DE ARRANQUE. AF_05/2020</v>
      </c>
      <c r="E1688" s="907">
        <f>GLOBAL_DER_FEV_2023!E1688</f>
        <v>62.91</v>
      </c>
      <c r="F1688" s="908">
        <f>GLOBAL_DER_FEV_2023!F1688</f>
        <v>62.91</v>
      </c>
      <c r="G1688" s="912">
        <f>GLOBAL_DER_FEV_2023!G1688</f>
        <v>75.540000000000006</v>
      </c>
      <c r="H1688" s="901">
        <f>GLOBAL_DER_FEV_2023!H1688</f>
        <v>0</v>
      </c>
      <c r="I1688" s="901">
        <f>GLOBAL_DER_FEV_2023!I1688</f>
        <v>75.540000000000006</v>
      </c>
      <c r="J1688" s="890">
        <f>GLOBAL_DER_FEV_2023!J1688</f>
        <v>90.7</v>
      </c>
      <c r="K1688" s="903" t="str">
        <f>GLOBAL_DER_FEV_2023!K1688</f>
        <v>m</v>
      </c>
      <c r="L1688" s="1137"/>
      <c r="M1688" s="1175">
        <f t="shared" si="127"/>
        <v>0</v>
      </c>
      <c r="N1688" s="1167">
        <f t="shared" si="126"/>
        <v>0</v>
      </c>
      <c r="O1688" s="1165"/>
      <c r="Q1688" s="317" t="str">
        <f t="shared" si="123"/>
        <v/>
      </c>
      <c r="R1688" s="317" t="str">
        <f t="shared" si="124"/>
        <v/>
      </c>
      <c r="S1688" s="317" t="str">
        <f t="shared" si="125"/>
        <v/>
      </c>
      <c r="T1688" s="317" t="str">
        <f>GLOBAL_DER_FEV_2023!S1688</f>
        <v/>
      </c>
      <c r="W1688" s="582">
        <v>0</v>
      </c>
      <c r="X1688" s="580"/>
      <c r="Y1688" s="583">
        <f>IF(GLOBAL_DER_FEV_2023!W1688=0,0,IF(GLOBAL_DER_FEV_2023!W1688&gt;0,"c","b"))</f>
        <v>0</v>
      </c>
    </row>
    <row r="1689" spans="1:25" ht="28.5" hidden="1" customHeight="1" x14ac:dyDescent="0.2">
      <c r="A1689" s="640" t="s">
        <v>165</v>
      </c>
      <c r="B1689" s="1036" t="str">
        <f>GLOBAL_DER_FEV_2023!B1689</f>
        <v>9557</v>
      </c>
      <c r="C1689" s="1072" t="str">
        <f>GLOBAL_DER_FEV_2023!C1689</f>
        <v>SINAPI</v>
      </c>
      <c r="D1689" s="1141" t="str">
        <f>GLOBAL_DER_FEV_2023!D1689</f>
        <v>MONTAGEM DE ARMADURA DE ESTACA DIÂMETRO = 10,0 MM. AF_09/2021</v>
      </c>
      <c r="E1689" s="907">
        <f>GLOBAL_DER_FEV_2023!E1689</f>
        <v>11.5</v>
      </c>
      <c r="F1689" s="908">
        <f>GLOBAL_DER_FEV_2023!F1689</f>
        <v>11.5</v>
      </c>
      <c r="G1689" s="912">
        <f>GLOBAL_DER_FEV_2023!G1689</f>
        <v>13.81</v>
      </c>
      <c r="H1689" s="901">
        <f>GLOBAL_DER_FEV_2023!H1689</f>
        <v>0</v>
      </c>
      <c r="I1689" s="901">
        <f>GLOBAL_DER_FEV_2023!I1689</f>
        <v>13.81</v>
      </c>
      <c r="J1689" s="890">
        <f>GLOBAL_DER_FEV_2023!J1689</f>
        <v>16.579999999999998</v>
      </c>
      <c r="K1689" s="903" t="str">
        <f>GLOBAL_DER_FEV_2023!K1689</f>
        <v>m</v>
      </c>
      <c r="L1689" s="1137"/>
      <c r="M1689" s="1175">
        <f t="shared" si="127"/>
        <v>0</v>
      </c>
      <c r="N1689" s="1167">
        <f t="shared" si="126"/>
        <v>0</v>
      </c>
      <c r="O1689" s="1165"/>
      <c r="Q1689" s="317" t="str">
        <f t="shared" si="123"/>
        <v/>
      </c>
      <c r="R1689" s="317" t="str">
        <f t="shared" si="124"/>
        <v/>
      </c>
      <c r="S1689" s="317" t="str">
        <f t="shared" si="125"/>
        <v/>
      </c>
      <c r="T1689" s="317" t="str">
        <f>GLOBAL_DER_FEV_2023!S1689</f>
        <v/>
      </c>
      <c r="W1689" s="582">
        <v>0</v>
      </c>
      <c r="X1689" s="580"/>
      <c r="Y1689" s="583">
        <f>IF(GLOBAL_DER_FEV_2023!W1689=0,0,IF(GLOBAL_DER_FEV_2023!W1689&gt;0,"c","b"))</f>
        <v>0</v>
      </c>
    </row>
    <row r="1690" spans="1:25" ht="28.5" hidden="1" customHeight="1" x14ac:dyDescent="0.2">
      <c r="A1690" s="640" t="s">
        <v>165</v>
      </c>
      <c r="B1690" s="1036" t="str">
        <f>GLOBAL_DER_FEV_2023!B1690</f>
        <v>95583</v>
      </c>
      <c r="C1690" s="1072" t="str">
        <f>GLOBAL_DER_FEV_2023!C1690</f>
        <v>SINAPI</v>
      </c>
      <c r="D1690" s="1141" t="str">
        <f>GLOBAL_DER_FEV_2023!D1690</f>
        <v>MONTAGEM DE ARMADURA TRANSVERSAL DE ESTACAS DE SEÇÃO CIRCULAR, DIÂMETRO = 5,00 MM. AF_09/2021</v>
      </c>
      <c r="E1690" s="907">
        <f>GLOBAL_DER_FEV_2023!E1690</f>
        <v>17.59</v>
      </c>
      <c r="F1690" s="908">
        <f>GLOBAL_DER_FEV_2023!F1690</f>
        <v>17.59</v>
      </c>
      <c r="G1690" s="912">
        <f>GLOBAL_DER_FEV_2023!G1690</f>
        <v>21.12</v>
      </c>
      <c r="H1690" s="901">
        <f>GLOBAL_DER_FEV_2023!H1690</f>
        <v>0</v>
      </c>
      <c r="I1690" s="901">
        <f>GLOBAL_DER_FEV_2023!I1690</f>
        <v>21.12</v>
      </c>
      <c r="J1690" s="890">
        <f>GLOBAL_DER_FEV_2023!J1690</f>
        <v>25.36</v>
      </c>
      <c r="K1690" s="903" t="str">
        <f>GLOBAL_DER_FEV_2023!K1690</f>
        <v>kg</v>
      </c>
      <c r="L1690" s="1137"/>
      <c r="M1690" s="1175">
        <f t="shared" si="127"/>
        <v>0</v>
      </c>
      <c r="N1690" s="1167">
        <f t="shared" si="126"/>
        <v>0</v>
      </c>
      <c r="O1690" s="1165"/>
      <c r="Q1690" s="317" t="str">
        <f t="shared" si="123"/>
        <v/>
      </c>
      <c r="R1690" s="317" t="str">
        <f t="shared" si="124"/>
        <v/>
      </c>
      <c r="S1690" s="317" t="str">
        <f t="shared" si="125"/>
        <v/>
      </c>
      <c r="T1690" s="317" t="str">
        <f>GLOBAL_DER_FEV_2023!S1690</f>
        <v/>
      </c>
      <c r="W1690" s="582">
        <v>0</v>
      </c>
      <c r="X1690" s="580"/>
      <c r="Y1690" s="583">
        <f>IF(GLOBAL_DER_FEV_2023!W1690=0,0,IF(GLOBAL_DER_FEV_2023!W1690&gt;0,"c","b"))</f>
        <v>0</v>
      </c>
    </row>
    <row r="1691" spans="1:25" ht="20.25" hidden="1" customHeight="1" x14ac:dyDescent="0.2">
      <c r="A1691" s="640" t="s">
        <v>165</v>
      </c>
      <c r="B1691" s="1036" t="str">
        <f>GLOBAL_DER_FEV_2023!B1691</f>
        <v>34</v>
      </c>
      <c r="C1691" s="1072" t="str">
        <f>GLOBAL_DER_FEV_2023!C1691</f>
        <v>SINAPI</v>
      </c>
      <c r="D1691" s="1141" t="str">
        <f>GLOBAL_DER_FEV_2023!D1691</f>
        <v>AÇO CA-50, 10,0 MM, VERGALHÃO</v>
      </c>
      <c r="E1691" s="907">
        <f>GLOBAL_DER_FEV_2023!E1691</f>
        <v>8.52</v>
      </c>
      <c r="F1691" s="908">
        <f>GLOBAL_DER_FEV_2023!F1691</f>
        <v>8.52</v>
      </c>
      <c r="G1691" s="912">
        <f>GLOBAL_DER_FEV_2023!G1691</f>
        <v>10.23</v>
      </c>
      <c r="H1691" s="901">
        <f>GLOBAL_DER_FEV_2023!H1691</f>
        <v>0</v>
      </c>
      <c r="I1691" s="901">
        <f>GLOBAL_DER_FEV_2023!I1691</f>
        <v>10.23</v>
      </c>
      <c r="J1691" s="890">
        <f>GLOBAL_DER_FEV_2023!J1691</f>
        <v>12.28</v>
      </c>
      <c r="K1691" s="903" t="str">
        <f>GLOBAL_DER_FEV_2023!K1691</f>
        <v>kg</v>
      </c>
      <c r="L1691" s="1137"/>
      <c r="M1691" s="1175">
        <f t="shared" si="127"/>
        <v>0</v>
      </c>
      <c r="N1691" s="1167">
        <f t="shared" si="126"/>
        <v>0</v>
      </c>
      <c r="O1691" s="1165"/>
      <c r="Q1691" s="317" t="str">
        <f t="shared" ref="Q1691:Q1754" si="128">IF(P1691="X","x",IF(P1691="xx","x",IF(P1691="xy","x",IF(P1691="y","x",IF(OR(N1691&gt;0,N1691&gt;0),"x","")))))</f>
        <v/>
      </c>
      <c r="R1691" s="317" t="str">
        <f t="shared" si="124"/>
        <v/>
      </c>
      <c r="S1691" s="317" t="str">
        <f t="shared" si="125"/>
        <v/>
      </c>
      <c r="T1691" s="317" t="str">
        <f>GLOBAL_DER_FEV_2023!S1691</f>
        <v/>
      </c>
      <c r="W1691" s="582">
        <v>0</v>
      </c>
      <c r="X1691" s="580"/>
      <c r="Y1691" s="583">
        <f>IF(GLOBAL_DER_FEV_2023!W1691=0,0,IF(GLOBAL_DER_FEV_2023!W1691&gt;0,"c","b"))</f>
        <v>0</v>
      </c>
    </row>
    <row r="1692" spans="1:25" ht="30" hidden="1" customHeight="1" x14ac:dyDescent="0.2">
      <c r="A1692" s="640" t="s">
        <v>165</v>
      </c>
      <c r="B1692" s="1036" t="str">
        <f>GLOBAL_DER_FEV_2023!B1692</f>
        <v>96555</v>
      </c>
      <c r="C1692" s="1072" t="str">
        <f>GLOBAL_DER_FEV_2023!C1692</f>
        <v>SINAPI</v>
      </c>
      <c r="D1692" s="1141" t="str">
        <f>GLOBAL_DER_FEV_2023!D1692</f>
        <v>CONCRETAGEM DE BLOCOS DE COROAMENTO E VIGAS BALDRAME, FCK 30 MPA, COM USO DE JERICA LANÇAMENTO, ADENSAMENTO E ACABAMENTO. AF_06/2017</v>
      </c>
      <c r="E1692" s="907">
        <f>GLOBAL_DER_FEV_2023!E1692</f>
        <v>560.14</v>
      </c>
      <c r="F1692" s="908">
        <f>GLOBAL_DER_FEV_2023!F1692</f>
        <v>560.14</v>
      </c>
      <c r="G1692" s="912">
        <f>GLOBAL_DER_FEV_2023!G1692</f>
        <v>672.56</v>
      </c>
      <c r="H1692" s="901">
        <f>GLOBAL_DER_FEV_2023!H1692</f>
        <v>0</v>
      </c>
      <c r="I1692" s="901">
        <f>GLOBAL_DER_FEV_2023!I1692</f>
        <v>672.56</v>
      </c>
      <c r="J1692" s="890">
        <f>GLOBAL_DER_FEV_2023!J1692</f>
        <v>807.54</v>
      </c>
      <c r="K1692" s="903" t="str">
        <f>GLOBAL_DER_FEV_2023!K1692</f>
        <v>m3</v>
      </c>
      <c r="L1692" s="1137"/>
      <c r="M1692" s="1175">
        <f t="shared" si="127"/>
        <v>0</v>
      </c>
      <c r="N1692" s="1167">
        <f t="shared" si="126"/>
        <v>0</v>
      </c>
      <c r="O1692" s="1165"/>
      <c r="Q1692" s="317" t="str">
        <f t="shared" si="128"/>
        <v/>
      </c>
      <c r="R1692" s="317" t="str">
        <f t="shared" si="124"/>
        <v/>
      </c>
      <c r="S1692" s="317" t="str">
        <f t="shared" si="125"/>
        <v/>
      </c>
      <c r="T1692" s="317" t="str">
        <f>GLOBAL_DER_FEV_2023!S1692</f>
        <v/>
      </c>
      <c r="W1692" s="582">
        <v>0</v>
      </c>
      <c r="X1692" s="580"/>
      <c r="Y1692" s="583">
        <f>IF(GLOBAL_DER_FEV_2023!W1692=0,0,IF(GLOBAL_DER_FEV_2023!W1692&gt;0,"c","b"))</f>
        <v>0</v>
      </c>
    </row>
    <row r="1693" spans="1:25" ht="15" hidden="1" customHeight="1" x14ac:dyDescent="0.2">
      <c r="A1693" s="640" t="s">
        <v>165</v>
      </c>
      <c r="B1693" s="1036" t="str">
        <f>GLOBAL_DER_FEV_2023!B1693</f>
        <v/>
      </c>
      <c r="C1693" s="1072" t="str">
        <f>GLOBAL_DER_FEV_2023!C1693</f>
        <v/>
      </c>
      <c r="D1693" s="1141">
        <f>GLOBAL_DER_FEV_2023!D1693</f>
        <v>0</v>
      </c>
      <c r="E1693" s="907">
        <f>GLOBAL_DER_FEV_2023!E1693</f>
        <v>0</v>
      </c>
      <c r="F1693" s="908">
        <f>GLOBAL_DER_FEV_2023!F1693</f>
        <v>0</v>
      </c>
      <c r="G1693" s="912">
        <f>GLOBAL_DER_FEV_2023!G1693</f>
        <v>0</v>
      </c>
      <c r="H1693" s="901">
        <f>GLOBAL_DER_FEV_2023!H1693</f>
        <v>0</v>
      </c>
      <c r="I1693" s="901">
        <f>GLOBAL_DER_FEV_2023!I1693</f>
        <v>0</v>
      </c>
      <c r="J1693" s="890">
        <f>GLOBAL_DER_FEV_2023!J1693</f>
        <v>0</v>
      </c>
      <c r="K1693" s="903" t="str">
        <f>GLOBAL_DER_FEV_2023!K1693</f>
        <v xml:space="preserve">     </v>
      </c>
      <c r="L1693" s="1137"/>
      <c r="M1693" s="1175">
        <f t="shared" si="127"/>
        <v>0</v>
      </c>
      <c r="N1693" s="1167">
        <f t="shared" si="126"/>
        <v>0</v>
      </c>
      <c r="O1693" s="1165"/>
      <c r="Q1693" s="317" t="str">
        <f t="shared" si="128"/>
        <v/>
      </c>
      <c r="R1693" s="317" t="str">
        <f t="shared" ref="R1693:R1756" si="129">IF(P1693="X","x",IF(P1693="y","x",IF(P1693="xx","x",IF(N1693&gt;0,"x",""))))</f>
        <v/>
      </c>
      <c r="S1693" s="317" t="str">
        <f t="shared" ref="S1693:S1756" si="130">IF(P1693="X","x",IF(N1693&gt;0,"x",""))</f>
        <v/>
      </c>
      <c r="T1693" s="317" t="str">
        <f>GLOBAL_DER_FEV_2023!S1693</f>
        <v/>
      </c>
      <c r="W1693" s="582">
        <v>0</v>
      </c>
      <c r="X1693" s="580"/>
      <c r="Y1693" s="583">
        <f>IF(GLOBAL_DER_FEV_2023!W1693=0,0,IF(GLOBAL_DER_FEV_2023!W1693&gt;0,"c","b"))</f>
        <v>0</v>
      </c>
    </row>
    <row r="1694" spans="1:25" ht="15" hidden="1" customHeight="1" x14ac:dyDescent="0.2">
      <c r="A1694" s="640" t="s">
        <v>165</v>
      </c>
      <c r="B1694" s="1036" t="str">
        <f>GLOBAL_DER_FEV_2023!B1694</f>
        <v/>
      </c>
      <c r="C1694" s="1072" t="str">
        <f>GLOBAL_DER_FEV_2023!C1694</f>
        <v/>
      </c>
      <c r="D1694" s="1141">
        <f>GLOBAL_DER_FEV_2023!D1694</f>
        <v>0</v>
      </c>
      <c r="E1694" s="907">
        <f>GLOBAL_DER_FEV_2023!E1694</f>
        <v>0</v>
      </c>
      <c r="F1694" s="908">
        <f>GLOBAL_DER_FEV_2023!F1694</f>
        <v>0</v>
      </c>
      <c r="G1694" s="912">
        <f>GLOBAL_DER_FEV_2023!G1694</f>
        <v>0</v>
      </c>
      <c r="H1694" s="901">
        <f>GLOBAL_DER_FEV_2023!H1694</f>
        <v>0</v>
      </c>
      <c r="I1694" s="901">
        <f>GLOBAL_DER_FEV_2023!I1694</f>
        <v>0</v>
      </c>
      <c r="J1694" s="890">
        <f>GLOBAL_DER_FEV_2023!J1694</f>
        <v>0</v>
      </c>
      <c r="K1694" s="903" t="str">
        <f>GLOBAL_DER_FEV_2023!K1694</f>
        <v xml:space="preserve">     </v>
      </c>
      <c r="L1694" s="1137"/>
      <c r="M1694" s="1175">
        <f t="shared" si="127"/>
        <v>0</v>
      </c>
      <c r="N1694" s="1167">
        <f t="shared" si="126"/>
        <v>0</v>
      </c>
      <c r="O1694" s="1165"/>
      <c r="Q1694" s="317" t="str">
        <f t="shared" si="128"/>
        <v/>
      </c>
      <c r="R1694" s="317" t="str">
        <f t="shared" si="129"/>
        <v/>
      </c>
      <c r="S1694" s="317" t="str">
        <f t="shared" si="130"/>
        <v/>
      </c>
      <c r="T1694" s="317" t="str">
        <f>GLOBAL_DER_FEV_2023!S1694</f>
        <v/>
      </c>
      <c r="W1694" s="582">
        <v>0</v>
      </c>
      <c r="X1694" s="580"/>
      <c r="Y1694" s="583">
        <f>IF(GLOBAL_DER_FEV_2023!W1694=0,0,IF(GLOBAL_DER_FEV_2023!W1694&gt;0,"c","b"))</f>
        <v>0</v>
      </c>
    </row>
    <row r="1695" spans="1:25" ht="15" hidden="1" customHeight="1" x14ac:dyDescent="0.2">
      <c r="A1695" s="640" t="s">
        <v>165</v>
      </c>
      <c r="B1695" s="1036" t="str">
        <f>GLOBAL_DER_FEV_2023!B1695</f>
        <v/>
      </c>
      <c r="C1695" s="1072" t="str">
        <f>GLOBAL_DER_FEV_2023!C1695</f>
        <v/>
      </c>
      <c r="D1695" s="1141">
        <f>GLOBAL_DER_FEV_2023!D1695</f>
        <v>0</v>
      </c>
      <c r="E1695" s="907">
        <f>GLOBAL_DER_FEV_2023!E1695</f>
        <v>0</v>
      </c>
      <c r="F1695" s="908">
        <f>GLOBAL_DER_FEV_2023!F1695</f>
        <v>0</v>
      </c>
      <c r="G1695" s="912">
        <f>GLOBAL_DER_FEV_2023!G1695</f>
        <v>0</v>
      </c>
      <c r="H1695" s="901">
        <f>GLOBAL_DER_FEV_2023!H1695</f>
        <v>0</v>
      </c>
      <c r="I1695" s="901">
        <f>GLOBAL_DER_FEV_2023!I1695</f>
        <v>0</v>
      </c>
      <c r="J1695" s="890">
        <f>GLOBAL_DER_FEV_2023!J1695</f>
        <v>0</v>
      </c>
      <c r="K1695" s="903" t="str">
        <f>GLOBAL_DER_FEV_2023!K1695</f>
        <v xml:space="preserve">     </v>
      </c>
      <c r="L1695" s="1137"/>
      <c r="M1695" s="1175">
        <f t="shared" si="127"/>
        <v>0</v>
      </c>
      <c r="N1695" s="1167">
        <f t="shared" si="126"/>
        <v>0</v>
      </c>
      <c r="O1695" s="1165"/>
      <c r="Q1695" s="317" t="str">
        <f t="shared" si="128"/>
        <v/>
      </c>
      <c r="R1695" s="317" t="str">
        <f t="shared" si="129"/>
        <v/>
      </c>
      <c r="S1695" s="317" t="str">
        <f t="shared" si="130"/>
        <v/>
      </c>
      <c r="T1695" s="317" t="str">
        <f>GLOBAL_DER_FEV_2023!S1695</f>
        <v/>
      </c>
      <c r="W1695" s="582">
        <v>0</v>
      </c>
      <c r="X1695" s="580"/>
      <c r="Y1695" s="583">
        <f>IF(GLOBAL_DER_FEV_2023!W1695=0,0,IF(GLOBAL_DER_FEV_2023!W1695&gt;0,"c","b"))</f>
        <v>0</v>
      </c>
    </row>
    <row r="1696" spans="1:25" ht="15" hidden="1" customHeight="1" x14ac:dyDescent="0.2">
      <c r="A1696" s="640" t="s">
        <v>165</v>
      </c>
      <c r="B1696" s="1036" t="str">
        <f>GLOBAL_DER_FEV_2023!B1696</f>
        <v/>
      </c>
      <c r="C1696" s="1072" t="str">
        <f>GLOBAL_DER_FEV_2023!C1696</f>
        <v/>
      </c>
      <c r="D1696" s="1141">
        <f>GLOBAL_DER_FEV_2023!D1696</f>
        <v>0</v>
      </c>
      <c r="E1696" s="907">
        <f>GLOBAL_DER_FEV_2023!E1696</f>
        <v>0</v>
      </c>
      <c r="F1696" s="908">
        <f>GLOBAL_DER_FEV_2023!F1696</f>
        <v>0</v>
      </c>
      <c r="G1696" s="912">
        <f>GLOBAL_DER_FEV_2023!G1696</f>
        <v>0</v>
      </c>
      <c r="H1696" s="901">
        <f>GLOBAL_DER_FEV_2023!H1696</f>
        <v>0</v>
      </c>
      <c r="I1696" s="901">
        <f>GLOBAL_DER_FEV_2023!I1696</f>
        <v>0</v>
      </c>
      <c r="J1696" s="890">
        <f>GLOBAL_DER_FEV_2023!J1696</f>
        <v>0</v>
      </c>
      <c r="K1696" s="903" t="str">
        <f>GLOBAL_DER_FEV_2023!K1696</f>
        <v xml:space="preserve">     </v>
      </c>
      <c r="L1696" s="1137"/>
      <c r="M1696" s="1175">
        <f t="shared" si="127"/>
        <v>0</v>
      </c>
      <c r="N1696" s="1167">
        <f t="shared" si="126"/>
        <v>0</v>
      </c>
      <c r="O1696" s="905"/>
      <c r="Q1696" s="317" t="str">
        <f t="shared" si="128"/>
        <v/>
      </c>
      <c r="R1696" s="317" t="str">
        <f t="shared" si="129"/>
        <v/>
      </c>
      <c r="S1696" s="317" t="str">
        <f t="shared" si="130"/>
        <v/>
      </c>
      <c r="T1696" s="317" t="str">
        <f>GLOBAL_DER_FEV_2023!S1696</f>
        <v/>
      </c>
      <c r="W1696" s="582">
        <v>0</v>
      </c>
      <c r="X1696" s="580"/>
      <c r="Y1696" s="583">
        <f>IF(GLOBAL_DER_FEV_2023!W1696=0,0,IF(GLOBAL_DER_FEV_2023!W1696&gt;0,"c","b"))</f>
        <v>0</v>
      </c>
    </row>
    <row r="1697" spans="1:25" ht="15" hidden="1" customHeight="1" x14ac:dyDescent="0.2">
      <c r="A1697" s="640" t="s">
        <v>165</v>
      </c>
      <c r="B1697" s="1036" t="str">
        <f>GLOBAL_DER_FEV_2023!B1697</f>
        <v/>
      </c>
      <c r="C1697" s="1072" t="str">
        <f>GLOBAL_DER_FEV_2023!C1697</f>
        <v/>
      </c>
      <c r="D1697" s="1141">
        <f>GLOBAL_DER_FEV_2023!D1697</f>
        <v>0</v>
      </c>
      <c r="E1697" s="907">
        <f>GLOBAL_DER_FEV_2023!E1697</f>
        <v>0</v>
      </c>
      <c r="F1697" s="908">
        <f>GLOBAL_DER_FEV_2023!F1697</f>
        <v>0</v>
      </c>
      <c r="G1697" s="912">
        <f>GLOBAL_DER_FEV_2023!G1697</f>
        <v>0</v>
      </c>
      <c r="H1697" s="901">
        <f>GLOBAL_DER_FEV_2023!H1697</f>
        <v>0</v>
      </c>
      <c r="I1697" s="901">
        <f>GLOBAL_DER_FEV_2023!I1697</f>
        <v>0</v>
      </c>
      <c r="J1697" s="890">
        <f>GLOBAL_DER_FEV_2023!J1697</f>
        <v>0</v>
      </c>
      <c r="K1697" s="903" t="str">
        <f>GLOBAL_DER_FEV_2023!K1697</f>
        <v xml:space="preserve">     </v>
      </c>
      <c r="L1697" s="1137"/>
      <c r="M1697" s="1175">
        <f t="shared" si="127"/>
        <v>0</v>
      </c>
      <c r="N1697" s="1167">
        <f t="shared" ref="N1697:N1760" si="131">IF(ISBLANK(L1697),0,IF(W1697=0,ROUND(L1697*M1697,2),IF(W1697="b",ROUNDDOWN(L1697*M1697,2),ROUNDUP(L1697*M1697,2))))</f>
        <v>0</v>
      </c>
      <c r="O1697" s="905"/>
      <c r="Q1697" s="317" t="str">
        <f t="shared" si="128"/>
        <v/>
      </c>
      <c r="R1697" s="317" t="str">
        <f t="shared" si="129"/>
        <v/>
      </c>
      <c r="S1697" s="317" t="str">
        <f t="shared" si="130"/>
        <v/>
      </c>
      <c r="T1697" s="317" t="str">
        <f>GLOBAL_DER_FEV_2023!S1697</f>
        <v/>
      </c>
      <c r="W1697" s="582">
        <v>0</v>
      </c>
      <c r="X1697" s="580"/>
      <c r="Y1697" s="583">
        <f>IF(GLOBAL_DER_FEV_2023!W1697=0,0,IF(GLOBAL_DER_FEV_2023!W1697&gt;0,"c","b"))</f>
        <v>0</v>
      </c>
    </row>
    <row r="1698" spans="1:25" ht="15" hidden="1" customHeight="1" x14ac:dyDescent="0.2">
      <c r="A1698" s="640" t="s">
        <v>165</v>
      </c>
      <c r="B1698" s="1036" t="str">
        <f>GLOBAL_DER_FEV_2023!B1698</f>
        <v/>
      </c>
      <c r="C1698" s="1072" t="str">
        <f>GLOBAL_DER_FEV_2023!C1698</f>
        <v/>
      </c>
      <c r="D1698" s="1141">
        <f>GLOBAL_DER_FEV_2023!D1698</f>
        <v>0</v>
      </c>
      <c r="E1698" s="907">
        <f>GLOBAL_DER_FEV_2023!E1698</f>
        <v>0</v>
      </c>
      <c r="F1698" s="908">
        <f>GLOBAL_DER_FEV_2023!F1698</f>
        <v>0</v>
      </c>
      <c r="G1698" s="912">
        <f>GLOBAL_DER_FEV_2023!G1698</f>
        <v>0</v>
      </c>
      <c r="H1698" s="901">
        <f>GLOBAL_DER_FEV_2023!H1698</f>
        <v>0</v>
      </c>
      <c r="I1698" s="901">
        <f>GLOBAL_DER_FEV_2023!I1698</f>
        <v>0</v>
      </c>
      <c r="J1698" s="890">
        <f>GLOBAL_DER_FEV_2023!J1698</f>
        <v>0</v>
      </c>
      <c r="K1698" s="903" t="str">
        <f>GLOBAL_DER_FEV_2023!K1698</f>
        <v xml:space="preserve">     </v>
      </c>
      <c r="L1698" s="1137"/>
      <c r="M1698" s="1175">
        <f t="shared" si="127"/>
        <v>0</v>
      </c>
      <c r="N1698" s="1167">
        <f t="shared" si="131"/>
        <v>0</v>
      </c>
      <c r="O1698" s="905"/>
      <c r="Q1698" s="317" t="str">
        <f t="shared" si="128"/>
        <v/>
      </c>
      <c r="R1698" s="317" t="str">
        <f t="shared" si="129"/>
        <v/>
      </c>
      <c r="S1698" s="317" t="str">
        <f t="shared" si="130"/>
        <v/>
      </c>
      <c r="T1698" s="317" t="str">
        <f>GLOBAL_DER_FEV_2023!S1698</f>
        <v/>
      </c>
      <c r="W1698" s="582">
        <v>0</v>
      </c>
      <c r="X1698" s="580"/>
      <c r="Y1698" s="583">
        <f>IF(GLOBAL_DER_FEV_2023!W1698=0,0,IF(GLOBAL_DER_FEV_2023!W1698&gt;0,"c","b"))</f>
        <v>0</v>
      </c>
    </row>
    <row r="1699" spans="1:25" ht="15" hidden="1" customHeight="1" x14ac:dyDescent="0.2">
      <c r="A1699" s="640" t="s">
        <v>165</v>
      </c>
      <c r="B1699" s="1036" t="str">
        <f>GLOBAL_DER_FEV_2023!B1699</f>
        <v/>
      </c>
      <c r="C1699" s="1072" t="str">
        <f>GLOBAL_DER_FEV_2023!C1699</f>
        <v/>
      </c>
      <c r="D1699" s="1141">
        <f>GLOBAL_DER_FEV_2023!D1699</f>
        <v>0</v>
      </c>
      <c r="E1699" s="907">
        <f>GLOBAL_DER_FEV_2023!E1699</f>
        <v>0</v>
      </c>
      <c r="F1699" s="908">
        <f>GLOBAL_DER_FEV_2023!F1699</f>
        <v>0</v>
      </c>
      <c r="G1699" s="912">
        <f>GLOBAL_DER_FEV_2023!G1699</f>
        <v>0</v>
      </c>
      <c r="H1699" s="901">
        <f>GLOBAL_DER_FEV_2023!H1699</f>
        <v>0</v>
      </c>
      <c r="I1699" s="901">
        <f>GLOBAL_DER_FEV_2023!I1699</f>
        <v>0</v>
      </c>
      <c r="J1699" s="890">
        <f>GLOBAL_DER_FEV_2023!J1699</f>
        <v>0</v>
      </c>
      <c r="K1699" s="903" t="str">
        <f>GLOBAL_DER_FEV_2023!K1699</f>
        <v xml:space="preserve">     </v>
      </c>
      <c r="L1699" s="1137"/>
      <c r="M1699" s="1175">
        <f t="shared" si="127"/>
        <v>0</v>
      </c>
      <c r="N1699" s="1167">
        <f t="shared" si="131"/>
        <v>0</v>
      </c>
      <c r="O1699" s="905"/>
      <c r="Q1699" s="317" t="str">
        <f t="shared" si="128"/>
        <v/>
      </c>
      <c r="R1699" s="317" t="str">
        <f t="shared" si="129"/>
        <v/>
      </c>
      <c r="S1699" s="317" t="str">
        <f t="shared" si="130"/>
        <v/>
      </c>
      <c r="T1699" s="317" t="str">
        <f>GLOBAL_DER_FEV_2023!S1699</f>
        <v/>
      </c>
      <c r="W1699" s="582">
        <v>0</v>
      </c>
      <c r="X1699" s="580"/>
      <c r="Y1699" s="583">
        <f>IF(GLOBAL_DER_FEV_2023!W1699=0,0,IF(GLOBAL_DER_FEV_2023!W1699&gt;0,"c","b"))</f>
        <v>0</v>
      </c>
    </row>
    <row r="1700" spans="1:25" ht="15" hidden="1" customHeight="1" x14ac:dyDescent="0.2">
      <c r="A1700" s="640" t="s">
        <v>165</v>
      </c>
      <c r="B1700" s="1036" t="str">
        <f>GLOBAL_DER_FEV_2023!B1700</f>
        <v/>
      </c>
      <c r="C1700" s="1072" t="str">
        <f>GLOBAL_DER_FEV_2023!C1700</f>
        <v/>
      </c>
      <c r="D1700" s="1141">
        <f>GLOBAL_DER_FEV_2023!D1700</f>
        <v>0</v>
      </c>
      <c r="E1700" s="907">
        <f>GLOBAL_DER_FEV_2023!E1700</f>
        <v>0</v>
      </c>
      <c r="F1700" s="908">
        <f>GLOBAL_DER_FEV_2023!F1700</f>
        <v>0</v>
      </c>
      <c r="G1700" s="912">
        <f>GLOBAL_DER_FEV_2023!G1700</f>
        <v>0</v>
      </c>
      <c r="H1700" s="901">
        <f>GLOBAL_DER_FEV_2023!H1700</f>
        <v>0</v>
      </c>
      <c r="I1700" s="901">
        <f>GLOBAL_DER_FEV_2023!I1700</f>
        <v>0</v>
      </c>
      <c r="J1700" s="890">
        <f>GLOBAL_DER_FEV_2023!J1700</f>
        <v>0</v>
      </c>
      <c r="K1700" s="903" t="str">
        <f>GLOBAL_DER_FEV_2023!K1700</f>
        <v xml:space="preserve">     </v>
      </c>
      <c r="L1700" s="1137"/>
      <c r="M1700" s="1175">
        <f t="shared" si="127"/>
        <v>0</v>
      </c>
      <c r="N1700" s="1167">
        <f t="shared" si="131"/>
        <v>0</v>
      </c>
      <c r="O1700" s="905"/>
      <c r="Q1700" s="317" t="str">
        <f t="shared" si="128"/>
        <v/>
      </c>
      <c r="R1700" s="317" t="str">
        <f t="shared" si="129"/>
        <v/>
      </c>
      <c r="S1700" s="317" t="str">
        <f t="shared" si="130"/>
        <v/>
      </c>
      <c r="T1700" s="317" t="str">
        <f>GLOBAL_DER_FEV_2023!S1700</f>
        <v/>
      </c>
      <c r="W1700" s="582">
        <v>0</v>
      </c>
      <c r="X1700" s="580"/>
      <c r="Y1700" s="583">
        <f>IF(GLOBAL_DER_FEV_2023!W1700=0,0,IF(GLOBAL_DER_FEV_2023!W1700&gt;0,"c","b"))</f>
        <v>0</v>
      </c>
    </row>
    <row r="1701" spans="1:25" ht="15" hidden="1" customHeight="1" x14ac:dyDescent="0.2">
      <c r="A1701" s="640" t="s">
        <v>165</v>
      </c>
      <c r="B1701" s="1036" t="str">
        <f>GLOBAL_DER_FEV_2023!B1701</f>
        <v/>
      </c>
      <c r="C1701" s="1072" t="str">
        <f>GLOBAL_DER_FEV_2023!C1701</f>
        <v/>
      </c>
      <c r="D1701" s="1141">
        <f>GLOBAL_DER_FEV_2023!D1701</f>
        <v>0</v>
      </c>
      <c r="E1701" s="907">
        <f>GLOBAL_DER_FEV_2023!E1701</f>
        <v>0</v>
      </c>
      <c r="F1701" s="908">
        <f>GLOBAL_DER_FEV_2023!F1701</f>
        <v>0</v>
      </c>
      <c r="G1701" s="912">
        <f>GLOBAL_DER_FEV_2023!G1701</f>
        <v>0</v>
      </c>
      <c r="H1701" s="901">
        <f>GLOBAL_DER_FEV_2023!H1701</f>
        <v>0</v>
      </c>
      <c r="I1701" s="901">
        <f>GLOBAL_DER_FEV_2023!I1701</f>
        <v>0</v>
      </c>
      <c r="J1701" s="890">
        <f>GLOBAL_DER_FEV_2023!J1701</f>
        <v>0</v>
      </c>
      <c r="K1701" s="903" t="str">
        <f>GLOBAL_DER_FEV_2023!K1701</f>
        <v xml:space="preserve">     </v>
      </c>
      <c r="L1701" s="1137"/>
      <c r="M1701" s="1175">
        <f t="shared" si="127"/>
        <v>0</v>
      </c>
      <c r="N1701" s="1167">
        <f t="shared" si="131"/>
        <v>0</v>
      </c>
      <c r="O1701" s="905"/>
      <c r="Q1701" s="317" t="str">
        <f t="shared" si="128"/>
        <v/>
      </c>
      <c r="R1701" s="317" t="str">
        <f t="shared" si="129"/>
        <v/>
      </c>
      <c r="S1701" s="317" t="str">
        <f t="shared" si="130"/>
        <v/>
      </c>
      <c r="T1701" s="317" t="str">
        <f>GLOBAL_DER_FEV_2023!S1701</f>
        <v/>
      </c>
      <c r="W1701" s="582">
        <v>0</v>
      </c>
      <c r="X1701" s="580"/>
      <c r="Y1701" s="583">
        <f>IF(GLOBAL_DER_FEV_2023!W1701=0,0,IF(GLOBAL_DER_FEV_2023!W1701&gt;0,"c","b"))</f>
        <v>0</v>
      </c>
    </row>
    <row r="1702" spans="1:25" ht="15" hidden="1" customHeight="1" x14ac:dyDescent="0.2">
      <c r="A1702" s="640" t="s">
        <v>165</v>
      </c>
      <c r="B1702" s="1036" t="str">
        <f>GLOBAL_DER_FEV_2023!B1702</f>
        <v/>
      </c>
      <c r="C1702" s="1072" t="str">
        <f>GLOBAL_DER_FEV_2023!C1702</f>
        <v/>
      </c>
      <c r="D1702" s="1141">
        <f>GLOBAL_DER_FEV_2023!D1702</f>
        <v>0</v>
      </c>
      <c r="E1702" s="907">
        <f>GLOBAL_DER_FEV_2023!E1702</f>
        <v>0</v>
      </c>
      <c r="F1702" s="908">
        <f>GLOBAL_DER_FEV_2023!F1702</f>
        <v>0</v>
      </c>
      <c r="G1702" s="912">
        <f>GLOBAL_DER_FEV_2023!G1702</f>
        <v>0</v>
      </c>
      <c r="H1702" s="901">
        <f>GLOBAL_DER_FEV_2023!H1702</f>
        <v>0</v>
      </c>
      <c r="I1702" s="901">
        <f>GLOBAL_DER_FEV_2023!I1702</f>
        <v>0</v>
      </c>
      <c r="J1702" s="890">
        <f>GLOBAL_DER_FEV_2023!J1702</f>
        <v>0</v>
      </c>
      <c r="K1702" s="903" t="str">
        <f>GLOBAL_DER_FEV_2023!K1702</f>
        <v xml:space="preserve">     </v>
      </c>
      <c r="L1702" s="1137"/>
      <c r="M1702" s="1175">
        <f t="shared" si="127"/>
        <v>0</v>
      </c>
      <c r="N1702" s="1167">
        <f t="shared" si="131"/>
        <v>0</v>
      </c>
      <c r="O1702" s="905"/>
      <c r="Q1702" s="317" t="str">
        <f t="shared" si="128"/>
        <v/>
      </c>
      <c r="R1702" s="317" t="str">
        <f t="shared" si="129"/>
        <v/>
      </c>
      <c r="S1702" s="317" t="str">
        <f t="shared" si="130"/>
        <v/>
      </c>
      <c r="T1702" s="317" t="str">
        <f>GLOBAL_DER_FEV_2023!S1702</f>
        <v/>
      </c>
      <c r="W1702" s="582">
        <v>0</v>
      </c>
      <c r="X1702" s="580"/>
      <c r="Y1702" s="583">
        <f>IF(GLOBAL_DER_FEV_2023!W1702=0,0,IF(GLOBAL_DER_FEV_2023!W1702&gt;0,"c","b"))</f>
        <v>0</v>
      </c>
    </row>
    <row r="1703" spans="1:25" ht="15" hidden="1" customHeight="1" x14ac:dyDescent="0.2">
      <c r="A1703" s="640" t="s">
        <v>165</v>
      </c>
      <c r="B1703" s="1036" t="str">
        <f>GLOBAL_DER_FEV_2023!B1703</f>
        <v/>
      </c>
      <c r="C1703" s="1072" t="str">
        <f>GLOBAL_DER_FEV_2023!C1703</f>
        <v/>
      </c>
      <c r="D1703" s="1141">
        <f>GLOBAL_DER_FEV_2023!D1703</f>
        <v>0</v>
      </c>
      <c r="E1703" s="907">
        <f>GLOBAL_DER_FEV_2023!E1703</f>
        <v>0</v>
      </c>
      <c r="F1703" s="908">
        <f>GLOBAL_DER_FEV_2023!F1703</f>
        <v>0</v>
      </c>
      <c r="G1703" s="912">
        <f>GLOBAL_DER_FEV_2023!G1703</f>
        <v>0</v>
      </c>
      <c r="H1703" s="901">
        <f>GLOBAL_DER_FEV_2023!H1703</f>
        <v>0</v>
      </c>
      <c r="I1703" s="901">
        <f>GLOBAL_DER_FEV_2023!I1703</f>
        <v>0</v>
      </c>
      <c r="J1703" s="890">
        <f>GLOBAL_DER_FEV_2023!J1703</f>
        <v>0</v>
      </c>
      <c r="K1703" s="903" t="str">
        <f>GLOBAL_DER_FEV_2023!K1703</f>
        <v xml:space="preserve">     </v>
      </c>
      <c r="L1703" s="1137"/>
      <c r="M1703" s="1175">
        <f t="shared" si="127"/>
        <v>0</v>
      </c>
      <c r="N1703" s="1167">
        <f t="shared" si="131"/>
        <v>0</v>
      </c>
      <c r="O1703" s="905"/>
      <c r="Q1703" s="317" t="str">
        <f t="shared" si="128"/>
        <v/>
      </c>
      <c r="R1703" s="317" t="str">
        <f t="shared" si="129"/>
        <v/>
      </c>
      <c r="S1703" s="317" t="str">
        <f t="shared" si="130"/>
        <v/>
      </c>
      <c r="T1703" s="317" t="str">
        <f>GLOBAL_DER_FEV_2023!S1703</f>
        <v/>
      </c>
      <c r="W1703" s="582">
        <v>0</v>
      </c>
      <c r="X1703" s="580"/>
      <c r="Y1703" s="583">
        <f>IF(GLOBAL_DER_FEV_2023!W1703=0,0,IF(GLOBAL_DER_FEV_2023!W1703&gt;0,"c","b"))</f>
        <v>0</v>
      </c>
    </row>
    <row r="1704" spans="1:25" ht="15" hidden="1" customHeight="1" x14ac:dyDescent="0.2">
      <c r="A1704" s="640" t="s">
        <v>165</v>
      </c>
      <c r="B1704" s="1036" t="str">
        <f>GLOBAL_DER_FEV_2023!B1704</f>
        <v/>
      </c>
      <c r="C1704" s="1072" t="str">
        <f>GLOBAL_DER_FEV_2023!C1704</f>
        <v/>
      </c>
      <c r="D1704" s="1141">
        <f>GLOBAL_DER_FEV_2023!D1704</f>
        <v>0</v>
      </c>
      <c r="E1704" s="907">
        <f>GLOBAL_DER_FEV_2023!E1704</f>
        <v>0</v>
      </c>
      <c r="F1704" s="908">
        <f>GLOBAL_DER_FEV_2023!F1704</f>
        <v>0</v>
      </c>
      <c r="G1704" s="912">
        <f>GLOBAL_DER_FEV_2023!G1704</f>
        <v>0</v>
      </c>
      <c r="H1704" s="901">
        <f>GLOBAL_DER_FEV_2023!H1704</f>
        <v>0</v>
      </c>
      <c r="I1704" s="901">
        <f>GLOBAL_DER_FEV_2023!I1704</f>
        <v>0</v>
      </c>
      <c r="J1704" s="890">
        <f>GLOBAL_DER_FEV_2023!J1704</f>
        <v>0</v>
      </c>
      <c r="K1704" s="903" t="str">
        <f>GLOBAL_DER_FEV_2023!K1704</f>
        <v xml:space="preserve">     </v>
      </c>
      <c r="L1704" s="1137"/>
      <c r="M1704" s="1175">
        <f t="shared" si="127"/>
        <v>0</v>
      </c>
      <c r="N1704" s="1167">
        <f t="shared" si="131"/>
        <v>0</v>
      </c>
      <c r="O1704" s="905"/>
      <c r="Q1704" s="317" t="str">
        <f t="shared" si="128"/>
        <v/>
      </c>
      <c r="R1704" s="317" t="str">
        <f t="shared" si="129"/>
        <v/>
      </c>
      <c r="S1704" s="317" t="str">
        <f t="shared" si="130"/>
        <v/>
      </c>
      <c r="T1704" s="317" t="str">
        <f>GLOBAL_DER_FEV_2023!S1704</f>
        <v/>
      </c>
      <c r="W1704" s="582">
        <v>0</v>
      </c>
      <c r="X1704" s="580"/>
      <c r="Y1704" s="583">
        <f>IF(GLOBAL_DER_FEV_2023!W1704=0,0,IF(GLOBAL_DER_FEV_2023!W1704&gt;0,"c","b"))</f>
        <v>0</v>
      </c>
    </row>
    <row r="1705" spans="1:25" ht="15" hidden="1" customHeight="1" x14ac:dyDescent="0.2">
      <c r="A1705" s="640" t="s">
        <v>165</v>
      </c>
      <c r="B1705" s="1036" t="str">
        <f>GLOBAL_DER_FEV_2023!B1705</f>
        <v/>
      </c>
      <c r="C1705" s="1072" t="str">
        <f>GLOBAL_DER_FEV_2023!C1705</f>
        <v/>
      </c>
      <c r="D1705" s="1141">
        <f>GLOBAL_DER_FEV_2023!D1705</f>
        <v>0</v>
      </c>
      <c r="E1705" s="907">
        <f>GLOBAL_DER_FEV_2023!E1705</f>
        <v>0</v>
      </c>
      <c r="F1705" s="908">
        <f>GLOBAL_DER_FEV_2023!F1705</f>
        <v>0</v>
      </c>
      <c r="G1705" s="912">
        <f>GLOBAL_DER_FEV_2023!G1705</f>
        <v>0</v>
      </c>
      <c r="H1705" s="901">
        <f>GLOBAL_DER_FEV_2023!H1705</f>
        <v>0</v>
      </c>
      <c r="I1705" s="901">
        <f>GLOBAL_DER_FEV_2023!I1705</f>
        <v>0</v>
      </c>
      <c r="J1705" s="890">
        <f>GLOBAL_DER_FEV_2023!J1705</f>
        <v>0</v>
      </c>
      <c r="K1705" s="903" t="str">
        <f>GLOBAL_DER_FEV_2023!K1705</f>
        <v xml:space="preserve">     </v>
      </c>
      <c r="L1705" s="1137"/>
      <c r="M1705" s="1175">
        <f t="shared" si="127"/>
        <v>0</v>
      </c>
      <c r="N1705" s="1167">
        <f t="shared" si="131"/>
        <v>0</v>
      </c>
      <c r="O1705" s="905"/>
      <c r="Q1705" s="317" t="str">
        <f t="shared" si="128"/>
        <v/>
      </c>
      <c r="R1705" s="317" t="str">
        <f t="shared" si="129"/>
        <v/>
      </c>
      <c r="S1705" s="317" t="str">
        <f t="shared" si="130"/>
        <v/>
      </c>
      <c r="T1705" s="317" t="str">
        <f>GLOBAL_DER_FEV_2023!S1705</f>
        <v/>
      </c>
      <c r="W1705" s="582">
        <v>0</v>
      </c>
      <c r="X1705" s="580"/>
      <c r="Y1705" s="583">
        <f>IF(GLOBAL_DER_FEV_2023!W1705=0,0,IF(GLOBAL_DER_FEV_2023!W1705&gt;0,"c","b"))</f>
        <v>0</v>
      </c>
    </row>
    <row r="1706" spans="1:25" ht="15" hidden="1" customHeight="1" x14ac:dyDescent="0.2">
      <c r="A1706" s="640" t="s">
        <v>165</v>
      </c>
      <c r="B1706" s="1036" t="str">
        <f>GLOBAL_DER_FEV_2023!B1706</f>
        <v/>
      </c>
      <c r="C1706" s="1072" t="str">
        <f>GLOBAL_DER_FEV_2023!C1706</f>
        <v/>
      </c>
      <c r="D1706" s="1141">
        <f>GLOBAL_DER_FEV_2023!D1706</f>
        <v>0</v>
      </c>
      <c r="E1706" s="907">
        <f>GLOBAL_DER_FEV_2023!E1706</f>
        <v>0</v>
      </c>
      <c r="F1706" s="908">
        <f>GLOBAL_DER_FEV_2023!F1706</f>
        <v>0</v>
      </c>
      <c r="G1706" s="912">
        <f>GLOBAL_DER_FEV_2023!G1706</f>
        <v>0</v>
      </c>
      <c r="H1706" s="901">
        <f>GLOBAL_DER_FEV_2023!H1706</f>
        <v>0</v>
      </c>
      <c r="I1706" s="901">
        <f>GLOBAL_DER_FEV_2023!I1706</f>
        <v>0</v>
      </c>
      <c r="J1706" s="890">
        <f>GLOBAL_DER_FEV_2023!J1706</f>
        <v>0</v>
      </c>
      <c r="K1706" s="903" t="str">
        <f>GLOBAL_DER_FEV_2023!K1706</f>
        <v xml:space="preserve">     </v>
      </c>
      <c r="L1706" s="1137"/>
      <c r="M1706" s="1175">
        <f t="shared" si="127"/>
        <v>0</v>
      </c>
      <c r="N1706" s="1167">
        <f t="shared" si="131"/>
        <v>0</v>
      </c>
      <c r="O1706" s="905"/>
      <c r="Q1706" s="317" t="str">
        <f t="shared" si="128"/>
        <v/>
      </c>
      <c r="R1706" s="317" t="str">
        <f t="shared" si="129"/>
        <v/>
      </c>
      <c r="S1706" s="317" t="str">
        <f t="shared" si="130"/>
        <v/>
      </c>
      <c r="T1706" s="317" t="str">
        <f>GLOBAL_DER_FEV_2023!S1706</f>
        <v/>
      </c>
      <c r="W1706" s="582">
        <v>0</v>
      </c>
      <c r="X1706" s="580"/>
      <c r="Y1706" s="583">
        <f>IF(GLOBAL_DER_FEV_2023!W1706=0,0,IF(GLOBAL_DER_FEV_2023!W1706&gt;0,"c","b"))</f>
        <v>0</v>
      </c>
    </row>
    <row r="1707" spans="1:25" ht="15" hidden="1" customHeight="1" x14ac:dyDescent="0.2">
      <c r="A1707" s="640" t="s">
        <v>165</v>
      </c>
      <c r="B1707" s="1036" t="str">
        <f>GLOBAL_DER_FEV_2023!B1707</f>
        <v/>
      </c>
      <c r="C1707" s="1072" t="str">
        <f>GLOBAL_DER_FEV_2023!C1707</f>
        <v/>
      </c>
      <c r="D1707" s="1141">
        <f>GLOBAL_DER_FEV_2023!D1707</f>
        <v>0</v>
      </c>
      <c r="E1707" s="907">
        <f>GLOBAL_DER_FEV_2023!E1707</f>
        <v>0</v>
      </c>
      <c r="F1707" s="908">
        <f>GLOBAL_DER_FEV_2023!F1707</f>
        <v>0</v>
      </c>
      <c r="G1707" s="912">
        <f>GLOBAL_DER_FEV_2023!G1707</f>
        <v>0</v>
      </c>
      <c r="H1707" s="901">
        <f>GLOBAL_DER_FEV_2023!H1707</f>
        <v>0</v>
      </c>
      <c r="I1707" s="901">
        <f>GLOBAL_DER_FEV_2023!I1707</f>
        <v>0</v>
      </c>
      <c r="J1707" s="890">
        <f>GLOBAL_DER_FEV_2023!J1707</f>
        <v>0</v>
      </c>
      <c r="K1707" s="903" t="str">
        <f>GLOBAL_DER_FEV_2023!K1707</f>
        <v xml:space="preserve">     </v>
      </c>
      <c r="L1707" s="1137"/>
      <c r="M1707" s="1175">
        <f t="shared" si="127"/>
        <v>0</v>
      </c>
      <c r="N1707" s="1167">
        <f t="shared" si="131"/>
        <v>0</v>
      </c>
      <c r="O1707" s="905"/>
      <c r="Q1707" s="317" t="str">
        <f t="shared" si="128"/>
        <v/>
      </c>
      <c r="R1707" s="317" t="str">
        <f t="shared" si="129"/>
        <v/>
      </c>
      <c r="S1707" s="317" t="str">
        <f t="shared" si="130"/>
        <v/>
      </c>
      <c r="T1707" s="317" t="str">
        <f>GLOBAL_DER_FEV_2023!S1707</f>
        <v/>
      </c>
      <c r="W1707" s="582">
        <v>0</v>
      </c>
      <c r="X1707" s="580"/>
      <c r="Y1707" s="583">
        <f>IF(GLOBAL_DER_FEV_2023!W1707=0,0,IF(GLOBAL_DER_FEV_2023!W1707&gt;0,"c","b"))</f>
        <v>0</v>
      </c>
    </row>
    <row r="1708" spans="1:25" ht="15" hidden="1" customHeight="1" x14ac:dyDescent="0.2">
      <c r="A1708" s="640" t="s">
        <v>165</v>
      </c>
      <c r="B1708" s="1036" t="str">
        <f>GLOBAL_DER_FEV_2023!B1708</f>
        <v/>
      </c>
      <c r="C1708" s="1072" t="str">
        <f>GLOBAL_DER_FEV_2023!C1708</f>
        <v/>
      </c>
      <c r="D1708" s="1141">
        <f>GLOBAL_DER_FEV_2023!D1708</f>
        <v>0</v>
      </c>
      <c r="E1708" s="907">
        <f>GLOBAL_DER_FEV_2023!E1708</f>
        <v>0</v>
      </c>
      <c r="F1708" s="908">
        <f>GLOBAL_DER_FEV_2023!F1708</f>
        <v>0</v>
      </c>
      <c r="G1708" s="912">
        <f>GLOBAL_DER_FEV_2023!G1708</f>
        <v>0</v>
      </c>
      <c r="H1708" s="901">
        <f>GLOBAL_DER_FEV_2023!H1708</f>
        <v>0</v>
      </c>
      <c r="I1708" s="901">
        <f>GLOBAL_DER_FEV_2023!I1708</f>
        <v>0</v>
      </c>
      <c r="J1708" s="890">
        <f>GLOBAL_DER_FEV_2023!J1708</f>
        <v>0</v>
      </c>
      <c r="K1708" s="903" t="str">
        <f>GLOBAL_DER_FEV_2023!K1708</f>
        <v xml:space="preserve">     </v>
      </c>
      <c r="L1708" s="1137"/>
      <c r="M1708" s="1175">
        <f t="shared" si="127"/>
        <v>0</v>
      </c>
      <c r="N1708" s="1167">
        <f t="shared" si="131"/>
        <v>0</v>
      </c>
      <c r="O1708" s="905"/>
      <c r="Q1708" s="317" t="str">
        <f t="shared" si="128"/>
        <v/>
      </c>
      <c r="R1708" s="317" t="str">
        <f t="shared" si="129"/>
        <v/>
      </c>
      <c r="S1708" s="317" t="str">
        <f t="shared" si="130"/>
        <v/>
      </c>
      <c r="T1708" s="317" t="str">
        <f>GLOBAL_DER_FEV_2023!S1708</f>
        <v/>
      </c>
      <c r="W1708" s="582">
        <v>0</v>
      </c>
      <c r="X1708" s="580"/>
      <c r="Y1708" s="583">
        <f>IF(GLOBAL_DER_FEV_2023!W1708=0,0,IF(GLOBAL_DER_FEV_2023!W1708&gt;0,"c","b"))</f>
        <v>0</v>
      </c>
    </row>
    <row r="1709" spans="1:25" ht="15" hidden="1" customHeight="1" x14ac:dyDescent="0.2">
      <c r="A1709" s="640" t="s">
        <v>165</v>
      </c>
      <c r="B1709" s="1036" t="str">
        <f>GLOBAL_DER_FEV_2023!B1709</f>
        <v/>
      </c>
      <c r="C1709" s="1072" t="str">
        <f>GLOBAL_DER_FEV_2023!C1709</f>
        <v/>
      </c>
      <c r="D1709" s="1141">
        <f>GLOBAL_DER_FEV_2023!D1709</f>
        <v>0</v>
      </c>
      <c r="E1709" s="907">
        <f>GLOBAL_DER_FEV_2023!E1709</f>
        <v>0</v>
      </c>
      <c r="F1709" s="908">
        <f>GLOBAL_DER_FEV_2023!F1709</f>
        <v>0</v>
      </c>
      <c r="G1709" s="912">
        <f>GLOBAL_DER_FEV_2023!G1709</f>
        <v>0</v>
      </c>
      <c r="H1709" s="901">
        <f>GLOBAL_DER_FEV_2023!H1709</f>
        <v>0</v>
      </c>
      <c r="I1709" s="901">
        <f>GLOBAL_DER_FEV_2023!I1709</f>
        <v>0</v>
      </c>
      <c r="J1709" s="890">
        <f>GLOBAL_DER_FEV_2023!J1709</f>
        <v>0</v>
      </c>
      <c r="K1709" s="903" t="str">
        <f>GLOBAL_DER_FEV_2023!K1709</f>
        <v xml:space="preserve">     </v>
      </c>
      <c r="L1709" s="1137"/>
      <c r="M1709" s="1175">
        <f t="shared" si="127"/>
        <v>0</v>
      </c>
      <c r="N1709" s="1167">
        <f t="shared" si="131"/>
        <v>0</v>
      </c>
      <c r="O1709" s="905"/>
      <c r="Q1709" s="317" t="str">
        <f t="shared" si="128"/>
        <v/>
      </c>
      <c r="R1709" s="317" t="str">
        <f t="shared" si="129"/>
        <v/>
      </c>
      <c r="S1709" s="317" t="str">
        <f t="shared" si="130"/>
        <v/>
      </c>
      <c r="T1709" s="317" t="str">
        <f>GLOBAL_DER_FEV_2023!S1709</f>
        <v/>
      </c>
      <c r="W1709" s="582">
        <v>0</v>
      </c>
      <c r="X1709" s="580"/>
      <c r="Y1709" s="583">
        <f>IF(GLOBAL_DER_FEV_2023!W1709=0,0,IF(GLOBAL_DER_FEV_2023!W1709&gt;0,"c","b"))</f>
        <v>0</v>
      </c>
    </row>
    <row r="1710" spans="1:25" ht="15" hidden="1" customHeight="1" x14ac:dyDescent="0.2">
      <c r="A1710" s="640" t="s">
        <v>165</v>
      </c>
      <c r="B1710" s="1036" t="str">
        <f>GLOBAL_DER_FEV_2023!B1710</f>
        <v/>
      </c>
      <c r="C1710" s="1072" t="str">
        <f>GLOBAL_DER_FEV_2023!C1710</f>
        <v/>
      </c>
      <c r="D1710" s="1141">
        <f>GLOBAL_DER_FEV_2023!D1710</f>
        <v>0</v>
      </c>
      <c r="E1710" s="907">
        <f>GLOBAL_DER_FEV_2023!E1710</f>
        <v>0</v>
      </c>
      <c r="F1710" s="908">
        <f>GLOBAL_DER_FEV_2023!F1710</f>
        <v>0</v>
      </c>
      <c r="G1710" s="912">
        <f>GLOBAL_DER_FEV_2023!G1710</f>
        <v>0</v>
      </c>
      <c r="H1710" s="901">
        <f>GLOBAL_DER_FEV_2023!H1710</f>
        <v>0</v>
      </c>
      <c r="I1710" s="901">
        <f>GLOBAL_DER_FEV_2023!I1710</f>
        <v>0</v>
      </c>
      <c r="J1710" s="890">
        <f>GLOBAL_DER_FEV_2023!J1710</f>
        <v>0</v>
      </c>
      <c r="K1710" s="903" t="str">
        <f>GLOBAL_DER_FEV_2023!K1710</f>
        <v xml:space="preserve">     </v>
      </c>
      <c r="L1710" s="1137"/>
      <c r="M1710" s="1175">
        <f t="shared" si="127"/>
        <v>0</v>
      </c>
      <c r="N1710" s="1167">
        <f t="shared" si="131"/>
        <v>0</v>
      </c>
      <c r="O1710" s="905"/>
      <c r="Q1710" s="317" t="str">
        <f t="shared" si="128"/>
        <v/>
      </c>
      <c r="R1710" s="317" t="str">
        <f t="shared" si="129"/>
        <v/>
      </c>
      <c r="S1710" s="317" t="str">
        <f t="shared" si="130"/>
        <v/>
      </c>
      <c r="T1710" s="317" t="str">
        <f>GLOBAL_DER_FEV_2023!S1710</f>
        <v/>
      </c>
      <c r="W1710" s="582">
        <v>0</v>
      </c>
      <c r="X1710" s="580"/>
      <c r="Y1710" s="583">
        <f>IF(GLOBAL_DER_FEV_2023!W1710=0,0,IF(GLOBAL_DER_FEV_2023!W1710&gt;0,"c","b"))</f>
        <v>0</v>
      </c>
    </row>
    <row r="1711" spans="1:25" ht="15" hidden="1" customHeight="1" x14ac:dyDescent="0.2">
      <c r="A1711" s="640" t="s">
        <v>165</v>
      </c>
      <c r="B1711" s="1036" t="str">
        <f>GLOBAL_DER_FEV_2023!B1711</f>
        <v/>
      </c>
      <c r="C1711" s="1072" t="str">
        <f>GLOBAL_DER_FEV_2023!C1711</f>
        <v/>
      </c>
      <c r="D1711" s="1141">
        <f>GLOBAL_DER_FEV_2023!D1711</f>
        <v>0</v>
      </c>
      <c r="E1711" s="907">
        <f>GLOBAL_DER_FEV_2023!E1711</f>
        <v>0</v>
      </c>
      <c r="F1711" s="908">
        <f>GLOBAL_DER_FEV_2023!F1711</f>
        <v>0</v>
      </c>
      <c r="G1711" s="912">
        <f>GLOBAL_DER_FEV_2023!G1711</f>
        <v>0</v>
      </c>
      <c r="H1711" s="901">
        <f>GLOBAL_DER_FEV_2023!H1711</f>
        <v>0</v>
      </c>
      <c r="I1711" s="901">
        <f>GLOBAL_DER_FEV_2023!I1711</f>
        <v>0</v>
      </c>
      <c r="J1711" s="890">
        <f>GLOBAL_DER_FEV_2023!J1711</f>
        <v>0</v>
      </c>
      <c r="K1711" s="903" t="str">
        <f>GLOBAL_DER_FEV_2023!K1711</f>
        <v xml:space="preserve">     </v>
      </c>
      <c r="L1711" s="1137"/>
      <c r="M1711" s="1175">
        <f t="shared" si="127"/>
        <v>0</v>
      </c>
      <c r="N1711" s="1167">
        <f t="shared" si="131"/>
        <v>0</v>
      </c>
      <c r="O1711" s="905"/>
      <c r="Q1711" s="317" t="str">
        <f t="shared" si="128"/>
        <v/>
      </c>
      <c r="R1711" s="317" t="str">
        <f t="shared" si="129"/>
        <v/>
      </c>
      <c r="S1711" s="317" t="str">
        <f t="shared" si="130"/>
        <v/>
      </c>
      <c r="T1711" s="317" t="str">
        <f>GLOBAL_DER_FEV_2023!S1711</f>
        <v/>
      </c>
      <c r="W1711" s="582">
        <v>0</v>
      </c>
      <c r="X1711" s="580"/>
      <c r="Y1711" s="583">
        <f>IF(GLOBAL_DER_FEV_2023!W1711=0,0,IF(GLOBAL_DER_FEV_2023!W1711&gt;0,"c","b"))</f>
        <v>0</v>
      </c>
    </row>
    <row r="1712" spans="1:25" ht="15" hidden="1" customHeight="1" x14ac:dyDescent="0.2">
      <c r="A1712" s="640" t="s">
        <v>165</v>
      </c>
      <c r="B1712" s="1036" t="str">
        <f>GLOBAL_DER_FEV_2023!B1712</f>
        <v/>
      </c>
      <c r="C1712" s="1072" t="str">
        <f>GLOBAL_DER_FEV_2023!C1712</f>
        <v/>
      </c>
      <c r="D1712" s="1141">
        <f>GLOBAL_DER_FEV_2023!D1712</f>
        <v>0</v>
      </c>
      <c r="E1712" s="907">
        <f>GLOBAL_DER_FEV_2023!E1712</f>
        <v>0</v>
      </c>
      <c r="F1712" s="908">
        <f>GLOBAL_DER_FEV_2023!F1712</f>
        <v>0</v>
      </c>
      <c r="G1712" s="912">
        <f>GLOBAL_DER_FEV_2023!G1712</f>
        <v>0</v>
      </c>
      <c r="H1712" s="901">
        <f>GLOBAL_DER_FEV_2023!H1712</f>
        <v>0</v>
      </c>
      <c r="I1712" s="901">
        <f>GLOBAL_DER_FEV_2023!I1712</f>
        <v>0</v>
      </c>
      <c r="J1712" s="890">
        <f>GLOBAL_DER_FEV_2023!J1712</f>
        <v>0</v>
      </c>
      <c r="K1712" s="903" t="str">
        <f>GLOBAL_DER_FEV_2023!K1712</f>
        <v xml:space="preserve">     </v>
      </c>
      <c r="L1712" s="1137"/>
      <c r="M1712" s="1175">
        <f t="shared" si="127"/>
        <v>0</v>
      </c>
      <c r="N1712" s="1167">
        <f t="shared" si="131"/>
        <v>0</v>
      </c>
      <c r="O1712" s="905"/>
      <c r="Q1712" s="317" t="str">
        <f t="shared" si="128"/>
        <v/>
      </c>
      <c r="R1712" s="317" t="str">
        <f t="shared" si="129"/>
        <v/>
      </c>
      <c r="S1712" s="317" t="str">
        <f t="shared" si="130"/>
        <v/>
      </c>
      <c r="T1712" s="317" t="str">
        <f>GLOBAL_DER_FEV_2023!S1712</f>
        <v/>
      </c>
      <c r="W1712" s="582">
        <v>0</v>
      </c>
      <c r="X1712" s="580"/>
      <c r="Y1712" s="583">
        <f>IF(GLOBAL_DER_FEV_2023!W1712=0,0,IF(GLOBAL_DER_FEV_2023!W1712&gt;0,"c","b"))</f>
        <v>0</v>
      </c>
    </row>
    <row r="1713" spans="1:25" ht="15" hidden="1" customHeight="1" x14ac:dyDescent="0.2">
      <c r="A1713" s="640" t="s">
        <v>165</v>
      </c>
      <c r="B1713" s="1036" t="str">
        <f>GLOBAL_DER_FEV_2023!B1713</f>
        <v/>
      </c>
      <c r="C1713" s="1072" t="str">
        <f>GLOBAL_DER_FEV_2023!C1713</f>
        <v/>
      </c>
      <c r="D1713" s="1141">
        <f>GLOBAL_DER_FEV_2023!D1713</f>
        <v>0</v>
      </c>
      <c r="E1713" s="907">
        <f>GLOBAL_DER_FEV_2023!E1713</f>
        <v>0</v>
      </c>
      <c r="F1713" s="908">
        <f>GLOBAL_DER_FEV_2023!F1713</f>
        <v>0</v>
      </c>
      <c r="G1713" s="912">
        <f>GLOBAL_DER_FEV_2023!G1713</f>
        <v>0</v>
      </c>
      <c r="H1713" s="901">
        <f>GLOBAL_DER_FEV_2023!H1713</f>
        <v>0</v>
      </c>
      <c r="I1713" s="901">
        <f>GLOBAL_DER_FEV_2023!I1713</f>
        <v>0</v>
      </c>
      <c r="J1713" s="890">
        <f>GLOBAL_DER_FEV_2023!J1713</f>
        <v>0</v>
      </c>
      <c r="K1713" s="903" t="str">
        <f>GLOBAL_DER_FEV_2023!K1713</f>
        <v xml:space="preserve">     </v>
      </c>
      <c r="L1713" s="1137"/>
      <c r="M1713" s="1175">
        <f t="shared" si="127"/>
        <v>0</v>
      </c>
      <c r="N1713" s="1167">
        <f t="shared" si="131"/>
        <v>0</v>
      </c>
      <c r="O1713" s="905"/>
      <c r="Q1713" s="317" t="str">
        <f t="shared" si="128"/>
        <v/>
      </c>
      <c r="R1713" s="317" t="str">
        <f t="shared" si="129"/>
        <v/>
      </c>
      <c r="S1713" s="317" t="str">
        <f t="shared" si="130"/>
        <v/>
      </c>
      <c r="T1713" s="317" t="str">
        <f>GLOBAL_DER_FEV_2023!S1713</f>
        <v/>
      </c>
      <c r="W1713" s="582">
        <v>0</v>
      </c>
      <c r="X1713" s="580"/>
      <c r="Y1713" s="583">
        <f>IF(GLOBAL_DER_FEV_2023!W1713=0,0,IF(GLOBAL_DER_FEV_2023!W1713&gt;0,"c","b"))</f>
        <v>0</v>
      </c>
    </row>
    <row r="1714" spans="1:25" ht="15" hidden="1" customHeight="1" x14ac:dyDescent="0.2">
      <c r="A1714" s="640" t="s">
        <v>165</v>
      </c>
      <c r="B1714" s="1036" t="str">
        <f>GLOBAL_DER_FEV_2023!B1714</f>
        <v/>
      </c>
      <c r="C1714" s="1072" t="str">
        <f>GLOBAL_DER_FEV_2023!C1714</f>
        <v/>
      </c>
      <c r="D1714" s="1141">
        <f>GLOBAL_DER_FEV_2023!D1714</f>
        <v>0</v>
      </c>
      <c r="E1714" s="907">
        <f>GLOBAL_DER_FEV_2023!E1714</f>
        <v>0</v>
      </c>
      <c r="F1714" s="908">
        <f>GLOBAL_DER_FEV_2023!F1714</f>
        <v>0</v>
      </c>
      <c r="G1714" s="912">
        <f>GLOBAL_DER_FEV_2023!G1714</f>
        <v>0</v>
      </c>
      <c r="H1714" s="901">
        <f>GLOBAL_DER_FEV_2023!H1714</f>
        <v>0</v>
      </c>
      <c r="I1714" s="901">
        <f>GLOBAL_DER_FEV_2023!I1714</f>
        <v>0</v>
      </c>
      <c r="J1714" s="890">
        <f>GLOBAL_DER_FEV_2023!J1714</f>
        <v>0</v>
      </c>
      <c r="K1714" s="903" t="str">
        <f>GLOBAL_DER_FEV_2023!K1714</f>
        <v xml:space="preserve">     </v>
      </c>
      <c r="L1714" s="1137"/>
      <c r="M1714" s="1175">
        <f t="shared" si="127"/>
        <v>0</v>
      </c>
      <c r="N1714" s="1167">
        <f t="shared" si="131"/>
        <v>0</v>
      </c>
      <c r="O1714" s="905"/>
      <c r="Q1714" s="317" t="str">
        <f t="shared" si="128"/>
        <v/>
      </c>
      <c r="R1714" s="317" t="str">
        <f t="shared" si="129"/>
        <v/>
      </c>
      <c r="S1714" s="317" t="str">
        <f t="shared" si="130"/>
        <v/>
      </c>
      <c r="T1714" s="317" t="str">
        <f>GLOBAL_DER_FEV_2023!S1714</f>
        <v/>
      </c>
      <c r="W1714" s="582">
        <v>0</v>
      </c>
      <c r="X1714" s="580"/>
      <c r="Y1714" s="583">
        <f>IF(GLOBAL_DER_FEV_2023!W1714=0,0,IF(GLOBAL_DER_FEV_2023!W1714&gt;0,"c","b"))</f>
        <v>0</v>
      </c>
    </row>
    <row r="1715" spans="1:25" ht="15" hidden="1" customHeight="1" x14ac:dyDescent="0.2">
      <c r="A1715" s="640" t="s">
        <v>165</v>
      </c>
      <c r="B1715" s="1036" t="str">
        <f>GLOBAL_DER_FEV_2023!B1715</f>
        <v/>
      </c>
      <c r="C1715" s="1072" t="str">
        <f>GLOBAL_DER_FEV_2023!C1715</f>
        <v/>
      </c>
      <c r="D1715" s="1141">
        <f>GLOBAL_DER_FEV_2023!D1715</f>
        <v>0</v>
      </c>
      <c r="E1715" s="907">
        <f>GLOBAL_DER_FEV_2023!E1715</f>
        <v>0</v>
      </c>
      <c r="F1715" s="908">
        <f>GLOBAL_DER_FEV_2023!F1715</f>
        <v>0</v>
      </c>
      <c r="G1715" s="912">
        <f>GLOBAL_DER_FEV_2023!G1715</f>
        <v>0</v>
      </c>
      <c r="H1715" s="901">
        <f>GLOBAL_DER_FEV_2023!H1715</f>
        <v>0</v>
      </c>
      <c r="I1715" s="901">
        <f>GLOBAL_DER_FEV_2023!I1715</f>
        <v>0</v>
      </c>
      <c r="J1715" s="890">
        <f>GLOBAL_DER_FEV_2023!J1715</f>
        <v>0</v>
      </c>
      <c r="K1715" s="903" t="str">
        <f>GLOBAL_DER_FEV_2023!K1715</f>
        <v xml:space="preserve">     </v>
      </c>
      <c r="L1715" s="1137"/>
      <c r="M1715" s="1175">
        <f t="shared" si="127"/>
        <v>0</v>
      </c>
      <c r="N1715" s="1167">
        <f t="shared" si="131"/>
        <v>0</v>
      </c>
      <c r="O1715" s="905"/>
      <c r="Q1715" s="317" t="str">
        <f t="shared" si="128"/>
        <v/>
      </c>
      <c r="R1715" s="317" t="str">
        <f t="shared" si="129"/>
        <v/>
      </c>
      <c r="S1715" s="317" t="str">
        <f t="shared" si="130"/>
        <v/>
      </c>
      <c r="T1715" s="317" t="str">
        <f>GLOBAL_DER_FEV_2023!S1715</f>
        <v/>
      </c>
      <c r="W1715" s="582">
        <v>0</v>
      </c>
      <c r="X1715" s="580"/>
      <c r="Y1715" s="583">
        <f>IF(GLOBAL_DER_FEV_2023!W1715=0,0,IF(GLOBAL_DER_FEV_2023!W1715&gt;0,"c","b"))</f>
        <v>0</v>
      </c>
    </row>
    <row r="1716" spans="1:25" ht="15" hidden="1" customHeight="1" x14ac:dyDescent="0.2">
      <c r="A1716" s="640" t="s">
        <v>165</v>
      </c>
      <c r="B1716" s="1036" t="str">
        <f>GLOBAL_DER_FEV_2023!B1716</f>
        <v/>
      </c>
      <c r="C1716" s="1072" t="str">
        <f>GLOBAL_DER_FEV_2023!C1716</f>
        <v/>
      </c>
      <c r="D1716" s="1141">
        <f>GLOBAL_DER_FEV_2023!D1716</f>
        <v>0</v>
      </c>
      <c r="E1716" s="907">
        <f>GLOBAL_DER_FEV_2023!E1716</f>
        <v>0</v>
      </c>
      <c r="F1716" s="908">
        <f>GLOBAL_DER_FEV_2023!F1716</f>
        <v>0</v>
      </c>
      <c r="G1716" s="912">
        <f>GLOBAL_DER_FEV_2023!G1716</f>
        <v>0</v>
      </c>
      <c r="H1716" s="901">
        <f>GLOBAL_DER_FEV_2023!H1716</f>
        <v>0</v>
      </c>
      <c r="I1716" s="901">
        <f>GLOBAL_DER_FEV_2023!I1716</f>
        <v>0</v>
      </c>
      <c r="J1716" s="890">
        <f>GLOBAL_DER_FEV_2023!J1716</f>
        <v>0</v>
      </c>
      <c r="K1716" s="903" t="str">
        <f>GLOBAL_DER_FEV_2023!K1716</f>
        <v xml:space="preserve">     </v>
      </c>
      <c r="L1716" s="1137"/>
      <c r="M1716" s="1175">
        <f t="shared" si="127"/>
        <v>0</v>
      </c>
      <c r="N1716" s="1167">
        <f t="shared" si="131"/>
        <v>0</v>
      </c>
      <c r="O1716" s="905"/>
      <c r="Q1716" s="317" t="str">
        <f t="shared" si="128"/>
        <v/>
      </c>
      <c r="R1716" s="317" t="str">
        <f t="shared" si="129"/>
        <v/>
      </c>
      <c r="S1716" s="317" t="str">
        <f t="shared" si="130"/>
        <v/>
      </c>
      <c r="T1716" s="317" t="str">
        <f>GLOBAL_DER_FEV_2023!S1716</f>
        <v/>
      </c>
      <c r="W1716" s="582">
        <v>0</v>
      </c>
      <c r="X1716" s="580"/>
      <c r="Y1716" s="583">
        <f>IF(GLOBAL_DER_FEV_2023!W1716=0,0,IF(GLOBAL_DER_FEV_2023!W1716&gt;0,"c","b"))</f>
        <v>0</v>
      </c>
    </row>
    <row r="1717" spans="1:25" ht="15" hidden="1" customHeight="1" x14ac:dyDescent="0.2">
      <c r="A1717" s="640" t="s">
        <v>165</v>
      </c>
      <c r="B1717" s="1036" t="str">
        <f>GLOBAL_DER_FEV_2023!B1717</f>
        <v/>
      </c>
      <c r="C1717" s="1072" t="str">
        <f>GLOBAL_DER_FEV_2023!C1717</f>
        <v/>
      </c>
      <c r="D1717" s="1141">
        <f>GLOBAL_DER_FEV_2023!D1717</f>
        <v>0</v>
      </c>
      <c r="E1717" s="907">
        <f>GLOBAL_DER_FEV_2023!E1717</f>
        <v>0</v>
      </c>
      <c r="F1717" s="908">
        <f>GLOBAL_DER_FEV_2023!F1717</f>
        <v>0</v>
      </c>
      <c r="G1717" s="912">
        <f>GLOBAL_DER_FEV_2023!G1717</f>
        <v>0</v>
      </c>
      <c r="H1717" s="901">
        <f>GLOBAL_DER_FEV_2023!H1717</f>
        <v>0</v>
      </c>
      <c r="I1717" s="901">
        <f>GLOBAL_DER_FEV_2023!I1717</f>
        <v>0</v>
      </c>
      <c r="J1717" s="890">
        <f>GLOBAL_DER_FEV_2023!J1717</f>
        <v>0</v>
      </c>
      <c r="K1717" s="903" t="str">
        <f>GLOBAL_DER_FEV_2023!K1717</f>
        <v xml:space="preserve">     </v>
      </c>
      <c r="L1717" s="1137"/>
      <c r="M1717" s="1175">
        <f t="shared" si="127"/>
        <v>0</v>
      </c>
      <c r="N1717" s="1167">
        <f t="shared" si="131"/>
        <v>0</v>
      </c>
      <c r="O1717" s="905"/>
      <c r="Q1717" s="317" t="str">
        <f t="shared" si="128"/>
        <v/>
      </c>
      <c r="R1717" s="317" t="str">
        <f t="shared" si="129"/>
        <v/>
      </c>
      <c r="S1717" s="317" t="str">
        <f t="shared" si="130"/>
        <v/>
      </c>
      <c r="T1717" s="317" t="str">
        <f>GLOBAL_DER_FEV_2023!S1717</f>
        <v/>
      </c>
      <c r="W1717" s="582">
        <v>0</v>
      </c>
      <c r="X1717" s="580"/>
      <c r="Y1717" s="583">
        <f>IF(GLOBAL_DER_FEV_2023!W1717=0,0,IF(GLOBAL_DER_FEV_2023!W1717&gt;0,"c","b"))</f>
        <v>0</v>
      </c>
    </row>
    <row r="1718" spans="1:25" ht="15" hidden="1" customHeight="1" x14ac:dyDescent="0.2">
      <c r="A1718" s="640" t="s">
        <v>165</v>
      </c>
      <c r="B1718" s="1036" t="str">
        <f>GLOBAL_DER_FEV_2023!B1718</f>
        <v/>
      </c>
      <c r="C1718" s="1072" t="str">
        <f>GLOBAL_DER_FEV_2023!C1718</f>
        <v/>
      </c>
      <c r="D1718" s="1141">
        <f>GLOBAL_DER_FEV_2023!D1718</f>
        <v>0</v>
      </c>
      <c r="E1718" s="907">
        <f>GLOBAL_DER_FEV_2023!E1718</f>
        <v>0</v>
      </c>
      <c r="F1718" s="908">
        <f>GLOBAL_DER_FEV_2023!F1718</f>
        <v>0</v>
      </c>
      <c r="G1718" s="912">
        <f>GLOBAL_DER_FEV_2023!G1718</f>
        <v>0</v>
      </c>
      <c r="H1718" s="901">
        <f>GLOBAL_DER_FEV_2023!H1718</f>
        <v>0</v>
      </c>
      <c r="I1718" s="901">
        <f>GLOBAL_DER_FEV_2023!I1718</f>
        <v>0</v>
      </c>
      <c r="J1718" s="890">
        <f>GLOBAL_DER_FEV_2023!J1718</f>
        <v>0</v>
      </c>
      <c r="K1718" s="903" t="str">
        <f>GLOBAL_DER_FEV_2023!K1718</f>
        <v xml:space="preserve">     </v>
      </c>
      <c r="L1718" s="1137"/>
      <c r="M1718" s="1175">
        <f t="shared" si="127"/>
        <v>0</v>
      </c>
      <c r="N1718" s="1167">
        <f t="shared" si="131"/>
        <v>0</v>
      </c>
      <c r="O1718" s="905"/>
      <c r="Q1718" s="317" t="str">
        <f t="shared" si="128"/>
        <v/>
      </c>
      <c r="R1718" s="317" t="str">
        <f t="shared" si="129"/>
        <v/>
      </c>
      <c r="S1718" s="317" t="str">
        <f t="shared" si="130"/>
        <v/>
      </c>
      <c r="T1718" s="317" t="str">
        <f>GLOBAL_DER_FEV_2023!S1718</f>
        <v/>
      </c>
      <c r="W1718" s="582">
        <v>0</v>
      </c>
      <c r="X1718" s="580"/>
      <c r="Y1718" s="583">
        <f>IF(GLOBAL_DER_FEV_2023!W1718=0,0,IF(GLOBAL_DER_FEV_2023!W1718&gt;0,"c","b"))</f>
        <v>0</v>
      </c>
    </row>
    <row r="1719" spans="1:25" ht="15" hidden="1" customHeight="1" thickBot="1" x14ac:dyDescent="0.25">
      <c r="A1719" s="640" t="s">
        <v>165</v>
      </c>
      <c r="B1719" s="1036" t="str">
        <f>GLOBAL_DER_FEV_2023!B1719</f>
        <v/>
      </c>
      <c r="C1719" s="1072" t="str">
        <f>GLOBAL_DER_FEV_2023!C1719</f>
        <v/>
      </c>
      <c r="D1719" s="1141">
        <f>GLOBAL_DER_FEV_2023!D1719</f>
        <v>0</v>
      </c>
      <c r="E1719" s="907">
        <f>GLOBAL_DER_FEV_2023!E1719</f>
        <v>0</v>
      </c>
      <c r="F1719" s="908">
        <f>GLOBAL_DER_FEV_2023!F1719</f>
        <v>0</v>
      </c>
      <c r="G1719" s="912">
        <f>GLOBAL_DER_FEV_2023!G1719</f>
        <v>0</v>
      </c>
      <c r="H1719" s="901">
        <f>GLOBAL_DER_FEV_2023!H1719</f>
        <v>0</v>
      </c>
      <c r="I1719" s="901">
        <f>GLOBAL_DER_FEV_2023!I1719</f>
        <v>0</v>
      </c>
      <c r="J1719" s="890">
        <f>GLOBAL_DER_FEV_2023!J1719</f>
        <v>0</v>
      </c>
      <c r="K1719" s="903" t="str">
        <f>GLOBAL_DER_FEV_2023!K1719</f>
        <v xml:space="preserve">     </v>
      </c>
      <c r="L1719" s="1137"/>
      <c r="M1719" s="1175">
        <f t="shared" si="127"/>
        <v>0</v>
      </c>
      <c r="N1719" s="1167">
        <f t="shared" si="131"/>
        <v>0</v>
      </c>
      <c r="O1719" s="905"/>
      <c r="Q1719" s="317" t="str">
        <f t="shared" si="128"/>
        <v/>
      </c>
      <c r="R1719" s="317" t="str">
        <f t="shared" si="129"/>
        <v/>
      </c>
      <c r="S1719" s="317" t="str">
        <f t="shared" si="130"/>
        <v/>
      </c>
      <c r="T1719" s="317" t="str">
        <f>GLOBAL_DER_FEV_2023!S1719</f>
        <v/>
      </c>
      <c r="W1719" s="582">
        <v>0</v>
      </c>
      <c r="X1719" s="580"/>
      <c r="Y1719" s="583">
        <f>IF(GLOBAL_DER_FEV_2023!W1719=0,0,IF(GLOBAL_DER_FEV_2023!W1719&gt;0,"c","b"))</f>
        <v>0</v>
      </c>
    </row>
    <row r="1720" spans="1:25" ht="15" hidden="1" customHeight="1" thickBot="1" x14ac:dyDescent="0.25">
      <c r="A1720" s="640" t="s">
        <v>165</v>
      </c>
      <c r="B1720" s="950" t="s">
        <v>441</v>
      </c>
      <c r="C1720" s="951"/>
      <c r="D1720" s="952" t="s">
        <v>431</v>
      </c>
      <c r="E1720" s="943">
        <f>GLOBAL_DER_FEV_2023!E1720</f>
        <v>0</v>
      </c>
      <c r="F1720" s="876"/>
      <c r="G1720" s="944"/>
      <c r="H1720" s="945">
        <f>GLOBAL_DER_FEV_2023!H1720</f>
        <v>0</v>
      </c>
      <c r="I1720" s="945">
        <f>GLOBAL_DER_FEV_2023!I1720</f>
        <v>0</v>
      </c>
      <c r="J1720" s="945">
        <f>GLOBAL_DER_FEV_2023!J1720</f>
        <v>0</v>
      </c>
      <c r="K1720" s="878" t="s">
        <v>507</v>
      </c>
      <c r="L1720" s="879"/>
      <c r="M1720" s="880">
        <f t="shared" si="127"/>
        <v>0</v>
      </c>
      <c r="N1720" s="881">
        <f t="shared" si="131"/>
        <v>0</v>
      </c>
      <c r="O1720" s="882">
        <f>SUM(N1721:N2499)</f>
        <v>0</v>
      </c>
      <c r="P1720" s="58" t="str">
        <f>IF(OR(O1720&gt;0,O1720&gt;0),"X","")</f>
        <v/>
      </c>
      <c r="Q1720" s="317" t="str">
        <f t="shared" si="128"/>
        <v/>
      </c>
      <c r="R1720" s="317" t="str">
        <f t="shared" si="129"/>
        <v/>
      </c>
      <c r="S1720" s="317" t="str">
        <f t="shared" si="130"/>
        <v/>
      </c>
      <c r="T1720" s="317" t="str">
        <f>GLOBAL_DER_FEV_2023!S1720</f>
        <v/>
      </c>
      <c r="W1720" s="582">
        <v>0</v>
      </c>
      <c r="X1720" s="580"/>
      <c r="Y1720" s="583">
        <f>IF(GLOBAL_DER_FEV_2023!W1720=0,0,IF(GLOBAL_DER_FEV_2023!W1720&gt;0,"c","b"))</f>
        <v>0</v>
      </c>
    </row>
    <row r="1721" spans="1:25" ht="15" hidden="1" customHeight="1" x14ac:dyDescent="0.2">
      <c r="A1721" s="317">
        <v>600000</v>
      </c>
      <c r="B1721" s="895" t="s">
        <v>1804</v>
      </c>
      <c r="C1721" s="896" t="s">
        <v>184</v>
      </c>
      <c r="D1721" s="906" t="s">
        <v>311</v>
      </c>
      <c r="E1721" s="907">
        <f>GLOBAL_DER_FEV_2023!E1721</f>
        <v>0</v>
      </c>
      <c r="F1721" s="908">
        <f>GLOBAL_DER_FEV_2023!F1721</f>
        <v>0</v>
      </c>
      <c r="G1721" s="912">
        <f>GLOBAL_DER_FEV_2023!G1721</f>
        <v>0</v>
      </c>
      <c r="H1721" s="901">
        <f>GLOBAL_DER_FEV_2023!H1721</f>
        <v>49.54</v>
      </c>
      <c r="I1721" s="901">
        <f>GLOBAL_DER_FEV_2023!I1721</f>
        <v>49.54</v>
      </c>
      <c r="J1721" s="902">
        <f>GLOBAL_DER_FEV_2023!J1721</f>
        <v>59.48</v>
      </c>
      <c r="K1721" s="903" t="s">
        <v>10</v>
      </c>
      <c r="L1721" s="1137"/>
      <c r="M1721" s="1138">
        <f t="shared" si="127"/>
        <v>0</v>
      </c>
      <c r="N1721" s="1176">
        <f t="shared" si="131"/>
        <v>0</v>
      </c>
      <c r="O1721" s="905"/>
      <c r="Q1721" s="317" t="str">
        <f t="shared" si="128"/>
        <v/>
      </c>
      <c r="R1721" s="317" t="str">
        <f t="shared" si="129"/>
        <v/>
      </c>
      <c r="S1721" s="317" t="str">
        <f t="shared" si="130"/>
        <v/>
      </c>
      <c r="T1721" s="317" t="str">
        <f>GLOBAL_DER_FEV_2023!S1721</f>
        <v/>
      </c>
      <c r="W1721" s="582">
        <v>0</v>
      </c>
      <c r="X1721" s="580"/>
      <c r="Y1721" s="583">
        <f>IF(GLOBAL_DER_FEV_2023!W1721=0,0,IF(GLOBAL_DER_FEV_2023!W1721&gt;0,"c","b"))</f>
        <v>0</v>
      </c>
    </row>
    <row r="1722" spans="1:25" ht="15" hidden="1" customHeight="1" x14ac:dyDescent="0.2">
      <c r="A1722" s="317">
        <v>600300</v>
      </c>
      <c r="B1722" s="895">
        <v>600300</v>
      </c>
      <c r="C1722" s="896" t="s">
        <v>184</v>
      </c>
      <c r="D1722" s="906" t="s">
        <v>312</v>
      </c>
      <c r="E1722" s="907">
        <f>GLOBAL_DER_FEV_2023!E1722</f>
        <v>0</v>
      </c>
      <c r="F1722" s="908">
        <f>GLOBAL_DER_FEV_2023!F1722</f>
        <v>0</v>
      </c>
      <c r="G1722" s="912">
        <f>GLOBAL_DER_FEV_2023!G1722</f>
        <v>0</v>
      </c>
      <c r="H1722" s="901">
        <f>GLOBAL_DER_FEV_2023!H1722</f>
        <v>11.83</v>
      </c>
      <c r="I1722" s="901">
        <f>GLOBAL_DER_FEV_2023!I1722</f>
        <v>11.83</v>
      </c>
      <c r="J1722" s="902">
        <f>GLOBAL_DER_FEV_2023!J1722</f>
        <v>14.2</v>
      </c>
      <c r="K1722" s="903" t="s">
        <v>10</v>
      </c>
      <c r="L1722" s="1137"/>
      <c r="M1722" s="1138">
        <f t="shared" si="127"/>
        <v>0</v>
      </c>
      <c r="N1722" s="1176">
        <f t="shared" si="131"/>
        <v>0</v>
      </c>
      <c r="O1722" s="905"/>
      <c r="Q1722" s="317" t="str">
        <f t="shared" si="128"/>
        <v/>
      </c>
      <c r="R1722" s="317" t="str">
        <f t="shared" si="129"/>
        <v/>
      </c>
      <c r="S1722" s="317" t="str">
        <f t="shared" si="130"/>
        <v/>
      </c>
      <c r="T1722" s="317" t="str">
        <f>GLOBAL_DER_FEV_2023!S1722</f>
        <v/>
      </c>
      <c r="W1722" s="582">
        <v>0</v>
      </c>
      <c r="X1722" s="580"/>
      <c r="Y1722" s="583">
        <f>IF(GLOBAL_DER_FEV_2023!W1722=0,0,IF(GLOBAL_DER_FEV_2023!W1722&gt;0,"c","b"))</f>
        <v>0</v>
      </c>
    </row>
    <row r="1723" spans="1:25" ht="15" hidden="1" customHeight="1" x14ac:dyDescent="0.2">
      <c r="A1723" s="317">
        <v>600400</v>
      </c>
      <c r="B1723" s="895">
        <v>600400</v>
      </c>
      <c r="C1723" s="896" t="s">
        <v>184</v>
      </c>
      <c r="D1723" s="906" t="s">
        <v>313</v>
      </c>
      <c r="E1723" s="907">
        <f>GLOBAL_DER_FEV_2023!E1723</f>
        <v>0</v>
      </c>
      <c r="F1723" s="908">
        <f>GLOBAL_DER_FEV_2023!F1723</f>
        <v>0</v>
      </c>
      <c r="G1723" s="912">
        <f>GLOBAL_DER_FEV_2023!G1723</f>
        <v>0</v>
      </c>
      <c r="H1723" s="901">
        <f>GLOBAL_DER_FEV_2023!H1723</f>
        <v>12.15</v>
      </c>
      <c r="I1723" s="901">
        <f>GLOBAL_DER_FEV_2023!I1723</f>
        <v>12.15</v>
      </c>
      <c r="J1723" s="902">
        <f>GLOBAL_DER_FEV_2023!J1723</f>
        <v>14.59</v>
      </c>
      <c r="K1723" s="903" t="s">
        <v>10</v>
      </c>
      <c r="L1723" s="1137"/>
      <c r="M1723" s="1138">
        <f t="shared" si="127"/>
        <v>0</v>
      </c>
      <c r="N1723" s="1176">
        <f t="shared" si="131"/>
        <v>0</v>
      </c>
      <c r="O1723" s="905"/>
      <c r="Q1723" s="317" t="str">
        <f t="shared" si="128"/>
        <v/>
      </c>
      <c r="R1723" s="317" t="str">
        <f t="shared" si="129"/>
        <v/>
      </c>
      <c r="S1723" s="317" t="str">
        <f t="shared" si="130"/>
        <v/>
      </c>
      <c r="T1723" s="317" t="str">
        <f>GLOBAL_DER_FEV_2023!S1723</f>
        <v/>
      </c>
      <c r="W1723" s="582">
        <v>0</v>
      </c>
      <c r="X1723" s="580"/>
      <c r="Y1723" s="583">
        <f>IF(GLOBAL_DER_FEV_2023!W1723=0,0,IF(GLOBAL_DER_FEV_2023!W1723&gt;0,"c","b"))</f>
        <v>0</v>
      </c>
    </row>
    <row r="1724" spans="1:25" ht="15" hidden="1" customHeight="1" x14ac:dyDescent="0.2">
      <c r="A1724" s="317">
        <v>600500</v>
      </c>
      <c r="B1724" s="895">
        <v>600500</v>
      </c>
      <c r="C1724" s="896" t="s">
        <v>184</v>
      </c>
      <c r="D1724" s="906" t="s">
        <v>314</v>
      </c>
      <c r="E1724" s="907">
        <f>GLOBAL_DER_FEV_2023!E1724</f>
        <v>0</v>
      </c>
      <c r="F1724" s="908">
        <f>GLOBAL_DER_FEV_2023!F1724</f>
        <v>0</v>
      </c>
      <c r="G1724" s="912">
        <f>GLOBAL_DER_FEV_2023!G1724</f>
        <v>0</v>
      </c>
      <c r="H1724" s="901">
        <f>GLOBAL_DER_FEV_2023!H1724</f>
        <v>123.95</v>
      </c>
      <c r="I1724" s="901">
        <f>GLOBAL_DER_FEV_2023!I1724</f>
        <v>123.95</v>
      </c>
      <c r="J1724" s="902">
        <f>GLOBAL_DER_FEV_2023!J1724</f>
        <v>148.83000000000001</v>
      </c>
      <c r="K1724" s="903" t="s">
        <v>10</v>
      </c>
      <c r="L1724" s="1137"/>
      <c r="M1724" s="1138">
        <f t="shared" si="127"/>
        <v>0</v>
      </c>
      <c r="N1724" s="1176">
        <f t="shared" si="131"/>
        <v>0</v>
      </c>
      <c r="O1724" s="905"/>
      <c r="Q1724" s="317" t="str">
        <f t="shared" si="128"/>
        <v/>
      </c>
      <c r="R1724" s="317" t="str">
        <f t="shared" si="129"/>
        <v/>
      </c>
      <c r="S1724" s="317" t="str">
        <f t="shared" si="130"/>
        <v/>
      </c>
      <c r="T1724" s="317" t="str">
        <f>GLOBAL_DER_FEV_2023!S1724</f>
        <v/>
      </c>
      <c r="W1724" s="582">
        <v>0</v>
      </c>
      <c r="X1724" s="580"/>
      <c r="Y1724" s="583">
        <f>IF(GLOBAL_DER_FEV_2023!W1724=0,0,IF(GLOBAL_DER_FEV_2023!W1724&gt;0,"c","b"))</f>
        <v>0</v>
      </c>
    </row>
    <row r="1725" spans="1:25" ht="15" hidden="1" customHeight="1" x14ac:dyDescent="0.2">
      <c r="A1725" s="317">
        <v>600310</v>
      </c>
      <c r="B1725" s="895" t="s">
        <v>1712</v>
      </c>
      <c r="C1725" s="896" t="s">
        <v>184</v>
      </c>
      <c r="D1725" s="897" t="s">
        <v>442</v>
      </c>
      <c r="E1725" s="898">
        <f>GLOBAL_DER_FEV_2023!E1725</f>
        <v>0</v>
      </c>
      <c r="F1725" s="899">
        <f>GLOBAL_DER_FEV_2023!F1725</f>
        <v>0</v>
      </c>
      <c r="G1725" s="900">
        <f>GLOBAL_DER_FEV_2023!G1725</f>
        <v>0</v>
      </c>
      <c r="H1725" s="901">
        <f>GLOBAL_DER_FEV_2023!H1725</f>
        <v>142.88</v>
      </c>
      <c r="I1725" s="901">
        <f>GLOBAL_DER_FEV_2023!I1725</f>
        <v>142.88</v>
      </c>
      <c r="J1725" s="902">
        <f>GLOBAL_DER_FEV_2023!J1725</f>
        <v>171.56</v>
      </c>
      <c r="K1725" s="903" t="s">
        <v>15</v>
      </c>
      <c r="L1725" s="1137"/>
      <c r="M1725" s="1138">
        <f t="shared" si="127"/>
        <v>0</v>
      </c>
      <c r="N1725" s="1176">
        <f t="shared" si="131"/>
        <v>0</v>
      </c>
      <c r="O1725" s="905"/>
      <c r="Q1725" s="317" t="str">
        <f t="shared" si="128"/>
        <v/>
      </c>
      <c r="R1725" s="317" t="str">
        <f t="shared" si="129"/>
        <v/>
      </c>
      <c r="S1725" s="317" t="str">
        <f t="shared" si="130"/>
        <v/>
      </c>
      <c r="T1725" s="317" t="str">
        <f>GLOBAL_DER_FEV_2023!S1725</f>
        <v/>
      </c>
      <c r="W1725" s="582">
        <v>0</v>
      </c>
      <c r="X1725" s="580"/>
      <c r="Y1725" s="583">
        <f>IF(GLOBAL_DER_FEV_2023!W1725=0,0,IF(GLOBAL_DER_FEV_2023!W1725&gt;0,"c","b"))</f>
        <v>0</v>
      </c>
    </row>
    <row r="1726" spans="1:25" ht="15" hidden="1" customHeight="1" x14ac:dyDescent="0.2">
      <c r="A1726" s="317">
        <v>633000</v>
      </c>
      <c r="B1726" s="895" t="s">
        <v>1806</v>
      </c>
      <c r="C1726" s="896" t="s">
        <v>184</v>
      </c>
      <c r="D1726" s="897" t="s">
        <v>518</v>
      </c>
      <c r="E1726" s="898">
        <f>GLOBAL_DER_FEV_2023!E1726</f>
        <v>0</v>
      </c>
      <c r="F1726" s="899">
        <f>GLOBAL_DER_FEV_2023!F1726</f>
        <v>0</v>
      </c>
      <c r="G1726" s="900">
        <f>GLOBAL_DER_FEV_2023!G1726</f>
        <v>0</v>
      </c>
      <c r="H1726" s="901">
        <f>GLOBAL_DER_FEV_2023!H1726</f>
        <v>82.58</v>
      </c>
      <c r="I1726" s="901">
        <f>GLOBAL_DER_FEV_2023!I1726</f>
        <v>82.58</v>
      </c>
      <c r="J1726" s="902">
        <f>GLOBAL_DER_FEV_2023!J1726</f>
        <v>99.15</v>
      </c>
      <c r="K1726" s="903" t="s">
        <v>13</v>
      </c>
      <c r="L1726" s="1137"/>
      <c r="M1726" s="1138">
        <f t="shared" si="127"/>
        <v>0</v>
      </c>
      <c r="N1726" s="1176">
        <f t="shared" si="131"/>
        <v>0</v>
      </c>
      <c r="O1726" s="905"/>
      <c r="Q1726" s="317" t="str">
        <f t="shared" si="128"/>
        <v/>
      </c>
      <c r="R1726" s="317" t="str">
        <f t="shared" si="129"/>
        <v/>
      </c>
      <c r="S1726" s="317" t="str">
        <f t="shared" si="130"/>
        <v/>
      </c>
      <c r="T1726" s="317" t="str">
        <f>GLOBAL_DER_FEV_2023!S1726</f>
        <v/>
      </c>
      <c r="W1726" s="582">
        <v>0</v>
      </c>
      <c r="X1726" s="580"/>
      <c r="Y1726" s="583">
        <f>IF(GLOBAL_DER_FEV_2023!W1726=0,0,IF(GLOBAL_DER_FEV_2023!W1726&gt;0,"c","b"))</f>
        <v>0</v>
      </c>
    </row>
    <row r="1727" spans="1:25" ht="15" hidden="1" customHeight="1" x14ac:dyDescent="0.2">
      <c r="A1727" s="317">
        <v>633100</v>
      </c>
      <c r="B1727" s="895" t="s">
        <v>1809</v>
      </c>
      <c r="C1727" s="896" t="s">
        <v>184</v>
      </c>
      <c r="D1727" s="897" t="s">
        <v>519</v>
      </c>
      <c r="E1727" s="898">
        <f>GLOBAL_DER_FEV_2023!E1727</f>
        <v>0</v>
      </c>
      <c r="F1727" s="899">
        <f>GLOBAL_DER_FEV_2023!F1727</f>
        <v>0</v>
      </c>
      <c r="G1727" s="900">
        <f>GLOBAL_DER_FEV_2023!G1727</f>
        <v>0</v>
      </c>
      <c r="H1727" s="901">
        <f>GLOBAL_DER_FEV_2023!H1727</f>
        <v>165.16</v>
      </c>
      <c r="I1727" s="901">
        <f>GLOBAL_DER_FEV_2023!I1727</f>
        <v>165.16</v>
      </c>
      <c r="J1727" s="902">
        <f>GLOBAL_DER_FEV_2023!J1727</f>
        <v>198.31</v>
      </c>
      <c r="K1727" s="903" t="s">
        <v>13</v>
      </c>
      <c r="L1727" s="1137"/>
      <c r="M1727" s="1138">
        <f t="shared" si="127"/>
        <v>0</v>
      </c>
      <c r="N1727" s="1176">
        <f t="shared" si="131"/>
        <v>0</v>
      </c>
      <c r="O1727" s="905"/>
      <c r="Q1727" s="317" t="str">
        <f t="shared" si="128"/>
        <v/>
      </c>
      <c r="R1727" s="317" t="str">
        <f t="shared" si="129"/>
        <v/>
      </c>
      <c r="S1727" s="317" t="str">
        <f t="shared" si="130"/>
        <v/>
      </c>
      <c r="T1727" s="317" t="str">
        <f>GLOBAL_DER_FEV_2023!S1727</f>
        <v/>
      </c>
      <c r="W1727" s="582">
        <v>0</v>
      </c>
      <c r="X1727" s="580"/>
      <c r="Y1727" s="583">
        <f>IF(GLOBAL_DER_FEV_2023!W1727=0,0,IF(GLOBAL_DER_FEV_2023!W1727&gt;0,"c","b"))</f>
        <v>0</v>
      </c>
    </row>
    <row r="1728" spans="1:25" ht="15" hidden="1" customHeight="1" x14ac:dyDescent="0.2">
      <c r="A1728" s="317">
        <v>633200</v>
      </c>
      <c r="B1728" s="895" t="s">
        <v>1810</v>
      </c>
      <c r="C1728" s="896" t="s">
        <v>184</v>
      </c>
      <c r="D1728" s="897" t="s">
        <v>520</v>
      </c>
      <c r="E1728" s="898">
        <f>GLOBAL_DER_FEV_2023!E1728</f>
        <v>0</v>
      </c>
      <c r="F1728" s="899">
        <f>GLOBAL_DER_FEV_2023!F1728</f>
        <v>0</v>
      </c>
      <c r="G1728" s="900">
        <f>GLOBAL_DER_FEV_2023!G1728</f>
        <v>0</v>
      </c>
      <c r="H1728" s="901">
        <f>GLOBAL_DER_FEV_2023!H1728</f>
        <v>247.74</v>
      </c>
      <c r="I1728" s="901">
        <f>GLOBAL_DER_FEV_2023!I1728</f>
        <v>247.74</v>
      </c>
      <c r="J1728" s="902">
        <f>GLOBAL_DER_FEV_2023!J1728</f>
        <v>297.45999999999998</v>
      </c>
      <c r="K1728" s="903" t="s">
        <v>13</v>
      </c>
      <c r="L1728" s="1137"/>
      <c r="M1728" s="1138">
        <f t="shared" si="127"/>
        <v>0</v>
      </c>
      <c r="N1728" s="1176">
        <f t="shared" si="131"/>
        <v>0</v>
      </c>
      <c r="O1728" s="905"/>
      <c r="Q1728" s="317" t="str">
        <f t="shared" si="128"/>
        <v/>
      </c>
      <c r="R1728" s="317" t="str">
        <f t="shared" si="129"/>
        <v/>
      </c>
      <c r="S1728" s="317" t="str">
        <f t="shared" si="130"/>
        <v/>
      </c>
      <c r="T1728" s="317" t="str">
        <f>GLOBAL_DER_FEV_2023!S1728</f>
        <v/>
      </c>
      <c r="W1728" s="582">
        <v>0</v>
      </c>
      <c r="X1728" s="580"/>
      <c r="Y1728" s="583">
        <f>IF(GLOBAL_DER_FEV_2023!W1728=0,0,IF(GLOBAL_DER_FEV_2023!W1728&gt;0,"c","b"))</f>
        <v>0</v>
      </c>
    </row>
    <row r="1729" spans="1:25" ht="15" hidden="1" customHeight="1" x14ac:dyDescent="0.2">
      <c r="A1729" s="317">
        <v>630300</v>
      </c>
      <c r="B1729" s="895">
        <v>630300</v>
      </c>
      <c r="C1729" s="896" t="s">
        <v>184</v>
      </c>
      <c r="D1729" s="906" t="s">
        <v>315</v>
      </c>
      <c r="E1729" s="907">
        <f>GLOBAL_DER_FEV_2023!E1729</f>
        <v>0</v>
      </c>
      <c r="F1729" s="908">
        <f>GLOBAL_DER_FEV_2023!F1729</f>
        <v>0</v>
      </c>
      <c r="G1729" s="900">
        <f>GLOBAL_DER_FEV_2023!G1729</f>
        <v>0</v>
      </c>
      <c r="H1729" s="901">
        <f>GLOBAL_DER_FEV_2023!H1729</f>
        <v>15.85</v>
      </c>
      <c r="I1729" s="901">
        <f>GLOBAL_DER_FEV_2023!I1729</f>
        <v>15.85</v>
      </c>
      <c r="J1729" s="902">
        <f>GLOBAL_DER_FEV_2023!J1729</f>
        <v>19.03</v>
      </c>
      <c r="K1729" s="903" t="s">
        <v>13</v>
      </c>
      <c r="L1729" s="1137"/>
      <c r="M1729" s="1138">
        <f t="shared" si="127"/>
        <v>0</v>
      </c>
      <c r="N1729" s="1176">
        <f t="shared" si="131"/>
        <v>0</v>
      </c>
      <c r="O1729" s="905"/>
      <c r="Q1729" s="317" t="str">
        <f t="shared" si="128"/>
        <v/>
      </c>
      <c r="R1729" s="317" t="str">
        <f t="shared" si="129"/>
        <v/>
      </c>
      <c r="S1729" s="317" t="str">
        <f t="shared" si="130"/>
        <v/>
      </c>
      <c r="T1729" s="317" t="str">
        <f>GLOBAL_DER_FEV_2023!S1729</f>
        <v/>
      </c>
      <c r="W1729" s="582">
        <v>0</v>
      </c>
      <c r="X1729" s="580"/>
      <c r="Y1729" s="583">
        <f>IF(GLOBAL_DER_FEV_2023!W1729=0,0,IF(GLOBAL_DER_FEV_2023!W1729&gt;0,"c","b"))</f>
        <v>0</v>
      </c>
    </row>
    <row r="1730" spans="1:25" ht="15" hidden="1" customHeight="1" x14ac:dyDescent="0.2">
      <c r="A1730" s="317">
        <v>630400</v>
      </c>
      <c r="B1730" s="895">
        <v>630400</v>
      </c>
      <c r="C1730" s="896" t="s">
        <v>184</v>
      </c>
      <c r="D1730" s="957" t="s">
        <v>316</v>
      </c>
      <c r="E1730" s="907">
        <f>GLOBAL_DER_FEV_2023!E1730</f>
        <v>0</v>
      </c>
      <c r="F1730" s="908">
        <f>GLOBAL_DER_FEV_2023!F1730</f>
        <v>0</v>
      </c>
      <c r="G1730" s="900">
        <f>GLOBAL_DER_FEV_2023!G1730</f>
        <v>0</v>
      </c>
      <c r="H1730" s="901">
        <f>GLOBAL_DER_FEV_2023!H1730</f>
        <v>19.809999999999999</v>
      </c>
      <c r="I1730" s="901">
        <f>GLOBAL_DER_FEV_2023!I1730</f>
        <v>19.809999999999999</v>
      </c>
      <c r="J1730" s="902">
        <f>GLOBAL_DER_FEV_2023!J1730</f>
        <v>23.79</v>
      </c>
      <c r="K1730" s="903" t="s">
        <v>13</v>
      </c>
      <c r="L1730" s="1137"/>
      <c r="M1730" s="1138">
        <f t="shared" si="127"/>
        <v>0</v>
      </c>
      <c r="N1730" s="1176">
        <f t="shared" si="131"/>
        <v>0</v>
      </c>
      <c r="O1730" s="905"/>
      <c r="Q1730" s="317" t="str">
        <f t="shared" si="128"/>
        <v/>
      </c>
      <c r="R1730" s="317" t="str">
        <f t="shared" si="129"/>
        <v/>
      </c>
      <c r="S1730" s="317" t="str">
        <f t="shared" si="130"/>
        <v/>
      </c>
      <c r="T1730" s="317" t="str">
        <f>GLOBAL_DER_FEV_2023!S1730</f>
        <v/>
      </c>
      <c r="W1730" s="582">
        <v>0</v>
      </c>
      <c r="X1730" s="580"/>
      <c r="Y1730" s="583">
        <f>IF(GLOBAL_DER_FEV_2023!W1730=0,0,IF(GLOBAL_DER_FEV_2023!W1730&gt;0,"c","b"))</f>
        <v>0</v>
      </c>
    </row>
    <row r="1731" spans="1:25" ht="15" hidden="1" customHeight="1" x14ac:dyDescent="0.2">
      <c r="A1731" s="317">
        <v>630500</v>
      </c>
      <c r="B1731" s="895">
        <v>630500</v>
      </c>
      <c r="C1731" s="896" t="s">
        <v>184</v>
      </c>
      <c r="D1731" s="957" t="s">
        <v>317</v>
      </c>
      <c r="E1731" s="907">
        <f>GLOBAL_DER_FEV_2023!E1731</f>
        <v>0</v>
      </c>
      <c r="F1731" s="908">
        <f>GLOBAL_DER_FEV_2023!F1731</f>
        <v>0</v>
      </c>
      <c r="G1731" s="912">
        <f>GLOBAL_DER_FEV_2023!G1731</f>
        <v>0</v>
      </c>
      <c r="H1731" s="901">
        <f>GLOBAL_DER_FEV_2023!H1731</f>
        <v>21.61</v>
      </c>
      <c r="I1731" s="901">
        <f>GLOBAL_DER_FEV_2023!I1731</f>
        <v>21.61</v>
      </c>
      <c r="J1731" s="902">
        <f>GLOBAL_DER_FEV_2023!J1731</f>
        <v>25.95</v>
      </c>
      <c r="K1731" s="903" t="s">
        <v>13</v>
      </c>
      <c r="L1731" s="1137"/>
      <c r="M1731" s="1138">
        <f t="shared" si="127"/>
        <v>0</v>
      </c>
      <c r="N1731" s="1176">
        <f t="shared" si="131"/>
        <v>0</v>
      </c>
      <c r="O1731" s="905"/>
      <c r="Q1731" s="317" t="str">
        <f t="shared" si="128"/>
        <v/>
      </c>
      <c r="R1731" s="317" t="str">
        <f t="shared" si="129"/>
        <v/>
      </c>
      <c r="S1731" s="317" t="str">
        <f t="shared" si="130"/>
        <v/>
      </c>
      <c r="T1731" s="317" t="str">
        <f>GLOBAL_DER_FEV_2023!S1731</f>
        <v/>
      </c>
      <c r="W1731" s="582">
        <v>0</v>
      </c>
      <c r="X1731" s="580"/>
      <c r="Y1731" s="583">
        <f>IF(GLOBAL_DER_FEV_2023!W1731=0,0,IF(GLOBAL_DER_FEV_2023!W1731&gt;0,"c","b"))</f>
        <v>0</v>
      </c>
    </row>
    <row r="1732" spans="1:25" ht="15" hidden="1" customHeight="1" x14ac:dyDescent="0.2">
      <c r="A1732" s="317">
        <v>630600</v>
      </c>
      <c r="B1732" s="895">
        <v>630600</v>
      </c>
      <c r="C1732" s="896" t="s">
        <v>184</v>
      </c>
      <c r="D1732" s="957" t="s">
        <v>318</v>
      </c>
      <c r="E1732" s="907">
        <f>GLOBAL_DER_FEV_2023!E1732</f>
        <v>0</v>
      </c>
      <c r="F1732" s="908">
        <f>GLOBAL_DER_FEV_2023!F1732</f>
        <v>0</v>
      </c>
      <c r="G1732" s="912">
        <f>GLOBAL_DER_FEV_2023!G1732</f>
        <v>0</v>
      </c>
      <c r="H1732" s="901">
        <f>GLOBAL_DER_FEV_2023!H1732</f>
        <v>23.77</v>
      </c>
      <c r="I1732" s="901">
        <f>GLOBAL_DER_FEV_2023!I1732</f>
        <v>23.77</v>
      </c>
      <c r="J1732" s="902">
        <f>GLOBAL_DER_FEV_2023!J1732</f>
        <v>28.54</v>
      </c>
      <c r="K1732" s="903" t="s">
        <v>13</v>
      </c>
      <c r="L1732" s="1137"/>
      <c r="M1732" s="1138">
        <f t="shared" si="127"/>
        <v>0</v>
      </c>
      <c r="N1732" s="1176">
        <f t="shared" si="131"/>
        <v>0</v>
      </c>
      <c r="O1732" s="905"/>
      <c r="Q1732" s="317" t="str">
        <f t="shared" si="128"/>
        <v/>
      </c>
      <c r="R1732" s="317" t="str">
        <f t="shared" si="129"/>
        <v/>
      </c>
      <c r="S1732" s="317" t="str">
        <f t="shared" si="130"/>
        <v/>
      </c>
      <c r="T1732" s="317" t="str">
        <f>GLOBAL_DER_FEV_2023!S1732</f>
        <v/>
      </c>
      <c r="W1732" s="582">
        <v>0</v>
      </c>
      <c r="X1732" s="580"/>
      <c r="Y1732" s="583">
        <f>IF(GLOBAL_DER_FEV_2023!W1732=0,0,IF(GLOBAL_DER_FEV_2023!W1732&gt;0,"c","b"))</f>
        <v>0</v>
      </c>
    </row>
    <row r="1733" spans="1:25" ht="15" hidden="1" customHeight="1" x14ac:dyDescent="0.2">
      <c r="A1733" s="317">
        <v>630800</v>
      </c>
      <c r="B1733" s="895">
        <v>630800</v>
      </c>
      <c r="C1733" s="896" t="s">
        <v>184</v>
      </c>
      <c r="D1733" s="906" t="s">
        <v>319</v>
      </c>
      <c r="E1733" s="907">
        <f>GLOBAL_DER_FEV_2023!E1733</f>
        <v>0</v>
      </c>
      <c r="F1733" s="908">
        <f>GLOBAL_DER_FEV_2023!F1733</f>
        <v>0</v>
      </c>
      <c r="G1733" s="912">
        <f>GLOBAL_DER_FEV_2023!G1733</f>
        <v>0</v>
      </c>
      <c r="H1733" s="901">
        <f>GLOBAL_DER_FEV_2023!H1733</f>
        <v>47.55</v>
      </c>
      <c r="I1733" s="901">
        <f>GLOBAL_DER_FEV_2023!I1733</f>
        <v>47.55</v>
      </c>
      <c r="J1733" s="902">
        <f>GLOBAL_DER_FEV_2023!J1733</f>
        <v>57.09</v>
      </c>
      <c r="K1733" s="903" t="s">
        <v>13</v>
      </c>
      <c r="L1733" s="1137"/>
      <c r="M1733" s="1138">
        <f t="shared" si="127"/>
        <v>0</v>
      </c>
      <c r="N1733" s="1176">
        <f t="shared" si="131"/>
        <v>0</v>
      </c>
      <c r="O1733" s="905"/>
      <c r="Q1733" s="317" t="str">
        <f t="shared" si="128"/>
        <v/>
      </c>
      <c r="R1733" s="317" t="str">
        <f t="shared" si="129"/>
        <v/>
      </c>
      <c r="S1733" s="317" t="str">
        <f t="shared" si="130"/>
        <v/>
      </c>
      <c r="T1733" s="317" t="str">
        <f>GLOBAL_DER_FEV_2023!S1733</f>
        <v/>
      </c>
      <c r="W1733" s="582">
        <v>0</v>
      </c>
      <c r="X1733" s="580"/>
      <c r="Y1733" s="583">
        <f>IF(GLOBAL_DER_FEV_2023!W1733=0,0,IF(GLOBAL_DER_FEV_2023!W1733&gt;0,"c","b"))</f>
        <v>0</v>
      </c>
    </row>
    <row r="1734" spans="1:25" ht="15" hidden="1" customHeight="1" x14ac:dyDescent="0.2">
      <c r="A1734" s="317">
        <v>631000</v>
      </c>
      <c r="B1734" s="895">
        <v>631000</v>
      </c>
      <c r="C1734" s="896" t="s">
        <v>184</v>
      </c>
      <c r="D1734" s="906" t="s">
        <v>320</v>
      </c>
      <c r="E1734" s="907">
        <f>GLOBAL_DER_FEV_2023!E1734</f>
        <v>0</v>
      </c>
      <c r="F1734" s="908">
        <f>GLOBAL_DER_FEV_2023!F1734</f>
        <v>0</v>
      </c>
      <c r="G1734" s="912">
        <f>GLOBAL_DER_FEV_2023!G1734</f>
        <v>0</v>
      </c>
      <c r="H1734" s="901">
        <f>GLOBAL_DER_FEV_2023!H1734</f>
        <v>47.7</v>
      </c>
      <c r="I1734" s="901">
        <f>GLOBAL_DER_FEV_2023!I1734</f>
        <v>47.7</v>
      </c>
      <c r="J1734" s="902">
        <f>GLOBAL_DER_FEV_2023!J1734</f>
        <v>57.27</v>
      </c>
      <c r="K1734" s="903" t="s">
        <v>13</v>
      </c>
      <c r="L1734" s="1137"/>
      <c r="M1734" s="1138">
        <f t="shared" si="127"/>
        <v>0</v>
      </c>
      <c r="N1734" s="1176">
        <f t="shared" si="131"/>
        <v>0</v>
      </c>
      <c r="O1734" s="905"/>
      <c r="Q1734" s="317" t="str">
        <f t="shared" si="128"/>
        <v/>
      </c>
      <c r="R1734" s="317" t="str">
        <f t="shared" si="129"/>
        <v/>
      </c>
      <c r="S1734" s="317" t="str">
        <f t="shared" si="130"/>
        <v/>
      </c>
      <c r="T1734" s="317" t="str">
        <f>GLOBAL_DER_FEV_2023!S1734</f>
        <v/>
      </c>
      <c r="W1734" s="582">
        <v>0</v>
      </c>
      <c r="X1734" s="580"/>
      <c r="Y1734" s="583">
        <f>IF(GLOBAL_DER_FEV_2023!W1734=0,0,IF(GLOBAL_DER_FEV_2023!W1734&gt;0,"c","b"))</f>
        <v>0</v>
      </c>
    </row>
    <row r="1735" spans="1:25" ht="15" hidden="1" customHeight="1" x14ac:dyDescent="0.2">
      <c r="A1735" s="317">
        <v>631200</v>
      </c>
      <c r="B1735" s="895">
        <v>631200</v>
      </c>
      <c r="C1735" s="896" t="s">
        <v>184</v>
      </c>
      <c r="D1735" s="906" t="s">
        <v>321</v>
      </c>
      <c r="E1735" s="907">
        <f>GLOBAL_DER_FEV_2023!E1735</f>
        <v>0</v>
      </c>
      <c r="F1735" s="908">
        <f>GLOBAL_DER_FEV_2023!F1735</f>
        <v>0</v>
      </c>
      <c r="G1735" s="912">
        <f>GLOBAL_DER_FEV_2023!G1735</f>
        <v>0</v>
      </c>
      <c r="H1735" s="901">
        <f>GLOBAL_DER_FEV_2023!H1735</f>
        <v>57.25</v>
      </c>
      <c r="I1735" s="901">
        <f>GLOBAL_DER_FEV_2023!I1735</f>
        <v>57.25</v>
      </c>
      <c r="J1735" s="902">
        <f>GLOBAL_DER_FEV_2023!J1735</f>
        <v>68.739999999999995</v>
      </c>
      <c r="K1735" s="903" t="s">
        <v>13</v>
      </c>
      <c r="L1735" s="1137"/>
      <c r="M1735" s="1138">
        <f t="shared" si="127"/>
        <v>0</v>
      </c>
      <c r="N1735" s="1176">
        <f t="shared" si="131"/>
        <v>0</v>
      </c>
      <c r="O1735" s="905"/>
      <c r="Q1735" s="317" t="str">
        <f t="shared" si="128"/>
        <v/>
      </c>
      <c r="R1735" s="317" t="str">
        <f t="shared" si="129"/>
        <v/>
      </c>
      <c r="S1735" s="317" t="str">
        <f t="shared" si="130"/>
        <v/>
      </c>
      <c r="T1735" s="317" t="str">
        <f>GLOBAL_DER_FEV_2023!S1735</f>
        <v/>
      </c>
      <c r="W1735" s="582">
        <v>0</v>
      </c>
      <c r="X1735" s="580"/>
      <c r="Y1735" s="583">
        <f>IF(GLOBAL_DER_FEV_2023!W1735=0,0,IF(GLOBAL_DER_FEV_2023!W1735&gt;0,"c","b"))</f>
        <v>0</v>
      </c>
    </row>
    <row r="1736" spans="1:25" ht="15" hidden="1" customHeight="1" x14ac:dyDescent="0.2">
      <c r="A1736" s="317">
        <v>631500</v>
      </c>
      <c r="B1736" s="895">
        <v>631500</v>
      </c>
      <c r="C1736" s="896" t="s">
        <v>184</v>
      </c>
      <c r="D1736" s="906" t="s">
        <v>322</v>
      </c>
      <c r="E1736" s="907">
        <f>GLOBAL_DER_FEV_2023!E1736</f>
        <v>0</v>
      </c>
      <c r="F1736" s="908">
        <f>GLOBAL_DER_FEV_2023!F1736</f>
        <v>0</v>
      </c>
      <c r="G1736" s="912">
        <f>GLOBAL_DER_FEV_2023!G1736</f>
        <v>0</v>
      </c>
      <c r="H1736" s="901">
        <f>GLOBAL_DER_FEV_2023!H1736</f>
        <v>71.56</v>
      </c>
      <c r="I1736" s="901">
        <f>GLOBAL_DER_FEV_2023!I1736</f>
        <v>71.56</v>
      </c>
      <c r="J1736" s="902">
        <f>GLOBAL_DER_FEV_2023!J1736</f>
        <v>85.92</v>
      </c>
      <c r="K1736" s="903" t="s">
        <v>13</v>
      </c>
      <c r="L1736" s="1137"/>
      <c r="M1736" s="1138">
        <f t="shared" si="127"/>
        <v>0</v>
      </c>
      <c r="N1736" s="1176">
        <f t="shared" si="131"/>
        <v>0</v>
      </c>
      <c r="O1736" s="905"/>
      <c r="Q1736" s="317" t="str">
        <f t="shared" si="128"/>
        <v/>
      </c>
      <c r="R1736" s="317" t="str">
        <f t="shared" si="129"/>
        <v/>
      </c>
      <c r="S1736" s="317" t="str">
        <f t="shared" si="130"/>
        <v/>
      </c>
      <c r="T1736" s="317" t="str">
        <f>GLOBAL_DER_FEV_2023!S1736</f>
        <v/>
      </c>
      <c r="W1736" s="582">
        <v>0</v>
      </c>
      <c r="X1736" s="580"/>
      <c r="Y1736" s="583">
        <f>IF(GLOBAL_DER_FEV_2023!W1736=0,0,IF(GLOBAL_DER_FEV_2023!W1736&gt;0,"c","b"))</f>
        <v>0</v>
      </c>
    </row>
    <row r="1737" spans="1:25" ht="15" hidden="1" customHeight="1" x14ac:dyDescent="0.2">
      <c r="A1737" s="317">
        <v>860200</v>
      </c>
      <c r="B1737" s="895">
        <v>860200</v>
      </c>
      <c r="C1737" s="896" t="s">
        <v>184</v>
      </c>
      <c r="D1737" s="906" t="s">
        <v>817</v>
      </c>
      <c r="E1737" s="907">
        <f>GLOBAL_DER_FEV_2023!E1737</f>
        <v>0</v>
      </c>
      <c r="F1737" s="908">
        <f>GLOBAL_DER_FEV_2023!F1737</f>
        <v>0</v>
      </c>
      <c r="G1737" s="912">
        <f>GLOBAL_DER_FEV_2023!G1737</f>
        <v>5.2482090000000001</v>
      </c>
      <c r="H1737" s="901">
        <f>GLOBAL_DER_FEV_2023!H1737</f>
        <v>858.72</v>
      </c>
      <c r="I1737" s="901">
        <f>GLOBAL_DER_FEV_2023!I1737</f>
        <v>863.968209</v>
      </c>
      <c r="J1737" s="902">
        <f>GLOBAL_DER_FEV_2023!J1737</f>
        <v>1037.3699999999999</v>
      </c>
      <c r="K1737" s="903" t="s">
        <v>10</v>
      </c>
      <c r="L1737" s="1137"/>
      <c r="M1737" s="1138">
        <f t="shared" si="127"/>
        <v>0</v>
      </c>
      <c r="N1737" s="1176">
        <f t="shared" si="131"/>
        <v>0</v>
      </c>
      <c r="O1737" s="905"/>
      <c r="Q1737" s="317" t="str">
        <f t="shared" si="128"/>
        <v/>
      </c>
      <c r="R1737" s="317" t="str">
        <f t="shared" si="129"/>
        <v/>
      </c>
      <c r="S1737" s="317" t="str">
        <f t="shared" si="130"/>
        <v/>
      </c>
      <c r="T1737" s="317" t="str">
        <f>GLOBAL_DER_FEV_2023!S1737</f>
        <v/>
      </c>
      <c r="W1737" s="582">
        <v>0</v>
      </c>
      <c r="X1737" s="580"/>
      <c r="Y1737" s="583">
        <f>IF(GLOBAL_DER_FEV_2023!W1737=0,0,IF(GLOBAL_DER_FEV_2023!W1737&gt;0,"c","b"))</f>
        <v>0</v>
      </c>
    </row>
    <row r="1738" spans="1:25" ht="15" hidden="1" customHeight="1" x14ac:dyDescent="0.2">
      <c r="A1738" s="317" t="s">
        <v>147</v>
      </c>
      <c r="B1738" s="895" t="s">
        <v>147</v>
      </c>
      <c r="C1738" s="896"/>
      <c r="D1738" s="957" t="s">
        <v>818</v>
      </c>
      <c r="E1738" s="907">
        <f>GLOBAL_DER_FEV_2023!E1738</f>
        <v>0</v>
      </c>
      <c r="F1738" s="908">
        <f>GLOBAL_DER_FEV_2023!F1738</f>
        <v>1.7250000000000001</v>
      </c>
      <c r="G1738" s="949">
        <f>GLOBAL_DER_FEV_2023!G1738</f>
        <v>4.6230000000000002</v>
      </c>
      <c r="H1738" s="901">
        <f>GLOBAL_DER_FEV_2023!H1738</f>
        <v>0</v>
      </c>
      <c r="I1738" s="901">
        <f>GLOBAL_DER_FEV_2023!I1738</f>
        <v>0</v>
      </c>
      <c r="J1738" s="902">
        <f>GLOBAL_DER_FEV_2023!J1738</f>
        <v>0</v>
      </c>
      <c r="K1738" s="958" t="s">
        <v>507</v>
      </c>
      <c r="L1738" s="959"/>
      <c r="M1738" s="1157">
        <f t="shared" si="127"/>
        <v>0</v>
      </c>
      <c r="N1738" s="1176">
        <f t="shared" si="131"/>
        <v>0</v>
      </c>
      <c r="O1738" s="905"/>
      <c r="P1738" s="58" t="str">
        <f>IF(N1737&gt;0,"xx",IF(N1737&gt;0,"xy",""))</f>
        <v/>
      </c>
      <c r="Q1738" s="317" t="str">
        <f t="shared" si="128"/>
        <v/>
      </c>
      <c r="R1738" s="317" t="str">
        <f t="shared" si="129"/>
        <v/>
      </c>
      <c r="S1738" s="317" t="str">
        <f t="shared" si="130"/>
        <v/>
      </c>
      <c r="T1738" s="317" t="str">
        <f>GLOBAL_DER_FEV_2023!S1738</f>
        <v/>
      </c>
      <c r="W1738" s="582">
        <v>0</v>
      </c>
      <c r="X1738" s="580"/>
      <c r="Y1738" s="583">
        <f>IF(GLOBAL_DER_FEV_2023!W1738=0,0,IF(GLOBAL_DER_FEV_2023!W1738&gt;0,"c","b"))</f>
        <v>0</v>
      </c>
    </row>
    <row r="1739" spans="1:25" ht="15" hidden="1" customHeight="1" x14ac:dyDescent="0.2">
      <c r="A1739" s="317" t="s">
        <v>147</v>
      </c>
      <c r="B1739" s="895" t="s">
        <v>147</v>
      </c>
      <c r="C1739" s="896"/>
      <c r="D1739" s="957" t="s">
        <v>323</v>
      </c>
      <c r="E1739" s="907">
        <f>GLOBAL_DER_FEV_2023!E1739</f>
        <v>45</v>
      </c>
      <c r="F1739" s="908">
        <f>GLOBAL_DER_FEV_2023!F1739</f>
        <v>1.23E-2</v>
      </c>
      <c r="G1739" s="949">
        <f>GLOBAL_DER_FEV_2023!G1739</f>
        <v>0.62520900000000001</v>
      </c>
      <c r="H1739" s="901">
        <f>GLOBAL_DER_FEV_2023!H1739</f>
        <v>0</v>
      </c>
      <c r="I1739" s="901">
        <f>GLOBAL_DER_FEV_2023!I1739</f>
        <v>0</v>
      </c>
      <c r="J1739" s="902">
        <f>GLOBAL_DER_FEV_2023!J1739</f>
        <v>0</v>
      </c>
      <c r="K1739" s="958" t="s">
        <v>507</v>
      </c>
      <c r="L1739" s="959"/>
      <c r="M1739" s="1157">
        <f t="shared" si="127"/>
        <v>0</v>
      </c>
      <c r="N1739" s="1176">
        <f t="shared" si="131"/>
        <v>0</v>
      </c>
      <c r="O1739" s="905"/>
      <c r="P1739" s="58" t="str">
        <f>IF(N1737&gt;0,"xx",IF(N1737&gt;0,"xy",""))</f>
        <v/>
      </c>
      <c r="Q1739" s="317" t="str">
        <f t="shared" si="128"/>
        <v/>
      </c>
      <c r="R1739" s="317" t="str">
        <f t="shared" si="129"/>
        <v/>
      </c>
      <c r="S1739" s="317" t="str">
        <f t="shared" si="130"/>
        <v/>
      </c>
      <c r="T1739" s="317" t="str">
        <f>GLOBAL_DER_FEV_2023!S1739</f>
        <v/>
      </c>
      <c r="W1739" s="582">
        <v>0</v>
      </c>
      <c r="X1739" s="580"/>
      <c r="Y1739" s="583">
        <f>IF(GLOBAL_DER_FEV_2023!W1739=0,0,IF(GLOBAL_DER_FEV_2023!W1739&gt;0,"c","b"))</f>
        <v>0</v>
      </c>
    </row>
    <row r="1740" spans="1:25" ht="15" hidden="1" customHeight="1" x14ac:dyDescent="0.2">
      <c r="A1740" s="317">
        <v>860100</v>
      </c>
      <c r="B1740" s="895">
        <v>860100</v>
      </c>
      <c r="C1740" s="896" t="s">
        <v>184</v>
      </c>
      <c r="D1740" s="906" t="s">
        <v>819</v>
      </c>
      <c r="E1740" s="907">
        <f>GLOBAL_DER_FEV_2023!E1740</f>
        <v>0</v>
      </c>
      <c r="F1740" s="908">
        <f>GLOBAL_DER_FEV_2023!F1740</f>
        <v>0</v>
      </c>
      <c r="G1740" s="912">
        <f>GLOBAL_DER_FEV_2023!G1740</f>
        <v>5.2787069999999998</v>
      </c>
      <c r="H1740" s="901">
        <f>GLOBAL_DER_FEV_2023!H1740</f>
        <v>769.37</v>
      </c>
      <c r="I1740" s="901">
        <f>GLOBAL_DER_FEV_2023!I1740</f>
        <v>774.64870700000006</v>
      </c>
      <c r="J1740" s="902">
        <f>GLOBAL_DER_FEV_2023!J1740</f>
        <v>930.12</v>
      </c>
      <c r="K1740" s="903" t="s">
        <v>10</v>
      </c>
      <c r="L1740" s="1137"/>
      <c r="M1740" s="1138">
        <f t="shared" si="127"/>
        <v>0</v>
      </c>
      <c r="N1740" s="1176">
        <f t="shared" si="131"/>
        <v>0</v>
      </c>
      <c r="O1740" s="905"/>
      <c r="Q1740" s="317" t="str">
        <f t="shared" si="128"/>
        <v/>
      </c>
      <c r="R1740" s="317" t="str">
        <f t="shared" si="129"/>
        <v/>
      </c>
      <c r="S1740" s="317" t="str">
        <f t="shared" si="130"/>
        <v/>
      </c>
      <c r="T1740" s="317" t="str">
        <f>GLOBAL_DER_FEV_2023!S1740</f>
        <v/>
      </c>
      <c r="W1740" s="582">
        <v>0</v>
      </c>
      <c r="X1740" s="580"/>
      <c r="Y1740" s="583">
        <f>IF(GLOBAL_DER_FEV_2023!W1740=0,0,IF(GLOBAL_DER_FEV_2023!W1740&gt;0,"c","b"))</f>
        <v>0</v>
      </c>
    </row>
    <row r="1741" spans="1:25" ht="15" hidden="1" customHeight="1" x14ac:dyDescent="0.2">
      <c r="A1741" s="317" t="s">
        <v>147</v>
      </c>
      <c r="B1741" s="895" t="s">
        <v>147</v>
      </c>
      <c r="C1741" s="896"/>
      <c r="D1741" s="957" t="s">
        <v>818</v>
      </c>
      <c r="E1741" s="907">
        <f>GLOBAL_DER_FEV_2023!E1741</f>
        <v>0</v>
      </c>
      <c r="F1741" s="908">
        <f>GLOBAL_DER_FEV_2023!F1741</f>
        <v>1.7250000000000001</v>
      </c>
      <c r="G1741" s="949">
        <f>GLOBAL_DER_FEV_2023!G1741</f>
        <v>4.6230000000000002</v>
      </c>
      <c r="H1741" s="901">
        <f>GLOBAL_DER_FEV_2023!H1741</f>
        <v>0</v>
      </c>
      <c r="I1741" s="901">
        <f>GLOBAL_DER_FEV_2023!I1741</f>
        <v>0</v>
      </c>
      <c r="J1741" s="902">
        <f>GLOBAL_DER_FEV_2023!J1741</f>
        <v>0</v>
      </c>
      <c r="K1741" s="958" t="s">
        <v>507</v>
      </c>
      <c r="L1741" s="959"/>
      <c r="M1741" s="1157">
        <f t="shared" si="127"/>
        <v>0</v>
      </c>
      <c r="N1741" s="1176">
        <f t="shared" si="131"/>
        <v>0</v>
      </c>
      <c r="O1741" s="905"/>
      <c r="P1741" s="58" t="str">
        <f>IF(N1740&gt;0,"xx",IF(N1740&gt;0,"xy",""))</f>
        <v/>
      </c>
      <c r="Q1741" s="317" t="str">
        <f t="shared" si="128"/>
        <v/>
      </c>
      <c r="R1741" s="317" t="str">
        <f t="shared" si="129"/>
        <v/>
      </c>
      <c r="S1741" s="317" t="str">
        <f t="shared" si="130"/>
        <v/>
      </c>
      <c r="T1741" s="317" t="str">
        <f>GLOBAL_DER_FEV_2023!S1741</f>
        <v/>
      </c>
      <c r="W1741" s="582">
        <v>0</v>
      </c>
      <c r="X1741" s="580"/>
      <c r="Y1741" s="583">
        <f>IF(GLOBAL_DER_FEV_2023!W1741=0,0,IF(GLOBAL_DER_FEV_2023!W1741&gt;0,"c","b"))</f>
        <v>0</v>
      </c>
    </row>
    <row r="1742" spans="1:25" ht="15" hidden="1" customHeight="1" x14ac:dyDescent="0.2">
      <c r="A1742" s="317" t="s">
        <v>147</v>
      </c>
      <c r="B1742" s="895" t="s">
        <v>147</v>
      </c>
      <c r="C1742" s="896"/>
      <c r="D1742" s="957" t="s">
        <v>323</v>
      </c>
      <c r="E1742" s="907">
        <f>GLOBAL_DER_FEV_2023!E1742</f>
        <v>45</v>
      </c>
      <c r="F1742" s="908">
        <f>GLOBAL_DER_FEV_2023!F1742</f>
        <v>1.29E-2</v>
      </c>
      <c r="G1742" s="949">
        <f>GLOBAL_DER_FEV_2023!G1742</f>
        <v>0.65570699999999993</v>
      </c>
      <c r="H1742" s="901">
        <f>GLOBAL_DER_FEV_2023!H1742</f>
        <v>0</v>
      </c>
      <c r="I1742" s="901">
        <f>GLOBAL_DER_FEV_2023!I1742</f>
        <v>0</v>
      </c>
      <c r="J1742" s="902">
        <f>GLOBAL_DER_FEV_2023!J1742</f>
        <v>0</v>
      </c>
      <c r="K1742" s="958" t="s">
        <v>507</v>
      </c>
      <c r="L1742" s="959"/>
      <c r="M1742" s="1157">
        <f t="shared" si="127"/>
        <v>0</v>
      </c>
      <c r="N1742" s="1176">
        <f t="shared" si="131"/>
        <v>0</v>
      </c>
      <c r="O1742" s="905"/>
      <c r="P1742" s="58" t="str">
        <f>IF(N1740&gt;0,"xx",IF(N1740&gt;0,"xy",""))</f>
        <v/>
      </c>
      <c r="Q1742" s="317" t="str">
        <f t="shared" si="128"/>
        <v/>
      </c>
      <c r="R1742" s="317" t="str">
        <f t="shared" si="129"/>
        <v/>
      </c>
      <c r="S1742" s="317" t="str">
        <f t="shared" si="130"/>
        <v/>
      </c>
      <c r="T1742" s="317" t="str">
        <f>GLOBAL_DER_FEV_2023!S1742</f>
        <v/>
      </c>
      <c r="W1742" s="582">
        <v>0</v>
      </c>
      <c r="X1742" s="580"/>
      <c r="Y1742" s="583">
        <f>IF(GLOBAL_DER_FEV_2023!W1742=0,0,IF(GLOBAL_DER_FEV_2023!W1742&gt;0,"c","b"))</f>
        <v>0</v>
      </c>
    </row>
    <row r="1743" spans="1:25" ht="15" hidden="1" customHeight="1" x14ac:dyDescent="0.2">
      <c r="A1743" s="317">
        <v>860150</v>
      </c>
      <c r="B1743" s="895">
        <v>860150</v>
      </c>
      <c r="C1743" s="896" t="s">
        <v>184</v>
      </c>
      <c r="D1743" s="906" t="s">
        <v>820</v>
      </c>
      <c r="E1743" s="907">
        <f>GLOBAL_DER_FEV_2023!E1743</f>
        <v>0</v>
      </c>
      <c r="F1743" s="908">
        <f>GLOBAL_DER_FEV_2023!F1743</f>
        <v>0</v>
      </c>
      <c r="G1743" s="912">
        <f>GLOBAL_DER_FEV_2023!G1743</f>
        <v>5.0550550000000003</v>
      </c>
      <c r="H1743" s="901">
        <f>GLOBAL_DER_FEV_2023!H1743</f>
        <v>688.53</v>
      </c>
      <c r="I1743" s="901">
        <f>GLOBAL_DER_FEV_2023!I1743</f>
        <v>693.58505500000001</v>
      </c>
      <c r="J1743" s="902">
        <f>GLOBAL_DER_FEV_2023!J1743</f>
        <v>832.79</v>
      </c>
      <c r="K1743" s="903" t="s">
        <v>10</v>
      </c>
      <c r="L1743" s="1137"/>
      <c r="M1743" s="1138">
        <f t="shared" si="127"/>
        <v>0</v>
      </c>
      <c r="N1743" s="1176">
        <f t="shared" si="131"/>
        <v>0</v>
      </c>
      <c r="O1743" s="905"/>
      <c r="Q1743" s="317" t="str">
        <f t="shared" si="128"/>
        <v/>
      </c>
      <c r="R1743" s="317" t="str">
        <f t="shared" si="129"/>
        <v/>
      </c>
      <c r="S1743" s="317" t="str">
        <f t="shared" si="130"/>
        <v/>
      </c>
      <c r="T1743" s="317" t="str">
        <f>GLOBAL_DER_FEV_2023!S1743</f>
        <v/>
      </c>
      <c r="W1743" s="582">
        <v>0</v>
      </c>
      <c r="X1743" s="580"/>
      <c r="Y1743" s="583">
        <f>IF(GLOBAL_DER_FEV_2023!W1743=0,0,IF(GLOBAL_DER_FEV_2023!W1743&gt;0,"c","b"))</f>
        <v>0</v>
      </c>
    </row>
    <row r="1744" spans="1:25" ht="15" hidden="1" customHeight="1" x14ac:dyDescent="0.2">
      <c r="A1744" s="317" t="s">
        <v>147</v>
      </c>
      <c r="B1744" s="895" t="s">
        <v>147</v>
      </c>
      <c r="C1744" s="896"/>
      <c r="D1744" s="957" t="s">
        <v>818</v>
      </c>
      <c r="E1744" s="907">
        <f>GLOBAL_DER_FEV_2023!E1744</f>
        <v>0</v>
      </c>
      <c r="F1744" s="908">
        <f>GLOBAL_DER_FEV_2023!F1744</f>
        <v>1.7250000000000001</v>
      </c>
      <c r="G1744" s="949">
        <f>GLOBAL_DER_FEV_2023!G1744</f>
        <v>4.6230000000000002</v>
      </c>
      <c r="H1744" s="901">
        <f>GLOBAL_DER_FEV_2023!H1744</f>
        <v>0</v>
      </c>
      <c r="I1744" s="901">
        <f>GLOBAL_DER_FEV_2023!I1744</f>
        <v>0</v>
      </c>
      <c r="J1744" s="902">
        <f>GLOBAL_DER_FEV_2023!J1744</f>
        <v>0</v>
      </c>
      <c r="K1744" s="958" t="s">
        <v>507</v>
      </c>
      <c r="L1744" s="959"/>
      <c r="M1744" s="1157">
        <f t="shared" si="127"/>
        <v>0</v>
      </c>
      <c r="N1744" s="1176">
        <f t="shared" si="131"/>
        <v>0</v>
      </c>
      <c r="O1744" s="905"/>
      <c r="P1744" s="58" t="str">
        <f>IF(N1743&gt;0,"xx",IF(N1743&gt;0,"xy",""))</f>
        <v/>
      </c>
      <c r="Q1744" s="317" t="str">
        <f t="shared" si="128"/>
        <v/>
      </c>
      <c r="R1744" s="317" t="str">
        <f t="shared" si="129"/>
        <v/>
      </c>
      <c r="S1744" s="317" t="str">
        <f t="shared" si="130"/>
        <v/>
      </c>
      <c r="T1744" s="317" t="str">
        <f>GLOBAL_DER_FEV_2023!S1744</f>
        <v/>
      </c>
      <c r="W1744" s="582">
        <v>0</v>
      </c>
      <c r="X1744" s="580"/>
      <c r="Y1744" s="583">
        <f>IF(GLOBAL_DER_FEV_2023!W1744=0,0,IF(GLOBAL_DER_FEV_2023!W1744&gt;0,"c","b"))</f>
        <v>0</v>
      </c>
    </row>
    <row r="1745" spans="1:25" ht="15" hidden="1" customHeight="1" x14ac:dyDescent="0.2">
      <c r="A1745" s="317" t="s">
        <v>147</v>
      </c>
      <c r="B1745" s="895" t="s">
        <v>147</v>
      </c>
      <c r="C1745" s="896"/>
      <c r="D1745" s="957" t="s">
        <v>323</v>
      </c>
      <c r="E1745" s="907">
        <f>GLOBAL_DER_FEV_2023!E1745</f>
        <v>45</v>
      </c>
      <c r="F1745" s="908">
        <f>GLOBAL_DER_FEV_2023!F1745</f>
        <v>8.5000000000000006E-3</v>
      </c>
      <c r="G1745" s="949">
        <f>GLOBAL_DER_FEV_2023!G1745</f>
        <v>0.43205500000000002</v>
      </c>
      <c r="H1745" s="901">
        <f>GLOBAL_DER_FEV_2023!H1745</f>
        <v>0</v>
      </c>
      <c r="I1745" s="901">
        <f>GLOBAL_DER_FEV_2023!I1745</f>
        <v>0</v>
      </c>
      <c r="J1745" s="902">
        <f>GLOBAL_DER_FEV_2023!J1745</f>
        <v>0</v>
      </c>
      <c r="K1745" s="958" t="s">
        <v>507</v>
      </c>
      <c r="L1745" s="959"/>
      <c r="M1745" s="1157">
        <f t="shared" si="127"/>
        <v>0</v>
      </c>
      <c r="N1745" s="1176">
        <f t="shared" si="131"/>
        <v>0</v>
      </c>
      <c r="O1745" s="905"/>
      <c r="P1745" s="58" t="str">
        <f>IF(N1743&gt;0,"xx",IF(N1743&gt;0,"xy",""))</f>
        <v/>
      </c>
      <c r="Q1745" s="317" t="str">
        <f t="shared" si="128"/>
        <v/>
      </c>
      <c r="R1745" s="317" t="str">
        <f t="shared" si="129"/>
        <v/>
      </c>
      <c r="S1745" s="317" t="str">
        <f t="shared" si="130"/>
        <v/>
      </c>
      <c r="T1745" s="317" t="str">
        <f>GLOBAL_DER_FEV_2023!S1745</f>
        <v/>
      </c>
      <c r="W1745" s="582">
        <v>0</v>
      </c>
      <c r="X1745" s="580"/>
      <c r="Y1745" s="583">
        <f>IF(GLOBAL_DER_FEV_2023!W1745=0,0,IF(GLOBAL_DER_FEV_2023!W1745&gt;0,"c","b"))</f>
        <v>0</v>
      </c>
    </row>
    <row r="1746" spans="1:25" ht="15" hidden="1" customHeight="1" x14ac:dyDescent="0.2">
      <c r="A1746" s="317">
        <v>860000</v>
      </c>
      <c r="B1746" s="895">
        <v>860000</v>
      </c>
      <c r="C1746" s="896" t="s">
        <v>184</v>
      </c>
      <c r="D1746" s="906" t="s">
        <v>821</v>
      </c>
      <c r="E1746" s="907">
        <f>GLOBAL_DER_FEV_2023!E1746</f>
        <v>0</v>
      </c>
      <c r="F1746" s="908">
        <f>GLOBAL_DER_FEV_2023!F1746</f>
        <v>0</v>
      </c>
      <c r="G1746" s="912">
        <f>GLOBAL_DER_FEV_2023!G1746</f>
        <v>5.085553</v>
      </c>
      <c r="H1746" s="901">
        <f>GLOBAL_DER_FEV_2023!H1746</f>
        <v>622.92999999999995</v>
      </c>
      <c r="I1746" s="901">
        <f>GLOBAL_DER_FEV_2023!I1746</f>
        <v>628.01555299999995</v>
      </c>
      <c r="J1746" s="902">
        <f>GLOBAL_DER_FEV_2023!J1746</f>
        <v>754.06</v>
      </c>
      <c r="K1746" s="903" t="s">
        <v>10</v>
      </c>
      <c r="L1746" s="1137"/>
      <c r="M1746" s="1138">
        <f t="shared" ref="M1746:M1809" si="132">IF(L1746=0,0,ROUND(J1746,2))</f>
        <v>0</v>
      </c>
      <c r="N1746" s="1176">
        <f t="shared" si="131"/>
        <v>0</v>
      </c>
      <c r="O1746" s="905"/>
      <c r="Q1746" s="317" t="str">
        <f t="shared" si="128"/>
        <v/>
      </c>
      <c r="R1746" s="317" t="str">
        <f t="shared" si="129"/>
        <v/>
      </c>
      <c r="S1746" s="317" t="str">
        <f t="shared" si="130"/>
        <v/>
      </c>
      <c r="T1746" s="317" t="str">
        <f>GLOBAL_DER_FEV_2023!S1746</f>
        <v/>
      </c>
      <c r="W1746" s="582">
        <v>0</v>
      </c>
      <c r="X1746" s="580"/>
      <c r="Y1746" s="583">
        <f>IF(GLOBAL_DER_FEV_2023!W1746=0,0,IF(GLOBAL_DER_FEV_2023!W1746&gt;0,"c","b"))</f>
        <v>0</v>
      </c>
    </row>
    <row r="1747" spans="1:25" ht="15" hidden="1" customHeight="1" x14ac:dyDescent="0.2">
      <c r="A1747" s="317" t="s">
        <v>147</v>
      </c>
      <c r="B1747" s="895" t="s">
        <v>147</v>
      </c>
      <c r="C1747" s="896"/>
      <c r="D1747" s="957" t="s">
        <v>818</v>
      </c>
      <c r="E1747" s="907">
        <f>GLOBAL_DER_FEV_2023!E1747</f>
        <v>0</v>
      </c>
      <c r="F1747" s="908">
        <f>GLOBAL_DER_FEV_2023!F1747</f>
        <v>1.7250000000000001</v>
      </c>
      <c r="G1747" s="949">
        <f>GLOBAL_DER_FEV_2023!G1747</f>
        <v>4.6230000000000002</v>
      </c>
      <c r="H1747" s="901">
        <f>GLOBAL_DER_FEV_2023!H1747</f>
        <v>0</v>
      </c>
      <c r="I1747" s="901">
        <f>GLOBAL_DER_FEV_2023!I1747</f>
        <v>0</v>
      </c>
      <c r="J1747" s="902">
        <f>GLOBAL_DER_FEV_2023!J1747</f>
        <v>0</v>
      </c>
      <c r="K1747" s="958" t="s">
        <v>507</v>
      </c>
      <c r="L1747" s="959"/>
      <c r="M1747" s="1157">
        <f t="shared" si="132"/>
        <v>0</v>
      </c>
      <c r="N1747" s="1176">
        <f t="shared" si="131"/>
        <v>0</v>
      </c>
      <c r="O1747" s="905"/>
      <c r="P1747" s="58" t="str">
        <f>IF(N1746&gt;0,"xx",IF(N1746&gt;0,"xy",""))</f>
        <v/>
      </c>
      <c r="Q1747" s="317" t="str">
        <f t="shared" si="128"/>
        <v/>
      </c>
      <c r="R1747" s="317" t="str">
        <f t="shared" si="129"/>
        <v/>
      </c>
      <c r="S1747" s="317" t="str">
        <f t="shared" si="130"/>
        <v/>
      </c>
      <c r="T1747" s="317" t="str">
        <f>GLOBAL_DER_FEV_2023!S1747</f>
        <v/>
      </c>
      <c r="W1747" s="582">
        <v>0</v>
      </c>
      <c r="X1747" s="580"/>
      <c r="Y1747" s="583">
        <f>IF(GLOBAL_DER_FEV_2023!W1747=0,0,IF(GLOBAL_DER_FEV_2023!W1747&gt;0,"c","b"))</f>
        <v>0</v>
      </c>
    </row>
    <row r="1748" spans="1:25" ht="15" hidden="1" customHeight="1" x14ac:dyDescent="0.2">
      <c r="A1748" s="317" t="s">
        <v>147</v>
      </c>
      <c r="B1748" s="895" t="s">
        <v>147</v>
      </c>
      <c r="C1748" s="896"/>
      <c r="D1748" s="957" t="s">
        <v>323</v>
      </c>
      <c r="E1748" s="907">
        <f>GLOBAL_DER_FEV_2023!E1748</f>
        <v>45</v>
      </c>
      <c r="F1748" s="908">
        <f>GLOBAL_DER_FEV_2023!F1748</f>
        <v>9.1000000000000004E-3</v>
      </c>
      <c r="G1748" s="949">
        <f>GLOBAL_DER_FEV_2023!G1748</f>
        <v>0.46255299999999999</v>
      </c>
      <c r="H1748" s="901">
        <f>GLOBAL_DER_FEV_2023!H1748</f>
        <v>0</v>
      </c>
      <c r="I1748" s="901">
        <f>GLOBAL_DER_FEV_2023!I1748</f>
        <v>0</v>
      </c>
      <c r="J1748" s="902">
        <f>GLOBAL_DER_FEV_2023!J1748</f>
        <v>0</v>
      </c>
      <c r="K1748" s="958" t="s">
        <v>507</v>
      </c>
      <c r="L1748" s="959"/>
      <c r="M1748" s="1157">
        <f t="shared" si="132"/>
        <v>0</v>
      </c>
      <c r="N1748" s="1176">
        <f t="shared" si="131"/>
        <v>0</v>
      </c>
      <c r="O1748" s="905"/>
      <c r="P1748" s="58" t="str">
        <f>IF(N1746&gt;0,"xx",IF(N1746&gt;0,"xy",""))</f>
        <v/>
      </c>
      <c r="Q1748" s="317" t="str">
        <f t="shared" si="128"/>
        <v/>
      </c>
      <c r="R1748" s="317" t="str">
        <f t="shared" si="129"/>
        <v/>
      </c>
      <c r="S1748" s="317" t="str">
        <f t="shared" si="130"/>
        <v/>
      </c>
      <c r="T1748" s="317" t="str">
        <f>GLOBAL_DER_FEV_2023!S1748</f>
        <v/>
      </c>
      <c r="W1748" s="582">
        <v>0</v>
      </c>
      <c r="X1748" s="580"/>
      <c r="Y1748" s="583">
        <f>IF(GLOBAL_DER_FEV_2023!W1748=0,0,IF(GLOBAL_DER_FEV_2023!W1748&gt;0,"c","b"))</f>
        <v>0</v>
      </c>
    </row>
    <row r="1749" spans="1:25" ht="15" hidden="1" customHeight="1" x14ac:dyDescent="0.2">
      <c r="A1749" s="317">
        <v>860017</v>
      </c>
      <c r="B1749" s="895">
        <v>860017</v>
      </c>
      <c r="C1749" s="896" t="s">
        <v>184</v>
      </c>
      <c r="D1749" s="906" t="s">
        <v>822</v>
      </c>
      <c r="E1749" s="907">
        <f>GLOBAL_DER_FEV_2023!E1749</f>
        <v>0</v>
      </c>
      <c r="F1749" s="908">
        <f>GLOBAL_DER_FEV_2023!F1749</f>
        <v>0</v>
      </c>
      <c r="G1749" s="912">
        <f>GLOBAL_DER_FEV_2023!G1749</f>
        <v>0.98190500000000003</v>
      </c>
      <c r="H1749" s="901">
        <f>GLOBAL_DER_FEV_2023!H1749</f>
        <v>213.32</v>
      </c>
      <c r="I1749" s="901">
        <f>GLOBAL_DER_FEV_2023!I1749</f>
        <v>214.301905</v>
      </c>
      <c r="J1749" s="902">
        <f>GLOBAL_DER_FEV_2023!J1749</f>
        <v>257.31</v>
      </c>
      <c r="K1749" s="903" t="s">
        <v>10</v>
      </c>
      <c r="L1749" s="1137"/>
      <c r="M1749" s="1138">
        <f t="shared" si="132"/>
        <v>0</v>
      </c>
      <c r="N1749" s="1176">
        <f t="shared" si="131"/>
        <v>0</v>
      </c>
      <c r="O1749" s="905"/>
      <c r="Q1749" s="317" t="str">
        <f t="shared" si="128"/>
        <v/>
      </c>
      <c r="R1749" s="317" t="str">
        <f t="shared" si="129"/>
        <v/>
      </c>
      <c r="S1749" s="317" t="str">
        <f t="shared" si="130"/>
        <v/>
      </c>
      <c r="T1749" s="317" t="str">
        <f>GLOBAL_DER_FEV_2023!S1749</f>
        <v/>
      </c>
      <c r="W1749" s="582">
        <v>0</v>
      </c>
      <c r="X1749" s="580"/>
      <c r="Y1749" s="583">
        <f>IF(GLOBAL_DER_FEV_2023!W1749=0,0,IF(GLOBAL_DER_FEV_2023!W1749&gt;0,"c","b"))</f>
        <v>0</v>
      </c>
    </row>
    <row r="1750" spans="1:25" ht="15" hidden="1" customHeight="1" x14ac:dyDescent="0.2">
      <c r="A1750" s="317" t="s">
        <v>147</v>
      </c>
      <c r="B1750" s="895" t="s">
        <v>147</v>
      </c>
      <c r="C1750" s="896"/>
      <c r="D1750" s="957" t="s">
        <v>818</v>
      </c>
      <c r="E1750" s="907">
        <f>GLOBAL_DER_FEV_2023!E1750</f>
        <v>0</v>
      </c>
      <c r="F1750" s="908">
        <f>GLOBAL_DER_FEV_2023!F1750</f>
        <v>0.3</v>
      </c>
      <c r="G1750" s="949">
        <f>GLOBAL_DER_FEV_2023!G1750</f>
        <v>0.80400000000000005</v>
      </c>
      <c r="H1750" s="901">
        <f>GLOBAL_DER_FEV_2023!H1750</f>
        <v>0</v>
      </c>
      <c r="I1750" s="901">
        <f>GLOBAL_DER_FEV_2023!I1750</f>
        <v>0</v>
      </c>
      <c r="J1750" s="902">
        <f>GLOBAL_DER_FEV_2023!J1750</f>
        <v>0</v>
      </c>
      <c r="K1750" s="958" t="s">
        <v>507</v>
      </c>
      <c r="L1750" s="959"/>
      <c r="M1750" s="1157">
        <f t="shared" si="132"/>
        <v>0</v>
      </c>
      <c r="N1750" s="1176">
        <f t="shared" si="131"/>
        <v>0</v>
      </c>
      <c r="O1750" s="905"/>
      <c r="P1750" s="58" t="str">
        <f>IF(N1749&gt;0,"xx",IF(N1749&gt;0,"xy",""))</f>
        <v/>
      </c>
      <c r="Q1750" s="317" t="str">
        <f t="shared" si="128"/>
        <v/>
      </c>
      <c r="R1750" s="317" t="str">
        <f t="shared" si="129"/>
        <v/>
      </c>
      <c r="S1750" s="317" t="str">
        <f t="shared" si="130"/>
        <v/>
      </c>
      <c r="T1750" s="317" t="str">
        <f>GLOBAL_DER_FEV_2023!S1750</f>
        <v/>
      </c>
      <c r="W1750" s="582">
        <v>0</v>
      </c>
      <c r="X1750" s="580"/>
      <c r="Y1750" s="583">
        <f>IF(GLOBAL_DER_FEV_2023!W1750=0,0,IF(GLOBAL_DER_FEV_2023!W1750&gt;0,"c","b"))</f>
        <v>0</v>
      </c>
    </row>
    <row r="1751" spans="1:25" ht="15" hidden="1" customHeight="1" x14ac:dyDescent="0.2">
      <c r="A1751" s="317" t="s">
        <v>147</v>
      </c>
      <c r="B1751" s="895" t="s">
        <v>147</v>
      </c>
      <c r="C1751" s="896"/>
      <c r="D1751" s="957" t="s">
        <v>323</v>
      </c>
      <c r="E1751" s="907">
        <f>GLOBAL_DER_FEV_2023!E1751</f>
        <v>45</v>
      </c>
      <c r="F1751" s="908">
        <f>GLOBAL_DER_FEV_2023!F1751</f>
        <v>3.5000000000000001E-3</v>
      </c>
      <c r="G1751" s="949">
        <f>GLOBAL_DER_FEV_2023!G1751</f>
        <v>0.17790500000000001</v>
      </c>
      <c r="H1751" s="901">
        <f>GLOBAL_DER_FEV_2023!H1751</f>
        <v>0</v>
      </c>
      <c r="I1751" s="901">
        <f>GLOBAL_DER_FEV_2023!I1751</f>
        <v>0</v>
      </c>
      <c r="J1751" s="902">
        <f>GLOBAL_DER_FEV_2023!J1751</f>
        <v>0</v>
      </c>
      <c r="K1751" s="958" t="s">
        <v>507</v>
      </c>
      <c r="L1751" s="959"/>
      <c r="M1751" s="1157">
        <f t="shared" si="132"/>
        <v>0</v>
      </c>
      <c r="N1751" s="1176">
        <f t="shared" si="131"/>
        <v>0</v>
      </c>
      <c r="O1751" s="905"/>
      <c r="P1751" s="58" t="str">
        <f>IF(N1749&gt;0,"xx",IF(N1749&gt;0,"xy",""))</f>
        <v/>
      </c>
      <c r="Q1751" s="317" t="str">
        <f t="shared" si="128"/>
        <v/>
      </c>
      <c r="R1751" s="317" t="str">
        <f t="shared" si="129"/>
        <v/>
      </c>
      <c r="S1751" s="317" t="str">
        <f t="shared" si="130"/>
        <v/>
      </c>
      <c r="T1751" s="317" t="str">
        <f>GLOBAL_DER_FEV_2023!S1751</f>
        <v/>
      </c>
      <c r="W1751" s="582">
        <v>0</v>
      </c>
      <c r="X1751" s="580"/>
      <c r="Y1751" s="583">
        <f>IF(GLOBAL_DER_FEV_2023!W1751=0,0,IF(GLOBAL_DER_FEV_2023!W1751&gt;0,"c","b"))</f>
        <v>0</v>
      </c>
    </row>
    <row r="1752" spans="1:25" ht="15" hidden="1" customHeight="1" x14ac:dyDescent="0.2">
      <c r="A1752" s="317">
        <v>860023</v>
      </c>
      <c r="B1752" s="895">
        <v>860023</v>
      </c>
      <c r="C1752" s="896" t="s">
        <v>184</v>
      </c>
      <c r="D1752" s="906" t="s">
        <v>823</v>
      </c>
      <c r="E1752" s="907">
        <f>GLOBAL_DER_FEV_2023!E1752</f>
        <v>0</v>
      </c>
      <c r="F1752" s="908">
        <f>GLOBAL_DER_FEV_2023!F1752</f>
        <v>0</v>
      </c>
      <c r="G1752" s="912">
        <f>GLOBAL_DER_FEV_2023!G1752</f>
        <v>1.6003860000000001</v>
      </c>
      <c r="H1752" s="901">
        <f>GLOBAL_DER_FEV_2023!H1752</f>
        <v>257.19</v>
      </c>
      <c r="I1752" s="901">
        <f>GLOBAL_DER_FEV_2023!I1752</f>
        <v>258.79038600000001</v>
      </c>
      <c r="J1752" s="902">
        <f>GLOBAL_DER_FEV_2023!J1752</f>
        <v>310.73</v>
      </c>
      <c r="K1752" s="903" t="s">
        <v>10</v>
      </c>
      <c r="L1752" s="1137"/>
      <c r="M1752" s="1138">
        <f t="shared" si="132"/>
        <v>0</v>
      </c>
      <c r="N1752" s="1176">
        <f t="shared" si="131"/>
        <v>0</v>
      </c>
      <c r="O1752" s="905"/>
      <c r="Q1752" s="317" t="str">
        <f t="shared" si="128"/>
        <v/>
      </c>
      <c r="R1752" s="317" t="str">
        <f t="shared" si="129"/>
        <v/>
      </c>
      <c r="S1752" s="317" t="str">
        <f t="shared" si="130"/>
        <v/>
      </c>
      <c r="T1752" s="317" t="str">
        <f>GLOBAL_DER_FEV_2023!S1752</f>
        <v/>
      </c>
      <c r="W1752" s="582">
        <v>0</v>
      </c>
      <c r="X1752" s="580"/>
      <c r="Y1752" s="583">
        <f>IF(GLOBAL_DER_FEV_2023!W1752=0,0,IF(GLOBAL_DER_FEV_2023!W1752&gt;0,"c","b"))</f>
        <v>0</v>
      </c>
    </row>
    <row r="1753" spans="1:25" ht="15" hidden="1" customHeight="1" x14ac:dyDescent="0.2">
      <c r="A1753" s="317" t="s">
        <v>147</v>
      </c>
      <c r="B1753" s="895" t="s">
        <v>147</v>
      </c>
      <c r="C1753" s="896"/>
      <c r="D1753" s="957" t="s">
        <v>818</v>
      </c>
      <c r="E1753" s="907">
        <f>GLOBAL_DER_FEV_2023!E1753</f>
        <v>0</v>
      </c>
      <c r="F1753" s="908">
        <f>GLOBAL_DER_FEV_2023!F1753</f>
        <v>0.51749999999999996</v>
      </c>
      <c r="G1753" s="949">
        <f>GLOBAL_DER_FEV_2023!G1753</f>
        <v>1.3869</v>
      </c>
      <c r="H1753" s="901">
        <f>GLOBAL_DER_FEV_2023!H1753</f>
        <v>0</v>
      </c>
      <c r="I1753" s="901">
        <f>GLOBAL_DER_FEV_2023!I1753</f>
        <v>0</v>
      </c>
      <c r="J1753" s="902">
        <f>GLOBAL_DER_FEV_2023!J1753</f>
        <v>0</v>
      </c>
      <c r="K1753" s="958" t="s">
        <v>507</v>
      </c>
      <c r="L1753" s="959"/>
      <c r="M1753" s="1157">
        <f t="shared" si="132"/>
        <v>0</v>
      </c>
      <c r="N1753" s="1176">
        <f t="shared" si="131"/>
        <v>0</v>
      </c>
      <c r="O1753" s="905"/>
      <c r="P1753" s="58" t="str">
        <f>IF(N1752&gt;0,"xx",IF(N1752&gt;0,"xy",""))</f>
        <v/>
      </c>
      <c r="Q1753" s="317" t="str">
        <f t="shared" si="128"/>
        <v/>
      </c>
      <c r="R1753" s="317" t="str">
        <f t="shared" si="129"/>
        <v/>
      </c>
      <c r="S1753" s="317" t="str">
        <f t="shared" si="130"/>
        <v/>
      </c>
      <c r="T1753" s="317" t="str">
        <f>GLOBAL_DER_FEV_2023!S1753</f>
        <v/>
      </c>
      <c r="W1753" s="582">
        <v>0</v>
      </c>
      <c r="X1753" s="580"/>
      <c r="Y1753" s="583">
        <f>IF(GLOBAL_DER_FEV_2023!W1753=0,0,IF(GLOBAL_DER_FEV_2023!W1753&gt;0,"c","b"))</f>
        <v>0</v>
      </c>
    </row>
    <row r="1754" spans="1:25" ht="15" hidden="1" customHeight="1" x14ac:dyDescent="0.2">
      <c r="A1754" s="317" t="s">
        <v>147</v>
      </c>
      <c r="B1754" s="895" t="s">
        <v>147</v>
      </c>
      <c r="C1754" s="896"/>
      <c r="D1754" s="957" t="s">
        <v>323</v>
      </c>
      <c r="E1754" s="907">
        <f>GLOBAL_DER_FEV_2023!E1754</f>
        <v>45</v>
      </c>
      <c r="F1754" s="908">
        <f>GLOBAL_DER_FEV_2023!F1754</f>
        <v>4.1999999999999997E-3</v>
      </c>
      <c r="G1754" s="949">
        <f>GLOBAL_DER_FEV_2023!G1754</f>
        <v>0.21348599999999998</v>
      </c>
      <c r="H1754" s="901">
        <f>GLOBAL_DER_FEV_2023!H1754</f>
        <v>0</v>
      </c>
      <c r="I1754" s="901">
        <f>GLOBAL_DER_FEV_2023!I1754</f>
        <v>0</v>
      </c>
      <c r="J1754" s="902">
        <f>GLOBAL_DER_FEV_2023!J1754</f>
        <v>0</v>
      </c>
      <c r="K1754" s="958" t="s">
        <v>507</v>
      </c>
      <c r="L1754" s="959"/>
      <c r="M1754" s="1157">
        <f t="shared" si="132"/>
        <v>0</v>
      </c>
      <c r="N1754" s="1176">
        <f t="shared" si="131"/>
        <v>0</v>
      </c>
      <c r="O1754" s="905"/>
      <c r="P1754" s="58" t="str">
        <f>IF(N1752&gt;0,"xx",IF(N1752&gt;0,"xy",""))</f>
        <v/>
      </c>
      <c r="Q1754" s="317" t="str">
        <f t="shared" si="128"/>
        <v/>
      </c>
      <c r="R1754" s="317" t="str">
        <f t="shared" si="129"/>
        <v/>
      </c>
      <c r="S1754" s="317" t="str">
        <f t="shared" si="130"/>
        <v/>
      </c>
      <c r="T1754" s="317" t="str">
        <f>GLOBAL_DER_FEV_2023!S1754</f>
        <v/>
      </c>
      <c r="W1754" s="582">
        <v>0</v>
      </c>
      <c r="X1754" s="580"/>
      <c r="Y1754" s="583">
        <f>IF(GLOBAL_DER_FEV_2023!W1754=0,0,IF(GLOBAL_DER_FEV_2023!W1754&gt;0,"c","b"))</f>
        <v>0</v>
      </c>
    </row>
    <row r="1755" spans="1:25" ht="15" hidden="1" customHeight="1" x14ac:dyDescent="0.2">
      <c r="A1755" s="317">
        <v>861030</v>
      </c>
      <c r="B1755" s="895">
        <v>861030</v>
      </c>
      <c r="C1755" s="896" t="s">
        <v>184</v>
      </c>
      <c r="D1755" s="906" t="s">
        <v>824</v>
      </c>
      <c r="E1755" s="907">
        <f>GLOBAL_DER_FEV_2023!E1755</f>
        <v>0</v>
      </c>
      <c r="F1755" s="908">
        <f>GLOBAL_DER_FEV_2023!F1755</f>
        <v>0</v>
      </c>
      <c r="G1755" s="912">
        <f>GLOBAL_DER_FEV_2023!G1755</f>
        <v>5.2482090000000001</v>
      </c>
      <c r="H1755" s="901">
        <f>GLOBAL_DER_FEV_2023!H1755</f>
        <v>286.49</v>
      </c>
      <c r="I1755" s="901">
        <f>GLOBAL_DER_FEV_2023!I1755</f>
        <v>291.73820899999998</v>
      </c>
      <c r="J1755" s="902">
        <f>GLOBAL_DER_FEV_2023!J1755</f>
        <v>350.29</v>
      </c>
      <c r="K1755" s="903" t="s">
        <v>10</v>
      </c>
      <c r="L1755" s="1137"/>
      <c r="M1755" s="1138">
        <f t="shared" si="132"/>
        <v>0</v>
      </c>
      <c r="N1755" s="1176">
        <f t="shared" si="131"/>
        <v>0</v>
      </c>
      <c r="O1755" s="905"/>
      <c r="Q1755" s="317" t="str">
        <f t="shared" ref="Q1755:Q1818" si="133">IF(P1755="X","x",IF(P1755="xx","x",IF(P1755="xy","x",IF(P1755="y","x",IF(OR(N1755&gt;0,N1755&gt;0),"x","")))))</f>
        <v/>
      </c>
      <c r="R1755" s="317" t="str">
        <f t="shared" si="129"/>
        <v/>
      </c>
      <c r="S1755" s="317" t="str">
        <f t="shared" si="130"/>
        <v/>
      </c>
      <c r="T1755" s="317" t="str">
        <f>GLOBAL_DER_FEV_2023!S1755</f>
        <v/>
      </c>
      <c r="W1755" s="582">
        <v>0</v>
      </c>
      <c r="X1755" s="580"/>
      <c r="Y1755" s="583">
        <f>IF(GLOBAL_DER_FEV_2023!W1755=0,0,IF(GLOBAL_DER_FEV_2023!W1755&gt;0,"c","b"))</f>
        <v>0</v>
      </c>
    </row>
    <row r="1756" spans="1:25" ht="15" hidden="1" customHeight="1" x14ac:dyDescent="0.2">
      <c r="A1756" s="317" t="s">
        <v>147</v>
      </c>
      <c r="B1756" s="895" t="s">
        <v>147</v>
      </c>
      <c r="C1756" s="896"/>
      <c r="D1756" s="957" t="s">
        <v>818</v>
      </c>
      <c r="E1756" s="907">
        <f>GLOBAL_DER_FEV_2023!E1756</f>
        <v>0</v>
      </c>
      <c r="F1756" s="908">
        <f>GLOBAL_DER_FEV_2023!F1756</f>
        <v>1.7250000000000001</v>
      </c>
      <c r="G1756" s="949">
        <f>GLOBAL_DER_FEV_2023!G1756</f>
        <v>4.6230000000000002</v>
      </c>
      <c r="H1756" s="901">
        <f>GLOBAL_DER_FEV_2023!H1756</f>
        <v>0</v>
      </c>
      <c r="I1756" s="901">
        <f>GLOBAL_DER_FEV_2023!I1756</f>
        <v>0</v>
      </c>
      <c r="J1756" s="902">
        <f>GLOBAL_DER_FEV_2023!J1756</f>
        <v>0</v>
      </c>
      <c r="K1756" s="958" t="s">
        <v>507</v>
      </c>
      <c r="L1756" s="959"/>
      <c r="M1756" s="1157">
        <f t="shared" si="132"/>
        <v>0</v>
      </c>
      <c r="N1756" s="1176">
        <f t="shared" si="131"/>
        <v>0</v>
      </c>
      <c r="O1756" s="905"/>
      <c r="P1756" s="58" t="str">
        <f>IF(N1755&gt;0,"xx",IF(N1755&gt;0,"xy",""))</f>
        <v/>
      </c>
      <c r="Q1756" s="317" t="str">
        <f t="shared" si="133"/>
        <v/>
      </c>
      <c r="R1756" s="317" t="str">
        <f t="shared" si="129"/>
        <v/>
      </c>
      <c r="S1756" s="317" t="str">
        <f t="shared" si="130"/>
        <v/>
      </c>
      <c r="T1756" s="317" t="str">
        <f>GLOBAL_DER_FEV_2023!S1756</f>
        <v/>
      </c>
      <c r="W1756" s="582">
        <v>0</v>
      </c>
      <c r="X1756" s="580"/>
      <c r="Y1756" s="583">
        <f>IF(GLOBAL_DER_FEV_2023!W1756=0,0,IF(GLOBAL_DER_FEV_2023!W1756&gt;0,"c","b"))</f>
        <v>0</v>
      </c>
    </row>
    <row r="1757" spans="1:25" ht="15" hidden="1" customHeight="1" x14ac:dyDescent="0.2">
      <c r="A1757" s="317" t="s">
        <v>147</v>
      </c>
      <c r="B1757" s="895" t="s">
        <v>147</v>
      </c>
      <c r="C1757" s="896"/>
      <c r="D1757" s="957" t="s">
        <v>323</v>
      </c>
      <c r="E1757" s="907">
        <f>GLOBAL_DER_FEV_2023!E1757</f>
        <v>45</v>
      </c>
      <c r="F1757" s="908">
        <f>GLOBAL_DER_FEV_2023!F1757</f>
        <v>1.23E-2</v>
      </c>
      <c r="G1757" s="949">
        <f>GLOBAL_DER_FEV_2023!G1757</f>
        <v>0.62520900000000001</v>
      </c>
      <c r="H1757" s="901">
        <f>GLOBAL_DER_FEV_2023!H1757</f>
        <v>0</v>
      </c>
      <c r="I1757" s="901">
        <f>GLOBAL_DER_FEV_2023!I1757</f>
        <v>0</v>
      </c>
      <c r="J1757" s="902">
        <f>GLOBAL_DER_FEV_2023!J1757</f>
        <v>0</v>
      </c>
      <c r="K1757" s="958" t="s">
        <v>507</v>
      </c>
      <c r="L1757" s="959"/>
      <c r="M1757" s="1157">
        <f t="shared" si="132"/>
        <v>0</v>
      </c>
      <c r="N1757" s="1176">
        <f t="shared" si="131"/>
        <v>0</v>
      </c>
      <c r="O1757" s="905"/>
      <c r="P1757" s="58" t="str">
        <f>IF(N1755&gt;0,"xx",IF(N1755&gt;0,"xy",""))</f>
        <v/>
      </c>
      <c r="Q1757" s="317" t="str">
        <f t="shared" si="133"/>
        <v/>
      </c>
      <c r="R1757" s="317" t="str">
        <f t="shared" ref="R1757:R1820" si="134">IF(P1757="X","x",IF(P1757="y","x",IF(P1757="xx","x",IF(N1757&gt;0,"x",""))))</f>
        <v/>
      </c>
      <c r="S1757" s="317" t="str">
        <f t="shared" ref="S1757:S1820" si="135">IF(P1757="X","x",IF(N1757&gt;0,"x",""))</f>
        <v/>
      </c>
      <c r="T1757" s="317" t="str">
        <f>GLOBAL_DER_FEV_2023!S1757</f>
        <v/>
      </c>
      <c r="W1757" s="582">
        <v>0</v>
      </c>
      <c r="X1757" s="580"/>
      <c r="Y1757" s="583">
        <f>IF(GLOBAL_DER_FEV_2023!W1757=0,0,IF(GLOBAL_DER_FEV_2023!W1757&gt;0,"c","b"))</f>
        <v>0</v>
      </c>
    </row>
    <row r="1758" spans="1:25" ht="15" hidden="1" customHeight="1" x14ac:dyDescent="0.2">
      <c r="A1758" s="317">
        <v>601200</v>
      </c>
      <c r="B1758" s="895" t="s">
        <v>1811</v>
      </c>
      <c r="C1758" s="896" t="s">
        <v>184</v>
      </c>
      <c r="D1758" s="906" t="s">
        <v>1519</v>
      </c>
      <c r="E1758" s="907">
        <f>GLOBAL_DER_FEV_2023!E1758</f>
        <v>0</v>
      </c>
      <c r="F1758" s="908">
        <f>GLOBAL_DER_FEV_2023!F1758</f>
        <v>0</v>
      </c>
      <c r="G1758" s="912">
        <f>GLOBAL_DER_FEV_2023!G1758</f>
        <v>0</v>
      </c>
      <c r="H1758" s="901">
        <f>GLOBAL_DER_FEV_2023!H1758</f>
        <v>34.119999999999997</v>
      </c>
      <c r="I1758" s="901">
        <f>GLOBAL_DER_FEV_2023!I1758</f>
        <v>30.707999999999998</v>
      </c>
      <c r="J1758" s="902">
        <f>GLOBAL_DER_FEV_2023!J1758</f>
        <v>36.869999999999997</v>
      </c>
      <c r="K1758" s="903" t="s">
        <v>10</v>
      </c>
      <c r="L1758" s="1137"/>
      <c r="M1758" s="1138">
        <f t="shared" si="132"/>
        <v>0</v>
      </c>
      <c r="N1758" s="1176">
        <f t="shared" si="131"/>
        <v>0</v>
      </c>
      <c r="O1758" s="905"/>
      <c r="Q1758" s="317" t="str">
        <f t="shared" si="133"/>
        <v/>
      </c>
      <c r="R1758" s="317" t="str">
        <f t="shared" si="134"/>
        <v/>
      </c>
      <c r="S1758" s="317" t="str">
        <f t="shared" si="135"/>
        <v/>
      </c>
      <c r="T1758" s="317" t="str">
        <f>GLOBAL_DER_FEV_2023!S1758</f>
        <v/>
      </c>
      <c r="W1758" s="582">
        <v>0</v>
      </c>
      <c r="X1758" s="580"/>
      <c r="Y1758" s="583">
        <f>IF(GLOBAL_DER_FEV_2023!W1758=0,0,IF(GLOBAL_DER_FEV_2023!W1758&gt;0,"c","b"))</f>
        <v>0</v>
      </c>
    </row>
    <row r="1759" spans="1:25" ht="15" hidden="1" customHeight="1" x14ac:dyDescent="0.2">
      <c r="A1759" s="317">
        <v>601200</v>
      </c>
      <c r="B1759" s="895" t="s">
        <v>1812</v>
      </c>
      <c r="C1759" s="896" t="s">
        <v>184</v>
      </c>
      <c r="D1759" s="906" t="s">
        <v>325</v>
      </c>
      <c r="E1759" s="907">
        <f>GLOBAL_DER_FEV_2023!E1759</f>
        <v>0</v>
      </c>
      <c r="F1759" s="908">
        <f>GLOBAL_DER_FEV_2023!F1759</f>
        <v>0</v>
      </c>
      <c r="G1759" s="912">
        <f>GLOBAL_DER_FEV_2023!G1759</f>
        <v>0</v>
      </c>
      <c r="H1759" s="901">
        <f>GLOBAL_DER_FEV_2023!H1759</f>
        <v>34.119999999999997</v>
      </c>
      <c r="I1759" s="901">
        <f>GLOBAL_DER_FEV_2023!I1759</f>
        <v>30.707999999999998</v>
      </c>
      <c r="J1759" s="902">
        <f>GLOBAL_DER_FEV_2023!J1759</f>
        <v>36.869999999999997</v>
      </c>
      <c r="K1759" s="903" t="s">
        <v>1520</v>
      </c>
      <c r="L1759" s="1137"/>
      <c r="M1759" s="1138">
        <f t="shared" si="132"/>
        <v>0</v>
      </c>
      <c r="N1759" s="1176">
        <f t="shared" si="131"/>
        <v>0</v>
      </c>
      <c r="O1759" s="905"/>
      <c r="Q1759" s="317" t="str">
        <f t="shared" si="133"/>
        <v/>
      </c>
      <c r="R1759" s="317" t="str">
        <f t="shared" si="134"/>
        <v/>
      </c>
      <c r="S1759" s="317" t="str">
        <f t="shared" si="135"/>
        <v/>
      </c>
      <c r="T1759" s="317" t="str">
        <f>GLOBAL_DER_FEV_2023!S1759</f>
        <v/>
      </c>
      <c r="W1759" s="582">
        <v>0</v>
      </c>
      <c r="X1759" s="580"/>
      <c r="Y1759" s="583">
        <f>IF(GLOBAL_DER_FEV_2023!W1759=0,0,IF(GLOBAL_DER_FEV_2023!W1759&gt;0,"c","b"))</f>
        <v>0</v>
      </c>
    </row>
    <row r="1760" spans="1:25" ht="15" hidden="1" customHeight="1" x14ac:dyDescent="0.2">
      <c r="A1760" s="317">
        <v>97623</v>
      </c>
      <c r="B1760" s="895" t="s">
        <v>1728</v>
      </c>
      <c r="C1760" s="896" t="s">
        <v>596</v>
      </c>
      <c r="D1760" s="897" t="s">
        <v>1724</v>
      </c>
      <c r="E1760" s="898">
        <f>GLOBAL_DER_FEV_2023!E1760</f>
        <v>0</v>
      </c>
      <c r="F1760" s="899">
        <f>GLOBAL_DER_FEV_2023!F1760</f>
        <v>0</v>
      </c>
      <c r="G1760" s="900">
        <f>GLOBAL_DER_FEV_2023!G1760</f>
        <v>0</v>
      </c>
      <c r="H1760" s="901">
        <f>GLOBAL_DER_FEV_2023!H1760</f>
        <v>201.31</v>
      </c>
      <c r="I1760" s="901">
        <f>GLOBAL_DER_FEV_2023!I1760</f>
        <v>201.31</v>
      </c>
      <c r="J1760" s="902">
        <f>GLOBAL_DER_FEV_2023!J1760</f>
        <v>241.71</v>
      </c>
      <c r="K1760" s="903" t="s">
        <v>10</v>
      </c>
      <c r="L1760" s="1139"/>
      <c r="M1760" s="1140">
        <f t="shared" si="132"/>
        <v>0</v>
      </c>
      <c r="N1760" s="1176">
        <f t="shared" si="131"/>
        <v>0</v>
      </c>
      <c r="O1760" s="905"/>
      <c r="Q1760" s="317" t="str">
        <f t="shared" si="133"/>
        <v/>
      </c>
      <c r="R1760" s="317" t="str">
        <f t="shared" si="134"/>
        <v/>
      </c>
      <c r="S1760" s="317" t="str">
        <f t="shared" si="135"/>
        <v/>
      </c>
      <c r="T1760" s="317" t="str">
        <f>GLOBAL_DER_FEV_2023!S1760</f>
        <v/>
      </c>
      <c r="W1760" s="582">
        <v>0</v>
      </c>
      <c r="X1760" s="580"/>
      <c r="Y1760" s="583">
        <f>IF(GLOBAL_DER_FEV_2023!W1760=0,0,IF(GLOBAL_DER_FEV_2023!W1760&gt;0,"c","b"))</f>
        <v>0</v>
      </c>
    </row>
    <row r="1761" spans="1:25" ht="15" hidden="1" customHeight="1" x14ac:dyDescent="0.2">
      <c r="A1761" s="317">
        <v>97624</v>
      </c>
      <c r="B1761" s="895" t="s">
        <v>1727</v>
      </c>
      <c r="C1761" s="896" t="s">
        <v>596</v>
      </c>
      <c r="D1761" s="897" t="s">
        <v>1721</v>
      </c>
      <c r="E1761" s="898">
        <f>GLOBAL_DER_FEV_2023!E1761</f>
        <v>0</v>
      </c>
      <c r="F1761" s="899">
        <f>GLOBAL_DER_FEV_2023!F1761</f>
        <v>0</v>
      </c>
      <c r="G1761" s="900">
        <f>GLOBAL_DER_FEV_2023!G1761</f>
        <v>0</v>
      </c>
      <c r="H1761" s="901">
        <f>GLOBAL_DER_FEV_2023!H1761</f>
        <v>123.54</v>
      </c>
      <c r="I1761" s="901">
        <f>GLOBAL_DER_FEV_2023!I1761</f>
        <v>123.54</v>
      </c>
      <c r="J1761" s="902">
        <f>GLOBAL_DER_FEV_2023!J1761</f>
        <v>148.33000000000001</v>
      </c>
      <c r="K1761" s="903" t="s">
        <v>10</v>
      </c>
      <c r="L1761" s="1139"/>
      <c r="M1761" s="1140">
        <f t="shared" si="132"/>
        <v>0</v>
      </c>
      <c r="N1761" s="1176">
        <f t="shared" ref="N1761:N1824" si="136">IF(ISBLANK(L1761),0,IF(W1761=0,ROUND(L1761*M1761,2),IF(W1761="b",ROUNDDOWN(L1761*M1761,2),ROUNDUP(L1761*M1761,2))))</f>
        <v>0</v>
      </c>
      <c r="O1761" s="905"/>
      <c r="Q1761" s="317" t="str">
        <f t="shared" si="133"/>
        <v/>
      </c>
      <c r="R1761" s="317" t="str">
        <f t="shared" si="134"/>
        <v/>
      </c>
      <c r="S1761" s="317" t="str">
        <f t="shared" si="135"/>
        <v/>
      </c>
      <c r="T1761" s="317" t="str">
        <f>GLOBAL_DER_FEV_2023!S1761</f>
        <v/>
      </c>
      <c r="W1761" s="582">
        <v>0</v>
      </c>
      <c r="X1761" s="580"/>
      <c r="Y1761" s="583">
        <f>IF(GLOBAL_DER_FEV_2023!W1761=0,0,IF(GLOBAL_DER_FEV_2023!W1761&gt;0,"c","b"))</f>
        <v>0</v>
      </c>
    </row>
    <row r="1762" spans="1:25" ht="15" hidden="1" customHeight="1" x14ac:dyDescent="0.2">
      <c r="A1762" s="317">
        <v>606500</v>
      </c>
      <c r="B1762" s="895" t="s">
        <v>1729</v>
      </c>
      <c r="C1762" s="896" t="s">
        <v>184</v>
      </c>
      <c r="D1762" s="906" t="s">
        <v>466</v>
      </c>
      <c r="E1762" s="907">
        <f>GLOBAL_DER_FEV_2023!E1762</f>
        <v>0</v>
      </c>
      <c r="F1762" s="908">
        <f>GLOBAL_DER_FEV_2023!F1762</f>
        <v>0</v>
      </c>
      <c r="G1762" s="912">
        <f>GLOBAL_DER_FEV_2023!G1762</f>
        <v>0</v>
      </c>
      <c r="H1762" s="901">
        <f>GLOBAL_DER_FEV_2023!H1762</f>
        <v>182.46</v>
      </c>
      <c r="I1762" s="901">
        <f>GLOBAL_DER_FEV_2023!I1762</f>
        <v>182.46</v>
      </c>
      <c r="J1762" s="902">
        <f>GLOBAL_DER_FEV_2023!J1762</f>
        <v>219.08</v>
      </c>
      <c r="K1762" s="903" t="s">
        <v>10</v>
      </c>
      <c r="L1762" s="1137"/>
      <c r="M1762" s="1138">
        <f t="shared" si="132"/>
        <v>0</v>
      </c>
      <c r="N1762" s="1176">
        <f t="shared" si="136"/>
        <v>0</v>
      </c>
      <c r="O1762" s="905"/>
      <c r="Q1762" s="317" t="str">
        <f t="shared" si="133"/>
        <v/>
      </c>
      <c r="R1762" s="317" t="str">
        <f t="shared" si="134"/>
        <v/>
      </c>
      <c r="S1762" s="317" t="str">
        <f t="shared" si="135"/>
        <v/>
      </c>
      <c r="T1762" s="317" t="str">
        <f>GLOBAL_DER_FEV_2023!S1762</f>
        <v/>
      </c>
      <c r="W1762" s="582">
        <v>0</v>
      </c>
      <c r="X1762" s="580"/>
      <c r="Y1762" s="583">
        <f>IF(GLOBAL_DER_FEV_2023!W1762=0,0,IF(GLOBAL_DER_FEV_2023!W1762&gt;0,"c","b"))</f>
        <v>0</v>
      </c>
    </row>
    <row r="1763" spans="1:25" ht="15" hidden="1" customHeight="1" x14ac:dyDescent="0.2">
      <c r="A1763" s="317">
        <v>606700</v>
      </c>
      <c r="B1763" s="895" t="s">
        <v>1706</v>
      </c>
      <c r="C1763" s="896" t="s">
        <v>184</v>
      </c>
      <c r="D1763" s="906" t="s">
        <v>177</v>
      </c>
      <c r="E1763" s="907">
        <f>GLOBAL_DER_FEV_2023!E1763</f>
        <v>0</v>
      </c>
      <c r="F1763" s="908">
        <f>GLOBAL_DER_FEV_2023!F1763</f>
        <v>0</v>
      </c>
      <c r="G1763" s="912">
        <f>GLOBAL_DER_FEV_2023!G1763</f>
        <v>0</v>
      </c>
      <c r="H1763" s="901">
        <f>GLOBAL_DER_FEV_2023!H1763</f>
        <v>148.04</v>
      </c>
      <c r="I1763" s="901">
        <f>GLOBAL_DER_FEV_2023!I1763</f>
        <v>148.04</v>
      </c>
      <c r="J1763" s="902">
        <f>GLOBAL_DER_FEV_2023!J1763</f>
        <v>177.75</v>
      </c>
      <c r="K1763" s="903" t="s">
        <v>10</v>
      </c>
      <c r="L1763" s="1137"/>
      <c r="M1763" s="1138">
        <f t="shared" si="132"/>
        <v>0</v>
      </c>
      <c r="N1763" s="1176">
        <f t="shared" si="136"/>
        <v>0</v>
      </c>
      <c r="O1763" s="905"/>
      <c r="Q1763" s="317" t="str">
        <f t="shared" si="133"/>
        <v/>
      </c>
      <c r="R1763" s="317" t="str">
        <f t="shared" si="134"/>
        <v/>
      </c>
      <c r="S1763" s="317" t="str">
        <f t="shared" si="135"/>
        <v/>
      </c>
      <c r="T1763" s="317" t="str">
        <f>GLOBAL_DER_FEV_2023!S1763</f>
        <v/>
      </c>
      <c r="W1763" s="582">
        <v>0</v>
      </c>
      <c r="X1763" s="580"/>
      <c r="Y1763" s="583">
        <f>IF(GLOBAL_DER_FEV_2023!W1763=0,0,IF(GLOBAL_DER_FEV_2023!W1763&gt;0,"c","b"))</f>
        <v>0</v>
      </c>
    </row>
    <row r="1764" spans="1:25" ht="15" hidden="1" customHeight="1" x14ac:dyDescent="0.2">
      <c r="A1764" s="317">
        <v>606600</v>
      </c>
      <c r="B1764" s="895" t="s">
        <v>1703</v>
      </c>
      <c r="C1764" s="896" t="s">
        <v>184</v>
      </c>
      <c r="D1764" s="906" t="s">
        <v>178</v>
      </c>
      <c r="E1764" s="907">
        <f>GLOBAL_DER_FEV_2023!E1764</f>
        <v>0</v>
      </c>
      <c r="F1764" s="908">
        <f>GLOBAL_DER_FEV_2023!F1764</f>
        <v>0</v>
      </c>
      <c r="G1764" s="912">
        <f>GLOBAL_DER_FEV_2023!G1764</f>
        <v>0</v>
      </c>
      <c r="H1764" s="901">
        <f>GLOBAL_DER_FEV_2023!H1764</f>
        <v>309.52999999999997</v>
      </c>
      <c r="I1764" s="901">
        <f>GLOBAL_DER_FEV_2023!I1764</f>
        <v>309.52999999999997</v>
      </c>
      <c r="J1764" s="902">
        <f>GLOBAL_DER_FEV_2023!J1764</f>
        <v>371.65</v>
      </c>
      <c r="K1764" s="903" t="s">
        <v>10</v>
      </c>
      <c r="L1764" s="1137"/>
      <c r="M1764" s="1138">
        <f t="shared" si="132"/>
        <v>0</v>
      </c>
      <c r="N1764" s="1176">
        <f t="shared" si="136"/>
        <v>0</v>
      </c>
      <c r="O1764" s="905"/>
      <c r="Q1764" s="317" t="str">
        <f t="shared" si="133"/>
        <v/>
      </c>
      <c r="R1764" s="317" t="str">
        <f t="shared" si="134"/>
        <v/>
      </c>
      <c r="S1764" s="317" t="str">
        <f t="shared" si="135"/>
        <v/>
      </c>
      <c r="T1764" s="317" t="str">
        <f>GLOBAL_DER_FEV_2023!S1764</f>
        <v/>
      </c>
      <c r="W1764" s="582">
        <v>0</v>
      </c>
      <c r="X1764" s="580"/>
      <c r="Y1764" s="583">
        <f>IF(GLOBAL_DER_FEV_2023!W1764=0,0,IF(GLOBAL_DER_FEV_2023!W1764&gt;0,"c","b"))</f>
        <v>0</v>
      </c>
    </row>
    <row r="1765" spans="1:25" ht="15" hidden="1" customHeight="1" x14ac:dyDescent="0.2">
      <c r="A1765" s="317">
        <v>602000</v>
      </c>
      <c r="B1765" s="895" t="s">
        <v>1997</v>
      </c>
      <c r="C1765" s="896" t="s">
        <v>184</v>
      </c>
      <c r="D1765" s="906" t="s">
        <v>1994</v>
      </c>
      <c r="E1765" s="907">
        <f>GLOBAL_DER_FEV_2023!E1765</f>
        <v>0</v>
      </c>
      <c r="F1765" s="908">
        <f>GLOBAL_DER_FEV_2023!F1765</f>
        <v>0</v>
      </c>
      <c r="G1765" s="912">
        <f>GLOBAL_DER_FEV_2023!G1765</f>
        <v>0</v>
      </c>
      <c r="H1765" s="901">
        <f>GLOBAL_DER_FEV_2023!H1765</f>
        <v>62.53</v>
      </c>
      <c r="I1765" s="901">
        <f>GLOBAL_DER_FEV_2023!I1765</f>
        <v>62.53</v>
      </c>
      <c r="J1765" s="902">
        <f>GLOBAL_DER_FEV_2023!J1765</f>
        <v>75.08</v>
      </c>
      <c r="K1765" s="903" t="s">
        <v>12</v>
      </c>
      <c r="L1765" s="1137"/>
      <c r="M1765" s="1138">
        <f t="shared" si="132"/>
        <v>0</v>
      </c>
      <c r="N1765" s="1176">
        <f t="shared" si="136"/>
        <v>0</v>
      </c>
      <c r="O1765" s="905"/>
      <c r="Q1765" s="317" t="str">
        <f t="shared" si="133"/>
        <v/>
      </c>
      <c r="R1765" s="317" t="str">
        <f t="shared" si="134"/>
        <v/>
      </c>
      <c r="S1765" s="317" t="str">
        <f t="shared" si="135"/>
        <v/>
      </c>
      <c r="T1765" s="317" t="str">
        <f>GLOBAL_DER_FEV_2023!S1765</f>
        <v/>
      </c>
      <c r="W1765" s="582">
        <v>0</v>
      </c>
      <c r="X1765" s="580"/>
      <c r="Y1765" s="583">
        <f>IF(GLOBAL_DER_FEV_2023!W1765=0,0,IF(GLOBAL_DER_FEV_2023!W1765&gt;0,"c","b"))</f>
        <v>0</v>
      </c>
    </row>
    <row r="1766" spans="1:25" ht="15" hidden="1" customHeight="1" x14ac:dyDescent="0.2">
      <c r="A1766" s="317">
        <v>603000</v>
      </c>
      <c r="B1766" s="895" t="s">
        <v>1770</v>
      </c>
      <c r="C1766" s="896" t="s">
        <v>184</v>
      </c>
      <c r="D1766" s="906" t="s">
        <v>261</v>
      </c>
      <c r="E1766" s="907">
        <f>GLOBAL_DER_FEV_2023!E1766</f>
        <v>0</v>
      </c>
      <c r="F1766" s="908">
        <f>GLOBAL_DER_FEV_2023!F1766</f>
        <v>0</v>
      </c>
      <c r="G1766" s="912">
        <f>GLOBAL_DER_FEV_2023!G1766</f>
        <v>0</v>
      </c>
      <c r="H1766" s="901">
        <f>GLOBAL_DER_FEV_2023!H1766</f>
        <v>18.34</v>
      </c>
      <c r="I1766" s="901">
        <f>GLOBAL_DER_FEV_2023!I1766</f>
        <v>18.34</v>
      </c>
      <c r="J1766" s="902">
        <f>GLOBAL_DER_FEV_2023!J1766</f>
        <v>22.02</v>
      </c>
      <c r="K1766" s="903" t="s">
        <v>16</v>
      </c>
      <c r="L1766" s="1137"/>
      <c r="M1766" s="1138">
        <f t="shared" si="132"/>
        <v>0</v>
      </c>
      <c r="N1766" s="1176">
        <f t="shared" si="136"/>
        <v>0</v>
      </c>
      <c r="O1766" s="905"/>
      <c r="Q1766" s="317" t="str">
        <f t="shared" si="133"/>
        <v/>
      </c>
      <c r="R1766" s="317" t="str">
        <f t="shared" si="134"/>
        <v/>
      </c>
      <c r="S1766" s="317" t="str">
        <f t="shared" si="135"/>
        <v/>
      </c>
      <c r="T1766" s="317" t="str">
        <f>GLOBAL_DER_FEV_2023!S1766</f>
        <v/>
      </c>
      <c r="W1766" s="582">
        <v>0</v>
      </c>
      <c r="X1766" s="580"/>
      <c r="Y1766" s="583">
        <f>IF(GLOBAL_DER_FEV_2023!W1766=0,0,IF(GLOBAL_DER_FEV_2023!W1766&gt;0,"c","b"))</f>
        <v>0</v>
      </c>
    </row>
    <row r="1767" spans="1:25" ht="15" hidden="1" customHeight="1" x14ac:dyDescent="0.2">
      <c r="A1767" s="317">
        <v>603300</v>
      </c>
      <c r="B1767" s="895" t="s">
        <v>1773</v>
      </c>
      <c r="C1767" s="896" t="s">
        <v>184</v>
      </c>
      <c r="D1767" s="906" t="s">
        <v>262</v>
      </c>
      <c r="E1767" s="907">
        <f>GLOBAL_DER_FEV_2023!E1767</f>
        <v>0</v>
      </c>
      <c r="F1767" s="908">
        <f>GLOBAL_DER_FEV_2023!F1767</f>
        <v>0</v>
      </c>
      <c r="G1767" s="912">
        <f>GLOBAL_DER_FEV_2023!G1767</f>
        <v>0</v>
      </c>
      <c r="H1767" s="901">
        <f>GLOBAL_DER_FEV_2023!H1767</f>
        <v>20.91</v>
      </c>
      <c r="I1767" s="901">
        <f>GLOBAL_DER_FEV_2023!I1767</f>
        <v>20.91</v>
      </c>
      <c r="J1767" s="902">
        <f>GLOBAL_DER_FEV_2023!J1767</f>
        <v>25.11</v>
      </c>
      <c r="K1767" s="903" t="s">
        <v>16</v>
      </c>
      <c r="L1767" s="1137"/>
      <c r="M1767" s="1138">
        <f t="shared" si="132"/>
        <v>0</v>
      </c>
      <c r="N1767" s="1176">
        <f t="shared" si="136"/>
        <v>0</v>
      </c>
      <c r="O1767" s="905"/>
      <c r="Q1767" s="317" t="str">
        <f t="shared" si="133"/>
        <v/>
      </c>
      <c r="R1767" s="317" t="str">
        <f t="shared" si="134"/>
        <v/>
      </c>
      <c r="S1767" s="317" t="str">
        <f t="shared" si="135"/>
        <v/>
      </c>
      <c r="T1767" s="317" t="str">
        <f>GLOBAL_DER_FEV_2023!S1767</f>
        <v/>
      </c>
      <c r="W1767" s="582">
        <v>0</v>
      </c>
      <c r="X1767" s="580"/>
      <c r="Y1767" s="583">
        <f>IF(GLOBAL_DER_FEV_2023!W1767=0,0,IF(GLOBAL_DER_FEV_2023!W1767&gt;0,"c","b"))</f>
        <v>0</v>
      </c>
    </row>
    <row r="1768" spans="1:25" ht="15" hidden="1" customHeight="1" x14ac:dyDescent="0.2">
      <c r="A1768" s="317">
        <v>603600</v>
      </c>
      <c r="B1768" s="895">
        <v>603600</v>
      </c>
      <c r="C1768" s="896" t="s">
        <v>184</v>
      </c>
      <c r="D1768" s="906" t="s">
        <v>326</v>
      </c>
      <c r="E1768" s="907">
        <f>GLOBAL_DER_FEV_2023!E1768</f>
        <v>0</v>
      </c>
      <c r="F1768" s="908">
        <f>GLOBAL_DER_FEV_2023!F1768</f>
        <v>0</v>
      </c>
      <c r="G1768" s="912">
        <f>GLOBAL_DER_FEV_2023!G1768</f>
        <v>112.0478</v>
      </c>
      <c r="H1768" s="901">
        <f>GLOBAL_DER_FEV_2023!H1768</f>
        <v>291.92</v>
      </c>
      <c r="I1768" s="901">
        <f>GLOBAL_DER_FEV_2023!I1768</f>
        <v>403.96780000000001</v>
      </c>
      <c r="J1768" s="902">
        <f>GLOBAL_DER_FEV_2023!J1768</f>
        <v>485.04</v>
      </c>
      <c r="K1768" s="903" t="s">
        <v>10</v>
      </c>
      <c r="L1768" s="1137"/>
      <c r="M1768" s="1138">
        <f t="shared" si="132"/>
        <v>0</v>
      </c>
      <c r="N1768" s="1176">
        <f t="shared" si="136"/>
        <v>0</v>
      </c>
      <c r="O1768" s="905"/>
      <c r="Q1768" s="317" t="str">
        <f t="shared" si="133"/>
        <v/>
      </c>
      <c r="R1768" s="317" t="str">
        <f t="shared" si="134"/>
        <v/>
      </c>
      <c r="S1768" s="317" t="str">
        <f t="shared" si="135"/>
        <v/>
      </c>
      <c r="T1768" s="317" t="str">
        <f>GLOBAL_DER_FEV_2023!S1768</f>
        <v/>
      </c>
      <c r="W1768" s="582">
        <v>0</v>
      </c>
      <c r="X1768" s="580"/>
      <c r="Y1768" s="583">
        <f>IF(GLOBAL_DER_FEV_2023!W1768=0,0,IF(GLOBAL_DER_FEV_2023!W1768&gt;0,"c","b"))</f>
        <v>0</v>
      </c>
    </row>
    <row r="1769" spans="1:25" ht="15" hidden="1" customHeight="1" x14ac:dyDescent="0.2">
      <c r="A1769" s="317" t="s">
        <v>147</v>
      </c>
      <c r="B1769" s="895" t="s">
        <v>147</v>
      </c>
      <c r="C1769" s="896"/>
      <c r="D1769" s="906" t="s">
        <v>190</v>
      </c>
      <c r="E1769" s="907">
        <f>GLOBAL_DER_FEV_2023!E1769</f>
        <v>308</v>
      </c>
      <c r="F1769" s="908">
        <f>GLOBAL_DER_FEV_2023!F1769</f>
        <v>0.1</v>
      </c>
      <c r="G1769" s="909">
        <f>GLOBAL_DER_FEV_2023!G1769</f>
        <v>24.806000000000001</v>
      </c>
      <c r="H1769" s="901">
        <f>GLOBAL_DER_FEV_2023!H1769</f>
        <v>0</v>
      </c>
      <c r="I1769" s="901">
        <f>GLOBAL_DER_FEV_2023!I1769</f>
        <v>0</v>
      </c>
      <c r="J1769" s="902">
        <f>GLOBAL_DER_FEV_2023!J1769</f>
        <v>0</v>
      </c>
      <c r="K1769" s="903"/>
      <c r="L1769" s="1177"/>
      <c r="M1769" s="1138">
        <f t="shared" si="132"/>
        <v>0</v>
      </c>
      <c r="N1769" s="1176">
        <f t="shared" si="136"/>
        <v>0</v>
      </c>
      <c r="O1769" s="905"/>
      <c r="P1769" s="36" t="str">
        <f>IF(N1768&gt;0,"xx",IF(N1768&gt;0,"xy",""))</f>
        <v/>
      </c>
      <c r="Q1769" s="317" t="str">
        <f t="shared" si="133"/>
        <v/>
      </c>
      <c r="R1769" s="317" t="str">
        <f t="shared" si="134"/>
        <v/>
      </c>
      <c r="S1769" s="317" t="str">
        <f t="shared" si="135"/>
        <v/>
      </c>
      <c r="T1769" s="317" t="str">
        <f>GLOBAL_DER_FEV_2023!S1769</f>
        <v/>
      </c>
      <c r="W1769" s="582">
        <v>0</v>
      </c>
      <c r="X1769" s="580"/>
      <c r="Y1769" s="583">
        <f>IF(GLOBAL_DER_FEV_2023!W1769=0,0,IF(GLOBAL_DER_FEV_2023!W1769&gt;0,"c","b"))</f>
        <v>0</v>
      </c>
    </row>
    <row r="1770" spans="1:25" ht="15" hidden="1" customHeight="1" x14ac:dyDescent="0.2">
      <c r="A1770" s="317" t="s">
        <v>147</v>
      </c>
      <c r="B1770" s="895" t="s">
        <v>147</v>
      </c>
      <c r="C1770" s="896"/>
      <c r="D1770" s="906" t="s">
        <v>229</v>
      </c>
      <c r="E1770" s="907">
        <f>GLOBAL_DER_FEV_2023!E1770</f>
        <v>150</v>
      </c>
      <c r="F1770" s="908">
        <f>GLOBAL_DER_FEV_2023!F1770</f>
        <v>0.51</v>
      </c>
      <c r="G1770" s="949">
        <f>GLOBAL_DER_FEV_2023!G1770</f>
        <v>83.221800000000002</v>
      </c>
      <c r="H1770" s="901">
        <f>GLOBAL_DER_FEV_2023!H1770</f>
        <v>0</v>
      </c>
      <c r="I1770" s="901">
        <f>GLOBAL_DER_FEV_2023!I1770</f>
        <v>0</v>
      </c>
      <c r="J1770" s="902">
        <f>GLOBAL_DER_FEV_2023!J1770</f>
        <v>0</v>
      </c>
      <c r="K1770" s="903"/>
      <c r="L1770" s="1177"/>
      <c r="M1770" s="1138">
        <f t="shared" si="132"/>
        <v>0</v>
      </c>
      <c r="N1770" s="1176">
        <f t="shared" si="136"/>
        <v>0</v>
      </c>
      <c r="O1770" s="905"/>
      <c r="P1770" s="36" t="str">
        <f>IF(N1768&gt;0,"xx",IF(N1768&gt;0,"xy",""))</f>
        <v/>
      </c>
      <c r="Q1770" s="317" t="str">
        <f t="shared" si="133"/>
        <v/>
      </c>
      <c r="R1770" s="317" t="str">
        <f t="shared" si="134"/>
        <v/>
      </c>
      <c r="S1770" s="317" t="str">
        <f t="shared" si="135"/>
        <v/>
      </c>
      <c r="T1770" s="317" t="str">
        <f>GLOBAL_DER_FEV_2023!S1770</f>
        <v/>
      </c>
      <c r="W1770" s="582">
        <v>0</v>
      </c>
      <c r="X1770" s="580"/>
      <c r="Y1770" s="583">
        <f>IF(GLOBAL_DER_FEV_2023!W1770=0,0,IF(GLOBAL_DER_FEV_2023!W1770&gt;0,"c","b"))</f>
        <v>0</v>
      </c>
    </row>
    <row r="1771" spans="1:25" ht="15" hidden="1" customHeight="1" x14ac:dyDescent="0.2">
      <c r="A1771" s="317" t="s">
        <v>147</v>
      </c>
      <c r="B1771" s="895" t="s">
        <v>147</v>
      </c>
      <c r="C1771" s="896"/>
      <c r="D1771" s="906" t="s">
        <v>233</v>
      </c>
      <c r="E1771" s="907">
        <f>GLOBAL_DER_FEV_2023!E1771</f>
        <v>0</v>
      </c>
      <c r="F1771" s="908">
        <f>GLOBAL_DER_FEV_2023!F1771</f>
        <v>1.5</v>
      </c>
      <c r="G1771" s="949">
        <f>GLOBAL_DER_FEV_2023!G1771</f>
        <v>4.0200000000000005</v>
      </c>
      <c r="H1771" s="901">
        <f>GLOBAL_DER_FEV_2023!H1771</f>
        <v>0</v>
      </c>
      <c r="I1771" s="901">
        <f>GLOBAL_DER_FEV_2023!I1771</f>
        <v>0</v>
      </c>
      <c r="J1771" s="902">
        <f>GLOBAL_DER_FEV_2023!J1771</f>
        <v>0</v>
      </c>
      <c r="K1771" s="903"/>
      <c r="L1771" s="1177"/>
      <c r="M1771" s="1138">
        <f t="shared" si="132"/>
        <v>0</v>
      </c>
      <c r="N1771" s="1176">
        <f t="shared" si="136"/>
        <v>0</v>
      </c>
      <c r="O1771" s="905"/>
      <c r="P1771" s="36" t="str">
        <f>IF(N1768&gt;0,"xx",IF(N1768&gt;0,"xy",""))</f>
        <v/>
      </c>
      <c r="Q1771" s="317" t="str">
        <f t="shared" si="133"/>
        <v/>
      </c>
      <c r="R1771" s="317" t="str">
        <f t="shared" si="134"/>
        <v/>
      </c>
      <c r="S1771" s="317" t="str">
        <f t="shared" si="135"/>
        <v/>
      </c>
      <c r="T1771" s="317" t="str">
        <f>GLOBAL_DER_FEV_2023!S1771</f>
        <v/>
      </c>
      <c r="W1771" s="582">
        <v>0</v>
      </c>
      <c r="X1771" s="580"/>
      <c r="Y1771" s="583">
        <f>IF(GLOBAL_DER_FEV_2023!W1771=0,0,IF(GLOBAL_DER_FEV_2023!W1771&gt;0,"c","b"))</f>
        <v>0</v>
      </c>
    </row>
    <row r="1772" spans="1:25" ht="15" hidden="1" customHeight="1" x14ac:dyDescent="0.2">
      <c r="A1772" s="317">
        <v>603700</v>
      </c>
      <c r="B1772" s="895" t="s">
        <v>1801</v>
      </c>
      <c r="C1772" s="896" t="s">
        <v>184</v>
      </c>
      <c r="D1772" s="906" t="s">
        <v>327</v>
      </c>
      <c r="E1772" s="907">
        <f>GLOBAL_DER_FEV_2023!E1772</f>
        <v>0</v>
      </c>
      <c r="F1772" s="908">
        <f>GLOBAL_DER_FEV_2023!F1772</f>
        <v>1.8</v>
      </c>
      <c r="G1772" s="949">
        <f>GLOBAL_DER_FEV_2023!G1772</f>
        <v>4.8240000000000007</v>
      </c>
      <c r="H1772" s="901">
        <f>GLOBAL_DER_FEV_2023!H1772</f>
        <v>213.87</v>
      </c>
      <c r="I1772" s="901">
        <f>GLOBAL_DER_FEV_2023!I1772</f>
        <v>218.69400000000002</v>
      </c>
      <c r="J1772" s="902">
        <f>GLOBAL_DER_FEV_2023!J1772</f>
        <v>262.58999999999997</v>
      </c>
      <c r="K1772" s="903" t="s">
        <v>10</v>
      </c>
      <c r="L1772" s="1137"/>
      <c r="M1772" s="1138">
        <f t="shared" si="132"/>
        <v>0</v>
      </c>
      <c r="N1772" s="1176">
        <f t="shared" si="136"/>
        <v>0</v>
      </c>
      <c r="O1772" s="905"/>
      <c r="Q1772" s="317" t="str">
        <f t="shared" si="133"/>
        <v/>
      </c>
      <c r="R1772" s="317" t="str">
        <f t="shared" si="134"/>
        <v/>
      </c>
      <c r="S1772" s="317" t="str">
        <f t="shared" si="135"/>
        <v/>
      </c>
      <c r="T1772" s="317" t="str">
        <f>GLOBAL_DER_FEV_2023!S1772</f>
        <v/>
      </c>
      <c r="W1772" s="582">
        <v>0</v>
      </c>
      <c r="X1772" s="580"/>
      <c r="Y1772" s="583">
        <f>IF(GLOBAL_DER_FEV_2023!W1772=0,0,IF(GLOBAL_DER_FEV_2023!W1772&gt;0,"c","b"))</f>
        <v>0</v>
      </c>
    </row>
    <row r="1773" spans="1:25" ht="15" hidden="1" customHeight="1" x14ac:dyDescent="0.2">
      <c r="A1773" s="317">
        <v>603800</v>
      </c>
      <c r="B1773" s="895" t="s">
        <v>1802</v>
      </c>
      <c r="C1773" s="896" t="s">
        <v>184</v>
      </c>
      <c r="D1773" s="906" t="s">
        <v>328</v>
      </c>
      <c r="E1773" s="907">
        <f>GLOBAL_DER_FEV_2023!E1773</f>
        <v>0</v>
      </c>
      <c r="F1773" s="908">
        <f>GLOBAL_DER_FEV_2023!F1773</f>
        <v>1.5</v>
      </c>
      <c r="G1773" s="949">
        <f>GLOBAL_DER_FEV_2023!G1773</f>
        <v>4.0200000000000005</v>
      </c>
      <c r="H1773" s="901">
        <f>GLOBAL_DER_FEV_2023!H1773</f>
        <v>126.05</v>
      </c>
      <c r="I1773" s="901">
        <f>GLOBAL_DER_FEV_2023!I1773</f>
        <v>130.07</v>
      </c>
      <c r="J1773" s="902">
        <f>GLOBAL_DER_FEV_2023!J1773</f>
        <v>156.18</v>
      </c>
      <c r="K1773" s="903" t="s">
        <v>10</v>
      </c>
      <c r="L1773" s="1137"/>
      <c r="M1773" s="1138">
        <f t="shared" si="132"/>
        <v>0</v>
      </c>
      <c r="N1773" s="1176">
        <f t="shared" si="136"/>
        <v>0</v>
      </c>
      <c r="O1773" s="905"/>
      <c r="Q1773" s="317" t="str">
        <f t="shared" si="133"/>
        <v/>
      </c>
      <c r="R1773" s="317" t="str">
        <f t="shared" si="134"/>
        <v/>
      </c>
      <c r="S1773" s="317" t="str">
        <f t="shared" si="135"/>
        <v/>
      </c>
      <c r="T1773" s="317" t="str">
        <f>GLOBAL_DER_FEV_2023!S1773</f>
        <v/>
      </c>
      <c r="W1773" s="582">
        <v>0</v>
      </c>
      <c r="X1773" s="580"/>
      <c r="Y1773" s="583">
        <f>IF(GLOBAL_DER_FEV_2023!W1773=0,0,IF(GLOBAL_DER_FEV_2023!W1773&gt;0,"c","b"))</f>
        <v>0</v>
      </c>
    </row>
    <row r="1774" spans="1:25" ht="15" hidden="1" customHeight="1" x14ac:dyDescent="0.2">
      <c r="A1774" s="317">
        <v>532500</v>
      </c>
      <c r="B1774" s="895" t="s">
        <v>1739</v>
      </c>
      <c r="C1774" s="896" t="s">
        <v>184</v>
      </c>
      <c r="D1774" s="957" t="s">
        <v>329</v>
      </c>
      <c r="E1774" s="907">
        <f>GLOBAL_DER_FEV_2023!E1774</f>
        <v>150</v>
      </c>
      <c r="F1774" s="908">
        <f>GLOBAL_DER_FEV_2023!F1774</f>
        <v>1.7250000000000001</v>
      </c>
      <c r="G1774" s="949">
        <f>GLOBAL_DER_FEV_2023!G1774</f>
        <v>281.4855</v>
      </c>
      <c r="H1774" s="901">
        <f>GLOBAL_DER_FEV_2023!H1774</f>
        <v>102.38</v>
      </c>
      <c r="I1774" s="901">
        <f>GLOBAL_DER_FEV_2023!I1774</f>
        <v>383.8655</v>
      </c>
      <c r="J1774" s="902">
        <f>GLOBAL_DER_FEV_2023!J1774</f>
        <v>460.91</v>
      </c>
      <c r="K1774" s="903" t="s">
        <v>10</v>
      </c>
      <c r="L1774" s="1137"/>
      <c r="M1774" s="1138">
        <f t="shared" si="132"/>
        <v>0</v>
      </c>
      <c r="N1774" s="1176">
        <f t="shared" si="136"/>
        <v>0</v>
      </c>
      <c r="O1774" s="905"/>
      <c r="Q1774" s="317" t="str">
        <f t="shared" si="133"/>
        <v/>
      </c>
      <c r="R1774" s="317" t="str">
        <f t="shared" si="134"/>
        <v/>
      </c>
      <c r="S1774" s="317" t="str">
        <f t="shared" si="135"/>
        <v/>
      </c>
      <c r="T1774" s="317" t="str">
        <f>GLOBAL_DER_FEV_2023!S1774</f>
        <v/>
      </c>
      <c r="W1774" s="582">
        <v>0</v>
      </c>
      <c r="X1774" s="580"/>
      <c r="Y1774" s="583">
        <f>IF(GLOBAL_DER_FEV_2023!W1774=0,0,IF(GLOBAL_DER_FEV_2023!W1774&gt;0,"c","b"))</f>
        <v>0</v>
      </c>
    </row>
    <row r="1775" spans="1:25" ht="15" hidden="1" customHeight="1" x14ac:dyDescent="0.2">
      <c r="A1775" s="317">
        <v>603900</v>
      </c>
      <c r="B1775" s="895" t="s">
        <v>1774</v>
      </c>
      <c r="C1775" s="896" t="s">
        <v>184</v>
      </c>
      <c r="D1775" s="906" t="s">
        <v>330</v>
      </c>
      <c r="E1775" s="907">
        <f>GLOBAL_DER_FEV_2023!E1775</f>
        <v>0.2</v>
      </c>
      <c r="F1775" s="908">
        <f>GLOBAL_DER_FEV_2023!F1775</f>
        <v>1.5</v>
      </c>
      <c r="G1775" s="949">
        <f>GLOBAL_DER_FEV_2023!G1775</f>
        <v>4.3410000000000002</v>
      </c>
      <c r="H1775" s="901">
        <f>GLOBAL_DER_FEV_2023!H1775</f>
        <v>131.84</v>
      </c>
      <c r="I1775" s="901">
        <f>GLOBAL_DER_FEV_2023!I1775</f>
        <v>136.18100000000001</v>
      </c>
      <c r="J1775" s="902">
        <f>GLOBAL_DER_FEV_2023!J1775</f>
        <v>163.51</v>
      </c>
      <c r="K1775" s="903" t="s">
        <v>10</v>
      </c>
      <c r="L1775" s="1137"/>
      <c r="M1775" s="1138">
        <f t="shared" si="132"/>
        <v>0</v>
      </c>
      <c r="N1775" s="1176">
        <f t="shared" si="136"/>
        <v>0</v>
      </c>
      <c r="O1775" s="905"/>
      <c r="Q1775" s="317" t="str">
        <f t="shared" si="133"/>
        <v/>
      </c>
      <c r="R1775" s="317" t="str">
        <f t="shared" si="134"/>
        <v/>
      </c>
      <c r="S1775" s="317" t="str">
        <f t="shared" si="135"/>
        <v/>
      </c>
      <c r="T1775" s="317" t="str">
        <f>GLOBAL_DER_FEV_2023!S1775</f>
        <v/>
      </c>
      <c r="W1775" s="582">
        <v>0</v>
      </c>
      <c r="X1775" s="580"/>
      <c r="Y1775" s="583">
        <f>IF(GLOBAL_DER_FEV_2023!W1775=0,0,IF(GLOBAL_DER_FEV_2023!W1775&gt;0,"c","b"))</f>
        <v>0</v>
      </c>
    </row>
    <row r="1776" spans="1:25" ht="15" hidden="1" customHeight="1" x14ac:dyDescent="0.2">
      <c r="A1776" s="317">
        <v>605000</v>
      </c>
      <c r="B1776" s="895" t="s">
        <v>1783</v>
      </c>
      <c r="C1776" s="896" t="s">
        <v>184</v>
      </c>
      <c r="D1776" s="906" t="s">
        <v>259</v>
      </c>
      <c r="E1776" s="907">
        <f>GLOBAL_DER_FEV_2023!E1776</f>
        <v>0</v>
      </c>
      <c r="F1776" s="908">
        <f>GLOBAL_DER_FEV_2023!F1776</f>
        <v>0</v>
      </c>
      <c r="G1776" s="912">
        <f>GLOBAL_DER_FEV_2023!G1776</f>
        <v>220.83394000000004</v>
      </c>
      <c r="H1776" s="901">
        <f>GLOBAL_DER_FEV_2023!H1776</f>
        <v>425.25</v>
      </c>
      <c r="I1776" s="901">
        <f>GLOBAL_DER_FEV_2023!I1776</f>
        <v>646.08393999999998</v>
      </c>
      <c r="J1776" s="902">
        <f>GLOBAL_DER_FEV_2023!J1776</f>
        <v>775.75</v>
      </c>
      <c r="K1776" s="903" t="s">
        <v>10</v>
      </c>
      <c r="L1776" s="1137"/>
      <c r="M1776" s="1138">
        <f t="shared" si="132"/>
        <v>0</v>
      </c>
      <c r="N1776" s="1176">
        <f t="shared" si="136"/>
        <v>0</v>
      </c>
      <c r="O1776" s="905"/>
      <c r="Q1776" s="317" t="str">
        <f t="shared" si="133"/>
        <v/>
      </c>
      <c r="R1776" s="317" t="str">
        <f t="shared" si="134"/>
        <v/>
      </c>
      <c r="S1776" s="317" t="str">
        <f t="shared" si="135"/>
        <v/>
      </c>
      <c r="T1776" s="317" t="str">
        <f>GLOBAL_DER_FEV_2023!S1776</f>
        <v/>
      </c>
      <c r="W1776" s="582">
        <v>0</v>
      </c>
      <c r="X1776" s="580"/>
      <c r="Y1776" s="583">
        <f>IF(GLOBAL_DER_FEV_2023!W1776=0,0,IF(GLOBAL_DER_FEV_2023!W1776&gt;0,"c","b"))</f>
        <v>0</v>
      </c>
    </row>
    <row r="1777" spans="1:25" ht="15" hidden="1" customHeight="1" x14ac:dyDescent="0.2">
      <c r="A1777" s="317" t="s">
        <v>147</v>
      </c>
      <c r="B1777" s="895" t="s">
        <v>147</v>
      </c>
      <c r="C1777" s="896"/>
      <c r="D1777" s="957" t="s">
        <v>190</v>
      </c>
      <c r="E1777" s="907">
        <f>GLOBAL_DER_FEV_2023!E1777</f>
        <v>308</v>
      </c>
      <c r="F1777" s="908">
        <f>GLOBAL_DER_FEV_2023!F1777</f>
        <v>0.18</v>
      </c>
      <c r="G1777" s="909">
        <f>GLOBAL_DER_FEV_2023!G1777</f>
        <v>44.650799999999997</v>
      </c>
      <c r="H1777" s="901">
        <f>GLOBAL_DER_FEV_2023!H1777</f>
        <v>0</v>
      </c>
      <c r="I1777" s="901">
        <f>GLOBAL_DER_FEV_2023!I1777</f>
        <v>0</v>
      </c>
      <c r="J1777" s="902">
        <f>GLOBAL_DER_FEV_2023!J1777</f>
        <v>0</v>
      </c>
      <c r="K1777" s="958" t="s">
        <v>507</v>
      </c>
      <c r="L1777" s="959"/>
      <c r="M1777" s="1157">
        <f t="shared" si="132"/>
        <v>0</v>
      </c>
      <c r="N1777" s="1176">
        <f t="shared" si="136"/>
        <v>0</v>
      </c>
      <c r="O1777" s="905"/>
      <c r="P1777" s="58" t="str">
        <f>IF(N1776&gt;0,"xx",IF(N1776&gt;0,"xy",""))</f>
        <v/>
      </c>
      <c r="Q1777" s="317" t="str">
        <f t="shared" si="133"/>
        <v/>
      </c>
      <c r="R1777" s="317" t="str">
        <f t="shared" si="134"/>
        <v/>
      </c>
      <c r="S1777" s="317" t="str">
        <f t="shared" si="135"/>
        <v/>
      </c>
      <c r="T1777" s="317" t="str">
        <f>GLOBAL_DER_FEV_2023!S1777</f>
        <v/>
      </c>
      <c r="W1777" s="582">
        <v>0</v>
      </c>
      <c r="X1777" s="580"/>
      <c r="Y1777" s="583">
        <f>IF(GLOBAL_DER_FEV_2023!W1777=0,0,IF(GLOBAL_DER_FEV_2023!W1777&gt;0,"c","b"))</f>
        <v>0</v>
      </c>
    </row>
    <row r="1778" spans="1:25" ht="15" hidden="1" customHeight="1" x14ac:dyDescent="0.2">
      <c r="A1778" s="317" t="s">
        <v>147</v>
      </c>
      <c r="B1778" s="895" t="s">
        <v>147</v>
      </c>
      <c r="C1778" s="896"/>
      <c r="D1778" s="957" t="s">
        <v>229</v>
      </c>
      <c r="E1778" s="907">
        <f>GLOBAL_DER_FEV_2023!E1778</f>
        <v>150</v>
      </c>
      <c r="F1778" s="908">
        <f>GLOBAL_DER_FEV_2023!F1778</f>
        <v>1.06</v>
      </c>
      <c r="G1778" s="949">
        <f>GLOBAL_DER_FEV_2023!G1778</f>
        <v>172.97080000000003</v>
      </c>
      <c r="H1778" s="901">
        <f>GLOBAL_DER_FEV_2023!H1778</f>
        <v>0</v>
      </c>
      <c r="I1778" s="901">
        <f>GLOBAL_DER_FEV_2023!I1778</f>
        <v>0</v>
      </c>
      <c r="J1778" s="902">
        <f>GLOBAL_DER_FEV_2023!J1778</f>
        <v>0</v>
      </c>
      <c r="K1778" s="958" t="s">
        <v>507</v>
      </c>
      <c r="L1778" s="959"/>
      <c r="M1778" s="1157">
        <f t="shared" si="132"/>
        <v>0</v>
      </c>
      <c r="N1778" s="1176">
        <f t="shared" si="136"/>
        <v>0</v>
      </c>
      <c r="O1778" s="905"/>
      <c r="P1778" s="58" t="str">
        <f>IF(N1776&gt;0,"xx",IF(N1776&gt;0,"xy",""))</f>
        <v/>
      </c>
      <c r="Q1778" s="317" t="str">
        <f t="shared" si="133"/>
        <v/>
      </c>
      <c r="R1778" s="317" t="str">
        <f t="shared" si="134"/>
        <v/>
      </c>
      <c r="S1778" s="317" t="str">
        <f t="shared" si="135"/>
        <v/>
      </c>
      <c r="T1778" s="317" t="str">
        <f>GLOBAL_DER_FEV_2023!S1778</f>
        <v/>
      </c>
      <c r="W1778" s="582">
        <v>0</v>
      </c>
      <c r="X1778" s="580"/>
      <c r="Y1778" s="583">
        <f>IF(GLOBAL_DER_FEV_2023!W1778=0,0,IF(GLOBAL_DER_FEV_2023!W1778&gt;0,"c","b"))</f>
        <v>0</v>
      </c>
    </row>
    <row r="1779" spans="1:25" ht="15" hidden="1" customHeight="1" x14ac:dyDescent="0.2">
      <c r="A1779" s="317" t="s">
        <v>147</v>
      </c>
      <c r="B1779" s="895" t="s">
        <v>147</v>
      </c>
      <c r="C1779" s="896"/>
      <c r="D1779" s="957" t="s">
        <v>233</v>
      </c>
      <c r="E1779" s="907">
        <f>GLOBAL_DER_FEV_2023!E1779</f>
        <v>0.2</v>
      </c>
      <c r="F1779" s="908">
        <f>GLOBAL_DER_FEV_2023!F1779</f>
        <v>1.1100000000000001</v>
      </c>
      <c r="G1779" s="949">
        <f>GLOBAL_DER_FEV_2023!G1779</f>
        <v>3.2123400000000006</v>
      </c>
      <c r="H1779" s="901">
        <f>GLOBAL_DER_FEV_2023!H1779</f>
        <v>0</v>
      </c>
      <c r="I1779" s="901">
        <f>GLOBAL_DER_FEV_2023!I1779</f>
        <v>0</v>
      </c>
      <c r="J1779" s="902">
        <f>GLOBAL_DER_FEV_2023!J1779</f>
        <v>0</v>
      </c>
      <c r="K1779" s="958" t="s">
        <v>507</v>
      </c>
      <c r="L1779" s="959"/>
      <c r="M1779" s="1157">
        <f t="shared" si="132"/>
        <v>0</v>
      </c>
      <c r="N1779" s="1176">
        <f t="shared" si="136"/>
        <v>0</v>
      </c>
      <c r="O1779" s="905"/>
      <c r="P1779" s="58" t="str">
        <f>IF(N1776&gt;0,"xx",IF(N1776&gt;0,"xy",""))</f>
        <v/>
      </c>
      <c r="Q1779" s="317" t="str">
        <f t="shared" si="133"/>
        <v/>
      </c>
      <c r="R1779" s="317" t="str">
        <f t="shared" si="134"/>
        <v/>
      </c>
      <c r="S1779" s="317" t="str">
        <f t="shared" si="135"/>
        <v/>
      </c>
      <c r="T1779" s="317" t="str">
        <f>GLOBAL_DER_FEV_2023!S1779</f>
        <v/>
      </c>
      <c r="W1779" s="582">
        <v>0</v>
      </c>
      <c r="X1779" s="580"/>
      <c r="Y1779" s="583">
        <f>IF(GLOBAL_DER_FEV_2023!W1779=0,0,IF(GLOBAL_DER_FEV_2023!W1779&gt;0,"c","b"))</f>
        <v>0</v>
      </c>
    </row>
    <row r="1780" spans="1:25" ht="15" hidden="1" customHeight="1" x14ac:dyDescent="0.2">
      <c r="A1780" s="317">
        <v>603500</v>
      </c>
      <c r="B1780" s="895">
        <v>603500</v>
      </c>
      <c r="C1780" s="896" t="s">
        <v>184</v>
      </c>
      <c r="D1780" s="906" t="s">
        <v>331</v>
      </c>
      <c r="E1780" s="907">
        <f>GLOBAL_DER_FEV_2023!E1780</f>
        <v>0</v>
      </c>
      <c r="F1780" s="908">
        <f>GLOBAL_DER_FEV_2023!F1780</f>
        <v>0</v>
      </c>
      <c r="G1780" s="912">
        <f>GLOBAL_DER_FEV_2023!G1780</f>
        <v>0</v>
      </c>
      <c r="H1780" s="901">
        <f>GLOBAL_DER_FEV_2023!H1780</f>
        <v>1378.26</v>
      </c>
      <c r="I1780" s="901">
        <f>GLOBAL_DER_FEV_2023!I1780</f>
        <v>1378.26</v>
      </c>
      <c r="J1780" s="902">
        <f>GLOBAL_DER_FEV_2023!J1780</f>
        <v>1654.88</v>
      </c>
      <c r="K1780" s="903" t="s">
        <v>10</v>
      </c>
      <c r="L1780" s="1137"/>
      <c r="M1780" s="1138">
        <f t="shared" si="132"/>
        <v>0</v>
      </c>
      <c r="N1780" s="1176">
        <f t="shared" si="136"/>
        <v>0</v>
      </c>
      <c r="O1780" s="905"/>
      <c r="Q1780" s="317" t="str">
        <f t="shared" si="133"/>
        <v/>
      </c>
      <c r="R1780" s="317" t="str">
        <f t="shared" si="134"/>
        <v/>
      </c>
      <c r="S1780" s="317" t="str">
        <f t="shared" si="135"/>
        <v/>
      </c>
      <c r="T1780" s="317" t="str">
        <f>GLOBAL_DER_FEV_2023!S1780</f>
        <v/>
      </c>
      <c r="W1780" s="582">
        <v>0</v>
      </c>
      <c r="X1780" s="580"/>
      <c r="Y1780" s="583">
        <f>IF(GLOBAL_DER_FEV_2023!W1780=0,0,IF(GLOBAL_DER_FEV_2023!W1780&gt;0,"c","b"))</f>
        <v>0</v>
      </c>
    </row>
    <row r="1781" spans="1:25" ht="15" hidden="1" customHeight="1" x14ac:dyDescent="0.2">
      <c r="A1781" s="317">
        <v>603500</v>
      </c>
      <c r="B1781" s="895" t="s">
        <v>1898</v>
      </c>
      <c r="C1781" s="896" t="s">
        <v>184</v>
      </c>
      <c r="D1781" s="906" t="s">
        <v>332</v>
      </c>
      <c r="E1781" s="907">
        <f>GLOBAL_DER_FEV_2023!E1781</f>
        <v>0</v>
      </c>
      <c r="F1781" s="908">
        <f>GLOBAL_DER_FEV_2023!F1781</f>
        <v>0</v>
      </c>
      <c r="G1781" s="912">
        <f>GLOBAL_DER_FEV_2023!G1781</f>
        <v>0</v>
      </c>
      <c r="H1781" s="901">
        <f>GLOBAL_DER_FEV_2023!H1781</f>
        <v>1378.26</v>
      </c>
      <c r="I1781" s="901">
        <f>GLOBAL_DER_FEV_2023!I1781</f>
        <v>1185.3036</v>
      </c>
      <c r="J1781" s="902">
        <f>GLOBAL_DER_FEV_2023!J1781</f>
        <v>1423.19</v>
      </c>
      <c r="K1781" s="903" t="s">
        <v>10</v>
      </c>
      <c r="L1781" s="1137"/>
      <c r="M1781" s="1138">
        <f t="shared" si="132"/>
        <v>0</v>
      </c>
      <c r="N1781" s="1176">
        <f t="shared" si="136"/>
        <v>0</v>
      </c>
      <c r="O1781" s="905"/>
      <c r="Q1781" s="317" t="str">
        <f t="shared" si="133"/>
        <v/>
      </c>
      <c r="R1781" s="317" t="str">
        <f t="shared" si="134"/>
        <v/>
      </c>
      <c r="S1781" s="317" t="str">
        <f t="shared" si="135"/>
        <v/>
      </c>
      <c r="T1781" s="317" t="str">
        <f>GLOBAL_DER_FEV_2023!S1781</f>
        <v/>
      </c>
      <c r="W1781" s="582">
        <v>0</v>
      </c>
      <c r="X1781" s="580"/>
      <c r="Y1781" s="583">
        <f>IF(GLOBAL_DER_FEV_2023!W1781=0,0,IF(GLOBAL_DER_FEV_2023!W1781&gt;0,"c","b"))</f>
        <v>0</v>
      </c>
    </row>
    <row r="1782" spans="1:25" ht="15" hidden="1" customHeight="1" x14ac:dyDescent="0.2">
      <c r="A1782" s="317">
        <v>604000</v>
      </c>
      <c r="B1782" s="895">
        <v>604000</v>
      </c>
      <c r="C1782" s="896" t="s">
        <v>184</v>
      </c>
      <c r="D1782" s="906" t="s">
        <v>333</v>
      </c>
      <c r="E1782" s="907">
        <f>GLOBAL_DER_FEV_2023!E1782</f>
        <v>0</v>
      </c>
      <c r="F1782" s="908">
        <f>GLOBAL_DER_FEV_2023!F1782</f>
        <v>0</v>
      </c>
      <c r="G1782" s="912">
        <f>GLOBAL_DER_FEV_2023!G1782</f>
        <v>364.66654000000005</v>
      </c>
      <c r="H1782" s="901">
        <f>GLOBAL_DER_FEV_2023!H1782</f>
        <v>523.20000000000005</v>
      </c>
      <c r="I1782" s="901">
        <f>GLOBAL_DER_FEV_2023!I1782</f>
        <v>887.8665400000001</v>
      </c>
      <c r="J1782" s="902">
        <f>GLOBAL_DER_FEV_2023!J1782</f>
        <v>1066.06</v>
      </c>
      <c r="K1782" s="903" t="s">
        <v>10</v>
      </c>
      <c r="L1782" s="1137"/>
      <c r="M1782" s="1138">
        <f t="shared" si="132"/>
        <v>0</v>
      </c>
      <c r="N1782" s="1176">
        <f t="shared" si="136"/>
        <v>0</v>
      </c>
      <c r="O1782" s="905"/>
      <c r="Q1782" s="317" t="str">
        <f t="shared" si="133"/>
        <v/>
      </c>
      <c r="R1782" s="317" t="str">
        <f t="shared" si="134"/>
        <v/>
      </c>
      <c r="S1782" s="317" t="str">
        <f t="shared" si="135"/>
        <v/>
      </c>
      <c r="T1782" s="317" t="str">
        <f>GLOBAL_DER_FEV_2023!S1782</f>
        <v/>
      </c>
      <c r="W1782" s="582">
        <v>0</v>
      </c>
      <c r="X1782" s="580"/>
      <c r="Y1782" s="583">
        <f>IF(GLOBAL_DER_FEV_2023!W1782=0,0,IF(GLOBAL_DER_FEV_2023!W1782&gt;0,"c","b"))</f>
        <v>0</v>
      </c>
    </row>
    <row r="1783" spans="1:25" ht="15" hidden="1" customHeight="1" x14ac:dyDescent="0.2">
      <c r="A1783" s="317" t="s">
        <v>147</v>
      </c>
      <c r="B1783" s="895" t="s">
        <v>147</v>
      </c>
      <c r="C1783" s="896"/>
      <c r="D1783" s="906" t="s">
        <v>190</v>
      </c>
      <c r="E1783" s="907">
        <f>GLOBAL_DER_FEV_2023!E1783</f>
        <v>308</v>
      </c>
      <c r="F1783" s="908">
        <f>GLOBAL_DER_FEV_2023!F1783</f>
        <v>0.434</v>
      </c>
      <c r="G1783" s="909">
        <f>GLOBAL_DER_FEV_2023!G1783</f>
        <v>107.65804</v>
      </c>
      <c r="H1783" s="901">
        <f>GLOBAL_DER_FEV_2023!H1783</f>
        <v>0</v>
      </c>
      <c r="I1783" s="901">
        <f>GLOBAL_DER_FEV_2023!I1783</f>
        <v>0</v>
      </c>
      <c r="J1783" s="902">
        <f>GLOBAL_DER_FEV_2023!J1783</f>
        <v>0</v>
      </c>
      <c r="K1783" s="903"/>
      <c r="L1783" s="1177"/>
      <c r="M1783" s="1138">
        <f t="shared" si="132"/>
        <v>0</v>
      </c>
      <c r="N1783" s="1176">
        <f t="shared" si="136"/>
        <v>0</v>
      </c>
      <c r="O1783" s="905"/>
      <c r="P1783" s="36" t="str">
        <f>IF(N1782&gt;0,"xx",IF(N1782&gt;0,"xy",""))</f>
        <v/>
      </c>
      <c r="Q1783" s="317" t="str">
        <f t="shared" si="133"/>
        <v/>
      </c>
      <c r="R1783" s="317" t="str">
        <f t="shared" si="134"/>
        <v/>
      </c>
      <c r="S1783" s="317" t="str">
        <f t="shared" si="135"/>
        <v/>
      </c>
      <c r="T1783" s="317" t="str">
        <f>GLOBAL_DER_FEV_2023!S1783</f>
        <v/>
      </c>
      <c r="W1783" s="582">
        <v>0</v>
      </c>
      <c r="X1783" s="580"/>
      <c r="Y1783" s="583">
        <f>IF(GLOBAL_DER_FEV_2023!W1783=0,0,IF(GLOBAL_DER_FEV_2023!W1783&gt;0,"c","b"))</f>
        <v>0</v>
      </c>
    </row>
    <row r="1784" spans="1:25" ht="15" hidden="1" customHeight="1" x14ac:dyDescent="0.2">
      <c r="A1784" s="317" t="s">
        <v>147</v>
      </c>
      <c r="B1784" s="895" t="s">
        <v>147</v>
      </c>
      <c r="C1784" s="896"/>
      <c r="D1784" s="906" t="s">
        <v>229</v>
      </c>
      <c r="E1784" s="907">
        <f>GLOBAL_DER_FEV_2023!E1784</f>
        <v>150</v>
      </c>
      <c r="F1784" s="908">
        <f>GLOBAL_DER_FEV_2023!F1784</f>
        <v>1.575</v>
      </c>
      <c r="G1784" s="949">
        <f>GLOBAL_DER_FEV_2023!G1784</f>
        <v>257.00850000000003</v>
      </c>
      <c r="H1784" s="901">
        <f>GLOBAL_DER_FEV_2023!H1784</f>
        <v>0</v>
      </c>
      <c r="I1784" s="901">
        <f>GLOBAL_DER_FEV_2023!I1784</f>
        <v>0</v>
      </c>
      <c r="J1784" s="902">
        <f>GLOBAL_DER_FEV_2023!J1784</f>
        <v>0</v>
      </c>
      <c r="K1784" s="903"/>
      <c r="L1784" s="1177"/>
      <c r="M1784" s="1138">
        <f t="shared" si="132"/>
        <v>0</v>
      </c>
      <c r="N1784" s="1176">
        <f t="shared" si="136"/>
        <v>0</v>
      </c>
      <c r="O1784" s="905"/>
      <c r="P1784" s="36" t="str">
        <f>IF(N1782&gt;0,"xx",IF(N1782&gt;0,"xy",""))</f>
        <v/>
      </c>
      <c r="Q1784" s="317" t="str">
        <f t="shared" si="133"/>
        <v/>
      </c>
      <c r="R1784" s="317" t="str">
        <f t="shared" si="134"/>
        <v/>
      </c>
      <c r="S1784" s="317" t="str">
        <f t="shared" si="135"/>
        <v/>
      </c>
      <c r="T1784" s="317" t="str">
        <f>GLOBAL_DER_FEV_2023!S1784</f>
        <v/>
      </c>
      <c r="W1784" s="582">
        <v>0</v>
      </c>
      <c r="X1784" s="580"/>
      <c r="Y1784" s="583">
        <f>IF(GLOBAL_DER_FEV_2023!W1784=0,0,IF(GLOBAL_DER_FEV_2023!W1784&gt;0,"c","b"))</f>
        <v>0</v>
      </c>
    </row>
    <row r="1785" spans="1:25" ht="15" hidden="1" customHeight="1" x14ac:dyDescent="0.2">
      <c r="A1785" s="317">
        <v>604100</v>
      </c>
      <c r="B1785" s="895">
        <v>604100</v>
      </c>
      <c r="C1785" s="896" t="s">
        <v>184</v>
      </c>
      <c r="D1785" s="906" t="s">
        <v>334</v>
      </c>
      <c r="E1785" s="907">
        <f>GLOBAL_DER_FEV_2023!E1785</f>
        <v>0</v>
      </c>
      <c r="F1785" s="908">
        <f>GLOBAL_DER_FEV_2023!F1785</f>
        <v>0</v>
      </c>
      <c r="G1785" s="912">
        <f>GLOBAL_DER_FEV_2023!G1785</f>
        <v>379.56790000000001</v>
      </c>
      <c r="H1785" s="901">
        <f>GLOBAL_DER_FEV_2023!H1785</f>
        <v>466.54</v>
      </c>
      <c r="I1785" s="901">
        <f>GLOBAL_DER_FEV_2023!I1785</f>
        <v>846.10789999999997</v>
      </c>
      <c r="J1785" s="902">
        <f>GLOBAL_DER_FEV_2023!J1785</f>
        <v>1015.92</v>
      </c>
      <c r="K1785" s="903" t="s">
        <v>10</v>
      </c>
      <c r="L1785" s="1137"/>
      <c r="M1785" s="1138">
        <f t="shared" si="132"/>
        <v>0</v>
      </c>
      <c r="N1785" s="1176">
        <f t="shared" si="136"/>
        <v>0</v>
      </c>
      <c r="O1785" s="905"/>
      <c r="Q1785" s="317" t="str">
        <f t="shared" si="133"/>
        <v/>
      </c>
      <c r="R1785" s="317" t="str">
        <f t="shared" si="134"/>
        <v/>
      </c>
      <c r="S1785" s="317" t="str">
        <f t="shared" si="135"/>
        <v/>
      </c>
      <c r="T1785" s="317" t="str">
        <f>GLOBAL_DER_FEV_2023!S1785</f>
        <v/>
      </c>
      <c r="W1785" s="582">
        <v>0</v>
      </c>
      <c r="X1785" s="580"/>
      <c r="Y1785" s="583">
        <f>IF(GLOBAL_DER_FEV_2023!W1785=0,0,IF(GLOBAL_DER_FEV_2023!W1785&gt;0,"c","b"))</f>
        <v>0</v>
      </c>
    </row>
    <row r="1786" spans="1:25" ht="15" hidden="1" customHeight="1" x14ac:dyDescent="0.2">
      <c r="A1786" s="317" t="s">
        <v>147</v>
      </c>
      <c r="B1786" s="895" t="s">
        <v>147</v>
      </c>
      <c r="C1786" s="896"/>
      <c r="D1786" s="906" t="s">
        <v>190</v>
      </c>
      <c r="E1786" s="907">
        <f>GLOBAL_DER_FEV_2023!E1786</f>
        <v>308</v>
      </c>
      <c r="F1786" s="908">
        <f>GLOBAL_DER_FEV_2023!F1786</f>
        <v>0.42499999999999999</v>
      </c>
      <c r="G1786" s="909">
        <f>GLOBAL_DER_FEV_2023!G1786</f>
        <v>105.4255</v>
      </c>
      <c r="H1786" s="901">
        <f>GLOBAL_DER_FEV_2023!H1786</f>
        <v>0</v>
      </c>
      <c r="I1786" s="901">
        <f>GLOBAL_DER_FEV_2023!I1786</f>
        <v>0</v>
      </c>
      <c r="J1786" s="902">
        <f>GLOBAL_DER_FEV_2023!J1786</f>
        <v>0</v>
      </c>
      <c r="K1786" s="903"/>
      <c r="L1786" s="1177"/>
      <c r="M1786" s="1138">
        <f t="shared" si="132"/>
        <v>0</v>
      </c>
      <c r="N1786" s="1176">
        <f t="shared" si="136"/>
        <v>0</v>
      </c>
      <c r="O1786" s="905"/>
      <c r="P1786" s="36" t="str">
        <f>IF(N1785&gt;0,"xx",IF(N1785&gt;0,"xy",""))</f>
        <v/>
      </c>
      <c r="Q1786" s="317" t="str">
        <f t="shared" si="133"/>
        <v/>
      </c>
      <c r="R1786" s="317" t="str">
        <f t="shared" si="134"/>
        <v/>
      </c>
      <c r="S1786" s="317" t="str">
        <f t="shared" si="135"/>
        <v/>
      </c>
      <c r="T1786" s="317" t="str">
        <f>GLOBAL_DER_FEV_2023!S1786</f>
        <v/>
      </c>
      <c r="W1786" s="582">
        <v>0</v>
      </c>
      <c r="X1786" s="580"/>
      <c r="Y1786" s="583">
        <f>IF(GLOBAL_DER_FEV_2023!W1786=0,0,IF(GLOBAL_DER_FEV_2023!W1786&gt;0,"c","b"))</f>
        <v>0</v>
      </c>
    </row>
    <row r="1787" spans="1:25" ht="15" hidden="1" customHeight="1" x14ac:dyDescent="0.2">
      <c r="A1787" s="317" t="s">
        <v>147</v>
      </c>
      <c r="B1787" s="895" t="s">
        <v>147</v>
      </c>
      <c r="C1787" s="896"/>
      <c r="D1787" s="906" t="s">
        <v>229</v>
      </c>
      <c r="E1787" s="907">
        <f>GLOBAL_DER_FEV_2023!E1787</f>
        <v>150</v>
      </c>
      <c r="F1787" s="908">
        <f>GLOBAL_DER_FEV_2023!F1787</f>
        <v>1.68</v>
      </c>
      <c r="G1787" s="949">
        <f>GLOBAL_DER_FEV_2023!G1787</f>
        <v>274.14240000000001</v>
      </c>
      <c r="H1787" s="901">
        <f>GLOBAL_DER_FEV_2023!H1787</f>
        <v>0</v>
      </c>
      <c r="I1787" s="901">
        <f>GLOBAL_DER_FEV_2023!I1787</f>
        <v>0</v>
      </c>
      <c r="J1787" s="902">
        <f>GLOBAL_DER_FEV_2023!J1787</f>
        <v>0</v>
      </c>
      <c r="K1787" s="903"/>
      <c r="L1787" s="1177"/>
      <c r="M1787" s="1138">
        <f t="shared" si="132"/>
        <v>0</v>
      </c>
      <c r="N1787" s="1176">
        <f t="shared" si="136"/>
        <v>0</v>
      </c>
      <c r="O1787" s="905"/>
      <c r="P1787" s="36" t="str">
        <f>IF(N1785&gt;0,"xx",IF(N1785&gt;0,"xy",""))</f>
        <v/>
      </c>
      <c r="Q1787" s="317" t="str">
        <f t="shared" si="133"/>
        <v/>
      </c>
      <c r="R1787" s="317" t="str">
        <f t="shared" si="134"/>
        <v/>
      </c>
      <c r="S1787" s="317" t="str">
        <f t="shared" si="135"/>
        <v/>
      </c>
      <c r="T1787" s="317" t="str">
        <f>GLOBAL_DER_FEV_2023!S1787</f>
        <v/>
      </c>
      <c r="W1787" s="582">
        <v>0</v>
      </c>
      <c r="X1787" s="580"/>
      <c r="Y1787" s="583">
        <f>IF(GLOBAL_DER_FEV_2023!W1787=0,0,IF(GLOBAL_DER_FEV_2023!W1787&gt;0,"c","b"))</f>
        <v>0</v>
      </c>
    </row>
    <row r="1788" spans="1:25" ht="15" hidden="1" customHeight="1" x14ac:dyDescent="0.2">
      <c r="A1788" s="317">
        <v>640000</v>
      </c>
      <c r="B1788" s="895">
        <v>640000</v>
      </c>
      <c r="C1788" s="896" t="s">
        <v>184</v>
      </c>
      <c r="D1788" s="906" t="s">
        <v>335</v>
      </c>
      <c r="E1788" s="907">
        <f>GLOBAL_DER_FEV_2023!E1788</f>
        <v>0</v>
      </c>
      <c r="F1788" s="908">
        <f>GLOBAL_DER_FEV_2023!F1788</f>
        <v>0</v>
      </c>
      <c r="G1788" s="912">
        <f>GLOBAL_DER_FEV_2023!G1788</f>
        <v>85.097220000000007</v>
      </c>
      <c r="H1788" s="901">
        <f>GLOBAL_DER_FEV_2023!H1788</f>
        <v>104.04</v>
      </c>
      <c r="I1788" s="901">
        <f>GLOBAL_DER_FEV_2023!I1788</f>
        <v>189.13722000000001</v>
      </c>
      <c r="J1788" s="902">
        <f>GLOBAL_DER_FEV_2023!J1788</f>
        <v>227.1</v>
      </c>
      <c r="K1788" s="903" t="s">
        <v>13</v>
      </c>
      <c r="L1788" s="1137"/>
      <c r="M1788" s="1138">
        <f t="shared" si="132"/>
        <v>0</v>
      </c>
      <c r="N1788" s="1176">
        <f t="shared" si="136"/>
        <v>0</v>
      </c>
      <c r="O1788" s="905"/>
      <c r="Q1788" s="317" t="str">
        <f t="shared" si="133"/>
        <v/>
      </c>
      <c r="R1788" s="317" t="str">
        <f t="shared" si="134"/>
        <v/>
      </c>
      <c r="S1788" s="317" t="str">
        <f t="shared" si="135"/>
        <v/>
      </c>
      <c r="T1788" s="317" t="str">
        <f>GLOBAL_DER_FEV_2023!S1788</f>
        <v/>
      </c>
      <c r="W1788" s="582">
        <v>0</v>
      </c>
      <c r="X1788" s="580"/>
      <c r="Y1788" s="583">
        <f>IF(GLOBAL_DER_FEV_2023!W1788=0,0,IF(GLOBAL_DER_FEV_2023!W1788&gt;0,"c","b"))</f>
        <v>0</v>
      </c>
    </row>
    <row r="1789" spans="1:25" ht="15" hidden="1" customHeight="1" x14ac:dyDescent="0.2">
      <c r="A1789" s="317" t="s">
        <v>147</v>
      </c>
      <c r="B1789" s="895" t="s">
        <v>147</v>
      </c>
      <c r="C1789" s="896"/>
      <c r="D1789" s="906" t="s">
        <v>229</v>
      </c>
      <c r="E1789" s="907">
        <f>GLOBAL_DER_FEV_2023!E1789</f>
        <v>150</v>
      </c>
      <c r="F1789" s="908">
        <f>GLOBAL_DER_FEV_2023!F1789</f>
        <v>0.50700000000000001</v>
      </c>
      <c r="G1789" s="949">
        <f>GLOBAL_DER_FEV_2023!G1789</f>
        <v>82.732260000000011</v>
      </c>
      <c r="H1789" s="901">
        <f>GLOBAL_DER_FEV_2023!H1789</f>
        <v>0</v>
      </c>
      <c r="I1789" s="901">
        <f>GLOBAL_DER_FEV_2023!I1789</f>
        <v>0</v>
      </c>
      <c r="J1789" s="902">
        <f>GLOBAL_DER_FEV_2023!J1789</f>
        <v>0</v>
      </c>
      <c r="K1789" s="903"/>
      <c r="L1789" s="1177"/>
      <c r="M1789" s="1138">
        <f t="shared" si="132"/>
        <v>0</v>
      </c>
      <c r="N1789" s="1176">
        <f t="shared" si="136"/>
        <v>0</v>
      </c>
      <c r="O1789" s="905"/>
      <c r="P1789" s="36" t="str">
        <f>IF(N1788&gt;0,"xx",IF(N1788&gt;0,"xy",""))</f>
        <v/>
      </c>
      <c r="Q1789" s="317" t="str">
        <f t="shared" si="133"/>
        <v/>
      </c>
      <c r="R1789" s="317" t="str">
        <f t="shared" si="134"/>
        <v/>
      </c>
      <c r="S1789" s="317" t="str">
        <f t="shared" si="135"/>
        <v/>
      </c>
      <c r="T1789" s="317" t="str">
        <f>GLOBAL_DER_FEV_2023!S1789</f>
        <v/>
      </c>
      <c r="W1789" s="582">
        <v>0</v>
      </c>
      <c r="X1789" s="580"/>
      <c r="Y1789" s="583">
        <f>IF(GLOBAL_DER_FEV_2023!W1789=0,0,IF(GLOBAL_DER_FEV_2023!W1789&gt;0,"c","b"))</f>
        <v>0</v>
      </c>
    </row>
    <row r="1790" spans="1:25" ht="15" hidden="1" customHeight="1" x14ac:dyDescent="0.2">
      <c r="A1790" s="317" t="s">
        <v>147</v>
      </c>
      <c r="B1790" s="895" t="s">
        <v>147</v>
      </c>
      <c r="C1790" s="896"/>
      <c r="D1790" s="906" t="s">
        <v>336</v>
      </c>
      <c r="E1790" s="907">
        <f>GLOBAL_DER_FEV_2023!E1790</f>
        <v>40</v>
      </c>
      <c r="F1790" s="908">
        <f>GLOBAL_DER_FEV_2023!F1790</f>
        <v>5.1999999999999998E-2</v>
      </c>
      <c r="G1790" s="949">
        <f>GLOBAL_DER_FEV_2023!G1790</f>
        <v>2.36496</v>
      </c>
      <c r="H1790" s="901">
        <f>GLOBAL_DER_FEV_2023!H1790</f>
        <v>0</v>
      </c>
      <c r="I1790" s="901">
        <f>GLOBAL_DER_FEV_2023!I1790</f>
        <v>0</v>
      </c>
      <c r="J1790" s="902">
        <f>GLOBAL_DER_FEV_2023!J1790</f>
        <v>0</v>
      </c>
      <c r="K1790" s="903"/>
      <c r="L1790" s="1177"/>
      <c r="M1790" s="1138">
        <f t="shared" si="132"/>
        <v>0</v>
      </c>
      <c r="N1790" s="1176">
        <f t="shared" si="136"/>
        <v>0</v>
      </c>
      <c r="O1790" s="905"/>
      <c r="P1790" s="36" t="str">
        <f>IF(N1788&gt;0,"xx",IF(N1788&gt;0,"xy",""))</f>
        <v/>
      </c>
      <c r="Q1790" s="317" t="str">
        <f t="shared" si="133"/>
        <v/>
      </c>
      <c r="R1790" s="317" t="str">
        <f t="shared" si="134"/>
        <v/>
      </c>
      <c r="S1790" s="317" t="str">
        <f t="shared" si="135"/>
        <v/>
      </c>
      <c r="T1790" s="317" t="str">
        <f>GLOBAL_DER_FEV_2023!S1790</f>
        <v/>
      </c>
      <c r="W1790" s="582">
        <v>0</v>
      </c>
      <c r="X1790" s="580"/>
      <c r="Y1790" s="583">
        <f>IF(GLOBAL_DER_FEV_2023!W1790=0,0,IF(GLOBAL_DER_FEV_2023!W1790&gt;0,"c","b"))</f>
        <v>0</v>
      </c>
    </row>
    <row r="1791" spans="1:25" ht="15" hidden="1" customHeight="1" x14ac:dyDescent="0.2">
      <c r="A1791" s="317">
        <v>605000</v>
      </c>
      <c r="B1791" s="895" t="s">
        <v>1784</v>
      </c>
      <c r="C1791" s="896" t="s">
        <v>184</v>
      </c>
      <c r="D1791" s="906" t="s">
        <v>337</v>
      </c>
      <c r="E1791" s="907">
        <f>GLOBAL_DER_FEV_2023!E1791</f>
        <v>0</v>
      </c>
      <c r="F1791" s="908">
        <f>GLOBAL_DER_FEV_2023!F1791</f>
        <v>0</v>
      </c>
      <c r="G1791" s="912">
        <f>GLOBAL_DER_FEV_2023!G1791</f>
        <v>220.83394000000004</v>
      </c>
      <c r="H1791" s="901">
        <f>GLOBAL_DER_FEV_2023!H1791</f>
        <v>425.25</v>
      </c>
      <c r="I1791" s="901">
        <f>GLOBAL_DER_FEV_2023!I1791</f>
        <v>646.08393999999998</v>
      </c>
      <c r="J1791" s="902">
        <f>GLOBAL_DER_FEV_2023!J1791</f>
        <v>775.75</v>
      </c>
      <c r="K1791" s="903" t="s">
        <v>10</v>
      </c>
      <c r="L1791" s="1137"/>
      <c r="M1791" s="1138">
        <f t="shared" si="132"/>
        <v>0</v>
      </c>
      <c r="N1791" s="1176">
        <f t="shared" si="136"/>
        <v>0</v>
      </c>
      <c r="O1791" s="905"/>
      <c r="Q1791" s="317" t="str">
        <f t="shared" si="133"/>
        <v/>
      </c>
      <c r="R1791" s="317" t="str">
        <f t="shared" si="134"/>
        <v/>
      </c>
      <c r="S1791" s="317" t="str">
        <f t="shared" si="135"/>
        <v/>
      </c>
      <c r="T1791" s="317" t="str">
        <f>GLOBAL_DER_FEV_2023!S1791</f>
        <v/>
      </c>
      <c r="W1791" s="582">
        <v>0</v>
      </c>
      <c r="X1791" s="580"/>
      <c r="Y1791" s="583">
        <f>IF(GLOBAL_DER_FEV_2023!W1791=0,0,IF(GLOBAL_DER_FEV_2023!W1791&gt;0,"c","b"))</f>
        <v>0</v>
      </c>
    </row>
    <row r="1792" spans="1:25" ht="15" hidden="1" customHeight="1" x14ac:dyDescent="0.2">
      <c r="A1792" s="317" t="s">
        <v>147</v>
      </c>
      <c r="B1792" s="895" t="s">
        <v>147</v>
      </c>
      <c r="C1792" s="896"/>
      <c r="D1792" s="906" t="s">
        <v>190</v>
      </c>
      <c r="E1792" s="907">
        <f>GLOBAL_DER_FEV_2023!E1792</f>
        <v>308</v>
      </c>
      <c r="F1792" s="908">
        <f>GLOBAL_DER_FEV_2023!F1792</f>
        <v>0.18</v>
      </c>
      <c r="G1792" s="909">
        <f>GLOBAL_DER_FEV_2023!G1792</f>
        <v>44.650799999999997</v>
      </c>
      <c r="H1792" s="901">
        <f>GLOBAL_DER_FEV_2023!H1792</f>
        <v>0</v>
      </c>
      <c r="I1792" s="901">
        <f>GLOBAL_DER_FEV_2023!I1792</f>
        <v>0</v>
      </c>
      <c r="J1792" s="902">
        <f>GLOBAL_DER_FEV_2023!J1792</f>
        <v>0</v>
      </c>
      <c r="K1792" s="903"/>
      <c r="L1792" s="1177"/>
      <c r="M1792" s="1138">
        <f t="shared" si="132"/>
        <v>0</v>
      </c>
      <c r="N1792" s="1176">
        <f t="shared" si="136"/>
        <v>0</v>
      </c>
      <c r="O1792" s="905"/>
      <c r="P1792" s="36" t="str">
        <f>IF(N1791&gt;0,"xx",IF(N1791&gt;0,"xy",""))</f>
        <v/>
      </c>
      <c r="Q1792" s="317" t="str">
        <f t="shared" si="133"/>
        <v/>
      </c>
      <c r="R1792" s="317" t="str">
        <f t="shared" si="134"/>
        <v/>
      </c>
      <c r="S1792" s="317" t="str">
        <f t="shared" si="135"/>
        <v/>
      </c>
      <c r="T1792" s="317" t="str">
        <f>GLOBAL_DER_FEV_2023!S1792</f>
        <v/>
      </c>
      <c r="W1792" s="582">
        <v>0</v>
      </c>
      <c r="X1792" s="580"/>
      <c r="Y1792" s="583">
        <f>IF(GLOBAL_DER_FEV_2023!W1792=0,0,IF(GLOBAL_DER_FEV_2023!W1792&gt;0,"c","b"))</f>
        <v>0</v>
      </c>
    </row>
    <row r="1793" spans="1:25" ht="15" hidden="1" customHeight="1" x14ac:dyDescent="0.2">
      <c r="A1793" s="317" t="s">
        <v>147</v>
      </c>
      <c r="B1793" s="895" t="s">
        <v>147</v>
      </c>
      <c r="C1793" s="896"/>
      <c r="D1793" s="906" t="s">
        <v>229</v>
      </c>
      <c r="E1793" s="907">
        <f>GLOBAL_DER_FEV_2023!E1793</f>
        <v>150</v>
      </c>
      <c r="F1793" s="908">
        <f>GLOBAL_DER_FEV_2023!F1793</f>
        <v>1.06</v>
      </c>
      <c r="G1793" s="949">
        <f>GLOBAL_DER_FEV_2023!G1793</f>
        <v>172.97080000000003</v>
      </c>
      <c r="H1793" s="901">
        <f>GLOBAL_DER_FEV_2023!H1793</f>
        <v>0</v>
      </c>
      <c r="I1793" s="901">
        <f>GLOBAL_DER_FEV_2023!I1793</f>
        <v>0</v>
      </c>
      <c r="J1793" s="902">
        <f>GLOBAL_DER_FEV_2023!J1793</f>
        <v>0</v>
      </c>
      <c r="K1793" s="903"/>
      <c r="L1793" s="1177"/>
      <c r="M1793" s="1138">
        <f t="shared" si="132"/>
        <v>0</v>
      </c>
      <c r="N1793" s="1176">
        <f t="shared" si="136"/>
        <v>0</v>
      </c>
      <c r="O1793" s="905"/>
      <c r="P1793" s="36" t="str">
        <f>IF(N1791&gt;0,"xx",IF(N1791&gt;0,"xy",""))</f>
        <v/>
      </c>
      <c r="Q1793" s="317" t="str">
        <f t="shared" si="133"/>
        <v/>
      </c>
      <c r="R1793" s="317" t="str">
        <f t="shared" si="134"/>
        <v/>
      </c>
      <c r="S1793" s="317" t="str">
        <f t="shared" si="135"/>
        <v/>
      </c>
      <c r="T1793" s="317" t="str">
        <f>GLOBAL_DER_FEV_2023!S1793</f>
        <v/>
      </c>
      <c r="W1793" s="582">
        <v>0</v>
      </c>
      <c r="X1793" s="580"/>
      <c r="Y1793" s="583">
        <f>IF(GLOBAL_DER_FEV_2023!W1793=0,0,IF(GLOBAL_DER_FEV_2023!W1793&gt;0,"c","b"))</f>
        <v>0</v>
      </c>
    </row>
    <row r="1794" spans="1:25" ht="15" hidden="1" customHeight="1" x14ac:dyDescent="0.2">
      <c r="A1794" s="317" t="s">
        <v>147</v>
      </c>
      <c r="B1794" s="895" t="s">
        <v>147</v>
      </c>
      <c r="C1794" s="896"/>
      <c r="D1794" s="906" t="s">
        <v>233</v>
      </c>
      <c r="E1794" s="907">
        <f>GLOBAL_DER_FEV_2023!E1794</f>
        <v>0.2</v>
      </c>
      <c r="F1794" s="908">
        <f>GLOBAL_DER_FEV_2023!F1794</f>
        <v>1.1100000000000001</v>
      </c>
      <c r="G1794" s="949">
        <f>GLOBAL_DER_FEV_2023!G1794</f>
        <v>3.2123400000000006</v>
      </c>
      <c r="H1794" s="901">
        <f>GLOBAL_DER_FEV_2023!H1794</f>
        <v>0</v>
      </c>
      <c r="I1794" s="901">
        <f>GLOBAL_DER_FEV_2023!I1794</f>
        <v>0</v>
      </c>
      <c r="J1794" s="902">
        <f>GLOBAL_DER_FEV_2023!J1794</f>
        <v>0</v>
      </c>
      <c r="K1794" s="903"/>
      <c r="L1794" s="1177"/>
      <c r="M1794" s="1138">
        <f t="shared" si="132"/>
        <v>0</v>
      </c>
      <c r="N1794" s="1176">
        <f t="shared" si="136"/>
        <v>0</v>
      </c>
      <c r="O1794" s="905"/>
      <c r="P1794" s="36" t="str">
        <f>IF(N1791&gt;0,"xx",IF(N1791&gt;0,"xy",""))</f>
        <v/>
      </c>
      <c r="Q1794" s="317" t="str">
        <f t="shared" si="133"/>
        <v/>
      </c>
      <c r="R1794" s="317" t="str">
        <f t="shared" si="134"/>
        <v/>
      </c>
      <c r="S1794" s="317" t="str">
        <f t="shared" si="135"/>
        <v/>
      </c>
      <c r="T1794" s="317" t="str">
        <f>GLOBAL_DER_FEV_2023!S1794</f>
        <v/>
      </c>
      <c r="W1794" s="582">
        <v>0</v>
      </c>
      <c r="X1794" s="580"/>
      <c r="Y1794" s="583">
        <f>IF(GLOBAL_DER_FEV_2023!W1794=0,0,IF(GLOBAL_DER_FEV_2023!W1794&gt;0,"c","b"))</f>
        <v>0</v>
      </c>
    </row>
    <row r="1795" spans="1:25" ht="15" hidden="1" customHeight="1" x14ac:dyDescent="0.2">
      <c r="A1795" s="317">
        <v>606000</v>
      </c>
      <c r="B1795" s="895" t="s">
        <v>1792</v>
      </c>
      <c r="C1795" s="896" t="s">
        <v>184</v>
      </c>
      <c r="D1795" s="906" t="s">
        <v>530</v>
      </c>
      <c r="E1795" s="907">
        <f>GLOBAL_DER_FEV_2023!E1795</f>
        <v>0</v>
      </c>
      <c r="F1795" s="908">
        <f>GLOBAL_DER_FEV_2023!F1795</f>
        <v>0</v>
      </c>
      <c r="G1795" s="912">
        <f>GLOBAL_DER_FEV_2023!G1795</f>
        <v>159.82866000000001</v>
      </c>
      <c r="H1795" s="901">
        <f>GLOBAL_DER_FEV_2023!H1795</f>
        <v>378.9</v>
      </c>
      <c r="I1795" s="901">
        <f>GLOBAL_DER_FEV_2023!I1795</f>
        <v>538.72865999999999</v>
      </c>
      <c r="J1795" s="902">
        <f>GLOBAL_DER_FEV_2023!J1795</f>
        <v>646.85</v>
      </c>
      <c r="K1795" s="903" t="s">
        <v>10</v>
      </c>
      <c r="L1795" s="1137"/>
      <c r="M1795" s="1138">
        <f t="shared" si="132"/>
        <v>0</v>
      </c>
      <c r="N1795" s="1176">
        <f t="shared" si="136"/>
        <v>0</v>
      </c>
      <c r="O1795" s="905"/>
      <c r="Q1795" s="317" t="str">
        <f t="shared" si="133"/>
        <v/>
      </c>
      <c r="R1795" s="317" t="str">
        <f t="shared" si="134"/>
        <v/>
      </c>
      <c r="S1795" s="317" t="str">
        <f t="shared" si="135"/>
        <v/>
      </c>
      <c r="T1795" s="317" t="str">
        <f>GLOBAL_DER_FEV_2023!S1795</f>
        <v/>
      </c>
      <c r="W1795" s="582">
        <v>0</v>
      </c>
      <c r="X1795" s="580"/>
      <c r="Y1795" s="583">
        <f>IF(GLOBAL_DER_FEV_2023!W1795=0,0,IF(GLOBAL_DER_FEV_2023!W1795&gt;0,"c","b"))</f>
        <v>0</v>
      </c>
    </row>
    <row r="1796" spans="1:25" ht="15" hidden="1" customHeight="1" x14ac:dyDescent="0.2">
      <c r="A1796" s="317" t="s">
        <v>147</v>
      </c>
      <c r="B1796" s="895" t="s">
        <v>147</v>
      </c>
      <c r="C1796" s="896"/>
      <c r="D1796" s="906" t="s">
        <v>190</v>
      </c>
      <c r="E1796" s="907">
        <f>GLOBAL_DER_FEV_2023!E1796</f>
        <v>308</v>
      </c>
      <c r="F1796" s="908">
        <f>GLOBAL_DER_FEV_2023!F1796</f>
        <v>0.189</v>
      </c>
      <c r="G1796" s="909">
        <f>GLOBAL_DER_FEV_2023!G1796</f>
        <v>46.883340000000004</v>
      </c>
      <c r="H1796" s="901">
        <f>GLOBAL_DER_FEV_2023!H1796</f>
        <v>0</v>
      </c>
      <c r="I1796" s="901">
        <f>GLOBAL_DER_FEV_2023!I1796</f>
        <v>0</v>
      </c>
      <c r="J1796" s="902">
        <f>GLOBAL_DER_FEV_2023!J1796</f>
        <v>0</v>
      </c>
      <c r="K1796" s="903"/>
      <c r="L1796" s="1177"/>
      <c r="M1796" s="1138">
        <f t="shared" si="132"/>
        <v>0</v>
      </c>
      <c r="N1796" s="1176">
        <f t="shared" si="136"/>
        <v>0</v>
      </c>
      <c r="O1796" s="905"/>
      <c r="P1796" s="36" t="str">
        <f>IF(N1795&gt;0,"xx",IF(N1795&gt;0,"xy",""))</f>
        <v/>
      </c>
      <c r="Q1796" s="317" t="str">
        <f t="shared" si="133"/>
        <v/>
      </c>
      <c r="R1796" s="317" t="str">
        <f t="shared" si="134"/>
        <v/>
      </c>
      <c r="S1796" s="317" t="str">
        <f t="shared" si="135"/>
        <v/>
      </c>
      <c r="T1796" s="317" t="str">
        <f>GLOBAL_DER_FEV_2023!S1796</f>
        <v/>
      </c>
      <c r="W1796" s="582">
        <v>0</v>
      </c>
      <c r="X1796" s="580"/>
      <c r="Y1796" s="583">
        <f>IF(GLOBAL_DER_FEV_2023!W1796=0,0,IF(GLOBAL_DER_FEV_2023!W1796&gt;0,"c","b"))</f>
        <v>0</v>
      </c>
    </row>
    <row r="1797" spans="1:25" ht="15" hidden="1" customHeight="1" x14ac:dyDescent="0.2">
      <c r="A1797" s="317" t="s">
        <v>147</v>
      </c>
      <c r="B1797" s="895" t="s">
        <v>147</v>
      </c>
      <c r="C1797" s="896"/>
      <c r="D1797" s="906" t="s">
        <v>229</v>
      </c>
      <c r="E1797" s="907">
        <f>GLOBAL_DER_FEV_2023!E1797</f>
        <v>150</v>
      </c>
      <c r="F1797" s="908">
        <f>GLOBAL_DER_FEV_2023!F1797</f>
        <v>0.67200000000000004</v>
      </c>
      <c r="G1797" s="949">
        <f>GLOBAL_DER_FEV_2023!G1797</f>
        <v>109.65696000000001</v>
      </c>
      <c r="H1797" s="901">
        <f>GLOBAL_DER_FEV_2023!H1797</f>
        <v>0</v>
      </c>
      <c r="I1797" s="901">
        <f>GLOBAL_DER_FEV_2023!I1797</f>
        <v>0</v>
      </c>
      <c r="J1797" s="902">
        <f>GLOBAL_DER_FEV_2023!J1797</f>
        <v>0</v>
      </c>
      <c r="K1797" s="903"/>
      <c r="L1797" s="1177"/>
      <c r="M1797" s="1138">
        <f t="shared" si="132"/>
        <v>0</v>
      </c>
      <c r="N1797" s="1176">
        <f t="shared" si="136"/>
        <v>0</v>
      </c>
      <c r="O1797" s="905"/>
      <c r="P1797" s="36" t="str">
        <f>IF(N1795&gt;0,"xx",IF(N1795&gt;0,"xy",""))</f>
        <v/>
      </c>
      <c r="Q1797" s="317" t="str">
        <f t="shared" si="133"/>
        <v/>
      </c>
      <c r="R1797" s="317" t="str">
        <f t="shared" si="134"/>
        <v/>
      </c>
      <c r="S1797" s="317" t="str">
        <f t="shared" si="135"/>
        <v/>
      </c>
      <c r="T1797" s="317" t="str">
        <f>GLOBAL_DER_FEV_2023!S1797</f>
        <v/>
      </c>
      <c r="W1797" s="582">
        <v>0</v>
      </c>
      <c r="X1797" s="580"/>
      <c r="Y1797" s="583">
        <f>IF(GLOBAL_DER_FEV_2023!W1797=0,0,IF(GLOBAL_DER_FEV_2023!W1797&gt;0,"c","b"))</f>
        <v>0</v>
      </c>
    </row>
    <row r="1798" spans="1:25" ht="15" hidden="1" customHeight="1" x14ac:dyDescent="0.2">
      <c r="A1798" s="317" t="s">
        <v>147</v>
      </c>
      <c r="B1798" s="895" t="s">
        <v>147</v>
      </c>
      <c r="C1798" s="896"/>
      <c r="D1798" s="906" t="s">
        <v>339</v>
      </c>
      <c r="E1798" s="907">
        <f>GLOBAL_DER_FEV_2023!E1798</f>
        <v>0</v>
      </c>
      <c r="F1798" s="908">
        <f>GLOBAL_DER_FEV_2023!F1798</f>
        <v>1.2270000000000001</v>
      </c>
      <c r="G1798" s="949">
        <f>GLOBAL_DER_FEV_2023!G1798</f>
        <v>3.2883600000000004</v>
      </c>
      <c r="H1798" s="901">
        <f>GLOBAL_DER_FEV_2023!H1798</f>
        <v>0</v>
      </c>
      <c r="I1798" s="901">
        <f>GLOBAL_DER_FEV_2023!I1798</f>
        <v>0</v>
      </c>
      <c r="J1798" s="902">
        <f>GLOBAL_DER_FEV_2023!J1798</f>
        <v>0</v>
      </c>
      <c r="K1798" s="903"/>
      <c r="L1798" s="1177"/>
      <c r="M1798" s="1138">
        <f t="shared" si="132"/>
        <v>0</v>
      </c>
      <c r="N1798" s="1176">
        <f t="shared" si="136"/>
        <v>0</v>
      </c>
      <c r="O1798" s="905"/>
      <c r="P1798" s="36" t="str">
        <f>IF(N1795&gt;0,"xx",IF(N1795&gt;0,"xy",""))</f>
        <v/>
      </c>
      <c r="Q1798" s="317" t="str">
        <f t="shared" si="133"/>
        <v/>
      </c>
      <c r="R1798" s="317" t="str">
        <f t="shared" si="134"/>
        <v/>
      </c>
      <c r="S1798" s="317" t="str">
        <f t="shared" si="135"/>
        <v/>
      </c>
      <c r="T1798" s="317" t="str">
        <f>GLOBAL_DER_FEV_2023!S1798</f>
        <v/>
      </c>
      <c r="W1798" s="582">
        <v>0</v>
      </c>
      <c r="X1798" s="580"/>
      <c r="Y1798" s="583">
        <f>IF(GLOBAL_DER_FEV_2023!W1798=0,0,IF(GLOBAL_DER_FEV_2023!W1798&gt;0,"c","b"))</f>
        <v>0</v>
      </c>
    </row>
    <row r="1799" spans="1:25" ht="15" hidden="1" customHeight="1" x14ac:dyDescent="0.2">
      <c r="A1799" s="317">
        <v>605100</v>
      </c>
      <c r="B1799" s="895">
        <v>605100</v>
      </c>
      <c r="C1799" s="896" t="s">
        <v>184</v>
      </c>
      <c r="D1799" s="906" t="s">
        <v>810</v>
      </c>
      <c r="E1799" s="907">
        <f>GLOBAL_DER_FEV_2023!E1799</f>
        <v>0</v>
      </c>
      <c r="F1799" s="908">
        <f>GLOBAL_DER_FEV_2023!F1799</f>
        <v>0</v>
      </c>
      <c r="G1799" s="912">
        <f>GLOBAL_DER_FEV_2023!G1799</f>
        <v>225.79514000000003</v>
      </c>
      <c r="H1799" s="901">
        <f>GLOBAL_DER_FEV_2023!H1799</f>
        <v>436.57</v>
      </c>
      <c r="I1799" s="901">
        <f>GLOBAL_DER_FEV_2023!I1799</f>
        <v>662.36514</v>
      </c>
      <c r="J1799" s="902">
        <f>GLOBAL_DER_FEV_2023!J1799</f>
        <v>795.3</v>
      </c>
      <c r="K1799" s="903" t="s">
        <v>10</v>
      </c>
      <c r="L1799" s="1137"/>
      <c r="M1799" s="1138">
        <f t="shared" si="132"/>
        <v>0</v>
      </c>
      <c r="N1799" s="1176">
        <f t="shared" si="136"/>
        <v>0</v>
      </c>
      <c r="O1799" s="905"/>
      <c r="Q1799" s="317" t="str">
        <f t="shared" si="133"/>
        <v/>
      </c>
      <c r="R1799" s="317" t="str">
        <f t="shared" si="134"/>
        <v/>
      </c>
      <c r="S1799" s="317" t="str">
        <f t="shared" si="135"/>
        <v/>
      </c>
      <c r="T1799" s="317" t="str">
        <f>GLOBAL_DER_FEV_2023!S1799</f>
        <v/>
      </c>
      <c r="W1799" s="582">
        <v>0</v>
      </c>
      <c r="X1799" s="580"/>
      <c r="Y1799" s="583">
        <f>IF(GLOBAL_DER_FEV_2023!W1799=0,0,IF(GLOBAL_DER_FEV_2023!W1799&gt;0,"c","b"))</f>
        <v>0</v>
      </c>
    </row>
    <row r="1800" spans="1:25" ht="15" hidden="1" customHeight="1" x14ac:dyDescent="0.2">
      <c r="A1800" s="317" t="s">
        <v>147</v>
      </c>
      <c r="B1800" s="895" t="s">
        <v>147</v>
      </c>
      <c r="C1800" s="896"/>
      <c r="D1800" s="906" t="s">
        <v>190</v>
      </c>
      <c r="E1800" s="907">
        <f>GLOBAL_DER_FEV_2023!E1800</f>
        <v>308</v>
      </c>
      <c r="F1800" s="908">
        <f>GLOBAL_DER_FEV_2023!F1800</f>
        <v>0.2</v>
      </c>
      <c r="G1800" s="909">
        <f>GLOBAL_DER_FEV_2023!G1800</f>
        <v>49.612000000000002</v>
      </c>
      <c r="H1800" s="901">
        <f>GLOBAL_DER_FEV_2023!H1800</f>
        <v>0</v>
      </c>
      <c r="I1800" s="901">
        <f>GLOBAL_DER_FEV_2023!I1800</f>
        <v>0</v>
      </c>
      <c r="J1800" s="902">
        <f>GLOBAL_DER_FEV_2023!J1800</f>
        <v>0</v>
      </c>
      <c r="K1800" s="903"/>
      <c r="L1800" s="1177"/>
      <c r="M1800" s="1138">
        <f t="shared" si="132"/>
        <v>0</v>
      </c>
      <c r="N1800" s="1176">
        <f t="shared" si="136"/>
        <v>0</v>
      </c>
      <c r="O1800" s="905"/>
      <c r="P1800" s="36" t="str">
        <f>IF(N1799&gt;0,"xx",IF(N1799&gt;0,"xy",""))</f>
        <v/>
      </c>
      <c r="Q1800" s="317" t="str">
        <f t="shared" si="133"/>
        <v/>
      </c>
      <c r="R1800" s="317" t="str">
        <f t="shared" si="134"/>
        <v/>
      </c>
      <c r="S1800" s="317" t="str">
        <f t="shared" si="135"/>
        <v/>
      </c>
      <c r="T1800" s="317" t="str">
        <f>GLOBAL_DER_FEV_2023!S1800</f>
        <v/>
      </c>
      <c r="W1800" s="582">
        <v>0</v>
      </c>
      <c r="X1800" s="580"/>
      <c r="Y1800" s="583">
        <f>IF(GLOBAL_DER_FEV_2023!W1800=0,0,IF(GLOBAL_DER_FEV_2023!W1800&gt;0,"c","b"))</f>
        <v>0</v>
      </c>
    </row>
    <row r="1801" spans="1:25" ht="15" hidden="1" customHeight="1" x14ac:dyDescent="0.2">
      <c r="A1801" s="317" t="s">
        <v>147</v>
      </c>
      <c r="B1801" s="895" t="s">
        <v>147</v>
      </c>
      <c r="C1801" s="896"/>
      <c r="D1801" s="906" t="s">
        <v>229</v>
      </c>
      <c r="E1801" s="907">
        <f>GLOBAL_DER_FEV_2023!E1801</f>
        <v>150</v>
      </c>
      <c r="F1801" s="908">
        <f>GLOBAL_DER_FEV_2023!F1801</f>
        <v>1.06</v>
      </c>
      <c r="G1801" s="949">
        <f>GLOBAL_DER_FEV_2023!G1801</f>
        <v>172.97080000000003</v>
      </c>
      <c r="H1801" s="901">
        <f>GLOBAL_DER_FEV_2023!H1801</f>
        <v>0</v>
      </c>
      <c r="I1801" s="901">
        <f>GLOBAL_DER_FEV_2023!I1801</f>
        <v>0</v>
      </c>
      <c r="J1801" s="902">
        <f>GLOBAL_DER_FEV_2023!J1801</f>
        <v>0</v>
      </c>
      <c r="K1801" s="903"/>
      <c r="L1801" s="1177"/>
      <c r="M1801" s="1138">
        <f t="shared" si="132"/>
        <v>0</v>
      </c>
      <c r="N1801" s="1176">
        <f t="shared" si="136"/>
        <v>0</v>
      </c>
      <c r="O1801" s="905"/>
      <c r="P1801" s="36" t="str">
        <f>IF(N1799&gt;0,"xx",IF(N1799&gt;0,"xy",""))</f>
        <v/>
      </c>
      <c r="Q1801" s="317" t="str">
        <f t="shared" si="133"/>
        <v/>
      </c>
      <c r="R1801" s="317" t="str">
        <f t="shared" si="134"/>
        <v/>
      </c>
      <c r="S1801" s="317" t="str">
        <f t="shared" si="135"/>
        <v/>
      </c>
      <c r="T1801" s="317" t="str">
        <f>GLOBAL_DER_FEV_2023!S1801</f>
        <v/>
      </c>
      <c r="W1801" s="582">
        <v>0</v>
      </c>
      <c r="X1801" s="580"/>
      <c r="Y1801" s="583">
        <f>IF(GLOBAL_DER_FEV_2023!W1801=0,0,IF(GLOBAL_DER_FEV_2023!W1801&gt;0,"c","b"))</f>
        <v>0</v>
      </c>
    </row>
    <row r="1802" spans="1:25" ht="15" hidden="1" customHeight="1" x14ac:dyDescent="0.2">
      <c r="A1802" s="317" t="s">
        <v>147</v>
      </c>
      <c r="B1802" s="895" t="s">
        <v>147</v>
      </c>
      <c r="C1802" s="896"/>
      <c r="D1802" s="906" t="s">
        <v>233</v>
      </c>
      <c r="E1802" s="907">
        <f>GLOBAL_DER_FEV_2023!E1802</f>
        <v>0.2</v>
      </c>
      <c r="F1802" s="908">
        <f>GLOBAL_DER_FEV_2023!F1802</f>
        <v>1.1100000000000001</v>
      </c>
      <c r="G1802" s="949">
        <f>GLOBAL_DER_FEV_2023!G1802</f>
        <v>3.2123400000000006</v>
      </c>
      <c r="H1802" s="901">
        <f>GLOBAL_DER_FEV_2023!H1802</f>
        <v>0</v>
      </c>
      <c r="I1802" s="901">
        <f>GLOBAL_DER_FEV_2023!I1802</f>
        <v>0</v>
      </c>
      <c r="J1802" s="902">
        <f>GLOBAL_DER_FEV_2023!J1802</f>
        <v>0</v>
      </c>
      <c r="K1802" s="903"/>
      <c r="L1802" s="1177"/>
      <c r="M1802" s="1138">
        <f t="shared" si="132"/>
        <v>0</v>
      </c>
      <c r="N1802" s="1176">
        <f t="shared" si="136"/>
        <v>0</v>
      </c>
      <c r="O1802" s="905"/>
      <c r="P1802" s="36" t="str">
        <f>IF(N1799&gt;0,"xx",IF(N1799&gt;0,"xy",""))</f>
        <v/>
      </c>
      <c r="Q1802" s="317" t="str">
        <f t="shared" si="133"/>
        <v/>
      </c>
      <c r="R1802" s="317" t="str">
        <f t="shared" si="134"/>
        <v/>
      </c>
      <c r="S1802" s="317" t="str">
        <f t="shared" si="135"/>
        <v/>
      </c>
      <c r="T1802" s="317" t="str">
        <f>GLOBAL_DER_FEV_2023!S1802</f>
        <v/>
      </c>
      <c r="W1802" s="582">
        <v>0</v>
      </c>
      <c r="X1802" s="580"/>
      <c r="Y1802" s="583">
        <f>IF(GLOBAL_DER_FEV_2023!W1802=0,0,IF(GLOBAL_DER_FEV_2023!W1802&gt;0,"c","b"))</f>
        <v>0</v>
      </c>
    </row>
    <row r="1803" spans="1:25" ht="15" hidden="1" customHeight="1" x14ac:dyDescent="0.2">
      <c r="A1803" s="317">
        <v>605200</v>
      </c>
      <c r="B1803" s="895" t="s">
        <v>1794</v>
      </c>
      <c r="C1803" s="896" t="s">
        <v>184</v>
      </c>
      <c r="D1803" s="906" t="s">
        <v>340</v>
      </c>
      <c r="E1803" s="907">
        <f>GLOBAL_DER_FEV_2023!E1803</f>
        <v>0</v>
      </c>
      <c r="F1803" s="908">
        <f>GLOBAL_DER_FEV_2023!F1803</f>
        <v>0</v>
      </c>
      <c r="G1803" s="912">
        <f>GLOBAL_DER_FEV_2023!G1803</f>
        <v>226.84134000000003</v>
      </c>
      <c r="H1803" s="901">
        <f>GLOBAL_DER_FEV_2023!H1803</f>
        <v>471.16</v>
      </c>
      <c r="I1803" s="901">
        <f>GLOBAL_DER_FEV_2023!I1803</f>
        <v>698.00134000000003</v>
      </c>
      <c r="J1803" s="902">
        <f>GLOBAL_DER_FEV_2023!J1803</f>
        <v>838.09</v>
      </c>
      <c r="K1803" s="903" t="s">
        <v>10</v>
      </c>
      <c r="L1803" s="1137"/>
      <c r="M1803" s="1138">
        <f t="shared" si="132"/>
        <v>0</v>
      </c>
      <c r="N1803" s="1176">
        <f t="shared" si="136"/>
        <v>0</v>
      </c>
      <c r="O1803" s="905"/>
      <c r="Q1803" s="317" t="str">
        <f t="shared" si="133"/>
        <v/>
      </c>
      <c r="R1803" s="317" t="str">
        <f t="shared" si="134"/>
        <v/>
      </c>
      <c r="S1803" s="317" t="str">
        <f t="shared" si="135"/>
        <v/>
      </c>
      <c r="T1803" s="317" t="str">
        <f>GLOBAL_DER_FEV_2023!S1803</f>
        <v/>
      </c>
      <c r="W1803" s="582">
        <v>0</v>
      </c>
      <c r="X1803" s="580"/>
      <c r="Y1803" s="583">
        <f>IF(GLOBAL_DER_FEV_2023!W1803=0,0,IF(GLOBAL_DER_FEV_2023!W1803&gt;0,"c","b"))</f>
        <v>0</v>
      </c>
    </row>
    <row r="1804" spans="1:25" ht="15" hidden="1" customHeight="1" x14ac:dyDescent="0.2">
      <c r="A1804" s="317" t="s">
        <v>147</v>
      </c>
      <c r="B1804" s="895" t="s">
        <v>147</v>
      </c>
      <c r="C1804" s="896"/>
      <c r="D1804" s="906" t="s">
        <v>190</v>
      </c>
      <c r="E1804" s="907">
        <f>GLOBAL_DER_FEV_2023!E1804</f>
        <v>308</v>
      </c>
      <c r="F1804" s="908">
        <f>GLOBAL_DER_FEV_2023!F1804</f>
        <v>0.27</v>
      </c>
      <c r="G1804" s="909">
        <f>GLOBAL_DER_FEV_2023!G1804</f>
        <v>66.976200000000006</v>
      </c>
      <c r="H1804" s="901">
        <f>GLOBAL_DER_FEV_2023!H1804</f>
        <v>0</v>
      </c>
      <c r="I1804" s="901">
        <f>GLOBAL_DER_FEV_2023!I1804</f>
        <v>0</v>
      </c>
      <c r="J1804" s="902">
        <f>GLOBAL_DER_FEV_2023!J1804</f>
        <v>0</v>
      </c>
      <c r="K1804" s="903"/>
      <c r="L1804" s="1177"/>
      <c r="M1804" s="1138">
        <f t="shared" si="132"/>
        <v>0</v>
      </c>
      <c r="N1804" s="1176">
        <f t="shared" si="136"/>
        <v>0</v>
      </c>
      <c r="O1804" s="905"/>
      <c r="P1804" s="36" t="str">
        <f>IF(N1803&gt;0,"xx",IF(N1803&gt;0,"xy",""))</f>
        <v/>
      </c>
      <c r="Q1804" s="317" t="str">
        <f t="shared" si="133"/>
        <v/>
      </c>
      <c r="R1804" s="317" t="str">
        <f t="shared" si="134"/>
        <v/>
      </c>
      <c r="S1804" s="317" t="str">
        <f t="shared" si="135"/>
        <v/>
      </c>
      <c r="T1804" s="317" t="str">
        <f>GLOBAL_DER_FEV_2023!S1804</f>
        <v/>
      </c>
      <c r="W1804" s="582">
        <v>0</v>
      </c>
      <c r="X1804" s="580"/>
      <c r="Y1804" s="583">
        <f>IF(GLOBAL_DER_FEV_2023!W1804=0,0,IF(GLOBAL_DER_FEV_2023!W1804&gt;0,"c","b"))</f>
        <v>0</v>
      </c>
    </row>
    <row r="1805" spans="1:25" ht="15" hidden="1" customHeight="1" x14ac:dyDescent="0.2">
      <c r="A1805" s="317" t="s">
        <v>147</v>
      </c>
      <c r="B1805" s="895" t="s">
        <v>147</v>
      </c>
      <c r="C1805" s="896"/>
      <c r="D1805" s="906" t="s">
        <v>229</v>
      </c>
      <c r="E1805" s="907">
        <f>GLOBAL_DER_FEV_2023!E1805</f>
        <v>150</v>
      </c>
      <c r="F1805" s="908">
        <f>GLOBAL_DER_FEV_2023!F1805</f>
        <v>0.96</v>
      </c>
      <c r="G1805" s="949">
        <f>GLOBAL_DER_FEV_2023!G1805</f>
        <v>156.65280000000001</v>
      </c>
      <c r="H1805" s="901">
        <f>GLOBAL_DER_FEV_2023!H1805</f>
        <v>0</v>
      </c>
      <c r="I1805" s="901">
        <f>GLOBAL_DER_FEV_2023!I1805</f>
        <v>0</v>
      </c>
      <c r="J1805" s="902">
        <f>GLOBAL_DER_FEV_2023!J1805</f>
        <v>0</v>
      </c>
      <c r="K1805" s="903"/>
      <c r="L1805" s="1177"/>
      <c r="M1805" s="1138">
        <f t="shared" si="132"/>
        <v>0</v>
      </c>
      <c r="N1805" s="1176">
        <f t="shared" si="136"/>
        <v>0</v>
      </c>
      <c r="O1805" s="905"/>
      <c r="P1805" s="36" t="str">
        <f>IF(N1803&gt;0,"xx",IF(N1803&gt;0,"xy",""))</f>
        <v/>
      </c>
      <c r="Q1805" s="317" t="str">
        <f t="shared" si="133"/>
        <v/>
      </c>
      <c r="R1805" s="317" t="str">
        <f t="shared" si="134"/>
        <v/>
      </c>
      <c r="S1805" s="317" t="str">
        <f t="shared" si="135"/>
        <v/>
      </c>
      <c r="T1805" s="317" t="str">
        <f>GLOBAL_DER_FEV_2023!S1805</f>
        <v/>
      </c>
      <c r="W1805" s="582">
        <v>0</v>
      </c>
      <c r="X1805" s="580"/>
      <c r="Y1805" s="583">
        <f>IF(GLOBAL_DER_FEV_2023!W1805=0,0,IF(GLOBAL_DER_FEV_2023!W1805&gt;0,"c","b"))</f>
        <v>0</v>
      </c>
    </row>
    <row r="1806" spans="1:25" ht="15" hidden="1" customHeight="1" x14ac:dyDescent="0.2">
      <c r="A1806" s="317" t="s">
        <v>147</v>
      </c>
      <c r="B1806" s="895" t="s">
        <v>147</v>
      </c>
      <c r="C1806" s="896"/>
      <c r="D1806" s="906" t="s">
        <v>233</v>
      </c>
      <c r="E1806" s="907">
        <f>GLOBAL_DER_FEV_2023!E1806</f>
        <v>0.2</v>
      </c>
      <c r="F1806" s="908">
        <f>GLOBAL_DER_FEV_2023!F1806</f>
        <v>1.1100000000000001</v>
      </c>
      <c r="G1806" s="949">
        <f>GLOBAL_DER_FEV_2023!G1806</f>
        <v>3.2123400000000006</v>
      </c>
      <c r="H1806" s="901">
        <f>GLOBAL_DER_FEV_2023!H1806</f>
        <v>0</v>
      </c>
      <c r="I1806" s="901">
        <f>GLOBAL_DER_FEV_2023!I1806</f>
        <v>0</v>
      </c>
      <c r="J1806" s="902">
        <f>GLOBAL_DER_FEV_2023!J1806</f>
        <v>0</v>
      </c>
      <c r="K1806" s="903"/>
      <c r="L1806" s="1177"/>
      <c r="M1806" s="1138">
        <f t="shared" si="132"/>
        <v>0</v>
      </c>
      <c r="N1806" s="1176">
        <f t="shared" si="136"/>
        <v>0</v>
      </c>
      <c r="O1806" s="905"/>
      <c r="P1806" s="36" t="str">
        <f>IF(N1803&gt;0,"xx",IF(N1803&gt;0,"xy",""))</f>
        <v/>
      </c>
      <c r="Q1806" s="317" t="str">
        <f t="shared" si="133"/>
        <v/>
      </c>
      <c r="R1806" s="317" t="str">
        <f t="shared" si="134"/>
        <v/>
      </c>
      <c r="S1806" s="317" t="str">
        <f t="shared" si="135"/>
        <v/>
      </c>
      <c r="T1806" s="317" t="str">
        <f>GLOBAL_DER_FEV_2023!S1806</f>
        <v/>
      </c>
      <c r="W1806" s="582">
        <v>0</v>
      </c>
      <c r="X1806" s="580"/>
      <c r="Y1806" s="583">
        <f>IF(GLOBAL_DER_FEV_2023!W1806=0,0,IF(GLOBAL_DER_FEV_2023!W1806&gt;0,"c","b"))</f>
        <v>0</v>
      </c>
    </row>
    <row r="1807" spans="1:25" ht="15" hidden="1" customHeight="1" x14ac:dyDescent="0.2">
      <c r="A1807" s="317">
        <v>605300</v>
      </c>
      <c r="B1807" s="895" t="s">
        <v>1796</v>
      </c>
      <c r="C1807" s="896" t="s">
        <v>184</v>
      </c>
      <c r="D1807" s="906" t="s">
        <v>341</v>
      </c>
      <c r="E1807" s="907">
        <f>GLOBAL_DER_FEV_2023!E1807</f>
        <v>0</v>
      </c>
      <c r="F1807" s="908">
        <f>GLOBAL_DER_FEV_2023!F1807</f>
        <v>0</v>
      </c>
      <c r="G1807" s="912">
        <f>GLOBAL_DER_FEV_2023!G1807</f>
        <v>235.36092000000002</v>
      </c>
      <c r="H1807" s="901">
        <f>GLOBAL_DER_FEV_2023!H1807</f>
        <v>503.25</v>
      </c>
      <c r="I1807" s="901">
        <f>GLOBAL_DER_FEV_2023!I1807</f>
        <v>738.61092000000008</v>
      </c>
      <c r="J1807" s="902">
        <f>GLOBAL_DER_FEV_2023!J1807</f>
        <v>886.85</v>
      </c>
      <c r="K1807" s="903" t="s">
        <v>10</v>
      </c>
      <c r="L1807" s="1137"/>
      <c r="M1807" s="1138">
        <f t="shared" si="132"/>
        <v>0</v>
      </c>
      <c r="N1807" s="1176">
        <f t="shared" si="136"/>
        <v>0</v>
      </c>
      <c r="O1807" s="905"/>
      <c r="Q1807" s="317" t="str">
        <f t="shared" si="133"/>
        <v/>
      </c>
      <c r="R1807" s="317" t="str">
        <f t="shared" si="134"/>
        <v/>
      </c>
      <c r="S1807" s="317" t="str">
        <f t="shared" si="135"/>
        <v/>
      </c>
      <c r="T1807" s="317" t="str">
        <f>GLOBAL_DER_FEV_2023!S1807</f>
        <v/>
      </c>
      <c r="W1807" s="582">
        <v>0</v>
      </c>
      <c r="X1807" s="580"/>
      <c r="Y1807" s="583">
        <f>IF(GLOBAL_DER_FEV_2023!W1807=0,0,IF(GLOBAL_DER_FEV_2023!W1807&gt;0,"c","b"))</f>
        <v>0</v>
      </c>
    </row>
    <row r="1808" spans="1:25" ht="15" hidden="1" customHeight="1" x14ac:dyDescent="0.2">
      <c r="A1808" s="317" t="s">
        <v>147</v>
      </c>
      <c r="B1808" s="895" t="s">
        <v>147</v>
      </c>
      <c r="C1808" s="896"/>
      <c r="D1808" s="906" t="s">
        <v>190</v>
      </c>
      <c r="E1808" s="907">
        <f>GLOBAL_DER_FEV_2023!E1808</f>
        <v>308</v>
      </c>
      <c r="F1808" s="908">
        <f>GLOBAL_DER_FEV_2023!F1808</f>
        <v>0.33</v>
      </c>
      <c r="G1808" s="909">
        <f>GLOBAL_DER_FEV_2023!G1808</f>
        <v>81.859800000000007</v>
      </c>
      <c r="H1808" s="901">
        <f>GLOBAL_DER_FEV_2023!H1808</f>
        <v>0</v>
      </c>
      <c r="I1808" s="901">
        <f>GLOBAL_DER_FEV_2023!I1808</f>
        <v>0</v>
      </c>
      <c r="J1808" s="902">
        <f>GLOBAL_DER_FEV_2023!J1808</f>
        <v>0</v>
      </c>
      <c r="K1808" s="903"/>
      <c r="L1808" s="1177"/>
      <c r="M1808" s="1138">
        <f t="shared" si="132"/>
        <v>0</v>
      </c>
      <c r="N1808" s="1176">
        <f t="shared" si="136"/>
        <v>0</v>
      </c>
      <c r="O1808" s="905"/>
      <c r="P1808" s="36" t="str">
        <f>IF(N1807&gt;0,"xx",IF(N1807&gt;0,"xy",""))</f>
        <v/>
      </c>
      <c r="Q1808" s="317" t="str">
        <f t="shared" si="133"/>
        <v/>
      </c>
      <c r="R1808" s="317" t="str">
        <f t="shared" si="134"/>
        <v/>
      </c>
      <c r="S1808" s="317" t="str">
        <f t="shared" si="135"/>
        <v/>
      </c>
      <c r="T1808" s="317" t="str">
        <f>GLOBAL_DER_FEV_2023!S1808</f>
        <v/>
      </c>
      <c r="W1808" s="582">
        <v>0</v>
      </c>
      <c r="X1808" s="580"/>
      <c r="Y1808" s="583">
        <f>IF(GLOBAL_DER_FEV_2023!W1808=0,0,IF(GLOBAL_DER_FEV_2023!W1808&gt;0,"c","b"))</f>
        <v>0</v>
      </c>
    </row>
    <row r="1809" spans="1:25" ht="15" hidden="1" customHeight="1" x14ac:dyDescent="0.2">
      <c r="A1809" s="317" t="s">
        <v>147</v>
      </c>
      <c r="B1809" s="895" t="s">
        <v>147</v>
      </c>
      <c r="C1809" s="896"/>
      <c r="D1809" s="906" t="s">
        <v>229</v>
      </c>
      <c r="E1809" s="907">
        <f>GLOBAL_DER_FEV_2023!E1809</f>
        <v>150</v>
      </c>
      <c r="F1809" s="908">
        <f>GLOBAL_DER_FEV_2023!F1809</f>
        <v>0.92100000000000004</v>
      </c>
      <c r="G1809" s="949">
        <f>GLOBAL_DER_FEV_2023!G1809</f>
        <v>150.28878</v>
      </c>
      <c r="H1809" s="901">
        <f>GLOBAL_DER_FEV_2023!H1809</f>
        <v>0</v>
      </c>
      <c r="I1809" s="901">
        <f>GLOBAL_DER_FEV_2023!I1809</f>
        <v>0</v>
      </c>
      <c r="J1809" s="902">
        <f>GLOBAL_DER_FEV_2023!J1809</f>
        <v>0</v>
      </c>
      <c r="K1809" s="903"/>
      <c r="L1809" s="1177"/>
      <c r="M1809" s="1138">
        <f t="shared" si="132"/>
        <v>0</v>
      </c>
      <c r="N1809" s="1176">
        <f t="shared" si="136"/>
        <v>0</v>
      </c>
      <c r="O1809" s="905"/>
      <c r="P1809" s="36" t="str">
        <f>IF(N1807&gt;0,"xx",IF(N1807&gt;0,"xy",""))</f>
        <v/>
      </c>
      <c r="Q1809" s="317" t="str">
        <f t="shared" si="133"/>
        <v/>
      </c>
      <c r="R1809" s="317" t="str">
        <f t="shared" si="134"/>
        <v/>
      </c>
      <c r="S1809" s="317" t="str">
        <f t="shared" si="135"/>
        <v/>
      </c>
      <c r="T1809" s="317" t="str">
        <f>GLOBAL_DER_FEV_2023!S1809</f>
        <v/>
      </c>
      <c r="W1809" s="582">
        <v>0</v>
      </c>
      <c r="X1809" s="580"/>
      <c r="Y1809" s="583">
        <f>IF(GLOBAL_DER_FEV_2023!W1809=0,0,IF(GLOBAL_DER_FEV_2023!W1809&gt;0,"c","b"))</f>
        <v>0</v>
      </c>
    </row>
    <row r="1810" spans="1:25" ht="15" hidden="1" customHeight="1" x14ac:dyDescent="0.2">
      <c r="A1810" s="317" t="s">
        <v>147</v>
      </c>
      <c r="B1810" s="895" t="s">
        <v>147</v>
      </c>
      <c r="C1810" s="896"/>
      <c r="D1810" s="906" t="s">
        <v>233</v>
      </c>
      <c r="E1810" s="907">
        <f>GLOBAL_DER_FEV_2023!E1810</f>
        <v>0.2</v>
      </c>
      <c r="F1810" s="908">
        <f>GLOBAL_DER_FEV_2023!F1810</f>
        <v>1.1100000000000001</v>
      </c>
      <c r="G1810" s="949">
        <f>GLOBAL_DER_FEV_2023!G1810</f>
        <v>3.2123400000000006</v>
      </c>
      <c r="H1810" s="901">
        <f>GLOBAL_DER_FEV_2023!H1810</f>
        <v>0</v>
      </c>
      <c r="I1810" s="901">
        <f>GLOBAL_DER_FEV_2023!I1810</f>
        <v>0</v>
      </c>
      <c r="J1810" s="902">
        <f>GLOBAL_DER_FEV_2023!J1810</f>
        <v>0</v>
      </c>
      <c r="K1810" s="903"/>
      <c r="L1810" s="1177"/>
      <c r="M1810" s="1138">
        <f t="shared" ref="M1810:M1873" si="137">IF(L1810=0,0,ROUND(J1810,2))</f>
        <v>0</v>
      </c>
      <c r="N1810" s="1176">
        <f t="shared" si="136"/>
        <v>0</v>
      </c>
      <c r="O1810" s="905"/>
      <c r="P1810" s="36" t="str">
        <f>IF(N1807&gt;0,"xx",IF(N1807&gt;0,"xy",""))</f>
        <v/>
      </c>
      <c r="Q1810" s="317" t="str">
        <f t="shared" si="133"/>
        <v/>
      </c>
      <c r="R1810" s="317" t="str">
        <f t="shared" si="134"/>
        <v/>
      </c>
      <c r="S1810" s="317" t="str">
        <f t="shared" si="135"/>
        <v/>
      </c>
      <c r="T1810" s="317" t="str">
        <f>GLOBAL_DER_FEV_2023!S1810</f>
        <v/>
      </c>
      <c r="W1810" s="582">
        <v>0</v>
      </c>
      <c r="X1810" s="580"/>
      <c r="Y1810" s="583">
        <f>IF(GLOBAL_DER_FEV_2023!W1810=0,0,IF(GLOBAL_DER_FEV_2023!W1810&gt;0,"c","b"))</f>
        <v>0</v>
      </c>
    </row>
    <row r="1811" spans="1:25" ht="15" hidden="1" customHeight="1" x14ac:dyDescent="0.2">
      <c r="A1811" s="317">
        <v>605400</v>
      </c>
      <c r="B1811" s="895" t="s">
        <v>1798</v>
      </c>
      <c r="C1811" s="896" t="s">
        <v>184</v>
      </c>
      <c r="D1811" s="906" t="s">
        <v>342</v>
      </c>
      <c r="E1811" s="907">
        <f>GLOBAL_DER_FEV_2023!E1811</f>
        <v>0</v>
      </c>
      <c r="F1811" s="908">
        <f>GLOBAL_DER_FEV_2023!F1811</f>
        <v>0</v>
      </c>
      <c r="G1811" s="912">
        <f>GLOBAL_DER_FEV_2023!G1811</f>
        <v>254.98858000000001</v>
      </c>
      <c r="H1811" s="901">
        <f>GLOBAL_DER_FEV_2023!H1811</f>
        <v>510.89</v>
      </c>
      <c r="I1811" s="901">
        <f>GLOBAL_DER_FEV_2023!I1811</f>
        <v>765.87858000000006</v>
      </c>
      <c r="J1811" s="902">
        <f>GLOBAL_DER_FEV_2023!J1811</f>
        <v>919.59</v>
      </c>
      <c r="K1811" s="903" t="s">
        <v>10</v>
      </c>
      <c r="L1811" s="1137"/>
      <c r="M1811" s="1138">
        <f t="shared" si="137"/>
        <v>0</v>
      </c>
      <c r="N1811" s="1176">
        <f t="shared" si="136"/>
        <v>0</v>
      </c>
      <c r="O1811" s="905"/>
      <c r="Q1811" s="317" t="str">
        <f t="shared" si="133"/>
        <v/>
      </c>
      <c r="R1811" s="317" t="str">
        <f t="shared" si="134"/>
        <v/>
      </c>
      <c r="S1811" s="317" t="str">
        <f t="shared" si="135"/>
        <v/>
      </c>
      <c r="T1811" s="317" t="str">
        <f>GLOBAL_DER_FEV_2023!S1811</f>
        <v/>
      </c>
      <c r="W1811" s="582">
        <v>0</v>
      </c>
      <c r="X1811" s="580"/>
      <c r="Y1811" s="583">
        <f>IF(GLOBAL_DER_FEV_2023!W1811=0,0,IF(GLOBAL_DER_FEV_2023!W1811&gt;0,"c","b"))</f>
        <v>0</v>
      </c>
    </row>
    <row r="1812" spans="1:25" ht="15" hidden="1" customHeight="1" x14ac:dyDescent="0.2">
      <c r="A1812" s="317" t="s">
        <v>147</v>
      </c>
      <c r="B1812" s="895" t="s">
        <v>147</v>
      </c>
      <c r="C1812" s="896"/>
      <c r="D1812" s="906" t="s">
        <v>190</v>
      </c>
      <c r="E1812" s="907">
        <f>GLOBAL_DER_FEV_2023!E1812</f>
        <v>308</v>
      </c>
      <c r="F1812" s="908">
        <f>GLOBAL_DER_FEV_2023!F1812</f>
        <v>0.34399999999999997</v>
      </c>
      <c r="G1812" s="909">
        <f>GLOBAL_DER_FEV_2023!G1812</f>
        <v>85.332639999999998</v>
      </c>
      <c r="H1812" s="901">
        <f>GLOBAL_DER_FEV_2023!H1812</f>
        <v>0</v>
      </c>
      <c r="I1812" s="901">
        <f>GLOBAL_DER_FEV_2023!I1812</f>
        <v>0</v>
      </c>
      <c r="J1812" s="902">
        <f>GLOBAL_DER_FEV_2023!J1812</f>
        <v>0</v>
      </c>
      <c r="K1812" s="903"/>
      <c r="L1812" s="1177"/>
      <c r="M1812" s="1138">
        <f t="shared" si="137"/>
        <v>0</v>
      </c>
      <c r="N1812" s="1176">
        <f t="shared" si="136"/>
        <v>0</v>
      </c>
      <c r="O1812" s="905"/>
      <c r="P1812" s="36" t="str">
        <f>IF(N1811&gt;0,"xx",IF(N1811&gt;0,"xy",""))</f>
        <v/>
      </c>
      <c r="Q1812" s="317" t="str">
        <f t="shared" si="133"/>
        <v/>
      </c>
      <c r="R1812" s="317" t="str">
        <f t="shared" si="134"/>
        <v/>
      </c>
      <c r="S1812" s="317" t="str">
        <f t="shared" si="135"/>
        <v/>
      </c>
      <c r="T1812" s="317" t="str">
        <f>GLOBAL_DER_FEV_2023!S1812</f>
        <v/>
      </c>
      <c r="W1812" s="582">
        <v>0</v>
      </c>
      <c r="X1812" s="580"/>
      <c r="Y1812" s="583">
        <f>IF(GLOBAL_DER_FEV_2023!W1812=0,0,IF(GLOBAL_DER_FEV_2023!W1812&gt;0,"c","b"))</f>
        <v>0</v>
      </c>
    </row>
    <row r="1813" spans="1:25" ht="15" hidden="1" customHeight="1" x14ac:dyDescent="0.2">
      <c r="A1813" s="317" t="s">
        <v>147</v>
      </c>
      <c r="B1813" s="895" t="s">
        <v>147</v>
      </c>
      <c r="C1813" s="896"/>
      <c r="D1813" s="906" t="s">
        <v>229</v>
      </c>
      <c r="E1813" s="907">
        <f>GLOBAL_DER_FEV_2023!E1813</f>
        <v>150</v>
      </c>
      <c r="F1813" s="908">
        <f>GLOBAL_DER_FEV_2023!F1813</f>
        <v>1.02</v>
      </c>
      <c r="G1813" s="949">
        <f>GLOBAL_DER_FEV_2023!G1813</f>
        <v>166.4436</v>
      </c>
      <c r="H1813" s="901">
        <f>GLOBAL_DER_FEV_2023!H1813</f>
        <v>0</v>
      </c>
      <c r="I1813" s="901">
        <f>GLOBAL_DER_FEV_2023!I1813</f>
        <v>0</v>
      </c>
      <c r="J1813" s="902">
        <f>GLOBAL_DER_FEV_2023!J1813</f>
        <v>0</v>
      </c>
      <c r="K1813" s="903"/>
      <c r="L1813" s="1177"/>
      <c r="M1813" s="1138">
        <f t="shared" si="137"/>
        <v>0</v>
      </c>
      <c r="N1813" s="1176">
        <f t="shared" si="136"/>
        <v>0</v>
      </c>
      <c r="O1813" s="905"/>
      <c r="P1813" s="36" t="str">
        <f>IF(N1811&gt;0,"xx",IF(N1811&gt;0,"xy",""))</f>
        <v/>
      </c>
      <c r="Q1813" s="317" t="str">
        <f t="shared" si="133"/>
        <v/>
      </c>
      <c r="R1813" s="317" t="str">
        <f t="shared" si="134"/>
        <v/>
      </c>
      <c r="S1813" s="317" t="str">
        <f t="shared" si="135"/>
        <v/>
      </c>
      <c r="T1813" s="317" t="str">
        <f>GLOBAL_DER_FEV_2023!S1813</f>
        <v/>
      </c>
      <c r="W1813" s="582">
        <v>0</v>
      </c>
      <c r="X1813" s="580"/>
      <c r="Y1813" s="583">
        <f>IF(GLOBAL_DER_FEV_2023!W1813=0,0,IF(GLOBAL_DER_FEV_2023!W1813&gt;0,"c","b"))</f>
        <v>0</v>
      </c>
    </row>
    <row r="1814" spans="1:25" ht="15" hidden="1" customHeight="1" x14ac:dyDescent="0.2">
      <c r="A1814" s="317" t="s">
        <v>147</v>
      </c>
      <c r="B1814" s="895" t="s">
        <v>147</v>
      </c>
      <c r="C1814" s="896"/>
      <c r="D1814" s="906" t="s">
        <v>233</v>
      </c>
      <c r="E1814" s="907">
        <f>GLOBAL_DER_FEV_2023!E1814</f>
        <v>0.2</v>
      </c>
      <c r="F1814" s="908">
        <f>GLOBAL_DER_FEV_2023!F1814</f>
        <v>1.1100000000000001</v>
      </c>
      <c r="G1814" s="949">
        <f>GLOBAL_DER_FEV_2023!G1814</f>
        <v>3.2123400000000006</v>
      </c>
      <c r="H1814" s="901">
        <f>GLOBAL_DER_FEV_2023!H1814</f>
        <v>0</v>
      </c>
      <c r="I1814" s="901">
        <f>GLOBAL_DER_FEV_2023!I1814</f>
        <v>0</v>
      </c>
      <c r="J1814" s="902">
        <f>GLOBAL_DER_FEV_2023!J1814</f>
        <v>0</v>
      </c>
      <c r="K1814" s="903"/>
      <c r="L1814" s="1177"/>
      <c r="M1814" s="1138">
        <f t="shared" si="137"/>
        <v>0</v>
      </c>
      <c r="N1814" s="1176">
        <f t="shared" si="136"/>
        <v>0</v>
      </c>
      <c r="O1814" s="905"/>
      <c r="P1814" s="36" t="str">
        <f>IF(N1811&gt;0,"xx",IF(N1811&gt;0,"xy",""))</f>
        <v/>
      </c>
      <c r="Q1814" s="317" t="str">
        <f t="shared" si="133"/>
        <v/>
      </c>
      <c r="R1814" s="317" t="str">
        <f t="shared" si="134"/>
        <v/>
      </c>
      <c r="S1814" s="317" t="str">
        <f t="shared" si="135"/>
        <v/>
      </c>
      <c r="T1814" s="317" t="str">
        <f>GLOBAL_DER_FEV_2023!S1814</f>
        <v/>
      </c>
      <c r="W1814" s="582">
        <v>0</v>
      </c>
      <c r="X1814" s="580"/>
      <c r="Y1814" s="583">
        <f>IF(GLOBAL_DER_FEV_2023!W1814=0,0,IF(GLOBAL_DER_FEV_2023!W1814&gt;0,"c","b"))</f>
        <v>0</v>
      </c>
    </row>
    <row r="1815" spans="1:25" ht="15" hidden="1" customHeight="1" x14ac:dyDescent="0.2">
      <c r="A1815" s="317">
        <v>605500</v>
      </c>
      <c r="B1815" s="895">
        <v>605500</v>
      </c>
      <c r="C1815" s="896" t="s">
        <v>184</v>
      </c>
      <c r="D1815" s="906" t="s">
        <v>811</v>
      </c>
      <c r="E1815" s="907">
        <f>GLOBAL_DER_FEV_2023!E1815</f>
        <v>0</v>
      </c>
      <c r="F1815" s="908">
        <f>GLOBAL_DER_FEV_2023!F1815</f>
        <v>0</v>
      </c>
      <c r="G1815" s="912">
        <f>GLOBAL_DER_FEV_2023!G1815</f>
        <v>241.41964000000002</v>
      </c>
      <c r="H1815" s="901">
        <f>GLOBAL_DER_FEV_2023!H1815</f>
        <v>532.64</v>
      </c>
      <c r="I1815" s="901">
        <f>GLOBAL_DER_FEV_2023!I1815</f>
        <v>774.05963999999994</v>
      </c>
      <c r="J1815" s="902">
        <f>GLOBAL_DER_FEV_2023!J1815</f>
        <v>929.41</v>
      </c>
      <c r="K1815" s="903" t="s">
        <v>10</v>
      </c>
      <c r="L1815" s="1137"/>
      <c r="M1815" s="1138">
        <f t="shared" si="137"/>
        <v>0</v>
      </c>
      <c r="N1815" s="1176">
        <f t="shared" si="136"/>
        <v>0</v>
      </c>
      <c r="O1815" s="905"/>
      <c r="Q1815" s="317" t="str">
        <f t="shared" si="133"/>
        <v/>
      </c>
      <c r="R1815" s="317" t="str">
        <f t="shared" si="134"/>
        <v/>
      </c>
      <c r="S1815" s="317" t="str">
        <f t="shared" si="135"/>
        <v/>
      </c>
      <c r="T1815" s="317" t="str">
        <f>GLOBAL_DER_FEV_2023!S1815</f>
        <v/>
      </c>
      <c r="W1815" s="582">
        <v>0</v>
      </c>
      <c r="X1815" s="580"/>
      <c r="Y1815" s="583">
        <f>IF(GLOBAL_DER_FEV_2023!W1815=0,0,IF(GLOBAL_DER_FEV_2023!W1815&gt;0,"c","b"))</f>
        <v>0</v>
      </c>
    </row>
    <row r="1816" spans="1:25" ht="15" hidden="1" customHeight="1" x14ac:dyDescent="0.2">
      <c r="A1816" s="317" t="s">
        <v>147</v>
      </c>
      <c r="B1816" s="895" t="s">
        <v>147</v>
      </c>
      <c r="C1816" s="896"/>
      <c r="D1816" s="906" t="s">
        <v>190</v>
      </c>
      <c r="E1816" s="907">
        <f>GLOBAL_DER_FEV_2023!E1816</f>
        <v>308</v>
      </c>
      <c r="F1816" s="908">
        <f>GLOBAL_DER_FEV_2023!F1816</f>
        <v>0.38600000000000001</v>
      </c>
      <c r="G1816" s="909">
        <f>GLOBAL_DER_FEV_2023!G1816</f>
        <v>95.751159999999999</v>
      </c>
      <c r="H1816" s="901">
        <f>GLOBAL_DER_FEV_2023!H1816</f>
        <v>0</v>
      </c>
      <c r="I1816" s="901">
        <f>GLOBAL_DER_FEV_2023!I1816</f>
        <v>0</v>
      </c>
      <c r="J1816" s="902">
        <f>GLOBAL_DER_FEV_2023!J1816</f>
        <v>0</v>
      </c>
      <c r="K1816" s="903"/>
      <c r="L1816" s="1177"/>
      <c r="M1816" s="1138">
        <f t="shared" si="137"/>
        <v>0</v>
      </c>
      <c r="N1816" s="1176">
        <f t="shared" si="136"/>
        <v>0</v>
      </c>
      <c r="O1816" s="905"/>
      <c r="P1816" s="36" t="str">
        <f>IF(N1815&gt;0,"xx",IF(N1815&gt;0,"xy",""))</f>
        <v/>
      </c>
      <c r="Q1816" s="317" t="str">
        <f t="shared" si="133"/>
        <v/>
      </c>
      <c r="R1816" s="317" t="str">
        <f t="shared" si="134"/>
        <v/>
      </c>
      <c r="S1816" s="317" t="str">
        <f t="shared" si="135"/>
        <v/>
      </c>
      <c r="T1816" s="317" t="str">
        <f>GLOBAL_DER_FEV_2023!S1816</f>
        <v/>
      </c>
      <c r="W1816" s="582">
        <v>0</v>
      </c>
      <c r="X1816" s="580"/>
      <c r="Y1816" s="583">
        <f>IF(GLOBAL_DER_FEV_2023!W1816=0,0,IF(GLOBAL_DER_FEV_2023!W1816&gt;0,"c","b"))</f>
        <v>0</v>
      </c>
    </row>
    <row r="1817" spans="1:25" ht="15" hidden="1" customHeight="1" x14ac:dyDescent="0.2">
      <c r="A1817" s="317" t="s">
        <v>147</v>
      </c>
      <c r="B1817" s="895" t="s">
        <v>147</v>
      </c>
      <c r="C1817" s="896"/>
      <c r="D1817" s="906" t="s">
        <v>229</v>
      </c>
      <c r="E1817" s="907">
        <f>GLOBAL_DER_FEV_2023!E1817</f>
        <v>150</v>
      </c>
      <c r="F1817" s="908">
        <f>GLOBAL_DER_FEV_2023!F1817</f>
        <v>0.873</v>
      </c>
      <c r="G1817" s="949">
        <f>GLOBAL_DER_FEV_2023!G1817</f>
        <v>142.45614</v>
      </c>
      <c r="H1817" s="901">
        <f>GLOBAL_DER_FEV_2023!H1817</f>
        <v>0</v>
      </c>
      <c r="I1817" s="901">
        <f>GLOBAL_DER_FEV_2023!I1817</f>
        <v>0</v>
      </c>
      <c r="J1817" s="902">
        <f>GLOBAL_DER_FEV_2023!J1817</f>
        <v>0</v>
      </c>
      <c r="K1817" s="903"/>
      <c r="L1817" s="1177"/>
      <c r="M1817" s="1138">
        <f t="shared" si="137"/>
        <v>0</v>
      </c>
      <c r="N1817" s="1176">
        <f t="shared" si="136"/>
        <v>0</v>
      </c>
      <c r="O1817" s="905"/>
      <c r="P1817" s="36" t="str">
        <f>IF(N1815&gt;0,"xx",IF(N1815&gt;0,"xy",""))</f>
        <v/>
      </c>
      <c r="Q1817" s="317" t="str">
        <f t="shared" si="133"/>
        <v/>
      </c>
      <c r="R1817" s="317" t="str">
        <f t="shared" si="134"/>
        <v/>
      </c>
      <c r="S1817" s="317" t="str">
        <f t="shared" si="135"/>
        <v/>
      </c>
      <c r="T1817" s="317" t="str">
        <f>GLOBAL_DER_FEV_2023!S1817</f>
        <v/>
      </c>
      <c r="W1817" s="582">
        <v>0</v>
      </c>
      <c r="X1817" s="580"/>
      <c r="Y1817" s="583">
        <f>IF(GLOBAL_DER_FEV_2023!W1817=0,0,IF(GLOBAL_DER_FEV_2023!W1817&gt;0,"c","b"))</f>
        <v>0</v>
      </c>
    </row>
    <row r="1818" spans="1:25" ht="15" hidden="1" customHeight="1" x14ac:dyDescent="0.2">
      <c r="A1818" s="317" t="s">
        <v>147</v>
      </c>
      <c r="B1818" s="895" t="s">
        <v>147</v>
      </c>
      <c r="C1818" s="896"/>
      <c r="D1818" s="906" t="s">
        <v>233</v>
      </c>
      <c r="E1818" s="907">
        <f>GLOBAL_DER_FEV_2023!E1818</f>
        <v>0.2</v>
      </c>
      <c r="F1818" s="908">
        <f>GLOBAL_DER_FEV_2023!F1818</f>
        <v>1.1100000000000001</v>
      </c>
      <c r="G1818" s="949">
        <f>GLOBAL_DER_FEV_2023!G1818</f>
        <v>3.2123400000000006</v>
      </c>
      <c r="H1818" s="901">
        <f>GLOBAL_DER_FEV_2023!H1818</f>
        <v>0</v>
      </c>
      <c r="I1818" s="901">
        <f>GLOBAL_DER_FEV_2023!I1818</f>
        <v>0</v>
      </c>
      <c r="J1818" s="902">
        <f>GLOBAL_DER_FEV_2023!J1818</f>
        <v>0</v>
      </c>
      <c r="K1818" s="903"/>
      <c r="L1818" s="1177"/>
      <c r="M1818" s="1138">
        <f t="shared" si="137"/>
        <v>0</v>
      </c>
      <c r="N1818" s="1176">
        <f t="shared" si="136"/>
        <v>0</v>
      </c>
      <c r="O1818" s="905"/>
      <c r="P1818" s="36" t="str">
        <f>IF(N1815&gt;0,"xx",IF(N1815&gt;0,"xy",""))</f>
        <v/>
      </c>
      <c r="Q1818" s="317" t="str">
        <f t="shared" si="133"/>
        <v/>
      </c>
      <c r="R1818" s="317" t="str">
        <f t="shared" si="134"/>
        <v/>
      </c>
      <c r="S1818" s="317" t="str">
        <f t="shared" si="135"/>
        <v/>
      </c>
      <c r="T1818" s="317" t="str">
        <f>GLOBAL_DER_FEV_2023!S1818</f>
        <v/>
      </c>
      <c r="W1818" s="582">
        <v>0</v>
      </c>
      <c r="X1818" s="580"/>
      <c r="Y1818" s="583">
        <f>IF(GLOBAL_DER_FEV_2023!W1818=0,0,IF(GLOBAL_DER_FEV_2023!W1818&gt;0,"c","b"))</f>
        <v>0</v>
      </c>
    </row>
    <row r="1819" spans="1:25" ht="15" hidden="1" customHeight="1" x14ac:dyDescent="0.2">
      <c r="A1819" s="317">
        <v>605600</v>
      </c>
      <c r="B1819" s="895">
        <v>605600</v>
      </c>
      <c r="C1819" s="896" t="s">
        <v>184</v>
      </c>
      <c r="D1819" s="906" t="s">
        <v>812</v>
      </c>
      <c r="E1819" s="907">
        <f>GLOBAL_DER_FEV_2023!E1819</f>
        <v>0</v>
      </c>
      <c r="F1819" s="908">
        <f>GLOBAL_DER_FEV_2023!F1819</f>
        <v>0</v>
      </c>
      <c r="G1819" s="912">
        <f>GLOBAL_DER_FEV_2023!G1819</f>
        <v>241.98814000000002</v>
      </c>
      <c r="H1819" s="901">
        <f>GLOBAL_DER_FEV_2023!H1819</f>
        <v>544.65</v>
      </c>
      <c r="I1819" s="901">
        <f>GLOBAL_DER_FEV_2023!I1819</f>
        <v>786.63814000000002</v>
      </c>
      <c r="J1819" s="902">
        <f>GLOBAL_DER_FEV_2023!J1819</f>
        <v>944.52</v>
      </c>
      <c r="K1819" s="903" t="s">
        <v>10</v>
      </c>
      <c r="L1819" s="1137"/>
      <c r="M1819" s="1138">
        <f t="shared" si="137"/>
        <v>0</v>
      </c>
      <c r="N1819" s="1176">
        <f t="shared" si="136"/>
        <v>0</v>
      </c>
      <c r="O1819" s="905"/>
      <c r="Q1819" s="317" t="str">
        <f t="shared" ref="Q1819:Q1882" si="138">IF(P1819="X","x",IF(P1819="xx","x",IF(P1819="xy","x",IF(P1819="y","x",IF(OR(N1819&gt;0,N1819&gt;0),"x","")))))</f>
        <v/>
      </c>
      <c r="R1819" s="317" t="str">
        <f t="shared" si="134"/>
        <v/>
      </c>
      <c r="S1819" s="317" t="str">
        <f t="shared" si="135"/>
        <v/>
      </c>
      <c r="T1819" s="317" t="str">
        <f>GLOBAL_DER_FEV_2023!S1819</f>
        <v/>
      </c>
      <c r="W1819" s="582">
        <v>0</v>
      </c>
      <c r="X1819" s="580"/>
      <c r="Y1819" s="583">
        <f>IF(GLOBAL_DER_FEV_2023!W1819=0,0,IF(GLOBAL_DER_FEV_2023!W1819&gt;0,"c","b"))</f>
        <v>0</v>
      </c>
    </row>
    <row r="1820" spans="1:25" ht="15" hidden="1" customHeight="1" x14ac:dyDescent="0.2">
      <c r="A1820" s="317" t="s">
        <v>147</v>
      </c>
      <c r="B1820" s="895" t="s">
        <v>147</v>
      </c>
      <c r="C1820" s="896"/>
      <c r="D1820" s="906" t="s">
        <v>190</v>
      </c>
      <c r="E1820" s="907">
        <f>GLOBAL_DER_FEV_2023!E1820</f>
        <v>308</v>
      </c>
      <c r="F1820" s="908">
        <f>GLOBAL_DER_FEV_2023!F1820</f>
        <v>0.41</v>
      </c>
      <c r="G1820" s="909">
        <f>GLOBAL_DER_FEV_2023!G1820</f>
        <v>101.7046</v>
      </c>
      <c r="H1820" s="901">
        <f>GLOBAL_DER_FEV_2023!H1820</f>
        <v>0</v>
      </c>
      <c r="I1820" s="901">
        <f>GLOBAL_DER_FEV_2023!I1820</f>
        <v>0</v>
      </c>
      <c r="J1820" s="902">
        <f>GLOBAL_DER_FEV_2023!J1820</f>
        <v>0</v>
      </c>
      <c r="K1820" s="903"/>
      <c r="L1820" s="1177"/>
      <c r="M1820" s="1138">
        <f t="shared" si="137"/>
        <v>0</v>
      </c>
      <c r="N1820" s="1176">
        <f t="shared" si="136"/>
        <v>0</v>
      </c>
      <c r="O1820" s="905"/>
      <c r="P1820" s="36" t="str">
        <f>IF(N1819&gt;0,"xx",IF(N1819&gt;0,"xy",""))</f>
        <v/>
      </c>
      <c r="Q1820" s="317" t="str">
        <f t="shared" si="138"/>
        <v/>
      </c>
      <c r="R1820" s="317" t="str">
        <f t="shared" si="134"/>
        <v/>
      </c>
      <c r="S1820" s="317" t="str">
        <f t="shared" si="135"/>
        <v/>
      </c>
      <c r="T1820" s="317" t="str">
        <f>GLOBAL_DER_FEV_2023!S1820</f>
        <v/>
      </c>
      <c r="W1820" s="582">
        <v>0</v>
      </c>
      <c r="X1820" s="580"/>
      <c r="Y1820" s="583">
        <f>IF(GLOBAL_DER_FEV_2023!W1820=0,0,IF(GLOBAL_DER_FEV_2023!W1820&gt;0,"c","b"))</f>
        <v>0</v>
      </c>
    </row>
    <row r="1821" spans="1:25" ht="15" hidden="1" customHeight="1" x14ac:dyDescent="0.2">
      <c r="A1821" s="317" t="s">
        <v>147</v>
      </c>
      <c r="B1821" s="895" t="s">
        <v>147</v>
      </c>
      <c r="C1821" s="896"/>
      <c r="D1821" s="906" t="s">
        <v>229</v>
      </c>
      <c r="E1821" s="907">
        <f>GLOBAL_DER_FEV_2023!E1821</f>
        <v>150</v>
      </c>
      <c r="F1821" s="908">
        <f>GLOBAL_DER_FEV_2023!F1821</f>
        <v>0.84</v>
      </c>
      <c r="G1821" s="949">
        <f>GLOBAL_DER_FEV_2023!G1821</f>
        <v>137.0712</v>
      </c>
      <c r="H1821" s="901">
        <f>GLOBAL_DER_FEV_2023!H1821</f>
        <v>0</v>
      </c>
      <c r="I1821" s="901">
        <f>GLOBAL_DER_FEV_2023!I1821</f>
        <v>0</v>
      </c>
      <c r="J1821" s="902">
        <f>GLOBAL_DER_FEV_2023!J1821</f>
        <v>0</v>
      </c>
      <c r="K1821" s="903"/>
      <c r="L1821" s="1177"/>
      <c r="M1821" s="1138">
        <f t="shared" si="137"/>
        <v>0</v>
      </c>
      <c r="N1821" s="1176">
        <f t="shared" si="136"/>
        <v>0</v>
      </c>
      <c r="O1821" s="905"/>
      <c r="P1821" s="36" t="str">
        <f>IF(N1819&gt;0,"xx",IF(N1819&gt;0,"xy",""))</f>
        <v/>
      </c>
      <c r="Q1821" s="317" t="str">
        <f t="shared" si="138"/>
        <v/>
      </c>
      <c r="R1821" s="317" t="str">
        <f t="shared" ref="R1821:R1884" si="139">IF(P1821="X","x",IF(P1821="y","x",IF(P1821="xx","x",IF(N1821&gt;0,"x",""))))</f>
        <v/>
      </c>
      <c r="S1821" s="317" t="str">
        <f t="shared" ref="S1821:S1884" si="140">IF(P1821="X","x",IF(N1821&gt;0,"x",""))</f>
        <v/>
      </c>
      <c r="T1821" s="317" t="str">
        <f>GLOBAL_DER_FEV_2023!S1821</f>
        <v/>
      </c>
      <c r="W1821" s="582">
        <v>0</v>
      </c>
      <c r="X1821" s="580"/>
      <c r="Y1821" s="583">
        <f>IF(GLOBAL_DER_FEV_2023!W1821=0,0,IF(GLOBAL_DER_FEV_2023!W1821&gt;0,"c","b"))</f>
        <v>0</v>
      </c>
    </row>
    <row r="1822" spans="1:25" ht="15" hidden="1" customHeight="1" x14ac:dyDescent="0.2">
      <c r="A1822" s="317" t="s">
        <v>147</v>
      </c>
      <c r="B1822" s="895" t="s">
        <v>147</v>
      </c>
      <c r="C1822" s="896"/>
      <c r="D1822" s="906" t="s">
        <v>233</v>
      </c>
      <c r="E1822" s="907">
        <f>GLOBAL_DER_FEV_2023!E1822</f>
        <v>0.2</v>
      </c>
      <c r="F1822" s="908">
        <f>GLOBAL_DER_FEV_2023!F1822</f>
        <v>1.1100000000000001</v>
      </c>
      <c r="G1822" s="949">
        <f>GLOBAL_DER_FEV_2023!G1822</f>
        <v>3.2123400000000006</v>
      </c>
      <c r="H1822" s="901">
        <f>GLOBAL_DER_FEV_2023!H1822</f>
        <v>0</v>
      </c>
      <c r="I1822" s="901">
        <f>GLOBAL_DER_FEV_2023!I1822</f>
        <v>0</v>
      </c>
      <c r="J1822" s="902">
        <f>GLOBAL_DER_FEV_2023!J1822</f>
        <v>0</v>
      </c>
      <c r="K1822" s="903"/>
      <c r="L1822" s="1177"/>
      <c r="M1822" s="1138">
        <f t="shared" si="137"/>
        <v>0</v>
      </c>
      <c r="N1822" s="1176">
        <f t="shared" si="136"/>
        <v>0</v>
      </c>
      <c r="O1822" s="905"/>
      <c r="P1822" s="36" t="str">
        <f>IF(N1819&gt;0,"xx",IF(N1819&gt;0,"xy",""))</f>
        <v/>
      </c>
      <c r="Q1822" s="317" t="str">
        <f t="shared" si="138"/>
        <v/>
      </c>
      <c r="R1822" s="317" t="str">
        <f t="shared" si="139"/>
        <v/>
      </c>
      <c r="S1822" s="317" t="str">
        <f t="shared" si="140"/>
        <v/>
      </c>
      <c r="T1822" s="317" t="str">
        <f>GLOBAL_DER_FEV_2023!S1822</f>
        <v/>
      </c>
      <c r="W1822" s="582">
        <v>0</v>
      </c>
      <c r="X1822" s="580"/>
      <c r="Y1822" s="583">
        <f>IF(GLOBAL_DER_FEV_2023!W1822=0,0,IF(GLOBAL_DER_FEV_2023!W1822&gt;0,"c","b"))</f>
        <v>0</v>
      </c>
    </row>
    <row r="1823" spans="1:25" ht="15" hidden="1" customHeight="1" x14ac:dyDescent="0.2">
      <c r="A1823" s="317">
        <v>605700</v>
      </c>
      <c r="B1823" s="895">
        <v>605700</v>
      </c>
      <c r="C1823" s="896" t="s">
        <v>184</v>
      </c>
      <c r="D1823" s="906" t="s">
        <v>813</v>
      </c>
      <c r="E1823" s="907">
        <f>GLOBAL_DER_FEV_2023!E1823</f>
        <v>0</v>
      </c>
      <c r="F1823" s="908">
        <f>GLOBAL_DER_FEV_2023!F1823</f>
        <v>0</v>
      </c>
      <c r="G1823" s="912">
        <f>GLOBAL_DER_FEV_2023!G1823</f>
        <v>244.50164000000004</v>
      </c>
      <c r="H1823" s="901">
        <f>GLOBAL_DER_FEV_2023!H1823</f>
        <v>555.25</v>
      </c>
      <c r="I1823" s="901">
        <f>GLOBAL_DER_FEV_2023!I1823</f>
        <v>799.75164000000007</v>
      </c>
      <c r="J1823" s="902">
        <f>GLOBAL_DER_FEV_2023!J1823</f>
        <v>960.26</v>
      </c>
      <c r="K1823" s="903" t="s">
        <v>10</v>
      </c>
      <c r="L1823" s="1137"/>
      <c r="M1823" s="1138">
        <f t="shared" si="137"/>
        <v>0</v>
      </c>
      <c r="N1823" s="1176">
        <f t="shared" si="136"/>
        <v>0</v>
      </c>
      <c r="O1823" s="905"/>
      <c r="Q1823" s="317" t="str">
        <f t="shared" si="138"/>
        <v/>
      </c>
      <c r="R1823" s="317" t="str">
        <f t="shared" si="139"/>
        <v/>
      </c>
      <c r="S1823" s="317" t="str">
        <f t="shared" si="140"/>
        <v/>
      </c>
      <c r="T1823" s="317" t="str">
        <f>GLOBAL_DER_FEV_2023!S1823</f>
        <v/>
      </c>
      <c r="W1823" s="582">
        <v>0</v>
      </c>
      <c r="X1823" s="580"/>
      <c r="Y1823" s="583">
        <f>IF(GLOBAL_DER_FEV_2023!W1823=0,0,IF(GLOBAL_DER_FEV_2023!W1823&gt;0,"c","b"))</f>
        <v>0</v>
      </c>
    </row>
    <row r="1824" spans="1:25" ht="15" hidden="1" customHeight="1" x14ac:dyDescent="0.2">
      <c r="A1824" s="317" t="s">
        <v>147</v>
      </c>
      <c r="B1824" s="895" t="s">
        <v>147</v>
      </c>
      <c r="C1824" s="896"/>
      <c r="D1824" s="906" t="s">
        <v>190</v>
      </c>
      <c r="E1824" s="907">
        <f>GLOBAL_DER_FEV_2023!E1824</f>
        <v>308</v>
      </c>
      <c r="F1824" s="908">
        <f>GLOBAL_DER_FEV_2023!F1824</f>
        <v>0.43</v>
      </c>
      <c r="G1824" s="909">
        <f>GLOBAL_DER_FEV_2023!G1824</f>
        <v>106.6658</v>
      </c>
      <c r="H1824" s="901">
        <f>GLOBAL_DER_FEV_2023!H1824</f>
        <v>0</v>
      </c>
      <c r="I1824" s="901">
        <f>GLOBAL_DER_FEV_2023!I1824</f>
        <v>0</v>
      </c>
      <c r="J1824" s="902">
        <f>GLOBAL_DER_FEV_2023!J1824</f>
        <v>0</v>
      </c>
      <c r="K1824" s="903"/>
      <c r="L1824" s="1177"/>
      <c r="M1824" s="1138">
        <f t="shared" si="137"/>
        <v>0</v>
      </c>
      <c r="N1824" s="1176">
        <f t="shared" si="136"/>
        <v>0</v>
      </c>
      <c r="O1824" s="905"/>
      <c r="P1824" s="36" t="str">
        <f>IF(N1823&gt;0,"xx",IF(N1823&gt;0,"xy",""))</f>
        <v/>
      </c>
      <c r="Q1824" s="317" t="str">
        <f t="shared" si="138"/>
        <v/>
      </c>
      <c r="R1824" s="317" t="str">
        <f t="shared" si="139"/>
        <v/>
      </c>
      <c r="S1824" s="317" t="str">
        <f t="shared" si="140"/>
        <v/>
      </c>
      <c r="T1824" s="317" t="str">
        <f>GLOBAL_DER_FEV_2023!S1824</f>
        <v/>
      </c>
      <c r="W1824" s="582">
        <v>0</v>
      </c>
      <c r="X1824" s="580"/>
      <c r="Y1824" s="583">
        <f>IF(GLOBAL_DER_FEV_2023!W1824=0,0,IF(GLOBAL_DER_FEV_2023!W1824&gt;0,"c","b"))</f>
        <v>0</v>
      </c>
    </row>
    <row r="1825" spans="1:25" ht="15" hidden="1" customHeight="1" x14ac:dyDescent="0.2">
      <c r="A1825" s="317" t="s">
        <v>147</v>
      </c>
      <c r="B1825" s="895" t="s">
        <v>147</v>
      </c>
      <c r="C1825" s="896"/>
      <c r="D1825" s="906" t="s">
        <v>229</v>
      </c>
      <c r="E1825" s="907">
        <f>GLOBAL_DER_FEV_2023!E1825</f>
        <v>150</v>
      </c>
      <c r="F1825" s="908">
        <f>GLOBAL_DER_FEV_2023!F1825</f>
        <v>0.82499999999999996</v>
      </c>
      <c r="G1825" s="949">
        <f>GLOBAL_DER_FEV_2023!G1825</f>
        <v>134.62350000000001</v>
      </c>
      <c r="H1825" s="901">
        <f>GLOBAL_DER_FEV_2023!H1825</f>
        <v>0</v>
      </c>
      <c r="I1825" s="901">
        <f>GLOBAL_DER_FEV_2023!I1825</f>
        <v>0</v>
      </c>
      <c r="J1825" s="902">
        <f>GLOBAL_DER_FEV_2023!J1825</f>
        <v>0</v>
      </c>
      <c r="K1825" s="903"/>
      <c r="L1825" s="1177"/>
      <c r="M1825" s="1138">
        <f t="shared" si="137"/>
        <v>0</v>
      </c>
      <c r="N1825" s="1176">
        <f t="shared" ref="N1825:N1888" si="141">IF(ISBLANK(L1825),0,IF(W1825=0,ROUND(L1825*M1825,2),IF(W1825="b",ROUNDDOWN(L1825*M1825,2),ROUNDUP(L1825*M1825,2))))</f>
        <v>0</v>
      </c>
      <c r="O1825" s="905"/>
      <c r="P1825" s="36" t="str">
        <f>IF(N1823&gt;0,"xx",IF(N1823&gt;0,"xy",""))</f>
        <v/>
      </c>
      <c r="Q1825" s="317" t="str">
        <f t="shared" si="138"/>
        <v/>
      </c>
      <c r="R1825" s="317" t="str">
        <f t="shared" si="139"/>
        <v/>
      </c>
      <c r="S1825" s="317" t="str">
        <f t="shared" si="140"/>
        <v/>
      </c>
      <c r="T1825" s="317" t="str">
        <f>GLOBAL_DER_FEV_2023!S1825</f>
        <v/>
      </c>
      <c r="W1825" s="582">
        <v>0</v>
      </c>
      <c r="X1825" s="580"/>
      <c r="Y1825" s="583">
        <f>IF(GLOBAL_DER_FEV_2023!W1825=0,0,IF(GLOBAL_DER_FEV_2023!W1825&gt;0,"c","b"))</f>
        <v>0</v>
      </c>
    </row>
    <row r="1826" spans="1:25" ht="15" hidden="1" customHeight="1" x14ac:dyDescent="0.2">
      <c r="A1826" s="317" t="s">
        <v>147</v>
      </c>
      <c r="B1826" s="895" t="s">
        <v>147</v>
      </c>
      <c r="C1826" s="896"/>
      <c r="D1826" s="906" t="s">
        <v>233</v>
      </c>
      <c r="E1826" s="907">
        <f>GLOBAL_DER_FEV_2023!E1826</f>
        <v>0.2</v>
      </c>
      <c r="F1826" s="908">
        <f>GLOBAL_DER_FEV_2023!F1826</f>
        <v>1.1100000000000001</v>
      </c>
      <c r="G1826" s="949">
        <f>GLOBAL_DER_FEV_2023!G1826</f>
        <v>3.2123400000000006</v>
      </c>
      <c r="H1826" s="901">
        <f>GLOBAL_DER_FEV_2023!H1826</f>
        <v>0</v>
      </c>
      <c r="I1826" s="901">
        <f>GLOBAL_DER_FEV_2023!I1826</f>
        <v>0</v>
      </c>
      <c r="J1826" s="902">
        <f>GLOBAL_DER_FEV_2023!J1826</f>
        <v>0</v>
      </c>
      <c r="K1826" s="903"/>
      <c r="L1826" s="1177"/>
      <c r="M1826" s="1138">
        <f t="shared" si="137"/>
        <v>0</v>
      </c>
      <c r="N1826" s="1176">
        <f t="shared" si="141"/>
        <v>0</v>
      </c>
      <c r="O1826" s="905"/>
      <c r="P1826" s="36" t="str">
        <f>IF(N1823&gt;0,"xx",IF(N1823&gt;0,"xy",""))</f>
        <v/>
      </c>
      <c r="Q1826" s="317" t="str">
        <f t="shared" si="138"/>
        <v/>
      </c>
      <c r="R1826" s="317" t="str">
        <f t="shared" si="139"/>
        <v/>
      </c>
      <c r="S1826" s="317" t="str">
        <f t="shared" si="140"/>
        <v/>
      </c>
      <c r="T1826" s="317" t="str">
        <f>GLOBAL_DER_FEV_2023!S1826</f>
        <v/>
      </c>
      <c r="W1826" s="582">
        <v>0</v>
      </c>
      <c r="X1826" s="580"/>
      <c r="Y1826" s="583">
        <f>IF(GLOBAL_DER_FEV_2023!W1826=0,0,IF(GLOBAL_DER_FEV_2023!W1826&gt;0,"c","b"))</f>
        <v>0</v>
      </c>
    </row>
    <row r="1827" spans="1:25" ht="15" hidden="1" customHeight="1" x14ac:dyDescent="0.2">
      <c r="A1827" s="317">
        <v>605800</v>
      </c>
      <c r="B1827" s="895">
        <v>605800</v>
      </c>
      <c r="C1827" s="896" t="s">
        <v>184</v>
      </c>
      <c r="D1827" s="906" t="s">
        <v>814</v>
      </c>
      <c r="E1827" s="907">
        <f>GLOBAL_DER_FEV_2023!E1827</f>
        <v>0</v>
      </c>
      <c r="F1827" s="908">
        <f>GLOBAL_DER_FEV_2023!F1827</f>
        <v>0</v>
      </c>
      <c r="G1827" s="912">
        <f>GLOBAL_DER_FEV_2023!G1827</f>
        <v>245.74194000000003</v>
      </c>
      <c r="H1827" s="901">
        <f>GLOBAL_DER_FEV_2023!H1827</f>
        <v>558.08000000000004</v>
      </c>
      <c r="I1827" s="901">
        <f>GLOBAL_DER_FEV_2023!I1827</f>
        <v>803.82194000000004</v>
      </c>
      <c r="J1827" s="902">
        <f>GLOBAL_DER_FEV_2023!J1827</f>
        <v>965.15</v>
      </c>
      <c r="K1827" s="903" t="s">
        <v>10</v>
      </c>
      <c r="L1827" s="1137"/>
      <c r="M1827" s="1138">
        <f t="shared" si="137"/>
        <v>0</v>
      </c>
      <c r="N1827" s="1176">
        <f t="shared" si="141"/>
        <v>0</v>
      </c>
      <c r="O1827" s="905"/>
      <c r="Q1827" s="317" t="str">
        <f t="shared" si="138"/>
        <v/>
      </c>
      <c r="R1827" s="317" t="str">
        <f t="shared" si="139"/>
        <v/>
      </c>
      <c r="S1827" s="317" t="str">
        <f t="shared" si="140"/>
        <v/>
      </c>
      <c r="T1827" s="317" t="str">
        <f>GLOBAL_DER_FEV_2023!S1827</f>
        <v/>
      </c>
      <c r="W1827" s="582">
        <v>0</v>
      </c>
      <c r="X1827" s="580"/>
      <c r="Y1827" s="583">
        <f>IF(GLOBAL_DER_FEV_2023!W1827=0,0,IF(GLOBAL_DER_FEV_2023!W1827&gt;0,"c","b"))</f>
        <v>0</v>
      </c>
    </row>
    <row r="1828" spans="1:25" ht="15" hidden="1" customHeight="1" x14ac:dyDescent="0.2">
      <c r="A1828" s="317" t="s">
        <v>147</v>
      </c>
      <c r="B1828" s="895" t="s">
        <v>147</v>
      </c>
      <c r="C1828" s="896"/>
      <c r="D1828" s="906" t="s">
        <v>190</v>
      </c>
      <c r="E1828" s="907">
        <f>GLOBAL_DER_FEV_2023!E1828</f>
        <v>308</v>
      </c>
      <c r="F1828" s="908">
        <f>GLOBAL_DER_FEV_2023!F1828</f>
        <v>0.435</v>
      </c>
      <c r="G1828" s="909">
        <f>GLOBAL_DER_FEV_2023!G1828</f>
        <v>107.9061</v>
      </c>
      <c r="H1828" s="901">
        <f>GLOBAL_DER_FEV_2023!H1828</f>
        <v>0</v>
      </c>
      <c r="I1828" s="901">
        <f>GLOBAL_DER_FEV_2023!I1828</f>
        <v>0</v>
      </c>
      <c r="J1828" s="902">
        <f>GLOBAL_DER_FEV_2023!J1828</f>
        <v>0</v>
      </c>
      <c r="K1828" s="903"/>
      <c r="L1828" s="1177"/>
      <c r="M1828" s="1138">
        <f t="shared" si="137"/>
        <v>0</v>
      </c>
      <c r="N1828" s="1176">
        <f t="shared" si="141"/>
        <v>0</v>
      </c>
      <c r="O1828" s="905"/>
      <c r="P1828" s="36" t="str">
        <f>IF(N1827&gt;0,"xx",IF(N1827&gt;0,"xy",""))</f>
        <v/>
      </c>
      <c r="Q1828" s="317" t="str">
        <f t="shared" si="138"/>
        <v/>
      </c>
      <c r="R1828" s="317" t="str">
        <f t="shared" si="139"/>
        <v/>
      </c>
      <c r="S1828" s="317" t="str">
        <f t="shared" si="140"/>
        <v/>
      </c>
      <c r="T1828" s="317" t="str">
        <f>GLOBAL_DER_FEV_2023!S1828</f>
        <v/>
      </c>
      <c r="W1828" s="582">
        <v>0</v>
      </c>
      <c r="X1828" s="580"/>
      <c r="Y1828" s="583">
        <f>IF(GLOBAL_DER_FEV_2023!W1828=0,0,IF(GLOBAL_DER_FEV_2023!W1828&gt;0,"c","b"))</f>
        <v>0</v>
      </c>
    </row>
    <row r="1829" spans="1:25" ht="15" hidden="1" customHeight="1" x14ac:dyDescent="0.2">
      <c r="A1829" s="317" t="s">
        <v>147</v>
      </c>
      <c r="B1829" s="895" t="s">
        <v>147</v>
      </c>
      <c r="C1829" s="896"/>
      <c r="D1829" s="906" t="s">
        <v>229</v>
      </c>
      <c r="E1829" s="907">
        <f>GLOBAL_DER_FEV_2023!E1829</f>
        <v>150</v>
      </c>
      <c r="F1829" s="908">
        <f>GLOBAL_DER_FEV_2023!F1829</f>
        <v>0.82499999999999996</v>
      </c>
      <c r="G1829" s="949">
        <f>GLOBAL_DER_FEV_2023!G1829</f>
        <v>134.62350000000001</v>
      </c>
      <c r="H1829" s="901">
        <f>GLOBAL_DER_FEV_2023!H1829</f>
        <v>0</v>
      </c>
      <c r="I1829" s="901">
        <f>GLOBAL_DER_FEV_2023!I1829</f>
        <v>0</v>
      </c>
      <c r="J1829" s="902">
        <f>GLOBAL_DER_FEV_2023!J1829</f>
        <v>0</v>
      </c>
      <c r="K1829" s="903"/>
      <c r="L1829" s="1177"/>
      <c r="M1829" s="1138">
        <f t="shared" si="137"/>
        <v>0</v>
      </c>
      <c r="N1829" s="1176">
        <f t="shared" si="141"/>
        <v>0</v>
      </c>
      <c r="O1829" s="905"/>
      <c r="P1829" s="36" t="str">
        <f>IF(N1827&gt;0,"xx",IF(N1827&gt;0,"xy",""))</f>
        <v/>
      </c>
      <c r="Q1829" s="317" t="str">
        <f t="shared" si="138"/>
        <v/>
      </c>
      <c r="R1829" s="317" t="str">
        <f t="shared" si="139"/>
        <v/>
      </c>
      <c r="S1829" s="317" t="str">
        <f t="shared" si="140"/>
        <v/>
      </c>
      <c r="T1829" s="317" t="str">
        <f>GLOBAL_DER_FEV_2023!S1829</f>
        <v/>
      </c>
      <c r="W1829" s="582">
        <v>0</v>
      </c>
      <c r="X1829" s="580"/>
      <c r="Y1829" s="583">
        <f>IF(GLOBAL_DER_FEV_2023!W1829=0,0,IF(GLOBAL_DER_FEV_2023!W1829&gt;0,"c","b"))</f>
        <v>0</v>
      </c>
    </row>
    <row r="1830" spans="1:25" ht="15" hidden="1" customHeight="1" x14ac:dyDescent="0.2">
      <c r="A1830" s="317" t="s">
        <v>147</v>
      </c>
      <c r="B1830" s="895" t="s">
        <v>147</v>
      </c>
      <c r="C1830" s="896"/>
      <c r="D1830" s="906" t="s">
        <v>233</v>
      </c>
      <c r="E1830" s="907">
        <f>GLOBAL_DER_FEV_2023!E1830</f>
        <v>0.2</v>
      </c>
      <c r="F1830" s="908">
        <f>GLOBAL_DER_FEV_2023!F1830</f>
        <v>1.1100000000000001</v>
      </c>
      <c r="G1830" s="949">
        <f>GLOBAL_DER_FEV_2023!G1830</f>
        <v>3.2123400000000006</v>
      </c>
      <c r="H1830" s="901">
        <f>GLOBAL_DER_FEV_2023!H1830</f>
        <v>0</v>
      </c>
      <c r="I1830" s="901">
        <f>GLOBAL_DER_FEV_2023!I1830</f>
        <v>0</v>
      </c>
      <c r="J1830" s="902">
        <f>GLOBAL_DER_FEV_2023!J1830</f>
        <v>0</v>
      </c>
      <c r="K1830" s="903"/>
      <c r="L1830" s="1177"/>
      <c r="M1830" s="1138">
        <f t="shared" si="137"/>
        <v>0</v>
      </c>
      <c r="N1830" s="1176">
        <f t="shared" si="141"/>
        <v>0</v>
      </c>
      <c r="O1830" s="905"/>
      <c r="P1830" s="36" t="str">
        <f>IF(N1827&gt;0,"xx",IF(N1827&gt;0,"xy",""))</f>
        <v/>
      </c>
      <c r="Q1830" s="317" t="str">
        <f t="shared" si="138"/>
        <v/>
      </c>
      <c r="R1830" s="317" t="str">
        <f t="shared" si="139"/>
        <v/>
      </c>
      <c r="S1830" s="317" t="str">
        <f t="shared" si="140"/>
        <v/>
      </c>
      <c r="T1830" s="317" t="str">
        <f>GLOBAL_DER_FEV_2023!S1830</f>
        <v/>
      </c>
      <c r="W1830" s="582">
        <v>0</v>
      </c>
      <c r="X1830" s="580"/>
      <c r="Y1830" s="583">
        <f>IF(GLOBAL_DER_FEV_2023!W1830=0,0,IF(GLOBAL_DER_FEV_2023!W1830&gt;0,"c","b"))</f>
        <v>0</v>
      </c>
    </row>
    <row r="1831" spans="1:25" ht="15" hidden="1" customHeight="1" x14ac:dyDescent="0.2">
      <c r="A1831" s="317">
        <v>605900</v>
      </c>
      <c r="B1831" s="895">
        <v>605900</v>
      </c>
      <c r="C1831" s="896" t="s">
        <v>184</v>
      </c>
      <c r="D1831" s="906" t="s">
        <v>815</v>
      </c>
      <c r="E1831" s="907">
        <f>GLOBAL_DER_FEV_2023!E1831</f>
        <v>0</v>
      </c>
      <c r="F1831" s="908">
        <f>GLOBAL_DER_FEV_2023!F1831</f>
        <v>0</v>
      </c>
      <c r="G1831" s="912">
        <f>GLOBAL_DER_FEV_2023!G1831</f>
        <v>249.56154000000001</v>
      </c>
      <c r="H1831" s="901">
        <f>GLOBAL_DER_FEV_2023!H1831</f>
        <v>581.4</v>
      </c>
      <c r="I1831" s="901">
        <f>GLOBAL_DER_FEV_2023!I1831</f>
        <v>830.96154000000001</v>
      </c>
      <c r="J1831" s="902">
        <f>GLOBAL_DER_FEV_2023!J1831</f>
        <v>997.74</v>
      </c>
      <c r="K1831" s="903" t="s">
        <v>10</v>
      </c>
      <c r="L1831" s="1137"/>
      <c r="M1831" s="1138">
        <f t="shared" si="137"/>
        <v>0</v>
      </c>
      <c r="N1831" s="1176">
        <f t="shared" si="141"/>
        <v>0</v>
      </c>
      <c r="O1831" s="905"/>
      <c r="Q1831" s="317" t="str">
        <f t="shared" si="138"/>
        <v/>
      </c>
      <c r="R1831" s="317" t="str">
        <f t="shared" si="139"/>
        <v/>
      </c>
      <c r="S1831" s="317" t="str">
        <f t="shared" si="140"/>
        <v/>
      </c>
      <c r="T1831" s="317" t="str">
        <f>GLOBAL_DER_FEV_2023!S1831</f>
        <v/>
      </c>
      <c r="W1831" s="582">
        <v>0</v>
      </c>
      <c r="X1831" s="580"/>
      <c r="Y1831" s="583">
        <f>IF(GLOBAL_DER_FEV_2023!W1831=0,0,IF(GLOBAL_DER_FEV_2023!W1831&gt;0,"c","b"))</f>
        <v>0</v>
      </c>
    </row>
    <row r="1832" spans="1:25" ht="15" hidden="1" customHeight="1" x14ac:dyDescent="0.2">
      <c r="A1832" s="317" t="s">
        <v>147</v>
      </c>
      <c r="B1832" s="895" t="s">
        <v>147</v>
      </c>
      <c r="C1832" s="896"/>
      <c r="D1832" s="906" t="s">
        <v>190</v>
      </c>
      <c r="E1832" s="907">
        <f>GLOBAL_DER_FEV_2023!E1832</f>
        <v>308</v>
      </c>
      <c r="F1832" s="908">
        <f>GLOBAL_DER_FEV_2023!F1832</f>
        <v>0.48</v>
      </c>
      <c r="G1832" s="909">
        <f>GLOBAL_DER_FEV_2023!G1832</f>
        <v>119.0688</v>
      </c>
      <c r="H1832" s="901">
        <f>GLOBAL_DER_FEV_2023!H1832</f>
        <v>0</v>
      </c>
      <c r="I1832" s="901">
        <f>GLOBAL_DER_FEV_2023!I1832</f>
        <v>0</v>
      </c>
      <c r="J1832" s="902">
        <f>GLOBAL_DER_FEV_2023!J1832</f>
        <v>0</v>
      </c>
      <c r="K1832" s="903"/>
      <c r="L1832" s="1177"/>
      <c r="M1832" s="1138">
        <f t="shared" si="137"/>
        <v>0</v>
      </c>
      <c r="N1832" s="1176">
        <f t="shared" si="141"/>
        <v>0</v>
      </c>
      <c r="O1832" s="905"/>
      <c r="P1832" s="36" t="str">
        <f>IF(N1831&gt;0,"xx",IF(N1831&gt;0,"xy",""))</f>
        <v/>
      </c>
      <c r="Q1832" s="317" t="str">
        <f t="shared" si="138"/>
        <v/>
      </c>
      <c r="R1832" s="317" t="str">
        <f t="shared" si="139"/>
        <v/>
      </c>
      <c r="S1832" s="317" t="str">
        <f t="shared" si="140"/>
        <v/>
      </c>
      <c r="T1832" s="317" t="str">
        <f>GLOBAL_DER_FEV_2023!S1832</f>
        <v/>
      </c>
      <c r="W1832" s="582">
        <v>0</v>
      </c>
      <c r="X1832" s="580"/>
      <c r="Y1832" s="583">
        <f>IF(GLOBAL_DER_FEV_2023!W1832=0,0,IF(GLOBAL_DER_FEV_2023!W1832&gt;0,"c","b"))</f>
        <v>0</v>
      </c>
    </row>
    <row r="1833" spans="1:25" ht="15" hidden="1" customHeight="1" x14ac:dyDescent="0.2">
      <c r="A1833" s="317" t="s">
        <v>147</v>
      </c>
      <c r="B1833" s="895" t="s">
        <v>147</v>
      </c>
      <c r="C1833" s="896"/>
      <c r="D1833" s="906" t="s">
        <v>229</v>
      </c>
      <c r="E1833" s="907">
        <f>GLOBAL_DER_FEV_2023!E1833</f>
        <v>150</v>
      </c>
      <c r="F1833" s="908">
        <f>GLOBAL_DER_FEV_2023!F1833</f>
        <v>0.78</v>
      </c>
      <c r="G1833" s="949">
        <f>GLOBAL_DER_FEV_2023!G1833</f>
        <v>127.28040000000001</v>
      </c>
      <c r="H1833" s="901">
        <f>GLOBAL_DER_FEV_2023!H1833</f>
        <v>0</v>
      </c>
      <c r="I1833" s="901">
        <f>GLOBAL_DER_FEV_2023!I1833</f>
        <v>0</v>
      </c>
      <c r="J1833" s="902">
        <f>GLOBAL_DER_FEV_2023!J1833</f>
        <v>0</v>
      </c>
      <c r="K1833" s="903"/>
      <c r="L1833" s="1177"/>
      <c r="M1833" s="1138">
        <f t="shared" si="137"/>
        <v>0</v>
      </c>
      <c r="N1833" s="1176">
        <f t="shared" si="141"/>
        <v>0</v>
      </c>
      <c r="O1833" s="905"/>
      <c r="P1833" s="36" t="str">
        <f>IF(N1831&gt;0,"xx",IF(N1831&gt;0,"xy",""))</f>
        <v/>
      </c>
      <c r="Q1833" s="317" t="str">
        <f t="shared" si="138"/>
        <v/>
      </c>
      <c r="R1833" s="317" t="str">
        <f t="shared" si="139"/>
        <v/>
      </c>
      <c r="S1833" s="317" t="str">
        <f t="shared" si="140"/>
        <v/>
      </c>
      <c r="T1833" s="317" t="str">
        <f>GLOBAL_DER_FEV_2023!S1833</f>
        <v/>
      </c>
      <c r="W1833" s="582">
        <v>0</v>
      </c>
      <c r="X1833" s="580"/>
      <c r="Y1833" s="583">
        <f>IF(GLOBAL_DER_FEV_2023!W1833=0,0,IF(GLOBAL_DER_FEV_2023!W1833&gt;0,"c","b"))</f>
        <v>0</v>
      </c>
    </row>
    <row r="1834" spans="1:25" ht="15" hidden="1" customHeight="1" x14ac:dyDescent="0.2">
      <c r="A1834" s="317" t="s">
        <v>147</v>
      </c>
      <c r="B1834" s="895" t="s">
        <v>147</v>
      </c>
      <c r="C1834" s="896"/>
      <c r="D1834" s="906" t="s">
        <v>233</v>
      </c>
      <c r="E1834" s="907">
        <f>GLOBAL_DER_FEV_2023!E1834</f>
        <v>0.2</v>
      </c>
      <c r="F1834" s="908">
        <f>GLOBAL_DER_FEV_2023!F1834</f>
        <v>1.1100000000000001</v>
      </c>
      <c r="G1834" s="949">
        <f>GLOBAL_DER_FEV_2023!G1834</f>
        <v>3.2123400000000006</v>
      </c>
      <c r="H1834" s="901">
        <f>GLOBAL_DER_FEV_2023!H1834</f>
        <v>0</v>
      </c>
      <c r="I1834" s="901">
        <f>GLOBAL_DER_FEV_2023!I1834</f>
        <v>0</v>
      </c>
      <c r="J1834" s="902">
        <f>GLOBAL_DER_FEV_2023!J1834</f>
        <v>0</v>
      </c>
      <c r="K1834" s="903"/>
      <c r="L1834" s="1177"/>
      <c r="M1834" s="1138">
        <f t="shared" si="137"/>
        <v>0</v>
      </c>
      <c r="N1834" s="1176">
        <f t="shared" si="141"/>
        <v>0</v>
      </c>
      <c r="O1834" s="905"/>
      <c r="P1834" s="36" t="str">
        <f>IF(N1831&gt;0,"xx",IF(N1831&gt;0,"xy",""))</f>
        <v/>
      </c>
      <c r="Q1834" s="317" t="str">
        <f t="shared" si="138"/>
        <v/>
      </c>
      <c r="R1834" s="317" t="str">
        <f t="shared" si="139"/>
        <v/>
      </c>
      <c r="S1834" s="317" t="str">
        <f t="shared" si="140"/>
        <v/>
      </c>
      <c r="T1834" s="317" t="str">
        <f>GLOBAL_DER_FEV_2023!S1834</f>
        <v/>
      </c>
      <c r="W1834" s="582">
        <v>0</v>
      </c>
      <c r="X1834" s="580"/>
      <c r="Y1834" s="583">
        <f>IF(GLOBAL_DER_FEV_2023!W1834=0,0,IF(GLOBAL_DER_FEV_2023!W1834&gt;0,"c","b"))</f>
        <v>0</v>
      </c>
    </row>
    <row r="1835" spans="1:25" ht="15" hidden="1" customHeight="1" x14ac:dyDescent="0.2">
      <c r="A1835" s="317">
        <v>606200</v>
      </c>
      <c r="B1835" s="895">
        <v>606200</v>
      </c>
      <c r="C1835" s="896" t="s">
        <v>184</v>
      </c>
      <c r="D1835" s="906" t="s">
        <v>816</v>
      </c>
      <c r="E1835" s="907">
        <f>GLOBAL_DER_FEV_2023!E1835</f>
        <v>0</v>
      </c>
      <c r="F1835" s="908">
        <f>GLOBAL_DER_FEV_2023!F1835</f>
        <v>0</v>
      </c>
      <c r="G1835" s="912">
        <f>GLOBAL_DER_FEV_2023!G1835</f>
        <v>252.60406000000003</v>
      </c>
      <c r="H1835" s="901">
        <f>GLOBAL_DER_FEV_2023!H1835</f>
        <v>598.07000000000005</v>
      </c>
      <c r="I1835" s="901">
        <f>GLOBAL_DER_FEV_2023!I1835</f>
        <v>850.67406000000005</v>
      </c>
      <c r="J1835" s="902">
        <f>GLOBAL_DER_FEV_2023!J1835</f>
        <v>1021.4</v>
      </c>
      <c r="K1835" s="903" t="s">
        <v>10</v>
      </c>
      <c r="L1835" s="1137"/>
      <c r="M1835" s="1138">
        <f t="shared" si="137"/>
        <v>0</v>
      </c>
      <c r="N1835" s="1176">
        <f t="shared" si="141"/>
        <v>0</v>
      </c>
      <c r="O1835" s="905"/>
      <c r="Q1835" s="317" t="str">
        <f t="shared" si="138"/>
        <v/>
      </c>
      <c r="R1835" s="317" t="str">
        <f t="shared" si="139"/>
        <v/>
      </c>
      <c r="S1835" s="317" t="str">
        <f t="shared" si="140"/>
        <v/>
      </c>
      <c r="T1835" s="317" t="str">
        <f>GLOBAL_DER_FEV_2023!S1835</f>
        <v/>
      </c>
      <c r="W1835" s="582">
        <v>0</v>
      </c>
      <c r="X1835" s="580"/>
      <c r="Y1835" s="583">
        <f>IF(GLOBAL_DER_FEV_2023!W1835=0,0,IF(GLOBAL_DER_FEV_2023!W1835&gt;0,"c","b"))</f>
        <v>0</v>
      </c>
    </row>
    <row r="1836" spans="1:25" ht="15" hidden="1" customHeight="1" x14ac:dyDescent="0.2">
      <c r="A1836" s="317" t="s">
        <v>147</v>
      </c>
      <c r="B1836" s="895" t="s">
        <v>147</v>
      </c>
      <c r="C1836" s="896"/>
      <c r="D1836" s="906" t="s">
        <v>190</v>
      </c>
      <c r="E1836" s="907">
        <f>GLOBAL_DER_FEV_2023!E1836</f>
        <v>308</v>
      </c>
      <c r="F1836" s="908">
        <f>GLOBAL_DER_FEV_2023!F1836</f>
        <v>0.51200000000000001</v>
      </c>
      <c r="G1836" s="909">
        <f>GLOBAL_DER_FEV_2023!G1836</f>
        <v>127.00672</v>
      </c>
      <c r="H1836" s="901">
        <f>GLOBAL_DER_FEV_2023!H1836</f>
        <v>0</v>
      </c>
      <c r="I1836" s="901">
        <f>GLOBAL_DER_FEV_2023!I1836</f>
        <v>0</v>
      </c>
      <c r="J1836" s="902">
        <f>GLOBAL_DER_FEV_2023!J1836</f>
        <v>0</v>
      </c>
      <c r="K1836" s="903"/>
      <c r="L1836" s="1177"/>
      <c r="M1836" s="1138">
        <f t="shared" si="137"/>
        <v>0</v>
      </c>
      <c r="N1836" s="1176">
        <f t="shared" si="141"/>
        <v>0</v>
      </c>
      <c r="O1836" s="905"/>
      <c r="P1836" s="36" t="str">
        <f>IF(N1835&gt;0,"xx",IF(N1835&gt;0,"xy",""))</f>
        <v/>
      </c>
      <c r="Q1836" s="317" t="str">
        <f t="shared" si="138"/>
        <v/>
      </c>
      <c r="R1836" s="317" t="str">
        <f t="shared" si="139"/>
        <v/>
      </c>
      <c r="S1836" s="317" t="str">
        <f t="shared" si="140"/>
        <v/>
      </c>
      <c r="T1836" s="317" t="str">
        <f>GLOBAL_DER_FEV_2023!S1836</f>
        <v/>
      </c>
      <c r="W1836" s="582">
        <v>0</v>
      </c>
      <c r="X1836" s="580"/>
      <c r="Y1836" s="583">
        <f>IF(GLOBAL_DER_FEV_2023!W1836=0,0,IF(GLOBAL_DER_FEV_2023!W1836&gt;0,"c","b"))</f>
        <v>0</v>
      </c>
    </row>
    <row r="1837" spans="1:25" ht="15" hidden="1" customHeight="1" x14ac:dyDescent="0.2">
      <c r="A1837" s="317" t="s">
        <v>147</v>
      </c>
      <c r="B1837" s="895" t="s">
        <v>147</v>
      </c>
      <c r="C1837" s="896"/>
      <c r="D1837" s="906" t="s">
        <v>229</v>
      </c>
      <c r="E1837" s="907">
        <f>GLOBAL_DER_FEV_2023!E1837</f>
        <v>150</v>
      </c>
      <c r="F1837" s="908">
        <f>GLOBAL_DER_FEV_2023!F1837</f>
        <v>0.75</v>
      </c>
      <c r="G1837" s="949">
        <f>GLOBAL_DER_FEV_2023!G1837</f>
        <v>122.38500000000001</v>
      </c>
      <c r="H1837" s="901">
        <f>GLOBAL_DER_FEV_2023!H1837</f>
        <v>0</v>
      </c>
      <c r="I1837" s="901">
        <f>GLOBAL_DER_FEV_2023!I1837</f>
        <v>0</v>
      </c>
      <c r="J1837" s="902">
        <f>GLOBAL_DER_FEV_2023!J1837</f>
        <v>0</v>
      </c>
      <c r="K1837" s="903"/>
      <c r="L1837" s="1177"/>
      <c r="M1837" s="1138">
        <f t="shared" si="137"/>
        <v>0</v>
      </c>
      <c r="N1837" s="1176">
        <f t="shared" si="141"/>
        <v>0</v>
      </c>
      <c r="O1837" s="905"/>
      <c r="P1837" s="36" t="str">
        <f>IF(N1835&gt;0,"xx",IF(N1835&gt;0,"xy",""))</f>
        <v/>
      </c>
      <c r="Q1837" s="317" t="str">
        <f t="shared" si="138"/>
        <v/>
      </c>
      <c r="R1837" s="317" t="str">
        <f t="shared" si="139"/>
        <v/>
      </c>
      <c r="S1837" s="317" t="str">
        <f t="shared" si="140"/>
        <v/>
      </c>
      <c r="T1837" s="317" t="str">
        <f>GLOBAL_DER_FEV_2023!S1837</f>
        <v/>
      </c>
      <c r="W1837" s="582">
        <v>0</v>
      </c>
      <c r="X1837" s="580"/>
      <c r="Y1837" s="583">
        <f>IF(GLOBAL_DER_FEV_2023!W1837=0,0,IF(GLOBAL_DER_FEV_2023!W1837&gt;0,"c","b"))</f>
        <v>0</v>
      </c>
    </row>
    <row r="1838" spans="1:25" ht="15" hidden="1" customHeight="1" x14ac:dyDescent="0.2">
      <c r="A1838" s="317" t="s">
        <v>147</v>
      </c>
      <c r="B1838" s="895" t="s">
        <v>147</v>
      </c>
      <c r="C1838" s="896"/>
      <c r="D1838" s="906" t="s">
        <v>233</v>
      </c>
      <c r="E1838" s="907">
        <f>GLOBAL_DER_FEV_2023!E1838</f>
        <v>0.2</v>
      </c>
      <c r="F1838" s="908">
        <f>GLOBAL_DER_FEV_2023!F1838</f>
        <v>1.1100000000000001</v>
      </c>
      <c r="G1838" s="949">
        <f>GLOBAL_DER_FEV_2023!G1838</f>
        <v>3.2123400000000006</v>
      </c>
      <c r="H1838" s="901">
        <f>GLOBAL_DER_FEV_2023!H1838</f>
        <v>0</v>
      </c>
      <c r="I1838" s="901">
        <f>GLOBAL_DER_FEV_2023!I1838</f>
        <v>0</v>
      </c>
      <c r="J1838" s="902">
        <f>GLOBAL_DER_FEV_2023!J1838</f>
        <v>0</v>
      </c>
      <c r="K1838" s="903"/>
      <c r="L1838" s="1177"/>
      <c r="M1838" s="1138">
        <f t="shared" si="137"/>
        <v>0</v>
      </c>
      <c r="N1838" s="1176">
        <f t="shared" si="141"/>
        <v>0</v>
      </c>
      <c r="O1838" s="905"/>
      <c r="P1838" s="36" t="str">
        <f>IF(N1835&gt;0,"xx",IF(N1835&gt;0,"xy",""))</f>
        <v/>
      </c>
      <c r="Q1838" s="317" t="str">
        <f t="shared" si="138"/>
        <v/>
      </c>
      <c r="R1838" s="317" t="str">
        <f t="shared" si="139"/>
        <v/>
      </c>
      <c r="S1838" s="317" t="str">
        <f t="shared" si="140"/>
        <v/>
      </c>
      <c r="T1838" s="317" t="str">
        <f>GLOBAL_DER_FEV_2023!S1838</f>
        <v/>
      </c>
      <c r="W1838" s="582">
        <v>0</v>
      </c>
      <c r="X1838" s="580"/>
      <c r="Y1838" s="583">
        <f>IF(GLOBAL_DER_FEV_2023!W1838=0,0,IF(GLOBAL_DER_FEV_2023!W1838&gt;0,"c","b"))</f>
        <v>0</v>
      </c>
    </row>
    <row r="1839" spans="1:25" ht="15" hidden="1" customHeight="1" x14ac:dyDescent="0.2">
      <c r="A1839" s="317">
        <v>622000</v>
      </c>
      <c r="B1839" s="895">
        <v>622000</v>
      </c>
      <c r="C1839" s="896" t="s">
        <v>184</v>
      </c>
      <c r="D1839" s="906" t="s">
        <v>521</v>
      </c>
      <c r="E1839" s="907">
        <f>GLOBAL_DER_FEV_2023!E1839</f>
        <v>0</v>
      </c>
      <c r="F1839" s="908">
        <f>GLOBAL_DER_FEV_2023!F1839</f>
        <v>0</v>
      </c>
      <c r="G1839" s="912">
        <f>GLOBAL_DER_FEV_2023!G1839</f>
        <v>37.478794200000003</v>
      </c>
      <c r="H1839" s="901">
        <f>GLOBAL_DER_FEV_2023!H1839</f>
        <v>240.43</v>
      </c>
      <c r="I1839" s="901">
        <f>GLOBAL_DER_FEV_2023!I1839</f>
        <v>277.90879419999999</v>
      </c>
      <c r="J1839" s="902">
        <f>GLOBAL_DER_FEV_2023!J1839</f>
        <v>333.69</v>
      </c>
      <c r="K1839" s="903" t="s">
        <v>15</v>
      </c>
      <c r="L1839" s="1137"/>
      <c r="M1839" s="1138">
        <f t="shared" si="137"/>
        <v>0</v>
      </c>
      <c r="N1839" s="1176">
        <f t="shared" si="141"/>
        <v>0</v>
      </c>
      <c r="O1839" s="905"/>
      <c r="Q1839" s="317" t="str">
        <f t="shared" si="138"/>
        <v/>
      </c>
      <c r="R1839" s="317" t="str">
        <f t="shared" si="139"/>
        <v/>
      </c>
      <c r="S1839" s="317" t="str">
        <f t="shared" si="140"/>
        <v/>
      </c>
      <c r="T1839" s="317" t="str">
        <f>GLOBAL_DER_FEV_2023!S1839</f>
        <v/>
      </c>
      <c r="W1839" s="582">
        <v>0</v>
      </c>
      <c r="X1839" s="580"/>
      <c r="Y1839" s="583">
        <f>IF(GLOBAL_DER_FEV_2023!W1839=0,0,IF(GLOBAL_DER_FEV_2023!W1839&gt;0,"c","b"))</f>
        <v>0</v>
      </c>
    </row>
    <row r="1840" spans="1:25" ht="15" hidden="1" customHeight="1" x14ac:dyDescent="0.2">
      <c r="A1840" s="317" t="s">
        <v>147</v>
      </c>
      <c r="B1840" s="895" t="s">
        <v>147</v>
      </c>
      <c r="C1840" s="896"/>
      <c r="D1840" s="906" t="s">
        <v>190</v>
      </c>
      <c r="E1840" s="907">
        <f>GLOBAL_DER_FEV_2023!E1840</f>
        <v>308</v>
      </c>
      <c r="F1840" s="908">
        <f>GLOBAL_DER_FEV_2023!F1840</f>
        <v>4.24E-2</v>
      </c>
      <c r="G1840" s="909">
        <f>GLOBAL_DER_FEV_2023!G1840</f>
        <v>10.517744</v>
      </c>
      <c r="H1840" s="901">
        <f>GLOBAL_DER_FEV_2023!H1840</f>
        <v>0</v>
      </c>
      <c r="I1840" s="901">
        <f>GLOBAL_DER_FEV_2023!I1840</f>
        <v>0</v>
      </c>
      <c r="J1840" s="902">
        <f>GLOBAL_DER_FEV_2023!J1840</f>
        <v>0</v>
      </c>
      <c r="K1840" s="903"/>
      <c r="L1840" s="1177"/>
      <c r="M1840" s="1138">
        <f t="shared" si="137"/>
        <v>0</v>
      </c>
      <c r="N1840" s="1176">
        <f t="shared" si="141"/>
        <v>0</v>
      </c>
      <c r="O1840" s="905"/>
      <c r="P1840" s="36" t="str">
        <f>IF(N1839&gt;0,"xx",IF(N1839&gt;0,"xy",""))</f>
        <v/>
      </c>
      <c r="Q1840" s="317" t="str">
        <f t="shared" si="138"/>
        <v/>
      </c>
      <c r="R1840" s="317" t="str">
        <f t="shared" si="139"/>
        <v/>
      </c>
      <c r="S1840" s="317" t="str">
        <f t="shared" si="140"/>
        <v/>
      </c>
      <c r="T1840" s="317" t="str">
        <f>GLOBAL_DER_FEV_2023!S1840</f>
        <v/>
      </c>
      <c r="W1840" s="582">
        <v>0</v>
      </c>
      <c r="X1840" s="580"/>
      <c r="Y1840" s="583">
        <f>IF(GLOBAL_DER_FEV_2023!W1840=0,0,IF(GLOBAL_DER_FEV_2023!W1840&gt;0,"c","b"))</f>
        <v>0</v>
      </c>
    </row>
    <row r="1841" spans="1:25" ht="15" hidden="1" customHeight="1" x14ac:dyDescent="0.2">
      <c r="A1841" s="317" t="s">
        <v>147</v>
      </c>
      <c r="B1841" s="895" t="s">
        <v>147</v>
      </c>
      <c r="C1841" s="896"/>
      <c r="D1841" s="906" t="s">
        <v>229</v>
      </c>
      <c r="E1841" s="907">
        <f>GLOBAL_DER_FEV_2023!E1841</f>
        <v>150</v>
      </c>
      <c r="F1841" s="908">
        <f>GLOBAL_DER_FEV_2023!F1841</f>
        <v>0.1507</v>
      </c>
      <c r="G1841" s="949">
        <f>GLOBAL_DER_FEV_2023!G1841</f>
        <v>24.591226000000002</v>
      </c>
      <c r="H1841" s="901">
        <f>GLOBAL_DER_FEV_2023!H1841</f>
        <v>0</v>
      </c>
      <c r="I1841" s="901">
        <f>GLOBAL_DER_FEV_2023!I1841</f>
        <v>0</v>
      </c>
      <c r="J1841" s="902">
        <f>GLOBAL_DER_FEV_2023!J1841</f>
        <v>0</v>
      </c>
      <c r="K1841" s="903"/>
      <c r="L1841" s="1177"/>
      <c r="M1841" s="1138">
        <f t="shared" si="137"/>
        <v>0</v>
      </c>
      <c r="N1841" s="1176">
        <f t="shared" si="141"/>
        <v>0</v>
      </c>
      <c r="O1841" s="905"/>
      <c r="P1841" s="36" t="str">
        <f>IF(N1839&gt;0,"xx",IF(N1839&gt;0,"xy",""))</f>
        <v/>
      </c>
      <c r="Q1841" s="317" t="str">
        <f t="shared" si="138"/>
        <v/>
      </c>
      <c r="R1841" s="317" t="str">
        <f t="shared" si="139"/>
        <v/>
      </c>
      <c r="S1841" s="317" t="str">
        <f t="shared" si="140"/>
        <v/>
      </c>
      <c r="T1841" s="317" t="str">
        <f>GLOBAL_DER_FEV_2023!S1841</f>
        <v/>
      </c>
      <c r="W1841" s="582">
        <v>0</v>
      </c>
      <c r="X1841" s="580"/>
      <c r="Y1841" s="583">
        <f>IF(GLOBAL_DER_FEV_2023!W1841=0,0,IF(GLOBAL_DER_FEV_2023!W1841&gt;0,"c","b"))</f>
        <v>0</v>
      </c>
    </row>
    <row r="1842" spans="1:25" ht="15" hidden="1" customHeight="1" x14ac:dyDescent="0.2">
      <c r="A1842" s="317" t="s">
        <v>147</v>
      </c>
      <c r="B1842" s="895" t="s">
        <v>147</v>
      </c>
      <c r="C1842" s="896"/>
      <c r="D1842" s="906" t="s">
        <v>233</v>
      </c>
      <c r="E1842" s="907">
        <f>GLOBAL_DER_FEV_2023!E1842</f>
        <v>0.2</v>
      </c>
      <c r="F1842" s="908">
        <f>GLOBAL_DER_FEV_2023!F1842</f>
        <v>0.17430000000000001</v>
      </c>
      <c r="G1842" s="949">
        <f>GLOBAL_DER_FEV_2023!G1842</f>
        <v>0.5044242000000001</v>
      </c>
      <c r="H1842" s="901">
        <f>GLOBAL_DER_FEV_2023!H1842</f>
        <v>0</v>
      </c>
      <c r="I1842" s="901">
        <f>GLOBAL_DER_FEV_2023!I1842</f>
        <v>0</v>
      </c>
      <c r="J1842" s="902">
        <f>GLOBAL_DER_FEV_2023!J1842</f>
        <v>0</v>
      </c>
      <c r="K1842" s="903"/>
      <c r="L1842" s="1177"/>
      <c r="M1842" s="1138">
        <f t="shared" si="137"/>
        <v>0</v>
      </c>
      <c r="N1842" s="1176">
        <f t="shared" si="141"/>
        <v>0</v>
      </c>
      <c r="O1842" s="905"/>
      <c r="P1842" s="36" t="str">
        <f>IF(N1839&gt;0,"xx",IF(N1839&gt;0,"xy",""))</f>
        <v/>
      </c>
      <c r="Q1842" s="317" t="str">
        <f t="shared" si="138"/>
        <v/>
      </c>
      <c r="R1842" s="317" t="str">
        <f t="shared" si="139"/>
        <v/>
      </c>
      <c r="S1842" s="317" t="str">
        <f t="shared" si="140"/>
        <v/>
      </c>
      <c r="T1842" s="317" t="str">
        <f>GLOBAL_DER_FEV_2023!S1842</f>
        <v/>
      </c>
      <c r="W1842" s="582">
        <v>0</v>
      </c>
      <c r="X1842" s="580"/>
      <c r="Y1842" s="583">
        <f>IF(GLOBAL_DER_FEV_2023!W1842=0,0,IF(GLOBAL_DER_FEV_2023!W1842&gt;0,"c","b"))</f>
        <v>0</v>
      </c>
    </row>
    <row r="1843" spans="1:25" ht="15" hidden="1" customHeight="1" x14ac:dyDescent="0.2">
      <c r="A1843" s="317" t="s">
        <v>147</v>
      </c>
      <c r="B1843" s="895" t="s">
        <v>147</v>
      </c>
      <c r="C1843" s="896"/>
      <c r="D1843" s="906" t="s">
        <v>336</v>
      </c>
      <c r="E1843" s="907">
        <f>GLOBAL_DER_FEV_2023!E1843</f>
        <v>40</v>
      </c>
      <c r="F1843" s="908">
        <f>GLOBAL_DER_FEV_2023!F1843</f>
        <v>0.06</v>
      </c>
      <c r="G1843" s="949">
        <f>GLOBAL_DER_FEV_2023!G1843</f>
        <v>1.8653999999999999</v>
      </c>
      <c r="H1843" s="901">
        <f>GLOBAL_DER_FEV_2023!H1843</f>
        <v>0</v>
      </c>
      <c r="I1843" s="901">
        <f>GLOBAL_DER_FEV_2023!I1843</f>
        <v>0</v>
      </c>
      <c r="J1843" s="902">
        <f>GLOBAL_DER_FEV_2023!J1843</f>
        <v>0</v>
      </c>
      <c r="K1843" s="903"/>
      <c r="L1843" s="1177"/>
      <c r="M1843" s="1138">
        <f t="shared" si="137"/>
        <v>0</v>
      </c>
      <c r="N1843" s="1176">
        <f t="shared" si="141"/>
        <v>0</v>
      </c>
      <c r="O1843" s="905"/>
      <c r="P1843" s="36" t="str">
        <f>IF(N1839&gt;0,"xx",IF(N1839&gt;0,"xy",""))</f>
        <v/>
      </c>
      <c r="Q1843" s="317" t="str">
        <f t="shared" si="138"/>
        <v/>
      </c>
      <c r="R1843" s="317" t="str">
        <f t="shared" si="139"/>
        <v/>
      </c>
      <c r="S1843" s="317" t="str">
        <f t="shared" si="140"/>
        <v/>
      </c>
      <c r="T1843" s="317" t="str">
        <f>GLOBAL_DER_FEV_2023!S1843</f>
        <v/>
      </c>
      <c r="W1843" s="582">
        <v>0</v>
      </c>
      <c r="X1843" s="580"/>
      <c r="Y1843" s="583">
        <f>IF(GLOBAL_DER_FEV_2023!W1843=0,0,IF(GLOBAL_DER_FEV_2023!W1843&gt;0,"c","b"))</f>
        <v>0</v>
      </c>
    </row>
    <row r="1844" spans="1:25" ht="15" hidden="1" customHeight="1" x14ac:dyDescent="0.2">
      <c r="A1844" s="317">
        <v>620000</v>
      </c>
      <c r="B1844" s="895" t="s">
        <v>1813</v>
      </c>
      <c r="C1844" s="896" t="s">
        <v>184</v>
      </c>
      <c r="D1844" s="906" t="s">
        <v>522</v>
      </c>
      <c r="E1844" s="907">
        <f>GLOBAL_DER_FEV_2023!E1844</f>
        <v>0</v>
      </c>
      <c r="F1844" s="908">
        <f>GLOBAL_DER_FEV_2023!F1844</f>
        <v>0</v>
      </c>
      <c r="G1844" s="912">
        <f>GLOBAL_DER_FEV_2023!G1844</f>
        <v>53.428395000000002</v>
      </c>
      <c r="H1844" s="901">
        <f>GLOBAL_DER_FEV_2023!H1844</f>
        <v>643.26</v>
      </c>
      <c r="I1844" s="901">
        <f>GLOBAL_DER_FEV_2023!I1844</f>
        <v>696.68839500000001</v>
      </c>
      <c r="J1844" s="902">
        <f>GLOBAL_DER_FEV_2023!J1844</f>
        <v>836.51</v>
      </c>
      <c r="K1844" s="903" t="s">
        <v>15</v>
      </c>
      <c r="L1844" s="1137"/>
      <c r="M1844" s="1138">
        <f t="shared" si="137"/>
        <v>0</v>
      </c>
      <c r="N1844" s="1176">
        <f t="shared" si="141"/>
        <v>0</v>
      </c>
      <c r="O1844" s="905"/>
      <c r="Q1844" s="317" t="str">
        <f t="shared" si="138"/>
        <v/>
      </c>
      <c r="R1844" s="317" t="str">
        <f t="shared" si="139"/>
        <v/>
      </c>
      <c r="S1844" s="317" t="str">
        <f t="shared" si="140"/>
        <v/>
      </c>
      <c r="T1844" s="317" t="str">
        <f>GLOBAL_DER_FEV_2023!S1844</f>
        <v/>
      </c>
      <c r="W1844" s="582">
        <v>0</v>
      </c>
      <c r="X1844" s="580"/>
      <c r="Y1844" s="583">
        <f>IF(GLOBAL_DER_FEV_2023!W1844=0,0,IF(GLOBAL_DER_FEV_2023!W1844&gt;0,"c","b"))</f>
        <v>0</v>
      </c>
    </row>
    <row r="1845" spans="1:25" ht="15" hidden="1" customHeight="1" x14ac:dyDescent="0.2">
      <c r="A1845" s="317" t="s">
        <v>147</v>
      </c>
      <c r="B1845" s="895" t="s">
        <v>147</v>
      </c>
      <c r="C1845" s="896"/>
      <c r="D1845" s="906" t="s">
        <v>190</v>
      </c>
      <c r="E1845" s="907">
        <f>GLOBAL_DER_FEV_2023!E1845</f>
        <v>308</v>
      </c>
      <c r="F1845" s="908">
        <f>GLOBAL_DER_FEV_2023!F1845</f>
        <v>6.3600000000000004E-2</v>
      </c>
      <c r="G1845" s="909">
        <f>GLOBAL_DER_FEV_2023!G1845</f>
        <v>15.776616000000001</v>
      </c>
      <c r="H1845" s="901">
        <f>GLOBAL_DER_FEV_2023!H1845</f>
        <v>0</v>
      </c>
      <c r="I1845" s="901">
        <f>GLOBAL_DER_FEV_2023!I1845</f>
        <v>0</v>
      </c>
      <c r="J1845" s="902">
        <f>GLOBAL_DER_FEV_2023!J1845</f>
        <v>0</v>
      </c>
      <c r="K1845" s="903"/>
      <c r="L1845" s="1177"/>
      <c r="M1845" s="1138">
        <f t="shared" si="137"/>
        <v>0</v>
      </c>
      <c r="N1845" s="1176">
        <f t="shared" si="141"/>
        <v>0</v>
      </c>
      <c r="O1845" s="905"/>
      <c r="P1845" s="36" t="str">
        <f>IF(N1844&gt;0,"xx",IF(N1844&gt;0,"xy",""))</f>
        <v/>
      </c>
      <c r="Q1845" s="317" t="str">
        <f t="shared" si="138"/>
        <v/>
      </c>
      <c r="R1845" s="317" t="str">
        <f t="shared" si="139"/>
        <v/>
      </c>
      <c r="S1845" s="317" t="str">
        <f t="shared" si="140"/>
        <v/>
      </c>
      <c r="T1845" s="317" t="str">
        <f>GLOBAL_DER_FEV_2023!S1845</f>
        <v/>
      </c>
      <c r="W1845" s="582">
        <v>0</v>
      </c>
      <c r="X1845" s="580"/>
      <c r="Y1845" s="583">
        <f>IF(GLOBAL_DER_FEV_2023!W1845=0,0,IF(GLOBAL_DER_FEV_2023!W1845&gt;0,"c","b"))</f>
        <v>0</v>
      </c>
    </row>
    <row r="1846" spans="1:25" ht="15" hidden="1" customHeight="1" x14ac:dyDescent="0.2">
      <c r="A1846" s="317" t="s">
        <v>147</v>
      </c>
      <c r="B1846" s="895" t="s">
        <v>147</v>
      </c>
      <c r="C1846" s="896"/>
      <c r="D1846" s="906" t="s">
        <v>229</v>
      </c>
      <c r="E1846" s="907">
        <f>GLOBAL_DER_FEV_2023!E1846</f>
        <v>150</v>
      </c>
      <c r="F1846" s="908">
        <f>GLOBAL_DER_FEV_2023!F1846</f>
        <v>0.2261</v>
      </c>
      <c r="G1846" s="949">
        <f>GLOBAL_DER_FEV_2023!G1846</f>
        <v>36.894998000000001</v>
      </c>
      <c r="H1846" s="901">
        <f>GLOBAL_DER_FEV_2023!H1846</f>
        <v>0</v>
      </c>
      <c r="I1846" s="901">
        <f>GLOBAL_DER_FEV_2023!I1846</f>
        <v>0</v>
      </c>
      <c r="J1846" s="902">
        <f>GLOBAL_DER_FEV_2023!J1846</f>
        <v>0</v>
      </c>
      <c r="K1846" s="903"/>
      <c r="L1846" s="1177"/>
      <c r="M1846" s="1138">
        <f t="shared" si="137"/>
        <v>0</v>
      </c>
      <c r="N1846" s="1176">
        <f t="shared" si="141"/>
        <v>0</v>
      </c>
      <c r="O1846" s="905"/>
      <c r="P1846" s="36" t="str">
        <f>IF(N1844&gt;0,"xx",IF(N1844&gt;0,"xy",""))</f>
        <v/>
      </c>
      <c r="Q1846" s="317" t="str">
        <f t="shared" si="138"/>
        <v/>
      </c>
      <c r="R1846" s="317" t="str">
        <f t="shared" si="139"/>
        <v/>
      </c>
      <c r="S1846" s="317" t="str">
        <f t="shared" si="140"/>
        <v/>
      </c>
      <c r="T1846" s="317" t="str">
        <f>GLOBAL_DER_FEV_2023!S1846</f>
        <v/>
      </c>
      <c r="W1846" s="582">
        <v>0</v>
      </c>
      <c r="X1846" s="580"/>
      <c r="Y1846" s="583">
        <f>IF(GLOBAL_DER_FEV_2023!W1846=0,0,IF(GLOBAL_DER_FEV_2023!W1846&gt;0,"c","b"))</f>
        <v>0</v>
      </c>
    </row>
    <row r="1847" spans="1:25" ht="15" hidden="1" customHeight="1" x14ac:dyDescent="0.2">
      <c r="A1847" s="317" t="s">
        <v>147</v>
      </c>
      <c r="B1847" s="895" t="s">
        <v>147</v>
      </c>
      <c r="C1847" s="896"/>
      <c r="D1847" s="906" t="s">
        <v>233</v>
      </c>
      <c r="E1847" s="907">
        <f>GLOBAL_DER_FEV_2023!E1847</f>
        <v>0.2</v>
      </c>
      <c r="F1847" s="908">
        <f>GLOBAL_DER_FEV_2023!F1847</f>
        <v>0.26150000000000001</v>
      </c>
      <c r="G1847" s="949">
        <f>GLOBAL_DER_FEV_2023!G1847</f>
        <v>0.75678100000000004</v>
      </c>
      <c r="H1847" s="901">
        <f>GLOBAL_DER_FEV_2023!H1847</f>
        <v>0</v>
      </c>
      <c r="I1847" s="901">
        <f>GLOBAL_DER_FEV_2023!I1847</f>
        <v>0</v>
      </c>
      <c r="J1847" s="902">
        <f>GLOBAL_DER_FEV_2023!J1847</f>
        <v>0</v>
      </c>
      <c r="K1847" s="903"/>
      <c r="L1847" s="1177"/>
      <c r="M1847" s="1138">
        <f t="shared" si="137"/>
        <v>0</v>
      </c>
      <c r="N1847" s="1176">
        <f t="shared" si="141"/>
        <v>0</v>
      </c>
      <c r="O1847" s="905"/>
      <c r="P1847" s="36" t="str">
        <f>IF(N1844&gt;0,"xx",IF(N1844&gt;0,"xy",""))</f>
        <v/>
      </c>
      <c r="Q1847" s="317" t="str">
        <f t="shared" si="138"/>
        <v/>
      </c>
      <c r="R1847" s="317" t="str">
        <f t="shared" si="139"/>
        <v/>
      </c>
      <c r="S1847" s="317" t="str">
        <f t="shared" si="140"/>
        <v/>
      </c>
      <c r="T1847" s="317" t="str">
        <f>GLOBAL_DER_FEV_2023!S1847</f>
        <v/>
      </c>
      <c r="W1847" s="582">
        <v>0</v>
      </c>
      <c r="X1847" s="580"/>
      <c r="Y1847" s="583">
        <f>IF(GLOBAL_DER_FEV_2023!W1847=0,0,IF(GLOBAL_DER_FEV_2023!W1847&gt;0,"c","b"))</f>
        <v>0</v>
      </c>
    </row>
    <row r="1848" spans="1:25" ht="15" hidden="1" customHeight="1" x14ac:dyDescent="0.2">
      <c r="A1848" s="317">
        <v>620000</v>
      </c>
      <c r="B1848" s="895" t="s">
        <v>1814</v>
      </c>
      <c r="C1848" s="896" t="s">
        <v>184</v>
      </c>
      <c r="D1848" s="906" t="s">
        <v>343</v>
      </c>
      <c r="E1848" s="907">
        <f>GLOBAL_DER_FEV_2023!E1848</f>
        <v>0</v>
      </c>
      <c r="F1848" s="908">
        <f>GLOBAL_DER_FEV_2023!F1848</f>
        <v>0</v>
      </c>
      <c r="G1848" s="912">
        <f>GLOBAL_DER_FEV_2023!G1848</f>
        <v>97.780856400000005</v>
      </c>
      <c r="H1848" s="901">
        <f>GLOBAL_DER_FEV_2023!H1848</f>
        <v>643.26</v>
      </c>
      <c r="I1848" s="901">
        <f>GLOBAL_DER_FEV_2023!I1848</f>
        <v>741.04085639999994</v>
      </c>
      <c r="J1848" s="902">
        <f>GLOBAL_DER_FEV_2023!J1848</f>
        <v>889.77</v>
      </c>
      <c r="K1848" s="903" t="s">
        <v>15</v>
      </c>
      <c r="L1848" s="1137"/>
      <c r="M1848" s="1138">
        <f t="shared" si="137"/>
        <v>0</v>
      </c>
      <c r="N1848" s="1176">
        <f t="shared" si="141"/>
        <v>0</v>
      </c>
      <c r="O1848" s="905"/>
      <c r="Q1848" s="317" t="str">
        <f t="shared" si="138"/>
        <v/>
      </c>
      <c r="R1848" s="317" t="str">
        <f t="shared" si="139"/>
        <v/>
      </c>
      <c r="S1848" s="317" t="str">
        <f t="shared" si="140"/>
        <v/>
      </c>
      <c r="T1848" s="317" t="str">
        <f>GLOBAL_DER_FEV_2023!S1848</f>
        <v/>
      </c>
      <c r="W1848" s="582">
        <v>0</v>
      </c>
      <c r="X1848" s="580"/>
      <c r="Y1848" s="583">
        <f>IF(GLOBAL_DER_FEV_2023!W1848=0,0,IF(GLOBAL_DER_FEV_2023!W1848&gt;0,"c","b"))</f>
        <v>0</v>
      </c>
    </row>
    <row r="1849" spans="1:25" ht="15" hidden="1" customHeight="1" x14ac:dyDescent="0.2">
      <c r="A1849" s="317" t="s">
        <v>147</v>
      </c>
      <c r="B1849" s="895" t="s">
        <v>147</v>
      </c>
      <c r="C1849" s="896"/>
      <c r="D1849" s="906" t="s">
        <v>190</v>
      </c>
      <c r="E1849" s="907">
        <f>GLOBAL_DER_FEV_2023!E1849</f>
        <v>308</v>
      </c>
      <c r="F1849" s="908">
        <f>GLOBAL_DER_FEV_2023!F1849</f>
        <v>0.1154</v>
      </c>
      <c r="G1849" s="909">
        <f>GLOBAL_DER_FEV_2023!G1849</f>
        <v>28.626124000000001</v>
      </c>
      <c r="H1849" s="901">
        <f>GLOBAL_DER_FEV_2023!H1849</f>
        <v>0</v>
      </c>
      <c r="I1849" s="901">
        <f>GLOBAL_DER_FEV_2023!I1849</f>
        <v>0</v>
      </c>
      <c r="J1849" s="902">
        <f>GLOBAL_DER_FEV_2023!J1849</f>
        <v>0</v>
      </c>
      <c r="K1849" s="903"/>
      <c r="L1849" s="1177"/>
      <c r="M1849" s="1138">
        <f t="shared" si="137"/>
        <v>0</v>
      </c>
      <c r="N1849" s="1176">
        <f t="shared" si="141"/>
        <v>0</v>
      </c>
      <c r="O1849" s="905"/>
      <c r="P1849" s="36" t="str">
        <f>IF(N1848&gt;0,"xx",IF(N1848&gt;0,"xy",""))</f>
        <v/>
      </c>
      <c r="Q1849" s="317" t="str">
        <f t="shared" si="138"/>
        <v/>
      </c>
      <c r="R1849" s="317" t="str">
        <f t="shared" si="139"/>
        <v/>
      </c>
      <c r="S1849" s="317" t="str">
        <f t="shared" si="140"/>
        <v/>
      </c>
      <c r="T1849" s="317" t="str">
        <f>GLOBAL_DER_FEV_2023!S1849</f>
        <v/>
      </c>
      <c r="W1849" s="582">
        <v>0</v>
      </c>
      <c r="X1849" s="580"/>
      <c r="Y1849" s="583">
        <f>IF(GLOBAL_DER_FEV_2023!W1849=0,0,IF(GLOBAL_DER_FEV_2023!W1849&gt;0,"c","b"))</f>
        <v>0</v>
      </c>
    </row>
    <row r="1850" spans="1:25" ht="15" hidden="1" customHeight="1" x14ac:dyDescent="0.2">
      <c r="A1850" s="317" t="s">
        <v>147</v>
      </c>
      <c r="B1850" s="895" t="s">
        <v>147</v>
      </c>
      <c r="C1850" s="896"/>
      <c r="D1850" s="906" t="s">
        <v>229</v>
      </c>
      <c r="E1850" s="907">
        <f>GLOBAL_DER_FEV_2023!E1850</f>
        <v>150</v>
      </c>
      <c r="F1850" s="908">
        <f>GLOBAL_DER_FEV_2023!F1850</f>
        <v>0.41049999999999998</v>
      </c>
      <c r="G1850" s="949">
        <f>GLOBAL_DER_FEV_2023!G1850</f>
        <v>66.985389999999995</v>
      </c>
      <c r="H1850" s="901">
        <f>GLOBAL_DER_FEV_2023!H1850</f>
        <v>0</v>
      </c>
      <c r="I1850" s="901">
        <f>GLOBAL_DER_FEV_2023!I1850</f>
        <v>0</v>
      </c>
      <c r="J1850" s="902">
        <f>GLOBAL_DER_FEV_2023!J1850</f>
        <v>0</v>
      </c>
      <c r="K1850" s="903"/>
      <c r="L1850" s="1177"/>
      <c r="M1850" s="1138">
        <f t="shared" si="137"/>
        <v>0</v>
      </c>
      <c r="N1850" s="1176">
        <f t="shared" si="141"/>
        <v>0</v>
      </c>
      <c r="O1850" s="905"/>
      <c r="P1850" s="36" t="str">
        <f>IF(N1848&gt;0,"xx",IF(N1848&gt;0,"xy",""))</f>
        <v/>
      </c>
      <c r="Q1850" s="317" t="str">
        <f t="shared" si="138"/>
        <v/>
      </c>
      <c r="R1850" s="317" t="str">
        <f t="shared" si="139"/>
        <v/>
      </c>
      <c r="S1850" s="317" t="str">
        <f t="shared" si="140"/>
        <v/>
      </c>
      <c r="T1850" s="317" t="str">
        <f>GLOBAL_DER_FEV_2023!S1850</f>
        <v/>
      </c>
      <c r="W1850" s="582">
        <v>0</v>
      </c>
      <c r="X1850" s="580"/>
      <c r="Y1850" s="583">
        <f>IF(GLOBAL_DER_FEV_2023!W1850=0,0,IF(GLOBAL_DER_FEV_2023!W1850&gt;0,"c","b"))</f>
        <v>0</v>
      </c>
    </row>
    <row r="1851" spans="1:25" ht="15" hidden="1" customHeight="1" x14ac:dyDescent="0.2">
      <c r="A1851" s="317" t="s">
        <v>147</v>
      </c>
      <c r="B1851" s="895" t="s">
        <v>147</v>
      </c>
      <c r="C1851" s="896"/>
      <c r="D1851" s="906" t="s">
        <v>233</v>
      </c>
      <c r="E1851" s="907">
        <f>GLOBAL_DER_FEV_2023!E1851</f>
        <v>0.2</v>
      </c>
      <c r="F1851" s="908">
        <f>GLOBAL_DER_FEV_2023!F1851</f>
        <v>0.74960000000000004</v>
      </c>
      <c r="G1851" s="949">
        <f>GLOBAL_DER_FEV_2023!G1851</f>
        <v>2.1693424000000001</v>
      </c>
      <c r="H1851" s="901">
        <f>GLOBAL_DER_FEV_2023!H1851</f>
        <v>0</v>
      </c>
      <c r="I1851" s="901">
        <f>GLOBAL_DER_FEV_2023!I1851</f>
        <v>0</v>
      </c>
      <c r="J1851" s="902">
        <f>GLOBAL_DER_FEV_2023!J1851</f>
        <v>0</v>
      </c>
      <c r="K1851" s="903"/>
      <c r="L1851" s="1177"/>
      <c r="M1851" s="1138">
        <f t="shared" si="137"/>
        <v>0</v>
      </c>
      <c r="N1851" s="1176">
        <f t="shared" si="141"/>
        <v>0</v>
      </c>
      <c r="O1851" s="905"/>
      <c r="P1851" s="36" t="str">
        <f>IF(N1848&gt;0,"xx",IF(N1848&gt;0,"xy",""))</f>
        <v/>
      </c>
      <c r="Q1851" s="317" t="str">
        <f t="shared" si="138"/>
        <v/>
      </c>
      <c r="R1851" s="317" t="str">
        <f t="shared" si="139"/>
        <v/>
      </c>
      <c r="S1851" s="317" t="str">
        <f t="shared" si="140"/>
        <v/>
      </c>
      <c r="T1851" s="317" t="str">
        <f>GLOBAL_DER_FEV_2023!S1851</f>
        <v/>
      </c>
      <c r="W1851" s="582">
        <v>0</v>
      </c>
      <c r="X1851" s="580"/>
      <c r="Y1851" s="583">
        <f>IF(GLOBAL_DER_FEV_2023!W1851=0,0,IF(GLOBAL_DER_FEV_2023!W1851&gt;0,"c","b"))</f>
        <v>0</v>
      </c>
    </row>
    <row r="1852" spans="1:25" ht="15" hidden="1" customHeight="1" x14ac:dyDescent="0.2">
      <c r="A1852" s="317">
        <v>620000</v>
      </c>
      <c r="B1852" s="895" t="s">
        <v>1815</v>
      </c>
      <c r="C1852" s="896" t="s">
        <v>184</v>
      </c>
      <c r="D1852" s="906" t="s">
        <v>523</v>
      </c>
      <c r="E1852" s="907">
        <f>GLOBAL_DER_FEV_2023!E1852</f>
        <v>0</v>
      </c>
      <c r="F1852" s="908">
        <f>GLOBAL_DER_FEV_2023!F1852</f>
        <v>0</v>
      </c>
      <c r="G1852" s="912">
        <f>GLOBAL_DER_FEV_2023!G1852</f>
        <v>132.68094340000002</v>
      </c>
      <c r="H1852" s="901">
        <f>GLOBAL_DER_FEV_2023!H1852</f>
        <v>643.26</v>
      </c>
      <c r="I1852" s="901">
        <f>GLOBAL_DER_FEV_2023!I1852</f>
        <v>775.94094340000004</v>
      </c>
      <c r="J1852" s="902">
        <f>GLOBAL_DER_FEV_2023!J1852</f>
        <v>931.67</v>
      </c>
      <c r="K1852" s="903" t="s">
        <v>15</v>
      </c>
      <c r="L1852" s="1137"/>
      <c r="M1852" s="1138">
        <f t="shared" si="137"/>
        <v>0</v>
      </c>
      <c r="N1852" s="1176">
        <f t="shared" si="141"/>
        <v>0</v>
      </c>
      <c r="O1852" s="905"/>
      <c r="Q1852" s="317" t="str">
        <f t="shared" si="138"/>
        <v/>
      </c>
      <c r="R1852" s="317" t="str">
        <f t="shared" si="139"/>
        <v/>
      </c>
      <c r="S1852" s="317" t="str">
        <f t="shared" si="140"/>
        <v/>
      </c>
      <c r="T1852" s="317" t="str">
        <f>GLOBAL_DER_FEV_2023!S1852</f>
        <v/>
      </c>
      <c r="W1852" s="582">
        <v>0</v>
      </c>
      <c r="X1852" s="580"/>
      <c r="Y1852" s="583">
        <f>IF(GLOBAL_DER_FEV_2023!W1852=0,0,IF(GLOBAL_DER_FEV_2023!W1852&gt;0,"c","b"))</f>
        <v>0</v>
      </c>
    </row>
    <row r="1853" spans="1:25" ht="15" hidden="1" customHeight="1" x14ac:dyDescent="0.2">
      <c r="A1853" s="317" t="s">
        <v>147</v>
      </c>
      <c r="B1853" s="895" t="s">
        <v>147</v>
      </c>
      <c r="C1853" s="896"/>
      <c r="D1853" s="906" t="s">
        <v>190</v>
      </c>
      <c r="E1853" s="907">
        <f>GLOBAL_DER_FEV_2023!E1853</f>
        <v>308</v>
      </c>
      <c r="F1853" s="908">
        <f>GLOBAL_DER_FEV_2023!F1853</f>
        <v>0.15659999999999999</v>
      </c>
      <c r="G1853" s="909">
        <f>GLOBAL_DER_FEV_2023!G1853</f>
        <v>38.846195999999999</v>
      </c>
      <c r="H1853" s="901">
        <f>GLOBAL_DER_FEV_2023!H1853</f>
        <v>0</v>
      </c>
      <c r="I1853" s="901">
        <f>GLOBAL_DER_FEV_2023!I1853</f>
        <v>0</v>
      </c>
      <c r="J1853" s="902">
        <f>GLOBAL_DER_FEV_2023!J1853</f>
        <v>0</v>
      </c>
      <c r="K1853" s="903"/>
      <c r="L1853" s="1177"/>
      <c r="M1853" s="1138">
        <f t="shared" si="137"/>
        <v>0</v>
      </c>
      <c r="N1853" s="1176">
        <f t="shared" si="141"/>
        <v>0</v>
      </c>
      <c r="O1853" s="905"/>
      <c r="P1853" s="36" t="str">
        <f>IF(N1852&gt;0,"xx",IF(N1852&gt;0,"xy",""))</f>
        <v/>
      </c>
      <c r="Q1853" s="317" t="str">
        <f t="shared" si="138"/>
        <v/>
      </c>
      <c r="R1853" s="317" t="str">
        <f t="shared" si="139"/>
        <v/>
      </c>
      <c r="S1853" s="317" t="str">
        <f t="shared" si="140"/>
        <v/>
      </c>
      <c r="T1853" s="317" t="str">
        <f>GLOBAL_DER_FEV_2023!S1853</f>
        <v/>
      </c>
      <c r="W1853" s="582">
        <v>0</v>
      </c>
      <c r="X1853" s="580"/>
      <c r="Y1853" s="583">
        <f>IF(GLOBAL_DER_FEV_2023!W1853=0,0,IF(GLOBAL_DER_FEV_2023!W1853&gt;0,"c","b"))</f>
        <v>0</v>
      </c>
    </row>
    <row r="1854" spans="1:25" ht="15" hidden="1" customHeight="1" x14ac:dyDescent="0.2">
      <c r="A1854" s="317" t="s">
        <v>147</v>
      </c>
      <c r="B1854" s="895" t="s">
        <v>147</v>
      </c>
      <c r="C1854" s="896"/>
      <c r="D1854" s="906" t="s">
        <v>229</v>
      </c>
      <c r="E1854" s="907">
        <f>GLOBAL_DER_FEV_2023!E1854</f>
        <v>150</v>
      </c>
      <c r="F1854" s="908">
        <f>GLOBAL_DER_FEV_2023!F1854</f>
        <v>0.55700000000000005</v>
      </c>
      <c r="G1854" s="949">
        <f>GLOBAL_DER_FEV_2023!G1854</f>
        <v>90.891260000000017</v>
      </c>
      <c r="H1854" s="901">
        <f>GLOBAL_DER_FEV_2023!H1854</f>
        <v>0</v>
      </c>
      <c r="I1854" s="901">
        <f>GLOBAL_DER_FEV_2023!I1854</f>
        <v>0</v>
      </c>
      <c r="J1854" s="902">
        <f>GLOBAL_DER_FEV_2023!J1854</f>
        <v>0</v>
      </c>
      <c r="K1854" s="903"/>
      <c r="L1854" s="1177"/>
      <c r="M1854" s="1138">
        <f t="shared" si="137"/>
        <v>0</v>
      </c>
      <c r="N1854" s="1176">
        <f t="shared" si="141"/>
        <v>0</v>
      </c>
      <c r="O1854" s="905"/>
      <c r="P1854" s="36" t="str">
        <f>IF(N1852&gt;0,"xx",IF(N1852&gt;0,"xy",""))</f>
        <v/>
      </c>
      <c r="Q1854" s="317" t="str">
        <f t="shared" si="138"/>
        <v/>
      </c>
      <c r="R1854" s="317" t="str">
        <f t="shared" si="139"/>
        <v/>
      </c>
      <c r="S1854" s="317" t="str">
        <f t="shared" si="140"/>
        <v/>
      </c>
      <c r="T1854" s="317" t="str">
        <f>GLOBAL_DER_FEV_2023!S1854</f>
        <v/>
      </c>
      <c r="W1854" s="582">
        <v>0</v>
      </c>
      <c r="X1854" s="580"/>
      <c r="Y1854" s="583">
        <f>IF(GLOBAL_DER_FEV_2023!W1854=0,0,IF(GLOBAL_DER_FEV_2023!W1854&gt;0,"c","b"))</f>
        <v>0</v>
      </c>
    </row>
    <row r="1855" spans="1:25" ht="15" hidden="1" customHeight="1" x14ac:dyDescent="0.2">
      <c r="A1855" s="317" t="s">
        <v>147</v>
      </c>
      <c r="B1855" s="895" t="s">
        <v>147</v>
      </c>
      <c r="C1855" s="896"/>
      <c r="D1855" s="906" t="s">
        <v>233</v>
      </c>
      <c r="E1855" s="907">
        <f>GLOBAL_DER_FEV_2023!E1855</f>
        <v>0.2</v>
      </c>
      <c r="F1855" s="908">
        <f>GLOBAL_DER_FEV_2023!F1855</f>
        <v>1.0170999999999999</v>
      </c>
      <c r="G1855" s="949">
        <f>GLOBAL_DER_FEV_2023!G1855</f>
        <v>2.9434874</v>
      </c>
      <c r="H1855" s="901">
        <f>GLOBAL_DER_FEV_2023!H1855</f>
        <v>0</v>
      </c>
      <c r="I1855" s="901">
        <f>GLOBAL_DER_FEV_2023!I1855</f>
        <v>0</v>
      </c>
      <c r="J1855" s="902">
        <f>GLOBAL_DER_FEV_2023!J1855</f>
        <v>0</v>
      </c>
      <c r="K1855" s="903"/>
      <c r="L1855" s="1177"/>
      <c r="M1855" s="1138">
        <f t="shared" si="137"/>
        <v>0</v>
      </c>
      <c r="N1855" s="1176">
        <f t="shared" si="141"/>
        <v>0</v>
      </c>
      <c r="O1855" s="905"/>
      <c r="P1855" s="36" t="str">
        <f>IF(N1852&gt;0,"xx",IF(N1852&gt;0,"xy",""))</f>
        <v/>
      </c>
      <c r="Q1855" s="317" t="str">
        <f t="shared" si="138"/>
        <v/>
      </c>
      <c r="R1855" s="317" t="str">
        <f t="shared" si="139"/>
        <v/>
      </c>
      <c r="S1855" s="317" t="str">
        <f t="shared" si="140"/>
        <v/>
      </c>
      <c r="T1855" s="317" t="str">
        <f>GLOBAL_DER_FEV_2023!S1855</f>
        <v/>
      </c>
      <c r="W1855" s="582">
        <v>0</v>
      </c>
      <c r="X1855" s="580"/>
      <c r="Y1855" s="583">
        <f>IF(GLOBAL_DER_FEV_2023!W1855=0,0,IF(GLOBAL_DER_FEV_2023!W1855&gt;0,"c","b"))</f>
        <v>0</v>
      </c>
    </row>
    <row r="1856" spans="1:25" ht="15" hidden="1" customHeight="1" x14ac:dyDescent="0.2">
      <c r="A1856" s="317">
        <v>620100</v>
      </c>
      <c r="B1856" s="895" t="s">
        <v>1816</v>
      </c>
      <c r="C1856" s="896" t="s">
        <v>184</v>
      </c>
      <c r="D1856" s="906" t="s">
        <v>344</v>
      </c>
      <c r="E1856" s="907">
        <f>GLOBAL_DER_FEV_2023!E1856</f>
        <v>0</v>
      </c>
      <c r="F1856" s="908">
        <f>GLOBAL_DER_FEV_2023!F1856</f>
        <v>0</v>
      </c>
      <c r="G1856" s="912">
        <f>GLOBAL_DER_FEV_2023!G1856</f>
        <v>167.58103040000003</v>
      </c>
      <c r="H1856" s="901">
        <f>GLOBAL_DER_FEV_2023!H1856</f>
        <v>954.15</v>
      </c>
      <c r="I1856" s="901">
        <f>GLOBAL_DER_FEV_2023!I1856</f>
        <v>1121.7310304</v>
      </c>
      <c r="J1856" s="902">
        <f>GLOBAL_DER_FEV_2023!J1856</f>
        <v>1346.86</v>
      </c>
      <c r="K1856" s="903" t="s">
        <v>15</v>
      </c>
      <c r="L1856" s="1137"/>
      <c r="M1856" s="1138">
        <f t="shared" si="137"/>
        <v>0</v>
      </c>
      <c r="N1856" s="1176">
        <f t="shared" si="141"/>
        <v>0</v>
      </c>
      <c r="O1856" s="905"/>
      <c r="Q1856" s="317" t="str">
        <f t="shared" si="138"/>
        <v/>
      </c>
      <c r="R1856" s="317" t="str">
        <f t="shared" si="139"/>
        <v/>
      </c>
      <c r="S1856" s="317" t="str">
        <f t="shared" si="140"/>
        <v/>
      </c>
      <c r="T1856" s="317" t="str">
        <f>GLOBAL_DER_FEV_2023!S1856</f>
        <v/>
      </c>
      <c r="W1856" s="582">
        <v>0</v>
      </c>
      <c r="X1856" s="580"/>
      <c r="Y1856" s="583">
        <f>IF(GLOBAL_DER_FEV_2023!W1856=0,0,IF(GLOBAL_DER_FEV_2023!W1856&gt;0,"c","b"))</f>
        <v>0</v>
      </c>
    </row>
    <row r="1857" spans="1:25" ht="15" hidden="1" customHeight="1" x14ac:dyDescent="0.2">
      <c r="A1857" s="317" t="s">
        <v>147</v>
      </c>
      <c r="B1857" s="895" t="s">
        <v>147</v>
      </c>
      <c r="C1857" s="896"/>
      <c r="D1857" s="906" t="s">
        <v>190</v>
      </c>
      <c r="E1857" s="907">
        <f>GLOBAL_DER_FEV_2023!E1857</f>
        <v>308</v>
      </c>
      <c r="F1857" s="908">
        <f>GLOBAL_DER_FEV_2023!F1857</f>
        <v>0.1978</v>
      </c>
      <c r="G1857" s="909">
        <f>GLOBAL_DER_FEV_2023!G1857</f>
        <v>49.066268000000001</v>
      </c>
      <c r="H1857" s="901">
        <f>GLOBAL_DER_FEV_2023!H1857</f>
        <v>0</v>
      </c>
      <c r="I1857" s="901">
        <f>GLOBAL_DER_FEV_2023!I1857</f>
        <v>0</v>
      </c>
      <c r="J1857" s="902">
        <f>GLOBAL_DER_FEV_2023!J1857</f>
        <v>0</v>
      </c>
      <c r="K1857" s="903"/>
      <c r="L1857" s="1177"/>
      <c r="M1857" s="1138">
        <f t="shared" si="137"/>
        <v>0</v>
      </c>
      <c r="N1857" s="1176">
        <f t="shared" si="141"/>
        <v>0</v>
      </c>
      <c r="O1857" s="905"/>
      <c r="P1857" s="36" t="str">
        <f>IF(N1856&gt;0,"xx",IF(N1856&gt;0,"xy",""))</f>
        <v/>
      </c>
      <c r="Q1857" s="317" t="str">
        <f t="shared" si="138"/>
        <v/>
      </c>
      <c r="R1857" s="317" t="str">
        <f t="shared" si="139"/>
        <v/>
      </c>
      <c r="S1857" s="317" t="str">
        <f t="shared" si="140"/>
        <v/>
      </c>
      <c r="T1857" s="317" t="str">
        <f>GLOBAL_DER_FEV_2023!S1857</f>
        <v/>
      </c>
      <c r="W1857" s="582">
        <v>0</v>
      </c>
      <c r="X1857" s="580"/>
      <c r="Y1857" s="583">
        <f>IF(GLOBAL_DER_FEV_2023!W1857=0,0,IF(GLOBAL_DER_FEV_2023!W1857&gt;0,"c","b"))</f>
        <v>0</v>
      </c>
    </row>
    <row r="1858" spans="1:25" ht="15" hidden="1" customHeight="1" x14ac:dyDescent="0.2">
      <c r="A1858" s="317" t="s">
        <v>147</v>
      </c>
      <c r="B1858" s="895" t="s">
        <v>147</v>
      </c>
      <c r="C1858" s="896"/>
      <c r="D1858" s="906" t="s">
        <v>229</v>
      </c>
      <c r="E1858" s="907">
        <f>GLOBAL_DER_FEV_2023!E1858</f>
        <v>150</v>
      </c>
      <c r="F1858" s="908">
        <f>GLOBAL_DER_FEV_2023!F1858</f>
        <v>0.70350000000000001</v>
      </c>
      <c r="G1858" s="949">
        <f>GLOBAL_DER_FEV_2023!G1858</f>
        <v>114.79713000000001</v>
      </c>
      <c r="H1858" s="901">
        <f>GLOBAL_DER_FEV_2023!H1858</f>
        <v>0</v>
      </c>
      <c r="I1858" s="901">
        <f>GLOBAL_DER_FEV_2023!I1858</f>
        <v>0</v>
      </c>
      <c r="J1858" s="902">
        <f>GLOBAL_DER_FEV_2023!J1858</f>
        <v>0</v>
      </c>
      <c r="K1858" s="903"/>
      <c r="L1858" s="1177"/>
      <c r="M1858" s="1138">
        <f t="shared" si="137"/>
        <v>0</v>
      </c>
      <c r="N1858" s="1176">
        <f t="shared" si="141"/>
        <v>0</v>
      </c>
      <c r="O1858" s="905"/>
      <c r="P1858" s="36" t="str">
        <f>IF(N1856&gt;0,"xx",IF(N1856&gt;0,"xy",""))</f>
        <v/>
      </c>
      <c r="Q1858" s="317" t="str">
        <f t="shared" si="138"/>
        <v/>
      </c>
      <c r="R1858" s="317" t="str">
        <f t="shared" si="139"/>
        <v/>
      </c>
      <c r="S1858" s="317" t="str">
        <f t="shared" si="140"/>
        <v/>
      </c>
      <c r="T1858" s="317" t="str">
        <f>GLOBAL_DER_FEV_2023!S1858</f>
        <v/>
      </c>
      <c r="W1858" s="582">
        <v>0</v>
      </c>
      <c r="X1858" s="580"/>
      <c r="Y1858" s="583">
        <f>IF(GLOBAL_DER_FEV_2023!W1858=0,0,IF(GLOBAL_DER_FEV_2023!W1858&gt;0,"c","b"))</f>
        <v>0</v>
      </c>
    </row>
    <row r="1859" spans="1:25" ht="15" hidden="1" customHeight="1" x14ac:dyDescent="0.2">
      <c r="A1859" s="317" t="s">
        <v>147</v>
      </c>
      <c r="B1859" s="895" t="s">
        <v>147</v>
      </c>
      <c r="C1859" s="896"/>
      <c r="D1859" s="906" t="s">
        <v>233</v>
      </c>
      <c r="E1859" s="907">
        <f>GLOBAL_DER_FEV_2023!E1859</f>
        <v>0.2</v>
      </c>
      <c r="F1859" s="908">
        <f>GLOBAL_DER_FEV_2023!F1859</f>
        <v>1.2846</v>
      </c>
      <c r="G1859" s="949">
        <f>GLOBAL_DER_FEV_2023!G1859</f>
        <v>3.7176324000000003</v>
      </c>
      <c r="H1859" s="901">
        <f>GLOBAL_DER_FEV_2023!H1859</f>
        <v>0</v>
      </c>
      <c r="I1859" s="901">
        <f>GLOBAL_DER_FEV_2023!I1859</f>
        <v>0</v>
      </c>
      <c r="J1859" s="902">
        <f>GLOBAL_DER_FEV_2023!J1859</f>
        <v>0</v>
      </c>
      <c r="K1859" s="903"/>
      <c r="L1859" s="1177"/>
      <c r="M1859" s="1138">
        <f t="shared" si="137"/>
        <v>0</v>
      </c>
      <c r="N1859" s="1176">
        <f t="shared" si="141"/>
        <v>0</v>
      </c>
      <c r="O1859" s="905"/>
      <c r="P1859" s="36" t="str">
        <f>IF(N1856&gt;0,"xx",IF(N1856&gt;0,"xy",""))</f>
        <v/>
      </c>
      <c r="Q1859" s="317" t="str">
        <f t="shared" si="138"/>
        <v/>
      </c>
      <c r="R1859" s="317" t="str">
        <f t="shared" si="139"/>
        <v/>
      </c>
      <c r="S1859" s="317" t="str">
        <f t="shared" si="140"/>
        <v/>
      </c>
      <c r="T1859" s="317" t="str">
        <f>GLOBAL_DER_FEV_2023!S1859</f>
        <v/>
      </c>
      <c r="W1859" s="582">
        <v>0</v>
      </c>
      <c r="X1859" s="580"/>
      <c r="Y1859" s="583">
        <f>IF(GLOBAL_DER_FEV_2023!W1859=0,0,IF(GLOBAL_DER_FEV_2023!W1859&gt;0,"c","b"))</f>
        <v>0</v>
      </c>
    </row>
    <row r="1860" spans="1:25" ht="15" hidden="1" customHeight="1" x14ac:dyDescent="0.2">
      <c r="A1860" s="317">
        <v>620100</v>
      </c>
      <c r="B1860" s="895" t="s">
        <v>1817</v>
      </c>
      <c r="C1860" s="896" t="s">
        <v>184</v>
      </c>
      <c r="D1860" s="906" t="s">
        <v>524</v>
      </c>
      <c r="E1860" s="907">
        <f>GLOBAL_DER_FEV_2023!E1860</f>
        <v>0</v>
      </c>
      <c r="F1860" s="908">
        <f>GLOBAL_DER_FEV_2023!F1860</f>
        <v>0</v>
      </c>
      <c r="G1860" s="912">
        <f>GLOBAL_DER_FEV_2023!G1860</f>
        <v>202.41826639999999</v>
      </c>
      <c r="H1860" s="901">
        <f>GLOBAL_DER_FEV_2023!H1860</f>
        <v>954.15</v>
      </c>
      <c r="I1860" s="901">
        <f>GLOBAL_DER_FEV_2023!I1860</f>
        <v>1156.5682664000001</v>
      </c>
      <c r="J1860" s="902">
        <f>GLOBAL_DER_FEV_2023!J1860</f>
        <v>1388.69</v>
      </c>
      <c r="K1860" s="903" t="s">
        <v>15</v>
      </c>
      <c r="L1860" s="1137"/>
      <c r="M1860" s="1138">
        <f t="shared" si="137"/>
        <v>0</v>
      </c>
      <c r="N1860" s="1176">
        <f t="shared" si="141"/>
        <v>0</v>
      </c>
      <c r="O1860" s="905"/>
      <c r="Q1860" s="317" t="str">
        <f t="shared" si="138"/>
        <v/>
      </c>
      <c r="R1860" s="317" t="str">
        <f t="shared" si="139"/>
        <v/>
      </c>
      <c r="S1860" s="317" t="str">
        <f t="shared" si="140"/>
        <v/>
      </c>
      <c r="T1860" s="317" t="str">
        <f>GLOBAL_DER_FEV_2023!S1860</f>
        <v/>
      </c>
      <c r="W1860" s="582">
        <v>0</v>
      </c>
      <c r="X1860" s="580"/>
      <c r="Y1860" s="583">
        <f>IF(GLOBAL_DER_FEV_2023!W1860=0,0,IF(GLOBAL_DER_FEV_2023!W1860&gt;0,"c","b"))</f>
        <v>0</v>
      </c>
    </row>
    <row r="1861" spans="1:25" ht="15" hidden="1" customHeight="1" x14ac:dyDescent="0.2">
      <c r="A1861" s="317" t="s">
        <v>147</v>
      </c>
      <c r="B1861" s="895" t="s">
        <v>147</v>
      </c>
      <c r="C1861" s="896"/>
      <c r="D1861" s="906" t="s">
        <v>190</v>
      </c>
      <c r="E1861" s="907">
        <f>GLOBAL_DER_FEV_2023!E1861</f>
        <v>308</v>
      </c>
      <c r="F1861" s="908">
        <f>GLOBAL_DER_FEV_2023!F1861</f>
        <v>0.2424</v>
      </c>
      <c r="G1861" s="909">
        <f>GLOBAL_DER_FEV_2023!G1861</f>
        <v>60.129744000000002</v>
      </c>
      <c r="H1861" s="901">
        <f>GLOBAL_DER_FEV_2023!H1861</f>
        <v>0</v>
      </c>
      <c r="I1861" s="901">
        <f>GLOBAL_DER_FEV_2023!I1861</f>
        <v>0</v>
      </c>
      <c r="J1861" s="902">
        <f>GLOBAL_DER_FEV_2023!J1861</f>
        <v>0</v>
      </c>
      <c r="K1861" s="903"/>
      <c r="L1861" s="1177"/>
      <c r="M1861" s="1138">
        <f t="shared" si="137"/>
        <v>0</v>
      </c>
      <c r="N1861" s="1176">
        <f t="shared" si="141"/>
        <v>0</v>
      </c>
      <c r="O1861" s="905"/>
      <c r="P1861" s="36" t="str">
        <f>IF(N1860&gt;0,"xx",IF(N1860&gt;0,"xy",""))</f>
        <v/>
      </c>
      <c r="Q1861" s="317" t="str">
        <f t="shared" si="138"/>
        <v/>
      </c>
      <c r="R1861" s="317" t="str">
        <f t="shared" si="139"/>
        <v/>
      </c>
      <c r="S1861" s="317" t="str">
        <f t="shared" si="140"/>
        <v/>
      </c>
      <c r="T1861" s="317" t="str">
        <f>GLOBAL_DER_FEV_2023!S1861</f>
        <v/>
      </c>
      <c r="W1861" s="582">
        <v>0</v>
      </c>
      <c r="X1861" s="580"/>
      <c r="Y1861" s="583">
        <f>IF(GLOBAL_DER_FEV_2023!W1861=0,0,IF(GLOBAL_DER_FEV_2023!W1861&gt;0,"c","b"))</f>
        <v>0</v>
      </c>
    </row>
    <row r="1862" spans="1:25" ht="15" hidden="1" customHeight="1" x14ac:dyDescent="0.2">
      <c r="A1862" s="317" t="s">
        <v>147</v>
      </c>
      <c r="B1862" s="895" t="s">
        <v>147</v>
      </c>
      <c r="C1862" s="896"/>
      <c r="D1862" s="906" t="s">
        <v>229</v>
      </c>
      <c r="E1862" s="907">
        <f>GLOBAL_DER_FEV_2023!E1862</f>
        <v>150</v>
      </c>
      <c r="F1862" s="908">
        <f>GLOBAL_DER_FEV_2023!F1862</f>
        <v>0.86180000000000001</v>
      </c>
      <c r="G1862" s="949">
        <f>GLOBAL_DER_FEV_2023!G1862</f>
        <v>140.628524</v>
      </c>
      <c r="H1862" s="901">
        <f>GLOBAL_DER_FEV_2023!H1862</f>
        <v>0</v>
      </c>
      <c r="I1862" s="901">
        <f>GLOBAL_DER_FEV_2023!I1862</f>
        <v>0</v>
      </c>
      <c r="J1862" s="902">
        <f>GLOBAL_DER_FEV_2023!J1862</f>
        <v>0</v>
      </c>
      <c r="K1862" s="903"/>
      <c r="L1862" s="1177"/>
      <c r="M1862" s="1138">
        <f t="shared" si="137"/>
        <v>0</v>
      </c>
      <c r="N1862" s="1176">
        <f t="shared" si="141"/>
        <v>0</v>
      </c>
      <c r="O1862" s="905"/>
      <c r="P1862" s="36" t="str">
        <f>IF(N1860&gt;0,"xx",IF(N1860&gt;0,"xy",""))</f>
        <v/>
      </c>
      <c r="Q1862" s="317" t="str">
        <f t="shared" si="138"/>
        <v/>
      </c>
      <c r="R1862" s="317" t="str">
        <f t="shared" si="139"/>
        <v/>
      </c>
      <c r="S1862" s="317" t="str">
        <f t="shared" si="140"/>
        <v/>
      </c>
      <c r="T1862" s="317" t="str">
        <f>GLOBAL_DER_FEV_2023!S1862</f>
        <v/>
      </c>
      <c r="W1862" s="582">
        <v>0</v>
      </c>
      <c r="X1862" s="580"/>
      <c r="Y1862" s="583">
        <f>IF(GLOBAL_DER_FEV_2023!W1862=0,0,IF(GLOBAL_DER_FEV_2023!W1862&gt;0,"c","b"))</f>
        <v>0</v>
      </c>
    </row>
    <row r="1863" spans="1:25" ht="15" hidden="1" customHeight="1" x14ac:dyDescent="0.2">
      <c r="A1863" s="317" t="s">
        <v>147</v>
      </c>
      <c r="B1863" s="895" t="s">
        <v>147</v>
      </c>
      <c r="C1863" s="896"/>
      <c r="D1863" s="906" t="s">
        <v>233</v>
      </c>
      <c r="E1863" s="907">
        <f>GLOBAL_DER_FEV_2023!E1863</f>
        <v>0.2</v>
      </c>
      <c r="F1863" s="908">
        <f>GLOBAL_DER_FEV_2023!F1863</f>
        <v>0.5736</v>
      </c>
      <c r="G1863" s="949">
        <f>GLOBAL_DER_FEV_2023!G1863</f>
        <v>1.6599984000000001</v>
      </c>
      <c r="H1863" s="901">
        <f>GLOBAL_DER_FEV_2023!H1863</f>
        <v>0</v>
      </c>
      <c r="I1863" s="901">
        <f>GLOBAL_DER_FEV_2023!I1863</f>
        <v>0</v>
      </c>
      <c r="J1863" s="902">
        <f>GLOBAL_DER_FEV_2023!J1863</f>
        <v>0</v>
      </c>
      <c r="K1863" s="903"/>
      <c r="L1863" s="1177"/>
      <c r="M1863" s="1138">
        <f t="shared" si="137"/>
        <v>0</v>
      </c>
      <c r="N1863" s="1176">
        <f t="shared" si="141"/>
        <v>0</v>
      </c>
      <c r="O1863" s="905"/>
      <c r="P1863" s="36" t="str">
        <f>IF(N1860&gt;0,"xx",IF(N1860&gt;0,"xy",""))</f>
        <v/>
      </c>
      <c r="Q1863" s="317" t="str">
        <f t="shared" si="138"/>
        <v/>
      </c>
      <c r="R1863" s="317" t="str">
        <f t="shared" si="139"/>
        <v/>
      </c>
      <c r="S1863" s="317" t="str">
        <f t="shared" si="140"/>
        <v/>
      </c>
      <c r="T1863" s="317" t="str">
        <f>GLOBAL_DER_FEV_2023!S1863</f>
        <v/>
      </c>
      <c r="W1863" s="582">
        <v>0</v>
      </c>
      <c r="X1863" s="580"/>
      <c r="Y1863" s="583">
        <f>IF(GLOBAL_DER_FEV_2023!W1863=0,0,IF(GLOBAL_DER_FEV_2023!W1863&gt;0,"c","b"))</f>
        <v>0</v>
      </c>
    </row>
    <row r="1864" spans="1:25" ht="15" hidden="1" customHeight="1" x14ac:dyDescent="0.2">
      <c r="A1864" s="317">
        <v>620200</v>
      </c>
      <c r="B1864" s="895" t="s">
        <v>1820</v>
      </c>
      <c r="C1864" s="896" t="s">
        <v>184</v>
      </c>
      <c r="D1864" s="906" t="s">
        <v>345</v>
      </c>
      <c r="E1864" s="907">
        <f>GLOBAL_DER_FEV_2023!E1864</f>
        <v>0</v>
      </c>
      <c r="F1864" s="908">
        <f>GLOBAL_DER_FEV_2023!F1864</f>
        <v>0</v>
      </c>
      <c r="G1864" s="912">
        <f>GLOBAL_DER_FEV_2023!G1864</f>
        <v>243.00208899999998</v>
      </c>
      <c r="H1864" s="901">
        <f>GLOBAL_DER_FEV_2023!H1864</f>
        <v>1321.46</v>
      </c>
      <c r="I1864" s="901">
        <f>GLOBAL_DER_FEV_2023!I1864</f>
        <v>1564.4620890000001</v>
      </c>
      <c r="J1864" s="902">
        <f>GLOBAL_DER_FEV_2023!J1864</f>
        <v>1878.45</v>
      </c>
      <c r="K1864" s="903" t="s">
        <v>15</v>
      </c>
      <c r="L1864" s="1137"/>
      <c r="M1864" s="1138">
        <f t="shared" si="137"/>
        <v>0</v>
      </c>
      <c r="N1864" s="1176">
        <f t="shared" si="141"/>
        <v>0</v>
      </c>
      <c r="O1864" s="905"/>
      <c r="Q1864" s="317" t="str">
        <f t="shared" si="138"/>
        <v/>
      </c>
      <c r="R1864" s="317" t="str">
        <f t="shared" si="139"/>
        <v/>
      </c>
      <c r="S1864" s="317" t="str">
        <f t="shared" si="140"/>
        <v/>
      </c>
      <c r="T1864" s="317" t="str">
        <f>GLOBAL_DER_FEV_2023!S1864</f>
        <v/>
      </c>
      <c r="W1864" s="582">
        <v>0</v>
      </c>
      <c r="X1864" s="580"/>
      <c r="Y1864" s="583">
        <f>IF(GLOBAL_DER_FEV_2023!W1864=0,0,IF(GLOBAL_DER_FEV_2023!W1864&gt;0,"c","b"))</f>
        <v>0</v>
      </c>
    </row>
    <row r="1865" spans="1:25" ht="15" hidden="1" customHeight="1" x14ac:dyDescent="0.2">
      <c r="A1865" s="317" t="s">
        <v>147</v>
      </c>
      <c r="B1865" s="895" t="s">
        <v>147</v>
      </c>
      <c r="C1865" s="896"/>
      <c r="D1865" s="906" t="s">
        <v>190</v>
      </c>
      <c r="E1865" s="907">
        <f>GLOBAL_DER_FEV_2023!E1865</f>
        <v>308</v>
      </c>
      <c r="F1865" s="908">
        <f>GLOBAL_DER_FEV_2023!F1865</f>
        <v>0.28689999999999999</v>
      </c>
      <c r="G1865" s="909">
        <f>GLOBAL_DER_FEV_2023!G1865</f>
        <v>71.168413999999999</v>
      </c>
      <c r="H1865" s="901">
        <f>GLOBAL_DER_FEV_2023!H1865</f>
        <v>0</v>
      </c>
      <c r="I1865" s="901">
        <f>GLOBAL_DER_FEV_2023!I1865</f>
        <v>0</v>
      </c>
      <c r="J1865" s="902">
        <f>GLOBAL_DER_FEV_2023!J1865</f>
        <v>0</v>
      </c>
      <c r="K1865" s="903"/>
      <c r="L1865" s="1177"/>
      <c r="M1865" s="1138">
        <f t="shared" si="137"/>
        <v>0</v>
      </c>
      <c r="N1865" s="1176">
        <f t="shared" si="141"/>
        <v>0</v>
      </c>
      <c r="O1865" s="905"/>
      <c r="P1865" s="36" t="str">
        <f>IF(N1864&gt;0,"xx",IF(N1864&gt;0,"xy",""))</f>
        <v/>
      </c>
      <c r="Q1865" s="317" t="str">
        <f t="shared" si="138"/>
        <v/>
      </c>
      <c r="R1865" s="317" t="str">
        <f t="shared" si="139"/>
        <v/>
      </c>
      <c r="S1865" s="317" t="str">
        <f t="shared" si="140"/>
        <v/>
      </c>
      <c r="T1865" s="317" t="str">
        <f>GLOBAL_DER_FEV_2023!S1865</f>
        <v/>
      </c>
      <c r="W1865" s="582">
        <v>0</v>
      </c>
      <c r="X1865" s="580"/>
      <c r="Y1865" s="583">
        <f>IF(GLOBAL_DER_FEV_2023!W1865=0,0,IF(GLOBAL_DER_FEV_2023!W1865&gt;0,"c","b"))</f>
        <v>0</v>
      </c>
    </row>
    <row r="1866" spans="1:25" ht="15" hidden="1" customHeight="1" x14ac:dyDescent="0.2">
      <c r="A1866" s="317" t="s">
        <v>147</v>
      </c>
      <c r="B1866" s="895" t="s">
        <v>147</v>
      </c>
      <c r="C1866" s="896"/>
      <c r="D1866" s="906" t="s">
        <v>229</v>
      </c>
      <c r="E1866" s="907">
        <f>GLOBAL_DER_FEV_2023!E1866</f>
        <v>150</v>
      </c>
      <c r="F1866" s="908">
        <f>GLOBAL_DER_FEV_2023!F1866</f>
        <v>1.02</v>
      </c>
      <c r="G1866" s="949">
        <f>GLOBAL_DER_FEV_2023!G1866</f>
        <v>166.4436</v>
      </c>
      <c r="H1866" s="901">
        <f>GLOBAL_DER_FEV_2023!H1866</f>
        <v>0</v>
      </c>
      <c r="I1866" s="901">
        <f>GLOBAL_DER_FEV_2023!I1866</f>
        <v>0</v>
      </c>
      <c r="J1866" s="902">
        <f>GLOBAL_DER_FEV_2023!J1866</f>
        <v>0</v>
      </c>
      <c r="K1866" s="903"/>
      <c r="L1866" s="1177"/>
      <c r="M1866" s="1138">
        <f t="shared" si="137"/>
        <v>0</v>
      </c>
      <c r="N1866" s="1176">
        <f t="shared" si="141"/>
        <v>0</v>
      </c>
      <c r="O1866" s="905"/>
      <c r="P1866" s="36" t="str">
        <f>IF(N1864&gt;0,"xx",IF(N1864&gt;0,"xy",""))</f>
        <v/>
      </c>
      <c r="Q1866" s="317" t="str">
        <f t="shared" si="138"/>
        <v/>
      </c>
      <c r="R1866" s="317" t="str">
        <f t="shared" si="139"/>
        <v/>
      </c>
      <c r="S1866" s="317" t="str">
        <f t="shared" si="140"/>
        <v/>
      </c>
      <c r="T1866" s="317" t="str">
        <f>GLOBAL_DER_FEV_2023!S1866</f>
        <v/>
      </c>
      <c r="W1866" s="582">
        <v>0</v>
      </c>
      <c r="X1866" s="580"/>
      <c r="Y1866" s="583">
        <f>IF(GLOBAL_DER_FEV_2023!W1866=0,0,IF(GLOBAL_DER_FEV_2023!W1866&gt;0,"c","b"))</f>
        <v>0</v>
      </c>
    </row>
    <row r="1867" spans="1:25" ht="15" hidden="1" customHeight="1" x14ac:dyDescent="0.2">
      <c r="A1867" s="317" t="s">
        <v>147</v>
      </c>
      <c r="B1867" s="895" t="s">
        <v>147</v>
      </c>
      <c r="C1867" s="896"/>
      <c r="D1867" s="906" t="s">
        <v>233</v>
      </c>
      <c r="E1867" s="907">
        <f>GLOBAL_DER_FEV_2023!E1867</f>
        <v>0.2</v>
      </c>
      <c r="F1867" s="908">
        <f>GLOBAL_DER_FEV_2023!F1867</f>
        <v>1.8625</v>
      </c>
      <c r="G1867" s="949">
        <f>GLOBAL_DER_FEV_2023!G1867</f>
        <v>5.3900750000000004</v>
      </c>
      <c r="H1867" s="901">
        <f>GLOBAL_DER_FEV_2023!H1867</f>
        <v>0</v>
      </c>
      <c r="I1867" s="901">
        <f>GLOBAL_DER_FEV_2023!I1867</f>
        <v>0</v>
      </c>
      <c r="J1867" s="902">
        <f>GLOBAL_DER_FEV_2023!J1867</f>
        <v>0</v>
      </c>
      <c r="K1867" s="903"/>
      <c r="L1867" s="1177"/>
      <c r="M1867" s="1138">
        <f t="shared" si="137"/>
        <v>0</v>
      </c>
      <c r="N1867" s="1176">
        <f t="shared" si="141"/>
        <v>0</v>
      </c>
      <c r="O1867" s="905"/>
      <c r="P1867" s="36" t="str">
        <f>IF(N1864&gt;0,"xx",IF(N1864&gt;0,"xy",""))</f>
        <v/>
      </c>
      <c r="Q1867" s="317" t="str">
        <f t="shared" si="138"/>
        <v/>
      </c>
      <c r="R1867" s="317" t="str">
        <f t="shared" si="139"/>
        <v/>
      </c>
      <c r="S1867" s="317" t="str">
        <f t="shared" si="140"/>
        <v/>
      </c>
      <c r="T1867" s="317" t="str">
        <f>GLOBAL_DER_FEV_2023!S1867</f>
        <v/>
      </c>
      <c r="W1867" s="582">
        <v>0</v>
      </c>
      <c r="X1867" s="580"/>
      <c r="Y1867" s="583">
        <f>IF(GLOBAL_DER_FEV_2023!W1867=0,0,IF(GLOBAL_DER_FEV_2023!W1867&gt;0,"c","b"))</f>
        <v>0</v>
      </c>
    </row>
    <row r="1868" spans="1:25" ht="15" hidden="1" customHeight="1" x14ac:dyDescent="0.2">
      <c r="A1868" s="317">
        <v>620300</v>
      </c>
      <c r="B1868" s="895">
        <v>620300</v>
      </c>
      <c r="C1868" s="896" t="s">
        <v>184</v>
      </c>
      <c r="D1868" s="906" t="s">
        <v>346</v>
      </c>
      <c r="E1868" s="907">
        <f>GLOBAL_DER_FEV_2023!E1868</f>
        <v>0</v>
      </c>
      <c r="F1868" s="908">
        <f>GLOBAL_DER_FEV_2023!F1868</f>
        <v>0</v>
      </c>
      <c r="G1868" s="912">
        <f>GLOBAL_DER_FEV_2023!G1868</f>
        <v>364.6747934</v>
      </c>
      <c r="H1868" s="901">
        <f>GLOBAL_DER_FEV_2023!H1868</f>
        <v>1880.07</v>
      </c>
      <c r="I1868" s="901">
        <f>GLOBAL_DER_FEV_2023!I1868</f>
        <v>2244.7447934000002</v>
      </c>
      <c r="J1868" s="902">
        <f>GLOBAL_DER_FEV_2023!J1868</f>
        <v>2695.27</v>
      </c>
      <c r="K1868" s="903" t="s">
        <v>15</v>
      </c>
      <c r="L1868" s="1137"/>
      <c r="M1868" s="1138">
        <f t="shared" si="137"/>
        <v>0</v>
      </c>
      <c r="N1868" s="1176">
        <f t="shared" si="141"/>
        <v>0</v>
      </c>
      <c r="O1868" s="905"/>
      <c r="Q1868" s="317" t="str">
        <f t="shared" si="138"/>
        <v/>
      </c>
      <c r="R1868" s="317" t="str">
        <f t="shared" si="139"/>
        <v/>
      </c>
      <c r="S1868" s="317" t="str">
        <f t="shared" si="140"/>
        <v/>
      </c>
      <c r="T1868" s="317" t="str">
        <f>GLOBAL_DER_FEV_2023!S1868</f>
        <v/>
      </c>
      <c r="W1868" s="582">
        <v>0</v>
      </c>
      <c r="X1868" s="580"/>
      <c r="Y1868" s="583">
        <f>IF(GLOBAL_DER_FEV_2023!W1868=0,0,IF(GLOBAL_DER_FEV_2023!W1868&gt;0,"c","b"))</f>
        <v>0</v>
      </c>
    </row>
    <row r="1869" spans="1:25" ht="15" hidden="1" customHeight="1" x14ac:dyDescent="0.2">
      <c r="A1869" s="317" t="s">
        <v>147</v>
      </c>
      <c r="B1869" s="895" t="s">
        <v>147</v>
      </c>
      <c r="C1869" s="896"/>
      <c r="D1869" s="906" t="s">
        <v>190</v>
      </c>
      <c r="E1869" s="907">
        <f>GLOBAL_DER_FEV_2023!E1869</f>
        <v>308</v>
      </c>
      <c r="F1869" s="908">
        <f>GLOBAL_DER_FEV_2023!F1869</f>
        <v>0.43049999999999999</v>
      </c>
      <c r="G1869" s="909">
        <f>GLOBAL_DER_FEV_2023!G1869</f>
        <v>106.78982999999999</v>
      </c>
      <c r="H1869" s="901">
        <f>GLOBAL_DER_FEV_2023!H1869</f>
        <v>0</v>
      </c>
      <c r="I1869" s="901">
        <f>GLOBAL_DER_FEV_2023!I1869</f>
        <v>0</v>
      </c>
      <c r="J1869" s="902">
        <f>GLOBAL_DER_FEV_2023!J1869</f>
        <v>0</v>
      </c>
      <c r="K1869" s="903"/>
      <c r="L1869" s="1177"/>
      <c r="M1869" s="1138">
        <f t="shared" si="137"/>
        <v>0</v>
      </c>
      <c r="N1869" s="1176">
        <f t="shared" si="141"/>
        <v>0</v>
      </c>
      <c r="O1869" s="905"/>
      <c r="P1869" s="36" t="str">
        <f>IF(N1868&gt;0,"xx",IF(N1868&gt;0,"xy",""))</f>
        <v/>
      </c>
      <c r="Q1869" s="317" t="str">
        <f t="shared" si="138"/>
        <v/>
      </c>
      <c r="R1869" s="317" t="str">
        <f t="shared" si="139"/>
        <v/>
      </c>
      <c r="S1869" s="317" t="str">
        <f t="shared" si="140"/>
        <v/>
      </c>
      <c r="T1869" s="317" t="str">
        <f>GLOBAL_DER_FEV_2023!S1869</f>
        <v/>
      </c>
      <c r="W1869" s="582">
        <v>0</v>
      </c>
      <c r="X1869" s="580"/>
      <c r="Y1869" s="583">
        <f>IF(GLOBAL_DER_FEV_2023!W1869=0,0,IF(GLOBAL_DER_FEV_2023!W1869&gt;0,"c","b"))</f>
        <v>0</v>
      </c>
    </row>
    <row r="1870" spans="1:25" ht="15" hidden="1" customHeight="1" x14ac:dyDescent="0.2">
      <c r="A1870" s="317" t="s">
        <v>147</v>
      </c>
      <c r="B1870" s="895" t="s">
        <v>147</v>
      </c>
      <c r="C1870" s="896"/>
      <c r="D1870" s="906" t="s">
        <v>229</v>
      </c>
      <c r="E1870" s="907">
        <f>GLOBAL_DER_FEV_2023!E1870</f>
        <v>150</v>
      </c>
      <c r="F1870" s="908">
        <f>GLOBAL_DER_FEV_2023!F1870</f>
        <v>1.5307999999999999</v>
      </c>
      <c r="G1870" s="949">
        <f>GLOBAL_DER_FEV_2023!G1870</f>
        <v>249.79594399999999</v>
      </c>
      <c r="H1870" s="901">
        <f>GLOBAL_DER_FEV_2023!H1870</f>
        <v>0</v>
      </c>
      <c r="I1870" s="901">
        <f>GLOBAL_DER_FEV_2023!I1870</f>
        <v>0</v>
      </c>
      <c r="J1870" s="902">
        <f>GLOBAL_DER_FEV_2023!J1870</f>
        <v>0</v>
      </c>
      <c r="K1870" s="903"/>
      <c r="L1870" s="1177"/>
      <c r="M1870" s="1138">
        <f t="shared" si="137"/>
        <v>0</v>
      </c>
      <c r="N1870" s="1176">
        <f t="shared" si="141"/>
        <v>0</v>
      </c>
      <c r="O1870" s="905"/>
      <c r="P1870" s="36" t="str">
        <f>IF(N1868&gt;0,"xx",IF(N1868&gt;0,"xy",""))</f>
        <v/>
      </c>
      <c r="Q1870" s="317" t="str">
        <f t="shared" si="138"/>
        <v/>
      </c>
      <c r="R1870" s="317" t="str">
        <f t="shared" si="139"/>
        <v/>
      </c>
      <c r="S1870" s="317" t="str">
        <f t="shared" si="140"/>
        <v/>
      </c>
      <c r="T1870" s="317" t="str">
        <f>GLOBAL_DER_FEV_2023!S1870</f>
        <v/>
      </c>
      <c r="W1870" s="582">
        <v>0</v>
      </c>
      <c r="X1870" s="580"/>
      <c r="Y1870" s="583">
        <f>IF(GLOBAL_DER_FEV_2023!W1870=0,0,IF(GLOBAL_DER_FEV_2023!W1870&gt;0,"c","b"))</f>
        <v>0</v>
      </c>
    </row>
    <row r="1871" spans="1:25" ht="15" hidden="1" customHeight="1" x14ac:dyDescent="0.2">
      <c r="A1871" s="317" t="s">
        <v>147</v>
      </c>
      <c r="B1871" s="895" t="s">
        <v>147</v>
      </c>
      <c r="C1871" s="896"/>
      <c r="D1871" s="906" t="s">
        <v>233</v>
      </c>
      <c r="E1871" s="907">
        <f>GLOBAL_DER_FEV_2023!E1871</f>
        <v>0.2</v>
      </c>
      <c r="F1871" s="908">
        <f>GLOBAL_DER_FEV_2023!F1871</f>
        <v>2.7951000000000001</v>
      </c>
      <c r="G1871" s="949">
        <f>GLOBAL_DER_FEV_2023!G1871</f>
        <v>8.0890194000000015</v>
      </c>
      <c r="H1871" s="901">
        <f>GLOBAL_DER_FEV_2023!H1871</f>
        <v>0</v>
      </c>
      <c r="I1871" s="901">
        <f>GLOBAL_DER_FEV_2023!I1871</f>
        <v>0</v>
      </c>
      <c r="J1871" s="902">
        <f>GLOBAL_DER_FEV_2023!J1871</f>
        <v>0</v>
      </c>
      <c r="K1871" s="903"/>
      <c r="L1871" s="1177"/>
      <c r="M1871" s="1138">
        <f t="shared" si="137"/>
        <v>0</v>
      </c>
      <c r="N1871" s="1176">
        <f t="shared" si="141"/>
        <v>0</v>
      </c>
      <c r="O1871" s="905"/>
      <c r="P1871" s="36" t="str">
        <f>IF(N1868&gt;0,"xx",IF(N1868&gt;0,"xy",""))</f>
        <v/>
      </c>
      <c r="Q1871" s="317" t="str">
        <f t="shared" si="138"/>
        <v/>
      </c>
      <c r="R1871" s="317" t="str">
        <f t="shared" si="139"/>
        <v/>
      </c>
      <c r="S1871" s="317" t="str">
        <f t="shared" si="140"/>
        <v/>
      </c>
      <c r="T1871" s="317" t="str">
        <f>GLOBAL_DER_FEV_2023!S1871</f>
        <v/>
      </c>
      <c r="W1871" s="582">
        <v>0</v>
      </c>
      <c r="X1871" s="580"/>
      <c r="Y1871" s="583">
        <f>IF(GLOBAL_DER_FEV_2023!W1871=0,0,IF(GLOBAL_DER_FEV_2023!W1871&gt;0,"c","b"))</f>
        <v>0</v>
      </c>
    </row>
    <row r="1872" spans="1:25" ht="15" hidden="1" customHeight="1" x14ac:dyDescent="0.2">
      <c r="A1872" s="317">
        <v>620400</v>
      </c>
      <c r="B1872" s="895">
        <v>620400</v>
      </c>
      <c r="C1872" s="896" t="s">
        <v>184</v>
      </c>
      <c r="D1872" s="906" t="s">
        <v>347</v>
      </c>
      <c r="E1872" s="907">
        <f>GLOBAL_DER_FEV_2023!E1872</f>
        <v>0</v>
      </c>
      <c r="F1872" s="908">
        <f>GLOBAL_DER_FEV_2023!F1872</f>
        <v>0</v>
      </c>
      <c r="G1872" s="912">
        <f>GLOBAL_DER_FEV_2023!G1872</f>
        <v>492.41287280000006</v>
      </c>
      <c r="H1872" s="901">
        <f>GLOBAL_DER_FEV_2023!H1872</f>
        <v>2407.5300000000002</v>
      </c>
      <c r="I1872" s="901">
        <f>GLOBAL_DER_FEV_2023!I1872</f>
        <v>2899.9428728000003</v>
      </c>
      <c r="J1872" s="902">
        <f>GLOBAL_DER_FEV_2023!J1872</f>
        <v>3481.96</v>
      </c>
      <c r="K1872" s="903" t="s">
        <v>15</v>
      </c>
      <c r="L1872" s="1137"/>
      <c r="M1872" s="1138">
        <f t="shared" si="137"/>
        <v>0</v>
      </c>
      <c r="N1872" s="1176">
        <f t="shared" si="141"/>
        <v>0</v>
      </c>
      <c r="O1872" s="905"/>
      <c r="Q1872" s="317" t="str">
        <f t="shared" si="138"/>
        <v/>
      </c>
      <c r="R1872" s="317" t="str">
        <f t="shared" si="139"/>
        <v/>
      </c>
      <c r="S1872" s="317" t="str">
        <f t="shared" si="140"/>
        <v/>
      </c>
      <c r="T1872" s="317" t="str">
        <f>GLOBAL_DER_FEV_2023!S1872</f>
        <v/>
      </c>
      <c r="W1872" s="582">
        <v>0</v>
      </c>
      <c r="X1872" s="580"/>
      <c r="Y1872" s="583">
        <f>IF(GLOBAL_DER_FEV_2023!W1872=0,0,IF(GLOBAL_DER_FEV_2023!W1872&gt;0,"c","b"))</f>
        <v>0</v>
      </c>
    </row>
    <row r="1873" spans="1:25" ht="15" hidden="1" customHeight="1" x14ac:dyDescent="0.2">
      <c r="A1873" s="317" t="s">
        <v>147</v>
      </c>
      <c r="B1873" s="895" t="s">
        <v>147</v>
      </c>
      <c r="C1873" s="896"/>
      <c r="D1873" s="906" t="s">
        <v>190</v>
      </c>
      <c r="E1873" s="907">
        <f>GLOBAL_DER_FEV_2023!E1873</f>
        <v>308</v>
      </c>
      <c r="F1873" s="908">
        <f>GLOBAL_DER_FEV_2023!F1873</f>
        <v>0.58130000000000004</v>
      </c>
      <c r="G1873" s="909">
        <f>GLOBAL_DER_FEV_2023!G1873</f>
        <v>144.19727800000001</v>
      </c>
      <c r="H1873" s="901">
        <f>GLOBAL_DER_FEV_2023!H1873</f>
        <v>0</v>
      </c>
      <c r="I1873" s="901">
        <f>GLOBAL_DER_FEV_2023!I1873</f>
        <v>0</v>
      </c>
      <c r="J1873" s="902">
        <f>GLOBAL_DER_FEV_2023!J1873</f>
        <v>0</v>
      </c>
      <c r="K1873" s="903"/>
      <c r="L1873" s="1177"/>
      <c r="M1873" s="1138">
        <f t="shared" si="137"/>
        <v>0</v>
      </c>
      <c r="N1873" s="1176">
        <f t="shared" si="141"/>
        <v>0</v>
      </c>
      <c r="O1873" s="905"/>
      <c r="P1873" s="36" t="str">
        <f>IF(N1872&gt;0,"xx",IF(N1872&gt;0,"xy",""))</f>
        <v/>
      </c>
      <c r="Q1873" s="317" t="str">
        <f t="shared" si="138"/>
        <v/>
      </c>
      <c r="R1873" s="317" t="str">
        <f t="shared" si="139"/>
        <v/>
      </c>
      <c r="S1873" s="317" t="str">
        <f t="shared" si="140"/>
        <v/>
      </c>
      <c r="T1873" s="317" t="str">
        <f>GLOBAL_DER_FEV_2023!S1873</f>
        <v/>
      </c>
      <c r="W1873" s="582">
        <v>0</v>
      </c>
      <c r="X1873" s="580"/>
      <c r="Y1873" s="583">
        <f>IF(GLOBAL_DER_FEV_2023!W1873=0,0,IF(GLOBAL_DER_FEV_2023!W1873&gt;0,"c","b"))</f>
        <v>0</v>
      </c>
    </row>
    <row r="1874" spans="1:25" ht="15" hidden="1" customHeight="1" x14ac:dyDescent="0.2">
      <c r="A1874" s="317" t="s">
        <v>147</v>
      </c>
      <c r="B1874" s="895" t="s">
        <v>147</v>
      </c>
      <c r="C1874" s="896"/>
      <c r="D1874" s="906" t="s">
        <v>229</v>
      </c>
      <c r="E1874" s="907">
        <f>GLOBAL_DER_FEV_2023!E1874</f>
        <v>150</v>
      </c>
      <c r="F1874" s="908">
        <f>GLOBAL_DER_FEV_2023!F1874</f>
        <v>2.0670000000000002</v>
      </c>
      <c r="G1874" s="949">
        <f>GLOBAL_DER_FEV_2023!G1874</f>
        <v>337.29306000000003</v>
      </c>
      <c r="H1874" s="901">
        <f>GLOBAL_DER_FEV_2023!H1874</f>
        <v>0</v>
      </c>
      <c r="I1874" s="901">
        <f>GLOBAL_DER_FEV_2023!I1874</f>
        <v>0</v>
      </c>
      <c r="J1874" s="902">
        <f>GLOBAL_DER_FEV_2023!J1874</f>
        <v>0</v>
      </c>
      <c r="K1874" s="903"/>
      <c r="L1874" s="1177"/>
      <c r="M1874" s="1138">
        <f t="shared" ref="M1874:M1937" si="142">IF(L1874=0,0,ROUND(J1874,2))</f>
        <v>0</v>
      </c>
      <c r="N1874" s="1176">
        <f t="shared" si="141"/>
        <v>0</v>
      </c>
      <c r="O1874" s="905"/>
      <c r="P1874" s="36" t="str">
        <f>IF(N1872&gt;0,"xx",IF(N1872&gt;0,"xy",""))</f>
        <v/>
      </c>
      <c r="Q1874" s="317" t="str">
        <f t="shared" si="138"/>
        <v/>
      </c>
      <c r="R1874" s="317" t="str">
        <f t="shared" si="139"/>
        <v/>
      </c>
      <c r="S1874" s="317" t="str">
        <f t="shared" si="140"/>
        <v/>
      </c>
      <c r="T1874" s="317" t="str">
        <f>GLOBAL_DER_FEV_2023!S1874</f>
        <v/>
      </c>
      <c r="W1874" s="582">
        <v>0</v>
      </c>
      <c r="X1874" s="580"/>
      <c r="Y1874" s="583">
        <f>IF(GLOBAL_DER_FEV_2023!W1874=0,0,IF(GLOBAL_DER_FEV_2023!W1874&gt;0,"c","b"))</f>
        <v>0</v>
      </c>
    </row>
    <row r="1875" spans="1:25" ht="15" hidden="1" customHeight="1" x14ac:dyDescent="0.2">
      <c r="A1875" s="317" t="s">
        <v>147</v>
      </c>
      <c r="B1875" s="895" t="s">
        <v>147</v>
      </c>
      <c r="C1875" s="896"/>
      <c r="D1875" s="906" t="s">
        <v>233</v>
      </c>
      <c r="E1875" s="907">
        <f>GLOBAL_DER_FEV_2023!E1875</f>
        <v>0.2</v>
      </c>
      <c r="F1875" s="908">
        <f>GLOBAL_DER_FEV_2023!F1875</f>
        <v>3.7742</v>
      </c>
      <c r="G1875" s="949">
        <f>GLOBAL_DER_FEV_2023!G1875</f>
        <v>10.922534800000001</v>
      </c>
      <c r="H1875" s="901">
        <f>GLOBAL_DER_FEV_2023!H1875</f>
        <v>0</v>
      </c>
      <c r="I1875" s="901">
        <f>GLOBAL_DER_FEV_2023!I1875</f>
        <v>0</v>
      </c>
      <c r="J1875" s="902">
        <f>GLOBAL_DER_FEV_2023!J1875</f>
        <v>0</v>
      </c>
      <c r="K1875" s="903"/>
      <c r="L1875" s="1177"/>
      <c r="M1875" s="1138">
        <f t="shared" si="142"/>
        <v>0</v>
      </c>
      <c r="N1875" s="1176">
        <f t="shared" si="141"/>
        <v>0</v>
      </c>
      <c r="O1875" s="905"/>
      <c r="P1875" s="36" t="str">
        <f>IF(N1872&gt;0,"xx",IF(N1872&gt;0,"xy",""))</f>
        <v/>
      </c>
      <c r="Q1875" s="317" t="str">
        <f t="shared" si="138"/>
        <v/>
      </c>
      <c r="R1875" s="317" t="str">
        <f t="shared" si="139"/>
        <v/>
      </c>
      <c r="S1875" s="317" t="str">
        <f t="shared" si="140"/>
        <v/>
      </c>
      <c r="T1875" s="317" t="str">
        <f>GLOBAL_DER_FEV_2023!S1875</f>
        <v/>
      </c>
      <c r="W1875" s="582">
        <v>0</v>
      </c>
      <c r="X1875" s="580"/>
      <c r="Y1875" s="583">
        <f>IF(GLOBAL_DER_FEV_2023!W1875=0,0,IF(GLOBAL_DER_FEV_2023!W1875&gt;0,"c","b"))</f>
        <v>0</v>
      </c>
    </row>
    <row r="1876" spans="1:25" ht="15" hidden="1" customHeight="1" x14ac:dyDescent="0.2">
      <c r="A1876" s="317">
        <v>620500</v>
      </c>
      <c r="B1876" s="895">
        <v>620500</v>
      </c>
      <c r="C1876" s="896" t="s">
        <v>184</v>
      </c>
      <c r="D1876" s="906" t="s">
        <v>348</v>
      </c>
      <c r="E1876" s="907">
        <f>GLOBAL_DER_FEV_2023!E1876</f>
        <v>0</v>
      </c>
      <c r="F1876" s="908">
        <f>GLOBAL_DER_FEV_2023!F1876</f>
        <v>0</v>
      </c>
      <c r="G1876" s="912">
        <f>GLOBAL_DER_FEV_2023!G1876</f>
        <v>988.6957106000001</v>
      </c>
      <c r="H1876" s="901">
        <f>GLOBAL_DER_FEV_2023!H1876</f>
        <v>4302.26</v>
      </c>
      <c r="I1876" s="901">
        <f>GLOBAL_DER_FEV_2023!I1876</f>
        <v>5290.9557106000002</v>
      </c>
      <c r="J1876" s="902">
        <f>GLOBAL_DER_FEV_2023!J1876</f>
        <v>6352.85</v>
      </c>
      <c r="K1876" s="903" t="s">
        <v>15</v>
      </c>
      <c r="L1876" s="1137"/>
      <c r="M1876" s="1138">
        <f t="shared" si="142"/>
        <v>0</v>
      </c>
      <c r="N1876" s="1176">
        <f t="shared" si="141"/>
        <v>0</v>
      </c>
      <c r="O1876" s="905"/>
      <c r="Q1876" s="317" t="str">
        <f t="shared" si="138"/>
        <v/>
      </c>
      <c r="R1876" s="317" t="str">
        <f t="shared" si="139"/>
        <v/>
      </c>
      <c r="S1876" s="317" t="str">
        <f t="shared" si="140"/>
        <v/>
      </c>
      <c r="T1876" s="317" t="str">
        <f>GLOBAL_DER_FEV_2023!S1876</f>
        <v/>
      </c>
      <c r="W1876" s="582">
        <v>0</v>
      </c>
      <c r="X1876" s="580"/>
      <c r="Y1876" s="583">
        <f>IF(GLOBAL_DER_FEV_2023!W1876=0,0,IF(GLOBAL_DER_FEV_2023!W1876&gt;0,"c","b"))</f>
        <v>0</v>
      </c>
    </row>
    <row r="1877" spans="1:25" ht="15" hidden="1" customHeight="1" x14ac:dyDescent="0.2">
      <c r="A1877" s="317" t="s">
        <v>147</v>
      </c>
      <c r="B1877" s="895" t="s">
        <v>147</v>
      </c>
      <c r="C1877" s="896"/>
      <c r="D1877" s="906" t="s">
        <v>190</v>
      </c>
      <c r="E1877" s="907">
        <f>GLOBAL_DER_FEV_2023!E1877</f>
        <v>308</v>
      </c>
      <c r="F1877" s="908">
        <f>GLOBAL_DER_FEV_2023!F1877</f>
        <v>1.1672</v>
      </c>
      <c r="G1877" s="909">
        <f>GLOBAL_DER_FEV_2023!G1877</f>
        <v>289.53563200000002</v>
      </c>
      <c r="H1877" s="901">
        <f>GLOBAL_DER_FEV_2023!H1877</f>
        <v>0</v>
      </c>
      <c r="I1877" s="901">
        <f>GLOBAL_DER_FEV_2023!I1877</f>
        <v>0</v>
      </c>
      <c r="J1877" s="902">
        <f>GLOBAL_DER_FEV_2023!J1877</f>
        <v>0</v>
      </c>
      <c r="K1877" s="903"/>
      <c r="L1877" s="1177"/>
      <c r="M1877" s="1138">
        <f t="shared" si="142"/>
        <v>0</v>
      </c>
      <c r="N1877" s="1176">
        <f t="shared" si="141"/>
        <v>0</v>
      </c>
      <c r="O1877" s="905"/>
      <c r="P1877" s="36" t="str">
        <f>IF(N1876&gt;0,"xx",IF(N1876&gt;0,"xy",""))</f>
        <v/>
      </c>
      <c r="Q1877" s="317" t="str">
        <f t="shared" si="138"/>
        <v/>
      </c>
      <c r="R1877" s="317" t="str">
        <f t="shared" si="139"/>
        <v/>
      </c>
      <c r="S1877" s="317" t="str">
        <f t="shared" si="140"/>
        <v/>
      </c>
      <c r="T1877" s="317" t="str">
        <f>GLOBAL_DER_FEV_2023!S1877</f>
        <v/>
      </c>
      <c r="W1877" s="582">
        <v>0</v>
      </c>
      <c r="X1877" s="580"/>
      <c r="Y1877" s="583">
        <f>IF(GLOBAL_DER_FEV_2023!W1877=0,0,IF(GLOBAL_DER_FEV_2023!W1877&gt;0,"c","b"))</f>
        <v>0</v>
      </c>
    </row>
    <row r="1878" spans="1:25" ht="15" hidden="1" customHeight="1" x14ac:dyDescent="0.2">
      <c r="A1878" s="317" t="s">
        <v>147</v>
      </c>
      <c r="B1878" s="895" t="s">
        <v>147</v>
      </c>
      <c r="C1878" s="896"/>
      <c r="D1878" s="906" t="s">
        <v>229</v>
      </c>
      <c r="E1878" s="907">
        <f>GLOBAL_DER_FEV_2023!E1878</f>
        <v>150</v>
      </c>
      <c r="F1878" s="908">
        <f>GLOBAL_DER_FEV_2023!F1878</f>
        <v>4.1501999999999999</v>
      </c>
      <c r="G1878" s="949">
        <f>GLOBAL_DER_FEV_2023!G1878</f>
        <v>677.22963600000003</v>
      </c>
      <c r="H1878" s="901">
        <f>GLOBAL_DER_FEV_2023!H1878</f>
        <v>0</v>
      </c>
      <c r="I1878" s="901">
        <f>GLOBAL_DER_FEV_2023!I1878</f>
        <v>0</v>
      </c>
      <c r="J1878" s="902">
        <f>GLOBAL_DER_FEV_2023!J1878</f>
        <v>0</v>
      </c>
      <c r="K1878" s="903"/>
      <c r="L1878" s="1177"/>
      <c r="M1878" s="1138">
        <f t="shared" si="142"/>
        <v>0</v>
      </c>
      <c r="N1878" s="1176">
        <f t="shared" si="141"/>
        <v>0</v>
      </c>
      <c r="O1878" s="905"/>
      <c r="P1878" s="36" t="str">
        <f>IF(N1876&gt;0,"xx",IF(N1876&gt;0,"xy",""))</f>
        <v/>
      </c>
      <c r="Q1878" s="317" t="str">
        <f t="shared" si="138"/>
        <v/>
      </c>
      <c r="R1878" s="317" t="str">
        <f t="shared" si="139"/>
        <v/>
      </c>
      <c r="S1878" s="317" t="str">
        <f t="shared" si="140"/>
        <v/>
      </c>
      <c r="T1878" s="317" t="str">
        <f>GLOBAL_DER_FEV_2023!S1878</f>
        <v/>
      </c>
      <c r="W1878" s="582">
        <v>0</v>
      </c>
      <c r="X1878" s="580"/>
      <c r="Y1878" s="583">
        <f>IF(GLOBAL_DER_FEV_2023!W1878=0,0,IF(GLOBAL_DER_FEV_2023!W1878&gt;0,"c","b"))</f>
        <v>0</v>
      </c>
    </row>
    <row r="1879" spans="1:25" ht="15" hidden="1" customHeight="1" x14ac:dyDescent="0.2">
      <c r="A1879" s="317" t="s">
        <v>147</v>
      </c>
      <c r="B1879" s="895" t="s">
        <v>147</v>
      </c>
      <c r="C1879" s="896"/>
      <c r="D1879" s="906" t="s">
        <v>233</v>
      </c>
      <c r="E1879" s="907">
        <f>GLOBAL_DER_FEV_2023!E1879</f>
        <v>0.2</v>
      </c>
      <c r="F1879" s="908">
        <f>GLOBAL_DER_FEV_2023!F1879</f>
        <v>7.5778999999999996</v>
      </c>
      <c r="G1879" s="949">
        <f>GLOBAL_DER_FEV_2023!G1879</f>
        <v>21.930442599999999</v>
      </c>
      <c r="H1879" s="901">
        <f>GLOBAL_DER_FEV_2023!H1879</f>
        <v>0</v>
      </c>
      <c r="I1879" s="901">
        <f>GLOBAL_DER_FEV_2023!I1879</f>
        <v>0</v>
      </c>
      <c r="J1879" s="902">
        <f>GLOBAL_DER_FEV_2023!J1879</f>
        <v>0</v>
      </c>
      <c r="K1879" s="903"/>
      <c r="L1879" s="1177"/>
      <c r="M1879" s="1138">
        <f t="shared" si="142"/>
        <v>0</v>
      </c>
      <c r="N1879" s="1176">
        <f t="shared" si="141"/>
        <v>0</v>
      </c>
      <c r="O1879" s="905"/>
      <c r="P1879" s="36" t="str">
        <f>IF(N1876&gt;0,"xx",IF(N1876&gt;0,"xy",""))</f>
        <v/>
      </c>
      <c r="Q1879" s="317" t="str">
        <f t="shared" si="138"/>
        <v/>
      </c>
      <c r="R1879" s="317" t="str">
        <f t="shared" si="139"/>
        <v/>
      </c>
      <c r="S1879" s="317" t="str">
        <f t="shared" si="140"/>
        <v/>
      </c>
      <c r="T1879" s="317" t="str">
        <f>GLOBAL_DER_FEV_2023!S1879</f>
        <v/>
      </c>
      <c r="W1879" s="582">
        <v>0</v>
      </c>
      <c r="X1879" s="580"/>
      <c r="Y1879" s="583">
        <f>IF(GLOBAL_DER_FEV_2023!W1879=0,0,IF(GLOBAL_DER_FEV_2023!W1879&gt;0,"c","b"))</f>
        <v>0</v>
      </c>
    </row>
    <row r="1880" spans="1:25" ht="15" hidden="1" customHeight="1" x14ac:dyDescent="0.2">
      <c r="A1880" s="317">
        <v>620600</v>
      </c>
      <c r="B1880" s="895">
        <v>620600</v>
      </c>
      <c r="C1880" s="896" t="s">
        <v>184</v>
      </c>
      <c r="D1880" s="906" t="s">
        <v>349</v>
      </c>
      <c r="E1880" s="907">
        <f>GLOBAL_DER_FEV_2023!E1880</f>
        <v>0</v>
      </c>
      <c r="F1880" s="908">
        <f>GLOBAL_DER_FEV_2023!F1880</f>
        <v>0</v>
      </c>
      <c r="G1880" s="912">
        <f>GLOBAL_DER_FEV_2023!G1880</f>
        <v>1900.7298634000001</v>
      </c>
      <c r="H1880" s="901">
        <f>GLOBAL_DER_FEV_2023!H1880</f>
        <v>7668.6</v>
      </c>
      <c r="I1880" s="901">
        <f>GLOBAL_DER_FEV_2023!I1880</f>
        <v>9569.3298634000002</v>
      </c>
      <c r="J1880" s="902">
        <f>GLOBAL_DER_FEV_2023!J1880</f>
        <v>11489.89</v>
      </c>
      <c r="K1880" s="903" t="s">
        <v>15</v>
      </c>
      <c r="L1880" s="1137"/>
      <c r="M1880" s="1138">
        <f t="shared" si="142"/>
        <v>0</v>
      </c>
      <c r="N1880" s="1176">
        <f t="shared" si="141"/>
        <v>0</v>
      </c>
      <c r="O1880" s="905"/>
      <c r="Q1880" s="317" t="str">
        <f t="shared" si="138"/>
        <v/>
      </c>
      <c r="R1880" s="317" t="str">
        <f t="shared" si="139"/>
        <v/>
      </c>
      <c r="S1880" s="317" t="str">
        <f t="shared" si="140"/>
        <v/>
      </c>
      <c r="T1880" s="317" t="str">
        <f>GLOBAL_DER_FEV_2023!S1880</f>
        <v/>
      </c>
      <c r="W1880" s="582">
        <v>0</v>
      </c>
      <c r="X1880" s="580"/>
      <c r="Y1880" s="583">
        <f>IF(GLOBAL_DER_FEV_2023!W1880=0,0,IF(GLOBAL_DER_FEV_2023!W1880&gt;0,"c","b"))</f>
        <v>0</v>
      </c>
    </row>
    <row r="1881" spans="1:25" ht="15" hidden="1" customHeight="1" x14ac:dyDescent="0.2">
      <c r="A1881" s="317" t="s">
        <v>147</v>
      </c>
      <c r="B1881" s="895" t="s">
        <v>147</v>
      </c>
      <c r="C1881" s="896"/>
      <c r="D1881" s="906" t="s">
        <v>190</v>
      </c>
      <c r="E1881" s="907">
        <f>GLOBAL_DER_FEV_2023!E1881</f>
        <v>308</v>
      </c>
      <c r="F1881" s="908">
        <f>GLOBAL_DER_FEV_2023!F1881</f>
        <v>2.2439</v>
      </c>
      <c r="G1881" s="909">
        <f>GLOBAL_DER_FEV_2023!G1881</f>
        <v>556.62183400000004</v>
      </c>
      <c r="H1881" s="901">
        <f>GLOBAL_DER_FEV_2023!H1881</f>
        <v>0</v>
      </c>
      <c r="I1881" s="901">
        <f>GLOBAL_DER_FEV_2023!I1881</f>
        <v>0</v>
      </c>
      <c r="J1881" s="902">
        <f>GLOBAL_DER_FEV_2023!J1881</f>
        <v>0</v>
      </c>
      <c r="K1881" s="903"/>
      <c r="L1881" s="1177"/>
      <c r="M1881" s="1138">
        <f t="shared" si="142"/>
        <v>0</v>
      </c>
      <c r="N1881" s="1176">
        <f t="shared" si="141"/>
        <v>0</v>
      </c>
      <c r="O1881" s="905"/>
      <c r="P1881" s="36" t="str">
        <f>IF(N1880&gt;0,"xx",IF(N1880&gt;0,"xy",""))</f>
        <v/>
      </c>
      <c r="Q1881" s="317" t="str">
        <f t="shared" si="138"/>
        <v/>
      </c>
      <c r="R1881" s="317" t="str">
        <f t="shared" si="139"/>
        <v/>
      </c>
      <c r="S1881" s="317" t="str">
        <f t="shared" si="140"/>
        <v/>
      </c>
      <c r="T1881" s="317" t="str">
        <f>GLOBAL_DER_FEV_2023!S1881</f>
        <v/>
      </c>
      <c r="W1881" s="582">
        <v>0</v>
      </c>
      <c r="X1881" s="580"/>
      <c r="Y1881" s="583">
        <f>IF(GLOBAL_DER_FEV_2023!W1881=0,0,IF(GLOBAL_DER_FEV_2023!W1881&gt;0,"c","b"))</f>
        <v>0</v>
      </c>
    </row>
    <row r="1882" spans="1:25" ht="15" hidden="1" customHeight="1" x14ac:dyDescent="0.2">
      <c r="A1882" s="317" t="s">
        <v>147</v>
      </c>
      <c r="B1882" s="895" t="s">
        <v>147</v>
      </c>
      <c r="C1882" s="896"/>
      <c r="D1882" s="906" t="s">
        <v>229</v>
      </c>
      <c r="E1882" s="907">
        <f>GLOBAL_DER_FEV_2023!E1882</f>
        <v>150</v>
      </c>
      <c r="F1882" s="908">
        <f>GLOBAL_DER_FEV_2023!F1882</f>
        <v>7.9786000000000001</v>
      </c>
      <c r="G1882" s="949">
        <f>GLOBAL_DER_FEV_2023!G1882</f>
        <v>1301.947948</v>
      </c>
      <c r="H1882" s="901">
        <f>GLOBAL_DER_FEV_2023!H1882</f>
        <v>0</v>
      </c>
      <c r="I1882" s="901">
        <f>GLOBAL_DER_FEV_2023!I1882</f>
        <v>0</v>
      </c>
      <c r="J1882" s="902">
        <f>GLOBAL_DER_FEV_2023!J1882</f>
        <v>0</v>
      </c>
      <c r="K1882" s="903"/>
      <c r="L1882" s="1177"/>
      <c r="M1882" s="1138">
        <f t="shared" si="142"/>
        <v>0</v>
      </c>
      <c r="N1882" s="1176">
        <f t="shared" si="141"/>
        <v>0</v>
      </c>
      <c r="O1882" s="905"/>
      <c r="P1882" s="36" t="str">
        <f>IF(N1880&gt;0,"xx",IF(N1880&gt;0,"xy",""))</f>
        <v/>
      </c>
      <c r="Q1882" s="317" t="str">
        <f t="shared" si="138"/>
        <v/>
      </c>
      <c r="R1882" s="317" t="str">
        <f t="shared" si="139"/>
        <v/>
      </c>
      <c r="S1882" s="317" t="str">
        <f t="shared" si="140"/>
        <v/>
      </c>
      <c r="T1882" s="317" t="str">
        <f>GLOBAL_DER_FEV_2023!S1882</f>
        <v/>
      </c>
      <c r="W1882" s="582">
        <v>0</v>
      </c>
      <c r="X1882" s="580"/>
      <c r="Y1882" s="583">
        <f>IF(GLOBAL_DER_FEV_2023!W1882=0,0,IF(GLOBAL_DER_FEV_2023!W1882&gt;0,"c","b"))</f>
        <v>0</v>
      </c>
    </row>
    <row r="1883" spans="1:25" ht="15" hidden="1" customHeight="1" x14ac:dyDescent="0.2">
      <c r="A1883" s="317" t="s">
        <v>147</v>
      </c>
      <c r="B1883" s="895" t="s">
        <v>147</v>
      </c>
      <c r="C1883" s="896"/>
      <c r="D1883" s="906" t="s">
        <v>233</v>
      </c>
      <c r="E1883" s="907">
        <f>GLOBAL_DER_FEV_2023!E1883</f>
        <v>0.2</v>
      </c>
      <c r="F1883" s="908">
        <f>GLOBAL_DER_FEV_2023!F1883</f>
        <v>14.568099999999999</v>
      </c>
      <c r="G1883" s="949">
        <f>GLOBAL_DER_FEV_2023!G1883</f>
        <v>42.160081400000003</v>
      </c>
      <c r="H1883" s="901">
        <f>GLOBAL_DER_FEV_2023!H1883</f>
        <v>0</v>
      </c>
      <c r="I1883" s="901">
        <f>GLOBAL_DER_FEV_2023!I1883</f>
        <v>0</v>
      </c>
      <c r="J1883" s="902">
        <f>GLOBAL_DER_FEV_2023!J1883</f>
        <v>0</v>
      </c>
      <c r="K1883" s="903"/>
      <c r="L1883" s="1177"/>
      <c r="M1883" s="1138">
        <f t="shared" si="142"/>
        <v>0</v>
      </c>
      <c r="N1883" s="1176">
        <f t="shared" si="141"/>
        <v>0</v>
      </c>
      <c r="O1883" s="905"/>
      <c r="P1883" s="36" t="str">
        <f>IF(N1880&gt;0,"xx",IF(N1880&gt;0,"xy",""))</f>
        <v/>
      </c>
      <c r="Q1883" s="317" t="str">
        <f t="shared" ref="Q1883:Q1946" si="143">IF(P1883="X","x",IF(P1883="xx","x",IF(P1883="xy","x",IF(P1883="y","x",IF(OR(N1883&gt;0,N1883&gt;0),"x","")))))</f>
        <v/>
      </c>
      <c r="R1883" s="317" t="str">
        <f t="shared" si="139"/>
        <v/>
      </c>
      <c r="S1883" s="317" t="str">
        <f t="shared" si="140"/>
        <v/>
      </c>
      <c r="T1883" s="317" t="str">
        <f>GLOBAL_DER_FEV_2023!S1883</f>
        <v/>
      </c>
      <c r="W1883" s="582">
        <v>0</v>
      </c>
      <c r="X1883" s="580"/>
      <c r="Y1883" s="583">
        <f>IF(GLOBAL_DER_FEV_2023!W1883=0,0,IF(GLOBAL_DER_FEV_2023!W1883&gt;0,"c","b"))</f>
        <v>0</v>
      </c>
    </row>
    <row r="1884" spans="1:25" ht="15" hidden="1" customHeight="1" x14ac:dyDescent="0.2">
      <c r="A1884" s="317">
        <v>620100</v>
      </c>
      <c r="B1884" s="895" t="s">
        <v>1818</v>
      </c>
      <c r="C1884" s="896" t="s">
        <v>184</v>
      </c>
      <c r="D1884" s="906" t="s">
        <v>350</v>
      </c>
      <c r="E1884" s="907">
        <f>GLOBAL_DER_FEV_2023!E1884</f>
        <v>0</v>
      </c>
      <c r="F1884" s="908">
        <f>GLOBAL_DER_FEV_2023!F1884</f>
        <v>0</v>
      </c>
      <c r="G1884" s="912">
        <f>GLOBAL_DER_FEV_2023!G1884</f>
        <v>242.5502682</v>
      </c>
      <c r="H1884" s="901">
        <f>GLOBAL_DER_FEV_2023!H1884</f>
        <v>954.15</v>
      </c>
      <c r="I1884" s="901">
        <f>GLOBAL_DER_FEV_2023!I1884</f>
        <v>1196.7002682</v>
      </c>
      <c r="J1884" s="902">
        <f>GLOBAL_DER_FEV_2023!J1884</f>
        <v>1436.88</v>
      </c>
      <c r="K1884" s="903" t="s">
        <v>15</v>
      </c>
      <c r="L1884" s="1137"/>
      <c r="M1884" s="1138">
        <f t="shared" si="142"/>
        <v>0</v>
      </c>
      <c r="N1884" s="1176">
        <f t="shared" si="141"/>
        <v>0</v>
      </c>
      <c r="O1884" s="905"/>
      <c r="Q1884" s="317" t="str">
        <f t="shared" si="143"/>
        <v/>
      </c>
      <c r="R1884" s="317" t="str">
        <f t="shared" si="139"/>
        <v/>
      </c>
      <c r="S1884" s="317" t="str">
        <f t="shared" si="140"/>
        <v/>
      </c>
      <c r="T1884" s="317" t="str">
        <f>GLOBAL_DER_FEV_2023!S1884</f>
        <v/>
      </c>
      <c r="W1884" s="582">
        <v>0</v>
      </c>
      <c r="X1884" s="580"/>
      <c r="Y1884" s="583">
        <f>IF(GLOBAL_DER_FEV_2023!W1884=0,0,IF(GLOBAL_DER_FEV_2023!W1884&gt;0,"c","b"))</f>
        <v>0</v>
      </c>
    </row>
    <row r="1885" spans="1:25" ht="15" hidden="1" customHeight="1" x14ac:dyDescent="0.2">
      <c r="A1885" s="317" t="s">
        <v>147</v>
      </c>
      <c r="B1885" s="895" t="s">
        <v>147</v>
      </c>
      <c r="C1885" s="896"/>
      <c r="D1885" s="906" t="s">
        <v>190</v>
      </c>
      <c r="E1885" s="907">
        <f>GLOBAL_DER_FEV_2023!E1885</f>
        <v>308</v>
      </c>
      <c r="F1885" s="908">
        <f>GLOBAL_DER_FEV_2023!F1885</f>
        <v>0.2863</v>
      </c>
      <c r="G1885" s="909">
        <f>GLOBAL_DER_FEV_2023!G1885</f>
        <v>71.019577999999996</v>
      </c>
      <c r="H1885" s="901">
        <f>GLOBAL_DER_FEV_2023!H1885</f>
        <v>0</v>
      </c>
      <c r="I1885" s="901">
        <f>GLOBAL_DER_FEV_2023!I1885</f>
        <v>0</v>
      </c>
      <c r="J1885" s="902">
        <f>GLOBAL_DER_FEV_2023!J1885</f>
        <v>0</v>
      </c>
      <c r="K1885" s="903"/>
      <c r="L1885" s="1177"/>
      <c r="M1885" s="1138">
        <f t="shared" si="142"/>
        <v>0</v>
      </c>
      <c r="N1885" s="1176">
        <f t="shared" si="141"/>
        <v>0</v>
      </c>
      <c r="O1885" s="905"/>
      <c r="P1885" s="36" t="str">
        <f>IF(N1884&gt;0,"xx",IF(N1884&gt;0,"xy",""))</f>
        <v/>
      </c>
      <c r="Q1885" s="317" t="str">
        <f t="shared" si="143"/>
        <v/>
      </c>
      <c r="R1885" s="317" t="str">
        <f t="shared" ref="R1885:R1948" si="144">IF(P1885="X","x",IF(P1885="y","x",IF(P1885="xx","x",IF(N1885&gt;0,"x",""))))</f>
        <v/>
      </c>
      <c r="S1885" s="317" t="str">
        <f t="shared" ref="S1885:S1948" si="145">IF(P1885="X","x",IF(N1885&gt;0,"x",""))</f>
        <v/>
      </c>
      <c r="T1885" s="317" t="str">
        <f>GLOBAL_DER_FEV_2023!S1885</f>
        <v/>
      </c>
      <c r="W1885" s="582">
        <v>0</v>
      </c>
      <c r="X1885" s="580"/>
      <c r="Y1885" s="583">
        <f>IF(GLOBAL_DER_FEV_2023!W1885=0,0,IF(GLOBAL_DER_FEV_2023!W1885&gt;0,"c","b"))</f>
        <v>0</v>
      </c>
    </row>
    <row r="1886" spans="1:25" ht="15" hidden="1" customHeight="1" x14ac:dyDescent="0.2">
      <c r="A1886" s="317" t="s">
        <v>147</v>
      </c>
      <c r="B1886" s="895" t="s">
        <v>147</v>
      </c>
      <c r="C1886" s="896"/>
      <c r="D1886" s="906" t="s">
        <v>229</v>
      </c>
      <c r="E1886" s="907">
        <f>GLOBAL_DER_FEV_2023!E1886</f>
        <v>150</v>
      </c>
      <c r="F1886" s="908">
        <f>GLOBAL_DER_FEV_2023!F1886</f>
        <v>1.0182</v>
      </c>
      <c r="G1886" s="949">
        <f>GLOBAL_DER_FEV_2023!G1886</f>
        <v>166.14987600000001</v>
      </c>
      <c r="H1886" s="901">
        <f>GLOBAL_DER_FEV_2023!H1886</f>
        <v>0</v>
      </c>
      <c r="I1886" s="901">
        <f>GLOBAL_DER_FEV_2023!I1886</f>
        <v>0</v>
      </c>
      <c r="J1886" s="902">
        <f>GLOBAL_DER_FEV_2023!J1886</f>
        <v>0</v>
      </c>
      <c r="K1886" s="903"/>
      <c r="L1886" s="1177"/>
      <c r="M1886" s="1138">
        <f t="shared" si="142"/>
        <v>0</v>
      </c>
      <c r="N1886" s="1176">
        <f t="shared" si="141"/>
        <v>0</v>
      </c>
      <c r="O1886" s="905"/>
      <c r="P1886" s="36" t="str">
        <f>IF(N1884&gt;0,"xx",IF(N1884&gt;0,"xy",""))</f>
        <v/>
      </c>
      <c r="Q1886" s="317" t="str">
        <f t="shared" si="143"/>
        <v/>
      </c>
      <c r="R1886" s="317" t="str">
        <f t="shared" si="144"/>
        <v/>
      </c>
      <c r="S1886" s="317" t="str">
        <f t="shared" si="145"/>
        <v/>
      </c>
      <c r="T1886" s="317" t="str">
        <f>GLOBAL_DER_FEV_2023!S1886</f>
        <v/>
      </c>
      <c r="W1886" s="582">
        <v>0</v>
      </c>
      <c r="X1886" s="580"/>
      <c r="Y1886" s="583">
        <f>IF(GLOBAL_DER_FEV_2023!W1886=0,0,IF(GLOBAL_DER_FEV_2023!W1886&gt;0,"c","b"))</f>
        <v>0</v>
      </c>
    </row>
    <row r="1887" spans="1:25" ht="15" hidden="1" customHeight="1" x14ac:dyDescent="0.2">
      <c r="A1887" s="317" t="s">
        <v>147</v>
      </c>
      <c r="B1887" s="895" t="s">
        <v>147</v>
      </c>
      <c r="C1887" s="896"/>
      <c r="D1887" s="906" t="s">
        <v>233</v>
      </c>
      <c r="E1887" s="907">
        <f>GLOBAL_DER_FEV_2023!E1887</f>
        <v>0.2</v>
      </c>
      <c r="F1887" s="908">
        <f>GLOBAL_DER_FEV_2023!F1887</f>
        <v>1.8593</v>
      </c>
      <c r="G1887" s="949">
        <f>GLOBAL_DER_FEV_2023!G1887</f>
        <v>5.3808141999999997</v>
      </c>
      <c r="H1887" s="901">
        <f>GLOBAL_DER_FEV_2023!H1887</f>
        <v>0</v>
      </c>
      <c r="I1887" s="901">
        <f>GLOBAL_DER_FEV_2023!I1887</f>
        <v>0</v>
      </c>
      <c r="J1887" s="902">
        <f>GLOBAL_DER_FEV_2023!J1887</f>
        <v>0</v>
      </c>
      <c r="K1887" s="903"/>
      <c r="L1887" s="1177"/>
      <c r="M1887" s="1138">
        <f t="shared" si="142"/>
        <v>0</v>
      </c>
      <c r="N1887" s="1176">
        <f t="shared" si="141"/>
        <v>0</v>
      </c>
      <c r="O1887" s="905"/>
      <c r="P1887" s="36" t="str">
        <f>IF(N1884&gt;0,"xx",IF(N1884&gt;0,"xy",""))</f>
        <v/>
      </c>
      <c r="Q1887" s="317" t="str">
        <f t="shared" si="143"/>
        <v/>
      </c>
      <c r="R1887" s="317" t="str">
        <f t="shared" si="144"/>
        <v/>
      </c>
      <c r="S1887" s="317" t="str">
        <f t="shared" si="145"/>
        <v/>
      </c>
      <c r="T1887" s="317" t="str">
        <f>GLOBAL_DER_FEV_2023!S1887</f>
        <v/>
      </c>
      <c r="W1887" s="582">
        <v>0</v>
      </c>
      <c r="X1887" s="580"/>
      <c r="Y1887" s="583">
        <f>IF(GLOBAL_DER_FEV_2023!W1887=0,0,IF(GLOBAL_DER_FEV_2023!W1887&gt;0,"c","b"))</f>
        <v>0</v>
      </c>
    </row>
    <row r="1888" spans="1:25" ht="15" hidden="1" customHeight="1" x14ac:dyDescent="0.2">
      <c r="A1888" s="317">
        <v>620200</v>
      </c>
      <c r="B1888" s="895" t="s">
        <v>1821</v>
      </c>
      <c r="C1888" s="896" t="s">
        <v>184</v>
      </c>
      <c r="D1888" s="906" t="s">
        <v>351</v>
      </c>
      <c r="E1888" s="907">
        <f>GLOBAL_DER_FEV_2023!E1888</f>
        <v>0</v>
      </c>
      <c r="F1888" s="908">
        <f>GLOBAL_DER_FEV_2023!F1888</f>
        <v>0</v>
      </c>
      <c r="G1888" s="912">
        <f>GLOBAL_DER_FEV_2023!G1888</f>
        <v>351.72359720000003</v>
      </c>
      <c r="H1888" s="901">
        <f>GLOBAL_DER_FEV_2023!H1888</f>
        <v>1321.46</v>
      </c>
      <c r="I1888" s="901">
        <f>GLOBAL_DER_FEV_2023!I1888</f>
        <v>1673.1835972000001</v>
      </c>
      <c r="J1888" s="902">
        <f>GLOBAL_DER_FEV_2023!J1888</f>
        <v>2008.99</v>
      </c>
      <c r="K1888" s="903" t="s">
        <v>15</v>
      </c>
      <c r="L1888" s="1137"/>
      <c r="M1888" s="1138">
        <f t="shared" si="142"/>
        <v>0</v>
      </c>
      <c r="N1888" s="1176">
        <f t="shared" si="141"/>
        <v>0</v>
      </c>
      <c r="O1888" s="905"/>
      <c r="Q1888" s="317" t="str">
        <f t="shared" si="143"/>
        <v/>
      </c>
      <c r="R1888" s="317" t="str">
        <f t="shared" si="144"/>
        <v/>
      </c>
      <c r="S1888" s="317" t="str">
        <f t="shared" si="145"/>
        <v/>
      </c>
      <c r="T1888" s="317" t="str">
        <f>GLOBAL_DER_FEV_2023!S1888</f>
        <v/>
      </c>
      <c r="W1888" s="582">
        <v>0</v>
      </c>
      <c r="X1888" s="580"/>
      <c r="Y1888" s="583">
        <f>IF(GLOBAL_DER_FEV_2023!W1888=0,0,IF(GLOBAL_DER_FEV_2023!W1888&gt;0,"c","b"))</f>
        <v>0</v>
      </c>
    </row>
    <row r="1889" spans="1:25" ht="15" hidden="1" customHeight="1" x14ac:dyDescent="0.2">
      <c r="A1889" s="317" t="s">
        <v>147</v>
      </c>
      <c r="B1889" s="895" t="s">
        <v>147</v>
      </c>
      <c r="C1889" s="896"/>
      <c r="D1889" s="906" t="s">
        <v>190</v>
      </c>
      <c r="E1889" s="907">
        <f>GLOBAL_DER_FEV_2023!E1889</f>
        <v>308</v>
      </c>
      <c r="F1889" s="908">
        <f>GLOBAL_DER_FEV_2023!F1889</f>
        <v>0.4153</v>
      </c>
      <c r="G1889" s="909">
        <f>GLOBAL_DER_FEV_2023!G1889</f>
        <v>103.019318</v>
      </c>
      <c r="H1889" s="901">
        <f>GLOBAL_DER_FEV_2023!H1889</f>
        <v>0</v>
      </c>
      <c r="I1889" s="901">
        <f>GLOBAL_DER_FEV_2023!I1889</f>
        <v>0</v>
      </c>
      <c r="J1889" s="902">
        <f>GLOBAL_DER_FEV_2023!J1889</f>
        <v>0</v>
      </c>
      <c r="K1889" s="903"/>
      <c r="L1889" s="1177"/>
      <c r="M1889" s="1138">
        <f t="shared" si="142"/>
        <v>0</v>
      </c>
      <c r="N1889" s="1176">
        <f t="shared" ref="N1889:N1952" si="146">IF(ISBLANK(L1889),0,IF(W1889=0,ROUND(L1889*M1889,2),IF(W1889="b",ROUNDDOWN(L1889*M1889,2),ROUNDUP(L1889*M1889,2))))</f>
        <v>0</v>
      </c>
      <c r="O1889" s="905"/>
      <c r="P1889" s="36" t="str">
        <f>IF(N1888&gt;0,"xx",IF(N1888&gt;0,"xy",""))</f>
        <v/>
      </c>
      <c r="Q1889" s="317" t="str">
        <f t="shared" si="143"/>
        <v/>
      </c>
      <c r="R1889" s="317" t="str">
        <f t="shared" si="144"/>
        <v/>
      </c>
      <c r="S1889" s="317" t="str">
        <f t="shared" si="145"/>
        <v/>
      </c>
      <c r="T1889" s="317" t="str">
        <f>GLOBAL_DER_FEV_2023!S1889</f>
        <v/>
      </c>
      <c r="W1889" s="582">
        <v>0</v>
      </c>
      <c r="X1889" s="580"/>
      <c r="Y1889" s="583">
        <f>IF(GLOBAL_DER_FEV_2023!W1889=0,0,IF(GLOBAL_DER_FEV_2023!W1889&gt;0,"c","b"))</f>
        <v>0</v>
      </c>
    </row>
    <row r="1890" spans="1:25" ht="15" hidden="1" customHeight="1" x14ac:dyDescent="0.2">
      <c r="A1890" s="317" t="s">
        <v>147</v>
      </c>
      <c r="B1890" s="895" t="s">
        <v>147</v>
      </c>
      <c r="C1890" s="896"/>
      <c r="D1890" s="906" t="s">
        <v>229</v>
      </c>
      <c r="E1890" s="907">
        <f>GLOBAL_DER_FEV_2023!E1890</f>
        <v>150</v>
      </c>
      <c r="F1890" s="908">
        <f>GLOBAL_DER_FEV_2023!F1890</f>
        <v>1.4762999999999999</v>
      </c>
      <c r="G1890" s="949">
        <f>GLOBAL_DER_FEV_2023!G1890</f>
        <v>240.90263400000001</v>
      </c>
      <c r="H1890" s="901">
        <f>GLOBAL_DER_FEV_2023!H1890</f>
        <v>0</v>
      </c>
      <c r="I1890" s="901">
        <f>GLOBAL_DER_FEV_2023!I1890</f>
        <v>0</v>
      </c>
      <c r="J1890" s="902">
        <f>GLOBAL_DER_FEV_2023!J1890</f>
        <v>0</v>
      </c>
      <c r="K1890" s="903"/>
      <c r="L1890" s="1177"/>
      <c r="M1890" s="1138">
        <f t="shared" si="142"/>
        <v>0</v>
      </c>
      <c r="N1890" s="1176">
        <f t="shared" si="146"/>
        <v>0</v>
      </c>
      <c r="O1890" s="905"/>
      <c r="P1890" s="36" t="str">
        <f>IF(N1888&gt;0,"xx",IF(N1888&gt;0,"xy",""))</f>
        <v/>
      </c>
      <c r="Q1890" s="317" t="str">
        <f t="shared" si="143"/>
        <v/>
      </c>
      <c r="R1890" s="317" t="str">
        <f t="shared" si="144"/>
        <v/>
      </c>
      <c r="S1890" s="317" t="str">
        <f t="shared" si="145"/>
        <v/>
      </c>
      <c r="T1890" s="317" t="str">
        <f>GLOBAL_DER_FEV_2023!S1890</f>
        <v/>
      </c>
      <c r="W1890" s="582">
        <v>0</v>
      </c>
      <c r="X1890" s="580"/>
      <c r="Y1890" s="583">
        <f>IF(GLOBAL_DER_FEV_2023!W1890=0,0,IF(GLOBAL_DER_FEV_2023!W1890&gt;0,"c","b"))</f>
        <v>0</v>
      </c>
    </row>
    <row r="1891" spans="1:25" ht="15" hidden="1" customHeight="1" x14ac:dyDescent="0.2">
      <c r="A1891" s="317" t="s">
        <v>147</v>
      </c>
      <c r="B1891" s="895" t="s">
        <v>147</v>
      </c>
      <c r="C1891" s="896"/>
      <c r="D1891" s="906" t="s">
        <v>233</v>
      </c>
      <c r="E1891" s="907">
        <f>GLOBAL_DER_FEV_2023!E1891</f>
        <v>0.2</v>
      </c>
      <c r="F1891" s="908">
        <f>GLOBAL_DER_FEV_2023!F1891</f>
        <v>2.6958000000000002</v>
      </c>
      <c r="G1891" s="949">
        <f>GLOBAL_DER_FEV_2023!G1891</f>
        <v>7.8016452000000012</v>
      </c>
      <c r="H1891" s="901">
        <f>GLOBAL_DER_FEV_2023!H1891</f>
        <v>0</v>
      </c>
      <c r="I1891" s="901">
        <f>GLOBAL_DER_FEV_2023!I1891</f>
        <v>0</v>
      </c>
      <c r="J1891" s="902">
        <f>GLOBAL_DER_FEV_2023!J1891</f>
        <v>0</v>
      </c>
      <c r="K1891" s="903"/>
      <c r="L1891" s="1177"/>
      <c r="M1891" s="1138">
        <f t="shared" si="142"/>
        <v>0</v>
      </c>
      <c r="N1891" s="1176">
        <f t="shared" si="146"/>
        <v>0</v>
      </c>
      <c r="O1891" s="905"/>
      <c r="P1891" s="36" t="str">
        <f>IF(N1888&gt;0,"xx",IF(N1888&gt;0,"xy",""))</f>
        <v/>
      </c>
      <c r="Q1891" s="317" t="str">
        <f t="shared" si="143"/>
        <v/>
      </c>
      <c r="R1891" s="317" t="str">
        <f t="shared" si="144"/>
        <v/>
      </c>
      <c r="S1891" s="317" t="str">
        <f t="shared" si="145"/>
        <v/>
      </c>
      <c r="T1891" s="317" t="str">
        <f>GLOBAL_DER_FEV_2023!S1891</f>
        <v/>
      </c>
      <c r="W1891" s="582">
        <v>0</v>
      </c>
      <c r="X1891" s="580"/>
      <c r="Y1891" s="583">
        <f>IF(GLOBAL_DER_FEV_2023!W1891=0,0,IF(GLOBAL_DER_FEV_2023!W1891&gt;0,"c","b"))</f>
        <v>0</v>
      </c>
    </row>
    <row r="1892" spans="1:25" ht="15" hidden="1" customHeight="1" x14ac:dyDescent="0.2">
      <c r="A1892" s="317">
        <v>620700</v>
      </c>
      <c r="B1892" s="895">
        <v>620700</v>
      </c>
      <c r="C1892" s="896" t="s">
        <v>184</v>
      </c>
      <c r="D1892" s="906" t="s">
        <v>352</v>
      </c>
      <c r="E1892" s="907">
        <f>GLOBAL_DER_FEV_2023!E1892</f>
        <v>0</v>
      </c>
      <c r="F1892" s="908">
        <f>GLOBAL_DER_FEV_2023!F1892</f>
        <v>0</v>
      </c>
      <c r="G1892" s="912">
        <f>GLOBAL_DER_FEV_2023!G1892</f>
        <v>527.79857420000008</v>
      </c>
      <c r="H1892" s="901">
        <f>GLOBAL_DER_FEV_2023!H1892</f>
        <v>2601.2199999999998</v>
      </c>
      <c r="I1892" s="901">
        <f>GLOBAL_DER_FEV_2023!I1892</f>
        <v>3129.0185741999999</v>
      </c>
      <c r="J1892" s="902">
        <f>GLOBAL_DER_FEV_2023!J1892</f>
        <v>3757.01</v>
      </c>
      <c r="K1892" s="903" t="s">
        <v>15</v>
      </c>
      <c r="L1892" s="1137"/>
      <c r="M1892" s="1138">
        <f t="shared" si="142"/>
        <v>0</v>
      </c>
      <c r="N1892" s="1176">
        <f t="shared" si="146"/>
        <v>0</v>
      </c>
      <c r="O1892" s="905"/>
      <c r="Q1892" s="317" t="str">
        <f t="shared" si="143"/>
        <v/>
      </c>
      <c r="R1892" s="317" t="str">
        <f t="shared" si="144"/>
        <v/>
      </c>
      <c r="S1892" s="317" t="str">
        <f t="shared" si="145"/>
        <v/>
      </c>
      <c r="T1892" s="317" t="str">
        <f>GLOBAL_DER_FEV_2023!S1892</f>
        <v/>
      </c>
      <c r="W1892" s="582">
        <v>0</v>
      </c>
      <c r="X1892" s="580"/>
      <c r="Y1892" s="583">
        <f>IF(GLOBAL_DER_FEV_2023!W1892=0,0,IF(GLOBAL_DER_FEV_2023!W1892&gt;0,"c","b"))</f>
        <v>0</v>
      </c>
    </row>
    <row r="1893" spans="1:25" ht="15" hidden="1" customHeight="1" x14ac:dyDescent="0.2">
      <c r="A1893" s="317" t="s">
        <v>147</v>
      </c>
      <c r="B1893" s="895" t="s">
        <v>147</v>
      </c>
      <c r="C1893" s="896"/>
      <c r="D1893" s="906" t="s">
        <v>190</v>
      </c>
      <c r="E1893" s="907">
        <f>GLOBAL_DER_FEV_2023!E1893</f>
        <v>308</v>
      </c>
      <c r="F1893" s="908" t="str">
        <f>GLOBAL_DER_FEV_2023!F1893</f>
        <v>0,6231</v>
      </c>
      <c r="G1893" s="909">
        <f>GLOBAL_DER_FEV_2023!G1893</f>
        <v>154.56618599999999</v>
      </c>
      <c r="H1893" s="901">
        <f>GLOBAL_DER_FEV_2023!H1893</f>
        <v>0</v>
      </c>
      <c r="I1893" s="901">
        <f>GLOBAL_DER_FEV_2023!I1893</f>
        <v>0</v>
      </c>
      <c r="J1893" s="902">
        <f>GLOBAL_DER_FEV_2023!J1893</f>
        <v>0</v>
      </c>
      <c r="K1893" s="903"/>
      <c r="L1893" s="1177"/>
      <c r="M1893" s="1138">
        <f t="shared" si="142"/>
        <v>0</v>
      </c>
      <c r="N1893" s="1176">
        <f t="shared" si="146"/>
        <v>0</v>
      </c>
      <c r="O1893" s="905"/>
      <c r="P1893" s="36" t="str">
        <f>IF(N1892&gt;0,"xx",IF(N1892&gt;0,"xy",""))</f>
        <v/>
      </c>
      <c r="Q1893" s="317" t="str">
        <f t="shared" si="143"/>
        <v/>
      </c>
      <c r="R1893" s="317" t="str">
        <f t="shared" si="144"/>
        <v/>
      </c>
      <c r="S1893" s="317" t="str">
        <f t="shared" si="145"/>
        <v/>
      </c>
      <c r="T1893" s="317" t="str">
        <f>GLOBAL_DER_FEV_2023!S1893</f>
        <v/>
      </c>
      <c r="W1893" s="582">
        <v>0</v>
      </c>
      <c r="X1893" s="580"/>
      <c r="Y1893" s="583">
        <f>IF(GLOBAL_DER_FEV_2023!W1893=0,0,IF(GLOBAL_DER_FEV_2023!W1893&gt;0,"c","b"))</f>
        <v>0</v>
      </c>
    </row>
    <row r="1894" spans="1:25" ht="15" hidden="1" customHeight="1" x14ac:dyDescent="0.2">
      <c r="A1894" s="317" t="s">
        <v>147</v>
      </c>
      <c r="B1894" s="895" t="s">
        <v>147</v>
      </c>
      <c r="C1894" s="896"/>
      <c r="D1894" s="906" t="s">
        <v>229</v>
      </c>
      <c r="E1894" s="907">
        <f>GLOBAL_DER_FEV_2023!E1894</f>
        <v>150</v>
      </c>
      <c r="F1894" s="908" t="str">
        <f>GLOBAL_DER_FEV_2023!F1894</f>
        <v>2,2155</v>
      </c>
      <c r="G1894" s="949">
        <f>GLOBAL_DER_FEV_2023!G1894</f>
        <v>361.52529000000004</v>
      </c>
      <c r="H1894" s="901">
        <f>GLOBAL_DER_FEV_2023!H1894</f>
        <v>0</v>
      </c>
      <c r="I1894" s="901">
        <f>GLOBAL_DER_FEV_2023!I1894</f>
        <v>0</v>
      </c>
      <c r="J1894" s="902">
        <f>GLOBAL_DER_FEV_2023!J1894</f>
        <v>0</v>
      </c>
      <c r="K1894" s="903"/>
      <c r="L1894" s="1177"/>
      <c r="M1894" s="1138">
        <f t="shared" si="142"/>
        <v>0</v>
      </c>
      <c r="N1894" s="1176">
        <f t="shared" si="146"/>
        <v>0</v>
      </c>
      <c r="O1894" s="905"/>
      <c r="P1894" s="36" t="str">
        <f>IF(N1892&gt;0,"xx",IF(N1892&gt;0,"xy",""))</f>
        <v/>
      </c>
      <c r="Q1894" s="317" t="str">
        <f t="shared" si="143"/>
        <v/>
      </c>
      <c r="R1894" s="317" t="str">
        <f t="shared" si="144"/>
        <v/>
      </c>
      <c r="S1894" s="317" t="str">
        <f t="shared" si="145"/>
        <v/>
      </c>
      <c r="T1894" s="317" t="str">
        <f>GLOBAL_DER_FEV_2023!S1894</f>
        <v/>
      </c>
      <c r="W1894" s="582">
        <v>0</v>
      </c>
      <c r="X1894" s="580"/>
      <c r="Y1894" s="583">
        <f>IF(GLOBAL_DER_FEV_2023!W1894=0,0,IF(GLOBAL_DER_FEV_2023!W1894&gt;0,"c","b"))</f>
        <v>0</v>
      </c>
    </row>
    <row r="1895" spans="1:25" ht="15" hidden="1" customHeight="1" x14ac:dyDescent="0.2">
      <c r="A1895" s="317" t="s">
        <v>147</v>
      </c>
      <c r="B1895" s="895" t="s">
        <v>147</v>
      </c>
      <c r="C1895" s="896"/>
      <c r="D1895" s="906" t="s">
        <v>233</v>
      </c>
      <c r="E1895" s="907">
        <f>GLOBAL_DER_FEV_2023!E1895</f>
        <v>0.2</v>
      </c>
      <c r="F1895" s="908">
        <f>GLOBAL_DER_FEV_2023!F1895</f>
        <v>4.0453000000000001</v>
      </c>
      <c r="G1895" s="949">
        <f>GLOBAL_DER_FEV_2023!G1895</f>
        <v>11.707098200000001</v>
      </c>
      <c r="H1895" s="901">
        <f>GLOBAL_DER_FEV_2023!H1895</f>
        <v>0</v>
      </c>
      <c r="I1895" s="901">
        <f>GLOBAL_DER_FEV_2023!I1895</f>
        <v>0</v>
      </c>
      <c r="J1895" s="902">
        <f>GLOBAL_DER_FEV_2023!J1895</f>
        <v>0</v>
      </c>
      <c r="K1895" s="903"/>
      <c r="L1895" s="1177"/>
      <c r="M1895" s="1138">
        <f t="shared" si="142"/>
        <v>0</v>
      </c>
      <c r="N1895" s="1176">
        <f t="shared" si="146"/>
        <v>0</v>
      </c>
      <c r="O1895" s="905"/>
      <c r="P1895" s="36" t="str">
        <f>IF(N1892&gt;0,"xx",IF(N1892&gt;0,"xy",""))</f>
        <v/>
      </c>
      <c r="Q1895" s="317" t="str">
        <f t="shared" si="143"/>
        <v/>
      </c>
      <c r="R1895" s="317" t="str">
        <f t="shared" si="144"/>
        <v/>
      </c>
      <c r="S1895" s="317" t="str">
        <f t="shared" si="145"/>
        <v/>
      </c>
      <c r="T1895" s="317" t="str">
        <f>GLOBAL_DER_FEV_2023!S1895</f>
        <v/>
      </c>
      <c r="W1895" s="582">
        <v>0</v>
      </c>
      <c r="X1895" s="580"/>
      <c r="Y1895" s="583">
        <f>IF(GLOBAL_DER_FEV_2023!W1895=0,0,IF(GLOBAL_DER_FEV_2023!W1895&gt;0,"c","b"))</f>
        <v>0</v>
      </c>
    </row>
    <row r="1896" spans="1:25" ht="15" hidden="1" customHeight="1" x14ac:dyDescent="0.2">
      <c r="A1896" s="317">
        <v>620800</v>
      </c>
      <c r="B1896" s="895">
        <v>620800</v>
      </c>
      <c r="C1896" s="896" t="s">
        <v>184</v>
      </c>
      <c r="D1896" s="906" t="s">
        <v>353</v>
      </c>
      <c r="E1896" s="907">
        <f>GLOBAL_DER_FEV_2023!E1896</f>
        <v>0</v>
      </c>
      <c r="F1896" s="908">
        <f>GLOBAL_DER_FEV_2023!F1896</f>
        <v>0</v>
      </c>
      <c r="G1896" s="912">
        <f>GLOBAL_DER_FEV_2023!G1896</f>
        <v>693.98811260000002</v>
      </c>
      <c r="H1896" s="901">
        <f>GLOBAL_DER_FEV_2023!H1896</f>
        <v>3307.79</v>
      </c>
      <c r="I1896" s="901">
        <f>GLOBAL_DER_FEV_2023!I1896</f>
        <v>4001.7781126</v>
      </c>
      <c r="J1896" s="902">
        <f>GLOBAL_DER_FEV_2023!J1896</f>
        <v>4804.93</v>
      </c>
      <c r="K1896" s="903" t="s">
        <v>15</v>
      </c>
      <c r="L1896" s="1137"/>
      <c r="M1896" s="1138">
        <f t="shared" si="142"/>
        <v>0</v>
      </c>
      <c r="N1896" s="1176">
        <f t="shared" si="146"/>
        <v>0</v>
      </c>
      <c r="O1896" s="905"/>
      <c r="Q1896" s="317" t="str">
        <f t="shared" si="143"/>
        <v/>
      </c>
      <c r="R1896" s="317" t="str">
        <f t="shared" si="144"/>
        <v/>
      </c>
      <c r="S1896" s="317" t="str">
        <f t="shared" si="145"/>
        <v/>
      </c>
      <c r="T1896" s="317" t="str">
        <f>GLOBAL_DER_FEV_2023!S1896</f>
        <v/>
      </c>
      <c r="W1896" s="582">
        <v>0</v>
      </c>
      <c r="X1896" s="580"/>
      <c r="Y1896" s="583">
        <f>IF(GLOBAL_DER_FEV_2023!W1896=0,0,IF(GLOBAL_DER_FEV_2023!W1896&gt;0,"c","b"))</f>
        <v>0</v>
      </c>
    </row>
    <row r="1897" spans="1:25" ht="15" hidden="1" customHeight="1" x14ac:dyDescent="0.2">
      <c r="A1897" s="317" t="s">
        <v>147</v>
      </c>
      <c r="B1897" s="895" t="s">
        <v>147</v>
      </c>
      <c r="C1897" s="896"/>
      <c r="D1897" s="906" t="s">
        <v>190</v>
      </c>
      <c r="E1897" s="907">
        <f>GLOBAL_DER_FEV_2023!E1897</f>
        <v>308</v>
      </c>
      <c r="F1897" s="908">
        <f>GLOBAL_DER_FEV_2023!F1897</f>
        <v>0.81930000000000003</v>
      </c>
      <c r="G1897" s="909">
        <f>GLOBAL_DER_FEV_2023!G1897</f>
        <v>203.235558</v>
      </c>
      <c r="H1897" s="901">
        <f>GLOBAL_DER_FEV_2023!H1897</f>
        <v>0</v>
      </c>
      <c r="I1897" s="901">
        <f>GLOBAL_DER_FEV_2023!I1897</f>
        <v>0</v>
      </c>
      <c r="J1897" s="902">
        <f>GLOBAL_DER_FEV_2023!J1897</f>
        <v>0</v>
      </c>
      <c r="K1897" s="903"/>
      <c r="L1897" s="1177"/>
      <c r="M1897" s="1138">
        <f t="shared" si="142"/>
        <v>0</v>
      </c>
      <c r="N1897" s="1176">
        <f t="shared" si="146"/>
        <v>0</v>
      </c>
      <c r="O1897" s="905"/>
      <c r="P1897" s="36" t="str">
        <f>IF(N1896&gt;0,"xx",IF(N1896&gt;0,"xy",""))</f>
        <v/>
      </c>
      <c r="Q1897" s="317" t="str">
        <f t="shared" si="143"/>
        <v/>
      </c>
      <c r="R1897" s="317" t="str">
        <f t="shared" si="144"/>
        <v/>
      </c>
      <c r="S1897" s="317" t="str">
        <f t="shared" si="145"/>
        <v/>
      </c>
      <c r="T1897" s="317" t="str">
        <f>GLOBAL_DER_FEV_2023!S1897</f>
        <v/>
      </c>
      <c r="W1897" s="582">
        <v>0</v>
      </c>
      <c r="X1897" s="580"/>
      <c r="Y1897" s="583">
        <f>IF(GLOBAL_DER_FEV_2023!W1897=0,0,IF(GLOBAL_DER_FEV_2023!W1897&gt;0,"c","b"))</f>
        <v>0</v>
      </c>
    </row>
    <row r="1898" spans="1:25" ht="15" hidden="1" customHeight="1" x14ac:dyDescent="0.2">
      <c r="A1898" s="317" t="s">
        <v>147</v>
      </c>
      <c r="B1898" s="895" t="s">
        <v>147</v>
      </c>
      <c r="C1898" s="896"/>
      <c r="D1898" s="906" t="s">
        <v>229</v>
      </c>
      <c r="E1898" s="907">
        <f>GLOBAL_DER_FEV_2023!E1898</f>
        <v>150</v>
      </c>
      <c r="F1898" s="908">
        <f>GLOBAL_DER_FEV_2023!F1898</f>
        <v>2.9131</v>
      </c>
      <c r="G1898" s="949">
        <f>GLOBAL_DER_FEV_2023!G1898</f>
        <v>475.35965800000002</v>
      </c>
      <c r="H1898" s="901">
        <f>GLOBAL_DER_FEV_2023!H1898</f>
        <v>0</v>
      </c>
      <c r="I1898" s="901">
        <f>GLOBAL_DER_FEV_2023!I1898</f>
        <v>0</v>
      </c>
      <c r="J1898" s="902">
        <f>GLOBAL_DER_FEV_2023!J1898</f>
        <v>0</v>
      </c>
      <c r="K1898" s="903"/>
      <c r="L1898" s="1177"/>
      <c r="M1898" s="1138">
        <f t="shared" si="142"/>
        <v>0</v>
      </c>
      <c r="N1898" s="1176">
        <f t="shared" si="146"/>
        <v>0</v>
      </c>
      <c r="O1898" s="905"/>
      <c r="P1898" s="36" t="str">
        <f>IF(N1896&gt;0,"xx",IF(N1896&gt;0,"xy",""))</f>
        <v/>
      </c>
      <c r="Q1898" s="317" t="str">
        <f t="shared" si="143"/>
        <v/>
      </c>
      <c r="R1898" s="317" t="str">
        <f t="shared" si="144"/>
        <v/>
      </c>
      <c r="S1898" s="317" t="str">
        <f t="shared" si="145"/>
        <v/>
      </c>
      <c r="T1898" s="317" t="str">
        <f>GLOBAL_DER_FEV_2023!S1898</f>
        <v/>
      </c>
      <c r="W1898" s="582">
        <v>0</v>
      </c>
      <c r="X1898" s="580"/>
      <c r="Y1898" s="583">
        <f>IF(GLOBAL_DER_FEV_2023!W1898=0,0,IF(GLOBAL_DER_FEV_2023!W1898&gt;0,"c","b"))</f>
        <v>0</v>
      </c>
    </row>
    <row r="1899" spans="1:25" ht="15" hidden="1" customHeight="1" x14ac:dyDescent="0.2">
      <c r="A1899" s="317" t="s">
        <v>147</v>
      </c>
      <c r="B1899" s="895" t="s">
        <v>147</v>
      </c>
      <c r="C1899" s="896"/>
      <c r="D1899" s="906" t="s">
        <v>233</v>
      </c>
      <c r="E1899" s="907">
        <f>GLOBAL_DER_FEV_2023!E1899</f>
        <v>0.2</v>
      </c>
      <c r="F1899" s="908">
        <f>GLOBAL_DER_FEV_2023!F1899</f>
        <v>5.3189000000000002</v>
      </c>
      <c r="G1899" s="949">
        <f>GLOBAL_DER_FEV_2023!G1899</f>
        <v>15.392896600000002</v>
      </c>
      <c r="H1899" s="901">
        <f>GLOBAL_DER_FEV_2023!H1899</f>
        <v>0</v>
      </c>
      <c r="I1899" s="901">
        <f>GLOBAL_DER_FEV_2023!I1899</f>
        <v>0</v>
      </c>
      <c r="J1899" s="902">
        <f>GLOBAL_DER_FEV_2023!J1899</f>
        <v>0</v>
      </c>
      <c r="K1899" s="903"/>
      <c r="L1899" s="1177"/>
      <c r="M1899" s="1138">
        <f t="shared" si="142"/>
        <v>0</v>
      </c>
      <c r="N1899" s="1176">
        <f t="shared" si="146"/>
        <v>0</v>
      </c>
      <c r="O1899" s="905"/>
      <c r="P1899" s="36" t="str">
        <f>IF(N1896&gt;0,"xx",IF(N1896&gt;0,"xy",""))</f>
        <v/>
      </c>
      <c r="Q1899" s="317" t="str">
        <f t="shared" si="143"/>
        <v/>
      </c>
      <c r="R1899" s="317" t="str">
        <f t="shared" si="144"/>
        <v/>
      </c>
      <c r="S1899" s="317" t="str">
        <f t="shared" si="145"/>
        <v/>
      </c>
      <c r="T1899" s="317" t="str">
        <f>GLOBAL_DER_FEV_2023!S1899</f>
        <v/>
      </c>
      <c r="W1899" s="582">
        <v>0</v>
      </c>
      <c r="X1899" s="580"/>
      <c r="Y1899" s="583">
        <f>IF(GLOBAL_DER_FEV_2023!W1899=0,0,IF(GLOBAL_DER_FEV_2023!W1899&gt;0,"c","b"))</f>
        <v>0</v>
      </c>
    </row>
    <row r="1900" spans="1:25" ht="15" hidden="1" customHeight="1" x14ac:dyDescent="0.2">
      <c r="A1900" s="317">
        <v>620900</v>
      </c>
      <c r="B1900" s="895">
        <v>620900</v>
      </c>
      <c r="C1900" s="896" t="s">
        <v>184</v>
      </c>
      <c r="D1900" s="906" t="s">
        <v>354</v>
      </c>
      <c r="E1900" s="907">
        <f>GLOBAL_DER_FEV_2023!E1900</f>
        <v>0</v>
      </c>
      <c r="F1900" s="908">
        <f>GLOBAL_DER_FEV_2023!F1900</f>
        <v>0</v>
      </c>
      <c r="G1900" s="912">
        <f>GLOBAL_DER_FEV_2023!G1900</f>
        <v>1364.1181708000001</v>
      </c>
      <c r="H1900" s="901">
        <f>GLOBAL_DER_FEV_2023!H1900</f>
        <v>5805.6</v>
      </c>
      <c r="I1900" s="901">
        <f>GLOBAL_DER_FEV_2023!I1900</f>
        <v>7169.7181708000007</v>
      </c>
      <c r="J1900" s="902">
        <f>GLOBAL_DER_FEV_2023!J1900</f>
        <v>8608.68</v>
      </c>
      <c r="K1900" s="903" t="s">
        <v>15</v>
      </c>
      <c r="L1900" s="1137"/>
      <c r="M1900" s="1138">
        <f t="shared" si="142"/>
        <v>0</v>
      </c>
      <c r="N1900" s="1176">
        <f t="shared" si="146"/>
        <v>0</v>
      </c>
      <c r="O1900" s="905"/>
      <c r="Q1900" s="317" t="str">
        <f t="shared" si="143"/>
        <v/>
      </c>
      <c r="R1900" s="317" t="str">
        <f t="shared" si="144"/>
        <v/>
      </c>
      <c r="S1900" s="317" t="str">
        <f t="shared" si="145"/>
        <v/>
      </c>
      <c r="T1900" s="317" t="str">
        <f>GLOBAL_DER_FEV_2023!S1900</f>
        <v/>
      </c>
      <c r="W1900" s="582">
        <v>0</v>
      </c>
      <c r="X1900" s="580"/>
      <c r="Y1900" s="583">
        <f>IF(GLOBAL_DER_FEV_2023!W1900=0,0,IF(GLOBAL_DER_FEV_2023!W1900&gt;0,"c","b"))</f>
        <v>0</v>
      </c>
    </row>
    <row r="1901" spans="1:25" ht="15" hidden="1" customHeight="1" x14ac:dyDescent="0.2">
      <c r="A1901" s="317" t="s">
        <v>147</v>
      </c>
      <c r="B1901" s="895" t="s">
        <v>147</v>
      </c>
      <c r="C1901" s="896"/>
      <c r="D1901" s="906" t="s">
        <v>190</v>
      </c>
      <c r="E1901" s="907">
        <f>GLOBAL_DER_FEV_2023!E1901</f>
        <v>308</v>
      </c>
      <c r="F1901" s="908">
        <f>GLOBAL_DER_FEV_2023!F1901</f>
        <v>1.6104000000000001</v>
      </c>
      <c r="G1901" s="909">
        <f>GLOBAL_DER_FEV_2023!G1901</f>
        <v>399.47582399999999</v>
      </c>
      <c r="H1901" s="901">
        <f>GLOBAL_DER_FEV_2023!H1901</f>
        <v>0</v>
      </c>
      <c r="I1901" s="901">
        <f>GLOBAL_DER_FEV_2023!I1901</f>
        <v>0</v>
      </c>
      <c r="J1901" s="902">
        <f>GLOBAL_DER_FEV_2023!J1901</f>
        <v>0</v>
      </c>
      <c r="K1901" s="903"/>
      <c r="L1901" s="1177"/>
      <c r="M1901" s="1138">
        <f t="shared" si="142"/>
        <v>0</v>
      </c>
      <c r="N1901" s="1176">
        <f t="shared" si="146"/>
        <v>0</v>
      </c>
      <c r="O1901" s="905"/>
      <c r="P1901" s="36" t="str">
        <f>IF(N1900&gt;0,"xx",IF(N1900&gt;0,"xy",""))</f>
        <v/>
      </c>
      <c r="Q1901" s="317" t="str">
        <f t="shared" si="143"/>
        <v/>
      </c>
      <c r="R1901" s="317" t="str">
        <f t="shared" si="144"/>
        <v/>
      </c>
      <c r="S1901" s="317" t="str">
        <f t="shared" si="145"/>
        <v/>
      </c>
      <c r="T1901" s="317" t="str">
        <f>GLOBAL_DER_FEV_2023!S1901</f>
        <v/>
      </c>
      <c r="W1901" s="582">
        <v>0</v>
      </c>
      <c r="X1901" s="580"/>
      <c r="Y1901" s="583">
        <f>IF(GLOBAL_DER_FEV_2023!W1901=0,0,IF(GLOBAL_DER_FEV_2023!W1901&gt;0,"c","b"))</f>
        <v>0</v>
      </c>
    </row>
    <row r="1902" spans="1:25" ht="15" hidden="1" customHeight="1" x14ac:dyDescent="0.2">
      <c r="A1902" s="317" t="s">
        <v>147</v>
      </c>
      <c r="B1902" s="895" t="s">
        <v>147</v>
      </c>
      <c r="C1902" s="896"/>
      <c r="D1902" s="906" t="s">
        <v>229</v>
      </c>
      <c r="E1902" s="907">
        <f>GLOBAL_DER_FEV_2023!E1902</f>
        <v>150</v>
      </c>
      <c r="F1902" s="908">
        <f>GLOBAL_DER_FEV_2023!F1902</f>
        <v>5.7260999999999997</v>
      </c>
      <c r="G1902" s="949">
        <f>GLOBAL_DER_FEV_2023!G1902</f>
        <v>934.384998</v>
      </c>
      <c r="H1902" s="901">
        <f>GLOBAL_DER_FEV_2023!H1902</f>
        <v>0</v>
      </c>
      <c r="I1902" s="901">
        <f>GLOBAL_DER_FEV_2023!I1902</f>
        <v>0</v>
      </c>
      <c r="J1902" s="902">
        <f>GLOBAL_DER_FEV_2023!J1902</f>
        <v>0</v>
      </c>
      <c r="K1902" s="903"/>
      <c r="L1902" s="1177"/>
      <c r="M1902" s="1138">
        <f t="shared" si="142"/>
        <v>0</v>
      </c>
      <c r="N1902" s="1176">
        <f t="shared" si="146"/>
        <v>0</v>
      </c>
      <c r="O1902" s="905"/>
      <c r="P1902" s="36" t="str">
        <f>IF(N1900&gt;0,"xx",IF(N1900&gt;0,"xy",""))</f>
        <v/>
      </c>
      <c r="Q1902" s="317" t="str">
        <f t="shared" si="143"/>
        <v/>
      </c>
      <c r="R1902" s="317" t="str">
        <f t="shared" si="144"/>
        <v/>
      </c>
      <c r="S1902" s="317" t="str">
        <f t="shared" si="145"/>
        <v/>
      </c>
      <c r="T1902" s="317" t="str">
        <f>GLOBAL_DER_FEV_2023!S1902</f>
        <v/>
      </c>
      <c r="W1902" s="582">
        <v>0</v>
      </c>
      <c r="X1902" s="580"/>
      <c r="Y1902" s="583">
        <f>IF(GLOBAL_DER_FEV_2023!W1902=0,0,IF(GLOBAL_DER_FEV_2023!W1902&gt;0,"c","b"))</f>
        <v>0</v>
      </c>
    </row>
    <row r="1903" spans="1:25" ht="15" hidden="1" customHeight="1" x14ac:dyDescent="0.2">
      <c r="A1903" s="317" t="s">
        <v>147</v>
      </c>
      <c r="B1903" s="895" t="s">
        <v>147</v>
      </c>
      <c r="C1903" s="896"/>
      <c r="D1903" s="906" t="s">
        <v>233</v>
      </c>
      <c r="E1903" s="907">
        <f>GLOBAL_DER_FEV_2023!E1903</f>
        <v>0.2</v>
      </c>
      <c r="F1903" s="908">
        <f>GLOBAL_DER_FEV_2023!F1903</f>
        <v>10.4552</v>
      </c>
      <c r="G1903" s="949">
        <f>GLOBAL_DER_FEV_2023!G1903</f>
        <v>30.257348799999999</v>
      </c>
      <c r="H1903" s="901">
        <f>GLOBAL_DER_FEV_2023!H1903</f>
        <v>0</v>
      </c>
      <c r="I1903" s="901">
        <f>GLOBAL_DER_FEV_2023!I1903</f>
        <v>0</v>
      </c>
      <c r="J1903" s="902">
        <f>GLOBAL_DER_FEV_2023!J1903</f>
        <v>0</v>
      </c>
      <c r="K1903" s="903"/>
      <c r="L1903" s="1177"/>
      <c r="M1903" s="1138">
        <f t="shared" si="142"/>
        <v>0</v>
      </c>
      <c r="N1903" s="1176">
        <f t="shared" si="146"/>
        <v>0</v>
      </c>
      <c r="O1903" s="905"/>
      <c r="P1903" s="36" t="str">
        <f>IF(N1900&gt;0,"xx",IF(N1900&gt;0,"xy",""))</f>
        <v/>
      </c>
      <c r="Q1903" s="317" t="str">
        <f t="shared" si="143"/>
        <v/>
      </c>
      <c r="R1903" s="317" t="str">
        <f t="shared" si="144"/>
        <v/>
      </c>
      <c r="S1903" s="317" t="str">
        <f t="shared" si="145"/>
        <v/>
      </c>
      <c r="T1903" s="317" t="str">
        <f>GLOBAL_DER_FEV_2023!S1903</f>
        <v/>
      </c>
      <c r="W1903" s="582">
        <v>0</v>
      </c>
      <c r="X1903" s="580"/>
      <c r="Y1903" s="583">
        <f>IF(GLOBAL_DER_FEV_2023!W1903=0,0,IF(GLOBAL_DER_FEV_2023!W1903&gt;0,"c","b"))</f>
        <v>0</v>
      </c>
    </row>
    <row r="1904" spans="1:25" ht="15" hidden="1" customHeight="1" x14ac:dyDescent="0.2">
      <c r="A1904" s="317">
        <v>621000</v>
      </c>
      <c r="B1904" s="895">
        <v>621000</v>
      </c>
      <c r="C1904" s="896" t="s">
        <v>184</v>
      </c>
      <c r="D1904" s="906" t="s">
        <v>355</v>
      </c>
      <c r="E1904" s="907">
        <f>GLOBAL_DER_FEV_2023!E1904</f>
        <v>0</v>
      </c>
      <c r="F1904" s="908">
        <f>GLOBAL_DER_FEV_2023!F1904</f>
        <v>0</v>
      </c>
      <c r="G1904" s="912">
        <f>GLOBAL_DER_FEV_2023!G1904</f>
        <v>2609.7806770000002</v>
      </c>
      <c r="H1904" s="901">
        <f>GLOBAL_DER_FEV_2023!H1904</f>
        <v>10293.86</v>
      </c>
      <c r="I1904" s="901">
        <f>GLOBAL_DER_FEV_2023!I1904</f>
        <v>12903.640677000001</v>
      </c>
      <c r="J1904" s="902">
        <f>GLOBAL_DER_FEV_2023!J1904</f>
        <v>15493.4</v>
      </c>
      <c r="K1904" s="903" t="s">
        <v>15</v>
      </c>
      <c r="L1904" s="1137"/>
      <c r="M1904" s="1138">
        <f t="shared" si="142"/>
        <v>0</v>
      </c>
      <c r="N1904" s="1176">
        <f t="shared" si="146"/>
        <v>0</v>
      </c>
      <c r="O1904" s="905"/>
      <c r="Q1904" s="317" t="str">
        <f t="shared" si="143"/>
        <v/>
      </c>
      <c r="R1904" s="317" t="str">
        <f t="shared" si="144"/>
        <v/>
      </c>
      <c r="S1904" s="317" t="str">
        <f t="shared" si="145"/>
        <v/>
      </c>
      <c r="T1904" s="317" t="str">
        <f>GLOBAL_DER_FEV_2023!S1904</f>
        <v/>
      </c>
      <c r="W1904" s="582">
        <v>0</v>
      </c>
      <c r="X1904" s="580"/>
      <c r="Y1904" s="583">
        <f>IF(GLOBAL_DER_FEV_2023!W1904=0,0,IF(GLOBAL_DER_FEV_2023!W1904&gt;0,"c","b"))</f>
        <v>0</v>
      </c>
    </row>
    <row r="1905" spans="1:25" ht="15" hidden="1" customHeight="1" x14ac:dyDescent="0.2">
      <c r="A1905" s="317" t="s">
        <v>147</v>
      </c>
      <c r="B1905" s="895" t="s">
        <v>147</v>
      </c>
      <c r="C1905" s="896"/>
      <c r="D1905" s="906" t="s">
        <v>190</v>
      </c>
      <c r="E1905" s="907">
        <f>GLOBAL_DER_FEV_2023!E1905</f>
        <v>308</v>
      </c>
      <c r="F1905" s="908">
        <f>GLOBAL_DER_FEV_2023!F1905</f>
        <v>3.081</v>
      </c>
      <c r="G1905" s="909">
        <f>GLOBAL_DER_FEV_2023!G1905</f>
        <v>764.27286000000004</v>
      </c>
      <c r="H1905" s="901">
        <f>GLOBAL_DER_FEV_2023!H1905</f>
        <v>0</v>
      </c>
      <c r="I1905" s="901">
        <f>GLOBAL_DER_FEV_2023!I1905</f>
        <v>0</v>
      </c>
      <c r="J1905" s="902">
        <f>GLOBAL_DER_FEV_2023!J1905</f>
        <v>0</v>
      </c>
      <c r="K1905" s="903"/>
      <c r="L1905" s="1177"/>
      <c r="M1905" s="1138">
        <f t="shared" si="142"/>
        <v>0</v>
      </c>
      <c r="N1905" s="1176">
        <f t="shared" si="146"/>
        <v>0</v>
      </c>
      <c r="O1905" s="905"/>
      <c r="P1905" s="36" t="str">
        <f>IF(N1904&gt;0,"xx",IF(N1904&gt;0,"xy",""))</f>
        <v/>
      </c>
      <c r="Q1905" s="317" t="str">
        <f t="shared" si="143"/>
        <v/>
      </c>
      <c r="R1905" s="317" t="str">
        <f t="shared" si="144"/>
        <v/>
      </c>
      <c r="S1905" s="317" t="str">
        <f t="shared" si="145"/>
        <v/>
      </c>
      <c r="T1905" s="317" t="str">
        <f>GLOBAL_DER_FEV_2023!S1905</f>
        <v/>
      </c>
      <c r="W1905" s="582">
        <v>0</v>
      </c>
      <c r="X1905" s="580"/>
      <c r="Y1905" s="583">
        <f>IF(GLOBAL_DER_FEV_2023!W1905=0,0,IF(GLOBAL_DER_FEV_2023!W1905&gt;0,"c","b"))</f>
        <v>0</v>
      </c>
    </row>
    <row r="1906" spans="1:25" ht="15" hidden="1" customHeight="1" x14ac:dyDescent="0.2">
      <c r="A1906" s="317" t="s">
        <v>147</v>
      </c>
      <c r="B1906" s="895" t="s">
        <v>147</v>
      </c>
      <c r="C1906" s="896"/>
      <c r="D1906" s="906" t="s">
        <v>229</v>
      </c>
      <c r="E1906" s="907">
        <f>GLOBAL_DER_FEV_2023!E1906</f>
        <v>150</v>
      </c>
      <c r="F1906" s="908">
        <f>GLOBAL_DER_FEV_2023!F1906</f>
        <v>10.9549</v>
      </c>
      <c r="G1906" s="949">
        <f>GLOBAL_DER_FEV_2023!G1906</f>
        <v>1787.620582</v>
      </c>
      <c r="H1906" s="901">
        <f>GLOBAL_DER_FEV_2023!H1906</f>
        <v>0</v>
      </c>
      <c r="I1906" s="901">
        <f>GLOBAL_DER_FEV_2023!I1906</f>
        <v>0</v>
      </c>
      <c r="J1906" s="902">
        <f>GLOBAL_DER_FEV_2023!J1906</f>
        <v>0</v>
      </c>
      <c r="K1906" s="903"/>
      <c r="L1906" s="1177"/>
      <c r="M1906" s="1138">
        <f t="shared" si="142"/>
        <v>0</v>
      </c>
      <c r="N1906" s="1176">
        <f t="shared" si="146"/>
        <v>0</v>
      </c>
      <c r="O1906" s="905"/>
      <c r="P1906" s="36" t="str">
        <f>IF(N1904&gt;0,"xx",IF(N1904&gt;0,"xy",""))</f>
        <v/>
      </c>
      <c r="Q1906" s="317" t="str">
        <f t="shared" si="143"/>
        <v/>
      </c>
      <c r="R1906" s="317" t="str">
        <f t="shared" si="144"/>
        <v/>
      </c>
      <c r="S1906" s="317" t="str">
        <f t="shared" si="145"/>
        <v/>
      </c>
      <c r="T1906" s="317" t="str">
        <f>GLOBAL_DER_FEV_2023!S1906</f>
        <v/>
      </c>
      <c r="W1906" s="582">
        <v>0</v>
      </c>
      <c r="X1906" s="580"/>
      <c r="Y1906" s="583">
        <f>IF(GLOBAL_DER_FEV_2023!W1906=0,0,IF(GLOBAL_DER_FEV_2023!W1906&gt;0,"c","b"))</f>
        <v>0</v>
      </c>
    </row>
    <row r="1907" spans="1:25" ht="15" hidden="1" customHeight="1" x14ac:dyDescent="0.2">
      <c r="A1907" s="317" t="s">
        <v>147</v>
      </c>
      <c r="B1907" s="895" t="s">
        <v>147</v>
      </c>
      <c r="C1907" s="896"/>
      <c r="D1907" s="906" t="s">
        <v>233</v>
      </c>
      <c r="E1907" s="907">
        <f>GLOBAL_DER_FEV_2023!E1907</f>
        <v>0.2</v>
      </c>
      <c r="F1907" s="908">
        <f>GLOBAL_DER_FEV_2023!F1907</f>
        <v>20.002500000000001</v>
      </c>
      <c r="G1907" s="949">
        <f>GLOBAL_DER_FEV_2023!G1907</f>
        <v>57.887235000000004</v>
      </c>
      <c r="H1907" s="901">
        <f>GLOBAL_DER_FEV_2023!H1907</f>
        <v>0</v>
      </c>
      <c r="I1907" s="901">
        <f>GLOBAL_DER_FEV_2023!I1907</f>
        <v>0</v>
      </c>
      <c r="J1907" s="902">
        <f>GLOBAL_DER_FEV_2023!J1907</f>
        <v>0</v>
      </c>
      <c r="K1907" s="903"/>
      <c r="L1907" s="1177"/>
      <c r="M1907" s="1138">
        <f t="shared" si="142"/>
        <v>0</v>
      </c>
      <c r="N1907" s="1176">
        <f t="shared" si="146"/>
        <v>0</v>
      </c>
      <c r="O1907" s="905"/>
      <c r="P1907" s="36" t="str">
        <f>IF(N1904&gt;0,"xx",IF(N1904&gt;0,"xy",""))</f>
        <v/>
      </c>
      <c r="Q1907" s="317" t="str">
        <f t="shared" si="143"/>
        <v/>
      </c>
      <c r="R1907" s="317" t="str">
        <f t="shared" si="144"/>
        <v/>
      </c>
      <c r="S1907" s="317" t="str">
        <f t="shared" si="145"/>
        <v/>
      </c>
      <c r="T1907" s="317" t="str">
        <f>GLOBAL_DER_FEV_2023!S1907</f>
        <v/>
      </c>
      <c r="W1907" s="582">
        <v>0</v>
      </c>
      <c r="X1907" s="580"/>
      <c r="Y1907" s="583">
        <f>IF(GLOBAL_DER_FEV_2023!W1907=0,0,IF(GLOBAL_DER_FEV_2023!W1907&gt;0,"c","b"))</f>
        <v>0</v>
      </c>
    </row>
    <row r="1908" spans="1:25" ht="15" hidden="1" customHeight="1" x14ac:dyDescent="0.2">
      <c r="A1908" s="317">
        <v>620100</v>
      </c>
      <c r="B1908" s="895" t="s">
        <v>1819</v>
      </c>
      <c r="C1908" s="896" t="s">
        <v>184</v>
      </c>
      <c r="D1908" s="906" t="s">
        <v>356</v>
      </c>
      <c r="E1908" s="907">
        <f>GLOBAL_DER_FEV_2023!E1908</f>
        <v>0</v>
      </c>
      <c r="F1908" s="908">
        <f>GLOBAL_DER_FEV_2023!F1908</f>
        <v>0</v>
      </c>
      <c r="G1908" s="912">
        <f>GLOBAL_DER_FEV_2023!G1908</f>
        <v>317.53582400000005</v>
      </c>
      <c r="H1908" s="901">
        <f>GLOBAL_DER_FEV_2023!H1908</f>
        <v>954.15</v>
      </c>
      <c r="I1908" s="901">
        <f>GLOBAL_DER_FEV_2023!I1908</f>
        <v>1271.6858240000001</v>
      </c>
      <c r="J1908" s="902">
        <f>GLOBAL_DER_FEV_2023!J1908</f>
        <v>1526.91</v>
      </c>
      <c r="K1908" s="903" t="s">
        <v>15</v>
      </c>
      <c r="L1908" s="1137"/>
      <c r="M1908" s="1138">
        <f t="shared" si="142"/>
        <v>0</v>
      </c>
      <c r="N1908" s="1176">
        <f t="shared" si="146"/>
        <v>0</v>
      </c>
      <c r="O1908" s="905"/>
      <c r="Q1908" s="317" t="str">
        <f t="shared" si="143"/>
        <v/>
      </c>
      <c r="R1908" s="317" t="str">
        <f t="shared" si="144"/>
        <v/>
      </c>
      <c r="S1908" s="317" t="str">
        <f t="shared" si="145"/>
        <v/>
      </c>
      <c r="T1908" s="317" t="str">
        <f>GLOBAL_DER_FEV_2023!S1908</f>
        <v/>
      </c>
      <c r="W1908" s="582">
        <v>0</v>
      </c>
      <c r="X1908" s="580"/>
      <c r="Y1908" s="583">
        <f>IF(GLOBAL_DER_FEV_2023!W1908=0,0,IF(GLOBAL_DER_FEV_2023!W1908&gt;0,"c","b"))</f>
        <v>0</v>
      </c>
    </row>
    <row r="1909" spans="1:25" ht="15" hidden="1" customHeight="1" x14ac:dyDescent="0.2">
      <c r="A1909" s="317" t="s">
        <v>147</v>
      </c>
      <c r="B1909" s="895" t="s">
        <v>147</v>
      </c>
      <c r="C1909" s="896"/>
      <c r="D1909" s="906" t="s">
        <v>190</v>
      </c>
      <c r="E1909" s="907">
        <f>GLOBAL_DER_FEV_2023!E1909</f>
        <v>308</v>
      </c>
      <c r="F1909" s="908">
        <f>GLOBAL_DER_FEV_2023!F1909</f>
        <v>0.37480000000000002</v>
      </c>
      <c r="G1909" s="909">
        <f>GLOBAL_DER_FEV_2023!G1909</f>
        <v>92.972888000000012</v>
      </c>
      <c r="H1909" s="901">
        <f>GLOBAL_DER_FEV_2023!H1909</f>
        <v>0</v>
      </c>
      <c r="I1909" s="901">
        <f>GLOBAL_DER_FEV_2023!I1909</f>
        <v>0</v>
      </c>
      <c r="J1909" s="902">
        <f>GLOBAL_DER_FEV_2023!J1909</f>
        <v>0</v>
      </c>
      <c r="K1909" s="903"/>
      <c r="L1909" s="1177"/>
      <c r="M1909" s="1138">
        <f t="shared" si="142"/>
        <v>0</v>
      </c>
      <c r="N1909" s="1176">
        <f t="shared" si="146"/>
        <v>0</v>
      </c>
      <c r="O1909" s="905"/>
      <c r="P1909" s="36" t="str">
        <f>IF(N1908&gt;0,"xx",IF(N1908&gt;0,"xy",""))</f>
        <v/>
      </c>
      <c r="Q1909" s="317" t="str">
        <f t="shared" si="143"/>
        <v/>
      </c>
      <c r="R1909" s="317" t="str">
        <f t="shared" si="144"/>
        <v/>
      </c>
      <c r="S1909" s="317" t="str">
        <f t="shared" si="145"/>
        <v/>
      </c>
      <c r="T1909" s="317" t="str">
        <f>GLOBAL_DER_FEV_2023!S1909</f>
        <v/>
      </c>
      <c r="W1909" s="582">
        <v>0</v>
      </c>
      <c r="X1909" s="580"/>
      <c r="Y1909" s="583">
        <f>IF(GLOBAL_DER_FEV_2023!W1909=0,0,IF(GLOBAL_DER_FEV_2023!W1909&gt;0,"c","b"))</f>
        <v>0</v>
      </c>
    </row>
    <row r="1910" spans="1:25" ht="15" hidden="1" customHeight="1" x14ac:dyDescent="0.2">
      <c r="A1910" s="317" t="s">
        <v>147</v>
      </c>
      <c r="B1910" s="895" t="s">
        <v>147</v>
      </c>
      <c r="C1910" s="896"/>
      <c r="D1910" s="906" t="s">
        <v>229</v>
      </c>
      <c r="E1910" s="907">
        <f>GLOBAL_DER_FEV_2023!E1910</f>
        <v>150</v>
      </c>
      <c r="F1910" s="908">
        <f>GLOBAL_DER_FEV_2023!F1910</f>
        <v>1.333</v>
      </c>
      <c r="G1910" s="949">
        <f>GLOBAL_DER_FEV_2023!G1910</f>
        <v>217.51894000000001</v>
      </c>
      <c r="H1910" s="901">
        <f>GLOBAL_DER_FEV_2023!H1910</f>
        <v>0</v>
      </c>
      <c r="I1910" s="901">
        <f>GLOBAL_DER_FEV_2023!I1910</f>
        <v>0</v>
      </c>
      <c r="J1910" s="902">
        <f>GLOBAL_DER_FEV_2023!J1910</f>
        <v>0</v>
      </c>
      <c r="K1910" s="903"/>
      <c r="L1910" s="1177"/>
      <c r="M1910" s="1138">
        <f t="shared" si="142"/>
        <v>0</v>
      </c>
      <c r="N1910" s="1176">
        <f t="shared" si="146"/>
        <v>0</v>
      </c>
      <c r="O1910" s="905"/>
      <c r="P1910" s="36" t="str">
        <f>IF(N1908&gt;0,"xx",IF(N1908&gt;0,"xy",""))</f>
        <v/>
      </c>
      <c r="Q1910" s="317" t="str">
        <f t="shared" si="143"/>
        <v/>
      </c>
      <c r="R1910" s="317" t="str">
        <f t="shared" si="144"/>
        <v/>
      </c>
      <c r="S1910" s="317" t="str">
        <f t="shared" si="145"/>
        <v/>
      </c>
      <c r="T1910" s="317" t="str">
        <f>GLOBAL_DER_FEV_2023!S1910</f>
        <v/>
      </c>
      <c r="W1910" s="582">
        <v>0</v>
      </c>
      <c r="X1910" s="580"/>
      <c r="Y1910" s="583">
        <f>IF(GLOBAL_DER_FEV_2023!W1910=0,0,IF(GLOBAL_DER_FEV_2023!W1910&gt;0,"c","b"))</f>
        <v>0</v>
      </c>
    </row>
    <row r="1911" spans="1:25" ht="15" hidden="1" customHeight="1" x14ac:dyDescent="0.2">
      <c r="A1911" s="317" t="s">
        <v>147</v>
      </c>
      <c r="B1911" s="895" t="s">
        <v>147</v>
      </c>
      <c r="C1911" s="896"/>
      <c r="D1911" s="906" t="s">
        <v>233</v>
      </c>
      <c r="E1911" s="907">
        <f>GLOBAL_DER_FEV_2023!E1911</f>
        <v>0.2</v>
      </c>
      <c r="F1911" s="908">
        <f>GLOBAL_DER_FEV_2023!F1911</f>
        <v>2.4340000000000002</v>
      </c>
      <c r="G1911" s="949">
        <f>GLOBAL_DER_FEV_2023!G1911</f>
        <v>7.0439960000000008</v>
      </c>
      <c r="H1911" s="901">
        <f>GLOBAL_DER_FEV_2023!H1911</f>
        <v>0</v>
      </c>
      <c r="I1911" s="901">
        <f>GLOBAL_DER_FEV_2023!I1911</f>
        <v>0</v>
      </c>
      <c r="J1911" s="902">
        <f>GLOBAL_DER_FEV_2023!J1911</f>
        <v>0</v>
      </c>
      <c r="K1911" s="903"/>
      <c r="L1911" s="1177"/>
      <c r="M1911" s="1138">
        <f t="shared" si="142"/>
        <v>0</v>
      </c>
      <c r="N1911" s="1176">
        <f t="shared" si="146"/>
        <v>0</v>
      </c>
      <c r="O1911" s="905"/>
      <c r="P1911" s="36" t="str">
        <f>IF(N1908&gt;0,"xx",IF(N1908&gt;0,"xy",""))</f>
        <v/>
      </c>
      <c r="Q1911" s="317" t="str">
        <f t="shared" si="143"/>
        <v/>
      </c>
      <c r="R1911" s="317" t="str">
        <f t="shared" si="144"/>
        <v/>
      </c>
      <c r="S1911" s="317" t="str">
        <f t="shared" si="145"/>
        <v/>
      </c>
      <c r="T1911" s="317" t="str">
        <f>GLOBAL_DER_FEV_2023!S1911</f>
        <v/>
      </c>
      <c r="W1911" s="582">
        <v>0</v>
      </c>
      <c r="X1911" s="580"/>
      <c r="Y1911" s="583">
        <f>IF(GLOBAL_DER_FEV_2023!W1911=0,0,IF(GLOBAL_DER_FEV_2023!W1911&gt;0,"c","b"))</f>
        <v>0</v>
      </c>
    </row>
    <row r="1912" spans="1:25" ht="15" hidden="1" customHeight="1" x14ac:dyDescent="0.2">
      <c r="A1912" s="317">
        <v>620200</v>
      </c>
      <c r="B1912" s="895" t="s">
        <v>1822</v>
      </c>
      <c r="C1912" s="896" t="s">
        <v>184</v>
      </c>
      <c r="D1912" s="906" t="s">
        <v>357</v>
      </c>
      <c r="E1912" s="907">
        <f>GLOBAL_DER_FEV_2023!E1912</f>
        <v>0</v>
      </c>
      <c r="F1912" s="908">
        <f>GLOBAL_DER_FEV_2023!F1912</f>
        <v>0</v>
      </c>
      <c r="G1912" s="912">
        <f>GLOBAL_DER_FEV_2023!G1912</f>
        <v>460.436328</v>
      </c>
      <c r="H1912" s="901">
        <f>GLOBAL_DER_FEV_2023!H1912</f>
        <v>1321.46</v>
      </c>
      <c r="I1912" s="901">
        <f>GLOBAL_DER_FEV_2023!I1912</f>
        <v>1781.896328</v>
      </c>
      <c r="J1912" s="902">
        <f>GLOBAL_DER_FEV_2023!J1912</f>
        <v>2139.52</v>
      </c>
      <c r="K1912" s="903" t="s">
        <v>15</v>
      </c>
      <c r="L1912" s="1137"/>
      <c r="M1912" s="1138">
        <f t="shared" si="142"/>
        <v>0</v>
      </c>
      <c r="N1912" s="1176">
        <f t="shared" si="146"/>
        <v>0</v>
      </c>
      <c r="O1912" s="905"/>
      <c r="Q1912" s="317" t="str">
        <f t="shared" si="143"/>
        <v/>
      </c>
      <c r="R1912" s="317" t="str">
        <f t="shared" si="144"/>
        <v/>
      </c>
      <c r="S1912" s="317" t="str">
        <f t="shared" si="145"/>
        <v/>
      </c>
      <c r="T1912" s="317" t="str">
        <f>GLOBAL_DER_FEV_2023!S1912</f>
        <v/>
      </c>
      <c r="W1912" s="582">
        <v>0</v>
      </c>
      <c r="X1912" s="580"/>
      <c r="Y1912" s="583">
        <f>IF(GLOBAL_DER_FEV_2023!W1912=0,0,IF(GLOBAL_DER_FEV_2023!W1912&gt;0,"c","b"))</f>
        <v>0</v>
      </c>
    </row>
    <row r="1913" spans="1:25" ht="15" hidden="1" customHeight="1" x14ac:dyDescent="0.2">
      <c r="A1913" s="317" t="s">
        <v>147</v>
      </c>
      <c r="B1913" s="895" t="s">
        <v>147</v>
      </c>
      <c r="C1913" s="896"/>
      <c r="D1913" s="906" t="s">
        <v>190</v>
      </c>
      <c r="E1913" s="907">
        <f>GLOBAL_DER_FEV_2023!E1913</f>
        <v>308</v>
      </c>
      <c r="F1913" s="908">
        <f>GLOBAL_DER_FEV_2023!F1913</f>
        <v>0.54359999999999997</v>
      </c>
      <c r="G1913" s="909">
        <f>GLOBAL_DER_FEV_2023!G1913</f>
        <v>134.845416</v>
      </c>
      <c r="H1913" s="901">
        <f>GLOBAL_DER_FEV_2023!H1913</f>
        <v>0</v>
      </c>
      <c r="I1913" s="901">
        <f>GLOBAL_DER_FEV_2023!I1913</f>
        <v>0</v>
      </c>
      <c r="J1913" s="902">
        <f>GLOBAL_DER_FEV_2023!J1913</f>
        <v>0</v>
      </c>
      <c r="K1913" s="903"/>
      <c r="L1913" s="1177"/>
      <c r="M1913" s="1138">
        <f t="shared" si="142"/>
        <v>0</v>
      </c>
      <c r="N1913" s="1176">
        <f t="shared" si="146"/>
        <v>0</v>
      </c>
      <c r="O1913" s="905"/>
      <c r="P1913" s="36" t="str">
        <f>IF(N1912&gt;0,"xx",IF(N1912&gt;0,"xy",""))</f>
        <v/>
      </c>
      <c r="Q1913" s="317" t="str">
        <f t="shared" si="143"/>
        <v/>
      </c>
      <c r="R1913" s="317" t="str">
        <f t="shared" si="144"/>
        <v/>
      </c>
      <c r="S1913" s="317" t="str">
        <f t="shared" si="145"/>
        <v/>
      </c>
      <c r="T1913" s="317" t="str">
        <f>GLOBAL_DER_FEV_2023!S1913</f>
        <v/>
      </c>
      <c r="W1913" s="582">
        <v>0</v>
      </c>
      <c r="X1913" s="580"/>
      <c r="Y1913" s="583">
        <f>IF(GLOBAL_DER_FEV_2023!W1913=0,0,IF(GLOBAL_DER_FEV_2023!W1913&gt;0,"c","b"))</f>
        <v>0</v>
      </c>
    </row>
    <row r="1914" spans="1:25" ht="15" hidden="1" customHeight="1" x14ac:dyDescent="0.2">
      <c r="A1914" s="317" t="s">
        <v>147</v>
      </c>
      <c r="B1914" s="895" t="s">
        <v>147</v>
      </c>
      <c r="C1914" s="896"/>
      <c r="D1914" s="906" t="s">
        <v>229</v>
      </c>
      <c r="E1914" s="907">
        <f>GLOBAL_DER_FEV_2023!E1914</f>
        <v>150</v>
      </c>
      <c r="F1914" s="908">
        <f>GLOBAL_DER_FEV_2023!F1914</f>
        <v>1.9327000000000001</v>
      </c>
      <c r="G1914" s="949">
        <f>GLOBAL_DER_FEV_2023!G1914</f>
        <v>315.37798600000002</v>
      </c>
      <c r="H1914" s="901">
        <f>GLOBAL_DER_FEV_2023!H1914</f>
        <v>0</v>
      </c>
      <c r="I1914" s="901">
        <f>GLOBAL_DER_FEV_2023!I1914</f>
        <v>0</v>
      </c>
      <c r="J1914" s="902">
        <f>GLOBAL_DER_FEV_2023!J1914</f>
        <v>0</v>
      </c>
      <c r="K1914" s="903"/>
      <c r="L1914" s="1177"/>
      <c r="M1914" s="1138">
        <f t="shared" si="142"/>
        <v>0</v>
      </c>
      <c r="N1914" s="1176">
        <f t="shared" si="146"/>
        <v>0</v>
      </c>
      <c r="O1914" s="905"/>
      <c r="P1914" s="36" t="str">
        <f>IF(N1912&gt;0,"xx",IF(N1912&gt;0,"xy",""))</f>
        <v/>
      </c>
      <c r="Q1914" s="317" t="str">
        <f t="shared" si="143"/>
        <v/>
      </c>
      <c r="R1914" s="317" t="str">
        <f t="shared" si="144"/>
        <v/>
      </c>
      <c r="S1914" s="317" t="str">
        <f t="shared" si="145"/>
        <v/>
      </c>
      <c r="T1914" s="317" t="str">
        <f>GLOBAL_DER_FEV_2023!S1914</f>
        <v/>
      </c>
      <c r="W1914" s="582">
        <v>0</v>
      </c>
      <c r="X1914" s="580"/>
      <c r="Y1914" s="583">
        <f>IF(GLOBAL_DER_FEV_2023!W1914=0,0,IF(GLOBAL_DER_FEV_2023!W1914&gt;0,"c","b"))</f>
        <v>0</v>
      </c>
    </row>
    <row r="1915" spans="1:25" ht="15" hidden="1" customHeight="1" x14ac:dyDescent="0.2">
      <c r="A1915" s="317" t="s">
        <v>147</v>
      </c>
      <c r="B1915" s="895" t="s">
        <v>147</v>
      </c>
      <c r="C1915" s="896"/>
      <c r="D1915" s="906" t="s">
        <v>233</v>
      </c>
      <c r="E1915" s="907">
        <f>GLOBAL_DER_FEV_2023!E1915</f>
        <v>0.2</v>
      </c>
      <c r="F1915" s="908">
        <f>GLOBAL_DER_FEV_2023!F1915</f>
        <v>3.5289999999999999</v>
      </c>
      <c r="G1915" s="949">
        <f>GLOBAL_DER_FEV_2023!G1915</f>
        <v>10.212926</v>
      </c>
      <c r="H1915" s="901">
        <f>GLOBAL_DER_FEV_2023!H1915</f>
        <v>0</v>
      </c>
      <c r="I1915" s="901">
        <f>GLOBAL_DER_FEV_2023!I1915</f>
        <v>0</v>
      </c>
      <c r="J1915" s="902">
        <f>GLOBAL_DER_FEV_2023!J1915</f>
        <v>0</v>
      </c>
      <c r="K1915" s="903"/>
      <c r="L1915" s="1177"/>
      <c r="M1915" s="1138">
        <f t="shared" si="142"/>
        <v>0</v>
      </c>
      <c r="N1915" s="1176">
        <f t="shared" si="146"/>
        <v>0</v>
      </c>
      <c r="O1915" s="905"/>
      <c r="P1915" s="36" t="str">
        <f>IF(N1912&gt;0,"xx",IF(N1912&gt;0,"xy",""))</f>
        <v/>
      </c>
      <c r="Q1915" s="317" t="str">
        <f t="shared" si="143"/>
        <v/>
      </c>
      <c r="R1915" s="317" t="str">
        <f t="shared" si="144"/>
        <v/>
      </c>
      <c r="S1915" s="317" t="str">
        <f t="shared" si="145"/>
        <v/>
      </c>
      <c r="T1915" s="317" t="str">
        <f>GLOBAL_DER_FEV_2023!S1915</f>
        <v/>
      </c>
      <c r="W1915" s="582">
        <v>0</v>
      </c>
      <c r="X1915" s="580"/>
      <c r="Y1915" s="583">
        <f>IF(GLOBAL_DER_FEV_2023!W1915=0,0,IF(GLOBAL_DER_FEV_2023!W1915&gt;0,"c","b"))</f>
        <v>0</v>
      </c>
    </row>
    <row r="1916" spans="1:25" ht="15" hidden="1" customHeight="1" x14ac:dyDescent="0.2">
      <c r="A1916" s="317">
        <v>621100</v>
      </c>
      <c r="B1916" s="895">
        <v>621100</v>
      </c>
      <c r="C1916" s="896" t="s">
        <v>184</v>
      </c>
      <c r="D1916" s="906" t="s">
        <v>358</v>
      </c>
      <c r="E1916" s="907">
        <f>GLOBAL_DER_FEV_2023!E1916</f>
        <v>0</v>
      </c>
      <c r="F1916" s="908">
        <f>GLOBAL_DER_FEV_2023!F1916</f>
        <v>0</v>
      </c>
      <c r="G1916" s="912">
        <f>GLOBAL_DER_FEV_2023!G1916</f>
        <v>690.93925180000008</v>
      </c>
      <c r="H1916" s="901">
        <f>GLOBAL_DER_FEV_2023!H1916</f>
        <v>3322.38</v>
      </c>
      <c r="I1916" s="901">
        <f>GLOBAL_DER_FEV_2023!I1916</f>
        <v>4013.3192518000001</v>
      </c>
      <c r="J1916" s="902">
        <f>GLOBAL_DER_FEV_2023!J1916</f>
        <v>4818.79</v>
      </c>
      <c r="K1916" s="903" t="s">
        <v>15</v>
      </c>
      <c r="L1916" s="1137"/>
      <c r="M1916" s="1138">
        <f t="shared" si="142"/>
        <v>0</v>
      </c>
      <c r="N1916" s="1176">
        <f t="shared" si="146"/>
        <v>0</v>
      </c>
      <c r="O1916" s="905"/>
      <c r="Q1916" s="317" t="str">
        <f t="shared" si="143"/>
        <v/>
      </c>
      <c r="R1916" s="317" t="str">
        <f t="shared" si="144"/>
        <v/>
      </c>
      <c r="S1916" s="317" t="str">
        <f t="shared" si="145"/>
        <v/>
      </c>
      <c r="T1916" s="317" t="str">
        <f>GLOBAL_DER_FEV_2023!S1916</f>
        <v/>
      </c>
      <c r="W1916" s="582">
        <v>0</v>
      </c>
      <c r="X1916" s="580"/>
      <c r="Y1916" s="583">
        <f>IF(GLOBAL_DER_FEV_2023!W1916=0,0,IF(GLOBAL_DER_FEV_2023!W1916&gt;0,"c","b"))</f>
        <v>0</v>
      </c>
    </row>
    <row r="1917" spans="1:25" ht="15" hidden="1" customHeight="1" x14ac:dyDescent="0.2">
      <c r="A1917" s="317" t="s">
        <v>147</v>
      </c>
      <c r="B1917" s="895" t="s">
        <v>147</v>
      </c>
      <c r="C1917" s="896"/>
      <c r="D1917" s="906" t="s">
        <v>190</v>
      </c>
      <c r="E1917" s="907">
        <f>GLOBAL_DER_FEV_2023!E1917</f>
        <v>308</v>
      </c>
      <c r="F1917" s="908">
        <f>GLOBAL_DER_FEV_2023!F1917</f>
        <v>0.81569999999999998</v>
      </c>
      <c r="G1917" s="909">
        <f>GLOBAL_DER_FEV_2023!G1917</f>
        <v>202.34254200000001</v>
      </c>
      <c r="H1917" s="901">
        <f>GLOBAL_DER_FEV_2023!H1917</f>
        <v>0</v>
      </c>
      <c r="I1917" s="901">
        <f>GLOBAL_DER_FEV_2023!I1917</f>
        <v>0</v>
      </c>
      <c r="J1917" s="902">
        <f>GLOBAL_DER_FEV_2023!J1917</f>
        <v>0</v>
      </c>
      <c r="K1917" s="903"/>
      <c r="L1917" s="1177"/>
      <c r="M1917" s="1138">
        <f t="shared" si="142"/>
        <v>0</v>
      </c>
      <c r="N1917" s="1176">
        <f t="shared" si="146"/>
        <v>0</v>
      </c>
      <c r="O1917" s="905"/>
      <c r="P1917" s="36" t="str">
        <f>IF(N1916&gt;0,"xx",IF(N1916&gt;0,"xy",""))</f>
        <v/>
      </c>
      <c r="Q1917" s="317" t="str">
        <f t="shared" si="143"/>
        <v/>
      </c>
      <c r="R1917" s="317" t="str">
        <f t="shared" si="144"/>
        <v/>
      </c>
      <c r="S1917" s="317" t="str">
        <f t="shared" si="145"/>
        <v/>
      </c>
      <c r="T1917" s="317" t="str">
        <f>GLOBAL_DER_FEV_2023!S1917</f>
        <v/>
      </c>
      <c r="W1917" s="582">
        <v>0</v>
      </c>
      <c r="X1917" s="580"/>
      <c r="Y1917" s="583">
        <f>IF(GLOBAL_DER_FEV_2023!W1917=0,0,IF(GLOBAL_DER_FEV_2023!W1917&gt;0,"c","b"))</f>
        <v>0</v>
      </c>
    </row>
    <row r="1918" spans="1:25" ht="15" hidden="1" customHeight="1" x14ac:dyDescent="0.2">
      <c r="A1918" s="317" t="s">
        <v>147</v>
      </c>
      <c r="B1918" s="895" t="s">
        <v>147</v>
      </c>
      <c r="C1918" s="896"/>
      <c r="D1918" s="906" t="s">
        <v>229</v>
      </c>
      <c r="E1918" s="907">
        <f>GLOBAL_DER_FEV_2023!E1918</f>
        <v>150</v>
      </c>
      <c r="F1918" s="908">
        <f>GLOBAL_DER_FEV_2023!F1918</f>
        <v>2.9003000000000001</v>
      </c>
      <c r="G1918" s="949">
        <f>GLOBAL_DER_FEV_2023!G1918</f>
        <v>473.27095400000002</v>
      </c>
      <c r="H1918" s="901">
        <f>GLOBAL_DER_FEV_2023!H1918</f>
        <v>0</v>
      </c>
      <c r="I1918" s="901">
        <f>GLOBAL_DER_FEV_2023!I1918</f>
        <v>0</v>
      </c>
      <c r="J1918" s="902">
        <f>GLOBAL_DER_FEV_2023!J1918</f>
        <v>0</v>
      </c>
      <c r="K1918" s="903"/>
      <c r="L1918" s="1177"/>
      <c r="M1918" s="1138">
        <f t="shared" si="142"/>
        <v>0</v>
      </c>
      <c r="N1918" s="1176">
        <f t="shared" si="146"/>
        <v>0</v>
      </c>
      <c r="O1918" s="905"/>
      <c r="P1918" s="36" t="str">
        <f>IF(N1916&gt;0,"xx",IF(N1916&gt;0,"xy",""))</f>
        <v/>
      </c>
      <c r="Q1918" s="317" t="str">
        <f t="shared" si="143"/>
        <v/>
      </c>
      <c r="R1918" s="317" t="str">
        <f t="shared" si="144"/>
        <v/>
      </c>
      <c r="S1918" s="317" t="str">
        <f t="shared" si="145"/>
        <v/>
      </c>
      <c r="T1918" s="317" t="str">
        <f>GLOBAL_DER_FEV_2023!S1918</f>
        <v/>
      </c>
      <c r="W1918" s="582">
        <v>0</v>
      </c>
      <c r="X1918" s="580"/>
      <c r="Y1918" s="583">
        <f>IF(GLOBAL_DER_FEV_2023!W1918=0,0,IF(GLOBAL_DER_FEV_2023!W1918&gt;0,"c","b"))</f>
        <v>0</v>
      </c>
    </row>
    <row r="1919" spans="1:25" ht="15" hidden="1" customHeight="1" x14ac:dyDescent="0.2">
      <c r="A1919" s="317" t="s">
        <v>147</v>
      </c>
      <c r="B1919" s="895" t="s">
        <v>147</v>
      </c>
      <c r="C1919" s="896"/>
      <c r="D1919" s="906" t="s">
        <v>233</v>
      </c>
      <c r="E1919" s="907">
        <f>GLOBAL_DER_FEV_2023!E1919</f>
        <v>0.2</v>
      </c>
      <c r="F1919" s="908">
        <f>GLOBAL_DER_FEV_2023!F1919</f>
        <v>5.2957000000000001</v>
      </c>
      <c r="G1919" s="949">
        <f>GLOBAL_DER_FEV_2023!G1919</f>
        <v>15.325755800000001</v>
      </c>
      <c r="H1919" s="901">
        <f>GLOBAL_DER_FEV_2023!H1919</f>
        <v>0</v>
      </c>
      <c r="I1919" s="901">
        <f>GLOBAL_DER_FEV_2023!I1919</f>
        <v>0</v>
      </c>
      <c r="J1919" s="902">
        <f>GLOBAL_DER_FEV_2023!J1919</f>
        <v>0</v>
      </c>
      <c r="K1919" s="903"/>
      <c r="L1919" s="1177"/>
      <c r="M1919" s="1138">
        <f t="shared" si="142"/>
        <v>0</v>
      </c>
      <c r="N1919" s="1176">
        <f t="shared" si="146"/>
        <v>0</v>
      </c>
      <c r="O1919" s="905"/>
      <c r="P1919" s="36" t="str">
        <f>IF(N1916&gt;0,"xx",IF(N1916&gt;0,"xy",""))</f>
        <v/>
      </c>
      <c r="Q1919" s="317" t="str">
        <f t="shared" si="143"/>
        <v/>
      </c>
      <c r="R1919" s="317" t="str">
        <f t="shared" si="144"/>
        <v/>
      </c>
      <c r="S1919" s="317" t="str">
        <f t="shared" si="145"/>
        <v/>
      </c>
      <c r="T1919" s="317" t="str">
        <f>GLOBAL_DER_FEV_2023!S1919</f>
        <v/>
      </c>
      <c r="W1919" s="582">
        <v>0</v>
      </c>
      <c r="X1919" s="580"/>
      <c r="Y1919" s="583">
        <f>IF(GLOBAL_DER_FEV_2023!W1919=0,0,IF(GLOBAL_DER_FEV_2023!W1919&gt;0,"c","b"))</f>
        <v>0</v>
      </c>
    </row>
    <row r="1920" spans="1:25" ht="15" hidden="1" customHeight="1" x14ac:dyDescent="0.2">
      <c r="A1920" s="317">
        <v>621200</v>
      </c>
      <c r="B1920" s="895">
        <v>621200</v>
      </c>
      <c r="C1920" s="896" t="s">
        <v>184</v>
      </c>
      <c r="D1920" s="906" t="s">
        <v>359</v>
      </c>
      <c r="E1920" s="907">
        <f>GLOBAL_DER_FEV_2023!E1920</f>
        <v>0</v>
      </c>
      <c r="F1920" s="908">
        <f>GLOBAL_DER_FEV_2023!F1920</f>
        <v>0</v>
      </c>
      <c r="G1920" s="912">
        <f>GLOBAL_DER_FEV_2023!G1920</f>
        <v>895.69011799999998</v>
      </c>
      <c r="H1920" s="901">
        <f>GLOBAL_DER_FEV_2023!H1920</f>
        <v>4208.43</v>
      </c>
      <c r="I1920" s="901">
        <f>GLOBAL_DER_FEV_2023!I1920</f>
        <v>5104.1201180000007</v>
      </c>
      <c r="J1920" s="902">
        <f>GLOBAL_DER_FEV_2023!J1920</f>
        <v>6128.52</v>
      </c>
      <c r="K1920" s="903" t="s">
        <v>15</v>
      </c>
      <c r="L1920" s="1137"/>
      <c r="M1920" s="1138">
        <f t="shared" si="142"/>
        <v>0</v>
      </c>
      <c r="N1920" s="1176">
        <f t="shared" si="146"/>
        <v>0</v>
      </c>
      <c r="O1920" s="905"/>
      <c r="Q1920" s="317" t="str">
        <f t="shared" si="143"/>
        <v/>
      </c>
      <c r="R1920" s="317" t="str">
        <f t="shared" si="144"/>
        <v/>
      </c>
      <c r="S1920" s="317" t="str">
        <f t="shared" si="145"/>
        <v/>
      </c>
      <c r="T1920" s="317" t="str">
        <f>GLOBAL_DER_FEV_2023!S1920</f>
        <v/>
      </c>
      <c r="W1920" s="582">
        <v>0</v>
      </c>
      <c r="X1920" s="580"/>
      <c r="Y1920" s="583">
        <f>IF(GLOBAL_DER_FEV_2023!W1920=0,0,IF(GLOBAL_DER_FEV_2023!W1920&gt;0,"c","b"))</f>
        <v>0</v>
      </c>
    </row>
    <row r="1921" spans="1:25" ht="15" hidden="1" customHeight="1" x14ac:dyDescent="0.2">
      <c r="A1921" s="317" t="s">
        <v>147</v>
      </c>
      <c r="B1921" s="895" t="s">
        <v>147</v>
      </c>
      <c r="C1921" s="896"/>
      <c r="D1921" s="906" t="s">
        <v>190</v>
      </c>
      <c r="E1921" s="907">
        <f>GLOBAL_DER_FEV_2023!E1921</f>
        <v>308</v>
      </c>
      <c r="F1921" s="908">
        <f>GLOBAL_DER_FEV_2023!F1921</f>
        <v>1.0573999999999999</v>
      </c>
      <c r="G1921" s="909">
        <f>GLOBAL_DER_FEV_2023!G1921</f>
        <v>262.29864399999997</v>
      </c>
      <c r="H1921" s="901">
        <f>GLOBAL_DER_FEV_2023!H1921</f>
        <v>0</v>
      </c>
      <c r="I1921" s="901">
        <f>GLOBAL_DER_FEV_2023!I1921</f>
        <v>0</v>
      </c>
      <c r="J1921" s="902">
        <f>GLOBAL_DER_FEV_2023!J1921</f>
        <v>0</v>
      </c>
      <c r="K1921" s="903"/>
      <c r="L1921" s="1177"/>
      <c r="M1921" s="1138">
        <f t="shared" si="142"/>
        <v>0</v>
      </c>
      <c r="N1921" s="1176">
        <f t="shared" si="146"/>
        <v>0</v>
      </c>
      <c r="O1921" s="905"/>
      <c r="P1921" s="36" t="str">
        <f>IF(N1920&gt;0,"xx",IF(N1920&gt;0,"xy",""))</f>
        <v/>
      </c>
      <c r="Q1921" s="317" t="str">
        <f t="shared" si="143"/>
        <v/>
      </c>
      <c r="R1921" s="317" t="str">
        <f t="shared" si="144"/>
        <v/>
      </c>
      <c r="S1921" s="317" t="str">
        <f t="shared" si="145"/>
        <v/>
      </c>
      <c r="T1921" s="317" t="str">
        <f>GLOBAL_DER_FEV_2023!S1921</f>
        <v/>
      </c>
      <c r="W1921" s="582">
        <v>0</v>
      </c>
      <c r="X1921" s="580"/>
      <c r="Y1921" s="583">
        <f>IF(GLOBAL_DER_FEV_2023!W1921=0,0,IF(GLOBAL_DER_FEV_2023!W1921&gt;0,"c","b"))</f>
        <v>0</v>
      </c>
    </row>
    <row r="1922" spans="1:25" ht="15" hidden="1" customHeight="1" x14ac:dyDescent="0.2">
      <c r="A1922" s="317" t="s">
        <v>147</v>
      </c>
      <c r="B1922" s="895" t="s">
        <v>147</v>
      </c>
      <c r="C1922" s="896"/>
      <c r="D1922" s="906" t="s">
        <v>229</v>
      </c>
      <c r="E1922" s="907">
        <f>GLOBAL_DER_FEV_2023!E1922</f>
        <v>150</v>
      </c>
      <c r="F1922" s="908">
        <f>GLOBAL_DER_FEV_2023!F1922</f>
        <v>3.7597999999999998</v>
      </c>
      <c r="G1922" s="949">
        <f>GLOBAL_DER_FEV_2023!G1922</f>
        <v>613.52416400000004</v>
      </c>
      <c r="H1922" s="901">
        <f>GLOBAL_DER_FEV_2023!H1922</f>
        <v>0</v>
      </c>
      <c r="I1922" s="901">
        <f>GLOBAL_DER_FEV_2023!I1922</f>
        <v>0</v>
      </c>
      <c r="J1922" s="902">
        <f>GLOBAL_DER_FEV_2023!J1922</f>
        <v>0</v>
      </c>
      <c r="K1922" s="903"/>
      <c r="L1922" s="1177"/>
      <c r="M1922" s="1138">
        <f t="shared" si="142"/>
        <v>0</v>
      </c>
      <c r="N1922" s="1176">
        <f t="shared" si="146"/>
        <v>0</v>
      </c>
      <c r="O1922" s="905"/>
      <c r="P1922" s="36" t="str">
        <f>IF(N1920&gt;0,"xx",IF(N1920&gt;0,"xy",""))</f>
        <v/>
      </c>
      <c r="Q1922" s="317" t="str">
        <f t="shared" si="143"/>
        <v/>
      </c>
      <c r="R1922" s="317" t="str">
        <f t="shared" si="144"/>
        <v/>
      </c>
      <c r="S1922" s="317" t="str">
        <f t="shared" si="145"/>
        <v/>
      </c>
      <c r="T1922" s="317" t="str">
        <f>GLOBAL_DER_FEV_2023!S1922</f>
        <v/>
      </c>
      <c r="W1922" s="582">
        <v>0</v>
      </c>
      <c r="X1922" s="580"/>
      <c r="Y1922" s="583">
        <f>IF(GLOBAL_DER_FEV_2023!W1922=0,0,IF(GLOBAL_DER_FEV_2023!W1922&gt;0,"c","b"))</f>
        <v>0</v>
      </c>
    </row>
    <row r="1923" spans="1:25" ht="15" hidden="1" customHeight="1" x14ac:dyDescent="0.2">
      <c r="A1923" s="317" t="s">
        <v>147</v>
      </c>
      <c r="B1923" s="895" t="s">
        <v>147</v>
      </c>
      <c r="C1923" s="896"/>
      <c r="D1923" s="906" t="s">
        <v>233</v>
      </c>
      <c r="E1923" s="907">
        <f>GLOBAL_DER_FEV_2023!E1923</f>
        <v>0.2</v>
      </c>
      <c r="F1923" s="908">
        <f>GLOBAL_DER_FEV_2023!F1923</f>
        <v>6.8650000000000002</v>
      </c>
      <c r="G1923" s="949">
        <f>GLOBAL_DER_FEV_2023!G1923</f>
        <v>19.86731</v>
      </c>
      <c r="H1923" s="901">
        <f>GLOBAL_DER_FEV_2023!H1923</f>
        <v>0</v>
      </c>
      <c r="I1923" s="901">
        <f>GLOBAL_DER_FEV_2023!I1923</f>
        <v>0</v>
      </c>
      <c r="J1923" s="902">
        <f>GLOBAL_DER_FEV_2023!J1923</f>
        <v>0</v>
      </c>
      <c r="K1923" s="903"/>
      <c r="L1923" s="1177"/>
      <c r="M1923" s="1138">
        <f t="shared" si="142"/>
        <v>0</v>
      </c>
      <c r="N1923" s="1176">
        <f t="shared" si="146"/>
        <v>0</v>
      </c>
      <c r="O1923" s="905"/>
      <c r="P1923" s="36" t="str">
        <f>IF(N1920&gt;0,"xx",IF(N1920&gt;0,"xy",""))</f>
        <v/>
      </c>
      <c r="Q1923" s="317" t="str">
        <f t="shared" si="143"/>
        <v/>
      </c>
      <c r="R1923" s="317" t="str">
        <f t="shared" si="144"/>
        <v/>
      </c>
      <c r="S1923" s="317" t="str">
        <f t="shared" si="145"/>
        <v/>
      </c>
      <c r="T1923" s="317" t="str">
        <f>GLOBAL_DER_FEV_2023!S1923</f>
        <v/>
      </c>
      <c r="W1923" s="582">
        <v>0</v>
      </c>
      <c r="X1923" s="580"/>
      <c r="Y1923" s="583">
        <f>IF(GLOBAL_DER_FEV_2023!W1923=0,0,IF(GLOBAL_DER_FEV_2023!W1923&gt;0,"c","b"))</f>
        <v>0</v>
      </c>
    </row>
    <row r="1924" spans="1:25" ht="15" hidden="1" customHeight="1" x14ac:dyDescent="0.2">
      <c r="A1924" s="317">
        <v>621300</v>
      </c>
      <c r="B1924" s="895">
        <v>621300</v>
      </c>
      <c r="C1924" s="896" t="s">
        <v>184</v>
      </c>
      <c r="D1924" s="906" t="s">
        <v>360</v>
      </c>
      <c r="E1924" s="907">
        <f>GLOBAL_DER_FEV_2023!E1924</f>
        <v>0</v>
      </c>
      <c r="F1924" s="908">
        <f>GLOBAL_DER_FEV_2023!F1924</f>
        <v>0</v>
      </c>
      <c r="G1924" s="912">
        <f>GLOBAL_DER_FEV_2023!G1924</f>
        <v>1740.3448384000001</v>
      </c>
      <c r="H1924" s="901">
        <f>GLOBAL_DER_FEV_2023!H1924</f>
        <v>7311.47</v>
      </c>
      <c r="I1924" s="901">
        <f>GLOBAL_DER_FEV_2023!I1924</f>
        <v>9051.8148383999996</v>
      </c>
      <c r="J1924" s="902">
        <f>GLOBAL_DER_FEV_2023!J1924</f>
        <v>10868.51</v>
      </c>
      <c r="K1924" s="903" t="s">
        <v>15</v>
      </c>
      <c r="L1924" s="1137"/>
      <c r="M1924" s="1138">
        <f t="shared" si="142"/>
        <v>0</v>
      </c>
      <c r="N1924" s="1176">
        <f t="shared" si="146"/>
        <v>0</v>
      </c>
      <c r="O1924" s="905"/>
      <c r="Q1924" s="317" t="str">
        <f t="shared" si="143"/>
        <v/>
      </c>
      <c r="R1924" s="317" t="str">
        <f t="shared" si="144"/>
        <v/>
      </c>
      <c r="S1924" s="317" t="str">
        <f t="shared" si="145"/>
        <v/>
      </c>
      <c r="T1924" s="317" t="str">
        <f>GLOBAL_DER_FEV_2023!S1924</f>
        <v/>
      </c>
      <c r="W1924" s="582">
        <v>0</v>
      </c>
      <c r="X1924" s="580"/>
      <c r="Y1924" s="583">
        <f>IF(GLOBAL_DER_FEV_2023!W1924=0,0,IF(GLOBAL_DER_FEV_2023!W1924&gt;0,"c","b"))</f>
        <v>0</v>
      </c>
    </row>
    <row r="1925" spans="1:25" ht="15" hidden="1" customHeight="1" x14ac:dyDescent="0.2">
      <c r="A1925" s="317" t="s">
        <v>147</v>
      </c>
      <c r="B1925" s="895" t="s">
        <v>147</v>
      </c>
      <c r="C1925" s="896"/>
      <c r="D1925" s="906" t="s">
        <v>190</v>
      </c>
      <c r="E1925" s="907">
        <f>GLOBAL_DER_FEV_2023!E1925</f>
        <v>308</v>
      </c>
      <c r="F1925" s="908">
        <f>GLOBAL_DER_FEV_2023!F1925</f>
        <v>2.0546000000000002</v>
      </c>
      <c r="G1925" s="909">
        <f>GLOBAL_DER_FEV_2023!G1925</f>
        <v>509.66407600000008</v>
      </c>
      <c r="H1925" s="901">
        <f>GLOBAL_DER_FEV_2023!H1925</f>
        <v>0</v>
      </c>
      <c r="I1925" s="901">
        <f>GLOBAL_DER_FEV_2023!I1925</f>
        <v>0</v>
      </c>
      <c r="J1925" s="902">
        <f>GLOBAL_DER_FEV_2023!J1925</f>
        <v>0</v>
      </c>
      <c r="K1925" s="903"/>
      <c r="L1925" s="1177"/>
      <c r="M1925" s="1138">
        <f t="shared" si="142"/>
        <v>0</v>
      </c>
      <c r="N1925" s="1176">
        <f t="shared" si="146"/>
        <v>0</v>
      </c>
      <c r="O1925" s="905"/>
      <c r="P1925" s="36" t="str">
        <f>IF(N1924&gt;0,"xx",IF(N1924&gt;0,"xy",""))</f>
        <v/>
      </c>
      <c r="Q1925" s="317" t="str">
        <f t="shared" si="143"/>
        <v/>
      </c>
      <c r="R1925" s="317" t="str">
        <f t="shared" si="144"/>
        <v/>
      </c>
      <c r="S1925" s="317" t="str">
        <f t="shared" si="145"/>
        <v/>
      </c>
      <c r="T1925" s="317" t="str">
        <f>GLOBAL_DER_FEV_2023!S1925</f>
        <v/>
      </c>
      <c r="W1925" s="582">
        <v>0</v>
      </c>
      <c r="X1925" s="580"/>
      <c r="Y1925" s="583">
        <f>IF(GLOBAL_DER_FEV_2023!W1925=0,0,IF(GLOBAL_DER_FEV_2023!W1925&gt;0,"c","b"))</f>
        <v>0</v>
      </c>
    </row>
    <row r="1926" spans="1:25" ht="15" hidden="1" customHeight="1" x14ac:dyDescent="0.2">
      <c r="A1926" s="317" t="s">
        <v>147</v>
      </c>
      <c r="B1926" s="895" t="s">
        <v>147</v>
      </c>
      <c r="C1926" s="896"/>
      <c r="D1926" s="906" t="s">
        <v>229</v>
      </c>
      <c r="E1926" s="907">
        <f>GLOBAL_DER_FEV_2023!E1926</f>
        <v>150</v>
      </c>
      <c r="F1926" s="908">
        <f>GLOBAL_DER_FEV_2023!F1926</f>
        <v>7.3052999999999999</v>
      </c>
      <c r="G1926" s="949">
        <f>GLOBAL_DER_FEV_2023!G1926</f>
        <v>1192.0788540000001</v>
      </c>
      <c r="H1926" s="901">
        <f>GLOBAL_DER_FEV_2023!H1926</f>
        <v>0</v>
      </c>
      <c r="I1926" s="901">
        <f>GLOBAL_DER_FEV_2023!I1926</f>
        <v>0</v>
      </c>
      <c r="J1926" s="902">
        <f>GLOBAL_DER_FEV_2023!J1926</f>
        <v>0</v>
      </c>
      <c r="K1926" s="903"/>
      <c r="L1926" s="1177"/>
      <c r="M1926" s="1138">
        <f t="shared" si="142"/>
        <v>0</v>
      </c>
      <c r="N1926" s="1176">
        <f t="shared" si="146"/>
        <v>0</v>
      </c>
      <c r="O1926" s="905"/>
      <c r="P1926" s="36" t="str">
        <f>IF(N1924&gt;0,"xx",IF(N1924&gt;0,"xy",""))</f>
        <v/>
      </c>
      <c r="Q1926" s="317" t="str">
        <f t="shared" si="143"/>
        <v/>
      </c>
      <c r="R1926" s="317" t="str">
        <f t="shared" si="144"/>
        <v/>
      </c>
      <c r="S1926" s="317" t="str">
        <f t="shared" si="145"/>
        <v/>
      </c>
      <c r="T1926" s="317" t="str">
        <f>GLOBAL_DER_FEV_2023!S1926</f>
        <v/>
      </c>
      <c r="W1926" s="582">
        <v>0</v>
      </c>
      <c r="X1926" s="580"/>
      <c r="Y1926" s="583">
        <f>IF(GLOBAL_DER_FEV_2023!W1926=0,0,IF(GLOBAL_DER_FEV_2023!W1926&gt;0,"c","b"))</f>
        <v>0</v>
      </c>
    </row>
    <row r="1927" spans="1:25" ht="15" hidden="1" customHeight="1" x14ac:dyDescent="0.2">
      <c r="A1927" s="317" t="s">
        <v>147</v>
      </c>
      <c r="B1927" s="895" t="s">
        <v>147</v>
      </c>
      <c r="C1927" s="896"/>
      <c r="D1927" s="906" t="s">
        <v>233</v>
      </c>
      <c r="E1927" s="907">
        <f>GLOBAL_DER_FEV_2023!E1927</f>
        <v>0.2</v>
      </c>
      <c r="F1927" s="908">
        <f>GLOBAL_DER_FEV_2023!F1927</f>
        <v>13.3386</v>
      </c>
      <c r="G1927" s="949">
        <f>GLOBAL_DER_FEV_2023!G1927</f>
        <v>38.601908399999999</v>
      </c>
      <c r="H1927" s="901">
        <f>GLOBAL_DER_FEV_2023!H1927</f>
        <v>0</v>
      </c>
      <c r="I1927" s="901">
        <f>GLOBAL_DER_FEV_2023!I1927</f>
        <v>0</v>
      </c>
      <c r="J1927" s="902">
        <f>GLOBAL_DER_FEV_2023!J1927</f>
        <v>0</v>
      </c>
      <c r="K1927" s="903"/>
      <c r="L1927" s="1177"/>
      <c r="M1927" s="1138">
        <f t="shared" si="142"/>
        <v>0</v>
      </c>
      <c r="N1927" s="1176">
        <f t="shared" si="146"/>
        <v>0</v>
      </c>
      <c r="O1927" s="905"/>
      <c r="P1927" s="36" t="str">
        <f>IF(N1924&gt;0,"xx",IF(N1924&gt;0,"xy",""))</f>
        <v/>
      </c>
      <c r="Q1927" s="317" t="str">
        <f t="shared" si="143"/>
        <v/>
      </c>
      <c r="R1927" s="317" t="str">
        <f t="shared" si="144"/>
        <v/>
      </c>
      <c r="S1927" s="317" t="str">
        <f t="shared" si="145"/>
        <v/>
      </c>
      <c r="T1927" s="317" t="str">
        <f>GLOBAL_DER_FEV_2023!S1927</f>
        <v/>
      </c>
      <c r="W1927" s="582">
        <v>0</v>
      </c>
      <c r="X1927" s="580"/>
      <c r="Y1927" s="583">
        <f>IF(GLOBAL_DER_FEV_2023!W1927=0,0,IF(GLOBAL_DER_FEV_2023!W1927&gt;0,"c","b"))</f>
        <v>0</v>
      </c>
    </row>
    <row r="1928" spans="1:25" ht="15" hidden="1" customHeight="1" x14ac:dyDescent="0.2">
      <c r="A1928" s="317">
        <v>621400</v>
      </c>
      <c r="B1928" s="895">
        <v>621400</v>
      </c>
      <c r="C1928" s="896" t="s">
        <v>184</v>
      </c>
      <c r="D1928" s="906" t="s">
        <v>361</v>
      </c>
      <c r="E1928" s="907">
        <f>GLOBAL_DER_FEV_2023!E1928</f>
        <v>0</v>
      </c>
      <c r="F1928" s="908">
        <f>GLOBAL_DER_FEV_2023!F1928</f>
        <v>0</v>
      </c>
      <c r="G1928" s="912">
        <f>GLOBAL_DER_FEV_2023!G1928</f>
        <v>3318.6641798000001</v>
      </c>
      <c r="H1928" s="901">
        <f>GLOBAL_DER_FEV_2023!H1928</f>
        <v>12918.12</v>
      </c>
      <c r="I1928" s="901">
        <f>GLOBAL_DER_FEV_2023!I1928</f>
        <v>16236.784179800001</v>
      </c>
      <c r="J1928" s="902">
        <f>GLOBAL_DER_FEV_2023!J1928</f>
        <v>19495.509999999998</v>
      </c>
      <c r="K1928" s="903" t="s">
        <v>15</v>
      </c>
      <c r="L1928" s="1137"/>
      <c r="M1928" s="1138">
        <f t="shared" si="142"/>
        <v>0</v>
      </c>
      <c r="N1928" s="1176">
        <f t="shared" si="146"/>
        <v>0</v>
      </c>
      <c r="O1928" s="905"/>
      <c r="Q1928" s="317" t="str">
        <f t="shared" si="143"/>
        <v/>
      </c>
      <c r="R1928" s="317" t="str">
        <f t="shared" si="144"/>
        <v/>
      </c>
      <c r="S1928" s="317" t="str">
        <f t="shared" si="145"/>
        <v/>
      </c>
      <c r="T1928" s="317" t="str">
        <f>GLOBAL_DER_FEV_2023!S1928</f>
        <v/>
      </c>
      <c r="W1928" s="582">
        <v>0</v>
      </c>
      <c r="X1928" s="580"/>
      <c r="Y1928" s="583">
        <f>IF(GLOBAL_DER_FEV_2023!W1928=0,0,IF(GLOBAL_DER_FEV_2023!W1928&gt;0,"c","b"))</f>
        <v>0</v>
      </c>
    </row>
    <row r="1929" spans="1:25" ht="15" hidden="1" customHeight="1" x14ac:dyDescent="0.2">
      <c r="A1929" s="317" t="s">
        <v>147</v>
      </c>
      <c r="B1929" s="895" t="s">
        <v>147</v>
      </c>
      <c r="C1929" s="896"/>
      <c r="D1929" s="906" t="s">
        <v>190</v>
      </c>
      <c r="E1929" s="907">
        <f>GLOBAL_DER_FEV_2023!E1929</f>
        <v>308</v>
      </c>
      <c r="F1929" s="908">
        <f>GLOBAL_DER_FEV_2023!F1929</f>
        <v>3.9178999999999999</v>
      </c>
      <c r="G1929" s="909">
        <f>GLOBAL_DER_FEV_2023!G1929</f>
        <v>971.87427400000001</v>
      </c>
      <c r="H1929" s="901">
        <f>GLOBAL_DER_FEV_2023!H1929</f>
        <v>0</v>
      </c>
      <c r="I1929" s="901">
        <f>GLOBAL_DER_FEV_2023!I1929</f>
        <v>0</v>
      </c>
      <c r="J1929" s="902">
        <f>GLOBAL_DER_FEV_2023!J1929</f>
        <v>0</v>
      </c>
      <c r="K1929" s="903"/>
      <c r="L1929" s="1177"/>
      <c r="M1929" s="1138">
        <f t="shared" si="142"/>
        <v>0</v>
      </c>
      <c r="N1929" s="1176">
        <f t="shared" si="146"/>
        <v>0</v>
      </c>
      <c r="O1929" s="905"/>
      <c r="P1929" s="36" t="str">
        <f>IF(N1928&gt;0,"xx",IF(N1928&gt;0,"xy",""))</f>
        <v/>
      </c>
      <c r="Q1929" s="317" t="str">
        <f t="shared" si="143"/>
        <v/>
      </c>
      <c r="R1929" s="317" t="str">
        <f t="shared" si="144"/>
        <v/>
      </c>
      <c r="S1929" s="317" t="str">
        <f t="shared" si="145"/>
        <v/>
      </c>
      <c r="T1929" s="317" t="str">
        <f>GLOBAL_DER_FEV_2023!S1929</f>
        <v/>
      </c>
      <c r="W1929" s="582">
        <v>0</v>
      </c>
      <c r="X1929" s="580"/>
      <c r="Y1929" s="583">
        <f>IF(GLOBAL_DER_FEV_2023!W1929=0,0,IF(GLOBAL_DER_FEV_2023!W1929&gt;0,"c","b"))</f>
        <v>0</v>
      </c>
    </row>
    <row r="1930" spans="1:25" ht="15" hidden="1" customHeight="1" x14ac:dyDescent="0.2">
      <c r="A1930" s="317" t="s">
        <v>147</v>
      </c>
      <c r="B1930" s="895" t="s">
        <v>147</v>
      </c>
      <c r="C1930" s="896"/>
      <c r="D1930" s="906" t="s">
        <v>229</v>
      </c>
      <c r="E1930" s="907">
        <f>GLOBAL_DER_FEV_2023!E1930</f>
        <v>150</v>
      </c>
      <c r="F1930" s="908">
        <f>GLOBAL_DER_FEV_2023!F1930</f>
        <v>13.9305</v>
      </c>
      <c r="G1930" s="949">
        <f>GLOBAL_DER_FEV_2023!G1930</f>
        <v>2273.1789900000003</v>
      </c>
      <c r="H1930" s="901">
        <f>GLOBAL_DER_FEV_2023!H1930</f>
        <v>0</v>
      </c>
      <c r="I1930" s="901">
        <f>GLOBAL_DER_FEV_2023!I1930</f>
        <v>0</v>
      </c>
      <c r="J1930" s="902">
        <f>GLOBAL_DER_FEV_2023!J1930</f>
        <v>0</v>
      </c>
      <c r="K1930" s="903"/>
      <c r="L1930" s="1177"/>
      <c r="M1930" s="1138">
        <f t="shared" si="142"/>
        <v>0</v>
      </c>
      <c r="N1930" s="1176">
        <f t="shared" si="146"/>
        <v>0</v>
      </c>
      <c r="O1930" s="905"/>
      <c r="P1930" s="36" t="str">
        <f>IF(N1928&gt;0,"xx",IF(N1928&gt;0,"xy",""))</f>
        <v/>
      </c>
      <c r="Q1930" s="317" t="str">
        <f t="shared" si="143"/>
        <v/>
      </c>
      <c r="R1930" s="317" t="str">
        <f t="shared" si="144"/>
        <v/>
      </c>
      <c r="S1930" s="317" t="str">
        <f t="shared" si="145"/>
        <v/>
      </c>
      <c r="T1930" s="317" t="str">
        <f>GLOBAL_DER_FEV_2023!S1930</f>
        <v/>
      </c>
      <c r="W1930" s="582">
        <v>0</v>
      </c>
      <c r="X1930" s="580"/>
      <c r="Y1930" s="583">
        <f>IF(GLOBAL_DER_FEV_2023!W1930=0,0,IF(GLOBAL_DER_FEV_2023!W1930&gt;0,"c","b"))</f>
        <v>0</v>
      </c>
    </row>
    <row r="1931" spans="1:25" ht="15" hidden="1" customHeight="1" x14ac:dyDescent="0.2">
      <c r="A1931" s="317" t="s">
        <v>147</v>
      </c>
      <c r="B1931" s="895" t="s">
        <v>147</v>
      </c>
      <c r="C1931" s="896"/>
      <c r="D1931" s="906" t="s">
        <v>233</v>
      </c>
      <c r="E1931" s="907">
        <f>GLOBAL_DER_FEV_2023!E1931</f>
        <v>0.2</v>
      </c>
      <c r="F1931" s="908">
        <f>GLOBAL_DER_FEV_2023!F1931</f>
        <v>25.435699999999997</v>
      </c>
      <c r="G1931" s="949">
        <f>GLOBAL_DER_FEV_2023!G1931</f>
        <v>73.610915800000001</v>
      </c>
      <c r="H1931" s="901">
        <f>GLOBAL_DER_FEV_2023!H1931</f>
        <v>0</v>
      </c>
      <c r="I1931" s="901">
        <f>GLOBAL_DER_FEV_2023!I1931</f>
        <v>0</v>
      </c>
      <c r="J1931" s="902">
        <f>GLOBAL_DER_FEV_2023!J1931</f>
        <v>0</v>
      </c>
      <c r="K1931" s="903"/>
      <c r="L1931" s="1177"/>
      <c r="M1931" s="1138">
        <f t="shared" si="142"/>
        <v>0</v>
      </c>
      <c r="N1931" s="1176">
        <f t="shared" si="146"/>
        <v>0</v>
      </c>
      <c r="O1931" s="905"/>
      <c r="P1931" s="36" t="str">
        <f>IF(N1928&gt;0,"xx",IF(N1928&gt;0,"xy",""))</f>
        <v/>
      </c>
      <c r="Q1931" s="317" t="str">
        <f t="shared" si="143"/>
        <v/>
      </c>
      <c r="R1931" s="317" t="str">
        <f t="shared" si="144"/>
        <v/>
      </c>
      <c r="S1931" s="317" t="str">
        <f t="shared" si="145"/>
        <v/>
      </c>
      <c r="T1931" s="317" t="str">
        <f>GLOBAL_DER_FEV_2023!S1931</f>
        <v/>
      </c>
      <c r="W1931" s="582">
        <v>0</v>
      </c>
      <c r="X1931" s="580"/>
      <c r="Y1931" s="583">
        <f>IF(GLOBAL_DER_FEV_2023!W1931=0,0,IF(GLOBAL_DER_FEV_2023!W1931&gt;0,"c","b"))</f>
        <v>0</v>
      </c>
    </row>
    <row r="1932" spans="1:25" ht="15" hidden="1" customHeight="1" x14ac:dyDescent="0.2">
      <c r="A1932" s="317">
        <v>607500</v>
      </c>
      <c r="B1932" s="895">
        <v>607500</v>
      </c>
      <c r="C1932" s="896" t="s">
        <v>184</v>
      </c>
      <c r="D1932" s="906" t="s">
        <v>470</v>
      </c>
      <c r="E1932" s="907">
        <f>GLOBAL_DER_FEV_2023!E1932</f>
        <v>0</v>
      </c>
      <c r="F1932" s="908">
        <f>GLOBAL_DER_FEV_2023!F1932</f>
        <v>0</v>
      </c>
      <c r="G1932" s="912">
        <f>GLOBAL_DER_FEV_2023!G1932</f>
        <v>3.015352</v>
      </c>
      <c r="H1932" s="901">
        <f>GLOBAL_DER_FEV_2023!H1932</f>
        <v>48.74</v>
      </c>
      <c r="I1932" s="901">
        <f>GLOBAL_DER_FEV_2023!I1932</f>
        <v>51.755352000000002</v>
      </c>
      <c r="J1932" s="902">
        <f>GLOBAL_DER_FEV_2023!J1932</f>
        <v>62.14</v>
      </c>
      <c r="K1932" s="903" t="s">
        <v>13</v>
      </c>
      <c r="L1932" s="1137"/>
      <c r="M1932" s="1138">
        <f t="shared" si="142"/>
        <v>0</v>
      </c>
      <c r="N1932" s="1176">
        <f t="shared" si="146"/>
        <v>0</v>
      </c>
      <c r="O1932" s="905"/>
      <c r="Q1932" s="317" t="str">
        <f t="shared" si="143"/>
        <v/>
      </c>
      <c r="R1932" s="317" t="str">
        <f t="shared" si="144"/>
        <v/>
      </c>
      <c r="S1932" s="317" t="str">
        <f t="shared" si="145"/>
        <v/>
      </c>
      <c r="T1932" s="317" t="str">
        <f>GLOBAL_DER_FEV_2023!S1932</f>
        <v/>
      </c>
      <c r="W1932" s="582">
        <v>0</v>
      </c>
      <c r="X1932" s="580"/>
      <c r="Y1932" s="583">
        <f>IF(GLOBAL_DER_FEV_2023!W1932=0,0,IF(GLOBAL_DER_FEV_2023!W1932&gt;0,"c","b"))</f>
        <v>0</v>
      </c>
    </row>
    <row r="1933" spans="1:25" ht="15" hidden="1" customHeight="1" x14ac:dyDescent="0.2">
      <c r="A1933" s="317" t="s">
        <v>147</v>
      </c>
      <c r="B1933" s="895" t="s">
        <v>147</v>
      </c>
      <c r="C1933" s="896"/>
      <c r="D1933" s="906" t="s">
        <v>190</v>
      </c>
      <c r="E1933" s="907">
        <f>GLOBAL_DER_FEV_2023!E1933</f>
        <v>308</v>
      </c>
      <c r="F1933" s="908">
        <f>GLOBAL_DER_FEV_2023!F1933</f>
        <v>2.9999999999999997E-4</v>
      </c>
      <c r="G1933" s="909">
        <f>GLOBAL_DER_FEV_2023!G1933</f>
        <v>7.4417999999999998E-2</v>
      </c>
      <c r="H1933" s="901">
        <f>GLOBAL_DER_FEV_2023!H1933</f>
        <v>0</v>
      </c>
      <c r="I1933" s="901">
        <f>GLOBAL_DER_FEV_2023!I1933</f>
        <v>0</v>
      </c>
      <c r="J1933" s="902">
        <f>GLOBAL_DER_FEV_2023!J1933</f>
        <v>0</v>
      </c>
      <c r="K1933" s="903"/>
      <c r="L1933" s="1177"/>
      <c r="M1933" s="1138">
        <f t="shared" si="142"/>
        <v>0</v>
      </c>
      <c r="N1933" s="1176">
        <f t="shared" si="146"/>
        <v>0</v>
      </c>
      <c r="O1933" s="905"/>
      <c r="P1933" s="36" t="str">
        <f>IF(N1932&gt;0,"xx",IF(N1932&gt;0,"xy",""))</f>
        <v/>
      </c>
      <c r="Q1933" s="317" t="str">
        <f t="shared" si="143"/>
        <v/>
      </c>
      <c r="R1933" s="317" t="str">
        <f t="shared" si="144"/>
        <v/>
      </c>
      <c r="S1933" s="317" t="str">
        <f t="shared" si="145"/>
        <v/>
      </c>
      <c r="T1933" s="317" t="str">
        <f>GLOBAL_DER_FEV_2023!S1933</f>
        <v/>
      </c>
      <c r="W1933" s="582">
        <v>0</v>
      </c>
      <c r="X1933" s="580"/>
      <c r="Y1933" s="583">
        <f>IF(GLOBAL_DER_FEV_2023!W1933=0,0,IF(GLOBAL_DER_FEV_2023!W1933&gt;0,"c","b"))</f>
        <v>0</v>
      </c>
    </row>
    <row r="1934" spans="1:25" ht="15" hidden="1" customHeight="1" x14ac:dyDescent="0.2">
      <c r="A1934" s="317" t="s">
        <v>147</v>
      </c>
      <c r="B1934" s="895" t="s">
        <v>147</v>
      </c>
      <c r="C1934" s="896"/>
      <c r="D1934" s="906" t="s">
        <v>229</v>
      </c>
      <c r="E1934" s="907">
        <f>GLOBAL_DER_FEV_2023!E1934</f>
        <v>150</v>
      </c>
      <c r="F1934" s="908">
        <f>GLOBAL_DER_FEV_2023!F1934</f>
        <v>1.2999999999999999E-3</v>
      </c>
      <c r="G1934" s="949">
        <f>GLOBAL_DER_FEV_2023!G1934</f>
        <v>0.21213399999999999</v>
      </c>
      <c r="H1934" s="901">
        <f>GLOBAL_DER_FEV_2023!H1934</f>
        <v>0</v>
      </c>
      <c r="I1934" s="901">
        <f>GLOBAL_DER_FEV_2023!I1934</f>
        <v>0</v>
      </c>
      <c r="J1934" s="902">
        <f>GLOBAL_DER_FEV_2023!J1934</f>
        <v>0</v>
      </c>
      <c r="K1934" s="903"/>
      <c r="L1934" s="1177"/>
      <c r="M1934" s="1138">
        <f t="shared" si="142"/>
        <v>0</v>
      </c>
      <c r="N1934" s="1176">
        <f t="shared" si="146"/>
        <v>0</v>
      </c>
      <c r="O1934" s="905"/>
      <c r="P1934" s="36" t="str">
        <f>IF(N1932&gt;0,"xx",IF(N1932&gt;0,"xy",""))</f>
        <v/>
      </c>
      <c r="Q1934" s="317" t="str">
        <f t="shared" si="143"/>
        <v/>
      </c>
      <c r="R1934" s="317" t="str">
        <f t="shared" si="144"/>
        <v/>
      </c>
      <c r="S1934" s="317" t="str">
        <f t="shared" si="145"/>
        <v/>
      </c>
      <c r="T1934" s="317" t="str">
        <f>GLOBAL_DER_FEV_2023!S1934</f>
        <v/>
      </c>
      <c r="W1934" s="582">
        <v>0</v>
      </c>
      <c r="X1934" s="580"/>
      <c r="Y1934" s="583">
        <f>IF(GLOBAL_DER_FEV_2023!W1934=0,0,IF(GLOBAL_DER_FEV_2023!W1934&gt;0,"c","b"))</f>
        <v>0</v>
      </c>
    </row>
    <row r="1935" spans="1:25" ht="15" hidden="1" customHeight="1" x14ac:dyDescent="0.2">
      <c r="A1935" s="317" t="s">
        <v>147</v>
      </c>
      <c r="B1935" s="895" t="s">
        <v>147</v>
      </c>
      <c r="C1935" s="896"/>
      <c r="D1935" s="906" t="s">
        <v>336</v>
      </c>
      <c r="E1935" s="907">
        <f>GLOBAL_DER_FEV_2023!E1935</f>
        <v>40</v>
      </c>
      <c r="F1935" s="908">
        <f>GLOBAL_DER_FEV_2023!F1935</f>
        <v>0.06</v>
      </c>
      <c r="G1935" s="949">
        <f>GLOBAL_DER_FEV_2023!G1935</f>
        <v>2.7288000000000001</v>
      </c>
      <c r="H1935" s="901">
        <f>GLOBAL_DER_FEV_2023!H1935</f>
        <v>0</v>
      </c>
      <c r="I1935" s="901">
        <f>GLOBAL_DER_FEV_2023!I1935</f>
        <v>0</v>
      </c>
      <c r="J1935" s="902">
        <f>GLOBAL_DER_FEV_2023!J1935</f>
        <v>0</v>
      </c>
      <c r="K1935" s="903"/>
      <c r="L1935" s="1177"/>
      <c r="M1935" s="1138">
        <f t="shared" si="142"/>
        <v>0</v>
      </c>
      <c r="N1935" s="1176">
        <f t="shared" si="146"/>
        <v>0</v>
      </c>
      <c r="O1935" s="905"/>
      <c r="P1935" s="36" t="str">
        <f>IF(N1932&gt;0,"xx",IF(N1932&gt;0,"xy",""))</f>
        <v/>
      </c>
      <c r="Q1935" s="317" t="str">
        <f t="shared" si="143"/>
        <v/>
      </c>
      <c r="R1935" s="317" t="str">
        <f t="shared" si="144"/>
        <v/>
      </c>
      <c r="S1935" s="317" t="str">
        <f t="shared" si="145"/>
        <v/>
      </c>
      <c r="T1935" s="317" t="str">
        <f>GLOBAL_DER_FEV_2023!S1935</f>
        <v/>
      </c>
      <c r="W1935" s="582">
        <v>0</v>
      </c>
      <c r="X1935" s="580"/>
      <c r="Y1935" s="583">
        <f>IF(GLOBAL_DER_FEV_2023!W1935=0,0,IF(GLOBAL_DER_FEV_2023!W1935&gt;0,"c","b"))</f>
        <v>0</v>
      </c>
    </row>
    <row r="1936" spans="1:25" ht="15" hidden="1" customHeight="1" x14ac:dyDescent="0.2">
      <c r="A1936" s="317">
        <v>607600</v>
      </c>
      <c r="B1936" s="895">
        <v>607600</v>
      </c>
      <c r="C1936" s="896" t="s">
        <v>184</v>
      </c>
      <c r="D1936" s="906" t="s">
        <v>471</v>
      </c>
      <c r="E1936" s="907">
        <f>GLOBAL_DER_FEV_2023!E1936</f>
        <v>0</v>
      </c>
      <c r="F1936" s="908">
        <f>GLOBAL_DER_FEV_2023!F1936</f>
        <v>0</v>
      </c>
      <c r="G1936" s="912">
        <f>GLOBAL_DER_FEV_2023!G1936</f>
        <v>4.8371440000000003</v>
      </c>
      <c r="H1936" s="901">
        <f>GLOBAL_DER_FEV_2023!H1936</f>
        <v>65.040000000000006</v>
      </c>
      <c r="I1936" s="901">
        <f>GLOBAL_DER_FEV_2023!I1936</f>
        <v>69.877144000000001</v>
      </c>
      <c r="J1936" s="902">
        <f>GLOBAL_DER_FEV_2023!J1936</f>
        <v>83.9</v>
      </c>
      <c r="K1936" s="903" t="s">
        <v>13</v>
      </c>
      <c r="L1936" s="1137"/>
      <c r="M1936" s="1138">
        <f t="shared" si="142"/>
        <v>0</v>
      </c>
      <c r="N1936" s="1176">
        <f t="shared" si="146"/>
        <v>0</v>
      </c>
      <c r="O1936" s="905"/>
      <c r="Q1936" s="317" t="str">
        <f t="shared" si="143"/>
        <v/>
      </c>
      <c r="R1936" s="317" t="str">
        <f t="shared" si="144"/>
        <v/>
      </c>
      <c r="S1936" s="317" t="str">
        <f t="shared" si="145"/>
        <v/>
      </c>
      <c r="T1936" s="317" t="str">
        <f>GLOBAL_DER_FEV_2023!S1936</f>
        <v/>
      </c>
      <c r="W1936" s="582">
        <v>0</v>
      </c>
      <c r="X1936" s="580"/>
      <c r="Y1936" s="583">
        <f>IF(GLOBAL_DER_FEV_2023!W1936=0,0,IF(GLOBAL_DER_FEV_2023!W1936&gt;0,"c","b"))</f>
        <v>0</v>
      </c>
    </row>
    <row r="1937" spans="1:25" ht="15" hidden="1" customHeight="1" x14ac:dyDescent="0.2">
      <c r="A1937" s="317" t="s">
        <v>147</v>
      </c>
      <c r="B1937" s="895" t="s">
        <v>147</v>
      </c>
      <c r="C1937" s="896"/>
      <c r="D1937" s="906" t="s">
        <v>190</v>
      </c>
      <c r="E1937" s="907">
        <f>GLOBAL_DER_FEV_2023!E1937</f>
        <v>308</v>
      </c>
      <c r="F1937" s="908">
        <f>GLOBAL_DER_FEV_2023!F1937</f>
        <v>4.0000000000000002E-4</v>
      </c>
      <c r="G1937" s="909">
        <f>GLOBAL_DER_FEV_2023!G1937</f>
        <v>9.9224000000000007E-2</v>
      </c>
      <c r="H1937" s="901">
        <f>GLOBAL_DER_FEV_2023!H1937</f>
        <v>0</v>
      </c>
      <c r="I1937" s="901">
        <f>GLOBAL_DER_FEV_2023!I1937</f>
        <v>0</v>
      </c>
      <c r="J1937" s="902">
        <f>GLOBAL_DER_FEV_2023!J1937</f>
        <v>0</v>
      </c>
      <c r="K1937" s="903"/>
      <c r="L1937" s="1177"/>
      <c r="M1937" s="1138">
        <f t="shared" si="142"/>
        <v>0</v>
      </c>
      <c r="N1937" s="1176">
        <f t="shared" si="146"/>
        <v>0</v>
      </c>
      <c r="O1937" s="905"/>
      <c r="P1937" s="36" t="str">
        <f>IF(N1936&gt;0,"xx",IF(N1936&gt;0,"xy",""))</f>
        <v/>
      </c>
      <c r="Q1937" s="317" t="str">
        <f t="shared" si="143"/>
        <v/>
      </c>
      <c r="R1937" s="317" t="str">
        <f t="shared" si="144"/>
        <v/>
      </c>
      <c r="S1937" s="317" t="str">
        <f t="shared" si="145"/>
        <v/>
      </c>
      <c r="T1937" s="317" t="str">
        <f>GLOBAL_DER_FEV_2023!S1937</f>
        <v/>
      </c>
      <c r="W1937" s="582">
        <v>0</v>
      </c>
      <c r="X1937" s="580"/>
      <c r="Y1937" s="583">
        <f>IF(GLOBAL_DER_FEV_2023!W1937=0,0,IF(GLOBAL_DER_FEV_2023!W1937&gt;0,"c","b"))</f>
        <v>0</v>
      </c>
    </row>
    <row r="1938" spans="1:25" ht="15" hidden="1" customHeight="1" x14ac:dyDescent="0.2">
      <c r="A1938" s="317" t="s">
        <v>147</v>
      </c>
      <c r="B1938" s="895" t="s">
        <v>147</v>
      </c>
      <c r="C1938" s="896"/>
      <c r="D1938" s="906" t="s">
        <v>229</v>
      </c>
      <c r="E1938" s="907">
        <f>GLOBAL_DER_FEV_2023!E1938</f>
        <v>150</v>
      </c>
      <c r="F1938" s="908">
        <f>GLOBAL_DER_FEV_2023!F1938</f>
        <v>2E-3</v>
      </c>
      <c r="G1938" s="949">
        <f>GLOBAL_DER_FEV_2023!G1938</f>
        <v>0.32636000000000004</v>
      </c>
      <c r="H1938" s="901">
        <f>GLOBAL_DER_FEV_2023!H1938</f>
        <v>0</v>
      </c>
      <c r="I1938" s="901">
        <f>GLOBAL_DER_FEV_2023!I1938</f>
        <v>0</v>
      </c>
      <c r="J1938" s="902">
        <f>GLOBAL_DER_FEV_2023!J1938</f>
        <v>0</v>
      </c>
      <c r="K1938" s="903"/>
      <c r="L1938" s="1177"/>
      <c r="M1938" s="1138">
        <f t="shared" ref="M1938:M2001" si="147">IF(L1938=0,0,ROUND(J1938,2))</f>
        <v>0</v>
      </c>
      <c r="N1938" s="1176">
        <f t="shared" si="146"/>
        <v>0</v>
      </c>
      <c r="O1938" s="905"/>
      <c r="P1938" s="36" t="str">
        <f>IF(N1936&gt;0,"xx",IF(N1936&gt;0,"xy",""))</f>
        <v/>
      </c>
      <c r="Q1938" s="317" t="str">
        <f t="shared" si="143"/>
        <v/>
      </c>
      <c r="R1938" s="317" t="str">
        <f t="shared" si="144"/>
        <v/>
      </c>
      <c r="S1938" s="317" t="str">
        <f t="shared" si="145"/>
        <v/>
      </c>
      <c r="T1938" s="317" t="str">
        <f>GLOBAL_DER_FEV_2023!S1938</f>
        <v/>
      </c>
      <c r="W1938" s="582">
        <v>0</v>
      </c>
      <c r="X1938" s="580"/>
      <c r="Y1938" s="583">
        <f>IF(GLOBAL_DER_FEV_2023!W1938=0,0,IF(GLOBAL_DER_FEV_2023!W1938&gt;0,"c","b"))</f>
        <v>0</v>
      </c>
    </row>
    <row r="1939" spans="1:25" ht="15" hidden="1" customHeight="1" x14ac:dyDescent="0.2">
      <c r="A1939" s="317" t="s">
        <v>147</v>
      </c>
      <c r="B1939" s="895" t="s">
        <v>147</v>
      </c>
      <c r="C1939" s="896"/>
      <c r="D1939" s="906" t="s">
        <v>336</v>
      </c>
      <c r="E1939" s="907">
        <f>GLOBAL_DER_FEV_2023!E1939</f>
        <v>40</v>
      </c>
      <c r="F1939" s="908">
        <f>GLOBAL_DER_FEV_2023!F1939</f>
        <v>9.7000000000000003E-2</v>
      </c>
      <c r="G1939" s="949">
        <f>GLOBAL_DER_FEV_2023!G1939</f>
        <v>4.4115600000000006</v>
      </c>
      <c r="H1939" s="901">
        <f>GLOBAL_DER_FEV_2023!H1939</f>
        <v>0</v>
      </c>
      <c r="I1939" s="901">
        <f>GLOBAL_DER_FEV_2023!I1939</f>
        <v>0</v>
      </c>
      <c r="J1939" s="902">
        <f>GLOBAL_DER_FEV_2023!J1939</f>
        <v>0</v>
      </c>
      <c r="K1939" s="903"/>
      <c r="L1939" s="1177"/>
      <c r="M1939" s="1138">
        <f t="shared" si="147"/>
        <v>0</v>
      </c>
      <c r="N1939" s="1176">
        <f t="shared" si="146"/>
        <v>0</v>
      </c>
      <c r="O1939" s="905"/>
      <c r="P1939" s="36" t="str">
        <f>IF(N1936&gt;0,"xx",IF(N1936&gt;0,"xy",""))</f>
        <v/>
      </c>
      <c r="Q1939" s="317" t="str">
        <f t="shared" si="143"/>
        <v/>
      </c>
      <c r="R1939" s="317" t="str">
        <f t="shared" si="144"/>
        <v/>
      </c>
      <c r="S1939" s="317" t="str">
        <f t="shared" si="145"/>
        <v/>
      </c>
      <c r="T1939" s="317" t="str">
        <f>GLOBAL_DER_FEV_2023!S1939</f>
        <v/>
      </c>
      <c r="W1939" s="582">
        <v>0</v>
      </c>
      <c r="X1939" s="580"/>
      <c r="Y1939" s="583">
        <f>IF(GLOBAL_DER_FEV_2023!W1939=0,0,IF(GLOBAL_DER_FEV_2023!W1939&gt;0,"c","b"))</f>
        <v>0</v>
      </c>
    </row>
    <row r="1940" spans="1:25" ht="15" hidden="1" customHeight="1" x14ac:dyDescent="0.2">
      <c r="A1940" s="317">
        <v>610400</v>
      </c>
      <c r="B1940" s="895" t="s">
        <v>1823</v>
      </c>
      <c r="C1940" s="896" t="s">
        <v>184</v>
      </c>
      <c r="D1940" s="906" t="s">
        <v>362</v>
      </c>
      <c r="E1940" s="907">
        <f>GLOBAL_DER_FEV_2023!E1940</f>
        <v>0</v>
      </c>
      <c r="F1940" s="908">
        <f>GLOBAL_DER_FEV_2023!F1940</f>
        <v>0</v>
      </c>
      <c r="G1940" s="912">
        <f>GLOBAL_DER_FEV_2023!G1940</f>
        <v>7.1059140000000003</v>
      </c>
      <c r="H1940" s="901">
        <f>GLOBAL_DER_FEV_2023!H1940</f>
        <v>137.47</v>
      </c>
      <c r="I1940" s="901">
        <f>GLOBAL_DER_FEV_2023!I1940</f>
        <v>144.57591400000001</v>
      </c>
      <c r="J1940" s="902">
        <f>GLOBAL_DER_FEV_2023!J1940</f>
        <v>173.59</v>
      </c>
      <c r="K1940" s="903" t="s">
        <v>13</v>
      </c>
      <c r="L1940" s="1137"/>
      <c r="M1940" s="1138">
        <f t="shared" si="147"/>
        <v>0</v>
      </c>
      <c r="N1940" s="1176">
        <f t="shared" si="146"/>
        <v>0</v>
      </c>
      <c r="O1940" s="905"/>
      <c r="Q1940" s="317" t="str">
        <f t="shared" si="143"/>
        <v/>
      </c>
      <c r="R1940" s="317" t="str">
        <f t="shared" si="144"/>
        <v/>
      </c>
      <c r="S1940" s="317" t="str">
        <f t="shared" si="145"/>
        <v/>
      </c>
      <c r="T1940" s="317" t="str">
        <f>GLOBAL_DER_FEV_2023!S1940</f>
        <v/>
      </c>
      <c r="W1940" s="582">
        <v>0</v>
      </c>
      <c r="X1940" s="580"/>
      <c r="Y1940" s="583">
        <f>IF(GLOBAL_DER_FEV_2023!W1940=0,0,IF(GLOBAL_DER_FEV_2023!W1940&gt;0,"c","b"))</f>
        <v>0</v>
      </c>
    </row>
    <row r="1941" spans="1:25" ht="15" hidden="1" customHeight="1" x14ac:dyDescent="0.2">
      <c r="A1941" s="317" t="s">
        <v>147</v>
      </c>
      <c r="B1941" s="895" t="s">
        <v>147</v>
      </c>
      <c r="C1941" s="896"/>
      <c r="D1941" s="906" t="s">
        <v>190</v>
      </c>
      <c r="E1941" s="907">
        <f>GLOBAL_DER_FEV_2023!E1941</f>
        <v>308</v>
      </c>
      <c r="F1941" s="908">
        <f>GLOBAL_DER_FEV_2023!F1941</f>
        <v>1.9E-3</v>
      </c>
      <c r="G1941" s="909">
        <f>GLOBAL_DER_FEV_2023!G1941</f>
        <v>0.47131400000000001</v>
      </c>
      <c r="H1941" s="901">
        <f>GLOBAL_DER_FEV_2023!H1941</f>
        <v>0</v>
      </c>
      <c r="I1941" s="901">
        <f>GLOBAL_DER_FEV_2023!I1941</f>
        <v>0</v>
      </c>
      <c r="J1941" s="902">
        <f>GLOBAL_DER_FEV_2023!J1941</f>
        <v>0</v>
      </c>
      <c r="K1941" s="903"/>
      <c r="L1941" s="1177"/>
      <c r="M1941" s="1138">
        <f t="shared" si="147"/>
        <v>0</v>
      </c>
      <c r="N1941" s="1176">
        <f t="shared" si="146"/>
        <v>0</v>
      </c>
      <c r="O1941" s="905"/>
      <c r="P1941" s="36" t="str">
        <f>IF(N1940&gt;0,"xx",IF(N1940&gt;0,"xy",""))</f>
        <v/>
      </c>
      <c r="Q1941" s="317" t="str">
        <f t="shared" si="143"/>
        <v/>
      </c>
      <c r="R1941" s="317" t="str">
        <f t="shared" si="144"/>
        <v/>
      </c>
      <c r="S1941" s="317" t="str">
        <f t="shared" si="145"/>
        <v/>
      </c>
      <c r="T1941" s="317" t="str">
        <f>GLOBAL_DER_FEV_2023!S1941</f>
        <v/>
      </c>
      <c r="W1941" s="582">
        <v>0</v>
      </c>
      <c r="X1941" s="580"/>
      <c r="Y1941" s="583">
        <f>IF(GLOBAL_DER_FEV_2023!W1941=0,0,IF(GLOBAL_DER_FEV_2023!W1941&gt;0,"c","b"))</f>
        <v>0</v>
      </c>
    </row>
    <row r="1942" spans="1:25" ht="15" hidden="1" customHeight="1" x14ac:dyDescent="0.2">
      <c r="A1942" s="317" t="s">
        <v>147</v>
      </c>
      <c r="B1942" s="895" t="s">
        <v>147</v>
      </c>
      <c r="C1942" s="896"/>
      <c r="D1942" s="906" t="s">
        <v>229</v>
      </c>
      <c r="E1942" s="907">
        <f>GLOBAL_DER_FEV_2023!E1942</f>
        <v>150</v>
      </c>
      <c r="F1942" s="908">
        <f>GLOBAL_DER_FEV_2023!F1942</f>
        <v>0.01</v>
      </c>
      <c r="G1942" s="949">
        <f>GLOBAL_DER_FEV_2023!G1942</f>
        <v>1.6318000000000001</v>
      </c>
      <c r="H1942" s="901">
        <f>GLOBAL_DER_FEV_2023!H1942</f>
        <v>0</v>
      </c>
      <c r="I1942" s="901">
        <f>GLOBAL_DER_FEV_2023!I1942</f>
        <v>0</v>
      </c>
      <c r="J1942" s="902">
        <f>GLOBAL_DER_FEV_2023!J1942</f>
        <v>0</v>
      </c>
      <c r="K1942" s="903"/>
      <c r="L1942" s="1177"/>
      <c r="M1942" s="1138">
        <f t="shared" si="147"/>
        <v>0</v>
      </c>
      <c r="N1942" s="1176">
        <f t="shared" si="146"/>
        <v>0</v>
      </c>
      <c r="O1942" s="905"/>
      <c r="P1942" s="36" t="str">
        <f>IF(N1940&gt;0,"xx",IF(N1940&gt;0,"xy",""))</f>
        <v/>
      </c>
      <c r="Q1942" s="317" t="str">
        <f t="shared" si="143"/>
        <v/>
      </c>
      <c r="R1942" s="317" t="str">
        <f t="shared" si="144"/>
        <v/>
      </c>
      <c r="S1942" s="317" t="str">
        <f t="shared" si="145"/>
        <v/>
      </c>
      <c r="T1942" s="317" t="str">
        <f>GLOBAL_DER_FEV_2023!S1942</f>
        <v/>
      </c>
      <c r="W1942" s="582">
        <v>0</v>
      </c>
      <c r="X1942" s="580"/>
      <c r="Y1942" s="583">
        <f>IF(GLOBAL_DER_FEV_2023!W1942=0,0,IF(GLOBAL_DER_FEV_2023!W1942&gt;0,"c","b"))</f>
        <v>0</v>
      </c>
    </row>
    <row r="1943" spans="1:25" ht="15" hidden="1" customHeight="1" x14ac:dyDescent="0.2">
      <c r="A1943" s="317" t="s">
        <v>147</v>
      </c>
      <c r="B1943" s="895" t="s">
        <v>147</v>
      </c>
      <c r="C1943" s="896"/>
      <c r="D1943" s="906" t="s">
        <v>336</v>
      </c>
      <c r="E1943" s="907">
        <f>GLOBAL_DER_FEV_2023!E1943</f>
        <v>40</v>
      </c>
      <c r="F1943" s="908">
        <f>GLOBAL_DER_FEV_2023!F1943</f>
        <v>0.11</v>
      </c>
      <c r="G1943" s="949">
        <f>GLOBAL_DER_FEV_2023!G1943</f>
        <v>5.0028000000000006</v>
      </c>
      <c r="H1943" s="901">
        <f>GLOBAL_DER_FEV_2023!H1943</f>
        <v>0</v>
      </c>
      <c r="I1943" s="901">
        <f>GLOBAL_DER_FEV_2023!I1943</f>
        <v>0</v>
      </c>
      <c r="J1943" s="902">
        <f>GLOBAL_DER_FEV_2023!J1943</f>
        <v>0</v>
      </c>
      <c r="K1943" s="903"/>
      <c r="L1943" s="1177"/>
      <c r="M1943" s="1138">
        <f t="shared" si="147"/>
        <v>0</v>
      </c>
      <c r="N1943" s="1176">
        <f t="shared" si="146"/>
        <v>0</v>
      </c>
      <c r="O1943" s="905"/>
      <c r="P1943" s="36" t="str">
        <f>IF(N1940&gt;0,"xx",IF(N1940&gt;0,"xy",""))</f>
        <v/>
      </c>
      <c r="Q1943" s="317" t="str">
        <f t="shared" si="143"/>
        <v/>
      </c>
      <c r="R1943" s="317" t="str">
        <f t="shared" si="144"/>
        <v/>
      </c>
      <c r="S1943" s="317" t="str">
        <f t="shared" si="145"/>
        <v/>
      </c>
      <c r="T1943" s="317" t="str">
        <f>GLOBAL_DER_FEV_2023!S1943</f>
        <v/>
      </c>
      <c r="W1943" s="582">
        <v>0</v>
      </c>
      <c r="X1943" s="580"/>
      <c r="Y1943" s="583">
        <f>IF(GLOBAL_DER_FEV_2023!W1943=0,0,IF(GLOBAL_DER_FEV_2023!W1943&gt;0,"c","b"))</f>
        <v>0</v>
      </c>
    </row>
    <row r="1944" spans="1:25" ht="15" hidden="1" customHeight="1" x14ac:dyDescent="0.2">
      <c r="A1944" s="317">
        <v>610400</v>
      </c>
      <c r="B1944" s="895" t="s">
        <v>1824</v>
      </c>
      <c r="C1944" s="896" t="s">
        <v>184</v>
      </c>
      <c r="D1944" s="906" t="s">
        <v>472</v>
      </c>
      <c r="E1944" s="907">
        <f>GLOBAL_DER_FEV_2023!E1944</f>
        <v>0</v>
      </c>
      <c r="F1944" s="908">
        <f>GLOBAL_DER_FEV_2023!F1944</f>
        <v>0</v>
      </c>
      <c r="G1944" s="912">
        <f>GLOBAL_DER_FEV_2023!G1944</f>
        <v>13.849744000000001</v>
      </c>
      <c r="H1944" s="901">
        <f>GLOBAL_DER_FEV_2023!H1944</f>
        <v>137.47</v>
      </c>
      <c r="I1944" s="901">
        <f>GLOBAL_DER_FEV_2023!I1944</f>
        <v>151.31974400000001</v>
      </c>
      <c r="J1944" s="902">
        <f>GLOBAL_DER_FEV_2023!J1944</f>
        <v>181.69</v>
      </c>
      <c r="K1944" s="903" t="s">
        <v>13</v>
      </c>
      <c r="L1944" s="1137"/>
      <c r="M1944" s="1138">
        <f t="shared" si="147"/>
        <v>0</v>
      </c>
      <c r="N1944" s="1176">
        <f t="shared" si="146"/>
        <v>0</v>
      </c>
      <c r="O1944" s="905"/>
      <c r="Q1944" s="317" t="str">
        <f t="shared" si="143"/>
        <v/>
      </c>
      <c r="R1944" s="317" t="str">
        <f t="shared" si="144"/>
        <v/>
      </c>
      <c r="S1944" s="317" t="str">
        <f t="shared" si="145"/>
        <v/>
      </c>
      <c r="T1944" s="317" t="str">
        <f>GLOBAL_DER_FEV_2023!S1944</f>
        <v/>
      </c>
      <c r="W1944" s="582">
        <v>0</v>
      </c>
      <c r="X1944" s="580"/>
      <c r="Y1944" s="583">
        <f>IF(GLOBAL_DER_FEV_2023!W1944=0,0,IF(GLOBAL_DER_FEV_2023!W1944&gt;0,"c","b"))</f>
        <v>0</v>
      </c>
    </row>
    <row r="1945" spans="1:25" ht="15" hidden="1" customHeight="1" x14ac:dyDescent="0.2">
      <c r="A1945" s="317" t="s">
        <v>147</v>
      </c>
      <c r="B1945" s="895" t="s">
        <v>147</v>
      </c>
      <c r="C1945" s="896"/>
      <c r="D1945" s="906" t="s">
        <v>190</v>
      </c>
      <c r="E1945" s="907">
        <f>GLOBAL_DER_FEV_2023!E1945</f>
        <v>308</v>
      </c>
      <c r="F1945" s="908">
        <f>GLOBAL_DER_FEV_2023!F1945</f>
        <v>2.3E-3</v>
      </c>
      <c r="G1945" s="909">
        <f>GLOBAL_DER_FEV_2023!G1945</f>
        <v>0.57053799999999999</v>
      </c>
      <c r="H1945" s="901">
        <f>GLOBAL_DER_FEV_2023!H1945</f>
        <v>0</v>
      </c>
      <c r="I1945" s="901">
        <f>GLOBAL_DER_FEV_2023!I1945</f>
        <v>0</v>
      </c>
      <c r="J1945" s="902">
        <f>GLOBAL_DER_FEV_2023!J1945</f>
        <v>0</v>
      </c>
      <c r="K1945" s="903"/>
      <c r="L1945" s="1177"/>
      <c r="M1945" s="1138">
        <f t="shared" si="147"/>
        <v>0</v>
      </c>
      <c r="N1945" s="1176">
        <f t="shared" si="146"/>
        <v>0</v>
      </c>
      <c r="O1945" s="905"/>
      <c r="P1945" s="36" t="str">
        <f>IF(N1944&gt;0,"xx",IF(N1944&gt;0,"xy",""))</f>
        <v/>
      </c>
      <c r="Q1945" s="317" t="str">
        <f t="shared" si="143"/>
        <v/>
      </c>
      <c r="R1945" s="317" t="str">
        <f t="shared" si="144"/>
        <v/>
      </c>
      <c r="S1945" s="317" t="str">
        <f t="shared" si="145"/>
        <v/>
      </c>
      <c r="T1945" s="317" t="str">
        <f>GLOBAL_DER_FEV_2023!S1945</f>
        <v/>
      </c>
      <c r="W1945" s="582">
        <v>0</v>
      </c>
      <c r="X1945" s="580"/>
      <c r="Y1945" s="583">
        <f>IF(GLOBAL_DER_FEV_2023!W1945=0,0,IF(GLOBAL_DER_FEV_2023!W1945&gt;0,"c","b"))</f>
        <v>0</v>
      </c>
    </row>
    <row r="1946" spans="1:25" ht="15" hidden="1" customHeight="1" x14ac:dyDescent="0.2">
      <c r="A1946" s="317" t="s">
        <v>147</v>
      </c>
      <c r="B1946" s="895" t="s">
        <v>147</v>
      </c>
      <c r="C1946" s="896"/>
      <c r="D1946" s="906" t="s">
        <v>229</v>
      </c>
      <c r="E1946" s="907">
        <f>GLOBAL_DER_FEV_2023!E1946</f>
        <v>150</v>
      </c>
      <c r="F1946" s="908">
        <f>GLOBAL_DER_FEV_2023!F1946</f>
        <v>1.17E-2</v>
      </c>
      <c r="G1946" s="949">
        <f>GLOBAL_DER_FEV_2023!G1946</f>
        <v>1.9092060000000002</v>
      </c>
      <c r="H1946" s="901">
        <f>GLOBAL_DER_FEV_2023!H1946</f>
        <v>0</v>
      </c>
      <c r="I1946" s="901">
        <f>GLOBAL_DER_FEV_2023!I1946</f>
        <v>0</v>
      </c>
      <c r="J1946" s="902">
        <f>GLOBAL_DER_FEV_2023!J1946</f>
        <v>0</v>
      </c>
      <c r="K1946" s="903"/>
      <c r="L1946" s="1177"/>
      <c r="M1946" s="1138">
        <f t="shared" si="147"/>
        <v>0</v>
      </c>
      <c r="N1946" s="1176">
        <f t="shared" si="146"/>
        <v>0</v>
      </c>
      <c r="O1946" s="905"/>
      <c r="P1946" s="36" t="str">
        <f>IF(N1944&gt;0,"xx",IF(N1944&gt;0,"xy",""))</f>
        <v/>
      </c>
      <c r="Q1946" s="317" t="str">
        <f t="shared" si="143"/>
        <v/>
      </c>
      <c r="R1946" s="317" t="str">
        <f t="shared" si="144"/>
        <v/>
      </c>
      <c r="S1946" s="317" t="str">
        <f t="shared" si="145"/>
        <v/>
      </c>
      <c r="T1946" s="317" t="str">
        <f>GLOBAL_DER_FEV_2023!S1946</f>
        <v/>
      </c>
      <c r="W1946" s="582">
        <v>0</v>
      </c>
      <c r="X1946" s="580"/>
      <c r="Y1946" s="583">
        <f>IF(GLOBAL_DER_FEV_2023!W1946=0,0,IF(GLOBAL_DER_FEV_2023!W1946&gt;0,"c","b"))</f>
        <v>0</v>
      </c>
    </row>
    <row r="1947" spans="1:25" ht="15" hidden="1" customHeight="1" x14ac:dyDescent="0.2">
      <c r="A1947" s="317" t="s">
        <v>147</v>
      </c>
      <c r="B1947" s="895" t="s">
        <v>147</v>
      </c>
      <c r="C1947" s="896"/>
      <c r="D1947" s="906" t="s">
        <v>336</v>
      </c>
      <c r="E1947" s="907">
        <f>GLOBAL_DER_FEV_2023!E1947</f>
        <v>40</v>
      </c>
      <c r="F1947" s="908">
        <f>GLOBAL_DER_FEV_2023!F1947</f>
        <v>0.25</v>
      </c>
      <c r="G1947" s="949">
        <f>GLOBAL_DER_FEV_2023!G1947</f>
        <v>11.370000000000001</v>
      </c>
      <c r="H1947" s="901">
        <f>GLOBAL_DER_FEV_2023!H1947</f>
        <v>0</v>
      </c>
      <c r="I1947" s="901">
        <f>GLOBAL_DER_FEV_2023!I1947</f>
        <v>0</v>
      </c>
      <c r="J1947" s="902">
        <f>GLOBAL_DER_FEV_2023!J1947</f>
        <v>0</v>
      </c>
      <c r="K1947" s="903"/>
      <c r="L1947" s="1177"/>
      <c r="M1947" s="1138">
        <f t="shared" si="147"/>
        <v>0</v>
      </c>
      <c r="N1947" s="1176">
        <f t="shared" si="146"/>
        <v>0</v>
      </c>
      <c r="O1947" s="905"/>
      <c r="P1947" s="36" t="str">
        <f>IF(N1944&gt;0,"xx",IF(N1944&gt;0,"xy",""))</f>
        <v/>
      </c>
      <c r="Q1947" s="317" t="str">
        <f t="shared" ref="Q1947:Q2010" si="148">IF(P1947="X","x",IF(P1947="xx","x",IF(P1947="xy","x",IF(P1947="y","x",IF(OR(N1947&gt;0,N1947&gt;0),"x","")))))</f>
        <v/>
      </c>
      <c r="R1947" s="317" t="str">
        <f t="shared" si="144"/>
        <v/>
      </c>
      <c r="S1947" s="317" t="str">
        <f t="shared" si="145"/>
        <v/>
      </c>
      <c r="T1947" s="317" t="str">
        <f>GLOBAL_DER_FEV_2023!S1947</f>
        <v/>
      </c>
      <c r="W1947" s="582">
        <v>0</v>
      </c>
      <c r="X1947" s="580"/>
      <c r="Y1947" s="583">
        <f>IF(GLOBAL_DER_FEV_2023!W1947=0,0,IF(GLOBAL_DER_FEV_2023!W1947&gt;0,"c","b"))</f>
        <v>0</v>
      </c>
    </row>
    <row r="1948" spans="1:25" ht="15" hidden="1" customHeight="1" x14ac:dyDescent="0.2">
      <c r="A1948" s="317">
        <v>610600</v>
      </c>
      <c r="B1948" s="895" t="s">
        <v>1827</v>
      </c>
      <c r="C1948" s="896" t="s">
        <v>184</v>
      </c>
      <c r="D1948" s="906" t="s">
        <v>363</v>
      </c>
      <c r="E1948" s="907">
        <f>GLOBAL_DER_FEV_2023!E1948</f>
        <v>0</v>
      </c>
      <c r="F1948" s="908">
        <f>GLOBAL_DER_FEV_2023!F1948</f>
        <v>0</v>
      </c>
      <c r="G1948" s="912">
        <f>GLOBAL_DER_FEV_2023!G1948</f>
        <v>20.568768000000002</v>
      </c>
      <c r="H1948" s="901">
        <f>GLOBAL_DER_FEV_2023!H1948</f>
        <v>313.26</v>
      </c>
      <c r="I1948" s="901">
        <f>GLOBAL_DER_FEV_2023!I1948</f>
        <v>333.82876799999997</v>
      </c>
      <c r="J1948" s="902">
        <f>GLOBAL_DER_FEV_2023!J1948</f>
        <v>400.83</v>
      </c>
      <c r="K1948" s="903" t="s">
        <v>13</v>
      </c>
      <c r="L1948" s="1137"/>
      <c r="M1948" s="1138">
        <f t="shared" si="147"/>
        <v>0</v>
      </c>
      <c r="N1948" s="1176">
        <f t="shared" si="146"/>
        <v>0</v>
      </c>
      <c r="O1948" s="905"/>
      <c r="Q1948" s="317" t="str">
        <f t="shared" si="148"/>
        <v/>
      </c>
      <c r="R1948" s="317" t="str">
        <f t="shared" si="144"/>
        <v/>
      </c>
      <c r="S1948" s="317" t="str">
        <f t="shared" si="145"/>
        <v/>
      </c>
      <c r="T1948" s="317" t="str">
        <f>GLOBAL_DER_FEV_2023!S1948</f>
        <v/>
      </c>
      <c r="W1948" s="582">
        <v>0</v>
      </c>
      <c r="X1948" s="580"/>
      <c r="Y1948" s="583">
        <f>IF(GLOBAL_DER_FEV_2023!W1948=0,0,IF(GLOBAL_DER_FEV_2023!W1948&gt;0,"c","b"))</f>
        <v>0</v>
      </c>
    </row>
    <row r="1949" spans="1:25" ht="15" hidden="1" customHeight="1" x14ac:dyDescent="0.2">
      <c r="A1949" s="317" t="s">
        <v>147</v>
      </c>
      <c r="B1949" s="895" t="s">
        <v>147</v>
      </c>
      <c r="C1949" s="896"/>
      <c r="D1949" s="906" t="s">
        <v>190</v>
      </c>
      <c r="E1949" s="907">
        <f>GLOBAL_DER_FEV_2023!E1949</f>
        <v>308</v>
      </c>
      <c r="F1949" s="908">
        <f>GLOBAL_DER_FEV_2023!F1949</f>
        <v>2.5999999999999999E-3</v>
      </c>
      <c r="G1949" s="909">
        <f>GLOBAL_DER_FEV_2023!G1949</f>
        <v>0.64495599999999997</v>
      </c>
      <c r="H1949" s="901">
        <f>GLOBAL_DER_FEV_2023!H1949</f>
        <v>0</v>
      </c>
      <c r="I1949" s="901">
        <f>GLOBAL_DER_FEV_2023!I1949</f>
        <v>0</v>
      </c>
      <c r="J1949" s="902">
        <f>GLOBAL_DER_FEV_2023!J1949</f>
        <v>0</v>
      </c>
      <c r="K1949" s="903"/>
      <c r="L1949" s="1177"/>
      <c r="M1949" s="1138">
        <f t="shared" si="147"/>
        <v>0</v>
      </c>
      <c r="N1949" s="1176">
        <f t="shared" si="146"/>
        <v>0</v>
      </c>
      <c r="O1949" s="905"/>
      <c r="P1949" s="36" t="str">
        <f>IF(N1948&gt;0,"xx",IF(N1948&gt;0,"xy",""))</f>
        <v/>
      </c>
      <c r="Q1949" s="317" t="str">
        <f t="shared" si="148"/>
        <v/>
      </c>
      <c r="R1949" s="317" t="str">
        <f t="shared" ref="R1949:R2012" si="149">IF(P1949="X","x",IF(P1949="y","x",IF(P1949="xx","x",IF(N1949&gt;0,"x",""))))</f>
        <v/>
      </c>
      <c r="S1949" s="317" t="str">
        <f t="shared" ref="S1949:S2012" si="150">IF(P1949="X","x",IF(N1949&gt;0,"x",""))</f>
        <v/>
      </c>
      <c r="T1949" s="317" t="str">
        <f>GLOBAL_DER_FEV_2023!S1949</f>
        <v/>
      </c>
      <c r="W1949" s="582">
        <v>0</v>
      </c>
      <c r="X1949" s="580"/>
      <c r="Y1949" s="583">
        <f>IF(GLOBAL_DER_FEV_2023!W1949=0,0,IF(GLOBAL_DER_FEV_2023!W1949&gt;0,"c","b"))</f>
        <v>0</v>
      </c>
    </row>
    <row r="1950" spans="1:25" ht="15" hidden="1" customHeight="1" x14ac:dyDescent="0.2">
      <c r="A1950" s="317" t="s">
        <v>147</v>
      </c>
      <c r="B1950" s="895" t="s">
        <v>147</v>
      </c>
      <c r="C1950" s="896"/>
      <c r="D1950" s="906" t="s">
        <v>229</v>
      </c>
      <c r="E1950" s="907">
        <f>GLOBAL_DER_FEV_2023!E1950</f>
        <v>150</v>
      </c>
      <c r="F1950" s="908">
        <f>GLOBAL_DER_FEV_2023!F1950</f>
        <v>1.34E-2</v>
      </c>
      <c r="G1950" s="949">
        <f>GLOBAL_DER_FEV_2023!G1950</f>
        <v>2.1866120000000002</v>
      </c>
      <c r="H1950" s="901">
        <f>GLOBAL_DER_FEV_2023!H1950</f>
        <v>0</v>
      </c>
      <c r="I1950" s="901">
        <f>GLOBAL_DER_FEV_2023!I1950</f>
        <v>0</v>
      </c>
      <c r="J1950" s="902">
        <f>GLOBAL_DER_FEV_2023!J1950</f>
        <v>0</v>
      </c>
      <c r="K1950" s="903"/>
      <c r="L1950" s="1177"/>
      <c r="M1950" s="1138">
        <f t="shared" si="147"/>
        <v>0</v>
      </c>
      <c r="N1950" s="1176">
        <f t="shared" si="146"/>
        <v>0</v>
      </c>
      <c r="O1950" s="905"/>
      <c r="P1950" s="36" t="str">
        <f>IF(N1948&gt;0,"xx",IF(N1948&gt;0,"xy",""))</f>
        <v/>
      </c>
      <c r="Q1950" s="317" t="str">
        <f t="shared" si="148"/>
        <v/>
      </c>
      <c r="R1950" s="317" t="str">
        <f t="shared" si="149"/>
        <v/>
      </c>
      <c r="S1950" s="317" t="str">
        <f t="shared" si="150"/>
        <v/>
      </c>
      <c r="T1950" s="317" t="str">
        <f>GLOBAL_DER_FEV_2023!S1950</f>
        <v/>
      </c>
      <c r="W1950" s="582">
        <v>0</v>
      </c>
      <c r="X1950" s="580"/>
      <c r="Y1950" s="583">
        <f>IF(GLOBAL_DER_FEV_2023!W1950=0,0,IF(GLOBAL_DER_FEV_2023!W1950&gt;0,"c","b"))</f>
        <v>0</v>
      </c>
    </row>
    <row r="1951" spans="1:25" ht="15" hidden="1" customHeight="1" x14ac:dyDescent="0.2">
      <c r="A1951" s="317" t="s">
        <v>147</v>
      </c>
      <c r="B1951" s="895" t="s">
        <v>147</v>
      </c>
      <c r="C1951" s="896"/>
      <c r="D1951" s="906" t="s">
        <v>336</v>
      </c>
      <c r="E1951" s="907">
        <f>GLOBAL_DER_FEV_2023!E1951</f>
        <v>40</v>
      </c>
      <c r="F1951" s="908">
        <f>GLOBAL_DER_FEV_2023!F1951</f>
        <v>0.39</v>
      </c>
      <c r="G1951" s="949">
        <f>GLOBAL_DER_FEV_2023!G1951</f>
        <v>17.737200000000001</v>
      </c>
      <c r="H1951" s="901">
        <f>GLOBAL_DER_FEV_2023!H1951</f>
        <v>0</v>
      </c>
      <c r="I1951" s="901">
        <f>GLOBAL_DER_FEV_2023!I1951</f>
        <v>0</v>
      </c>
      <c r="J1951" s="902">
        <f>GLOBAL_DER_FEV_2023!J1951</f>
        <v>0</v>
      </c>
      <c r="K1951" s="903"/>
      <c r="L1951" s="1177"/>
      <c r="M1951" s="1138">
        <f t="shared" si="147"/>
        <v>0</v>
      </c>
      <c r="N1951" s="1176">
        <f t="shared" si="146"/>
        <v>0</v>
      </c>
      <c r="O1951" s="905"/>
      <c r="P1951" s="36" t="str">
        <f>IF(N1948&gt;0,"xx",IF(N1948&gt;0,"xy",""))</f>
        <v/>
      </c>
      <c r="Q1951" s="317" t="str">
        <f t="shared" si="148"/>
        <v/>
      </c>
      <c r="R1951" s="317" t="str">
        <f t="shared" si="149"/>
        <v/>
      </c>
      <c r="S1951" s="317" t="str">
        <f t="shared" si="150"/>
        <v/>
      </c>
      <c r="T1951" s="317" t="str">
        <f>GLOBAL_DER_FEV_2023!S1951</f>
        <v/>
      </c>
      <c r="W1951" s="582">
        <v>0</v>
      </c>
      <c r="X1951" s="580"/>
      <c r="Y1951" s="583">
        <f>IF(GLOBAL_DER_FEV_2023!W1951=0,0,IF(GLOBAL_DER_FEV_2023!W1951&gt;0,"c","b"))</f>
        <v>0</v>
      </c>
    </row>
    <row r="1952" spans="1:25" ht="15" hidden="1" customHeight="1" x14ac:dyDescent="0.2">
      <c r="A1952" s="317">
        <v>610600</v>
      </c>
      <c r="B1952" s="895" t="s">
        <v>1828</v>
      </c>
      <c r="C1952" s="896" t="s">
        <v>184</v>
      </c>
      <c r="D1952" s="906" t="s">
        <v>473</v>
      </c>
      <c r="E1952" s="907">
        <f>GLOBAL_DER_FEV_2023!E1952</f>
        <v>0</v>
      </c>
      <c r="F1952" s="908">
        <f>GLOBAL_DER_FEV_2023!F1952</f>
        <v>0</v>
      </c>
      <c r="G1952" s="912">
        <f>GLOBAL_DER_FEV_2023!G1952</f>
        <v>27.287792000000003</v>
      </c>
      <c r="H1952" s="901">
        <f>GLOBAL_DER_FEV_2023!H1952</f>
        <v>313.26</v>
      </c>
      <c r="I1952" s="901">
        <f>GLOBAL_DER_FEV_2023!I1952</f>
        <v>340.54779200000002</v>
      </c>
      <c r="J1952" s="902">
        <f>GLOBAL_DER_FEV_2023!J1952</f>
        <v>408.9</v>
      </c>
      <c r="K1952" s="903" t="s">
        <v>13</v>
      </c>
      <c r="L1952" s="1137"/>
      <c r="M1952" s="1138">
        <f t="shared" si="147"/>
        <v>0</v>
      </c>
      <c r="N1952" s="1176">
        <f t="shared" si="146"/>
        <v>0</v>
      </c>
      <c r="O1952" s="905"/>
      <c r="Q1952" s="317" t="str">
        <f t="shared" si="148"/>
        <v/>
      </c>
      <c r="R1952" s="317" t="str">
        <f t="shared" si="149"/>
        <v/>
      </c>
      <c r="S1952" s="317" t="str">
        <f t="shared" si="150"/>
        <v/>
      </c>
      <c r="T1952" s="317" t="str">
        <f>GLOBAL_DER_FEV_2023!S1952</f>
        <v/>
      </c>
      <c r="W1952" s="582">
        <v>0</v>
      </c>
      <c r="X1952" s="580"/>
      <c r="Y1952" s="583">
        <f>IF(GLOBAL_DER_FEV_2023!W1952=0,0,IF(GLOBAL_DER_FEV_2023!W1952&gt;0,"c","b"))</f>
        <v>0</v>
      </c>
    </row>
    <row r="1953" spans="1:25" ht="15" hidden="1" customHeight="1" x14ac:dyDescent="0.2">
      <c r="A1953" s="317" t="s">
        <v>147</v>
      </c>
      <c r="B1953" s="895" t="s">
        <v>147</v>
      </c>
      <c r="C1953" s="896"/>
      <c r="D1953" s="906" t="s">
        <v>190</v>
      </c>
      <c r="E1953" s="907">
        <f>GLOBAL_DER_FEV_2023!E1953</f>
        <v>308</v>
      </c>
      <c r="F1953" s="908">
        <f>GLOBAL_DER_FEV_2023!F1953</f>
        <v>2.8999999999999998E-3</v>
      </c>
      <c r="G1953" s="909">
        <f>GLOBAL_DER_FEV_2023!G1953</f>
        <v>0.71937399999999996</v>
      </c>
      <c r="H1953" s="901">
        <f>GLOBAL_DER_FEV_2023!H1953</f>
        <v>0</v>
      </c>
      <c r="I1953" s="901">
        <f>GLOBAL_DER_FEV_2023!I1953</f>
        <v>0</v>
      </c>
      <c r="J1953" s="902">
        <f>GLOBAL_DER_FEV_2023!J1953</f>
        <v>0</v>
      </c>
      <c r="K1953" s="903"/>
      <c r="L1953" s="1177"/>
      <c r="M1953" s="1138">
        <f t="shared" si="147"/>
        <v>0</v>
      </c>
      <c r="N1953" s="1176">
        <f t="shared" ref="N1953:N2016" si="151">IF(ISBLANK(L1953),0,IF(W1953=0,ROUND(L1953*M1953,2),IF(W1953="b",ROUNDDOWN(L1953*M1953,2),ROUNDUP(L1953*M1953,2))))</f>
        <v>0</v>
      </c>
      <c r="O1953" s="905"/>
      <c r="P1953" s="36" t="str">
        <f>IF(N1952&gt;0,"xx",IF(N1952&gt;0,"xy",""))</f>
        <v/>
      </c>
      <c r="Q1953" s="317" t="str">
        <f t="shared" si="148"/>
        <v/>
      </c>
      <c r="R1953" s="317" t="str">
        <f t="shared" si="149"/>
        <v/>
      </c>
      <c r="S1953" s="317" t="str">
        <f t="shared" si="150"/>
        <v/>
      </c>
      <c r="T1953" s="317" t="str">
        <f>GLOBAL_DER_FEV_2023!S1953</f>
        <v/>
      </c>
      <c r="W1953" s="582">
        <v>0</v>
      </c>
      <c r="X1953" s="580"/>
      <c r="Y1953" s="583">
        <f>IF(GLOBAL_DER_FEV_2023!W1953=0,0,IF(GLOBAL_DER_FEV_2023!W1953&gt;0,"c","b"))</f>
        <v>0</v>
      </c>
    </row>
    <row r="1954" spans="1:25" ht="15" hidden="1" customHeight="1" x14ac:dyDescent="0.2">
      <c r="A1954" s="317" t="s">
        <v>147</v>
      </c>
      <c r="B1954" s="895" t="s">
        <v>147</v>
      </c>
      <c r="C1954" s="896"/>
      <c r="D1954" s="906" t="s">
        <v>229</v>
      </c>
      <c r="E1954" s="907">
        <f>GLOBAL_DER_FEV_2023!E1954</f>
        <v>150</v>
      </c>
      <c r="F1954" s="908">
        <f>GLOBAL_DER_FEV_2023!F1954</f>
        <v>1.5100000000000001E-2</v>
      </c>
      <c r="G1954" s="949">
        <f>GLOBAL_DER_FEV_2023!G1954</f>
        <v>2.4640180000000003</v>
      </c>
      <c r="H1954" s="901">
        <f>GLOBAL_DER_FEV_2023!H1954</f>
        <v>0</v>
      </c>
      <c r="I1954" s="901">
        <f>GLOBAL_DER_FEV_2023!I1954</f>
        <v>0</v>
      </c>
      <c r="J1954" s="902">
        <f>GLOBAL_DER_FEV_2023!J1954</f>
        <v>0</v>
      </c>
      <c r="K1954" s="903"/>
      <c r="L1954" s="1177"/>
      <c r="M1954" s="1138">
        <f t="shared" si="147"/>
        <v>0</v>
      </c>
      <c r="N1954" s="1176">
        <f t="shared" si="151"/>
        <v>0</v>
      </c>
      <c r="O1954" s="905"/>
      <c r="P1954" s="36" t="str">
        <f>IF(N1952&gt;0,"xx",IF(N1952&gt;0,"xy",""))</f>
        <v/>
      </c>
      <c r="Q1954" s="317" t="str">
        <f t="shared" si="148"/>
        <v/>
      </c>
      <c r="R1954" s="317" t="str">
        <f t="shared" si="149"/>
        <v/>
      </c>
      <c r="S1954" s="317" t="str">
        <f t="shared" si="150"/>
        <v/>
      </c>
      <c r="T1954" s="317" t="str">
        <f>GLOBAL_DER_FEV_2023!S1954</f>
        <v/>
      </c>
      <c r="W1954" s="582">
        <v>0</v>
      </c>
      <c r="X1954" s="580"/>
      <c r="Y1954" s="583">
        <f>IF(GLOBAL_DER_FEV_2023!W1954=0,0,IF(GLOBAL_DER_FEV_2023!W1954&gt;0,"c","b"))</f>
        <v>0</v>
      </c>
    </row>
    <row r="1955" spans="1:25" ht="15" hidden="1" customHeight="1" x14ac:dyDescent="0.2">
      <c r="A1955" s="317" t="s">
        <v>147</v>
      </c>
      <c r="B1955" s="895" t="s">
        <v>147</v>
      </c>
      <c r="C1955" s="896"/>
      <c r="D1955" s="906" t="s">
        <v>336</v>
      </c>
      <c r="E1955" s="907">
        <f>GLOBAL_DER_FEV_2023!E1955</f>
        <v>40</v>
      </c>
      <c r="F1955" s="908">
        <f>GLOBAL_DER_FEV_2023!F1955</f>
        <v>0.53</v>
      </c>
      <c r="G1955" s="949">
        <f>GLOBAL_DER_FEV_2023!G1955</f>
        <v>24.104400000000002</v>
      </c>
      <c r="H1955" s="901">
        <f>GLOBAL_DER_FEV_2023!H1955</f>
        <v>0</v>
      </c>
      <c r="I1955" s="901">
        <f>GLOBAL_DER_FEV_2023!I1955</f>
        <v>0</v>
      </c>
      <c r="J1955" s="902">
        <f>GLOBAL_DER_FEV_2023!J1955</f>
        <v>0</v>
      </c>
      <c r="K1955" s="903"/>
      <c r="L1955" s="1177"/>
      <c r="M1955" s="1138">
        <f t="shared" si="147"/>
        <v>0</v>
      </c>
      <c r="N1955" s="1176">
        <f t="shared" si="151"/>
        <v>0</v>
      </c>
      <c r="O1955" s="905"/>
      <c r="P1955" s="36" t="str">
        <f>IF(N1952&gt;0,"xx",IF(N1952&gt;0,"xy",""))</f>
        <v/>
      </c>
      <c r="Q1955" s="317" t="str">
        <f t="shared" si="148"/>
        <v/>
      </c>
      <c r="R1955" s="317" t="str">
        <f t="shared" si="149"/>
        <v/>
      </c>
      <c r="S1955" s="317" t="str">
        <f t="shared" si="150"/>
        <v/>
      </c>
      <c r="T1955" s="317" t="str">
        <f>GLOBAL_DER_FEV_2023!S1955</f>
        <v/>
      </c>
      <c r="W1955" s="582">
        <v>0</v>
      </c>
      <c r="X1955" s="580"/>
      <c r="Y1955" s="583">
        <f>IF(GLOBAL_DER_FEV_2023!W1955=0,0,IF(GLOBAL_DER_FEV_2023!W1955&gt;0,"c","b"))</f>
        <v>0</v>
      </c>
    </row>
    <row r="1956" spans="1:25" ht="15" hidden="1" customHeight="1" x14ac:dyDescent="0.2">
      <c r="A1956" s="317">
        <v>610800</v>
      </c>
      <c r="B1956" s="895" t="s">
        <v>1833</v>
      </c>
      <c r="C1956" s="896" t="s">
        <v>184</v>
      </c>
      <c r="D1956" s="906" t="s">
        <v>364</v>
      </c>
      <c r="E1956" s="907">
        <f>GLOBAL_DER_FEV_2023!E1956</f>
        <v>0</v>
      </c>
      <c r="F1956" s="908">
        <f>GLOBAL_DER_FEV_2023!F1956</f>
        <v>0</v>
      </c>
      <c r="G1956" s="912">
        <f>GLOBAL_DER_FEV_2023!G1956</f>
        <v>34.006816000000008</v>
      </c>
      <c r="H1956" s="901">
        <f>GLOBAL_DER_FEV_2023!H1956</f>
        <v>514.41999999999996</v>
      </c>
      <c r="I1956" s="901">
        <f>GLOBAL_DER_FEV_2023!I1956</f>
        <v>548.42681599999992</v>
      </c>
      <c r="J1956" s="902">
        <f>GLOBAL_DER_FEV_2023!J1956</f>
        <v>658.5</v>
      </c>
      <c r="K1956" s="903" t="s">
        <v>13</v>
      </c>
      <c r="L1956" s="1137"/>
      <c r="M1956" s="1138">
        <f t="shared" si="147"/>
        <v>0</v>
      </c>
      <c r="N1956" s="1176">
        <f t="shared" si="151"/>
        <v>0</v>
      </c>
      <c r="O1956" s="905"/>
      <c r="Q1956" s="317" t="str">
        <f t="shared" si="148"/>
        <v/>
      </c>
      <c r="R1956" s="317" t="str">
        <f t="shared" si="149"/>
        <v/>
      </c>
      <c r="S1956" s="317" t="str">
        <f t="shared" si="150"/>
        <v/>
      </c>
      <c r="T1956" s="317" t="str">
        <f>GLOBAL_DER_FEV_2023!S1956</f>
        <v/>
      </c>
      <c r="W1956" s="582">
        <v>0</v>
      </c>
      <c r="X1956" s="580"/>
      <c r="Y1956" s="583">
        <f>IF(GLOBAL_DER_FEV_2023!W1956=0,0,IF(GLOBAL_DER_FEV_2023!W1956&gt;0,"c","b"))</f>
        <v>0</v>
      </c>
    </row>
    <row r="1957" spans="1:25" ht="15" hidden="1" customHeight="1" x14ac:dyDescent="0.2">
      <c r="A1957" s="317" t="s">
        <v>147</v>
      </c>
      <c r="B1957" s="895" t="s">
        <v>147</v>
      </c>
      <c r="C1957" s="896"/>
      <c r="D1957" s="906" t="s">
        <v>190</v>
      </c>
      <c r="E1957" s="907">
        <f>GLOBAL_DER_FEV_2023!E1957</f>
        <v>308</v>
      </c>
      <c r="F1957" s="908">
        <f>GLOBAL_DER_FEV_2023!F1957</f>
        <v>3.2000000000000002E-3</v>
      </c>
      <c r="G1957" s="909">
        <f>GLOBAL_DER_FEV_2023!G1957</f>
        <v>0.79379200000000005</v>
      </c>
      <c r="H1957" s="901">
        <f>GLOBAL_DER_FEV_2023!H1957</f>
        <v>0</v>
      </c>
      <c r="I1957" s="901">
        <f>GLOBAL_DER_FEV_2023!I1957</f>
        <v>0</v>
      </c>
      <c r="J1957" s="902">
        <f>GLOBAL_DER_FEV_2023!J1957</f>
        <v>0</v>
      </c>
      <c r="K1957" s="903"/>
      <c r="L1957" s="1177"/>
      <c r="M1957" s="1138">
        <f t="shared" si="147"/>
        <v>0</v>
      </c>
      <c r="N1957" s="1176">
        <f t="shared" si="151"/>
        <v>0</v>
      </c>
      <c r="O1957" s="905"/>
      <c r="P1957" s="36" t="str">
        <f>IF(N1956&gt;0,"xx",IF(N1956&gt;0,"xy",""))</f>
        <v/>
      </c>
      <c r="Q1957" s="317" t="str">
        <f t="shared" si="148"/>
        <v/>
      </c>
      <c r="R1957" s="317" t="str">
        <f t="shared" si="149"/>
        <v/>
      </c>
      <c r="S1957" s="317" t="str">
        <f t="shared" si="150"/>
        <v/>
      </c>
      <c r="T1957" s="317" t="str">
        <f>GLOBAL_DER_FEV_2023!S1957</f>
        <v/>
      </c>
      <c r="W1957" s="582">
        <v>0</v>
      </c>
      <c r="X1957" s="580"/>
      <c r="Y1957" s="583">
        <f>IF(GLOBAL_DER_FEV_2023!W1957=0,0,IF(GLOBAL_DER_FEV_2023!W1957&gt;0,"c","b"))</f>
        <v>0</v>
      </c>
    </row>
    <row r="1958" spans="1:25" ht="15" hidden="1" customHeight="1" x14ac:dyDescent="0.2">
      <c r="A1958" s="317" t="s">
        <v>147</v>
      </c>
      <c r="B1958" s="895" t="s">
        <v>147</v>
      </c>
      <c r="C1958" s="896"/>
      <c r="D1958" s="906" t="s">
        <v>229</v>
      </c>
      <c r="E1958" s="907">
        <f>GLOBAL_DER_FEV_2023!E1958</f>
        <v>150</v>
      </c>
      <c r="F1958" s="908">
        <f>GLOBAL_DER_FEV_2023!F1958</f>
        <v>1.6799999999999999E-2</v>
      </c>
      <c r="G1958" s="949">
        <f>GLOBAL_DER_FEV_2023!G1958</f>
        <v>2.7414239999999999</v>
      </c>
      <c r="H1958" s="901">
        <f>GLOBAL_DER_FEV_2023!H1958</f>
        <v>0</v>
      </c>
      <c r="I1958" s="901">
        <f>GLOBAL_DER_FEV_2023!I1958</f>
        <v>0</v>
      </c>
      <c r="J1958" s="902">
        <f>GLOBAL_DER_FEV_2023!J1958</f>
        <v>0</v>
      </c>
      <c r="K1958" s="903"/>
      <c r="L1958" s="1177"/>
      <c r="M1958" s="1138">
        <f t="shared" si="147"/>
        <v>0</v>
      </c>
      <c r="N1958" s="1176">
        <f t="shared" si="151"/>
        <v>0</v>
      </c>
      <c r="O1958" s="905"/>
      <c r="P1958" s="36" t="str">
        <f>IF(N1956&gt;0,"xx",IF(N1956&gt;0,"xy",""))</f>
        <v/>
      </c>
      <c r="Q1958" s="317" t="str">
        <f t="shared" si="148"/>
        <v/>
      </c>
      <c r="R1958" s="317" t="str">
        <f t="shared" si="149"/>
        <v/>
      </c>
      <c r="S1958" s="317" t="str">
        <f t="shared" si="150"/>
        <v/>
      </c>
      <c r="T1958" s="317" t="str">
        <f>GLOBAL_DER_FEV_2023!S1958</f>
        <v/>
      </c>
      <c r="W1958" s="582">
        <v>0</v>
      </c>
      <c r="X1958" s="580"/>
      <c r="Y1958" s="583">
        <f>IF(GLOBAL_DER_FEV_2023!W1958=0,0,IF(GLOBAL_DER_FEV_2023!W1958&gt;0,"c","b"))</f>
        <v>0</v>
      </c>
    </row>
    <row r="1959" spans="1:25" ht="15" hidden="1" customHeight="1" x14ac:dyDescent="0.2">
      <c r="A1959" s="317" t="s">
        <v>147</v>
      </c>
      <c r="B1959" s="895" t="s">
        <v>147</v>
      </c>
      <c r="C1959" s="896"/>
      <c r="D1959" s="906" t="s">
        <v>336</v>
      </c>
      <c r="E1959" s="907">
        <f>GLOBAL_DER_FEV_2023!E1959</f>
        <v>40</v>
      </c>
      <c r="F1959" s="908">
        <f>GLOBAL_DER_FEV_2023!F1959</f>
        <v>0.67</v>
      </c>
      <c r="G1959" s="949">
        <f>GLOBAL_DER_FEV_2023!G1959</f>
        <v>30.471600000000006</v>
      </c>
      <c r="H1959" s="901">
        <f>GLOBAL_DER_FEV_2023!H1959</f>
        <v>0</v>
      </c>
      <c r="I1959" s="901">
        <f>GLOBAL_DER_FEV_2023!I1959</f>
        <v>0</v>
      </c>
      <c r="J1959" s="902">
        <f>GLOBAL_DER_FEV_2023!J1959</f>
        <v>0</v>
      </c>
      <c r="K1959" s="903"/>
      <c r="L1959" s="1177"/>
      <c r="M1959" s="1138">
        <f t="shared" si="147"/>
        <v>0</v>
      </c>
      <c r="N1959" s="1176">
        <f t="shared" si="151"/>
        <v>0</v>
      </c>
      <c r="O1959" s="905"/>
      <c r="P1959" s="36" t="str">
        <f>IF(N1956&gt;0,"xx",IF(N1956&gt;0,"xy",""))</f>
        <v/>
      </c>
      <c r="Q1959" s="317" t="str">
        <f t="shared" si="148"/>
        <v/>
      </c>
      <c r="R1959" s="317" t="str">
        <f t="shared" si="149"/>
        <v/>
      </c>
      <c r="S1959" s="317" t="str">
        <f t="shared" si="150"/>
        <v/>
      </c>
      <c r="T1959" s="317" t="str">
        <f>GLOBAL_DER_FEV_2023!S1959</f>
        <v/>
      </c>
      <c r="W1959" s="582">
        <v>0</v>
      </c>
      <c r="X1959" s="580"/>
      <c r="Y1959" s="583">
        <f>IF(GLOBAL_DER_FEV_2023!W1959=0,0,IF(GLOBAL_DER_FEV_2023!W1959&gt;0,"c","b"))</f>
        <v>0</v>
      </c>
    </row>
    <row r="1960" spans="1:25" ht="15" hidden="1" customHeight="1" x14ac:dyDescent="0.2">
      <c r="A1960" s="317">
        <v>610400</v>
      </c>
      <c r="B1960" s="895" t="s">
        <v>1825</v>
      </c>
      <c r="C1960" s="896" t="s">
        <v>184</v>
      </c>
      <c r="D1960" s="906" t="s">
        <v>2014</v>
      </c>
      <c r="E1960" s="907">
        <f>GLOBAL_DER_FEV_2023!E1960</f>
        <v>0</v>
      </c>
      <c r="F1960" s="908">
        <f>GLOBAL_DER_FEV_2023!F1960</f>
        <v>0</v>
      </c>
      <c r="G1960" s="912">
        <f>GLOBAL_DER_FEV_2023!G1960</f>
        <v>7.1059140000000003</v>
      </c>
      <c r="H1960" s="901">
        <f>GLOBAL_DER_FEV_2023!H1960</f>
        <v>137.47</v>
      </c>
      <c r="I1960" s="901">
        <f>GLOBAL_DER_FEV_2023!I1960</f>
        <v>144.57591400000001</v>
      </c>
      <c r="J1960" s="902">
        <f>GLOBAL_DER_FEV_2023!J1960</f>
        <v>173.59</v>
      </c>
      <c r="K1960" s="903" t="s">
        <v>13</v>
      </c>
      <c r="L1960" s="1137"/>
      <c r="M1960" s="1138">
        <f t="shared" si="147"/>
        <v>0</v>
      </c>
      <c r="N1960" s="1176">
        <f t="shared" si="151"/>
        <v>0</v>
      </c>
      <c r="O1960" s="905"/>
      <c r="Q1960" s="317" t="str">
        <f t="shared" si="148"/>
        <v/>
      </c>
      <c r="R1960" s="317" t="str">
        <f t="shared" si="149"/>
        <v/>
      </c>
      <c r="S1960" s="317" t="str">
        <f t="shared" si="150"/>
        <v/>
      </c>
      <c r="T1960" s="317" t="str">
        <f>GLOBAL_DER_FEV_2023!S1960</f>
        <v/>
      </c>
      <c r="W1960" s="582">
        <v>0</v>
      </c>
      <c r="X1960" s="580"/>
      <c r="Y1960" s="583">
        <f>IF(GLOBAL_DER_FEV_2023!W1960=0,0,IF(GLOBAL_DER_FEV_2023!W1960&gt;0,"c","b"))</f>
        <v>0</v>
      </c>
    </row>
    <row r="1961" spans="1:25" ht="15" hidden="1" customHeight="1" x14ac:dyDescent="0.2">
      <c r="A1961" s="317" t="s">
        <v>147</v>
      </c>
      <c r="B1961" s="895" t="s">
        <v>147</v>
      </c>
      <c r="C1961" s="896"/>
      <c r="D1961" s="906" t="s">
        <v>190</v>
      </c>
      <c r="E1961" s="907">
        <f>GLOBAL_DER_FEV_2023!E1961</f>
        <v>308</v>
      </c>
      <c r="F1961" s="908">
        <f>GLOBAL_DER_FEV_2023!F1961</f>
        <v>1.9E-3</v>
      </c>
      <c r="G1961" s="909">
        <f>GLOBAL_DER_FEV_2023!G1961</f>
        <v>0.47131400000000001</v>
      </c>
      <c r="H1961" s="901">
        <f>GLOBAL_DER_FEV_2023!H1961</f>
        <v>0</v>
      </c>
      <c r="I1961" s="901">
        <f>GLOBAL_DER_FEV_2023!I1961</f>
        <v>0</v>
      </c>
      <c r="J1961" s="902">
        <f>GLOBAL_DER_FEV_2023!J1961</f>
        <v>0</v>
      </c>
      <c r="K1961" s="903"/>
      <c r="L1961" s="1177"/>
      <c r="M1961" s="1138">
        <f t="shared" si="147"/>
        <v>0</v>
      </c>
      <c r="N1961" s="1176">
        <f t="shared" si="151"/>
        <v>0</v>
      </c>
      <c r="O1961" s="905"/>
      <c r="P1961" s="36" t="str">
        <f>IF(N1960&gt;0,"xx",IF(N1960&gt;0,"xy",""))</f>
        <v/>
      </c>
      <c r="Q1961" s="317" t="str">
        <f t="shared" si="148"/>
        <v/>
      </c>
      <c r="R1961" s="317" t="str">
        <f t="shared" si="149"/>
        <v/>
      </c>
      <c r="S1961" s="317" t="str">
        <f t="shared" si="150"/>
        <v/>
      </c>
      <c r="T1961" s="317" t="str">
        <f>GLOBAL_DER_FEV_2023!S1961</f>
        <v/>
      </c>
      <c r="W1961" s="582">
        <v>0</v>
      </c>
      <c r="X1961" s="580"/>
      <c r="Y1961" s="583">
        <f>IF(GLOBAL_DER_FEV_2023!W1961=0,0,IF(GLOBAL_DER_FEV_2023!W1961&gt;0,"c","b"))</f>
        <v>0</v>
      </c>
    </row>
    <row r="1962" spans="1:25" ht="15" hidden="1" customHeight="1" x14ac:dyDescent="0.2">
      <c r="A1962" s="317" t="s">
        <v>147</v>
      </c>
      <c r="B1962" s="895" t="s">
        <v>147</v>
      </c>
      <c r="C1962" s="896"/>
      <c r="D1962" s="906" t="s">
        <v>229</v>
      </c>
      <c r="E1962" s="907">
        <f>GLOBAL_DER_FEV_2023!E1962</f>
        <v>150</v>
      </c>
      <c r="F1962" s="908">
        <f>GLOBAL_DER_FEV_2023!F1962</f>
        <v>0.01</v>
      </c>
      <c r="G1962" s="949">
        <f>GLOBAL_DER_FEV_2023!G1962</f>
        <v>1.6318000000000001</v>
      </c>
      <c r="H1962" s="901">
        <f>GLOBAL_DER_FEV_2023!H1962</f>
        <v>0</v>
      </c>
      <c r="I1962" s="901">
        <f>GLOBAL_DER_FEV_2023!I1962</f>
        <v>0</v>
      </c>
      <c r="J1962" s="902">
        <f>GLOBAL_DER_FEV_2023!J1962</f>
        <v>0</v>
      </c>
      <c r="K1962" s="903"/>
      <c r="L1962" s="1177"/>
      <c r="M1962" s="1138">
        <f t="shared" si="147"/>
        <v>0</v>
      </c>
      <c r="N1962" s="1176">
        <f t="shared" si="151"/>
        <v>0</v>
      </c>
      <c r="O1962" s="905"/>
      <c r="P1962" s="36" t="str">
        <f>IF(N1960&gt;0,"xx",IF(N1960&gt;0,"xy",""))</f>
        <v/>
      </c>
      <c r="Q1962" s="317" t="str">
        <f t="shared" si="148"/>
        <v/>
      </c>
      <c r="R1962" s="317" t="str">
        <f t="shared" si="149"/>
        <v/>
      </c>
      <c r="S1962" s="317" t="str">
        <f t="shared" si="150"/>
        <v/>
      </c>
      <c r="T1962" s="317" t="str">
        <f>GLOBAL_DER_FEV_2023!S1962</f>
        <v/>
      </c>
      <c r="W1962" s="582">
        <v>0</v>
      </c>
      <c r="X1962" s="580"/>
      <c r="Y1962" s="583">
        <f>IF(GLOBAL_DER_FEV_2023!W1962=0,0,IF(GLOBAL_DER_FEV_2023!W1962&gt;0,"c","b"))</f>
        <v>0</v>
      </c>
    </row>
    <row r="1963" spans="1:25" ht="15" hidden="1" customHeight="1" x14ac:dyDescent="0.2">
      <c r="A1963" s="317" t="s">
        <v>147</v>
      </c>
      <c r="B1963" s="895" t="s">
        <v>147</v>
      </c>
      <c r="C1963" s="896"/>
      <c r="D1963" s="906" t="s">
        <v>336</v>
      </c>
      <c r="E1963" s="907">
        <f>GLOBAL_DER_FEV_2023!E1963</f>
        <v>40</v>
      </c>
      <c r="F1963" s="908">
        <f>GLOBAL_DER_FEV_2023!F1963</f>
        <v>0.11</v>
      </c>
      <c r="G1963" s="949">
        <f>GLOBAL_DER_FEV_2023!G1963</f>
        <v>5.0028000000000006</v>
      </c>
      <c r="H1963" s="901">
        <f>GLOBAL_DER_FEV_2023!H1963</f>
        <v>0</v>
      </c>
      <c r="I1963" s="901">
        <f>GLOBAL_DER_FEV_2023!I1963</f>
        <v>0</v>
      </c>
      <c r="J1963" s="902">
        <f>GLOBAL_DER_FEV_2023!J1963</f>
        <v>0</v>
      </c>
      <c r="K1963" s="903"/>
      <c r="L1963" s="1177"/>
      <c r="M1963" s="1138">
        <f t="shared" si="147"/>
        <v>0</v>
      </c>
      <c r="N1963" s="1176">
        <f t="shared" si="151"/>
        <v>0</v>
      </c>
      <c r="O1963" s="905"/>
      <c r="P1963" s="36" t="str">
        <f>IF(N1960&gt;0,"xx",IF(N1960&gt;0,"xy",""))</f>
        <v/>
      </c>
      <c r="Q1963" s="317" t="str">
        <f t="shared" si="148"/>
        <v/>
      </c>
      <c r="R1963" s="317" t="str">
        <f t="shared" si="149"/>
        <v/>
      </c>
      <c r="S1963" s="317" t="str">
        <f t="shared" si="150"/>
        <v/>
      </c>
      <c r="T1963" s="317" t="str">
        <f>GLOBAL_DER_FEV_2023!S1963</f>
        <v/>
      </c>
      <c r="W1963" s="582">
        <v>0</v>
      </c>
      <c r="X1963" s="580"/>
      <c r="Y1963" s="583">
        <f>IF(GLOBAL_DER_FEV_2023!W1963=0,0,IF(GLOBAL_DER_FEV_2023!W1963&gt;0,"c","b"))</f>
        <v>0</v>
      </c>
    </row>
    <row r="1964" spans="1:25" ht="15" hidden="1" customHeight="1" x14ac:dyDescent="0.2">
      <c r="A1964" s="317">
        <v>610600</v>
      </c>
      <c r="B1964" s="895" t="s">
        <v>1829</v>
      </c>
      <c r="C1964" s="896" t="s">
        <v>184</v>
      </c>
      <c r="D1964" s="906" t="s">
        <v>2015</v>
      </c>
      <c r="E1964" s="907">
        <f>GLOBAL_DER_FEV_2023!E1964</f>
        <v>0</v>
      </c>
      <c r="F1964" s="908">
        <f>GLOBAL_DER_FEV_2023!F1964</f>
        <v>0</v>
      </c>
      <c r="G1964" s="912">
        <f>GLOBAL_DER_FEV_2023!G1964</f>
        <v>13.849744000000001</v>
      </c>
      <c r="H1964" s="901">
        <f>GLOBAL_DER_FEV_2023!H1964</f>
        <v>313.26</v>
      </c>
      <c r="I1964" s="901">
        <f>GLOBAL_DER_FEV_2023!I1964</f>
        <v>327.10974399999998</v>
      </c>
      <c r="J1964" s="902">
        <f>GLOBAL_DER_FEV_2023!J1964</f>
        <v>392.76</v>
      </c>
      <c r="K1964" s="903" t="s">
        <v>13</v>
      </c>
      <c r="L1964" s="1137"/>
      <c r="M1964" s="1138">
        <f t="shared" si="147"/>
        <v>0</v>
      </c>
      <c r="N1964" s="1176">
        <f t="shared" si="151"/>
        <v>0</v>
      </c>
      <c r="O1964" s="905"/>
      <c r="Q1964" s="317" t="str">
        <f t="shared" si="148"/>
        <v/>
      </c>
      <c r="R1964" s="317" t="str">
        <f t="shared" si="149"/>
        <v/>
      </c>
      <c r="S1964" s="317" t="str">
        <f t="shared" si="150"/>
        <v/>
      </c>
      <c r="T1964" s="317" t="str">
        <f>GLOBAL_DER_FEV_2023!S1964</f>
        <v/>
      </c>
      <c r="W1964" s="582">
        <v>0</v>
      </c>
      <c r="X1964" s="580"/>
      <c r="Y1964" s="583">
        <f>IF(GLOBAL_DER_FEV_2023!W1964=0,0,IF(GLOBAL_DER_FEV_2023!W1964&gt;0,"c","b"))</f>
        <v>0</v>
      </c>
    </row>
    <row r="1965" spans="1:25" ht="15" hidden="1" customHeight="1" x14ac:dyDescent="0.2">
      <c r="A1965" s="317" t="s">
        <v>147</v>
      </c>
      <c r="B1965" s="895" t="s">
        <v>147</v>
      </c>
      <c r="C1965" s="896"/>
      <c r="D1965" s="906" t="s">
        <v>190</v>
      </c>
      <c r="E1965" s="907">
        <f>GLOBAL_DER_FEV_2023!E1965</f>
        <v>308</v>
      </c>
      <c r="F1965" s="908">
        <f>GLOBAL_DER_FEV_2023!F1965</f>
        <v>2.3E-3</v>
      </c>
      <c r="G1965" s="909">
        <f>GLOBAL_DER_FEV_2023!G1965</f>
        <v>0.57053799999999999</v>
      </c>
      <c r="H1965" s="901">
        <f>GLOBAL_DER_FEV_2023!H1965</f>
        <v>0</v>
      </c>
      <c r="I1965" s="901">
        <f>GLOBAL_DER_FEV_2023!I1965</f>
        <v>0</v>
      </c>
      <c r="J1965" s="902">
        <f>GLOBAL_DER_FEV_2023!J1965</f>
        <v>0</v>
      </c>
      <c r="K1965" s="903"/>
      <c r="L1965" s="1177"/>
      <c r="M1965" s="1138">
        <f t="shared" si="147"/>
        <v>0</v>
      </c>
      <c r="N1965" s="1176">
        <f t="shared" si="151"/>
        <v>0</v>
      </c>
      <c r="O1965" s="905"/>
      <c r="P1965" s="36" t="str">
        <f>IF(N1964&gt;0,"xx",IF(N1964&gt;0,"xy",""))</f>
        <v/>
      </c>
      <c r="Q1965" s="317" t="str">
        <f t="shared" si="148"/>
        <v/>
      </c>
      <c r="R1965" s="317" t="str">
        <f t="shared" si="149"/>
        <v/>
      </c>
      <c r="S1965" s="317" t="str">
        <f t="shared" si="150"/>
        <v/>
      </c>
      <c r="T1965" s="317" t="str">
        <f>GLOBAL_DER_FEV_2023!S1965</f>
        <v/>
      </c>
      <c r="W1965" s="582">
        <v>0</v>
      </c>
      <c r="X1965" s="580"/>
      <c r="Y1965" s="583">
        <f>IF(GLOBAL_DER_FEV_2023!W1965=0,0,IF(GLOBAL_DER_FEV_2023!W1965&gt;0,"c","b"))</f>
        <v>0</v>
      </c>
    </row>
    <row r="1966" spans="1:25" ht="15" hidden="1" customHeight="1" x14ac:dyDescent="0.2">
      <c r="A1966" s="317" t="s">
        <v>147</v>
      </c>
      <c r="B1966" s="895" t="s">
        <v>147</v>
      </c>
      <c r="C1966" s="896"/>
      <c r="D1966" s="906" t="s">
        <v>229</v>
      </c>
      <c r="E1966" s="907">
        <f>GLOBAL_DER_FEV_2023!E1966</f>
        <v>150</v>
      </c>
      <c r="F1966" s="908">
        <f>GLOBAL_DER_FEV_2023!F1966</f>
        <v>1.17E-2</v>
      </c>
      <c r="G1966" s="949">
        <f>GLOBAL_DER_FEV_2023!G1966</f>
        <v>1.9092060000000002</v>
      </c>
      <c r="H1966" s="901">
        <f>GLOBAL_DER_FEV_2023!H1966</f>
        <v>0</v>
      </c>
      <c r="I1966" s="901">
        <f>GLOBAL_DER_FEV_2023!I1966</f>
        <v>0</v>
      </c>
      <c r="J1966" s="902">
        <f>GLOBAL_DER_FEV_2023!J1966</f>
        <v>0</v>
      </c>
      <c r="K1966" s="903"/>
      <c r="L1966" s="1177"/>
      <c r="M1966" s="1138">
        <f t="shared" si="147"/>
        <v>0</v>
      </c>
      <c r="N1966" s="1176">
        <f t="shared" si="151"/>
        <v>0</v>
      </c>
      <c r="O1966" s="905"/>
      <c r="P1966" s="36" t="str">
        <f>IF(N1964&gt;0,"xx",IF(N1964&gt;0,"xy",""))</f>
        <v/>
      </c>
      <c r="Q1966" s="317" t="str">
        <f t="shared" si="148"/>
        <v/>
      </c>
      <c r="R1966" s="317" t="str">
        <f t="shared" si="149"/>
        <v/>
      </c>
      <c r="S1966" s="317" t="str">
        <f t="shared" si="150"/>
        <v/>
      </c>
      <c r="T1966" s="317" t="str">
        <f>GLOBAL_DER_FEV_2023!S1966</f>
        <v/>
      </c>
      <c r="W1966" s="582">
        <v>0</v>
      </c>
      <c r="X1966" s="580"/>
      <c r="Y1966" s="583">
        <f>IF(GLOBAL_DER_FEV_2023!W1966=0,0,IF(GLOBAL_DER_FEV_2023!W1966&gt;0,"c","b"))</f>
        <v>0</v>
      </c>
    </row>
    <row r="1967" spans="1:25" ht="15" hidden="1" customHeight="1" x14ac:dyDescent="0.2">
      <c r="A1967" s="317" t="s">
        <v>147</v>
      </c>
      <c r="B1967" s="895" t="s">
        <v>147</v>
      </c>
      <c r="C1967" s="896"/>
      <c r="D1967" s="906" t="s">
        <v>336</v>
      </c>
      <c r="E1967" s="907">
        <f>GLOBAL_DER_FEV_2023!E1967</f>
        <v>40</v>
      </c>
      <c r="F1967" s="908">
        <f>GLOBAL_DER_FEV_2023!F1967</f>
        <v>0.25</v>
      </c>
      <c r="G1967" s="949">
        <f>GLOBAL_DER_FEV_2023!G1967</f>
        <v>11.370000000000001</v>
      </c>
      <c r="H1967" s="901">
        <f>GLOBAL_DER_FEV_2023!H1967</f>
        <v>0</v>
      </c>
      <c r="I1967" s="901">
        <f>GLOBAL_DER_FEV_2023!I1967</f>
        <v>0</v>
      </c>
      <c r="J1967" s="902">
        <f>GLOBAL_DER_FEV_2023!J1967</f>
        <v>0</v>
      </c>
      <c r="K1967" s="903"/>
      <c r="L1967" s="1177"/>
      <c r="M1967" s="1138">
        <f t="shared" si="147"/>
        <v>0</v>
      </c>
      <c r="N1967" s="1176">
        <f t="shared" si="151"/>
        <v>0</v>
      </c>
      <c r="O1967" s="905"/>
      <c r="P1967" s="36" t="str">
        <f>IF(N1964&gt;0,"xx",IF(N1964&gt;0,"xy",""))</f>
        <v/>
      </c>
      <c r="Q1967" s="317" t="str">
        <f t="shared" si="148"/>
        <v/>
      </c>
      <c r="R1967" s="317" t="str">
        <f t="shared" si="149"/>
        <v/>
      </c>
      <c r="S1967" s="317" t="str">
        <f t="shared" si="150"/>
        <v/>
      </c>
      <c r="T1967" s="317" t="str">
        <f>GLOBAL_DER_FEV_2023!S1967</f>
        <v/>
      </c>
      <c r="W1967" s="582">
        <v>0</v>
      </c>
      <c r="X1967" s="580"/>
      <c r="Y1967" s="583">
        <f>IF(GLOBAL_DER_FEV_2023!W1967=0,0,IF(GLOBAL_DER_FEV_2023!W1967&gt;0,"c","b"))</f>
        <v>0</v>
      </c>
    </row>
    <row r="1968" spans="1:25" ht="15" hidden="1" customHeight="1" x14ac:dyDescent="0.2">
      <c r="A1968" s="317">
        <v>610600</v>
      </c>
      <c r="B1968" s="895" t="s">
        <v>1830</v>
      </c>
      <c r="C1968" s="896" t="s">
        <v>184</v>
      </c>
      <c r="D1968" s="906" t="s">
        <v>2016</v>
      </c>
      <c r="E1968" s="907">
        <f>GLOBAL_DER_FEV_2023!E1968</f>
        <v>0</v>
      </c>
      <c r="F1968" s="908">
        <f>GLOBAL_DER_FEV_2023!F1968</f>
        <v>0</v>
      </c>
      <c r="G1968" s="912">
        <f>GLOBAL_DER_FEV_2023!G1968</f>
        <v>20.568768000000002</v>
      </c>
      <c r="H1968" s="901">
        <f>GLOBAL_DER_FEV_2023!H1968</f>
        <v>313.26</v>
      </c>
      <c r="I1968" s="901">
        <f>GLOBAL_DER_FEV_2023!I1968</f>
        <v>333.82876799999997</v>
      </c>
      <c r="J1968" s="902">
        <f>GLOBAL_DER_FEV_2023!J1968</f>
        <v>400.83</v>
      </c>
      <c r="K1968" s="903" t="s">
        <v>13</v>
      </c>
      <c r="L1968" s="1137"/>
      <c r="M1968" s="1138">
        <f t="shared" si="147"/>
        <v>0</v>
      </c>
      <c r="N1968" s="1176">
        <f t="shared" si="151"/>
        <v>0</v>
      </c>
      <c r="O1968" s="905"/>
      <c r="Q1968" s="317" t="str">
        <f t="shared" si="148"/>
        <v/>
      </c>
      <c r="R1968" s="317" t="str">
        <f t="shared" si="149"/>
        <v/>
      </c>
      <c r="S1968" s="317" t="str">
        <f t="shared" si="150"/>
        <v/>
      </c>
      <c r="T1968" s="317" t="str">
        <f>GLOBAL_DER_FEV_2023!S1968</f>
        <v/>
      </c>
      <c r="W1968" s="582">
        <v>0</v>
      </c>
      <c r="X1968" s="580"/>
      <c r="Y1968" s="583">
        <f>IF(GLOBAL_DER_FEV_2023!W1968=0,0,IF(GLOBAL_DER_FEV_2023!W1968&gt;0,"c","b"))</f>
        <v>0</v>
      </c>
    </row>
    <row r="1969" spans="1:25" ht="15" hidden="1" customHeight="1" x14ac:dyDescent="0.2">
      <c r="A1969" s="317" t="s">
        <v>147</v>
      </c>
      <c r="B1969" s="895" t="s">
        <v>147</v>
      </c>
      <c r="C1969" s="896"/>
      <c r="D1969" s="906" t="s">
        <v>190</v>
      </c>
      <c r="E1969" s="907">
        <f>GLOBAL_DER_FEV_2023!E1969</f>
        <v>308</v>
      </c>
      <c r="F1969" s="908">
        <f>GLOBAL_DER_FEV_2023!F1969</f>
        <v>2.5999999999999999E-3</v>
      </c>
      <c r="G1969" s="909">
        <f>GLOBAL_DER_FEV_2023!G1969</f>
        <v>0.64495599999999997</v>
      </c>
      <c r="H1969" s="901">
        <f>GLOBAL_DER_FEV_2023!H1969</f>
        <v>0</v>
      </c>
      <c r="I1969" s="901">
        <f>GLOBAL_DER_FEV_2023!I1969</f>
        <v>0</v>
      </c>
      <c r="J1969" s="902">
        <f>GLOBAL_DER_FEV_2023!J1969</f>
        <v>0</v>
      </c>
      <c r="K1969" s="903"/>
      <c r="L1969" s="1177"/>
      <c r="M1969" s="1138">
        <f t="shared" si="147"/>
        <v>0</v>
      </c>
      <c r="N1969" s="1176">
        <f t="shared" si="151"/>
        <v>0</v>
      </c>
      <c r="O1969" s="905"/>
      <c r="P1969" s="36" t="str">
        <f>IF(N1968&gt;0,"xx",IF(N1968&gt;0,"xy",""))</f>
        <v/>
      </c>
      <c r="Q1969" s="317" t="str">
        <f t="shared" si="148"/>
        <v/>
      </c>
      <c r="R1969" s="317" t="str">
        <f t="shared" si="149"/>
        <v/>
      </c>
      <c r="S1969" s="317" t="str">
        <f t="shared" si="150"/>
        <v/>
      </c>
      <c r="T1969" s="317" t="str">
        <f>GLOBAL_DER_FEV_2023!S1969</f>
        <v/>
      </c>
      <c r="W1969" s="582">
        <v>0</v>
      </c>
      <c r="X1969" s="580"/>
      <c r="Y1969" s="583">
        <f>IF(GLOBAL_DER_FEV_2023!W1969=0,0,IF(GLOBAL_DER_FEV_2023!W1969&gt;0,"c","b"))</f>
        <v>0</v>
      </c>
    </row>
    <row r="1970" spans="1:25" ht="15" hidden="1" customHeight="1" x14ac:dyDescent="0.2">
      <c r="A1970" s="317" t="s">
        <v>147</v>
      </c>
      <c r="B1970" s="895" t="s">
        <v>147</v>
      </c>
      <c r="C1970" s="896"/>
      <c r="D1970" s="906" t="s">
        <v>229</v>
      </c>
      <c r="E1970" s="907">
        <f>GLOBAL_DER_FEV_2023!E1970</f>
        <v>150</v>
      </c>
      <c r="F1970" s="908">
        <f>GLOBAL_DER_FEV_2023!F1970</f>
        <v>1.34E-2</v>
      </c>
      <c r="G1970" s="949">
        <f>GLOBAL_DER_FEV_2023!G1970</f>
        <v>2.1866120000000002</v>
      </c>
      <c r="H1970" s="901">
        <f>GLOBAL_DER_FEV_2023!H1970</f>
        <v>0</v>
      </c>
      <c r="I1970" s="901">
        <f>GLOBAL_DER_FEV_2023!I1970</f>
        <v>0</v>
      </c>
      <c r="J1970" s="902">
        <f>GLOBAL_DER_FEV_2023!J1970</f>
        <v>0</v>
      </c>
      <c r="K1970" s="903"/>
      <c r="L1970" s="1177"/>
      <c r="M1970" s="1138">
        <f t="shared" si="147"/>
        <v>0</v>
      </c>
      <c r="N1970" s="1176">
        <f t="shared" si="151"/>
        <v>0</v>
      </c>
      <c r="O1970" s="905"/>
      <c r="P1970" s="36" t="str">
        <f>IF(N1968&gt;0,"xx",IF(N1968&gt;0,"xy",""))</f>
        <v/>
      </c>
      <c r="Q1970" s="317" t="str">
        <f t="shared" si="148"/>
        <v/>
      </c>
      <c r="R1970" s="317" t="str">
        <f t="shared" si="149"/>
        <v/>
      </c>
      <c r="S1970" s="317" t="str">
        <f t="shared" si="150"/>
        <v/>
      </c>
      <c r="T1970" s="317" t="str">
        <f>GLOBAL_DER_FEV_2023!S1970</f>
        <v/>
      </c>
      <c r="W1970" s="582">
        <v>0</v>
      </c>
      <c r="X1970" s="580"/>
      <c r="Y1970" s="583">
        <f>IF(GLOBAL_DER_FEV_2023!W1970=0,0,IF(GLOBAL_DER_FEV_2023!W1970&gt;0,"c","b"))</f>
        <v>0</v>
      </c>
    </row>
    <row r="1971" spans="1:25" ht="15" hidden="1" customHeight="1" x14ac:dyDescent="0.2">
      <c r="A1971" s="317" t="s">
        <v>147</v>
      </c>
      <c r="B1971" s="895" t="s">
        <v>147</v>
      </c>
      <c r="C1971" s="896"/>
      <c r="D1971" s="906" t="s">
        <v>336</v>
      </c>
      <c r="E1971" s="907">
        <f>GLOBAL_DER_FEV_2023!E1971</f>
        <v>40</v>
      </c>
      <c r="F1971" s="908">
        <f>GLOBAL_DER_FEV_2023!F1971</f>
        <v>0.39</v>
      </c>
      <c r="G1971" s="949">
        <f>GLOBAL_DER_FEV_2023!G1971</f>
        <v>17.737200000000001</v>
      </c>
      <c r="H1971" s="901">
        <f>GLOBAL_DER_FEV_2023!H1971</f>
        <v>0</v>
      </c>
      <c r="I1971" s="901">
        <f>GLOBAL_DER_FEV_2023!I1971</f>
        <v>0</v>
      </c>
      <c r="J1971" s="902">
        <f>GLOBAL_DER_FEV_2023!J1971</f>
        <v>0</v>
      </c>
      <c r="K1971" s="903"/>
      <c r="L1971" s="1177"/>
      <c r="M1971" s="1138">
        <f t="shared" si="147"/>
        <v>0</v>
      </c>
      <c r="N1971" s="1176">
        <f t="shared" si="151"/>
        <v>0</v>
      </c>
      <c r="O1971" s="905"/>
      <c r="P1971" s="36" t="str">
        <f>IF(N1968&gt;0,"xx",IF(N1968&gt;0,"xy",""))</f>
        <v/>
      </c>
      <c r="Q1971" s="317" t="str">
        <f t="shared" si="148"/>
        <v/>
      </c>
      <c r="R1971" s="317" t="str">
        <f t="shared" si="149"/>
        <v/>
      </c>
      <c r="S1971" s="317" t="str">
        <f t="shared" si="150"/>
        <v/>
      </c>
      <c r="T1971" s="317" t="str">
        <f>GLOBAL_DER_FEV_2023!S1971</f>
        <v/>
      </c>
      <c r="W1971" s="582">
        <v>0</v>
      </c>
      <c r="X1971" s="580"/>
      <c r="Y1971" s="583">
        <f>IF(GLOBAL_DER_FEV_2023!W1971=0,0,IF(GLOBAL_DER_FEV_2023!W1971&gt;0,"c","b"))</f>
        <v>0</v>
      </c>
    </row>
    <row r="1972" spans="1:25" ht="15" hidden="1" customHeight="1" x14ac:dyDescent="0.2">
      <c r="A1972" s="317">
        <v>610800</v>
      </c>
      <c r="B1972" s="895" t="s">
        <v>1834</v>
      </c>
      <c r="C1972" s="896" t="s">
        <v>184</v>
      </c>
      <c r="D1972" s="906" t="s">
        <v>2017</v>
      </c>
      <c r="E1972" s="907">
        <f>GLOBAL_DER_FEV_2023!E1972</f>
        <v>0</v>
      </c>
      <c r="F1972" s="908">
        <f>GLOBAL_DER_FEV_2023!F1972</f>
        <v>0</v>
      </c>
      <c r="G1972" s="912">
        <f>GLOBAL_DER_FEV_2023!G1972</f>
        <v>27.287792000000003</v>
      </c>
      <c r="H1972" s="901">
        <f>GLOBAL_DER_FEV_2023!H1972</f>
        <v>514.41999999999996</v>
      </c>
      <c r="I1972" s="901">
        <f>GLOBAL_DER_FEV_2023!I1972</f>
        <v>541.70779199999993</v>
      </c>
      <c r="J1972" s="902">
        <f>GLOBAL_DER_FEV_2023!J1972</f>
        <v>650.42999999999995</v>
      </c>
      <c r="K1972" s="903" t="s">
        <v>13</v>
      </c>
      <c r="L1972" s="1137"/>
      <c r="M1972" s="1138">
        <f t="shared" si="147"/>
        <v>0</v>
      </c>
      <c r="N1972" s="1176">
        <f t="shared" si="151"/>
        <v>0</v>
      </c>
      <c r="O1972" s="905"/>
      <c r="Q1972" s="317" t="str">
        <f t="shared" si="148"/>
        <v/>
      </c>
      <c r="R1972" s="317" t="str">
        <f t="shared" si="149"/>
        <v/>
      </c>
      <c r="S1972" s="317" t="str">
        <f t="shared" si="150"/>
        <v/>
      </c>
      <c r="T1972" s="317" t="str">
        <f>GLOBAL_DER_FEV_2023!S1972</f>
        <v/>
      </c>
      <c r="W1972" s="582">
        <v>0</v>
      </c>
      <c r="X1972" s="580"/>
      <c r="Y1972" s="583">
        <f>IF(GLOBAL_DER_FEV_2023!W1972=0,0,IF(GLOBAL_DER_FEV_2023!W1972&gt;0,"c","b"))</f>
        <v>0</v>
      </c>
    </row>
    <row r="1973" spans="1:25" ht="15" hidden="1" customHeight="1" x14ac:dyDescent="0.2">
      <c r="A1973" s="317" t="s">
        <v>147</v>
      </c>
      <c r="B1973" s="895" t="s">
        <v>147</v>
      </c>
      <c r="C1973" s="896"/>
      <c r="D1973" s="906" t="s">
        <v>190</v>
      </c>
      <c r="E1973" s="907">
        <f>GLOBAL_DER_FEV_2023!E1973</f>
        <v>308</v>
      </c>
      <c r="F1973" s="908">
        <f>GLOBAL_DER_FEV_2023!F1973</f>
        <v>2.8999999999999998E-3</v>
      </c>
      <c r="G1973" s="909">
        <f>GLOBAL_DER_FEV_2023!G1973</f>
        <v>0.71937399999999996</v>
      </c>
      <c r="H1973" s="901">
        <f>GLOBAL_DER_FEV_2023!H1973</f>
        <v>0</v>
      </c>
      <c r="I1973" s="901">
        <f>GLOBAL_DER_FEV_2023!I1973</f>
        <v>0</v>
      </c>
      <c r="J1973" s="902">
        <f>GLOBAL_DER_FEV_2023!J1973</f>
        <v>0</v>
      </c>
      <c r="K1973" s="903"/>
      <c r="L1973" s="1177"/>
      <c r="M1973" s="1138">
        <f t="shared" si="147"/>
        <v>0</v>
      </c>
      <c r="N1973" s="1176">
        <f t="shared" si="151"/>
        <v>0</v>
      </c>
      <c r="O1973" s="905"/>
      <c r="P1973" s="36" t="str">
        <f>IF(N1972&gt;0,"xx",IF(N1972&gt;0,"xy",""))</f>
        <v/>
      </c>
      <c r="Q1973" s="317" t="str">
        <f t="shared" si="148"/>
        <v/>
      </c>
      <c r="R1973" s="317" t="str">
        <f t="shared" si="149"/>
        <v/>
      </c>
      <c r="S1973" s="317" t="str">
        <f t="shared" si="150"/>
        <v/>
      </c>
      <c r="T1973" s="317" t="str">
        <f>GLOBAL_DER_FEV_2023!S1973</f>
        <v/>
      </c>
      <c r="W1973" s="582">
        <v>0</v>
      </c>
      <c r="X1973" s="580"/>
      <c r="Y1973" s="583">
        <f>IF(GLOBAL_DER_FEV_2023!W1973=0,0,IF(GLOBAL_DER_FEV_2023!W1973&gt;0,"c","b"))</f>
        <v>0</v>
      </c>
    </row>
    <row r="1974" spans="1:25" ht="15" hidden="1" customHeight="1" x14ac:dyDescent="0.2">
      <c r="A1974" s="317" t="s">
        <v>147</v>
      </c>
      <c r="B1974" s="895" t="s">
        <v>147</v>
      </c>
      <c r="C1974" s="896"/>
      <c r="D1974" s="906" t="s">
        <v>229</v>
      </c>
      <c r="E1974" s="907">
        <f>GLOBAL_DER_FEV_2023!E1974</f>
        <v>150</v>
      </c>
      <c r="F1974" s="908">
        <f>GLOBAL_DER_FEV_2023!F1974</f>
        <v>1.5100000000000001E-2</v>
      </c>
      <c r="G1974" s="949">
        <f>GLOBAL_DER_FEV_2023!G1974</f>
        <v>2.4640180000000003</v>
      </c>
      <c r="H1974" s="901">
        <f>GLOBAL_DER_FEV_2023!H1974</f>
        <v>0</v>
      </c>
      <c r="I1974" s="901">
        <f>GLOBAL_DER_FEV_2023!I1974</f>
        <v>0</v>
      </c>
      <c r="J1974" s="902">
        <f>GLOBAL_DER_FEV_2023!J1974</f>
        <v>0</v>
      </c>
      <c r="K1974" s="903"/>
      <c r="L1974" s="1177"/>
      <c r="M1974" s="1138">
        <f t="shared" si="147"/>
        <v>0</v>
      </c>
      <c r="N1974" s="1176">
        <f t="shared" si="151"/>
        <v>0</v>
      </c>
      <c r="O1974" s="905"/>
      <c r="P1974" s="36" t="str">
        <f>IF(N1972&gt;0,"xx",IF(N1972&gt;0,"xy",""))</f>
        <v/>
      </c>
      <c r="Q1974" s="317" t="str">
        <f t="shared" si="148"/>
        <v/>
      </c>
      <c r="R1974" s="317" t="str">
        <f t="shared" si="149"/>
        <v/>
      </c>
      <c r="S1974" s="317" t="str">
        <f t="shared" si="150"/>
        <v/>
      </c>
      <c r="T1974" s="317" t="str">
        <f>GLOBAL_DER_FEV_2023!S1974</f>
        <v/>
      </c>
      <c r="W1974" s="582">
        <v>0</v>
      </c>
      <c r="X1974" s="580"/>
      <c r="Y1974" s="583">
        <f>IF(GLOBAL_DER_FEV_2023!W1974=0,0,IF(GLOBAL_DER_FEV_2023!W1974&gt;0,"c","b"))</f>
        <v>0</v>
      </c>
    </row>
    <row r="1975" spans="1:25" ht="15" hidden="1" customHeight="1" x14ac:dyDescent="0.2">
      <c r="A1975" s="317" t="s">
        <v>147</v>
      </c>
      <c r="B1975" s="895" t="s">
        <v>147</v>
      </c>
      <c r="C1975" s="896"/>
      <c r="D1975" s="906" t="s">
        <v>336</v>
      </c>
      <c r="E1975" s="907">
        <f>GLOBAL_DER_FEV_2023!E1975</f>
        <v>40</v>
      </c>
      <c r="F1975" s="908">
        <f>GLOBAL_DER_FEV_2023!F1975</f>
        <v>0.53</v>
      </c>
      <c r="G1975" s="949">
        <f>GLOBAL_DER_FEV_2023!G1975</f>
        <v>24.104400000000002</v>
      </c>
      <c r="H1975" s="901">
        <f>GLOBAL_DER_FEV_2023!H1975</f>
        <v>0</v>
      </c>
      <c r="I1975" s="901">
        <f>GLOBAL_DER_FEV_2023!I1975</f>
        <v>0</v>
      </c>
      <c r="J1975" s="902">
        <f>GLOBAL_DER_FEV_2023!J1975</f>
        <v>0</v>
      </c>
      <c r="K1975" s="903"/>
      <c r="L1975" s="1177"/>
      <c r="M1975" s="1138">
        <f t="shared" si="147"/>
        <v>0</v>
      </c>
      <c r="N1975" s="1176">
        <f t="shared" si="151"/>
        <v>0</v>
      </c>
      <c r="O1975" s="905"/>
      <c r="P1975" s="36" t="str">
        <f>IF(N1972&gt;0,"xx",IF(N1972&gt;0,"xy",""))</f>
        <v/>
      </c>
      <c r="Q1975" s="317" t="str">
        <f t="shared" si="148"/>
        <v/>
      </c>
      <c r="R1975" s="317" t="str">
        <f t="shared" si="149"/>
        <v/>
      </c>
      <c r="S1975" s="317" t="str">
        <f t="shared" si="150"/>
        <v/>
      </c>
      <c r="T1975" s="317" t="str">
        <f>GLOBAL_DER_FEV_2023!S1975</f>
        <v/>
      </c>
      <c r="W1975" s="582">
        <v>0</v>
      </c>
      <c r="X1975" s="580"/>
      <c r="Y1975" s="583">
        <f>IF(GLOBAL_DER_FEV_2023!W1975=0,0,IF(GLOBAL_DER_FEV_2023!W1975&gt;0,"c","b"))</f>
        <v>0</v>
      </c>
    </row>
    <row r="1976" spans="1:25" ht="15" hidden="1" customHeight="1" x14ac:dyDescent="0.2">
      <c r="A1976" s="317">
        <v>610800</v>
      </c>
      <c r="B1976" s="895" t="s">
        <v>1835</v>
      </c>
      <c r="C1976" s="896" t="s">
        <v>184</v>
      </c>
      <c r="D1976" s="906" t="s">
        <v>2018</v>
      </c>
      <c r="E1976" s="907">
        <f>GLOBAL_DER_FEV_2023!E1976</f>
        <v>0</v>
      </c>
      <c r="F1976" s="908">
        <f>GLOBAL_DER_FEV_2023!F1976</f>
        <v>0</v>
      </c>
      <c r="G1976" s="912">
        <f>GLOBAL_DER_FEV_2023!G1976</f>
        <v>34.006816000000008</v>
      </c>
      <c r="H1976" s="901">
        <f>GLOBAL_DER_FEV_2023!H1976</f>
        <v>514.41999999999996</v>
      </c>
      <c r="I1976" s="901">
        <f>GLOBAL_DER_FEV_2023!I1976</f>
        <v>548.42681599999992</v>
      </c>
      <c r="J1976" s="902">
        <f>GLOBAL_DER_FEV_2023!J1976</f>
        <v>658.5</v>
      </c>
      <c r="K1976" s="903" t="s">
        <v>13</v>
      </c>
      <c r="L1976" s="1137"/>
      <c r="M1976" s="1138">
        <f t="shared" si="147"/>
        <v>0</v>
      </c>
      <c r="N1976" s="1176">
        <f t="shared" si="151"/>
        <v>0</v>
      </c>
      <c r="O1976" s="905"/>
      <c r="Q1976" s="317" t="str">
        <f t="shared" si="148"/>
        <v/>
      </c>
      <c r="R1976" s="317" t="str">
        <f t="shared" si="149"/>
        <v/>
      </c>
      <c r="S1976" s="317" t="str">
        <f t="shared" si="150"/>
        <v/>
      </c>
      <c r="T1976" s="317" t="str">
        <f>GLOBAL_DER_FEV_2023!S1976</f>
        <v/>
      </c>
      <c r="W1976" s="582">
        <v>0</v>
      </c>
      <c r="X1976" s="580"/>
      <c r="Y1976" s="583">
        <f>IF(GLOBAL_DER_FEV_2023!W1976=0,0,IF(GLOBAL_DER_FEV_2023!W1976&gt;0,"c","b"))</f>
        <v>0</v>
      </c>
    </row>
    <row r="1977" spans="1:25" ht="15" hidden="1" customHeight="1" x14ac:dyDescent="0.2">
      <c r="A1977" s="317" t="s">
        <v>147</v>
      </c>
      <c r="B1977" s="895" t="s">
        <v>147</v>
      </c>
      <c r="C1977" s="896"/>
      <c r="D1977" s="906" t="s">
        <v>190</v>
      </c>
      <c r="E1977" s="907">
        <f>GLOBAL_DER_FEV_2023!E1977</f>
        <v>308</v>
      </c>
      <c r="F1977" s="908">
        <f>GLOBAL_DER_FEV_2023!F1977</f>
        <v>3.2000000000000002E-3</v>
      </c>
      <c r="G1977" s="909">
        <f>GLOBAL_DER_FEV_2023!G1977</f>
        <v>0.79379200000000005</v>
      </c>
      <c r="H1977" s="901">
        <f>GLOBAL_DER_FEV_2023!H1977</f>
        <v>0</v>
      </c>
      <c r="I1977" s="901">
        <f>GLOBAL_DER_FEV_2023!I1977</f>
        <v>0</v>
      </c>
      <c r="J1977" s="902">
        <f>GLOBAL_DER_FEV_2023!J1977</f>
        <v>0</v>
      </c>
      <c r="K1977" s="903"/>
      <c r="L1977" s="1177"/>
      <c r="M1977" s="1138">
        <f t="shared" si="147"/>
        <v>0</v>
      </c>
      <c r="N1977" s="1176">
        <f t="shared" si="151"/>
        <v>0</v>
      </c>
      <c r="O1977" s="905"/>
      <c r="P1977" s="36" t="str">
        <f>IF(N1976&gt;0,"xx",IF(N1976&gt;0,"xy",""))</f>
        <v/>
      </c>
      <c r="Q1977" s="317" t="str">
        <f t="shared" si="148"/>
        <v/>
      </c>
      <c r="R1977" s="317" t="str">
        <f t="shared" si="149"/>
        <v/>
      </c>
      <c r="S1977" s="317" t="str">
        <f t="shared" si="150"/>
        <v/>
      </c>
      <c r="T1977" s="317" t="str">
        <f>GLOBAL_DER_FEV_2023!S1977</f>
        <v/>
      </c>
      <c r="W1977" s="582">
        <v>0</v>
      </c>
      <c r="X1977" s="580"/>
      <c r="Y1977" s="583">
        <f>IF(GLOBAL_DER_FEV_2023!W1977=0,0,IF(GLOBAL_DER_FEV_2023!W1977&gt;0,"c","b"))</f>
        <v>0</v>
      </c>
    </row>
    <row r="1978" spans="1:25" ht="15" hidden="1" customHeight="1" x14ac:dyDescent="0.2">
      <c r="A1978" s="317" t="s">
        <v>147</v>
      </c>
      <c r="B1978" s="895" t="s">
        <v>147</v>
      </c>
      <c r="C1978" s="896"/>
      <c r="D1978" s="906" t="s">
        <v>229</v>
      </c>
      <c r="E1978" s="907">
        <f>GLOBAL_DER_FEV_2023!E1978</f>
        <v>150</v>
      </c>
      <c r="F1978" s="908">
        <f>GLOBAL_DER_FEV_2023!F1978</f>
        <v>1.6799999999999999E-2</v>
      </c>
      <c r="G1978" s="949">
        <f>GLOBAL_DER_FEV_2023!G1978</f>
        <v>2.7414239999999999</v>
      </c>
      <c r="H1978" s="901">
        <f>GLOBAL_DER_FEV_2023!H1978</f>
        <v>0</v>
      </c>
      <c r="I1978" s="901">
        <f>GLOBAL_DER_FEV_2023!I1978</f>
        <v>0</v>
      </c>
      <c r="J1978" s="902">
        <f>GLOBAL_DER_FEV_2023!J1978</f>
        <v>0</v>
      </c>
      <c r="K1978" s="903"/>
      <c r="L1978" s="1177"/>
      <c r="M1978" s="1138">
        <f t="shared" si="147"/>
        <v>0</v>
      </c>
      <c r="N1978" s="1176">
        <f t="shared" si="151"/>
        <v>0</v>
      </c>
      <c r="O1978" s="905"/>
      <c r="P1978" s="36" t="str">
        <f>IF(N1976&gt;0,"xx",IF(N1976&gt;0,"xy",""))</f>
        <v/>
      </c>
      <c r="Q1978" s="317" t="str">
        <f t="shared" si="148"/>
        <v/>
      </c>
      <c r="R1978" s="317" t="str">
        <f t="shared" si="149"/>
        <v/>
      </c>
      <c r="S1978" s="317" t="str">
        <f t="shared" si="150"/>
        <v/>
      </c>
      <c r="T1978" s="317" t="str">
        <f>GLOBAL_DER_FEV_2023!S1978</f>
        <v/>
      </c>
      <c r="W1978" s="582">
        <v>0</v>
      </c>
      <c r="X1978" s="580"/>
      <c r="Y1978" s="583">
        <f>IF(GLOBAL_DER_FEV_2023!W1978=0,0,IF(GLOBAL_DER_FEV_2023!W1978&gt;0,"c","b"))</f>
        <v>0</v>
      </c>
    </row>
    <row r="1979" spans="1:25" ht="15" hidden="1" customHeight="1" x14ac:dyDescent="0.2">
      <c r="A1979" s="317" t="s">
        <v>147</v>
      </c>
      <c r="B1979" s="895" t="s">
        <v>147</v>
      </c>
      <c r="C1979" s="896"/>
      <c r="D1979" s="906" t="s">
        <v>336</v>
      </c>
      <c r="E1979" s="907">
        <f>GLOBAL_DER_FEV_2023!E1979</f>
        <v>40</v>
      </c>
      <c r="F1979" s="908">
        <f>GLOBAL_DER_FEV_2023!F1979</f>
        <v>0.67</v>
      </c>
      <c r="G1979" s="949">
        <f>GLOBAL_DER_FEV_2023!G1979</f>
        <v>30.471600000000006</v>
      </c>
      <c r="H1979" s="901">
        <f>GLOBAL_DER_FEV_2023!H1979</f>
        <v>0</v>
      </c>
      <c r="I1979" s="901">
        <f>GLOBAL_DER_FEV_2023!I1979</f>
        <v>0</v>
      </c>
      <c r="J1979" s="902">
        <f>GLOBAL_DER_FEV_2023!J1979</f>
        <v>0</v>
      </c>
      <c r="K1979" s="903"/>
      <c r="L1979" s="1177"/>
      <c r="M1979" s="1138">
        <f t="shared" si="147"/>
        <v>0</v>
      </c>
      <c r="N1979" s="1176">
        <f t="shared" si="151"/>
        <v>0</v>
      </c>
      <c r="O1979" s="905"/>
      <c r="P1979" s="36" t="str">
        <f>IF(N1976&gt;0,"xx",IF(N1976&gt;0,"xy",""))</f>
        <v/>
      </c>
      <c r="Q1979" s="317" t="str">
        <f t="shared" si="148"/>
        <v/>
      </c>
      <c r="R1979" s="317" t="str">
        <f t="shared" si="149"/>
        <v/>
      </c>
      <c r="S1979" s="317" t="str">
        <f t="shared" si="150"/>
        <v/>
      </c>
      <c r="T1979" s="317" t="str">
        <f>GLOBAL_DER_FEV_2023!S1979</f>
        <v/>
      </c>
      <c r="W1979" s="582">
        <v>0</v>
      </c>
      <c r="X1979" s="580"/>
      <c r="Y1979" s="583">
        <f>IF(GLOBAL_DER_FEV_2023!W1979=0,0,IF(GLOBAL_DER_FEV_2023!W1979&gt;0,"c","b"))</f>
        <v>0</v>
      </c>
    </row>
    <row r="1980" spans="1:25" ht="15" hidden="1" customHeight="1" x14ac:dyDescent="0.2">
      <c r="A1980" s="317">
        <v>611000</v>
      </c>
      <c r="B1980" s="895" t="s">
        <v>1842</v>
      </c>
      <c r="C1980" s="896" t="s">
        <v>184</v>
      </c>
      <c r="D1980" s="906" t="s">
        <v>2019</v>
      </c>
      <c r="E1980" s="907">
        <f>GLOBAL_DER_FEV_2023!E1980</f>
        <v>0</v>
      </c>
      <c r="F1980" s="908">
        <f>GLOBAL_DER_FEV_2023!F1980</f>
        <v>0</v>
      </c>
      <c r="G1980" s="912">
        <f>GLOBAL_DER_FEV_2023!G1980</f>
        <v>42.394820000000003</v>
      </c>
      <c r="H1980" s="901">
        <f>GLOBAL_DER_FEV_2023!H1980</f>
        <v>803.98</v>
      </c>
      <c r="I1980" s="901">
        <f>GLOBAL_DER_FEV_2023!I1980</f>
        <v>846.37482</v>
      </c>
      <c r="J1980" s="902">
        <f>GLOBAL_DER_FEV_2023!J1980</f>
        <v>1016.24</v>
      </c>
      <c r="K1980" s="903" t="s">
        <v>13</v>
      </c>
      <c r="L1980" s="1137"/>
      <c r="M1980" s="1138">
        <f t="shared" si="147"/>
        <v>0</v>
      </c>
      <c r="N1980" s="1176">
        <f t="shared" si="151"/>
        <v>0</v>
      </c>
      <c r="O1980" s="905"/>
      <c r="Q1980" s="317" t="str">
        <f t="shared" si="148"/>
        <v/>
      </c>
      <c r="R1980" s="317" t="str">
        <f t="shared" si="149"/>
        <v/>
      </c>
      <c r="S1980" s="317" t="str">
        <f t="shared" si="150"/>
        <v/>
      </c>
      <c r="T1980" s="317" t="str">
        <f>GLOBAL_DER_FEV_2023!S1980</f>
        <v/>
      </c>
      <c r="W1980" s="582">
        <v>0</v>
      </c>
      <c r="X1980" s="580"/>
      <c r="Y1980" s="583">
        <f>IF(GLOBAL_DER_FEV_2023!W1980=0,0,IF(GLOBAL_DER_FEV_2023!W1980&gt;0,"c","b"))</f>
        <v>0</v>
      </c>
    </row>
    <row r="1981" spans="1:25" ht="15" hidden="1" customHeight="1" x14ac:dyDescent="0.2">
      <c r="A1981" s="317" t="s">
        <v>147</v>
      </c>
      <c r="B1981" s="895" t="s">
        <v>147</v>
      </c>
      <c r="C1981" s="896"/>
      <c r="D1981" s="906" t="s">
        <v>190</v>
      </c>
      <c r="E1981" s="907">
        <f>GLOBAL_DER_FEV_2023!E1981</f>
        <v>308</v>
      </c>
      <c r="F1981" s="908">
        <f>GLOBAL_DER_FEV_2023!F1981</f>
        <v>4.0000000000000001E-3</v>
      </c>
      <c r="G1981" s="909">
        <f>GLOBAL_DER_FEV_2023!G1981</f>
        <v>0.99224000000000001</v>
      </c>
      <c r="H1981" s="901">
        <f>GLOBAL_DER_FEV_2023!H1981</f>
        <v>0</v>
      </c>
      <c r="I1981" s="901">
        <f>GLOBAL_DER_FEV_2023!I1981</f>
        <v>0</v>
      </c>
      <c r="J1981" s="902">
        <f>GLOBAL_DER_FEV_2023!J1981</f>
        <v>0</v>
      </c>
      <c r="K1981" s="903"/>
      <c r="L1981" s="1177"/>
      <c r="M1981" s="1138">
        <f t="shared" si="147"/>
        <v>0</v>
      </c>
      <c r="N1981" s="1176">
        <f t="shared" si="151"/>
        <v>0</v>
      </c>
      <c r="O1981" s="905"/>
      <c r="P1981" s="36" t="str">
        <f>IF(N1980&gt;0,"xx",IF(N1980&gt;0,"xy",""))</f>
        <v/>
      </c>
      <c r="Q1981" s="317" t="str">
        <f t="shared" si="148"/>
        <v/>
      </c>
      <c r="R1981" s="317" t="str">
        <f t="shared" si="149"/>
        <v/>
      </c>
      <c r="S1981" s="317" t="str">
        <f t="shared" si="150"/>
        <v/>
      </c>
      <c r="T1981" s="317" t="str">
        <f>GLOBAL_DER_FEV_2023!S1981</f>
        <v/>
      </c>
      <c r="W1981" s="582">
        <v>0</v>
      </c>
      <c r="X1981" s="580"/>
      <c r="Y1981" s="583">
        <f>IF(GLOBAL_DER_FEV_2023!W1981=0,0,IF(GLOBAL_DER_FEV_2023!W1981&gt;0,"c","b"))</f>
        <v>0</v>
      </c>
    </row>
    <row r="1982" spans="1:25" ht="15" hidden="1" customHeight="1" x14ac:dyDescent="0.2">
      <c r="A1982" s="317" t="s">
        <v>147</v>
      </c>
      <c r="B1982" s="895" t="s">
        <v>147</v>
      </c>
      <c r="C1982" s="896"/>
      <c r="D1982" s="906" t="s">
        <v>229</v>
      </c>
      <c r="E1982" s="907">
        <f>GLOBAL_DER_FEV_2023!E1982</f>
        <v>150</v>
      </c>
      <c r="F1982" s="908">
        <f>GLOBAL_DER_FEV_2023!F1982</f>
        <v>2.1000000000000001E-2</v>
      </c>
      <c r="G1982" s="949">
        <f>GLOBAL_DER_FEV_2023!G1982</f>
        <v>3.4267800000000004</v>
      </c>
      <c r="H1982" s="901">
        <f>GLOBAL_DER_FEV_2023!H1982</f>
        <v>0</v>
      </c>
      <c r="I1982" s="901">
        <f>GLOBAL_DER_FEV_2023!I1982</f>
        <v>0</v>
      </c>
      <c r="J1982" s="902">
        <f>GLOBAL_DER_FEV_2023!J1982</f>
        <v>0</v>
      </c>
      <c r="K1982" s="903"/>
      <c r="L1982" s="1177"/>
      <c r="M1982" s="1138">
        <f t="shared" si="147"/>
        <v>0</v>
      </c>
      <c r="N1982" s="1176">
        <f t="shared" si="151"/>
        <v>0</v>
      </c>
      <c r="O1982" s="905"/>
      <c r="P1982" s="36" t="str">
        <f>IF(N1980&gt;0,"xx",IF(N1980&gt;0,"xy",""))</f>
        <v/>
      </c>
      <c r="Q1982" s="317" t="str">
        <f t="shared" si="148"/>
        <v/>
      </c>
      <c r="R1982" s="317" t="str">
        <f t="shared" si="149"/>
        <v/>
      </c>
      <c r="S1982" s="317" t="str">
        <f t="shared" si="150"/>
        <v/>
      </c>
      <c r="T1982" s="317" t="str">
        <f>GLOBAL_DER_FEV_2023!S1982</f>
        <v/>
      </c>
      <c r="W1982" s="582">
        <v>0</v>
      </c>
      <c r="X1982" s="580"/>
      <c r="Y1982" s="583">
        <f>IF(GLOBAL_DER_FEV_2023!W1982=0,0,IF(GLOBAL_DER_FEV_2023!W1982&gt;0,"c","b"))</f>
        <v>0</v>
      </c>
    </row>
    <row r="1983" spans="1:25" ht="15" hidden="1" customHeight="1" x14ac:dyDescent="0.2">
      <c r="A1983" s="317" t="s">
        <v>147</v>
      </c>
      <c r="B1983" s="895" t="s">
        <v>147</v>
      </c>
      <c r="C1983" s="896"/>
      <c r="D1983" s="906" t="s">
        <v>336</v>
      </c>
      <c r="E1983" s="907">
        <f>GLOBAL_DER_FEV_2023!E1983</f>
        <v>40</v>
      </c>
      <c r="F1983" s="908">
        <f>GLOBAL_DER_FEV_2023!F1983</f>
        <v>0.83499999999999996</v>
      </c>
      <c r="G1983" s="949">
        <f>GLOBAL_DER_FEV_2023!G1983</f>
        <v>37.9758</v>
      </c>
      <c r="H1983" s="901">
        <f>GLOBAL_DER_FEV_2023!H1983</f>
        <v>0</v>
      </c>
      <c r="I1983" s="901">
        <f>GLOBAL_DER_FEV_2023!I1983</f>
        <v>0</v>
      </c>
      <c r="J1983" s="902">
        <f>GLOBAL_DER_FEV_2023!J1983</f>
        <v>0</v>
      </c>
      <c r="K1983" s="903"/>
      <c r="L1983" s="1177"/>
      <c r="M1983" s="1138">
        <f t="shared" si="147"/>
        <v>0</v>
      </c>
      <c r="N1983" s="1176">
        <f t="shared" si="151"/>
        <v>0</v>
      </c>
      <c r="O1983" s="905"/>
      <c r="P1983" s="36" t="str">
        <f>IF(N1980&gt;0,"xx",IF(N1980&gt;0,"xy",""))</f>
        <v/>
      </c>
      <c r="Q1983" s="317" t="str">
        <f t="shared" si="148"/>
        <v/>
      </c>
      <c r="R1983" s="317" t="str">
        <f t="shared" si="149"/>
        <v/>
      </c>
      <c r="S1983" s="317" t="str">
        <f t="shared" si="150"/>
        <v/>
      </c>
      <c r="T1983" s="317" t="str">
        <f>GLOBAL_DER_FEV_2023!S1983</f>
        <v/>
      </c>
      <c r="W1983" s="582">
        <v>0</v>
      </c>
      <c r="X1983" s="580"/>
      <c r="Y1983" s="583">
        <f>IF(GLOBAL_DER_FEV_2023!W1983=0,0,IF(GLOBAL_DER_FEV_2023!W1983&gt;0,"c","b"))</f>
        <v>0</v>
      </c>
    </row>
    <row r="1984" spans="1:25" ht="15" hidden="1" customHeight="1" x14ac:dyDescent="0.2">
      <c r="A1984" s="317">
        <v>611000</v>
      </c>
      <c r="B1984" s="895" t="s">
        <v>1843</v>
      </c>
      <c r="C1984" s="896" t="s">
        <v>184</v>
      </c>
      <c r="D1984" s="906" t="s">
        <v>2020</v>
      </c>
      <c r="E1984" s="907">
        <f>GLOBAL_DER_FEV_2023!E1984</f>
        <v>0</v>
      </c>
      <c r="F1984" s="908">
        <f>GLOBAL_DER_FEV_2023!F1984</f>
        <v>0</v>
      </c>
      <c r="G1984" s="912">
        <f>GLOBAL_DER_FEV_2023!G1984</f>
        <v>50.782824000000005</v>
      </c>
      <c r="H1984" s="901">
        <f>GLOBAL_DER_FEV_2023!H1984</f>
        <v>803.98</v>
      </c>
      <c r="I1984" s="901">
        <f>GLOBAL_DER_FEV_2023!I1984</f>
        <v>854.76282400000002</v>
      </c>
      <c r="J1984" s="902">
        <f>GLOBAL_DER_FEV_2023!J1984</f>
        <v>1026.31</v>
      </c>
      <c r="K1984" s="903" t="s">
        <v>13</v>
      </c>
      <c r="L1984" s="1137"/>
      <c r="M1984" s="1138">
        <f t="shared" si="147"/>
        <v>0</v>
      </c>
      <c r="N1984" s="1176">
        <f t="shared" si="151"/>
        <v>0</v>
      </c>
      <c r="O1984" s="905"/>
      <c r="Q1984" s="317" t="str">
        <f t="shared" si="148"/>
        <v/>
      </c>
      <c r="R1984" s="317" t="str">
        <f t="shared" si="149"/>
        <v/>
      </c>
      <c r="S1984" s="317" t="str">
        <f t="shared" si="150"/>
        <v/>
      </c>
      <c r="T1984" s="317" t="str">
        <f>GLOBAL_DER_FEV_2023!S1984</f>
        <v/>
      </c>
      <c r="W1984" s="582">
        <v>0</v>
      </c>
      <c r="X1984" s="580"/>
      <c r="Y1984" s="583">
        <f>IF(GLOBAL_DER_FEV_2023!W1984=0,0,IF(GLOBAL_DER_FEV_2023!W1984&gt;0,"c","b"))</f>
        <v>0</v>
      </c>
    </row>
    <row r="1985" spans="1:25" ht="15" hidden="1" customHeight="1" x14ac:dyDescent="0.2">
      <c r="A1985" s="317" t="s">
        <v>147</v>
      </c>
      <c r="B1985" s="895" t="s">
        <v>147</v>
      </c>
      <c r="C1985" s="896"/>
      <c r="D1985" s="906" t="s">
        <v>190</v>
      </c>
      <c r="E1985" s="907">
        <f>GLOBAL_DER_FEV_2023!E1985</f>
        <v>308</v>
      </c>
      <c r="F1985" s="908">
        <f>GLOBAL_DER_FEV_2023!F1985</f>
        <v>4.7999999999999996E-3</v>
      </c>
      <c r="G1985" s="909">
        <f>GLOBAL_DER_FEV_2023!G1985</f>
        <v>1.190688</v>
      </c>
      <c r="H1985" s="901">
        <f>GLOBAL_DER_FEV_2023!H1985</f>
        <v>0</v>
      </c>
      <c r="I1985" s="901">
        <f>GLOBAL_DER_FEV_2023!I1985</f>
        <v>0</v>
      </c>
      <c r="J1985" s="902">
        <f>GLOBAL_DER_FEV_2023!J1985</f>
        <v>0</v>
      </c>
      <c r="K1985" s="903"/>
      <c r="L1985" s="1177"/>
      <c r="M1985" s="1138">
        <f t="shared" si="147"/>
        <v>0</v>
      </c>
      <c r="N1985" s="1176">
        <f t="shared" si="151"/>
        <v>0</v>
      </c>
      <c r="O1985" s="905"/>
      <c r="P1985" s="36" t="str">
        <f>IF(N1984&gt;0,"xx",IF(N1984&gt;0,"xy",""))</f>
        <v/>
      </c>
      <c r="Q1985" s="317" t="str">
        <f t="shared" si="148"/>
        <v/>
      </c>
      <c r="R1985" s="317" t="str">
        <f t="shared" si="149"/>
        <v/>
      </c>
      <c r="S1985" s="317" t="str">
        <f t="shared" si="150"/>
        <v/>
      </c>
      <c r="T1985" s="317" t="str">
        <f>GLOBAL_DER_FEV_2023!S1985</f>
        <v/>
      </c>
      <c r="W1985" s="582">
        <v>0</v>
      </c>
      <c r="X1985" s="580"/>
      <c r="Y1985" s="583">
        <f>IF(GLOBAL_DER_FEV_2023!W1985=0,0,IF(GLOBAL_DER_FEV_2023!W1985&gt;0,"c","b"))</f>
        <v>0</v>
      </c>
    </row>
    <row r="1986" spans="1:25" ht="15" hidden="1" customHeight="1" x14ac:dyDescent="0.2">
      <c r="A1986" s="317" t="s">
        <v>147</v>
      </c>
      <c r="B1986" s="895" t="s">
        <v>147</v>
      </c>
      <c r="C1986" s="896"/>
      <c r="D1986" s="906" t="s">
        <v>229</v>
      </c>
      <c r="E1986" s="907">
        <f>GLOBAL_DER_FEV_2023!E1986</f>
        <v>150</v>
      </c>
      <c r="F1986" s="908">
        <f>GLOBAL_DER_FEV_2023!F1986</f>
        <v>2.52E-2</v>
      </c>
      <c r="G1986" s="949">
        <f>GLOBAL_DER_FEV_2023!G1986</f>
        <v>4.1121360000000005</v>
      </c>
      <c r="H1986" s="901">
        <f>GLOBAL_DER_FEV_2023!H1986</f>
        <v>0</v>
      </c>
      <c r="I1986" s="901">
        <f>GLOBAL_DER_FEV_2023!I1986</f>
        <v>0</v>
      </c>
      <c r="J1986" s="902">
        <f>GLOBAL_DER_FEV_2023!J1986</f>
        <v>0</v>
      </c>
      <c r="K1986" s="903"/>
      <c r="L1986" s="1177"/>
      <c r="M1986" s="1138">
        <f t="shared" si="147"/>
        <v>0</v>
      </c>
      <c r="N1986" s="1176">
        <f t="shared" si="151"/>
        <v>0</v>
      </c>
      <c r="O1986" s="905"/>
      <c r="P1986" s="36" t="str">
        <f>IF(N1984&gt;0,"xx",IF(N1984&gt;0,"xy",""))</f>
        <v/>
      </c>
      <c r="Q1986" s="317" t="str">
        <f t="shared" si="148"/>
        <v/>
      </c>
      <c r="R1986" s="317" t="str">
        <f t="shared" si="149"/>
        <v/>
      </c>
      <c r="S1986" s="317" t="str">
        <f t="shared" si="150"/>
        <v/>
      </c>
      <c r="T1986" s="317" t="str">
        <f>GLOBAL_DER_FEV_2023!S1986</f>
        <v/>
      </c>
      <c r="W1986" s="582">
        <v>0</v>
      </c>
      <c r="X1986" s="580"/>
      <c r="Y1986" s="583">
        <f>IF(GLOBAL_DER_FEV_2023!W1986=0,0,IF(GLOBAL_DER_FEV_2023!W1986&gt;0,"c","b"))</f>
        <v>0</v>
      </c>
    </row>
    <row r="1987" spans="1:25" ht="15" hidden="1" customHeight="1" x14ac:dyDescent="0.2">
      <c r="A1987" s="317" t="s">
        <v>147</v>
      </c>
      <c r="B1987" s="895" t="s">
        <v>147</v>
      </c>
      <c r="C1987" s="896"/>
      <c r="D1987" s="906" t="s">
        <v>336</v>
      </c>
      <c r="E1987" s="907">
        <f>GLOBAL_DER_FEV_2023!E1987</f>
        <v>40</v>
      </c>
      <c r="F1987" s="908">
        <f>GLOBAL_DER_FEV_2023!F1987</f>
        <v>1</v>
      </c>
      <c r="G1987" s="949">
        <f>GLOBAL_DER_FEV_2023!G1987</f>
        <v>45.480000000000004</v>
      </c>
      <c r="H1987" s="901">
        <f>GLOBAL_DER_FEV_2023!H1987</f>
        <v>0</v>
      </c>
      <c r="I1987" s="901">
        <f>GLOBAL_DER_FEV_2023!I1987</f>
        <v>0</v>
      </c>
      <c r="J1987" s="902">
        <f>GLOBAL_DER_FEV_2023!J1987</f>
        <v>0</v>
      </c>
      <c r="K1987" s="903"/>
      <c r="L1987" s="1177"/>
      <c r="M1987" s="1138">
        <f t="shared" si="147"/>
        <v>0</v>
      </c>
      <c r="N1987" s="1176">
        <f t="shared" si="151"/>
        <v>0</v>
      </c>
      <c r="O1987" s="905"/>
      <c r="P1987" s="36" t="str">
        <f>IF(N1984&gt;0,"xx",IF(N1984&gt;0,"xy",""))</f>
        <v/>
      </c>
      <c r="Q1987" s="317" t="str">
        <f t="shared" si="148"/>
        <v/>
      </c>
      <c r="R1987" s="317" t="str">
        <f t="shared" si="149"/>
        <v/>
      </c>
      <c r="S1987" s="317" t="str">
        <f t="shared" si="150"/>
        <v/>
      </c>
      <c r="T1987" s="317" t="str">
        <f>GLOBAL_DER_FEV_2023!S1987</f>
        <v/>
      </c>
      <c r="W1987" s="582">
        <v>0</v>
      </c>
      <c r="X1987" s="580"/>
      <c r="Y1987" s="583">
        <f>IF(GLOBAL_DER_FEV_2023!W1987=0,0,IF(GLOBAL_DER_FEV_2023!W1987&gt;0,"c","b"))</f>
        <v>0</v>
      </c>
    </row>
    <row r="1988" spans="1:25" ht="15" hidden="1" customHeight="1" x14ac:dyDescent="0.2">
      <c r="A1988" s="317">
        <v>611200</v>
      </c>
      <c r="B1988" s="895" t="s">
        <v>1846</v>
      </c>
      <c r="C1988" s="896" t="s">
        <v>184</v>
      </c>
      <c r="D1988" s="906" t="s">
        <v>2021</v>
      </c>
      <c r="E1988" s="907">
        <f>GLOBAL_DER_FEV_2023!E1988</f>
        <v>0</v>
      </c>
      <c r="F1988" s="908">
        <f>GLOBAL_DER_FEV_2023!F1988</f>
        <v>0</v>
      </c>
      <c r="G1988" s="912">
        <f>GLOBAL_DER_FEV_2023!G1988</f>
        <v>72.586438000000001</v>
      </c>
      <c r="H1988" s="901">
        <f>GLOBAL_DER_FEV_2023!H1988</f>
        <v>1026.27</v>
      </c>
      <c r="I1988" s="901">
        <f>GLOBAL_DER_FEV_2023!I1988</f>
        <v>1098.856438</v>
      </c>
      <c r="J1988" s="902">
        <f>GLOBAL_DER_FEV_2023!J1988</f>
        <v>1319.4</v>
      </c>
      <c r="K1988" s="903" t="s">
        <v>13</v>
      </c>
      <c r="L1988" s="1137"/>
      <c r="M1988" s="1138">
        <f t="shared" si="147"/>
        <v>0</v>
      </c>
      <c r="N1988" s="1176">
        <f t="shared" si="151"/>
        <v>0</v>
      </c>
      <c r="O1988" s="905"/>
      <c r="Q1988" s="317" t="str">
        <f t="shared" si="148"/>
        <v/>
      </c>
      <c r="R1988" s="317" t="str">
        <f t="shared" si="149"/>
        <v/>
      </c>
      <c r="S1988" s="317" t="str">
        <f t="shared" si="150"/>
        <v/>
      </c>
      <c r="T1988" s="317" t="str">
        <f>GLOBAL_DER_FEV_2023!S1988</f>
        <v/>
      </c>
      <c r="W1988" s="582">
        <v>0</v>
      </c>
      <c r="X1988" s="580"/>
      <c r="Y1988" s="583">
        <f>IF(GLOBAL_DER_FEV_2023!W1988=0,0,IF(GLOBAL_DER_FEV_2023!W1988&gt;0,"c","b"))</f>
        <v>0</v>
      </c>
    </row>
    <row r="1989" spans="1:25" ht="15" hidden="1" customHeight="1" x14ac:dyDescent="0.2">
      <c r="A1989" s="317" t="s">
        <v>147</v>
      </c>
      <c r="B1989" s="895" t="s">
        <v>147</v>
      </c>
      <c r="C1989" s="896"/>
      <c r="D1989" s="906" t="s">
        <v>190</v>
      </c>
      <c r="E1989" s="907">
        <f>GLOBAL_DER_FEV_2023!E1989</f>
        <v>308</v>
      </c>
      <c r="F1989" s="908">
        <f>GLOBAL_DER_FEV_2023!F1989</f>
        <v>6.4999999999999997E-3</v>
      </c>
      <c r="G1989" s="909">
        <f>GLOBAL_DER_FEV_2023!G1989</f>
        <v>1.61239</v>
      </c>
      <c r="H1989" s="901">
        <f>GLOBAL_DER_FEV_2023!H1989</f>
        <v>0</v>
      </c>
      <c r="I1989" s="901">
        <f>GLOBAL_DER_FEV_2023!I1989</f>
        <v>0</v>
      </c>
      <c r="J1989" s="902">
        <f>GLOBAL_DER_FEV_2023!J1989</f>
        <v>0</v>
      </c>
      <c r="K1989" s="903"/>
      <c r="L1989" s="1177"/>
      <c r="M1989" s="1138">
        <f t="shared" si="147"/>
        <v>0</v>
      </c>
      <c r="N1989" s="1176">
        <f t="shared" si="151"/>
        <v>0</v>
      </c>
      <c r="O1989" s="905"/>
      <c r="P1989" s="36" t="str">
        <f>IF(N1988&gt;0,"xx",IF(N1988&gt;0,"xy",""))</f>
        <v/>
      </c>
      <c r="Q1989" s="317" t="str">
        <f t="shared" si="148"/>
        <v/>
      </c>
      <c r="R1989" s="317" t="str">
        <f t="shared" si="149"/>
        <v/>
      </c>
      <c r="S1989" s="317" t="str">
        <f t="shared" si="150"/>
        <v/>
      </c>
      <c r="T1989" s="317" t="str">
        <f>GLOBAL_DER_FEV_2023!S1989</f>
        <v/>
      </c>
      <c r="W1989" s="582">
        <v>0</v>
      </c>
      <c r="X1989" s="580"/>
      <c r="Y1989" s="583">
        <f>IF(GLOBAL_DER_FEV_2023!W1989=0,0,IF(GLOBAL_DER_FEV_2023!W1989&gt;0,"c","b"))</f>
        <v>0</v>
      </c>
    </row>
    <row r="1990" spans="1:25" ht="15" hidden="1" customHeight="1" x14ac:dyDescent="0.2">
      <c r="A1990" s="317" t="s">
        <v>147</v>
      </c>
      <c r="B1990" s="895" t="s">
        <v>147</v>
      </c>
      <c r="C1990" s="896"/>
      <c r="D1990" s="906" t="s">
        <v>229</v>
      </c>
      <c r="E1990" s="907">
        <f>GLOBAL_DER_FEV_2023!E1990</f>
        <v>150</v>
      </c>
      <c r="F1990" s="908">
        <f>GLOBAL_DER_FEV_2023!F1990</f>
        <v>3.3599999999999998E-2</v>
      </c>
      <c r="G1990" s="949">
        <f>GLOBAL_DER_FEV_2023!G1990</f>
        <v>5.4828479999999997</v>
      </c>
      <c r="H1990" s="901">
        <f>GLOBAL_DER_FEV_2023!H1990</f>
        <v>0</v>
      </c>
      <c r="I1990" s="901">
        <f>GLOBAL_DER_FEV_2023!I1990</f>
        <v>0</v>
      </c>
      <c r="J1990" s="902">
        <f>GLOBAL_DER_FEV_2023!J1990</f>
        <v>0</v>
      </c>
      <c r="K1990" s="903"/>
      <c r="L1990" s="1177"/>
      <c r="M1990" s="1138">
        <f t="shared" si="147"/>
        <v>0</v>
      </c>
      <c r="N1990" s="1176">
        <f t="shared" si="151"/>
        <v>0</v>
      </c>
      <c r="O1990" s="905"/>
      <c r="P1990" s="36" t="str">
        <f>IF(N1988&gt;0,"xx",IF(N1988&gt;0,"xy",""))</f>
        <v/>
      </c>
      <c r="Q1990" s="317" t="str">
        <f t="shared" si="148"/>
        <v/>
      </c>
      <c r="R1990" s="317" t="str">
        <f t="shared" si="149"/>
        <v/>
      </c>
      <c r="S1990" s="317" t="str">
        <f t="shared" si="150"/>
        <v/>
      </c>
      <c r="T1990" s="317" t="str">
        <f>GLOBAL_DER_FEV_2023!S1990</f>
        <v/>
      </c>
      <c r="W1990" s="582">
        <v>0</v>
      </c>
      <c r="X1990" s="580"/>
      <c r="Y1990" s="583">
        <f>IF(GLOBAL_DER_FEV_2023!W1990=0,0,IF(GLOBAL_DER_FEV_2023!W1990&gt;0,"c","b"))</f>
        <v>0</v>
      </c>
    </row>
    <row r="1991" spans="1:25" ht="15" hidden="1" customHeight="1" x14ac:dyDescent="0.2">
      <c r="A1991" s="317" t="s">
        <v>147</v>
      </c>
      <c r="B1991" s="895" t="s">
        <v>147</v>
      </c>
      <c r="C1991" s="896"/>
      <c r="D1991" s="906" t="s">
        <v>336</v>
      </c>
      <c r="E1991" s="907">
        <f>GLOBAL_DER_FEV_2023!E1991</f>
        <v>40</v>
      </c>
      <c r="F1991" s="908">
        <f>GLOBAL_DER_FEV_2023!F1991</f>
        <v>1.44</v>
      </c>
      <c r="G1991" s="949">
        <f>GLOBAL_DER_FEV_2023!G1991</f>
        <v>65.491200000000006</v>
      </c>
      <c r="H1991" s="901">
        <f>GLOBAL_DER_FEV_2023!H1991</f>
        <v>0</v>
      </c>
      <c r="I1991" s="901">
        <f>GLOBAL_DER_FEV_2023!I1991</f>
        <v>0</v>
      </c>
      <c r="J1991" s="902">
        <f>GLOBAL_DER_FEV_2023!J1991</f>
        <v>0</v>
      </c>
      <c r="K1991" s="903"/>
      <c r="L1991" s="1177"/>
      <c r="M1991" s="1138">
        <f t="shared" si="147"/>
        <v>0</v>
      </c>
      <c r="N1991" s="1176">
        <f t="shared" si="151"/>
        <v>0</v>
      </c>
      <c r="O1991" s="905"/>
      <c r="P1991" s="36" t="str">
        <f>IF(N1988&gt;0,"xx",IF(N1988&gt;0,"xy",""))</f>
        <v/>
      </c>
      <c r="Q1991" s="317" t="str">
        <f t="shared" si="148"/>
        <v/>
      </c>
      <c r="R1991" s="317" t="str">
        <f t="shared" si="149"/>
        <v/>
      </c>
      <c r="S1991" s="317" t="str">
        <f t="shared" si="150"/>
        <v/>
      </c>
      <c r="T1991" s="317" t="str">
        <f>GLOBAL_DER_FEV_2023!S1991</f>
        <v/>
      </c>
      <c r="W1991" s="582">
        <v>0</v>
      </c>
      <c r="X1991" s="580"/>
      <c r="Y1991" s="583">
        <f>IF(GLOBAL_DER_FEV_2023!W1991=0,0,IF(GLOBAL_DER_FEV_2023!W1991&gt;0,"c","b"))</f>
        <v>0</v>
      </c>
    </row>
    <row r="1992" spans="1:25" ht="15" hidden="1" customHeight="1" x14ac:dyDescent="0.2">
      <c r="A1992" s="317">
        <v>611400</v>
      </c>
      <c r="B1992" s="895" t="s">
        <v>1848</v>
      </c>
      <c r="C1992" s="896" t="s">
        <v>184</v>
      </c>
      <c r="D1992" s="906" t="s">
        <v>2022</v>
      </c>
      <c r="E1992" s="907">
        <f>GLOBAL_DER_FEV_2023!E1992</f>
        <v>0</v>
      </c>
      <c r="F1992" s="908">
        <f>GLOBAL_DER_FEV_2023!F1992</f>
        <v>0</v>
      </c>
      <c r="G1992" s="912">
        <f>GLOBAL_DER_FEV_2023!G1992</f>
        <v>83.904846000000006</v>
      </c>
      <c r="H1992" s="901">
        <f>GLOBAL_DER_FEV_2023!H1992</f>
        <v>1267.57</v>
      </c>
      <c r="I1992" s="901">
        <f>GLOBAL_DER_FEV_2023!I1992</f>
        <v>1351.4748459999998</v>
      </c>
      <c r="J1992" s="902">
        <f>GLOBAL_DER_FEV_2023!J1992</f>
        <v>1622.72</v>
      </c>
      <c r="K1992" s="903" t="s">
        <v>13</v>
      </c>
      <c r="L1992" s="1137"/>
      <c r="M1992" s="1138">
        <f t="shared" si="147"/>
        <v>0</v>
      </c>
      <c r="N1992" s="1176">
        <f t="shared" si="151"/>
        <v>0</v>
      </c>
      <c r="O1992" s="905"/>
      <c r="Q1992" s="317" t="str">
        <f t="shared" si="148"/>
        <v/>
      </c>
      <c r="R1992" s="317" t="str">
        <f t="shared" si="149"/>
        <v/>
      </c>
      <c r="S1992" s="317" t="str">
        <f t="shared" si="150"/>
        <v/>
      </c>
      <c r="T1992" s="317" t="str">
        <f>GLOBAL_DER_FEV_2023!S1992</f>
        <v/>
      </c>
      <c r="W1992" s="582">
        <v>0</v>
      </c>
      <c r="X1992" s="580"/>
      <c r="Y1992" s="583">
        <f>IF(GLOBAL_DER_FEV_2023!W1992=0,0,IF(GLOBAL_DER_FEV_2023!W1992&gt;0,"c","b"))</f>
        <v>0</v>
      </c>
    </row>
    <row r="1993" spans="1:25" ht="15" hidden="1" customHeight="1" x14ac:dyDescent="0.2">
      <c r="A1993" s="317" t="s">
        <v>147</v>
      </c>
      <c r="B1993" s="895" t="s">
        <v>147</v>
      </c>
      <c r="C1993" s="896"/>
      <c r="D1993" s="906" t="s">
        <v>190</v>
      </c>
      <c r="E1993" s="907">
        <f>GLOBAL_DER_FEV_2023!E1993</f>
        <v>308</v>
      </c>
      <c r="F1993" s="908">
        <f>GLOBAL_DER_FEV_2023!F1993</f>
        <v>8.0999999999999996E-3</v>
      </c>
      <c r="G1993" s="909">
        <f>GLOBAL_DER_FEV_2023!G1993</f>
        <v>2.0092859999999999</v>
      </c>
      <c r="H1993" s="901">
        <f>GLOBAL_DER_FEV_2023!H1993</f>
        <v>0</v>
      </c>
      <c r="I1993" s="901">
        <f>GLOBAL_DER_FEV_2023!I1993</f>
        <v>0</v>
      </c>
      <c r="J1993" s="902">
        <f>GLOBAL_DER_FEV_2023!J1993</f>
        <v>0</v>
      </c>
      <c r="K1993" s="903"/>
      <c r="L1993" s="1177"/>
      <c r="M1993" s="1138">
        <f t="shared" si="147"/>
        <v>0</v>
      </c>
      <c r="N1993" s="1176">
        <f t="shared" si="151"/>
        <v>0</v>
      </c>
      <c r="O1993" s="905"/>
      <c r="P1993" s="36" t="str">
        <f>IF(N1992&gt;0,"xx",IF(N1992&gt;0,"xy",""))</f>
        <v/>
      </c>
      <c r="Q1993" s="317" t="str">
        <f t="shared" si="148"/>
        <v/>
      </c>
      <c r="R1993" s="317" t="str">
        <f t="shared" si="149"/>
        <v/>
      </c>
      <c r="S1993" s="317" t="str">
        <f t="shared" si="150"/>
        <v/>
      </c>
      <c r="T1993" s="317" t="str">
        <f>GLOBAL_DER_FEV_2023!S1993</f>
        <v/>
      </c>
      <c r="W1993" s="582">
        <v>0</v>
      </c>
      <c r="X1993" s="580"/>
      <c r="Y1993" s="583">
        <f>IF(GLOBAL_DER_FEV_2023!W1993=0,0,IF(GLOBAL_DER_FEV_2023!W1993&gt;0,"c","b"))</f>
        <v>0</v>
      </c>
    </row>
    <row r="1994" spans="1:25" ht="15" hidden="1" customHeight="1" x14ac:dyDescent="0.2">
      <c r="A1994" s="317" t="s">
        <v>147</v>
      </c>
      <c r="B1994" s="895" t="s">
        <v>147</v>
      </c>
      <c r="C1994" s="896"/>
      <c r="D1994" s="906" t="s">
        <v>229</v>
      </c>
      <c r="E1994" s="907">
        <f>GLOBAL_DER_FEV_2023!E1994</f>
        <v>150</v>
      </c>
      <c r="F1994" s="908">
        <f>GLOBAL_DER_FEV_2023!F1994</f>
        <v>4.2000000000000003E-2</v>
      </c>
      <c r="G1994" s="949">
        <f>GLOBAL_DER_FEV_2023!G1994</f>
        <v>6.8535600000000008</v>
      </c>
      <c r="H1994" s="901">
        <f>GLOBAL_DER_FEV_2023!H1994</f>
        <v>0</v>
      </c>
      <c r="I1994" s="901">
        <f>GLOBAL_DER_FEV_2023!I1994</f>
        <v>0</v>
      </c>
      <c r="J1994" s="902">
        <f>GLOBAL_DER_FEV_2023!J1994</f>
        <v>0</v>
      </c>
      <c r="K1994" s="903"/>
      <c r="L1994" s="1177"/>
      <c r="M1994" s="1138">
        <f t="shared" si="147"/>
        <v>0</v>
      </c>
      <c r="N1994" s="1176">
        <f t="shared" si="151"/>
        <v>0</v>
      </c>
      <c r="O1994" s="905"/>
      <c r="P1994" s="36" t="str">
        <f>IF(N1992&gt;0,"xx",IF(N1992&gt;0,"xy",""))</f>
        <v/>
      </c>
      <c r="Q1994" s="317" t="str">
        <f t="shared" si="148"/>
        <v/>
      </c>
      <c r="R1994" s="317" t="str">
        <f t="shared" si="149"/>
        <v/>
      </c>
      <c r="S1994" s="317" t="str">
        <f t="shared" si="150"/>
        <v/>
      </c>
      <c r="T1994" s="317" t="str">
        <f>GLOBAL_DER_FEV_2023!S1994</f>
        <v/>
      </c>
      <c r="W1994" s="582">
        <v>0</v>
      </c>
      <c r="X1994" s="580"/>
      <c r="Y1994" s="583">
        <f>IF(GLOBAL_DER_FEV_2023!W1994=0,0,IF(GLOBAL_DER_FEV_2023!W1994&gt;0,"c","b"))</f>
        <v>0</v>
      </c>
    </row>
    <row r="1995" spans="1:25" ht="15" hidden="1" customHeight="1" x14ac:dyDescent="0.2">
      <c r="A1995" s="317" t="s">
        <v>147</v>
      </c>
      <c r="B1995" s="895" t="s">
        <v>147</v>
      </c>
      <c r="C1995" s="896"/>
      <c r="D1995" s="906" t="s">
        <v>336</v>
      </c>
      <c r="E1995" s="907">
        <f>GLOBAL_DER_FEV_2023!E1995</f>
        <v>40</v>
      </c>
      <c r="F1995" s="908">
        <f>GLOBAL_DER_FEV_2023!F1995</f>
        <v>1.65</v>
      </c>
      <c r="G1995" s="949">
        <f>GLOBAL_DER_FEV_2023!G1995</f>
        <v>75.042000000000002</v>
      </c>
      <c r="H1995" s="901">
        <f>GLOBAL_DER_FEV_2023!H1995</f>
        <v>0</v>
      </c>
      <c r="I1995" s="901">
        <f>GLOBAL_DER_FEV_2023!I1995</f>
        <v>0</v>
      </c>
      <c r="J1995" s="902">
        <f>GLOBAL_DER_FEV_2023!J1995</f>
        <v>0</v>
      </c>
      <c r="K1995" s="903"/>
      <c r="L1995" s="1177"/>
      <c r="M1995" s="1138">
        <f t="shared" si="147"/>
        <v>0</v>
      </c>
      <c r="N1995" s="1176">
        <f t="shared" si="151"/>
        <v>0</v>
      </c>
      <c r="O1995" s="905"/>
      <c r="P1995" s="36" t="str">
        <f>IF(N1992&gt;0,"xx",IF(N1992&gt;0,"xy",""))</f>
        <v/>
      </c>
      <c r="Q1995" s="317" t="str">
        <f t="shared" si="148"/>
        <v/>
      </c>
      <c r="R1995" s="317" t="str">
        <f t="shared" si="149"/>
        <v/>
      </c>
      <c r="S1995" s="317" t="str">
        <f t="shared" si="150"/>
        <v/>
      </c>
      <c r="T1995" s="317" t="str">
        <f>GLOBAL_DER_FEV_2023!S1995</f>
        <v/>
      </c>
      <c r="W1995" s="582">
        <v>0</v>
      </c>
      <c r="X1995" s="580"/>
      <c r="Y1995" s="583">
        <f>IF(GLOBAL_DER_FEV_2023!W1995=0,0,IF(GLOBAL_DER_FEV_2023!W1995&gt;0,"c","b"))</f>
        <v>0</v>
      </c>
    </row>
    <row r="1996" spans="1:25" ht="15" hidden="1" customHeight="1" x14ac:dyDescent="0.2">
      <c r="A1996" s="317">
        <v>611400</v>
      </c>
      <c r="B1996" s="895" t="s">
        <v>1849</v>
      </c>
      <c r="C1996" s="896" t="s">
        <v>184</v>
      </c>
      <c r="D1996" s="906" t="s">
        <v>2023</v>
      </c>
      <c r="E1996" s="907">
        <f>GLOBAL_DER_FEV_2023!E1996</f>
        <v>0</v>
      </c>
      <c r="F1996" s="908">
        <f>GLOBAL_DER_FEV_2023!F1996</f>
        <v>0</v>
      </c>
      <c r="G1996" s="912">
        <f>GLOBAL_DER_FEV_2023!G1996</f>
        <v>101.90895</v>
      </c>
      <c r="H1996" s="901">
        <f>GLOBAL_DER_FEV_2023!H1996</f>
        <v>1267.57</v>
      </c>
      <c r="I1996" s="901">
        <f>GLOBAL_DER_FEV_2023!I1996</f>
        <v>1369.4789499999999</v>
      </c>
      <c r="J1996" s="902">
        <f>GLOBAL_DER_FEV_2023!J1996</f>
        <v>1644.33</v>
      </c>
      <c r="K1996" s="903" t="s">
        <v>13</v>
      </c>
      <c r="L1996" s="1137"/>
      <c r="M1996" s="1138">
        <f t="shared" si="147"/>
        <v>0</v>
      </c>
      <c r="N1996" s="1176">
        <f t="shared" si="151"/>
        <v>0</v>
      </c>
      <c r="O1996" s="905"/>
      <c r="Q1996" s="317" t="str">
        <f t="shared" si="148"/>
        <v/>
      </c>
      <c r="R1996" s="317" t="str">
        <f t="shared" si="149"/>
        <v/>
      </c>
      <c r="S1996" s="317" t="str">
        <f t="shared" si="150"/>
        <v/>
      </c>
      <c r="T1996" s="317" t="str">
        <f>GLOBAL_DER_FEV_2023!S1996</f>
        <v/>
      </c>
      <c r="W1996" s="582">
        <v>0</v>
      </c>
      <c r="X1996" s="580"/>
      <c r="Y1996" s="583">
        <f>IF(GLOBAL_DER_FEV_2023!W1996=0,0,IF(GLOBAL_DER_FEV_2023!W1996&gt;0,"c","b"))</f>
        <v>0</v>
      </c>
    </row>
    <row r="1997" spans="1:25" ht="15" hidden="1" customHeight="1" x14ac:dyDescent="0.2">
      <c r="A1997" s="317" t="s">
        <v>147</v>
      </c>
      <c r="B1997" s="895" t="s">
        <v>147</v>
      </c>
      <c r="C1997" s="896"/>
      <c r="D1997" s="906" t="s">
        <v>190</v>
      </c>
      <c r="E1997" s="907">
        <f>GLOBAL_DER_FEV_2023!E1997</f>
        <v>308</v>
      </c>
      <c r="F1997" s="908">
        <f>GLOBAL_DER_FEV_2023!F1997</f>
        <v>9.1999999999999998E-3</v>
      </c>
      <c r="G1997" s="909">
        <f>GLOBAL_DER_FEV_2023!G1997</f>
        <v>2.282152</v>
      </c>
      <c r="H1997" s="901">
        <f>GLOBAL_DER_FEV_2023!H1997</f>
        <v>0</v>
      </c>
      <c r="I1997" s="901">
        <f>GLOBAL_DER_FEV_2023!I1997</f>
        <v>0</v>
      </c>
      <c r="J1997" s="902">
        <f>GLOBAL_DER_FEV_2023!J1997</f>
        <v>0</v>
      </c>
      <c r="K1997" s="903"/>
      <c r="L1997" s="1177"/>
      <c r="M1997" s="1138">
        <f t="shared" si="147"/>
        <v>0</v>
      </c>
      <c r="N1997" s="1176">
        <f t="shared" si="151"/>
        <v>0</v>
      </c>
      <c r="O1997" s="905"/>
      <c r="P1997" s="36" t="str">
        <f>IF(N1996&gt;0,"xx",IF(N1996&gt;0,"xy",""))</f>
        <v/>
      </c>
      <c r="Q1997" s="317" t="str">
        <f t="shared" si="148"/>
        <v/>
      </c>
      <c r="R1997" s="317" t="str">
        <f t="shared" si="149"/>
        <v/>
      </c>
      <c r="S1997" s="317" t="str">
        <f t="shared" si="150"/>
        <v/>
      </c>
      <c r="T1997" s="317" t="str">
        <f>GLOBAL_DER_FEV_2023!S1997</f>
        <v/>
      </c>
      <c r="W1997" s="582">
        <v>0</v>
      </c>
      <c r="X1997" s="580"/>
      <c r="Y1997" s="583">
        <f>IF(GLOBAL_DER_FEV_2023!W1997=0,0,IF(GLOBAL_DER_FEV_2023!W1997&gt;0,"c","b"))</f>
        <v>0</v>
      </c>
    </row>
    <row r="1998" spans="1:25" ht="15" hidden="1" customHeight="1" x14ac:dyDescent="0.2">
      <c r="A1998" s="317" t="s">
        <v>147</v>
      </c>
      <c r="B1998" s="895" t="s">
        <v>147</v>
      </c>
      <c r="C1998" s="896"/>
      <c r="D1998" s="906" t="s">
        <v>229</v>
      </c>
      <c r="E1998" s="907">
        <f>GLOBAL_DER_FEV_2023!E1998</f>
        <v>150</v>
      </c>
      <c r="F1998" s="908">
        <f>GLOBAL_DER_FEV_2023!F1998</f>
        <v>4.7899999999999998E-2</v>
      </c>
      <c r="G1998" s="949">
        <f>GLOBAL_DER_FEV_2023!G1998</f>
        <v>7.8163220000000004</v>
      </c>
      <c r="H1998" s="901">
        <f>GLOBAL_DER_FEV_2023!H1998</f>
        <v>0</v>
      </c>
      <c r="I1998" s="901">
        <f>GLOBAL_DER_FEV_2023!I1998</f>
        <v>0</v>
      </c>
      <c r="J1998" s="902">
        <f>GLOBAL_DER_FEV_2023!J1998</f>
        <v>0</v>
      </c>
      <c r="K1998" s="903"/>
      <c r="L1998" s="1177"/>
      <c r="M1998" s="1138">
        <f t="shared" si="147"/>
        <v>0</v>
      </c>
      <c r="N1998" s="1176">
        <f t="shared" si="151"/>
        <v>0</v>
      </c>
      <c r="O1998" s="905"/>
      <c r="P1998" s="36" t="str">
        <f>IF(N1996&gt;0,"xx",IF(N1996&gt;0,"xy",""))</f>
        <v/>
      </c>
      <c r="Q1998" s="317" t="str">
        <f t="shared" si="148"/>
        <v/>
      </c>
      <c r="R1998" s="317" t="str">
        <f t="shared" si="149"/>
        <v/>
      </c>
      <c r="S1998" s="317" t="str">
        <f t="shared" si="150"/>
        <v/>
      </c>
      <c r="T1998" s="317" t="str">
        <f>GLOBAL_DER_FEV_2023!S1998</f>
        <v/>
      </c>
      <c r="W1998" s="582">
        <v>0</v>
      </c>
      <c r="X1998" s="580"/>
      <c r="Y1998" s="583">
        <f>IF(GLOBAL_DER_FEV_2023!W1998=0,0,IF(GLOBAL_DER_FEV_2023!W1998&gt;0,"c","b"))</f>
        <v>0</v>
      </c>
    </row>
    <row r="1999" spans="1:25" ht="15" hidden="1" customHeight="1" x14ac:dyDescent="0.2">
      <c r="A1999" s="317" t="s">
        <v>147</v>
      </c>
      <c r="B1999" s="895" t="s">
        <v>147</v>
      </c>
      <c r="C1999" s="896"/>
      <c r="D1999" s="906" t="s">
        <v>336</v>
      </c>
      <c r="E1999" s="907">
        <f>GLOBAL_DER_FEV_2023!E1999</f>
        <v>40</v>
      </c>
      <c r="F1999" s="908">
        <f>GLOBAL_DER_FEV_2023!F1999</f>
        <v>2.0186999999999999</v>
      </c>
      <c r="G1999" s="949">
        <f>GLOBAL_DER_FEV_2023!G1999</f>
        <v>91.810476000000008</v>
      </c>
      <c r="H1999" s="901">
        <f>GLOBAL_DER_FEV_2023!H1999</f>
        <v>0</v>
      </c>
      <c r="I1999" s="901">
        <f>GLOBAL_DER_FEV_2023!I1999</f>
        <v>0</v>
      </c>
      <c r="J1999" s="902">
        <f>GLOBAL_DER_FEV_2023!J1999</f>
        <v>0</v>
      </c>
      <c r="K1999" s="903"/>
      <c r="L1999" s="1177"/>
      <c r="M1999" s="1138">
        <f t="shared" si="147"/>
        <v>0</v>
      </c>
      <c r="N1999" s="1176">
        <f t="shared" si="151"/>
        <v>0</v>
      </c>
      <c r="O1999" s="905"/>
      <c r="P1999" s="36" t="str">
        <f>IF(N1996&gt;0,"xx",IF(N1996&gt;0,"xy",""))</f>
        <v/>
      </c>
      <c r="Q1999" s="317" t="str">
        <f t="shared" si="148"/>
        <v/>
      </c>
      <c r="R1999" s="317" t="str">
        <f t="shared" si="149"/>
        <v/>
      </c>
      <c r="S1999" s="317" t="str">
        <f t="shared" si="150"/>
        <v/>
      </c>
      <c r="T1999" s="317" t="str">
        <f>GLOBAL_DER_FEV_2023!S1999</f>
        <v/>
      </c>
      <c r="W1999" s="582">
        <v>0</v>
      </c>
      <c r="X1999" s="580"/>
      <c r="Y1999" s="583">
        <f>IF(GLOBAL_DER_FEV_2023!W1999=0,0,IF(GLOBAL_DER_FEV_2023!W1999&gt;0,"c","b"))</f>
        <v>0</v>
      </c>
    </row>
    <row r="2000" spans="1:25" ht="15" hidden="1" customHeight="1" x14ac:dyDescent="0.2">
      <c r="A2000" s="317">
        <v>611600</v>
      </c>
      <c r="B2000" s="895" t="s">
        <v>1852</v>
      </c>
      <c r="C2000" s="896" t="s">
        <v>184</v>
      </c>
      <c r="D2000" s="906" t="s">
        <v>2024</v>
      </c>
      <c r="E2000" s="907">
        <f>GLOBAL_DER_FEV_2023!E2000</f>
        <v>0</v>
      </c>
      <c r="F2000" s="908">
        <f>GLOBAL_DER_FEV_2023!F2000</f>
        <v>0</v>
      </c>
      <c r="G2000" s="912">
        <f>GLOBAL_DER_FEV_2023!G2000</f>
        <v>108.41245400000001</v>
      </c>
      <c r="H2000" s="901">
        <f>GLOBAL_DER_FEV_2023!H2000</f>
        <v>3058.31</v>
      </c>
      <c r="I2000" s="901">
        <f>GLOBAL_DER_FEV_2023!I2000</f>
        <v>3166.7224539999997</v>
      </c>
      <c r="J2000" s="902">
        <f>GLOBAL_DER_FEV_2023!J2000</f>
        <v>3802.28</v>
      </c>
      <c r="K2000" s="903" t="s">
        <v>13</v>
      </c>
      <c r="L2000" s="1137"/>
      <c r="M2000" s="1138">
        <f t="shared" si="147"/>
        <v>0</v>
      </c>
      <c r="N2000" s="1176">
        <f t="shared" si="151"/>
        <v>0</v>
      </c>
      <c r="O2000" s="905"/>
      <c r="Q2000" s="317" t="str">
        <f t="shared" si="148"/>
        <v/>
      </c>
      <c r="R2000" s="317" t="str">
        <f t="shared" si="149"/>
        <v/>
      </c>
      <c r="S2000" s="317" t="str">
        <f t="shared" si="150"/>
        <v/>
      </c>
      <c r="T2000" s="317" t="str">
        <f>GLOBAL_DER_FEV_2023!S2000</f>
        <v/>
      </c>
      <c r="W2000" s="582">
        <v>0</v>
      </c>
      <c r="X2000" s="580"/>
      <c r="Y2000" s="583">
        <f>IF(GLOBAL_DER_FEV_2023!W2000=0,0,IF(GLOBAL_DER_FEV_2023!W2000&gt;0,"c","b"))</f>
        <v>0</v>
      </c>
    </row>
    <row r="2001" spans="1:25" ht="15" hidden="1" customHeight="1" x14ac:dyDescent="0.2">
      <c r="A2001" s="317" t="s">
        <v>147</v>
      </c>
      <c r="B2001" s="895" t="s">
        <v>147</v>
      </c>
      <c r="C2001" s="896"/>
      <c r="D2001" s="906" t="s">
        <v>190</v>
      </c>
      <c r="E2001" s="907">
        <f>GLOBAL_DER_FEV_2023!E2001</f>
        <v>308</v>
      </c>
      <c r="F2001" s="908">
        <f>GLOBAL_DER_FEV_2023!F2001</f>
        <v>9.7000000000000003E-3</v>
      </c>
      <c r="G2001" s="909">
        <f>GLOBAL_DER_FEV_2023!G2001</f>
        <v>2.4061820000000003</v>
      </c>
      <c r="H2001" s="901">
        <f>GLOBAL_DER_FEV_2023!H2001</f>
        <v>0</v>
      </c>
      <c r="I2001" s="901">
        <f>GLOBAL_DER_FEV_2023!I2001</f>
        <v>0</v>
      </c>
      <c r="J2001" s="902">
        <f>GLOBAL_DER_FEV_2023!J2001</f>
        <v>0</v>
      </c>
      <c r="K2001" s="903"/>
      <c r="L2001" s="1177"/>
      <c r="M2001" s="1138">
        <f t="shared" si="147"/>
        <v>0</v>
      </c>
      <c r="N2001" s="1176">
        <f t="shared" si="151"/>
        <v>0</v>
      </c>
      <c r="O2001" s="905"/>
      <c r="P2001" s="36" t="str">
        <f>IF(N2000&gt;0,"xx",IF(N2000&gt;0,"xy",""))</f>
        <v/>
      </c>
      <c r="Q2001" s="317" t="str">
        <f t="shared" si="148"/>
        <v/>
      </c>
      <c r="R2001" s="317" t="str">
        <f t="shared" si="149"/>
        <v/>
      </c>
      <c r="S2001" s="317" t="str">
        <f t="shared" si="150"/>
        <v/>
      </c>
      <c r="T2001" s="317" t="str">
        <f>GLOBAL_DER_FEV_2023!S2001</f>
        <v/>
      </c>
      <c r="W2001" s="582">
        <v>0</v>
      </c>
      <c r="X2001" s="580"/>
      <c r="Y2001" s="583">
        <f>IF(GLOBAL_DER_FEV_2023!W2001=0,0,IF(GLOBAL_DER_FEV_2023!W2001&gt;0,"c","b"))</f>
        <v>0</v>
      </c>
    </row>
    <row r="2002" spans="1:25" ht="15" hidden="1" customHeight="1" x14ac:dyDescent="0.2">
      <c r="A2002" s="317" t="s">
        <v>147</v>
      </c>
      <c r="B2002" s="895" t="s">
        <v>147</v>
      </c>
      <c r="C2002" s="896"/>
      <c r="D2002" s="906" t="s">
        <v>229</v>
      </c>
      <c r="E2002" s="907">
        <f>GLOBAL_DER_FEV_2023!E2002</f>
        <v>150</v>
      </c>
      <c r="F2002" s="908">
        <f>GLOBAL_DER_FEV_2023!F2002</f>
        <v>5.04E-2</v>
      </c>
      <c r="G2002" s="949">
        <f>GLOBAL_DER_FEV_2023!G2002</f>
        <v>8.2242720000000009</v>
      </c>
      <c r="H2002" s="901">
        <f>GLOBAL_DER_FEV_2023!H2002</f>
        <v>0</v>
      </c>
      <c r="I2002" s="901">
        <f>GLOBAL_DER_FEV_2023!I2002</f>
        <v>0</v>
      </c>
      <c r="J2002" s="902">
        <f>GLOBAL_DER_FEV_2023!J2002</f>
        <v>0</v>
      </c>
      <c r="K2002" s="903"/>
      <c r="L2002" s="1177"/>
      <c r="M2002" s="1138">
        <f t="shared" ref="M2002:M2065" si="152">IF(L2002=0,0,ROUND(J2002,2))</f>
        <v>0</v>
      </c>
      <c r="N2002" s="1176">
        <f t="shared" si="151"/>
        <v>0</v>
      </c>
      <c r="O2002" s="905"/>
      <c r="P2002" s="36" t="str">
        <f>IF(N2000&gt;0,"xx",IF(N2000&gt;0,"xy",""))</f>
        <v/>
      </c>
      <c r="Q2002" s="317" t="str">
        <f t="shared" si="148"/>
        <v/>
      </c>
      <c r="R2002" s="317" t="str">
        <f t="shared" si="149"/>
        <v/>
      </c>
      <c r="S2002" s="317" t="str">
        <f t="shared" si="150"/>
        <v/>
      </c>
      <c r="T2002" s="317" t="str">
        <f>GLOBAL_DER_FEV_2023!S2002</f>
        <v/>
      </c>
      <c r="W2002" s="582">
        <v>0</v>
      </c>
      <c r="X2002" s="580"/>
      <c r="Y2002" s="583">
        <f>IF(GLOBAL_DER_FEV_2023!W2002=0,0,IF(GLOBAL_DER_FEV_2023!W2002&gt;0,"c","b"))</f>
        <v>0</v>
      </c>
    </row>
    <row r="2003" spans="1:25" ht="15" hidden="1" customHeight="1" x14ac:dyDescent="0.2">
      <c r="A2003" s="317" t="s">
        <v>147</v>
      </c>
      <c r="B2003" s="895" t="s">
        <v>147</v>
      </c>
      <c r="C2003" s="896"/>
      <c r="D2003" s="906" t="s">
        <v>336</v>
      </c>
      <c r="E2003" s="907">
        <f>GLOBAL_DER_FEV_2023!E2003</f>
        <v>40</v>
      </c>
      <c r="F2003" s="908">
        <f>GLOBAL_DER_FEV_2023!F2003</f>
        <v>2.15</v>
      </c>
      <c r="G2003" s="949">
        <f>GLOBAL_DER_FEV_2023!G2003</f>
        <v>97.782000000000011</v>
      </c>
      <c r="H2003" s="901">
        <f>GLOBAL_DER_FEV_2023!H2003</f>
        <v>0</v>
      </c>
      <c r="I2003" s="901">
        <f>GLOBAL_DER_FEV_2023!I2003</f>
        <v>0</v>
      </c>
      <c r="J2003" s="902">
        <f>GLOBAL_DER_FEV_2023!J2003</f>
        <v>0</v>
      </c>
      <c r="K2003" s="903"/>
      <c r="L2003" s="1177"/>
      <c r="M2003" s="1138">
        <f t="shared" si="152"/>
        <v>0</v>
      </c>
      <c r="N2003" s="1176">
        <f t="shared" si="151"/>
        <v>0</v>
      </c>
      <c r="O2003" s="905"/>
      <c r="P2003" s="36" t="str">
        <f>IF(N2000&gt;0,"xx",IF(N2000&gt;0,"xy",""))</f>
        <v/>
      </c>
      <c r="Q2003" s="317" t="str">
        <f t="shared" si="148"/>
        <v/>
      </c>
      <c r="R2003" s="317" t="str">
        <f t="shared" si="149"/>
        <v/>
      </c>
      <c r="S2003" s="317" t="str">
        <f t="shared" si="150"/>
        <v/>
      </c>
      <c r="T2003" s="317" t="str">
        <f>GLOBAL_DER_FEV_2023!S2003</f>
        <v/>
      </c>
      <c r="W2003" s="582">
        <v>0</v>
      </c>
      <c r="X2003" s="580"/>
      <c r="Y2003" s="583">
        <f>IF(GLOBAL_DER_FEV_2023!W2003=0,0,IF(GLOBAL_DER_FEV_2023!W2003&gt;0,"c","b"))</f>
        <v>0</v>
      </c>
    </row>
    <row r="2004" spans="1:25" ht="15" hidden="1" customHeight="1" x14ac:dyDescent="0.2">
      <c r="A2004" s="317">
        <v>610400</v>
      </c>
      <c r="B2004" s="895" t="s">
        <v>1826</v>
      </c>
      <c r="C2004" s="896" t="s">
        <v>184</v>
      </c>
      <c r="D2004" s="906" t="s">
        <v>2025</v>
      </c>
      <c r="E2004" s="907">
        <f>GLOBAL_DER_FEV_2023!E2004</f>
        <v>0</v>
      </c>
      <c r="F2004" s="908">
        <f>GLOBAL_DER_FEV_2023!F2004</f>
        <v>0</v>
      </c>
      <c r="G2004" s="912">
        <f>GLOBAL_DER_FEV_2023!G2004</f>
        <v>9.2434740000000009</v>
      </c>
      <c r="H2004" s="901">
        <f>GLOBAL_DER_FEV_2023!H2004</f>
        <v>137.47</v>
      </c>
      <c r="I2004" s="901">
        <f>GLOBAL_DER_FEV_2023!I2004</f>
        <v>146.71347399999999</v>
      </c>
      <c r="J2004" s="902">
        <f>GLOBAL_DER_FEV_2023!J2004</f>
        <v>176.16</v>
      </c>
      <c r="K2004" s="903" t="s">
        <v>13</v>
      </c>
      <c r="L2004" s="1137"/>
      <c r="M2004" s="1138">
        <f t="shared" si="152"/>
        <v>0</v>
      </c>
      <c r="N2004" s="1176">
        <f t="shared" si="151"/>
        <v>0</v>
      </c>
      <c r="O2004" s="905"/>
      <c r="Q2004" s="317" t="str">
        <f t="shared" si="148"/>
        <v/>
      </c>
      <c r="R2004" s="317" t="str">
        <f t="shared" si="149"/>
        <v/>
      </c>
      <c r="S2004" s="317" t="str">
        <f t="shared" si="150"/>
        <v/>
      </c>
      <c r="T2004" s="317" t="str">
        <f>GLOBAL_DER_FEV_2023!S2004</f>
        <v/>
      </c>
      <c r="W2004" s="582">
        <v>0</v>
      </c>
      <c r="X2004" s="580"/>
      <c r="Y2004" s="583">
        <f>IF(GLOBAL_DER_FEV_2023!W2004=0,0,IF(GLOBAL_DER_FEV_2023!W2004&gt;0,"c","b"))</f>
        <v>0</v>
      </c>
    </row>
    <row r="2005" spans="1:25" ht="15" hidden="1" customHeight="1" x14ac:dyDescent="0.2">
      <c r="A2005" s="317" t="s">
        <v>147</v>
      </c>
      <c r="B2005" s="895" t="s">
        <v>147</v>
      </c>
      <c r="C2005" s="896"/>
      <c r="D2005" s="906" t="s">
        <v>190</v>
      </c>
      <c r="E2005" s="907">
        <f>GLOBAL_DER_FEV_2023!E2005</f>
        <v>308</v>
      </c>
      <c r="F2005" s="908">
        <f>GLOBAL_DER_FEV_2023!F2005</f>
        <v>1.9E-3</v>
      </c>
      <c r="G2005" s="909">
        <f>GLOBAL_DER_FEV_2023!G2005</f>
        <v>0.47131400000000001</v>
      </c>
      <c r="H2005" s="901">
        <f>GLOBAL_DER_FEV_2023!H2005</f>
        <v>0</v>
      </c>
      <c r="I2005" s="901">
        <f>GLOBAL_DER_FEV_2023!I2005</f>
        <v>0</v>
      </c>
      <c r="J2005" s="902">
        <f>GLOBAL_DER_FEV_2023!J2005</f>
        <v>0</v>
      </c>
      <c r="K2005" s="903"/>
      <c r="L2005" s="1177"/>
      <c r="M2005" s="1138">
        <f t="shared" si="152"/>
        <v>0</v>
      </c>
      <c r="N2005" s="1176">
        <f t="shared" si="151"/>
        <v>0</v>
      </c>
      <c r="O2005" s="905"/>
      <c r="P2005" s="36" t="str">
        <f>IF(N2004&gt;0,"xx",IF(N2004&gt;0,"xy",""))</f>
        <v/>
      </c>
      <c r="Q2005" s="317" t="str">
        <f t="shared" si="148"/>
        <v/>
      </c>
      <c r="R2005" s="317" t="str">
        <f t="shared" si="149"/>
        <v/>
      </c>
      <c r="S2005" s="317" t="str">
        <f t="shared" si="150"/>
        <v/>
      </c>
      <c r="T2005" s="317" t="str">
        <f>GLOBAL_DER_FEV_2023!S2005</f>
        <v/>
      </c>
      <c r="W2005" s="582">
        <v>0</v>
      </c>
      <c r="X2005" s="580"/>
      <c r="Y2005" s="583">
        <f>IF(GLOBAL_DER_FEV_2023!W2005=0,0,IF(GLOBAL_DER_FEV_2023!W2005&gt;0,"c","b"))</f>
        <v>0</v>
      </c>
    </row>
    <row r="2006" spans="1:25" ht="15" hidden="1" customHeight="1" x14ac:dyDescent="0.2">
      <c r="A2006" s="317" t="s">
        <v>147</v>
      </c>
      <c r="B2006" s="895" t="s">
        <v>147</v>
      </c>
      <c r="C2006" s="896"/>
      <c r="D2006" s="906" t="s">
        <v>229</v>
      </c>
      <c r="E2006" s="907">
        <f>GLOBAL_DER_FEV_2023!E2006</f>
        <v>150</v>
      </c>
      <c r="F2006" s="908">
        <f>GLOBAL_DER_FEV_2023!F2006</f>
        <v>0.01</v>
      </c>
      <c r="G2006" s="949">
        <f>GLOBAL_DER_FEV_2023!G2006</f>
        <v>1.6318000000000001</v>
      </c>
      <c r="H2006" s="901">
        <f>GLOBAL_DER_FEV_2023!H2006</f>
        <v>0</v>
      </c>
      <c r="I2006" s="901">
        <f>GLOBAL_DER_FEV_2023!I2006</f>
        <v>0</v>
      </c>
      <c r="J2006" s="902">
        <f>GLOBAL_DER_FEV_2023!J2006</f>
        <v>0</v>
      </c>
      <c r="K2006" s="903"/>
      <c r="L2006" s="1177"/>
      <c r="M2006" s="1138">
        <f t="shared" si="152"/>
        <v>0</v>
      </c>
      <c r="N2006" s="1176">
        <f t="shared" si="151"/>
        <v>0</v>
      </c>
      <c r="O2006" s="905"/>
      <c r="P2006" s="36" t="str">
        <f>IF(N2004&gt;0,"xx",IF(N2004&gt;0,"xy",""))</f>
        <v/>
      </c>
      <c r="Q2006" s="317" t="str">
        <f t="shared" si="148"/>
        <v/>
      </c>
      <c r="R2006" s="317" t="str">
        <f t="shared" si="149"/>
        <v/>
      </c>
      <c r="S2006" s="317" t="str">
        <f t="shared" si="150"/>
        <v/>
      </c>
      <c r="T2006" s="317" t="str">
        <f>GLOBAL_DER_FEV_2023!S2006</f>
        <v/>
      </c>
      <c r="W2006" s="582">
        <v>0</v>
      </c>
      <c r="X2006" s="580"/>
      <c r="Y2006" s="583">
        <f>IF(GLOBAL_DER_FEV_2023!W2006=0,0,IF(GLOBAL_DER_FEV_2023!W2006&gt;0,"c","b"))</f>
        <v>0</v>
      </c>
    </row>
    <row r="2007" spans="1:25" ht="15" hidden="1" customHeight="1" x14ac:dyDescent="0.2">
      <c r="A2007" s="317" t="s">
        <v>147</v>
      </c>
      <c r="B2007" s="895" t="s">
        <v>147</v>
      </c>
      <c r="C2007" s="896"/>
      <c r="D2007" s="906" t="s">
        <v>336</v>
      </c>
      <c r="E2007" s="907">
        <f>GLOBAL_DER_FEV_2023!E2007</f>
        <v>40</v>
      </c>
      <c r="F2007" s="908">
        <f>GLOBAL_DER_FEV_2023!F2007</f>
        <v>0.157</v>
      </c>
      <c r="G2007" s="949">
        <f>GLOBAL_DER_FEV_2023!G2007</f>
        <v>7.1403600000000003</v>
      </c>
      <c r="H2007" s="901">
        <f>GLOBAL_DER_FEV_2023!H2007</f>
        <v>0</v>
      </c>
      <c r="I2007" s="901">
        <f>GLOBAL_DER_FEV_2023!I2007</f>
        <v>0</v>
      </c>
      <c r="J2007" s="902">
        <f>GLOBAL_DER_FEV_2023!J2007</f>
        <v>0</v>
      </c>
      <c r="K2007" s="903"/>
      <c r="L2007" s="1177"/>
      <c r="M2007" s="1138">
        <f t="shared" si="152"/>
        <v>0</v>
      </c>
      <c r="N2007" s="1176">
        <f t="shared" si="151"/>
        <v>0</v>
      </c>
      <c r="O2007" s="905"/>
      <c r="P2007" s="36" t="str">
        <f>IF(N2004&gt;0,"xx",IF(N2004&gt;0,"xy",""))</f>
        <v/>
      </c>
      <c r="Q2007" s="317" t="str">
        <f t="shared" si="148"/>
        <v/>
      </c>
      <c r="R2007" s="317" t="str">
        <f t="shared" si="149"/>
        <v/>
      </c>
      <c r="S2007" s="317" t="str">
        <f t="shared" si="150"/>
        <v/>
      </c>
      <c r="T2007" s="317" t="str">
        <f>GLOBAL_DER_FEV_2023!S2007</f>
        <v/>
      </c>
      <c r="W2007" s="582">
        <v>0</v>
      </c>
      <c r="X2007" s="580"/>
      <c r="Y2007" s="583">
        <f>IF(GLOBAL_DER_FEV_2023!W2007=0,0,IF(GLOBAL_DER_FEV_2023!W2007&gt;0,"c","b"))</f>
        <v>0</v>
      </c>
    </row>
    <row r="2008" spans="1:25" ht="15" hidden="1" customHeight="1" x14ac:dyDescent="0.2">
      <c r="A2008" s="317">
        <v>610600</v>
      </c>
      <c r="B2008" s="895" t="s">
        <v>1831</v>
      </c>
      <c r="C2008" s="896" t="s">
        <v>184</v>
      </c>
      <c r="D2008" s="906" t="s">
        <v>2026</v>
      </c>
      <c r="E2008" s="907">
        <f>GLOBAL_DER_FEV_2023!E2008</f>
        <v>0</v>
      </c>
      <c r="F2008" s="908">
        <f>GLOBAL_DER_FEV_2023!F2008</f>
        <v>0</v>
      </c>
      <c r="G2008" s="912">
        <f>GLOBAL_DER_FEV_2023!G2008</f>
        <v>13.849744000000001</v>
      </c>
      <c r="H2008" s="901">
        <f>GLOBAL_DER_FEV_2023!H2008</f>
        <v>313.26</v>
      </c>
      <c r="I2008" s="901">
        <f>GLOBAL_DER_FEV_2023!I2008</f>
        <v>327.10974399999998</v>
      </c>
      <c r="J2008" s="902">
        <f>GLOBAL_DER_FEV_2023!J2008</f>
        <v>392.76</v>
      </c>
      <c r="K2008" s="903" t="s">
        <v>13</v>
      </c>
      <c r="L2008" s="1137"/>
      <c r="M2008" s="1138">
        <f t="shared" si="152"/>
        <v>0</v>
      </c>
      <c r="N2008" s="1176">
        <f t="shared" si="151"/>
        <v>0</v>
      </c>
      <c r="O2008" s="905"/>
      <c r="Q2008" s="317" t="str">
        <f t="shared" si="148"/>
        <v/>
      </c>
      <c r="R2008" s="317" t="str">
        <f t="shared" si="149"/>
        <v/>
      </c>
      <c r="S2008" s="317" t="str">
        <f t="shared" si="150"/>
        <v/>
      </c>
      <c r="T2008" s="317" t="str">
        <f>GLOBAL_DER_FEV_2023!S2008</f>
        <v/>
      </c>
      <c r="W2008" s="582">
        <v>0</v>
      </c>
      <c r="X2008" s="580"/>
      <c r="Y2008" s="583">
        <f>IF(GLOBAL_DER_FEV_2023!W2008=0,0,IF(GLOBAL_DER_FEV_2023!W2008&gt;0,"c","b"))</f>
        <v>0</v>
      </c>
    </row>
    <row r="2009" spans="1:25" ht="15" hidden="1" customHeight="1" x14ac:dyDescent="0.2">
      <c r="A2009" s="317" t="s">
        <v>147</v>
      </c>
      <c r="B2009" s="895" t="s">
        <v>147</v>
      </c>
      <c r="C2009" s="896"/>
      <c r="D2009" s="906" t="s">
        <v>190</v>
      </c>
      <c r="E2009" s="907">
        <f>GLOBAL_DER_FEV_2023!E2009</f>
        <v>308</v>
      </c>
      <c r="F2009" s="908">
        <f>GLOBAL_DER_FEV_2023!F2009</f>
        <v>2.3E-3</v>
      </c>
      <c r="G2009" s="909">
        <f>GLOBAL_DER_FEV_2023!G2009</f>
        <v>0.57053799999999999</v>
      </c>
      <c r="H2009" s="901">
        <f>GLOBAL_DER_FEV_2023!H2009</f>
        <v>0</v>
      </c>
      <c r="I2009" s="901">
        <f>GLOBAL_DER_FEV_2023!I2009</f>
        <v>0</v>
      </c>
      <c r="J2009" s="902">
        <f>GLOBAL_DER_FEV_2023!J2009</f>
        <v>0</v>
      </c>
      <c r="K2009" s="903"/>
      <c r="L2009" s="1177"/>
      <c r="M2009" s="1138">
        <f t="shared" si="152"/>
        <v>0</v>
      </c>
      <c r="N2009" s="1176">
        <f t="shared" si="151"/>
        <v>0</v>
      </c>
      <c r="O2009" s="905"/>
      <c r="P2009" s="36" t="str">
        <f>IF(N2008&gt;0,"xx",IF(N2008&gt;0,"xy",""))</f>
        <v/>
      </c>
      <c r="Q2009" s="317" t="str">
        <f t="shared" si="148"/>
        <v/>
      </c>
      <c r="R2009" s="317" t="str">
        <f t="shared" si="149"/>
        <v/>
      </c>
      <c r="S2009" s="317" t="str">
        <f t="shared" si="150"/>
        <v/>
      </c>
      <c r="T2009" s="317" t="str">
        <f>GLOBAL_DER_FEV_2023!S2009</f>
        <v/>
      </c>
      <c r="W2009" s="582">
        <v>0</v>
      </c>
      <c r="X2009" s="580"/>
      <c r="Y2009" s="583">
        <f>IF(GLOBAL_DER_FEV_2023!W2009=0,0,IF(GLOBAL_DER_FEV_2023!W2009&gt;0,"c","b"))</f>
        <v>0</v>
      </c>
    </row>
    <row r="2010" spans="1:25" ht="15" hidden="1" customHeight="1" x14ac:dyDescent="0.2">
      <c r="A2010" s="317" t="s">
        <v>147</v>
      </c>
      <c r="B2010" s="895" t="s">
        <v>147</v>
      </c>
      <c r="C2010" s="896"/>
      <c r="D2010" s="906" t="s">
        <v>229</v>
      </c>
      <c r="E2010" s="907">
        <f>GLOBAL_DER_FEV_2023!E2010</f>
        <v>150</v>
      </c>
      <c r="F2010" s="908">
        <f>GLOBAL_DER_FEV_2023!F2010</f>
        <v>1.17E-2</v>
      </c>
      <c r="G2010" s="949">
        <f>GLOBAL_DER_FEV_2023!G2010</f>
        <v>1.9092060000000002</v>
      </c>
      <c r="H2010" s="901">
        <f>GLOBAL_DER_FEV_2023!H2010</f>
        <v>0</v>
      </c>
      <c r="I2010" s="901">
        <f>GLOBAL_DER_FEV_2023!I2010</f>
        <v>0</v>
      </c>
      <c r="J2010" s="902">
        <f>GLOBAL_DER_FEV_2023!J2010</f>
        <v>0</v>
      </c>
      <c r="K2010" s="903"/>
      <c r="L2010" s="1177"/>
      <c r="M2010" s="1138">
        <f t="shared" si="152"/>
        <v>0</v>
      </c>
      <c r="N2010" s="1176">
        <f t="shared" si="151"/>
        <v>0</v>
      </c>
      <c r="O2010" s="905"/>
      <c r="P2010" s="36" t="str">
        <f>IF(N2008&gt;0,"xx",IF(N2008&gt;0,"xy",""))</f>
        <v/>
      </c>
      <c r="Q2010" s="317" t="str">
        <f t="shared" si="148"/>
        <v/>
      </c>
      <c r="R2010" s="317" t="str">
        <f t="shared" si="149"/>
        <v/>
      </c>
      <c r="S2010" s="317" t="str">
        <f t="shared" si="150"/>
        <v/>
      </c>
      <c r="T2010" s="317" t="str">
        <f>GLOBAL_DER_FEV_2023!S2010</f>
        <v/>
      </c>
      <c r="W2010" s="582">
        <v>0</v>
      </c>
      <c r="X2010" s="580"/>
      <c r="Y2010" s="583">
        <f>IF(GLOBAL_DER_FEV_2023!W2010=0,0,IF(GLOBAL_DER_FEV_2023!W2010&gt;0,"c","b"))</f>
        <v>0</v>
      </c>
    </row>
    <row r="2011" spans="1:25" ht="15" hidden="1" customHeight="1" x14ac:dyDescent="0.2">
      <c r="A2011" s="317" t="s">
        <v>147</v>
      </c>
      <c r="B2011" s="895" t="s">
        <v>147</v>
      </c>
      <c r="C2011" s="896"/>
      <c r="D2011" s="906" t="s">
        <v>336</v>
      </c>
      <c r="E2011" s="907">
        <f>GLOBAL_DER_FEV_2023!E2011</f>
        <v>40</v>
      </c>
      <c r="F2011" s="908">
        <f>GLOBAL_DER_FEV_2023!F2011</f>
        <v>0.25</v>
      </c>
      <c r="G2011" s="949">
        <f>GLOBAL_DER_FEV_2023!G2011</f>
        <v>11.370000000000001</v>
      </c>
      <c r="H2011" s="901">
        <f>GLOBAL_DER_FEV_2023!H2011</f>
        <v>0</v>
      </c>
      <c r="I2011" s="901">
        <f>GLOBAL_DER_FEV_2023!I2011</f>
        <v>0</v>
      </c>
      <c r="J2011" s="902">
        <f>GLOBAL_DER_FEV_2023!J2011</f>
        <v>0</v>
      </c>
      <c r="K2011" s="903"/>
      <c r="L2011" s="1177"/>
      <c r="M2011" s="1138">
        <f t="shared" si="152"/>
        <v>0</v>
      </c>
      <c r="N2011" s="1176">
        <f t="shared" si="151"/>
        <v>0</v>
      </c>
      <c r="O2011" s="905"/>
      <c r="P2011" s="36" t="str">
        <f>IF(N2008&gt;0,"xx",IF(N2008&gt;0,"xy",""))</f>
        <v/>
      </c>
      <c r="Q2011" s="317" t="str">
        <f t="shared" ref="Q2011:Q2074" si="153">IF(P2011="X","x",IF(P2011="xx","x",IF(P2011="xy","x",IF(P2011="y","x",IF(OR(N2011&gt;0,N2011&gt;0),"x","")))))</f>
        <v/>
      </c>
      <c r="R2011" s="317" t="str">
        <f t="shared" si="149"/>
        <v/>
      </c>
      <c r="S2011" s="317" t="str">
        <f t="shared" si="150"/>
        <v/>
      </c>
      <c r="T2011" s="317" t="str">
        <f>GLOBAL_DER_FEV_2023!S2011</f>
        <v/>
      </c>
      <c r="W2011" s="582">
        <v>0</v>
      </c>
      <c r="X2011" s="580"/>
      <c r="Y2011" s="583">
        <f>IF(GLOBAL_DER_FEV_2023!W2011=0,0,IF(GLOBAL_DER_FEV_2023!W2011&gt;0,"c","b"))</f>
        <v>0</v>
      </c>
    </row>
    <row r="2012" spans="1:25" ht="15" hidden="1" customHeight="1" x14ac:dyDescent="0.2">
      <c r="A2012" s="317">
        <v>610600</v>
      </c>
      <c r="B2012" s="895" t="s">
        <v>1832</v>
      </c>
      <c r="C2012" s="896" t="s">
        <v>184</v>
      </c>
      <c r="D2012" s="906" t="s">
        <v>2027</v>
      </c>
      <c r="E2012" s="907">
        <f>GLOBAL_DER_FEV_2023!E2012</f>
        <v>0</v>
      </c>
      <c r="F2012" s="908">
        <f>GLOBAL_DER_FEV_2023!F2012</f>
        <v>0</v>
      </c>
      <c r="G2012" s="912">
        <f>GLOBAL_DER_FEV_2023!G2012</f>
        <v>20.568768000000002</v>
      </c>
      <c r="H2012" s="901">
        <f>GLOBAL_DER_FEV_2023!H2012</f>
        <v>313.26</v>
      </c>
      <c r="I2012" s="901">
        <f>GLOBAL_DER_FEV_2023!I2012</f>
        <v>333.82876799999997</v>
      </c>
      <c r="J2012" s="902">
        <f>GLOBAL_DER_FEV_2023!J2012</f>
        <v>400.83</v>
      </c>
      <c r="K2012" s="903" t="s">
        <v>13</v>
      </c>
      <c r="L2012" s="1137"/>
      <c r="M2012" s="1138">
        <f t="shared" si="152"/>
        <v>0</v>
      </c>
      <c r="N2012" s="1176">
        <f t="shared" si="151"/>
        <v>0</v>
      </c>
      <c r="O2012" s="905"/>
      <c r="Q2012" s="317" t="str">
        <f t="shared" si="153"/>
        <v/>
      </c>
      <c r="R2012" s="317" t="str">
        <f t="shared" si="149"/>
        <v/>
      </c>
      <c r="S2012" s="317" t="str">
        <f t="shared" si="150"/>
        <v/>
      </c>
      <c r="T2012" s="317" t="str">
        <f>GLOBAL_DER_FEV_2023!S2012</f>
        <v/>
      </c>
      <c r="W2012" s="582">
        <v>0</v>
      </c>
      <c r="X2012" s="580"/>
      <c r="Y2012" s="583">
        <f>IF(GLOBAL_DER_FEV_2023!W2012=0,0,IF(GLOBAL_DER_FEV_2023!W2012&gt;0,"c","b"))</f>
        <v>0</v>
      </c>
    </row>
    <row r="2013" spans="1:25" ht="15" hidden="1" customHeight="1" x14ac:dyDescent="0.2">
      <c r="A2013" s="317" t="s">
        <v>147</v>
      </c>
      <c r="B2013" s="895" t="s">
        <v>147</v>
      </c>
      <c r="C2013" s="896"/>
      <c r="D2013" s="906" t="s">
        <v>190</v>
      </c>
      <c r="E2013" s="907">
        <f>GLOBAL_DER_FEV_2023!E2013</f>
        <v>308</v>
      </c>
      <c r="F2013" s="908">
        <f>GLOBAL_DER_FEV_2023!F2013</f>
        <v>2.5999999999999999E-3</v>
      </c>
      <c r="G2013" s="909">
        <f>GLOBAL_DER_FEV_2023!G2013</f>
        <v>0.64495599999999997</v>
      </c>
      <c r="H2013" s="901">
        <f>GLOBAL_DER_FEV_2023!H2013</f>
        <v>0</v>
      </c>
      <c r="I2013" s="901">
        <f>GLOBAL_DER_FEV_2023!I2013</f>
        <v>0</v>
      </c>
      <c r="J2013" s="902">
        <f>GLOBAL_DER_FEV_2023!J2013</f>
        <v>0</v>
      </c>
      <c r="K2013" s="903"/>
      <c r="L2013" s="1177"/>
      <c r="M2013" s="1138">
        <f t="shared" si="152"/>
        <v>0</v>
      </c>
      <c r="N2013" s="1176">
        <f t="shared" si="151"/>
        <v>0</v>
      </c>
      <c r="O2013" s="905"/>
      <c r="P2013" s="36" t="str">
        <f>IF(N2012&gt;0,"xx",IF(N2012&gt;0,"xy",""))</f>
        <v/>
      </c>
      <c r="Q2013" s="317" t="str">
        <f t="shared" si="153"/>
        <v/>
      </c>
      <c r="R2013" s="317" t="str">
        <f t="shared" ref="R2013:R2076" si="154">IF(P2013="X","x",IF(P2013="y","x",IF(P2013="xx","x",IF(N2013&gt;0,"x",""))))</f>
        <v/>
      </c>
      <c r="S2013" s="317" t="str">
        <f t="shared" ref="S2013:S2076" si="155">IF(P2013="X","x",IF(N2013&gt;0,"x",""))</f>
        <v/>
      </c>
      <c r="T2013" s="317" t="str">
        <f>GLOBAL_DER_FEV_2023!S2013</f>
        <v/>
      </c>
      <c r="W2013" s="582">
        <v>0</v>
      </c>
      <c r="X2013" s="580"/>
      <c r="Y2013" s="583">
        <f>IF(GLOBAL_DER_FEV_2023!W2013=0,0,IF(GLOBAL_DER_FEV_2023!W2013&gt;0,"c","b"))</f>
        <v>0</v>
      </c>
    </row>
    <row r="2014" spans="1:25" ht="15" hidden="1" customHeight="1" x14ac:dyDescent="0.2">
      <c r="A2014" s="317" t="s">
        <v>147</v>
      </c>
      <c r="B2014" s="895" t="s">
        <v>147</v>
      </c>
      <c r="C2014" s="896"/>
      <c r="D2014" s="906" t="s">
        <v>229</v>
      </c>
      <c r="E2014" s="907">
        <f>GLOBAL_DER_FEV_2023!E2014</f>
        <v>150</v>
      </c>
      <c r="F2014" s="908">
        <f>GLOBAL_DER_FEV_2023!F2014</f>
        <v>1.34E-2</v>
      </c>
      <c r="G2014" s="949">
        <f>GLOBAL_DER_FEV_2023!G2014</f>
        <v>2.1866120000000002</v>
      </c>
      <c r="H2014" s="901">
        <f>GLOBAL_DER_FEV_2023!H2014</f>
        <v>0</v>
      </c>
      <c r="I2014" s="901">
        <f>GLOBAL_DER_FEV_2023!I2014</f>
        <v>0</v>
      </c>
      <c r="J2014" s="902">
        <f>GLOBAL_DER_FEV_2023!J2014</f>
        <v>0</v>
      </c>
      <c r="K2014" s="903"/>
      <c r="L2014" s="1177"/>
      <c r="M2014" s="1138">
        <f t="shared" si="152"/>
        <v>0</v>
      </c>
      <c r="N2014" s="1176">
        <f t="shared" si="151"/>
        <v>0</v>
      </c>
      <c r="O2014" s="905"/>
      <c r="P2014" s="36" t="str">
        <f>IF(N2012&gt;0,"xx",IF(N2012&gt;0,"xy",""))</f>
        <v/>
      </c>
      <c r="Q2014" s="317" t="str">
        <f t="shared" si="153"/>
        <v/>
      </c>
      <c r="R2014" s="317" t="str">
        <f t="shared" si="154"/>
        <v/>
      </c>
      <c r="S2014" s="317" t="str">
        <f t="shared" si="155"/>
        <v/>
      </c>
      <c r="T2014" s="317" t="str">
        <f>GLOBAL_DER_FEV_2023!S2014</f>
        <v/>
      </c>
      <c r="W2014" s="582">
        <v>0</v>
      </c>
      <c r="X2014" s="580"/>
      <c r="Y2014" s="583">
        <f>IF(GLOBAL_DER_FEV_2023!W2014=0,0,IF(GLOBAL_DER_FEV_2023!W2014&gt;0,"c","b"))</f>
        <v>0</v>
      </c>
    </row>
    <row r="2015" spans="1:25" ht="15" hidden="1" customHeight="1" x14ac:dyDescent="0.2">
      <c r="A2015" s="317" t="s">
        <v>147</v>
      </c>
      <c r="B2015" s="895" t="s">
        <v>147</v>
      </c>
      <c r="C2015" s="896"/>
      <c r="D2015" s="906" t="s">
        <v>336</v>
      </c>
      <c r="E2015" s="907">
        <f>GLOBAL_DER_FEV_2023!E2015</f>
        <v>40</v>
      </c>
      <c r="F2015" s="908">
        <f>GLOBAL_DER_FEV_2023!F2015</f>
        <v>0.39</v>
      </c>
      <c r="G2015" s="949">
        <f>GLOBAL_DER_FEV_2023!G2015</f>
        <v>17.737200000000001</v>
      </c>
      <c r="H2015" s="901">
        <f>GLOBAL_DER_FEV_2023!H2015</f>
        <v>0</v>
      </c>
      <c r="I2015" s="901">
        <f>GLOBAL_DER_FEV_2023!I2015</f>
        <v>0</v>
      </c>
      <c r="J2015" s="902">
        <f>GLOBAL_DER_FEV_2023!J2015</f>
        <v>0</v>
      </c>
      <c r="K2015" s="903"/>
      <c r="L2015" s="1177"/>
      <c r="M2015" s="1138">
        <f t="shared" si="152"/>
        <v>0</v>
      </c>
      <c r="N2015" s="1176">
        <f t="shared" si="151"/>
        <v>0</v>
      </c>
      <c r="O2015" s="905"/>
      <c r="P2015" s="36" t="str">
        <f>IF(N2012&gt;0,"xx",IF(N2012&gt;0,"xy",""))</f>
        <v/>
      </c>
      <c r="Q2015" s="317" t="str">
        <f t="shared" si="153"/>
        <v/>
      </c>
      <c r="R2015" s="317" t="str">
        <f t="shared" si="154"/>
        <v/>
      </c>
      <c r="S2015" s="317" t="str">
        <f t="shared" si="155"/>
        <v/>
      </c>
      <c r="T2015" s="317" t="str">
        <f>GLOBAL_DER_FEV_2023!S2015</f>
        <v/>
      </c>
      <c r="W2015" s="582">
        <v>0</v>
      </c>
      <c r="X2015" s="580"/>
      <c r="Y2015" s="583">
        <f>IF(GLOBAL_DER_FEV_2023!W2015=0,0,IF(GLOBAL_DER_FEV_2023!W2015&gt;0,"c","b"))</f>
        <v>0</v>
      </c>
    </row>
    <row r="2016" spans="1:25" ht="15" hidden="1" customHeight="1" x14ac:dyDescent="0.2">
      <c r="A2016" s="317">
        <v>610800</v>
      </c>
      <c r="B2016" s="895" t="s">
        <v>1836</v>
      </c>
      <c r="C2016" s="896" t="s">
        <v>184</v>
      </c>
      <c r="D2016" s="906" t="s">
        <v>2028</v>
      </c>
      <c r="E2016" s="907">
        <f>GLOBAL_DER_FEV_2023!E2016</f>
        <v>0</v>
      </c>
      <c r="F2016" s="908">
        <f>GLOBAL_DER_FEV_2023!F2016</f>
        <v>0</v>
      </c>
      <c r="G2016" s="912">
        <f>GLOBAL_DER_FEV_2023!G2016</f>
        <v>27.287792000000003</v>
      </c>
      <c r="H2016" s="901">
        <f>GLOBAL_DER_FEV_2023!H2016</f>
        <v>514.41999999999996</v>
      </c>
      <c r="I2016" s="901">
        <f>GLOBAL_DER_FEV_2023!I2016</f>
        <v>541.70779199999993</v>
      </c>
      <c r="J2016" s="902">
        <f>GLOBAL_DER_FEV_2023!J2016</f>
        <v>650.42999999999995</v>
      </c>
      <c r="K2016" s="903" t="s">
        <v>13</v>
      </c>
      <c r="L2016" s="1137"/>
      <c r="M2016" s="1138">
        <f t="shared" si="152"/>
        <v>0</v>
      </c>
      <c r="N2016" s="1176">
        <f t="shared" si="151"/>
        <v>0</v>
      </c>
      <c r="O2016" s="905"/>
      <c r="Q2016" s="317" t="str">
        <f t="shared" si="153"/>
        <v/>
      </c>
      <c r="R2016" s="317" t="str">
        <f t="shared" si="154"/>
        <v/>
      </c>
      <c r="S2016" s="317" t="str">
        <f t="shared" si="155"/>
        <v/>
      </c>
      <c r="T2016" s="317" t="str">
        <f>GLOBAL_DER_FEV_2023!S2016</f>
        <v/>
      </c>
      <c r="W2016" s="582">
        <v>0</v>
      </c>
      <c r="X2016" s="580"/>
      <c r="Y2016" s="583">
        <f>IF(GLOBAL_DER_FEV_2023!W2016=0,0,IF(GLOBAL_DER_FEV_2023!W2016&gt;0,"c","b"))</f>
        <v>0</v>
      </c>
    </row>
    <row r="2017" spans="1:25" ht="15" hidden="1" customHeight="1" x14ac:dyDescent="0.2">
      <c r="A2017" s="317" t="s">
        <v>147</v>
      </c>
      <c r="B2017" s="895" t="s">
        <v>147</v>
      </c>
      <c r="C2017" s="896"/>
      <c r="D2017" s="906" t="s">
        <v>190</v>
      </c>
      <c r="E2017" s="907">
        <f>GLOBAL_DER_FEV_2023!E2017</f>
        <v>308</v>
      </c>
      <c r="F2017" s="908">
        <f>GLOBAL_DER_FEV_2023!F2017</f>
        <v>2.8999999999999998E-3</v>
      </c>
      <c r="G2017" s="909">
        <f>GLOBAL_DER_FEV_2023!G2017</f>
        <v>0.71937399999999996</v>
      </c>
      <c r="H2017" s="901">
        <f>GLOBAL_DER_FEV_2023!H2017</f>
        <v>0</v>
      </c>
      <c r="I2017" s="901">
        <f>GLOBAL_DER_FEV_2023!I2017</f>
        <v>0</v>
      </c>
      <c r="J2017" s="902">
        <f>GLOBAL_DER_FEV_2023!J2017</f>
        <v>0</v>
      </c>
      <c r="K2017" s="903"/>
      <c r="L2017" s="1177"/>
      <c r="M2017" s="1138">
        <f t="shared" si="152"/>
        <v>0</v>
      </c>
      <c r="N2017" s="1176">
        <f t="shared" ref="N2017:N2080" si="156">IF(ISBLANK(L2017),0,IF(W2017=0,ROUND(L2017*M2017,2),IF(W2017="b",ROUNDDOWN(L2017*M2017,2),ROUNDUP(L2017*M2017,2))))</f>
        <v>0</v>
      </c>
      <c r="O2017" s="905"/>
      <c r="P2017" s="36" t="str">
        <f>IF(N2016&gt;0,"xx",IF(N2016&gt;0,"xy",""))</f>
        <v/>
      </c>
      <c r="Q2017" s="317" t="str">
        <f t="shared" si="153"/>
        <v/>
      </c>
      <c r="R2017" s="317" t="str">
        <f t="shared" si="154"/>
        <v/>
      </c>
      <c r="S2017" s="317" t="str">
        <f t="shared" si="155"/>
        <v/>
      </c>
      <c r="T2017" s="317" t="str">
        <f>GLOBAL_DER_FEV_2023!S2017</f>
        <v/>
      </c>
      <c r="W2017" s="582">
        <v>0</v>
      </c>
      <c r="X2017" s="580"/>
      <c r="Y2017" s="583">
        <f>IF(GLOBAL_DER_FEV_2023!W2017=0,0,IF(GLOBAL_DER_FEV_2023!W2017&gt;0,"c","b"))</f>
        <v>0</v>
      </c>
    </row>
    <row r="2018" spans="1:25" ht="15" hidden="1" customHeight="1" x14ac:dyDescent="0.2">
      <c r="A2018" s="317" t="s">
        <v>147</v>
      </c>
      <c r="B2018" s="895" t="s">
        <v>147</v>
      </c>
      <c r="C2018" s="896"/>
      <c r="D2018" s="906" t="s">
        <v>229</v>
      </c>
      <c r="E2018" s="907">
        <f>GLOBAL_DER_FEV_2023!E2018</f>
        <v>150</v>
      </c>
      <c r="F2018" s="908">
        <f>GLOBAL_DER_FEV_2023!F2018</f>
        <v>1.5100000000000001E-2</v>
      </c>
      <c r="G2018" s="949">
        <f>GLOBAL_DER_FEV_2023!G2018</f>
        <v>2.4640180000000003</v>
      </c>
      <c r="H2018" s="901">
        <f>GLOBAL_DER_FEV_2023!H2018</f>
        <v>0</v>
      </c>
      <c r="I2018" s="901">
        <f>GLOBAL_DER_FEV_2023!I2018</f>
        <v>0</v>
      </c>
      <c r="J2018" s="902">
        <f>GLOBAL_DER_FEV_2023!J2018</f>
        <v>0</v>
      </c>
      <c r="K2018" s="903"/>
      <c r="L2018" s="1177"/>
      <c r="M2018" s="1138">
        <f t="shared" si="152"/>
        <v>0</v>
      </c>
      <c r="N2018" s="1176">
        <f t="shared" si="156"/>
        <v>0</v>
      </c>
      <c r="O2018" s="905"/>
      <c r="P2018" s="36" t="str">
        <f>IF(N2016&gt;0,"xx",IF(N2016&gt;0,"xy",""))</f>
        <v/>
      </c>
      <c r="Q2018" s="317" t="str">
        <f t="shared" si="153"/>
        <v/>
      </c>
      <c r="R2018" s="317" t="str">
        <f t="shared" si="154"/>
        <v/>
      </c>
      <c r="S2018" s="317" t="str">
        <f t="shared" si="155"/>
        <v/>
      </c>
      <c r="T2018" s="317" t="str">
        <f>GLOBAL_DER_FEV_2023!S2018</f>
        <v/>
      </c>
      <c r="W2018" s="582">
        <v>0</v>
      </c>
      <c r="X2018" s="580"/>
      <c r="Y2018" s="583">
        <f>IF(GLOBAL_DER_FEV_2023!W2018=0,0,IF(GLOBAL_DER_FEV_2023!W2018&gt;0,"c","b"))</f>
        <v>0</v>
      </c>
    </row>
    <row r="2019" spans="1:25" ht="15" hidden="1" customHeight="1" x14ac:dyDescent="0.2">
      <c r="A2019" s="317" t="s">
        <v>147</v>
      </c>
      <c r="B2019" s="895" t="s">
        <v>147</v>
      </c>
      <c r="C2019" s="896"/>
      <c r="D2019" s="906" t="s">
        <v>336</v>
      </c>
      <c r="E2019" s="907">
        <f>GLOBAL_DER_FEV_2023!E2019</f>
        <v>40</v>
      </c>
      <c r="F2019" s="908">
        <f>GLOBAL_DER_FEV_2023!F2019</f>
        <v>0.53</v>
      </c>
      <c r="G2019" s="949">
        <f>GLOBAL_DER_FEV_2023!G2019</f>
        <v>24.104400000000002</v>
      </c>
      <c r="H2019" s="901">
        <f>GLOBAL_DER_FEV_2023!H2019</f>
        <v>0</v>
      </c>
      <c r="I2019" s="901">
        <f>GLOBAL_DER_FEV_2023!I2019</f>
        <v>0</v>
      </c>
      <c r="J2019" s="902">
        <f>GLOBAL_DER_FEV_2023!J2019</f>
        <v>0</v>
      </c>
      <c r="K2019" s="903"/>
      <c r="L2019" s="1177"/>
      <c r="M2019" s="1138">
        <f t="shared" si="152"/>
        <v>0</v>
      </c>
      <c r="N2019" s="1176">
        <f t="shared" si="156"/>
        <v>0</v>
      </c>
      <c r="O2019" s="905"/>
      <c r="P2019" s="36" t="str">
        <f>IF(N2016&gt;0,"xx",IF(N2016&gt;0,"xy",""))</f>
        <v/>
      </c>
      <c r="Q2019" s="317" t="str">
        <f t="shared" si="153"/>
        <v/>
      </c>
      <c r="R2019" s="317" t="str">
        <f t="shared" si="154"/>
        <v/>
      </c>
      <c r="S2019" s="317" t="str">
        <f t="shared" si="155"/>
        <v/>
      </c>
      <c r="T2019" s="317" t="str">
        <f>GLOBAL_DER_FEV_2023!S2019</f>
        <v/>
      </c>
      <c r="W2019" s="582">
        <v>0</v>
      </c>
      <c r="X2019" s="580"/>
      <c r="Y2019" s="583">
        <f>IF(GLOBAL_DER_FEV_2023!W2019=0,0,IF(GLOBAL_DER_FEV_2023!W2019&gt;0,"c","b"))</f>
        <v>0</v>
      </c>
    </row>
    <row r="2020" spans="1:25" ht="15" hidden="1" customHeight="1" x14ac:dyDescent="0.2">
      <c r="A2020" s="317">
        <v>610800</v>
      </c>
      <c r="B2020" s="895" t="s">
        <v>1837</v>
      </c>
      <c r="C2020" s="896" t="s">
        <v>184</v>
      </c>
      <c r="D2020" s="906" t="s">
        <v>2029</v>
      </c>
      <c r="E2020" s="907">
        <f>GLOBAL_DER_FEV_2023!E2020</f>
        <v>0</v>
      </c>
      <c r="F2020" s="908">
        <f>GLOBAL_DER_FEV_2023!F2020</f>
        <v>0</v>
      </c>
      <c r="G2020" s="912">
        <f>GLOBAL_DER_FEV_2023!G2020</f>
        <v>34.006816000000008</v>
      </c>
      <c r="H2020" s="901">
        <f>GLOBAL_DER_FEV_2023!H2020</f>
        <v>514.41999999999996</v>
      </c>
      <c r="I2020" s="901">
        <f>GLOBAL_DER_FEV_2023!I2020</f>
        <v>548.42681599999992</v>
      </c>
      <c r="J2020" s="902">
        <f>GLOBAL_DER_FEV_2023!J2020</f>
        <v>658.5</v>
      </c>
      <c r="K2020" s="903" t="s">
        <v>13</v>
      </c>
      <c r="L2020" s="1137"/>
      <c r="M2020" s="1138">
        <f t="shared" si="152"/>
        <v>0</v>
      </c>
      <c r="N2020" s="1176">
        <f t="shared" si="156"/>
        <v>0</v>
      </c>
      <c r="O2020" s="905"/>
      <c r="Q2020" s="317" t="str">
        <f t="shared" si="153"/>
        <v/>
      </c>
      <c r="R2020" s="317" t="str">
        <f t="shared" si="154"/>
        <v/>
      </c>
      <c r="S2020" s="317" t="str">
        <f t="shared" si="155"/>
        <v/>
      </c>
      <c r="T2020" s="317" t="str">
        <f>GLOBAL_DER_FEV_2023!S2020</f>
        <v/>
      </c>
      <c r="W2020" s="582">
        <v>0</v>
      </c>
      <c r="X2020" s="580"/>
      <c r="Y2020" s="583">
        <f>IF(GLOBAL_DER_FEV_2023!W2020=0,0,IF(GLOBAL_DER_FEV_2023!W2020&gt;0,"c","b"))</f>
        <v>0</v>
      </c>
    </row>
    <row r="2021" spans="1:25" ht="15" hidden="1" customHeight="1" x14ac:dyDescent="0.2">
      <c r="A2021" s="317" t="s">
        <v>147</v>
      </c>
      <c r="B2021" s="895" t="s">
        <v>147</v>
      </c>
      <c r="C2021" s="896"/>
      <c r="D2021" s="906" t="s">
        <v>190</v>
      </c>
      <c r="E2021" s="907">
        <f>GLOBAL_DER_FEV_2023!E2021</f>
        <v>308</v>
      </c>
      <c r="F2021" s="908">
        <f>GLOBAL_DER_FEV_2023!F2021</f>
        <v>3.2000000000000002E-3</v>
      </c>
      <c r="G2021" s="909">
        <f>GLOBAL_DER_FEV_2023!G2021</f>
        <v>0.79379200000000005</v>
      </c>
      <c r="H2021" s="901">
        <f>GLOBAL_DER_FEV_2023!H2021</f>
        <v>0</v>
      </c>
      <c r="I2021" s="901">
        <f>GLOBAL_DER_FEV_2023!I2021</f>
        <v>0</v>
      </c>
      <c r="J2021" s="902">
        <f>GLOBAL_DER_FEV_2023!J2021</f>
        <v>0</v>
      </c>
      <c r="K2021" s="903"/>
      <c r="L2021" s="1177"/>
      <c r="M2021" s="1138">
        <f t="shared" si="152"/>
        <v>0</v>
      </c>
      <c r="N2021" s="1176">
        <f t="shared" si="156"/>
        <v>0</v>
      </c>
      <c r="O2021" s="905"/>
      <c r="P2021" s="36" t="str">
        <f>IF(N2020&gt;0,"xx",IF(N2020&gt;0,"xy",""))</f>
        <v/>
      </c>
      <c r="Q2021" s="317" t="str">
        <f t="shared" si="153"/>
        <v/>
      </c>
      <c r="R2021" s="317" t="str">
        <f t="shared" si="154"/>
        <v/>
      </c>
      <c r="S2021" s="317" t="str">
        <f t="shared" si="155"/>
        <v/>
      </c>
      <c r="T2021" s="317" t="str">
        <f>GLOBAL_DER_FEV_2023!S2021</f>
        <v/>
      </c>
      <c r="W2021" s="582">
        <v>0</v>
      </c>
      <c r="X2021" s="580"/>
      <c r="Y2021" s="583">
        <f>IF(GLOBAL_DER_FEV_2023!W2021=0,0,IF(GLOBAL_DER_FEV_2023!W2021&gt;0,"c","b"))</f>
        <v>0</v>
      </c>
    </row>
    <row r="2022" spans="1:25" ht="15" hidden="1" customHeight="1" x14ac:dyDescent="0.2">
      <c r="A2022" s="317" t="s">
        <v>147</v>
      </c>
      <c r="B2022" s="895" t="s">
        <v>147</v>
      </c>
      <c r="C2022" s="896"/>
      <c r="D2022" s="906" t="s">
        <v>229</v>
      </c>
      <c r="E2022" s="907">
        <f>GLOBAL_DER_FEV_2023!E2022</f>
        <v>150</v>
      </c>
      <c r="F2022" s="908">
        <f>GLOBAL_DER_FEV_2023!F2022</f>
        <v>1.6799999999999999E-2</v>
      </c>
      <c r="G2022" s="949">
        <f>GLOBAL_DER_FEV_2023!G2022</f>
        <v>2.7414239999999999</v>
      </c>
      <c r="H2022" s="901">
        <f>GLOBAL_DER_FEV_2023!H2022</f>
        <v>0</v>
      </c>
      <c r="I2022" s="901">
        <f>GLOBAL_DER_FEV_2023!I2022</f>
        <v>0</v>
      </c>
      <c r="J2022" s="902">
        <f>GLOBAL_DER_FEV_2023!J2022</f>
        <v>0</v>
      </c>
      <c r="K2022" s="903"/>
      <c r="L2022" s="1177"/>
      <c r="M2022" s="1138">
        <f t="shared" si="152"/>
        <v>0</v>
      </c>
      <c r="N2022" s="1176">
        <f t="shared" si="156"/>
        <v>0</v>
      </c>
      <c r="O2022" s="905"/>
      <c r="P2022" s="36" t="str">
        <f>IF(N2020&gt;0,"xx",IF(N2020&gt;0,"xy",""))</f>
        <v/>
      </c>
      <c r="Q2022" s="317" t="str">
        <f t="shared" si="153"/>
        <v/>
      </c>
      <c r="R2022" s="317" t="str">
        <f t="shared" si="154"/>
        <v/>
      </c>
      <c r="S2022" s="317" t="str">
        <f t="shared" si="155"/>
        <v/>
      </c>
      <c r="T2022" s="317" t="str">
        <f>GLOBAL_DER_FEV_2023!S2022</f>
        <v/>
      </c>
      <c r="W2022" s="582">
        <v>0</v>
      </c>
      <c r="X2022" s="580"/>
      <c r="Y2022" s="583">
        <f>IF(GLOBAL_DER_FEV_2023!W2022=0,0,IF(GLOBAL_DER_FEV_2023!W2022&gt;0,"c","b"))</f>
        <v>0</v>
      </c>
    </row>
    <row r="2023" spans="1:25" ht="15" hidden="1" customHeight="1" x14ac:dyDescent="0.2">
      <c r="A2023" s="317" t="s">
        <v>147</v>
      </c>
      <c r="B2023" s="895" t="s">
        <v>147</v>
      </c>
      <c r="C2023" s="896"/>
      <c r="D2023" s="906" t="s">
        <v>336</v>
      </c>
      <c r="E2023" s="907">
        <f>GLOBAL_DER_FEV_2023!E2023</f>
        <v>40</v>
      </c>
      <c r="F2023" s="908">
        <f>GLOBAL_DER_FEV_2023!F2023</f>
        <v>0.67</v>
      </c>
      <c r="G2023" s="949">
        <f>GLOBAL_DER_FEV_2023!G2023</f>
        <v>30.471600000000006</v>
      </c>
      <c r="H2023" s="901">
        <f>GLOBAL_DER_FEV_2023!H2023</f>
        <v>0</v>
      </c>
      <c r="I2023" s="901">
        <f>GLOBAL_DER_FEV_2023!I2023</f>
        <v>0</v>
      </c>
      <c r="J2023" s="902">
        <f>GLOBAL_DER_FEV_2023!J2023</f>
        <v>0</v>
      </c>
      <c r="K2023" s="903"/>
      <c r="L2023" s="1177"/>
      <c r="M2023" s="1138">
        <f t="shared" si="152"/>
        <v>0</v>
      </c>
      <c r="N2023" s="1176">
        <f t="shared" si="156"/>
        <v>0</v>
      </c>
      <c r="O2023" s="905"/>
      <c r="P2023" s="36" t="str">
        <f>IF(N2020&gt;0,"xx",IF(N2020&gt;0,"xy",""))</f>
        <v/>
      </c>
      <c r="Q2023" s="317" t="str">
        <f t="shared" si="153"/>
        <v/>
      </c>
      <c r="R2023" s="317" t="str">
        <f t="shared" si="154"/>
        <v/>
      </c>
      <c r="S2023" s="317" t="str">
        <f t="shared" si="155"/>
        <v/>
      </c>
      <c r="T2023" s="317" t="str">
        <f>GLOBAL_DER_FEV_2023!S2023</f>
        <v/>
      </c>
      <c r="W2023" s="582">
        <v>0</v>
      </c>
      <c r="X2023" s="580"/>
      <c r="Y2023" s="583">
        <f>IF(GLOBAL_DER_FEV_2023!W2023=0,0,IF(GLOBAL_DER_FEV_2023!W2023&gt;0,"c","b"))</f>
        <v>0</v>
      </c>
    </row>
    <row r="2024" spans="1:25" ht="15" hidden="1" customHeight="1" x14ac:dyDescent="0.2">
      <c r="A2024" s="317">
        <v>611000</v>
      </c>
      <c r="B2024" s="895" t="s">
        <v>1844</v>
      </c>
      <c r="C2024" s="896" t="s">
        <v>184</v>
      </c>
      <c r="D2024" s="906" t="s">
        <v>2030</v>
      </c>
      <c r="E2024" s="907">
        <f>GLOBAL_DER_FEV_2023!E2024</f>
        <v>0</v>
      </c>
      <c r="F2024" s="908">
        <f>GLOBAL_DER_FEV_2023!F2024</f>
        <v>0</v>
      </c>
      <c r="G2024" s="912">
        <f>GLOBAL_DER_FEV_2023!G2024</f>
        <v>42.394820000000003</v>
      </c>
      <c r="H2024" s="901">
        <f>GLOBAL_DER_FEV_2023!H2024</f>
        <v>803.98</v>
      </c>
      <c r="I2024" s="901">
        <f>GLOBAL_DER_FEV_2023!I2024</f>
        <v>846.37482</v>
      </c>
      <c r="J2024" s="902">
        <f>GLOBAL_DER_FEV_2023!J2024</f>
        <v>1016.24</v>
      </c>
      <c r="K2024" s="903" t="s">
        <v>13</v>
      </c>
      <c r="L2024" s="1137"/>
      <c r="M2024" s="1138">
        <f t="shared" si="152"/>
        <v>0</v>
      </c>
      <c r="N2024" s="1176">
        <f t="shared" si="156"/>
        <v>0</v>
      </c>
      <c r="O2024" s="905"/>
      <c r="Q2024" s="317" t="str">
        <f t="shared" si="153"/>
        <v/>
      </c>
      <c r="R2024" s="317" t="str">
        <f t="shared" si="154"/>
        <v/>
      </c>
      <c r="S2024" s="317" t="str">
        <f t="shared" si="155"/>
        <v/>
      </c>
      <c r="T2024" s="317" t="str">
        <f>GLOBAL_DER_FEV_2023!S2024</f>
        <v/>
      </c>
      <c r="W2024" s="582">
        <v>0</v>
      </c>
      <c r="X2024" s="580"/>
      <c r="Y2024" s="583">
        <f>IF(GLOBAL_DER_FEV_2023!W2024=0,0,IF(GLOBAL_DER_FEV_2023!W2024&gt;0,"c","b"))</f>
        <v>0</v>
      </c>
    </row>
    <row r="2025" spans="1:25" ht="15" hidden="1" customHeight="1" x14ac:dyDescent="0.2">
      <c r="A2025" s="317" t="s">
        <v>147</v>
      </c>
      <c r="B2025" s="895" t="s">
        <v>147</v>
      </c>
      <c r="C2025" s="896"/>
      <c r="D2025" s="906" t="s">
        <v>190</v>
      </c>
      <c r="E2025" s="907">
        <f>GLOBAL_DER_FEV_2023!E2025</f>
        <v>308</v>
      </c>
      <c r="F2025" s="908">
        <f>GLOBAL_DER_FEV_2023!F2025</f>
        <v>4.0000000000000001E-3</v>
      </c>
      <c r="G2025" s="909">
        <f>GLOBAL_DER_FEV_2023!G2025</f>
        <v>0.99224000000000001</v>
      </c>
      <c r="H2025" s="901">
        <f>GLOBAL_DER_FEV_2023!H2025</f>
        <v>0</v>
      </c>
      <c r="I2025" s="901">
        <f>GLOBAL_DER_FEV_2023!I2025</f>
        <v>0</v>
      </c>
      <c r="J2025" s="902">
        <f>GLOBAL_DER_FEV_2023!J2025</f>
        <v>0</v>
      </c>
      <c r="K2025" s="903"/>
      <c r="L2025" s="1177"/>
      <c r="M2025" s="1138">
        <f t="shared" si="152"/>
        <v>0</v>
      </c>
      <c r="N2025" s="1176">
        <f t="shared" si="156"/>
        <v>0</v>
      </c>
      <c r="O2025" s="905"/>
      <c r="P2025" s="36" t="str">
        <f>IF(N2024&gt;0,"xx",IF(N2024&gt;0,"xy",""))</f>
        <v/>
      </c>
      <c r="Q2025" s="317" t="str">
        <f t="shared" si="153"/>
        <v/>
      </c>
      <c r="R2025" s="317" t="str">
        <f t="shared" si="154"/>
        <v/>
      </c>
      <c r="S2025" s="317" t="str">
        <f t="shared" si="155"/>
        <v/>
      </c>
      <c r="T2025" s="317" t="str">
        <f>GLOBAL_DER_FEV_2023!S2025</f>
        <v/>
      </c>
      <c r="W2025" s="582">
        <v>0</v>
      </c>
      <c r="X2025" s="580"/>
      <c r="Y2025" s="583">
        <f>IF(GLOBAL_DER_FEV_2023!W2025=0,0,IF(GLOBAL_DER_FEV_2023!W2025&gt;0,"c","b"))</f>
        <v>0</v>
      </c>
    </row>
    <row r="2026" spans="1:25" ht="15" hidden="1" customHeight="1" x14ac:dyDescent="0.2">
      <c r="A2026" s="317" t="s">
        <v>147</v>
      </c>
      <c r="B2026" s="895" t="s">
        <v>147</v>
      </c>
      <c r="C2026" s="896"/>
      <c r="D2026" s="906" t="s">
        <v>229</v>
      </c>
      <c r="E2026" s="907">
        <f>GLOBAL_DER_FEV_2023!E2026</f>
        <v>150</v>
      </c>
      <c r="F2026" s="908">
        <f>GLOBAL_DER_FEV_2023!F2026</f>
        <v>2.1000000000000001E-2</v>
      </c>
      <c r="G2026" s="949">
        <f>GLOBAL_DER_FEV_2023!G2026</f>
        <v>3.4267800000000004</v>
      </c>
      <c r="H2026" s="901">
        <f>GLOBAL_DER_FEV_2023!H2026</f>
        <v>0</v>
      </c>
      <c r="I2026" s="901">
        <f>GLOBAL_DER_FEV_2023!I2026</f>
        <v>0</v>
      </c>
      <c r="J2026" s="902">
        <f>GLOBAL_DER_FEV_2023!J2026</f>
        <v>0</v>
      </c>
      <c r="K2026" s="903"/>
      <c r="L2026" s="1177"/>
      <c r="M2026" s="1138">
        <f t="shared" si="152"/>
        <v>0</v>
      </c>
      <c r="N2026" s="1176">
        <f t="shared" si="156"/>
        <v>0</v>
      </c>
      <c r="O2026" s="905"/>
      <c r="P2026" s="36" t="str">
        <f>IF(N2024&gt;0,"xx",IF(N2024&gt;0,"xy",""))</f>
        <v/>
      </c>
      <c r="Q2026" s="317" t="str">
        <f t="shared" si="153"/>
        <v/>
      </c>
      <c r="R2026" s="317" t="str">
        <f t="shared" si="154"/>
        <v/>
      </c>
      <c r="S2026" s="317" t="str">
        <f t="shared" si="155"/>
        <v/>
      </c>
      <c r="T2026" s="317" t="str">
        <f>GLOBAL_DER_FEV_2023!S2026</f>
        <v/>
      </c>
      <c r="W2026" s="582">
        <v>0</v>
      </c>
      <c r="X2026" s="580"/>
      <c r="Y2026" s="583">
        <f>IF(GLOBAL_DER_FEV_2023!W2026=0,0,IF(GLOBAL_DER_FEV_2023!W2026&gt;0,"c","b"))</f>
        <v>0</v>
      </c>
    </row>
    <row r="2027" spans="1:25" ht="15" hidden="1" customHeight="1" x14ac:dyDescent="0.2">
      <c r="A2027" s="317" t="s">
        <v>147</v>
      </c>
      <c r="B2027" s="895" t="s">
        <v>147</v>
      </c>
      <c r="C2027" s="896"/>
      <c r="D2027" s="906" t="s">
        <v>336</v>
      </c>
      <c r="E2027" s="907">
        <f>GLOBAL_DER_FEV_2023!E2027</f>
        <v>40</v>
      </c>
      <c r="F2027" s="908">
        <f>GLOBAL_DER_FEV_2023!F2027</f>
        <v>0.83499999999999996</v>
      </c>
      <c r="G2027" s="949">
        <f>GLOBAL_DER_FEV_2023!G2027</f>
        <v>37.9758</v>
      </c>
      <c r="H2027" s="901">
        <f>GLOBAL_DER_FEV_2023!H2027</f>
        <v>0</v>
      </c>
      <c r="I2027" s="901">
        <f>GLOBAL_DER_FEV_2023!I2027</f>
        <v>0</v>
      </c>
      <c r="J2027" s="902">
        <f>GLOBAL_DER_FEV_2023!J2027</f>
        <v>0</v>
      </c>
      <c r="K2027" s="903"/>
      <c r="L2027" s="1177"/>
      <c r="M2027" s="1138">
        <f t="shared" si="152"/>
        <v>0</v>
      </c>
      <c r="N2027" s="1176">
        <f t="shared" si="156"/>
        <v>0</v>
      </c>
      <c r="O2027" s="905"/>
      <c r="P2027" s="36" t="str">
        <f>IF(N2024&gt;0,"xx",IF(N2024&gt;0,"xy",""))</f>
        <v/>
      </c>
      <c r="Q2027" s="317" t="str">
        <f t="shared" si="153"/>
        <v/>
      </c>
      <c r="R2027" s="317" t="str">
        <f t="shared" si="154"/>
        <v/>
      </c>
      <c r="S2027" s="317" t="str">
        <f t="shared" si="155"/>
        <v/>
      </c>
      <c r="T2027" s="317" t="str">
        <f>GLOBAL_DER_FEV_2023!S2027</f>
        <v/>
      </c>
      <c r="W2027" s="582">
        <v>0</v>
      </c>
      <c r="X2027" s="580"/>
      <c r="Y2027" s="583">
        <f>IF(GLOBAL_DER_FEV_2023!W2027=0,0,IF(GLOBAL_DER_FEV_2023!W2027&gt;0,"c","b"))</f>
        <v>0</v>
      </c>
    </row>
    <row r="2028" spans="1:25" ht="15" hidden="1" customHeight="1" x14ac:dyDescent="0.2">
      <c r="A2028" s="317">
        <v>611000</v>
      </c>
      <c r="B2028" s="895" t="s">
        <v>1845</v>
      </c>
      <c r="C2028" s="896" t="s">
        <v>184</v>
      </c>
      <c r="D2028" s="906" t="s">
        <v>2031</v>
      </c>
      <c r="E2028" s="907">
        <f>GLOBAL_DER_FEV_2023!E2028</f>
        <v>0</v>
      </c>
      <c r="F2028" s="908">
        <f>GLOBAL_DER_FEV_2023!F2028</f>
        <v>0</v>
      </c>
      <c r="G2028" s="912">
        <f>GLOBAL_DER_FEV_2023!G2028</f>
        <v>50.782824000000005</v>
      </c>
      <c r="H2028" s="901">
        <f>GLOBAL_DER_FEV_2023!H2028</f>
        <v>803.98</v>
      </c>
      <c r="I2028" s="901">
        <f>GLOBAL_DER_FEV_2023!I2028</f>
        <v>854.76282400000002</v>
      </c>
      <c r="J2028" s="902">
        <f>GLOBAL_DER_FEV_2023!J2028</f>
        <v>1026.31</v>
      </c>
      <c r="K2028" s="903" t="s">
        <v>13</v>
      </c>
      <c r="L2028" s="1137"/>
      <c r="M2028" s="1138">
        <f t="shared" si="152"/>
        <v>0</v>
      </c>
      <c r="N2028" s="1176">
        <f t="shared" si="156"/>
        <v>0</v>
      </c>
      <c r="O2028" s="905"/>
      <c r="Q2028" s="317" t="str">
        <f t="shared" si="153"/>
        <v/>
      </c>
      <c r="R2028" s="317" t="str">
        <f t="shared" si="154"/>
        <v/>
      </c>
      <c r="S2028" s="317" t="str">
        <f t="shared" si="155"/>
        <v/>
      </c>
      <c r="T2028" s="317" t="str">
        <f>GLOBAL_DER_FEV_2023!S2028</f>
        <v/>
      </c>
      <c r="W2028" s="582">
        <v>0</v>
      </c>
      <c r="X2028" s="580"/>
      <c r="Y2028" s="583">
        <f>IF(GLOBAL_DER_FEV_2023!W2028=0,0,IF(GLOBAL_DER_FEV_2023!W2028&gt;0,"c","b"))</f>
        <v>0</v>
      </c>
    </row>
    <row r="2029" spans="1:25" ht="15" hidden="1" customHeight="1" x14ac:dyDescent="0.2">
      <c r="A2029" s="317" t="s">
        <v>147</v>
      </c>
      <c r="B2029" s="895" t="s">
        <v>147</v>
      </c>
      <c r="C2029" s="896"/>
      <c r="D2029" s="906" t="s">
        <v>190</v>
      </c>
      <c r="E2029" s="907">
        <f>GLOBAL_DER_FEV_2023!E2029</f>
        <v>308</v>
      </c>
      <c r="F2029" s="908">
        <f>GLOBAL_DER_FEV_2023!F2029</f>
        <v>4.7999999999999996E-3</v>
      </c>
      <c r="G2029" s="909">
        <f>GLOBAL_DER_FEV_2023!G2029</f>
        <v>1.190688</v>
      </c>
      <c r="H2029" s="901">
        <f>GLOBAL_DER_FEV_2023!H2029</f>
        <v>0</v>
      </c>
      <c r="I2029" s="901">
        <f>GLOBAL_DER_FEV_2023!I2029</f>
        <v>0</v>
      </c>
      <c r="J2029" s="902">
        <f>GLOBAL_DER_FEV_2023!J2029</f>
        <v>0</v>
      </c>
      <c r="K2029" s="903"/>
      <c r="L2029" s="1177"/>
      <c r="M2029" s="1138">
        <f t="shared" si="152"/>
        <v>0</v>
      </c>
      <c r="N2029" s="1176">
        <f t="shared" si="156"/>
        <v>0</v>
      </c>
      <c r="O2029" s="905"/>
      <c r="P2029" s="36" t="str">
        <f>IF(N2028&gt;0,"xx",IF(N2028&gt;0,"xy",""))</f>
        <v/>
      </c>
      <c r="Q2029" s="317" t="str">
        <f t="shared" si="153"/>
        <v/>
      </c>
      <c r="R2029" s="317" t="str">
        <f t="shared" si="154"/>
        <v/>
      </c>
      <c r="S2029" s="317" t="str">
        <f t="shared" si="155"/>
        <v/>
      </c>
      <c r="T2029" s="317" t="str">
        <f>GLOBAL_DER_FEV_2023!S2029</f>
        <v/>
      </c>
      <c r="W2029" s="582">
        <v>0</v>
      </c>
      <c r="X2029" s="580"/>
      <c r="Y2029" s="583">
        <f>IF(GLOBAL_DER_FEV_2023!W2029=0,0,IF(GLOBAL_DER_FEV_2023!W2029&gt;0,"c","b"))</f>
        <v>0</v>
      </c>
    </row>
    <row r="2030" spans="1:25" ht="15" hidden="1" customHeight="1" x14ac:dyDescent="0.2">
      <c r="A2030" s="317" t="s">
        <v>147</v>
      </c>
      <c r="B2030" s="895" t="s">
        <v>147</v>
      </c>
      <c r="C2030" s="896"/>
      <c r="D2030" s="906" t="s">
        <v>229</v>
      </c>
      <c r="E2030" s="907">
        <f>GLOBAL_DER_FEV_2023!E2030</f>
        <v>150</v>
      </c>
      <c r="F2030" s="908">
        <f>GLOBAL_DER_FEV_2023!F2030</f>
        <v>2.52E-2</v>
      </c>
      <c r="G2030" s="949">
        <f>GLOBAL_DER_FEV_2023!G2030</f>
        <v>4.1121360000000005</v>
      </c>
      <c r="H2030" s="901">
        <f>GLOBAL_DER_FEV_2023!H2030</f>
        <v>0</v>
      </c>
      <c r="I2030" s="901">
        <f>GLOBAL_DER_FEV_2023!I2030</f>
        <v>0</v>
      </c>
      <c r="J2030" s="902">
        <f>GLOBAL_DER_FEV_2023!J2030</f>
        <v>0</v>
      </c>
      <c r="K2030" s="903"/>
      <c r="L2030" s="1177"/>
      <c r="M2030" s="1138">
        <f t="shared" si="152"/>
        <v>0</v>
      </c>
      <c r="N2030" s="1176">
        <f t="shared" si="156"/>
        <v>0</v>
      </c>
      <c r="O2030" s="905"/>
      <c r="P2030" s="36" t="str">
        <f>IF(N2028&gt;0,"xx",IF(N2028&gt;0,"xy",""))</f>
        <v/>
      </c>
      <c r="Q2030" s="317" t="str">
        <f t="shared" si="153"/>
        <v/>
      </c>
      <c r="R2030" s="317" t="str">
        <f t="shared" si="154"/>
        <v/>
      </c>
      <c r="S2030" s="317" t="str">
        <f t="shared" si="155"/>
        <v/>
      </c>
      <c r="T2030" s="317" t="str">
        <f>GLOBAL_DER_FEV_2023!S2030</f>
        <v/>
      </c>
      <c r="W2030" s="582">
        <v>0</v>
      </c>
      <c r="X2030" s="580"/>
      <c r="Y2030" s="583">
        <f>IF(GLOBAL_DER_FEV_2023!W2030=0,0,IF(GLOBAL_DER_FEV_2023!W2030&gt;0,"c","b"))</f>
        <v>0</v>
      </c>
    </row>
    <row r="2031" spans="1:25" ht="15" hidden="1" customHeight="1" x14ac:dyDescent="0.2">
      <c r="A2031" s="317" t="s">
        <v>147</v>
      </c>
      <c r="B2031" s="895" t="s">
        <v>147</v>
      </c>
      <c r="C2031" s="896"/>
      <c r="D2031" s="906" t="s">
        <v>336</v>
      </c>
      <c r="E2031" s="907">
        <f>GLOBAL_DER_FEV_2023!E2031</f>
        <v>40</v>
      </c>
      <c r="F2031" s="908">
        <f>GLOBAL_DER_FEV_2023!F2031</f>
        <v>1</v>
      </c>
      <c r="G2031" s="949">
        <f>GLOBAL_DER_FEV_2023!G2031</f>
        <v>45.480000000000004</v>
      </c>
      <c r="H2031" s="901">
        <f>GLOBAL_DER_FEV_2023!H2031</f>
        <v>0</v>
      </c>
      <c r="I2031" s="901">
        <f>GLOBAL_DER_FEV_2023!I2031</f>
        <v>0</v>
      </c>
      <c r="J2031" s="902">
        <f>GLOBAL_DER_FEV_2023!J2031</f>
        <v>0</v>
      </c>
      <c r="K2031" s="903"/>
      <c r="L2031" s="1177"/>
      <c r="M2031" s="1138">
        <f t="shared" si="152"/>
        <v>0</v>
      </c>
      <c r="N2031" s="1176">
        <f t="shared" si="156"/>
        <v>0</v>
      </c>
      <c r="O2031" s="905"/>
      <c r="P2031" s="36" t="str">
        <f>IF(N2028&gt;0,"xx",IF(N2028&gt;0,"xy",""))</f>
        <v/>
      </c>
      <c r="Q2031" s="317" t="str">
        <f t="shared" si="153"/>
        <v/>
      </c>
      <c r="R2031" s="317" t="str">
        <f t="shared" si="154"/>
        <v/>
      </c>
      <c r="S2031" s="317" t="str">
        <f t="shared" si="155"/>
        <v/>
      </c>
      <c r="T2031" s="317" t="str">
        <f>GLOBAL_DER_FEV_2023!S2031</f>
        <v/>
      </c>
      <c r="W2031" s="582">
        <v>0</v>
      </c>
      <c r="X2031" s="580"/>
      <c r="Y2031" s="583">
        <f>IF(GLOBAL_DER_FEV_2023!W2031=0,0,IF(GLOBAL_DER_FEV_2023!W2031&gt;0,"c","b"))</f>
        <v>0</v>
      </c>
    </row>
    <row r="2032" spans="1:25" ht="15" hidden="1" customHeight="1" x14ac:dyDescent="0.2">
      <c r="A2032" s="317">
        <v>611200</v>
      </c>
      <c r="B2032" s="895" t="s">
        <v>1847</v>
      </c>
      <c r="C2032" s="896" t="s">
        <v>184</v>
      </c>
      <c r="D2032" s="906" t="s">
        <v>2032</v>
      </c>
      <c r="E2032" s="907">
        <f>GLOBAL_DER_FEV_2023!E2032</f>
        <v>0</v>
      </c>
      <c r="F2032" s="908">
        <f>GLOBAL_DER_FEV_2023!F2032</f>
        <v>0</v>
      </c>
      <c r="G2032" s="912">
        <f>GLOBAL_DER_FEV_2023!G2032</f>
        <v>72.586438000000001</v>
      </c>
      <c r="H2032" s="901">
        <f>GLOBAL_DER_FEV_2023!H2032</f>
        <v>1026.27</v>
      </c>
      <c r="I2032" s="901">
        <f>GLOBAL_DER_FEV_2023!I2032</f>
        <v>1098.856438</v>
      </c>
      <c r="J2032" s="902">
        <f>GLOBAL_DER_FEV_2023!J2032</f>
        <v>1319.4</v>
      </c>
      <c r="K2032" s="903" t="s">
        <v>13</v>
      </c>
      <c r="L2032" s="1137"/>
      <c r="M2032" s="1138">
        <f t="shared" si="152"/>
        <v>0</v>
      </c>
      <c r="N2032" s="1176">
        <f t="shared" si="156"/>
        <v>0</v>
      </c>
      <c r="O2032" s="905"/>
      <c r="Q2032" s="317" t="str">
        <f t="shared" si="153"/>
        <v/>
      </c>
      <c r="R2032" s="317" t="str">
        <f t="shared" si="154"/>
        <v/>
      </c>
      <c r="S2032" s="317" t="str">
        <f t="shared" si="155"/>
        <v/>
      </c>
      <c r="T2032" s="317" t="str">
        <f>GLOBAL_DER_FEV_2023!S2032</f>
        <v/>
      </c>
      <c r="W2032" s="582">
        <v>0</v>
      </c>
      <c r="X2032" s="580"/>
      <c r="Y2032" s="583">
        <f>IF(GLOBAL_DER_FEV_2023!W2032=0,0,IF(GLOBAL_DER_FEV_2023!W2032&gt;0,"c","b"))</f>
        <v>0</v>
      </c>
    </row>
    <row r="2033" spans="1:25" ht="15" hidden="1" customHeight="1" x14ac:dyDescent="0.2">
      <c r="A2033" s="317" t="s">
        <v>147</v>
      </c>
      <c r="B2033" s="895" t="s">
        <v>147</v>
      </c>
      <c r="C2033" s="896"/>
      <c r="D2033" s="906" t="s">
        <v>190</v>
      </c>
      <c r="E2033" s="907">
        <f>GLOBAL_DER_FEV_2023!E2033</f>
        <v>308</v>
      </c>
      <c r="F2033" s="908">
        <f>GLOBAL_DER_FEV_2023!F2033</f>
        <v>6.4999999999999997E-3</v>
      </c>
      <c r="G2033" s="909">
        <f>GLOBAL_DER_FEV_2023!G2033</f>
        <v>1.61239</v>
      </c>
      <c r="H2033" s="901">
        <f>GLOBAL_DER_FEV_2023!H2033</f>
        <v>0</v>
      </c>
      <c r="I2033" s="901">
        <f>GLOBAL_DER_FEV_2023!I2033</f>
        <v>0</v>
      </c>
      <c r="J2033" s="902">
        <f>GLOBAL_DER_FEV_2023!J2033</f>
        <v>0</v>
      </c>
      <c r="K2033" s="903"/>
      <c r="L2033" s="1177"/>
      <c r="M2033" s="1138">
        <f t="shared" si="152"/>
        <v>0</v>
      </c>
      <c r="N2033" s="1176">
        <f t="shared" si="156"/>
        <v>0</v>
      </c>
      <c r="O2033" s="905"/>
      <c r="P2033" s="36" t="str">
        <f>IF(N2032&gt;0,"xx",IF(N2032&gt;0,"xy",""))</f>
        <v/>
      </c>
      <c r="Q2033" s="317" t="str">
        <f t="shared" si="153"/>
        <v/>
      </c>
      <c r="R2033" s="317" t="str">
        <f t="shared" si="154"/>
        <v/>
      </c>
      <c r="S2033" s="317" t="str">
        <f t="shared" si="155"/>
        <v/>
      </c>
      <c r="T2033" s="317" t="str">
        <f>GLOBAL_DER_FEV_2023!S2033</f>
        <v/>
      </c>
      <c r="W2033" s="582">
        <v>0</v>
      </c>
      <c r="X2033" s="580"/>
      <c r="Y2033" s="583">
        <f>IF(GLOBAL_DER_FEV_2023!W2033=0,0,IF(GLOBAL_DER_FEV_2023!W2033&gt;0,"c","b"))</f>
        <v>0</v>
      </c>
    </row>
    <row r="2034" spans="1:25" ht="15" hidden="1" customHeight="1" x14ac:dyDescent="0.2">
      <c r="A2034" s="317" t="s">
        <v>147</v>
      </c>
      <c r="B2034" s="895" t="s">
        <v>147</v>
      </c>
      <c r="C2034" s="896"/>
      <c r="D2034" s="906" t="s">
        <v>229</v>
      </c>
      <c r="E2034" s="907">
        <f>GLOBAL_DER_FEV_2023!E2034</f>
        <v>150</v>
      </c>
      <c r="F2034" s="908">
        <f>GLOBAL_DER_FEV_2023!F2034</f>
        <v>3.3599999999999998E-2</v>
      </c>
      <c r="G2034" s="949">
        <f>GLOBAL_DER_FEV_2023!G2034</f>
        <v>5.4828479999999997</v>
      </c>
      <c r="H2034" s="901">
        <f>GLOBAL_DER_FEV_2023!H2034</f>
        <v>0</v>
      </c>
      <c r="I2034" s="901">
        <f>GLOBAL_DER_FEV_2023!I2034</f>
        <v>0</v>
      </c>
      <c r="J2034" s="902">
        <f>GLOBAL_DER_FEV_2023!J2034</f>
        <v>0</v>
      </c>
      <c r="K2034" s="903"/>
      <c r="L2034" s="1177"/>
      <c r="M2034" s="1138">
        <f t="shared" si="152"/>
        <v>0</v>
      </c>
      <c r="N2034" s="1176">
        <f t="shared" si="156"/>
        <v>0</v>
      </c>
      <c r="O2034" s="905"/>
      <c r="P2034" s="36" t="str">
        <f>IF(N2032&gt;0,"xx",IF(N2032&gt;0,"xy",""))</f>
        <v/>
      </c>
      <c r="Q2034" s="317" t="str">
        <f t="shared" si="153"/>
        <v/>
      </c>
      <c r="R2034" s="317" t="str">
        <f t="shared" si="154"/>
        <v/>
      </c>
      <c r="S2034" s="317" t="str">
        <f t="shared" si="155"/>
        <v/>
      </c>
      <c r="T2034" s="317" t="str">
        <f>GLOBAL_DER_FEV_2023!S2034</f>
        <v/>
      </c>
      <c r="W2034" s="582">
        <v>0</v>
      </c>
      <c r="X2034" s="580"/>
      <c r="Y2034" s="583">
        <f>IF(GLOBAL_DER_FEV_2023!W2034=0,0,IF(GLOBAL_DER_FEV_2023!W2034&gt;0,"c","b"))</f>
        <v>0</v>
      </c>
    </row>
    <row r="2035" spans="1:25" ht="15" hidden="1" customHeight="1" x14ac:dyDescent="0.2">
      <c r="A2035" s="317" t="s">
        <v>147</v>
      </c>
      <c r="B2035" s="895" t="s">
        <v>147</v>
      </c>
      <c r="C2035" s="896"/>
      <c r="D2035" s="906" t="s">
        <v>336</v>
      </c>
      <c r="E2035" s="907">
        <f>GLOBAL_DER_FEV_2023!E2035</f>
        <v>40</v>
      </c>
      <c r="F2035" s="908">
        <f>GLOBAL_DER_FEV_2023!F2035</f>
        <v>1.44</v>
      </c>
      <c r="G2035" s="949">
        <f>GLOBAL_DER_FEV_2023!G2035</f>
        <v>65.491200000000006</v>
      </c>
      <c r="H2035" s="901">
        <f>GLOBAL_DER_FEV_2023!H2035</f>
        <v>0</v>
      </c>
      <c r="I2035" s="901">
        <f>GLOBAL_DER_FEV_2023!I2035</f>
        <v>0</v>
      </c>
      <c r="J2035" s="902">
        <f>GLOBAL_DER_FEV_2023!J2035</f>
        <v>0</v>
      </c>
      <c r="K2035" s="903"/>
      <c r="L2035" s="1177"/>
      <c r="M2035" s="1138">
        <f t="shared" si="152"/>
        <v>0</v>
      </c>
      <c r="N2035" s="1176">
        <f t="shared" si="156"/>
        <v>0</v>
      </c>
      <c r="O2035" s="905"/>
      <c r="P2035" s="36" t="str">
        <f>IF(N2032&gt;0,"xx",IF(N2032&gt;0,"xy",""))</f>
        <v/>
      </c>
      <c r="Q2035" s="317" t="str">
        <f t="shared" si="153"/>
        <v/>
      </c>
      <c r="R2035" s="317" t="str">
        <f t="shared" si="154"/>
        <v/>
      </c>
      <c r="S2035" s="317" t="str">
        <f t="shared" si="155"/>
        <v/>
      </c>
      <c r="T2035" s="317" t="str">
        <f>GLOBAL_DER_FEV_2023!S2035</f>
        <v/>
      </c>
      <c r="W2035" s="582">
        <v>0</v>
      </c>
      <c r="X2035" s="580"/>
      <c r="Y2035" s="583">
        <f>IF(GLOBAL_DER_FEV_2023!W2035=0,0,IF(GLOBAL_DER_FEV_2023!W2035&gt;0,"c","b"))</f>
        <v>0</v>
      </c>
    </row>
    <row r="2036" spans="1:25" ht="15" hidden="1" customHeight="1" x14ac:dyDescent="0.2">
      <c r="A2036" s="317">
        <v>611400</v>
      </c>
      <c r="B2036" s="895" t="s">
        <v>1850</v>
      </c>
      <c r="C2036" s="896" t="s">
        <v>184</v>
      </c>
      <c r="D2036" s="906" t="s">
        <v>2033</v>
      </c>
      <c r="E2036" s="907">
        <f>GLOBAL_DER_FEV_2023!E2036</f>
        <v>0</v>
      </c>
      <c r="F2036" s="908">
        <f>GLOBAL_DER_FEV_2023!F2036</f>
        <v>0</v>
      </c>
      <c r="G2036" s="912">
        <f>GLOBAL_DER_FEV_2023!G2036</f>
        <v>83.904846000000006</v>
      </c>
      <c r="H2036" s="901">
        <f>GLOBAL_DER_FEV_2023!H2036</f>
        <v>1267.57</v>
      </c>
      <c r="I2036" s="901">
        <f>GLOBAL_DER_FEV_2023!I2036</f>
        <v>1351.4748459999998</v>
      </c>
      <c r="J2036" s="902">
        <f>GLOBAL_DER_FEV_2023!J2036</f>
        <v>1622.72</v>
      </c>
      <c r="K2036" s="903" t="s">
        <v>13</v>
      </c>
      <c r="L2036" s="1137"/>
      <c r="M2036" s="1138">
        <f t="shared" si="152"/>
        <v>0</v>
      </c>
      <c r="N2036" s="1176">
        <f t="shared" si="156"/>
        <v>0</v>
      </c>
      <c r="O2036" s="905"/>
      <c r="Q2036" s="317" t="str">
        <f t="shared" si="153"/>
        <v/>
      </c>
      <c r="R2036" s="317" t="str">
        <f t="shared" si="154"/>
        <v/>
      </c>
      <c r="S2036" s="317" t="str">
        <f t="shared" si="155"/>
        <v/>
      </c>
      <c r="T2036" s="317" t="str">
        <f>GLOBAL_DER_FEV_2023!S2036</f>
        <v/>
      </c>
      <c r="W2036" s="582">
        <v>0</v>
      </c>
      <c r="X2036" s="580"/>
      <c r="Y2036" s="583">
        <f>IF(GLOBAL_DER_FEV_2023!W2036=0,0,IF(GLOBAL_DER_FEV_2023!W2036&gt;0,"c","b"))</f>
        <v>0</v>
      </c>
    </row>
    <row r="2037" spans="1:25" ht="15" hidden="1" customHeight="1" x14ac:dyDescent="0.2">
      <c r="A2037" s="317" t="s">
        <v>147</v>
      </c>
      <c r="B2037" s="895" t="s">
        <v>147</v>
      </c>
      <c r="C2037" s="896"/>
      <c r="D2037" s="906" t="s">
        <v>190</v>
      </c>
      <c r="E2037" s="907">
        <f>GLOBAL_DER_FEV_2023!E2037</f>
        <v>308</v>
      </c>
      <c r="F2037" s="908">
        <f>GLOBAL_DER_FEV_2023!F2037</f>
        <v>8.0999999999999996E-3</v>
      </c>
      <c r="G2037" s="909">
        <f>GLOBAL_DER_FEV_2023!G2037</f>
        <v>2.0092859999999999</v>
      </c>
      <c r="H2037" s="901">
        <f>GLOBAL_DER_FEV_2023!H2037</f>
        <v>0</v>
      </c>
      <c r="I2037" s="901" t="str">
        <f>GLOBAL_DER_FEV_2023!I2037</f>
        <v/>
      </c>
      <c r="J2037" s="902">
        <f>GLOBAL_DER_FEV_2023!J2037</f>
        <v>0</v>
      </c>
      <c r="K2037" s="903"/>
      <c r="L2037" s="1177"/>
      <c r="M2037" s="1138">
        <f t="shared" si="152"/>
        <v>0</v>
      </c>
      <c r="N2037" s="1176">
        <f t="shared" si="156"/>
        <v>0</v>
      </c>
      <c r="O2037" s="905"/>
      <c r="P2037" s="36" t="str">
        <f>IF(N2036&gt;0,"xx",IF(N2036&gt;0,"xy",""))</f>
        <v/>
      </c>
      <c r="Q2037" s="317" t="str">
        <f t="shared" si="153"/>
        <v/>
      </c>
      <c r="R2037" s="317" t="str">
        <f t="shared" si="154"/>
        <v/>
      </c>
      <c r="S2037" s="317" t="str">
        <f t="shared" si="155"/>
        <v/>
      </c>
      <c r="T2037" s="317" t="str">
        <f>GLOBAL_DER_FEV_2023!S2037</f>
        <v/>
      </c>
      <c r="W2037" s="582">
        <v>0</v>
      </c>
      <c r="X2037" s="580"/>
      <c r="Y2037" s="583">
        <f>IF(GLOBAL_DER_FEV_2023!W2037=0,0,IF(GLOBAL_DER_FEV_2023!W2037&gt;0,"c","b"))</f>
        <v>0</v>
      </c>
    </row>
    <row r="2038" spans="1:25" ht="15" hidden="1" customHeight="1" x14ac:dyDescent="0.2">
      <c r="A2038" s="317" t="s">
        <v>147</v>
      </c>
      <c r="B2038" s="895" t="s">
        <v>147</v>
      </c>
      <c r="C2038" s="896"/>
      <c r="D2038" s="906" t="s">
        <v>229</v>
      </c>
      <c r="E2038" s="907">
        <f>GLOBAL_DER_FEV_2023!E2038</f>
        <v>150</v>
      </c>
      <c r="F2038" s="908">
        <f>GLOBAL_DER_FEV_2023!F2038</f>
        <v>4.2000000000000003E-2</v>
      </c>
      <c r="G2038" s="949">
        <f>GLOBAL_DER_FEV_2023!G2038</f>
        <v>6.8535600000000008</v>
      </c>
      <c r="H2038" s="901">
        <f>GLOBAL_DER_FEV_2023!H2038</f>
        <v>0</v>
      </c>
      <c r="I2038" s="901" t="str">
        <f>GLOBAL_DER_FEV_2023!I2038</f>
        <v/>
      </c>
      <c r="J2038" s="902">
        <f>GLOBAL_DER_FEV_2023!J2038</f>
        <v>0</v>
      </c>
      <c r="K2038" s="903"/>
      <c r="L2038" s="1177"/>
      <c r="M2038" s="1138">
        <f t="shared" si="152"/>
        <v>0</v>
      </c>
      <c r="N2038" s="1176">
        <f t="shared" si="156"/>
        <v>0</v>
      </c>
      <c r="O2038" s="905"/>
      <c r="P2038" s="36" t="str">
        <f>IF(N2036&gt;0,"xx",IF(N2036&gt;0,"xy",""))</f>
        <v/>
      </c>
      <c r="Q2038" s="317" t="str">
        <f t="shared" si="153"/>
        <v/>
      </c>
      <c r="R2038" s="317" t="str">
        <f t="shared" si="154"/>
        <v/>
      </c>
      <c r="S2038" s="317" t="str">
        <f t="shared" si="155"/>
        <v/>
      </c>
      <c r="T2038" s="317" t="str">
        <f>GLOBAL_DER_FEV_2023!S2038</f>
        <v/>
      </c>
      <c r="W2038" s="582">
        <v>0</v>
      </c>
      <c r="X2038" s="580"/>
      <c r="Y2038" s="583">
        <f>IF(GLOBAL_DER_FEV_2023!W2038=0,0,IF(GLOBAL_DER_FEV_2023!W2038&gt;0,"c","b"))</f>
        <v>0</v>
      </c>
    </row>
    <row r="2039" spans="1:25" ht="15" hidden="1" customHeight="1" x14ac:dyDescent="0.2">
      <c r="A2039" s="317" t="s">
        <v>147</v>
      </c>
      <c r="B2039" s="895" t="s">
        <v>147</v>
      </c>
      <c r="C2039" s="896"/>
      <c r="D2039" s="906" t="s">
        <v>336</v>
      </c>
      <c r="E2039" s="907">
        <f>GLOBAL_DER_FEV_2023!E2039</f>
        <v>40</v>
      </c>
      <c r="F2039" s="908">
        <f>GLOBAL_DER_FEV_2023!F2039</f>
        <v>1.65</v>
      </c>
      <c r="G2039" s="949">
        <f>GLOBAL_DER_FEV_2023!G2039</f>
        <v>75.042000000000002</v>
      </c>
      <c r="H2039" s="901">
        <f>GLOBAL_DER_FEV_2023!H2039</f>
        <v>0</v>
      </c>
      <c r="I2039" s="901" t="str">
        <f>GLOBAL_DER_FEV_2023!I2039</f>
        <v/>
      </c>
      <c r="J2039" s="902">
        <f>GLOBAL_DER_FEV_2023!J2039</f>
        <v>0</v>
      </c>
      <c r="K2039" s="903"/>
      <c r="L2039" s="1177"/>
      <c r="M2039" s="1138">
        <f t="shared" si="152"/>
        <v>0</v>
      </c>
      <c r="N2039" s="1176">
        <f t="shared" si="156"/>
        <v>0</v>
      </c>
      <c r="O2039" s="905"/>
      <c r="P2039" s="36" t="str">
        <f>IF(N2036&gt;0,"xx",IF(N2036&gt;0,"xy",""))</f>
        <v/>
      </c>
      <c r="Q2039" s="317" t="str">
        <f t="shared" si="153"/>
        <v/>
      </c>
      <c r="R2039" s="317" t="str">
        <f t="shared" si="154"/>
        <v/>
      </c>
      <c r="S2039" s="317" t="str">
        <f t="shared" si="155"/>
        <v/>
      </c>
      <c r="T2039" s="317" t="str">
        <f>GLOBAL_DER_FEV_2023!S2039</f>
        <v/>
      </c>
      <c r="W2039" s="582">
        <v>0</v>
      </c>
      <c r="X2039" s="580"/>
      <c r="Y2039" s="583">
        <f>IF(GLOBAL_DER_FEV_2023!W2039=0,0,IF(GLOBAL_DER_FEV_2023!W2039&gt;0,"c","b"))</f>
        <v>0</v>
      </c>
    </row>
    <row r="2040" spans="1:25" ht="15" hidden="1" customHeight="1" x14ac:dyDescent="0.2">
      <c r="A2040" s="317">
        <v>611400</v>
      </c>
      <c r="B2040" s="895" t="s">
        <v>1851</v>
      </c>
      <c r="C2040" s="896" t="s">
        <v>184</v>
      </c>
      <c r="D2040" s="906" t="s">
        <v>2034</v>
      </c>
      <c r="E2040" s="907">
        <f>GLOBAL_DER_FEV_2023!E2040</f>
        <v>0</v>
      </c>
      <c r="F2040" s="908">
        <f>GLOBAL_DER_FEV_2023!F2040</f>
        <v>0</v>
      </c>
      <c r="G2040" s="912">
        <f>GLOBAL_DER_FEV_2023!G2040</f>
        <v>101.90895</v>
      </c>
      <c r="H2040" s="901">
        <f>GLOBAL_DER_FEV_2023!H2040</f>
        <v>1267.57</v>
      </c>
      <c r="I2040" s="901">
        <f>GLOBAL_DER_FEV_2023!I2040</f>
        <v>1369.4789499999999</v>
      </c>
      <c r="J2040" s="902">
        <f>GLOBAL_DER_FEV_2023!J2040</f>
        <v>1644.33</v>
      </c>
      <c r="K2040" s="903" t="s">
        <v>13</v>
      </c>
      <c r="L2040" s="1137"/>
      <c r="M2040" s="1138">
        <f t="shared" si="152"/>
        <v>0</v>
      </c>
      <c r="N2040" s="1176">
        <f t="shared" si="156"/>
        <v>0</v>
      </c>
      <c r="O2040" s="905"/>
      <c r="Q2040" s="317" t="str">
        <f t="shared" si="153"/>
        <v/>
      </c>
      <c r="R2040" s="317" t="str">
        <f t="shared" si="154"/>
        <v/>
      </c>
      <c r="S2040" s="317" t="str">
        <f t="shared" si="155"/>
        <v/>
      </c>
      <c r="T2040" s="317" t="str">
        <f>GLOBAL_DER_FEV_2023!S2040</f>
        <v/>
      </c>
      <c r="W2040" s="582">
        <v>0</v>
      </c>
      <c r="X2040" s="580"/>
      <c r="Y2040" s="583">
        <f>IF(GLOBAL_DER_FEV_2023!W2040=0,0,IF(GLOBAL_DER_FEV_2023!W2040&gt;0,"c","b"))</f>
        <v>0</v>
      </c>
    </row>
    <row r="2041" spans="1:25" ht="15" hidden="1" customHeight="1" x14ac:dyDescent="0.2">
      <c r="A2041" s="317" t="s">
        <v>147</v>
      </c>
      <c r="B2041" s="895" t="s">
        <v>147</v>
      </c>
      <c r="C2041" s="896"/>
      <c r="D2041" s="906" t="s">
        <v>190</v>
      </c>
      <c r="E2041" s="907">
        <f>GLOBAL_DER_FEV_2023!E2041</f>
        <v>308</v>
      </c>
      <c r="F2041" s="908">
        <f>GLOBAL_DER_FEV_2023!F2041</f>
        <v>9.1999999999999998E-3</v>
      </c>
      <c r="G2041" s="909">
        <f>GLOBAL_DER_FEV_2023!G2041</f>
        <v>2.282152</v>
      </c>
      <c r="H2041" s="901">
        <f>GLOBAL_DER_FEV_2023!H2041</f>
        <v>0</v>
      </c>
      <c r="I2041" s="901">
        <f>GLOBAL_DER_FEV_2023!I2041</f>
        <v>0</v>
      </c>
      <c r="J2041" s="902">
        <f>GLOBAL_DER_FEV_2023!J2041</f>
        <v>0</v>
      </c>
      <c r="K2041" s="903"/>
      <c r="L2041" s="1177"/>
      <c r="M2041" s="1138">
        <f t="shared" si="152"/>
        <v>0</v>
      </c>
      <c r="N2041" s="1176">
        <f t="shared" si="156"/>
        <v>0</v>
      </c>
      <c r="O2041" s="905"/>
      <c r="P2041" s="36" t="str">
        <f>IF(N2040&gt;0,"xx",IF(N2040&gt;0,"xy",""))</f>
        <v/>
      </c>
      <c r="Q2041" s="317" t="str">
        <f t="shared" si="153"/>
        <v/>
      </c>
      <c r="R2041" s="317" t="str">
        <f t="shared" si="154"/>
        <v/>
      </c>
      <c r="S2041" s="317" t="str">
        <f t="shared" si="155"/>
        <v/>
      </c>
      <c r="T2041" s="317" t="str">
        <f>GLOBAL_DER_FEV_2023!S2041</f>
        <v/>
      </c>
      <c r="W2041" s="582">
        <v>0</v>
      </c>
      <c r="X2041" s="580"/>
      <c r="Y2041" s="583">
        <f>IF(GLOBAL_DER_FEV_2023!W2041=0,0,IF(GLOBAL_DER_FEV_2023!W2041&gt;0,"c","b"))</f>
        <v>0</v>
      </c>
    </row>
    <row r="2042" spans="1:25" ht="15" hidden="1" customHeight="1" x14ac:dyDescent="0.2">
      <c r="A2042" s="317" t="s">
        <v>147</v>
      </c>
      <c r="B2042" s="895" t="s">
        <v>147</v>
      </c>
      <c r="C2042" s="896"/>
      <c r="D2042" s="906" t="s">
        <v>229</v>
      </c>
      <c r="E2042" s="907">
        <f>GLOBAL_DER_FEV_2023!E2042</f>
        <v>150</v>
      </c>
      <c r="F2042" s="908">
        <f>GLOBAL_DER_FEV_2023!F2042</f>
        <v>4.7899999999999998E-2</v>
      </c>
      <c r="G2042" s="949">
        <f>GLOBAL_DER_FEV_2023!G2042</f>
        <v>7.8163220000000004</v>
      </c>
      <c r="H2042" s="901">
        <f>GLOBAL_DER_FEV_2023!H2042</f>
        <v>0</v>
      </c>
      <c r="I2042" s="901">
        <f>GLOBAL_DER_FEV_2023!I2042</f>
        <v>0</v>
      </c>
      <c r="J2042" s="902">
        <f>GLOBAL_DER_FEV_2023!J2042</f>
        <v>0</v>
      </c>
      <c r="K2042" s="903"/>
      <c r="L2042" s="1177"/>
      <c r="M2042" s="1138">
        <f t="shared" si="152"/>
        <v>0</v>
      </c>
      <c r="N2042" s="1176">
        <f t="shared" si="156"/>
        <v>0</v>
      </c>
      <c r="O2042" s="905"/>
      <c r="P2042" s="36" t="str">
        <f>IF(N2040&gt;0,"xx",IF(N2040&gt;0,"xy",""))</f>
        <v/>
      </c>
      <c r="Q2042" s="317" t="str">
        <f t="shared" si="153"/>
        <v/>
      </c>
      <c r="R2042" s="317" t="str">
        <f t="shared" si="154"/>
        <v/>
      </c>
      <c r="S2042" s="317" t="str">
        <f t="shared" si="155"/>
        <v/>
      </c>
      <c r="T2042" s="317" t="str">
        <f>GLOBAL_DER_FEV_2023!S2042</f>
        <v/>
      </c>
      <c r="W2042" s="582">
        <v>0</v>
      </c>
      <c r="X2042" s="580"/>
      <c r="Y2042" s="583">
        <f>IF(GLOBAL_DER_FEV_2023!W2042=0,0,IF(GLOBAL_DER_FEV_2023!W2042&gt;0,"c","b"))</f>
        <v>0</v>
      </c>
    </row>
    <row r="2043" spans="1:25" ht="15" hidden="1" customHeight="1" x14ac:dyDescent="0.2">
      <c r="A2043" s="317" t="s">
        <v>147</v>
      </c>
      <c r="B2043" s="895" t="s">
        <v>147</v>
      </c>
      <c r="C2043" s="896"/>
      <c r="D2043" s="906" t="s">
        <v>336</v>
      </c>
      <c r="E2043" s="907">
        <f>GLOBAL_DER_FEV_2023!E2043</f>
        <v>40</v>
      </c>
      <c r="F2043" s="908">
        <f>GLOBAL_DER_FEV_2023!F2043</f>
        <v>2.0186999999999999</v>
      </c>
      <c r="G2043" s="949">
        <f>GLOBAL_DER_FEV_2023!G2043</f>
        <v>91.810476000000008</v>
      </c>
      <c r="H2043" s="901">
        <f>GLOBAL_DER_FEV_2023!H2043</f>
        <v>0</v>
      </c>
      <c r="I2043" s="901">
        <f>GLOBAL_DER_FEV_2023!I2043</f>
        <v>0</v>
      </c>
      <c r="J2043" s="902">
        <f>GLOBAL_DER_FEV_2023!J2043</f>
        <v>0</v>
      </c>
      <c r="K2043" s="903"/>
      <c r="L2043" s="1177"/>
      <c r="M2043" s="1138">
        <f t="shared" si="152"/>
        <v>0</v>
      </c>
      <c r="N2043" s="1176">
        <f t="shared" si="156"/>
        <v>0</v>
      </c>
      <c r="O2043" s="905"/>
      <c r="P2043" s="36" t="str">
        <f>IF(N2040&gt;0,"xx",IF(N2040&gt;0,"xy",""))</f>
        <v/>
      </c>
      <c r="Q2043" s="317" t="str">
        <f t="shared" si="153"/>
        <v/>
      </c>
      <c r="R2043" s="317" t="str">
        <f t="shared" si="154"/>
        <v/>
      </c>
      <c r="S2043" s="317" t="str">
        <f t="shared" si="155"/>
        <v/>
      </c>
      <c r="T2043" s="317" t="str">
        <f>GLOBAL_DER_FEV_2023!S2043</f>
        <v/>
      </c>
      <c r="W2043" s="582">
        <v>0</v>
      </c>
      <c r="X2043" s="580"/>
      <c r="Y2043" s="583">
        <f>IF(GLOBAL_DER_FEV_2023!W2043=0,0,IF(GLOBAL_DER_FEV_2023!W2043&gt;0,"c","b"))</f>
        <v>0</v>
      </c>
    </row>
    <row r="2044" spans="1:25" ht="15" hidden="1" customHeight="1" x14ac:dyDescent="0.2">
      <c r="A2044" s="317">
        <v>611600</v>
      </c>
      <c r="B2044" s="895" t="s">
        <v>1853</v>
      </c>
      <c r="C2044" s="896" t="s">
        <v>184</v>
      </c>
      <c r="D2044" s="906" t="s">
        <v>2035</v>
      </c>
      <c r="E2044" s="907">
        <f>GLOBAL_DER_FEV_2023!E2044</f>
        <v>0</v>
      </c>
      <c r="F2044" s="908">
        <f>GLOBAL_DER_FEV_2023!F2044</f>
        <v>0</v>
      </c>
      <c r="G2044" s="912">
        <f>GLOBAL_DER_FEV_2023!G2044</f>
        <v>108.41245400000001</v>
      </c>
      <c r="H2044" s="901">
        <f>GLOBAL_DER_FEV_2023!H2044</f>
        <v>3058.31</v>
      </c>
      <c r="I2044" s="901">
        <f>GLOBAL_DER_FEV_2023!I2044</f>
        <v>3166.7224539999997</v>
      </c>
      <c r="J2044" s="902">
        <f>GLOBAL_DER_FEV_2023!J2044</f>
        <v>3802.28</v>
      </c>
      <c r="K2044" s="903" t="s">
        <v>13</v>
      </c>
      <c r="L2044" s="1137"/>
      <c r="M2044" s="1138">
        <f t="shared" si="152"/>
        <v>0</v>
      </c>
      <c r="N2044" s="1176">
        <f t="shared" si="156"/>
        <v>0</v>
      </c>
      <c r="O2044" s="905"/>
      <c r="Q2044" s="317" t="str">
        <f t="shared" si="153"/>
        <v/>
      </c>
      <c r="R2044" s="317" t="str">
        <f t="shared" si="154"/>
        <v/>
      </c>
      <c r="S2044" s="317" t="str">
        <f t="shared" si="155"/>
        <v/>
      </c>
      <c r="T2044" s="317" t="str">
        <f>GLOBAL_DER_FEV_2023!S2044</f>
        <v/>
      </c>
      <c r="W2044" s="582">
        <v>0</v>
      </c>
      <c r="X2044" s="580"/>
      <c r="Y2044" s="583">
        <f>IF(GLOBAL_DER_FEV_2023!W2044=0,0,IF(GLOBAL_DER_FEV_2023!W2044&gt;0,"c","b"))</f>
        <v>0</v>
      </c>
    </row>
    <row r="2045" spans="1:25" ht="15" hidden="1" customHeight="1" x14ac:dyDescent="0.2">
      <c r="A2045" s="317" t="s">
        <v>147</v>
      </c>
      <c r="B2045" s="895" t="s">
        <v>147</v>
      </c>
      <c r="C2045" s="896"/>
      <c r="D2045" s="906" t="s">
        <v>190</v>
      </c>
      <c r="E2045" s="907">
        <f>GLOBAL_DER_FEV_2023!E2045</f>
        <v>308</v>
      </c>
      <c r="F2045" s="908">
        <f>GLOBAL_DER_FEV_2023!F2045</f>
        <v>9.7000000000000003E-3</v>
      </c>
      <c r="G2045" s="909">
        <f>GLOBAL_DER_FEV_2023!G2045</f>
        <v>2.4061820000000003</v>
      </c>
      <c r="H2045" s="901">
        <f>GLOBAL_DER_FEV_2023!H2045</f>
        <v>0</v>
      </c>
      <c r="I2045" s="901">
        <f>GLOBAL_DER_FEV_2023!I2045</f>
        <v>0</v>
      </c>
      <c r="J2045" s="902">
        <f>GLOBAL_DER_FEV_2023!J2045</f>
        <v>0</v>
      </c>
      <c r="K2045" s="903"/>
      <c r="L2045" s="1177"/>
      <c r="M2045" s="1138">
        <f t="shared" si="152"/>
        <v>0</v>
      </c>
      <c r="N2045" s="1176">
        <f t="shared" si="156"/>
        <v>0</v>
      </c>
      <c r="O2045" s="905"/>
      <c r="P2045" s="36" t="str">
        <f>IF(N2044&gt;0,"xx",IF(N2044&gt;0,"xy",""))</f>
        <v/>
      </c>
      <c r="Q2045" s="317" t="str">
        <f t="shared" si="153"/>
        <v/>
      </c>
      <c r="R2045" s="317" t="str">
        <f t="shared" si="154"/>
        <v/>
      </c>
      <c r="S2045" s="317" t="str">
        <f t="shared" si="155"/>
        <v/>
      </c>
      <c r="T2045" s="317" t="str">
        <f>GLOBAL_DER_FEV_2023!S2045</f>
        <v/>
      </c>
      <c r="W2045" s="582">
        <v>0</v>
      </c>
      <c r="X2045" s="580"/>
      <c r="Y2045" s="583">
        <f>IF(GLOBAL_DER_FEV_2023!W2045=0,0,IF(GLOBAL_DER_FEV_2023!W2045&gt;0,"c","b"))</f>
        <v>0</v>
      </c>
    </row>
    <row r="2046" spans="1:25" ht="15" hidden="1" customHeight="1" x14ac:dyDescent="0.2">
      <c r="A2046" s="317" t="s">
        <v>147</v>
      </c>
      <c r="B2046" s="895" t="s">
        <v>147</v>
      </c>
      <c r="C2046" s="896"/>
      <c r="D2046" s="906" t="s">
        <v>229</v>
      </c>
      <c r="E2046" s="907">
        <f>GLOBAL_DER_FEV_2023!E2046</f>
        <v>150</v>
      </c>
      <c r="F2046" s="908">
        <f>GLOBAL_DER_FEV_2023!F2046</f>
        <v>5.04E-2</v>
      </c>
      <c r="G2046" s="949">
        <f>GLOBAL_DER_FEV_2023!G2046</f>
        <v>8.2242720000000009</v>
      </c>
      <c r="H2046" s="901">
        <f>GLOBAL_DER_FEV_2023!H2046</f>
        <v>0</v>
      </c>
      <c r="I2046" s="901">
        <f>GLOBAL_DER_FEV_2023!I2046</f>
        <v>0</v>
      </c>
      <c r="J2046" s="902">
        <f>GLOBAL_DER_FEV_2023!J2046</f>
        <v>0</v>
      </c>
      <c r="K2046" s="903"/>
      <c r="L2046" s="1177"/>
      <c r="M2046" s="1138">
        <f t="shared" si="152"/>
        <v>0</v>
      </c>
      <c r="N2046" s="1176">
        <f t="shared" si="156"/>
        <v>0</v>
      </c>
      <c r="O2046" s="905"/>
      <c r="P2046" s="36" t="str">
        <f>IF(N2044&gt;0,"xx",IF(N2044&gt;0,"xy",""))</f>
        <v/>
      </c>
      <c r="Q2046" s="317" t="str">
        <f t="shared" si="153"/>
        <v/>
      </c>
      <c r="R2046" s="317" t="str">
        <f t="shared" si="154"/>
        <v/>
      </c>
      <c r="S2046" s="317" t="str">
        <f t="shared" si="155"/>
        <v/>
      </c>
      <c r="T2046" s="317" t="str">
        <f>GLOBAL_DER_FEV_2023!S2046</f>
        <v/>
      </c>
      <c r="W2046" s="582">
        <v>0</v>
      </c>
      <c r="X2046" s="580"/>
      <c r="Y2046" s="583">
        <f>IF(GLOBAL_DER_FEV_2023!W2046=0,0,IF(GLOBAL_DER_FEV_2023!W2046&gt;0,"c","b"))</f>
        <v>0</v>
      </c>
    </row>
    <row r="2047" spans="1:25" ht="15" hidden="1" customHeight="1" x14ac:dyDescent="0.2">
      <c r="A2047" s="317" t="s">
        <v>147</v>
      </c>
      <c r="B2047" s="895" t="s">
        <v>147</v>
      </c>
      <c r="C2047" s="896"/>
      <c r="D2047" s="906" t="s">
        <v>336</v>
      </c>
      <c r="E2047" s="907">
        <f>GLOBAL_DER_FEV_2023!E2047</f>
        <v>40</v>
      </c>
      <c r="F2047" s="908">
        <f>GLOBAL_DER_FEV_2023!F2047</f>
        <v>2.15</v>
      </c>
      <c r="G2047" s="949">
        <f>GLOBAL_DER_FEV_2023!G2047</f>
        <v>97.782000000000011</v>
      </c>
      <c r="H2047" s="901">
        <f>GLOBAL_DER_FEV_2023!H2047</f>
        <v>0</v>
      </c>
      <c r="I2047" s="901">
        <f>GLOBAL_DER_FEV_2023!I2047</f>
        <v>0</v>
      </c>
      <c r="J2047" s="902">
        <f>GLOBAL_DER_FEV_2023!J2047</f>
        <v>0</v>
      </c>
      <c r="K2047" s="903"/>
      <c r="L2047" s="1177"/>
      <c r="M2047" s="1138">
        <f t="shared" si="152"/>
        <v>0</v>
      </c>
      <c r="N2047" s="1176">
        <f t="shared" si="156"/>
        <v>0</v>
      </c>
      <c r="O2047" s="905"/>
      <c r="P2047" s="36" t="str">
        <f>IF(N2044&gt;0,"xx",IF(N2044&gt;0,"xy",""))</f>
        <v/>
      </c>
      <c r="Q2047" s="317" t="str">
        <f t="shared" si="153"/>
        <v/>
      </c>
      <c r="R2047" s="317" t="str">
        <f t="shared" si="154"/>
        <v/>
      </c>
      <c r="S2047" s="317" t="str">
        <f t="shared" si="155"/>
        <v/>
      </c>
      <c r="T2047" s="317" t="str">
        <f>GLOBAL_DER_FEV_2023!S2047</f>
        <v/>
      </c>
      <c r="W2047" s="582">
        <v>0</v>
      </c>
      <c r="X2047" s="580"/>
      <c r="Y2047" s="583">
        <f>IF(GLOBAL_DER_FEV_2023!W2047=0,0,IF(GLOBAL_DER_FEV_2023!W2047&gt;0,"c","b"))</f>
        <v>0</v>
      </c>
    </row>
    <row r="2048" spans="1:25" ht="15" hidden="1" customHeight="1" x14ac:dyDescent="0.2">
      <c r="A2048" s="317">
        <v>610500</v>
      </c>
      <c r="B2048" s="895">
        <v>610500</v>
      </c>
      <c r="C2048" s="896" t="s">
        <v>184</v>
      </c>
      <c r="D2048" s="906" t="s">
        <v>2036</v>
      </c>
      <c r="E2048" s="907">
        <f>GLOBAL_DER_FEV_2023!E2048</f>
        <v>0</v>
      </c>
      <c r="F2048" s="908">
        <f>GLOBAL_DER_FEV_2023!F2048</f>
        <v>0</v>
      </c>
      <c r="G2048" s="912">
        <f>GLOBAL_DER_FEV_2023!G2048</f>
        <v>26.827718600000001</v>
      </c>
      <c r="H2048" s="901">
        <f>GLOBAL_DER_FEV_2023!H2048</f>
        <v>206.29</v>
      </c>
      <c r="I2048" s="901">
        <f>GLOBAL_DER_FEV_2023!I2048</f>
        <v>233.11771859999999</v>
      </c>
      <c r="J2048" s="902">
        <f>GLOBAL_DER_FEV_2023!J2048</f>
        <v>279.89999999999998</v>
      </c>
      <c r="K2048" s="903" t="s">
        <v>13</v>
      </c>
      <c r="L2048" s="1137"/>
      <c r="M2048" s="1138">
        <f t="shared" si="152"/>
        <v>0</v>
      </c>
      <c r="N2048" s="1176">
        <f t="shared" si="156"/>
        <v>0</v>
      </c>
      <c r="O2048" s="905"/>
      <c r="Q2048" s="317" t="str">
        <f t="shared" si="153"/>
        <v/>
      </c>
      <c r="R2048" s="317" t="str">
        <f t="shared" si="154"/>
        <v/>
      </c>
      <c r="S2048" s="317" t="str">
        <f t="shared" si="155"/>
        <v/>
      </c>
      <c r="T2048" s="317" t="str">
        <f>GLOBAL_DER_FEV_2023!S2048</f>
        <v/>
      </c>
      <c r="W2048" s="582">
        <v>0</v>
      </c>
      <c r="X2048" s="580"/>
      <c r="Y2048" s="583">
        <f>IF(GLOBAL_DER_FEV_2023!W2048=0,0,IF(GLOBAL_DER_FEV_2023!W2048&gt;0,"c","b"))</f>
        <v>0</v>
      </c>
    </row>
    <row r="2049" spans="1:25" ht="15" hidden="1" customHeight="1" x14ac:dyDescent="0.2">
      <c r="A2049" s="317" t="s">
        <v>147</v>
      </c>
      <c r="B2049" s="895" t="s">
        <v>147</v>
      </c>
      <c r="C2049" s="896"/>
      <c r="D2049" s="906" t="s">
        <v>190</v>
      </c>
      <c r="E2049" s="907">
        <f>GLOBAL_DER_FEV_2023!E2049</f>
        <v>308</v>
      </c>
      <c r="F2049" s="908">
        <f>GLOBAL_DER_FEV_2023!F2049</f>
        <v>2.2599999999999999E-2</v>
      </c>
      <c r="G2049" s="909">
        <f>GLOBAL_DER_FEV_2023!G2049</f>
        <v>5.6061559999999995</v>
      </c>
      <c r="H2049" s="901">
        <f>GLOBAL_DER_FEV_2023!H2049</f>
        <v>0</v>
      </c>
      <c r="I2049" s="901">
        <f>GLOBAL_DER_FEV_2023!I2049</f>
        <v>0</v>
      </c>
      <c r="J2049" s="902">
        <f>GLOBAL_DER_FEV_2023!J2049</f>
        <v>0</v>
      </c>
      <c r="K2049" s="903"/>
      <c r="L2049" s="1177"/>
      <c r="M2049" s="1138">
        <f t="shared" si="152"/>
        <v>0</v>
      </c>
      <c r="N2049" s="1176">
        <f t="shared" si="156"/>
        <v>0</v>
      </c>
      <c r="O2049" s="905"/>
      <c r="P2049" s="36" t="str">
        <f>IF(N2048&gt;0,"xx",IF(N2048&gt;0,"xy",""))</f>
        <v/>
      </c>
      <c r="Q2049" s="317" t="str">
        <f t="shared" si="153"/>
        <v/>
      </c>
      <c r="R2049" s="317" t="str">
        <f t="shared" si="154"/>
        <v/>
      </c>
      <c r="S2049" s="317" t="str">
        <f t="shared" si="155"/>
        <v/>
      </c>
      <c r="T2049" s="317" t="str">
        <f>GLOBAL_DER_FEV_2023!S2049</f>
        <v/>
      </c>
      <c r="W2049" s="582">
        <v>0</v>
      </c>
      <c r="X2049" s="580"/>
      <c r="Y2049" s="583">
        <f>IF(GLOBAL_DER_FEV_2023!W2049=0,0,IF(GLOBAL_DER_FEV_2023!W2049&gt;0,"c","b"))</f>
        <v>0</v>
      </c>
    </row>
    <row r="2050" spans="1:25" ht="15" hidden="1" customHeight="1" x14ac:dyDescent="0.2">
      <c r="A2050" s="317" t="s">
        <v>147</v>
      </c>
      <c r="B2050" s="895" t="s">
        <v>147</v>
      </c>
      <c r="C2050" s="896"/>
      <c r="D2050" s="906" t="s">
        <v>229</v>
      </c>
      <c r="E2050" s="907">
        <f>GLOBAL_DER_FEV_2023!E2050</f>
        <v>150</v>
      </c>
      <c r="F2050" s="908">
        <f>GLOBAL_DER_FEV_2023!F2050</f>
        <v>8.3900000000000002E-2</v>
      </c>
      <c r="G2050" s="949">
        <f>GLOBAL_DER_FEV_2023!G2050</f>
        <v>13.690802000000001</v>
      </c>
      <c r="H2050" s="901">
        <f>GLOBAL_DER_FEV_2023!H2050</f>
        <v>0</v>
      </c>
      <c r="I2050" s="901">
        <f>GLOBAL_DER_FEV_2023!I2050</f>
        <v>0</v>
      </c>
      <c r="J2050" s="902">
        <f>GLOBAL_DER_FEV_2023!J2050</f>
        <v>0</v>
      </c>
      <c r="K2050" s="903"/>
      <c r="L2050" s="1177"/>
      <c r="M2050" s="1138">
        <f t="shared" si="152"/>
        <v>0</v>
      </c>
      <c r="N2050" s="1176">
        <f t="shared" si="156"/>
        <v>0</v>
      </c>
      <c r="O2050" s="905"/>
      <c r="P2050" s="36" t="str">
        <f>IF(N2048&gt;0,"xx",IF(N2048&gt;0,"xy",""))</f>
        <v/>
      </c>
      <c r="Q2050" s="317" t="str">
        <f t="shared" si="153"/>
        <v/>
      </c>
      <c r="R2050" s="317" t="str">
        <f t="shared" si="154"/>
        <v/>
      </c>
      <c r="S2050" s="317" t="str">
        <f t="shared" si="155"/>
        <v/>
      </c>
      <c r="T2050" s="317" t="str">
        <f>GLOBAL_DER_FEV_2023!S2050</f>
        <v/>
      </c>
      <c r="W2050" s="582">
        <v>0</v>
      </c>
      <c r="X2050" s="580"/>
      <c r="Y2050" s="583">
        <f>IF(GLOBAL_DER_FEV_2023!W2050=0,0,IF(GLOBAL_DER_FEV_2023!W2050&gt;0,"c","b"))</f>
        <v>0</v>
      </c>
    </row>
    <row r="2051" spans="1:25" ht="15" hidden="1" customHeight="1" x14ac:dyDescent="0.2">
      <c r="A2051" s="317" t="s">
        <v>147</v>
      </c>
      <c r="B2051" s="895" t="s">
        <v>147</v>
      </c>
      <c r="C2051" s="896"/>
      <c r="D2051" s="906" t="s">
        <v>233</v>
      </c>
      <c r="E2051" s="907">
        <f>GLOBAL_DER_FEV_2023!E2051</f>
        <v>0.2</v>
      </c>
      <c r="F2051" s="908">
        <f>GLOBAL_DER_FEV_2023!F2051</f>
        <v>0.13490000000000002</v>
      </c>
      <c r="G2051" s="949">
        <f>GLOBAL_DER_FEV_2023!G2051</f>
        <v>0.3904006000000001</v>
      </c>
      <c r="H2051" s="901">
        <f>GLOBAL_DER_FEV_2023!H2051</f>
        <v>0</v>
      </c>
      <c r="I2051" s="901">
        <f>GLOBAL_DER_FEV_2023!I2051</f>
        <v>0</v>
      </c>
      <c r="J2051" s="902">
        <f>GLOBAL_DER_FEV_2023!J2051</f>
        <v>0</v>
      </c>
      <c r="K2051" s="903"/>
      <c r="L2051" s="1177"/>
      <c r="M2051" s="1138">
        <f t="shared" si="152"/>
        <v>0</v>
      </c>
      <c r="N2051" s="1176">
        <f t="shared" si="156"/>
        <v>0</v>
      </c>
      <c r="O2051" s="905"/>
      <c r="P2051" s="36" t="str">
        <f>IF(N2048&gt;0,"xx",IF(N2048&gt;0,"xy",""))</f>
        <v/>
      </c>
      <c r="Q2051" s="317" t="str">
        <f t="shared" si="153"/>
        <v/>
      </c>
      <c r="R2051" s="317" t="str">
        <f t="shared" si="154"/>
        <v/>
      </c>
      <c r="S2051" s="317" t="str">
        <f t="shared" si="155"/>
        <v/>
      </c>
      <c r="T2051" s="317" t="str">
        <f>GLOBAL_DER_FEV_2023!S2051</f>
        <v/>
      </c>
      <c r="W2051" s="582">
        <v>0</v>
      </c>
      <c r="X2051" s="580"/>
      <c r="Y2051" s="583">
        <f>IF(GLOBAL_DER_FEV_2023!W2051=0,0,IF(GLOBAL_DER_FEV_2023!W2051&gt;0,"c","b"))</f>
        <v>0</v>
      </c>
    </row>
    <row r="2052" spans="1:25" ht="15" hidden="1" customHeight="1" x14ac:dyDescent="0.2">
      <c r="A2052" s="317" t="s">
        <v>147</v>
      </c>
      <c r="B2052" s="895" t="s">
        <v>147</v>
      </c>
      <c r="C2052" s="896"/>
      <c r="D2052" s="906" t="s">
        <v>336</v>
      </c>
      <c r="E2052" s="907">
        <f>GLOBAL_DER_FEV_2023!E2052</f>
        <v>40</v>
      </c>
      <c r="F2052" s="908">
        <f>GLOBAL_DER_FEV_2023!F2052</f>
        <v>0.157</v>
      </c>
      <c r="G2052" s="949">
        <f>GLOBAL_DER_FEV_2023!G2052</f>
        <v>7.1403600000000003</v>
      </c>
      <c r="H2052" s="901">
        <f>GLOBAL_DER_FEV_2023!H2052</f>
        <v>0</v>
      </c>
      <c r="I2052" s="901">
        <f>GLOBAL_DER_FEV_2023!I2052</f>
        <v>0</v>
      </c>
      <c r="J2052" s="902">
        <f>GLOBAL_DER_FEV_2023!J2052</f>
        <v>0</v>
      </c>
      <c r="K2052" s="903"/>
      <c r="L2052" s="1177"/>
      <c r="M2052" s="1138">
        <f t="shared" si="152"/>
        <v>0</v>
      </c>
      <c r="N2052" s="1176">
        <f t="shared" si="156"/>
        <v>0</v>
      </c>
      <c r="O2052" s="905"/>
      <c r="P2052" s="36" t="str">
        <f>IF(N2048&gt;0,"xx",IF(N2048&gt;0,"xy",""))</f>
        <v/>
      </c>
      <c r="Q2052" s="317" t="str">
        <f t="shared" si="153"/>
        <v/>
      </c>
      <c r="R2052" s="317" t="str">
        <f t="shared" si="154"/>
        <v/>
      </c>
      <c r="S2052" s="317" t="str">
        <f t="shared" si="155"/>
        <v/>
      </c>
      <c r="T2052" s="317" t="str">
        <f>GLOBAL_DER_FEV_2023!S2052</f>
        <v/>
      </c>
      <c r="W2052" s="582">
        <v>0</v>
      </c>
      <c r="X2052" s="580"/>
      <c r="Y2052" s="583">
        <f>IF(GLOBAL_DER_FEV_2023!W2052=0,0,IF(GLOBAL_DER_FEV_2023!W2052&gt;0,"c","b"))</f>
        <v>0</v>
      </c>
    </row>
    <row r="2053" spans="1:25" ht="15" hidden="1" customHeight="1" x14ac:dyDescent="0.2">
      <c r="A2053" s="317">
        <v>610700</v>
      </c>
      <c r="B2053" s="895" t="s">
        <v>1838</v>
      </c>
      <c r="C2053" s="896" t="s">
        <v>184</v>
      </c>
      <c r="D2053" s="906" t="s">
        <v>2037</v>
      </c>
      <c r="E2053" s="907">
        <f>GLOBAL_DER_FEV_2023!E2053</f>
        <v>0</v>
      </c>
      <c r="F2053" s="908">
        <f>GLOBAL_DER_FEV_2023!F2053</f>
        <v>0</v>
      </c>
      <c r="G2053" s="912">
        <f>GLOBAL_DER_FEV_2023!G2053</f>
        <v>36.158851400000003</v>
      </c>
      <c r="H2053" s="901">
        <f>GLOBAL_DER_FEV_2023!H2053</f>
        <v>412.12</v>
      </c>
      <c r="I2053" s="901">
        <f>GLOBAL_DER_FEV_2023!I2053</f>
        <v>448.27885140000001</v>
      </c>
      <c r="J2053" s="902">
        <f>GLOBAL_DER_FEV_2023!J2053</f>
        <v>538.25</v>
      </c>
      <c r="K2053" s="903" t="s">
        <v>13</v>
      </c>
      <c r="L2053" s="1137"/>
      <c r="M2053" s="1138">
        <f t="shared" si="152"/>
        <v>0</v>
      </c>
      <c r="N2053" s="1176">
        <f t="shared" si="156"/>
        <v>0</v>
      </c>
      <c r="O2053" s="905"/>
      <c r="Q2053" s="317" t="str">
        <f t="shared" si="153"/>
        <v/>
      </c>
      <c r="R2053" s="317" t="str">
        <f t="shared" si="154"/>
        <v/>
      </c>
      <c r="S2053" s="317" t="str">
        <f t="shared" si="155"/>
        <v/>
      </c>
      <c r="T2053" s="317" t="str">
        <f>GLOBAL_DER_FEV_2023!S2053</f>
        <v/>
      </c>
      <c r="W2053" s="582">
        <v>0</v>
      </c>
      <c r="X2053" s="580"/>
      <c r="Y2053" s="583">
        <f>IF(GLOBAL_DER_FEV_2023!W2053=0,0,IF(GLOBAL_DER_FEV_2023!W2053&gt;0,"c","b"))</f>
        <v>0</v>
      </c>
    </row>
    <row r="2054" spans="1:25" ht="15" hidden="1" customHeight="1" x14ac:dyDescent="0.2">
      <c r="A2054" s="317" t="s">
        <v>147</v>
      </c>
      <c r="B2054" s="895" t="s">
        <v>147</v>
      </c>
      <c r="C2054" s="896"/>
      <c r="D2054" s="906" t="s">
        <v>190</v>
      </c>
      <c r="E2054" s="907">
        <f>GLOBAL_DER_FEV_2023!E2054</f>
        <v>308</v>
      </c>
      <c r="F2054" s="908">
        <f>GLOBAL_DER_FEV_2023!F2054</f>
        <v>2.86E-2</v>
      </c>
      <c r="G2054" s="909">
        <f>GLOBAL_DER_FEV_2023!G2054</f>
        <v>7.0945160000000005</v>
      </c>
      <c r="H2054" s="901">
        <f>GLOBAL_DER_FEV_2023!H2054</f>
        <v>0</v>
      </c>
      <c r="I2054" s="901">
        <f>GLOBAL_DER_FEV_2023!I2054</f>
        <v>0</v>
      </c>
      <c r="J2054" s="902">
        <f>GLOBAL_DER_FEV_2023!J2054</f>
        <v>0</v>
      </c>
      <c r="K2054" s="903"/>
      <c r="L2054" s="1177"/>
      <c r="M2054" s="1138">
        <f t="shared" si="152"/>
        <v>0</v>
      </c>
      <c r="N2054" s="1176">
        <f t="shared" si="156"/>
        <v>0</v>
      </c>
      <c r="O2054" s="905"/>
      <c r="P2054" s="36" t="str">
        <f>IF(N2053&gt;0,"xx",IF(N2053&gt;0,"xy",""))</f>
        <v/>
      </c>
      <c r="Q2054" s="317" t="str">
        <f t="shared" si="153"/>
        <v/>
      </c>
      <c r="R2054" s="317" t="str">
        <f t="shared" si="154"/>
        <v/>
      </c>
      <c r="S2054" s="317" t="str">
        <f t="shared" si="155"/>
        <v/>
      </c>
      <c r="T2054" s="317" t="str">
        <f>GLOBAL_DER_FEV_2023!S2054</f>
        <v/>
      </c>
      <c r="W2054" s="582">
        <v>0</v>
      </c>
      <c r="X2054" s="580"/>
      <c r="Y2054" s="583">
        <f>IF(GLOBAL_DER_FEV_2023!W2054=0,0,IF(GLOBAL_DER_FEV_2023!W2054&gt;0,"c","b"))</f>
        <v>0</v>
      </c>
    </row>
    <row r="2055" spans="1:25" ht="15" hidden="1" customHeight="1" x14ac:dyDescent="0.2">
      <c r="A2055" s="317" t="s">
        <v>147</v>
      </c>
      <c r="B2055" s="895" t="s">
        <v>147</v>
      </c>
      <c r="C2055" s="896"/>
      <c r="D2055" s="906" t="s">
        <v>229</v>
      </c>
      <c r="E2055" s="907">
        <f>GLOBAL_DER_FEV_2023!E2055</f>
        <v>150</v>
      </c>
      <c r="F2055" s="908">
        <f>GLOBAL_DER_FEV_2023!F2055</f>
        <v>0.10539999999999999</v>
      </c>
      <c r="G2055" s="949">
        <f>GLOBAL_DER_FEV_2023!G2055</f>
        <v>17.199172000000001</v>
      </c>
      <c r="H2055" s="901">
        <f>GLOBAL_DER_FEV_2023!H2055</f>
        <v>0</v>
      </c>
      <c r="I2055" s="901">
        <f>GLOBAL_DER_FEV_2023!I2055</f>
        <v>0</v>
      </c>
      <c r="J2055" s="902">
        <f>GLOBAL_DER_FEV_2023!J2055</f>
        <v>0</v>
      </c>
      <c r="K2055" s="903"/>
      <c r="L2055" s="1177"/>
      <c r="M2055" s="1138">
        <f t="shared" si="152"/>
        <v>0</v>
      </c>
      <c r="N2055" s="1176">
        <f t="shared" si="156"/>
        <v>0</v>
      </c>
      <c r="O2055" s="905"/>
      <c r="P2055" s="36" t="str">
        <f>IF(N2053&gt;0,"xx",IF(N2053&gt;0,"xy",""))</f>
        <v/>
      </c>
      <c r="Q2055" s="317" t="str">
        <f t="shared" si="153"/>
        <v/>
      </c>
      <c r="R2055" s="317" t="str">
        <f t="shared" si="154"/>
        <v/>
      </c>
      <c r="S2055" s="317" t="str">
        <f t="shared" si="155"/>
        <v/>
      </c>
      <c r="T2055" s="317" t="str">
        <f>GLOBAL_DER_FEV_2023!S2055</f>
        <v/>
      </c>
      <c r="W2055" s="582">
        <v>0</v>
      </c>
      <c r="X2055" s="580"/>
      <c r="Y2055" s="583">
        <f>IF(GLOBAL_DER_FEV_2023!W2055=0,0,IF(GLOBAL_DER_FEV_2023!W2055&gt;0,"c","b"))</f>
        <v>0</v>
      </c>
    </row>
    <row r="2056" spans="1:25" ht="15" hidden="1" customHeight="1" x14ac:dyDescent="0.2">
      <c r="A2056" s="317" t="s">
        <v>147</v>
      </c>
      <c r="B2056" s="895" t="s">
        <v>147</v>
      </c>
      <c r="C2056" s="896"/>
      <c r="D2056" s="906" t="s">
        <v>233</v>
      </c>
      <c r="E2056" s="907">
        <f>GLOBAL_DER_FEV_2023!E2056</f>
        <v>0.2</v>
      </c>
      <c r="F2056" s="908">
        <f>GLOBAL_DER_FEV_2023!F2056</f>
        <v>0.1711</v>
      </c>
      <c r="G2056" s="949">
        <f>GLOBAL_DER_FEV_2023!G2056</f>
        <v>0.49516340000000003</v>
      </c>
      <c r="H2056" s="901">
        <f>GLOBAL_DER_FEV_2023!H2056</f>
        <v>0</v>
      </c>
      <c r="I2056" s="901">
        <f>GLOBAL_DER_FEV_2023!I2056</f>
        <v>0</v>
      </c>
      <c r="J2056" s="902">
        <f>GLOBAL_DER_FEV_2023!J2056</f>
        <v>0</v>
      </c>
      <c r="K2056" s="903"/>
      <c r="L2056" s="1177"/>
      <c r="M2056" s="1138">
        <f t="shared" si="152"/>
        <v>0</v>
      </c>
      <c r="N2056" s="1176">
        <f t="shared" si="156"/>
        <v>0</v>
      </c>
      <c r="O2056" s="905"/>
      <c r="P2056" s="36" t="str">
        <f>IF(N2053&gt;0,"xx",IF(N2053&gt;0,"xy",""))</f>
        <v/>
      </c>
      <c r="Q2056" s="317" t="str">
        <f t="shared" si="153"/>
        <v/>
      </c>
      <c r="R2056" s="317" t="str">
        <f t="shared" si="154"/>
        <v/>
      </c>
      <c r="S2056" s="317" t="str">
        <f t="shared" si="155"/>
        <v/>
      </c>
      <c r="T2056" s="317" t="str">
        <f>GLOBAL_DER_FEV_2023!S2056</f>
        <v/>
      </c>
      <c r="W2056" s="582">
        <v>0</v>
      </c>
      <c r="X2056" s="580"/>
      <c r="Y2056" s="583">
        <f>IF(GLOBAL_DER_FEV_2023!W2056=0,0,IF(GLOBAL_DER_FEV_2023!W2056&gt;0,"c","b"))</f>
        <v>0</v>
      </c>
    </row>
    <row r="2057" spans="1:25" ht="15" hidden="1" customHeight="1" x14ac:dyDescent="0.2">
      <c r="A2057" s="317" t="s">
        <v>147</v>
      </c>
      <c r="B2057" s="895" t="s">
        <v>147</v>
      </c>
      <c r="C2057" s="896"/>
      <c r="D2057" s="906" t="s">
        <v>336</v>
      </c>
      <c r="E2057" s="907">
        <f>GLOBAL_DER_FEV_2023!E2057</f>
        <v>40</v>
      </c>
      <c r="F2057" s="908">
        <f>GLOBAL_DER_FEV_2023!F2057</f>
        <v>0.25</v>
      </c>
      <c r="G2057" s="949">
        <f>GLOBAL_DER_FEV_2023!G2057</f>
        <v>11.370000000000001</v>
      </c>
      <c r="H2057" s="901">
        <f>GLOBAL_DER_FEV_2023!H2057</f>
        <v>0</v>
      </c>
      <c r="I2057" s="901">
        <f>GLOBAL_DER_FEV_2023!I2057</f>
        <v>0</v>
      </c>
      <c r="J2057" s="902">
        <f>GLOBAL_DER_FEV_2023!J2057</f>
        <v>0</v>
      </c>
      <c r="K2057" s="903"/>
      <c r="L2057" s="1177"/>
      <c r="M2057" s="1138">
        <f t="shared" si="152"/>
        <v>0</v>
      </c>
      <c r="N2057" s="1176">
        <f t="shared" si="156"/>
        <v>0</v>
      </c>
      <c r="O2057" s="905"/>
      <c r="P2057" s="36" t="str">
        <f>IF(N2053&gt;0,"xx",IF(N2053&gt;0,"xy",""))</f>
        <v/>
      </c>
      <c r="Q2057" s="317" t="str">
        <f t="shared" si="153"/>
        <v/>
      </c>
      <c r="R2057" s="317" t="str">
        <f t="shared" si="154"/>
        <v/>
      </c>
      <c r="S2057" s="317" t="str">
        <f t="shared" si="155"/>
        <v/>
      </c>
      <c r="T2057" s="317" t="str">
        <f>GLOBAL_DER_FEV_2023!S2057</f>
        <v/>
      </c>
      <c r="W2057" s="582">
        <v>0</v>
      </c>
      <c r="X2057" s="580"/>
      <c r="Y2057" s="583">
        <f>IF(GLOBAL_DER_FEV_2023!W2057=0,0,IF(GLOBAL_DER_FEV_2023!W2057&gt;0,"c","b"))</f>
        <v>0</v>
      </c>
    </row>
    <row r="2058" spans="1:25" ht="15" hidden="1" customHeight="1" x14ac:dyDescent="0.2">
      <c r="A2058" s="317">
        <v>610700</v>
      </c>
      <c r="B2058" s="895" t="s">
        <v>1839</v>
      </c>
      <c r="C2058" s="896" t="s">
        <v>184</v>
      </c>
      <c r="D2058" s="906" t="s">
        <v>2038</v>
      </c>
      <c r="E2058" s="907">
        <f>GLOBAL_DER_FEV_2023!E2058</f>
        <v>0</v>
      </c>
      <c r="F2058" s="908">
        <f>GLOBAL_DER_FEV_2023!F2058</f>
        <v>0</v>
      </c>
      <c r="G2058" s="912">
        <f>GLOBAL_DER_FEV_2023!G2058</f>
        <v>42.690898200000007</v>
      </c>
      <c r="H2058" s="901">
        <f>GLOBAL_DER_FEV_2023!H2058</f>
        <v>412.12</v>
      </c>
      <c r="I2058" s="901">
        <f>GLOBAL_DER_FEV_2023!I2058</f>
        <v>454.8108982</v>
      </c>
      <c r="J2058" s="902">
        <f>GLOBAL_DER_FEV_2023!J2058</f>
        <v>546.09</v>
      </c>
      <c r="K2058" s="903" t="s">
        <v>13</v>
      </c>
      <c r="L2058" s="1137"/>
      <c r="M2058" s="1138">
        <f t="shared" si="152"/>
        <v>0</v>
      </c>
      <c r="N2058" s="1176">
        <f t="shared" si="156"/>
        <v>0</v>
      </c>
      <c r="O2058" s="905"/>
      <c r="Q2058" s="317" t="str">
        <f t="shared" si="153"/>
        <v/>
      </c>
      <c r="R2058" s="317" t="str">
        <f t="shared" si="154"/>
        <v/>
      </c>
      <c r="S2058" s="317" t="str">
        <f t="shared" si="155"/>
        <v/>
      </c>
      <c r="T2058" s="317" t="str">
        <f>GLOBAL_DER_FEV_2023!S2058</f>
        <v/>
      </c>
      <c r="W2058" s="582">
        <v>0</v>
      </c>
      <c r="X2058" s="580"/>
      <c r="Y2058" s="583">
        <f>IF(GLOBAL_DER_FEV_2023!W2058=0,0,IF(GLOBAL_DER_FEV_2023!W2058&gt;0,"c","b"))</f>
        <v>0</v>
      </c>
    </row>
    <row r="2059" spans="1:25" ht="15" hidden="1" customHeight="1" x14ac:dyDescent="0.2">
      <c r="A2059" s="317" t="s">
        <v>147</v>
      </c>
      <c r="B2059" s="895" t="s">
        <v>147</v>
      </c>
      <c r="C2059" s="896"/>
      <c r="D2059" s="906" t="s">
        <v>190</v>
      </c>
      <c r="E2059" s="907">
        <f>GLOBAL_DER_FEV_2023!E2059</f>
        <v>308</v>
      </c>
      <c r="F2059" s="908">
        <f>GLOBAL_DER_FEV_2023!F2059</f>
        <v>3.4500000000000003E-2</v>
      </c>
      <c r="G2059" s="909">
        <f>GLOBAL_DER_FEV_2023!G2059</f>
        <v>8.5580700000000007</v>
      </c>
      <c r="H2059" s="901">
        <f>GLOBAL_DER_FEV_2023!H2059</f>
        <v>0</v>
      </c>
      <c r="I2059" s="901">
        <f>GLOBAL_DER_FEV_2023!I2059</f>
        <v>0</v>
      </c>
      <c r="J2059" s="902">
        <f>GLOBAL_DER_FEV_2023!J2059</f>
        <v>0</v>
      </c>
      <c r="K2059" s="903"/>
      <c r="L2059" s="1177"/>
      <c r="M2059" s="1138">
        <f t="shared" si="152"/>
        <v>0</v>
      </c>
      <c r="N2059" s="1176">
        <f t="shared" si="156"/>
        <v>0</v>
      </c>
      <c r="O2059" s="905"/>
      <c r="P2059" s="36" t="str">
        <f>IF(N2058&gt;0,"xx",IF(N2058&gt;0,"xy",""))</f>
        <v/>
      </c>
      <c r="Q2059" s="317" t="str">
        <f t="shared" si="153"/>
        <v/>
      </c>
      <c r="R2059" s="317" t="str">
        <f t="shared" si="154"/>
        <v/>
      </c>
      <c r="S2059" s="317" t="str">
        <f t="shared" si="155"/>
        <v/>
      </c>
      <c r="T2059" s="317" t="str">
        <f>GLOBAL_DER_FEV_2023!S2059</f>
        <v/>
      </c>
      <c r="W2059" s="582">
        <v>0</v>
      </c>
      <c r="X2059" s="580"/>
      <c r="Y2059" s="583">
        <f>IF(GLOBAL_DER_FEV_2023!W2059=0,0,IF(GLOBAL_DER_FEV_2023!W2059&gt;0,"c","b"))</f>
        <v>0</v>
      </c>
    </row>
    <row r="2060" spans="1:25" ht="15" hidden="1" customHeight="1" x14ac:dyDescent="0.2">
      <c r="A2060" s="317" t="s">
        <v>147</v>
      </c>
      <c r="B2060" s="895" t="s">
        <v>147</v>
      </c>
      <c r="C2060" s="896"/>
      <c r="D2060" s="906" t="s">
        <v>229</v>
      </c>
      <c r="E2060" s="907">
        <f>GLOBAL_DER_FEV_2023!E2060</f>
        <v>150</v>
      </c>
      <c r="F2060" s="908">
        <f>GLOBAL_DER_FEV_2023!F2060</f>
        <v>0.12690000000000001</v>
      </c>
      <c r="G2060" s="949">
        <f>GLOBAL_DER_FEV_2023!G2060</f>
        <v>20.707542000000004</v>
      </c>
      <c r="H2060" s="901">
        <f>GLOBAL_DER_FEV_2023!H2060</f>
        <v>0</v>
      </c>
      <c r="I2060" s="901">
        <f>GLOBAL_DER_FEV_2023!I2060</f>
        <v>0</v>
      </c>
      <c r="J2060" s="902">
        <f>GLOBAL_DER_FEV_2023!J2060</f>
        <v>0</v>
      </c>
      <c r="K2060" s="903"/>
      <c r="L2060" s="1177"/>
      <c r="M2060" s="1138">
        <f t="shared" si="152"/>
        <v>0</v>
      </c>
      <c r="N2060" s="1176">
        <f t="shared" si="156"/>
        <v>0</v>
      </c>
      <c r="O2060" s="905"/>
      <c r="P2060" s="36" t="str">
        <f>IF(N2058&gt;0,"xx",IF(N2058&gt;0,"xy",""))</f>
        <v/>
      </c>
      <c r="Q2060" s="317" t="str">
        <f t="shared" si="153"/>
        <v/>
      </c>
      <c r="R2060" s="317" t="str">
        <f t="shared" si="154"/>
        <v/>
      </c>
      <c r="S2060" s="317" t="str">
        <f t="shared" si="155"/>
        <v/>
      </c>
      <c r="T2060" s="317" t="str">
        <f>GLOBAL_DER_FEV_2023!S2060</f>
        <v/>
      </c>
      <c r="W2060" s="582">
        <v>0</v>
      </c>
      <c r="X2060" s="580"/>
      <c r="Y2060" s="583">
        <f>IF(GLOBAL_DER_FEV_2023!W2060=0,0,IF(GLOBAL_DER_FEV_2023!W2060&gt;0,"c","b"))</f>
        <v>0</v>
      </c>
    </row>
    <row r="2061" spans="1:25" ht="15" hidden="1" customHeight="1" x14ac:dyDescent="0.2">
      <c r="A2061" s="317" t="s">
        <v>147</v>
      </c>
      <c r="B2061" s="895" t="s">
        <v>147</v>
      </c>
      <c r="C2061" s="896"/>
      <c r="D2061" s="906" t="s">
        <v>233</v>
      </c>
      <c r="E2061" s="907">
        <f>GLOBAL_DER_FEV_2023!E2061</f>
        <v>0.2</v>
      </c>
      <c r="F2061" s="908">
        <f>GLOBAL_DER_FEV_2023!F2061</f>
        <v>0.20729999999999998</v>
      </c>
      <c r="G2061" s="949">
        <f>GLOBAL_DER_FEV_2023!G2061</f>
        <v>0.59992619999999997</v>
      </c>
      <c r="H2061" s="901">
        <f>GLOBAL_DER_FEV_2023!H2061</f>
        <v>0</v>
      </c>
      <c r="I2061" s="901">
        <f>GLOBAL_DER_FEV_2023!I2061</f>
        <v>0</v>
      </c>
      <c r="J2061" s="902">
        <f>GLOBAL_DER_FEV_2023!J2061</f>
        <v>0</v>
      </c>
      <c r="K2061" s="903"/>
      <c r="L2061" s="1177"/>
      <c r="M2061" s="1138">
        <f t="shared" si="152"/>
        <v>0</v>
      </c>
      <c r="N2061" s="1176">
        <f t="shared" si="156"/>
        <v>0</v>
      </c>
      <c r="O2061" s="905"/>
      <c r="P2061" s="36" t="str">
        <f>IF(N2058&gt;0,"xx",IF(N2058&gt;0,"xy",""))</f>
        <v/>
      </c>
      <c r="Q2061" s="317" t="str">
        <f t="shared" si="153"/>
        <v/>
      </c>
      <c r="R2061" s="317" t="str">
        <f t="shared" si="154"/>
        <v/>
      </c>
      <c r="S2061" s="317" t="str">
        <f t="shared" si="155"/>
        <v/>
      </c>
      <c r="T2061" s="317" t="str">
        <f>GLOBAL_DER_FEV_2023!S2061</f>
        <v/>
      </c>
      <c r="W2061" s="582">
        <v>0</v>
      </c>
      <c r="X2061" s="580"/>
      <c r="Y2061" s="583">
        <f>IF(GLOBAL_DER_FEV_2023!W2061=0,0,IF(GLOBAL_DER_FEV_2023!W2061&gt;0,"c","b"))</f>
        <v>0</v>
      </c>
    </row>
    <row r="2062" spans="1:25" ht="15" hidden="1" customHeight="1" x14ac:dyDescent="0.2">
      <c r="A2062" s="317" t="s">
        <v>147</v>
      </c>
      <c r="B2062" s="895" t="s">
        <v>147</v>
      </c>
      <c r="C2062" s="896"/>
      <c r="D2062" s="906" t="s">
        <v>336</v>
      </c>
      <c r="E2062" s="907">
        <f>GLOBAL_DER_FEV_2023!E2062</f>
        <v>40</v>
      </c>
      <c r="F2062" s="908">
        <f>GLOBAL_DER_FEV_2023!F2062</f>
        <v>0.28199999999999997</v>
      </c>
      <c r="G2062" s="949">
        <f>GLOBAL_DER_FEV_2023!G2062</f>
        <v>12.82536</v>
      </c>
      <c r="H2062" s="901">
        <f>GLOBAL_DER_FEV_2023!H2062</f>
        <v>0</v>
      </c>
      <c r="I2062" s="901">
        <f>GLOBAL_DER_FEV_2023!I2062</f>
        <v>0</v>
      </c>
      <c r="J2062" s="902">
        <f>GLOBAL_DER_FEV_2023!J2062</f>
        <v>0</v>
      </c>
      <c r="K2062" s="903"/>
      <c r="L2062" s="1177"/>
      <c r="M2062" s="1138">
        <f t="shared" si="152"/>
        <v>0</v>
      </c>
      <c r="N2062" s="1176">
        <f t="shared" si="156"/>
        <v>0</v>
      </c>
      <c r="O2062" s="905"/>
      <c r="P2062" s="36" t="str">
        <f>IF(N2058&gt;0,"xx",IF(N2058&gt;0,"xy",""))</f>
        <v/>
      </c>
      <c r="Q2062" s="317" t="str">
        <f t="shared" si="153"/>
        <v/>
      </c>
      <c r="R2062" s="317" t="str">
        <f t="shared" si="154"/>
        <v/>
      </c>
      <c r="S2062" s="317" t="str">
        <f t="shared" si="155"/>
        <v/>
      </c>
      <c r="T2062" s="317" t="str">
        <f>GLOBAL_DER_FEV_2023!S2062</f>
        <v/>
      </c>
      <c r="W2062" s="582">
        <v>0</v>
      </c>
      <c r="X2062" s="580"/>
      <c r="Y2062" s="583">
        <f>IF(GLOBAL_DER_FEV_2023!W2062=0,0,IF(GLOBAL_DER_FEV_2023!W2062&gt;0,"c","b"))</f>
        <v>0</v>
      </c>
    </row>
    <row r="2063" spans="1:25" ht="15" hidden="1" customHeight="1" x14ac:dyDescent="0.2">
      <c r="A2063" s="317">
        <v>610900</v>
      </c>
      <c r="B2063" s="895" t="s">
        <v>1840</v>
      </c>
      <c r="C2063" s="896" t="s">
        <v>184</v>
      </c>
      <c r="D2063" s="906" t="s">
        <v>2039</v>
      </c>
      <c r="E2063" s="907">
        <f>GLOBAL_DER_FEV_2023!E2063</f>
        <v>0</v>
      </c>
      <c r="F2063" s="908">
        <f>GLOBAL_DER_FEV_2023!F2063</f>
        <v>0</v>
      </c>
      <c r="G2063" s="912">
        <f>GLOBAL_DER_FEV_2023!G2063</f>
        <v>64.826621799999998</v>
      </c>
      <c r="H2063" s="901">
        <f>GLOBAL_DER_FEV_2023!H2063</f>
        <v>677.21</v>
      </c>
      <c r="I2063" s="901">
        <f>GLOBAL_DER_FEV_2023!I2063</f>
        <v>742.03662180000003</v>
      </c>
      <c r="J2063" s="902">
        <f>GLOBAL_DER_FEV_2023!J2063</f>
        <v>890.96</v>
      </c>
      <c r="K2063" s="903" t="s">
        <v>13</v>
      </c>
      <c r="L2063" s="1137"/>
      <c r="M2063" s="1138">
        <f t="shared" si="152"/>
        <v>0</v>
      </c>
      <c r="N2063" s="1176">
        <f t="shared" si="156"/>
        <v>0</v>
      </c>
      <c r="O2063" s="905"/>
      <c r="Q2063" s="317" t="str">
        <f t="shared" si="153"/>
        <v/>
      </c>
      <c r="R2063" s="317" t="str">
        <f t="shared" si="154"/>
        <v/>
      </c>
      <c r="S2063" s="317" t="str">
        <f t="shared" si="155"/>
        <v/>
      </c>
      <c r="T2063" s="317" t="str">
        <f>GLOBAL_DER_FEV_2023!S2063</f>
        <v/>
      </c>
      <c r="W2063" s="582">
        <v>0</v>
      </c>
      <c r="X2063" s="580"/>
      <c r="Y2063" s="583">
        <f>IF(GLOBAL_DER_FEV_2023!W2063=0,0,IF(GLOBAL_DER_FEV_2023!W2063&gt;0,"c","b"))</f>
        <v>0</v>
      </c>
    </row>
    <row r="2064" spans="1:25" ht="15" hidden="1" customHeight="1" x14ac:dyDescent="0.2">
      <c r="A2064" s="317" t="s">
        <v>147</v>
      </c>
      <c r="B2064" s="895" t="s">
        <v>147</v>
      </c>
      <c r="C2064" s="896"/>
      <c r="D2064" s="906" t="s">
        <v>190</v>
      </c>
      <c r="E2064" s="907">
        <f>GLOBAL_DER_FEV_2023!E2064</f>
        <v>308</v>
      </c>
      <c r="F2064" s="908">
        <f>GLOBAL_DER_FEV_2023!F2064</f>
        <v>4.7199999999999999E-2</v>
      </c>
      <c r="G2064" s="909">
        <f>GLOBAL_DER_FEV_2023!G2064</f>
        <v>11.708432</v>
      </c>
      <c r="H2064" s="901">
        <f>GLOBAL_DER_FEV_2023!H2064</f>
        <v>0</v>
      </c>
      <c r="I2064" s="901">
        <f>GLOBAL_DER_FEV_2023!I2064</f>
        <v>0</v>
      </c>
      <c r="J2064" s="902">
        <f>GLOBAL_DER_FEV_2023!J2064</f>
        <v>0</v>
      </c>
      <c r="K2064" s="903"/>
      <c r="L2064" s="1177"/>
      <c r="M2064" s="1138">
        <f t="shared" si="152"/>
        <v>0</v>
      </c>
      <c r="N2064" s="1176">
        <f t="shared" si="156"/>
        <v>0</v>
      </c>
      <c r="O2064" s="905"/>
      <c r="P2064" s="36" t="str">
        <f>IF(N2063&gt;0,"xx",IF(N2063&gt;0,"xy",""))</f>
        <v/>
      </c>
      <c r="Q2064" s="317" t="str">
        <f t="shared" si="153"/>
        <v/>
      </c>
      <c r="R2064" s="317" t="str">
        <f t="shared" si="154"/>
        <v/>
      </c>
      <c r="S2064" s="317" t="str">
        <f t="shared" si="155"/>
        <v/>
      </c>
      <c r="T2064" s="317" t="str">
        <f>GLOBAL_DER_FEV_2023!S2064</f>
        <v/>
      </c>
      <c r="W2064" s="582">
        <v>0</v>
      </c>
      <c r="X2064" s="580"/>
      <c r="Y2064" s="583">
        <f>IF(GLOBAL_DER_FEV_2023!W2064=0,0,IF(GLOBAL_DER_FEV_2023!W2064&gt;0,"c","b"))</f>
        <v>0</v>
      </c>
    </row>
    <row r="2065" spans="1:25" ht="15" hidden="1" customHeight="1" x14ac:dyDescent="0.2">
      <c r="A2065" s="317" t="s">
        <v>147</v>
      </c>
      <c r="B2065" s="895" t="s">
        <v>147</v>
      </c>
      <c r="C2065" s="896"/>
      <c r="D2065" s="906" t="s">
        <v>229</v>
      </c>
      <c r="E2065" s="907">
        <f>GLOBAL_DER_FEV_2023!E2065</f>
        <v>150</v>
      </c>
      <c r="F2065" s="908">
        <f>GLOBAL_DER_FEV_2023!F2065</f>
        <v>0.17269999999999999</v>
      </c>
      <c r="G2065" s="949">
        <f>GLOBAL_DER_FEV_2023!G2065</f>
        <v>28.181186</v>
      </c>
      <c r="H2065" s="901">
        <f>GLOBAL_DER_FEV_2023!H2065</f>
        <v>0</v>
      </c>
      <c r="I2065" s="901">
        <f>GLOBAL_DER_FEV_2023!I2065</f>
        <v>0</v>
      </c>
      <c r="J2065" s="902">
        <f>GLOBAL_DER_FEV_2023!J2065</f>
        <v>0</v>
      </c>
      <c r="K2065" s="903"/>
      <c r="L2065" s="1177"/>
      <c r="M2065" s="1138">
        <f t="shared" si="152"/>
        <v>0</v>
      </c>
      <c r="N2065" s="1176">
        <f t="shared" si="156"/>
        <v>0</v>
      </c>
      <c r="O2065" s="905"/>
      <c r="P2065" s="36" t="str">
        <f>IF(N2063&gt;0,"xx",IF(N2063&gt;0,"xy",""))</f>
        <v/>
      </c>
      <c r="Q2065" s="317" t="str">
        <f t="shared" si="153"/>
        <v/>
      </c>
      <c r="R2065" s="317" t="str">
        <f t="shared" si="154"/>
        <v/>
      </c>
      <c r="S2065" s="317" t="str">
        <f t="shared" si="155"/>
        <v/>
      </c>
      <c r="T2065" s="317" t="str">
        <f>GLOBAL_DER_FEV_2023!S2065</f>
        <v/>
      </c>
      <c r="W2065" s="582">
        <v>0</v>
      </c>
      <c r="X2065" s="580"/>
      <c r="Y2065" s="583">
        <f>IF(GLOBAL_DER_FEV_2023!W2065=0,0,IF(GLOBAL_DER_FEV_2023!W2065&gt;0,"c","b"))</f>
        <v>0</v>
      </c>
    </row>
    <row r="2066" spans="1:25" ht="15" hidden="1" customHeight="1" x14ac:dyDescent="0.2">
      <c r="A2066" s="317" t="s">
        <v>147</v>
      </c>
      <c r="B2066" s="895" t="s">
        <v>147</v>
      </c>
      <c r="C2066" s="896"/>
      <c r="D2066" s="906" t="s">
        <v>233</v>
      </c>
      <c r="E2066" s="907">
        <f>GLOBAL_DER_FEV_2023!E2066</f>
        <v>0.2</v>
      </c>
      <c r="F2066" s="908">
        <f>GLOBAL_DER_FEV_2023!F2066</f>
        <v>0.28770000000000001</v>
      </c>
      <c r="G2066" s="949">
        <f>GLOBAL_DER_FEV_2023!G2066</f>
        <v>0.83260380000000012</v>
      </c>
      <c r="H2066" s="901">
        <f>GLOBAL_DER_FEV_2023!H2066</f>
        <v>0</v>
      </c>
      <c r="I2066" s="901">
        <f>GLOBAL_DER_FEV_2023!I2066</f>
        <v>0</v>
      </c>
      <c r="J2066" s="902">
        <f>GLOBAL_DER_FEV_2023!J2066</f>
        <v>0</v>
      </c>
      <c r="K2066" s="903"/>
      <c r="L2066" s="1177"/>
      <c r="M2066" s="1138">
        <f t="shared" ref="M2066:M2129" si="157">IF(L2066=0,0,ROUND(J2066,2))</f>
        <v>0</v>
      </c>
      <c r="N2066" s="1176">
        <f t="shared" si="156"/>
        <v>0</v>
      </c>
      <c r="O2066" s="905"/>
      <c r="P2066" s="36" t="str">
        <f>IF(N2063&gt;0,"xx",IF(N2063&gt;0,"xy",""))</f>
        <v/>
      </c>
      <c r="Q2066" s="317" t="str">
        <f t="shared" si="153"/>
        <v/>
      </c>
      <c r="R2066" s="317" t="str">
        <f t="shared" si="154"/>
        <v/>
      </c>
      <c r="S2066" s="317" t="str">
        <f t="shared" si="155"/>
        <v/>
      </c>
      <c r="T2066" s="317" t="str">
        <f>GLOBAL_DER_FEV_2023!S2066</f>
        <v/>
      </c>
      <c r="W2066" s="582">
        <v>0</v>
      </c>
      <c r="X2066" s="580"/>
      <c r="Y2066" s="583">
        <f>IF(GLOBAL_DER_FEV_2023!W2066=0,0,IF(GLOBAL_DER_FEV_2023!W2066&gt;0,"c","b"))</f>
        <v>0</v>
      </c>
    </row>
    <row r="2067" spans="1:25" ht="15" hidden="1" customHeight="1" x14ac:dyDescent="0.2">
      <c r="A2067" s="317" t="s">
        <v>147</v>
      </c>
      <c r="B2067" s="895" t="s">
        <v>147</v>
      </c>
      <c r="C2067" s="896"/>
      <c r="D2067" s="906" t="s">
        <v>336</v>
      </c>
      <c r="E2067" s="907">
        <f>GLOBAL_DER_FEV_2023!E2067</f>
        <v>40</v>
      </c>
      <c r="F2067" s="908">
        <f>GLOBAL_DER_FEV_2023!F2067</f>
        <v>0.53</v>
      </c>
      <c r="G2067" s="949">
        <f>GLOBAL_DER_FEV_2023!G2067</f>
        <v>24.104400000000002</v>
      </c>
      <c r="H2067" s="901">
        <f>GLOBAL_DER_FEV_2023!H2067</f>
        <v>0</v>
      </c>
      <c r="I2067" s="901">
        <f>GLOBAL_DER_FEV_2023!I2067</f>
        <v>0</v>
      </c>
      <c r="J2067" s="902">
        <f>GLOBAL_DER_FEV_2023!J2067</f>
        <v>0</v>
      </c>
      <c r="K2067" s="903"/>
      <c r="L2067" s="1177"/>
      <c r="M2067" s="1138">
        <f t="shared" si="157"/>
        <v>0</v>
      </c>
      <c r="N2067" s="1176">
        <f t="shared" si="156"/>
        <v>0</v>
      </c>
      <c r="O2067" s="905"/>
      <c r="P2067" s="36" t="str">
        <f>IF(N2063&gt;0,"xx",IF(N2063&gt;0,"xy",""))</f>
        <v/>
      </c>
      <c r="Q2067" s="317" t="str">
        <f t="shared" si="153"/>
        <v/>
      </c>
      <c r="R2067" s="317" t="str">
        <f t="shared" si="154"/>
        <v/>
      </c>
      <c r="S2067" s="317" t="str">
        <f t="shared" si="155"/>
        <v/>
      </c>
      <c r="T2067" s="317" t="str">
        <f>GLOBAL_DER_FEV_2023!S2067</f>
        <v/>
      </c>
      <c r="W2067" s="582">
        <v>0</v>
      </c>
      <c r="X2067" s="580"/>
      <c r="Y2067" s="583">
        <f>IF(GLOBAL_DER_FEV_2023!W2067=0,0,IF(GLOBAL_DER_FEV_2023!W2067&gt;0,"c","b"))</f>
        <v>0</v>
      </c>
    </row>
    <row r="2068" spans="1:25" ht="15" hidden="1" customHeight="1" x14ac:dyDescent="0.2">
      <c r="A2068" s="317">
        <v>610900</v>
      </c>
      <c r="B2068" s="895" t="s">
        <v>1841</v>
      </c>
      <c r="C2068" s="896" t="s">
        <v>184</v>
      </c>
      <c r="D2068" s="906" t="s">
        <v>2040</v>
      </c>
      <c r="E2068" s="907">
        <f>GLOBAL_DER_FEV_2023!E2068</f>
        <v>0</v>
      </c>
      <c r="F2068" s="908">
        <f>GLOBAL_DER_FEV_2023!F2068</f>
        <v>0</v>
      </c>
      <c r="G2068" s="912">
        <f>GLOBAL_DER_FEV_2023!G2068</f>
        <v>82.943787400000019</v>
      </c>
      <c r="H2068" s="901">
        <f>GLOBAL_DER_FEV_2023!H2068</f>
        <v>677.21</v>
      </c>
      <c r="I2068" s="901">
        <f>GLOBAL_DER_FEV_2023!I2068</f>
        <v>760.15378740000006</v>
      </c>
      <c r="J2068" s="902">
        <f>GLOBAL_DER_FEV_2023!J2068</f>
        <v>912.72</v>
      </c>
      <c r="K2068" s="903" t="s">
        <v>13</v>
      </c>
      <c r="L2068" s="1137"/>
      <c r="M2068" s="1138">
        <f t="shared" si="157"/>
        <v>0</v>
      </c>
      <c r="N2068" s="1176">
        <f t="shared" si="156"/>
        <v>0</v>
      </c>
      <c r="O2068" s="905"/>
      <c r="Q2068" s="317" t="str">
        <f t="shared" si="153"/>
        <v/>
      </c>
      <c r="R2068" s="317" t="str">
        <f t="shared" si="154"/>
        <v/>
      </c>
      <c r="S2068" s="317" t="str">
        <f t="shared" si="155"/>
        <v/>
      </c>
      <c r="T2068" s="317" t="str">
        <f>GLOBAL_DER_FEV_2023!S2068</f>
        <v/>
      </c>
      <c r="W2068" s="582">
        <v>0</v>
      </c>
      <c r="X2068" s="580"/>
      <c r="Y2068" s="583">
        <f>IF(GLOBAL_DER_FEV_2023!W2068=0,0,IF(GLOBAL_DER_FEV_2023!W2068&gt;0,"c","b"))</f>
        <v>0</v>
      </c>
    </row>
    <row r="2069" spans="1:25" ht="15" hidden="1" customHeight="1" x14ac:dyDescent="0.2">
      <c r="A2069" s="317" t="s">
        <v>147</v>
      </c>
      <c r="B2069" s="895" t="s">
        <v>147</v>
      </c>
      <c r="C2069" s="896"/>
      <c r="D2069" s="906" t="s">
        <v>190</v>
      </c>
      <c r="E2069" s="907">
        <f>GLOBAL_DER_FEV_2023!E2069</f>
        <v>308</v>
      </c>
      <c r="F2069" s="908">
        <f>GLOBAL_DER_FEV_2023!F2069</f>
        <v>5.9900000000000002E-2</v>
      </c>
      <c r="G2069" s="909">
        <f>GLOBAL_DER_FEV_2023!G2069</f>
        <v>14.858794000000001</v>
      </c>
      <c r="H2069" s="901">
        <f>GLOBAL_DER_FEV_2023!H2069</f>
        <v>0</v>
      </c>
      <c r="I2069" s="901">
        <f>GLOBAL_DER_FEV_2023!I2069</f>
        <v>0</v>
      </c>
      <c r="J2069" s="902">
        <f>GLOBAL_DER_FEV_2023!J2069</f>
        <v>0</v>
      </c>
      <c r="K2069" s="903"/>
      <c r="L2069" s="1177"/>
      <c r="M2069" s="1138">
        <f t="shared" si="157"/>
        <v>0</v>
      </c>
      <c r="N2069" s="1176">
        <f t="shared" si="156"/>
        <v>0</v>
      </c>
      <c r="O2069" s="905"/>
      <c r="P2069" s="36" t="str">
        <f>IF(N2068&gt;0,"xx",IF(N2068&gt;0,"xy",""))</f>
        <v/>
      </c>
      <c r="Q2069" s="317" t="str">
        <f t="shared" si="153"/>
        <v/>
      </c>
      <c r="R2069" s="317" t="str">
        <f t="shared" si="154"/>
        <v/>
      </c>
      <c r="S2069" s="317" t="str">
        <f t="shared" si="155"/>
        <v/>
      </c>
      <c r="T2069" s="317" t="str">
        <f>GLOBAL_DER_FEV_2023!S2069</f>
        <v/>
      </c>
      <c r="W2069" s="582">
        <v>0</v>
      </c>
      <c r="X2069" s="580"/>
      <c r="Y2069" s="583">
        <f>IF(GLOBAL_DER_FEV_2023!W2069=0,0,IF(GLOBAL_DER_FEV_2023!W2069&gt;0,"c","b"))</f>
        <v>0</v>
      </c>
    </row>
    <row r="2070" spans="1:25" ht="15" hidden="1" customHeight="1" x14ac:dyDescent="0.2">
      <c r="A2070" s="317" t="s">
        <v>147</v>
      </c>
      <c r="B2070" s="895" t="s">
        <v>147</v>
      </c>
      <c r="C2070" s="896"/>
      <c r="D2070" s="906" t="s">
        <v>229</v>
      </c>
      <c r="E2070" s="907">
        <f>GLOBAL_DER_FEV_2023!E2070</f>
        <v>150</v>
      </c>
      <c r="F2070" s="908">
        <f>GLOBAL_DER_FEV_2023!F2070</f>
        <v>0.21840000000000001</v>
      </c>
      <c r="G2070" s="949">
        <f>GLOBAL_DER_FEV_2023!G2070</f>
        <v>35.638512000000006</v>
      </c>
      <c r="H2070" s="901">
        <f>GLOBAL_DER_FEV_2023!H2070</f>
        <v>0</v>
      </c>
      <c r="I2070" s="901">
        <f>GLOBAL_DER_FEV_2023!I2070</f>
        <v>0</v>
      </c>
      <c r="J2070" s="902">
        <f>GLOBAL_DER_FEV_2023!J2070</f>
        <v>0</v>
      </c>
      <c r="K2070" s="903"/>
      <c r="L2070" s="1177"/>
      <c r="M2070" s="1138">
        <f t="shared" si="157"/>
        <v>0</v>
      </c>
      <c r="N2070" s="1176">
        <f t="shared" si="156"/>
        <v>0</v>
      </c>
      <c r="O2070" s="905"/>
      <c r="P2070" s="36" t="str">
        <f>IF(N2068&gt;0,"xx",IF(N2068&gt;0,"xy",""))</f>
        <v/>
      </c>
      <c r="Q2070" s="317" t="str">
        <f t="shared" si="153"/>
        <v/>
      </c>
      <c r="R2070" s="317" t="str">
        <f t="shared" si="154"/>
        <v/>
      </c>
      <c r="S2070" s="317" t="str">
        <f t="shared" si="155"/>
        <v/>
      </c>
      <c r="T2070" s="317" t="str">
        <f>GLOBAL_DER_FEV_2023!S2070</f>
        <v/>
      </c>
      <c r="W2070" s="582">
        <v>0</v>
      </c>
      <c r="X2070" s="580"/>
      <c r="Y2070" s="583">
        <f>IF(GLOBAL_DER_FEV_2023!W2070=0,0,IF(GLOBAL_DER_FEV_2023!W2070&gt;0,"c","b"))</f>
        <v>0</v>
      </c>
    </row>
    <row r="2071" spans="1:25" ht="15" hidden="1" customHeight="1" x14ac:dyDescent="0.2">
      <c r="A2071" s="317" t="s">
        <v>147</v>
      </c>
      <c r="B2071" s="895" t="s">
        <v>147</v>
      </c>
      <c r="C2071" s="896"/>
      <c r="D2071" s="906" t="s">
        <v>233</v>
      </c>
      <c r="E2071" s="907">
        <f>GLOBAL_DER_FEV_2023!E2071</f>
        <v>0.2</v>
      </c>
      <c r="F2071" s="908">
        <f>GLOBAL_DER_FEV_2023!F2071</f>
        <v>0.36809999999999998</v>
      </c>
      <c r="G2071" s="949">
        <f>GLOBAL_DER_FEV_2023!G2071</f>
        <v>1.0652813999999999</v>
      </c>
      <c r="H2071" s="901">
        <f>GLOBAL_DER_FEV_2023!H2071</f>
        <v>0</v>
      </c>
      <c r="I2071" s="901">
        <f>GLOBAL_DER_FEV_2023!I2071</f>
        <v>0</v>
      </c>
      <c r="J2071" s="902">
        <f>GLOBAL_DER_FEV_2023!J2071</f>
        <v>0</v>
      </c>
      <c r="K2071" s="903"/>
      <c r="L2071" s="1177"/>
      <c r="M2071" s="1138">
        <f t="shared" si="157"/>
        <v>0</v>
      </c>
      <c r="N2071" s="1176">
        <f t="shared" si="156"/>
        <v>0</v>
      </c>
      <c r="O2071" s="905"/>
      <c r="P2071" s="36" t="str">
        <f>IF(N2068&gt;0,"xx",IF(N2068&gt;0,"xy",""))</f>
        <v/>
      </c>
      <c r="Q2071" s="317" t="str">
        <f t="shared" si="153"/>
        <v/>
      </c>
      <c r="R2071" s="317" t="str">
        <f t="shared" si="154"/>
        <v/>
      </c>
      <c r="S2071" s="317" t="str">
        <f t="shared" si="155"/>
        <v/>
      </c>
      <c r="T2071" s="317" t="str">
        <f>GLOBAL_DER_FEV_2023!S2071</f>
        <v/>
      </c>
      <c r="W2071" s="582">
        <v>0</v>
      </c>
      <c r="X2071" s="580"/>
      <c r="Y2071" s="583">
        <f>IF(GLOBAL_DER_FEV_2023!W2071=0,0,IF(GLOBAL_DER_FEV_2023!W2071&gt;0,"c","b"))</f>
        <v>0</v>
      </c>
    </row>
    <row r="2072" spans="1:25" ht="15" hidden="1" customHeight="1" x14ac:dyDescent="0.2">
      <c r="A2072" s="317" t="s">
        <v>147</v>
      </c>
      <c r="B2072" s="895" t="s">
        <v>147</v>
      </c>
      <c r="C2072" s="896"/>
      <c r="D2072" s="906" t="s">
        <v>336</v>
      </c>
      <c r="E2072" s="907">
        <f>GLOBAL_DER_FEV_2023!E2072</f>
        <v>40</v>
      </c>
      <c r="F2072" s="908">
        <f>GLOBAL_DER_FEV_2023!F2072</f>
        <v>0.69</v>
      </c>
      <c r="G2072" s="949">
        <f>GLOBAL_DER_FEV_2023!G2072</f>
        <v>31.3812</v>
      </c>
      <c r="H2072" s="901">
        <f>GLOBAL_DER_FEV_2023!H2072</f>
        <v>0</v>
      </c>
      <c r="I2072" s="901">
        <f>GLOBAL_DER_FEV_2023!I2072</f>
        <v>0</v>
      </c>
      <c r="J2072" s="902">
        <f>GLOBAL_DER_FEV_2023!J2072</f>
        <v>0</v>
      </c>
      <c r="K2072" s="903"/>
      <c r="L2072" s="1177"/>
      <c r="M2072" s="1138">
        <f t="shared" si="157"/>
        <v>0</v>
      </c>
      <c r="N2072" s="1176">
        <f t="shared" si="156"/>
        <v>0</v>
      </c>
      <c r="O2072" s="905"/>
      <c r="P2072" s="36" t="str">
        <f>IF(N2068&gt;0,"xx",IF(N2068&gt;0,"xy",""))</f>
        <v/>
      </c>
      <c r="Q2072" s="317" t="str">
        <f t="shared" si="153"/>
        <v/>
      </c>
      <c r="R2072" s="317" t="str">
        <f t="shared" si="154"/>
        <v/>
      </c>
      <c r="S2072" s="317" t="str">
        <f t="shared" si="155"/>
        <v/>
      </c>
      <c r="T2072" s="317" t="str">
        <f>GLOBAL_DER_FEV_2023!S2072</f>
        <v/>
      </c>
      <c r="W2072" s="582">
        <v>0</v>
      </c>
      <c r="X2072" s="580"/>
      <c r="Y2072" s="583">
        <f>IF(GLOBAL_DER_FEV_2023!W2072=0,0,IF(GLOBAL_DER_FEV_2023!W2072&gt;0,"c","b"))</f>
        <v>0</v>
      </c>
    </row>
    <row r="2073" spans="1:25" ht="15" hidden="1" customHeight="1" x14ac:dyDescent="0.2">
      <c r="A2073" s="317">
        <v>611100</v>
      </c>
      <c r="B2073" s="895" t="s">
        <v>1854</v>
      </c>
      <c r="C2073" s="896" t="s">
        <v>184</v>
      </c>
      <c r="D2073" s="906" t="s">
        <v>2041</v>
      </c>
      <c r="E2073" s="907">
        <f>GLOBAL_DER_FEV_2023!E2073</f>
        <v>0</v>
      </c>
      <c r="F2073" s="908">
        <f>GLOBAL_DER_FEV_2023!F2073</f>
        <v>0</v>
      </c>
      <c r="G2073" s="912">
        <f>GLOBAL_DER_FEV_2023!G2073</f>
        <v>103.2311722</v>
      </c>
      <c r="H2073" s="901">
        <f>GLOBAL_DER_FEV_2023!H2073</f>
        <v>1053.49</v>
      </c>
      <c r="I2073" s="901">
        <f>GLOBAL_DER_FEV_2023!I2073</f>
        <v>1156.7211722</v>
      </c>
      <c r="J2073" s="902">
        <f>GLOBAL_DER_FEV_2023!J2073</f>
        <v>1388.88</v>
      </c>
      <c r="K2073" s="903" t="s">
        <v>13</v>
      </c>
      <c r="L2073" s="1137"/>
      <c r="M2073" s="1138">
        <f t="shared" si="157"/>
        <v>0</v>
      </c>
      <c r="N2073" s="1176">
        <f t="shared" si="156"/>
        <v>0</v>
      </c>
      <c r="O2073" s="905"/>
      <c r="Q2073" s="317" t="str">
        <f t="shared" si="153"/>
        <v/>
      </c>
      <c r="R2073" s="317" t="str">
        <f t="shared" si="154"/>
        <v/>
      </c>
      <c r="S2073" s="317" t="str">
        <f t="shared" si="155"/>
        <v/>
      </c>
      <c r="T2073" s="317" t="str">
        <f>GLOBAL_DER_FEV_2023!S2073</f>
        <v/>
      </c>
      <c r="W2073" s="582">
        <v>0</v>
      </c>
      <c r="X2073" s="580"/>
      <c r="Y2073" s="583">
        <f>IF(GLOBAL_DER_FEV_2023!W2073=0,0,IF(GLOBAL_DER_FEV_2023!W2073&gt;0,"c","b"))</f>
        <v>0</v>
      </c>
    </row>
    <row r="2074" spans="1:25" ht="15" hidden="1" customHeight="1" x14ac:dyDescent="0.2">
      <c r="A2074" s="317" t="s">
        <v>147</v>
      </c>
      <c r="B2074" s="895" t="s">
        <v>147</v>
      </c>
      <c r="C2074" s="896"/>
      <c r="D2074" s="906" t="s">
        <v>190</v>
      </c>
      <c r="E2074" s="907">
        <f>GLOBAL_DER_FEV_2023!E2074</f>
        <v>308</v>
      </c>
      <c r="F2074" s="908">
        <f>GLOBAL_DER_FEV_2023!F2074</f>
        <v>7.5800000000000006E-2</v>
      </c>
      <c r="G2074" s="909">
        <f>GLOBAL_DER_FEV_2023!G2074</f>
        <v>18.802948000000001</v>
      </c>
      <c r="H2074" s="901">
        <f>GLOBAL_DER_FEV_2023!H2074</f>
        <v>0</v>
      </c>
      <c r="I2074" s="901">
        <f>GLOBAL_DER_FEV_2023!I2074</f>
        <v>0</v>
      </c>
      <c r="J2074" s="902">
        <f>GLOBAL_DER_FEV_2023!J2074</f>
        <v>0</v>
      </c>
      <c r="K2074" s="903"/>
      <c r="L2074" s="1177"/>
      <c r="M2074" s="1138">
        <f t="shared" si="157"/>
        <v>0</v>
      </c>
      <c r="N2074" s="1176">
        <f t="shared" si="156"/>
        <v>0</v>
      </c>
      <c r="O2074" s="905"/>
      <c r="P2074" s="36" t="str">
        <f>IF(N2073&gt;0,"xx",IF(N2073&gt;0,"xy",""))</f>
        <v/>
      </c>
      <c r="Q2074" s="317" t="str">
        <f t="shared" si="153"/>
        <v/>
      </c>
      <c r="R2074" s="317" t="str">
        <f t="shared" si="154"/>
        <v/>
      </c>
      <c r="S2074" s="317" t="str">
        <f t="shared" si="155"/>
        <v/>
      </c>
      <c r="T2074" s="317" t="str">
        <f>GLOBAL_DER_FEV_2023!S2074</f>
        <v/>
      </c>
      <c r="W2074" s="582">
        <v>0</v>
      </c>
      <c r="X2074" s="580"/>
      <c r="Y2074" s="583">
        <f>IF(GLOBAL_DER_FEV_2023!W2074=0,0,IF(GLOBAL_DER_FEV_2023!W2074&gt;0,"c","b"))</f>
        <v>0</v>
      </c>
    </row>
    <row r="2075" spans="1:25" ht="15" hidden="1" customHeight="1" x14ac:dyDescent="0.2">
      <c r="A2075" s="317" t="s">
        <v>147</v>
      </c>
      <c r="B2075" s="895" t="s">
        <v>147</v>
      </c>
      <c r="C2075" s="896"/>
      <c r="D2075" s="906" t="s">
        <v>229</v>
      </c>
      <c r="E2075" s="907">
        <f>GLOBAL_DER_FEV_2023!E2075</f>
        <v>150</v>
      </c>
      <c r="F2075" s="908">
        <f>GLOBAL_DER_FEV_2023!F2075</f>
        <v>0.27639999999999998</v>
      </c>
      <c r="G2075" s="949">
        <f>GLOBAL_DER_FEV_2023!G2075</f>
        <v>45.102952000000002</v>
      </c>
      <c r="H2075" s="901">
        <f>GLOBAL_DER_FEV_2023!H2075</f>
        <v>0</v>
      </c>
      <c r="I2075" s="901">
        <f>GLOBAL_DER_FEV_2023!I2075</f>
        <v>0</v>
      </c>
      <c r="J2075" s="902">
        <f>GLOBAL_DER_FEV_2023!J2075</f>
        <v>0</v>
      </c>
      <c r="K2075" s="903"/>
      <c r="L2075" s="1177"/>
      <c r="M2075" s="1138">
        <f t="shared" si="157"/>
        <v>0</v>
      </c>
      <c r="N2075" s="1176">
        <f t="shared" si="156"/>
        <v>0</v>
      </c>
      <c r="O2075" s="905"/>
      <c r="P2075" s="36" t="str">
        <f>IF(N2073&gt;0,"xx",IF(N2073&gt;0,"xy",""))</f>
        <v/>
      </c>
      <c r="Q2075" s="317" t="str">
        <f t="shared" ref="Q2075:Q2138" si="158">IF(P2075="X","x",IF(P2075="xx","x",IF(P2075="xy","x",IF(P2075="y","x",IF(OR(N2075&gt;0,N2075&gt;0),"x","")))))</f>
        <v/>
      </c>
      <c r="R2075" s="317" t="str">
        <f t="shared" si="154"/>
        <v/>
      </c>
      <c r="S2075" s="317" t="str">
        <f t="shared" si="155"/>
        <v/>
      </c>
      <c r="T2075" s="317" t="str">
        <f>GLOBAL_DER_FEV_2023!S2075</f>
        <v/>
      </c>
      <c r="W2075" s="582">
        <v>0</v>
      </c>
      <c r="X2075" s="580"/>
      <c r="Y2075" s="583">
        <f>IF(GLOBAL_DER_FEV_2023!W2075=0,0,IF(GLOBAL_DER_FEV_2023!W2075&gt;0,"c","b"))</f>
        <v>0</v>
      </c>
    </row>
    <row r="2076" spans="1:25" ht="15" hidden="1" customHeight="1" x14ac:dyDescent="0.2">
      <c r="A2076" s="317" t="s">
        <v>147</v>
      </c>
      <c r="B2076" s="895" t="s">
        <v>147</v>
      </c>
      <c r="C2076" s="896"/>
      <c r="D2076" s="906" t="s">
        <v>233</v>
      </c>
      <c r="E2076" s="907">
        <f>GLOBAL_DER_FEV_2023!E2076</f>
        <v>0.2</v>
      </c>
      <c r="F2076" s="908">
        <f>GLOBAL_DER_FEV_2023!F2076</f>
        <v>0.46629999999999999</v>
      </c>
      <c r="G2076" s="949">
        <f>GLOBAL_DER_FEV_2023!G2076</f>
        <v>1.3494722000000001</v>
      </c>
      <c r="H2076" s="901">
        <f>GLOBAL_DER_FEV_2023!H2076</f>
        <v>0</v>
      </c>
      <c r="I2076" s="901">
        <f>GLOBAL_DER_FEV_2023!I2076</f>
        <v>0</v>
      </c>
      <c r="J2076" s="902">
        <f>GLOBAL_DER_FEV_2023!J2076</f>
        <v>0</v>
      </c>
      <c r="K2076" s="903"/>
      <c r="L2076" s="1177"/>
      <c r="M2076" s="1138">
        <f t="shared" si="157"/>
        <v>0</v>
      </c>
      <c r="N2076" s="1176">
        <f t="shared" si="156"/>
        <v>0</v>
      </c>
      <c r="O2076" s="905"/>
      <c r="P2076" s="36" t="str">
        <f>IF(N2073&gt;0,"xx",IF(N2073&gt;0,"xy",""))</f>
        <v/>
      </c>
      <c r="Q2076" s="317" t="str">
        <f t="shared" si="158"/>
        <v/>
      </c>
      <c r="R2076" s="317" t="str">
        <f t="shared" si="154"/>
        <v/>
      </c>
      <c r="S2076" s="317" t="str">
        <f t="shared" si="155"/>
        <v/>
      </c>
      <c r="T2076" s="317" t="str">
        <f>GLOBAL_DER_FEV_2023!S2076</f>
        <v/>
      </c>
      <c r="W2076" s="582">
        <v>0</v>
      </c>
      <c r="X2076" s="580"/>
      <c r="Y2076" s="583">
        <f>IF(GLOBAL_DER_FEV_2023!W2076=0,0,IF(GLOBAL_DER_FEV_2023!W2076&gt;0,"c","b"))</f>
        <v>0</v>
      </c>
    </row>
    <row r="2077" spans="1:25" ht="15" hidden="1" customHeight="1" x14ac:dyDescent="0.2">
      <c r="A2077" s="317" t="s">
        <v>147</v>
      </c>
      <c r="B2077" s="895" t="s">
        <v>147</v>
      </c>
      <c r="C2077" s="896"/>
      <c r="D2077" s="906" t="s">
        <v>336</v>
      </c>
      <c r="E2077" s="907">
        <f>GLOBAL_DER_FEV_2023!E2077</f>
        <v>40</v>
      </c>
      <c r="F2077" s="908">
        <f>GLOBAL_DER_FEV_2023!F2077</f>
        <v>0.83499999999999996</v>
      </c>
      <c r="G2077" s="949">
        <f>GLOBAL_DER_FEV_2023!G2077</f>
        <v>37.9758</v>
      </c>
      <c r="H2077" s="901">
        <f>GLOBAL_DER_FEV_2023!H2077</f>
        <v>0</v>
      </c>
      <c r="I2077" s="901">
        <f>GLOBAL_DER_FEV_2023!I2077</f>
        <v>0</v>
      </c>
      <c r="J2077" s="902">
        <f>GLOBAL_DER_FEV_2023!J2077</f>
        <v>0</v>
      </c>
      <c r="K2077" s="903"/>
      <c r="L2077" s="1177"/>
      <c r="M2077" s="1138">
        <f t="shared" si="157"/>
        <v>0</v>
      </c>
      <c r="N2077" s="1176">
        <f t="shared" si="156"/>
        <v>0</v>
      </c>
      <c r="O2077" s="905"/>
      <c r="P2077" s="36" t="str">
        <f>IF(N2073&gt;0,"xx",IF(N2073&gt;0,"xy",""))</f>
        <v/>
      </c>
      <c r="Q2077" s="317" t="str">
        <f t="shared" si="158"/>
        <v/>
      </c>
      <c r="R2077" s="317" t="str">
        <f t="shared" ref="R2077:R2140" si="159">IF(P2077="X","x",IF(P2077="y","x",IF(P2077="xx","x",IF(N2077&gt;0,"x",""))))</f>
        <v/>
      </c>
      <c r="S2077" s="317" t="str">
        <f t="shared" ref="S2077:S2140" si="160">IF(P2077="X","x",IF(N2077&gt;0,"x",""))</f>
        <v/>
      </c>
      <c r="T2077" s="317" t="str">
        <f>GLOBAL_DER_FEV_2023!S2077</f>
        <v/>
      </c>
      <c r="W2077" s="582">
        <v>0</v>
      </c>
      <c r="X2077" s="580"/>
      <c r="Y2077" s="583">
        <f>IF(GLOBAL_DER_FEV_2023!W2077=0,0,IF(GLOBAL_DER_FEV_2023!W2077&gt;0,"c","b"))</f>
        <v>0</v>
      </c>
    </row>
    <row r="2078" spans="1:25" ht="15" hidden="1" customHeight="1" x14ac:dyDescent="0.2">
      <c r="A2078" s="317">
        <v>611100</v>
      </c>
      <c r="B2078" s="895" t="s">
        <v>1855</v>
      </c>
      <c r="C2078" s="896" t="s">
        <v>184</v>
      </c>
      <c r="D2078" s="906" t="s">
        <v>2042</v>
      </c>
      <c r="E2078" s="907">
        <f>GLOBAL_DER_FEV_2023!E2078</f>
        <v>0</v>
      </c>
      <c r="F2078" s="908">
        <f>GLOBAL_DER_FEV_2023!F2078</f>
        <v>0</v>
      </c>
      <c r="G2078" s="912">
        <f>GLOBAL_DER_FEV_2023!G2078</f>
        <v>124.4115496</v>
      </c>
      <c r="H2078" s="901">
        <f>GLOBAL_DER_FEV_2023!H2078</f>
        <v>1053.49</v>
      </c>
      <c r="I2078" s="901">
        <f>GLOBAL_DER_FEV_2023!I2078</f>
        <v>1177.9015496</v>
      </c>
      <c r="J2078" s="902">
        <f>GLOBAL_DER_FEV_2023!J2078</f>
        <v>1414.31</v>
      </c>
      <c r="K2078" s="903" t="s">
        <v>13</v>
      </c>
      <c r="L2078" s="1137"/>
      <c r="M2078" s="1138">
        <f t="shared" si="157"/>
        <v>0</v>
      </c>
      <c r="N2078" s="1176">
        <f t="shared" si="156"/>
        <v>0</v>
      </c>
      <c r="O2078" s="905"/>
      <c r="Q2078" s="317" t="str">
        <f t="shared" si="158"/>
        <v/>
      </c>
      <c r="R2078" s="317" t="str">
        <f t="shared" si="159"/>
        <v/>
      </c>
      <c r="S2078" s="317" t="str">
        <f t="shared" si="160"/>
        <v/>
      </c>
      <c r="T2078" s="317" t="str">
        <f>GLOBAL_DER_FEV_2023!S2078</f>
        <v/>
      </c>
      <c r="W2078" s="582">
        <v>0</v>
      </c>
      <c r="X2078" s="580"/>
      <c r="Y2078" s="583">
        <f>IF(GLOBAL_DER_FEV_2023!W2078=0,0,IF(GLOBAL_DER_FEV_2023!W2078&gt;0,"c","b"))</f>
        <v>0</v>
      </c>
    </row>
    <row r="2079" spans="1:25" ht="15" hidden="1" customHeight="1" x14ac:dyDescent="0.2">
      <c r="A2079" s="317" t="s">
        <v>147</v>
      </c>
      <c r="B2079" s="895" t="s">
        <v>147</v>
      </c>
      <c r="C2079" s="896"/>
      <c r="D2079" s="906" t="s">
        <v>190</v>
      </c>
      <c r="E2079" s="907">
        <f>GLOBAL_DER_FEV_2023!E2079</f>
        <v>308</v>
      </c>
      <c r="F2079" s="908">
        <f>GLOBAL_DER_FEV_2023!F2079</f>
        <v>9.1700000000000004E-2</v>
      </c>
      <c r="G2079" s="909">
        <f>GLOBAL_DER_FEV_2023!G2079</f>
        <v>22.747102000000002</v>
      </c>
      <c r="H2079" s="901">
        <f>GLOBAL_DER_FEV_2023!H2079</f>
        <v>0</v>
      </c>
      <c r="I2079" s="901">
        <f>GLOBAL_DER_FEV_2023!I2079</f>
        <v>0</v>
      </c>
      <c r="J2079" s="902">
        <f>GLOBAL_DER_FEV_2023!J2079</f>
        <v>0</v>
      </c>
      <c r="K2079" s="903"/>
      <c r="L2079" s="1177"/>
      <c r="M2079" s="1138">
        <f t="shared" si="157"/>
        <v>0</v>
      </c>
      <c r="N2079" s="1176">
        <f t="shared" si="156"/>
        <v>0</v>
      </c>
      <c r="O2079" s="905"/>
      <c r="P2079" s="36" t="str">
        <f>IF(N2078&gt;0,"xx",IF(N2078&gt;0,"xy",""))</f>
        <v/>
      </c>
      <c r="Q2079" s="317" t="str">
        <f t="shared" si="158"/>
        <v/>
      </c>
      <c r="R2079" s="317" t="str">
        <f t="shared" si="159"/>
        <v/>
      </c>
      <c r="S2079" s="317" t="str">
        <f t="shared" si="160"/>
        <v/>
      </c>
      <c r="T2079" s="317" t="str">
        <f>GLOBAL_DER_FEV_2023!S2079</f>
        <v/>
      </c>
      <c r="W2079" s="582">
        <v>0</v>
      </c>
      <c r="X2079" s="580"/>
      <c r="Y2079" s="583">
        <f>IF(GLOBAL_DER_FEV_2023!W2079=0,0,IF(GLOBAL_DER_FEV_2023!W2079&gt;0,"c","b"))</f>
        <v>0</v>
      </c>
    </row>
    <row r="2080" spans="1:25" ht="15" hidden="1" customHeight="1" x14ac:dyDescent="0.2">
      <c r="A2080" s="317" t="s">
        <v>147</v>
      </c>
      <c r="B2080" s="895" t="s">
        <v>147</v>
      </c>
      <c r="C2080" s="896"/>
      <c r="D2080" s="906" t="s">
        <v>229</v>
      </c>
      <c r="E2080" s="907">
        <f>GLOBAL_DER_FEV_2023!E2080</f>
        <v>150</v>
      </c>
      <c r="F2080" s="908">
        <f>GLOBAL_DER_FEV_2023!F2080</f>
        <v>0.33429999999999999</v>
      </c>
      <c r="G2080" s="949">
        <f>GLOBAL_DER_FEV_2023!G2080</f>
        <v>54.551074</v>
      </c>
      <c r="H2080" s="901">
        <f>GLOBAL_DER_FEV_2023!H2080</f>
        <v>0</v>
      </c>
      <c r="I2080" s="901">
        <f>GLOBAL_DER_FEV_2023!I2080</f>
        <v>0</v>
      </c>
      <c r="J2080" s="902">
        <f>GLOBAL_DER_FEV_2023!J2080</f>
        <v>0</v>
      </c>
      <c r="K2080" s="903"/>
      <c r="L2080" s="1177"/>
      <c r="M2080" s="1138">
        <f t="shared" si="157"/>
        <v>0</v>
      </c>
      <c r="N2080" s="1176">
        <f t="shared" si="156"/>
        <v>0</v>
      </c>
      <c r="O2080" s="905"/>
      <c r="P2080" s="36" t="str">
        <f>IF(N2078&gt;0,"xx",IF(N2078&gt;0,"xy",""))</f>
        <v/>
      </c>
      <c r="Q2080" s="317" t="str">
        <f t="shared" si="158"/>
        <v/>
      </c>
      <c r="R2080" s="317" t="str">
        <f t="shared" si="159"/>
        <v/>
      </c>
      <c r="S2080" s="317" t="str">
        <f t="shared" si="160"/>
        <v/>
      </c>
      <c r="T2080" s="317" t="str">
        <f>GLOBAL_DER_FEV_2023!S2080</f>
        <v/>
      </c>
      <c r="W2080" s="582">
        <v>0</v>
      </c>
      <c r="X2080" s="580"/>
      <c r="Y2080" s="583">
        <f>IF(GLOBAL_DER_FEV_2023!W2080=0,0,IF(GLOBAL_DER_FEV_2023!W2080&gt;0,"c","b"))</f>
        <v>0</v>
      </c>
    </row>
    <row r="2081" spans="1:25" ht="15" hidden="1" customHeight="1" x14ac:dyDescent="0.2">
      <c r="A2081" s="317" t="s">
        <v>147</v>
      </c>
      <c r="B2081" s="895" t="s">
        <v>147</v>
      </c>
      <c r="C2081" s="896"/>
      <c r="D2081" s="906" t="s">
        <v>233</v>
      </c>
      <c r="E2081" s="907">
        <f>GLOBAL_DER_FEV_2023!E2081</f>
        <v>0.2</v>
      </c>
      <c r="F2081" s="908">
        <f>GLOBAL_DER_FEV_2023!F2081</f>
        <v>0.56440000000000001</v>
      </c>
      <c r="G2081" s="949">
        <f>GLOBAL_DER_FEV_2023!G2081</f>
        <v>1.6333736000000001</v>
      </c>
      <c r="H2081" s="901">
        <f>GLOBAL_DER_FEV_2023!H2081</f>
        <v>0</v>
      </c>
      <c r="I2081" s="901">
        <f>GLOBAL_DER_FEV_2023!I2081</f>
        <v>0</v>
      </c>
      <c r="J2081" s="902">
        <f>GLOBAL_DER_FEV_2023!J2081</f>
        <v>0</v>
      </c>
      <c r="K2081" s="903"/>
      <c r="L2081" s="1177"/>
      <c r="M2081" s="1138">
        <f t="shared" si="157"/>
        <v>0</v>
      </c>
      <c r="N2081" s="1176">
        <f t="shared" ref="N2081:N2144" si="161">IF(ISBLANK(L2081),0,IF(W2081=0,ROUND(L2081*M2081,2),IF(W2081="b",ROUNDDOWN(L2081*M2081,2),ROUNDUP(L2081*M2081,2))))</f>
        <v>0</v>
      </c>
      <c r="O2081" s="905"/>
      <c r="P2081" s="36" t="str">
        <f>IF(N2078&gt;0,"xx",IF(N2078&gt;0,"xy",""))</f>
        <v/>
      </c>
      <c r="Q2081" s="317" t="str">
        <f t="shared" si="158"/>
        <v/>
      </c>
      <c r="R2081" s="317" t="str">
        <f t="shared" si="159"/>
        <v/>
      </c>
      <c r="S2081" s="317" t="str">
        <f t="shared" si="160"/>
        <v/>
      </c>
      <c r="T2081" s="317" t="str">
        <f>GLOBAL_DER_FEV_2023!S2081</f>
        <v/>
      </c>
      <c r="W2081" s="582">
        <v>0</v>
      </c>
      <c r="X2081" s="580"/>
      <c r="Y2081" s="583">
        <f>IF(GLOBAL_DER_FEV_2023!W2081=0,0,IF(GLOBAL_DER_FEV_2023!W2081&gt;0,"c","b"))</f>
        <v>0</v>
      </c>
    </row>
    <row r="2082" spans="1:25" ht="15" hidden="1" customHeight="1" x14ac:dyDescent="0.2">
      <c r="A2082" s="317" t="s">
        <v>147</v>
      </c>
      <c r="B2082" s="895" t="s">
        <v>147</v>
      </c>
      <c r="C2082" s="896"/>
      <c r="D2082" s="906" t="s">
        <v>336</v>
      </c>
      <c r="E2082" s="907">
        <f>GLOBAL_DER_FEV_2023!E2082</f>
        <v>40</v>
      </c>
      <c r="F2082" s="908">
        <f>GLOBAL_DER_FEV_2023!F2082</f>
        <v>1</v>
      </c>
      <c r="G2082" s="949">
        <f>GLOBAL_DER_FEV_2023!G2082</f>
        <v>45.480000000000004</v>
      </c>
      <c r="H2082" s="901">
        <f>GLOBAL_DER_FEV_2023!H2082</f>
        <v>0</v>
      </c>
      <c r="I2082" s="901">
        <f>GLOBAL_DER_FEV_2023!I2082</f>
        <v>0</v>
      </c>
      <c r="J2082" s="902">
        <f>GLOBAL_DER_FEV_2023!J2082</f>
        <v>0</v>
      </c>
      <c r="K2082" s="903"/>
      <c r="L2082" s="1177"/>
      <c r="M2082" s="1138">
        <f t="shared" si="157"/>
        <v>0</v>
      </c>
      <c r="N2082" s="1176">
        <f t="shared" si="161"/>
        <v>0</v>
      </c>
      <c r="O2082" s="905"/>
      <c r="P2082" s="36" t="str">
        <f>IF(N2078&gt;0,"xx",IF(N2078&gt;0,"xy",""))</f>
        <v/>
      </c>
      <c r="Q2082" s="317" t="str">
        <f t="shared" si="158"/>
        <v/>
      </c>
      <c r="R2082" s="317" t="str">
        <f t="shared" si="159"/>
        <v/>
      </c>
      <c r="S2082" s="317" t="str">
        <f t="shared" si="160"/>
        <v/>
      </c>
      <c r="T2082" s="317" t="str">
        <f>GLOBAL_DER_FEV_2023!S2082</f>
        <v/>
      </c>
      <c r="W2082" s="582">
        <v>0</v>
      </c>
      <c r="X2082" s="580"/>
      <c r="Y2082" s="583">
        <f>IF(GLOBAL_DER_FEV_2023!W2082=0,0,IF(GLOBAL_DER_FEV_2023!W2082&gt;0,"c","b"))</f>
        <v>0</v>
      </c>
    </row>
    <row r="2083" spans="1:25" ht="15" hidden="1" customHeight="1" x14ac:dyDescent="0.2">
      <c r="A2083" s="317">
        <v>611300</v>
      </c>
      <c r="B2083" s="895">
        <v>611300</v>
      </c>
      <c r="C2083" s="896" t="s">
        <v>184</v>
      </c>
      <c r="D2083" s="906" t="s">
        <v>2043</v>
      </c>
      <c r="E2083" s="907">
        <f>GLOBAL_DER_FEV_2023!E2083</f>
        <v>0</v>
      </c>
      <c r="F2083" s="908">
        <f>GLOBAL_DER_FEV_2023!F2083</f>
        <v>0</v>
      </c>
      <c r="G2083" s="912">
        <f>GLOBAL_DER_FEV_2023!G2083</f>
        <v>174.865668</v>
      </c>
      <c r="H2083" s="901">
        <f>GLOBAL_DER_FEV_2023!H2083</f>
        <v>1362.43</v>
      </c>
      <c r="I2083" s="901">
        <f>GLOBAL_DER_FEV_2023!I2083</f>
        <v>1537.295668</v>
      </c>
      <c r="J2083" s="902">
        <f>GLOBAL_DER_FEV_2023!J2083</f>
        <v>1845.83</v>
      </c>
      <c r="K2083" s="903" t="s">
        <v>13</v>
      </c>
      <c r="L2083" s="1137"/>
      <c r="M2083" s="1138">
        <f t="shared" si="157"/>
        <v>0</v>
      </c>
      <c r="N2083" s="1176">
        <f t="shared" si="161"/>
        <v>0</v>
      </c>
      <c r="O2083" s="905"/>
      <c r="Q2083" s="317" t="str">
        <f t="shared" si="158"/>
        <v/>
      </c>
      <c r="R2083" s="317" t="str">
        <f t="shared" si="159"/>
        <v/>
      </c>
      <c r="S2083" s="317" t="str">
        <f t="shared" si="160"/>
        <v/>
      </c>
      <c r="T2083" s="317" t="str">
        <f>GLOBAL_DER_FEV_2023!S2083</f>
        <v/>
      </c>
      <c r="W2083" s="582">
        <v>0</v>
      </c>
      <c r="X2083" s="580"/>
      <c r="Y2083" s="583">
        <f>IF(GLOBAL_DER_FEV_2023!W2083=0,0,IF(GLOBAL_DER_FEV_2023!W2083&gt;0,"c","b"))</f>
        <v>0</v>
      </c>
    </row>
    <row r="2084" spans="1:25" ht="15" hidden="1" customHeight="1" x14ac:dyDescent="0.2">
      <c r="A2084" s="317" t="s">
        <v>147</v>
      </c>
      <c r="B2084" s="895" t="s">
        <v>147</v>
      </c>
      <c r="C2084" s="896"/>
      <c r="D2084" s="906" t="s">
        <v>190</v>
      </c>
      <c r="E2084" s="907">
        <f>GLOBAL_DER_FEV_2023!E2084</f>
        <v>308</v>
      </c>
      <c r="F2084" s="908">
        <f>GLOBAL_DER_FEV_2023!F2084</f>
        <v>0.12720000000000001</v>
      </c>
      <c r="G2084" s="909">
        <f>GLOBAL_DER_FEV_2023!G2084</f>
        <v>31.553232000000001</v>
      </c>
      <c r="H2084" s="901">
        <f>GLOBAL_DER_FEV_2023!H2084</f>
        <v>0</v>
      </c>
      <c r="I2084" s="901">
        <f>GLOBAL_DER_FEV_2023!I2084</f>
        <v>0</v>
      </c>
      <c r="J2084" s="902">
        <f>GLOBAL_DER_FEV_2023!J2084</f>
        <v>0</v>
      </c>
      <c r="K2084" s="903"/>
      <c r="L2084" s="1177"/>
      <c r="M2084" s="1138">
        <f t="shared" si="157"/>
        <v>0</v>
      </c>
      <c r="N2084" s="1176">
        <f t="shared" si="161"/>
        <v>0</v>
      </c>
      <c r="O2084" s="905"/>
      <c r="P2084" s="36" t="str">
        <f>IF(N2083&gt;0,"xx",IF(N2083&gt;0,"xy",""))</f>
        <v/>
      </c>
      <c r="Q2084" s="317" t="str">
        <f t="shared" si="158"/>
        <v/>
      </c>
      <c r="R2084" s="317" t="str">
        <f t="shared" si="159"/>
        <v/>
      </c>
      <c r="S2084" s="317" t="str">
        <f t="shared" si="160"/>
        <v/>
      </c>
      <c r="T2084" s="317" t="str">
        <f>GLOBAL_DER_FEV_2023!S2084</f>
        <v/>
      </c>
      <c r="W2084" s="582">
        <v>0</v>
      </c>
      <c r="X2084" s="580"/>
      <c r="Y2084" s="583">
        <f>IF(GLOBAL_DER_FEV_2023!W2084=0,0,IF(GLOBAL_DER_FEV_2023!W2084&gt;0,"c","b"))</f>
        <v>0</v>
      </c>
    </row>
    <row r="2085" spans="1:25" ht="15" hidden="1" customHeight="1" x14ac:dyDescent="0.2">
      <c r="A2085" s="317" t="s">
        <v>147</v>
      </c>
      <c r="B2085" s="895" t="s">
        <v>147</v>
      </c>
      <c r="C2085" s="896"/>
      <c r="D2085" s="906" t="s">
        <v>229</v>
      </c>
      <c r="E2085" s="907">
        <f>GLOBAL_DER_FEV_2023!E2085</f>
        <v>150</v>
      </c>
      <c r="F2085" s="908">
        <f>GLOBAL_DER_FEV_2023!F2085</f>
        <v>0.46300000000000002</v>
      </c>
      <c r="G2085" s="949">
        <f>GLOBAL_DER_FEV_2023!G2085</f>
        <v>75.552340000000001</v>
      </c>
      <c r="H2085" s="901">
        <f>GLOBAL_DER_FEV_2023!H2085</f>
        <v>0</v>
      </c>
      <c r="I2085" s="901">
        <f>GLOBAL_DER_FEV_2023!I2085</f>
        <v>0</v>
      </c>
      <c r="J2085" s="902">
        <f>GLOBAL_DER_FEV_2023!J2085</f>
        <v>0</v>
      </c>
      <c r="K2085" s="903"/>
      <c r="L2085" s="1177"/>
      <c r="M2085" s="1138">
        <f t="shared" si="157"/>
        <v>0</v>
      </c>
      <c r="N2085" s="1176">
        <f t="shared" si="161"/>
        <v>0</v>
      </c>
      <c r="O2085" s="905"/>
      <c r="P2085" s="36" t="str">
        <f>IF(N2083&gt;0,"xx",IF(N2083&gt;0,"xy",""))</f>
        <v/>
      </c>
      <c r="Q2085" s="317" t="str">
        <f t="shared" si="158"/>
        <v/>
      </c>
      <c r="R2085" s="317" t="str">
        <f t="shared" si="159"/>
        <v/>
      </c>
      <c r="S2085" s="317" t="str">
        <f t="shared" si="160"/>
        <v/>
      </c>
      <c r="T2085" s="317" t="str">
        <f>GLOBAL_DER_FEV_2023!S2085</f>
        <v/>
      </c>
      <c r="W2085" s="582">
        <v>0</v>
      </c>
      <c r="X2085" s="580"/>
      <c r="Y2085" s="583">
        <f>IF(GLOBAL_DER_FEV_2023!W2085=0,0,IF(GLOBAL_DER_FEV_2023!W2085&gt;0,"c","b"))</f>
        <v>0</v>
      </c>
    </row>
    <row r="2086" spans="1:25" ht="15" hidden="1" customHeight="1" x14ac:dyDescent="0.2">
      <c r="A2086" s="317" t="s">
        <v>147</v>
      </c>
      <c r="B2086" s="895" t="s">
        <v>147</v>
      </c>
      <c r="C2086" s="896"/>
      <c r="D2086" s="906" t="s">
        <v>233</v>
      </c>
      <c r="E2086" s="907">
        <f>GLOBAL_DER_FEV_2023!E2086</f>
        <v>0.2</v>
      </c>
      <c r="F2086" s="908">
        <f>GLOBAL_DER_FEV_2023!F2086</f>
        <v>0.78400000000000003</v>
      </c>
      <c r="G2086" s="949">
        <f>GLOBAL_DER_FEV_2023!G2086</f>
        <v>2.2688960000000002</v>
      </c>
      <c r="H2086" s="901">
        <f>GLOBAL_DER_FEV_2023!H2086</f>
        <v>0</v>
      </c>
      <c r="I2086" s="901">
        <f>GLOBAL_DER_FEV_2023!I2086</f>
        <v>0</v>
      </c>
      <c r="J2086" s="902">
        <f>GLOBAL_DER_FEV_2023!J2086</f>
        <v>0</v>
      </c>
      <c r="K2086" s="903"/>
      <c r="L2086" s="1177"/>
      <c r="M2086" s="1138">
        <f t="shared" si="157"/>
        <v>0</v>
      </c>
      <c r="N2086" s="1176">
        <f t="shared" si="161"/>
        <v>0</v>
      </c>
      <c r="O2086" s="905"/>
      <c r="P2086" s="36" t="str">
        <f>IF(N2083&gt;0,"xx",IF(N2083&gt;0,"xy",""))</f>
        <v/>
      </c>
      <c r="Q2086" s="317" t="str">
        <f t="shared" si="158"/>
        <v/>
      </c>
      <c r="R2086" s="317" t="str">
        <f t="shared" si="159"/>
        <v/>
      </c>
      <c r="S2086" s="317" t="str">
        <f t="shared" si="160"/>
        <v/>
      </c>
      <c r="T2086" s="317" t="str">
        <f>GLOBAL_DER_FEV_2023!S2086</f>
        <v/>
      </c>
      <c r="W2086" s="582">
        <v>0</v>
      </c>
      <c r="X2086" s="580"/>
      <c r="Y2086" s="583">
        <f>IF(GLOBAL_DER_FEV_2023!W2086=0,0,IF(GLOBAL_DER_FEV_2023!W2086&gt;0,"c","b"))</f>
        <v>0</v>
      </c>
    </row>
    <row r="2087" spans="1:25" ht="15" hidden="1" customHeight="1" x14ac:dyDescent="0.2">
      <c r="A2087" s="317" t="s">
        <v>147</v>
      </c>
      <c r="B2087" s="895" t="s">
        <v>147</v>
      </c>
      <c r="C2087" s="896"/>
      <c r="D2087" s="906" t="s">
        <v>336</v>
      </c>
      <c r="E2087" s="907">
        <f>GLOBAL_DER_FEV_2023!E2087</f>
        <v>40</v>
      </c>
      <c r="F2087" s="908">
        <f>GLOBAL_DER_FEV_2023!F2087</f>
        <v>1.44</v>
      </c>
      <c r="G2087" s="949">
        <f>GLOBAL_DER_FEV_2023!G2087</f>
        <v>65.491200000000006</v>
      </c>
      <c r="H2087" s="901">
        <f>GLOBAL_DER_FEV_2023!H2087</f>
        <v>0</v>
      </c>
      <c r="I2087" s="901">
        <f>GLOBAL_DER_FEV_2023!I2087</f>
        <v>0</v>
      </c>
      <c r="J2087" s="902">
        <f>GLOBAL_DER_FEV_2023!J2087</f>
        <v>0</v>
      </c>
      <c r="K2087" s="903"/>
      <c r="L2087" s="1177"/>
      <c r="M2087" s="1138">
        <f t="shared" si="157"/>
        <v>0</v>
      </c>
      <c r="N2087" s="1176">
        <f t="shared" si="161"/>
        <v>0</v>
      </c>
      <c r="O2087" s="905"/>
      <c r="P2087" s="36" t="str">
        <f>IF(N2083&gt;0,"xx",IF(N2083&gt;0,"xy",""))</f>
        <v/>
      </c>
      <c r="Q2087" s="317" t="str">
        <f t="shared" si="158"/>
        <v/>
      </c>
      <c r="R2087" s="317" t="str">
        <f t="shared" si="159"/>
        <v/>
      </c>
      <c r="S2087" s="317" t="str">
        <f t="shared" si="160"/>
        <v/>
      </c>
      <c r="T2087" s="317" t="str">
        <f>GLOBAL_DER_FEV_2023!S2087</f>
        <v/>
      </c>
      <c r="W2087" s="582">
        <v>0</v>
      </c>
      <c r="X2087" s="580"/>
      <c r="Y2087" s="583">
        <f>IF(GLOBAL_DER_FEV_2023!W2087=0,0,IF(GLOBAL_DER_FEV_2023!W2087&gt;0,"c","b"))</f>
        <v>0</v>
      </c>
    </row>
    <row r="2088" spans="1:25" ht="15" hidden="1" customHeight="1" x14ac:dyDescent="0.2">
      <c r="A2088" s="317">
        <v>611500</v>
      </c>
      <c r="B2088" s="895" t="s">
        <v>1856</v>
      </c>
      <c r="C2088" s="896" t="s">
        <v>184</v>
      </c>
      <c r="D2088" s="906" t="s">
        <v>2044</v>
      </c>
      <c r="E2088" s="907">
        <f>GLOBAL_DER_FEV_2023!E2088</f>
        <v>0</v>
      </c>
      <c r="F2088" s="908">
        <f>GLOBAL_DER_FEV_2023!F2088</f>
        <v>0</v>
      </c>
      <c r="G2088" s="912">
        <f>GLOBAL_DER_FEV_2023!G2088</f>
        <v>235.4767526</v>
      </c>
      <c r="H2088" s="901">
        <f>GLOBAL_DER_FEV_2023!H2088</f>
        <v>1749.33</v>
      </c>
      <c r="I2088" s="901">
        <f>GLOBAL_DER_FEV_2023!I2088</f>
        <v>1984.8067526</v>
      </c>
      <c r="J2088" s="902">
        <f>GLOBAL_DER_FEV_2023!J2088</f>
        <v>2383.16</v>
      </c>
      <c r="K2088" s="903" t="s">
        <v>13</v>
      </c>
      <c r="L2088" s="1137"/>
      <c r="M2088" s="1138">
        <f t="shared" si="157"/>
        <v>0</v>
      </c>
      <c r="N2088" s="1176">
        <f t="shared" si="161"/>
        <v>0</v>
      </c>
      <c r="O2088" s="905"/>
      <c r="Q2088" s="317" t="str">
        <f t="shared" si="158"/>
        <v/>
      </c>
      <c r="R2088" s="317" t="str">
        <f t="shared" si="159"/>
        <v/>
      </c>
      <c r="S2088" s="317" t="str">
        <f t="shared" si="160"/>
        <v/>
      </c>
      <c r="T2088" s="317" t="str">
        <f>GLOBAL_DER_FEV_2023!S2088</f>
        <v/>
      </c>
      <c r="W2088" s="582">
        <v>0</v>
      </c>
      <c r="X2088" s="580"/>
      <c r="Y2088" s="583">
        <f>IF(GLOBAL_DER_FEV_2023!W2088=0,0,IF(GLOBAL_DER_FEV_2023!W2088&gt;0,"c","b"))</f>
        <v>0</v>
      </c>
    </row>
    <row r="2089" spans="1:25" ht="15" hidden="1" customHeight="1" x14ac:dyDescent="0.2">
      <c r="A2089" s="317" t="s">
        <v>147</v>
      </c>
      <c r="B2089" s="895" t="s">
        <v>147</v>
      </c>
      <c r="C2089" s="896"/>
      <c r="D2089" s="906" t="s">
        <v>190</v>
      </c>
      <c r="E2089" s="907">
        <f>GLOBAL_DER_FEV_2023!E2089</f>
        <v>308</v>
      </c>
      <c r="F2089" s="908">
        <f>GLOBAL_DER_FEV_2023!F2089</f>
        <v>0.187</v>
      </c>
      <c r="G2089" s="909">
        <f>GLOBAL_DER_FEV_2023!G2089</f>
        <v>46.387219999999999</v>
      </c>
      <c r="H2089" s="901">
        <f>GLOBAL_DER_FEV_2023!H2089</f>
        <v>0</v>
      </c>
      <c r="I2089" s="901">
        <f>GLOBAL_DER_FEV_2023!I2089</f>
        <v>0</v>
      </c>
      <c r="J2089" s="902">
        <f>GLOBAL_DER_FEV_2023!J2089</f>
        <v>0</v>
      </c>
      <c r="K2089" s="903"/>
      <c r="L2089" s="1177"/>
      <c r="M2089" s="1138">
        <f t="shared" si="157"/>
        <v>0</v>
      </c>
      <c r="N2089" s="1176">
        <f t="shared" si="161"/>
        <v>0</v>
      </c>
      <c r="O2089" s="905"/>
      <c r="P2089" s="36" t="str">
        <f>IF(N2088&gt;0,"xx",IF(N2088&gt;0,"xy",""))</f>
        <v/>
      </c>
      <c r="Q2089" s="317" t="str">
        <f t="shared" si="158"/>
        <v/>
      </c>
      <c r="R2089" s="317" t="str">
        <f t="shared" si="159"/>
        <v/>
      </c>
      <c r="S2089" s="317" t="str">
        <f t="shared" si="160"/>
        <v/>
      </c>
      <c r="T2089" s="317" t="str">
        <f>GLOBAL_DER_FEV_2023!S2089</f>
        <v/>
      </c>
      <c r="W2089" s="582">
        <v>0</v>
      </c>
      <c r="X2089" s="580"/>
      <c r="Y2089" s="583">
        <f>IF(GLOBAL_DER_FEV_2023!W2089=0,0,IF(GLOBAL_DER_FEV_2023!W2089&gt;0,"c","b"))</f>
        <v>0</v>
      </c>
    </row>
    <row r="2090" spans="1:25" ht="15" hidden="1" customHeight="1" x14ac:dyDescent="0.2">
      <c r="A2090" s="317" t="s">
        <v>147</v>
      </c>
      <c r="B2090" s="895" t="s">
        <v>147</v>
      </c>
      <c r="C2090" s="896"/>
      <c r="D2090" s="906" t="s">
        <v>229</v>
      </c>
      <c r="E2090" s="907">
        <f>GLOBAL_DER_FEV_2023!E2090</f>
        <v>150</v>
      </c>
      <c r="F2090" s="908">
        <f>GLOBAL_DER_FEV_2023!F2090</f>
        <v>0.67830000000000001</v>
      </c>
      <c r="G2090" s="949">
        <f>GLOBAL_DER_FEV_2023!G2090</f>
        <v>110.684994</v>
      </c>
      <c r="H2090" s="901">
        <f>GLOBAL_DER_FEV_2023!H2090</f>
        <v>0</v>
      </c>
      <c r="I2090" s="901">
        <f>GLOBAL_DER_FEV_2023!I2090</f>
        <v>0</v>
      </c>
      <c r="J2090" s="902">
        <f>GLOBAL_DER_FEV_2023!J2090</f>
        <v>0</v>
      </c>
      <c r="K2090" s="903"/>
      <c r="L2090" s="1177"/>
      <c r="M2090" s="1138">
        <f t="shared" si="157"/>
        <v>0</v>
      </c>
      <c r="N2090" s="1176">
        <f t="shared" si="161"/>
        <v>0</v>
      </c>
      <c r="O2090" s="905"/>
      <c r="P2090" s="36" t="str">
        <f>IF(N2088&gt;0,"xx",IF(N2088&gt;0,"xy",""))</f>
        <v/>
      </c>
      <c r="Q2090" s="317" t="str">
        <f t="shared" si="158"/>
        <v/>
      </c>
      <c r="R2090" s="317" t="str">
        <f t="shared" si="159"/>
        <v/>
      </c>
      <c r="S2090" s="317" t="str">
        <f t="shared" si="160"/>
        <v/>
      </c>
      <c r="T2090" s="317" t="str">
        <f>GLOBAL_DER_FEV_2023!S2090</f>
        <v/>
      </c>
      <c r="W2090" s="582">
        <v>0</v>
      </c>
      <c r="X2090" s="580"/>
      <c r="Y2090" s="583">
        <f>IF(GLOBAL_DER_FEV_2023!W2090=0,0,IF(GLOBAL_DER_FEV_2023!W2090&gt;0,"c","b"))</f>
        <v>0</v>
      </c>
    </row>
    <row r="2091" spans="1:25" ht="15" hidden="1" customHeight="1" x14ac:dyDescent="0.2">
      <c r="A2091" s="317" t="s">
        <v>147</v>
      </c>
      <c r="B2091" s="895" t="s">
        <v>147</v>
      </c>
      <c r="C2091" s="896"/>
      <c r="D2091" s="906" t="s">
        <v>233</v>
      </c>
      <c r="E2091" s="907">
        <f>GLOBAL_DER_FEV_2023!E2091</f>
        <v>0.2</v>
      </c>
      <c r="F2091" s="908">
        <f>GLOBAL_DER_FEV_2023!F2091</f>
        <v>1.1618999999999999</v>
      </c>
      <c r="G2091" s="949">
        <f>GLOBAL_DER_FEV_2023!G2091</f>
        <v>3.3625386000000002</v>
      </c>
      <c r="H2091" s="901">
        <f>GLOBAL_DER_FEV_2023!H2091</f>
        <v>0</v>
      </c>
      <c r="I2091" s="901">
        <f>GLOBAL_DER_FEV_2023!I2091</f>
        <v>0</v>
      </c>
      <c r="J2091" s="902">
        <f>GLOBAL_DER_FEV_2023!J2091</f>
        <v>0</v>
      </c>
      <c r="K2091" s="903"/>
      <c r="L2091" s="1177"/>
      <c r="M2091" s="1138">
        <f t="shared" si="157"/>
        <v>0</v>
      </c>
      <c r="N2091" s="1176">
        <f t="shared" si="161"/>
        <v>0</v>
      </c>
      <c r="O2091" s="905"/>
      <c r="P2091" s="36" t="str">
        <f>IF(N2088&gt;0,"xx",IF(N2088&gt;0,"xy",""))</f>
        <v/>
      </c>
      <c r="Q2091" s="317" t="str">
        <f t="shared" si="158"/>
        <v/>
      </c>
      <c r="R2091" s="317" t="str">
        <f t="shared" si="159"/>
        <v/>
      </c>
      <c r="S2091" s="317" t="str">
        <f t="shared" si="160"/>
        <v/>
      </c>
      <c r="T2091" s="317" t="str">
        <f>GLOBAL_DER_FEV_2023!S2091</f>
        <v/>
      </c>
      <c r="W2091" s="582">
        <v>0</v>
      </c>
      <c r="X2091" s="580"/>
      <c r="Y2091" s="583">
        <f>IF(GLOBAL_DER_FEV_2023!W2091=0,0,IF(GLOBAL_DER_FEV_2023!W2091&gt;0,"c","b"))</f>
        <v>0</v>
      </c>
    </row>
    <row r="2092" spans="1:25" ht="15" hidden="1" customHeight="1" x14ac:dyDescent="0.2">
      <c r="A2092" s="317" t="s">
        <v>147</v>
      </c>
      <c r="B2092" s="895" t="s">
        <v>147</v>
      </c>
      <c r="C2092" s="896"/>
      <c r="D2092" s="906" t="s">
        <v>336</v>
      </c>
      <c r="E2092" s="907">
        <f>GLOBAL_DER_FEV_2023!E2092</f>
        <v>40</v>
      </c>
      <c r="F2092" s="908">
        <f>GLOBAL_DER_FEV_2023!F2092</f>
        <v>1.65</v>
      </c>
      <c r="G2092" s="949">
        <f>GLOBAL_DER_FEV_2023!G2092</f>
        <v>75.042000000000002</v>
      </c>
      <c r="H2092" s="901">
        <f>GLOBAL_DER_FEV_2023!H2092</f>
        <v>0</v>
      </c>
      <c r="I2092" s="901">
        <f>GLOBAL_DER_FEV_2023!I2092</f>
        <v>0</v>
      </c>
      <c r="J2092" s="902">
        <f>GLOBAL_DER_FEV_2023!J2092</f>
        <v>0</v>
      </c>
      <c r="K2092" s="903"/>
      <c r="L2092" s="1177"/>
      <c r="M2092" s="1138">
        <f t="shared" si="157"/>
        <v>0</v>
      </c>
      <c r="N2092" s="1176">
        <f t="shared" si="161"/>
        <v>0</v>
      </c>
      <c r="O2092" s="905"/>
      <c r="P2092" s="36" t="str">
        <f>IF(N2088&gt;0,"xx",IF(N2088&gt;0,"xy",""))</f>
        <v/>
      </c>
      <c r="Q2092" s="317" t="str">
        <f t="shared" si="158"/>
        <v/>
      </c>
      <c r="R2092" s="317" t="str">
        <f t="shared" si="159"/>
        <v/>
      </c>
      <c r="S2092" s="317" t="str">
        <f t="shared" si="160"/>
        <v/>
      </c>
      <c r="T2092" s="317" t="str">
        <f>GLOBAL_DER_FEV_2023!S2092</f>
        <v/>
      </c>
      <c r="W2092" s="582">
        <v>0</v>
      </c>
      <c r="X2092" s="580"/>
      <c r="Y2092" s="583">
        <f>IF(GLOBAL_DER_FEV_2023!W2092=0,0,IF(GLOBAL_DER_FEV_2023!W2092&gt;0,"c","b"))</f>
        <v>0</v>
      </c>
    </row>
    <row r="2093" spans="1:25" ht="15" hidden="1" customHeight="1" x14ac:dyDescent="0.2">
      <c r="A2093" s="317">
        <v>611500</v>
      </c>
      <c r="B2093" s="895" t="s">
        <v>1857</v>
      </c>
      <c r="C2093" s="896" t="s">
        <v>184</v>
      </c>
      <c r="D2093" s="906" t="s">
        <v>2045</v>
      </c>
      <c r="E2093" s="907">
        <f>GLOBAL_DER_FEV_2023!E2093</f>
        <v>0</v>
      </c>
      <c r="F2093" s="908">
        <f>GLOBAL_DER_FEV_2023!F2093</f>
        <v>0</v>
      </c>
      <c r="G2093" s="912">
        <f>GLOBAL_DER_FEV_2023!G2093</f>
        <v>279.06360720000004</v>
      </c>
      <c r="H2093" s="901">
        <f>GLOBAL_DER_FEV_2023!H2093</f>
        <v>1749.33</v>
      </c>
      <c r="I2093" s="901">
        <f>GLOBAL_DER_FEV_2023!I2093</f>
        <v>2028.3936071999999</v>
      </c>
      <c r="J2093" s="902">
        <f>GLOBAL_DER_FEV_2023!J2093</f>
        <v>2435.4899999999998</v>
      </c>
      <c r="K2093" s="903" t="s">
        <v>13</v>
      </c>
      <c r="L2093" s="1137"/>
      <c r="M2093" s="1138">
        <f t="shared" si="157"/>
        <v>0</v>
      </c>
      <c r="N2093" s="1176">
        <f t="shared" si="161"/>
        <v>0</v>
      </c>
      <c r="O2093" s="905"/>
      <c r="Q2093" s="317" t="str">
        <f t="shared" si="158"/>
        <v/>
      </c>
      <c r="R2093" s="317" t="str">
        <f t="shared" si="159"/>
        <v/>
      </c>
      <c r="S2093" s="317" t="str">
        <f t="shared" si="160"/>
        <v/>
      </c>
      <c r="T2093" s="317" t="str">
        <f>GLOBAL_DER_FEV_2023!S2093</f>
        <v/>
      </c>
      <c r="W2093" s="582">
        <v>0</v>
      </c>
      <c r="X2093" s="580"/>
      <c r="Y2093" s="583">
        <f>IF(GLOBAL_DER_FEV_2023!W2093=0,0,IF(GLOBAL_DER_FEV_2023!W2093&gt;0,"c","b"))</f>
        <v>0</v>
      </c>
    </row>
    <row r="2094" spans="1:25" ht="15" hidden="1" customHeight="1" x14ac:dyDescent="0.2">
      <c r="A2094" s="317" t="s">
        <v>147</v>
      </c>
      <c r="B2094" s="895" t="s">
        <v>147</v>
      </c>
      <c r="C2094" s="896"/>
      <c r="D2094" s="906" t="s">
        <v>190</v>
      </c>
      <c r="E2094" s="907">
        <f>GLOBAL_DER_FEV_2023!E2094</f>
        <v>308</v>
      </c>
      <c r="F2094" s="908">
        <f>GLOBAL_DER_FEV_2023!F2094</f>
        <v>0.27410000000000001</v>
      </c>
      <c r="G2094" s="909">
        <f>GLOBAL_DER_FEV_2023!G2094</f>
        <v>67.993245999999999</v>
      </c>
      <c r="H2094" s="901">
        <f>GLOBAL_DER_FEV_2023!H2094</f>
        <v>0</v>
      </c>
      <c r="I2094" s="901">
        <f>GLOBAL_DER_FEV_2023!I2094</f>
        <v>0</v>
      </c>
      <c r="J2094" s="902">
        <f>GLOBAL_DER_FEV_2023!J2094</f>
        <v>0</v>
      </c>
      <c r="K2094" s="903"/>
      <c r="L2094" s="1177"/>
      <c r="M2094" s="1138">
        <f t="shared" si="157"/>
        <v>0</v>
      </c>
      <c r="N2094" s="1176">
        <f t="shared" si="161"/>
        <v>0</v>
      </c>
      <c r="O2094" s="905"/>
      <c r="P2094" s="36" t="str">
        <f>IF(N2093&gt;0,"xx",IF(N2093&gt;0,"xy",""))</f>
        <v/>
      </c>
      <c r="Q2094" s="317" t="str">
        <f t="shared" si="158"/>
        <v/>
      </c>
      <c r="R2094" s="317" t="str">
        <f t="shared" si="159"/>
        <v/>
      </c>
      <c r="S2094" s="317" t="str">
        <f t="shared" si="160"/>
        <v/>
      </c>
      <c r="T2094" s="317" t="str">
        <f>GLOBAL_DER_FEV_2023!S2094</f>
        <v/>
      </c>
      <c r="W2094" s="582">
        <v>0</v>
      </c>
      <c r="X2094" s="580"/>
      <c r="Y2094" s="583">
        <f>IF(GLOBAL_DER_FEV_2023!W2094=0,0,IF(GLOBAL_DER_FEV_2023!W2094&gt;0,"c","b"))</f>
        <v>0</v>
      </c>
    </row>
    <row r="2095" spans="1:25" ht="15" hidden="1" customHeight="1" x14ac:dyDescent="0.2">
      <c r="A2095" s="317" t="s">
        <v>147</v>
      </c>
      <c r="B2095" s="895" t="s">
        <v>147</v>
      </c>
      <c r="C2095" s="896"/>
      <c r="D2095" s="906" t="s">
        <v>229</v>
      </c>
      <c r="E2095" s="907">
        <f>GLOBAL_DER_FEV_2023!E2095</f>
        <v>150</v>
      </c>
      <c r="F2095" s="908">
        <f>GLOBAL_DER_FEV_2023!F2095</f>
        <v>0.9748</v>
      </c>
      <c r="G2095" s="949">
        <f>GLOBAL_DER_FEV_2023!G2095</f>
        <v>159.06786400000001</v>
      </c>
      <c r="H2095" s="901">
        <f>GLOBAL_DER_FEV_2023!H2095</f>
        <v>0</v>
      </c>
      <c r="I2095" s="901">
        <f>GLOBAL_DER_FEV_2023!I2095</f>
        <v>0</v>
      </c>
      <c r="J2095" s="902">
        <f>GLOBAL_DER_FEV_2023!J2095</f>
        <v>0</v>
      </c>
      <c r="K2095" s="903"/>
      <c r="L2095" s="1177"/>
      <c r="M2095" s="1138">
        <f t="shared" si="157"/>
        <v>0</v>
      </c>
      <c r="N2095" s="1176">
        <f t="shared" si="161"/>
        <v>0</v>
      </c>
      <c r="O2095" s="905"/>
      <c r="P2095" s="36" t="str">
        <f>IF(N2093&gt;0,"xx",IF(N2093&gt;0,"xy",""))</f>
        <v/>
      </c>
      <c r="Q2095" s="317" t="str">
        <f t="shared" si="158"/>
        <v/>
      </c>
      <c r="R2095" s="317" t="str">
        <f t="shared" si="159"/>
        <v/>
      </c>
      <c r="S2095" s="317" t="str">
        <f t="shared" si="160"/>
        <v/>
      </c>
      <c r="T2095" s="317" t="str">
        <f>GLOBAL_DER_FEV_2023!S2095</f>
        <v/>
      </c>
      <c r="W2095" s="582">
        <v>0</v>
      </c>
      <c r="X2095" s="580"/>
      <c r="Y2095" s="583">
        <f>IF(GLOBAL_DER_FEV_2023!W2095=0,0,IF(GLOBAL_DER_FEV_2023!W2095&gt;0,"c","b"))</f>
        <v>0</v>
      </c>
    </row>
    <row r="2096" spans="1:25" ht="15" hidden="1" customHeight="1" x14ac:dyDescent="0.2">
      <c r="A2096" s="317" t="s">
        <v>147</v>
      </c>
      <c r="B2096" s="895" t="s">
        <v>147</v>
      </c>
      <c r="C2096" s="896"/>
      <c r="D2096" s="906" t="s">
        <v>233</v>
      </c>
      <c r="E2096" s="907">
        <f>GLOBAL_DER_FEV_2023!E2096</f>
        <v>0.2</v>
      </c>
      <c r="F2096" s="908">
        <f>GLOBAL_DER_FEV_2023!F2096</f>
        <v>2.2538</v>
      </c>
      <c r="G2096" s="949">
        <f>GLOBAL_DER_FEV_2023!G2096</f>
        <v>6.5224972000000001</v>
      </c>
      <c r="H2096" s="901">
        <f>GLOBAL_DER_FEV_2023!H2096</f>
        <v>0</v>
      </c>
      <c r="I2096" s="901">
        <f>GLOBAL_DER_FEV_2023!I2096</f>
        <v>0</v>
      </c>
      <c r="J2096" s="902">
        <f>GLOBAL_DER_FEV_2023!J2096</f>
        <v>0</v>
      </c>
      <c r="K2096" s="903"/>
      <c r="L2096" s="1177"/>
      <c r="M2096" s="1138">
        <f t="shared" si="157"/>
        <v>0</v>
      </c>
      <c r="N2096" s="1176">
        <f t="shared" si="161"/>
        <v>0</v>
      </c>
      <c r="O2096" s="905"/>
      <c r="P2096" s="36" t="str">
        <f>IF(N2093&gt;0,"xx",IF(N2093&gt;0,"xy",""))</f>
        <v/>
      </c>
      <c r="Q2096" s="317" t="str">
        <f t="shared" si="158"/>
        <v/>
      </c>
      <c r="R2096" s="317" t="str">
        <f t="shared" si="159"/>
        <v/>
      </c>
      <c r="S2096" s="317" t="str">
        <f t="shared" si="160"/>
        <v/>
      </c>
      <c r="T2096" s="317" t="str">
        <f>GLOBAL_DER_FEV_2023!S2096</f>
        <v/>
      </c>
      <c r="W2096" s="582">
        <v>0</v>
      </c>
      <c r="X2096" s="580"/>
      <c r="Y2096" s="583">
        <f>IF(GLOBAL_DER_FEV_2023!W2096=0,0,IF(GLOBAL_DER_FEV_2023!W2096&gt;0,"c","b"))</f>
        <v>0</v>
      </c>
    </row>
    <row r="2097" spans="1:25" ht="15" hidden="1" customHeight="1" x14ac:dyDescent="0.2">
      <c r="A2097" s="317" t="s">
        <v>147</v>
      </c>
      <c r="B2097" s="895" t="s">
        <v>147</v>
      </c>
      <c r="C2097" s="896"/>
      <c r="D2097" s="906" t="s">
        <v>336</v>
      </c>
      <c r="E2097" s="907">
        <f>GLOBAL_DER_FEV_2023!E2097</f>
        <v>40</v>
      </c>
      <c r="F2097" s="908">
        <f>GLOBAL_DER_FEV_2023!F2097</f>
        <v>1</v>
      </c>
      <c r="G2097" s="949">
        <f>GLOBAL_DER_FEV_2023!G2097</f>
        <v>45.480000000000004</v>
      </c>
      <c r="H2097" s="901">
        <f>GLOBAL_DER_FEV_2023!H2097</f>
        <v>0</v>
      </c>
      <c r="I2097" s="901">
        <f>GLOBAL_DER_FEV_2023!I2097</f>
        <v>0</v>
      </c>
      <c r="J2097" s="902">
        <f>GLOBAL_DER_FEV_2023!J2097</f>
        <v>0</v>
      </c>
      <c r="K2097" s="903"/>
      <c r="L2097" s="1177"/>
      <c r="M2097" s="1138">
        <f t="shared" si="157"/>
        <v>0</v>
      </c>
      <c r="N2097" s="1176">
        <f t="shared" si="161"/>
        <v>0</v>
      </c>
      <c r="O2097" s="905"/>
      <c r="P2097" s="36" t="str">
        <f>IF(N2093&gt;0,"xx",IF(N2093&gt;0,"xy",""))</f>
        <v/>
      </c>
      <c r="Q2097" s="317" t="str">
        <f t="shared" si="158"/>
        <v/>
      </c>
      <c r="R2097" s="317" t="str">
        <f t="shared" si="159"/>
        <v/>
      </c>
      <c r="S2097" s="317" t="str">
        <f t="shared" si="160"/>
        <v/>
      </c>
      <c r="T2097" s="317" t="str">
        <f>GLOBAL_DER_FEV_2023!S2097</f>
        <v/>
      </c>
      <c r="W2097" s="582">
        <v>0</v>
      </c>
      <c r="X2097" s="580"/>
      <c r="Y2097" s="583">
        <f>IF(GLOBAL_DER_FEV_2023!W2097=0,0,IF(GLOBAL_DER_FEV_2023!W2097&gt;0,"c","b"))</f>
        <v>0</v>
      </c>
    </row>
    <row r="2098" spans="1:25" ht="15" hidden="1" customHeight="1" x14ac:dyDescent="0.2">
      <c r="A2098" s="317">
        <v>611700</v>
      </c>
      <c r="B2098" s="895">
        <v>611700</v>
      </c>
      <c r="C2098" s="896" t="s">
        <v>184</v>
      </c>
      <c r="D2098" s="906" t="s">
        <v>2046</v>
      </c>
      <c r="E2098" s="907">
        <f>GLOBAL_DER_FEV_2023!E2098</f>
        <v>0</v>
      </c>
      <c r="F2098" s="908">
        <f>GLOBAL_DER_FEV_2023!F2098</f>
        <v>0</v>
      </c>
      <c r="G2098" s="912">
        <f>GLOBAL_DER_FEV_2023!G2098</f>
        <v>359.57415739999999</v>
      </c>
      <c r="H2098" s="901">
        <f>GLOBAL_DER_FEV_2023!H2098</f>
        <v>3874.21</v>
      </c>
      <c r="I2098" s="901">
        <f>GLOBAL_DER_FEV_2023!I2098</f>
        <v>4233.7841574000004</v>
      </c>
      <c r="J2098" s="902">
        <f>GLOBAL_DER_FEV_2023!J2098</f>
        <v>5083.5</v>
      </c>
      <c r="K2098" s="903" t="s">
        <v>13</v>
      </c>
      <c r="L2098" s="1137"/>
      <c r="M2098" s="1138">
        <f t="shared" si="157"/>
        <v>0</v>
      </c>
      <c r="N2098" s="1176">
        <f t="shared" si="161"/>
        <v>0</v>
      </c>
      <c r="O2098" s="905"/>
      <c r="Q2098" s="317" t="str">
        <f t="shared" si="158"/>
        <v/>
      </c>
      <c r="R2098" s="317" t="str">
        <f t="shared" si="159"/>
        <v/>
      </c>
      <c r="S2098" s="317" t="str">
        <f t="shared" si="160"/>
        <v/>
      </c>
      <c r="T2098" s="317" t="str">
        <f>GLOBAL_DER_FEV_2023!S2098</f>
        <v/>
      </c>
      <c r="W2098" s="582">
        <v>0</v>
      </c>
      <c r="X2098" s="580"/>
      <c r="Y2098" s="583">
        <f>IF(GLOBAL_DER_FEV_2023!W2098=0,0,IF(GLOBAL_DER_FEV_2023!W2098&gt;0,"c","b"))</f>
        <v>0</v>
      </c>
    </row>
    <row r="2099" spans="1:25" ht="15" hidden="1" customHeight="1" x14ac:dyDescent="0.2">
      <c r="A2099" s="317" t="s">
        <v>147</v>
      </c>
      <c r="B2099" s="895" t="s">
        <v>147</v>
      </c>
      <c r="C2099" s="896"/>
      <c r="D2099" s="906" t="s">
        <v>190</v>
      </c>
      <c r="E2099" s="907">
        <f>GLOBAL_DER_FEV_2023!E2099</f>
        <v>308</v>
      </c>
      <c r="F2099" s="908">
        <f>GLOBAL_DER_FEV_2023!F2099</f>
        <v>0.30620000000000003</v>
      </c>
      <c r="G2099" s="909">
        <f>GLOBAL_DER_FEV_2023!G2099</f>
        <v>75.955972000000003</v>
      </c>
      <c r="H2099" s="901">
        <f>GLOBAL_DER_FEV_2023!H2099</f>
        <v>0</v>
      </c>
      <c r="I2099" s="901">
        <f>GLOBAL_DER_FEV_2023!I2099</f>
        <v>0</v>
      </c>
      <c r="J2099" s="902">
        <f>GLOBAL_DER_FEV_2023!J2099</f>
        <v>0</v>
      </c>
      <c r="K2099" s="903"/>
      <c r="L2099" s="1177"/>
      <c r="M2099" s="1138">
        <f t="shared" si="157"/>
        <v>0</v>
      </c>
      <c r="N2099" s="1176">
        <f t="shared" si="161"/>
        <v>0</v>
      </c>
      <c r="O2099" s="905"/>
      <c r="P2099" s="36" t="str">
        <f>IF(N2098&gt;0,"xx",IF(N2098&gt;0,"xy",""))</f>
        <v/>
      </c>
      <c r="Q2099" s="317" t="str">
        <f t="shared" si="158"/>
        <v/>
      </c>
      <c r="R2099" s="317" t="str">
        <f t="shared" si="159"/>
        <v/>
      </c>
      <c r="S2099" s="317" t="str">
        <f t="shared" si="160"/>
        <v/>
      </c>
      <c r="T2099" s="317" t="str">
        <f>GLOBAL_DER_FEV_2023!S2099</f>
        <v/>
      </c>
      <c r="W2099" s="582">
        <v>0</v>
      </c>
      <c r="X2099" s="580"/>
      <c r="Y2099" s="583">
        <f>IF(GLOBAL_DER_FEV_2023!W2099=0,0,IF(GLOBAL_DER_FEV_2023!W2099&gt;0,"c","b"))</f>
        <v>0</v>
      </c>
    </row>
    <row r="2100" spans="1:25" ht="15" hidden="1" customHeight="1" x14ac:dyDescent="0.2">
      <c r="A2100" s="317" t="s">
        <v>147</v>
      </c>
      <c r="B2100" s="895" t="s">
        <v>147</v>
      </c>
      <c r="C2100" s="896"/>
      <c r="D2100" s="906" t="s">
        <v>229</v>
      </c>
      <c r="E2100" s="907">
        <f>GLOBAL_DER_FEV_2023!E2100</f>
        <v>150</v>
      </c>
      <c r="F2100" s="908">
        <f>GLOBAL_DER_FEV_2023!F2100</f>
        <v>1.1047</v>
      </c>
      <c r="G2100" s="949">
        <f>GLOBAL_DER_FEV_2023!G2100</f>
        <v>180.26494600000001</v>
      </c>
      <c r="H2100" s="901">
        <f>GLOBAL_DER_FEV_2023!H2100</f>
        <v>0</v>
      </c>
      <c r="I2100" s="901">
        <f>GLOBAL_DER_FEV_2023!I2100</f>
        <v>0</v>
      </c>
      <c r="J2100" s="902">
        <f>GLOBAL_DER_FEV_2023!J2100</f>
        <v>0</v>
      </c>
      <c r="K2100" s="903"/>
      <c r="L2100" s="1177"/>
      <c r="M2100" s="1138">
        <f t="shared" si="157"/>
        <v>0</v>
      </c>
      <c r="N2100" s="1176">
        <f t="shared" si="161"/>
        <v>0</v>
      </c>
      <c r="O2100" s="905"/>
      <c r="P2100" s="36" t="str">
        <f>IF(N2098&gt;0,"xx",IF(N2098&gt;0,"xy",""))</f>
        <v/>
      </c>
      <c r="Q2100" s="317" t="str">
        <f t="shared" si="158"/>
        <v/>
      </c>
      <c r="R2100" s="317" t="str">
        <f t="shared" si="159"/>
        <v/>
      </c>
      <c r="S2100" s="317" t="str">
        <f t="shared" si="160"/>
        <v/>
      </c>
      <c r="T2100" s="317" t="str">
        <f>GLOBAL_DER_FEV_2023!S2100</f>
        <v/>
      </c>
      <c r="W2100" s="582">
        <v>0</v>
      </c>
      <c r="X2100" s="580"/>
      <c r="Y2100" s="583">
        <f>IF(GLOBAL_DER_FEV_2023!W2100=0,0,IF(GLOBAL_DER_FEV_2023!W2100&gt;0,"c","b"))</f>
        <v>0</v>
      </c>
    </row>
    <row r="2101" spans="1:25" ht="15" hidden="1" customHeight="1" x14ac:dyDescent="0.2">
      <c r="A2101" s="317" t="s">
        <v>147</v>
      </c>
      <c r="B2101" s="895" t="s">
        <v>147</v>
      </c>
      <c r="C2101" s="896"/>
      <c r="D2101" s="906" t="s">
        <v>233</v>
      </c>
      <c r="E2101" s="907">
        <f>GLOBAL_DER_FEV_2023!E2101</f>
        <v>0.2</v>
      </c>
      <c r="F2101" s="908">
        <f>GLOBAL_DER_FEV_2023!F2101</f>
        <v>1.9251</v>
      </c>
      <c r="G2101" s="949">
        <f>GLOBAL_DER_FEV_2023!G2101</f>
        <v>5.5712394000000005</v>
      </c>
      <c r="H2101" s="901">
        <f>GLOBAL_DER_FEV_2023!H2101</f>
        <v>0</v>
      </c>
      <c r="I2101" s="901">
        <f>GLOBAL_DER_FEV_2023!I2101</f>
        <v>0</v>
      </c>
      <c r="J2101" s="902">
        <f>GLOBAL_DER_FEV_2023!J2101</f>
        <v>0</v>
      </c>
      <c r="K2101" s="903"/>
      <c r="L2101" s="1177"/>
      <c r="M2101" s="1138">
        <f t="shared" si="157"/>
        <v>0</v>
      </c>
      <c r="N2101" s="1176">
        <f t="shared" si="161"/>
        <v>0</v>
      </c>
      <c r="O2101" s="905"/>
      <c r="P2101" s="36" t="str">
        <f>IF(N2098&gt;0,"xx",IF(N2098&gt;0,"xy",""))</f>
        <v/>
      </c>
      <c r="Q2101" s="317" t="str">
        <f t="shared" si="158"/>
        <v/>
      </c>
      <c r="R2101" s="317" t="str">
        <f t="shared" si="159"/>
        <v/>
      </c>
      <c r="S2101" s="317" t="str">
        <f t="shared" si="160"/>
        <v/>
      </c>
      <c r="T2101" s="317" t="str">
        <f>GLOBAL_DER_FEV_2023!S2101</f>
        <v/>
      </c>
      <c r="W2101" s="582">
        <v>0</v>
      </c>
      <c r="X2101" s="580"/>
      <c r="Y2101" s="583">
        <f>IF(GLOBAL_DER_FEV_2023!W2101=0,0,IF(GLOBAL_DER_FEV_2023!W2101&gt;0,"c","b"))</f>
        <v>0</v>
      </c>
    </row>
    <row r="2102" spans="1:25" ht="15" hidden="1" customHeight="1" x14ac:dyDescent="0.2">
      <c r="A2102" s="317" t="s">
        <v>147</v>
      </c>
      <c r="B2102" s="895" t="s">
        <v>147</v>
      </c>
      <c r="C2102" s="896"/>
      <c r="D2102" s="906" t="s">
        <v>336</v>
      </c>
      <c r="E2102" s="907">
        <f>GLOBAL_DER_FEV_2023!E2102</f>
        <v>40</v>
      </c>
      <c r="F2102" s="908">
        <f>GLOBAL_DER_FEV_2023!F2102</f>
        <v>2.15</v>
      </c>
      <c r="G2102" s="949">
        <f>GLOBAL_DER_FEV_2023!G2102</f>
        <v>97.782000000000011</v>
      </c>
      <c r="H2102" s="901">
        <f>GLOBAL_DER_FEV_2023!H2102</f>
        <v>0</v>
      </c>
      <c r="I2102" s="901">
        <f>GLOBAL_DER_FEV_2023!I2102</f>
        <v>0</v>
      </c>
      <c r="J2102" s="902">
        <f>GLOBAL_DER_FEV_2023!J2102</f>
        <v>0</v>
      </c>
      <c r="K2102" s="903"/>
      <c r="L2102" s="1177"/>
      <c r="M2102" s="1138">
        <f t="shared" si="157"/>
        <v>0</v>
      </c>
      <c r="N2102" s="1176">
        <f t="shared" si="161"/>
        <v>0</v>
      </c>
      <c r="O2102" s="905"/>
      <c r="P2102" s="36" t="str">
        <f>IF(N2098&gt;0,"xx",IF(N2098&gt;0,"xy",""))</f>
        <v/>
      </c>
      <c r="Q2102" s="317" t="str">
        <f t="shared" si="158"/>
        <v/>
      </c>
      <c r="R2102" s="317" t="str">
        <f t="shared" si="159"/>
        <v/>
      </c>
      <c r="S2102" s="317" t="str">
        <f t="shared" si="160"/>
        <v/>
      </c>
      <c r="T2102" s="317" t="str">
        <f>GLOBAL_DER_FEV_2023!S2102</f>
        <v/>
      </c>
      <c r="W2102" s="582">
        <v>0</v>
      </c>
      <c r="X2102" s="580"/>
      <c r="Y2102" s="583">
        <f>IF(GLOBAL_DER_FEV_2023!W2102=0,0,IF(GLOBAL_DER_FEV_2023!W2102&gt;0,"c","b"))</f>
        <v>0</v>
      </c>
    </row>
    <row r="2103" spans="1:25" ht="15" hidden="1" customHeight="1" x14ac:dyDescent="0.2">
      <c r="A2103" s="317" t="s">
        <v>17</v>
      </c>
      <c r="B2103" s="895" t="s">
        <v>17</v>
      </c>
      <c r="C2103" s="896" t="s">
        <v>184</v>
      </c>
      <c r="D2103" s="906" t="s">
        <v>54</v>
      </c>
      <c r="E2103" s="907">
        <f>GLOBAL_DER_FEV_2023!E2103</f>
        <v>0</v>
      </c>
      <c r="F2103" s="908">
        <f>GLOBAL_DER_FEV_2023!F2103</f>
        <v>0</v>
      </c>
      <c r="G2103" s="912">
        <f>GLOBAL_DER_FEV_2023!G2103</f>
        <v>150.80919626400001</v>
      </c>
      <c r="H2103" s="901">
        <f>GLOBAL_DER_FEV_2023!H2103</f>
        <v>1441.24</v>
      </c>
      <c r="I2103" s="901">
        <f>GLOBAL_DER_FEV_2023!I2103</f>
        <v>1592.0491962640001</v>
      </c>
      <c r="J2103" s="902">
        <f>GLOBAL_DER_FEV_2023!J2103</f>
        <v>1911.57</v>
      </c>
      <c r="K2103" s="903" t="s">
        <v>15</v>
      </c>
      <c r="L2103" s="1137"/>
      <c r="M2103" s="1138">
        <f t="shared" si="157"/>
        <v>0</v>
      </c>
      <c r="N2103" s="1176">
        <f t="shared" si="161"/>
        <v>0</v>
      </c>
      <c r="O2103" s="905"/>
      <c r="Q2103" s="317" t="str">
        <f t="shared" si="158"/>
        <v/>
      </c>
      <c r="R2103" s="317" t="str">
        <f t="shared" si="159"/>
        <v/>
      </c>
      <c r="S2103" s="317" t="str">
        <f t="shared" si="160"/>
        <v/>
      </c>
      <c r="T2103" s="317" t="str">
        <f>GLOBAL_DER_FEV_2023!S2103</f>
        <v/>
      </c>
      <c r="W2103" s="582">
        <v>0</v>
      </c>
      <c r="X2103" s="580"/>
      <c r="Y2103" s="583">
        <f>IF(GLOBAL_DER_FEV_2023!W2103=0,0,IF(GLOBAL_DER_FEV_2023!W2103&gt;0,"c","b"))</f>
        <v>0</v>
      </c>
    </row>
    <row r="2104" spans="1:25" ht="15" hidden="1" customHeight="1" x14ac:dyDescent="0.2">
      <c r="A2104" s="317" t="s">
        <v>147</v>
      </c>
      <c r="B2104" s="895" t="s">
        <v>147</v>
      </c>
      <c r="C2104" s="896"/>
      <c r="D2104" s="906" t="s">
        <v>190</v>
      </c>
      <c r="E2104" s="907">
        <f>GLOBAL_DER_FEV_2023!E2104</f>
        <v>308</v>
      </c>
      <c r="F2104" s="908">
        <f>GLOBAL_DER_FEV_2023!F2104</f>
        <v>0.11541040000000001</v>
      </c>
      <c r="G2104" s="909">
        <f>GLOBAL_DER_FEV_2023!G2104</f>
        <v>28.628703824000002</v>
      </c>
      <c r="H2104" s="901">
        <f>GLOBAL_DER_FEV_2023!H2104</f>
        <v>0</v>
      </c>
      <c r="I2104" s="901">
        <f>GLOBAL_DER_FEV_2023!I2104</f>
        <v>0</v>
      </c>
      <c r="J2104" s="902">
        <f>GLOBAL_DER_FEV_2023!J2104</f>
        <v>0</v>
      </c>
      <c r="K2104" s="903"/>
      <c r="L2104" s="1177"/>
      <c r="M2104" s="1138">
        <f t="shared" si="157"/>
        <v>0</v>
      </c>
      <c r="N2104" s="1176">
        <f t="shared" si="161"/>
        <v>0</v>
      </c>
      <c r="O2104" s="905"/>
      <c r="P2104" s="36" t="str">
        <f>IF(N2103&gt;0,"xx",IF(N2103&gt;0,"xy",""))</f>
        <v/>
      </c>
      <c r="Q2104" s="317" t="str">
        <f t="shared" si="158"/>
        <v/>
      </c>
      <c r="R2104" s="317" t="str">
        <f t="shared" si="159"/>
        <v/>
      </c>
      <c r="S2104" s="317" t="str">
        <f t="shared" si="160"/>
        <v/>
      </c>
      <c r="T2104" s="317" t="str">
        <f>GLOBAL_DER_FEV_2023!S2104</f>
        <v/>
      </c>
      <c r="W2104" s="582">
        <v>0</v>
      </c>
      <c r="X2104" s="580"/>
      <c r="Y2104" s="583">
        <f>IF(GLOBAL_DER_FEV_2023!W2104=0,0,IF(GLOBAL_DER_FEV_2023!W2104&gt;0,"c","b"))</f>
        <v>0</v>
      </c>
    </row>
    <row r="2105" spans="1:25" ht="15" hidden="1" customHeight="1" x14ac:dyDescent="0.2">
      <c r="A2105" s="317" t="s">
        <v>147</v>
      </c>
      <c r="B2105" s="895" t="s">
        <v>147</v>
      </c>
      <c r="C2105" s="896"/>
      <c r="D2105" s="906" t="s">
        <v>229</v>
      </c>
      <c r="E2105" s="907">
        <f>GLOBAL_DER_FEV_2023!E2105</f>
        <v>150</v>
      </c>
      <c r="F2105" s="908">
        <f>GLOBAL_DER_FEV_2023!F2105</f>
        <v>0.62209000000000003</v>
      </c>
      <c r="G2105" s="949">
        <f>GLOBAL_DER_FEV_2023!G2105</f>
        <v>101.51264620000001</v>
      </c>
      <c r="H2105" s="901">
        <f>GLOBAL_DER_FEV_2023!H2105</f>
        <v>0</v>
      </c>
      <c r="I2105" s="901">
        <f>GLOBAL_DER_FEV_2023!I2105</f>
        <v>0</v>
      </c>
      <c r="J2105" s="902">
        <f>GLOBAL_DER_FEV_2023!J2105</f>
        <v>0</v>
      </c>
      <c r="K2105" s="903"/>
      <c r="L2105" s="1177"/>
      <c r="M2105" s="1138">
        <f t="shared" si="157"/>
        <v>0</v>
      </c>
      <c r="N2105" s="1176">
        <f t="shared" si="161"/>
        <v>0</v>
      </c>
      <c r="O2105" s="905"/>
      <c r="P2105" s="36" t="str">
        <f>IF(N2103&gt;0,"xx",IF(N2103&gt;0,"xy",""))</f>
        <v/>
      </c>
      <c r="Q2105" s="317" t="str">
        <f t="shared" si="158"/>
        <v/>
      </c>
      <c r="R2105" s="317" t="str">
        <f t="shared" si="159"/>
        <v/>
      </c>
      <c r="S2105" s="317" t="str">
        <f t="shared" si="160"/>
        <v/>
      </c>
      <c r="T2105" s="317" t="str">
        <f>GLOBAL_DER_FEV_2023!S2105</f>
        <v/>
      </c>
      <c r="W2105" s="582">
        <v>0</v>
      </c>
      <c r="X2105" s="580"/>
      <c r="Y2105" s="583">
        <f>IF(GLOBAL_DER_FEV_2023!W2105=0,0,IF(GLOBAL_DER_FEV_2023!W2105&gt;0,"c","b"))</f>
        <v>0</v>
      </c>
    </row>
    <row r="2106" spans="1:25" ht="15" hidden="1" customHeight="1" x14ac:dyDescent="0.2">
      <c r="A2106" s="317" t="s">
        <v>147</v>
      </c>
      <c r="B2106" s="895" t="s">
        <v>147</v>
      </c>
      <c r="C2106" s="896"/>
      <c r="D2106" s="906" t="s">
        <v>233</v>
      </c>
      <c r="E2106" s="907">
        <f>GLOBAL_DER_FEV_2023!E2106</f>
        <v>0.2</v>
      </c>
      <c r="F2106" s="908">
        <f>GLOBAL_DER_FEV_2023!F2106</f>
        <v>0.20424000000000003</v>
      </c>
      <c r="G2106" s="949">
        <f>GLOBAL_DER_FEV_2023!G2106</f>
        <v>0.59107056000000013</v>
      </c>
      <c r="H2106" s="901">
        <f>GLOBAL_DER_FEV_2023!H2106</f>
        <v>0</v>
      </c>
      <c r="I2106" s="901">
        <f>GLOBAL_DER_FEV_2023!I2106</f>
        <v>0</v>
      </c>
      <c r="J2106" s="902">
        <f>GLOBAL_DER_FEV_2023!J2106</f>
        <v>0</v>
      </c>
      <c r="K2106" s="903"/>
      <c r="L2106" s="1177"/>
      <c r="M2106" s="1138">
        <f t="shared" si="157"/>
        <v>0</v>
      </c>
      <c r="N2106" s="1176">
        <f t="shared" si="161"/>
        <v>0</v>
      </c>
      <c r="O2106" s="905"/>
      <c r="P2106" s="36" t="str">
        <f>IF(N2103&gt;0,"xx",IF(N2103&gt;0,"xy",""))</f>
        <v/>
      </c>
      <c r="Q2106" s="317" t="str">
        <f t="shared" si="158"/>
        <v/>
      </c>
      <c r="R2106" s="317" t="str">
        <f t="shared" si="159"/>
        <v/>
      </c>
      <c r="S2106" s="317" t="str">
        <f t="shared" si="160"/>
        <v/>
      </c>
      <c r="T2106" s="317" t="str">
        <f>GLOBAL_DER_FEV_2023!S2106</f>
        <v/>
      </c>
      <c r="W2106" s="582">
        <v>0</v>
      </c>
      <c r="X2106" s="580"/>
      <c r="Y2106" s="583">
        <f>IF(GLOBAL_DER_FEV_2023!W2106=0,0,IF(GLOBAL_DER_FEV_2023!W2106&gt;0,"c","b"))</f>
        <v>0</v>
      </c>
    </row>
    <row r="2107" spans="1:25" ht="15" hidden="1" customHeight="1" x14ac:dyDescent="0.2">
      <c r="A2107" s="317" t="s">
        <v>147</v>
      </c>
      <c r="B2107" s="895" t="s">
        <v>147</v>
      </c>
      <c r="C2107" s="896"/>
      <c r="D2107" s="906" t="s">
        <v>365</v>
      </c>
      <c r="E2107" s="907">
        <f>GLOBAL_DER_FEV_2023!E2107</f>
        <v>10</v>
      </c>
      <c r="F2107" s="908">
        <f>GLOBAL_DER_FEV_2023!F2107</f>
        <v>0.87983999999999996</v>
      </c>
      <c r="G2107" s="949">
        <f>GLOBAL_DER_FEV_2023!G2107</f>
        <v>11.772259200000001</v>
      </c>
      <c r="H2107" s="901">
        <f>GLOBAL_DER_FEV_2023!H2107</f>
        <v>0</v>
      </c>
      <c r="I2107" s="901">
        <f>GLOBAL_DER_FEV_2023!I2107</f>
        <v>0</v>
      </c>
      <c r="J2107" s="902">
        <f>GLOBAL_DER_FEV_2023!J2107</f>
        <v>0</v>
      </c>
      <c r="K2107" s="903"/>
      <c r="L2107" s="1177"/>
      <c r="M2107" s="1138">
        <f t="shared" si="157"/>
        <v>0</v>
      </c>
      <c r="N2107" s="1176">
        <f t="shared" si="161"/>
        <v>0</v>
      </c>
      <c r="O2107" s="905"/>
      <c r="P2107" s="36" t="str">
        <f>IF(N2103&gt;0,"xx",IF(N2103&gt;0,"xy",""))</f>
        <v/>
      </c>
      <c r="Q2107" s="317" t="str">
        <f t="shared" si="158"/>
        <v/>
      </c>
      <c r="R2107" s="317" t="str">
        <f t="shared" si="159"/>
        <v/>
      </c>
      <c r="S2107" s="317" t="str">
        <f t="shared" si="160"/>
        <v/>
      </c>
      <c r="T2107" s="317" t="str">
        <f>GLOBAL_DER_FEV_2023!S2107</f>
        <v/>
      </c>
      <c r="W2107" s="582">
        <v>0</v>
      </c>
      <c r="X2107" s="580"/>
      <c r="Y2107" s="583">
        <f>IF(GLOBAL_DER_FEV_2023!W2107=0,0,IF(GLOBAL_DER_FEV_2023!W2107&gt;0,"c","b"))</f>
        <v>0</v>
      </c>
    </row>
    <row r="2108" spans="1:25" ht="15" hidden="1" customHeight="1" x14ac:dyDescent="0.2">
      <c r="A2108" s="317" t="s">
        <v>147</v>
      </c>
      <c r="B2108" s="895" t="s">
        <v>147</v>
      </c>
      <c r="C2108" s="896"/>
      <c r="D2108" s="906" t="s">
        <v>366</v>
      </c>
      <c r="E2108" s="907">
        <f>GLOBAL_DER_FEV_2023!E2108</f>
        <v>353</v>
      </c>
      <c r="F2108" s="908">
        <f>GLOBAL_DER_FEV_2023!F2108</f>
        <v>2.9328E-2</v>
      </c>
      <c r="G2108" s="909">
        <f>GLOBAL_DER_FEV_2023!G2108</f>
        <v>8.3045164800000002</v>
      </c>
      <c r="H2108" s="901">
        <f>GLOBAL_DER_FEV_2023!H2108</f>
        <v>0</v>
      </c>
      <c r="I2108" s="901">
        <f>GLOBAL_DER_FEV_2023!I2108</f>
        <v>0</v>
      </c>
      <c r="J2108" s="902">
        <f>GLOBAL_DER_FEV_2023!J2108</f>
        <v>0</v>
      </c>
      <c r="K2108" s="903"/>
      <c r="L2108" s="1177"/>
      <c r="M2108" s="1138">
        <f t="shared" si="157"/>
        <v>0</v>
      </c>
      <c r="N2108" s="1176">
        <f t="shared" si="161"/>
        <v>0</v>
      </c>
      <c r="O2108" s="905"/>
      <c r="P2108" s="36" t="str">
        <f>IF(N2103&gt;0,"xx",IF(N2103&gt;0,"xy",""))</f>
        <v/>
      </c>
      <c r="Q2108" s="317" t="str">
        <f t="shared" si="158"/>
        <v/>
      </c>
      <c r="R2108" s="317" t="str">
        <f t="shared" si="159"/>
        <v/>
      </c>
      <c r="S2108" s="317" t="str">
        <f t="shared" si="160"/>
        <v/>
      </c>
      <c r="T2108" s="317" t="str">
        <f>GLOBAL_DER_FEV_2023!S2108</f>
        <v/>
      </c>
      <c r="W2108" s="582">
        <v>0</v>
      </c>
      <c r="X2108" s="580"/>
      <c r="Y2108" s="583">
        <f>IF(GLOBAL_DER_FEV_2023!W2108=0,0,IF(GLOBAL_DER_FEV_2023!W2108&gt;0,"c","b"))</f>
        <v>0</v>
      </c>
    </row>
    <row r="2109" spans="1:25" ht="15" hidden="1" customHeight="1" x14ac:dyDescent="0.2">
      <c r="A2109" s="317" t="s">
        <v>18</v>
      </c>
      <c r="B2109" s="895" t="s">
        <v>18</v>
      </c>
      <c r="C2109" s="896" t="s">
        <v>184</v>
      </c>
      <c r="D2109" s="906" t="s">
        <v>55</v>
      </c>
      <c r="E2109" s="907">
        <f>GLOBAL_DER_FEV_2023!E2109</f>
        <v>0</v>
      </c>
      <c r="F2109" s="908">
        <f>GLOBAL_DER_FEV_2023!F2109</f>
        <v>0</v>
      </c>
      <c r="G2109" s="912">
        <f>GLOBAL_DER_FEV_2023!G2109</f>
        <v>178.02627704000002</v>
      </c>
      <c r="H2109" s="901">
        <f>GLOBAL_DER_FEV_2023!H2109</f>
        <v>1595.65</v>
      </c>
      <c r="I2109" s="901">
        <f>GLOBAL_DER_FEV_2023!I2109</f>
        <v>1773.6762770400001</v>
      </c>
      <c r="J2109" s="902">
        <f>GLOBAL_DER_FEV_2023!J2109</f>
        <v>2129.65</v>
      </c>
      <c r="K2109" s="903" t="s">
        <v>15</v>
      </c>
      <c r="L2109" s="1137"/>
      <c r="M2109" s="1138">
        <f t="shared" si="157"/>
        <v>0</v>
      </c>
      <c r="N2109" s="1176">
        <f t="shared" si="161"/>
        <v>0</v>
      </c>
      <c r="O2109" s="905"/>
      <c r="Q2109" s="317" t="str">
        <f t="shared" si="158"/>
        <v/>
      </c>
      <c r="R2109" s="317" t="str">
        <f t="shared" si="159"/>
        <v/>
      </c>
      <c r="S2109" s="317" t="str">
        <f t="shared" si="160"/>
        <v/>
      </c>
      <c r="T2109" s="317" t="str">
        <f>GLOBAL_DER_FEV_2023!S2109</f>
        <v/>
      </c>
      <c r="W2109" s="582">
        <v>0</v>
      </c>
      <c r="X2109" s="580"/>
      <c r="Y2109" s="583">
        <f>IF(GLOBAL_DER_FEV_2023!W2109=0,0,IF(GLOBAL_DER_FEV_2023!W2109&gt;0,"c","b"))</f>
        <v>0</v>
      </c>
    </row>
    <row r="2110" spans="1:25" ht="15" hidden="1" customHeight="1" x14ac:dyDescent="0.2">
      <c r="A2110" s="317" t="s">
        <v>147</v>
      </c>
      <c r="B2110" s="895" t="s">
        <v>147</v>
      </c>
      <c r="C2110" s="896"/>
      <c r="D2110" s="906" t="s">
        <v>190</v>
      </c>
      <c r="E2110" s="907">
        <f>GLOBAL_DER_FEV_2023!E2110</f>
        <v>308</v>
      </c>
      <c r="F2110" s="908">
        <f>GLOBAL_DER_FEV_2023!F2110</f>
        <v>0.132608</v>
      </c>
      <c r="G2110" s="909">
        <f>GLOBAL_DER_FEV_2023!G2110</f>
        <v>32.894740480000003</v>
      </c>
      <c r="H2110" s="901">
        <f>GLOBAL_DER_FEV_2023!H2110</f>
        <v>0</v>
      </c>
      <c r="I2110" s="901">
        <f>GLOBAL_DER_FEV_2023!I2110</f>
        <v>0</v>
      </c>
      <c r="J2110" s="902">
        <f>GLOBAL_DER_FEV_2023!J2110</f>
        <v>0</v>
      </c>
      <c r="K2110" s="903"/>
      <c r="L2110" s="1177"/>
      <c r="M2110" s="1138">
        <f t="shared" si="157"/>
        <v>0</v>
      </c>
      <c r="N2110" s="1176">
        <f t="shared" si="161"/>
        <v>0</v>
      </c>
      <c r="O2110" s="905"/>
      <c r="P2110" s="36" t="str">
        <f>IF(N2109&gt;0,"xx",IF(N2109&gt;0,"xy",""))</f>
        <v/>
      </c>
      <c r="Q2110" s="317" t="str">
        <f t="shared" si="158"/>
        <v/>
      </c>
      <c r="R2110" s="317" t="str">
        <f t="shared" si="159"/>
        <v/>
      </c>
      <c r="S2110" s="317" t="str">
        <f t="shared" si="160"/>
        <v/>
      </c>
      <c r="T2110" s="317" t="str">
        <f>GLOBAL_DER_FEV_2023!S2110</f>
        <v/>
      </c>
      <c r="W2110" s="582">
        <v>0</v>
      </c>
      <c r="X2110" s="580"/>
      <c r="Y2110" s="583">
        <f>IF(GLOBAL_DER_FEV_2023!W2110=0,0,IF(GLOBAL_DER_FEV_2023!W2110&gt;0,"c","b"))</f>
        <v>0</v>
      </c>
    </row>
    <row r="2111" spans="1:25" ht="15" hidden="1" customHeight="1" x14ac:dyDescent="0.2">
      <c r="A2111" s="317" t="s">
        <v>147</v>
      </c>
      <c r="B2111" s="895" t="s">
        <v>147</v>
      </c>
      <c r="C2111" s="896"/>
      <c r="D2111" s="906" t="s">
        <v>229</v>
      </c>
      <c r="E2111" s="907">
        <f>GLOBAL_DER_FEV_2023!E2111</f>
        <v>150</v>
      </c>
      <c r="F2111" s="908">
        <f>GLOBAL_DER_FEV_2023!F2111</f>
        <v>0.73198000000000008</v>
      </c>
      <c r="G2111" s="949">
        <f>GLOBAL_DER_FEV_2023!G2111</f>
        <v>119.44449640000002</v>
      </c>
      <c r="H2111" s="901">
        <f>GLOBAL_DER_FEV_2023!H2111</f>
        <v>0</v>
      </c>
      <c r="I2111" s="901">
        <f>GLOBAL_DER_FEV_2023!I2111</f>
        <v>0</v>
      </c>
      <c r="J2111" s="902">
        <f>GLOBAL_DER_FEV_2023!J2111</f>
        <v>0</v>
      </c>
      <c r="K2111" s="903"/>
      <c r="L2111" s="1177"/>
      <c r="M2111" s="1138">
        <f t="shared" si="157"/>
        <v>0</v>
      </c>
      <c r="N2111" s="1176">
        <f t="shared" si="161"/>
        <v>0</v>
      </c>
      <c r="O2111" s="905"/>
      <c r="P2111" s="36" t="str">
        <f>IF(N2109&gt;0,"xx",IF(N2109&gt;0,"xy",""))</f>
        <v/>
      </c>
      <c r="Q2111" s="317" t="str">
        <f t="shared" si="158"/>
        <v/>
      </c>
      <c r="R2111" s="317" t="str">
        <f t="shared" si="159"/>
        <v/>
      </c>
      <c r="S2111" s="317" t="str">
        <f t="shared" si="160"/>
        <v/>
      </c>
      <c r="T2111" s="317" t="str">
        <f>GLOBAL_DER_FEV_2023!S2111</f>
        <v/>
      </c>
      <c r="W2111" s="582">
        <v>0</v>
      </c>
      <c r="X2111" s="580"/>
      <c r="Y2111" s="583">
        <f>IF(GLOBAL_DER_FEV_2023!W2111=0,0,IF(GLOBAL_DER_FEV_2023!W2111&gt;0,"c","b"))</f>
        <v>0</v>
      </c>
    </row>
    <row r="2112" spans="1:25" ht="15" hidden="1" customHeight="1" x14ac:dyDescent="0.2">
      <c r="A2112" s="317" t="s">
        <v>147</v>
      </c>
      <c r="B2112" s="895" t="s">
        <v>147</v>
      </c>
      <c r="C2112" s="896"/>
      <c r="D2112" s="906" t="s">
        <v>233</v>
      </c>
      <c r="E2112" s="907">
        <f>GLOBAL_DER_FEV_2023!E2112</f>
        <v>0.2</v>
      </c>
      <c r="F2112" s="908">
        <f>GLOBAL_DER_FEV_2023!F2112</f>
        <v>0.20424000000000003</v>
      </c>
      <c r="G2112" s="949">
        <f>GLOBAL_DER_FEV_2023!G2112</f>
        <v>0.59107056000000013</v>
      </c>
      <c r="H2112" s="901">
        <f>GLOBAL_DER_FEV_2023!H2112</f>
        <v>0</v>
      </c>
      <c r="I2112" s="901">
        <f>GLOBAL_DER_FEV_2023!I2112</f>
        <v>0</v>
      </c>
      <c r="J2112" s="902">
        <f>GLOBAL_DER_FEV_2023!J2112</f>
        <v>0</v>
      </c>
      <c r="K2112" s="903"/>
      <c r="L2112" s="1177"/>
      <c r="M2112" s="1138">
        <f t="shared" si="157"/>
        <v>0</v>
      </c>
      <c r="N2112" s="1176">
        <f t="shared" si="161"/>
        <v>0</v>
      </c>
      <c r="O2112" s="905"/>
      <c r="P2112" s="36" t="str">
        <f>IF(N2109&gt;0,"xx",IF(N2109&gt;0,"xy",""))</f>
        <v/>
      </c>
      <c r="Q2112" s="317" t="str">
        <f t="shared" si="158"/>
        <v/>
      </c>
      <c r="R2112" s="317" t="str">
        <f t="shared" si="159"/>
        <v/>
      </c>
      <c r="S2112" s="317" t="str">
        <f t="shared" si="160"/>
        <v/>
      </c>
      <c r="T2112" s="317" t="str">
        <f>GLOBAL_DER_FEV_2023!S2112</f>
        <v/>
      </c>
      <c r="W2112" s="582">
        <v>0</v>
      </c>
      <c r="X2112" s="580"/>
      <c r="Y2112" s="583">
        <f>IF(GLOBAL_DER_FEV_2023!W2112=0,0,IF(GLOBAL_DER_FEV_2023!W2112&gt;0,"c","b"))</f>
        <v>0</v>
      </c>
    </row>
    <row r="2113" spans="1:25" ht="15" hidden="1" customHeight="1" x14ac:dyDescent="0.2">
      <c r="A2113" s="317" t="s">
        <v>147</v>
      </c>
      <c r="B2113" s="895" t="s">
        <v>147</v>
      </c>
      <c r="C2113" s="896"/>
      <c r="D2113" s="906" t="s">
        <v>365</v>
      </c>
      <c r="E2113" s="907">
        <f>GLOBAL_DER_FEV_2023!E2113</f>
        <v>10</v>
      </c>
      <c r="F2113" s="908">
        <f>GLOBAL_DER_FEV_2023!F2113</f>
        <v>1.0998000000000001</v>
      </c>
      <c r="G2113" s="949">
        <f>GLOBAL_DER_FEV_2023!G2113</f>
        <v>14.715324000000003</v>
      </c>
      <c r="H2113" s="901">
        <f>GLOBAL_DER_FEV_2023!H2113</f>
        <v>0</v>
      </c>
      <c r="I2113" s="901">
        <f>GLOBAL_DER_FEV_2023!I2113</f>
        <v>0</v>
      </c>
      <c r="J2113" s="902">
        <f>GLOBAL_DER_FEV_2023!J2113</f>
        <v>0</v>
      </c>
      <c r="K2113" s="903"/>
      <c r="L2113" s="1177"/>
      <c r="M2113" s="1138">
        <f t="shared" si="157"/>
        <v>0</v>
      </c>
      <c r="N2113" s="1176">
        <f t="shared" si="161"/>
        <v>0</v>
      </c>
      <c r="O2113" s="905"/>
      <c r="P2113" s="36" t="str">
        <f>IF(N2109&gt;0,"xx",IF(N2109&gt;0,"xy",""))</f>
        <v/>
      </c>
      <c r="Q2113" s="317" t="str">
        <f t="shared" si="158"/>
        <v/>
      </c>
      <c r="R2113" s="317" t="str">
        <f t="shared" si="159"/>
        <v/>
      </c>
      <c r="S2113" s="317" t="str">
        <f t="shared" si="160"/>
        <v/>
      </c>
      <c r="T2113" s="317" t="str">
        <f>GLOBAL_DER_FEV_2023!S2113</f>
        <v/>
      </c>
      <c r="W2113" s="582">
        <v>0</v>
      </c>
      <c r="X2113" s="580"/>
      <c r="Y2113" s="583">
        <f>IF(GLOBAL_DER_FEV_2023!W2113=0,0,IF(GLOBAL_DER_FEV_2023!W2113&gt;0,"c","b"))</f>
        <v>0</v>
      </c>
    </row>
    <row r="2114" spans="1:25" ht="15" hidden="1" customHeight="1" x14ac:dyDescent="0.2">
      <c r="A2114" s="317" t="s">
        <v>147</v>
      </c>
      <c r="B2114" s="895" t="s">
        <v>147</v>
      </c>
      <c r="C2114" s="896"/>
      <c r="D2114" s="906" t="s">
        <v>366</v>
      </c>
      <c r="E2114" s="907">
        <f>GLOBAL_DER_FEV_2023!E2114</f>
        <v>353</v>
      </c>
      <c r="F2114" s="908">
        <f>GLOBAL_DER_FEV_2023!F2114</f>
        <v>3.6659999999999998E-2</v>
      </c>
      <c r="G2114" s="909">
        <f>GLOBAL_DER_FEV_2023!G2114</f>
        <v>10.380645600000001</v>
      </c>
      <c r="H2114" s="901">
        <f>GLOBAL_DER_FEV_2023!H2114</f>
        <v>0</v>
      </c>
      <c r="I2114" s="901">
        <f>GLOBAL_DER_FEV_2023!I2114</f>
        <v>0</v>
      </c>
      <c r="J2114" s="902">
        <f>GLOBAL_DER_FEV_2023!J2114</f>
        <v>0</v>
      </c>
      <c r="K2114" s="903"/>
      <c r="L2114" s="1177"/>
      <c r="M2114" s="1138">
        <f t="shared" si="157"/>
        <v>0</v>
      </c>
      <c r="N2114" s="1176">
        <f t="shared" si="161"/>
        <v>0</v>
      </c>
      <c r="O2114" s="905"/>
      <c r="P2114" s="36" t="str">
        <f>IF(N2109&gt;0,"xx",IF(N2109&gt;0,"xy",""))</f>
        <v/>
      </c>
      <c r="Q2114" s="317" t="str">
        <f t="shared" si="158"/>
        <v/>
      </c>
      <c r="R2114" s="317" t="str">
        <f t="shared" si="159"/>
        <v/>
      </c>
      <c r="S2114" s="317" t="str">
        <f t="shared" si="160"/>
        <v/>
      </c>
      <c r="T2114" s="317" t="str">
        <f>GLOBAL_DER_FEV_2023!S2114</f>
        <v/>
      </c>
      <c r="W2114" s="582">
        <v>0</v>
      </c>
      <c r="X2114" s="580"/>
      <c r="Y2114" s="583">
        <f>IF(GLOBAL_DER_FEV_2023!W2114=0,0,IF(GLOBAL_DER_FEV_2023!W2114&gt;0,"c","b"))</f>
        <v>0</v>
      </c>
    </row>
    <row r="2115" spans="1:25" ht="15" hidden="1" customHeight="1" x14ac:dyDescent="0.2">
      <c r="A2115" s="317" t="s">
        <v>19</v>
      </c>
      <c r="B2115" s="895" t="s">
        <v>19</v>
      </c>
      <c r="C2115" s="896" t="s">
        <v>184</v>
      </c>
      <c r="D2115" s="906" t="s">
        <v>56</v>
      </c>
      <c r="E2115" s="907">
        <f>GLOBAL_DER_FEV_2023!E2115</f>
        <v>0</v>
      </c>
      <c r="F2115" s="908">
        <f>GLOBAL_DER_FEV_2023!F2115</f>
        <v>0</v>
      </c>
      <c r="G2115" s="912">
        <f>GLOBAL_DER_FEV_2023!G2115</f>
        <v>223.06579010900001</v>
      </c>
      <c r="H2115" s="901">
        <f>GLOBAL_DER_FEV_2023!H2115</f>
        <v>1851.05</v>
      </c>
      <c r="I2115" s="901">
        <f>GLOBAL_DER_FEV_2023!I2115</f>
        <v>2074.115790109</v>
      </c>
      <c r="J2115" s="902">
        <f>GLOBAL_DER_FEV_2023!J2115</f>
        <v>2490.39</v>
      </c>
      <c r="K2115" s="903" t="s">
        <v>15</v>
      </c>
      <c r="L2115" s="1137"/>
      <c r="M2115" s="1138">
        <f t="shared" si="157"/>
        <v>0</v>
      </c>
      <c r="N2115" s="1176">
        <f t="shared" si="161"/>
        <v>0</v>
      </c>
      <c r="O2115" s="905"/>
      <c r="Q2115" s="317" t="str">
        <f t="shared" si="158"/>
        <v/>
      </c>
      <c r="R2115" s="317" t="str">
        <f t="shared" si="159"/>
        <v/>
      </c>
      <c r="S2115" s="317" t="str">
        <f t="shared" si="160"/>
        <v/>
      </c>
      <c r="T2115" s="317" t="str">
        <f>GLOBAL_DER_FEV_2023!S2115</f>
        <v/>
      </c>
      <c r="W2115" s="582">
        <v>0</v>
      </c>
      <c r="X2115" s="580"/>
      <c r="Y2115" s="583">
        <f>IF(GLOBAL_DER_FEV_2023!W2115=0,0,IF(GLOBAL_DER_FEV_2023!W2115&gt;0,"c","b"))</f>
        <v>0</v>
      </c>
    </row>
    <row r="2116" spans="1:25" ht="15" hidden="1" customHeight="1" x14ac:dyDescent="0.2">
      <c r="A2116" s="317" t="s">
        <v>147</v>
      </c>
      <c r="B2116" s="895" t="s">
        <v>147</v>
      </c>
      <c r="C2116" s="896"/>
      <c r="D2116" s="906" t="s">
        <v>190</v>
      </c>
      <c r="E2116" s="907">
        <f>GLOBAL_DER_FEV_2023!E2116</f>
        <v>308</v>
      </c>
      <c r="F2116" s="908">
        <f>GLOBAL_DER_FEV_2023!F2116</f>
        <v>0.1610819</v>
      </c>
      <c r="G2116" s="909">
        <f>GLOBAL_DER_FEV_2023!G2116</f>
        <v>39.957976113999997</v>
      </c>
      <c r="H2116" s="901">
        <f>GLOBAL_DER_FEV_2023!H2116</f>
        <v>0</v>
      </c>
      <c r="I2116" s="901">
        <f>GLOBAL_DER_FEV_2023!I2116</f>
        <v>0</v>
      </c>
      <c r="J2116" s="902">
        <f>GLOBAL_DER_FEV_2023!J2116</f>
        <v>0</v>
      </c>
      <c r="K2116" s="903"/>
      <c r="L2116" s="1177"/>
      <c r="M2116" s="1138">
        <f t="shared" si="157"/>
        <v>0</v>
      </c>
      <c r="N2116" s="1176">
        <f t="shared" si="161"/>
        <v>0</v>
      </c>
      <c r="O2116" s="905"/>
      <c r="P2116" s="36" t="str">
        <f>IF(N2115&gt;0,"xx",IF(N2115&gt;0,"xy",""))</f>
        <v/>
      </c>
      <c r="Q2116" s="317" t="str">
        <f t="shared" si="158"/>
        <v/>
      </c>
      <c r="R2116" s="317" t="str">
        <f t="shared" si="159"/>
        <v/>
      </c>
      <c r="S2116" s="317" t="str">
        <f t="shared" si="160"/>
        <v/>
      </c>
      <c r="T2116" s="317" t="str">
        <f>GLOBAL_DER_FEV_2023!S2116</f>
        <v/>
      </c>
      <c r="W2116" s="582">
        <v>0</v>
      </c>
      <c r="X2116" s="580"/>
      <c r="Y2116" s="583">
        <f>IF(GLOBAL_DER_FEV_2023!W2116=0,0,IF(GLOBAL_DER_FEV_2023!W2116&gt;0,"c","b"))</f>
        <v>0</v>
      </c>
    </row>
    <row r="2117" spans="1:25" ht="15" hidden="1" customHeight="1" x14ac:dyDescent="0.2">
      <c r="A2117" s="317" t="s">
        <v>147</v>
      </c>
      <c r="B2117" s="895" t="s">
        <v>147</v>
      </c>
      <c r="C2117" s="896"/>
      <c r="D2117" s="906" t="s">
        <v>229</v>
      </c>
      <c r="E2117" s="907">
        <f>GLOBAL_DER_FEV_2023!E2117</f>
        <v>150</v>
      </c>
      <c r="F2117" s="908">
        <f>GLOBAL_DER_FEV_2023!F2117</f>
        <v>0.91383625000000013</v>
      </c>
      <c r="G2117" s="949">
        <f>GLOBAL_DER_FEV_2023!G2117</f>
        <v>149.11979927500002</v>
      </c>
      <c r="H2117" s="901">
        <f>GLOBAL_DER_FEV_2023!H2117</f>
        <v>0</v>
      </c>
      <c r="I2117" s="901">
        <f>GLOBAL_DER_FEV_2023!I2117</f>
        <v>0</v>
      </c>
      <c r="J2117" s="902">
        <f>GLOBAL_DER_FEV_2023!J2117</f>
        <v>0</v>
      </c>
      <c r="K2117" s="903"/>
      <c r="L2117" s="1177"/>
      <c r="M2117" s="1138">
        <f t="shared" si="157"/>
        <v>0</v>
      </c>
      <c r="N2117" s="1176">
        <f t="shared" si="161"/>
        <v>0</v>
      </c>
      <c r="O2117" s="905"/>
      <c r="P2117" s="36" t="str">
        <f>IF(N2115&gt;0,"xx",IF(N2115&gt;0,"xy",""))</f>
        <v/>
      </c>
      <c r="Q2117" s="317" t="str">
        <f t="shared" si="158"/>
        <v/>
      </c>
      <c r="R2117" s="317" t="str">
        <f t="shared" si="159"/>
        <v/>
      </c>
      <c r="S2117" s="317" t="str">
        <f t="shared" si="160"/>
        <v/>
      </c>
      <c r="T2117" s="317" t="str">
        <f>GLOBAL_DER_FEV_2023!S2117</f>
        <v/>
      </c>
      <c r="W2117" s="582">
        <v>0</v>
      </c>
      <c r="X2117" s="580"/>
      <c r="Y2117" s="583">
        <f>IF(GLOBAL_DER_FEV_2023!W2117=0,0,IF(GLOBAL_DER_FEV_2023!W2117&gt;0,"c","b"))</f>
        <v>0</v>
      </c>
    </row>
    <row r="2118" spans="1:25" ht="15" hidden="1" customHeight="1" x14ac:dyDescent="0.2">
      <c r="A2118" s="317" t="s">
        <v>147</v>
      </c>
      <c r="B2118" s="895" t="s">
        <v>147</v>
      </c>
      <c r="C2118" s="896"/>
      <c r="D2118" s="906" t="s">
        <v>233</v>
      </c>
      <c r="E2118" s="907">
        <f>GLOBAL_DER_FEV_2023!E2118</f>
        <v>0.2</v>
      </c>
      <c r="F2118" s="908">
        <f>GLOBAL_DER_FEV_2023!F2118</f>
        <v>0.20424000000000003</v>
      </c>
      <c r="G2118" s="949">
        <f>GLOBAL_DER_FEV_2023!G2118</f>
        <v>0.59107056000000013</v>
      </c>
      <c r="H2118" s="901">
        <f>GLOBAL_DER_FEV_2023!H2118</f>
        <v>0</v>
      </c>
      <c r="I2118" s="901">
        <f>GLOBAL_DER_FEV_2023!I2118</f>
        <v>0</v>
      </c>
      <c r="J2118" s="902">
        <f>GLOBAL_DER_FEV_2023!J2118</f>
        <v>0</v>
      </c>
      <c r="K2118" s="903"/>
      <c r="L2118" s="1177"/>
      <c r="M2118" s="1138">
        <f t="shared" si="157"/>
        <v>0</v>
      </c>
      <c r="N2118" s="1176">
        <f t="shared" si="161"/>
        <v>0</v>
      </c>
      <c r="O2118" s="905"/>
      <c r="P2118" s="36" t="str">
        <f>IF(N2115&gt;0,"xx",IF(N2115&gt;0,"xy",""))</f>
        <v/>
      </c>
      <c r="Q2118" s="317" t="str">
        <f t="shared" si="158"/>
        <v/>
      </c>
      <c r="R2118" s="317" t="str">
        <f t="shared" si="159"/>
        <v/>
      </c>
      <c r="S2118" s="317" t="str">
        <f t="shared" si="160"/>
        <v/>
      </c>
      <c r="T2118" s="317" t="str">
        <f>GLOBAL_DER_FEV_2023!S2118</f>
        <v/>
      </c>
      <c r="W2118" s="582">
        <v>0</v>
      </c>
      <c r="X2118" s="580"/>
      <c r="Y2118" s="583">
        <f>IF(GLOBAL_DER_FEV_2023!W2118=0,0,IF(GLOBAL_DER_FEV_2023!W2118&gt;0,"c","b"))</f>
        <v>0</v>
      </c>
    </row>
    <row r="2119" spans="1:25" ht="15" hidden="1" customHeight="1" x14ac:dyDescent="0.2">
      <c r="A2119" s="317" t="s">
        <v>147</v>
      </c>
      <c r="B2119" s="895" t="s">
        <v>147</v>
      </c>
      <c r="C2119" s="896"/>
      <c r="D2119" s="906" t="s">
        <v>365</v>
      </c>
      <c r="E2119" s="907">
        <f>GLOBAL_DER_FEV_2023!E2119</f>
        <v>10</v>
      </c>
      <c r="F2119" s="908">
        <f>GLOBAL_DER_FEV_2023!F2119</f>
        <v>1.4635799999999999</v>
      </c>
      <c r="G2119" s="949">
        <f>GLOBAL_DER_FEV_2023!G2119</f>
        <v>19.5827004</v>
      </c>
      <c r="H2119" s="901">
        <f>GLOBAL_DER_FEV_2023!H2119</f>
        <v>0</v>
      </c>
      <c r="I2119" s="901">
        <f>GLOBAL_DER_FEV_2023!I2119</f>
        <v>0</v>
      </c>
      <c r="J2119" s="902">
        <f>GLOBAL_DER_FEV_2023!J2119</f>
        <v>0</v>
      </c>
      <c r="K2119" s="903"/>
      <c r="L2119" s="1177"/>
      <c r="M2119" s="1138">
        <f t="shared" si="157"/>
        <v>0</v>
      </c>
      <c r="N2119" s="1176">
        <f t="shared" si="161"/>
        <v>0</v>
      </c>
      <c r="O2119" s="905"/>
      <c r="P2119" s="36" t="str">
        <f>IF(N2115&gt;0,"xx",IF(N2115&gt;0,"xy",""))</f>
        <v/>
      </c>
      <c r="Q2119" s="317" t="str">
        <f t="shared" si="158"/>
        <v/>
      </c>
      <c r="R2119" s="317" t="str">
        <f t="shared" si="159"/>
        <v/>
      </c>
      <c r="S2119" s="317" t="str">
        <f t="shared" si="160"/>
        <v/>
      </c>
      <c r="T2119" s="317" t="str">
        <f>GLOBAL_DER_FEV_2023!S2119</f>
        <v/>
      </c>
      <c r="W2119" s="582">
        <v>0</v>
      </c>
      <c r="X2119" s="580"/>
      <c r="Y2119" s="583">
        <f>IF(GLOBAL_DER_FEV_2023!W2119=0,0,IF(GLOBAL_DER_FEV_2023!W2119&gt;0,"c","b"))</f>
        <v>0</v>
      </c>
    </row>
    <row r="2120" spans="1:25" ht="15" hidden="1" customHeight="1" x14ac:dyDescent="0.2">
      <c r="A2120" s="317" t="s">
        <v>147</v>
      </c>
      <c r="B2120" s="895" t="s">
        <v>147</v>
      </c>
      <c r="C2120" s="896"/>
      <c r="D2120" s="906" t="s">
        <v>366</v>
      </c>
      <c r="E2120" s="907">
        <f>GLOBAL_DER_FEV_2023!E2120</f>
        <v>353</v>
      </c>
      <c r="F2120" s="908">
        <f>GLOBAL_DER_FEV_2023!F2120</f>
        <v>4.8785999999999996E-2</v>
      </c>
      <c r="G2120" s="909">
        <f>GLOBAL_DER_FEV_2023!G2120</f>
        <v>13.81424376</v>
      </c>
      <c r="H2120" s="901">
        <f>GLOBAL_DER_FEV_2023!H2120</f>
        <v>0</v>
      </c>
      <c r="I2120" s="901">
        <f>GLOBAL_DER_FEV_2023!I2120</f>
        <v>0</v>
      </c>
      <c r="J2120" s="902">
        <f>GLOBAL_DER_FEV_2023!J2120</f>
        <v>0</v>
      </c>
      <c r="K2120" s="903"/>
      <c r="L2120" s="1177"/>
      <c r="M2120" s="1138">
        <f t="shared" si="157"/>
        <v>0</v>
      </c>
      <c r="N2120" s="1176">
        <f t="shared" si="161"/>
        <v>0</v>
      </c>
      <c r="O2120" s="905"/>
      <c r="P2120" s="36" t="str">
        <f>IF(N2115&gt;0,"xx",IF(N2115&gt;0,"xy",""))</f>
        <v/>
      </c>
      <c r="Q2120" s="317" t="str">
        <f t="shared" si="158"/>
        <v/>
      </c>
      <c r="R2120" s="317" t="str">
        <f t="shared" si="159"/>
        <v/>
      </c>
      <c r="S2120" s="317" t="str">
        <f t="shared" si="160"/>
        <v/>
      </c>
      <c r="T2120" s="317" t="str">
        <f>GLOBAL_DER_FEV_2023!S2120</f>
        <v/>
      </c>
      <c r="W2120" s="582">
        <v>0</v>
      </c>
      <c r="X2120" s="580"/>
      <c r="Y2120" s="583">
        <f>IF(GLOBAL_DER_FEV_2023!W2120=0,0,IF(GLOBAL_DER_FEV_2023!W2120&gt;0,"c","b"))</f>
        <v>0</v>
      </c>
    </row>
    <row r="2121" spans="1:25" ht="15" hidden="1" customHeight="1" x14ac:dyDescent="0.2">
      <c r="A2121" s="317" t="s">
        <v>20</v>
      </c>
      <c r="B2121" s="895" t="s">
        <v>20</v>
      </c>
      <c r="C2121" s="896" t="s">
        <v>184</v>
      </c>
      <c r="D2121" s="906" t="s">
        <v>57</v>
      </c>
      <c r="E2121" s="907">
        <f>GLOBAL_DER_FEV_2023!E2121</f>
        <v>0</v>
      </c>
      <c r="F2121" s="908">
        <f>GLOBAL_DER_FEV_2023!F2121</f>
        <v>0</v>
      </c>
      <c r="G2121" s="912">
        <f>GLOBAL_DER_FEV_2023!G2121</f>
        <v>269.07216785100002</v>
      </c>
      <c r="H2121" s="901">
        <f>GLOBAL_DER_FEV_2023!H2121</f>
        <v>2112.3000000000002</v>
      </c>
      <c r="I2121" s="901">
        <f>GLOBAL_DER_FEV_2023!I2121</f>
        <v>2381.3721678510001</v>
      </c>
      <c r="J2121" s="902">
        <f>GLOBAL_DER_FEV_2023!J2121</f>
        <v>2859.31</v>
      </c>
      <c r="K2121" s="903" t="s">
        <v>15</v>
      </c>
      <c r="L2121" s="1137"/>
      <c r="M2121" s="1138">
        <f t="shared" si="157"/>
        <v>0</v>
      </c>
      <c r="N2121" s="1176">
        <f t="shared" si="161"/>
        <v>0</v>
      </c>
      <c r="O2121" s="905"/>
      <c r="Q2121" s="317" t="str">
        <f t="shared" si="158"/>
        <v/>
      </c>
      <c r="R2121" s="317" t="str">
        <f t="shared" si="159"/>
        <v/>
      </c>
      <c r="S2121" s="317" t="str">
        <f t="shared" si="160"/>
        <v/>
      </c>
      <c r="T2121" s="317" t="str">
        <f>GLOBAL_DER_FEV_2023!S2121</f>
        <v/>
      </c>
      <c r="W2121" s="582">
        <v>0</v>
      </c>
      <c r="X2121" s="580"/>
      <c r="Y2121" s="583">
        <f>IF(GLOBAL_DER_FEV_2023!W2121=0,0,IF(GLOBAL_DER_FEV_2023!W2121&gt;0,"c","b"))</f>
        <v>0</v>
      </c>
    </row>
    <row r="2122" spans="1:25" ht="15" hidden="1" customHeight="1" x14ac:dyDescent="0.2">
      <c r="A2122" s="317" t="s">
        <v>147</v>
      </c>
      <c r="B2122" s="895" t="s">
        <v>147</v>
      </c>
      <c r="C2122" s="896"/>
      <c r="D2122" s="906" t="s">
        <v>190</v>
      </c>
      <c r="E2122" s="907">
        <f>GLOBAL_DER_FEV_2023!E2122</f>
        <v>308</v>
      </c>
      <c r="F2122" s="908">
        <f>GLOBAL_DER_FEV_2023!F2122</f>
        <v>0.19012209999999999</v>
      </c>
      <c r="G2122" s="909">
        <f>GLOBAL_DER_FEV_2023!G2122</f>
        <v>47.161688125999994</v>
      </c>
      <c r="H2122" s="901">
        <f>GLOBAL_DER_FEV_2023!H2122</f>
        <v>0</v>
      </c>
      <c r="I2122" s="901">
        <f>GLOBAL_DER_FEV_2023!I2122</f>
        <v>0</v>
      </c>
      <c r="J2122" s="902">
        <f>GLOBAL_DER_FEV_2023!J2122</f>
        <v>0</v>
      </c>
      <c r="K2122" s="903"/>
      <c r="L2122" s="1177"/>
      <c r="M2122" s="1138">
        <f t="shared" si="157"/>
        <v>0</v>
      </c>
      <c r="N2122" s="1176">
        <f t="shared" si="161"/>
        <v>0</v>
      </c>
      <c r="O2122" s="905"/>
      <c r="P2122" s="36" t="str">
        <f>IF(N2121&gt;0,"xx",IF(N2121&gt;0,"xy",""))</f>
        <v/>
      </c>
      <c r="Q2122" s="317" t="str">
        <f t="shared" si="158"/>
        <v/>
      </c>
      <c r="R2122" s="317" t="str">
        <f t="shared" si="159"/>
        <v/>
      </c>
      <c r="S2122" s="317" t="str">
        <f t="shared" si="160"/>
        <v/>
      </c>
      <c r="T2122" s="317" t="str">
        <f>GLOBAL_DER_FEV_2023!S2122</f>
        <v/>
      </c>
      <c r="W2122" s="582">
        <v>0</v>
      </c>
      <c r="X2122" s="580"/>
      <c r="Y2122" s="583">
        <f>IF(GLOBAL_DER_FEV_2023!W2122=0,0,IF(GLOBAL_DER_FEV_2023!W2122&gt;0,"c","b"))</f>
        <v>0</v>
      </c>
    </row>
    <row r="2123" spans="1:25" ht="15" hidden="1" customHeight="1" x14ac:dyDescent="0.2">
      <c r="A2123" s="317" t="s">
        <v>147</v>
      </c>
      <c r="B2123" s="895" t="s">
        <v>147</v>
      </c>
      <c r="C2123" s="896"/>
      <c r="D2123" s="906" t="s">
        <v>229</v>
      </c>
      <c r="E2123" s="907">
        <f>GLOBAL_DER_FEV_2023!E2123</f>
        <v>150</v>
      </c>
      <c r="F2123" s="908">
        <f>GLOBAL_DER_FEV_2023!F2123</f>
        <v>1.09957375</v>
      </c>
      <c r="G2123" s="949">
        <f>GLOBAL_DER_FEV_2023!G2123</f>
        <v>179.428444525</v>
      </c>
      <c r="H2123" s="901">
        <f>GLOBAL_DER_FEV_2023!H2123</f>
        <v>0</v>
      </c>
      <c r="I2123" s="901">
        <f>GLOBAL_DER_FEV_2023!I2123</f>
        <v>0</v>
      </c>
      <c r="J2123" s="902">
        <f>GLOBAL_DER_FEV_2023!J2123</f>
        <v>0</v>
      </c>
      <c r="K2123" s="903"/>
      <c r="L2123" s="1177"/>
      <c r="M2123" s="1138">
        <f t="shared" si="157"/>
        <v>0</v>
      </c>
      <c r="N2123" s="1176">
        <f t="shared" si="161"/>
        <v>0</v>
      </c>
      <c r="O2123" s="905"/>
      <c r="P2123" s="36" t="str">
        <f>IF(N2121&gt;0,"xx",IF(N2121&gt;0,"xy",""))</f>
        <v/>
      </c>
      <c r="Q2123" s="317" t="str">
        <f t="shared" si="158"/>
        <v/>
      </c>
      <c r="R2123" s="317" t="str">
        <f t="shared" si="159"/>
        <v/>
      </c>
      <c r="S2123" s="317" t="str">
        <f t="shared" si="160"/>
        <v/>
      </c>
      <c r="T2123" s="317" t="str">
        <f>GLOBAL_DER_FEV_2023!S2123</f>
        <v/>
      </c>
      <c r="W2123" s="582">
        <v>0</v>
      </c>
      <c r="X2123" s="580"/>
      <c r="Y2123" s="583">
        <f>IF(GLOBAL_DER_FEV_2023!W2123=0,0,IF(GLOBAL_DER_FEV_2023!W2123&gt;0,"c","b"))</f>
        <v>0</v>
      </c>
    </row>
    <row r="2124" spans="1:25" ht="15" hidden="1" customHeight="1" x14ac:dyDescent="0.2">
      <c r="A2124" s="317" t="s">
        <v>147</v>
      </c>
      <c r="B2124" s="895" t="s">
        <v>147</v>
      </c>
      <c r="C2124" s="896"/>
      <c r="D2124" s="906" t="s">
        <v>233</v>
      </c>
      <c r="E2124" s="907">
        <f>GLOBAL_DER_FEV_2023!E2124</f>
        <v>0.2</v>
      </c>
      <c r="F2124" s="908">
        <f>GLOBAL_DER_FEV_2023!F2124</f>
        <v>0.20424000000000003</v>
      </c>
      <c r="G2124" s="949">
        <f>GLOBAL_DER_FEV_2023!G2124</f>
        <v>0.59107056000000013</v>
      </c>
      <c r="H2124" s="901">
        <f>GLOBAL_DER_FEV_2023!H2124</f>
        <v>0</v>
      </c>
      <c r="I2124" s="901">
        <f>GLOBAL_DER_FEV_2023!I2124</f>
        <v>0</v>
      </c>
      <c r="J2124" s="902">
        <f>GLOBAL_DER_FEV_2023!J2124</f>
        <v>0</v>
      </c>
      <c r="K2124" s="903"/>
      <c r="L2124" s="1177"/>
      <c r="M2124" s="1138">
        <f t="shared" si="157"/>
        <v>0</v>
      </c>
      <c r="N2124" s="1176">
        <f t="shared" si="161"/>
        <v>0</v>
      </c>
      <c r="O2124" s="905"/>
      <c r="P2124" s="36" t="str">
        <f>IF(N2121&gt;0,"xx",IF(N2121&gt;0,"xy",""))</f>
        <v/>
      </c>
      <c r="Q2124" s="317" t="str">
        <f t="shared" si="158"/>
        <v/>
      </c>
      <c r="R2124" s="317" t="str">
        <f t="shared" si="159"/>
        <v/>
      </c>
      <c r="S2124" s="317" t="str">
        <f t="shared" si="160"/>
        <v/>
      </c>
      <c r="T2124" s="317" t="str">
        <f>GLOBAL_DER_FEV_2023!S2124</f>
        <v/>
      </c>
      <c r="W2124" s="582">
        <v>0</v>
      </c>
      <c r="X2124" s="580"/>
      <c r="Y2124" s="583">
        <f>IF(GLOBAL_DER_FEV_2023!W2124=0,0,IF(GLOBAL_DER_FEV_2023!W2124&gt;0,"c","b"))</f>
        <v>0</v>
      </c>
    </row>
    <row r="2125" spans="1:25" ht="15" hidden="1" customHeight="1" x14ac:dyDescent="0.2">
      <c r="A2125" s="317" t="s">
        <v>147</v>
      </c>
      <c r="B2125" s="895" t="s">
        <v>147</v>
      </c>
      <c r="C2125" s="896"/>
      <c r="D2125" s="906" t="s">
        <v>365</v>
      </c>
      <c r="E2125" s="907">
        <f>GLOBAL_DER_FEV_2023!E2125</f>
        <v>10</v>
      </c>
      <c r="F2125" s="908">
        <f>GLOBAL_DER_FEV_2023!F2125</f>
        <v>1.8358199999999998</v>
      </c>
      <c r="G2125" s="949">
        <f>GLOBAL_DER_FEV_2023!G2125</f>
        <v>24.5632716</v>
      </c>
      <c r="H2125" s="901">
        <f>GLOBAL_DER_FEV_2023!H2125</f>
        <v>0</v>
      </c>
      <c r="I2125" s="901">
        <f>GLOBAL_DER_FEV_2023!I2125</f>
        <v>0</v>
      </c>
      <c r="J2125" s="902">
        <f>GLOBAL_DER_FEV_2023!J2125</f>
        <v>0</v>
      </c>
      <c r="K2125" s="903"/>
      <c r="L2125" s="1177"/>
      <c r="M2125" s="1138">
        <f t="shared" si="157"/>
        <v>0</v>
      </c>
      <c r="N2125" s="1176">
        <f t="shared" si="161"/>
        <v>0</v>
      </c>
      <c r="O2125" s="905"/>
      <c r="P2125" s="36" t="str">
        <f>IF(N2121&gt;0,"xx",IF(N2121&gt;0,"xy",""))</f>
        <v/>
      </c>
      <c r="Q2125" s="317" t="str">
        <f t="shared" si="158"/>
        <v/>
      </c>
      <c r="R2125" s="317" t="str">
        <f t="shared" si="159"/>
        <v/>
      </c>
      <c r="S2125" s="317" t="str">
        <f t="shared" si="160"/>
        <v/>
      </c>
      <c r="T2125" s="317" t="str">
        <f>GLOBAL_DER_FEV_2023!S2125</f>
        <v/>
      </c>
      <c r="W2125" s="582">
        <v>0</v>
      </c>
      <c r="X2125" s="580"/>
      <c r="Y2125" s="583">
        <f>IF(GLOBAL_DER_FEV_2023!W2125=0,0,IF(GLOBAL_DER_FEV_2023!W2125&gt;0,"c","b"))</f>
        <v>0</v>
      </c>
    </row>
    <row r="2126" spans="1:25" ht="15" hidden="1" customHeight="1" x14ac:dyDescent="0.2">
      <c r="A2126" s="317" t="s">
        <v>147</v>
      </c>
      <c r="B2126" s="895" t="s">
        <v>147</v>
      </c>
      <c r="C2126" s="896"/>
      <c r="D2126" s="906" t="s">
        <v>366</v>
      </c>
      <c r="E2126" s="907">
        <f>GLOBAL_DER_FEV_2023!E2126</f>
        <v>353</v>
      </c>
      <c r="F2126" s="908">
        <f>GLOBAL_DER_FEV_2023!F2126</f>
        <v>6.1193999999999998E-2</v>
      </c>
      <c r="G2126" s="909">
        <f>GLOBAL_DER_FEV_2023!G2126</f>
        <v>17.32769304</v>
      </c>
      <c r="H2126" s="901">
        <f>GLOBAL_DER_FEV_2023!H2126</f>
        <v>0</v>
      </c>
      <c r="I2126" s="901">
        <f>GLOBAL_DER_FEV_2023!I2126</f>
        <v>0</v>
      </c>
      <c r="J2126" s="902">
        <f>GLOBAL_DER_FEV_2023!J2126</f>
        <v>0</v>
      </c>
      <c r="K2126" s="903"/>
      <c r="L2126" s="1177"/>
      <c r="M2126" s="1138">
        <f t="shared" si="157"/>
        <v>0</v>
      </c>
      <c r="N2126" s="1176">
        <f t="shared" si="161"/>
        <v>0</v>
      </c>
      <c r="O2126" s="905"/>
      <c r="P2126" s="36" t="str">
        <f>IF(N2121&gt;0,"xx",IF(N2121&gt;0,"xy",""))</f>
        <v/>
      </c>
      <c r="Q2126" s="317" t="str">
        <f t="shared" si="158"/>
        <v/>
      </c>
      <c r="R2126" s="317" t="str">
        <f t="shared" si="159"/>
        <v/>
      </c>
      <c r="S2126" s="317" t="str">
        <f t="shared" si="160"/>
        <v/>
      </c>
      <c r="T2126" s="317" t="str">
        <f>GLOBAL_DER_FEV_2023!S2126</f>
        <v/>
      </c>
      <c r="W2126" s="582">
        <v>0</v>
      </c>
      <c r="X2126" s="580"/>
      <c r="Y2126" s="583">
        <f>IF(GLOBAL_DER_FEV_2023!W2126=0,0,IF(GLOBAL_DER_FEV_2023!W2126&gt;0,"c","b"))</f>
        <v>0</v>
      </c>
    </row>
    <row r="2127" spans="1:25" ht="15" hidden="1" customHeight="1" x14ac:dyDescent="0.2">
      <c r="A2127" s="317" t="s">
        <v>95</v>
      </c>
      <c r="B2127" s="895" t="s">
        <v>95</v>
      </c>
      <c r="C2127" s="896" t="s">
        <v>184</v>
      </c>
      <c r="D2127" s="906" t="s">
        <v>367</v>
      </c>
      <c r="E2127" s="907">
        <f>GLOBAL_DER_FEV_2023!E2127</f>
        <v>0</v>
      </c>
      <c r="F2127" s="908">
        <f>GLOBAL_DER_FEV_2023!F2127</f>
        <v>0</v>
      </c>
      <c r="G2127" s="912">
        <f>GLOBAL_DER_FEV_2023!G2127</f>
        <v>318.93455128000005</v>
      </c>
      <c r="H2127" s="901">
        <f>GLOBAL_DER_FEV_2023!H2127</f>
        <v>1144.18</v>
      </c>
      <c r="I2127" s="901">
        <f>GLOBAL_DER_FEV_2023!I2127</f>
        <v>1463.1145512800001</v>
      </c>
      <c r="J2127" s="902">
        <f>GLOBAL_DER_FEV_2023!J2127</f>
        <v>1756.76</v>
      </c>
      <c r="K2127" s="903" t="s">
        <v>15</v>
      </c>
      <c r="L2127" s="1137"/>
      <c r="M2127" s="1138">
        <f t="shared" si="157"/>
        <v>0</v>
      </c>
      <c r="N2127" s="1176">
        <f t="shared" si="161"/>
        <v>0</v>
      </c>
      <c r="O2127" s="905"/>
      <c r="Q2127" s="317" t="str">
        <f t="shared" si="158"/>
        <v/>
      </c>
      <c r="R2127" s="317" t="str">
        <f t="shared" si="159"/>
        <v/>
      </c>
      <c r="S2127" s="317" t="str">
        <f t="shared" si="160"/>
        <v/>
      </c>
      <c r="T2127" s="317" t="str">
        <f>GLOBAL_DER_FEV_2023!S2127</f>
        <v/>
      </c>
      <c r="W2127" s="582">
        <v>0</v>
      </c>
      <c r="X2127" s="580"/>
      <c r="Y2127" s="583">
        <f>IF(GLOBAL_DER_FEV_2023!W2127=0,0,IF(GLOBAL_DER_FEV_2023!W2127&gt;0,"c","b"))</f>
        <v>0</v>
      </c>
    </row>
    <row r="2128" spans="1:25" ht="15" hidden="1" customHeight="1" x14ac:dyDescent="0.2">
      <c r="A2128" s="317" t="s">
        <v>147</v>
      </c>
      <c r="B2128" s="895" t="s">
        <v>147</v>
      </c>
      <c r="C2128" s="896"/>
      <c r="D2128" s="906" t="s">
        <v>190</v>
      </c>
      <c r="E2128" s="907">
        <f>GLOBAL_DER_FEV_2023!E2128</f>
        <v>308</v>
      </c>
      <c r="F2128" s="908">
        <f>GLOBAL_DER_FEV_2023!F2128</f>
        <v>0.43266000000000004</v>
      </c>
      <c r="G2128" s="909">
        <f>GLOBAL_DER_FEV_2023!G2128</f>
        <v>107.32563960000002</v>
      </c>
      <c r="H2128" s="901">
        <f>GLOBAL_DER_FEV_2023!H2128</f>
        <v>0</v>
      </c>
      <c r="I2128" s="901">
        <f>GLOBAL_DER_FEV_2023!I2128</f>
        <v>0</v>
      </c>
      <c r="J2128" s="902">
        <f>GLOBAL_DER_FEV_2023!J2128</f>
        <v>0</v>
      </c>
      <c r="K2128" s="903"/>
      <c r="L2128" s="1177"/>
      <c r="M2128" s="1138">
        <f t="shared" si="157"/>
        <v>0</v>
      </c>
      <c r="N2128" s="1176">
        <f t="shared" si="161"/>
        <v>0</v>
      </c>
      <c r="O2128" s="905"/>
      <c r="P2128" s="36" t="str">
        <f>IF(N2127&gt;0,"xx",IF(N2127&gt;0,"xy",""))</f>
        <v/>
      </c>
      <c r="Q2128" s="317" t="str">
        <f t="shared" si="158"/>
        <v/>
      </c>
      <c r="R2128" s="317" t="str">
        <f t="shared" si="159"/>
        <v/>
      </c>
      <c r="S2128" s="317" t="str">
        <f t="shared" si="160"/>
        <v/>
      </c>
      <c r="T2128" s="317" t="str">
        <f>GLOBAL_DER_FEV_2023!S2128</f>
        <v/>
      </c>
      <c r="W2128" s="582">
        <v>0</v>
      </c>
      <c r="X2128" s="580"/>
      <c r="Y2128" s="583">
        <f>IF(GLOBAL_DER_FEV_2023!W2128=0,0,IF(GLOBAL_DER_FEV_2023!W2128&gt;0,"c","b"))</f>
        <v>0</v>
      </c>
    </row>
    <row r="2129" spans="1:25" ht="15" hidden="1" customHeight="1" x14ac:dyDescent="0.2">
      <c r="A2129" s="317" t="s">
        <v>147</v>
      </c>
      <c r="B2129" s="895" t="s">
        <v>147</v>
      </c>
      <c r="C2129" s="896"/>
      <c r="D2129" s="906" t="s">
        <v>229</v>
      </c>
      <c r="E2129" s="907">
        <f>GLOBAL_DER_FEV_2023!E2129</f>
        <v>150</v>
      </c>
      <c r="F2129" s="908">
        <f>GLOBAL_DER_FEV_2023!F2129</f>
        <v>1.26997</v>
      </c>
      <c r="G2129" s="949">
        <f>GLOBAL_DER_FEV_2023!G2129</f>
        <v>207.23370460000001</v>
      </c>
      <c r="H2129" s="901">
        <f>GLOBAL_DER_FEV_2023!H2129</f>
        <v>0</v>
      </c>
      <c r="I2129" s="901">
        <f>GLOBAL_DER_FEV_2023!I2129</f>
        <v>0</v>
      </c>
      <c r="J2129" s="902">
        <f>GLOBAL_DER_FEV_2023!J2129</f>
        <v>0</v>
      </c>
      <c r="K2129" s="903"/>
      <c r="L2129" s="1177"/>
      <c r="M2129" s="1138">
        <f t="shared" si="157"/>
        <v>0</v>
      </c>
      <c r="N2129" s="1176">
        <f t="shared" si="161"/>
        <v>0</v>
      </c>
      <c r="O2129" s="905"/>
      <c r="P2129" s="36" t="str">
        <f>IF(N2127&gt;0,"xx",IF(N2127&gt;0,"xy",""))</f>
        <v/>
      </c>
      <c r="Q2129" s="317" t="str">
        <f t="shared" si="158"/>
        <v/>
      </c>
      <c r="R2129" s="317" t="str">
        <f t="shared" si="159"/>
        <v/>
      </c>
      <c r="S2129" s="317" t="str">
        <f t="shared" si="160"/>
        <v/>
      </c>
      <c r="T2129" s="317" t="str">
        <f>GLOBAL_DER_FEV_2023!S2129</f>
        <v/>
      </c>
      <c r="W2129" s="582">
        <v>0</v>
      </c>
      <c r="X2129" s="580"/>
      <c r="Y2129" s="583">
        <f>IF(GLOBAL_DER_FEV_2023!W2129=0,0,IF(GLOBAL_DER_FEV_2023!W2129&gt;0,"c","b"))</f>
        <v>0</v>
      </c>
    </row>
    <row r="2130" spans="1:25" ht="15" hidden="1" customHeight="1" x14ac:dyDescent="0.2">
      <c r="A2130" s="317" t="s">
        <v>147</v>
      </c>
      <c r="B2130" s="895" t="s">
        <v>147</v>
      </c>
      <c r="C2130" s="896"/>
      <c r="D2130" s="906" t="s">
        <v>233</v>
      </c>
      <c r="E2130" s="907">
        <f>GLOBAL_DER_FEV_2023!E2130</f>
        <v>0.2</v>
      </c>
      <c r="F2130" s="908">
        <f>GLOBAL_DER_FEV_2023!F2130</f>
        <v>1.5118200000000002</v>
      </c>
      <c r="G2130" s="949">
        <f>GLOBAL_DER_FEV_2023!G2130</f>
        <v>4.3752070800000009</v>
      </c>
      <c r="H2130" s="901">
        <f>GLOBAL_DER_FEV_2023!H2130</f>
        <v>0</v>
      </c>
      <c r="I2130" s="901">
        <f>GLOBAL_DER_FEV_2023!I2130</f>
        <v>0</v>
      </c>
      <c r="J2130" s="902">
        <f>GLOBAL_DER_FEV_2023!J2130</f>
        <v>0</v>
      </c>
      <c r="K2130" s="903"/>
      <c r="L2130" s="1177"/>
      <c r="M2130" s="1138">
        <f t="shared" ref="M2130:M2193" si="162">IF(L2130=0,0,ROUND(J2130,2))</f>
        <v>0</v>
      </c>
      <c r="N2130" s="1176">
        <f t="shared" si="161"/>
        <v>0</v>
      </c>
      <c r="O2130" s="905"/>
      <c r="P2130" s="36" t="str">
        <f>IF(N2127&gt;0,"xx",IF(N2127&gt;0,"xy",""))</f>
        <v/>
      </c>
      <c r="Q2130" s="317" t="str">
        <f t="shared" si="158"/>
        <v/>
      </c>
      <c r="R2130" s="317" t="str">
        <f t="shared" si="159"/>
        <v/>
      </c>
      <c r="S2130" s="317" t="str">
        <f t="shared" si="160"/>
        <v/>
      </c>
      <c r="T2130" s="317" t="str">
        <f>GLOBAL_DER_FEV_2023!S2130</f>
        <v/>
      </c>
      <c r="W2130" s="582">
        <v>0</v>
      </c>
      <c r="X2130" s="580"/>
      <c r="Y2130" s="583">
        <f>IF(GLOBAL_DER_FEV_2023!W2130=0,0,IF(GLOBAL_DER_FEV_2023!W2130&gt;0,"c","b"))</f>
        <v>0</v>
      </c>
    </row>
    <row r="2131" spans="1:25" ht="15" hidden="1" customHeight="1" x14ac:dyDescent="0.2">
      <c r="A2131" s="317" t="s">
        <v>96</v>
      </c>
      <c r="B2131" s="895" t="s">
        <v>96</v>
      </c>
      <c r="C2131" s="896" t="s">
        <v>184</v>
      </c>
      <c r="D2131" s="906" t="s">
        <v>368</v>
      </c>
      <c r="E2131" s="907">
        <f>GLOBAL_DER_FEV_2023!E2131</f>
        <v>0</v>
      </c>
      <c r="F2131" s="908">
        <f>GLOBAL_DER_FEV_2023!F2131</f>
        <v>0</v>
      </c>
      <c r="G2131" s="912">
        <f>GLOBAL_DER_FEV_2023!G2131</f>
        <v>396.60365487999997</v>
      </c>
      <c r="H2131" s="901">
        <f>GLOBAL_DER_FEV_2023!H2131</f>
        <v>1331.51</v>
      </c>
      <c r="I2131" s="901">
        <f>GLOBAL_DER_FEV_2023!I2131</f>
        <v>1728.11365488</v>
      </c>
      <c r="J2131" s="902">
        <f>GLOBAL_DER_FEV_2023!J2131</f>
        <v>2074.9499999999998</v>
      </c>
      <c r="K2131" s="903" t="s">
        <v>15</v>
      </c>
      <c r="L2131" s="1137"/>
      <c r="M2131" s="1138">
        <f t="shared" si="162"/>
        <v>0</v>
      </c>
      <c r="N2131" s="1176">
        <f t="shared" si="161"/>
        <v>0</v>
      </c>
      <c r="O2131" s="905"/>
      <c r="Q2131" s="317" t="str">
        <f t="shared" si="158"/>
        <v/>
      </c>
      <c r="R2131" s="317" t="str">
        <f t="shared" si="159"/>
        <v/>
      </c>
      <c r="S2131" s="317" t="str">
        <f t="shared" si="160"/>
        <v/>
      </c>
      <c r="T2131" s="317" t="str">
        <f>GLOBAL_DER_FEV_2023!S2131</f>
        <v/>
      </c>
      <c r="W2131" s="582">
        <v>0</v>
      </c>
      <c r="X2131" s="580"/>
      <c r="Y2131" s="583">
        <f>IF(GLOBAL_DER_FEV_2023!W2131=0,0,IF(GLOBAL_DER_FEV_2023!W2131&gt;0,"c","b"))</f>
        <v>0</v>
      </c>
    </row>
    <row r="2132" spans="1:25" ht="15" hidden="1" customHeight="1" x14ac:dyDescent="0.2">
      <c r="A2132" s="317" t="s">
        <v>147</v>
      </c>
      <c r="B2132" s="895" t="s">
        <v>147</v>
      </c>
      <c r="C2132" s="896"/>
      <c r="D2132" s="906" t="s">
        <v>190</v>
      </c>
      <c r="E2132" s="907">
        <f>GLOBAL_DER_FEV_2023!E2132</f>
        <v>308</v>
      </c>
      <c r="F2132" s="908">
        <f>GLOBAL_DER_FEV_2023!F2132</f>
        <v>0.54156000000000004</v>
      </c>
      <c r="G2132" s="909">
        <f>GLOBAL_DER_FEV_2023!G2132</f>
        <v>134.33937360000002</v>
      </c>
      <c r="H2132" s="901">
        <f>GLOBAL_DER_FEV_2023!H2132</f>
        <v>0</v>
      </c>
      <c r="I2132" s="901">
        <f>GLOBAL_DER_FEV_2023!I2132</f>
        <v>0</v>
      </c>
      <c r="J2132" s="902">
        <f>GLOBAL_DER_FEV_2023!J2132</f>
        <v>0</v>
      </c>
      <c r="K2132" s="903"/>
      <c r="L2132" s="1177"/>
      <c r="M2132" s="1138">
        <f t="shared" si="162"/>
        <v>0</v>
      </c>
      <c r="N2132" s="1176">
        <f t="shared" si="161"/>
        <v>0</v>
      </c>
      <c r="O2132" s="905"/>
      <c r="P2132" s="36" t="str">
        <f>IF(N2131&gt;0,"xx",IF(N2131&gt;0,"xy",""))</f>
        <v/>
      </c>
      <c r="Q2132" s="317" t="str">
        <f t="shared" si="158"/>
        <v/>
      </c>
      <c r="R2132" s="317" t="str">
        <f t="shared" si="159"/>
        <v/>
      </c>
      <c r="S2132" s="317" t="str">
        <f t="shared" si="160"/>
        <v/>
      </c>
      <c r="T2132" s="317" t="str">
        <f>GLOBAL_DER_FEV_2023!S2132</f>
        <v/>
      </c>
      <c r="W2132" s="582">
        <v>0</v>
      </c>
      <c r="X2132" s="580"/>
      <c r="Y2132" s="583">
        <f>IF(GLOBAL_DER_FEV_2023!W2132=0,0,IF(GLOBAL_DER_FEV_2023!W2132&gt;0,"c","b"))</f>
        <v>0</v>
      </c>
    </row>
    <row r="2133" spans="1:25" ht="15" hidden="1" customHeight="1" x14ac:dyDescent="0.2">
      <c r="A2133" s="317" t="s">
        <v>147</v>
      </c>
      <c r="B2133" s="895" t="s">
        <v>147</v>
      </c>
      <c r="C2133" s="896"/>
      <c r="D2133" s="906" t="s">
        <v>229</v>
      </c>
      <c r="E2133" s="907">
        <f>GLOBAL_DER_FEV_2023!E2133</f>
        <v>150</v>
      </c>
      <c r="F2133" s="908">
        <f>GLOBAL_DER_FEV_2023!F2133</f>
        <v>1.5739000000000001</v>
      </c>
      <c r="G2133" s="949">
        <f>GLOBAL_DER_FEV_2023!G2133</f>
        <v>256.829002</v>
      </c>
      <c r="H2133" s="901">
        <f>GLOBAL_DER_FEV_2023!H2133</f>
        <v>0</v>
      </c>
      <c r="I2133" s="901">
        <f>GLOBAL_DER_FEV_2023!I2133</f>
        <v>0</v>
      </c>
      <c r="J2133" s="902">
        <f>GLOBAL_DER_FEV_2023!J2133</f>
        <v>0</v>
      </c>
      <c r="K2133" s="903"/>
      <c r="L2133" s="1177"/>
      <c r="M2133" s="1138">
        <f t="shared" si="162"/>
        <v>0</v>
      </c>
      <c r="N2133" s="1176">
        <f t="shared" si="161"/>
        <v>0</v>
      </c>
      <c r="O2133" s="905"/>
      <c r="P2133" s="36" t="str">
        <f>IF(N2131&gt;0,"xx",IF(N2131&gt;0,"xy",""))</f>
        <v/>
      </c>
      <c r="Q2133" s="317" t="str">
        <f t="shared" si="158"/>
        <v/>
      </c>
      <c r="R2133" s="317" t="str">
        <f t="shared" si="159"/>
        <v/>
      </c>
      <c r="S2133" s="317" t="str">
        <f t="shared" si="160"/>
        <v/>
      </c>
      <c r="T2133" s="317" t="str">
        <f>GLOBAL_DER_FEV_2023!S2133</f>
        <v/>
      </c>
      <c r="W2133" s="582">
        <v>0</v>
      </c>
      <c r="X2133" s="580"/>
      <c r="Y2133" s="583">
        <f>IF(GLOBAL_DER_FEV_2023!W2133=0,0,IF(GLOBAL_DER_FEV_2023!W2133&gt;0,"c","b"))</f>
        <v>0</v>
      </c>
    </row>
    <row r="2134" spans="1:25" ht="15" hidden="1" customHeight="1" x14ac:dyDescent="0.2">
      <c r="A2134" s="317" t="s">
        <v>147</v>
      </c>
      <c r="B2134" s="895" t="s">
        <v>147</v>
      </c>
      <c r="C2134" s="896"/>
      <c r="D2134" s="906" t="s">
        <v>233</v>
      </c>
      <c r="E2134" s="907">
        <f>GLOBAL_DER_FEV_2023!E2134</f>
        <v>0.2</v>
      </c>
      <c r="F2134" s="908">
        <f>GLOBAL_DER_FEV_2023!F2134</f>
        <v>1.8781200000000002</v>
      </c>
      <c r="G2134" s="949">
        <f>GLOBAL_DER_FEV_2023!G2134</f>
        <v>5.4352792800000005</v>
      </c>
      <c r="H2134" s="901">
        <f>GLOBAL_DER_FEV_2023!H2134</f>
        <v>0</v>
      </c>
      <c r="I2134" s="901">
        <f>GLOBAL_DER_FEV_2023!I2134</f>
        <v>0</v>
      </c>
      <c r="J2134" s="902">
        <f>GLOBAL_DER_FEV_2023!J2134</f>
        <v>0</v>
      </c>
      <c r="K2134" s="903"/>
      <c r="L2134" s="1177"/>
      <c r="M2134" s="1138">
        <f t="shared" si="162"/>
        <v>0</v>
      </c>
      <c r="N2134" s="1176">
        <f t="shared" si="161"/>
        <v>0</v>
      </c>
      <c r="O2134" s="905"/>
      <c r="P2134" s="36" t="str">
        <f>IF(N2131&gt;0,"xx",IF(N2131&gt;0,"xy",""))</f>
        <v/>
      </c>
      <c r="Q2134" s="317" t="str">
        <f t="shared" si="158"/>
        <v/>
      </c>
      <c r="R2134" s="317" t="str">
        <f t="shared" si="159"/>
        <v/>
      </c>
      <c r="S2134" s="317" t="str">
        <f t="shared" si="160"/>
        <v/>
      </c>
      <c r="T2134" s="317" t="str">
        <f>GLOBAL_DER_FEV_2023!S2134</f>
        <v/>
      </c>
      <c r="W2134" s="582">
        <v>0</v>
      </c>
      <c r="X2134" s="580"/>
      <c r="Y2134" s="583">
        <f>IF(GLOBAL_DER_FEV_2023!W2134=0,0,IF(GLOBAL_DER_FEV_2023!W2134&gt;0,"c","b"))</f>
        <v>0</v>
      </c>
    </row>
    <row r="2135" spans="1:25" ht="15" hidden="1" customHeight="1" x14ac:dyDescent="0.2">
      <c r="A2135" s="317" t="s">
        <v>97</v>
      </c>
      <c r="B2135" s="895" t="s">
        <v>97</v>
      </c>
      <c r="C2135" s="896" t="s">
        <v>184</v>
      </c>
      <c r="D2135" s="906" t="s">
        <v>369</v>
      </c>
      <c r="E2135" s="907">
        <f>GLOBAL_DER_FEV_2023!E2135</f>
        <v>0</v>
      </c>
      <c r="F2135" s="908">
        <f>GLOBAL_DER_FEV_2023!F2135</f>
        <v>0</v>
      </c>
      <c r="G2135" s="912">
        <f>GLOBAL_DER_FEV_2023!G2135</f>
        <v>523.69855168000015</v>
      </c>
      <c r="H2135" s="901">
        <f>GLOBAL_DER_FEV_2023!H2135</f>
        <v>1638.59</v>
      </c>
      <c r="I2135" s="901">
        <f>GLOBAL_DER_FEV_2023!I2135</f>
        <v>2162.2885516800002</v>
      </c>
      <c r="J2135" s="902">
        <f>GLOBAL_DER_FEV_2023!J2135</f>
        <v>2596.2600000000002</v>
      </c>
      <c r="K2135" s="903" t="s">
        <v>15</v>
      </c>
      <c r="L2135" s="1137"/>
      <c r="M2135" s="1138">
        <f t="shared" si="162"/>
        <v>0</v>
      </c>
      <c r="N2135" s="1176">
        <f t="shared" si="161"/>
        <v>0</v>
      </c>
      <c r="O2135" s="905"/>
      <c r="Q2135" s="317" t="str">
        <f t="shared" si="158"/>
        <v/>
      </c>
      <c r="R2135" s="317" t="str">
        <f t="shared" si="159"/>
        <v/>
      </c>
      <c r="S2135" s="317" t="str">
        <f t="shared" si="160"/>
        <v/>
      </c>
      <c r="T2135" s="317" t="str">
        <f>GLOBAL_DER_FEV_2023!S2135</f>
        <v/>
      </c>
      <c r="W2135" s="582">
        <v>0</v>
      </c>
      <c r="X2135" s="580"/>
      <c r="Y2135" s="583">
        <f>IF(GLOBAL_DER_FEV_2023!W2135=0,0,IF(GLOBAL_DER_FEV_2023!W2135&gt;0,"c","b"))</f>
        <v>0</v>
      </c>
    </row>
    <row r="2136" spans="1:25" ht="15" hidden="1" customHeight="1" x14ac:dyDescent="0.2">
      <c r="A2136" s="317" t="s">
        <v>147</v>
      </c>
      <c r="B2136" s="895" t="s">
        <v>147</v>
      </c>
      <c r="C2136" s="896"/>
      <c r="D2136" s="906" t="s">
        <v>190</v>
      </c>
      <c r="E2136" s="907">
        <f>GLOBAL_DER_FEV_2023!E2136</f>
        <v>308</v>
      </c>
      <c r="F2136" s="908">
        <f>GLOBAL_DER_FEV_2023!F2136</f>
        <v>0.71976000000000007</v>
      </c>
      <c r="G2136" s="909">
        <f>GLOBAL_DER_FEV_2023!G2136</f>
        <v>178.54366560000003</v>
      </c>
      <c r="H2136" s="901">
        <f>GLOBAL_DER_FEV_2023!H2136</f>
        <v>0</v>
      </c>
      <c r="I2136" s="901">
        <f>GLOBAL_DER_FEV_2023!I2136</f>
        <v>0</v>
      </c>
      <c r="J2136" s="902">
        <f>GLOBAL_DER_FEV_2023!J2136</f>
        <v>0</v>
      </c>
      <c r="K2136" s="903"/>
      <c r="L2136" s="1177"/>
      <c r="M2136" s="1138">
        <f t="shared" si="162"/>
        <v>0</v>
      </c>
      <c r="N2136" s="1176">
        <f t="shared" si="161"/>
        <v>0</v>
      </c>
      <c r="O2136" s="905"/>
      <c r="P2136" s="36" t="str">
        <f>IF(N2135&gt;0,"xx",IF(N2135&gt;0,"xy",""))</f>
        <v/>
      </c>
      <c r="Q2136" s="317" t="str">
        <f t="shared" si="158"/>
        <v/>
      </c>
      <c r="R2136" s="317" t="str">
        <f t="shared" si="159"/>
        <v/>
      </c>
      <c r="S2136" s="317" t="str">
        <f t="shared" si="160"/>
        <v/>
      </c>
      <c r="T2136" s="317" t="str">
        <f>GLOBAL_DER_FEV_2023!S2136</f>
        <v/>
      </c>
      <c r="W2136" s="582">
        <v>0</v>
      </c>
      <c r="X2136" s="580"/>
      <c r="Y2136" s="583">
        <f>IF(GLOBAL_DER_FEV_2023!W2136=0,0,IF(GLOBAL_DER_FEV_2023!W2136&gt;0,"c","b"))</f>
        <v>0</v>
      </c>
    </row>
    <row r="2137" spans="1:25" ht="15" hidden="1" customHeight="1" x14ac:dyDescent="0.2">
      <c r="A2137" s="317" t="s">
        <v>147</v>
      </c>
      <c r="B2137" s="895" t="s">
        <v>147</v>
      </c>
      <c r="C2137" s="896"/>
      <c r="D2137" s="906" t="s">
        <v>229</v>
      </c>
      <c r="E2137" s="907">
        <f>GLOBAL_DER_FEV_2023!E2137</f>
        <v>150</v>
      </c>
      <c r="F2137" s="908">
        <f>GLOBAL_DER_FEV_2023!F2137</f>
        <v>2.0712400000000004</v>
      </c>
      <c r="G2137" s="949">
        <f>GLOBAL_DER_FEV_2023!G2137</f>
        <v>337.98494320000009</v>
      </c>
      <c r="H2137" s="901">
        <f>GLOBAL_DER_FEV_2023!H2137</f>
        <v>0</v>
      </c>
      <c r="I2137" s="901">
        <f>GLOBAL_DER_FEV_2023!I2137</f>
        <v>0</v>
      </c>
      <c r="J2137" s="902">
        <f>GLOBAL_DER_FEV_2023!J2137</f>
        <v>0</v>
      </c>
      <c r="K2137" s="903"/>
      <c r="L2137" s="1177"/>
      <c r="M2137" s="1138">
        <f t="shared" si="162"/>
        <v>0</v>
      </c>
      <c r="N2137" s="1176">
        <f t="shared" si="161"/>
        <v>0</v>
      </c>
      <c r="O2137" s="905"/>
      <c r="P2137" s="36" t="str">
        <f>IF(N2135&gt;0,"xx",IF(N2135&gt;0,"xy",""))</f>
        <v/>
      </c>
      <c r="Q2137" s="317" t="str">
        <f t="shared" si="158"/>
        <v/>
      </c>
      <c r="R2137" s="317" t="str">
        <f t="shared" si="159"/>
        <v/>
      </c>
      <c r="S2137" s="317" t="str">
        <f t="shared" si="160"/>
        <v/>
      </c>
      <c r="T2137" s="317" t="str">
        <f>GLOBAL_DER_FEV_2023!S2137</f>
        <v/>
      </c>
      <c r="W2137" s="582">
        <v>0</v>
      </c>
      <c r="X2137" s="580"/>
      <c r="Y2137" s="583">
        <f>IF(GLOBAL_DER_FEV_2023!W2137=0,0,IF(GLOBAL_DER_FEV_2023!W2137&gt;0,"c","b"))</f>
        <v>0</v>
      </c>
    </row>
    <row r="2138" spans="1:25" ht="15" hidden="1" customHeight="1" x14ac:dyDescent="0.2">
      <c r="A2138" s="317" t="s">
        <v>147</v>
      </c>
      <c r="B2138" s="895" t="s">
        <v>147</v>
      </c>
      <c r="C2138" s="896"/>
      <c r="D2138" s="906" t="s">
        <v>233</v>
      </c>
      <c r="E2138" s="907">
        <f>GLOBAL_DER_FEV_2023!E2138</f>
        <v>0.2</v>
      </c>
      <c r="F2138" s="908">
        <f>GLOBAL_DER_FEV_2023!F2138</f>
        <v>2.4775200000000002</v>
      </c>
      <c r="G2138" s="949">
        <f>GLOBAL_DER_FEV_2023!G2138</f>
        <v>7.1699428800000007</v>
      </c>
      <c r="H2138" s="901">
        <f>GLOBAL_DER_FEV_2023!H2138</f>
        <v>0</v>
      </c>
      <c r="I2138" s="901">
        <f>GLOBAL_DER_FEV_2023!I2138</f>
        <v>0</v>
      </c>
      <c r="J2138" s="902">
        <f>GLOBAL_DER_FEV_2023!J2138</f>
        <v>0</v>
      </c>
      <c r="K2138" s="903"/>
      <c r="L2138" s="1177"/>
      <c r="M2138" s="1138">
        <f t="shared" si="162"/>
        <v>0</v>
      </c>
      <c r="N2138" s="1176">
        <f t="shared" si="161"/>
        <v>0</v>
      </c>
      <c r="O2138" s="905"/>
      <c r="P2138" s="36" t="str">
        <f>IF(N2135&gt;0,"xx",IF(N2135&gt;0,"xy",""))</f>
        <v/>
      </c>
      <c r="Q2138" s="317" t="str">
        <f t="shared" si="158"/>
        <v/>
      </c>
      <c r="R2138" s="317" t="str">
        <f t="shared" si="159"/>
        <v/>
      </c>
      <c r="S2138" s="317" t="str">
        <f t="shared" si="160"/>
        <v/>
      </c>
      <c r="T2138" s="317" t="str">
        <f>GLOBAL_DER_FEV_2023!S2138</f>
        <v/>
      </c>
      <c r="W2138" s="582">
        <v>0</v>
      </c>
      <c r="X2138" s="580"/>
      <c r="Y2138" s="583">
        <f>IF(GLOBAL_DER_FEV_2023!W2138=0,0,IF(GLOBAL_DER_FEV_2023!W2138&gt;0,"c","b"))</f>
        <v>0</v>
      </c>
    </row>
    <row r="2139" spans="1:25" ht="15" hidden="1" customHeight="1" x14ac:dyDescent="0.2">
      <c r="A2139" s="317" t="s">
        <v>98</v>
      </c>
      <c r="B2139" s="895" t="s">
        <v>98</v>
      </c>
      <c r="C2139" s="896" t="s">
        <v>184</v>
      </c>
      <c r="D2139" s="906" t="s">
        <v>370</v>
      </c>
      <c r="E2139" s="907">
        <f>GLOBAL_DER_FEV_2023!E2139</f>
        <v>0</v>
      </c>
      <c r="F2139" s="908">
        <f>GLOBAL_DER_FEV_2023!F2139</f>
        <v>0</v>
      </c>
      <c r="G2139" s="912">
        <f>GLOBAL_DER_FEV_2023!G2139</f>
        <v>0</v>
      </c>
      <c r="H2139" s="901">
        <f>GLOBAL_DER_FEV_2023!H2139</f>
        <v>1950.71</v>
      </c>
      <c r="I2139" s="901">
        <f>GLOBAL_DER_FEV_2023!I2139</f>
        <v>1950.71</v>
      </c>
      <c r="J2139" s="902">
        <f>GLOBAL_DER_FEV_2023!J2139</f>
        <v>2342.2199999999998</v>
      </c>
      <c r="K2139" s="903" t="s">
        <v>15</v>
      </c>
      <c r="L2139" s="1137"/>
      <c r="M2139" s="1138">
        <f t="shared" si="162"/>
        <v>0</v>
      </c>
      <c r="N2139" s="1176">
        <f t="shared" si="161"/>
        <v>0</v>
      </c>
      <c r="O2139" s="905"/>
      <c r="Q2139" s="317" t="str">
        <f t="shared" ref="Q2139:Q2202" si="163">IF(P2139="X","x",IF(P2139="xx","x",IF(P2139="xy","x",IF(P2139="y","x",IF(OR(N2139&gt;0,N2139&gt;0),"x","")))))</f>
        <v/>
      </c>
      <c r="R2139" s="317" t="str">
        <f t="shared" si="159"/>
        <v/>
      </c>
      <c r="S2139" s="317" t="str">
        <f t="shared" si="160"/>
        <v/>
      </c>
      <c r="T2139" s="317" t="str">
        <f>GLOBAL_DER_FEV_2023!S2139</f>
        <v/>
      </c>
      <c r="W2139" s="582">
        <v>0</v>
      </c>
      <c r="X2139" s="580"/>
      <c r="Y2139" s="583">
        <f>IF(GLOBAL_DER_FEV_2023!W2139=0,0,IF(GLOBAL_DER_FEV_2023!W2139&gt;0,"c","b"))</f>
        <v>0</v>
      </c>
    </row>
    <row r="2140" spans="1:25" ht="15" hidden="1" customHeight="1" x14ac:dyDescent="0.2">
      <c r="A2140" s="317" t="s">
        <v>147</v>
      </c>
      <c r="B2140" s="895" t="s">
        <v>147</v>
      </c>
      <c r="C2140" s="896"/>
      <c r="D2140" s="906" t="s">
        <v>190</v>
      </c>
      <c r="E2140" s="907">
        <f>GLOBAL_DER_FEV_2023!E2140</f>
        <v>308</v>
      </c>
      <c r="F2140" s="908">
        <f>GLOBAL_DER_FEV_2023!F2140</f>
        <v>0.90125999999999995</v>
      </c>
      <c r="G2140" s="909">
        <f>GLOBAL_DER_FEV_2023!G2140</f>
        <v>223.56655559999999</v>
      </c>
      <c r="H2140" s="901">
        <f>GLOBAL_DER_FEV_2023!H2140</f>
        <v>0</v>
      </c>
      <c r="I2140" s="901">
        <f>GLOBAL_DER_FEV_2023!I2140</f>
        <v>0</v>
      </c>
      <c r="J2140" s="902">
        <f>GLOBAL_DER_FEV_2023!J2140</f>
        <v>0</v>
      </c>
      <c r="K2140" s="903"/>
      <c r="L2140" s="1177"/>
      <c r="M2140" s="1138">
        <f t="shared" si="162"/>
        <v>0</v>
      </c>
      <c r="N2140" s="1176">
        <f t="shared" si="161"/>
        <v>0</v>
      </c>
      <c r="O2140" s="905"/>
      <c r="P2140" s="36" t="str">
        <f>IF(N2139&gt;0,"xx",IF(N2139&gt;0,"xy",""))</f>
        <v/>
      </c>
      <c r="Q2140" s="317" t="str">
        <f t="shared" si="163"/>
        <v/>
      </c>
      <c r="R2140" s="317" t="str">
        <f t="shared" si="159"/>
        <v/>
      </c>
      <c r="S2140" s="317" t="str">
        <f t="shared" si="160"/>
        <v/>
      </c>
      <c r="T2140" s="317" t="str">
        <f>GLOBAL_DER_FEV_2023!S2140</f>
        <v/>
      </c>
      <c r="W2140" s="582">
        <v>0</v>
      </c>
      <c r="X2140" s="580"/>
      <c r="Y2140" s="583">
        <f>IF(GLOBAL_DER_FEV_2023!W2140=0,0,IF(GLOBAL_DER_FEV_2023!W2140&gt;0,"c","b"))</f>
        <v>0</v>
      </c>
    </row>
    <row r="2141" spans="1:25" ht="15" hidden="1" customHeight="1" x14ac:dyDescent="0.2">
      <c r="A2141" s="317" t="s">
        <v>147</v>
      </c>
      <c r="B2141" s="895" t="s">
        <v>147</v>
      </c>
      <c r="C2141" s="896"/>
      <c r="D2141" s="906" t="s">
        <v>229</v>
      </c>
      <c r="E2141" s="907">
        <f>GLOBAL_DER_FEV_2023!E2141</f>
        <v>150</v>
      </c>
      <c r="F2141" s="908">
        <f>GLOBAL_DER_FEV_2023!F2141</f>
        <v>2.5777900000000002</v>
      </c>
      <c r="G2141" s="949">
        <f>GLOBAL_DER_FEV_2023!G2141</f>
        <v>420.64377220000006</v>
      </c>
      <c r="H2141" s="901">
        <f>GLOBAL_DER_FEV_2023!H2141</f>
        <v>0</v>
      </c>
      <c r="I2141" s="901">
        <f>GLOBAL_DER_FEV_2023!I2141</f>
        <v>0</v>
      </c>
      <c r="J2141" s="902">
        <f>GLOBAL_DER_FEV_2023!J2141</f>
        <v>0</v>
      </c>
      <c r="K2141" s="903"/>
      <c r="L2141" s="1177"/>
      <c r="M2141" s="1138">
        <f t="shared" si="162"/>
        <v>0</v>
      </c>
      <c r="N2141" s="1176">
        <f t="shared" si="161"/>
        <v>0</v>
      </c>
      <c r="O2141" s="905"/>
      <c r="P2141" s="36" t="str">
        <f>IF(N2139&gt;0,"xx",IF(N2139&gt;0,"xy",""))</f>
        <v/>
      </c>
      <c r="Q2141" s="317" t="str">
        <f t="shared" si="163"/>
        <v/>
      </c>
      <c r="R2141" s="317" t="str">
        <f t="shared" ref="R2141:R2204" si="164">IF(P2141="X","x",IF(P2141="y","x",IF(P2141="xx","x",IF(N2141&gt;0,"x",""))))</f>
        <v/>
      </c>
      <c r="S2141" s="317" t="str">
        <f t="shared" ref="S2141:S2204" si="165">IF(P2141="X","x",IF(N2141&gt;0,"x",""))</f>
        <v/>
      </c>
      <c r="T2141" s="317" t="str">
        <f>GLOBAL_DER_FEV_2023!S2141</f>
        <v/>
      </c>
      <c r="W2141" s="582">
        <v>0</v>
      </c>
      <c r="X2141" s="580"/>
      <c r="Y2141" s="583">
        <f>IF(GLOBAL_DER_FEV_2023!W2141=0,0,IF(GLOBAL_DER_FEV_2023!W2141&gt;0,"c","b"))</f>
        <v>0</v>
      </c>
    </row>
    <row r="2142" spans="1:25" ht="15" hidden="1" customHeight="1" x14ac:dyDescent="0.2">
      <c r="A2142" s="317" t="s">
        <v>147</v>
      </c>
      <c r="B2142" s="895" t="s">
        <v>147</v>
      </c>
      <c r="C2142" s="896"/>
      <c r="D2142" s="906" t="s">
        <v>233</v>
      </c>
      <c r="E2142" s="907">
        <f>GLOBAL_DER_FEV_2023!E2142</f>
        <v>0.2</v>
      </c>
      <c r="F2142" s="908">
        <f>GLOBAL_DER_FEV_2023!F2142</f>
        <v>3.0880200000000002</v>
      </c>
      <c r="G2142" s="949">
        <f>GLOBAL_DER_FEV_2023!G2142</f>
        <v>8.9367298800000015</v>
      </c>
      <c r="H2142" s="901">
        <f>GLOBAL_DER_FEV_2023!H2142</f>
        <v>0</v>
      </c>
      <c r="I2142" s="901">
        <f>GLOBAL_DER_FEV_2023!I2142</f>
        <v>0</v>
      </c>
      <c r="J2142" s="902">
        <f>GLOBAL_DER_FEV_2023!J2142</f>
        <v>0</v>
      </c>
      <c r="K2142" s="903"/>
      <c r="L2142" s="1177"/>
      <c r="M2142" s="1138">
        <f t="shared" si="162"/>
        <v>0</v>
      </c>
      <c r="N2142" s="1176">
        <f t="shared" si="161"/>
        <v>0</v>
      </c>
      <c r="O2142" s="905"/>
      <c r="P2142" s="36" t="str">
        <f>IF(N2139&gt;0,"xx",IF(N2139&gt;0,"xy",""))</f>
        <v/>
      </c>
      <c r="Q2142" s="317" t="str">
        <f t="shared" si="163"/>
        <v/>
      </c>
      <c r="R2142" s="317" t="str">
        <f t="shared" si="164"/>
        <v/>
      </c>
      <c r="S2142" s="317" t="str">
        <f t="shared" si="165"/>
        <v/>
      </c>
      <c r="T2142" s="317" t="str">
        <f>GLOBAL_DER_FEV_2023!S2142</f>
        <v/>
      </c>
      <c r="W2142" s="582">
        <v>0</v>
      </c>
      <c r="X2142" s="580"/>
      <c r="Y2142" s="583">
        <f>IF(GLOBAL_DER_FEV_2023!W2142=0,0,IF(GLOBAL_DER_FEV_2023!W2142&gt;0,"c","b"))</f>
        <v>0</v>
      </c>
    </row>
    <row r="2143" spans="1:25" ht="15" hidden="1" customHeight="1" x14ac:dyDescent="0.2">
      <c r="A2143" s="317" t="s">
        <v>21</v>
      </c>
      <c r="B2143" s="895" t="s">
        <v>21</v>
      </c>
      <c r="C2143" s="896" t="s">
        <v>184</v>
      </c>
      <c r="D2143" s="906" t="s">
        <v>90</v>
      </c>
      <c r="E2143" s="907">
        <f>GLOBAL_DER_FEV_2023!E2143</f>
        <v>0</v>
      </c>
      <c r="F2143" s="908">
        <f>GLOBAL_DER_FEV_2023!F2143</f>
        <v>0</v>
      </c>
      <c r="G2143" s="912">
        <f>GLOBAL_DER_FEV_2023!G2143</f>
        <v>151.22964344000002</v>
      </c>
      <c r="H2143" s="901">
        <f>GLOBAL_DER_FEV_2023!H2143</f>
        <v>1946.06</v>
      </c>
      <c r="I2143" s="901">
        <f>GLOBAL_DER_FEV_2023!I2143</f>
        <v>2097.28964344</v>
      </c>
      <c r="J2143" s="902">
        <f>GLOBAL_DER_FEV_2023!J2143</f>
        <v>2518.2199999999998</v>
      </c>
      <c r="K2143" s="903" t="s">
        <v>15</v>
      </c>
      <c r="L2143" s="1137"/>
      <c r="M2143" s="1138">
        <f t="shared" si="162"/>
        <v>0</v>
      </c>
      <c r="N2143" s="1176">
        <f t="shared" si="161"/>
        <v>0</v>
      </c>
      <c r="O2143" s="905"/>
      <c r="Q2143" s="317" t="str">
        <f t="shared" si="163"/>
        <v/>
      </c>
      <c r="R2143" s="317" t="str">
        <f t="shared" si="164"/>
        <v/>
      </c>
      <c r="S2143" s="317" t="str">
        <f t="shared" si="165"/>
        <v/>
      </c>
      <c r="T2143" s="317" t="str">
        <f>GLOBAL_DER_FEV_2023!S2143</f>
        <v/>
      </c>
      <c r="W2143" s="582">
        <v>0</v>
      </c>
      <c r="X2143" s="580"/>
      <c r="Y2143" s="583">
        <f>IF(GLOBAL_DER_FEV_2023!W2143=0,0,IF(GLOBAL_DER_FEV_2023!W2143&gt;0,"c","b"))</f>
        <v>0</v>
      </c>
    </row>
    <row r="2144" spans="1:25" ht="15" hidden="1" customHeight="1" x14ac:dyDescent="0.2">
      <c r="A2144" s="317" t="s">
        <v>147</v>
      </c>
      <c r="B2144" s="895" t="s">
        <v>147</v>
      </c>
      <c r="C2144" s="896"/>
      <c r="D2144" s="906" t="s">
        <v>190</v>
      </c>
      <c r="E2144" s="907">
        <f>GLOBAL_DER_FEV_2023!E2144</f>
        <v>308</v>
      </c>
      <c r="F2144" s="908">
        <f>GLOBAL_DER_FEV_2023!F2144</f>
        <v>0.20478000000000002</v>
      </c>
      <c r="G2144" s="909">
        <f>GLOBAL_DER_FEV_2023!G2144</f>
        <v>50.797726800000007</v>
      </c>
      <c r="H2144" s="901">
        <f>GLOBAL_DER_FEV_2023!H2144</f>
        <v>0</v>
      </c>
      <c r="I2144" s="901">
        <f>GLOBAL_DER_FEV_2023!I2144</f>
        <v>0</v>
      </c>
      <c r="J2144" s="902">
        <f>GLOBAL_DER_FEV_2023!J2144</f>
        <v>0</v>
      </c>
      <c r="K2144" s="903"/>
      <c r="L2144" s="1177"/>
      <c r="M2144" s="1138">
        <f t="shared" si="162"/>
        <v>0</v>
      </c>
      <c r="N2144" s="1176">
        <f t="shared" si="161"/>
        <v>0</v>
      </c>
      <c r="O2144" s="905"/>
      <c r="P2144" s="36" t="str">
        <f>IF(N2143&gt;0,"xx",IF(N2143&gt;0,"xy",""))</f>
        <v/>
      </c>
      <c r="Q2144" s="317" t="str">
        <f t="shared" si="163"/>
        <v/>
      </c>
      <c r="R2144" s="317" t="str">
        <f t="shared" si="164"/>
        <v/>
      </c>
      <c r="S2144" s="317" t="str">
        <f t="shared" si="165"/>
        <v/>
      </c>
      <c r="T2144" s="317" t="str">
        <f>GLOBAL_DER_FEV_2023!S2144</f>
        <v/>
      </c>
      <c r="W2144" s="582">
        <v>0</v>
      </c>
      <c r="X2144" s="580"/>
      <c r="Y2144" s="583">
        <f>IF(GLOBAL_DER_FEV_2023!W2144=0,0,IF(GLOBAL_DER_FEV_2023!W2144&gt;0,"c","b"))</f>
        <v>0</v>
      </c>
    </row>
    <row r="2145" spans="1:25" ht="15" hidden="1" customHeight="1" x14ac:dyDescent="0.2">
      <c r="A2145" s="317" t="s">
        <v>147</v>
      </c>
      <c r="B2145" s="895" t="s">
        <v>147</v>
      </c>
      <c r="C2145" s="896"/>
      <c r="D2145" s="906" t="s">
        <v>229</v>
      </c>
      <c r="E2145" s="907">
        <f>GLOBAL_DER_FEV_2023!E2145</f>
        <v>150</v>
      </c>
      <c r="F2145" s="908">
        <f>GLOBAL_DER_FEV_2023!F2145</f>
        <v>0.60275000000000001</v>
      </c>
      <c r="G2145" s="949">
        <f>GLOBAL_DER_FEV_2023!G2145</f>
        <v>98.356745000000004</v>
      </c>
      <c r="H2145" s="901">
        <f>GLOBAL_DER_FEV_2023!H2145</f>
        <v>0</v>
      </c>
      <c r="I2145" s="901">
        <f>GLOBAL_DER_FEV_2023!I2145</f>
        <v>0</v>
      </c>
      <c r="J2145" s="902">
        <f>GLOBAL_DER_FEV_2023!J2145</f>
        <v>0</v>
      </c>
      <c r="K2145" s="903"/>
      <c r="L2145" s="1177"/>
      <c r="M2145" s="1138">
        <f t="shared" si="162"/>
        <v>0</v>
      </c>
      <c r="N2145" s="1176">
        <f t="shared" ref="N2145:N2208" si="166">IF(ISBLANK(L2145),0,IF(W2145=0,ROUND(L2145*M2145,2),IF(W2145="b",ROUNDDOWN(L2145*M2145,2),ROUNDUP(L2145*M2145,2))))</f>
        <v>0</v>
      </c>
      <c r="O2145" s="905"/>
      <c r="P2145" s="36" t="str">
        <f>IF(N2143&gt;0,"xx",IF(N2143&gt;0,"xy",""))</f>
        <v/>
      </c>
      <c r="Q2145" s="317" t="str">
        <f t="shared" si="163"/>
        <v/>
      </c>
      <c r="R2145" s="317" t="str">
        <f t="shared" si="164"/>
        <v/>
      </c>
      <c r="S2145" s="317" t="str">
        <f t="shared" si="165"/>
        <v/>
      </c>
      <c r="T2145" s="317" t="str">
        <f>GLOBAL_DER_FEV_2023!S2145</f>
        <v/>
      </c>
      <c r="W2145" s="582">
        <v>0</v>
      </c>
      <c r="X2145" s="580"/>
      <c r="Y2145" s="583">
        <f>IF(GLOBAL_DER_FEV_2023!W2145=0,0,IF(GLOBAL_DER_FEV_2023!W2145&gt;0,"c","b"))</f>
        <v>0</v>
      </c>
    </row>
    <row r="2146" spans="1:25" ht="15" hidden="1" customHeight="1" x14ac:dyDescent="0.2">
      <c r="A2146" s="317" t="s">
        <v>147</v>
      </c>
      <c r="B2146" s="895" t="s">
        <v>147</v>
      </c>
      <c r="C2146" s="896"/>
      <c r="D2146" s="906" t="s">
        <v>233</v>
      </c>
      <c r="E2146" s="907">
        <f>GLOBAL_DER_FEV_2023!E2146</f>
        <v>0.2</v>
      </c>
      <c r="F2146" s="908">
        <f>GLOBAL_DER_FEV_2023!F2146</f>
        <v>0.71706000000000003</v>
      </c>
      <c r="G2146" s="949">
        <f>GLOBAL_DER_FEV_2023!G2146</f>
        <v>2.0751716400000002</v>
      </c>
      <c r="H2146" s="901">
        <f>GLOBAL_DER_FEV_2023!H2146</f>
        <v>0</v>
      </c>
      <c r="I2146" s="901">
        <f>GLOBAL_DER_FEV_2023!I2146</f>
        <v>0</v>
      </c>
      <c r="J2146" s="902">
        <f>GLOBAL_DER_FEV_2023!J2146</f>
        <v>0</v>
      </c>
      <c r="K2146" s="903"/>
      <c r="L2146" s="1177"/>
      <c r="M2146" s="1138">
        <f t="shared" si="162"/>
        <v>0</v>
      </c>
      <c r="N2146" s="1176">
        <f t="shared" si="166"/>
        <v>0</v>
      </c>
      <c r="O2146" s="905"/>
      <c r="P2146" s="36" t="str">
        <f>IF(N2143&gt;0,"xx",IF(N2143&gt;0,"xy",""))</f>
        <v/>
      </c>
      <c r="Q2146" s="317" t="str">
        <f t="shared" si="163"/>
        <v/>
      </c>
      <c r="R2146" s="317" t="str">
        <f t="shared" si="164"/>
        <v/>
      </c>
      <c r="S2146" s="317" t="str">
        <f t="shared" si="165"/>
        <v/>
      </c>
      <c r="T2146" s="317" t="str">
        <f>GLOBAL_DER_FEV_2023!S2146</f>
        <v/>
      </c>
      <c r="W2146" s="582">
        <v>0</v>
      </c>
      <c r="X2146" s="580"/>
      <c r="Y2146" s="583">
        <f>IF(GLOBAL_DER_FEV_2023!W2146=0,0,IF(GLOBAL_DER_FEV_2023!W2146&gt;0,"c","b"))</f>
        <v>0</v>
      </c>
    </row>
    <row r="2147" spans="1:25" ht="15" hidden="1" customHeight="1" x14ac:dyDescent="0.2">
      <c r="A2147" s="317" t="s">
        <v>22</v>
      </c>
      <c r="B2147" s="895" t="s">
        <v>22</v>
      </c>
      <c r="C2147" s="896" t="s">
        <v>184</v>
      </c>
      <c r="D2147" s="906" t="s">
        <v>87</v>
      </c>
      <c r="E2147" s="907">
        <f>GLOBAL_DER_FEV_2023!E2147</f>
        <v>0</v>
      </c>
      <c r="F2147" s="908">
        <f>GLOBAL_DER_FEV_2023!F2147</f>
        <v>0</v>
      </c>
      <c r="G2147" s="912">
        <f>GLOBAL_DER_FEV_2023!G2147</f>
        <v>188.88739064000001</v>
      </c>
      <c r="H2147" s="901">
        <f>GLOBAL_DER_FEV_2023!H2147</f>
        <v>2350.13</v>
      </c>
      <c r="I2147" s="901">
        <f>GLOBAL_DER_FEV_2023!I2147</f>
        <v>2539.01739064</v>
      </c>
      <c r="J2147" s="902">
        <f>GLOBAL_DER_FEV_2023!J2147</f>
        <v>3048.6</v>
      </c>
      <c r="K2147" s="903" t="s">
        <v>15</v>
      </c>
      <c r="L2147" s="1137"/>
      <c r="M2147" s="1138">
        <f t="shared" si="162"/>
        <v>0</v>
      </c>
      <c r="N2147" s="1176">
        <f t="shared" si="166"/>
        <v>0</v>
      </c>
      <c r="O2147" s="905"/>
      <c r="Q2147" s="317" t="str">
        <f t="shared" si="163"/>
        <v/>
      </c>
      <c r="R2147" s="317" t="str">
        <f t="shared" si="164"/>
        <v/>
      </c>
      <c r="S2147" s="317" t="str">
        <f t="shared" si="165"/>
        <v/>
      </c>
      <c r="T2147" s="317" t="str">
        <f>GLOBAL_DER_FEV_2023!S2147</f>
        <v/>
      </c>
      <c r="W2147" s="582">
        <v>0</v>
      </c>
      <c r="X2147" s="580"/>
      <c r="Y2147" s="583">
        <f>IF(GLOBAL_DER_FEV_2023!W2147=0,0,IF(GLOBAL_DER_FEV_2023!W2147&gt;0,"c","b"))</f>
        <v>0</v>
      </c>
    </row>
    <row r="2148" spans="1:25" ht="15" hidden="1" customHeight="1" x14ac:dyDescent="0.2">
      <c r="A2148" s="317" t="s">
        <v>147</v>
      </c>
      <c r="B2148" s="895" t="s">
        <v>147</v>
      </c>
      <c r="C2148" s="896"/>
      <c r="D2148" s="906" t="s">
        <v>190</v>
      </c>
      <c r="E2148" s="907">
        <f>GLOBAL_DER_FEV_2023!E2148</f>
        <v>308</v>
      </c>
      <c r="F2148" s="908">
        <f>GLOBAL_DER_FEV_2023!F2148</f>
        <v>0.25757999999999998</v>
      </c>
      <c r="G2148" s="909">
        <f>GLOBAL_DER_FEV_2023!G2148</f>
        <v>63.895294799999995</v>
      </c>
      <c r="H2148" s="901">
        <f>GLOBAL_DER_FEV_2023!H2148</f>
        <v>0</v>
      </c>
      <c r="I2148" s="901">
        <f>GLOBAL_DER_FEV_2023!I2148</f>
        <v>0</v>
      </c>
      <c r="J2148" s="902">
        <f>GLOBAL_DER_FEV_2023!J2148</f>
        <v>0</v>
      </c>
      <c r="K2148" s="903"/>
      <c r="L2148" s="1177"/>
      <c r="M2148" s="1138">
        <f t="shared" si="162"/>
        <v>0</v>
      </c>
      <c r="N2148" s="1176">
        <f t="shared" si="166"/>
        <v>0</v>
      </c>
      <c r="O2148" s="905"/>
      <c r="P2148" s="36" t="str">
        <f>IF(N2147&gt;0,"xx",IF(N2147&gt;0,"xy",""))</f>
        <v/>
      </c>
      <c r="Q2148" s="317" t="str">
        <f t="shared" si="163"/>
        <v/>
      </c>
      <c r="R2148" s="317" t="str">
        <f t="shared" si="164"/>
        <v/>
      </c>
      <c r="S2148" s="317" t="str">
        <f t="shared" si="165"/>
        <v/>
      </c>
      <c r="T2148" s="317" t="str">
        <f>GLOBAL_DER_FEV_2023!S2148</f>
        <v/>
      </c>
      <c r="W2148" s="582">
        <v>0</v>
      </c>
      <c r="X2148" s="580"/>
      <c r="Y2148" s="583">
        <f>IF(GLOBAL_DER_FEV_2023!W2148=0,0,IF(GLOBAL_DER_FEV_2023!W2148&gt;0,"c","b"))</f>
        <v>0</v>
      </c>
    </row>
    <row r="2149" spans="1:25" ht="15" hidden="1" customHeight="1" x14ac:dyDescent="0.2">
      <c r="A2149" s="317" t="s">
        <v>147</v>
      </c>
      <c r="B2149" s="895" t="s">
        <v>147</v>
      </c>
      <c r="C2149" s="896"/>
      <c r="D2149" s="906" t="s">
        <v>229</v>
      </c>
      <c r="E2149" s="907">
        <f>GLOBAL_DER_FEV_2023!E2149</f>
        <v>150</v>
      </c>
      <c r="F2149" s="908">
        <f>GLOBAL_DER_FEV_2023!F2149</f>
        <v>0.75010999999999994</v>
      </c>
      <c r="G2149" s="949">
        <f>GLOBAL_DER_FEV_2023!G2149</f>
        <v>122.4029498</v>
      </c>
      <c r="H2149" s="901">
        <f>GLOBAL_DER_FEV_2023!H2149</f>
        <v>0</v>
      </c>
      <c r="I2149" s="901">
        <f>GLOBAL_DER_FEV_2023!I2149</f>
        <v>0</v>
      </c>
      <c r="J2149" s="902">
        <f>GLOBAL_DER_FEV_2023!J2149</f>
        <v>0</v>
      </c>
      <c r="K2149" s="903"/>
      <c r="L2149" s="1177"/>
      <c r="M2149" s="1138">
        <f t="shared" si="162"/>
        <v>0</v>
      </c>
      <c r="N2149" s="1176">
        <f t="shared" si="166"/>
        <v>0</v>
      </c>
      <c r="O2149" s="905"/>
      <c r="P2149" s="36" t="str">
        <f>IF(N2147&gt;0,"xx",IF(N2147&gt;0,"xy",""))</f>
        <v/>
      </c>
      <c r="Q2149" s="317" t="str">
        <f t="shared" si="163"/>
        <v/>
      </c>
      <c r="R2149" s="317" t="str">
        <f t="shared" si="164"/>
        <v/>
      </c>
      <c r="S2149" s="317" t="str">
        <f t="shared" si="165"/>
        <v/>
      </c>
      <c r="T2149" s="317" t="str">
        <f>GLOBAL_DER_FEV_2023!S2149</f>
        <v/>
      </c>
      <c r="W2149" s="582">
        <v>0</v>
      </c>
      <c r="X2149" s="580"/>
      <c r="Y2149" s="583">
        <f>IF(GLOBAL_DER_FEV_2023!W2149=0,0,IF(GLOBAL_DER_FEV_2023!W2149&gt;0,"c","b"))</f>
        <v>0</v>
      </c>
    </row>
    <row r="2150" spans="1:25" ht="15" hidden="1" customHeight="1" x14ac:dyDescent="0.2">
      <c r="A2150" s="317" t="s">
        <v>147</v>
      </c>
      <c r="B2150" s="895" t="s">
        <v>147</v>
      </c>
      <c r="C2150" s="896"/>
      <c r="D2150" s="906" t="s">
        <v>233</v>
      </c>
      <c r="E2150" s="907">
        <f>GLOBAL_DER_FEV_2023!E2150</f>
        <v>0.2</v>
      </c>
      <c r="F2150" s="908">
        <f>GLOBAL_DER_FEV_2023!F2150</f>
        <v>0.89466000000000001</v>
      </c>
      <c r="G2150" s="949">
        <f>GLOBAL_DER_FEV_2023!G2150</f>
        <v>2.5891460400000001</v>
      </c>
      <c r="H2150" s="901">
        <f>GLOBAL_DER_FEV_2023!H2150</f>
        <v>0</v>
      </c>
      <c r="I2150" s="901">
        <f>GLOBAL_DER_FEV_2023!I2150</f>
        <v>0</v>
      </c>
      <c r="J2150" s="902">
        <f>GLOBAL_DER_FEV_2023!J2150</f>
        <v>0</v>
      </c>
      <c r="K2150" s="903"/>
      <c r="L2150" s="1177"/>
      <c r="M2150" s="1138">
        <f t="shared" si="162"/>
        <v>0</v>
      </c>
      <c r="N2150" s="1176">
        <f t="shared" si="166"/>
        <v>0</v>
      </c>
      <c r="O2150" s="905"/>
      <c r="P2150" s="36" t="str">
        <f>IF(N2147&gt;0,"xx",IF(N2147&gt;0,"xy",""))</f>
        <v/>
      </c>
      <c r="Q2150" s="317" t="str">
        <f t="shared" si="163"/>
        <v/>
      </c>
      <c r="R2150" s="317" t="str">
        <f t="shared" si="164"/>
        <v/>
      </c>
      <c r="S2150" s="317" t="str">
        <f t="shared" si="165"/>
        <v/>
      </c>
      <c r="T2150" s="317" t="str">
        <f>GLOBAL_DER_FEV_2023!S2150</f>
        <v/>
      </c>
      <c r="W2150" s="582">
        <v>0</v>
      </c>
      <c r="X2150" s="580"/>
      <c r="Y2150" s="583">
        <f>IF(GLOBAL_DER_FEV_2023!W2150=0,0,IF(GLOBAL_DER_FEV_2023!W2150&gt;0,"c","b"))</f>
        <v>0</v>
      </c>
    </row>
    <row r="2151" spans="1:25" ht="15" hidden="1" customHeight="1" x14ac:dyDescent="0.2">
      <c r="A2151" s="317" t="s">
        <v>23</v>
      </c>
      <c r="B2151" s="895" t="s">
        <v>23</v>
      </c>
      <c r="C2151" s="896" t="s">
        <v>184</v>
      </c>
      <c r="D2151" s="906" t="s">
        <v>88</v>
      </c>
      <c r="E2151" s="907">
        <f>GLOBAL_DER_FEV_2023!E2151</f>
        <v>0</v>
      </c>
      <c r="F2151" s="908">
        <f>GLOBAL_DER_FEV_2023!F2151</f>
        <v>0</v>
      </c>
      <c r="G2151" s="912">
        <f>GLOBAL_DER_FEV_2023!G2151</f>
        <v>250.08122984000002</v>
      </c>
      <c r="H2151" s="901">
        <f>GLOBAL_DER_FEV_2023!H2151</f>
        <v>2551.63</v>
      </c>
      <c r="I2151" s="901">
        <f>GLOBAL_DER_FEV_2023!I2151</f>
        <v>2801.7112298400002</v>
      </c>
      <c r="J2151" s="902">
        <f>GLOBAL_DER_FEV_2023!J2151</f>
        <v>3364.01</v>
      </c>
      <c r="K2151" s="903" t="s">
        <v>15</v>
      </c>
      <c r="L2151" s="1137"/>
      <c r="M2151" s="1138">
        <f t="shared" si="162"/>
        <v>0</v>
      </c>
      <c r="N2151" s="1176">
        <f t="shared" si="166"/>
        <v>0</v>
      </c>
      <c r="O2151" s="905"/>
      <c r="Q2151" s="317" t="str">
        <f t="shared" si="163"/>
        <v/>
      </c>
      <c r="R2151" s="317" t="str">
        <f t="shared" si="164"/>
        <v/>
      </c>
      <c r="S2151" s="317" t="str">
        <f t="shared" si="165"/>
        <v/>
      </c>
      <c r="T2151" s="317" t="str">
        <f>GLOBAL_DER_FEV_2023!S2151</f>
        <v/>
      </c>
      <c r="W2151" s="582">
        <v>0</v>
      </c>
      <c r="X2151" s="580"/>
      <c r="Y2151" s="583">
        <f>IF(GLOBAL_DER_FEV_2023!W2151=0,0,IF(GLOBAL_DER_FEV_2023!W2151&gt;0,"c","b"))</f>
        <v>0</v>
      </c>
    </row>
    <row r="2152" spans="1:25" ht="15" hidden="1" customHeight="1" x14ac:dyDescent="0.2">
      <c r="A2152" s="317" t="s">
        <v>147</v>
      </c>
      <c r="B2152" s="895" t="s">
        <v>147</v>
      </c>
      <c r="C2152" s="896"/>
      <c r="D2152" s="906" t="s">
        <v>190</v>
      </c>
      <c r="E2152" s="907">
        <f>GLOBAL_DER_FEV_2023!E2152</f>
        <v>308</v>
      </c>
      <c r="F2152" s="908">
        <f>GLOBAL_DER_FEV_2023!F2152</f>
        <v>0.34338000000000002</v>
      </c>
      <c r="G2152" s="909">
        <f>GLOBAL_DER_FEV_2023!G2152</f>
        <v>85.178842800000012</v>
      </c>
      <c r="H2152" s="901">
        <f>GLOBAL_DER_FEV_2023!H2152</f>
        <v>0</v>
      </c>
      <c r="I2152" s="901">
        <f>GLOBAL_DER_FEV_2023!I2152</f>
        <v>0</v>
      </c>
      <c r="J2152" s="902">
        <f>GLOBAL_DER_FEV_2023!J2152</f>
        <v>0</v>
      </c>
      <c r="K2152" s="903"/>
      <c r="L2152" s="1177"/>
      <c r="M2152" s="1138">
        <f t="shared" si="162"/>
        <v>0</v>
      </c>
      <c r="N2152" s="1176">
        <f t="shared" si="166"/>
        <v>0</v>
      </c>
      <c r="O2152" s="905"/>
      <c r="P2152" s="36" t="str">
        <f>IF(N2151&gt;0,"xx",IF(N2151&gt;0,"xy",""))</f>
        <v/>
      </c>
      <c r="Q2152" s="317" t="str">
        <f t="shared" si="163"/>
        <v/>
      </c>
      <c r="R2152" s="317" t="str">
        <f t="shared" si="164"/>
        <v/>
      </c>
      <c r="S2152" s="317" t="str">
        <f t="shared" si="165"/>
        <v/>
      </c>
      <c r="T2152" s="317" t="str">
        <f>GLOBAL_DER_FEV_2023!S2152</f>
        <v/>
      </c>
      <c r="W2152" s="582">
        <v>0</v>
      </c>
      <c r="X2152" s="580"/>
      <c r="Y2152" s="583">
        <f>IF(GLOBAL_DER_FEV_2023!W2152=0,0,IF(GLOBAL_DER_FEV_2023!W2152&gt;0,"c","b"))</f>
        <v>0</v>
      </c>
    </row>
    <row r="2153" spans="1:25" ht="15" hidden="1" customHeight="1" x14ac:dyDescent="0.2">
      <c r="A2153" s="317" t="s">
        <v>147</v>
      </c>
      <c r="B2153" s="895" t="s">
        <v>147</v>
      </c>
      <c r="C2153" s="896"/>
      <c r="D2153" s="906" t="s">
        <v>229</v>
      </c>
      <c r="E2153" s="907">
        <f>GLOBAL_DER_FEV_2023!E2153</f>
        <v>150</v>
      </c>
      <c r="F2153" s="908">
        <f>GLOBAL_DER_FEV_2023!F2153</f>
        <v>0.98957000000000006</v>
      </c>
      <c r="G2153" s="949">
        <f>GLOBAL_DER_FEV_2023!G2153</f>
        <v>161.47803260000001</v>
      </c>
      <c r="H2153" s="901">
        <f>GLOBAL_DER_FEV_2023!H2153</f>
        <v>0</v>
      </c>
      <c r="I2153" s="901">
        <f>GLOBAL_DER_FEV_2023!I2153</f>
        <v>0</v>
      </c>
      <c r="J2153" s="902">
        <f>GLOBAL_DER_FEV_2023!J2153</f>
        <v>0</v>
      </c>
      <c r="K2153" s="903"/>
      <c r="L2153" s="1177"/>
      <c r="M2153" s="1138">
        <f t="shared" si="162"/>
        <v>0</v>
      </c>
      <c r="N2153" s="1176">
        <f t="shared" si="166"/>
        <v>0</v>
      </c>
      <c r="O2153" s="905"/>
      <c r="P2153" s="36" t="str">
        <f>IF(N2151&gt;0,"xx",IF(N2151&gt;0,"xy",""))</f>
        <v/>
      </c>
      <c r="Q2153" s="317" t="str">
        <f t="shared" si="163"/>
        <v/>
      </c>
      <c r="R2153" s="317" t="str">
        <f t="shared" si="164"/>
        <v/>
      </c>
      <c r="S2153" s="317" t="str">
        <f t="shared" si="165"/>
        <v/>
      </c>
      <c r="T2153" s="317" t="str">
        <f>GLOBAL_DER_FEV_2023!S2153</f>
        <v/>
      </c>
      <c r="W2153" s="582">
        <v>0</v>
      </c>
      <c r="X2153" s="580"/>
      <c r="Y2153" s="583">
        <f>IF(GLOBAL_DER_FEV_2023!W2153=0,0,IF(GLOBAL_DER_FEV_2023!W2153&gt;0,"c","b"))</f>
        <v>0</v>
      </c>
    </row>
    <row r="2154" spans="1:25" ht="15" hidden="1" customHeight="1" x14ac:dyDescent="0.2">
      <c r="A2154" s="317" t="s">
        <v>147</v>
      </c>
      <c r="B2154" s="895" t="s">
        <v>147</v>
      </c>
      <c r="C2154" s="896"/>
      <c r="D2154" s="906" t="s">
        <v>233</v>
      </c>
      <c r="E2154" s="907">
        <f>GLOBAL_DER_FEV_2023!E2154</f>
        <v>0.2</v>
      </c>
      <c r="F2154" s="908">
        <f>GLOBAL_DER_FEV_2023!F2154</f>
        <v>1.1832600000000002</v>
      </c>
      <c r="G2154" s="949">
        <f>GLOBAL_DER_FEV_2023!G2154</f>
        <v>3.4243544400000006</v>
      </c>
      <c r="H2154" s="901">
        <f>GLOBAL_DER_FEV_2023!H2154</f>
        <v>0</v>
      </c>
      <c r="I2154" s="901">
        <f>GLOBAL_DER_FEV_2023!I2154</f>
        <v>0</v>
      </c>
      <c r="J2154" s="902">
        <f>GLOBAL_DER_FEV_2023!J2154</f>
        <v>0</v>
      </c>
      <c r="K2154" s="903"/>
      <c r="L2154" s="1177"/>
      <c r="M2154" s="1138">
        <f t="shared" si="162"/>
        <v>0</v>
      </c>
      <c r="N2154" s="1176">
        <f t="shared" si="166"/>
        <v>0</v>
      </c>
      <c r="O2154" s="905"/>
      <c r="P2154" s="36" t="str">
        <f>IF(N2151&gt;0,"xx",IF(N2151&gt;0,"xy",""))</f>
        <v/>
      </c>
      <c r="Q2154" s="317" t="str">
        <f t="shared" si="163"/>
        <v/>
      </c>
      <c r="R2154" s="317" t="str">
        <f t="shared" si="164"/>
        <v/>
      </c>
      <c r="S2154" s="317" t="str">
        <f t="shared" si="165"/>
        <v/>
      </c>
      <c r="T2154" s="317" t="str">
        <f>GLOBAL_DER_FEV_2023!S2154</f>
        <v/>
      </c>
      <c r="W2154" s="582">
        <v>0</v>
      </c>
      <c r="X2154" s="580"/>
      <c r="Y2154" s="583">
        <f>IF(GLOBAL_DER_FEV_2023!W2154=0,0,IF(GLOBAL_DER_FEV_2023!W2154&gt;0,"c","b"))</f>
        <v>0</v>
      </c>
    </row>
    <row r="2155" spans="1:25" ht="15" hidden="1" customHeight="1" x14ac:dyDescent="0.2">
      <c r="A2155" s="317" t="s">
        <v>24</v>
      </c>
      <c r="B2155" s="895" t="s">
        <v>24</v>
      </c>
      <c r="C2155" s="896" t="s">
        <v>184</v>
      </c>
      <c r="D2155" s="906" t="s">
        <v>89</v>
      </c>
      <c r="E2155" s="907">
        <f>GLOBAL_DER_FEV_2023!E2155</f>
        <v>0</v>
      </c>
      <c r="F2155" s="908">
        <f>GLOBAL_DER_FEV_2023!F2155</f>
        <v>0</v>
      </c>
      <c r="G2155" s="912">
        <f>GLOBAL_DER_FEV_2023!G2155</f>
        <v>311.27506904000001</v>
      </c>
      <c r="H2155" s="901">
        <f>GLOBAL_DER_FEV_2023!H2155</f>
        <v>3101.29</v>
      </c>
      <c r="I2155" s="901">
        <f>GLOBAL_DER_FEV_2023!I2155</f>
        <v>3412.5650690399998</v>
      </c>
      <c r="J2155" s="902">
        <f>GLOBAL_DER_FEV_2023!J2155</f>
        <v>4097.47</v>
      </c>
      <c r="K2155" s="903" t="s">
        <v>15</v>
      </c>
      <c r="L2155" s="1137"/>
      <c r="M2155" s="1138">
        <f t="shared" si="162"/>
        <v>0</v>
      </c>
      <c r="N2155" s="1176">
        <f t="shared" si="166"/>
        <v>0</v>
      </c>
      <c r="O2155" s="905"/>
      <c r="Q2155" s="317" t="str">
        <f t="shared" si="163"/>
        <v/>
      </c>
      <c r="R2155" s="317" t="str">
        <f t="shared" si="164"/>
        <v/>
      </c>
      <c r="S2155" s="317" t="str">
        <f t="shared" si="165"/>
        <v/>
      </c>
      <c r="T2155" s="317" t="str">
        <f>GLOBAL_DER_FEV_2023!S2155</f>
        <v/>
      </c>
      <c r="W2155" s="582">
        <v>0</v>
      </c>
      <c r="X2155" s="580"/>
      <c r="Y2155" s="583">
        <f>IF(GLOBAL_DER_FEV_2023!W2155=0,0,IF(GLOBAL_DER_FEV_2023!W2155&gt;0,"c","b"))</f>
        <v>0</v>
      </c>
    </row>
    <row r="2156" spans="1:25" ht="15" hidden="1" customHeight="1" x14ac:dyDescent="0.2">
      <c r="A2156" s="317" t="s">
        <v>147</v>
      </c>
      <c r="B2156" s="895" t="s">
        <v>147</v>
      </c>
      <c r="C2156" s="896"/>
      <c r="D2156" s="906" t="s">
        <v>190</v>
      </c>
      <c r="E2156" s="907">
        <f>GLOBAL_DER_FEV_2023!E2156</f>
        <v>308</v>
      </c>
      <c r="F2156" s="908">
        <f>GLOBAL_DER_FEV_2023!F2156</f>
        <v>0.42918000000000001</v>
      </c>
      <c r="G2156" s="909">
        <f>GLOBAL_DER_FEV_2023!G2156</f>
        <v>106.46239080000001</v>
      </c>
      <c r="H2156" s="901">
        <f>GLOBAL_DER_FEV_2023!H2156</f>
        <v>0</v>
      </c>
      <c r="I2156" s="901">
        <f>GLOBAL_DER_FEV_2023!I2156</f>
        <v>0</v>
      </c>
      <c r="J2156" s="902">
        <f>GLOBAL_DER_FEV_2023!J2156</f>
        <v>0</v>
      </c>
      <c r="K2156" s="903"/>
      <c r="L2156" s="1177"/>
      <c r="M2156" s="1138">
        <f t="shared" si="162"/>
        <v>0</v>
      </c>
      <c r="N2156" s="1176">
        <f t="shared" si="166"/>
        <v>0</v>
      </c>
      <c r="O2156" s="905"/>
      <c r="P2156" s="36" t="str">
        <f>IF(N2155&gt;0,"xx",IF(N2155&gt;0,"xy",""))</f>
        <v/>
      </c>
      <c r="Q2156" s="317" t="str">
        <f t="shared" si="163"/>
        <v/>
      </c>
      <c r="R2156" s="317" t="str">
        <f t="shared" si="164"/>
        <v/>
      </c>
      <c r="S2156" s="317" t="str">
        <f t="shared" si="165"/>
        <v/>
      </c>
      <c r="T2156" s="317" t="str">
        <f>GLOBAL_DER_FEV_2023!S2156</f>
        <v/>
      </c>
      <c r="W2156" s="582">
        <v>0</v>
      </c>
      <c r="X2156" s="580"/>
      <c r="Y2156" s="583">
        <f>IF(GLOBAL_DER_FEV_2023!W2156=0,0,IF(GLOBAL_DER_FEV_2023!W2156&gt;0,"c","b"))</f>
        <v>0</v>
      </c>
    </row>
    <row r="2157" spans="1:25" ht="15" hidden="1" customHeight="1" x14ac:dyDescent="0.2">
      <c r="A2157" s="317" t="s">
        <v>147</v>
      </c>
      <c r="B2157" s="895" t="s">
        <v>147</v>
      </c>
      <c r="C2157" s="896"/>
      <c r="D2157" s="906" t="s">
        <v>229</v>
      </c>
      <c r="E2157" s="907">
        <f>GLOBAL_DER_FEV_2023!E2157</f>
        <v>150</v>
      </c>
      <c r="F2157" s="908">
        <f>GLOBAL_DER_FEV_2023!F2157</f>
        <v>1.2290300000000001</v>
      </c>
      <c r="G2157" s="949">
        <f>GLOBAL_DER_FEV_2023!G2157</f>
        <v>200.55311540000002</v>
      </c>
      <c r="H2157" s="901">
        <f>GLOBAL_DER_FEV_2023!H2157</f>
        <v>0</v>
      </c>
      <c r="I2157" s="901">
        <f>GLOBAL_DER_FEV_2023!I2157</f>
        <v>0</v>
      </c>
      <c r="J2157" s="902">
        <f>GLOBAL_DER_FEV_2023!J2157</f>
        <v>0</v>
      </c>
      <c r="K2157" s="903"/>
      <c r="L2157" s="1177"/>
      <c r="M2157" s="1138">
        <f t="shared" si="162"/>
        <v>0</v>
      </c>
      <c r="N2157" s="1176">
        <f t="shared" si="166"/>
        <v>0</v>
      </c>
      <c r="O2157" s="905"/>
      <c r="P2157" s="36" t="str">
        <f>IF(N2155&gt;0,"xx",IF(N2155&gt;0,"xy",""))</f>
        <v/>
      </c>
      <c r="Q2157" s="317" t="str">
        <f t="shared" si="163"/>
        <v/>
      </c>
      <c r="R2157" s="317" t="str">
        <f t="shared" si="164"/>
        <v/>
      </c>
      <c r="S2157" s="317" t="str">
        <f t="shared" si="165"/>
        <v/>
      </c>
      <c r="T2157" s="317" t="str">
        <f>GLOBAL_DER_FEV_2023!S2157</f>
        <v/>
      </c>
      <c r="W2157" s="582">
        <v>0</v>
      </c>
      <c r="X2157" s="580"/>
      <c r="Y2157" s="583">
        <f>IF(GLOBAL_DER_FEV_2023!W2157=0,0,IF(GLOBAL_DER_FEV_2023!W2157&gt;0,"c","b"))</f>
        <v>0</v>
      </c>
    </row>
    <row r="2158" spans="1:25" ht="15" hidden="1" customHeight="1" x14ac:dyDescent="0.2">
      <c r="A2158" s="317" t="s">
        <v>147</v>
      </c>
      <c r="B2158" s="895" t="s">
        <v>147</v>
      </c>
      <c r="C2158" s="896"/>
      <c r="D2158" s="906" t="s">
        <v>233</v>
      </c>
      <c r="E2158" s="907">
        <f>GLOBAL_DER_FEV_2023!E2158</f>
        <v>0.2</v>
      </c>
      <c r="F2158" s="908">
        <f>GLOBAL_DER_FEV_2023!F2158</f>
        <v>1.4718600000000002</v>
      </c>
      <c r="G2158" s="949">
        <f>GLOBAL_DER_FEV_2023!G2158</f>
        <v>4.259562840000001</v>
      </c>
      <c r="H2158" s="901">
        <f>GLOBAL_DER_FEV_2023!H2158</f>
        <v>0</v>
      </c>
      <c r="I2158" s="901">
        <f>GLOBAL_DER_FEV_2023!I2158</f>
        <v>0</v>
      </c>
      <c r="J2158" s="902">
        <f>GLOBAL_DER_FEV_2023!J2158</f>
        <v>0</v>
      </c>
      <c r="K2158" s="903"/>
      <c r="L2158" s="1177"/>
      <c r="M2158" s="1138">
        <f t="shared" si="162"/>
        <v>0</v>
      </c>
      <c r="N2158" s="1176">
        <f t="shared" si="166"/>
        <v>0</v>
      </c>
      <c r="O2158" s="905"/>
      <c r="P2158" s="36" t="str">
        <f>IF(N2155&gt;0,"xx",IF(N2155&gt;0,"xy",""))</f>
        <v/>
      </c>
      <c r="Q2158" s="317" t="str">
        <f t="shared" si="163"/>
        <v/>
      </c>
      <c r="R2158" s="317" t="str">
        <f t="shared" si="164"/>
        <v/>
      </c>
      <c r="S2158" s="317" t="str">
        <f t="shared" si="165"/>
        <v/>
      </c>
      <c r="T2158" s="317" t="str">
        <f>GLOBAL_DER_FEV_2023!S2158</f>
        <v/>
      </c>
      <c r="W2158" s="582">
        <v>0</v>
      </c>
      <c r="X2158" s="580"/>
      <c r="Y2158" s="583">
        <f>IF(GLOBAL_DER_FEV_2023!W2158=0,0,IF(GLOBAL_DER_FEV_2023!W2158&gt;0,"c","b"))</f>
        <v>0</v>
      </c>
    </row>
    <row r="2159" spans="1:25" ht="15" hidden="1" customHeight="1" x14ac:dyDescent="0.2">
      <c r="A2159" s="317" t="s">
        <v>25</v>
      </c>
      <c r="B2159" s="895" t="s">
        <v>25</v>
      </c>
      <c r="C2159" s="896" t="s">
        <v>184</v>
      </c>
      <c r="D2159" s="906" t="s">
        <v>83</v>
      </c>
      <c r="E2159" s="907">
        <f>GLOBAL_DER_FEV_2023!E2159</f>
        <v>0</v>
      </c>
      <c r="F2159" s="908">
        <f>GLOBAL_DER_FEV_2023!F2159</f>
        <v>0</v>
      </c>
      <c r="G2159" s="912">
        <f>GLOBAL_DER_FEV_2023!G2159</f>
        <v>274.34302380400004</v>
      </c>
      <c r="H2159" s="901">
        <f>GLOBAL_DER_FEV_2023!H2159</f>
        <v>2761.42</v>
      </c>
      <c r="I2159" s="901">
        <f>GLOBAL_DER_FEV_2023!I2159</f>
        <v>3035.7630238040001</v>
      </c>
      <c r="J2159" s="902">
        <f>GLOBAL_DER_FEV_2023!J2159</f>
        <v>3645.04</v>
      </c>
      <c r="K2159" s="903" t="s">
        <v>15</v>
      </c>
      <c r="L2159" s="1137"/>
      <c r="M2159" s="1138">
        <f t="shared" si="162"/>
        <v>0</v>
      </c>
      <c r="N2159" s="1176">
        <f t="shared" si="166"/>
        <v>0</v>
      </c>
      <c r="O2159" s="905"/>
      <c r="Q2159" s="317" t="str">
        <f t="shared" si="163"/>
        <v/>
      </c>
      <c r="R2159" s="317" t="str">
        <f t="shared" si="164"/>
        <v/>
      </c>
      <c r="S2159" s="317" t="str">
        <f t="shared" si="165"/>
        <v/>
      </c>
      <c r="T2159" s="317" t="str">
        <f>GLOBAL_DER_FEV_2023!S2159</f>
        <v/>
      </c>
      <c r="W2159" s="582">
        <v>0</v>
      </c>
      <c r="X2159" s="580"/>
      <c r="Y2159" s="583">
        <f>IF(GLOBAL_DER_FEV_2023!W2159=0,0,IF(GLOBAL_DER_FEV_2023!W2159&gt;0,"c","b"))</f>
        <v>0</v>
      </c>
    </row>
    <row r="2160" spans="1:25" ht="15" hidden="1" customHeight="1" x14ac:dyDescent="0.2">
      <c r="A2160" s="317" t="s">
        <v>147</v>
      </c>
      <c r="B2160" s="895" t="s">
        <v>147</v>
      </c>
      <c r="C2160" s="896"/>
      <c r="D2160" s="906" t="s">
        <v>190</v>
      </c>
      <c r="E2160" s="907">
        <f>GLOBAL_DER_FEV_2023!E2160</f>
        <v>308</v>
      </c>
      <c r="F2160" s="908">
        <f>GLOBAL_DER_FEV_2023!F2160</f>
        <v>0.2047668</v>
      </c>
      <c r="G2160" s="909">
        <f>GLOBAL_DER_FEV_2023!G2160</f>
        <v>50.794452407999998</v>
      </c>
      <c r="H2160" s="901">
        <f>GLOBAL_DER_FEV_2023!H2160</f>
        <v>0</v>
      </c>
      <c r="I2160" s="901">
        <f>GLOBAL_DER_FEV_2023!I2160</f>
        <v>0</v>
      </c>
      <c r="J2160" s="902">
        <f>GLOBAL_DER_FEV_2023!J2160</f>
        <v>0</v>
      </c>
      <c r="K2160" s="903"/>
      <c r="L2160" s="1177"/>
      <c r="M2160" s="1138">
        <f t="shared" si="162"/>
        <v>0</v>
      </c>
      <c r="N2160" s="1176">
        <f t="shared" si="166"/>
        <v>0</v>
      </c>
      <c r="O2160" s="905"/>
      <c r="P2160" s="36" t="str">
        <f>IF(N2159&gt;0,"xx",IF(N2159&gt;0,"xy",""))</f>
        <v/>
      </c>
      <c r="Q2160" s="317" t="str">
        <f t="shared" si="163"/>
        <v/>
      </c>
      <c r="R2160" s="317" t="str">
        <f t="shared" si="164"/>
        <v/>
      </c>
      <c r="S2160" s="317" t="str">
        <f t="shared" si="165"/>
        <v/>
      </c>
      <c r="T2160" s="317" t="str">
        <f>GLOBAL_DER_FEV_2023!S2160</f>
        <v/>
      </c>
      <c r="W2160" s="582">
        <v>0</v>
      </c>
      <c r="X2160" s="580"/>
      <c r="Y2160" s="583">
        <f>IF(GLOBAL_DER_FEV_2023!W2160=0,0,IF(GLOBAL_DER_FEV_2023!W2160&gt;0,"c","b"))</f>
        <v>0</v>
      </c>
    </row>
    <row r="2161" spans="1:25" ht="15" hidden="1" customHeight="1" x14ac:dyDescent="0.2">
      <c r="A2161" s="317" t="s">
        <v>147</v>
      </c>
      <c r="B2161" s="895" t="s">
        <v>147</v>
      </c>
      <c r="C2161" s="896"/>
      <c r="D2161" s="906" t="s">
        <v>229</v>
      </c>
      <c r="E2161" s="907">
        <f>GLOBAL_DER_FEV_2023!E2161</f>
        <v>150</v>
      </c>
      <c r="F2161" s="908">
        <f>GLOBAL_DER_FEV_2023!F2161</f>
        <v>1.1293030000000002</v>
      </c>
      <c r="G2161" s="949">
        <f>GLOBAL_DER_FEV_2023!G2161</f>
        <v>184.27966354000003</v>
      </c>
      <c r="H2161" s="901">
        <f>GLOBAL_DER_FEV_2023!H2161</f>
        <v>0</v>
      </c>
      <c r="I2161" s="901">
        <f>GLOBAL_DER_FEV_2023!I2161</f>
        <v>0</v>
      </c>
      <c r="J2161" s="902">
        <f>GLOBAL_DER_FEV_2023!J2161</f>
        <v>0</v>
      </c>
      <c r="K2161" s="903"/>
      <c r="L2161" s="1177"/>
      <c r="M2161" s="1138">
        <f t="shared" si="162"/>
        <v>0</v>
      </c>
      <c r="N2161" s="1176">
        <f t="shared" si="166"/>
        <v>0</v>
      </c>
      <c r="O2161" s="905"/>
      <c r="P2161" s="36" t="str">
        <f>IF(N2159&gt;0,"xx",IF(N2159&gt;0,"xy",""))</f>
        <v/>
      </c>
      <c r="Q2161" s="317" t="str">
        <f t="shared" si="163"/>
        <v/>
      </c>
      <c r="R2161" s="317" t="str">
        <f t="shared" si="164"/>
        <v/>
      </c>
      <c r="S2161" s="317" t="str">
        <f t="shared" si="165"/>
        <v/>
      </c>
      <c r="T2161" s="317" t="str">
        <f>GLOBAL_DER_FEV_2023!S2161</f>
        <v/>
      </c>
      <c r="W2161" s="582">
        <v>0</v>
      </c>
      <c r="X2161" s="580"/>
      <c r="Y2161" s="583">
        <f>IF(GLOBAL_DER_FEV_2023!W2161=0,0,IF(GLOBAL_DER_FEV_2023!W2161&gt;0,"c","b"))</f>
        <v>0</v>
      </c>
    </row>
    <row r="2162" spans="1:25" ht="15" hidden="1" customHeight="1" x14ac:dyDescent="0.2">
      <c r="A2162" s="317" t="s">
        <v>147</v>
      </c>
      <c r="B2162" s="895" t="s">
        <v>147</v>
      </c>
      <c r="C2162" s="896"/>
      <c r="D2162" s="906" t="s">
        <v>233</v>
      </c>
      <c r="E2162" s="907">
        <f>GLOBAL_DER_FEV_2023!E2162</f>
        <v>0.2</v>
      </c>
      <c r="F2162" s="908">
        <f>GLOBAL_DER_FEV_2023!F2162</f>
        <v>0.38805600000000001</v>
      </c>
      <c r="G2162" s="949">
        <f>GLOBAL_DER_FEV_2023!G2162</f>
        <v>1.1230340640000001</v>
      </c>
      <c r="H2162" s="901">
        <f>GLOBAL_DER_FEV_2023!H2162</f>
        <v>0</v>
      </c>
      <c r="I2162" s="901">
        <f>GLOBAL_DER_FEV_2023!I2162</f>
        <v>0</v>
      </c>
      <c r="J2162" s="902">
        <f>GLOBAL_DER_FEV_2023!J2162</f>
        <v>0</v>
      </c>
      <c r="K2162" s="903"/>
      <c r="L2162" s="1177"/>
      <c r="M2162" s="1138">
        <f t="shared" si="162"/>
        <v>0</v>
      </c>
      <c r="N2162" s="1176">
        <f t="shared" si="166"/>
        <v>0</v>
      </c>
      <c r="O2162" s="905"/>
      <c r="P2162" s="36" t="str">
        <f>IF(N2159&gt;0,"xx",IF(N2159&gt;0,"xy",""))</f>
        <v/>
      </c>
      <c r="Q2162" s="317" t="str">
        <f t="shared" si="163"/>
        <v/>
      </c>
      <c r="R2162" s="317" t="str">
        <f t="shared" si="164"/>
        <v/>
      </c>
      <c r="S2162" s="317" t="str">
        <f t="shared" si="165"/>
        <v/>
      </c>
      <c r="T2162" s="317" t="str">
        <f>GLOBAL_DER_FEV_2023!S2162</f>
        <v/>
      </c>
      <c r="W2162" s="582">
        <v>0</v>
      </c>
      <c r="X2162" s="580"/>
      <c r="Y2162" s="583">
        <f>IF(GLOBAL_DER_FEV_2023!W2162=0,0,IF(GLOBAL_DER_FEV_2023!W2162&gt;0,"c","b"))</f>
        <v>0</v>
      </c>
    </row>
    <row r="2163" spans="1:25" ht="15" hidden="1" customHeight="1" x14ac:dyDescent="0.2">
      <c r="A2163" s="317" t="s">
        <v>147</v>
      </c>
      <c r="B2163" s="895" t="s">
        <v>147</v>
      </c>
      <c r="C2163" s="896"/>
      <c r="D2163" s="906" t="s">
        <v>365</v>
      </c>
      <c r="E2163" s="907">
        <f>GLOBAL_DER_FEV_2023!E2163</f>
        <v>10</v>
      </c>
      <c r="F2163" s="908">
        <f>GLOBAL_DER_FEV_2023!F2163</f>
        <v>1.6716959999999998</v>
      </c>
      <c r="G2163" s="949">
        <f>GLOBAL_DER_FEV_2023!G2163</f>
        <v>22.36729248</v>
      </c>
      <c r="H2163" s="901">
        <f>GLOBAL_DER_FEV_2023!H2163</f>
        <v>0</v>
      </c>
      <c r="I2163" s="901">
        <f>GLOBAL_DER_FEV_2023!I2163</f>
        <v>0</v>
      </c>
      <c r="J2163" s="902">
        <f>GLOBAL_DER_FEV_2023!J2163</f>
        <v>0</v>
      </c>
      <c r="K2163" s="903"/>
      <c r="L2163" s="1177"/>
      <c r="M2163" s="1138">
        <f t="shared" si="162"/>
        <v>0</v>
      </c>
      <c r="N2163" s="1176">
        <f t="shared" si="166"/>
        <v>0</v>
      </c>
      <c r="O2163" s="905"/>
      <c r="P2163" s="36" t="str">
        <f>IF(N2159&gt;0,"xx",IF(N2159&gt;0,"xy",""))</f>
        <v/>
      </c>
      <c r="Q2163" s="317" t="str">
        <f t="shared" si="163"/>
        <v/>
      </c>
      <c r="R2163" s="317" t="str">
        <f t="shared" si="164"/>
        <v/>
      </c>
      <c r="S2163" s="317" t="str">
        <f t="shared" si="165"/>
        <v/>
      </c>
      <c r="T2163" s="317" t="str">
        <f>GLOBAL_DER_FEV_2023!S2163</f>
        <v/>
      </c>
      <c r="W2163" s="582">
        <v>0</v>
      </c>
      <c r="X2163" s="580"/>
      <c r="Y2163" s="583">
        <f>IF(GLOBAL_DER_FEV_2023!W2163=0,0,IF(GLOBAL_DER_FEV_2023!W2163&gt;0,"c","b"))</f>
        <v>0</v>
      </c>
    </row>
    <row r="2164" spans="1:25" ht="15" hidden="1" customHeight="1" x14ac:dyDescent="0.2">
      <c r="A2164" s="317" t="s">
        <v>147</v>
      </c>
      <c r="B2164" s="895" t="s">
        <v>147</v>
      </c>
      <c r="C2164" s="896"/>
      <c r="D2164" s="906" t="s">
        <v>366</v>
      </c>
      <c r="E2164" s="907">
        <f>GLOBAL_DER_FEV_2023!E2164</f>
        <v>353</v>
      </c>
      <c r="F2164" s="908">
        <f>GLOBAL_DER_FEV_2023!F2164</f>
        <v>5.5723200000000001E-2</v>
      </c>
      <c r="G2164" s="909">
        <f>GLOBAL_DER_FEV_2023!G2164</f>
        <v>15.778581312000002</v>
      </c>
      <c r="H2164" s="901">
        <f>GLOBAL_DER_FEV_2023!H2164</f>
        <v>0</v>
      </c>
      <c r="I2164" s="901">
        <f>GLOBAL_DER_FEV_2023!I2164</f>
        <v>0</v>
      </c>
      <c r="J2164" s="902">
        <f>GLOBAL_DER_FEV_2023!J2164</f>
        <v>0</v>
      </c>
      <c r="K2164" s="903"/>
      <c r="L2164" s="1177"/>
      <c r="M2164" s="1138">
        <f t="shared" si="162"/>
        <v>0</v>
      </c>
      <c r="N2164" s="1176">
        <f t="shared" si="166"/>
        <v>0</v>
      </c>
      <c r="O2164" s="905"/>
      <c r="P2164" s="36" t="str">
        <f>IF(N2159&gt;0,"xx",IF(N2159&gt;0,"xy",""))</f>
        <v/>
      </c>
      <c r="Q2164" s="317" t="str">
        <f t="shared" si="163"/>
        <v/>
      </c>
      <c r="R2164" s="317" t="str">
        <f t="shared" si="164"/>
        <v/>
      </c>
      <c r="S2164" s="317" t="str">
        <f t="shared" si="165"/>
        <v/>
      </c>
      <c r="T2164" s="317" t="str">
        <f>GLOBAL_DER_FEV_2023!S2164</f>
        <v/>
      </c>
      <c r="W2164" s="582">
        <v>0</v>
      </c>
      <c r="X2164" s="580"/>
      <c r="Y2164" s="583">
        <f>IF(GLOBAL_DER_FEV_2023!W2164=0,0,IF(GLOBAL_DER_FEV_2023!W2164&gt;0,"c","b"))</f>
        <v>0</v>
      </c>
    </row>
    <row r="2165" spans="1:25" ht="15" hidden="1" customHeight="1" x14ac:dyDescent="0.2">
      <c r="A2165" s="317" t="s">
        <v>26</v>
      </c>
      <c r="B2165" s="895" t="s">
        <v>26</v>
      </c>
      <c r="C2165" s="896" t="s">
        <v>184</v>
      </c>
      <c r="D2165" s="906" t="s">
        <v>84</v>
      </c>
      <c r="E2165" s="907">
        <f>GLOBAL_DER_FEV_2023!E2165</f>
        <v>0</v>
      </c>
      <c r="F2165" s="908">
        <f>GLOBAL_DER_FEV_2023!F2165</f>
        <v>0</v>
      </c>
      <c r="G2165" s="912">
        <f>GLOBAL_DER_FEV_2023!G2165</f>
        <v>323.00686500400002</v>
      </c>
      <c r="H2165" s="901">
        <f>GLOBAL_DER_FEV_2023!H2165</f>
        <v>3050.91</v>
      </c>
      <c r="I2165" s="901">
        <f>GLOBAL_DER_FEV_2023!I2165</f>
        <v>3373.9168650040001</v>
      </c>
      <c r="J2165" s="902">
        <f>GLOBAL_DER_FEV_2023!J2165</f>
        <v>4051.06</v>
      </c>
      <c r="K2165" s="903" t="s">
        <v>15</v>
      </c>
      <c r="L2165" s="1137"/>
      <c r="M2165" s="1138">
        <f t="shared" si="162"/>
        <v>0</v>
      </c>
      <c r="N2165" s="1176">
        <f t="shared" si="166"/>
        <v>0</v>
      </c>
      <c r="O2165" s="905"/>
      <c r="Q2165" s="317" t="str">
        <f t="shared" si="163"/>
        <v/>
      </c>
      <c r="R2165" s="317" t="str">
        <f t="shared" si="164"/>
        <v/>
      </c>
      <c r="S2165" s="317" t="str">
        <f t="shared" si="165"/>
        <v/>
      </c>
      <c r="T2165" s="317" t="str">
        <f>GLOBAL_DER_FEV_2023!S2165</f>
        <v/>
      </c>
      <c r="W2165" s="582">
        <v>0</v>
      </c>
      <c r="X2165" s="580"/>
      <c r="Y2165" s="583">
        <f>IF(GLOBAL_DER_FEV_2023!W2165=0,0,IF(GLOBAL_DER_FEV_2023!W2165&gt;0,"c","b"))</f>
        <v>0</v>
      </c>
    </row>
    <row r="2166" spans="1:25" ht="15" hidden="1" customHeight="1" x14ac:dyDescent="0.2">
      <c r="A2166" s="317" t="s">
        <v>147</v>
      </c>
      <c r="B2166" s="895" t="s">
        <v>147</v>
      </c>
      <c r="C2166" s="896"/>
      <c r="D2166" s="906" t="s">
        <v>190</v>
      </c>
      <c r="E2166" s="907">
        <f>GLOBAL_DER_FEV_2023!E2166</f>
        <v>308</v>
      </c>
      <c r="F2166" s="908">
        <f>GLOBAL_DER_FEV_2023!F2166</f>
        <v>0.23381399999999999</v>
      </c>
      <c r="G2166" s="909">
        <f>GLOBAL_DER_FEV_2023!G2166</f>
        <v>57.999900840000002</v>
      </c>
      <c r="H2166" s="901">
        <f>GLOBAL_DER_FEV_2023!H2166</f>
        <v>0</v>
      </c>
      <c r="I2166" s="901">
        <f>GLOBAL_DER_FEV_2023!I2166</f>
        <v>0</v>
      </c>
      <c r="J2166" s="902">
        <f>GLOBAL_DER_FEV_2023!J2166</f>
        <v>0</v>
      </c>
      <c r="K2166" s="903"/>
      <c r="L2166" s="1177"/>
      <c r="M2166" s="1138">
        <f t="shared" si="162"/>
        <v>0</v>
      </c>
      <c r="N2166" s="1176">
        <f t="shared" si="166"/>
        <v>0</v>
      </c>
      <c r="O2166" s="905"/>
      <c r="P2166" s="36" t="str">
        <f>IF(N2165&gt;0,"xx",IF(N2165&gt;0,"xy",""))</f>
        <v/>
      </c>
      <c r="Q2166" s="317" t="str">
        <f t="shared" si="163"/>
        <v/>
      </c>
      <c r="R2166" s="317" t="str">
        <f t="shared" si="164"/>
        <v/>
      </c>
      <c r="S2166" s="317" t="str">
        <f t="shared" si="165"/>
        <v/>
      </c>
      <c r="T2166" s="317" t="str">
        <f>GLOBAL_DER_FEV_2023!S2166</f>
        <v/>
      </c>
      <c r="W2166" s="582">
        <v>0</v>
      </c>
      <c r="X2166" s="580"/>
      <c r="Y2166" s="583">
        <f>IF(GLOBAL_DER_FEV_2023!W2166=0,0,IF(GLOBAL_DER_FEV_2023!W2166&gt;0,"c","b"))</f>
        <v>0</v>
      </c>
    </row>
    <row r="2167" spans="1:25" ht="15" hidden="1" customHeight="1" x14ac:dyDescent="0.2">
      <c r="A2167" s="317" t="s">
        <v>147</v>
      </c>
      <c r="B2167" s="895" t="s">
        <v>147</v>
      </c>
      <c r="C2167" s="896"/>
      <c r="D2167" s="906" t="s">
        <v>229</v>
      </c>
      <c r="E2167" s="907">
        <f>GLOBAL_DER_FEV_2023!E2167</f>
        <v>150</v>
      </c>
      <c r="F2167" s="908">
        <f>GLOBAL_DER_FEV_2023!F2167</f>
        <v>1.324927</v>
      </c>
      <c r="G2167" s="949">
        <f>GLOBAL_DER_FEV_2023!G2167</f>
        <v>216.20158785999999</v>
      </c>
      <c r="H2167" s="901">
        <f>GLOBAL_DER_FEV_2023!H2167</f>
        <v>0</v>
      </c>
      <c r="I2167" s="901">
        <f>GLOBAL_DER_FEV_2023!I2167</f>
        <v>0</v>
      </c>
      <c r="J2167" s="902">
        <f>GLOBAL_DER_FEV_2023!J2167</f>
        <v>0</v>
      </c>
      <c r="K2167" s="903"/>
      <c r="L2167" s="1177"/>
      <c r="M2167" s="1138">
        <f t="shared" si="162"/>
        <v>0</v>
      </c>
      <c r="N2167" s="1176">
        <f t="shared" si="166"/>
        <v>0</v>
      </c>
      <c r="O2167" s="905"/>
      <c r="P2167" s="36" t="str">
        <f>IF(N2165&gt;0,"xx",IF(N2165&gt;0,"xy",""))</f>
        <v/>
      </c>
      <c r="Q2167" s="317" t="str">
        <f t="shared" si="163"/>
        <v/>
      </c>
      <c r="R2167" s="317" t="str">
        <f t="shared" si="164"/>
        <v/>
      </c>
      <c r="S2167" s="317" t="str">
        <f t="shared" si="165"/>
        <v/>
      </c>
      <c r="T2167" s="317" t="str">
        <f>GLOBAL_DER_FEV_2023!S2167</f>
        <v/>
      </c>
      <c r="W2167" s="582">
        <v>0</v>
      </c>
      <c r="X2167" s="580"/>
      <c r="Y2167" s="583">
        <f>IF(GLOBAL_DER_FEV_2023!W2167=0,0,IF(GLOBAL_DER_FEV_2023!W2167&gt;0,"c","b"))</f>
        <v>0</v>
      </c>
    </row>
    <row r="2168" spans="1:25" ht="15" hidden="1" customHeight="1" x14ac:dyDescent="0.2">
      <c r="A2168" s="317" t="s">
        <v>147</v>
      </c>
      <c r="B2168" s="895" t="s">
        <v>147</v>
      </c>
      <c r="C2168" s="896"/>
      <c r="D2168" s="906" t="s">
        <v>233</v>
      </c>
      <c r="E2168" s="907">
        <f>GLOBAL_DER_FEV_2023!E2168</f>
        <v>0.2</v>
      </c>
      <c r="F2168" s="908">
        <f>GLOBAL_DER_FEV_2023!F2168</f>
        <v>0.38805600000000001</v>
      </c>
      <c r="G2168" s="949">
        <f>GLOBAL_DER_FEV_2023!G2168</f>
        <v>1.1230340640000001</v>
      </c>
      <c r="H2168" s="901">
        <f>GLOBAL_DER_FEV_2023!H2168</f>
        <v>0</v>
      </c>
      <c r="I2168" s="901">
        <f>GLOBAL_DER_FEV_2023!I2168</f>
        <v>0</v>
      </c>
      <c r="J2168" s="902">
        <f>GLOBAL_DER_FEV_2023!J2168</f>
        <v>0</v>
      </c>
      <c r="K2168" s="903"/>
      <c r="L2168" s="1177"/>
      <c r="M2168" s="1138">
        <f t="shared" si="162"/>
        <v>0</v>
      </c>
      <c r="N2168" s="1176">
        <f t="shared" si="166"/>
        <v>0</v>
      </c>
      <c r="O2168" s="905"/>
      <c r="P2168" s="36" t="str">
        <f>IF(N2165&gt;0,"xx",IF(N2165&gt;0,"xy",""))</f>
        <v/>
      </c>
      <c r="Q2168" s="317" t="str">
        <f t="shared" si="163"/>
        <v/>
      </c>
      <c r="R2168" s="317" t="str">
        <f t="shared" si="164"/>
        <v/>
      </c>
      <c r="S2168" s="317" t="str">
        <f t="shared" si="165"/>
        <v/>
      </c>
      <c r="T2168" s="317" t="str">
        <f>GLOBAL_DER_FEV_2023!S2168</f>
        <v/>
      </c>
      <c r="W2168" s="582">
        <v>0</v>
      </c>
      <c r="X2168" s="580"/>
      <c r="Y2168" s="583">
        <f>IF(GLOBAL_DER_FEV_2023!W2168=0,0,IF(GLOBAL_DER_FEV_2023!W2168&gt;0,"c","b"))</f>
        <v>0</v>
      </c>
    </row>
    <row r="2169" spans="1:25" ht="15" hidden="1" customHeight="1" x14ac:dyDescent="0.2">
      <c r="A2169" s="317" t="s">
        <v>147</v>
      </c>
      <c r="B2169" s="895" t="s">
        <v>147</v>
      </c>
      <c r="C2169" s="896"/>
      <c r="D2169" s="906" t="s">
        <v>365</v>
      </c>
      <c r="E2169" s="907">
        <f>GLOBAL_DER_FEV_2023!E2169</f>
        <v>10</v>
      </c>
      <c r="F2169" s="908">
        <f>GLOBAL_DER_FEV_2023!F2169</f>
        <v>2.0896199999999996</v>
      </c>
      <c r="G2169" s="949">
        <f>GLOBAL_DER_FEV_2023!G2169</f>
        <v>27.959115599999997</v>
      </c>
      <c r="H2169" s="901">
        <f>GLOBAL_DER_FEV_2023!H2169</f>
        <v>0</v>
      </c>
      <c r="I2169" s="901">
        <f>GLOBAL_DER_FEV_2023!I2169</f>
        <v>0</v>
      </c>
      <c r="J2169" s="902">
        <f>GLOBAL_DER_FEV_2023!J2169</f>
        <v>0</v>
      </c>
      <c r="K2169" s="903"/>
      <c r="L2169" s="1177"/>
      <c r="M2169" s="1138">
        <f t="shared" si="162"/>
        <v>0</v>
      </c>
      <c r="N2169" s="1176">
        <f t="shared" si="166"/>
        <v>0</v>
      </c>
      <c r="O2169" s="905"/>
      <c r="P2169" s="36" t="str">
        <f>IF(N2165&gt;0,"xx",IF(N2165&gt;0,"xy",""))</f>
        <v/>
      </c>
      <c r="Q2169" s="317" t="str">
        <f t="shared" si="163"/>
        <v/>
      </c>
      <c r="R2169" s="317" t="str">
        <f t="shared" si="164"/>
        <v/>
      </c>
      <c r="S2169" s="317" t="str">
        <f t="shared" si="165"/>
        <v/>
      </c>
      <c r="T2169" s="317" t="str">
        <f>GLOBAL_DER_FEV_2023!S2169</f>
        <v/>
      </c>
      <c r="W2169" s="582">
        <v>0</v>
      </c>
      <c r="X2169" s="580"/>
      <c r="Y2169" s="583">
        <f>IF(GLOBAL_DER_FEV_2023!W2169=0,0,IF(GLOBAL_DER_FEV_2023!W2169&gt;0,"c","b"))</f>
        <v>0</v>
      </c>
    </row>
    <row r="2170" spans="1:25" ht="15" hidden="1" customHeight="1" x14ac:dyDescent="0.2">
      <c r="A2170" s="317" t="s">
        <v>147</v>
      </c>
      <c r="B2170" s="895" t="s">
        <v>147</v>
      </c>
      <c r="C2170" s="896"/>
      <c r="D2170" s="906" t="s">
        <v>366</v>
      </c>
      <c r="E2170" s="907">
        <f>GLOBAL_DER_FEV_2023!E2170</f>
        <v>353</v>
      </c>
      <c r="F2170" s="908">
        <f>GLOBAL_DER_FEV_2023!F2170</f>
        <v>6.9653999999999994E-2</v>
      </c>
      <c r="G2170" s="909">
        <f>GLOBAL_DER_FEV_2023!G2170</f>
        <v>19.72322664</v>
      </c>
      <c r="H2170" s="901">
        <f>GLOBAL_DER_FEV_2023!H2170</f>
        <v>0</v>
      </c>
      <c r="I2170" s="901">
        <f>GLOBAL_DER_FEV_2023!I2170</f>
        <v>0</v>
      </c>
      <c r="J2170" s="902">
        <f>GLOBAL_DER_FEV_2023!J2170</f>
        <v>0</v>
      </c>
      <c r="K2170" s="903"/>
      <c r="L2170" s="1177"/>
      <c r="M2170" s="1138">
        <f t="shared" si="162"/>
        <v>0</v>
      </c>
      <c r="N2170" s="1176">
        <f t="shared" si="166"/>
        <v>0</v>
      </c>
      <c r="O2170" s="905"/>
      <c r="P2170" s="36" t="str">
        <f>IF(N2165&gt;0,"xx",IF(N2165&gt;0,"xy",""))</f>
        <v/>
      </c>
      <c r="Q2170" s="317" t="str">
        <f t="shared" si="163"/>
        <v/>
      </c>
      <c r="R2170" s="317" t="str">
        <f t="shared" si="164"/>
        <v/>
      </c>
      <c r="S2170" s="317" t="str">
        <f t="shared" si="165"/>
        <v/>
      </c>
      <c r="T2170" s="317" t="str">
        <f>GLOBAL_DER_FEV_2023!S2170</f>
        <v/>
      </c>
      <c r="W2170" s="582">
        <v>0</v>
      </c>
      <c r="X2170" s="580"/>
      <c r="Y2170" s="583">
        <f>IF(GLOBAL_DER_FEV_2023!W2170=0,0,IF(GLOBAL_DER_FEV_2023!W2170&gt;0,"c","b"))</f>
        <v>0</v>
      </c>
    </row>
    <row r="2171" spans="1:25" ht="15" hidden="1" customHeight="1" x14ac:dyDescent="0.2">
      <c r="A2171" s="317" t="s">
        <v>99</v>
      </c>
      <c r="B2171" s="895" t="s">
        <v>99</v>
      </c>
      <c r="C2171" s="896" t="s">
        <v>184</v>
      </c>
      <c r="D2171" s="906" t="s">
        <v>85</v>
      </c>
      <c r="E2171" s="907">
        <f>GLOBAL_DER_FEV_2023!E2171</f>
        <v>0</v>
      </c>
      <c r="F2171" s="908">
        <f>GLOBAL_DER_FEV_2023!F2171</f>
        <v>0</v>
      </c>
      <c r="G2171" s="912">
        <f>GLOBAL_DER_FEV_2023!G2171</f>
        <v>403.48937160400004</v>
      </c>
      <c r="H2171" s="901">
        <f>GLOBAL_DER_FEV_2023!H2171</f>
        <v>3529.67</v>
      </c>
      <c r="I2171" s="901">
        <f>GLOBAL_DER_FEV_2023!I2171</f>
        <v>3933.1593716040002</v>
      </c>
      <c r="J2171" s="902">
        <f>GLOBAL_DER_FEV_2023!J2171</f>
        <v>4722.54</v>
      </c>
      <c r="K2171" s="903" t="s">
        <v>15</v>
      </c>
      <c r="L2171" s="1137"/>
      <c r="M2171" s="1138">
        <f t="shared" si="162"/>
        <v>0</v>
      </c>
      <c r="N2171" s="1176">
        <f t="shared" si="166"/>
        <v>0</v>
      </c>
      <c r="O2171" s="905"/>
      <c r="Q2171" s="317" t="str">
        <f t="shared" si="163"/>
        <v/>
      </c>
      <c r="R2171" s="317" t="str">
        <f t="shared" si="164"/>
        <v/>
      </c>
      <c r="S2171" s="317" t="str">
        <f t="shared" si="165"/>
        <v/>
      </c>
      <c r="T2171" s="317" t="str">
        <f>GLOBAL_DER_FEV_2023!S2171</f>
        <v/>
      </c>
      <c r="W2171" s="582">
        <v>0</v>
      </c>
      <c r="X2171" s="580"/>
      <c r="Y2171" s="583">
        <f>IF(GLOBAL_DER_FEV_2023!W2171=0,0,IF(GLOBAL_DER_FEV_2023!W2171&gt;0,"c","b"))</f>
        <v>0</v>
      </c>
    </row>
    <row r="2172" spans="1:25" ht="15" hidden="1" customHeight="1" x14ac:dyDescent="0.2">
      <c r="A2172" s="317" t="s">
        <v>147</v>
      </c>
      <c r="B2172" s="895" t="s">
        <v>147</v>
      </c>
      <c r="C2172" s="896"/>
      <c r="D2172" s="906" t="s">
        <v>190</v>
      </c>
      <c r="E2172" s="907">
        <f>GLOBAL_DER_FEV_2023!E2172</f>
        <v>308</v>
      </c>
      <c r="F2172" s="908">
        <f>GLOBAL_DER_FEV_2023!F2172</f>
        <v>0.28185359999999998</v>
      </c>
      <c r="G2172" s="909">
        <f>GLOBAL_DER_FEV_2023!G2172</f>
        <v>69.916604015999994</v>
      </c>
      <c r="H2172" s="901">
        <f>GLOBAL_DER_FEV_2023!H2172</f>
        <v>0</v>
      </c>
      <c r="I2172" s="901">
        <f>GLOBAL_DER_FEV_2023!I2172</f>
        <v>0</v>
      </c>
      <c r="J2172" s="902">
        <f>GLOBAL_DER_FEV_2023!J2172</f>
        <v>0</v>
      </c>
      <c r="K2172" s="903"/>
      <c r="L2172" s="1177"/>
      <c r="M2172" s="1138">
        <f t="shared" si="162"/>
        <v>0</v>
      </c>
      <c r="N2172" s="1176">
        <f t="shared" si="166"/>
        <v>0</v>
      </c>
      <c r="O2172" s="905"/>
      <c r="P2172" s="36" t="str">
        <f>IF(N2171&gt;0,"xx",IF(N2171&gt;0,"xy",""))</f>
        <v/>
      </c>
      <c r="Q2172" s="317" t="str">
        <f t="shared" si="163"/>
        <v/>
      </c>
      <c r="R2172" s="317" t="str">
        <f t="shared" si="164"/>
        <v/>
      </c>
      <c r="S2172" s="317" t="str">
        <f t="shared" si="165"/>
        <v/>
      </c>
      <c r="T2172" s="317" t="str">
        <f>GLOBAL_DER_FEV_2023!S2172</f>
        <v/>
      </c>
      <c r="W2172" s="582">
        <v>0</v>
      </c>
      <c r="X2172" s="580"/>
      <c r="Y2172" s="583">
        <f>IF(GLOBAL_DER_FEV_2023!W2172=0,0,IF(GLOBAL_DER_FEV_2023!W2172&gt;0,"c","b"))</f>
        <v>0</v>
      </c>
    </row>
    <row r="2173" spans="1:25" ht="15" hidden="1" customHeight="1" x14ac:dyDescent="0.2">
      <c r="A2173" s="317" t="s">
        <v>147</v>
      </c>
      <c r="B2173" s="895" t="s">
        <v>147</v>
      </c>
      <c r="C2173" s="896"/>
      <c r="D2173" s="906" t="s">
        <v>229</v>
      </c>
      <c r="E2173" s="907">
        <f>GLOBAL_DER_FEV_2023!E2173</f>
        <v>150</v>
      </c>
      <c r="F2173" s="908">
        <f>GLOBAL_DER_FEV_2023!F2173</f>
        <v>1.6484590000000001</v>
      </c>
      <c r="G2173" s="949">
        <f>GLOBAL_DER_FEV_2023!G2173</f>
        <v>268.99553962000005</v>
      </c>
      <c r="H2173" s="901">
        <f>GLOBAL_DER_FEV_2023!H2173</f>
        <v>0</v>
      </c>
      <c r="I2173" s="901">
        <f>GLOBAL_DER_FEV_2023!I2173</f>
        <v>0</v>
      </c>
      <c r="J2173" s="902">
        <f>GLOBAL_DER_FEV_2023!J2173</f>
        <v>0</v>
      </c>
      <c r="K2173" s="903"/>
      <c r="L2173" s="1177"/>
      <c r="M2173" s="1138">
        <f t="shared" si="162"/>
        <v>0</v>
      </c>
      <c r="N2173" s="1176">
        <f t="shared" si="166"/>
        <v>0</v>
      </c>
      <c r="O2173" s="905"/>
      <c r="P2173" s="36" t="str">
        <f>IF(N2171&gt;0,"xx",IF(N2171&gt;0,"xy",""))</f>
        <v/>
      </c>
      <c r="Q2173" s="317" t="str">
        <f t="shared" si="163"/>
        <v/>
      </c>
      <c r="R2173" s="317" t="str">
        <f t="shared" si="164"/>
        <v/>
      </c>
      <c r="S2173" s="317" t="str">
        <f t="shared" si="165"/>
        <v/>
      </c>
      <c r="T2173" s="317" t="str">
        <f>GLOBAL_DER_FEV_2023!S2173</f>
        <v/>
      </c>
      <c r="W2173" s="582">
        <v>0</v>
      </c>
      <c r="X2173" s="580"/>
      <c r="Y2173" s="583">
        <f>IF(GLOBAL_DER_FEV_2023!W2173=0,0,IF(GLOBAL_DER_FEV_2023!W2173&gt;0,"c","b"))</f>
        <v>0</v>
      </c>
    </row>
    <row r="2174" spans="1:25" ht="15" hidden="1" customHeight="1" x14ac:dyDescent="0.2">
      <c r="A2174" s="317" t="s">
        <v>147</v>
      </c>
      <c r="B2174" s="895" t="s">
        <v>147</v>
      </c>
      <c r="C2174" s="896"/>
      <c r="D2174" s="906" t="s">
        <v>233</v>
      </c>
      <c r="E2174" s="907">
        <f>GLOBAL_DER_FEV_2023!E2174</f>
        <v>0.2</v>
      </c>
      <c r="F2174" s="908">
        <f>GLOBAL_DER_FEV_2023!F2174</f>
        <v>0.38805600000000001</v>
      </c>
      <c r="G2174" s="949">
        <f>GLOBAL_DER_FEV_2023!G2174</f>
        <v>1.1230340640000001</v>
      </c>
      <c r="H2174" s="901">
        <f>GLOBAL_DER_FEV_2023!H2174</f>
        <v>0</v>
      </c>
      <c r="I2174" s="901">
        <f>GLOBAL_DER_FEV_2023!I2174</f>
        <v>0</v>
      </c>
      <c r="J2174" s="902">
        <f>GLOBAL_DER_FEV_2023!J2174</f>
        <v>0</v>
      </c>
      <c r="K2174" s="903"/>
      <c r="L2174" s="1177"/>
      <c r="M2174" s="1138">
        <f t="shared" si="162"/>
        <v>0</v>
      </c>
      <c r="N2174" s="1176">
        <f t="shared" si="166"/>
        <v>0</v>
      </c>
      <c r="O2174" s="905"/>
      <c r="P2174" s="36" t="str">
        <f>IF(N2171&gt;0,"xx",IF(N2171&gt;0,"xy",""))</f>
        <v/>
      </c>
      <c r="Q2174" s="317" t="str">
        <f t="shared" si="163"/>
        <v/>
      </c>
      <c r="R2174" s="317" t="str">
        <f t="shared" si="164"/>
        <v/>
      </c>
      <c r="S2174" s="317" t="str">
        <f t="shared" si="165"/>
        <v/>
      </c>
      <c r="T2174" s="317" t="str">
        <f>GLOBAL_DER_FEV_2023!S2174</f>
        <v/>
      </c>
      <c r="W2174" s="582">
        <v>0</v>
      </c>
      <c r="X2174" s="580"/>
      <c r="Y2174" s="583">
        <f>IF(GLOBAL_DER_FEV_2023!W2174=0,0,IF(GLOBAL_DER_FEV_2023!W2174&gt;0,"c","b"))</f>
        <v>0</v>
      </c>
    </row>
    <row r="2175" spans="1:25" ht="15" hidden="1" customHeight="1" x14ac:dyDescent="0.2">
      <c r="A2175" s="317" t="s">
        <v>147</v>
      </c>
      <c r="B2175" s="895" t="s">
        <v>147</v>
      </c>
      <c r="C2175" s="896"/>
      <c r="D2175" s="906" t="s">
        <v>365</v>
      </c>
      <c r="E2175" s="907">
        <f>GLOBAL_DER_FEV_2023!E2175</f>
        <v>10</v>
      </c>
      <c r="F2175" s="908">
        <f>GLOBAL_DER_FEV_2023!F2175</f>
        <v>2.780802</v>
      </c>
      <c r="G2175" s="949">
        <f>GLOBAL_DER_FEV_2023!G2175</f>
        <v>37.207130760000005</v>
      </c>
      <c r="H2175" s="901">
        <f>GLOBAL_DER_FEV_2023!H2175</f>
        <v>0</v>
      </c>
      <c r="I2175" s="901">
        <f>GLOBAL_DER_FEV_2023!I2175</f>
        <v>0</v>
      </c>
      <c r="J2175" s="902">
        <f>GLOBAL_DER_FEV_2023!J2175</f>
        <v>0</v>
      </c>
      <c r="K2175" s="903"/>
      <c r="L2175" s="1177"/>
      <c r="M2175" s="1138">
        <f t="shared" si="162"/>
        <v>0</v>
      </c>
      <c r="N2175" s="1176">
        <f t="shared" si="166"/>
        <v>0</v>
      </c>
      <c r="O2175" s="905"/>
      <c r="P2175" s="36" t="str">
        <f>IF(N2171&gt;0,"xx",IF(N2171&gt;0,"xy",""))</f>
        <v/>
      </c>
      <c r="Q2175" s="317" t="str">
        <f t="shared" si="163"/>
        <v/>
      </c>
      <c r="R2175" s="317" t="str">
        <f t="shared" si="164"/>
        <v/>
      </c>
      <c r="S2175" s="317" t="str">
        <f t="shared" si="165"/>
        <v/>
      </c>
      <c r="T2175" s="317" t="str">
        <f>GLOBAL_DER_FEV_2023!S2175</f>
        <v/>
      </c>
      <c r="W2175" s="582">
        <v>0</v>
      </c>
      <c r="X2175" s="580"/>
      <c r="Y2175" s="583">
        <f>IF(GLOBAL_DER_FEV_2023!W2175=0,0,IF(GLOBAL_DER_FEV_2023!W2175&gt;0,"c","b"))</f>
        <v>0</v>
      </c>
    </row>
    <row r="2176" spans="1:25" ht="15" hidden="1" customHeight="1" x14ac:dyDescent="0.2">
      <c r="A2176" s="317" t="s">
        <v>147</v>
      </c>
      <c r="B2176" s="895" t="s">
        <v>147</v>
      </c>
      <c r="C2176" s="896"/>
      <c r="D2176" s="906" t="s">
        <v>366</v>
      </c>
      <c r="E2176" s="907">
        <f>GLOBAL_DER_FEV_2023!E2176</f>
        <v>353</v>
      </c>
      <c r="F2176" s="908">
        <f>GLOBAL_DER_FEV_2023!F2176</f>
        <v>9.2693399999999995E-2</v>
      </c>
      <c r="G2176" s="909">
        <f>GLOBAL_DER_FEV_2023!G2176</f>
        <v>26.247063144000002</v>
      </c>
      <c r="H2176" s="901">
        <f>GLOBAL_DER_FEV_2023!H2176</f>
        <v>0</v>
      </c>
      <c r="I2176" s="901">
        <f>GLOBAL_DER_FEV_2023!I2176</f>
        <v>0</v>
      </c>
      <c r="J2176" s="902">
        <f>GLOBAL_DER_FEV_2023!J2176</f>
        <v>0</v>
      </c>
      <c r="K2176" s="903"/>
      <c r="L2176" s="1177"/>
      <c r="M2176" s="1138">
        <f t="shared" si="162"/>
        <v>0</v>
      </c>
      <c r="N2176" s="1176">
        <f t="shared" si="166"/>
        <v>0</v>
      </c>
      <c r="O2176" s="905"/>
      <c r="P2176" s="36" t="str">
        <f>IF(N2171&gt;0,"xx",IF(N2171&gt;0,"xy",""))</f>
        <v/>
      </c>
      <c r="Q2176" s="317" t="str">
        <f t="shared" si="163"/>
        <v/>
      </c>
      <c r="R2176" s="317" t="str">
        <f t="shared" si="164"/>
        <v/>
      </c>
      <c r="S2176" s="317" t="str">
        <f t="shared" si="165"/>
        <v/>
      </c>
      <c r="T2176" s="317" t="str">
        <f>GLOBAL_DER_FEV_2023!S2176</f>
        <v/>
      </c>
      <c r="W2176" s="582">
        <v>0</v>
      </c>
      <c r="X2176" s="580"/>
      <c r="Y2176" s="583">
        <f>IF(GLOBAL_DER_FEV_2023!W2176=0,0,IF(GLOBAL_DER_FEV_2023!W2176&gt;0,"c","b"))</f>
        <v>0</v>
      </c>
    </row>
    <row r="2177" spans="1:25" ht="15" hidden="1" customHeight="1" x14ac:dyDescent="0.2">
      <c r="A2177" s="317" t="s">
        <v>100</v>
      </c>
      <c r="B2177" s="895" t="s">
        <v>100</v>
      </c>
      <c r="C2177" s="896" t="s">
        <v>184</v>
      </c>
      <c r="D2177" s="906" t="s">
        <v>86</v>
      </c>
      <c r="E2177" s="907">
        <f>GLOBAL_DER_FEV_2023!E2177</f>
        <v>0</v>
      </c>
      <c r="F2177" s="908">
        <f>GLOBAL_DER_FEV_2023!F2177</f>
        <v>0</v>
      </c>
      <c r="G2177" s="912">
        <f>GLOBAL_DER_FEV_2023!G2177</f>
        <v>485.84356440400001</v>
      </c>
      <c r="H2177" s="901">
        <f>GLOBAL_DER_FEV_2023!H2177</f>
        <v>4019.56</v>
      </c>
      <c r="I2177" s="901">
        <f>GLOBAL_DER_FEV_2023!I2177</f>
        <v>4505.4035644039996</v>
      </c>
      <c r="J2177" s="902">
        <f>GLOBAL_DER_FEV_2023!J2177</f>
        <v>5409.64</v>
      </c>
      <c r="K2177" s="903" t="s">
        <v>15</v>
      </c>
      <c r="L2177" s="1137"/>
      <c r="M2177" s="1138">
        <f t="shared" si="162"/>
        <v>0</v>
      </c>
      <c r="N2177" s="1176">
        <f t="shared" si="166"/>
        <v>0</v>
      </c>
      <c r="O2177" s="905"/>
      <c r="Q2177" s="317" t="str">
        <f t="shared" si="163"/>
        <v/>
      </c>
      <c r="R2177" s="317" t="str">
        <f t="shared" si="164"/>
        <v/>
      </c>
      <c r="S2177" s="317" t="str">
        <f t="shared" si="165"/>
        <v/>
      </c>
      <c r="T2177" s="317" t="str">
        <f>GLOBAL_DER_FEV_2023!S2177</f>
        <v/>
      </c>
      <c r="W2177" s="582">
        <v>0</v>
      </c>
      <c r="X2177" s="580"/>
      <c r="Y2177" s="583">
        <f>IF(GLOBAL_DER_FEV_2023!W2177=0,0,IF(GLOBAL_DER_FEV_2023!W2177&gt;0,"c","b"))</f>
        <v>0</v>
      </c>
    </row>
    <row r="2178" spans="1:25" ht="15" hidden="1" customHeight="1" x14ac:dyDescent="0.2">
      <c r="A2178" s="317" t="s">
        <v>147</v>
      </c>
      <c r="B2178" s="895" t="s">
        <v>147</v>
      </c>
      <c r="C2178" s="896"/>
      <c r="D2178" s="906" t="s">
        <v>190</v>
      </c>
      <c r="E2178" s="907">
        <f>GLOBAL_DER_FEV_2023!E2178</f>
        <v>308</v>
      </c>
      <c r="F2178" s="908">
        <f>GLOBAL_DER_FEV_2023!F2178</f>
        <v>0.33101039999999993</v>
      </c>
      <c r="G2178" s="909">
        <f>GLOBAL_DER_FEV_2023!G2178</f>
        <v>82.110439823999982</v>
      </c>
      <c r="H2178" s="901">
        <f>GLOBAL_DER_FEV_2023!H2178</f>
        <v>0</v>
      </c>
      <c r="I2178" s="901">
        <f>GLOBAL_DER_FEV_2023!I2178</f>
        <v>0</v>
      </c>
      <c r="J2178" s="902">
        <f>GLOBAL_DER_FEV_2023!J2178</f>
        <v>0</v>
      </c>
      <c r="K2178" s="903"/>
      <c r="L2178" s="1177"/>
      <c r="M2178" s="1138">
        <f t="shared" si="162"/>
        <v>0</v>
      </c>
      <c r="N2178" s="1176">
        <f t="shared" si="166"/>
        <v>0</v>
      </c>
      <c r="O2178" s="905"/>
      <c r="P2178" s="36" t="str">
        <f>IF(N2177&gt;0,"xx",IF(N2177&gt;0,"xy",""))</f>
        <v/>
      </c>
      <c r="Q2178" s="317" t="str">
        <f t="shared" si="163"/>
        <v/>
      </c>
      <c r="R2178" s="317" t="str">
        <f t="shared" si="164"/>
        <v/>
      </c>
      <c r="S2178" s="317" t="str">
        <f t="shared" si="165"/>
        <v/>
      </c>
      <c r="T2178" s="317" t="str">
        <f>GLOBAL_DER_FEV_2023!S2178</f>
        <v/>
      </c>
      <c r="W2178" s="582">
        <v>0</v>
      </c>
      <c r="X2178" s="580"/>
      <c r="Y2178" s="583">
        <f>IF(GLOBAL_DER_FEV_2023!W2178=0,0,IF(GLOBAL_DER_FEV_2023!W2178&gt;0,"c","b"))</f>
        <v>0</v>
      </c>
    </row>
    <row r="2179" spans="1:25" ht="15" hidden="1" customHeight="1" x14ac:dyDescent="0.2">
      <c r="A2179" s="317" t="s">
        <v>147</v>
      </c>
      <c r="B2179" s="895" t="s">
        <v>147</v>
      </c>
      <c r="C2179" s="896"/>
      <c r="D2179" s="906" t="s">
        <v>229</v>
      </c>
      <c r="E2179" s="907">
        <f>GLOBAL_DER_FEV_2023!E2179</f>
        <v>150</v>
      </c>
      <c r="F2179" s="908">
        <f>GLOBAL_DER_FEV_2023!F2179</f>
        <v>1.9795149999999999</v>
      </c>
      <c r="G2179" s="949">
        <f>GLOBAL_DER_FEV_2023!G2179</f>
        <v>323.01725770000002</v>
      </c>
      <c r="H2179" s="901">
        <f>GLOBAL_DER_FEV_2023!H2179</f>
        <v>0</v>
      </c>
      <c r="I2179" s="901">
        <f>GLOBAL_DER_FEV_2023!I2179</f>
        <v>0</v>
      </c>
      <c r="J2179" s="902">
        <f>GLOBAL_DER_FEV_2023!J2179</f>
        <v>0</v>
      </c>
      <c r="K2179" s="903"/>
      <c r="L2179" s="1177"/>
      <c r="M2179" s="1138">
        <f t="shared" si="162"/>
        <v>0</v>
      </c>
      <c r="N2179" s="1176">
        <f t="shared" si="166"/>
        <v>0</v>
      </c>
      <c r="O2179" s="905"/>
      <c r="P2179" s="36" t="str">
        <f>IF(N2177&gt;0,"xx",IF(N2177&gt;0,"xy",""))</f>
        <v/>
      </c>
      <c r="Q2179" s="317" t="str">
        <f t="shared" si="163"/>
        <v/>
      </c>
      <c r="R2179" s="317" t="str">
        <f t="shared" si="164"/>
        <v/>
      </c>
      <c r="S2179" s="317" t="str">
        <f t="shared" si="165"/>
        <v/>
      </c>
      <c r="T2179" s="317" t="str">
        <f>GLOBAL_DER_FEV_2023!S2179</f>
        <v/>
      </c>
      <c r="W2179" s="582">
        <v>0</v>
      </c>
      <c r="X2179" s="580"/>
      <c r="Y2179" s="583">
        <f>IF(GLOBAL_DER_FEV_2023!W2179=0,0,IF(GLOBAL_DER_FEV_2023!W2179&gt;0,"c","b"))</f>
        <v>0</v>
      </c>
    </row>
    <row r="2180" spans="1:25" ht="15" hidden="1" customHeight="1" x14ac:dyDescent="0.2">
      <c r="A2180" s="317" t="s">
        <v>147</v>
      </c>
      <c r="B2180" s="895" t="s">
        <v>147</v>
      </c>
      <c r="C2180" s="896"/>
      <c r="D2180" s="906" t="s">
        <v>233</v>
      </c>
      <c r="E2180" s="907">
        <f>GLOBAL_DER_FEV_2023!E2180</f>
        <v>0.2</v>
      </c>
      <c r="F2180" s="908">
        <f>GLOBAL_DER_FEV_2023!F2180</f>
        <v>0.38805600000000001</v>
      </c>
      <c r="G2180" s="949">
        <f>GLOBAL_DER_FEV_2023!G2180</f>
        <v>1.1230340640000001</v>
      </c>
      <c r="H2180" s="901">
        <f>GLOBAL_DER_FEV_2023!H2180</f>
        <v>0</v>
      </c>
      <c r="I2180" s="901">
        <f>GLOBAL_DER_FEV_2023!I2180</f>
        <v>0</v>
      </c>
      <c r="J2180" s="902">
        <f>GLOBAL_DER_FEV_2023!J2180</f>
        <v>0</v>
      </c>
      <c r="K2180" s="903"/>
      <c r="L2180" s="1177"/>
      <c r="M2180" s="1138">
        <f t="shared" si="162"/>
        <v>0</v>
      </c>
      <c r="N2180" s="1176">
        <f t="shared" si="166"/>
        <v>0</v>
      </c>
      <c r="O2180" s="905"/>
      <c r="P2180" s="36" t="str">
        <f>IF(N2177&gt;0,"xx",IF(N2177&gt;0,"xy",""))</f>
        <v/>
      </c>
      <c r="Q2180" s="317" t="str">
        <f t="shared" si="163"/>
        <v/>
      </c>
      <c r="R2180" s="317" t="str">
        <f t="shared" si="164"/>
        <v/>
      </c>
      <c r="S2180" s="317" t="str">
        <f t="shared" si="165"/>
        <v/>
      </c>
      <c r="T2180" s="317" t="str">
        <f>GLOBAL_DER_FEV_2023!S2180</f>
        <v/>
      </c>
      <c r="W2180" s="582">
        <v>0</v>
      </c>
      <c r="X2180" s="580"/>
      <c r="Y2180" s="583">
        <f>IF(GLOBAL_DER_FEV_2023!W2180=0,0,IF(GLOBAL_DER_FEV_2023!W2180&gt;0,"c","b"))</f>
        <v>0</v>
      </c>
    </row>
    <row r="2181" spans="1:25" ht="15" hidden="1" customHeight="1" x14ac:dyDescent="0.2">
      <c r="A2181" s="317" t="s">
        <v>147</v>
      </c>
      <c r="B2181" s="895" t="s">
        <v>147</v>
      </c>
      <c r="C2181" s="896"/>
      <c r="D2181" s="906" t="s">
        <v>365</v>
      </c>
      <c r="E2181" s="907">
        <f>GLOBAL_DER_FEV_2023!E2181</f>
        <v>10</v>
      </c>
      <c r="F2181" s="908">
        <f>GLOBAL_DER_FEV_2023!F2181</f>
        <v>3.4880579999999992</v>
      </c>
      <c r="G2181" s="949">
        <f>GLOBAL_DER_FEV_2023!G2181</f>
        <v>46.670216039999993</v>
      </c>
      <c r="H2181" s="901">
        <f>GLOBAL_DER_FEV_2023!H2181</f>
        <v>0</v>
      </c>
      <c r="I2181" s="901">
        <f>GLOBAL_DER_FEV_2023!I2181</f>
        <v>0</v>
      </c>
      <c r="J2181" s="902">
        <f>GLOBAL_DER_FEV_2023!J2181</f>
        <v>0</v>
      </c>
      <c r="K2181" s="903"/>
      <c r="L2181" s="1177"/>
      <c r="M2181" s="1138">
        <f t="shared" si="162"/>
        <v>0</v>
      </c>
      <c r="N2181" s="1176">
        <f t="shared" si="166"/>
        <v>0</v>
      </c>
      <c r="O2181" s="905"/>
      <c r="P2181" s="36" t="str">
        <f>IF(N2177&gt;0,"xx",IF(N2177&gt;0,"xy",""))</f>
        <v/>
      </c>
      <c r="Q2181" s="317" t="str">
        <f t="shared" si="163"/>
        <v/>
      </c>
      <c r="R2181" s="317" t="str">
        <f t="shared" si="164"/>
        <v/>
      </c>
      <c r="S2181" s="317" t="str">
        <f t="shared" si="165"/>
        <v/>
      </c>
      <c r="T2181" s="317" t="str">
        <f>GLOBAL_DER_FEV_2023!S2181</f>
        <v/>
      </c>
      <c r="W2181" s="582">
        <v>0</v>
      </c>
      <c r="X2181" s="580"/>
      <c r="Y2181" s="583">
        <f>IF(GLOBAL_DER_FEV_2023!W2181=0,0,IF(GLOBAL_DER_FEV_2023!W2181&gt;0,"c","b"))</f>
        <v>0</v>
      </c>
    </row>
    <row r="2182" spans="1:25" ht="15" hidden="1" customHeight="1" x14ac:dyDescent="0.2">
      <c r="A2182" s="317" t="s">
        <v>147</v>
      </c>
      <c r="B2182" s="895" t="s">
        <v>147</v>
      </c>
      <c r="C2182" s="896"/>
      <c r="D2182" s="906" t="s">
        <v>366</v>
      </c>
      <c r="E2182" s="907">
        <f>GLOBAL_DER_FEV_2023!E2182</f>
        <v>353</v>
      </c>
      <c r="F2182" s="908">
        <f>GLOBAL_DER_FEV_2023!F2182</f>
        <v>0.11626859999999997</v>
      </c>
      <c r="G2182" s="909">
        <f>GLOBAL_DER_FEV_2023!G2182</f>
        <v>32.922616775999998</v>
      </c>
      <c r="H2182" s="901">
        <f>GLOBAL_DER_FEV_2023!H2182</f>
        <v>0</v>
      </c>
      <c r="I2182" s="901">
        <f>GLOBAL_DER_FEV_2023!I2182</f>
        <v>0</v>
      </c>
      <c r="J2182" s="902">
        <f>GLOBAL_DER_FEV_2023!J2182</f>
        <v>0</v>
      </c>
      <c r="K2182" s="903"/>
      <c r="L2182" s="1177"/>
      <c r="M2182" s="1138">
        <f t="shared" si="162"/>
        <v>0</v>
      </c>
      <c r="N2182" s="1176">
        <f t="shared" si="166"/>
        <v>0</v>
      </c>
      <c r="O2182" s="905"/>
      <c r="P2182" s="36" t="str">
        <f>IF(N2177&gt;0,"xx",IF(N2177&gt;0,"xy",""))</f>
        <v/>
      </c>
      <c r="Q2182" s="317" t="str">
        <f t="shared" si="163"/>
        <v/>
      </c>
      <c r="R2182" s="317" t="str">
        <f t="shared" si="164"/>
        <v/>
      </c>
      <c r="S2182" s="317" t="str">
        <f t="shared" si="165"/>
        <v/>
      </c>
      <c r="T2182" s="317" t="str">
        <f>GLOBAL_DER_FEV_2023!S2182</f>
        <v/>
      </c>
      <c r="W2182" s="582">
        <v>0</v>
      </c>
      <c r="X2182" s="580"/>
      <c r="Y2182" s="583">
        <f>IF(GLOBAL_DER_FEV_2023!W2182=0,0,IF(GLOBAL_DER_FEV_2023!W2182&gt;0,"c","b"))</f>
        <v>0</v>
      </c>
    </row>
    <row r="2183" spans="1:25" ht="15" hidden="1" customHeight="1" x14ac:dyDescent="0.2">
      <c r="A2183" s="317" t="s">
        <v>101</v>
      </c>
      <c r="B2183" s="895" t="s">
        <v>101</v>
      </c>
      <c r="C2183" s="896" t="s">
        <v>184</v>
      </c>
      <c r="D2183" s="906" t="s">
        <v>371</v>
      </c>
      <c r="E2183" s="907">
        <f>GLOBAL_DER_FEV_2023!E2183</f>
        <v>0</v>
      </c>
      <c r="F2183" s="908">
        <f>GLOBAL_DER_FEV_2023!F2183</f>
        <v>0</v>
      </c>
      <c r="G2183" s="912">
        <f>GLOBAL_DER_FEV_2023!G2183</f>
        <v>605.97564743200007</v>
      </c>
      <c r="H2183" s="901">
        <f>GLOBAL_DER_FEV_2023!H2183</f>
        <v>2212.59</v>
      </c>
      <c r="I2183" s="901">
        <f>GLOBAL_DER_FEV_2023!I2183</f>
        <v>2818.5656474320003</v>
      </c>
      <c r="J2183" s="902">
        <f>GLOBAL_DER_FEV_2023!J2183</f>
        <v>3384.25</v>
      </c>
      <c r="K2183" s="903" t="s">
        <v>15</v>
      </c>
      <c r="L2183" s="1137"/>
      <c r="M2183" s="1138">
        <f t="shared" si="162"/>
        <v>0</v>
      </c>
      <c r="N2183" s="1176">
        <f t="shared" si="166"/>
        <v>0</v>
      </c>
      <c r="O2183" s="905"/>
      <c r="Q2183" s="317" t="str">
        <f t="shared" si="163"/>
        <v/>
      </c>
      <c r="R2183" s="317" t="str">
        <f t="shared" si="164"/>
        <v/>
      </c>
      <c r="S2183" s="317" t="str">
        <f t="shared" si="165"/>
        <v/>
      </c>
      <c r="T2183" s="317" t="str">
        <f>GLOBAL_DER_FEV_2023!S2183</f>
        <v/>
      </c>
      <c r="W2183" s="582">
        <v>0</v>
      </c>
      <c r="X2183" s="580"/>
      <c r="Y2183" s="583">
        <f>IF(GLOBAL_DER_FEV_2023!W2183=0,0,IF(GLOBAL_DER_FEV_2023!W2183&gt;0,"c","b"))</f>
        <v>0</v>
      </c>
    </row>
    <row r="2184" spans="1:25" ht="15" hidden="1" customHeight="1" x14ac:dyDescent="0.2">
      <c r="A2184" s="317" t="s">
        <v>147</v>
      </c>
      <c r="B2184" s="895" t="s">
        <v>147</v>
      </c>
      <c r="C2184" s="896"/>
      <c r="D2184" s="906" t="s">
        <v>190</v>
      </c>
      <c r="E2184" s="907">
        <f>GLOBAL_DER_FEV_2023!E2184</f>
        <v>308</v>
      </c>
      <c r="F2184" s="908">
        <f>GLOBAL_DER_FEV_2023!F2184</f>
        <v>0.82205400000000006</v>
      </c>
      <c r="G2184" s="909">
        <f>GLOBAL_DER_FEV_2023!G2184</f>
        <v>203.91871524000001</v>
      </c>
      <c r="H2184" s="901">
        <f>GLOBAL_DER_FEV_2023!H2184</f>
        <v>0</v>
      </c>
      <c r="I2184" s="901">
        <f>GLOBAL_DER_FEV_2023!I2184</f>
        <v>0</v>
      </c>
      <c r="J2184" s="902">
        <f>GLOBAL_DER_FEV_2023!J2184</f>
        <v>0</v>
      </c>
      <c r="K2184" s="903"/>
      <c r="L2184" s="1177"/>
      <c r="M2184" s="1138">
        <f t="shared" si="162"/>
        <v>0</v>
      </c>
      <c r="N2184" s="1176">
        <f t="shared" si="166"/>
        <v>0</v>
      </c>
      <c r="O2184" s="905"/>
      <c r="P2184" s="36" t="str">
        <f>IF(N2183&gt;0,"xx",IF(N2183&gt;0,"xy",""))</f>
        <v/>
      </c>
      <c r="Q2184" s="317" t="str">
        <f t="shared" si="163"/>
        <v/>
      </c>
      <c r="R2184" s="317" t="str">
        <f t="shared" si="164"/>
        <v/>
      </c>
      <c r="S2184" s="317" t="str">
        <f t="shared" si="165"/>
        <v/>
      </c>
      <c r="T2184" s="317" t="str">
        <f>GLOBAL_DER_FEV_2023!S2184</f>
        <v/>
      </c>
      <c r="W2184" s="582">
        <v>0</v>
      </c>
      <c r="X2184" s="580"/>
      <c r="Y2184" s="583">
        <f>IF(GLOBAL_DER_FEV_2023!W2184=0,0,IF(GLOBAL_DER_FEV_2023!W2184&gt;0,"c","b"))</f>
        <v>0</v>
      </c>
    </row>
    <row r="2185" spans="1:25" ht="15" hidden="1" customHeight="1" x14ac:dyDescent="0.2">
      <c r="A2185" s="317" t="s">
        <v>147</v>
      </c>
      <c r="B2185" s="895" t="s">
        <v>147</v>
      </c>
      <c r="C2185" s="896"/>
      <c r="D2185" s="906" t="s">
        <v>229</v>
      </c>
      <c r="E2185" s="907">
        <f>GLOBAL_DER_FEV_2023!E2185</f>
        <v>150</v>
      </c>
      <c r="F2185" s="908">
        <f>GLOBAL_DER_FEV_2023!F2185</f>
        <v>2.4129430000000003</v>
      </c>
      <c r="G2185" s="949">
        <f>GLOBAL_DER_FEV_2023!G2185</f>
        <v>393.74403874000006</v>
      </c>
      <c r="H2185" s="901">
        <f>GLOBAL_DER_FEV_2023!H2185</f>
        <v>0</v>
      </c>
      <c r="I2185" s="901">
        <f>GLOBAL_DER_FEV_2023!I2185</f>
        <v>0</v>
      </c>
      <c r="J2185" s="902">
        <f>GLOBAL_DER_FEV_2023!J2185</f>
        <v>0</v>
      </c>
      <c r="K2185" s="903"/>
      <c r="L2185" s="1177"/>
      <c r="M2185" s="1138">
        <f t="shared" si="162"/>
        <v>0</v>
      </c>
      <c r="N2185" s="1176">
        <f t="shared" si="166"/>
        <v>0</v>
      </c>
      <c r="O2185" s="905"/>
      <c r="P2185" s="36" t="str">
        <f>IF(N2183&gt;0,"xx",IF(N2183&gt;0,"xy",""))</f>
        <v/>
      </c>
      <c r="Q2185" s="317" t="str">
        <f t="shared" si="163"/>
        <v/>
      </c>
      <c r="R2185" s="317" t="str">
        <f t="shared" si="164"/>
        <v/>
      </c>
      <c r="S2185" s="317" t="str">
        <f t="shared" si="165"/>
        <v/>
      </c>
      <c r="T2185" s="317" t="str">
        <f>GLOBAL_DER_FEV_2023!S2185</f>
        <v/>
      </c>
      <c r="W2185" s="582">
        <v>0</v>
      </c>
      <c r="X2185" s="580"/>
      <c r="Y2185" s="583">
        <f>IF(GLOBAL_DER_FEV_2023!W2185=0,0,IF(GLOBAL_DER_FEV_2023!W2185&gt;0,"c","b"))</f>
        <v>0</v>
      </c>
    </row>
    <row r="2186" spans="1:25" ht="15" hidden="1" customHeight="1" x14ac:dyDescent="0.2">
      <c r="A2186" s="317" t="s">
        <v>147</v>
      </c>
      <c r="B2186" s="895" t="s">
        <v>147</v>
      </c>
      <c r="C2186" s="896"/>
      <c r="D2186" s="906" t="s">
        <v>233</v>
      </c>
      <c r="E2186" s="907">
        <f>GLOBAL_DER_FEV_2023!E2186</f>
        <v>0.2</v>
      </c>
      <c r="F2186" s="908">
        <f>GLOBAL_DER_FEV_2023!F2186</f>
        <v>2.8724580000000004</v>
      </c>
      <c r="G2186" s="949">
        <f>GLOBAL_DER_FEV_2023!G2186</f>
        <v>8.3128934520000008</v>
      </c>
      <c r="H2186" s="901">
        <f>GLOBAL_DER_FEV_2023!H2186</f>
        <v>0</v>
      </c>
      <c r="I2186" s="901">
        <f>GLOBAL_DER_FEV_2023!I2186</f>
        <v>0</v>
      </c>
      <c r="J2186" s="902">
        <f>GLOBAL_DER_FEV_2023!J2186</f>
        <v>0</v>
      </c>
      <c r="K2186" s="903"/>
      <c r="L2186" s="1177"/>
      <c r="M2186" s="1138">
        <f t="shared" si="162"/>
        <v>0</v>
      </c>
      <c r="N2186" s="1176">
        <f t="shared" si="166"/>
        <v>0</v>
      </c>
      <c r="O2186" s="905"/>
      <c r="P2186" s="36" t="str">
        <f>IF(N2183&gt;0,"xx",IF(N2183&gt;0,"xy",""))</f>
        <v/>
      </c>
      <c r="Q2186" s="317" t="str">
        <f t="shared" si="163"/>
        <v/>
      </c>
      <c r="R2186" s="317" t="str">
        <f t="shared" si="164"/>
        <v/>
      </c>
      <c r="S2186" s="317" t="str">
        <f t="shared" si="165"/>
        <v/>
      </c>
      <c r="T2186" s="317" t="str">
        <f>GLOBAL_DER_FEV_2023!S2186</f>
        <v/>
      </c>
      <c r="W2186" s="582">
        <v>0</v>
      </c>
      <c r="X2186" s="580"/>
      <c r="Y2186" s="583">
        <f>IF(GLOBAL_DER_FEV_2023!W2186=0,0,IF(GLOBAL_DER_FEV_2023!W2186&gt;0,"c","b"))</f>
        <v>0</v>
      </c>
    </row>
    <row r="2187" spans="1:25" ht="15" hidden="1" customHeight="1" x14ac:dyDescent="0.2">
      <c r="A2187" s="317" t="s">
        <v>102</v>
      </c>
      <c r="B2187" s="895" t="s">
        <v>102</v>
      </c>
      <c r="C2187" s="896" t="s">
        <v>184</v>
      </c>
      <c r="D2187" s="906" t="s">
        <v>372</v>
      </c>
      <c r="E2187" s="907">
        <f>GLOBAL_DER_FEV_2023!E2187</f>
        <v>0</v>
      </c>
      <c r="F2187" s="908">
        <f>GLOBAL_DER_FEV_2023!F2187</f>
        <v>0</v>
      </c>
      <c r="G2187" s="912">
        <f>GLOBAL_DER_FEV_2023!G2187</f>
        <v>753.54694427199991</v>
      </c>
      <c r="H2187" s="901">
        <f>GLOBAL_DER_FEV_2023!H2187</f>
        <v>2568.52</v>
      </c>
      <c r="I2187" s="901">
        <f>GLOBAL_DER_FEV_2023!I2187</f>
        <v>3322.066944272</v>
      </c>
      <c r="J2187" s="902">
        <f>GLOBAL_DER_FEV_2023!J2187</f>
        <v>3988.81</v>
      </c>
      <c r="K2187" s="903" t="s">
        <v>15</v>
      </c>
      <c r="L2187" s="1137"/>
      <c r="M2187" s="1138">
        <f t="shared" si="162"/>
        <v>0</v>
      </c>
      <c r="N2187" s="1176">
        <f t="shared" si="166"/>
        <v>0</v>
      </c>
      <c r="O2187" s="905"/>
      <c r="Q2187" s="317" t="str">
        <f t="shared" si="163"/>
        <v/>
      </c>
      <c r="R2187" s="317" t="str">
        <f t="shared" si="164"/>
        <v/>
      </c>
      <c r="S2187" s="317" t="str">
        <f t="shared" si="165"/>
        <v/>
      </c>
      <c r="T2187" s="317" t="str">
        <f>GLOBAL_DER_FEV_2023!S2187</f>
        <v/>
      </c>
      <c r="W2187" s="582">
        <v>0</v>
      </c>
      <c r="X2187" s="580"/>
      <c r="Y2187" s="583">
        <f>IF(GLOBAL_DER_FEV_2023!W2187=0,0,IF(GLOBAL_DER_FEV_2023!W2187&gt;0,"c","b"))</f>
        <v>0</v>
      </c>
    </row>
    <row r="2188" spans="1:25" ht="15" hidden="1" customHeight="1" x14ac:dyDescent="0.2">
      <c r="A2188" s="317" t="s">
        <v>147</v>
      </c>
      <c r="B2188" s="895" t="s">
        <v>147</v>
      </c>
      <c r="C2188" s="896"/>
      <c r="D2188" s="906" t="s">
        <v>190</v>
      </c>
      <c r="E2188" s="907">
        <f>GLOBAL_DER_FEV_2023!E2188</f>
        <v>308</v>
      </c>
      <c r="F2188" s="908">
        <f>GLOBAL_DER_FEV_2023!F2188</f>
        <v>1.028964</v>
      </c>
      <c r="G2188" s="909">
        <f>GLOBAL_DER_FEV_2023!G2188</f>
        <v>255.24480983999999</v>
      </c>
      <c r="H2188" s="901">
        <f>GLOBAL_DER_FEV_2023!H2188</f>
        <v>0</v>
      </c>
      <c r="I2188" s="901">
        <f>GLOBAL_DER_FEV_2023!I2188</f>
        <v>0</v>
      </c>
      <c r="J2188" s="902">
        <f>GLOBAL_DER_FEV_2023!J2188</f>
        <v>0</v>
      </c>
      <c r="K2188" s="903"/>
      <c r="L2188" s="1177"/>
      <c r="M2188" s="1138">
        <f t="shared" si="162"/>
        <v>0</v>
      </c>
      <c r="N2188" s="1176">
        <f t="shared" si="166"/>
        <v>0</v>
      </c>
      <c r="O2188" s="905"/>
      <c r="P2188" s="36" t="str">
        <f>IF(N2187&gt;0,"xx",IF(N2187&gt;0,"xy",""))</f>
        <v/>
      </c>
      <c r="Q2188" s="317" t="str">
        <f t="shared" si="163"/>
        <v/>
      </c>
      <c r="R2188" s="317" t="str">
        <f t="shared" si="164"/>
        <v/>
      </c>
      <c r="S2188" s="317" t="str">
        <f t="shared" si="165"/>
        <v/>
      </c>
      <c r="T2188" s="317" t="str">
        <f>GLOBAL_DER_FEV_2023!S2188</f>
        <v/>
      </c>
      <c r="W2188" s="582">
        <v>0</v>
      </c>
      <c r="X2188" s="580"/>
      <c r="Y2188" s="583">
        <f>IF(GLOBAL_DER_FEV_2023!W2188=0,0,IF(GLOBAL_DER_FEV_2023!W2188&gt;0,"c","b"))</f>
        <v>0</v>
      </c>
    </row>
    <row r="2189" spans="1:25" ht="15" hidden="1" customHeight="1" x14ac:dyDescent="0.2">
      <c r="A2189" s="317" t="s">
        <v>147</v>
      </c>
      <c r="B2189" s="895" t="s">
        <v>147</v>
      </c>
      <c r="C2189" s="896"/>
      <c r="D2189" s="906" t="s">
        <v>229</v>
      </c>
      <c r="E2189" s="907">
        <f>GLOBAL_DER_FEV_2023!E2189</f>
        <v>150</v>
      </c>
      <c r="F2189" s="908">
        <f>GLOBAL_DER_FEV_2023!F2189</f>
        <v>2.9904099999999998</v>
      </c>
      <c r="G2189" s="949">
        <f>GLOBAL_DER_FEV_2023!G2189</f>
        <v>487.9751038</v>
      </c>
      <c r="H2189" s="901">
        <f>GLOBAL_DER_FEV_2023!H2189</f>
        <v>0</v>
      </c>
      <c r="I2189" s="901">
        <f>GLOBAL_DER_FEV_2023!I2189</f>
        <v>0</v>
      </c>
      <c r="J2189" s="902">
        <f>GLOBAL_DER_FEV_2023!J2189</f>
        <v>0</v>
      </c>
      <c r="K2189" s="903"/>
      <c r="L2189" s="1177"/>
      <c r="M2189" s="1138">
        <f t="shared" si="162"/>
        <v>0</v>
      </c>
      <c r="N2189" s="1176">
        <f t="shared" si="166"/>
        <v>0</v>
      </c>
      <c r="O2189" s="905"/>
      <c r="P2189" s="36" t="str">
        <f>IF(N2187&gt;0,"xx",IF(N2187&gt;0,"xy",""))</f>
        <v/>
      </c>
      <c r="Q2189" s="317" t="str">
        <f t="shared" si="163"/>
        <v/>
      </c>
      <c r="R2189" s="317" t="str">
        <f t="shared" si="164"/>
        <v/>
      </c>
      <c r="S2189" s="317" t="str">
        <f t="shared" si="165"/>
        <v/>
      </c>
      <c r="T2189" s="317" t="str">
        <f>GLOBAL_DER_FEV_2023!S2189</f>
        <v/>
      </c>
      <c r="W2189" s="582">
        <v>0</v>
      </c>
      <c r="X2189" s="580"/>
      <c r="Y2189" s="583">
        <f>IF(GLOBAL_DER_FEV_2023!W2189=0,0,IF(GLOBAL_DER_FEV_2023!W2189&gt;0,"c","b"))</f>
        <v>0</v>
      </c>
    </row>
    <row r="2190" spans="1:25" ht="15" hidden="1" customHeight="1" x14ac:dyDescent="0.2">
      <c r="A2190" s="317" t="s">
        <v>147</v>
      </c>
      <c r="B2190" s="895" t="s">
        <v>147</v>
      </c>
      <c r="C2190" s="896"/>
      <c r="D2190" s="906" t="s">
        <v>233</v>
      </c>
      <c r="E2190" s="907">
        <f>GLOBAL_DER_FEV_2023!E2190</f>
        <v>0.2</v>
      </c>
      <c r="F2190" s="908">
        <f>GLOBAL_DER_FEV_2023!F2190</f>
        <v>3.5684279999999999</v>
      </c>
      <c r="G2190" s="949">
        <f>GLOBAL_DER_FEV_2023!G2190</f>
        <v>10.327030632</v>
      </c>
      <c r="H2190" s="901">
        <f>GLOBAL_DER_FEV_2023!H2190</f>
        <v>0</v>
      </c>
      <c r="I2190" s="901">
        <f>GLOBAL_DER_FEV_2023!I2190</f>
        <v>0</v>
      </c>
      <c r="J2190" s="902">
        <f>GLOBAL_DER_FEV_2023!J2190</f>
        <v>0</v>
      </c>
      <c r="K2190" s="903"/>
      <c r="L2190" s="1177"/>
      <c r="M2190" s="1138">
        <f t="shared" si="162"/>
        <v>0</v>
      </c>
      <c r="N2190" s="1176">
        <f t="shared" si="166"/>
        <v>0</v>
      </c>
      <c r="O2190" s="905"/>
      <c r="P2190" s="36" t="str">
        <f>IF(N2187&gt;0,"xx",IF(N2187&gt;0,"xy",""))</f>
        <v/>
      </c>
      <c r="Q2190" s="317" t="str">
        <f t="shared" si="163"/>
        <v/>
      </c>
      <c r="R2190" s="317" t="str">
        <f t="shared" si="164"/>
        <v/>
      </c>
      <c r="S2190" s="317" t="str">
        <f t="shared" si="165"/>
        <v/>
      </c>
      <c r="T2190" s="317" t="str">
        <f>GLOBAL_DER_FEV_2023!S2190</f>
        <v/>
      </c>
      <c r="W2190" s="582">
        <v>0</v>
      </c>
      <c r="X2190" s="580"/>
      <c r="Y2190" s="583">
        <f>IF(GLOBAL_DER_FEV_2023!W2190=0,0,IF(GLOBAL_DER_FEV_2023!W2190&gt;0,"c","b"))</f>
        <v>0</v>
      </c>
    </row>
    <row r="2191" spans="1:25" ht="15" hidden="1" customHeight="1" x14ac:dyDescent="0.2">
      <c r="A2191" s="317" t="s">
        <v>103</v>
      </c>
      <c r="B2191" s="895" t="s">
        <v>103</v>
      </c>
      <c r="C2191" s="896" t="s">
        <v>184</v>
      </c>
      <c r="D2191" s="906" t="s">
        <v>373</v>
      </c>
      <c r="E2191" s="907">
        <f>GLOBAL_DER_FEV_2023!E2191</f>
        <v>0</v>
      </c>
      <c r="F2191" s="908">
        <f>GLOBAL_DER_FEV_2023!F2191</f>
        <v>0</v>
      </c>
      <c r="G2191" s="912">
        <f>GLOBAL_DER_FEV_2023!G2191</f>
        <v>995.02724819199989</v>
      </c>
      <c r="H2191" s="901">
        <f>GLOBAL_DER_FEV_2023!H2191</f>
        <v>3151.98</v>
      </c>
      <c r="I2191" s="901">
        <f>GLOBAL_DER_FEV_2023!I2191</f>
        <v>4147.0072481919997</v>
      </c>
      <c r="J2191" s="902">
        <f>GLOBAL_DER_FEV_2023!J2191</f>
        <v>4979.3100000000004</v>
      </c>
      <c r="K2191" s="903" t="s">
        <v>15</v>
      </c>
      <c r="L2191" s="1137"/>
      <c r="M2191" s="1138">
        <f t="shared" si="162"/>
        <v>0</v>
      </c>
      <c r="N2191" s="1176">
        <f t="shared" si="166"/>
        <v>0</v>
      </c>
      <c r="O2191" s="905"/>
      <c r="Q2191" s="317" t="str">
        <f t="shared" si="163"/>
        <v/>
      </c>
      <c r="R2191" s="317" t="str">
        <f t="shared" si="164"/>
        <v/>
      </c>
      <c r="S2191" s="317" t="str">
        <f t="shared" si="165"/>
        <v/>
      </c>
      <c r="T2191" s="317" t="str">
        <f>GLOBAL_DER_FEV_2023!S2191</f>
        <v/>
      </c>
      <c r="W2191" s="582">
        <v>0</v>
      </c>
      <c r="X2191" s="580"/>
      <c r="Y2191" s="583">
        <f>IF(GLOBAL_DER_FEV_2023!W2191=0,0,IF(GLOBAL_DER_FEV_2023!W2191&gt;0,"c","b"))</f>
        <v>0</v>
      </c>
    </row>
    <row r="2192" spans="1:25" ht="15" hidden="1" customHeight="1" x14ac:dyDescent="0.2">
      <c r="A2192" s="317" t="s">
        <v>147</v>
      </c>
      <c r="B2192" s="895" t="s">
        <v>147</v>
      </c>
      <c r="C2192" s="896"/>
      <c r="D2192" s="906" t="s">
        <v>190</v>
      </c>
      <c r="E2192" s="907">
        <f>GLOBAL_DER_FEV_2023!E2192</f>
        <v>308</v>
      </c>
      <c r="F2192" s="908">
        <f>GLOBAL_DER_FEV_2023!F2192</f>
        <v>1.3675439999999999</v>
      </c>
      <c r="G2192" s="909">
        <f>GLOBAL_DER_FEV_2023!G2192</f>
        <v>339.23296463999998</v>
      </c>
      <c r="H2192" s="901">
        <f>GLOBAL_DER_FEV_2023!H2192</f>
        <v>0</v>
      </c>
      <c r="I2192" s="901">
        <f>GLOBAL_DER_FEV_2023!I2192</f>
        <v>0</v>
      </c>
      <c r="J2192" s="902">
        <f>GLOBAL_DER_FEV_2023!J2192</f>
        <v>0</v>
      </c>
      <c r="K2192" s="903"/>
      <c r="L2192" s="1177"/>
      <c r="M2192" s="1138">
        <f t="shared" si="162"/>
        <v>0</v>
      </c>
      <c r="N2192" s="1176">
        <f t="shared" si="166"/>
        <v>0</v>
      </c>
      <c r="O2192" s="905"/>
      <c r="P2192" s="36" t="str">
        <f>IF(N2191&gt;0,"xx",IF(N2191&gt;0,"xy",""))</f>
        <v/>
      </c>
      <c r="Q2192" s="317" t="str">
        <f t="shared" si="163"/>
        <v/>
      </c>
      <c r="R2192" s="317" t="str">
        <f t="shared" si="164"/>
        <v/>
      </c>
      <c r="S2192" s="317" t="str">
        <f t="shared" si="165"/>
        <v/>
      </c>
      <c r="T2192" s="317" t="str">
        <f>GLOBAL_DER_FEV_2023!S2192</f>
        <v/>
      </c>
      <c r="W2192" s="582">
        <v>0</v>
      </c>
      <c r="X2192" s="580"/>
      <c r="Y2192" s="583">
        <f>IF(GLOBAL_DER_FEV_2023!W2192=0,0,IF(GLOBAL_DER_FEV_2023!W2192&gt;0,"c","b"))</f>
        <v>0</v>
      </c>
    </row>
    <row r="2193" spans="1:25" ht="15" hidden="1" customHeight="1" x14ac:dyDescent="0.2">
      <c r="A2193" s="317" t="s">
        <v>147</v>
      </c>
      <c r="B2193" s="895" t="s">
        <v>147</v>
      </c>
      <c r="C2193" s="896"/>
      <c r="D2193" s="906" t="s">
        <v>229</v>
      </c>
      <c r="E2193" s="907">
        <f>GLOBAL_DER_FEV_2023!E2193</f>
        <v>150</v>
      </c>
      <c r="F2193" s="908">
        <f>GLOBAL_DER_FEV_2023!F2193</f>
        <v>3.9353559999999996</v>
      </c>
      <c r="G2193" s="949">
        <f>GLOBAL_DER_FEV_2023!G2193</f>
        <v>642.17139207999992</v>
      </c>
      <c r="H2193" s="901">
        <f>GLOBAL_DER_FEV_2023!H2193</f>
        <v>0</v>
      </c>
      <c r="I2193" s="901">
        <f>GLOBAL_DER_FEV_2023!I2193</f>
        <v>0</v>
      </c>
      <c r="J2193" s="902">
        <f>GLOBAL_DER_FEV_2023!J2193</f>
        <v>0</v>
      </c>
      <c r="K2193" s="903"/>
      <c r="L2193" s="1177"/>
      <c r="M2193" s="1138">
        <f t="shared" si="162"/>
        <v>0</v>
      </c>
      <c r="N2193" s="1176">
        <f t="shared" si="166"/>
        <v>0</v>
      </c>
      <c r="O2193" s="905"/>
      <c r="P2193" s="36" t="str">
        <f>IF(N2191&gt;0,"xx",IF(N2191&gt;0,"xy",""))</f>
        <v/>
      </c>
      <c r="Q2193" s="317" t="str">
        <f t="shared" si="163"/>
        <v/>
      </c>
      <c r="R2193" s="317" t="str">
        <f t="shared" si="164"/>
        <v/>
      </c>
      <c r="S2193" s="317" t="str">
        <f t="shared" si="165"/>
        <v/>
      </c>
      <c r="T2193" s="317" t="str">
        <f>GLOBAL_DER_FEV_2023!S2193</f>
        <v/>
      </c>
      <c r="W2193" s="582">
        <v>0</v>
      </c>
      <c r="X2193" s="580"/>
      <c r="Y2193" s="583">
        <f>IF(GLOBAL_DER_FEV_2023!W2193=0,0,IF(GLOBAL_DER_FEV_2023!W2193&gt;0,"c","b"))</f>
        <v>0</v>
      </c>
    </row>
    <row r="2194" spans="1:25" ht="15" hidden="1" customHeight="1" x14ac:dyDescent="0.2">
      <c r="A2194" s="317" t="s">
        <v>147</v>
      </c>
      <c r="B2194" s="895" t="s">
        <v>147</v>
      </c>
      <c r="C2194" s="896"/>
      <c r="D2194" s="906" t="s">
        <v>233</v>
      </c>
      <c r="E2194" s="907">
        <f>GLOBAL_DER_FEV_2023!E2194</f>
        <v>0.2</v>
      </c>
      <c r="F2194" s="908">
        <f>GLOBAL_DER_FEV_2023!F2194</f>
        <v>4.7072880000000001</v>
      </c>
      <c r="G2194" s="949">
        <f>GLOBAL_DER_FEV_2023!G2194</f>
        <v>13.622891472000001</v>
      </c>
      <c r="H2194" s="901">
        <f>GLOBAL_DER_FEV_2023!H2194</f>
        <v>0</v>
      </c>
      <c r="I2194" s="901">
        <f>GLOBAL_DER_FEV_2023!I2194</f>
        <v>0</v>
      </c>
      <c r="J2194" s="902">
        <f>GLOBAL_DER_FEV_2023!J2194</f>
        <v>0</v>
      </c>
      <c r="K2194" s="903"/>
      <c r="L2194" s="1177"/>
      <c r="M2194" s="1138">
        <f t="shared" ref="M2194:M2257" si="167">IF(L2194=0,0,ROUND(J2194,2))</f>
        <v>0</v>
      </c>
      <c r="N2194" s="1176">
        <f t="shared" si="166"/>
        <v>0</v>
      </c>
      <c r="O2194" s="905"/>
      <c r="P2194" s="36" t="str">
        <f>IF(N2191&gt;0,"xx",IF(N2191&gt;0,"xy",""))</f>
        <v/>
      </c>
      <c r="Q2194" s="317" t="str">
        <f t="shared" si="163"/>
        <v/>
      </c>
      <c r="R2194" s="317" t="str">
        <f t="shared" si="164"/>
        <v/>
      </c>
      <c r="S2194" s="317" t="str">
        <f t="shared" si="165"/>
        <v/>
      </c>
      <c r="T2194" s="317" t="str">
        <f>GLOBAL_DER_FEV_2023!S2194</f>
        <v/>
      </c>
      <c r="W2194" s="582">
        <v>0</v>
      </c>
      <c r="X2194" s="580"/>
      <c r="Y2194" s="583">
        <f>IF(GLOBAL_DER_FEV_2023!W2194=0,0,IF(GLOBAL_DER_FEV_2023!W2194&gt;0,"c","b"))</f>
        <v>0</v>
      </c>
    </row>
    <row r="2195" spans="1:25" ht="15" hidden="1" customHeight="1" x14ac:dyDescent="0.2">
      <c r="A2195" s="317" t="s">
        <v>104</v>
      </c>
      <c r="B2195" s="895" t="s">
        <v>104</v>
      </c>
      <c r="C2195" s="896" t="s">
        <v>184</v>
      </c>
      <c r="D2195" s="906" t="s">
        <v>374</v>
      </c>
      <c r="E2195" s="907">
        <f>GLOBAL_DER_FEV_2023!E2195</f>
        <v>0</v>
      </c>
      <c r="F2195" s="908">
        <f>GLOBAL_DER_FEV_2023!F2195</f>
        <v>0</v>
      </c>
      <c r="G2195" s="912">
        <f>GLOBAL_DER_FEV_2023!G2195</f>
        <v>1240.9794095919997</v>
      </c>
      <c r="H2195" s="901">
        <f>GLOBAL_DER_FEV_2023!H2195</f>
        <v>3745</v>
      </c>
      <c r="I2195" s="901">
        <f>GLOBAL_DER_FEV_2023!I2195</f>
        <v>4985.9794095919997</v>
      </c>
      <c r="J2195" s="902">
        <f>GLOBAL_DER_FEV_2023!J2195</f>
        <v>5986.67</v>
      </c>
      <c r="K2195" s="903" t="s">
        <v>15</v>
      </c>
      <c r="L2195" s="1137"/>
      <c r="M2195" s="1138">
        <f t="shared" si="167"/>
        <v>0</v>
      </c>
      <c r="N2195" s="1176">
        <f t="shared" si="166"/>
        <v>0</v>
      </c>
      <c r="O2195" s="905"/>
      <c r="Q2195" s="317" t="str">
        <f t="shared" si="163"/>
        <v/>
      </c>
      <c r="R2195" s="317" t="str">
        <f t="shared" si="164"/>
        <v/>
      </c>
      <c r="S2195" s="317" t="str">
        <f t="shared" si="165"/>
        <v/>
      </c>
      <c r="T2195" s="317" t="str">
        <f>GLOBAL_DER_FEV_2023!S2195</f>
        <v/>
      </c>
      <c r="W2195" s="582">
        <v>0</v>
      </c>
      <c r="X2195" s="580"/>
      <c r="Y2195" s="583">
        <f>IF(GLOBAL_DER_FEV_2023!W2195=0,0,IF(GLOBAL_DER_FEV_2023!W2195&gt;0,"c","b"))</f>
        <v>0</v>
      </c>
    </row>
    <row r="2196" spans="1:25" ht="15" hidden="1" customHeight="1" x14ac:dyDescent="0.2">
      <c r="A2196" s="317" t="s">
        <v>147</v>
      </c>
      <c r="B2196" s="895" t="s">
        <v>147</v>
      </c>
      <c r="C2196" s="896"/>
      <c r="D2196" s="906" t="s">
        <v>190</v>
      </c>
      <c r="E2196" s="907">
        <f>GLOBAL_DER_FEV_2023!E2196</f>
        <v>308</v>
      </c>
      <c r="F2196" s="908">
        <f>GLOBAL_DER_FEV_2023!F2196</f>
        <v>1.7123939999999997</v>
      </c>
      <c r="G2196" s="909">
        <f>GLOBAL_DER_FEV_2023!G2196</f>
        <v>424.77645563999994</v>
      </c>
      <c r="H2196" s="901">
        <f>GLOBAL_DER_FEV_2023!H2196</f>
        <v>0</v>
      </c>
      <c r="I2196" s="901">
        <f>GLOBAL_DER_FEV_2023!I2196</f>
        <v>0</v>
      </c>
      <c r="J2196" s="902">
        <f>GLOBAL_DER_FEV_2023!J2196</f>
        <v>0</v>
      </c>
      <c r="K2196" s="903"/>
      <c r="L2196" s="1177"/>
      <c r="M2196" s="1138">
        <f t="shared" si="167"/>
        <v>0</v>
      </c>
      <c r="N2196" s="1176">
        <f t="shared" si="166"/>
        <v>0</v>
      </c>
      <c r="O2196" s="905"/>
      <c r="P2196" s="36" t="str">
        <f>IF(N2195&gt;0,"xx",IF(N2195&gt;0,"xy",""))</f>
        <v/>
      </c>
      <c r="Q2196" s="317" t="str">
        <f t="shared" si="163"/>
        <v/>
      </c>
      <c r="R2196" s="317" t="str">
        <f t="shared" si="164"/>
        <v/>
      </c>
      <c r="S2196" s="317" t="str">
        <f t="shared" si="165"/>
        <v/>
      </c>
      <c r="T2196" s="317" t="str">
        <f>GLOBAL_DER_FEV_2023!S2196</f>
        <v/>
      </c>
      <c r="W2196" s="582">
        <v>0</v>
      </c>
      <c r="X2196" s="580"/>
      <c r="Y2196" s="583">
        <f>IF(GLOBAL_DER_FEV_2023!W2196=0,0,IF(GLOBAL_DER_FEV_2023!W2196&gt;0,"c","b"))</f>
        <v>0</v>
      </c>
    </row>
    <row r="2197" spans="1:25" ht="15" hidden="1" customHeight="1" x14ac:dyDescent="0.2">
      <c r="A2197" s="317" t="s">
        <v>147</v>
      </c>
      <c r="B2197" s="895" t="s">
        <v>147</v>
      </c>
      <c r="C2197" s="896"/>
      <c r="D2197" s="906" t="s">
        <v>229</v>
      </c>
      <c r="E2197" s="907">
        <f>GLOBAL_DER_FEV_2023!E2197</f>
        <v>150</v>
      </c>
      <c r="F2197" s="908">
        <f>GLOBAL_DER_FEV_2023!F2197</f>
        <v>4.8978009999999994</v>
      </c>
      <c r="G2197" s="949">
        <f>GLOBAL_DER_FEV_2023!G2197</f>
        <v>799.2231671799999</v>
      </c>
      <c r="H2197" s="901">
        <f>GLOBAL_DER_FEV_2023!H2197</f>
        <v>0</v>
      </c>
      <c r="I2197" s="901">
        <f>GLOBAL_DER_FEV_2023!I2197</f>
        <v>0</v>
      </c>
      <c r="J2197" s="902">
        <f>GLOBAL_DER_FEV_2023!J2197</f>
        <v>0</v>
      </c>
      <c r="K2197" s="903"/>
      <c r="L2197" s="1177"/>
      <c r="M2197" s="1138">
        <f t="shared" si="167"/>
        <v>0</v>
      </c>
      <c r="N2197" s="1176">
        <f t="shared" si="166"/>
        <v>0</v>
      </c>
      <c r="O2197" s="905"/>
      <c r="P2197" s="36" t="str">
        <f>IF(N2195&gt;0,"xx",IF(N2195&gt;0,"xy",""))</f>
        <v/>
      </c>
      <c r="Q2197" s="317" t="str">
        <f t="shared" si="163"/>
        <v/>
      </c>
      <c r="R2197" s="317" t="str">
        <f t="shared" si="164"/>
        <v/>
      </c>
      <c r="S2197" s="317" t="str">
        <f t="shared" si="165"/>
        <v/>
      </c>
      <c r="T2197" s="317" t="str">
        <f>GLOBAL_DER_FEV_2023!S2197</f>
        <v/>
      </c>
      <c r="W2197" s="582">
        <v>0</v>
      </c>
      <c r="X2197" s="580"/>
      <c r="Y2197" s="583">
        <f>IF(GLOBAL_DER_FEV_2023!W2197=0,0,IF(GLOBAL_DER_FEV_2023!W2197&gt;0,"c","b"))</f>
        <v>0</v>
      </c>
    </row>
    <row r="2198" spans="1:25" ht="15" hidden="1" customHeight="1" x14ac:dyDescent="0.2">
      <c r="A2198" s="317" t="s">
        <v>147</v>
      </c>
      <c r="B2198" s="895" t="s">
        <v>147</v>
      </c>
      <c r="C2198" s="896"/>
      <c r="D2198" s="906" t="s">
        <v>233</v>
      </c>
      <c r="E2198" s="907">
        <f>GLOBAL_DER_FEV_2023!E2198</f>
        <v>0.2</v>
      </c>
      <c r="F2198" s="908">
        <f>GLOBAL_DER_FEV_2023!F2198</f>
        <v>5.8672380000000004</v>
      </c>
      <c r="G2198" s="949">
        <f>GLOBAL_DER_FEV_2023!G2198</f>
        <v>16.979786772000001</v>
      </c>
      <c r="H2198" s="901">
        <f>GLOBAL_DER_FEV_2023!H2198</f>
        <v>0</v>
      </c>
      <c r="I2198" s="901">
        <f>GLOBAL_DER_FEV_2023!I2198</f>
        <v>0</v>
      </c>
      <c r="J2198" s="902">
        <f>GLOBAL_DER_FEV_2023!J2198</f>
        <v>0</v>
      </c>
      <c r="K2198" s="903"/>
      <c r="L2198" s="1177"/>
      <c r="M2198" s="1138">
        <f t="shared" si="167"/>
        <v>0</v>
      </c>
      <c r="N2198" s="1176">
        <f t="shared" si="166"/>
        <v>0</v>
      </c>
      <c r="O2198" s="905"/>
      <c r="P2198" s="36" t="str">
        <f>IF(N2195&gt;0,"xx",IF(N2195&gt;0,"xy",""))</f>
        <v/>
      </c>
      <c r="Q2198" s="317" t="str">
        <f t="shared" si="163"/>
        <v/>
      </c>
      <c r="R2198" s="317" t="str">
        <f t="shared" si="164"/>
        <v/>
      </c>
      <c r="S2198" s="317" t="str">
        <f t="shared" si="165"/>
        <v/>
      </c>
      <c r="T2198" s="317" t="str">
        <f>GLOBAL_DER_FEV_2023!S2198</f>
        <v/>
      </c>
      <c r="W2198" s="582">
        <v>0</v>
      </c>
      <c r="X2198" s="580"/>
      <c r="Y2198" s="583">
        <f>IF(GLOBAL_DER_FEV_2023!W2198=0,0,IF(GLOBAL_DER_FEV_2023!W2198&gt;0,"c","b"))</f>
        <v>0</v>
      </c>
    </row>
    <row r="2199" spans="1:25" ht="15" hidden="1" customHeight="1" x14ac:dyDescent="0.2">
      <c r="A2199" s="317" t="s">
        <v>27</v>
      </c>
      <c r="B2199" s="895" t="s">
        <v>27</v>
      </c>
      <c r="C2199" s="896" t="s">
        <v>184</v>
      </c>
      <c r="D2199" s="906" t="s">
        <v>94</v>
      </c>
      <c r="E2199" s="907">
        <f>GLOBAL_DER_FEV_2023!E2199</f>
        <v>0</v>
      </c>
      <c r="F2199" s="908">
        <f>GLOBAL_DER_FEV_2023!F2199</f>
        <v>0</v>
      </c>
      <c r="G2199" s="912">
        <f>GLOBAL_DER_FEV_2023!G2199</f>
        <v>287.33632253600001</v>
      </c>
      <c r="H2199" s="901">
        <f>GLOBAL_DER_FEV_2023!H2199</f>
        <v>3736.16</v>
      </c>
      <c r="I2199" s="901">
        <f>GLOBAL_DER_FEV_2023!I2199</f>
        <v>4023.4963225359998</v>
      </c>
      <c r="J2199" s="902">
        <f>GLOBAL_DER_FEV_2023!J2199</f>
        <v>4831.01</v>
      </c>
      <c r="K2199" s="903" t="s">
        <v>15</v>
      </c>
      <c r="L2199" s="1137"/>
      <c r="M2199" s="1138">
        <f t="shared" si="167"/>
        <v>0</v>
      </c>
      <c r="N2199" s="1176">
        <f t="shared" si="166"/>
        <v>0</v>
      </c>
      <c r="O2199" s="905"/>
      <c r="Q2199" s="317" t="str">
        <f t="shared" si="163"/>
        <v/>
      </c>
      <c r="R2199" s="317" t="str">
        <f t="shared" si="164"/>
        <v/>
      </c>
      <c r="S2199" s="317" t="str">
        <f t="shared" si="165"/>
        <v/>
      </c>
      <c r="T2199" s="317" t="str">
        <f>GLOBAL_DER_FEV_2023!S2199</f>
        <v/>
      </c>
      <c r="W2199" s="582">
        <v>0</v>
      </c>
      <c r="X2199" s="580"/>
      <c r="Y2199" s="583">
        <f>IF(GLOBAL_DER_FEV_2023!W2199=0,0,IF(GLOBAL_DER_FEV_2023!W2199&gt;0,"c","b"))</f>
        <v>0</v>
      </c>
    </row>
    <row r="2200" spans="1:25" ht="15" hidden="1" customHeight="1" x14ac:dyDescent="0.2">
      <c r="A2200" s="317" t="s">
        <v>147</v>
      </c>
      <c r="B2200" s="895" t="s">
        <v>147</v>
      </c>
      <c r="C2200" s="896"/>
      <c r="D2200" s="906" t="s">
        <v>190</v>
      </c>
      <c r="E2200" s="907">
        <f>GLOBAL_DER_FEV_2023!E2200</f>
        <v>308</v>
      </c>
      <c r="F2200" s="908">
        <f>GLOBAL_DER_FEV_2023!F2200</f>
        <v>0.38908200000000004</v>
      </c>
      <c r="G2200" s="909">
        <f>GLOBAL_DER_FEV_2023!G2200</f>
        <v>96.515680920000008</v>
      </c>
      <c r="H2200" s="901">
        <f>GLOBAL_DER_FEV_2023!H2200</f>
        <v>0</v>
      </c>
      <c r="I2200" s="901">
        <f>GLOBAL_DER_FEV_2023!I2200</f>
        <v>0</v>
      </c>
      <c r="J2200" s="902">
        <f>GLOBAL_DER_FEV_2023!J2200</f>
        <v>0</v>
      </c>
      <c r="K2200" s="903"/>
      <c r="L2200" s="1177"/>
      <c r="M2200" s="1138">
        <f t="shared" si="167"/>
        <v>0</v>
      </c>
      <c r="N2200" s="1176">
        <f t="shared" si="166"/>
        <v>0</v>
      </c>
      <c r="O2200" s="905"/>
      <c r="P2200" s="36" t="str">
        <f>IF(N2199&gt;0,"xx",IF(N2199&gt;0,"xy",""))</f>
        <v/>
      </c>
      <c r="Q2200" s="317" t="str">
        <f t="shared" si="163"/>
        <v/>
      </c>
      <c r="R2200" s="317" t="str">
        <f t="shared" si="164"/>
        <v/>
      </c>
      <c r="S2200" s="317" t="str">
        <f t="shared" si="165"/>
        <v/>
      </c>
      <c r="T2200" s="317" t="str">
        <f>GLOBAL_DER_FEV_2023!S2200</f>
        <v/>
      </c>
      <c r="W2200" s="582">
        <v>0</v>
      </c>
      <c r="X2200" s="580"/>
      <c r="Y2200" s="583">
        <f>IF(GLOBAL_DER_FEV_2023!W2200=0,0,IF(GLOBAL_DER_FEV_2023!W2200&gt;0,"c","b"))</f>
        <v>0</v>
      </c>
    </row>
    <row r="2201" spans="1:25" ht="15" hidden="1" customHeight="1" x14ac:dyDescent="0.2">
      <c r="A2201" s="317" t="s">
        <v>147</v>
      </c>
      <c r="B2201" s="895" t="s">
        <v>147</v>
      </c>
      <c r="C2201" s="896"/>
      <c r="D2201" s="906" t="s">
        <v>229</v>
      </c>
      <c r="E2201" s="907">
        <f>GLOBAL_DER_FEV_2023!E2201</f>
        <v>150</v>
      </c>
      <c r="F2201" s="908">
        <f>GLOBAL_DER_FEV_2023!F2201</f>
        <v>1.1452249999999999</v>
      </c>
      <c r="G2201" s="949">
        <f>GLOBAL_DER_FEV_2023!G2201</f>
        <v>186.8778155</v>
      </c>
      <c r="H2201" s="901">
        <f>GLOBAL_DER_FEV_2023!H2201</f>
        <v>0</v>
      </c>
      <c r="I2201" s="901">
        <f>GLOBAL_DER_FEV_2023!I2201</f>
        <v>0</v>
      </c>
      <c r="J2201" s="902">
        <f>GLOBAL_DER_FEV_2023!J2201</f>
        <v>0</v>
      </c>
      <c r="K2201" s="903"/>
      <c r="L2201" s="1177"/>
      <c r="M2201" s="1138">
        <f t="shared" si="167"/>
        <v>0</v>
      </c>
      <c r="N2201" s="1176">
        <f t="shared" si="166"/>
        <v>0</v>
      </c>
      <c r="O2201" s="905"/>
      <c r="P2201" s="36" t="str">
        <f>IF(N2199&gt;0,"xx",IF(N2199&gt;0,"xy",""))</f>
        <v/>
      </c>
      <c r="Q2201" s="317" t="str">
        <f t="shared" si="163"/>
        <v/>
      </c>
      <c r="R2201" s="317" t="str">
        <f t="shared" si="164"/>
        <v/>
      </c>
      <c r="S2201" s="317" t="str">
        <f t="shared" si="165"/>
        <v/>
      </c>
      <c r="T2201" s="317" t="str">
        <f>GLOBAL_DER_FEV_2023!S2201</f>
        <v/>
      </c>
      <c r="W2201" s="582">
        <v>0</v>
      </c>
      <c r="X2201" s="580"/>
      <c r="Y2201" s="583">
        <f>IF(GLOBAL_DER_FEV_2023!W2201=0,0,IF(GLOBAL_DER_FEV_2023!W2201&gt;0,"c","b"))</f>
        <v>0</v>
      </c>
    </row>
    <row r="2202" spans="1:25" ht="15" hidden="1" customHeight="1" x14ac:dyDescent="0.2">
      <c r="A2202" s="317" t="s">
        <v>147</v>
      </c>
      <c r="B2202" s="895" t="s">
        <v>147</v>
      </c>
      <c r="C2202" s="896"/>
      <c r="D2202" s="906" t="s">
        <v>233</v>
      </c>
      <c r="E2202" s="907">
        <f>GLOBAL_DER_FEV_2023!E2202</f>
        <v>0.2</v>
      </c>
      <c r="F2202" s="908">
        <f>GLOBAL_DER_FEV_2023!F2202</f>
        <v>1.362414</v>
      </c>
      <c r="G2202" s="949">
        <f>GLOBAL_DER_FEV_2023!G2202</f>
        <v>3.9428261160000004</v>
      </c>
      <c r="H2202" s="901">
        <f>GLOBAL_DER_FEV_2023!H2202</f>
        <v>0</v>
      </c>
      <c r="I2202" s="901">
        <f>GLOBAL_DER_FEV_2023!I2202</f>
        <v>0</v>
      </c>
      <c r="J2202" s="902">
        <f>GLOBAL_DER_FEV_2023!J2202</f>
        <v>0</v>
      </c>
      <c r="K2202" s="903"/>
      <c r="L2202" s="1177"/>
      <c r="M2202" s="1138">
        <f t="shared" si="167"/>
        <v>0</v>
      </c>
      <c r="N2202" s="1176">
        <f t="shared" si="166"/>
        <v>0</v>
      </c>
      <c r="O2202" s="905"/>
      <c r="P2202" s="36" t="str">
        <f>IF(N2199&gt;0,"xx",IF(N2199&gt;0,"xy",""))</f>
        <v/>
      </c>
      <c r="Q2202" s="317" t="str">
        <f t="shared" si="163"/>
        <v/>
      </c>
      <c r="R2202" s="317" t="str">
        <f t="shared" si="164"/>
        <v/>
      </c>
      <c r="S2202" s="317" t="str">
        <f t="shared" si="165"/>
        <v/>
      </c>
      <c r="T2202" s="317" t="str">
        <f>GLOBAL_DER_FEV_2023!S2202</f>
        <v/>
      </c>
      <c r="W2202" s="582">
        <v>0</v>
      </c>
      <c r="X2202" s="580"/>
      <c r="Y2202" s="583">
        <f>IF(GLOBAL_DER_FEV_2023!W2202=0,0,IF(GLOBAL_DER_FEV_2023!W2202&gt;0,"c","b"))</f>
        <v>0</v>
      </c>
    </row>
    <row r="2203" spans="1:25" ht="15" hidden="1" customHeight="1" x14ac:dyDescent="0.2">
      <c r="A2203" s="317" t="s">
        <v>28</v>
      </c>
      <c r="B2203" s="895" t="s">
        <v>28</v>
      </c>
      <c r="C2203" s="896" t="s">
        <v>184</v>
      </c>
      <c r="D2203" s="906" t="s">
        <v>91</v>
      </c>
      <c r="E2203" s="907">
        <f>GLOBAL_DER_FEV_2023!E2203</f>
        <v>0</v>
      </c>
      <c r="F2203" s="908">
        <f>GLOBAL_DER_FEV_2023!F2203</f>
        <v>0</v>
      </c>
      <c r="G2203" s="912">
        <f>GLOBAL_DER_FEV_2023!G2203</f>
        <v>358.88604221599996</v>
      </c>
      <c r="H2203" s="901">
        <f>GLOBAL_DER_FEV_2023!H2203</f>
        <v>4503.8999999999996</v>
      </c>
      <c r="I2203" s="901">
        <f>GLOBAL_DER_FEV_2023!I2203</f>
        <v>4862.7860422159993</v>
      </c>
      <c r="J2203" s="902">
        <f>GLOBAL_DER_FEV_2023!J2203</f>
        <v>5838.75</v>
      </c>
      <c r="K2203" s="903" t="s">
        <v>15</v>
      </c>
      <c r="L2203" s="1137"/>
      <c r="M2203" s="1138">
        <f t="shared" si="167"/>
        <v>0</v>
      </c>
      <c r="N2203" s="1176">
        <f t="shared" si="166"/>
        <v>0</v>
      </c>
      <c r="O2203" s="905"/>
      <c r="Q2203" s="317" t="str">
        <f t="shared" ref="Q2203:Q2266" si="168">IF(P2203="X","x",IF(P2203="xx","x",IF(P2203="xy","x",IF(P2203="y","x",IF(OR(N2203&gt;0,N2203&gt;0),"x","")))))</f>
        <v/>
      </c>
      <c r="R2203" s="317" t="str">
        <f t="shared" si="164"/>
        <v/>
      </c>
      <c r="S2203" s="317" t="str">
        <f t="shared" si="165"/>
        <v/>
      </c>
      <c r="T2203" s="317" t="str">
        <f>GLOBAL_DER_FEV_2023!S2203</f>
        <v/>
      </c>
      <c r="W2203" s="582">
        <v>0</v>
      </c>
      <c r="X2203" s="580"/>
      <c r="Y2203" s="583">
        <f>IF(GLOBAL_DER_FEV_2023!W2203=0,0,IF(GLOBAL_DER_FEV_2023!W2203&gt;0,"c","b"))</f>
        <v>0</v>
      </c>
    </row>
    <row r="2204" spans="1:25" ht="15" hidden="1" customHeight="1" x14ac:dyDescent="0.2">
      <c r="A2204" s="317" t="s">
        <v>147</v>
      </c>
      <c r="B2204" s="895" t="s">
        <v>147</v>
      </c>
      <c r="C2204" s="896"/>
      <c r="D2204" s="906" t="s">
        <v>190</v>
      </c>
      <c r="E2204" s="907">
        <f>GLOBAL_DER_FEV_2023!E2204</f>
        <v>308</v>
      </c>
      <c r="F2204" s="908">
        <f>GLOBAL_DER_FEV_2023!F2204</f>
        <v>0.48940199999999995</v>
      </c>
      <c r="G2204" s="909">
        <f>GLOBAL_DER_FEV_2023!G2204</f>
        <v>121.40106011999998</v>
      </c>
      <c r="H2204" s="901">
        <f>GLOBAL_DER_FEV_2023!H2204</f>
        <v>0</v>
      </c>
      <c r="I2204" s="901">
        <f>GLOBAL_DER_FEV_2023!I2204</f>
        <v>0</v>
      </c>
      <c r="J2204" s="902">
        <f>GLOBAL_DER_FEV_2023!J2204</f>
        <v>0</v>
      </c>
      <c r="K2204" s="903"/>
      <c r="L2204" s="1177"/>
      <c r="M2204" s="1138">
        <f t="shared" si="167"/>
        <v>0</v>
      </c>
      <c r="N2204" s="1176">
        <f t="shared" si="166"/>
        <v>0</v>
      </c>
      <c r="O2204" s="905"/>
      <c r="P2204" s="36" t="str">
        <f>IF(N2203&gt;0,"xx",IF(N2203&gt;0,"xy",""))</f>
        <v/>
      </c>
      <c r="Q2204" s="317" t="str">
        <f t="shared" si="168"/>
        <v/>
      </c>
      <c r="R2204" s="317" t="str">
        <f t="shared" si="164"/>
        <v/>
      </c>
      <c r="S2204" s="317" t="str">
        <f t="shared" si="165"/>
        <v/>
      </c>
      <c r="T2204" s="317" t="str">
        <f>GLOBAL_DER_FEV_2023!S2204</f>
        <v/>
      </c>
      <c r="W2204" s="582">
        <v>0</v>
      </c>
      <c r="X2204" s="580"/>
      <c r="Y2204" s="583">
        <f>IF(GLOBAL_DER_FEV_2023!W2204=0,0,IF(GLOBAL_DER_FEV_2023!W2204&gt;0,"c","b"))</f>
        <v>0</v>
      </c>
    </row>
    <row r="2205" spans="1:25" ht="15" hidden="1" customHeight="1" x14ac:dyDescent="0.2">
      <c r="A2205" s="317" t="s">
        <v>147</v>
      </c>
      <c r="B2205" s="895" t="s">
        <v>147</v>
      </c>
      <c r="C2205" s="896"/>
      <c r="D2205" s="906" t="s">
        <v>229</v>
      </c>
      <c r="E2205" s="907">
        <f>GLOBAL_DER_FEV_2023!E2205</f>
        <v>150</v>
      </c>
      <c r="F2205" s="908">
        <f>GLOBAL_DER_FEV_2023!F2205</f>
        <v>1.4252089999999999</v>
      </c>
      <c r="G2205" s="949">
        <f>GLOBAL_DER_FEV_2023!G2205</f>
        <v>232.56560461999999</v>
      </c>
      <c r="H2205" s="901">
        <f>GLOBAL_DER_FEV_2023!H2205</f>
        <v>0</v>
      </c>
      <c r="I2205" s="901">
        <f>GLOBAL_DER_FEV_2023!I2205</f>
        <v>0</v>
      </c>
      <c r="J2205" s="902">
        <f>GLOBAL_DER_FEV_2023!J2205</f>
        <v>0</v>
      </c>
      <c r="K2205" s="903"/>
      <c r="L2205" s="1177"/>
      <c r="M2205" s="1138">
        <f t="shared" si="167"/>
        <v>0</v>
      </c>
      <c r="N2205" s="1176">
        <f t="shared" si="166"/>
        <v>0</v>
      </c>
      <c r="O2205" s="905"/>
      <c r="P2205" s="36" t="str">
        <f>IF(N2203&gt;0,"xx",IF(N2203&gt;0,"xy",""))</f>
        <v/>
      </c>
      <c r="Q2205" s="317" t="str">
        <f t="shared" si="168"/>
        <v/>
      </c>
      <c r="R2205" s="317" t="str">
        <f t="shared" ref="R2205:R2268" si="169">IF(P2205="X","x",IF(P2205="y","x",IF(P2205="xx","x",IF(N2205&gt;0,"x",""))))</f>
        <v/>
      </c>
      <c r="S2205" s="317" t="str">
        <f t="shared" ref="S2205:S2268" si="170">IF(P2205="X","x",IF(N2205&gt;0,"x",""))</f>
        <v/>
      </c>
      <c r="T2205" s="317" t="str">
        <f>GLOBAL_DER_FEV_2023!S2205</f>
        <v/>
      </c>
      <c r="W2205" s="582">
        <v>0</v>
      </c>
      <c r="X2205" s="580"/>
      <c r="Y2205" s="583">
        <f>IF(GLOBAL_DER_FEV_2023!W2205=0,0,IF(GLOBAL_DER_FEV_2023!W2205&gt;0,"c","b"))</f>
        <v>0</v>
      </c>
    </row>
    <row r="2206" spans="1:25" ht="15" hidden="1" customHeight="1" x14ac:dyDescent="0.2">
      <c r="A2206" s="317" t="s">
        <v>147</v>
      </c>
      <c r="B2206" s="895" t="s">
        <v>147</v>
      </c>
      <c r="C2206" s="896"/>
      <c r="D2206" s="906" t="s">
        <v>233</v>
      </c>
      <c r="E2206" s="907">
        <f>GLOBAL_DER_FEV_2023!E2206</f>
        <v>0.2</v>
      </c>
      <c r="F2206" s="908">
        <f>GLOBAL_DER_FEV_2023!F2206</f>
        <v>1.699854</v>
      </c>
      <c r="G2206" s="949">
        <f>GLOBAL_DER_FEV_2023!G2206</f>
        <v>4.9193774760000002</v>
      </c>
      <c r="H2206" s="901">
        <f>GLOBAL_DER_FEV_2023!H2206</f>
        <v>0</v>
      </c>
      <c r="I2206" s="901">
        <f>GLOBAL_DER_FEV_2023!I2206</f>
        <v>0</v>
      </c>
      <c r="J2206" s="902">
        <f>GLOBAL_DER_FEV_2023!J2206</f>
        <v>0</v>
      </c>
      <c r="K2206" s="903"/>
      <c r="L2206" s="1177"/>
      <c r="M2206" s="1138">
        <f t="shared" si="167"/>
        <v>0</v>
      </c>
      <c r="N2206" s="1176">
        <f t="shared" si="166"/>
        <v>0</v>
      </c>
      <c r="O2206" s="905"/>
      <c r="P2206" s="36" t="str">
        <f>IF(N2203&gt;0,"xx",IF(N2203&gt;0,"xy",""))</f>
        <v/>
      </c>
      <c r="Q2206" s="317" t="str">
        <f t="shared" si="168"/>
        <v/>
      </c>
      <c r="R2206" s="317" t="str">
        <f t="shared" si="169"/>
        <v/>
      </c>
      <c r="S2206" s="317" t="str">
        <f t="shared" si="170"/>
        <v/>
      </c>
      <c r="T2206" s="317" t="str">
        <f>GLOBAL_DER_FEV_2023!S2206</f>
        <v/>
      </c>
      <c r="W2206" s="582">
        <v>0</v>
      </c>
      <c r="X2206" s="580"/>
      <c r="Y2206" s="583">
        <f>IF(GLOBAL_DER_FEV_2023!W2206=0,0,IF(GLOBAL_DER_FEV_2023!W2206&gt;0,"c","b"))</f>
        <v>0</v>
      </c>
    </row>
    <row r="2207" spans="1:25" ht="15" hidden="1" customHeight="1" x14ac:dyDescent="0.2">
      <c r="A2207" s="317" t="s">
        <v>105</v>
      </c>
      <c r="B2207" s="895" t="s">
        <v>105</v>
      </c>
      <c r="C2207" s="896" t="s">
        <v>184</v>
      </c>
      <c r="D2207" s="906" t="s">
        <v>92</v>
      </c>
      <c r="E2207" s="907">
        <f>GLOBAL_DER_FEV_2023!E2207</f>
        <v>0</v>
      </c>
      <c r="F2207" s="908">
        <f>GLOBAL_DER_FEV_2023!F2207</f>
        <v>0</v>
      </c>
      <c r="G2207" s="912">
        <f>GLOBAL_DER_FEV_2023!G2207</f>
        <v>475.15433669600003</v>
      </c>
      <c r="H2207" s="901">
        <f>GLOBAL_DER_FEV_2023!H2207</f>
        <v>4886.76</v>
      </c>
      <c r="I2207" s="901">
        <f>GLOBAL_DER_FEV_2023!I2207</f>
        <v>5361.9143366960006</v>
      </c>
      <c r="J2207" s="902">
        <f>GLOBAL_DER_FEV_2023!J2207</f>
        <v>6438.05</v>
      </c>
      <c r="K2207" s="903" t="s">
        <v>15</v>
      </c>
      <c r="L2207" s="1137"/>
      <c r="M2207" s="1138">
        <f t="shared" si="167"/>
        <v>0</v>
      </c>
      <c r="N2207" s="1176">
        <f t="shared" si="166"/>
        <v>0</v>
      </c>
      <c r="O2207" s="905"/>
      <c r="Q2207" s="317" t="str">
        <f t="shared" si="168"/>
        <v/>
      </c>
      <c r="R2207" s="317" t="str">
        <f t="shared" si="169"/>
        <v/>
      </c>
      <c r="S2207" s="317" t="str">
        <f t="shared" si="170"/>
        <v/>
      </c>
      <c r="T2207" s="317" t="str">
        <f>GLOBAL_DER_FEV_2023!S2207</f>
        <v/>
      </c>
      <c r="W2207" s="582">
        <v>0</v>
      </c>
      <c r="X2207" s="580"/>
      <c r="Y2207" s="583">
        <f>IF(GLOBAL_DER_FEV_2023!W2207=0,0,IF(GLOBAL_DER_FEV_2023!W2207&gt;0,"c","b"))</f>
        <v>0</v>
      </c>
    </row>
    <row r="2208" spans="1:25" ht="15" hidden="1" customHeight="1" x14ac:dyDescent="0.2">
      <c r="A2208" s="317" t="s">
        <v>147</v>
      </c>
      <c r="B2208" s="895" t="s">
        <v>147</v>
      </c>
      <c r="C2208" s="896"/>
      <c r="D2208" s="906" t="s">
        <v>190</v>
      </c>
      <c r="E2208" s="907">
        <f>GLOBAL_DER_FEV_2023!E2208</f>
        <v>308</v>
      </c>
      <c r="F2208" s="908">
        <f>GLOBAL_DER_FEV_2023!F2208</f>
        <v>0.65242199999999995</v>
      </c>
      <c r="G2208" s="909">
        <f>GLOBAL_DER_FEV_2023!G2208</f>
        <v>161.83980131999999</v>
      </c>
      <c r="H2208" s="901">
        <f>GLOBAL_DER_FEV_2023!H2208</f>
        <v>0</v>
      </c>
      <c r="I2208" s="901">
        <f>GLOBAL_DER_FEV_2023!I2208</f>
        <v>0</v>
      </c>
      <c r="J2208" s="902">
        <f>GLOBAL_DER_FEV_2023!J2208</f>
        <v>0</v>
      </c>
      <c r="K2208" s="903"/>
      <c r="L2208" s="1177"/>
      <c r="M2208" s="1138">
        <f t="shared" si="167"/>
        <v>0</v>
      </c>
      <c r="N2208" s="1176">
        <f t="shared" si="166"/>
        <v>0</v>
      </c>
      <c r="O2208" s="905"/>
      <c r="P2208" s="36" t="str">
        <f>IF(N2207&gt;0,"xx",IF(N2207&gt;0,"xy",""))</f>
        <v/>
      </c>
      <c r="Q2208" s="317" t="str">
        <f t="shared" si="168"/>
        <v/>
      </c>
      <c r="R2208" s="317" t="str">
        <f t="shared" si="169"/>
        <v/>
      </c>
      <c r="S2208" s="317" t="str">
        <f t="shared" si="170"/>
        <v/>
      </c>
      <c r="T2208" s="317" t="str">
        <f>GLOBAL_DER_FEV_2023!S2208</f>
        <v/>
      </c>
      <c r="W2208" s="582">
        <v>0</v>
      </c>
      <c r="X2208" s="580"/>
      <c r="Y2208" s="583">
        <f>IF(GLOBAL_DER_FEV_2023!W2208=0,0,IF(GLOBAL_DER_FEV_2023!W2208&gt;0,"c","b"))</f>
        <v>0</v>
      </c>
    </row>
    <row r="2209" spans="1:25" ht="15" hidden="1" customHeight="1" x14ac:dyDescent="0.2">
      <c r="A2209" s="317" t="s">
        <v>147</v>
      </c>
      <c r="B2209" s="895" t="s">
        <v>147</v>
      </c>
      <c r="C2209" s="896"/>
      <c r="D2209" s="906" t="s">
        <v>229</v>
      </c>
      <c r="E2209" s="907">
        <f>GLOBAL_DER_FEV_2023!E2209</f>
        <v>150</v>
      </c>
      <c r="F2209" s="908">
        <f>GLOBAL_DER_FEV_2023!F2209</f>
        <v>1.8801829999999999</v>
      </c>
      <c r="G2209" s="949">
        <f>GLOBAL_DER_FEV_2023!G2209</f>
        <v>306.80826194000002</v>
      </c>
      <c r="H2209" s="901">
        <f>GLOBAL_DER_FEV_2023!H2209</f>
        <v>0</v>
      </c>
      <c r="I2209" s="901">
        <f>GLOBAL_DER_FEV_2023!I2209</f>
        <v>0</v>
      </c>
      <c r="J2209" s="902">
        <f>GLOBAL_DER_FEV_2023!J2209</f>
        <v>0</v>
      </c>
      <c r="K2209" s="903"/>
      <c r="L2209" s="1177"/>
      <c r="M2209" s="1138">
        <f t="shared" si="167"/>
        <v>0</v>
      </c>
      <c r="N2209" s="1176">
        <f t="shared" ref="N2209:N2272" si="171">IF(ISBLANK(L2209),0,IF(W2209=0,ROUND(L2209*M2209,2),IF(W2209="b",ROUNDDOWN(L2209*M2209,2),ROUNDUP(L2209*M2209,2))))</f>
        <v>0</v>
      </c>
      <c r="O2209" s="905"/>
      <c r="P2209" s="36" t="str">
        <f>IF(N2207&gt;0,"xx",IF(N2207&gt;0,"xy",""))</f>
        <v/>
      </c>
      <c r="Q2209" s="317" t="str">
        <f t="shared" si="168"/>
        <v/>
      </c>
      <c r="R2209" s="317" t="str">
        <f t="shared" si="169"/>
        <v/>
      </c>
      <c r="S2209" s="317" t="str">
        <f t="shared" si="170"/>
        <v/>
      </c>
      <c r="T2209" s="317" t="str">
        <f>GLOBAL_DER_FEV_2023!S2209</f>
        <v/>
      </c>
      <c r="W2209" s="582">
        <v>0</v>
      </c>
      <c r="X2209" s="580"/>
      <c r="Y2209" s="583">
        <f>IF(GLOBAL_DER_FEV_2023!W2209=0,0,IF(GLOBAL_DER_FEV_2023!W2209&gt;0,"c","b"))</f>
        <v>0</v>
      </c>
    </row>
    <row r="2210" spans="1:25" ht="15" hidden="1" customHeight="1" x14ac:dyDescent="0.2">
      <c r="A2210" s="317" t="s">
        <v>147</v>
      </c>
      <c r="B2210" s="895" t="s">
        <v>147</v>
      </c>
      <c r="C2210" s="896"/>
      <c r="D2210" s="906" t="s">
        <v>233</v>
      </c>
      <c r="E2210" s="907">
        <f>GLOBAL_DER_FEV_2023!E2210</f>
        <v>0.2</v>
      </c>
      <c r="F2210" s="908">
        <f>GLOBAL_DER_FEV_2023!F2210</f>
        <v>2.2481940000000002</v>
      </c>
      <c r="G2210" s="949">
        <f>GLOBAL_DER_FEV_2023!G2210</f>
        <v>6.5062734360000007</v>
      </c>
      <c r="H2210" s="901">
        <f>GLOBAL_DER_FEV_2023!H2210</f>
        <v>0</v>
      </c>
      <c r="I2210" s="901">
        <f>GLOBAL_DER_FEV_2023!I2210</f>
        <v>0</v>
      </c>
      <c r="J2210" s="902">
        <f>GLOBAL_DER_FEV_2023!J2210</f>
        <v>0</v>
      </c>
      <c r="K2210" s="903"/>
      <c r="L2210" s="1177"/>
      <c r="M2210" s="1138">
        <f t="shared" si="167"/>
        <v>0</v>
      </c>
      <c r="N2210" s="1176">
        <f t="shared" si="171"/>
        <v>0</v>
      </c>
      <c r="O2210" s="905"/>
      <c r="P2210" s="36" t="str">
        <f>IF(N2207&gt;0,"xx",IF(N2207&gt;0,"xy",""))</f>
        <v/>
      </c>
      <c r="Q2210" s="317" t="str">
        <f t="shared" si="168"/>
        <v/>
      </c>
      <c r="R2210" s="317" t="str">
        <f t="shared" si="169"/>
        <v/>
      </c>
      <c r="S2210" s="317" t="str">
        <f t="shared" si="170"/>
        <v/>
      </c>
      <c r="T2210" s="317" t="str">
        <f>GLOBAL_DER_FEV_2023!S2210</f>
        <v/>
      </c>
      <c r="W2210" s="582">
        <v>0</v>
      </c>
      <c r="X2210" s="580"/>
      <c r="Y2210" s="583">
        <f>IF(GLOBAL_DER_FEV_2023!W2210=0,0,IF(GLOBAL_DER_FEV_2023!W2210&gt;0,"c","b"))</f>
        <v>0</v>
      </c>
    </row>
    <row r="2211" spans="1:25" ht="15" hidden="1" customHeight="1" x14ac:dyDescent="0.2">
      <c r="A2211" s="317" t="s">
        <v>106</v>
      </c>
      <c r="B2211" s="895" t="s">
        <v>106</v>
      </c>
      <c r="C2211" s="896" t="s">
        <v>184</v>
      </c>
      <c r="D2211" s="906" t="s">
        <v>93</v>
      </c>
      <c r="E2211" s="907">
        <f>GLOBAL_DER_FEV_2023!E2211</f>
        <v>0</v>
      </c>
      <c r="F2211" s="908">
        <f>GLOBAL_DER_FEV_2023!F2211</f>
        <v>0</v>
      </c>
      <c r="G2211" s="912">
        <f>GLOBAL_DER_FEV_2023!G2211</f>
        <v>591.42263117599998</v>
      </c>
      <c r="H2211" s="901">
        <f>GLOBAL_DER_FEV_2023!H2211</f>
        <v>5931.1</v>
      </c>
      <c r="I2211" s="901">
        <f>GLOBAL_DER_FEV_2023!I2211</f>
        <v>6522.5226311760007</v>
      </c>
      <c r="J2211" s="902">
        <f>GLOBAL_DER_FEV_2023!J2211</f>
        <v>7831.59</v>
      </c>
      <c r="K2211" s="903" t="s">
        <v>15</v>
      </c>
      <c r="L2211" s="1137"/>
      <c r="M2211" s="1138">
        <f t="shared" si="167"/>
        <v>0</v>
      </c>
      <c r="N2211" s="1176">
        <f t="shared" si="171"/>
        <v>0</v>
      </c>
      <c r="O2211" s="905"/>
      <c r="Q2211" s="317" t="str">
        <f t="shared" si="168"/>
        <v/>
      </c>
      <c r="R2211" s="317" t="str">
        <f t="shared" si="169"/>
        <v/>
      </c>
      <c r="S2211" s="317" t="str">
        <f t="shared" si="170"/>
        <v/>
      </c>
      <c r="T2211" s="317" t="str">
        <f>GLOBAL_DER_FEV_2023!S2211</f>
        <v/>
      </c>
      <c r="W2211" s="582">
        <v>0</v>
      </c>
      <c r="X2211" s="580"/>
      <c r="Y2211" s="583">
        <f>IF(GLOBAL_DER_FEV_2023!W2211=0,0,IF(GLOBAL_DER_FEV_2023!W2211&gt;0,"c","b"))</f>
        <v>0</v>
      </c>
    </row>
    <row r="2212" spans="1:25" ht="15" hidden="1" customHeight="1" x14ac:dyDescent="0.2">
      <c r="A2212" s="317" t="s">
        <v>147</v>
      </c>
      <c r="B2212" s="895" t="s">
        <v>147</v>
      </c>
      <c r="C2212" s="896"/>
      <c r="D2212" s="906" t="s">
        <v>190</v>
      </c>
      <c r="E2212" s="907">
        <f>GLOBAL_DER_FEV_2023!E2212</f>
        <v>308</v>
      </c>
      <c r="F2212" s="908">
        <f>GLOBAL_DER_FEV_2023!F2212</f>
        <v>0.81544199999999989</v>
      </c>
      <c r="G2212" s="909">
        <f>GLOBAL_DER_FEV_2023!G2212</f>
        <v>202.27854251999997</v>
      </c>
      <c r="H2212" s="901">
        <f>GLOBAL_DER_FEV_2023!H2212</f>
        <v>0</v>
      </c>
      <c r="I2212" s="901">
        <f>GLOBAL_DER_FEV_2023!I2212</f>
        <v>0</v>
      </c>
      <c r="J2212" s="902">
        <f>GLOBAL_DER_FEV_2023!J2212</f>
        <v>0</v>
      </c>
      <c r="K2212" s="903"/>
      <c r="L2212" s="1177"/>
      <c r="M2212" s="1138">
        <f t="shared" si="167"/>
        <v>0</v>
      </c>
      <c r="N2212" s="1176">
        <f t="shared" si="171"/>
        <v>0</v>
      </c>
      <c r="O2212" s="905"/>
      <c r="P2212" s="36" t="str">
        <f>IF(N2211&gt;0,"xx",IF(N2211&gt;0,"xy",""))</f>
        <v/>
      </c>
      <c r="Q2212" s="317" t="str">
        <f t="shared" si="168"/>
        <v/>
      </c>
      <c r="R2212" s="317" t="str">
        <f t="shared" si="169"/>
        <v/>
      </c>
      <c r="S2212" s="317" t="str">
        <f t="shared" si="170"/>
        <v/>
      </c>
      <c r="T2212" s="317" t="str">
        <f>GLOBAL_DER_FEV_2023!S2212</f>
        <v/>
      </c>
      <c r="W2212" s="582">
        <v>0</v>
      </c>
      <c r="X2212" s="580"/>
      <c r="Y2212" s="583">
        <f>IF(GLOBAL_DER_FEV_2023!W2212=0,0,IF(GLOBAL_DER_FEV_2023!W2212&gt;0,"c","b"))</f>
        <v>0</v>
      </c>
    </row>
    <row r="2213" spans="1:25" ht="15" hidden="1" customHeight="1" x14ac:dyDescent="0.2">
      <c r="A2213" s="317" t="s">
        <v>147</v>
      </c>
      <c r="B2213" s="895" t="s">
        <v>147</v>
      </c>
      <c r="C2213" s="896"/>
      <c r="D2213" s="906" t="s">
        <v>229</v>
      </c>
      <c r="E2213" s="907">
        <f>GLOBAL_DER_FEV_2023!E2213</f>
        <v>150</v>
      </c>
      <c r="F2213" s="908">
        <f>GLOBAL_DER_FEV_2023!F2213</f>
        <v>2.3351569999999997</v>
      </c>
      <c r="G2213" s="949">
        <f>GLOBAL_DER_FEV_2023!G2213</f>
        <v>381.05091925999994</v>
      </c>
      <c r="H2213" s="901">
        <f>GLOBAL_DER_FEV_2023!H2213</f>
        <v>0</v>
      </c>
      <c r="I2213" s="901">
        <f>GLOBAL_DER_FEV_2023!I2213</f>
        <v>0</v>
      </c>
      <c r="J2213" s="902">
        <f>GLOBAL_DER_FEV_2023!J2213</f>
        <v>0</v>
      </c>
      <c r="K2213" s="903"/>
      <c r="L2213" s="1177"/>
      <c r="M2213" s="1138">
        <f t="shared" si="167"/>
        <v>0</v>
      </c>
      <c r="N2213" s="1176">
        <f t="shared" si="171"/>
        <v>0</v>
      </c>
      <c r="O2213" s="905"/>
      <c r="P2213" s="36" t="str">
        <f>IF(N2211&gt;0,"xx",IF(N2211&gt;0,"xy",""))</f>
        <v/>
      </c>
      <c r="Q2213" s="317" t="str">
        <f t="shared" si="168"/>
        <v/>
      </c>
      <c r="R2213" s="317" t="str">
        <f t="shared" si="169"/>
        <v/>
      </c>
      <c r="S2213" s="317" t="str">
        <f t="shared" si="170"/>
        <v/>
      </c>
      <c r="T2213" s="317" t="str">
        <f>GLOBAL_DER_FEV_2023!S2213</f>
        <v/>
      </c>
      <c r="W2213" s="582">
        <v>0</v>
      </c>
      <c r="X2213" s="580"/>
      <c r="Y2213" s="583">
        <f>IF(GLOBAL_DER_FEV_2023!W2213=0,0,IF(GLOBAL_DER_FEV_2023!W2213&gt;0,"c","b"))</f>
        <v>0</v>
      </c>
    </row>
    <row r="2214" spans="1:25" ht="15" hidden="1" customHeight="1" x14ac:dyDescent="0.2">
      <c r="A2214" s="317" t="s">
        <v>147</v>
      </c>
      <c r="B2214" s="895" t="s">
        <v>147</v>
      </c>
      <c r="C2214" s="896"/>
      <c r="D2214" s="906" t="s">
        <v>233</v>
      </c>
      <c r="E2214" s="907">
        <f>GLOBAL_DER_FEV_2023!E2214</f>
        <v>0.2</v>
      </c>
      <c r="F2214" s="908">
        <f>GLOBAL_DER_FEV_2023!F2214</f>
        <v>2.7965340000000003</v>
      </c>
      <c r="G2214" s="949">
        <f>GLOBAL_DER_FEV_2023!G2214</f>
        <v>8.0931693960000004</v>
      </c>
      <c r="H2214" s="901">
        <f>GLOBAL_DER_FEV_2023!H2214</f>
        <v>0</v>
      </c>
      <c r="I2214" s="901">
        <f>GLOBAL_DER_FEV_2023!I2214</f>
        <v>0</v>
      </c>
      <c r="J2214" s="902">
        <f>GLOBAL_DER_FEV_2023!J2214</f>
        <v>0</v>
      </c>
      <c r="K2214" s="903"/>
      <c r="L2214" s="1177"/>
      <c r="M2214" s="1138">
        <f t="shared" si="167"/>
        <v>0</v>
      </c>
      <c r="N2214" s="1176">
        <f t="shared" si="171"/>
        <v>0</v>
      </c>
      <c r="O2214" s="905"/>
      <c r="P2214" s="36" t="str">
        <f>IF(N2211&gt;0,"xx",IF(N2211&gt;0,"xy",""))</f>
        <v/>
      </c>
      <c r="Q2214" s="317" t="str">
        <f t="shared" si="168"/>
        <v/>
      </c>
      <c r="R2214" s="317" t="str">
        <f t="shared" si="169"/>
        <v/>
      </c>
      <c r="S2214" s="317" t="str">
        <f t="shared" si="170"/>
        <v/>
      </c>
      <c r="T2214" s="317" t="str">
        <f>GLOBAL_DER_FEV_2023!S2214</f>
        <v/>
      </c>
      <c r="W2214" s="582">
        <v>0</v>
      </c>
      <c r="X2214" s="580"/>
      <c r="Y2214" s="583">
        <f>IF(GLOBAL_DER_FEV_2023!W2214=0,0,IF(GLOBAL_DER_FEV_2023!W2214&gt;0,"c","b"))</f>
        <v>0</v>
      </c>
    </row>
    <row r="2215" spans="1:25" ht="15" hidden="1" customHeight="1" x14ac:dyDescent="0.2">
      <c r="A2215" s="317" t="s">
        <v>107</v>
      </c>
      <c r="B2215" s="895" t="s">
        <v>107</v>
      </c>
      <c r="C2215" s="896" t="s">
        <v>184</v>
      </c>
      <c r="D2215" s="906" t="s">
        <v>81</v>
      </c>
      <c r="E2215" s="907">
        <f>GLOBAL_DER_FEV_2023!E2215</f>
        <v>0</v>
      </c>
      <c r="F2215" s="908">
        <f>GLOBAL_DER_FEV_2023!F2215</f>
        <v>0</v>
      </c>
      <c r="G2215" s="912">
        <f>GLOBAL_DER_FEV_2023!G2215</f>
        <v>88.501804733055991</v>
      </c>
      <c r="H2215" s="901">
        <f>GLOBAL_DER_FEV_2023!H2215</f>
        <v>460.93</v>
      </c>
      <c r="I2215" s="901">
        <f>GLOBAL_DER_FEV_2023!I2215</f>
        <v>549.43180473305597</v>
      </c>
      <c r="J2215" s="902">
        <f>GLOBAL_DER_FEV_2023!J2215</f>
        <v>659.7</v>
      </c>
      <c r="K2215" s="903" t="s">
        <v>15</v>
      </c>
      <c r="L2215" s="1137"/>
      <c r="M2215" s="1138">
        <f t="shared" si="167"/>
        <v>0</v>
      </c>
      <c r="N2215" s="1176">
        <f t="shared" si="171"/>
        <v>0</v>
      </c>
      <c r="O2215" s="905"/>
      <c r="Q2215" s="317" t="str">
        <f t="shared" si="168"/>
        <v/>
      </c>
      <c r="R2215" s="317" t="str">
        <f t="shared" si="169"/>
        <v/>
      </c>
      <c r="S2215" s="317" t="str">
        <f t="shared" si="170"/>
        <v/>
      </c>
      <c r="T2215" s="317" t="str">
        <f>GLOBAL_DER_FEV_2023!S2215</f>
        <v/>
      </c>
      <c r="W2215" s="582">
        <v>0</v>
      </c>
      <c r="X2215" s="580"/>
      <c r="Y2215" s="583">
        <f>IF(GLOBAL_DER_FEV_2023!W2215=0,0,IF(GLOBAL_DER_FEV_2023!W2215&gt;0,"c","b"))</f>
        <v>0</v>
      </c>
    </row>
    <row r="2216" spans="1:25" ht="15" hidden="1" customHeight="1" x14ac:dyDescent="0.2">
      <c r="A2216" s="317" t="s">
        <v>147</v>
      </c>
      <c r="B2216" s="895" t="s">
        <v>147</v>
      </c>
      <c r="C2216" s="896"/>
      <c r="D2216" s="906" t="s">
        <v>190</v>
      </c>
      <c r="E2216" s="907">
        <f>GLOBAL_DER_FEV_2023!E2216</f>
        <v>308</v>
      </c>
      <c r="F2216" s="908">
        <f>GLOBAL_DER_FEV_2023!F2216</f>
        <v>9.9453823999999996E-2</v>
      </c>
      <c r="G2216" s="909">
        <f>GLOBAL_DER_FEV_2023!G2216</f>
        <v>24.67051558144</v>
      </c>
      <c r="H2216" s="901">
        <f>GLOBAL_DER_FEV_2023!H2216</f>
        <v>0</v>
      </c>
      <c r="I2216" s="901">
        <f>GLOBAL_DER_FEV_2023!I2216</f>
        <v>0</v>
      </c>
      <c r="J2216" s="902">
        <f>GLOBAL_DER_FEV_2023!J2216</f>
        <v>0</v>
      </c>
      <c r="K2216" s="903"/>
      <c r="L2216" s="1177"/>
      <c r="M2216" s="1138">
        <f t="shared" si="167"/>
        <v>0</v>
      </c>
      <c r="N2216" s="1176">
        <f t="shared" si="171"/>
        <v>0</v>
      </c>
      <c r="O2216" s="905"/>
      <c r="P2216" s="36" t="str">
        <f>IF(N2215&gt;0,"xx",IF(N2215&gt;0,"xy",""))</f>
        <v/>
      </c>
      <c r="Q2216" s="317" t="str">
        <f t="shared" si="168"/>
        <v/>
      </c>
      <c r="R2216" s="317" t="str">
        <f t="shared" si="169"/>
        <v/>
      </c>
      <c r="S2216" s="317" t="str">
        <f t="shared" si="170"/>
        <v/>
      </c>
      <c r="T2216" s="317" t="str">
        <f>GLOBAL_DER_FEV_2023!S2216</f>
        <v/>
      </c>
      <c r="W2216" s="582">
        <v>0</v>
      </c>
      <c r="X2216" s="580"/>
      <c r="Y2216" s="583">
        <f>IF(GLOBAL_DER_FEV_2023!W2216=0,0,IF(GLOBAL_DER_FEV_2023!W2216&gt;0,"c","b"))</f>
        <v>0</v>
      </c>
    </row>
    <row r="2217" spans="1:25" ht="15" hidden="1" customHeight="1" x14ac:dyDescent="0.2">
      <c r="A2217" s="317" t="s">
        <v>147</v>
      </c>
      <c r="B2217" s="895" t="s">
        <v>147</v>
      </c>
      <c r="C2217" s="896"/>
      <c r="D2217" s="906" t="s">
        <v>229</v>
      </c>
      <c r="E2217" s="907">
        <f>GLOBAL_DER_FEV_2023!E2217</f>
        <v>150</v>
      </c>
      <c r="F2217" s="908">
        <f>GLOBAL_DER_FEV_2023!F2217</f>
        <v>0.3618486528</v>
      </c>
      <c r="G2217" s="949">
        <f>GLOBAL_DER_FEV_2023!G2217</f>
        <v>59.046463163904001</v>
      </c>
      <c r="H2217" s="901">
        <f>GLOBAL_DER_FEV_2023!H2217</f>
        <v>0</v>
      </c>
      <c r="I2217" s="901">
        <f>GLOBAL_DER_FEV_2023!I2217</f>
        <v>0</v>
      </c>
      <c r="J2217" s="902">
        <f>GLOBAL_DER_FEV_2023!J2217</f>
        <v>0</v>
      </c>
      <c r="K2217" s="903"/>
      <c r="L2217" s="1177"/>
      <c r="M2217" s="1138">
        <f t="shared" si="167"/>
        <v>0</v>
      </c>
      <c r="N2217" s="1176">
        <f t="shared" si="171"/>
        <v>0</v>
      </c>
      <c r="O2217" s="905"/>
      <c r="P2217" s="36" t="str">
        <f>IF(N2215&gt;0,"xx",IF(N2215&gt;0,"xy",""))</f>
        <v/>
      </c>
      <c r="Q2217" s="317" t="str">
        <f t="shared" si="168"/>
        <v/>
      </c>
      <c r="R2217" s="317" t="str">
        <f t="shared" si="169"/>
        <v/>
      </c>
      <c r="S2217" s="317" t="str">
        <f t="shared" si="170"/>
        <v/>
      </c>
      <c r="T2217" s="317" t="str">
        <f>GLOBAL_DER_FEV_2023!S2217</f>
        <v/>
      </c>
      <c r="W2217" s="582">
        <v>0</v>
      </c>
      <c r="X2217" s="580"/>
      <c r="Y2217" s="583">
        <f>IF(GLOBAL_DER_FEV_2023!W2217=0,0,IF(GLOBAL_DER_FEV_2023!W2217&gt;0,"c","b"))</f>
        <v>0</v>
      </c>
    </row>
    <row r="2218" spans="1:25" ht="15" hidden="1" customHeight="1" x14ac:dyDescent="0.2">
      <c r="A2218" s="317" t="s">
        <v>147</v>
      </c>
      <c r="B2218" s="895" t="s">
        <v>147</v>
      </c>
      <c r="C2218" s="896"/>
      <c r="D2218" s="906" t="s">
        <v>233</v>
      </c>
      <c r="E2218" s="907">
        <f>GLOBAL_DER_FEV_2023!E2218</f>
        <v>0.2</v>
      </c>
      <c r="F2218" s="908">
        <f>GLOBAL_DER_FEV_2023!F2218</f>
        <v>0.308576448</v>
      </c>
      <c r="G2218" s="949">
        <f>GLOBAL_DER_FEV_2023!G2218</f>
        <v>0.89302024051200002</v>
      </c>
      <c r="H2218" s="901">
        <f>GLOBAL_DER_FEV_2023!H2218</f>
        <v>0</v>
      </c>
      <c r="I2218" s="901">
        <f>GLOBAL_DER_FEV_2023!I2218</f>
        <v>0</v>
      </c>
      <c r="J2218" s="902">
        <f>GLOBAL_DER_FEV_2023!J2218</f>
        <v>0</v>
      </c>
      <c r="K2218" s="903"/>
      <c r="L2218" s="1177"/>
      <c r="M2218" s="1138">
        <f t="shared" si="167"/>
        <v>0</v>
      </c>
      <c r="N2218" s="1176">
        <f t="shared" si="171"/>
        <v>0</v>
      </c>
      <c r="O2218" s="905"/>
      <c r="P2218" s="36" t="str">
        <f>IF(N2215&gt;0,"xx",IF(N2215&gt;0,"xy",""))</f>
        <v/>
      </c>
      <c r="Q2218" s="317" t="str">
        <f t="shared" si="168"/>
        <v/>
      </c>
      <c r="R2218" s="317" t="str">
        <f t="shared" si="169"/>
        <v/>
      </c>
      <c r="S2218" s="317" t="str">
        <f t="shared" si="170"/>
        <v/>
      </c>
      <c r="T2218" s="317" t="str">
        <f>GLOBAL_DER_FEV_2023!S2218</f>
        <v/>
      </c>
      <c r="W2218" s="582">
        <v>0</v>
      </c>
      <c r="X2218" s="580"/>
      <c r="Y2218" s="583">
        <f>IF(GLOBAL_DER_FEV_2023!W2218=0,0,IF(GLOBAL_DER_FEV_2023!W2218&gt;0,"c","b"))</f>
        <v>0</v>
      </c>
    </row>
    <row r="2219" spans="1:25" ht="15" hidden="1" customHeight="1" x14ac:dyDescent="0.2">
      <c r="A2219" s="317" t="s">
        <v>147</v>
      </c>
      <c r="B2219" s="895" t="s">
        <v>147</v>
      </c>
      <c r="C2219" s="896"/>
      <c r="D2219" s="906" t="s">
        <v>365</v>
      </c>
      <c r="E2219" s="907">
        <f>GLOBAL_DER_FEV_2023!E2219</f>
        <v>10</v>
      </c>
      <c r="F2219" s="908">
        <f>GLOBAL_DER_FEV_2023!F2219</f>
        <v>0.17055359999999997</v>
      </c>
      <c r="G2219" s="949">
        <f>GLOBAL_DER_FEV_2023!G2219</f>
        <v>2.2820071679999998</v>
      </c>
      <c r="H2219" s="901">
        <f>GLOBAL_DER_FEV_2023!H2219</f>
        <v>0</v>
      </c>
      <c r="I2219" s="901">
        <f>GLOBAL_DER_FEV_2023!I2219</f>
        <v>0</v>
      </c>
      <c r="J2219" s="902">
        <f>GLOBAL_DER_FEV_2023!J2219</f>
        <v>0</v>
      </c>
      <c r="K2219" s="903"/>
      <c r="L2219" s="1177"/>
      <c r="M2219" s="1138">
        <f t="shared" si="167"/>
        <v>0</v>
      </c>
      <c r="N2219" s="1176">
        <f t="shared" si="171"/>
        <v>0</v>
      </c>
      <c r="O2219" s="905"/>
      <c r="P2219" s="36" t="str">
        <f>IF(N2215&gt;0,"xx",IF(N2215&gt;0,"xy",""))</f>
        <v/>
      </c>
      <c r="Q2219" s="317" t="str">
        <f t="shared" si="168"/>
        <v/>
      </c>
      <c r="R2219" s="317" t="str">
        <f t="shared" si="169"/>
        <v/>
      </c>
      <c r="S2219" s="317" t="str">
        <f t="shared" si="170"/>
        <v/>
      </c>
      <c r="T2219" s="317" t="str">
        <f>GLOBAL_DER_FEV_2023!S2219</f>
        <v/>
      </c>
      <c r="W2219" s="582">
        <v>0</v>
      </c>
      <c r="X2219" s="580"/>
      <c r="Y2219" s="583">
        <f>IF(GLOBAL_DER_FEV_2023!W2219=0,0,IF(GLOBAL_DER_FEV_2023!W2219&gt;0,"c","b"))</f>
        <v>0</v>
      </c>
    </row>
    <row r="2220" spans="1:25" ht="15" hidden="1" customHeight="1" x14ac:dyDescent="0.2">
      <c r="A2220" s="317" t="s">
        <v>147</v>
      </c>
      <c r="B2220" s="895" t="s">
        <v>147</v>
      </c>
      <c r="C2220" s="896"/>
      <c r="D2220" s="906" t="s">
        <v>366</v>
      </c>
      <c r="E2220" s="907">
        <f>GLOBAL_DER_FEV_2023!E2220</f>
        <v>353</v>
      </c>
      <c r="F2220" s="908">
        <f>GLOBAL_DER_FEV_2023!F2220</f>
        <v>5.6851199999999992E-3</v>
      </c>
      <c r="G2220" s="909">
        <f>GLOBAL_DER_FEV_2023!G2220</f>
        <v>1.6097985792</v>
      </c>
      <c r="H2220" s="901">
        <f>GLOBAL_DER_FEV_2023!H2220</f>
        <v>0</v>
      </c>
      <c r="I2220" s="901">
        <f>GLOBAL_DER_FEV_2023!I2220</f>
        <v>0</v>
      </c>
      <c r="J2220" s="902">
        <f>GLOBAL_DER_FEV_2023!J2220</f>
        <v>0</v>
      </c>
      <c r="K2220" s="903"/>
      <c r="L2220" s="1177"/>
      <c r="M2220" s="1138">
        <f t="shared" si="167"/>
        <v>0</v>
      </c>
      <c r="N2220" s="1176">
        <f t="shared" si="171"/>
        <v>0</v>
      </c>
      <c r="O2220" s="905"/>
      <c r="P2220" s="36" t="str">
        <f>IF(N2215&gt;0,"xx",IF(N2215&gt;0,"xy",""))</f>
        <v/>
      </c>
      <c r="Q2220" s="317" t="str">
        <f t="shared" si="168"/>
        <v/>
      </c>
      <c r="R2220" s="317" t="str">
        <f t="shared" si="169"/>
        <v/>
      </c>
      <c r="S2220" s="317" t="str">
        <f t="shared" si="170"/>
        <v/>
      </c>
      <c r="T2220" s="317" t="str">
        <f>GLOBAL_DER_FEV_2023!S2220</f>
        <v/>
      </c>
      <c r="W2220" s="582">
        <v>0</v>
      </c>
      <c r="X2220" s="580"/>
      <c r="Y2220" s="583">
        <f>IF(GLOBAL_DER_FEV_2023!W2220=0,0,IF(GLOBAL_DER_FEV_2023!W2220&gt;0,"c","b"))</f>
        <v>0</v>
      </c>
    </row>
    <row r="2221" spans="1:25" ht="15" hidden="1" customHeight="1" x14ac:dyDescent="0.2">
      <c r="A2221" s="317" t="s">
        <v>29</v>
      </c>
      <c r="B2221" s="895" t="s">
        <v>29</v>
      </c>
      <c r="C2221" s="896" t="s">
        <v>184</v>
      </c>
      <c r="D2221" s="906" t="s">
        <v>82</v>
      </c>
      <c r="E2221" s="907">
        <f>GLOBAL_DER_FEV_2023!E2221</f>
        <v>0</v>
      </c>
      <c r="F2221" s="908">
        <f>GLOBAL_DER_FEV_2023!F2221</f>
        <v>0</v>
      </c>
      <c r="G2221" s="912">
        <f>GLOBAL_DER_FEV_2023!G2221</f>
        <v>130.39101798592</v>
      </c>
      <c r="H2221" s="901">
        <f>GLOBAL_DER_FEV_2023!H2221</f>
        <v>702.1</v>
      </c>
      <c r="I2221" s="901">
        <f>GLOBAL_DER_FEV_2023!I2221</f>
        <v>832.49101798592005</v>
      </c>
      <c r="J2221" s="902">
        <f>GLOBAL_DER_FEV_2023!J2221</f>
        <v>999.57</v>
      </c>
      <c r="K2221" s="903" t="s">
        <v>15</v>
      </c>
      <c r="L2221" s="1137"/>
      <c r="M2221" s="1138">
        <f t="shared" si="167"/>
        <v>0</v>
      </c>
      <c r="N2221" s="1176">
        <f t="shared" si="171"/>
        <v>0</v>
      </c>
      <c r="O2221" s="905"/>
      <c r="Q2221" s="317" t="str">
        <f t="shared" si="168"/>
        <v/>
      </c>
      <c r="R2221" s="317" t="str">
        <f t="shared" si="169"/>
        <v/>
      </c>
      <c r="S2221" s="317" t="str">
        <f t="shared" si="170"/>
        <v/>
      </c>
      <c r="T2221" s="317" t="str">
        <f>GLOBAL_DER_FEV_2023!S2221</f>
        <v/>
      </c>
      <c r="W2221" s="582">
        <v>0</v>
      </c>
      <c r="X2221" s="580"/>
      <c r="Y2221" s="583">
        <f>IF(GLOBAL_DER_FEV_2023!W2221=0,0,IF(GLOBAL_DER_FEV_2023!W2221&gt;0,"c","b"))</f>
        <v>0</v>
      </c>
    </row>
    <row r="2222" spans="1:25" ht="15" hidden="1" customHeight="1" x14ac:dyDescent="0.2">
      <c r="A2222" s="317" t="s">
        <v>147</v>
      </c>
      <c r="B2222" s="895" t="s">
        <v>147</v>
      </c>
      <c r="C2222" s="896"/>
      <c r="D2222" s="906" t="s">
        <v>190</v>
      </c>
      <c r="E2222" s="907">
        <f>GLOBAL_DER_FEV_2023!E2222</f>
        <v>308</v>
      </c>
      <c r="F2222" s="908">
        <f>GLOBAL_DER_FEV_2023!F2222</f>
        <v>0.14735024000000002</v>
      </c>
      <c r="G2222" s="909">
        <f>GLOBAL_DER_FEV_2023!G2222</f>
        <v>36.551700534400005</v>
      </c>
      <c r="H2222" s="901">
        <f>GLOBAL_DER_FEV_2023!H2222</f>
        <v>0</v>
      </c>
      <c r="I2222" s="901">
        <f>GLOBAL_DER_FEV_2023!I2222</f>
        <v>0</v>
      </c>
      <c r="J2222" s="902">
        <f>GLOBAL_DER_FEV_2023!J2222</f>
        <v>0</v>
      </c>
      <c r="K2222" s="903"/>
      <c r="L2222" s="1177"/>
      <c r="M2222" s="1138">
        <f t="shared" si="167"/>
        <v>0</v>
      </c>
      <c r="N2222" s="1176">
        <f t="shared" si="171"/>
        <v>0</v>
      </c>
      <c r="O2222" s="905"/>
      <c r="P2222" s="36" t="str">
        <f>IF(N2221&gt;0,"xx",IF(N2221&gt;0,"xy",""))</f>
        <v/>
      </c>
      <c r="Q2222" s="317" t="str">
        <f t="shared" si="168"/>
        <v/>
      </c>
      <c r="R2222" s="317" t="str">
        <f t="shared" si="169"/>
        <v/>
      </c>
      <c r="S2222" s="317" t="str">
        <f t="shared" si="170"/>
        <v/>
      </c>
      <c r="T2222" s="317" t="str">
        <f>GLOBAL_DER_FEV_2023!S2222</f>
        <v/>
      </c>
      <c r="W2222" s="582">
        <v>0</v>
      </c>
      <c r="X2222" s="580"/>
      <c r="Y2222" s="583">
        <f>IF(GLOBAL_DER_FEV_2023!W2222=0,0,IF(GLOBAL_DER_FEV_2023!W2222&gt;0,"c","b"))</f>
        <v>0</v>
      </c>
    </row>
    <row r="2223" spans="1:25" ht="15" hidden="1" customHeight="1" x14ac:dyDescent="0.2">
      <c r="A2223" s="317" t="s">
        <v>147</v>
      </c>
      <c r="B2223" s="895" t="s">
        <v>147</v>
      </c>
      <c r="C2223" s="896"/>
      <c r="D2223" s="906" t="s">
        <v>229</v>
      </c>
      <c r="E2223" s="907">
        <f>GLOBAL_DER_FEV_2023!E2223</f>
        <v>150</v>
      </c>
      <c r="F2223" s="908">
        <f>GLOBAL_DER_FEV_2023!F2223</f>
        <v>0.52819569600000005</v>
      </c>
      <c r="G2223" s="949">
        <f>GLOBAL_DER_FEV_2023!G2223</f>
        <v>86.190973673280013</v>
      </c>
      <c r="H2223" s="901">
        <f>GLOBAL_DER_FEV_2023!H2223</f>
        <v>0</v>
      </c>
      <c r="I2223" s="901">
        <f>GLOBAL_DER_FEV_2023!I2223</f>
        <v>0</v>
      </c>
      <c r="J2223" s="902">
        <f>GLOBAL_DER_FEV_2023!J2223</f>
        <v>0</v>
      </c>
      <c r="K2223" s="903"/>
      <c r="L2223" s="1177"/>
      <c r="M2223" s="1138">
        <f t="shared" si="167"/>
        <v>0</v>
      </c>
      <c r="N2223" s="1176">
        <f t="shared" si="171"/>
        <v>0</v>
      </c>
      <c r="O2223" s="905"/>
      <c r="P2223" s="36" t="str">
        <f>IF(N2221&gt;0,"xx",IF(N2221&gt;0,"xy",""))</f>
        <v/>
      </c>
      <c r="Q2223" s="317" t="str">
        <f t="shared" si="168"/>
        <v/>
      </c>
      <c r="R2223" s="317" t="str">
        <f t="shared" si="169"/>
        <v/>
      </c>
      <c r="S2223" s="317" t="str">
        <f t="shared" si="170"/>
        <v/>
      </c>
      <c r="T2223" s="317" t="str">
        <f>GLOBAL_DER_FEV_2023!S2223</f>
        <v/>
      </c>
      <c r="W2223" s="582">
        <v>0</v>
      </c>
      <c r="X2223" s="580"/>
      <c r="Y2223" s="583">
        <f>IF(GLOBAL_DER_FEV_2023!W2223=0,0,IF(GLOBAL_DER_FEV_2023!W2223&gt;0,"c","b"))</f>
        <v>0</v>
      </c>
    </row>
    <row r="2224" spans="1:25" ht="15" hidden="1" customHeight="1" x14ac:dyDescent="0.2">
      <c r="A2224" s="317" t="s">
        <v>147</v>
      </c>
      <c r="B2224" s="895" t="s">
        <v>147</v>
      </c>
      <c r="C2224" s="896"/>
      <c r="D2224" s="906" t="s">
        <v>233</v>
      </c>
      <c r="E2224" s="907">
        <f>GLOBAL_DER_FEV_2023!E2224</f>
        <v>0.2</v>
      </c>
      <c r="F2224" s="908">
        <f>GLOBAL_DER_FEV_2023!F2224</f>
        <v>0.43353936000000004</v>
      </c>
      <c r="G2224" s="949">
        <f>GLOBAL_DER_FEV_2023!G2224</f>
        <v>1.2546629078400002</v>
      </c>
      <c r="H2224" s="901">
        <f>GLOBAL_DER_FEV_2023!H2224</f>
        <v>0</v>
      </c>
      <c r="I2224" s="901">
        <f>GLOBAL_DER_FEV_2023!I2224</f>
        <v>0</v>
      </c>
      <c r="J2224" s="902">
        <f>GLOBAL_DER_FEV_2023!J2224</f>
        <v>0</v>
      </c>
      <c r="K2224" s="903"/>
      <c r="L2224" s="1177"/>
      <c r="M2224" s="1138">
        <f t="shared" si="167"/>
        <v>0</v>
      </c>
      <c r="N2224" s="1176">
        <f t="shared" si="171"/>
        <v>0</v>
      </c>
      <c r="O2224" s="905"/>
      <c r="P2224" s="36" t="str">
        <f>IF(N2221&gt;0,"xx",IF(N2221&gt;0,"xy",""))</f>
        <v/>
      </c>
      <c r="Q2224" s="317" t="str">
        <f t="shared" si="168"/>
        <v/>
      </c>
      <c r="R2224" s="317" t="str">
        <f t="shared" si="169"/>
        <v/>
      </c>
      <c r="S2224" s="317" t="str">
        <f t="shared" si="170"/>
        <v/>
      </c>
      <c r="T2224" s="317" t="str">
        <f>GLOBAL_DER_FEV_2023!S2224</f>
        <v/>
      </c>
      <c r="W2224" s="582">
        <v>0</v>
      </c>
      <c r="X2224" s="580"/>
      <c r="Y2224" s="583">
        <f>IF(GLOBAL_DER_FEV_2023!W2224=0,0,IF(GLOBAL_DER_FEV_2023!W2224&gt;0,"c","b"))</f>
        <v>0</v>
      </c>
    </row>
    <row r="2225" spans="1:25" ht="15" hidden="1" customHeight="1" x14ac:dyDescent="0.2">
      <c r="A2225" s="317" t="s">
        <v>147</v>
      </c>
      <c r="B2225" s="895" t="s">
        <v>147</v>
      </c>
      <c r="C2225" s="896"/>
      <c r="D2225" s="906" t="s">
        <v>365</v>
      </c>
      <c r="E2225" s="907">
        <f>GLOBAL_DER_FEV_2023!E2225</f>
        <v>10</v>
      </c>
      <c r="F2225" s="908">
        <f>GLOBAL_DER_FEV_2023!F2225</f>
        <v>0.28019519999999998</v>
      </c>
      <c r="G2225" s="949">
        <f>GLOBAL_DER_FEV_2023!G2225</f>
        <v>3.7490117760000001</v>
      </c>
      <c r="H2225" s="901">
        <f>GLOBAL_DER_FEV_2023!H2225</f>
        <v>0</v>
      </c>
      <c r="I2225" s="901">
        <f>GLOBAL_DER_FEV_2023!I2225</f>
        <v>0</v>
      </c>
      <c r="J2225" s="902">
        <f>GLOBAL_DER_FEV_2023!J2225</f>
        <v>0</v>
      </c>
      <c r="K2225" s="903"/>
      <c r="L2225" s="1177"/>
      <c r="M2225" s="1138">
        <f t="shared" si="167"/>
        <v>0</v>
      </c>
      <c r="N2225" s="1176">
        <f t="shared" si="171"/>
        <v>0</v>
      </c>
      <c r="O2225" s="905"/>
      <c r="P2225" s="36" t="str">
        <f>IF(N2221&gt;0,"xx",IF(N2221&gt;0,"xy",""))</f>
        <v/>
      </c>
      <c r="Q2225" s="317" t="str">
        <f t="shared" si="168"/>
        <v/>
      </c>
      <c r="R2225" s="317" t="str">
        <f t="shared" si="169"/>
        <v/>
      </c>
      <c r="S2225" s="317" t="str">
        <f t="shared" si="170"/>
        <v/>
      </c>
      <c r="T2225" s="317" t="str">
        <f>GLOBAL_DER_FEV_2023!S2225</f>
        <v/>
      </c>
      <c r="W2225" s="582">
        <v>0</v>
      </c>
      <c r="X2225" s="580"/>
      <c r="Y2225" s="583">
        <f>IF(GLOBAL_DER_FEV_2023!W2225=0,0,IF(GLOBAL_DER_FEV_2023!W2225&gt;0,"c","b"))</f>
        <v>0</v>
      </c>
    </row>
    <row r="2226" spans="1:25" ht="15" hidden="1" customHeight="1" x14ac:dyDescent="0.2">
      <c r="A2226" s="317" t="s">
        <v>147</v>
      </c>
      <c r="B2226" s="895" t="s">
        <v>147</v>
      </c>
      <c r="C2226" s="896"/>
      <c r="D2226" s="906" t="s">
        <v>366</v>
      </c>
      <c r="E2226" s="907">
        <f>GLOBAL_DER_FEV_2023!E2226</f>
        <v>353</v>
      </c>
      <c r="F2226" s="908">
        <f>GLOBAL_DER_FEV_2023!F2226</f>
        <v>9.3398400000000003E-3</v>
      </c>
      <c r="G2226" s="909">
        <f>GLOBAL_DER_FEV_2023!G2226</f>
        <v>2.6446690944000002</v>
      </c>
      <c r="H2226" s="901">
        <f>GLOBAL_DER_FEV_2023!H2226</f>
        <v>0</v>
      </c>
      <c r="I2226" s="901">
        <f>GLOBAL_DER_FEV_2023!I2226</f>
        <v>0</v>
      </c>
      <c r="J2226" s="902">
        <f>GLOBAL_DER_FEV_2023!J2226</f>
        <v>0</v>
      </c>
      <c r="K2226" s="903"/>
      <c r="L2226" s="1177"/>
      <c r="M2226" s="1138">
        <f t="shared" si="167"/>
        <v>0</v>
      </c>
      <c r="N2226" s="1176">
        <f t="shared" si="171"/>
        <v>0</v>
      </c>
      <c r="O2226" s="905"/>
      <c r="P2226" s="36" t="str">
        <f>IF(N2221&gt;0,"xx",IF(N2221&gt;0,"xy",""))</f>
        <v/>
      </c>
      <c r="Q2226" s="317" t="str">
        <f t="shared" si="168"/>
        <v/>
      </c>
      <c r="R2226" s="317" t="str">
        <f t="shared" si="169"/>
        <v/>
      </c>
      <c r="S2226" s="317" t="str">
        <f t="shared" si="170"/>
        <v/>
      </c>
      <c r="T2226" s="317" t="str">
        <f>GLOBAL_DER_FEV_2023!S2226</f>
        <v/>
      </c>
      <c r="W2226" s="582">
        <v>0</v>
      </c>
      <c r="X2226" s="580"/>
      <c r="Y2226" s="583">
        <f>IF(GLOBAL_DER_FEV_2023!W2226=0,0,IF(GLOBAL_DER_FEV_2023!W2226&gt;0,"c","b"))</f>
        <v>0</v>
      </c>
    </row>
    <row r="2227" spans="1:25" ht="15" hidden="1" customHeight="1" x14ac:dyDescent="0.2">
      <c r="A2227" s="317" t="s">
        <v>30</v>
      </c>
      <c r="B2227" s="895" t="s">
        <v>30</v>
      </c>
      <c r="C2227" s="896" t="s">
        <v>184</v>
      </c>
      <c r="D2227" s="906" t="s">
        <v>58</v>
      </c>
      <c r="E2227" s="907">
        <f>GLOBAL_DER_FEV_2023!E2227</f>
        <v>0</v>
      </c>
      <c r="F2227" s="908">
        <f>GLOBAL_DER_FEV_2023!F2227</f>
        <v>0</v>
      </c>
      <c r="G2227" s="912">
        <f>GLOBAL_DER_FEV_2023!G2227</f>
        <v>237.28563252992004</v>
      </c>
      <c r="H2227" s="901">
        <f>GLOBAL_DER_FEV_2023!H2227</f>
        <v>1305.72</v>
      </c>
      <c r="I2227" s="901">
        <f>GLOBAL_DER_FEV_2023!I2227</f>
        <v>1543.0056325299201</v>
      </c>
      <c r="J2227" s="902">
        <f>GLOBAL_DER_FEV_2023!J2227</f>
        <v>1852.69</v>
      </c>
      <c r="K2227" s="903" t="s">
        <v>15</v>
      </c>
      <c r="L2227" s="1137"/>
      <c r="M2227" s="1138">
        <f t="shared" si="167"/>
        <v>0</v>
      </c>
      <c r="N2227" s="1176">
        <f t="shared" si="171"/>
        <v>0</v>
      </c>
      <c r="O2227" s="905"/>
      <c r="Q2227" s="317" t="str">
        <f t="shared" si="168"/>
        <v/>
      </c>
      <c r="R2227" s="317" t="str">
        <f t="shared" si="169"/>
        <v/>
      </c>
      <c r="S2227" s="317" t="str">
        <f t="shared" si="170"/>
        <v/>
      </c>
      <c r="T2227" s="317" t="str">
        <f>GLOBAL_DER_FEV_2023!S2227</f>
        <v/>
      </c>
      <c r="W2227" s="582">
        <v>0</v>
      </c>
      <c r="X2227" s="580"/>
      <c r="Y2227" s="583">
        <f>IF(GLOBAL_DER_FEV_2023!W2227=0,0,IF(GLOBAL_DER_FEV_2023!W2227&gt;0,"c","b"))</f>
        <v>0</v>
      </c>
    </row>
    <row r="2228" spans="1:25" ht="15" hidden="1" customHeight="1" x14ac:dyDescent="0.2">
      <c r="A2228" s="317" t="s">
        <v>147</v>
      </c>
      <c r="B2228" s="895" t="s">
        <v>147</v>
      </c>
      <c r="C2228" s="896"/>
      <c r="D2228" s="906" t="s">
        <v>190</v>
      </c>
      <c r="E2228" s="907">
        <f>GLOBAL_DER_FEV_2023!E2228</f>
        <v>308</v>
      </c>
      <c r="F2228" s="908">
        <f>GLOBAL_DER_FEV_2023!F2228</f>
        <v>0.25613760000000002</v>
      </c>
      <c r="G2228" s="909">
        <f>GLOBAL_DER_FEV_2023!G2228</f>
        <v>63.537493056000002</v>
      </c>
      <c r="H2228" s="901">
        <f>GLOBAL_DER_FEV_2023!H2228</f>
        <v>0</v>
      </c>
      <c r="I2228" s="901">
        <f>GLOBAL_DER_FEV_2023!I2228</f>
        <v>0</v>
      </c>
      <c r="J2228" s="902">
        <f>GLOBAL_DER_FEV_2023!J2228</f>
        <v>0</v>
      </c>
      <c r="K2228" s="903"/>
      <c r="L2228" s="1177"/>
      <c r="M2228" s="1138">
        <f t="shared" si="167"/>
        <v>0</v>
      </c>
      <c r="N2228" s="1176">
        <f t="shared" si="171"/>
        <v>0</v>
      </c>
      <c r="O2228" s="905"/>
      <c r="P2228" s="36" t="str">
        <f>IF(N2227&gt;0,"xx",IF(N2227&gt;0,"xy",""))</f>
        <v/>
      </c>
      <c r="Q2228" s="317" t="str">
        <f t="shared" si="168"/>
        <v/>
      </c>
      <c r="R2228" s="317" t="str">
        <f t="shared" si="169"/>
        <v/>
      </c>
      <c r="S2228" s="317" t="str">
        <f t="shared" si="170"/>
        <v/>
      </c>
      <c r="T2228" s="317" t="str">
        <f>GLOBAL_DER_FEV_2023!S2228</f>
        <v/>
      </c>
      <c r="W2228" s="582">
        <v>0</v>
      </c>
      <c r="X2228" s="580"/>
      <c r="Y2228" s="583">
        <f>IF(GLOBAL_DER_FEV_2023!W2228=0,0,IF(GLOBAL_DER_FEV_2023!W2228&gt;0,"c","b"))</f>
        <v>0</v>
      </c>
    </row>
    <row r="2229" spans="1:25" ht="15" hidden="1" customHeight="1" x14ac:dyDescent="0.2">
      <c r="A2229" s="317" t="s">
        <v>147</v>
      </c>
      <c r="B2229" s="895" t="s">
        <v>147</v>
      </c>
      <c r="C2229" s="896"/>
      <c r="D2229" s="906" t="s">
        <v>229</v>
      </c>
      <c r="E2229" s="907">
        <f>GLOBAL_DER_FEV_2023!E2229</f>
        <v>150</v>
      </c>
      <c r="F2229" s="908">
        <f>GLOBAL_DER_FEV_2023!F2229</f>
        <v>0.95694329600000005</v>
      </c>
      <c r="G2229" s="949">
        <f>GLOBAL_DER_FEV_2023!G2229</f>
        <v>156.15400704128001</v>
      </c>
      <c r="H2229" s="901">
        <f>GLOBAL_DER_FEV_2023!H2229</f>
        <v>0</v>
      </c>
      <c r="I2229" s="901">
        <f>GLOBAL_DER_FEV_2023!I2229</f>
        <v>0</v>
      </c>
      <c r="J2229" s="902">
        <f>GLOBAL_DER_FEV_2023!J2229</f>
        <v>0</v>
      </c>
      <c r="K2229" s="903"/>
      <c r="L2229" s="1177"/>
      <c r="M2229" s="1138">
        <f t="shared" si="167"/>
        <v>0</v>
      </c>
      <c r="N2229" s="1176">
        <f t="shared" si="171"/>
        <v>0</v>
      </c>
      <c r="O2229" s="905"/>
      <c r="P2229" s="36" t="str">
        <f>IF(N2227&gt;0,"xx",IF(N2227&gt;0,"xy",""))</f>
        <v/>
      </c>
      <c r="Q2229" s="317" t="str">
        <f t="shared" si="168"/>
        <v/>
      </c>
      <c r="R2229" s="317" t="str">
        <f t="shared" si="169"/>
        <v/>
      </c>
      <c r="S2229" s="317" t="str">
        <f t="shared" si="170"/>
        <v/>
      </c>
      <c r="T2229" s="317" t="str">
        <f>GLOBAL_DER_FEV_2023!S2229</f>
        <v/>
      </c>
      <c r="W2229" s="582">
        <v>0</v>
      </c>
      <c r="X2229" s="580"/>
      <c r="Y2229" s="583">
        <f>IF(GLOBAL_DER_FEV_2023!W2229=0,0,IF(GLOBAL_DER_FEV_2023!W2229&gt;0,"c","b"))</f>
        <v>0</v>
      </c>
    </row>
    <row r="2230" spans="1:25" ht="15" hidden="1" customHeight="1" x14ac:dyDescent="0.2">
      <c r="A2230" s="317" t="s">
        <v>147</v>
      </c>
      <c r="B2230" s="895" t="s">
        <v>147</v>
      </c>
      <c r="C2230" s="896"/>
      <c r="D2230" s="906" t="s">
        <v>233</v>
      </c>
      <c r="E2230" s="907">
        <f>GLOBAL_DER_FEV_2023!E2230</f>
        <v>0.2</v>
      </c>
      <c r="F2230" s="908">
        <f>GLOBAL_DER_FEV_2023!F2230</f>
        <v>0.70038336000000012</v>
      </c>
      <c r="G2230" s="949">
        <f>GLOBAL_DER_FEV_2023!G2230</f>
        <v>2.0269094438400006</v>
      </c>
      <c r="H2230" s="901">
        <f>GLOBAL_DER_FEV_2023!H2230</f>
        <v>0</v>
      </c>
      <c r="I2230" s="901">
        <f>GLOBAL_DER_FEV_2023!I2230</f>
        <v>0</v>
      </c>
      <c r="J2230" s="902">
        <f>GLOBAL_DER_FEV_2023!J2230</f>
        <v>0</v>
      </c>
      <c r="K2230" s="903"/>
      <c r="L2230" s="1177"/>
      <c r="M2230" s="1138">
        <f t="shared" si="167"/>
        <v>0</v>
      </c>
      <c r="N2230" s="1176">
        <f t="shared" si="171"/>
        <v>0</v>
      </c>
      <c r="O2230" s="905"/>
      <c r="P2230" s="36" t="str">
        <f>IF(N2227&gt;0,"xx",IF(N2227&gt;0,"xy",""))</f>
        <v/>
      </c>
      <c r="Q2230" s="317" t="str">
        <f t="shared" si="168"/>
        <v/>
      </c>
      <c r="R2230" s="317" t="str">
        <f t="shared" si="169"/>
        <v/>
      </c>
      <c r="S2230" s="317" t="str">
        <f t="shared" si="170"/>
        <v/>
      </c>
      <c r="T2230" s="317" t="str">
        <f>GLOBAL_DER_FEV_2023!S2230</f>
        <v/>
      </c>
      <c r="W2230" s="582">
        <v>0</v>
      </c>
      <c r="X2230" s="580"/>
      <c r="Y2230" s="583">
        <f>IF(GLOBAL_DER_FEV_2023!W2230=0,0,IF(GLOBAL_DER_FEV_2023!W2230&gt;0,"c","b"))</f>
        <v>0</v>
      </c>
    </row>
    <row r="2231" spans="1:25" ht="15" hidden="1" customHeight="1" x14ac:dyDescent="0.2">
      <c r="A2231" s="317" t="s">
        <v>147</v>
      </c>
      <c r="B2231" s="895" t="s">
        <v>147</v>
      </c>
      <c r="C2231" s="896"/>
      <c r="D2231" s="906" t="s">
        <v>365</v>
      </c>
      <c r="E2231" s="907">
        <f>GLOBAL_DER_FEV_2023!E2231</f>
        <v>10</v>
      </c>
      <c r="F2231" s="908">
        <f>GLOBAL_DER_FEV_2023!F2231</f>
        <v>0.6822144</v>
      </c>
      <c r="G2231" s="949">
        <f>GLOBAL_DER_FEV_2023!G2231</f>
        <v>9.128028672000001</v>
      </c>
      <c r="H2231" s="901">
        <f>GLOBAL_DER_FEV_2023!H2231</f>
        <v>0</v>
      </c>
      <c r="I2231" s="901">
        <f>GLOBAL_DER_FEV_2023!I2231</f>
        <v>0</v>
      </c>
      <c r="J2231" s="902">
        <f>GLOBAL_DER_FEV_2023!J2231</f>
        <v>0</v>
      </c>
      <c r="K2231" s="903"/>
      <c r="L2231" s="1177"/>
      <c r="M2231" s="1138">
        <f t="shared" si="167"/>
        <v>0</v>
      </c>
      <c r="N2231" s="1176">
        <f t="shared" si="171"/>
        <v>0</v>
      </c>
      <c r="O2231" s="905"/>
      <c r="P2231" s="36" t="str">
        <f>IF(N2227&gt;0,"xx",IF(N2227&gt;0,"xy",""))</f>
        <v/>
      </c>
      <c r="Q2231" s="317" t="str">
        <f t="shared" si="168"/>
        <v/>
      </c>
      <c r="R2231" s="317" t="str">
        <f t="shared" si="169"/>
        <v/>
      </c>
      <c r="S2231" s="317" t="str">
        <f t="shared" si="170"/>
        <v/>
      </c>
      <c r="T2231" s="317" t="str">
        <f>GLOBAL_DER_FEV_2023!S2231</f>
        <v/>
      </c>
      <c r="W2231" s="582">
        <v>0</v>
      </c>
      <c r="X2231" s="580"/>
      <c r="Y2231" s="583">
        <f>IF(GLOBAL_DER_FEV_2023!W2231=0,0,IF(GLOBAL_DER_FEV_2023!W2231&gt;0,"c","b"))</f>
        <v>0</v>
      </c>
    </row>
    <row r="2232" spans="1:25" ht="15" hidden="1" customHeight="1" x14ac:dyDescent="0.2">
      <c r="A2232" s="317" t="s">
        <v>147</v>
      </c>
      <c r="B2232" s="895" t="s">
        <v>147</v>
      </c>
      <c r="C2232" s="896"/>
      <c r="D2232" s="906" t="s">
        <v>366</v>
      </c>
      <c r="E2232" s="907">
        <f>GLOBAL_DER_FEV_2023!E2232</f>
        <v>353</v>
      </c>
      <c r="F2232" s="908">
        <f>GLOBAL_DER_FEV_2023!F2232</f>
        <v>2.274048E-2</v>
      </c>
      <c r="G2232" s="909">
        <f>GLOBAL_DER_FEV_2023!G2232</f>
        <v>6.439194316800001</v>
      </c>
      <c r="H2232" s="901">
        <f>GLOBAL_DER_FEV_2023!H2232</f>
        <v>0</v>
      </c>
      <c r="I2232" s="901">
        <f>GLOBAL_DER_FEV_2023!I2232</f>
        <v>0</v>
      </c>
      <c r="J2232" s="902">
        <f>GLOBAL_DER_FEV_2023!J2232</f>
        <v>0</v>
      </c>
      <c r="K2232" s="903"/>
      <c r="L2232" s="1177"/>
      <c r="M2232" s="1138">
        <f t="shared" si="167"/>
        <v>0</v>
      </c>
      <c r="N2232" s="1176">
        <f t="shared" si="171"/>
        <v>0</v>
      </c>
      <c r="O2232" s="905"/>
      <c r="P2232" s="36" t="str">
        <f>IF(N2227&gt;0,"xx",IF(N2227&gt;0,"xy",""))</f>
        <v/>
      </c>
      <c r="Q2232" s="317" t="str">
        <f t="shared" si="168"/>
        <v/>
      </c>
      <c r="R2232" s="317" t="str">
        <f t="shared" si="169"/>
        <v/>
      </c>
      <c r="S2232" s="317" t="str">
        <f t="shared" si="170"/>
        <v/>
      </c>
      <c r="T2232" s="317" t="str">
        <f>GLOBAL_DER_FEV_2023!S2232</f>
        <v/>
      </c>
      <c r="W2232" s="582">
        <v>0</v>
      </c>
      <c r="X2232" s="580"/>
      <c r="Y2232" s="583">
        <f>IF(GLOBAL_DER_FEV_2023!W2232=0,0,IF(GLOBAL_DER_FEV_2023!W2232&gt;0,"c","b"))</f>
        <v>0</v>
      </c>
    </row>
    <row r="2233" spans="1:25" ht="15" hidden="1" customHeight="1" x14ac:dyDescent="0.2">
      <c r="A2233" s="317" t="s">
        <v>31</v>
      </c>
      <c r="B2233" s="895" t="s">
        <v>31</v>
      </c>
      <c r="C2233" s="896" t="s">
        <v>184</v>
      </c>
      <c r="D2233" s="906" t="s">
        <v>59</v>
      </c>
      <c r="E2233" s="907">
        <f>GLOBAL_DER_FEV_2023!E2233</f>
        <v>0</v>
      </c>
      <c r="F2233" s="908">
        <f>GLOBAL_DER_FEV_2023!F2233</f>
        <v>0</v>
      </c>
      <c r="G2233" s="912">
        <f>GLOBAL_DER_FEV_2023!G2233</f>
        <v>310.56740786463996</v>
      </c>
      <c r="H2233" s="901">
        <f>GLOBAL_DER_FEV_2023!H2233</f>
        <v>1702.01</v>
      </c>
      <c r="I2233" s="901">
        <f>GLOBAL_DER_FEV_2023!I2233</f>
        <v>2012.57740786464</v>
      </c>
      <c r="J2233" s="902">
        <f>GLOBAL_DER_FEV_2023!J2233</f>
        <v>2416.5</v>
      </c>
      <c r="K2233" s="903" t="s">
        <v>15</v>
      </c>
      <c r="L2233" s="1137"/>
      <c r="M2233" s="1138">
        <f t="shared" si="167"/>
        <v>0</v>
      </c>
      <c r="N2233" s="1176">
        <f t="shared" si="171"/>
        <v>0</v>
      </c>
      <c r="O2233" s="905"/>
      <c r="Q2233" s="317" t="str">
        <f t="shared" si="168"/>
        <v/>
      </c>
      <c r="R2233" s="317" t="str">
        <f t="shared" si="169"/>
        <v/>
      </c>
      <c r="S2233" s="317" t="str">
        <f t="shared" si="170"/>
        <v/>
      </c>
      <c r="T2233" s="317" t="str">
        <f>GLOBAL_DER_FEV_2023!S2233</f>
        <v/>
      </c>
      <c r="W2233" s="582">
        <v>0</v>
      </c>
      <c r="X2233" s="580"/>
      <c r="Y2233" s="583">
        <f>IF(GLOBAL_DER_FEV_2023!W2233=0,0,IF(GLOBAL_DER_FEV_2023!W2233&gt;0,"c","b"))</f>
        <v>0</v>
      </c>
    </row>
    <row r="2234" spans="1:25" ht="15" hidden="1" customHeight="1" x14ac:dyDescent="0.2">
      <c r="A2234" s="317" t="s">
        <v>147</v>
      </c>
      <c r="B2234" s="895" t="s">
        <v>147</v>
      </c>
      <c r="C2234" s="896"/>
      <c r="D2234" s="906" t="s">
        <v>190</v>
      </c>
      <c r="E2234" s="907">
        <f>GLOBAL_DER_FEV_2023!E2234</f>
        <v>308</v>
      </c>
      <c r="F2234" s="908">
        <f>GLOBAL_DER_FEV_2023!F2234</f>
        <v>0.33109503999999995</v>
      </c>
      <c r="G2234" s="909">
        <f>GLOBAL_DER_FEV_2023!G2234</f>
        <v>82.131435622399991</v>
      </c>
      <c r="H2234" s="901">
        <f>GLOBAL_DER_FEV_2023!H2234</f>
        <v>0</v>
      </c>
      <c r="I2234" s="901">
        <f>GLOBAL_DER_FEV_2023!I2234</f>
        <v>0</v>
      </c>
      <c r="J2234" s="902">
        <f>GLOBAL_DER_FEV_2023!J2234</f>
        <v>0</v>
      </c>
      <c r="K2234" s="903"/>
      <c r="L2234" s="1177"/>
      <c r="M2234" s="1138">
        <f t="shared" si="167"/>
        <v>0</v>
      </c>
      <c r="N2234" s="1176">
        <f t="shared" si="171"/>
        <v>0</v>
      </c>
      <c r="O2234" s="905"/>
      <c r="P2234" s="36" t="str">
        <f>IF(N2233&gt;0,"xx",IF(N2233&gt;0,"xy",""))</f>
        <v/>
      </c>
      <c r="Q2234" s="317" t="str">
        <f t="shared" si="168"/>
        <v/>
      </c>
      <c r="R2234" s="317" t="str">
        <f t="shared" si="169"/>
        <v/>
      </c>
      <c r="S2234" s="317" t="str">
        <f t="shared" si="170"/>
        <v/>
      </c>
      <c r="T2234" s="317" t="str">
        <f>GLOBAL_DER_FEV_2023!S2234</f>
        <v/>
      </c>
      <c r="W2234" s="582">
        <v>0</v>
      </c>
      <c r="X2234" s="580"/>
      <c r="Y2234" s="583">
        <f>IF(GLOBAL_DER_FEV_2023!W2234=0,0,IF(GLOBAL_DER_FEV_2023!W2234&gt;0,"c","b"))</f>
        <v>0</v>
      </c>
    </row>
    <row r="2235" spans="1:25" ht="15" hidden="1" customHeight="1" x14ac:dyDescent="0.2">
      <c r="A2235" s="317" t="s">
        <v>147</v>
      </c>
      <c r="B2235" s="895" t="s">
        <v>147</v>
      </c>
      <c r="C2235" s="896"/>
      <c r="D2235" s="906" t="s">
        <v>229</v>
      </c>
      <c r="E2235" s="907">
        <f>GLOBAL_DER_FEV_2023!E2235</f>
        <v>150</v>
      </c>
      <c r="F2235" s="908">
        <f>GLOBAL_DER_FEV_2023!F2235</f>
        <v>1.2541824319999999</v>
      </c>
      <c r="G2235" s="949">
        <f>GLOBAL_DER_FEV_2023!G2235</f>
        <v>204.65748925375999</v>
      </c>
      <c r="H2235" s="901">
        <f>GLOBAL_DER_FEV_2023!H2235</f>
        <v>0</v>
      </c>
      <c r="I2235" s="901">
        <f>GLOBAL_DER_FEV_2023!I2235</f>
        <v>0</v>
      </c>
      <c r="J2235" s="902">
        <f>GLOBAL_DER_FEV_2023!J2235</f>
        <v>0</v>
      </c>
      <c r="K2235" s="903"/>
      <c r="L2235" s="1177"/>
      <c r="M2235" s="1138">
        <f t="shared" si="167"/>
        <v>0</v>
      </c>
      <c r="N2235" s="1176">
        <f t="shared" si="171"/>
        <v>0</v>
      </c>
      <c r="O2235" s="905"/>
      <c r="P2235" s="36" t="str">
        <f>IF(N2233&gt;0,"xx",IF(N2233&gt;0,"xy",""))</f>
        <v/>
      </c>
      <c r="Q2235" s="317" t="str">
        <f t="shared" si="168"/>
        <v/>
      </c>
      <c r="R2235" s="317" t="str">
        <f t="shared" si="169"/>
        <v/>
      </c>
      <c r="S2235" s="317" t="str">
        <f t="shared" si="170"/>
        <v/>
      </c>
      <c r="T2235" s="317" t="str">
        <f>GLOBAL_DER_FEV_2023!S2235</f>
        <v/>
      </c>
      <c r="W2235" s="582">
        <v>0</v>
      </c>
      <c r="X2235" s="580"/>
      <c r="Y2235" s="583">
        <f>IF(GLOBAL_DER_FEV_2023!W2235=0,0,IF(GLOBAL_DER_FEV_2023!W2235&gt;0,"c","b"))</f>
        <v>0</v>
      </c>
    </row>
    <row r="2236" spans="1:25" ht="15" hidden="1" customHeight="1" x14ac:dyDescent="0.2">
      <c r="A2236" s="317" t="s">
        <v>147</v>
      </c>
      <c r="B2236" s="895" t="s">
        <v>147</v>
      </c>
      <c r="C2236" s="896"/>
      <c r="D2236" s="906" t="s">
        <v>233</v>
      </c>
      <c r="E2236" s="907">
        <f>GLOBAL_DER_FEV_2023!E2236</f>
        <v>0.2</v>
      </c>
      <c r="F2236" s="908">
        <f>GLOBAL_DER_FEV_2023!F2236</f>
        <v>0.89487311999999997</v>
      </c>
      <c r="G2236" s="949">
        <f>GLOBAL_DER_FEV_2023!G2236</f>
        <v>2.5897628092799998</v>
      </c>
      <c r="H2236" s="901">
        <f>GLOBAL_DER_FEV_2023!H2236</f>
        <v>0</v>
      </c>
      <c r="I2236" s="901">
        <f>GLOBAL_DER_FEV_2023!I2236</f>
        <v>0</v>
      </c>
      <c r="J2236" s="902">
        <f>GLOBAL_DER_FEV_2023!J2236</f>
        <v>0</v>
      </c>
      <c r="K2236" s="903"/>
      <c r="L2236" s="1177"/>
      <c r="M2236" s="1138">
        <f t="shared" si="167"/>
        <v>0</v>
      </c>
      <c r="N2236" s="1176">
        <f t="shared" si="171"/>
        <v>0</v>
      </c>
      <c r="O2236" s="905"/>
      <c r="P2236" s="36" t="str">
        <f>IF(N2233&gt;0,"xx",IF(N2233&gt;0,"xy",""))</f>
        <v/>
      </c>
      <c r="Q2236" s="317" t="str">
        <f t="shared" si="168"/>
        <v/>
      </c>
      <c r="R2236" s="317" t="str">
        <f t="shared" si="169"/>
        <v/>
      </c>
      <c r="S2236" s="317" t="str">
        <f t="shared" si="170"/>
        <v/>
      </c>
      <c r="T2236" s="317" t="str">
        <f>GLOBAL_DER_FEV_2023!S2236</f>
        <v/>
      </c>
      <c r="W2236" s="582">
        <v>0</v>
      </c>
      <c r="X2236" s="580"/>
      <c r="Y2236" s="583">
        <f>IF(GLOBAL_DER_FEV_2023!W2236=0,0,IF(GLOBAL_DER_FEV_2023!W2236&gt;0,"c","b"))</f>
        <v>0</v>
      </c>
    </row>
    <row r="2237" spans="1:25" ht="15" hidden="1" customHeight="1" x14ac:dyDescent="0.2">
      <c r="A2237" s="317" t="s">
        <v>147</v>
      </c>
      <c r="B2237" s="895" t="s">
        <v>147</v>
      </c>
      <c r="C2237" s="896"/>
      <c r="D2237" s="906" t="s">
        <v>365</v>
      </c>
      <c r="E2237" s="907">
        <f>GLOBAL_DER_FEV_2023!E2237</f>
        <v>10</v>
      </c>
      <c r="F2237" s="908">
        <f>GLOBAL_DER_FEV_2023!F2237</f>
        <v>0.92856959999999988</v>
      </c>
      <c r="G2237" s="949">
        <f>GLOBAL_DER_FEV_2023!G2237</f>
        <v>12.424261247999999</v>
      </c>
      <c r="H2237" s="901">
        <f>GLOBAL_DER_FEV_2023!H2237</f>
        <v>0</v>
      </c>
      <c r="I2237" s="901">
        <f>GLOBAL_DER_FEV_2023!I2237</f>
        <v>0</v>
      </c>
      <c r="J2237" s="902">
        <f>GLOBAL_DER_FEV_2023!J2237</f>
        <v>0</v>
      </c>
      <c r="K2237" s="903"/>
      <c r="L2237" s="1177"/>
      <c r="M2237" s="1138">
        <f t="shared" si="167"/>
        <v>0</v>
      </c>
      <c r="N2237" s="1176">
        <f t="shared" si="171"/>
        <v>0</v>
      </c>
      <c r="O2237" s="905"/>
      <c r="P2237" s="36" t="str">
        <f>IF(N2233&gt;0,"xx",IF(N2233&gt;0,"xy",""))</f>
        <v/>
      </c>
      <c r="Q2237" s="317" t="str">
        <f t="shared" si="168"/>
        <v/>
      </c>
      <c r="R2237" s="317" t="str">
        <f t="shared" si="169"/>
        <v/>
      </c>
      <c r="S2237" s="317" t="str">
        <f t="shared" si="170"/>
        <v/>
      </c>
      <c r="T2237" s="317" t="str">
        <f>GLOBAL_DER_FEV_2023!S2237</f>
        <v/>
      </c>
      <c r="W2237" s="582">
        <v>0</v>
      </c>
      <c r="X2237" s="580"/>
      <c r="Y2237" s="583">
        <f>IF(GLOBAL_DER_FEV_2023!W2237=0,0,IF(GLOBAL_DER_FEV_2023!W2237&gt;0,"c","b"))</f>
        <v>0</v>
      </c>
    </row>
    <row r="2238" spans="1:25" ht="15" hidden="1" customHeight="1" x14ac:dyDescent="0.2">
      <c r="A2238" s="317" t="s">
        <v>147</v>
      </c>
      <c r="B2238" s="895" t="s">
        <v>147</v>
      </c>
      <c r="C2238" s="896"/>
      <c r="D2238" s="906" t="s">
        <v>366</v>
      </c>
      <c r="E2238" s="907">
        <f>GLOBAL_DER_FEV_2023!E2238</f>
        <v>353</v>
      </c>
      <c r="F2238" s="908">
        <f>GLOBAL_DER_FEV_2023!F2238</f>
        <v>3.0952319999999998E-2</v>
      </c>
      <c r="G2238" s="909">
        <f>GLOBAL_DER_FEV_2023!G2238</f>
        <v>8.7644589312000001</v>
      </c>
      <c r="H2238" s="901">
        <f>GLOBAL_DER_FEV_2023!H2238</f>
        <v>0</v>
      </c>
      <c r="I2238" s="901">
        <f>GLOBAL_DER_FEV_2023!I2238</f>
        <v>0</v>
      </c>
      <c r="J2238" s="902">
        <f>GLOBAL_DER_FEV_2023!J2238</f>
        <v>0</v>
      </c>
      <c r="K2238" s="903"/>
      <c r="L2238" s="1177"/>
      <c r="M2238" s="1138">
        <f t="shared" si="167"/>
        <v>0</v>
      </c>
      <c r="N2238" s="1176">
        <f t="shared" si="171"/>
        <v>0</v>
      </c>
      <c r="O2238" s="905"/>
      <c r="P2238" s="36" t="str">
        <f>IF(N2233&gt;0,"xx",IF(N2233&gt;0,"xy",""))</f>
        <v/>
      </c>
      <c r="Q2238" s="317" t="str">
        <f t="shared" si="168"/>
        <v/>
      </c>
      <c r="R2238" s="317" t="str">
        <f t="shared" si="169"/>
        <v/>
      </c>
      <c r="S2238" s="317" t="str">
        <f t="shared" si="170"/>
        <v/>
      </c>
      <c r="T2238" s="317" t="str">
        <f>GLOBAL_DER_FEV_2023!S2238</f>
        <v/>
      </c>
      <c r="W2238" s="582">
        <v>0</v>
      </c>
      <c r="X2238" s="580"/>
      <c r="Y2238" s="583">
        <f>IF(GLOBAL_DER_FEV_2023!W2238=0,0,IF(GLOBAL_DER_FEV_2023!W2238&gt;0,"c","b"))</f>
        <v>0</v>
      </c>
    </row>
    <row r="2239" spans="1:25" ht="15" hidden="1" customHeight="1" x14ac:dyDescent="0.2">
      <c r="A2239" s="317" t="s">
        <v>32</v>
      </c>
      <c r="B2239" s="895" t="s">
        <v>32</v>
      </c>
      <c r="C2239" s="896" t="s">
        <v>184</v>
      </c>
      <c r="D2239" s="906" t="s">
        <v>60</v>
      </c>
      <c r="E2239" s="907">
        <f>GLOBAL_DER_FEV_2023!E2239</f>
        <v>0</v>
      </c>
      <c r="F2239" s="908">
        <f>GLOBAL_DER_FEV_2023!F2239</f>
        <v>0</v>
      </c>
      <c r="G2239" s="912">
        <f>GLOBAL_DER_FEV_2023!G2239</f>
        <v>428.72220748736009</v>
      </c>
      <c r="H2239" s="901">
        <f>GLOBAL_DER_FEV_2023!H2239</f>
        <v>2343.36</v>
      </c>
      <c r="I2239" s="901">
        <f>GLOBAL_DER_FEV_2023!I2239</f>
        <v>2772.0822074873604</v>
      </c>
      <c r="J2239" s="902">
        <f>GLOBAL_DER_FEV_2023!J2239</f>
        <v>3328.44</v>
      </c>
      <c r="K2239" s="903" t="s">
        <v>15</v>
      </c>
      <c r="L2239" s="1137"/>
      <c r="M2239" s="1138">
        <f t="shared" si="167"/>
        <v>0</v>
      </c>
      <c r="N2239" s="1176">
        <f t="shared" si="171"/>
        <v>0</v>
      </c>
      <c r="O2239" s="905"/>
      <c r="Q2239" s="317" t="str">
        <f t="shared" si="168"/>
        <v/>
      </c>
      <c r="R2239" s="317" t="str">
        <f t="shared" si="169"/>
        <v/>
      </c>
      <c r="S2239" s="317" t="str">
        <f t="shared" si="170"/>
        <v/>
      </c>
      <c r="T2239" s="317" t="str">
        <f>GLOBAL_DER_FEV_2023!S2239</f>
        <v/>
      </c>
      <c r="W2239" s="582">
        <v>0</v>
      </c>
      <c r="X2239" s="580"/>
      <c r="Y2239" s="583">
        <f>IF(GLOBAL_DER_FEV_2023!W2239=0,0,IF(GLOBAL_DER_FEV_2023!W2239&gt;0,"c","b"))</f>
        <v>0</v>
      </c>
    </row>
    <row r="2240" spans="1:25" ht="15" hidden="1" customHeight="1" x14ac:dyDescent="0.2">
      <c r="A2240" s="317" t="s">
        <v>147</v>
      </c>
      <c r="B2240" s="895" t="s">
        <v>147</v>
      </c>
      <c r="C2240" s="896"/>
      <c r="D2240" s="906" t="s">
        <v>190</v>
      </c>
      <c r="E2240" s="907">
        <f>GLOBAL_DER_FEV_2023!E2240</f>
        <v>308</v>
      </c>
      <c r="F2240" s="908">
        <f>GLOBAL_DER_FEV_2023!F2240</f>
        <v>0.45250179200000007</v>
      </c>
      <c r="G2240" s="909">
        <f>GLOBAL_DER_FEV_2023!G2240</f>
        <v>112.24759452352002</v>
      </c>
      <c r="H2240" s="901">
        <f>GLOBAL_DER_FEV_2023!H2240</f>
        <v>0</v>
      </c>
      <c r="I2240" s="901">
        <f>GLOBAL_DER_FEV_2023!I2240</f>
        <v>0</v>
      </c>
      <c r="J2240" s="902">
        <f>GLOBAL_DER_FEV_2023!J2240</f>
        <v>0</v>
      </c>
      <c r="K2240" s="903"/>
      <c r="L2240" s="1177"/>
      <c r="M2240" s="1138">
        <f t="shared" si="167"/>
        <v>0</v>
      </c>
      <c r="N2240" s="1176">
        <f t="shared" si="171"/>
        <v>0</v>
      </c>
      <c r="O2240" s="905"/>
      <c r="P2240" s="36" t="str">
        <f>IF(N2239&gt;0,"xx",IF(N2239&gt;0,"xy",""))</f>
        <v/>
      </c>
      <c r="Q2240" s="317" t="str">
        <f t="shared" si="168"/>
        <v/>
      </c>
      <c r="R2240" s="317" t="str">
        <f t="shared" si="169"/>
        <v/>
      </c>
      <c r="S2240" s="317" t="str">
        <f t="shared" si="170"/>
        <v/>
      </c>
      <c r="T2240" s="317" t="str">
        <f>GLOBAL_DER_FEV_2023!S2240</f>
        <v/>
      </c>
      <c r="W2240" s="582">
        <v>0</v>
      </c>
      <c r="X2240" s="580"/>
      <c r="Y2240" s="583">
        <f>IF(GLOBAL_DER_FEV_2023!W2240=0,0,IF(GLOBAL_DER_FEV_2023!W2240&gt;0,"c","b"))</f>
        <v>0</v>
      </c>
    </row>
    <row r="2241" spans="1:25" ht="15" hidden="1" customHeight="1" x14ac:dyDescent="0.2">
      <c r="A2241" s="317" t="s">
        <v>147</v>
      </c>
      <c r="B2241" s="895" t="s">
        <v>147</v>
      </c>
      <c r="C2241" s="896"/>
      <c r="D2241" s="906" t="s">
        <v>229</v>
      </c>
      <c r="E2241" s="907">
        <f>GLOBAL_DER_FEV_2023!E2241</f>
        <v>150</v>
      </c>
      <c r="F2241" s="908">
        <f>GLOBAL_DER_FEV_2023!F2241</f>
        <v>1.7334338080000002</v>
      </c>
      <c r="G2241" s="949">
        <f>GLOBAL_DER_FEV_2023!G2241</f>
        <v>282.86172878944006</v>
      </c>
      <c r="H2241" s="901">
        <f>GLOBAL_DER_FEV_2023!H2241</f>
        <v>0</v>
      </c>
      <c r="I2241" s="901">
        <f>GLOBAL_DER_FEV_2023!I2241</f>
        <v>0</v>
      </c>
      <c r="J2241" s="902">
        <f>GLOBAL_DER_FEV_2023!J2241</f>
        <v>0</v>
      </c>
      <c r="K2241" s="903"/>
      <c r="L2241" s="1177"/>
      <c r="M2241" s="1138">
        <f t="shared" si="167"/>
        <v>0</v>
      </c>
      <c r="N2241" s="1176">
        <f t="shared" si="171"/>
        <v>0</v>
      </c>
      <c r="O2241" s="905"/>
      <c r="P2241" s="36" t="str">
        <f>IF(N2239&gt;0,"xx",IF(N2239&gt;0,"xy",""))</f>
        <v/>
      </c>
      <c r="Q2241" s="317" t="str">
        <f t="shared" si="168"/>
        <v/>
      </c>
      <c r="R2241" s="317" t="str">
        <f t="shared" si="169"/>
        <v/>
      </c>
      <c r="S2241" s="317" t="str">
        <f t="shared" si="170"/>
        <v/>
      </c>
      <c r="T2241" s="317" t="str">
        <f>GLOBAL_DER_FEV_2023!S2241</f>
        <v/>
      </c>
      <c r="W2241" s="582">
        <v>0</v>
      </c>
      <c r="X2241" s="580"/>
      <c r="Y2241" s="583">
        <f>IF(GLOBAL_DER_FEV_2023!W2241=0,0,IF(GLOBAL_DER_FEV_2023!W2241&gt;0,"c","b"))</f>
        <v>0</v>
      </c>
    </row>
    <row r="2242" spans="1:25" ht="15" hidden="1" customHeight="1" x14ac:dyDescent="0.2">
      <c r="A2242" s="317" t="s">
        <v>147</v>
      </c>
      <c r="B2242" s="895" t="s">
        <v>147</v>
      </c>
      <c r="C2242" s="896"/>
      <c r="D2242" s="906" t="s">
        <v>233</v>
      </c>
      <c r="E2242" s="907">
        <f>GLOBAL_DER_FEV_2023!E2242</f>
        <v>0.2</v>
      </c>
      <c r="F2242" s="908">
        <f>GLOBAL_DER_FEV_2023!F2242</f>
        <v>1.2150148800000002</v>
      </c>
      <c r="G2242" s="949">
        <f>GLOBAL_DER_FEV_2023!G2242</f>
        <v>3.516253062720001</v>
      </c>
      <c r="H2242" s="901">
        <f>GLOBAL_DER_FEV_2023!H2242</f>
        <v>0</v>
      </c>
      <c r="I2242" s="901">
        <f>GLOBAL_DER_FEV_2023!I2242</f>
        <v>0</v>
      </c>
      <c r="J2242" s="902">
        <f>GLOBAL_DER_FEV_2023!J2242</f>
        <v>0</v>
      </c>
      <c r="K2242" s="903"/>
      <c r="L2242" s="1177"/>
      <c r="M2242" s="1138">
        <f t="shared" si="167"/>
        <v>0</v>
      </c>
      <c r="N2242" s="1176">
        <f t="shared" si="171"/>
        <v>0</v>
      </c>
      <c r="O2242" s="905"/>
      <c r="P2242" s="36" t="str">
        <f>IF(N2239&gt;0,"xx",IF(N2239&gt;0,"xy",""))</f>
        <v/>
      </c>
      <c r="Q2242" s="317" t="str">
        <f t="shared" si="168"/>
        <v/>
      </c>
      <c r="R2242" s="317" t="str">
        <f t="shared" si="169"/>
        <v/>
      </c>
      <c r="S2242" s="317" t="str">
        <f t="shared" si="170"/>
        <v/>
      </c>
      <c r="T2242" s="317" t="str">
        <f>GLOBAL_DER_FEV_2023!S2242</f>
        <v/>
      </c>
      <c r="W2242" s="582">
        <v>0</v>
      </c>
      <c r="X2242" s="580"/>
      <c r="Y2242" s="583">
        <f>IF(GLOBAL_DER_FEV_2023!W2242=0,0,IF(GLOBAL_DER_FEV_2023!W2242&gt;0,"c","b"))</f>
        <v>0</v>
      </c>
    </row>
    <row r="2243" spans="1:25" ht="15" hidden="1" customHeight="1" x14ac:dyDescent="0.2">
      <c r="A2243" s="317" t="s">
        <v>147</v>
      </c>
      <c r="B2243" s="895" t="s">
        <v>147</v>
      </c>
      <c r="C2243" s="896"/>
      <c r="D2243" s="906" t="s">
        <v>365</v>
      </c>
      <c r="E2243" s="907">
        <f>GLOBAL_DER_FEV_2023!E2243</f>
        <v>10</v>
      </c>
      <c r="F2243" s="908">
        <f>GLOBAL_DER_FEV_2023!F2243</f>
        <v>1.3189478400000001</v>
      </c>
      <c r="G2243" s="949">
        <f>GLOBAL_DER_FEV_2023!G2243</f>
        <v>17.647522099200003</v>
      </c>
      <c r="H2243" s="901">
        <f>GLOBAL_DER_FEV_2023!H2243</f>
        <v>0</v>
      </c>
      <c r="I2243" s="901">
        <f>GLOBAL_DER_FEV_2023!I2243</f>
        <v>0</v>
      </c>
      <c r="J2243" s="902">
        <f>GLOBAL_DER_FEV_2023!J2243</f>
        <v>0</v>
      </c>
      <c r="K2243" s="903"/>
      <c r="L2243" s="1177"/>
      <c r="M2243" s="1138">
        <f t="shared" si="167"/>
        <v>0</v>
      </c>
      <c r="N2243" s="1176">
        <f t="shared" si="171"/>
        <v>0</v>
      </c>
      <c r="O2243" s="905"/>
      <c r="P2243" s="36" t="str">
        <f>IF(N2239&gt;0,"xx",IF(N2239&gt;0,"xy",""))</f>
        <v/>
      </c>
      <c r="Q2243" s="317" t="str">
        <f t="shared" si="168"/>
        <v/>
      </c>
      <c r="R2243" s="317" t="str">
        <f t="shared" si="169"/>
        <v/>
      </c>
      <c r="S2243" s="317" t="str">
        <f t="shared" si="170"/>
        <v/>
      </c>
      <c r="T2243" s="317" t="str">
        <f>GLOBAL_DER_FEV_2023!S2243</f>
        <v/>
      </c>
      <c r="W2243" s="582">
        <v>0</v>
      </c>
      <c r="X2243" s="580"/>
      <c r="Y2243" s="583">
        <f>IF(GLOBAL_DER_FEV_2023!W2243=0,0,IF(GLOBAL_DER_FEV_2023!W2243&gt;0,"c","b"))</f>
        <v>0</v>
      </c>
    </row>
    <row r="2244" spans="1:25" ht="15" hidden="1" customHeight="1" x14ac:dyDescent="0.2">
      <c r="A2244" s="317" t="s">
        <v>147</v>
      </c>
      <c r="B2244" s="895" t="s">
        <v>147</v>
      </c>
      <c r="C2244" s="896"/>
      <c r="D2244" s="906" t="s">
        <v>366</v>
      </c>
      <c r="E2244" s="907">
        <f>GLOBAL_DER_FEV_2023!E2244</f>
        <v>353</v>
      </c>
      <c r="F2244" s="908">
        <f>GLOBAL_DER_FEV_2023!F2244</f>
        <v>4.3964928000000007E-2</v>
      </c>
      <c r="G2244" s="909">
        <f>GLOBAL_DER_FEV_2023!G2244</f>
        <v>12.449109012480003</v>
      </c>
      <c r="H2244" s="901">
        <f>GLOBAL_DER_FEV_2023!H2244</f>
        <v>0</v>
      </c>
      <c r="I2244" s="901">
        <f>GLOBAL_DER_FEV_2023!I2244</f>
        <v>0</v>
      </c>
      <c r="J2244" s="902">
        <f>GLOBAL_DER_FEV_2023!J2244</f>
        <v>0</v>
      </c>
      <c r="K2244" s="903"/>
      <c r="L2244" s="1177"/>
      <c r="M2244" s="1138">
        <f t="shared" si="167"/>
        <v>0</v>
      </c>
      <c r="N2244" s="1176">
        <f t="shared" si="171"/>
        <v>0</v>
      </c>
      <c r="O2244" s="905"/>
      <c r="P2244" s="36" t="str">
        <f>IF(N2239&gt;0,"xx",IF(N2239&gt;0,"xy",""))</f>
        <v/>
      </c>
      <c r="Q2244" s="317" t="str">
        <f t="shared" si="168"/>
        <v/>
      </c>
      <c r="R2244" s="317" t="str">
        <f t="shared" si="169"/>
        <v/>
      </c>
      <c r="S2244" s="317" t="str">
        <f t="shared" si="170"/>
        <v/>
      </c>
      <c r="T2244" s="317" t="str">
        <f>GLOBAL_DER_FEV_2023!S2244</f>
        <v/>
      </c>
      <c r="W2244" s="582">
        <v>0</v>
      </c>
      <c r="X2244" s="580"/>
      <c r="Y2244" s="583">
        <f>IF(GLOBAL_DER_FEV_2023!W2244=0,0,IF(GLOBAL_DER_FEV_2023!W2244&gt;0,"c","b"))</f>
        <v>0</v>
      </c>
    </row>
    <row r="2245" spans="1:25" ht="15" hidden="1" customHeight="1" x14ac:dyDescent="0.2">
      <c r="A2245" s="317" t="s">
        <v>108</v>
      </c>
      <c r="B2245" s="895" t="s">
        <v>108</v>
      </c>
      <c r="C2245" s="896" t="s">
        <v>184</v>
      </c>
      <c r="D2245" s="906" t="s">
        <v>375</v>
      </c>
      <c r="E2245" s="907">
        <f>GLOBAL_DER_FEV_2023!E2245</f>
        <v>0</v>
      </c>
      <c r="F2245" s="908">
        <f>GLOBAL_DER_FEV_2023!F2245</f>
        <v>0</v>
      </c>
      <c r="G2245" s="912">
        <f>GLOBAL_DER_FEV_2023!G2245</f>
        <v>99.712223971200018</v>
      </c>
      <c r="H2245" s="901">
        <f>GLOBAL_DER_FEV_2023!H2245</f>
        <v>452.08</v>
      </c>
      <c r="I2245" s="901">
        <f>GLOBAL_DER_FEV_2023!I2245</f>
        <v>551.79222397119997</v>
      </c>
      <c r="J2245" s="902">
        <f>GLOBAL_DER_FEV_2023!J2245</f>
        <v>662.54</v>
      </c>
      <c r="K2245" s="903" t="s">
        <v>15</v>
      </c>
      <c r="L2245" s="1137"/>
      <c r="M2245" s="1138">
        <f t="shared" si="167"/>
        <v>0</v>
      </c>
      <c r="N2245" s="1176">
        <f t="shared" si="171"/>
        <v>0</v>
      </c>
      <c r="O2245" s="905"/>
      <c r="Q2245" s="317" t="str">
        <f t="shared" si="168"/>
        <v/>
      </c>
      <c r="R2245" s="317" t="str">
        <f t="shared" si="169"/>
        <v/>
      </c>
      <c r="S2245" s="317" t="str">
        <f t="shared" si="170"/>
        <v/>
      </c>
      <c r="T2245" s="317" t="str">
        <f>GLOBAL_DER_FEV_2023!S2245</f>
        <v/>
      </c>
      <c r="W2245" s="582">
        <v>0</v>
      </c>
      <c r="X2245" s="580"/>
      <c r="Y2245" s="583">
        <f>IF(GLOBAL_DER_FEV_2023!W2245=0,0,IF(GLOBAL_DER_FEV_2023!W2245&gt;0,"c","b"))</f>
        <v>0</v>
      </c>
    </row>
    <row r="2246" spans="1:25" ht="15" hidden="1" customHeight="1" x14ac:dyDescent="0.2">
      <c r="A2246" s="317" t="s">
        <v>147</v>
      </c>
      <c r="B2246" s="895" t="s">
        <v>147</v>
      </c>
      <c r="C2246" s="896"/>
      <c r="D2246" s="906" t="s">
        <v>190</v>
      </c>
      <c r="E2246" s="907">
        <f>GLOBAL_DER_FEV_2023!E2246</f>
        <v>308</v>
      </c>
      <c r="F2246" s="908">
        <f>GLOBAL_DER_FEV_2023!F2246</f>
        <v>0.1320288</v>
      </c>
      <c r="G2246" s="909">
        <f>GLOBAL_DER_FEV_2023!G2246</f>
        <v>32.751064128000003</v>
      </c>
      <c r="H2246" s="901">
        <f>GLOBAL_DER_FEV_2023!H2246</f>
        <v>0</v>
      </c>
      <c r="I2246" s="901">
        <f>GLOBAL_DER_FEV_2023!I2246</f>
        <v>0</v>
      </c>
      <c r="J2246" s="902">
        <f>GLOBAL_DER_FEV_2023!J2246</f>
        <v>0</v>
      </c>
      <c r="K2246" s="903"/>
      <c r="L2246" s="1177"/>
      <c r="M2246" s="1138">
        <f t="shared" si="167"/>
        <v>0</v>
      </c>
      <c r="N2246" s="1176">
        <f t="shared" si="171"/>
        <v>0</v>
      </c>
      <c r="O2246" s="905"/>
      <c r="P2246" s="36" t="str">
        <f>IF(N2245&gt;0,"xx",IF(N2245&gt;0,"xy",""))</f>
        <v/>
      </c>
      <c r="Q2246" s="317" t="str">
        <f t="shared" si="168"/>
        <v/>
      </c>
      <c r="R2246" s="317" t="str">
        <f t="shared" si="169"/>
        <v/>
      </c>
      <c r="S2246" s="317" t="str">
        <f t="shared" si="170"/>
        <v/>
      </c>
      <c r="T2246" s="317" t="str">
        <f>GLOBAL_DER_FEV_2023!S2246</f>
        <v/>
      </c>
      <c r="W2246" s="582">
        <v>0</v>
      </c>
      <c r="X2246" s="580"/>
      <c r="Y2246" s="583">
        <f>IF(GLOBAL_DER_FEV_2023!W2246=0,0,IF(GLOBAL_DER_FEV_2023!W2246&gt;0,"c","b"))</f>
        <v>0</v>
      </c>
    </row>
    <row r="2247" spans="1:25" ht="15" hidden="1" customHeight="1" x14ac:dyDescent="0.2">
      <c r="A2247" s="317" t="s">
        <v>147</v>
      </c>
      <c r="B2247" s="895" t="s">
        <v>147</v>
      </c>
      <c r="C2247" s="896"/>
      <c r="D2247" s="906" t="s">
        <v>229</v>
      </c>
      <c r="E2247" s="907">
        <f>GLOBAL_DER_FEV_2023!E2247</f>
        <v>150</v>
      </c>
      <c r="F2247" s="908">
        <f>GLOBAL_DER_FEV_2023!F2247</f>
        <v>0.40193856</v>
      </c>
      <c r="G2247" s="949">
        <f>GLOBAL_DER_FEV_2023!G2247</f>
        <v>65.588334220800007</v>
      </c>
      <c r="H2247" s="901">
        <f>GLOBAL_DER_FEV_2023!H2247</f>
        <v>0</v>
      </c>
      <c r="I2247" s="901">
        <f>GLOBAL_DER_FEV_2023!I2247</f>
        <v>0</v>
      </c>
      <c r="J2247" s="902">
        <f>GLOBAL_DER_FEV_2023!J2247</f>
        <v>0</v>
      </c>
      <c r="K2247" s="903"/>
      <c r="L2247" s="1177"/>
      <c r="M2247" s="1138">
        <f t="shared" si="167"/>
        <v>0</v>
      </c>
      <c r="N2247" s="1176">
        <f t="shared" si="171"/>
        <v>0</v>
      </c>
      <c r="O2247" s="905"/>
      <c r="P2247" s="36" t="str">
        <f>IF(N2245&gt;0,"xx",IF(N2245&gt;0,"xy",""))</f>
        <v/>
      </c>
      <c r="Q2247" s="317" t="str">
        <f t="shared" si="168"/>
        <v/>
      </c>
      <c r="R2247" s="317" t="str">
        <f t="shared" si="169"/>
        <v/>
      </c>
      <c r="S2247" s="317" t="str">
        <f t="shared" si="170"/>
        <v/>
      </c>
      <c r="T2247" s="317" t="str">
        <f>GLOBAL_DER_FEV_2023!S2247</f>
        <v/>
      </c>
      <c r="W2247" s="582">
        <v>0</v>
      </c>
      <c r="X2247" s="580"/>
      <c r="Y2247" s="583">
        <f>IF(GLOBAL_DER_FEV_2023!W2247=0,0,IF(GLOBAL_DER_FEV_2023!W2247&gt;0,"c","b"))</f>
        <v>0</v>
      </c>
    </row>
    <row r="2248" spans="1:25" ht="15" hidden="1" customHeight="1" x14ac:dyDescent="0.2">
      <c r="A2248" s="317" t="s">
        <v>147</v>
      </c>
      <c r="B2248" s="895" t="s">
        <v>147</v>
      </c>
      <c r="C2248" s="896"/>
      <c r="D2248" s="906" t="s">
        <v>233</v>
      </c>
      <c r="E2248" s="907">
        <f>GLOBAL_DER_FEV_2023!E2248</f>
        <v>0.2</v>
      </c>
      <c r="F2248" s="908">
        <f>GLOBAL_DER_FEV_2023!F2248</f>
        <v>0.47436960000000006</v>
      </c>
      <c r="G2248" s="949">
        <f>GLOBAL_DER_FEV_2023!G2248</f>
        <v>1.3728256224000002</v>
      </c>
      <c r="H2248" s="901">
        <f>GLOBAL_DER_FEV_2023!H2248</f>
        <v>0</v>
      </c>
      <c r="I2248" s="901">
        <f>GLOBAL_DER_FEV_2023!I2248</f>
        <v>0</v>
      </c>
      <c r="J2248" s="902">
        <f>GLOBAL_DER_FEV_2023!J2248</f>
        <v>0</v>
      </c>
      <c r="K2248" s="903"/>
      <c r="L2248" s="1177"/>
      <c r="M2248" s="1138">
        <f t="shared" si="167"/>
        <v>0</v>
      </c>
      <c r="N2248" s="1176">
        <f t="shared" si="171"/>
        <v>0</v>
      </c>
      <c r="O2248" s="905"/>
      <c r="P2248" s="36" t="str">
        <f>IF(N2245&gt;0,"xx",IF(N2245&gt;0,"xy",""))</f>
        <v/>
      </c>
      <c r="Q2248" s="317" t="str">
        <f t="shared" si="168"/>
        <v/>
      </c>
      <c r="R2248" s="317" t="str">
        <f t="shared" si="169"/>
        <v/>
      </c>
      <c r="S2248" s="317" t="str">
        <f t="shared" si="170"/>
        <v/>
      </c>
      <c r="T2248" s="317" t="str">
        <f>GLOBAL_DER_FEV_2023!S2248</f>
        <v/>
      </c>
      <c r="W2248" s="582">
        <v>0</v>
      </c>
      <c r="X2248" s="580"/>
      <c r="Y2248" s="583">
        <f>IF(GLOBAL_DER_FEV_2023!W2248=0,0,IF(GLOBAL_DER_FEV_2023!W2248&gt;0,"c","b"))</f>
        <v>0</v>
      </c>
    </row>
    <row r="2249" spans="1:25" ht="15" hidden="1" customHeight="1" x14ac:dyDescent="0.2">
      <c r="A2249" s="317" t="s">
        <v>109</v>
      </c>
      <c r="B2249" s="895" t="s">
        <v>109</v>
      </c>
      <c r="C2249" s="896" t="s">
        <v>184</v>
      </c>
      <c r="D2249" s="906" t="s">
        <v>376</v>
      </c>
      <c r="E2249" s="907">
        <f>GLOBAL_DER_FEV_2023!E2249</f>
        <v>0</v>
      </c>
      <c r="F2249" s="908">
        <f>GLOBAL_DER_FEV_2023!F2249</f>
        <v>0</v>
      </c>
      <c r="G2249" s="912">
        <f>GLOBAL_DER_FEV_2023!G2249</f>
        <v>151.36217786520004</v>
      </c>
      <c r="H2249" s="901">
        <f>GLOBAL_DER_FEV_2023!H2249</f>
        <v>692.16</v>
      </c>
      <c r="I2249" s="901">
        <f>GLOBAL_DER_FEV_2023!I2249</f>
        <v>843.52217786519998</v>
      </c>
      <c r="J2249" s="902">
        <f>GLOBAL_DER_FEV_2023!J2249</f>
        <v>1012.82</v>
      </c>
      <c r="K2249" s="903" t="s">
        <v>15</v>
      </c>
      <c r="L2249" s="1137"/>
      <c r="M2249" s="1138">
        <f t="shared" si="167"/>
        <v>0</v>
      </c>
      <c r="N2249" s="1176">
        <f t="shared" si="171"/>
        <v>0</v>
      </c>
      <c r="O2249" s="905"/>
      <c r="Q2249" s="317" t="str">
        <f t="shared" si="168"/>
        <v/>
      </c>
      <c r="R2249" s="317" t="str">
        <f t="shared" si="169"/>
        <v/>
      </c>
      <c r="S2249" s="317" t="str">
        <f t="shared" si="170"/>
        <v/>
      </c>
      <c r="T2249" s="317" t="str">
        <f>GLOBAL_DER_FEV_2023!S2249</f>
        <v/>
      </c>
      <c r="W2249" s="582">
        <v>0</v>
      </c>
      <c r="X2249" s="580"/>
      <c r="Y2249" s="583">
        <f>IF(GLOBAL_DER_FEV_2023!W2249=0,0,IF(GLOBAL_DER_FEV_2023!W2249&gt;0,"c","b"))</f>
        <v>0</v>
      </c>
    </row>
    <row r="2250" spans="1:25" ht="15" hidden="1" customHeight="1" x14ac:dyDescent="0.2">
      <c r="A2250" s="317" t="s">
        <v>147</v>
      </c>
      <c r="B2250" s="895" t="s">
        <v>147</v>
      </c>
      <c r="C2250" s="896"/>
      <c r="D2250" s="906" t="s">
        <v>190</v>
      </c>
      <c r="E2250" s="907">
        <f>GLOBAL_DER_FEV_2023!E2250</f>
        <v>308</v>
      </c>
      <c r="F2250" s="908">
        <f>GLOBAL_DER_FEV_2023!F2250</f>
        <v>0.20444730000000003</v>
      </c>
      <c r="G2250" s="909">
        <f>GLOBAL_DER_FEV_2023!G2250</f>
        <v>50.715197238000009</v>
      </c>
      <c r="H2250" s="901">
        <f>GLOBAL_DER_FEV_2023!H2250</f>
        <v>0</v>
      </c>
      <c r="I2250" s="901">
        <f>GLOBAL_DER_FEV_2023!I2250</f>
        <v>0</v>
      </c>
      <c r="J2250" s="902">
        <f>GLOBAL_DER_FEV_2023!J2250</f>
        <v>0</v>
      </c>
      <c r="K2250" s="903"/>
      <c r="L2250" s="1177"/>
      <c r="M2250" s="1138">
        <f t="shared" si="167"/>
        <v>0</v>
      </c>
      <c r="N2250" s="1176">
        <f t="shared" si="171"/>
        <v>0</v>
      </c>
      <c r="O2250" s="905"/>
      <c r="P2250" s="36" t="str">
        <f>IF(N2249&gt;0,"xx",IF(N2249&gt;0,"xy",""))</f>
        <v/>
      </c>
      <c r="Q2250" s="317" t="str">
        <f t="shared" si="168"/>
        <v/>
      </c>
      <c r="R2250" s="317" t="str">
        <f t="shared" si="169"/>
        <v/>
      </c>
      <c r="S2250" s="317" t="str">
        <f t="shared" si="170"/>
        <v/>
      </c>
      <c r="T2250" s="317" t="str">
        <f>GLOBAL_DER_FEV_2023!S2250</f>
        <v/>
      </c>
      <c r="W2250" s="582">
        <v>0</v>
      </c>
      <c r="X2250" s="580"/>
      <c r="Y2250" s="583">
        <f>IF(GLOBAL_DER_FEV_2023!W2250=0,0,IF(GLOBAL_DER_FEV_2023!W2250&gt;0,"c","b"))</f>
        <v>0</v>
      </c>
    </row>
    <row r="2251" spans="1:25" ht="15" hidden="1" customHeight="1" x14ac:dyDescent="0.2">
      <c r="A2251" s="317" t="s">
        <v>147</v>
      </c>
      <c r="B2251" s="895" t="s">
        <v>147</v>
      </c>
      <c r="C2251" s="896"/>
      <c r="D2251" s="906" t="s">
        <v>229</v>
      </c>
      <c r="E2251" s="907">
        <f>GLOBAL_DER_FEV_2023!E2251</f>
        <v>150</v>
      </c>
      <c r="F2251" s="908">
        <f>GLOBAL_DER_FEV_2023!F2251</f>
        <v>0.60405201000000008</v>
      </c>
      <c r="G2251" s="949">
        <f>GLOBAL_DER_FEV_2023!G2251</f>
        <v>98.569206991800016</v>
      </c>
      <c r="H2251" s="901">
        <f>GLOBAL_DER_FEV_2023!H2251</f>
        <v>0</v>
      </c>
      <c r="I2251" s="901">
        <f>GLOBAL_DER_FEV_2023!I2251</f>
        <v>0</v>
      </c>
      <c r="J2251" s="902">
        <f>GLOBAL_DER_FEV_2023!J2251</f>
        <v>0</v>
      </c>
      <c r="K2251" s="903"/>
      <c r="L2251" s="1177"/>
      <c r="M2251" s="1138">
        <f t="shared" si="167"/>
        <v>0</v>
      </c>
      <c r="N2251" s="1176">
        <f t="shared" si="171"/>
        <v>0</v>
      </c>
      <c r="O2251" s="905"/>
      <c r="P2251" s="36" t="str">
        <f>IF(N2249&gt;0,"xx",IF(N2249&gt;0,"xy",""))</f>
        <v/>
      </c>
      <c r="Q2251" s="317" t="str">
        <f t="shared" si="168"/>
        <v/>
      </c>
      <c r="R2251" s="317" t="str">
        <f t="shared" si="169"/>
        <v/>
      </c>
      <c r="S2251" s="317" t="str">
        <f t="shared" si="170"/>
        <v/>
      </c>
      <c r="T2251" s="317" t="str">
        <f>GLOBAL_DER_FEV_2023!S2251</f>
        <v/>
      </c>
      <c r="W2251" s="582">
        <v>0</v>
      </c>
      <c r="X2251" s="580"/>
      <c r="Y2251" s="583">
        <f>IF(GLOBAL_DER_FEV_2023!W2251=0,0,IF(GLOBAL_DER_FEV_2023!W2251&gt;0,"c","b"))</f>
        <v>0</v>
      </c>
    </row>
    <row r="2252" spans="1:25" ht="15" hidden="1" customHeight="1" x14ac:dyDescent="0.2">
      <c r="A2252" s="317" t="s">
        <v>147</v>
      </c>
      <c r="B2252" s="895" t="s">
        <v>147</v>
      </c>
      <c r="C2252" s="896"/>
      <c r="D2252" s="906" t="s">
        <v>233</v>
      </c>
      <c r="E2252" s="907">
        <f>GLOBAL_DER_FEV_2023!E2252</f>
        <v>0.2</v>
      </c>
      <c r="F2252" s="908">
        <f>GLOBAL_DER_FEV_2023!F2252</f>
        <v>0.71795910000000007</v>
      </c>
      <c r="G2252" s="949">
        <f>GLOBAL_DER_FEV_2023!G2252</f>
        <v>2.0777736354000003</v>
      </c>
      <c r="H2252" s="901">
        <f>GLOBAL_DER_FEV_2023!H2252</f>
        <v>0</v>
      </c>
      <c r="I2252" s="901">
        <f>GLOBAL_DER_FEV_2023!I2252</f>
        <v>0</v>
      </c>
      <c r="J2252" s="902">
        <f>GLOBAL_DER_FEV_2023!J2252</f>
        <v>0</v>
      </c>
      <c r="K2252" s="903"/>
      <c r="L2252" s="1177"/>
      <c r="M2252" s="1138">
        <f t="shared" si="167"/>
        <v>0</v>
      </c>
      <c r="N2252" s="1176">
        <f t="shared" si="171"/>
        <v>0</v>
      </c>
      <c r="O2252" s="905"/>
      <c r="P2252" s="36" t="str">
        <f>IF(N2249&gt;0,"xx",IF(N2249&gt;0,"xy",""))</f>
        <v/>
      </c>
      <c r="Q2252" s="317" t="str">
        <f t="shared" si="168"/>
        <v/>
      </c>
      <c r="R2252" s="317" t="str">
        <f t="shared" si="169"/>
        <v/>
      </c>
      <c r="S2252" s="317" t="str">
        <f t="shared" si="170"/>
        <v/>
      </c>
      <c r="T2252" s="317" t="str">
        <f>GLOBAL_DER_FEV_2023!S2252</f>
        <v/>
      </c>
      <c r="W2252" s="582">
        <v>0</v>
      </c>
      <c r="X2252" s="580"/>
      <c r="Y2252" s="583">
        <f>IF(GLOBAL_DER_FEV_2023!W2252=0,0,IF(GLOBAL_DER_FEV_2023!W2252&gt;0,"c","b"))</f>
        <v>0</v>
      </c>
    </row>
    <row r="2253" spans="1:25" ht="15" hidden="1" customHeight="1" x14ac:dyDescent="0.2">
      <c r="A2253" s="317" t="s">
        <v>110</v>
      </c>
      <c r="B2253" s="895" t="s">
        <v>110</v>
      </c>
      <c r="C2253" s="896" t="s">
        <v>184</v>
      </c>
      <c r="D2253" s="906" t="s">
        <v>377</v>
      </c>
      <c r="E2253" s="907">
        <f>GLOBAL_DER_FEV_2023!E2253</f>
        <v>0</v>
      </c>
      <c r="F2253" s="908">
        <f>GLOBAL_DER_FEV_2023!F2253</f>
        <v>0</v>
      </c>
      <c r="G2253" s="912">
        <f>GLOBAL_DER_FEV_2023!G2253</f>
        <v>280.75668198979992</v>
      </c>
      <c r="H2253" s="901">
        <f>GLOBAL_DER_FEV_2023!H2253</f>
        <v>1210.17</v>
      </c>
      <c r="I2253" s="901">
        <f>GLOBAL_DER_FEV_2023!I2253</f>
        <v>1490.9266819898</v>
      </c>
      <c r="J2253" s="902">
        <f>GLOBAL_DER_FEV_2023!J2253</f>
        <v>1790.16</v>
      </c>
      <c r="K2253" s="903" t="s">
        <v>15</v>
      </c>
      <c r="L2253" s="1137"/>
      <c r="M2253" s="1138">
        <f t="shared" si="167"/>
        <v>0</v>
      </c>
      <c r="N2253" s="1176">
        <f t="shared" si="171"/>
        <v>0</v>
      </c>
      <c r="O2253" s="905"/>
      <c r="Q2253" s="317" t="str">
        <f t="shared" si="168"/>
        <v/>
      </c>
      <c r="R2253" s="317" t="str">
        <f t="shared" si="169"/>
        <v/>
      </c>
      <c r="S2253" s="317" t="str">
        <f t="shared" si="170"/>
        <v/>
      </c>
      <c r="T2253" s="317" t="str">
        <f>GLOBAL_DER_FEV_2023!S2253</f>
        <v/>
      </c>
      <c r="W2253" s="582">
        <v>0</v>
      </c>
      <c r="X2253" s="580"/>
      <c r="Y2253" s="583">
        <f>IF(GLOBAL_DER_FEV_2023!W2253=0,0,IF(GLOBAL_DER_FEV_2023!W2253&gt;0,"c","b"))</f>
        <v>0</v>
      </c>
    </row>
    <row r="2254" spans="1:25" ht="15" hidden="1" customHeight="1" x14ac:dyDescent="0.2">
      <c r="A2254" s="317" t="s">
        <v>147</v>
      </c>
      <c r="B2254" s="895" t="s">
        <v>147</v>
      </c>
      <c r="C2254" s="896"/>
      <c r="D2254" s="906" t="s">
        <v>190</v>
      </c>
      <c r="E2254" s="907">
        <f>GLOBAL_DER_FEV_2023!E2254</f>
        <v>308</v>
      </c>
      <c r="F2254" s="908">
        <f>GLOBAL_DER_FEV_2023!F2254</f>
        <v>0.38327894999999995</v>
      </c>
      <c r="G2254" s="909">
        <f>GLOBAL_DER_FEV_2023!G2254</f>
        <v>95.076176336999993</v>
      </c>
      <c r="H2254" s="901">
        <f>GLOBAL_DER_FEV_2023!H2254</f>
        <v>0</v>
      </c>
      <c r="I2254" s="901">
        <f>GLOBAL_DER_FEV_2023!I2254</f>
        <v>0</v>
      </c>
      <c r="J2254" s="902">
        <f>GLOBAL_DER_FEV_2023!J2254</f>
        <v>0</v>
      </c>
      <c r="K2254" s="903"/>
      <c r="L2254" s="1177"/>
      <c r="M2254" s="1138">
        <f t="shared" si="167"/>
        <v>0</v>
      </c>
      <c r="N2254" s="1176">
        <f t="shared" si="171"/>
        <v>0</v>
      </c>
      <c r="O2254" s="905"/>
      <c r="P2254" s="36" t="str">
        <f>IF(N2253&gt;0,"xx",IF(N2253&gt;0,"xy",""))</f>
        <v/>
      </c>
      <c r="Q2254" s="317" t="str">
        <f t="shared" si="168"/>
        <v/>
      </c>
      <c r="R2254" s="317" t="str">
        <f t="shared" si="169"/>
        <v/>
      </c>
      <c r="S2254" s="317" t="str">
        <f t="shared" si="170"/>
        <v/>
      </c>
      <c r="T2254" s="317" t="str">
        <f>GLOBAL_DER_FEV_2023!S2254</f>
        <v/>
      </c>
      <c r="W2254" s="582">
        <v>0</v>
      </c>
      <c r="X2254" s="580"/>
      <c r="Y2254" s="583">
        <f>IF(GLOBAL_DER_FEV_2023!W2254=0,0,IF(GLOBAL_DER_FEV_2023!W2254&gt;0,"c","b"))</f>
        <v>0</v>
      </c>
    </row>
    <row r="2255" spans="1:25" ht="15" hidden="1" customHeight="1" x14ac:dyDescent="0.2">
      <c r="A2255" s="317" t="s">
        <v>147</v>
      </c>
      <c r="B2255" s="895" t="s">
        <v>147</v>
      </c>
      <c r="C2255" s="896"/>
      <c r="D2255" s="906" t="s">
        <v>229</v>
      </c>
      <c r="E2255" s="907">
        <f>GLOBAL_DER_FEV_2023!E2255</f>
        <v>150</v>
      </c>
      <c r="F2255" s="908">
        <f>GLOBAL_DER_FEV_2023!F2255</f>
        <v>1.1143076149999998</v>
      </c>
      <c r="G2255" s="949">
        <f>GLOBAL_DER_FEV_2023!G2255</f>
        <v>181.83271661569998</v>
      </c>
      <c r="H2255" s="901">
        <f>GLOBAL_DER_FEV_2023!H2255</f>
        <v>0</v>
      </c>
      <c r="I2255" s="901">
        <f>GLOBAL_DER_FEV_2023!I2255</f>
        <v>0</v>
      </c>
      <c r="J2255" s="902">
        <f>GLOBAL_DER_FEV_2023!J2255</f>
        <v>0</v>
      </c>
      <c r="K2255" s="903"/>
      <c r="L2255" s="1177"/>
      <c r="M2255" s="1138">
        <f t="shared" si="167"/>
        <v>0</v>
      </c>
      <c r="N2255" s="1176">
        <f t="shared" si="171"/>
        <v>0</v>
      </c>
      <c r="O2255" s="905"/>
      <c r="P2255" s="36" t="str">
        <f>IF(N2253&gt;0,"xx",IF(N2253&gt;0,"xy",""))</f>
        <v/>
      </c>
      <c r="Q2255" s="317" t="str">
        <f t="shared" si="168"/>
        <v/>
      </c>
      <c r="R2255" s="317" t="str">
        <f t="shared" si="169"/>
        <v/>
      </c>
      <c r="S2255" s="317" t="str">
        <f t="shared" si="170"/>
        <v/>
      </c>
      <c r="T2255" s="317" t="str">
        <f>GLOBAL_DER_FEV_2023!S2255</f>
        <v/>
      </c>
      <c r="W2255" s="582">
        <v>0</v>
      </c>
      <c r="X2255" s="580"/>
      <c r="Y2255" s="583">
        <f>IF(GLOBAL_DER_FEV_2023!W2255=0,0,IF(GLOBAL_DER_FEV_2023!W2255&gt;0,"c","b"))</f>
        <v>0</v>
      </c>
    </row>
    <row r="2256" spans="1:25" ht="15" hidden="1" customHeight="1" x14ac:dyDescent="0.2">
      <c r="A2256" s="317" t="s">
        <v>147</v>
      </c>
      <c r="B2256" s="895" t="s">
        <v>147</v>
      </c>
      <c r="C2256" s="896"/>
      <c r="D2256" s="906" t="s">
        <v>233</v>
      </c>
      <c r="E2256" s="907">
        <f>GLOBAL_DER_FEV_2023!E2256</f>
        <v>0.2</v>
      </c>
      <c r="F2256" s="908">
        <f>GLOBAL_DER_FEV_2023!F2256</f>
        <v>1.3295746499999999</v>
      </c>
      <c r="G2256" s="949">
        <f>GLOBAL_DER_FEV_2023!G2256</f>
        <v>3.8477890370999996</v>
      </c>
      <c r="H2256" s="901">
        <f>GLOBAL_DER_FEV_2023!H2256</f>
        <v>0</v>
      </c>
      <c r="I2256" s="901">
        <f>GLOBAL_DER_FEV_2023!I2256</f>
        <v>0</v>
      </c>
      <c r="J2256" s="902">
        <f>GLOBAL_DER_FEV_2023!J2256</f>
        <v>0</v>
      </c>
      <c r="K2256" s="903"/>
      <c r="L2256" s="1177"/>
      <c r="M2256" s="1138">
        <f t="shared" si="167"/>
        <v>0</v>
      </c>
      <c r="N2256" s="1176">
        <f t="shared" si="171"/>
        <v>0</v>
      </c>
      <c r="O2256" s="905"/>
      <c r="P2256" s="36" t="str">
        <f>IF(N2253&gt;0,"xx",IF(N2253&gt;0,"xy",""))</f>
        <v/>
      </c>
      <c r="Q2256" s="317" t="str">
        <f t="shared" si="168"/>
        <v/>
      </c>
      <c r="R2256" s="317" t="str">
        <f t="shared" si="169"/>
        <v/>
      </c>
      <c r="S2256" s="317" t="str">
        <f t="shared" si="170"/>
        <v/>
      </c>
      <c r="T2256" s="317" t="str">
        <f>GLOBAL_DER_FEV_2023!S2256</f>
        <v/>
      </c>
      <c r="W2256" s="582">
        <v>0</v>
      </c>
      <c r="X2256" s="580"/>
      <c r="Y2256" s="583">
        <f>IF(GLOBAL_DER_FEV_2023!W2256=0,0,IF(GLOBAL_DER_FEV_2023!W2256&gt;0,"c","b"))</f>
        <v>0</v>
      </c>
    </row>
    <row r="2257" spans="1:25" ht="15" hidden="1" customHeight="1" x14ac:dyDescent="0.2">
      <c r="A2257" s="317" t="s">
        <v>111</v>
      </c>
      <c r="B2257" s="895" t="s">
        <v>111</v>
      </c>
      <c r="C2257" s="896" t="s">
        <v>184</v>
      </c>
      <c r="D2257" s="906" t="s">
        <v>378</v>
      </c>
      <c r="E2257" s="907">
        <f>GLOBAL_DER_FEV_2023!E2257</f>
        <v>0</v>
      </c>
      <c r="F2257" s="908">
        <f>GLOBAL_DER_FEV_2023!F2257</f>
        <v>0</v>
      </c>
      <c r="G2257" s="912">
        <f>GLOBAL_DER_FEV_2023!G2257</f>
        <v>412.48191319280005</v>
      </c>
      <c r="H2257" s="901">
        <f>GLOBAL_DER_FEV_2023!H2257</f>
        <v>1663.57</v>
      </c>
      <c r="I2257" s="901">
        <f>GLOBAL_DER_FEV_2023!I2257</f>
        <v>2076.0519131927999</v>
      </c>
      <c r="J2257" s="902">
        <f>GLOBAL_DER_FEV_2023!J2257</f>
        <v>2492.7199999999998</v>
      </c>
      <c r="K2257" s="903" t="s">
        <v>15</v>
      </c>
      <c r="L2257" s="1137"/>
      <c r="M2257" s="1138">
        <f t="shared" si="167"/>
        <v>0</v>
      </c>
      <c r="N2257" s="1176">
        <f t="shared" si="171"/>
        <v>0</v>
      </c>
      <c r="O2257" s="905"/>
      <c r="Q2257" s="317" t="str">
        <f t="shared" si="168"/>
        <v/>
      </c>
      <c r="R2257" s="317" t="str">
        <f t="shared" si="169"/>
        <v/>
      </c>
      <c r="S2257" s="317" t="str">
        <f t="shared" si="170"/>
        <v/>
      </c>
      <c r="T2257" s="317" t="str">
        <f>GLOBAL_DER_FEV_2023!S2257</f>
        <v/>
      </c>
      <c r="W2257" s="582">
        <v>0</v>
      </c>
      <c r="X2257" s="580"/>
      <c r="Y2257" s="583">
        <f>IF(GLOBAL_DER_FEV_2023!W2257=0,0,IF(GLOBAL_DER_FEV_2023!W2257&gt;0,"c","b"))</f>
        <v>0</v>
      </c>
    </row>
    <row r="2258" spans="1:25" ht="15" hidden="1" customHeight="1" x14ac:dyDescent="0.2">
      <c r="A2258" s="317" t="s">
        <v>147</v>
      </c>
      <c r="B2258" s="895" t="s">
        <v>147</v>
      </c>
      <c r="C2258" s="896"/>
      <c r="D2258" s="906" t="s">
        <v>190</v>
      </c>
      <c r="E2258" s="907">
        <f>GLOBAL_DER_FEV_2023!E2258</f>
        <v>308</v>
      </c>
      <c r="F2258" s="908">
        <f>GLOBAL_DER_FEV_2023!F2258</f>
        <v>0.56408220000000009</v>
      </c>
      <c r="G2258" s="909">
        <f>GLOBAL_DER_FEV_2023!G2258</f>
        <v>139.92623053200003</v>
      </c>
      <c r="H2258" s="901">
        <f>GLOBAL_DER_FEV_2023!H2258</f>
        <v>0</v>
      </c>
      <c r="I2258" s="901">
        <f>GLOBAL_DER_FEV_2023!I2258</f>
        <v>0</v>
      </c>
      <c r="J2258" s="902">
        <f>GLOBAL_DER_FEV_2023!J2258</f>
        <v>0</v>
      </c>
      <c r="K2258" s="903"/>
      <c r="L2258" s="1177"/>
      <c r="M2258" s="1138">
        <f t="shared" ref="M2258:M2321" si="172">IF(L2258=0,0,ROUND(J2258,2))</f>
        <v>0</v>
      </c>
      <c r="N2258" s="1176">
        <f t="shared" si="171"/>
        <v>0</v>
      </c>
      <c r="O2258" s="905"/>
      <c r="P2258" s="36" t="str">
        <f>IF(N2257&gt;0,"xx",IF(N2257&gt;0,"xy",""))</f>
        <v/>
      </c>
      <c r="Q2258" s="317" t="str">
        <f t="shared" si="168"/>
        <v/>
      </c>
      <c r="R2258" s="317" t="str">
        <f t="shared" si="169"/>
        <v/>
      </c>
      <c r="S2258" s="317" t="str">
        <f t="shared" si="170"/>
        <v/>
      </c>
      <c r="T2258" s="317" t="str">
        <f>GLOBAL_DER_FEV_2023!S2258</f>
        <v/>
      </c>
      <c r="W2258" s="582">
        <v>0</v>
      </c>
      <c r="X2258" s="580"/>
      <c r="Y2258" s="583">
        <f>IF(GLOBAL_DER_FEV_2023!W2258=0,0,IF(GLOBAL_DER_FEV_2023!W2258&gt;0,"c","b"))</f>
        <v>0</v>
      </c>
    </row>
    <row r="2259" spans="1:25" ht="15" hidden="1" customHeight="1" x14ac:dyDescent="0.2">
      <c r="A2259" s="317" t="s">
        <v>147</v>
      </c>
      <c r="B2259" s="895" t="s">
        <v>147</v>
      </c>
      <c r="C2259" s="896"/>
      <c r="D2259" s="906" t="s">
        <v>229</v>
      </c>
      <c r="E2259" s="907">
        <f>GLOBAL_DER_FEV_2023!E2259</f>
        <v>150</v>
      </c>
      <c r="F2259" s="908">
        <f>GLOBAL_DER_FEV_2023!F2259</f>
        <v>1.6356421400000001</v>
      </c>
      <c r="G2259" s="949">
        <f>GLOBAL_DER_FEV_2023!G2259</f>
        <v>266.90408440520002</v>
      </c>
      <c r="H2259" s="901">
        <f>GLOBAL_DER_FEV_2023!H2259</f>
        <v>0</v>
      </c>
      <c r="I2259" s="901">
        <f>GLOBAL_DER_FEV_2023!I2259</f>
        <v>0</v>
      </c>
      <c r="J2259" s="902">
        <f>GLOBAL_DER_FEV_2023!J2259</f>
        <v>0</v>
      </c>
      <c r="K2259" s="903"/>
      <c r="L2259" s="1177"/>
      <c r="M2259" s="1138">
        <f t="shared" si="172"/>
        <v>0</v>
      </c>
      <c r="N2259" s="1176">
        <f t="shared" si="171"/>
        <v>0</v>
      </c>
      <c r="O2259" s="905"/>
      <c r="P2259" s="36" t="str">
        <f>IF(N2257&gt;0,"xx",IF(N2257&gt;0,"xy",""))</f>
        <v/>
      </c>
      <c r="Q2259" s="317" t="str">
        <f t="shared" si="168"/>
        <v/>
      </c>
      <c r="R2259" s="317" t="str">
        <f t="shared" si="169"/>
        <v/>
      </c>
      <c r="S2259" s="317" t="str">
        <f t="shared" si="170"/>
        <v/>
      </c>
      <c r="T2259" s="317" t="str">
        <f>GLOBAL_DER_FEV_2023!S2259</f>
        <v/>
      </c>
      <c r="W2259" s="582">
        <v>0</v>
      </c>
      <c r="X2259" s="580"/>
      <c r="Y2259" s="583">
        <f>IF(GLOBAL_DER_FEV_2023!W2259=0,0,IF(GLOBAL_DER_FEV_2023!W2259&gt;0,"c","b"))</f>
        <v>0</v>
      </c>
    </row>
    <row r="2260" spans="1:25" ht="15" hidden="1" customHeight="1" x14ac:dyDescent="0.2">
      <c r="A2260" s="317" t="s">
        <v>147</v>
      </c>
      <c r="B2260" s="895" t="s">
        <v>147</v>
      </c>
      <c r="C2260" s="896"/>
      <c r="D2260" s="906" t="s">
        <v>233</v>
      </c>
      <c r="E2260" s="907">
        <f>GLOBAL_DER_FEV_2023!E2260</f>
        <v>0.2</v>
      </c>
      <c r="F2260" s="908">
        <f>GLOBAL_DER_FEV_2023!F2260</f>
        <v>1.9528674000000004</v>
      </c>
      <c r="G2260" s="949">
        <f>GLOBAL_DER_FEV_2023!G2260</f>
        <v>5.6515982556000015</v>
      </c>
      <c r="H2260" s="901">
        <f>GLOBAL_DER_FEV_2023!H2260</f>
        <v>0</v>
      </c>
      <c r="I2260" s="901">
        <f>GLOBAL_DER_FEV_2023!I2260</f>
        <v>0</v>
      </c>
      <c r="J2260" s="902">
        <f>GLOBAL_DER_FEV_2023!J2260</f>
        <v>0</v>
      </c>
      <c r="K2260" s="903"/>
      <c r="L2260" s="1177"/>
      <c r="M2260" s="1138">
        <f t="shared" si="172"/>
        <v>0</v>
      </c>
      <c r="N2260" s="1176">
        <f t="shared" si="171"/>
        <v>0</v>
      </c>
      <c r="O2260" s="905"/>
      <c r="P2260" s="36" t="str">
        <f>IF(N2257&gt;0,"xx",IF(N2257&gt;0,"xy",""))</f>
        <v/>
      </c>
      <c r="Q2260" s="317" t="str">
        <f t="shared" si="168"/>
        <v/>
      </c>
      <c r="R2260" s="317" t="str">
        <f t="shared" si="169"/>
        <v/>
      </c>
      <c r="S2260" s="317" t="str">
        <f t="shared" si="170"/>
        <v/>
      </c>
      <c r="T2260" s="317" t="str">
        <f>GLOBAL_DER_FEV_2023!S2260</f>
        <v/>
      </c>
      <c r="W2260" s="582">
        <v>0</v>
      </c>
      <c r="X2260" s="580"/>
      <c r="Y2260" s="583">
        <f>IF(GLOBAL_DER_FEV_2023!W2260=0,0,IF(GLOBAL_DER_FEV_2023!W2260&gt;0,"c","b"))</f>
        <v>0</v>
      </c>
    </row>
    <row r="2261" spans="1:25" ht="15" hidden="1" customHeight="1" x14ac:dyDescent="0.2">
      <c r="A2261" s="317" t="s">
        <v>112</v>
      </c>
      <c r="B2261" s="895" t="s">
        <v>112</v>
      </c>
      <c r="C2261" s="896" t="s">
        <v>184</v>
      </c>
      <c r="D2261" s="906" t="s">
        <v>379</v>
      </c>
      <c r="E2261" s="907">
        <f>GLOBAL_DER_FEV_2023!E2261</f>
        <v>0</v>
      </c>
      <c r="F2261" s="908">
        <f>GLOBAL_DER_FEV_2023!F2261</f>
        <v>0</v>
      </c>
      <c r="G2261" s="912">
        <f>GLOBAL_DER_FEV_2023!G2261</f>
        <v>570.60064910079996</v>
      </c>
      <c r="H2261" s="901">
        <f>GLOBAL_DER_FEV_2023!H2261</f>
        <v>2274.9899999999998</v>
      </c>
      <c r="I2261" s="901">
        <f>GLOBAL_DER_FEV_2023!I2261</f>
        <v>2845.5906491008</v>
      </c>
      <c r="J2261" s="902">
        <f>GLOBAL_DER_FEV_2023!J2261</f>
        <v>3416.7</v>
      </c>
      <c r="K2261" s="903" t="s">
        <v>15</v>
      </c>
      <c r="L2261" s="1137"/>
      <c r="M2261" s="1138">
        <f t="shared" si="172"/>
        <v>0</v>
      </c>
      <c r="N2261" s="1176">
        <f t="shared" si="171"/>
        <v>0</v>
      </c>
      <c r="O2261" s="905"/>
      <c r="Q2261" s="317" t="str">
        <f t="shared" si="168"/>
        <v/>
      </c>
      <c r="R2261" s="317" t="str">
        <f t="shared" si="169"/>
        <v/>
      </c>
      <c r="S2261" s="317" t="str">
        <f t="shared" si="170"/>
        <v/>
      </c>
      <c r="T2261" s="317" t="str">
        <f>GLOBAL_DER_FEV_2023!S2261</f>
        <v/>
      </c>
      <c r="W2261" s="582">
        <v>0</v>
      </c>
      <c r="X2261" s="580"/>
      <c r="Y2261" s="583">
        <f>IF(GLOBAL_DER_FEV_2023!W2261=0,0,IF(GLOBAL_DER_FEV_2023!W2261&gt;0,"c","b"))</f>
        <v>0</v>
      </c>
    </row>
    <row r="2262" spans="1:25" ht="15" hidden="1" customHeight="1" x14ac:dyDescent="0.2">
      <c r="A2262" s="317" t="s">
        <v>147</v>
      </c>
      <c r="B2262" s="895" t="s">
        <v>147</v>
      </c>
      <c r="C2262" s="896"/>
      <c r="D2262" s="906" t="s">
        <v>190</v>
      </c>
      <c r="E2262" s="907">
        <f>GLOBAL_DER_FEV_2023!E2262</f>
        <v>308</v>
      </c>
      <c r="F2262" s="908">
        <f>GLOBAL_DER_FEV_2023!F2262</f>
        <v>0.77929919999999997</v>
      </c>
      <c r="G2262" s="909">
        <f>GLOBAL_DER_FEV_2023!G2262</f>
        <v>193.312959552</v>
      </c>
      <c r="H2262" s="901">
        <f>GLOBAL_DER_FEV_2023!H2262</f>
        <v>0</v>
      </c>
      <c r="I2262" s="901">
        <f>GLOBAL_DER_FEV_2023!I2262</f>
        <v>0</v>
      </c>
      <c r="J2262" s="902">
        <f>GLOBAL_DER_FEV_2023!J2262</f>
        <v>0</v>
      </c>
      <c r="K2262" s="903"/>
      <c r="L2262" s="1177"/>
      <c r="M2262" s="1138">
        <f t="shared" si="172"/>
        <v>0</v>
      </c>
      <c r="N2262" s="1176">
        <f t="shared" si="171"/>
        <v>0</v>
      </c>
      <c r="O2262" s="905"/>
      <c r="P2262" s="36" t="str">
        <f>IF(N2261&gt;0,"xx",IF(N2261&gt;0,"xy",""))</f>
        <v/>
      </c>
      <c r="Q2262" s="317" t="str">
        <f t="shared" si="168"/>
        <v/>
      </c>
      <c r="R2262" s="317" t="str">
        <f t="shared" si="169"/>
        <v/>
      </c>
      <c r="S2262" s="317" t="str">
        <f t="shared" si="170"/>
        <v/>
      </c>
      <c r="T2262" s="317" t="str">
        <f>GLOBAL_DER_FEV_2023!S2262</f>
        <v/>
      </c>
      <c r="W2262" s="582">
        <v>0</v>
      </c>
      <c r="X2262" s="580"/>
      <c r="Y2262" s="583">
        <f>IF(GLOBAL_DER_FEV_2023!W2262=0,0,IF(GLOBAL_DER_FEV_2023!W2262&gt;0,"c","b"))</f>
        <v>0</v>
      </c>
    </row>
    <row r="2263" spans="1:25" ht="15" hidden="1" customHeight="1" x14ac:dyDescent="0.2">
      <c r="A2263" s="317" t="s">
        <v>147</v>
      </c>
      <c r="B2263" s="895" t="s">
        <v>147</v>
      </c>
      <c r="C2263" s="896"/>
      <c r="D2263" s="906" t="s">
        <v>229</v>
      </c>
      <c r="E2263" s="907">
        <f>GLOBAL_DER_FEV_2023!E2263</f>
        <v>150</v>
      </c>
      <c r="F2263" s="908">
        <f>GLOBAL_DER_FEV_2023!F2263</f>
        <v>2.26417504</v>
      </c>
      <c r="G2263" s="949">
        <f>GLOBAL_DER_FEV_2023!G2263</f>
        <v>369.46808302720001</v>
      </c>
      <c r="H2263" s="901">
        <f>GLOBAL_DER_FEV_2023!H2263</f>
        <v>0</v>
      </c>
      <c r="I2263" s="901">
        <f>GLOBAL_DER_FEV_2023!I2263</f>
        <v>0</v>
      </c>
      <c r="J2263" s="902">
        <f>GLOBAL_DER_FEV_2023!J2263</f>
        <v>0</v>
      </c>
      <c r="K2263" s="903"/>
      <c r="L2263" s="1177"/>
      <c r="M2263" s="1138">
        <f t="shared" si="172"/>
        <v>0</v>
      </c>
      <c r="N2263" s="1176">
        <f t="shared" si="171"/>
        <v>0</v>
      </c>
      <c r="O2263" s="905"/>
      <c r="P2263" s="36" t="str">
        <f>IF(N2261&gt;0,"xx",IF(N2261&gt;0,"xy",""))</f>
        <v/>
      </c>
      <c r="Q2263" s="317" t="str">
        <f t="shared" si="168"/>
        <v/>
      </c>
      <c r="R2263" s="317" t="str">
        <f t="shared" si="169"/>
        <v/>
      </c>
      <c r="S2263" s="317" t="str">
        <f t="shared" si="170"/>
        <v/>
      </c>
      <c r="T2263" s="317" t="str">
        <f>GLOBAL_DER_FEV_2023!S2263</f>
        <v/>
      </c>
      <c r="W2263" s="582">
        <v>0</v>
      </c>
      <c r="X2263" s="580"/>
      <c r="Y2263" s="583">
        <f>IF(GLOBAL_DER_FEV_2023!W2263=0,0,IF(GLOBAL_DER_FEV_2023!W2263&gt;0,"c","b"))</f>
        <v>0</v>
      </c>
    </row>
    <row r="2264" spans="1:25" ht="15" hidden="1" customHeight="1" x14ac:dyDescent="0.2">
      <c r="A2264" s="317" t="s">
        <v>147</v>
      </c>
      <c r="B2264" s="895" t="s">
        <v>147</v>
      </c>
      <c r="C2264" s="896"/>
      <c r="D2264" s="906" t="s">
        <v>233</v>
      </c>
      <c r="E2264" s="907">
        <f>GLOBAL_DER_FEV_2023!E2264</f>
        <v>0.2</v>
      </c>
      <c r="F2264" s="908">
        <f>GLOBAL_DER_FEV_2023!F2264</f>
        <v>2.7020064000000001</v>
      </c>
      <c r="G2264" s="949">
        <f>GLOBAL_DER_FEV_2023!G2264</f>
        <v>7.8196065216000008</v>
      </c>
      <c r="H2264" s="901">
        <f>GLOBAL_DER_FEV_2023!H2264</f>
        <v>0</v>
      </c>
      <c r="I2264" s="901">
        <f>GLOBAL_DER_FEV_2023!I2264</f>
        <v>0</v>
      </c>
      <c r="J2264" s="902">
        <f>GLOBAL_DER_FEV_2023!J2264</f>
        <v>0</v>
      </c>
      <c r="K2264" s="903"/>
      <c r="L2264" s="1177"/>
      <c r="M2264" s="1138">
        <f t="shared" si="172"/>
        <v>0</v>
      </c>
      <c r="N2264" s="1176">
        <f t="shared" si="171"/>
        <v>0</v>
      </c>
      <c r="O2264" s="905"/>
      <c r="P2264" s="36" t="str">
        <f>IF(N2261&gt;0,"xx",IF(N2261&gt;0,"xy",""))</f>
        <v/>
      </c>
      <c r="Q2264" s="317" t="str">
        <f t="shared" si="168"/>
        <v/>
      </c>
      <c r="R2264" s="317" t="str">
        <f t="shared" si="169"/>
        <v/>
      </c>
      <c r="S2264" s="317" t="str">
        <f t="shared" si="170"/>
        <v/>
      </c>
      <c r="T2264" s="317" t="str">
        <f>GLOBAL_DER_FEV_2023!S2264</f>
        <v/>
      </c>
      <c r="W2264" s="582">
        <v>0</v>
      </c>
      <c r="X2264" s="580"/>
      <c r="Y2264" s="583">
        <f>IF(GLOBAL_DER_FEV_2023!W2264=0,0,IF(GLOBAL_DER_FEV_2023!W2264&gt;0,"c","b"))</f>
        <v>0</v>
      </c>
    </row>
    <row r="2265" spans="1:25" ht="15" hidden="1" customHeight="1" x14ac:dyDescent="0.2">
      <c r="A2265" s="317" t="s">
        <v>113</v>
      </c>
      <c r="B2265" s="895" t="s">
        <v>113</v>
      </c>
      <c r="C2265" s="896" t="s">
        <v>184</v>
      </c>
      <c r="D2265" s="906" t="s">
        <v>380</v>
      </c>
      <c r="E2265" s="907">
        <f>GLOBAL_DER_FEV_2023!E2265</f>
        <v>0</v>
      </c>
      <c r="F2265" s="908">
        <f>GLOBAL_DER_FEV_2023!F2265</f>
        <v>0</v>
      </c>
      <c r="G2265" s="912">
        <f>GLOBAL_DER_FEV_2023!G2265</f>
        <v>102.72484374720001</v>
      </c>
      <c r="H2265" s="901">
        <f>GLOBAL_DER_FEV_2023!H2265</f>
        <v>931.7</v>
      </c>
      <c r="I2265" s="901">
        <f>GLOBAL_DER_FEV_2023!I2265</f>
        <v>1034.4248437472002</v>
      </c>
      <c r="J2265" s="902">
        <f>GLOBAL_DER_FEV_2023!J2265</f>
        <v>1242.03</v>
      </c>
      <c r="K2265" s="903" t="s">
        <v>15</v>
      </c>
      <c r="L2265" s="1137"/>
      <c r="M2265" s="1138">
        <f t="shared" si="172"/>
        <v>0</v>
      </c>
      <c r="N2265" s="1176">
        <f t="shared" si="171"/>
        <v>0</v>
      </c>
      <c r="O2265" s="905"/>
      <c r="Q2265" s="317" t="str">
        <f t="shared" si="168"/>
        <v/>
      </c>
      <c r="R2265" s="317" t="str">
        <f t="shared" si="169"/>
        <v/>
      </c>
      <c r="S2265" s="317" t="str">
        <f t="shared" si="170"/>
        <v/>
      </c>
      <c r="T2265" s="317" t="str">
        <f>GLOBAL_DER_FEV_2023!S2265</f>
        <v/>
      </c>
      <c r="W2265" s="582">
        <v>0</v>
      </c>
      <c r="X2265" s="580"/>
      <c r="Y2265" s="583">
        <f>IF(GLOBAL_DER_FEV_2023!W2265=0,0,IF(GLOBAL_DER_FEV_2023!W2265&gt;0,"c","b"))</f>
        <v>0</v>
      </c>
    </row>
    <row r="2266" spans="1:25" ht="15" hidden="1" customHeight="1" x14ac:dyDescent="0.2">
      <c r="A2266" s="317" t="s">
        <v>147</v>
      </c>
      <c r="B2266" s="895" t="s">
        <v>147</v>
      </c>
      <c r="C2266" s="896"/>
      <c r="D2266" s="906" t="s">
        <v>190</v>
      </c>
      <c r="E2266" s="907">
        <f>GLOBAL_DER_FEV_2023!E2266</f>
        <v>308</v>
      </c>
      <c r="F2266" s="908">
        <f>GLOBAL_DER_FEV_2023!F2266</f>
        <v>0.13625280000000003</v>
      </c>
      <c r="G2266" s="909">
        <f>GLOBAL_DER_FEV_2023!G2266</f>
        <v>33.798869568000008</v>
      </c>
      <c r="H2266" s="901">
        <f>GLOBAL_DER_FEV_2023!H2266</f>
        <v>0</v>
      </c>
      <c r="I2266" s="901">
        <f>GLOBAL_DER_FEV_2023!I2266</f>
        <v>0</v>
      </c>
      <c r="J2266" s="902">
        <f>GLOBAL_DER_FEV_2023!J2266</f>
        <v>0</v>
      </c>
      <c r="K2266" s="903"/>
      <c r="L2266" s="1177"/>
      <c r="M2266" s="1138">
        <f t="shared" si="172"/>
        <v>0</v>
      </c>
      <c r="N2266" s="1176">
        <f t="shared" si="171"/>
        <v>0</v>
      </c>
      <c r="O2266" s="905"/>
      <c r="P2266" s="36" t="str">
        <f>IF(N2265&gt;0,"xx",IF(N2265&gt;0,"xy",""))</f>
        <v/>
      </c>
      <c r="Q2266" s="317" t="str">
        <f t="shared" si="168"/>
        <v/>
      </c>
      <c r="R2266" s="317" t="str">
        <f t="shared" si="169"/>
        <v/>
      </c>
      <c r="S2266" s="317" t="str">
        <f t="shared" si="170"/>
        <v/>
      </c>
      <c r="T2266" s="317" t="str">
        <f>GLOBAL_DER_FEV_2023!S2266</f>
        <v/>
      </c>
      <c r="W2266" s="582">
        <v>0</v>
      </c>
      <c r="X2266" s="580"/>
      <c r="Y2266" s="583">
        <f>IF(GLOBAL_DER_FEV_2023!W2266=0,0,IF(GLOBAL_DER_FEV_2023!W2266&gt;0,"c","b"))</f>
        <v>0</v>
      </c>
    </row>
    <row r="2267" spans="1:25" ht="15" hidden="1" customHeight="1" x14ac:dyDescent="0.2">
      <c r="A2267" s="317" t="s">
        <v>147</v>
      </c>
      <c r="B2267" s="895" t="s">
        <v>147</v>
      </c>
      <c r="C2267" s="896"/>
      <c r="D2267" s="906" t="s">
        <v>229</v>
      </c>
      <c r="E2267" s="907">
        <f>GLOBAL_DER_FEV_2023!E2267</f>
        <v>150</v>
      </c>
      <c r="F2267" s="908">
        <f>GLOBAL_DER_FEV_2023!F2267</f>
        <v>0.41372736000000004</v>
      </c>
      <c r="G2267" s="949">
        <f>GLOBAL_DER_FEV_2023!G2267</f>
        <v>67.512030604800003</v>
      </c>
      <c r="H2267" s="901">
        <f>GLOBAL_DER_FEV_2023!H2267</f>
        <v>0</v>
      </c>
      <c r="I2267" s="901">
        <f>GLOBAL_DER_FEV_2023!I2267</f>
        <v>0</v>
      </c>
      <c r="J2267" s="902">
        <f>GLOBAL_DER_FEV_2023!J2267</f>
        <v>0</v>
      </c>
      <c r="K2267" s="903"/>
      <c r="L2267" s="1177"/>
      <c r="M2267" s="1138">
        <f t="shared" si="172"/>
        <v>0</v>
      </c>
      <c r="N2267" s="1176">
        <f t="shared" si="171"/>
        <v>0</v>
      </c>
      <c r="O2267" s="905"/>
      <c r="P2267" s="36" t="str">
        <f>IF(N2265&gt;0,"xx",IF(N2265&gt;0,"xy",""))</f>
        <v/>
      </c>
      <c r="Q2267" s="317" t="str">
        <f t="shared" ref="Q2267:Q2330" si="173">IF(P2267="X","x",IF(P2267="xx","x",IF(P2267="xy","x",IF(P2267="y","x",IF(OR(N2267&gt;0,N2267&gt;0),"x","")))))</f>
        <v/>
      </c>
      <c r="R2267" s="317" t="str">
        <f t="shared" si="169"/>
        <v/>
      </c>
      <c r="S2267" s="317" t="str">
        <f t="shared" si="170"/>
        <v/>
      </c>
      <c r="T2267" s="317" t="str">
        <f>GLOBAL_DER_FEV_2023!S2267</f>
        <v/>
      </c>
      <c r="W2267" s="582">
        <v>0</v>
      </c>
      <c r="X2267" s="580"/>
      <c r="Y2267" s="583">
        <f>IF(GLOBAL_DER_FEV_2023!W2267=0,0,IF(GLOBAL_DER_FEV_2023!W2267&gt;0,"c","b"))</f>
        <v>0</v>
      </c>
    </row>
    <row r="2268" spans="1:25" ht="15" hidden="1" customHeight="1" x14ac:dyDescent="0.2">
      <c r="A2268" s="317" t="s">
        <v>147</v>
      </c>
      <c r="B2268" s="895" t="s">
        <v>147</v>
      </c>
      <c r="C2268" s="896"/>
      <c r="D2268" s="906" t="s">
        <v>233</v>
      </c>
      <c r="E2268" s="907">
        <f>GLOBAL_DER_FEV_2023!E2268</f>
        <v>0.2</v>
      </c>
      <c r="F2268" s="908">
        <f>GLOBAL_DER_FEV_2023!F2268</f>
        <v>0.48857760000000011</v>
      </c>
      <c r="G2268" s="949">
        <f>GLOBAL_DER_FEV_2023!G2268</f>
        <v>1.4139435744000004</v>
      </c>
      <c r="H2268" s="901">
        <f>GLOBAL_DER_FEV_2023!H2268</f>
        <v>0</v>
      </c>
      <c r="I2268" s="901">
        <f>GLOBAL_DER_FEV_2023!I2268</f>
        <v>0</v>
      </c>
      <c r="J2268" s="902">
        <f>GLOBAL_DER_FEV_2023!J2268</f>
        <v>0</v>
      </c>
      <c r="K2268" s="903"/>
      <c r="L2268" s="1177"/>
      <c r="M2268" s="1138">
        <f t="shared" si="172"/>
        <v>0</v>
      </c>
      <c r="N2268" s="1176">
        <f t="shared" si="171"/>
        <v>0</v>
      </c>
      <c r="O2268" s="905"/>
      <c r="P2268" s="36" t="str">
        <f>IF(N2265&gt;0,"xx",IF(N2265&gt;0,"xy",""))</f>
        <v/>
      </c>
      <c r="Q2268" s="317" t="str">
        <f t="shared" si="173"/>
        <v/>
      </c>
      <c r="R2268" s="317" t="str">
        <f t="shared" si="169"/>
        <v/>
      </c>
      <c r="S2268" s="317" t="str">
        <f t="shared" si="170"/>
        <v/>
      </c>
      <c r="T2268" s="317" t="str">
        <f>GLOBAL_DER_FEV_2023!S2268</f>
        <v/>
      </c>
      <c r="W2268" s="582">
        <v>0</v>
      </c>
      <c r="X2268" s="580"/>
      <c r="Y2268" s="583">
        <f>IF(GLOBAL_DER_FEV_2023!W2268=0,0,IF(GLOBAL_DER_FEV_2023!W2268&gt;0,"c","b"))</f>
        <v>0</v>
      </c>
    </row>
    <row r="2269" spans="1:25" ht="15" hidden="1" customHeight="1" x14ac:dyDescent="0.2">
      <c r="A2269" s="317" t="s">
        <v>33</v>
      </c>
      <c r="B2269" s="895" t="s">
        <v>33</v>
      </c>
      <c r="C2269" s="896" t="s">
        <v>184</v>
      </c>
      <c r="D2269" s="906" t="s">
        <v>381</v>
      </c>
      <c r="E2269" s="907">
        <f>GLOBAL_DER_FEV_2023!E2269</f>
        <v>0</v>
      </c>
      <c r="F2269" s="908">
        <f>GLOBAL_DER_FEV_2023!F2269</f>
        <v>0</v>
      </c>
      <c r="G2269" s="912">
        <f>GLOBAL_DER_FEV_2023!G2269</f>
        <v>156.16401135504003</v>
      </c>
      <c r="H2269" s="901">
        <f>GLOBAL_DER_FEV_2023!H2269</f>
        <v>1473.01</v>
      </c>
      <c r="I2269" s="901">
        <f>GLOBAL_DER_FEV_2023!I2269</f>
        <v>1629.17401135504</v>
      </c>
      <c r="J2269" s="902">
        <f>GLOBAL_DER_FEV_2023!J2269</f>
        <v>1956.15</v>
      </c>
      <c r="K2269" s="903" t="s">
        <v>15</v>
      </c>
      <c r="L2269" s="1137"/>
      <c r="M2269" s="1138">
        <f t="shared" si="172"/>
        <v>0</v>
      </c>
      <c r="N2269" s="1176">
        <f t="shared" si="171"/>
        <v>0</v>
      </c>
      <c r="O2269" s="905"/>
      <c r="Q2269" s="317" t="str">
        <f t="shared" si="173"/>
        <v/>
      </c>
      <c r="R2269" s="317" t="str">
        <f t="shared" ref="R2269:R2332" si="174">IF(P2269="X","x",IF(P2269="y","x",IF(P2269="xx","x",IF(N2269&gt;0,"x",""))))</f>
        <v/>
      </c>
      <c r="S2269" s="317" t="str">
        <f t="shared" ref="S2269:S2332" si="175">IF(P2269="X","x",IF(N2269&gt;0,"x",""))</f>
        <v/>
      </c>
      <c r="T2269" s="317" t="str">
        <f>GLOBAL_DER_FEV_2023!S2269</f>
        <v/>
      </c>
      <c r="W2269" s="582">
        <v>0</v>
      </c>
      <c r="X2269" s="580"/>
      <c r="Y2269" s="583">
        <f>IF(GLOBAL_DER_FEV_2023!W2269=0,0,IF(GLOBAL_DER_FEV_2023!W2269&gt;0,"c","b"))</f>
        <v>0</v>
      </c>
    </row>
    <row r="2270" spans="1:25" ht="15" hidden="1" customHeight="1" x14ac:dyDescent="0.2">
      <c r="A2270" s="317" t="s">
        <v>147</v>
      </c>
      <c r="B2270" s="895" t="s">
        <v>147</v>
      </c>
      <c r="C2270" s="896"/>
      <c r="D2270" s="906" t="s">
        <v>190</v>
      </c>
      <c r="E2270" s="907">
        <f>GLOBAL_DER_FEV_2023!E2270</f>
        <v>308</v>
      </c>
      <c r="F2270" s="908">
        <f>GLOBAL_DER_FEV_2023!F2270</f>
        <v>0.21117996</v>
      </c>
      <c r="G2270" s="909">
        <f>GLOBAL_DER_FEV_2023!G2270</f>
        <v>52.385300877600002</v>
      </c>
      <c r="H2270" s="901">
        <f>GLOBAL_DER_FEV_2023!H2270</f>
        <v>0</v>
      </c>
      <c r="I2270" s="901">
        <f>GLOBAL_DER_FEV_2023!I2270</f>
        <v>0</v>
      </c>
      <c r="J2270" s="902">
        <f>GLOBAL_DER_FEV_2023!J2270</f>
        <v>0</v>
      </c>
      <c r="K2270" s="903"/>
      <c r="L2270" s="1177"/>
      <c r="M2270" s="1138">
        <f t="shared" si="172"/>
        <v>0</v>
      </c>
      <c r="N2270" s="1176">
        <f t="shared" si="171"/>
        <v>0</v>
      </c>
      <c r="O2270" s="905"/>
      <c r="P2270" s="36" t="str">
        <f>IF(N2269&gt;0,"xx",IF(N2269&gt;0,"xy",""))</f>
        <v/>
      </c>
      <c r="Q2270" s="317" t="str">
        <f t="shared" si="173"/>
        <v/>
      </c>
      <c r="R2270" s="317" t="str">
        <f t="shared" si="174"/>
        <v/>
      </c>
      <c r="S2270" s="317" t="str">
        <f t="shared" si="175"/>
        <v/>
      </c>
      <c r="T2270" s="317" t="str">
        <f>GLOBAL_DER_FEV_2023!S2270</f>
        <v/>
      </c>
      <c r="W2270" s="582">
        <v>0</v>
      </c>
      <c r="X2270" s="580"/>
      <c r="Y2270" s="583">
        <f>IF(GLOBAL_DER_FEV_2023!W2270=0,0,IF(GLOBAL_DER_FEV_2023!W2270&gt;0,"c","b"))</f>
        <v>0</v>
      </c>
    </row>
    <row r="2271" spans="1:25" ht="15" hidden="1" customHeight="1" x14ac:dyDescent="0.2">
      <c r="A2271" s="317" t="s">
        <v>147</v>
      </c>
      <c r="B2271" s="895" t="s">
        <v>147</v>
      </c>
      <c r="C2271" s="896"/>
      <c r="D2271" s="906" t="s">
        <v>229</v>
      </c>
      <c r="E2271" s="907">
        <f>GLOBAL_DER_FEV_2023!E2271</f>
        <v>150</v>
      </c>
      <c r="F2271" s="908">
        <f>GLOBAL_DER_FEV_2023!F2271</f>
        <v>0.62284225199999999</v>
      </c>
      <c r="G2271" s="949">
        <f>GLOBAL_DER_FEV_2023!G2271</f>
        <v>101.63539868136</v>
      </c>
      <c r="H2271" s="901">
        <f>GLOBAL_DER_FEV_2023!H2271</f>
        <v>0</v>
      </c>
      <c r="I2271" s="901">
        <f>GLOBAL_DER_FEV_2023!I2271</f>
        <v>0</v>
      </c>
      <c r="J2271" s="902">
        <f>GLOBAL_DER_FEV_2023!J2271</f>
        <v>0</v>
      </c>
      <c r="K2271" s="903"/>
      <c r="L2271" s="1177"/>
      <c r="M2271" s="1138">
        <f t="shared" si="172"/>
        <v>0</v>
      </c>
      <c r="N2271" s="1176">
        <f t="shared" si="171"/>
        <v>0</v>
      </c>
      <c r="O2271" s="905"/>
      <c r="P2271" s="36" t="str">
        <f>IF(N2269&gt;0,"xx",IF(N2269&gt;0,"xy",""))</f>
        <v/>
      </c>
      <c r="Q2271" s="317" t="str">
        <f t="shared" si="173"/>
        <v/>
      </c>
      <c r="R2271" s="317" t="str">
        <f t="shared" si="174"/>
        <v/>
      </c>
      <c r="S2271" s="317" t="str">
        <f t="shared" si="175"/>
        <v/>
      </c>
      <c r="T2271" s="317" t="str">
        <f>GLOBAL_DER_FEV_2023!S2271</f>
        <v/>
      </c>
      <c r="W2271" s="582">
        <v>0</v>
      </c>
      <c r="X2271" s="580"/>
      <c r="Y2271" s="583">
        <f>IF(GLOBAL_DER_FEV_2023!W2271=0,0,IF(GLOBAL_DER_FEV_2023!W2271&gt;0,"c","b"))</f>
        <v>0</v>
      </c>
    </row>
    <row r="2272" spans="1:25" ht="15" hidden="1" customHeight="1" x14ac:dyDescent="0.2">
      <c r="A2272" s="317" t="s">
        <v>147</v>
      </c>
      <c r="B2272" s="895" t="s">
        <v>147</v>
      </c>
      <c r="C2272" s="896"/>
      <c r="D2272" s="906" t="s">
        <v>233</v>
      </c>
      <c r="E2272" s="907">
        <f>GLOBAL_DER_FEV_2023!E2272</f>
        <v>0.2</v>
      </c>
      <c r="F2272" s="908">
        <f>GLOBAL_DER_FEV_2023!F2272</f>
        <v>0.74060532000000001</v>
      </c>
      <c r="G2272" s="949">
        <f>GLOBAL_DER_FEV_2023!G2272</f>
        <v>2.1433117960800003</v>
      </c>
      <c r="H2272" s="901">
        <f>GLOBAL_DER_FEV_2023!H2272</f>
        <v>0</v>
      </c>
      <c r="I2272" s="901">
        <f>GLOBAL_DER_FEV_2023!I2272</f>
        <v>0</v>
      </c>
      <c r="J2272" s="902">
        <f>GLOBAL_DER_FEV_2023!J2272</f>
        <v>0</v>
      </c>
      <c r="K2272" s="903"/>
      <c r="L2272" s="1177"/>
      <c r="M2272" s="1138">
        <f t="shared" si="172"/>
        <v>0</v>
      </c>
      <c r="N2272" s="1176">
        <f t="shared" si="171"/>
        <v>0</v>
      </c>
      <c r="O2272" s="905"/>
      <c r="P2272" s="36" t="str">
        <f>IF(N2269&gt;0,"xx",IF(N2269&gt;0,"xy",""))</f>
        <v/>
      </c>
      <c r="Q2272" s="317" t="str">
        <f t="shared" si="173"/>
        <v/>
      </c>
      <c r="R2272" s="317" t="str">
        <f t="shared" si="174"/>
        <v/>
      </c>
      <c r="S2272" s="317" t="str">
        <f t="shared" si="175"/>
        <v/>
      </c>
      <c r="T2272" s="317" t="str">
        <f>GLOBAL_DER_FEV_2023!S2272</f>
        <v/>
      </c>
      <c r="W2272" s="582">
        <v>0</v>
      </c>
      <c r="X2272" s="580"/>
      <c r="Y2272" s="583">
        <f>IF(GLOBAL_DER_FEV_2023!W2272=0,0,IF(GLOBAL_DER_FEV_2023!W2272&gt;0,"c","b"))</f>
        <v>0</v>
      </c>
    </row>
    <row r="2273" spans="1:25" ht="15" hidden="1" customHeight="1" x14ac:dyDescent="0.2">
      <c r="A2273" s="317" t="s">
        <v>34</v>
      </c>
      <c r="B2273" s="895" t="s">
        <v>34</v>
      </c>
      <c r="C2273" s="896" t="s">
        <v>184</v>
      </c>
      <c r="D2273" s="906" t="s">
        <v>382</v>
      </c>
      <c r="E2273" s="907">
        <f>GLOBAL_DER_FEV_2023!E2273</f>
        <v>0</v>
      </c>
      <c r="F2273" s="908">
        <f>GLOBAL_DER_FEV_2023!F2273</f>
        <v>0</v>
      </c>
      <c r="G2273" s="912">
        <f>GLOBAL_DER_FEV_2023!G2273</f>
        <v>280.75668198979992</v>
      </c>
      <c r="H2273" s="901">
        <f>GLOBAL_DER_FEV_2023!H2273</f>
        <v>2538.3200000000002</v>
      </c>
      <c r="I2273" s="901">
        <f>GLOBAL_DER_FEV_2023!I2273</f>
        <v>2819.0766819897999</v>
      </c>
      <c r="J2273" s="902">
        <f>GLOBAL_DER_FEV_2023!J2273</f>
        <v>3384.87</v>
      </c>
      <c r="K2273" s="903" t="s">
        <v>15</v>
      </c>
      <c r="L2273" s="1137"/>
      <c r="M2273" s="1138">
        <f t="shared" si="172"/>
        <v>0</v>
      </c>
      <c r="N2273" s="1176">
        <f t="shared" ref="N2273:N2336" si="176">IF(ISBLANK(L2273),0,IF(W2273=0,ROUND(L2273*M2273,2),IF(W2273="b",ROUNDDOWN(L2273*M2273,2),ROUNDUP(L2273*M2273,2))))</f>
        <v>0</v>
      </c>
      <c r="O2273" s="905"/>
      <c r="Q2273" s="317" t="str">
        <f t="shared" si="173"/>
        <v/>
      </c>
      <c r="R2273" s="317" t="str">
        <f t="shared" si="174"/>
        <v/>
      </c>
      <c r="S2273" s="317" t="str">
        <f t="shared" si="175"/>
        <v/>
      </c>
      <c r="T2273" s="317" t="str">
        <f>GLOBAL_DER_FEV_2023!S2273</f>
        <v/>
      </c>
      <c r="W2273" s="582">
        <v>0</v>
      </c>
      <c r="X2273" s="580"/>
      <c r="Y2273" s="583">
        <f>IF(GLOBAL_DER_FEV_2023!W2273=0,0,IF(GLOBAL_DER_FEV_2023!W2273&gt;0,"c","b"))</f>
        <v>0</v>
      </c>
    </row>
    <row r="2274" spans="1:25" ht="15" hidden="1" customHeight="1" x14ac:dyDescent="0.2">
      <c r="A2274" s="317" t="s">
        <v>147</v>
      </c>
      <c r="B2274" s="895" t="s">
        <v>147</v>
      </c>
      <c r="C2274" s="896"/>
      <c r="D2274" s="906" t="s">
        <v>190</v>
      </c>
      <c r="E2274" s="907">
        <f>GLOBAL_DER_FEV_2023!E2274</f>
        <v>308</v>
      </c>
      <c r="F2274" s="908">
        <f>GLOBAL_DER_FEV_2023!F2274</f>
        <v>0.38327894999999995</v>
      </c>
      <c r="G2274" s="909">
        <f>GLOBAL_DER_FEV_2023!G2274</f>
        <v>95.076176336999993</v>
      </c>
      <c r="H2274" s="901">
        <f>GLOBAL_DER_FEV_2023!H2274</f>
        <v>0</v>
      </c>
      <c r="I2274" s="901">
        <f>GLOBAL_DER_FEV_2023!I2274</f>
        <v>0</v>
      </c>
      <c r="J2274" s="902">
        <f>GLOBAL_DER_FEV_2023!J2274</f>
        <v>0</v>
      </c>
      <c r="K2274" s="903"/>
      <c r="L2274" s="1177"/>
      <c r="M2274" s="1138">
        <f t="shared" si="172"/>
        <v>0</v>
      </c>
      <c r="N2274" s="1176">
        <f t="shared" si="176"/>
        <v>0</v>
      </c>
      <c r="O2274" s="905"/>
      <c r="P2274" s="36" t="str">
        <f>IF(N2273&gt;0,"xx",IF(N2273&gt;0,"xy",""))</f>
        <v/>
      </c>
      <c r="Q2274" s="317" t="str">
        <f t="shared" si="173"/>
        <v/>
      </c>
      <c r="R2274" s="317" t="str">
        <f t="shared" si="174"/>
        <v/>
      </c>
      <c r="S2274" s="317" t="str">
        <f t="shared" si="175"/>
        <v/>
      </c>
      <c r="T2274" s="317" t="str">
        <f>GLOBAL_DER_FEV_2023!S2274</f>
        <v/>
      </c>
      <c r="W2274" s="582">
        <v>0</v>
      </c>
      <c r="X2274" s="580"/>
      <c r="Y2274" s="583">
        <f>IF(GLOBAL_DER_FEV_2023!W2274=0,0,IF(GLOBAL_DER_FEV_2023!W2274&gt;0,"c","b"))</f>
        <v>0</v>
      </c>
    </row>
    <row r="2275" spans="1:25" ht="15" hidden="1" customHeight="1" x14ac:dyDescent="0.2">
      <c r="A2275" s="317" t="s">
        <v>147</v>
      </c>
      <c r="B2275" s="895" t="s">
        <v>147</v>
      </c>
      <c r="C2275" s="896"/>
      <c r="D2275" s="906" t="s">
        <v>229</v>
      </c>
      <c r="E2275" s="907">
        <f>GLOBAL_DER_FEV_2023!E2275</f>
        <v>150</v>
      </c>
      <c r="F2275" s="908">
        <f>GLOBAL_DER_FEV_2023!F2275</f>
        <v>1.1143076149999998</v>
      </c>
      <c r="G2275" s="949">
        <f>GLOBAL_DER_FEV_2023!G2275</f>
        <v>181.83271661569998</v>
      </c>
      <c r="H2275" s="901">
        <f>GLOBAL_DER_FEV_2023!H2275</f>
        <v>0</v>
      </c>
      <c r="I2275" s="901">
        <f>GLOBAL_DER_FEV_2023!I2275</f>
        <v>0</v>
      </c>
      <c r="J2275" s="902">
        <f>GLOBAL_DER_FEV_2023!J2275</f>
        <v>0</v>
      </c>
      <c r="K2275" s="903"/>
      <c r="L2275" s="1177"/>
      <c r="M2275" s="1138">
        <f t="shared" si="172"/>
        <v>0</v>
      </c>
      <c r="N2275" s="1176">
        <f t="shared" si="176"/>
        <v>0</v>
      </c>
      <c r="O2275" s="905"/>
      <c r="P2275" s="36" t="str">
        <f>IF(N2273&gt;0,"xx",IF(N2273&gt;0,"xy",""))</f>
        <v/>
      </c>
      <c r="Q2275" s="317" t="str">
        <f t="shared" si="173"/>
        <v/>
      </c>
      <c r="R2275" s="317" t="str">
        <f t="shared" si="174"/>
        <v/>
      </c>
      <c r="S2275" s="317" t="str">
        <f t="shared" si="175"/>
        <v/>
      </c>
      <c r="T2275" s="317" t="str">
        <f>GLOBAL_DER_FEV_2023!S2275</f>
        <v/>
      </c>
      <c r="W2275" s="582">
        <v>0</v>
      </c>
      <c r="X2275" s="580"/>
      <c r="Y2275" s="583">
        <f>IF(GLOBAL_DER_FEV_2023!W2275=0,0,IF(GLOBAL_DER_FEV_2023!W2275&gt;0,"c","b"))</f>
        <v>0</v>
      </c>
    </row>
    <row r="2276" spans="1:25" ht="15" hidden="1" customHeight="1" x14ac:dyDescent="0.2">
      <c r="A2276" s="317" t="s">
        <v>147</v>
      </c>
      <c r="B2276" s="895" t="s">
        <v>147</v>
      </c>
      <c r="C2276" s="896"/>
      <c r="D2276" s="906" t="s">
        <v>233</v>
      </c>
      <c r="E2276" s="907">
        <f>GLOBAL_DER_FEV_2023!E2276</f>
        <v>0.2</v>
      </c>
      <c r="F2276" s="908">
        <f>GLOBAL_DER_FEV_2023!F2276</f>
        <v>1.3295746499999999</v>
      </c>
      <c r="G2276" s="949">
        <f>GLOBAL_DER_FEV_2023!G2276</f>
        <v>3.8477890370999996</v>
      </c>
      <c r="H2276" s="901">
        <f>GLOBAL_DER_FEV_2023!H2276</f>
        <v>0</v>
      </c>
      <c r="I2276" s="901">
        <f>GLOBAL_DER_FEV_2023!I2276</f>
        <v>0</v>
      </c>
      <c r="J2276" s="902">
        <f>GLOBAL_DER_FEV_2023!J2276</f>
        <v>0</v>
      </c>
      <c r="K2276" s="903"/>
      <c r="L2276" s="1177"/>
      <c r="M2276" s="1138">
        <f t="shared" si="172"/>
        <v>0</v>
      </c>
      <c r="N2276" s="1176">
        <f t="shared" si="176"/>
        <v>0</v>
      </c>
      <c r="O2276" s="905"/>
      <c r="P2276" s="36" t="str">
        <f>IF(N2273&gt;0,"xx",IF(N2273&gt;0,"xy",""))</f>
        <v/>
      </c>
      <c r="Q2276" s="317" t="str">
        <f t="shared" si="173"/>
        <v/>
      </c>
      <c r="R2276" s="317" t="str">
        <f t="shared" si="174"/>
        <v/>
      </c>
      <c r="S2276" s="317" t="str">
        <f t="shared" si="175"/>
        <v/>
      </c>
      <c r="T2276" s="317" t="str">
        <f>GLOBAL_DER_FEV_2023!S2276</f>
        <v/>
      </c>
      <c r="W2276" s="582">
        <v>0</v>
      </c>
      <c r="X2276" s="580"/>
      <c r="Y2276" s="583">
        <f>IF(GLOBAL_DER_FEV_2023!W2276=0,0,IF(GLOBAL_DER_FEV_2023!W2276&gt;0,"c","b"))</f>
        <v>0</v>
      </c>
    </row>
    <row r="2277" spans="1:25" ht="15" hidden="1" customHeight="1" x14ac:dyDescent="0.2">
      <c r="A2277" s="317" t="s">
        <v>35</v>
      </c>
      <c r="B2277" s="895" t="s">
        <v>35</v>
      </c>
      <c r="C2277" s="896" t="s">
        <v>184</v>
      </c>
      <c r="D2277" s="906" t="s">
        <v>383</v>
      </c>
      <c r="E2277" s="907">
        <f>GLOBAL_DER_FEV_2023!E2277</f>
        <v>0</v>
      </c>
      <c r="F2277" s="908">
        <f>GLOBAL_DER_FEV_2023!F2277</f>
        <v>0</v>
      </c>
      <c r="G2277" s="912">
        <f>GLOBAL_DER_FEV_2023!G2277</f>
        <v>412.48191319280005</v>
      </c>
      <c r="H2277" s="901">
        <f>GLOBAL_DER_FEV_2023!H2277</f>
        <v>3699.81</v>
      </c>
      <c r="I2277" s="901">
        <f>GLOBAL_DER_FEV_2023!I2277</f>
        <v>4112.2919131928002</v>
      </c>
      <c r="J2277" s="902">
        <f>GLOBAL_DER_FEV_2023!J2277</f>
        <v>4937.63</v>
      </c>
      <c r="K2277" s="903" t="s">
        <v>15</v>
      </c>
      <c r="L2277" s="1137"/>
      <c r="M2277" s="1138">
        <f t="shared" si="172"/>
        <v>0</v>
      </c>
      <c r="N2277" s="1176">
        <f t="shared" si="176"/>
        <v>0</v>
      </c>
      <c r="O2277" s="905"/>
      <c r="Q2277" s="317" t="str">
        <f t="shared" si="173"/>
        <v/>
      </c>
      <c r="R2277" s="317" t="str">
        <f t="shared" si="174"/>
        <v/>
      </c>
      <c r="S2277" s="317" t="str">
        <f t="shared" si="175"/>
        <v/>
      </c>
      <c r="T2277" s="317" t="str">
        <f>GLOBAL_DER_FEV_2023!S2277</f>
        <v/>
      </c>
      <c r="W2277" s="582">
        <v>0</v>
      </c>
      <c r="X2277" s="580"/>
      <c r="Y2277" s="583">
        <f>IF(GLOBAL_DER_FEV_2023!W2277=0,0,IF(GLOBAL_DER_FEV_2023!W2277&gt;0,"c","b"))</f>
        <v>0</v>
      </c>
    </row>
    <row r="2278" spans="1:25" ht="15" hidden="1" customHeight="1" x14ac:dyDescent="0.2">
      <c r="A2278" s="317" t="s">
        <v>147</v>
      </c>
      <c r="B2278" s="895" t="s">
        <v>147</v>
      </c>
      <c r="C2278" s="896"/>
      <c r="D2278" s="906" t="s">
        <v>190</v>
      </c>
      <c r="E2278" s="907">
        <f>GLOBAL_DER_FEV_2023!E2278</f>
        <v>308</v>
      </c>
      <c r="F2278" s="908">
        <f>GLOBAL_DER_FEV_2023!F2278</f>
        <v>0.56408220000000009</v>
      </c>
      <c r="G2278" s="909">
        <f>GLOBAL_DER_FEV_2023!G2278</f>
        <v>139.92623053200003</v>
      </c>
      <c r="H2278" s="901">
        <f>GLOBAL_DER_FEV_2023!H2278</f>
        <v>0</v>
      </c>
      <c r="I2278" s="901">
        <f>GLOBAL_DER_FEV_2023!I2278</f>
        <v>0</v>
      </c>
      <c r="J2278" s="902">
        <f>GLOBAL_DER_FEV_2023!J2278</f>
        <v>0</v>
      </c>
      <c r="K2278" s="903"/>
      <c r="L2278" s="1177"/>
      <c r="M2278" s="1138">
        <f t="shared" si="172"/>
        <v>0</v>
      </c>
      <c r="N2278" s="1176">
        <f t="shared" si="176"/>
        <v>0</v>
      </c>
      <c r="O2278" s="905"/>
      <c r="P2278" s="36" t="str">
        <f>IF(N2277&gt;0,"xx",IF(N2277&gt;0,"xy",""))</f>
        <v/>
      </c>
      <c r="Q2278" s="317" t="str">
        <f t="shared" si="173"/>
        <v/>
      </c>
      <c r="R2278" s="317" t="str">
        <f t="shared" si="174"/>
        <v/>
      </c>
      <c r="S2278" s="317" t="str">
        <f t="shared" si="175"/>
        <v/>
      </c>
      <c r="T2278" s="317" t="str">
        <f>GLOBAL_DER_FEV_2023!S2278</f>
        <v/>
      </c>
      <c r="W2278" s="582">
        <v>0</v>
      </c>
      <c r="X2278" s="580"/>
      <c r="Y2278" s="583">
        <f>IF(GLOBAL_DER_FEV_2023!W2278=0,0,IF(GLOBAL_DER_FEV_2023!W2278&gt;0,"c","b"))</f>
        <v>0</v>
      </c>
    </row>
    <row r="2279" spans="1:25" ht="15" hidden="1" customHeight="1" x14ac:dyDescent="0.2">
      <c r="A2279" s="317" t="s">
        <v>147</v>
      </c>
      <c r="B2279" s="895" t="s">
        <v>147</v>
      </c>
      <c r="C2279" s="896"/>
      <c r="D2279" s="906" t="s">
        <v>229</v>
      </c>
      <c r="E2279" s="907">
        <f>GLOBAL_DER_FEV_2023!E2279</f>
        <v>150</v>
      </c>
      <c r="F2279" s="908">
        <f>GLOBAL_DER_FEV_2023!F2279</f>
        <v>1.6356421400000001</v>
      </c>
      <c r="G2279" s="949">
        <f>GLOBAL_DER_FEV_2023!G2279</f>
        <v>266.90408440520002</v>
      </c>
      <c r="H2279" s="901">
        <f>GLOBAL_DER_FEV_2023!H2279</f>
        <v>0</v>
      </c>
      <c r="I2279" s="901">
        <f>GLOBAL_DER_FEV_2023!I2279</f>
        <v>0</v>
      </c>
      <c r="J2279" s="902">
        <f>GLOBAL_DER_FEV_2023!J2279</f>
        <v>0</v>
      </c>
      <c r="K2279" s="903"/>
      <c r="L2279" s="1177"/>
      <c r="M2279" s="1138">
        <f t="shared" si="172"/>
        <v>0</v>
      </c>
      <c r="N2279" s="1176">
        <f t="shared" si="176"/>
        <v>0</v>
      </c>
      <c r="O2279" s="905"/>
      <c r="P2279" s="36" t="str">
        <f>IF(N2277&gt;0,"xx",IF(N2277&gt;0,"xy",""))</f>
        <v/>
      </c>
      <c r="Q2279" s="317" t="str">
        <f t="shared" si="173"/>
        <v/>
      </c>
      <c r="R2279" s="317" t="str">
        <f t="shared" si="174"/>
        <v/>
      </c>
      <c r="S2279" s="317" t="str">
        <f t="shared" si="175"/>
        <v/>
      </c>
      <c r="T2279" s="317" t="str">
        <f>GLOBAL_DER_FEV_2023!S2279</f>
        <v/>
      </c>
      <c r="W2279" s="582">
        <v>0</v>
      </c>
      <c r="X2279" s="580"/>
      <c r="Y2279" s="583">
        <f>IF(GLOBAL_DER_FEV_2023!W2279=0,0,IF(GLOBAL_DER_FEV_2023!W2279&gt;0,"c","b"))</f>
        <v>0</v>
      </c>
    </row>
    <row r="2280" spans="1:25" ht="15" hidden="1" customHeight="1" x14ac:dyDescent="0.2">
      <c r="A2280" s="317" t="s">
        <v>147</v>
      </c>
      <c r="B2280" s="895" t="s">
        <v>147</v>
      </c>
      <c r="C2280" s="896"/>
      <c r="D2280" s="906" t="s">
        <v>233</v>
      </c>
      <c r="E2280" s="907">
        <f>GLOBAL_DER_FEV_2023!E2280</f>
        <v>0.2</v>
      </c>
      <c r="F2280" s="908">
        <f>GLOBAL_DER_FEV_2023!F2280</f>
        <v>1.9528674000000004</v>
      </c>
      <c r="G2280" s="949">
        <f>GLOBAL_DER_FEV_2023!G2280</f>
        <v>5.6515982556000015</v>
      </c>
      <c r="H2280" s="901">
        <f>GLOBAL_DER_FEV_2023!H2280</f>
        <v>0</v>
      </c>
      <c r="I2280" s="901">
        <f>GLOBAL_DER_FEV_2023!I2280</f>
        <v>0</v>
      </c>
      <c r="J2280" s="902">
        <f>GLOBAL_DER_FEV_2023!J2280</f>
        <v>0</v>
      </c>
      <c r="K2280" s="903"/>
      <c r="L2280" s="1177"/>
      <c r="M2280" s="1138">
        <f t="shared" si="172"/>
        <v>0</v>
      </c>
      <c r="N2280" s="1176">
        <f t="shared" si="176"/>
        <v>0</v>
      </c>
      <c r="O2280" s="905"/>
      <c r="P2280" s="36" t="str">
        <f>IF(N2277&gt;0,"xx",IF(N2277&gt;0,"xy",""))</f>
        <v/>
      </c>
      <c r="Q2280" s="317" t="str">
        <f t="shared" si="173"/>
        <v/>
      </c>
      <c r="R2280" s="317" t="str">
        <f t="shared" si="174"/>
        <v/>
      </c>
      <c r="S2280" s="317" t="str">
        <f t="shared" si="175"/>
        <v/>
      </c>
      <c r="T2280" s="317" t="str">
        <f>GLOBAL_DER_FEV_2023!S2280</f>
        <v/>
      </c>
      <c r="W2280" s="582">
        <v>0</v>
      </c>
      <c r="X2280" s="580"/>
      <c r="Y2280" s="583">
        <f>IF(GLOBAL_DER_FEV_2023!W2280=0,0,IF(GLOBAL_DER_FEV_2023!W2280&gt;0,"c","b"))</f>
        <v>0</v>
      </c>
    </row>
    <row r="2281" spans="1:25" ht="15" hidden="1" customHeight="1" x14ac:dyDescent="0.2">
      <c r="A2281" s="317" t="s">
        <v>36</v>
      </c>
      <c r="B2281" s="895" t="s">
        <v>36</v>
      </c>
      <c r="C2281" s="896" t="s">
        <v>184</v>
      </c>
      <c r="D2281" s="906" t="s">
        <v>384</v>
      </c>
      <c r="E2281" s="907">
        <f>GLOBAL_DER_FEV_2023!E2281</f>
        <v>0</v>
      </c>
      <c r="F2281" s="908">
        <f>GLOBAL_DER_FEV_2023!F2281</f>
        <v>0</v>
      </c>
      <c r="G2281" s="912">
        <f>GLOBAL_DER_FEV_2023!G2281</f>
        <v>570.60064910079996</v>
      </c>
      <c r="H2281" s="901">
        <f>GLOBAL_DER_FEV_2023!H2281</f>
        <v>5102.8900000000003</v>
      </c>
      <c r="I2281" s="901">
        <f>GLOBAL_DER_FEV_2023!I2281</f>
        <v>5673.4906491008005</v>
      </c>
      <c r="J2281" s="902">
        <f>GLOBAL_DER_FEV_2023!J2281</f>
        <v>6812.16</v>
      </c>
      <c r="K2281" s="903" t="s">
        <v>15</v>
      </c>
      <c r="L2281" s="1137"/>
      <c r="M2281" s="1138">
        <f t="shared" si="172"/>
        <v>0</v>
      </c>
      <c r="N2281" s="1176">
        <f t="shared" si="176"/>
        <v>0</v>
      </c>
      <c r="O2281" s="905"/>
      <c r="Q2281" s="317" t="str">
        <f t="shared" si="173"/>
        <v/>
      </c>
      <c r="R2281" s="317" t="str">
        <f t="shared" si="174"/>
        <v/>
      </c>
      <c r="S2281" s="317" t="str">
        <f t="shared" si="175"/>
        <v/>
      </c>
      <c r="T2281" s="317" t="str">
        <f>GLOBAL_DER_FEV_2023!S2281</f>
        <v/>
      </c>
      <c r="W2281" s="582">
        <v>0</v>
      </c>
      <c r="X2281" s="580"/>
      <c r="Y2281" s="583">
        <f>IF(GLOBAL_DER_FEV_2023!W2281=0,0,IF(GLOBAL_DER_FEV_2023!W2281&gt;0,"c","b"))</f>
        <v>0</v>
      </c>
    </row>
    <row r="2282" spans="1:25" ht="15" hidden="1" customHeight="1" x14ac:dyDescent="0.2">
      <c r="A2282" s="317" t="s">
        <v>147</v>
      </c>
      <c r="B2282" s="895" t="s">
        <v>147</v>
      </c>
      <c r="C2282" s="896"/>
      <c r="D2282" s="906" t="s">
        <v>190</v>
      </c>
      <c r="E2282" s="907">
        <f>GLOBAL_DER_FEV_2023!E2282</f>
        <v>308</v>
      </c>
      <c r="F2282" s="908">
        <f>GLOBAL_DER_FEV_2023!F2282</f>
        <v>0.77929919999999997</v>
      </c>
      <c r="G2282" s="909">
        <f>GLOBAL_DER_FEV_2023!G2282</f>
        <v>193.312959552</v>
      </c>
      <c r="H2282" s="901">
        <f>GLOBAL_DER_FEV_2023!H2282</f>
        <v>0</v>
      </c>
      <c r="I2282" s="901">
        <f>GLOBAL_DER_FEV_2023!I2282</f>
        <v>0</v>
      </c>
      <c r="J2282" s="902">
        <f>GLOBAL_DER_FEV_2023!J2282</f>
        <v>0</v>
      </c>
      <c r="K2282" s="903"/>
      <c r="L2282" s="1177"/>
      <c r="M2282" s="1138">
        <f t="shared" si="172"/>
        <v>0</v>
      </c>
      <c r="N2282" s="1176">
        <f t="shared" si="176"/>
        <v>0</v>
      </c>
      <c r="O2282" s="905"/>
      <c r="P2282" s="36" t="str">
        <f>IF(N2281&gt;0,"xx",IF(N2281&gt;0,"xy",""))</f>
        <v/>
      </c>
      <c r="Q2282" s="317" t="str">
        <f t="shared" si="173"/>
        <v/>
      </c>
      <c r="R2282" s="317" t="str">
        <f t="shared" si="174"/>
        <v/>
      </c>
      <c r="S2282" s="317" t="str">
        <f t="shared" si="175"/>
        <v/>
      </c>
      <c r="T2282" s="317" t="str">
        <f>GLOBAL_DER_FEV_2023!S2282</f>
        <v/>
      </c>
      <c r="W2282" s="582">
        <v>0</v>
      </c>
      <c r="X2282" s="580"/>
      <c r="Y2282" s="583">
        <f>IF(GLOBAL_DER_FEV_2023!W2282=0,0,IF(GLOBAL_DER_FEV_2023!W2282&gt;0,"c","b"))</f>
        <v>0</v>
      </c>
    </row>
    <row r="2283" spans="1:25" ht="15" hidden="1" customHeight="1" x14ac:dyDescent="0.2">
      <c r="A2283" s="317" t="s">
        <v>147</v>
      </c>
      <c r="B2283" s="895" t="s">
        <v>147</v>
      </c>
      <c r="C2283" s="896"/>
      <c r="D2283" s="906" t="s">
        <v>229</v>
      </c>
      <c r="E2283" s="907">
        <f>GLOBAL_DER_FEV_2023!E2283</f>
        <v>150</v>
      </c>
      <c r="F2283" s="908">
        <f>GLOBAL_DER_FEV_2023!F2283</f>
        <v>2.26417504</v>
      </c>
      <c r="G2283" s="949">
        <f>GLOBAL_DER_FEV_2023!G2283</f>
        <v>369.46808302720001</v>
      </c>
      <c r="H2283" s="901">
        <f>GLOBAL_DER_FEV_2023!H2283</f>
        <v>0</v>
      </c>
      <c r="I2283" s="901">
        <f>GLOBAL_DER_FEV_2023!I2283</f>
        <v>0</v>
      </c>
      <c r="J2283" s="902">
        <f>GLOBAL_DER_FEV_2023!J2283</f>
        <v>0</v>
      </c>
      <c r="K2283" s="903"/>
      <c r="L2283" s="1177"/>
      <c r="M2283" s="1138">
        <f t="shared" si="172"/>
        <v>0</v>
      </c>
      <c r="N2283" s="1176">
        <f t="shared" si="176"/>
        <v>0</v>
      </c>
      <c r="O2283" s="905"/>
      <c r="P2283" s="36" t="str">
        <f>IF(N2281&gt;0,"xx",IF(N2281&gt;0,"xy",""))</f>
        <v/>
      </c>
      <c r="Q2283" s="317" t="str">
        <f t="shared" si="173"/>
        <v/>
      </c>
      <c r="R2283" s="317" t="str">
        <f t="shared" si="174"/>
        <v/>
      </c>
      <c r="S2283" s="317" t="str">
        <f t="shared" si="175"/>
        <v/>
      </c>
      <c r="T2283" s="317" t="str">
        <f>GLOBAL_DER_FEV_2023!S2283</f>
        <v/>
      </c>
      <c r="W2283" s="582">
        <v>0</v>
      </c>
      <c r="X2283" s="580"/>
      <c r="Y2283" s="583">
        <f>IF(GLOBAL_DER_FEV_2023!W2283=0,0,IF(GLOBAL_DER_FEV_2023!W2283&gt;0,"c","b"))</f>
        <v>0</v>
      </c>
    </row>
    <row r="2284" spans="1:25" ht="15" hidden="1" customHeight="1" x14ac:dyDescent="0.2">
      <c r="A2284" s="317" t="s">
        <v>147</v>
      </c>
      <c r="B2284" s="895" t="s">
        <v>147</v>
      </c>
      <c r="C2284" s="896"/>
      <c r="D2284" s="906" t="s">
        <v>233</v>
      </c>
      <c r="E2284" s="907">
        <f>GLOBAL_DER_FEV_2023!E2284</f>
        <v>0.2</v>
      </c>
      <c r="F2284" s="908">
        <f>GLOBAL_DER_FEV_2023!F2284</f>
        <v>2.7020064000000001</v>
      </c>
      <c r="G2284" s="949">
        <f>GLOBAL_DER_FEV_2023!G2284</f>
        <v>7.8196065216000008</v>
      </c>
      <c r="H2284" s="901">
        <f>GLOBAL_DER_FEV_2023!H2284</f>
        <v>0</v>
      </c>
      <c r="I2284" s="901">
        <f>GLOBAL_DER_FEV_2023!I2284</f>
        <v>0</v>
      </c>
      <c r="J2284" s="902">
        <f>GLOBAL_DER_FEV_2023!J2284</f>
        <v>0</v>
      </c>
      <c r="K2284" s="903"/>
      <c r="L2284" s="1177"/>
      <c r="M2284" s="1138">
        <f t="shared" si="172"/>
        <v>0</v>
      </c>
      <c r="N2284" s="1176">
        <f t="shared" si="176"/>
        <v>0</v>
      </c>
      <c r="O2284" s="905"/>
      <c r="P2284" s="36" t="str">
        <f>IF(N2281&gt;0,"xx",IF(N2281&gt;0,"xy",""))</f>
        <v/>
      </c>
      <c r="Q2284" s="317" t="str">
        <f t="shared" si="173"/>
        <v/>
      </c>
      <c r="R2284" s="317" t="str">
        <f t="shared" si="174"/>
        <v/>
      </c>
      <c r="S2284" s="317" t="str">
        <f t="shared" si="175"/>
        <v/>
      </c>
      <c r="T2284" s="317" t="str">
        <f>GLOBAL_DER_FEV_2023!S2284</f>
        <v/>
      </c>
      <c r="W2284" s="582">
        <v>0</v>
      </c>
      <c r="X2284" s="580"/>
      <c r="Y2284" s="583">
        <f>IF(GLOBAL_DER_FEV_2023!W2284=0,0,IF(GLOBAL_DER_FEV_2023!W2284&gt;0,"c","b"))</f>
        <v>0</v>
      </c>
    </row>
    <row r="2285" spans="1:25" ht="15" hidden="1" customHeight="1" x14ac:dyDescent="0.2">
      <c r="A2285" s="317" t="s">
        <v>37</v>
      </c>
      <c r="B2285" s="895" t="s">
        <v>37</v>
      </c>
      <c r="C2285" s="896" t="s">
        <v>184</v>
      </c>
      <c r="D2285" s="906" t="s">
        <v>385</v>
      </c>
      <c r="E2285" s="907">
        <f>GLOBAL_DER_FEV_2023!E2285</f>
        <v>0</v>
      </c>
      <c r="F2285" s="908">
        <f>GLOBAL_DER_FEV_2023!F2285</f>
        <v>0</v>
      </c>
      <c r="G2285" s="912">
        <f>GLOBAL_DER_FEV_2023!G2285</f>
        <v>884.91038384579997</v>
      </c>
      <c r="H2285" s="901">
        <f>GLOBAL_DER_FEV_2023!H2285</f>
        <v>7709.16</v>
      </c>
      <c r="I2285" s="901">
        <f>GLOBAL_DER_FEV_2023!I2285</f>
        <v>8594.0703838457994</v>
      </c>
      <c r="J2285" s="902">
        <f>GLOBAL_DER_FEV_2023!J2285</f>
        <v>10318.9</v>
      </c>
      <c r="K2285" s="903" t="s">
        <v>15</v>
      </c>
      <c r="L2285" s="1137"/>
      <c r="M2285" s="1138">
        <f t="shared" si="172"/>
        <v>0</v>
      </c>
      <c r="N2285" s="1176">
        <f t="shared" si="176"/>
        <v>0</v>
      </c>
      <c r="O2285" s="905"/>
      <c r="Q2285" s="317" t="str">
        <f t="shared" si="173"/>
        <v/>
      </c>
      <c r="R2285" s="317" t="str">
        <f t="shared" si="174"/>
        <v/>
      </c>
      <c r="S2285" s="317" t="str">
        <f t="shared" si="175"/>
        <v/>
      </c>
      <c r="T2285" s="317" t="str">
        <f>GLOBAL_DER_FEV_2023!S2285</f>
        <v/>
      </c>
      <c r="W2285" s="582">
        <v>0</v>
      </c>
      <c r="X2285" s="580"/>
      <c r="Y2285" s="583">
        <f>IF(GLOBAL_DER_FEV_2023!W2285=0,0,IF(GLOBAL_DER_FEV_2023!W2285&gt;0,"c","b"))</f>
        <v>0</v>
      </c>
    </row>
    <row r="2286" spans="1:25" ht="15" hidden="1" customHeight="1" x14ac:dyDescent="0.2">
      <c r="A2286" s="317" t="s">
        <v>147</v>
      </c>
      <c r="B2286" s="895" t="s">
        <v>147</v>
      </c>
      <c r="C2286" s="896"/>
      <c r="D2286" s="906" t="s">
        <v>190</v>
      </c>
      <c r="E2286" s="907">
        <f>GLOBAL_DER_FEV_2023!E2286</f>
        <v>308</v>
      </c>
      <c r="F2286" s="908">
        <f>GLOBAL_DER_FEV_2023!F2286</f>
        <v>1.2096229499999998</v>
      </c>
      <c r="G2286" s="909">
        <f>GLOBAL_DER_FEV_2023!G2286</f>
        <v>300.05906897699992</v>
      </c>
      <c r="H2286" s="901">
        <f>GLOBAL_DER_FEV_2023!H2286</f>
        <v>0</v>
      </c>
      <c r="I2286" s="901">
        <f>GLOBAL_DER_FEV_2023!I2286</f>
        <v>0</v>
      </c>
      <c r="J2286" s="902">
        <f>GLOBAL_DER_FEV_2023!J2286</f>
        <v>0</v>
      </c>
      <c r="K2286" s="903"/>
      <c r="L2286" s="1177"/>
      <c r="M2286" s="1138">
        <f t="shared" si="172"/>
        <v>0</v>
      </c>
      <c r="N2286" s="1176">
        <f t="shared" si="176"/>
        <v>0</v>
      </c>
      <c r="O2286" s="905"/>
      <c r="P2286" s="36" t="str">
        <f>IF(N2285&gt;0,"xx",IF(N2285&gt;0,"xy",""))</f>
        <v/>
      </c>
      <c r="Q2286" s="317" t="str">
        <f t="shared" si="173"/>
        <v/>
      </c>
      <c r="R2286" s="317" t="str">
        <f t="shared" si="174"/>
        <v/>
      </c>
      <c r="S2286" s="317" t="str">
        <f t="shared" si="175"/>
        <v/>
      </c>
      <c r="T2286" s="317" t="str">
        <f>GLOBAL_DER_FEV_2023!S2286</f>
        <v/>
      </c>
      <c r="W2286" s="582">
        <v>0</v>
      </c>
      <c r="X2286" s="580"/>
      <c r="Y2286" s="583">
        <f>IF(GLOBAL_DER_FEV_2023!W2286=0,0,IF(GLOBAL_DER_FEV_2023!W2286&gt;0,"c","b"))</f>
        <v>0</v>
      </c>
    </row>
    <row r="2287" spans="1:25" ht="15" hidden="1" customHeight="1" x14ac:dyDescent="0.2">
      <c r="A2287" s="317" t="s">
        <v>147</v>
      </c>
      <c r="B2287" s="895" t="s">
        <v>147</v>
      </c>
      <c r="C2287" s="896"/>
      <c r="D2287" s="906" t="s">
        <v>229</v>
      </c>
      <c r="E2287" s="907">
        <f>GLOBAL_DER_FEV_2023!E2287</f>
        <v>150</v>
      </c>
      <c r="F2287" s="908">
        <f>GLOBAL_DER_FEV_2023!F2287</f>
        <v>3.5097804149999998</v>
      </c>
      <c r="G2287" s="949">
        <f>GLOBAL_DER_FEV_2023!G2287</f>
        <v>572.72596811970004</v>
      </c>
      <c r="H2287" s="901">
        <f>GLOBAL_DER_FEV_2023!H2287</f>
        <v>0</v>
      </c>
      <c r="I2287" s="901">
        <f>GLOBAL_DER_FEV_2023!I2287</f>
        <v>0</v>
      </c>
      <c r="J2287" s="902">
        <f>GLOBAL_DER_FEV_2023!J2287</f>
        <v>0</v>
      </c>
      <c r="K2287" s="903"/>
      <c r="L2287" s="1177"/>
      <c r="M2287" s="1138">
        <f t="shared" si="172"/>
        <v>0</v>
      </c>
      <c r="N2287" s="1176">
        <f t="shared" si="176"/>
        <v>0</v>
      </c>
      <c r="O2287" s="905"/>
      <c r="P2287" s="36" t="str">
        <f>IF(N2285&gt;0,"xx",IF(N2285&gt;0,"xy",""))</f>
        <v/>
      </c>
      <c r="Q2287" s="317" t="str">
        <f t="shared" si="173"/>
        <v/>
      </c>
      <c r="R2287" s="317" t="str">
        <f t="shared" si="174"/>
        <v/>
      </c>
      <c r="S2287" s="317" t="str">
        <f t="shared" si="175"/>
        <v/>
      </c>
      <c r="T2287" s="317" t="str">
        <f>GLOBAL_DER_FEV_2023!S2287</f>
        <v/>
      </c>
      <c r="W2287" s="582">
        <v>0</v>
      </c>
      <c r="X2287" s="580"/>
      <c r="Y2287" s="583">
        <f>IF(GLOBAL_DER_FEV_2023!W2287=0,0,IF(GLOBAL_DER_FEV_2023!W2287&gt;0,"c","b"))</f>
        <v>0</v>
      </c>
    </row>
    <row r="2288" spans="1:25" ht="15" hidden="1" customHeight="1" x14ac:dyDescent="0.2">
      <c r="A2288" s="317" t="s">
        <v>147</v>
      </c>
      <c r="B2288" s="895" t="s">
        <v>147</v>
      </c>
      <c r="C2288" s="896"/>
      <c r="D2288" s="906" t="s">
        <v>233</v>
      </c>
      <c r="E2288" s="907">
        <f>GLOBAL_DER_FEV_2023!E2288</f>
        <v>0.2</v>
      </c>
      <c r="F2288" s="908">
        <f>GLOBAL_DER_FEV_2023!F2288</f>
        <v>4.18982265</v>
      </c>
      <c r="G2288" s="949">
        <f>GLOBAL_DER_FEV_2023!G2288</f>
        <v>12.1253467491</v>
      </c>
      <c r="H2288" s="901">
        <f>GLOBAL_DER_FEV_2023!H2288</f>
        <v>0</v>
      </c>
      <c r="I2288" s="901">
        <f>GLOBAL_DER_FEV_2023!I2288</f>
        <v>0</v>
      </c>
      <c r="J2288" s="902">
        <f>GLOBAL_DER_FEV_2023!J2288</f>
        <v>0</v>
      </c>
      <c r="K2288" s="903"/>
      <c r="L2288" s="1177"/>
      <c r="M2288" s="1138">
        <f t="shared" si="172"/>
        <v>0</v>
      </c>
      <c r="N2288" s="1176">
        <f t="shared" si="176"/>
        <v>0</v>
      </c>
      <c r="O2288" s="905"/>
      <c r="P2288" s="36" t="str">
        <f>IF(N2285&gt;0,"xx",IF(N2285&gt;0,"xy",""))</f>
        <v/>
      </c>
      <c r="Q2288" s="317" t="str">
        <f t="shared" si="173"/>
        <v/>
      </c>
      <c r="R2288" s="317" t="str">
        <f t="shared" si="174"/>
        <v/>
      </c>
      <c r="S2288" s="317" t="str">
        <f t="shared" si="175"/>
        <v/>
      </c>
      <c r="T2288" s="317" t="str">
        <f>GLOBAL_DER_FEV_2023!S2288</f>
        <v/>
      </c>
      <c r="W2288" s="582">
        <v>0</v>
      </c>
      <c r="X2288" s="580"/>
      <c r="Y2288" s="583">
        <f>IF(GLOBAL_DER_FEV_2023!W2288=0,0,IF(GLOBAL_DER_FEV_2023!W2288&gt;0,"c","b"))</f>
        <v>0</v>
      </c>
    </row>
    <row r="2289" spans="1:25" ht="15" hidden="1" customHeight="1" x14ac:dyDescent="0.2">
      <c r="A2289" s="317" t="s">
        <v>38</v>
      </c>
      <c r="B2289" s="895" t="s">
        <v>38</v>
      </c>
      <c r="C2289" s="896" t="s">
        <v>184</v>
      </c>
      <c r="D2289" s="906" t="s">
        <v>386</v>
      </c>
      <c r="E2289" s="907">
        <f>GLOBAL_DER_FEV_2023!E2289</f>
        <v>0</v>
      </c>
      <c r="F2289" s="908">
        <f>GLOBAL_DER_FEV_2023!F2289</f>
        <v>0</v>
      </c>
      <c r="G2289" s="912">
        <f>GLOBAL_DER_FEV_2023!G2289</f>
        <v>1394.6534975898001</v>
      </c>
      <c r="H2289" s="901">
        <f>GLOBAL_DER_FEV_2023!H2289</f>
        <v>12178.23</v>
      </c>
      <c r="I2289" s="901">
        <f>GLOBAL_DER_FEV_2023!I2289</f>
        <v>13572.883497589799</v>
      </c>
      <c r="J2289" s="902">
        <f>GLOBAL_DER_FEV_2023!J2289</f>
        <v>16296.96</v>
      </c>
      <c r="K2289" s="903" t="s">
        <v>15</v>
      </c>
      <c r="L2289" s="1137"/>
      <c r="M2289" s="1138">
        <f t="shared" si="172"/>
        <v>0</v>
      </c>
      <c r="N2289" s="1176">
        <f t="shared" si="176"/>
        <v>0</v>
      </c>
      <c r="O2289" s="905"/>
      <c r="Q2289" s="317" t="str">
        <f t="shared" si="173"/>
        <v/>
      </c>
      <c r="R2289" s="317" t="str">
        <f t="shared" si="174"/>
        <v/>
      </c>
      <c r="S2289" s="317" t="str">
        <f t="shared" si="175"/>
        <v/>
      </c>
      <c r="T2289" s="317" t="str">
        <f>GLOBAL_DER_FEV_2023!S2289</f>
        <v/>
      </c>
      <c r="W2289" s="582">
        <v>0</v>
      </c>
      <c r="X2289" s="580"/>
      <c r="Y2289" s="583">
        <f>IF(GLOBAL_DER_FEV_2023!W2289=0,0,IF(GLOBAL_DER_FEV_2023!W2289&gt;0,"c","b"))</f>
        <v>0</v>
      </c>
    </row>
    <row r="2290" spans="1:25" ht="15" hidden="1" customHeight="1" x14ac:dyDescent="0.2">
      <c r="A2290" s="317" t="s">
        <v>147</v>
      </c>
      <c r="B2290" s="895" t="s">
        <v>147</v>
      </c>
      <c r="C2290" s="896"/>
      <c r="D2290" s="906" t="s">
        <v>190</v>
      </c>
      <c r="E2290" s="907">
        <f>GLOBAL_DER_FEV_2023!E2290</f>
        <v>308</v>
      </c>
      <c r="F2290" s="908">
        <f>GLOBAL_DER_FEV_2023!F2290</f>
        <v>1.9087789500000001</v>
      </c>
      <c r="G2290" s="909">
        <f>GLOBAL_DER_FEV_2023!G2290</f>
        <v>473.49170633700004</v>
      </c>
      <c r="H2290" s="901">
        <f>GLOBAL_DER_FEV_2023!H2290</f>
        <v>0</v>
      </c>
      <c r="I2290" s="901">
        <f>GLOBAL_DER_FEV_2023!I2290</f>
        <v>0</v>
      </c>
      <c r="J2290" s="902">
        <f>GLOBAL_DER_FEV_2023!J2290</f>
        <v>0</v>
      </c>
      <c r="K2290" s="903"/>
      <c r="L2290" s="1177"/>
      <c r="M2290" s="1138">
        <f t="shared" si="172"/>
        <v>0</v>
      </c>
      <c r="N2290" s="1176">
        <f t="shared" si="176"/>
        <v>0</v>
      </c>
      <c r="O2290" s="905"/>
      <c r="P2290" s="36" t="str">
        <f>IF(N2289&gt;0,"xx",IF(N2289&gt;0,"xy",""))</f>
        <v/>
      </c>
      <c r="Q2290" s="317" t="str">
        <f t="shared" si="173"/>
        <v/>
      </c>
      <c r="R2290" s="317" t="str">
        <f t="shared" si="174"/>
        <v/>
      </c>
      <c r="S2290" s="317" t="str">
        <f t="shared" si="175"/>
        <v/>
      </c>
      <c r="T2290" s="317" t="str">
        <f>GLOBAL_DER_FEV_2023!S2290</f>
        <v/>
      </c>
      <c r="W2290" s="582">
        <v>0</v>
      </c>
      <c r="X2290" s="580"/>
      <c r="Y2290" s="583">
        <f>IF(GLOBAL_DER_FEV_2023!W2290=0,0,IF(GLOBAL_DER_FEV_2023!W2290&gt;0,"c","b"))</f>
        <v>0</v>
      </c>
    </row>
    <row r="2291" spans="1:25" ht="15" hidden="1" customHeight="1" x14ac:dyDescent="0.2">
      <c r="A2291" s="317" t="s">
        <v>147</v>
      </c>
      <c r="B2291" s="895" t="s">
        <v>147</v>
      </c>
      <c r="C2291" s="896"/>
      <c r="D2291" s="906" t="s">
        <v>229</v>
      </c>
      <c r="E2291" s="907">
        <f>GLOBAL_DER_FEV_2023!E2291</f>
        <v>150</v>
      </c>
      <c r="F2291" s="908">
        <f>GLOBAL_DER_FEV_2023!F2291</f>
        <v>5.5279776150000002</v>
      </c>
      <c r="G2291" s="949">
        <f>GLOBAL_DER_FEV_2023!G2291</f>
        <v>902.05538721570008</v>
      </c>
      <c r="H2291" s="901">
        <f>GLOBAL_DER_FEV_2023!H2291</f>
        <v>0</v>
      </c>
      <c r="I2291" s="901">
        <f>GLOBAL_DER_FEV_2023!I2291</f>
        <v>0</v>
      </c>
      <c r="J2291" s="902">
        <f>GLOBAL_DER_FEV_2023!J2291</f>
        <v>0</v>
      </c>
      <c r="K2291" s="903"/>
      <c r="L2291" s="1177"/>
      <c r="M2291" s="1138">
        <f t="shared" si="172"/>
        <v>0</v>
      </c>
      <c r="N2291" s="1176">
        <f t="shared" si="176"/>
        <v>0</v>
      </c>
      <c r="O2291" s="905"/>
      <c r="P2291" s="36" t="str">
        <f>IF(N2289&gt;0,"xx",IF(N2289&gt;0,"xy",""))</f>
        <v/>
      </c>
      <c r="Q2291" s="317" t="str">
        <f t="shared" si="173"/>
        <v/>
      </c>
      <c r="R2291" s="317" t="str">
        <f t="shared" si="174"/>
        <v/>
      </c>
      <c r="S2291" s="317" t="str">
        <f t="shared" si="175"/>
        <v/>
      </c>
      <c r="T2291" s="317" t="str">
        <f>GLOBAL_DER_FEV_2023!S2291</f>
        <v/>
      </c>
      <c r="W2291" s="582">
        <v>0</v>
      </c>
      <c r="X2291" s="580"/>
      <c r="Y2291" s="583">
        <f>IF(GLOBAL_DER_FEV_2023!W2291=0,0,IF(GLOBAL_DER_FEV_2023!W2291&gt;0,"c","b"))</f>
        <v>0</v>
      </c>
    </row>
    <row r="2292" spans="1:25" ht="15" hidden="1" customHeight="1" x14ac:dyDescent="0.2">
      <c r="A2292" s="317" t="s">
        <v>147</v>
      </c>
      <c r="B2292" s="895" t="s">
        <v>147</v>
      </c>
      <c r="C2292" s="896"/>
      <c r="D2292" s="906" t="s">
        <v>233</v>
      </c>
      <c r="E2292" s="907">
        <f>GLOBAL_DER_FEV_2023!E2292</f>
        <v>0.2</v>
      </c>
      <c r="F2292" s="908">
        <f>GLOBAL_DER_FEV_2023!F2292</f>
        <v>6.6020746500000005</v>
      </c>
      <c r="G2292" s="949">
        <f>GLOBAL_DER_FEV_2023!G2292</f>
        <v>19.106404037100003</v>
      </c>
      <c r="H2292" s="901">
        <f>GLOBAL_DER_FEV_2023!H2292</f>
        <v>0</v>
      </c>
      <c r="I2292" s="901">
        <f>GLOBAL_DER_FEV_2023!I2292</f>
        <v>0</v>
      </c>
      <c r="J2292" s="902">
        <f>GLOBAL_DER_FEV_2023!J2292</f>
        <v>0</v>
      </c>
      <c r="K2292" s="903"/>
      <c r="L2292" s="1177"/>
      <c r="M2292" s="1138">
        <f t="shared" si="172"/>
        <v>0</v>
      </c>
      <c r="N2292" s="1176">
        <f t="shared" si="176"/>
        <v>0</v>
      </c>
      <c r="O2292" s="905"/>
      <c r="P2292" s="36" t="str">
        <f>IF(N2289&gt;0,"xx",IF(N2289&gt;0,"xy",""))</f>
        <v/>
      </c>
      <c r="Q2292" s="317" t="str">
        <f t="shared" si="173"/>
        <v/>
      </c>
      <c r="R2292" s="317" t="str">
        <f t="shared" si="174"/>
        <v/>
      </c>
      <c r="S2292" s="317" t="str">
        <f t="shared" si="175"/>
        <v/>
      </c>
      <c r="T2292" s="317" t="str">
        <f>GLOBAL_DER_FEV_2023!S2292</f>
        <v/>
      </c>
      <c r="W2292" s="582">
        <v>0</v>
      </c>
      <c r="X2292" s="580"/>
      <c r="Y2292" s="583">
        <f>IF(GLOBAL_DER_FEV_2023!W2292=0,0,IF(GLOBAL_DER_FEV_2023!W2292&gt;0,"c","b"))</f>
        <v>0</v>
      </c>
    </row>
    <row r="2293" spans="1:25" ht="15" hidden="1" customHeight="1" x14ac:dyDescent="0.2">
      <c r="A2293" s="317" t="s">
        <v>115</v>
      </c>
      <c r="B2293" s="895" t="s">
        <v>115</v>
      </c>
      <c r="C2293" s="896" t="s">
        <v>184</v>
      </c>
      <c r="D2293" s="906" t="s">
        <v>127</v>
      </c>
      <c r="E2293" s="907">
        <f>GLOBAL_DER_FEV_2023!E2293</f>
        <v>0</v>
      </c>
      <c r="F2293" s="908">
        <f>GLOBAL_DER_FEV_2023!F2293</f>
        <v>0</v>
      </c>
      <c r="G2293" s="912">
        <f>GLOBAL_DER_FEV_2023!G2293</f>
        <v>297.06389396200001</v>
      </c>
      <c r="H2293" s="901">
        <f>GLOBAL_DER_FEV_2023!H2293</f>
        <v>2203.7800000000002</v>
      </c>
      <c r="I2293" s="901">
        <f>GLOBAL_DER_FEV_2023!I2293</f>
        <v>2500.843893962</v>
      </c>
      <c r="J2293" s="902">
        <f>GLOBAL_DER_FEV_2023!J2293</f>
        <v>3002.76</v>
      </c>
      <c r="K2293" s="903" t="s">
        <v>15</v>
      </c>
      <c r="L2293" s="1137"/>
      <c r="M2293" s="1138">
        <f t="shared" si="172"/>
        <v>0</v>
      </c>
      <c r="N2293" s="1176">
        <f t="shared" si="176"/>
        <v>0</v>
      </c>
      <c r="O2293" s="905"/>
      <c r="Q2293" s="317" t="str">
        <f t="shared" si="173"/>
        <v/>
      </c>
      <c r="R2293" s="317" t="str">
        <f t="shared" si="174"/>
        <v/>
      </c>
      <c r="S2293" s="317" t="str">
        <f t="shared" si="175"/>
        <v/>
      </c>
      <c r="T2293" s="317" t="str">
        <f>GLOBAL_DER_FEV_2023!S2293</f>
        <v/>
      </c>
      <c r="W2293" s="582">
        <v>0</v>
      </c>
      <c r="X2293" s="580"/>
      <c r="Y2293" s="583">
        <f>IF(GLOBAL_DER_FEV_2023!W2293=0,0,IF(GLOBAL_DER_FEV_2023!W2293&gt;0,"c","b"))</f>
        <v>0</v>
      </c>
    </row>
    <row r="2294" spans="1:25" ht="15" hidden="1" customHeight="1" x14ac:dyDescent="0.2">
      <c r="A2294" s="317" t="s">
        <v>147</v>
      </c>
      <c r="B2294" s="895" t="s">
        <v>147</v>
      </c>
      <c r="C2294" s="896"/>
      <c r="D2294" s="906" t="s">
        <v>190</v>
      </c>
      <c r="E2294" s="907">
        <f>GLOBAL_DER_FEV_2023!E2294</f>
        <v>308</v>
      </c>
      <c r="F2294" s="908">
        <f>GLOBAL_DER_FEV_2023!F2294</f>
        <v>0.35276220000000008</v>
      </c>
      <c r="G2294" s="909">
        <f>GLOBAL_DER_FEV_2023!G2294</f>
        <v>87.506191332000014</v>
      </c>
      <c r="H2294" s="901">
        <f>GLOBAL_DER_FEV_2023!H2294</f>
        <v>0</v>
      </c>
      <c r="I2294" s="901">
        <f>GLOBAL_DER_FEV_2023!I2294</f>
        <v>0</v>
      </c>
      <c r="J2294" s="902">
        <f>GLOBAL_DER_FEV_2023!J2294</f>
        <v>0</v>
      </c>
      <c r="K2294" s="903"/>
      <c r="L2294" s="1177"/>
      <c r="M2294" s="1138">
        <f t="shared" si="172"/>
        <v>0</v>
      </c>
      <c r="N2294" s="1176">
        <f t="shared" si="176"/>
        <v>0</v>
      </c>
      <c r="O2294" s="905"/>
      <c r="P2294" s="36" t="str">
        <f>IF(N2293&gt;0,"xx",IF(N2293&gt;0,"xy",""))</f>
        <v/>
      </c>
      <c r="Q2294" s="317" t="str">
        <f t="shared" si="173"/>
        <v/>
      </c>
      <c r="R2294" s="317" t="str">
        <f t="shared" si="174"/>
        <v/>
      </c>
      <c r="S2294" s="317" t="str">
        <f t="shared" si="175"/>
        <v/>
      </c>
      <c r="T2294" s="317" t="str">
        <f>GLOBAL_DER_FEV_2023!S2294</f>
        <v/>
      </c>
      <c r="W2294" s="582">
        <v>0</v>
      </c>
      <c r="X2294" s="580"/>
      <c r="Y2294" s="583">
        <f>IF(GLOBAL_DER_FEV_2023!W2294=0,0,IF(GLOBAL_DER_FEV_2023!W2294&gt;0,"c","b"))</f>
        <v>0</v>
      </c>
    </row>
    <row r="2295" spans="1:25" ht="15" hidden="1" customHeight="1" x14ac:dyDescent="0.2">
      <c r="A2295" s="317" t="s">
        <v>147</v>
      </c>
      <c r="B2295" s="895" t="s">
        <v>147</v>
      </c>
      <c r="C2295" s="896"/>
      <c r="D2295" s="906" t="s">
        <v>229</v>
      </c>
      <c r="E2295" s="907">
        <f>GLOBAL_DER_FEV_2023!E2295</f>
        <v>150</v>
      </c>
      <c r="F2295" s="908">
        <f>GLOBAL_DER_FEV_2023!F2295</f>
        <v>1.1888125000000003</v>
      </c>
      <c r="G2295" s="949">
        <f>GLOBAL_DER_FEV_2023!G2295</f>
        <v>193.99042375000005</v>
      </c>
      <c r="H2295" s="901">
        <f>GLOBAL_DER_FEV_2023!H2295</f>
        <v>0</v>
      </c>
      <c r="I2295" s="901">
        <f>GLOBAL_DER_FEV_2023!I2295</f>
        <v>0</v>
      </c>
      <c r="J2295" s="902">
        <f>GLOBAL_DER_FEV_2023!J2295</f>
        <v>0</v>
      </c>
      <c r="K2295" s="903"/>
      <c r="L2295" s="1177"/>
      <c r="M2295" s="1138">
        <f t="shared" si="172"/>
        <v>0</v>
      </c>
      <c r="N2295" s="1176">
        <f t="shared" si="176"/>
        <v>0</v>
      </c>
      <c r="O2295" s="905"/>
      <c r="P2295" s="36" t="str">
        <f>IF(N2293&gt;0,"xx",IF(N2293&gt;0,"xy",""))</f>
        <v/>
      </c>
      <c r="Q2295" s="317" t="str">
        <f t="shared" si="173"/>
        <v/>
      </c>
      <c r="R2295" s="317" t="str">
        <f t="shared" si="174"/>
        <v/>
      </c>
      <c r="S2295" s="317" t="str">
        <f t="shared" si="175"/>
        <v/>
      </c>
      <c r="T2295" s="317" t="str">
        <f>GLOBAL_DER_FEV_2023!S2295</f>
        <v/>
      </c>
      <c r="W2295" s="582">
        <v>0</v>
      </c>
      <c r="X2295" s="580"/>
      <c r="Y2295" s="583">
        <f>IF(GLOBAL_DER_FEV_2023!W2295=0,0,IF(GLOBAL_DER_FEV_2023!W2295&gt;0,"c","b"))</f>
        <v>0</v>
      </c>
    </row>
    <row r="2296" spans="1:25" ht="15" hidden="1" customHeight="1" x14ac:dyDescent="0.2">
      <c r="A2296" s="317" t="s">
        <v>147</v>
      </c>
      <c r="B2296" s="895" t="s">
        <v>147</v>
      </c>
      <c r="C2296" s="896"/>
      <c r="D2296" s="906" t="s">
        <v>233</v>
      </c>
      <c r="E2296" s="907">
        <f>GLOBAL_DER_FEV_2023!E2296</f>
        <v>0.2</v>
      </c>
      <c r="F2296" s="908">
        <f>GLOBAL_DER_FEV_2023!F2296</f>
        <v>1.1100000000000001</v>
      </c>
      <c r="G2296" s="949">
        <f>GLOBAL_DER_FEV_2023!G2296</f>
        <v>3.2123400000000006</v>
      </c>
      <c r="H2296" s="901">
        <f>GLOBAL_DER_FEV_2023!H2296</f>
        <v>0</v>
      </c>
      <c r="I2296" s="901">
        <f>GLOBAL_DER_FEV_2023!I2296</f>
        <v>0</v>
      </c>
      <c r="J2296" s="902">
        <f>GLOBAL_DER_FEV_2023!J2296</f>
        <v>0</v>
      </c>
      <c r="K2296" s="903"/>
      <c r="L2296" s="1177"/>
      <c r="M2296" s="1138">
        <f t="shared" si="172"/>
        <v>0</v>
      </c>
      <c r="N2296" s="1176">
        <f t="shared" si="176"/>
        <v>0</v>
      </c>
      <c r="O2296" s="905"/>
      <c r="P2296" s="36" t="str">
        <f>IF(N2293&gt;0,"xx",IF(N2293&gt;0,"xy",""))</f>
        <v/>
      </c>
      <c r="Q2296" s="317" t="str">
        <f t="shared" si="173"/>
        <v/>
      </c>
      <c r="R2296" s="317" t="str">
        <f t="shared" si="174"/>
        <v/>
      </c>
      <c r="S2296" s="317" t="str">
        <f t="shared" si="175"/>
        <v/>
      </c>
      <c r="T2296" s="317" t="str">
        <f>GLOBAL_DER_FEV_2023!S2296</f>
        <v/>
      </c>
      <c r="W2296" s="582">
        <v>0</v>
      </c>
      <c r="X2296" s="580"/>
      <c r="Y2296" s="583">
        <f>IF(GLOBAL_DER_FEV_2023!W2296=0,0,IF(GLOBAL_DER_FEV_2023!W2296&gt;0,"c","b"))</f>
        <v>0</v>
      </c>
    </row>
    <row r="2297" spans="1:25" ht="15" hidden="1" customHeight="1" x14ac:dyDescent="0.2">
      <c r="A2297" s="317" t="s">
        <v>147</v>
      </c>
      <c r="B2297" s="895" t="s">
        <v>147</v>
      </c>
      <c r="C2297" s="896"/>
      <c r="D2297" s="906" t="s">
        <v>365</v>
      </c>
      <c r="E2297" s="907">
        <f>GLOBAL_DER_FEV_2023!E2297</f>
        <v>10</v>
      </c>
      <c r="F2297" s="908">
        <f>GLOBAL_DER_FEV_2023!F2297</f>
        <v>0.54144000000000003</v>
      </c>
      <c r="G2297" s="949">
        <f>GLOBAL_DER_FEV_2023!G2297</f>
        <v>7.2444672000000008</v>
      </c>
      <c r="H2297" s="901">
        <f>GLOBAL_DER_FEV_2023!H2297</f>
        <v>0</v>
      </c>
      <c r="I2297" s="901">
        <f>GLOBAL_DER_FEV_2023!I2297</f>
        <v>0</v>
      </c>
      <c r="J2297" s="902">
        <f>GLOBAL_DER_FEV_2023!J2297</f>
        <v>0</v>
      </c>
      <c r="K2297" s="903"/>
      <c r="L2297" s="1177"/>
      <c r="M2297" s="1138">
        <f t="shared" si="172"/>
        <v>0</v>
      </c>
      <c r="N2297" s="1176">
        <f t="shared" si="176"/>
        <v>0</v>
      </c>
      <c r="O2297" s="905"/>
      <c r="P2297" s="36" t="str">
        <f>IF(N2293&gt;0,"xx",IF(N2293&gt;0,"xy",""))</f>
        <v/>
      </c>
      <c r="Q2297" s="317" t="str">
        <f t="shared" si="173"/>
        <v/>
      </c>
      <c r="R2297" s="317" t="str">
        <f t="shared" si="174"/>
        <v/>
      </c>
      <c r="S2297" s="317" t="str">
        <f t="shared" si="175"/>
        <v/>
      </c>
      <c r="T2297" s="317" t="str">
        <f>GLOBAL_DER_FEV_2023!S2297</f>
        <v/>
      </c>
      <c r="W2297" s="582">
        <v>0</v>
      </c>
      <c r="X2297" s="580"/>
      <c r="Y2297" s="583">
        <f>IF(GLOBAL_DER_FEV_2023!W2297=0,0,IF(GLOBAL_DER_FEV_2023!W2297&gt;0,"c","b"))</f>
        <v>0</v>
      </c>
    </row>
    <row r="2298" spans="1:25" ht="15" hidden="1" customHeight="1" x14ac:dyDescent="0.2">
      <c r="A2298" s="317" t="s">
        <v>147</v>
      </c>
      <c r="B2298" s="895" t="s">
        <v>147</v>
      </c>
      <c r="C2298" s="896"/>
      <c r="D2298" s="906" t="s">
        <v>366</v>
      </c>
      <c r="E2298" s="907">
        <f>GLOBAL_DER_FEV_2023!E2298</f>
        <v>353</v>
      </c>
      <c r="F2298" s="908">
        <f>GLOBAL_DER_FEV_2023!F2298</f>
        <v>1.8048000000000002E-2</v>
      </c>
      <c r="G2298" s="909">
        <f>GLOBAL_DER_FEV_2023!G2298</f>
        <v>5.1104716800000007</v>
      </c>
      <c r="H2298" s="901">
        <f>GLOBAL_DER_FEV_2023!H2298</f>
        <v>0</v>
      </c>
      <c r="I2298" s="901">
        <f>GLOBAL_DER_FEV_2023!I2298</f>
        <v>0</v>
      </c>
      <c r="J2298" s="902">
        <f>GLOBAL_DER_FEV_2023!J2298</f>
        <v>0</v>
      </c>
      <c r="K2298" s="903"/>
      <c r="L2298" s="1177"/>
      <c r="M2298" s="1138">
        <f t="shared" si="172"/>
        <v>0</v>
      </c>
      <c r="N2298" s="1176">
        <f t="shared" si="176"/>
        <v>0</v>
      </c>
      <c r="O2298" s="905"/>
      <c r="P2298" s="36" t="str">
        <f>IF(N2293&gt;0,"xx",IF(N2293&gt;0,"xy",""))</f>
        <v/>
      </c>
      <c r="Q2298" s="317" t="str">
        <f t="shared" si="173"/>
        <v/>
      </c>
      <c r="R2298" s="317" t="str">
        <f t="shared" si="174"/>
        <v/>
      </c>
      <c r="S2298" s="317" t="str">
        <f t="shared" si="175"/>
        <v/>
      </c>
      <c r="T2298" s="317" t="str">
        <f>GLOBAL_DER_FEV_2023!S2298</f>
        <v/>
      </c>
      <c r="W2298" s="582">
        <v>0</v>
      </c>
      <c r="X2298" s="580"/>
      <c r="Y2298" s="583">
        <f>IF(GLOBAL_DER_FEV_2023!W2298=0,0,IF(GLOBAL_DER_FEV_2023!W2298&gt;0,"c","b"))</f>
        <v>0</v>
      </c>
    </row>
    <row r="2299" spans="1:25" ht="15" hidden="1" customHeight="1" x14ac:dyDescent="0.2">
      <c r="A2299" s="317" t="s">
        <v>116</v>
      </c>
      <c r="B2299" s="895" t="s">
        <v>116</v>
      </c>
      <c r="C2299" s="896" t="s">
        <v>184</v>
      </c>
      <c r="D2299" s="906" t="s">
        <v>128</v>
      </c>
      <c r="E2299" s="907">
        <f>GLOBAL_DER_FEV_2023!E2299</f>
        <v>0</v>
      </c>
      <c r="F2299" s="908">
        <f>GLOBAL_DER_FEV_2023!F2299</f>
        <v>0</v>
      </c>
      <c r="G2299" s="912">
        <f>GLOBAL_DER_FEV_2023!G2299</f>
        <v>336.54402421599991</v>
      </c>
      <c r="H2299" s="901">
        <f>GLOBAL_DER_FEV_2023!H2299</f>
        <v>2425.58</v>
      </c>
      <c r="I2299" s="901">
        <f>GLOBAL_DER_FEV_2023!I2299</f>
        <v>2762.1240242159997</v>
      </c>
      <c r="J2299" s="902">
        <f>GLOBAL_DER_FEV_2023!J2299</f>
        <v>3316.48</v>
      </c>
      <c r="K2299" s="903" t="s">
        <v>15</v>
      </c>
      <c r="L2299" s="1137"/>
      <c r="M2299" s="1138">
        <f t="shared" si="172"/>
        <v>0</v>
      </c>
      <c r="N2299" s="1176">
        <f t="shared" si="176"/>
        <v>0</v>
      </c>
      <c r="O2299" s="905"/>
      <c r="Q2299" s="317" t="str">
        <f t="shared" si="173"/>
        <v/>
      </c>
      <c r="R2299" s="317" t="str">
        <f t="shared" si="174"/>
        <v/>
      </c>
      <c r="S2299" s="317" t="str">
        <f t="shared" si="175"/>
        <v/>
      </c>
      <c r="T2299" s="317" t="str">
        <f>GLOBAL_DER_FEV_2023!S2299</f>
        <v/>
      </c>
      <c r="W2299" s="582">
        <v>0</v>
      </c>
      <c r="X2299" s="580"/>
      <c r="Y2299" s="583">
        <f>IF(GLOBAL_DER_FEV_2023!W2299=0,0,IF(GLOBAL_DER_FEV_2023!W2299&gt;0,"c","b"))</f>
        <v>0</v>
      </c>
    </row>
    <row r="2300" spans="1:25" ht="15" hidden="1" customHeight="1" x14ac:dyDescent="0.2">
      <c r="A2300" s="317" t="s">
        <v>147</v>
      </c>
      <c r="B2300" s="895" t="s">
        <v>147</v>
      </c>
      <c r="C2300" s="896"/>
      <c r="D2300" s="906" t="s">
        <v>190</v>
      </c>
      <c r="E2300" s="907">
        <f>GLOBAL_DER_FEV_2023!E2300</f>
        <v>308</v>
      </c>
      <c r="F2300" s="908">
        <f>GLOBAL_DER_FEV_2023!F2300</f>
        <v>0.38489359999999995</v>
      </c>
      <c r="G2300" s="909">
        <f>GLOBAL_DER_FEV_2023!G2300</f>
        <v>95.476706415999985</v>
      </c>
      <c r="H2300" s="901">
        <f>GLOBAL_DER_FEV_2023!H2300</f>
        <v>0</v>
      </c>
      <c r="I2300" s="901">
        <f>GLOBAL_DER_FEV_2023!I2300</f>
        <v>0</v>
      </c>
      <c r="J2300" s="902">
        <f>GLOBAL_DER_FEV_2023!J2300</f>
        <v>0</v>
      </c>
      <c r="K2300" s="903"/>
      <c r="L2300" s="1177"/>
      <c r="M2300" s="1138">
        <f t="shared" si="172"/>
        <v>0</v>
      </c>
      <c r="N2300" s="1176">
        <f t="shared" si="176"/>
        <v>0</v>
      </c>
      <c r="O2300" s="905"/>
      <c r="P2300" s="36" t="str">
        <f>IF(N2299&gt;0,"xx",IF(N2299&gt;0,"xy",""))</f>
        <v/>
      </c>
      <c r="Q2300" s="317" t="str">
        <f t="shared" si="173"/>
        <v/>
      </c>
      <c r="R2300" s="317" t="str">
        <f t="shared" si="174"/>
        <v/>
      </c>
      <c r="S2300" s="317" t="str">
        <f t="shared" si="175"/>
        <v/>
      </c>
      <c r="T2300" s="317" t="str">
        <f>GLOBAL_DER_FEV_2023!S2300</f>
        <v/>
      </c>
      <c r="W2300" s="582">
        <v>0</v>
      </c>
      <c r="X2300" s="580"/>
      <c r="Y2300" s="583">
        <f>IF(GLOBAL_DER_FEV_2023!W2300=0,0,IF(GLOBAL_DER_FEV_2023!W2300&gt;0,"c","b"))</f>
        <v>0</v>
      </c>
    </row>
    <row r="2301" spans="1:25" ht="15" hidden="1" customHeight="1" x14ac:dyDescent="0.2">
      <c r="A2301" s="317" t="s">
        <v>147</v>
      </c>
      <c r="B2301" s="895" t="s">
        <v>147</v>
      </c>
      <c r="C2301" s="896"/>
      <c r="D2301" s="906" t="s">
        <v>229</v>
      </c>
      <c r="E2301" s="907">
        <f>GLOBAL_DER_FEV_2023!E2301</f>
        <v>150</v>
      </c>
      <c r="F2301" s="908">
        <f>GLOBAL_DER_FEV_2023!F2301</f>
        <v>1.3499699999999999</v>
      </c>
      <c r="G2301" s="949">
        <f>GLOBAL_DER_FEV_2023!G2301</f>
        <v>220.2881046</v>
      </c>
      <c r="H2301" s="901">
        <f>GLOBAL_DER_FEV_2023!H2301</f>
        <v>0</v>
      </c>
      <c r="I2301" s="901">
        <f>GLOBAL_DER_FEV_2023!I2301</f>
        <v>0</v>
      </c>
      <c r="J2301" s="902">
        <f>GLOBAL_DER_FEV_2023!J2301</f>
        <v>0</v>
      </c>
      <c r="K2301" s="903"/>
      <c r="L2301" s="1177"/>
      <c r="M2301" s="1138">
        <f t="shared" si="172"/>
        <v>0</v>
      </c>
      <c r="N2301" s="1176">
        <f t="shared" si="176"/>
        <v>0</v>
      </c>
      <c r="O2301" s="905"/>
      <c r="P2301" s="36" t="str">
        <f>IF(N2299&gt;0,"xx",IF(N2299&gt;0,"xy",""))</f>
        <v/>
      </c>
      <c r="Q2301" s="317" t="str">
        <f t="shared" si="173"/>
        <v/>
      </c>
      <c r="R2301" s="317" t="str">
        <f t="shared" si="174"/>
        <v/>
      </c>
      <c r="S2301" s="317" t="str">
        <f t="shared" si="175"/>
        <v/>
      </c>
      <c r="T2301" s="317" t="str">
        <f>GLOBAL_DER_FEV_2023!S2301</f>
        <v/>
      </c>
      <c r="W2301" s="582">
        <v>0</v>
      </c>
      <c r="X2301" s="580"/>
      <c r="Y2301" s="583">
        <f>IF(GLOBAL_DER_FEV_2023!W2301=0,0,IF(GLOBAL_DER_FEV_2023!W2301&gt;0,"c","b"))</f>
        <v>0</v>
      </c>
    </row>
    <row r="2302" spans="1:25" ht="15" hidden="1" customHeight="1" x14ac:dyDescent="0.2">
      <c r="A2302" s="317" t="s">
        <v>147</v>
      </c>
      <c r="B2302" s="895" t="s">
        <v>147</v>
      </c>
      <c r="C2302" s="896"/>
      <c r="D2302" s="906" t="s">
        <v>233</v>
      </c>
      <c r="E2302" s="907">
        <f>GLOBAL_DER_FEV_2023!E2302</f>
        <v>0.2</v>
      </c>
      <c r="F2302" s="908">
        <f>GLOBAL_DER_FEV_2023!F2302</f>
        <v>1.1766000000000001</v>
      </c>
      <c r="G2302" s="949">
        <f>GLOBAL_DER_FEV_2023!G2302</f>
        <v>3.4050804000000006</v>
      </c>
      <c r="H2302" s="901">
        <f>GLOBAL_DER_FEV_2023!H2302</f>
        <v>0</v>
      </c>
      <c r="I2302" s="901">
        <f>GLOBAL_DER_FEV_2023!I2302</f>
        <v>0</v>
      </c>
      <c r="J2302" s="902">
        <f>GLOBAL_DER_FEV_2023!J2302</f>
        <v>0</v>
      </c>
      <c r="K2302" s="903"/>
      <c r="L2302" s="1177"/>
      <c r="M2302" s="1138">
        <f t="shared" si="172"/>
        <v>0</v>
      </c>
      <c r="N2302" s="1176">
        <f t="shared" si="176"/>
        <v>0</v>
      </c>
      <c r="O2302" s="905"/>
      <c r="P2302" s="36" t="str">
        <f>IF(N2299&gt;0,"xx",IF(N2299&gt;0,"xy",""))</f>
        <v/>
      </c>
      <c r="Q2302" s="317" t="str">
        <f t="shared" si="173"/>
        <v/>
      </c>
      <c r="R2302" s="317" t="str">
        <f t="shared" si="174"/>
        <v/>
      </c>
      <c r="S2302" s="317" t="str">
        <f t="shared" si="175"/>
        <v/>
      </c>
      <c r="T2302" s="317" t="str">
        <f>GLOBAL_DER_FEV_2023!S2302</f>
        <v/>
      </c>
      <c r="W2302" s="582">
        <v>0</v>
      </c>
      <c r="X2302" s="580"/>
      <c r="Y2302" s="583">
        <f>IF(GLOBAL_DER_FEV_2023!W2302=0,0,IF(GLOBAL_DER_FEV_2023!W2302&gt;0,"c","b"))</f>
        <v>0</v>
      </c>
    </row>
    <row r="2303" spans="1:25" ht="15" hidden="1" customHeight="1" x14ac:dyDescent="0.2">
      <c r="A2303" s="317" t="s">
        <v>147</v>
      </c>
      <c r="B2303" s="895" t="s">
        <v>147</v>
      </c>
      <c r="C2303" s="896"/>
      <c r="D2303" s="906" t="s">
        <v>365</v>
      </c>
      <c r="E2303" s="907">
        <f>GLOBAL_DER_FEV_2023!E2303</f>
        <v>10</v>
      </c>
      <c r="F2303" s="908">
        <f>GLOBAL_DER_FEV_2023!F2303</f>
        <v>0.76139999999999997</v>
      </c>
      <c r="G2303" s="949">
        <f>GLOBAL_DER_FEV_2023!G2303</f>
        <v>10.187532000000001</v>
      </c>
      <c r="H2303" s="901">
        <f>GLOBAL_DER_FEV_2023!H2303</f>
        <v>0</v>
      </c>
      <c r="I2303" s="901">
        <f>GLOBAL_DER_FEV_2023!I2303</f>
        <v>0</v>
      </c>
      <c r="J2303" s="902">
        <f>GLOBAL_DER_FEV_2023!J2303</f>
        <v>0</v>
      </c>
      <c r="K2303" s="903"/>
      <c r="L2303" s="1177"/>
      <c r="M2303" s="1138">
        <f t="shared" si="172"/>
        <v>0</v>
      </c>
      <c r="N2303" s="1176">
        <f t="shared" si="176"/>
        <v>0</v>
      </c>
      <c r="O2303" s="905"/>
      <c r="P2303" s="36" t="str">
        <f>IF(N2299&gt;0,"xx",IF(N2299&gt;0,"xy",""))</f>
        <v/>
      </c>
      <c r="Q2303" s="317" t="str">
        <f t="shared" si="173"/>
        <v/>
      </c>
      <c r="R2303" s="317" t="str">
        <f t="shared" si="174"/>
        <v/>
      </c>
      <c r="S2303" s="317" t="str">
        <f t="shared" si="175"/>
        <v/>
      </c>
      <c r="T2303" s="317" t="str">
        <f>GLOBAL_DER_FEV_2023!S2303</f>
        <v/>
      </c>
      <c r="W2303" s="582">
        <v>0</v>
      </c>
      <c r="X2303" s="580"/>
      <c r="Y2303" s="583">
        <f>IF(GLOBAL_DER_FEV_2023!W2303=0,0,IF(GLOBAL_DER_FEV_2023!W2303&gt;0,"c","b"))</f>
        <v>0</v>
      </c>
    </row>
    <row r="2304" spans="1:25" ht="15" hidden="1" customHeight="1" x14ac:dyDescent="0.2">
      <c r="A2304" s="317" t="s">
        <v>147</v>
      </c>
      <c r="B2304" s="895" t="s">
        <v>147</v>
      </c>
      <c r="C2304" s="896"/>
      <c r="D2304" s="906" t="s">
        <v>366</v>
      </c>
      <c r="E2304" s="907">
        <f>GLOBAL_DER_FEV_2023!E2304</f>
        <v>353</v>
      </c>
      <c r="F2304" s="908">
        <f>GLOBAL_DER_FEV_2023!F2304</f>
        <v>2.538E-2</v>
      </c>
      <c r="G2304" s="909">
        <f>GLOBAL_DER_FEV_2023!G2304</f>
        <v>7.1866008000000008</v>
      </c>
      <c r="H2304" s="901">
        <f>GLOBAL_DER_FEV_2023!H2304</f>
        <v>0</v>
      </c>
      <c r="I2304" s="901">
        <f>GLOBAL_DER_FEV_2023!I2304</f>
        <v>0</v>
      </c>
      <c r="J2304" s="902">
        <f>GLOBAL_DER_FEV_2023!J2304</f>
        <v>0</v>
      </c>
      <c r="K2304" s="903"/>
      <c r="L2304" s="1177"/>
      <c r="M2304" s="1138">
        <f t="shared" si="172"/>
        <v>0</v>
      </c>
      <c r="N2304" s="1176">
        <f t="shared" si="176"/>
        <v>0</v>
      </c>
      <c r="O2304" s="905"/>
      <c r="P2304" s="36" t="str">
        <f>IF(N2299&gt;0,"xx",IF(N2299&gt;0,"xy",""))</f>
        <v/>
      </c>
      <c r="Q2304" s="317" t="str">
        <f t="shared" si="173"/>
        <v/>
      </c>
      <c r="R2304" s="317" t="str">
        <f t="shared" si="174"/>
        <v/>
      </c>
      <c r="S2304" s="317" t="str">
        <f t="shared" si="175"/>
        <v/>
      </c>
      <c r="T2304" s="317" t="str">
        <f>GLOBAL_DER_FEV_2023!S2304</f>
        <v/>
      </c>
      <c r="W2304" s="582">
        <v>0</v>
      </c>
      <c r="X2304" s="580"/>
      <c r="Y2304" s="583">
        <f>IF(GLOBAL_DER_FEV_2023!W2304=0,0,IF(GLOBAL_DER_FEV_2023!W2304&gt;0,"c","b"))</f>
        <v>0</v>
      </c>
    </row>
    <row r="2305" spans="1:25" ht="15" hidden="1" customHeight="1" x14ac:dyDescent="0.2">
      <c r="A2305" s="317" t="s">
        <v>117</v>
      </c>
      <c r="B2305" s="895" t="s">
        <v>117</v>
      </c>
      <c r="C2305" s="896" t="s">
        <v>184</v>
      </c>
      <c r="D2305" s="906" t="s">
        <v>129</v>
      </c>
      <c r="E2305" s="907">
        <f>GLOBAL_DER_FEV_2023!E2305</f>
        <v>0</v>
      </c>
      <c r="F2305" s="908">
        <f>GLOBAL_DER_FEV_2023!F2305</f>
        <v>0</v>
      </c>
      <c r="G2305" s="912">
        <f>GLOBAL_DER_FEV_2023!G2305</f>
        <v>393.71938332399998</v>
      </c>
      <c r="H2305" s="901">
        <f>GLOBAL_DER_FEV_2023!H2305</f>
        <v>2754.73</v>
      </c>
      <c r="I2305" s="901">
        <f>GLOBAL_DER_FEV_2023!I2305</f>
        <v>3148.4493833239999</v>
      </c>
      <c r="J2305" s="902">
        <f>GLOBAL_DER_FEV_2023!J2305</f>
        <v>3780.34</v>
      </c>
      <c r="K2305" s="903" t="s">
        <v>15</v>
      </c>
      <c r="L2305" s="1137"/>
      <c r="M2305" s="1138">
        <f t="shared" si="172"/>
        <v>0</v>
      </c>
      <c r="N2305" s="1176">
        <f t="shared" si="176"/>
        <v>0</v>
      </c>
      <c r="O2305" s="905"/>
      <c r="Q2305" s="317" t="str">
        <f t="shared" si="173"/>
        <v/>
      </c>
      <c r="R2305" s="317" t="str">
        <f t="shared" si="174"/>
        <v/>
      </c>
      <c r="S2305" s="317" t="str">
        <f t="shared" si="175"/>
        <v/>
      </c>
      <c r="T2305" s="317" t="str">
        <f>GLOBAL_DER_FEV_2023!S2305</f>
        <v/>
      </c>
      <c r="W2305" s="582">
        <v>0</v>
      </c>
      <c r="X2305" s="580"/>
      <c r="Y2305" s="583">
        <f>IF(GLOBAL_DER_FEV_2023!W2305=0,0,IF(GLOBAL_DER_FEV_2023!W2305&gt;0,"c","b"))</f>
        <v>0</v>
      </c>
    </row>
    <row r="2306" spans="1:25" ht="15" hidden="1" customHeight="1" x14ac:dyDescent="0.2">
      <c r="A2306" s="317" t="s">
        <v>147</v>
      </c>
      <c r="B2306" s="895" t="s">
        <v>147</v>
      </c>
      <c r="C2306" s="896"/>
      <c r="D2306" s="906" t="s">
        <v>190</v>
      </c>
      <c r="E2306" s="907">
        <f>GLOBAL_DER_FEV_2023!E2306</f>
        <v>308</v>
      </c>
      <c r="F2306" s="908">
        <f>GLOBAL_DER_FEV_2023!F2306</f>
        <v>0.43281240000000004</v>
      </c>
      <c r="G2306" s="909">
        <f>GLOBAL_DER_FEV_2023!G2306</f>
        <v>107.36344394400001</v>
      </c>
      <c r="H2306" s="901">
        <f>GLOBAL_DER_FEV_2023!H2306</f>
        <v>0</v>
      </c>
      <c r="I2306" s="901">
        <f>GLOBAL_DER_FEV_2023!I2306</f>
        <v>0</v>
      </c>
      <c r="J2306" s="902">
        <f>GLOBAL_DER_FEV_2023!J2306</f>
        <v>0</v>
      </c>
      <c r="K2306" s="903"/>
      <c r="L2306" s="1177"/>
      <c r="M2306" s="1138">
        <f t="shared" si="172"/>
        <v>0</v>
      </c>
      <c r="N2306" s="1176">
        <f t="shared" si="176"/>
        <v>0</v>
      </c>
      <c r="O2306" s="905"/>
      <c r="P2306" s="36" t="str">
        <f>IF(N2305&gt;0,"xx",IF(N2305&gt;0,"xy",""))</f>
        <v/>
      </c>
      <c r="Q2306" s="317" t="str">
        <f t="shared" si="173"/>
        <v/>
      </c>
      <c r="R2306" s="317" t="str">
        <f t="shared" si="174"/>
        <v/>
      </c>
      <c r="S2306" s="317" t="str">
        <f t="shared" si="175"/>
        <v/>
      </c>
      <c r="T2306" s="317" t="str">
        <f>GLOBAL_DER_FEV_2023!S2306</f>
        <v/>
      </c>
      <c r="W2306" s="582">
        <v>0</v>
      </c>
      <c r="X2306" s="580"/>
      <c r="Y2306" s="583">
        <f>IF(GLOBAL_DER_FEV_2023!W2306=0,0,IF(GLOBAL_DER_FEV_2023!W2306&gt;0,"c","b"))</f>
        <v>0</v>
      </c>
    </row>
    <row r="2307" spans="1:25" ht="15" hidden="1" customHeight="1" x14ac:dyDescent="0.2">
      <c r="A2307" s="317" t="s">
        <v>147</v>
      </c>
      <c r="B2307" s="895" t="s">
        <v>147</v>
      </c>
      <c r="C2307" s="896"/>
      <c r="D2307" s="906" t="s">
        <v>229</v>
      </c>
      <c r="E2307" s="907">
        <f>GLOBAL_DER_FEV_2023!E2307</f>
        <v>150</v>
      </c>
      <c r="F2307" s="908">
        <f>GLOBAL_DER_FEV_2023!F2307</f>
        <v>1.5797950000000001</v>
      </c>
      <c r="G2307" s="949">
        <f>GLOBAL_DER_FEV_2023!G2307</f>
        <v>257.79094810000004</v>
      </c>
      <c r="H2307" s="901">
        <f>GLOBAL_DER_FEV_2023!H2307</f>
        <v>0</v>
      </c>
      <c r="I2307" s="901">
        <f>GLOBAL_DER_FEV_2023!I2307</f>
        <v>0</v>
      </c>
      <c r="J2307" s="902">
        <f>GLOBAL_DER_FEV_2023!J2307</f>
        <v>0</v>
      </c>
      <c r="K2307" s="903"/>
      <c r="L2307" s="1177"/>
      <c r="M2307" s="1138">
        <f t="shared" si="172"/>
        <v>0</v>
      </c>
      <c r="N2307" s="1176">
        <f t="shared" si="176"/>
        <v>0</v>
      </c>
      <c r="O2307" s="905"/>
      <c r="P2307" s="36" t="str">
        <f>IF(N2305&gt;0,"xx",IF(N2305&gt;0,"xy",""))</f>
        <v/>
      </c>
      <c r="Q2307" s="317" t="str">
        <f t="shared" si="173"/>
        <v/>
      </c>
      <c r="R2307" s="317" t="str">
        <f t="shared" si="174"/>
        <v/>
      </c>
      <c r="S2307" s="317" t="str">
        <f t="shared" si="175"/>
        <v/>
      </c>
      <c r="T2307" s="317" t="str">
        <f>GLOBAL_DER_FEV_2023!S2307</f>
        <v/>
      </c>
      <c r="W2307" s="582">
        <v>0</v>
      </c>
      <c r="X2307" s="580"/>
      <c r="Y2307" s="583">
        <f>IF(GLOBAL_DER_FEV_2023!W2307=0,0,IF(GLOBAL_DER_FEV_2023!W2307&gt;0,"c","b"))</f>
        <v>0</v>
      </c>
    </row>
    <row r="2308" spans="1:25" ht="15" hidden="1" customHeight="1" x14ac:dyDescent="0.2">
      <c r="A2308" s="317" t="s">
        <v>147</v>
      </c>
      <c r="B2308" s="895" t="s">
        <v>147</v>
      </c>
      <c r="C2308" s="896"/>
      <c r="D2308" s="906" t="s">
        <v>233</v>
      </c>
      <c r="E2308" s="907">
        <f>GLOBAL_DER_FEV_2023!E2308</f>
        <v>0.2</v>
      </c>
      <c r="F2308" s="908">
        <f>GLOBAL_DER_FEV_2023!F2308</f>
        <v>1.2654000000000003</v>
      </c>
      <c r="G2308" s="949">
        <f>GLOBAL_DER_FEV_2023!G2308</f>
        <v>3.6620676000000012</v>
      </c>
      <c r="H2308" s="901">
        <f>GLOBAL_DER_FEV_2023!H2308</f>
        <v>0</v>
      </c>
      <c r="I2308" s="901">
        <f>GLOBAL_DER_FEV_2023!I2308</f>
        <v>0</v>
      </c>
      <c r="J2308" s="902">
        <f>GLOBAL_DER_FEV_2023!J2308</f>
        <v>0</v>
      </c>
      <c r="K2308" s="903"/>
      <c r="L2308" s="1177"/>
      <c r="M2308" s="1138">
        <f t="shared" si="172"/>
        <v>0</v>
      </c>
      <c r="N2308" s="1176">
        <f t="shared" si="176"/>
        <v>0</v>
      </c>
      <c r="O2308" s="905"/>
      <c r="P2308" s="36" t="str">
        <f>IF(N2305&gt;0,"xx",IF(N2305&gt;0,"xy",""))</f>
        <v/>
      </c>
      <c r="Q2308" s="317" t="str">
        <f t="shared" si="173"/>
        <v/>
      </c>
      <c r="R2308" s="317" t="str">
        <f t="shared" si="174"/>
        <v/>
      </c>
      <c r="S2308" s="317" t="str">
        <f t="shared" si="175"/>
        <v/>
      </c>
      <c r="T2308" s="317" t="str">
        <f>GLOBAL_DER_FEV_2023!S2308</f>
        <v/>
      </c>
      <c r="W2308" s="582">
        <v>0</v>
      </c>
      <c r="X2308" s="580"/>
      <c r="Y2308" s="583">
        <f>IF(GLOBAL_DER_FEV_2023!W2308=0,0,IF(GLOBAL_DER_FEV_2023!W2308&gt;0,"c","b"))</f>
        <v>0</v>
      </c>
    </row>
    <row r="2309" spans="1:25" ht="15" hidden="1" customHeight="1" x14ac:dyDescent="0.2">
      <c r="A2309" s="317" t="s">
        <v>147</v>
      </c>
      <c r="B2309" s="895" t="s">
        <v>147</v>
      </c>
      <c r="C2309" s="896"/>
      <c r="D2309" s="906" t="s">
        <v>365</v>
      </c>
      <c r="E2309" s="907">
        <f>GLOBAL_DER_FEV_2023!E2309</f>
        <v>10</v>
      </c>
      <c r="F2309" s="908">
        <f>GLOBAL_DER_FEV_2023!F2309</f>
        <v>1.09134</v>
      </c>
      <c r="G2309" s="949">
        <f>GLOBAL_DER_FEV_2023!G2309</f>
        <v>14.6021292</v>
      </c>
      <c r="H2309" s="901">
        <f>GLOBAL_DER_FEV_2023!H2309</f>
        <v>0</v>
      </c>
      <c r="I2309" s="901">
        <f>GLOBAL_DER_FEV_2023!I2309</f>
        <v>0</v>
      </c>
      <c r="J2309" s="902">
        <f>GLOBAL_DER_FEV_2023!J2309</f>
        <v>0</v>
      </c>
      <c r="K2309" s="903"/>
      <c r="L2309" s="1177"/>
      <c r="M2309" s="1138">
        <f t="shared" si="172"/>
        <v>0</v>
      </c>
      <c r="N2309" s="1176">
        <f t="shared" si="176"/>
        <v>0</v>
      </c>
      <c r="O2309" s="905"/>
      <c r="P2309" s="36" t="str">
        <f>IF(N2305&gt;0,"xx",IF(N2305&gt;0,"xy",""))</f>
        <v/>
      </c>
      <c r="Q2309" s="317" t="str">
        <f t="shared" si="173"/>
        <v/>
      </c>
      <c r="R2309" s="317" t="str">
        <f t="shared" si="174"/>
        <v/>
      </c>
      <c r="S2309" s="317" t="str">
        <f t="shared" si="175"/>
        <v/>
      </c>
      <c r="T2309" s="317" t="str">
        <f>GLOBAL_DER_FEV_2023!S2309</f>
        <v/>
      </c>
      <c r="W2309" s="582">
        <v>0</v>
      </c>
      <c r="X2309" s="580"/>
      <c r="Y2309" s="583">
        <f>IF(GLOBAL_DER_FEV_2023!W2309=0,0,IF(GLOBAL_DER_FEV_2023!W2309&gt;0,"c","b"))</f>
        <v>0</v>
      </c>
    </row>
    <row r="2310" spans="1:25" ht="15" hidden="1" customHeight="1" x14ac:dyDescent="0.2">
      <c r="A2310" s="317" t="s">
        <v>147</v>
      </c>
      <c r="B2310" s="895" t="s">
        <v>147</v>
      </c>
      <c r="C2310" s="896"/>
      <c r="D2310" s="906" t="s">
        <v>366</v>
      </c>
      <c r="E2310" s="907">
        <f>GLOBAL_DER_FEV_2023!E2310</f>
        <v>353</v>
      </c>
      <c r="F2310" s="908">
        <f>GLOBAL_DER_FEV_2023!F2310</f>
        <v>3.6378000000000001E-2</v>
      </c>
      <c r="G2310" s="909">
        <f>GLOBAL_DER_FEV_2023!G2310</f>
        <v>10.30079448</v>
      </c>
      <c r="H2310" s="901">
        <f>GLOBAL_DER_FEV_2023!H2310</f>
        <v>0</v>
      </c>
      <c r="I2310" s="901">
        <f>GLOBAL_DER_FEV_2023!I2310</f>
        <v>0</v>
      </c>
      <c r="J2310" s="902">
        <f>GLOBAL_DER_FEV_2023!J2310</f>
        <v>0</v>
      </c>
      <c r="K2310" s="903"/>
      <c r="L2310" s="1177"/>
      <c r="M2310" s="1138">
        <f t="shared" si="172"/>
        <v>0</v>
      </c>
      <c r="N2310" s="1176">
        <f t="shared" si="176"/>
        <v>0</v>
      </c>
      <c r="O2310" s="905"/>
      <c r="P2310" s="36" t="str">
        <f>IF(N2305&gt;0,"xx",IF(N2305&gt;0,"xy",""))</f>
        <v/>
      </c>
      <c r="Q2310" s="317" t="str">
        <f t="shared" si="173"/>
        <v/>
      </c>
      <c r="R2310" s="317" t="str">
        <f t="shared" si="174"/>
        <v/>
      </c>
      <c r="S2310" s="317" t="str">
        <f t="shared" si="175"/>
        <v/>
      </c>
      <c r="T2310" s="317" t="str">
        <f>GLOBAL_DER_FEV_2023!S2310</f>
        <v/>
      </c>
      <c r="W2310" s="582">
        <v>0</v>
      </c>
      <c r="X2310" s="580"/>
      <c r="Y2310" s="583">
        <f>IF(GLOBAL_DER_FEV_2023!W2310=0,0,IF(GLOBAL_DER_FEV_2023!W2310&gt;0,"c","b"))</f>
        <v>0</v>
      </c>
    </row>
    <row r="2311" spans="1:25" ht="15" hidden="1" customHeight="1" x14ac:dyDescent="0.2">
      <c r="A2311" s="317" t="s">
        <v>39</v>
      </c>
      <c r="B2311" s="895" t="s">
        <v>39</v>
      </c>
      <c r="C2311" s="896" t="s">
        <v>184</v>
      </c>
      <c r="D2311" s="906" t="s">
        <v>130</v>
      </c>
      <c r="E2311" s="907">
        <f>GLOBAL_DER_FEV_2023!E2311</f>
        <v>0</v>
      </c>
      <c r="F2311" s="908">
        <f>GLOBAL_DER_FEV_2023!F2311</f>
        <v>0</v>
      </c>
      <c r="G2311" s="912">
        <f>GLOBAL_DER_FEV_2023!G2311</f>
        <v>430.00607617800006</v>
      </c>
      <c r="H2311" s="901">
        <f>GLOBAL_DER_FEV_2023!H2311</f>
        <v>2966.42</v>
      </c>
      <c r="I2311" s="901">
        <f>GLOBAL_DER_FEV_2023!I2311</f>
        <v>3396.4260761780001</v>
      </c>
      <c r="J2311" s="902">
        <f>GLOBAL_DER_FEV_2023!J2311</f>
        <v>4078.09</v>
      </c>
      <c r="K2311" s="903" t="s">
        <v>15</v>
      </c>
      <c r="L2311" s="1137"/>
      <c r="M2311" s="1138">
        <f t="shared" si="172"/>
        <v>0</v>
      </c>
      <c r="N2311" s="1176">
        <f t="shared" si="176"/>
        <v>0</v>
      </c>
      <c r="O2311" s="905"/>
      <c r="Q2311" s="317" t="str">
        <f t="shared" si="173"/>
        <v/>
      </c>
      <c r="R2311" s="317" t="str">
        <f t="shared" si="174"/>
        <v/>
      </c>
      <c r="S2311" s="317" t="str">
        <f t="shared" si="175"/>
        <v/>
      </c>
      <c r="T2311" s="317" t="str">
        <f>GLOBAL_DER_FEV_2023!S2311</f>
        <v/>
      </c>
      <c r="W2311" s="582">
        <v>0</v>
      </c>
      <c r="X2311" s="580"/>
      <c r="Y2311" s="583">
        <f>IF(GLOBAL_DER_FEV_2023!W2311=0,0,IF(GLOBAL_DER_FEV_2023!W2311&gt;0,"c","b"))</f>
        <v>0</v>
      </c>
    </row>
    <row r="2312" spans="1:25" ht="15" hidden="1" customHeight="1" x14ac:dyDescent="0.2">
      <c r="A2312" s="317" t="s">
        <v>147</v>
      </c>
      <c r="B2312" s="895" t="s">
        <v>147</v>
      </c>
      <c r="C2312" s="896"/>
      <c r="D2312" s="906" t="s">
        <v>190</v>
      </c>
      <c r="E2312" s="907">
        <f>GLOBAL_DER_FEV_2023!E2312</f>
        <v>308</v>
      </c>
      <c r="F2312" s="908">
        <f>GLOBAL_DER_FEV_2023!F2312</f>
        <v>0.46255580000000002</v>
      </c>
      <c r="G2312" s="909">
        <f>GLOBAL_DER_FEV_2023!G2312</f>
        <v>114.741591748</v>
      </c>
      <c r="H2312" s="901">
        <f>GLOBAL_DER_FEV_2023!H2312</f>
        <v>0</v>
      </c>
      <c r="I2312" s="901">
        <f>GLOBAL_DER_FEV_2023!I2312</f>
        <v>0</v>
      </c>
      <c r="J2312" s="902">
        <f>GLOBAL_DER_FEV_2023!J2312</f>
        <v>0</v>
      </c>
      <c r="K2312" s="903"/>
      <c r="L2312" s="1177"/>
      <c r="M2312" s="1138">
        <f t="shared" si="172"/>
        <v>0</v>
      </c>
      <c r="N2312" s="1176">
        <f t="shared" si="176"/>
        <v>0</v>
      </c>
      <c r="O2312" s="905"/>
      <c r="P2312" s="36" t="str">
        <f>IF(N2311&gt;0,"xx",IF(N2311&gt;0,"xy",""))</f>
        <v/>
      </c>
      <c r="Q2312" s="317" t="str">
        <f t="shared" si="173"/>
        <v/>
      </c>
      <c r="R2312" s="317" t="str">
        <f t="shared" si="174"/>
        <v/>
      </c>
      <c r="S2312" s="317" t="str">
        <f t="shared" si="175"/>
        <v/>
      </c>
      <c r="T2312" s="317" t="str">
        <f>GLOBAL_DER_FEV_2023!S2312</f>
        <v/>
      </c>
      <c r="W2312" s="582">
        <v>0</v>
      </c>
      <c r="X2312" s="580"/>
      <c r="Y2312" s="583">
        <f>IF(GLOBAL_DER_FEV_2023!W2312=0,0,IF(GLOBAL_DER_FEV_2023!W2312&gt;0,"c","b"))</f>
        <v>0</v>
      </c>
    </row>
    <row r="2313" spans="1:25" ht="15" hidden="1" customHeight="1" x14ac:dyDescent="0.2">
      <c r="A2313" s="317" t="s">
        <v>147</v>
      </c>
      <c r="B2313" s="895" t="s">
        <v>147</v>
      </c>
      <c r="C2313" s="896"/>
      <c r="D2313" s="906" t="s">
        <v>229</v>
      </c>
      <c r="E2313" s="907">
        <f>GLOBAL_DER_FEV_2023!E2313</f>
        <v>150</v>
      </c>
      <c r="F2313" s="908">
        <f>GLOBAL_DER_FEV_2023!F2313</f>
        <v>1.7263925000000002</v>
      </c>
      <c r="G2313" s="949">
        <f>GLOBAL_DER_FEV_2023!G2313</f>
        <v>281.71272815000003</v>
      </c>
      <c r="H2313" s="901">
        <f>GLOBAL_DER_FEV_2023!H2313</f>
        <v>0</v>
      </c>
      <c r="I2313" s="901">
        <f>GLOBAL_DER_FEV_2023!I2313</f>
        <v>0</v>
      </c>
      <c r="J2313" s="902">
        <f>GLOBAL_DER_FEV_2023!J2313</f>
        <v>0</v>
      </c>
      <c r="K2313" s="903"/>
      <c r="L2313" s="1177"/>
      <c r="M2313" s="1138">
        <f t="shared" si="172"/>
        <v>0</v>
      </c>
      <c r="N2313" s="1176">
        <f t="shared" si="176"/>
        <v>0</v>
      </c>
      <c r="O2313" s="905"/>
      <c r="P2313" s="36" t="str">
        <f>IF(N2311&gt;0,"xx",IF(N2311&gt;0,"xy",""))</f>
        <v/>
      </c>
      <c r="Q2313" s="317" t="str">
        <f t="shared" si="173"/>
        <v/>
      </c>
      <c r="R2313" s="317" t="str">
        <f t="shared" si="174"/>
        <v/>
      </c>
      <c r="S2313" s="317" t="str">
        <f t="shared" si="175"/>
        <v/>
      </c>
      <c r="T2313" s="317" t="str">
        <f>GLOBAL_DER_FEV_2023!S2313</f>
        <v/>
      </c>
      <c r="W2313" s="582">
        <v>0</v>
      </c>
      <c r="X2313" s="580"/>
      <c r="Y2313" s="583">
        <f>IF(GLOBAL_DER_FEV_2023!W2313=0,0,IF(GLOBAL_DER_FEV_2023!W2313&gt;0,"c","b"))</f>
        <v>0</v>
      </c>
    </row>
    <row r="2314" spans="1:25" ht="15" hidden="1" customHeight="1" x14ac:dyDescent="0.2">
      <c r="A2314" s="317" t="s">
        <v>147</v>
      </c>
      <c r="B2314" s="895" t="s">
        <v>147</v>
      </c>
      <c r="C2314" s="896"/>
      <c r="D2314" s="906" t="s">
        <v>233</v>
      </c>
      <c r="E2314" s="907">
        <f>GLOBAL_DER_FEV_2023!E2314</f>
        <v>0.2</v>
      </c>
      <c r="F2314" s="908">
        <f>GLOBAL_DER_FEV_2023!F2314</f>
        <v>1.3209000000000002</v>
      </c>
      <c r="G2314" s="949">
        <f>GLOBAL_DER_FEV_2023!G2314</f>
        <v>3.8226846000000005</v>
      </c>
      <c r="H2314" s="901">
        <f>GLOBAL_DER_FEV_2023!H2314</f>
        <v>0</v>
      </c>
      <c r="I2314" s="901">
        <f>GLOBAL_DER_FEV_2023!I2314</f>
        <v>0</v>
      </c>
      <c r="J2314" s="902">
        <f>GLOBAL_DER_FEV_2023!J2314</f>
        <v>0</v>
      </c>
      <c r="K2314" s="903"/>
      <c r="L2314" s="1177"/>
      <c r="M2314" s="1138">
        <f t="shared" si="172"/>
        <v>0</v>
      </c>
      <c r="N2314" s="1176">
        <f t="shared" si="176"/>
        <v>0</v>
      </c>
      <c r="O2314" s="905"/>
      <c r="P2314" s="36" t="str">
        <f>IF(N2311&gt;0,"xx",IF(N2311&gt;0,"xy",""))</f>
        <v/>
      </c>
      <c r="Q2314" s="317" t="str">
        <f t="shared" si="173"/>
        <v/>
      </c>
      <c r="R2314" s="317" t="str">
        <f t="shared" si="174"/>
        <v/>
      </c>
      <c r="S2314" s="317" t="str">
        <f t="shared" si="175"/>
        <v/>
      </c>
      <c r="T2314" s="317" t="str">
        <f>GLOBAL_DER_FEV_2023!S2314</f>
        <v/>
      </c>
      <c r="W2314" s="582">
        <v>0</v>
      </c>
      <c r="X2314" s="580"/>
      <c r="Y2314" s="583">
        <f>IF(GLOBAL_DER_FEV_2023!W2314=0,0,IF(GLOBAL_DER_FEV_2023!W2314&gt;0,"c","b"))</f>
        <v>0</v>
      </c>
    </row>
    <row r="2315" spans="1:25" ht="15" hidden="1" customHeight="1" x14ac:dyDescent="0.2">
      <c r="A2315" s="317" t="s">
        <v>147</v>
      </c>
      <c r="B2315" s="895" t="s">
        <v>147</v>
      </c>
      <c r="C2315" s="896"/>
      <c r="D2315" s="906" t="s">
        <v>365</v>
      </c>
      <c r="E2315" s="907">
        <f>GLOBAL_DER_FEV_2023!E2315</f>
        <v>10</v>
      </c>
      <c r="F2315" s="908">
        <f>GLOBAL_DER_FEV_2023!F2315</f>
        <v>1.30284</v>
      </c>
      <c r="G2315" s="949">
        <f>GLOBAL_DER_FEV_2023!G2315</f>
        <v>17.4319992</v>
      </c>
      <c r="H2315" s="901">
        <f>GLOBAL_DER_FEV_2023!H2315</f>
        <v>0</v>
      </c>
      <c r="I2315" s="901">
        <f>GLOBAL_DER_FEV_2023!I2315</f>
        <v>0</v>
      </c>
      <c r="J2315" s="902">
        <f>GLOBAL_DER_FEV_2023!J2315</f>
        <v>0</v>
      </c>
      <c r="K2315" s="903"/>
      <c r="L2315" s="1177"/>
      <c r="M2315" s="1138">
        <f t="shared" si="172"/>
        <v>0</v>
      </c>
      <c r="N2315" s="1176">
        <f t="shared" si="176"/>
        <v>0</v>
      </c>
      <c r="O2315" s="905"/>
      <c r="P2315" s="36" t="str">
        <f>IF(N2311&gt;0,"xx",IF(N2311&gt;0,"xy",""))</f>
        <v/>
      </c>
      <c r="Q2315" s="317" t="str">
        <f t="shared" si="173"/>
        <v/>
      </c>
      <c r="R2315" s="317" t="str">
        <f t="shared" si="174"/>
        <v/>
      </c>
      <c r="S2315" s="317" t="str">
        <f t="shared" si="175"/>
        <v/>
      </c>
      <c r="T2315" s="317" t="str">
        <f>GLOBAL_DER_FEV_2023!S2315</f>
        <v/>
      </c>
      <c r="W2315" s="582">
        <v>0</v>
      </c>
      <c r="X2315" s="580"/>
      <c r="Y2315" s="583">
        <f>IF(GLOBAL_DER_FEV_2023!W2315=0,0,IF(GLOBAL_DER_FEV_2023!W2315&gt;0,"c","b"))</f>
        <v>0</v>
      </c>
    </row>
    <row r="2316" spans="1:25" ht="15" hidden="1" customHeight="1" x14ac:dyDescent="0.2">
      <c r="A2316" s="317" t="s">
        <v>147</v>
      </c>
      <c r="B2316" s="895" t="s">
        <v>147</v>
      </c>
      <c r="C2316" s="896"/>
      <c r="D2316" s="906" t="s">
        <v>366</v>
      </c>
      <c r="E2316" s="907">
        <f>GLOBAL_DER_FEV_2023!E2316</f>
        <v>353</v>
      </c>
      <c r="F2316" s="908">
        <f>GLOBAL_DER_FEV_2023!F2316</f>
        <v>4.3428000000000001E-2</v>
      </c>
      <c r="G2316" s="909">
        <f>GLOBAL_DER_FEV_2023!G2316</f>
        <v>12.297072480000001</v>
      </c>
      <c r="H2316" s="901">
        <f>GLOBAL_DER_FEV_2023!H2316</f>
        <v>0</v>
      </c>
      <c r="I2316" s="901">
        <f>GLOBAL_DER_FEV_2023!I2316</f>
        <v>0</v>
      </c>
      <c r="J2316" s="902">
        <f>GLOBAL_DER_FEV_2023!J2316</f>
        <v>0</v>
      </c>
      <c r="K2316" s="903"/>
      <c r="L2316" s="1177"/>
      <c r="M2316" s="1138">
        <f t="shared" si="172"/>
        <v>0</v>
      </c>
      <c r="N2316" s="1176">
        <f t="shared" si="176"/>
        <v>0</v>
      </c>
      <c r="O2316" s="905"/>
      <c r="P2316" s="36" t="str">
        <f>IF(N2311&gt;0,"xx",IF(N2311&gt;0,"xy",""))</f>
        <v/>
      </c>
      <c r="Q2316" s="317" t="str">
        <f t="shared" si="173"/>
        <v/>
      </c>
      <c r="R2316" s="317" t="str">
        <f t="shared" si="174"/>
        <v/>
      </c>
      <c r="S2316" s="317" t="str">
        <f t="shared" si="175"/>
        <v/>
      </c>
      <c r="T2316" s="317" t="str">
        <f>GLOBAL_DER_FEV_2023!S2316</f>
        <v/>
      </c>
      <c r="W2316" s="582">
        <v>0</v>
      </c>
      <c r="X2316" s="580"/>
      <c r="Y2316" s="583">
        <f>IF(GLOBAL_DER_FEV_2023!W2316=0,0,IF(GLOBAL_DER_FEV_2023!W2316&gt;0,"c","b"))</f>
        <v>0</v>
      </c>
    </row>
    <row r="2317" spans="1:25" ht="15" hidden="1" customHeight="1" x14ac:dyDescent="0.2">
      <c r="A2317" s="317" t="s">
        <v>114</v>
      </c>
      <c r="B2317" s="895" t="s">
        <v>114</v>
      </c>
      <c r="C2317" s="896" t="s">
        <v>184</v>
      </c>
      <c r="D2317" s="906" t="s">
        <v>131</v>
      </c>
      <c r="E2317" s="907">
        <f>GLOBAL_DER_FEV_2023!E2317</f>
        <v>0</v>
      </c>
      <c r="F2317" s="908">
        <f>GLOBAL_DER_FEV_2023!F2317</f>
        <v>0</v>
      </c>
      <c r="G2317" s="912">
        <f>GLOBAL_DER_FEV_2023!G2317</f>
        <v>482.61948668600007</v>
      </c>
      <c r="H2317" s="901">
        <f>GLOBAL_DER_FEV_2023!H2317</f>
        <v>3286.28</v>
      </c>
      <c r="I2317" s="901">
        <f>GLOBAL_DER_FEV_2023!I2317</f>
        <v>3768.8994866860003</v>
      </c>
      <c r="J2317" s="902">
        <f>GLOBAL_DER_FEV_2023!J2317</f>
        <v>4525.32</v>
      </c>
      <c r="K2317" s="903" t="s">
        <v>15</v>
      </c>
      <c r="L2317" s="1137"/>
      <c r="M2317" s="1138">
        <f t="shared" si="172"/>
        <v>0</v>
      </c>
      <c r="N2317" s="1176">
        <f t="shared" si="176"/>
        <v>0</v>
      </c>
      <c r="O2317" s="905"/>
      <c r="Q2317" s="317" t="str">
        <f t="shared" si="173"/>
        <v/>
      </c>
      <c r="R2317" s="317" t="str">
        <f t="shared" si="174"/>
        <v/>
      </c>
      <c r="S2317" s="317" t="str">
        <f t="shared" si="175"/>
        <v/>
      </c>
      <c r="T2317" s="317" t="str">
        <f>GLOBAL_DER_FEV_2023!S2317</f>
        <v/>
      </c>
      <c r="W2317" s="582">
        <v>0</v>
      </c>
      <c r="X2317" s="580"/>
      <c r="Y2317" s="583">
        <f>IF(GLOBAL_DER_FEV_2023!W2317=0,0,IF(GLOBAL_DER_FEV_2023!W2317&gt;0,"c","b"))</f>
        <v>0</v>
      </c>
    </row>
    <row r="2318" spans="1:25" ht="15" hidden="1" customHeight="1" x14ac:dyDescent="0.2">
      <c r="A2318" s="317" t="s">
        <v>147</v>
      </c>
      <c r="B2318" s="895" t="s">
        <v>147</v>
      </c>
      <c r="C2318" s="896"/>
      <c r="D2318" s="906" t="s">
        <v>190</v>
      </c>
      <c r="E2318" s="907">
        <f>GLOBAL_DER_FEV_2023!E2318</f>
        <v>308</v>
      </c>
      <c r="F2318" s="908">
        <f>GLOBAL_DER_FEV_2023!F2318</f>
        <v>0.50537460000000012</v>
      </c>
      <c r="G2318" s="909">
        <f>GLOBAL_DER_FEV_2023!G2318</f>
        <v>125.36322327600003</v>
      </c>
      <c r="H2318" s="901">
        <f>GLOBAL_DER_FEV_2023!H2318</f>
        <v>0</v>
      </c>
      <c r="I2318" s="901">
        <f>GLOBAL_DER_FEV_2023!I2318</f>
        <v>0</v>
      </c>
      <c r="J2318" s="902">
        <f>GLOBAL_DER_FEV_2023!J2318</f>
        <v>0</v>
      </c>
      <c r="K2318" s="903"/>
      <c r="L2318" s="1177"/>
      <c r="M2318" s="1138">
        <f t="shared" si="172"/>
        <v>0</v>
      </c>
      <c r="N2318" s="1176">
        <f t="shared" si="176"/>
        <v>0</v>
      </c>
      <c r="O2318" s="905"/>
      <c r="P2318" s="36" t="str">
        <f>IF(N2317&gt;0,"xx",IF(N2317&gt;0,"xy",""))</f>
        <v/>
      </c>
      <c r="Q2318" s="317" t="str">
        <f t="shared" si="173"/>
        <v/>
      </c>
      <c r="R2318" s="317" t="str">
        <f t="shared" si="174"/>
        <v/>
      </c>
      <c r="S2318" s="317" t="str">
        <f t="shared" si="175"/>
        <v/>
      </c>
      <c r="T2318" s="317" t="str">
        <f>GLOBAL_DER_FEV_2023!S2318</f>
        <v/>
      </c>
      <c r="W2318" s="582">
        <v>0</v>
      </c>
      <c r="X2318" s="580"/>
      <c r="Y2318" s="583">
        <f>IF(GLOBAL_DER_FEV_2023!W2318=0,0,IF(GLOBAL_DER_FEV_2023!W2318&gt;0,"c","b"))</f>
        <v>0</v>
      </c>
    </row>
    <row r="2319" spans="1:25" ht="15" hidden="1" customHeight="1" x14ac:dyDescent="0.2">
      <c r="A2319" s="317" t="s">
        <v>147</v>
      </c>
      <c r="B2319" s="895" t="s">
        <v>147</v>
      </c>
      <c r="C2319" s="896"/>
      <c r="D2319" s="906" t="s">
        <v>229</v>
      </c>
      <c r="E2319" s="907">
        <f>GLOBAL_DER_FEV_2023!E2319</f>
        <v>150</v>
      </c>
      <c r="F2319" s="908">
        <f>GLOBAL_DER_FEV_2023!F2319</f>
        <v>1.9364075000000001</v>
      </c>
      <c r="G2319" s="949">
        <f>GLOBAL_DER_FEV_2023!G2319</f>
        <v>315.98297585</v>
      </c>
      <c r="H2319" s="901">
        <f>GLOBAL_DER_FEV_2023!H2319</f>
        <v>0</v>
      </c>
      <c r="I2319" s="901">
        <f>GLOBAL_DER_FEV_2023!I2319</f>
        <v>0</v>
      </c>
      <c r="J2319" s="902">
        <f>GLOBAL_DER_FEV_2023!J2319</f>
        <v>0</v>
      </c>
      <c r="K2319" s="903"/>
      <c r="L2319" s="1177"/>
      <c r="M2319" s="1138">
        <f t="shared" si="172"/>
        <v>0</v>
      </c>
      <c r="N2319" s="1176">
        <f t="shared" si="176"/>
        <v>0</v>
      </c>
      <c r="O2319" s="905"/>
      <c r="P2319" s="36" t="str">
        <f>IF(N2317&gt;0,"xx",IF(N2317&gt;0,"xy",""))</f>
        <v/>
      </c>
      <c r="Q2319" s="317" t="str">
        <f t="shared" si="173"/>
        <v/>
      </c>
      <c r="R2319" s="317" t="str">
        <f t="shared" si="174"/>
        <v/>
      </c>
      <c r="S2319" s="317" t="str">
        <f t="shared" si="175"/>
        <v/>
      </c>
      <c r="T2319" s="317" t="str">
        <f>GLOBAL_DER_FEV_2023!S2319</f>
        <v/>
      </c>
      <c r="W2319" s="582">
        <v>0</v>
      </c>
      <c r="X2319" s="580"/>
      <c r="Y2319" s="583">
        <f>IF(GLOBAL_DER_FEV_2023!W2319=0,0,IF(GLOBAL_DER_FEV_2023!W2319&gt;0,"c","b"))</f>
        <v>0</v>
      </c>
    </row>
    <row r="2320" spans="1:25" ht="15" hidden="1" customHeight="1" x14ac:dyDescent="0.2">
      <c r="A2320" s="317" t="s">
        <v>147</v>
      </c>
      <c r="B2320" s="895" t="s">
        <v>147</v>
      </c>
      <c r="C2320" s="896"/>
      <c r="D2320" s="906" t="s">
        <v>233</v>
      </c>
      <c r="E2320" s="907">
        <f>GLOBAL_DER_FEV_2023!E2320</f>
        <v>0.2</v>
      </c>
      <c r="F2320" s="908">
        <f>GLOBAL_DER_FEV_2023!F2320</f>
        <v>1.3875000000000002</v>
      </c>
      <c r="G2320" s="949">
        <f>GLOBAL_DER_FEV_2023!G2320</f>
        <v>4.0154250000000005</v>
      </c>
      <c r="H2320" s="901">
        <f>GLOBAL_DER_FEV_2023!H2320</f>
        <v>0</v>
      </c>
      <c r="I2320" s="901">
        <f>GLOBAL_DER_FEV_2023!I2320</f>
        <v>0</v>
      </c>
      <c r="J2320" s="902">
        <f>GLOBAL_DER_FEV_2023!J2320</f>
        <v>0</v>
      </c>
      <c r="K2320" s="903"/>
      <c r="L2320" s="1177"/>
      <c r="M2320" s="1138">
        <f t="shared" si="172"/>
        <v>0</v>
      </c>
      <c r="N2320" s="1176">
        <f t="shared" si="176"/>
        <v>0</v>
      </c>
      <c r="O2320" s="905"/>
      <c r="P2320" s="36" t="str">
        <f>IF(N2317&gt;0,"xx",IF(N2317&gt;0,"xy",""))</f>
        <v/>
      </c>
      <c r="Q2320" s="317" t="str">
        <f t="shared" si="173"/>
        <v/>
      </c>
      <c r="R2320" s="317" t="str">
        <f t="shared" si="174"/>
        <v/>
      </c>
      <c r="S2320" s="317" t="str">
        <f t="shared" si="175"/>
        <v/>
      </c>
      <c r="T2320" s="317" t="str">
        <f>GLOBAL_DER_FEV_2023!S2320</f>
        <v/>
      </c>
      <c r="W2320" s="582">
        <v>0</v>
      </c>
      <c r="X2320" s="580"/>
      <c r="Y2320" s="583">
        <f>IF(GLOBAL_DER_FEV_2023!W2320=0,0,IF(GLOBAL_DER_FEV_2023!W2320&gt;0,"c","b"))</f>
        <v>0</v>
      </c>
    </row>
    <row r="2321" spans="1:25" ht="15" hidden="1" customHeight="1" x14ac:dyDescent="0.2">
      <c r="A2321" s="317" t="s">
        <v>147</v>
      </c>
      <c r="B2321" s="895" t="s">
        <v>147</v>
      </c>
      <c r="C2321" s="896"/>
      <c r="D2321" s="906" t="s">
        <v>365</v>
      </c>
      <c r="E2321" s="907">
        <f>GLOBAL_DER_FEV_2023!E2321</f>
        <v>10</v>
      </c>
      <c r="F2321" s="908">
        <f>GLOBAL_DER_FEV_2023!F2321</f>
        <v>1.6327799999999999</v>
      </c>
      <c r="G2321" s="949">
        <f>GLOBAL_DER_FEV_2023!G2321</f>
        <v>21.846596399999999</v>
      </c>
      <c r="H2321" s="901">
        <f>GLOBAL_DER_FEV_2023!H2321</f>
        <v>0</v>
      </c>
      <c r="I2321" s="901">
        <f>GLOBAL_DER_FEV_2023!I2321</f>
        <v>0</v>
      </c>
      <c r="J2321" s="902">
        <f>GLOBAL_DER_FEV_2023!J2321</f>
        <v>0</v>
      </c>
      <c r="K2321" s="903"/>
      <c r="L2321" s="1177"/>
      <c r="M2321" s="1138">
        <f t="shared" si="172"/>
        <v>0</v>
      </c>
      <c r="N2321" s="1176">
        <f t="shared" si="176"/>
        <v>0</v>
      </c>
      <c r="O2321" s="905"/>
      <c r="P2321" s="36" t="str">
        <f>IF(N2317&gt;0,"xx",IF(N2317&gt;0,"xy",""))</f>
        <v/>
      </c>
      <c r="Q2321" s="317" t="str">
        <f t="shared" si="173"/>
        <v/>
      </c>
      <c r="R2321" s="317" t="str">
        <f t="shared" si="174"/>
        <v/>
      </c>
      <c r="S2321" s="317" t="str">
        <f t="shared" si="175"/>
        <v/>
      </c>
      <c r="T2321" s="317" t="str">
        <f>GLOBAL_DER_FEV_2023!S2321</f>
        <v/>
      </c>
      <c r="W2321" s="582">
        <v>0</v>
      </c>
      <c r="X2321" s="580"/>
      <c r="Y2321" s="583">
        <f>IF(GLOBAL_DER_FEV_2023!W2321=0,0,IF(GLOBAL_DER_FEV_2023!W2321&gt;0,"c","b"))</f>
        <v>0</v>
      </c>
    </row>
    <row r="2322" spans="1:25" ht="15" hidden="1" customHeight="1" x14ac:dyDescent="0.2">
      <c r="A2322" s="317" t="s">
        <v>147</v>
      </c>
      <c r="B2322" s="895" t="s">
        <v>147</v>
      </c>
      <c r="C2322" s="896"/>
      <c r="D2322" s="906" t="s">
        <v>366</v>
      </c>
      <c r="E2322" s="907">
        <f>GLOBAL_DER_FEV_2023!E2322</f>
        <v>353</v>
      </c>
      <c r="F2322" s="908">
        <f>GLOBAL_DER_FEV_2023!F2322</f>
        <v>5.4425999999999995E-2</v>
      </c>
      <c r="G2322" s="909">
        <f>GLOBAL_DER_FEV_2023!G2322</f>
        <v>15.41126616</v>
      </c>
      <c r="H2322" s="901">
        <f>GLOBAL_DER_FEV_2023!H2322</f>
        <v>0</v>
      </c>
      <c r="I2322" s="901">
        <f>GLOBAL_DER_FEV_2023!I2322</f>
        <v>0</v>
      </c>
      <c r="J2322" s="902">
        <f>GLOBAL_DER_FEV_2023!J2322</f>
        <v>0</v>
      </c>
      <c r="K2322" s="903"/>
      <c r="L2322" s="1177"/>
      <c r="M2322" s="1138">
        <f t="shared" ref="M2322:M2385" si="177">IF(L2322=0,0,ROUND(J2322,2))</f>
        <v>0</v>
      </c>
      <c r="N2322" s="1176">
        <f t="shared" si="176"/>
        <v>0</v>
      </c>
      <c r="O2322" s="905"/>
      <c r="P2322" s="36" t="str">
        <f>IF(N2317&gt;0,"xx",IF(N2317&gt;0,"xy",""))</f>
        <v/>
      </c>
      <c r="Q2322" s="317" t="str">
        <f t="shared" si="173"/>
        <v/>
      </c>
      <c r="R2322" s="317" t="str">
        <f t="shared" si="174"/>
        <v/>
      </c>
      <c r="S2322" s="317" t="str">
        <f t="shared" si="175"/>
        <v/>
      </c>
      <c r="T2322" s="317" t="str">
        <f>GLOBAL_DER_FEV_2023!S2322</f>
        <v/>
      </c>
      <c r="W2322" s="582">
        <v>0</v>
      </c>
      <c r="X2322" s="580"/>
      <c r="Y2322" s="583">
        <f>IF(GLOBAL_DER_FEV_2023!W2322=0,0,IF(GLOBAL_DER_FEV_2023!W2322&gt;0,"c","b"))</f>
        <v>0</v>
      </c>
    </row>
    <row r="2323" spans="1:25" ht="15" hidden="1" customHeight="1" x14ac:dyDescent="0.2">
      <c r="A2323" s="317" t="s">
        <v>118</v>
      </c>
      <c r="B2323" s="895" t="s">
        <v>118</v>
      </c>
      <c r="C2323" s="896" t="s">
        <v>184</v>
      </c>
      <c r="D2323" s="906" t="s">
        <v>132</v>
      </c>
      <c r="E2323" s="907">
        <f>GLOBAL_DER_FEV_2023!E2323</f>
        <v>0</v>
      </c>
      <c r="F2323" s="908">
        <f>GLOBAL_DER_FEV_2023!F2323</f>
        <v>0</v>
      </c>
      <c r="G2323" s="912">
        <f>GLOBAL_DER_FEV_2023!G2323</f>
        <v>286.21071490000003</v>
      </c>
      <c r="H2323" s="901">
        <f>GLOBAL_DER_FEV_2023!H2323</f>
        <v>1401.9</v>
      </c>
      <c r="I2323" s="901">
        <f>GLOBAL_DER_FEV_2023!I2323</f>
        <v>1688.1107149000002</v>
      </c>
      <c r="J2323" s="902">
        <f>GLOBAL_DER_FEV_2023!J2323</f>
        <v>2026.91</v>
      </c>
      <c r="K2323" s="903" t="s">
        <v>15</v>
      </c>
      <c r="L2323" s="1137"/>
      <c r="M2323" s="1138">
        <f t="shared" si="177"/>
        <v>0</v>
      </c>
      <c r="N2323" s="1176">
        <f t="shared" si="176"/>
        <v>0</v>
      </c>
      <c r="O2323" s="905"/>
      <c r="Q2323" s="317" t="str">
        <f t="shared" si="173"/>
        <v/>
      </c>
      <c r="R2323" s="317" t="str">
        <f t="shared" si="174"/>
        <v/>
      </c>
      <c r="S2323" s="317" t="str">
        <f t="shared" si="175"/>
        <v/>
      </c>
      <c r="T2323" s="317" t="str">
        <f>GLOBAL_DER_FEV_2023!S2323</f>
        <v/>
      </c>
      <c r="W2323" s="582">
        <v>0</v>
      </c>
      <c r="X2323" s="580"/>
      <c r="Y2323" s="583">
        <f>IF(GLOBAL_DER_FEV_2023!W2323=0,0,IF(GLOBAL_DER_FEV_2023!W2323&gt;0,"c","b"))</f>
        <v>0</v>
      </c>
    </row>
    <row r="2324" spans="1:25" ht="15" hidden="1" customHeight="1" x14ac:dyDescent="0.2">
      <c r="A2324" s="317" t="s">
        <v>147</v>
      </c>
      <c r="B2324" s="895" t="s">
        <v>147</v>
      </c>
      <c r="C2324" s="896"/>
      <c r="D2324" s="906" t="s">
        <v>190</v>
      </c>
      <c r="E2324" s="907">
        <f>GLOBAL_DER_FEV_2023!E2324</f>
        <v>308</v>
      </c>
      <c r="F2324" s="908">
        <f>GLOBAL_DER_FEV_2023!F2324</f>
        <v>0.38250000000000006</v>
      </c>
      <c r="G2324" s="909">
        <f>GLOBAL_DER_FEV_2023!G2324</f>
        <v>94.882950000000022</v>
      </c>
      <c r="H2324" s="901">
        <f>GLOBAL_DER_FEV_2023!H2324</f>
        <v>0</v>
      </c>
      <c r="I2324" s="901">
        <f>GLOBAL_DER_FEV_2023!I2324</f>
        <v>0</v>
      </c>
      <c r="J2324" s="902">
        <f>GLOBAL_DER_FEV_2023!J2324</f>
        <v>0</v>
      </c>
      <c r="K2324" s="903"/>
      <c r="L2324" s="1177"/>
      <c r="M2324" s="1138">
        <f t="shared" si="177"/>
        <v>0</v>
      </c>
      <c r="N2324" s="1176">
        <f t="shared" si="176"/>
        <v>0</v>
      </c>
      <c r="O2324" s="905"/>
      <c r="P2324" s="36" t="str">
        <f>IF(N2323&gt;0,"xx",IF(N2323&gt;0,"xy",""))</f>
        <v/>
      </c>
      <c r="Q2324" s="317" t="str">
        <f t="shared" si="173"/>
        <v/>
      </c>
      <c r="R2324" s="317" t="str">
        <f t="shared" si="174"/>
        <v/>
      </c>
      <c r="S2324" s="317" t="str">
        <f t="shared" si="175"/>
        <v/>
      </c>
      <c r="T2324" s="317" t="str">
        <f>GLOBAL_DER_FEV_2023!S2324</f>
        <v/>
      </c>
      <c r="W2324" s="582">
        <v>0</v>
      </c>
      <c r="X2324" s="580"/>
      <c r="Y2324" s="583">
        <f>IF(GLOBAL_DER_FEV_2023!W2324=0,0,IF(GLOBAL_DER_FEV_2023!W2324&gt;0,"c","b"))</f>
        <v>0</v>
      </c>
    </row>
    <row r="2325" spans="1:25" ht="15" hidden="1" customHeight="1" x14ac:dyDescent="0.2">
      <c r="A2325" s="317" t="s">
        <v>147</v>
      </c>
      <c r="B2325" s="895" t="s">
        <v>147</v>
      </c>
      <c r="C2325" s="896"/>
      <c r="D2325" s="906" t="s">
        <v>229</v>
      </c>
      <c r="E2325" s="907">
        <f>GLOBAL_DER_FEV_2023!E2325</f>
        <v>150</v>
      </c>
      <c r="F2325" s="908">
        <f>GLOBAL_DER_FEV_2023!F2325</f>
        <v>1.1483800000000002</v>
      </c>
      <c r="G2325" s="949">
        <f>GLOBAL_DER_FEV_2023!G2325</f>
        <v>187.39264840000004</v>
      </c>
      <c r="H2325" s="901">
        <f>GLOBAL_DER_FEV_2023!H2325</f>
        <v>0</v>
      </c>
      <c r="I2325" s="901">
        <f>GLOBAL_DER_FEV_2023!I2325</f>
        <v>0</v>
      </c>
      <c r="J2325" s="902">
        <f>GLOBAL_DER_FEV_2023!J2325</f>
        <v>0</v>
      </c>
      <c r="K2325" s="903"/>
      <c r="L2325" s="1177"/>
      <c r="M2325" s="1138">
        <f t="shared" si="177"/>
        <v>0</v>
      </c>
      <c r="N2325" s="1176">
        <f t="shared" si="176"/>
        <v>0</v>
      </c>
      <c r="O2325" s="905"/>
      <c r="P2325" s="36" t="str">
        <f>IF(N2323&gt;0,"xx",IF(N2323&gt;0,"xy",""))</f>
        <v/>
      </c>
      <c r="Q2325" s="317" t="str">
        <f t="shared" si="173"/>
        <v/>
      </c>
      <c r="R2325" s="317" t="str">
        <f t="shared" si="174"/>
        <v/>
      </c>
      <c r="S2325" s="317" t="str">
        <f t="shared" si="175"/>
        <v/>
      </c>
      <c r="T2325" s="317" t="str">
        <f>GLOBAL_DER_FEV_2023!S2325</f>
        <v/>
      </c>
      <c r="W2325" s="582">
        <v>0</v>
      </c>
      <c r="X2325" s="580"/>
      <c r="Y2325" s="583">
        <f>IF(GLOBAL_DER_FEV_2023!W2325=0,0,IF(GLOBAL_DER_FEV_2023!W2325&gt;0,"c","b"))</f>
        <v>0</v>
      </c>
    </row>
    <row r="2326" spans="1:25" ht="15" hidden="1" customHeight="1" x14ac:dyDescent="0.2">
      <c r="A2326" s="317" t="s">
        <v>147</v>
      </c>
      <c r="B2326" s="895" t="s">
        <v>147</v>
      </c>
      <c r="C2326" s="896"/>
      <c r="D2326" s="906" t="s">
        <v>233</v>
      </c>
      <c r="E2326" s="907">
        <f>GLOBAL_DER_FEV_2023!E2326</f>
        <v>0.2</v>
      </c>
      <c r="F2326" s="908">
        <f>GLOBAL_DER_FEV_2023!F2326</f>
        <v>1.35975</v>
      </c>
      <c r="G2326" s="949">
        <f>GLOBAL_DER_FEV_2023!G2326</f>
        <v>3.9351165000000004</v>
      </c>
      <c r="H2326" s="901">
        <f>GLOBAL_DER_FEV_2023!H2326</f>
        <v>0</v>
      </c>
      <c r="I2326" s="901">
        <f>GLOBAL_DER_FEV_2023!I2326</f>
        <v>0</v>
      </c>
      <c r="J2326" s="902">
        <f>GLOBAL_DER_FEV_2023!J2326</f>
        <v>0</v>
      </c>
      <c r="K2326" s="903"/>
      <c r="L2326" s="1177"/>
      <c r="M2326" s="1138">
        <f t="shared" si="177"/>
        <v>0</v>
      </c>
      <c r="N2326" s="1176">
        <f t="shared" si="176"/>
        <v>0</v>
      </c>
      <c r="O2326" s="905"/>
      <c r="P2326" s="36" t="str">
        <f>IF(N2323&gt;0,"xx",IF(N2323&gt;0,"xy",""))</f>
        <v/>
      </c>
      <c r="Q2326" s="317" t="str">
        <f t="shared" si="173"/>
        <v/>
      </c>
      <c r="R2326" s="317" t="str">
        <f t="shared" si="174"/>
        <v/>
      </c>
      <c r="S2326" s="317" t="str">
        <f t="shared" si="175"/>
        <v/>
      </c>
      <c r="T2326" s="317" t="str">
        <f>GLOBAL_DER_FEV_2023!S2326</f>
        <v/>
      </c>
      <c r="W2326" s="582">
        <v>0</v>
      </c>
      <c r="X2326" s="580"/>
      <c r="Y2326" s="583">
        <f>IF(GLOBAL_DER_FEV_2023!W2326=0,0,IF(GLOBAL_DER_FEV_2023!W2326&gt;0,"c","b"))</f>
        <v>0</v>
      </c>
    </row>
    <row r="2327" spans="1:25" ht="15" hidden="1" customHeight="1" x14ac:dyDescent="0.2">
      <c r="A2327" s="317" t="s">
        <v>119</v>
      </c>
      <c r="B2327" s="895" t="s">
        <v>119</v>
      </c>
      <c r="C2327" s="896" t="s">
        <v>184</v>
      </c>
      <c r="D2327" s="906" t="s">
        <v>133</v>
      </c>
      <c r="E2327" s="907">
        <f>GLOBAL_DER_FEV_2023!E2327</f>
        <v>0</v>
      </c>
      <c r="F2327" s="908">
        <f>GLOBAL_DER_FEV_2023!F2327</f>
        <v>0</v>
      </c>
      <c r="G2327" s="912">
        <f>GLOBAL_DER_FEV_2023!G2327</f>
        <v>321.51485289999999</v>
      </c>
      <c r="H2327" s="901">
        <f>GLOBAL_DER_FEV_2023!H2327</f>
        <v>1493.02</v>
      </c>
      <c r="I2327" s="901">
        <f>GLOBAL_DER_FEV_2023!I2327</f>
        <v>1814.5348529</v>
      </c>
      <c r="J2327" s="902">
        <f>GLOBAL_DER_FEV_2023!J2327</f>
        <v>2178.71</v>
      </c>
      <c r="K2327" s="903" t="s">
        <v>15</v>
      </c>
      <c r="L2327" s="1137"/>
      <c r="M2327" s="1138">
        <f t="shared" si="177"/>
        <v>0</v>
      </c>
      <c r="N2327" s="1176">
        <f t="shared" si="176"/>
        <v>0</v>
      </c>
      <c r="O2327" s="905"/>
      <c r="Q2327" s="317" t="str">
        <f t="shared" si="173"/>
        <v/>
      </c>
      <c r="R2327" s="317" t="str">
        <f t="shared" si="174"/>
        <v/>
      </c>
      <c r="S2327" s="317" t="str">
        <f t="shared" si="175"/>
        <v/>
      </c>
      <c r="T2327" s="317" t="str">
        <f>GLOBAL_DER_FEV_2023!S2327</f>
        <v/>
      </c>
      <c r="W2327" s="582">
        <v>0</v>
      </c>
      <c r="X2327" s="580"/>
      <c r="Y2327" s="583">
        <f>IF(GLOBAL_DER_FEV_2023!W2327=0,0,IF(GLOBAL_DER_FEV_2023!W2327&gt;0,"c","b"))</f>
        <v>0</v>
      </c>
    </row>
    <row r="2328" spans="1:25" ht="15" hidden="1" customHeight="1" x14ac:dyDescent="0.2">
      <c r="A2328" s="317" t="s">
        <v>147</v>
      </c>
      <c r="B2328" s="895" t="s">
        <v>147</v>
      </c>
      <c r="C2328" s="896"/>
      <c r="D2328" s="906" t="s">
        <v>190</v>
      </c>
      <c r="E2328" s="907">
        <f>GLOBAL_DER_FEV_2023!E2328</f>
        <v>308</v>
      </c>
      <c r="F2328" s="908">
        <f>GLOBAL_DER_FEV_2023!F2328</f>
        <v>0.43200000000000005</v>
      </c>
      <c r="G2328" s="909">
        <f>GLOBAL_DER_FEV_2023!G2328</f>
        <v>107.16192000000001</v>
      </c>
      <c r="H2328" s="901">
        <f>GLOBAL_DER_FEV_2023!H2328</f>
        <v>0</v>
      </c>
      <c r="I2328" s="901">
        <f>GLOBAL_DER_FEV_2023!I2328</f>
        <v>0</v>
      </c>
      <c r="J2328" s="902">
        <f>GLOBAL_DER_FEV_2023!J2328</f>
        <v>0</v>
      </c>
      <c r="K2328" s="903"/>
      <c r="L2328" s="1177"/>
      <c r="M2328" s="1138">
        <f t="shared" si="177"/>
        <v>0</v>
      </c>
      <c r="N2328" s="1176">
        <f t="shared" si="176"/>
        <v>0</v>
      </c>
      <c r="O2328" s="905"/>
      <c r="P2328" s="36" t="str">
        <f>IF(N2327&gt;0,"xx",IF(N2327&gt;0,"xy",""))</f>
        <v/>
      </c>
      <c r="Q2328" s="317" t="str">
        <f t="shared" si="173"/>
        <v/>
      </c>
      <c r="R2328" s="317" t="str">
        <f t="shared" si="174"/>
        <v/>
      </c>
      <c r="S2328" s="317" t="str">
        <f t="shared" si="175"/>
        <v/>
      </c>
      <c r="T2328" s="317" t="str">
        <f>GLOBAL_DER_FEV_2023!S2328</f>
        <v/>
      </c>
      <c r="W2328" s="582">
        <v>0</v>
      </c>
      <c r="X2328" s="580"/>
      <c r="Y2328" s="583">
        <f>IF(GLOBAL_DER_FEV_2023!W2328=0,0,IF(GLOBAL_DER_FEV_2023!W2328&gt;0,"c","b"))</f>
        <v>0</v>
      </c>
    </row>
    <row r="2329" spans="1:25" ht="15" hidden="1" customHeight="1" x14ac:dyDescent="0.2">
      <c r="A2329" s="317" t="s">
        <v>147</v>
      </c>
      <c r="B2329" s="895" t="s">
        <v>147</v>
      </c>
      <c r="C2329" s="896"/>
      <c r="D2329" s="906" t="s">
        <v>229</v>
      </c>
      <c r="E2329" s="907">
        <f>GLOBAL_DER_FEV_2023!E2329</f>
        <v>150</v>
      </c>
      <c r="F2329" s="908">
        <f>GLOBAL_DER_FEV_2023!F2329</f>
        <v>1.28653</v>
      </c>
      <c r="G2329" s="949">
        <f>GLOBAL_DER_FEV_2023!G2329</f>
        <v>209.93596540000001</v>
      </c>
      <c r="H2329" s="901">
        <f>GLOBAL_DER_FEV_2023!H2329</f>
        <v>0</v>
      </c>
      <c r="I2329" s="901">
        <f>GLOBAL_DER_FEV_2023!I2329</f>
        <v>0</v>
      </c>
      <c r="J2329" s="902">
        <f>GLOBAL_DER_FEV_2023!J2329</f>
        <v>0</v>
      </c>
      <c r="K2329" s="903"/>
      <c r="L2329" s="1177"/>
      <c r="M2329" s="1138">
        <f t="shared" si="177"/>
        <v>0</v>
      </c>
      <c r="N2329" s="1176">
        <f t="shared" si="176"/>
        <v>0</v>
      </c>
      <c r="O2329" s="905"/>
      <c r="P2329" s="36" t="str">
        <f>IF(N2327&gt;0,"xx",IF(N2327&gt;0,"xy",""))</f>
        <v/>
      </c>
      <c r="Q2329" s="317" t="str">
        <f t="shared" si="173"/>
        <v/>
      </c>
      <c r="R2329" s="317" t="str">
        <f t="shared" si="174"/>
        <v/>
      </c>
      <c r="S2329" s="317" t="str">
        <f t="shared" si="175"/>
        <v/>
      </c>
      <c r="T2329" s="317" t="str">
        <f>GLOBAL_DER_FEV_2023!S2329</f>
        <v/>
      </c>
      <c r="W2329" s="582">
        <v>0</v>
      </c>
      <c r="X2329" s="580"/>
      <c r="Y2329" s="583">
        <f>IF(GLOBAL_DER_FEV_2023!W2329=0,0,IF(GLOBAL_DER_FEV_2023!W2329&gt;0,"c","b"))</f>
        <v>0</v>
      </c>
    </row>
    <row r="2330" spans="1:25" ht="15" hidden="1" customHeight="1" x14ac:dyDescent="0.2">
      <c r="A2330" s="317" t="s">
        <v>147</v>
      </c>
      <c r="B2330" s="895" t="s">
        <v>147</v>
      </c>
      <c r="C2330" s="896"/>
      <c r="D2330" s="906" t="s">
        <v>233</v>
      </c>
      <c r="E2330" s="907">
        <f>GLOBAL_DER_FEV_2023!E2330</f>
        <v>0.2</v>
      </c>
      <c r="F2330" s="908">
        <f>GLOBAL_DER_FEV_2023!F2330</f>
        <v>1.5262500000000001</v>
      </c>
      <c r="G2330" s="949">
        <f>GLOBAL_DER_FEV_2023!G2330</f>
        <v>4.4169675000000002</v>
      </c>
      <c r="H2330" s="901">
        <f>GLOBAL_DER_FEV_2023!H2330</f>
        <v>0</v>
      </c>
      <c r="I2330" s="901">
        <f>GLOBAL_DER_FEV_2023!I2330</f>
        <v>0</v>
      </c>
      <c r="J2330" s="902">
        <f>GLOBAL_DER_FEV_2023!J2330</f>
        <v>0</v>
      </c>
      <c r="K2330" s="903"/>
      <c r="L2330" s="1177"/>
      <c r="M2330" s="1138">
        <f t="shared" si="177"/>
        <v>0</v>
      </c>
      <c r="N2330" s="1176">
        <f t="shared" si="176"/>
        <v>0</v>
      </c>
      <c r="O2330" s="905"/>
      <c r="P2330" s="36" t="str">
        <f>IF(N2327&gt;0,"xx",IF(N2327&gt;0,"xy",""))</f>
        <v/>
      </c>
      <c r="Q2330" s="317" t="str">
        <f t="shared" si="173"/>
        <v/>
      </c>
      <c r="R2330" s="317" t="str">
        <f t="shared" si="174"/>
        <v/>
      </c>
      <c r="S2330" s="317" t="str">
        <f t="shared" si="175"/>
        <v/>
      </c>
      <c r="T2330" s="317" t="str">
        <f>GLOBAL_DER_FEV_2023!S2330</f>
        <v/>
      </c>
      <c r="W2330" s="582">
        <v>0</v>
      </c>
      <c r="X2330" s="580"/>
      <c r="Y2330" s="583">
        <f>IF(GLOBAL_DER_FEV_2023!W2330=0,0,IF(GLOBAL_DER_FEV_2023!W2330&gt;0,"c","b"))</f>
        <v>0</v>
      </c>
    </row>
    <row r="2331" spans="1:25" ht="15" hidden="1" customHeight="1" x14ac:dyDescent="0.2">
      <c r="A2331" s="317" t="s">
        <v>120</v>
      </c>
      <c r="B2331" s="895" t="s">
        <v>120</v>
      </c>
      <c r="C2331" s="896" t="s">
        <v>184</v>
      </c>
      <c r="D2331" s="906" t="s">
        <v>134</v>
      </c>
      <c r="E2331" s="907">
        <f>GLOBAL_DER_FEV_2023!E2331</f>
        <v>0</v>
      </c>
      <c r="F2331" s="908">
        <f>GLOBAL_DER_FEV_2023!F2331</f>
        <v>0</v>
      </c>
      <c r="G2331" s="912">
        <f>GLOBAL_DER_FEV_2023!G2331</f>
        <v>373.29425529999997</v>
      </c>
      <c r="H2331" s="901">
        <f>GLOBAL_DER_FEV_2023!H2331</f>
        <v>1627.18</v>
      </c>
      <c r="I2331" s="901">
        <f>GLOBAL_DER_FEV_2023!I2331</f>
        <v>2000.4742553000001</v>
      </c>
      <c r="J2331" s="902">
        <f>GLOBAL_DER_FEV_2023!J2331</f>
        <v>2401.9699999999998</v>
      </c>
      <c r="K2331" s="903" t="s">
        <v>15</v>
      </c>
      <c r="L2331" s="1137"/>
      <c r="M2331" s="1138">
        <f t="shared" si="177"/>
        <v>0</v>
      </c>
      <c r="N2331" s="1176">
        <f t="shared" si="176"/>
        <v>0</v>
      </c>
      <c r="O2331" s="905"/>
      <c r="Q2331" s="317" t="str">
        <f t="shared" ref="Q2331:Q2394" si="178">IF(P2331="X","x",IF(P2331="xx","x",IF(P2331="xy","x",IF(P2331="y","x",IF(OR(N2331&gt;0,N2331&gt;0),"x","")))))</f>
        <v/>
      </c>
      <c r="R2331" s="317" t="str">
        <f t="shared" si="174"/>
        <v/>
      </c>
      <c r="S2331" s="317" t="str">
        <f t="shared" si="175"/>
        <v/>
      </c>
      <c r="T2331" s="317" t="str">
        <f>GLOBAL_DER_FEV_2023!S2331</f>
        <v/>
      </c>
      <c r="W2331" s="582">
        <v>0</v>
      </c>
      <c r="X2331" s="580"/>
      <c r="Y2331" s="583">
        <f>IF(GLOBAL_DER_FEV_2023!W2331=0,0,IF(GLOBAL_DER_FEV_2023!W2331&gt;0,"c","b"))</f>
        <v>0</v>
      </c>
    </row>
    <row r="2332" spans="1:25" ht="15" hidden="1" customHeight="1" x14ac:dyDescent="0.2">
      <c r="A2332" s="317" t="s">
        <v>147</v>
      </c>
      <c r="B2332" s="895" t="s">
        <v>147</v>
      </c>
      <c r="C2332" s="896"/>
      <c r="D2332" s="906" t="s">
        <v>190</v>
      </c>
      <c r="E2332" s="907">
        <f>GLOBAL_DER_FEV_2023!E2332</f>
        <v>308</v>
      </c>
      <c r="F2332" s="908">
        <f>GLOBAL_DER_FEV_2023!F2332</f>
        <v>0.50459999999999994</v>
      </c>
      <c r="G2332" s="909">
        <f>GLOBAL_DER_FEV_2023!G2332</f>
        <v>125.17107599999999</v>
      </c>
      <c r="H2332" s="901">
        <f>GLOBAL_DER_FEV_2023!H2332</f>
        <v>0</v>
      </c>
      <c r="I2332" s="901">
        <f>GLOBAL_DER_FEV_2023!I2332</f>
        <v>0</v>
      </c>
      <c r="J2332" s="902">
        <f>GLOBAL_DER_FEV_2023!J2332</f>
        <v>0</v>
      </c>
      <c r="K2332" s="903"/>
      <c r="L2332" s="1177"/>
      <c r="M2332" s="1138">
        <f t="shared" si="177"/>
        <v>0</v>
      </c>
      <c r="N2332" s="1176">
        <f t="shared" si="176"/>
        <v>0</v>
      </c>
      <c r="O2332" s="905"/>
      <c r="P2332" s="36" t="str">
        <f>IF(N2331&gt;0,"xx",IF(N2331&gt;0,"xy",""))</f>
        <v/>
      </c>
      <c r="Q2332" s="317" t="str">
        <f t="shared" si="178"/>
        <v/>
      </c>
      <c r="R2332" s="317" t="str">
        <f t="shared" si="174"/>
        <v/>
      </c>
      <c r="S2332" s="317" t="str">
        <f t="shared" si="175"/>
        <v/>
      </c>
      <c r="T2332" s="317" t="str">
        <f>GLOBAL_DER_FEV_2023!S2332</f>
        <v/>
      </c>
      <c r="W2332" s="582">
        <v>0</v>
      </c>
      <c r="X2332" s="580"/>
      <c r="Y2332" s="583">
        <f>IF(GLOBAL_DER_FEV_2023!W2332=0,0,IF(GLOBAL_DER_FEV_2023!W2332&gt;0,"c","b"))</f>
        <v>0</v>
      </c>
    </row>
    <row r="2333" spans="1:25" ht="15" hidden="1" customHeight="1" x14ac:dyDescent="0.2">
      <c r="A2333" s="317" t="s">
        <v>147</v>
      </c>
      <c r="B2333" s="895" t="s">
        <v>147</v>
      </c>
      <c r="C2333" s="896"/>
      <c r="D2333" s="906" t="s">
        <v>229</v>
      </c>
      <c r="E2333" s="907">
        <f>GLOBAL_DER_FEV_2023!E2333</f>
        <v>150</v>
      </c>
      <c r="F2333" s="908">
        <f>GLOBAL_DER_FEV_2023!F2333</f>
        <v>1.48915</v>
      </c>
      <c r="G2333" s="949">
        <f>GLOBAL_DER_FEV_2023!G2333</f>
        <v>242.99949700000002</v>
      </c>
      <c r="H2333" s="901">
        <f>GLOBAL_DER_FEV_2023!H2333</f>
        <v>0</v>
      </c>
      <c r="I2333" s="901">
        <f>GLOBAL_DER_FEV_2023!I2333</f>
        <v>0</v>
      </c>
      <c r="J2333" s="902">
        <f>GLOBAL_DER_FEV_2023!J2333</f>
        <v>0</v>
      </c>
      <c r="K2333" s="903"/>
      <c r="L2333" s="1177"/>
      <c r="M2333" s="1138">
        <f t="shared" si="177"/>
        <v>0</v>
      </c>
      <c r="N2333" s="1176">
        <f t="shared" si="176"/>
        <v>0</v>
      </c>
      <c r="O2333" s="905"/>
      <c r="P2333" s="36" t="str">
        <f>IF(N2331&gt;0,"xx",IF(N2331&gt;0,"xy",""))</f>
        <v/>
      </c>
      <c r="Q2333" s="317" t="str">
        <f t="shared" si="178"/>
        <v/>
      </c>
      <c r="R2333" s="317" t="str">
        <f t="shared" ref="R2333:R2396" si="179">IF(P2333="X","x",IF(P2333="y","x",IF(P2333="xx","x",IF(N2333&gt;0,"x",""))))</f>
        <v/>
      </c>
      <c r="S2333" s="317" t="str">
        <f t="shared" ref="S2333:S2396" si="180">IF(P2333="X","x",IF(N2333&gt;0,"x",""))</f>
        <v/>
      </c>
      <c r="T2333" s="317" t="str">
        <f>GLOBAL_DER_FEV_2023!S2333</f>
        <v/>
      </c>
      <c r="W2333" s="582">
        <v>0</v>
      </c>
      <c r="X2333" s="580"/>
      <c r="Y2333" s="583">
        <f>IF(GLOBAL_DER_FEV_2023!W2333=0,0,IF(GLOBAL_DER_FEV_2023!W2333&gt;0,"c","b"))</f>
        <v>0</v>
      </c>
    </row>
    <row r="2334" spans="1:25" ht="15" hidden="1" customHeight="1" x14ac:dyDescent="0.2">
      <c r="A2334" s="317" t="s">
        <v>147</v>
      </c>
      <c r="B2334" s="895" t="s">
        <v>147</v>
      </c>
      <c r="C2334" s="896"/>
      <c r="D2334" s="906" t="s">
        <v>233</v>
      </c>
      <c r="E2334" s="907">
        <f>GLOBAL_DER_FEV_2023!E2334</f>
        <v>0.2</v>
      </c>
      <c r="F2334" s="908">
        <f>GLOBAL_DER_FEV_2023!F2334</f>
        <v>1.7704500000000001</v>
      </c>
      <c r="G2334" s="949">
        <f>GLOBAL_DER_FEV_2023!G2334</f>
        <v>5.1236823000000005</v>
      </c>
      <c r="H2334" s="901">
        <f>GLOBAL_DER_FEV_2023!H2334</f>
        <v>0</v>
      </c>
      <c r="I2334" s="901">
        <f>GLOBAL_DER_FEV_2023!I2334</f>
        <v>0</v>
      </c>
      <c r="J2334" s="902">
        <f>GLOBAL_DER_FEV_2023!J2334</f>
        <v>0</v>
      </c>
      <c r="K2334" s="903"/>
      <c r="L2334" s="1177"/>
      <c r="M2334" s="1138">
        <f t="shared" si="177"/>
        <v>0</v>
      </c>
      <c r="N2334" s="1176">
        <f t="shared" si="176"/>
        <v>0</v>
      </c>
      <c r="O2334" s="905"/>
      <c r="P2334" s="36" t="str">
        <f>IF(N2331&gt;0,"xx",IF(N2331&gt;0,"xy",""))</f>
        <v/>
      </c>
      <c r="Q2334" s="317" t="str">
        <f t="shared" si="178"/>
        <v/>
      </c>
      <c r="R2334" s="317" t="str">
        <f t="shared" si="179"/>
        <v/>
      </c>
      <c r="S2334" s="317" t="str">
        <f t="shared" si="180"/>
        <v/>
      </c>
      <c r="T2334" s="317" t="str">
        <f>GLOBAL_DER_FEV_2023!S2334</f>
        <v/>
      </c>
      <c r="W2334" s="582">
        <v>0</v>
      </c>
      <c r="X2334" s="580"/>
      <c r="Y2334" s="583">
        <f>IF(GLOBAL_DER_FEV_2023!W2334=0,0,IF(GLOBAL_DER_FEV_2023!W2334&gt;0,"c","b"))</f>
        <v>0</v>
      </c>
    </row>
    <row r="2335" spans="1:25" ht="15" hidden="1" customHeight="1" x14ac:dyDescent="0.2">
      <c r="A2335" s="317" t="s">
        <v>121</v>
      </c>
      <c r="B2335" s="895" t="s">
        <v>121</v>
      </c>
      <c r="C2335" s="896" t="s">
        <v>184</v>
      </c>
      <c r="D2335" s="906" t="s">
        <v>135</v>
      </c>
      <c r="E2335" s="907">
        <f>GLOBAL_DER_FEV_2023!E2335</f>
        <v>0</v>
      </c>
      <c r="F2335" s="908">
        <f>GLOBAL_DER_FEV_2023!F2335</f>
        <v>0</v>
      </c>
      <c r="G2335" s="912">
        <f>GLOBAL_DER_FEV_2023!G2335</f>
        <v>472.95947180000007</v>
      </c>
      <c r="H2335" s="901">
        <f>GLOBAL_DER_FEV_2023!H2335</f>
        <v>1851.62</v>
      </c>
      <c r="I2335" s="901">
        <f>GLOBAL_DER_FEV_2023!I2335</f>
        <v>2324.5794717999997</v>
      </c>
      <c r="J2335" s="902">
        <f>GLOBAL_DER_FEV_2023!J2335</f>
        <v>2791.12</v>
      </c>
      <c r="K2335" s="903" t="s">
        <v>15</v>
      </c>
      <c r="L2335" s="1137"/>
      <c r="M2335" s="1138">
        <f t="shared" si="177"/>
        <v>0</v>
      </c>
      <c r="N2335" s="1176">
        <f t="shared" si="176"/>
        <v>0</v>
      </c>
      <c r="O2335" s="905"/>
      <c r="Q2335" s="317" t="str">
        <f t="shared" si="178"/>
        <v/>
      </c>
      <c r="R2335" s="317" t="str">
        <f t="shared" si="179"/>
        <v/>
      </c>
      <c r="S2335" s="317" t="str">
        <f t="shared" si="180"/>
        <v/>
      </c>
      <c r="T2335" s="317" t="str">
        <f>GLOBAL_DER_FEV_2023!S2335</f>
        <v/>
      </c>
      <c r="W2335" s="582">
        <v>0</v>
      </c>
      <c r="X2335" s="580"/>
      <c r="Y2335" s="583">
        <f>IF(GLOBAL_DER_FEV_2023!W2335=0,0,IF(GLOBAL_DER_FEV_2023!W2335&gt;0,"c","b"))</f>
        <v>0</v>
      </c>
    </row>
    <row r="2336" spans="1:25" ht="15" hidden="1" customHeight="1" x14ac:dyDescent="0.2">
      <c r="A2336" s="317" t="s">
        <v>147</v>
      </c>
      <c r="B2336" s="895" t="s">
        <v>147</v>
      </c>
      <c r="C2336" s="896"/>
      <c r="D2336" s="906" t="s">
        <v>190</v>
      </c>
      <c r="E2336" s="907">
        <f>GLOBAL_DER_FEV_2023!E2336</f>
        <v>308</v>
      </c>
      <c r="F2336" s="908">
        <f>GLOBAL_DER_FEV_2023!F2336</f>
        <v>0.6411</v>
      </c>
      <c r="G2336" s="909">
        <f>GLOBAL_DER_FEV_2023!G2336</f>
        <v>159.03126600000002</v>
      </c>
      <c r="H2336" s="901">
        <f>GLOBAL_DER_FEV_2023!H2336</f>
        <v>0</v>
      </c>
      <c r="I2336" s="901">
        <f>GLOBAL_DER_FEV_2023!I2336</f>
        <v>0</v>
      </c>
      <c r="J2336" s="902">
        <f>GLOBAL_DER_FEV_2023!J2336</f>
        <v>0</v>
      </c>
      <c r="K2336" s="903"/>
      <c r="L2336" s="1177"/>
      <c r="M2336" s="1138">
        <f t="shared" si="177"/>
        <v>0</v>
      </c>
      <c r="N2336" s="1176">
        <f t="shared" si="176"/>
        <v>0</v>
      </c>
      <c r="O2336" s="905"/>
      <c r="P2336" s="36" t="str">
        <f>IF(N2335&gt;0,"xx",IF(N2335&gt;0,"xy",""))</f>
        <v/>
      </c>
      <c r="Q2336" s="317" t="str">
        <f t="shared" si="178"/>
        <v/>
      </c>
      <c r="R2336" s="317" t="str">
        <f t="shared" si="179"/>
        <v/>
      </c>
      <c r="S2336" s="317" t="str">
        <f t="shared" si="180"/>
        <v/>
      </c>
      <c r="T2336" s="317" t="str">
        <f>GLOBAL_DER_FEV_2023!S2336</f>
        <v/>
      </c>
      <c r="W2336" s="582">
        <v>0</v>
      </c>
      <c r="X2336" s="580"/>
      <c r="Y2336" s="583">
        <f>IF(GLOBAL_DER_FEV_2023!W2336=0,0,IF(GLOBAL_DER_FEV_2023!W2336&gt;0,"c","b"))</f>
        <v>0</v>
      </c>
    </row>
    <row r="2337" spans="1:25" ht="15" hidden="1" customHeight="1" x14ac:dyDescent="0.2">
      <c r="A2337" s="317" t="s">
        <v>147</v>
      </c>
      <c r="B2337" s="895" t="s">
        <v>147</v>
      </c>
      <c r="C2337" s="896"/>
      <c r="D2337" s="906" t="s">
        <v>229</v>
      </c>
      <c r="E2337" s="907">
        <f>GLOBAL_DER_FEV_2023!E2337</f>
        <v>150</v>
      </c>
      <c r="F2337" s="908">
        <f>GLOBAL_DER_FEV_2023!F2337</f>
        <v>1.8840500000000002</v>
      </c>
      <c r="G2337" s="949">
        <f>GLOBAL_DER_FEV_2023!G2337</f>
        <v>307.43927900000006</v>
      </c>
      <c r="H2337" s="901">
        <f>GLOBAL_DER_FEV_2023!H2337</f>
        <v>0</v>
      </c>
      <c r="I2337" s="901">
        <f>GLOBAL_DER_FEV_2023!I2337</f>
        <v>0</v>
      </c>
      <c r="J2337" s="902">
        <f>GLOBAL_DER_FEV_2023!J2337</f>
        <v>0</v>
      </c>
      <c r="K2337" s="903"/>
      <c r="L2337" s="1177"/>
      <c r="M2337" s="1138">
        <f t="shared" si="177"/>
        <v>0</v>
      </c>
      <c r="N2337" s="1176">
        <f t="shared" ref="N2337:N2400" si="181">IF(ISBLANK(L2337),0,IF(W2337=0,ROUND(L2337*M2337,2),IF(W2337="b",ROUNDDOWN(L2337*M2337,2),ROUNDUP(L2337*M2337,2))))</f>
        <v>0</v>
      </c>
      <c r="O2337" s="905"/>
      <c r="P2337" s="36" t="str">
        <f>IF(N2335&gt;0,"xx",IF(N2335&gt;0,"xy",""))</f>
        <v/>
      </c>
      <c r="Q2337" s="317" t="str">
        <f t="shared" si="178"/>
        <v/>
      </c>
      <c r="R2337" s="317" t="str">
        <f t="shared" si="179"/>
        <v/>
      </c>
      <c r="S2337" s="317" t="str">
        <f t="shared" si="180"/>
        <v/>
      </c>
      <c r="T2337" s="317" t="str">
        <f>GLOBAL_DER_FEV_2023!S2337</f>
        <v/>
      </c>
      <c r="W2337" s="582">
        <v>0</v>
      </c>
      <c r="X2337" s="580"/>
      <c r="Y2337" s="583">
        <f>IF(GLOBAL_DER_FEV_2023!W2337=0,0,IF(GLOBAL_DER_FEV_2023!W2337&gt;0,"c","b"))</f>
        <v>0</v>
      </c>
    </row>
    <row r="2338" spans="1:25" ht="15" hidden="1" customHeight="1" x14ac:dyDescent="0.2">
      <c r="A2338" s="317" t="s">
        <v>147</v>
      </c>
      <c r="B2338" s="895" t="s">
        <v>147</v>
      </c>
      <c r="C2338" s="896"/>
      <c r="D2338" s="906" t="s">
        <v>233</v>
      </c>
      <c r="E2338" s="907">
        <f>GLOBAL_DER_FEV_2023!E2338</f>
        <v>0.2</v>
      </c>
      <c r="F2338" s="908">
        <f>GLOBAL_DER_FEV_2023!F2338</f>
        <v>2.2422</v>
      </c>
      <c r="G2338" s="949">
        <f>GLOBAL_DER_FEV_2023!G2338</f>
        <v>6.4889267999999998</v>
      </c>
      <c r="H2338" s="901">
        <f>GLOBAL_DER_FEV_2023!H2338</f>
        <v>0</v>
      </c>
      <c r="I2338" s="901">
        <f>GLOBAL_DER_FEV_2023!I2338</f>
        <v>0</v>
      </c>
      <c r="J2338" s="902">
        <f>GLOBAL_DER_FEV_2023!J2338</f>
        <v>0</v>
      </c>
      <c r="K2338" s="903"/>
      <c r="L2338" s="1177"/>
      <c r="M2338" s="1138">
        <f t="shared" si="177"/>
        <v>0</v>
      </c>
      <c r="N2338" s="1176">
        <f t="shared" si="181"/>
        <v>0</v>
      </c>
      <c r="O2338" s="905"/>
      <c r="P2338" s="36" t="str">
        <f>IF(N2335&gt;0,"xx",IF(N2335&gt;0,"xy",""))</f>
        <v/>
      </c>
      <c r="Q2338" s="317" t="str">
        <f t="shared" si="178"/>
        <v/>
      </c>
      <c r="R2338" s="317" t="str">
        <f t="shared" si="179"/>
        <v/>
      </c>
      <c r="S2338" s="317" t="str">
        <f t="shared" si="180"/>
        <v/>
      </c>
      <c r="T2338" s="317" t="str">
        <f>GLOBAL_DER_FEV_2023!S2338</f>
        <v/>
      </c>
      <c r="W2338" s="582">
        <v>0</v>
      </c>
      <c r="X2338" s="580"/>
      <c r="Y2338" s="583">
        <f>IF(GLOBAL_DER_FEV_2023!W2338=0,0,IF(GLOBAL_DER_FEV_2023!W2338&gt;0,"c","b"))</f>
        <v>0</v>
      </c>
    </row>
    <row r="2339" spans="1:25" ht="15" hidden="1" customHeight="1" x14ac:dyDescent="0.2">
      <c r="A2339" s="317" t="s">
        <v>122</v>
      </c>
      <c r="B2339" s="895" t="s">
        <v>122</v>
      </c>
      <c r="C2339" s="896" t="s">
        <v>184</v>
      </c>
      <c r="D2339" s="906" t="s">
        <v>136</v>
      </c>
      <c r="E2339" s="907">
        <f>GLOBAL_DER_FEV_2023!E2339</f>
        <v>0</v>
      </c>
      <c r="F2339" s="908">
        <f>GLOBAL_DER_FEV_2023!F2339</f>
        <v>0</v>
      </c>
      <c r="G2339" s="912">
        <f>GLOBAL_DER_FEV_2023!G2339</f>
        <v>592.92383533999998</v>
      </c>
      <c r="H2339" s="901">
        <f>GLOBAL_DER_FEV_2023!H2339</f>
        <v>2119.0300000000002</v>
      </c>
      <c r="I2339" s="901">
        <f>GLOBAL_DER_FEV_2023!I2339</f>
        <v>2711.9538353400003</v>
      </c>
      <c r="J2339" s="902">
        <f>GLOBAL_DER_FEV_2023!J2339</f>
        <v>3256.24</v>
      </c>
      <c r="K2339" s="903" t="s">
        <v>15</v>
      </c>
      <c r="L2339" s="1137"/>
      <c r="M2339" s="1138">
        <f t="shared" si="177"/>
        <v>0</v>
      </c>
      <c r="N2339" s="1176">
        <f t="shared" si="181"/>
        <v>0</v>
      </c>
      <c r="O2339" s="905"/>
      <c r="Q2339" s="317" t="str">
        <f t="shared" si="178"/>
        <v/>
      </c>
      <c r="R2339" s="317" t="str">
        <f t="shared" si="179"/>
        <v/>
      </c>
      <c r="S2339" s="317" t="str">
        <f t="shared" si="180"/>
        <v/>
      </c>
      <c r="T2339" s="317" t="str">
        <f>GLOBAL_DER_FEV_2023!S2339</f>
        <v/>
      </c>
      <c r="W2339" s="582">
        <v>0</v>
      </c>
      <c r="X2339" s="580"/>
      <c r="Y2339" s="583">
        <f>IF(GLOBAL_DER_FEV_2023!W2339=0,0,IF(GLOBAL_DER_FEV_2023!W2339&gt;0,"c","b"))</f>
        <v>0</v>
      </c>
    </row>
    <row r="2340" spans="1:25" ht="15" hidden="1" customHeight="1" x14ac:dyDescent="0.2">
      <c r="A2340" s="317" t="s">
        <v>147</v>
      </c>
      <c r="B2340" s="895" t="s">
        <v>147</v>
      </c>
      <c r="C2340" s="896"/>
      <c r="D2340" s="906" t="s">
        <v>190</v>
      </c>
      <c r="E2340" s="907">
        <f>GLOBAL_DER_FEV_2023!E2340</f>
        <v>308</v>
      </c>
      <c r="F2340" s="908">
        <f>GLOBAL_DER_FEV_2023!F2340</f>
        <v>0.80657999999999996</v>
      </c>
      <c r="G2340" s="909">
        <f>GLOBAL_DER_FEV_2023!G2340</f>
        <v>200.0802348</v>
      </c>
      <c r="H2340" s="901">
        <f>GLOBAL_DER_FEV_2023!H2340</f>
        <v>0</v>
      </c>
      <c r="I2340" s="901">
        <f>GLOBAL_DER_FEV_2023!I2340</f>
        <v>0</v>
      </c>
      <c r="J2340" s="902">
        <f>GLOBAL_DER_FEV_2023!J2340</f>
        <v>0</v>
      </c>
      <c r="K2340" s="903"/>
      <c r="L2340" s="1177"/>
      <c r="M2340" s="1138">
        <f t="shared" si="177"/>
        <v>0</v>
      </c>
      <c r="N2340" s="1176">
        <f t="shared" si="181"/>
        <v>0</v>
      </c>
      <c r="O2340" s="905"/>
      <c r="P2340" s="36" t="str">
        <f>IF(N2339&gt;0,"xx",IF(N2339&gt;0,"xy",""))</f>
        <v/>
      </c>
      <c r="Q2340" s="317" t="str">
        <f t="shared" si="178"/>
        <v/>
      </c>
      <c r="R2340" s="317" t="str">
        <f t="shared" si="179"/>
        <v/>
      </c>
      <c r="S2340" s="317" t="str">
        <f t="shared" si="180"/>
        <v/>
      </c>
      <c r="T2340" s="317" t="str">
        <f>GLOBAL_DER_FEV_2023!S2340</f>
        <v/>
      </c>
      <c r="W2340" s="582">
        <v>0</v>
      </c>
      <c r="X2340" s="580"/>
      <c r="Y2340" s="583">
        <f>IF(GLOBAL_DER_FEV_2023!W2340=0,0,IF(GLOBAL_DER_FEV_2023!W2340&gt;0,"c","b"))</f>
        <v>0</v>
      </c>
    </row>
    <row r="2341" spans="1:25" ht="15" hidden="1" customHeight="1" x14ac:dyDescent="0.2">
      <c r="A2341" s="317" t="s">
        <v>147</v>
      </c>
      <c r="B2341" s="895" t="s">
        <v>147</v>
      </c>
      <c r="C2341" s="896"/>
      <c r="D2341" s="906" t="s">
        <v>229</v>
      </c>
      <c r="E2341" s="907">
        <f>GLOBAL_DER_FEV_2023!E2341</f>
        <v>150</v>
      </c>
      <c r="F2341" s="908">
        <f>GLOBAL_DER_FEV_2023!F2341</f>
        <v>2.3575999999999997</v>
      </c>
      <c r="G2341" s="949">
        <f>GLOBAL_DER_FEV_2023!G2341</f>
        <v>384.71316799999994</v>
      </c>
      <c r="H2341" s="901">
        <f>GLOBAL_DER_FEV_2023!H2341</f>
        <v>0</v>
      </c>
      <c r="I2341" s="901">
        <f>GLOBAL_DER_FEV_2023!I2341</f>
        <v>0</v>
      </c>
      <c r="J2341" s="902">
        <f>GLOBAL_DER_FEV_2023!J2341</f>
        <v>0</v>
      </c>
      <c r="K2341" s="903"/>
      <c r="L2341" s="1177"/>
      <c r="M2341" s="1138">
        <f t="shared" si="177"/>
        <v>0</v>
      </c>
      <c r="N2341" s="1176">
        <f t="shared" si="181"/>
        <v>0</v>
      </c>
      <c r="O2341" s="905"/>
      <c r="P2341" s="36" t="str">
        <f>IF(N2339&gt;0,"xx",IF(N2339&gt;0,"xy",""))</f>
        <v/>
      </c>
      <c r="Q2341" s="317" t="str">
        <f t="shared" si="178"/>
        <v/>
      </c>
      <c r="R2341" s="317" t="str">
        <f t="shared" si="179"/>
        <v/>
      </c>
      <c r="S2341" s="317" t="str">
        <f t="shared" si="180"/>
        <v/>
      </c>
      <c r="T2341" s="317" t="str">
        <f>GLOBAL_DER_FEV_2023!S2341</f>
        <v/>
      </c>
      <c r="W2341" s="582">
        <v>0</v>
      </c>
      <c r="X2341" s="580"/>
      <c r="Y2341" s="583">
        <f>IF(GLOBAL_DER_FEV_2023!W2341=0,0,IF(GLOBAL_DER_FEV_2023!W2341&gt;0,"c","b"))</f>
        <v>0</v>
      </c>
    </row>
    <row r="2342" spans="1:25" ht="15" hidden="1" customHeight="1" x14ac:dyDescent="0.2">
      <c r="A2342" s="317" t="s">
        <v>147</v>
      </c>
      <c r="B2342" s="895" t="s">
        <v>147</v>
      </c>
      <c r="C2342" s="896"/>
      <c r="D2342" s="906" t="s">
        <v>233</v>
      </c>
      <c r="E2342" s="907">
        <f>GLOBAL_DER_FEV_2023!E2342</f>
        <v>0.2</v>
      </c>
      <c r="F2342" s="908">
        <f>GLOBAL_DER_FEV_2023!F2342</f>
        <v>2.8094099999999997</v>
      </c>
      <c r="G2342" s="949">
        <f>GLOBAL_DER_FEV_2023!G2342</f>
        <v>8.1304325399999993</v>
      </c>
      <c r="H2342" s="901">
        <f>GLOBAL_DER_FEV_2023!H2342</f>
        <v>0</v>
      </c>
      <c r="I2342" s="901">
        <f>GLOBAL_DER_FEV_2023!I2342</f>
        <v>0</v>
      </c>
      <c r="J2342" s="902">
        <f>GLOBAL_DER_FEV_2023!J2342</f>
        <v>0</v>
      </c>
      <c r="K2342" s="903"/>
      <c r="L2342" s="1177"/>
      <c r="M2342" s="1138">
        <f t="shared" si="177"/>
        <v>0</v>
      </c>
      <c r="N2342" s="1176">
        <f t="shared" si="181"/>
        <v>0</v>
      </c>
      <c r="O2342" s="905"/>
      <c r="P2342" s="36" t="str">
        <f>IF(N2339&gt;0,"xx",IF(N2339&gt;0,"xy",""))</f>
        <v/>
      </c>
      <c r="Q2342" s="317" t="str">
        <f t="shared" si="178"/>
        <v/>
      </c>
      <c r="R2342" s="317" t="str">
        <f t="shared" si="179"/>
        <v/>
      </c>
      <c r="S2342" s="317" t="str">
        <f t="shared" si="180"/>
        <v/>
      </c>
      <c r="T2342" s="317" t="str">
        <f>GLOBAL_DER_FEV_2023!S2342</f>
        <v/>
      </c>
      <c r="W2342" s="582">
        <v>0</v>
      </c>
      <c r="X2342" s="580"/>
      <c r="Y2342" s="583">
        <f>IF(GLOBAL_DER_FEV_2023!W2342=0,0,IF(GLOBAL_DER_FEV_2023!W2342&gt;0,"c","b"))</f>
        <v>0</v>
      </c>
    </row>
    <row r="2343" spans="1:25" ht="15" hidden="1" customHeight="1" x14ac:dyDescent="0.2">
      <c r="A2343" s="317" t="s">
        <v>123</v>
      </c>
      <c r="B2343" s="895" t="s">
        <v>123</v>
      </c>
      <c r="C2343" s="896" t="s">
        <v>184</v>
      </c>
      <c r="D2343" s="906" t="s">
        <v>137</v>
      </c>
      <c r="E2343" s="907">
        <f>GLOBAL_DER_FEV_2023!E2343</f>
        <v>0</v>
      </c>
      <c r="F2343" s="908">
        <f>GLOBAL_DER_FEV_2023!F2343</f>
        <v>0</v>
      </c>
      <c r="G2343" s="912">
        <f>GLOBAL_DER_FEV_2023!G2343</f>
        <v>286.21071490000003</v>
      </c>
      <c r="H2343" s="901">
        <f>GLOBAL_DER_FEV_2023!H2343</f>
        <v>3215.9</v>
      </c>
      <c r="I2343" s="901">
        <f>GLOBAL_DER_FEV_2023!I2343</f>
        <v>3502.1107148999999</v>
      </c>
      <c r="J2343" s="902">
        <f>GLOBAL_DER_FEV_2023!J2343</f>
        <v>4204.9799999999996</v>
      </c>
      <c r="K2343" s="903" t="s">
        <v>15</v>
      </c>
      <c r="L2343" s="1137"/>
      <c r="M2343" s="1138">
        <f t="shared" si="177"/>
        <v>0</v>
      </c>
      <c r="N2343" s="1176">
        <f t="shared" si="181"/>
        <v>0</v>
      </c>
      <c r="O2343" s="905"/>
      <c r="Q2343" s="317" t="str">
        <f t="shared" si="178"/>
        <v/>
      </c>
      <c r="R2343" s="317" t="str">
        <f t="shared" si="179"/>
        <v/>
      </c>
      <c r="S2343" s="317" t="str">
        <f t="shared" si="180"/>
        <v/>
      </c>
      <c r="T2343" s="317" t="str">
        <f>GLOBAL_DER_FEV_2023!S2343</f>
        <v/>
      </c>
      <c r="W2343" s="582">
        <v>0</v>
      </c>
      <c r="X2343" s="580"/>
      <c r="Y2343" s="583">
        <f>IF(GLOBAL_DER_FEV_2023!W2343=0,0,IF(GLOBAL_DER_FEV_2023!W2343&gt;0,"c","b"))</f>
        <v>0</v>
      </c>
    </row>
    <row r="2344" spans="1:25" ht="15" hidden="1" customHeight="1" x14ac:dyDescent="0.2">
      <c r="A2344" s="317" t="s">
        <v>147</v>
      </c>
      <c r="B2344" s="895" t="s">
        <v>147</v>
      </c>
      <c r="C2344" s="896"/>
      <c r="D2344" s="906" t="s">
        <v>190</v>
      </c>
      <c r="E2344" s="907">
        <f>GLOBAL_DER_FEV_2023!E2344</f>
        <v>308</v>
      </c>
      <c r="F2344" s="908">
        <f>GLOBAL_DER_FEV_2023!F2344</f>
        <v>0.38250000000000006</v>
      </c>
      <c r="G2344" s="909">
        <f>GLOBAL_DER_FEV_2023!G2344</f>
        <v>94.882950000000022</v>
      </c>
      <c r="H2344" s="901">
        <f>GLOBAL_DER_FEV_2023!H2344</f>
        <v>0</v>
      </c>
      <c r="I2344" s="901">
        <f>GLOBAL_DER_FEV_2023!I2344</f>
        <v>0</v>
      </c>
      <c r="J2344" s="902">
        <f>GLOBAL_DER_FEV_2023!J2344</f>
        <v>0</v>
      </c>
      <c r="K2344" s="903"/>
      <c r="L2344" s="1177"/>
      <c r="M2344" s="1138">
        <f t="shared" si="177"/>
        <v>0</v>
      </c>
      <c r="N2344" s="1176">
        <f t="shared" si="181"/>
        <v>0</v>
      </c>
      <c r="O2344" s="905"/>
      <c r="P2344" s="36" t="str">
        <f>IF(N2343&gt;0,"xx",IF(N2343&gt;0,"xy",""))</f>
        <v/>
      </c>
      <c r="Q2344" s="317" t="str">
        <f t="shared" si="178"/>
        <v/>
      </c>
      <c r="R2344" s="317" t="str">
        <f t="shared" si="179"/>
        <v/>
      </c>
      <c r="S2344" s="317" t="str">
        <f t="shared" si="180"/>
        <v/>
      </c>
      <c r="T2344" s="317" t="str">
        <f>GLOBAL_DER_FEV_2023!S2344</f>
        <v/>
      </c>
      <c r="W2344" s="582">
        <v>0</v>
      </c>
      <c r="X2344" s="580"/>
      <c r="Y2344" s="583">
        <f>IF(GLOBAL_DER_FEV_2023!W2344=0,0,IF(GLOBAL_DER_FEV_2023!W2344&gt;0,"c","b"))</f>
        <v>0</v>
      </c>
    </row>
    <row r="2345" spans="1:25" ht="15" hidden="1" customHeight="1" x14ac:dyDescent="0.2">
      <c r="A2345" s="317" t="s">
        <v>147</v>
      </c>
      <c r="B2345" s="895" t="s">
        <v>147</v>
      </c>
      <c r="C2345" s="896"/>
      <c r="D2345" s="906" t="s">
        <v>229</v>
      </c>
      <c r="E2345" s="907">
        <f>GLOBAL_DER_FEV_2023!E2345</f>
        <v>150</v>
      </c>
      <c r="F2345" s="908">
        <f>GLOBAL_DER_FEV_2023!F2345</f>
        <v>1.1483800000000002</v>
      </c>
      <c r="G2345" s="949">
        <f>GLOBAL_DER_FEV_2023!G2345</f>
        <v>187.39264840000004</v>
      </c>
      <c r="H2345" s="901">
        <f>GLOBAL_DER_FEV_2023!H2345</f>
        <v>0</v>
      </c>
      <c r="I2345" s="901">
        <f>GLOBAL_DER_FEV_2023!I2345</f>
        <v>0</v>
      </c>
      <c r="J2345" s="902">
        <f>GLOBAL_DER_FEV_2023!J2345</f>
        <v>0</v>
      </c>
      <c r="K2345" s="903"/>
      <c r="L2345" s="1177"/>
      <c r="M2345" s="1138">
        <f t="shared" si="177"/>
        <v>0</v>
      </c>
      <c r="N2345" s="1176">
        <f t="shared" si="181"/>
        <v>0</v>
      </c>
      <c r="O2345" s="905"/>
      <c r="P2345" s="36" t="str">
        <f>IF(N2343&gt;0,"xx",IF(N2343&gt;0,"xy",""))</f>
        <v/>
      </c>
      <c r="Q2345" s="317" t="str">
        <f t="shared" si="178"/>
        <v/>
      </c>
      <c r="R2345" s="317" t="str">
        <f t="shared" si="179"/>
        <v/>
      </c>
      <c r="S2345" s="317" t="str">
        <f t="shared" si="180"/>
        <v/>
      </c>
      <c r="T2345" s="317" t="str">
        <f>GLOBAL_DER_FEV_2023!S2345</f>
        <v/>
      </c>
      <c r="W2345" s="582">
        <v>0</v>
      </c>
      <c r="X2345" s="580"/>
      <c r="Y2345" s="583">
        <f>IF(GLOBAL_DER_FEV_2023!W2345=0,0,IF(GLOBAL_DER_FEV_2023!W2345&gt;0,"c","b"))</f>
        <v>0</v>
      </c>
    </row>
    <row r="2346" spans="1:25" ht="15" hidden="1" customHeight="1" x14ac:dyDescent="0.2">
      <c r="A2346" s="317" t="s">
        <v>147</v>
      </c>
      <c r="B2346" s="895" t="s">
        <v>147</v>
      </c>
      <c r="C2346" s="896"/>
      <c r="D2346" s="906" t="s">
        <v>233</v>
      </c>
      <c r="E2346" s="907">
        <f>GLOBAL_DER_FEV_2023!E2346</f>
        <v>0.2</v>
      </c>
      <c r="F2346" s="908">
        <f>GLOBAL_DER_FEV_2023!F2346</f>
        <v>1.35975</v>
      </c>
      <c r="G2346" s="949">
        <f>GLOBAL_DER_FEV_2023!G2346</f>
        <v>3.9351165000000004</v>
      </c>
      <c r="H2346" s="901">
        <f>GLOBAL_DER_FEV_2023!H2346</f>
        <v>0</v>
      </c>
      <c r="I2346" s="901">
        <f>GLOBAL_DER_FEV_2023!I2346</f>
        <v>0</v>
      </c>
      <c r="J2346" s="902">
        <f>GLOBAL_DER_FEV_2023!J2346</f>
        <v>0</v>
      </c>
      <c r="K2346" s="903"/>
      <c r="L2346" s="1177"/>
      <c r="M2346" s="1138">
        <f t="shared" si="177"/>
        <v>0</v>
      </c>
      <c r="N2346" s="1176">
        <f t="shared" si="181"/>
        <v>0</v>
      </c>
      <c r="O2346" s="905"/>
      <c r="P2346" s="36" t="str">
        <f>IF(N2343&gt;0,"xx",IF(N2343&gt;0,"xy",""))</f>
        <v/>
      </c>
      <c r="Q2346" s="317" t="str">
        <f t="shared" si="178"/>
        <v/>
      </c>
      <c r="R2346" s="317" t="str">
        <f t="shared" si="179"/>
        <v/>
      </c>
      <c r="S2346" s="317" t="str">
        <f t="shared" si="180"/>
        <v/>
      </c>
      <c r="T2346" s="317" t="str">
        <f>GLOBAL_DER_FEV_2023!S2346</f>
        <v/>
      </c>
      <c r="W2346" s="582">
        <v>0</v>
      </c>
      <c r="X2346" s="580"/>
      <c r="Y2346" s="583">
        <f>IF(GLOBAL_DER_FEV_2023!W2346=0,0,IF(GLOBAL_DER_FEV_2023!W2346&gt;0,"c","b"))</f>
        <v>0</v>
      </c>
    </row>
    <row r="2347" spans="1:25" ht="15" hidden="1" customHeight="1" x14ac:dyDescent="0.2">
      <c r="A2347" s="317" t="s">
        <v>124</v>
      </c>
      <c r="B2347" s="895" t="s">
        <v>124</v>
      </c>
      <c r="C2347" s="896" t="s">
        <v>184</v>
      </c>
      <c r="D2347" s="906" t="s">
        <v>138</v>
      </c>
      <c r="E2347" s="907">
        <f>GLOBAL_DER_FEV_2023!E2347</f>
        <v>0</v>
      </c>
      <c r="F2347" s="908">
        <f>GLOBAL_DER_FEV_2023!F2347</f>
        <v>0</v>
      </c>
      <c r="G2347" s="912">
        <f>GLOBAL_DER_FEV_2023!G2347</f>
        <v>321.51485289999999</v>
      </c>
      <c r="H2347" s="901">
        <f>GLOBAL_DER_FEV_2023!H2347</f>
        <v>3565.26</v>
      </c>
      <c r="I2347" s="901">
        <f>GLOBAL_DER_FEV_2023!I2347</f>
        <v>3886.7748529</v>
      </c>
      <c r="J2347" s="902">
        <f>GLOBAL_DER_FEV_2023!J2347</f>
        <v>4666.8500000000004</v>
      </c>
      <c r="K2347" s="903" t="s">
        <v>15</v>
      </c>
      <c r="L2347" s="1137"/>
      <c r="M2347" s="1138">
        <f t="shared" si="177"/>
        <v>0</v>
      </c>
      <c r="N2347" s="1176">
        <f t="shared" si="181"/>
        <v>0</v>
      </c>
      <c r="O2347" s="905"/>
      <c r="Q2347" s="317" t="str">
        <f t="shared" si="178"/>
        <v/>
      </c>
      <c r="R2347" s="317" t="str">
        <f t="shared" si="179"/>
        <v/>
      </c>
      <c r="S2347" s="317" t="str">
        <f t="shared" si="180"/>
        <v/>
      </c>
      <c r="T2347" s="317" t="str">
        <f>GLOBAL_DER_FEV_2023!S2347</f>
        <v/>
      </c>
      <c r="W2347" s="582">
        <v>0</v>
      </c>
      <c r="X2347" s="580"/>
      <c r="Y2347" s="583">
        <f>IF(GLOBAL_DER_FEV_2023!W2347=0,0,IF(GLOBAL_DER_FEV_2023!W2347&gt;0,"c","b"))</f>
        <v>0</v>
      </c>
    </row>
    <row r="2348" spans="1:25" ht="15" hidden="1" customHeight="1" x14ac:dyDescent="0.2">
      <c r="A2348" s="317" t="s">
        <v>147</v>
      </c>
      <c r="B2348" s="895" t="s">
        <v>147</v>
      </c>
      <c r="C2348" s="896"/>
      <c r="D2348" s="906" t="s">
        <v>190</v>
      </c>
      <c r="E2348" s="907">
        <f>GLOBAL_DER_FEV_2023!E2348</f>
        <v>308</v>
      </c>
      <c r="F2348" s="908">
        <f>GLOBAL_DER_FEV_2023!F2348</f>
        <v>0.43200000000000005</v>
      </c>
      <c r="G2348" s="909">
        <f>GLOBAL_DER_FEV_2023!G2348</f>
        <v>107.16192000000001</v>
      </c>
      <c r="H2348" s="901">
        <f>GLOBAL_DER_FEV_2023!H2348</f>
        <v>0</v>
      </c>
      <c r="I2348" s="901">
        <f>GLOBAL_DER_FEV_2023!I2348</f>
        <v>0</v>
      </c>
      <c r="J2348" s="902">
        <f>GLOBAL_DER_FEV_2023!J2348</f>
        <v>0</v>
      </c>
      <c r="K2348" s="903"/>
      <c r="L2348" s="1177"/>
      <c r="M2348" s="1138">
        <f t="shared" si="177"/>
        <v>0</v>
      </c>
      <c r="N2348" s="1176">
        <f t="shared" si="181"/>
        <v>0</v>
      </c>
      <c r="O2348" s="905"/>
      <c r="P2348" s="36" t="str">
        <f>IF(N2347&gt;0,"xx",IF(N2347&gt;0,"xy",""))</f>
        <v/>
      </c>
      <c r="Q2348" s="317" t="str">
        <f t="shared" si="178"/>
        <v/>
      </c>
      <c r="R2348" s="317" t="str">
        <f t="shared" si="179"/>
        <v/>
      </c>
      <c r="S2348" s="317" t="str">
        <f t="shared" si="180"/>
        <v/>
      </c>
      <c r="T2348" s="317" t="str">
        <f>GLOBAL_DER_FEV_2023!S2348</f>
        <v/>
      </c>
      <c r="W2348" s="582">
        <v>0</v>
      </c>
      <c r="X2348" s="580"/>
      <c r="Y2348" s="583">
        <f>IF(GLOBAL_DER_FEV_2023!W2348=0,0,IF(GLOBAL_DER_FEV_2023!W2348&gt;0,"c","b"))</f>
        <v>0</v>
      </c>
    </row>
    <row r="2349" spans="1:25" ht="15" hidden="1" customHeight="1" x14ac:dyDescent="0.2">
      <c r="A2349" s="317" t="s">
        <v>147</v>
      </c>
      <c r="B2349" s="895" t="s">
        <v>147</v>
      </c>
      <c r="C2349" s="896"/>
      <c r="D2349" s="906" t="s">
        <v>229</v>
      </c>
      <c r="E2349" s="907">
        <f>GLOBAL_DER_FEV_2023!E2349</f>
        <v>150</v>
      </c>
      <c r="F2349" s="908">
        <f>GLOBAL_DER_FEV_2023!F2349</f>
        <v>1.28653</v>
      </c>
      <c r="G2349" s="949">
        <f>GLOBAL_DER_FEV_2023!G2349</f>
        <v>209.93596540000001</v>
      </c>
      <c r="H2349" s="901">
        <f>GLOBAL_DER_FEV_2023!H2349</f>
        <v>0</v>
      </c>
      <c r="I2349" s="901">
        <f>GLOBAL_DER_FEV_2023!I2349</f>
        <v>0</v>
      </c>
      <c r="J2349" s="902">
        <f>GLOBAL_DER_FEV_2023!J2349</f>
        <v>0</v>
      </c>
      <c r="K2349" s="903"/>
      <c r="L2349" s="1177"/>
      <c r="M2349" s="1138">
        <f t="shared" si="177"/>
        <v>0</v>
      </c>
      <c r="N2349" s="1176">
        <f t="shared" si="181"/>
        <v>0</v>
      </c>
      <c r="O2349" s="905"/>
      <c r="P2349" s="36" t="str">
        <f>IF(N2347&gt;0,"xx",IF(N2347&gt;0,"xy",""))</f>
        <v/>
      </c>
      <c r="Q2349" s="317" t="str">
        <f t="shared" si="178"/>
        <v/>
      </c>
      <c r="R2349" s="317" t="str">
        <f t="shared" si="179"/>
        <v/>
      </c>
      <c r="S2349" s="317" t="str">
        <f t="shared" si="180"/>
        <v/>
      </c>
      <c r="T2349" s="317" t="str">
        <f>GLOBAL_DER_FEV_2023!S2349</f>
        <v/>
      </c>
      <c r="W2349" s="582">
        <v>0</v>
      </c>
      <c r="X2349" s="580"/>
      <c r="Y2349" s="583">
        <f>IF(GLOBAL_DER_FEV_2023!W2349=0,0,IF(GLOBAL_DER_FEV_2023!W2349&gt;0,"c","b"))</f>
        <v>0</v>
      </c>
    </row>
    <row r="2350" spans="1:25" ht="15" hidden="1" customHeight="1" x14ac:dyDescent="0.2">
      <c r="A2350" s="317" t="s">
        <v>147</v>
      </c>
      <c r="B2350" s="895" t="s">
        <v>147</v>
      </c>
      <c r="C2350" s="896"/>
      <c r="D2350" s="906" t="s">
        <v>233</v>
      </c>
      <c r="E2350" s="907">
        <f>GLOBAL_DER_FEV_2023!E2350</f>
        <v>0.2</v>
      </c>
      <c r="F2350" s="908">
        <f>GLOBAL_DER_FEV_2023!F2350</f>
        <v>1.5262500000000001</v>
      </c>
      <c r="G2350" s="949">
        <f>GLOBAL_DER_FEV_2023!G2350</f>
        <v>4.4169675000000002</v>
      </c>
      <c r="H2350" s="901">
        <f>GLOBAL_DER_FEV_2023!H2350</f>
        <v>0</v>
      </c>
      <c r="I2350" s="901">
        <f>GLOBAL_DER_FEV_2023!I2350</f>
        <v>0</v>
      </c>
      <c r="J2350" s="902">
        <f>GLOBAL_DER_FEV_2023!J2350</f>
        <v>0</v>
      </c>
      <c r="K2350" s="903"/>
      <c r="L2350" s="1177"/>
      <c r="M2350" s="1138">
        <f t="shared" si="177"/>
        <v>0</v>
      </c>
      <c r="N2350" s="1176">
        <f t="shared" si="181"/>
        <v>0</v>
      </c>
      <c r="O2350" s="905"/>
      <c r="P2350" s="36" t="str">
        <f>IF(N2347&gt;0,"xx",IF(N2347&gt;0,"xy",""))</f>
        <v/>
      </c>
      <c r="Q2350" s="317" t="str">
        <f t="shared" si="178"/>
        <v/>
      </c>
      <c r="R2350" s="317" t="str">
        <f t="shared" si="179"/>
        <v/>
      </c>
      <c r="S2350" s="317" t="str">
        <f t="shared" si="180"/>
        <v/>
      </c>
      <c r="T2350" s="317" t="str">
        <f>GLOBAL_DER_FEV_2023!S2350</f>
        <v/>
      </c>
      <c r="W2350" s="582">
        <v>0</v>
      </c>
      <c r="X2350" s="580"/>
      <c r="Y2350" s="583">
        <f>IF(GLOBAL_DER_FEV_2023!W2350=0,0,IF(GLOBAL_DER_FEV_2023!W2350&gt;0,"c","b"))</f>
        <v>0</v>
      </c>
    </row>
    <row r="2351" spans="1:25" ht="15" hidden="1" customHeight="1" x14ac:dyDescent="0.2">
      <c r="A2351" s="317" t="s">
        <v>125</v>
      </c>
      <c r="B2351" s="895" t="s">
        <v>125</v>
      </c>
      <c r="C2351" s="896" t="s">
        <v>184</v>
      </c>
      <c r="D2351" s="906" t="s">
        <v>139</v>
      </c>
      <c r="E2351" s="907">
        <f>GLOBAL_DER_FEV_2023!E2351</f>
        <v>0</v>
      </c>
      <c r="F2351" s="908">
        <f>GLOBAL_DER_FEV_2023!F2351</f>
        <v>0</v>
      </c>
      <c r="G2351" s="912">
        <f>GLOBAL_DER_FEV_2023!G2351</f>
        <v>373.29425529999997</v>
      </c>
      <c r="H2351" s="901">
        <f>GLOBAL_DER_FEV_2023!H2351</f>
        <v>4078.7</v>
      </c>
      <c r="I2351" s="901">
        <f>GLOBAL_DER_FEV_2023!I2351</f>
        <v>4451.9942553000001</v>
      </c>
      <c r="J2351" s="902">
        <f>GLOBAL_DER_FEV_2023!J2351</f>
        <v>5345.51</v>
      </c>
      <c r="K2351" s="903" t="s">
        <v>15</v>
      </c>
      <c r="L2351" s="1137"/>
      <c r="M2351" s="1138">
        <f t="shared" si="177"/>
        <v>0</v>
      </c>
      <c r="N2351" s="1176">
        <f t="shared" si="181"/>
        <v>0</v>
      </c>
      <c r="O2351" s="905"/>
      <c r="Q2351" s="317" t="str">
        <f t="shared" si="178"/>
        <v/>
      </c>
      <c r="R2351" s="317" t="str">
        <f t="shared" si="179"/>
        <v/>
      </c>
      <c r="S2351" s="317" t="str">
        <f t="shared" si="180"/>
        <v/>
      </c>
      <c r="T2351" s="317" t="str">
        <f>GLOBAL_DER_FEV_2023!S2351</f>
        <v/>
      </c>
      <c r="W2351" s="582">
        <v>0</v>
      </c>
      <c r="X2351" s="580"/>
      <c r="Y2351" s="583">
        <f>IF(GLOBAL_DER_FEV_2023!W2351=0,0,IF(GLOBAL_DER_FEV_2023!W2351&gt;0,"c","b"))</f>
        <v>0</v>
      </c>
    </row>
    <row r="2352" spans="1:25" ht="15" hidden="1" customHeight="1" x14ac:dyDescent="0.2">
      <c r="A2352" s="317" t="s">
        <v>147</v>
      </c>
      <c r="B2352" s="895" t="s">
        <v>147</v>
      </c>
      <c r="C2352" s="896"/>
      <c r="D2352" s="906" t="s">
        <v>190</v>
      </c>
      <c r="E2352" s="907">
        <f>GLOBAL_DER_FEV_2023!E2352</f>
        <v>308</v>
      </c>
      <c r="F2352" s="908">
        <f>GLOBAL_DER_FEV_2023!F2352</f>
        <v>0.50459999999999994</v>
      </c>
      <c r="G2352" s="909">
        <f>GLOBAL_DER_FEV_2023!G2352</f>
        <v>125.17107599999999</v>
      </c>
      <c r="H2352" s="901">
        <f>GLOBAL_DER_FEV_2023!H2352</f>
        <v>0</v>
      </c>
      <c r="I2352" s="901">
        <f>GLOBAL_DER_FEV_2023!I2352</f>
        <v>0</v>
      </c>
      <c r="J2352" s="902">
        <f>GLOBAL_DER_FEV_2023!J2352</f>
        <v>0</v>
      </c>
      <c r="K2352" s="903"/>
      <c r="L2352" s="1177"/>
      <c r="M2352" s="1138">
        <f t="shared" si="177"/>
        <v>0</v>
      </c>
      <c r="N2352" s="1176">
        <f t="shared" si="181"/>
        <v>0</v>
      </c>
      <c r="O2352" s="905"/>
      <c r="P2352" s="36" t="str">
        <f>IF(N2351&gt;0,"xx",IF(N2351&gt;0,"xy",""))</f>
        <v/>
      </c>
      <c r="Q2352" s="317" t="str">
        <f t="shared" si="178"/>
        <v/>
      </c>
      <c r="R2352" s="317" t="str">
        <f t="shared" si="179"/>
        <v/>
      </c>
      <c r="S2352" s="317" t="str">
        <f t="shared" si="180"/>
        <v/>
      </c>
      <c r="T2352" s="317" t="str">
        <f>GLOBAL_DER_FEV_2023!S2352</f>
        <v/>
      </c>
      <c r="W2352" s="582">
        <v>0</v>
      </c>
      <c r="X2352" s="580"/>
      <c r="Y2352" s="583">
        <f>IF(GLOBAL_DER_FEV_2023!W2352=0,0,IF(GLOBAL_DER_FEV_2023!W2352&gt;0,"c","b"))</f>
        <v>0</v>
      </c>
    </row>
    <row r="2353" spans="1:25" ht="15" hidden="1" customHeight="1" x14ac:dyDescent="0.2">
      <c r="A2353" s="317" t="s">
        <v>147</v>
      </c>
      <c r="B2353" s="895" t="s">
        <v>147</v>
      </c>
      <c r="C2353" s="896"/>
      <c r="D2353" s="906" t="s">
        <v>229</v>
      </c>
      <c r="E2353" s="907">
        <f>GLOBAL_DER_FEV_2023!E2353</f>
        <v>150</v>
      </c>
      <c r="F2353" s="908">
        <f>GLOBAL_DER_FEV_2023!F2353</f>
        <v>1.48915</v>
      </c>
      <c r="G2353" s="949">
        <f>GLOBAL_DER_FEV_2023!G2353</f>
        <v>242.99949700000002</v>
      </c>
      <c r="H2353" s="901">
        <f>GLOBAL_DER_FEV_2023!H2353</f>
        <v>0</v>
      </c>
      <c r="I2353" s="901">
        <f>GLOBAL_DER_FEV_2023!I2353</f>
        <v>0</v>
      </c>
      <c r="J2353" s="902">
        <f>GLOBAL_DER_FEV_2023!J2353</f>
        <v>0</v>
      </c>
      <c r="K2353" s="903"/>
      <c r="L2353" s="1177"/>
      <c r="M2353" s="1138">
        <f t="shared" si="177"/>
        <v>0</v>
      </c>
      <c r="N2353" s="1176">
        <f t="shared" si="181"/>
        <v>0</v>
      </c>
      <c r="O2353" s="905"/>
      <c r="P2353" s="36" t="str">
        <f>IF(N2351&gt;0,"xx",IF(N2351&gt;0,"xy",""))</f>
        <v/>
      </c>
      <c r="Q2353" s="317" t="str">
        <f t="shared" si="178"/>
        <v/>
      </c>
      <c r="R2353" s="317" t="str">
        <f t="shared" si="179"/>
        <v/>
      </c>
      <c r="S2353" s="317" t="str">
        <f t="shared" si="180"/>
        <v/>
      </c>
      <c r="T2353" s="317" t="str">
        <f>GLOBAL_DER_FEV_2023!S2353</f>
        <v/>
      </c>
      <c r="W2353" s="582">
        <v>0</v>
      </c>
      <c r="X2353" s="580"/>
      <c r="Y2353" s="583">
        <f>IF(GLOBAL_DER_FEV_2023!W2353=0,0,IF(GLOBAL_DER_FEV_2023!W2353&gt;0,"c","b"))</f>
        <v>0</v>
      </c>
    </row>
    <row r="2354" spans="1:25" ht="15" hidden="1" customHeight="1" x14ac:dyDescent="0.2">
      <c r="A2354" s="317" t="s">
        <v>147</v>
      </c>
      <c r="B2354" s="895" t="s">
        <v>147</v>
      </c>
      <c r="C2354" s="896"/>
      <c r="D2354" s="906" t="s">
        <v>233</v>
      </c>
      <c r="E2354" s="907">
        <f>GLOBAL_DER_FEV_2023!E2354</f>
        <v>0.2</v>
      </c>
      <c r="F2354" s="908">
        <f>GLOBAL_DER_FEV_2023!F2354</f>
        <v>1.7704500000000001</v>
      </c>
      <c r="G2354" s="949">
        <f>GLOBAL_DER_FEV_2023!G2354</f>
        <v>5.1236823000000005</v>
      </c>
      <c r="H2354" s="901">
        <f>GLOBAL_DER_FEV_2023!H2354</f>
        <v>0</v>
      </c>
      <c r="I2354" s="901">
        <f>GLOBAL_DER_FEV_2023!I2354</f>
        <v>0</v>
      </c>
      <c r="J2354" s="902">
        <f>GLOBAL_DER_FEV_2023!J2354</f>
        <v>0</v>
      </c>
      <c r="K2354" s="903"/>
      <c r="L2354" s="1177"/>
      <c r="M2354" s="1138">
        <f t="shared" si="177"/>
        <v>0</v>
      </c>
      <c r="N2354" s="1176">
        <f t="shared" si="181"/>
        <v>0</v>
      </c>
      <c r="O2354" s="905"/>
      <c r="P2354" s="36" t="str">
        <f>IF(N2351&gt;0,"xx",IF(N2351&gt;0,"xy",""))</f>
        <v/>
      </c>
      <c r="Q2354" s="317" t="str">
        <f t="shared" si="178"/>
        <v/>
      </c>
      <c r="R2354" s="317" t="str">
        <f t="shared" si="179"/>
        <v/>
      </c>
      <c r="S2354" s="317" t="str">
        <f t="shared" si="180"/>
        <v/>
      </c>
      <c r="T2354" s="317" t="str">
        <f>GLOBAL_DER_FEV_2023!S2354</f>
        <v/>
      </c>
      <c r="W2354" s="582">
        <v>0</v>
      </c>
      <c r="X2354" s="580"/>
      <c r="Y2354" s="583">
        <f>IF(GLOBAL_DER_FEV_2023!W2354=0,0,IF(GLOBAL_DER_FEV_2023!W2354&gt;0,"c","b"))</f>
        <v>0</v>
      </c>
    </row>
    <row r="2355" spans="1:25" ht="15" hidden="1" customHeight="1" x14ac:dyDescent="0.2">
      <c r="A2355" s="317" t="s">
        <v>40</v>
      </c>
      <c r="B2355" s="895" t="s">
        <v>40</v>
      </c>
      <c r="C2355" s="896" t="s">
        <v>184</v>
      </c>
      <c r="D2355" s="906" t="s">
        <v>140</v>
      </c>
      <c r="E2355" s="907">
        <f>GLOBAL_DER_FEV_2023!E2355</f>
        <v>0</v>
      </c>
      <c r="F2355" s="908">
        <f>GLOBAL_DER_FEV_2023!F2355</f>
        <v>0</v>
      </c>
      <c r="G2355" s="912">
        <f>GLOBAL_DER_FEV_2023!G2355</f>
        <v>472.95947180000007</v>
      </c>
      <c r="H2355" s="901">
        <f>GLOBAL_DER_FEV_2023!H2355</f>
        <v>4962.6000000000004</v>
      </c>
      <c r="I2355" s="901">
        <f>GLOBAL_DER_FEV_2023!I2355</f>
        <v>5435.5594718000002</v>
      </c>
      <c r="J2355" s="902">
        <f>GLOBAL_DER_FEV_2023!J2355</f>
        <v>6526.48</v>
      </c>
      <c r="K2355" s="903" t="s">
        <v>15</v>
      </c>
      <c r="L2355" s="1137"/>
      <c r="M2355" s="1138">
        <f t="shared" si="177"/>
        <v>0</v>
      </c>
      <c r="N2355" s="1176">
        <f t="shared" si="181"/>
        <v>0</v>
      </c>
      <c r="O2355" s="905"/>
      <c r="Q2355" s="317" t="str">
        <f t="shared" si="178"/>
        <v/>
      </c>
      <c r="R2355" s="317" t="str">
        <f t="shared" si="179"/>
        <v/>
      </c>
      <c r="S2355" s="317" t="str">
        <f t="shared" si="180"/>
        <v/>
      </c>
      <c r="T2355" s="317" t="str">
        <f>GLOBAL_DER_FEV_2023!S2355</f>
        <v/>
      </c>
      <c r="W2355" s="582">
        <v>0</v>
      </c>
      <c r="X2355" s="580"/>
      <c r="Y2355" s="583">
        <f>IF(GLOBAL_DER_FEV_2023!W2355=0,0,IF(GLOBAL_DER_FEV_2023!W2355&gt;0,"c","b"))</f>
        <v>0</v>
      </c>
    </row>
    <row r="2356" spans="1:25" ht="15" hidden="1" customHeight="1" x14ac:dyDescent="0.2">
      <c r="A2356" s="317" t="s">
        <v>147</v>
      </c>
      <c r="B2356" s="895" t="s">
        <v>147</v>
      </c>
      <c r="C2356" s="896"/>
      <c r="D2356" s="906" t="s">
        <v>190</v>
      </c>
      <c r="E2356" s="907">
        <f>GLOBAL_DER_FEV_2023!E2356</f>
        <v>308</v>
      </c>
      <c r="F2356" s="908">
        <f>GLOBAL_DER_FEV_2023!F2356</f>
        <v>0.6411</v>
      </c>
      <c r="G2356" s="909">
        <f>GLOBAL_DER_FEV_2023!G2356</f>
        <v>159.03126600000002</v>
      </c>
      <c r="H2356" s="901">
        <f>GLOBAL_DER_FEV_2023!H2356</f>
        <v>0</v>
      </c>
      <c r="I2356" s="901">
        <f>GLOBAL_DER_FEV_2023!I2356</f>
        <v>0</v>
      </c>
      <c r="J2356" s="902">
        <f>GLOBAL_DER_FEV_2023!J2356</f>
        <v>0</v>
      </c>
      <c r="K2356" s="903"/>
      <c r="L2356" s="1177"/>
      <c r="M2356" s="1138">
        <f t="shared" si="177"/>
        <v>0</v>
      </c>
      <c r="N2356" s="1176">
        <f t="shared" si="181"/>
        <v>0</v>
      </c>
      <c r="O2356" s="905"/>
      <c r="P2356" s="36" t="str">
        <f>IF(N2355&gt;0,"xx",IF(N2355&gt;0,"xy",""))</f>
        <v/>
      </c>
      <c r="Q2356" s="317" t="str">
        <f t="shared" si="178"/>
        <v/>
      </c>
      <c r="R2356" s="317" t="str">
        <f t="shared" si="179"/>
        <v/>
      </c>
      <c r="S2356" s="317" t="str">
        <f t="shared" si="180"/>
        <v/>
      </c>
      <c r="T2356" s="317" t="str">
        <f>GLOBAL_DER_FEV_2023!S2356</f>
        <v/>
      </c>
      <c r="W2356" s="582">
        <v>0</v>
      </c>
      <c r="X2356" s="580"/>
      <c r="Y2356" s="583">
        <f>IF(GLOBAL_DER_FEV_2023!W2356=0,0,IF(GLOBAL_DER_FEV_2023!W2356&gt;0,"c","b"))</f>
        <v>0</v>
      </c>
    </row>
    <row r="2357" spans="1:25" ht="15" hidden="1" customHeight="1" x14ac:dyDescent="0.2">
      <c r="A2357" s="317" t="s">
        <v>147</v>
      </c>
      <c r="B2357" s="895" t="s">
        <v>147</v>
      </c>
      <c r="C2357" s="896"/>
      <c r="D2357" s="906" t="s">
        <v>229</v>
      </c>
      <c r="E2357" s="907">
        <f>GLOBAL_DER_FEV_2023!E2357</f>
        <v>150</v>
      </c>
      <c r="F2357" s="908">
        <f>GLOBAL_DER_FEV_2023!F2357</f>
        <v>1.8840500000000002</v>
      </c>
      <c r="G2357" s="949">
        <f>GLOBAL_DER_FEV_2023!G2357</f>
        <v>307.43927900000006</v>
      </c>
      <c r="H2357" s="901">
        <f>GLOBAL_DER_FEV_2023!H2357</f>
        <v>0</v>
      </c>
      <c r="I2357" s="901">
        <f>GLOBAL_DER_FEV_2023!I2357</f>
        <v>0</v>
      </c>
      <c r="J2357" s="902">
        <f>GLOBAL_DER_FEV_2023!J2357</f>
        <v>0</v>
      </c>
      <c r="K2357" s="903"/>
      <c r="L2357" s="1177"/>
      <c r="M2357" s="1138">
        <f t="shared" si="177"/>
        <v>0</v>
      </c>
      <c r="N2357" s="1176">
        <f t="shared" si="181"/>
        <v>0</v>
      </c>
      <c r="O2357" s="905"/>
      <c r="P2357" s="36" t="str">
        <f>IF(N2355&gt;0,"xx",IF(N2355&gt;0,"xy",""))</f>
        <v/>
      </c>
      <c r="Q2357" s="317" t="str">
        <f t="shared" si="178"/>
        <v/>
      </c>
      <c r="R2357" s="317" t="str">
        <f t="shared" si="179"/>
        <v/>
      </c>
      <c r="S2357" s="317" t="str">
        <f t="shared" si="180"/>
        <v/>
      </c>
      <c r="T2357" s="317" t="str">
        <f>GLOBAL_DER_FEV_2023!S2357</f>
        <v/>
      </c>
      <c r="W2357" s="582">
        <v>0</v>
      </c>
      <c r="X2357" s="580"/>
      <c r="Y2357" s="583">
        <f>IF(GLOBAL_DER_FEV_2023!W2357=0,0,IF(GLOBAL_DER_FEV_2023!W2357&gt;0,"c","b"))</f>
        <v>0</v>
      </c>
    </row>
    <row r="2358" spans="1:25" ht="15" hidden="1" customHeight="1" x14ac:dyDescent="0.2">
      <c r="A2358" s="317" t="s">
        <v>147</v>
      </c>
      <c r="B2358" s="895" t="s">
        <v>147</v>
      </c>
      <c r="C2358" s="896"/>
      <c r="D2358" s="906" t="s">
        <v>233</v>
      </c>
      <c r="E2358" s="907">
        <f>GLOBAL_DER_FEV_2023!E2358</f>
        <v>0.2</v>
      </c>
      <c r="F2358" s="908">
        <f>GLOBAL_DER_FEV_2023!F2358</f>
        <v>2.2422</v>
      </c>
      <c r="G2358" s="949">
        <f>GLOBAL_DER_FEV_2023!G2358</f>
        <v>6.4889267999999998</v>
      </c>
      <c r="H2358" s="901">
        <f>GLOBAL_DER_FEV_2023!H2358</f>
        <v>0</v>
      </c>
      <c r="I2358" s="901">
        <f>GLOBAL_DER_FEV_2023!I2358</f>
        <v>0</v>
      </c>
      <c r="J2358" s="902">
        <f>GLOBAL_DER_FEV_2023!J2358</f>
        <v>0</v>
      </c>
      <c r="K2358" s="903"/>
      <c r="L2358" s="1177"/>
      <c r="M2358" s="1138">
        <f t="shared" si="177"/>
        <v>0</v>
      </c>
      <c r="N2358" s="1176">
        <f t="shared" si="181"/>
        <v>0</v>
      </c>
      <c r="O2358" s="905"/>
      <c r="P2358" s="36" t="str">
        <f>IF(N2355&gt;0,"xx",IF(N2355&gt;0,"xy",""))</f>
        <v/>
      </c>
      <c r="Q2358" s="317" t="str">
        <f t="shared" si="178"/>
        <v/>
      </c>
      <c r="R2358" s="317" t="str">
        <f t="shared" si="179"/>
        <v/>
      </c>
      <c r="S2358" s="317" t="str">
        <f t="shared" si="180"/>
        <v/>
      </c>
      <c r="T2358" s="317" t="str">
        <f>GLOBAL_DER_FEV_2023!S2358</f>
        <v/>
      </c>
      <c r="W2358" s="582">
        <v>0</v>
      </c>
      <c r="X2358" s="580"/>
      <c r="Y2358" s="583">
        <f>IF(GLOBAL_DER_FEV_2023!W2358=0,0,IF(GLOBAL_DER_FEV_2023!W2358&gt;0,"c","b"))</f>
        <v>0</v>
      </c>
    </row>
    <row r="2359" spans="1:25" ht="15" hidden="1" customHeight="1" x14ac:dyDescent="0.2">
      <c r="A2359" s="317" t="s">
        <v>126</v>
      </c>
      <c r="B2359" s="895" t="s">
        <v>126</v>
      </c>
      <c r="C2359" s="896" t="s">
        <v>184</v>
      </c>
      <c r="D2359" s="906" t="s">
        <v>141</v>
      </c>
      <c r="E2359" s="907">
        <f>GLOBAL_DER_FEV_2023!E2359</f>
        <v>0</v>
      </c>
      <c r="F2359" s="908">
        <f>GLOBAL_DER_FEV_2023!F2359</f>
        <v>0</v>
      </c>
      <c r="G2359" s="912">
        <f>GLOBAL_DER_FEV_2023!G2359</f>
        <v>592.92383533999998</v>
      </c>
      <c r="H2359" s="901">
        <f>GLOBAL_DER_FEV_2023!H2359</f>
        <v>6034.4</v>
      </c>
      <c r="I2359" s="901">
        <f>GLOBAL_DER_FEV_2023!I2359</f>
        <v>6627.3238353399993</v>
      </c>
      <c r="J2359" s="902">
        <f>GLOBAL_DER_FEV_2023!J2359</f>
        <v>7957.43</v>
      </c>
      <c r="K2359" s="903" t="s">
        <v>15</v>
      </c>
      <c r="L2359" s="1137"/>
      <c r="M2359" s="1138">
        <f t="shared" si="177"/>
        <v>0</v>
      </c>
      <c r="N2359" s="1176">
        <f t="shared" si="181"/>
        <v>0</v>
      </c>
      <c r="O2359" s="905"/>
      <c r="Q2359" s="317" t="str">
        <f t="shared" si="178"/>
        <v/>
      </c>
      <c r="R2359" s="317" t="str">
        <f t="shared" si="179"/>
        <v/>
      </c>
      <c r="S2359" s="317" t="str">
        <f t="shared" si="180"/>
        <v/>
      </c>
      <c r="T2359" s="317" t="str">
        <f>GLOBAL_DER_FEV_2023!S2359</f>
        <v/>
      </c>
      <c r="W2359" s="582">
        <v>0</v>
      </c>
      <c r="X2359" s="580"/>
      <c r="Y2359" s="583">
        <f>IF(GLOBAL_DER_FEV_2023!W2359=0,0,IF(GLOBAL_DER_FEV_2023!W2359&gt;0,"c","b"))</f>
        <v>0</v>
      </c>
    </row>
    <row r="2360" spans="1:25" ht="15" hidden="1" customHeight="1" x14ac:dyDescent="0.2">
      <c r="A2360" s="317" t="s">
        <v>147</v>
      </c>
      <c r="B2360" s="895" t="s">
        <v>147</v>
      </c>
      <c r="C2360" s="896"/>
      <c r="D2360" s="906" t="s">
        <v>190</v>
      </c>
      <c r="E2360" s="907">
        <f>GLOBAL_DER_FEV_2023!E2360</f>
        <v>308</v>
      </c>
      <c r="F2360" s="908">
        <f>GLOBAL_DER_FEV_2023!F2360</f>
        <v>0.80657999999999996</v>
      </c>
      <c r="G2360" s="909">
        <f>GLOBAL_DER_FEV_2023!G2360</f>
        <v>200.0802348</v>
      </c>
      <c r="H2360" s="901">
        <f>GLOBAL_DER_FEV_2023!H2360</f>
        <v>0</v>
      </c>
      <c r="I2360" s="901">
        <f>GLOBAL_DER_FEV_2023!I2360</f>
        <v>0</v>
      </c>
      <c r="J2360" s="902">
        <f>GLOBAL_DER_FEV_2023!J2360</f>
        <v>0</v>
      </c>
      <c r="K2360" s="903"/>
      <c r="L2360" s="1177"/>
      <c r="M2360" s="1138">
        <f t="shared" si="177"/>
        <v>0</v>
      </c>
      <c r="N2360" s="1176">
        <f t="shared" si="181"/>
        <v>0</v>
      </c>
      <c r="O2360" s="905"/>
      <c r="P2360" s="36" t="str">
        <f>IF(N2359&gt;0,"xx",IF(N2359&gt;0,"xy",""))</f>
        <v/>
      </c>
      <c r="Q2360" s="317" t="str">
        <f t="shared" si="178"/>
        <v/>
      </c>
      <c r="R2360" s="317" t="str">
        <f t="shared" si="179"/>
        <v/>
      </c>
      <c r="S2360" s="317" t="str">
        <f t="shared" si="180"/>
        <v/>
      </c>
      <c r="T2360" s="317" t="str">
        <f>GLOBAL_DER_FEV_2023!S2360</f>
        <v/>
      </c>
      <c r="W2360" s="582">
        <v>0</v>
      </c>
      <c r="X2360" s="580"/>
      <c r="Y2360" s="583">
        <f>IF(GLOBAL_DER_FEV_2023!W2360=0,0,IF(GLOBAL_DER_FEV_2023!W2360&gt;0,"c","b"))</f>
        <v>0</v>
      </c>
    </row>
    <row r="2361" spans="1:25" ht="15" hidden="1" customHeight="1" x14ac:dyDescent="0.2">
      <c r="A2361" s="317" t="s">
        <v>147</v>
      </c>
      <c r="B2361" s="895" t="s">
        <v>147</v>
      </c>
      <c r="C2361" s="896"/>
      <c r="D2361" s="906" t="s">
        <v>229</v>
      </c>
      <c r="E2361" s="907">
        <f>GLOBAL_DER_FEV_2023!E2361</f>
        <v>150</v>
      </c>
      <c r="F2361" s="908">
        <f>GLOBAL_DER_FEV_2023!F2361</f>
        <v>2.3575999999999997</v>
      </c>
      <c r="G2361" s="949">
        <f>GLOBAL_DER_FEV_2023!G2361</f>
        <v>384.71316799999994</v>
      </c>
      <c r="H2361" s="901">
        <f>GLOBAL_DER_FEV_2023!H2361</f>
        <v>0</v>
      </c>
      <c r="I2361" s="901">
        <f>GLOBAL_DER_FEV_2023!I2361</f>
        <v>0</v>
      </c>
      <c r="J2361" s="902">
        <f>GLOBAL_DER_FEV_2023!J2361</f>
        <v>0</v>
      </c>
      <c r="K2361" s="903"/>
      <c r="L2361" s="1177"/>
      <c r="M2361" s="1138">
        <f t="shared" si="177"/>
        <v>0</v>
      </c>
      <c r="N2361" s="1176">
        <f t="shared" si="181"/>
        <v>0</v>
      </c>
      <c r="O2361" s="905"/>
      <c r="P2361" s="36" t="str">
        <f>IF(N2359&gt;0,"xx",IF(N2359&gt;0,"xy",""))</f>
        <v/>
      </c>
      <c r="Q2361" s="317" t="str">
        <f t="shared" si="178"/>
        <v/>
      </c>
      <c r="R2361" s="317" t="str">
        <f t="shared" si="179"/>
        <v/>
      </c>
      <c r="S2361" s="317" t="str">
        <f t="shared" si="180"/>
        <v/>
      </c>
      <c r="T2361" s="317" t="str">
        <f>GLOBAL_DER_FEV_2023!S2361</f>
        <v/>
      </c>
      <c r="W2361" s="582">
        <v>0</v>
      </c>
      <c r="X2361" s="580"/>
      <c r="Y2361" s="583">
        <f>IF(GLOBAL_DER_FEV_2023!W2361=0,0,IF(GLOBAL_DER_FEV_2023!W2361&gt;0,"c","b"))</f>
        <v>0</v>
      </c>
    </row>
    <row r="2362" spans="1:25" ht="15" hidden="1" customHeight="1" x14ac:dyDescent="0.2">
      <c r="A2362" s="317" t="s">
        <v>147</v>
      </c>
      <c r="B2362" s="895" t="s">
        <v>147</v>
      </c>
      <c r="C2362" s="896"/>
      <c r="D2362" s="906" t="s">
        <v>233</v>
      </c>
      <c r="E2362" s="907">
        <f>GLOBAL_DER_FEV_2023!E2362</f>
        <v>0.2</v>
      </c>
      <c r="F2362" s="908">
        <f>GLOBAL_DER_FEV_2023!F2362</f>
        <v>2.8094099999999997</v>
      </c>
      <c r="G2362" s="949">
        <f>GLOBAL_DER_FEV_2023!G2362</f>
        <v>8.1304325399999993</v>
      </c>
      <c r="H2362" s="901">
        <f>GLOBAL_DER_FEV_2023!H2362</f>
        <v>0</v>
      </c>
      <c r="I2362" s="901">
        <f>GLOBAL_DER_FEV_2023!I2362</f>
        <v>0</v>
      </c>
      <c r="J2362" s="902">
        <f>GLOBAL_DER_FEV_2023!J2362</f>
        <v>0</v>
      </c>
      <c r="K2362" s="903"/>
      <c r="L2362" s="1177"/>
      <c r="M2362" s="1138">
        <f t="shared" si="177"/>
        <v>0</v>
      </c>
      <c r="N2362" s="1176">
        <f t="shared" si="181"/>
        <v>0</v>
      </c>
      <c r="O2362" s="905"/>
      <c r="P2362" s="36" t="str">
        <f>IF(N2359&gt;0,"xx",IF(N2359&gt;0,"xy",""))</f>
        <v/>
      </c>
      <c r="Q2362" s="317" t="str">
        <f t="shared" si="178"/>
        <v/>
      </c>
      <c r="R2362" s="317" t="str">
        <f t="shared" si="179"/>
        <v/>
      </c>
      <c r="S2362" s="317" t="str">
        <f t="shared" si="180"/>
        <v/>
      </c>
      <c r="T2362" s="317" t="str">
        <f>GLOBAL_DER_FEV_2023!S2362</f>
        <v/>
      </c>
      <c r="W2362" s="582">
        <v>0</v>
      </c>
      <c r="X2362" s="580"/>
      <c r="Y2362" s="583">
        <f>IF(GLOBAL_DER_FEV_2023!W2362=0,0,IF(GLOBAL_DER_FEV_2023!W2362&gt;0,"c","b"))</f>
        <v>0</v>
      </c>
    </row>
    <row r="2363" spans="1:25" ht="15" hidden="1" customHeight="1" x14ac:dyDescent="0.2">
      <c r="A2363" s="317" t="s">
        <v>41</v>
      </c>
      <c r="B2363" s="895" t="s">
        <v>41</v>
      </c>
      <c r="C2363" s="896" t="s">
        <v>184</v>
      </c>
      <c r="D2363" s="906" t="s">
        <v>142</v>
      </c>
      <c r="E2363" s="907">
        <f>GLOBAL_DER_FEV_2023!E2363</f>
        <v>0</v>
      </c>
      <c r="F2363" s="908">
        <f>GLOBAL_DER_FEV_2023!F2363</f>
        <v>0</v>
      </c>
      <c r="G2363" s="912">
        <f>GLOBAL_DER_FEV_2023!G2363</f>
        <v>660.44456692100005</v>
      </c>
      <c r="H2363" s="901">
        <f>GLOBAL_DER_FEV_2023!H2363</f>
        <v>6626.99</v>
      </c>
      <c r="I2363" s="901">
        <f>GLOBAL_DER_FEV_2023!I2363</f>
        <v>7287.4345669209997</v>
      </c>
      <c r="J2363" s="902">
        <f>GLOBAL_DER_FEV_2023!J2363</f>
        <v>8750.02</v>
      </c>
      <c r="K2363" s="903" t="s">
        <v>15</v>
      </c>
      <c r="L2363" s="1137"/>
      <c r="M2363" s="1138">
        <f t="shared" si="177"/>
        <v>0</v>
      </c>
      <c r="N2363" s="1176">
        <f t="shared" si="181"/>
        <v>0</v>
      </c>
      <c r="O2363" s="905"/>
      <c r="Q2363" s="317" t="str">
        <f t="shared" si="178"/>
        <v/>
      </c>
      <c r="R2363" s="317" t="str">
        <f t="shared" si="179"/>
        <v/>
      </c>
      <c r="S2363" s="317" t="str">
        <f t="shared" si="180"/>
        <v/>
      </c>
      <c r="T2363" s="317" t="str">
        <f>GLOBAL_DER_FEV_2023!S2363</f>
        <v/>
      </c>
      <c r="W2363" s="582">
        <v>0</v>
      </c>
      <c r="X2363" s="580"/>
      <c r="Y2363" s="583">
        <f>IF(GLOBAL_DER_FEV_2023!W2363=0,0,IF(GLOBAL_DER_FEV_2023!W2363&gt;0,"c","b"))</f>
        <v>0</v>
      </c>
    </row>
    <row r="2364" spans="1:25" ht="15" hidden="1" customHeight="1" x14ac:dyDescent="0.2">
      <c r="A2364" s="317" t="s">
        <v>147</v>
      </c>
      <c r="B2364" s="895" t="s">
        <v>147</v>
      </c>
      <c r="C2364" s="896"/>
      <c r="D2364" s="906" t="s">
        <v>190</v>
      </c>
      <c r="E2364" s="907">
        <f>GLOBAL_DER_FEV_2023!E2364</f>
        <v>308</v>
      </c>
      <c r="F2364" s="908">
        <f>GLOBAL_DER_FEV_2023!F2364</f>
        <v>0.89753699999999992</v>
      </c>
      <c r="G2364" s="909">
        <f>GLOBAL_DER_FEV_2023!G2364</f>
        <v>222.64302821999999</v>
      </c>
      <c r="H2364" s="901">
        <f>GLOBAL_DER_FEV_2023!H2364</f>
        <v>0</v>
      </c>
      <c r="I2364" s="901">
        <f>GLOBAL_DER_FEV_2023!I2364</f>
        <v>0</v>
      </c>
      <c r="J2364" s="902">
        <f>GLOBAL_DER_FEV_2023!J2364</f>
        <v>0</v>
      </c>
      <c r="K2364" s="903"/>
      <c r="L2364" s="1177"/>
      <c r="M2364" s="1138">
        <f t="shared" si="177"/>
        <v>0</v>
      </c>
      <c r="N2364" s="1176">
        <f t="shared" si="181"/>
        <v>0</v>
      </c>
      <c r="O2364" s="905"/>
      <c r="P2364" s="36" t="str">
        <f>IF(N2363&gt;0,"xx",IF(N2363&gt;0,"xy",""))</f>
        <v/>
      </c>
      <c r="Q2364" s="317" t="str">
        <f t="shared" si="178"/>
        <v/>
      </c>
      <c r="R2364" s="317" t="str">
        <f t="shared" si="179"/>
        <v/>
      </c>
      <c r="S2364" s="317" t="str">
        <f t="shared" si="180"/>
        <v/>
      </c>
      <c r="T2364" s="317" t="str">
        <f>GLOBAL_DER_FEV_2023!S2364</f>
        <v/>
      </c>
      <c r="W2364" s="582">
        <v>0</v>
      </c>
      <c r="X2364" s="580"/>
      <c r="Y2364" s="583">
        <f>IF(GLOBAL_DER_FEV_2023!W2364=0,0,IF(GLOBAL_DER_FEV_2023!W2364&gt;0,"c","b"))</f>
        <v>0</v>
      </c>
    </row>
    <row r="2365" spans="1:25" ht="15" hidden="1" customHeight="1" x14ac:dyDescent="0.2">
      <c r="A2365" s="317" t="s">
        <v>147</v>
      </c>
      <c r="B2365" s="895" t="s">
        <v>147</v>
      </c>
      <c r="C2365" s="896"/>
      <c r="D2365" s="906" t="s">
        <v>229</v>
      </c>
      <c r="E2365" s="907">
        <f>GLOBAL_DER_FEV_2023!E2365</f>
        <v>150</v>
      </c>
      <c r="F2365" s="908">
        <f>GLOBAL_DER_FEV_2023!F2365</f>
        <v>2.6274289999999998</v>
      </c>
      <c r="G2365" s="949">
        <f>GLOBAL_DER_FEV_2023!G2365</f>
        <v>428.74386421999998</v>
      </c>
      <c r="H2365" s="901">
        <f>GLOBAL_DER_FEV_2023!H2365</f>
        <v>0</v>
      </c>
      <c r="I2365" s="901">
        <f>GLOBAL_DER_FEV_2023!I2365</f>
        <v>0</v>
      </c>
      <c r="J2365" s="902">
        <f>GLOBAL_DER_FEV_2023!J2365</f>
        <v>0</v>
      </c>
      <c r="K2365" s="903"/>
      <c r="L2365" s="1177"/>
      <c r="M2365" s="1138">
        <f t="shared" si="177"/>
        <v>0</v>
      </c>
      <c r="N2365" s="1176">
        <f t="shared" si="181"/>
        <v>0</v>
      </c>
      <c r="O2365" s="905"/>
      <c r="P2365" s="36" t="str">
        <f>IF(N2363&gt;0,"xx",IF(N2363&gt;0,"xy",""))</f>
        <v/>
      </c>
      <c r="Q2365" s="317" t="str">
        <f t="shared" si="178"/>
        <v/>
      </c>
      <c r="R2365" s="317" t="str">
        <f t="shared" si="179"/>
        <v/>
      </c>
      <c r="S2365" s="317" t="str">
        <f t="shared" si="180"/>
        <v/>
      </c>
      <c r="T2365" s="317" t="str">
        <f>GLOBAL_DER_FEV_2023!S2365</f>
        <v/>
      </c>
      <c r="W2365" s="582">
        <v>0</v>
      </c>
      <c r="X2365" s="580"/>
      <c r="Y2365" s="583">
        <f>IF(GLOBAL_DER_FEV_2023!W2365=0,0,IF(GLOBAL_DER_FEV_2023!W2365&gt;0,"c","b"))</f>
        <v>0</v>
      </c>
    </row>
    <row r="2366" spans="1:25" ht="15" hidden="1" customHeight="1" x14ac:dyDescent="0.2">
      <c r="A2366" s="317" t="s">
        <v>147</v>
      </c>
      <c r="B2366" s="895" t="s">
        <v>147</v>
      </c>
      <c r="C2366" s="896"/>
      <c r="D2366" s="906" t="s">
        <v>233</v>
      </c>
      <c r="E2366" s="907">
        <f>GLOBAL_DER_FEV_2023!E2366</f>
        <v>0.2</v>
      </c>
      <c r="F2366" s="908">
        <f>GLOBAL_DER_FEV_2023!F2366</f>
        <v>3.1298114999999997</v>
      </c>
      <c r="G2366" s="949">
        <f>GLOBAL_DER_FEV_2023!G2366</f>
        <v>9.0576744809999994</v>
      </c>
      <c r="H2366" s="901">
        <f>GLOBAL_DER_FEV_2023!H2366</f>
        <v>0</v>
      </c>
      <c r="I2366" s="901">
        <f>GLOBAL_DER_FEV_2023!I2366</f>
        <v>0</v>
      </c>
      <c r="J2366" s="902">
        <f>GLOBAL_DER_FEV_2023!J2366</f>
        <v>0</v>
      </c>
      <c r="K2366" s="903"/>
      <c r="L2366" s="1177"/>
      <c r="M2366" s="1138">
        <f t="shared" si="177"/>
        <v>0</v>
      </c>
      <c r="N2366" s="1176">
        <f t="shared" si="181"/>
        <v>0</v>
      </c>
      <c r="O2366" s="905"/>
      <c r="P2366" s="36" t="str">
        <f>IF(N2363&gt;0,"xx",IF(N2363&gt;0,"xy",""))</f>
        <v/>
      </c>
      <c r="Q2366" s="317" t="str">
        <f t="shared" si="178"/>
        <v/>
      </c>
      <c r="R2366" s="317" t="str">
        <f t="shared" si="179"/>
        <v/>
      </c>
      <c r="S2366" s="317" t="str">
        <f t="shared" si="180"/>
        <v/>
      </c>
      <c r="T2366" s="317" t="str">
        <f>GLOBAL_DER_FEV_2023!S2366</f>
        <v/>
      </c>
      <c r="W2366" s="582">
        <v>0</v>
      </c>
      <c r="X2366" s="580"/>
      <c r="Y2366" s="583">
        <f>IF(GLOBAL_DER_FEV_2023!W2366=0,0,IF(GLOBAL_DER_FEV_2023!W2366&gt;0,"c","b"))</f>
        <v>0</v>
      </c>
    </row>
    <row r="2367" spans="1:25" ht="15" hidden="1" customHeight="1" x14ac:dyDescent="0.2">
      <c r="A2367" s="317" t="s">
        <v>42</v>
      </c>
      <c r="B2367" s="895" t="s">
        <v>42</v>
      </c>
      <c r="C2367" s="896" t="s">
        <v>184</v>
      </c>
      <c r="D2367" s="906" t="s">
        <v>143</v>
      </c>
      <c r="E2367" s="907">
        <f>GLOBAL_DER_FEV_2023!E2367</f>
        <v>0</v>
      </c>
      <c r="F2367" s="908">
        <f>GLOBAL_DER_FEV_2023!F2367</f>
        <v>0</v>
      </c>
      <c r="G2367" s="912">
        <f>GLOBAL_DER_FEV_2023!G2367</f>
        <v>820.7050911591499</v>
      </c>
      <c r="H2367" s="901">
        <f>GLOBAL_DER_FEV_2023!H2367</f>
        <v>8092.02</v>
      </c>
      <c r="I2367" s="901">
        <f>GLOBAL_DER_FEV_2023!I2367</f>
        <v>8912.7250911591509</v>
      </c>
      <c r="J2367" s="902">
        <f>GLOBAL_DER_FEV_2023!J2367</f>
        <v>10701.51</v>
      </c>
      <c r="K2367" s="903" t="s">
        <v>15</v>
      </c>
      <c r="L2367" s="1137"/>
      <c r="M2367" s="1138">
        <f t="shared" si="177"/>
        <v>0</v>
      </c>
      <c r="N2367" s="1176">
        <f t="shared" si="181"/>
        <v>0</v>
      </c>
      <c r="O2367" s="905"/>
      <c r="Q2367" s="317" t="str">
        <f t="shared" si="178"/>
        <v/>
      </c>
      <c r="R2367" s="317" t="str">
        <f t="shared" si="179"/>
        <v/>
      </c>
      <c r="S2367" s="317" t="str">
        <f t="shared" si="180"/>
        <v/>
      </c>
      <c r="T2367" s="317" t="str">
        <f>GLOBAL_DER_FEV_2023!S2367</f>
        <v/>
      </c>
      <c r="W2367" s="582">
        <v>0</v>
      </c>
      <c r="X2367" s="580"/>
      <c r="Y2367" s="583">
        <f>IF(GLOBAL_DER_FEV_2023!W2367=0,0,IF(GLOBAL_DER_FEV_2023!W2367&gt;0,"c","b"))</f>
        <v>0</v>
      </c>
    </row>
    <row r="2368" spans="1:25" ht="15" hidden="1" customHeight="1" x14ac:dyDescent="0.2">
      <c r="A2368" s="317" t="s">
        <v>147</v>
      </c>
      <c r="B2368" s="895" t="s">
        <v>147</v>
      </c>
      <c r="C2368" s="896"/>
      <c r="D2368" s="906" t="s">
        <v>190</v>
      </c>
      <c r="E2368" s="907">
        <f>GLOBAL_DER_FEV_2023!E2368</f>
        <v>308</v>
      </c>
      <c r="F2368" s="908">
        <f>GLOBAL_DER_FEV_2023!F2368</f>
        <v>1.1179675499999999</v>
      </c>
      <c r="G2368" s="909">
        <f>GLOBAL_DER_FEV_2023!G2368</f>
        <v>277.323030453</v>
      </c>
      <c r="H2368" s="901">
        <f>GLOBAL_DER_FEV_2023!H2368</f>
        <v>0</v>
      </c>
      <c r="I2368" s="901">
        <f>GLOBAL_DER_FEV_2023!I2368</f>
        <v>0</v>
      </c>
      <c r="J2368" s="902">
        <f>GLOBAL_DER_FEV_2023!J2368</f>
        <v>0</v>
      </c>
      <c r="K2368" s="903"/>
      <c r="L2368" s="1177"/>
      <c r="M2368" s="1138">
        <f t="shared" si="177"/>
        <v>0</v>
      </c>
      <c r="N2368" s="1176">
        <f t="shared" si="181"/>
        <v>0</v>
      </c>
      <c r="O2368" s="905"/>
      <c r="P2368" s="36" t="str">
        <f>IF(N2367&gt;0,"xx",IF(N2367&gt;0,"xy",""))</f>
        <v/>
      </c>
      <c r="Q2368" s="317" t="str">
        <f t="shared" si="178"/>
        <v/>
      </c>
      <c r="R2368" s="317" t="str">
        <f t="shared" si="179"/>
        <v/>
      </c>
      <c r="S2368" s="317" t="str">
        <f t="shared" si="180"/>
        <v/>
      </c>
      <c r="T2368" s="317" t="str">
        <f>GLOBAL_DER_FEV_2023!S2368</f>
        <v/>
      </c>
      <c r="W2368" s="582">
        <v>0</v>
      </c>
      <c r="X2368" s="580"/>
      <c r="Y2368" s="583">
        <f>IF(GLOBAL_DER_FEV_2023!W2368=0,0,IF(GLOBAL_DER_FEV_2023!W2368&gt;0,"c","b"))</f>
        <v>0</v>
      </c>
    </row>
    <row r="2369" spans="1:25" ht="15" hidden="1" customHeight="1" x14ac:dyDescent="0.2">
      <c r="A2369" s="317" t="s">
        <v>147</v>
      </c>
      <c r="B2369" s="895" t="s">
        <v>147</v>
      </c>
      <c r="C2369" s="896"/>
      <c r="D2369" s="906" t="s">
        <v>229</v>
      </c>
      <c r="E2369" s="907">
        <f>GLOBAL_DER_FEV_2023!E2369</f>
        <v>150</v>
      </c>
      <c r="F2369" s="908">
        <f>GLOBAL_DER_FEV_2023!F2369</f>
        <v>3.2610033499999997</v>
      </c>
      <c r="G2369" s="949">
        <f>GLOBAL_DER_FEV_2023!G2369</f>
        <v>532.13052665299995</v>
      </c>
      <c r="H2369" s="901">
        <f>GLOBAL_DER_FEV_2023!H2369</f>
        <v>0</v>
      </c>
      <c r="I2369" s="901">
        <f>GLOBAL_DER_FEV_2023!I2369</f>
        <v>0</v>
      </c>
      <c r="J2369" s="902">
        <f>GLOBAL_DER_FEV_2023!J2369</f>
        <v>0</v>
      </c>
      <c r="K2369" s="903"/>
      <c r="L2369" s="1177"/>
      <c r="M2369" s="1138">
        <f t="shared" si="177"/>
        <v>0</v>
      </c>
      <c r="N2369" s="1176">
        <f t="shared" si="181"/>
        <v>0</v>
      </c>
      <c r="O2369" s="905"/>
      <c r="P2369" s="36" t="str">
        <f>IF(N2367&gt;0,"xx",IF(N2367&gt;0,"xy",""))</f>
        <v/>
      </c>
      <c r="Q2369" s="317" t="str">
        <f t="shared" si="178"/>
        <v/>
      </c>
      <c r="R2369" s="317" t="str">
        <f t="shared" si="179"/>
        <v/>
      </c>
      <c r="S2369" s="317" t="str">
        <f t="shared" si="180"/>
        <v/>
      </c>
      <c r="T2369" s="317" t="str">
        <f>GLOBAL_DER_FEV_2023!S2369</f>
        <v/>
      </c>
      <c r="W2369" s="582">
        <v>0</v>
      </c>
      <c r="X2369" s="580"/>
      <c r="Y2369" s="583">
        <f>IF(GLOBAL_DER_FEV_2023!W2369=0,0,IF(GLOBAL_DER_FEV_2023!W2369&gt;0,"c","b"))</f>
        <v>0</v>
      </c>
    </row>
    <row r="2370" spans="1:25" ht="15" hidden="1" customHeight="1" x14ac:dyDescent="0.2">
      <c r="A2370" s="317" t="s">
        <v>147</v>
      </c>
      <c r="B2370" s="895" t="s">
        <v>147</v>
      </c>
      <c r="C2370" s="896"/>
      <c r="D2370" s="906" t="s">
        <v>233</v>
      </c>
      <c r="E2370" s="907">
        <f>GLOBAL_DER_FEV_2023!E2370</f>
        <v>0.2</v>
      </c>
      <c r="F2370" s="908">
        <f>GLOBAL_DER_FEV_2023!F2370</f>
        <v>3.8878832249999999</v>
      </c>
      <c r="G2370" s="949">
        <f>GLOBAL_DER_FEV_2023!G2370</f>
        <v>11.251534053150001</v>
      </c>
      <c r="H2370" s="901">
        <f>GLOBAL_DER_FEV_2023!H2370</f>
        <v>0</v>
      </c>
      <c r="I2370" s="901">
        <f>GLOBAL_DER_FEV_2023!I2370</f>
        <v>0</v>
      </c>
      <c r="J2370" s="902">
        <f>GLOBAL_DER_FEV_2023!J2370</f>
        <v>0</v>
      </c>
      <c r="K2370" s="903"/>
      <c r="L2370" s="1177"/>
      <c r="M2370" s="1138">
        <f t="shared" si="177"/>
        <v>0</v>
      </c>
      <c r="N2370" s="1176">
        <f t="shared" si="181"/>
        <v>0</v>
      </c>
      <c r="O2370" s="905"/>
      <c r="P2370" s="36" t="str">
        <f>IF(N2367&gt;0,"xx",IF(N2367&gt;0,"xy",""))</f>
        <v/>
      </c>
      <c r="Q2370" s="317" t="str">
        <f t="shared" si="178"/>
        <v/>
      </c>
      <c r="R2370" s="317" t="str">
        <f t="shared" si="179"/>
        <v/>
      </c>
      <c r="S2370" s="317" t="str">
        <f t="shared" si="180"/>
        <v/>
      </c>
      <c r="T2370" s="317" t="str">
        <f>GLOBAL_DER_FEV_2023!S2370</f>
        <v/>
      </c>
      <c r="W2370" s="582">
        <v>0</v>
      </c>
      <c r="X2370" s="580"/>
      <c r="Y2370" s="583">
        <f>IF(GLOBAL_DER_FEV_2023!W2370=0,0,IF(GLOBAL_DER_FEV_2023!W2370&gt;0,"c","b"))</f>
        <v>0</v>
      </c>
    </row>
    <row r="2371" spans="1:25" ht="15" hidden="1" customHeight="1" x14ac:dyDescent="0.2">
      <c r="A2371" s="317" t="s">
        <v>43</v>
      </c>
      <c r="B2371" s="895" t="s">
        <v>43</v>
      </c>
      <c r="C2371" s="896" t="s">
        <v>184</v>
      </c>
      <c r="D2371" s="906" t="s">
        <v>387</v>
      </c>
      <c r="E2371" s="907">
        <f>GLOBAL_DER_FEV_2023!E2371</f>
        <v>0</v>
      </c>
      <c r="F2371" s="908">
        <f>GLOBAL_DER_FEV_2023!F2371</f>
        <v>0</v>
      </c>
      <c r="G2371" s="912">
        <f>GLOBAL_DER_FEV_2023!G2371</f>
        <v>80.258073720000013</v>
      </c>
      <c r="H2371" s="901">
        <f>GLOBAL_DER_FEV_2023!H2371</f>
        <v>749.96</v>
      </c>
      <c r="I2371" s="901">
        <f>GLOBAL_DER_FEV_2023!I2371</f>
        <v>830.21807372000001</v>
      </c>
      <c r="J2371" s="902">
        <f>GLOBAL_DER_FEV_2023!J2371</f>
        <v>996.84</v>
      </c>
      <c r="K2371" s="903" t="s">
        <v>15</v>
      </c>
      <c r="L2371" s="1137"/>
      <c r="M2371" s="1138">
        <f t="shared" si="177"/>
        <v>0</v>
      </c>
      <c r="N2371" s="1176">
        <f t="shared" si="181"/>
        <v>0</v>
      </c>
      <c r="O2371" s="905"/>
      <c r="Q2371" s="317" t="str">
        <f t="shared" si="178"/>
        <v/>
      </c>
      <c r="R2371" s="317" t="str">
        <f t="shared" si="179"/>
        <v/>
      </c>
      <c r="S2371" s="317" t="str">
        <f t="shared" si="180"/>
        <v/>
      </c>
      <c r="T2371" s="317" t="str">
        <f>GLOBAL_DER_FEV_2023!S2371</f>
        <v/>
      </c>
      <c r="W2371" s="582">
        <v>0</v>
      </c>
      <c r="X2371" s="580"/>
      <c r="Y2371" s="583">
        <f>IF(GLOBAL_DER_FEV_2023!W2371=0,0,IF(GLOBAL_DER_FEV_2023!W2371&gt;0,"c","b"))</f>
        <v>0</v>
      </c>
    </row>
    <row r="2372" spans="1:25" ht="15" hidden="1" customHeight="1" x14ac:dyDescent="0.2">
      <c r="A2372" s="317" t="s">
        <v>147</v>
      </c>
      <c r="B2372" s="895" t="s">
        <v>147</v>
      </c>
      <c r="C2372" s="896"/>
      <c r="D2372" s="906" t="s">
        <v>190</v>
      </c>
      <c r="E2372" s="907">
        <f>GLOBAL_DER_FEV_2023!E2372</f>
        <v>308</v>
      </c>
      <c r="F2372" s="908">
        <f>GLOBAL_DER_FEV_2023!F2372</f>
        <v>0.11253000000000002</v>
      </c>
      <c r="G2372" s="909">
        <f>GLOBAL_DER_FEV_2023!G2372</f>
        <v>27.914191800000005</v>
      </c>
      <c r="H2372" s="901">
        <f>GLOBAL_DER_FEV_2023!H2372</f>
        <v>0</v>
      </c>
      <c r="I2372" s="901">
        <f>GLOBAL_DER_FEV_2023!I2372</f>
        <v>0</v>
      </c>
      <c r="J2372" s="902">
        <f>GLOBAL_DER_FEV_2023!J2372</f>
        <v>0</v>
      </c>
      <c r="K2372" s="903"/>
      <c r="L2372" s="1177"/>
      <c r="M2372" s="1138">
        <f t="shared" si="177"/>
        <v>0</v>
      </c>
      <c r="N2372" s="1176">
        <f t="shared" si="181"/>
        <v>0</v>
      </c>
      <c r="O2372" s="905"/>
      <c r="P2372" s="36" t="str">
        <f>IF(N2371&gt;0,"xx",IF(N2371&gt;0,"xy",""))</f>
        <v/>
      </c>
      <c r="Q2372" s="317" t="str">
        <f t="shared" si="178"/>
        <v/>
      </c>
      <c r="R2372" s="317" t="str">
        <f t="shared" si="179"/>
        <v/>
      </c>
      <c r="S2372" s="317" t="str">
        <f t="shared" si="180"/>
        <v/>
      </c>
      <c r="T2372" s="317" t="str">
        <f>GLOBAL_DER_FEV_2023!S2372</f>
        <v/>
      </c>
      <c r="W2372" s="582">
        <v>0</v>
      </c>
      <c r="X2372" s="580"/>
      <c r="Y2372" s="583">
        <f>IF(GLOBAL_DER_FEV_2023!W2372=0,0,IF(GLOBAL_DER_FEV_2023!W2372&gt;0,"c","b"))</f>
        <v>0</v>
      </c>
    </row>
    <row r="2373" spans="1:25" ht="15" hidden="1" customHeight="1" x14ac:dyDescent="0.2">
      <c r="A2373" s="317" t="s">
        <v>147</v>
      </c>
      <c r="B2373" s="895" t="s">
        <v>147</v>
      </c>
      <c r="C2373" s="896"/>
      <c r="D2373" s="906" t="s">
        <v>229</v>
      </c>
      <c r="E2373" s="907">
        <f>GLOBAL_DER_FEV_2023!E2373</f>
        <v>150</v>
      </c>
      <c r="F2373" s="908">
        <f>GLOBAL_DER_FEV_2023!F2373</f>
        <v>0.31406100000000003</v>
      </c>
      <c r="G2373" s="949">
        <f>GLOBAL_DER_FEV_2023!G2373</f>
        <v>51.248473980000007</v>
      </c>
      <c r="H2373" s="901">
        <f>GLOBAL_DER_FEV_2023!H2373</f>
        <v>0</v>
      </c>
      <c r="I2373" s="901">
        <f>GLOBAL_DER_FEV_2023!I2373</f>
        <v>0</v>
      </c>
      <c r="J2373" s="902">
        <f>GLOBAL_DER_FEV_2023!J2373</f>
        <v>0</v>
      </c>
      <c r="K2373" s="903"/>
      <c r="L2373" s="1177"/>
      <c r="M2373" s="1138">
        <f t="shared" si="177"/>
        <v>0</v>
      </c>
      <c r="N2373" s="1176">
        <f t="shared" si="181"/>
        <v>0</v>
      </c>
      <c r="O2373" s="905"/>
      <c r="P2373" s="36" t="str">
        <f>IF(N2371&gt;0,"xx",IF(N2371&gt;0,"xy",""))</f>
        <v/>
      </c>
      <c r="Q2373" s="317" t="str">
        <f t="shared" si="178"/>
        <v/>
      </c>
      <c r="R2373" s="317" t="str">
        <f t="shared" si="179"/>
        <v/>
      </c>
      <c r="S2373" s="317" t="str">
        <f t="shared" si="180"/>
        <v/>
      </c>
      <c r="T2373" s="317" t="str">
        <f>GLOBAL_DER_FEV_2023!S2373</f>
        <v/>
      </c>
      <c r="W2373" s="582">
        <v>0</v>
      </c>
      <c r="X2373" s="580"/>
      <c r="Y2373" s="583">
        <f>IF(GLOBAL_DER_FEV_2023!W2373=0,0,IF(GLOBAL_DER_FEV_2023!W2373&gt;0,"c","b"))</f>
        <v>0</v>
      </c>
    </row>
    <row r="2374" spans="1:25" ht="15" hidden="1" customHeight="1" x14ac:dyDescent="0.2">
      <c r="A2374" s="317" t="s">
        <v>147</v>
      </c>
      <c r="B2374" s="895" t="s">
        <v>147</v>
      </c>
      <c r="C2374" s="896"/>
      <c r="D2374" s="906" t="s">
        <v>233</v>
      </c>
      <c r="E2374" s="907">
        <f>GLOBAL_DER_FEV_2023!E2374</f>
        <v>0.2</v>
      </c>
      <c r="F2374" s="908">
        <f>GLOBAL_DER_FEV_2023!F2374</f>
        <v>0.37851000000000007</v>
      </c>
      <c r="G2374" s="949">
        <f>GLOBAL_DER_FEV_2023!G2374</f>
        <v>1.0954079400000003</v>
      </c>
      <c r="H2374" s="901">
        <f>GLOBAL_DER_FEV_2023!H2374</f>
        <v>0</v>
      </c>
      <c r="I2374" s="901">
        <f>GLOBAL_DER_FEV_2023!I2374</f>
        <v>0</v>
      </c>
      <c r="J2374" s="902">
        <f>GLOBAL_DER_FEV_2023!J2374</f>
        <v>0</v>
      </c>
      <c r="K2374" s="903"/>
      <c r="L2374" s="1177"/>
      <c r="M2374" s="1138">
        <f t="shared" si="177"/>
        <v>0</v>
      </c>
      <c r="N2374" s="1176">
        <f t="shared" si="181"/>
        <v>0</v>
      </c>
      <c r="O2374" s="905"/>
      <c r="P2374" s="36" t="str">
        <f>IF(N2371&gt;0,"xx",IF(N2371&gt;0,"xy",""))</f>
        <v/>
      </c>
      <c r="Q2374" s="317" t="str">
        <f t="shared" si="178"/>
        <v/>
      </c>
      <c r="R2374" s="317" t="str">
        <f t="shared" si="179"/>
        <v/>
      </c>
      <c r="S2374" s="317" t="str">
        <f t="shared" si="180"/>
        <v/>
      </c>
      <c r="T2374" s="317" t="str">
        <f>GLOBAL_DER_FEV_2023!S2374</f>
        <v/>
      </c>
      <c r="W2374" s="582">
        <v>0</v>
      </c>
      <c r="X2374" s="580"/>
      <c r="Y2374" s="583">
        <f>IF(GLOBAL_DER_FEV_2023!W2374=0,0,IF(GLOBAL_DER_FEV_2023!W2374&gt;0,"c","b"))</f>
        <v>0</v>
      </c>
    </row>
    <row r="2375" spans="1:25" ht="15" hidden="1" customHeight="1" x14ac:dyDescent="0.2">
      <c r="A2375" s="317" t="s">
        <v>44</v>
      </c>
      <c r="B2375" s="895" t="s">
        <v>44</v>
      </c>
      <c r="C2375" s="896" t="s">
        <v>184</v>
      </c>
      <c r="D2375" s="906" t="s">
        <v>388</v>
      </c>
      <c r="E2375" s="907">
        <f>GLOBAL_DER_FEV_2023!E2375</f>
        <v>0</v>
      </c>
      <c r="F2375" s="908">
        <f>GLOBAL_DER_FEV_2023!F2375</f>
        <v>0</v>
      </c>
      <c r="G2375" s="912">
        <f>GLOBAL_DER_FEV_2023!G2375</f>
        <v>87.318901320000023</v>
      </c>
      <c r="H2375" s="901">
        <f>GLOBAL_DER_FEV_2023!H2375</f>
        <v>850.96</v>
      </c>
      <c r="I2375" s="901">
        <f>GLOBAL_DER_FEV_2023!I2375</f>
        <v>938.27890132000005</v>
      </c>
      <c r="J2375" s="902">
        <f>GLOBAL_DER_FEV_2023!J2375</f>
        <v>1126.5899999999999</v>
      </c>
      <c r="K2375" s="903" t="s">
        <v>15</v>
      </c>
      <c r="L2375" s="1137"/>
      <c r="M2375" s="1138">
        <f t="shared" si="177"/>
        <v>0</v>
      </c>
      <c r="N2375" s="1176">
        <f t="shared" si="181"/>
        <v>0</v>
      </c>
      <c r="O2375" s="905"/>
      <c r="Q2375" s="317" t="str">
        <f t="shared" si="178"/>
        <v/>
      </c>
      <c r="R2375" s="317" t="str">
        <f t="shared" si="179"/>
        <v/>
      </c>
      <c r="S2375" s="317" t="str">
        <f t="shared" si="180"/>
        <v/>
      </c>
      <c r="T2375" s="317" t="str">
        <f>GLOBAL_DER_FEV_2023!S2375</f>
        <v/>
      </c>
      <c r="W2375" s="582">
        <v>0</v>
      </c>
      <c r="X2375" s="580"/>
      <c r="Y2375" s="583">
        <f>IF(GLOBAL_DER_FEV_2023!W2375=0,0,IF(GLOBAL_DER_FEV_2023!W2375&gt;0,"c","b"))</f>
        <v>0</v>
      </c>
    </row>
    <row r="2376" spans="1:25" ht="15" hidden="1" customHeight="1" x14ac:dyDescent="0.2">
      <c r="A2376" s="317" t="s">
        <v>147</v>
      </c>
      <c r="B2376" s="895" t="s">
        <v>147</v>
      </c>
      <c r="C2376" s="896"/>
      <c r="D2376" s="906" t="s">
        <v>190</v>
      </c>
      <c r="E2376" s="907">
        <f>GLOBAL_DER_FEV_2023!E2376</f>
        <v>308</v>
      </c>
      <c r="F2376" s="908">
        <f>GLOBAL_DER_FEV_2023!F2376</f>
        <v>0.12243000000000002</v>
      </c>
      <c r="G2376" s="909">
        <f>GLOBAL_DER_FEV_2023!G2376</f>
        <v>30.369985800000006</v>
      </c>
      <c r="H2376" s="901">
        <f>GLOBAL_DER_FEV_2023!H2376</f>
        <v>0</v>
      </c>
      <c r="I2376" s="901">
        <f>GLOBAL_DER_FEV_2023!I2376</f>
        <v>0</v>
      </c>
      <c r="J2376" s="902">
        <f>GLOBAL_DER_FEV_2023!J2376</f>
        <v>0</v>
      </c>
      <c r="K2376" s="903"/>
      <c r="L2376" s="1177"/>
      <c r="M2376" s="1138">
        <f t="shared" si="177"/>
        <v>0</v>
      </c>
      <c r="N2376" s="1176">
        <f t="shared" si="181"/>
        <v>0</v>
      </c>
      <c r="O2376" s="905"/>
      <c r="P2376" s="36" t="str">
        <f>IF(N2375&gt;0,"xx",IF(N2375&gt;0,"xy",""))</f>
        <v/>
      </c>
      <c r="Q2376" s="317" t="str">
        <f t="shared" si="178"/>
        <v/>
      </c>
      <c r="R2376" s="317" t="str">
        <f t="shared" si="179"/>
        <v/>
      </c>
      <c r="S2376" s="317" t="str">
        <f t="shared" si="180"/>
        <v/>
      </c>
      <c r="T2376" s="317" t="str">
        <f>GLOBAL_DER_FEV_2023!S2376</f>
        <v/>
      </c>
      <c r="W2376" s="582">
        <v>0</v>
      </c>
      <c r="X2376" s="580"/>
      <c r="Y2376" s="583">
        <f>IF(GLOBAL_DER_FEV_2023!W2376=0,0,IF(GLOBAL_DER_FEV_2023!W2376&gt;0,"c","b"))</f>
        <v>0</v>
      </c>
    </row>
    <row r="2377" spans="1:25" ht="15" hidden="1" customHeight="1" x14ac:dyDescent="0.2">
      <c r="A2377" s="317" t="s">
        <v>147</v>
      </c>
      <c r="B2377" s="895" t="s">
        <v>147</v>
      </c>
      <c r="C2377" s="896"/>
      <c r="D2377" s="906" t="s">
        <v>229</v>
      </c>
      <c r="E2377" s="907">
        <f>GLOBAL_DER_FEV_2023!E2377</f>
        <v>150</v>
      </c>
      <c r="F2377" s="908">
        <f>GLOBAL_DER_FEV_2023!F2377</f>
        <v>0.34169100000000008</v>
      </c>
      <c r="G2377" s="949">
        <f>GLOBAL_DER_FEV_2023!G2377</f>
        <v>55.757137380000017</v>
      </c>
      <c r="H2377" s="901">
        <f>GLOBAL_DER_FEV_2023!H2377</f>
        <v>0</v>
      </c>
      <c r="I2377" s="901">
        <f>GLOBAL_DER_FEV_2023!I2377</f>
        <v>0</v>
      </c>
      <c r="J2377" s="902">
        <f>GLOBAL_DER_FEV_2023!J2377</f>
        <v>0</v>
      </c>
      <c r="K2377" s="903"/>
      <c r="L2377" s="1177"/>
      <c r="M2377" s="1138">
        <f t="shared" si="177"/>
        <v>0</v>
      </c>
      <c r="N2377" s="1176">
        <f t="shared" si="181"/>
        <v>0</v>
      </c>
      <c r="O2377" s="905"/>
      <c r="P2377" s="36" t="str">
        <f>IF(N2375&gt;0,"xx",IF(N2375&gt;0,"xy",""))</f>
        <v/>
      </c>
      <c r="Q2377" s="317" t="str">
        <f t="shared" si="178"/>
        <v/>
      </c>
      <c r="R2377" s="317" t="str">
        <f t="shared" si="179"/>
        <v/>
      </c>
      <c r="S2377" s="317" t="str">
        <f t="shared" si="180"/>
        <v/>
      </c>
      <c r="T2377" s="317" t="str">
        <f>GLOBAL_DER_FEV_2023!S2377</f>
        <v/>
      </c>
      <c r="W2377" s="582">
        <v>0</v>
      </c>
      <c r="X2377" s="580"/>
      <c r="Y2377" s="583">
        <f>IF(GLOBAL_DER_FEV_2023!W2377=0,0,IF(GLOBAL_DER_FEV_2023!W2377&gt;0,"c","b"))</f>
        <v>0</v>
      </c>
    </row>
    <row r="2378" spans="1:25" ht="15" hidden="1" customHeight="1" x14ac:dyDescent="0.2">
      <c r="A2378" s="317" t="s">
        <v>147</v>
      </c>
      <c r="B2378" s="895" t="s">
        <v>147</v>
      </c>
      <c r="C2378" s="896"/>
      <c r="D2378" s="906" t="s">
        <v>233</v>
      </c>
      <c r="E2378" s="907">
        <f>GLOBAL_DER_FEV_2023!E2378</f>
        <v>0.2</v>
      </c>
      <c r="F2378" s="908">
        <f>GLOBAL_DER_FEV_2023!F2378</f>
        <v>0.41181000000000012</v>
      </c>
      <c r="G2378" s="949">
        <f>GLOBAL_DER_FEV_2023!G2378</f>
        <v>1.1917781400000005</v>
      </c>
      <c r="H2378" s="901">
        <f>GLOBAL_DER_FEV_2023!H2378</f>
        <v>0</v>
      </c>
      <c r="I2378" s="901">
        <f>GLOBAL_DER_FEV_2023!I2378</f>
        <v>0</v>
      </c>
      <c r="J2378" s="902">
        <f>GLOBAL_DER_FEV_2023!J2378</f>
        <v>0</v>
      </c>
      <c r="K2378" s="903"/>
      <c r="L2378" s="1177"/>
      <c r="M2378" s="1138">
        <f t="shared" si="177"/>
        <v>0</v>
      </c>
      <c r="N2378" s="1176">
        <f t="shared" si="181"/>
        <v>0</v>
      </c>
      <c r="O2378" s="905"/>
      <c r="P2378" s="36" t="str">
        <f>IF(N2375&gt;0,"xx",IF(N2375&gt;0,"xy",""))</f>
        <v/>
      </c>
      <c r="Q2378" s="317" t="str">
        <f t="shared" si="178"/>
        <v/>
      </c>
      <c r="R2378" s="317" t="str">
        <f t="shared" si="179"/>
        <v/>
      </c>
      <c r="S2378" s="317" t="str">
        <f t="shared" si="180"/>
        <v/>
      </c>
      <c r="T2378" s="317" t="str">
        <f>GLOBAL_DER_FEV_2023!S2378</f>
        <v/>
      </c>
      <c r="W2378" s="582">
        <v>0</v>
      </c>
      <c r="X2378" s="580"/>
      <c r="Y2378" s="583">
        <f>IF(GLOBAL_DER_FEV_2023!W2378=0,0,IF(GLOBAL_DER_FEV_2023!W2378&gt;0,"c","b"))</f>
        <v>0</v>
      </c>
    </row>
    <row r="2379" spans="1:25" ht="15" hidden="1" customHeight="1" x14ac:dyDescent="0.2">
      <c r="A2379" s="317" t="s">
        <v>45</v>
      </c>
      <c r="B2379" s="895" t="s">
        <v>45</v>
      </c>
      <c r="C2379" s="896" t="s">
        <v>184</v>
      </c>
      <c r="D2379" s="906" t="s">
        <v>389</v>
      </c>
      <c r="E2379" s="907">
        <f>GLOBAL_DER_FEV_2023!E2379</f>
        <v>0</v>
      </c>
      <c r="F2379" s="908">
        <f>GLOBAL_DER_FEV_2023!F2379</f>
        <v>0</v>
      </c>
      <c r="G2379" s="912">
        <f>GLOBAL_DER_FEV_2023!G2379</f>
        <v>94.379728920000005</v>
      </c>
      <c r="H2379" s="901">
        <f>GLOBAL_DER_FEV_2023!H2379</f>
        <v>971.4</v>
      </c>
      <c r="I2379" s="901">
        <f>GLOBAL_DER_FEV_2023!I2379</f>
        <v>1065.77972892</v>
      </c>
      <c r="J2379" s="902">
        <f>GLOBAL_DER_FEV_2023!J2379</f>
        <v>1279.68</v>
      </c>
      <c r="K2379" s="903" t="s">
        <v>15</v>
      </c>
      <c r="L2379" s="1137"/>
      <c r="M2379" s="1138">
        <f t="shared" si="177"/>
        <v>0</v>
      </c>
      <c r="N2379" s="1176">
        <f t="shared" si="181"/>
        <v>0</v>
      </c>
      <c r="O2379" s="905"/>
      <c r="Q2379" s="317" t="str">
        <f t="shared" si="178"/>
        <v/>
      </c>
      <c r="R2379" s="317" t="str">
        <f t="shared" si="179"/>
        <v/>
      </c>
      <c r="S2379" s="317" t="str">
        <f t="shared" si="180"/>
        <v/>
      </c>
      <c r="T2379" s="317" t="str">
        <f>GLOBAL_DER_FEV_2023!S2379</f>
        <v/>
      </c>
      <c r="W2379" s="582">
        <v>0</v>
      </c>
      <c r="X2379" s="580"/>
      <c r="Y2379" s="583">
        <f>IF(GLOBAL_DER_FEV_2023!W2379=0,0,IF(GLOBAL_DER_FEV_2023!W2379&gt;0,"c","b"))</f>
        <v>0</v>
      </c>
    </row>
    <row r="2380" spans="1:25" ht="15" hidden="1" customHeight="1" x14ac:dyDescent="0.2">
      <c r="A2380" s="317" t="s">
        <v>147</v>
      </c>
      <c r="B2380" s="895" t="s">
        <v>147</v>
      </c>
      <c r="C2380" s="896"/>
      <c r="D2380" s="906" t="s">
        <v>190</v>
      </c>
      <c r="E2380" s="907">
        <f>GLOBAL_DER_FEV_2023!E2380</f>
        <v>308</v>
      </c>
      <c r="F2380" s="908">
        <f>GLOBAL_DER_FEV_2023!F2380</f>
        <v>0.13233</v>
      </c>
      <c r="G2380" s="909">
        <f>GLOBAL_DER_FEV_2023!G2380</f>
        <v>32.825779799999999</v>
      </c>
      <c r="H2380" s="901">
        <f>GLOBAL_DER_FEV_2023!H2380</f>
        <v>0</v>
      </c>
      <c r="I2380" s="901">
        <f>GLOBAL_DER_FEV_2023!I2380</f>
        <v>0</v>
      </c>
      <c r="J2380" s="902">
        <f>GLOBAL_DER_FEV_2023!J2380</f>
        <v>0</v>
      </c>
      <c r="K2380" s="903"/>
      <c r="L2380" s="1177"/>
      <c r="M2380" s="1138">
        <f t="shared" si="177"/>
        <v>0</v>
      </c>
      <c r="N2380" s="1176">
        <f t="shared" si="181"/>
        <v>0</v>
      </c>
      <c r="O2380" s="905"/>
      <c r="P2380" s="36" t="str">
        <f>IF(N2379&gt;0,"xx",IF(N2379&gt;0,"xy",""))</f>
        <v/>
      </c>
      <c r="Q2380" s="317" t="str">
        <f t="shared" si="178"/>
        <v/>
      </c>
      <c r="R2380" s="317" t="str">
        <f t="shared" si="179"/>
        <v/>
      </c>
      <c r="S2380" s="317" t="str">
        <f t="shared" si="180"/>
        <v/>
      </c>
      <c r="T2380" s="317" t="str">
        <f>GLOBAL_DER_FEV_2023!S2380</f>
        <v/>
      </c>
      <c r="W2380" s="582">
        <v>0</v>
      </c>
      <c r="X2380" s="580"/>
      <c r="Y2380" s="583">
        <f>IF(GLOBAL_DER_FEV_2023!W2380=0,0,IF(GLOBAL_DER_FEV_2023!W2380&gt;0,"c","b"))</f>
        <v>0</v>
      </c>
    </row>
    <row r="2381" spans="1:25" ht="15" hidden="1" customHeight="1" x14ac:dyDescent="0.2">
      <c r="A2381" s="317" t="s">
        <v>147</v>
      </c>
      <c r="B2381" s="895" t="s">
        <v>147</v>
      </c>
      <c r="C2381" s="896"/>
      <c r="D2381" s="906" t="s">
        <v>229</v>
      </c>
      <c r="E2381" s="907">
        <f>GLOBAL_DER_FEV_2023!E2381</f>
        <v>150</v>
      </c>
      <c r="F2381" s="908">
        <f>GLOBAL_DER_FEV_2023!F2381</f>
        <v>0.36932100000000001</v>
      </c>
      <c r="G2381" s="949">
        <f>GLOBAL_DER_FEV_2023!G2381</f>
        <v>60.265800780000006</v>
      </c>
      <c r="H2381" s="901">
        <f>GLOBAL_DER_FEV_2023!H2381</f>
        <v>0</v>
      </c>
      <c r="I2381" s="901">
        <f>GLOBAL_DER_FEV_2023!I2381</f>
        <v>0</v>
      </c>
      <c r="J2381" s="902">
        <f>GLOBAL_DER_FEV_2023!J2381</f>
        <v>0</v>
      </c>
      <c r="K2381" s="903"/>
      <c r="L2381" s="1177"/>
      <c r="M2381" s="1138">
        <f t="shared" si="177"/>
        <v>0</v>
      </c>
      <c r="N2381" s="1176">
        <f t="shared" si="181"/>
        <v>0</v>
      </c>
      <c r="O2381" s="905"/>
      <c r="P2381" s="36" t="str">
        <f>IF(N2379&gt;0,"xx",IF(N2379&gt;0,"xy",""))</f>
        <v/>
      </c>
      <c r="Q2381" s="317" t="str">
        <f t="shared" si="178"/>
        <v/>
      </c>
      <c r="R2381" s="317" t="str">
        <f t="shared" si="179"/>
        <v/>
      </c>
      <c r="S2381" s="317" t="str">
        <f t="shared" si="180"/>
        <v/>
      </c>
      <c r="T2381" s="317" t="str">
        <f>GLOBAL_DER_FEV_2023!S2381</f>
        <v/>
      </c>
      <c r="W2381" s="582">
        <v>0</v>
      </c>
      <c r="X2381" s="580"/>
      <c r="Y2381" s="583">
        <f>IF(GLOBAL_DER_FEV_2023!W2381=0,0,IF(GLOBAL_DER_FEV_2023!W2381&gt;0,"c","b"))</f>
        <v>0</v>
      </c>
    </row>
    <row r="2382" spans="1:25" ht="15" hidden="1" customHeight="1" x14ac:dyDescent="0.2">
      <c r="A2382" s="317" t="s">
        <v>147</v>
      </c>
      <c r="B2382" s="895" t="s">
        <v>147</v>
      </c>
      <c r="C2382" s="896"/>
      <c r="D2382" s="906" t="s">
        <v>233</v>
      </c>
      <c r="E2382" s="907">
        <f>GLOBAL_DER_FEV_2023!E2382</f>
        <v>0.2</v>
      </c>
      <c r="F2382" s="908">
        <f>GLOBAL_DER_FEV_2023!F2382</f>
        <v>0.44511000000000006</v>
      </c>
      <c r="G2382" s="949">
        <f>GLOBAL_DER_FEV_2023!G2382</f>
        <v>1.2881483400000002</v>
      </c>
      <c r="H2382" s="901">
        <f>GLOBAL_DER_FEV_2023!H2382</f>
        <v>0</v>
      </c>
      <c r="I2382" s="901">
        <f>GLOBAL_DER_FEV_2023!I2382</f>
        <v>0</v>
      </c>
      <c r="J2382" s="902">
        <f>GLOBAL_DER_FEV_2023!J2382</f>
        <v>0</v>
      </c>
      <c r="K2382" s="903"/>
      <c r="L2382" s="1177"/>
      <c r="M2382" s="1138">
        <f t="shared" si="177"/>
        <v>0</v>
      </c>
      <c r="N2382" s="1176">
        <f t="shared" si="181"/>
        <v>0</v>
      </c>
      <c r="O2382" s="905"/>
      <c r="P2382" s="36" t="str">
        <f>IF(N2379&gt;0,"xx",IF(N2379&gt;0,"xy",""))</f>
        <v/>
      </c>
      <c r="Q2382" s="317" t="str">
        <f t="shared" si="178"/>
        <v/>
      </c>
      <c r="R2382" s="317" t="str">
        <f t="shared" si="179"/>
        <v/>
      </c>
      <c r="S2382" s="317" t="str">
        <f t="shared" si="180"/>
        <v/>
      </c>
      <c r="T2382" s="317" t="str">
        <f>GLOBAL_DER_FEV_2023!S2382</f>
        <v/>
      </c>
      <c r="W2382" s="582">
        <v>0</v>
      </c>
      <c r="X2382" s="580"/>
      <c r="Y2382" s="583">
        <f>IF(GLOBAL_DER_FEV_2023!W2382=0,0,IF(GLOBAL_DER_FEV_2023!W2382&gt;0,"c","b"))</f>
        <v>0</v>
      </c>
    </row>
    <row r="2383" spans="1:25" ht="15" hidden="1" customHeight="1" x14ac:dyDescent="0.2">
      <c r="A2383" s="317" t="s">
        <v>46</v>
      </c>
      <c r="B2383" s="895" t="s">
        <v>46</v>
      </c>
      <c r="C2383" s="896" t="s">
        <v>184</v>
      </c>
      <c r="D2383" s="906" t="s">
        <v>390</v>
      </c>
      <c r="E2383" s="907">
        <f>GLOBAL_DER_FEV_2023!E2383</f>
        <v>0</v>
      </c>
      <c r="F2383" s="908">
        <f>GLOBAL_DER_FEV_2023!F2383</f>
        <v>0</v>
      </c>
      <c r="G2383" s="912">
        <f>GLOBAL_DER_FEV_2023!G2383</f>
        <v>357.35287714000003</v>
      </c>
      <c r="H2383" s="901">
        <f>GLOBAL_DER_FEV_2023!H2383</f>
        <v>968.15</v>
      </c>
      <c r="I2383" s="901">
        <f>GLOBAL_DER_FEV_2023!I2383</f>
        <v>1325.50287714</v>
      </c>
      <c r="J2383" s="902">
        <f>GLOBAL_DER_FEV_2023!J2383</f>
        <v>1591.53</v>
      </c>
      <c r="K2383" s="903" t="s">
        <v>15</v>
      </c>
      <c r="L2383" s="1137"/>
      <c r="M2383" s="1138">
        <f t="shared" si="177"/>
        <v>0</v>
      </c>
      <c r="N2383" s="1176">
        <f t="shared" si="181"/>
        <v>0</v>
      </c>
      <c r="O2383" s="905"/>
      <c r="Q2383" s="317" t="str">
        <f t="shared" si="178"/>
        <v/>
      </c>
      <c r="R2383" s="317" t="str">
        <f t="shared" si="179"/>
        <v/>
      </c>
      <c r="S2383" s="317" t="str">
        <f t="shared" si="180"/>
        <v/>
      </c>
      <c r="T2383" s="317" t="str">
        <f>GLOBAL_DER_FEV_2023!S2383</f>
        <v/>
      </c>
      <c r="W2383" s="582">
        <v>0</v>
      </c>
      <c r="X2383" s="580"/>
      <c r="Y2383" s="583">
        <f>IF(GLOBAL_DER_FEV_2023!W2383=0,0,IF(GLOBAL_DER_FEV_2023!W2383&gt;0,"c","b"))</f>
        <v>0</v>
      </c>
    </row>
    <row r="2384" spans="1:25" ht="15" hidden="1" customHeight="1" x14ac:dyDescent="0.2">
      <c r="A2384" s="317" t="s">
        <v>147</v>
      </c>
      <c r="B2384" s="895" t="s">
        <v>147</v>
      </c>
      <c r="C2384" s="896"/>
      <c r="D2384" s="906" t="s">
        <v>190</v>
      </c>
      <c r="E2384" s="907">
        <f>GLOBAL_DER_FEV_2023!E2384</f>
        <v>308</v>
      </c>
      <c r="F2384" s="908">
        <f>GLOBAL_DER_FEV_2023!F2384</f>
        <v>0.38417000000000001</v>
      </c>
      <c r="G2384" s="909">
        <f>GLOBAL_DER_FEV_2023!G2384</f>
        <v>95.297210200000009</v>
      </c>
      <c r="H2384" s="901">
        <f>GLOBAL_DER_FEV_2023!H2384</f>
        <v>0</v>
      </c>
      <c r="I2384" s="901">
        <f>GLOBAL_DER_FEV_2023!I2384</f>
        <v>0</v>
      </c>
      <c r="J2384" s="902">
        <f>GLOBAL_DER_FEV_2023!J2384</f>
        <v>0</v>
      </c>
      <c r="K2384" s="903"/>
      <c r="L2384" s="1177"/>
      <c r="M2384" s="1138">
        <f t="shared" si="177"/>
        <v>0</v>
      </c>
      <c r="N2384" s="1176">
        <f t="shared" si="181"/>
        <v>0</v>
      </c>
      <c r="O2384" s="905"/>
      <c r="P2384" s="36" t="str">
        <f>IF(N2383&gt;0,"xx",IF(N2383&gt;0,"xy",""))</f>
        <v/>
      </c>
      <c r="Q2384" s="317" t="str">
        <f t="shared" si="178"/>
        <v/>
      </c>
      <c r="R2384" s="317" t="str">
        <f t="shared" si="179"/>
        <v/>
      </c>
      <c r="S2384" s="317" t="str">
        <f t="shared" si="180"/>
        <v/>
      </c>
      <c r="T2384" s="317" t="str">
        <f>GLOBAL_DER_FEV_2023!S2384</f>
        <v/>
      </c>
      <c r="W2384" s="582">
        <v>0</v>
      </c>
      <c r="X2384" s="580"/>
      <c r="Y2384" s="583">
        <f>IF(GLOBAL_DER_FEV_2023!W2384=0,0,IF(GLOBAL_DER_FEV_2023!W2384&gt;0,"c","b"))</f>
        <v>0</v>
      </c>
    </row>
    <row r="2385" spans="1:25" ht="15" hidden="1" customHeight="1" x14ac:dyDescent="0.2">
      <c r="A2385" s="317" t="s">
        <v>147</v>
      </c>
      <c r="B2385" s="895" t="s">
        <v>147</v>
      </c>
      <c r="C2385" s="896"/>
      <c r="D2385" s="906" t="s">
        <v>229</v>
      </c>
      <c r="E2385" s="907">
        <f>GLOBAL_DER_FEV_2023!E2385</f>
        <v>150</v>
      </c>
      <c r="F2385" s="908">
        <f>GLOBAL_DER_FEV_2023!F2385</f>
        <v>1.55436</v>
      </c>
      <c r="G2385" s="949">
        <f>GLOBAL_DER_FEV_2023!G2385</f>
        <v>253.64046480000002</v>
      </c>
      <c r="H2385" s="901">
        <f>GLOBAL_DER_FEV_2023!H2385</f>
        <v>0</v>
      </c>
      <c r="I2385" s="901">
        <f>GLOBAL_DER_FEV_2023!I2385</f>
        <v>0</v>
      </c>
      <c r="J2385" s="902">
        <f>GLOBAL_DER_FEV_2023!J2385</f>
        <v>0</v>
      </c>
      <c r="K2385" s="903"/>
      <c r="L2385" s="1177"/>
      <c r="M2385" s="1138">
        <f t="shared" si="177"/>
        <v>0</v>
      </c>
      <c r="N2385" s="1176">
        <f t="shared" si="181"/>
        <v>0</v>
      </c>
      <c r="O2385" s="905"/>
      <c r="P2385" s="36" t="str">
        <f>IF(N2383&gt;0,"xx",IF(N2383&gt;0,"xy",""))</f>
        <v/>
      </c>
      <c r="Q2385" s="317" t="str">
        <f t="shared" si="178"/>
        <v/>
      </c>
      <c r="R2385" s="317" t="str">
        <f t="shared" si="179"/>
        <v/>
      </c>
      <c r="S2385" s="317" t="str">
        <f t="shared" si="180"/>
        <v/>
      </c>
      <c r="T2385" s="317" t="str">
        <f>GLOBAL_DER_FEV_2023!S2385</f>
        <v/>
      </c>
      <c r="W2385" s="582">
        <v>0</v>
      </c>
      <c r="X2385" s="580"/>
      <c r="Y2385" s="583">
        <f>IF(GLOBAL_DER_FEV_2023!W2385=0,0,IF(GLOBAL_DER_FEV_2023!W2385&gt;0,"c","b"))</f>
        <v>0</v>
      </c>
    </row>
    <row r="2386" spans="1:25" ht="15" hidden="1" customHeight="1" x14ac:dyDescent="0.2">
      <c r="A2386" s="317" t="s">
        <v>147</v>
      </c>
      <c r="B2386" s="895" t="s">
        <v>147</v>
      </c>
      <c r="C2386" s="896"/>
      <c r="D2386" s="906" t="s">
        <v>233</v>
      </c>
      <c r="E2386" s="907">
        <f>GLOBAL_DER_FEV_2023!E2386</f>
        <v>0.2</v>
      </c>
      <c r="F2386" s="908">
        <f>GLOBAL_DER_FEV_2023!F2386</f>
        <v>2.9078100000000004</v>
      </c>
      <c r="G2386" s="949">
        <f>GLOBAL_DER_FEV_2023!G2386</f>
        <v>8.4152021400000017</v>
      </c>
      <c r="H2386" s="901">
        <f>GLOBAL_DER_FEV_2023!H2386</f>
        <v>0</v>
      </c>
      <c r="I2386" s="901">
        <f>GLOBAL_DER_FEV_2023!I2386</f>
        <v>0</v>
      </c>
      <c r="J2386" s="902">
        <f>GLOBAL_DER_FEV_2023!J2386</f>
        <v>0</v>
      </c>
      <c r="K2386" s="903"/>
      <c r="L2386" s="1177"/>
      <c r="M2386" s="1138">
        <f t="shared" ref="M2386:M2449" si="182">IF(L2386=0,0,ROUND(J2386,2))</f>
        <v>0</v>
      </c>
      <c r="N2386" s="1176">
        <f t="shared" si="181"/>
        <v>0</v>
      </c>
      <c r="O2386" s="905"/>
      <c r="P2386" s="36" t="str">
        <f>IF(N2383&gt;0,"xx",IF(N2383&gt;0,"xy",""))</f>
        <v/>
      </c>
      <c r="Q2386" s="317" t="str">
        <f t="shared" si="178"/>
        <v/>
      </c>
      <c r="R2386" s="317" t="str">
        <f t="shared" si="179"/>
        <v/>
      </c>
      <c r="S2386" s="317" t="str">
        <f t="shared" si="180"/>
        <v/>
      </c>
      <c r="T2386" s="317" t="str">
        <f>GLOBAL_DER_FEV_2023!S2386</f>
        <v/>
      </c>
      <c r="W2386" s="582">
        <v>0</v>
      </c>
      <c r="X2386" s="580"/>
      <c r="Y2386" s="583">
        <f>IF(GLOBAL_DER_FEV_2023!W2386=0,0,IF(GLOBAL_DER_FEV_2023!W2386&gt;0,"c","b"))</f>
        <v>0</v>
      </c>
    </row>
    <row r="2387" spans="1:25" ht="15" hidden="1" customHeight="1" x14ac:dyDescent="0.2">
      <c r="A2387" s="317" t="s">
        <v>46</v>
      </c>
      <c r="B2387" s="895" t="s">
        <v>46</v>
      </c>
      <c r="C2387" s="896" t="s">
        <v>184</v>
      </c>
      <c r="D2387" s="906" t="s">
        <v>391</v>
      </c>
      <c r="E2387" s="907">
        <f>GLOBAL_DER_FEV_2023!E2387</f>
        <v>0</v>
      </c>
      <c r="F2387" s="908">
        <f>GLOBAL_DER_FEV_2023!F2387</f>
        <v>0</v>
      </c>
      <c r="G2387" s="912">
        <f>GLOBAL_DER_FEV_2023!G2387</f>
        <v>440.73125189999996</v>
      </c>
      <c r="H2387" s="901">
        <f>GLOBAL_DER_FEV_2023!H2387</f>
        <v>1174.8399999999999</v>
      </c>
      <c r="I2387" s="901">
        <f>GLOBAL_DER_FEV_2023!I2387</f>
        <v>1615.5712518999999</v>
      </c>
      <c r="J2387" s="902">
        <f>GLOBAL_DER_FEV_2023!J2387</f>
        <v>1939.82</v>
      </c>
      <c r="K2387" s="903" t="s">
        <v>15</v>
      </c>
      <c r="L2387" s="1137"/>
      <c r="M2387" s="1138">
        <f t="shared" si="182"/>
        <v>0</v>
      </c>
      <c r="N2387" s="1176">
        <f t="shared" si="181"/>
        <v>0</v>
      </c>
      <c r="O2387" s="905"/>
      <c r="Q2387" s="317" t="str">
        <f t="shared" si="178"/>
        <v/>
      </c>
      <c r="R2387" s="317" t="str">
        <f t="shared" si="179"/>
        <v/>
      </c>
      <c r="S2387" s="317" t="str">
        <f t="shared" si="180"/>
        <v/>
      </c>
      <c r="T2387" s="317" t="str">
        <f>GLOBAL_DER_FEV_2023!S2387</f>
        <v/>
      </c>
      <c r="W2387" s="582">
        <v>0</v>
      </c>
      <c r="X2387" s="580"/>
      <c r="Y2387" s="583">
        <f>IF(GLOBAL_DER_FEV_2023!W2387=0,0,IF(GLOBAL_DER_FEV_2023!W2387&gt;0,"c","b"))</f>
        <v>0</v>
      </c>
    </row>
    <row r="2388" spans="1:25" ht="15" hidden="1" customHeight="1" x14ac:dyDescent="0.2">
      <c r="A2388" s="317" t="s">
        <v>147</v>
      </c>
      <c r="B2388" s="895" t="s">
        <v>147</v>
      </c>
      <c r="C2388" s="896"/>
      <c r="D2388" s="906" t="s">
        <v>190</v>
      </c>
      <c r="E2388" s="907">
        <f>GLOBAL_DER_FEV_2023!E2388</f>
        <v>308</v>
      </c>
      <c r="F2388" s="908">
        <f>GLOBAL_DER_FEV_2023!F2388</f>
        <v>0.47295000000000004</v>
      </c>
      <c r="G2388" s="909">
        <f>GLOBAL_DER_FEV_2023!G2388</f>
        <v>117.31997700000001</v>
      </c>
      <c r="H2388" s="901">
        <f>GLOBAL_DER_FEV_2023!H2388</f>
        <v>0</v>
      </c>
      <c r="I2388" s="901">
        <f>GLOBAL_DER_FEV_2023!I2388</f>
        <v>0</v>
      </c>
      <c r="J2388" s="902">
        <f>GLOBAL_DER_FEV_2023!J2388</f>
        <v>0</v>
      </c>
      <c r="K2388" s="903"/>
      <c r="L2388" s="1177"/>
      <c r="M2388" s="1138">
        <f t="shared" si="182"/>
        <v>0</v>
      </c>
      <c r="N2388" s="1176">
        <f t="shared" si="181"/>
        <v>0</v>
      </c>
      <c r="O2388" s="905"/>
      <c r="P2388" s="36" t="str">
        <f>IF(N2387&gt;0,"xx",IF(N2387&gt;0,"xy",""))</f>
        <v/>
      </c>
      <c r="Q2388" s="317" t="str">
        <f t="shared" si="178"/>
        <v/>
      </c>
      <c r="R2388" s="317" t="str">
        <f t="shared" si="179"/>
        <v/>
      </c>
      <c r="S2388" s="317" t="str">
        <f t="shared" si="180"/>
        <v/>
      </c>
      <c r="T2388" s="317" t="str">
        <f>GLOBAL_DER_FEV_2023!S2388</f>
        <v/>
      </c>
      <c r="W2388" s="582">
        <v>0</v>
      </c>
      <c r="X2388" s="580"/>
      <c r="Y2388" s="583">
        <f>IF(GLOBAL_DER_FEV_2023!W2388=0,0,IF(GLOBAL_DER_FEV_2023!W2388&gt;0,"c","b"))</f>
        <v>0</v>
      </c>
    </row>
    <row r="2389" spans="1:25" ht="15" hidden="1" customHeight="1" x14ac:dyDescent="0.2">
      <c r="A2389" s="317" t="s">
        <v>147</v>
      </c>
      <c r="B2389" s="895" t="s">
        <v>147</v>
      </c>
      <c r="C2389" s="896"/>
      <c r="D2389" s="906" t="s">
        <v>229</v>
      </c>
      <c r="E2389" s="907">
        <f>GLOBAL_DER_FEV_2023!E2389</f>
        <v>150</v>
      </c>
      <c r="F2389" s="908">
        <f>GLOBAL_DER_FEV_2023!F2389</f>
        <v>1.9178999999999999</v>
      </c>
      <c r="G2389" s="949">
        <f>GLOBAL_DER_FEV_2023!G2389</f>
        <v>312.96292199999999</v>
      </c>
      <c r="H2389" s="901">
        <f>GLOBAL_DER_FEV_2023!H2389</f>
        <v>0</v>
      </c>
      <c r="I2389" s="901">
        <f>GLOBAL_DER_FEV_2023!I2389</f>
        <v>0</v>
      </c>
      <c r="J2389" s="902">
        <f>GLOBAL_DER_FEV_2023!J2389</f>
        <v>0</v>
      </c>
      <c r="K2389" s="903"/>
      <c r="L2389" s="1177"/>
      <c r="M2389" s="1138">
        <f t="shared" si="182"/>
        <v>0</v>
      </c>
      <c r="N2389" s="1176">
        <f t="shared" si="181"/>
        <v>0</v>
      </c>
      <c r="O2389" s="905"/>
      <c r="P2389" s="36" t="str">
        <f>IF(N2387&gt;0,"xx",IF(N2387&gt;0,"xy",""))</f>
        <v/>
      </c>
      <c r="Q2389" s="317" t="str">
        <f t="shared" si="178"/>
        <v/>
      </c>
      <c r="R2389" s="317" t="str">
        <f t="shared" si="179"/>
        <v/>
      </c>
      <c r="S2389" s="317" t="str">
        <f t="shared" si="180"/>
        <v/>
      </c>
      <c r="T2389" s="317" t="str">
        <f>GLOBAL_DER_FEV_2023!S2389</f>
        <v/>
      </c>
      <c r="W2389" s="582">
        <v>0</v>
      </c>
      <c r="X2389" s="580"/>
      <c r="Y2389" s="583">
        <f>IF(GLOBAL_DER_FEV_2023!W2389=0,0,IF(GLOBAL_DER_FEV_2023!W2389&gt;0,"c","b"))</f>
        <v>0</v>
      </c>
    </row>
    <row r="2390" spans="1:25" ht="15" hidden="1" customHeight="1" x14ac:dyDescent="0.2">
      <c r="A2390" s="317" t="s">
        <v>147</v>
      </c>
      <c r="B2390" s="895" t="s">
        <v>147</v>
      </c>
      <c r="C2390" s="896"/>
      <c r="D2390" s="906" t="s">
        <v>233</v>
      </c>
      <c r="E2390" s="907">
        <f>GLOBAL_DER_FEV_2023!E2390</f>
        <v>0.2</v>
      </c>
      <c r="F2390" s="908">
        <f>GLOBAL_DER_FEV_2023!F2390</f>
        <v>3.6103500000000004</v>
      </c>
      <c r="G2390" s="949">
        <f>GLOBAL_DER_FEV_2023!G2390</f>
        <v>10.448352900000001</v>
      </c>
      <c r="H2390" s="901">
        <f>GLOBAL_DER_FEV_2023!H2390</f>
        <v>0</v>
      </c>
      <c r="I2390" s="901">
        <f>GLOBAL_DER_FEV_2023!I2390</f>
        <v>0</v>
      </c>
      <c r="J2390" s="902">
        <f>GLOBAL_DER_FEV_2023!J2390</f>
        <v>0</v>
      </c>
      <c r="K2390" s="903"/>
      <c r="L2390" s="1177"/>
      <c r="M2390" s="1138">
        <f t="shared" si="182"/>
        <v>0</v>
      </c>
      <c r="N2390" s="1176">
        <f t="shared" si="181"/>
        <v>0</v>
      </c>
      <c r="O2390" s="905"/>
      <c r="P2390" s="36" t="str">
        <f>IF(N2387&gt;0,"xx",IF(N2387&gt;0,"xy",""))</f>
        <v/>
      </c>
      <c r="Q2390" s="317" t="str">
        <f t="shared" si="178"/>
        <v/>
      </c>
      <c r="R2390" s="317" t="str">
        <f t="shared" si="179"/>
        <v/>
      </c>
      <c r="S2390" s="317" t="str">
        <f t="shared" si="180"/>
        <v/>
      </c>
      <c r="T2390" s="317" t="str">
        <f>GLOBAL_DER_FEV_2023!S2390</f>
        <v/>
      </c>
      <c r="W2390" s="582">
        <v>0</v>
      </c>
      <c r="X2390" s="580"/>
      <c r="Y2390" s="583">
        <f>IF(GLOBAL_DER_FEV_2023!W2390=0,0,IF(GLOBAL_DER_FEV_2023!W2390&gt;0,"c","b"))</f>
        <v>0</v>
      </c>
    </row>
    <row r="2391" spans="1:25" ht="15" hidden="1" customHeight="1" x14ac:dyDescent="0.2">
      <c r="A2391" s="317" t="s">
        <v>46</v>
      </c>
      <c r="B2391" s="895" t="s">
        <v>46</v>
      </c>
      <c r="C2391" s="896" t="s">
        <v>184</v>
      </c>
      <c r="D2391" s="906" t="s">
        <v>392</v>
      </c>
      <c r="E2391" s="907">
        <f>GLOBAL_DER_FEV_2023!E2391</f>
        <v>0</v>
      </c>
      <c r="F2391" s="908">
        <f>GLOBAL_DER_FEV_2023!F2391</f>
        <v>0</v>
      </c>
      <c r="G2391" s="912">
        <f>GLOBAL_DER_FEV_2023!G2391</f>
        <v>703.49586032000002</v>
      </c>
      <c r="H2391" s="901">
        <f>GLOBAL_DER_FEV_2023!H2391</f>
        <v>1839.37</v>
      </c>
      <c r="I2391" s="901">
        <f>GLOBAL_DER_FEV_2023!I2391</f>
        <v>2542.8658603200001</v>
      </c>
      <c r="J2391" s="902">
        <f>GLOBAL_DER_FEV_2023!J2391</f>
        <v>3053.22</v>
      </c>
      <c r="K2391" s="903" t="s">
        <v>15</v>
      </c>
      <c r="L2391" s="1137"/>
      <c r="M2391" s="1138">
        <f t="shared" si="182"/>
        <v>0</v>
      </c>
      <c r="N2391" s="1176">
        <f t="shared" si="181"/>
        <v>0</v>
      </c>
      <c r="O2391" s="905"/>
      <c r="Q2391" s="317" t="str">
        <f t="shared" si="178"/>
        <v/>
      </c>
      <c r="R2391" s="317" t="str">
        <f t="shared" si="179"/>
        <v/>
      </c>
      <c r="S2391" s="317" t="str">
        <f t="shared" si="180"/>
        <v/>
      </c>
      <c r="T2391" s="317" t="str">
        <f>GLOBAL_DER_FEV_2023!S2391</f>
        <v/>
      </c>
      <c r="W2391" s="582">
        <v>0</v>
      </c>
      <c r="X2391" s="580"/>
      <c r="Y2391" s="583">
        <f>IF(GLOBAL_DER_FEV_2023!W2391=0,0,IF(GLOBAL_DER_FEV_2023!W2391&gt;0,"c","b"))</f>
        <v>0</v>
      </c>
    </row>
    <row r="2392" spans="1:25" ht="15" hidden="1" customHeight="1" x14ac:dyDescent="0.2">
      <c r="A2392" s="317" t="s">
        <v>147</v>
      </c>
      <c r="B2392" s="895" t="s">
        <v>147</v>
      </c>
      <c r="C2392" s="896"/>
      <c r="D2392" s="906" t="s">
        <v>190</v>
      </c>
      <c r="E2392" s="907">
        <f>GLOBAL_DER_FEV_2023!E2392</f>
        <v>308</v>
      </c>
      <c r="F2392" s="908">
        <f>GLOBAL_DER_FEV_2023!F2392</f>
        <v>0.75196000000000007</v>
      </c>
      <c r="G2392" s="909">
        <f>GLOBAL_DER_FEV_2023!G2392</f>
        <v>186.53119760000001</v>
      </c>
      <c r="H2392" s="901">
        <f>GLOBAL_DER_FEV_2023!H2392</f>
        <v>0</v>
      </c>
      <c r="I2392" s="901">
        <f>GLOBAL_DER_FEV_2023!I2392</f>
        <v>0</v>
      </c>
      <c r="J2392" s="902">
        <f>GLOBAL_DER_FEV_2023!J2392</f>
        <v>0</v>
      </c>
      <c r="K2392" s="903"/>
      <c r="L2392" s="1177"/>
      <c r="M2392" s="1138">
        <f t="shared" si="182"/>
        <v>0</v>
      </c>
      <c r="N2392" s="1176">
        <f t="shared" si="181"/>
        <v>0</v>
      </c>
      <c r="O2392" s="905"/>
      <c r="P2392" s="36" t="str">
        <f>IF(N2391&gt;0,"xx",IF(N2391&gt;0,"xy",""))</f>
        <v/>
      </c>
      <c r="Q2392" s="317" t="str">
        <f t="shared" si="178"/>
        <v/>
      </c>
      <c r="R2392" s="317" t="str">
        <f t="shared" si="179"/>
        <v/>
      </c>
      <c r="S2392" s="317" t="str">
        <f t="shared" si="180"/>
        <v/>
      </c>
      <c r="T2392" s="317" t="str">
        <f>GLOBAL_DER_FEV_2023!S2392</f>
        <v/>
      </c>
      <c r="W2392" s="582">
        <v>0</v>
      </c>
      <c r="X2392" s="580"/>
      <c r="Y2392" s="583">
        <f>IF(GLOBAL_DER_FEV_2023!W2392=0,0,IF(GLOBAL_DER_FEV_2023!W2392&gt;0,"c","b"))</f>
        <v>0</v>
      </c>
    </row>
    <row r="2393" spans="1:25" ht="15" hidden="1" customHeight="1" x14ac:dyDescent="0.2">
      <c r="A2393" s="317" t="s">
        <v>147</v>
      </c>
      <c r="B2393" s="895" t="s">
        <v>147</v>
      </c>
      <c r="C2393" s="896"/>
      <c r="D2393" s="906" t="s">
        <v>229</v>
      </c>
      <c r="E2393" s="907">
        <f>GLOBAL_DER_FEV_2023!E2393</f>
        <v>150</v>
      </c>
      <c r="F2393" s="908">
        <f>GLOBAL_DER_FEV_2023!F2393</f>
        <v>3.0643799999999999</v>
      </c>
      <c r="G2393" s="949">
        <f>GLOBAL_DER_FEV_2023!G2393</f>
        <v>500.04552840000002</v>
      </c>
      <c r="H2393" s="901">
        <f>GLOBAL_DER_FEV_2023!H2393</f>
        <v>0</v>
      </c>
      <c r="I2393" s="901">
        <f>GLOBAL_DER_FEV_2023!I2393</f>
        <v>0</v>
      </c>
      <c r="J2393" s="902">
        <f>GLOBAL_DER_FEV_2023!J2393</f>
        <v>0</v>
      </c>
      <c r="K2393" s="903"/>
      <c r="L2393" s="1177"/>
      <c r="M2393" s="1138">
        <f t="shared" si="182"/>
        <v>0</v>
      </c>
      <c r="N2393" s="1176">
        <f t="shared" si="181"/>
        <v>0</v>
      </c>
      <c r="O2393" s="905"/>
      <c r="P2393" s="36" t="str">
        <f>IF(N2391&gt;0,"xx",IF(N2391&gt;0,"xy",""))</f>
        <v/>
      </c>
      <c r="Q2393" s="317" t="str">
        <f t="shared" si="178"/>
        <v/>
      </c>
      <c r="R2393" s="317" t="str">
        <f t="shared" si="179"/>
        <v/>
      </c>
      <c r="S2393" s="317" t="str">
        <f t="shared" si="180"/>
        <v/>
      </c>
      <c r="T2393" s="317" t="str">
        <f>GLOBAL_DER_FEV_2023!S2393</f>
        <v/>
      </c>
      <c r="W2393" s="582">
        <v>0</v>
      </c>
      <c r="X2393" s="580"/>
      <c r="Y2393" s="583">
        <f>IF(GLOBAL_DER_FEV_2023!W2393=0,0,IF(GLOBAL_DER_FEV_2023!W2393&gt;0,"c","b"))</f>
        <v>0</v>
      </c>
    </row>
    <row r="2394" spans="1:25" ht="15" hidden="1" customHeight="1" x14ac:dyDescent="0.2">
      <c r="A2394" s="317" t="s">
        <v>147</v>
      </c>
      <c r="B2394" s="895" t="s">
        <v>147</v>
      </c>
      <c r="C2394" s="896"/>
      <c r="D2394" s="906" t="s">
        <v>233</v>
      </c>
      <c r="E2394" s="907">
        <f>GLOBAL_DER_FEV_2023!E2394</f>
        <v>0.2</v>
      </c>
      <c r="F2394" s="908">
        <f>GLOBAL_DER_FEV_2023!F2394</f>
        <v>5.8462800000000001</v>
      </c>
      <c r="G2394" s="949">
        <f>GLOBAL_DER_FEV_2023!G2394</f>
        <v>16.919134320000001</v>
      </c>
      <c r="H2394" s="901">
        <f>GLOBAL_DER_FEV_2023!H2394</f>
        <v>0</v>
      </c>
      <c r="I2394" s="901">
        <f>GLOBAL_DER_FEV_2023!I2394</f>
        <v>0</v>
      </c>
      <c r="J2394" s="902">
        <f>GLOBAL_DER_FEV_2023!J2394</f>
        <v>0</v>
      </c>
      <c r="K2394" s="903"/>
      <c r="L2394" s="1177"/>
      <c r="M2394" s="1138">
        <f t="shared" si="182"/>
        <v>0</v>
      </c>
      <c r="N2394" s="1176">
        <f t="shared" si="181"/>
        <v>0</v>
      </c>
      <c r="O2394" s="905"/>
      <c r="P2394" s="36" t="str">
        <f>IF(N2391&gt;0,"xx",IF(N2391&gt;0,"xy",""))</f>
        <v/>
      </c>
      <c r="Q2394" s="317" t="str">
        <f t="shared" si="178"/>
        <v/>
      </c>
      <c r="R2394" s="317" t="str">
        <f t="shared" si="179"/>
        <v/>
      </c>
      <c r="S2394" s="317" t="str">
        <f t="shared" si="180"/>
        <v/>
      </c>
      <c r="T2394" s="317" t="str">
        <f>GLOBAL_DER_FEV_2023!S2394</f>
        <v/>
      </c>
      <c r="W2394" s="582">
        <v>0</v>
      </c>
      <c r="X2394" s="580"/>
      <c r="Y2394" s="583">
        <f>IF(GLOBAL_DER_FEV_2023!W2394=0,0,IF(GLOBAL_DER_FEV_2023!W2394&gt;0,"c","b"))</f>
        <v>0</v>
      </c>
    </row>
    <row r="2395" spans="1:25" ht="15" hidden="1" customHeight="1" x14ac:dyDescent="0.2">
      <c r="A2395" s="317" t="s">
        <v>46</v>
      </c>
      <c r="B2395" s="895" t="s">
        <v>46</v>
      </c>
      <c r="C2395" s="896" t="s">
        <v>184</v>
      </c>
      <c r="D2395" s="906" t="s">
        <v>144</v>
      </c>
      <c r="E2395" s="907">
        <f>GLOBAL_DER_FEV_2023!E2395</f>
        <v>0</v>
      </c>
      <c r="F2395" s="908">
        <f>GLOBAL_DER_FEV_2023!F2395</f>
        <v>0</v>
      </c>
      <c r="G2395" s="912">
        <f>GLOBAL_DER_FEV_2023!G2395</f>
        <v>1019.8430484200001</v>
      </c>
      <c r="H2395" s="901">
        <f>GLOBAL_DER_FEV_2023!H2395</f>
        <v>2627.65</v>
      </c>
      <c r="I2395" s="901">
        <f>GLOBAL_DER_FEV_2023!I2395</f>
        <v>3647.4930484200004</v>
      </c>
      <c r="J2395" s="902">
        <f>GLOBAL_DER_FEV_2023!J2395</f>
        <v>4379.54</v>
      </c>
      <c r="K2395" s="903" t="s">
        <v>15</v>
      </c>
      <c r="L2395" s="1137"/>
      <c r="M2395" s="1138">
        <f t="shared" si="182"/>
        <v>0</v>
      </c>
      <c r="N2395" s="1176">
        <f t="shared" si="181"/>
        <v>0</v>
      </c>
      <c r="O2395" s="905"/>
      <c r="Q2395" s="317" t="str">
        <f t="shared" ref="Q2395:Q2458" si="183">IF(P2395="X","x",IF(P2395="xx","x",IF(P2395="xy","x",IF(P2395="y","x",IF(OR(N2395&gt;0,N2395&gt;0),"x","")))))</f>
        <v/>
      </c>
      <c r="R2395" s="317" t="str">
        <f t="shared" si="179"/>
        <v/>
      </c>
      <c r="S2395" s="317" t="str">
        <f t="shared" si="180"/>
        <v/>
      </c>
      <c r="T2395" s="317" t="str">
        <f>GLOBAL_DER_FEV_2023!S2395</f>
        <v/>
      </c>
      <c r="W2395" s="582">
        <v>0</v>
      </c>
      <c r="X2395" s="580"/>
      <c r="Y2395" s="583">
        <f>IF(GLOBAL_DER_FEV_2023!W2395=0,0,IF(GLOBAL_DER_FEV_2023!W2395&gt;0,"c","b"))</f>
        <v>0</v>
      </c>
    </row>
    <row r="2396" spans="1:25" ht="15" hidden="1" customHeight="1" x14ac:dyDescent="0.2">
      <c r="A2396" s="317" t="s">
        <v>147</v>
      </c>
      <c r="B2396" s="895" t="s">
        <v>147</v>
      </c>
      <c r="C2396" s="896"/>
      <c r="D2396" s="906" t="s">
        <v>190</v>
      </c>
      <c r="E2396" s="907">
        <f>GLOBAL_DER_FEV_2023!E2396</f>
        <v>308</v>
      </c>
      <c r="F2396" s="908">
        <f>GLOBAL_DER_FEV_2023!F2396</f>
        <v>1.08901</v>
      </c>
      <c r="G2396" s="909">
        <f>GLOBAL_DER_FEV_2023!G2396</f>
        <v>270.13982060000001</v>
      </c>
      <c r="H2396" s="901">
        <f>GLOBAL_DER_FEV_2023!H2396</f>
        <v>0</v>
      </c>
      <c r="I2396" s="901">
        <f>GLOBAL_DER_FEV_2023!I2396</f>
        <v>0</v>
      </c>
      <c r="J2396" s="902">
        <f>GLOBAL_DER_FEV_2023!J2396</f>
        <v>0</v>
      </c>
      <c r="K2396" s="903"/>
      <c r="L2396" s="1177"/>
      <c r="M2396" s="1138">
        <f t="shared" si="182"/>
        <v>0</v>
      </c>
      <c r="N2396" s="1176">
        <f t="shared" si="181"/>
        <v>0</v>
      </c>
      <c r="O2396" s="905"/>
      <c r="P2396" s="36" t="str">
        <f>IF(N2395&gt;0,"xx",IF(N2395&gt;0,"xy",""))</f>
        <v/>
      </c>
      <c r="Q2396" s="317" t="str">
        <f t="shared" si="183"/>
        <v/>
      </c>
      <c r="R2396" s="317" t="str">
        <f t="shared" si="179"/>
        <v/>
      </c>
      <c r="S2396" s="317" t="str">
        <f t="shared" si="180"/>
        <v/>
      </c>
      <c r="T2396" s="317" t="str">
        <f>GLOBAL_DER_FEV_2023!S2396</f>
        <v/>
      </c>
      <c r="W2396" s="582">
        <v>0</v>
      </c>
      <c r="X2396" s="580"/>
      <c r="Y2396" s="583">
        <f>IF(GLOBAL_DER_FEV_2023!W2396=0,0,IF(GLOBAL_DER_FEV_2023!W2396&gt;0,"c","b"))</f>
        <v>0</v>
      </c>
    </row>
    <row r="2397" spans="1:25" ht="15" hidden="1" customHeight="1" x14ac:dyDescent="0.2">
      <c r="A2397" s="317" t="s">
        <v>147</v>
      </c>
      <c r="B2397" s="895" t="s">
        <v>147</v>
      </c>
      <c r="C2397" s="896"/>
      <c r="D2397" s="906" t="s">
        <v>229</v>
      </c>
      <c r="E2397" s="907">
        <f>GLOBAL_DER_FEV_2023!E2397</f>
        <v>150</v>
      </c>
      <c r="F2397" s="908">
        <f>GLOBAL_DER_FEV_2023!F2397</f>
        <v>4.4434800000000001</v>
      </c>
      <c r="G2397" s="949">
        <f>GLOBAL_DER_FEV_2023!G2397</f>
        <v>725.08706640000003</v>
      </c>
      <c r="H2397" s="901">
        <f>GLOBAL_DER_FEV_2023!H2397</f>
        <v>0</v>
      </c>
      <c r="I2397" s="901">
        <f>GLOBAL_DER_FEV_2023!I2397</f>
        <v>0</v>
      </c>
      <c r="J2397" s="902">
        <f>GLOBAL_DER_FEV_2023!J2397</f>
        <v>0</v>
      </c>
      <c r="K2397" s="903"/>
      <c r="L2397" s="1177"/>
      <c r="M2397" s="1138">
        <f t="shared" si="182"/>
        <v>0</v>
      </c>
      <c r="N2397" s="1176">
        <f t="shared" si="181"/>
        <v>0</v>
      </c>
      <c r="O2397" s="905"/>
      <c r="P2397" s="36" t="str">
        <f>IF(N2395&gt;0,"xx",IF(N2395&gt;0,"xy",""))</f>
        <v/>
      </c>
      <c r="Q2397" s="317" t="str">
        <f t="shared" si="183"/>
        <v/>
      </c>
      <c r="R2397" s="317" t="str">
        <f t="shared" ref="R2397:R2460" si="184">IF(P2397="X","x",IF(P2397="y","x",IF(P2397="xx","x",IF(N2397&gt;0,"x",""))))</f>
        <v/>
      </c>
      <c r="S2397" s="317" t="str">
        <f t="shared" ref="S2397:S2460" si="185">IF(P2397="X","x",IF(N2397&gt;0,"x",""))</f>
        <v/>
      </c>
      <c r="T2397" s="317" t="str">
        <f>GLOBAL_DER_FEV_2023!S2397</f>
        <v/>
      </c>
      <c r="W2397" s="582">
        <v>0</v>
      </c>
      <c r="X2397" s="580"/>
      <c r="Y2397" s="583">
        <f>IF(GLOBAL_DER_FEV_2023!W2397=0,0,IF(GLOBAL_DER_FEV_2023!W2397&gt;0,"c","b"))</f>
        <v>0</v>
      </c>
    </row>
    <row r="2398" spans="1:25" ht="15" hidden="1" customHeight="1" x14ac:dyDescent="0.2">
      <c r="A2398" s="317" t="s">
        <v>147</v>
      </c>
      <c r="B2398" s="895" t="s">
        <v>147</v>
      </c>
      <c r="C2398" s="896"/>
      <c r="D2398" s="906" t="s">
        <v>233</v>
      </c>
      <c r="E2398" s="907">
        <f>GLOBAL_DER_FEV_2023!E2398</f>
        <v>0.2</v>
      </c>
      <c r="F2398" s="908">
        <f>GLOBAL_DER_FEV_2023!F2398</f>
        <v>8.5059300000000011</v>
      </c>
      <c r="G2398" s="949">
        <f>GLOBAL_DER_FEV_2023!G2398</f>
        <v>24.616161420000005</v>
      </c>
      <c r="H2398" s="901">
        <f>GLOBAL_DER_FEV_2023!H2398</f>
        <v>0</v>
      </c>
      <c r="I2398" s="901">
        <f>GLOBAL_DER_FEV_2023!I2398</f>
        <v>0</v>
      </c>
      <c r="J2398" s="902">
        <f>GLOBAL_DER_FEV_2023!J2398</f>
        <v>0</v>
      </c>
      <c r="K2398" s="903"/>
      <c r="L2398" s="1177"/>
      <c r="M2398" s="1138">
        <f t="shared" si="182"/>
        <v>0</v>
      </c>
      <c r="N2398" s="1176">
        <f t="shared" si="181"/>
        <v>0</v>
      </c>
      <c r="O2398" s="905"/>
      <c r="P2398" s="36" t="str">
        <f>IF(N2395&gt;0,"xx",IF(N2395&gt;0,"xy",""))</f>
        <v/>
      </c>
      <c r="Q2398" s="317" t="str">
        <f t="shared" si="183"/>
        <v/>
      </c>
      <c r="R2398" s="317" t="str">
        <f t="shared" si="184"/>
        <v/>
      </c>
      <c r="S2398" s="317" t="str">
        <f t="shared" si="185"/>
        <v/>
      </c>
      <c r="T2398" s="317" t="str">
        <f>GLOBAL_DER_FEV_2023!S2398</f>
        <v/>
      </c>
      <c r="W2398" s="582">
        <v>0</v>
      </c>
      <c r="X2398" s="580"/>
      <c r="Y2398" s="583">
        <f>IF(GLOBAL_DER_FEV_2023!W2398=0,0,IF(GLOBAL_DER_FEV_2023!W2398&gt;0,"c","b"))</f>
        <v>0</v>
      </c>
    </row>
    <row r="2399" spans="1:25" ht="15" hidden="1" customHeight="1" x14ac:dyDescent="0.2">
      <c r="A2399" s="317" t="s">
        <v>46</v>
      </c>
      <c r="B2399" s="895" t="s">
        <v>46</v>
      </c>
      <c r="C2399" s="896" t="s">
        <v>184</v>
      </c>
      <c r="D2399" s="906" t="s">
        <v>145</v>
      </c>
      <c r="E2399" s="907">
        <f>GLOBAL_DER_FEV_2023!E2399</f>
        <v>0</v>
      </c>
      <c r="F2399" s="908">
        <f>GLOBAL_DER_FEV_2023!F2399</f>
        <v>0</v>
      </c>
      <c r="G2399" s="912">
        <f>GLOBAL_DER_FEV_2023!G2399</f>
        <v>1383.5639504200001</v>
      </c>
      <c r="H2399" s="901">
        <f>GLOBAL_DER_FEV_2023!H2399</f>
        <v>3538.55</v>
      </c>
      <c r="I2399" s="901">
        <f>GLOBAL_DER_FEV_2023!I2399</f>
        <v>4922.11395042</v>
      </c>
      <c r="J2399" s="902">
        <f>GLOBAL_DER_FEV_2023!J2399</f>
        <v>5909.98</v>
      </c>
      <c r="K2399" s="903" t="s">
        <v>15</v>
      </c>
      <c r="L2399" s="1137"/>
      <c r="M2399" s="1138">
        <f t="shared" si="182"/>
        <v>0</v>
      </c>
      <c r="N2399" s="1176">
        <f t="shared" si="181"/>
        <v>0</v>
      </c>
      <c r="O2399" s="905"/>
      <c r="Q2399" s="317" t="str">
        <f t="shared" si="183"/>
        <v/>
      </c>
      <c r="R2399" s="317" t="str">
        <f t="shared" si="184"/>
        <v/>
      </c>
      <c r="S2399" s="317" t="str">
        <f t="shared" si="185"/>
        <v/>
      </c>
      <c r="T2399" s="317" t="str">
        <f>GLOBAL_DER_FEV_2023!S2399</f>
        <v/>
      </c>
      <c r="W2399" s="582">
        <v>0</v>
      </c>
      <c r="X2399" s="580"/>
      <c r="Y2399" s="583">
        <f>IF(GLOBAL_DER_FEV_2023!W2399=0,0,IF(GLOBAL_DER_FEV_2023!W2399&gt;0,"c","b"))</f>
        <v>0</v>
      </c>
    </row>
    <row r="2400" spans="1:25" ht="15" hidden="1" customHeight="1" x14ac:dyDescent="0.2">
      <c r="A2400" s="317" t="s">
        <v>147</v>
      </c>
      <c r="B2400" s="895" t="s">
        <v>147</v>
      </c>
      <c r="C2400" s="896"/>
      <c r="D2400" s="906" t="s">
        <v>190</v>
      </c>
      <c r="E2400" s="907">
        <f>GLOBAL_DER_FEV_2023!E2400</f>
        <v>308</v>
      </c>
      <c r="F2400" s="908">
        <f>GLOBAL_DER_FEV_2023!F2400</f>
        <v>1.4740100000000003</v>
      </c>
      <c r="G2400" s="909">
        <f>GLOBAL_DER_FEV_2023!G2400</f>
        <v>365.64292060000008</v>
      </c>
      <c r="H2400" s="901">
        <f>GLOBAL_DER_FEV_2023!H2400</f>
        <v>0</v>
      </c>
      <c r="I2400" s="901">
        <f>GLOBAL_DER_FEV_2023!I2400</f>
        <v>0</v>
      </c>
      <c r="J2400" s="902">
        <f>GLOBAL_DER_FEV_2023!J2400</f>
        <v>0</v>
      </c>
      <c r="K2400" s="903"/>
      <c r="L2400" s="1177"/>
      <c r="M2400" s="1138">
        <f t="shared" si="182"/>
        <v>0</v>
      </c>
      <c r="N2400" s="1176">
        <f t="shared" si="181"/>
        <v>0</v>
      </c>
      <c r="O2400" s="905"/>
      <c r="P2400" s="36" t="str">
        <f>IF(N2399&gt;0,"xx",IF(N2399&gt;0,"xy",""))</f>
        <v/>
      </c>
      <c r="Q2400" s="317" t="str">
        <f t="shared" si="183"/>
        <v/>
      </c>
      <c r="R2400" s="317" t="str">
        <f t="shared" si="184"/>
        <v/>
      </c>
      <c r="S2400" s="317" t="str">
        <f t="shared" si="185"/>
        <v/>
      </c>
      <c r="T2400" s="317" t="str">
        <f>GLOBAL_DER_FEV_2023!S2400</f>
        <v/>
      </c>
      <c r="W2400" s="582">
        <v>0</v>
      </c>
      <c r="X2400" s="580"/>
      <c r="Y2400" s="583">
        <f>IF(GLOBAL_DER_FEV_2023!W2400=0,0,IF(GLOBAL_DER_FEV_2023!W2400&gt;0,"c","b"))</f>
        <v>0</v>
      </c>
    </row>
    <row r="2401" spans="1:25" ht="15" hidden="1" customHeight="1" x14ac:dyDescent="0.2">
      <c r="A2401" s="317" t="s">
        <v>147</v>
      </c>
      <c r="B2401" s="895" t="s">
        <v>147</v>
      </c>
      <c r="C2401" s="896"/>
      <c r="D2401" s="906" t="s">
        <v>229</v>
      </c>
      <c r="E2401" s="907">
        <f>GLOBAL_DER_FEV_2023!E2401</f>
        <v>150</v>
      </c>
      <c r="F2401" s="908">
        <f>GLOBAL_DER_FEV_2023!F2401</f>
        <v>6.0316799999999997</v>
      </c>
      <c r="G2401" s="949">
        <f>GLOBAL_DER_FEV_2023!G2401</f>
        <v>984.2495424</v>
      </c>
      <c r="H2401" s="901">
        <f>GLOBAL_DER_FEV_2023!H2401</f>
        <v>0</v>
      </c>
      <c r="I2401" s="901">
        <f>GLOBAL_DER_FEV_2023!I2401</f>
        <v>0</v>
      </c>
      <c r="J2401" s="902">
        <f>GLOBAL_DER_FEV_2023!J2401</f>
        <v>0</v>
      </c>
      <c r="K2401" s="903"/>
      <c r="L2401" s="1177"/>
      <c r="M2401" s="1138">
        <f t="shared" si="182"/>
        <v>0</v>
      </c>
      <c r="N2401" s="1176">
        <f t="shared" ref="N2401:N2464" si="186">IF(ISBLANK(L2401),0,IF(W2401=0,ROUND(L2401*M2401,2),IF(W2401="b",ROUNDDOWN(L2401*M2401,2),ROUNDUP(L2401*M2401,2))))</f>
        <v>0</v>
      </c>
      <c r="O2401" s="905"/>
      <c r="P2401" s="36" t="str">
        <f>IF(N2399&gt;0,"xx",IF(N2399&gt;0,"xy",""))</f>
        <v/>
      </c>
      <c r="Q2401" s="317" t="str">
        <f t="shared" si="183"/>
        <v/>
      </c>
      <c r="R2401" s="317" t="str">
        <f t="shared" si="184"/>
        <v/>
      </c>
      <c r="S2401" s="317" t="str">
        <f t="shared" si="185"/>
        <v/>
      </c>
      <c r="T2401" s="317" t="str">
        <f>GLOBAL_DER_FEV_2023!S2401</f>
        <v/>
      </c>
      <c r="W2401" s="582">
        <v>0</v>
      </c>
      <c r="X2401" s="580"/>
      <c r="Y2401" s="583">
        <f>IF(GLOBAL_DER_FEV_2023!W2401=0,0,IF(GLOBAL_DER_FEV_2023!W2401&gt;0,"c","b"))</f>
        <v>0</v>
      </c>
    </row>
    <row r="2402" spans="1:25" ht="15" hidden="1" customHeight="1" x14ac:dyDescent="0.2">
      <c r="A2402" s="317" t="s">
        <v>147</v>
      </c>
      <c r="B2402" s="895" t="s">
        <v>147</v>
      </c>
      <c r="C2402" s="896"/>
      <c r="D2402" s="906" t="s">
        <v>233</v>
      </c>
      <c r="E2402" s="907">
        <f>GLOBAL_DER_FEV_2023!E2402</f>
        <v>0.2</v>
      </c>
      <c r="F2402" s="908">
        <f>GLOBAL_DER_FEV_2023!F2402</f>
        <v>11.634930000000001</v>
      </c>
      <c r="G2402" s="949">
        <f>GLOBAL_DER_FEV_2023!G2402</f>
        <v>33.671487420000005</v>
      </c>
      <c r="H2402" s="901">
        <f>GLOBAL_DER_FEV_2023!H2402</f>
        <v>0</v>
      </c>
      <c r="I2402" s="901">
        <f>GLOBAL_DER_FEV_2023!I2402</f>
        <v>0</v>
      </c>
      <c r="J2402" s="902">
        <f>GLOBAL_DER_FEV_2023!J2402</f>
        <v>0</v>
      </c>
      <c r="K2402" s="903"/>
      <c r="L2402" s="1177"/>
      <c r="M2402" s="1138">
        <f t="shared" si="182"/>
        <v>0</v>
      </c>
      <c r="N2402" s="1176">
        <f t="shared" si="186"/>
        <v>0</v>
      </c>
      <c r="O2402" s="905"/>
      <c r="P2402" s="36" t="str">
        <f>IF(N2399&gt;0,"xx",IF(N2399&gt;0,"xy",""))</f>
        <v/>
      </c>
      <c r="Q2402" s="317" t="str">
        <f t="shared" si="183"/>
        <v/>
      </c>
      <c r="R2402" s="317" t="str">
        <f t="shared" si="184"/>
        <v/>
      </c>
      <c r="S2402" s="317" t="str">
        <f t="shared" si="185"/>
        <v/>
      </c>
      <c r="T2402" s="317" t="str">
        <f>GLOBAL_DER_FEV_2023!S2402</f>
        <v/>
      </c>
      <c r="W2402" s="582">
        <v>0</v>
      </c>
      <c r="X2402" s="580"/>
      <c r="Y2402" s="583">
        <f>IF(GLOBAL_DER_FEV_2023!W2402=0,0,IF(GLOBAL_DER_FEV_2023!W2402&gt;0,"c","b"))</f>
        <v>0</v>
      </c>
    </row>
    <row r="2403" spans="1:25" ht="15" hidden="1" customHeight="1" x14ac:dyDescent="0.2">
      <c r="A2403" s="317" t="s">
        <v>46</v>
      </c>
      <c r="B2403" s="895" t="s">
        <v>46</v>
      </c>
      <c r="C2403" s="896" t="s">
        <v>184</v>
      </c>
      <c r="D2403" s="906" t="s">
        <v>146</v>
      </c>
      <c r="E2403" s="907">
        <f>GLOBAL_DER_FEV_2023!E2403</f>
        <v>0</v>
      </c>
      <c r="F2403" s="908">
        <f>GLOBAL_DER_FEV_2023!F2403</f>
        <v>0</v>
      </c>
      <c r="G2403" s="912">
        <f>GLOBAL_DER_FEV_2023!G2403</f>
        <v>2280.9863061400001</v>
      </c>
      <c r="H2403" s="901">
        <f>GLOBAL_DER_FEV_2023!H2403</f>
        <v>5739.62</v>
      </c>
      <c r="I2403" s="901">
        <f>GLOBAL_DER_FEV_2023!I2403</f>
        <v>8020.60630614</v>
      </c>
      <c r="J2403" s="902">
        <f>GLOBAL_DER_FEV_2023!J2403</f>
        <v>9630.34</v>
      </c>
      <c r="K2403" s="903" t="s">
        <v>15</v>
      </c>
      <c r="L2403" s="1137"/>
      <c r="M2403" s="1138">
        <f t="shared" si="182"/>
        <v>0</v>
      </c>
      <c r="N2403" s="1176">
        <f t="shared" si="186"/>
        <v>0</v>
      </c>
      <c r="O2403" s="905"/>
      <c r="Q2403" s="317" t="str">
        <f t="shared" si="183"/>
        <v/>
      </c>
      <c r="R2403" s="317" t="str">
        <f t="shared" si="184"/>
        <v/>
      </c>
      <c r="S2403" s="317" t="str">
        <f t="shared" si="185"/>
        <v/>
      </c>
      <c r="T2403" s="317" t="str">
        <f>GLOBAL_DER_FEV_2023!S2403</f>
        <v/>
      </c>
      <c r="W2403" s="582">
        <v>0</v>
      </c>
      <c r="X2403" s="580"/>
      <c r="Y2403" s="583">
        <f>IF(GLOBAL_DER_FEV_2023!W2403=0,0,IF(GLOBAL_DER_FEV_2023!W2403&gt;0,"c","b"))</f>
        <v>0</v>
      </c>
    </row>
    <row r="2404" spans="1:25" ht="15" hidden="1" customHeight="1" x14ac:dyDescent="0.2">
      <c r="A2404" s="317" t="s">
        <v>147</v>
      </c>
      <c r="B2404" s="895" t="s">
        <v>147</v>
      </c>
      <c r="C2404" s="896"/>
      <c r="D2404" s="906" t="s">
        <v>190</v>
      </c>
      <c r="E2404" s="907">
        <f>GLOBAL_DER_FEV_2023!E2404</f>
        <v>308</v>
      </c>
      <c r="F2404" s="908">
        <f>GLOBAL_DER_FEV_2023!F2404</f>
        <v>2.41967</v>
      </c>
      <c r="G2404" s="909">
        <f>GLOBAL_DER_FEV_2023!G2404</f>
        <v>600.22334020000005</v>
      </c>
      <c r="H2404" s="901">
        <f>GLOBAL_DER_FEV_2023!H2404</f>
        <v>0</v>
      </c>
      <c r="I2404" s="901">
        <f>GLOBAL_DER_FEV_2023!I2404</f>
        <v>0</v>
      </c>
      <c r="J2404" s="902">
        <f>GLOBAL_DER_FEV_2023!J2404</f>
        <v>0</v>
      </c>
      <c r="K2404" s="903"/>
      <c r="L2404" s="1177"/>
      <c r="M2404" s="1138">
        <f t="shared" si="182"/>
        <v>0</v>
      </c>
      <c r="N2404" s="1176">
        <f t="shared" si="186"/>
        <v>0</v>
      </c>
      <c r="O2404" s="905"/>
      <c r="P2404" s="36" t="str">
        <f>IF(N2403&gt;0,"xx",IF(N2403&gt;0,"xy",""))</f>
        <v/>
      </c>
      <c r="Q2404" s="317" t="str">
        <f t="shared" si="183"/>
        <v/>
      </c>
      <c r="R2404" s="317" t="str">
        <f t="shared" si="184"/>
        <v/>
      </c>
      <c r="S2404" s="317" t="str">
        <f t="shared" si="185"/>
        <v/>
      </c>
      <c r="T2404" s="317" t="str">
        <f>GLOBAL_DER_FEV_2023!S2404</f>
        <v/>
      </c>
      <c r="W2404" s="582">
        <v>0</v>
      </c>
      <c r="X2404" s="580"/>
      <c r="Y2404" s="583">
        <f>IF(GLOBAL_DER_FEV_2023!W2404=0,0,IF(GLOBAL_DER_FEV_2023!W2404&gt;0,"c","b"))</f>
        <v>0</v>
      </c>
    </row>
    <row r="2405" spans="1:25" ht="15" hidden="1" customHeight="1" x14ac:dyDescent="0.2">
      <c r="A2405" s="317" t="s">
        <v>147</v>
      </c>
      <c r="B2405" s="895" t="s">
        <v>147</v>
      </c>
      <c r="C2405" s="896"/>
      <c r="D2405" s="906" t="s">
        <v>229</v>
      </c>
      <c r="E2405" s="907">
        <f>GLOBAL_DER_FEV_2023!E2405</f>
        <v>150</v>
      </c>
      <c r="F2405" s="908">
        <f>GLOBAL_DER_FEV_2023!F2405</f>
        <v>9.9546600000000005</v>
      </c>
      <c r="G2405" s="949">
        <f>GLOBAL_DER_FEV_2023!G2405</f>
        <v>1624.4014188000001</v>
      </c>
      <c r="H2405" s="901">
        <f>GLOBAL_DER_FEV_2023!H2405</f>
        <v>0</v>
      </c>
      <c r="I2405" s="901">
        <f>GLOBAL_DER_FEV_2023!I2405</f>
        <v>0</v>
      </c>
      <c r="J2405" s="902">
        <f>GLOBAL_DER_FEV_2023!J2405</f>
        <v>0</v>
      </c>
      <c r="K2405" s="903"/>
      <c r="L2405" s="1177"/>
      <c r="M2405" s="1138">
        <f t="shared" si="182"/>
        <v>0</v>
      </c>
      <c r="N2405" s="1176">
        <f t="shared" si="186"/>
        <v>0</v>
      </c>
      <c r="O2405" s="905"/>
      <c r="P2405" s="36" t="str">
        <f>IF(N2403&gt;0,"xx",IF(N2403&gt;0,"xy",""))</f>
        <v/>
      </c>
      <c r="Q2405" s="317" t="str">
        <f t="shared" si="183"/>
        <v/>
      </c>
      <c r="R2405" s="317" t="str">
        <f t="shared" si="184"/>
        <v/>
      </c>
      <c r="S2405" s="317" t="str">
        <f t="shared" si="185"/>
        <v/>
      </c>
      <c r="T2405" s="317" t="str">
        <f>GLOBAL_DER_FEV_2023!S2405</f>
        <v/>
      </c>
      <c r="W2405" s="582">
        <v>0</v>
      </c>
      <c r="X2405" s="580"/>
      <c r="Y2405" s="583">
        <f>IF(GLOBAL_DER_FEV_2023!W2405=0,0,IF(GLOBAL_DER_FEV_2023!W2405&gt;0,"c","b"))</f>
        <v>0</v>
      </c>
    </row>
    <row r="2406" spans="1:25" ht="15" hidden="1" customHeight="1" x14ac:dyDescent="0.2">
      <c r="A2406" s="317" t="s">
        <v>147</v>
      </c>
      <c r="B2406" s="895" t="s">
        <v>147</v>
      </c>
      <c r="C2406" s="896"/>
      <c r="D2406" s="906" t="s">
        <v>233</v>
      </c>
      <c r="E2406" s="907">
        <f>GLOBAL_DER_FEV_2023!E2406</f>
        <v>0.2</v>
      </c>
      <c r="F2406" s="908">
        <f>GLOBAL_DER_FEV_2023!F2406</f>
        <v>19.47531</v>
      </c>
      <c r="G2406" s="949">
        <f>GLOBAL_DER_FEV_2023!G2406</f>
        <v>56.361547140000006</v>
      </c>
      <c r="H2406" s="901">
        <f>GLOBAL_DER_FEV_2023!H2406</f>
        <v>0</v>
      </c>
      <c r="I2406" s="901">
        <f>GLOBAL_DER_FEV_2023!I2406</f>
        <v>0</v>
      </c>
      <c r="J2406" s="902">
        <f>GLOBAL_DER_FEV_2023!J2406</f>
        <v>0</v>
      </c>
      <c r="K2406" s="903"/>
      <c r="L2406" s="1177"/>
      <c r="M2406" s="1138">
        <f t="shared" si="182"/>
        <v>0</v>
      </c>
      <c r="N2406" s="1176">
        <f t="shared" si="186"/>
        <v>0</v>
      </c>
      <c r="O2406" s="905"/>
      <c r="P2406" s="36" t="str">
        <f>IF(N2403&gt;0,"xx",IF(N2403&gt;0,"xy",""))</f>
        <v/>
      </c>
      <c r="Q2406" s="317" t="str">
        <f t="shared" si="183"/>
        <v/>
      </c>
      <c r="R2406" s="317" t="str">
        <f t="shared" si="184"/>
        <v/>
      </c>
      <c r="S2406" s="317" t="str">
        <f t="shared" si="185"/>
        <v/>
      </c>
      <c r="T2406" s="317" t="str">
        <f>GLOBAL_DER_FEV_2023!S2406</f>
        <v/>
      </c>
      <c r="W2406" s="582">
        <v>0</v>
      </c>
      <c r="X2406" s="580"/>
      <c r="Y2406" s="583">
        <f>IF(GLOBAL_DER_FEV_2023!W2406=0,0,IF(GLOBAL_DER_FEV_2023!W2406&gt;0,"c","b"))</f>
        <v>0</v>
      </c>
    </row>
    <row r="2407" spans="1:25" ht="15" hidden="1" customHeight="1" x14ac:dyDescent="0.2">
      <c r="A2407" s="317" t="s">
        <v>393</v>
      </c>
      <c r="B2407" s="895" t="s">
        <v>393</v>
      </c>
      <c r="C2407" s="896" t="s">
        <v>184</v>
      </c>
      <c r="D2407" s="906" t="str">
        <f>'ENSAIOS DE ORÇAMENTO'!C72</f>
        <v>ENSAIO DE ORÇAMENTO 1</v>
      </c>
      <c r="E2407" s="907">
        <f>GLOBAL_DER_FEV_2023!E2407</f>
        <v>0</v>
      </c>
      <c r="F2407" s="908">
        <f>GLOBAL_DER_FEV_2023!F2407</f>
        <v>0</v>
      </c>
      <c r="G2407" s="912">
        <f>GLOBAL_DER_FEV_2023!G2407</f>
        <v>0</v>
      </c>
      <c r="H2407" s="901">
        <f>GLOBAL_DER_FEV_2023!H2407</f>
        <v>0</v>
      </c>
      <c r="I2407" s="901">
        <f>GLOBAL_DER_FEV_2023!I2407</f>
        <v>0</v>
      </c>
      <c r="J2407" s="902">
        <f>GLOBAL_DER_FEV_2023!J2407</f>
        <v>0</v>
      </c>
      <c r="K2407" s="903" t="s">
        <v>15</v>
      </c>
      <c r="L2407" s="1137"/>
      <c r="M2407" s="1138">
        <f t="shared" si="182"/>
        <v>0</v>
      </c>
      <c r="N2407" s="1176">
        <f t="shared" si="186"/>
        <v>0</v>
      </c>
      <c r="O2407" s="905"/>
      <c r="Q2407" s="317" t="str">
        <f t="shared" si="183"/>
        <v/>
      </c>
      <c r="R2407" s="317" t="str">
        <f t="shared" si="184"/>
        <v/>
      </c>
      <c r="S2407" s="317" t="str">
        <f t="shared" si="185"/>
        <v/>
      </c>
      <c r="T2407" s="317" t="str">
        <f>GLOBAL_DER_FEV_2023!S2407</f>
        <v/>
      </c>
      <c r="W2407" s="582">
        <v>0</v>
      </c>
      <c r="X2407" s="580"/>
      <c r="Y2407" s="583">
        <f>IF(GLOBAL_DER_FEV_2023!W2407=0,0,IF(GLOBAL_DER_FEV_2023!W2407&gt;0,"c","b"))</f>
        <v>0</v>
      </c>
    </row>
    <row r="2408" spans="1:25" ht="15" hidden="1" customHeight="1" x14ac:dyDescent="0.2">
      <c r="A2408" s="317" t="s">
        <v>147</v>
      </c>
      <c r="B2408" s="895" t="s">
        <v>147</v>
      </c>
      <c r="C2408" s="896"/>
      <c r="D2408" s="957" t="s">
        <v>190</v>
      </c>
      <c r="E2408" s="907">
        <f>GLOBAL_DER_FEV_2023!E2408</f>
        <v>308</v>
      </c>
      <c r="F2408" s="908">
        <f>GLOBAL_DER_FEV_2023!F2408</f>
        <v>0</v>
      </c>
      <c r="G2408" s="909">
        <f>GLOBAL_DER_FEV_2023!G2408</f>
        <v>0</v>
      </c>
      <c r="H2408" s="901">
        <f>GLOBAL_DER_FEV_2023!H2408</f>
        <v>0</v>
      </c>
      <c r="I2408" s="901" t="str">
        <f>GLOBAL_DER_FEV_2023!I2408</f>
        <v/>
      </c>
      <c r="J2408" s="902">
        <f>GLOBAL_DER_FEV_2023!J2408</f>
        <v>0</v>
      </c>
      <c r="K2408" s="958" t="s">
        <v>507</v>
      </c>
      <c r="L2408" s="959"/>
      <c r="M2408" s="1157">
        <f t="shared" si="182"/>
        <v>0</v>
      </c>
      <c r="N2408" s="1176">
        <f t="shared" si="186"/>
        <v>0</v>
      </c>
      <c r="O2408" s="905"/>
      <c r="P2408" s="58" t="str">
        <f>IF(N2407&gt;0,"xx",IF(N2407&gt;0,"xy",""))</f>
        <v/>
      </c>
      <c r="Q2408" s="317" t="str">
        <f t="shared" si="183"/>
        <v/>
      </c>
      <c r="R2408" s="317" t="str">
        <f t="shared" si="184"/>
        <v/>
      </c>
      <c r="S2408" s="317" t="str">
        <f t="shared" si="185"/>
        <v/>
      </c>
      <c r="T2408" s="317" t="str">
        <f>GLOBAL_DER_FEV_2023!S2408</f>
        <v/>
      </c>
      <c r="W2408" s="582">
        <v>0</v>
      </c>
      <c r="X2408" s="580"/>
      <c r="Y2408" s="583">
        <f>IF(GLOBAL_DER_FEV_2023!W2408=0,0,IF(GLOBAL_DER_FEV_2023!W2408&gt;0,"c","b"))</f>
        <v>0</v>
      </c>
    </row>
    <row r="2409" spans="1:25" ht="15" hidden="1" customHeight="1" x14ac:dyDescent="0.2">
      <c r="A2409" s="317" t="s">
        <v>147</v>
      </c>
      <c r="B2409" s="895" t="s">
        <v>147</v>
      </c>
      <c r="C2409" s="896"/>
      <c r="D2409" s="957" t="s">
        <v>229</v>
      </c>
      <c r="E2409" s="907">
        <f>GLOBAL_DER_FEV_2023!E2409</f>
        <v>150</v>
      </c>
      <c r="F2409" s="908">
        <f>GLOBAL_DER_FEV_2023!F2409</f>
        <v>0</v>
      </c>
      <c r="G2409" s="949">
        <f>GLOBAL_DER_FEV_2023!G2409</f>
        <v>0</v>
      </c>
      <c r="H2409" s="901">
        <f>GLOBAL_DER_FEV_2023!H2409</f>
        <v>0</v>
      </c>
      <c r="I2409" s="901" t="str">
        <f>GLOBAL_DER_FEV_2023!I2409</f>
        <v/>
      </c>
      <c r="J2409" s="902">
        <f>GLOBAL_DER_FEV_2023!J2409</f>
        <v>0</v>
      </c>
      <c r="K2409" s="958" t="s">
        <v>507</v>
      </c>
      <c r="L2409" s="959"/>
      <c r="M2409" s="1157">
        <f t="shared" si="182"/>
        <v>0</v>
      </c>
      <c r="N2409" s="1176">
        <f t="shared" si="186"/>
        <v>0</v>
      </c>
      <c r="O2409" s="905"/>
      <c r="P2409" s="58" t="str">
        <f>IF(N2407&gt;0,"xx",IF(N2407&gt;0,"xy",""))</f>
        <v/>
      </c>
      <c r="Q2409" s="317" t="str">
        <f t="shared" si="183"/>
        <v/>
      </c>
      <c r="R2409" s="317" t="str">
        <f t="shared" si="184"/>
        <v/>
      </c>
      <c r="S2409" s="317" t="str">
        <f t="shared" si="185"/>
        <v/>
      </c>
      <c r="T2409" s="317" t="str">
        <f>GLOBAL_DER_FEV_2023!S2409</f>
        <v/>
      </c>
      <c r="W2409" s="582">
        <v>0</v>
      </c>
      <c r="X2409" s="580"/>
      <c r="Y2409" s="583">
        <f>IF(GLOBAL_DER_FEV_2023!W2409=0,0,IF(GLOBAL_DER_FEV_2023!W2409&gt;0,"c","b"))</f>
        <v>0</v>
      </c>
    </row>
    <row r="2410" spans="1:25" ht="15" hidden="1" customHeight="1" x14ac:dyDescent="0.2">
      <c r="A2410" s="317" t="s">
        <v>147</v>
      </c>
      <c r="B2410" s="895" t="s">
        <v>147</v>
      </c>
      <c r="C2410" s="896"/>
      <c r="D2410" s="957" t="s">
        <v>233</v>
      </c>
      <c r="E2410" s="907">
        <f>GLOBAL_DER_FEV_2023!E2410</f>
        <v>0.2</v>
      </c>
      <c r="F2410" s="908">
        <f>GLOBAL_DER_FEV_2023!F2410</f>
        <v>0</v>
      </c>
      <c r="G2410" s="949">
        <f>GLOBAL_DER_FEV_2023!G2410</f>
        <v>0</v>
      </c>
      <c r="H2410" s="901">
        <f>GLOBAL_DER_FEV_2023!H2410</f>
        <v>0</v>
      </c>
      <c r="I2410" s="901" t="str">
        <f>GLOBAL_DER_FEV_2023!I2410</f>
        <v/>
      </c>
      <c r="J2410" s="902">
        <f>GLOBAL_DER_FEV_2023!J2410</f>
        <v>0</v>
      </c>
      <c r="K2410" s="958" t="s">
        <v>507</v>
      </c>
      <c r="L2410" s="959"/>
      <c r="M2410" s="1157">
        <f t="shared" si="182"/>
        <v>0</v>
      </c>
      <c r="N2410" s="1176">
        <f t="shared" si="186"/>
        <v>0</v>
      </c>
      <c r="O2410" s="905"/>
      <c r="P2410" s="58" t="str">
        <f>IF(N2407&gt;0,"xx",IF(N2407&gt;0,"xy",""))</f>
        <v/>
      </c>
      <c r="Q2410" s="317" t="str">
        <f t="shared" si="183"/>
        <v/>
      </c>
      <c r="R2410" s="317" t="str">
        <f t="shared" si="184"/>
        <v/>
      </c>
      <c r="S2410" s="317" t="str">
        <f t="shared" si="185"/>
        <v/>
      </c>
      <c r="T2410" s="317" t="str">
        <f>GLOBAL_DER_FEV_2023!S2410</f>
        <v/>
      </c>
      <c r="W2410" s="582">
        <v>0</v>
      </c>
      <c r="X2410" s="580"/>
      <c r="Y2410" s="583">
        <f>IF(GLOBAL_DER_FEV_2023!W2410=0,0,IF(GLOBAL_DER_FEV_2023!W2410&gt;0,"c","b"))</f>
        <v>0</v>
      </c>
    </row>
    <row r="2411" spans="1:25" ht="15" hidden="1" customHeight="1" x14ac:dyDescent="0.2">
      <c r="A2411" s="317" t="s">
        <v>147</v>
      </c>
      <c r="B2411" s="895" t="s">
        <v>147</v>
      </c>
      <c r="C2411" s="896"/>
      <c r="D2411" s="957" t="s">
        <v>365</v>
      </c>
      <c r="E2411" s="907">
        <f>GLOBAL_DER_FEV_2023!E2411</f>
        <v>10</v>
      </c>
      <c r="F2411" s="908">
        <f>GLOBAL_DER_FEV_2023!F2411</f>
        <v>0</v>
      </c>
      <c r="G2411" s="949">
        <f>GLOBAL_DER_FEV_2023!G2411</f>
        <v>0</v>
      </c>
      <c r="H2411" s="901">
        <f>GLOBAL_DER_FEV_2023!H2411</f>
        <v>0</v>
      </c>
      <c r="I2411" s="901" t="str">
        <f>GLOBAL_DER_FEV_2023!I2411</f>
        <v/>
      </c>
      <c r="J2411" s="902">
        <f>GLOBAL_DER_FEV_2023!J2411</f>
        <v>0</v>
      </c>
      <c r="K2411" s="958" t="s">
        <v>507</v>
      </c>
      <c r="L2411" s="959"/>
      <c r="M2411" s="1157">
        <f t="shared" si="182"/>
        <v>0</v>
      </c>
      <c r="N2411" s="1176">
        <f t="shared" si="186"/>
        <v>0</v>
      </c>
      <c r="O2411" s="905"/>
      <c r="P2411" s="58" t="str">
        <f>IF(N2407&gt;0,"xx",IF(N2407&gt;0,"xy",""))</f>
        <v/>
      </c>
      <c r="Q2411" s="317" t="str">
        <f t="shared" si="183"/>
        <v/>
      </c>
      <c r="R2411" s="317" t="str">
        <f t="shared" si="184"/>
        <v/>
      </c>
      <c r="S2411" s="317" t="str">
        <f t="shared" si="185"/>
        <v/>
      </c>
      <c r="T2411" s="317" t="str">
        <f>GLOBAL_DER_FEV_2023!S2411</f>
        <v/>
      </c>
      <c r="W2411" s="582">
        <v>0</v>
      </c>
      <c r="X2411" s="580"/>
      <c r="Y2411" s="583">
        <f>IF(GLOBAL_DER_FEV_2023!W2411=0,0,IF(GLOBAL_DER_FEV_2023!W2411&gt;0,"c","b"))</f>
        <v>0</v>
      </c>
    </row>
    <row r="2412" spans="1:25" ht="15" hidden="1" customHeight="1" x14ac:dyDescent="0.2">
      <c r="A2412" s="317" t="s">
        <v>147</v>
      </c>
      <c r="B2412" s="895" t="s">
        <v>147</v>
      </c>
      <c r="C2412" s="896"/>
      <c r="D2412" s="957" t="s">
        <v>366</v>
      </c>
      <c r="E2412" s="907">
        <f>GLOBAL_DER_FEV_2023!E2412</f>
        <v>353</v>
      </c>
      <c r="F2412" s="908">
        <f>GLOBAL_DER_FEV_2023!F2412</f>
        <v>0</v>
      </c>
      <c r="G2412" s="909">
        <f>GLOBAL_DER_FEV_2023!G2412</f>
        <v>0</v>
      </c>
      <c r="H2412" s="901">
        <f>GLOBAL_DER_FEV_2023!H2412</f>
        <v>0</v>
      </c>
      <c r="I2412" s="901" t="str">
        <f>GLOBAL_DER_FEV_2023!I2412</f>
        <v/>
      </c>
      <c r="J2412" s="902">
        <f>GLOBAL_DER_FEV_2023!J2412</f>
        <v>0</v>
      </c>
      <c r="K2412" s="958" t="s">
        <v>507</v>
      </c>
      <c r="L2412" s="959"/>
      <c r="M2412" s="1157">
        <f t="shared" si="182"/>
        <v>0</v>
      </c>
      <c r="N2412" s="1176">
        <f t="shared" si="186"/>
        <v>0</v>
      </c>
      <c r="O2412" s="905"/>
      <c r="P2412" s="58" t="str">
        <f>IF(N2407&gt;0,"xx",IF(N2407&gt;0,"xy",""))</f>
        <v/>
      </c>
      <c r="Q2412" s="317" t="str">
        <f t="shared" si="183"/>
        <v/>
      </c>
      <c r="R2412" s="317" t="str">
        <f t="shared" si="184"/>
        <v/>
      </c>
      <c r="S2412" s="317" t="str">
        <f t="shared" si="185"/>
        <v/>
      </c>
      <c r="T2412" s="317" t="str">
        <f>GLOBAL_DER_FEV_2023!S2412</f>
        <v/>
      </c>
      <c r="W2412" s="582">
        <v>0</v>
      </c>
      <c r="X2412" s="580"/>
      <c r="Y2412" s="583">
        <f>IF(GLOBAL_DER_FEV_2023!W2412=0,0,IF(GLOBAL_DER_FEV_2023!W2412&gt;0,"c","b"))</f>
        <v>0</v>
      </c>
    </row>
    <row r="2413" spans="1:25" ht="15" hidden="1" customHeight="1" x14ac:dyDescent="0.2">
      <c r="A2413" s="317" t="s">
        <v>394</v>
      </c>
      <c r="B2413" s="895" t="s">
        <v>394</v>
      </c>
      <c r="C2413" s="896" t="s">
        <v>184</v>
      </c>
      <c r="D2413" s="906" t="str">
        <f>'ENSAIOS DE ORÇAMENTO'!C73</f>
        <v>ENSAIO DE ORÇAMENTO 2</v>
      </c>
      <c r="E2413" s="907">
        <f>GLOBAL_DER_FEV_2023!E2413</f>
        <v>0</v>
      </c>
      <c r="F2413" s="908">
        <f>GLOBAL_DER_FEV_2023!F2413</f>
        <v>0</v>
      </c>
      <c r="G2413" s="912">
        <f>GLOBAL_DER_FEV_2023!G2413</f>
        <v>0</v>
      </c>
      <c r="H2413" s="901">
        <f>GLOBAL_DER_FEV_2023!H2413</f>
        <v>0</v>
      </c>
      <c r="I2413" s="901">
        <f>GLOBAL_DER_FEV_2023!I2413</f>
        <v>0</v>
      </c>
      <c r="J2413" s="902">
        <f>GLOBAL_DER_FEV_2023!J2413</f>
        <v>0</v>
      </c>
      <c r="K2413" s="903" t="s">
        <v>15</v>
      </c>
      <c r="L2413" s="1137"/>
      <c r="M2413" s="1138">
        <f t="shared" si="182"/>
        <v>0</v>
      </c>
      <c r="N2413" s="1176">
        <f t="shared" si="186"/>
        <v>0</v>
      </c>
      <c r="O2413" s="905"/>
      <c r="Q2413" s="317" t="str">
        <f t="shared" si="183"/>
        <v/>
      </c>
      <c r="R2413" s="317" t="str">
        <f t="shared" si="184"/>
        <v/>
      </c>
      <c r="S2413" s="317" t="str">
        <f t="shared" si="185"/>
        <v/>
      </c>
      <c r="T2413" s="317" t="str">
        <f>GLOBAL_DER_FEV_2023!S2413</f>
        <v/>
      </c>
      <c r="W2413" s="582">
        <v>0</v>
      </c>
      <c r="X2413" s="580"/>
      <c r="Y2413" s="583">
        <f>IF(GLOBAL_DER_FEV_2023!W2413=0,0,IF(GLOBAL_DER_FEV_2023!W2413&gt;0,"c","b"))</f>
        <v>0</v>
      </c>
    </row>
    <row r="2414" spans="1:25" ht="15" hidden="1" customHeight="1" x14ac:dyDescent="0.2">
      <c r="A2414" s="317" t="s">
        <v>147</v>
      </c>
      <c r="B2414" s="895" t="s">
        <v>147</v>
      </c>
      <c r="C2414" s="896"/>
      <c r="D2414" s="957" t="s">
        <v>190</v>
      </c>
      <c r="E2414" s="907">
        <f>GLOBAL_DER_FEV_2023!E2414</f>
        <v>308</v>
      </c>
      <c r="F2414" s="908">
        <f>GLOBAL_DER_FEV_2023!F2414</f>
        <v>0</v>
      </c>
      <c r="G2414" s="909">
        <f>GLOBAL_DER_FEV_2023!G2414</f>
        <v>0</v>
      </c>
      <c r="H2414" s="901">
        <f>GLOBAL_DER_FEV_2023!H2414</f>
        <v>0</v>
      </c>
      <c r="I2414" s="901" t="str">
        <f>GLOBAL_DER_FEV_2023!I2414</f>
        <v/>
      </c>
      <c r="J2414" s="902">
        <f>GLOBAL_DER_FEV_2023!J2414</f>
        <v>0</v>
      </c>
      <c r="K2414" s="958" t="s">
        <v>507</v>
      </c>
      <c r="L2414" s="959"/>
      <c r="M2414" s="1157">
        <f t="shared" si="182"/>
        <v>0</v>
      </c>
      <c r="N2414" s="1176">
        <f t="shared" si="186"/>
        <v>0</v>
      </c>
      <c r="O2414" s="905"/>
      <c r="P2414" s="58" t="str">
        <f>IF(N2413&gt;0,"xx",IF(N2413&gt;0,"xy",""))</f>
        <v/>
      </c>
      <c r="Q2414" s="317" t="str">
        <f t="shared" si="183"/>
        <v/>
      </c>
      <c r="R2414" s="317" t="str">
        <f t="shared" si="184"/>
        <v/>
      </c>
      <c r="S2414" s="317" t="str">
        <f t="shared" si="185"/>
        <v/>
      </c>
      <c r="T2414" s="317" t="str">
        <f>GLOBAL_DER_FEV_2023!S2414</f>
        <v/>
      </c>
      <c r="W2414" s="582">
        <v>0</v>
      </c>
      <c r="X2414" s="580"/>
      <c r="Y2414" s="583">
        <f>IF(GLOBAL_DER_FEV_2023!W2414=0,0,IF(GLOBAL_DER_FEV_2023!W2414&gt;0,"c","b"))</f>
        <v>0</v>
      </c>
    </row>
    <row r="2415" spans="1:25" ht="15" hidden="1" customHeight="1" x14ac:dyDescent="0.2">
      <c r="A2415" s="317" t="s">
        <v>147</v>
      </c>
      <c r="B2415" s="895" t="s">
        <v>147</v>
      </c>
      <c r="C2415" s="896"/>
      <c r="D2415" s="957" t="s">
        <v>229</v>
      </c>
      <c r="E2415" s="907">
        <f>GLOBAL_DER_FEV_2023!E2415</f>
        <v>150</v>
      </c>
      <c r="F2415" s="908">
        <f>GLOBAL_DER_FEV_2023!F2415</f>
        <v>0</v>
      </c>
      <c r="G2415" s="949">
        <f>GLOBAL_DER_FEV_2023!G2415</f>
        <v>0</v>
      </c>
      <c r="H2415" s="901">
        <f>GLOBAL_DER_FEV_2023!H2415</f>
        <v>0</v>
      </c>
      <c r="I2415" s="901" t="str">
        <f>GLOBAL_DER_FEV_2023!I2415</f>
        <v/>
      </c>
      <c r="J2415" s="902">
        <f>GLOBAL_DER_FEV_2023!J2415</f>
        <v>0</v>
      </c>
      <c r="K2415" s="958" t="s">
        <v>507</v>
      </c>
      <c r="L2415" s="959"/>
      <c r="M2415" s="1157">
        <f t="shared" si="182"/>
        <v>0</v>
      </c>
      <c r="N2415" s="1176">
        <f t="shared" si="186"/>
        <v>0</v>
      </c>
      <c r="O2415" s="905"/>
      <c r="P2415" s="58" t="str">
        <f>IF(N2413&gt;0,"xx",IF(N2413&gt;0,"xy",""))</f>
        <v/>
      </c>
      <c r="Q2415" s="317" t="str">
        <f t="shared" si="183"/>
        <v/>
      </c>
      <c r="R2415" s="317" t="str">
        <f t="shared" si="184"/>
        <v/>
      </c>
      <c r="S2415" s="317" t="str">
        <f t="shared" si="185"/>
        <v/>
      </c>
      <c r="T2415" s="317" t="str">
        <f>GLOBAL_DER_FEV_2023!S2415</f>
        <v/>
      </c>
      <c r="W2415" s="582">
        <v>0</v>
      </c>
      <c r="X2415" s="580"/>
      <c r="Y2415" s="583">
        <f>IF(GLOBAL_DER_FEV_2023!W2415=0,0,IF(GLOBAL_DER_FEV_2023!W2415&gt;0,"c","b"))</f>
        <v>0</v>
      </c>
    </row>
    <row r="2416" spans="1:25" ht="15" hidden="1" customHeight="1" x14ac:dyDescent="0.2">
      <c r="A2416" s="317" t="s">
        <v>147</v>
      </c>
      <c r="B2416" s="895" t="s">
        <v>147</v>
      </c>
      <c r="C2416" s="896"/>
      <c r="D2416" s="957" t="s">
        <v>233</v>
      </c>
      <c r="E2416" s="907">
        <f>GLOBAL_DER_FEV_2023!E2416</f>
        <v>0.2</v>
      </c>
      <c r="F2416" s="908">
        <f>GLOBAL_DER_FEV_2023!F2416</f>
        <v>0</v>
      </c>
      <c r="G2416" s="949">
        <f>GLOBAL_DER_FEV_2023!G2416</f>
        <v>0</v>
      </c>
      <c r="H2416" s="901">
        <f>GLOBAL_DER_FEV_2023!H2416</f>
        <v>0</v>
      </c>
      <c r="I2416" s="901" t="str">
        <f>GLOBAL_DER_FEV_2023!I2416</f>
        <v/>
      </c>
      <c r="J2416" s="902">
        <f>GLOBAL_DER_FEV_2023!J2416</f>
        <v>0</v>
      </c>
      <c r="K2416" s="958" t="s">
        <v>507</v>
      </c>
      <c r="L2416" s="959"/>
      <c r="M2416" s="1157">
        <f t="shared" si="182"/>
        <v>0</v>
      </c>
      <c r="N2416" s="1176">
        <f t="shared" si="186"/>
        <v>0</v>
      </c>
      <c r="O2416" s="905"/>
      <c r="P2416" s="58" t="str">
        <f>IF(N2413&gt;0,"xx",IF(N2413&gt;0,"xy",""))</f>
        <v/>
      </c>
      <c r="Q2416" s="317" t="str">
        <f t="shared" si="183"/>
        <v/>
      </c>
      <c r="R2416" s="317" t="str">
        <f t="shared" si="184"/>
        <v/>
      </c>
      <c r="S2416" s="317" t="str">
        <f t="shared" si="185"/>
        <v/>
      </c>
      <c r="T2416" s="317" t="str">
        <f>GLOBAL_DER_FEV_2023!S2416</f>
        <v/>
      </c>
      <c r="W2416" s="582">
        <v>0</v>
      </c>
      <c r="X2416" s="580"/>
      <c r="Y2416" s="583">
        <f>IF(GLOBAL_DER_FEV_2023!W2416=0,0,IF(GLOBAL_DER_FEV_2023!W2416&gt;0,"c","b"))</f>
        <v>0</v>
      </c>
    </row>
    <row r="2417" spans="1:25" ht="15" hidden="1" customHeight="1" x14ac:dyDescent="0.2">
      <c r="A2417" s="317" t="s">
        <v>147</v>
      </c>
      <c r="B2417" s="895" t="s">
        <v>147</v>
      </c>
      <c r="C2417" s="896"/>
      <c r="D2417" s="957" t="s">
        <v>365</v>
      </c>
      <c r="E2417" s="907">
        <f>GLOBAL_DER_FEV_2023!E2417</f>
        <v>10</v>
      </c>
      <c r="F2417" s="908">
        <f>GLOBAL_DER_FEV_2023!F2417</f>
        <v>0</v>
      </c>
      <c r="G2417" s="949">
        <f>GLOBAL_DER_FEV_2023!G2417</f>
        <v>0</v>
      </c>
      <c r="H2417" s="901">
        <f>GLOBAL_DER_FEV_2023!H2417</f>
        <v>0</v>
      </c>
      <c r="I2417" s="901" t="str">
        <f>GLOBAL_DER_FEV_2023!I2417</f>
        <v/>
      </c>
      <c r="J2417" s="902">
        <f>GLOBAL_DER_FEV_2023!J2417</f>
        <v>0</v>
      </c>
      <c r="K2417" s="958" t="s">
        <v>507</v>
      </c>
      <c r="L2417" s="959"/>
      <c r="M2417" s="1157">
        <f t="shared" si="182"/>
        <v>0</v>
      </c>
      <c r="N2417" s="1176">
        <f t="shared" si="186"/>
        <v>0</v>
      </c>
      <c r="O2417" s="905"/>
      <c r="P2417" s="58" t="str">
        <f>IF(N2413&gt;0,"xx",IF(N2413&gt;0,"xy",""))</f>
        <v/>
      </c>
      <c r="Q2417" s="317" t="str">
        <f t="shared" si="183"/>
        <v/>
      </c>
      <c r="R2417" s="317" t="str">
        <f t="shared" si="184"/>
        <v/>
      </c>
      <c r="S2417" s="317" t="str">
        <f t="shared" si="185"/>
        <v/>
      </c>
      <c r="T2417" s="317" t="str">
        <f>GLOBAL_DER_FEV_2023!S2417</f>
        <v/>
      </c>
      <c r="W2417" s="582">
        <v>0</v>
      </c>
      <c r="X2417" s="580"/>
      <c r="Y2417" s="583">
        <f>IF(GLOBAL_DER_FEV_2023!W2417=0,0,IF(GLOBAL_DER_FEV_2023!W2417&gt;0,"c","b"))</f>
        <v>0</v>
      </c>
    </row>
    <row r="2418" spans="1:25" ht="15" hidden="1" customHeight="1" x14ac:dyDescent="0.2">
      <c r="A2418" s="317" t="s">
        <v>147</v>
      </c>
      <c r="B2418" s="895" t="s">
        <v>147</v>
      </c>
      <c r="C2418" s="896"/>
      <c r="D2418" s="957" t="s">
        <v>366</v>
      </c>
      <c r="E2418" s="907">
        <f>GLOBAL_DER_FEV_2023!E2418</f>
        <v>353</v>
      </c>
      <c r="F2418" s="908">
        <f>GLOBAL_DER_FEV_2023!F2418</f>
        <v>0</v>
      </c>
      <c r="G2418" s="909">
        <f>GLOBAL_DER_FEV_2023!G2418</f>
        <v>0</v>
      </c>
      <c r="H2418" s="901">
        <f>GLOBAL_DER_FEV_2023!H2418</f>
        <v>0</v>
      </c>
      <c r="I2418" s="901" t="str">
        <f>GLOBAL_DER_FEV_2023!I2418</f>
        <v/>
      </c>
      <c r="J2418" s="902">
        <f>GLOBAL_DER_FEV_2023!J2418</f>
        <v>0</v>
      </c>
      <c r="K2418" s="958" t="s">
        <v>507</v>
      </c>
      <c r="L2418" s="959"/>
      <c r="M2418" s="1157">
        <f t="shared" si="182"/>
        <v>0</v>
      </c>
      <c r="N2418" s="1176">
        <f t="shared" si="186"/>
        <v>0</v>
      </c>
      <c r="O2418" s="905"/>
      <c r="P2418" s="58" t="str">
        <f>IF(N2413&gt;0,"xx",IF(N2413&gt;0,"xy",""))</f>
        <v/>
      </c>
      <c r="Q2418" s="317" t="str">
        <f t="shared" si="183"/>
        <v/>
      </c>
      <c r="R2418" s="317" t="str">
        <f t="shared" si="184"/>
        <v/>
      </c>
      <c r="S2418" s="317" t="str">
        <f t="shared" si="185"/>
        <v/>
      </c>
      <c r="T2418" s="317" t="str">
        <f>GLOBAL_DER_FEV_2023!S2418</f>
        <v/>
      </c>
      <c r="W2418" s="582">
        <v>0</v>
      </c>
      <c r="X2418" s="580"/>
      <c r="Y2418" s="583">
        <f>IF(GLOBAL_DER_FEV_2023!W2418=0,0,IF(GLOBAL_DER_FEV_2023!W2418&gt;0,"c","b"))</f>
        <v>0</v>
      </c>
    </row>
    <row r="2419" spans="1:25" ht="15" hidden="1" customHeight="1" x14ac:dyDescent="0.2">
      <c r="A2419" s="317" t="s">
        <v>395</v>
      </c>
      <c r="B2419" s="895" t="s">
        <v>395</v>
      </c>
      <c r="C2419" s="896" t="s">
        <v>184</v>
      </c>
      <c r="D2419" s="906" t="str">
        <f>'ENSAIOS DE ORÇAMENTO'!C74</f>
        <v>ENSAIO DE ORÇAMENTO 3</v>
      </c>
      <c r="E2419" s="907">
        <f>GLOBAL_DER_FEV_2023!E2419</f>
        <v>0</v>
      </c>
      <c r="F2419" s="908">
        <f>GLOBAL_DER_FEV_2023!F2419</f>
        <v>0</v>
      </c>
      <c r="G2419" s="912">
        <f>GLOBAL_DER_FEV_2023!G2419</f>
        <v>0</v>
      </c>
      <c r="H2419" s="901">
        <f>GLOBAL_DER_FEV_2023!H2419</f>
        <v>0</v>
      </c>
      <c r="I2419" s="901">
        <f>GLOBAL_DER_FEV_2023!I2419</f>
        <v>0</v>
      </c>
      <c r="J2419" s="902">
        <f>GLOBAL_DER_FEV_2023!J2419</f>
        <v>0</v>
      </c>
      <c r="K2419" s="903" t="s">
        <v>15</v>
      </c>
      <c r="L2419" s="1137"/>
      <c r="M2419" s="1138">
        <f t="shared" si="182"/>
        <v>0</v>
      </c>
      <c r="N2419" s="1176">
        <f t="shared" si="186"/>
        <v>0</v>
      </c>
      <c r="O2419" s="905"/>
      <c r="Q2419" s="317" t="str">
        <f t="shared" si="183"/>
        <v/>
      </c>
      <c r="R2419" s="317" t="str">
        <f t="shared" si="184"/>
        <v/>
      </c>
      <c r="S2419" s="317" t="str">
        <f t="shared" si="185"/>
        <v/>
      </c>
      <c r="T2419" s="317" t="str">
        <f>GLOBAL_DER_FEV_2023!S2419</f>
        <v/>
      </c>
      <c r="W2419" s="582">
        <v>0</v>
      </c>
      <c r="X2419" s="580"/>
      <c r="Y2419" s="583">
        <f>IF(GLOBAL_DER_FEV_2023!W2419=0,0,IF(GLOBAL_DER_FEV_2023!W2419&gt;0,"c","b"))</f>
        <v>0</v>
      </c>
    </row>
    <row r="2420" spans="1:25" ht="15" hidden="1" customHeight="1" x14ac:dyDescent="0.2">
      <c r="A2420" s="317" t="s">
        <v>147</v>
      </c>
      <c r="B2420" s="895" t="s">
        <v>147</v>
      </c>
      <c r="C2420" s="896"/>
      <c r="D2420" s="957" t="s">
        <v>190</v>
      </c>
      <c r="E2420" s="907">
        <f>GLOBAL_DER_FEV_2023!E2420</f>
        <v>308</v>
      </c>
      <c r="F2420" s="908">
        <f>GLOBAL_DER_FEV_2023!F2420</f>
        <v>0</v>
      </c>
      <c r="G2420" s="909">
        <f>GLOBAL_DER_FEV_2023!G2420</f>
        <v>0</v>
      </c>
      <c r="H2420" s="901">
        <f>GLOBAL_DER_FEV_2023!H2420</f>
        <v>0</v>
      </c>
      <c r="I2420" s="901" t="str">
        <f>GLOBAL_DER_FEV_2023!I2420</f>
        <v/>
      </c>
      <c r="J2420" s="902">
        <f>GLOBAL_DER_FEV_2023!J2420</f>
        <v>0</v>
      </c>
      <c r="K2420" s="958" t="s">
        <v>507</v>
      </c>
      <c r="L2420" s="959"/>
      <c r="M2420" s="1157">
        <f t="shared" si="182"/>
        <v>0</v>
      </c>
      <c r="N2420" s="1176">
        <f t="shared" si="186"/>
        <v>0</v>
      </c>
      <c r="O2420" s="905"/>
      <c r="P2420" s="58" t="str">
        <f>IF(N2419&gt;0,"xx",IF(N2419&gt;0,"xy",""))</f>
        <v/>
      </c>
      <c r="Q2420" s="317" t="str">
        <f t="shared" si="183"/>
        <v/>
      </c>
      <c r="R2420" s="317" t="str">
        <f t="shared" si="184"/>
        <v/>
      </c>
      <c r="S2420" s="317" t="str">
        <f t="shared" si="185"/>
        <v/>
      </c>
      <c r="T2420" s="317" t="str">
        <f>GLOBAL_DER_FEV_2023!S2420</f>
        <v/>
      </c>
      <c r="W2420" s="582">
        <v>0</v>
      </c>
      <c r="X2420" s="580"/>
      <c r="Y2420" s="583">
        <f>IF(GLOBAL_DER_FEV_2023!W2420=0,0,IF(GLOBAL_DER_FEV_2023!W2420&gt;0,"c","b"))</f>
        <v>0</v>
      </c>
    </row>
    <row r="2421" spans="1:25" ht="15" hidden="1" customHeight="1" x14ac:dyDescent="0.2">
      <c r="A2421" s="317" t="s">
        <v>147</v>
      </c>
      <c r="B2421" s="895" t="s">
        <v>147</v>
      </c>
      <c r="C2421" s="896"/>
      <c r="D2421" s="957" t="s">
        <v>229</v>
      </c>
      <c r="E2421" s="907">
        <f>GLOBAL_DER_FEV_2023!E2421</f>
        <v>150</v>
      </c>
      <c r="F2421" s="908">
        <f>GLOBAL_DER_FEV_2023!F2421</f>
        <v>0</v>
      </c>
      <c r="G2421" s="949">
        <f>GLOBAL_DER_FEV_2023!G2421</f>
        <v>0</v>
      </c>
      <c r="H2421" s="901">
        <f>GLOBAL_DER_FEV_2023!H2421</f>
        <v>0</v>
      </c>
      <c r="I2421" s="901" t="str">
        <f>GLOBAL_DER_FEV_2023!I2421</f>
        <v/>
      </c>
      <c r="J2421" s="902">
        <f>GLOBAL_DER_FEV_2023!J2421</f>
        <v>0</v>
      </c>
      <c r="K2421" s="958" t="s">
        <v>507</v>
      </c>
      <c r="L2421" s="959"/>
      <c r="M2421" s="1157">
        <f t="shared" si="182"/>
        <v>0</v>
      </c>
      <c r="N2421" s="1176">
        <f t="shared" si="186"/>
        <v>0</v>
      </c>
      <c r="O2421" s="905"/>
      <c r="P2421" s="58" t="str">
        <f>IF(N2419&gt;0,"xx",IF(N2419&gt;0,"xy",""))</f>
        <v/>
      </c>
      <c r="Q2421" s="317" t="str">
        <f t="shared" si="183"/>
        <v/>
      </c>
      <c r="R2421" s="317" t="str">
        <f t="shared" si="184"/>
        <v/>
      </c>
      <c r="S2421" s="317" t="str">
        <f t="shared" si="185"/>
        <v/>
      </c>
      <c r="T2421" s="317" t="str">
        <f>GLOBAL_DER_FEV_2023!S2421</f>
        <v/>
      </c>
      <c r="W2421" s="582">
        <v>0</v>
      </c>
      <c r="X2421" s="580"/>
      <c r="Y2421" s="583">
        <f>IF(GLOBAL_DER_FEV_2023!W2421=0,0,IF(GLOBAL_DER_FEV_2023!W2421&gt;0,"c","b"))</f>
        <v>0</v>
      </c>
    </row>
    <row r="2422" spans="1:25" ht="15" hidden="1" customHeight="1" x14ac:dyDescent="0.2">
      <c r="A2422" s="317" t="s">
        <v>147</v>
      </c>
      <c r="B2422" s="895" t="s">
        <v>147</v>
      </c>
      <c r="C2422" s="896"/>
      <c r="D2422" s="957" t="s">
        <v>233</v>
      </c>
      <c r="E2422" s="907">
        <f>GLOBAL_DER_FEV_2023!E2422</f>
        <v>0.2</v>
      </c>
      <c r="F2422" s="908">
        <f>GLOBAL_DER_FEV_2023!F2422</f>
        <v>0</v>
      </c>
      <c r="G2422" s="949">
        <f>GLOBAL_DER_FEV_2023!G2422</f>
        <v>0</v>
      </c>
      <c r="H2422" s="901">
        <f>GLOBAL_DER_FEV_2023!H2422</f>
        <v>0</v>
      </c>
      <c r="I2422" s="901" t="str">
        <f>GLOBAL_DER_FEV_2023!I2422</f>
        <v/>
      </c>
      <c r="J2422" s="902">
        <f>GLOBAL_DER_FEV_2023!J2422</f>
        <v>0</v>
      </c>
      <c r="K2422" s="958" t="s">
        <v>507</v>
      </c>
      <c r="L2422" s="959"/>
      <c r="M2422" s="1157">
        <f t="shared" si="182"/>
        <v>0</v>
      </c>
      <c r="N2422" s="1176">
        <f t="shared" si="186"/>
        <v>0</v>
      </c>
      <c r="O2422" s="905"/>
      <c r="P2422" s="58" t="str">
        <f>IF(N2419&gt;0,"xx",IF(N2419&gt;0,"xy",""))</f>
        <v/>
      </c>
      <c r="Q2422" s="317" t="str">
        <f t="shared" si="183"/>
        <v/>
      </c>
      <c r="R2422" s="317" t="str">
        <f t="shared" si="184"/>
        <v/>
      </c>
      <c r="S2422" s="317" t="str">
        <f t="shared" si="185"/>
        <v/>
      </c>
      <c r="T2422" s="317" t="str">
        <f>GLOBAL_DER_FEV_2023!S2422</f>
        <v/>
      </c>
      <c r="W2422" s="582">
        <v>0</v>
      </c>
      <c r="X2422" s="580"/>
      <c r="Y2422" s="583">
        <f>IF(GLOBAL_DER_FEV_2023!W2422=0,0,IF(GLOBAL_DER_FEV_2023!W2422&gt;0,"c","b"))</f>
        <v>0</v>
      </c>
    </row>
    <row r="2423" spans="1:25" ht="15" hidden="1" customHeight="1" x14ac:dyDescent="0.2">
      <c r="A2423" s="317" t="s">
        <v>147</v>
      </c>
      <c r="B2423" s="895" t="s">
        <v>147</v>
      </c>
      <c r="C2423" s="896"/>
      <c r="D2423" s="957" t="s">
        <v>365</v>
      </c>
      <c r="E2423" s="907">
        <f>GLOBAL_DER_FEV_2023!E2423</f>
        <v>10</v>
      </c>
      <c r="F2423" s="908">
        <f>GLOBAL_DER_FEV_2023!F2423</f>
        <v>0</v>
      </c>
      <c r="G2423" s="949">
        <f>GLOBAL_DER_FEV_2023!G2423</f>
        <v>0</v>
      </c>
      <c r="H2423" s="901">
        <f>GLOBAL_DER_FEV_2023!H2423</f>
        <v>0</v>
      </c>
      <c r="I2423" s="901" t="str">
        <f>GLOBAL_DER_FEV_2023!I2423</f>
        <v/>
      </c>
      <c r="J2423" s="902">
        <f>GLOBAL_DER_FEV_2023!J2423</f>
        <v>0</v>
      </c>
      <c r="K2423" s="958" t="s">
        <v>507</v>
      </c>
      <c r="L2423" s="959"/>
      <c r="M2423" s="1157">
        <f t="shared" si="182"/>
        <v>0</v>
      </c>
      <c r="N2423" s="1176">
        <f t="shared" si="186"/>
        <v>0</v>
      </c>
      <c r="O2423" s="905"/>
      <c r="P2423" s="58" t="str">
        <f>IF(N2419&gt;0,"xx",IF(N2419&gt;0,"xy",""))</f>
        <v/>
      </c>
      <c r="Q2423" s="317" t="str">
        <f t="shared" si="183"/>
        <v/>
      </c>
      <c r="R2423" s="317" t="str">
        <f t="shared" si="184"/>
        <v/>
      </c>
      <c r="S2423" s="317" t="str">
        <f t="shared" si="185"/>
        <v/>
      </c>
      <c r="T2423" s="317" t="str">
        <f>GLOBAL_DER_FEV_2023!S2423</f>
        <v/>
      </c>
      <c r="W2423" s="582">
        <v>0</v>
      </c>
      <c r="X2423" s="580"/>
      <c r="Y2423" s="583">
        <f>IF(GLOBAL_DER_FEV_2023!W2423=0,0,IF(GLOBAL_DER_FEV_2023!W2423&gt;0,"c","b"))</f>
        <v>0</v>
      </c>
    </row>
    <row r="2424" spans="1:25" ht="15" hidden="1" customHeight="1" x14ac:dyDescent="0.2">
      <c r="A2424" s="317" t="s">
        <v>147</v>
      </c>
      <c r="B2424" s="895" t="s">
        <v>147</v>
      </c>
      <c r="C2424" s="896"/>
      <c r="D2424" s="957" t="s">
        <v>366</v>
      </c>
      <c r="E2424" s="907">
        <f>GLOBAL_DER_FEV_2023!E2424</f>
        <v>353</v>
      </c>
      <c r="F2424" s="908">
        <f>GLOBAL_DER_FEV_2023!F2424</f>
        <v>0</v>
      </c>
      <c r="G2424" s="909">
        <f>GLOBAL_DER_FEV_2023!G2424</f>
        <v>0</v>
      </c>
      <c r="H2424" s="901">
        <f>GLOBAL_DER_FEV_2023!H2424</f>
        <v>0</v>
      </c>
      <c r="I2424" s="901" t="str">
        <f>GLOBAL_DER_FEV_2023!I2424</f>
        <v/>
      </c>
      <c r="J2424" s="902">
        <f>GLOBAL_DER_FEV_2023!J2424</f>
        <v>0</v>
      </c>
      <c r="K2424" s="958" t="s">
        <v>507</v>
      </c>
      <c r="L2424" s="959"/>
      <c r="M2424" s="1157">
        <f t="shared" si="182"/>
        <v>0</v>
      </c>
      <c r="N2424" s="1176">
        <f t="shared" si="186"/>
        <v>0</v>
      </c>
      <c r="O2424" s="905"/>
      <c r="P2424" s="58" t="str">
        <f>IF(N2419&gt;0,"xx",IF(N2419&gt;0,"xy",""))</f>
        <v/>
      </c>
      <c r="Q2424" s="317" t="str">
        <f t="shared" si="183"/>
        <v/>
      </c>
      <c r="R2424" s="317" t="str">
        <f t="shared" si="184"/>
        <v/>
      </c>
      <c r="S2424" s="317" t="str">
        <f t="shared" si="185"/>
        <v/>
      </c>
      <c r="T2424" s="317" t="str">
        <f>GLOBAL_DER_FEV_2023!S2424</f>
        <v/>
      </c>
      <c r="W2424" s="582">
        <v>0</v>
      </c>
      <c r="X2424" s="580"/>
      <c r="Y2424" s="583">
        <f>IF(GLOBAL_DER_FEV_2023!W2424=0,0,IF(GLOBAL_DER_FEV_2023!W2424&gt;0,"c","b"))</f>
        <v>0</v>
      </c>
    </row>
    <row r="2425" spans="1:25" ht="15" hidden="1" customHeight="1" x14ac:dyDescent="0.2">
      <c r="A2425" s="317" t="s">
        <v>396</v>
      </c>
      <c r="B2425" s="895" t="s">
        <v>396</v>
      </c>
      <c r="C2425" s="896" t="s">
        <v>184</v>
      </c>
      <c r="D2425" s="906" t="str">
        <f>'ENSAIOS DE ORÇAMENTO'!C75</f>
        <v>ENSAIO DE ORÇAMENTO 4</v>
      </c>
      <c r="E2425" s="907">
        <f>GLOBAL_DER_FEV_2023!E2425</f>
        <v>0</v>
      </c>
      <c r="F2425" s="908">
        <f>GLOBAL_DER_FEV_2023!F2425</f>
        <v>0</v>
      </c>
      <c r="G2425" s="912">
        <f>GLOBAL_DER_FEV_2023!G2425</f>
        <v>0</v>
      </c>
      <c r="H2425" s="901">
        <f>GLOBAL_DER_FEV_2023!H2425</f>
        <v>0</v>
      </c>
      <c r="I2425" s="901">
        <f>GLOBAL_DER_FEV_2023!I2425</f>
        <v>0</v>
      </c>
      <c r="J2425" s="902">
        <f>GLOBAL_DER_FEV_2023!J2425</f>
        <v>0</v>
      </c>
      <c r="K2425" s="903" t="s">
        <v>15</v>
      </c>
      <c r="L2425" s="1137"/>
      <c r="M2425" s="1138">
        <f t="shared" si="182"/>
        <v>0</v>
      </c>
      <c r="N2425" s="1176">
        <f t="shared" si="186"/>
        <v>0</v>
      </c>
      <c r="O2425" s="905"/>
      <c r="Q2425" s="317" t="str">
        <f t="shared" si="183"/>
        <v/>
      </c>
      <c r="R2425" s="317" t="str">
        <f t="shared" si="184"/>
        <v/>
      </c>
      <c r="S2425" s="317" t="str">
        <f t="shared" si="185"/>
        <v/>
      </c>
      <c r="T2425" s="317" t="str">
        <f>GLOBAL_DER_FEV_2023!S2425</f>
        <v/>
      </c>
      <c r="W2425" s="582">
        <v>0</v>
      </c>
      <c r="X2425" s="580"/>
      <c r="Y2425" s="583">
        <f>IF(GLOBAL_DER_FEV_2023!W2425=0,0,IF(GLOBAL_DER_FEV_2023!W2425&gt;0,"c","b"))</f>
        <v>0</v>
      </c>
    </row>
    <row r="2426" spans="1:25" ht="15" hidden="1" customHeight="1" x14ac:dyDescent="0.2">
      <c r="A2426" s="317" t="s">
        <v>147</v>
      </c>
      <c r="B2426" s="895" t="s">
        <v>147</v>
      </c>
      <c r="C2426" s="896"/>
      <c r="D2426" s="957" t="s">
        <v>190</v>
      </c>
      <c r="E2426" s="907">
        <f>GLOBAL_DER_FEV_2023!E2426</f>
        <v>308</v>
      </c>
      <c r="F2426" s="908">
        <f>GLOBAL_DER_FEV_2023!F2426</f>
        <v>0</v>
      </c>
      <c r="G2426" s="909">
        <f>GLOBAL_DER_FEV_2023!G2426</f>
        <v>0</v>
      </c>
      <c r="H2426" s="901">
        <f>GLOBAL_DER_FEV_2023!H2426</f>
        <v>0</v>
      </c>
      <c r="I2426" s="901" t="str">
        <f>GLOBAL_DER_FEV_2023!I2426</f>
        <v/>
      </c>
      <c r="J2426" s="902">
        <f>GLOBAL_DER_FEV_2023!J2426</f>
        <v>0</v>
      </c>
      <c r="K2426" s="958" t="s">
        <v>507</v>
      </c>
      <c r="L2426" s="959"/>
      <c r="M2426" s="1157">
        <f t="shared" si="182"/>
        <v>0</v>
      </c>
      <c r="N2426" s="1176">
        <f t="shared" si="186"/>
        <v>0</v>
      </c>
      <c r="O2426" s="905"/>
      <c r="P2426" s="58" t="str">
        <f>IF(N2425&gt;0,"xx",IF(N2425&gt;0,"xy",""))</f>
        <v/>
      </c>
      <c r="Q2426" s="317" t="str">
        <f t="shared" si="183"/>
        <v/>
      </c>
      <c r="R2426" s="317" t="str">
        <f t="shared" si="184"/>
        <v/>
      </c>
      <c r="S2426" s="317" t="str">
        <f t="shared" si="185"/>
        <v/>
      </c>
      <c r="T2426" s="317" t="str">
        <f>GLOBAL_DER_FEV_2023!S2426</f>
        <v/>
      </c>
      <c r="W2426" s="582">
        <v>0</v>
      </c>
      <c r="X2426" s="580"/>
      <c r="Y2426" s="583">
        <f>IF(GLOBAL_DER_FEV_2023!W2426=0,0,IF(GLOBAL_DER_FEV_2023!W2426&gt;0,"c","b"))</f>
        <v>0</v>
      </c>
    </row>
    <row r="2427" spans="1:25" ht="15" hidden="1" customHeight="1" x14ac:dyDescent="0.2">
      <c r="A2427" s="317" t="s">
        <v>147</v>
      </c>
      <c r="B2427" s="895" t="s">
        <v>147</v>
      </c>
      <c r="C2427" s="896"/>
      <c r="D2427" s="957" t="s">
        <v>229</v>
      </c>
      <c r="E2427" s="907">
        <f>GLOBAL_DER_FEV_2023!E2427</f>
        <v>150</v>
      </c>
      <c r="F2427" s="908">
        <f>GLOBAL_DER_FEV_2023!F2427</f>
        <v>0</v>
      </c>
      <c r="G2427" s="949">
        <f>GLOBAL_DER_FEV_2023!G2427</f>
        <v>0</v>
      </c>
      <c r="H2427" s="901">
        <f>GLOBAL_DER_FEV_2023!H2427</f>
        <v>0</v>
      </c>
      <c r="I2427" s="901" t="str">
        <f>GLOBAL_DER_FEV_2023!I2427</f>
        <v/>
      </c>
      <c r="J2427" s="902">
        <f>GLOBAL_DER_FEV_2023!J2427</f>
        <v>0</v>
      </c>
      <c r="K2427" s="958" t="s">
        <v>507</v>
      </c>
      <c r="L2427" s="959"/>
      <c r="M2427" s="1157">
        <f t="shared" si="182"/>
        <v>0</v>
      </c>
      <c r="N2427" s="1176">
        <f t="shared" si="186"/>
        <v>0</v>
      </c>
      <c r="O2427" s="905"/>
      <c r="P2427" s="58" t="str">
        <f>IF(N2425&gt;0,"xx",IF(N2425&gt;0,"xy",""))</f>
        <v/>
      </c>
      <c r="Q2427" s="317" t="str">
        <f t="shared" si="183"/>
        <v/>
      </c>
      <c r="R2427" s="317" t="str">
        <f t="shared" si="184"/>
        <v/>
      </c>
      <c r="S2427" s="317" t="str">
        <f t="shared" si="185"/>
        <v/>
      </c>
      <c r="T2427" s="317" t="str">
        <f>GLOBAL_DER_FEV_2023!S2427</f>
        <v/>
      </c>
      <c r="W2427" s="582">
        <v>0</v>
      </c>
      <c r="X2427" s="580"/>
      <c r="Y2427" s="583">
        <f>IF(GLOBAL_DER_FEV_2023!W2427=0,0,IF(GLOBAL_DER_FEV_2023!W2427&gt;0,"c","b"))</f>
        <v>0</v>
      </c>
    </row>
    <row r="2428" spans="1:25" ht="15" hidden="1" customHeight="1" x14ac:dyDescent="0.2">
      <c r="A2428" s="317" t="s">
        <v>147</v>
      </c>
      <c r="B2428" s="895" t="s">
        <v>147</v>
      </c>
      <c r="C2428" s="896"/>
      <c r="D2428" s="957" t="s">
        <v>233</v>
      </c>
      <c r="E2428" s="907">
        <f>GLOBAL_DER_FEV_2023!E2428</f>
        <v>0.2</v>
      </c>
      <c r="F2428" s="908">
        <f>GLOBAL_DER_FEV_2023!F2428</f>
        <v>0</v>
      </c>
      <c r="G2428" s="949">
        <f>GLOBAL_DER_FEV_2023!G2428</f>
        <v>0</v>
      </c>
      <c r="H2428" s="901">
        <f>GLOBAL_DER_FEV_2023!H2428</f>
        <v>0</v>
      </c>
      <c r="I2428" s="901" t="str">
        <f>GLOBAL_DER_FEV_2023!I2428</f>
        <v/>
      </c>
      <c r="J2428" s="902">
        <f>GLOBAL_DER_FEV_2023!J2428</f>
        <v>0</v>
      </c>
      <c r="K2428" s="958" t="s">
        <v>507</v>
      </c>
      <c r="L2428" s="959"/>
      <c r="M2428" s="1157">
        <f t="shared" si="182"/>
        <v>0</v>
      </c>
      <c r="N2428" s="1176">
        <f t="shared" si="186"/>
        <v>0</v>
      </c>
      <c r="O2428" s="905"/>
      <c r="P2428" s="58" t="str">
        <f>IF(N2425&gt;0,"xx",IF(N2425&gt;0,"xy",""))</f>
        <v/>
      </c>
      <c r="Q2428" s="317" t="str">
        <f t="shared" si="183"/>
        <v/>
      </c>
      <c r="R2428" s="317" t="str">
        <f t="shared" si="184"/>
        <v/>
      </c>
      <c r="S2428" s="317" t="str">
        <f t="shared" si="185"/>
        <v/>
      </c>
      <c r="T2428" s="317" t="str">
        <f>GLOBAL_DER_FEV_2023!S2428</f>
        <v/>
      </c>
      <c r="W2428" s="582">
        <v>0</v>
      </c>
      <c r="X2428" s="580"/>
      <c r="Y2428" s="583">
        <f>IF(GLOBAL_DER_FEV_2023!W2428=0,0,IF(GLOBAL_DER_FEV_2023!W2428&gt;0,"c","b"))</f>
        <v>0</v>
      </c>
    </row>
    <row r="2429" spans="1:25" ht="15" hidden="1" customHeight="1" x14ac:dyDescent="0.2">
      <c r="A2429" s="317" t="s">
        <v>147</v>
      </c>
      <c r="B2429" s="895" t="s">
        <v>147</v>
      </c>
      <c r="C2429" s="896"/>
      <c r="D2429" s="957" t="s">
        <v>365</v>
      </c>
      <c r="E2429" s="907">
        <f>GLOBAL_DER_FEV_2023!E2429</f>
        <v>10</v>
      </c>
      <c r="F2429" s="908">
        <f>GLOBAL_DER_FEV_2023!F2429</f>
        <v>0</v>
      </c>
      <c r="G2429" s="949">
        <f>GLOBAL_DER_FEV_2023!G2429</f>
        <v>0</v>
      </c>
      <c r="H2429" s="901">
        <f>GLOBAL_DER_FEV_2023!H2429</f>
        <v>0</v>
      </c>
      <c r="I2429" s="901" t="str">
        <f>GLOBAL_DER_FEV_2023!I2429</f>
        <v/>
      </c>
      <c r="J2429" s="902">
        <f>GLOBAL_DER_FEV_2023!J2429</f>
        <v>0</v>
      </c>
      <c r="K2429" s="958" t="s">
        <v>507</v>
      </c>
      <c r="L2429" s="959"/>
      <c r="M2429" s="1157">
        <f t="shared" si="182"/>
        <v>0</v>
      </c>
      <c r="N2429" s="1176">
        <f t="shared" si="186"/>
        <v>0</v>
      </c>
      <c r="O2429" s="905"/>
      <c r="P2429" s="58" t="str">
        <f>IF(N2425&gt;0,"xx",IF(N2425&gt;0,"xy",""))</f>
        <v/>
      </c>
      <c r="Q2429" s="317" t="str">
        <f t="shared" si="183"/>
        <v/>
      </c>
      <c r="R2429" s="317" t="str">
        <f t="shared" si="184"/>
        <v/>
      </c>
      <c r="S2429" s="317" t="str">
        <f t="shared" si="185"/>
        <v/>
      </c>
      <c r="T2429" s="317" t="str">
        <f>GLOBAL_DER_FEV_2023!S2429</f>
        <v/>
      </c>
      <c r="W2429" s="582">
        <v>0</v>
      </c>
      <c r="X2429" s="580"/>
      <c r="Y2429" s="583">
        <f>IF(GLOBAL_DER_FEV_2023!W2429=0,0,IF(GLOBAL_DER_FEV_2023!W2429&gt;0,"c","b"))</f>
        <v>0</v>
      </c>
    </row>
    <row r="2430" spans="1:25" ht="15" hidden="1" customHeight="1" x14ac:dyDescent="0.2">
      <c r="A2430" s="317" t="s">
        <v>147</v>
      </c>
      <c r="B2430" s="895" t="s">
        <v>147</v>
      </c>
      <c r="C2430" s="896"/>
      <c r="D2430" s="957" t="s">
        <v>366</v>
      </c>
      <c r="E2430" s="907">
        <f>GLOBAL_DER_FEV_2023!E2430</f>
        <v>353</v>
      </c>
      <c r="F2430" s="908">
        <f>GLOBAL_DER_FEV_2023!F2430</f>
        <v>0</v>
      </c>
      <c r="G2430" s="909">
        <f>GLOBAL_DER_FEV_2023!G2430</f>
        <v>0</v>
      </c>
      <c r="H2430" s="901">
        <f>GLOBAL_DER_FEV_2023!H2430</f>
        <v>0</v>
      </c>
      <c r="I2430" s="901" t="str">
        <f>GLOBAL_DER_FEV_2023!I2430</f>
        <v/>
      </c>
      <c r="J2430" s="902">
        <f>GLOBAL_DER_FEV_2023!J2430</f>
        <v>0</v>
      </c>
      <c r="K2430" s="958" t="s">
        <v>507</v>
      </c>
      <c r="L2430" s="959"/>
      <c r="M2430" s="1157">
        <f t="shared" si="182"/>
        <v>0</v>
      </c>
      <c r="N2430" s="1176">
        <f t="shared" si="186"/>
        <v>0</v>
      </c>
      <c r="O2430" s="905"/>
      <c r="P2430" s="58" t="str">
        <f>IF(N2425&gt;0,"xx",IF(N2425&gt;0,"xy",""))</f>
        <v/>
      </c>
      <c r="Q2430" s="317" t="str">
        <f t="shared" si="183"/>
        <v/>
      </c>
      <c r="R2430" s="317" t="str">
        <f t="shared" si="184"/>
        <v/>
      </c>
      <c r="S2430" s="317" t="str">
        <f t="shared" si="185"/>
        <v/>
      </c>
      <c r="T2430" s="317" t="str">
        <f>GLOBAL_DER_FEV_2023!S2430</f>
        <v/>
      </c>
      <c r="W2430" s="582">
        <v>0</v>
      </c>
      <c r="X2430" s="580"/>
      <c r="Y2430" s="583">
        <f>IF(GLOBAL_DER_FEV_2023!W2430=0,0,IF(GLOBAL_DER_FEV_2023!W2430&gt;0,"c","b"))</f>
        <v>0</v>
      </c>
    </row>
    <row r="2431" spans="1:25" ht="15" hidden="1" customHeight="1" x14ac:dyDescent="0.2">
      <c r="A2431" s="317" t="s">
        <v>397</v>
      </c>
      <c r="B2431" s="895" t="s">
        <v>397</v>
      </c>
      <c r="C2431" s="896" t="s">
        <v>184</v>
      </c>
      <c r="D2431" s="906" t="str">
        <f>'ENSAIOS DE ORÇAMENTO'!C76</f>
        <v>ENSAIO DE ORÇAMENTO 5</v>
      </c>
      <c r="E2431" s="907">
        <f>GLOBAL_DER_FEV_2023!E2431</f>
        <v>0</v>
      </c>
      <c r="F2431" s="908">
        <f>GLOBAL_DER_FEV_2023!F2431</f>
        <v>0</v>
      </c>
      <c r="G2431" s="912">
        <f>GLOBAL_DER_FEV_2023!G2431</f>
        <v>0</v>
      </c>
      <c r="H2431" s="901">
        <f>GLOBAL_DER_FEV_2023!H2431</f>
        <v>0</v>
      </c>
      <c r="I2431" s="901">
        <f>GLOBAL_DER_FEV_2023!I2431</f>
        <v>0</v>
      </c>
      <c r="J2431" s="902">
        <f>GLOBAL_DER_FEV_2023!J2431</f>
        <v>0</v>
      </c>
      <c r="K2431" s="903" t="s">
        <v>15</v>
      </c>
      <c r="L2431" s="1137"/>
      <c r="M2431" s="1138">
        <f t="shared" si="182"/>
        <v>0</v>
      </c>
      <c r="N2431" s="1176">
        <f t="shared" si="186"/>
        <v>0</v>
      </c>
      <c r="O2431" s="905"/>
      <c r="Q2431" s="317" t="str">
        <f t="shared" si="183"/>
        <v/>
      </c>
      <c r="R2431" s="317" t="str">
        <f t="shared" si="184"/>
        <v/>
      </c>
      <c r="S2431" s="317" t="str">
        <f t="shared" si="185"/>
        <v/>
      </c>
      <c r="T2431" s="317" t="str">
        <f>GLOBAL_DER_FEV_2023!S2431</f>
        <v/>
      </c>
      <c r="W2431" s="582">
        <v>0</v>
      </c>
      <c r="X2431" s="580"/>
      <c r="Y2431" s="583">
        <f>IF(GLOBAL_DER_FEV_2023!W2431=0,0,IF(GLOBAL_DER_FEV_2023!W2431&gt;0,"c","b"))</f>
        <v>0</v>
      </c>
    </row>
    <row r="2432" spans="1:25" ht="15" hidden="1" customHeight="1" x14ac:dyDescent="0.2">
      <c r="A2432" s="317" t="s">
        <v>147</v>
      </c>
      <c r="B2432" s="895" t="s">
        <v>147</v>
      </c>
      <c r="C2432" s="896"/>
      <c r="D2432" s="957" t="s">
        <v>190</v>
      </c>
      <c r="E2432" s="907">
        <f>GLOBAL_DER_FEV_2023!E2432</f>
        <v>308</v>
      </c>
      <c r="F2432" s="908">
        <f>GLOBAL_DER_FEV_2023!F2432</f>
        <v>0</v>
      </c>
      <c r="G2432" s="909">
        <f>GLOBAL_DER_FEV_2023!G2432</f>
        <v>0</v>
      </c>
      <c r="H2432" s="901">
        <f>GLOBAL_DER_FEV_2023!H2432</f>
        <v>0</v>
      </c>
      <c r="I2432" s="901" t="str">
        <f>GLOBAL_DER_FEV_2023!I2432</f>
        <v/>
      </c>
      <c r="J2432" s="902">
        <f>GLOBAL_DER_FEV_2023!J2432</f>
        <v>0</v>
      </c>
      <c r="K2432" s="958" t="s">
        <v>507</v>
      </c>
      <c r="L2432" s="959"/>
      <c r="M2432" s="1157">
        <f t="shared" si="182"/>
        <v>0</v>
      </c>
      <c r="N2432" s="1176">
        <f t="shared" si="186"/>
        <v>0</v>
      </c>
      <c r="O2432" s="905"/>
      <c r="P2432" s="58" t="str">
        <f>IF(N2431&gt;0,"xx",IF(N2431&gt;0,"xy",""))</f>
        <v/>
      </c>
      <c r="Q2432" s="317" t="str">
        <f t="shared" si="183"/>
        <v/>
      </c>
      <c r="R2432" s="317" t="str">
        <f t="shared" si="184"/>
        <v/>
      </c>
      <c r="S2432" s="317" t="str">
        <f t="shared" si="185"/>
        <v/>
      </c>
      <c r="T2432" s="317" t="str">
        <f>GLOBAL_DER_FEV_2023!S2432</f>
        <v/>
      </c>
      <c r="W2432" s="582">
        <v>0</v>
      </c>
      <c r="X2432" s="580"/>
      <c r="Y2432" s="583">
        <f>IF(GLOBAL_DER_FEV_2023!W2432=0,0,IF(GLOBAL_DER_FEV_2023!W2432&gt;0,"c","b"))</f>
        <v>0</v>
      </c>
    </row>
    <row r="2433" spans="1:25" ht="15" hidden="1" customHeight="1" x14ac:dyDescent="0.2">
      <c r="A2433" s="317" t="s">
        <v>147</v>
      </c>
      <c r="B2433" s="895" t="s">
        <v>147</v>
      </c>
      <c r="C2433" s="896"/>
      <c r="D2433" s="957" t="s">
        <v>229</v>
      </c>
      <c r="E2433" s="907">
        <f>GLOBAL_DER_FEV_2023!E2433</f>
        <v>150</v>
      </c>
      <c r="F2433" s="908">
        <f>GLOBAL_DER_FEV_2023!F2433</f>
        <v>0</v>
      </c>
      <c r="G2433" s="949">
        <f>GLOBAL_DER_FEV_2023!G2433</f>
        <v>0</v>
      </c>
      <c r="H2433" s="901">
        <f>GLOBAL_DER_FEV_2023!H2433</f>
        <v>0</v>
      </c>
      <c r="I2433" s="901" t="str">
        <f>GLOBAL_DER_FEV_2023!I2433</f>
        <v/>
      </c>
      <c r="J2433" s="902">
        <f>GLOBAL_DER_FEV_2023!J2433</f>
        <v>0</v>
      </c>
      <c r="K2433" s="958" t="s">
        <v>507</v>
      </c>
      <c r="L2433" s="959"/>
      <c r="M2433" s="1157">
        <f t="shared" si="182"/>
        <v>0</v>
      </c>
      <c r="N2433" s="1176">
        <f t="shared" si="186"/>
        <v>0</v>
      </c>
      <c r="O2433" s="905"/>
      <c r="P2433" s="58" t="str">
        <f>IF(N2431&gt;0,"xx",IF(N2431&gt;0,"xy",""))</f>
        <v/>
      </c>
      <c r="Q2433" s="317" t="str">
        <f t="shared" si="183"/>
        <v/>
      </c>
      <c r="R2433" s="317" t="str">
        <f t="shared" si="184"/>
        <v/>
      </c>
      <c r="S2433" s="317" t="str">
        <f t="shared" si="185"/>
        <v/>
      </c>
      <c r="T2433" s="317" t="str">
        <f>GLOBAL_DER_FEV_2023!S2433</f>
        <v/>
      </c>
      <c r="W2433" s="582">
        <v>0</v>
      </c>
      <c r="X2433" s="580"/>
      <c r="Y2433" s="583">
        <f>IF(GLOBAL_DER_FEV_2023!W2433=0,0,IF(GLOBAL_DER_FEV_2023!W2433&gt;0,"c","b"))</f>
        <v>0</v>
      </c>
    </row>
    <row r="2434" spans="1:25" ht="15" hidden="1" customHeight="1" x14ac:dyDescent="0.2">
      <c r="A2434" s="317" t="s">
        <v>147</v>
      </c>
      <c r="B2434" s="895" t="s">
        <v>147</v>
      </c>
      <c r="C2434" s="896"/>
      <c r="D2434" s="957" t="s">
        <v>233</v>
      </c>
      <c r="E2434" s="907">
        <f>GLOBAL_DER_FEV_2023!E2434</f>
        <v>0.2</v>
      </c>
      <c r="F2434" s="908">
        <f>GLOBAL_DER_FEV_2023!F2434</f>
        <v>0</v>
      </c>
      <c r="G2434" s="949">
        <f>GLOBAL_DER_FEV_2023!G2434</f>
        <v>0</v>
      </c>
      <c r="H2434" s="901">
        <f>GLOBAL_DER_FEV_2023!H2434</f>
        <v>0</v>
      </c>
      <c r="I2434" s="901" t="str">
        <f>GLOBAL_DER_FEV_2023!I2434</f>
        <v/>
      </c>
      <c r="J2434" s="902">
        <f>GLOBAL_DER_FEV_2023!J2434</f>
        <v>0</v>
      </c>
      <c r="K2434" s="958" t="s">
        <v>507</v>
      </c>
      <c r="L2434" s="959"/>
      <c r="M2434" s="1157">
        <f t="shared" si="182"/>
        <v>0</v>
      </c>
      <c r="N2434" s="1176">
        <f t="shared" si="186"/>
        <v>0</v>
      </c>
      <c r="O2434" s="905"/>
      <c r="P2434" s="58" t="str">
        <f>IF(N2431&gt;0,"xx",IF(N2431&gt;0,"xy",""))</f>
        <v/>
      </c>
      <c r="Q2434" s="317" t="str">
        <f t="shared" si="183"/>
        <v/>
      </c>
      <c r="R2434" s="317" t="str">
        <f t="shared" si="184"/>
        <v/>
      </c>
      <c r="S2434" s="317" t="str">
        <f t="shared" si="185"/>
        <v/>
      </c>
      <c r="T2434" s="317" t="str">
        <f>GLOBAL_DER_FEV_2023!S2434</f>
        <v/>
      </c>
      <c r="W2434" s="582">
        <v>0</v>
      </c>
      <c r="X2434" s="580"/>
      <c r="Y2434" s="583">
        <f>IF(GLOBAL_DER_FEV_2023!W2434=0,0,IF(GLOBAL_DER_FEV_2023!W2434&gt;0,"c","b"))</f>
        <v>0</v>
      </c>
    </row>
    <row r="2435" spans="1:25" ht="15" hidden="1" customHeight="1" x14ac:dyDescent="0.2">
      <c r="A2435" s="317" t="s">
        <v>147</v>
      </c>
      <c r="B2435" s="895" t="s">
        <v>147</v>
      </c>
      <c r="C2435" s="896"/>
      <c r="D2435" s="957" t="s">
        <v>365</v>
      </c>
      <c r="E2435" s="907">
        <f>GLOBAL_DER_FEV_2023!E2435</f>
        <v>10</v>
      </c>
      <c r="F2435" s="908">
        <f>GLOBAL_DER_FEV_2023!F2435</f>
        <v>0</v>
      </c>
      <c r="G2435" s="949">
        <f>GLOBAL_DER_FEV_2023!G2435</f>
        <v>0</v>
      </c>
      <c r="H2435" s="901">
        <f>GLOBAL_DER_FEV_2023!H2435</f>
        <v>0</v>
      </c>
      <c r="I2435" s="901" t="str">
        <f>GLOBAL_DER_FEV_2023!I2435</f>
        <v/>
      </c>
      <c r="J2435" s="902">
        <f>GLOBAL_DER_FEV_2023!J2435</f>
        <v>0</v>
      </c>
      <c r="K2435" s="903" t="s">
        <v>507</v>
      </c>
      <c r="L2435" s="959"/>
      <c r="M2435" s="1157">
        <f t="shared" si="182"/>
        <v>0</v>
      </c>
      <c r="N2435" s="1176">
        <f t="shared" si="186"/>
        <v>0</v>
      </c>
      <c r="O2435" s="905"/>
      <c r="P2435" s="36" t="str">
        <f>IF(N2431&gt;0,"xx",IF(N2431&gt;0,"xy",""))</f>
        <v/>
      </c>
      <c r="Q2435" s="317" t="str">
        <f t="shared" si="183"/>
        <v/>
      </c>
      <c r="R2435" s="317" t="str">
        <f t="shared" si="184"/>
        <v/>
      </c>
      <c r="S2435" s="317" t="str">
        <f t="shared" si="185"/>
        <v/>
      </c>
      <c r="T2435" s="317" t="str">
        <f>GLOBAL_DER_FEV_2023!S2435</f>
        <v/>
      </c>
      <c r="W2435" s="582">
        <v>0</v>
      </c>
      <c r="X2435" s="580"/>
      <c r="Y2435" s="583">
        <f>IF(GLOBAL_DER_FEV_2023!W2435=0,0,IF(GLOBAL_DER_FEV_2023!W2435&gt;0,"c","b"))</f>
        <v>0</v>
      </c>
    </row>
    <row r="2436" spans="1:25" ht="15" hidden="1" customHeight="1" x14ac:dyDescent="0.2">
      <c r="A2436" s="317" t="s">
        <v>147</v>
      </c>
      <c r="B2436" s="895" t="s">
        <v>147</v>
      </c>
      <c r="C2436" s="896"/>
      <c r="D2436" s="957" t="s">
        <v>366</v>
      </c>
      <c r="E2436" s="907">
        <f>GLOBAL_DER_FEV_2023!E2436</f>
        <v>353</v>
      </c>
      <c r="F2436" s="908">
        <f>GLOBAL_DER_FEV_2023!F2436</f>
        <v>0</v>
      </c>
      <c r="G2436" s="909">
        <f>GLOBAL_DER_FEV_2023!G2436</f>
        <v>0</v>
      </c>
      <c r="H2436" s="901">
        <f>GLOBAL_DER_FEV_2023!H2436</f>
        <v>0</v>
      </c>
      <c r="I2436" s="901" t="str">
        <f>GLOBAL_DER_FEV_2023!I2436</f>
        <v/>
      </c>
      <c r="J2436" s="902">
        <f>GLOBAL_DER_FEV_2023!J2436</f>
        <v>0</v>
      </c>
      <c r="K2436" s="958" t="s">
        <v>507</v>
      </c>
      <c r="L2436" s="959"/>
      <c r="M2436" s="1157">
        <f t="shared" si="182"/>
        <v>0</v>
      </c>
      <c r="N2436" s="1176">
        <f t="shared" si="186"/>
        <v>0</v>
      </c>
      <c r="O2436" s="905"/>
      <c r="P2436" s="58" t="str">
        <f>IF(N2431&gt;0,"xx",IF(N2431&gt;0,"xy",""))</f>
        <v/>
      </c>
      <c r="Q2436" s="317" t="str">
        <f t="shared" si="183"/>
        <v/>
      </c>
      <c r="R2436" s="317" t="str">
        <f t="shared" si="184"/>
        <v/>
      </c>
      <c r="S2436" s="317" t="str">
        <f t="shared" si="185"/>
        <v/>
      </c>
      <c r="T2436" s="317" t="str">
        <f>GLOBAL_DER_FEV_2023!S2436</f>
        <v/>
      </c>
      <c r="W2436" s="582">
        <v>0</v>
      </c>
      <c r="X2436" s="580"/>
      <c r="Y2436" s="583">
        <f>IF(GLOBAL_DER_FEV_2023!W2436=0,0,IF(GLOBAL_DER_FEV_2023!W2436&gt;0,"c","b"))</f>
        <v>0</v>
      </c>
    </row>
    <row r="2437" spans="1:25" ht="15" hidden="1" customHeight="1" x14ac:dyDescent="0.2">
      <c r="A2437" s="317" t="s">
        <v>398</v>
      </c>
      <c r="B2437" s="895" t="s">
        <v>398</v>
      </c>
      <c r="C2437" s="896" t="s">
        <v>184</v>
      </c>
      <c r="D2437" s="906" t="str">
        <f>'ENSAIOS DE ORÇAMENTO'!C77</f>
        <v>ENSAIO DE ORÇAMENTO 6</v>
      </c>
      <c r="E2437" s="907">
        <f>GLOBAL_DER_FEV_2023!E2437</f>
        <v>0</v>
      </c>
      <c r="F2437" s="908">
        <f>GLOBAL_DER_FEV_2023!F2437</f>
        <v>0</v>
      </c>
      <c r="G2437" s="912">
        <f>GLOBAL_DER_FEV_2023!G2437</f>
        <v>0</v>
      </c>
      <c r="H2437" s="901">
        <f>GLOBAL_DER_FEV_2023!H2437</f>
        <v>0</v>
      </c>
      <c r="I2437" s="901">
        <f>GLOBAL_DER_FEV_2023!I2437</f>
        <v>0</v>
      </c>
      <c r="J2437" s="902">
        <f>GLOBAL_DER_FEV_2023!J2437</f>
        <v>0</v>
      </c>
      <c r="K2437" s="903" t="s">
        <v>15</v>
      </c>
      <c r="L2437" s="1137"/>
      <c r="M2437" s="1138">
        <f t="shared" si="182"/>
        <v>0</v>
      </c>
      <c r="N2437" s="1176">
        <f t="shared" si="186"/>
        <v>0</v>
      </c>
      <c r="O2437" s="905"/>
      <c r="Q2437" s="317" t="str">
        <f t="shared" si="183"/>
        <v/>
      </c>
      <c r="R2437" s="317" t="str">
        <f t="shared" si="184"/>
        <v/>
      </c>
      <c r="S2437" s="317" t="str">
        <f t="shared" si="185"/>
        <v/>
      </c>
      <c r="T2437" s="317" t="str">
        <f>GLOBAL_DER_FEV_2023!S2437</f>
        <v/>
      </c>
      <c r="W2437" s="582">
        <v>0</v>
      </c>
      <c r="X2437" s="580"/>
      <c r="Y2437" s="583">
        <f>IF(GLOBAL_DER_FEV_2023!W2437=0,0,IF(GLOBAL_DER_FEV_2023!W2437&gt;0,"c","b"))</f>
        <v>0</v>
      </c>
    </row>
    <row r="2438" spans="1:25" ht="15" hidden="1" customHeight="1" x14ac:dyDescent="0.2">
      <c r="A2438" s="317" t="s">
        <v>147</v>
      </c>
      <c r="B2438" s="895" t="s">
        <v>147</v>
      </c>
      <c r="C2438" s="896"/>
      <c r="D2438" s="957" t="s">
        <v>190</v>
      </c>
      <c r="E2438" s="907">
        <f>GLOBAL_DER_FEV_2023!E2438</f>
        <v>308</v>
      </c>
      <c r="F2438" s="908">
        <f>GLOBAL_DER_FEV_2023!F2438</f>
        <v>0</v>
      </c>
      <c r="G2438" s="909">
        <f>GLOBAL_DER_FEV_2023!G2438</f>
        <v>0</v>
      </c>
      <c r="H2438" s="901">
        <f>GLOBAL_DER_FEV_2023!H2438</f>
        <v>0</v>
      </c>
      <c r="I2438" s="901" t="str">
        <f>GLOBAL_DER_FEV_2023!I2438</f>
        <v/>
      </c>
      <c r="J2438" s="902">
        <f>GLOBAL_DER_FEV_2023!J2438</f>
        <v>0</v>
      </c>
      <c r="K2438" s="958" t="s">
        <v>507</v>
      </c>
      <c r="L2438" s="959"/>
      <c r="M2438" s="1157">
        <f t="shared" si="182"/>
        <v>0</v>
      </c>
      <c r="N2438" s="1176">
        <f t="shared" si="186"/>
        <v>0</v>
      </c>
      <c r="O2438" s="905"/>
      <c r="P2438" s="58" t="str">
        <f>IF(N2437&gt;0,"xx",IF(N2437&gt;0,"xy",""))</f>
        <v/>
      </c>
      <c r="Q2438" s="317" t="str">
        <f t="shared" si="183"/>
        <v/>
      </c>
      <c r="R2438" s="317" t="str">
        <f t="shared" si="184"/>
        <v/>
      </c>
      <c r="S2438" s="317" t="str">
        <f t="shared" si="185"/>
        <v/>
      </c>
      <c r="T2438" s="317" t="str">
        <f>GLOBAL_DER_FEV_2023!S2438</f>
        <v/>
      </c>
      <c r="W2438" s="582">
        <v>0</v>
      </c>
      <c r="X2438" s="580"/>
      <c r="Y2438" s="583">
        <f>IF(GLOBAL_DER_FEV_2023!W2438=0,0,IF(GLOBAL_DER_FEV_2023!W2438&gt;0,"c","b"))</f>
        <v>0</v>
      </c>
    </row>
    <row r="2439" spans="1:25" ht="15" hidden="1" customHeight="1" x14ac:dyDescent="0.2">
      <c r="A2439" s="317" t="s">
        <v>147</v>
      </c>
      <c r="B2439" s="895" t="s">
        <v>147</v>
      </c>
      <c r="C2439" s="896"/>
      <c r="D2439" s="957" t="s">
        <v>229</v>
      </c>
      <c r="E2439" s="907">
        <f>GLOBAL_DER_FEV_2023!E2439</f>
        <v>150</v>
      </c>
      <c r="F2439" s="908">
        <f>GLOBAL_DER_FEV_2023!F2439</f>
        <v>0</v>
      </c>
      <c r="G2439" s="949">
        <f>GLOBAL_DER_FEV_2023!G2439</f>
        <v>0</v>
      </c>
      <c r="H2439" s="901">
        <f>GLOBAL_DER_FEV_2023!H2439</f>
        <v>0</v>
      </c>
      <c r="I2439" s="901" t="str">
        <f>GLOBAL_DER_FEV_2023!I2439</f>
        <v/>
      </c>
      <c r="J2439" s="902">
        <f>GLOBAL_DER_FEV_2023!J2439</f>
        <v>0</v>
      </c>
      <c r="K2439" s="958" t="s">
        <v>507</v>
      </c>
      <c r="L2439" s="959"/>
      <c r="M2439" s="1157">
        <f t="shared" si="182"/>
        <v>0</v>
      </c>
      <c r="N2439" s="1176">
        <f t="shared" si="186"/>
        <v>0</v>
      </c>
      <c r="O2439" s="905"/>
      <c r="P2439" s="58" t="str">
        <f>IF(N2437&gt;0,"xx",IF(N2437&gt;0,"xy",""))</f>
        <v/>
      </c>
      <c r="Q2439" s="317" t="str">
        <f t="shared" si="183"/>
        <v/>
      </c>
      <c r="R2439" s="317" t="str">
        <f t="shared" si="184"/>
        <v/>
      </c>
      <c r="S2439" s="317" t="str">
        <f t="shared" si="185"/>
        <v/>
      </c>
      <c r="T2439" s="317" t="str">
        <f>GLOBAL_DER_FEV_2023!S2439</f>
        <v/>
      </c>
      <c r="W2439" s="582">
        <v>0</v>
      </c>
      <c r="X2439" s="580"/>
      <c r="Y2439" s="583">
        <f>IF(GLOBAL_DER_FEV_2023!W2439=0,0,IF(GLOBAL_DER_FEV_2023!W2439&gt;0,"c","b"))</f>
        <v>0</v>
      </c>
    </row>
    <row r="2440" spans="1:25" ht="15" hidden="1" customHeight="1" x14ac:dyDescent="0.2">
      <c r="A2440" s="317" t="s">
        <v>147</v>
      </c>
      <c r="B2440" s="895" t="s">
        <v>147</v>
      </c>
      <c r="C2440" s="896"/>
      <c r="D2440" s="957" t="s">
        <v>233</v>
      </c>
      <c r="E2440" s="907">
        <f>GLOBAL_DER_FEV_2023!E2440</f>
        <v>0.2</v>
      </c>
      <c r="F2440" s="908">
        <f>GLOBAL_DER_FEV_2023!F2440</f>
        <v>0</v>
      </c>
      <c r="G2440" s="949">
        <f>GLOBAL_DER_FEV_2023!G2440</f>
        <v>0</v>
      </c>
      <c r="H2440" s="901">
        <f>GLOBAL_DER_FEV_2023!H2440</f>
        <v>0</v>
      </c>
      <c r="I2440" s="901" t="str">
        <f>GLOBAL_DER_FEV_2023!I2440</f>
        <v/>
      </c>
      <c r="J2440" s="902">
        <f>GLOBAL_DER_FEV_2023!J2440</f>
        <v>0</v>
      </c>
      <c r="K2440" s="958" t="s">
        <v>507</v>
      </c>
      <c r="L2440" s="959"/>
      <c r="M2440" s="1157">
        <f t="shared" si="182"/>
        <v>0</v>
      </c>
      <c r="N2440" s="1176">
        <f t="shared" si="186"/>
        <v>0</v>
      </c>
      <c r="O2440" s="905"/>
      <c r="P2440" s="58" t="str">
        <f>IF(N2437&gt;0,"xx",IF(N2437&gt;0,"xy",""))</f>
        <v/>
      </c>
      <c r="Q2440" s="317" t="str">
        <f t="shared" si="183"/>
        <v/>
      </c>
      <c r="R2440" s="317" t="str">
        <f t="shared" si="184"/>
        <v/>
      </c>
      <c r="S2440" s="317" t="str">
        <f t="shared" si="185"/>
        <v/>
      </c>
      <c r="T2440" s="317" t="str">
        <f>GLOBAL_DER_FEV_2023!S2440</f>
        <v/>
      </c>
      <c r="W2440" s="582">
        <v>0</v>
      </c>
      <c r="X2440" s="580"/>
      <c r="Y2440" s="583">
        <f>IF(GLOBAL_DER_FEV_2023!W2440=0,0,IF(GLOBAL_DER_FEV_2023!W2440&gt;0,"c","b"))</f>
        <v>0</v>
      </c>
    </row>
    <row r="2441" spans="1:25" ht="15" hidden="1" customHeight="1" x14ac:dyDescent="0.2">
      <c r="A2441" s="317" t="s">
        <v>147</v>
      </c>
      <c r="B2441" s="895" t="s">
        <v>147</v>
      </c>
      <c r="C2441" s="896"/>
      <c r="D2441" s="957" t="s">
        <v>365</v>
      </c>
      <c r="E2441" s="907">
        <f>GLOBAL_DER_FEV_2023!E2441</f>
        <v>10</v>
      </c>
      <c r="F2441" s="908">
        <f>GLOBAL_DER_FEV_2023!F2441</f>
        <v>0</v>
      </c>
      <c r="G2441" s="949">
        <f>GLOBAL_DER_FEV_2023!G2441</f>
        <v>0</v>
      </c>
      <c r="H2441" s="901">
        <f>GLOBAL_DER_FEV_2023!H2441</f>
        <v>0</v>
      </c>
      <c r="I2441" s="901" t="str">
        <f>GLOBAL_DER_FEV_2023!I2441</f>
        <v/>
      </c>
      <c r="J2441" s="902">
        <f>GLOBAL_DER_FEV_2023!J2441</f>
        <v>0</v>
      </c>
      <c r="K2441" s="958" t="s">
        <v>507</v>
      </c>
      <c r="L2441" s="959"/>
      <c r="M2441" s="1157">
        <f t="shared" si="182"/>
        <v>0</v>
      </c>
      <c r="N2441" s="1176">
        <f t="shared" si="186"/>
        <v>0</v>
      </c>
      <c r="O2441" s="905"/>
      <c r="P2441" s="58" t="str">
        <f>IF(N2437&gt;0,"xx",IF(N2437&gt;0,"xy",""))</f>
        <v/>
      </c>
      <c r="Q2441" s="317" t="str">
        <f t="shared" si="183"/>
        <v/>
      </c>
      <c r="R2441" s="317" t="str">
        <f t="shared" si="184"/>
        <v/>
      </c>
      <c r="S2441" s="317" t="str">
        <f t="shared" si="185"/>
        <v/>
      </c>
      <c r="T2441" s="317" t="str">
        <f>GLOBAL_DER_FEV_2023!S2441</f>
        <v/>
      </c>
      <c r="W2441" s="582">
        <v>0</v>
      </c>
      <c r="X2441" s="580"/>
      <c r="Y2441" s="583">
        <f>IF(GLOBAL_DER_FEV_2023!W2441=0,0,IF(GLOBAL_DER_FEV_2023!W2441&gt;0,"c","b"))</f>
        <v>0</v>
      </c>
    </row>
    <row r="2442" spans="1:25" ht="15" hidden="1" customHeight="1" x14ac:dyDescent="0.2">
      <c r="A2442" s="317" t="s">
        <v>147</v>
      </c>
      <c r="B2442" s="895" t="s">
        <v>147</v>
      </c>
      <c r="C2442" s="896"/>
      <c r="D2442" s="957" t="s">
        <v>366</v>
      </c>
      <c r="E2442" s="907">
        <f>GLOBAL_DER_FEV_2023!E2442</f>
        <v>353</v>
      </c>
      <c r="F2442" s="908">
        <f>GLOBAL_DER_FEV_2023!F2442</f>
        <v>0</v>
      </c>
      <c r="G2442" s="909">
        <f>GLOBAL_DER_FEV_2023!G2442</f>
        <v>0</v>
      </c>
      <c r="H2442" s="901">
        <f>GLOBAL_DER_FEV_2023!H2442</f>
        <v>0</v>
      </c>
      <c r="I2442" s="901" t="str">
        <f>GLOBAL_DER_FEV_2023!I2442</f>
        <v/>
      </c>
      <c r="J2442" s="902">
        <f>GLOBAL_DER_FEV_2023!J2442</f>
        <v>0</v>
      </c>
      <c r="K2442" s="958" t="s">
        <v>507</v>
      </c>
      <c r="L2442" s="959"/>
      <c r="M2442" s="1157">
        <f t="shared" si="182"/>
        <v>0</v>
      </c>
      <c r="N2442" s="1176">
        <f t="shared" si="186"/>
        <v>0</v>
      </c>
      <c r="O2442" s="905"/>
      <c r="P2442" s="58" t="str">
        <f>IF(N2437&gt;0,"xx",IF(N2437&gt;0,"xy",""))</f>
        <v/>
      </c>
      <c r="Q2442" s="317" t="str">
        <f t="shared" si="183"/>
        <v/>
      </c>
      <c r="R2442" s="317" t="str">
        <f t="shared" si="184"/>
        <v/>
      </c>
      <c r="S2442" s="317" t="str">
        <f t="shared" si="185"/>
        <v/>
      </c>
      <c r="T2442" s="317" t="str">
        <f>GLOBAL_DER_FEV_2023!S2442</f>
        <v/>
      </c>
      <c r="W2442" s="582">
        <v>0</v>
      </c>
      <c r="X2442" s="580"/>
      <c r="Y2442" s="583">
        <f>IF(GLOBAL_DER_FEV_2023!W2442=0,0,IF(GLOBAL_DER_FEV_2023!W2442&gt;0,"c","b"))</f>
        <v>0</v>
      </c>
    </row>
    <row r="2443" spans="1:25" ht="15" hidden="1" customHeight="1" x14ac:dyDescent="0.2">
      <c r="A2443" s="317" t="s">
        <v>399</v>
      </c>
      <c r="B2443" s="895" t="s">
        <v>399</v>
      </c>
      <c r="C2443" s="896" t="s">
        <v>184</v>
      </c>
      <c r="D2443" s="906" t="str">
        <f>'ENSAIOS DE ORÇAMENTO'!C78</f>
        <v>ENSAIO DE ORÇAMENTO 7</v>
      </c>
      <c r="E2443" s="907">
        <f>GLOBAL_DER_FEV_2023!E2443</f>
        <v>0</v>
      </c>
      <c r="F2443" s="908">
        <f>GLOBAL_DER_FEV_2023!F2443</f>
        <v>0</v>
      </c>
      <c r="G2443" s="912">
        <f>GLOBAL_DER_FEV_2023!G2443</f>
        <v>0</v>
      </c>
      <c r="H2443" s="901">
        <f>GLOBAL_DER_FEV_2023!H2443</f>
        <v>0</v>
      </c>
      <c r="I2443" s="901">
        <f>GLOBAL_DER_FEV_2023!I2443</f>
        <v>0</v>
      </c>
      <c r="J2443" s="902">
        <f>GLOBAL_DER_FEV_2023!J2443</f>
        <v>0</v>
      </c>
      <c r="K2443" s="903" t="s">
        <v>15</v>
      </c>
      <c r="L2443" s="1137"/>
      <c r="M2443" s="1138">
        <f t="shared" si="182"/>
        <v>0</v>
      </c>
      <c r="N2443" s="1176">
        <f t="shared" si="186"/>
        <v>0</v>
      </c>
      <c r="O2443" s="905"/>
      <c r="Q2443" s="317" t="str">
        <f t="shared" si="183"/>
        <v/>
      </c>
      <c r="R2443" s="317" t="str">
        <f t="shared" si="184"/>
        <v/>
      </c>
      <c r="S2443" s="317" t="str">
        <f t="shared" si="185"/>
        <v/>
      </c>
      <c r="T2443" s="317" t="str">
        <f>GLOBAL_DER_FEV_2023!S2443</f>
        <v/>
      </c>
      <c r="W2443" s="582">
        <v>0</v>
      </c>
      <c r="X2443" s="580"/>
      <c r="Y2443" s="583">
        <f>IF(GLOBAL_DER_FEV_2023!W2443=0,0,IF(GLOBAL_DER_FEV_2023!W2443&gt;0,"c","b"))</f>
        <v>0</v>
      </c>
    </row>
    <row r="2444" spans="1:25" ht="15" hidden="1" customHeight="1" x14ac:dyDescent="0.2">
      <c r="A2444" s="317" t="s">
        <v>147</v>
      </c>
      <c r="B2444" s="895" t="s">
        <v>147</v>
      </c>
      <c r="C2444" s="896"/>
      <c r="D2444" s="957" t="s">
        <v>190</v>
      </c>
      <c r="E2444" s="907">
        <f>GLOBAL_DER_FEV_2023!E2444</f>
        <v>308</v>
      </c>
      <c r="F2444" s="908">
        <f>GLOBAL_DER_FEV_2023!F2444</f>
        <v>0</v>
      </c>
      <c r="G2444" s="909">
        <f>GLOBAL_DER_FEV_2023!G2444</f>
        <v>0</v>
      </c>
      <c r="H2444" s="901">
        <f>GLOBAL_DER_FEV_2023!H2444</f>
        <v>0</v>
      </c>
      <c r="I2444" s="901" t="str">
        <f>GLOBAL_DER_FEV_2023!I2444</f>
        <v/>
      </c>
      <c r="J2444" s="902">
        <f>GLOBAL_DER_FEV_2023!J2444</f>
        <v>0</v>
      </c>
      <c r="K2444" s="958" t="s">
        <v>507</v>
      </c>
      <c r="L2444" s="959"/>
      <c r="M2444" s="1157">
        <f t="shared" si="182"/>
        <v>0</v>
      </c>
      <c r="N2444" s="1176">
        <f t="shared" si="186"/>
        <v>0</v>
      </c>
      <c r="O2444" s="905"/>
      <c r="P2444" s="58" t="str">
        <f>IF(N2443&gt;0,"xx",IF(N2443&gt;0,"xy",""))</f>
        <v/>
      </c>
      <c r="Q2444" s="317" t="str">
        <f t="shared" si="183"/>
        <v/>
      </c>
      <c r="R2444" s="317" t="str">
        <f t="shared" si="184"/>
        <v/>
      </c>
      <c r="S2444" s="317" t="str">
        <f t="shared" si="185"/>
        <v/>
      </c>
      <c r="T2444" s="317" t="str">
        <f>GLOBAL_DER_FEV_2023!S2444</f>
        <v/>
      </c>
      <c r="W2444" s="582">
        <v>0</v>
      </c>
      <c r="X2444" s="580"/>
      <c r="Y2444" s="583">
        <f>IF(GLOBAL_DER_FEV_2023!W2444=0,0,IF(GLOBAL_DER_FEV_2023!W2444&gt;0,"c","b"))</f>
        <v>0</v>
      </c>
    </row>
    <row r="2445" spans="1:25" ht="15" hidden="1" customHeight="1" x14ac:dyDescent="0.2">
      <c r="A2445" s="317" t="s">
        <v>147</v>
      </c>
      <c r="B2445" s="895" t="s">
        <v>147</v>
      </c>
      <c r="C2445" s="896"/>
      <c r="D2445" s="957" t="s">
        <v>229</v>
      </c>
      <c r="E2445" s="907">
        <f>GLOBAL_DER_FEV_2023!E2445</f>
        <v>150</v>
      </c>
      <c r="F2445" s="908">
        <f>GLOBAL_DER_FEV_2023!F2445</f>
        <v>0</v>
      </c>
      <c r="G2445" s="949">
        <f>GLOBAL_DER_FEV_2023!G2445</f>
        <v>0</v>
      </c>
      <c r="H2445" s="901">
        <f>GLOBAL_DER_FEV_2023!H2445</f>
        <v>0</v>
      </c>
      <c r="I2445" s="901" t="str">
        <f>GLOBAL_DER_FEV_2023!I2445</f>
        <v/>
      </c>
      <c r="J2445" s="902">
        <f>GLOBAL_DER_FEV_2023!J2445</f>
        <v>0</v>
      </c>
      <c r="K2445" s="958" t="s">
        <v>507</v>
      </c>
      <c r="L2445" s="959"/>
      <c r="M2445" s="1157">
        <f t="shared" si="182"/>
        <v>0</v>
      </c>
      <c r="N2445" s="1176">
        <f t="shared" si="186"/>
        <v>0</v>
      </c>
      <c r="O2445" s="905"/>
      <c r="P2445" s="58" t="str">
        <f>IF(N2443&gt;0,"xx",IF(N2443&gt;0,"xy",""))</f>
        <v/>
      </c>
      <c r="Q2445" s="317" t="str">
        <f t="shared" si="183"/>
        <v/>
      </c>
      <c r="R2445" s="317" t="str">
        <f t="shared" si="184"/>
        <v/>
      </c>
      <c r="S2445" s="317" t="str">
        <f t="shared" si="185"/>
        <v/>
      </c>
      <c r="T2445" s="317" t="str">
        <f>GLOBAL_DER_FEV_2023!S2445</f>
        <v/>
      </c>
      <c r="W2445" s="582">
        <v>0</v>
      </c>
      <c r="X2445" s="580"/>
      <c r="Y2445" s="583">
        <f>IF(GLOBAL_DER_FEV_2023!W2445=0,0,IF(GLOBAL_DER_FEV_2023!W2445&gt;0,"c","b"))</f>
        <v>0</v>
      </c>
    </row>
    <row r="2446" spans="1:25" ht="15" hidden="1" customHeight="1" x14ac:dyDescent="0.2">
      <c r="A2446" s="317" t="s">
        <v>147</v>
      </c>
      <c r="B2446" s="895" t="s">
        <v>147</v>
      </c>
      <c r="C2446" s="896"/>
      <c r="D2446" s="957" t="s">
        <v>233</v>
      </c>
      <c r="E2446" s="907">
        <f>GLOBAL_DER_FEV_2023!E2446</f>
        <v>0.2</v>
      </c>
      <c r="F2446" s="908">
        <f>GLOBAL_DER_FEV_2023!F2446</f>
        <v>0</v>
      </c>
      <c r="G2446" s="949">
        <f>GLOBAL_DER_FEV_2023!G2446</f>
        <v>0</v>
      </c>
      <c r="H2446" s="901">
        <f>GLOBAL_DER_FEV_2023!H2446</f>
        <v>0</v>
      </c>
      <c r="I2446" s="901" t="str">
        <f>GLOBAL_DER_FEV_2023!I2446</f>
        <v/>
      </c>
      <c r="J2446" s="902">
        <f>GLOBAL_DER_FEV_2023!J2446</f>
        <v>0</v>
      </c>
      <c r="K2446" s="958" t="s">
        <v>507</v>
      </c>
      <c r="L2446" s="959"/>
      <c r="M2446" s="1157">
        <f t="shared" si="182"/>
        <v>0</v>
      </c>
      <c r="N2446" s="1176">
        <f t="shared" si="186"/>
        <v>0</v>
      </c>
      <c r="O2446" s="905"/>
      <c r="P2446" s="58" t="str">
        <f>IF(N2443&gt;0,"xx",IF(N2443&gt;0,"xy",""))</f>
        <v/>
      </c>
      <c r="Q2446" s="317" t="str">
        <f t="shared" si="183"/>
        <v/>
      </c>
      <c r="R2446" s="317" t="str">
        <f t="shared" si="184"/>
        <v/>
      </c>
      <c r="S2446" s="317" t="str">
        <f t="shared" si="185"/>
        <v/>
      </c>
      <c r="T2446" s="317" t="str">
        <f>GLOBAL_DER_FEV_2023!S2446</f>
        <v/>
      </c>
      <c r="W2446" s="582">
        <v>0</v>
      </c>
      <c r="X2446" s="580"/>
      <c r="Y2446" s="583">
        <f>IF(GLOBAL_DER_FEV_2023!W2446=0,0,IF(GLOBAL_DER_FEV_2023!W2446&gt;0,"c","b"))</f>
        <v>0</v>
      </c>
    </row>
    <row r="2447" spans="1:25" ht="15" hidden="1" customHeight="1" x14ac:dyDescent="0.2">
      <c r="A2447" s="317" t="s">
        <v>147</v>
      </c>
      <c r="B2447" s="895" t="s">
        <v>147</v>
      </c>
      <c r="C2447" s="896"/>
      <c r="D2447" s="957" t="s">
        <v>365</v>
      </c>
      <c r="E2447" s="907">
        <f>GLOBAL_DER_FEV_2023!E2447</f>
        <v>10</v>
      </c>
      <c r="F2447" s="908">
        <f>GLOBAL_DER_FEV_2023!F2447</f>
        <v>0</v>
      </c>
      <c r="G2447" s="949">
        <f>GLOBAL_DER_FEV_2023!G2447</f>
        <v>0</v>
      </c>
      <c r="H2447" s="901">
        <f>GLOBAL_DER_FEV_2023!H2447</f>
        <v>0</v>
      </c>
      <c r="I2447" s="901" t="str">
        <f>GLOBAL_DER_FEV_2023!I2447</f>
        <v/>
      </c>
      <c r="J2447" s="902">
        <f>GLOBAL_DER_FEV_2023!J2447</f>
        <v>0</v>
      </c>
      <c r="K2447" s="958" t="s">
        <v>507</v>
      </c>
      <c r="L2447" s="959"/>
      <c r="M2447" s="1157">
        <f t="shared" si="182"/>
        <v>0</v>
      </c>
      <c r="N2447" s="1176">
        <f t="shared" si="186"/>
        <v>0</v>
      </c>
      <c r="O2447" s="905"/>
      <c r="P2447" s="58" t="str">
        <f>IF(N2443&gt;0,"xx",IF(N2443&gt;0,"xy",""))</f>
        <v/>
      </c>
      <c r="Q2447" s="317" t="str">
        <f t="shared" si="183"/>
        <v/>
      </c>
      <c r="R2447" s="317" t="str">
        <f t="shared" si="184"/>
        <v/>
      </c>
      <c r="S2447" s="317" t="str">
        <f t="shared" si="185"/>
        <v/>
      </c>
      <c r="T2447" s="317" t="str">
        <f>GLOBAL_DER_FEV_2023!S2447</f>
        <v/>
      </c>
      <c r="W2447" s="582">
        <v>0</v>
      </c>
      <c r="X2447" s="580"/>
      <c r="Y2447" s="583">
        <f>IF(GLOBAL_DER_FEV_2023!W2447=0,0,IF(GLOBAL_DER_FEV_2023!W2447&gt;0,"c","b"))</f>
        <v>0</v>
      </c>
    </row>
    <row r="2448" spans="1:25" ht="15" hidden="1" customHeight="1" x14ac:dyDescent="0.2">
      <c r="A2448" s="317" t="s">
        <v>147</v>
      </c>
      <c r="B2448" s="895" t="s">
        <v>147</v>
      </c>
      <c r="C2448" s="896"/>
      <c r="D2448" s="957" t="s">
        <v>366</v>
      </c>
      <c r="E2448" s="907">
        <f>GLOBAL_DER_FEV_2023!E2448</f>
        <v>353</v>
      </c>
      <c r="F2448" s="908">
        <f>GLOBAL_DER_FEV_2023!F2448</f>
        <v>0</v>
      </c>
      <c r="G2448" s="909">
        <f>GLOBAL_DER_FEV_2023!G2448</f>
        <v>0</v>
      </c>
      <c r="H2448" s="901">
        <f>GLOBAL_DER_FEV_2023!H2448</f>
        <v>0</v>
      </c>
      <c r="I2448" s="901" t="str">
        <f>GLOBAL_DER_FEV_2023!I2448</f>
        <v/>
      </c>
      <c r="J2448" s="902">
        <f>GLOBAL_DER_FEV_2023!J2448</f>
        <v>0</v>
      </c>
      <c r="K2448" s="958" t="s">
        <v>507</v>
      </c>
      <c r="L2448" s="959"/>
      <c r="M2448" s="1157">
        <f t="shared" si="182"/>
        <v>0</v>
      </c>
      <c r="N2448" s="1176">
        <f t="shared" si="186"/>
        <v>0</v>
      </c>
      <c r="O2448" s="905"/>
      <c r="P2448" s="58" t="str">
        <f>IF(N2443&gt;0,"xx",IF(N2443&gt;0,"xy",""))</f>
        <v/>
      </c>
      <c r="Q2448" s="317" t="str">
        <f t="shared" si="183"/>
        <v/>
      </c>
      <c r="R2448" s="317" t="str">
        <f t="shared" si="184"/>
        <v/>
      </c>
      <c r="S2448" s="317" t="str">
        <f t="shared" si="185"/>
        <v/>
      </c>
      <c r="T2448" s="317" t="str">
        <f>GLOBAL_DER_FEV_2023!S2448</f>
        <v/>
      </c>
      <c r="W2448" s="582">
        <v>0</v>
      </c>
      <c r="X2448" s="580"/>
      <c r="Y2448" s="583">
        <f>IF(GLOBAL_DER_FEV_2023!W2448=0,0,IF(GLOBAL_DER_FEV_2023!W2448&gt;0,"c","b"))</f>
        <v>0</v>
      </c>
    </row>
    <row r="2449" spans="1:25" ht="15" hidden="1" customHeight="1" x14ac:dyDescent="0.2">
      <c r="A2449" s="317" t="s">
        <v>400</v>
      </c>
      <c r="B2449" s="895" t="s">
        <v>400</v>
      </c>
      <c r="C2449" s="896" t="s">
        <v>184</v>
      </c>
      <c r="D2449" s="906" t="str">
        <f>'ENSAIOS DE ORÇAMENTO'!C79</f>
        <v>ENSAIO DE ORÇAMENTO 8</v>
      </c>
      <c r="E2449" s="907">
        <f>GLOBAL_DER_FEV_2023!E2449</f>
        <v>0</v>
      </c>
      <c r="F2449" s="908">
        <f>GLOBAL_DER_FEV_2023!F2449</f>
        <v>0</v>
      </c>
      <c r="G2449" s="912">
        <f>GLOBAL_DER_FEV_2023!G2449</f>
        <v>0</v>
      </c>
      <c r="H2449" s="901">
        <f>GLOBAL_DER_FEV_2023!H2449</f>
        <v>0</v>
      </c>
      <c r="I2449" s="901">
        <f>GLOBAL_DER_FEV_2023!I2449</f>
        <v>0</v>
      </c>
      <c r="J2449" s="902">
        <f>GLOBAL_DER_FEV_2023!J2449</f>
        <v>0</v>
      </c>
      <c r="K2449" s="903" t="s">
        <v>15</v>
      </c>
      <c r="L2449" s="1137"/>
      <c r="M2449" s="1138">
        <f t="shared" si="182"/>
        <v>0</v>
      </c>
      <c r="N2449" s="1176">
        <f t="shared" si="186"/>
        <v>0</v>
      </c>
      <c r="O2449" s="905"/>
      <c r="Q2449" s="317" t="str">
        <f t="shared" si="183"/>
        <v/>
      </c>
      <c r="R2449" s="317" t="str">
        <f t="shared" si="184"/>
        <v/>
      </c>
      <c r="S2449" s="317" t="str">
        <f t="shared" si="185"/>
        <v/>
      </c>
      <c r="T2449" s="317" t="str">
        <f>GLOBAL_DER_FEV_2023!S2449</f>
        <v/>
      </c>
      <c r="W2449" s="582">
        <v>0</v>
      </c>
      <c r="X2449" s="580"/>
      <c r="Y2449" s="583">
        <f>IF(GLOBAL_DER_FEV_2023!W2449=0,0,IF(GLOBAL_DER_FEV_2023!W2449&gt;0,"c","b"))</f>
        <v>0</v>
      </c>
    </row>
    <row r="2450" spans="1:25" ht="15" hidden="1" customHeight="1" x14ac:dyDescent="0.2">
      <c r="A2450" s="317" t="s">
        <v>147</v>
      </c>
      <c r="B2450" s="895" t="s">
        <v>147</v>
      </c>
      <c r="C2450" s="896"/>
      <c r="D2450" s="957" t="s">
        <v>190</v>
      </c>
      <c r="E2450" s="907">
        <f>GLOBAL_DER_FEV_2023!E2450</f>
        <v>308</v>
      </c>
      <c r="F2450" s="908">
        <f>GLOBAL_DER_FEV_2023!F2450</f>
        <v>0</v>
      </c>
      <c r="G2450" s="909">
        <f>GLOBAL_DER_FEV_2023!G2450</f>
        <v>0</v>
      </c>
      <c r="H2450" s="901">
        <f>GLOBAL_DER_FEV_2023!H2450</f>
        <v>0</v>
      </c>
      <c r="I2450" s="901" t="str">
        <f>GLOBAL_DER_FEV_2023!I2450</f>
        <v/>
      </c>
      <c r="J2450" s="902">
        <f>GLOBAL_DER_FEV_2023!J2450</f>
        <v>0</v>
      </c>
      <c r="K2450" s="958" t="s">
        <v>507</v>
      </c>
      <c r="L2450" s="959"/>
      <c r="M2450" s="1157">
        <f t="shared" ref="M2450:M2513" si="187">IF(L2450=0,0,ROUND(J2450,2))</f>
        <v>0</v>
      </c>
      <c r="N2450" s="1176">
        <f t="shared" si="186"/>
        <v>0</v>
      </c>
      <c r="O2450" s="905"/>
      <c r="P2450" s="58" t="str">
        <f>IF(N2449&gt;0,"xx",IF(N2449&gt;0,"xy",""))</f>
        <v/>
      </c>
      <c r="Q2450" s="317" t="str">
        <f t="shared" si="183"/>
        <v/>
      </c>
      <c r="R2450" s="317" t="str">
        <f t="shared" si="184"/>
        <v/>
      </c>
      <c r="S2450" s="317" t="str">
        <f t="shared" si="185"/>
        <v/>
      </c>
      <c r="T2450" s="317" t="str">
        <f>GLOBAL_DER_FEV_2023!S2450</f>
        <v/>
      </c>
      <c r="W2450" s="582">
        <v>0</v>
      </c>
      <c r="X2450" s="580"/>
      <c r="Y2450" s="583">
        <f>IF(GLOBAL_DER_FEV_2023!W2450=0,0,IF(GLOBAL_DER_FEV_2023!W2450&gt;0,"c","b"))</f>
        <v>0</v>
      </c>
    </row>
    <row r="2451" spans="1:25" ht="15" hidden="1" customHeight="1" x14ac:dyDescent="0.2">
      <c r="A2451" s="317" t="s">
        <v>147</v>
      </c>
      <c r="B2451" s="895" t="s">
        <v>147</v>
      </c>
      <c r="C2451" s="896"/>
      <c r="D2451" s="957" t="s">
        <v>229</v>
      </c>
      <c r="E2451" s="907">
        <f>GLOBAL_DER_FEV_2023!E2451</f>
        <v>150</v>
      </c>
      <c r="F2451" s="908">
        <f>GLOBAL_DER_FEV_2023!F2451</f>
        <v>0</v>
      </c>
      <c r="G2451" s="949">
        <f>GLOBAL_DER_FEV_2023!G2451</f>
        <v>0</v>
      </c>
      <c r="H2451" s="901">
        <f>GLOBAL_DER_FEV_2023!H2451</f>
        <v>0</v>
      </c>
      <c r="I2451" s="901" t="str">
        <f>GLOBAL_DER_FEV_2023!I2451</f>
        <v/>
      </c>
      <c r="J2451" s="902">
        <f>GLOBAL_DER_FEV_2023!J2451</f>
        <v>0</v>
      </c>
      <c r="K2451" s="958" t="s">
        <v>507</v>
      </c>
      <c r="L2451" s="959"/>
      <c r="M2451" s="1157">
        <f t="shared" si="187"/>
        <v>0</v>
      </c>
      <c r="N2451" s="1176">
        <f t="shared" si="186"/>
        <v>0</v>
      </c>
      <c r="O2451" s="905"/>
      <c r="P2451" s="58" t="str">
        <f>IF(N2449&gt;0,"xx",IF(N2449&gt;0,"xy",""))</f>
        <v/>
      </c>
      <c r="Q2451" s="317" t="str">
        <f t="shared" si="183"/>
        <v/>
      </c>
      <c r="R2451" s="317" t="str">
        <f t="shared" si="184"/>
        <v/>
      </c>
      <c r="S2451" s="317" t="str">
        <f t="shared" si="185"/>
        <v/>
      </c>
      <c r="T2451" s="317" t="str">
        <f>GLOBAL_DER_FEV_2023!S2451</f>
        <v/>
      </c>
      <c r="W2451" s="582">
        <v>0</v>
      </c>
      <c r="X2451" s="580"/>
      <c r="Y2451" s="583">
        <f>IF(GLOBAL_DER_FEV_2023!W2451=0,0,IF(GLOBAL_DER_FEV_2023!W2451&gt;0,"c","b"))</f>
        <v>0</v>
      </c>
    </row>
    <row r="2452" spans="1:25" ht="15" hidden="1" customHeight="1" x14ac:dyDescent="0.2">
      <c r="A2452" s="317" t="s">
        <v>147</v>
      </c>
      <c r="B2452" s="895" t="s">
        <v>147</v>
      </c>
      <c r="C2452" s="896"/>
      <c r="D2452" s="957" t="s">
        <v>233</v>
      </c>
      <c r="E2452" s="907">
        <f>GLOBAL_DER_FEV_2023!E2452</f>
        <v>0.2</v>
      </c>
      <c r="F2452" s="908">
        <f>GLOBAL_DER_FEV_2023!F2452</f>
        <v>0</v>
      </c>
      <c r="G2452" s="949">
        <f>GLOBAL_DER_FEV_2023!G2452</f>
        <v>0</v>
      </c>
      <c r="H2452" s="901">
        <f>GLOBAL_DER_FEV_2023!H2452</f>
        <v>0</v>
      </c>
      <c r="I2452" s="901" t="str">
        <f>GLOBAL_DER_FEV_2023!I2452</f>
        <v/>
      </c>
      <c r="J2452" s="902">
        <f>GLOBAL_DER_FEV_2023!J2452</f>
        <v>0</v>
      </c>
      <c r="K2452" s="958" t="s">
        <v>507</v>
      </c>
      <c r="L2452" s="959"/>
      <c r="M2452" s="1157">
        <f t="shared" si="187"/>
        <v>0</v>
      </c>
      <c r="N2452" s="1176">
        <f t="shared" si="186"/>
        <v>0</v>
      </c>
      <c r="O2452" s="905"/>
      <c r="P2452" s="58" t="str">
        <f>IF(N2449&gt;0,"xx",IF(N2449&gt;0,"xy",""))</f>
        <v/>
      </c>
      <c r="Q2452" s="317" t="str">
        <f t="shared" si="183"/>
        <v/>
      </c>
      <c r="R2452" s="317" t="str">
        <f t="shared" si="184"/>
        <v/>
      </c>
      <c r="S2452" s="317" t="str">
        <f t="shared" si="185"/>
        <v/>
      </c>
      <c r="T2452" s="317" t="str">
        <f>GLOBAL_DER_FEV_2023!S2452</f>
        <v/>
      </c>
      <c r="W2452" s="582">
        <v>0</v>
      </c>
      <c r="X2452" s="580"/>
      <c r="Y2452" s="583">
        <f>IF(GLOBAL_DER_FEV_2023!W2452=0,0,IF(GLOBAL_DER_FEV_2023!W2452&gt;0,"c","b"))</f>
        <v>0</v>
      </c>
    </row>
    <row r="2453" spans="1:25" ht="15" hidden="1" customHeight="1" x14ac:dyDescent="0.2">
      <c r="A2453" s="317" t="s">
        <v>147</v>
      </c>
      <c r="B2453" s="895" t="s">
        <v>147</v>
      </c>
      <c r="C2453" s="896"/>
      <c r="D2453" s="957" t="s">
        <v>365</v>
      </c>
      <c r="E2453" s="907">
        <f>GLOBAL_DER_FEV_2023!E2453</f>
        <v>10</v>
      </c>
      <c r="F2453" s="908">
        <f>GLOBAL_DER_FEV_2023!F2453</f>
        <v>0</v>
      </c>
      <c r="G2453" s="949">
        <f>GLOBAL_DER_FEV_2023!G2453</f>
        <v>0</v>
      </c>
      <c r="H2453" s="901">
        <f>GLOBAL_DER_FEV_2023!H2453</f>
        <v>0</v>
      </c>
      <c r="I2453" s="901" t="str">
        <f>GLOBAL_DER_FEV_2023!I2453</f>
        <v/>
      </c>
      <c r="J2453" s="902">
        <f>GLOBAL_DER_FEV_2023!J2453</f>
        <v>0</v>
      </c>
      <c r="K2453" s="958" t="s">
        <v>507</v>
      </c>
      <c r="L2453" s="959"/>
      <c r="M2453" s="1157">
        <f t="shared" si="187"/>
        <v>0</v>
      </c>
      <c r="N2453" s="1176">
        <f t="shared" si="186"/>
        <v>0</v>
      </c>
      <c r="O2453" s="905"/>
      <c r="P2453" s="58" t="str">
        <f>IF(N2449&gt;0,"xx",IF(N2449&gt;0,"xy",""))</f>
        <v/>
      </c>
      <c r="Q2453" s="317" t="str">
        <f t="shared" si="183"/>
        <v/>
      </c>
      <c r="R2453" s="317" t="str">
        <f t="shared" si="184"/>
        <v/>
      </c>
      <c r="S2453" s="317" t="str">
        <f t="shared" si="185"/>
        <v/>
      </c>
      <c r="T2453" s="317" t="str">
        <f>GLOBAL_DER_FEV_2023!S2453</f>
        <v/>
      </c>
      <c r="W2453" s="582">
        <v>0</v>
      </c>
      <c r="X2453" s="580"/>
      <c r="Y2453" s="583">
        <f>IF(GLOBAL_DER_FEV_2023!W2453=0,0,IF(GLOBAL_DER_FEV_2023!W2453&gt;0,"c","b"))</f>
        <v>0</v>
      </c>
    </row>
    <row r="2454" spans="1:25" ht="15" hidden="1" customHeight="1" x14ac:dyDescent="0.2">
      <c r="A2454" s="317" t="s">
        <v>147</v>
      </c>
      <c r="B2454" s="895" t="s">
        <v>147</v>
      </c>
      <c r="C2454" s="896"/>
      <c r="D2454" s="957" t="s">
        <v>366</v>
      </c>
      <c r="E2454" s="907">
        <f>GLOBAL_DER_FEV_2023!E2454</f>
        <v>353</v>
      </c>
      <c r="F2454" s="908">
        <f>GLOBAL_DER_FEV_2023!F2454</f>
        <v>0</v>
      </c>
      <c r="G2454" s="909">
        <f>GLOBAL_DER_FEV_2023!G2454</f>
        <v>0</v>
      </c>
      <c r="H2454" s="901">
        <f>GLOBAL_DER_FEV_2023!H2454</f>
        <v>0</v>
      </c>
      <c r="I2454" s="901" t="str">
        <f>GLOBAL_DER_FEV_2023!I2454</f>
        <v/>
      </c>
      <c r="J2454" s="902">
        <f>GLOBAL_DER_FEV_2023!J2454</f>
        <v>0</v>
      </c>
      <c r="K2454" s="958" t="s">
        <v>507</v>
      </c>
      <c r="L2454" s="959"/>
      <c r="M2454" s="1157">
        <f t="shared" si="187"/>
        <v>0</v>
      </c>
      <c r="N2454" s="1176">
        <f t="shared" si="186"/>
        <v>0</v>
      </c>
      <c r="O2454" s="905"/>
      <c r="P2454" s="58" t="str">
        <f>IF(N2449&gt;0,"xx",IF(N2449&gt;0,"xy",""))</f>
        <v/>
      </c>
      <c r="Q2454" s="317" t="str">
        <f t="shared" si="183"/>
        <v/>
      </c>
      <c r="R2454" s="317" t="str">
        <f t="shared" si="184"/>
        <v/>
      </c>
      <c r="S2454" s="317" t="str">
        <f t="shared" si="185"/>
        <v/>
      </c>
      <c r="T2454" s="317" t="str">
        <f>GLOBAL_DER_FEV_2023!S2454</f>
        <v/>
      </c>
      <c r="W2454" s="582">
        <v>0</v>
      </c>
      <c r="X2454" s="580"/>
      <c r="Y2454" s="583">
        <f>IF(GLOBAL_DER_FEV_2023!W2454=0,0,IF(GLOBAL_DER_FEV_2023!W2454&gt;0,"c","b"))</f>
        <v>0</v>
      </c>
    </row>
    <row r="2455" spans="1:25" ht="15" hidden="1" customHeight="1" x14ac:dyDescent="0.2">
      <c r="A2455" s="317" t="s">
        <v>401</v>
      </c>
      <c r="B2455" s="895" t="s">
        <v>401</v>
      </c>
      <c r="C2455" s="896" t="s">
        <v>184</v>
      </c>
      <c r="D2455" s="906" t="str">
        <f>'ENSAIOS DE ORÇAMENTO'!C80</f>
        <v>ENSAIO DE ORÇAMENTO 9</v>
      </c>
      <c r="E2455" s="907">
        <f>GLOBAL_DER_FEV_2023!E2455</f>
        <v>0</v>
      </c>
      <c r="F2455" s="908">
        <f>GLOBAL_DER_FEV_2023!F2455</f>
        <v>0</v>
      </c>
      <c r="G2455" s="912">
        <f>GLOBAL_DER_FEV_2023!G2455</f>
        <v>0</v>
      </c>
      <c r="H2455" s="901">
        <f>GLOBAL_DER_FEV_2023!H2455</f>
        <v>0</v>
      </c>
      <c r="I2455" s="901">
        <f>GLOBAL_DER_FEV_2023!I2455</f>
        <v>0</v>
      </c>
      <c r="J2455" s="902">
        <f>GLOBAL_DER_FEV_2023!J2455</f>
        <v>0</v>
      </c>
      <c r="K2455" s="903" t="s">
        <v>15</v>
      </c>
      <c r="L2455" s="1137"/>
      <c r="M2455" s="1138">
        <f t="shared" si="187"/>
        <v>0</v>
      </c>
      <c r="N2455" s="1176">
        <f t="shared" si="186"/>
        <v>0</v>
      </c>
      <c r="O2455" s="905"/>
      <c r="Q2455" s="317" t="str">
        <f t="shared" si="183"/>
        <v/>
      </c>
      <c r="R2455" s="317" t="str">
        <f t="shared" si="184"/>
        <v/>
      </c>
      <c r="S2455" s="317" t="str">
        <f t="shared" si="185"/>
        <v/>
      </c>
      <c r="T2455" s="317" t="str">
        <f>GLOBAL_DER_FEV_2023!S2455</f>
        <v/>
      </c>
      <c r="W2455" s="582">
        <v>0</v>
      </c>
      <c r="X2455" s="580"/>
      <c r="Y2455" s="583">
        <f>IF(GLOBAL_DER_FEV_2023!W2455=0,0,IF(GLOBAL_DER_FEV_2023!W2455&gt;0,"c","b"))</f>
        <v>0</v>
      </c>
    </row>
    <row r="2456" spans="1:25" ht="15" hidden="1" customHeight="1" x14ac:dyDescent="0.2">
      <c r="A2456" s="317" t="s">
        <v>147</v>
      </c>
      <c r="B2456" s="895" t="s">
        <v>147</v>
      </c>
      <c r="C2456" s="896"/>
      <c r="D2456" s="957" t="s">
        <v>190</v>
      </c>
      <c r="E2456" s="907">
        <f>GLOBAL_DER_FEV_2023!E2456</f>
        <v>308</v>
      </c>
      <c r="F2456" s="908">
        <f>GLOBAL_DER_FEV_2023!F2456</f>
        <v>0</v>
      </c>
      <c r="G2456" s="909">
        <f>GLOBAL_DER_FEV_2023!G2456</f>
        <v>0</v>
      </c>
      <c r="H2456" s="901">
        <f>GLOBAL_DER_FEV_2023!H2456</f>
        <v>0</v>
      </c>
      <c r="I2456" s="901" t="str">
        <f>GLOBAL_DER_FEV_2023!I2456</f>
        <v/>
      </c>
      <c r="J2456" s="902">
        <f>GLOBAL_DER_FEV_2023!J2456</f>
        <v>0</v>
      </c>
      <c r="K2456" s="958" t="s">
        <v>507</v>
      </c>
      <c r="L2456" s="959"/>
      <c r="M2456" s="1157">
        <f t="shared" si="187"/>
        <v>0</v>
      </c>
      <c r="N2456" s="1176">
        <f t="shared" si="186"/>
        <v>0</v>
      </c>
      <c r="O2456" s="905"/>
      <c r="P2456" s="58" t="str">
        <f>IF(N2455&gt;0,"xx",IF(N2455&gt;0,"xy",""))</f>
        <v/>
      </c>
      <c r="Q2456" s="317" t="str">
        <f t="shared" si="183"/>
        <v/>
      </c>
      <c r="R2456" s="317" t="str">
        <f t="shared" si="184"/>
        <v/>
      </c>
      <c r="S2456" s="317" t="str">
        <f t="shared" si="185"/>
        <v/>
      </c>
      <c r="T2456" s="317" t="str">
        <f>GLOBAL_DER_FEV_2023!S2456</f>
        <v/>
      </c>
      <c r="W2456" s="582">
        <v>0</v>
      </c>
      <c r="X2456" s="580"/>
      <c r="Y2456" s="583">
        <f>IF(GLOBAL_DER_FEV_2023!W2456=0,0,IF(GLOBAL_DER_FEV_2023!W2456&gt;0,"c","b"))</f>
        <v>0</v>
      </c>
    </row>
    <row r="2457" spans="1:25" ht="15" hidden="1" customHeight="1" x14ac:dyDescent="0.2">
      <c r="A2457" s="317" t="s">
        <v>147</v>
      </c>
      <c r="B2457" s="895" t="s">
        <v>147</v>
      </c>
      <c r="C2457" s="896"/>
      <c r="D2457" s="957" t="s">
        <v>229</v>
      </c>
      <c r="E2457" s="907">
        <f>GLOBAL_DER_FEV_2023!E2457</f>
        <v>150</v>
      </c>
      <c r="F2457" s="908">
        <f>GLOBAL_DER_FEV_2023!F2457</f>
        <v>0</v>
      </c>
      <c r="G2457" s="949">
        <f>GLOBAL_DER_FEV_2023!G2457</f>
        <v>0</v>
      </c>
      <c r="H2457" s="901">
        <f>GLOBAL_DER_FEV_2023!H2457</f>
        <v>0</v>
      </c>
      <c r="I2457" s="901" t="str">
        <f>GLOBAL_DER_FEV_2023!I2457</f>
        <v/>
      </c>
      <c r="J2457" s="902">
        <f>GLOBAL_DER_FEV_2023!J2457</f>
        <v>0</v>
      </c>
      <c r="K2457" s="958" t="s">
        <v>507</v>
      </c>
      <c r="L2457" s="959"/>
      <c r="M2457" s="1157">
        <f t="shared" si="187"/>
        <v>0</v>
      </c>
      <c r="N2457" s="1176">
        <f t="shared" si="186"/>
        <v>0</v>
      </c>
      <c r="O2457" s="905"/>
      <c r="P2457" s="58" t="str">
        <f>IF(N2455&gt;0,"xx",IF(N2455&gt;0,"xy",""))</f>
        <v/>
      </c>
      <c r="Q2457" s="317" t="str">
        <f t="shared" si="183"/>
        <v/>
      </c>
      <c r="R2457" s="317" t="str">
        <f t="shared" si="184"/>
        <v/>
      </c>
      <c r="S2457" s="317" t="str">
        <f t="shared" si="185"/>
        <v/>
      </c>
      <c r="T2457" s="317" t="str">
        <f>GLOBAL_DER_FEV_2023!S2457</f>
        <v/>
      </c>
      <c r="W2457" s="582">
        <v>0</v>
      </c>
      <c r="X2457" s="580"/>
      <c r="Y2457" s="583">
        <f>IF(GLOBAL_DER_FEV_2023!W2457=0,0,IF(GLOBAL_DER_FEV_2023!W2457&gt;0,"c","b"))</f>
        <v>0</v>
      </c>
    </row>
    <row r="2458" spans="1:25" ht="15" hidden="1" customHeight="1" x14ac:dyDescent="0.2">
      <c r="A2458" s="317" t="s">
        <v>147</v>
      </c>
      <c r="B2458" s="895" t="s">
        <v>147</v>
      </c>
      <c r="C2458" s="896"/>
      <c r="D2458" s="957" t="s">
        <v>233</v>
      </c>
      <c r="E2458" s="907">
        <f>GLOBAL_DER_FEV_2023!E2458</f>
        <v>0.2</v>
      </c>
      <c r="F2458" s="908">
        <f>GLOBAL_DER_FEV_2023!F2458</f>
        <v>0</v>
      </c>
      <c r="G2458" s="949">
        <f>GLOBAL_DER_FEV_2023!G2458</f>
        <v>0</v>
      </c>
      <c r="H2458" s="901">
        <f>GLOBAL_DER_FEV_2023!H2458</f>
        <v>0</v>
      </c>
      <c r="I2458" s="901" t="str">
        <f>GLOBAL_DER_FEV_2023!I2458</f>
        <v/>
      </c>
      <c r="J2458" s="902">
        <f>GLOBAL_DER_FEV_2023!J2458</f>
        <v>0</v>
      </c>
      <c r="K2458" s="958" t="s">
        <v>507</v>
      </c>
      <c r="L2458" s="959"/>
      <c r="M2458" s="1157">
        <f t="shared" si="187"/>
        <v>0</v>
      </c>
      <c r="N2458" s="1176">
        <f t="shared" si="186"/>
        <v>0</v>
      </c>
      <c r="O2458" s="905"/>
      <c r="P2458" s="58" t="str">
        <f>IF(N2455&gt;0,"xx",IF(N2455&gt;0,"xy",""))</f>
        <v/>
      </c>
      <c r="Q2458" s="317" t="str">
        <f t="shared" si="183"/>
        <v/>
      </c>
      <c r="R2458" s="317" t="str">
        <f t="shared" si="184"/>
        <v/>
      </c>
      <c r="S2458" s="317" t="str">
        <f t="shared" si="185"/>
        <v/>
      </c>
      <c r="T2458" s="317" t="str">
        <f>GLOBAL_DER_FEV_2023!S2458</f>
        <v/>
      </c>
      <c r="W2458" s="582">
        <v>0</v>
      </c>
      <c r="X2458" s="580"/>
      <c r="Y2458" s="583">
        <f>IF(GLOBAL_DER_FEV_2023!W2458=0,0,IF(GLOBAL_DER_FEV_2023!W2458&gt;0,"c","b"))</f>
        <v>0</v>
      </c>
    </row>
    <row r="2459" spans="1:25" ht="15" hidden="1" customHeight="1" x14ac:dyDescent="0.2">
      <c r="A2459" s="317" t="s">
        <v>147</v>
      </c>
      <c r="B2459" s="895" t="s">
        <v>147</v>
      </c>
      <c r="C2459" s="896"/>
      <c r="D2459" s="957" t="s">
        <v>365</v>
      </c>
      <c r="E2459" s="907">
        <f>GLOBAL_DER_FEV_2023!E2459</f>
        <v>10</v>
      </c>
      <c r="F2459" s="908">
        <f>GLOBAL_DER_FEV_2023!F2459</f>
        <v>0</v>
      </c>
      <c r="G2459" s="949">
        <f>GLOBAL_DER_FEV_2023!G2459</f>
        <v>0</v>
      </c>
      <c r="H2459" s="901">
        <f>GLOBAL_DER_FEV_2023!H2459</f>
        <v>0</v>
      </c>
      <c r="I2459" s="901" t="str">
        <f>GLOBAL_DER_FEV_2023!I2459</f>
        <v/>
      </c>
      <c r="J2459" s="902">
        <f>GLOBAL_DER_FEV_2023!J2459</f>
        <v>0</v>
      </c>
      <c r="K2459" s="958" t="s">
        <v>507</v>
      </c>
      <c r="L2459" s="959"/>
      <c r="M2459" s="1157">
        <f t="shared" si="187"/>
        <v>0</v>
      </c>
      <c r="N2459" s="1176">
        <f t="shared" si="186"/>
        <v>0</v>
      </c>
      <c r="O2459" s="905"/>
      <c r="P2459" s="58" t="str">
        <f>IF(N2455&gt;0,"xx",IF(N2455&gt;0,"xy",""))</f>
        <v/>
      </c>
      <c r="Q2459" s="317" t="str">
        <f t="shared" ref="Q2459:Q2522" si="188">IF(P2459="X","x",IF(P2459="xx","x",IF(P2459="xy","x",IF(P2459="y","x",IF(OR(N2459&gt;0,N2459&gt;0),"x","")))))</f>
        <v/>
      </c>
      <c r="R2459" s="317" t="str">
        <f t="shared" si="184"/>
        <v/>
      </c>
      <c r="S2459" s="317" t="str">
        <f t="shared" si="185"/>
        <v/>
      </c>
      <c r="T2459" s="317" t="str">
        <f>GLOBAL_DER_FEV_2023!S2459</f>
        <v/>
      </c>
      <c r="W2459" s="582">
        <v>0</v>
      </c>
      <c r="X2459" s="580"/>
      <c r="Y2459" s="583">
        <f>IF(GLOBAL_DER_FEV_2023!W2459=0,0,IF(GLOBAL_DER_FEV_2023!W2459&gt;0,"c","b"))</f>
        <v>0</v>
      </c>
    </row>
    <row r="2460" spans="1:25" ht="15" hidden="1" customHeight="1" x14ac:dyDescent="0.2">
      <c r="A2460" s="317" t="s">
        <v>147</v>
      </c>
      <c r="B2460" s="895" t="s">
        <v>147</v>
      </c>
      <c r="C2460" s="896"/>
      <c r="D2460" s="957" t="s">
        <v>366</v>
      </c>
      <c r="E2460" s="907">
        <f>GLOBAL_DER_FEV_2023!E2460</f>
        <v>353</v>
      </c>
      <c r="F2460" s="908">
        <f>GLOBAL_DER_FEV_2023!F2460</f>
        <v>0</v>
      </c>
      <c r="G2460" s="909">
        <f>GLOBAL_DER_FEV_2023!G2460</f>
        <v>0</v>
      </c>
      <c r="H2460" s="901">
        <f>GLOBAL_DER_FEV_2023!H2460</f>
        <v>0</v>
      </c>
      <c r="I2460" s="901" t="str">
        <f>GLOBAL_DER_FEV_2023!I2460</f>
        <v/>
      </c>
      <c r="J2460" s="902">
        <f>GLOBAL_DER_FEV_2023!J2460</f>
        <v>0</v>
      </c>
      <c r="K2460" s="958" t="s">
        <v>507</v>
      </c>
      <c r="L2460" s="959"/>
      <c r="M2460" s="1157">
        <f t="shared" si="187"/>
        <v>0</v>
      </c>
      <c r="N2460" s="1176">
        <f t="shared" si="186"/>
        <v>0</v>
      </c>
      <c r="O2460" s="905"/>
      <c r="P2460" s="58" t="str">
        <f>IF(N2455&gt;0,"xx",IF(N2455&gt;0,"xy",""))</f>
        <v/>
      </c>
      <c r="Q2460" s="317" t="str">
        <f t="shared" si="188"/>
        <v/>
      </c>
      <c r="R2460" s="317" t="str">
        <f t="shared" si="184"/>
        <v/>
      </c>
      <c r="S2460" s="317" t="str">
        <f t="shared" si="185"/>
        <v/>
      </c>
      <c r="T2460" s="317" t="str">
        <f>GLOBAL_DER_FEV_2023!S2460</f>
        <v/>
      </c>
      <c r="W2460" s="582">
        <v>0</v>
      </c>
      <c r="X2460" s="580"/>
      <c r="Y2460" s="583">
        <f>IF(GLOBAL_DER_FEV_2023!W2460=0,0,IF(GLOBAL_DER_FEV_2023!W2460&gt;0,"c","b"))</f>
        <v>0</v>
      </c>
    </row>
    <row r="2461" spans="1:25" ht="15" hidden="1" customHeight="1" x14ac:dyDescent="0.2">
      <c r="A2461" s="317" t="s">
        <v>402</v>
      </c>
      <c r="B2461" s="895" t="s">
        <v>402</v>
      </c>
      <c r="C2461" s="896" t="s">
        <v>184</v>
      </c>
      <c r="D2461" s="906" t="str">
        <f>'ENSAIOS DE ORÇAMENTO'!C81</f>
        <v>ENSAIO DE ORÇAMENTO 10</v>
      </c>
      <c r="E2461" s="907">
        <f>GLOBAL_DER_FEV_2023!E2461</f>
        <v>0</v>
      </c>
      <c r="F2461" s="908">
        <f>GLOBAL_DER_FEV_2023!F2461</f>
        <v>0</v>
      </c>
      <c r="G2461" s="912">
        <f>GLOBAL_DER_FEV_2023!G2461</f>
        <v>0</v>
      </c>
      <c r="H2461" s="901">
        <f>GLOBAL_DER_FEV_2023!H2461</f>
        <v>0</v>
      </c>
      <c r="I2461" s="901">
        <f>GLOBAL_DER_FEV_2023!I2461</f>
        <v>0</v>
      </c>
      <c r="J2461" s="902">
        <f>GLOBAL_DER_FEV_2023!J2461</f>
        <v>0</v>
      </c>
      <c r="K2461" s="903" t="s">
        <v>15</v>
      </c>
      <c r="L2461" s="1137"/>
      <c r="M2461" s="1138">
        <f t="shared" si="187"/>
        <v>0</v>
      </c>
      <c r="N2461" s="1176">
        <f t="shared" si="186"/>
        <v>0</v>
      </c>
      <c r="O2461" s="905"/>
      <c r="Q2461" s="317" t="str">
        <f t="shared" si="188"/>
        <v/>
      </c>
      <c r="R2461" s="317" t="str">
        <f t="shared" ref="R2461:R2524" si="189">IF(P2461="X","x",IF(P2461="y","x",IF(P2461="xx","x",IF(N2461&gt;0,"x",""))))</f>
        <v/>
      </c>
      <c r="S2461" s="317" t="str">
        <f t="shared" ref="S2461:S2524" si="190">IF(P2461="X","x",IF(N2461&gt;0,"x",""))</f>
        <v/>
      </c>
      <c r="T2461" s="317" t="str">
        <f>GLOBAL_DER_FEV_2023!S2461</f>
        <v/>
      </c>
      <c r="W2461" s="582">
        <v>0</v>
      </c>
      <c r="X2461" s="580"/>
      <c r="Y2461" s="583">
        <f>IF(GLOBAL_DER_FEV_2023!W2461=0,0,IF(GLOBAL_DER_FEV_2023!W2461&gt;0,"c","b"))</f>
        <v>0</v>
      </c>
    </row>
    <row r="2462" spans="1:25" ht="15" hidden="1" customHeight="1" x14ac:dyDescent="0.2">
      <c r="A2462" s="317" t="s">
        <v>147</v>
      </c>
      <c r="B2462" s="895" t="s">
        <v>147</v>
      </c>
      <c r="C2462" s="896"/>
      <c r="D2462" s="957" t="s">
        <v>190</v>
      </c>
      <c r="E2462" s="907">
        <f>GLOBAL_DER_FEV_2023!E2462</f>
        <v>308</v>
      </c>
      <c r="F2462" s="908">
        <f>GLOBAL_DER_FEV_2023!F2462</f>
        <v>0</v>
      </c>
      <c r="G2462" s="909">
        <f>GLOBAL_DER_FEV_2023!G2462</f>
        <v>0</v>
      </c>
      <c r="H2462" s="901">
        <f>GLOBAL_DER_FEV_2023!H2462</f>
        <v>0</v>
      </c>
      <c r="I2462" s="901" t="str">
        <f>GLOBAL_DER_FEV_2023!I2462</f>
        <v/>
      </c>
      <c r="J2462" s="902">
        <f>GLOBAL_DER_FEV_2023!J2462</f>
        <v>0</v>
      </c>
      <c r="K2462" s="958" t="s">
        <v>507</v>
      </c>
      <c r="L2462" s="959"/>
      <c r="M2462" s="1157">
        <f t="shared" si="187"/>
        <v>0</v>
      </c>
      <c r="N2462" s="1176">
        <f t="shared" si="186"/>
        <v>0</v>
      </c>
      <c r="O2462" s="905"/>
      <c r="P2462" s="58" t="str">
        <f>IF(N2461&gt;0,"xx",IF(N2461&gt;0,"xy",""))</f>
        <v/>
      </c>
      <c r="Q2462" s="317" t="str">
        <f t="shared" si="188"/>
        <v/>
      </c>
      <c r="R2462" s="317" t="str">
        <f t="shared" si="189"/>
        <v/>
      </c>
      <c r="S2462" s="317" t="str">
        <f t="shared" si="190"/>
        <v/>
      </c>
      <c r="T2462" s="317" t="str">
        <f>GLOBAL_DER_FEV_2023!S2462</f>
        <v/>
      </c>
      <c r="W2462" s="582">
        <v>0</v>
      </c>
      <c r="X2462" s="580"/>
      <c r="Y2462" s="583">
        <f>IF(GLOBAL_DER_FEV_2023!W2462=0,0,IF(GLOBAL_DER_FEV_2023!W2462&gt;0,"c","b"))</f>
        <v>0</v>
      </c>
    </row>
    <row r="2463" spans="1:25" ht="15" hidden="1" customHeight="1" x14ac:dyDescent="0.2">
      <c r="A2463" s="317" t="s">
        <v>147</v>
      </c>
      <c r="B2463" s="895" t="s">
        <v>147</v>
      </c>
      <c r="C2463" s="896"/>
      <c r="D2463" s="957" t="s">
        <v>229</v>
      </c>
      <c r="E2463" s="907">
        <f>GLOBAL_DER_FEV_2023!E2463</f>
        <v>150</v>
      </c>
      <c r="F2463" s="908">
        <f>GLOBAL_DER_FEV_2023!F2463</f>
        <v>0</v>
      </c>
      <c r="G2463" s="949">
        <f>GLOBAL_DER_FEV_2023!G2463</f>
        <v>0</v>
      </c>
      <c r="H2463" s="901">
        <f>GLOBAL_DER_FEV_2023!H2463</f>
        <v>0</v>
      </c>
      <c r="I2463" s="901" t="str">
        <f>GLOBAL_DER_FEV_2023!I2463</f>
        <v/>
      </c>
      <c r="J2463" s="902">
        <f>GLOBAL_DER_FEV_2023!J2463</f>
        <v>0</v>
      </c>
      <c r="K2463" s="958" t="s">
        <v>507</v>
      </c>
      <c r="L2463" s="959"/>
      <c r="M2463" s="1157">
        <f t="shared" si="187"/>
        <v>0</v>
      </c>
      <c r="N2463" s="1176">
        <f t="shared" si="186"/>
        <v>0</v>
      </c>
      <c r="O2463" s="905"/>
      <c r="P2463" s="58" t="str">
        <f>IF(N2461&gt;0,"xx",IF(N2461&gt;0,"xy",""))</f>
        <v/>
      </c>
      <c r="Q2463" s="317" t="str">
        <f t="shared" si="188"/>
        <v/>
      </c>
      <c r="R2463" s="317" t="str">
        <f t="shared" si="189"/>
        <v/>
      </c>
      <c r="S2463" s="317" t="str">
        <f t="shared" si="190"/>
        <v/>
      </c>
      <c r="T2463" s="317" t="str">
        <f>GLOBAL_DER_FEV_2023!S2463</f>
        <v/>
      </c>
      <c r="W2463" s="582">
        <v>0</v>
      </c>
      <c r="X2463" s="580"/>
      <c r="Y2463" s="583">
        <f>IF(GLOBAL_DER_FEV_2023!W2463=0,0,IF(GLOBAL_DER_FEV_2023!W2463&gt;0,"c","b"))</f>
        <v>0</v>
      </c>
    </row>
    <row r="2464" spans="1:25" ht="15" hidden="1" customHeight="1" x14ac:dyDescent="0.2">
      <c r="A2464" s="317" t="s">
        <v>147</v>
      </c>
      <c r="B2464" s="895" t="s">
        <v>147</v>
      </c>
      <c r="C2464" s="896"/>
      <c r="D2464" s="957" t="s">
        <v>233</v>
      </c>
      <c r="E2464" s="907">
        <f>GLOBAL_DER_FEV_2023!E2464</f>
        <v>0.2</v>
      </c>
      <c r="F2464" s="908">
        <f>GLOBAL_DER_FEV_2023!F2464</f>
        <v>0</v>
      </c>
      <c r="G2464" s="949">
        <f>GLOBAL_DER_FEV_2023!G2464</f>
        <v>0</v>
      </c>
      <c r="H2464" s="901">
        <f>GLOBAL_DER_FEV_2023!H2464</f>
        <v>0</v>
      </c>
      <c r="I2464" s="901" t="str">
        <f>GLOBAL_DER_FEV_2023!I2464</f>
        <v/>
      </c>
      <c r="J2464" s="902">
        <f>GLOBAL_DER_FEV_2023!J2464</f>
        <v>0</v>
      </c>
      <c r="K2464" s="958" t="s">
        <v>507</v>
      </c>
      <c r="L2464" s="959"/>
      <c r="M2464" s="1157">
        <f t="shared" si="187"/>
        <v>0</v>
      </c>
      <c r="N2464" s="1176">
        <f t="shared" si="186"/>
        <v>0</v>
      </c>
      <c r="O2464" s="905"/>
      <c r="P2464" s="58" t="str">
        <f>IF(N2461&gt;0,"xx",IF(N2461&gt;0,"xy",""))</f>
        <v/>
      </c>
      <c r="Q2464" s="317" t="str">
        <f t="shared" si="188"/>
        <v/>
      </c>
      <c r="R2464" s="317" t="str">
        <f t="shared" si="189"/>
        <v/>
      </c>
      <c r="S2464" s="317" t="str">
        <f t="shared" si="190"/>
        <v/>
      </c>
      <c r="T2464" s="317" t="str">
        <f>GLOBAL_DER_FEV_2023!S2464</f>
        <v/>
      </c>
      <c r="W2464" s="582">
        <v>0</v>
      </c>
      <c r="X2464" s="580"/>
      <c r="Y2464" s="583">
        <f>IF(GLOBAL_DER_FEV_2023!W2464=0,0,IF(GLOBAL_DER_FEV_2023!W2464&gt;0,"c","b"))</f>
        <v>0</v>
      </c>
    </row>
    <row r="2465" spans="1:25" ht="15" hidden="1" customHeight="1" x14ac:dyDescent="0.2">
      <c r="A2465" s="317" t="s">
        <v>147</v>
      </c>
      <c r="B2465" s="895" t="s">
        <v>147</v>
      </c>
      <c r="C2465" s="896"/>
      <c r="D2465" s="957" t="s">
        <v>365</v>
      </c>
      <c r="E2465" s="907">
        <f>GLOBAL_DER_FEV_2023!E2465</f>
        <v>10</v>
      </c>
      <c r="F2465" s="908">
        <f>GLOBAL_DER_FEV_2023!F2465</f>
        <v>0</v>
      </c>
      <c r="G2465" s="949">
        <f>GLOBAL_DER_FEV_2023!G2465</f>
        <v>0</v>
      </c>
      <c r="H2465" s="901">
        <f>GLOBAL_DER_FEV_2023!H2465</f>
        <v>0</v>
      </c>
      <c r="I2465" s="901" t="str">
        <f>GLOBAL_DER_FEV_2023!I2465</f>
        <v/>
      </c>
      <c r="J2465" s="902">
        <f>GLOBAL_DER_FEV_2023!J2465</f>
        <v>0</v>
      </c>
      <c r="K2465" s="958" t="s">
        <v>507</v>
      </c>
      <c r="L2465" s="959"/>
      <c r="M2465" s="1157">
        <f t="shared" si="187"/>
        <v>0</v>
      </c>
      <c r="N2465" s="1176">
        <f t="shared" ref="N2465:N2528" si="191">IF(ISBLANK(L2465),0,IF(W2465=0,ROUND(L2465*M2465,2),IF(W2465="b",ROUNDDOWN(L2465*M2465,2),ROUNDUP(L2465*M2465,2))))</f>
        <v>0</v>
      </c>
      <c r="O2465" s="905"/>
      <c r="P2465" s="58" t="str">
        <f>IF(N2461&gt;0,"xx",IF(N2461&gt;0,"xy",""))</f>
        <v/>
      </c>
      <c r="Q2465" s="317" t="str">
        <f t="shared" si="188"/>
        <v/>
      </c>
      <c r="R2465" s="317" t="str">
        <f t="shared" si="189"/>
        <v/>
      </c>
      <c r="S2465" s="317" t="str">
        <f t="shared" si="190"/>
        <v/>
      </c>
      <c r="T2465" s="317" t="str">
        <f>GLOBAL_DER_FEV_2023!S2465</f>
        <v/>
      </c>
      <c r="W2465" s="582">
        <v>0</v>
      </c>
      <c r="X2465" s="580"/>
      <c r="Y2465" s="583">
        <f>IF(GLOBAL_DER_FEV_2023!W2465=0,0,IF(GLOBAL_DER_FEV_2023!W2465&gt;0,"c","b"))</f>
        <v>0</v>
      </c>
    </row>
    <row r="2466" spans="1:25" ht="15" hidden="1" customHeight="1" x14ac:dyDescent="0.2">
      <c r="A2466" s="317" t="s">
        <v>147</v>
      </c>
      <c r="B2466" s="895" t="s">
        <v>147</v>
      </c>
      <c r="C2466" s="896"/>
      <c r="D2466" s="957" t="s">
        <v>366</v>
      </c>
      <c r="E2466" s="907">
        <f>GLOBAL_DER_FEV_2023!E2466</f>
        <v>353</v>
      </c>
      <c r="F2466" s="908">
        <f>GLOBAL_DER_FEV_2023!F2466</f>
        <v>0</v>
      </c>
      <c r="G2466" s="909">
        <f>GLOBAL_DER_FEV_2023!G2466</f>
        <v>0</v>
      </c>
      <c r="H2466" s="901">
        <f>GLOBAL_DER_FEV_2023!H2466</f>
        <v>0</v>
      </c>
      <c r="I2466" s="901" t="str">
        <f>GLOBAL_DER_FEV_2023!I2466</f>
        <v/>
      </c>
      <c r="J2466" s="902">
        <f>GLOBAL_DER_FEV_2023!J2466</f>
        <v>0</v>
      </c>
      <c r="K2466" s="958" t="s">
        <v>507</v>
      </c>
      <c r="L2466" s="959"/>
      <c r="M2466" s="1157">
        <f t="shared" si="187"/>
        <v>0</v>
      </c>
      <c r="N2466" s="1176">
        <f t="shared" si="191"/>
        <v>0</v>
      </c>
      <c r="O2466" s="905"/>
      <c r="P2466" s="58" t="str">
        <f>IF(N2461&gt;0,"xx",IF(N2461&gt;0,"xy",""))</f>
        <v/>
      </c>
      <c r="Q2466" s="317" t="str">
        <f t="shared" si="188"/>
        <v/>
      </c>
      <c r="R2466" s="317" t="str">
        <f t="shared" si="189"/>
        <v/>
      </c>
      <c r="S2466" s="317" t="str">
        <f t="shared" si="190"/>
        <v/>
      </c>
      <c r="T2466" s="317" t="str">
        <f>GLOBAL_DER_FEV_2023!S2466</f>
        <v/>
      </c>
      <c r="W2466" s="582">
        <v>0</v>
      </c>
      <c r="X2466" s="580"/>
      <c r="Y2466" s="583">
        <f>IF(GLOBAL_DER_FEV_2023!W2466=0,0,IF(GLOBAL_DER_FEV_2023!W2466&gt;0,"c","b"))</f>
        <v>0</v>
      </c>
    </row>
    <row r="2467" spans="1:25" ht="15" hidden="1" customHeight="1" x14ac:dyDescent="0.2">
      <c r="A2467" s="640" t="s">
        <v>165</v>
      </c>
      <c r="B2467" s="913" t="s">
        <v>165</v>
      </c>
      <c r="C2467" s="914"/>
      <c r="D2467" s="915" t="s">
        <v>413</v>
      </c>
      <c r="E2467" s="916">
        <f>GLOBAL_DER_FEV_2023!E2467</f>
        <v>0</v>
      </c>
      <c r="F2467" s="917">
        <f>GLOBAL_DER_FEV_2023!F2467</f>
        <v>0</v>
      </c>
      <c r="G2467" s="918">
        <f>GLOBAL_DER_FEV_2023!G2467</f>
        <v>0</v>
      </c>
      <c r="H2467" s="919">
        <f>GLOBAL_DER_FEV_2023!H2467</f>
        <v>0</v>
      </c>
      <c r="I2467" s="919">
        <f>GLOBAL_DER_FEV_2023!I2467</f>
        <v>0</v>
      </c>
      <c r="J2467" s="919">
        <f>GLOBAL_DER_FEV_2023!J2467</f>
        <v>0</v>
      </c>
      <c r="K2467" s="920" t="s">
        <v>507</v>
      </c>
      <c r="L2467" s="921"/>
      <c r="M2467" s="1175">
        <f t="shared" si="187"/>
        <v>0</v>
      </c>
      <c r="N2467" s="1178">
        <f t="shared" si="191"/>
        <v>0</v>
      </c>
      <c r="O2467" s="905"/>
      <c r="P2467" s="58" t="str">
        <f>IF(OR(SUM(N2468:N2498)&gt;0,SUM(N2468:N2498)&gt;0),"y","")</f>
        <v/>
      </c>
      <c r="Q2467" s="317" t="str">
        <f t="shared" si="188"/>
        <v/>
      </c>
      <c r="R2467" s="317" t="str">
        <f t="shared" si="189"/>
        <v/>
      </c>
      <c r="S2467" s="317" t="str">
        <f t="shared" si="190"/>
        <v/>
      </c>
      <c r="T2467" s="317" t="str">
        <f>GLOBAL_DER_FEV_2023!S2467</f>
        <v/>
      </c>
      <c r="W2467" s="582">
        <v>0</v>
      </c>
      <c r="X2467" s="580"/>
      <c r="Y2467" s="583">
        <f>IF(GLOBAL_DER_FEV_2023!W2467=0,0,IF(GLOBAL_DER_FEV_2023!W2467&gt;0,"c","b"))</f>
        <v>0</v>
      </c>
    </row>
    <row r="2468" spans="1:25" ht="15" hidden="1" customHeight="1" x14ac:dyDescent="0.2">
      <c r="A2468" s="640" t="s">
        <v>165</v>
      </c>
      <c r="B2468" s="1036" t="str">
        <f>GLOBAL_DER_FEV_2023!B2468</f>
        <v>102308</v>
      </c>
      <c r="C2468" s="1072" t="str">
        <f>GLOBAL_DER_FEV_2023!C2468</f>
        <v>SINAPI</v>
      </c>
      <c r="D2468" s="1141" t="str">
        <f>GLOBAL_DER_FEV_2023!D2468</f>
        <v xml:space="preserve">ESCAVAÇÃO MECANIZADA DE VALA COM PROF MAIOR QUE 1,5 M ATÉ 3,0 M </v>
      </c>
      <c r="E2468" s="907">
        <f>GLOBAL_DER_FEV_2023!E2468</f>
        <v>0</v>
      </c>
      <c r="F2468" s="908">
        <f>GLOBAL_DER_FEV_2023!F2468</f>
        <v>0</v>
      </c>
      <c r="G2468" s="912">
        <f>GLOBAL_DER_FEV_2023!G2468</f>
        <v>0</v>
      </c>
      <c r="H2468" s="901">
        <f>GLOBAL_DER_FEV_2023!H2468</f>
        <v>13.05</v>
      </c>
      <c r="I2468" s="901">
        <f>GLOBAL_DER_FEV_2023!I2468</f>
        <v>13.05</v>
      </c>
      <c r="J2468" s="890">
        <f>GLOBAL_DER_FEV_2023!J2468</f>
        <v>15.67</v>
      </c>
      <c r="K2468" s="903" t="str">
        <f>GLOBAL_DER_FEV_2023!K2468</f>
        <v>M3</v>
      </c>
      <c r="L2468" s="1137"/>
      <c r="M2468" s="1175">
        <f t="shared" si="187"/>
        <v>0</v>
      </c>
      <c r="N2468" s="1167">
        <f t="shared" si="191"/>
        <v>0</v>
      </c>
      <c r="O2468" s="1165"/>
      <c r="Q2468" s="317" t="str">
        <f t="shared" si="188"/>
        <v/>
      </c>
      <c r="R2468" s="317" t="str">
        <f t="shared" si="189"/>
        <v/>
      </c>
      <c r="S2468" s="317" t="str">
        <f t="shared" si="190"/>
        <v/>
      </c>
      <c r="T2468" s="317" t="str">
        <f>GLOBAL_DER_FEV_2023!S2468</f>
        <v/>
      </c>
      <c r="W2468" s="582">
        <v>0</v>
      </c>
      <c r="X2468" s="580"/>
      <c r="Y2468" s="583">
        <f>IF(GLOBAL_DER_FEV_2023!W2468=0,0,IF(GLOBAL_DER_FEV_2023!W2468&gt;0,"c","b"))</f>
        <v>0</v>
      </c>
    </row>
    <row r="2469" spans="1:25" ht="15" hidden="1" customHeight="1" x14ac:dyDescent="0.2">
      <c r="A2469" s="640" t="s">
        <v>165</v>
      </c>
      <c r="B2469" s="1036" t="str">
        <f>GLOBAL_DER_FEV_2023!B2469</f>
        <v>102298</v>
      </c>
      <c r="C2469" s="1072" t="str">
        <f>GLOBAL_DER_FEV_2023!C2469</f>
        <v>SINAPI</v>
      </c>
      <c r="D2469" s="1141" t="str">
        <f>GLOBAL_DER_FEV_2023!D2469</f>
        <v xml:space="preserve">ESCAVAÇÃO MECANIZADA DE VALA COM PROF. ATÉ 1,5 M </v>
      </c>
      <c r="E2469" s="907">
        <f>GLOBAL_DER_FEV_2023!E2469</f>
        <v>0</v>
      </c>
      <c r="F2469" s="908">
        <f>GLOBAL_DER_FEV_2023!F2469</f>
        <v>0</v>
      </c>
      <c r="G2469" s="912">
        <f>GLOBAL_DER_FEV_2023!G2469</f>
        <v>0</v>
      </c>
      <c r="H2469" s="901">
        <f>GLOBAL_DER_FEV_2023!H2469</f>
        <v>16.329999999999998</v>
      </c>
      <c r="I2469" s="901">
        <f>GLOBAL_DER_FEV_2023!I2469</f>
        <v>16.329999999999998</v>
      </c>
      <c r="J2469" s="890">
        <f>GLOBAL_DER_FEV_2023!J2469</f>
        <v>19.61</v>
      </c>
      <c r="K2469" s="903" t="str">
        <f>GLOBAL_DER_FEV_2023!K2469</f>
        <v>M3</v>
      </c>
      <c r="L2469" s="1137"/>
      <c r="M2469" s="1175">
        <f t="shared" si="187"/>
        <v>0</v>
      </c>
      <c r="N2469" s="1167">
        <f t="shared" si="191"/>
        <v>0</v>
      </c>
      <c r="O2469" s="1165"/>
      <c r="Q2469" s="317" t="str">
        <f t="shared" si="188"/>
        <v/>
      </c>
      <c r="R2469" s="317" t="str">
        <f t="shared" si="189"/>
        <v/>
      </c>
      <c r="S2469" s="317" t="str">
        <f t="shared" si="190"/>
        <v/>
      </c>
      <c r="T2469" s="317" t="str">
        <f>GLOBAL_DER_FEV_2023!S2469</f>
        <v/>
      </c>
      <c r="W2469" s="582">
        <v>0</v>
      </c>
      <c r="X2469" s="580"/>
      <c r="Y2469" s="583">
        <f>IF(GLOBAL_DER_FEV_2023!W2469=0,0,IF(GLOBAL_DER_FEV_2023!W2469&gt;0,"c","b"))</f>
        <v>0</v>
      </c>
    </row>
    <row r="2470" spans="1:25" ht="15" hidden="1" customHeight="1" x14ac:dyDescent="0.2">
      <c r="A2470" s="640" t="s">
        <v>165</v>
      </c>
      <c r="B2470" s="1036" t="str">
        <f>GLOBAL_DER_FEV_2023!B2470</f>
        <v/>
      </c>
      <c r="C2470" s="1072" t="str">
        <f>GLOBAL_DER_FEV_2023!C2470</f>
        <v/>
      </c>
      <c r="D2470" s="1141">
        <f>GLOBAL_DER_FEV_2023!D2470</f>
        <v>0</v>
      </c>
      <c r="E2470" s="907">
        <f>GLOBAL_DER_FEV_2023!E2470</f>
        <v>0</v>
      </c>
      <c r="F2470" s="908">
        <f>GLOBAL_DER_FEV_2023!F2470</f>
        <v>0</v>
      </c>
      <c r="G2470" s="912">
        <f>GLOBAL_DER_FEV_2023!G2470</f>
        <v>0</v>
      </c>
      <c r="H2470" s="901">
        <f>GLOBAL_DER_FEV_2023!H2470</f>
        <v>0</v>
      </c>
      <c r="I2470" s="901" t="str">
        <f>GLOBAL_DER_FEV_2023!I2470</f>
        <v/>
      </c>
      <c r="J2470" s="890">
        <f>GLOBAL_DER_FEV_2023!J2470</f>
        <v>0</v>
      </c>
      <c r="K2470" s="903" t="str">
        <f>GLOBAL_DER_FEV_2023!K2470</f>
        <v xml:space="preserve">     </v>
      </c>
      <c r="L2470" s="1137"/>
      <c r="M2470" s="1175">
        <f t="shared" si="187"/>
        <v>0</v>
      </c>
      <c r="N2470" s="1167">
        <f t="shared" si="191"/>
        <v>0</v>
      </c>
      <c r="O2470" s="1165"/>
      <c r="Q2470" s="317" t="str">
        <f t="shared" si="188"/>
        <v/>
      </c>
      <c r="R2470" s="317" t="str">
        <f t="shared" si="189"/>
        <v/>
      </c>
      <c r="S2470" s="317" t="str">
        <f t="shared" si="190"/>
        <v/>
      </c>
      <c r="T2470" s="317" t="str">
        <f>GLOBAL_DER_FEV_2023!S2470</f>
        <v/>
      </c>
      <c r="W2470" s="582">
        <v>0</v>
      </c>
      <c r="X2470" s="580"/>
      <c r="Y2470" s="583">
        <f>IF(GLOBAL_DER_FEV_2023!W2470=0,0,IF(GLOBAL_DER_FEV_2023!W2470&gt;0,"c","b"))</f>
        <v>0</v>
      </c>
    </row>
    <row r="2471" spans="1:25" ht="15" hidden="1" customHeight="1" x14ac:dyDescent="0.2">
      <c r="A2471" s="640" t="s">
        <v>165</v>
      </c>
      <c r="B2471" s="1036" t="str">
        <f>GLOBAL_DER_FEV_2023!B2471</f>
        <v/>
      </c>
      <c r="C2471" s="1072" t="str">
        <f>GLOBAL_DER_FEV_2023!C2471</f>
        <v/>
      </c>
      <c r="D2471" s="1141">
        <f>GLOBAL_DER_FEV_2023!D2471</f>
        <v>0</v>
      </c>
      <c r="E2471" s="907">
        <f>GLOBAL_DER_FEV_2023!E2471</f>
        <v>0</v>
      </c>
      <c r="F2471" s="908">
        <f>GLOBAL_DER_FEV_2023!F2471</f>
        <v>0</v>
      </c>
      <c r="G2471" s="912">
        <f>GLOBAL_DER_FEV_2023!G2471</f>
        <v>0</v>
      </c>
      <c r="H2471" s="901">
        <f>GLOBAL_DER_FEV_2023!H2471</f>
        <v>0</v>
      </c>
      <c r="I2471" s="901" t="str">
        <f>GLOBAL_DER_FEV_2023!I2471</f>
        <v/>
      </c>
      <c r="J2471" s="890">
        <f>GLOBAL_DER_FEV_2023!J2471</f>
        <v>0</v>
      </c>
      <c r="K2471" s="903" t="str">
        <f>GLOBAL_DER_FEV_2023!K2471</f>
        <v xml:space="preserve">     </v>
      </c>
      <c r="L2471" s="1137"/>
      <c r="M2471" s="1175">
        <f t="shared" si="187"/>
        <v>0</v>
      </c>
      <c r="N2471" s="1167">
        <f t="shared" si="191"/>
        <v>0</v>
      </c>
      <c r="O2471" s="1165"/>
      <c r="Q2471" s="317" t="str">
        <f t="shared" si="188"/>
        <v/>
      </c>
      <c r="R2471" s="317" t="str">
        <f t="shared" si="189"/>
        <v/>
      </c>
      <c r="S2471" s="317" t="str">
        <f t="shared" si="190"/>
        <v/>
      </c>
      <c r="T2471" s="317" t="str">
        <f>GLOBAL_DER_FEV_2023!S2471</f>
        <v/>
      </c>
      <c r="W2471" s="582">
        <v>0</v>
      </c>
      <c r="X2471" s="580"/>
      <c r="Y2471" s="583">
        <f>IF(GLOBAL_DER_FEV_2023!W2471=0,0,IF(GLOBAL_DER_FEV_2023!W2471&gt;0,"c","b"))</f>
        <v>0</v>
      </c>
    </row>
    <row r="2472" spans="1:25" ht="15" hidden="1" customHeight="1" x14ac:dyDescent="0.2">
      <c r="A2472" s="640" t="s">
        <v>165</v>
      </c>
      <c r="B2472" s="1036" t="str">
        <f>GLOBAL_DER_FEV_2023!B2472</f>
        <v/>
      </c>
      <c r="C2472" s="1072" t="str">
        <f>GLOBAL_DER_FEV_2023!C2472</f>
        <v/>
      </c>
      <c r="D2472" s="1141">
        <f>GLOBAL_DER_FEV_2023!D2472</f>
        <v>0</v>
      </c>
      <c r="E2472" s="907">
        <f>GLOBAL_DER_FEV_2023!E2472</f>
        <v>0</v>
      </c>
      <c r="F2472" s="908">
        <f>GLOBAL_DER_FEV_2023!F2472</f>
        <v>0</v>
      </c>
      <c r="G2472" s="912">
        <f>GLOBAL_DER_FEV_2023!G2472</f>
        <v>0</v>
      </c>
      <c r="H2472" s="901">
        <f>GLOBAL_DER_FEV_2023!H2472</f>
        <v>0</v>
      </c>
      <c r="I2472" s="901" t="str">
        <f>GLOBAL_DER_FEV_2023!I2472</f>
        <v/>
      </c>
      <c r="J2472" s="890">
        <f>GLOBAL_DER_FEV_2023!J2472</f>
        <v>0</v>
      </c>
      <c r="K2472" s="903" t="str">
        <f>GLOBAL_DER_FEV_2023!K2472</f>
        <v xml:space="preserve">     </v>
      </c>
      <c r="L2472" s="1137"/>
      <c r="M2472" s="1175">
        <f t="shared" si="187"/>
        <v>0</v>
      </c>
      <c r="N2472" s="1167">
        <f t="shared" si="191"/>
        <v>0</v>
      </c>
      <c r="O2472" s="1165"/>
      <c r="Q2472" s="317" t="str">
        <f t="shared" si="188"/>
        <v/>
      </c>
      <c r="R2472" s="317" t="str">
        <f t="shared" si="189"/>
        <v/>
      </c>
      <c r="S2472" s="317" t="str">
        <f t="shared" si="190"/>
        <v/>
      </c>
      <c r="T2472" s="317" t="str">
        <f>GLOBAL_DER_FEV_2023!S2472</f>
        <v/>
      </c>
      <c r="W2472" s="582">
        <v>0</v>
      </c>
      <c r="X2472" s="580"/>
      <c r="Y2472" s="583">
        <f>IF(GLOBAL_DER_FEV_2023!W2472=0,0,IF(GLOBAL_DER_FEV_2023!W2472&gt;0,"c","b"))</f>
        <v>0</v>
      </c>
    </row>
    <row r="2473" spans="1:25" ht="15" hidden="1" customHeight="1" x14ac:dyDescent="0.2">
      <c r="A2473" s="640" t="s">
        <v>165</v>
      </c>
      <c r="B2473" s="1036" t="str">
        <f>GLOBAL_DER_FEV_2023!B2473</f>
        <v/>
      </c>
      <c r="C2473" s="1072" t="str">
        <f>GLOBAL_DER_FEV_2023!C2473</f>
        <v/>
      </c>
      <c r="D2473" s="1141">
        <f>GLOBAL_DER_FEV_2023!D2473</f>
        <v>0</v>
      </c>
      <c r="E2473" s="907">
        <f>GLOBAL_DER_FEV_2023!E2473</f>
        <v>0</v>
      </c>
      <c r="F2473" s="908">
        <f>GLOBAL_DER_FEV_2023!F2473</f>
        <v>0</v>
      </c>
      <c r="G2473" s="912">
        <f>GLOBAL_DER_FEV_2023!G2473</f>
        <v>0</v>
      </c>
      <c r="H2473" s="901">
        <f>GLOBAL_DER_FEV_2023!H2473</f>
        <v>0</v>
      </c>
      <c r="I2473" s="901" t="str">
        <f>GLOBAL_DER_FEV_2023!I2473</f>
        <v/>
      </c>
      <c r="J2473" s="890">
        <f>GLOBAL_DER_FEV_2023!J2473</f>
        <v>0</v>
      </c>
      <c r="K2473" s="903" t="str">
        <f>GLOBAL_DER_FEV_2023!K2473</f>
        <v xml:space="preserve">     </v>
      </c>
      <c r="L2473" s="1137"/>
      <c r="M2473" s="1175">
        <f t="shared" si="187"/>
        <v>0</v>
      </c>
      <c r="N2473" s="1167">
        <f t="shared" si="191"/>
        <v>0</v>
      </c>
      <c r="O2473" s="1165"/>
      <c r="Q2473" s="317" t="str">
        <f t="shared" si="188"/>
        <v/>
      </c>
      <c r="R2473" s="317" t="str">
        <f t="shared" si="189"/>
        <v/>
      </c>
      <c r="S2473" s="317" t="str">
        <f t="shared" si="190"/>
        <v/>
      </c>
      <c r="T2473" s="317" t="str">
        <f>GLOBAL_DER_FEV_2023!S2473</f>
        <v/>
      </c>
      <c r="W2473" s="582">
        <v>0</v>
      </c>
      <c r="X2473" s="580"/>
      <c r="Y2473" s="583">
        <f>IF(GLOBAL_DER_FEV_2023!W2473=0,0,IF(GLOBAL_DER_FEV_2023!W2473&gt;0,"c","b"))</f>
        <v>0</v>
      </c>
    </row>
    <row r="2474" spans="1:25" ht="15" hidden="1" customHeight="1" x14ac:dyDescent="0.2">
      <c r="A2474" s="640" t="s">
        <v>165</v>
      </c>
      <c r="B2474" s="1036" t="str">
        <f>GLOBAL_DER_FEV_2023!B2474</f>
        <v/>
      </c>
      <c r="C2474" s="1072" t="str">
        <f>GLOBAL_DER_FEV_2023!C2474</f>
        <v/>
      </c>
      <c r="D2474" s="1141">
        <f>GLOBAL_DER_FEV_2023!D2474</f>
        <v>0</v>
      </c>
      <c r="E2474" s="907">
        <f>GLOBAL_DER_FEV_2023!E2474</f>
        <v>0</v>
      </c>
      <c r="F2474" s="908">
        <f>GLOBAL_DER_FEV_2023!F2474</f>
        <v>0</v>
      </c>
      <c r="G2474" s="912">
        <f>GLOBAL_DER_FEV_2023!G2474</f>
        <v>0</v>
      </c>
      <c r="H2474" s="901">
        <f>GLOBAL_DER_FEV_2023!H2474</f>
        <v>0</v>
      </c>
      <c r="I2474" s="901" t="str">
        <f>GLOBAL_DER_FEV_2023!I2474</f>
        <v/>
      </c>
      <c r="J2474" s="890">
        <f>GLOBAL_DER_FEV_2023!J2474</f>
        <v>0</v>
      </c>
      <c r="K2474" s="903" t="str">
        <f>GLOBAL_DER_FEV_2023!K2474</f>
        <v xml:space="preserve">     </v>
      </c>
      <c r="L2474" s="1137"/>
      <c r="M2474" s="1175">
        <f t="shared" si="187"/>
        <v>0</v>
      </c>
      <c r="N2474" s="1167">
        <f t="shared" si="191"/>
        <v>0</v>
      </c>
      <c r="O2474" s="1165"/>
      <c r="Q2474" s="317" t="str">
        <f t="shared" si="188"/>
        <v/>
      </c>
      <c r="R2474" s="317" t="str">
        <f t="shared" si="189"/>
        <v/>
      </c>
      <c r="S2474" s="317" t="str">
        <f t="shared" si="190"/>
        <v/>
      </c>
      <c r="T2474" s="317" t="str">
        <f>GLOBAL_DER_FEV_2023!S2474</f>
        <v/>
      </c>
      <c r="W2474" s="582">
        <v>0</v>
      </c>
      <c r="X2474" s="580"/>
      <c r="Y2474" s="583">
        <f>IF(GLOBAL_DER_FEV_2023!W2474=0,0,IF(GLOBAL_DER_FEV_2023!W2474&gt;0,"c","b"))</f>
        <v>0</v>
      </c>
    </row>
    <row r="2475" spans="1:25" ht="15" hidden="1" customHeight="1" x14ac:dyDescent="0.2">
      <c r="A2475" s="640" t="s">
        <v>165</v>
      </c>
      <c r="B2475" s="1036" t="str">
        <f>GLOBAL_DER_FEV_2023!B2475</f>
        <v/>
      </c>
      <c r="C2475" s="1072" t="str">
        <f>GLOBAL_DER_FEV_2023!C2475</f>
        <v/>
      </c>
      <c r="D2475" s="1141">
        <f>GLOBAL_DER_FEV_2023!D2475</f>
        <v>0</v>
      </c>
      <c r="E2475" s="907">
        <f>GLOBAL_DER_FEV_2023!E2475</f>
        <v>0</v>
      </c>
      <c r="F2475" s="908">
        <f>GLOBAL_DER_FEV_2023!F2475</f>
        <v>0</v>
      </c>
      <c r="G2475" s="912">
        <f>GLOBAL_DER_FEV_2023!G2475</f>
        <v>0</v>
      </c>
      <c r="H2475" s="901">
        <f>GLOBAL_DER_FEV_2023!H2475</f>
        <v>0</v>
      </c>
      <c r="I2475" s="901" t="str">
        <f>GLOBAL_DER_FEV_2023!I2475</f>
        <v/>
      </c>
      <c r="J2475" s="890">
        <f>GLOBAL_DER_FEV_2023!J2475</f>
        <v>0</v>
      </c>
      <c r="K2475" s="903" t="str">
        <f>GLOBAL_DER_FEV_2023!K2475</f>
        <v xml:space="preserve">     </v>
      </c>
      <c r="L2475" s="1137"/>
      <c r="M2475" s="1175">
        <f t="shared" si="187"/>
        <v>0</v>
      </c>
      <c r="N2475" s="1167">
        <f t="shared" si="191"/>
        <v>0</v>
      </c>
      <c r="O2475" s="1165"/>
      <c r="Q2475" s="317" t="str">
        <f t="shared" si="188"/>
        <v/>
      </c>
      <c r="R2475" s="317" t="str">
        <f t="shared" si="189"/>
        <v/>
      </c>
      <c r="S2475" s="317" t="str">
        <f t="shared" si="190"/>
        <v/>
      </c>
      <c r="T2475" s="317" t="str">
        <f>GLOBAL_DER_FEV_2023!S2475</f>
        <v/>
      </c>
      <c r="W2475" s="582">
        <v>0</v>
      </c>
      <c r="X2475" s="580"/>
      <c r="Y2475" s="583">
        <f>IF(GLOBAL_DER_FEV_2023!W2475=0,0,IF(GLOBAL_DER_FEV_2023!W2475&gt;0,"c","b"))</f>
        <v>0</v>
      </c>
    </row>
    <row r="2476" spans="1:25" ht="15" hidden="1" customHeight="1" x14ac:dyDescent="0.2">
      <c r="A2476" s="640" t="s">
        <v>165</v>
      </c>
      <c r="B2476" s="1036" t="str">
        <f>GLOBAL_DER_FEV_2023!B2476</f>
        <v/>
      </c>
      <c r="C2476" s="1072" t="str">
        <f>GLOBAL_DER_FEV_2023!C2476</f>
        <v/>
      </c>
      <c r="D2476" s="1141">
        <f>GLOBAL_DER_FEV_2023!D2476</f>
        <v>0</v>
      </c>
      <c r="E2476" s="907">
        <f>GLOBAL_DER_FEV_2023!E2476</f>
        <v>0</v>
      </c>
      <c r="F2476" s="908">
        <f>GLOBAL_DER_FEV_2023!F2476</f>
        <v>0</v>
      </c>
      <c r="G2476" s="912">
        <f>GLOBAL_DER_FEV_2023!G2476</f>
        <v>0</v>
      </c>
      <c r="H2476" s="901">
        <f>GLOBAL_DER_FEV_2023!H2476</f>
        <v>0</v>
      </c>
      <c r="I2476" s="901" t="str">
        <f>GLOBAL_DER_FEV_2023!I2476</f>
        <v/>
      </c>
      <c r="J2476" s="890">
        <f>GLOBAL_DER_FEV_2023!J2476</f>
        <v>0</v>
      </c>
      <c r="K2476" s="903" t="str">
        <f>GLOBAL_DER_FEV_2023!K2476</f>
        <v xml:space="preserve">     </v>
      </c>
      <c r="L2476" s="1137"/>
      <c r="M2476" s="1175">
        <f t="shared" si="187"/>
        <v>0</v>
      </c>
      <c r="N2476" s="1167">
        <f t="shared" si="191"/>
        <v>0</v>
      </c>
      <c r="O2476" s="1165"/>
      <c r="Q2476" s="317" t="str">
        <f t="shared" si="188"/>
        <v/>
      </c>
      <c r="R2476" s="317" t="str">
        <f t="shared" si="189"/>
        <v/>
      </c>
      <c r="S2476" s="317" t="str">
        <f t="shared" si="190"/>
        <v/>
      </c>
      <c r="T2476" s="317" t="str">
        <f>GLOBAL_DER_FEV_2023!S2476</f>
        <v/>
      </c>
      <c r="W2476" s="582">
        <v>0</v>
      </c>
      <c r="X2476" s="580"/>
      <c r="Y2476" s="583">
        <f>IF(GLOBAL_DER_FEV_2023!W2476=0,0,IF(GLOBAL_DER_FEV_2023!W2476&gt;0,"c","b"))</f>
        <v>0</v>
      </c>
    </row>
    <row r="2477" spans="1:25" ht="15" hidden="1" customHeight="1" x14ac:dyDescent="0.2">
      <c r="A2477" s="640" t="s">
        <v>165</v>
      </c>
      <c r="B2477" s="1036" t="str">
        <f>GLOBAL_DER_FEV_2023!B2477</f>
        <v/>
      </c>
      <c r="C2477" s="1072" t="str">
        <f>GLOBAL_DER_FEV_2023!C2477</f>
        <v/>
      </c>
      <c r="D2477" s="1141">
        <f>GLOBAL_DER_FEV_2023!D2477</f>
        <v>0</v>
      </c>
      <c r="E2477" s="907">
        <f>GLOBAL_DER_FEV_2023!E2477</f>
        <v>0</v>
      </c>
      <c r="F2477" s="908">
        <f>GLOBAL_DER_FEV_2023!F2477</f>
        <v>0</v>
      </c>
      <c r="G2477" s="912">
        <f>GLOBAL_DER_FEV_2023!G2477</f>
        <v>0</v>
      </c>
      <c r="H2477" s="901">
        <f>GLOBAL_DER_FEV_2023!H2477</f>
        <v>0</v>
      </c>
      <c r="I2477" s="901" t="str">
        <f>GLOBAL_DER_FEV_2023!I2477</f>
        <v/>
      </c>
      <c r="J2477" s="890">
        <f>GLOBAL_DER_FEV_2023!J2477</f>
        <v>0</v>
      </c>
      <c r="K2477" s="903" t="str">
        <f>GLOBAL_DER_FEV_2023!K2477</f>
        <v xml:space="preserve">     </v>
      </c>
      <c r="L2477" s="1137"/>
      <c r="M2477" s="1175">
        <f t="shared" si="187"/>
        <v>0</v>
      </c>
      <c r="N2477" s="1167">
        <f t="shared" si="191"/>
        <v>0</v>
      </c>
      <c r="O2477" s="1165"/>
      <c r="Q2477" s="317" t="str">
        <f t="shared" si="188"/>
        <v/>
      </c>
      <c r="R2477" s="317" t="str">
        <f t="shared" si="189"/>
        <v/>
      </c>
      <c r="S2477" s="317" t="str">
        <f t="shared" si="190"/>
        <v/>
      </c>
      <c r="T2477" s="317" t="str">
        <f>GLOBAL_DER_FEV_2023!S2477</f>
        <v/>
      </c>
      <c r="W2477" s="582">
        <v>0</v>
      </c>
      <c r="X2477" s="580"/>
      <c r="Y2477" s="583">
        <f>IF(GLOBAL_DER_FEV_2023!W2477=0,0,IF(GLOBAL_DER_FEV_2023!W2477&gt;0,"c","b"))</f>
        <v>0</v>
      </c>
    </row>
    <row r="2478" spans="1:25" ht="15" hidden="1" customHeight="1" x14ac:dyDescent="0.2">
      <c r="A2478" s="640" t="s">
        <v>165</v>
      </c>
      <c r="B2478" s="1036" t="str">
        <f>GLOBAL_DER_FEV_2023!B2478</f>
        <v/>
      </c>
      <c r="C2478" s="1072" t="str">
        <f>GLOBAL_DER_FEV_2023!C2478</f>
        <v/>
      </c>
      <c r="D2478" s="1141">
        <f>GLOBAL_DER_FEV_2023!D2478</f>
        <v>0</v>
      </c>
      <c r="E2478" s="907">
        <f>GLOBAL_DER_FEV_2023!E2478</f>
        <v>0</v>
      </c>
      <c r="F2478" s="908">
        <f>GLOBAL_DER_FEV_2023!F2478</f>
        <v>0</v>
      </c>
      <c r="G2478" s="912">
        <f>GLOBAL_DER_FEV_2023!G2478</f>
        <v>0</v>
      </c>
      <c r="H2478" s="901">
        <f>GLOBAL_DER_FEV_2023!H2478</f>
        <v>0</v>
      </c>
      <c r="I2478" s="901" t="str">
        <f>GLOBAL_DER_FEV_2023!I2478</f>
        <v/>
      </c>
      <c r="J2478" s="890">
        <f>GLOBAL_DER_FEV_2023!J2478</f>
        <v>0</v>
      </c>
      <c r="K2478" s="903" t="str">
        <f>GLOBAL_DER_FEV_2023!K2478</f>
        <v xml:space="preserve">     </v>
      </c>
      <c r="L2478" s="1137"/>
      <c r="M2478" s="1175">
        <f t="shared" si="187"/>
        <v>0</v>
      </c>
      <c r="N2478" s="1167">
        <f t="shared" si="191"/>
        <v>0</v>
      </c>
      <c r="O2478" s="1165"/>
      <c r="Q2478" s="317" t="str">
        <f t="shared" si="188"/>
        <v/>
      </c>
      <c r="R2478" s="317" t="str">
        <f t="shared" si="189"/>
        <v/>
      </c>
      <c r="S2478" s="317" t="str">
        <f t="shared" si="190"/>
        <v/>
      </c>
      <c r="T2478" s="317" t="str">
        <f>GLOBAL_DER_FEV_2023!S2478</f>
        <v/>
      </c>
      <c r="W2478" s="582">
        <v>0</v>
      </c>
      <c r="X2478" s="580"/>
      <c r="Y2478" s="583">
        <f>IF(GLOBAL_DER_FEV_2023!W2478=0,0,IF(GLOBAL_DER_FEV_2023!W2478&gt;0,"c","b"))</f>
        <v>0</v>
      </c>
    </row>
    <row r="2479" spans="1:25" ht="15" hidden="1" customHeight="1" x14ac:dyDescent="0.2">
      <c r="A2479" s="640" t="s">
        <v>165</v>
      </c>
      <c r="B2479" s="1036" t="str">
        <f>GLOBAL_DER_FEV_2023!B2479</f>
        <v/>
      </c>
      <c r="C2479" s="1072" t="str">
        <f>GLOBAL_DER_FEV_2023!C2479</f>
        <v/>
      </c>
      <c r="D2479" s="1141">
        <f>GLOBAL_DER_FEV_2023!D2479</f>
        <v>0</v>
      </c>
      <c r="E2479" s="907">
        <f>GLOBAL_DER_FEV_2023!E2479</f>
        <v>0</v>
      </c>
      <c r="F2479" s="908">
        <f>GLOBAL_DER_FEV_2023!F2479</f>
        <v>0</v>
      </c>
      <c r="G2479" s="912">
        <f>GLOBAL_DER_FEV_2023!G2479</f>
        <v>0</v>
      </c>
      <c r="H2479" s="901">
        <f>GLOBAL_DER_FEV_2023!H2479</f>
        <v>0</v>
      </c>
      <c r="I2479" s="901" t="str">
        <f>GLOBAL_DER_FEV_2023!I2479</f>
        <v/>
      </c>
      <c r="J2479" s="890">
        <f>GLOBAL_DER_FEV_2023!J2479</f>
        <v>0</v>
      </c>
      <c r="K2479" s="903" t="str">
        <f>GLOBAL_DER_FEV_2023!K2479</f>
        <v xml:space="preserve">     </v>
      </c>
      <c r="L2479" s="1137"/>
      <c r="M2479" s="1175">
        <f t="shared" si="187"/>
        <v>0</v>
      </c>
      <c r="N2479" s="1167">
        <f t="shared" si="191"/>
        <v>0</v>
      </c>
      <c r="O2479" s="1165"/>
      <c r="Q2479" s="317" t="str">
        <f t="shared" si="188"/>
        <v/>
      </c>
      <c r="R2479" s="317" t="str">
        <f t="shared" si="189"/>
        <v/>
      </c>
      <c r="S2479" s="317" t="str">
        <f t="shared" si="190"/>
        <v/>
      </c>
      <c r="T2479" s="317" t="str">
        <f>GLOBAL_DER_FEV_2023!S2479</f>
        <v/>
      </c>
      <c r="W2479" s="582">
        <v>0</v>
      </c>
      <c r="X2479" s="580"/>
      <c r="Y2479" s="583">
        <f>IF(GLOBAL_DER_FEV_2023!W2479=0,0,IF(GLOBAL_DER_FEV_2023!W2479&gt;0,"c","b"))</f>
        <v>0</v>
      </c>
    </row>
    <row r="2480" spans="1:25" ht="15" hidden="1" customHeight="1" x14ac:dyDescent="0.2">
      <c r="A2480" s="640" t="s">
        <v>165</v>
      </c>
      <c r="B2480" s="1036" t="str">
        <f>GLOBAL_DER_FEV_2023!B2480</f>
        <v/>
      </c>
      <c r="C2480" s="1072" t="str">
        <f>GLOBAL_DER_FEV_2023!C2480</f>
        <v/>
      </c>
      <c r="D2480" s="1141">
        <f>GLOBAL_DER_FEV_2023!D2480</f>
        <v>0</v>
      </c>
      <c r="E2480" s="907">
        <f>GLOBAL_DER_FEV_2023!E2480</f>
        <v>0</v>
      </c>
      <c r="F2480" s="908">
        <f>GLOBAL_DER_FEV_2023!F2480</f>
        <v>0</v>
      </c>
      <c r="G2480" s="912">
        <f>GLOBAL_DER_FEV_2023!G2480</f>
        <v>0</v>
      </c>
      <c r="H2480" s="901">
        <f>GLOBAL_DER_FEV_2023!H2480</f>
        <v>0</v>
      </c>
      <c r="I2480" s="901" t="str">
        <f>GLOBAL_DER_FEV_2023!I2480</f>
        <v/>
      </c>
      <c r="J2480" s="890">
        <f>GLOBAL_DER_FEV_2023!J2480</f>
        <v>0</v>
      </c>
      <c r="K2480" s="903" t="str">
        <f>GLOBAL_DER_FEV_2023!K2480</f>
        <v xml:space="preserve">     </v>
      </c>
      <c r="L2480" s="1137"/>
      <c r="M2480" s="1175">
        <f t="shared" si="187"/>
        <v>0</v>
      </c>
      <c r="N2480" s="1167">
        <f t="shared" si="191"/>
        <v>0</v>
      </c>
      <c r="O2480" s="1165"/>
      <c r="Q2480" s="317" t="str">
        <f t="shared" si="188"/>
        <v/>
      </c>
      <c r="R2480" s="317" t="str">
        <f t="shared" si="189"/>
        <v/>
      </c>
      <c r="S2480" s="317" t="str">
        <f t="shared" si="190"/>
        <v/>
      </c>
      <c r="T2480" s="317" t="str">
        <f>GLOBAL_DER_FEV_2023!S2480</f>
        <v/>
      </c>
      <c r="W2480" s="582">
        <v>0</v>
      </c>
      <c r="X2480" s="580"/>
      <c r="Y2480" s="583">
        <f>IF(GLOBAL_DER_FEV_2023!W2480=0,0,IF(GLOBAL_DER_FEV_2023!W2480&gt;0,"c","b"))</f>
        <v>0</v>
      </c>
    </row>
    <row r="2481" spans="1:25" ht="15" hidden="1" customHeight="1" x14ac:dyDescent="0.2">
      <c r="A2481" s="640" t="s">
        <v>165</v>
      </c>
      <c r="B2481" s="1036" t="str">
        <f>GLOBAL_DER_FEV_2023!B2481</f>
        <v/>
      </c>
      <c r="C2481" s="1072" t="str">
        <f>GLOBAL_DER_FEV_2023!C2481</f>
        <v/>
      </c>
      <c r="D2481" s="1141">
        <f>GLOBAL_DER_FEV_2023!D2481</f>
        <v>0</v>
      </c>
      <c r="E2481" s="907">
        <f>GLOBAL_DER_FEV_2023!E2481</f>
        <v>0</v>
      </c>
      <c r="F2481" s="908">
        <f>GLOBAL_DER_FEV_2023!F2481</f>
        <v>0</v>
      </c>
      <c r="G2481" s="912">
        <f>GLOBAL_DER_FEV_2023!G2481</f>
        <v>0</v>
      </c>
      <c r="H2481" s="901">
        <f>GLOBAL_DER_FEV_2023!H2481</f>
        <v>0</v>
      </c>
      <c r="I2481" s="901" t="str">
        <f>GLOBAL_DER_FEV_2023!I2481</f>
        <v/>
      </c>
      <c r="J2481" s="890">
        <f>GLOBAL_DER_FEV_2023!J2481</f>
        <v>0</v>
      </c>
      <c r="K2481" s="903" t="str">
        <f>GLOBAL_DER_FEV_2023!K2481</f>
        <v xml:space="preserve">     </v>
      </c>
      <c r="L2481" s="1137"/>
      <c r="M2481" s="1175">
        <f t="shared" si="187"/>
        <v>0</v>
      </c>
      <c r="N2481" s="1167">
        <f t="shared" si="191"/>
        <v>0</v>
      </c>
      <c r="O2481" s="1165"/>
      <c r="Q2481" s="317" t="str">
        <f t="shared" si="188"/>
        <v/>
      </c>
      <c r="R2481" s="317" t="str">
        <f t="shared" si="189"/>
        <v/>
      </c>
      <c r="S2481" s="317" t="str">
        <f t="shared" si="190"/>
        <v/>
      </c>
      <c r="T2481" s="317" t="str">
        <f>GLOBAL_DER_FEV_2023!S2481</f>
        <v/>
      </c>
      <c r="W2481" s="582">
        <v>0</v>
      </c>
      <c r="X2481" s="580"/>
      <c r="Y2481" s="583">
        <f>IF(GLOBAL_DER_FEV_2023!W2481=0,0,IF(GLOBAL_DER_FEV_2023!W2481&gt;0,"c","b"))</f>
        <v>0</v>
      </c>
    </row>
    <row r="2482" spans="1:25" ht="15" hidden="1" customHeight="1" x14ac:dyDescent="0.2">
      <c r="A2482" s="640" t="s">
        <v>165</v>
      </c>
      <c r="B2482" s="1036" t="str">
        <f>GLOBAL_DER_FEV_2023!B2482</f>
        <v/>
      </c>
      <c r="C2482" s="1072" t="str">
        <f>GLOBAL_DER_FEV_2023!C2482</f>
        <v/>
      </c>
      <c r="D2482" s="1141">
        <f>GLOBAL_DER_FEV_2023!D2482</f>
        <v>0</v>
      </c>
      <c r="E2482" s="907">
        <f>GLOBAL_DER_FEV_2023!E2482</f>
        <v>0</v>
      </c>
      <c r="F2482" s="908">
        <f>GLOBAL_DER_FEV_2023!F2482</f>
        <v>0</v>
      </c>
      <c r="G2482" s="912">
        <f>GLOBAL_DER_FEV_2023!G2482</f>
        <v>0</v>
      </c>
      <c r="H2482" s="901">
        <f>GLOBAL_DER_FEV_2023!H2482</f>
        <v>0</v>
      </c>
      <c r="I2482" s="901" t="str">
        <f>GLOBAL_DER_FEV_2023!I2482</f>
        <v/>
      </c>
      <c r="J2482" s="890">
        <f>GLOBAL_DER_FEV_2023!J2482</f>
        <v>0</v>
      </c>
      <c r="K2482" s="903" t="str">
        <f>GLOBAL_DER_FEV_2023!K2482</f>
        <v xml:space="preserve">     </v>
      </c>
      <c r="L2482" s="1137"/>
      <c r="M2482" s="1175">
        <f t="shared" si="187"/>
        <v>0</v>
      </c>
      <c r="N2482" s="1167">
        <f t="shared" si="191"/>
        <v>0</v>
      </c>
      <c r="O2482" s="1165"/>
      <c r="Q2482" s="317" t="str">
        <f t="shared" si="188"/>
        <v/>
      </c>
      <c r="R2482" s="317" t="str">
        <f t="shared" si="189"/>
        <v/>
      </c>
      <c r="S2482" s="317" t="str">
        <f t="shared" si="190"/>
        <v/>
      </c>
      <c r="T2482" s="317" t="str">
        <f>GLOBAL_DER_FEV_2023!S2482</f>
        <v/>
      </c>
      <c r="W2482" s="582">
        <v>0</v>
      </c>
      <c r="X2482" s="580"/>
      <c r="Y2482" s="583">
        <f>IF(GLOBAL_DER_FEV_2023!W2482=0,0,IF(GLOBAL_DER_FEV_2023!W2482&gt;0,"c","b"))</f>
        <v>0</v>
      </c>
    </row>
    <row r="2483" spans="1:25" ht="15" hidden="1" customHeight="1" x14ac:dyDescent="0.2">
      <c r="A2483" s="640" t="s">
        <v>165</v>
      </c>
      <c r="B2483" s="1036" t="str">
        <f>GLOBAL_DER_FEV_2023!B2483</f>
        <v/>
      </c>
      <c r="C2483" s="1072" t="str">
        <f>GLOBAL_DER_FEV_2023!C2483</f>
        <v/>
      </c>
      <c r="D2483" s="1141">
        <f>GLOBAL_DER_FEV_2023!D2483</f>
        <v>0</v>
      </c>
      <c r="E2483" s="907">
        <f>GLOBAL_DER_FEV_2023!E2483</f>
        <v>0</v>
      </c>
      <c r="F2483" s="908">
        <f>GLOBAL_DER_FEV_2023!F2483</f>
        <v>0</v>
      </c>
      <c r="G2483" s="912">
        <f>GLOBAL_DER_FEV_2023!G2483</f>
        <v>0</v>
      </c>
      <c r="H2483" s="901">
        <f>GLOBAL_DER_FEV_2023!H2483</f>
        <v>0</v>
      </c>
      <c r="I2483" s="901" t="str">
        <f>GLOBAL_DER_FEV_2023!I2483</f>
        <v/>
      </c>
      <c r="J2483" s="890">
        <f>GLOBAL_DER_FEV_2023!J2483</f>
        <v>0</v>
      </c>
      <c r="K2483" s="903" t="str">
        <f>GLOBAL_DER_FEV_2023!K2483</f>
        <v xml:space="preserve">     </v>
      </c>
      <c r="L2483" s="1137"/>
      <c r="M2483" s="1175">
        <f t="shared" si="187"/>
        <v>0</v>
      </c>
      <c r="N2483" s="1167">
        <f t="shared" si="191"/>
        <v>0</v>
      </c>
      <c r="O2483" s="1165"/>
      <c r="Q2483" s="317" t="str">
        <f t="shared" si="188"/>
        <v/>
      </c>
      <c r="R2483" s="317" t="str">
        <f t="shared" si="189"/>
        <v/>
      </c>
      <c r="S2483" s="317" t="str">
        <f t="shared" si="190"/>
        <v/>
      </c>
      <c r="T2483" s="317" t="str">
        <f>GLOBAL_DER_FEV_2023!S2483</f>
        <v/>
      </c>
      <c r="W2483" s="582">
        <v>0</v>
      </c>
      <c r="X2483" s="580"/>
      <c r="Y2483" s="583">
        <f>IF(GLOBAL_DER_FEV_2023!W2483=0,0,IF(GLOBAL_DER_FEV_2023!W2483&gt;0,"c","b"))</f>
        <v>0</v>
      </c>
    </row>
    <row r="2484" spans="1:25" ht="15" hidden="1" customHeight="1" x14ac:dyDescent="0.2">
      <c r="A2484" s="640" t="s">
        <v>165</v>
      </c>
      <c r="B2484" s="1036" t="str">
        <f>GLOBAL_DER_FEV_2023!B2484</f>
        <v/>
      </c>
      <c r="C2484" s="1072" t="str">
        <f>GLOBAL_DER_FEV_2023!C2484</f>
        <v/>
      </c>
      <c r="D2484" s="1141">
        <f>GLOBAL_DER_FEV_2023!D2484</f>
        <v>0</v>
      </c>
      <c r="E2484" s="907">
        <f>GLOBAL_DER_FEV_2023!E2484</f>
        <v>0</v>
      </c>
      <c r="F2484" s="908">
        <f>GLOBAL_DER_FEV_2023!F2484</f>
        <v>0</v>
      </c>
      <c r="G2484" s="912">
        <f>GLOBAL_DER_FEV_2023!G2484</f>
        <v>0</v>
      </c>
      <c r="H2484" s="901">
        <f>GLOBAL_DER_FEV_2023!H2484</f>
        <v>0</v>
      </c>
      <c r="I2484" s="901" t="str">
        <f>GLOBAL_DER_FEV_2023!I2484</f>
        <v/>
      </c>
      <c r="J2484" s="890">
        <f>GLOBAL_DER_FEV_2023!J2484</f>
        <v>0</v>
      </c>
      <c r="K2484" s="903" t="str">
        <f>GLOBAL_DER_FEV_2023!K2484</f>
        <v xml:space="preserve">     </v>
      </c>
      <c r="L2484" s="1137"/>
      <c r="M2484" s="1175">
        <f t="shared" si="187"/>
        <v>0</v>
      </c>
      <c r="N2484" s="1167">
        <f t="shared" si="191"/>
        <v>0</v>
      </c>
      <c r="O2484" s="1165"/>
      <c r="Q2484" s="317" t="str">
        <f t="shared" si="188"/>
        <v/>
      </c>
      <c r="R2484" s="317" t="str">
        <f t="shared" si="189"/>
        <v/>
      </c>
      <c r="S2484" s="317" t="str">
        <f t="shared" si="190"/>
        <v/>
      </c>
      <c r="T2484" s="317" t="str">
        <f>GLOBAL_DER_FEV_2023!S2484</f>
        <v/>
      </c>
      <c r="W2484" s="582">
        <v>0</v>
      </c>
      <c r="X2484" s="580"/>
      <c r="Y2484" s="583">
        <f>IF(GLOBAL_DER_FEV_2023!W2484=0,0,IF(GLOBAL_DER_FEV_2023!W2484&gt;0,"c","b"))</f>
        <v>0</v>
      </c>
    </row>
    <row r="2485" spans="1:25" ht="15" hidden="1" customHeight="1" x14ac:dyDescent="0.2">
      <c r="A2485" s="640" t="s">
        <v>165</v>
      </c>
      <c r="B2485" s="1036" t="str">
        <f>GLOBAL_DER_FEV_2023!B2485</f>
        <v/>
      </c>
      <c r="C2485" s="1072" t="str">
        <f>GLOBAL_DER_FEV_2023!C2485</f>
        <v/>
      </c>
      <c r="D2485" s="1141">
        <f>GLOBAL_DER_FEV_2023!D2485</f>
        <v>0</v>
      </c>
      <c r="E2485" s="907">
        <f>GLOBAL_DER_FEV_2023!E2485</f>
        <v>0</v>
      </c>
      <c r="F2485" s="908">
        <f>GLOBAL_DER_FEV_2023!F2485</f>
        <v>0</v>
      </c>
      <c r="G2485" s="912">
        <f>GLOBAL_DER_FEV_2023!G2485</f>
        <v>0</v>
      </c>
      <c r="H2485" s="901">
        <f>GLOBAL_DER_FEV_2023!H2485</f>
        <v>0</v>
      </c>
      <c r="I2485" s="901" t="str">
        <f>GLOBAL_DER_FEV_2023!I2485</f>
        <v/>
      </c>
      <c r="J2485" s="890">
        <f>GLOBAL_DER_FEV_2023!J2485</f>
        <v>0</v>
      </c>
      <c r="K2485" s="903" t="str">
        <f>GLOBAL_DER_FEV_2023!K2485</f>
        <v xml:space="preserve">     </v>
      </c>
      <c r="L2485" s="1137"/>
      <c r="M2485" s="1175">
        <f t="shared" si="187"/>
        <v>0</v>
      </c>
      <c r="N2485" s="1167">
        <f t="shared" si="191"/>
        <v>0</v>
      </c>
      <c r="O2485" s="1165"/>
      <c r="Q2485" s="317" t="str">
        <f t="shared" si="188"/>
        <v/>
      </c>
      <c r="R2485" s="317" t="str">
        <f t="shared" si="189"/>
        <v/>
      </c>
      <c r="S2485" s="317" t="str">
        <f t="shared" si="190"/>
        <v/>
      </c>
      <c r="T2485" s="317" t="str">
        <f>GLOBAL_DER_FEV_2023!S2485</f>
        <v/>
      </c>
      <c r="W2485" s="582">
        <v>0</v>
      </c>
      <c r="X2485" s="580"/>
      <c r="Y2485" s="583">
        <f>IF(GLOBAL_DER_FEV_2023!W2485=0,0,IF(GLOBAL_DER_FEV_2023!W2485&gt;0,"c","b"))</f>
        <v>0</v>
      </c>
    </row>
    <row r="2486" spans="1:25" ht="15" hidden="1" customHeight="1" x14ac:dyDescent="0.2">
      <c r="A2486" s="640" t="s">
        <v>165</v>
      </c>
      <c r="B2486" s="1036" t="str">
        <f>GLOBAL_DER_FEV_2023!B2486</f>
        <v/>
      </c>
      <c r="C2486" s="1072" t="str">
        <f>GLOBAL_DER_FEV_2023!C2486</f>
        <v/>
      </c>
      <c r="D2486" s="1141">
        <f>GLOBAL_DER_FEV_2023!D2486</f>
        <v>0</v>
      </c>
      <c r="E2486" s="907">
        <f>GLOBAL_DER_FEV_2023!E2486</f>
        <v>0</v>
      </c>
      <c r="F2486" s="908">
        <f>GLOBAL_DER_FEV_2023!F2486</f>
        <v>0</v>
      </c>
      <c r="G2486" s="912">
        <f>GLOBAL_DER_FEV_2023!G2486</f>
        <v>0</v>
      </c>
      <c r="H2486" s="901">
        <f>GLOBAL_DER_FEV_2023!H2486</f>
        <v>0</v>
      </c>
      <c r="I2486" s="901" t="str">
        <f>GLOBAL_DER_FEV_2023!I2486</f>
        <v/>
      </c>
      <c r="J2486" s="890">
        <f>GLOBAL_DER_FEV_2023!J2486</f>
        <v>0</v>
      </c>
      <c r="K2486" s="903" t="str">
        <f>GLOBAL_DER_FEV_2023!K2486</f>
        <v xml:space="preserve">     </v>
      </c>
      <c r="L2486" s="1137"/>
      <c r="M2486" s="1175">
        <f t="shared" si="187"/>
        <v>0</v>
      </c>
      <c r="N2486" s="1167">
        <f t="shared" si="191"/>
        <v>0</v>
      </c>
      <c r="O2486" s="1165"/>
      <c r="Q2486" s="317" t="str">
        <f t="shared" si="188"/>
        <v/>
      </c>
      <c r="R2486" s="317" t="str">
        <f t="shared" si="189"/>
        <v/>
      </c>
      <c r="S2486" s="317" t="str">
        <f t="shared" si="190"/>
        <v/>
      </c>
      <c r="T2486" s="317" t="str">
        <f>GLOBAL_DER_FEV_2023!S2486</f>
        <v/>
      </c>
      <c r="W2486" s="582">
        <v>0</v>
      </c>
      <c r="X2486" s="580"/>
      <c r="Y2486" s="583">
        <f>IF(GLOBAL_DER_FEV_2023!W2486=0,0,IF(GLOBAL_DER_FEV_2023!W2486&gt;0,"c","b"))</f>
        <v>0</v>
      </c>
    </row>
    <row r="2487" spans="1:25" ht="15" hidden="1" customHeight="1" x14ac:dyDescent="0.2">
      <c r="A2487" s="640" t="s">
        <v>165</v>
      </c>
      <c r="B2487" s="1036" t="str">
        <f>GLOBAL_DER_FEV_2023!B2487</f>
        <v/>
      </c>
      <c r="C2487" s="1072" t="str">
        <f>GLOBAL_DER_FEV_2023!C2487</f>
        <v/>
      </c>
      <c r="D2487" s="1141">
        <f>GLOBAL_DER_FEV_2023!D2487</f>
        <v>0</v>
      </c>
      <c r="E2487" s="907">
        <f>GLOBAL_DER_FEV_2023!E2487</f>
        <v>0</v>
      </c>
      <c r="F2487" s="908">
        <f>GLOBAL_DER_FEV_2023!F2487</f>
        <v>0</v>
      </c>
      <c r="G2487" s="912">
        <f>GLOBAL_DER_FEV_2023!G2487</f>
        <v>0</v>
      </c>
      <c r="H2487" s="901">
        <f>GLOBAL_DER_FEV_2023!H2487</f>
        <v>0</v>
      </c>
      <c r="I2487" s="901" t="str">
        <f>GLOBAL_DER_FEV_2023!I2487</f>
        <v/>
      </c>
      <c r="J2487" s="890">
        <f>GLOBAL_DER_FEV_2023!J2487</f>
        <v>0</v>
      </c>
      <c r="K2487" s="903" t="str">
        <f>GLOBAL_DER_FEV_2023!K2487</f>
        <v xml:space="preserve">     </v>
      </c>
      <c r="L2487" s="1137"/>
      <c r="M2487" s="1175">
        <f t="shared" si="187"/>
        <v>0</v>
      </c>
      <c r="N2487" s="1167">
        <f t="shared" si="191"/>
        <v>0</v>
      </c>
      <c r="O2487" s="1165"/>
      <c r="Q2487" s="317" t="str">
        <f t="shared" si="188"/>
        <v/>
      </c>
      <c r="R2487" s="317" t="str">
        <f t="shared" si="189"/>
        <v/>
      </c>
      <c r="S2487" s="317" t="str">
        <f t="shared" si="190"/>
        <v/>
      </c>
      <c r="T2487" s="317" t="str">
        <f>GLOBAL_DER_FEV_2023!S2487</f>
        <v/>
      </c>
      <c r="W2487" s="582">
        <v>0</v>
      </c>
      <c r="X2487" s="580"/>
      <c r="Y2487" s="583">
        <f>IF(GLOBAL_DER_FEV_2023!W2487=0,0,IF(GLOBAL_DER_FEV_2023!W2487&gt;0,"c","b"))</f>
        <v>0</v>
      </c>
    </row>
    <row r="2488" spans="1:25" ht="15" hidden="1" customHeight="1" x14ac:dyDescent="0.2">
      <c r="A2488" s="640" t="s">
        <v>165</v>
      </c>
      <c r="B2488" s="1036" t="str">
        <f>GLOBAL_DER_FEV_2023!B2488</f>
        <v/>
      </c>
      <c r="C2488" s="1072" t="str">
        <f>GLOBAL_DER_FEV_2023!C2488</f>
        <v/>
      </c>
      <c r="D2488" s="1141">
        <f>GLOBAL_DER_FEV_2023!D2488</f>
        <v>0</v>
      </c>
      <c r="E2488" s="907">
        <f>GLOBAL_DER_FEV_2023!E2488</f>
        <v>0</v>
      </c>
      <c r="F2488" s="908">
        <f>GLOBAL_DER_FEV_2023!F2488</f>
        <v>0</v>
      </c>
      <c r="G2488" s="912">
        <f>GLOBAL_DER_FEV_2023!G2488</f>
        <v>0</v>
      </c>
      <c r="H2488" s="901">
        <f>GLOBAL_DER_FEV_2023!H2488</f>
        <v>0</v>
      </c>
      <c r="I2488" s="901" t="str">
        <f>GLOBAL_DER_FEV_2023!I2488</f>
        <v/>
      </c>
      <c r="J2488" s="890">
        <f>GLOBAL_DER_FEV_2023!J2488</f>
        <v>0</v>
      </c>
      <c r="K2488" s="903" t="str">
        <f>GLOBAL_DER_FEV_2023!K2488</f>
        <v xml:space="preserve">     </v>
      </c>
      <c r="L2488" s="1137"/>
      <c r="M2488" s="1175">
        <f t="shared" si="187"/>
        <v>0</v>
      </c>
      <c r="N2488" s="1167">
        <f t="shared" si="191"/>
        <v>0</v>
      </c>
      <c r="O2488" s="1165"/>
      <c r="Q2488" s="317" t="str">
        <f t="shared" si="188"/>
        <v/>
      </c>
      <c r="R2488" s="317" t="str">
        <f t="shared" si="189"/>
        <v/>
      </c>
      <c r="S2488" s="317" t="str">
        <f t="shared" si="190"/>
        <v/>
      </c>
      <c r="T2488" s="317" t="str">
        <f>GLOBAL_DER_FEV_2023!S2488</f>
        <v/>
      </c>
      <c r="W2488" s="582">
        <v>0</v>
      </c>
      <c r="X2488" s="580"/>
      <c r="Y2488" s="583">
        <f>IF(GLOBAL_DER_FEV_2023!W2488=0,0,IF(GLOBAL_DER_FEV_2023!W2488&gt;0,"c","b"))</f>
        <v>0</v>
      </c>
    </row>
    <row r="2489" spans="1:25" ht="15" hidden="1" customHeight="1" x14ac:dyDescent="0.2">
      <c r="A2489" s="640" t="s">
        <v>165</v>
      </c>
      <c r="B2489" s="1036" t="str">
        <f>GLOBAL_DER_FEV_2023!B2489</f>
        <v/>
      </c>
      <c r="C2489" s="1072" t="str">
        <f>GLOBAL_DER_FEV_2023!C2489</f>
        <v/>
      </c>
      <c r="D2489" s="1141">
        <f>GLOBAL_DER_FEV_2023!D2489</f>
        <v>0</v>
      </c>
      <c r="E2489" s="907">
        <f>GLOBAL_DER_FEV_2023!E2489</f>
        <v>0</v>
      </c>
      <c r="F2489" s="908">
        <f>GLOBAL_DER_FEV_2023!F2489</f>
        <v>0</v>
      </c>
      <c r="G2489" s="912">
        <f>GLOBAL_DER_FEV_2023!G2489</f>
        <v>0</v>
      </c>
      <c r="H2489" s="901">
        <f>GLOBAL_DER_FEV_2023!H2489</f>
        <v>0</v>
      </c>
      <c r="I2489" s="901" t="str">
        <f>GLOBAL_DER_FEV_2023!I2489</f>
        <v/>
      </c>
      <c r="J2489" s="890">
        <f>GLOBAL_DER_FEV_2023!J2489</f>
        <v>0</v>
      </c>
      <c r="K2489" s="903" t="str">
        <f>GLOBAL_DER_FEV_2023!K2489</f>
        <v xml:space="preserve">     </v>
      </c>
      <c r="L2489" s="1137"/>
      <c r="M2489" s="1175">
        <f t="shared" si="187"/>
        <v>0</v>
      </c>
      <c r="N2489" s="1167">
        <f t="shared" si="191"/>
        <v>0</v>
      </c>
      <c r="O2489" s="1165"/>
      <c r="Q2489" s="317" t="str">
        <f t="shared" si="188"/>
        <v/>
      </c>
      <c r="R2489" s="317" t="str">
        <f t="shared" si="189"/>
        <v/>
      </c>
      <c r="S2489" s="317" t="str">
        <f t="shared" si="190"/>
        <v/>
      </c>
      <c r="T2489" s="317" t="str">
        <f>GLOBAL_DER_FEV_2023!S2489</f>
        <v/>
      </c>
      <c r="W2489" s="582">
        <v>0</v>
      </c>
      <c r="X2489" s="580"/>
      <c r="Y2489" s="583">
        <f>IF(GLOBAL_DER_FEV_2023!W2489=0,0,IF(GLOBAL_DER_FEV_2023!W2489&gt;0,"c","b"))</f>
        <v>0</v>
      </c>
    </row>
    <row r="2490" spans="1:25" ht="15" hidden="1" customHeight="1" x14ac:dyDescent="0.2">
      <c r="A2490" s="640" t="s">
        <v>165</v>
      </c>
      <c r="B2490" s="1036" t="str">
        <f>GLOBAL_DER_FEV_2023!B2490</f>
        <v/>
      </c>
      <c r="C2490" s="1072" t="str">
        <f>GLOBAL_DER_FEV_2023!C2490</f>
        <v/>
      </c>
      <c r="D2490" s="1141">
        <f>GLOBAL_DER_FEV_2023!D2490</f>
        <v>0</v>
      </c>
      <c r="E2490" s="907">
        <f>GLOBAL_DER_FEV_2023!E2490</f>
        <v>0</v>
      </c>
      <c r="F2490" s="908">
        <f>GLOBAL_DER_FEV_2023!F2490</f>
        <v>0</v>
      </c>
      <c r="G2490" s="912">
        <f>GLOBAL_DER_FEV_2023!G2490</f>
        <v>0</v>
      </c>
      <c r="H2490" s="901">
        <f>GLOBAL_DER_FEV_2023!H2490</f>
        <v>0</v>
      </c>
      <c r="I2490" s="901" t="str">
        <f>GLOBAL_DER_FEV_2023!I2490</f>
        <v/>
      </c>
      <c r="J2490" s="890">
        <f>GLOBAL_DER_FEV_2023!J2490</f>
        <v>0</v>
      </c>
      <c r="K2490" s="903" t="str">
        <f>GLOBAL_DER_FEV_2023!K2490</f>
        <v xml:space="preserve">     </v>
      </c>
      <c r="L2490" s="1137"/>
      <c r="M2490" s="1175">
        <f t="shared" si="187"/>
        <v>0</v>
      </c>
      <c r="N2490" s="1167">
        <f t="shared" si="191"/>
        <v>0</v>
      </c>
      <c r="O2490" s="1165"/>
      <c r="Q2490" s="317" t="str">
        <f t="shared" si="188"/>
        <v/>
      </c>
      <c r="R2490" s="317" t="str">
        <f t="shared" si="189"/>
        <v/>
      </c>
      <c r="S2490" s="317" t="str">
        <f t="shared" si="190"/>
        <v/>
      </c>
      <c r="T2490" s="317" t="str">
        <f>GLOBAL_DER_FEV_2023!S2490</f>
        <v/>
      </c>
      <c r="W2490" s="582">
        <v>0</v>
      </c>
      <c r="X2490" s="580"/>
      <c r="Y2490" s="583">
        <f>IF(GLOBAL_DER_FEV_2023!W2490=0,0,IF(GLOBAL_DER_FEV_2023!W2490&gt;0,"c","b"))</f>
        <v>0</v>
      </c>
    </row>
    <row r="2491" spans="1:25" ht="15" hidden="1" customHeight="1" x14ac:dyDescent="0.2">
      <c r="A2491" s="640" t="s">
        <v>165</v>
      </c>
      <c r="B2491" s="1036" t="str">
        <f>GLOBAL_DER_FEV_2023!B2491</f>
        <v/>
      </c>
      <c r="C2491" s="1072" t="str">
        <f>GLOBAL_DER_FEV_2023!C2491</f>
        <v/>
      </c>
      <c r="D2491" s="1141">
        <f>GLOBAL_DER_FEV_2023!D2491</f>
        <v>0</v>
      </c>
      <c r="E2491" s="907">
        <f>GLOBAL_DER_FEV_2023!E2491</f>
        <v>0</v>
      </c>
      <c r="F2491" s="908">
        <f>GLOBAL_DER_FEV_2023!F2491</f>
        <v>0</v>
      </c>
      <c r="G2491" s="912">
        <f>GLOBAL_DER_FEV_2023!G2491</f>
        <v>0</v>
      </c>
      <c r="H2491" s="901">
        <f>GLOBAL_DER_FEV_2023!H2491</f>
        <v>0</v>
      </c>
      <c r="I2491" s="901" t="str">
        <f>GLOBAL_DER_FEV_2023!I2491</f>
        <v/>
      </c>
      <c r="J2491" s="890">
        <f>GLOBAL_DER_FEV_2023!J2491</f>
        <v>0</v>
      </c>
      <c r="K2491" s="903" t="str">
        <f>GLOBAL_DER_FEV_2023!K2491</f>
        <v xml:space="preserve">     </v>
      </c>
      <c r="L2491" s="1137"/>
      <c r="M2491" s="1175">
        <f t="shared" si="187"/>
        <v>0</v>
      </c>
      <c r="N2491" s="1167">
        <f t="shared" si="191"/>
        <v>0</v>
      </c>
      <c r="O2491" s="1165"/>
      <c r="Q2491" s="317" t="str">
        <f t="shared" si="188"/>
        <v/>
      </c>
      <c r="R2491" s="317" t="str">
        <f t="shared" si="189"/>
        <v/>
      </c>
      <c r="S2491" s="317" t="str">
        <f t="shared" si="190"/>
        <v/>
      </c>
      <c r="T2491" s="317" t="str">
        <f>GLOBAL_DER_FEV_2023!S2491</f>
        <v/>
      </c>
      <c r="W2491" s="582">
        <v>0</v>
      </c>
      <c r="X2491" s="580"/>
      <c r="Y2491" s="583">
        <f>IF(GLOBAL_DER_FEV_2023!W2491=0,0,IF(GLOBAL_DER_FEV_2023!W2491&gt;0,"c","b"))</f>
        <v>0</v>
      </c>
    </row>
    <row r="2492" spans="1:25" ht="15" hidden="1" customHeight="1" x14ac:dyDescent="0.2">
      <c r="A2492" s="640" t="s">
        <v>165</v>
      </c>
      <c r="B2492" s="1036" t="str">
        <f>GLOBAL_DER_FEV_2023!B2492</f>
        <v/>
      </c>
      <c r="C2492" s="1072" t="str">
        <f>GLOBAL_DER_FEV_2023!C2492</f>
        <v/>
      </c>
      <c r="D2492" s="1141">
        <f>GLOBAL_DER_FEV_2023!D2492</f>
        <v>0</v>
      </c>
      <c r="E2492" s="907">
        <f>GLOBAL_DER_FEV_2023!E2492</f>
        <v>0</v>
      </c>
      <c r="F2492" s="908">
        <f>GLOBAL_DER_FEV_2023!F2492</f>
        <v>0</v>
      </c>
      <c r="G2492" s="912">
        <f>GLOBAL_DER_FEV_2023!G2492</f>
        <v>0</v>
      </c>
      <c r="H2492" s="901">
        <f>GLOBAL_DER_FEV_2023!H2492</f>
        <v>0</v>
      </c>
      <c r="I2492" s="901" t="str">
        <f>GLOBAL_DER_FEV_2023!I2492</f>
        <v/>
      </c>
      <c r="J2492" s="890">
        <f>GLOBAL_DER_FEV_2023!J2492</f>
        <v>0</v>
      </c>
      <c r="K2492" s="903" t="str">
        <f>GLOBAL_DER_FEV_2023!K2492</f>
        <v xml:space="preserve">     </v>
      </c>
      <c r="L2492" s="1137"/>
      <c r="M2492" s="1175">
        <f t="shared" si="187"/>
        <v>0</v>
      </c>
      <c r="N2492" s="1167">
        <f t="shared" si="191"/>
        <v>0</v>
      </c>
      <c r="O2492" s="1165"/>
      <c r="Q2492" s="317" t="str">
        <f t="shared" si="188"/>
        <v/>
      </c>
      <c r="R2492" s="317" t="str">
        <f t="shared" si="189"/>
        <v/>
      </c>
      <c r="S2492" s="317" t="str">
        <f t="shared" si="190"/>
        <v/>
      </c>
      <c r="T2492" s="317" t="str">
        <f>GLOBAL_DER_FEV_2023!S2492</f>
        <v/>
      </c>
      <c r="W2492" s="582">
        <v>0</v>
      </c>
      <c r="X2492" s="580"/>
      <c r="Y2492" s="583">
        <f>IF(GLOBAL_DER_FEV_2023!W2492=0,0,IF(GLOBAL_DER_FEV_2023!W2492&gt;0,"c","b"))</f>
        <v>0</v>
      </c>
    </row>
    <row r="2493" spans="1:25" ht="15" hidden="1" customHeight="1" x14ac:dyDescent="0.2">
      <c r="A2493" s="640" t="s">
        <v>165</v>
      </c>
      <c r="B2493" s="1036" t="str">
        <f>GLOBAL_DER_FEV_2023!B2493</f>
        <v/>
      </c>
      <c r="C2493" s="1072" t="str">
        <f>GLOBAL_DER_FEV_2023!C2493</f>
        <v/>
      </c>
      <c r="D2493" s="1141">
        <f>GLOBAL_DER_FEV_2023!D2493</f>
        <v>0</v>
      </c>
      <c r="E2493" s="907">
        <f>GLOBAL_DER_FEV_2023!E2493</f>
        <v>0</v>
      </c>
      <c r="F2493" s="908">
        <f>GLOBAL_DER_FEV_2023!F2493</f>
        <v>0</v>
      </c>
      <c r="G2493" s="912">
        <f>GLOBAL_DER_FEV_2023!G2493</f>
        <v>0</v>
      </c>
      <c r="H2493" s="901">
        <f>GLOBAL_DER_FEV_2023!H2493</f>
        <v>0</v>
      </c>
      <c r="I2493" s="901" t="str">
        <f>GLOBAL_DER_FEV_2023!I2493</f>
        <v/>
      </c>
      <c r="J2493" s="890">
        <f>GLOBAL_DER_FEV_2023!J2493</f>
        <v>0</v>
      </c>
      <c r="K2493" s="903" t="str">
        <f>GLOBAL_DER_FEV_2023!K2493</f>
        <v xml:space="preserve">     </v>
      </c>
      <c r="L2493" s="1137"/>
      <c r="M2493" s="1175">
        <f t="shared" si="187"/>
        <v>0</v>
      </c>
      <c r="N2493" s="1167">
        <f t="shared" si="191"/>
        <v>0</v>
      </c>
      <c r="O2493" s="1165"/>
      <c r="Q2493" s="317" t="str">
        <f t="shared" si="188"/>
        <v/>
      </c>
      <c r="R2493" s="317" t="str">
        <f t="shared" si="189"/>
        <v/>
      </c>
      <c r="S2493" s="317" t="str">
        <f t="shared" si="190"/>
        <v/>
      </c>
      <c r="T2493" s="317" t="str">
        <f>GLOBAL_DER_FEV_2023!S2493</f>
        <v/>
      </c>
      <c r="W2493" s="582">
        <v>0</v>
      </c>
      <c r="X2493" s="580"/>
      <c r="Y2493" s="583">
        <f>IF(GLOBAL_DER_FEV_2023!W2493=0,0,IF(GLOBAL_DER_FEV_2023!W2493&gt;0,"c","b"))</f>
        <v>0</v>
      </c>
    </row>
    <row r="2494" spans="1:25" ht="15" hidden="1" customHeight="1" x14ac:dyDescent="0.2">
      <c r="A2494" s="640" t="s">
        <v>165</v>
      </c>
      <c r="B2494" s="1036" t="str">
        <f>GLOBAL_DER_FEV_2023!B2494</f>
        <v/>
      </c>
      <c r="C2494" s="1072" t="str">
        <f>GLOBAL_DER_FEV_2023!C2494</f>
        <v/>
      </c>
      <c r="D2494" s="1141">
        <f>GLOBAL_DER_FEV_2023!D2494</f>
        <v>0</v>
      </c>
      <c r="E2494" s="907">
        <f>GLOBAL_DER_FEV_2023!E2494</f>
        <v>0</v>
      </c>
      <c r="F2494" s="908">
        <f>GLOBAL_DER_FEV_2023!F2494</f>
        <v>0</v>
      </c>
      <c r="G2494" s="912">
        <f>GLOBAL_DER_FEV_2023!G2494</f>
        <v>0</v>
      </c>
      <c r="H2494" s="901">
        <f>GLOBAL_DER_FEV_2023!H2494</f>
        <v>0</v>
      </c>
      <c r="I2494" s="901" t="str">
        <f>GLOBAL_DER_FEV_2023!I2494</f>
        <v/>
      </c>
      <c r="J2494" s="890">
        <f>GLOBAL_DER_FEV_2023!J2494</f>
        <v>0</v>
      </c>
      <c r="K2494" s="903" t="str">
        <f>GLOBAL_DER_FEV_2023!K2494</f>
        <v xml:space="preserve">     </v>
      </c>
      <c r="L2494" s="1137"/>
      <c r="M2494" s="1175">
        <f t="shared" si="187"/>
        <v>0</v>
      </c>
      <c r="N2494" s="1167">
        <f t="shared" si="191"/>
        <v>0</v>
      </c>
      <c r="O2494" s="1165"/>
      <c r="Q2494" s="317" t="str">
        <f t="shared" si="188"/>
        <v/>
      </c>
      <c r="R2494" s="317" t="str">
        <f t="shared" si="189"/>
        <v/>
      </c>
      <c r="S2494" s="317" t="str">
        <f t="shared" si="190"/>
        <v/>
      </c>
      <c r="T2494" s="317" t="str">
        <f>GLOBAL_DER_FEV_2023!S2494</f>
        <v/>
      </c>
      <c r="W2494" s="582">
        <v>0</v>
      </c>
      <c r="X2494" s="580"/>
      <c r="Y2494" s="583">
        <f>IF(GLOBAL_DER_FEV_2023!W2494=0,0,IF(GLOBAL_DER_FEV_2023!W2494&gt;0,"c","b"))</f>
        <v>0</v>
      </c>
    </row>
    <row r="2495" spans="1:25" ht="15" hidden="1" customHeight="1" x14ac:dyDescent="0.2">
      <c r="A2495" s="640" t="s">
        <v>165</v>
      </c>
      <c r="B2495" s="1036" t="str">
        <f>GLOBAL_DER_FEV_2023!B2495</f>
        <v/>
      </c>
      <c r="C2495" s="1072" t="str">
        <f>GLOBAL_DER_FEV_2023!C2495</f>
        <v/>
      </c>
      <c r="D2495" s="1141">
        <f>GLOBAL_DER_FEV_2023!D2495</f>
        <v>0</v>
      </c>
      <c r="E2495" s="907">
        <f>GLOBAL_DER_FEV_2023!E2495</f>
        <v>0</v>
      </c>
      <c r="F2495" s="908">
        <f>GLOBAL_DER_FEV_2023!F2495</f>
        <v>0</v>
      </c>
      <c r="G2495" s="912">
        <f>GLOBAL_DER_FEV_2023!G2495</f>
        <v>0</v>
      </c>
      <c r="H2495" s="901">
        <f>GLOBAL_DER_FEV_2023!H2495</f>
        <v>0</v>
      </c>
      <c r="I2495" s="901" t="str">
        <f>GLOBAL_DER_FEV_2023!I2495</f>
        <v/>
      </c>
      <c r="J2495" s="890">
        <f>GLOBAL_DER_FEV_2023!J2495</f>
        <v>0</v>
      </c>
      <c r="K2495" s="903" t="str">
        <f>GLOBAL_DER_FEV_2023!K2495</f>
        <v xml:space="preserve">     </v>
      </c>
      <c r="L2495" s="1137"/>
      <c r="M2495" s="1175">
        <f t="shared" si="187"/>
        <v>0</v>
      </c>
      <c r="N2495" s="1167">
        <f t="shared" si="191"/>
        <v>0</v>
      </c>
      <c r="O2495" s="1165"/>
      <c r="Q2495" s="317" t="str">
        <f t="shared" si="188"/>
        <v/>
      </c>
      <c r="R2495" s="317" t="str">
        <f t="shared" si="189"/>
        <v/>
      </c>
      <c r="S2495" s="317" t="str">
        <f t="shared" si="190"/>
        <v/>
      </c>
      <c r="T2495" s="317" t="str">
        <f>GLOBAL_DER_FEV_2023!S2495</f>
        <v/>
      </c>
      <c r="W2495" s="582">
        <v>0</v>
      </c>
      <c r="X2495" s="580"/>
      <c r="Y2495" s="583">
        <f>IF(GLOBAL_DER_FEV_2023!W2495=0,0,IF(GLOBAL_DER_FEV_2023!W2495&gt;0,"c","b"))</f>
        <v>0</v>
      </c>
    </row>
    <row r="2496" spans="1:25" ht="15" hidden="1" customHeight="1" x14ac:dyDescent="0.2">
      <c r="A2496" s="640" t="s">
        <v>165</v>
      </c>
      <c r="B2496" s="1036" t="str">
        <f>GLOBAL_DER_FEV_2023!B2496</f>
        <v/>
      </c>
      <c r="C2496" s="1072" t="str">
        <f>GLOBAL_DER_FEV_2023!C2496</f>
        <v/>
      </c>
      <c r="D2496" s="1141">
        <f>GLOBAL_DER_FEV_2023!D2496</f>
        <v>0</v>
      </c>
      <c r="E2496" s="907">
        <f>GLOBAL_DER_FEV_2023!E2496</f>
        <v>0</v>
      </c>
      <c r="F2496" s="908">
        <f>GLOBAL_DER_FEV_2023!F2496</f>
        <v>0</v>
      </c>
      <c r="G2496" s="912">
        <f>GLOBAL_DER_FEV_2023!G2496</f>
        <v>0</v>
      </c>
      <c r="H2496" s="901">
        <f>GLOBAL_DER_FEV_2023!H2496</f>
        <v>0</v>
      </c>
      <c r="I2496" s="901" t="str">
        <f>GLOBAL_DER_FEV_2023!I2496</f>
        <v/>
      </c>
      <c r="J2496" s="890">
        <f>GLOBAL_DER_FEV_2023!J2496</f>
        <v>0</v>
      </c>
      <c r="K2496" s="903" t="str">
        <f>GLOBAL_DER_FEV_2023!K2496</f>
        <v xml:space="preserve">     </v>
      </c>
      <c r="L2496" s="1137"/>
      <c r="M2496" s="1175">
        <f t="shared" si="187"/>
        <v>0</v>
      </c>
      <c r="N2496" s="1167">
        <f t="shared" si="191"/>
        <v>0</v>
      </c>
      <c r="O2496" s="1165"/>
      <c r="Q2496" s="317" t="str">
        <f t="shared" si="188"/>
        <v/>
      </c>
      <c r="R2496" s="317" t="str">
        <f t="shared" si="189"/>
        <v/>
      </c>
      <c r="S2496" s="317" t="str">
        <f t="shared" si="190"/>
        <v/>
      </c>
      <c r="T2496" s="317" t="str">
        <f>GLOBAL_DER_FEV_2023!S2496</f>
        <v/>
      </c>
      <c r="W2496" s="582">
        <v>0</v>
      </c>
      <c r="X2496" s="580"/>
      <c r="Y2496" s="583">
        <f>IF(GLOBAL_DER_FEV_2023!W2496=0,0,IF(GLOBAL_DER_FEV_2023!W2496&gt;0,"c","b"))</f>
        <v>0</v>
      </c>
    </row>
    <row r="2497" spans="1:25" ht="15" hidden="1" customHeight="1" x14ac:dyDescent="0.2">
      <c r="A2497" s="640" t="s">
        <v>165</v>
      </c>
      <c r="B2497" s="1036" t="str">
        <f>GLOBAL_DER_FEV_2023!B2497</f>
        <v/>
      </c>
      <c r="C2497" s="1072" t="str">
        <f>GLOBAL_DER_FEV_2023!C2497</f>
        <v/>
      </c>
      <c r="D2497" s="1141">
        <f>GLOBAL_DER_FEV_2023!D2497</f>
        <v>0</v>
      </c>
      <c r="E2497" s="907">
        <f>GLOBAL_DER_FEV_2023!E2497</f>
        <v>0</v>
      </c>
      <c r="F2497" s="908">
        <f>GLOBAL_DER_FEV_2023!F2497</f>
        <v>0</v>
      </c>
      <c r="G2497" s="912">
        <f>GLOBAL_DER_FEV_2023!G2497</f>
        <v>0</v>
      </c>
      <c r="H2497" s="901">
        <f>GLOBAL_DER_FEV_2023!H2497</f>
        <v>0</v>
      </c>
      <c r="I2497" s="901" t="str">
        <f>GLOBAL_DER_FEV_2023!I2497</f>
        <v/>
      </c>
      <c r="J2497" s="890">
        <f>GLOBAL_DER_FEV_2023!J2497</f>
        <v>0</v>
      </c>
      <c r="K2497" s="903" t="str">
        <f>GLOBAL_DER_FEV_2023!K2497</f>
        <v xml:space="preserve">     </v>
      </c>
      <c r="L2497" s="1137"/>
      <c r="M2497" s="1175">
        <f t="shared" si="187"/>
        <v>0</v>
      </c>
      <c r="N2497" s="1167">
        <f t="shared" si="191"/>
        <v>0</v>
      </c>
      <c r="O2497" s="1165"/>
      <c r="Q2497" s="317" t="str">
        <f t="shared" si="188"/>
        <v/>
      </c>
      <c r="R2497" s="317" t="str">
        <f t="shared" si="189"/>
        <v/>
      </c>
      <c r="S2497" s="317" t="str">
        <f t="shared" si="190"/>
        <v/>
      </c>
      <c r="T2497" s="317" t="str">
        <f>GLOBAL_DER_FEV_2023!S2497</f>
        <v/>
      </c>
      <c r="W2497" s="582">
        <v>0</v>
      </c>
      <c r="X2497" s="580"/>
      <c r="Y2497" s="583">
        <f>IF(GLOBAL_DER_FEV_2023!W2497=0,0,IF(GLOBAL_DER_FEV_2023!W2497&gt;0,"c","b"))</f>
        <v>0</v>
      </c>
    </row>
    <row r="2498" spans="1:25" ht="15" hidden="1" customHeight="1" thickBot="1" x14ac:dyDescent="0.25">
      <c r="A2498" s="640" t="s">
        <v>165</v>
      </c>
      <c r="B2498" s="1036" t="str">
        <f>GLOBAL_DER_FEV_2023!B2498</f>
        <v/>
      </c>
      <c r="C2498" s="1072" t="str">
        <f>GLOBAL_DER_FEV_2023!C2498</f>
        <v/>
      </c>
      <c r="D2498" s="1141">
        <f>GLOBAL_DER_FEV_2023!D2498</f>
        <v>0</v>
      </c>
      <c r="E2498" s="907">
        <f>GLOBAL_DER_FEV_2023!E2498</f>
        <v>0</v>
      </c>
      <c r="F2498" s="908">
        <f>GLOBAL_DER_FEV_2023!F2498</f>
        <v>0</v>
      </c>
      <c r="G2498" s="912">
        <f>GLOBAL_DER_FEV_2023!G2498</f>
        <v>0</v>
      </c>
      <c r="H2498" s="901">
        <f>GLOBAL_DER_FEV_2023!H2498</f>
        <v>0</v>
      </c>
      <c r="I2498" s="901" t="str">
        <f>GLOBAL_DER_FEV_2023!I2498</f>
        <v/>
      </c>
      <c r="J2498" s="890">
        <f>GLOBAL_DER_FEV_2023!J2498</f>
        <v>0</v>
      </c>
      <c r="K2498" s="903" t="str">
        <f>GLOBAL_DER_FEV_2023!K2498</f>
        <v xml:space="preserve">     </v>
      </c>
      <c r="L2498" s="1137"/>
      <c r="M2498" s="1175">
        <f t="shared" si="187"/>
        <v>0</v>
      </c>
      <c r="N2498" s="1167">
        <f t="shared" si="191"/>
        <v>0</v>
      </c>
      <c r="O2498" s="1165"/>
      <c r="Q2498" s="317" t="str">
        <f t="shared" si="188"/>
        <v/>
      </c>
      <c r="R2498" s="317" t="str">
        <f t="shared" si="189"/>
        <v/>
      </c>
      <c r="S2498" s="317" t="str">
        <f t="shared" si="190"/>
        <v/>
      </c>
      <c r="T2498" s="317" t="str">
        <f>GLOBAL_DER_FEV_2023!S2498</f>
        <v/>
      </c>
      <c r="W2498" s="582">
        <v>0</v>
      </c>
      <c r="X2498" s="580"/>
      <c r="Y2498" s="583">
        <f>IF(GLOBAL_DER_FEV_2023!W2498=0,0,IF(GLOBAL_DER_FEV_2023!W2498&gt;0,"c","b"))</f>
        <v>0</v>
      </c>
    </row>
    <row r="2499" spans="1:25" ht="15" hidden="1" customHeight="1" x14ac:dyDescent="0.2">
      <c r="A2499" s="640" t="s">
        <v>165</v>
      </c>
      <c r="B2499" s="1047" t="s">
        <v>487</v>
      </c>
      <c r="C2499" s="1048"/>
      <c r="D2499" s="1049" t="s">
        <v>525</v>
      </c>
      <c r="E2499" s="1050">
        <f>GLOBAL_DER_FEV_2023!E2499</f>
        <v>0</v>
      </c>
      <c r="F2499" s="1051"/>
      <c r="G2499" s="1052"/>
      <c r="H2499" s="1053">
        <f>GLOBAL_DER_FEV_2023!H2499</f>
        <v>0</v>
      </c>
      <c r="I2499" s="1053">
        <f>GLOBAL_DER_FEV_2023!I2499</f>
        <v>0</v>
      </c>
      <c r="J2499" s="1053">
        <f>GLOBAL_DER_FEV_2023!J2499</f>
        <v>0</v>
      </c>
      <c r="K2499" s="1054" t="s">
        <v>507</v>
      </c>
      <c r="L2499" s="1179"/>
      <c r="M2499" s="1180">
        <f t="shared" si="187"/>
        <v>0</v>
      </c>
      <c r="N2499" s="1057">
        <f t="shared" si="191"/>
        <v>0</v>
      </c>
      <c r="O2499" s="1058">
        <f>SUM(N2501:N2546)</f>
        <v>0</v>
      </c>
      <c r="P2499" s="58" t="str">
        <f>IF(OR(O2499&gt;0,O2499&gt;0),"X","")</f>
        <v/>
      </c>
      <c r="Q2499" s="317" t="str">
        <f t="shared" si="188"/>
        <v/>
      </c>
      <c r="R2499" s="317" t="str">
        <f t="shared" si="189"/>
        <v/>
      </c>
      <c r="S2499" s="317" t="str">
        <f t="shared" si="190"/>
        <v/>
      </c>
      <c r="T2499" s="317" t="str">
        <f>GLOBAL_DER_FEV_2023!S2499</f>
        <v/>
      </c>
      <c r="W2499" s="582">
        <v>0</v>
      </c>
      <c r="X2499" s="580"/>
      <c r="Y2499" s="583">
        <f>IF(GLOBAL_DER_FEV_2023!W2499=0,0,IF(GLOBAL_DER_FEV_2023!W2499&gt;0,"c","b"))</f>
        <v>0</v>
      </c>
    </row>
    <row r="2500" spans="1:25" ht="54" hidden="1" customHeight="1" thickBot="1" x14ac:dyDescent="0.25">
      <c r="A2500" s="640"/>
      <c r="B2500" s="1059"/>
      <c r="C2500" s="1060"/>
      <c r="D2500" s="1061" t="s">
        <v>2013</v>
      </c>
      <c r="E2500" s="1062">
        <f>GLOBAL_DER_FEV_2023!E2500</f>
        <v>0</v>
      </c>
      <c r="F2500" s="1063"/>
      <c r="G2500" s="1064"/>
      <c r="H2500" s="1065">
        <f>GLOBAL_DER_FEV_2023!H2500</f>
        <v>0</v>
      </c>
      <c r="I2500" s="1065">
        <f>GLOBAL_DER_FEV_2023!I2500</f>
        <v>0</v>
      </c>
      <c r="J2500" s="1065">
        <f>GLOBAL_DER_FEV_2023!J2500</f>
        <v>0</v>
      </c>
      <c r="K2500" s="1066"/>
      <c r="L2500" s="1112"/>
      <c r="M2500" s="1112">
        <f t="shared" si="187"/>
        <v>0</v>
      </c>
      <c r="N2500" s="1068">
        <f t="shared" si="191"/>
        <v>0</v>
      </c>
      <c r="O2500" s="1069"/>
      <c r="P2500" s="577" t="str">
        <f>P2499</f>
        <v/>
      </c>
      <c r="Q2500" s="317" t="str">
        <f t="shared" si="188"/>
        <v/>
      </c>
      <c r="R2500" s="317" t="str">
        <f t="shared" si="189"/>
        <v/>
      </c>
      <c r="S2500" s="317" t="str">
        <f t="shared" si="190"/>
        <v/>
      </c>
      <c r="T2500" s="317" t="str">
        <f>GLOBAL_DER_FEV_2023!S2500</f>
        <v/>
      </c>
      <c r="W2500" s="582">
        <v>0</v>
      </c>
      <c r="X2500" s="580"/>
      <c r="Y2500" s="583">
        <f>IF(GLOBAL_DER_FEV_2023!W2500=0,0,IF(GLOBAL_DER_FEV_2023!W2500&gt;0,"c","b"))</f>
        <v>0</v>
      </c>
    </row>
    <row r="2501" spans="1:25" s="77" customFormat="1" ht="23.25" hidden="1" thickBot="1" x14ac:dyDescent="0.25">
      <c r="A2501" s="640" t="s">
        <v>165</v>
      </c>
      <c r="B2501" s="883" t="s">
        <v>535</v>
      </c>
      <c r="C2501" s="884" t="s">
        <v>503</v>
      </c>
      <c r="D2501" s="946" t="s">
        <v>488</v>
      </c>
      <c r="E2501" s="1031">
        <f>GLOBAL_DER_FEV_2023!E2501</f>
        <v>0</v>
      </c>
      <c r="F2501" s="947">
        <f>GLOBAL_DER_FEV_2023!F2501</f>
        <v>0</v>
      </c>
      <c r="G2501" s="949">
        <f>GLOBAL_DER_FEV_2023!G2501</f>
        <v>0</v>
      </c>
      <c r="H2501" s="889">
        <f>GLOBAL_DER_FEV_2023!H2501</f>
        <v>163.62</v>
      </c>
      <c r="I2501" s="889">
        <f>GLOBAL_DER_FEV_2023!I2501</f>
        <v>163.62</v>
      </c>
      <c r="J2501" s="890">
        <f>GLOBAL_DER_FEV_2023!J2501</f>
        <v>196.46</v>
      </c>
      <c r="K2501" s="891" t="s">
        <v>15</v>
      </c>
      <c r="L2501" s="1137"/>
      <c r="M2501" s="1138">
        <f t="shared" si="187"/>
        <v>0</v>
      </c>
      <c r="N2501" s="932">
        <f t="shared" si="191"/>
        <v>0</v>
      </c>
      <c r="O2501" s="905"/>
      <c r="P2501" s="76"/>
      <c r="Q2501" s="317" t="str">
        <f t="shared" si="188"/>
        <v/>
      </c>
      <c r="R2501" s="317" t="str">
        <f t="shared" si="189"/>
        <v/>
      </c>
      <c r="S2501" s="317" t="str">
        <f t="shared" si="190"/>
        <v/>
      </c>
      <c r="T2501" s="317" t="str">
        <f>GLOBAL_DER_FEV_2023!S2501</f>
        <v/>
      </c>
      <c r="V2501" s="37"/>
      <c r="W2501" s="582">
        <v>0</v>
      </c>
      <c r="X2501" s="580"/>
      <c r="Y2501" s="583">
        <f>IF(GLOBAL_DER_FEV_2023!W2501=0,0,IF(GLOBAL_DER_FEV_2023!W2501&gt;0,"c","b"))</f>
        <v>0</v>
      </c>
    </row>
    <row r="2502" spans="1:25" s="77" customFormat="1" ht="23.25" hidden="1" thickBot="1" x14ac:dyDescent="0.25">
      <c r="A2502" s="640" t="s">
        <v>165</v>
      </c>
      <c r="B2502" s="895" t="s">
        <v>535</v>
      </c>
      <c r="C2502" s="896" t="s">
        <v>503</v>
      </c>
      <c r="D2502" s="906" t="s">
        <v>489</v>
      </c>
      <c r="E2502" s="907">
        <f>GLOBAL_DER_FEV_2023!E2502</f>
        <v>0</v>
      </c>
      <c r="F2502" s="908">
        <f>GLOBAL_DER_FEV_2023!F2502</f>
        <v>0</v>
      </c>
      <c r="G2502" s="912">
        <f>GLOBAL_DER_FEV_2023!G2502</f>
        <v>0</v>
      </c>
      <c r="H2502" s="901">
        <f>GLOBAL_DER_FEV_2023!H2502</f>
        <v>163.62</v>
      </c>
      <c r="I2502" s="901">
        <f>GLOBAL_DER_FEV_2023!I2502</f>
        <v>163.62</v>
      </c>
      <c r="J2502" s="902">
        <f>GLOBAL_DER_FEV_2023!J2502</f>
        <v>196.46</v>
      </c>
      <c r="K2502" s="903" t="s">
        <v>15</v>
      </c>
      <c r="L2502" s="1137"/>
      <c r="M2502" s="1138">
        <f t="shared" si="187"/>
        <v>0</v>
      </c>
      <c r="N2502" s="893">
        <f t="shared" si="191"/>
        <v>0</v>
      </c>
      <c r="O2502" s="905"/>
      <c r="P2502" s="76"/>
      <c r="Q2502" s="317" t="str">
        <f t="shared" si="188"/>
        <v/>
      </c>
      <c r="R2502" s="317" t="str">
        <f t="shared" si="189"/>
        <v/>
      </c>
      <c r="S2502" s="317" t="str">
        <f t="shared" si="190"/>
        <v/>
      </c>
      <c r="T2502" s="317" t="str">
        <f>GLOBAL_DER_FEV_2023!S2502</f>
        <v/>
      </c>
      <c r="V2502" s="37"/>
      <c r="W2502" s="582">
        <v>0</v>
      </c>
      <c r="X2502" s="580"/>
      <c r="Y2502" s="583">
        <f>IF(GLOBAL_DER_FEV_2023!W2502=0,0,IF(GLOBAL_DER_FEV_2023!W2502&gt;0,"c","b"))</f>
        <v>0</v>
      </c>
    </row>
    <row r="2503" spans="1:25" s="77" customFormat="1" ht="23.25" hidden="1" thickBot="1" x14ac:dyDescent="0.25">
      <c r="A2503" s="640" t="s">
        <v>165</v>
      </c>
      <c r="B2503" s="895" t="s">
        <v>535</v>
      </c>
      <c r="C2503" s="896" t="s">
        <v>503</v>
      </c>
      <c r="D2503" s="906" t="s">
        <v>490</v>
      </c>
      <c r="E2503" s="907">
        <f>GLOBAL_DER_FEV_2023!E2503</f>
        <v>0</v>
      </c>
      <c r="F2503" s="908">
        <f>GLOBAL_DER_FEV_2023!F2503</f>
        <v>0</v>
      </c>
      <c r="G2503" s="912">
        <f>GLOBAL_DER_FEV_2023!G2503</f>
        <v>0</v>
      </c>
      <c r="H2503" s="901">
        <f>GLOBAL_DER_FEV_2023!H2503</f>
        <v>163.62</v>
      </c>
      <c r="I2503" s="901">
        <f>GLOBAL_DER_FEV_2023!I2503</f>
        <v>163.62</v>
      </c>
      <c r="J2503" s="902">
        <f>GLOBAL_DER_FEV_2023!J2503</f>
        <v>196.46</v>
      </c>
      <c r="K2503" s="903" t="s">
        <v>15</v>
      </c>
      <c r="L2503" s="1137"/>
      <c r="M2503" s="1138">
        <f t="shared" si="187"/>
        <v>0</v>
      </c>
      <c r="N2503" s="893">
        <f t="shared" si="191"/>
        <v>0</v>
      </c>
      <c r="O2503" s="905"/>
      <c r="P2503" s="76"/>
      <c r="Q2503" s="317" t="str">
        <f t="shared" si="188"/>
        <v/>
      </c>
      <c r="R2503" s="317" t="str">
        <f t="shared" si="189"/>
        <v/>
      </c>
      <c r="S2503" s="317" t="str">
        <f t="shared" si="190"/>
        <v/>
      </c>
      <c r="T2503" s="317" t="str">
        <f>GLOBAL_DER_FEV_2023!S2503</f>
        <v/>
      </c>
      <c r="V2503" s="37"/>
      <c r="W2503" s="582">
        <v>0</v>
      </c>
      <c r="X2503" s="580"/>
      <c r="Y2503" s="583">
        <f>IF(GLOBAL_DER_FEV_2023!W2503=0,0,IF(GLOBAL_DER_FEV_2023!W2503&gt;0,"c","b"))</f>
        <v>0</v>
      </c>
    </row>
    <row r="2504" spans="1:25" s="77" customFormat="1" ht="23.25" hidden="1" thickBot="1" x14ac:dyDescent="0.25">
      <c r="A2504" s="640" t="s">
        <v>165</v>
      </c>
      <c r="B2504" s="895" t="s">
        <v>535</v>
      </c>
      <c r="C2504" s="896" t="s">
        <v>503</v>
      </c>
      <c r="D2504" s="906" t="s">
        <v>1999</v>
      </c>
      <c r="E2504" s="907">
        <f>GLOBAL_DER_FEV_2023!E2504</f>
        <v>0</v>
      </c>
      <c r="F2504" s="908">
        <f>GLOBAL_DER_FEV_2023!F2504</f>
        <v>0</v>
      </c>
      <c r="G2504" s="912">
        <f>GLOBAL_DER_FEV_2023!G2504</f>
        <v>0</v>
      </c>
      <c r="H2504" s="901">
        <f>GLOBAL_DER_FEV_2023!H2504</f>
        <v>163.62</v>
      </c>
      <c r="I2504" s="901">
        <f>GLOBAL_DER_FEV_2023!I2504</f>
        <v>163.62</v>
      </c>
      <c r="J2504" s="902">
        <f>GLOBAL_DER_FEV_2023!J2504</f>
        <v>196.46</v>
      </c>
      <c r="K2504" s="903" t="s">
        <v>15</v>
      </c>
      <c r="L2504" s="1137"/>
      <c r="M2504" s="1138">
        <f t="shared" si="187"/>
        <v>0</v>
      </c>
      <c r="N2504" s="893">
        <f t="shared" si="191"/>
        <v>0</v>
      </c>
      <c r="O2504" s="905"/>
      <c r="P2504" s="76"/>
      <c r="Q2504" s="317" t="str">
        <f t="shared" si="188"/>
        <v/>
      </c>
      <c r="R2504" s="317" t="str">
        <f t="shared" si="189"/>
        <v/>
      </c>
      <c r="S2504" s="317" t="str">
        <f t="shared" si="190"/>
        <v/>
      </c>
      <c r="T2504" s="317" t="str">
        <f>GLOBAL_DER_FEV_2023!S2504</f>
        <v/>
      </c>
      <c r="V2504" s="37"/>
      <c r="W2504" s="582">
        <v>0</v>
      </c>
      <c r="X2504" s="580"/>
      <c r="Y2504" s="583">
        <f>IF(GLOBAL_DER_FEV_2023!W2504=0,0,IF(GLOBAL_DER_FEV_2023!W2504&gt;0,"c","b"))</f>
        <v>0</v>
      </c>
    </row>
    <row r="2505" spans="1:25" s="77" customFormat="1" ht="23.25" hidden="1" thickBot="1" x14ac:dyDescent="0.25">
      <c r="A2505" s="640" t="s">
        <v>165</v>
      </c>
      <c r="B2505" s="895" t="s">
        <v>535</v>
      </c>
      <c r="C2505" s="896" t="s">
        <v>503</v>
      </c>
      <c r="D2505" s="906" t="s">
        <v>2000</v>
      </c>
      <c r="E2505" s="907">
        <f>GLOBAL_DER_FEV_2023!E2505</f>
        <v>0</v>
      </c>
      <c r="F2505" s="908">
        <f>GLOBAL_DER_FEV_2023!F2505</f>
        <v>0</v>
      </c>
      <c r="G2505" s="912">
        <f>GLOBAL_DER_FEV_2023!G2505</f>
        <v>0</v>
      </c>
      <c r="H2505" s="901">
        <f>GLOBAL_DER_FEV_2023!H2505</f>
        <v>163.62</v>
      </c>
      <c r="I2505" s="901">
        <f>GLOBAL_DER_FEV_2023!I2505</f>
        <v>163.62</v>
      </c>
      <c r="J2505" s="902">
        <f>GLOBAL_DER_FEV_2023!J2505</f>
        <v>196.46</v>
      </c>
      <c r="K2505" s="903" t="s">
        <v>15</v>
      </c>
      <c r="L2505" s="1137"/>
      <c r="M2505" s="1138">
        <f t="shared" si="187"/>
        <v>0</v>
      </c>
      <c r="N2505" s="893">
        <f t="shared" si="191"/>
        <v>0</v>
      </c>
      <c r="O2505" s="905"/>
      <c r="P2505" s="76"/>
      <c r="Q2505" s="317" t="str">
        <f t="shared" si="188"/>
        <v/>
      </c>
      <c r="R2505" s="317" t="str">
        <f t="shared" si="189"/>
        <v/>
      </c>
      <c r="S2505" s="317" t="str">
        <f t="shared" si="190"/>
        <v/>
      </c>
      <c r="T2505" s="317" t="str">
        <f>GLOBAL_DER_FEV_2023!S2505</f>
        <v/>
      </c>
      <c r="V2505" s="37"/>
      <c r="W2505" s="582">
        <v>0</v>
      </c>
      <c r="X2505" s="580"/>
      <c r="Y2505" s="583">
        <f>IF(GLOBAL_DER_FEV_2023!W2505=0,0,IF(GLOBAL_DER_FEV_2023!W2505&gt;0,"c","b"))</f>
        <v>0</v>
      </c>
    </row>
    <row r="2506" spans="1:25" s="77" customFormat="1" ht="13.5" hidden="1" thickBot="1" x14ac:dyDescent="0.25">
      <c r="A2506" s="640" t="s">
        <v>165</v>
      </c>
      <c r="B2506" s="895" t="s">
        <v>536</v>
      </c>
      <c r="C2506" s="896" t="s">
        <v>503</v>
      </c>
      <c r="D2506" s="906" t="s">
        <v>491</v>
      </c>
      <c r="E2506" s="907">
        <f>GLOBAL_DER_FEV_2023!E2506</f>
        <v>0</v>
      </c>
      <c r="F2506" s="908">
        <f>GLOBAL_DER_FEV_2023!F2506</f>
        <v>0</v>
      </c>
      <c r="G2506" s="912">
        <f>GLOBAL_DER_FEV_2023!G2506</f>
        <v>0</v>
      </c>
      <c r="H2506" s="901">
        <f>GLOBAL_DER_FEV_2023!H2506</f>
        <v>148.02000000000001</v>
      </c>
      <c r="I2506" s="901">
        <f>GLOBAL_DER_FEV_2023!I2506</f>
        <v>148.02000000000001</v>
      </c>
      <c r="J2506" s="902">
        <f>GLOBAL_DER_FEV_2023!J2506</f>
        <v>177.73</v>
      </c>
      <c r="K2506" s="903" t="s">
        <v>15</v>
      </c>
      <c r="L2506" s="1137"/>
      <c r="M2506" s="1138">
        <f t="shared" si="187"/>
        <v>0</v>
      </c>
      <c r="N2506" s="893">
        <f t="shared" si="191"/>
        <v>0</v>
      </c>
      <c r="O2506" s="905"/>
      <c r="P2506" s="76"/>
      <c r="Q2506" s="317" t="str">
        <f t="shared" si="188"/>
        <v/>
      </c>
      <c r="R2506" s="317" t="str">
        <f t="shared" si="189"/>
        <v/>
      </c>
      <c r="S2506" s="317" t="str">
        <f t="shared" si="190"/>
        <v/>
      </c>
      <c r="T2506" s="317" t="str">
        <f>GLOBAL_DER_FEV_2023!S2506</f>
        <v/>
      </c>
      <c r="V2506" s="37"/>
      <c r="W2506" s="582">
        <v>0</v>
      </c>
      <c r="X2506" s="580"/>
      <c r="Y2506" s="583">
        <f>IF(GLOBAL_DER_FEV_2023!W2506=0,0,IF(GLOBAL_DER_FEV_2023!W2506&gt;0,"c","b"))</f>
        <v>0</v>
      </c>
    </row>
    <row r="2507" spans="1:25" s="77" customFormat="1" ht="13.5" hidden="1" thickBot="1" x14ac:dyDescent="0.25">
      <c r="A2507" s="640" t="s">
        <v>165</v>
      </c>
      <c r="B2507" s="895" t="s">
        <v>492</v>
      </c>
      <c r="C2507" s="896" t="s">
        <v>537</v>
      </c>
      <c r="D2507" s="957" t="s">
        <v>493</v>
      </c>
      <c r="E2507" s="907">
        <f>GLOBAL_DER_FEV_2023!E2507</f>
        <v>0</v>
      </c>
      <c r="F2507" s="908">
        <f>GLOBAL_DER_FEV_2023!F2507</f>
        <v>0</v>
      </c>
      <c r="G2507" s="912">
        <f>GLOBAL_DER_FEV_2023!G2507</f>
        <v>0</v>
      </c>
      <c r="H2507" s="901">
        <f>GLOBAL_DER_FEV_2023!H2507</f>
        <v>79.56</v>
      </c>
      <c r="I2507" s="901">
        <f>GLOBAL_DER_FEV_2023!I2507</f>
        <v>79.56</v>
      </c>
      <c r="J2507" s="902">
        <f>GLOBAL_DER_FEV_2023!J2507</f>
        <v>95.53</v>
      </c>
      <c r="K2507" s="903" t="s">
        <v>15</v>
      </c>
      <c r="L2507" s="1137"/>
      <c r="M2507" s="1138">
        <f t="shared" si="187"/>
        <v>0</v>
      </c>
      <c r="N2507" s="893">
        <f t="shared" si="191"/>
        <v>0</v>
      </c>
      <c r="O2507" s="905"/>
      <c r="P2507" s="76"/>
      <c r="Q2507" s="317" t="str">
        <f t="shared" si="188"/>
        <v/>
      </c>
      <c r="R2507" s="317" t="str">
        <f t="shared" si="189"/>
        <v/>
      </c>
      <c r="S2507" s="317" t="str">
        <f t="shared" si="190"/>
        <v/>
      </c>
      <c r="T2507" s="317" t="str">
        <f>GLOBAL_DER_FEV_2023!S2507</f>
        <v/>
      </c>
      <c r="V2507" s="37"/>
      <c r="W2507" s="582">
        <v>0</v>
      </c>
      <c r="X2507" s="580"/>
      <c r="Y2507" s="583">
        <f>IF(GLOBAL_DER_FEV_2023!W2507=0,0,IF(GLOBAL_DER_FEV_2023!W2507&gt;0,"c","b"))</f>
        <v>0</v>
      </c>
    </row>
    <row r="2508" spans="1:25" s="77" customFormat="1" ht="13.5" hidden="1" thickBot="1" x14ac:dyDescent="0.25">
      <c r="A2508" s="640" t="s">
        <v>165</v>
      </c>
      <c r="B2508" s="895" t="s">
        <v>494</v>
      </c>
      <c r="C2508" s="896" t="s">
        <v>537</v>
      </c>
      <c r="D2508" s="957" t="s">
        <v>495</v>
      </c>
      <c r="E2508" s="907">
        <f>GLOBAL_DER_FEV_2023!E2508</f>
        <v>0</v>
      </c>
      <c r="F2508" s="908">
        <f>GLOBAL_DER_FEV_2023!F2508</f>
        <v>0</v>
      </c>
      <c r="G2508" s="912">
        <f>GLOBAL_DER_FEV_2023!G2508</f>
        <v>0</v>
      </c>
      <c r="H2508" s="901">
        <f>GLOBAL_DER_FEV_2023!H2508</f>
        <v>46.59</v>
      </c>
      <c r="I2508" s="901">
        <f>GLOBAL_DER_FEV_2023!I2508</f>
        <v>46.59</v>
      </c>
      <c r="J2508" s="902">
        <f>GLOBAL_DER_FEV_2023!J2508</f>
        <v>55.94</v>
      </c>
      <c r="K2508" s="903" t="s">
        <v>15</v>
      </c>
      <c r="L2508" s="1137"/>
      <c r="M2508" s="1138">
        <f t="shared" si="187"/>
        <v>0</v>
      </c>
      <c r="N2508" s="893">
        <f t="shared" si="191"/>
        <v>0</v>
      </c>
      <c r="O2508" s="905"/>
      <c r="P2508" s="76"/>
      <c r="Q2508" s="317" t="str">
        <f t="shared" si="188"/>
        <v/>
      </c>
      <c r="R2508" s="317" t="str">
        <f t="shared" si="189"/>
        <v/>
      </c>
      <c r="S2508" s="317" t="str">
        <f t="shared" si="190"/>
        <v/>
      </c>
      <c r="T2508" s="317" t="str">
        <f>GLOBAL_DER_FEV_2023!S2508</f>
        <v/>
      </c>
      <c r="V2508" s="37"/>
      <c r="W2508" s="582">
        <v>0</v>
      </c>
      <c r="X2508" s="580"/>
      <c r="Y2508" s="583">
        <f>IF(GLOBAL_DER_FEV_2023!W2508=0,0,IF(GLOBAL_DER_FEV_2023!W2508&gt;0,"c","b"))</f>
        <v>0</v>
      </c>
    </row>
    <row r="2509" spans="1:25" s="77" customFormat="1" ht="13.5" hidden="1" thickBot="1" x14ac:dyDescent="0.25">
      <c r="A2509" s="640" t="s">
        <v>165</v>
      </c>
      <c r="B2509" s="895" t="s">
        <v>601</v>
      </c>
      <c r="C2509" s="896" t="s">
        <v>503</v>
      </c>
      <c r="D2509" s="957" t="s">
        <v>496</v>
      </c>
      <c r="E2509" s="907">
        <f>GLOBAL_DER_FEV_2023!E2509</f>
        <v>0</v>
      </c>
      <c r="F2509" s="908">
        <f>GLOBAL_DER_FEV_2023!F2509</f>
        <v>0</v>
      </c>
      <c r="G2509" s="912">
        <f>GLOBAL_DER_FEV_2023!G2509</f>
        <v>0</v>
      </c>
      <c r="H2509" s="901">
        <f>GLOBAL_DER_FEV_2023!H2509</f>
        <v>175.82</v>
      </c>
      <c r="I2509" s="901">
        <f>GLOBAL_DER_FEV_2023!I2509</f>
        <v>175.82</v>
      </c>
      <c r="J2509" s="902">
        <f>GLOBAL_DER_FEV_2023!J2509</f>
        <v>211.11</v>
      </c>
      <c r="K2509" s="903" t="s">
        <v>15</v>
      </c>
      <c r="L2509" s="1137"/>
      <c r="M2509" s="1138">
        <f t="shared" si="187"/>
        <v>0</v>
      </c>
      <c r="N2509" s="893">
        <f t="shared" si="191"/>
        <v>0</v>
      </c>
      <c r="O2509" s="905"/>
      <c r="P2509" s="76"/>
      <c r="Q2509" s="317" t="str">
        <f t="shared" si="188"/>
        <v/>
      </c>
      <c r="R2509" s="317" t="str">
        <f t="shared" si="189"/>
        <v/>
      </c>
      <c r="S2509" s="317" t="str">
        <f t="shared" si="190"/>
        <v/>
      </c>
      <c r="T2509" s="317" t="str">
        <f>GLOBAL_DER_FEV_2023!S2509</f>
        <v/>
      </c>
      <c r="V2509" s="37"/>
      <c r="W2509" s="582">
        <v>0</v>
      </c>
      <c r="X2509" s="580"/>
      <c r="Y2509" s="583">
        <f>IF(GLOBAL_DER_FEV_2023!W2509=0,0,IF(GLOBAL_DER_FEV_2023!W2509&gt;0,"c","b"))</f>
        <v>0</v>
      </c>
    </row>
    <row r="2510" spans="1:25" s="77" customFormat="1" ht="13.5" hidden="1" thickBot="1" x14ac:dyDescent="0.25">
      <c r="A2510" s="640" t="s">
        <v>165</v>
      </c>
      <c r="B2510" s="895" t="s">
        <v>497</v>
      </c>
      <c r="C2510" s="896" t="s">
        <v>537</v>
      </c>
      <c r="D2510" s="906" t="s">
        <v>498</v>
      </c>
      <c r="E2510" s="907">
        <f>GLOBAL_DER_FEV_2023!E2510</f>
        <v>0</v>
      </c>
      <c r="F2510" s="908">
        <f>GLOBAL_DER_FEV_2023!F2510</f>
        <v>0</v>
      </c>
      <c r="G2510" s="912">
        <f>GLOBAL_DER_FEV_2023!G2510</f>
        <v>0</v>
      </c>
      <c r="H2510" s="901">
        <f>GLOBAL_DER_FEV_2023!H2510</f>
        <v>83.84</v>
      </c>
      <c r="I2510" s="901">
        <f>GLOBAL_DER_FEV_2023!I2510</f>
        <v>83.84</v>
      </c>
      <c r="J2510" s="902">
        <f>GLOBAL_DER_FEV_2023!J2510</f>
        <v>100.67</v>
      </c>
      <c r="K2510" s="903" t="s">
        <v>15</v>
      </c>
      <c r="L2510" s="1137"/>
      <c r="M2510" s="1138">
        <f t="shared" si="187"/>
        <v>0</v>
      </c>
      <c r="N2510" s="893">
        <f t="shared" si="191"/>
        <v>0</v>
      </c>
      <c r="O2510" s="905"/>
      <c r="P2510" s="76"/>
      <c r="Q2510" s="317" t="str">
        <f t="shared" si="188"/>
        <v/>
      </c>
      <c r="R2510" s="317" t="str">
        <f t="shared" si="189"/>
        <v/>
      </c>
      <c r="S2510" s="317" t="str">
        <f t="shared" si="190"/>
        <v/>
      </c>
      <c r="T2510" s="317" t="str">
        <f>GLOBAL_DER_FEV_2023!S2510</f>
        <v/>
      </c>
      <c r="V2510" s="37"/>
      <c r="W2510" s="582">
        <v>0</v>
      </c>
      <c r="X2510" s="580"/>
      <c r="Y2510" s="583">
        <f>IF(GLOBAL_DER_FEV_2023!W2510=0,0,IF(GLOBAL_DER_FEV_2023!W2510&gt;0,"c","b"))</f>
        <v>0</v>
      </c>
    </row>
    <row r="2511" spans="1:25" s="77" customFormat="1" ht="13.5" hidden="1" thickBot="1" x14ac:dyDescent="0.25">
      <c r="A2511" s="640" t="s">
        <v>165</v>
      </c>
      <c r="B2511" s="895" t="s">
        <v>499</v>
      </c>
      <c r="C2511" s="896" t="s">
        <v>537</v>
      </c>
      <c r="D2511" s="906" t="s">
        <v>500</v>
      </c>
      <c r="E2511" s="907">
        <f>GLOBAL_DER_FEV_2023!E2511</f>
        <v>0</v>
      </c>
      <c r="F2511" s="908">
        <f>GLOBAL_DER_FEV_2023!F2511</f>
        <v>0</v>
      </c>
      <c r="G2511" s="912">
        <f>GLOBAL_DER_FEV_2023!G2511</f>
        <v>0</v>
      </c>
      <c r="H2511" s="901">
        <f>GLOBAL_DER_FEV_2023!H2511</f>
        <v>48.16</v>
      </c>
      <c r="I2511" s="901">
        <f>GLOBAL_DER_FEV_2023!I2511</f>
        <v>48.16</v>
      </c>
      <c r="J2511" s="902">
        <f>GLOBAL_DER_FEV_2023!J2511</f>
        <v>57.83</v>
      </c>
      <c r="K2511" s="903" t="s">
        <v>15</v>
      </c>
      <c r="L2511" s="1137"/>
      <c r="M2511" s="1138">
        <f t="shared" si="187"/>
        <v>0</v>
      </c>
      <c r="N2511" s="893">
        <f t="shared" si="191"/>
        <v>0</v>
      </c>
      <c r="O2511" s="905"/>
      <c r="P2511" s="76"/>
      <c r="Q2511" s="317" t="str">
        <f t="shared" si="188"/>
        <v/>
      </c>
      <c r="R2511" s="317" t="str">
        <f t="shared" si="189"/>
        <v/>
      </c>
      <c r="S2511" s="317" t="str">
        <f t="shared" si="190"/>
        <v/>
      </c>
      <c r="T2511" s="317" t="str">
        <f>GLOBAL_DER_FEV_2023!S2511</f>
        <v/>
      </c>
      <c r="V2511" s="37"/>
      <c r="W2511" s="582">
        <v>0</v>
      </c>
      <c r="X2511" s="580"/>
      <c r="Y2511" s="583">
        <f>IF(GLOBAL_DER_FEV_2023!W2511=0,0,IF(GLOBAL_DER_FEV_2023!W2511&gt;0,"c","b"))</f>
        <v>0</v>
      </c>
    </row>
    <row r="2512" spans="1:25" s="77" customFormat="1" ht="13.5" hidden="1" thickBot="1" x14ac:dyDescent="0.25">
      <c r="A2512" s="640" t="s">
        <v>165</v>
      </c>
      <c r="B2512" s="895" t="s">
        <v>801</v>
      </c>
      <c r="C2512" s="896" t="s">
        <v>537</v>
      </c>
      <c r="D2512" s="906" t="s">
        <v>802</v>
      </c>
      <c r="E2512" s="907">
        <f>GLOBAL_DER_FEV_2023!E2512</f>
        <v>0</v>
      </c>
      <c r="F2512" s="908">
        <f>GLOBAL_DER_FEV_2023!F2512</f>
        <v>0</v>
      </c>
      <c r="G2512" s="912">
        <f>GLOBAL_DER_FEV_2023!G2512</f>
        <v>0</v>
      </c>
      <c r="H2512" s="901">
        <f>GLOBAL_DER_FEV_2023!H2512</f>
        <v>99.15</v>
      </c>
      <c r="I2512" s="901">
        <f>GLOBAL_DER_FEV_2023!I2512</f>
        <v>99.15</v>
      </c>
      <c r="J2512" s="902">
        <f>GLOBAL_DER_FEV_2023!J2512</f>
        <v>119.05</v>
      </c>
      <c r="K2512" s="903" t="s">
        <v>15</v>
      </c>
      <c r="L2512" s="1137"/>
      <c r="M2512" s="1138">
        <f t="shared" si="187"/>
        <v>0</v>
      </c>
      <c r="N2512" s="893">
        <f t="shared" si="191"/>
        <v>0</v>
      </c>
      <c r="O2512" s="905"/>
      <c r="P2512" s="76"/>
      <c r="Q2512" s="317" t="str">
        <f t="shared" si="188"/>
        <v/>
      </c>
      <c r="R2512" s="317" t="str">
        <f t="shared" si="189"/>
        <v/>
      </c>
      <c r="S2512" s="317" t="str">
        <f t="shared" si="190"/>
        <v/>
      </c>
      <c r="T2512" s="317" t="str">
        <f>GLOBAL_DER_FEV_2023!S2512</f>
        <v/>
      </c>
      <c r="V2512" s="37"/>
      <c r="W2512" s="582">
        <v>0</v>
      </c>
      <c r="X2512" s="580"/>
      <c r="Y2512" s="583">
        <f>IF(GLOBAL_DER_FEV_2023!W2512=0,0,IF(GLOBAL_DER_FEV_2023!W2512&gt;0,"c","b"))</f>
        <v>0</v>
      </c>
    </row>
    <row r="2513" spans="1:25" s="77" customFormat="1" ht="13.5" hidden="1" thickBot="1" x14ac:dyDescent="0.25">
      <c r="A2513" s="640" t="s">
        <v>165</v>
      </c>
      <c r="B2513" s="1070" t="s">
        <v>539</v>
      </c>
      <c r="C2513" s="896" t="s">
        <v>503</v>
      </c>
      <c r="D2513" s="906" t="s">
        <v>505</v>
      </c>
      <c r="E2513" s="907">
        <f>GLOBAL_DER_FEV_2023!E2513</f>
        <v>0</v>
      </c>
      <c r="F2513" s="908">
        <f>GLOBAL_DER_FEV_2023!F2513</f>
        <v>0</v>
      </c>
      <c r="G2513" s="912">
        <f>GLOBAL_DER_FEV_2023!G2513</f>
        <v>0</v>
      </c>
      <c r="H2513" s="901">
        <f>GLOBAL_DER_FEV_2023!H2513</f>
        <v>97.91</v>
      </c>
      <c r="I2513" s="901">
        <f>GLOBAL_DER_FEV_2023!I2513</f>
        <v>97.91</v>
      </c>
      <c r="J2513" s="902">
        <f>GLOBAL_DER_FEV_2023!J2513</f>
        <v>117.56</v>
      </c>
      <c r="K2513" s="903" t="s">
        <v>15</v>
      </c>
      <c r="L2513" s="1137"/>
      <c r="M2513" s="1138">
        <f t="shared" si="187"/>
        <v>0</v>
      </c>
      <c r="N2513" s="893">
        <f t="shared" si="191"/>
        <v>0</v>
      </c>
      <c r="O2513" s="905"/>
      <c r="P2513" s="76"/>
      <c r="Q2513" s="317" t="str">
        <f t="shared" si="188"/>
        <v/>
      </c>
      <c r="R2513" s="317" t="str">
        <f t="shared" si="189"/>
        <v/>
      </c>
      <c r="S2513" s="317" t="str">
        <f t="shared" si="190"/>
        <v/>
      </c>
      <c r="T2513" s="317" t="str">
        <f>GLOBAL_DER_FEV_2023!S2513</f>
        <v/>
      </c>
      <c r="V2513" s="37"/>
      <c r="W2513" s="582">
        <v>0</v>
      </c>
      <c r="X2513" s="580"/>
      <c r="Y2513" s="583">
        <f>IF(GLOBAL_DER_FEV_2023!W2513=0,0,IF(GLOBAL_DER_FEV_2023!W2513&gt;0,"c","b"))</f>
        <v>0</v>
      </c>
    </row>
    <row r="2514" spans="1:25" s="77" customFormat="1" ht="23.25" hidden="1" thickBot="1" x14ac:dyDescent="0.25">
      <c r="A2514" s="640" t="s">
        <v>165</v>
      </c>
      <c r="B2514" s="895" t="s">
        <v>538</v>
      </c>
      <c r="C2514" s="896" t="s">
        <v>503</v>
      </c>
      <c r="D2514" s="906" t="s">
        <v>506</v>
      </c>
      <c r="E2514" s="907">
        <f>GLOBAL_DER_FEV_2023!E2514</f>
        <v>0</v>
      </c>
      <c r="F2514" s="908">
        <f>GLOBAL_DER_FEV_2023!F2514</f>
        <v>0</v>
      </c>
      <c r="G2514" s="949">
        <f>GLOBAL_DER_FEV_2023!G2514</f>
        <v>0</v>
      </c>
      <c r="H2514" s="901">
        <f>GLOBAL_DER_FEV_2023!H2514</f>
        <v>4850.2</v>
      </c>
      <c r="I2514" s="901">
        <f>GLOBAL_DER_FEV_2023!I2514</f>
        <v>4850.2</v>
      </c>
      <c r="J2514" s="902">
        <f>GLOBAL_DER_FEV_2023!J2514</f>
        <v>5823.64</v>
      </c>
      <c r="K2514" s="903" t="s">
        <v>502</v>
      </c>
      <c r="L2514" s="1137"/>
      <c r="M2514" s="1138">
        <f t="shared" ref="M2514:M2546" si="192">IF(L2514=0,0,ROUND(J2514,2))</f>
        <v>0</v>
      </c>
      <c r="N2514" s="893">
        <f t="shared" si="191"/>
        <v>0</v>
      </c>
      <c r="O2514" s="905"/>
      <c r="P2514" s="76"/>
      <c r="Q2514" s="317" t="str">
        <f t="shared" si="188"/>
        <v/>
      </c>
      <c r="R2514" s="317" t="str">
        <f t="shared" si="189"/>
        <v/>
      </c>
      <c r="S2514" s="317" t="str">
        <f t="shared" si="190"/>
        <v/>
      </c>
      <c r="T2514" s="317" t="str">
        <f>GLOBAL_DER_FEV_2023!S2514</f>
        <v/>
      </c>
      <c r="V2514" s="37"/>
      <c r="W2514" s="582">
        <v>0</v>
      </c>
      <c r="X2514" s="580"/>
      <c r="Y2514" s="583">
        <f>IF(GLOBAL_DER_FEV_2023!W2514=0,0,IF(GLOBAL_DER_FEV_2023!W2514&gt;0,"c","b"))</f>
        <v>0</v>
      </c>
    </row>
    <row r="2515" spans="1:25" ht="13.5" hidden="1" thickBot="1" x14ac:dyDescent="0.25">
      <c r="A2515" s="640" t="s">
        <v>165</v>
      </c>
      <c r="B2515" s="913" t="s">
        <v>165</v>
      </c>
      <c r="C2515" s="914"/>
      <c r="D2515" s="915" t="s">
        <v>501</v>
      </c>
      <c r="E2515" s="916">
        <f>GLOBAL_DER_FEV_2023!E2515</f>
        <v>0</v>
      </c>
      <c r="F2515" s="917">
        <f>GLOBAL_DER_FEV_2023!F2515</f>
        <v>0</v>
      </c>
      <c r="G2515" s="1071">
        <f>GLOBAL_DER_FEV_2023!G2515</f>
        <v>0</v>
      </c>
      <c r="H2515" s="920">
        <f>GLOBAL_DER_FEV_2023!H2515</f>
        <v>0</v>
      </c>
      <c r="I2515" s="920">
        <f>GLOBAL_DER_FEV_2023!I2515</f>
        <v>0</v>
      </c>
      <c r="J2515" s="920">
        <f>GLOBAL_DER_FEV_2023!J2515</f>
        <v>0</v>
      </c>
      <c r="K2515" s="920" t="s">
        <v>507</v>
      </c>
      <c r="L2515" s="921"/>
      <c r="M2515" s="922">
        <f t="shared" si="192"/>
        <v>0</v>
      </c>
      <c r="N2515" s="923">
        <f t="shared" si="191"/>
        <v>0</v>
      </c>
      <c r="O2515" s="905"/>
      <c r="P2515" s="58" t="str">
        <f>IF(OR(SUM(N2516:N2546)&gt;0,SUM(N2516:N2546)&gt;0),"y","")</f>
        <v/>
      </c>
      <c r="Q2515" s="317" t="str">
        <f t="shared" si="188"/>
        <v/>
      </c>
      <c r="R2515" s="317" t="str">
        <f t="shared" si="189"/>
        <v/>
      </c>
      <c r="S2515" s="317" t="str">
        <f t="shared" si="190"/>
        <v/>
      </c>
      <c r="T2515" s="317" t="str">
        <f>GLOBAL_DER_FEV_2023!S2515</f>
        <v/>
      </c>
      <c r="W2515" s="582">
        <v>0</v>
      </c>
      <c r="X2515" s="580"/>
      <c r="Y2515" s="583">
        <f>IF(GLOBAL_DER_FEV_2023!W2515=0,0,IF(GLOBAL_DER_FEV_2023!W2515&gt;0,"c","b"))</f>
        <v>0</v>
      </c>
    </row>
    <row r="2516" spans="1:25" ht="13.5" hidden="1" thickBot="1" x14ac:dyDescent="0.25">
      <c r="A2516" s="640" t="s">
        <v>165</v>
      </c>
      <c r="B2516" s="1181" t="str">
        <f>GLOBAL_DER_FEV_2023!B2516</f>
        <v>09.03.02</v>
      </c>
      <c r="C2516" s="1182" t="str">
        <f>GLOBAL_DER_FEV_2023!C2516</f>
        <v>DAER/RS</v>
      </c>
      <c r="D2516" s="1141" t="str">
        <f>GLOBAL_DER_FEV_2023!D2516</f>
        <v>Ensaio de Abrasão Los Angeles - Macadame seco com brita graduada</v>
      </c>
      <c r="E2516" s="907">
        <f>GLOBAL_DER_FEV_2023!E2516</f>
        <v>0</v>
      </c>
      <c r="F2516" s="908">
        <f>GLOBAL_DER_FEV_2023!F2516</f>
        <v>0</v>
      </c>
      <c r="G2516" s="912">
        <f>GLOBAL_DER_FEV_2023!G2516</f>
        <v>0</v>
      </c>
      <c r="H2516" s="901">
        <f>GLOBAL_DER_FEV_2023!H2516</f>
        <v>310.23</v>
      </c>
      <c r="I2516" s="901">
        <f>GLOBAL_DER_FEV_2023!I2516</f>
        <v>310.23</v>
      </c>
      <c r="J2516" s="902">
        <f>GLOBAL_DER_FEV_2023!J2516</f>
        <v>372.49</v>
      </c>
      <c r="K2516" s="903" t="str">
        <f>GLOBAL_DER_FEV_2023!K2516</f>
        <v>un</v>
      </c>
      <c r="L2516" s="1137"/>
      <c r="M2516" s="1175">
        <f t="shared" si="192"/>
        <v>0</v>
      </c>
      <c r="N2516" s="1167">
        <f t="shared" si="191"/>
        <v>0</v>
      </c>
      <c r="O2516" s="1165"/>
      <c r="Q2516" s="317" t="str">
        <f t="shared" si="188"/>
        <v/>
      </c>
      <c r="R2516" s="317" t="str">
        <f t="shared" si="189"/>
        <v/>
      </c>
      <c r="S2516" s="317" t="str">
        <f t="shared" si="190"/>
        <v/>
      </c>
      <c r="T2516" s="317" t="str">
        <f>GLOBAL_DER_FEV_2023!S2516</f>
        <v/>
      </c>
      <c r="W2516" s="582">
        <v>0</v>
      </c>
      <c r="X2516" s="580"/>
      <c r="Y2516" s="583">
        <f>IF(GLOBAL_DER_FEV_2023!W2516=0,0,IF(GLOBAL_DER_FEV_2023!W2516&gt;0,"c","b"))</f>
        <v>0</v>
      </c>
    </row>
    <row r="2517" spans="1:25" ht="13.5" hidden="1" thickBot="1" x14ac:dyDescent="0.25">
      <c r="A2517" s="640" t="s">
        <v>165</v>
      </c>
      <c r="B2517" s="1181" t="str">
        <f>GLOBAL_DER_FEV_2023!B2517</f>
        <v>09.03.02a</v>
      </c>
      <c r="C2517" s="1182" t="str">
        <f>GLOBAL_DER_FEV_2023!C2517</f>
        <v>DAER/RS</v>
      </c>
      <c r="D2517" s="1141" t="str">
        <f>GLOBAL_DER_FEV_2023!D2517</f>
        <v>Ensaio de Abrasão Los Angeles - rachão sem britagem</v>
      </c>
      <c r="E2517" s="907">
        <f>GLOBAL_DER_FEV_2023!E2517</f>
        <v>0</v>
      </c>
      <c r="F2517" s="908">
        <f>GLOBAL_DER_FEV_2023!F2517</f>
        <v>0</v>
      </c>
      <c r="G2517" s="912">
        <f>GLOBAL_DER_FEV_2023!G2517</f>
        <v>0</v>
      </c>
      <c r="H2517" s="901">
        <f>GLOBAL_DER_FEV_2023!H2517</f>
        <v>310.23</v>
      </c>
      <c r="I2517" s="901">
        <f>GLOBAL_DER_FEV_2023!I2517</f>
        <v>310.23</v>
      </c>
      <c r="J2517" s="902">
        <f>GLOBAL_DER_FEV_2023!J2517</f>
        <v>372.49</v>
      </c>
      <c r="K2517" s="903" t="str">
        <f>GLOBAL_DER_FEV_2023!K2517</f>
        <v>un</v>
      </c>
      <c r="L2517" s="1137"/>
      <c r="M2517" s="1175">
        <f t="shared" si="192"/>
        <v>0</v>
      </c>
      <c r="N2517" s="1167">
        <f t="shared" si="191"/>
        <v>0</v>
      </c>
      <c r="O2517" s="1165"/>
      <c r="Q2517" s="317" t="str">
        <f t="shared" si="188"/>
        <v/>
      </c>
      <c r="R2517" s="317" t="str">
        <f t="shared" si="189"/>
        <v/>
      </c>
      <c r="S2517" s="317" t="str">
        <f t="shared" si="190"/>
        <v/>
      </c>
      <c r="T2517" s="317" t="str">
        <f>GLOBAL_DER_FEV_2023!S2517</f>
        <v/>
      </c>
      <c r="W2517" s="582">
        <v>0</v>
      </c>
      <c r="X2517" s="580"/>
      <c r="Y2517" s="583">
        <f>IF(GLOBAL_DER_FEV_2023!W2517=0,0,IF(GLOBAL_DER_FEV_2023!W2517&gt;0,"c","b"))</f>
        <v>0</v>
      </c>
    </row>
    <row r="2518" spans="1:25" ht="13.5" hidden="1" thickBot="1" x14ac:dyDescent="0.25">
      <c r="A2518" s="640" t="s">
        <v>165</v>
      </c>
      <c r="B2518" s="1181" t="str">
        <f>GLOBAL_DER_FEV_2023!B2518</f>
        <v>09.07.01</v>
      </c>
      <c r="C2518" s="1182" t="str">
        <f>GLOBAL_DER_FEV_2023!C2518</f>
        <v>DAER/RS</v>
      </c>
      <c r="D2518" s="1141" t="str">
        <f>GLOBAL_DER_FEV_2023!D2518</f>
        <v>Viga Benkelman (levantamento por pista de 20m em 20m alternando a faixa) - (km.pista)</v>
      </c>
      <c r="E2518" s="907">
        <f>GLOBAL_DER_FEV_2023!E2518</f>
        <v>0</v>
      </c>
      <c r="F2518" s="908">
        <f>GLOBAL_DER_FEV_2023!F2518</f>
        <v>0</v>
      </c>
      <c r="G2518" s="912">
        <f>GLOBAL_DER_FEV_2023!G2518</f>
        <v>0</v>
      </c>
      <c r="H2518" s="901">
        <f>GLOBAL_DER_FEV_2023!H2518</f>
        <v>82.89</v>
      </c>
      <c r="I2518" s="901">
        <f>GLOBAL_DER_FEV_2023!I2518</f>
        <v>82.89</v>
      </c>
      <c r="J2518" s="902">
        <f>GLOBAL_DER_FEV_2023!J2518</f>
        <v>99.53</v>
      </c>
      <c r="K2518" s="903" t="str">
        <f>GLOBAL_DER_FEV_2023!K2518</f>
        <v>km</v>
      </c>
      <c r="L2518" s="1137"/>
      <c r="M2518" s="1175">
        <f t="shared" si="192"/>
        <v>0</v>
      </c>
      <c r="N2518" s="1167">
        <f t="shared" si="191"/>
        <v>0</v>
      </c>
      <c r="O2518" s="1165"/>
      <c r="Q2518" s="317" t="str">
        <f t="shared" si="188"/>
        <v/>
      </c>
      <c r="R2518" s="317" t="str">
        <f t="shared" si="189"/>
        <v/>
      </c>
      <c r="S2518" s="317" t="str">
        <f t="shared" si="190"/>
        <v/>
      </c>
      <c r="T2518" s="317" t="str">
        <f>GLOBAL_DER_FEV_2023!S2518</f>
        <v/>
      </c>
      <c r="W2518" s="582">
        <v>0</v>
      </c>
      <c r="X2518" s="580"/>
      <c r="Y2518" s="583">
        <f>IF(GLOBAL_DER_FEV_2023!W2518=0,0,IF(GLOBAL_DER_FEV_2023!W2518&gt;0,"c","b"))</f>
        <v>0</v>
      </c>
    </row>
    <row r="2519" spans="1:25" ht="23.25" hidden="1" thickBot="1" x14ac:dyDescent="0.25">
      <c r="A2519" s="640" t="s">
        <v>165</v>
      </c>
      <c r="B2519" s="1181" t="str">
        <f>GLOBAL_DER_FEV_2023!B2519</f>
        <v>Fazer Cotação</v>
      </c>
      <c r="C2519" s="1182" t="str">
        <f>GLOBAL_DER_FEV_2023!C2519</f>
        <v>fonte da cotação</v>
      </c>
      <c r="D2519" s="1141" t="str">
        <f>GLOBAL_DER_FEV_2023!D2519</f>
        <v>Determinação do Abatimento (Slump Test) - aproximadamente 1 teste por caminhão betoneira. Considerando caminhão de 8m3</v>
      </c>
      <c r="E2519" s="907">
        <f>GLOBAL_DER_FEV_2023!E2519</f>
        <v>0</v>
      </c>
      <c r="F2519" s="908">
        <f>GLOBAL_DER_FEV_2023!F2519</f>
        <v>0</v>
      </c>
      <c r="G2519" s="912">
        <f>GLOBAL_DER_FEV_2023!G2519</f>
        <v>0</v>
      </c>
      <c r="H2519" s="901">
        <f>GLOBAL_DER_FEV_2023!H2519</f>
        <v>0</v>
      </c>
      <c r="I2519" s="901" t="str">
        <f>GLOBAL_DER_FEV_2023!I2519</f>
        <v/>
      </c>
      <c r="J2519" s="902">
        <f>GLOBAL_DER_FEV_2023!J2519</f>
        <v>0</v>
      </c>
      <c r="K2519" s="903" t="str">
        <f>GLOBAL_DER_FEV_2023!K2519</f>
        <v>un</v>
      </c>
      <c r="L2519" s="1137"/>
      <c r="M2519" s="1175">
        <f t="shared" si="192"/>
        <v>0</v>
      </c>
      <c r="N2519" s="1167">
        <f t="shared" si="191"/>
        <v>0</v>
      </c>
      <c r="O2519" s="1165"/>
      <c r="Q2519" s="317" t="str">
        <f t="shared" si="188"/>
        <v/>
      </c>
      <c r="R2519" s="317" t="str">
        <f t="shared" si="189"/>
        <v/>
      </c>
      <c r="S2519" s="317" t="str">
        <f t="shared" si="190"/>
        <v/>
      </c>
      <c r="T2519" s="317" t="str">
        <f>GLOBAL_DER_FEV_2023!S2519</f>
        <v/>
      </c>
      <c r="W2519" s="582">
        <v>0</v>
      </c>
      <c r="X2519" s="580"/>
      <c r="Y2519" s="583">
        <f>IF(GLOBAL_DER_FEV_2023!W2519=0,0,IF(GLOBAL_DER_FEV_2023!W2519&gt;0,"c","b"))</f>
        <v>0</v>
      </c>
    </row>
    <row r="2520" spans="1:25" ht="23.25" hidden="1" thickBot="1" x14ac:dyDescent="0.25">
      <c r="A2520" s="640" t="s">
        <v>165</v>
      </c>
      <c r="B2520" s="1181" t="str">
        <f>GLOBAL_DER_FEV_2023!B2520</f>
        <v>Fazer Cotação</v>
      </c>
      <c r="C2520" s="1182" t="str">
        <f>GLOBAL_DER_FEV_2023!C2520</f>
        <v>fonte da cotação</v>
      </c>
      <c r="D2520" s="1141" t="str">
        <f>GLOBAL_DER_FEV_2023!D2520</f>
        <v>Determinação de Resistência a Compressão por Moldagem, Cura e Ruptura de Corpos de Provas Cilíndricos. Moldagem de 4 corpos de prova por caminhão.</v>
      </c>
      <c r="E2520" s="907">
        <f>GLOBAL_DER_FEV_2023!E2520</f>
        <v>0</v>
      </c>
      <c r="F2520" s="908">
        <f>GLOBAL_DER_FEV_2023!F2520</f>
        <v>0</v>
      </c>
      <c r="G2520" s="912">
        <f>GLOBAL_DER_FEV_2023!G2520</f>
        <v>0</v>
      </c>
      <c r="H2520" s="901">
        <f>GLOBAL_DER_FEV_2023!H2520</f>
        <v>0</v>
      </c>
      <c r="I2520" s="901" t="str">
        <f>GLOBAL_DER_FEV_2023!I2520</f>
        <v/>
      </c>
      <c r="J2520" s="902">
        <f>GLOBAL_DER_FEV_2023!J2520</f>
        <v>0</v>
      </c>
      <c r="K2520" s="903" t="str">
        <f>GLOBAL_DER_FEV_2023!K2520</f>
        <v>un</v>
      </c>
      <c r="L2520" s="1137"/>
      <c r="M2520" s="1175">
        <f t="shared" si="192"/>
        <v>0</v>
      </c>
      <c r="N2520" s="1167">
        <f t="shared" si="191"/>
        <v>0</v>
      </c>
      <c r="O2520" s="1165"/>
      <c r="Q2520" s="317" t="str">
        <f t="shared" si="188"/>
        <v/>
      </c>
      <c r="R2520" s="317" t="str">
        <f t="shared" si="189"/>
        <v/>
      </c>
      <c r="S2520" s="317" t="str">
        <f t="shared" si="190"/>
        <v/>
      </c>
      <c r="T2520" s="317" t="str">
        <f>GLOBAL_DER_FEV_2023!S2520</f>
        <v/>
      </c>
      <c r="W2520" s="582">
        <v>0</v>
      </c>
      <c r="X2520" s="580"/>
      <c r="Y2520" s="583">
        <f>IF(GLOBAL_DER_FEV_2023!W2520=0,0,IF(GLOBAL_DER_FEV_2023!W2520&gt;0,"c","b"))</f>
        <v>0</v>
      </c>
    </row>
    <row r="2521" spans="1:25" ht="23.25" hidden="1" thickBot="1" x14ac:dyDescent="0.25">
      <c r="A2521" s="640" t="s">
        <v>165</v>
      </c>
      <c r="B2521" s="1181" t="str">
        <f>GLOBAL_DER_FEV_2023!B2521</f>
        <v>Fazer Cotação</v>
      </c>
      <c r="C2521" s="1182" t="str">
        <f>GLOBAL_DER_FEV_2023!C2521</f>
        <v>fonte da cotação</v>
      </c>
      <c r="D2521" s="1141" t="str">
        <f>GLOBAL_DER_FEV_2023!D2521</f>
        <v>Determinação de Resistência a Tração na Flexão por Moldagem, Cura e Ruptura de Corpos de Provas Prismáticos (estimativa 2 corpos de prova a cada 50m3)</v>
      </c>
      <c r="E2521" s="907">
        <f>GLOBAL_DER_FEV_2023!E2521</f>
        <v>0</v>
      </c>
      <c r="F2521" s="908">
        <f>GLOBAL_DER_FEV_2023!F2521</f>
        <v>0</v>
      </c>
      <c r="G2521" s="912">
        <f>GLOBAL_DER_FEV_2023!G2521</f>
        <v>0</v>
      </c>
      <c r="H2521" s="901">
        <f>GLOBAL_DER_FEV_2023!H2521</f>
        <v>0</v>
      </c>
      <c r="I2521" s="901" t="str">
        <f>GLOBAL_DER_FEV_2023!I2521</f>
        <v/>
      </c>
      <c r="J2521" s="902">
        <f>GLOBAL_DER_FEV_2023!J2521</f>
        <v>0</v>
      </c>
      <c r="K2521" s="903" t="str">
        <f>GLOBAL_DER_FEV_2023!K2521</f>
        <v>un</v>
      </c>
      <c r="L2521" s="1137"/>
      <c r="M2521" s="1175">
        <f t="shared" si="192"/>
        <v>0</v>
      </c>
      <c r="N2521" s="1167">
        <f t="shared" si="191"/>
        <v>0</v>
      </c>
      <c r="O2521" s="1165"/>
      <c r="Q2521" s="317" t="str">
        <f t="shared" si="188"/>
        <v/>
      </c>
      <c r="R2521" s="317" t="str">
        <f t="shared" si="189"/>
        <v/>
      </c>
      <c r="S2521" s="317" t="str">
        <f t="shared" si="190"/>
        <v/>
      </c>
      <c r="T2521" s="317" t="str">
        <f>GLOBAL_DER_FEV_2023!S2521</f>
        <v/>
      </c>
      <c r="W2521" s="582">
        <v>0</v>
      </c>
      <c r="X2521" s="580"/>
      <c r="Y2521" s="583">
        <f>IF(GLOBAL_DER_FEV_2023!W2521=0,0,IF(GLOBAL_DER_FEV_2023!W2521&gt;0,"c","b"))</f>
        <v>0</v>
      </c>
    </row>
    <row r="2522" spans="1:25" ht="34.5" hidden="1" thickBot="1" x14ac:dyDescent="0.25">
      <c r="A2522" s="640" t="s">
        <v>165</v>
      </c>
      <c r="B2522" s="1181" t="str">
        <f>GLOBAL_DER_FEV_2023!B2522</f>
        <v>Fazer Cotação</v>
      </c>
      <c r="C2522" s="1182" t="str">
        <f>GLOBAL_DER_FEV_2023!C2522</f>
        <v>fonte da cotação</v>
      </c>
      <c r="D2522" s="1141" t="str">
        <f>GLOBAL_DER_FEV_2023!D2522</f>
        <v>Mobilização e Desmobilização de Equipamento e Equipe para as concretagens, rompimento dos corpos de prova moldados na obra e coletas de corpos de prova. (sendo considerado 4 diárias)</v>
      </c>
      <c r="E2522" s="907">
        <f>GLOBAL_DER_FEV_2023!E2522</f>
        <v>0</v>
      </c>
      <c r="F2522" s="908">
        <f>GLOBAL_DER_FEV_2023!F2522</f>
        <v>0</v>
      </c>
      <c r="G2522" s="912">
        <f>GLOBAL_DER_FEV_2023!G2522</f>
        <v>0</v>
      </c>
      <c r="H2522" s="901">
        <f>GLOBAL_DER_FEV_2023!H2522</f>
        <v>0</v>
      </c>
      <c r="I2522" s="901" t="str">
        <f>GLOBAL_DER_FEV_2023!I2522</f>
        <v/>
      </c>
      <c r="J2522" s="902">
        <f>GLOBAL_DER_FEV_2023!J2522</f>
        <v>0</v>
      </c>
      <c r="K2522" s="903" t="str">
        <f>GLOBAL_DER_FEV_2023!K2522</f>
        <v>gb</v>
      </c>
      <c r="L2522" s="1137"/>
      <c r="M2522" s="1175">
        <f t="shared" si="192"/>
        <v>0</v>
      </c>
      <c r="N2522" s="1167">
        <f t="shared" si="191"/>
        <v>0</v>
      </c>
      <c r="O2522" s="1165"/>
      <c r="Q2522" s="317" t="str">
        <f t="shared" si="188"/>
        <v/>
      </c>
      <c r="R2522" s="317" t="str">
        <f t="shared" si="189"/>
        <v/>
      </c>
      <c r="S2522" s="317" t="str">
        <f t="shared" si="190"/>
        <v/>
      </c>
      <c r="T2522" s="317" t="str">
        <f>GLOBAL_DER_FEV_2023!S2522</f>
        <v/>
      </c>
      <c r="W2522" s="582">
        <v>0</v>
      </c>
      <c r="X2522" s="580"/>
      <c r="Y2522" s="583">
        <f>IF(GLOBAL_DER_FEV_2023!W2522=0,0,IF(GLOBAL_DER_FEV_2023!W2522&gt;0,"c","b"))</f>
        <v>0</v>
      </c>
    </row>
    <row r="2523" spans="1:25" ht="13.5" hidden="1" thickBot="1" x14ac:dyDescent="0.25">
      <c r="A2523" s="640" t="s">
        <v>165</v>
      </c>
      <c r="B2523" s="1183">
        <f>GLOBAL_DER_FEV_2023!B2523</f>
        <v>0</v>
      </c>
      <c r="C2523" s="1184">
        <f>GLOBAL_DER_FEV_2023!C2523</f>
        <v>0</v>
      </c>
      <c r="D2523" s="1141">
        <f>GLOBAL_DER_FEV_2023!D2523</f>
        <v>0</v>
      </c>
      <c r="E2523" s="907">
        <f>GLOBAL_DER_FEV_2023!E2523</f>
        <v>0</v>
      </c>
      <c r="F2523" s="908">
        <f>GLOBAL_DER_FEV_2023!F2523</f>
        <v>0</v>
      </c>
      <c r="G2523" s="912">
        <f>GLOBAL_DER_FEV_2023!G2523</f>
        <v>0</v>
      </c>
      <c r="H2523" s="901">
        <f>GLOBAL_DER_FEV_2023!H2523</f>
        <v>0</v>
      </c>
      <c r="I2523" s="901" t="str">
        <f>GLOBAL_DER_FEV_2023!I2523</f>
        <v/>
      </c>
      <c r="J2523" s="902">
        <f>GLOBAL_DER_FEV_2023!J2523</f>
        <v>0</v>
      </c>
      <c r="K2523" s="903">
        <f>GLOBAL_DER_FEV_2023!K2523</f>
        <v>0</v>
      </c>
      <c r="L2523" s="1137"/>
      <c r="M2523" s="1175">
        <f t="shared" si="192"/>
        <v>0</v>
      </c>
      <c r="N2523" s="1167">
        <f t="shared" si="191"/>
        <v>0</v>
      </c>
      <c r="O2523" s="1165"/>
      <c r="Q2523" s="317" t="str">
        <f t="shared" ref="Q2523:Q2547" si="193">IF(P2523="X","x",IF(P2523="xx","x",IF(P2523="xy","x",IF(P2523="y","x",IF(OR(N2523&gt;0,N2523&gt;0),"x","")))))</f>
        <v/>
      </c>
      <c r="R2523" s="317" t="str">
        <f t="shared" si="189"/>
        <v/>
      </c>
      <c r="S2523" s="317" t="str">
        <f t="shared" si="190"/>
        <v/>
      </c>
      <c r="T2523" s="317" t="str">
        <f>GLOBAL_DER_FEV_2023!S2523</f>
        <v/>
      </c>
      <c r="W2523" s="582">
        <v>0</v>
      </c>
      <c r="X2523" s="580"/>
      <c r="Y2523" s="583">
        <f>IF(GLOBAL_DER_FEV_2023!W2523=0,0,IF(GLOBAL_DER_FEV_2023!W2523&gt;0,"c","b"))</f>
        <v>0</v>
      </c>
    </row>
    <row r="2524" spans="1:25" ht="13.5" hidden="1" thickBot="1" x14ac:dyDescent="0.25">
      <c r="A2524" s="640" t="s">
        <v>165</v>
      </c>
      <c r="B2524" s="1183">
        <f>GLOBAL_DER_FEV_2023!B2524</f>
        <v>0</v>
      </c>
      <c r="C2524" s="1184">
        <f>GLOBAL_DER_FEV_2023!C2524</f>
        <v>0</v>
      </c>
      <c r="D2524" s="1141">
        <f>GLOBAL_DER_FEV_2023!D2524</f>
        <v>0</v>
      </c>
      <c r="E2524" s="907">
        <f>GLOBAL_DER_FEV_2023!E2524</f>
        <v>0</v>
      </c>
      <c r="F2524" s="908">
        <f>GLOBAL_DER_FEV_2023!F2524</f>
        <v>0</v>
      </c>
      <c r="G2524" s="912">
        <f>GLOBAL_DER_FEV_2023!G2524</f>
        <v>0</v>
      </c>
      <c r="H2524" s="901">
        <f>GLOBAL_DER_FEV_2023!H2524</f>
        <v>0</v>
      </c>
      <c r="I2524" s="901" t="str">
        <f>GLOBAL_DER_FEV_2023!I2524</f>
        <v/>
      </c>
      <c r="J2524" s="902">
        <f>GLOBAL_DER_FEV_2023!J2524</f>
        <v>0</v>
      </c>
      <c r="K2524" s="903">
        <f>GLOBAL_DER_FEV_2023!K2524</f>
        <v>0</v>
      </c>
      <c r="L2524" s="1137"/>
      <c r="M2524" s="1175">
        <f t="shared" si="192"/>
        <v>0</v>
      </c>
      <c r="N2524" s="1167">
        <f t="shared" si="191"/>
        <v>0</v>
      </c>
      <c r="O2524" s="1165"/>
      <c r="Q2524" s="317" t="str">
        <f t="shared" si="193"/>
        <v/>
      </c>
      <c r="R2524" s="317" t="str">
        <f t="shared" si="189"/>
        <v/>
      </c>
      <c r="S2524" s="317" t="str">
        <f t="shared" si="190"/>
        <v/>
      </c>
      <c r="T2524" s="317" t="str">
        <f>GLOBAL_DER_FEV_2023!S2524</f>
        <v/>
      </c>
      <c r="W2524" s="582">
        <v>0</v>
      </c>
      <c r="X2524" s="580"/>
      <c r="Y2524" s="583">
        <f>IF(GLOBAL_DER_FEV_2023!W2524=0,0,IF(GLOBAL_DER_FEV_2023!W2524&gt;0,"c","b"))</f>
        <v>0</v>
      </c>
    </row>
    <row r="2525" spans="1:25" ht="13.5" hidden="1" thickBot="1" x14ac:dyDescent="0.25">
      <c r="A2525" s="640" t="s">
        <v>165</v>
      </c>
      <c r="B2525" s="1183" t="str">
        <f>GLOBAL_DER_FEV_2023!B2525</f>
        <v/>
      </c>
      <c r="C2525" s="1184" t="str">
        <f>GLOBAL_DER_FEV_2023!C2525</f>
        <v/>
      </c>
      <c r="D2525" s="1141">
        <f>GLOBAL_DER_FEV_2023!D2525</f>
        <v>0</v>
      </c>
      <c r="E2525" s="907">
        <f>GLOBAL_DER_FEV_2023!E2525</f>
        <v>0</v>
      </c>
      <c r="F2525" s="908">
        <f>GLOBAL_DER_FEV_2023!F2525</f>
        <v>0</v>
      </c>
      <c r="G2525" s="912">
        <f>GLOBAL_DER_FEV_2023!G2525</f>
        <v>0</v>
      </c>
      <c r="H2525" s="901">
        <f>GLOBAL_DER_FEV_2023!H2525</f>
        <v>0</v>
      </c>
      <c r="I2525" s="901" t="str">
        <f>GLOBAL_DER_FEV_2023!I2525</f>
        <v/>
      </c>
      <c r="J2525" s="902">
        <f>GLOBAL_DER_FEV_2023!J2525</f>
        <v>0</v>
      </c>
      <c r="K2525" s="903" t="str">
        <f>GLOBAL_DER_FEV_2023!K2525</f>
        <v xml:space="preserve">     </v>
      </c>
      <c r="L2525" s="1137"/>
      <c r="M2525" s="1175">
        <f t="shared" si="192"/>
        <v>0</v>
      </c>
      <c r="N2525" s="1167">
        <f t="shared" si="191"/>
        <v>0</v>
      </c>
      <c r="O2525" s="1165"/>
      <c r="Q2525" s="317" t="str">
        <f t="shared" si="193"/>
        <v/>
      </c>
      <c r="R2525" s="317" t="str">
        <f t="shared" ref="R2525:R2547" si="194">IF(P2525="X","x",IF(P2525="y","x",IF(P2525="xx","x",IF(N2525&gt;0,"x",""))))</f>
        <v/>
      </c>
      <c r="S2525" s="317" t="str">
        <f t="shared" ref="S2525:S2547" si="195">IF(P2525="X","x",IF(N2525&gt;0,"x",""))</f>
        <v/>
      </c>
      <c r="T2525" s="317" t="str">
        <f>GLOBAL_DER_FEV_2023!S2525</f>
        <v/>
      </c>
      <c r="W2525" s="582">
        <v>0</v>
      </c>
      <c r="X2525" s="580"/>
      <c r="Y2525" s="583">
        <f>IF(GLOBAL_DER_FEV_2023!W2525=0,0,IF(GLOBAL_DER_FEV_2023!W2525&gt;0,"c","b"))</f>
        <v>0</v>
      </c>
    </row>
    <row r="2526" spans="1:25" ht="13.5" hidden="1" thickBot="1" x14ac:dyDescent="0.25">
      <c r="A2526" s="640" t="s">
        <v>165</v>
      </c>
      <c r="B2526" s="1183" t="str">
        <f>GLOBAL_DER_FEV_2023!B2526</f>
        <v/>
      </c>
      <c r="C2526" s="1184" t="str">
        <f>GLOBAL_DER_FEV_2023!C2526</f>
        <v/>
      </c>
      <c r="D2526" s="1141">
        <f>GLOBAL_DER_FEV_2023!D2526</f>
        <v>0</v>
      </c>
      <c r="E2526" s="907">
        <f>GLOBAL_DER_FEV_2023!E2526</f>
        <v>0</v>
      </c>
      <c r="F2526" s="908">
        <f>GLOBAL_DER_FEV_2023!F2526</f>
        <v>0</v>
      </c>
      <c r="G2526" s="912">
        <f>GLOBAL_DER_FEV_2023!G2526</f>
        <v>0</v>
      </c>
      <c r="H2526" s="901">
        <f>GLOBAL_DER_FEV_2023!H2526</f>
        <v>0</v>
      </c>
      <c r="I2526" s="901" t="str">
        <f>GLOBAL_DER_FEV_2023!I2526</f>
        <v/>
      </c>
      <c r="J2526" s="902">
        <f>GLOBAL_DER_FEV_2023!J2526</f>
        <v>0</v>
      </c>
      <c r="K2526" s="903" t="str">
        <f>GLOBAL_DER_FEV_2023!K2526</f>
        <v xml:space="preserve">     </v>
      </c>
      <c r="L2526" s="1137"/>
      <c r="M2526" s="1175">
        <f t="shared" si="192"/>
        <v>0</v>
      </c>
      <c r="N2526" s="1167">
        <f t="shared" si="191"/>
        <v>0</v>
      </c>
      <c r="O2526" s="1165"/>
      <c r="Q2526" s="317" t="str">
        <f t="shared" si="193"/>
        <v/>
      </c>
      <c r="R2526" s="317" t="str">
        <f t="shared" si="194"/>
        <v/>
      </c>
      <c r="S2526" s="317" t="str">
        <f t="shared" si="195"/>
        <v/>
      </c>
      <c r="T2526" s="317" t="str">
        <f>GLOBAL_DER_FEV_2023!S2526</f>
        <v/>
      </c>
      <c r="W2526" s="582">
        <v>0</v>
      </c>
      <c r="X2526" s="580"/>
      <c r="Y2526" s="583">
        <f>IF(GLOBAL_DER_FEV_2023!W2526=0,0,IF(GLOBAL_DER_FEV_2023!W2526&gt;0,"c","b"))</f>
        <v>0</v>
      </c>
    </row>
    <row r="2527" spans="1:25" ht="13.5" hidden="1" thickBot="1" x14ac:dyDescent="0.25">
      <c r="A2527" s="327" t="s">
        <v>152</v>
      </c>
      <c r="B2527" s="1183" t="str">
        <f>GLOBAL_DER_FEV_2023!B2527</f>
        <v/>
      </c>
      <c r="C2527" s="1184" t="str">
        <f>GLOBAL_DER_FEV_2023!C2527</f>
        <v/>
      </c>
      <c r="D2527" s="1141">
        <f>GLOBAL_DER_FEV_2023!D2527</f>
        <v>0</v>
      </c>
      <c r="E2527" s="907">
        <f>GLOBAL_DER_FEV_2023!E2527</f>
        <v>0</v>
      </c>
      <c r="F2527" s="908">
        <f>GLOBAL_DER_FEV_2023!F2527</f>
        <v>0</v>
      </c>
      <c r="G2527" s="912">
        <f>GLOBAL_DER_FEV_2023!G2527</f>
        <v>0</v>
      </c>
      <c r="H2527" s="901">
        <f>GLOBAL_DER_FEV_2023!H2527</f>
        <v>0</v>
      </c>
      <c r="I2527" s="901" t="str">
        <f>GLOBAL_DER_FEV_2023!I2527</f>
        <v/>
      </c>
      <c r="J2527" s="902">
        <f>GLOBAL_DER_FEV_2023!J2527</f>
        <v>0</v>
      </c>
      <c r="K2527" s="903" t="str">
        <f>GLOBAL_DER_FEV_2023!K2527</f>
        <v xml:space="preserve">     </v>
      </c>
      <c r="L2527" s="1137"/>
      <c r="M2527" s="1175">
        <f t="shared" si="192"/>
        <v>0</v>
      </c>
      <c r="N2527" s="1167">
        <f t="shared" si="191"/>
        <v>0</v>
      </c>
      <c r="O2527" s="1165"/>
      <c r="Q2527" s="317" t="str">
        <f t="shared" si="193"/>
        <v/>
      </c>
      <c r="R2527" s="317" t="str">
        <f t="shared" si="194"/>
        <v/>
      </c>
      <c r="S2527" s="317" t="str">
        <f t="shared" si="195"/>
        <v/>
      </c>
      <c r="T2527" s="317" t="str">
        <f>GLOBAL_DER_FEV_2023!S2527</f>
        <v/>
      </c>
      <c r="W2527" s="582">
        <v>0</v>
      </c>
      <c r="X2527" s="580"/>
      <c r="Y2527" s="583">
        <f>IF(GLOBAL_DER_FEV_2023!W2527=0,0,IF(GLOBAL_DER_FEV_2023!W2527&gt;0,"c","b"))</f>
        <v>0</v>
      </c>
    </row>
    <row r="2528" spans="1:25" ht="13.5" hidden="1" thickBot="1" x14ac:dyDescent="0.25">
      <c r="A2528" s="327" t="s">
        <v>152</v>
      </c>
      <c r="B2528" s="1183" t="str">
        <f>GLOBAL_DER_FEV_2023!B2528</f>
        <v/>
      </c>
      <c r="C2528" s="1184" t="str">
        <f>GLOBAL_DER_FEV_2023!C2528</f>
        <v/>
      </c>
      <c r="D2528" s="1141">
        <f>GLOBAL_DER_FEV_2023!D2528</f>
        <v>0</v>
      </c>
      <c r="E2528" s="907">
        <f>GLOBAL_DER_FEV_2023!E2528</f>
        <v>0</v>
      </c>
      <c r="F2528" s="908">
        <f>GLOBAL_DER_FEV_2023!F2528</f>
        <v>0</v>
      </c>
      <c r="G2528" s="912">
        <f>GLOBAL_DER_FEV_2023!G2528</f>
        <v>0</v>
      </c>
      <c r="H2528" s="901">
        <f>GLOBAL_DER_FEV_2023!H2528</f>
        <v>0</v>
      </c>
      <c r="I2528" s="901" t="str">
        <f>GLOBAL_DER_FEV_2023!I2528</f>
        <v/>
      </c>
      <c r="J2528" s="902">
        <f>GLOBAL_DER_FEV_2023!J2528</f>
        <v>0</v>
      </c>
      <c r="K2528" s="903" t="str">
        <f>GLOBAL_DER_FEV_2023!K2528</f>
        <v xml:space="preserve">     </v>
      </c>
      <c r="L2528" s="1137"/>
      <c r="M2528" s="1175">
        <f t="shared" si="192"/>
        <v>0</v>
      </c>
      <c r="N2528" s="1167">
        <f t="shared" si="191"/>
        <v>0</v>
      </c>
      <c r="O2528" s="1165"/>
      <c r="Q2528" s="317" t="str">
        <f t="shared" si="193"/>
        <v/>
      </c>
      <c r="R2528" s="317" t="str">
        <f t="shared" si="194"/>
        <v/>
      </c>
      <c r="S2528" s="317" t="str">
        <f t="shared" si="195"/>
        <v/>
      </c>
      <c r="T2528" s="317" t="str">
        <f>GLOBAL_DER_FEV_2023!S2528</f>
        <v/>
      </c>
      <c r="W2528" s="582">
        <v>0</v>
      </c>
      <c r="X2528" s="580"/>
      <c r="Y2528" s="583">
        <f>IF(GLOBAL_DER_FEV_2023!W2528=0,0,IF(GLOBAL_DER_FEV_2023!W2528&gt;0,"c","b"))</f>
        <v>0</v>
      </c>
    </row>
    <row r="2529" spans="1:25" ht="13.5" hidden="1" thickBot="1" x14ac:dyDescent="0.25">
      <c r="A2529" s="327" t="s">
        <v>152</v>
      </c>
      <c r="B2529" s="1183" t="str">
        <f>GLOBAL_DER_FEV_2023!B2529</f>
        <v/>
      </c>
      <c r="C2529" s="1184" t="str">
        <f>GLOBAL_DER_FEV_2023!C2529</f>
        <v/>
      </c>
      <c r="D2529" s="1141">
        <f>GLOBAL_DER_FEV_2023!D2529</f>
        <v>0</v>
      </c>
      <c r="E2529" s="907">
        <f>GLOBAL_DER_FEV_2023!E2529</f>
        <v>0</v>
      </c>
      <c r="F2529" s="908">
        <f>GLOBAL_DER_FEV_2023!F2529</f>
        <v>0</v>
      </c>
      <c r="G2529" s="912">
        <f>GLOBAL_DER_FEV_2023!G2529</f>
        <v>0</v>
      </c>
      <c r="H2529" s="901">
        <f>GLOBAL_DER_FEV_2023!H2529</f>
        <v>0</v>
      </c>
      <c r="I2529" s="901" t="str">
        <f>GLOBAL_DER_FEV_2023!I2529</f>
        <v/>
      </c>
      <c r="J2529" s="902">
        <f>GLOBAL_DER_FEV_2023!J2529</f>
        <v>0</v>
      </c>
      <c r="K2529" s="903" t="str">
        <f>GLOBAL_DER_FEV_2023!K2529</f>
        <v xml:space="preserve">     </v>
      </c>
      <c r="L2529" s="1137"/>
      <c r="M2529" s="1175">
        <f t="shared" si="192"/>
        <v>0</v>
      </c>
      <c r="N2529" s="1167">
        <f t="shared" ref="N2529:N2546" si="196">IF(ISBLANK(L2529),0,IF(W2529=0,ROUND(L2529*M2529,2),IF(W2529="b",ROUNDDOWN(L2529*M2529,2),ROUNDUP(L2529*M2529,2))))</f>
        <v>0</v>
      </c>
      <c r="O2529" s="1165"/>
      <c r="Q2529" s="317" t="str">
        <f t="shared" si="193"/>
        <v/>
      </c>
      <c r="R2529" s="317" t="str">
        <f t="shared" si="194"/>
        <v/>
      </c>
      <c r="S2529" s="317" t="str">
        <f t="shared" si="195"/>
        <v/>
      </c>
      <c r="T2529" s="317" t="str">
        <f>GLOBAL_DER_FEV_2023!S2529</f>
        <v/>
      </c>
      <c r="W2529" s="582">
        <v>0</v>
      </c>
      <c r="X2529" s="580"/>
      <c r="Y2529" s="583">
        <f>IF(GLOBAL_DER_FEV_2023!W2529=0,0,IF(GLOBAL_DER_FEV_2023!W2529&gt;0,"c","b"))</f>
        <v>0</v>
      </c>
    </row>
    <row r="2530" spans="1:25" ht="13.5" hidden="1" thickBot="1" x14ac:dyDescent="0.25">
      <c r="A2530" s="327" t="s">
        <v>152</v>
      </c>
      <c r="B2530" s="1183" t="str">
        <f>GLOBAL_DER_FEV_2023!B2530</f>
        <v/>
      </c>
      <c r="C2530" s="1184" t="str">
        <f>GLOBAL_DER_FEV_2023!C2530</f>
        <v/>
      </c>
      <c r="D2530" s="1141">
        <f>GLOBAL_DER_FEV_2023!D2530</f>
        <v>0</v>
      </c>
      <c r="E2530" s="907">
        <f>GLOBAL_DER_FEV_2023!E2530</f>
        <v>0</v>
      </c>
      <c r="F2530" s="908">
        <f>GLOBAL_DER_FEV_2023!F2530</f>
        <v>0</v>
      </c>
      <c r="G2530" s="912">
        <f>GLOBAL_DER_FEV_2023!G2530</f>
        <v>0</v>
      </c>
      <c r="H2530" s="901">
        <f>GLOBAL_DER_FEV_2023!H2530</f>
        <v>0</v>
      </c>
      <c r="I2530" s="901" t="str">
        <f>GLOBAL_DER_FEV_2023!I2530</f>
        <v/>
      </c>
      <c r="J2530" s="902">
        <f>GLOBAL_DER_FEV_2023!J2530</f>
        <v>0</v>
      </c>
      <c r="K2530" s="903" t="str">
        <f>GLOBAL_DER_FEV_2023!K2530</f>
        <v xml:space="preserve">     </v>
      </c>
      <c r="L2530" s="1137"/>
      <c r="M2530" s="1175">
        <f t="shared" si="192"/>
        <v>0</v>
      </c>
      <c r="N2530" s="1167">
        <f t="shared" si="196"/>
        <v>0</v>
      </c>
      <c r="O2530" s="1165"/>
      <c r="Q2530" s="317" t="str">
        <f t="shared" si="193"/>
        <v/>
      </c>
      <c r="R2530" s="317" t="str">
        <f t="shared" si="194"/>
        <v/>
      </c>
      <c r="S2530" s="317" t="str">
        <f t="shared" si="195"/>
        <v/>
      </c>
      <c r="T2530" s="317" t="str">
        <f>GLOBAL_DER_FEV_2023!S2530</f>
        <v/>
      </c>
      <c r="W2530" s="582">
        <v>0</v>
      </c>
      <c r="X2530" s="580"/>
      <c r="Y2530" s="583">
        <f>IF(GLOBAL_DER_FEV_2023!W2530=0,0,IF(GLOBAL_DER_FEV_2023!W2530&gt;0,"c","b"))</f>
        <v>0</v>
      </c>
    </row>
    <row r="2531" spans="1:25" ht="13.5" hidden="1" thickBot="1" x14ac:dyDescent="0.25">
      <c r="A2531" s="327" t="s">
        <v>152</v>
      </c>
      <c r="B2531" s="1183" t="str">
        <f>GLOBAL_DER_FEV_2023!B2531</f>
        <v/>
      </c>
      <c r="C2531" s="1184" t="str">
        <f>GLOBAL_DER_FEV_2023!C2531</f>
        <v/>
      </c>
      <c r="D2531" s="1141">
        <f>GLOBAL_DER_FEV_2023!D2531</f>
        <v>0</v>
      </c>
      <c r="E2531" s="907">
        <f>GLOBAL_DER_FEV_2023!E2531</f>
        <v>0</v>
      </c>
      <c r="F2531" s="908">
        <f>GLOBAL_DER_FEV_2023!F2531</f>
        <v>0</v>
      </c>
      <c r="G2531" s="912">
        <f>GLOBAL_DER_FEV_2023!G2531</f>
        <v>0</v>
      </c>
      <c r="H2531" s="901">
        <f>GLOBAL_DER_FEV_2023!H2531</f>
        <v>0</v>
      </c>
      <c r="I2531" s="901" t="str">
        <f>GLOBAL_DER_FEV_2023!I2531</f>
        <v/>
      </c>
      <c r="J2531" s="902">
        <f>GLOBAL_DER_FEV_2023!J2531</f>
        <v>0</v>
      </c>
      <c r="K2531" s="903" t="str">
        <f>GLOBAL_DER_FEV_2023!K2531</f>
        <v xml:space="preserve">     </v>
      </c>
      <c r="L2531" s="1137"/>
      <c r="M2531" s="1175">
        <f t="shared" si="192"/>
        <v>0</v>
      </c>
      <c r="N2531" s="1167">
        <f t="shared" si="196"/>
        <v>0</v>
      </c>
      <c r="O2531" s="1165"/>
      <c r="Q2531" s="317" t="str">
        <f t="shared" si="193"/>
        <v/>
      </c>
      <c r="R2531" s="317" t="str">
        <f t="shared" si="194"/>
        <v/>
      </c>
      <c r="S2531" s="317" t="str">
        <f t="shared" si="195"/>
        <v/>
      </c>
      <c r="T2531" s="317" t="str">
        <f>GLOBAL_DER_FEV_2023!S2531</f>
        <v/>
      </c>
      <c r="W2531" s="582">
        <v>0</v>
      </c>
      <c r="X2531" s="580"/>
      <c r="Y2531" s="583">
        <f>IF(GLOBAL_DER_FEV_2023!W2531=0,0,IF(GLOBAL_DER_FEV_2023!W2531&gt;0,"c","b"))</f>
        <v>0</v>
      </c>
    </row>
    <row r="2532" spans="1:25" ht="13.5" hidden="1" thickBot="1" x14ac:dyDescent="0.25">
      <c r="A2532" s="327" t="s">
        <v>152</v>
      </c>
      <c r="B2532" s="1183" t="str">
        <f>GLOBAL_DER_FEV_2023!B2532</f>
        <v/>
      </c>
      <c r="C2532" s="1184" t="str">
        <f>GLOBAL_DER_FEV_2023!C2532</f>
        <v/>
      </c>
      <c r="D2532" s="1141">
        <f>GLOBAL_DER_FEV_2023!D2532</f>
        <v>0</v>
      </c>
      <c r="E2532" s="907">
        <f>GLOBAL_DER_FEV_2023!E2532</f>
        <v>0</v>
      </c>
      <c r="F2532" s="908">
        <f>GLOBAL_DER_FEV_2023!F2532</f>
        <v>0</v>
      </c>
      <c r="G2532" s="912">
        <f>GLOBAL_DER_FEV_2023!G2532</f>
        <v>0</v>
      </c>
      <c r="H2532" s="901">
        <f>GLOBAL_DER_FEV_2023!H2532</f>
        <v>0</v>
      </c>
      <c r="I2532" s="901" t="str">
        <f>GLOBAL_DER_FEV_2023!I2532</f>
        <v/>
      </c>
      <c r="J2532" s="902">
        <f>GLOBAL_DER_FEV_2023!J2532</f>
        <v>0</v>
      </c>
      <c r="K2532" s="903" t="str">
        <f>GLOBAL_DER_FEV_2023!K2532</f>
        <v xml:space="preserve">     </v>
      </c>
      <c r="L2532" s="1137"/>
      <c r="M2532" s="1175">
        <f t="shared" si="192"/>
        <v>0</v>
      </c>
      <c r="N2532" s="1167">
        <f t="shared" si="196"/>
        <v>0</v>
      </c>
      <c r="O2532" s="1165"/>
      <c r="Q2532" s="317" t="str">
        <f t="shared" si="193"/>
        <v/>
      </c>
      <c r="R2532" s="317" t="str">
        <f t="shared" si="194"/>
        <v/>
      </c>
      <c r="S2532" s="317" t="str">
        <f t="shared" si="195"/>
        <v/>
      </c>
      <c r="T2532" s="317" t="str">
        <f>GLOBAL_DER_FEV_2023!S2532</f>
        <v/>
      </c>
      <c r="W2532" s="582">
        <v>0</v>
      </c>
      <c r="X2532" s="580"/>
      <c r="Y2532" s="583">
        <f>IF(GLOBAL_DER_FEV_2023!W2532=0,0,IF(GLOBAL_DER_FEV_2023!W2532&gt;0,"c","b"))</f>
        <v>0</v>
      </c>
    </row>
    <row r="2533" spans="1:25" ht="13.5" hidden="1" thickBot="1" x14ac:dyDescent="0.25">
      <c r="A2533" s="327" t="s">
        <v>152</v>
      </c>
      <c r="B2533" s="1183" t="str">
        <f>GLOBAL_DER_FEV_2023!B2533</f>
        <v/>
      </c>
      <c r="C2533" s="1184" t="str">
        <f>GLOBAL_DER_FEV_2023!C2533</f>
        <v/>
      </c>
      <c r="D2533" s="1141">
        <f>GLOBAL_DER_FEV_2023!D2533</f>
        <v>0</v>
      </c>
      <c r="E2533" s="907">
        <f>GLOBAL_DER_FEV_2023!E2533</f>
        <v>0</v>
      </c>
      <c r="F2533" s="908">
        <f>GLOBAL_DER_FEV_2023!F2533</f>
        <v>0</v>
      </c>
      <c r="G2533" s="912">
        <f>GLOBAL_DER_FEV_2023!G2533</f>
        <v>0</v>
      </c>
      <c r="H2533" s="901">
        <f>GLOBAL_DER_FEV_2023!H2533</f>
        <v>0</v>
      </c>
      <c r="I2533" s="901" t="str">
        <f>GLOBAL_DER_FEV_2023!I2533</f>
        <v/>
      </c>
      <c r="J2533" s="902">
        <f>GLOBAL_DER_FEV_2023!J2533</f>
        <v>0</v>
      </c>
      <c r="K2533" s="903" t="str">
        <f>GLOBAL_DER_FEV_2023!K2533</f>
        <v xml:space="preserve">     </v>
      </c>
      <c r="L2533" s="1137"/>
      <c r="M2533" s="1175">
        <f t="shared" si="192"/>
        <v>0</v>
      </c>
      <c r="N2533" s="1167">
        <f t="shared" si="196"/>
        <v>0</v>
      </c>
      <c r="O2533" s="1165"/>
      <c r="Q2533" s="317" t="str">
        <f t="shared" si="193"/>
        <v/>
      </c>
      <c r="R2533" s="317" t="str">
        <f t="shared" si="194"/>
        <v/>
      </c>
      <c r="S2533" s="317" t="str">
        <f t="shared" si="195"/>
        <v/>
      </c>
      <c r="T2533" s="317" t="str">
        <f>GLOBAL_DER_FEV_2023!S2533</f>
        <v/>
      </c>
      <c r="W2533" s="582">
        <v>0</v>
      </c>
      <c r="X2533" s="580"/>
      <c r="Y2533" s="583">
        <f>IF(GLOBAL_DER_FEV_2023!W2533=0,0,IF(GLOBAL_DER_FEV_2023!W2533&gt;0,"c","b"))</f>
        <v>0</v>
      </c>
    </row>
    <row r="2534" spans="1:25" ht="13.5" hidden="1" thickBot="1" x14ac:dyDescent="0.25">
      <c r="A2534" s="327" t="s">
        <v>152</v>
      </c>
      <c r="B2534" s="1183" t="str">
        <f>GLOBAL_DER_FEV_2023!B2534</f>
        <v/>
      </c>
      <c r="C2534" s="1184" t="str">
        <f>GLOBAL_DER_FEV_2023!C2534</f>
        <v/>
      </c>
      <c r="D2534" s="1141">
        <f>GLOBAL_DER_FEV_2023!D2534</f>
        <v>0</v>
      </c>
      <c r="E2534" s="907">
        <f>GLOBAL_DER_FEV_2023!E2534</f>
        <v>0</v>
      </c>
      <c r="F2534" s="908">
        <f>GLOBAL_DER_FEV_2023!F2534</f>
        <v>0</v>
      </c>
      <c r="G2534" s="912">
        <f>GLOBAL_DER_FEV_2023!G2534</f>
        <v>0</v>
      </c>
      <c r="H2534" s="901">
        <f>GLOBAL_DER_FEV_2023!H2534</f>
        <v>0</v>
      </c>
      <c r="I2534" s="901" t="str">
        <f>GLOBAL_DER_FEV_2023!I2534</f>
        <v/>
      </c>
      <c r="J2534" s="902">
        <f>GLOBAL_DER_FEV_2023!J2534</f>
        <v>0</v>
      </c>
      <c r="K2534" s="903" t="str">
        <f>GLOBAL_DER_FEV_2023!K2534</f>
        <v xml:space="preserve">     </v>
      </c>
      <c r="L2534" s="1137"/>
      <c r="M2534" s="1175">
        <f t="shared" si="192"/>
        <v>0</v>
      </c>
      <c r="N2534" s="1167">
        <f t="shared" si="196"/>
        <v>0</v>
      </c>
      <c r="O2534" s="1165"/>
      <c r="Q2534" s="317" t="str">
        <f t="shared" si="193"/>
        <v/>
      </c>
      <c r="R2534" s="317" t="str">
        <f t="shared" si="194"/>
        <v/>
      </c>
      <c r="S2534" s="317" t="str">
        <f t="shared" si="195"/>
        <v/>
      </c>
      <c r="T2534" s="317" t="str">
        <f>GLOBAL_DER_FEV_2023!S2534</f>
        <v/>
      </c>
      <c r="W2534" s="582">
        <v>0</v>
      </c>
      <c r="X2534" s="580"/>
      <c r="Y2534" s="583">
        <f>IF(GLOBAL_DER_FEV_2023!W2534=0,0,IF(GLOBAL_DER_FEV_2023!W2534&gt;0,"c","b"))</f>
        <v>0</v>
      </c>
    </row>
    <row r="2535" spans="1:25" ht="13.5" hidden="1" thickBot="1" x14ac:dyDescent="0.25">
      <c r="A2535" s="327" t="s">
        <v>152</v>
      </c>
      <c r="B2535" s="1183" t="str">
        <f>GLOBAL_DER_FEV_2023!B2535</f>
        <v/>
      </c>
      <c r="C2535" s="1184" t="str">
        <f>GLOBAL_DER_FEV_2023!C2535</f>
        <v/>
      </c>
      <c r="D2535" s="1141">
        <f>GLOBAL_DER_FEV_2023!D2535</f>
        <v>0</v>
      </c>
      <c r="E2535" s="907">
        <f>GLOBAL_DER_FEV_2023!E2535</f>
        <v>0</v>
      </c>
      <c r="F2535" s="908">
        <f>GLOBAL_DER_FEV_2023!F2535</f>
        <v>0</v>
      </c>
      <c r="G2535" s="912">
        <f>GLOBAL_DER_FEV_2023!G2535</f>
        <v>0</v>
      </c>
      <c r="H2535" s="901">
        <f>GLOBAL_DER_FEV_2023!H2535</f>
        <v>0</v>
      </c>
      <c r="I2535" s="901" t="str">
        <f>GLOBAL_DER_FEV_2023!I2535</f>
        <v/>
      </c>
      <c r="J2535" s="902">
        <f>GLOBAL_DER_FEV_2023!J2535</f>
        <v>0</v>
      </c>
      <c r="K2535" s="903" t="str">
        <f>GLOBAL_DER_FEV_2023!K2535</f>
        <v xml:space="preserve">     </v>
      </c>
      <c r="L2535" s="1137"/>
      <c r="M2535" s="1175">
        <f t="shared" si="192"/>
        <v>0</v>
      </c>
      <c r="N2535" s="1167">
        <f t="shared" si="196"/>
        <v>0</v>
      </c>
      <c r="O2535" s="1165"/>
      <c r="Q2535" s="317" t="str">
        <f t="shared" si="193"/>
        <v/>
      </c>
      <c r="R2535" s="317" t="str">
        <f t="shared" si="194"/>
        <v/>
      </c>
      <c r="S2535" s="317" t="str">
        <f t="shared" si="195"/>
        <v/>
      </c>
      <c r="T2535" s="317" t="str">
        <f>GLOBAL_DER_FEV_2023!S2535</f>
        <v/>
      </c>
      <c r="W2535" s="582">
        <v>0</v>
      </c>
      <c r="X2535" s="580"/>
      <c r="Y2535" s="583">
        <f>IF(GLOBAL_DER_FEV_2023!W2535=0,0,IF(GLOBAL_DER_FEV_2023!W2535&gt;0,"c","b"))</f>
        <v>0</v>
      </c>
    </row>
    <row r="2536" spans="1:25" ht="13.5" hidden="1" thickBot="1" x14ac:dyDescent="0.25">
      <c r="A2536" s="327" t="s">
        <v>152</v>
      </c>
      <c r="B2536" s="1183" t="str">
        <f>GLOBAL_DER_FEV_2023!B2536</f>
        <v/>
      </c>
      <c r="C2536" s="1184" t="str">
        <f>GLOBAL_DER_FEV_2023!C2536</f>
        <v/>
      </c>
      <c r="D2536" s="1141">
        <f>GLOBAL_DER_FEV_2023!D2536</f>
        <v>0</v>
      </c>
      <c r="E2536" s="907">
        <f>GLOBAL_DER_FEV_2023!E2536</f>
        <v>0</v>
      </c>
      <c r="F2536" s="908">
        <f>GLOBAL_DER_FEV_2023!F2536</f>
        <v>0</v>
      </c>
      <c r="G2536" s="912">
        <f>GLOBAL_DER_FEV_2023!G2536</f>
        <v>0</v>
      </c>
      <c r="H2536" s="901">
        <f>GLOBAL_DER_FEV_2023!H2536</f>
        <v>0</v>
      </c>
      <c r="I2536" s="901" t="str">
        <f>GLOBAL_DER_FEV_2023!I2536</f>
        <v/>
      </c>
      <c r="J2536" s="902">
        <f>GLOBAL_DER_FEV_2023!J2536</f>
        <v>0</v>
      </c>
      <c r="K2536" s="903" t="str">
        <f>GLOBAL_DER_FEV_2023!K2536</f>
        <v xml:space="preserve">     </v>
      </c>
      <c r="L2536" s="1137"/>
      <c r="M2536" s="1175">
        <f t="shared" si="192"/>
        <v>0</v>
      </c>
      <c r="N2536" s="1167">
        <f t="shared" si="196"/>
        <v>0</v>
      </c>
      <c r="O2536" s="1165"/>
      <c r="Q2536" s="317" t="str">
        <f t="shared" si="193"/>
        <v/>
      </c>
      <c r="R2536" s="317" t="str">
        <f t="shared" si="194"/>
        <v/>
      </c>
      <c r="S2536" s="317" t="str">
        <f t="shared" si="195"/>
        <v/>
      </c>
      <c r="T2536" s="317" t="str">
        <f>GLOBAL_DER_FEV_2023!S2536</f>
        <v/>
      </c>
      <c r="W2536" s="582">
        <v>0</v>
      </c>
      <c r="X2536" s="580"/>
      <c r="Y2536" s="583">
        <f>IF(GLOBAL_DER_FEV_2023!W2536=0,0,IF(GLOBAL_DER_FEV_2023!W2536&gt;0,"c","b"))</f>
        <v>0</v>
      </c>
    </row>
    <row r="2537" spans="1:25" ht="13.5" hidden="1" thickBot="1" x14ac:dyDescent="0.25">
      <c r="A2537" s="327" t="s">
        <v>152</v>
      </c>
      <c r="B2537" s="1183" t="str">
        <f>GLOBAL_DER_FEV_2023!B2537</f>
        <v/>
      </c>
      <c r="C2537" s="1184" t="str">
        <f>GLOBAL_DER_FEV_2023!C2537</f>
        <v/>
      </c>
      <c r="D2537" s="1141">
        <f>GLOBAL_DER_FEV_2023!D2537</f>
        <v>0</v>
      </c>
      <c r="E2537" s="907">
        <f>GLOBAL_DER_FEV_2023!E2537</f>
        <v>0</v>
      </c>
      <c r="F2537" s="908">
        <f>GLOBAL_DER_FEV_2023!F2537</f>
        <v>0</v>
      </c>
      <c r="G2537" s="912">
        <f>GLOBAL_DER_FEV_2023!G2537</f>
        <v>0</v>
      </c>
      <c r="H2537" s="901">
        <f>GLOBAL_DER_FEV_2023!H2537</f>
        <v>0</v>
      </c>
      <c r="I2537" s="901" t="str">
        <f>GLOBAL_DER_FEV_2023!I2537</f>
        <v/>
      </c>
      <c r="J2537" s="902">
        <f>GLOBAL_DER_FEV_2023!J2537</f>
        <v>0</v>
      </c>
      <c r="K2537" s="903" t="str">
        <f>GLOBAL_DER_FEV_2023!K2537</f>
        <v xml:space="preserve">     </v>
      </c>
      <c r="L2537" s="1137"/>
      <c r="M2537" s="1175">
        <f t="shared" si="192"/>
        <v>0</v>
      </c>
      <c r="N2537" s="1167">
        <f t="shared" si="196"/>
        <v>0</v>
      </c>
      <c r="O2537" s="1165"/>
      <c r="Q2537" s="317" t="str">
        <f t="shared" si="193"/>
        <v/>
      </c>
      <c r="R2537" s="317" t="str">
        <f t="shared" si="194"/>
        <v/>
      </c>
      <c r="S2537" s="317" t="str">
        <f t="shared" si="195"/>
        <v/>
      </c>
      <c r="T2537" s="317" t="str">
        <f>GLOBAL_DER_FEV_2023!S2537</f>
        <v/>
      </c>
      <c r="W2537" s="582">
        <v>0</v>
      </c>
      <c r="X2537" s="580"/>
      <c r="Y2537" s="583">
        <f>IF(GLOBAL_DER_FEV_2023!W2537=0,0,IF(GLOBAL_DER_FEV_2023!W2537&gt;0,"c","b"))</f>
        <v>0</v>
      </c>
    </row>
    <row r="2538" spans="1:25" ht="13.5" hidden="1" thickBot="1" x14ac:dyDescent="0.25">
      <c r="A2538" s="640" t="s">
        <v>165</v>
      </c>
      <c r="B2538" s="1183" t="str">
        <f>GLOBAL_DER_FEV_2023!B2538</f>
        <v/>
      </c>
      <c r="C2538" s="1184" t="str">
        <f>GLOBAL_DER_FEV_2023!C2538</f>
        <v/>
      </c>
      <c r="D2538" s="1141">
        <f>GLOBAL_DER_FEV_2023!D2538</f>
        <v>0</v>
      </c>
      <c r="E2538" s="907">
        <f>GLOBAL_DER_FEV_2023!E2538</f>
        <v>0</v>
      </c>
      <c r="F2538" s="908">
        <f>GLOBAL_DER_FEV_2023!F2538</f>
        <v>0</v>
      </c>
      <c r="G2538" s="912">
        <f>GLOBAL_DER_FEV_2023!G2538</f>
        <v>0</v>
      </c>
      <c r="H2538" s="901">
        <f>GLOBAL_DER_FEV_2023!H2538</f>
        <v>0</v>
      </c>
      <c r="I2538" s="901" t="str">
        <f>GLOBAL_DER_FEV_2023!I2538</f>
        <v/>
      </c>
      <c r="J2538" s="902">
        <f>GLOBAL_DER_FEV_2023!J2538</f>
        <v>0</v>
      </c>
      <c r="K2538" s="903" t="str">
        <f>GLOBAL_DER_FEV_2023!K2538</f>
        <v xml:space="preserve">     </v>
      </c>
      <c r="L2538" s="1137"/>
      <c r="M2538" s="1175">
        <f t="shared" si="192"/>
        <v>0</v>
      </c>
      <c r="N2538" s="1167">
        <f t="shared" si="196"/>
        <v>0</v>
      </c>
      <c r="O2538" s="1165"/>
      <c r="Q2538" s="317" t="str">
        <f t="shared" si="193"/>
        <v/>
      </c>
      <c r="R2538" s="317" t="str">
        <f t="shared" si="194"/>
        <v/>
      </c>
      <c r="S2538" s="317" t="str">
        <f t="shared" si="195"/>
        <v/>
      </c>
      <c r="T2538" s="317" t="str">
        <f>GLOBAL_DER_FEV_2023!S2538</f>
        <v/>
      </c>
      <c r="W2538" s="582">
        <v>0</v>
      </c>
      <c r="X2538" s="580"/>
      <c r="Y2538" s="583">
        <f>IF(GLOBAL_DER_FEV_2023!W2538=0,0,IF(GLOBAL_DER_FEV_2023!W2538&gt;0,"c","b"))</f>
        <v>0</v>
      </c>
    </row>
    <row r="2539" spans="1:25" ht="13.5" hidden="1" thickBot="1" x14ac:dyDescent="0.25">
      <c r="A2539" s="640" t="s">
        <v>165</v>
      </c>
      <c r="B2539" s="1183" t="str">
        <f>GLOBAL_DER_FEV_2023!B2539</f>
        <v/>
      </c>
      <c r="C2539" s="1184" t="str">
        <f>GLOBAL_DER_FEV_2023!C2539</f>
        <v/>
      </c>
      <c r="D2539" s="1141">
        <f>GLOBAL_DER_FEV_2023!D2539</f>
        <v>0</v>
      </c>
      <c r="E2539" s="907">
        <f>GLOBAL_DER_FEV_2023!E2539</f>
        <v>0</v>
      </c>
      <c r="F2539" s="908">
        <f>GLOBAL_DER_FEV_2023!F2539</f>
        <v>0</v>
      </c>
      <c r="G2539" s="912">
        <f>GLOBAL_DER_FEV_2023!G2539</f>
        <v>0</v>
      </c>
      <c r="H2539" s="901">
        <f>GLOBAL_DER_FEV_2023!H2539</f>
        <v>0</v>
      </c>
      <c r="I2539" s="901" t="str">
        <f>GLOBAL_DER_FEV_2023!I2539</f>
        <v/>
      </c>
      <c r="J2539" s="902">
        <f>GLOBAL_DER_FEV_2023!J2539</f>
        <v>0</v>
      </c>
      <c r="K2539" s="903" t="str">
        <f>GLOBAL_DER_FEV_2023!K2539</f>
        <v xml:space="preserve">     </v>
      </c>
      <c r="L2539" s="1137"/>
      <c r="M2539" s="1175">
        <f t="shared" si="192"/>
        <v>0</v>
      </c>
      <c r="N2539" s="1167">
        <f t="shared" si="196"/>
        <v>0</v>
      </c>
      <c r="O2539" s="1165"/>
      <c r="Q2539" s="317" t="str">
        <f t="shared" si="193"/>
        <v/>
      </c>
      <c r="R2539" s="317" t="str">
        <f t="shared" si="194"/>
        <v/>
      </c>
      <c r="S2539" s="317" t="str">
        <f t="shared" si="195"/>
        <v/>
      </c>
      <c r="T2539" s="317" t="str">
        <f>GLOBAL_DER_FEV_2023!S2539</f>
        <v/>
      </c>
      <c r="W2539" s="582">
        <v>0</v>
      </c>
      <c r="X2539" s="580"/>
      <c r="Y2539" s="583">
        <f>IF(GLOBAL_DER_FEV_2023!W2539=0,0,IF(GLOBAL_DER_FEV_2023!W2539&gt;0,"c","b"))</f>
        <v>0</v>
      </c>
    </row>
    <row r="2540" spans="1:25" ht="13.5" hidden="1" thickBot="1" x14ac:dyDescent="0.25">
      <c r="A2540" s="640" t="s">
        <v>165</v>
      </c>
      <c r="B2540" s="1183" t="str">
        <f>GLOBAL_DER_FEV_2023!B2540</f>
        <v/>
      </c>
      <c r="C2540" s="1184" t="str">
        <f>GLOBAL_DER_FEV_2023!C2540</f>
        <v/>
      </c>
      <c r="D2540" s="1141">
        <f>GLOBAL_DER_FEV_2023!D2540</f>
        <v>0</v>
      </c>
      <c r="E2540" s="907">
        <f>GLOBAL_DER_FEV_2023!E2540</f>
        <v>0</v>
      </c>
      <c r="F2540" s="908">
        <f>GLOBAL_DER_FEV_2023!F2540</f>
        <v>0</v>
      </c>
      <c r="G2540" s="912">
        <f>GLOBAL_DER_FEV_2023!G2540</f>
        <v>0</v>
      </c>
      <c r="H2540" s="901">
        <f>GLOBAL_DER_FEV_2023!H2540</f>
        <v>0</v>
      </c>
      <c r="I2540" s="901" t="str">
        <f>GLOBAL_DER_FEV_2023!I2540</f>
        <v/>
      </c>
      <c r="J2540" s="902">
        <f>GLOBAL_DER_FEV_2023!J2540</f>
        <v>0</v>
      </c>
      <c r="K2540" s="903" t="str">
        <f>GLOBAL_DER_FEV_2023!K2540</f>
        <v xml:space="preserve">     </v>
      </c>
      <c r="L2540" s="1137"/>
      <c r="M2540" s="1175">
        <f t="shared" si="192"/>
        <v>0</v>
      </c>
      <c r="N2540" s="1167">
        <f t="shared" si="196"/>
        <v>0</v>
      </c>
      <c r="O2540" s="1165"/>
      <c r="Q2540" s="317" t="str">
        <f t="shared" si="193"/>
        <v/>
      </c>
      <c r="R2540" s="317" t="str">
        <f t="shared" si="194"/>
        <v/>
      </c>
      <c r="S2540" s="317" t="str">
        <f t="shared" si="195"/>
        <v/>
      </c>
      <c r="T2540" s="317" t="str">
        <f>GLOBAL_DER_FEV_2023!S2540</f>
        <v/>
      </c>
      <c r="W2540" s="582">
        <v>0</v>
      </c>
      <c r="X2540" s="580"/>
      <c r="Y2540" s="583">
        <f>IF(GLOBAL_DER_FEV_2023!W2540=0,0,IF(GLOBAL_DER_FEV_2023!W2540&gt;0,"c","b"))</f>
        <v>0</v>
      </c>
    </row>
    <row r="2541" spans="1:25" ht="13.5" hidden="1" thickBot="1" x14ac:dyDescent="0.25">
      <c r="A2541" s="640" t="s">
        <v>165</v>
      </c>
      <c r="B2541" s="1183" t="str">
        <f>GLOBAL_DER_FEV_2023!B2541</f>
        <v/>
      </c>
      <c r="C2541" s="1184" t="str">
        <f>GLOBAL_DER_FEV_2023!C2541</f>
        <v/>
      </c>
      <c r="D2541" s="1141">
        <f>GLOBAL_DER_FEV_2023!D2541</f>
        <v>0</v>
      </c>
      <c r="E2541" s="907">
        <f>GLOBAL_DER_FEV_2023!E2541</f>
        <v>0</v>
      </c>
      <c r="F2541" s="908">
        <f>GLOBAL_DER_FEV_2023!F2541</f>
        <v>0</v>
      </c>
      <c r="G2541" s="912">
        <f>GLOBAL_DER_FEV_2023!G2541</f>
        <v>0</v>
      </c>
      <c r="H2541" s="901">
        <f>GLOBAL_DER_FEV_2023!H2541</f>
        <v>0</v>
      </c>
      <c r="I2541" s="901" t="str">
        <f>GLOBAL_DER_FEV_2023!I2541</f>
        <v/>
      </c>
      <c r="J2541" s="902">
        <f>GLOBAL_DER_FEV_2023!J2541</f>
        <v>0</v>
      </c>
      <c r="K2541" s="903" t="str">
        <f>GLOBAL_DER_FEV_2023!K2541</f>
        <v xml:space="preserve">     </v>
      </c>
      <c r="L2541" s="1137"/>
      <c r="M2541" s="1175">
        <f t="shared" si="192"/>
        <v>0</v>
      </c>
      <c r="N2541" s="1167">
        <f t="shared" si="196"/>
        <v>0</v>
      </c>
      <c r="O2541" s="1165"/>
      <c r="Q2541" s="317" t="str">
        <f t="shared" si="193"/>
        <v/>
      </c>
      <c r="R2541" s="317" t="str">
        <f t="shared" si="194"/>
        <v/>
      </c>
      <c r="S2541" s="317" t="str">
        <f t="shared" si="195"/>
        <v/>
      </c>
      <c r="T2541" s="317" t="str">
        <f>GLOBAL_DER_FEV_2023!S2541</f>
        <v/>
      </c>
      <c r="W2541" s="582">
        <v>0</v>
      </c>
      <c r="X2541" s="580"/>
      <c r="Y2541" s="583">
        <f>IF(GLOBAL_DER_FEV_2023!W2541=0,0,IF(GLOBAL_DER_FEV_2023!W2541&gt;0,"c","b"))</f>
        <v>0</v>
      </c>
    </row>
    <row r="2542" spans="1:25" ht="13.5" hidden="1" thickBot="1" x14ac:dyDescent="0.25">
      <c r="A2542" s="640" t="s">
        <v>165</v>
      </c>
      <c r="B2542" s="1183" t="str">
        <f>GLOBAL_DER_FEV_2023!B2542</f>
        <v/>
      </c>
      <c r="C2542" s="1184" t="str">
        <f>GLOBAL_DER_FEV_2023!C2542</f>
        <v/>
      </c>
      <c r="D2542" s="1141">
        <f>GLOBAL_DER_FEV_2023!D2542</f>
        <v>0</v>
      </c>
      <c r="E2542" s="907">
        <f>GLOBAL_DER_FEV_2023!E2542</f>
        <v>0</v>
      </c>
      <c r="F2542" s="908">
        <f>GLOBAL_DER_FEV_2023!F2542</f>
        <v>0</v>
      </c>
      <c r="G2542" s="912">
        <f>GLOBAL_DER_FEV_2023!G2542</f>
        <v>0</v>
      </c>
      <c r="H2542" s="901">
        <f>GLOBAL_DER_FEV_2023!H2542</f>
        <v>0</v>
      </c>
      <c r="I2542" s="901" t="str">
        <f>GLOBAL_DER_FEV_2023!I2542</f>
        <v/>
      </c>
      <c r="J2542" s="902">
        <f>GLOBAL_DER_FEV_2023!J2542</f>
        <v>0</v>
      </c>
      <c r="K2542" s="903" t="str">
        <f>GLOBAL_DER_FEV_2023!K2542</f>
        <v xml:space="preserve">     </v>
      </c>
      <c r="L2542" s="1137"/>
      <c r="M2542" s="1175">
        <f t="shared" si="192"/>
        <v>0</v>
      </c>
      <c r="N2542" s="1167">
        <f t="shared" si="196"/>
        <v>0</v>
      </c>
      <c r="O2542" s="1165"/>
      <c r="Q2542" s="317" t="str">
        <f t="shared" si="193"/>
        <v/>
      </c>
      <c r="R2542" s="317" t="str">
        <f t="shared" si="194"/>
        <v/>
      </c>
      <c r="S2542" s="317" t="str">
        <f t="shared" si="195"/>
        <v/>
      </c>
      <c r="T2542" s="317" t="str">
        <f>GLOBAL_DER_FEV_2023!S2542</f>
        <v/>
      </c>
      <c r="W2542" s="582">
        <v>0</v>
      </c>
      <c r="X2542" s="580"/>
      <c r="Y2542" s="583">
        <f>IF(GLOBAL_DER_FEV_2023!W2542=0,0,IF(GLOBAL_DER_FEV_2023!W2542&gt;0,"c","b"))</f>
        <v>0</v>
      </c>
    </row>
    <row r="2543" spans="1:25" ht="13.5" hidden="1" thickBot="1" x14ac:dyDescent="0.25">
      <c r="A2543" s="640" t="s">
        <v>165</v>
      </c>
      <c r="B2543" s="1183" t="str">
        <f>GLOBAL_DER_FEV_2023!B2543</f>
        <v/>
      </c>
      <c r="C2543" s="1184" t="str">
        <f>GLOBAL_DER_FEV_2023!C2543</f>
        <v/>
      </c>
      <c r="D2543" s="1141">
        <f>GLOBAL_DER_FEV_2023!D2543</f>
        <v>0</v>
      </c>
      <c r="E2543" s="907">
        <f>GLOBAL_DER_FEV_2023!E2543</f>
        <v>0</v>
      </c>
      <c r="F2543" s="908">
        <f>GLOBAL_DER_FEV_2023!F2543</f>
        <v>0</v>
      </c>
      <c r="G2543" s="912">
        <f>GLOBAL_DER_FEV_2023!G2543</f>
        <v>0</v>
      </c>
      <c r="H2543" s="901">
        <f>GLOBAL_DER_FEV_2023!H2543</f>
        <v>0</v>
      </c>
      <c r="I2543" s="901" t="str">
        <f>GLOBAL_DER_FEV_2023!I2543</f>
        <v/>
      </c>
      <c r="J2543" s="902">
        <f>GLOBAL_DER_FEV_2023!J2543</f>
        <v>0</v>
      </c>
      <c r="K2543" s="903" t="str">
        <f>GLOBAL_DER_FEV_2023!K2543</f>
        <v xml:space="preserve">     </v>
      </c>
      <c r="L2543" s="1137"/>
      <c r="M2543" s="1175">
        <f t="shared" si="192"/>
        <v>0</v>
      </c>
      <c r="N2543" s="1167">
        <f t="shared" si="196"/>
        <v>0</v>
      </c>
      <c r="O2543" s="1165"/>
      <c r="Q2543" s="317" t="str">
        <f t="shared" si="193"/>
        <v/>
      </c>
      <c r="R2543" s="317" t="str">
        <f t="shared" si="194"/>
        <v/>
      </c>
      <c r="S2543" s="317" t="str">
        <f t="shared" si="195"/>
        <v/>
      </c>
      <c r="T2543" s="317" t="str">
        <f>GLOBAL_DER_FEV_2023!S2543</f>
        <v/>
      </c>
      <c r="W2543" s="582">
        <v>0</v>
      </c>
      <c r="X2543" s="580"/>
      <c r="Y2543" s="583">
        <f>IF(GLOBAL_DER_FEV_2023!W2543=0,0,IF(GLOBAL_DER_FEV_2023!W2543&gt;0,"c","b"))</f>
        <v>0</v>
      </c>
    </row>
    <row r="2544" spans="1:25" ht="13.5" hidden="1" thickBot="1" x14ac:dyDescent="0.25">
      <c r="A2544" s="640" t="s">
        <v>165</v>
      </c>
      <c r="B2544" s="1183" t="str">
        <f>GLOBAL_DER_FEV_2023!B2544</f>
        <v/>
      </c>
      <c r="C2544" s="1184" t="str">
        <f>GLOBAL_DER_FEV_2023!C2544</f>
        <v/>
      </c>
      <c r="D2544" s="1141">
        <f>GLOBAL_DER_FEV_2023!D2544</f>
        <v>0</v>
      </c>
      <c r="E2544" s="907">
        <f>GLOBAL_DER_FEV_2023!E2544</f>
        <v>0</v>
      </c>
      <c r="F2544" s="908">
        <f>GLOBAL_DER_FEV_2023!F2544</f>
        <v>0</v>
      </c>
      <c r="G2544" s="912">
        <f>GLOBAL_DER_FEV_2023!G2544</f>
        <v>0</v>
      </c>
      <c r="H2544" s="901">
        <f>GLOBAL_DER_FEV_2023!H2544</f>
        <v>0</v>
      </c>
      <c r="I2544" s="901" t="str">
        <f>GLOBAL_DER_FEV_2023!I2544</f>
        <v/>
      </c>
      <c r="J2544" s="902">
        <f>GLOBAL_DER_FEV_2023!J2544</f>
        <v>0</v>
      </c>
      <c r="K2544" s="903" t="str">
        <f>GLOBAL_DER_FEV_2023!K2544</f>
        <v xml:space="preserve">     </v>
      </c>
      <c r="L2544" s="1137"/>
      <c r="M2544" s="1175">
        <f t="shared" si="192"/>
        <v>0</v>
      </c>
      <c r="N2544" s="1167">
        <f t="shared" si="196"/>
        <v>0</v>
      </c>
      <c r="O2544" s="1165"/>
      <c r="Q2544" s="317" t="str">
        <f t="shared" si="193"/>
        <v/>
      </c>
      <c r="R2544" s="317" t="str">
        <f t="shared" si="194"/>
        <v/>
      </c>
      <c r="S2544" s="317" t="str">
        <f t="shared" si="195"/>
        <v/>
      </c>
      <c r="T2544" s="317" t="str">
        <f>GLOBAL_DER_FEV_2023!S2544</f>
        <v/>
      </c>
      <c r="W2544" s="582">
        <v>0</v>
      </c>
      <c r="X2544" s="580"/>
      <c r="Y2544" s="583">
        <f>IF(GLOBAL_DER_FEV_2023!W2544=0,0,IF(GLOBAL_DER_FEV_2023!W2544&gt;0,"c","b"))</f>
        <v>0</v>
      </c>
    </row>
    <row r="2545" spans="1:25" ht="13.5" hidden="1" thickBot="1" x14ac:dyDescent="0.25">
      <c r="A2545" s="640" t="s">
        <v>165</v>
      </c>
      <c r="B2545" s="1183" t="str">
        <f>GLOBAL_DER_FEV_2023!B2545</f>
        <v/>
      </c>
      <c r="C2545" s="1184" t="str">
        <f>GLOBAL_DER_FEV_2023!C2545</f>
        <v/>
      </c>
      <c r="D2545" s="1141">
        <f>GLOBAL_DER_FEV_2023!D2545</f>
        <v>0</v>
      </c>
      <c r="E2545" s="907">
        <f>GLOBAL_DER_FEV_2023!E2545</f>
        <v>0</v>
      </c>
      <c r="F2545" s="908">
        <f>GLOBAL_DER_FEV_2023!F2545</f>
        <v>0</v>
      </c>
      <c r="G2545" s="912">
        <f>GLOBAL_DER_FEV_2023!G2545</f>
        <v>0</v>
      </c>
      <c r="H2545" s="901">
        <f>GLOBAL_DER_FEV_2023!H2545</f>
        <v>0</v>
      </c>
      <c r="I2545" s="901" t="str">
        <f>GLOBAL_DER_FEV_2023!I2545</f>
        <v/>
      </c>
      <c r="J2545" s="902">
        <f>GLOBAL_DER_FEV_2023!J2545</f>
        <v>0</v>
      </c>
      <c r="K2545" s="903" t="str">
        <f>GLOBAL_DER_FEV_2023!K2545</f>
        <v xml:space="preserve">     </v>
      </c>
      <c r="L2545" s="1137"/>
      <c r="M2545" s="1175">
        <f t="shared" si="192"/>
        <v>0</v>
      </c>
      <c r="N2545" s="1167">
        <f t="shared" si="196"/>
        <v>0</v>
      </c>
      <c r="O2545" s="1165"/>
      <c r="Q2545" s="317" t="str">
        <f t="shared" si="193"/>
        <v/>
      </c>
      <c r="R2545" s="317" t="str">
        <f t="shared" si="194"/>
        <v/>
      </c>
      <c r="S2545" s="317" t="str">
        <f t="shared" si="195"/>
        <v/>
      </c>
      <c r="T2545" s="317" t="str">
        <f>GLOBAL_DER_FEV_2023!S2545</f>
        <v/>
      </c>
      <c r="W2545" s="582">
        <v>0</v>
      </c>
      <c r="X2545" s="580"/>
      <c r="Y2545" s="583">
        <f>IF(GLOBAL_DER_FEV_2023!W2545=0,0,IF(GLOBAL_DER_FEV_2023!W2545&gt;0,"c","b"))</f>
        <v>0</v>
      </c>
    </row>
    <row r="2546" spans="1:25" ht="13.5" hidden="1" thickBot="1" x14ac:dyDescent="0.25">
      <c r="A2546" s="640" t="s">
        <v>165</v>
      </c>
      <c r="B2546" s="1183" t="str">
        <f>GLOBAL_DER_FEV_2023!B2546</f>
        <v/>
      </c>
      <c r="C2546" s="1184" t="str">
        <f>GLOBAL_DER_FEV_2023!C2546</f>
        <v/>
      </c>
      <c r="D2546" s="1141">
        <f>GLOBAL_DER_FEV_2023!D2546</f>
        <v>0</v>
      </c>
      <c r="E2546" s="907">
        <f>GLOBAL_DER_FEV_2023!E2546</f>
        <v>0</v>
      </c>
      <c r="F2546" s="908">
        <f>GLOBAL_DER_FEV_2023!F2546</f>
        <v>0</v>
      </c>
      <c r="G2546" s="912">
        <f>GLOBAL_DER_FEV_2023!G2546</f>
        <v>0</v>
      </c>
      <c r="H2546" s="901">
        <f>GLOBAL_DER_FEV_2023!H2546</f>
        <v>0</v>
      </c>
      <c r="I2546" s="901" t="str">
        <f>GLOBAL_DER_FEV_2023!I2546</f>
        <v/>
      </c>
      <c r="J2546" s="902">
        <f>GLOBAL_DER_FEV_2023!J2546</f>
        <v>0</v>
      </c>
      <c r="K2546" s="903" t="str">
        <f>GLOBAL_DER_FEV_2023!K2546</f>
        <v xml:space="preserve">     </v>
      </c>
      <c r="L2546" s="1137"/>
      <c r="M2546" s="1175">
        <f t="shared" si="192"/>
        <v>0</v>
      </c>
      <c r="N2546" s="1167">
        <f t="shared" si="196"/>
        <v>0</v>
      </c>
      <c r="O2546" s="1165"/>
      <c r="Q2546" s="317" t="str">
        <f t="shared" si="193"/>
        <v/>
      </c>
      <c r="R2546" s="317" t="str">
        <f t="shared" si="194"/>
        <v/>
      </c>
      <c r="S2546" s="317" t="str">
        <f t="shared" si="195"/>
        <v/>
      </c>
      <c r="T2546" s="317" t="str">
        <f>GLOBAL_DER_FEV_2023!S2546</f>
        <v/>
      </c>
      <c r="W2546" s="582">
        <v>0</v>
      </c>
      <c r="X2546" s="580"/>
      <c r="Y2546" s="583">
        <f>IF(GLOBAL_DER_FEV_2023!W2546=0,0,IF(GLOBAL_DER_FEV_2023!W2546&gt;0,"c","b"))</f>
        <v>0</v>
      </c>
    </row>
    <row r="2547" spans="1:25" ht="9.75" customHeight="1" thickBot="1" x14ac:dyDescent="0.25">
      <c r="A2547" s="640" t="s">
        <v>165</v>
      </c>
      <c r="B2547" s="1078" t="s">
        <v>152</v>
      </c>
      <c r="C2547" s="1185"/>
      <c r="D2547" s="1080"/>
      <c r="E2547" s="1081"/>
      <c r="F2547" s="1082"/>
      <c r="G2547" s="1083"/>
      <c r="H2547" s="1083"/>
      <c r="I2547" s="1083"/>
      <c r="J2547" s="1084"/>
      <c r="K2547" s="1081"/>
      <c r="L2547" s="1085"/>
      <c r="M2547" s="1085"/>
      <c r="N2547" s="1086"/>
      <c r="O2547" s="1087"/>
      <c r="P2547" s="60" t="s">
        <v>152</v>
      </c>
      <c r="Q2547" s="317" t="str">
        <f t="shared" si="193"/>
        <v>x</v>
      </c>
      <c r="R2547" s="317" t="str">
        <f t="shared" si="194"/>
        <v>x</v>
      </c>
      <c r="S2547" s="317" t="str">
        <f t="shared" si="195"/>
        <v>x</v>
      </c>
      <c r="T2547" s="317" t="str">
        <f>GLOBAL_DER_FEV_2023!S2547</f>
        <v>x</v>
      </c>
    </row>
    <row r="2548" spans="1:25" ht="21" customHeight="1" thickBot="1" x14ac:dyDescent="0.25">
      <c r="A2548" s="640" t="s">
        <v>165</v>
      </c>
      <c r="B2548" s="1088" t="str">
        <f>GLOBAL_DER_FEV_2023!B2548</f>
        <v>Data Base da aprovação do Orçamento (Decreto 10.086/22 do Paraná, que regulamenta a Lei 14.133/21):  14/4/2023</v>
      </c>
      <c r="C2548" s="1186"/>
      <c r="D2548" s="1090"/>
      <c r="E2548" s="1091"/>
      <c r="F2548" s="1092"/>
      <c r="G2548" s="1093"/>
      <c r="H2548" s="1093"/>
      <c r="I2548" s="1093"/>
      <c r="J2548" s="1093"/>
      <c r="K2548" s="1091"/>
      <c r="L2548" s="880"/>
      <c r="M2548" s="880"/>
      <c r="N2548" s="1094" t="s">
        <v>2145</v>
      </c>
      <c r="O2548" s="882">
        <f>SUBTOTAL(9,O19:O2546)</f>
        <v>734339.24</v>
      </c>
      <c r="P2548" s="60" t="s">
        <v>152</v>
      </c>
      <c r="Q2548" s="317" t="s">
        <v>152</v>
      </c>
      <c r="R2548" s="317" t="s">
        <v>152</v>
      </c>
      <c r="S2548" s="317" t="s">
        <v>152</v>
      </c>
      <c r="T2548" s="317" t="s">
        <v>152</v>
      </c>
    </row>
    <row r="2549" spans="1:25" ht="15" customHeight="1" thickBot="1" x14ac:dyDescent="0.25">
      <c r="A2549" s="640" t="s">
        <v>165</v>
      </c>
      <c r="B2549" s="570" t="s">
        <v>152</v>
      </c>
      <c r="C2549" s="575"/>
      <c r="D2549" s="542"/>
      <c r="E2549" s="543"/>
      <c r="F2549" s="544"/>
      <c r="G2549" s="545"/>
      <c r="H2549" s="545"/>
      <c r="I2549" s="545"/>
      <c r="J2549" s="546"/>
      <c r="K2549" s="543"/>
      <c r="L2549" s="547"/>
      <c r="M2549" s="547"/>
      <c r="N2549" s="548"/>
      <c r="O2549" s="548"/>
      <c r="P2549" s="60" t="s">
        <v>152</v>
      </c>
      <c r="Q2549" s="327" t="s">
        <v>152</v>
      </c>
      <c r="R2549" s="317" t="s">
        <v>152</v>
      </c>
      <c r="S2549" s="317" t="s">
        <v>152</v>
      </c>
      <c r="T2549" s="317" t="s">
        <v>152</v>
      </c>
    </row>
    <row r="2550" spans="1:25" ht="15" hidden="1" customHeight="1" thickBot="1" x14ac:dyDescent="0.25">
      <c r="A2550" s="640"/>
      <c r="B2550" s="571"/>
      <c r="C2550" s="576"/>
      <c r="D2550" s="549"/>
      <c r="E2550" s="550"/>
      <c r="F2550" s="551"/>
      <c r="G2550" s="552"/>
      <c r="H2550" s="552"/>
      <c r="I2550" s="552"/>
      <c r="J2550" s="553"/>
      <c r="K2550" s="550"/>
      <c r="L2550" s="540"/>
      <c r="M2550" s="540"/>
      <c r="N2550" s="536">
        <f>SUBTOTAL(9,N19:N2546)</f>
        <v>734339.24</v>
      </c>
      <c r="O2550" s="541"/>
      <c r="P2550" s="60"/>
      <c r="Q2550" s="327"/>
      <c r="R2550" s="317"/>
      <c r="S2550" s="317"/>
      <c r="T2550" s="317"/>
    </row>
    <row r="2551" spans="1:25" ht="18" customHeight="1" thickBot="1" x14ac:dyDescent="0.25">
      <c r="A2551" s="640" t="s">
        <v>165</v>
      </c>
      <c r="B2551" s="569" t="s">
        <v>152</v>
      </c>
      <c r="C2551" s="506"/>
      <c r="D2551" s="75" t="s">
        <v>477</v>
      </c>
      <c r="E2551" s="62"/>
      <c r="F2551" s="70"/>
      <c r="G2551" s="321"/>
      <c r="H2551" s="321"/>
      <c r="I2551" s="321" t="str">
        <f t="shared" ref="I2551:I2556" si="197">IF(ISBLANK(H2551),"",SUM(G2551:H2551))</f>
        <v/>
      </c>
      <c r="J2551" s="321"/>
      <c r="K2551" s="62"/>
      <c r="L2551" s="533"/>
      <c r="M2551" s="536"/>
      <c r="N2551" s="537">
        <f>SUM(N19:N643)</f>
        <v>720885.27</v>
      </c>
      <c r="O2551" s="537">
        <f>SUM(O19:O643)</f>
        <v>720885.27</v>
      </c>
      <c r="P2551" s="60"/>
      <c r="Q2551" s="317" t="s">
        <v>152</v>
      </c>
      <c r="R2551" s="317" t="s">
        <v>152</v>
      </c>
      <c r="S2551" s="317" t="s">
        <v>152</v>
      </c>
      <c r="T2551" s="317" t="s">
        <v>152</v>
      </c>
    </row>
    <row r="2552" spans="1:25" ht="18" customHeight="1" thickBot="1" x14ac:dyDescent="0.25">
      <c r="A2552" s="640" t="s">
        <v>165</v>
      </c>
      <c r="B2552" s="569" t="s">
        <v>152</v>
      </c>
      <c r="C2552" s="506"/>
      <c r="D2552" s="75" t="s">
        <v>481</v>
      </c>
      <c r="E2552" s="62"/>
      <c r="F2552" s="70"/>
      <c r="G2552" s="321"/>
      <c r="H2552" s="321"/>
      <c r="I2552" s="321" t="str">
        <f t="shared" si="197"/>
        <v/>
      </c>
      <c r="J2552" s="321"/>
      <c r="K2552" s="62"/>
      <c r="L2552" s="533"/>
      <c r="M2552" s="534"/>
      <c r="N2552" s="535">
        <f>SUM(N644:N912)</f>
        <v>13453.97</v>
      </c>
      <c r="O2552" s="535">
        <f>SUM(O644:O912)</f>
        <v>13453.97</v>
      </c>
      <c r="P2552" s="60" t="s">
        <v>152</v>
      </c>
      <c r="Q2552" s="317" t="s">
        <v>152</v>
      </c>
      <c r="R2552" s="317" t="s">
        <v>152</v>
      </c>
      <c r="S2552" s="317" t="s">
        <v>152</v>
      </c>
      <c r="T2552" s="317" t="s">
        <v>152</v>
      </c>
    </row>
    <row r="2553" spans="1:25" ht="18" customHeight="1" thickBot="1" x14ac:dyDescent="0.25">
      <c r="A2553" s="640" t="s">
        <v>165</v>
      </c>
      <c r="B2553" s="569" t="s">
        <v>152</v>
      </c>
      <c r="C2553" s="506"/>
      <c r="D2553" s="75" t="s">
        <v>478</v>
      </c>
      <c r="E2553" s="62"/>
      <c r="F2553" s="70"/>
      <c r="G2553" s="321"/>
      <c r="H2553" s="321"/>
      <c r="I2553" s="321" t="str">
        <f t="shared" si="197"/>
        <v/>
      </c>
      <c r="J2553" s="321"/>
      <c r="K2553" s="62"/>
      <c r="L2553" s="533"/>
      <c r="M2553" s="534"/>
      <c r="N2553" s="535">
        <f>SUM(N913:N1624)</f>
        <v>0</v>
      </c>
      <c r="O2553" s="535">
        <f>SUM(O913:O1624)</f>
        <v>0</v>
      </c>
      <c r="P2553" s="60" t="s">
        <v>152</v>
      </c>
      <c r="Q2553" s="317" t="s">
        <v>152</v>
      </c>
      <c r="R2553" s="317" t="s">
        <v>152</v>
      </c>
      <c r="S2553" s="317" t="s">
        <v>152</v>
      </c>
      <c r="T2553" s="317" t="s">
        <v>152</v>
      </c>
    </row>
    <row r="2554" spans="1:25" ht="18" customHeight="1" thickBot="1" x14ac:dyDescent="0.25">
      <c r="A2554" s="640" t="s">
        <v>165</v>
      </c>
      <c r="B2554" s="569" t="s">
        <v>152</v>
      </c>
      <c r="C2554" s="506"/>
      <c r="D2554" s="75" t="s">
        <v>479</v>
      </c>
      <c r="E2554" s="62"/>
      <c r="F2554" s="70"/>
      <c r="G2554" s="321"/>
      <c r="H2554" s="321"/>
      <c r="I2554" s="321" t="str">
        <f t="shared" si="197"/>
        <v/>
      </c>
      <c r="J2554" s="321"/>
      <c r="K2554" s="62"/>
      <c r="L2554" s="533"/>
      <c r="M2554" s="534"/>
      <c r="N2554" s="535">
        <f>SUM(N1625:N1719)</f>
        <v>0</v>
      </c>
      <c r="O2554" s="535">
        <f>SUM(O1625:O1719)</f>
        <v>0</v>
      </c>
      <c r="P2554" s="60" t="s">
        <v>152</v>
      </c>
      <c r="Q2554" s="317" t="s">
        <v>152</v>
      </c>
      <c r="R2554" s="317" t="s">
        <v>152</v>
      </c>
      <c r="S2554" s="317" t="s">
        <v>152</v>
      </c>
      <c r="T2554" s="317" t="s">
        <v>152</v>
      </c>
    </row>
    <row r="2555" spans="1:25" ht="18" customHeight="1" thickBot="1" x14ac:dyDescent="0.25">
      <c r="A2555" s="640" t="s">
        <v>165</v>
      </c>
      <c r="B2555" s="569" t="s">
        <v>152</v>
      </c>
      <c r="C2555" s="506"/>
      <c r="D2555" s="75" t="s">
        <v>480</v>
      </c>
      <c r="E2555" s="62"/>
      <c r="F2555" s="70"/>
      <c r="G2555" s="321"/>
      <c r="H2555" s="321"/>
      <c r="I2555" s="321" t="str">
        <f t="shared" si="197"/>
        <v/>
      </c>
      <c r="J2555" s="321"/>
      <c r="K2555" s="62"/>
      <c r="L2555" s="533"/>
      <c r="M2555" s="534"/>
      <c r="N2555" s="535">
        <f>SUM(N1720:N2498)</f>
        <v>0</v>
      </c>
      <c r="O2555" s="535">
        <f>SUM(O1720:O2498)</f>
        <v>0</v>
      </c>
      <c r="P2555" s="60" t="s">
        <v>152</v>
      </c>
      <c r="Q2555" s="317" t="s">
        <v>152</v>
      </c>
      <c r="R2555" s="317" t="s">
        <v>152</v>
      </c>
      <c r="S2555" s="317" t="s">
        <v>152</v>
      </c>
      <c r="T2555" s="317" t="s">
        <v>152</v>
      </c>
    </row>
    <row r="2556" spans="1:25" ht="18" customHeight="1" thickBot="1" x14ac:dyDescent="0.25">
      <c r="A2556" s="640" t="s">
        <v>165</v>
      </c>
      <c r="B2556" s="569" t="s">
        <v>152</v>
      </c>
      <c r="C2556" s="506"/>
      <c r="D2556" s="75" t="s">
        <v>504</v>
      </c>
      <c r="E2556" s="62"/>
      <c r="F2556" s="70"/>
      <c r="G2556" s="321"/>
      <c r="H2556" s="321"/>
      <c r="I2556" s="321" t="str">
        <f t="shared" si="197"/>
        <v/>
      </c>
      <c r="J2556" s="321"/>
      <c r="K2556" s="62"/>
      <c r="L2556" s="533"/>
      <c r="M2556" s="534"/>
      <c r="N2556" s="535">
        <f>SUM(N2499:N2546)</f>
        <v>0</v>
      </c>
      <c r="O2556" s="535">
        <f>SUM(O2499:O2546)</f>
        <v>0</v>
      </c>
      <c r="P2556" s="60" t="s">
        <v>152</v>
      </c>
      <c r="Q2556" s="317" t="s">
        <v>152</v>
      </c>
      <c r="R2556" s="317" t="s">
        <v>152</v>
      </c>
      <c r="S2556" s="317" t="s">
        <v>152</v>
      </c>
      <c r="T2556" s="317" t="s">
        <v>152</v>
      </c>
    </row>
    <row r="2557" spans="1:25" ht="18" customHeight="1" thickBot="1" x14ac:dyDescent="0.25">
      <c r="A2557" s="640" t="s">
        <v>165</v>
      </c>
      <c r="B2557" s="327" t="s">
        <v>152</v>
      </c>
      <c r="E2557" s="64"/>
      <c r="G2557" s="322"/>
      <c r="H2557" s="322"/>
      <c r="I2557" s="322"/>
      <c r="J2557" s="322"/>
      <c r="L2557" s="1352" t="s">
        <v>2100</v>
      </c>
      <c r="M2557" s="1353"/>
      <c r="N2557" s="66">
        <v>9565.58</v>
      </c>
      <c r="O2557" s="68">
        <f>IF(N2557=0,0,O2548/N2557)</f>
        <v>76.76891939641925</v>
      </c>
      <c r="P2557" s="60" t="s">
        <v>152</v>
      </c>
      <c r="Q2557" s="317" t="s">
        <v>152</v>
      </c>
      <c r="R2557" s="317" t="s">
        <v>152</v>
      </c>
      <c r="S2557" s="317" t="s">
        <v>152</v>
      </c>
      <c r="T2557" s="317" t="s">
        <v>152</v>
      </c>
    </row>
    <row r="2558" spans="1:25" x14ac:dyDescent="0.2">
      <c r="A2558" s="640" t="s">
        <v>165</v>
      </c>
      <c r="B2558" s="327" t="s">
        <v>152</v>
      </c>
      <c r="G2558" s="322"/>
      <c r="H2558" s="322"/>
      <c r="K2558" s="67"/>
      <c r="L2558" s="67"/>
      <c r="M2558" s="67"/>
      <c r="N2558" s="67"/>
      <c r="O2558" s="67"/>
      <c r="P2558" s="319" t="s">
        <v>152</v>
      </c>
      <c r="Q2558" s="317" t="s">
        <v>152</v>
      </c>
      <c r="R2558" s="317" t="s">
        <v>152</v>
      </c>
      <c r="S2558" s="317" t="s">
        <v>152</v>
      </c>
      <c r="T2558" s="317" t="s">
        <v>152</v>
      </c>
    </row>
    <row r="2559" spans="1:25" ht="13.5" thickBot="1" x14ac:dyDescent="0.25">
      <c r="A2559" s="640" t="s">
        <v>165</v>
      </c>
      <c r="B2559" s="327" t="s">
        <v>152</v>
      </c>
      <c r="G2559" s="322"/>
      <c r="H2559" s="322"/>
      <c r="K2559" s="67"/>
      <c r="L2559" s="539">
        <f>SUM(L20:L2546)</f>
        <v>30275.169599999997</v>
      </c>
      <c r="M2559" s="67"/>
      <c r="N2559" s="67"/>
      <c r="O2559" s="67"/>
      <c r="P2559" s="319" t="s">
        <v>152</v>
      </c>
      <c r="Q2559" s="317" t="s">
        <v>152</v>
      </c>
      <c r="R2559" s="317" t="s">
        <v>152</v>
      </c>
      <c r="S2559" s="317" t="s">
        <v>152</v>
      </c>
      <c r="T2559" s="317" t="s">
        <v>152</v>
      </c>
    </row>
    <row r="2560" spans="1:25" ht="18" customHeight="1" thickBot="1" x14ac:dyDescent="0.25">
      <c r="A2560" s="640" t="s">
        <v>165</v>
      </c>
      <c r="B2560" s="327" t="s">
        <v>152</v>
      </c>
      <c r="K2560" s="67"/>
      <c r="L2560" s="1352"/>
      <c r="M2560" s="1354"/>
      <c r="N2560" s="61">
        <f>SUM(N19:N2546)</f>
        <v>734339.24</v>
      </c>
      <c r="O2560" s="61">
        <f>SUM(O19:O2546)</f>
        <v>734339.24</v>
      </c>
      <c r="P2560" s="319" t="s">
        <v>152</v>
      </c>
      <c r="Q2560" s="317" t="s">
        <v>152</v>
      </c>
      <c r="R2560" s="317" t="s">
        <v>152</v>
      </c>
      <c r="S2560" s="317" t="s">
        <v>152</v>
      </c>
      <c r="T2560" s="317" t="s">
        <v>152</v>
      </c>
    </row>
    <row r="2561" spans="1:10" hidden="1" x14ac:dyDescent="0.2">
      <c r="A2561" s="640" t="s">
        <v>165</v>
      </c>
    </row>
    <row r="2563" spans="1:10" x14ac:dyDescent="0.2">
      <c r="H2563" s="81"/>
      <c r="I2563" s="249"/>
      <c r="J2563" s="249"/>
    </row>
    <row r="2566" spans="1:10" x14ac:dyDescent="0.2">
      <c r="D2566" s="258"/>
      <c r="J2566" s="65"/>
    </row>
    <row r="2567" spans="1:10" x14ac:dyDescent="0.2">
      <c r="D2567" s="258" t="s">
        <v>165</v>
      </c>
      <c r="J2567" s="65"/>
    </row>
    <row r="2568" spans="1:10" x14ac:dyDescent="0.2">
      <c r="D2568" s="258"/>
      <c r="J2568" s="65"/>
    </row>
    <row r="2569" spans="1:10" x14ac:dyDescent="0.2">
      <c r="J2569" s="65"/>
    </row>
    <row r="2570" spans="1:10" x14ac:dyDescent="0.2">
      <c r="J2570" s="65"/>
    </row>
    <row r="2571" spans="1:10" x14ac:dyDescent="0.2">
      <c r="J2571" s="65"/>
    </row>
    <row r="2572" spans="1:10" x14ac:dyDescent="0.2">
      <c r="J2572" s="65"/>
    </row>
    <row r="2573" spans="1:10" x14ac:dyDescent="0.2">
      <c r="J2573" s="65"/>
    </row>
    <row r="2574" spans="1:10" x14ac:dyDescent="0.2">
      <c r="D2574" s="80" t="s">
        <v>165</v>
      </c>
      <c r="J2574" s="65"/>
    </row>
    <row r="2575" spans="1:10" ht="9" customHeight="1" x14ac:dyDescent="0.2"/>
    <row r="2576" spans="1:10" x14ac:dyDescent="0.2">
      <c r="D2576" s="80" t="s">
        <v>1605</v>
      </c>
    </row>
    <row r="2578" spans="6:6" x14ac:dyDescent="0.2">
      <c r="F2578" s="37" t="s">
        <v>1717</v>
      </c>
    </row>
  </sheetData>
  <sheetProtection algorithmName="SHA-512" hashValue="wwixbGSw877FTOR5/bOqgwHjlyoVhjmIML+5HFXEH24HclyD45YfZzFucXmmbO1fG03mK+TgNrtUXalEnzPsPg==" saltValue="CBmOJptencrV3GvrwrnVSg==" spinCount="100000" sheet="1" objects="1" scenarios="1" formatColumns="0" formatRows="0" autoFilter="0"/>
  <autoFilter ref="A18:AY2561" xr:uid="{00000000-0009-0000-0000-000009000000}">
    <filterColumn colId="16">
      <customFilters>
        <customFilter operator="notEqual" val=" "/>
      </customFilters>
    </filterColumn>
    <filterColumn colId="22" showButton="0"/>
  </autoFilter>
  <mergeCells count="3">
    <mergeCell ref="W18:X18"/>
    <mergeCell ref="L2557:M2557"/>
    <mergeCell ref="L2560:M2560"/>
  </mergeCells>
  <printOptions horizontalCentered="1" verticalCentered="1"/>
  <pageMargins left="0.39370078740157483" right="0.39370078740157483" top="0.98425196850393704" bottom="0.39370078740157483" header="0.31496062992125984" footer="0.51181102362204722"/>
  <pageSetup paperSize="9" scale="56" orientation="landscape" r:id="rId1"/>
  <headerFooter alignWithMargins="0">
    <oddHeader>&amp;C&amp;"Arial,Negrito"&amp;12&amp;F</oddHead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4">
    <tabColor rgb="FF0070C0"/>
    <pageSetUpPr fitToPage="1"/>
  </sheetPr>
  <dimension ref="A1:AY2578"/>
  <sheetViews>
    <sheetView topLeftCell="B1" workbookViewId="0">
      <selection activeCell="C15" sqref="C15"/>
    </sheetView>
  </sheetViews>
  <sheetFormatPr defaultColWidth="21.6640625" defaultRowHeight="12.75" x14ac:dyDescent="0.2"/>
  <cols>
    <col min="1" max="1" width="15.6640625" style="317" hidden="1" customWidth="1"/>
    <col min="2" max="2" width="19.83203125" style="572" customWidth="1"/>
    <col min="3" max="3" width="17.1640625" style="572" customWidth="1"/>
    <col min="4" max="4" width="76.83203125" style="37" customWidth="1"/>
    <col min="5" max="5" width="15.83203125" style="37" customWidth="1"/>
    <col min="6" max="6" width="12.83203125" style="37" customWidth="1"/>
    <col min="7" max="7" width="15.33203125" style="37" bestFit="1" customWidth="1"/>
    <col min="8" max="9" width="12.83203125" style="37" customWidth="1"/>
    <col min="10" max="10" width="13.83203125" style="37" customWidth="1"/>
    <col min="11" max="11" width="6.83203125" style="37" customWidth="1"/>
    <col min="12" max="12" width="15.83203125" style="37" customWidth="1"/>
    <col min="13" max="13" width="11.83203125" style="37" customWidth="1"/>
    <col min="14" max="15" width="22.83203125" style="37" customWidth="1"/>
    <col min="16" max="16" width="4.6640625" style="36" customWidth="1"/>
    <col min="17" max="20" width="4.6640625" style="37" customWidth="1"/>
    <col min="21" max="24" width="21.6640625" style="37"/>
    <col min="25" max="25" width="21.6640625" style="317"/>
    <col min="26" max="16384" width="21.6640625" style="37"/>
  </cols>
  <sheetData>
    <row r="1" spans="1:25" ht="26.25" customHeight="1" x14ac:dyDescent="0.2">
      <c r="B1" s="694" t="s">
        <v>418</v>
      </c>
      <c r="C1" s="695"/>
      <c r="D1" s="695"/>
      <c r="E1" s="308"/>
      <c r="F1" s="32"/>
      <c r="G1" s="35"/>
      <c r="H1" s="33"/>
      <c r="I1" s="34"/>
      <c r="J1" s="34"/>
      <c r="K1" s="528" t="s">
        <v>421</v>
      </c>
      <c r="L1" s="529" t="s">
        <v>421</v>
      </c>
      <c r="M1" s="530"/>
      <c r="N1" s="531" t="s">
        <v>421</v>
      </c>
      <c r="O1" s="532"/>
      <c r="T1"/>
    </row>
    <row r="2" spans="1:25" ht="24.75" customHeight="1" x14ac:dyDescent="0.2">
      <c r="B2" s="693" t="str">
        <f>$O$15</f>
        <v>Tabela Referência: DER/PR de FEVEREIRO/2023 sem desoneração</v>
      </c>
      <c r="C2" s="561"/>
      <c r="D2" s="554"/>
      <c r="E2" s="509"/>
      <c r="F2" s="47"/>
      <c r="G2" s="41"/>
      <c r="H2" s="38"/>
      <c r="I2" s="39"/>
      <c r="J2" s="38"/>
      <c r="K2" s="38"/>
      <c r="L2" s="40"/>
      <c r="M2" s="554"/>
      <c r="N2" s="554"/>
      <c r="O2" s="555"/>
      <c r="T2"/>
    </row>
    <row r="3" spans="1:25" ht="18" customHeight="1" x14ac:dyDescent="0.2">
      <c r="B3" s="511"/>
      <c r="C3" s="512"/>
      <c r="D3" s="513" t="s">
        <v>422</v>
      </c>
      <c r="E3" s="514" t="s">
        <v>422</v>
      </c>
      <c r="F3" s="515"/>
      <c r="G3" s="44"/>
      <c r="H3" s="42"/>
      <c r="I3" s="39"/>
      <c r="J3" s="43"/>
      <c r="K3" s="516" t="s">
        <v>422</v>
      </c>
      <c r="L3" s="516" t="s">
        <v>422</v>
      </c>
      <c r="M3" s="554"/>
      <c r="N3" s="554"/>
      <c r="O3" s="555"/>
      <c r="T3"/>
    </row>
    <row r="4" spans="1:25" x14ac:dyDescent="0.2">
      <c r="A4" s="317" t="s">
        <v>152</v>
      </c>
      <c r="B4" s="567" t="s">
        <v>152</v>
      </c>
      <c r="C4" s="573"/>
      <c r="D4" s="518"/>
      <c r="E4" s="526"/>
      <c r="F4" s="46"/>
      <c r="G4" s="44"/>
      <c r="H4" s="42"/>
      <c r="I4" s="39"/>
      <c r="J4" s="43"/>
      <c r="K4" s="43"/>
      <c r="L4" s="45"/>
      <c r="M4" s="554"/>
      <c r="N4" s="554"/>
      <c r="O4" s="555"/>
    </row>
    <row r="5" spans="1:25" x14ac:dyDescent="0.2">
      <c r="A5" s="317" t="s">
        <v>152</v>
      </c>
      <c r="B5" s="567" t="s">
        <v>152</v>
      </c>
      <c r="C5" s="573"/>
      <c r="D5" s="518"/>
      <c r="E5" s="526"/>
      <c r="F5" s="47"/>
      <c r="G5" s="44"/>
      <c r="H5" s="42"/>
      <c r="I5" s="39"/>
      <c r="J5" s="43"/>
      <c r="K5" s="43"/>
      <c r="L5" s="45"/>
      <c r="M5" s="554"/>
      <c r="N5" s="554"/>
      <c r="O5" s="555"/>
    </row>
    <row r="6" spans="1:25" x14ac:dyDescent="0.2">
      <c r="A6" s="317" t="s">
        <v>152</v>
      </c>
      <c r="B6" s="567" t="s">
        <v>152</v>
      </c>
      <c r="C6" s="573"/>
      <c r="D6" s="518"/>
      <c r="E6" s="526"/>
      <c r="F6" s="46"/>
      <c r="G6" s="44"/>
      <c r="H6" s="42"/>
      <c r="I6" s="39"/>
      <c r="J6" s="43"/>
      <c r="K6" s="43"/>
      <c r="L6" s="45"/>
      <c r="M6" s="554"/>
      <c r="N6" s="554"/>
      <c r="O6" s="555"/>
    </row>
    <row r="7" spans="1:25" x14ac:dyDescent="0.2">
      <c r="A7" s="317" t="s">
        <v>152</v>
      </c>
      <c r="B7" s="567" t="s">
        <v>152</v>
      </c>
      <c r="C7" s="573"/>
      <c r="D7" s="518"/>
      <c r="E7" s="526"/>
      <c r="F7" s="46"/>
      <c r="G7" s="44"/>
      <c r="H7" s="42"/>
      <c r="I7" s="39"/>
      <c r="J7" s="43"/>
      <c r="K7" s="43"/>
      <c r="L7" s="45"/>
      <c r="M7" s="554"/>
      <c r="N7" s="554"/>
      <c r="O7" s="555"/>
    </row>
    <row r="8" spans="1:25" ht="13.5" thickBot="1" x14ac:dyDescent="0.25">
      <c r="B8" s="519"/>
      <c r="C8" s="520"/>
      <c r="D8" s="518"/>
      <c r="E8" s="526"/>
      <c r="F8" s="46"/>
      <c r="G8" s="44"/>
      <c r="H8" s="42"/>
      <c r="I8" s="39"/>
      <c r="J8" s="43"/>
      <c r="K8" s="43"/>
      <c r="L8" s="45"/>
      <c r="M8" s="554"/>
      <c r="N8" s="554"/>
      <c r="O8" s="555"/>
    </row>
    <row r="9" spans="1:25" ht="15" thickBot="1" x14ac:dyDescent="0.25">
      <c r="B9" s="567"/>
      <c r="C9" s="573"/>
      <c r="D9" s="527" t="s">
        <v>1991</v>
      </c>
      <c r="E9" s="78">
        <f>BDI!B17</f>
        <v>0.15279999999999999</v>
      </c>
      <c r="F9" s="46"/>
      <c r="G9" s="44"/>
      <c r="H9" s="42"/>
      <c r="I9" s="39"/>
      <c r="J9" s="43"/>
      <c r="K9" s="43"/>
      <c r="L9" s="45"/>
      <c r="M9" s="554"/>
      <c r="N9" s="554"/>
      <c r="O9" s="555"/>
      <c r="Q9" s="310"/>
    </row>
    <row r="10" spans="1:25" ht="13.5" thickBot="1" x14ac:dyDescent="0.25">
      <c r="B10" s="567"/>
      <c r="C10" s="573"/>
      <c r="D10" s="527" t="s">
        <v>513</v>
      </c>
      <c r="E10" s="79">
        <f>BDI!B15</f>
        <v>0.20069999999999999</v>
      </c>
      <c r="F10" s="46"/>
      <c r="G10" s="44"/>
      <c r="H10" s="42"/>
      <c r="I10" s="39"/>
      <c r="J10" s="43"/>
      <c r="K10" s="43"/>
      <c r="L10" s="45"/>
      <c r="M10" s="554"/>
      <c r="N10" s="554"/>
      <c r="O10" s="555"/>
    </row>
    <row r="11" spans="1:25" ht="13.5" thickBot="1" x14ac:dyDescent="0.25">
      <c r="B11" s="568"/>
      <c r="C11" s="574"/>
      <c r="D11" s="522"/>
      <c r="E11" s="312"/>
      <c r="F11" s="48"/>
      <c r="G11" s="52"/>
      <c r="H11" s="49"/>
      <c r="I11" s="50"/>
      <c r="J11" s="51"/>
      <c r="K11" s="51"/>
      <c r="L11" s="53"/>
      <c r="M11" s="556"/>
      <c r="N11" s="556"/>
      <c r="O11" s="557"/>
    </row>
    <row r="12" spans="1:25" ht="25.15" customHeight="1" thickBot="1" x14ac:dyDescent="0.25">
      <c r="B12" s="69" t="s">
        <v>157</v>
      </c>
      <c r="C12" s="54"/>
      <c r="D12" s="55"/>
      <c r="E12" s="55"/>
      <c r="F12" s="56"/>
      <c r="G12" s="55"/>
      <c r="H12" s="55"/>
      <c r="I12" s="55"/>
      <c r="J12" s="55"/>
      <c r="K12" s="55"/>
      <c r="L12" s="55"/>
      <c r="M12" s="55"/>
      <c r="N12" s="55"/>
      <c r="O12" s="56"/>
    </row>
    <row r="13" spans="1:25" s="77" customFormat="1" ht="18" customHeight="1" x14ac:dyDescent="0.2">
      <c r="A13" s="317"/>
      <c r="B13" s="829" t="s">
        <v>159</v>
      </c>
      <c r="C13" s="1120" t="str">
        <f>GLOBAL_DER_FEV_2023!C13</f>
        <v>RIO BOM</v>
      </c>
      <c r="D13" s="834"/>
      <c r="E13" s="1121" t="s">
        <v>160</v>
      </c>
      <c r="F13" s="1122" t="str">
        <f>GLOBAL_DER_FEV_2023!F13</f>
        <v>XX</v>
      </c>
      <c r="G13" s="833"/>
      <c r="H13" s="834"/>
      <c r="I13" s="834"/>
      <c r="J13" s="834"/>
      <c r="K13" s="834"/>
      <c r="L13" s="834"/>
      <c r="M13" s="834"/>
      <c r="N13" s="835" t="s">
        <v>160</v>
      </c>
      <c r="O13" s="1123" t="str">
        <f>GLOBAL_DER_FEV_2023!O13</f>
        <v>XX</v>
      </c>
      <c r="P13" s="76"/>
      <c r="Y13" s="317"/>
    </row>
    <row r="14" spans="1:25" s="77" customFormat="1" ht="18" customHeight="1" x14ac:dyDescent="0.2">
      <c r="A14" s="317"/>
      <c r="B14" s="837" t="s">
        <v>161</v>
      </c>
      <c r="C14" s="1124" t="str">
        <f>GLOBAL_DER_FEV_2023!C14</f>
        <v>PAVIMENTAÇÃO DE VIAS URBANAS</v>
      </c>
      <c r="D14" s="842"/>
      <c r="E14" s="1125" t="s">
        <v>163</v>
      </c>
      <c r="F14" s="1126" t="str">
        <f>GLOBAL_DER_FEV_2023!F14</f>
        <v>1</v>
      </c>
      <c r="G14" s="841"/>
      <c r="H14" s="842"/>
      <c r="I14" s="842"/>
      <c r="J14" s="842"/>
      <c r="K14" s="842"/>
      <c r="L14" s="842"/>
      <c r="M14" s="842"/>
      <c r="N14" s="843" t="s">
        <v>162</v>
      </c>
      <c r="O14" s="1127" t="str">
        <f>GLOBAL_DER_FEV_2023!O14</f>
        <v>1</v>
      </c>
      <c r="P14" s="76"/>
      <c r="Y14" s="317"/>
    </row>
    <row r="15" spans="1:25" s="77" customFormat="1" ht="18" customHeight="1" x14ac:dyDescent="0.2">
      <c r="A15" s="317"/>
      <c r="B15" s="837" t="s">
        <v>476</v>
      </c>
      <c r="C15" s="838" t="s">
        <v>2008</v>
      </c>
      <c r="D15" s="1189"/>
      <c r="E15" s="1128"/>
      <c r="F15" s="1129"/>
      <c r="G15" s="841"/>
      <c r="H15" s="842"/>
      <c r="I15" s="842"/>
      <c r="J15" s="842"/>
      <c r="K15" s="842"/>
      <c r="L15" s="842"/>
      <c r="M15" s="842"/>
      <c r="N15" s="842"/>
      <c r="O15" s="846" t="str">
        <f>GLOBAL_DER_FEV_2023!O15</f>
        <v>Tabela Referência: DER/PR de FEVEREIRO/2023 sem desoneração</v>
      </c>
      <c r="P15" s="76"/>
      <c r="Y15" s="317"/>
    </row>
    <row r="16" spans="1:25" s="77" customFormat="1" ht="18" customHeight="1" thickBot="1" x14ac:dyDescent="0.25">
      <c r="A16" s="317"/>
      <c r="B16" s="1130"/>
      <c r="C16" s="1131"/>
      <c r="D16" s="1116"/>
      <c r="E16" s="1131"/>
      <c r="F16" s="1131"/>
      <c r="G16" s="1115"/>
      <c r="H16" s="1115"/>
      <c r="I16" s="1115"/>
      <c r="J16" s="1115"/>
      <c r="K16" s="1115"/>
      <c r="L16" s="1115"/>
      <c r="M16" s="1115"/>
      <c r="N16" s="1118" t="s">
        <v>2192</v>
      </c>
      <c r="O16" s="1119">
        <f>GLOBAL_DER_FEV_2023!O16</f>
        <v>45030</v>
      </c>
      <c r="P16" s="76"/>
      <c r="Y16" s="317"/>
    </row>
    <row r="17" spans="1:51" ht="18" customHeight="1" thickBot="1" x14ac:dyDescent="0.25">
      <c r="B17" s="1132" t="s">
        <v>414</v>
      </c>
      <c r="C17" s="848" t="s">
        <v>415</v>
      </c>
      <c r="D17" s="1133" t="s">
        <v>153</v>
      </c>
      <c r="E17" s="1134" t="s">
        <v>0</v>
      </c>
      <c r="F17" s="1135" t="s">
        <v>1</v>
      </c>
      <c r="G17" s="852" t="s">
        <v>2</v>
      </c>
      <c r="H17" s="853"/>
      <c r="I17" s="854"/>
      <c r="J17" s="853"/>
      <c r="K17" s="1136" t="s">
        <v>156</v>
      </c>
      <c r="L17" s="856" t="s">
        <v>2144</v>
      </c>
      <c r="M17" s="857"/>
      <c r="N17" s="858"/>
      <c r="O17" s="858"/>
      <c r="P17" s="29" t="s">
        <v>2011</v>
      </c>
      <c r="Q17" s="29"/>
      <c r="R17" s="30"/>
      <c r="S17" s="30"/>
      <c r="T17" s="326"/>
    </row>
    <row r="18" spans="1:51" ht="46.5" thickBot="1" x14ac:dyDescent="0.25">
      <c r="A18" s="637" t="s">
        <v>1858</v>
      </c>
      <c r="B18" s="859" t="s">
        <v>165</v>
      </c>
      <c r="C18" s="860"/>
      <c r="D18" s="861" t="s">
        <v>1859</v>
      </c>
      <c r="E18" s="862" t="s">
        <v>154</v>
      </c>
      <c r="F18" s="863" t="s">
        <v>155</v>
      </c>
      <c r="G18" s="864" t="s">
        <v>3</v>
      </c>
      <c r="H18" s="865" t="s">
        <v>4</v>
      </c>
      <c r="I18" s="865" t="s">
        <v>5</v>
      </c>
      <c r="J18" s="866" t="s">
        <v>6</v>
      </c>
      <c r="K18" s="867"/>
      <c r="L18" s="868" t="s">
        <v>7</v>
      </c>
      <c r="M18" s="869" t="s">
        <v>8</v>
      </c>
      <c r="N18" s="870" t="s">
        <v>9</v>
      </c>
      <c r="O18" s="871" t="s">
        <v>158</v>
      </c>
      <c r="P18" s="31" t="s">
        <v>416</v>
      </c>
      <c r="Q18" s="31" t="s">
        <v>419</v>
      </c>
      <c r="R18" s="31" t="s">
        <v>420</v>
      </c>
      <c r="S18" s="31" t="s">
        <v>418</v>
      </c>
      <c r="T18" s="325" t="s">
        <v>2099</v>
      </c>
      <c r="W18" s="1358" t="s">
        <v>2152</v>
      </c>
      <c r="X18" s="1359"/>
      <c r="Y18" s="579" t="s">
        <v>2153</v>
      </c>
    </row>
    <row r="19" spans="1:51" ht="13.5" thickBot="1" x14ac:dyDescent="0.25">
      <c r="A19" s="317" t="s">
        <v>474</v>
      </c>
      <c r="B19" s="872" t="s">
        <v>474</v>
      </c>
      <c r="C19" s="873"/>
      <c r="D19" s="874" t="s">
        <v>432</v>
      </c>
      <c r="E19" s="875"/>
      <c r="F19" s="876"/>
      <c r="G19" s="877"/>
      <c r="H19" s="878"/>
      <c r="I19" s="878"/>
      <c r="J19" s="878"/>
      <c r="K19" s="878" t="s">
        <v>507</v>
      </c>
      <c r="L19" s="879"/>
      <c r="M19" s="880"/>
      <c r="N19" s="881"/>
      <c r="O19" s="882">
        <f>SUM(N20:N68)</f>
        <v>0</v>
      </c>
      <c r="P19" s="58" t="str">
        <f>IF(OR(O19&gt;0,O19&gt;0),"X","")</f>
        <v/>
      </c>
      <c r="Q19" s="317" t="str">
        <f t="shared" ref="Q19:Q82" si="0">IF(P19="X","x",IF(P19="xx","x",IF(P19="xy","x",IF(P19="y","x",IF(OR(N19&gt;0,N19&gt;0),"x","")))))</f>
        <v/>
      </c>
      <c r="R19" s="317" t="str">
        <f t="shared" ref="R19:R84" si="1">IF(P19="X","x",IF(P19="y","x",IF(P19="xx","x",IF(N19&gt;0,"x",""))))</f>
        <v/>
      </c>
      <c r="S19" s="317" t="str">
        <f t="shared" ref="S19:S84" si="2">IF(P19="X","x",IF(N19&gt;0,"x",""))</f>
        <v/>
      </c>
      <c r="T19" s="317" t="str">
        <f>GLOBAL_DER_FEV_2023!S19</f>
        <v/>
      </c>
      <c r="W19" s="580"/>
      <c r="X19" s="580"/>
      <c r="Y19" s="581"/>
    </row>
    <row r="20" spans="1:51" x14ac:dyDescent="0.2">
      <c r="A20" s="317">
        <v>831000</v>
      </c>
      <c r="B20" s="883" t="str">
        <f>GLOBAL_DER_FEV_2023!B20</f>
        <v>831000A</v>
      </c>
      <c r="C20" s="884" t="str">
        <f>GLOBAL_DER_FEV_2023!C20</f>
        <v>DER</v>
      </c>
      <c r="D20" s="885" t="str">
        <f>GLOBAL_DER_FEV_2023!D20</f>
        <v>Construção de Cerca 4 fios c/ mourões de concreto</v>
      </c>
      <c r="E20" s="886">
        <f>GLOBAL_DER_FEV_2023!E20</f>
        <v>0</v>
      </c>
      <c r="F20" s="887">
        <f>GLOBAL_DER_FEV_2023!F20</f>
        <v>0</v>
      </c>
      <c r="G20" s="888">
        <f>GLOBAL_DER_FEV_2023!G20</f>
        <v>0</v>
      </c>
      <c r="H20" s="889">
        <f>GLOBAL_DER_FEV_2023!H20</f>
        <v>41.45</v>
      </c>
      <c r="I20" s="889">
        <f>GLOBAL_DER_FEV_2023!I20</f>
        <v>41.45</v>
      </c>
      <c r="J20" s="890">
        <f>GLOBAL_DER_FEV_2023!J20</f>
        <v>49.77</v>
      </c>
      <c r="K20" s="891" t="s">
        <v>13</v>
      </c>
      <c r="L20" s="1137"/>
      <c r="M20" s="1138">
        <f t="shared" ref="M20:M83" si="3">IF(L20=0,0,ROUND(J20,2))</f>
        <v>0</v>
      </c>
      <c r="N20" s="893">
        <f t="shared" ref="N20:N23" si="4">IF(ISBLANK(L20),0,IF(W20=0,ROUND(L20*M20,2),IF(W20="b",ROUNDDOWN(L20*M20,2),ROUNDUP(L20*M20,2))))</f>
        <v>0</v>
      </c>
      <c r="O20" s="894"/>
      <c r="P20" s="76"/>
      <c r="Q20" s="317" t="str">
        <f t="shared" si="0"/>
        <v/>
      </c>
      <c r="R20" s="317" t="str">
        <f t="shared" si="1"/>
        <v/>
      </c>
      <c r="S20" s="317" t="str">
        <f t="shared" si="2"/>
        <v/>
      </c>
      <c r="T20" s="317" t="str">
        <f>GLOBAL_DER_FEV_2023!S20</f>
        <v/>
      </c>
      <c r="W20" s="582"/>
      <c r="X20" s="580"/>
      <c r="Y20" s="583">
        <f>IF(GLOBAL_DER_FEV_2023!W20=0,0,IF(GLOBAL_DER_FEV_2023!W20&gt;0,"c","b"))</f>
        <v>0</v>
      </c>
    </row>
    <row r="21" spans="1:51" x14ac:dyDescent="0.2">
      <c r="A21" s="317">
        <v>830000</v>
      </c>
      <c r="B21" s="895" t="str">
        <f>GLOBAL_DER_FEV_2023!B21</f>
        <v>830000A</v>
      </c>
      <c r="C21" s="896" t="str">
        <f>GLOBAL_DER_FEV_2023!C21</f>
        <v>DER</v>
      </c>
      <c r="D21" s="897" t="str">
        <f>GLOBAL_DER_FEV_2023!D21</f>
        <v>Construção de Cerca 4 fios c/ mourões de madeira</v>
      </c>
      <c r="E21" s="898">
        <f>GLOBAL_DER_FEV_2023!E21</f>
        <v>0</v>
      </c>
      <c r="F21" s="899">
        <f>GLOBAL_DER_FEV_2023!F21</f>
        <v>0</v>
      </c>
      <c r="G21" s="900">
        <f>GLOBAL_DER_FEV_2023!G21</f>
        <v>0</v>
      </c>
      <c r="H21" s="889">
        <f>GLOBAL_DER_FEV_2023!H21</f>
        <v>36.44</v>
      </c>
      <c r="I21" s="901">
        <f>GLOBAL_DER_FEV_2023!I21</f>
        <v>36.44</v>
      </c>
      <c r="J21" s="902">
        <f>GLOBAL_DER_FEV_2023!J21</f>
        <v>43.75</v>
      </c>
      <c r="K21" s="903" t="s">
        <v>13</v>
      </c>
      <c r="L21" s="1137"/>
      <c r="M21" s="1138">
        <f t="shared" si="3"/>
        <v>0</v>
      </c>
      <c r="N21" s="893">
        <f t="shared" si="4"/>
        <v>0</v>
      </c>
      <c r="O21" s="905"/>
      <c r="Q21" s="317" t="str">
        <f t="shared" si="0"/>
        <v/>
      </c>
      <c r="R21" s="317" t="str">
        <f t="shared" si="1"/>
        <v/>
      </c>
      <c r="S21" s="317" t="str">
        <f t="shared" si="2"/>
        <v/>
      </c>
      <c r="T21" s="317" t="str">
        <f>GLOBAL_DER_FEV_2023!S21</f>
        <v/>
      </c>
      <c r="W21" s="582"/>
      <c r="X21" s="580"/>
      <c r="Y21" s="583">
        <f>IF(GLOBAL_DER_FEV_2023!W21=0,0,IF(GLOBAL_DER_FEV_2023!W21&gt;0,"c","b"))</f>
        <v>0</v>
      </c>
    </row>
    <row r="22" spans="1:51" x14ac:dyDescent="0.2">
      <c r="A22" s="638">
        <v>606600</v>
      </c>
      <c r="B22" s="895" t="str">
        <f>GLOBAL_DER_FEV_2023!B22</f>
        <v>606600A</v>
      </c>
      <c r="C22" s="896" t="str">
        <f>GLOBAL_DER_FEV_2023!C22</f>
        <v>DER</v>
      </c>
      <c r="D22" s="906" t="str">
        <f>GLOBAL_DER_FEV_2023!D22</f>
        <v>Demolição de Concreto Armado</v>
      </c>
      <c r="E22" s="907">
        <f>GLOBAL_DER_FEV_2023!E22</f>
        <v>0</v>
      </c>
      <c r="F22" s="899">
        <f>GLOBAL_DER_FEV_2023!F22</f>
        <v>0</v>
      </c>
      <c r="G22" s="900">
        <f>GLOBAL_DER_FEV_2023!G22</f>
        <v>0</v>
      </c>
      <c r="H22" s="889">
        <f>GLOBAL_DER_FEV_2023!H22</f>
        <v>309.52999999999997</v>
      </c>
      <c r="I22" s="901">
        <f>GLOBAL_DER_FEV_2023!I22</f>
        <v>309.52999999999997</v>
      </c>
      <c r="J22" s="902">
        <f>GLOBAL_DER_FEV_2023!J22</f>
        <v>371.65</v>
      </c>
      <c r="K22" s="903" t="s">
        <v>10</v>
      </c>
      <c r="L22" s="1137"/>
      <c r="M22" s="1138">
        <f t="shared" si="3"/>
        <v>0</v>
      </c>
      <c r="N22" s="893">
        <f t="shared" si="4"/>
        <v>0</v>
      </c>
      <c r="O22" s="905"/>
      <c r="Q22" s="317" t="str">
        <f t="shared" si="0"/>
        <v/>
      </c>
      <c r="R22" s="317" t="str">
        <f t="shared" si="1"/>
        <v/>
      </c>
      <c r="S22" s="317" t="str">
        <f t="shared" si="2"/>
        <v/>
      </c>
      <c r="T22" s="317" t="str">
        <f>GLOBAL_DER_FEV_2023!S22</f>
        <v/>
      </c>
      <c r="W22" s="582"/>
      <c r="X22" s="580"/>
      <c r="Y22" s="583">
        <f>IF(GLOBAL_DER_FEV_2023!W22=0,0,IF(GLOBAL_DER_FEV_2023!W22&gt;0,"c","b"))</f>
        <v>0</v>
      </c>
    </row>
    <row r="23" spans="1:51" x14ac:dyDescent="0.2">
      <c r="A23" s="639">
        <v>606700</v>
      </c>
      <c r="B23" s="895" t="str">
        <f>GLOBAL_DER_FEV_2023!B23</f>
        <v>606700A</v>
      </c>
      <c r="C23" s="896" t="str">
        <f>GLOBAL_DER_FEV_2023!C23</f>
        <v>DER</v>
      </c>
      <c r="D23" s="906" t="str">
        <f>GLOBAL_DER_FEV_2023!D23</f>
        <v>Demolição de Concreto Símples</v>
      </c>
      <c r="E23" s="907">
        <f>GLOBAL_DER_FEV_2023!E23</f>
        <v>0</v>
      </c>
      <c r="F23" s="899">
        <f>GLOBAL_DER_FEV_2023!F23</f>
        <v>0</v>
      </c>
      <c r="G23" s="900">
        <f>GLOBAL_DER_FEV_2023!G23</f>
        <v>0</v>
      </c>
      <c r="H23" s="889">
        <f>GLOBAL_DER_FEV_2023!H23</f>
        <v>148.04</v>
      </c>
      <c r="I23" s="901">
        <f>GLOBAL_DER_FEV_2023!I23</f>
        <v>148.04</v>
      </c>
      <c r="J23" s="902">
        <f>GLOBAL_DER_FEV_2023!J23</f>
        <v>177.75</v>
      </c>
      <c r="K23" s="903" t="s">
        <v>10</v>
      </c>
      <c r="L23" s="1137"/>
      <c r="M23" s="1138">
        <f t="shared" si="3"/>
        <v>0</v>
      </c>
      <c r="N23" s="893">
        <f t="shared" si="4"/>
        <v>0</v>
      </c>
      <c r="O23" s="905"/>
      <c r="Q23" s="317" t="str">
        <f t="shared" si="0"/>
        <v/>
      </c>
      <c r="R23" s="317" t="str">
        <f t="shared" si="1"/>
        <v/>
      </c>
      <c r="S23" s="317" t="str">
        <f t="shared" si="2"/>
        <v/>
      </c>
      <c r="T23" s="317" t="str">
        <f>GLOBAL_DER_FEV_2023!S23</f>
        <v/>
      </c>
      <c r="W23" s="582">
        <v>0</v>
      </c>
      <c r="X23" s="580"/>
      <c r="Y23" s="583">
        <f>IF(GLOBAL_DER_FEV_2023!W23=0,0,IF(GLOBAL_DER_FEV_2023!W23&gt;0,"c","b"))</f>
        <v>0</v>
      </c>
    </row>
    <row r="24" spans="1:51" x14ac:dyDescent="0.2">
      <c r="A24" s="317">
        <v>512000</v>
      </c>
      <c r="B24" s="895">
        <f>GLOBAL_DER_FEV_2023!B24</f>
        <v>512000</v>
      </c>
      <c r="C24" s="896" t="str">
        <f>GLOBAL_DER_FEV_2023!C24</f>
        <v>DER</v>
      </c>
      <c r="D24" s="906" t="str">
        <f>GLOBAL_DER_FEV_2023!D24</f>
        <v>Demolição Manual de Pavimento e Transporte</v>
      </c>
      <c r="E24" s="907">
        <f>GLOBAL_DER_FEV_2023!E24</f>
        <v>3</v>
      </c>
      <c r="F24" s="908">
        <f>GLOBAL_DER_FEV_2023!F24</f>
        <v>1.86</v>
      </c>
      <c r="G24" s="909">
        <f>GLOBAL_DER_FEV_2023!G24</f>
        <v>10.955400000000001</v>
      </c>
      <c r="H24" s="889">
        <f>GLOBAL_DER_FEV_2023!H24</f>
        <v>62.35</v>
      </c>
      <c r="I24" s="901">
        <f>GLOBAL_DER_FEV_2023!I24</f>
        <v>73.305400000000006</v>
      </c>
      <c r="J24" s="902">
        <f>GLOBAL_DER_FEV_2023!J24</f>
        <v>88.02</v>
      </c>
      <c r="K24" s="903" t="s">
        <v>10</v>
      </c>
      <c r="L24" s="1137"/>
      <c r="M24" s="1138">
        <f t="shared" si="3"/>
        <v>0</v>
      </c>
      <c r="N24" s="584">
        <f>IF(ISBLANK(L24),0,IF(W24=0,ROUND(L24*M24,2),IF(W24="b",ROUNDDOWN(L24*M24,2),ROUNDUP(L24*M24,2))))</f>
        <v>0</v>
      </c>
      <c r="O24" s="905"/>
      <c r="Q24" s="317" t="str">
        <f t="shared" si="0"/>
        <v/>
      </c>
      <c r="R24" s="317" t="str">
        <f t="shared" si="1"/>
        <v/>
      </c>
      <c r="S24" s="317" t="str">
        <f t="shared" si="2"/>
        <v/>
      </c>
      <c r="T24" s="317" t="str">
        <f>GLOBAL_DER_FEV_2023!S24</f>
        <v/>
      </c>
      <c r="W24" s="582">
        <v>0</v>
      </c>
      <c r="X24" s="580"/>
      <c r="Y24" s="583">
        <f>IF(GLOBAL_DER_FEV_2023!W24=0,0,IF(GLOBAL_DER_FEV_2023!W24&gt;0,"c","b"))</f>
        <v>0</v>
      </c>
    </row>
    <row r="25" spans="1:51" x14ac:dyDescent="0.2">
      <c r="A25" s="317">
        <v>512050</v>
      </c>
      <c r="B25" s="895">
        <f>GLOBAL_DER_FEV_2023!B25</f>
        <v>512050</v>
      </c>
      <c r="C25" s="896" t="str">
        <f>GLOBAL_DER_FEV_2023!C25</f>
        <v>DER</v>
      </c>
      <c r="D25" s="906" t="str">
        <f>GLOBAL_DER_FEV_2023!D25</f>
        <v>Demolição Mecânica de Pavimento e Transporte</v>
      </c>
      <c r="E25" s="907">
        <f>GLOBAL_DER_FEV_2023!E25</f>
        <v>3</v>
      </c>
      <c r="F25" s="908">
        <f>GLOBAL_DER_FEV_2023!F25</f>
        <v>1.86</v>
      </c>
      <c r="G25" s="909">
        <f>GLOBAL_DER_FEV_2023!G25</f>
        <v>10.955400000000001</v>
      </c>
      <c r="H25" s="889">
        <f>GLOBAL_DER_FEV_2023!H25</f>
        <v>41.9</v>
      </c>
      <c r="I25" s="901">
        <f>GLOBAL_DER_FEV_2023!I25</f>
        <v>52.855400000000003</v>
      </c>
      <c r="J25" s="902">
        <f>GLOBAL_DER_FEV_2023!J25</f>
        <v>63.46</v>
      </c>
      <c r="K25" s="903" t="s">
        <v>10</v>
      </c>
      <c r="L25" s="1137"/>
      <c r="M25" s="1138">
        <f t="shared" si="3"/>
        <v>0</v>
      </c>
      <c r="N25" s="584">
        <f t="shared" ref="N25:N88" si="5">IF(ISBLANK(L25),0,IF(W25=0,ROUND(L25*M25,2),IF(W25="b",ROUNDDOWN(L25*M25,2),ROUNDUP(L25*M25,2))))</f>
        <v>0</v>
      </c>
      <c r="O25" s="905"/>
      <c r="Q25" s="317" t="str">
        <f t="shared" si="0"/>
        <v/>
      </c>
      <c r="R25" s="317" t="str">
        <f t="shared" si="1"/>
        <v/>
      </c>
      <c r="S25" s="317" t="str">
        <f t="shared" si="2"/>
        <v/>
      </c>
      <c r="T25" s="317" t="str">
        <f>GLOBAL_DER_FEV_2023!S25</f>
        <v/>
      </c>
      <c r="W25" s="582">
        <v>0</v>
      </c>
      <c r="X25" s="580"/>
      <c r="Y25" s="583">
        <f>IF(GLOBAL_DER_FEV_2023!W25=0,0,IF(GLOBAL_DER_FEV_2023!W25&gt;0,"c","b"))</f>
        <v>0</v>
      </c>
    </row>
    <row r="26" spans="1:51" x14ac:dyDescent="0.2">
      <c r="A26" s="317">
        <v>810250</v>
      </c>
      <c r="B26" s="895" t="str">
        <f>GLOBAL_DER_FEV_2023!B26</f>
        <v>PAI-022B</v>
      </c>
      <c r="C26" s="896" t="str">
        <f>GLOBAL_DER_FEV_2023!C26</f>
        <v>PM Curitiba-abr/22</v>
      </c>
      <c r="D26" s="906" t="str">
        <f>GLOBAL_DER_FEV_2023!D26</f>
        <v>Arrancamento Fincadinha de concreto - (9x19x39cm-0,0171m3/m)</v>
      </c>
      <c r="E26" s="907">
        <f>GLOBAL_DER_FEV_2023!E26</f>
        <v>0.1</v>
      </c>
      <c r="F26" s="908">
        <f>GLOBAL_DER_FEV_2023!F26</f>
        <v>3.9800000000000002E-2</v>
      </c>
      <c r="G26" s="909">
        <f>GLOBAL_DER_FEV_2023!G26</f>
        <v>0.11092260000000002</v>
      </c>
      <c r="H26" s="901">
        <f>GLOBAL_DER_FEV_2023!H26</f>
        <v>5.05</v>
      </c>
      <c r="I26" s="901">
        <f>GLOBAL_DER_FEV_2023!I26</f>
        <v>5.1609226000000001</v>
      </c>
      <c r="J26" s="902">
        <f>GLOBAL_DER_FEV_2023!J26</f>
        <v>6.2</v>
      </c>
      <c r="K26" s="903" t="s">
        <v>13</v>
      </c>
      <c r="L26" s="1137"/>
      <c r="M26" s="1138">
        <f t="shared" si="3"/>
        <v>0</v>
      </c>
      <c r="N26" s="584">
        <f t="shared" si="5"/>
        <v>0</v>
      </c>
      <c r="O26" s="905"/>
      <c r="Q26" s="317" t="str">
        <f t="shared" si="0"/>
        <v/>
      </c>
      <c r="R26" s="317" t="str">
        <f t="shared" si="1"/>
        <v/>
      </c>
      <c r="S26" s="317" t="str">
        <f t="shared" si="2"/>
        <v/>
      </c>
      <c r="T26" s="317" t="str">
        <f>GLOBAL_DER_FEV_2023!S26</f>
        <v/>
      </c>
      <c r="W26" s="582">
        <v>0</v>
      </c>
      <c r="X26" s="580"/>
      <c r="Y26" s="583">
        <f>IF(GLOBAL_DER_FEV_2023!W26=0,0,IF(GLOBAL_DER_FEV_2023!W26&gt;0,"c","b"))</f>
        <v>0</v>
      </c>
      <c r="AX26" s="895" t="s">
        <v>2236</v>
      </c>
      <c r="AY26" s="896" t="s">
        <v>453</v>
      </c>
    </row>
    <row r="27" spans="1:51" x14ac:dyDescent="0.2">
      <c r="A27" s="317">
        <v>810250</v>
      </c>
      <c r="B27" s="895" t="str">
        <f>GLOBAL_DER_FEV_2023!B27</f>
        <v>PAI-022C</v>
      </c>
      <c r="C27" s="896" t="str">
        <f>GLOBAL_DER_FEV_2023!C27</f>
        <v>PM Curitiba-abr/22</v>
      </c>
      <c r="D27" s="906" t="str">
        <f>GLOBAL_DER_FEV_2023!D27</f>
        <v>Arrancamento Fincadinha de concreto - (5x22,5x45cm-0,01125m3/m)</v>
      </c>
      <c r="E27" s="907">
        <f>GLOBAL_DER_FEV_2023!E27</f>
        <v>0.1</v>
      </c>
      <c r="F27" s="908">
        <f>GLOBAL_DER_FEV_2023!F27</f>
        <v>2.63E-2</v>
      </c>
      <c r="G27" s="909">
        <f>GLOBAL_DER_FEV_2023!G27</f>
        <v>7.3298100000000005E-2</v>
      </c>
      <c r="H27" s="901">
        <f>GLOBAL_DER_FEV_2023!H27</f>
        <v>5.05</v>
      </c>
      <c r="I27" s="901">
        <f>GLOBAL_DER_FEV_2023!I27</f>
        <v>5.1232980999999995</v>
      </c>
      <c r="J27" s="902">
        <f>GLOBAL_DER_FEV_2023!J27</f>
        <v>6.15</v>
      </c>
      <c r="K27" s="903" t="s">
        <v>13</v>
      </c>
      <c r="L27" s="1137"/>
      <c r="M27" s="1138">
        <f t="shared" si="3"/>
        <v>0</v>
      </c>
      <c r="N27" s="584">
        <f t="shared" si="5"/>
        <v>0</v>
      </c>
      <c r="O27" s="905"/>
      <c r="Q27" s="317" t="str">
        <f t="shared" si="0"/>
        <v/>
      </c>
      <c r="R27" s="317" t="str">
        <f t="shared" si="1"/>
        <v/>
      </c>
      <c r="S27" s="317" t="str">
        <f t="shared" si="2"/>
        <v/>
      </c>
      <c r="T27" s="317" t="str">
        <f>GLOBAL_DER_FEV_2023!S27</f>
        <v/>
      </c>
      <c r="W27" s="582">
        <v>0</v>
      </c>
      <c r="X27" s="580"/>
      <c r="Y27" s="583">
        <f>IF(GLOBAL_DER_FEV_2023!W27=0,0,IF(GLOBAL_DER_FEV_2023!W27&gt;0,"c","b"))</f>
        <v>0</v>
      </c>
      <c r="AX27" s="895" t="s">
        <v>2237</v>
      </c>
      <c r="AY27" s="896" t="s">
        <v>453</v>
      </c>
    </row>
    <row r="28" spans="1:51" x14ac:dyDescent="0.2">
      <c r="A28" s="317">
        <v>810250</v>
      </c>
      <c r="B28" s="895" t="str">
        <f>GLOBAL_DER_FEV_2023!B28</f>
        <v>PAI-022D</v>
      </c>
      <c r="C28" s="896" t="str">
        <f>GLOBAL_DER_FEV_2023!C28</f>
        <v>PM Curitiba-abr/22</v>
      </c>
      <c r="D28" s="906" t="str">
        <f>GLOBAL_DER_FEV_2023!D28</f>
        <v>Arrancamento Fincadinha de concreto moldada in loco- (7x20cm-0,014m3/m)</v>
      </c>
      <c r="E28" s="907">
        <f>GLOBAL_DER_FEV_2023!E28</f>
        <v>0.1</v>
      </c>
      <c r="F28" s="908">
        <f>GLOBAL_DER_FEV_2023!F28</f>
        <v>3.2800000000000003E-2</v>
      </c>
      <c r="G28" s="909">
        <f>GLOBAL_DER_FEV_2023!G28</f>
        <v>9.1413600000000025E-2</v>
      </c>
      <c r="H28" s="901">
        <f>GLOBAL_DER_FEV_2023!H28</f>
        <v>5.05</v>
      </c>
      <c r="I28" s="901">
        <f>GLOBAL_DER_FEV_2023!I28</f>
        <v>5.1414135999999999</v>
      </c>
      <c r="J28" s="902">
        <f>GLOBAL_DER_FEV_2023!J28</f>
        <v>6.17</v>
      </c>
      <c r="K28" s="903" t="s">
        <v>13</v>
      </c>
      <c r="L28" s="1137"/>
      <c r="M28" s="1138">
        <f t="shared" si="3"/>
        <v>0</v>
      </c>
      <c r="N28" s="584">
        <f t="shared" si="5"/>
        <v>0</v>
      </c>
      <c r="O28" s="905"/>
      <c r="Q28" s="317" t="str">
        <f t="shared" si="0"/>
        <v/>
      </c>
      <c r="R28" s="317" t="str">
        <f t="shared" si="1"/>
        <v/>
      </c>
      <c r="S28" s="317" t="str">
        <f t="shared" si="2"/>
        <v/>
      </c>
      <c r="T28" s="317" t="str">
        <f>GLOBAL_DER_FEV_2023!S28</f>
        <v/>
      </c>
      <c r="W28" s="582">
        <v>0</v>
      </c>
      <c r="X28" s="580"/>
      <c r="Y28" s="583">
        <f>IF(GLOBAL_DER_FEV_2023!W28=0,0,IF(GLOBAL_DER_FEV_2023!W28&gt;0,"c","b"))</f>
        <v>0</v>
      </c>
      <c r="AX28" s="895" t="s">
        <v>2238</v>
      </c>
      <c r="AY28" s="896" t="s">
        <v>453</v>
      </c>
    </row>
    <row r="29" spans="1:51" x14ac:dyDescent="0.2">
      <c r="A29" s="317" t="s">
        <v>451</v>
      </c>
      <c r="B29" s="895" t="str">
        <f>GLOBAL_DER_FEV_2023!B29</f>
        <v>PAI-022A</v>
      </c>
      <c r="C29" s="896" t="str">
        <f>GLOBAL_DER_FEV_2023!C29</f>
        <v>PM Curitiba-abr/22</v>
      </c>
      <c r="D29" s="906" t="str">
        <f>GLOBAL_DER_FEV_2023!D29</f>
        <v>Arrancamento Fincadinha de Granito</v>
      </c>
      <c r="E29" s="907">
        <f>GLOBAL_DER_FEV_2023!E29</f>
        <v>0</v>
      </c>
      <c r="F29" s="908">
        <f>GLOBAL_DER_FEV_2023!F29</f>
        <v>2.1600000000000001E-2</v>
      </c>
      <c r="G29" s="909">
        <f>GLOBAL_DER_FEV_2023!G29</f>
        <v>5.7888000000000009E-2</v>
      </c>
      <c r="H29" s="901">
        <f>GLOBAL_DER_FEV_2023!H29</f>
        <v>5.05</v>
      </c>
      <c r="I29" s="901">
        <f>GLOBAL_DER_FEV_2023!I29</f>
        <v>5.107888</v>
      </c>
      <c r="J29" s="902">
        <f>GLOBAL_DER_FEV_2023!J29</f>
        <v>6.13</v>
      </c>
      <c r="K29" s="903" t="s">
        <v>13</v>
      </c>
      <c r="L29" s="1137"/>
      <c r="M29" s="1138">
        <f t="shared" si="3"/>
        <v>0</v>
      </c>
      <c r="N29" s="584">
        <f t="shared" si="5"/>
        <v>0</v>
      </c>
      <c r="O29" s="905"/>
      <c r="Q29" s="317" t="str">
        <f t="shared" si="0"/>
        <v/>
      </c>
      <c r="R29" s="317" t="str">
        <f t="shared" si="1"/>
        <v/>
      </c>
      <c r="S29" s="317" t="str">
        <f t="shared" si="2"/>
        <v/>
      </c>
      <c r="T29" s="317" t="str">
        <f>GLOBAL_DER_FEV_2023!S29</f>
        <v/>
      </c>
      <c r="W29" s="582">
        <v>0</v>
      </c>
      <c r="X29" s="580"/>
      <c r="Y29" s="583">
        <f>IF(GLOBAL_DER_FEV_2023!W29=0,0,IF(GLOBAL_DER_FEV_2023!W29&gt;0,"c","b"))</f>
        <v>0</v>
      </c>
      <c r="AX29" s="895" t="s">
        <v>2235</v>
      </c>
      <c r="AY29" s="896" t="s">
        <v>453</v>
      </c>
    </row>
    <row r="30" spans="1:51" x14ac:dyDescent="0.2">
      <c r="A30" s="317">
        <v>600310</v>
      </c>
      <c r="B30" s="895" t="str">
        <f>GLOBAL_DER_FEV_2023!B30</f>
        <v>600310A</v>
      </c>
      <c r="C30" s="896" t="str">
        <f>GLOBAL_DER_FEV_2023!C30</f>
        <v>DER</v>
      </c>
      <c r="D30" s="897" t="str">
        <f>GLOBAL_DER_FEV_2023!D30</f>
        <v>Limpeza de bueiro</v>
      </c>
      <c r="E30" s="898">
        <f>GLOBAL_DER_FEV_2023!E30</f>
        <v>0</v>
      </c>
      <c r="F30" s="899">
        <f>GLOBAL_DER_FEV_2023!F30</f>
        <v>0</v>
      </c>
      <c r="G30" s="900">
        <f>GLOBAL_DER_FEV_2023!G30</f>
        <v>0</v>
      </c>
      <c r="H30" s="901">
        <f>GLOBAL_DER_FEV_2023!H30</f>
        <v>142.88</v>
      </c>
      <c r="I30" s="901">
        <f>GLOBAL_DER_FEV_2023!I30</f>
        <v>142.88</v>
      </c>
      <c r="J30" s="902">
        <f>GLOBAL_DER_FEV_2023!J30</f>
        <v>171.56</v>
      </c>
      <c r="K30" s="903" t="s">
        <v>15</v>
      </c>
      <c r="L30" s="1137"/>
      <c r="M30" s="1138">
        <f t="shared" si="3"/>
        <v>0</v>
      </c>
      <c r="N30" s="584">
        <f t="shared" si="5"/>
        <v>0</v>
      </c>
      <c r="O30" s="905"/>
      <c r="Q30" s="317" t="str">
        <f t="shared" si="0"/>
        <v/>
      </c>
      <c r="R30" s="317" t="str">
        <f t="shared" si="1"/>
        <v/>
      </c>
      <c r="S30" s="317" t="str">
        <f t="shared" si="2"/>
        <v/>
      </c>
      <c r="T30" s="317" t="str">
        <f>GLOBAL_DER_FEV_2023!S30</f>
        <v/>
      </c>
      <c r="W30" s="582">
        <v>0</v>
      </c>
      <c r="X30" s="580"/>
      <c r="Y30" s="583">
        <f>IF(GLOBAL_DER_FEV_2023!W30=0,0,IF(GLOBAL_DER_FEV_2023!W30&gt;0,"c","b"))</f>
        <v>0</v>
      </c>
    </row>
    <row r="31" spans="1:51" x14ac:dyDescent="0.2">
      <c r="A31" s="317">
        <v>800900</v>
      </c>
      <c r="B31" s="895" t="str">
        <f>GLOBAL_DER_FEV_2023!B31</f>
        <v>800900A</v>
      </c>
      <c r="C31" s="896" t="str">
        <f>GLOBAL_DER_FEV_2023!C31</f>
        <v>DER</v>
      </c>
      <c r="D31" s="897" t="str">
        <f>GLOBAL_DER_FEV_2023!D31</f>
        <v>Limpeza e lavagem de sinalização vertical</v>
      </c>
      <c r="E31" s="898">
        <f>GLOBAL_DER_FEV_2023!E31</f>
        <v>0</v>
      </c>
      <c r="F31" s="899">
        <f>GLOBAL_DER_FEV_2023!F31</f>
        <v>0</v>
      </c>
      <c r="G31" s="900">
        <f>GLOBAL_DER_FEV_2023!G31</f>
        <v>0</v>
      </c>
      <c r="H31" s="901">
        <f>GLOBAL_DER_FEV_2023!H31</f>
        <v>13.25</v>
      </c>
      <c r="I31" s="901">
        <f>GLOBAL_DER_FEV_2023!I31</f>
        <v>13.25</v>
      </c>
      <c r="J31" s="902">
        <f>GLOBAL_DER_FEV_2023!J31</f>
        <v>15.91</v>
      </c>
      <c r="K31" s="903" t="s">
        <v>12</v>
      </c>
      <c r="L31" s="1137"/>
      <c r="M31" s="1138">
        <f t="shared" si="3"/>
        <v>0</v>
      </c>
      <c r="N31" s="584">
        <f t="shared" si="5"/>
        <v>0</v>
      </c>
      <c r="O31" s="905"/>
      <c r="Q31" s="317" t="str">
        <f t="shared" si="0"/>
        <v/>
      </c>
      <c r="R31" s="317" t="str">
        <f t="shared" si="1"/>
        <v/>
      </c>
      <c r="S31" s="317" t="str">
        <f t="shared" si="2"/>
        <v/>
      </c>
      <c r="T31" s="317" t="str">
        <f>GLOBAL_DER_FEV_2023!S31</f>
        <v/>
      </c>
      <c r="W31" s="582">
        <v>0</v>
      </c>
      <c r="X31" s="580"/>
      <c r="Y31" s="583">
        <f>IF(GLOBAL_DER_FEV_2023!W31=0,0,IF(GLOBAL_DER_FEV_2023!W31&gt;0,"c","b"))</f>
        <v>0</v>
      </c>
    </row>
    <row r="32" spans="1:51" x14ac:dyDescent="0.2">
      <c r="A32" s="317">
        <v>801100</v>
      </c>
      <c r="B32" s="895" t="str">
        <f>GLOBAL_DER_FEV_2023!B32</f>
        <v>801100A</v>
      </c>
      <c r="C32" s="896" t="str">
        <f>GLOBAL_DER_FEV_2023!C32</f>
        <v>DER</v>
      </c>
      <c r="D32" s="897" t="str">
        <f>GLOBAL_DER_FEV_2023!D32</f>
        <v>Limpeza e pintura de abrigo de ônibus</v>
      </c>
      <c r="E32" s="898">
        <f>GLOBAL_DER_FEV_2023!E32</f>
        <v>0</v>
      </c>
      <c r="F32" s="899">
        <f>GLOBAL_DER_FEV_2023!F32</f>
        <v>0</v>
      </c>
      <c r="G32" s="900">
        <f>GLOBAL_DER_FEV_2023!G32</f>
        <v>0</v>
      </c>
      <c r="H32" s="901">
        <f>GLOBAL_DER_FEV_2023!H32</f>
        <v>19.149999999999999</v>
      </c>
      <c r="I32" s="901">
        <f>GLOBAL_DER_FEV_2023!I32</f>
        <v>19.149999999999999</v>
      </c>
      <c r="J32" s="902">
        <f>GLOBAL_DER_FEV_2023!J32</f>
        <v>22.99</v>
      </c>
      <c r="K32" s="903" t="s">
        <v>12</v>
      </c>
      <c r="L32" s="1139"/>
      <c r="M32" s="1140">
        <f t="shared" si="3"/>
        <v>0</v>
      </c>
      <c r="N32" s="584">
        <f t="shared" si="5"/>
        <v>0</v>
      </c>
      <c r="O32" s="905"/>
      <c r="Q32" s="317" t="str">
        <f t="shared" si="0"/>
        <v/>
      </c>
      <c r="R32" s="317" t="str">
        <f t="shared" si="1"/>
        <v/>
      </c>
      <c r="S32" s="317" t="str">
        <f t="shared" si="2"/>
        <v/>
      </c>
      <c r="T32" s="317" t="str">
        <f>GLOBAL_DER_FEV_2023!S32</f>
        <v/>
      </c>
      <c r="W32" s="582">
        <v>0</v>
      </c>
      <c r="X32" s="580"/>
      <c r="Y32" s="583">
        <f>IF(GLOBAL_DER_FEV_2023!W32=0,0,IF(GLOBAL_DER_FEV_2023!W32&gt;0,"c","b"))</f>
        <v>0</v>
      </c>
    </row>
    <row r="33" spans="1:25" x14ac:dyDescent="0.2">
      <c r="A33" s="317">
        <v>600510</v>
      </c>
      <c r="B33" s="895" t="str">
        <f>GLOBAL_DER_FEV_2023!B33</f>
        <v>600510A</v>
      </c>
      <c r="C33" s="896" t="str">
        <f>GLOBAL_DER_FEV_2023!C33</f>
        <v>DER</v>
      </c>
      <c r="D33" s="897" t="str">
        <f>GLOBAL_DER_FEV_2023!D33</f>
        <v>Limpeza e pintura de meio fio</v>
      </c>
      <c r="E33" s="898">
        <f>GLOBAL_DER_FEV_2023!E33</f>
        <v>0</v>
      </c>
      <c r="F33" s="899">
        <f>GLOBAL_DER_FEV_2023!F33</f>
        <v>0</v>
      </c>
      <c r="G33" s="900">
        <f>GLOBAL_DER_FEV_2023!G33</f>
        <v>0</v>
      </c>
      <c r="H33" s="901">
        <f>GLOBAL_DER_FEV_2023!H33</f>
        <v>2.52</v>
      </c>
      <c r="I33" s="901">
        <f>GLOBAL_DER_FEV_2023!I33</f>
        <v>2.52</v>
      </c>
      <c r="J33" s="902">
        <f>GLOBAL_DER_FEV_2023!J33</f>
        <v>3.03</v>
      </c>
      <c r="K33" s="903" t="s">
        <v>13</v>
      </c>
      <c r="L33" s="1139"/>
      <c r="M33" s="1140">
        <f t="shared" si="3"/>
        <v>0</v>
      </c>
      <c r="N33" s="584">
        <f t="shared" si="5"/>
        <v>0</v>
      </c>
      <c r="O33" s="905"/>
      <c r="Q33" s="317" t="str">
        <f t="shared" si="0"/>
        <v/>
      </c>
      <c r="R33" s="317" t="str">
        <f t="shared" si="1"/>
        <v/>
      </c>
      <c r="S33" s="317" t="str">
        <f t="shared" si="2"/>
        <v/>
      </c>
      <c r="T33" s="317" t="str">
        <f>GLOBAL_DER_FEV_2023!S33</f>
        <v/>
      </c>
      <c r="W33" s="582">
        <v>0</v>
      </c>
      <c r="X33" s="580"/>
      <c r="Y33" s="583">
        <f>IF(GLOBAL_DER_FEV_2023!W33=0,0,IF(GLOBAL_DER_FEV_2023!W33&gt;0,"c","b"))</f>
        <v>0</v>
      </c>
    </row>
    <row r="34" spans="1:25" ht="22.5" x14ac:dyDescent="0.2">
      <c r="A34" s="317" t="s">
        <v>1523</v>
      </c>
      <c r="B34" s="895" t="str">
        <f>GLOBAL_DER_FEV_2023!B34</f>
        <v>COMPOSIÇÃO 00051</v>
      </c>
      <c r="C34" s="896" t="str">
        <f>GLOBAL_DER_FEV_2023!C34</f>
        <v>ORSE - jan/23</v>
      </c>
      <c r="D34" s="906" t="str">
        <f>GLOBAL_DER_FEV_2023!D34</f>
        <v>PLACA DE OBRA 4,00 X 2,00 M, EM CHAPA DE ACO GALVANIZADO, INCLUSIVE ARMAÇÃO EM MADEIRA E PONTALETES</v>
      </c>
      <c r="E34" s="907">
        <f>GLOBAL_DER_FEV_2023!E34</f>
        <v>0</v>
      </c>
      <c r="F34" s="908">
        <f>GLOBAL_DER_FEV_2023!F34</f>
        <v>0</v>
      </c>
      <c r="G34" s="912">
        <f>GLOBAL_DER_FEV_2023!G34</f>
        <v>0</v>
      </c>
      <c r="H34" s="901">
        <f>GLOBAL_DER_FEV_2023!H34</f>
        <v>2990.88</v>
      </c>
      <c r="I34" s="901">
        <f>GLOBAL_DER_FEV_2023!I34</f>
        <v>2990.88</v>
      </c>
      <c r="J34" s="902">
        <f>GLOBAL_DER_FEV_2023!J34</f>
        <v>3591.15</v>
      </c>
      <c r="K34" s="903" t="s">
        <v>15</v>
      </c>
      <c r="L34" s="1139"/>
      <c r="M34" s="1140">
        <f t="shared" si="3"/>
        <v>0</v>
      </c>
      <c r="N34" s="584">
        <f t="shared" si="5"/>
        <v>0</v>
      </c>
      <c r="O34" s="905"/>
      <c r="P34" s="58"/>
      <c r="Q34" s="317" t="str">
        <f t="shared" si="0"/>
        <v/>
      </c>
      <c r="R34" s="317" t="str">
        <f t="shared" si="1"/>
        <v/>
      </c>
      <c r="S34" s="317" t="str">
        <f t="shared" si="2"/>
        <v/>
      </c>
      <c r="T34" s="317" t="str">
        <f>GLOBAL_DER_FEV_2023!S34</f>
        <v/>
      </c>
      <c r="W34" s="582">
        <v>0</v>
      </c>
      <c r="X34" s="580"/>
      <c r="Y34" s="583">
        <f>IF(GLOBAL_DER_FEV_2023!W34=0,0,IF(GLOBAL_DER_FEV_2023!W34&gt;0,"c","b"))</f>
        <v>0</v>
      </c>
    </row>
    <row r="35" spans="1:25" ht="22.5" x14ac:dyDescent="0.2">
      <c r="A35" s="317" t="s">
        <v>1525</v>
      </c>
      <c r="B35" s="895" t="str">
        <f>GLOBAL_DER_FEV_2023!B35</f>
        <v>COMPOSIÇÃO 11398</v>
      </c>
      <c r="C35" s="896" t="str">
        <f>GLOBAL_DER_FEV_2023!C35</f>
        <v>ORSE - jan/23</v>
      </c>
      <c r="D35" s="906" t="str">
        <f>GLOBAL_DER_FEV_2023!D35</f>
        <v>PLACA DE OBRA TIPO BANNER, 4,00x2,00 M, EM QUADRO DE METALON 20x20 MM E LONA 360 GRS, COM IMPRESSÃO DIGITAL, FIXADA EM ESTRUTURA DE MADEIRA.</v>
      </c>
      <c r="E35" s="907">
        <f>GLOBAL_DER_FEV_2023!E35</f>
        <v>0</v>
      </c>
      <c r="F35" s="908">
        <f>GLOBAL_DER_FEV_2023!F35</f>
        <v>0</v>
      </c>
      <c r="G35" s="912">
        <f>GLOBAL_DER_FEV_2023!G35</f>
        <v>0</v>
      </c>
      <c r="H35" s="901">
        <f>GLOBAL_DER_FEV_2023!H35</f>
        <v>2542.7199999999998</v>
      </c>
      <c r="I35" s="901">
        <f>GLOBAL_DER_FEV_2023!I35</f>
        <v>2542.7199999999998</v>
      </c>
      <c r="J35" s="902">
        <f>GLOBAL_DER_FEV_2023!J35</f>
        <v>3053.04</v>
      </c>
      <c r="K35" s="903" t="s">
        <v>15</v>
      </c>
      <c r="L35" s="1139"/>
      <c r="M35" s="1140">
        <f t="shared" si="3"/>
        <v>0</v>
      </c>
      <c r="N35" s="584">
        <f t="shared" si="5"/>
        <v>0</v>
      </c>
      <c r="O35" s="905"/>
      <c r="P35" s="58"/>
      <c r="Q35" s="317" t="str">
        <f t="shared" si="0"/>
        <v/>
      </c>
      <c r="R35" s="317" t="str">
        <f t="shared" si="1"/>
        <v/>
      </c>
      <c r="S35" s="317" t="str">
        <f t="shared" si="2"/>
        <v/>
      </c>
      <c r="T35" s="317" t="str">
        <f>GLOBAL_DER_FEV_2023!S35</f>
        <v/>
      </c>
      <c r="W35" s="582">
        <v>0</v>
      </c>
      <c r="X35" s="580"/>
      <c r="Y35" s="583">
        <f>IF(GLOBAL_DER_FEV_2023!W35=0,0,IF(GLOBAL_DER_FEV_2023!W35&gt;0,"c","b"))</f>
        <v>0</v>
      </c>
    </row>
    <row r="36" spans="1:25" ht="15" customHeight="1" x14ac:dyDescent="0.2">
      <c r="A36" s="317" t="s">
        <v>1526</v>
      </c>
      <c r="B36" s="895" t="str">
        <f>GLOBAL_DER_FEV_2023!B36</f>
        <v>COMPOSIÇÃO 02555</v>
      </c>
      <c r="C36" s="896" t="str">
        <f>GLOBAL_DER_FEV_2023!C36</f>
        <v>ORSE - jan/23</v>
      </c>
      <c r="D36" s="906" t="str">
        <f>GLOBAL_DER_FEV_2023!D36</f>
        <v>PLACA 20x35cm EM CHAPA ESMALTADA PARA IDENTIFICAÇÃO DE LOGRADOUROS</v>
      </c>
      <c r="E36" s="907">
        <f>GLOBAL_DER_FEV_2023!E36</f>
        <v>0</v>
      </c>
      <c r="F36" s="908">
        <f>GLOBAL_DER_FEV_2023!F36</f>
        <v>0</v>
      </c>
      <c r="G36" s="912">
        <f>GLOBAL_DER_FEV_2023!G36</f>
        <v>0</v>
      </c>
      <c r="H36" s="901">
        <f>GLOBAL_DER_FEV_2023!H36</f>
        <v>98.05</v>
      </c>
      <c r="I36" s="901">
        <f>GLOBAL_DER_FEV_2023!I36</f>
        <v>98.05</v>
      </c>
      <c r="J36" s="902">
        <f>GLOBAL_DER_FEV_2023!J36</f>
        <v>117.73</v>
      </c>
      <c r="K36" s="903" t="s">
        <v>15</v>
      </c>
      <c r="L36" s="1139"/>
      <c r="M36" s="1140">
        <f t="shared" si="3"/>
        <v>0</v>
      </c>
      <c r="N36" s="584">
        <f t="shared" si="5"/>
        <v>0</v>
      </c>
      <c r="O36" s="905"/>
      <c r="P36" s="58"/>
      <c r="Q36" s="317" t="str">
        <f t="shared" si="0"/>
        <v/>
      </c>
      <c r="R36" s="317" t="str">
        <f t="shared" si="1"/>
        <v/>
      </c>
      <c r="S36" s="317" t="str">
        <f t="shared" si="2"/>
        <v/>
      </c>
      <c r="T36" s="317" t="str">
        <f>GLOBAL_DER_FEV_2023!S36</f>
        <v/>
      </c>
      <c r="W36" s="582">
        <v>0</v>
      </c>
      <c r="X36" s="580"/>
      <c r="Y36" s="583">
        <f>IF(GLOBAL_DER_FEV_2023!W36=0,0,IF(GLOBAL_DER_FEV_2023!W36&gt;0,"c","b"))</f>
        <v>0</v>
      </c>
    </row>
    <row r="37" spans="1:25" ht="15" customHeight="1" x14ac:dyDescent="0.2">
      <c r="A37" s="317">
        <v>841000</v>
      </c>
      <c r="B37" s="895" t="str">
        <f>GLOBAL_DER_FEV_2023!B37</f>
        <v>841000A</v>
      </c>
      <c r="C37" s="896" t="str">
        <f>GLOBAL_DER_FEV_2023!C37</f>
        <v>DER</v>
      </c>
      <c r="D37" s="897" t="str">
        <f>GLOBAL_DER_FEV_2023!D37</f>
        <v>Remoção de cercas</v>
      </c>
      <c r="E37" s="898">
        <f>GLOBAL_DER_FEV_2023!E37</f>
        <v>0</v>
      </c>
      <c r="F37" s="899">
        <f>GLOBAL_DER_FEV_2023!F37</f>
        <v>0</v>
      </c>
      <c r="G37" s="900">
        <f>GLOBAL_DER_FEV_2023!G37</f>
        <v>0</v>
      </c>
      <c r="H37" s="901">
        <f>GLOBAL_DER_FEV_2023!H37</f>
        <v>12.51</v>
      </c>
      <c r="I37" s="901">
        <f>GLOBAL_DER_FEV_2023!I37</f>
        <v>12.51</v>
      </c>
      <c r="J37" s="902">
        <f>GLOBAL_DER_FEV_2023!J37</f>
        <v>15.02</v>
      </c>
      <c r="K37" s="903" t="s">
        <v>13</v>
      </c>
      <c r="L37" s="1139"/>
      <c r="M37" s="1140">
        <f t="shared" si="3"/>
        <v>0</v>
      </c>
      <c r="N37" s="584">
        <f t="shared" si="5"/>
        <v>0</v>
      </c>
      <c r="O37" s="905"/>
      <c r="Q37" s="317" t="str">
        <f t="shared" si="0"/>
        <v/>
      </c>
      <c r="R37" s="317" t="str">
        <f t="shared" si="1"/>
        <v/>
      </c>
      <c r="S37" s="317" t="str">
        <f t="shared" si="2"/>
        <v/>
      </c>
      <c r="T37" s="317" t="str">
        <f>GLOBAL_DER_FEV_2023!S37</f>
        <v/>
      </c>
      <c r="W37" s="582">
        <v>0</v>
      </c>
      <c r="X37" s="580"/>
      <c r="Y37" s="583">
        <f>IF(GLOBAL_DER_FEV_2023!W37=0,0,IF(GLOBAL_DER_FEV_2023!W37&gt;0,"c","b"))</f>
        <v>0</v>
      </c>
    </row>
    <row r="38" spans="1:25" ht="15" customHeight="1" x14ac:dyDescent="0.2">
      <c r="A38" s="317">
        <v>840000</v>
      </c>
      <c r="B38" s="895" t="str">
        <f>GLOBAL_DER_FEV_2023!B38</f>
        <v>840000A</v>
      </c>
      <c r="C38" s="896" t="str">
        <f>GLOBAL_DER_FEV_2023!C38</f>
        <v>DER</v>
      </c>
      <c r="D38" s="897" t="str">
        <f>GLOBAL_DER_FEV_2023!D38</f>
        <v>Remoção e recolocação de cercas de arame</v>
      </c>
      <c r="E38" s="898">
        <f>GLOBAL_DER_FEV_2023!E38</f>
        <v>0</v>
      </c>
      <c r="F38" s="899">
        <f>GLOBAL_DER_FEV_2023!F38</f>
        <v>0</v>
      </c>
      <c r="G38" s="900">
        <f>GLOBAL_DER_FEV_2023!G38</f>
        <v>0</v>
      </c>
      <c r="H38" s="901">
        <f>GLOBAL_DER_FEV_2023!H38</f>
        <v>34.53</v>
      </c>
      <c r="I38" s="901">
        <f>GLOBAL_DER_FEV_2023!I38</f>
        <v>34.53</v>
      </c>
      <c r="J38" s="902">
        <f>GLOBAL_DER_FEV_2023!J38</f>
        <v>41.46</v>
      </c>
      <c r="K38" s="903" t="s">
        <v>13</v>
      </c>
      <c r="L38" s="1139"/>
      <c r="M38" s="1140">
        <f t="shared" si="3"/>
        <v>0</v>
      </c>
      <c r="N38" s="584">
        <f t="shared" si="5"/>
        <v>0</v>
      </c>
      <c r="O38" s="905"/>
      <c r="Q38" s="317" t="str">
        <f t="shared" si="0"/>
        <v/>
      </c>
      <c r="R38" s="317" t="str">
        <f t="shared" si="1"/>
        <v/>
      </c>
      <c r="S38" s="317" t="str">
        <f t="shared" si="2"/>
        <v/>
      </c>
      <c r="T38" s="317" t="str">
        <f>GLOBAL_DER_FEV_2023!S38</f>
        <v/>
      </c>
      <c r="W38" s="582">
        <v>0</v>
      </c>
      <c r="X38" s="580"/>
      <c r="Y38" s="583">
        <f>IF(GLOBAL_DER_FEV_2023!W38=0,0,IF(GLOBAL_DER_FEV_2023!W38&gt;0,"c","b"))</f>
        <v>0</v>
      </c>
    </row>
    <row r="39" spans="1:25" ht="15" customHeight="1" x14ac:dyDescent="0.2">
      <c r="A39" s="317">
        <v>100981</v>
      </c>
      <c r="B39" s="895">
        <f>GLOBAL_DER_FEV_2023!B39</f>
        <v>100981</v>
      </c>
      <c r="C39" s="896" t="str">
        <f>GLOBAL_DER_FEV_2023!C39</f>
        <v>SINAPI</v>
      </c>
      <c r="D39" s="897" t="str">
        <f>GLOBAL_DER_FEV_2023!D39</f>
        <v>Remoção manual de entulho</v>
      </c>
      <c r="E39" s="898">
        <f>GLOBAL_DER_FEV_2023!E39</f>
        <v>0</v>
      </c>
      <c r="F39" s="899">
        <f>GLOBAL_DER_FEV_2023!F39</f>
        <v>0</v>
      </c>
      <c r="G39" s="900">
        <f>GLOBAL_DER_FEV_2023!G39</f>
        <v>0</v>
      </c>
      <c r="H39" s="901">
        <f>GLOBAL_DER_FEV_2023!H39</f>
        <v>9.25</v>
      </c>
      <c r="I39" s="901">
        <f>GLOBAL_DER_FEV_2023!I39</f>
        <v>9.25</v>
      </c>
      <c r="J39" s="902">
        <f>GLOBAL_DER_FEV_2023!J39</f>
        <v>11.11</v>
      </c>
      <c r="K39" s="903" t="s">
        <v>10</v>
      </c>
      <c r="L39" s="1139"/>
      <c r="M39" s="1140">
        <f t="shared" si="3"/>
        <v>0</v>
      </c>
      <c r="N39" s="584">
        <f t="shared" si="5"/>
        <v>0</v>
      </c>
      <c r="O39" s="905"/>
      <c r="Q39" s="317" t="str">
        <f t="shared" si="0"/>
        <v/>
      </c>
      <c r="R39" s="317" t="str">
        <f t="shared" si="1"/>
        <v/>
      </c>
      <c r="S39" s="317" t="str">
        <f t="shared" si="2"/>
        <v/>
      </c>
      <c r="T39" s="317" t="str">
        <f>GLOBAL_DER_FEV_2023!S39</f>
        <v/>
      </c>
      <c r="W39" s="582">
        <v>0</v>
      </c>
      <c r="X39" s="580"/>
      <c r="Y39" s="583">
        <f>IF(GLOBAL_DER_FEV_2023!W39=0,0,IF(GLOBAL_DER_FEV_2023!W39&gt;0,"c","b"))</f>
        <v>0</v>
      </c>
    </row>
    <row r="40" spans="1:25" ht="15" customHeight="1" x14ac:dyDescent="0.2">
      <c r="A40" s="317">
        <v>97623</v>
      </c>
      <c r="B40" s="895" t="str">
        <f>GLOBAL_DER_FEV_2023!B40</f>
        <v>97623A</v>
      </c>
      <c r="C40" s="896" t="str">
        <f>GLOBAL_DER_FEV_2023!C40</f>
        <v>SINAPI</v>
      </c>
      <c r="D40" s="897" t="str">
        <f>GLOBAL_DER_FEV_2023!D40</f>
        <v xml:space="preserve">DEMOLIÇÃO DE ALVENARIA DE TIJOLO  COM REAPROVEITAMENTO. </v>
      </c>
      <c r="E40" s="898">
        <f>GLOBAL_DER_FEV_2023!E40</f>
        <v>0</v>
      </c>
      <c r="F40" s="899">
        <f>GLOBAL_DER_FEV_2023!F40</f>
        <v>0</v>
      </c>
      <c r="G40" s="900">
        <f>GLOBAL_DER_FEV_2023!G40</f>
        <v>0</v>
      </c>
      <c r="H40" s="901">
        <f>GLOBAL_DER_FEV_2023!H40</f>
        <v>201.31</v>
      </c>
      <c r="I40" s="901">
        <f>GLOBAL_DER_FEV_2023!I40</f>
        <v>201.31</v>
      </c>
      <c r="J40" s="902">
        <f>GLOBAL_DER_FEV_2023!J40</f>
        <v>241.71</v>
      </c>
      <c r="K40" s="903" t="s">
        <v>10</v>
      </c>
      <c r="L40" s="1139"/>
      <c r="M40" s="1140">
        <f t="shared" si="3"/>
        <v>0</v>
      </c>
      <c r="N40" s="584">
        <f t="shared" si="5"/>
        <v>0</v>
      </c>
      <c r="O40" s="905"/>
      <c r="Q40" s="317" t="str">
        <f t="shared" si="0"/>
        <v/>
      </c>
      <c r="R40" s="317" t="str">
        <f t="shared" si="1"/>
        <v/>
      </c>
      <c r="S40" s="317" t="str">
        <f t="shared" si="2"/>
        <v/>
      </c>
      <c r="T40" s="317" t="str">
        <f>GLOBAL_DER_FEV_2023!S40</f>
        <v/>
      </c>
      <c r="W40" s="582">
        <v>0</v>
      </c>
      <c r="X40" s="580"/>
      <c r="Y40" s="583">
        <f>IF(GLOBAL_DER_FEV_2023!W40=0,0,IF(GLOBAL_DER_FEV_2023!W40&gt;0,"c","b"))</f>
        <v>0</v>
      </c>
    </row>
    <row r="41" spans="1:25" ht="15" customHeight="1" x14ac:dyDescent="0.2">
      <c r="A41" s="317">
        <v>97624</v>
      </c>
      <c r="B41" s="895" t="str">
        <f>GLOBAL_DER_FEV_2023!B41</f>
        <v>97624A</v>
      </c>
      <c r="C41" s="896" t="str">
        <f>GLOBAL_DER_FEV_2023!C41</f>
        <v>SINAPI</v>
      </c>
      <c r="D41" s="897" t="str">
        <f>GLOBAL_DER_FEV_2023!D41</f>
        <v>DEMOLIÇÃO DE ALVENARIA DE TIJOLO SEM APROVEITAMENTO</v>
      </c>
      <c r="E41" s="898">
        <f>GLOBAL_DER_FEV_2023!E41</f>
        <v>0</v>
      </c>
      <c r="F41" s="899">
        <f>GLOBAL_DER_FEV_2023!F41</f>
        <v>0</v>
      </c>
      <c r="G41" s="900">
        <f>GLOBAL_DER_FEV_2023!G41</f>
        <v>0</v>
      </c>
      <c r="H41" s="901">
        <f>GLOBAL_DER_FEV_2023!H41</f>
        <v>123.54</v>
      </c>
      <c r="I41" s="901">
        <f>GLOBAL_DER_FEV_2023!I41</f>
        <v>123.54</v>
      </c>
      <c r="J41" s="902">
        <f>GLOBAL_DER_FEV_2023!J41</f>
        <v>148.33000000000001</v>
      </c>
      <c r="K41" s="903" t="s">
        <v>10</v>
      </c>
      <c r="L41" s="1139"/>
      <c r="M41" s="1140">
        <f t="shared" si="3"/>
        <v>0</v>
      </c>
      <c r="N41" s="584">
        <f t="shared" si="5"/>
        <v>0</v>
      </c>
      <c r="O41" s="905"/>
      <c r="Q41" s="317" t="str">
        <f t="shared" si="0"/>
        <v/>
      </c>
      <c r="R41" s="317" t="str">
        <f t="shared" si="1"/>
        <v/>
      </c>
      <c r="S41" s="317" t="str">
        <f t="shared" si="2"/>
        <v/>
      </c>
      <c r="T41" s="317" t="str">
        <f>GLOBAL_DER_FEV_2023!S41</f>
        <v/>
      </c>
      <c r="W41" s="582">
        <v>0</v>
      </c>
      <c r="X41" s="580"/>
      <c r="Y41" s="583">
        <f>IF(GLOBAL_DER_FEV_2023!W41=0,0,IF(GLOBAL_DER_FEV_2023!W41&gt;0,"c","b"))</f>
        <v>0</v>
      </c>
    </row>
    <row r="42" spans="1:25" ht="15" customHeight="1" x14ac:dyDescent="0.2">
      <c r="A42" s="317">
        <v>606500</v>
      </c>
      <c r="B42" s="895" t="str">
        <f>GLOBAL_DER_FEV_2023!B42</f>
        <v>606500A</v>
      </c>
      <c r="C42" s="896" t="str">
        <f>GLOBAL_DER_FEV_2023!C42</f>
        <v>DER</v>
      </c>
      <c r="D42" s="897" t="str">
        <f>GLOBAL_DER_FEV_2023!D42</f>
        <v>Demolição de Alvenaria</v>
      </c>
      <c r="E42" s="898">
        <f>GLOBAL_DER_FEV_2023!E42</f>
        <v>0</v>
      </c>
      <c r="F42" s="899">
        <f>GLOBAL_DER_FEV_2023!F42</f>
        <v>0</v>
      </c>
      <c r="G42" s="900">
        <f>GLOBAL_DER_FEV_2023!G42</f>
        <v>0</v>
      </c>
      <c r="H42" s="901">
        <f>GLOBAL_DER_FEV_2023!H42</f>
        <v>182.46</v>
      </c>
      <c r="I42" s="901">
        <f>GLOBAL_DER_FEV_2023!I42</f>
        <v>182.46</v>
      </c>
      <c r="J42" s="902">
        <f>GLOBAL_DER_FEV_2023!J42</f>
        <v>219.08</v>
      </c>
      <c r="K42" s="903" t="s">
        <v>10</v>
      </c>
      <c r="L42" s="1139"/>
      <c r="M42" s="1140">
        <f t="shared" si="3"/>
        <v>0</v>
      </c>
      <c r="N42" s="584">
        <f t="shared" si="5"/>
        <v>0</v>
      </c>
      <c r="O42" s="905"/>
      <c r="Q42" s="317" t="str">
        <f t="shared" si="0"/>
        <v/>
      </c>
      <c r="R42" s="317" t="str">
        <f t="shared" si="1"/>
        <v/>
      </c>
      <c r="S42" s="317" t="str">
        <f t="shared" si="2"/>
        <v/>
      </c>
      <c r="T42" s="317" t="str">
        <f>GLOBAL_DER_FEV_2023!S42</f>
        <v/>
      </c>
      <c r="W42" s="582">
        <v>0</v>
      </c>
      <c r="X42" s="580"/>
      <c r="Y42" s="583">
        <f>IF(GLOBAL_DER_FEV_2023!W42=0,0,IF(GLOBAL_DER_FEV_2023!W42&gt;0,"c","b"))</f>
        <v>0</v>
      </c>
    </row>
    <row r="43" spans="1:25" ht="15" customHeight="1" x14ac:dyDescent="0.2">
      <c r="A43" s="640" t="s">
        <v>165</v>
      </c>
      <c r="B43" s="913" t="s">
        <v>165</v>
      </c>
      <c r="C43" s="914"/>
      <c r="D43" s="915" t="s">
        <v>433</v>
      </c>
      <c r="E43" s="916"/>
      <c r="F43" s="917">
        <f>GLOBAL_DER_FEV_2023!F43</f>
        <v>0</v>
      </c>
      <c r="G43" s="918">
        <f>GLOBAL_DER_FEV_2023!G43</f>
        <v>0</v>
      </c>
      <c r="H43" s="919">
        <f>GLOBAL_DER_FEV_2023!H43</f>
        <v>0</v>
      </c>
      <c r="I43" s="919">
        <f>GLOBAL_DER_FEV_2023!I43</f>
        <v>0</v>
      </c>
      <c r="J43" s="919">
        <f>GLOBAL_DER_FEV_2023!J43</f>
        <v>0</v>
      </c>
      <c r="K43" s="920" t="s">
        <v>507</v>
      </c>
      <c r="L43" s="921"/>
      <c r="M43" s="922"/>
      <c r="N43" s="584">
        <f t="shared" si="5"/>
        <v>0</v>
      </c>
      <c r="O43" s="905"/>
      <c r="P43" s="58" t="str">
        <f>IF(OR(SUM(N44:N68)&gt;0,SUM(N44:N68)&gt;0),"y","")</f>
        <v/>
      </c>
      <c r="Q43" s="317" t="str">
        <f t="shared" si="0"/>
        <v/>
      </c>
      <c r="R43" s="317" t="str">
        <f t="shared" si="1"/>
        <v/>
      </c>
      <c r="S43" s="317" t="str">
        <f t="shared" si="2"/>
        <v/>
      </c>
      <c r="T43" s="317" t="str">
        <f>GLOBAL_DER_FEV_2023!S43</f>
        <v/>
      </c>
      <c r="W43" s="582">
        <v>0</v>
      </c>
      <c r="X43" s="580"/>
      <c r="Y43" s="583">
        <f>IF(GLOBAL_DER_FEV_2023!W43=0,0,IF(GLOBAL_DER_FEV_2023!W43&gt;0,"c","b"))</f>
        <v>0</v>
      </c>
    </row>
    <row r="44" spans="1:25" ht="15" customHeight="1" x14ac:dyDescent="0.2">
      <c r="A44" s="640" t="s">
        <v>165</v>
      </c>
      <c r="B44" s="1036">
        <f>GLOBAL_DER_FEV_2023!B44</f>
        <v>0</v>
      </c>
      <c r="C44" s="1072">
        <f>GLOBAL_DER_FEV_2023!C44</f>
        <v>0</v>
      </c>
      <c r="D44" s="1141">
        <f>GLOBAL_DER_FEV_2023!D44</f>
        <v>0</v>
      </c>
      <c r="E44" s="907">
        <f>GLOBAL_DER_FEV_2023!E44</f>
        <v>0</v>
      </c>
      <c r="F44" s="908">
        <f>GLOBAL_DER_FEV_2023!F44</f>
        <v>0</v>
      </c>
      <c r="G44" s="912">
        <f>GLOBAL_DER_FEV_2023!G44</f>
        <v>0</v>
      </c>
      <c r="H44" s="901">
        <f>GLOBAL_DER_FEV_2023!H44</f>
        <v>0</v>
      </c>
      <c r="I44" s="901">
        <f>GLOBAL_DER_FEV_2023!I44</f>
        <v>0</v>
      </c>
      <c r="J44" s="902">
        <f>GLOBAL_DER_FEV_2023!J44</f>
        <v>0</v>
      </c>
      <c r="K44" s="903">
        <f>GLOBAL_DER_FEV_2023!K44</f>
        <v>0</v>
      </c>
      <c r="L44" s="1137"/>
      <c r="M44" s="1140">
        <f t="shared" si="3"/>
        <v>0</v>
      </c>
      <c r="N44" s="584">
        <f t="shared" si="5"/>
        <v>0</v>
      </c>
      <c r="O44" s="905"/>
      <c r="Q44" s="317" t="str">
        <f t="shared" si="0"/>
        <v/>
      </c>
      <c r="R44" s="317" t="str">
        <f t="shared" si="1"/>
        <v/>
      </c>
      <c r="S44" s="317" t="str">
        <f t="shared" si="2"/>
        <v/>
      </c>
      <c r="T44" s="317" t="str">
        <f>GLOBAL_DER_FEV_2023!S44</f>
        <v/>
      </c>
      <c r="W44" s="582">
        <v>0</v>
      </c>
      <c r="X44" s="580"/>
      <c r="Y44" s="583">
        <f>IF(GLOBAL_DER_FEV_2023!W44=0,0,IF(GLOBAL_DER_FEV_2023!W44&gt;0,"c","b"))</f>
        <v>0</v>
      </c>
    </row>
    <row r="45" spans="1:25" ht="15" customHeight="1" x14ac:dyDescent="0.2">
      <c r="A45" s="640" t="s">
        <v>165</v>
      </c>
      <c r="B45" s="1036" t="str">
        <f>GLOBAL_DER_FEV_2023!B45</f>
        <v/>
      </c>
      <c r="C45" s="1072" t="str">
        <f>GLOBAL_DER_FEV_2023!C45</f>
        <v/>
      </c>
      <c r="D45" s="1141">
        <f>GLOBAL_DER_FEV_2023!D45</f>
        <v>0</v>
      </c>
      <c r="E45" s="907">
        <f>GLOBAL_DER_FEV_2023!E45</f>
        <v>0</v>
      </c>
      <c r="F45" s="908">
        <f>GLOBAL_DER_FEV_2023!F45</f>
        <v>0</v>
      </c>
      <c r="G45" s="912">
        <f>GLOBAL_DER_FEV_2023!G45</f>
        <v>0</v>
      </c>
      <c r="H45" s="901">
        <f>GLOBAL_DER_FEV_2023!H45</f>
        <v>0</v>
      </c>
      <c r="I45" s="901">
        <f>GLOBAL_DER_FEV_2023!I45</f>
        <v>0</v>
      </c>
      <c r="J45" s="890">
        <f>GLOBAL_DER_FEV_2023!J45</f>
        <v>0</v>
      </c>
      <c r="K45" s="903" t="str">
        <f>GLOBAL_DER_FEV_2023!K45</f>
        <v xml:space="preserve">     </v>
      </c>
      <c r="L45" s="1137"/>
      <c r="M45" s="1140">
        <f t="shared" si="3"/>
        <v>0</v>
      </c>
      <c r="N45" s="584">
        <f t="shared" si="5"/>
        <v>0</v>
      </c>
      <c r="O45" s="905"/>
      <c r="Q45" s="317" t="str">
        <f t="shared" si="0"/>
        <v/>
      </c>
      <c r="R45" s="317" t="str">
        <f t="shared" si="1"/>
        <v/>
      </c>
      <c r="S45" s="317" t="str">
        <f t="shared" si="2"/>
        <v/>
      </c>
      <c r="T45" s="317" t="str">
        <f>GLOBAL_DER_FEV_2023!S45</f>
        <v/>
      </c>
      <c r="W45" s="582">
        <v>0</v>
      </c>
      <c r="X45" s="580"/>
      <c r="Y45" s="583">
        <f>IF(GLOBAL_DER_FEV_2023!W45=0,0,IF(GLOBAL_DER_FEV_2023!W45&gt;0,"c","b"))</f>
        <v>0</v>
      </c>
    </row>
    <row r="46" spans="1:25" ht="15" customHeight="1" x14ac:dyDescent="0.2">
      <c r="A46" s="640" t="s">
        <v>165</v>
      </c>
      <c r="B46" s="1036" t="str">
        <f>GLOBAL_DER_FEV_2023!B46</f>
        <v/>
      </c>
      <c r="C46" s="1072" t="str">
        <f>GLOBAL_DER_FEV_2023!C46</f>
        <v/>
      </c>
      <c r="D46" s="1141">
        <f>GLOBAL_DER_FEV_2023!D46</f>
        <v>0</v>
      </c>
      <c r="E46" s="907">
        <f>GLOBAL_DER_FEV_2023!E46</f>
        <v>0</v>
      </c>
      <c r="F46" s="908">
        <f>GLOBAL_DER_FEV_2023!F46</f>
        <v>0</v>
      </c>
      <c r="G46" s="912">
        <f>GLOBAL_DER_FEV_2023!G46</f>
        <v>0</v>
      </c>
      <c r="H46" s="901">
        <f>GLOBAL_DER_FEV_2023!H46</f>
        <v>0</v>
      </c>
      <c r="I46" s="901">
        <f>GLOBAL_DER_FEV_2023!I46</f>
        <v>0</v>
      </c>
      <c r="J46" s="890">
        <f>GLOBAL_DER_FEV_2023!J46</f>
        <v>0</v>
      </c>
      <c r="K46" s="903" t="str">
        <f>GLOBAL_DER_FEV_2023!K46</f>
        <v xml:space="preserve">     </v>
      </c>
      <c r="L46" s="1137"/>
      <c r="M46" s="1140">
        <f t="shared" si="3"/>
        <v>0</v>
      </c>
      <c r="N46" s="584">
        <f t="shared" si="5"/>
        <v>0</v>
      </c>
      <c r="O46" s="905"/>
      <c r="Q46" s="317" t="str">
        <f t="shared" si="0"/>
        <v/>
      </c>
      <c r="R46" s="317" t="str">
        <f t="shared" si="1"/>
        <v/>
      </c>
      <c r="S46" s="317" t="str">
        <f t="shared" si="2"/>
        <v/>
      </c>
      <c r="T46" s="317" t="str">
        <f>GLOBAL_DER_FEV_2023!S46</f>
        <v/>
      </c>
      <c r="W46" s="582">
        <v>0</v>
      </c>
      <c r="X46" s="580"/>
      <c r="Y46" s="583">
        <f>IF(GLOBAL_DER_FEV_2023!W46=0,0,IF(GLOBAL_DER_FEV_2023!W46&gt;0,"c","b"))</f>
        <v>0</v>
      </c>
    </row>
    <row r="47" spans="1:25" ht="15" customHeight="1" x14ac:dyDescent="0.2">
      <c r="A47" s="640" t="s">
        <v>165</v>
      </c>
      <c r="B47" s="1036" t="str">
        <f>GLOBAL_DER_FEV_2023!B47</f>
        <v/>
      </c>
      <c r="C47" s="1072" t="str">
        <f>GLOBAL_DER_FEV_2023!C47</f>
        <v/>
      </c>
      <c r="D47" s="1141">
        <f>GLOBAL_DER_FEV_2023!D47</f>
        <v>0</v>
      </c>
      <c r="E47" s="907">
        <f>GLOBAL_DER_FEV_2023!E47</f>
        <v>0</v>
      </c>
      <c r="F47" s="908">
        <f>GLOBAL_DER_FEV_2023!F47</f>
        <v>0</v>
      </c>
      <c r="G47" s="912">
        <f>GLOBAL_DER_FEV_2023!G47</f>
        <v>0</v>
      </c>
      <c r="H47" s="901">
        <f>GLOBAL_DER_FEV_2023!H47</f>
        <v>0</v>
      </c>
      <c r="I47" s="901">
        <f>GLOBAL_DER_FEV_2023!I47</f>
        <v>0</v>
      </c>
      <c r="J47" s="890">
        <f>GLOBAL_DER_FEV_2023!J47</f>
        <v>0</v>
      </c>
      <c r="K47" s="903" t="str">
        <f>GLOBAL_DER_FEV_2023!K47</f>
        <v xml:space="preserve">     </v>
      </c>
      <c r="L47" s="1137"/>
      <c r="M47" s="1140">
        <f t="shared" si="3"/>
        <v>0</v>
      </c>
      <c r="N47" s="584">
        <f t="shared" si="5"/>
        <v>0</v>
      </c>
      <c r="O47" s="905"/>
      <c r="Q47" s="317" t="str">
        <f t="shared" si="0"/>
        <v/>
      </c>
      <c r="R47" s="317" t="str">
        <f t="shared" si="1"/>
        <v/>
      </c>
      <c r="S47" s="317" t="str">
        <f t="shared" si="2"/>
        <v/>
      </c>
      <c r="T47" s="317" t="str">
        <f>GLOBAL_DER_FEV_2023!S47</f>
        <v/>
      </c>
      <c r="W47" s="582">
        <v>0</v>
      </c>
      <c r="X47" s="580"/>
      <c r="Y47" s="583">
        <f>IF(GLOBAL_DER_FEV_2023!W47=0,0,IF(GLOBAL_DER_FEV_2023!W47&gt;0,"c","b"))</f>
        <v>0</v>
      </c>
    </row>
    <row r="48" spans="1:25" ht="15" customHeight="1" x14ac:dyDescent="0.2">
      <c r="A48" s="640" t="s">
        <v>165</v>
      </c>
      <c r="B48" s="1036" t="str">
        <f>GLOBAL_DER_FEV_2023!B48</f>
        <v/>
      </c>
      <c r="C48" s="1072" t="str">
        <f>GLOBAL_DER_FEV_2023!C48</f>
        <v/>
      </c>
      <c r="D48" s="1141">
        <f>GLOBAL_DER_FEV_2023!D48</f>
        <v>0</v>
      </c>
      <c r="E48" s="907">
        <f>GLOBAL_DER_FEV_2023!E48</f>
        <v>0</v>
      </c>
      <c r="F48" s="908">
        <f>GLOBAL_DER_FEV_2023!F48</f>
        <v>0</v>
      </c>
      <c r="G48" s="912">
        <f>GLOBAL_DER_FEV_2023!G48</f>
        <v>0</v>
      </c>
      <c r="H48" s="901">
        <f>GLOBAL_DER_FEV_2023!H48</f>
        <v>0</v>
      </c>
      <c r="I48" s="901">
        <f>GLOBAL_DER_FEV_2023!I48</f>
        <v>0</v>
      </c>
      <c r="J48" s="890">
        <f>GLOBAL_DER_FEV_2023!J48</f>
        <v>0</v>
      </c>
      <c r="K48" s="903" t="str">
        <f>GLOBAL_DER_FEV_2023!K48</f>
        <v xml:space="preserve">     </v>
      </c>
      <c r="L48" s="1137"/>
      <c r="M48" s="1140">
        <f t="shared" si="3"/>
        <v>0</v>
      </c>
      <c r="N48" s="584">
        <f t="shared" si="5"/>
        <v>0</v>
      </c>
      <c r="O48" s="905"/>
      <c r="Q48" s="317" t="str">
        <f t="shared" si="0"/>
        <v/>
      </c>
      <c r="R48" s="317" t="str">
        <f t="shared" si="1"/>
        <v/>
      </c>
      <c r="S48" s="317" t="str">
        <f t="shared" si="2"/>
        <v/>
      </c>
      <c r="T48" s="317" t="str">
        <f>GLOBAL_DER_FEV_2023!S48</f>
        <v/>
      </c>
      <c r="W48" s="582">
        <v>0</v>
      </c>
      <c r="X48" s="580"/>
      <c r="Y48" s="583">
        <f>IF(GLOBAL_DER_FEV_2023!W48=0,0,IF(GLOBAL_DER_FEV_2023!W48&gt;0,"c","b"))</f>
        <v>0</v>
      </c>
    </row>
    <row r="49" spans="1:25" ht="15" customHeight="1" x14ac:dyDescent="0.2">
      <c r="A49" s="640" t="s">
        <v>165</v>
      </c>
      <c r="B49" s="1036" t="str">
        <f>GLOBAL_DER_FEV_2023!B49</f>
        <v/>
      </c>
      <c r="C49" s="1072" t="str">
        <f>GLOBAL_DER_FEV_2023!C49</f>
        <v/>
      </c>
      <c r="D49" s="1141">
        <f>GLOBAL_DER_FEV_2023!D49</f>
        <v>0</v>
      </c>
      <c r="E49" s="907">
        <f>GLOBAL_DER_FEV_2023!E49</f>
        <v>0</v>
      </c>
      <c r="F49" s="908">
        <f>GLOBAL_DER_FEV_2023!F49</f>
        <v>0</v>
      </c>
      <c r="G49" s="912">
        <f>GLOBAL_DER_FEV_2023!G49</f>
        <v>0</v>
      </c>
      <c r="H49" s="901">
        <f>GLOBAL_DER_FEV_2023!H49</f>
        <v>0</v>
      </c>
      <c r="I49" s="901">
        <f>GLOBAL_DER_FEV_2023!I49</f>
        <v>0</v>
      </c>
      <c r="J49" s="890">
        <f>GLOBAL_DER_FEV_2023!J49</f>
        <v>0</v>
      </c>
      <c r="K49" s="903" t="str">
        <f>GLOBAL_DER_FEV_2023!K49</f>
        <v xml:space="preserve">     </v>
      </c>
      <c r="L49" s="1137"/>
      <c r="M49" s="1140">
        <f t="shared" si="3"/>
        <v>0</v>
      </c>
      <c r="N49" s="584">
        <f t="shared" si="5"/>
        <v>0</v>
      </c>
      <c r="O49" s="905"/>
      <c r="Q49" s="317" t="str">
        <f t="shared" si="0"/>
        <v/>
      </c>
      <c r="R49" s="317" t="str">
        <f t="shared" si="1"/>
        <v/>
      </c>
      <c r="S49" s="317" t="str">
        <f t="shared" si="2"/>
        <v/>
      </c>
      <c r="T49" s="317" t="str">
        <f>GLOBAL_DER_FEV_2023!S49</f>
        <v/>
      </c>
      <c r="W49" s="582">
        <v>0</v>
      </c>
      <c r="X49" s="580"/>
      <c r="Y49" s="583">
        <f>IF(GLOBAL_DER_FEV_2023!W49=0,0,IF(GLOBAL_DER_FEV_2023!W49&gt;0,"c","b"))</f>
        <v>0</v>
      </c>
    </row>
    <row r="50" spans="1:25" ht="15" customHeight="1" x14ac:dyDescent="0.2">
      <c r="A50" s="640" t="s">
        <v>165</v>
      </c>
      <c r="B50" s="1036" t="str">
        <f>GLOBAL_DER_FEV_2023!B50</f>
        <v/>
      </c>
      <c r="C50" s="1072" t="str">
        <f>GLOBAL_DER_FEV_2023!C50</f>
        <v/>
      </c>
      <c r="D50" s="1141">
        <f>GLOBAL_DER_FEV_2023!D50</f>
        <v>0</v>
      </c>
      <c r="E50" s="907">
        <f>GLOBAL_DER_FEV_2023!E50</f>
        <v>0</v>
      </c>
      <c r="F50" s="908">
        <f>GLOBAL_DER_FEV_2023!F50</f>
        <v>0</v>
      </c>
      <c r="G50" s="912">
        <f>GLOBAL_DER_FEV_2023!G50</f>
        <v>0</v>
      </c>
      <c r="H50" s="901">
        <f>GLOBAL_DER_FEV_2023!H50</f>
        <v>0</v>
      </c>
      <c r="I50" s="901">
        <f>GLOBAL_DER_FEV_2023!I50</f>
        <v>0</v>
      </c>
      <c r="J50" s="890">
        <f>GLOBAL_DER_FEV_2023!J50</f>
        <v>0</v>
      </c>
      <c r="K50" s="903" t="str">
        <f>GLOBAL_DER_FEV_2023!K50</f>
        <v xml:space="preserve">     </v>
      </c>
      <c r="L50" s="1137"/>
      <c r="M50" s="1140">
        <f t="shared" si="3"/>
        <v>0</v>
      </c>
      <c r="N50" s="584">
        <f t="shared" si="5"/>
        <v>0</v>
      </c>
      <c r="O50" s="905"/>
      <c r="Q50" s="317" t="str">
        <f t="shared" si="0"/>
        <v/>
      </c>
      <c r="R50" s="317" t="str">
        <f t="shared" si="1"/>
        <v/>
      </c>
      <c r="S50" s="317" t="str">
        <f t="shared" si="2"/>
        <v/>
      </c>
      <c r="T50" s="317" t="str">
        <f>GLOBAL_DER_FEV_2023!S50</f>
        <v/>
      </c>
      <c r="W50" s="582">
        <v>0</v>
      </c>
      <c r="X50" s="580"/>
      <c r="Y50" s="583">
        <f>IF(GLOBAL_DER_FEV_2023!W50=0,0,IF(GLOBAL_DER_FEV_2023!W50&gt;0,"c","b"))</f>
        <v>0</v>
      </c>
    </row>
    <row r="51" spans="1:25" ht="15" customHeight="1" x14ac:dyDescent="0.2">
      <c r="A51" s="640" t="s">
        <v>165</v>
      </c>
      <c r="B51" s="1036" t="str">
        <f>GLOBAL_DER_FEV_2023!B51</f>
        <v/>
      </c>
      <c r="C51" s="1072" t="str">
        <f>GLOBAL_DER_FEV_2023!C51</f>
        <v/>
      </c>
      <c r="D51" s="1141">
        <f>GLOBAL_DER_FEV_2023!D51</f>
        <v>0</v>
      </c>
      <c r="E51" s="907">
        <f>GLOBAL_DER_FEV_2023!E51</f>
        <v>0</v>
      </c>
      <c r="F51" s="908">
        <f>GLOBAL_DER_FEV_2023!F51</f>
        <v>0</v>
      </c>
      <c r="G51" s="912">
        <f>GLOBAL_DER_FEV_2023!G51</f>
        <v>0</v>
      </c>
      <c r="H51" s="901">
        <f>GLOBAL_DER_FEV_2023!H51</f>
        <v>0</v>
      </c>
      <c r="I51" s="901">
        <f>GLOBAL_DER_FEV_2023!I51</f>
        <v>0</v>
      </c>
      <c r="J51" s="890">
        <f>GLOBAL_DER_FEV_2023!J51</f>
        <v>0</v>
      </c>
      <c r="K51" s="903" t="str">
        <f>GLOBAL_DER_FEV_2023!K51</f>
        <v xml:space="preserve">     </v>
      </c>
      <c r="L51" s="1137"/>
      <c r="M51" s="1140">
        <f t="shared" si="3"/>
        <v>0</v>
      </c>
      <c r="N51" s="584">
        <f t="shared" si="5"/>
        <v>0</v>
      </c>
      <c r="O51" s="905"/>
      <c r="Q51" s="317" t="str">
        <f t="shared" si="0"/>
        <v/>
      </c>
      <c r="R51" s="317" t="str">
        <f t="shared" si="1"/>
        <v/>
      </c>
      <c r="S51" s="317" t="str">
        <f t="shared" si="2"/>
        <v/>
      </c>
      <c r="T51" s="317" t="str">
        <f>GLOBAL_DER_FEV_2023!S51</f>
        <v/>
      </c>
      <c r="W51" s="582">
        <v>0</v>
      </c>
      <c r="X51" s="580"/>
      <c r="Y51" s="583">
        <f>IF(GLOBAL_DER_FEV_2023!W51=0,0,IF(GLOBAL_DER_FEV_2023!W51&gt;0,"c","b"))</f>
        <v>0</v>
      </c>
    </row>
    <row r="52" spans="1:25" ht="15" customHeight="1" x14ac:dyDescent="0.2">
      <c r="A52" s="640" t="s">
        <v>165</v>
      </c>
      <c r="B52" s="1036" t="str">
        <f>GLOBAL_DER_FEV_2023!B52</f>
        <v/>
      </c>
      <c r="C52" s="1072" t="str">
        <f>GLOBAL_DER_FEV_2023!C52</f>
        <v/>
      </c>
      <c r="D52" s="1141">
        <f>GLOBAL_DER_FEV_2023!D52</f>
        <v>0</v>
      </c>
      <c r="E52" s="907">
        <f>GLOBAL_DER_FEV_2023!E52</f>
        <v>0</v>
      </c>
      <c r="F52" s="908">
        <f>GLOBAL_DER_FEV_2023!F52</f>
        <v>0</v>
      </c>
      <c r="G52" s="912">
        <f>GLOBAL_DER_FEV_2023!G52</f>
        <v>0</v>
      </c>
      <c r="H52" s="901">
        <f>GLOBAL_DER_FEV_2023!H52</f>
        <v>0</v>
      </c>
      <c r="I52" s="901">
        <f>GLOBAL_DER_FEV_2023!I52</f>
        <v>0</v>
      </c>
      <c r="J52" s="890">
        <f>GLOBAL_DER_FEV_2023!J52</f>
        <v>0</v>
      </c>
      <c r="K52" s="903" t="str">
        <f>GLOBAL_DER_FEV_2023!K52</f>
        <v xml:space="preserve">     </v>
      </c>
      <c r="L52" s="1137"/>
      <c r="M52" s="1140">
        <f t="shared" si="3"/>
        <v>0</v>
      </c>
      <c r="N52" s="584">
        <f t="shared" si="5"/>
        <v>0</v>
      </c>
      <c r="O52" s="905"/>
      <c r="Q52" s="317" t="str">
        <f t="shared" si="0"/>
        <v/>
      </c>
      <c r="R52" s="317" t="str">
        <f t="shared" si="1"/>
        <v/>
      </c>
      <c r="S52" s="317" t="str">
        <f t="shared" si="2"/>
        <v/>
      </c>
      <c r="T52" s="317" t="str">
        <f>GLOBAL_DER_FEV_2023!S52</f>
        <v/>
      </c>
      <c r="W52" s="582">
        <v>0</v>
      </c>
      <c r="X52" s="580"/>
      <c r="Y52" s="583">
        <f>IF(GLOBAL_DER_FEV_2023!W52=0,0,IF(GLOBAL_DER_FEV_2023!W52&gt;0,"c","b"))</f>
        <v>0</v>
      </c>
    </row>
    <row r="53" spans="1:25" ht="15" customHeight="1" x14ac:dyDescent="0.2">
      <c r="A53" s="640" t="s">
        <v>165</v>
      </c>
      <c r="B53" s="1036" t="str">
        <f>GLOBAL_DER_FEV_2023!B53</f>
        <v/>
      </c>
      <c r="C53" s="1072" t="str">
        <f>GLOBAL_DER_FEV_2023!C53</f>
        <v/>
      </c>
      <c r="D53" s="1141">
        <f>GLOBAL_DER_FEV_2023!D53</f>
        <v>0</v>
      </c>
      <c r="E53" s="907">
        <f>GLOBAL_DER_FEV_2023!E53</f>
        <v>0</v>
      </c>
      <c r="F53" s="908">
        <f>GLOBAL_DER_FEV_2023!F53</f>
        <v>0</v>
      </c>
      <c r="G53" s="912">
        <f>GLOBAL_DER_FEV_2023!G53</f>
        <v>0</v>
      </c>
      <c r="H53" s="901">
        <f>GLOBAL_DER_FEV_2023!H53</f>
        <v>0</v>
      </c>
      <c r="I53" s="901">
        <f>GLOBAL_DER_FEV_2023!I53</f>
        <v>0</v>
      </c>
      <c r="J53" s="890">
        <f>GLOBAL_DER_FEV_2023!J53</f>
        <v>0</v>
      </c>
      <c r="K53" s="903" t="str">
        <f>GLOBAL_DER_FEV_2023!K53</f>
        <v xml:space="preserve">     </v>
      </c>
      <c r="L53" s="1137"/>
      <c r="M53" s="1140">
        <f t="shared" si="3"/>
        <v>0</v>
      </c>
      <c r="N53" s="584">
        <f t="shared" si="5"/>
        <v>0</v>
      </c>
      <c r="O53" s="905"/>
      <c r="Q53" s="317" t="str">
        <f t="shared" si="0"/>
        <v/>
      </c>
      <c r="R53" s="317" t="str">
        <f t="shared" si="1"/>
        <v/>
      </c>
      <c r="S53" s="317" t="str">
        <f t="shared" si="2"/>
        <v/>
      </c>
      <c r="T53" s="317" t="str">
        <f>GLOBAL_DER_FEV_2023!S53</f>
        <v/>
      </c>
      <c r="W53" s="582">
        <v>0</v>
      </c>
      <c r="X53" s="580"/>
      <c r="Y53" s="583">
        <f>IF(GLOBAL_DER_FEV_2023!W53=0,0,IF(GLOBAL_DER_FEV_2023!W53&gt;0,"c","b"))</f>
        <v>0</v>
      </c>
    </row>
    <row r="54" spans="1:25" ht="15" customHeight="1" x14ac:dyDescent="0.2">
      <c r="A54" s="640" t="s">
        <v>165</v>
      </c>
      <c r="B54" s="1036" t="str">
        <f>GLOBAL_DER_FEV_2023!B54</f>
        <v/>
      </c>
      <c r="C54" s="1072" t="str">
        <f>GLOBAL_DER_FEV_2023!C54</f>
        <v/>
      </c>
      <c r="D54" s="1141">
        <f>GLOBAL_DER_FEV_2023!D54</f>
        <v>0</v>
      </c>
      <c r="E54" s="907">
        <f>GLOBAL_DER_FEV_2023!E54</f>
        <v>0</v>
      </c>
      <c r="F54" s="908">
        <f>GLOBAL_DER_FEV_2023!F54</f>
        <v>0</v>
      </c>
      <c r="G54" s="912">
        <f>GLOBAL_DER_FEV_2023!G54</f>
        <v>0</v>
      </c>
      <c r="H54" s="901">
        <f>GLOBAL_DER_FEV_2023!H54</f>
        <v>0</v>
      </c>
      <c r="I54" s="901">
        <f>GLOBAL_DER_FEV_2023!I54</f>
        <v>0</v>
      </c>
      <c r="J54" s="890">
        <f>GLOBAL_DER_FEV_2023!J54</f>
        <v>0</v>
      </c>
      <c r="K54" s="903" t="str">
        <f>GLOBAL_DER_FEV_2023!K54</f>
        <v xml:space="preserve">     </v>
      </c>
      <c r="L54" s="1137"/>
      <c r="M54" s="1140">
        <f t="shared" si="3"/>
        <v>0</v>
      </c>
      <c r="N54" s="584">
        <f t="shared" si="5"/>
        <v>0</v>
      </c>
      <c r="O54" s="905"/>
      <c r="Q54" s="317" t="str">
        <f t="shared" si="0"/>
        <v/>
      </c>
      <c r="R54" s="317" t="str">
        <f t="shared" si="1"/>
        <v/>
      </c>
      <c r="S54" s="317" t="str">
        <f t="shared" si="2"/>
        <v/>
      </c>
      <c r="T54" s="317" t="str">
        <f>GLOBAL_DER_FEV_2023!S54</f>
        <v/>
      </c>
      <c r="W54" s="582">
        <v>0</v>
      </c>
      <c r="X54" s="580"/>
      <c r="Y54" s="583">
        <f>IF(GLOBAL_DER_FEV_2023!W54=0,0,IF(GLOBAL_DER_FEV_2023!W54&gt;0,"c","b"))</f>
        <v>0</v>
      </c>
    </row>
    <row r="55" spans="1:25" ht="15" customHeight="1" x14ac:dyDescent="0.2">
      <c r="A55" s="640" t="s">
        <v>165</v>
      </c>
      <c r="B55" s="1036" t="str">
        <f>GLOBAL_DER_FEV_2023!B55</f>
        <v/>
      </c>
      <c r="C55" s="1072" t="str">
        <f>GLOBAL_DER_FEV_2023!C55</f>
        <v/>
      </c>
      <c r="D55" s="1141">
        <f>GLOBAL_DER_FEV_2023!D55</f>
        <v>0</v>
      </c>
      <c r="E55" s="907">
        <f>GLOBAL_DER_FEV_2023!E55</f>
        <v>0</v>
      </c>
      <c r="F55" s="908">
        <f>GLOBAL_DER_FEV_2023!F55</f>
        <v>0</v>
      </c>
      <c r="G55" s="912">
        <f>GLOBAL_DER_FEV_2023!G55</f>
        <v>0</v>
      </c>
      <c r="H55" s="901">
        <f>GLOBAL_DER_FEV_2023!H55</f>
        <v>0</v>
      </c>
      <c r="I55" s="901">
        <f>GLOBAL_DER_FEV_2023!I55</f>
        <v>0</v>
      </c>
      <c r="J55" s="890">
        <f>GLOBAL_DER_FEV_2023!J55</f>
        <v>0</v>
      </c>
      <c r="K55" s="903" t="str">
        <f>GLOBAL_DER_FEV_2023!K55</f>
        <v xml:space="preserve">     </v>
      </c>
      <c r="L55" s="1137"/>
      <c r="M55" s="1140">
        <f t="shared" si="3"/>
        <v>0</v>
      </c>
      <c r="N55" s="584">
        <f t="shared" si="5"/>
        <v>0</v>
      </c>
      <c r="O55" s="905"/>
      <c r="Q55" s="317" t="str">
        <f t="shared" si="0"/>
        <v/>
      </c>
      <c r="R55" s="317" t="str">
        <f t="shared" si="1"/>
        <v/>
      </c>
      <c r="S55" s="317" t="str">
        <f t="shared" si="2"/>
        <v/>
      </c>
      <c r="T55" s="317" t="str">
        <f>GLOBAL_DER_FEV_2023!S55</f>
        <v/>
      </c>
      <c r="W55" s="582">
        <v>0</v>
      </c>
      <c r="X55" s="580"/>
      <c r="Y55" s="583">
        <f>IF(GLOBAL_DER_FEV_2023!W55=0,0,IF(GLOBAL_DER_FEV_2023!W55&gt;0,"c","b"))</f>
        <v>0</v>
      </c>
    </row>
    <row r="56" spans="1:25" ht="15" customHeight="1" x14ac:dyDescent="0.2">
      <c r="A56" s="640" t="s">
        <v>165</v>
      </c>
      <c r="B56" s="1036" t="str">
        <f>GLOBAL_DER_FEV_2023!B56</f>
        <v/>
      </c>
      <c r="C56" s="1072" t="str">
        <f>GLOBAL_DER_FEV_2023!C56</f>
        <v/>
      </c>
      <c r="D56" s="1141">
        <f>GLOBAL_DER_FEV_2023!D56</f>
        <v>0</v>
      </c>
      <c r="E56" s="907">
        <f>GLOBAL_DER_FEV_2023!E56</f>
        <v>0</v>
      </c>
      <c r="F56" s="908">
        <f>GLOBAL_DER_FEV_2023!F56</f>
        <v>0</v>
      </c>
      <c r="G56" s="912">
        <f>GLOBAL_DER_FEV_2023!G56</f>
        <v>0</v>
      </c>
      <c r="H56" s="901">
        <f>GLOBAL_DER_FEV_2023!H56</f>
        <v>0</v>
      </c>
      <c r="I56" s="901">
        <f>GLOBAL_DER_FEV_2023!I56</f>
        <v>0</v>
      </c>
      <c r="J56" s="890">
        <f>GLOBAL_DER_FEV_2023!J56</f>
        <v>0</v>
      </c>
      <c r="K56" s="903" t="str">
        <f>GLOBAL_DER_FEV_2023!K56</f>
        <v xml:space="preserve">     </v>
      </c>
      <c r="L56" s="1137"/>
      <c r="M56" s="1140">
        <f t="shared" si="3"/>
        <v>0</v>
      </c>
      <c r="N56" s="584">
        <f t="shared" si="5"/>
        <v>0</v>
      </c>
      <c r="O56" s="905"/>
      <c r="Q56" s="317" t="str">
        <f t="shared" si="0"/>
        <v/>
      </c>
      <c r="R56" s="317" t="str">
        <f t="shared" si="1"/>
        <v/>
      </c>
      <c r="S56" s="317" t="str">
        <f t="shared" si="2"/>
        <v/>
      </c>
      <c r="T56" s="317" t="str">
        <f>GLOBAL_DER_FEV_2023!S56</f>
        <v/>
      </c>
      <c r="W56" s="582">
        <v>0</v>
      </c>
      <c r="X56" s="580"/>
      <c r="Y56" s="583">
        <f>IF(GLOBAL_DER_FEV_2023!W56=0,0,IF(GLOBAL_DER_FEV_2023!W56&gt;0,"c","b"))</f>
        <v>0</v>
      </c>
    </row>
    <row r="57" spans="1:25" ht="15" customHeight="1" x14ac:dyDescent="0.2">
      <c r="A57" s="640" t="s">
        <v>165</v>
      </c>
      <c r="B57" s="1036" t="str">
        <f>GLOBAL_DER_FEV_2023!B57</f>
        <v/>
      </c>
      <c r="C57" s="1072" t="str">
        <f>GLOBAL_DER_FEV_2023!C57</f>
        <v/>
      </c>
      <c r="D57" s="1141">
        <f>GLOBAL_DER_FEV_2023!D57</f>
        <v>0</v>
      </c>
      <c r="E57" s="907">
        <f>GLOBAL_DER_FEV_2023!E57</f>
        <v>0</v>
      </c>
      <c r="F57" s="908">
        <f>GLOBAL_DER_FEV_2023!F57</f>
        <v>0</v>
      </c>
      <c r="G57" s="912">
        <f>GLOBAL_DER_FEV_2023!G57</f>
        <v>0</v>
      </c>
      <c r="H57" s="901">
        <f>GLOBAL_DER_FEV_2023!H57</f>
        <v>0</v>
      </c>
      <c r="I57" s="901">
        <f>GLOBAL_DER_FEV_2023!I57</f>
        <v>0</v>
      </c>
      <c r="J57" s="890">
        <f>GLOBAL_DER_FEV_2023!J57</f>
        <v>0</v>
      </c>
      <c r="K57" s="903" t="str">
        <f>GLOBAL_DER_FEV_2023!K57</f>
        <v xml:space="preserve">     </v>
      </c>
      <c r="L57" s="1137"/>
      <c r="M57" s="1140">
        <f t="shared" si="3"/>
        <v>0</v>
      </c>
      <c r="N57" s="584">
        <f t="shared" si="5"/>
        <v>0</v>
      </c>
      <c r="O57" s="905"/>
      <c r="Q57" s="317" t="str">
        <f t="shared" si="0"/>
        <v/>
      </c>
      <c r="R57" s="317" t="str">
        <f t="shared" si="1"/>
        <v/>
      </c>
      <c r="S57" s="317" t="str">
        <f t="shared" si="2"/>
        <v/>
      </c>
      <c r="T57" s="317" t="str">
        <f>GLOBAL_DER_FEV_2023!S57</f>
        <v/>
      </c>
      <c r="W57" s="582">
        <v>0</v>
      </c>
      <c r="X57" s="580"/>
      <c r="Y57" s="583">
        <f>IF(GLOBAL_DER_FEV_2023!W57=0,0,IF(GLOBAL_DER_FEV_2023!W57&gt;0,"c","b"))</f>
        <v>0</v>
      </c>
    </row>
    <row r="58" spans="1:25" ht="15" customHeight="1" x14ac:dyDescent="0.2">
      <c r="A58" s="640" t="s">
        <v>165</v>
      </c>
      <c r="B58" s="1036" t="str">
        <f>GLOBAL_DER_FEV_2023!B58</f>
        <v/>
      </c>
      <c r="C58" s="1072" t="str">
        <f>GLOBAL_DER_FEV_2023!C58</f>
        <v/>
      </c>
      <c r="D58" s="1141">
        <f>GLOBAL_DER_FEV_2023!D58</f>
        <v>0</v>
      </c>
      <c r="E58" s="907">
        <f>GLOBAL_DER_FEV_2023!E58</f>
        <v>0</v>
      </c>
      <c r="F58" s="908">
        <f>GLOBAL_DER_FEV_2023!F58</f>
        <v>0</v>
      </c>
      <c r="G58" s="912">
        <f>GLOBAL_DER_FEV_2023!G58</f>
        <v>0</v>
      </c>
      <c r="H58" s="901">
        <f>GLOBAL_DER_FEV_2023!H58</f>
        <v>0</v>
      </c>
      <c r="I58" s="901">
        <f>GLOBAL_DER_FEV_2023!I58</f>
        <v>0</v>
      </c>
      <c r="J58" s="890">
        <f>GLOBAL_DER_FEV_2023!J58</f>
        <v>0</v>
      </c>
      <c r="K58" s="903" t="str">
        <f>GLOBAL_DER_FEV_2023!K58</f>
        <v xml:space="preserve">     </v>
      </c>
      <c r="L58" s="1137"/>
      <c r="M58" s="1140">
        <f t="shared" si="3"/>
        <v>0</v>
      </c>
      <c r="N58" s="584">
        <f t="shared" si="5"/>
        <v>0</v>
      </c>
      <c r="O58" s="905"/>
      <c r="Q58" s="317" t="str">
        <f t="shared" si="0"/>
        <v/>
      </c>
      <c r="R58" s="317" t="str">
        <f t="shared" si="1"/>
        <v/>
      </c>
      <c r="S58" s="317" t="str">
        <f t="shared" si="2"/>
        <v/>
      </c>
      <c r="T58" s="317" t="str">
        <f>GLOBAL_DER_FEV_2023!S58</f>
        <v/>
      </c>
      <c r="W58" s="582">
        <v>0</v>
      </c>
      <c r="X58" s="580"/>
      <c r="Y58" s="583">
        <f>IF(GLOBAL_DER_FEV_2023!W58=0,0,IF(GLOBAL_DER_FEV_2023!W58&gt;0,"c","b"))</f>
        <v>0</v>
      </c>
    </row>
    <row r="59" spans="1:25" ht="15" customHeight="1" x14ac:dyDescent="0.2">
      <c r="A59" s="640" t="s">
        <v>165</v>
      </c>
      <c r="B59" s="1036" t="str">
        <f>GLOBAL_DER_FEV_2023!B59</f>
        <v/>
      </c>
      <c r="C59" s="1072" t="str">
        <f>GLOBAL_DER_FEV_2023!C59</f>
        <v/>
      </c>
      <c r="D59" s="1141">
        <f>GLOBAL_DER_FEV_2023!D59</f>
        <v>0</v>
      </c>
      <c r="E59" s="907">
        <f>GLOBAL_DER_FEV_2023!E59</f>
        <v>0</v>
      </c>
      <c r="F59" s="908">
        <f>GLOBAL_DER_FEV_2023!F59</f>
        <v>0</v>
      </c>
      <c r="G59" s="912">
        <f>GLOBAL_DER_FEV_2023!G59</f>
        <v>0</v>
      </c>
      <c r="H59" s="901">
        <f>GLOBAL_DER_FEV_2023!H59</f>
        <v>0</v>
      </c>
      <c r="I59" s="901">
        <f>GLOBAL_DER_FEV_2023!I59</f>
        <v>0</v>
      </c>
      <c r="J59" s="890">
        <f>GLOBAL_DER_FEV_2023!J59</f>
        <v>0</v>
      </c>
      <c r="K59" s="903" t="str">
        <f>GLOBAL_DER_FEV_2023!K59</f>
        <v xml:space="preserve">     </v>
      </c>
      <c r="L59" s="1137"/>
      <c r="M59" s="1140">
        <f t="shared" si="3"/>
        <v>0</v>
      </c>
      <c r="N59" s="584">
        <f t="shared" si="5"/>
        <v>0</v>
      </c>
      <c r="O59" s="905"/>
      <c r="Q59" s="317" t="str">
        <f t="shared" si="0"/>
        <v/>
      </c>
      <c r="R59" s="317" t="str">
        <f t="shared" si="1"/>
        <v/>
      </c>
      <c r="S59" s="317" t="str">
        <f t="shared" si="2"/>
        <v/>
      </c>
      <c r="T59" s="317" t="str">
        <f>GLOBAL_DER_FEV_2023!S59</f>
        <v/>
      </c>
      <c r="W59" s="582">
        <v>0</v>
      </c>
      <c r="X59" s="580"/>
      <c r="Y59" s="583">
        <f>IF(GLOBAL_DER_FEV_2023!W59=0,0,IF(GLOBAL_DER_FEV_2023!W59&gt;0,"c","b"))</f>
        <v>0</v>
      </c>
    </row>
    <row r="60" spans="1:25" ht="15" customHeight="1" x14ac:dyDescent="0.2">
      <c r="A60" s="640" t="s">
        <v>165</v>
      </c>
      <c r="B60" s="1036" t="str">
        <f>GLOBAL_DER_FEV_2023!B60</f>
        <v/>
      </c>
      <c r="C60" s="1072" t="str">
        <f>GLOBAL_DER_FEV_2023!C60</f>
        <v/>
      </c>
      <c r="D60" s="1141">
        <f>GLOBAL_DER_FEV_2023!D60</f>
        <v>0</v>
      </c>
      <c r="E60" s="907">
        <f>GLOBAL_DER_FEV_2023!E60</f>
        <v>0</v>
      </c>
      <c r="F60" s="908">
        <f>GLOBAL_DER_FEV_2023!F60</f>
        <v>0</v>
      </c>
      <c r="G60" s="912">
        <f>GLOBAL_DER_FEV_2023!G60</f>
        <v>0</v>
      </c>
      <c r="H60" s="901">
        <f>GLOBAL_DER_FEV_2023!H60</f>
        <v>0</v>
      </c>
      <c r="I60" s="901">
        <f>GLOBAL_DER_FEV_2023!I60</f>
        <v>0</v>
      </c>
      <c r="J60" s="890">
        <f>GLOBAL_DER_FEV_2023!J60</f>
        <v>0</v>
      </c>
      <c r="K60" s="903" t="str">
        <f>GLOBAL_DER_FEV_2023!K60</f>
        <v xml:space="preserve">     </v>
      </c>
      <c r="L60" s="1137"/>
      <c r="M60" s="1140">
        <f t="shared" si="3"/>
        <v>0</v>
      </c>
      <c r="N60" s="584">
        <f t="shared" si="5"/>
        <v>0</v>
      </c>
      <c r="O60" s="905"/>
      <c r="Q60" s="317" t="str">
        <f t="shared" si="0"/>
        <v/>
      </c>
      <c r="R60" s="317" t="str">
        <f t="shared" si="1"/>
        <v/>
      </c>
      <c r="S60" s="317" t="str">
        <f t="shared" si="2"/>
        <v/>
      </c>
      <c r="T60" s="317" t="str">
        <f>GLOBAL_DER_FEV_2023!S60</f>
        <v/>
      </c>
      <c r="W60" s="582">
        <v>0</v>
      </c>
      <c r="X60" s="580"/>
      <c r="Y60" s="583">
        <f>IF(GLOBAL_DER_FEV_2023!W60=0,0,IF(GLOBAL_DER_FEV_2023!W60&gt;0,"c","b"))</f>
        <v>0</v>
      </c>
    </row>
    <row r="61" spans="1:25" ht="15" customHeight="1" x14ac:dyDescent="0.2">
      <c r="A61" s="640" t="s">
        <v>165</v>
      </c>
      <c r="B61" s="1036" t="str">
        <f>GLOBAL_DER_FEV_2023!B61</f>
        <v/>
      </c>
      <c r="C61" s="1072" t="str">
        <f>GLOBAL_DER_FEV_2023!C61</f>
        <v/>
      </c>
      <c r="D61" s="1141">
        <f>GLOBAL_DER_FEV_2023!D61</f>
        <v>0</v>
      </c>
      <c r="E61" s="907">
        <f>GLOBAL_DER_FEV_2023!E61</f>
        <v>0</v>
      </c>
      <c r="F61" s="908">
        <f>GLOBAL_DER_FEV_2023!F61</f>
        <v>0</v>
      </c>
      <c r="G61" s="912">
        <f>GLOBAL_DER_FEV_2023!G61</f>
        <v>0</v>
      </c>
      <c r="H61" s="901">
        <f>GLOBAL_DER_FEV_2023!H61</f>
        <v>0</v>
      </c>
      <c r="I61" s="901">
        <f>GLOBAL_DER_FEV_2023!I61</f>
        <v>0</v>
      </c>
      <c r="J61" s="890">
        <f>GLOBAL_DER_FEV_2023!J61</f>
        <v>0</v>
      </c>
      <c r="K61" s="903" t="str">
        <f>GLOBAL_DER_FEV_2023!K61</f>
        <v xml:space="preserve">     </v>
      </c>
      <c r="L61" s="1137"/>
      <c r="M61" s="1140">
        <f t="shared" si="3"/>
        <v>0</v>
      </c>
      <c r="N61" s="584">
        <f t="shared" si="5"/>
        <v>0</v>
      </c>
      <c r="O61" s="905"/>
      <c r="Q61" s="317" t="str">
        <f t="shared" si="0"/>
        <v/>
      </c>
      <c r="R61" s="317" t="str">
        <f t="shared" si="1"/>
        <v/>
      </c>
      <c r="S61" s="317" t="str">
        <f t="shared" si="2"/>
        <v/>
      </c>
      <c r="T61" s="317" t="str">
        <f>GLOBAL_DER_FEV_2023!S61</f>
        <v/>
      </c>
      <c r="W61" s="582">
        <v>0</v>
      </c>
      <c r="X61" s="580"/>
      <c r="Y61" s="583">
        <f>IF(GLOBAL_DER_FEV_2023!W61=0,0,IF(GLOBAL_DER_FEV_2023!W61&gt;0,"c","b"))</f>
        <v>0</v>
      </c>
    </row>
    <row r="62" spans="1:25" ht="15" customHeight="1" x14ac:dyDescent="0.2">
      <c r="A62" s="640" t="s">
        <v>165</v>
      </c>
      <c r="B62" s="1036" t="str">
        <f>GLOBAL_DER_FEV_2023!B62</f>
        <v/>
      </c>
      <c r="C62" s="1072" t="str">
        <f>GLOBAL_DER_FEV_2023!C62</f>
        <v/>
      </c>
      <c r="D62" s="1141">
        <f>GLOBAL_DER_FEV_2023!D62</f>
        <v>0</v>
      </c>
      <c r="E62" s="907">
        <f>GLOBAL_DER_FEV_2023!E62</f>
        <v>0</v>
      </c>
      <c r="F62" s="908">
        <f>GLOBAL_DER_FEV_2023!F62</f>
        <v>0</v>
      </c>
      <c r="G62" s="912">
        <f>GLOBAL_DER_FEV_2023!G62</f>
        <v>0</v>
      </c>
      <c r="H62" s="901">
        <f>GLOBAL_DER_FEV_2023!H62</f>
        <v>0</v>
      </c>
      <c r="I62" s="901">
        <f>GLOBAL_DER_FEV_2023!I62</f>
        <v>0</v>
      </c>
      <c r="J62" s="890">
        <f>GLOBAL_DER_FEV_2023!J62</f>
        <v>0</v>
      </c>
      <c r="K62" s="903" t="str">
        <f>GLOBAL_DER_FEV_2023!K62</f>
        <v xml:space="preserve">     </v>
      </c>
      <c r="L62" s="1137"/>
      <c r="M62" s="1140">
        <f t="shared" si="3"/>
        <v>0</v>
      </c>
      <c r="N62" s="584">
        <f t="shared" si="5"/>
        <v>0</v>
      </c>
      <c r="O62" s="905"/>
      <c r="Q62" s="317" t="str">
        <f t="shared" si="0"/>
        <v/>
      </c>
      <c r="R62" s="317" t="str">
        <f t="shared" si="1"/>
        <v/>
      </c>
      <c r="S62" s="317" t="str">
        <f t="shared" si="2"/>
        <v/>
      </c>
      <c r="T62" s="317" t="str">
        <f>GLOBAL_DER_FEV_2023!S62</f>
        <v/>
      </c>
      <c r="W62" s="582">
        <v>0</v>
      </c>
      <c r="X62" s="580"/>
      <c r="Y62" s="583">
        <f>IF(GLOBAL_DER_FEV_2023!W62=0,0,IF(GLOBAL_DER_FEV_2023!W62&gt;0,"c","b"))</f>
        <v>0</v>
      </c>
    </row>
    <row r="63" spans="1:25" ht="15" customHeight="1" x14ac:dyDescent="0.2">
      <c r="A63" s="640" t="s">
        <v>165</v>
      </c>
      <c r="B63" s="1036" t="str">
        <f>GLOBAL_DER_FEV_2023!B63</f>
        <v/>
      </c>
      <c r="C63" s="1072" t="str">
        <f>GLOBAL_DER_FEV_2023!C63</f>
        <v/>
      </c>
      <c r="D63" s="1141">
        <f>GLOBAL_DER_FEV_2023!D63</f>
        <v>0</v>
      </c>
      <c r="E63" s="907">
        <f>GLOBAL_DER_FEV_2023!E63</f>
        <v>0</v>
      </c>
      <c r="F63" s="908">
        <f>GLOBAL_DER_FEV_2023!F63</f>
        <v>0</v>
      </c>
      <c r="G63" s="912">
        <f>GLOBAL_DER_FEV_2023!G63</f>
        <v>0</v>
      </c>
      <c r="H63" s="901">
        <f>GLOBAL_DER_FEV_2023!H63</f>
        <v>0</v>
      </c>
      <c r="I63" s="901">
        <f>GLOBAL_DER_FEV_2023!I63</f>
        <v>0</v>
      </c>
      <c r="J63" s="890">
        <f>GLOBAL_DER_FEV_2023!J63</f>
        <v>0</v>
      </c>
      <c r="K63" s="903" t="str">
        <f>GLOBAL_DER_FEV_2023!K63</f>
        <v xml:space="preserve">     </v>
      </c>
      <c r="L63" s="1137"/>
      <c r="M63" s="1140">
        <f t="shared" si="3"/>
        <v>0</v>
      </c>
      <c r="N63" s="584">
        <f t="shared" si="5"/>
        <v>0</v>
      </c>
      <c r="O63" s="905"/>
      <c r="Q63" s="317" t="str">
        <f t="shared" si="0"/>
        <v/>
      </c>
      <c r="R63" s="317" t="str">
        <f t="shared" si="1"/>
        <v/>
      </c>
      <c r="S63" s="317" t="str">
        <f t="shared" si="2"/>
        <v/>
      </c>
      <c r="T63" s="317" t="str">
        <f>GLOBAL_DER_FEV_2023!S63</f>
        <v/>
      </c>
      <c r="W63" s="582">
        <v>0</v>
      </c>
      <c r="X63" s="580"/>
      <c r="Y63" s="583">
        <f>IF(GLOBAL_DER_FEV_2023!W63=0,0,IF(GLOBAL_DER_FEV_2023!W63&gt;0,"c","b"))</f>
        <v>0</v>
      </c>
    </row>
    <row r="64" spans="1:25" ht="15" customHeight="1" x14ac:dyDescent="0.2">
      <c r="A64" s="640" t="s">
        <v>165</v>
      </c>
      <c r="B64" s="1036" t="str">
        <f>GLOBAL_DER_FEV_2023!B64</f>
        <v/>
      </c>
      <c r="C64" s="1072" t="str">
        <f>GLOBAL_DER_FEV_2023!C64</f>
        <v/>
      </c>
      <c r="D64" s="1141">
        <f>GLOBAL_DER_FEV_2023!D64</f>
        <v>0</v>
      </c>
      <c r="E64" s="907">
        <f>GLOBAL_DER_FEV_2023!E64</f>
        <v>0</v>
      </c>
      <c r="F64" s="908">
        <f>GLOBAL_DER_FEV_2023!F64</f>
        <v>0</v>
      </c>
      <c r="G64" s="912">
        <f>GLOBAL_DER_FEV_2023!G64</f>
        <v>0</v>
      </c>
      <c r="H64" s="901">
        <f>GLOBAL_DER_FEV_2023!H64</f>
        <v>0</v>
      </c>
      <c r="I64" s="901">
        <f>GLOBAL_DER_FEV_2023!I64</f>
        <v>0</v>
      </c>
      <c r="J64" s="890">
        <f>GLOBAL_DER_FEV_2023!J64</f>
        <v>0</v>
      </c>
      <c r="K64" s="903" t="str">
        <f>GLOBAL_DER_FEV_2023!K64</f>
        <v xml:space="preserve">     </v>
      </c>
      <c r="L64" s="1137"/>
      <c r="M64" s="1140">
        <f t="shared" si="3"/>
        <v>0</v>
      </c>
      <c r="N64" s="584">
        <f t="shared" si="5"/>
        <v>0</v>
      </c>
      <c r="O64" s="905"/>
      <c r="Q64" s="317" t="str">
        <f t="shared" si="0"/>
        <v/>
      </c>
      <c r="R64" s="317" t="str">
        <f t="shared" si="1"/>
        <v/>
      </c>
      <c r="S64" s="317" t="str">
        <f t="shared" si="2"/>
        <v/>
      </c>
      <c r="T64" s="317" t="str">
        <f>GLOBAL_DER_FEV_2023!S64</f>
        <v/>
      </c>
      <c r="W64" s="582">
        <v>0</v>
      </c>
      <c r="X64" s="580"/>
      <c r="Y64" s="583">
        <f>IF(GLOBAL_DER_FEV_2023!W64=0,0,IF(GLOBAL_DER_FEV_2023!W64&gt;0,"c","b"))</f>
        <v>0</v>
      </c>
    </row>
    <row r="65" spans="1:25" ht="15" customHeight="1" x14ac:dyDescent="0.2">
      <c r="A65" s="640" t="s">
        <v>165</v>
      </c>
      <c r="B65" s="1036" t="str">
        <f>GLOBAL_DER_FEV_2023!B65</f>
        <v/>
      </c>
      <c r="C65" s="1072" t="str">
        <f>GLOBAL_DER_FEV_2023!C65</f>
        <v/>
      </c>
      <c r="D65" s="1141">
        <f>GLOBAL_DER_FEV_2023!D65</f>
        <v>0</v>
      </c>
      <c r="E65" s="907">
        <f>GLOBAL_DER_FEV_2023!E65</f>
        <v>0</v>
      </c>
      <c r="F65" s="908">
        <f>GLOBAL_DER_FEV_2023!F65</f>
        <v>0</v>
      </c>
      <c r="G65" s="912">
        <f>GLOBAL_DER_FEV_2023!G65</f>
        <v>0</v>
      </c>
      <c r="H65" s="901">
        <f>GLOBAL_DER_FEV_2023!H65</f>
        <v>0</v>
      </c>
      <c r="I65" s="901">
        <f>GLOBAL_DER_FEV_2023!I65</f>
        <v>0</v>
      </c>
      <c r="J65" s="890">
        <f>GLOBAL_DER_FEV_2023!J65</f>
        <v>0</v>
      </c>
      <c r="K65" s="903" t="str">
        <f>GLOBAL_DER_FEV_2023!K65</f>
        <v xml:space="preserve">     </v>
      </c>
      <c r="L65" s="1137"/>
      <c r="M65" s="1140">
        <f t="shared" si="3"/>
        <v>0</v>
      </c>
      <c r="N65" s="584">
        <f t="shared" si="5"/>
        <v>0</v>
      </c>
      <c r="O65" s="905"/>
      <c r="Q65" s="317" t="str">
        <f t="shared" si="0"/>
        <v/>
      </c>
      <c r="R65" s="317" t="str">
        <f t="shared" si="1"/>
        <v/>
      </c>
      <c r="S65" s="317" t="str">
        <f t="shared" si="2"/>
        <v/>
      </c>
      <c r="T65" s="317" t="str">
        <f>GLOBAL_DER_FEV_2023!S65</f>
        <v/>
      </c>
      <c r="W65" s="582">
        <v>0</v>
      </c>
      <c r="X65" s="580"/>
      <c r="Y65" s="583">
        <f>IF(GLOBAL_DER_FEV_2023!W65=0,0,IF(GLOBAL_DER_FEV_2023!W65&gt;0,"c","b"))</f>
        <v>0</v>
      </c>
    </row>
    <row r="66" spans="1:25" ht="15" customHeight="1" x14ac:dyDescent="0.2">
      <c r="A66" s="640" t="s">
        <v>165</v>
      </c>
      <c r="B66" s="1036" t="str">
        <f>GLOBAL_DER_FEV_2023!B66</f>
        <v/>
      </c>
      <c r="C66" s="1072" t="str">
        <f>GLOBAL_DER_FEV_2023!C66</f>
        <v/>
      </c>
      <c r="D66" s="1141">
        <f>GLOBAL_DER_FEV_2023!D66</f>
        <v>0</v>
      </c>
      <c r="E66" s="907">
        <f>GLOBAL_DER_FEV_2023!E66</f>
        <v>0</v>
      </c>
      <c r="F66" s="908">
        <f>GLOBAL_DER_FEV_2023!F66</f>
        <v>0</v>
      </c>
      <c r="G66" s="912">
        <f>GLOBAL_DER_FEV_2023!G66</f>
        <v>0</v>
      </c>
      <c r="H66" s="901">
        <f>GLOBAL_DER_FEV_2023!H66</f>
        <v>0</v>
      </c>
      <c r="I66" s="901">
        <f>GLOBAL_DER_FEV_2023!I66</f>
        <v>0</v>
      </c>
      <c r="J66" s="890">
        <f>GLOBAL_DER_FEV_2023!J66</f>
        <v>0</v>
      </c>
      <c r="K66" s="903" t="str">
        <f>GLOBAL_DER_FEV_2023!K66</f>
        <v xml:space="preserve">     </v>
      </c>
      <c r="L66" s="1137"/>
      <c r="M66" s="1140">
        <f t="shared" si="3"/>
        <v>0</v>
      </c>
      <c r="N66" s="584">
        <f t="shared" si="5"/>
        <v>0</v>
      </c>
      <c r="O66" s="905"/>
      <c r="Q66" s="317" t="str">
        <f t="shared" si="0"/>
        <v/>
      </c>
      <c r="R66" s="317" t="str">
        <f t="shared" si="1"/>
        <v/>
      </c>
      <c r="S66" s="317" t="str">
        <f t="shared" si="2"/>
        <v/>
      </c>
      <c r="T66" s="317" t="str">
        <f>GLOBAL_DER_FEV_2023!S66</f>
        <v/>
      </c>
      <c r="W66" s="582">
        <v>0</v>
      </c>
      <c r="X66" s="580"/>
      <c r="Y66" s="583">
        <f>IF(GLOBAL_DER_FEV_2023!W66=0,0,IF(GLOBAL_DER_FEV_2023!W66&gt;0,"c","b"))</f>
        <v>0</v>
      </c>
    </row>
    <row r="67" spans="1:25" ht="15" customHeight="1" x14ac:dyDescent="0.2">
      <c r="A67" s="640" t="s">
        <v>165</v>
      </c>
      <c r="B67" s="1036" t="str">
        <f>GLOBAL_DER_FEV_2023!B67</f>
        <v/>
      </c>
      <c r="C67" s="1072" t="str">
        <f>GLOBAL_DER_FEV_2023!C67</f>
        <v/>
      </c>
      <c r="D67" s="1141">
        <f>GLOBAL_DER_FEV_2023!D67</f>
        <v>0</v>
      </c>
      <c r="E67" s="907">
        <f>GLOBAL_DER_FEV_2023!E67</f>
        <v>0</v>
      </c>
      <c r="F67" s="908">
        <f>GLOBAL_DER_FEV_2023!F67</f>
        <v>0</v>
      </c>
      <c r="G67" s="912">
        <f>GLOBAL_DER_FEV_2023!G67</f>
        <v>0</v>
      </c>
      <c r="H67" s="901">
        <f>GLOBAL_DER_FEV_2023!H67</f>
        <v>0</v>
      </c>
      <c r="I67" s="901">
        <f>GLOBAL_DER_FEV_2023!I67</f>
        <v>0</v>
      </c>
      <c r="J67" s="890">
        <f>GLOBAL_DER_FEV_2023!J67</f>
        <v>0</v>
      </c>
      <c r="K67" s="903" t="str">
        <f>GLOBAL_DER_FEV_2023!K67</f>
        <v xml:space="preserve">     </v>
      </c>
      <c r="L67" s="1137"/>
      <c r="M67" s="1140">
        <f t="shared" si="3"/>
        <v>0</v>
      </c>
      <c r="N67" s="584">
        <f t="shared" si="5"/>
        <v>0</v>
      </c>
      <c r="O67" s="905"/>
      <c r="Q67" s="317" t="str">
        <f t="shared" si="0"/>
        <v/>
      </c>
      <c r="R67" s="317" t="str">
        <f t="shared" si="1"/>
        <v/>
      </c>
      <c r="S67" s="317" t="str">
        <f t="shared" si="2"/>
        <v/>
      </c>
      <c r="T67" s="317" t="str">
        <f>GLOBAL_DER_FEV_2023!S67</f>
        <v/>
      </c>
      <c r="W67" s="582">
        <v>0</v>
      </c>
      <c r="X67" s="580"/>
      <c r="Y67" s="583">
        <f>IF(GLOBAL_DER_FEV_2023!W67=0,0,IF(GLOBAL_DER_FEV_2023!W67&gt;0,"c","b"))</f>
        <v>0</v>
      </c>
    </row>
    <row r="68" spans="1:25" ht="15" customHeight="1" thickBot="1" x14ac:dyDescent="0.25">
      <c r="A68" s="640" t="s">
        <v>165</v>
      </c>
      <c r="B68" s="1142" t="str">
        <f>GLOBAL_DER_FEV_2023!B68</f>
        <v/>
      </c>
      <c r="C68" s="1143" t="str">
        <f>GLOBAL_DER_FEV_2023!C68</f>
        <v/>
      </c>
      <c r="D68" s="1144">
        <f>GLOBAL_DER_FEV_2023!D68</f>
        <v>0</v>
      </c>
      <c r="E68" s="907">
        <f>GLOBAL_DER_FEV_2023!E68</f>
        <v>0</v>
      </c>
      <c r="F68" s="908">
        <f>GLOBAL_DER_FEV_2023!F68</f>
        <v>0</v>
      </c>
      <c r="G68" s="968">
        <f>GLOBAL_DER_FEV_2023!G68</f>
        <v>0</v>
      </c>
      <c r="H68" s="940">
        <f>GLOBAL_DER_FEV_2023!H68</f>
        <v>0</v>
      </c>
      <c r="I68" s="940">
        <f>GLOBAL_DER_FEV_2023!I68</f>
        <v>0</v>
      </c>
      <c r="J68" s="941">
        <f>GLOBAL_DER_FEV_2023!J68</f>
        <v>0</v>
      </c>
      <c r="K68" s="970" t="str">
        <f>GLOBAL_DER_FEV_2023!K68</f>
        <v xml:space="preserve">     </v>
      </c>
      <c r="L68" s="1145"/>
      <c r="M68" s="1146">
        <f t="shared" si="3"/>
        <v>0</v>
      </c>
      <c r="N68" s="584">
        <f t="shared" si="5"/>
        <v>0</v>
      </c>
      <c r="O68" s="905"/>
      <c r="Q68" s="317" t="str">
        <f t="shared" si="0"/>
        <v/>
      </c>
      <c r="R68" s="317" t="str">
        <f t="shared" si="1"/>
        <v/>
      </c>
      <c r="S68" s="317" t="str">
        <f t="shared" si="2"/>
        <v/>
      </c>
      <c r="T68" s="317" t="str">
        <f>GLOBAL_DER_FEV_2023!S68</f>
        <v/>
      </c>
      <c r="W68" s="582">
        <v>0</v>
      </c>
      <c r="X68" s="580"/>
      <c r="Y68" s="583">
        <f>IF(GLOBAL_DER_FEV_2023!W68=0,0,IF(GLOBAL_DER_FEV_2023!W68&gt;0,"c","b"))</f>
        <v>0</v>
      </c>
    </row>
    <row r="69" spans="1:25" ht="15" customHeight="1" thickBot="1" x14ac:dyDescent="0.25">
      <c r="A69" s="317" t="s">
        <v>167</v>
      </c>
      <c r="B69" s="1147" t="s">
        <v>167</v>
      </c>
      <c r="C69" s="873"/>
      <c r="D69" s="952" t="s">
        <v>428</v>
      </c>
      <c r="E69" s="943"/>
      <c r="F69" s="1148">
        <f>GLOBAL_DER_FEV_2023!F69</f>
        <v>0</v>
      </c>
      <c r="G69" s="944">
        <f>GLOBAL_DER_FEV_2023!G69</f>
        <v>0</v>
      </c>
      <c r="H69" s="945">
        <f>GLOBAL_DER_FEV_2023!H69</f>
        <v>0</v>
      </c>
      <c r="I69" s="945">
        <f>GLOBAL_DER_FEV_2023!I69</f>
        <v>0</v>
      </c>
      <c r="J69" s="945">
        <f>GLOBAL_DER_FEV_2023!J69</f>
        <v>0</v>
      </c>
      <c r="K69" s="878" t="s">
        <v>507</v>
      </c>
      <c r="L69" s="879"/>
      <c r="M69" s="1149">
        <f t="shared" si="3"/>
        <v>0</v>
      </c>
      <c r="N69" s="881">
        <f t="shared" si="5"/>
        <v>0</v>
      </c>
      <c r="O69" s="882">
        <f>SUM(N70:N116)</f>
        <v>0</v>
      </c>
      <c r="P69" s="58" t="str">
        <f>IF(OR(O69&gt;0,O69&gt;0),"X","")</f>
        <v/>
      </c>
      <c r="Q69" s="317" t="str">
        <f t="shared" si="0"/>
        <v/>
      </c>
      <c r="R69" s="317" t="str">
        <f t="shared" si="1"/>
        <v/>
      </c>
      <c r="S69" s="317" t="str">
        <f t="shared" si="2"/>
        <v/>
      </c>
      <c r="T69" s="317" t="str">
        <f>GLOBAL_DER_FEV_2023!S69</f>
        <v/>
      </c>
      <c r="W69" s="582">
        <v>0</v>
      </c>
      <c r="X69" s="580"/>
      <c r="Y69" s="583">
        <f>IF(GLOBAL_DER_FEV_2023!W69=0,0,IF(GLOBAL_DER_FEV_2023!W69&gt;0,"c","b"))</f>
        <v>0</v>
      </c>
    </row>
    <row r="70" spans="1:25" ht="15" customHeight="1" x14ac:dyDescent="0.2">
      <c r="A70" s="317">
        <v>400500</v>
      </c>
      <c r="B70" s="895" t="s">
        <v>1528</v>
      </c>
      <c r="C70" s="884" t="s">
        <v>184</v>
      </c>
      <c r="D70" s="946" t="s">
        <v>176</v>
      </c>
      <c r="E70" s="1031">
        <f>GLOBAL_DER_FEV_2023!E70</f>
        <v>150</v>
      </c>
      <c r="F70" s="947">
        <f>GLOBAL_DER_FEV_2023!F70</f>
        <v>1.73</v>
      </c>
      <c r="G70" s="948">
        <f>GLOBAL_DER_FEV_2023!G70</f>
        <v>282.3014</v>
      </c>
      <c r="H70" s="889">
        <f>GLOBAL_DER_FEV_2023!H70</f>
        <v>83.83</v>
      </c>
      <c r="I70" s="889">
        <f>GLOBAL_DER_FEV_2023!I70</f>
        <v>366.13139999999999</v>
      </c>
      <c r="J70" s="890">
        <f>GLOBAL_DER_FEV_2023!J70</f>
        <v>439.61</v>
      </c>
      <c r="K70" s="891" t="s">
        <v>10</v>
      </c>
      <c r="L70" s="1137"/>
      <c r="M70" s="1138">
        <f t="shared" si="3"/>
        <v>0</v>
      </c>
      <c r="N70" s="932">
        <f t="shared" si="5"/>
        <v>0</v>
      </c>
      <c r="O70" s="905"/>
      <c r="Q70" s="317" t="str">
        <f t="shared" si="0"/>
        <v/>
      </c>
      <c r="R70" s="317" t="str">
        <f t="shared" si="1"/>
        <v/>
      </c>
      <c r="S70" s="317" t="str">
        <f t="shared" si="2"/>
        <v/>
      </c>
      <c r="T70" s="317" t="str">
        <f>GLOBAL_DER_FEV_2023!S70</f>
        <v/>
      </c>
      <c r="W70" s="582">
        <v>0</v>
      </c>
      <c r="X70" s="580"/>
      <c r="Y70" s="583">
        <f>IF(GLOBAL_DER_FEV_2023!W70=0,0,IF(GLOBAL_DER_FEV_2023!W70&gt;0,"c","b"))</f>
        <v>0</v>
      </c>
    </row>
    <row r="71" spans="1:25" ht="15" customHeight="1" x14ac:dyDescent="0.2">
      <c r="A71" s="317">
        <v>401200</v>
      </c>
      <c r="B71" s="895">
        <v>401200</v>
      </c>
      <c r="C71" s="896" t="s">
        <v>184</v>
      </c>
      <c r="D71" s="906" t="s">
        <v>173</v>
      </c>
      <c r="E71" s="907">
        <f>GLOBAL_DER_FEV_2023!E71</f>
        <v>0</v>
      </c>
      <c r="F71" s="908">
        <f>GLOBAL_DER_FEV_2023!F71</f>
        <v>0</v>
      </c>
      <c r="G71" s="909">
        <f>GLOBAL_DER_FEV_2023!G71</f>
        <v>0</v>
      </c>
      <c r="H71" s="889">
        <f>GLOBAL_DER_FEV_2023!H71</f>
        <v>1.55</v>
      </c>
      <c r="I71" s="901">
        <f>GLOBAL_DER_FEV_2023!I71</f>
        <v>1.55</v>
      </c>
      <c r="J71" s="902">
        <f>GLOBAL_DER_FEV_2023!J71</f>
        <v>1.86</v>
      </c>
      <c r="K71" s="903" t="s">
        <v>10</v>
      </c>
      <c r="L71" s="1137"/>
      <c r="M71" s="1138">
        <f t="shared" si="3"/>
        <v>0</v>
      </c>
      <c r="N71" s="893">
        <f t="shared" si="5"/>
        <v>0</v>
      </c>
      <c r="O71" s="905"/>
      <c r="Q71" s="317" t="str">
        <f t="shared" si="0"/>
        <v/>
      </c>
      <c r="R71" s="317" t="str">
        <f t="shared" si="1"/>
        <v/>
      </c>
      <c r="S71" s="317" t="str">
        <f t="shared" si="2"/>
        <v/>
      </c>
      <c r="T71" s="317" t="str">
        <f>GLOBAL_DER_FEV_2023!S71</f>
        <v/>
      </c>
      <c r="W71" s="582">
        <v>0</v>
      </c>
      <c r="X71" s="580"/>
      <c r="Y71" s="583">
        <f>IF(GLOBAL_DER_FEV_2023!W71=0,0,IF(GLOBAL_DER_FEV_2023!W71&gt;0,"c","b"))</f>
        <v>0</v>
      </c>
    </row>
    <row r="72" spans="1:25" ht="15" customHeight="1" x14ac:dyDescent="0.2">
      <c r="A72" s="317">
        <v>401000</v>
      </c>
      <c r="B72" s="895">
        <v>401000</v>
      </c>
      <c r="C72" s="896" t="s">
        <v>184</v>
      </c>
      <c r="D72" s="906" t="s">
        <v>175</v>
      </c>
      <c r="E72" s="907">
        <f>GLOBAL_DER_FEV_2023!E72</f>
        <v>0</v>
      </c>
      <c r="F72" s="908">
        <f>GLOBAL_DER_FEV_2023!F72</f>
        <v>0</v>
      </c>
      <c r="G72" s="909">
        <f>GLOBAL_DER_FEV_2023!G72</f>
        <v>0</v>
      </c>
      <c r="H72" s="889">
        <f>GLOBAL_DER_FEV_2023!H72</f>
        <v>6.67</v>
      </c>
      <c r="I72" s="901">
        <f>GLOBAL_DER_FEV_2023!I72</f>
        <v>6.67</v>
      </c>
      <c r="J72" s="902">
        <f>GLOBAL_DER_FEV_2023!J72</f>
        <v>8.01</v>
      </c>
      <c r="K72" s="903" t="s">
        <v>10</v>
      </c>
      <c r="L72" s="1137"/>
      <c r="M72" s="1138">
        <f t="shared" si="3"/>
        <v>0</v>
      </c>
      <c r="N72" s="893">
        <f t="shared" si="5"/>
        <v>0</v>
      </c>
      <c r="O72" s="905"/>
      <c r="Q72" s="317" t="str">
        <f t="shared" si="0"/>
        <v/>
      </c>
      <c r="R72" s="317" t="str">
        <f t="shared" si="1"/>
        <v/>
      </c>
      <c r="S72" s="317" t="str">
        <f t="shared" si="2"/>
        <v/>
      </c>
      <c r="T72" s="317" t="str">
        <f>GLOBAL_DER_FEV_2023!S72</f>
        <v/>
      </c>
      <c r="W72" s="582">
        <v>0</v>
      </c>
      <c r="X72" s="580"/>
      <c r="Y72" s="583">
        <f>IF(GLOBAL_DER_FEV_2023!W72=0,0,IF(GLOBAL_DER_FEV_2023!W72&gt;0,"c","b"))</f>
        <v>0</v>
      </c>
    </row>
    <row r="73" spans="1:25" ht="15" customHeight="1" x14ac:dyDescent="0.2">
      <c r="A73" s="317">
        <v>401950</v>
      </c>
      <c r="B73" s="895">
        <v>401950</v>
      </c>
      <c r="C73" s="896" t="s">
        <v>184</v>
      </c>
      <c r="D73" s="906" t="s">
        <v>174</v>
      </c>
      <c r="E73" s="907">
        <f>GLOBAL_DER_FEV_2023!E73</f>
        <v>0</v>
      </c>
      <c r="F73" s="908">
        <f>GLOBAL_DER_FEV_2023!F73</f>
        <v>0</v>
      </c>
      <c r="G73" s="909">
        <f>GLOBAL_DER_FEV_2023!G73</f>
        <v>0</v>
      </c>
      <c r="H73" s="889">
        <f>GLOBAL_DER_FEV_2023!H73</f>
        <v>5.54</v>
      </c>
      <c r="I73" s="901">
        <f>GLOBAL_DER_FEV_2023!I73</f>
        <v>5.54</v>
      </c>
      <c r="J73" s="902">
        <f>GLOBAL_DER_FEV_2023!J73</f>
        <v>6.65</v>
      </c>
      <c r="K73" s="903" t="s">
        <v>10</v>
      </c>
      <c r="L73" s="1137"/>
      <c r="M73" s="1138">
        <f t="shared" si="3"/>
        <v>0</v>
      </c>
      <c r="N73" s="893">
        <f t="shared" si="5"/>
        <v>0</v>
      </c>
      <c r="O73" s="905"/>
      <c r="Q73" s="317" t="str">
        <f t="shared" si="0"/>
        <v/>
      </c>
      <c r="R73" s="317" t="str">
        <f t="shared" si="1"/>
        <v/>
      </c>
      <c r="S73" s="317" t="str">
        <f t="shared" si="2"/>
        <v/>
      </c>
      <c r="T73" s="317" t="str">
        <f>GLOBAL_DER_FEV_2023!S73</f>
        <v/>
      </c>
      <c r="W73" s="582">
        <v>0</v>
      </c>
      <c r="X73" s="580"/>
      <c r="Y73" s="583">
        <f>IF(GLOBAL_DER_FEV_2023!W73=0,0,IF(GLOBAL_DER_FEV_2023!W73&gt;0,"c","b"))</f>
        <v>0</v>
      </c>
    </row>
    <row r="74" spans="1:25" ht="15" customHeight="1" x14ac:dyDescent="0.2">
      <c r="A74" s="317">
        <v>400000</v>
      </c>
      <c r="B74" s="895">
        <v>400000</v>
      </c>
      <c r="C74" s="896" t="s">
        <v>184</v>
      </c>
      <c r="D74" s="906" t="s">
        <v>169</v>
      </c>
      <c r="E74" s="907">
        <f>GLOBAL_DER_FEV_2023!E74</f>
        <v>0</v>
      </c>
      <c r="F74" s="908">
        <f>GLOBAL_DER_FEV_2023!F74</f>
        <v>0</v>
      </c>
      <c r="G74" s="909">
        <f>GLOBAL_DER_FEV_2023!G74</f>
        <v>0</v>
      </c>
      <c r="H74" s="889">
        <f>GLOBAL_DER_FEV_2023!H74</f>
        <v>1.1400000000000001</v>
      </c>
      <c r="I74" s="901">
        <f>GLOBAL_DER_FEV_2023!I74</f>
        <v>1.1400000000000001</v>
      </c>
      <c r="J74" s="902">
        <f>GLOBAL_DER_FEV_2023!J74</f>
        <v>1.37</v>
      </c>
      <c r="K74" s="903" t="s">
        <v>12</v>
      </c>
      <c r="L74" s="1137"/>
      <c r="M74" s="1138">
        <f t="shared" si="3"/>
        <v>0</v>
      </c>
      <c r="N74" s="893">
        <f t="shared" si="5"/>
        <v>0</v>
      </c>
      <c r="O74" s="905"/>
      <c r="P74" s="58"/>
      <c r="Q74" s="317" t="str">
        <f t="shared" si="0"/>
        <v/>
      </c>
      <c r="R74" s="317" t="str">
        <f t="shared" si="1"/>
        <v/>
      </c>
      <c r="S74" s="317" t="str">
        <f t="shared" si="2"/>
        <v/>
      </c>
      <c r="T74" s="317" t="str">
        <f>GLOBAL_DER_FEV_2023!S74</f>
        <v/>
      </c>
      <c r="W74" s="582">
        <v>0</v>
      </c>
      <c r="X74" s="580"/>
      <c r="Y74" s="583">
        <f>IF(GLOBAL_DER_FEV_2023!W74=0,0,IF(GLOBAL_DER_FEV_2023!W74&gt;0,"c","b"))</f>
        <v>0</v>
      </c>
    </row>
    <row r="75" spans="1:25" ht="15" customHeight="1" x14ac:dyDescent="0.2">
      <c r="A75" s="317">
        <v>400300</v>
      </c>
      <c r="B75" s="895">
        <v>400300</v>
      </c>
      <c r="C75" s="896" t="s">
        <v>184</v>
      </c>
      <c r="D75" s="906" t="s">
        <v>170</v>
      </c>
      <c r="E75" s="907">
        <f>GLOBAL_DER_FEV_2023!E75</f>
        <v>0</v>
      </c>
      <c r="F75" s="908">
        <f>GLOBAL_DER_FEV_2023!F75</f>
        <v>0</v>
      </c>
      <c r="G75" s="909">
        <f>GLOBAL_DER_FEV_2023!G75</f>
        <v>0</v>
      </c>
      <c r="H75" s="889">
        <f>GLOBAL_DER_FEV_2023!H75</f>
        <v>49.34</v>
      </c>
      <c r="I75" s="901">
        <f>GLOBAL_DER_FEV_2023!I75</f>
        <v>49.34</v>
      </c>
      <c r="J75" s="902">
        <f>GLOBAL_DER_FEV_2023!J75</f>
        <v>59.24</v>
      </c>
      <c r="K75" s="903" t="s">
        <v>15</v>
      </c>
      <c r="L75" s="1137"/>
      <c r="M75" s="1138">
        <f t="shared" si="3"/>
        <v>0</v>
      </c>
      <c r="N75" s="893">
        <f t="shared" si="5"/>
        <v>0</v>
      </c>
      <c r="O75" s="905"/>
      <c r="P75" s="58"/>
      <c r="Q75" s="317" t="str">
        <f t="shared" si="0"/>
        <v/>
      </c>
      <c r="R75" s="317" t="str">
        <f t="shared" si="1"/>
        <v/>
      </c>
      <c r="S75" s="317" t="str">
        <f t="shared" si="2"/>
        <v/>
      </c>
      <c r="T75" s="317" t="str">
        <f>GLOBAL_DER_FEV_2023!S75</f>
        <v/>
      </c>
      <c r="W75" s="582">
        <v>0</v>
      </c>
      <c r="X75" s="580"/>
      <c r="Y75" s="583">
        <f>IF(GLOBAL_DER_FEV_2023!W75=0,0,IF(GLOBAL_DER_FEV_2023!W75&gt;0,"c","b"))</f>
        <v>0</v>
      </c>
    </row>
    <row r="76" spans="1:25" ht="15" customHeight="1" x14ac:dyDescent="0.2">
      <c r="A76" s="317">
        <v>511130</v>
      </c>
      <c r="B76" s="895" t="s">
        <v>1544</v>
      </c>
      <c r="C76" s="896" t="s">
        <v>184</v>
      </c>
      <c r="D76" s="906" t="s">
        <v>447</v>
      </c>
      <c r="E76" s="907">
        <f>GLOBAL_DER_FEV_2023!E76</f>
        <v>0</v>
      </c>
      <c r="F76" s="908">
        <f>GLOBAL_DER_FEV_2023!F76</f>
        <v>0</v>
      </c>
      <c r="G76" s="909">
        <f>GLOBAL_DER_FEV_2023!G76</f>
        <v>0</v>
      </c>
      <c r="H76" s="889">
        <f>GLOBAL_DER_FEV_2023!H76</f>
        <v>1.23</v>
      </c>
      <c r="I76" s="901">
        <f>GLOBAL_DER_FEV_2023!I76</f>
        <v>1.23</v>
      </c>
      <c r="J76" s="902">
        <f>GLOBAL_DER_FEV_2023!J76</f>
        <v>1.48</v>
      </c>
      <c r="K76" s="903" t="s">
        <v>10</v>
      </c>
      <c r="L76" s="1137"/>
      <c r="M76" s="1138">
        <f t="shared" si="3"/>
        <v>0</v>
      </c>
      <c r="N76" s="893">
        <f t="shared" si="5"/>
        <v>0</v>
      </c>
      <c r="O76" s="905"/>
      <c r="P76" s="59"/>
      <c r="Q76" s="317" t="str">
        <f t="shared" si="0"/>
        <v/>
      </c>
      <c r="R76" s="317" t="str">
        <f t="shared" si="1"/>
        <v/>
      </c>
      <c r="S76" s="317" t="str">
        <f t="shared" si="2"/>
        <v/>
      </c>
      <c r="T76" s="317" t="str">
        <f>GLOBAL_DER_FEV_2023!S76</f>
        <v/>
      </c>
      <c r="W76" s="582">
        <v>0</v>
      </c>
      <c r="X76" s="580"/>
      <c r="Y76" s="583">
        <f>IF(GLOBAL_DER_FEV_2023!W76=0,0,IF(GLOBAL_DER_FEV_2023!W76&gt;0,"c","b"))</f>
        <v>0</v>
      </c>
    </row>
    <row r="77" spans="1:25" ht="15" customHeight="1" x14ac:dyDescent="0.2">
      <c r="A77" s="317">
        <v>501000</v>
      </c>
      <c r="B77" s="895">
        <v>501000</v>
      </c>
      <c r="C77" s="896" t="s">
        <v>184</v>
      </c>
      <c r="D77" s="906" t="s">
        <v>446</v>
      </c>
      <c r="E77" s="907">
        <f>GLOBAL_DER_FEV_2023!E77</f>
        <v>2</v>
      </c>
      <c r="F77" s="908">
        <f>GLOBAL_DER_FEV_2023!F77</f>
        <v>1.8</v>
      </c>
      <c r="G77" s="909">
        <f>GLOBAL_DER_FEV_2023!G77</f>
        <v>8.6760000000000002</v>
      </c>
      <c r="H77" s="889">
        <f>GLOBAL_DER_FEV_2023!H77</f>
        <v>6.04</v>
      </c>
      <c r="I77" s="901">
        <f>GLOBAL_DER_FEV_2023!I77</f>
        <v>14.716000000000001</v>
      </c>
      <c r="J77" s="902">
        <f>GLOBAL_DER_FEV_2023!J77</f>
        <v>17.670000000000002</v>
      </c>
      <c r="K77" s="903" t="s">
        <v>10</v>
      </c>
      <c r="L77" s="1137"/>
      <c r="M77" s="1138">
        <f t="shared" si="3"/>
        <v>0</v>
      </c>
      <c r="N77" s="893">
        <f t="shared" si="5"/>
        <v>0</v>
      </c>
      <c r="O77" s="905"/>
      <c r="P77" s="59"/>
      <c r="Q77" s="317" t="str">
        <f t="shared" si="0"/>
        <v/>
      </c>
      <c r="R77" s="317" t="str">
        <f t="shared" si="1"/>
        <v/>
      </c>
      <c r="S77" s="317" t="str">
        <f t="shared" si="2"/>
        <v/>
      </c>
      <c r="T77" s="317" t="str">
        <f>GLOBAL_DER_FEV_2023!S77</f>
        <v/>
      </c>
      <c r="W77" s="582">
        <v>0</v>
      </c>
      <c r="X77" s="580"/>
      <c r="Y77" s="583">
        <f>IF(GLOBAL_DER_FEV_2023!W77=0,0,IF(GLOBAL_DER_FEV_2023!W77&gt;0,"c","b"))</f>
        <v>0</v>
      </c>
    </row>
    <row r="78" spans="1:25" ht="15" customHeight="1" x14ac:dyDescent="0.2">
      <c r="A78" s="317">
        <v>101114</v>
      </c>
      <c r="B78" s="895">
        <v>101114</v>
      </c>
      <c r="C78" s="896" t="s">
        <v>596</v>
      </c>
      <c r="D78" s="906" t="s">
        <v>1906</v>
      </c>
      <c r="E78" s="907">
        <f>GLOBAL_DER_FEV_2023!E78</f>
        <v>0</v>
      </c>
      <c r="F78" s="908">
        <f>GLOBAL_DER_FEV_2023!F78</f>
        <v>0</v>
      </c>
      <c r="G78" s="909">
        <f>GLOBAL_DER_FEV_2023!G78</f>
        <v>0</v>
      </c>
      <c r="H78" s="889">
        <f>GLOBAL_DER_FEV_2023!H78</f>
        <v>4.37</v>
      </c>
      <c r="I78" s="901">
        <f>GLOBAL_DER_FEV_2023!I78</f>
        <v>4.37</v>
      </c>
      <c r="J78" s="902">
        <f>GLOBAL_DER_FEV_2023!J78</f>
        <v>5.25</v>
      </c>
      <c r="K78" s="903" t="s">
        <v>10</v>
      </c>
      <c r="L78" s="1137"/>
      <c r="M78" s="1138">
        <f t="shared" si="3"/>
        <v>0</v>
      </c>
      <c r="N78" s="893">
        <f t="shared" si="5"/>
        <v>0</v>
      </c>
      <c r="O78" s="905"/>
      <c r="Q78" s="317" t="str">
        <f t="shared" si="0"/>
        <v/>
      </c>
      <c r="R78" s="317" t="str">
        <f t="shared" si="1"/>
        <v/>
      </c>
      <c r="S78" s="317" t="str">
        <f t="shared" si="2"/>
        <v/>
      </c>
      <c r="T78" s="317" t="str">
        <f>GLOBAL_DER_FEV_2023!S78</f>
        <v/>
      </c>
      <c r="W78" s="582">
        <v>0</v>
      </c>
      <c r="X78" s="580"/>
      <c r="Y78" s="583">
        <f>IF(GLOBAL_DER_FEV_2023!W78=0,0,IF(GLOBAL_DER_FEV_2023!W78&gt;0,"c","b"))</f>
        <v>0</v>
      </c>
    </row>
    <row r="79" spans="1:25" ht="15" customHeight="1" x14ac:dyDescent="0.2">
      <c r="A79" s="317">
        <v>101119</v>
      </c>
      <c r="B79" s="895">
        <v>101119</v>
      </c>
      <c r="C79" s="896" t="s">
        <v>596</v>
      </c>
      <c r="D79" s="906" t="s">
        <v>1907</v>
      </c>
      <c r="E79" s="907">
        <f>GLOBAL_DER_FEV_2023!E79</f>
        <v>0</v>
      </c>
      <c r="F79" s="908">
        <f>GLOBAL_DER_FEV_2023!F79</f>
        <v>0</v>
      </c>
      <c r="G79" s="909">
        <f>GLOBAL_DER_FEV_2023!G79</f>
        <v>0</v>
      </c>
      <c r="H79" s="889">
        <f>GLOBAL_DER_FEV_2023!H79</f>
        <v>8.36</v>
      </c>
      <c r="I79" s="901">
        <f>GLOBAL_DER_FEV_2023!I79</f>
        <v>8.36</v>
      </c>
      <c r="J79" s="902">
        <f>GLOBAL_DER_FEV_2023!J79</f>
        <v>10.039999999999999</v>
      </c>
      <c r="K79" s="903" t="s">
        <v>10</v>
      </c>
      <c r="L79" s="1137"/>
      <c r="M79" s="1138">
        <f t="shared" si="3"/>
        <v>0</v>
      </c>
      <c r="N79" s="893">
        <f t="shared" si="5"/>
        <v>0</v>
      </c>
      <c r="O79" s="905"/>
      <c r="Q79" s="317" t="str">
        <f t="shared" si="0"/>
        <v/>
      </c>
      <c r="R79" s="317" t="str">
        <f t="shared" si="1"/>
        <v/>
      </c>
      <c r="S79" s="317" t="str">
        <f t="shared" si="2"/>
        <v/>
      </c>
      <c r="T79" s="317" t="str">
        <f>GLOBAL_DER_FEV_2023!S79</f>
        <v/>
      </c>
      <c r="W79" s="582">
        <v>0</v>
      </c>
      <c r="X79" s="580"/>
      <c r="Y79" s="583">
        <f>IF(GLOBAL_DER_FEV_2023!W79=0,0,IF(GLOBAL_DER_FEV_2023!W79&gt;0,"c","b"))</f>
        <v>0</v>
      </c>
    </row>
    <row r="80" spans="1:25" ht="15" customHeight="1" x14ac:dyDescent="0.2">
      <c r="A80" s="317">
        <v>430010</v>
      </c>
      <c r="B80" s="895">
        <v>430210</v>
      </c>
      <c r="C80" s="896" t="s">
        <v>184</v>
      </c>
      <c r="D80" s="906" t="s">
        <v>1908</v>
      </c>
      <c r="E80" s="907">
        <f>GLOBAL_DER_FEV_2023!E80</f>
        <v>0</v>
      </c>
      <c r="F80" s="908">
        <f>GLOBAL_DER_FEV_2023!F80</f>
        <v>0</v>
      </c>
      <c r="G80" s="909">
        <f>GLOBAL_DER_FEV_2023!G80</f>
        <v>0</v>
      </c>
      <c r="H80" s="889">
        <f>GLOBAL_DER_FEV_2023!H80</f>
        <v>40.54</v>
      </c>
      <c r="I80" s="901">
        <f>GLOBAL_DER_FEV_2023!I80</f>
        <v>40.54</v>
      </c>
      <c r="J80" s="902">
        <f>GLOBAL_DER_FEV_2023!J80</f>
        <v>48.68</v>
      </c>
      <c r="K80" s="903" t="s">
        <v>10</v>
      </c>
      <c r="L80" s="1137"/>
      <c r="M80" s="1138">
        <f t="shared" si="3"/>
        <v>0</v>
      </c>
      <c r="N80" s="893">
        <f t="shared" si="5"/>
        <v>0</v>
      </c>
      <c r="O80" s="905"/>
      <c r="Q80" s="317" t="str">
        <f t="shared" si="0"/>
        <v/>
      </c>
      <c r="R80" s="317" t="str">
        <f t="shared" si="1"/>
        <v/>
      </c>
      <c r="S80" s="317" t="str">
        <f t="shared" si="2"/>
        <v/>
      </c>
      <c r="T80" s="317" t="str">
        <f>GLOBAL_DER_FEV_2023!S80</f>
        <v/>
      </c>
      <c r="W80" s="582">
        <v>0</v>
      </c>
      <c r="X80" s="580"/>
      <c r="Y80" s="583">
        <f>IF(GLOBAL_DER_FEV_2023!W80=0,0,IF(GLOBAL_DER_FEV_2023!W80&gt;0,"c","b"))</f>
        <v>0</v>
      </c>
    </row>
    <row r="81" spans="1:25" ht="15" customHeight="1" x14ac:dyDescent="0.2">
      <c r="A81" s="317" t="s">
        <v>1901</v>
      </c>
      <c r="B81" s="895" t="str">
        <f>GLOBAL_DER_FEV_2023!B81</f>
        <v>02.105.000040.SER</v>
      </c>
      <c r="C81" s="896" t="str">
        <f>GLOBAL_DER_FEV_2023!C81</f>
        <v>PINI - fev/23</v>
      </c>
      <c r="D81" s="906" t="str">
        <f>GLOBAL_DER_FEV_2023!D81</f>
        <v>Carga de mat. 1a. cat./sem transporte</v>
      </c>
      <c r="E81" s="907">
        <f>GLOBAL_DER_FEV_2023!E81</f>
        <v>0</v>
      </c>
      <c r="F81" s="908">
        <f>GLOBAL_DER_FEV_2023!F81</f>
        <v>0</v>
      </c>
      <c r="G81" s="909">
        <f>GLOBAL_DER_FEV_2023!G81</f>
        <v>0</v>
      </c>
      <c r="H81" s="901">
        <f>GLOBAL_DER_FEV_2023!H81</f>
        <v>1.01</v>
      </c>
      <c r="I81" s="901">
        <f>GLOBAL_DER_FEV_2023!I81</f>
        <v>1.01</v>
      </c>
      <c r="J81" s="902">
        <f>GLOBAL_DER_FEV_2023!J81</f>
        <v>1.21</v>
      </c>
      <c r="K81" s="903" t="s">
        <v>1516</v>
      </c>
      <c r="L81" s="1137"/>
      <c r="M81" s="1138">
        <f t="shared" si="3"/>
        <v>0</v>
      </c>
      <c r="N81" s="893">
        <f t="shared" si="5"/>
        <v>0</v>
      </c>
      <c r="O81" s="905"/>
      <c r="Q81" s="317" t="str">
        <f t="shared" si="0"/>
        <v/>
      </c>
      <c r="R81" s="317" t="str">
        <f t="shared" si="1"/>
        <v/>
      </c>
      <c r="S81" s="317" t="str">
        <f t="shared" si="2"/>
        <v/>
      </c>
      <c r="T81" s="317" t="str">
        <f>GLOBAL_DER_FEV_2023!S81</f>
        <v/>
      </c>
      <c r="W81" s="582">
        <v>0</v>
      </c>
      <c r="X81" s="580"/>
      <c r="Y81" s="583">
        <f>IF(GLOBAL_DER_FEV_2023!W81=0,0,IF(GLOBAL_DER_FEV_2023!W81&gt;0,"c","b"))</f>
        <v>0</v>
      </c>
    </row>
    <row r="82" spans="1:25" ht="15" customHeight="1" x14ac:dyDescent="0.2">
      <c r="A82" s="317">
        <v>520100</v>
      </c>
      <c r="B82" s="895" t="s">
        <v>1545</v>
      </c>
      <c r="C82" s="896" t="s">
        <v>184</v>
      </c>
      <c r="D82" s="906" t="s">
        <v>1903</v>
      </c>
      <c r="E82" s="907">
        <f>GLOBAL_DER_FEV_2023!E82</f>
        <v>0</v>
      </c>
      <c r="F82" s="908">
        <f>GLOBAL_DER_FEV_2023!F82</f>
        <v>0</v>
      </c>
      <c r="G82" s="909">
        <f>GLOBAL_DER_FEV_2023!G82</f>
        <v>0</v>
      </c>
      <c r="H82" s="889">
        <f>GLOBAL_DER_FEV_2023!H82</f>
        <v>5.45</v>
      </c>
      <c r="I82" s="901">
        <f>GLOBAL_DER_FEV_2023!I82</f>
        <v>5.45</v>
      </c>
      <c r="J82" s="902">
        <f>GLOBAL_DER_FEV_2023!J82</f>
        <v>6.54</v>
      </c>
      <c r="K82" s="903" t="s">
        <v>10</v>
      </c>
      <c r="L82" s="1137"/>
      <c r="M82" s="1138">
        <f t="shared" si="3"/>
        <v>0</v>
      </c>
      <c r="N82" s="893">
        <f t="shared" si="5"/>
        <v>0</v>
      </c>
      <c r="O82" s="905"/>
      <c r="Q82" s="317" t="str">
        <f t="shared" si="0"/>
        <v/>
      </c>
      <c r="R82" s="317" t="str">
        <f t="shared" si="1"/>
        <v/>
      </c>
      <c r="S82" s="317" t="str">
        <f t="shared" si="2"/>
        <v/>
      </c>
      <c r="T82" s="317" t="str">
        <f>GLOBAL_DER_FEV_2023!S82</f>
        <v/>
      </c>
      <c r="W82" s="582">
        <v>0</v>
      </c>
      <c r="X82" s="580"/>
      <c r="Y82" s="583">
        <f>IF(GLOBAL_DER_FEV_2023!W82=0,0,IF(GLOBAL_DER_FEV_2023!W82&gt;0,"c","b"))</f>
        <v>0</v>
      </c>
    </row>
    <row r="83" spans="1:25" ht="15" customHeight="1" x14ac:dyDescent="0.2">
      <c r="A83" s="317">
        <v>520200</v>
      </c>
      <c r="B83" s="895" t="s">
        <v>1546</v>
      </c>
      <c r="C83" s="896" t="s">
        <v>184</v>
      </c>
      <c r="D83" s="906" t="s">
        <v>1904</v>
      </c>
      <c r="E83" s="907">
        <f>GLOBAL_DER_FEV_2023!E83</f>
        <v>0</v>
      </c>
      <c r="F83" s="908">
        <f>GLOBAL_DER_FEV_2023!F83</f>
        <v>0</v>
      </c>
      <c r="G83" s="909">
        <f>GLOBAL_DER_FEV_2023!G83</f>
        <v>0</v>
      </c>
      <c r="H83" s="889">
        <f>GLOBAL_DER_FEV_2023!H83</f>
        <v>6.66</v>
      </c>
      <c r="I83" s="901">
        <f>GLOBAL_DER_FEV_2023!I83</f>
        <v>6.66</v>
      </c>
      <c r="J83" s="902">
        <f>GLOBAL_DER_FEV_2023!J83</f>
        <v>8</v>
      </c>
      <c r="K83" s="903" t="s">
        <v>10</v>
      </c>
      <c r="L83" s="1137"/>
      <c r="M83" s="1138">
        <f t="shared" si="3"/>
        <v>0</v>
      </c>
      <c r="N83" s="893">
        <f t="shared" si="5"/>
        <v>0</v>
      </c>
      <c r="O83" s="905"/>
      <c r="Q83" s="317" t="str">
        <f t="shared" ref="Q83:Q146" si="6">IF(P83="X","x",IF(P83="xx","x",IF(P83="xy","x",IF(P83="y","x",IF(OR(N83&gt;0,N83&gt;0),"x","")))))</f>
        <v/>
      </c>
      <c r="R83" s="317" t="str">
        <f t="shared" si="1"/>
        <v/>
      </c>
      <c r="S83" s="317" t="str">
        <f t="shared" si="2"/>
        <v/>
      </c>
      <c r="T83" s="317" t="str">
        <f>GLOBAL_DER_FEV_2023!S83</f>
        <v/>
      </c>
      <c r="W83" s="582">
        <v>0</v>
      </c>
      <c r="X83" s="580"/>
      <c r="Y83" s="583">
        <f>IF(GLOBAL_DER_FEV_2023!W83=0,0,IF(GLOBAL_DER_FEV_2023!W83&gt;0,"c","b"))</f>
        <v>0</v>
      </c>
    </row>
    <row r="84" spans="1:25" ht="15" customHeight="1" x14ac:dyDescent="0.2">
      <c r="A84" s="317">
        <v>431010</v>
      </c>
      <c r="B84" s="895">
        <v>431010</v>
      </c>
      <c r="C84" s="896" t="s">
        <v>184</v>
      </c>
      <c r="D84" s="906" t="s">
        <v>1905</v>
      </c>
      <c r="E84" s="907">
        <f>GLOBAL_DER_FEV_2023!E84</f>
        <v>0</v>
      </c>
      <c r="F84" s="908">
        <f>GLOBAL_DER_FEV_2023!F84</f>
        <v>0</v>
      </c>
      <c r="G84" s="909">
        <f>GLOBAL_DER_FEV_2023!G84</f>
        <v>0</v>
      </c>
      <c r="H84" s="889">
        <f>GLOBAL_DER_FEV_2023!H84</f>
        <v>44.4</v>
      </c>
      <c r="I84" s="901">
        <f>GLOBAL_DER_FEV_2023!I84</f>
        <v>44.4</v>
      </c>
      <c r="J84" s="902">
        <f>GLOBAL_DER_FEV_2023!J84</f>
        <v>53.31</v>
      </c>
      <c r="K84" s="903" t="s">
        <v>10</v>
      </c>
      <c r="L84" s="1137"/>
      <c r="M84" s="1138">
        <f t="shared" ref="M84:M147" si="7">IF(L84=0,0,ROUND(J84,2))</f>
        <v>0</v>
      </c>
      <c r="N84" s="893">
        <f t="shared" si="5"/>
        <v>0</v>
      </c>
      <c r="O84" s="905"/>
      <c r="Q84" s="317" t="str">
        <f t="shared" si="6"/>
        <v/>
      </c>
      <c r="R84" s="317" t="str">
        <f t="shared" si="1"/>
        <v/>
      </c>
      <c r="S84" s="317" t="str">
        <f t="shared" si="2"/>
        <v/>
      </c>
      <c r="T84" s="317" t="str">
        <f>GLOBAL_DER_FEV_2023!S84</f>
        <v/>
      </c>
      <c r="W84" s="582">
        <v>0</v>
      </c>
      <c r="X84" s="580"/>
      <c r="Y84" s="583">
        <f>IF(GLOBAL_DER_FEV_2023!W84=0,0,IF(GLOBAL_DER_FEV_2023!W84&gt;0,"c","b"))</f>
        <v>0</v>
      </c>
    </row>
    <row r="85" spans="1:25" ht="15" customHeight="1" x14ac:dyDescent="0.2">
      <c r="A85" s="317">
        <v>520100</v>
      </c>
      <c r="B85" s="895" t="s">
        <v>1547</v>
      </c>
      <c r="C85" s="896" t="s">
        <v>184</v>
      </c>
      <c r="D85" s="906" t="s">
        <v>1909</v>
      </c>
      <c r="E85" s="907">
        <f>GLOBAL_DER_FEV_2023!E85</f>
        <v>2</v>
      </c>
      <c r="F85" s="908">
        <f>GLOBAL_DER_FEV_2023!F85</f>
        <v>1.5</v>
      </c>
      <c r="G85" s="909">
        <f>GLOBAL_DER_FEV_2023!G85</f>
        <v>7.23</v>
      </c>
      <c r="H85" s="889">
        <f>GLOBAL_DER_FEV_2023!H85</f>
        <v>5.45</v>
      </c>
      <c r="I85" s="901">
        <f>GLOBAL_DER_FEV_2023!I85</f>
        <v>12.68</v>
      </c>
      <c r="J85" s="902">
        <f>GLOBAL_DER_FEV_2023!J85</f>
        <v>15.22</v>
      </c>
      <c r="K85" s="903" t="s">
        <v>10</v>
      </c>
      <c r="L85" s="1137"/>
      <c r="M85" s="1138">
        <f t="shared" si="7"/>
        <v>0</v>
      </c>
      <c r="N85" s="893">
        <f t="shared" si="5"/>
        <v>0</v>
      </c>
      <c r="O85" s="905"/>
      <c r="Q85" s="317" t="str">
        <f t="shared" si="6"/>
        <v/>
      </c>
      <c r="R85" s="317" t="str">
        <f t="shared" ref="R85:R148" si="8">IF(P85="X","x",IF(P85="y","x",IF(P85="xx","x",IF(N85&gt;0,"x",""))))</f>
        <v/>
      </c>
      <c r="S85" s="317" t="str">
        <f t="shared" ref="S85:S148" si="9">IF(P85="X","x",IF(N85&gt;0,"x",""))</f>
        <v/>
      </c>
      <c r="T85" s="317" t="str">
        <f>GLOBAL_DER_FEV_2023!S85</f>
        <v/>
      </c>
      <c r="W85" s="582">
        <v>0</v>
      </c>
      <c r="X85" s="580"/>
      <c r="Y85" s="583">
        <f>IF(GLOBAL_DER_FEV_2023!W85=0,0,IF(GLOBAL_DER_FEV_2023!W85&gt;0,"c","b"))</f>
        <v>0</v>
      </c>
    </row>
    <row r="86" spans="1:25" ht="15" customHeight="1" x14ac:dyDescent="0.2">
      <c r="A86" s="317">
        <v>520200</v>
      </c>
      <c r="B86" s="895" t="s">
        <v>1548</v>
      </c>
      <c r="C86" s="896" t="s">
        <v>184</v>
      </c>
      <c r="D86" s="906" t="s">
        <v>1910</v>
      </c>
      <c r="E86" s="907">
        <f>GLOBAL_DER_FEV_2023!E86</f>
        <v>2</v>
      </c>
      <c r="F86" s="908">
        <f>GLOBAL_DER_FEV_2023!F86</f>
        <v>1.5</v>
      </c>
      <c r="G86" s="909">
        <f>GLOBAL_DER_FEV_2023!G86</f>
        <v>7.23</v>
      </c>
      <c r="H86" s="889">
        <f>GLOBAL_DER_FEV_2023!H86</f>
        <v>6.66</v>
      </c>
      <c r="I86" s="901">
        <f>GLOBAL_DER_FEV_2023!I86</f>
        <v>13.89</v>
      </c>
      <c r="J86" s="902">
        <f>GLOBAL_DER_FEV_2023!J86</f>
        <v>16.68</v>
      </c>
      <c r="K86" s="903" t="s">
        <v>10</v>
      </c>
      <c r="L86" s="1137"/>
      <c r="M86" s="1138">
        <f t="shared" si="7"/>
        <v>0</v>
      </c>
      <c r="N86" s="893">
        <f t="shared" si="5"/>
        <v>0</v>
      </c>
      <c r="O86" s="905"/>
      <c r="Q86" s="317" t="str">
        <f t="shared" si="6"/>
        <v/>
      </c>
      <c r="R86" s="317" t="str">
        <f t="shared" si="8"/>
        <v/>
      </c>
      <c r="S86" s="317" t="str">
        <f t="shared" si="9"/>
        <v/>
      </c>
      <c r="T86" s="317" t="str">
        <f>GLOBAL_DER_FEV_2023!S86</f>
        <v/>
      </c>
      <c r="W86" s="582">
        <v>0</v>
      </c>
      <c r="X86" s="580"/>
      <c r="Y86" s="583">
        <f>IF(GLOBAL_DER_FEV_2023!W86=0,0,IF(GLOBAL_DER_FEV_2023!W86&gt;0,"c","b"))</f>
        <v>0</v>
      </c>
    </row>
    <row r="87" spans="1:25" ht="15" customHeight="1" x14ac:dyDescent="0.2">
      <c r="A87" s="317">
        <v>521300</v>
      </c>
      <c r="B87" s="895">
        <v>521300</v>
      </c>
      <c r="C87" s="896" t="s">
        <v>184</v>
      </c>
      <c r="D87" s="906" t="s">
        <v>1911</v>
      </c>
      <c r="E87" s="907">
        <f>GLOBAL_DER_FEV_2023!E87</f>
        <v>2</v>
      </c>
      <c r="F87" s="908">
        <f>GLOBAL_DER_FEV_2023!F87</f>
        <v>1.5</v>
      </c>
      <c r="G87" s="909">
        <f>GLOBAL_DER_FEV_2023!G87</f>
        <v>7.23</v>
      </c>
      <c r="H87" s="889">
        <f>GLOBAL_DER_FEV_2023!H87</f>
        <v>46.06</v>
      </c>
      <c r="I87" s="901">
        <f>GLOBAL_DER_FEV_2023!I87</f>
        <v>53.290000000000006</v>
      </c>
      <c r="J87" s="902">
        <f>GLOBAL_DER_FEV_2023!J87</f>
        <v>63.99</v>
      </c>
      <c r="K87" s="903" t="s">
        <v>10</v>
      </c>
      <c r="L87" s="1137"/>
      <c r="M87" s="1138">
        <f t="shared" si="7"/>
        <v>0</v>
      </c>
      <c r="N87" s="893">
        <f t="shared" si="5"/>
        <v>0</v>
      </c>
      <c r="O87" s="905"/>
      <c r="Q87" s="317" t="str">
        <f t="shared" si="6"/>
        <v/>
      </c>
      <c r="R87" s="317" t="str">
        <f t="shared" si="8"/>
        <v/>
      </c>
      <c r="S87" s="317" t="str">
        <f t="shared" si="9"/>
        <v/>
      </c>
      <c r="T87" s="317" t="str">
        <f>GLOBAL_DER_FEV_2023!S87</f>
        <v/>
      </c>
      <c r="W87" s="582">
        <v>0</v>
      </c>
      <c r="X87" s="580"/>
      <c r="Y87" s="583">
        <f>IF(GLOBAL_DER_FEV_2023!W87=0,0,IF(GLOBAL_DER_FEV_2023!W87&gt;0,"c","b"))</f>
        <v>0</v>
      </c>
    </row>
    <row r="88" spans="1:25" ht="15" customHeight="1" x14ac:dyDescent="0.2">
      <c r="A88" s="317">
        <v>411000</v>
      </c>
      <c r="B88" s="895">
        <v>411000</v>
      </c>
      <c r="C88" s="896" t="s">
        <v>184</v>
      </c>
      <c r="D88" s="906" t="s">
        <v>172</v>
      </c>
      <c r="E88" s="907">
        <f>GLOBAL_DER_FEV_2023!E88</f>
        <v>0</v>
      </c>
      <c r="F88" s="908">
        <f>GLOBAL_DER_FEV_2023!F88</f>
        <v>0</v>
      </c>
      <c r="G88" s="909">
        <f>GLOBAL_DER_FEV_2023!G88</f>
        <v>0</v>
      </c>
      <c r="H88" s="889">
        <f>GLOBAL_DER_FEV_2023!H88</f>
        <v>9.51</v>
      </c>
      <c r="I88" s="901">
        <f>GLOBAL_DER_FEV_2023!I88</f>
        <v>9.51</v>
      </c>
      <c r="J88" s="902">
        <f>GLOBAL_DER_FEV_2023!J88</f>
        <v>11.42</v>
      </c>
      <c r="K88" s="903" t="s">
        <v>10</v>
      </c>
      <c r="L88" s="1137"/>
      <c r="M88" s="1138">
        <f t="shared" si="7"/>
        <v>0</v>
      </c>
      <c r="N88" s="893">
        <f t="shared" si="5"/>
        <v>0</v>
      </c>
      <c r="O88" s="905"/>
      <c r="P88" s="59"/>
      <c r="Q88" s="317" t="str">
        <f t="shared" si="6"/>
        <v/>
      </c>
      <c r="R88" s="317" t="str">
        <f t="shared" si="8"/>
        <v/>
      </c>
      <c r="S88" s="317" t="str">
        <f t="shared" si="9"/>
        <v/>
      </c>
      <c r="T88" s="317" t="str">
        <f>GLOBAL_DER_FEV_2023!S88</f>
        <v/>
      </c>
      <c r="W88" s="582">
        <v>0</v>
      </c>
      <c r="X88" s="580"/>
      <c r="Y88" s="583">
        <f>IF(GLOBAL_DER_FEV_2023!W88=0,0,IF(GLOBAL_DER_FEV_2023!W88&gt;0,"c","b"))</f>
        <v>0</v>
      </c>
    </row>
    <row r="89" spans="1:25" ht="15" customHeight="1" x14ac:dyDescent="0.2">
      <c r="A89" s="317">
        <v>420200</v>
      </c>
      <c r="B89" s="895">
        <v>420200</v>
      </c>
      <c r="C89" s="896" t="s">
        <v>184</v>
      </c>
      <c r="D89" s="906" t="s">
        <v>483</v>
      </c>
      <c r="E89" s="907">
        <f>GLOBAL_DER_FEV_2023!E89</f>
        <v>2</v>
      </c>
      <c r="F89" s="908">
        <f>GLOBAL_DER_FEV_2023!F89</f>
        <v>0.5</v>
      </c>
      <c r="G89" s="909">
        <f>GLOBAL_DER_FEV_2023!G89</f>
        <v>2.41</v>
      </c>
      <c r="H89" s="889">
        <f>GLOBAL_DER_FEV_2023!H89</f>
        <v>11.51</v>
      </c>
      <c r="I89" s="901">
        <f>GLOBAL_DER_FEV_2023!I89</f>
        <v>12.528</v>
      </c>
      <c r="J89" s="902">
        <f>GLOBAL_DER_FEV_2023!J89</f>
        <v>15.04</v>
      </c>
      <c r="K89" s="903" t="s">
        <v>10</v>
      </c>
      <c r="L89" s="1137"/>
      <c r="M89" s="1138">
        <f t="shared" si="7"/>
        <v>0</v>
      </c>
      <c r="N89" s="893">
        <f t="shared" ref="N89:N152" si="10">IF(ISBLANK(L89),0,IF(W89=0,ROUND(L89*M89,2),IF(W89="b",ROUNDDOWN(L89*M89,2),ROUNDUP(L89*M89,2))))</f>
        <v>0</v>
      </c>
      <c r="O89" s="905"/>
      <c r="P89" s="59"/>
      <c r="Q89" s="317" t="str">
        <f t="shared" si="6"/>
        <v/>
      </c>
      <c r="R89" s="317" t="str">
        <f t="shared" si="8"/>
        <v/>
      </c>
      <c r="S89" s="317" t="str">
        <f t="shared" si="9"/>
        <v/>
      </c>
      <c r="T89" s="317" t="str">
        <f>GLOBAL_DER_FEV_2023!S89</f>
        <v/>
      </c>
      <c r="W89" s="582">
        <v>0</v>
      </c>
      <c r="X89" s="580"/>
      <c r="Y89" s="583">
        <f>IF(GLOBAL_DER_FEV_2023!W89=0,0,IF(GLOBAL_DER_FEV_2023!W89&gt;0,"c","b"))</f>
        <v>0</v>
      </c>
    </row>
    <row r="90" spans="1:25" ht="15" customHeight="1" x14ac:dyDescent="0.2">
      <c r="A90" s="317">
        <v>404000</v>
      </c>
      <c r="B90" s="895">
        <v>404000</v>
      </c>
      <c r="C90" s="896" t="s">
        <v>184</v>
      </c>
      <c r="D90" s="906" t="s">
        <v>171</v>
      </c>
      <c r="E90" s="907">
        <f>GLOBAL_DER_FEV_2023!E90</f>
        <v>2</v>
      </c>
      <c r="F90" s="908">
        <f>GLOBAL_DER_FEV_2023!F90</f>
        <v>1.5</v>
      </c>
      <c r="G90" s="909">
        <f>GLOBAL_DER_FEV_2023!G90</f>
        <v>7.23</v>
      </c>
      <c r="H90" s="889">
        <f>GLOBAL_DER_FEV_2023!H90</f>
        <v>11.43</v>
      </c>
      <c r="I90" s="901">
        <f>GLOBAL_DER_FEV_2023!I90</f>
        <v>18.66</v>
      </c>
      <c r="J90" s="902">
        <f>GLOBAL_DER_FEV_2023!J90</f>
        <v>22.41</v>
      </c>
      <c r="K90" s="903" t="s">
        <v>10</v>
      </c>
      <c r="L90" s="1137"/>
      <c r="M90" s="1138">
        <f t="shared" si="7"/>
        <v>0</v>
      </c>
      <c r="N90" s="893">
        <f t="shared" si="10"/>
        <v>0</v>
      </c>
      <c r="O90" s="905"/>
      <c r="P90" s="59"/>
      <c r="Q90" s="317" t="str">
        <f t="shared" si="6"/>
        <v/>
      </c>
      <c r="R90" s="317" t="str">
        <f t="shared" si="8"/>
        <v/>
      </c>
      <c r="S90" s="317" t="str">
        <f t="shared" si="9"/>
        <v/>
      </c>
      <c r="T90" s="317" t="str">
        <f>GLOBAL_DER_FEV_2023!S90</f>
        <v/>
      </c>
      <c r="W90" s="582">
        <v>0</v>
      </c>
      <c r="X90" s="580"/>
      <c r="Y90" s="583">
        <f>IF(GLOBAL_DER_FEV_2023!W90=0,0,IF(GLOBAL_DER_FEV_2023!W90&gt;0,"c","b"))</f>
        <v>0</v>
      </c>
    </row>
    <row r="91" spans="1:25" ht="15" customHeight="1" x14ac:dyDescent="0.2">
      <c r="A91" s="640" t="s">
        <v>165</v>
      </c>
      <c r="B91" s="913" t="s">
        <v>165</v>
      </c>
      <c r="C91" s="914"/>
      <c r="D91" s="915" t="s">
        <v>164</v>
      </c>
      <c r="E91" s="916">
        <f>GLOBAL_DER_FEV_2023!E91</f>
        <v>0</v>
      </c>
      <c r="F91" s="917">
        <f>GLOBAL_DER_FEV_2023!F91</f>
        <v>0</v>
      </c>
      <c r="G91" s="949">
        <f>GLOBAL_DER_FEV_2023!G91</f>
        <v>0</v>
      </c>
      <c r="H91" s="919">
        <f>GLOBAL_DER_FEV_2023!H91</f>
        <v>0</v>
      </c>
      <c r="I91" s="919">
        <f>GLOBAL_DER_FEV_2023!I91</f>
        <v>0</v>
      </c>
      <c r="J91" s="919">
        <f>GLOBAL_DER_FEV_2023!J91</f>
        <v>0</v>
      </c>
      <c r="K91" s="920" t="s">
        <v>507</v>
      </c>
      <c r="L91" s="921"/>
      <c r="M91" s="1138">
        <f t="shared" si="7"/>
        <v>0</v>
      </c>
      <c r="N91" s="923">
        <f t="shared" si="10"/>
        <v>0</v>
      </c>
      <c r="O91" s="905"/>
      <c r="P91" s="58" t="str">
        <f>IF(OR(SUM(N92:N116)&gt;0,SUM(N92:N116)&gt;0),"y","")</f>
        <v/>
      </c>
      <c r="Q91" s="317" t="str">
        <f t="shared" si="6"/>
        <v/>
      </c>
      <c r="R91" s="317" t="str">
        <f t="shared" si="8"/>
        <v/>
      </c>
      <c r="S91" s="317" t="str">
        <f t="shared" si="9"/>
        <v/>
      </c>
      <c r="T91" s="317" t="str">
        <f>GLOBAL_DER_FEV_2023!S91</f>
        <v/>
      </c>
      <c r="W91" s="582">
        <v>0</v>
      </c>
      <c r="X91" s="580"/>
      <c r="Y91" s="583">
        <f>IF(GLOBAL_DER_FEV_2023!W91=0,0,IF(GLOBAL_DER_FEV_2023!W91&gt;0,"c","b"))</f>
        <v>0</v>
      </c>
    </row>
    <row r="92" spans="1:25" ht="15" customHeight="1" x14ac:dyDescent="0.2">
      <c r="A92" s="640" t="s">
        <v>165</v>
      </c>
      <c r="B92" s="1036" t="str">
        <f>GLOBAL_DER_FEV_2023!B92</f>
        <v/>
      </c>
      <c r="C92" s="1072" t="str">
        <f>GLOBAL_DER_FEV_2023!C92</f>
        <v/>
      </c>
      <c r="D92" s="1141">
        <f>GLOBAL_DER_FEV_2023!D92</f>
        <v>0</v>
      </c>
      <c r="E92" s="907">
        <f>GLOBAL_DER_FEV_2023!E92</f>
        <v>0</v>
      </c>
      <c r="F92" s="908">
        <f>GLOBAL_DER_FEV_2023!F92</f>
        <v>0</v>
      </c>
      <c r="G92" s="912">
        <f>GLOBAL_DER_FEV_2023!G92</f>
        <v>0</v>
      </c>
      <c r="H92" s="901">
        <f>GLOBAL_DER_FEV_2023!H92</f>
        <v>0</v>
      </c>
      <c r="I92" s="901">
        <f>GLOBAL_DER_FEV_2023!I92</f>
        <v>0</v>
      </c>
      <c r="J92" s="902">
        <f>GLOBAL_DER_FEV_2023!J92</f>
        <v>0</v>
      </c>
      <c r="K92" s="903" t="str">
        <f>GLOBAL_DER_FEV_2023!K92</f>
        <v xml:space="preserve">     </v>
      </c>
      <c r="L92" s="1137"/>
      <c r="M92" s="1138">
        <f t="shared" si="7"/>
        <v>0</v>
      </c>
      <c r="N92" s="893">
        <f t="shared" si="10"/>
        <v>0</v>
      </c>
      <c r="O92" s="905"/>
      <c r="Q92" s="317" t="str">
        <f t="shared" si="6"/>
        <v/>
      </c>
      <c r="R92" s="317" t="str">
        <f t="shared" si="8"/>
        <v/>
      </c>
      <c r="S92" s="317" t="str">
        <f t="shared" si="9"/>
        <v/>
      </c>
      <c r="T92" s="317" t="str">
        <f>GLOBAL_DER_FEV_2023!S92</f>
        <v/>
      </c>
      <c r="W92" s="582">
        <v>0</v>
      </c>
      <c r="X92" s="580"/>
      <c r="Y92" s="583">
        <f>IF(GLOBAL_DER_FEV_2023!W92=0,0,IF(GLOBAL_DER_FEV_2023!W92&gt;0,"c","b"))</f>
        <v>0</v>
      </c>
    </row>
    <row r="93" spans="1:25" ht="15" customHeight="1" x14ac:dyDescent="0.2">
      <c r="A93" s="640" t="s">
        <v>165</v>
      </c>
      <c r="B93" s="1036" t="str">
        <f>GLOBAL_DER_FEV_2023!B93</f>
        <v/>
      </c>
      <c r="C93" s="1072" t="str">
        <f>GLOBAL_DER_FEV_2023!C93</f>
        <v/>
      </c>
      <c r="D93" s="1141">
        <f>GLOBAL_DER_FEV_2023!D93</f>
        <v>0</v>
      </c>
      <c r="E93" s="907">
        <f>GLOBAL_DER_FEV_2023!E93</f>
        <v>0</v>
      </c>
      <c r="F93" s="908">
        <f>GLOBAL_DER_FEV_2023!F93</f>
        <v>0</v>
      </c>
      <c r="G93" s="912">
        <f>GLOBAL_DER_FEV_2023!G93</f>
        <v>0</v>
      </c>
      <c r="H93" s="901">
        <f>GLOBAL_DER_FEV_2023!H93</f>
        <v>0</v>
      </c>
      <c r="I93" s="901">
        <f>GLOBAL_DER_FEV_2023!I93</f>
        <v>0</v>
      </c>
      <c r="J93" s="890">
        <f>GLOBAL_DER_FEV_2023!J93</f>
        <v>0</v>
      </c>
      <c r="K93" s="903" t="str">
        <f>GLOBAL_DER_FEV_2023!K93</f>
        <v xml:space="preserve">     </v>
      </c>
      <c r="L93" s="1137"/>
      <c r="M93" s="1138">
        <f t="shared" si="7"/>
        <v>0</v>
      </c>
      <c r="N93" s="932">
        <f t="shared" si="10"/>
        <v>0</v>
      </c>
      <c r="O93" s="905"/>
      <c r="Q93" s="317" t="str">
        <f t="shared" si="6"/>
        <v/>
      </c>
      <c r="R93" s="317" t="str">
        <f t="shared" si="8"/>
        <v/>
      </c>
      <c r="S93" s="317" t="str">
        <f t="shared" si="9"/>
        <v/>
      </c>
      <c r="T93" s="317" t="str">
        <f>GLOBAL_DER_FEV_2023!S93</f>
        <v/>
      </c>
      <c r="W93" s="582">
        <v>0</v>
      </c>
      <c r="X93" s="580"/>
      <c r="Y93" s="583">
        <f>IF(GLOBAL_DER_FEV_2023!W93=0,0,IF(GLOBAL_DER_FEV_2023!W93&gt;0,"c","b"))</f>
        <v>0</v>
      </c>
    </row>
    <row r="94" spans="1:25" ht="15" customHeight="1" x14ac:dyDescent="0.2">
      <c r="A94" s="640" t="s">
        <v>165</v>
      </c>
      <c r="B94" s="1036" t="str">
        <f>GLOBAL_DER_FEV_2023!B94</f>
        <v/>
      </c>
      <c r="C94" s="1072" t="str">
        <f>GLOBAL_DER_FEV_2023!C94</f>
        <v/>
      </c>
      <c r="D94" s="1141">
        <f>GLOBAL_DER_FEV_2023!D94</f>
        <v>0</v>
      </c>
      <c r="E94" s="907">
        <f>GLOBAL_DER_FEV_2023!E94</f>
        <v>0</v>
      </c>
      <c r="F94" s="908">
        <f>GLOBAL_DER_FEV_2023!F94</f>
        <v>0</v>
      </c>
      <c r="G94" s="912">
        <f>GLOBAL_DER_FEV_2023!G94</f>
        <v>0</v>
      </c>
      <c r="H94" s="901">
        <f>GLOBAL_DER_FEV_2023!H94</f>
        <v>0</v>
      </c>
      <c r="I94" s="901">
        <f>GLOBAL_DER_FEV_2023!I94</f>
        <v>0</v>
      </c>
      <c r="J94" s="890">
        <f>GLOBAL_DER_FEV_2023!J94</f>
        <v>0</v>
      </c>
      <c r="K94" s="903" t="str">
        <f>GLOBAL_DER_FEV_2023!K94</f>
        <v xml:space="preserve">     </v>
      </c>
      <c r="L94" s="1137"/>
      <c r="M94" s="1138">
        <f t="shared" si="7"/>
        <v>0</v>
      </c>
      <c r="N94" s="893">
        <f t="shared" si="10"/>
        <v>0</v>
      </c>
      <c r="O94" s="905"/>
      <c r="Q94" s="317" t="str">
        <f t="shared" si="6"/>
        <v/>
      </c>
      <c r="R94" s="317" t="str">
        <f t="shared" si="8"/>
        <v/>
      </c>
      <c r="S94" s="317" t="str">
        <f t="shared" si="9"/>
        <v/>
      </c>
      <c r="T94" s="317" t="str">
        <f>GLOBAL_DER_FEV_2023!S94</f>
        <v/>
      </c>
      <c r="W94" s="582">
        <v>0</v>
      </c>
      <c r="X94" s="580"/>
      <c r="Y94" s="583">
        <f>IF(GLOBAL_DER_FEV_2023!W94=0,0,IF(GLOBAL_DER_FEV_2023!W94&gt;0,"c","b"))</f>
        <v>0</v>
      </c>
    </row>
    <row r="95" spans="1:25" ht="15" customHeight="1" x14ac:dyDescent="0.2">
      <c r="A95" s="640" t="s">
        <v>165</v>
      </c>
      <c r="B95" s="1036" t="str">
        <f>GLOBAL_DER_FEV_2023!B95</f>
        <v/>
      </c>
      <c r="C95" s="1072" t="str">
        <f>GLOBAL_DER_FEV_2023!C95</f>
        <v/>
      </c>
      <c r="D95" s="1141">
        <f>GLOBAL_DER_FEV_2023!D95</f>
        <v>0</v>
      </c>
      <c r="E95" s="907">
        <f>GLOBAL_DER_FEV_2023!E95</f>
        <v>0</v>
      </c>
      <c r="F95" s="908">
        <f>GLOBAL_DER_FEV_2023!F95</f>
        <v>0</v>
      </c>
      <c r="G95" s="912">
        <f>GLOBAL_DER_FEV_2023!G95</f>
        <v>0</v>
      </c>
      <c r="H95" s="901">
        <f>GLOBAL_DER_FEV_2023!H95</f>
        <v>0</v>
      </c>
      <c r="I95" s="901">
        <f>GLOBAL_DER_FEV_2023!I95</f>
        <v>0</v>
      </c>
      <c r="J95" s="890">
        <f>GLOBAL_DER_FEV_2023!J95</f>
        <v>0</v>
      </c>
      <c r="K95" s="903" t="str">
        <f>GLOBAL_DER_FEV_2023!K95</f>
        <v xml:space="preserve">     </v>
      </c>
      <c r="L95" s="1137"/>
      <c r="M95" s="1138">
        <f t="shared" si="7"/>
        <v>0</v>
      </c>
      <c r="N95" s="893">
        <f t="shared" si="10"/>
        <v>0</v>
      </c>
      <c r="O95" s="905"/>
      <c r="Q95" s="317" t="str">
        <f t="shared" si="6"/>
        <v/>
      </c>
      <c r="R95" s="317" t="str">
        <f t="shared" si="8"/>
        <v/>
      </c>
      <c r="S95" s="317" t="str">
        <f t="shared" si="9"/>
        <v/>
      </c>
      <c r="T95" s="317" t="str">
        <f>GLOBAL_DER_FEV_2023!S95</f>
        <v/>
      </c>
      <c r="W95" s="582">
        <v>0</v>
      </c>
      <c r="X95" s="580"/>
      <c r="Y95" s="583">
        <f>IF(GLOBAL_DER_FEV_2023!W95=0,0,IF(GLOBAL_DER_FEV_2023!W95&gt;0,"c","b"))</f>
        <v>0</v>
      </c>
    </row>
    <row r="96" spans="1:25" ht="15" customHeight="1" x14ac:dyDescent="0.2">
      <c r="A96" s="640" t="s">
        <v>165</v>
      </c>
      <c r="B96" s="1036" t="str">
        <f>GLOBAL_DER_FEV_2023!B96</f>
        <v/>
      </c>
      <c r="C96" s="1072" t="str">
        <f>GLOBAL_DER_FEV_2023!C96</f>
        <v/>
      </c>
      <c r="D96" s="1141">
        <f>GLOBAL_DER_FEV_2023!D96</f>
        <v>0</v>
      </c>
      <c r="E96" s="907">
        <f>GLOBAL_DER_FEV_2023!E96</f>
        <v>0</v>
      </c>
      <c r="F96" s="908">
        <f>GLOBAL_DER_FEV_2023!F96</f>
        <v>0</v>
      </c>
      <c r="G96" s="912">
        <f>GLOBAL_DER_FEV_2023!G96</f>
        <v>0</v>
      </c>
      <c r="H96" s="901">
        <f>GLOBAL_DER_FEV_2023!H96</f>
        <v>0</v>
      </c>
      <c r="I96" s="901">
        <f>GLOBAL_DER_FEV_2023!I96</f>
        <v>0</v>
      </c>
      <c r="J96" s="890">
        <f>GLOBAL_DER_FEV_2023!J96</f>
        <v>0</v>
      </c>
      <c r="K96" s="903" t="str">
        <f>GLOBAL_DER_FEV_2023!K96</f>
        <v xml:space="preserve">     </v>
      </c>
      <c r="L96" s="1137"/>
      <c r="M96" s="1138">
        <f t="shared" si="7"/>
        <v>0</v>
      </c>
      <c r="N96" s="893">
        <f t="shared" si="10"/>
        <v>0</v>
      </c>
      <c r="O96" s="905"/>
      <c r="Q96" s="317" t="str">
        <f t="shared" si="6"/>
        <v/>
      </c>
      <c r="R96" s="317" t="str">
        <f t="shared" si="8"/>
        <v/>
      </c>
      <c r="S96" s="317" t="str">
        <f t="shared" si="9"/>
        <v/>
      </c>
      <c r="T96" s="317" t="str">
        <f>GLOBAL_DER_FEV_2023!S96</f>
        <v/>
      </c>
      <c r="W96" s="582">
        <v>0</v>
      </c>
      <c r="X96" s="580"/>
      <c r="Y96" s="583">
        <f>IF(GLOBAL_DER_FEV_2023!W96=0,0,IF(GLOBAL_DER_FEV_2023!W96&gt;0,"c","b"))</f>
        <v>0</v>
      </c>
    </row>
    <row r="97" spans="1:25" ht="15" customHeight="1" x14ac:dyDescent="0.2">
      <c r="A97" s="640" t="s">
        <v>165</v>
      </c>
      <c r="B97" s="1036" t="str">
        <f>GLOBAL_DER_FEV_2023!B97</f>
        <v/>
      </c>
      <c r="C97" s="1072" t="str">
        <f>GLOBAL_DER_FEV_2023!C97</f>
        <v/>
      </c>
      <c r="D97" s="1141">
        <f>GLOBAL_DER_FEV_2023!D97</f>
        <v>0</v>
      </c>
      <c r="E97" s="907">
        <f>GLOBAL_DER_FEV_2023!E97</f>
        <v>0</v>
      </c>
      <c r="F97" s="908">
        <f>GLOBAL_DER_FEV_2023!F97</f>
        <v>0</v>
      </c>
      <c r="G97" s="912">
        <f>GLOBAL_DER_FEV_2023!G97</f>
        <v>0</v>
      </c>
      <c r="H97" s="901">
        <f>GLOBAL_DER_FEV_2023!H97</f>
        <v>0</v>
      </c>
      <c r="I97" s="901">
        <f>GLOBAL_DER_FEV_2023!I97</f>
        <v>0</v>
      </c>
      <c r="J97" s="890">
        <f>GLOBAL_DER_FEV_2023!J97</f>
        <v>0</v>
      </c>
      <c r="K97" s="903" t="str">
        <f>GLOBAL_DER_FEV_2023!K97</f>
        <v xml:space="preserve">     </v>
      </c>
      <c r="L97" s="1137"/>
      <c r="M97" s="1138">
        <f t="shared" si="7"/>
        <v>0</v>
      </c>
      <c r="N97" s="893">
        <f t="shared" si="10"/>
        <v>0</v>
      </c>
      <c r="O97" s="905"/>
      <c r="Q97" s="317" t="str">
        <f t="shared" si="6"/>
        <v/>
      </c>
      <c r="R97" s="317" t="str">
        <f t="shared" si="8"/>
        <v/>
      </c>
      <c r="S97" s="317" t="str">
        <f t="shared" si="9"/>
        <v/>
      </c>
      <c r="T97" s="317" t="str">
        <f>GLOBAL_DER_FEV_2023!S97</f>
        <v/>
      </c>
      <c r="W97" s="582">
        <v>0</v>
      </c>
      <c r="X97" s="580"/>
      <c r="Y97" s="583">
        <f>IF(GLOBAL_DER_FEV_2023!W97=0,0,IF(GLOBAL_DER_FEV_2023!W97&gt;0,"c","b"))</f>
        <v>0</v>
      </c>
    </row>
    <row r="98" spans="1:25" ht="15" customHeight="1" x14ac:dyDescent="0.2">
      <c r="A98" s="640" t="s">
        <v>165</v>
      </c>
      <c r="B98" s="1036" t="str">
        <f>GLOBAL_DER_FEV_2023!B98</f>
        <v/>
      </c>
      <c r="C98" s="1072" t="str">
        <f>GLOBAL_DER_FEV_2023!C98</f>
        <v/>
      </c>
      <c r="D98" s="1141">
        <f>GLOBAL_DER_FEV_2023!D98</f>
        <v>0</v>
      </c>
      <c r="E98" s="907">
        <f>GLOBAL_DER_FEV_2023!E98</f>
        <v>0</v>
      </c>
      <c r="F98" s="908">
        <f>GLOBAL_DER_FEV_2023!F98</f>
        <v>0</v>
      </c>
      <c r="G98" s="912">
        <f>GLOBAL_DER_FEV_2023!G98</f>
        <v>0</v>
      </c>
      <c r="H98" s="901">
        <f>GLOBAL_DER_FEV_2023!H98</f>
        <v>0</v>
      </c>
      <c r="I98" s="901">
        <f>GLOBAL_DER_FEV_2023!I98</f>
        <v>0</v>
      </c>
      <c r="J98" s="890">
        <f>GLOBAL_DER_FEV_2023!J98</f>
        <v>0</v>
      </c>
      <c r="K98" s="903" t="str">
        <f>GLOBAL_DER_FEV_2023!K98</f>
        <v xml:space="preserve">     </v>
      </c>
      <c r="L98" s="1137"/>
      <c r="M98" s="1138">
        <f t="shared" si="7"/>
        <v>0</v>
      </c>
      <c r="N98" s="893">
        <f t="shared" si="10"/>
        <v>0</v>
      </c>
      <c r="O98" s="905"/>
      <c r="Q98" s="317" t="str">
        <f t="shared" si="6"/>
        <v/>
      </c>
      <c r="R98" s="317" t="str">
        <f t="shared" si="8"/>
        <v/>
      </c>
      <c r="S98" s="317" t="str">
        <f t="shared" si="9"/>
        <v/>
      </c>
      <c r="T98" s="317" t="str">
        <f>GLOBAL_DER_FEV_2023!S98</f>
        <v/>
      </c>
      <c r="W98" s="582">
        <v>0</v>
      </c>
      <c r="X98" s="580"/>
      <c r="Y98" s="583">
        <f>IF(GLOBAL_DER_FEV_2023!W98=0,0,IF(GLOBAL_DER_FEV_2023!W98&gt;0,"c","b"))</f>
        <v>0</v>
      </c>
    </row>
    <row r="99" spans="1:25" ht="15" customHeight="1" x14ac:dyDescent="0.2">
      <c r="A99" s="640" t="s">
        <v>165</v>
      </c>
      <c r="B99" s="1036" t="str">
        <f>GLOBAL_DER_FEV_2023!B99</f>
        <v/>
      </c>
      <c r="C99" s="1072" t="str">
        <f>GLOBAL_DER_FEV_2023!C99</f>
        <v/>
      </c>
      <c r="D99" s="1141">
        <f>GLOBAL_DER_FEV_2023!D99</f>
        <v>0</v>
      </c>
      <c r="E99" s="907">
        <f>GLOBAL_DER_FEV_2023!E99</f>
        <v>0</v>
      </c>
      <c r="F99" s="908">
        <f>GLOBAL_DER_FEV_2023!F99</f>
        <v>0</v>
      </c>
      <c r="G99" s="912">
        <f>GLOBAL_DER_FEV_2023!G99</f>
        <v>0</v>
      </c>
      <c r="H99" s="901">
        <f>GLOBAL_DER_FEV_2023!H99</f>
        <v>0</v>
      </c>
      <c r="I99" s="901">
        <f>GLOBAL_DER_FEV_2023!I99</f>
        <v>0</v>
      </c>
      <c r="J99" s="890">
        <f>GLOBAL_DER_FEV_2023!J99</f>
        <v>0</v>
      </c>
      <c r="K99" s="903" t="str">
        <f>GLOBAL_DER_FEV_2023!K99</f>
        <v xml:space="preserve">     </v>
      </c>
      <c r="L99" s="1137"/>
      <c r="M99" s="1138">
        <f t="shared" si="7"/>
        <v>0</v>
      </c>
      <c r="N99" s="893">
        <f t="shared" si="10"/>
        <v>0</v>
      </c>
      <c r="O99" s="905"/>
      <c r="Q99" s="317" t="str">
        <f t="shared" si="6"/>
        <v/>
      </c>
      <c r="R99" s="317" t="str">
        <f t="shared" si="8"/>
        <v/>
      </c>
      <c r="S99" s="317" t="str">
        <f t="shared" si="9"/>
        <v/>
      </c>
      <c r="T99" s="317" t="str">
        <f>GLOBAL_DER_FEV_2023!S99</f>
        <v/>
      </c>
      <c r="W99" s="582">
        <v>0</v>
      </c>
      <c r="X99" s="580"/>
      <c r="Y99" s="583">
        <f>IF(GLOBAL_DER_FEV_2023!W99=0,0,IF(GLOBAL_DER_FEV_2023!W99&gt;0,"c","b"))</f>
        <v>0</v>
      </c>
    </row>
    <row r="100" spans="1:25" ht="15" customHeight="1" x14ac:dyDescent="0.2">
      <c r="A100" s="640" t="s">
        <v>165</v>
      </c>
      <c r="B100" s="1036" t="str">
        <f>GLOBAL_DER_FEV_2023!B100</f>
        <v/>
      </c>
      <c r="C100" s="1072" t="str">
        <f>GLOBAL_DER_FEV_2023!C100</f>
        <v/>
      </c>
      <c r="D100" s="1141">
        <f>GLOBAL_DER_FEV_2023!D100</f>
        <v>0</v>
      </c>
      <c r="E100" s="907">
        <f>GLOBAL_DER_FEV_2023!E100</f>
        <v>0</v>
      </c>
      <c r="F100" s="908">
        <f>GLOBAL_DER_FEV_2023!F100</f>
        <v>0</v>
      </c>
      <c r="G100" s="912">
        <f>GLOBAL_DER_FEV_2023!G100</f>
        <v>0</v>
      </c>
      <c r="H100" s="901">
        <f>GLOBAL_DER_FEV_2023!H100</f>
        <v>0</v>
      </c>
      <c r="I100" s="901">
        <f>GLOBAL_DER_FEV_2023!I100</f>
        <v>0</v>
      </c>
      <c r="J100" s="890">
        <f>GLOBAL_DER_FEV_2023!J100</f>
        <v>0</v>
      </c>
      <c r="K100" s="903" t="str">
        <f>GLOBAL_DER_FEV_2023!K100</f>
        <v xml:space="preserve">     </v>
      </c>
      <c r="L100" s="1137"/>
      <c r="M100" s="1138">
        <f t="shared" si="7"/>
        <v>0</v>
      </c>
      <c r="N100" s="893">
        <f t="shared" si="10"/>
        <v>0</v>
      </c>
      <c r="O100" s="905"/>
      <c r="Q100" s="317" t="str">
        <f t="shared" si="6"/>
        <v/>
      </c>
      <c r="R100" s="317" t="str">
        <f t="shared" si="8"/>
        <v/>
      </c>
      <c r="S100" s="317" t="str">
        <f t="shared" si="9"/>
        <v/>
      </c>
      <c r="T100" s="317" t="str">
        <f>GLOBAL_DER_FEV_2023!S100</f>
        <v/>
      </c>
      <c r="W100" s="582">
        <v>0</v>
      </c>
      <c r="X100" s="580"/>
      <c r="Y100" s="583">
        <f>IF(GLOBAL_DER_FEV_2023!W100=0,0,IF(GLOBAL_DER_FEV_2023!W100&gt;0,"c","b"))</f>
        <v>0</v>
      </c>
    </row>
    <row r="101" spans="1:25" ht="15" customHeight="1" x14ac:dyDescent="0.2">
      <c r="A101" s="640" t="s">
        <v>165</v>
      </c>
      <c r="B101" s="1036" t="str">
        <f>GLOBAL_DER_FEV_2023!B101</f>
        <v/>
      </c>
      <c r="C101" s="1072" t="str">
        <f>GLOBAL_DER_FEV_2023!C101</f>
        <v/>
      </c>
      <c r="D101" s="1141">
        <f>GLOBAL_DER_FEV_2023!D101</f>
        <v>0</v>
      </c>
      <c r="E101" s="907">
        <f>GLOBAL_DER_FEV_2023!E101</f>
        <v>0</v>
      </c>
      <c r="F101" s="908">
        <f>GLOBAL_DER_FEV_2023!F101</f>
        <v>0</v>
      </c>
      <c r="G101" s="912">
        <f>GLOBAL_DER_FEV_2023!G101</f>
        <v>0</v>
      </c>
      <c r="H101" s="901">
        <f>GLOBAL_DER_FEV_2023!H101</f>
        <v>0</v>
      </c>
      <c r="I101" s="901">
        <f>GLOBAL_DER_FEV_2023!I101</f>
        <v>0</v>
      </c>
      <c r="J101" s="890">
        <f>GLOBAL_DER_FEV_2023!J101</f>
        <v>0</v>
      </c>
      <c r="K101" s="903" t="str">
        <f>GLOBAL_DER_FEV_2023!K101</f>
        <v xml:space="preserve">     </v>
      </c>
      <c r="L101" s="1137"/>
      <c r="M101" s="1138">
        <f t="shared" si="7"/>
        <v>0</v>
      </c>
      <c r="N101" s="893">
        <f t="shared" si="10"/>
        <v>0</v>
      </c>
      <c r="O101" s="905"/>
      <c r="Q101" s="317" t="str">
        <f t="shared" si="6"/>
        <v/>
      </c>
      <c r="R101" s="317" t="str">
        <f t="shared" si="8"/>
        <v/>
      </c>
      <c r="S101" s="317" t="str">
        <f t="shared" si="9"/>
        <v/>
      </c>
      <c r="T101" s="317" t="str">
        <f>GLOBAL_DER_FEV_2023!S101</f>
        <v/>
      </c>
      <c r="W101" s="582">
        <v>0</v>
      </c>
      <c r="X101" s="580"/>
      <c r="Y101" s="583">
        <f>IF(GLOBAL_DER_FEV_2023!W101=0,0,IF(GLOBAL_DER_FEV_2023!W101&gt;0,"c","b"))</f>
        <v>0</v>
      </c>
    </row>
    <row r="102" spans="1:25" ht="15" customHeight="1" x14ac:dyDescent="0.2">
      <c r="A102" s="640" t="s">
        <v>165</v>
      </c>
      <c r="B102" s="1036" t="str">
        <f>GLOBAL_DER_FEV_2023!B102</f>
        <v/>
      </c>
      <c r="C102" s="1072" t="str">
        <f>GLOBAL_DER_FEV_2023!C102</f>
        <v/>
      </c>
      <c r="D102" s="1141">
        <f>GLOBAL_DER_FEV_2023!D102</f>
        <v>0</v>
      </c>
      <c r="E102" s="907">
        <f>GLOBAL_DER_FEV_2023!E102</f>
        <v>0</v>
      </c>
      <c r="F102" s="908">
        <f>GLOBAL_DER_FEV_2023!F102</f>
        <v>0</v>
      </c>
      <c r="G102" s="912">
        <f>GLOBAL_DER_FEV_2023!G102</f>
        <v>0</v>
      </c>
      <c r="H102" s="901">
        <f>GLOBAL_DER_FEV_2023!H102</f>
        <v>0</v>
      </c>
      <c r="I102" s="901">
        <f>GLOBAL_DER_FEV_2023!I102</f>
        <v>0</v>
      </c>
      <c r="J102" s="890">
        <f>GLOBAL_DER_FEV_2023!J102</f>
        <v>0</v>
      </c>
      <c r="K102" s="903" t="str">
        <f>GLOBAL_DER_FEV_2023!K102</f>
        <v xml:space="preserve">     </v>
      </c>
      <c r="L102" s="1137"/>
      <c r="M102" s="1138">
        <f t="shared" si="7"/>
        <v>0</v>
      </c>
      <c r="N102" s="893">
        <f t="shared" si="10"/>
        <v>0</v>
      </c>
      <c r="O102" s="905"/>
      <c r="Q102" s="317" t="str">
        <f t="shared" si="6"/>
        <v/>
      </c>
      <c r="R102" s="317" t="str">
        <f t="shared" si="8"/>
        <v/>
      </c>
      <c r="S102" s="317" t="str">
        <f t="shared" si="9"/>
        <v/>
      </c>
      <c r="T102" s="317" t="str">
        <f>GLOBAL_DER_FEV_2023!S102</f>
        <v/>
      </c>
      <c r="W102" s="582">
        <v>0</v>
      </c>
      <c r="X102" s="580"/>
      <c r="Y102" s="583">
        <f>IF(GLOBAL_DER_FEV_2023!W102=0,0,IF(GLOBAL_DER_FEV_2023!W102&gt;0,"c","b"))</f>
        <v>0</v>
      </c>
    </row>
    <row r="103" spans="1:25" ht="15" customHeight="1" x14ac:dyDescent="0.2">
      <c r="A103" s="640" t="s">
        <v>165</v>
      </c>
      <c r="B103" s="1036" t="str">
        <f>GLOBAL_DER_FEV_2023!B103</f>
        <v/>
      </c>
      <c r="C103" s="1072" t="str">
        <f>GLOBAL_DER_FEV_2023!C103</f>
        <v/>
      </c>
      <c r="D103" s="1141">
        <f>GLOBAL_DER_FEV_2023!D103</f>
        <v>0</v>
      </c>
      <c r="E103" s="907">
        <f>GLOBAL_DER_FEV_2023!E103</f>
        <v>0</v>
      </c>
      <c r="F103" s="908">
        <f>GLOBAL_DER_FEV_2023!F103</f>
        <v>0</v>
      </c>
      <c r="G103" s="912">
        <f>GLOBAL_DER_FEV_2023!G103</f>
        <v>0</v>
      </c>
      <c r="H103" s="901">
        <f>GLOBAL_DER_FEV_2023!H103</f>
        <v>0</v>
      </c>
      <c r="I103" s="901">
        <f>GLOBAL_DER_FEV_2023!I103</f>
        <v>0</v>
      </c>
      <c r="J103" s="890">
        <f>GLOBAL_DER_FEV_2023!J103</f>
        <v>0</v>
      </c>
      <c r="K103" s="903" t="str">
        <f>GLOBAL_DER_FEV_2023!K103</f>
        <v xml:space="preserve">     </v>
      </c>
      <c r="L103" s="1137"/>
      <c r="M103" s="1138">
        <f t="shared" si="7"/>
        <v>0</v>
      </c>
      <c r="N103" s="893">
        <f t="shared" si="10"/>
        <v>0</v>
      </c>
      <c r="O103" s="905"/>
      <c r="Q103" s="317" t="str">
        <f t="shared" si="6"/>
        <v/>
      </c>
      <c r="R103" s="317" t="str">
        <f t="shared" si="8"/>
        <v/>
      </c>
      <c r="S103" s="317" t="str">
        <f t="shared" si="9"/>
        <v/>
      </c>
      <c r="T103" s="317" t="str">
        <f>GLOBAL_DER_FEV_2023!S103</f>
        <v/>
      </c>
      <c r="W103" s="582">
        <v>0</v>
      </c>
      <c r="X103" s="580"/>
      <c r="Y103" s="583">
        <f>IF(GLOBAL_DER_FEV_2023!W103=0,0,IF(GLOBAL_DER_FEV_2023!W103&gt;0,"c","b"))</f>
        <v>0</v>
      </c>
    </row>
    <row r="104" spans="1:25" ht="15" customHeight="1" x14ac:dyDescent="0.2">
      <c r="A104" s="640" t="s">
        <v>165</v>
      </c>
      <c r="B104" s="1036" t="str">
        <f>GLOBAL_DER_FEV_2023!B104</f>
        <v/>
      </c>
      <c r="C104" s="1072" t="str">
        <f>GLOBAL_DER_FEV_2023!C104</f>
        <v/>
      </c>
      <c r="D104" s="1141">
        <f>GLOBAL_DER_FEV_2023!D104</f>
        <v>0</v>
      </c>
      <c r="E104" s="907">
        <f>GLOBAL_DER_FEV_2023!E104</f>
        <v>0</v>
      </c>
      <c r="F104" s="908">
        <f>GLOBAL_DER_FEV_2023!F104</f>
        <v>0</v>
      </c>
      <c r="G104" s="912">
        <f>GLOBAL_DER_FEV_2023!G104</f>
        <v>0</v>
      </c>
      <c r="H104" s="901">
        <f>GLOBAL_DER_FEV_2023!H104</f>
        <v>0</v>
      </c>
      <c r="I104" s="901">
        <f>GLOBAL_DER_FEV_2023!I104</f>
        <v>0</v>
      </c>
      <c r="J104" s="890">
        <f>GLOBAL_DER_FEV_2023!J104</f>
        <v>0</v>
      </c>
      <c r="K104" s="903" t="str">
        <f>GLOBAL_DER_FEV_2023!K104</f>
        <v xml:space="preserve">     </v>
      </c>
      <c r="L104" s="1137"/>
      <c r="M104" s="1138">
        <f t="shared" si="7"/>
        <v>0</v>
      </c>
      <c r="N104" s="893">
        <f t="shared" si="10"/>
        <v>0</v>
      </c>
      <c r="O104" s="905"/>
      <c r="Q104" s="317" t="str">
        <f t="shared" si="6"/>
        <v/>
      </c>
      <c r="R104" s="317" t="str">
        <f t="shared" si="8"/>
        <v/>
      </c>
      <c r="S104" s="317" t="str">
        <f t="shared" si="9"/>
        <v/>
      </c>
      <c r="T104" s="317" t="str">
        <f>GLOBAL_DER_FEV_2023!S104</f>
        <v/>
      </c>
      <c r="W104" s="582">
        <v>0</v>
      </c>
      <c r="X104" s="580"/>
      <c r="Y104" s="583">
        <f>IF(GLOBAL_DER_FEV_2023!W104=0,0,IF(GLOBAL_DER_FEV_2023!W104&gt;0,"c","b"))</f>
        <v>0</v>
      </c>
    </row>
    <row r="105" spans="1:25" ht="15" customHeight="1" x14ac:dyDescent="0.2">
      <c r="A105" s="640" t="s">
        <v>165</v>
      </c>
      <c r="B105" s="1036" t="str">
        <f>GLOBAL_DER_FEV_2023!B105</f>
        <v/>
      </c>
      <c r="C105" s="1072" t="str">
        <f>GLOBAL_DER_FEV_2023!C105</f>
        <v/>
      </c>
      <c r="D105" s="1141">
        <f>GLOBAL_DER_FEV_2023!D105</f>
        <v>0</v>
      </c>
      <c r="E105" s="907">
        <f>GLOBAL_DER_FEV_2023!E105</f>
        <v>0</v>
      </c>
      <c r="F105" s="908">
        <f>GLOBAL_DER_FEV_2023!F105</f>
        <v>0</v>
      </c>
      <c r="G105" s="912">
        <f>GLOBAL_DER_FEV_2023!G105</f>
        <v>0</v>
      </c>
      <c r="H105" s="901">
        <f>GLOBAL_DER_FEV_2023!H105</f>
        <v>0</v>
      </c>
      <c r="I105" s="901">
        <f>GLOBAL_DER_FEV_2023!I105</f>
        <v>0</v>
      </c>
      <c r="J105" s="890">
        <f>GLOBAL_DER_FEV_2023!J105</f>
        <v>0</v>
      </c>
      <c r="K105" s="903" t="str">
        <f>GLOBAL_DER_FEV_2023!K105</f>
        <v xml:space="preserve">     </v>
      </c>
      <c r="L105" s="1137"/>
      <c r="M105" s="1138">
        <f t="shared" si="7"/>
        <v>0</v>
      </c>
      <c r="N105" s="893">
        <f t="shared" si="10"/>
        <v>0</v>
      </c>
      <c r="O105" s="905"/>
      <c r="Q105" s="317" t="str">
        <f t="shared" si="6"/>
        <v/>
      </c>
      <c r="R105" s="317" t="str">
        <f t="shared" si="8"/>
        <v/>
      </c>
      <c r="S105" s="317" t="str">
        <f t="shared" si="9"/>
        <v/>
      </c>
      <c r="T105" s="317" t="str">
        <f>GLOBAL_DER_FEV_2023!S105</f>
        <v/>
      </c>
      <c r="W105" s="582">
        <v>0</v>
      </c>
      <c r="X105" s="580"/>
      <c r="Y105" s="583">
        <f>IF(GLOBAL_DER_FEV_2023!W105=0,0,IF(GLOBAL_DER_FEV_2023!W105&gt;0,"c","b"))</f>
        <v>0</v>
      </c>
    </row>
    <row r="106" spans="1:25" ht="15" customHeight="1" x14ac:dyDescent="0.2">
      <c r="A106" s="640" t="s">
        <v>165</v>
      </c>
      <c r="B106" s="1036" t="str">
        <f>GLOBAL_DER_FEV_2023!B106</f>
        <v/>
      </c>
      <c r="C106" s="1072" t="str">
        <f>GLOBAL_DER_FEV_2023!C106</f>
        <v/>
      </c>
      <c r="D106" s="1141">
        <f>GLOBAL_DER_FEV_2023!D106</f>
        <v>0</v>
      </c>
      <c r="E106" s="907">
        <f>GLOBAL_DER_FEV_2023!E106</f>
        <v>0</v>
      </c>
      <c r="F106" s="908">
        <f>GLOBAL_DER_FEV_2023!F106</f>
        <v>0</v>
      </c>
      <c r="G106" s="912">
        <f>GLOBAL_DER_FEV_2023!G106</f>
        <v>0</v>
      </c>
      <c r="H106" s="901">
        <f>GLOBAL_DER_FEV_2023!H106</f>
        <v>0</v>
      </c>
      <c r="I106" s="901">
        <f>GLOBAL_DER_FEV_2023!I106</f>
        <v>0</v>
      </c>
      <c r="J106" s="890">
        <f>GLOBAL_DER_FEV_2023!J106</f>
        <v>0</v>
      </c>
      <c r="K106" s="903" t="str">
        <f>GLOBAL_DER_FEV_2023!K106</f>
        <v xml:space="preserve">     </v>
      </c>
      <c r="L106" s="1137"/>
      <c r="M106" s="1138">
        <f t="shared" si="7"/>
        <v>0</v>
      </c>
      <c r="N106" s="893">
        <f t="shared" si="10"/>
        <v>0</v>
      </c>
      <c r="O106" s="905"/>
      <c r="Q106" s="317" t="str">
        <f t="shared" si="6"/>
        <v/>
      </c>
      <c r="R106" s="317" t="str">
        <f t="shared" si="8"/>
        <v/>
      </c>
      <c r="S106" s="317" t="str">
        <f t="shared" si="9"/>
        <v/>
      </c>
      <c r="T106" s="317" t="str">
        <f>GLOBAL_DER_FEV_2023!S106</f>
        <v/>
      </c>
      <c r="W106" s="582">
        <v>0</v>
      </c>
      <c r="X106" s="580"/>
      <c r="Y106" s="583">
        <f>IF(GLOBAL_DER_FEV_2023!W106=0,0,IF(GLOBAL_DER_FEV_2023!W106&gt;0,"c","b"))</f>
        <v>0</v>
      </c>
    </row>
    <row r="107" spans="1:25" ht="15" customHeight="1" x14ac:dyDescent="0.2">
      <c r="A107" s="640" t="s">
        <v>165</v>
      </c>
      <c r="B107" s="1036" t="str">
        <f>GLOBAL_DER_FEV_2023!B107</f>
        <v/>
      </c>
      <c r="C107" s="1072" t="str">
        <f>GLOBAL_DER_FEV_2023!C107</f>
        <v/>
      </c>
      <c r="D107" s="1141">
        <f>GLOBAL_DER_FEV_2023!D107</f>
        <v>0</v>
      </c>
      <c r="E107" s="907">
        <f>GLOBAL_DER_FEV_2023!E107</f>
        <v>0</v>
      </c>
      <c r="F107" s="908">
        <f>GLOBAL_DER_FEV_2023!F107</f>
        <v>0</v>
      </c>
      <c r="G107" s="912">
        <f>GLOBAL_DER_FEV_2023!G107</f>
        <v>0</v>
      </c>
      <c r="H107" s="901">
        <f>GLOBAL_DER_FEV_2023!H107</f>
        <v>0</v>
      </c>
      <c r="I107" s="901">
        <f>GLOBAL_DER_FEV_2023!I107</f>
        <v>0</v>
      </c>
      <c r="J107" s="890">
        <f>GLOBAL_DER_FEV_2023!J107</f>
        <v>0</v>
      </c>
      <c r="K107" s="903" t="str">
        <f>GLOBAL_DER_FEV_2023!K107</f>
        <v xml:space="preserve">     </v>
      </c>
      <c r="L107" s="1137"/>
      <c r="M107" s="1138">
        <f t="shared" si="7"/>
        <v>0</v>
      </c>
      <c r="N107" s="893">
        <f t="shared" si="10"/>
        <v>0</v>
      </c>
      <c r="O107" s="905"/>
      <c r="Q107" s="317" t="str">
        <f t="shared" si="6"/>
        <v/>
      </c>
      <c r="R107" s="317" t="str">
        <f t="shared" si="8"/>
        <v/>
      </c>
      <c r="S107" s="317" t="str">
        <f t="shared" si="9"/>
        <v/>
      </c>
      <c r="T107" s="317" t="str">
        <f>GLOBAL_DER_FEV_2023!S107</f>
        <v/>
      </c>
      <c r="W107" s="582">
        <v>0</v>
      </c>
      <c r="X107" s="580"/>
      <c r="Y107" s="583">
        <f>IF(GLOBAL_DER_FEV_2023!W107=0,0,IF(GLOBAL_DER_FEV_2023!W107&gt;0,"c","b"))</f>
        <v>0</v>
      </c>
    </row>
    <row r="108" spans="1:25" ht="15" customHeight="1" x14ac:dyDescent="0.2">
      <c r="A108" s="640" t="s">
        <v>165</v>
      </c>
      <c r="B108" s="1036" t="str">
        <f>GLOBAL_DER_FEV_2023!B108</f>
        <v/>
      </c>
      <c r="C108" s="1072" t="str">
        <f>GLOBAL_DER_FEV_2023!C108</f>
        <v/>
      </c>
      <c r="D108" s="1141">
        <f>GLOBAL_DER_FEV_2023!D108</f>
        <v>0</v>
      </c>
      <c r="E108" s="907">
        <f>GLOBAL_DER_FEV_2023!E108</f>
        <v>0</v>
      </c>
      <c r="F108" s="908">
        <f>GLOBAL_DER_FEV_2023!F108</f>
        <v>0</v>
      </c>
      <c r="G108" s="912">
        <f>GLOBAL_DER_FEV_2023!G108</f>
        <v>0</v>
      </c>
      <c r="H108" s="901">
        <f>GLOBAL_DER_FEV_2023!H108</f>
        <v>0</v>
      </c>
      <c r="I108" s="901">
        <f>GLOBAL_DER_FEV_2023!I108</f>
        <v>0</v>
      </c>
      <c r="J108" s="890">
        <f>GLOBAL_DER_FEV_2023!J108</f>
        <v>0</v>
      </c>
      <c r="K108" s="903" t="str">
        <f>GLOBAL_DER_FEV_2023!K108</f>
        <v xml:space="preserve">     </v>
      </c>
      <c r="L108" s="1137"/>
      <c r="M108" s="1138">
        <f t="shared" si="7"/>
        <v>0</v>
      </c>
      <c r="N108" s="893">
        <f t="shared" si="10"/>
        <v>0</v>
      </c>
      <c r="O108" s="905"/>
      <c r="Q108" s="317" t="str">
        <f t="shared" si="6"/>
        <v/>
      </c>
      <c r="R108" s="317" t="str">
        <f t="shared" si="8"/>
        <v/>
      </c>
      <c r="S108" s="317" t="str">
        <f t="shared" si="9"/>
        <v/>
      </c>
      <c r="T108" s="317" t="str">
        <f>GLOBAL_DER_FEV_2023!S108</f>
        <v/>
      </c>
      <c r="W108" s="582">
        <v>0</v>
      </c>
      <c r="X108" s="580"/>
      <c r="Y108" s="583">
        <f>IF(GLOBAL_DER_FEV_2023!W108=0,0,IF(GLOBAL_DER_FEV_2023!W108&gt;0,"c","b"))</f>
        <v>0</v>
      </c>
    </row>
    <row r="109" spans="1:25" ht="15" customHeight="1" x14ac:dyDescent="0.2">
      <c r="A109" s="640" t="s">
        <v>165</v>
      </c>
      <c r="B109" s="1036" t="str">
        <f>GLOBAL_DER_FEV_2023!B109</f>
        <v/>
      </c>
      <c r="C109" s="1072" t="str">
        <f>GLOBAL_DER_FEV_2023!C109</f>
        <v/>
      </c>
      <c r="D109" s="1141">
        <f>GLOBAL_DER_FEV_2023!D109</f>
        <v>0</v>
      </c>
      <c r="E109" s="907">
        <f>GLOBAL_DER_FEV_2023!E109</f>
        <v>0</v>
      </c>
      <c r="F109" s="908">
        <f>GLOBAL_DER_FEV_2023!F109</f>
        <v>0</v>
      </c>
      <c r="G109" s="912">
        <f>GLOBAL_DER_FEV_2023!G109</f>
        <v>0</v>
      </c>
      <c r="H109" s="901">
        <f>GLOBAL_DER_FEV_2023!H109</f>
        <v>0</v>
      </c>
      <c r="I109" s="901">
        <f>GLOBAL_DER_FEV_2023!I109</f>
        <v>0</v>
      </c>
      <c r="J109" s="890">
        <f>GLOBAL_DER_FEV_2023!J109</f>
        <v>0</v>
      </c>
      <c r="K109" s="903" t="str">
        <f>GLOBAL_DER_FEV_2023!K109</f>
        <v xml:space="preserve">     </v>
      </c>
      <c r="L109" s="1137"/>
      <c r="M109" s="1138">
        <f t="shared" si="7"/>
        <v>0</v>
      </c>
      <c r="N109" s="893">
        <f t="shared" si="10"/>
        <v>0</v>
      </c>
      <c r="O109" s="905"/>
      <c r="Q109" s="317" t="str">
        <f t="shared" si="6"/>
        <v/>
      </c>
      <c r="R109" s="317" t="str">
        <f t="shared" si="8"/>
        <v/>
      </c>
      <c r="S109" s="317" t="str">
        <f t="shared" si="9"/>
        <v/>
      </c>
      <c r="T109" s="317" t="str">
        <f>GLOBAL_DER_FEV_2023!S109</f>
        <v/>
      </c>
      <c r="W109" s="582">
        <v>0</v>
      </c>
      <c r="X109" s="580"/>
      <c r="Y109" s="583">
        <f>IF(GLOBAL_DER_FEV_2023!W109=0,0,IF(GLOBAL_DER_FEV_2023!W109&gt;0,"c","b"))</f>
        <v>0</v>
      </c>
    </row>
    <row r="110" spans="1:25" ht="15" customHeight="1" x14ac:dyDescent="0.2">
      <c r="A110" s="640" t="s">
        <v>165</v>
      </c>
      <c r="B110" s="1036" t="str">
        <f>GLOBAL_DER_FEV_2023!B110</f>
        <v/>
      </c>
      <c r="C110" s="1072" t="str">
        <f>GLOBAL_DER_FEV_2023!C110</f>
        <v/>
      </c>
      <c r="D110" s="1141">
        <f>GLOBAL_DER_FEV_2023!D110</f>
        <v>0</v>
      </c>
      <c r="E110" s="907">
        <f>GLOBAL_DER_FEV_2023!E110</f>
        <v>0</v>
      </c>
      <c r="F110" s="908">
        <f>GLOBAL_DER_FEV_2023!F110</f>
        <v>0</v>
      </c>
      <c r="G110" s="912">
        <f>GLOBAL_DER_FEV_2023!G110</f>
        <v>0</v>
      </c>
      <c r="H110" s="901">
        <f>GLOBAL_DER_FEV_2023!H110</f>
        <v>0</v>
      </c>
      <c r="I110" s="901">
        <f>GLOBAL_DER_FEV_2023!I110</f>
        <v>0</v>
      </c>
      <c r="J110" s="890">
        <f>GLOBAL_DER_FEV_2023!J110</f>
        <v>0</v>
      </c>
      <c r="K110" s="903" t="str">
        <f>GLOBAL_DER_FEV_2023!K110</f>
        <v xml:space="preserve">     </v>
      </c>
      <c r="L110" s="1137"/>
      <c r="M110" s="1138">
        <f t="shared" si="7"/>
        <v>0</v>
      </c>
      <c r="N110" s="893">
        <f t="shared" si="10"/>
        <v>0</v>
      </c>
      <c r="O110" s="905"/>
      <c r="Q110" s="317" t="str">
        <f t="shared" si="6"/>
        <v/>
      </c>
      <c r="R110" s="317" t="str">
        <f t="shared" si="8"/>
        <v/>
      </c>
      <c r="S110" s="317" t="str">
        <f t="shared" si="9"/>
        <v/>
      </c>
      <c r="T110" s="317" t="str">
        <f>GLOBAL_DER_FEV_2023!S110</f>
        <v/>
      </c>
      <c r="W110" s="582">
        <v>0</v>
      </c>
      <c r="X110" s="580"/>
      <c r="Y110" s="583">
        <f>IF(GLOBAL_DER_FEV_2023!W110=0,0,IF(GLOBAL_DER_FEV_2023!W110&gt;0,"c","b"))</f>
        <v>0</v>
      </c>
    </row>
    <row r="111" spans="1:25" ht="15" customHeight="1" x14ac:dyDescent="0.2">
      <c r="A111" s="640" t="s">
        <v>165</v>
      </c>
      <c r="B111" s="1036" t="str">
        <f>GLOBAL_DER_FEV_2023!B111</f>
        <v/>
      </c>
      <c r="C111" s="1072" t="str">
        <f>GLOBAL_DER_FEV_2023!C111</f>
        <v/>
      </c>
      <c r="D111" s="1141">
        <f>GLOBAL_DER_FEV_2023!D111</f>
        <v>0</v>
      </c>
      <c r="E111" s="907">
        <f>GLOBAL_DER_FEV_2023!E111</f>
        <v>0</v>
      </c>
      <c r="F111" s="908">
        <f>GLOBAL_DER_FEV_2023!F111</f>
        <v>0</v>
      </c>
      <c r="G111" s="912">
        <f>GLOBAL_DER_FEV_2023!G111</f>
        <v>0</v>
      </c>
      <c r="H111" s="901">
        <f>GLOBAL_DER_FEV_2023!H111</f>
        <v>0</v>
      </c>
      <c r="I111" s="901">
        <f>GLOBAL_DER_FEV_2023!I111</f>
        <v>0</v>
      </c>
      <c r="J111" s="890">
        <f>GLOBAL_DER_FEV_2023!J111</f>
        <v>0</v>
      </c>
      <c r="K111" s="903" t="str">
        <f>GLOBAL_DER_FEV_2023!K111</f>
        <v xml:space="preserve">     </v>
      </c>
      <c r="L111" s="1137"/>
      <c r="M111" s="1138">
        <f t="shared" si="7"/>
        <v>0</v>
      </c>
      <c r="N111" s="893">
        <f t="shared" si="10"/>
        <v>0</v>
      </c>
      <c r="O111" s="905"/>
      <c r="Q111" s="317" t="str">
        <f t="shared" si="6"/>
        <v/>
      </c>
      <c r="R111" s="317" t="str">
        <f t="shared" si="8"/>
        <v/>
      </c>
      <c r="S111" s="317" t="str">
        <f t="shared" si="9"/>
        <v/>
      </c>
      <c r="T111" s="317" t="str">
        <f>GLOBAL_DER_FEV_2023!S111</f>
        <v/>
      </c>
      <c r="W111" s="582">
        <v>0</v>
      </c>
      <c r="X111" s="580"/>
      <c r="Y111" s="583">
        <f>IF(GLOBAL_DER_FEV_2023!W111=0,0,IF(GLOBAL_DER_FEV_2023!W111&gt;0,"c","b"))</f>
        <v>0</v>
      </c>
    </row>
    <row r="112" spans="1:25" ht="15" customHeight="1" x14ac:dyDescent="0.2">
      <c r="A112" s="640" t="s">
        <v>165</v>
      </c>
      <c r="B112" s="1036" t="str">
        <f>GLOBAL_DER_FEV_2023!B112</f>
        <v/>
      </c>
      <c r="C112" s="1072" t="str">
        <f>GLOBAL_DER_FEV_2023!C112</f>
        <v/>
      </c>
      <c r="D112" s="1141">
        <f>GLOBAL_DER_FEV_2023!D112</f>
        <v>0</v>
      </c>
      <c r="E112" s="907">
        <f>GLOBAL_DER_FEV_2023!E112</f>
        <v>0</v>
      </c>
      <c r="F112" s="908">
        <f>GLOBAL_DER_FEV_2023!F112</f>
        <v>0</v>
      </c>
      <c r="G112" s="912">
        <f>GLOBAL_DER_FEV_2023!G112</f>
        <v>0</v>
      </c>
      <c r="H112" s="901">
        <f>GLOBAL_DER_FEV_2023!H112</f>
        <v>0</v>
      </c>
      <c r="I112" s="901">
        <f>GLOBAL_DER_FEV_2023!I112</f>
        <v>0</v>
      </c>
      <c r="J112" s="890">
        <f>GLOBAL_DER_FEV_2023!J112</f>
        <v>0</v>
      </c>
      <c r="K112" s="903" t="str">
        <f>GLOBAL_DER_FEV_2023!K112</f>
        <v xml:space="preserve">     </v>
      </c>
      <c r="L112" s="1137"/>
      <c r="M112" s="1138">
        <f t="shared" si="7"/>
        <v>0</v>
      </c>
      <c r="N112" s="893">
        <f t="shared" si="10"/>
        <v>0</v>
      </c>
      <c r="O112" s="905"/>
      <c r="Q112" s="317" t="str">
        <f t="shared" si="6"/>
        <v/>
      </c>
      <c r="R112" s="317" t="str">
        <f t="shared" si="8"/>
        <v/>
      </c>
      <c r="S112" s="317" t="str">
        <f t="shared" si="9"/>
        <v/>
      </c>
      <c r="T112" s="317" t="str">
        <f>GLOBAL_DER_FEV_2023!S112</f>
        <v/>
      </c>
      <c r="W112" s="582">
        <v>0</v>
      </c>
      <c r="X112" s="580"/>
      <c r="Y112" s="583">
        <f>IF(GLOBAL_DER_FEV_2023!W112=0,0,IF(GLOBAL_DER_FEV_2023!W112&gt;0,"c","b"))</f>
        <v>0</v>
      </c>
    </row>
    <row r="113" spans="1:25" ht="15" customHeight="1" x14ac:dyDescent="0.2">
      <c r="A113" s="640" t="s">
        <v>165</v>
      </c>
      <c r="B113" s="1036" t="str">
        <f>GLOBAL_DER_FEV_2023!B113</f>
        <v/>
      </c>
      <c r="C113" s="1072" t="str">
        <f>GLOBAL_DER_FEV_2023!C113</f>
        <v/>
      </c>
      <c r="D113" s="1141">
        <f>GLOBAL_DER_FEV_2023!D113</f>
        <v>0</v>
      </c>
      <c r="E113" s="907">
        <f>GLOBAL_DER_FEV_2023!E113</f>
        <v>0</v>
      </c>
      <c r="F113" s="908">
        <f>GLOBAL_DER_FEV_2023!F113</f>
        <v>0</v>
      </c>
      <c r="G113" s="912">
        <f>GLOBAL_DER_FEV_2023!G113</f>
        <v>0</v>
      </c>
      <c r="H113" s="901">
        <f>GLOBAL_DER_FEV_2023!H113</f>
        <v>0</v>
      </c>
      <c r="I113" s="901">
        <f>GLOBAL_DER_FEV_2023!I113</f>
        <v>0</v>
      </c>
      <c r="J113" s="890">
        <f>GLOBAL_DER_FEV_2023!J113</f>
        <v>0</v>
      </c>
      <c r="K113" s="903" t="str">
        <f>GLOBAL_DER_FEV_2023!K113</f>
        <v xml:space="preserve">     </v>
      </c>
      <c r="L113" s="1137"/>
      <c r="M113" s="1138">
        <f t="shared" si="7"/>
        <v>0</v>
      </c>
      <c r="N113" s="893">
        <f t="shared" si="10"/>
        <v>0</v>
      </c>
      <c r="O113" s="905"/>
      <c r="Q113" s="317" t="str">
        <f t="shared" si="6"/>
        <v/>
      </c>
      <c r="R113" s="317" t="str">
        <f t="shared" si="8"/>
        <v/>
      </c>
      <c r="S113" s="317" t="str">
        <f t="shared" si="9"/>
        <v/>
      </c>
      <c r="T113" s="317" t="str">
        <f>GLOBAL_DER_FEV_2023!S113</f>
        <v/>
      </c>
      <c r="W113" s="582">
        <v>0</v>
      </c>
      <c r="X113" s="580"/>
      <c r="Y113" s="583">
        <f>IF(GLOBAL_DER_FEV_2023!W113=0,0,IF(GLOBAL_DER_FEV_2023!W113&gt;0,"c","b"))</f>
        <v>0</v>
      </c>
    </row>
    <row r="114" spans="1:25" ht="15" customHeight="1" x14ac:dyDescent="0.2">
      <c r="A114" s="640" t="s">
        <v>165</v>
      </c>
      <c r="B114" s="1036" t="str">
        <f>GLOBAL_DER_FEV_2023!B114</f>
        <v/>
      </c>
      <c r="C114" s="1072" t="str">
        <f>GLOBAL_DER_FEV_2023!C114</f>
        <v/>
      </c>
      <c r="D114" s="1141">
        <f>GLOBAL_DER_FEV_2023!D114</f>
        <v>0</v>
      </c>
      <c r="E114" s="907">
        <f>GLOBAL_DER_FEV_2023!E114</f>
        <v>0</v>
      </c>
      <c r="F114" s="908">
        <f>GLOBAL_DER_FEV_2023!F114</f>
        <v>0</v>
      </c>
      <c r="G114" s="912">
        <f>GLOBAL_DER_FEV_2023!G114</f>
        <v>0</v>
      </c>
      <c r="H114" s="901">
        <f>GLOBAL_DER_FEV_2023!H114</f>
        <v>0</v>
      </c>
      <c r="I114" s="901">
        <f>GLOBAL_DER_FEV_2023!I114</f>
        <v>0</v>
      </c>
      <c r="J114" s="890">
        <f>GLOBAL_DER_FEV_2023!J114</f>
        <v>0</v>
      </c>
      <c r="K114" s="903" t="str">
        <f>GLOBAL_DER_FEV_2023!K114</f>
        <v xml:space="preserve">     </v>
      </c>
      <c r="L114" s="1137"/>
      <c r="M114" s="1138">
        <f t="shared" si="7"/>
        <v>0</v>
      </c>
      <c r="N114" s="893">
        <f t="shared" si="10"/>
        <v>0</v>
      </c>
      <c r="O114" s="905"/>
      <c r="Q114" s="317" t="str">
        <f t="shared" si="6"/>
        <v/>
      </c>
      <c r="R114" s="317" t="str">
        <f t="shared" si="8"/>
        <v/>
      </c>
      <c r="S114" s="317" t="str">
        <f t="shared" si="9"/>
        <v/>
      </c>
      <c r="T114" s="317" t="str">
        <f>GLOBAL_DER_FEV_2023!S114</f>
        <v/>
      </c>
      <c r="W114" s="582">
        <v>0</v>
      </c>
      <c r="X114" s="580"/>
      <c r="Y114" s="583">
        <f>IF(GLOBAL_DER_FEV_2023!W114=0,0,IF(GLOBAL_DER_FEV_2023!W114&gt;0,"c","b"))</f>
        <v>0</v>
      </c>
    </row>
    <row r="115" spans="1:25" ht="15" customHeight="1" x14ac:dyDescent="0.2">
      <c r="A115" s="640" t="s">
        <v>165</v>
      </c>
      <c r="B115" s="1036" t="str">
        <f>GLOBAL_DER_FEV_2023!B115</f>
        <v/>
      </c>
      <c r="C115" s="1072" t="str">
        <f>GLOBAL_DER_FEV_2023!C115</f>
        <v/>
      </c>
      <c r="D115" s="1141">
        <f>GLOBAL_DER_FEV_2023!D115</f>
        <v>0</v>
      </c>
      <c r="E115" s="907">
        <f>GLOBAL_DER_FEV_2023!E115</f>
        <v>0</v>
      </c>
      <c r="F115" s="908">
        <f>GLOBAL_DER_FEV_2023!F115</f>
        <v>0</v>
      </c>
      <c r="G115" s="912">
        <f>GLOBAL_DER_FEV_2023!G115</f>
        <v>0</v>
      </c>
      <c r="H115" s="901">
        <f>GLOBAL_DER_FEV_2023!H115</f>
        <v>0</v>
      </c>
      <c r="I115" s="901">
        <f>GLOBAL_DER_FEV_2023!I115</f>
        <v>0</v>
      </c>
      <c r="J115" s="890">
        <f>GLOBAL_DER_FEV_2023!J115</f>
        <v>0</v>
      </c>
      <c r="K115" s="903" t="str">
        <f>GLOBAL_DER_FEV_2023!K115</f>
        <v xml:space="preserve">     </v>
      </c>
      <c r="L115" s="1137"/>
      <c r="M115" s="1138">
        <f t="shared" si="7"/>
        <v>0</v>
      </c>
      <c r="N115" s="893">
        <f t="shared" si="10"/>
        <v>0</v>
      </c>
      <c r="O115" s="905"/>
      <c r="Q115" s="317" t="str">
        <f t="shared" si="6"/>
        <v/>
      </c>
      <c r="R115" s="317" t="str">
        <f t="shared" si="8"/>
        <v/>
      </c>
      <c r="S115" s="317" t="str">
        <f t="shared" si="9"/>
        <v/>
      </c>
      <c r="T115" s="317" t="str">
        <f>GLOBAL_DER_FEV_2023!S115</f>
        <v/>
      </c>
      <c r="W115" s="582">
        <v>0</v>
      </c>
      <c r="X115" s="580"/>
      <c r="Y115" s="583">
        <f>IF(GLOBAL_DER_FEV_2023!W115=0,0,IF(GLOBAL_DER_FEV_2023!W115&gt;0,"c","b"))</f>
        <v>0</v>
      </c>
    </row>
    <row r="116" spans="1:25" ht="15" customHeight="1" thickBot="1" x14ac:dyDescent="0.25">
      <c r="A116" s="640" t="s">
        <v>165</v>
      </c>
      <c r="B116" s="1036" t="str">
        <f>GLOBAL_DER_FEV_2023!B116</f>
        <v/>
      </c>
      <c r="C116" s="1072" t="str">
        <f>GLOBAL_DER_FEV_2023!C116</f>
        <v/>
      </c>
      <c r="D116" s="1141">
        <f>GLOBAL_DER_FEV_2023!D116</f>
        <v>0</v>
      </c>
      <c r="E116" s="907">
        <f>GLOBAL_DER_FEV_2023!E116</f>
        <v>0</v>
      </c>
      <c r="F116" s="908">
        <f>GLOBAL_DER_FEV_2023!F116</f>
        <v>0</v>
      </c>
      <c r="G116" s="912">
        <f>GLOBAL_DER_FEV_2023!G116</f>
        <v>0</v>
      </c>
      <c r="H116" s="901">
        <f>GLOBAL_DER_FEV_2023!H116</f>
        <v>0</v>
      </c>
      <c r="I116" s="901">
        <f>GLOBAL_DER_FEV_2023!I116</f>
        <v>0</v>
      </c>
      <c r="J116" s="890">
        <f>GLOBAL_DER_FEV_2023!J116</f>
        <v>0</v>
      </c>
      <c r="K116" s="903" t="str">
        <f>GLOBAL_DER_FEV_2023!K116</f>
        <v xml:space="preserve">     </v>
      </c>
      <c r="L116" s="1137"/>
      <c r="M116" s="1138">
        <f t="shared" si="7"/>
        <v>0</v>
      </c>
      <c r="N116" s="893">
        <f t="shared" si="10"/>
        <v>0</v>
      </c>
      <c r="O116" s="905"/>
      <c r="Q116" s="317" t="str">
        <f t="shared" si="6"/>
        <v/>
      </c>
      <c r="R116" s="317" t="str">
        <f t="shared" si="8"/>
        <v/>
      </c>
      <c r="S116" s="317" t="str">
        <f t="shared" si="9"/>
        <v/>
      </c>
      <c r="T116" s="317" t="str">
        <f>GLOBAL_DER_FEV_2023!S116</f>
        <v/>
      </c>
      <c r="W116" s="582">
        <v>0</v>
      </c>
      <c r="X116" s="580"/>
      <c r="Y116" s="583">
        <f>IF(GLOBAL_DER_FEV_2023!W116=0,0,IF(GLOBAL_DER_FEV_2023!W116&gt;0,"c","b"))</f>
        <v>0</v>
      </c>
    </row>
    <row r="117" spans="1:25" ht="15" customHeight="1" thickBot="1" x14ac:dyDescent="0.25">
      <c r="A117" s="317" t="s">
        <v>185</v>
      </c>
      <c r="B117" s="950" t="s">
        <v>185</v>
      </c>
      <c r="C117" s="951"/>
      <c r="D117" s="952" t="s">
        <v>434</v>
      </c>
      <c r="E117" s="943">
        <f>GLOBAL_DER_FEV_2023!E117</f>
        <v>0</v>
      </c>
      <c r="F117" s="876"/>
      <c r="G117" s="945"/>
      <c r="H117" s="945">
        <f>GLOBAL_DER_FEV_2023!H117</f>
        <v>0</v>
      </c>
      <c r="I117" s="945">
        <f>GLOBAL_DER_FEV_2023!I117</f>
        <v>0</v>
      </c>
      <c r="J117" s="945">
        <f>GLOBAL_DER_FEV_2023!J117</f>
        <v>0</v>
      </c>
      <c r="K117" s="878" t="s">
        <v>507</v>
      </c>
      <c r="L117" s="879"/>
      <c r="M117" s="880"/>
      <c r="N117" s="881">
        <f t="shared" si="10"/>
        <v>0</v>
      </c>
      <c r="O117" s="882">
        <f>SUM(N118:N227)</f>
        <v>0</v>
      </c>
      <c r="P117" s="58" t="str">
        <f>IF(OR(O117&gt;0,O117&gt;0),"X","")</f>
        <v/>
      </c>
      <c r="Q117" s="317" t="str">
        <f t="shared" si="6"/>
        <v/>
      </c>
      <c r="R117" s="317" t="str">
        <f t="shared" si="8"/>
        <v/>
      </c>
      <c r="S117" s="317" t="str">
        <f t="shared" si="9"/>
        <v/>
      </c>
      <c r="T117" s="317" t="str">
        <f>GLOBAL_DER_FEV_2023!S117</f>
        <v/>
      </c>
      <c r="W117" s="582">
        <v>0</v>
      </c>
      <c r="X117" s="580"/>
      <c r="Y117" s="583">
        <f>IF(GLOBAL_DER_FEV_2023!W117=0,0,IF(GLOBAL_DER_FEV_2023!W117&gt;0,"c","b"))</f>
        <v>0</v>
      </c>
    </row>
    <row r="118" spans="1:25" x14ac:dyDescent="0.2">
      <c r="A118" s="317">
        <v>520100</v>
      </c>
      <c r="B118" s="895" t="s">
        <v>1558</v>
      </c>
      <c r="C118" s="896" t="s">
        <v>184</v>
      </c>
      <c r="D118" s="906" t="s">
        <v>270</v>
      </c>
      <c r="E118" s="898">
        <f>GLOBAL_DER_FEV_2023!E118</f>
        <v>0.5</v>
      </c>
      <c r="F118" s="899">
        <f>GLOBAL_DER_FEV_2023!F118</f>
        <v>2.0999999999999996</v>
      </c>
      <c r="G118" s="953">
        <f>GLOBAL_DER_FEV_2023!G118</f>
        <v>6.7514999999999992</v>
      </c>
      <c r="H118" s="954">
        <f>GLOBAL_DER_FEV_2023!H118</f>
        <v>5.45</v>
      </c>
      <c r="I118" s="901">
        <f>GLOBAL_DER_FEV_2023!I118</f>
        <v>12.201499999999999</v>
      </c>
      <c r="J118" s="902">
        <f>GLOBAL_DER_FEV_2023!J118</f>
        <v>14.65</v>
      </c>
      <c r="K118" s="903" t="s">
        <v>10</v>
      </c>
      <c r="L118" s="1137"/>
      <c r="M118" s="1150">
        <f t="shared" si="7"/>
        <v>0</v>
      </c>
      <c r="N118" s="893">
        <f t="shared" si="10"/>
        <v>0</v>
      </c>
      <c r="O118" s="905"/>
      <c r="Q118" s="317" t="str">
        <f t="shared" si="6"/>
        <v/>
      </c>
      <c r="R118" s="317" t="str">
        <f t="shared" si="8"/>
        <v/>
      </c>
      <c r="S118" s="317" t="str">
        <f t="shared" si="9"/>
        <v/>
      </c>
      <c r="T118" s="317" t="str">
        <f>GLOBAL_DER_FEV_2023!S118</f>
        <v/>
      </c>
      <c r="W118" s="582">
        <v>0</v>
      </c>
      <c r="X118" s="580"/>
      <c r="Y118" s="583">
        <f>IF(GLOBAL_DER_FEV_2023!W118=0,0,IF(GLOBAL_DER_FEV_2023!W118&gt;0,"c","b"))</f>
        <v>0</v>
      </c>
    </row>
    <row r="119" spans="1:25" x14ac:dyDescent="0.2">
      <c r="A119" s="317">
        <v>520100</v>
      </c>
      <c r="B119" s="895" t="s">
        <v>1559</v>
      </c>
      <c r="C119" s="896" t="s">
        <v>184</v>
      </c>
      <c r="D119" s="906" t="s">
        <v>271</v>
      </c>
      <c r="E119" s="898">
        <f>GLOBAL_DER_FEV_2023!E119</f>
        <v>15</v>
      </c>
      <c r="F119" s="899">
        <f>GLOBAL_DER_FEV_2023!F119</f>
        <v>2.0999999999999996</v>
      </c>
      <c r="G119" s="953">
        <f>GLOBAL_DER_FEV_2023!G119</f>
        <v>39.332999999999991</v>
      </c>
      <c r="H119" s="954">
        <f>GLOBAL_DER_FEV_2023!H119</f>
        <v>5.45</v>
      </c>
      <c r="I119" s="901">
        <f>GLOBAL_DER_FEV_2023!I119</f>
        <v>44.782999999999994</v>
      </c>
      <c r="J119" s="902">
        <f>GLOBAL_DER_FEV_2023!J119</f>
        <v>53.77</v>
      </c>
      <c r="K119" s="903" t="s">
        <v>10</v>
      </c>
      <c r="L119" s="1137"/>
      <c r="M119" s="1150">
        <f t="shared" si="7"/>
        <v>0</v>
      </c>
      <c r="N119" s="893">
        <f t="shared" si="10"/>
        <v>0</v>
      </c>
      <c r="O119" s="905"/>
      <c r="Q119" s="317" t="str">
        <f t="shared" si="6"/>
        <v/>
      </c>
      <c r="R119" s="317" t="str">
        <f t="shared" si="8"/>
        <v/>
      </c>
      <c r="S119" s="317" t="str">
        <f t="shared" si="9"/>
        <v/>
      </c>
      <c r="T119" s="317" t="str">
        <f>GLOBAL_DER_FEV_2023!S119</f>
        <v/>
      </c>
      <c r="W119" s="582">
        <v>0</v>
      </c>
      <c r="X119" s="580"/>
      <c r="Y119" s="583">
        <f>IF(GLOBAL_DER_FEV_2023!W119=0,0,IF(GLOBAL_DER_FEV_2023!W119&gt;0,"c","b"))</f>
        <v>0</v>
      </c>
    </row>
    <row r="120" spans="1:25" x14ac:dyDescent="0.2">
      <c r="A120" s="317">
        <v>532100</v>
      </c>
      <c r="B120" s="895">
        <v>532100</v>
      </c>
      <c r="C120" s="896" t="s">
        <v>184</v>
      </c>
      <c r="D120" s="906" t="s">
        <v>182</v>
      </c>
      <c r="E120" s="898">
        <f>GLOBAL_DER_FEV_2023!E120</f>
        <v>20</v>
      </c>
      <c r="F120" s="908">
        <f>GLOBAL_DER_FEV_2023!F120</f>
        <v>2.1</v>
      </c>
      <c r="G120" s="953">
        <f>GLOBAL_DER_FEV_2023!G120</f>
        <v>50.568000000000005</v>
      </c>
      <c r="H120" s="901">
        <f>GLOBAL_DER_FEV_2023!H120</f>
        <v>92.64</v>
      </c>
      <c r="I120" s="901">
        <f>GLOBAL_DER_FEV_2023!I120</f>
        <v>143.208</v>
      </c>
      <c r="J120" s="902">
        <f>GLOBAL_DER_FEV_2023!J120</f>
        <v>171.95</v>
      </c>
      <c r="K120" s="903" t="s">
        <v>10</v>
      </c>
      <c r="L120" s="1137"/>
      <c r="M120" s="1150">
        <f t="shared" si="7"/>
        <v>0</v>
      </c>
      <c r="N120" s="893">
        <f t="shared" si="10"/>
        <v>0</v>
      </c>
      <c r="O120" s="905"/>
      <c r="Q120" s="317" t="str">
        <f t="shared" si="6"/>
        <v/>
      </c>
      <c r="R120" s="317" t="str">
        <f t="shared" si="8"/>
        <v/>
      </c>
      <c r="S120" s="317" t="str">
        <f t="shared" si="9"/>
        <v/>
      </c>
      <c r="T120" s="317" t="str">
        <f>GLOBAL_DER_FEV_2023!S120</f>
        <v/>
      </c>
      <c r="W120" s="582">
        <v>0</v>
      </c>
      <c r="X120" s="580"/>
      <c r="Y120" s="583">
        <f>IF(GLOBAL_DER_FEV_2023!W120=0,0,IF(GLOBAL_DER_FEV_2023!W120&gt;0,"c","b"))</f>
        <v>0</v>
      </c>
    </row>
    <row r="121" spans="1:25" x14ac:dyDescent="0.2">
      <c r="A121" s="317">
        <v>452010</v>
      </c>
      <c r="B121" s="955">
        <v>452010</v>
      </c>
      <c r="C121" s="956" t="s">
        <v>184</v>
      </c>
      <c r="D121" s="906" t="s">
        <v>188</v>
      </c>
      <c r="E121" s="898">
        <f>GLOBAL_DER_FEV_2023!E121</f>
        <v>20</v>
      </c>
      <c r="F121" s="899">
        <f>GLOBAL_DER_FEV_2023!F121</f>
        <v>1.98</v>
      </c>
      <c r="G121" s="953">
        <f>GLOBAL_DER_FEV_2023!G121</f>
        <v>47.678400000000003</v>
      </c>
      <c r="H121" s="901">
        <f>GLOBAL_DER_FEV_2023!H121</f>
        <v>15.69</v>
      </c>
      <c r="I121" s="901">
        <f>GLOBAL_DER_FEV_2023!I121</f>
        <v>63.368400000000001</v>
      </c>
      <c r="J121" s="902">
        <f>GLOBAL_DER_FEV_2023!J121</f>
        <v>76.09</v>
      </c>
      <c r="K121" s="903" t="s">
        <v>10</v>
      </c>
      <c r="L121" s="1137"/>
      <c r="M121" s="1150">
        <f t="shared" si="7"/>
        <v>0</v>
      </c>
      <c r="N121" s="893">
        <f t="shared" si="10"/>
        <v>0</v>
      </c>
      <c r="O121" s="905"/>
      <c r="Q121" s="317" t="str">
        <f t="shared" si="6"/>
        <v/>
      </c>
      <c r="R121" s="317" t="str">
        <f t="shared" si="8"/>
        <v/>
      </c>
      <c r="S121" s="317" t="str">
        <f t="shared" si="9"/>
        <v/>
      </c>
      <c r="T121" s="317" t="str">
        <f>GLOBAL_DER_FEV_2023!S121</f>
        <v/>
      </c>
      <c r="W121" s="582">
        <v>0</v>
      </c>
      <c r="X121" s="580"/>
      <c r="Y121" s="583">
        <f>IF(GLOBAL_DER_FEV_2023!W121=0,0,IF(GLOBAL_DER_FEV_2023!W121&gt;0,"c","b"))</f>
        <v>0</v>
      </c>
    </row>
    <row r="122" spans="1:25" x14ac:dyDescent="0.2">
      <c r="A122" s="317">
        <v>532500</v>
      </c>
      <c r="B122" s="895" t="s">
        <v>1530</v>
      </c>
      <c r="C122" s="896" t="s">
        <v>184</v>
      </c>
      <c r="D122" s="957" t="s">
        <v>329</v>
      </c>
      <c r="E122" s="907">
        <f>GLOBAL_DER_FEV_2023!E122</f>
        <v>150</v>
      </c>
      <c r="F122" s="908">
        <f>GLOBAL_DER_FEV_2023!F122</f>
        <v>1.7250000000000001</v>
      </c>
      <c r="G122" s="953">
        <f>GLOBAL_DER_FEV_2023!G122</f>
        <v>281.4855</v>
      </c>
      <c r="H122" s="901">
        <f>GLOBAL_DER_FEV_2023!H122</f>
        <v>102.38</v>
      </c>
      <c r="I122" s="901">
        <f>GLOBAL_DER_FEV_2023!I122</f>
        <v>383.8655</v>
      </c>
      <c r="J122" s="902">
        <f>GLOBAL_DER_FEV_2023!J122</f>
        <v>460.91</v>
      </c>
      <c r="K122" s="903" t="s">
        <v>10</v>
      </c>
      <c r="L122" s="1137"/>
      <c r="M122" s="1150">
        <f t="shared" si="7"/>
        <v>0</v>
      </c>
      <c r="N122" s="893">
        <f t="shared" si="10"/>
        <v>0</v>
      </c>
      <c r="O122" s="905"/>
      <c r="Q122" s="317" t="str">
        <f t="shared" si="6"/>
        <v/>
      </c>
      <c r="R122" s="317" t="str">
        <f t="shared" si="8"/>
        <v/>
      </c>
      <c r="S122" s="317" t="str">
        <f t="shared" si="9"/>
        <v/>
      </c>
      <c r="T122" s="317" t="str">
        <f>GLOBAL_DER_FEV_2023!S122</f>
        <v/>
      </c>
      <c r="W122" s="582">
        <v>0</v>
      </c>
      <c r="X122" s="580"/>
      <c r="Y122" s="583">
        <f>IF(GLOBAL_DER_FEV_2023!W122=0,0,IF(GLOBAL_DER_FEV_2023!W122&gt;0,"c","b"))</f>
        <v>0</v>
      </c>
    </row>
    <row r="123" spans="1:25" ht="14.45" customHeight="1" x14ac:dyDescent="0.2">
      <c r="A123" s="317">
        <v>603900</v>
      </c>
      <c r="B123" s="895" t="s">
        <v>1740</v>
      </c>
      <c r="C123" s="896" t="s">
        <v>184</v>
      </c>
      <c r="D123" s="957" t="s">
        <v>330</v>
      </c>
      <c r="E123" s="907">
        <f>GLOBAL_DER_FEV_2023!E123</f>
        <v>0.2</v>
      </c>
      <c r="F123" s="908">
        <f>GLOBAL_DER_FEV_2023!F123</f>
        <v>1.5</v>
      </c>
      <c r="G123" s="953">
        <f>GLOBAL_DER_FEV_2023!G123</f>
        <v>4.3410000000000002</v>
      </c>
      <c r="H123" s="901">
        <f>GLOBAL_DER_FEV_2023!H123</f>
        <v>131.84</v>
      </c>
      <c r="I123" s="901">
        <f>GLOBAL_DER_FEV_2023!I123</f>
        <v>136.18100000000001</v>
      </c>
      <c r="J123" s="902">
        <f>GLOBAL_DER_FEV_2023!J123</f>
        <v>163.51</v>
      </c>
      <c r="K123" s="903" t="s">
        <v>10</v>
      </c>
      <c r="L123" s="1137"/>
      <c r="M123" s="1150">
        <f t="shared" si="7"/>
        <v>0</v>
      </c>
      <c r="N123" s="893">
        <f t="shared" si="10"/>
        <v>0</v>
      </c>
      <c r="O123" s="905"/>
      <c r="Q123" s="317" t="str">
        <f t="shared" si="6"/>
        <v/>
      </c>
      <c r="R123" s="317" t="str">
        <f t="shared" si="8"/>
        <v/>
      </c>
      <c r="S123" s="317" t="str">
        <f t="shared" si="9"/>
        <v/>
      </c>
      <c r="T123" s="317" t="str">
        <f>GLOBAL_DER_FEV_2023!S123</f>
        <v/>
      </c>
      <c r="W123" s="582">
        <v>0</v>
      </c>
      <c r="X123" s="580"/>
      <c r="Y123" s="583">
        <f>IF(GLOBAL_DER_FEV_2023!W123=0,0,IF(GLOBAL_DER_FEV_2023!W123&gt;0,"c","b"))</f>
        <v>0</v>
      </c>
    </row>
    <row r="124" spans="1:25" x14ac:dyDescent="0.2">
      <c r="A124" s="317">
        <v>605000</v>
      </c>
      <c r="B124" s="895" t="s">
        <v>298</v>
      </c>
      <c r="C124" s="896" t="s">
        <v>184</v>
      </c>
      <c r="D124" s="906" t="s">
        <v>259</v>
      </c>
      <c r="E124" s="907">
        <f>GLOBAL_DER_FEV_2023!E124</f>
        <v>0</v>
      </c>
      <c r="F124" s="908">
        <f>GLOBAL_DER_FEV_2023!F124</f>
        <v>0</v>
      </c>
      <c r="G124" s="909">
        <f>GLOBAL_DER_FEV_2023!G124</f>
        <v>220.83394000000004</v>
      </c>
      <c r="H124" s="901">
        <f>GLOBAL_DER_FEV_2023!H124</f>
        <v>425.25</v>
      </c>
      <c r="I124" s="901">
        <f>GLOBAL_DER_FEV_2023!I124</f>
        <v>646.08393999999998</v>
      </c>
      <c r="J124" s="902">
        <f>GLOBAL_DER_FEV_2023!J124</f>
        <v>775.75</v>
      </c>
      <c r="K124" s="903" t="s">
        <v>10</v>
      </c>
      <c r="L124" s="1137"/>
      <c r="M124" s="1150">
        <f t="shared" si="7"/>
        <v>0</v>
      </c>
      <c r="N124" s="893">
        <f t="shared" si="10"/>
        <v>0</v>
      </c>
      <c r="O124" s="905"/>
      <c r="Q124" s="317" t="str">
        <f t="shared" si="6"/>
        <v/>
      </c>
      <c r="R124" s="317" t="str">
        <f t="shared" si="8"/>
        <v/>
      </c>
      <c r="S124" s="317" t="str">
        <f t="shared" si="9"/>
        <v/>
      </c>
      <c r="T124" s="317" t="str">
        <f>GLOBAL_DER_FEV_2023!S124</f>
        <v/>
      </c>
      <c r="W124" s="582">
        <v>0</v>
      </c>
      <c r="X124" s="580"/>
      <c r="Y124" s="583">
        <f>IF(GLOBAL_DER_FEV_2023!W124=0,0,IF(GLOBAL_DER_FEV_2023!W124&gt;0,"c","b"))</f>
        <v>0</v>
      </c>
    </row>
    <row r="125" spans="1:25" x14ac:dyDescent="0.2">
      <c r="A125" s="317" t="s">
        <v>147</v>
      </c>
      <c r="B125" s="895" t="s">
        <v>147</v>
      </c>
      <c r="C125" s="896"/>
      <c r="D125" s="957" t="s">
        <v>190</v>
      </c>
      <c r="E125" s="907">
        <f>GLOBAL_DER_FEV_2023!E125</f>
        <v>308</v>
      </c>
      <c r="F125" s="908">
        <f>GLOBAL_DER_FEV_2023!F125</f>
        <v>0.18</v>
      </c>
      <c r="G125" s="909">
        <f>GLOBAL_DER_FEV_2023!G125</f>
        <v>44.650799999999997</v>
      </c>
      <c r="H125" s="901">
        <f>GLOBAL_DER_FEV_2023!H125</f>
        <v>0</v>
      </c>
      <c r="I125" s="901">
        <f>GLOBAL_DER_FEV_2023!I125</f>
        <v>0</v>
      </c>
      <c r="J125" s="902">
        <f>GLOBAL_DER_FEV_2023!J125</f>
        <v>0</v>
      </c>
      <c r="K125" s="958" t="s">
        <v>507</v>
      </c>
      <c r="L125" s="959"/>
      <c r="M125" s="1041">
        <f t="shared" si="7"/>
        <v>0</v>
      </c>
      <c r="N125" s="893">
        <f t="shared" si="10"/>
        <v>0</v>
      </c>
      <c r="O125" s="905"/>
      <c r="P125" s="58" t="str">
        <f>IF(N124&gt;0,"xx",IF(N124&gt;0,"xy",""))</f>
        <v/>
      </c>
      <c r="Q125" s="317" t="str">
        <f t="shared" si="6"/>
        <v/>
      </c>
      <c r="R125" s="317" t="str">
        <f t="shared" si="8"/>
        <v/>
      </c>
      <c r="S125" s="317" t="str">
        <f t="shared" si="9"/>
        <v/>
      </c>
      <c r="T125" s="317" t="str">
        <f>GLOBAL_DER_FEV_2023!S125</f>
        <v/>
      </c>
      <c r="W125" s="582">
        <v>0</v>
      </c>
      <c r="X125" s="580"/>
      <c r="Y125" s="583">
        <f>IF(GLOBAL_DER_FEV_2023!W125=0,0,IF(GLOBAL_DER_FEV_2023!W125&gt;0,"c","b"))</f>
        <v>0</v>
      </c>
    </row>
    <row r="126" spans="1:25" x14ac:dyDescent="0.2">
      <c r="A126" s="317" t="s">
        <v>147</v>
      </c>
      <c r="B126" s="895" t="s">
        <v>147</v>
      </c>
      <c r="C126" s="896"/>
      <c r="D126" s="957" t="s">
        <v>229</v>
      </c>
      <c r="E126" s="907">
        <f>GLOBAL_DER_FEV_2023!E126</f>
        <v>150</v>
      </c>
      <c r="F126" s="908">
        <f>GLOBAL_DER_FEV_2023!F126</f>
        <v>1.06</v>
      </c>
      <c r="G126" s="909">
        <f>GLOBAL_DER_FEV_2023!G126</f>
        <v>172.97080000000003</v>
      </c>
      <c r="H126" s="901">
        <f>GLOBAL_DER_FEV_2023!H126</f>
        <v>0</v>
      </c>
      <c r="I126" s="901">
        <f>GLOBAL_DER_FEV_2023!I126</f>
        <v>0</v>
      </c>
      <c r="J126" s="902">
        <f>GLOBAL_DER_FEV_2023!J126</f>
        <v>0</v>
      </c>
      <c r="K126" s="958" t="s">
        <v>507</v>
      </c>
      <c r="L126" s="959"/>
      <c r="M126" s="1041">
        <f t="shared" si="7"/>
        <v>0</v>
      </c>
      <c r="N126" s="893">
        <f t="shared" si="10"/>
        <v>0</v>
      </c>
      <c r="O126" s="905"/>
      <c r="P126" s="58" t="str">
        <f>IF(N124&gt;0,"xx",IF(N124&gt;0,"xy",""))</f>
        <v/>
      </c>
      <c r="Q126" s="317" t="str">
        <f t="shared" si="6"/>
        <v/>
      </c>
      <c r="R126" s="317" t="str">
        <f t="shared" si="8"/>
        <v/>
      </c>
      <c r="S126" s="317" t="str">
        <f t="shared" si="9"/>
        <v/>
      </c>
      <c r="T126" s="317" t="str">
        <f>GLOBAL_DER_FEV_2023!S126</f>
        <v/>
      </c>
      <c r="W126" s="582">
        <v>0</v>
      </c>
      <c r="X126" s="580"/>
      <c r="Y126" s="583">
        <f>IF(GLOBAL_DER_FEV_2023!W126=0,0,IF(GLOBAL_DER_FEV_2023!W126&gt;0,"c","b"))</f>
        <v>0</v>
      </c>
    </row>
    <row r="127" spans="1:25" x14ac:dyDescent="0.2">
      <c r="A127" s="317" t="s">
        <v>147</v>
      </c>
      <c r="B127" s="895" t="s">
        <v>147</v>
      </c>
      <c r="C127" s="896"/>
      <c r="D127" s="957" t="s">
        <v>233</v>
      </c>
      <c r="E127" s="907">
        <f>GLOBAL_DER_FEV_2023!E127</f>
        <v>0.2</v>
      </c>
      <c r="F127" s="908">
        <f>GLOBAL_DER_FEV_2023!F127</f>
        <v>1.1100000000000001</v>
      </c>
      <c r="G127" s="909">
        <f>GLOBAL_DER_FEV_2023!G127</f>
        <v>3.2123400000000006</v>
      </c>
      <c r="H127" s="901">
        <f>GLOBAL_DER_FEV_2023!H127</f>
        <v>0</v>
      </c>
      <c r="I127" s="901">
        <f>GLOBAL_DER_FEV_2023!I127</f>
        <v>0</v>
      </c>
      <c r="J127" s="902">
        <f>GLOBAL_DER_FEV_2023!J127</f>
        <v>0</v>
      </c>
      <c r="K127" s="958" t="s">
        <v>507</v>
      </c>
      <c r="L127" s="959"/>
      <c r="M127" s="1041">
        <f t="shared" si="7"/>
        <v>0</v>
      </c>
      <c r="N127" s="893">
        <f t="shared" si="10"/>
        <v>0</v>
      </c>
      <c r="O127" s="905"/>
      <c r="P127" s="58" t="str">
        <f>IF(N124&gt;0,"xx",IF(N124&gt;0,"xy",""))</f>
        <v/>
      </c>
      <c r="Q127" s="317" t="str">
        <f t="shared" si="6"/>
        <v/>
      </c>
      <c r="R127" s="317" t="str">
        <f t="shared" si="8"/>
        <v/>
      </c>
      <c r="S127" s="317" t="str">
        <f t="shared" si="9"/>
        <v/>
      </c>
      <c r="T127" s="317" t="str">
        <f>GLOBAL_DER_FEV_2023!S127</f>
        <v/>
      </c>
      <c r="W127" s="582">
        <v>0</v>
      </c>
      <c r="X127" s="580"/>
      <c r="Y127" s="583">
        <f>IF(GLOBAL_DER_FEV_2023!W127=0,0,IF(GLOBAL_DER_FEV_2023!W127&gt;0,"c","b"))</f>
        <v>0</v>
      </c>
    </row>
    <row r="128" spans="1:25" x14ac:dyDescent="0.2">
      <c r="A128" s="317">
        <v>400500</v>
      </c>
      <c r="B128" s="895" t="s">
        <v>1529</v>
      </c>
      <c r="C128" s="896" t="s">
        <v>184</v>
      </c>
      <c r="D128" s="906" t="s">
        <v>1732</v>
      </c>
      <c r="E128" s="907">
        <f>GLOBAL_DER_FEV_2023!E128</f>
        <v>150</v>
      </c>
      <c r="F128" s="908">
        <f>GLOBAL_DER_FEV_2023!F128</f>
        <v>1.73</v>
      </c>
      <c r="G128" s="953">
        <f>GLOBAL_DER_FEV_2023!G128</f>
        <v>282.3014</v>
      </c>
      <c r="H128" s="901">
        <f>GLOBAL_DER_FEV_2023!H128</f>
        <v>83.83</v>
      </c>
      <c r="I128" s="901">
        <f>GLOBAL_DER_FEV_2023!I128</f>
        <v>366.13139999999999</v>
      </c>
      <c r="J128" s="902">
        <f>GLOBAL_DER_FEV_2023!J128</f>
        <v>439.61</v>
      </c>
      <c r="K128" s="903" t="s">
        <v>10</v>
      </c>
      <c r="L128" s="1137"/>
      <c r="M128" s="1150">
        <f t="shared" si="7"/>
        <v>0</v>
      </c>
      <c r="N128" s="893">
        <f t="shared" si="10"/>
        <v>0</v>
      </c>
      <c r="O128" s="905"/>
      <c r="Q128" s="317" t="str">
        <f t="shared" si="6"/>
        <v/>
      </c>
      <c r="R128" s="317" t="str">
        <f t="shared" si="8"/>
        <v/>
      </c>
      <c r="S128" s="317" t="str">
        <f t="shared" si="9"/>
        <v/>
      </c>
      <c r="T128" s="317" t="str">
        <f>GLOBAL_DER_FEV_2023!S128</f>
        <v/>
      </c>
      <c r="W128" s="582">
        <v>0</v>
      </c>
      <c r="X128" s="580"/>
      <c r="Y128" s="583">
        <f>IF(GLOBAL_DER_FEV_2023!W128=0,0,IF(GLOBAL_DER_FEV_2023!W128&gt;0,"c","b"))</f>
        <v>0</v>
      </c>
    </row>
    <row r="129" spans="1:25" x14ac:dyDescent="0.2">
      <c r="A129" s="317">
        <v>532500</v>
      </c>
      <c r="B129" s="895" t="s">
        <v>1531</v>
      </c>
      <c r="C129" s="896" t="s">
        <v>184</v>
      </c>
      <c r="D129" s="906" t="s">
        <v>1735</v>
      </c>
      <c r="E129" s="907">
        <f>GLOBAL_DER_FEV_2023!E129</f>
        <v>150</v>
      </c>
      <c r="F129" s="908">
        <f>GLOBAL_DER_FEV_2023!F129</f>
        <v>1.7250000000000001</v>
      </c>
      <c r="G129" s="953">
        <f>GLOBAL_DER_FEV_2023!G129</f>
        <v>281.4855</v>
      </c>
      <c r="H129" s="901">
        <f>GLOBAL_DER_FEV_2023!H129</f>
        <v>102.38</v>
      </c>
      <c r="I129" s="901">
        <f>GLOBAL_DER_FEV_2023!I129</f>
        <v>383.8655</v>
      </c>
      <c r="J129" s="902">
        <f>GLOBAL_DER_FEV_2023!J129</f>
        <v>460.91</v>
      </c>
      <c r="K129" s="903" t="s">
        <v>10</v>
      </c>
      <c r="L129" s="1137"/>
      <c r="M129" s="1150">
        <f t="shared" si="7"/>
        <v>0</v>
      </c>
      <c r="N129" s="893">
        <f t="shared" si="10"/>
        <v>0</v>
      </c>
      <c r="O129" s="905"/>
      <c r="Q129" s="317" t="str">
        <f t="shared" si="6"/>
        <v/>
      </c>
      <c r="R129" s="317" t="str">
        <f t="shared" si="8"/>
        <v/>
      </c>
      <c r="S129" s="317" t="str">
        <f t="shared" si="9"/>
        <v/>
      </c>
      <c r="T129" s="317" t="str">
        <f>GLOBAL_DER_FEV_2023!S129</f>
        <v/>
      </c>
      <c r="W129" s="582">
        <v>0</v>
      </c>
      <c r="X129" s="580"/>
      <c r="Y129" s="583">
        <f>IF(GLOBAL_DER_FEV_2023!W129=0,0,IF(GLOBAL_DER_FEV_2023!W129&gt;0,"c","b"))</f>
        <v>0</v>
      </c>
    </row>
    <row r="130" spans="1:25" x14ac:dyDescent="0.2">
      <c r="A130" s="317">
        <v>532600</v>
      </c>
      <c r="B130" s="895" t="s">
        <v>1564</v>
      </c>
      <c r="C130" s="896" t="s">
        <v>184</v>
      </c>
      <c r="D130" s="906" t="s">
        <v>1733</v>
      </c>
      <c r="E130" s="898">
        <f>GLOBAL_DER_FEV_2023!E130</f>
        <v>0</v>
      </c>
      <c r="F130" s="908">
        <f>GLOBAL_DER_FEV_2023!F130</f>
        <v>2.25</v>
      </c>
      <c r="G130" s="953">
        <f>GLOBAL_DER_FEV_2023!G130</f>
        <v>6.03</v>
      </c>
      <c r="H130" s="901">
        <f>GLOBAL_DER_FEV_2023!H130</f>
        <v>16.07</v>
      </c>
      <c r="I130" s="901">
        <f>GLOBAL_DER_FEV_2023!I130</f>
        <v>22.1</v>
      </c>
      <c r="J130" s="902">
        <f>GLOBAL_DER_FEV_2023!J130</f>
        <v>26.54</v>
      </c>
      <c r="K130" s="903" t="s">
        <v>10</v>
      </c>
      <c r="L130" s="1137"/>
      <c r="M130" s="1150">
        <f t="shared" si="7"/>
        <v>0</v>
      </c>
      <c r="N130" s="893">
        <f t="shared" si="10"/>
        <v>0</v>
      </c>
      <c r="O130" s="905"/>
      <c r="Q130" s="317" t="str">
        <f t="shared" si="6"/>
        <v/>
      </c>
      <c r="R130" s="317" t="str">
        <f t="shared" si="8"/>
        <v/>
      </c>
      <c r="S130" s="317" t="str">
        <f t="shared" si="9"/>
        <v/>
      </c>
      <c r="T130" s="317" t="str">
        <f>GLOBAL_DER_FEV_2023!S130</f>
        <v/>
      </c>
      <c r="W130" s="582">
        <v>0</v>
      </c>
      <c r="X130" s="580"/>
      <c r="Y130" s="583">
        <f>IF(GLOBAL_DER_FEV_2023!W130=0,0,IF(GLOBAL_DER_FEV_2023!W130&gt;0,"c","b"))</f>
        <v>0</v>
      </c>
    </row>
    <row r="131" spans="1:25" x14ac:dyDescent="0.2">
      <c r="A131" s="317">
        <v>603900</v>
      </c>
      <c r="B131" s="895" t="s">
        <v>1730</v>
      </c>
      <c r="C131" s="896" t="s">
        <v>184</v>
      </c>
      <c r="D131" s="906" t="s">
        <v>1734</v>
      </c>
      <c r="E131" s="907">
        <f>GLOBAL_DER_FEV_2023!E131</f>
        <v>0.2</v>
      </c>
      <c r="F131" s="908">
        <f>GLOBAL_DER_FEV_2023!F131</f>
        <v>1.5</v>
      </c>
      <c r="G131" s="953">
        <f>GLOBAL_DER_FEV_2023!G131</f>
        <v>4.3410000000000002</v>
      </c>
      <c r="H131" s="901">
        <f>GLOBAL_DER_FEV_2023!H131</f>
        <v>131.84</v>
      </c>
      <c r="I131" s="901">
        <f>GLOBAL_DER_FEV_2023!I131</f>
        <v>136.18100000000001</v>
      </c>
      <c r="J131" s="902">
        <f>GLOBAL_DER_FEV_2023!J131</f>
        <v>163.51</v>
      </c>
      <c r="K131" s="903" t="s">
        <v>10</v>
      </c>
      <c r="L131" s="1137"/>
      <c r="M131" s="1150">
        <f t="shared" si="7"/>
        <v>0</v>
      </c>
      <c r="N131" s="893">
        <f t="shared" si="10"/>
        <v>0</v>
      </c>
      <c r="O131" s="905"/>
      <c r="Q131" s="317" t="str">
        <f t="shared" si="6"/>
        <v/>
      </c>
      <c r="R131" s="317" t="str">
        <f t="shared" si="8"/>
        <v/>
      </c>
      <c r="S131" s="317" t="str">
        <f t="shared" si="9"/>
        <v/>
      </c>
      <c r="T131" s="317" t="str">
        <f>GLOBAL_DER_FEV_2023!S131</f>
        <v/>
      </c>
      <c r="W131" s="582">
        <v>0</v>
      </c>
      <c r="X131" s="580"/>
      <c r="Y131" s="583">
        <f>IF(GLOBAL_DER_FEV_2023!W131=0,0,IF(GLOBAL_DER_FEV_2023!W131&gt;0,"c","b"))</f>
        <v>0</v>
      </c>
    </row>
    <row r="132" spans="1:25" x14ac:dyDescent="0.2">
      <c r="A132" s="317">
        <v>511130</v>
      </c>
      <c r="B132" s="895" t="s">
        <v>1549</v>
      </c>
      <c r="C132" s="896" t="s">
        <v>184</v>
      </c>
      <c r="D132" s="906" t="s">
        <v>448</v>
      </c>
      <c r="E132" s="907">
        <f>GLOBAL_DER_FEV_2023!E132</f>
        <v>0</v>
      </c>
      <c r="F132" s="908">
        <f>GLOBAL_DER_FEV_2023!F132</f>
        <v>0</v>
      </c>
      <c r="G132" s="909">
        <f>GLOBAL_DER_FEV_2023!G132</f>
        <v>0</v>
      </c>
      <c r="H132" s="954">
        <f>GLOBAL_DER_FEV_2023!H132</f>
        <v>1.23</v>
      </c>
      <c r="I132" s="901">
        <f>GLOBAL_DER_FEV_2023!I132</f>
        <v>1.23</v>
      </c>
      <c r="J132" s="902">
        <f>GLOBAL_DER_FEV_2023!J132</f>
        <v>1.48</v>
      </c>
      <c r="K132" s="903" t="s">
        <v>10</v>
      </c>
      <c r="L132" s="1137"/>
      <c r="M132" s="1150">
        <f t="shared" si="7"/>
        <v>0</v>
      </c>
      <c r="N132" s="893">
        <f t="shared" si="10"/>
        <v>0</v>
      </c>
      <c r="O132" s="905"/>
      <c r="P132" s="59"/>
      <c r="Q132" s="317" t="str">
        <f t="shared" si="6"/>
        <v/>
      </c>
      <c r="R132" s="317" t="str">
        <f t="shared" si="8"/>
        <v/>
      </c>
      <c r="S132" s="317" t="str">
        <f t="shared" si="9"/>
        <v/>
      </c>
      <c r="T132" s="317" t="str">
        <f>GLOBAL_DER_FEV_2023!S132</f>
        <v/>
      </c>
      <c r="W132" s="582">
        <v>0</v>
      </c>
      <c r="X132" s="580"/>
      <c r="Y132" s="583">
        <f>IF(GLOBAL_DER_FEV_2023!W132=0,0,IF(GLOBAL_DER_FEV_2023!W132&gt;0,"c","b"))</f>
        <v>0</v>
      </c>
    </row>
    <row r="133" spans="1:25" x14ac:dyDescent="0.2">
      <c r="A133" s="317">
        <v>533500</v>
      </c>
      <c r="B133" s="895" t="s">
        <v>1550</v>
      </c>
      <c r="C133" s="896" t="s">
        <v>184</v>
      </c>
      <c r="D133" s="906" t="s">
        <v>449</v>
      </c>
      <c r="E133" s="898">
        <f>GLOBAL_DER_FEV_2023!E133</f>
        <v>0</v>
      </c>
      <c r="F133" s="899">
        <f>GLOBAL_DER_FEV_2023!F133</f>
        <v>1.95</v>
      </c>
      <c r="G133" s="953">
        <f>GLOBAL_DER_FEV_2023!G133</f>
        <v>5.226</v>
      </c>
      <c r="H133" s="901">
        <f>GLOBAL_DER_FEV_2023!H133</f>
        <v>25.79</v>
      </c>
      <c r="I133" s="901">
        <f>GLOBAL_DER_FEV_2023!I133</f>
        <v>31.015999999999998</v>
      </c>
      <c r="J133" s="902">
        <f>GLOBAL_DER_FEV_2023!J133</f>
        <v>37.24</v>
      </c>
      <c r="K133" s="903" t="s">
        <v>10</v>
      </c>
      <c r="L133" s="1137"/>
      <c r="M133" s="1150">
        <f t="shared" si="7"/>
        <v>0</v>
      </c>
      <c r="N133" s="893">
        <f t="shared" si="10"/>
        <v>0</v>
      </c>
      <c r="O133" s="905"/>
      <c r="Q133" s="317" t="str">
        <f t="shared" si="6"/>
        <v/>
      </c>
      <c r="R133" s="317" t="str">
        <f t="shared" si="8"/>
        <v/>
      </c>
      <c r="S133" s="317" t="str">
        <f t="shared" si="9"/>
        <v/>
      </c>
      <c r="T133" s="317" t="str">
        <f>GLOBAL_DER_FEV_2023!S133</f>
        <v/>
      </c>
      <c r="W133" s="582">
        <v>0</v>
      </c>
      <c r="X133" s="580"/>
      <c r="Y133" s="583">
        <f>IF(GLOBAL_DER_FEV_2023!W133=0,0,IF(GLOBAL_DER_FEV_2023!W133&gt;0,"c","b"))</f>
        <v>0</v>
      </c>
    </row>
    <row r="134" spans="1:25" x14ac:dyDescent="0.2">
      <c r="A134" s="317">
        <v>533100</v>
      </c>
      <c r="B134" s="895" t="s">
        <v>1552</v>
      </c>
      <c r="C134" s="896" t="s">
        <v>184</v>
      </c>
      <c r="D134" s="906" t="s">
        <v>450</v>
      </c>
      <c r="E134" s="898">
        <f>GLOBAL_DER_FEV_2023!E134</f>
        <v>0</v>
      </c>
      <c r="F134" s="899">
        <f>GLOBAL_DER_FEV_2023!F134</f>
        <v>1.98</v>
      </c>
      <c r="G134" s="953">
        <f>GLOBAL_DER_FEV_2023!G134</f>
        <v>5.3064</v>
      </c>
      <c r="H134" s="901">
        <f>GLOBAL_DER_FEV_2023!H134</f>
        <v>30.58</v>
      </c>
      <c r="I134" s="901">
        <f>GLOBAL_DER_FEV_2023!I134</f>
        <v>35.886399999999995</v>
      </c>
      <c r="J134" s="902">
        <f>GLOBAL_DER_FEV_2023!J134</f>
        <v>43.09</v>
      </c>
      <c r="K134" s="903" t="s">
        <v>10</v>
      </c>
      <c r="L134" s="1137"/>
      <c r="M134" s="1150">
        <f t="shared" si="7"/>
        <v>0</v>
      </c>
      <c r="N134" s="893">
        <f t="shared" si="10"/>
        <v>0</v>
      </c>
      <c r="O134" s="905"/>
      <c r="Q134" s="317" t="str">
        <f t="shared" si="6"/>
        <v/>
      </c>
      <c r="R134" s="317" t="str">
        <f t="shared" si="8"/>
        <v/>
      </c>
      <c r="S134" s="317" t="str">
        <f t="shared" si="9"/>
        <v/>
      </c>
      <c r="T134" s="317" t="str">
        <f>GLOBAL_DER_FEV_2023!S134</f>
        <v/>
      </c>
      <c r="W134" s="582">
        <v>0</v>
      </c>
      <c r="X134" s="580"/>
      <c r="Y134" s="583">
        <f>IF(GLOBAL_DER_FEV_2023!W134=0,0,IF(GLOBAL_DER_FEV_2023!W134&gt;0,"c","b"))</f>
        <v>0</v>
      </c>
    </row>
    <row r="135" spans="1:25" x14ac:dyDescent="0.2">
      <c r="A135" s="317">
        <v>511100</v>
      </c>
      <c r="B135" s="895" t="s">
        <v>1568</v>
      </c>
      <c r="C135" s="896" t="s">
        <v>184</v>
      </c>
      <c r="D135" s="906" t="s">
        <v>181</v>
      </c>
      <c r="E135" s="898">
        <f>GLOBAL_DER_FEV_2023!E135</f>
        <v>0</v>
      </c>
      <c r="F135" s="908">
        <f>GLOBAL_DER_FEV_2023!F135</f>
        <v>0</v>
      </c>
      <c r="G135" s="953">
        <f>GLOBAL_DER_FEV_2023!G135</f>
        <v>0</v>
      </c>
      <c r="H135" s="901">
        <f>GLOBAL_DER_FEV_2023!H135</f>
        <v>4.25</v>
      </c>
      <c r="I135" s="901">
        <f>GLOBAL_DER_FEV_2023!I135</f>
        <v>4.25</v>
      </c>
      <c r="J135" s="902">
        <f>GLOBAL_DER_FEV_2023!J135</f>
        <v>5.0999999999999996</v>
      </c>
      <c r="K135" s="903" t="s">
        <v>12</v>
      </c>
      <c r="L135" s="1137"/>
      <c r="M135" s="1150">
        <f t="shared" si="7"/>
        <v>0</v>
      </c>
      <c r="N135" s="893">
        <f t="shared" si="10"/>
        <v>0</v>
      </c>
      <c r="O135" s="905"/>
      <c r="Q135" s="317" t="str">
        <f t="shared" si="6"/>
        <v/>
      </c>
      <c r="R135" s="317" t="str">
        <f t="shared" si="8"/>
        <v/>
      </c>
      <c r="S135" s="317" t="str">
        <f t="shared" si="9"/>
        <v/>
      </c>
      <c r="T135" s="317" t="str">
        <f>GLOBAL_DER_FEV_2023!S135</f>
        <v/>
      </c>
      <c r="W135" s="582">
        <v>0</v>
      </c>
      <c r="X135" s="580"/>
      <c r="Y135" s="583">
        <f>IF(GLOBAL_DER_FEV_2023!W135=0,0,IF(GLOBAL_DER_FEV_2023!W135&gt;0,"c","b"))</f>
        <v>0</v>
      </c>
    </row>
    <row r="136" spans="1:25" x14ac:dyDescent="0.2">
      <c r="A136" s="317">
        <v>511000</v>
      </c>
      <c r="B136" s="895" t="s">
        <v>1556</v>
      </c>
      <c r="C136" s="896" t="s">
        <v>184</v>
      </c>
      <c r="D136" s="906" t="s">
        <v>168</v>
      </c>
      <c r="E136" s="898">
        <f>GLOBAL_DER_FEV_2023!E136</f>
        <v>0</v>
      </c>
      <c r="F136" s="908">
        <f>GLOBAL_DER_FEV_2023!F136</f>
        <v>0</v>
      </c>
      <c r="G136" s="953">
        <f>GLOBAL_DER_FEV_2023!G136</f>
        <v>0</v>
      </c>
      <c r="H136" s="901">
        <f>GLOBAL_DER_FEV_2023!H136</f>
        <v>4.91</v>
      </c>
      <c r="I136" s="901">
        <f>GLOBAL_DER_FEV_2023!I136</f>
        <v>4.91</v>
      </c>
      <c r="J136" s="902">
        <f>GLOBAL_DER_FEV_2023!J136</f>
        <v>5.9</v>
      </c>
      <c r="K136" s="903" t="s">
        <v>12</v>
      </c>
      <c r="L136" s="1137"/>
      <c r="M136" s="1150">
        <f t="shared" si="7"/>
        <v>0</v>
      </c>
      <c r="N136" s="893">
        <f t="shared" si="10"/>
        <v>0</v>
      </c>
      <c r="O136" s="905"/>
      <c r="Q136" s="317" t="str">
        <f t="shared" si="6"/>
        <v/>
      </c>
      <c r="R136" s="317" t="str">
        <f t="shared" si="8"/>
        <v/>
      </c>
      <c r="S136" s="317" t="str">
        <f t="shared" si="9"/>
        <v/>
      </c>
      <c r="T136" s="317" t="str">
        <f>GLOBAL_DER_FEV_2023!S136</f>
        <v/>
      </c>
      <c r="W136" s="582">
        <v>0</v>
      </c>
      <c r="X136" s="580"/>
      <c r="Y136" s="583">
        <f>IF(GLOBAL_DER_FEV_2023!W136=0,0,IF(GLOBAL_DER_FEV_2023!W136&gt;0,"c","b"))</f>
        <v>0</v>
      </c>
    </row>
    <row r="137" spans="1:25" x14ac:dyDescent="0.2">
      <c r="A137" s="317">
        <v>511300</v>
      </c>
      <c r="B137" s="895" t="s">
        <v>1570</v>
      </c>
      <c r="C137" s="896" t="s">
        <v>184</v>
      </c>
      <c r="D137" s="906" t="s">
        <v>180</v>
      </c>
      <c r="E137" s="898">
        <f>GLOBAL_DER_FEV_2023!E137</f>
        <v>0</v>
      </c>
      <c r="F137" s="908">
        <f>GLOBAL_DER_FEV_2023!F137</f>
        <v>0</v>
      </c>
      <c r="G137" s="953">
        <f>GLOBAL_DER_FEV_2023!G137</f>
        <v>0</v>
      </c>
      <c r="H137" s="901">
        <f>GLOBAL_DER_FEV_2023!H137</f>
        <v>0.28999999999999998</v>
      </c>
      <c r="I137" s="901">
        <f>GLOBAL_DER_FEV_2023!I137</f>
        <v>0.28999999999999998</v>
      </c>
      <c r="J137" s="902">
        <f>GLOBAL_DER_FEV_2023!J137</f>
        <v>0.35</v>
      </c>
      <c r="K137" s="903" t="s">
        <v>12</v>
      </c>
      <c r="L137" s="1137"/>
      <c r="M137" s="1150">
        <f t="shared" si="7"/>
        <v>0</v>
      </c>
      <c r="N137" s="893">
        <f t="shared" si="10"/>
        <v>0</v>
      </c>
      <c r="O137" s="905"/>
      <c r="Q137" s="317" t="str">
        <f t="shared" si="6"/>
        <v/>
      </c>
      <c r="R137" s="317" t="str">
        <f t="shared" si="8"/>
        <v/>
      </c>
      <c r="S137" s="317" t="str">
        <f t="shared" si="9"/>
        <v/>
      </c>
      <c r="T137" s="317" t="str">
        <f>GLOBAL_DER_FEV_2023!S137</f>
        <v/>
      </c>
      <c r="W137" s="582">
        <v>0</v>
      </c>
      <c r="X137" s="580"/>
      <c r="Y137" s="583">
        <f>IF(GLOBAL_DER_FEV_2023!W137=0,0,IF(GLOBAL_DER_FEV_2023!W137&gt;0,"c","b"))</f>
        <v>0</v>
      </c>
    </row>
    <row r="138" spans="1:25" x14ac:dyDescent="0.2">
      <c r="A138" s="317">
        <v>100576</v>
      </c>
      <c r="B138" s="895" t="s">
        <v>1744</v>
      </c>
      <c r="C138" s="896" t="s">
        <v>596</v>
      </c>
      <c r="D138" s="906" t="s">
        <v>183</v>
      </c>
      <c r="E138" s="898">
        <f>GLOBAL_DER_FEV_2023!E138</f>
        <v>0</v>
      </c>
      <c r="F138" s="908">
        <f>GLOBAL_DER_FEV_2023!F138</f>
        <v>0</v>
      </c>
      <c r="G138" s="953">
        <f>GLOBAL_DER_FEV_2023!G138</f>
        <v>0</v>
      </c>
      <c r="H138" s="901">
        <f>GLOBAL_DER_FEV_2023!H138</f>
        <v>2.6</v>
      </c>
      <c r="I138" s="901">
        <f>GLOBAL_DER_FEV_2023!I138</f>
        <v>2.6</v>
      </c>
      <c r="J138" s="902">
        <f>GLOBAL_DER_FEV_2023!J138</f>
        <v>3.12</v>
      </c>
      <c r="K138" s="903" t="s">
        <v>12</v>
      </c>
      <c r="L138" s="1137"/>
      <c r="M138" s="1150">
        <f t="shared" si="7"/>
        <v>0</v>
      </c>
      <c r="N138" s="893">
        <f t="shared" si="10"/>
        <v>0</v>
      </c>
      <c r="O138" s="905"/>
      <c r="Q138" s="317" t="str">
        <f t="shared" si="6"/>
        <v/>
      </c>
      <c r="R138" s="317" t="str">
        <f t="shared" si="8"/>
        <v/>
      </c>
      <c r="S138" s="317" t="str">
        <f t="shared" si="9"/>
        <v/>
      </c>
      <c r="T138" s="317" t="str">
        <f>GLOBAL_DER_FEV_2023!S138</f>
        <v/>
      </c>
      <c r="W138" s="582">
        <v>0</v>
      </c>
      <c r="X138" s="580"/>
      <c r="Y138" s="583">
        <f>IF(GLOBAL_DER_FEV_2023!W138=0,0,IF(GLOBAL_DER_FEV_2023!W138&gt;0,"c","b"))</f>
        <v>0</v>
      </c>
    </row>
    <row r="139" spans="1:25" x14ac:dyDescent="0.2">
      <c r="A139" s="317">
        <v>450000</v>
      </c>
      <c r="B139" s="955">
        <v>450000</v>
      </c>
      <c r="C139" s="956" t="s">
        <v>184</v>
      </c>
      <c r="D139" s="906" t="s">
        <v>187</v>
      </c>
      <c r="E139" s="898">
        <f>GLOBAL_DER_FEV_2023!E139</f>
        <v>15</v>
      </c>
      <c r="F139" s="899">
        <f>GLOBAL_DER_FEV_2023!F139</f>
        <v>1.98</v>
      </c>
      <c r="G139" s="909">
        <f>GLOBAL_DER_FEV_2023!G139</f>
        <v>37.0854</v>
      </c>
      <c r="H139" s="901">
        <f>GLOBAL_DER_FEV_2023!H139</f>
        <v>15.69</v>
      </c>
      <c r="I139" s="901">
        <f>GLOBAL_DER_FEV_2023!I139</f>
        <v>52.775399999999998</v>
      </c>
      <c r="J139" s="902">
        <f>GLOBAL_DER_FEV_2023!J139</f>
        <v>63.37</v>
      </c>
      <c r="K139" s="903" t="s">
        <v>10</v>
      </c>
      <c r="L139" s="1137"/>
      <c r="M139" s="1150">
        <f t="shared" si="7"/>
        <v>0</v>
      </c>
      <c r="N139" s="893">
        <f t="shared" si="10"/>
        <v>0</v>
      </c>
      <c r="O139" s="905"/>
      <c r="Q139" s="317" t="str">
        <f t="shared" si="6"/>
        <v/>
      </c>
      <c r="R139" s="317" t="str">
        <f t="shared" si="8"/>
        <v/>
      </c>
      <c r="S139" s="317" t="str">
        <f t="shared" si="9"/>
        <v/>
      </c>
      <c r="T139" s="317" t="str">
        <f>GLOBAL_DER_FEV_2023!S139</f>
        <v/>
      </c>
      <c r="W139" s="582">
        <v>0</v>
      </c>
      <c r="X139" s="580"/>
      <c r="Y139" s="583">
        <f>IF(GLOBAL_DER_FEV_2023!W139=0,0,IF(GLOBAL_DER_FEV_2023!W139&gt;0,"c","b"))</f>
        <v>0</v>
      </c>
    </row>
    <row r="140" spans="1:25" x14ac:dyDescent="0.2">
      <c r="A140" s="317">
        <v>541000</v>
      </c>
      <c r="B140" s="895">
        <v>541000</v>
      </c>
      <c r="C140" s="896" t="s">
        <v>184</v>
      </c>
      <c r="D140" s="906" t="s">
        <v>189</v>
      </c>
      <c r="E140" s="907">
        <f>GLOBAL_DER_FEV_2023!E140</f>
        <v>15</v>
      </c>
      <c r="F140" s="908">
        <f>GLOBAL_DER_FEV_2023!F140</f>
        <v>2.02</v>
      </c>
      <c r="G140" s="909">
        <f>GLOBAL_DER_FEV_2023!G140</f>
        <v>37.834600000000002</v>
      </c>
      <c r="H140" s="901">
        <f>GLOBAL_DER_FEV_2023!H140</f>
        <v>28.94</v>
      </c>
      <c r="I140" s="901">
        <f>GLOBAL_DER_FEV_2023!I140</f>
        <v>66.774600000000007</v>
      </c>
      <c r="J140" s="902">
        <f>GLOBAL_DER_FEV_2023!J140</f>
        <v>80.180000000000007</v>
      </c>
      <c r="K140" s="903" t="s">
        <v>10</v>
      </c>
      <c r="L140" s="1137"/>
      <c r="M140" s="1150">
        <f t="shared" si="7"/>
        <v>0</v>
      </c>
      <c r="N140" s="893">
        <f t="shared" si="10"/>
        <v>0</v>
      </c>
      <c r="O140" s="905"/>
      <c r="Q140" s="317" t="str">
        <f t="shared" si="6"/>
        <v/>
      </c>
      <c r="R140" s="317" t="str">
        <f t="shared" si="8"/>
        <v/>
      </c>
      <c r="S140" s="317" t="str">
        <f t="shared" si="9"/>
        <v/>
      </c>
      <c r="T140" s="317" t="str">
        <f>GLOBAL_DER_FEV_2023!S140</f>
        <v/>
      </c>
      <c r="W140" s="582">
        <v>0</v>
      </c>
      <c r="X140" s="580"/>
      <c r="Y140" s="583">
        <f>IF(GLOBAL_DER_FEV_2023!W140=0,0,IF(GLOBAL_DER_FEV_2023!W140&gt;0,"c","b"))</f>
        <v>0</v>
      </c>
    </row>
    <row r="141" spans="1:25" x14ac:dyDescent="0.2">
      <c r="A141" s="317">
        <v>533100</v>
      </c>
      <c r="B141" s="895" t="s">
        <v>1553</v>
      </c>
      <c r="C141" s="896" t="s">
        <v>184</v>
      </c>
      <c r="D141" s="906" t="s">
        <v>186</v>
      </c>
      <c r="E141" s="898">
        <f>GLOBAL_DER_FEV_2023!E141</f>
        <v>15</v>
      </c>
      <c r="F141" s="899">
        <f>GLOBAL_DER_FEV_2023!F141</f>
        <v>2.1</v>
      </c>
      <c r="G141" s="909">
        <f>GLOBAL_DER_FEV_2023!G141</f>
        <v>39.333000000000006</v>
      </c>
      <c r="H141" s="901">
        <f>GLOBAL_DER_FEV_2023!H141</f>
        <v>30.58</v>
      </c>
      <c r="I141" s="901">
        <f>GLOBAL_DER_FEV_2023!I141</f>
        <v>69.913000000000011</v>
      </c>
      <c r="J141" s="902">
        <f>GLOBAL_DER_FEV_2023!J141</f>
        <v>83.94</v>
      </c>
      <c r="K141" s="903" t="s">
        <v>10</v>
      </c>
      <c r="L141" s="1137"/>
      <c r="M141" s="1150">
        <f t="shared" si="7"/>
        <v>0</v>
      </c>
      <c r="N141" s="893">
        <f t="shared" si="10"/>
        <v>0</v>
      </c>
      <c r="O141" s="905"/>
      <c r="Q141" s="317" t="str">
        <f t="shared" si="6"/>
        <v/>
      </c>
      <c r="R141" s="317" t="str">
        <f t="shared" si="8"/>
        <v/>
      </c>
      <c r="S141" s="317" t="str">
        <f t="shared" si="9"/>
        <v/>
      </c>
      <c r="T141" s="317" t="str">
        <f>GLOBAL_DER_FEV_2023!S141</f>
        <v/>
      </c>
      <c r="W141" s="582">
        <v>0</v>
      </c>
      <c r="X141" s="580"/>
      <c r="Y141" s="583">
        <f>IF(GLOBAL_DER_FEV_2023!W141=0,0,IF(GLOBAL_DER_FEV_2023!W141&gt;0,"c","b"))</f>
        <v>0</v>
      </c>
    </row>
    <row r="142" spans="1:25" x14ac:dyDescent="0.2">
      <c r="A142" s="317">
        <v>542000</v>
      </c>
      <c r="B142" s="895">
        <v>542000</v>
      </c>
      <c r="C142" s="896" t="s">
        <v>184</v>
      </c>
      <c r="D142" s="906" t="s">
        <v>2193</v>
      </c>
      <c r="E142" s="898">
        <f>GLOBAL_DER_FEV_2023!E142</f>
        <v>0</v>
      </c>
      <c r="F142" s="908">
        <f>GLOBAL_DER_FEV_2023!F142</f>
        <v>0</v>
      </c>
      <c r="G142" s="953">
        <f>GLOBAL_DER_FEV_2023!G142</f>
        <v>14.171060000000001</v>
      </c>
      <c r="H142" s="901">
        <f>GLOBAL_DER_FEV_2023!H142</f>
        <v>58.55</v>
      </c>
      <c r="I142" s="901">
        <f>GLOBAL_DER_FEV_2023!I142</f>
        <v>72.721059999999994</v>
      </c>
      <c r="J142" s="902">
        <f>GLOBAL_DER_FEV_2023!J142</f>
        <v>87.32</v>
      </c>
      <c r="K142" s="903" t="s">
        <v>10</v>
      </c>
      <c r="L142" s="1137"/>
      <c r="M142" s="1150">
        <f t="shared" si="7"/>
        <v>0</v>
      </c>
      <c r="N142" s="893">
        <f t="shared" si="10"/>
        <v>0</v>
      </c>
      <c r="O142" s="905"/>
      <c r="Q142" s="317" t="str">
        <f t="shared" si="6"/>
        <v/>
      </c>
      <c r="R142" s="317" t="str">
        <f t="shared" si="8"/>
        <v/>
      </c>
      <c r="S142" s="317" t="str">
        <f t="shared" si="9"/>
        <v/>
      </c>
      <c r="T142" s="317" t="str">
        <f>GLOBAL_DER_FEV_2023!S142</f>
        <v/>
      </c>
      <c r="W142" s="582">
        <v>0</v>
      </c>
      <c r="X142" s="580"/>
      <c r="Y142" s="583">
        <f>IF(GLOBAL_DER_FEV_2023!W142=0,0,IF(GLOBAL_DER_FEV_2023!W142&gt;0,"c","b"))</f>
        <v>0</v>
      </c>
    </row>
    <row r="143" spans="1:25" x14ac:dyDescent="0.2">
      <c r="A143" s="317" t="s">
        <v>147</v>
      </c>
      <c r="B143" s="895" t="s">
        <v>147</v>
      </c>
      <c r="C143" s="896"/>
      <c r="D143" s="957" t="s">
        <v>190</v>
      </c>
      <c r="E143" s="907">
        <f>GLOBAL_DER_FEV_2023!E143</f>
        <v>308</v>
      </c>
      <c r="F143" s="908">
        <f>GLOBAL_DER_FEV_2023!F143</f>
        <v>3.6999999999999998E-2</v>
      </c>
      <c r="G143" s="909">
        <f>GLOBAL_DER_FEV_2023!G143</f>
        <v>9.1782199999999996</v>
      </c>
      <c r="H143" s="901">
        <f>GLOBAL_DER_FEV_2023!H143</f>
        <v>0</v>
      </c>
      <c r="I143" s="901">
        <f>GLOBAL_DER_FEV_2023!I143</f>
        <v>0</v>
      </c>
      <c r="J143" s="902">
        <f>GLOBAL_DER_FEV_2023!J143</f>
        <v>0</v>
      </c>
      <c r="K143" s="903" t="s">
        <v>507</v>
      </c>
      <c r="L143" s="959"/>
      <c r="M143" s="1041">
        <f t="shared" si="7"/>
        <v>0</v>
      </c>
      <c r="N143" s="893">
        <f t="shared" si="10"/>
        <v>0</v>
      </c>
      <c r="O143" s="905"/>
      <c r="P143" s="58" t="str">
        <f>IF(N142&gt;0,"xx",IF(N142&gt;0,"xy",""))</f>
        <v/>
      </c>
      <c r="Q143" s="317" t="str">
        <f t="shared" si="6"/>
        <v/>
      </c>
      <c r="R143" s="317" t="str">
        <f t="shared" si="8"/>
        <v/>
      </c>
      <c r="S143" s="317" t="str">
        <f t="shared" si="9"/>
        <v/>
      </c>
      <c r="T143" s="317" t="str">
        <f>GLOBAL_DER_FEV_2023!S143</f>
        <v/>
      </c>
      <c r="W143" s="582">
        <v>0</v>
      </c>
      <c r="X143" s="580"/>
      <c r="Y143" s="583">
        <f>IF(GLOBAL_DER_FEV_2023!W143=0,0,IF(GLOBAL_DER_FEV_2023!W143&gt;0,"c","b"))</f>
        <v>0</v>
      </c>
    </row>
    <row r="144" spans="1:25" x14ac:dyDescent="0.2">
      <c r="A144" s="317" t="s">
        <v>147</v>
      </c>
      <c r="B144" s="895" t="s">
        <v>147</v>
      </c>
      <c r="C144" s="896"/>
      <c r="D144" s="957" t="s">
        <v>191</v>
      </c>
      <c r="E144" s="898">
        <f>GLOBAL_DER_FEV_2023!E144</f>
        <v>0</v>
      </c>
      <c r="F144" s="908">
        <f>GLOBAL_DER_FEV_2023!F144</f>
        <v>1.863</v>
      </c>
      <c r="G144" s="909">
        <f>GLOBAL_DER_FEV_2023!G144</f>
        <v>4.9928400000000002</v>
      </c>
      <c r="H144" s="901">
        <f>GLOBAL_DER_FEV_2023!H144</f>
        <v>0</v>
      </c>
      <c r="I144" s="901">
        <f>GLOBAL_DER_FEV_2023!I144</f>
        <v>0</v>
      </c>
      <c r="J144" s="902">
        <f>GLOBAL_DER_FEV_2023!J144</f>
        <v>0</v>
      </c>
      <c r="K144" s="903" t="s">
        <v>507</v>
      </c>
      <c r="L144" s="959"/>
      <c r="M144" s="1041">
        <f t="shared" si="7"/>
        <v>0</v>
      </c>
      <c r="N144" s="893">
        <f t="shared" si="10"/>
        <v>0</v>
      </c>
      <c r="O144" s="905"/>
      <c r="P144" s="58" t="str">
        <f>IF(N142&gt;0,"xx",IF(N142&gt;0,"xy",""))</f>
        <v/>
      </c>
      <c r="Q144" s="317" t="str">
        <f t="shared" si="6"/>
        <v/>
      </c>
      <c r="R144" s="317" t="str">
        <f t="shared" si="8"/>
        <v/>
      </c>
      <c r="S144" s="317" t="str">
        <f t="shared" si="9"/>
        <v/>
      </c>
      <c r="T144" s="317" t="str">
        <f>GLOBAL_DER_FEV_2023!S144</f>
        <v/>
      </c>
      <c r="W144" s="582">
        <v>0</v>
      </c>
      <c r="X144" s="580"/>
      <c r="Y144" s="583">
        <f>IF(GLOBAL_DER_FEV_2023!W144=0,0,IF(GLOBAL_DER_FEV_2023!W144&gt;0,"c","b"))</f>
        <v>0</v>
      </c>
    </row>
    <row r="145" spans="1:25" x14ac:dyDescent="0.2">
      <c r="A145" s="317">
        <v>543000</v>
      </c>
      <c r="B145" s="895">
        <v>543000</v>
      </c>
      <c r="C145" s="896" t="s">
        <v>184</v>
      </c>
      <c r="D145" s="906" t="s">
        <v>2194</v>
      </c>
      <c r="E145" s="898">
        <f>GLOBAL_DER_FEV_2023!E145</f>
        <v>0</v>
      </c>
      <c r="F145" s="908">
        <f>GLOBAL_DER_FEV_2023!F145</f>
        <v>0</v>
      </c>
      <c r="G145" s="953">
        <f>GLOBAL_DER_FEV_2023!G145</f>
        <v>18.587900000000001</v>
      </c>
      <c r="H145" s="901">
        <f>GLOBAL_DER_FEV_2023!H145</f>
        <v>72.05</v>
      </c>
      <c r="I145" s="901">
        <f>GLOBAL_DER_FEV_2023!I145</f>
        <v>90.637900000000002</v>
      </c>
      <c r="J145" s="902">
        <f>GLOBAL_DER_FEV_2023!J145</f>
        <v>108.83</v>
      </c>
      <c r="K145" s="903" t="s">
        <v>10</v>
      </c>
      <c r="L145" s="1137"/>
      <c r="M145" s="1150">
        <f t="shared" si="7"/>
        <v>0</v>
      </c>
      <c r="N145" s="893">
        <f t="shared" si="10"/>
        <v>0</v>
      </c>
      <c r="O145" s="905"/>
      <c r="Q145" s="317" t="str">
        <f t="shared" si="6"/>
        <v/>
      </c>
      <c r="R145" s="317" t="str">
        <f t="shared" si="8"/>
        <v/>
      </c>
      <c r="S145" s="317" t="str">
        <f t="shared" si="9"/>
        <v/>
      </c>
      <c r="T145" s="317" t="str">
        <f>GLOBAL_DER_FEV_2023!S145</f>
        <v/>
      </c>
      <c r="W145" s="582">
        <v>0</v>
      </c>
      <c r="X145" s="580"/>
      <c r="Y145" s="583">
        <f>IF(GLOBAL_DER_FEV_2023!W145=0,0,IF(GLOBAL_DER_FEV_2023!W145&gt;0,"c","b"))</f>
        <v>0</v>
      </c>
    </row>
    <row r="146" spans="1:25" x14ac:dyDescent="0.2">
      <c r="A146" s="317" t="s">
        <v>147</v>
      </c>
      <c r="B146" s="895" t="s">
        <v>147</v>
      </c>
      <c r="C146" s="896"/>
      <c r="D146" s="957" t="s">
        <v>190</v>
      </c>
      <c r="E146" s="907">
        <f>GLOBAL_DER_FEV_2023!E146</f>
        <v>308</v>
      </c>
      <c r="F146" s="908">
        <f>GLOBAL_DER_FEV_2023!F146</f>
        <v>5.5E-2</v>
      </c>
      <c r="G146" s="909">
        <f>GLOBAL_DER_FEV_2023!G146</f>
        <v>13.6433</v>
      </c>
      <c r="H146" s="901">
        <f>GLOBAL_DER_FEV_2023!H146</f>
        <v>0</v>
      </c>
      <c r="I146" s="901">
        <f>GLOBAL_DER_FEV_2023!I146</f>
        <v>0</v>
      </c>
      <c r="J146" s="902">
        <f>GLOBAL_DER_FEV_2023!J146</f>
        <v>0</v>
      </c>
      <c r="K146" s="903" t="s">
        <v>507</v>
      </c>
      <c r="L146" s="959"/>
      <c r="M146" s="1041">
        <f t="shared" si="7"/>
        <v>0</v>
      </c>
      <c r="N146" s="893">
        <f t="shared" si="10"/>
        <v>0</v>
      </c>
      <c r="O146" s="905"/>
      <c r="P146" s="58" t="str">
        <f>IF(N145&gt;0,"xx",IF(N145&gt;0,"xy",""))</f>
        <v/>
      </c>
      <c r="Q146" s="317" t="str">
        <f t="shared" si="6"/>
        <v/>
      </c>
      <c r="R146" s="317" t="str">
        <f t="shared" si="8"/>
        <v/>
      </c>
      <c r="S146" s="317" t="str">
        <f t="shared" si="9"/>
        <v/>
      </c>
      <c r="T146" s="317" t="str">
        <f>GLOBAL_DER_FEV_2023!S146</f>
        <v/>
      </c>
      <c r="W146" s="582">
        <v>0</v>
      </c>
      <c r="X146" s="580"/>
      <c r="Y146" s="583">
        <f>IF(GLOBAL_DER_FEV_2023!W146=0,0,IF(GLOBAL_DER_FEV_2023!W146&gt;0,"c","b"))</f>
        <v>0</v>
      </c>
    </row>
    <row r="147" spans="1:25" x14ac:dyDescent="0.2">
      <c r="A147" s="317" t="s">
        <v>147</v>
      </c>
      <c r="B147" s="895" t="s">
        <v>147</v>
      </c>
      <c r="C147" s="896"/>
      <c r="D147" s="957" t="s">
        <v>191</v>
      </c>
      <c r="E147" s="898">
        <f>GLOBAL_DER_FEV_2023!E147</f>
        <v>0</v>
      </c>
      <c r="F147" s="908">
        <f>GLOBAL_DER_FEV_2023!F147</f>
        <v>1.845</v>
      </c>
      <c r="G147" s="909">
        <f>GLOBAL_DER_FEV_2023!G147</f>
        <v>4.9446000000000003</v>
      </c>
      <c r="H147" s="901">
        <f>GLOBAL_DER_FEV_2023!H147</f>
        <v>0</v>
      </c>
      <c r="I147" s="901">
        <f>GLOBAL_DER_FEV_2023!I147</f>
        <v>0</v>
      </c>
      <c r="J147" s="902">
        <f>GLOBAL_DER_FEV_2023!J147</f>
        <v>0</v>
      </c>
      <c r="K147" s="903" t="s">
        <v>507</v>
      </c>
      <c r="L147" s="959"/>
      <c r="M147" s="1041">
        <f t="shared" si="7"/>
        <v>0</v>
      </c>
      <c r="N147" s="893">
        <f t="shared" si="10"/>
        <v>0</v>
      </c>
      <c r="O147" s="905"/>
      <c r="P147" s="58" t="str">
        <f>IF(N145&gt;0,"xx",IF(N145&gt;0,"xy",""))</f>
        <v/>
      </c>
      <c r="Q147" s="317" t="str">
        <f t="shared" ref="Q147:Q210" si="11">IF(P147="X","x",IF(P147="xx","x",IF(P147="xy","x",IF(P147="y","x",IF(OR(N147&gt;0,N147&gt;0),"x","")))))</f>
        <v/>
      </c>
      <c r="R147" s="317" t="str">
        <f t="shared" si="8"/>
        <v/>
      </c>
      <c r="S147" s="317" t="str">
        <f t="shared" si="9"/>
        <v/>
      </c>
      <c r="T147" s="317" t="str">
        <f>GLOBAL_DER_FEV_2023!S147</f>
        <v/>
      </c>
      <c r="W147" s="582">
        <v>0</v>
      </c>
      <c r="X147" s="580"/>
      <c r="Y147" s="583">
        <f>IF(GLOBAL_DER_FEV_2023!W147=0,0,IF(GLOBAL_DER_FEV_2023!W147&gt;0,"c","b"))</f>
        <v>0</v>
      </c>
    </row>
    <row r="148" spans="1:25" x14ac:dyDescent="0.2">
      <c r="A148" s="317">
        <v>544000</v>
      </c>
      <c r="B148" s="895">
        <v>544000</v>
      </c>
      <c r="C148" s="896" t="s">
        <v>184</v>
      </c>
      <c r="D148" s="906" t="s">
        <v>2195</v>
      </c>
      <c r="E148" s="898">
        <f>GLOBAL_DER_FEV_2023!E148</f>
        <v>0</v>
      </c>
      <c r="F148" s="908">
        <f>GLOBAL_DER_FEV_2023!F148</f>
        <v>0</v>
      </c>
      <c r="G148" s="953">
        <f>GLOBAL_DER_FEV_2023!G148</f>
        <v>22.37998</v>
      </c>
      <c r="H148" s="901">
        <f>GLOBAL_DER_FEV_2023!H148</f>
        <v>76.39</v>
      </c>
      <c r="I148" s="901">
        <f>GLOBAL_DER_FEV_2023!I148</f>
        <v>98.769980000000004</v>
      </c>
      <c r="J148" s="902">
        <f>GLOBAL_DER_FEV_2023!J148</f>
        <v>118.59</v>
      </c>
      <c r="K148" s="903" t="s">
        <v>10</v>
      </c>
      <c r="L148" s="1137"/>
      <c r="M148" s="1150">
        <f t="shared" ref="M148:M211" si="12">IF(L148=0,0,ROUND(J148,2))</f>
        <v>0</v>
      </c>
      <c r="N148" s="893">
        <f t="shared" si="10"/>
        <v>0</v>
      </c>
      <c r="O148" s="905"/>
      <c r="Q148" s="317" t="str">
        <f t="shared" si="11"/>
        <v/>
      </c>
      <c r="R148" s="317" t="str">
        <f t="shared" si="8"/>
        <v/>
      </c>
      <c r="S148" s="317" t="str">
        <f t="shared" si="9"/>
        <v/>
      </c>
      <c r="T148" s="317" t="str">
        <f>GLOBAL_DER_FEV_2023!S148</f>
        <v/>
      </c>
      <c r="W148" s="582">
        <v>0</v>
      </c>
      <c r="X148" s="580"/>
      <c r="Y148" s="583">
        <f>IF(GLOBAL_DER_FEV_2023!W148=0,0,IF(GLOBAL_DER_FEV_2023!W148&gt;0,"c","b"))</f>
        <v>0</v>
      </c>
    </row>
    <row r="149" spans="1:25" x14ac:dyDescent="0.2">
      <c r="A149" s="317" t="s">
        <v>147</v>
      </c>
      <c r="B149" s="895" t="s">
        <v>147</v>
      </c>
      <c r="C149" s="896"/>
      <c r="D149" s="957" t="s">
        <v>190</v>
      </c>
      <c r="E149" s="907">
        <f>GLOBAL_DER_FEV_2023!E149</f>
        <v>308</v>
      </c>
      <c r="F149" s="908">
        <f>GLOBAL_DER_FEV_2023!F149</f>
        <v>7.0999999999999994E-2</v>
      </c>
      <c r="G149" s="909">
        <f>GLOBAL_DER_FEV_2023!G149</f>
        <v>17.612259999999999</v>
      </c>
      <c r="H149" s="901">
        <f>GLOBAL_DER_FEV_2023!H149</f>
        <v>0</v>
      </c>
      <c r="I149" s="901">
        <f>GLOBAL_DER_FEV_2023!I149</f>
        <v>0</v>
      </c>
      <c r="J149" s="902">
        <f>GLOBAL_DER_FEV_2023!J149</f>
        <v>0</v>
      </c>
      <c r="K149" s="903" t="s">
        <v>507</v>
      </c>
      <c r="L149" s="959"/>
      <c r="M149" s="1041">
        <f t="shared" si="12"/>
        <v>0</v>
      </c>
      <c r="N149" s="893">
        <f t="shared" si="10"/>
        <v>0</v>
      </c>
      <c r="O149" s="905"/>
      <c r="P149" s="58" t="str">
        <f>IF(N148&gt;0,"xx",IF(N148&gt;0,"xy",""))</f>
        <v/>
      </c>
      <c r="Q149" s="317" t="str">
        <f t="shared" si="11"/>
        <v/>
      </c>
      <c r="R149" s="317" t="str">
        <f t="shared" ref="R149:R212" si="13">IF(P149="X","x",IF(P149="y","x",IF(P149="xx","x",IF(N149&gt;0,"x",""))))</f>
        <v/>
      </c>
      <c r="S149" s="317" t="str">
        <f t="shared" ref="S149:S212" si="14">IF(P149="X","x",IF(N149&gt;0,"x",""))</f>
        <v/>
      </c>
      <c r="T149" s="317" t="str">
        <f>GLOBAL_DER_FEV_2023!S149</f>
        <v/>
      </c>
      <c r="W149" s="582">
        <v>0</v>
      </c>
      <c r="X149" s="580"/>
      <c r="Y149" s="583">
        <f>IF(GLOBAL_DER_FEV_2023!W149=0,0,IF(GLOBAL_DER_FEV_2023!W149&gt;0,"c","b"))</f>
        <v>0</v>
      </c>
    </row>
    <row r="150" spans="1:25" x14ac:dyDescent="0.2">
      <c r="A150" s="317" t="s">
        <v>147</v>
      </c>
      <c r="B150" s="895" t="s">
        <v>147</v>
      </c>
      <c r="C150" s="896"/>
      <c r="D150" s="957" t="s">
        <v>191</v>
      </c>
      <c r="E150" s="898">
        <f>GLOBAL_DER_FEV_2023!E150</f>
        <v>0</v>
      </c>
      <c r="F150" s="908">
        <f>GLOBAL_DER_FEV_2023!F150</f>
        <v>1.7789999999999999</v>
      </c>
      <c r="G150" s="909">
        <f>GLOBAL_DER_FEV_2023!G150</f>
        <v>4.7677199999999997</v>
      </c>
      <c r="H150" s="901">
        <f>GLOBAL_DER_FEV_2023!H150</f>
        <v>0</v>
      </c>
      <c r="I150" s="901">
        <f>GLOBAL_DER_FEV_2023!I150</f>
        <v>0</v>
      </c>
      <c r="J150" s="902">
        <f>GLOBAL_DER_FEV_2023!J150</f>
        <v>0</v>
      </c>
      <c r="K150" s="903" t="s">
        <v>507</v>
      </c>
      <c r="L150" s="959"/>
      <c r="M150" s="1041">
        <f t="shared" si="12"/>
        <v>0</v>
      </c>
      <c r="N150" s="893">
        <f t="shared" si="10"/>
        <v>0</v>
      </c>
      <c r="O150" s="905"/>
      <c r="P150" s="58" t="str">
        <f>IF(N148&gt;0,"xx",IF(N148&gt;0,"xy",""))</f>
        <v/>
      </c>
      <c r="Q150" s="317" t="str">
        <f t="shared" si="11"/>
        <v/>
      </c>
      <c r="R150" s="317" t="str">
        <f t="shared" si="13"/>
        <v/>
      </c>
      <c r="S150" s="317" t="str">
        <f t="shared" si="14"/>
        <v/>
      </c>
      <c r="T150" s="317" t="str">
        <f>GLOBAL_DER_FEV_2023!S150</f>
        <v/>
      </c>
      <c r="W150" s="582">
        <v>0</v>
      </c>
      <c r="X150" s="580"/>
      <c r="Y150" s="583">
        <f>IF(GLOBAL_DER_FEV_2023!W150=0,0,IF(GLOBAL_DER_FEV_2023!W150&gt;0,"c","b"))</f>
        <v>0</v>
      </c>
    </row>
    <row r="151" spans="1:25" x14ac:dyDescent="0.2">
      <c r="A151" s="317">
        <v>545000</v>
      </c>
      <c r="B151" s="895">
        <v>545000</v>
      </c>
      <c r="C151" s="896" t="s">
        <v>184</v>
      </c>
      <c r="D151" s="906" t="s">
        <v>2196</v>
      </c>
      <c r="E151" s="898">
        <f>GLOBAL_DER_FEV_2023!E151</f>
        <v>0</v>
      </c>
      <c r="F151" s="908">
        <f>GLOBAL_DER_FEV_2023!F151</f>
        <v>0</v>
      </c>
      <c r="G151" s="953">
        <f>GLOBAL_DER_FEV_2023!G151</f>
        <v>26.551439999999999</v>
      </c>
      <c r="H151" s="901">
        <f>GLOBAL_DER_FEV_2023!H151</f>
        <v>88.51</v>
      </c>
      <c r="I151" s="901">
        <f>GLOBAL_DER_FEV_2023!I151</f>
        <v>115.06144</v>
      </c>
      <c r="J151" s="902">
        <f>GLOBAL_DER_FEV_2023!J151</f>
        <v>138.15</v>
      </c>
      <c r="K151" s="903" t="s">
        <v>10</v>
      </c>
      <c r="L151" s="1137"/>
      <c r="M151" s="1150">
        <f t="shared" si="12"/>
        <v>0</v>
      </c>
      <c r="N151" s="893">
        <f t="shared" si="10"/>
        <v>0</v>
      </c>
      <c r="O151" s="905"/>
      <c r="Q151" s="317" t="str">
        <f t="shared" si="11"/>
        <v/>
      </c>
      <c r="R151" s="317" t="str">
        <f t="shared" si="13"/>
        <v/>
      </c>
      <c r="S151" s="317" t="str">
        <f t="shared" si="14"/>
        <v/>
      </c>
      <c r="T151" s="317" t="str">
        <f>GLOBAL_DER_FEV_2023!S151</f>
        <v/>
      </c>
      <c r="W151" s="582">
        <v>0</v>
      </c>
      <c r="X151" s="580"/>
      <c r="Y151" s="583">
        <f>IF(GLOBAL_DER_FEV_2023!W151=0,0,IF(GLOBAL_DER_FEV_2023!W151&gt;0,"c","b"))</f>
        <v>0</v>
      </c>
    </row>
    <row r="152" spans="1:25" x14ac:dyDescent="0.2">
      <c r="A152" s="317" t="s">
        <v>147</v>
      </c>
      <c r="B152" s="895" t="s">
        <v>147</v>
      </c>
      <c r="C152" s="896"/>
      <c r="D152" s="957" t="s">
        <v>190</v>
      </c>
      <c r="E152" s="907">
        <f>GLOBAL_DER_FEV_2023!E152</f>
        <v>308</v>
      </c>
      <c r="F152" s="908">
        <f>GLOBAL_DER_FEV_2023!F152</f>
        <v>8.7999999999999995E-2</v>
      </c>
      <c r="G152" s="909">
        <f>GLOBAL_DER_FEV_2023!G152</f>
        <v>21.829280000000001</v>
      </c>
      <c r="H152" s="901">
        <f>GLOBAL_DER_FEV_2023!H152</f>
        <v>0</v>
      </c>
      <c r="I152" s="901">
        <f>GLOBAL_DER_FEV_2023!I152</f>
        <v>0</v>
      </c>
      <c r="J152" s="902">
        <f>GLOBAL_DER_FEV_2023!J152</f>
        <v>0</v>
      </c>
      <c r="K152" s="903" t="s">
        <v>507</v>
      </c>
      <c r="L152" s="959"/>
      <c r="M152" s="1041">
        <f t="shared" si="12"/>
        <v>0</v>
      </c>
      <c r="N152" s="893">
        <f t="shared" si="10"/>
        <v>0</v>
      </c>
      <c r="O152" s="905"/>
      <c r="P152" s="58" t="str">
        <f>IF(N151&gt;0,"xx",IF(N151&gt;0,"xy",""))</f>
        <v/>
      </c>
      <c r="Q152" s="317" t="str">
        <f t="shared" si="11"/>
        <v/>
      </c>
      <c r="R152" s="317" t="str">
        <f t="shared" si="13"/>
        <v/>
      </c>
      <c r="S152" s="317" t="str">
        <f t="shared" si="14"/>
        <v/>
      </c>
      <c r="T152" s="317" t="str">
        <f>GLOBAL_DER_FEV_2023!S152</f>
        <v/>
      </c>
      <c r="W152" s="582">
        <v>0</v>
      </c>
      <c r="X152" s="580"/>
      <c r="Y152" s="583">
        <f>IF(GLOBAL_DER_FEV_2023!W152=0,0,IF(GLOBAL_DER_FEV_2023!W152&gt;0,"c","b"))</f>
        <v>0</v>
      </c>
    </row>
    <row r="153" spans="1:25" x14ac:dyDescent="0.2">
      <c r="A153" s="317" t="s">
        <v>147</v>
      </c>
      <c r="B153" s="895" t="s">
        <v>147</v>
      </c>
      <c r="C153" s="896"/>
      <c r="D153" s="957" t="s">
        <v>191</v>
      </c>
      <c r="E153" s="898">
        <f>GLOBAL_DER_FEV_2023!E153</f>
        <v>0</v>
      </c>
      <c r="F153" s="908">
        <f>GLOBAL_DER_FEV_2023!F153</f>
        <v>1.762</v>
      </c>
      <c r="G153" s="909">
        <f>GLOBAL_DER_FEV_2023!G153</f>
        <v>4.7221600000000006</v>
      </c>
      <c r="H153" s="901">
        <f>GLOBAL_DER_FEV_2023!H153</f>
        <v>0</v>
      </c>
      <c r="I153" s="901">
        <f>GLOBAL_DER_FEV_2023!I153</f>
        <v>0</v>
      </c>
      <c r="J153" s="902">
        <f>GLOBAL_DER_FEV_2023!J153</f>
        <v>0</v>
      </c>
      <c r="K153" s="903" t="s">
        <v>507</v>
      </c>
      <c r="L153" s="959"/>
      <c r="M153" s="1041">
        <f t="shared" si="12"/>
        <v>0</v>
      </c>
      <c r="N153" s="893">
        <f t="shared" ref="N153:N216" si="15">IF(ISBLANK(L153),0,IF(W153=0,ROUND(L153*M153,2),IF(W153="b",ROUNDDOWN(L153*M153,2),ROUNDUP(L153*M153,2))))</f>
        <v>0</v>
      </c>
      <c r="O153" s="905"/>
      <c r="P153" s="58" t="str">
        <f>IF(N151&gt;0,"xx",IF(N151&gt;0,"xy",""))</f>
        <v/>
      </c>
      <c r="Q153" s="317" t="str">
        <f t="shared" si="11"/>
        <v/>
      </c>
      <c r="R153" s="317" t="str">
        <f t="shared" si="13"/>
        <v/>
      </c>
      <c r="S153" s="317" t="str">
        <f t="shared" si="14"/>
        <v/>
      </c>
      <c r="T153" s="317" t="str">
        <f>GLOBAL_DER_FEV_2023!S153</f>
        <v/>
      </c>
      <c r="W153" s="582">
        <v>0</v>
      </c>
      <c r="X153" s="580"/>
      <c r="Y153" s="583">
        <f>IF(GLOBAL_DER_FEV_2023!W153=0,0,IF(GLOBAL_DER_FEV_2023!W153&gt;0,"c","b"))</f>
        <v>0</v>
      </c>
    </row>
    <row r="154" spans="1:25" x14ac:dyDescent="0.2">
      <c r="A154" s="317">
        <v>546000</v>
      </c>
      <c r="B154" s="895">
        <v>546000</v>
      </c>
      <c r="C154" s="896" t="s">
        <v>184</v>
      </c>
      <c r="D154" s="906" t="s">
        <v>2197</v>
      </c>
      <c r="E154" s="898">
        <f>GLOBAL_DER_FEV_2023!E154</f>
        <v>0</v>
      </c>
      <c r="F154" s="908">
        <f>GLOBAL_DER_FEV_2023!F154</f>
        <v>0</v>
      </c>
      <c r="G154" s="953">
        <f>GLOBAL_DER_FEV_2023!G154</f>
        <v>30.722899999999999</v>
      </c>
      <c r="H154" s="901">
        <f>GLOBAL_DER_FEV_2023!H154</f>
        <v>100.63</v>
      </c>
      <c r="I154" s="901">
        <f>GLOBAL_DER_FEV_2023!I154</f>
        <v>131.35290000000001</v>
      </c>
      <c r="J154" s="902">
        <f>GLOBAL_DER_FEV_2023!J154</f>
        <v>157.72</v>
      </c>
      <c r="K154" s="903" t="s">
        <v>10</v>
      </c>
      <c r="L154" s="1137"/>
      <c r="M154" s="1150">
        <f t="shared" si="12"/>
        <v>0</v>
      </c>
      <c r="N154" s="893">
        <f t="shared" si="15"/>
        <v>0</v>
      </c>
      <c r="O154" s="905"/>
      <c r="Q154" s="317" t="str">
        <f t="shared" si="11"/>
        <v/>
      </c>
      <c r="R154" s="317" t="str">
        <f t="shared" si="13"/>
        <v/>
      </c>
      <c r="S154" s="317" t="str">
        <f t="shared" si="14"/>
        <v/>
      </c>
      <c r="T154" s="317" t="str">
        <f>GLOBAL_DER_FEV_2023!S154</f>
        <v/>
      </c>
      <c r="W154" s="582">
        <v>0</v>
      </c>
      <c r="X154" s="580"/>
      <c r="Y154" s="583">
        <f>IF(GLOBAL_DER_FEV_2023!W154=0,0,IF(GLOBAL_DER_FEV_2023!W154&gt;0,"c","b"))</f>
        <v>0</v>
      </c>
    </row>
    <row r="155" spans="1:25" x14ac:dyDescent="0.2">
      <c r="A155" s="317" t="s">
        <v>147</v>
      </c>
      <c r="B155" s="895" t="s">
        <v>147</v>
      </c>
      <c r="C155" s="896"/>
      <c r="D155" s="957" t="s">
        <v>190</v>
      </c>
      <c r="E155" s="907">
        <f>GLOBAL_DER_FEV_2023!E155</f>
        <v>308</v>
      </c>
      <c r="F155" s="908">
        <f>GLOBAL_DER_FEV_2023!F155</f>
        <v>0.105</v>
      </c>
      <c r="G155" s="909">
        <f>GLOBAL_DER_FEV_2023!G155</f>
        <v>26.046299999999999</v>
      </c>
      <c r="H155" s="901">
        <f>GLOBAL_DER_FEV_2023!H155</f>
        <v>0</v>
      </c>
      <c r="I155" s="901">
        <f>GLOBAL_DER_FEV_2023!I155</f>
        <v>0</v>
      </c>
      <c r="J155" s="902">
        <f>GLOBAL_DER_FEV_2023!J155</f>
        <v>0</v>
      </c>
      <c r="K155" s="903" t="s">
        <v>507</v>
      </c>
      <c r="L155" s="959"/>
      <c r="M155" s="1041">
        <f t="shared" si="12"/>
        <v>0</v>
      </c>
      <c r="N155" s="893">
        <f t="shared" si="15"/>
        <v>0</v>
      </c>
      <c r="O155" s="905"/>
      <c r="P155" s="58" t="str">
        <f>IF(N154&gt;0,"xx",IF(N154&gt;0,"xy",""))</f>
        <v/>
      </c>
      <c r="Q155" s="317" t="str">
        <f t="shared" si="11"/>
        <v/>
      </c>
      <c r="R155" s="317" t="str">
        <f t="shared" si="13"/>
        <v/>
      </c>
      <c r="S155" s="317" t="str">
        <f t="shared" si="14"/>
        <v/>
      </c>
      <c r="T155" s="317" t="str">
        <f>GLOBAL_DER_FEV_2023!S155</f>
        <v/>
      </c>
      <c r="W155" s="582">
        <v>0</v>
      </c>
      <c r="X155" s="580"/>
      <c r="Y155" s="583">
        <f>IF(GLOBAL_DER_FEV_2023!W155=0,0,IF(GLOBAL_DER_FEV_2023!W155&gt;0,"c","b"))</f>
        <v>0</v>
      </c>
    </row>
    <row r="156" spans="1:25" x14ac:dyDescent="0.2">
      <c r="A156" s="317" t="s">
        <v>147</v>
      </c>
      <c r="B156" s="895" t="s">
        <v>147</v>
      </c>
      <c r="C156" s="896"/>
      <c r="D156" s="957" t="s">
        <v>191</v>
      </c>
      <c r="E156" s="898">
        <f>GLOBAL_DER_FEV_2023!E156</f>
        <v>0</v>
      </c>
      <c r="F156" s="908">
        <f>GLOBAL_DER_FEV_2023!F156</f>
        <v>1.7450000000000001</v>
      </c>
      <c r="G156" s="909">
        <f>GLOBAL_DER_FEV_2023!G156</f>
        <v>4.6766000000000005</v>
      </c>
      <c r="H156" s="901">
        <f>GLOBAL_DER_FEV_2023!H156</f>
        <v>0</v>
      </c>
      <c r="I156" s="901">
        <f>GLOBAL_DER_FEV_2023!I156</f>
        <v>0</v>
      </c>
      <c r="J156" s="902">
        <f>GLOBAL_DER_FEV_2023!J156</f>
        <v>0</v>
      </c>
      <c r="K156" s="903" t="s">
        <v>507</v>
      </c>
      <c r="L156" s="959"/>
      <c r="M156" s="1041">
        <f t="shared" si="12"/>
        <v>0</v>
      </c>
      <c r="N156" s="893">
        <f t="shared" si="15"/>
        <v>0</v>
      </c>
      <c r="O156" s="905"/>
      <c r="P156" s="58" t="str">
        <f>IF(N154&gt;0,"xx",IF(N154&gt;0,"xy",""))</f>
        <v/>
      </c>
      <c r="Q156" s="317" t="str">
        <f t="shared" si="11"/>
        <v/>
      </c>
      <c r="R156" s="317" t="str">
        <f t="shared" si="13"/>
        <v/>
      </c>
      <c r="S156" s="317" t="str">
        <f t="shared" si="14"/>
        <v/>
      </c>
      <c r="T156" s="317" t="str">
        <f>GLOBAL_DER_FEV_2023!S156</f>
        <v/>
      </c>
      <c r="W156" s="582">
        <v>0</v>
      </c>
      <c r="X156" s="580"/>
      <c r="Y156" s="583">
        <f>IF(GLOBAL_DER_FEV_2023!W156=0,0,IF(GLOBAL_DER_FEV_2023!W156&gt;0,"c","b"))</f>
        <v>0</v>
      </c>
    </row>
    <row r="157" spans="1:25" x14ac:dyDescent="0.2">
      <c r="A157" s="317">
        <v>547000</v>
      </c>
      <c r="B157" s="895">
        <v>547000</v>
      </c>
      <c r="C157" s="896" t="s">
        <v>184</v>
      </c>
      <c r="D157" s="906" t="s">
        <v>2198</v>
      </c>
      <c r="E157" s="898">
        <f>GLOBAL_DER_FEV_2023!E157</f>
        <v>0</v>
      </c>
      <c r="F157" s="908">
        <f>GLOBAL_DER_FEV_2023!F157</f>
        <v>0</v>
      </c>
      <c r="G157" s="953">
        <f>GLOBAL_DER_FEV_2023!G157</f>
        <v>34.646299999999997</v>
      </c>
      <c r="H157" s="901">
        <f>GLOBAL_DER_FEV_2023!H157</f>
        <v>113.68</v>
      </c>
      <c r="I157" s="901">
        <f>GLOBAL_DER_FEV_2023!I157</f>
        <v>148.3263</v>
      </c>
      <c r="J157" s="902">
        <f>GLOBAL_DER_FEV_2023!J157</f>
        <v>178.1</v>
      </c>
      <c r="K157" s="903" t="s">
        <v>10</v>
      </c>
      <c r="L157" s="1137"/>
      <c r="M157" s="1150">
        <f t="shared" si="12"/>
        <v>0</v>
      </c>
      <c r="N157" s="893">
        <f t="shared" si="15"/>
        <v>0</v>
      </c>
      <c r="O157" s="905"/>
      <c r="Q157" s="317" t="str">
        <f t="shared" si="11"/>
        <v/>
      </c>
      <c r="R157" s="317" t="str">
        <f t="shared" si="13"/>
        <v/>
      </c>
      <c r="S157" s="317" t="str">
        <f t="shared" si="14"/>
        <v/>
      </c>
      <c r="T157" s="317" t="str">
        <f>GLOBAL_DER_FEV_2023!S157</f>
        <v/>
      </c>
      <c r="W157" s="582">
        <v>0</v>
      </c>
      <c r="X157" s="580"/>
      <c r="Y157" s="583">
        <f>IF(GLOBAL_DER_FEV_2023!W157=0,0,IF(GLOBAL_DER_FEV_2023!W157&gt;0,"c","b"))</f>
        <v>0</v>
      </c>
    </row>
    <row r="158" spans="1:25" x14ac:dyDescent="0.2">
      <c r="A158" s="317" t="s">
        <v>147</v>
      </c>
      <c r="B158" s="895" t="s">
        <v>147</v>
      </c>
      <c r="C158" s="896"/>
      <c r="D158" s="957" t="s">
        <v>190</v>
      </c>
      <c r="E158" s="907">
        <f>GLOBAL_DER_FEV_2023!E158</f>
        <v>308</v>
      </c>
      <c r="F158" s="908">
        <f>GLOBAL_DER_FEV_2023!F158</f>
        <v>0.121</v>
      </c>
      <c r="G158" s="909">
        <f>GLOBAL_DER_FEV_2023!G158</f>
        <v>30.015259999999998</v>
      </c>
      <c r="H158" s="901">
        <f>GLOBAL_DER_FEV_2023!H158</f>
        <v>0</v>
      </c>
      <c r="I158" s="901">
        <f>GLOBAL_DER_FEV_2023!I158</f>
        <v>0</v>
      </c>
      <c r="J158" s="902">
        <f>GLOBAL_DER_FEV_2023!J158</f>
        <v>0</v>
      </c>
      <c r="K158" s="903" t="s">
        <v>507</v>
      </c>
      <c r="L158" s="959"/>
      <c r="M158" s="1041">
        <f t="shared" si="12"/>
        <v>0</v>
      </c>
      <c r="N158" s="893">
        <f t="shared" si="15"/>
        <v>0</v>
      </c>
      <c r="O158" s="905"/>
      <c r="P158" s="58" t="str">
        <f>IF(N157&gt;0,"xx",IF(N157&gt;0,"xy",""))</f>
        <v/>
      </c>
      <c r="Q158" s="317" t="str">
        <f t="shared" si="11"/>
        <v/>
      </c>
      <c r="R158" s="317" t="str">
        <f t="shared" si="13"/>
        <v/>
      </c>
      <c r="S158" s="317" t="str">
        <f t="shared" si="14"/>
        <v/>
      </c>
      <c r="T158" s="317" t="str">
        <f>GLOBAL_DER_FEV_2023!S158</f>
        <v/>
      </c>
      <c r="W158" s="582">
        <v>0</v>
      </c>
      <c r="X158" s="580"/>
      <c r="Y158" s="583">
        <f>IF(GLOBAL_DER_FEV_2023!W158=0,0,IF(GLOBAL_DER_FEV_2023!W158&gt;0,"c","b"))</f>
        <v>0</v>
      </c>
    </row>
    <row r="159" spans="1:25" x14ac:dyDescent="0.2">
      <c r="A159" s="317" t="s">
        <v>147</v>
      </c>
      <c r="B159" s="895" t="s">
        <v>147</v>
      </c>
      <c r="C159" s="896"/>
      <c r="D159" s="957" t="s">
        <v>191</v>
      </c>
      <c r="E159" s="898">
        <f>GLOBAL_DER_FEV_2023!E159</f>
        <v>0</v>
      </c>
      <c r="F159" s="908">
        <f>GLOBAL_DER_FEV_2023!F159</f>
        <v>1.728</v>
      </c>
      <c r="G159" s="909">
        <f>GLOBAL_DER_FEV_2023!G159</f>
        <v>4.6310400000000005</v>
      </c>
      <c r="H159" s="901">
        <f>GLOBAL_DER_FEV_2023!H159</f>
        <v>0</v>
      </c>
      <c r="I159" s="901">
        <f>GLOBAL_DER_FEV_2023!I159</f>
        <v>0</v>
      </c>
      <c r="J159" s="902">
        <f>GLOBAL_DER_FEV_2023!J159</f>
        <v>0</v>
      </c>
      <c r="K159" s="903" t="s">
        <v>507</v>
      </c>
      <c r="L159" s="959"/>
      <c r="M159" s="1041">
        <f t="shared" si="12"/>
        <v>0</v>
      </c>
      <c r="N159" s="893">
        <f t="shared" si="15"/>
        <v>0</v>
      </c>
      <c r="O159" s="905"/>
      <c r="P159" s="58" t="str">
        <f>IF(N157&gt;0,"xx",IF(N157&gt;0,"xy",""))</f>
        <v/>
      </c>
      <c r="Q159" s="317" t="str">
        <f t="shared" si="11"/>
        <v/>
      </c>
      <c r="R159" s="317" t="str">
        <f t="shared" si="13"/>
        <v/>
      </c>
      <c r="S159" s="317" t="str">
        <f t="shared" si="14"/>
        <v/>
      </c>
      <c r="T159" s="317" t="str">
        <f>GLOBAL_DER_FEV_2023!S159</f>
        <v/>
      </c>
      <c r="W159" s="582">
        <v>0</v>
      </c>
      <c r="X159" s="580"/>
      <c r="Y159" s="583">
        <f>IF(GLOBAL_DER_FEV_2023!W159=0,0,IF(GLOBAL_DER_FEV_2023!W159&gt;0,"c","b"))</f>
        <v>0</v>
      </c>
    </row>
    <row r="160" spans="1:25" x14ac:dyDescent="0.2">
      <c r="A160" s="317">
        <v>542100</v>
      </c>
      <c r="B160" s="895">
        <v>542100</v>
      </c>
      <c r="C160" s="896" t="s">
        <v>184</v>
      </c>
      <c r="D160" s="906" t="s">
        <v>2199</v>
      </c>
      <c r="E160" s="898">
        <f>GLOBAL_DER_FEV_2023!E160</f>
        <v>0</v>
      </c>
      <c r="F160" s="908">
        <f>GLOBAL_DER_FEV_2023!F160</f>
        <v>0</v>
      </c>
      <c r="G160" s="953">
        <f>GLOBAL_DER_FEV_2023!G160</f>
        <v>19.263059999999999</v>
      </c>
      <c r="H160" s="901">
        <f>GLOBAL_DER_FEV_2023!H160</f>
        <v>59.6</v>
      </c>
      <c r="I160" s="901">
        <f>GLOBAL_DER_FEV_2023!I160</f>
        <v>78.863060000000004</v>
      </c>
      <c r="J160" s="902">
        <f>GLOBAL_DER_FEV_2023!J160</f>
        <v>94.69</v>
      </c>
      <c r="K160" s="903" t="s">
        <v>10</v>
      </c>
      <c r="L160" s="1137"/>
      <c r="M160" s="1150">
        <f t="shared" si="12"/>
        <v>0</v>
      </c>
      <c r="N160" s="893">
        <f t="shared" si="15"/>
        <v>0</v>
      </c>
      <c r="O160" s="905"/>
      <c r="Q160" s="317" t="str">
        <f t="shared" si="11"/>
        <v/>
      </c>
      <c r="R160" s="317" t="str">
        <f t="shared" si="13"/>
        <v/>
      </c>
      <c r="S160" s="317" t="str">
        <f t="shared" si="14"/>
        <v/>
      </c>
      <c r="T160" s="317" t="str">
        <f>GLOBAL_DER_FEV_2023!S160</f>
        <v/>
      </c>
      <c r="W160" s="582">
        <v>0</v>
      </c>
      <c r="X160" s="580"/>
      <c r="Y160" s="583">
        <f>IF(GLOBAL_DER_FEV_2023!W160=0,0,IF(GLOBAL_DER_FEV_2023!W160&gt;0,"c","b"))</f>
        <v>0</v>
      </c>
    </row>
    <row r="161" spans="1:25" x14ac:dyDescent="0.2">
      <c r="A161" s="317" t="s">
        <v>147</v>
      </c>
      <c r="B161" s="895" t="s">
        <v>147</v>
      </c>
      <c r="C161" s="896"/>
      <c r="D161" s="957" t="s">
        <v>190</v>
      </c>
      <c r="E161" s="907">
        <f>GLOBAL_DER_FEV_2023!E161</f>
        <v>308</v>
      </c>
      <c r="F161" s="908">
        <f>GLOBAL_DER_FEV_2023!F161</f>
        <v>3.6999999999999998E-2</v>
      </c>
      <c r="G161" s="909">
        <f>GLOBAL_DER_FEV_2023!G161</f>
        <v>9.1782199999999996</v>
      </c>
      <c r="H161" s="901">
        <f>GLOBAL_DER_FEV_2023!H161</f>
        <v>0</v>
      </c>
      <c r="I161" s="901">
        <f>GLOBAL_DER_FEV_2023!I161</f>
        <v>0</v>
      </c>
      <c r="J161" s="902">
        <f>GLOBAL_DER_FEV_2023!J161</f>
        <v>0</v>
      </c>
      <c r="K161" s="903" t="s">
        <v>507</v>
      </c>
      <c r="L161" s="959"/>
      <c r="M161" s="1041">
        <f t="shared" si="12"/>
        <v>0</v>
      </c>
      <c r="N161" s="893">
        <f t="shared" si="15"/>
        <v>0</v>
      </c>
      <c r="O161" s="905"/>
      <c r="P161" s="58" t="str">
        <f>IF(N160&gt;0,"xx",IF(N160&gt;0,"xy",""))</f>
        <v/>
      </c>
      <c r="Q161" s="317" t="str">
        <f t="shared" si="11"/>
        <v/>
      </c>
      <c r="R161" s="317" t="str">
        <f t="shared" si="13"/>
        <v/>
      </c>
      <c r="S161" s="317" t="str">
        <f t="shared" si="14"/>
        <v/>
      </c>
      <c r="T161" s="317" t="str">
        <f>GLOBAL_DER_FEV_2023!S161</f>
        <v/>
      </c>
      <c r="W161" s="582">
        <v>0</v>
      </c>
      <c r="X161" s="580"/>
      <c r="Y161" s="583">
        <f>IF(GLOBAL_DER_FEV_2023!W161=0,0,IF(GLOBAL_DER_FEV_2023!W161&gt;0,"c","b"))</f>
        <v>0</v>
      </c>
    </row>
    <row r="162" spans="1:25" x14ac:dyDescent="0.2">
      <c r="A162" s="317" t="s">
        <v>147</v>
      </c>
      <c r="B162" s="895" t="s">
        <v>147</v>
      </c>
      <c r="C162" s="896"/>
      <c r="D162" s="957" t="s">
        <v>191</v>
      </c>
      <c r="E162" s="898">
        <f>GLOBAL_DER_FEV_2023!E162</f>
        <v>0</v>
      </c>
      <c r="F162" s="908">
        <f>GLOBAL_DER_FEV_2023!F162</f>
        <v>1.9</v>
      </c>
      <c r="G162" s="909">
        <f>GLOBAL_DER_FEV_2023!G162</f>
        <v>5.0919999999999996</v>
      </c>
      <c r="H162" s="901">
        <f>GLOBAL_DER_FEV_2023!H162</f>
        <v>0</v>
      </c>
      <c r="I162" s="901">
        <f>GLOBAL_DER_FEV_2023!I162</f>
        <v>0</v>
      </c>
      <c r="J162" s="902">
        <f>GLOBAL_DER_FEV_2023!J162</f>
        <v>0</v>
      </c>
      <c r="K162" s="903" t="s">
        <v>507</v>
      </c>
      <c r="L162" s="959"/>
      <c r="M162" s="1041">
        <f t="shared" si="12"/>
        <v>0</v>
      </c>
      <c r="N162" s="893">
        <f t="shared" si="15"/>
        <v>0</v>
      </c>
      <c r="O162" s="905"/>
      <c r="P162" s="58" t="str">
        <f>IF(N160&gt;0,"xx",IF(N160&gt;0,"xy",""))</f>
        <v/>
      </c>
      <c r="Q162" s="317" t="str">
        <f t="shared" si="11"/>
        <v/>
      </c>
      <c r="R162" s="317" t="str">
        <f t="shared" si="13"/>
        <v/>
      </c>
      <c r="S162" s="317" t="str">
        <f t="shared" si="14"/>
        <v/>
      </c>
      <c r="T162" s="317" t="str">
        <f>GLOBAL_DER_FEV_2023!S162</f>
        <v/>
      </c>
      <c r="W162" s="582">
        <v>0</v>
      </c>
      <c r="X162" s="580"/>
      <c r="Y162" s="583">
        <f>IF(GLOBAL_DER_FEV_2023!W162=0,0,IF(GLOBAL_DER_FEV_2023!W162&gt;0,"c","b"))</f>
        <v>0</v>
      </c>
    </row>
    <row r="163" spans="1:25" x14ac:dyDescent="0.2">
      <c r="A163" s="317" t="s">
        <v>147</v>
      </c>
      <c r="B163" s="895" t="s">
        <v>147</v>
      </c>
      <c r="C163" s="896"/>
      <c r="D163" s="957" t="s">
        <v>192</v>
      </c>
      <c r="E163" s="898">
        <f>GLOBAL_DER_FEV_2023!E163</f>
        <v>0</v>
      </c>
      <c r="F163" s="908">
        <f>GLOBAL_DER_FEV_2023!F163</f>
        <v>1.863</v>
      </c>
      <c r="G163" s="909">
        <f>GLOBAL_DER_FEV_2023!G163</f>
        <v>4.9928400000000002</v>
      </c>
      <c r="H163" s="901">
        <f>GLOBAL_DER_FEV_2023!H163</f>
        <v>0</v>
      </c>
      <c r="I163" s="901">
        <f>GLOBAL_DER_FEV_2023!I163</f>
        <v>0</v>
      </c>
      <c r="J163" s="902">
        <f>GLOBAL_DER_FEV_2023!J163</f>
        <v>0</v>
      </c>
      <c r="K163" s="903" t="s">
        <v>507</v>
      </c>
      <c r="L163" s="959"/>
      <c r="M163" s="1041">
        <f t="shared" si="12"/>
        <v>0</v>
      </c>
      <c r="N163" s="893">
        <f t="shared" si="15"/>
        <v>0</v>
      </c>
      <c r="O163" s="905"/>
      <c r="P163" s="58" t="str">
        <f>IF($N$142&gt;0,"xx",IF($N$142&gt;0,"xy",""))</f>
        <v/>
      </c>
      <c r="Q163" s="317" t="str">
        <f t="shared" si="11"/>
        <v/>
      </c>
      <c r="R163" s="317" t="str">
        <f t="shared" si="13"/>
        <v/>
      </c>
      <c r="S163" s="317" t="str">
        <f t="shared" si="14"/>
        <v/>
      </c>
      <c r="T163" s="317" t="str">
        <f>GLOBAL_DER_FEV_2023!S163</f>
        <v/>
      </c>
      <c r="W163" s="582">
        <v>0</v>
      </c>
      <c r="X163" s="580"/>
      <c r="Y163" s="583">
        <f>IF(GLOBAL_DER_FEV_2023!W163=0,0,IF(GLOBAL_DER_FEV_2023!W163&gt;0,"c","b"))</f>
        <v>0</v>
      </c>
    </row>
    <row r="164" spans="1:25" x14ac:dyDescent="0.2">
      <c r="A164" s="317">
        <v>543100</v>
      </c>
      <c r="B164" s="895">
        <v>543100</v>
      </c>
      <c r="C164" s="896" t="s">
        <v>184</v>
      </c>
      <c r="D164" s="906" t="s">
        <v>2200</v>
      </c>
      <c r="E164" s="898">
        <f>GLOBAL_DER_FEV_2023!E164</f>
        <v>0</v>
      </c>
      <c r="F164" s="908">
        <f>GLOBAL_DER_FEV_2023!F164</f>
        <v>0</v>
      </c>
      <c r="G164" s="953">
        <f>GLOBAL_DER_FEV_2023!G164</f>
        <v>23.6799</v>
      </c>
      <c r="H164" s="901">
        <f>GLOBAL_DER_FEV_2023!H164</f>
        <v>70.010000000000005</v>
      </c>
      <c r="I164" s="901">
        <f>GLOBAL_DER_FEV_2023!I164</f>
        <v>93.689900000000009</v>
      </c>
      <c r="J164" s="902">
        <f>GLOBAL_DER_FEV_2023!J164</f>
        <v>112.49</v>
      </c>
      <c r="K164" s="903" t="s">
        <v>10</v>
      </c>
      <c r="L164" s="1137"/>
      <c r="M164" s="1150">
        <f t="shared" si="12"/>
        <v>0</v>
      </c>
      <c r="N164" s="893">
        <f t="shared" si="15"/>
        <v>0</v>
      </c>
      <c r="O164" s="905"/>
      <c r="Q164" s="317" t="str">
        <f t="shared" si="11"/>
        <v/>
      </c>
      <c r="R164" s="317" t="str">
        <f t="shared" si="13"/>
        <v/>
      </c>
      <c r="S164" s="317" t="str">
        <f t="shared" si="14"/>
        <v/>
      </c>
      <c r="T164" s="317" t="str">
        <f>GLOBAL_DER_FEV_2023!S164</f>
        <v/>
      </c>
      <c r="W164" s="582">
        <v>0</v>
      </c>
      <c r="X164" s="580"/>
      <c r="Y164" s="583">
        <f>IF(GLOBAL_DER_FEV_2023!W164=0,0,IF(GLOBAL_DER_FEV_2023!W164&gt;0,"c","b"))</f>
        <v>0</v>
      </c>
    </row>
    <row r="165" spans="1:25" x14ac:dyDescent="0.2">
      <c r="A165" s="317" t="s">
        <v>147</v>
      </c>
      <c r="B165" s="895" t="s">
        <v>147</v>
      </c>
      <c r="C165" s="896"/>
      <c r="D165" s="957" t="s">
        <v>190</v>
      </c>
      <c r="E165" s="907">
        <f>GLOBAL_DER_FEV_2023!E165</f>
        <v>308</v>
      </c>
      <c r="F165" s="908">
        <f>GLOBAL_DER_FEV_2023!F165</f>
        <v>5.5E-2</v>
      </c>
      <c r="G165" s="909">
        <f>GLOBAL_DER_FEV_2023!G165</f>
        <v>13.6433</v>
      </c>
      <c r="H165" s="901">
        <f>GLOBAL_DER_FEV_2023!H165</f>
        <v>0</v>
      </c>
      <c r="I165" s="901">
        <f>GLOBAL_DER_FEV_2023!I165</f>
        <v>0</v>
      </c>
      <c r="J165" s="902">
        <f>GLOBAL_DER_FEV_2023!J165</f>
        <v>0</v>
      </c>
      <c r="K165" s="903" t="s">
        <v>507</v>
      </c>
      <c r="L165" s="959"/>
      <c r="M165" s="1041">
        <f t="shared" si="12"/>
        <v>0</v>
      </c>
      <c r="N165" s="893">
        <f t="shared" si="15"/>
        <v>0</v>
      </c>
      <c r="O165" s="905"/>
      <c r="P165" s="58" t="str">
        <f>IF(N164&gt;0,"xx",IF(N164&gt;0,"xy",""))</f>
        <v/>
      </c>
      <c r="Q165" s="317" t="str">
        <f t="shared" si="11"/>
        <v/>
      </c>
      <c r="R165" s="317" t="str">
        <f t="shared" si="13"/>
        <v/>
      </c>
      <c r="S165" s="317" t="str">
        <f t="shared" si="14"/>
        <v/>
      </c>
      <c r="T165" s="317" t="str">
        <f>GLOBAL_DER_FEV_2023!S165</f>
        <v/>
      </c>
      <c r="W165" s="582">
        <v>0</v>
      </c>
      <c r="X165" s="580"/>
      <c r="Y165" s="583">
        <f>IF(GLOBAL_DER_FEV_2023!W165=0,0,IF(GLOBAL_DER_FEV_2023!W165&gt;0,"c","b"))</f>
        <v>0</v>
      </c>
    </row>
    <row r="166" spans="1:25" x14ac:dyDescent="0.2">
      <c r="A166" s="317" t="s">
        <v>147</v>
      </c>
      <c r="B166" s="895" t="s">
        <v>147</v>
      </c>
      <c r="C166" s="896"/>
      <c r="D166" s="957" t="s">
        <v>191</v>
      </c>
      <c r="E166" s="898">
        <f>GLOBAL_DER_FEV_2023!E166</f>
        <v>0</v>
      </c>
      <c r="F166" s="908">
        <f>GLOBAL_DER_FEV_2023!F166</f>
        <v>1.9</v>
      </c>
      <c r="G166" s="909">
        <f>GLOBAL_DER_FEV_2023!G166</f>
        <v>5.0919999999999996</v>
      </c>
      <c r="H166" s="901">
        <f>GLOBAL_DER_FEV_2023!H166</f>
        <v>0</v>
      </c>
      <c r="I166" s="901">
        <f>GLOBAL_DER_FEV_2023!I166</f>
        <v>0</v>
      </c>
      <c r="J166" s="902">
        <f>GLOBAL_DER_FEV_2023!J166</f>
        <v>0</v>
      </c>
      <c r="K166" s="903" t="s">
        <v>507</v>
      </c>
      <c r="L166" s="959"/>
      <c r="M166" s="1041">
        <f t="shared" si="12"/>
        <v>0</v>
      </c>
      <c r="N166" s="893">
        <f t="shared" si="15"/>
        <v>0</v>
      </c>
      <c r="O166" s="905"/>
      <c r="P166" s="58" t="str">
        <f>IF(N164&gt;0,"xx",IF(N164&gt;0,"xy",""))</f>
        <v/>
      </c>
      <c r="Q166" s="317" t="str">
        <f t="shared" si="11"/>
        <v/>
      </c>
      <c r="R166" s="317" t="str">
        <f t="shared" si="13"/>
        <v/>
      </c>
      <c r="S166" s="317" t="str">
        <f t="shared" si="14"/>
        <v/>
      </c>
      <c r="T166" s="317" t="str">
        <f>GLOBAL_DER_FEV_2023!S166</f>
        <v/>
      </c>
      <c r="W166" s="582">
        <v>0</v>
      </c>
      <c r="X166" s="580"/>
      <c r="Y166" s="583">
        <f>IF(GLOBAL_DER_FEV_2023!W166=0,0,IF(GLOBAL_DER_FEV_2023!W166&gt;0,"c","b"))</f>
        <v>0</v>
      </c>
    </row>
    <row r="167" spans="1:25" x14ac:dyDescent="0.2">
      <c r="A167" s="317" t="s">
        <v>147</v>
      </c>
      <c r="B167" s="895" t="s">
        <v>147</v>
      </c>
      <c r="C167" s="896"/>
      <c r="D167" s="957" t="s">
        <v>192</v>
      </c>
      <c r="E167" s="898">
        <f>GLOBAL_DER_FEV_2023!E167</f>
        <v>0</v>
      </c>
      <c r="F167" s="908">
        <f>GLOBAL_DER_FEV_2023!F167</f>
        <v>1.845</v>
      </c>
      <c r="G167" s="909">
        <f>GLOBAL_DER_FEV_2023!G167</f>
        <v>4.9446000000000003</v>
      </c>
      <c r="H167" s="901">
        <f>GLOBAL_DER_FEV_2023!H167</f>
        <v>0</v>
      </c>
      <c r="I167" s="901">
        <f>GLOBAL_DER_FEV_2023!I167</f>
        <v>0</v>
      </c>
      <c r="J167" s="902">
        <f>GLOBAL_DER_FEV_2023!J167</f>
        <v>0</v>
      </c>
      <c r="K167" s="903" t="s">
        <v>507</v>
      </c>
      <c r="L167" s="959"/>
      <c r="M167" s="1041">
        <f t="shared" si="12"/>
        <v>0</v>
      </c>
      <c r="N167" s="893">
        <f t="shared" si="15"/>
        <v>0</v>
      </c>
      <c r="O167" s="905"/>
      <c r="P167" s="58" t="str">
        <f>IF($N$142&gt;0,"xx",IF($N$142&gt;0,"xy",""))</f>
        <v/>
      </c>
      <c r="Q167" s="317" t="str">
        <f t="shared" si="11"/>
        <v/>
      </c>
      <c r="R167" s="317" t="str">
        <f t="shared" si="13"/>
        <v/>
      </c>
      <c r="S167" s="317" t="str">
        <f t="shared" si="14"/>
        <v/>
      </c>
      <c r="T167" s="317" t="str">
        <f>GLOBAL_DER_FEV_2023!S167</f>
        <v/>
      </c>
      <c r="W167" s="582">
        <v>0</v>
      </c>
      <c r="X167" s="580"/>
      <c r="Y167" s="583">
        <f>IF(GLOBAL_DER_FEV_2023!W167=0,0,IF(GLOBAL_DER_FEV_2023!W167&gt;0,"c","b"))</f>
        <v>0</v>
      </c>
    </row>
    <row r="168" spans="1:25" x14ac:dyDescent="0.2">
      <c r="A168" s="317">
        <v>544100</v>
      </c>
      <c r="B168" s="895">
        <v>544100</v>
      </c>
      <c r="C168" s="896" t="s">
        <v>184</v>
      </c>
      <c r="D168" s="906" t="s">
        <v>2201</v>
      </c>
      <c r="E168" s="898">
        <f>GLOBAL_DER_FEV_2023!E168</f>
        <v>0</v>
      </c>
      <c r="F168" s="908">
        <f>GLOBAL_DER_FEV_2023!F168</f>
        <v>0</v>
      </c>
      <c r="G168" s="953">
        <f>GLOBAL_DER_FEV_2023!G168</f>
        <v>27.337979999999998</v>
      </c>
      <c r="H168" s="901">
        <f>GLOBAL_DER_FEV_2023!H168</f>
        <v>72.23</v>
      </c>
      <c r="I168" s="901">
        <f>GLOBAL_DER_FEV_2023!I168</f>
        <v>99.567980000000006</v>
      </c>
      <c r="J168" s="902">
        <f>GLOBAL_DER_FEV_2023!J168</f>
        <v>119.55</v>
      </c>
      <c r="K168" s="903" t="s">
        <v>10</v>
      </c>
      <c r="L168" s="1137"/>
      <c r="M168" s="1150">
        <f t="shared" si="12"/>
        <v>0</v>
      </c>
      <c r="N168" s="893">
        <f t="shared" si="15"/>
        <v>0</v>
      </c>
      <c r="O168" s="905"/>
      <c r="Q168" s="317" t="str">
        <f t="shared" si="11"/>
        <v/>
      </c>
      <c r="R168" s="317" t="str">
        <f t="shared" si="13"/>
        <v/>
      </c>
      <c r="S168" s="317" t="str">
        <f t="shared" si="14"/>
        <v/>
      </c>
      <c r="T168" s="317" t="str">
        <f>GLOBAL_DER_FEV_2023!S168</f>
        <v/>
      </c>
      <c r="W168" s="582">
        <v>0</v>
      </c>
      <c r="X168" s="580"/>
      <c r="Y168" s="583">
        <f>IF(GLOBAL_DER_FEV_2023!W168=0,0,IF(GLOBAL_DER_FEV_2023!W168&gt;0,"c","b"))</f>
        <v>0</v>
      </c>
    </row>
    <row r="169" spans="1:25" x14ac:dyDescent="0.2">
      <c r="A169" s="317" t="s">
        <v>147</v>
      </c>
      <c r="B169" s="895" t="s">
        <v>147</v>
      </c>
      <c r="C169" s="896"/>
      <c r="D169" s="957" t="s">
        <v>190</v>
      </c>
      <c r="E169" s="907">
        <f>GLOBAL_DER_FEV_2023!E169</f>
        <v>308</v>
      </c>
      <c r="F169" s="908">
        <f>GLOBAL_DER_FEV_2023!F169</f>
        <v>7.0999999999999994E-2</v>
      </c>
      <c r="G169" s="909">
        <f>GLOBAL_DER_FEV_2023!G169</f>
        <v>17.612259999999999</v>
      </c>
      <c r="H169" s="901">
        <f>GLOBAL_DER_FEV_2023!H169</f>
        <v>0</v>
      </c>
      <c r="I169" s="901">
        <f>GLOBAL_DER_FEV_2023!I169</f>
        <v>0</v>
      </c>
      <c r="J169" s="902">
        <f>GLOBAL_DER_FEV_2023!J169</f>
        <v>0</v>
      </c>
      <c r="K169" s="903" t="s">
        <v>507</v>
      </c>
      <c r="L169" s="959"/>
      <c r="M169" s="1041">
        <f t="shared" si="12"/>
        <v>0</v>
      </c>
      <c r="N169" s="893">
        <f t="shared" si="15"/>
        <v>0</v>
      </c>
      <c r="O169" s="905"/>
      <c r="P169" s="58" t="str">
        <f>IF(N168&gt;0,"xx",IF(N168&gt;0,"xy",""))</f>
        <v/>
      </c>
      <c r="Q169" s="317" t="str">
        <f t="shared" si="11"/>
        <v/>
      </c>
      <c r="R169" s="317" t="str">
        <f t="shared" si="13"/>
        <v/>
      </c>
      <c r="S169" s="317" t="str">
        <f t="shared" si="14"/>
        <v/>
      </c>
      <c r="T169" s="317" t="str">
        <f>GLOBAL_DER_FEV_2023!S169</f>
        <v/>
      </c>
      <c r="W169" s="582">
        <v>0</v>
      </c>
      <c r="X169" s="580"/>
      <c r="Y169" s="583">
        <f>IF(GLOBAL_DER_FEV_2023!W169=0,0,IF(GLOBAL_DER_FEV_2023!W169&gt;0,"c","b"))</f>
        <v>0</v>
      </c>
    </row>
    <row r="170" spans="1:25" x14ac:dyDescent="0.2">
      <c r="A170" s="317" t="s">
        <v>147</v>
      </c>
      <c r="B170" s="895" t="s">
        <v>147</v>
      </c>
      <c r="C170" s="896"/>
      <c r="D170" s="957" t="s">
        <v>191</v>
      </c>
      <c r="E170" s="898">
        <f>GLOBAL_DER_FEV_2023!E170</f>
        <v>0</v>
      </c>
      <c r="F170" s="908">
        <f>GLOBAL_DER_FEV_2023!F170</f>
        <v>1.85</v>
      </c>
      <c r="G170" s="909">
        <f>GLOBAL_DER_FEV_2023!G170</f>
        <v>4.9580000000000002</v>
      </c>
      <c r="H170" s="901">
        <f>GLOBAL_DER_FEV_2023!H170</f>
        <v>0</v>
      </c>
      <c r="I170" s="901">
        <f>GLOBAL_DER_FEV_2023!I170</f>
        <v>0</v>
      </c>
      <c r="J170" s="902">
        <f>GLOBAL_DER_FEV_2023!J170</f>
        <v>0</v>
      </c>
      <c r="K170" s="903" t="s">
        <v>507</v>
      </c>
      <c r="L170" s="959"/>
      <c r="M170" s="1041">
        <f t="shared" si="12"/>
        <v>0</v>
      </c>
      <c r="N170" s="893">
        <f t="shared" si="15"/>
        <v>0</v>
      </c>
      <c r="O170" s="905"/>
      <c r="P170" s="58" t="str">
        <f>IF(N168&gt;0,"xx",IF(N168&gt;0,"xy",""))</f>
        <v/>
      </c>
      <c r="Q170" s="317" t="str">
        <f t="shared" si="11"/>
        <v/>
      </c>
      <c r="R170" s="317" t="str">
        <f t="shared" si="13"/>
        <v/>
      </c>
      <c r="S170" s="317" t="str">
        <f t="shared" si="14"/>
        <v/>
      </c>
      <c r="T170" s="317" t="str">
        <f>GLOBAL_DER_FEV_2023!S170</f>
        <v/>
      </c>
      <c r="W170" s="582">
        <v>0</v>
      </c>
      <c r="X170" s="580"/>
      <c r="Y170" s="583">
        <f>IF(GLOBAL_DER_FEV_2023!W170=0,0,IF(GLOBAL_DER_FEV_2023!W170&gt;0,"c","b"))</f>
        <v>0</v>
      </c>
    </row>
    <row r="171" spans="1:25" x14ac:dyDescent="0.2">
      <c r="A171" s="317" t="s">
        <v>147</v>
      </c>
      <c r="B171" s="895" t="s">
        <v>147</v>
      </c>
      <c r="C171" s="896"/>
      <c r="D171" s="957" t="s">
        <v>192</v>
      </c>
      <c r="E171" s="898">
        <f>GLOBAL_DER_FEV_2023!E171</f>
        <v>0</v>
      </c>
      <c r="F171" s="908">
        <f>GLOBAL_DER_FEV_2023!F171</f>
        <v>1.7789999999999999</v>
      </c>
      <c r="G171" s="909">
        <f>GLOBAL_DER_FEV_2023!G171</f>
        <v>4.7677199999999997</v>
      </c>
      <c r="H171" s="901">
        <f>GLOBAL_DER_FEV_2023!H171</f>
        <v>0</v>
      </c>
      <c r="I171" s="901">
        <f>GLOBAL_DER_FEV_2023!I171</f>
        <v>0</v>
      </c>
      <c r="J171" s="902">
        <f>GLOBAL_DER_FEV_2023!J171</f>
        <v>0</v>
      </c>
      <c r="K171" s="903" t="s">
        <v>507</v>
      </c>
      <c r="L171" s="959"/>
      <c r="M171" s="1041">
        <f t="shared" si="12"/>
        <v>0</v>
      </c>
      <c r="N171" s="893">
        <f t="shared" si="15"/>
        <v>0</v>
      </c>
      <c r="O171" s="905"/>
      <c r="P171" s="58" t="str">
        <f>IF($N$142&gt;0,"xx",IF($N$142&gt;0,"xy",""))</f>
        <v/>
      </c>
      <c r="Q171" s="317" t="str">
        <f t="shared" si="11"/>
        <v/>
      </c>
      <c r="R171" s="317" t="str">
        <f t="shared" si="13"/>
        <v/>
      </c>
      <c r="S171" s="317" t="str">
        <f t="shared" si="14"/>
        <v/>
      </c>
      <c r="T171" s="317" t="str">
        <f>GLOBAL_DER_FEV_2023!S171</f>
        <v/>
      </c>
      <c r="W171" s="582">
        <v>0</v>
      </c>
      <c r="X171" s="580"/>
      <c r="Y171" s="583">
        <f>IF(GLOBAL_DER_FEV_2023!W171=0,0,IF(GLOBAL_DER_FEV_2023!W171&gt;0,"c","b"))</f>
        <v>0</v>
      </c>
    </row>
    <row r="172" spans="1:25" x14ac:dyDescent="0.2">
      <c r="A172" s="317">
        <v>545100</v>
      </c>
      <c r="B172" s="895">
        <v>545100</v>
      </c>
      <c r="C172" s="896" t="s">
        <v>184</v>
      </c>
      <c r="D172" s="906" t="s">
        <v>2202</v>
      </c>
      <c r="E172" s="898">
        <f>GLOBAL_DER_FEV_2023!E172</f>
        <v>0</v>
      </c>
      <c r="F172" s="908">
        <f>GLOBAL_DER_FEV_2023!F172</f>
        <v>0</v>
      </c>
      <c r="G172" s="953">
        <f>GLOBAL_DER_FEV_2023!G172</f>
        <v>31.509440000000005</v>
      </c>
      <c r="H172" s="901">
        <f>GLOBAL_DER_FEV_2023!H172</f>
        <v>82.05</v>
      </c>
      <c r="I172" s="901">
        <f>GLOBAL_DER_FEV_2023!I172</f>
        <v>113.55944</v>
      </c>
      <c r="J172" s="902">
        <f>GLOBAL_DER_FEV_2023!J172</f>
        <v>136.35</v>
      </c>
      <c r="K172" s="903" t="s">
        <v>10</v>
      </c>
      <c r="L172" s="1137"/>
      <c r="M172" s="1150">
        <f t="shared" si="12"/>
        <v>0</v>
      </c>
      <c r="N172" s="893">
        <f t="shared" si="15"/>
        <v>0</v>
      </c>
      <c r="O172" s="905"/>
      <c r="Q172" s="317" t="str">
        <f t="shared" si="11"/>
        <v/>
      </c>
      <c r="R172" s="317" t="str">
        <f t="shared" si="13"/>
        <v/>
      </c>
      <c r="S172" s="317" t="str">
        <f t="shared" si="14"/>
        <v/>
      </c>
      <c r="T172" s="317" t="str">
        <f>GLOBAL_DER_FEV_2023!S172</f>
        <v/>
      </c>
      <c r="W172" s="582">
        <v>0</v>
      </c>
      <c r="X172" s="580"/>
      <c r="Y172" s="583">
        <f>IF(GLOBAL_DER_FEV_2023!W172=0,0,IF(GLOBAL_DER_FEV_2023!W172&gt;0,"c","b"))</f>
        <v>0</v>
      </c>
    </row>
    <row r="173" spans="1:25" x14ac:dyDescent="0.2">
      <c r="A173" s="317" t="s">
        <v>147</v>
      </c>
      <c r="B173" s="895" t="s">
        <v>147</v>
      </c>
      <c r="C173" s="896"/>
      <c r="D173" s="957" t="s">
        <v>190</v>
      </c>
      <c r="E173" s="907">
        <f>GLOBAL_DER_FEV_2023!E173</f>
        <v>308</v>
      </c>
      <c r="F173" s="908">
        <f>GLOBAL_DER_FEV_2023!F173</f>
        <v>8.7999999999999995E-2</v>
      </c>
      <c r="G173" s="909">
        <f>GLOBAL_DER_FEV_2023!G173</f>
        <v>21.829280000000001</v>
      </c>
      <c r="H173" s="901">
        <f>GLOBAL_DER_FEV_2023!H173</f>
        <v>0</v>
      </c>
      <c r="I173" s="901">
        <f>GLOBAL_DER_FEV_2023!I173</f>
        <v>0</v>
      </c>
      <c r="J173" s="902">
        <f>GLOBAL_DER_FEV_2023!J173</f>
        <v>0</v>
      </c>
      <c r="K173" s="903" t="s">
        <v>507</v>
      </c>
      <c r="L173" s="959"/>
      <c r="M173" s="1041">
        <f t="shared" si="12"/>
        <v>0</v>
      </c>
      <c r="N173" s="893">
        <f t="shared" si="15"/>
        <v>0</v>
      </c>
      <c r="O173" s="905"/>
      <c r="P173" s="58" t="str">
        <f>IF(N172&gt;0,"xx",IF(N172&gt;0,"xy",""))</f>
        <v/>
      </c>
      <c r="Q173" s="317" t="str">
        <f t="shared" si="11"/>
        <v/>
      </c>
      <c r="R173" s="317" t="str">
        <f t="shared" si="13"/>
        <v/>
      </c>
      <c r="S173" s="317" t="str">
        <f t="shared" si="14"/>
        <v/>
      </c>
      <c r="T173" s="317" t="str">
        <f>GLOBAL_DER_FEV_2023!S173</f>
        <v/>
      </c>
      <c r="W173" s="582">
        <v>0</v>
      </c>
      <c r="X173" s="580"/>
      <c r="Y173" s="583">
        <f>IF(GLOBAL_DER_FEV_2023!W173=0,0,IF(GLOBAL_DER_FEV_2023!W173&gt;0,"c","b"))</f>
        <v>0</v>
      </c>
    </row>
    <row r="174" spans="1:25" x14ac:dyDescent="0.2">
      <c r="A174" s="317" t="s">
        <v>147</v>
      </c>
      <c r="B174" s="895" t="s">
        <v>147</v>
      </c>
      <c r="C174" s="896"/>
      <c r="D174" s="957" t="s">
        <v>191</v>
      </c>
      <c r="E174" s="898">
        <f>GLOBAL_DER_FEV_2023!E174</f>
        <v>0</v>
      </c>
      <c r="F174" s="908">
        <f>GLOBAL_DER_FEV_2023!F174</f>
        <v>1.85</v>
      </c>
      <c r="G174" s="909">
        <f>GLOBAL_DER_FEV_2023!G174</f>
        <v>4.9580000000000002</v>
      </c>
      <c r="H174" s="901">
        <f>GLOBAL_DER_FEV_2023!H174</f>
        <v>0</v>
      </c>
      <c r="I174" s="901">
        <f>GLOBAL_DER_FEV_2023!I174</f>
        <v>0</v>
      </c>
      <c r="J174" s="902">
        <f>GLOBAL_DER_FEV_2023!J174</f>
        <v>0</v>
      </c>
      <c r="K174" s="903" t="s">
        <v>507</v>
      </c>
      <c r="L174" s="959"/>
      <c r="M174" s="1041">
        <f t="shared" si="12"/>
        <v>0</v>
      </c>
      <c r="N174" s="893">
        <f t="shared" si="15"/>
        <v>0</v>
      </c>
      <c r="O174" s="905"/>
      <c r="P174" s="58" t="str">
        <f>IF(N172&gt;0,"xx",IF(N172&gt;0,"xy",""))</f>
        <v/>
      </c>
      <c r="Q174" s="317" t="str">
        <f t="shared" si="11"/>
        <v/>
      </c>
      <c r="R174" s="317" t="str">
        <f t="shared" si="13"/>
        <v/>
      </c>
      <c r="S174" s="317" t="str">
        <f t="shared" si="14"/>
        <v/>
      </c>
      <c r="T174" s="317" t="str">
        <f>GLOBAL_DER_FEV_2023!S174</f>
        <v/>
      </c>
      <c r="W174" s="582">
        <v>0</v>
      </c>
      <c r="X174" s="580"/>
      <c r="Y174" s="583">
        <f>IF(GLOBAL_DER_FEV_2023!W174=0,0,IF(GLOBAL_DER_FEV_2023!W174&gt;0,"c","b"))</f>
        <v>0</v>
      </c>
    </row>
    <row r="175" spans="1:25" x14ac:dyDescent="0.2">
      <c r="A175" s="317" t="s">
        <v>147</v>
      </c>
      <c r="B175" s="895" t="s">
        <v>147</v>
      </c>
      <c r="C175" s="896"/>
      <c r="D175" s="957" t="s">
        <v>192</v>
      </c>
      <c r="E175" s="898">
        <f>GLOBAL_DER_FEV_2023!E175</f>
        <v>0</v>
      </c>
      <c r="F175" s="908">
        <f>GLOBAL_DER_FEV_2023!F175</f>
        <v>1.762</v>
      </c>
      <c r="G175" s="909">
        <f>GLOBAL_DER_FEV_2023!G175</f>
        <v>4.7221600000000006</v>
      </c>
      <c r="H175" s="901">
        <f>GLOBAL_DER_FEV_2023!H175</f>
        <v>0</v>
      </c>
      <c r="I175" s="901">
        <f>GLOBAL_DER_FEV_2023!I175</f>
        <v>0</v>
      </c>
      <c r="J175" s="902">
        <f>GLOBAL_DER_FEV_2023!J175</f>
        <v>0</v>
      </c>
      <c r="K175" s="903" t="s">
        <v>507</v>
      </c>
      <c r="L175" s="959"/>
      <c r="M175" s="1041">
        <f t="shared" si="12"/>
        <v>0</v>
      </c>
      <c r="N175" s="893">
        <f t="shared" si="15"/>
        <v>0</v>
      </c>
      <c r="O175" s="905"/>
      <c r="P175" s="58" t="str">
        <f>IF($N$142&gt;0,"xx",IF($N$142&gt;0,"xy",""))</f>
        <v/>
      </c>
      <c r="Q175" s="317" t="str">
        <f t="shared" si="11"/>
        <v/>
      </c>
      <c r="R175" s="317" t="str">
        <f t="shared" si="13"/>
        <v/>
      </c>
      <c r="S175" s="317" t="str">
        <f t="shared" si="14"/>
        <v/>
      </c>
      <c r="T175" s="317" t="str">
        <f>GLOBAL_DER_FEV_2023!S175</f>
        <v/>
      </c>
      <c r="W175" s="582">
        <v>0</v>
      </c>
      <c r="X175" s="580"/>
      <c r="Y175" s="583">
        <f>IF(GLOBAL_DER_FEV_2023!W175=0,0,IF(GLOBAL_DER_FEV_2023!W175&gt;0,"c","b"))</f>
        <v>0</v>
      </c>
    </row>
    <row r="176" spans="1:25" x14ac:dyDescent="0.2">
      <c r="A176" s="317">
        <v>546100</v>
      </c>
      <c r="B176" s="895">
        <v>546100</v>
      </c>
      <c r="C176" s="896" t="s">
        <v>184</v>
      </c>
      <c r="D176" s="906" t="s">
        <v>2203</v>
      </c>
      <c r="E176" s="898">
        <f>GLOBAL_DER_FEV_2023!E176</f>
        <v>0</v>
      </c>
      <c r="F176" s="908">
        <f>GLOBAL_DER_FEV_2023!F176</f>
        <v>0</v>
      </c>
      <c r="G176" s="953">
        <f>GLOBAL_DER_FEV_2023!G176</f>
        <v>35.680900000000001</v>
      </c>
      <c r="H176" s="901">
        <f>GLOBAL_DER_FEV_2023!H176</f>
        <v>91.87</v>
      </c>
      <c r="I176" s="901">
        <f>GLOBAL_DER_FEV_2023!I176</f>
        <v>127.55090000000001</v>
      </c>
      <c r="J176" s="902">
        <f>GLOBAL_DER_FEV_2023!J176</f>
        <v>153.15</v>
      </c>
      <c r="K176" s="903" t="s">
        <v>10</v>
      </c>
      <c r="L176" s="1137"/>
      <c r="M176" s="1150">
        <f t="shared" si="12"/>
        <v>0</v>
      </c>
      <c r="N176" s="893">
        <f t="shared" si="15"/>
        <v>0</v>
      </c>
      <c r="O176" s="905"/>
      <c r="Q176" s="317" t="str">
        <f t="shared" si="11"/>
        <v/>
      </c>
      <c r="R176" s="317" t="str">
        <f t="shared" si="13"/>
        <v/>
      </c>
      <c r="S176" s="317" t="str">
        <f t="shared" si="14"/>
        <v/>
      </c>
      <c r="T176" s="317" t="str">
        <f>GLOBAL_DER_FEV_2023!S176</f>
        <v/>
      </c>
      <c r="W176" s="582">
        <v>0</v>
      </c>
      <c r="X176" s="580"/>
      <c r="Y176" s="583">
        <f>IF(GLOBAL_DER_FEV_2023!W176=0,0,IF(GLOBAL_DER_FEV_2023!W176&gt;0,"c","b"))</f>
        <v>0</v>
      </c>
    </row>
    <row r="177" spans="1:25" x14ac:dyDescent="0.2">
      <c r="A177" s="317" t="s">
        <v>147</v>
      </c>
      <c r="B177" s="895" t="s">
        <v>147</v>
      </c>
      <c r="C177" s="896"/>
      <c r="D177" s="957" t="s">
        <v>190</v>
      </c>
      <c r="E177" s="907">
        <f>GLOBAL_DER_FEV_2023!E177</f>
        <v>308</v>
      </c>
      <c r="F177" s="908">
        <f>GLOBAL_DER_FEV_2023!F177</f>
        <v>0.105</v>
      </c>
      <c r="G177" s="909">
        <f>GLOBAL_DER_FEV_2023!G177</f>
        <v>26.046299999999999</v>
      </c>
      <c r="H177" s="901">
        <f>GLOBAL_DER_FEV_2023!H177</f>
        <v>0</v>
      </c>
      <c r="I177" s="901">
        <f>GLOBAL_DER_FEV_2023!I177</f>
        <v>0</v>
      </c>
      <c r="J177" s="902">
        <f>GLOBAL_DER_FEV_2023!J177</f>
        <v>0</v>
      </c>
      <c r="K177" s="903" t="s">
        <v>507</v>
      </c>
      <c r="L177" s="959"/>
      <c r="M177" s="1041">
        <f t="shared" si="12"/>
        <v>0</v>
      </c>
      <c r="N177" s="893">
        <f t="shared" si="15"/>
        <v>0</v>
      </c>
      <c r="O177" s="905"/>
      <c r="P177" s="58" t="str">
        <f>IF(N176&gt;0,"xx",IF(N176&gt;0,"xy",""))</f>
        <v/>
      </c>
      <c r="Q177" s="317" t="str">
        <f t="shared" si="11"/>
        <v/>
      </c>
      <c r="R177" s="317" t="str">
        <f t="shared" si="13"/>
        <v/>
      </c>
      <c r="S177" s="317" t="str">
        <f t="shared" si="14"/>
        <v/>
      </c>
      <c r="T177" s="317" t="str">
        <f>GLOBAL_DER_FEV_2023!S177</f>
        <v/>
      </c>
      <c r="W177" s="582">
        <v>0</v>
      </c>
      <c r="X177" s="580"/>
      <c r="Y177" s="583">
        <f>IF(GLOBAL_DER_FEV_2023!W177=0,0,IF(GLOBAL_DER_FEV_2023!W177&gt;0,"c","b"))</f>
        <v>0</v>
      </c>
    </row>
    <row r="178" spans="1:25" x14ac:dyDescent="0.2">
      <c r="A178" s="317" t="s">
        <v>147</v>
      </c>
      <c r="B178" s="895" t="s">
        <v>147</v>
      </c>
      <c r="C178" s="896"/>
      <c r="D178" s="957" t="s">
        <v>191</v>
      </c>
      <c r="E178" s="898">
        <f>GLOBAL_DER_FEV_2023!E178</f>
        <v>0</v>
      </c>
      <c r="F178" s="908">
        <f>GLOBAL_DER_FEV_2023!F178</f>
        <v>1.85</v>
      </c>
      <c r="G178" s="909">
        <f>GLOBAL_DER_FEV_2023!G178</f>
        <v>4.9580000000000002</v>
      </c>
      <c r="H178" s="901">
        <f>GLOBAL_DER_FEV_2023!H178</f>
        <v>0</v>
      </c>
      <c r="I178" s="901">
        <f>GLOBAL_DER_FEV_2023!I178</f>
        <v>0</v>
      </c>
      <c r="J178" s="902">
        <f>GLOBAL_DER_FEV_2023!J178</f>
        <v>0</v>
      </c>
      <c r="K178" s="903" t="s">
        <v>507</v>
      </c>
      <c r="L178" s="959"/>
      <c r="M178" s="1041">
        <f t="shared" si="12"/>
        <v>0</v>
      </c>
      <c r="N178" s="893">
        <f t="shared" si="15"/>
        <v>0</v>
      </c>
      <c r="O178" s="905"/>
      <c r="P178" s="58" t="str">
        <f>IF(N176&gt;0,"xx",IF(N176&gt;0,"xy",""))</f>
        <v/>
      </c>
      <c r="Q178" s="317" t="str">
        <f t="shared" si="11"/>
        <v/>
      </c>
      <c r="R178" s="317" t="str">
        <f t="shared" si="13"/>
        <v/>
      </c>
      <c r="S178" s="317" t="str">
        <f t="shared" si="14"/>
        <v/>
      </c>
      <c r="T178" s="317" t="str">
        <f>GLOBAL_DER_FEV_2023!S178</f>
        <v/>
      </c>
      <c r="W178" s="582">
        <v>0</v>
      </c>
      <c r="X178" s="580"/>
      <c r="Y178" s="583">
        <f>IF(GLOBAL_DER_FEV_2023!W178=0,0,IF(GLOBAL_DER_FEV_2023!W178&gt;0,"c","b"))</f>
        <v>0</v>
      </c>
    </row>
    <row r="179" spans="1:25" x14ac:dyDescent="0.2">
      <c r="A179" s="317" t="s">
        <v>147</v>
      </c>
      <c r="B179" s="895" t="s">
        <v>147</v>
      </c>
      <c r="C179" s="896"/>
      <c r="D179" s="957" t="s">
        <v>192</v>
      </c>
      <c r="E179" s="898">
        <f>GLOBAL_DER_FEV_2023!E179</f>
        <v>0</v>
      </c>
      <c r="F179" s="908">
        <f>GLOBAL_DER_FEV_2023!F179</f>
        <v>1.7450000000000001</v>
      </c>
      <c r="G179" s="909">
        <f>GLOBAL_DER_FEV_2023!G179</f>
        <v>4.6766000000000005</v>
      </c>
      <c r="H179" s="901">
        <f>GLOBAL_DER_FEV_2023!H179</f>
        <v>0</v>
      </c>
      <c r="I179" s="901">
        <f>GLOBAL_DER_FEV_2023!I179</f>
        <v>0</v>
      </c>
      <c r="J179" s="902">
        <f>GLOBAL_DER_FEV_2023!J179</f>
        <v>0</v>
      </c>
      <c r="K179" s="903" t="s">
        <v>507</v>
      </c>
      <c r="L179" s="959"/>
      <c r="M179" s="1041">
        <f t="shared" si="12"/>
        <v>0</v>
      </c>
      <c r="N179" s="893">
        <f t="shared" si="15"/>
        <v>0</v>
      </c>
      <c r="O179" s="905"/>
      <c r="P179" s="58" t="str">
        <f>IF($N$142&gt;0,"xx",IF($N$142&gt;0,"xy",""))</f>
        <v/>
      </c>
      <c r="Q179" s="317" t="str">
        <f t="shared" si="11"/>
        <v/>
      </c>
      <c r="R179" s="317" t="str">
        <f t="shared" si="13"/>
        <v/>
      </c>
      <c r="S179" s="317" t="str">
        <f t="shared" si="14"/>
        <v/>
      </c>
      <c r="T179" s="317" t="str">
        <f>GLOBAL_DER_FEV_2023!S179</f>
        <v/>
      </c>
      <c r="W179" s="582">
        <v>0</v>
      </c>
      <c r="X179" s="580"/>
      <c r="Y179" s="583">
        <f>IF(GLOBAL_DER_FEV_2023!W179=0,0,IF(GLOBAL_DER_FEV_2023!W179&gt;0,"c","b"))</f>
        <v>0</v>
      </c>
    </row>
    <row r="180" spans="1:25" x14ac:dyDescent="0.2">
      <c r="A180" s="317">
        <v>547100</v>
      </c>
      <c r="B180" s="895">
        <v>547100</v>
      </c>
      <c r="C180" s="896" t="s">
        <v>184</v>
      </c>
      <c r="D180" s="906" t="s">
        <v>2204</v>
      </c>
      <c r="E180" s="898">
        <f>GLOBAL_DER_FEV_2023!E180</f>
        <v>0</v>
      </c>
      <c r="F180" s="908">
        <f>GLOBAL_DER_FEV_2023!F180</f>
        <v>0</v>
      </c>
      <c r="G180" s="953">
        <f>GLOBAL_DER_FEV_2023!G180</f>
        <v>39.604299999999995</v>
      </c>
      <c r="H180" s="901">
        <f>GLOBAL_DER_FEV_2023!H180</f>
        <v>101.11</v>
      </c>
      <c r="I180" s="901">
        <f>GLOBAL_DER_FEV_2023!I180</f>
        <v>140.71429999999998</v>
      </c>
      <c r="J180" s="902">
        <f>GLOBAL_DER_FEV_2023!J180</f>
        <v>168.96</v>
      </c>
      <c r="K180" s="903" t="s">
        <v>10</v>
      </c>
      <c r="L180" s="1137"/>
      <c r="M180" s="1150">
        <f t="shared" si="12"/>
        <v>0</v>
      </c>
      <c r="N180" s="893">
        <f t="shared" si="15"/>
        <v>0</v>
      </c>
      <c r="O180" s="905"/>
      <c r="Q180" s="317" t="str">
        <f t="shared" si="11"/>
        <v/>
      </c>
      <c r="R180" s="317" t="str">
        <f t="shared" si="13"/>
        <v/>
      </c>
      <c r="S180" s="317" t="str">
        <f t="shared" si="14"/>
        <v/>
      </c>
      <c r="T180" s="317" t="str">
        <f>GLOBAL_DER_FEV_2023!S180</f>
        <v/>
      </c>
      <c r="W180" s="582">
        <v>0</v>
      </c>
      <c r="X180" s="580"/>
      <c r="Y180" s="583">
        <f>IF(GLOBAL_DER_FEV_2023!W180=0,0,IF(GLOBAL_DER_FEV_2023!W180&gt;0,"c","b"))</f>
        <v>0</v>
      </c>
    </row>
    <row r="181" spans="1:25" x14ac:dyDescent="0.2">
      <c r="A181" s="317" t="s">
        <v>147</v>
      </c>
      <c r="B181" s="895" t="s">
        <v>147</v>
      </c>
      <c r="C181" s="896"/>
      <c r="D181" s="957" t="s">
        <v>190</v>
      </c>
      <c r="E181" s="907">
        <f>GLOBAL_DER_FEV_2023!E181</f>
        <v>308</v>
      </c>
      <c r="F181" s="908">
        <f>GLOBAL_DER_FEV_2023!F181</f>
        <v>0.121</v>
      </c>
      <c r="G181" s="909">
        <f>GLOBAL_DER_FEV_2023!G181</f>
        <v>30.015259999999998</v>
      </c>
      <c r="H181" s="901">
        <f>GLOBAL_DER_FEV_2023!H181</f>
        <v>0</v>
      </c>
      <c r="I181" s="901">
        <f>GLOBAL_DER_FEV_2023!I181</f>
        <v>0</v>
      </c>
      <c r="J181" s="902">
        <f>GLOBAL_DER_FEV_2023!J181</f>
        <v>0</v>
      </c>
      <c r="K181" s="903" t="s">
        <v>507</v>
      </c>
      <c r="L181" s="959"/>
      <c r="M181" s="1041">
        <f t="shared" si="12"/>
        <v>0</v>
      </c>
      <c r="N181" s="893">
        <f t="shared" si="15"/>
        <v>0</v>
      </c>
      <c r="O181" s="905"/>
      <c r="P181" s="58" t="str">
        <f>IF(N180&gt;0,"xx",IF(N180&gt;0,"xy",""))</f>
        <v/>
      </c>
      <c r="Q181" s="317" t="str">
        <f t="shared" si="11"/>
        <v/>
      </c>
      <c r="R181" s="317" t="str">
        <f t="shared" si="13"/>
        <v/>
      </c>
      <c r="S181" s="317" t="str">
        <f t="shared" si="14"/>
        <v/>
      </c>
      <c r="T181" s="317" t="str">
        <f>GLOBAL_DER_FEV_2023!S181</f>
        <v/>
      </c>
      <c r="W181" s="582">
        <v>0</v>
      </c>
      <c r="X181" s="580"/>
      <c r="Y181" s="583">
        <f>IF(GLOBAL_DER_FEV_2023!W181=0,0,IF(GLOBAL_DER_FEV_2023!W181&gt;0,"c","b"))</f>
        <v>0</v>
      </c>
    </row>
    <row r="182" spans="1:25" x14ac:dyDescent="0.2">
      <c r="A182" s="317" t="s">
        <v>147</v>
      </c>
      <c r="B182" s="895" t="s">
        <v>147</v>
      </c>
      <c r="C182" s="896"/>
      <c r="D182" s="957" t="s">
        <v>191</v>
      </c>
      <c r="E182" s="898">
        <f>GLOBAL_DER_FEV_2023!E182</f>
        <v>0</v>
      </c>
      <c r="F182" s="908">
        <f>GLOBAL_DER_FEV_2023!F182</f>
        <v>1.85</v>
      </c>
      <c r="G182" s="909">
        <f>GLOBAL_DER_FEV_2023!G182</f>
        <v>4.9580000000000002</v>
      </c>
      <c r="H182" s="901">
        <f>GLOBAL_DER_FEV_2023!H182</f>
        <v>0</v>
      </c>
      <c r="I182" s="901">
        <f>GLOBAL_DER_FEV_2023!I182</f>
        <v>0</v>
      </c>
      <c r="J182" s="902">
        <f>GLOBAL_DER_FEV_2023!J182</f>
        <v>0</v>
      </c>
      <c r="K182" s="903" t="s">
        <v>507</v>
      </c>
      <c r="L182" s="959"/>
      <c r="M182" s="1041">
        <f t="shared" si="12"/>
        <v>0</v>
      </c>
      <c r="N182" s="893">
        <f t="shared" si="15"/>
        <v>0</v>
      </c>
      <c r="O182" s="905"/>
      <c r="P182" s="58" t="str">
        <f>IF(N180&gt;0,"xx",IF(N180&gt;0,"xy",""))</f>
        <v/>
      </c>
      <c r="Q182" s="317" t="str">
        <f t="shared" si="11"/>
        <v/>
      </c>
      <c r="R182" s="317" t="str">
        <f t="shared" si="13"/>
        <v/>
      </c>
      <c r="S182" s="317" t="str">
        <f t="shared" si="14"/>
        <v/>
      </c>
      <c r="T182" s="317" t="str">
        <f>GLOBAL_DER_FEV_2023!S182</f>
        <v/>
      </c>
      <c r="W182" s="582">
        <v>0</v>
      </c>
      <c r="X182" s="580"/>
      <c r="Y182" s="583">
        <f>IF(GLOBAL_DER_FEV_2023!W182=0,0,IF(GLOBAL_DER_FEV_2023!W182&gt;0,"c","b"))</f>
        <v>0</v>
      </c>
    </row>
    <row r="183" spans="1:25" x14ac:dyDescent="0.2">
      <c r="A183" s="317" t="s">
        <v>147</v>
      </c>
      <c r="B183" s="895" t="s">
        <v>147</v>
      </c>
      <c r="C183" s="896"/>
      <c r="D183" s="957" t="s">
        <v>192</v>
      </c>
      <c r="E183" s="898">
        <f>GLOBAL_DER_FEV_2023!E183</f>
        <v>0</v>
      </c>
      <c r="F183" s="908">
        <f>GLOBAL_DER_FEV_2023!F183</f>
        <v>1.728</v>
      </c>
      <c r="G183" s="909">
        <f>GLOBAL_DER_FEV_2023!G183</f>
        <v>4.6310400000000005</v>
      </c>
      <c r="H183" s="901">
        <f>GLOBAL_DER_FEV_2023!H183</f>
        <v>0</v>
      </c>
      <c r="I183" s="901">
        <f>GLOBAL_DER_FEV_2023!I183</f>
        <v>0</v>
      </c>
      <c r="J183" s="902">
        <f>GLOBAL_DER_FEV_2023!J183</f>
        <v>0</v>
      </c>
      <c r="K183" s="903" t="s">
        <v>507</v>
      </c>
      <c r="L183" s="959"/>
      <c r="M183" s="1041">
        <f t="shared" si="12"/>
        <v>0</v>
      </c>
      <c r="N183" s="893">
        <f t="shared" si="15"/>
        <v>0</v>
      </c>
      <c r="O183" s="905"/>
      <c r="P183" s="58" t="str">
        <f>IF($N$142&gt;0,"xx",IF($N$142&gt;0,"xy",""))</f>
        <v/>
      </c>
      <c r="Q183" s="317" t="str">
        <f t="shared" si="11"/>
        <v/>
      </c>
      <c r="R183" s="317" t="str">
        <f t="shared" si="13"/>
        <v/>
      </c>
      <c r="S183" s="317" t="str">
        <f t="shared" si="14"/>
        <v/>
      </c>
      <c r="T183" s="317" t="str">
        <f>GLOBAL_DER_FEV_2023!S183</f>
        <v/>
      </c>
      <c r="W183" s="582">
        <v>0</v>
      </c>
      <c r="X183" s="580"/>
      <c r="Y183" s="583">
        <f>IF(GLOBAL_DER_FEV_2023!W183=0,0,IF(GLOBAL_DER_FEV_2023!W183&gt;0,"c","b"))</f>
        <v>0</v>
      </c>
    </row>
    <row r="184" spans="1:25" x14ac:dyDescent="0.2">
      <c r="A184" s="317">
        <v>530200</v>
      </c>
      <c r="B184" s="895" t="s">
        <v>1572</v>
      </c>
      <c r="C184" s="896" t="s">
        <v>184</v>
      </c>
      <c r="D184" s="906" t="s">
        <v>193</v>
      </c>
      <c r="E184" s="898">
        <f>GLOBAL_DER_FEV_2023!E184</f>
        <v>0.2</v>
      </c>
      <c r="F184" s="899">
        <f>GLOBAL_DER_FEV_2023!F184</f>
        <v>2.2000000000000002</v>
      </c>
      <c r="G184" s="909">
        <f>GLOBAL_DER_FEV_2023!G184</f>
        <v>6.3668000000000005</v>
      </c>
      <c r="H184" s="901">
        <f>GLOBAL_DER_FEV_2023!H184</f>
        <v>98.29</v>
      </c>
      <c r="I184" s="901">
        <f>GLOBAL_DER_FEV_2023!I184</f>
        <v>104.6568</v>
      </c>
      <c r="J184" s="902">
        <f>GLOBAL_DER_FEV_2023!J184</f>
        <v>125.66</v>
      </c>
      <c r="K184" s="903" t="s">
        <v>10</v>
      </c>
      <c r="L184" s="1137"/>
      <c r="M184" s="1150">
        <f t="shared" si="12"/>
        <v>0</v>
      </c>
      <c r="N184" s="893">
        <f t="shared" si="15"/>
        <v>0</v>
      </c>
      <c r="O184" s="905"/>
      <c r="Q184" s="317" t="str">
        <f t="shared" si="11"/>
        <v/>
      </c>
      <c r="R184" s="317" t="str">
        <f t="shared" si="13"/>
        <v/>
      </c>
      <c r="S184" s="317" t="str">
        <f t="shared" si="14"/>
        <v/>
      </c>
      <c r="T184" s="317" t="str">
        <f>GLOBAL_DER_FEV_2023!S184</f>
        <v/>
      </c>
      <c r="W184" s="582">
        <v>0</v>
      </c>
      <c r="X184" s="580"/>
      <c r="Y184" s="583">
        <f>IF(GLOBAL_DER_FEV_2023!W184=0,0,IF(GLOBAL_DER_FEV_2023!W184&gt;0,"c","b"))</f>
        <v>0</v>
      </c>
    </row>
    <row r="185" spans="1:25" x14ac:dyDescent="0.2">
      <c r="A185" s="317" t="s">
        <v>830</v>
      </c>
      <c r="B185" s="895" t="str">
        <f>GLOBAL_DER_FEV_2023!B185</f>
        <v>PAV-003A</v>
      </c>
      <c r="C185" s="896" t="str">
        <f>GLOBAL_DER_FEV_2023!C185</f>
        <v>PM Curitiba-abr/22</v>
      </c>
      <c r="D185" s="906" t="str">
        <f>GLOBAL_DER_FEV_2023!D185</f>
        <v>Saibro Compactado CBR&gt;=20 (Base ou Sub-Base)</v>
      </c>
      <c r="E185" s="898">
        <f>GLOBAL_DER_FEV_2023!E185</f>
        <v>0</v>
      </c>
      <c r="F185" s="899">
        <f>GLOBAL_DER_FEV_2023!F185</f>
        <v>1.95</v>
      </c>
      <c r="G185" s="909">
        <f>GLOBAL_DER_FEV_2023!G185</f>
        <v>5.226</v>
      </c>
      <c r="H185" s="901">
        <f>GLOBAL_DER_FEV_2023!H185</f>
        <v>67.75</v>
      </c>
      <c r="I185" s="901">
        <f>GLOBAL_DER_FEV_2023!I185</f>
        <v>72.975999999999999</v>
      </c>
      <c r="J185" s="902">
        <f>GLOBAL_DER_FEV_2023!J185</f>
        <v>87.62</v>
      </c>
      <c r="K185" s="903" t="s">
        <v>10</v>
      </c>
      <c r="L185" s="1137"/>
      <c r="M185" s="1150">
        <f t="shared" si="12"/>
        <v>0</v>
      </c>
      <c r="N185" s="893">
        <f t="shared" si="15"/>
        <v>0</v>
      </c>
      <c r="O185" s="905"/>
      <c r="Q185" s="317" t="str">
        <f t="shared" si="11"/>
        <v/>
      </c>
      <c r="R185" s="317" t="str">
        <f t="shared" si="13"/>
        <v/>
      </c>
      <c r="S185" s="317" t="str">
        <f t="shared" si="14"/>
        <v/>
      </c>
      <c r="T185" s="317" t="str">
        <f>GLOBAL_DER_FEV_2023!S185</f>
        <v/>
      </c>
      <c r="W185" s="582">
        <v>0</v>
      </c>
      <c r="X185" s="580"/>
      <c r="Y185" s="583">
        <f>IF(GLOBAL_DER_FEV_2023!W185=0,0,IF(GLOBAL_DER_FEV_2023!W185&gt;0,"c","b"))</f>
        <v>0</v>
      </c>
    </row>
    <row r="186" spans="1:25" x14ac:dyDescent="0.2">
      <c r="A186" s="317" t="s">
        <v>831</v>
      </c>
      <c r="B186" s="895" t="str">
        <f>GLOBAL_DER_FEV_2023!B186</f>
        <v>PAV-005A</v>
      </c>
      <c r="C186" s="896" t="str">
        <f>GLOBAL_DER_FEV_2023!C186</f>
        <v>PM Curitiba-abr/22</v>
      </c>
      <c r="D186" s="906" t="str">
        <f>GLOBAL_DER_FEV_2023!D186</f>
        <v>Moledo Compactado CBR&gt;=20 (Base ou Sub-Base)</v>
      </c>
      <c r="E186" s="898">
        <f>GLOBAL_DER_FEV_2023!E186</f>
        <v>0</v>
      </c>
      <c r="F186" s="899">
        <f>GLOBAL_DER_FEV_2023!F186</f>
        <v>2.1</v>
      </c>
      <c r="G186" s="909">
        <f>GLOBAL_DER_FEV_2023!G186</f>
        <v>5.628000000000001</v>
      </c>
      <c r="H186" s="901">
        <f>GLOBAL_DER_FEV_2023!H186</f>
        <v>31.47</v>
      </c>
      <c r="I186" s="901">
        <f>GLOBAL_DER_FEV_2023!I186</f>
        <v>37.097999999999999</v>
      </c>
      <c r="J186" s="902">
        <f>GLOBAL_DER_FEV_2023!J186</f>
        <v>44.54</v>
      </c>
      <c r="K186" s="903" t="s">
        <v>10</v>
      </c>
      <c r="L186" s="1137"/>
      <c r="M186" s="1150">
        <f t="shared" si="12"/>
        <v>0</v>
      </c>
      <c r="N186" s="893">
        <f t="shared" si="15"/>
        <v>0</v>
      </c>
      <c r="O186" s="905"/>
      <c r="Q186" s="317" t="str">
        <f t="shared" si="11"/>
        <v/>
      </c>
      <c r="R186" s="317" t="str">
        <f t="shared" si="13"/>
        <v/>
      </c>
      <c r="S186" s="317" t="str">
        <f t="shared" si="14"/>
        <v/>
      </c>
      <c r="T186" s="317" t="str">
        <f>GLOBAL_DER_FEV_2023!S186</f>
        <v/>
      </c>
      <c r="W186" s="582">
        <v>0</v>
      </c>
      <c r="X186" s="580"/>
      <c r="Y186" s="583">
        <f>IF(GLOBAL_DER_FEV_2023!W186=0,0,IF(GLOBAL_DER_FEV_2023!W186&gt;0,"c","b"))</f>
        <v>0</v>
      </c>
    </row>
    <row r="187" spans="1:25" x14ac:dyDescent="0.2">
      <c r="A187" s="317">
        <v>530200</v>
      </c>
      <c r="B187" s="895" t="s">
        <v>1746</v>
      </c>
      <c r="C187" s="896" t="s">
        <v>184</v>
      </c>
      <c r="D187" s="906" t="s">
        <v>452</v>
      </c>
      <c r="E187" s="898">
        <f>GLOBAL_DER_FEV_2023!E187</f>
        <v>0.2</v>
      </c>
      <c r="F187" s="899">
        <f>GLOBAL_DER_FEV_2023!F187</f>
        <v>2.2000000000000002</v>
      </c>
      <c r="G187" s="909">
        <f>GLOBAL_DER_FEV_2023!G187</f>
        <v>6.3668000000000005</v>
      </c>
      <c r="H187" s="901">
        <f>GLOBAL_DER_FEV_2023!H187</f>
        <v>98.29</v>
      </c>
      <c r="I187" s="901">
        <f>GLOBAL_DER_FEV_2023!I187</f>
        <v>104.6568</v>
      </c>
      <c r="J187" s="902">
        <f>GLOBAL_DER_FEV_2023!J187</f>
        <v>125.66</v>
      </c>
      <c r="K187" s="903" t="s">
        <v>10</v>
      </c>
      <c r="L187" s="1137"/>
      <c r="M187" s="1150">
        <f t="shared" si="12"/>
        <v>0</v>
      </c>
      <c r="N187" s="893">
        <f t="shared" si="15"/>
        <v>0</v>
      </c>
      <c r="O187" s="905"/>
      <c r="Q187" s="317" t="str">
        <f t="shared" si="11"/>
        <v/>
      </c>
      <c r="R187" s="317" t="str">
        <f t="shared" si="13"/>
        <v/>
      </c>
      <c r="S187" s="317" t="str">
        <f t="shared" si="14"/>
        <v/>
      </c>
      <c r="T187" s="317" t="str">
        <f>GLOBAL_DER_FEV_2023!S187</f>
        <v/>
      </c>
      <c r="W187" s="582">
        <v>0</v>
      </c>
      <c r="X187" s="580"/>
      <c r="Y187" s="583">
        <f>IF(GLOBAL_DER_FEV_2023!W187=0,0,IF(GLOBAL_DER_FEV_2023!W187&gt;0,"c","b"))</f>
        <v>0</v>
      </c>
    </row>
    <row r="188" spans="1:25" x14ac:dyDescent="0.2">
      <c r="A188" s="317">
        <v>516200</v>
      </c>
      <c r="B188" s="895">
        <v>516200</v>
      </c>
      <c r="C188" s="896" t="s">
        <v>184</v>
      </c>
      <c r="D188" s="906" t="s">
        <v>206</v>
      </c>
      <c r="E188" s="898">
        <f>GLOBAL_DER_FEV_2023!E188</f>
        <v>0</v>
      </c>
      <c r="F188" s="899">
        <f>GLOBAL_DER_FEV_2023!F188</f>
        <v>1.95</v>
      </c>
      <c r="G188" s="909">
        <f>GLOBAL_DER_FEV_2023!G188</f>
        <v>5.226</v>
      </c>
      <c r="H188" s="901">
        <f>GLOBAL_DER_FEV_2023!H188</f>
        <v>104.14</v>
      </c>
      <c r="I188" s="901">
        <f>GLOBAL_DER_FEV_2023!I188</f>
        <v>92.961100000000002</v>
      </c>
      <c r="J188" s="902">
        <f>GLOBAL_DER_FEV_2023!J188</f>
        <v>111.62</v>
      </c>
      <c r="K188" s="903" t="s">
        <v>10</v>
      </c>
      <c r="L188" s="1137"/>
      <c r="M188" s="1150">
        <f t="shared" si="12"/>
        <v>0</v>
      </c>
      <c r="N188" s="893">
        <f t="shared" si="15"/>
        <v>0</v>
      </c>
      <c r="O188" s="905"/>
      <c r="Q188" s="317" t="str">
        <f t="shared" si="11"/>
        <v/>
      </c>
      <c r="R188" s="317" t="str">
        <f t="shared" si="13"/>
        <v/>
      </c>
      <c r="S188" s="317" t="str">
        <f t="shared" si="14"/>
        <v/>
      </c>
      <c r="T188" s="317" t="str">
        <f>GLOBAL_DER_FEV_2023!S188</f>
        <v/>
      </c>
      <c r="W188" s="582">
        <v>0</v>
      </c>
      <c r="X188" s="580"/>
      <c r="Y188" s="583">
        <f>IF(GLOBAL_DER_FEV_2023!W188=0,0,IF(GLOBAL_DER_FEV_2023!W188&gt;0,"c","b"))</f>
        <v>0</v>
      </c>
    </row>
    <row r="189" spans="1:25" x14ac:dyDescent="0.2">
      <c r="A189" s="317">
        <v>531000</v>
      </c>
      <c r="B189" s="895" t="s">
        <v>1786</v>
      </c>
      <c r="C189" s="896" t="s">
        <v>184</v>
      </c>
      <c r="D189" s="906" t="s">
        <v>194</v>
      </c>
      <c r="E189" s="898">
        <f>GLOBAL_DER_FEV_2023!E189</f>
        <v>0.2</v>
      </c>
      <c r="F189" s="908">
        <f>GLOBAL_DER_FEV_2023!F189</f>
        <v>2.4</v>
      </c>
      <c r="G189" s="909">
        <f>GLOBAL_DER_FEV_2023!G189</f>
        <v>6.9455999999999998</v>
      </c>
      <c r="H189" s="901">
        <f>GLOBAL_DER_FEV_2023!H189</f>
        <v>132.22999999999999</v>
      </c>
      <c r="I189" s="901">
        <f>GLOBAL_DER_FEV_2023!I189</f>
        <v>139.1756</v>
      </c>
      <c r="J189" s="902">
        <f>GLOBAL_DER_FEV_2023!J189</f>
        <v>167.11</v>
      </c>
      <c r="K189" s="903" t="s">
        <v>10</v>
      </c>
      <c r="L189" s="1137"/>
      <c r="M189" s="1150">
        <f t="shared" si="12"/>
        <v>0</v>
      </c>
      <c r="N189" s="893">
        <f t="shared" si="15"/>
        <v>0</v>
      </c>
      <c r="O189" s="905"/>
      <c r="Q189" s="317" t="str">
        <f t="shared" si="11"/>
        <v/>
      </c>
      <c r="R189" s="317" t="str">
        <f t="shared" si="13"/>
        <v/>
      </c>
      <c r="S189" s="317" t="str">
        <f t="shared" si="14"/>
        <v/>
      </c>
      <c r="T189" s="317" t="str">
        <f>GLOBAL_DER_FEV_2023!S189</f>
        <v/>
      </c>
      <c r="W189" s="582">
        <v>0</v>
      </c>
      <c r="X189" s="580"/>
      <c r="Y189" s="583">
        <f>IF(GLOBAL_DER_FEV_2023!W189=0,0,IF(GLOBAL_DER_FEV_2023!W189&gt;0,"c","b"))</f>
        <v>0</v>
      </c>
    </row>
    <row r="190" spans="1:25" x14ac:dyDescent="0.2">
      <c r="A190" s="317">
        <v>531120</v>
      </c>
      <c r="B190" s="895">
        <v>531120</v>
      </c>
      <c r="C190" s="896" t="s">
        <v>184</v>
      </c>
      <c r="D190" s="906" t="s">
        <v>200</v>
      </c>
      <c r="E190" s="898">
        <f>GLOBAL_DER_FEV_2023!E190</f>
        <v>0</v>
      </c>
      <c r="F190" s="908">
        <f>GLOBAL_DER_FEV_2023!F190</f>
        <v>0</v>
      </c>
      <c r="G190" s="953">
        <f>GLOBAL_DER_FEV_2023!G190</f>
        <v>95.741760000000014</v>
      </c>
      <c r="H190" s="901">
        <f>GLOBAL_DER_FEV_2023!H190</f>
        <v>186.24</v>
      </c>
      <c r="I190" s="901">
        <f>GLOBAL_DER_FEV_2023!I190</f>
        <v>253.78358400000002</v>
      </c>
      <c r="J190" s="902">
        <f>GLOBAL_DER_FEV_2023!J190</f>
        <v>304.72000000000003</v>
      </c>
      <c r="K190" s="903" t="s">
        <v>10</v>
      </c>
      <c r="L190" s="1137"/>
      <c r="M190" s="1150">
        <f t="shared" si="12"/>
        <v>0</v>
      </c>
      <c r="N190" s="893">
        <f t="shared" si="15"/>
        <v>0</v>
      </c>
      <c r="O190" s="905"/>
      <c r="Q190" s="317" t="str">
        <f t="shared" si="11"/>
        <v/>
      </c>
      <c r="R190" s="317" t="str">
        <f t="shared" si="13"/>
        <v/>
      </c>
      <c r="S190" s="317" t="str">
        <f t="shared" si="14"/>
        <v/>
      </c>
      <c r="T190" s="317" t="str">
        <f>GLOBAL_DER_FEV_2023!S190</f>
        <v/>
      </c>
      <c r="W190" s="582">
        <v>0</v>
      </c>
      <c r="X190" s="580"/>
      <c r="Y190" s="583">
        <f>IF(GLOBAL_DER_FEV_2023!W190=0,0,IF(GLOBAL_DER_FEV_2023!W190&gt;0,"c","b"))</f>
        <v>0</v>
      </c>
    </row>
    <row r="191" spans="1:25" x14ac:dyDescent="0.2">
      <c r="A191" s="317" t="s">
        <v>147</v>
      </c>
      <c r="B191" s="895" t="s">
        <v>147</v>
      </c>
      <c r="C191" s="896"/>
      <c r="D191" s="957" t="s">
        <v>190</v>
      </c>
      <c r="E191" s="907">
        <f>GLOBAL_DER_FEV_2023!E191</f>
        <v>308</v>
      </c>
      <c r="F191" s="908">
        <f>GLOBAL_DER_FEV_2023!F191</f>
        <v>9.6000000000000002E-2</v>
      </c>
      <c r="G191" s="909">
        <f>GLOBAL_DER_FEV_2023!G191</f>
        <v>23.813760000000002</v>
      </c>
      <c r="H191" s="901">
        <f>GLOBAL_DER_FEV_2023!H191</f>
        <v>0</v>
      </c>
      <c r="I191" s="901">
        <f>GLOBAL_DER_FEV_2023!I191</f>
        <v>0</v>
      </c>
      <c r="J191" s="902">
        <f>GLOBAL_DER_FEV_2023!J191</f>
        <v>0</v>
      </c>
      <c r="K191" s="903" t="s">
        <v>507</v>
      </c>
      <c r="L191" s="959"/>
      <c r="M191" s="1041">
        <f t="shared" si="12"/>
        <v>0</v>
      </c>
      <c r="N191" s="893">
        <f t="shared" si="15"/>
        <v>0</v>
      </c>
      <c r="O191" s="905"/>
      <c r="P191" s="58" t="str">
        <f>IF(N190&gt;0,"xx",IF(N190&gt;0,"xy",""))</f>
        <v/>
      </c>
      <c r="Q191" s="317" t="str">
        <f t="shared" si="11"/>
        <v/>
      </c>
      <c r="R191" s="317" t="str">
        <f t="shared" si="13"/>
        <v/>
      </c>
      <c r="S191" s="317" t="str">
        <f t="shared" si="14"/>
        <v/>
      </c>
      <c r="T191" s="317" t="str">
        <f>GLOBAL_DER_FEV_2023!S191</f>
        <v/>
      </c>
      <c r="W191" s="582">
        <v>0</v>
      </c>
      <c r="X191" s="580"/>
      <c r="Y191" s="583">
        <f>IF(GLOBAL_DER_FEV_2023!W191=0,0,IF(GLOBAL_DER_FEV_2023!W191&gt;0,"c","b"))</f>
        <v>0</v>
      </c>
    </row>
    <row r="192" spans="1:25" x14ac:dyDescent="0.2">
      <c r="A192" s="317" t="s">
        <v>147</v>
      </c>
      <c r="B192" s="895" t="s">
        <v>147</v>
      </c>
      <c r="C192" s="896"/>
      <c r="D192" s="957" t="s">
        <v>201</v>
      </c>
      <c r="E192" s="898">
        <f>GLOBAL_DER_FEV_2023!E192</f>
        <v>0</v>
      </c>
      <c r="F192" s="908">
        <f>GLOBAL_DER_FEV_2023!F192</f>
        <v>2.4</v>
      </c>
      <c r="G192" s="909">
        <f>GLOBAL_DER_FEV_2023!G192</f>
        <v>6.4320000000000004</v>
      </c>
      <c r="H192" s="901">
        <f>GLOBAL_DER_FEV_2023!H192</f>
        <v>0</v>
      </c>
      <c r="I192" s="901">
        <f>GLOBAL_DER_FEV_2023!I192</f>
        <v>0</v>
      </c>
      <c r="J192" s="902">
        <f>GLOBAL_DER_FEV_2023!J192</f>
        <v>0</v>
      </c>
      <c r="K192" s="903" t="s">
        <v>507</v>
      </c>
      <c r="L192" s="959"/>
      <c r="M192" s="1041">
        <f t="shared" si="12"/>
        <v>0</v>
      </c>
      <c r="N192" s="893">
        <f t="shared" si="15"/>
        <v>0</v>
      </c>
      <c r="O192" s="905"/>
      <c r="P192" s="58" t="str">
        <f>IF(N190&gt;0,"xx",IF(N190&gt;0,"xy",""))</f>
        <v/>
      </c>
      <c r="Q192" s="317" t="str">
        <f t="shared" si="11"/>
        <v/>
      </c>
      <c r="R192" s="317" t="str">
        <f t="shared" si="13"/>
        <v/>
      </c>
      <c r="S192" s="317" t="str">
        <f t="shared" si="14"/>
        <v/>
      </c>
      <c r="T192" s="317" t="str">
        <f>GLOBAL_DER_FEV_2023!S192</f>
        <v/>
      </c>
      <c r="W192" s="582">
        <v>0</v>
      </c>
      <c r="X192" s="580"/>
      <c r="Y192" s="583">
        <f>IF(GLOBAL_DER_FEV_2023!W192=0,0,IF(GLOBAL_DER_FEV_2023!W192&gt;0,"c","b"))</f>
        <v>0</v>
      </c>
    </row>
    <row r="193" spans="1:25" x14ac:dyDescent="0.2">
      <c r="A193" s="317" t="s">
        <v>147</v>
      </c>
      <c r="B193" s="895" t="s">
        <v>147</v>
      </c>
      <c r="C193" s="896"/>
      <c r="D193" s="957" t="s">
        <v>202</v>
      </c>
      <c r="E193" s="898">
        <f>GLOBAL_DER_FEV_2023!E193</f>
        <v>23</v>
      </c>
      <c r="F193" s="908">
        <f>GLOBAL_DER_FEV_2023!F193</f>
        <v>2.4</v>
      </c>
      <c r="G193" s="909">
        <f>GLOBAL_DER_FEV_2023!G193</f>
        <v>65.496000000000009</v>
      </c>
      <c r="H193" s="901">
        <f>GLOBAL_DER_FEV_2023!H193</f>
        <v>0</v>
      </c>
      <c r="I193" s="901">
        <f>GLOBAL_DER_FEV_2023!I193</f>
        <v>0</v>
      </c>
      <c r="J193" s="902">
        <f>GLOBAL_DER_FEV_2023!J193</f>
        <v>0</v>
      </c>
      <c r="K193" s="903" t="s">
        <v>507</v>
      </c>
      <c r="L193" s="959"/>
      <c r="M193" s="1041">
        <f t="shared" si="12"/>
        <v>0</v>
      </c>
      <c r="N193" s="893">
        <f t="shared" si="15"/>
        <v>0</v>
      </c>
      <c r="O193" s="905"/>
      <c r="P193" s="58" t="str">
        <f>IF($N$142&gt;0,"xx",IF($N$142&gt;0,"xy",""))</f>
        <v/>
      </c>
      <c r="Q193" s="317" t="str">
        <f t="shared" si="11"/>
        <v/>
      </c>
      <c r="R193" s="317" t="str">
        <f t="shared" si="13"/>
        <v/>
      </c>
      <c r="S193" s="317" t="str">
        <f t="shared" si="14"/>
        <v/>
      </c>
      <c r="T193" s="317" t="str">
        <f>GLOBAL_DER_FEV_2023!S193</f>
        <v/>
      </c>
      <c r="W193" s="582">
        <v>0</v>
      </c>
      <c r="X193" s="580"/>
      <c r="Y193" s="583">
        <f>IF(GLOBAL_DER_FEV_2023!W193=0,0,IF(GLOBAL_DER_FEV_2023!W193&gt;0,"c","b"))</f>
        <v>0</v>
      </c>
    </row>
    <row r="194" spans="1:25" x14ac:dyDescent="0.2">
      <c r="A194" s="317">
        <v>531350</v>
      </c>
      <c r="B194" s="895">
        <v>531350</v>
      </c>
      <c r="C194" s="896" t="s">
        <v>184</v>
      </c>
      <c r="D194" s="906" t="s">
        <v>195</v>
      </c>
      <c r="E194" s="898">
        <f>GLOBAL_DER_FEV_2023!E194</f>
        <v>0</v>
      </c>
      <c r="F194" s="899">
        <f>GLOBAL_DER_FEV_2023!F194</f>
        <v>0</v>
      </c>
      <c r="G194" s="953">
        <f>GLOBAL_DER_FEV_2023!G194</f>
        <v>5.5859200000000007</v>
      </c>
      <c r="H194" s="901">
        <f>GLOBAL_DER_FEV_2023!H194</f>
        <v>105.23</v>
      </c>
      <c r="I194" s="901">
        <f>GLOBAL_DER_FEV_2023!I194</f>
        <v>110.81592000000001</v>
      </c>
      <c r="J194" s="902">
        <f>GLOBAL_DER_FEV_2023!J194</f>
        <v>133.06</v>
      </c>
      <c r="K194" s="903" t="s">
        <v>10</v>
      </c>
      <c r="L194" s="1137"/>
      <c r="M194" s="1150">
        <f t="shared" si="12"/>
        <v>0</v>
      </c>
      <c r="N194" s="893">
        <f t="shared" si="15"/>
        <v>0</v>
      </c>
      <c r="O194" s="905"/>
      <c r="Q194" s="317" t="str">
        <f t="shared" si="11"/>
        <v/>
      </c>
      <c r="R194" s="317" t="str">
        <f t="shared" si="13"/>
        <v/>
      </c>
      <c r="S194" s="317" t="str">
        <f t="shared" si="14"/>
        <v/>
      </c>
      <c r="T194" s="317" t="str">
        <f>GLOBAL_DER_FEV_2023!S194</f>
        <v/>
      </c>
      <c r="W194" s="582">
        <v>0</v>
      </c>
      <c r="X194" s="580"/>
      <c r="Y194" s="583">
        <f>IF(GLOBAL_DER_FEV_2023!W194=0,0,IF(GLOBAL_DER_FEV_2023!W194&gt;0,"c","b"))</f>
        <v>0</v>
      </c>
    </row>
    <row r="195" spans="1:25" x14ac:dyDescent="0.2">
      <c r="A195" s="317" t="s">
        <v>147</v>
      </c>
      <c r="B195" s="895" t="s">
        <v>147</v>
      </c>
      <c r="C195" s="896"/>
      <c r="D195" s="957" t="s">
        <v>196</v>
      </c>
      <c r="E195" s="898">
        <f>GLOBAL_DER_FEV_2023!E195</f>
        <v>0</v>
      </c>
      <c r="F195" s="899">
        <f>GLOBAL_DER_FEV_2023!F195</f>
        <v>1.35</v>
      </c>
      <c r="G195" s="909">
        <f>GLOBAL_DER_FEV_2023!G195</f>
        <v>3.6180000000000003</v>
      </c>
      <c r="H195" s="901">
        <f>GLOBAL_DER_FEV_2023!H195</f>
        <v>0</v>
      </c>
      <c r="I195" s="901">
        <f>GLOBAL_DER_FEV_2023!I195</f>
        <v>0</v>
      </c>
      <c r="J195" s="902">
        <f>GLOBAL_DER_FEV_2023!J195</f>
        <v>0</v>
      </c>
      <c r="K195" s="903" t="s">
        <v>507</v>
      </c>
      <c r="L195" s="959"/>
      <c r="M195" s="1041">
        <f t="shared" si="12"/>
        <v>0</v>
      </c>
      <c r="N195" s="893">
        <f t="shared" si="15"/>
        <v>0</v>
      </c>
      <c r="O195" s="905"/>
      <c r="P195" s="58" t="str">
        <f>IF(N194&gt;0,"xx",IF(N194&gt;0,"xy",""))</f>
        <v/>
      </c>
      <c r="Q195" s="317" t="str">
        <f t="shared" si="11"/>
        <v/>
      </c>
      <c r="R195" s="317" t="str">
        <f t="shared" si="13"/>
        <v/>
      </c>
      <c r="S195" s="317" t="str">
        <f t="shared" si="14"/>
        <v/>
      </c>
      <c r="T195" s="317" t="str">
        <f>GLOBAL_DER_FEV_2023!S195</f>
        <v/>
      </c>
      <c r="W195" s="582">
        <v>0</v>
      </c>
      <c r="X195" s="580"/>
      <c r="Y195" s="583">
        <f>IF(GLOBAL_DER_FEV_2023!W195=0,0,IF(GLOBAL_DER_FEV_2023!W195&gt;0,"c","b"))</f>
        <v>0</v>
      </c>
    </row>
    <row r="196" spans="1:25" x14ac:dyDescent="0.2">
      <c r="A196" s="317" t="s">
        <v>147</v>
      </c>
      <c r="B196" s="895" t="s">
        <v>147</v>
      </c>
      <c r="C196" s="896"/>
      <c r="D196" s="957" t="s">
        <v>197</v>
      </c>
      <c r="E196" s="898">
        <f>GLOBAL_DER_FEV_2023!E196</f>
        <v>0.2</v>
      </c>
      <c r="F196" s="899">
        <f>GLOBAL_DER_FEV_2023!F196</f>
        <v>0.68</v>
      </c>
      <c r="G196" s="909">
        <f>GLOBAL_DER_FEV_2023!G196</f>
        <v>1.9679200000000003</v>
      </c>
      <c r="H196" s="901">
        <f>GLOBAL_DER_FEV_2023!H196</f>
        <v>0</v>
      </c>
      <c r="I196" s="901">
        <f>GLOBAL_DER_FEV_2023!I196</f>
        <v>0</v>
      </c>
      <c r="J196" s="902">
        <f>GLOBAL_DER_FEV_2023!J196</f>
        <v>0</v>
      </c>
      <c r="K196" s="903" t="s">
        <v>507</v>
      </c>
      <c r="L196" s="959"/>
      <c r="M196" s="1041">
        <f t="shared" si="12"/>
        <v>0</v>
      </c>
      <c r="N196" s="893">
        <f t="shared" si="15"/>
        <v>0</v>
      </c>
      <c r="O196" s="905"/>
      <c r="P196" s="58" t="str">
        <f>IF(N194&gt;0,"xx",IF(N194&gt;0,"xy",""))</f>
        <v/>
      </c>
      <c r="Q196" s="317" t="str">
        <f t="shared" si="11"/>
        <v/>
      </c>
      <c r="R196" s="317" t="str">
        <f t="shared" si="13"/>
        <v/>
      </c>
      <c r="S196" s="317" t="str">
        <f t="shared" si="14"/>
        <v/>
      </c>
      <c r="T196" s="317" t="str">
        <f>GLOBAL_DER_FEV_2023!S196</f>
        <v/>
      </c>
      <c r="W196" s="582">
        <v>0</v>
      </c>
      <c r="X196" s="580"/>
      <c r="Y196" s="583">
        <f>IF(GLOBAL_DER_FEV_2023!W196=0,0,IF(GLOBAL_DER_FEV_2023!W196&gt;0,"c","b"))</f>
        <v>0</v>
      </c>
    </row>
    <row r="197" spans="1:25" x14ac:dyDescent="0.2">
      <c r="A197" s="317">
        <v>531300</v>
      </c>
      <c r="B197" s="895">
        <v>531300</v>
      </c>
      <c r="C197" s="896" t="s">
        <v>184</v>
      </c>
      <c r="D197" s="906" t="s">
        <v>198</v>
      </c>
      <c r="E197" s="898">
        <f>GLOBAL_DER_FEV_2023!E197</f>
        <v>0</v>
      </c>
      <c r="F197" s="899">
        <f>GLOBAL_DER_FEV_2023!F197</f>
        <v>0</v>
      </c>
      <c r="G197" s="953">
        <f>GLOBAL_DER_FEV_2023!G197</f>
        <v>5.5859200000000007</v>
      </c>
      <c r="H197" s="901">
        <f>GLOBAL_DER_FEV_2023!H197</f>
        <v>108.49</v>
      </c>
      <c r="I197" s="901">
        <f>GLOBAL_DER_FEV_2023!I197</f>
        <v>114.07592</v>
      </c>
      <c r="J197" s="902">
        <f>GLOBAL_DER_FEV_2023!J197</f>
        <v>136.97</v>
      </c>
      <c r="K197" s="903" t="s">
        <v>10</v>
      </c>
      <c r="L197" s="1137"/>
      <c r="M197" s="1150">
        <f t="shared" si="12"/>
        <v>0</v>
      </c>
      <c r="N197" s="893">
        <f t="shared" si="15"/>
        <v>0</v>
      </c>
      <c r="O197" s="905"/>
      <c r="Q197" s="317" t="str">
        <f t="shared" si="11"/>
        <v/>
      </c>
      <c r="R197" s="317" t="str">
        <f t="shared" si="13"/>
        <v/>
      </c>
      <c r="S197" s="317" t="str">
        <f t="shared" si="14"/>
        <v/>
      </c>
      <c r="T197" s="317" t="str">
        <f>GLOBAL_DER_FEV_2023!S197</f>
        <v/>
      </c>
      <c r="W197" s="582">
        <v>0</v>
      </c>
      <c r="X197" s="580"/>
      <c r="Y197" s="583">
        <f>IF(GLOBAL_DER_FEV_2023!W197=0,0,IF(GLOBAL_DER_FEV_2023!W197&gt;0,"c","b"))</f>
        <v>0</v>
      </c>
    </row>
    <row r="198" spans="1:25" x14ac:dyDescent="0.2">
      <c r="A198" s="317" t="s">
        <v>147</v>
      </c>
      <c r="B198" s="895" t="s">
        <v>147</v>
      </c>
      <c r="C198" s="896"/>
      <c r="D198" s="957" t="s">
        <v>196</v>
      </c>
      <c r="E198" s="898">
        <f>GLOBAL_DER_FEV_2023!E198</f>
        <v>0</v>
      </c>
      <c r="F198" s="899">
        <f>GLOBAL_DER_FEV_2023!F198</f>
        <v>1.35</v>
      </c>
      <c r="G198" s="909">
        <f>GLOBAL_DER_FEV_2023!G198</f>
        <v>3.6180000000000003</v>
      </c>
      <c r="H198" s="901">
        <f>GLOBAL_DER_FEV_2023!H198</f>
        <v>0</v>
      </c>
      <c r="I198" s="901">
        <f>GLOBAL_DER_FEV_2023!I198</f>
        <v>0</v>
      </c>
      <c r="J198" s="902">
        <f>GLOBAL_DER_FEV_2023!J198</f>
        <v>0</v>
      </c>
      <c r="K198" s="903" t="s">
        <v>507</v>
      </c>
      <c r="L198" s="959"/>
      <c r="M198" s="1041">
        <f t="shared" si="12"/>
        <v>0</v>
      </c>
      <c r="N198" s="893">
        <f t="shared" si="15"/>
        <v>0</v>
      </c>
      <c r="O198" s="905"/>
      <c r="P198" s="58" t="str">
        <f>IF(N197&gt;0,"xx",IF(N197&gt;0,"xy",""))</f>
        <v/>
      </c>
      <c r="Q198" s="317" t="str">
        <f t="shared" si="11"/>
        <v/>
      </c>
      <c r="R198" s="317" t="str">
        <f t="shared" si="13"/>
        <v/>
      </c>
      <c r="S198" s="317" t="str">
        <f t="shared" si="14"/>
        <v/>
      </c>
      <c r="T198" s="317" t="str">
        <f>GLOBAL_DER_FEV_2023!S198</f>
        <v/>
      </c>
      <c r="W198" s="582">
        <v>0</v>
      </c>
      <c r="X198" s="580"/>
      <c r="Y198" s="583">
        <f>IF(GLOBAL_DER_FEV_2023!W198=0,0,IF(GLOBAL_DER_FEV_2023!W198&gt;0,"c","b"))</f>
        <v>0</v>
      </c>
    </row>
    <row r="199" spans="1:25" x14ac:dyDescent="0.2">
      <c r="A199" s="317" t="s">
        <v>147</v>
      </c>
      <c r="B199" s="895" t="s">
        <v>147</v>
      </c>
      <c r="C199" s="896"/>
      <c r="D199" s="957" t="s">
        <v>197</v>
      </c>
      <c r="E199" s="898">
        <f>GLOBAL_DER_FEV_2023!E199</f>
        <v>0.2</v>
      </c>
      <c r="F199" s="899">
        <f>GLOBAL_DER_FEV_2023!F199</f>
        <v>0.68</v>
      </c>
      <c r="G199" s="909">
        <f>GLOBAL_DER_FEV_2023!G199</f>
        <v>1.9679200000000003</v>
      </c>
      <c r="H199" s="901">
        <f>GLOBAL_DER_FEV_2023!H199</f>
        <v>0</v>
      </c>
      <c r="I199" s="901">
        <f>GLOBAL_DER_FEV_2023!I199</f>
        <v>0</v>
      </c>
      <c r="J199" s="902">
        <f>GLOBAL_DER_FEV_2023!J199</f>
        <v>0</v>
      </c>
      <c r="K199" s="903" t="s">
        <v>507</v>
      </c>
      <c r="L199" s="959"/>
      <c r="M199" s="1041">
        <f t="shared" si="12"/>
        <v>0</v>
      </c>
      <c r="N199" s="893">
        <f t="shared" si="15"/>
        <v>0</v>
      </c>
      <c r="O199" s="905"/>
      <c r="P199" s="58" t="str">
        <f>IF(N197&gt;0,"xx",IF(N197&gt;0,"xy",""))</f>
        <v/>
      </c>
      <c r="Q199" s="317" t="str">
        <f t="shared" si="11"/>
        <v/>
      </c>
      <c r="R199" s="317" t="str">
        <f t="shared" si="13"/>
        <v/>
      </c>
      <c r="S199" s="317" t="str">
        <f t="shared" si="14"/>
        <v/>
      </c>
      <c r="T199" s="317" t="str">
        <f>GLOBAL_DER_FEV_2023!S199</f>
        <v/>
      </c>
      <c r="W199" s="582">
        <v>0</v>
      </c>
      <c r="X199" s="580"/>
      <c r="Y199" s="583">
        <f>IF(GLOBAL_DER_FEV_2023!W199=0,0,IF(GLOBAL_DER_FEV_2023!W199&gt;0,"c","b"))</f>
        <v>0</v>
      </c>
    </row>
    <row r="200" spans="1:25" x14ac:dyDescent="0.2">
      <c r="A200" s="317">
        <v>532000</v>
      </c>
      <c r="B200" s="895">
        <v>532000</v>
      </c>
      <c r="C200" s="896"/>
      <c r="D200" s="906" t="s">
        <v>199</v>
      </c>
      <c r="E200" s="907">
        <f>GLOBAL_DER_FEV_2023!E200</f>
        <v>0</v>
      </c>
      <c r="F200" s="908">
        <f>GLOBAL_DER_FEV_2023!F200</f>
        <v>2.2000000000000002</v>
      </c>
      <c r="G200" s="909">
        <f>GLOBAL_DER_FEV_2023!G200</f>
        <v>5.8960000000000008</v>
      </c>
      <c r="H200" s="901">
        <f>GLOBAL_DER_FEV_2023!H200</f>
        <v>121.99</v>
      </c>
      <c r="I200" s="901">
        <f>GLOBAL_DER_FEV_2023!I200</f>
        <v>127.886</v>
      </c>
      <c r="J200" s="902">
        <f>GLOBAL_DER_FEV_2023!J200</f>
        <v>153.55000000000001</v>
      </c>
      <c r="K200" s="903" t="s">
        <v>10</v>
      </c>
      <c r="L200" s="1139"/>
      <c r="M200" s="1151">
        <f t="shared" si="12"/>
        <v>0</v>
      </c>
      <c r="N200" s="893">
        <f t="shared" si="15"/>
        <v>0</v>
      </c>
      <c r="O200" s="905"/>
      <c r="Q200" s="317" t="str">
        <f t="shared" si="11"/>
        <v/>
      </c>
      <c r="R200" s="317" t="str">
        <f t="shared" si="13"/>
        <v/>
      </c>
      <c r="S200" s="317" t="str">
        <f t="shared" si="14"/>
        <v/>
      </c>
      <c r="T200" s="317" t="str">
        <f>GLOBAL_DER_FEV_2023!S200</f>
        <v/>
      </c>
      <c r="W200" s="582">
        <v>0</v>
      </c>
      <c r="X200" s="580"/>
      <c r="Y200" s="583">
        <f>IF(GLOBAL_DER_FEV_2023!W200=0,0,IF(GLOBAL_DER_FEV_2023!W200&gt;0,"c","b"))</f>
        <v>0</v>
      </c>
    </row>
    <row r="201" spans="1:25" ht="33.75" x14ac:dyDescent="0.2">
      <c r="A201" s="317">
        <v>96398</v>
      </c>
      <c r="B201" s="895">
        <v>96398</v>
      </c>
      <c r="C201" s="896" t="s">
        <v>596</v>
      </c>
      <c r="D201" s="906" t="s">
        <v>1914</v>
      </c>
      <c r="E201" s="907">
        <f>GLOBAL_DER_FEV_2023!E201</f>
        <v>0</v>
      </c>
      <c r="F201" s="908">
        <f>GLOBAL_DER_FEV_2023!F201</f>
        <v>2.4</v>
      </c>
      <c r="G201" s="909">
        <f>GLOBAL_DER_FEV_2023!G201</f>
        <v>6.4320000000000004</v>
      </c>
      <c r="H201" s="901">
        <f>GLOBAL_DER_FEV_2023!H201</f>
        <v>246.41</v>
      </c>
      <c r="I201" s="901">
        <f>GLOBAL_DER_FEV_2023!I201</f>
        <v>252.84199999999998</v>
      </c>
      <c r="J201" s="902">
        <f>GLOBAL_DER_FEV_2023!J201</f>
        <v>303.58999999999997</v>
      </c>
      <c r="K201" s="903" t="s">
        <v>10</v>
      </c>
      <c r="L201" s="1139"/>
      <c r="M201" s="1151">
        <f t="shared" si="12"/>
        <v>0</v>
      </c>
      <c r="N201" s="893">
        <f t="shared" si="15"/>
        <v>0</v>
      </c>
      <c r="O201" s="905"/>
      <c r="Q201" s="317" t="str">
        <f t="shared" si="11"/>
        <v/>
      </c>
      <c r="R201" s="317" t="str">
        <f t="shared" si="13"/>
        <v/>
      </c>
      <c r="S201" s="317" t="str">
        <f t="shared" si="14"/>
        <v/>
      </c>
      <c r="T201" s="317" t="str">
        <f>GLOBAL_DER_FEV_2023!S201</f>
        <v/>
      </c>
      <c r="W201" s="582">
        <v>0</v>
      </c>
      <c r="X201" s="580"/>
      <c r="Y201" s="583">
        <f>IF(GLOBAL_DER_FEV_2023!W201=0,0,IF(GLOBAL_DER_FEV_2023!W201&gt;0,"c","b"))</f>
        <v>0</v>
      </c>
    </row>
    <row r="202" spans="1:25" ht="15" customHeight="1" x14ac:dyDescent="0.2">
      <c r="A202" s="640" t="s">
        <v>165</v>
      </c>
      <c r="B202" s="913" t="s">
        <v>165</v>
      </c>
      <c r="C202" s="914"/>
      <c r="D202" s="915" t="s">
        <v>435</v>
      </c>
      <c r="E202" s="916">
        <f>GLOBAL_DER_FEV_2023!E202</f>
        <v>0</v>
      </c>
      <c r="F202" s="917">
        <f>GLOBAL_DER_FEV_2023!F202</f>
        <v>0</v>
      </c>
      <c r="G202" s="916">
        <f>GLOBAL_DER_FEV_2023!G202</f>
        <v>0</v>
      </c>
      <c r="H202" s="919">
        <f>GLOBAL_DER_FEV_2023!H202</f>
        <v>0</v>
      </c>
      <c r="I202" s="919">
        <f>GLOBAL_DER_FEV_2023!I202</f>
        <v>0</v>
      </c>
      <c r="J202" s="919">
        <f>GLOBAL_DER_FEV_2023!J202</f>
        <v>0</v>
      </c>
      <c r="K202" s="962" t="s">
        <v>507</v>
      </c>
      <c r="L202" s="921"/>
      <c r="M202" s="922"/>
      <c r="N202" s="923">
        <f t="shared" si="15"/>
        <v>0</v>
      </c>
      <c r="O202" s="905"/>
      <c r="P202" s="58" t="str">
        <f>IF(OR(SUM(N203:N227)&gt;0,SUM(N203:N227)&gt;0),"y","")</f>
        <v/>
      </c>
      <c r="Q202" s="317" t="str">
        <f t="shared" si="11"/>
        <v/>
      </c>
      <c r="R202" s="317" t="str">
        <f t="shared" si="13"/>
        <v/>
      </c>
      <c r="S202" s="317" t="str">
        <f t="shared" si="14"/>
        <v/>
      </c>
      <c r="T202" s="317" t="str">
        <f>GLOBAL_DER_FEV_2023!S202</f>
        <v/>
      </c>
      <c r="W202" s="582">
        <v>0</v>
      </c>
      <c r="X202" s="580"/>
      <c r="Y202" s="583">
        <f>IF(GLOBAL_DER_FEV_2023!W202=0,0,IF(GLOBAL_DER_FEV_2023!W202&gt;0,"c","b"))</f>
        <v>0</v>
      </c>
    </row>
    <row r="203" spans="1:25" ht="15" customHeight="1" x14ac:dyDescent="0.2">
      <c r="A203" s="640" t="s">
        <v>165</v>
      </c>
      <c r="B203" s="1036" t="str">
        <f>GLOBAL_DER_FEV_2023!B203</f>
        <v/>
      </c>
      <c r="C203" s="1072" t="str">
        <f>GLOBAL_DER_FEV_2023!C203</f>
        <v/>
      </c>
      <c r="D203" s="1141">
        <f>GLOBAL_DER_FEV_2023!D203</f>
        <v>0</v>
      </c>
      <c r="E203" s="907">
        <f>GLOBAL_DER_FEV_2023!E203</f>
        <v>0</v>
      </c>
      <c r="F203" s="908">
        <f>GLOBAL_DER_FEV_2023!F203</f>
        <v>0</v>
      </c>
      <c r="G203" s="912">
        <f>GLOBAL_DER_FEV_2023!G203</f>
        <v>0</v>
      </c>
      <c r="H203" s="901">
        <f>GLOBAL_DER_FEV_2023!H203</f>
        <v>0</v>
      </c>
      <c r="I203" s="901">
        <f>GLOBAL_DER_FEV_2023!I203</f>
        <v>0</v>
      </c>
      <c r="J203" s="902">
        <f>GLOBAL_DER_FEV_2023!J203</f>
        <v>0</v>
      </c>
      <c r="K203" s="903" t="str">
        <f>GLOBAL_DER_FEV_2023!K203</f>
        <v xml:space="preserve">     </v>
      </c>
      <c r="L203" s="1137"/>
      <c r="M203" s="1151">
        <f t="shared" si="12"/>
        <v>0</v>
      </c>
      <c r="N203" s="893">
        <f t="shared" si="15"/>
        <v>0</v>
      </c>
      <c r="O203" s="905"/>
      <c r="Q203" s="317" t="str">
        <f t="shared" si="11"/>
        <v/>
      </c>
      <c r="R203" s="317" t="str">
        <f t="shared" si="13"/>
        <v/>
      </c>
      <c r="S203" s="317" t="str">
        <f t="shared" si="14"/>
        <v/>
      </c>
      <c r="T203" s="317" t="str">
        <f>GLOBAL_DER_FEV_2023!S203</f>
        <v/>
      </c>
      <c r="W203" s="582">
        <v>0</v>
      </c>
      <c r="X203" s="580"/>
      <c r="Y203" s="583">
        <f>IF(GLOBAL_DER_FEV_2023!W203=0,0,IF(GLOBAL_DER_FEV_2023!W203&gt;0,"c","b"))</f>
        <v>0</v>
      </c>
    </row>
    <row r="204" spans="1:25" ht="15" customHeight="1" x14ac:dyDescent="0.2">
      <c r="A204" s="640" t="s">
        <v>165</v>
      </c>
      <c r="B204" s="1036" t="str">
        <f>GLOBAL_DER_FEV_2023!B204</f>
        <v/>
      </c>
      <c r="C204" s="1072" t="str">
        <f>GLOBAL_DER_FEV_2023!C204</f>
        <v/>
      </c>
      <c r="D204" s="1141">
        <f>GLOBAL_DER_FEV_2023!D204</f>
        <v>0</v>
      </c>
      <c r="E204" s="907">
        <f>GLOBAL_DER_FEV_2023!E204</f>
        <v>0</v>
      </c>
      <c r="F204" s="908">
        <f>GLOBAL_DER_FEV_2023!F204</f>
        <v>0</v>
      </c>
      <c r="G204" s="912">
        <f>GLOBAL_DER_FEV_2023!G204</f>
        <v>0</v>
      </c>
      <c r="H204" s="901">
        <f>GLOBAL_DER_FEV_2023!H204</f>
        <v>0</v>
      </c>
      <c r="I204" s="901">
        <f>GLOBAL_DER_FEV_2023!I204</f>
        <v>0</v>
      </c>
      <c r="J204" s="890">
        <f>GLOBAL_DER_FEV_2023!J204</f>
        <v>0</v>
      </c>
      <c r="K204" s="903" t="str">
        <f>GLOBAL_DER_FEV_2023!K204</f>
        <v xml:space="preserve">     </v>
      </c>
      <c r="L204" s="1137"/>
      <c r="M204" s="1151">
        <f t="shared" si="12"/>
        <v>0</v>
      </c>
      <c r="N204" s="932">
        <f t="shared" si="15"/>
        <v>0</v>
      </c>
      <c r="O204" s="905"/>
      <c r="Q204" s="317" t="str">
        <f t="shared" si="11"/>
        <v/>
      </c>
      <c r="R204" s="317" t="str">
        <f t="shared" si="13"/>
        <v/>
      </c>
      <c r="S204" s="317" t="str">
        <f t="shared" si="14"/>
        <v/>
      </c>
      <c r="T204" s="317" t="str">
        <f>GLOBAL_DER_FEV_2023!S204</f>
        <v/>
      </c>
      <c r="W204" s="582">
        <v>0</v>
      </c>
      <c r="X204" s="580"/>
      <c r="Y204" s="583">
        <f>IF(GLOBAL_DER_FEV_2023!W204=0,0,IF(GLOBAL_DER_FEV_2023!W204&gt;0,"c","b"))</f>
        <v>0</v>
      </c>
    </row>
    <row r="205" spans="1:25" ht="15" customHeight="1" x14ac:dyDescent="0.2">
      <c r="A205" s="640" t="s">
        <v>165</v>
      </c>
      <c r="B205" s="1036" t="str">
        <f>GLOBAL_DER_FEV_2023!B205</f>
        <v/>
      </c>
      <c r="C205" s="1072" t="str">
        <f>GLOBAL_DER_FEV_2023!C205</f>
        <v/>
      </c>
      <c r="D205" s="1141">
        <f>GLOBAL_DER_FEV_2023!D205</f>
        <v>0</v>
      </c>
      <c r="E205" s="907">
        <f>GLOBAL_DER_FEV_2023!E205</f>
        <v>0</v>
      </c>
      <c r="F205" s="908">
        <f>GLOBAL_DER_FEV_2023!F205</f>
        <v>0</v>
      </c>
      <c r="G205" s="912">
        <f>GLOBAL_DER_FEV_2023!G205</f>
        <v>0</v>
      </c>
      <c r="H205" s="901">
        <f>GLOBAL_DER_FEV_2023!H205</f>
        <v>0</v>
      </c>
      <c r="I205" s="901">
        <f>GLOBAL_DER_FEV_2023!I205</f>
        <v>0</v>
      </c>
      <c r="J205" s="890">
        <f>GLOBAL_DER_FEV_2023!J205</f>
        <v>0</v>
      </c>
      <c r="K205" s="903" t="str">
        <f>GLOBAL_DER_FEV_2023!K205</f>
        <v xml:space="preserve">     </v>
      </c>
      <c r="L205" s="1137"/>
      <c r="M205" s="1151">
        <f t="shared" si="12"/>
        <v>0</v>
      </c>
      <c r="N205" s="932">
        <f t="shared" si="15"/>
        <v>0</v>
      </c>
      <c r="O205" s="905"/>
      <c r="Q205" s="317" t="str">
        <f t="shared" si="11"/>
        <v/>
      </c>
      <c r="R205" s="317" t="str">
        <f t="shared" si="13"/>
        <v/>
      </c>
      <c r="S205" s="317" t="str">
        <f t="shared" si="14"/>
        <v/>
      </c>
      <c r="T205" s="317" t="str">
        <f>GLOBAL_DER_FEV_2023!S205</f>
        <v/>
      </c>
      <c r="W205" s="582">
        <v>0</v>
      </c>
      <c r="X205" s="580"/>
      <c r="Y205" s="583">
        <f>IF(GLOBAL_DER_FEV_2023!W205=0,0,IF(GLOBAL_DER_FEV_2023!W205&gt;0,"c","b"))</f>
        <v>0</v>
      </c>
    </row>
    <row r="206" spans="1:25" ht="15" customHeight="1" x14ac:dyDescent="0.2">
      <c r="A206" s="640" t="s">
        <v>165</v>
      </c>
      <c r="B206" s="1036" t="str">
        <f>GLOBAL_DER_FEV_2023!B206</f>
        <v/>
      </c>
      <c r="C206" s="1072" t="str">
        <f>GLOBAL_DER_FEV_2023!C206</f>
        <v/>
      </c>
      <c r="D206" s="1141">
        <f>GLOBAL_DER_FEV_2023!D206</f>
        <v>0</v>
      </c>
      <c r="E206" s="907">
        <f>GLOBAL_DER_FEV_2023!E206</f>
        <v>0</v>
      </c>
      <c r="F206" s="908">
        <f>GLOBAL_DER_FEV_2023!F206</f>
        <v>0</v>
      </c>
      <c r="G206" s="912">
        <f>GLOBAL_DER_FEV_2023!G206</f>
        <v>0</v>
      </c>
      <c r="H206" s="901">
        <f>GLOBAL_DER_FEV_2023!H206</f>
        <v>0</v>
      </c>
      <c r="I206" s="901">
        <f>GLOBAL_DER_FEV_2023!I206</f>
        <v>0</v>
      </c>
      <c r="J206" s="890">
        <f>GLOBAL_DER_FEV_2023!J206</f>
        <v>0</v>
      </c>
      <c r="K206" s="903" t="str">
        <f>GLOBAL_DER_FEV_2023!K206</f>
        <v xml:space="preserve">     </v>
      </c>
      <c r="L206" s="1137"/>
      <c r="M206" s="1151">
        <f t="shared" si="12"/>
        <v>0</v>
      </c>
      <c r="N206" s="932">
        <f t="shared" si="15"/>
        <v>0</v>
      </c>
      <c r="O206" s="905"/>
      <c r="Q206" s="317" t="str">
        <f t="shared" si="11"/>
        <v/>
      </c>
      <c r="R206" s="317" t="str">
        <f t="shared" si="13"/>
        <v/>
      </c>
      <c r="S206" s="317" t="str">
        <f t="shared" si="14"/>
        <v/>
      </c>
      <c r="T206" s="317" t="str">
        <f>GLOBAL_DER_FEV_2023!S206</f>
        <v/>
      </c>
      <c r="W206" s="582">
        <v>0</v>
      </c>
      <c r="X206" s="580"/>
      <c r="Y206" s="583">
        <f>IF(GLOBAL_DER_FEV_2023!W206=0,0,IF(GLOBAL_DER_FEV_2023!W206&gt;0,"c","b"))</f>
        <v>0</v>
      </c>
    </row>
    <row r="207" spans="1:25" ht="15" customHeight="1" x14ac:dyDescent="0.2">
      <c r="A207" s="640" t="s">
        <v>165</v>
      </c>
      <c r="B207" s="1036" t="str">
        <f>GLOBAL_DER_FEV_2023!B207</f>
        <v/>
      </c>
      <c r="C207" s="1072" t="str">
        <f>GLOBAL_DER_FEV_2023!C207</f>
        <v/>
      </c>
      <c r="D207" s="1141">
        <f>GLOBAL_DER_FEV_2023!D207</f>
        <v>0</v>
      </c>
      <c r="E207" s="907">
        <f>GLOBAL_DER_FEV_2023!E207</f>
        <v>0</v>
      </c>
      <c r="F207" s="908">
        <f>GLOBAL_DER_FEV_2023!F207</f>
        <v>0</v>
      </c>
      <c r="G207" s="912">
        <f>GLOBAL_DER_FEV_2023!G207</f>
        <v>0</v>
      </c>
      <c r="H207" s="901">
        <f>GLOBAL_DER_FEV_2023!H207</f>
        <v>0</v>
      </c>
      <c r="I207" s="901">
        <f>GLOBAL_DER_FEV_2023!I207</f>
        <v>0</v>
      </c>
      <c r="J207" s="890">
        <f>GLOBAL_DER_FEV_2023!J207</f>
        <v>0</v>
      </c>
      <c r="K207" s="903" t="str">
        <f>GLOBAL_DER_FEV_2023!K207</f>
        <v xml:space="preserve">     </v>
      </c>
      <c r="L207" s="1137"/>
      <c r="M207" s="1151">
        <f t="shared" si="12"/>
        <v>0</v>
      </c>
      <c r="N207" s="932">
        <f t="shared" si="15"/>
        <v>0</v>
      </c>
      <c r="O207" s="905"/>
      <c r="Q207" s="317" t="str">
        <f t="shared" si="11"/>
        <v/>
      </c>
      <c r="R207" s="317" t="str">
        <f t="shared" si="13"/>
        <v/>
      </c>
      <c r="S207" s="317" t="str">
        <f t="shared" si="14"/>
        <v/>
      </c>
      <c r="T207" s="317" t="str">
        <f>GLOBAL_DER_FEV_2023!S207</f>
        <v/>
      </c>
      <c r="W207" s="582">
        <v>0</v>
      </c>
      <c r="X207" s="580"/>
      <c r="Y207" s="583">
        <f>IF(GLOBAL_DER_FEV_2023!W207=0,0,IF(GLOBAL_DER_FEV_2023!W207&gt;0,"c","b"))</f>
        <v>0</v>
      </c>
    </row>
    <row r="208" spans="1:25" ht="15" customHeight="1" x14ac:dyDescent="0.2">
      <c r="A208" s="640" t="s">
        <v>165</v>
      </c>
      <c r="B208" s="1036" t="str">
        <f>GLOBAL_DER_FEV_2023!B208</f>
        <v/>
      </c>
      <c r="C208" s="1072" t="str">
        <f>GLOBAL_DER_FEV_2023!C208</f>
        <v/>
      </c>
      <c r="D208" s="1141">
        <f>GLOBAL_DER_FEV_2023!D208</f>
        <v>0</v>
      </c>
      <c r="E208" s="907">
        <f>GLOBAL_DER_FEV_2023!E208</f>
        <v>0</v>
      </c>
      <c r="F208" s="908">
        <f>GLOBAL_DER_FEV_2023!F208</f>
        <v>0</v>
      </c>
      <c r="G208" s="912">
        <f>GLOBAL_DER_FEV_2023!G208</f>
        <v>0</v>
      </c>
      <c r="H208" s="901">
        <f>GLOBAL_DER_FEV_2023!H208</f>
        <v>0</v>
      </c>
      <c r="I208" s="901">
        <f>GLOBAL_DER_FEV_2023!I208</f>
        <v>0</v>
      </c>
      <c r="J208" s="890">
        <f>GLOBAL_DER_FEV_2023!J208</f>
        <v>0</v>
      </c>
      <c r="K208" s="903" t="str">
        <f>GLOBAL_DER_FEV_2023!K208</f>
        <v xml:space="preserve">     </v>
      </c>
      <c r="L208" s="1137"/>
      <c r="M208" s="1151">
        <f t="shared" si="12"/>
        <v>0</v>
      </c>
      <c r="N208" s="932">
        <f t="shared" si="15"/>
        <v>0</v>
      </c>
      <c r="O208" s="905"/>
      <c r="Q208" s="317" t="str">
        <f t="shared" si="11"/>
        <v/>
      </c>
      <c r="R208" s="317" t="str">
        <f t="shared" si="13"/>
        <v/>
      </c>
      <c r="S208" s="317" t="str">
        <f t="shared" si="14"/>
        <v/>
      </c>
      <c r="T208" s="317" t="str">
        <f>GLOBAL_DER_FEV_2023!S208</f>
        <v/>
      </c>
      <c r="W208" s="582">
        <v>0</v>
      </c>
      <c r="X208" s="580"/>
      <c r="Y208" s="583">
        <f>IF(GLOBAL_DER_FEV_2023!W208=0,0,IF(GLOBAL_DER_FEV_2023!W208&gt;0,"c","b"))</f>
        <v>0</v>
      </c>
    </row>
    <row r="209" spans="1:25" ht="15" customHeight="1" x14ac:dyDescent="0.2">
      <c r="A209" s="640" t="s">
        <v>165</v>
      </c>
      <c r="B209" s="1036" t="str">
        <f>GLOBAL_DER_FEV_2023!B209</f>
        <v/>
      </c>
      <c r="C209" s="1072" t="str">
        <f>GLOBAL_DER_FEV_2023!C209</f>
        <v/>
      </c>
      <c r="D209" s="1141">
        <f>GLOBAL_DER_FEV_2023!D209</f>
        <v>0</v>
      </c>
      <c r="E209" s="907">
        <f>GLOBAL_DER_FEV_2023!E209</f>
        <v>0</v>
      </c>
      <c r="F209" s="908">
        <f>GLOBAL_DER_FEV_2023!F209</f>
        <v>0</v>
      </c>
      <c r="G209" s="912">
        <f>GLOBAL_DER_FEV_2023!G209</f>
        <v>0</v>
      </c>
      <c r="H209" s="901">
        <f>GLOBAL_DER_FEV_2023!H209</f>
        <v>0</v>
      </c>
      <c r="I209" s="901">
        <f>GLOBAL_DER_FEV_2023!I209</f>
        <v>0</v>
      </c>
      <c r="J209" s="890">
        <f>GLOBAL_DER_FEV_2023!J209</f>
        <v>0</v>
      </c>
      <c r="K209" s="903" t="str">
        <f>GLOBAL_DER_FEV_2023!K209</f>
        <v xml:space="preserve">     </v>
      </c>
      <c r="L209" s="1137"/>
      <c r="M209" s="1151">
        <f t="shared" si="12"/>
        <v>0</v>
      </c>
      <c r="N209" s="932">
        <f t="shared" si="15"/>
        <v>0</v>
      </c>
      <c r="O209" s="905"/>
      <c r="Q209" s="317" t="str">
        <f t="shared" si="11"/>
        <v/>
      </c>
      <c r="R209" s="317" t="str">
        <f t="shared" si="13"/>
        <v/>
      </c>
      <c r="S209" s="317" t="str">
        <f t="shared" si="14"/>
        <v/>
      </c>
      <c r="T209" s="317" t="str">
        <f>GLOBAL_DER_FEV_2023!S209</f>
        <v/>
      </c>
      <c r="W209" s="582">
        <v>0</v>
      </c>
      <c r="X209" s="580"/>
      <c r="Y209" s="583">
        <f>IF(GLOBAL_DER_FEV_2023!W209=0,0,IF(GLOBAL_DER_FEV_2023!W209&gt;0,"c","b"))</f>
        <v>0</v>
      </c>
    </row>
    <row r="210" spans="1:25" ht="15" customHeight="1" x14ac:dyDescent="0.2">
      <c r="A210" s="640" t="s">
        <v>165</v>
      </c>
      <c r="B210" s="1036" t="str">
        <f>GLOBAL_DER_FEV_2023!B210</f>
        <v/>
      </c>
      <c r="C210" s="1072" t="str">
        <f>GLOBAL_DER_FEV_2023!C210</f>
        <v/>
      </c>
      <c r="D210" s="1141">
        <f>GLOBAL_DER_FEV_2023!D210</f>
        <v>0</v>
      </c>
      <c r="E210" s="907">
        <f>GLOBAL_DER_FEV_2023!E210</f>
        <v>0</v>
      </c>
      <c r="F210" s="908">
        <f>GLOBAL_DER_FEV_2023!F210</f>
        <v>0</v>
      </c>
      <c r="G210" s="912">
        <f>GLOBAL_DER_FEV_2023!G210</f>
        <v>0</v>
      </c>
      <c r="H210" s="901">
        <f>GLOBAL_DER_FEV_2023!H210</f>
        <v>0</v>
      </c>
      <c r="I210" s="901">
        <f>GLOBAL_DER_FEV_2023!I210</f>
        <v>0</v>
      </c>
      <c r="J210" s="890">
        <f>GLOBAL_DER_FEV_2023!J210</f>
        <v>0</v>
      </c>
      <c r="K210" s="903" t="str">
        <f>GLOBAL_DER_FEV_2023!K210</f>
        <v xml:space="preserve">     </v>
      </c>
      <c r="L210" s="1137"/>
      <c r="M210" s="1151">
        <f t="shared" si="12"/>
        <v>0</v>
      </c>
      <c r="N210" s="932">
        <f t="shared" si="15"/>
        <v>0</v>
      </c>
      <c r="O210" s="905"/>
      <c r="Q210" s="317" t="str">
        <f t="shared" si="11"/>
        <v/>
      </c>
      <c r="R210" s="317" t="str">
        <f t="shared" si="13"/>
        <v/>
      </c>
      <c r="S210" s="317" t="str">
        <f t="shared" si="14"/>
        <v/>
      </c>
      <c r="T210" s="317" t="str">
        <f>GLOBAL_DER_FEV_2023!S210</f>
        <v/>
      </c>
      <c r="W210" s="582">
        <v>0</v>
      </c>
      <c r="X210" s="580"/>
      <c r="Y210" s="583">
        <f>IF(GLOBAL_DER_FEV_2023!W210=0,0,IF(GLOBAL_DER_FEV_2023!W210&gt;0,"c","b"))</f>
        <v>0</v>
      </c>
    </row>
    <row r="211" spans="1:25" ht="15" customHeight="1" x14ac:dyDescent="0.2">
      <c r="A211" s="640" t="s">
        <v>165</v>
      </c>
      <c r="B211" s="1036" t="str">
        <f>GLOBAL_DER_FEV_2023!B211</f>
        <v/>
      </c>
      <c r="C211" s="1072" t="str">
        <f>GLOBAL_DER_FEV_2023!C211</f>
        <v/>
      </c>
      <c r="D211" s="1141">
        <f>GLOBAL_DER_FEV_2023!D211</f>
        <v>0</v>
      </c>
      <c r="E211" s="907">
        <f>GLOBAL_DER_FEV_2023!E211</f>
        <v>0</v>
      </c>
      <c r="F211" s="908">
        <f>GLOBAL_DER_FEV_2023!F211</f>
        <v>0</v>
      </c>
      <c r="G211" s="912">
        <f>GLOBAL_DER_FEV_2023!G211</f>
        <v>0</v>
      </c>
      <c r="H211" s="901">
        <f>GLOBAL_DER_FEV_2023!H211</f>
        <v>0</v>
      </c>
      <c r="I211" s="901">
        <f>GLOBAL_DER_FEV_2023!I211</f>
        <v>0</v>
      </c>
      <c r="J211" s="890">
        <f>GLOBAL_DER_FEV_2023!J211</f>
        <v>0</v>
      </c>
      <c r="K211" s="903" t="str">
        <f>GLOBAL_DER_FEV_2023!K211</f>
        <v xml:space="preserve">     </v>
      </c>
      <c r="L211" s="1137"/>
      <c r="M211" s="1151">
        <f t="shared" si="12"/>
        <v>0</v>
      </c>
      <c r="N211" s="932">
        <f t="shared" si="15"/>
        <v>0</v>
      </c>
      <c r="O211" s="905"/>
      <c r="Q211" s="317" t="str">
        <f t="shared" ref="Q211:Q274" si="16">IF(P211="X","x",IF(P211="xx","x",IF(P211="xy","x",IF(P211="y","x",IF(OR(N211&gt;0,N211&gt;0),"x","")))))</f>
        <v/>
      </c>
      <c r="R211" s="317" t="str">
        <f t="shared" si="13"/>
        <v/>
      </c>
      <c r="S211" s="317" t="str">
        <f t="shared" si="14"/>
        <v/>
      </c>
      <c r="T211" s="317" t="str">
        <f>GLOBAL_DER_FEV_2023!S211</f>
        <v/>
      </c>
      <c r="W211" s="582">
        <v>0</v>
      </c>
      <c r="X211" s="580"/>
      <c r="Y211" s="583">
        <f>IF(GLOBAL_DER_FEV_2023!W211=0,0,IF(GLOBAL_DER_FEV_2023!W211&gt;0,"c","b"))</f>
        <v>0</v>
      </c>
    </row>
    <row r="212" spans="1:25" ht="15" customHeight="1" x14ac:dyDescent="0.2">
      <c r="A212" s="640" t="s">
        <v>165</v>
      </c>
      <c r="B212" s="1036" t="str">
        <f>GLOBAL_DER_FEV_2023!B212</f>
        <v/>
      </c>
      <c r="C212" s="1072" t="str">
        <f>GLOBAL_DER_FEV_2023!C212</f>
        <v/>
      </c>
      <c r="D212" s="1141">
        <f>GLOBAL_DER_FEV_2023!D212</f>
        <v>0</v>
      </c>
      <c r="E212" s="907">
        <f>GLOBAL_DER_FEV_2023!E212</f>
        <v>0</v>
      </c>
      <c r="F212" s="908">
        <f>GLOBAL_DER_FEV_2023!F212</f>
        <v>0</v>
      </c>
      <c r="G212" s="912">
        <f>GLOBAL_DER_FEV_2023!G212</f>
        <v>0</v>
      </c>
      <c r="H212" s="901">
        <f>GLOBAL_DER_FEV_2023!H212</f>
        <v>0</v>
      </c>
      <c r="I212" s="901">
        <f>GLOBAL_DER_FEV_2023!I212</f>
        <v>0</v>
      </c>
      <c r="J212" s="890">
        <f>GLOBAL_DER_FEV_2023!J212</f>
        <v>0</v>
      </c>
      <c r="K212" s="903" t="str">
        <f>GLOBAL_DER_FEV_2023!K212</f>
        <v xml:space="preserve">     </v>
      </c>
      <c r="L212" s="1137"/>
      <c r="M212" s="1151">
        <f t="shared" ref="M212:M227" si="17">IF(L212=0,0,ROUND(J212,2))</f>
        <v>0</v>
      </c>
      <c r="N212" s="932">
        <f t="shared" si="15"/>
        <v>0</v>
      </c>
      <c r="O212" s="905"/>
      <c r="Q212" s="317" t="str">
        <f t="shared" si="16"/>
        <v/>
      </c>
      <c r="R212" s="317" t="str">
        <f t="shared" si="13"/>
        <v/>
      </c>
      <c r="S212" s="317" t="str">
        <f t="shared" si="14"/>
        <v/>
      </c>
      <c r="T212" s="317" t="str">
        <f>GLOBAL_DER_FEV_2023!S212</f>
        <v/>
      </c>
      <c r="W212" s="582">
        <v>0</v>
      </c>
      <c r="X212" s="580"/>
      <c r="Y212" s="583">
        <f>IF(GLOBAL_DER_FEV_2023!W212=0,0,IF(GLOBAL_DER_FEV_2023!W212&gt;0,"c","b"))</f>
        <v>0</v>
      </c>
    </row>
    <row r="213" spans="1:25" ht="15" customHeight="1" x14ac:dyDescent="0.2">
      <c r="A213" s="640" t="s">
        <v>165</v>
      </c>
      <c r="B213" s="1036" t="str">
        <f>GLOBAL_DER_FEV_2023!B213</f>
        <v/>
      </c>
      <c r="C213" s="1072" t="str">
        <f>GLOBAL_DER_FEV_2023!C213</f>
        <v/>
      </c>
      <c r="D213" s="1141">
        <f>GLOBAL_DER_FEV_2023!D213</f>
        <v>0</v>
      </c>
      <c r="E213" s="907">
        <f>GLOBAL_DER_FEV_2023!E213</f>
        <v>0</v>
      </c>
      <c r="F213" s="908">
        <f>GLOBAL_DER_FEV_2023!F213</f>
        <v>0</v>
      </c>
      <c r="G213" s="912">
        <f>GLOBAL_DER_FEV_2023!G213</f>
        <v>0</v>
      </c>
      <c r="H213" s="901">
        <f>GLOBAL_DER_FEV_2023!H213</f>
        <v>0</v>
      </c>
      <c r="I213" s="901">
        <f>GLOBAL_DER_FEV_2023!I213</f>
        <v>0</v>
      </c>
      <c r="J213" s="890">
        <f>GLOBAL_DER_FEV_2023!J213</f>
        <v>0</v>
      </c>
      <c r="K213" s="903" t="str">
        <f>GLOBAL_DER_FEV_2023!K213</f>
        <v xml:space="preserve">     </v>
      </c>
      <c r="L213" s="1137"/>
      <c r="M213" s="1151">
        <f t="shared" si="17"/>
        <v>0</v>
      </c>
      <c r="N213" s="932">
        <f t="shared" si="15"/>
        <v>0</v>
      </c>
      <c r="O213" s="905"/>
      <c r="Q213" s="317" t="str">
        <f t="shared" si="16"/>
        <v/>
      </c>
      <c r="R213" s="317" t="str">
        <f t="shared" ref="R213:R276" si="18">IF(P213="X","x",IF(P213="y","x",IF(P213="xx","x",IF(N213&gt;0,"x",""))))</f>
        <v/>
      </c>
      <c r="S213" s="317" t="str">
        <f t="shared" ref="S213:S276" si="19">IF(P213="X","x",IF(N213&gt;0,"x",""))</f>
        <v/>
      </c>
      <c r="T213" s="317" t="str">
        <f>GLOBAL_DER_FEV_2023!S213</f>
        <v/>
      </c>
      <c r="W213" s="582">
        <v>0</v>
      </c>
      <c r="X213" s="580"/>
      <c r="Y213" s="583">
        <f>IF(GLOBAL_DER_FEV_2023!W213=0,0,IF(GLOBAL_DER_FEV_2023!W213&gt;0,"c","b"))</f>
        <v>0</v>
      </c>
    </row>
    <row r="214" spans="1:25" ht="15" customHeight="1" x14ac:dyDescent="0.2">
      <c r="A214" s="640" t="s">
        <v>165</v>
      </c>
      <c r="B214" s="1036" t="str">
        <f>GLOBAL_DER_FEV_2023!B214</f>
        <v/>
      </c>
      <c r="C214" s="1072" t="str">
        <f>GLOBAL_DER_FEV_2023!C214</f>
        <v/>
      </c>
      <c r="D214" s="1141">
        <f>GLOBAL_DER_FEV_2023!D214</f>
        <v>0</v>
      </c>
      <c r="E214" s="907">
        <f>GLOBAL_DER_FEV_2023!E214</f>
        <v>0</v>
      </c>
      <c r="F214" s="908">
        <f>GLOBAL_DER_FEV_2023!F214</f>
        <v>0</v>
      </c>
      <c r="G214" s="912">
        <f>GLOBAL_DER_FEV_2023!G214</f>
        <v>0</v>
      </c>
      <c r="H214" s="901">
        <f>GLOBAL_DER_FEV_2023!H214</f>
        <v>0</v>
      </c>
      <c r="I214" s="901">
        <f>GLOBAL_DER_FEV_2023!I214</f>
        <v>0</v>
      </c>
      <c r="J214" s="890">
        <f>GLOBAL_DER_FEV_2023!J214</f>
        <v>0</v>
      </c>
      <c r="K214" s="903" t="str">
        <f>GLOBAL_DER_FEV_2023!K214</f>
        <v xml:space="preserve">     </v>
      </c>
      <c r="L214" s="1137"/>
      <c r="M214" s="1151">
        <f t="shared" si="17"/>
        <v>0</v>
      </c>
      <c r="N214" s="932">
        <f t="shared" si="15"/>
        <v>0</v>
      </c>
      <c r="O214" s="905"/>
      <c r="Q214" s="317" t="str">
        <f t="shared" si="16"/>
        <v/>
      </c>
      <c r="R214" s="317" t="str">
        <f t="shared" si="18"/>
        <v/>
      </c>
      <c r="S214" s="317" t="str">
        <f t="shared" si="19"/>
        <v/>
      </c>
      <c r="T214" s="317" t="str">
        <f>GLOBAL_DER_FEV_2023!S214</f>
        <v/>
      </c>
      <c r="W214" s="582">
        <v>0</v>
      </c>
      <c r="X214" s="580"/>
      <c r="Y214" s="583">
        <f>IF(GLOBAL_DER_FEV_2023!W214=0,0,IF(GLOBAL_DER_FEV_2023!W214&gt;0,"c","b"))</f>
        <v>0</v>
      </c>
    </row>
    <row r="215" spans="1:25" ht="15" customHeight="1" x14ac:dyDescent="0.2">
      <c r="A215" s="640" t="s">
        <v>165</v>
      </c>
      <c r="B215" s="1036" t="str">
        <f>GLOBAL_DER_FEV_2023!B215</f>
        <v/>
      </c>
      <c r="C215" s="1072" t="str">
        <f>GLOBAL_DER_FEV_2023!C215</f>
        <v/>
      </c>
      <c r="D215" s="1141">
        <f>GLOBAL_DER_FEV_2023!D215</f>
        <v>0</v>
      </c>
      <c r="E215" s="907">
        <f>GLOBAL_DER_FEV_2023!E215</f>
        <v>0</v>
      </c>
      <c r="F215" s="908">
        <f>GLOBAL_DER_FEV_2023!F215</f>
        <v>0</v>
      </c>
      <c r="G215" s="912">
        <f>GLOBAL_DER_FEV_2023!G215</f>
        <v>0</v>
      </c>
      <c r="H215" s="901">
        <f>GLOBAL_DER_FEV_2023!H215</f>
        <v>0</v>
      </c>
      <c r="I215" s="901">
        <f>GLOBAL_DER_FEV_2023!I215</f>
        <v>0</v>
      </c>
      <c r="J215" s="890">
        <f>GLOBAL_DER_FEV_2023!J215</f>
        <v>0</v>
      </c>
      <c r="K215" s="903" t="str">
        <f>GLOBAL_DER_FEV_2023!K215</f>
        <v xml:space="preserve">     </v>
      </c>
      <c r="L215" s="1137"/>
      <c r="M215" s="1151">
        <f t="shared" si="17"/>
        <v>0</v>
      </c>
      <c r="N215" s="932">
        <f t="shared" si="15"/>
        <v>0</v>
      </c>
      <c r="O215" s="905"/>
      <c r="Q215" s="317" t="str">
        <f t="shared" si="16"/>
        <v/>
      </c>
      <c r="R215" s="317" t="str">
        <f t="shared" si="18"/>
        <v/>
      </c>
      <c r="S215" s="317" t="str">
        <f t="shared" si="19"/>
        <v/>
      </c>
      <c r="T215" s="317" t="str">
        <f>GLOBAL_DER_FEV_2023!S215</f>
        <v/>
      </c>
      <c r="W215" s="582">
        <v>0</v>
      </c>
      <c r="X215" s="580"/>
      <c r="Y215" s="583">
        <f>IF(GLOBAL_DER_FEV_2023!W215=0,0,IF(GLOBAL_DER_FEV_2023!W215&gt;0,"c","b"))</f>
        <v>0</v>
      </c>
    </row>
    <row r="216" spans="1:25" ht="15" customHeight="1" x14ac:dyDescent="0.2">
      <c r="A216" s="640" t="s">
        <v>165</v>
      </c>
      <c r="B216" s="1036" t="str">
        <f>GLOBAL_DER_FEV_2023!B216</f>
        <v/>
      </c>
      <c r="C216" s="1072" t="str">
        <f>GLOBAL_DER_FEV_2023!C216</f>
        <v/>
      </c>
      <c r="D216" s="1141">
        <f>GLOBAL_DER_FEV_2023!D216</f>
        <v>0</v>
      </c>
      <c r="E216" s="907">
        <f>GLOBAL_DER_FEV_2023!E216</f>
        <v>0</v>
      </c>
      <c r="F216" s="908">
        <f>GLOBAL_DER_FEV_2023!F216</f>
        <v>0</v>
      </c>
      <c r="G216" s="912">
        <f>GLOBAL_DER_FEV_2023!G216</f>
        <v>0</v>
      </c>
      <c r="H216" s="901">
        <f>GLOBAL_DER_FEV_2023!H216</f>
        <v>0</v>
      </c>
      <c r="I216" s="901">
        <f>GLOBAL_DER_FEV_2023!I216</f>
        <v>0</v>
      </c>
      <c r="J216" s="890">
        <f>GLOBAL_DER_FEV_2023!J216</f>
        <v>0</v>
      </c>
      <c r="K216" s="903" t="str">
        <f>GLOBAL_DER_FEV_2023!K216</f>
        <v xml:space="preserve">     </v>
      </c>
      <c r="L216" s="1137"/>
      <c r="M216" s="1151">
        <f t="shared" si="17"/>
        <v>0</v>
      </c>
      <c r="N216" s="932">
        <f t="shared" si="15"/>
        <v>0</v>
      </c>
      <c r="O216" s="905"/>
      <c r="Q216" s="317" t="str">
        <f t="shared" si="16"/>
        <v/>
      </c>
      <c r="R216" s="317" t="str">
        <f t="shared" si="18"/>
        <v/>
      </c>
      <c r="S216" s="317" t="str">
        <f t="shared" si="19"/>
        <v/>
      </c>
      <c r="T216" s="317" t="str">
        <f>GLOBAL_DER_FEV_2023!S216</f>
        <v/>
      </c>
      <c r="W216" s="582">
        <v>0</v>
      </c>
      <c r="X216" s="580"/>
      <c r="Y216" s="583">
        <f>IF(GLOBAL_DER_FEV_2023!W216=0,0,IF(GLOBAL_DER_FEV_2023!W216&gt;0,"c","b"))</f>
        <v>0</v>
      </c>
    </row>
    <row r="217" spans="1:25" ht="15" customHeight="1" x14ac:dyDescent="0.2">
      <c r="A217" s="640" t="s">
        <v>165</v>
      </c>
      <c r="B217" s="1036" t="str">
        <f>GLOBAL_DER_FEV_2023!B217</f>
        <v/>
      </c>
      <c r="C217" s="1072" t="str">
        <f>GLOBAL_DER_FEV_2023!C217</f>
        <v/>
      </c>
      <c r="D217" s="1141">
        <f>GLOBAL_DER_FEV_2023!D217</f>
        <v>0</v>
      </c>
      <c r="E217" s="907">
        <f>GLOBAL_DER_FEV_2023!E217</f>
        <v>0</v>
      </c>
      <c r="F217" s="908">
        <f>GLOBAL_DER_FEV_2023!F217</f>
        <v>0</v>
      </c>
      <c r="G217" s="912">
        <f>GLOBAL_DER_FEV_2023!G217</f>
        <v>0</v>
      </c>
      <c r="H217" s="901">
        <f>GLOBAL_DER_FEV_2023!H217</f>
        <v>0</v>
      </c>
      <c r="I217" s="901">
        <f>GLOBAL_DER_FEV_2023!I217</f>
        <v>0</v>
      </c>
      <c r="J217" s="890">
        <f>GLOBAL_DER_FEV_2023!J217</f>
        <v>0</v>
      </c>
      <c r="K217" s="903" t="str">
        <f>GLOBAL_DER_FEV_2023!K217</f>
        <v xml:space="preserve">     </v>
      </c>
      <c r="L217" s="1137"/>
      <c r="M217" s="1151">
        <f t="shared" si="17"/>
        <v>0</v>
      </c>
      <c r="N217" s="932">
        <f t="shared" ref="N217:N280" si="20">IF(ISBLANK(L217),0,IF(W217=0,ROUND(L217*M217,2),IF(W217="b",ROUNDDOWN(L217*M217,2),ROUNDUP(L217*M217,2))))</f>
        <v>0</v>
      </c>
      <c r="O217" s="905"/>
      <c r="Q217" s="317" t="str">
        <f t="shared" si="16"/>
        <v/>
      </c>
      <c r="R217" s="317" t="str">
        <f t="shared" si="18"/>
        <v/>
      </c>
      <c r="S217" s="317" t="str">
        <f t="shared" si="19"/>
        <v/>
      </c>
      <c r="T217" s="317" t="str">
        <f>GLOBAL_DER_FEV_2023!S217</f>
        <v/>
      </c>
      <c r="W217" s="582">
        <v>0</v>
      </c>
      <c r="X217" s="580"/>
      <c r="Y217" s="583">
        <f>IF(GLOBAL_DER_FEV_2023!W217=0,0,IF(GLOBAL_DER_FEV_2023!W217&gt;0,"c","b"))</f>
        <v>0</v>
      </c>
    </row>
    <row r="218" spans="1:25" ht="15" customHeight="1" x14ac:dyDescent="0.2">
      <c r="A218" s="640" t="s">
        <v>165</v>
      </c>
      <c r="B218" s="1036" t="str">
        <f>GLOBAL_DER_FEV_2023!B218</f>
        <v/>
      </c>
      <c r="C218" s="1072" t="str">
        <f>GLOBAL_DER_FEV_2023!C218</f>
        <v/>
      </c>
      <c r="D218" s="1141">
        <f>GLOBAL_DER_FEV_2023!D218</f>
        <v>0</v>
      </c>
      <c r="E218" s="907">
        <f>GLOBAL_DER_FEV_2023!E218</f>
        <v>0</v>
      </c>
      <c r="F218" s="908">
        <f>GLOBAL_DER_FEV_2023!F218</f>
        <v>0</v>
      </c>
      <c r="G218" s="912">
        <f>GLOBAL_DER_FEV_2023!G218</f>
        <v>0</v>
      </c>
      <c r="H218" s="901">
        <f>GLOBAL_DER_FEV_2023!H218</f>
        <v>0</v>
      </c>
      <c r="I218" s="901">
        <f>GLOBAL_DER_FEV_2023!I218</f>
        <v>0</v>
      </c>
      <c r="J218" s="890">
        <f>GLOBAL_DER_FEV_2023!J218</f>
        <v>0</v>
      </c>
      <c r="K218" s="903" t="str">
        <f>GLOBAL_DER_FEV_2023!K218</f>
        <v xml:space="preserve">     </v>
      </c>
      <c r="L218" s="1137"/>
      <c r="M218" s="1151">
        <f t="shared" si="17"/>
        <v>0</v>
      </c>
      <c r="N218" s="932">
        <f t="shared" si="20"/>
        <v>0</v>
      </c>
      <c r="O218" s="905"/>
      <c r="Q218" s="317" t="str">
        <f t="shared" si="16"/>
        <v/>
      </c>
      <c r="R218" s="317" t="str">
        <f t="shared" si="18"/>
        <v/>
      </c>
      <c r="S218" s="317" t="str">
        <f t="shared" si="19"/>
        <v/>
      </c>
      <c r="T218" s="317" t="str">
        <f>GLOBAL_DER_FEV_2023!S218</f>
        <v/>
      </c>
      <c r="W218" s="582">
        <v>0</v>
      </c>
      <c r="X218" s="580"/>
      <c r="Y218" s="583">
        <f>IF(GLOBAL_DER_FEV_2023!W218=0,0,IF(GLOBAL_DER_FEV_2023!W218&gt;0,"c","b"))</f>
        <v>0</v>
      </c>
    </row>
    <row r="219" spans="1:25" ht="15" customHeight="1" x14ac:dyDescent="0.2">
      <c r="A219" s="640" t="s">
        <v>165</v>
      </c>
      <c r="B219" s="1036" t="str">
        <f>GLOBAL_DER_FEV_2023!B219</f>
        <v/>
      </c>
      <c r="C219" s="1072" t="str">
        <f>GLOBAL_DER_FEV_2023!C219</f>
        <v/>
      </c>
      <c r="D219" s="1141">
        <f>GLOBAL_DER_FEV_2023!D219</f>
        <v>0</v>
      </c>
      <c r="E219" s="907">
        <f>GLOBAL_DER_FEV_2023!E219</f>
        <v>0</v>
      </c>
      <c r="F219" s="908">
        <f>GLOBAL_DER_FEV_2023!F219</f>
        <v>0</v>
      </c>
      <c r="G219" s="912">
        <f>GLOBAL_DER_FEV_2023!G219</f>
        <v>0</v>
      </c>
      <c r="H219" s="901">
        <f>GLOBAL_DER_FEV_2023!H219</f>
        <v>0</v>
      </c>
      <c r="I219" s="901">
        <f>GLOBAL_DER_FEV_2023!I219</f>
        <v>0</v>
      </c>
      <c r="J219" s="890">
        <f>GLOBAL_DER_FEV_2023!J219</f>
        <v>0</v>
      </c>
      <c r="K219" s="903" t="str">
        <f>GLOBAL_DER_FEV_2023!K219</f>
        <v xml:space="preserve">     </v>
      </c>
      <c r="L219" s="1137"/>
      <c r="M219" s="1151">
        <f t="shared" si="17"/>
        <v>0</v>
      </c>
      <c r="N219" s="932">
        <f t="shared" si="20"/>
        <v>0</v>
      </c>
      <c r="O219" s="905"/>
      <c r="Q219" s="317" t="str">
        <f t="shared" si="16"/>
        <v/>
      </c>
      <c r="R219" s="317" t="str">
        <f t="shared" si="18"/>
        <v/>
      </c>
      <c r="S219" s="317" t="str">
        <f t="shared" si="19"/>
        <v/>
      </c>
      <c r="T219" s="317" t="str">
        <f>GLOBAL_DER_FEV_2023!S219</f>
        <v/>
      </c>
      <c r="W219" s="582">
        <v>0</v>
      </c>
      <c r="X219" s="580"/>
      <c r="Y219" s="583">
        <f>IF(GLOBAL_DER_FEV_2023!W219=0,0,IF(GLOBAL_DER_FEV_2023!W219&gt;0,"c","b"))</f>
        <v>0</v>
      </c>
    </row>
    <row r="220" spans="1:25" ht="15" customHeight="1" x14ac:dyDescent="0.2">
      <c r="A220" s="640" t="s">
        <v>165</v>
      </c>
      <c r="B220" s="1036" t="str">
        <f>GLOBAL_DER_FEV_2023!B220</f>
        <v/>
      </c>
      <c r="C220" s="1072" t="str">
        <f>GLOBAL_DER_FEV_2023!C220</f>
        <v/>
      </c>
      <c r="D220" s="1141">
        <f>GLOBAL_DER_FEV_2023!D220</f>
        <v>0</v>
      </c>
      <c r="E220" s="907">
        <f>GLOBAL_DER_FEV_2023!E220</f>
        <v>0</v>
      </c>
      <c r="F220" s="908">
        <f>GLOBAL_DER_FEV_2023!F220</f>
        <v>0</v>
      </c>
      <c r="G220" s="912">
        <f>GLOBAL_DER_FEV_2023!G220</f>
        <v>0</v>
      </c>
      <c r="H220" s="901">
        <f>GLOBAL_DER_FEV_2023!H220</f>
        <v>0</v>
      </c>
      <c r="I220" s="901">
        <f>GLOBAL_DER_FEV_2023!I220</f>
        <v>0</v>
      </c>
      <c r="J220" s="890">
        <f>GLOBAL_DER_FEV_2023!J220</f>
        <v>0</v>
      </c>
      <c r="K220" s="903" t="str">
        <f>GLOBAL_DER_FEV_2023!K220</f>
        <v xml:space="preserve">     </v>
      </c>
      <c r="L220" s="1137"/>
      <c r="M220" s="1151">
        <f t="shared" si="17"/>
        <v>0</v>
      </c>
      <c r="N220" s="932">
        <f t="shared" si="20"/>
        <v>0</v>
      </c>
      <c r="O220" s="905"/>
      <c r="Q220" s="317" t="str">
        <f t="shared" si="16"/>
        <v/>
      </c>
      <c r="R220" s="317" t="str">
        <f t="shared" si="18"/>
        <v/>
      </c>
      <c r="S220" s="317" t="str">
        <f t="shared" si="19"/>
        <v/>
      </c>
      <c r="T220" s="317" t="str">
        <f>GLOBAL_DER_FEV_2023!S220</f>
        <v/>
      </c>
      <c r="W220" s="582">
        <v>0</v>
      </c>
      <c r="X220" s="580"/>
      <c r="Y220" s="583">
        <f>IF(GLOBAL_DER_FEV_2023!W220=0,0,IF(GLOBAL_DER_FEV_2023!W220&gt;0,"c","b"))</f>
        <v>0</v>
      </c>
    </row>
    <row r="221" spans="1:25" ht="15" customHeight="1" x14ac:dyDescent="0.2">
      <c r="A221" s="640" t="s">
        <v>165</v>
      </c>
      <c r="B221" s="1036" t="str">
        <f>GLOBAL_DER_FEV_2023!B221</f>
        <v/>
      </c>
      <c r="C221" s="1072" t="str">
        <f>GLOBAL_DER_FEV_2023!C221</f>
        <v/>
      </c>
      <c r="D221" s="1141">
        <f>GLOBAL_DER_FEV_2023!D221</f>
        <v>0</v>
      </c>
      <c r="E221" s="907">
        <f>GLOBAL_DER_FEV_2023!E221</f>
        <v>0</v>
      </c>
      <c r="F221" s="908">
        <f>GLOBAL_DER_FEV_2023!F221</f>
        <v>0</v>
      </c>
      <c r="G221" s="912">
        <f>GLOBAL_DER_FEV_2023!G221</f>
        <v>0</v>
      </c>
      <c r="H221" s="901">
        <f>GLOBAL_DER_FEV_2023!H221</f>
        <v>0</v>
      </c>
      <c r="I221" s="901">
        <f>GLOBAL_DER_FEV_2023!I221</f>
        <v>0</v>
      </c>
      <c r="J221" s="890">
        <f>GLOBAL_DER_FEV_2023!J221</f>
        <v>0</v>
      </c>
      <c r="K221" s="903" t="str">
        <f>GLOBAL_DER_FEV_2023!K221</f>
        <v xml:space="preserve">     </v>
      </c>
      <c r="L221" s="1137"/>
      <c r="M221" s="1151">
        <f t="shared" si="17"/>
        <v>0</v>
      </c>
      <c r="N221" s="932">
        <f t="shared" si="20"/>
        <v>0</v>
      </c>
      <c r="O221" s="905"/>
      <c r="Q221" s="317" t="str">
        <f t="shared" si="16"/>
        <v/>
      </c>
      <c r="R221" s="317" t="str">
        <f t="shared" si="18"/>
        <v/>
      </c>
      <c r="S221" s="317" t="str">
        <f t="shared" si="19"/>
        <v/>
      </c>
      <c r="T221" s="317" t="str">
        <f>GLOBAL_DER_FEV_2023!S221</f>
        <v/>
      </c>
      <c r="W221" s="582">
        <v>0</v>
      </c>
      <c r="X221" s="580"/>
      <c r="Y221" s="583">
        <f>IF(GLOBAL_DER_FEV_2023!W221=0,0,IF(GLOBAL_DER_FEV_2023!W221&gt;0,"c","b"))</f>
        <v>0</v>
      </c>
    </row>
    <row r="222" spans="1:25" ht="15" customHeight="1" x14ac:dyDescent="0.2">
      <c r="A222" s="640" t="s">
        <v>165</v>
      </c>
      <c r="B222" s="1036" t="str">
        <f>GLOBAL_DER_FEV_2023!B222</f>
        <v/>
      </c>
      <c r="C222" s="1072" t="str">
        <f>GLOBAL_DER_FEV_2023!C222</f>
        <v/>
      </c>
      <c r="D222" s="1141">
        <f>GLOBAL_DER_FEV_2023!D222</f>
        <v>0</v>
      </c>
      <c r="E222" s="907">
        <f>GLOBAL_DER_FEV_2023!E222</f>
        <v>0</v>
      </c>
      <c r="F222" s="908">
        <f>GLOBAL_DER_FEV_2023!F222</f>
        <v>0</v>
      </c>
      <c r="G222" s="912">
        <f>GLOBAL_DER_FEV_2023!G222</f>
        <v>0</v>
      </c>
      <c r="H222" s="901">
        <f>GLOBAL_DER_FEV_2023!H222</f>
        <v>0</v>
      </c>
      <c r="I222" s="901">
        <f>GLOBAL_DER_FEV_2023!I222</f>
        <v>0</v>
      </c>
      <c r="J222" s="890">
        <f>GLOBAL_DER_FEV_2023!J222</f>
        <v>0</v>
      </c>
      <c r="K222" s="903" t="str">
        <f>GLOBAL_DER_FEV_2023!K222</f>
        <v xml:space="preserve">     </v>
      </c>
      <c r="L222" s="1137"/>
      <c r="M222" s="1151">
        <f t="shared" si="17"/>
        <v>0</v>
      </c>
      <c r="N222" s="932">
        <f t="shared" si="20"/>
        <v>0</v>
      </c>
      <c r="O222" s="905"/>
      <c r="Q222" s="317" t="str">
        <f t="shared" si="16"/>
        <v/>
      </c>
      <c r="R222" s="317" t="str">
        <f t="shared" si="18"/>
        <v/>
      </c>
      <c r="S222" s="317" t="str">
        <f t="shared" si="19"/>
        <v/>
      </c>
      <c r="T222" s="317" t="str">
        <f>GLOBAL_DER_FEV_2023!S222</f>
        <v/>
      </c>
      <c r="W222" s="582">
        <v>0</v>
      </c>
      <c r="X222" s="580"/>
      <c r="Y222" s="583">
        <f>IF(GLOBAL_DER_FEV_2023!W222=0,0,IF(GLOBAL_DER_FEV_2023!W222&gt;0,"c","b"))</f>
        <v>0</v>
      </c>
    </row>
    <row r="223" spans="1:25" ht="15" customHeight="1" x14ac:dyDescent="0.2">
      <c r="A223" s="640" t="s">
        <v>165</v>
      </c>
      <c r="B223" s="1036" t="str">
        <f>GLOBAL_DER_FEV_2023!B223</f>
        <v/>
      </c>
      <c r="C223" s="1072" t="str">
        <f>GLOBAL_DER_FEV_2023!C223</f>
        <v/>
      </c>
      <c r="D223" s="1141">
        <f>GLOBAL_DER_FEV_2023!D223</f>
        <v>0</v>
      </c>
      <c r="E223" s="907">
        <f>GLOBAL_DER_FEV_2023!E223</f>
        <v>0</v>
      </c>
      <c r="F223" s="908">
        <f>GLOBAL_DER_FEV_2023!F223</f>
        <v>0</v>
      </c>
      <c r="G223" s="912">
        <f>GLOBAL_DER_FEV_2023!G223</f>
        <v>0</v>
      </c>
      <c r="H223" s="901">
        <f>GLOBAL_DER_FEV_2023!H223</f>
        <v>0</v>
      </c>
      <c r="I223" s="901">
        <f>GLOBAL_DER_FEV_2023!I223</f>
        <v>0</v>
      </c>
      <c r="J223" s="890">
        <f>GLOBAL_DER_FEV_2023!J223</f>
        <v>0</v>
      </c>
      <c r="K223" s="903" t="str">
        <f>GLOBAL_DER_FEV_2023!K223</f>
        <v xml:space="preserve">     </v>
      </c>
      <c r="L223" s="1137"/>
      <c r="M223" s="1151">
        <f t="shared" si="17"/>
        <v>0</v>
      </c>
      <c r="N223" s="932">
        <f t="shared" si="20"/>
        <v>0</v>
      </c>
      <c r="O223" s="905"/>
      <c r="Q223" s="317" t="str">
        <f t="shared" si="16"/>
        <v/>
      </c>
      <c r="R223" s="317" t="str">
        <f t="shared" si="18"/>
        <v/>
      </c>
      <c r="S223" s="317" t="str">
        <f t="shared" si="19"/>
        <v/>
      </c>
      <c r="T223" s="317" t="str">
        <f>GLOBAL_DER_FEV_2023!S223</f>
        <v/>
      </c>
      <c r="W223" s="582">
        <v>0</v>
      </c>
      <c r="X223" s="580"/>
      <c r="Y223" s="583">
        <f>IF(GLOBAL_DER_FEV_2023!W223=0,0,IF(GLOBAL_DER_FEV_2023!W223&gt;0,"c","b"))</f>
        <v>0</v>
      </c>
    </row>
    <row r="224" spans="1:25" ht="15" customHeight="1" x14ac:dyDescent="0.2">
      <c r="A224" s="640" t="s">
        <v>165</v>
      </c>
      <c r="B224" s="1036" t="str">
        <f>GLOBAL_DER_FEV_2023!B224</f>
        <v/>
      </c>
      <c r="C224" s="1072" t="str">
        <f>GLOBAL_DER_FEV_2023!C224</f>
        <v/>
      </c>
      <c r="D224" s="1141">
        <f>GLOBAL_DER_FEV_2023!D224</f>
        <v>0</v>
      </c>
      <c r="E224" s="907">
        <f>GLOBAL_DER_FEV_2023!E224</f>
        <v>0</v>
      </c>
      <c r="F224" s="908">
        <f>GLOBAL_DER_FEV_2023!F224</f>
        <v>0</v>
      </c>
      <c r="G224" s="912">
        <f>GLOBAL_DER_FEV_2023!G224</f>
        <v>0</v>
      </c>
      <c r="H224" s="901">
        <f>GLOBAL_DER_FEV_2023!H224</f>
        <v>0</v>
      </c>
      <c r="I224" s="901">
        <f>GLOBAL_DER_FEV_2023!I224</f>
        <v>0</v>
      </c>
      <c r="J224" s="890">
        <f>GLOBAL_DER_FEV_2023!J224</f>
        <v>0</v>
      </c>
      <c r="K224" s="903" t="str">
        <f>GLOBAL_DER_FEV_2023!K224</f>
        <v xml:space="preserve">     </v>
      </c>
      <c r="L224" s="1137"/>
      <c r="M224" s="1151">
        <f t="shared" si="17"/>
        <v>0</v>
      </c>
      <c r="N224" s="932">
        <f t="shared" si="20"/>
        <v>0</v>
      </c>
      <c r="O224" s="905"/>
      <c r="Q224" s="317" t="str">
        <f t="shared" si="16"/>
        <v/>
      </c>
      <c r="R224" s="317" t="str">
        <f t="shared" si="18"/>
        <v/>
      </c>
      <c r="S224" s="317" t="str">
        <f t="shared" si="19"/>
        <v/>
      </c>
      <c r="T224" s="317" t="str">
        <f>GLOBAL_DER_FEV_2023!S224</f>
        <v/>
      </c>
      <c r="W224" s="582">
        <v>0</v>
      </c>
      <c r="X224" s="580"/>
      <c r="Y224" s="583">
        <f>IF(GLOBAL_DER_FEV_2023!W224=0,0,IF(GLOBAL_DER_FEV_2023!W224&gt;0,"c","b"))</f>
        <v>0</v>
      </c>
    </row>
    <row r="225" spans="1:25" ht="15" customHeight="1" x14ac:dyDescent="0.2">
      <c r="A225" s="640" t="s">
        <v>165</v>
      </c>
      <c r="B225" s="1036" t="str">
        <f>GLOBAL_DER_FEV_2023!B225</f>
        <v/>
      </c>
      <c r="C225" s="1072" t="str">
        <f>GLOBAL_DER_FEV_2023!C225</f>
        <v/>
      </c>
      <c r="D225" s="1141">
        <f>GLOBAL_DER_FEV_2023!D225</f>
        <v>0</v>
      </c>
      <c r="E225" s="907">
        <f>GLOBAL_DER_FEV_2023!E225</f>
        <v>0</v>
      </c>
      <c r="F225" s="908">
        <f>GLOBAL_DER_FEV_2023!F225</f>
        <v>0</v>
      </c>
      <c r="G225" s="912">
        <f>GLOBAL_DER_FEV_2023!G225</f>
        <v>0</v>
      </c>
      <c r="H225" s="901">
        <f>GLOBAL_DER_FEV_2023!H225</f>
        <v>0</v>
      </c>
      <c r="I225" s="901">
        <f>GLOBAL_DER_FEV_2023!I225</f>
        <v>0</v>
      </c>
      <c r="J225" s="890">
        <f>GLOBAL_DER_FEV_2023!J225</f>
        <v>0</v>
      </c>
      <c r="K225" s="903" t="str">
        <f>GLOBAL_DER_FEV_2023!K225</f>
        <v xml:space="preserve">     </v>
      </c>
      <c r="L225" s="1137"/>
      <c r="M225" s="1151">
        <f t="shared" si="17"/>
        <v>0</v>
      </c>
      <c r="N225" s="932">
        <f t="shared" si="20"/>
        <v>0</v>
      </c>
      <c r="O225" s="905"/>
      <c r="Q225" s="317" t="str">
        <f t="shared" si="16"/>
        <v/>
      </c>
      <c r="R225" s="317" t="str">
        <f t="shared" si="18"/>
        <v/>
      </c>
      <c r="S225" s="317" t="str">
        <f t="shared" si="19"/>
        <v/>
      </c>
      <c r="T225" s="317" t="str">
        <f>GLOBAL_DER_FEV_2023!S225</f>
        <v/>
      </c>
      <c r="W225" s="582">
        <v>0</v>
      </c>
      <c r="X225" s="580"/>
      <c r="Y225" s="583">
        <f>IF(GLOBAL_DER_FEV_2023!W225=0,0,IF(GLOBAL_DER_FEV_2023!W225&gt;0,"c","b"))</f>
        <v>0</v>
      </c>
    </row>
    <row r="226" spans="1:25" ht="15" customHeight="1" x14ac:dyDescent="0.2">
      <c r="A226" s="640" t="s">
        <v>165</v>
      </c>
      <c r="B226" s="1036" t="str">
        <f>GLOBAL_DER_FEV_2023!B226</f>
        <v/>
      </c>
      <c r="C226" s="1072" t="str">
        <f>GLOBAL_DER_FEV_2023!C226</f>
        <v/>
      </c>
      <c r="D226" s="1141">
        <f>GLOBAL_DER_FEV_2023!D226</f>
        <v>0</v>
      </c>
      <c r="E226" s="907">
        <f>GLOBAL_DER_FEV_2023!E226</f>
        <v>0</v>
      </c>
      <c r="F226" s="908">
        <f>GLOBAL_DER_FEV_2023!F226</f>
        <v>0</v>
      </c>
      <c r="G226" s="912">
        <f>GLOBAL_DER_FEV_2023!G226</f>
        <v>0</v>
      </c>
      <c r="H226" s="901">
        <f>GLOBAL_DER_FEV_2023!H226</f>
        <v>0</v>
      </c>
      <c r="I226" s="901">
        <f>GLOBAL_DER_FEV_2023!I226</f>
        <v>0</v>
      </c>
      <c r="J226" s="890">
        <f>GLOBAL_DER_FEV_2023!J226</f>
        <v>0</v>
      </c>
      <c r="K226" s="903" t="str">
        <f>GLOBAL_DER_FEV_2023!K226</f>
        <v xml:space="preserve">     </v>
      </c>
      <c r="L226" s="1137"/>
      <c r="M226" s="1151">
        <f t="shared" si="17"/>
        <v>0</v>
      </c>
      <c r="N226" s="932">
        <f t="shared" si="20"/>
        <v>0</v>
      </c>
      <c r="O226" s="905"/>
      <c r="Q226" s="317" t="str">
        <f t="shared" si="16"/>
        <v/>
      </c>
      <c r="R226" s="317" t="str">
        <f t="shared" si="18"/>
        <v/>
      </c>
      <c r="S226" s="317" t="str">
        <f t="shared" si="19"/>
        <v/>
      </c>
      <c r="T226" s="317" t="str">
        <f>GLOBAL_DER_FEV_2023!S226</f>
        <v/>
      </c>
      <c r="W226" s="582">
        <v>0</v>
      </c>
      <c r="X226" s="580"/>
      <c r="Y226" s="583">
        <f>IF(GLOBAL_DER_FEV_2023!W226=0,0,IF(GLOBAL_DER_FEV_2023!W226&gt;0,"c","b"))</f>
        <v>0</v>
      </c>
    </row>
    <row r="227" spans="1:25" ht="15" customHeight="1" thickBot="1" x14ac:dyDescent="0.25">
      <c r="A227" s="640" t="s">
        <v>165</v>
      </c>
      <c r="B227" s="1036" t="str">
        <f>GLOBAL_DER_FEV_2023!B227</f>
        <v/>
      </c>
      <c r="C227" s="1072" t="str">
        <f>GLOBAL_DER_FEV_2023!C227</f>
        <v/>
      </c>
      <c r="D227" s="1141">
        <f>GLOBAL_DER_FEV_2023!D227</f>
        <v>0</v>
      </c>
      <c r="E227" s="907">
        <f>GLOBAL_DER_FEV_2023!E227</f>
        <v>0</v>
      </c>
      <c r="F227" s="908">
        <f>GLOBAL_DER_FEV_2023!F227</f>
        <v>0</v>
      </c>
      <c r="G227" s="912">
        <f>GLOBAL_DER_FEV_2023!G227</f>
        <v>0</v>
      </c>
      <c r="H227" s="901">
        <f>GLOBAL_DER_FEV_2023!H227</f>
        <v>0</v>
      </c>
      <c r="I227" s="901">
        <f>GLOBAL_DER_FEV_2023!I227</f>
        <v>0</v>
      </c>
      <c r="J227" s="890">
        <f>GLOBAL_DER_FEV_2023!J227</f>
        <v>0</v>
      </c>
      <c r="K227" s="903" t="str">
        <f>GLOBAL_DER_FEV_2023!K227</f>
        <v xml:space="preserve">     </v>
      </c>
      <c r="L227" s="1137"/>
      <c r="M227" s="1151">
        <f t="shared" si="17"/>
        <v>0</v>
      </c>
      <c r="N227" s="932">
        <f t="shared" si="20"/>
        <v>0</v>
      </c>
      <c r="O227" s="905"/>
      <c r="Q227" s="317" t="str">
        <f t="shared" si="16"/>
        <v/>
      </c>
      <c r="R227" s="317" t="str">
        <f t="shared" si="18"/>
        <v/>
      </c>
      <c r="S227" s="317" t="str">
        <f t="shared" si="19"/>
        <v/>
      </c>
      <c r="T227" s="317" t="str">
        <f>GLOBAL_DER_FEV_2023!S227</f>
        <v/>
      </c>
      <c r="W227" s="582">
        <v>0</v>
      </c>
      <c r="X227" s="580"/>
      <c r="Y227" s="583">
        <f>IF(GLOBAL_DER_FEV_2023!W227=0,0,IF(GLOBAL_DER_FEV_2023!W227&gt;0,"c","b"))</f>
        <v>0</v>
      </c>
    </row>
    <row r="228" spans="1:25" ht="15" customHeight="1" thickBot="1" x14ac:dyDescent="0.25">
      <c r="A228" s="317" t="s">
        <v>203</v>
      </c>
      <c r="B228" s="950" t="s">
        <v>203</v>
      </c>
      <c r="C228" s="951"/>
      <c r="D228" s="952" t="s">
        <v>429</v>
      </c>
      <c r="E228" s="943">
        <f>GLOBAL_DER_FEV_2023!E228</f>
        <v>0</v>
      </c>
      <c r="F228" s="876"/>
      <c r="G228" s="944"/>
      <c r="H228" s="945">
        <f>GLOBAL_DER_FEV_2023!H228</f>
        <v>0</v>
      </c>
      <c r="I228" s="945">
        <f>GLOBAL_DER_FEV_2023!I228</f>
        <v>0</v>
      </c>
      <c r="J228" s="945">
        <f>GLOBAL_DER_FEV_2023!J228</f>
        <v>0</v>
      </c>
      <c r="K228" s="963" t="s">
        <v>507</v>
      </c>
      <c r="L228" s="879"/>
      <c r="M228" s="880"/>
      <c r="N228" s="881">
        <f t="shared" si="20"/>
        <v>0</v>
      </c>
      <c r="O228" s="882">
        <f>SUM(N229:N588)</f>
        <v>0</v>
      </c>
      <c r="P228" s="58" t="str">
        <f>IF(OR(O228&gt;0,O228&gt;0),"X","")</f>
        <v/>
      </c>
      <c r="Q228" s="317" t="str">
        <f t="shared" si="16"/>
        <v/>
      </c>
      <c r="R228" s="317" t="str">
        <f t="shared" si="18"/>
        <v/>
      </c>
      <c r="S228" s="317" t="str">
        <f t="shared" si="19"/>
        <v/>
      </c>
      <c r="T228" s="317" t="str">
        <f>GLOBAL_DER_FEV_2023!S228</f>
        <v>x</v>
      </c>
      <c r="W228" s="582">
        <v>0</v>
      </c>
      <c r="X228" s="580"/>
      <c r="Y228" s="583">
        <f>IF(GLOBAL_DER_FEV_2023!W228=0,0,IF(GLOBAL_DER_FEV_2023!W228&gt;0,"c","b"))</f>
        <v>0</v>
      </c>
    </row>
    <row r="229" spans="1:25" ht="13.5" thickBot="1" x14ac:dyDescent="0.25">
      <c r="A229" s="317" t="s">
        <v>832</v>
      </c>
      <c r="B229" s="895" t="str">
        <f>GLOBAL_DER_FEV_2023!B229</f>
        <v>PAV-089</v>
      </c>
      <c r="C229" s="896" t="str">
        <f>GLOBAL_DER_FEV_2023!C229</f>
        <v>PM Curitiba-abr/22</v>
      </c>
      <c r="D229" s="906" t="str">
        <f>GLOBAL_DER_FEV_2023!D229</f>
        <v>Limpeza e Lavagem da pista ( Recape )</v>
      </c>
      <c r="E229" s="966">
        <f>GLOBAL_DER_FEV_2023!E229</f>
        <v>0</v>
      </c>
      <c r="F229" s="967">
        <f>GLOBAL_DER_FEV_2023!F229</f>
        <v>0</v>
      </c>
      <c r="G229" s="968">
        <f>GLOBAL_DER_FEV_2023!G229</f>
        <v>0</v>
      </c>
      <c r="H229" s="940">
        <f>GLOBAL_DER_FEV_2023!H229</f>
        <v>0.65</v>
      </c>
      <c r="I229" s="940">
        <f>GLOBAL_DER_FEV_2023!I229</f>
        <v>0.65</v>
      </c>
      <c r="J229" s="969">
        <f>GLOBAL_DER_FEV_2023!J229</f>
        <v>0.78</v>
      </c>
      <c r="K229" s="970" t="s">
        <v>12</v>
      </c>
      <c r="L229" s="1137"/>
      <c r="M229" s="1138">
        <f t="shared" ref="M229:M271" si="21">IF(L229=0,0,ROUND(J229,2))</f>
        <v>0</v>
      </c>
      <c r="N229" s="893">
        <f t="shared" si="20"/>
        <v>0</v>
      </c>
      <c r="O229" s="905"/>
      <c r="Q229" s="317" t="str">
        <f t="shared" si="16"/>
        <v/>
      </c>
      <c r="R229" s="317" t="str">
        <f t="shared" si="18"/>
        <v/>
      </c>
      <c r="S229" s="317" t="str">
        <f t="shared" si="19"/>
        <v/>
      </c>
      <c r="T229" s="317" t="str">
        <f>GLOBAL_DER_FEV_2023!S229</f>
        <v>x</v>
      </c>
      <c r="W229" s="582">
        <v>0</v>
      </c>
      <c r="X229" s="580"/>
      <c r="Y229" s="583">
        <f>IF(GLOBAL_DER_FEV_2023!W229=0,0,IF(GLOBAL_DER_FEV_2023!W229&gt;0,"c","b"))</f>
        <v>0</v>
      </c>
    </row>
    <row r="230" spans="1:25" x14ac:dyDescent="0.2">
      <c r="A230" s="317">
        <v>560100</v>
      </c>
      <c r="B230" s="971" t="s">
        <v>509</v>
      </c>
      <c r="C230" s="972" t="s">
        <v>184</v>
      </c>
      <c r="D230" s="973" t="s">
        <v>1521</v>
      </c>
      <c r="E230" s="974" t="str">
        <f>GLOBAL_DER_FEV_2023!E230</f>
        <v>taxa RR-1C</v>
      </c>
      <c r="F230" s="975">
        <f>GLOBAL_DER_FEV_2023!F230</f>
        <v>1.1999999999999999E-3</v>
      </c>
      <c r="G230" s="976">
        <f>GLOBAL_DER_FEV_2023!G230</f>
        <v>0</v>
      </c>
      <c r="H230" s="977">
        <f>GLOBAL_DER_FEV_2023!H230</f>
        <v>0.49</v>
      </c>
      <c r="I230" s="977">
        <f>GLOBAL_DER_FEV_2023!I230</f>
        <v>0.49</v>
      </c>
      <c r="J230" s="978">
        <f>GLOBAL_DER_FEV_2023!J230</f>
        <v>0.59</v>
      </c>
      <c r="K230" s="979" t="s">
        <v>12</v>
      </c>
      <c r="L230" s="1152"/>
      <c r="M230" s="1153">
        <f t="shared" si="21"/>
        <v>0</v>
      </c>
      <c r="N230" s="982">
        <f t="shared" si="20"/>
        <v>0</v>
      </c>
      <c r="O230" s="905"/>
      <c r="Q230" s="317" t="str">
        <f t="shared" si="16"/>
        <v/>
      </c>
      <c r="R230" s="317" t="str">
        <f t="shared" si="18"/>
        <v/>
      </c>
      <c r="S230" s="317" t="str">
        <f t="shared" si="19"/>
        <v/>
      </c>
      <c r="T230" s="317" t="str">
        <f>GLOBAL_DER_FEV_2023!S230</f>
        <v/>
      </c>
      <c r="W230" s="582">
        <v>0</v>
      </c>
      <c r="X230" s="580"/>
      <c r="Y230" s="583">
        <f>IF(GLOBAL_DER_FEV_2023!W230=0,0,IF(GLOBAL_DER_FEV_2023!W230&gt;0,"c","b"))</f>
        <v>0</v>
      </c>
    </row>
    <row r="231" spans="1:25" ht="13.5" thickBot="1" x14ac:dyDescent="0.25">
      <c r="A231" s="317">
        <v>589420</v>
      </c>
      <c r="B231" s="983" t="s">
        <v>705</v>
      </c>
      <c r="C231" s="984" t="s">
        <v>213</v>
      </c>
      <c r="D231" s="985" t="s">
        <v>553</v>
      </c>
      <c r="E231" s="986">
        <f>GLOBAL_DER_FEV_2023!E231</f>
        <v>353</v>
      </c>
      <c r="F231" s="987">
        <f>GLOBAL_DER_FEV_2023!F231</f>
        <v>1</v>
      </c>
      <c r="G231" s="949">
        <f>GLOBAL_DER_FEV_2023!G231</f>
        <v>337.96999999999997</v>
      </c>
      <c r="H231" s="988">
        <f>GLOBAL_DER_FEV_2023!H231</f>
        <v>3861.37</v>
      </c>
      <c r="I231" s="988">
        <f>GLOBAL_DER_FEV_2023!I231</f>
        <v>4045.2968393437163</v>
      </c>
      <c r="J231" s="989">
        <f>GLOBAL_DER_FEV_2023!J231</f>
        <v>4857.1899999999996</v>
      </c>
      <c r="K231" s="990" t="s">
        <v>14</v>
      </c>
      <c r="L231" s="1154">
        <f>ROUND(L230*$F230,2)</f>
        <v>0</v>
      </c>
      <c r="M231" s="1155">
        <f t="shared" si="21"/>
        <v>0</v>
      </c>
      <c r="N231" s="993">
        <f t="shared" si="20"/>
        <v>0</v>
      </c>
      <c r="O231" s="905"/>
      <c r="Q231" s="317" t="str">
        <f t="shared" si="16"/>
        <v/>
      </c>
      <c r="R231" s="317" t="str">
        <f t="shared" si="18"/>
        <v/>
      </c>
      <c r="S231" s="317" t="str">
        <f t="shared" si="19"/>
        <v/>
      </c>
      <c r="T231" s="317" t="str">
        <f>GLOBAL_DER_FEV_2023!S231</f>
        <v/>
      </c>
      <c r="W231" s="582">
        <v>0</v>
      </c>
      <c r="X231" s="580"/>
      <c r="Y231" s="583">
        <f>IF(GLOBAL_DER_FEV_2023!W231=0,0,IF(GLOBAL_DER_FEV_2023!W231&gt;0,"c","b"))</f>
        <v>0</v>
      </c>
    </row>
    <row r="232" spans="1:25" x14ac:dyDescent="0.2">
      <c r="A232" s="317">
        <v>560100</v>
      </c>
      <c r="B232" s="971" t="s">
        <v>510</v>
      </c>
      <c r="C232" s="972" t="s">
        <v>184</v>
      </c>
      <c r="D232" s="973" t="s">
        <v>540</v>
      </c>
      <c r="E232" s="974" t="str">
        <f>GLOBAL_DER_FEV_2023!E232</f>
        <v>taxa RR-1C</v>
      </c>
      <c r="F232" s="975">
        <f>GLOBAL_DER_FEV_2023!F232</f>
        <v>1.1000000000000001E-3</v>
      </c>
      <c r="G232" s="976">
        <f>GLOBAL_DER_FEV_2023!G232</f>
        <v>0</v>
      </c>
      <c r="H232" s="977">
        <f>GLOBAL_DER_FEV_2023!H232</f>
        <v>0.49</v>
      </c>
      <c r="I232" s="977">
        <f>GLOBAL_DER_FEV_2023!I232</f>
        <v>0.49</v>
      </c>
      <c r="J232" s="978">
        <f>GLOBAL_DER_FEV_2023!J232</f>
        <v>0.59</v>
      </c>
      <c r="K232" s="979" t="s">
        <v>12</v>
      </c>
      <c r="L232" s="1152"/>
      <c r="M232" s="1153">
        <f t="shared" si="21"/>
        <v>0</v>
      </c>
      <c r="N232" s="982">
        <f t="shared" si="20"/>
        <v>0</v>
      </c>
      <c r="O232" s="905"/>
      <c r="Q232" s="317" t="str">
        <f t="shared" si="16"/>
        <v/>
      </c>
      <c r="R232" s="317" t="str">
        <f t="shared" si="18"/>
        <v/>
      </c>
      <c r="S232" s="317" t="str">
        <f t="shared" si="19"/>
        <v/>
      </c>
      <c r="T232" s="317" t="str">
        <f>GLOBAL_DER_FEV_2023!S232</f>
        <v/>
      </c>
      <c r="W232" s="582">
        <v>0</v>
      </c>
      <c r="X232" s="580"/>
      <c r="Y232" s="583">
        <f>IF(GLOBAL_DER_FEV_2023!W232=0,0,IF(GLOBAL_DER_FEV_2023!W232&gt;0,"c","b"))</f>
        <v>0</v>
      </c>
    </row>
    <row r="233" spans="1:25" ht="13.5" thickBot="1" x14ac:dyDescent="0.25">
      <c r="A233" s="317">
        <v>589190</v>
      </c>
      <c r="B233" s="983" t="s">
        <v>1697</v>
      </c>
      <c r="C233" s="984" t="s">
        <v>213</v>
      </c>
      <c r="D233" s="985" t="s">
        <v>554</v>
      </c>
      <c r="E233" s="986">
        <f>GLOBAL_DER_FEV_2023!E233</f>
        <v>45</v>
      </c>
      <c r="F233" s="987">
        <f>GLOBAL_DER_FEV_2023!F233</f>
        <v>1</v>
      </c>
      <c r="G233" s="949">
        <f>GLOBAL_DER_FEV_2023!G233</f>
        <v>79.25</v>
      </c>
      <c r="H233" s="988">
        <f>GLOBAL_DER_FEV_2023!H233</f>
        <v>4730.97</v>
      </c>
      <c r="I233" s="988">
        <f>GLOBAL_DER_FEV_2023!I233</f>
        <v>4621.4855426001504</v>
      </c>
      <c r="J233" s="989">
        <f>GLOBAL_DER_FEV_2023!J233</f>
        <v>5549.02</v>
      </c>
      <c r="K233" s="990" t="s">
        <v>14</v>
      </c>
      <c r="L233" s="1154">
        <f>ROUND(L232*$F232,2)</f>
        <v>0</v>
      </c>
      <c r="M233" s="1155">
        <f t="shared" si="21"/>
        <v>0</v>
      </c>
      <c r="N233" s="993">
        <f t="shared" si="20"/>
        <v>0</v>
      </c>
      <c r="O233" s="905"/>
      <c r="Q233" s="317" t="str">
        <f t="shared" si="16"/>
        <v/>
      </c>
      <c r="R233" s="317" t="str">
        <f t="shared" si="18"/>
        <v/>
      </c>
      <c r="S233" s="317" t="str">
        <f t="shared" si="19"/>
        <v/>
      </c>
      <c r="T233" s="317" t="str">
        <f>GLOBAL_DER_FEV_2023!S233</f>
        <v/>
      </c>
      <c r="W233" s="582">
        <v>0</v>
      </c>
      <c r="X233" s="580"/>
      <c r="Y233" s="583">
        <f>IF(GLOBAL_DER_FEV_2023!W233=0,0,IF(GLOBAL_DER_FEV_2023!W233&gt;0,"c","b"))</f>
        <v>0</v>
      </c>
    </row>
    <row r="234" spans="1:25" x14ac:dyDescent="0.2">
      <c r="A234" s="317">
        <v>560400</v>
      </c>
      <c r="B234" s="971" t="s">
        <v>702</v>
      </c>
      <c r="C234" s="972" t="s">
        <v>184</v>
      </c>
      <c r="D234" s="973" t="s">
        <v>541</v>
      </c>
      <c r="E234" s="974" t="str">
        <f>GLOBAL_DER_FEV_2023!E234</f>
        <v>taxa RR-1C</v>
      </c>
      <c r="F234" s="975">
        <f>GLOBAL_DER_FEV_2023!F234</f>
        <v>1.1999999999999999E-3</v>
      </c>
      <c r="G234" s="976">
        <f>GLOBAL_DER_FEV_2023!G234</f>
        <v>0</v>
      </c>
      <c r="H234" s="977">
        <f>GLOBAL_DER_FEV_2023!H234</f>
        <v>0.49</v>
      </c>
      <c r="I234" s="977">
        <f>GLOBAL_DER_FEV_2023!I234</f>
        <v>0.49</v>
      </c>
      <c r="J234" s="978">
        <f>GLOBAL_DER_FEV_2023!J234</f>
        <v>0.59</v>
      </c>
      <c r="K234" s="979" t="s">
        <v>12</v>
      </c>
      <c r="L234" s="1152"/>
      <c r="M234" s="1153">
        <f t="shared" si="21"/>
        <v>0</v>
      </c>
      <c r="N234" s="982">
        <f t="shared" si="20"/>
        <v>0</v>
      </c>
      <c r="O234" s="905"/>
      <c r="Q234" s="317" t="str">
        <f t="shared" si="16"/>
        <v/>
      </c>
      <c r="R234" s="317" t="str">
        <f t="shared" si="18"/>
        <v/>
      </c>
      <c r="S234" s="317" t="str">
        <f t="shared" si="19"/>
        <v/>
      </c>
      <c r="T234" s="317" t="str">
        <f>GLOBAL_DER_FEV_2023!S234</f>
        <v/>
      </c>
      <c r="W234" s="582">
        <v>0</v>
      </c>
      <c r="X234" s="580"/>
      <c r="Y234" s="583">
        <f>IF(GLOBAL_DER_FEV_2023!W234=0,0,IF(GLOBAL_DER_FEV_2023!W234&gt;0,"c","b"))</f>
        <v>0</v>
      </c>
    </row>
    <row r="235" spans="1:25" ht="13.5" thickBot="1" x14ac:dyDescent="0.25">
      <c r="A235" s="317">
        <v>589100</v>
      </c>
      <c r="B235" s="983" t="s">
        <v>724</v>
      </c>
      <c r="C235" s="984" t="s">
        <v>213</v>
      </c>
      <c r="D235" s="985" t="s">
        <v>555</v>
      </c>
      <c r="E235" s="986">
        <f>GLOBAL_DER_FEV_2023!E235</f>
        <v>45</v>
      </c>
      <c r="F235" s="987">
        <f>GLOBAL_DER_FEV_2023!F235</f>
        <v>1</v>
      </c>
      <c r="G235" s="949">
        <f>GLOBAL_DER_FEV_2023!G235</f>
        <v>79.25</v>
      </c>
      <c r="H235" s="988">
        <f>GLOBAL_DER_FEV_2023!H235</f>
        <v>5937.37</v>
      </c>
      <c r="I235" s="988">
        <f>GLOBAL_DER_FEV_2023!I235</f>
        <v>5779.7581502456906</v>
      </c>
      <c r="J235" s="989">
        <f>GLOBAL_DER_FEV_2023!J235</f>
        <v>6939.76</v>
      </c>
      <c r="K235" s="990" t="s">
        <v>14</v>
      </c>
      <c r="L235" s="1154">
        <f>ROUND(L234*$F234,2)</f>
        <v>0</v>
      </c>
      <c r="M235" s="1155">
        <f t="shared" si="21"/>
        <v>0</v>
      </c>
      <c r="N235" s="993">
        <f t="shared" si="20"/>
        <v>0</v>
      </c>
      <c r="O235" s="905"/>
      <c r="Q235" s="317" t="str">
        <f t="shared" si="16"/>
        <v/>
      </c>
      <c r="R235" s="317" t="str">
        <f t="shared" si="18"/>
        <v/>
      </c>
      <c r="S235" s="317" t="str">
        <f t="shared" si="19"/>
        <v/>
      </c>
      <c r="T235" s="317" t="str">
        <f>GLOBAL_DER_FEV_2023!S235</f>
        <v/>
      </c>
      <c r="W235" s="582">
        <v>0</v>
      </c>
      <c r="X235" s="580"/>
      <c r="Y235" s="583">
        <f>IF(GLOBAL_DER_FEV_2023!W235=0,0,IF(GLOBAL_DER_FEV_2023!W235&gt;0,"c","b"))</f>
        <v>0</v>
      </c>
    </row>
    <row r="236" spans="1:25" x14ac:dyDescent="0.2">
      <c r="A236" s="317">
        <v>561100</v>
      </c>
      <c r="B236" s="971" t="s">
        <v>703</v>
      </c>
      <c r="C236" s="972" t="s">
        <v>184</v>
      </c>
      <c r="D236" s="973" t="s">
        <v>542</v>
      </c>
      <c r="E236" s="974" t="str">
        <f>GLOBAL_DER_FEV_2023!E236</f>
        <v>taxa RR-1C</v>
      </c>
      <c r="F236" s="975">
        <f>GLOBAL_DER_FEV_2023!F236</f>
        <v>5.0000000000000001E-4</v>
      </c>
      <c r="G236" s="976">
        <f>GLOBAL_DER_FEV_2023!G236</f>
        <v>0</v>
      </c>
      <c r="H236" s="977">
        <f>GLOBAL_DER_FEV_2023!H236</f>
        <v>0.34</v>
      </c>
      <c r="I236" s="977">
        <f>GLOBAL_DER_FEV_2023!I236</f>
        <v>0.34</v>
      </c>
      <c r="J236" s="978">
        <f>GLOBAL_DER_FEV_2023!J236</f>
        <v>0.41</v>
      </c>
      <c r="K236" s="979" t="s">
        <v>12</v>
      </c>
      <c r="L236" s="1152"/>
      <c r="M236" s="1153">
        <f t="shared" si="21"/>
        <v>0</v>
      </c>
      <c r="N236" s="982">
        <f t="shared" si="20"/>
        <v>0</v>
      </c>
      <c r="O236" s="905"/>
      <c r="Q236" s="317" t="str">
        <f t="shared" si="16"/>
        <v/>
      </c>
      <c r="R236" s="317" t="str">
        <f t="shared" si="18"/>
        <v/>
      </c>
      <c r="S236" s="317" t="str">
        <f t="shared" si="19"/>
        <v/>
      </c>
      <c r="T236" s="317" t="str">
        <f>GLOBAL_DER_FEV_2023!S236</f>
        <v>x</v>
      </c>
      <c r="W236" s="582">
        <v>0</v>
      </c>
      <c r="X236" s="580"/>
      <c r="Y236" s="583">
        <f>IF(GLOBAL_DER_FEV_2023!W236=0,0,IF(GLOBAL_DER_FEV_2023!W236&gt;0,"c","b"))</f>
        <v>0</v>
      </c>
    </row>
    <row r="237" spans="1:25" ht="13.5" thickBot="1" x14ac:dyDescent="0.25">
      <c r="A237" s="317">
        <v>589420</v>
      </c>
      <c r="B237" s="983" t="s">
        <v>706</v>
      </c>
      <c r="C237" s="984" t="s">
        <v>213</v>
      </c>
      <c r="D237" s="985" t="s">
        <v>556</v>
      </c>
      <c r="E237" s="986">
        <f>GLOBAL_DER_FEV_2023!E237</f>
        <v>353</v>
      </c>
      <c r="F237" s="994">
        <f>GLOBAL_DER_FEV_2023!F237</f>
        <v>1</v>
      </c>
      <c r="G237" s="949">
        <f>GLOBAL_DER_FEV_2023!G237</f>
        <v>337.96999999999997</v>
      </c>
      <c r="H237" s="988">
        <f>GLOBAL_DER_FEV_2023!H237</f>
        <v>3861.37</v>
      </c>
      <c r="I237" s="988">
        <f>GLOBAL_DER_FEV_2023!I237</f>
        <v>4045.2968393437163</v>
      </c>
      <c r="J237" s="989">
        <f>GLOBAL_DER_FEV_2023!J237</f>
        <v>4857.1899999999996</v>
      </c>
      <c r="K237" s="990" t="s">
        <v>14</v>
      </c>
      <c r="L237" s="1154">
        <f>ROUND(L236*$F236,2)</f>
        <v>0</v>
      </c>
      <c r="M237" s="1155">
        <f t="shared" si="21"/>
        <v>0</v>
      </c>
      <c r="N237" s="993">
        <f t="shared" si="20"/>
        <v>0</v>
      </c>
      <c r="O237" s="905"/>
      <c r="Q237" s="317" t="str">
        <f t="shared" si="16"/>
        <v/>
      </c>
      <c r="R237" s="317" t="str">
        <f t="shared" si="18"/>
        <v/>
      </c>
      <c r="S237" s="317" t="str">
        <f t="shared" si="19"/>
        <v/>
      </c>
      <c r="T237" s="317" t="str">
        <f>GLOBAL_DER_FEV_2023!S237</f>
        <v>x</v>
      </c>
      <c r="W237" s="582">
        <v>0</v>
      </c>
      <c r="X237" s="580"/>
      <c r="Y237" s="583">
        <f>IF(GLOBAL_DER_FEV_2023!W237=0,0,IF(GLOBAL_DER_FEV_2023!W237&gt;0,"c","b"))</f>
        <v>0</v>
      </c>
    </row>
    <row r="238" spans="1:25" x14ac:dyDescent="0.2">
      <c r="A238" s="317">
        <v>521450</v>
      </c>
      <c r="B238" s="955" t="s">
        <v>1610</v>
      </c>
      <c r="C238" s="956" t="s">
        <v>184</v>
      </c>
      <c r="D238" s="906" t="s">
        <v>219</v>
      </c>
      <c r="E238" s="907">
        <f>GLOBAL_DER_FEV_2023!E238</f>
        <v>0</v>
      </c>
      <c r="F238" s="887">
        <f>GLOBAL_DER_FEV_2023!F238</f>
        <v>0.3</v>
      </c>
      <c r="G238" s="976">
        <f>GLOBAL_DER_FEV_2023!G238</f>
        <v>0.80400000000000005</v>
      </c>
      <c r="H238" s="901">
        <f>GLOBAL_DER_FEV_2023!H238</f>
        <v>25.31</v>
      </c>
      <c r="I238" s="901">
        <f>GLOBAL_DER_FEV_2023!I238</f>
        <v>26.113999999999997</v>
      </c>
      <c r="J238" s="902">
        <f>GLOBAL_DER_FEV_2023!J238</f>
        <v>31.36</v>
      </c>
      <c r="K238" s="903" t="s">
        <v>12</v>
      </c>
      <c r="L238" s="1137"/>
      <c r="M238" s="1138">
        <f t="shared" si="21"/>
        <v>0</v>
      </c>
      <c r="N238" s="893">
        <f t="shared" si="20"/>
        <v>0</v>
      </c>
      <c r="O238" s="905"/>
      <c r="Q238" s="317" t="str">
        <f t="shared" si="16"/>
        <v/>
      </c>
      <c r="R238" s="317" t="str">
        <f t="shared" si="18"/>
        <v/>
      </c>
      <c r="S238" s="317" t="str">
        <f t="shared" si="19"/>
        <v/>
      </c>
      <c r="T238" s="317" t="str">
        <f>GLOBAL_DER_FEV_2023!S238</f>
        <v/>
      </c>
      <c r="W238" s="582">
        <v>0</v>
      </c>
      <c r="X238" s="580"/>
      <c r="Y238" s="583">
        <f>IF(GLOBAL_DER_FEV_2023!W238=0,0,IF(GLOBAL_DER_FEV_2023!W238&gt;0,"c","b"))</f>
        <v>0</v>
      </c>
    </row>
    <row r="239" spans="1:25" x14ac:dyDescent="0.2">
      <c r="A239" s="317">
        <v>535200</v>
      </c>
      <c r="B239" s="895" t="s">
        <v>1607</v>
      </c>
      <c r="C239" s="896" t="s">
        <v>184</v>
      </c>
      <c r="D239" s="906" t="s">
        <v>220</v>
      </c>
      <c r="E239" s="907">
        <f>GLOBAL_DER_FEV_2023!E239</f>
        <v>0</v>
      </c>
      <c r="F239" s="899">
        <f>GLOBAL_DER_FEV_2023!F239</f>
        <v>7.6999999999999999E-2</v>
      </c>
      <c r="G239" s="949">
        <f>GLOBAL_DER_FEV_2023!G239</f>
        <v>0.20636000000000002</v>
      </c>
      <c r="H239" s="901">
        <f>GLOBAL_DER_FEV_2023!H239</f>
        <v>11.65</v>
      </c>
      <c r="I239" s="901">
        <f>GLOBAL_DER_FEV_2023!I239</f>
        <v>11.85636</v>
      </c>
      <c r="J239" s="902">
        <f>GLOBAL_DER_FEV_2023!J239</f>
        <v>14.24</v>
      </c>
      <c r="K239" s="903" t="s">
        <v>13</v>
      </c>
      <c r="L239" s="1137"/>
      <c r="M239" s="1138">
        <f t="shared" si="21"/>
        <v>0</v>
      </c>
      <c r="N239" s="893">
        <f t="shared" si="20"/>
        <v>0</v>
      </c>
      <c r="O239" s="905"/>
      <c r="Q239" s="317" t="str">
        <f t="shared" si="16"/>
        <v/>
      </c>
      <c r="R239" s="317" t="str">
        <f t="shared" si="18"/>
        <v/>
      </c>
      <c r="S239" s="317" t="str">
        <f t="shared" si="19"/>
        <v/>
      </c>
      <c r="T239" s="317" t="str">
        <f>GLOBAL_DER_FEV_2023!S239</f>
        <v/>
      </c>
      <c r="W239" s="582">
        <v>0</v>
      </c>
      <c r="X239" s="580"/>
      <c r="Y239" s="583">
        <f>IF(GLOBAL_DER_FEV_2023!W239=0,0,IF(GLOBAL_DER_FEV_2023!W239&gt;0,"c","b"))</f>
        <v>0</v>
      </c>
    </row>
    <row r="240" spans="1:25" x14ac:dyDescent="0.2">
      <c r="A240" s="317">
        <v>521450</v>
      </c>
      <c r="B240" s="895" t="s">
        <v>1611</v>
      </c>
      <c r="C240" s="896" t="s">
        <v>184</v>
      </c>
      <c r="D240" s="906" t="s">
        <v>454</v>
      </c>
      <c r="E240" s="907">
        <f>GLOBAL_DER_FEV_2023!E240</f>
        <v>0</v>
      </c>
      <c r="F240" s="899">
        <f>GLOBAL_DER_FEV_2023!F240</f>
        <v>0</v>
      </c>
      <c r="G240" s="912">
        <f>GLOBAL_DER_FEV_2023!G240</f>
        <v>0</v>
      </c>
      <c r="H240" s="901">
        <f>GLOBAL_DER_FEV_2023!H240</f>
        <v>25.31</v>
      </c>
      <c r="I240" s="901">
        <f>GLOBAL_DER_FEV_2023!I240</f>
        <v>25.31</v>
      </c>
      <c r="J240" s="902">
        <f>GLOBAL_DER_FEV_2023!J240</f>
        <v>30.39</v>
      </c>
      <c r="K240" s="903" t="s">
        <v>12</v>
      </c>
      <c r="L240" s="1137"/>
      <c r="M240" s="1138">
        <f t="shared" si="21"/>
        <v>0</v>
      </c>
      <c r="N240" s="893">
        <f t="shared" si="20"/>
        <v>0</v>
      </c>
      <c r="O240" s="905"/>
      <c r="Q240" s="317" t="str">
        <f t="shared" si="16"/>
        <v/>
      </c>
      <c r="R240" s="317" t="str">
        <f t="shared" si="18"/>
        <v/>
      </c>
      <c r="S240" s="317" t="str">
        <f t="shared" si="19"/>
        <v/>
      </c>
      <c r="T240" s="317" t="str">
        <f>GLOBAL_DER_FEV_2023!S240</f>
        <v/>
      </c>
      <c r="W240" s="582">
        <v>0</v>
      </c>
      <c r="X240" s="580"/>
      <c r="Y240" s="583">
        <f>IF(GLOBAL_DER_FEV_2023!W240=0,0,IF(GLOBAL_DER_FEV_2023!W240&gt;0,"c","b"))</f>
        <v>0</v>
      </c>
    </row>
    <row r="241" spans="1:25" x14ac:dyDescent="0.2">
      <c r="A241" s="317">
        <v>521450</v>
      </c>
      <c r="B241" s="895" t="s">
        <v>1612</v>
      </c>
      <c r="C241" s="896" t="s">
        <v>184</v>
      </c>
      <c r="D241" s="906" t="s">
        <v>221</v>
      </c>
      <c r="E241" s="907">
        <f>GLOBAL_DER_FEV_2023!E241</f>
        <v>0</v>
      </c>
      <c r="F241" s="899">
        <f>GLOBAL_DER_FEV_2023!F241</f>
        <v>0</v>
      </c>
      <c r="G241" s="912">
        <f>GLOBAL_DER_FEV_2023!G241</f>
        <v>0</v>
      </c>
      <c r="H241" s="901">
        <f>GLOBAL_DER_FEV_2023!H241</f>
        <v>25.31</v>
      </c>
      <c r="I241" s="901">
        <f>GLOBAL_DER_FEV_2023!I241</f>
        <v>25.31</v>
      </c>
      <c r="J241" s="902">
        <f>GLOBAL_DER_FEV_2023!J241</f>
        <v>30.39</v>
      </c>
      <c r="K241" s="903" t="s">
        <v>12</v>
      </c>
      <c r="L241" s="1137"/>
      <c r="M241" s="1138">
        <f t="shared" si="21"/>
        <v>0</v>
      </c>
      <c r="N241" s="893">
        <f t="shared" si="20"/>
        <v>0</v>
      </c>
      <c r="O241" s="905"/>
      <c r="Q241" s="317" t="str">
        <f t="shared" si="16"/>
        <v/>
      </c>
      <c r="R241" s="317" t="str">
        <f t="shared" si="18"/>
        <v/>
      </c>
      <c r="S241" s="317" t="str">
        <f t="shared" si="19"/>
        <v/>
      </c>
      <c r="T241" s="317" t="str">
        <f>GLOBAL_DER_FEV_2023!S241</f>
        <v/>
      </c>
      <c r="W241" s="582">
        <v>0</v>
      </c>
      <c r="X241" s="580"/>
      <c r="Y241" s="583">
        <f>IF(GLOBAL_DER_FEV_2023!W241=0,0,IF(GLOBAL_DER_FEV_2023!W241&gt;0,"c","b"))</f>
        <v>0</v>
      </c>
    </row>
    <row r="242" spans="1:25" x14ac:dyDescent="0.2">
      <c r="A242" s="317">
        <v>535000</v>
      </c>
      <c r="B242" s="895" t="s">
        <v>1618</v>
      </c>
      <c r="C242" s="896" t="s">
        <v>184</v>
      </c>
      <c r="D242" s="906" t="s">
        <v>222</v>
      </c>
      <c r="E242" s="907">
        <f>GLOBAL_DER_FEV_2023!E242</f>
        <v>0</v>
      </c>
      <c r="F242" s="908">
        <f>GLOBAL_DER_FEV_2023!F242</f>
        <v>0.27200000000000002</v>
      </c>
      <c r="G242" s="949">
        <f>GLOBAL_DER_FEV_2023!G242</f>
        <v>0.72896000000000005</v>
      </c>
      <c r="H242" s="901">
        <f>GLOBAL_DER_FEV_2023!H242</f>
        <v>109.55</v>
      </c>
      <c r="I242" s="901">
        <f>GLOBAL_DER_FEV_2023!I242</f>
        <v>110.27896</v>
      </c>
      <c r="J242" s="902">
        <f>GLOBAL_DER_FEV_2023!J242</f>
        <v>132.41</v>
      </c>
      <c r="K242" s="903" t="s">
        <v>12</v>
      </c>
      <c r="L242" s="1137"/>
      <c r="M242" s="1138">
        <f t="shared" si="21"/>
        <v>0</v>
      </c>
      <c r="N242" s="893">
        <f t="shared" si="20"/>
        <v>0</v>
      </c>
      <c r="O242" s="905"/>
      <c r="Q242" s="317" t="str">
        <f t="shared" si="16"/>
        <v/>
      </c>
      <c r="R242" s="317" t="str">
        <f t="shared" si="18"/>
        <v/>
      </c>
      <c r="S242" s="317" t="str">
        <f t="shared" si="19"/>
        <v/>
      </c>
      <c r="T242" s="317" t="str">
        <f>GLOBAL_DER_FEV_2023!S242</f>
        <v/>
      </c>
      <c r="W242" s="582">
        <v>0</v>
      </c>
      <c r="X242" s="580"/>
      <c r="Y242" s="583">
        <f>IF(GLOBAL_DER_FEV_2023!W242=0,0,IF(GLOBAL_DER_FEV_2023!W242&gt;0,"c","b"))</f>
        <v>0</v>
      </c>
    </row>
    <row r="243" spans="1:25" x14ac:dyDescent="0.2">
      <c r="A243" s="317">
        <v>863000</v>
      </c>
      <c r="B243" s="895" t="s">
        <v>1620</v>
      </c>
      <c r="C243" s="896" t="s">
        <v>184</v>
      </c>
      <c r="D243" s="906" t="s">
        <v>223</v>
      </c>
      <c r="E243" s="907">
        <f>GLOBAL_DER_FEV_2023!E243</f>
        <v>0.1</v>
      </c>
      <c r="F243" s="908">
        <f>GLOBAL_DER_FEV_2023!F243</f>
        <v>0.08</v>
      </c>
      <c r="G243" s="949">
        <f>GLOBAL_DER_FEV_2023!G243</f>
        <v>0.22296000000000005</v>
      </c>
      <c r="H243" s="901">
        <f>GLOBAL_DER_FEV_2023!H243</f>
        <v>105.61</v>
      </c>
      <c r="I243" s="901">
        <f>GLOBAL_DER_FEV_2023!I243</f>
        <v>105.83296</v>
      </c>
      <c r="J243" s="902">
        <f>GLOBAL_DER_FEV_2023!J243</f>
        <v>127.07</v>
      </c>
      <c r="K243" s="903" t="s">
        <v>12</v>
      </c>
      <c r="L243" s="1137"/>
      <c r="M243" s="1138">
        <f t="shared" si="21"/>
        <v>0</v>
      </c>
      <c r="N243" s="893">
        <f t="shared" si="20"/>
        <v>0</v>
      </c>
      <c r="O243" s="905"/>
      <c r="Q243" s="317" t="str">
        <f t="shared" si="16"/>
        <v/>
      </c>
      <c r="R243" s="317" t="str">
        <f t="shared" si="18"/>
        <v/>
      </c>
      <c r="S243" s="317" t="str">
        <f t="shared" si="19"/>
        <v/>
      </c>
      <c r="T243" s="317" t="str">
        <f>GLOBAL_DER_FEV_2023!S243</f>
        <v/>
      </c>
      <c r="W243" s="582">
        <v>0</v>
      </c>
      <c r="X243" s="580"/>
      <c r="Y243" s="583">
        <f>IF(GLOBAL_DER_FEV_2023!W243=0,0,IF(GLOBAL_DER_FEV_2023!W243&gt;0,"c","b"))</f>
        <v>0</v>
      </c>
    </row>
    <row r="244" spans="1:25" x14ac:dyDescent="0.2">
      <c r="A244" s="317">
        <v>863000</v>
      </c>
      <c r="B244" s="895" t="s">
        <v>1621</v>
      </c>
      <c r="C244" s="896" t="s">
        <v>184</v>
      </c>
      <c r="D244" s="906" t="s">
        <v>224</v>
      </c>
      <c r="E244" s="907">
        <f>GLOBAL_DER_FEV_2023!E244</f>
        <v>0.1</v>
      </c>
      <c r="F244" s="908">
        <f>GLOBAL_DER_FEV_2023!F244</f>
        <v>0.1</v>
      </c>
      <c r="G244" s="949">
        <f>GLOBAL_DER_FEV_2023!G244</f>
        <v>0.27870000000000006</v>
      </c>
      <c r="H244" s="901">
        <f>GLOBAL_DER_FEV_2023!H244</f>
        <v>105.61</v>
      </c>
      <c r="I244" s="901">
        <f>GLOBAL_DER_FEV_2023!I244</f>
        <v>105.8887</v>
      </c>
      <c r="J244" s="902">
        <f>GLOBAL_DER_FEV_2023!J244</f>
        <v>127.14</v>
      </c>
      <c r="K244" s="903" t="s">
        <v>12</v>
      </c>
      <c r="L244" s="1137"/>
      <c r="M244" s="1138">
        <f t="shared" si="21"/>
        <v>0</v>
      </c>
      <c r="N244" s="893">
        <f t="shared" si="20"/>
        <v>0</v>
      </c>
      <c r="O244" s="905"/>
      <c r="Q244" s="317" t="str">
        <f t="shared" si="16"/>
        <v/>
      </c>
      <c r="R244" s="317" t="str">
        <f t="shared" si="18"/>
        <v/>
      </c>
      <c r="S244" s="317" t="str">
        <f t="shared" si="19"/>
        <v/>
      </c>
      <c r="T244" s="317" t="str">
        <f>GLOBAL_DER_FEV_2023!S244</f>
        <v/>
      </c>
      <c r="W244" s="582">
        <v>0</v>
      </c>
      <c r="X244" s="580"/>
      <c r="Y244" s="583">
        <f>IF(GLOBAL_DER_FEV_2023!W244=0,0,IF(GLOBAL_DER_FEV_2023!W244&gt;0,"c","b"))</f>
        <v>0</v>
      </c>
    </row>
    <row r="245" spans="1:25" x14ac:dyDescent="0.2">
      <c r="A245" s="317">
        <v>534906</v>
      </c>
      <c r="B245" s="895" t="s">
        <v>1624</v>
      </c>
      <c r="C245" s="896" t="s">
        <v>184</v>
      </c>
      <c r="D245" s="906" t="s">
        <v>225</v>
      </c>
      <c r="E245" s="907">
        <f>GLOBAL_DER_FEV_2023!E245</f>
        <v>0.1</v>
      </c>
      <c r="F245" s="908">
        <f>GLOBAL_DER_FEV_2023!F245</f>
        <v>0.12</v>
      </c>
      <c r="G245" s="949">
        <f>GLOBAL_DER_FEV_2023!G245</f>
        <v>0.33444000000000002</v>
      </c>
      <c r="H245" s="901">
        <f>GLOBAL_DER_FEV_2023!H245</f>
        <v>76.400000000000006</v>
      </c>
      <c r="I245" s="901">
        <f>GLOBAL_DER_FEV_2023!I245</f>
        <v>76.734440000000006</v>
      </c>
      <c r="J245" s="902">
        <f>GLOBAL_DER_FEV_2023!J245</f>
        <v>92.14</v>
      </c>
      <c r="K245" s="903" t="s">
        <v>12</v>
      </c>
      <c r="L245" s="1137"/>
      <c r="M245" s="1138">
        <f t="shared" si="21"/>
        <v>0</v>
      </c>
      <c r="N245" s="893">
        <f t="shared" si="20"/>
        <v>0</v>
      </c>
      <c r="O245" s="905"/>
      <c r="Q245" s="317" t="str">
        <f t="shared" si="16"/>
        <v/>
      </c>
      <c r="R245" s="317" t="str">
        <f t="shared" si="18"/>
        <v/>
      </c>
      <c r="S245" s="317" t="str">
        <f t="shared" si="19"/>
        <v/>
      </c>
      <c r="T245" s="317" t="str">
        <f>GLOBAL_DER_FEV_2023!S245</f>
        <v/>
      </c>
      <c r="W245" s="582">
        <v>0</v>
      </c>
      <c r="X245" s="580"/>
      <c r="Y245" s="583">
        <f>IF(GLOBAL_DER_FEV_2023!W245=0,0,IF(GLOBAL_DER_FEV_2023!W245&gt;0,"c","b"))</f>
        <v>0</v>
      </c>
    </row>
    <row r="246" spans="1:25" x14ac:dyDescent="0.2">
      <c r="A246" s="317">
        <v>534906</v>
      </c>
      <c r="B246" s="895" t="s">
        <v>1625</v>
      </c>
      <c r="C246" s="896" t="s">
        <v>184</v>
      </c>
      <c r="D246" s="906" t="s">
        <v>226</v>
      </c>
      <c r="E246" s="907">
        <f>GLOBAL_DER_FEV_2023!E246</f>
        <v>0.1</v>
      </c>
      <c r="F246" s="908">
        <f>GLOBAL_DER_FEV_2023!F246</f>
        <v>0.14000000000000001</v>
      </c>
      <c r="G246" s="949">
        <f>GLOBAL_DER_FEV_2023!G246</f>
        <v>0.39018000000000008</v>
      </c>
      <c r="H246" s="901">
        <f>GLOBAL_DER_FEV_2023!H246</f>
        <v>76.400000000000006</v>
      </c>
      <c r="I246" s="901">
        <f>GLOBAL_DER_FEV_2023!I246</f>
        <v>76.790180000000007</v>
      </c>
      <c r="J246" s="902">
        <f>GLOBAL_DER_FEV_2023!J246</f>
        <v>92.2</v>
      </c>
      <c r="K246" s="903" t="s">
        <v>12</v>
      </c>
      <c r="L246" s="1137"/>
      <c r="M246" s="1138">
        <f t="shared" si="21"/>
        <v>0</v>
      </c>
      <c r="N246" s="893">
        <f t="shared" si="20"/>
        <v>0</v>
      </c>
      <c r="O246" s="905"/>
      <c r="Q246" s="317" t="str">
        <f t="shared" si="16"/>
        <v/>
      </c>
      <c r="R246" s="317" t="str">
        <f t="shared" si="18"/>
        <v/>
      </c>
      <c r="S246" s="317" t="str">
        <f t="shared" si="19"/>
        <v/>
      </c>
      <c r="T246" s="317" t="str">
        <f>GLOBAL_DER_FEV_2023!S246</f>
        <v/>
      </c>
      <c r="W246" s="582">
        <v>0</v>
      </c>
      <c r="X246" s="580"/>
      <c r="Y246" s="583">
        <f>IF(GLOBAL_DER_FEV_2023!W246=0,0,IF(GLOBAL_DER_FEV_2023!W246&gt;0,"c","b"))</f>
        <v>0</v>
      </c>
    </row>
    <row r="247" spans="1:25" x14ac:dyDescent="0.2">
      <c r="A247" s="317">
        <v>534906</v>
      </c>
      <c r="B247" s="895" t="s">
        <v>151</v>
      </c>
      <c r="C247" s="896" t="s">
        <v>184</v>
      </c>
      <c r="D247" s="906" t="s">
        <v>227</v>
      </c>
      <c r="E247" s="907">
        <f>GLOBAL_DER_FEV_2023!E247</f>
        <v>0.1</v>
      </c>
      <c r="F247" s="908">
        <f>GLOBAL_DER_FEV_2023!F247</f>
        <v>0.16</v>
      </c>
      <c r="G247" s="949">
        <f>GLOBAL_DER_FEV_2023!G247</f>
        <v>0.44592000000000009</v>
      </c>
      <c r="H247" s="901">
        <f>GLOBAL_DER_FEV_2023!H247</f>
        <v>76.400000000000006</v>
      </c>
      <c r="I247" s="901">
        <f>GLOBAL_DER_FEV_2023!I247</f>
        <v>76.845920000000007</v>
      </c>
      <c r="J247" s="902">
        <f>GLOBAL_DER_FEV_2023!J247</f>
        <v>92.27</v>
      </c>
      <c r="K247" s="903" t="s">
        <v>12</v>
      </c>
      <c r="L247" s="1137"/>
      <c r="M247" s="1138">
        <f t="shared" si="21"/>
        <v>0</v>
      </c>
      <c r="N247" s="893">
        <f t="shared" si="20"/>
        <v>0</v>
      </c>
      <c r="O247" s="905"/>
      <c r="Q247" s="317" t="str">
        <f t="shared" si="16"/>
        <v/>
      </c>
      <c r="R247" s="317" t="str">
        <f t="shared" si="18"/>
        <v/>
      </c>
      <c r="S247" s="317" t="str">
        <f t="shared" si="19"/>
        <v/>
      </c>
      <c r="T247" s="317" t="str">
        <f>GLOBAL_DER_FEV_2023!S247</f>
        <v/>
      </c>
      <c r="W247" s="582">
        <v>0</v>
      </c>
      <c r="X247" s="580"/>
      <c r="Y247" s="583">
        <f>IF(GLOBAL_DER_FEV_2023!W247=0,0,IF(GLOBAL_DER_FEV_2023!W247&gt;0,"c","b"))</f>
        <v>0</v>
      </c>
    </row>
    <row r="248" spans="1:25" x14ac:dyDescent="0.2">
      <c r="A248" s="317">
        <v>534906</v>
      </c>
      <c r="B248" s="895" t="s">
        <v>207</v>
      </c>
      <c r="C248" s="896" t="s">
        <v>184</v>
      </c>
      <c r="D248" s="906" t="s">
        <v>228</v>
      </c>
      <c r="E248" s="907">
        <f>GLOBAL_DER_FEV_2023!E248</f>
        <v>0.1</v>
      </c>
      <c r="F248" s="908">
        <f>GLOBAL_DER_FEV_2023!F248</f>
        <v>0.2</v>
      </c>
      <c r="G248" s="949">
        <f>GLOBAL_DER_FEV_2023!G248</f>
        <v>0.55740000000000012</v>
      </c>
      <c r="H248" s="901">
        <f>GLOBAL_DER_FEV_2023!H248</f>
        <v>76.400000000000006</v>
      </c>
      <c r="I248" s="901">
        <f>GLOBAL_DER_FEV_2023!I248</f>
        <v>76.957400000000007</v>
      </c>
      <c r="J248" s="902">
        <f>GLOBAL_DER_FEV_2023!J248</f>
        <v>92.4</v>
      </c>
      <c r="K248" s="903" t="s">
        <v>12</v>
      </c>
      <c r="L248" s="1137"/>
      <c r="M248" s="1138">
        <f t="shared" si="21"/>
        <v>0</v>
      </c>
      <c r="N248" s="893">
        <f t="shared" si="20"/>
        <v>0</v>
      </c>
      <c r="O248" s="905"/>
      <c r="Q248" s="317" t="str">
        <f t="shared" si="16"/>
        <v/>
      </c>
      <c r="R248" s="317" t="str">
        <f t="shared" si="18"/>
        <v/>
      </c>
      <c r="S248" s="317" t="str">
        <f t="shared" si="19"/>
        <v/>
      </c>
      <c r="T248" s="317" t="str">
        <f>GLOBAL_DER_FEV_2023!S248</f>
        <v/>
      </c>
      <c r="W248" s="582">
        <v>0</v>
      </c>
      <c r="X248" s="580"/>
      <c r="Y248" s="583">
        <f>IF(GLOBAL_DER_FEV_2023!W248=0,0,IF(GLOBAL_DER_FEV_2023!W248&gt;0,"c","b"))</f>
        <v>0</v>
      </c>
    </row>
    <row r="249" spans="1:25" x14ac:dyDescent="0.2">
      <c r="A249" s="317">
        <v>534906</v>
      </c>
      <c r="B249" s="895" t="s">
        <v>208</v>
      </c>
      <c r="C249" s="896" t="s">
        <v>184</v>
      </c>
      <c r="D249" s="906" t="s">
        <v>803</v>
      </c>
      <c r="E249" s="907">
        <f>GLOBAL_DER_FEV_2023!E249</f>
        <v>0.1</v>
      </c>
      <c r="F249" s="908">
        <f>GLOBAL_DER_FEV_2023!F249</f>
        <v>0.14000000000000001</v>
      </c>
      <c r="G249" s="949">
        <f>GLOBAL_DER_FEV_2023!G249</f>
        <v>0.39018000000000008</v>
      </c>
      <c r="H249" s="901">
        <f>GLOBAL_DER_FEV_2023!H249</f>
        <v>76.400000000000006</v>
      </c>
      <c r="I249" s="901">
        <f>GLOBAL_DER_FEV_2023!I249</f>
        <v>76.790180000000007</v>
      </c>
      <c r="J249" s="902">
        <f>GLOBAL_DER_FEV_2023!J249</f>
        <v>92.2</v>
      </c>
      <c r="K249" s="903" t="s">
        <v>12</v>
      </c>
      <c r="L249" s="1137"/>
      <c r="M249" s="1138">
        <f t="shared" si="21"/>
        <v>0</v>
      </c>
      <c r="N249" s="893">
        <f t="shared" si="20"/>
        <v>0</v>
      </c>
      <c r="O249" s="905"/>
      <c r="Q249" s="317" t="str">
        <f t="shared" si="16"/>
        <v/>
      </c>
      <c r="R249" s="317" t="str">
        <f t="shared" si="18"/>
        <v/>
      </c>
      <c r="S249" s="317" t="str">
        <f t="shared" si="19"/>
        <v/>
      </c>
      <c r="T249" s="317" t="str">
        <f>GLOBAL_DER_FEV_2023!S249</f>
        <v/>
      </c>
      <c r="W249" s="582">
        <v>0</v>
      </c>
      <c r="X249" s="580"/>
      <c r="Y249" s="583">
        <f>IF(GLOBAL_DER_FEV_2023!W249=0,0,IF(GLOBAL_DER_FEV_2023!W249&gt;0,"c","b"))</f>
        <v>0</v>
      </c>
    </row>
    <row r="250" spans="1:25" x14ac:dyDescent="0.2">
      <c r="A250" s="317">
        <v>534906</v>
      </c>
      <c r="B250" s="895" t="s">
        <v>209</v>
      </c>
      <c r="C250" s="896" t="s">
        <v>184</v>
      </c>
      <c r="D250" s="906" t="s">
        <v>804</v>
      </c>
      <c r="E250" s="907">
        <f>GLOBAL_DER_FEV_2023!E250</f>
        <v>0.1</v>
      </c>
      <c r="F250" s="908">
        <f>GLOBAL_DER_FEV_2023!F250</f>
        <v>0.14000000000000001</v>
      </c>
      <c r="G250" s="949">
        <f>GLOBAL_DER_FEV_2023!G250</f>
        <v>0.39018000000000008</v>
      </c>
      <c r="H250" s="901">
        <f>GLOBAL_DER_FEV_2023!H250</f>
        <v>76.400000000000006</v>
      </c>
      <c r="I250" s="901">
        <f>GLOBAL_DER_FEV_2023!I250</f>
        <v>76.790180000000007</v>
      </c>
      <c r="J250" s="902">
        <f>GLOBAL_DER_FEV_2023!J250</f>
        <v>92.2</v>
      </c>
      <c r="K250" s="903" t="s">
        <v>12</v>
      </c>
      <c r="L250" s="1137"/>
      <c r="M250" s="1138">
        <f t="shared" si="21"/>
        <v>0</v>
      </c>
      <c r="N250" s="893">
        <f t="shared" si="20"/>
        <v>0</v>
      </c>
      <c r="O250" s="905"/>
      <c r="Q250" s="317" t="str">
        <f t="shared" si="16"/>
        <v/>
      </c>
      <c r="R250" s="317" t="str">
        <f t="shared" si="18"/>
        <v/>
      </c>
      <c r="S250" s="317" t="str">
        <f t="shared" si="19"/>
        <v/>
      </c>
      <c r="T250" s="317" t="str">
        <f>GLOBAL_DER_FEV_2023!S250</f>
        <v/>
      </c>
      <c r="W250" s="582">
        <v>0</v>
      </c>
      <c r="X250" s="580"/>
      <c r="Y250" s="583">
        <f>IF(GLOBAL_DER_FEV_2023!W250=0,0,IF(GLOBAL_DER_FEV_2023!W250&gt;0,"c","b"))</f>
        <v>0</v>
      </c>
    </row>
    <row r="251" spans="1:25" x14ac:dyDescent="0.2">
      <c r="A251" s="317">
        <v>534908</v>
      </c>
      <c r="B251" s="895" t="s">
        <v>148</v>
      </c>
      <c r="C251" s="896" t="s">
        <v>184</v>
      </c>
      <c r="D251" s="906" t="s">
        <v>805</v>
      </c>
      <c r="E251" s="907">
        <f>GLOBAL_DER_FEV_2023!E251</f>
        <v>0.1</v>
      </c>
      <c r="F251" s="908">
        <f>GLOBAL_DER_FEV_2023!F251</f>
        <v>0.18</v>
      </c>
      <c r="G251" s="949">
        <f>GLOBAL_DER_FEV_2023!G251</f>
        <v>0.50165999999999999</v>
      </c>
      <c r="H251" s="901">
        <f>GLOBAL_DER_FEV_2023!H251</f>
        <v>89.6</v>
      </c>
      <c r="I251" s="901">
        <f>GLOBAL_DER_FEV_2023!I251</f>
        <v>90.101659999999995</v>
      </c>
      <c r="J251" s="902">
        <f>GLOBAL_DER_FEV_2023!J251</f>
        <v>108.19</v>
      </c>
      <c r="K251" s="903" t="s">
        <v>12</v>
      </c>
      <c r="L251" s="1137"/>
      <c r="M251" s="1138">
        <f t="shared" si="21"/>
        <v>0</v>
      </c>
      <c r="N251" s="893">
        <f t="shared" si="20"/>
        <v>0</v>
      </c>
      <c r="O251" s="905"/>
      <c r="Q251" s="317" t="str">
        <f t="shared" si="16"/>
        <v/>
      </c>
      <c r="R251" s="317" t="str">
        <f t="shared" si="18"/>
        <v/>
      </c>
      <c r="S251" s="317" t="str">
        <f t="shared" si="19"/>
        <v/>
      </c>
      <c r="T251" s="317" t="str">
        <f>GLOBAL_DER_FEV_2023!S251</f>
        <v/>
      </c>
      <c r="W251" s="582">
        <v>0</v>
      </c>
      <c r="X251" s="580"/>
      <c r="Y251" s="583">
        <f>IF(GLOBAL_DER_FEV_2023!W251=0,0,IF(GLOBAL_DER_FEV_2023!W251&gt;0,"c","b"))</f>
        <v>0</v>
      </c>
    </row>
    <row r="252" spans="1:25" x14ac:dyDescent="0.2">
      <c r="A252" s="317">
        <v>534908</v>
      </c>
      <c r="B252" s="895" t="s">
        <v>149</v>
      </c>
      <c r="C252" s="896" t="s">
        <v>184</v>
      </c>
      <c r="D252" s="906" t="s">
        <v>806</v>
      </c>
      <c r="E252" s="907">
        <f>GLOBAL_DER_FEV_2023!E252</f>
        <v>0.1</v>
      </c>
      <c r="F252" s="908">
        <f>GLOBAL_DER_FEV_2023!F252</f>
        <v>0.18</v>
      </c>
      <c r="G252" s="949">
        <f>GLOBAL_DER_FEV_2023!G252</f>
        <v>0.50165999999999999</v>
      </c>
      <c r="H252" s="901">
        <f>GLOBAL_DER_FEV_2023!H252</f>
        <v>89.6</v>
      </c>
      <c r="I252" s="901">
        <f>GLOBAL_DER_FEV_2023!I252</f>
        <v>90.101659999999995</v>
      </c>
      <c r="J252" s="902">
        <f>GLOBAL_DER_FEV_2023!J252</f>
        <v>108.19</v>
      </c>
      <c r="K252" s="903" t="s">
        <v>12</v>
      </c>
      <c r="L252" s="1137"/>
      <c r="M252" s="1138">
        <f t="shared" si="21"/>
        <v>0</v>
      </c>
      <c r="N252" s="893">
        <f t="shared" si="20"/>
        <v>0</v>
      </c>
      <c r="O252" s="905"/>
      <c r="Q252" s="317" t="str">
        <f t="shared" si="16"/>
        <v/>
      </c>
      <c r="R252" s="317" t="str">
        <f t="shared" si="18"/>
        <v/>
      </c>
      <c r="S252" s="317" t="str">
        <f t="shared" si="19"/>
        <v/>
      </c>
      <c r="T252" s="317" t="str">
        <f>GLOBAL_DER_FEV_2023!S252</f>
        <v/>
      </c>
      <c r="W252" s="582">
        <v>0</v>
      </c>
      <c r="X252" s="580"/>
      <c r="Y252" s="583">
        <f>IF(GLOBAL_DER_FEV_2023!W252=0,0,IF(GLOBAL_DER_FEV_2023!W252&gt;0,"c","b"))</f>
        <v>0</v>
      </c>
    </row>
    <row r="253" spans="1:25" x14ac:dyDescent="0.2">
      <c r="A253" s="317">
        <v>534908</v>
      </c>
      <c r="B253" s="895" t="s">
        <v>150</v>
      </c>
      <c r="C253" s="896" t="s">
        <v>184</v>
      </c>
      <c r="D253" s="906" t="s">
        <v>807</v>
      </c>
      <c r="E253" s="907">
        <f>GLOBAL_DER_FEV_2023!E253</f>
        <v>0.1</v>
      </c>
      <c r="F253" s="908">
        <f>GLOBAL_DER_FEV_2023!F253</f>
        <v>0.22</v>
      </c>
      <c r="G253" s="949">
        <f>GLOBAL_DER_FEV_2023!G253</f>
        <v>0.61314000000000013</v>
      </c>
      <c r="H253" s="901">
        <f>GLOBAL_DER_FEV_2023!H253</f>
        <v>89.6</v>
      </c>
      <c r="I253" s="901">
        <f>GLOBAL_DER_FEV_2023!I253</f>
        <v>90.213139999999996</v>
      </c>
      <c r="J253" s="902">
        <f>GLOBAL_DER_FEV_2023!J253</f>
        <v>108.32</v>
      </c>
      <c r="K253" s="903" t="s">
        <v>12</v>
      </c>
      <c r="L253" s="1137"/>
      <c r="M253" s="1138">
        <f t="shared" si="21"/>
        <v>0</v>
      </c>
      <c r="N253" s="893">
        <f t="shared" si="20"/>
        <v>0</v>
      </c>
      <c r="O253" s="905"/>
      <c r="Q253" s="317" t="str">
        <f t="shared" si="16"/>
        <v/>
      </c>
      <c r="R253" s="317" t="str">
        <f t="shared" si="18"/>
        <v/>
      </c>
      <c r="S253" s="317" t="str">
        <f t="shared" si="19"/>
        <v/>
      </c>
      <c r="T253" s="317" t="str">
        <f>GLOBAL_DER_FEV_2023!S253</f>
        <v/>
      </c>
      <c r="W253" s="582">
        <v>0</v>
      </c>
      <c r="X253" s="580"/>
      <c r="Y253" s="583">
        <f>IF(GLOBAL_DER_FEV_2023!W253=0,0,IF(GLOBAL_DER_FEV_2023!W253&gt;0,"c","b"))</f>
        <v>0</v>
      </c>
    </row>
    <row r="254" spans="1:25" x14ac:dyDescent="0.2">
      <c r="A254" s="317">
        <v>534908</v>
      </c>
      <c r="B254" s="895" t="s">
        <v>210</v>
      </c>
      <c r="C254" s="896" t="s">
        <v>184</v>
      </c>
      <c r="D254" s="906" t="s">
        <v>808</v>
      </c>
      <c r="E254" s="907">
        <f>GLOBAL_DER_FEV_2023!E254</f>
        <v>0.1</v>
      </c>
      <c r="F254" s="908">
        <f>GLOBAL_DER_FEV_2023!F254</f>
        <v>0.22</v>
      </c>
      <c r="G254" s="949">
        <f>GLOBAL_DER_FEV_2023!G254</f>
        <v>0.61314000000000013</v>
      </c>
      <c r="H254" s="901">
        <f>GLOBAL_DER_FEV_2023!H254</f>
        <v>89.6</v>
      </c>
      <c r="I254" s="901">
        <f>GLOBAL_DER_FEV_2023!I254</f>
        <v>90.213139999999996</v>
      </c>
      <c r="J254" s="902">
        <f>GLOBAL_DER_FEV_2023!J254</f>
        <v>108.32</v>
      </c>
      <c r="K254" s="903" t="s">
        <v>12</v>
      </c>
      <c r="L254" s="1137"/>
      <c r="M254" s="1138">
        <f t="shared" si="21"/>
        <v>0</v>
      </c>
      <c r="N254" s="893">
        <f t="shared" si="20"/>
        <v>0</v>
      </c>
      <c r="O254" s="905"/>
      <c r="Q254" s="317" t="str">
        <f t="shared" si="16"/>
        <v/>
      </c>
      <c r="R254" s="317" t="str">
        <f t="shared" si="18"/>
        <v/>
      </c>
      <c r="S254" s="317" t="str">
        <f t="shared" si="19"/>
        <v/>
      </c>
      <c r="T254" s="317" t="str">
        <f>GLOBAL_DER_FEV_2023!S254</f>
        <v/>
      </c>
      <c r="W254" s="582">
        <v>0</v>
      </c>
      <c r="X254" s="580"/>
      <c r="Y254" s="583">
        <f>IF(GLOBAL_DER_FEV_2023!W254=0,0,IF(GLOBAL_DER_FEV_2023!W254&gt;0,"c","b"))</f>
        <v>0</v>
      </c>
    </row>
    <row r="255" spans="1:25" ht="13.5" thickBot="1" x14ac:dyDescent="0.25">
      <c r="A255" s="317">
        <v>101090</v>
      </c>
      <c r="B255" s="995" t="s">
        <v>1634</v>
      </c>
      <c r="C255" s="996" t="s">
        <v>596</v>
      </c>
      <c r="D255" s="965" t="s">
        <v>1518</v>
      </c>
      <c r="E255" s="966">
        <f>GLOBAL_DER_FEV_2023!E255</f>
        <v>0</v>
      </c>
      <c r="F255" s="997">
        <f>GLOBAL_DER_FEV_2023!F255</f>
        <v>0.3</v>
      </c>
      <c r="G255" s="968">
        <f>GLOBAL_DER_FEV_2023!G255</f>
        <v>0.80400000000000005</v>
      </c>
      <c r="H255" s="940">
        <f>GLOBAL_DER_FEV_2023!H255</f>
        <v>291.81</v>
      </c>
      <c r="I255" s="940">
        <f>GLOBAL_DER_FEV_2023!I255</f>
        <v>292.61399999999998</v>
      </c>
      <c r="J255" s="969">
        <f>GLOBAL_DER_FEV_2023!J255</f>
        <v>351.34</v>
      </c>
      <c r="K255" s="970" t="s">
        <v>12</v>
      </c>
      <c r="L255" s="1145"/>
      <c r="M255" s="1156">
        <f t="shared" si="21"/>
        <v>0</v>
      </c>
      <c r="N255" s="942">
        <f t="shared" si="20"/>
        <v>0</v>
      </c>
      <c r="O255" s="905"/>
      <c r="Q255" s="317" t="str">
        <f t="shared" si="16"/>
        <v/>
      </c>
      <c r="R255" s="317" t="str">
        <f t="shared" si="18"/>
        <v/>
      </c>
      <c r="S255" s="317" t="str">
        <f t="shared" si="19"/>
        <v/>
      </c>
      <c r="T255" s="317" t="str">
        <f>GLOBAL_DER_FEV_2023!S255</f>
        <v/>
      </c>
      <c r="W255" s="582">
        <v>0</v>
      </c>
      <c r="X255" s="580"/>
      <c r="Y255" s="583">
        <f>IF(GLOBAL_DER_FEV_2023!W255=0,0,IF(GLOBAL_DER_FEV_2023!W255&gt;0,"c","b"))</f>
        <v>0</v>
      </c>
    </row>
    <row r="256" spans="1:25" x14ac:dyDescent="0.2">
      <c r="A256" s="317">
        <v>562100</v>
      </c>
      <c r="B256" s="999" t="s">
        <v>1636</v>
      </c>
      <c r="C256" s="1000" t="s">
        <v>184</v>
      </c>
      <c r="D256" s="973" t="s">
        <v>544</v>
      </c>
      <c r="E256" s="974" t="str">
        <f>GLOBAL_DER_FEV_2023!E256</f>
        <v>taxa RL</v>
      </c>
      <c r="F256" s="975">
        <f>GLOBAL_DER_FEV_2023!F256</f>
        <v>1.5E-3</v>
      </c>
      <c r="G256" s="976">
        <f>GLOBAL_DER_FEV_2023!G256</f>
        <v>0.44321160000000004</v>
      </c>
      <c r="H256" s="977">
        <f>GLOBAL_DER_FEV_2023!H256</f>
        <v>3.09</v>
      </c>
      <c r="I256" s="977">
        <f>GLOBAL_DER_FEV_2023!I256</f>
        <v>3.5332116</v>
      </c>
      <c r="J256" s="978">
        <f>GLOBAL_DER_FEV_2023!J256</f>
        <v>4.24</v>
      </c>
      <c r="K256" s="979" t="s">
        <v>12</v>
      </c>
      <c r="L256" s="1152"/>
      <c r="M256" s="1153">
        <f t="shared" si="21"/>
        <v>0</v>
      </c>
      <c r="N256" s="982">
        <f t="shared" si="20"/>
        <v>0</v>
      </c>
      <c r="O256" s="905"/>
      <c r="Q256" s="317" t="str">
        <f t="shared" si="16"/>
        <v/>
      </c>
      <c r="R256" s="317" t="str">
        <f t="shared" si="18"/>
        <v/>
      </c>
      <c r="S256" s="317" t="str">
        <f t="shared" si="19"/>
        <v/>
      </c>
      <c r="T256" s="317" t="str">
        <f>GLOBAL_DER_FEV_2023!S256</f>
        <v/>
      </c>
      <c r="W256" s="582">
        <v>0</v>
      </c>
      <c r="X256" s="580"/>
      <c r="Y256" s="583">
        <f>IF(GLOBAL_DER_FEV_2023!W256=0,0,IF(GLOBAL_DER_FEV_2023!W256&gt;0,"c","b"))</f>
        <v>0</v>
      </c>
    </row>
    <row r="257" spans="1:25" x14ac:dyDescent="0.2">
      <c r="A257" s="317" t="s">
        <v>147</v>
      </c>
      <c r="B257" s="895" t="s">
        <v>147</v>
      </c>
      <c r="C257" s="896"/>
      <c r="D257" s="1001" t="s">
        <v>229</v>
      </c>
      <c r="E257" s="907">
        <f>GLOBAL_DER_FEV_2023!E257</f>
        <v>150</v>
      </c>
      <c r="F257" s="1002" t="str">
        <f>GLOBAL_DER_FEV_2023!F257</f>
        <v>0,0025</v>
      </c>
      <c r="G257" s="949">
        <f>GLOBAL_DER_FEV_2023!G257</f>
        <v>0.40795000000000003</v>
      </c>
      <c r="H257" s="901">
        <f>GLOBAL_DER_FEV_2023!H257</f>
        <v>0</v>
      </c>
      <c r="I257" s="901">
        <f>GLOBAL_DER_FEV_2023!I257</f>
        <v>0</v>
      </c>
      <c r="J257" s="902">
        <f>GLOBAL_DER_FEV_2023!J257</f>
        <v>0</v>
      </c>
      <c r="K257" s="903" t="s">
        <v>507</v>
      </c>
      <c r="L257" s="1003"/>
      <c r="M257" s="1157">
        <f t="shared" si="21"/>
        <v>0</v>
      </c>
      <c r="N257" s="893">
        <f t="shared" si="20"/>
        <v>0</v>
      </c>
      <c r="O257" s="905"/>
      <c r="P257" s="58" t="str">
        <f>IF(N256&gt;0,"xx",IF(N256&gt;0,"xy",""))</f>
        <v/>
      </c>
      <c r="Q257" s="317" t="str">
        <f t="shared" si="16"/>
        <v/>
      </c>
      <c r="R257" s="317" t="str">
        <f t="shared" si="18"/>
        <v/>
      </c>
      <c r="S257" s="317" t="str">
        <f t="shared" si="19"/>
        <v/>
      </c>
      <c r="T257" s="317" t="str">
        <f>GLOBAL_DER_FEV_2023!S257</f>
        <v/>
      </c>
      <c r="W257" s="582">
        <v>0</v>
      </c>
      <c r="X257" s="580"/>
      <c r="Y257" s="583">
        <f>IF(GLOBAL_DER_FEV_2023!W257=0,0,IF(GLOBAL_DER_FEV_2023!W257&gt;0,"c","b"))</f>
        <v>0</v>
      </c>
    </row>
    <row r="258" spans="1:25" x14ac:dyDescent="0.2">
      <c r="A258" s="317" t="s">
        <v>147</v>
      </c>
      <c r="B258" s="895" t="s">
        <v>147</v>
      </c>
      <c r="C258" s="896"/>
      <c r="D258" s="1001" t="s">
        <v>230</v>
      </c>
      <c r="E258" s="907">
        <f>GLOBAL_DER_FEV_2023!E258</f>
        <v>353</v>
      </c>
      <c r="F258" s="1002" t="str">
        <f>GLOBAL_DER_FEV_2023!F258</f>
        <v>0,0001</v>
      </c>
      <c r="G258" s="909">
        <f>GLOBAL_DER_FEV_2023!G258</f>
        <v>2.8316000000000004E-2</v>
      </c>
      <c r="H258" s="901">
        <f>GLOBAL_DER_FEV_2023!H258</f>
        <v>0</v>
      </c>
      <c r="I258" s="901">
        <f>GLOBAL_DER_FEV_2023!I258</f>
        <v>0</v>
      </c>
      <c r="J258" s="902">
        <f>GLOBAL_DER_FEV_2023!J258</f>
        <v>0</v>
      </c>
      <c r="K258" s="903" t="s">
        <v>507</v>
      </c>
      <c r="L258" s="1003"/>
      <c r="M258" s="1157">
        <f t="shared" si="21"/>
        <v>0</v>
      </c>
      <c r="N258" s="893">
        <f t="shared" si="20"/>
        <v>0</v>
      </c>
      <c r="O258" s="905"/>
      <c r="P258" s="58" t="str">
        <f>IF(N256&gt;0,"xx",IF(N256&gt;0,"xy",""))</f>
        <v/>
      </c>
      <c r="Q258" s="317" t="str">
        <f t="shared" si="16"/>
        <v/>
      </c>
      <c r="R258" s="317" t="str">
        <f t="shared" si="18"/>
        <v/>
      </c>
      <c r="S258" s="317" t="str">
        <f t="shared" si="19"/>
        <v/>
      </c>
      <c r="T258" s="317" t="str">
        <f>GLOBAL_DER_FEV_2023!S258</f>
        <v/>
      </c>
      <c r="W258" s="582">
        <v>0</v>
      </c>
      <c r="X258" s="580"/>
      <c r="Y258" s="583">
        <f>IF(GLOBAL_DER_FEV_2023!W258=0,0,IF(GLOBAL_DER_FEV_2023!W258&gt;0,"c","b"))</f>
        <v>0</v>
      </c>
    </row>
    <row r="259" spans="1:25" x14ac:dyDescent="0.2">
      <c r="A259" s="317" t="s">
        <v>147</v>
      </c>
      <c r="B259" s="895" t="s">
        <v>147</v>
      </c>
      <c r="C259" s="896"/>
      <c r="D259" s="1001" t="s">
        <v>231</v>
      </c>
      <c r="E259" s="907">
        <f>GLOBAL_DER_FEV_2023!E259</f>
        <v>0.2</v>
      </c>
      <c r="F259" s="908" t="str">
        <f>GLOBAL_DER_FEV_2023!F259</f>
        <v>0,0024</v>
      </c>
      <c r="G259" s="949">
        <f>GLOBAL_DER_FEV_2023!G259</f>
        <v>6.9455999999999997E-3</v>
      </c>
      <c r="H259" s="901">
        <f>GLOBAL_DER_FEV_2023!H259</f>
        <v>0</v>
      </c>
      <c r="I259" s="901">
        <f>GLOBAL_DER_FEV_2023!I259</f>
        <v>0</v>
      </c>
      <c r="J259" s="902">
        <f>GLOBAL_DER_FEV_2023!J259</f>
        <v>0</v>
      </c>
      <c r="K259" s="903" t="s">
        <v>507</v>
      </c>
      <c r="L259" s="1003"/>
      <c r="M259" s="1157">
        <f t="shared" si="21"/>
        <v>0</v>
      </c>
      <c r="N259" s="893">
        <f t="shared" si="20"/>
        <v>0</v>
      </c>
      <c r="O259" s="905"/>
      <c r="P259" s="58" t="str">
        <f>IF(N256&gt;0,"xx",IF(N256&gt;0,"xy",""))</f>
        <v/>
      </c>
      <c r="Q259" s="317" t="str">
        <f t="shared" si="16"/>
        <v/>
      </c>
      <c r="R259" s="317" t="str">
        <f t="shared" si="18"/>
        <v/>
      </c>
      <c r="S259" s="317" t="str">
        <f t="shared" si="19"/>
        <v/>
      </c>
      <c r="T259" s="317" t="str">
        <f>GLOBAL_DER_FEV_2023!S259</f>
        <v/>
      </c>
      <c r="W259" s="582">
        <v>0</v>
      </c>
      <c r="X259" s="580"/>
      <c r="Y259" s="583">
        <f>IF(GLOBAL_DER_FEV_2023!W259=0,0,IF(GLOBAL_DER_FEV_2023!W259&gt;0,"c","b"))</f>
        <v>0</v>
      </c>
    </row>
    <row r="260" spans="1:25" ht="13.5" thickBot="1" x14ac:dyDescent="0.25">
      <c r="A260" s="317">
        <v>589170</v>
      </c>
      <c r="B260" s="1004" t="s">
        <v>1671</v>
      </c>
      <c r="C260" s="984" t="s">
        <v>213</v>
      </c>
      <c r="D260" s="985" t="s">
        <v>543</v>
      </c>
      <c r="E260" s="1005">
        <f>GLOBAL_DER_FEV_2023!E260</f>
        <v>45</v>
      </c>
      <c r="F260" s="1006">
        <f>GLOBAL_DER_FEV_2023!F260</f>
        <v>1</v>
      </c>
      <c r="G260" s="949">
        <f>GLOBAL_DER_FEV_2023!G260</f>
        <v>79.25</v>
      </c>
      <c r="H260" s="988">
        <f>GLOBAL_DER_FEV_2023!H260</f>
        <v>4031.59</v>
      </c>
      <c r="I260" s="988">
        <f>GLOBAL_DER_FEV_2023!I260</f>
        <v>3950.0061855584249</v>
      </c>
      <c r="J260" s="989">
        <f>GLOBAL_DER_FEV_2023!J260</f>
        <v>4742.7700000000004</v>
      </c>
      <c r="K260" s="990" t="s">
        <v>14</v>
      </c>
      <c r="L260" s="1154">
        <f>ROUND(L256*$F256,2)</f>
        <v>0</v>
      </c>
      <c r="M260" s="1156">
        <f t="shared" si="21"/>
        <v>0</v>
      </c>
      <c r="N260" s="993">
        <f t="shared" si="20"/>
        <v>0</v>
      </c>
      <c r="O260" s="905"/>
      <c r="P260" s="58" t="str">
        <f>IF(N256&gt;0,"xx",IF(N256&gt;0,"xy",""))</f>
        <v/>
      </c>
      <c r="Q260" s="317" t="str">
        <f t="shared" si="16"/>
        <v/>
      </c>
      <c r="R260" s="317" t="str">
        <f t="shared" si="18"/>
        <v/>
      </c>
      <c r="S260" s="317" t="str">
        <f t="shared" si="19"/>
        <v/>
      </c>
      <c r="T260" s="317" t="str">
        <f>GLOBAL_DER_FEV_2023!S260</f>
        <v/>
      </c>
      <c r="W260" s="582">
        <v>0</v>
      </c>
      <c r="X260" s="580"/>
      <c r="Y260" s="583">
        <f>IF(GLOBAL_DER_FEV_2023!W260=0,0,IF(GLOBAL_DER_FEV_2023!W260&gt;0,"c","b"))</f>
        <v>0</v>
      </c>
    </row>
    <row r="261" spans="1:25" x14ac:dyDescent="0.2">
      <c r="A261" s="317">
        <v>562100</v>
      </c>
      <c r="B261" s="999" t="s">
        <v>1637</v>
      </c>
      <c r="C261" s="1000" t="s">
        <v>184</v>
      </c>
      <c r="D261" s="973" t="s">
        <v>550</v>
      </c>
      <c r="E261" s="974" t="str">
        <f>GLOBAL_DER_FEV_2023!E261</f>
        <v>taxa RL</v>
      </c>
      <c r="F261" s="975">
        <f>GLOBAL_DER_FEV_2023!F261</f>
        <v>1.8E-3</v>
      </c>
      <c r="G261" s="976">
        <f>GLOBAL_DER_FEV_2023!G261</f>
        <v>0.68366160000000009</v>
      </c>
      <c r="H261" s="977">
        <f>GLOBAL_DER_FEV_2023!H261</f>
        <v>3.09</v>
      </c>
      <c r="I261" s="977">
        <f>GLOBAL_DER_FEV_2023!I261</f>
        <v>3.7736616000000001</v>
      </c>
      <c r="J261" s="978">
        <f>GLOBAL_DER_FEV_2023!J261</f>
        <v>4.53</v>
      </c>
      <c r="K261" s="979" t="s">
        <v>12</v>
      </c>
      <c r="L261" s="1152"/>
      <c r="M261" s="1153">
        <f t="shared" si="21"/>
        <v>0</v>
      </c>
      <c r="N261" s="982">
        <f t="shared" si="20"/>
        <v>0</v>
      </c>
      <c r="O261" s="905"/>
      <c r="Q261" s="317" t="str">
        <f t="shared" si="16"/>
        <v/>
      </c>
      <c r="R261" s="317" t="str">
        <f t="shared" si="18"/>
        <v/>
      </c>
      <c r="S261" s="317" t="str">
        <f t="shared" si="19"/>
        <v/>
      </c>
      <c r="T261" s="317" t="str">
        <f>GLOBAL_DER_FEV_2023!S261</f>
        <v/>
      </c>
      <c r="W261" s="582">
        <v>0</v>
      </c>
      <c r="X261" s="580"/>
      <c r="Y261" s="583">
        <f>IF(GLOBAL_DER_FEV_2023!W261=0,0,IF(GLOBAL_DER_FEV_2023!W261&gt;0,"c","b"))</f>
        <v>0</v>
      </c>
    </row>
    <row r="262" spans="1:25" x14ac:dyDescent="0.2">
      <c r="A262" s="317" t="s">
        <v>147</v>
      </c>
      <c r="B262" s="895" t="s">
        <v>147</v>
      </c>
      <c r="C262" s="896"/>
      <c r="D262" s="1001" t="s">
        <v>229</v>
      </c>
      <c r="E262" s="907">
        <f>GLOBAL_DER_FEV_2023!E262</f>
        <v>150</v>
      </c>
      <c r="F262" s="1002" t="str">
        <f>GLOBAL_DER_FEV_2023!F262</f>
        <v>0,0038</v>
      </c>
      <c r="G262" s="949">
        <f>GLOBAL_DER_FEV_2023!G262</f>
        <v>0.62008400000000008</v>
      </c>
      <c r="H262" s="901">
        <f>GLOBAL_DER_FEV_2023!H262</f>
        <v>0</v>
      </c>
      <c r="I262" s="901">
        <f>GLOBAL_DER_FEV_2023!I262</f>
        <v>0</v>
      </c>
      <c r="J262" s="902">
        <f>GLOBAL_DER_FEV_2023!J262</f>
        <v>0</v>
      </c>
      <c r="K262" s="903" t="s">
        <v>507</v>
      </c>
      <c r="L262" s="1003"/>
      <c r="M262" s="1157">
        <f t="shared" si="21"/>
        <v>0</v>
      </c>
      <c r="N262" s="893">
        <f t="shared" si="20"/>
        <v>0</v>
      </c>
      <c r="O262" s="905"/>
      <c r="P262" s="58" t="str">
        <f>IF(N261&gt;0,"xx",IF(N261&gt;0,"xy",""))</f>
        <v/>
      </c>
      <c r="Q262" s="317" t="str">
        <f t="shared" si="16"/>
        <v/>
      </c>
      <c r="R262" s="317" t="str">
        <f t="shared" si="18"/>
        <v/>
      </c>
      <c r="S262" s="317" t="str">
        <f t="shared" si="19"/>
        <v/>
      </c>
      <c r="T262" s="317" t="str">
        <f>GLOBAL_DER_FEV_2023!S262</f>
        <v/>
      </c>
      <c r="W262" s="582">
        <v>0</v>
      </c>
      <c r="X262" s="580"/>
      <c r="Y262" s="583">
        <f>IF(GLOBAL_DER_FEV_2023!W262=0,0,IF(GLOBAL_DER_FEV_2023!W262&gt;0,"c","b"))</f>
        <v>0</v>
      </c>
    </row>
    <row r="263" spans="1:25" x14ac:dyDescent="0.2">
      <c r="A263" s="317" t="s">
        <v>147</v>
      </c>
      <c r="B263" s="895" t="s">
        <v>147</v>
      </c>
      <c r="C263" s="896"/>
      <c r="D263" s="1001" t="s">
        <v>230</v>
      </c>
      <c r="E263" s="907">
        <f>GLOBAL_DER_FEV_2023!E263</f>
        <v>353</v>
      </c>
      <c r="F263" s="1002" t="str">
        <f>GLOBAL_DER_FEV_2023!F263</f>
        <v>0,0002</v>
      </c>
      <c r="G263" s="909">
        <f>GLOBAL_DER_FEV_2023!G263</f>
        <v>5.6632000000000009E-2</v>
      </c>
      <c r="H263" s="901">
        <f>GLOBAL_DER_FEV_2023!H263</f>
        <v>0</v>
      </c>
      <c r="I263" s="901">
        <f>GLOBAL_DER_FEV_2023!I263</f>
        <v>0</v>
      </c>
      <c r="J263" s="902">
        <f>GLOBAL_DER_FEV_2023!J263</f>
        <v>0</v>
      </c>
      <c r="K263" s="903" t="s">
        <v>507</v>
      </c>
      <c r="L263" s="1003"/>
      <c r="M263" s="1157">
        <f t="shared" si="21"/>
        <v>0</v>
      </c>
      <c r="N263" s="893">
        <f t="shared" si="20"/>
        <v>0</v>
      </c>
      <c r="O263" s="905"/>
      <c r="P263" s="58" t="str">
        <f>IF(N261&gt;0,"xx",IF(N261&gt;0,"xy",""))</f>
        <v/>
      </c>
      <c r="Q263" s="317" t="str">
        <f t="shared" si="16"/>
        <v/>
      </c>
      <c r="R263" s="317" t="str">
        <f t="shared" si="18"/>
        <v/>
      </c>
      <c r="S263" s="317" t="str">
        <f t="shared" si="19"/>
        <v/>
      </c>
      <c r="T263" s="317" t="str">
        <f>GLOBAL_DER_FEV_2023!S263</f>
        <v/>
      </c>
      <c r="W263" s="582">
        <v>0</v>
      </c>
      <c r="X263" s="580"/>
      <c r="Y263" s="583">
        <f>IF(GLOBAL_DER_FEV_2023!W263=0,0,IF(GLOBAL_DER_FEV_2023!W263&gt;0,"c","b"))</f>
        <v>0</v>
      </c>
    </row>
    <row r="264" spans="1:25" x14ac:dyDescent="0.2">
      <c r="A264" s="317" t="s">
        <v>147</v>
      </c>
      <c r="B264" s="895" t="s">
        <v>147</v>
      </c>
      <c r="C264" s="896"/>
      <c r="D264" s="957" t="s">
        <v>231</v>
      </c>
      <c r="E264" s="907">
        <f>GLOBAL_DER_FEV_2023!E264</f>
        <v>0.2</v>
      </c>
      <c r="F264" s="908" t="str">
        <f>GLOBAL_DER_FEV_2023!F264</f>
        <v>0,0024</v>
      </c>
      <c r="G264" s="949">
        <f>GLOBAL_DER_FEV_2023!G264</f>
        <v>6.9455999999999997E-3</v>
      </c>
      <c r="H264" s="901">
        <f>GLOBAL_DER_FEV_2023!H264</f>
        <v>0</v>
      </c>
      <c r="I264" s="901">
        <f>GLOBAL_DER_FEV_2023!I264</f>
        <v>0</v>
      </c>
      <c r="J264" s="902">
        <f>GLOBAL_DER_FEV_2023!J264</f>
        <v>0</v>
      </c>
      <c r="K264" s="903" t="s">
        <v>507</v>
      </c>
      <c r="L264" s="1003"/>
      <c r="M264" s="1157">
        <f t="shared" si="21"/>
        <v>0</v>
      </c>
      <c r="N264" s="893">
        <f t="shared" si="20"/>
        <v>0</v>
      </c>
      <c r="O264" s="905"/>
      <c r="P264" s="58" t="str">
        <f>IF(N261&gt;0,"xx",IF(N261&gt;0,"xy",""))</f>
        <v/>
      </c>
      <c r="Q264" s="317" t="str">
        <f t="shared" si="16"/>
        <v/>
      </c>
      <c r="R264" s="317" t="str">
        <f t="shared" si="18"/>
        <v/>
      </c>
      <c r="S264" s="317" t="str">
        <f t="shared" si="19"/>
        <v/>
      </c>
      <c r="T264" s="317" t="str">
        <f>GLOBAL_DER_FEV_2023!S264</f>
        <v/>
      </c>
      <c r="W264" s="582">
        <v>0</v>
      </c>
      <c r="X264" s="580"/>
      <c r="Y264" s="583">
        <f>IF(GLOBAL_DER_FEV_2023!W264=0,0,IF(GLOBAL_DER_FEV_2023!W264&gt;0,"c","b"))</f>
        <v>0</v>
      </c>
    </row>
    <row r="265" spans="1:25" ht="13.5" thickBot="1" x14ac:dyDescent="0.25">
      <c r="A265" s="317">
        <v>589170</v>
      </c>
      <c r="B265" s="883" t="s">
        <v>1672</v>
      </c>
      <c r="C265" s="1007" t="s">
        <v>213</v>
      </c>
      <c r="D265" s="1008" t="s">
        <v>546</v>
      </c>
      <c r="E265" s="1005">
        <f>GLOBAL_DER_FEV_2023!E265</f>
        <v>45</v>
      </c>
      <c r="F265" s="1006">
        <f>GLOBAL_DER_FEV_2023!F265</f>
        <v>1</v>
      </c>
      <c r="G265" s="949">
        <f>GLOBAL_DER_FEV_2023!G265</f>
        <v>79.25</v>
      </c>
      <c r="H265" s="988">
        <f>GLOBAL_DER_FEV_2023!H265</f>
        <v>4031.59</v>
      </c>
      <c r="I265" s="988">
        <f>GLOBAL_DER_FEV_2023!I265</f>
        <v>3950.0061855584249</v>
      </c>
      <c r="J265" s="890">
        <f>GLOBAL_DER_FEV_2023!J265</f>
        <v>4742.7700000000004</v>
      </c>
      <c r="K265" s="990" t="s">
        <v>14</v>
      </c>
      <c r="L265" s="1154">
        <f>ROUND(L261*$F261,2)</f>
        <v>0</v>
      </c>
      <c r="M265" s="1156">
        <f t="shared" si="21"/>
        <v>0</v>
      </c>
      <c r="N265" s="993">
        <f t="shared" si="20"/>
        <v>0</v>
      </c>
      <c r="O265" s="905"/>
      <c r="P265" s="58" t="str">
        <f>IF(N261&gt;0,"xx",IF(N261&gt;0,"xy",""))</f>
        <v/>
      </c>
      <c r="Q265" s="317" t="str">
        <f t="shared" si="16"/>
        <v/>
      </c>
      <c r="R265" s="317" t="str">
        <f t="shared" si="18"/>
        <v/>
      </c>
      <c r="S265" s="317" t="str">
        <f t="shared" si="19"/>
        <v/>
      </c>
      <c r="T265" s="317" t="str">
        <f>GLOBAL_DER_FEV_2023!S265</f>
        <v/>
      </c>
      <c r="W265" s="582">
        <v>0</v>
      </c>
      <c r="X265" s="580"/>
      <c r="Y265" s="583">
        <f>IF(GLOBAL_DER_FEV_2023!W265=0,0,IF(GLOBAL_DER_FEV_2023!W265&gt;0,"c","b"))</f>
        <v>0</v>
      </c>
    </row>
    <row r="266" spans="1:25" x14ac:dyDescent="0.2">
      <c r="A266" s="317">
        <v>562200</v>
      </c>
      <c r="B266" s="999" t="s">
        <v>1638</v>
      </c>
      <c r="C266" s="1000" t="s">
        <v>184</v>
      </c>
      <c r="D266" s="973" t="s">
        <v>551</v>
      </c>
      <c r="E266" s="974" t="str">
        <f>GLOBAL_DER_FEV_2023!E266</f>
        <v>taxa RL</v>
      </c>
      <c r="F266" s="975">
        <f>GLOBAL_DER_FEV_2023!F266</f>
        <v>2E-3</v>
      </c>
      <c r="G266" s="976">
        <f>GLOBAL_DER_FEV_2023!G266</f>
        <v>1.0807922000000001</v>
      </c>
      <c r="H266" s="977">
        <f>GLOBAL_DER_FEV_2023!H266</f>
        <v>4.1100000000000003</v>
      </c>
      <c r="I266" s="977">
        <f>GLOBAL_DER_FEV_2023!I266</f>
        <v>5.1907922000000006</v>
      </c>
      <c r="J266" s="978">
        <f>GLOBAL_DER_FEV_2023!J266</f>
        <v>6.23</v>
      </c>
      <c r="K266" s="979" t="s">
        <v>12</v>
      </c>
      <c r="L266" s="1152"/>
      <c r="M266" s="1153">
        <f t="shared" si="21"/>
        <v>0</v>
      </c>
      <c r="N266" s="982">
        <f t="shared" si="20"/>
        <v>0</v>
      </c>
      <c r="O266" s="905"/>
      <c r="Q266" s="317" t="str">
        <f t="shared" si="16"/>
        <v/>
      </c>
      <c r="R266" s="317" t="str">
        <f t="shared" si="18"/>
        <v/>
      </c>
      <c r="S266" s="317" t="str">
        <f t="shared" si="19"/>
        <v/>
      </c>
      <c r="T266" s="317" t="str">
        <f>GLOBAL_DER_FEV_2023!S266</f>
        <v/>
      </c>
      <c r="W266" s="582">
        <v>0</v>
      </c>
      <c r="X266" s="580"/>
      <c r="Y266" s="583">
        <f>IF(GLOBAL_DER_FEV_2023!W266=0,0,IF(GLOBAL_DER_FEV_2023!W266&gt;0,"c","b"))</f>
        <v>0</v>
      </c>
    </row>
    <row r="267" spans="1:25" x14ac:dyDescent="0.2">
      <c r="A267" s="317" t="s">
        <v>147</v>
      </c>
      <c r="B267" s="895" t="s">
        <v>147</v>
      </c>
      <c r="C267" s="896"/>
      <c r="D267" s="1001" t="s">
        <v>229</v>
      </c>
      <c r="E267" s="907">
        <f>GLOBAL_DER_FEV_2023!E267</f>
        <v>150</v>
      </c>
      <c r="F267" s="1002" t="str">
        <f>GLOBAL_DER_FEV_2023!F267</f>
        <v>0,0062</v>
      </c>
      <c r="G267" s="949">
        <f>GLOBAL_DER_FEV_2023!G267</f>
        <v>1.0117160000000001</v>
      </c>
      <c r="H267" s="901">
        <f>GLOBAL_DER_FEV_2023!H267</f>
        <v>0</v>
      </c>
      <c r="I267" s="901">
        <f>GLOBAL_DER_FEV_2023!I267</f>
        <v>0</v>
      </c>
      <c r="J267" s="902">
        <f>GLOBAL_DER_FEV_2023!J267</f>
        <v>0</v>
      </c>
      <c r="K267" s="903"/>
      <c r="L267" s="1003"/>
      <c r="M267" s="1157">
        <f t="shared" si="21"/>
        <v>0</v>
      </c>
      <c r="N267" s="893">
        <f t="shared" si="20"/>
        <v>0</v>
      </c>
      <c r="O267" s="905"/>
      <c r="P267" s="58" t="str">
        <f>IF(N266&gt;0,"xx",IF(N266&gt;0,"xy",""))</f>
        <v/>
      </c>
      <c r="Q267" s="317" t="str">
        <f t="shared" si="16"/>
        <v/>
      </c>
      <c r="R267" s="317" t="str">
        <f t="shared" si="18"/>
        <v/>
      </c>
      <c r="S267" s="317" t="str">
        <f t="shared" si="19"/>
        <v/>
      </c>
      <c r="T267" s="317" t="str">
        <f>GLOBAL_DER_FEV_2023!S267</f>
        <v/>
      </c>
      <c r="W267" s="582">
        <v>0</v>
      </c>
      <c r="X267" s="580"/>
      <c r="Y267" s="583">
        <f>IF(GLOBAL_DER_FEV_2023!W267=0,0,IF(GLOBAL_DER_FEV_2023!W267&gt;0,"c","b"))</f>
        <v>0</v>
      </c>
    </row>
    <row r="268" spans="1:25" x14ac:dyDescent="0.2">
      <c r="A268" s="317" t="s">
        <v>147</v>
      </c>
      <c r="B268" s="895" t="s">
        <v>147</v>
      </c>
      <c r="C268" s="896"/>
      <c r="D268" s="1001" t="s">
        <v>230</v>
      </c>
      <c r="E268" s="907">
        <f>GLOBAL_DER_FEV_2023!E268</f>
        <v>353</v>
      </c>
      <c r="F268" s="1002" t="str">
        <f>GLOBAL_DER_FEV_2023!F268</f>
        <v>0,0002</v>
      </c>
      <c r="G268" s="909">
        <f>GLOBAL_DER_FEV_2023!G268</f>
        <v>5.6632000000000009E-2</v>
      </c>
      <c r="H268" s="901">
        <f>GLOBAL_DER_FEV_2023!H268</f>
        <v>0</v>
      </c>
      <c r="I268" s="901">
        <f>GLOBAL_DER_FEV_2023!I268</f>
        <v>0</v>
      </c>
      <c r="J268" s="902">
        <f>GLOBAL_DER_FEV_2023!J268</f>
        <v>0</v>
      </c>
      <c r="K268" s="903" t="s">
        <v>507</v>
      </c>
      <c r="L268" s="1003"/>
      <c r="M268" s="1157">
        <f t="shared" si="21"/>
        <v>0</v>
      </c>
      <c r="N268" s="893">
        <f t="shared" si="20"/>
        <v>0</v>
      </c>
      <c r="O268" s="905"/>
      <c r="P268" s="58" t="str">
        <f>IF(N266&gt;0,"xx",IF(N266&gt;0,"xy",""))</f>
        <v/>
      </c>
      <c r="Q268" s="317" t="str">
        <f t="shared" si="16"/>
        <v/>
      </c>
      <c r="R268" s="317" t="str">
        <f t="shared" si="18"/>
        <v/>
      </c>
      <c r="S268" s="317" t="str">
        <f t="shared" si="19"/>
        <v/>
      </c>
      <c r="T268" s="317" t="str">
        <f>GLOBAL_DER_FEV_2023!S268</f>
        <v/>
      </c>
      <c r="W268" s="582">
        <v>0</v>
      </c>
      <c r="X268" s="580"/>
      <c r="Y268" s="583">
        <f>IF(GLOBAL_DER_FEV_2023!W268=0,0,IF(GLOBAL_DER_FEV_2023!W268&gt;0,"c","b"))</f>
        <v>0</v>
      </c>
    </row>
    <row r="269" spans="1:25" x14ac:dyDescent="0.2">
      <c r="A269" s="317" t="s">
        <v>147</v>
      </c>
      <c r="B269" s="895" t="s">
        <v>147</v>
      </c>
      <c r="C269" s="896"/>
      <c r="D269" s="957" t="s">
        <v>231</v>
      </c>
      <c r="E269" s="907">
        <f>GLOBAL_DER_FEV_2023!E269</f>
        <v>0.2</v>
      </c>
      <c r="F269" s="908" t="str">
        <f>GLOBAL_DER_FEV_2023!F269</f>
        <v>0,0043</v>
      </c>
      <c r="G269" s="949">
        <f>GLOBAL_DER_FEV_2023!G269</f>
        <v>1.2444200000000001E-2</v>
      </c>
      <c r="H269" s="901">
        <f>GLOBAL_DER_FEV_2023!H269</f>
        <v>0</v>
      </c>
      <c r="I269" s="901">
        <f>GLOBAL_DER_FEV_2023!I269</f>
        <v>0</v>
      </c>
      <c r="J269" s="902">
        <f>GLOBAL_DER_FEV_2023!J269</f>
        <v>0</v>
      </c>
      <c r="K269" s="903" t="s">
        <v>507</v>
      </c>
      <c r="L269" s="1003"/>
      <c r="M269" s="1157">
        <f t="shared" si="21"/>
        <v>0</v>
      </c>
      <c r="N269" s="893">
        <f t="shared" si="20"/>
        <v>0</v>
      </c>
      <c r="O269" s="905"/>
      <c r="P269" s="58" t="str">
        <f>IF(N266&gt;0,"xx",IF(N266&gt;0,"xy",""))</f>
        <v/>
      </c>
      <c r="Q269" s="317" t="str">
        <f t="shared" si="16"/>
        <v/>
      </c>
      <c r="R269" s="317" t="str">
        <f t="shared" si="18"/>
        <v/>
      </c>
      <c r="S269" s="317" t="str">
        <f t="shared" si="19"/>
        <v/>
      </c>
      <c r="T269" s="317" t="str">
        <f>GLOBAL_DER_FEV_2023!S269</f>
        <v/>
      </c>
      <c r="W269" s="582">
        <v>0</v>
      </c>
      <c r="X269" s="580"/>
      <c r="Y269" s="583">
        <f>IF(GLOBAL_DER_FEV_2023!W269=0,0,IF(GLOBAL_DER_FEV_2023!W269&gt;0,"c","b"))</f>
        <v>0</v>
      </c>
    </row>
    <row r="270" spans="1:25" ht="13.5" thickBot="1" x14ac:dyDescent="0.25">
      <c r="A270" s="317">
        <v>589170</v>
      </c>
      <c r="B270" s="883" t="s">
        <v>1673</v>
      </c>
      <c r="C270" s="1007" t="s">
        <v>213</v>
      </c>
      <c r="D270" s="1008" t="s">
        <v>547</v>
      </c>
      <c r="E270" s="1005">
        <f>GLOBAL_DER_FEV_2023!E270</f>
        <v>45</v>
      </c>
      <c r="F270" s="1006">
        <f>GLOBAL_DER_FEV_2023!F270</f>
        <v>1</v>
      </c>
      <c r="G270" s="949">
        <f>GLOBAL_DER_FEV_2023!G270</f>
        <v>79.25</v>
      </c>
      <c r="H270" s="988">
        <f>GLOBAL_DER_FEV_2023!H270</f>
        <v>4031.59</v>
      </c>
      <c r="I270" s="988">
        <f>GLOBAL_DER_FEV_2023!I270</f>
        <v>3950.0061855584249</v>
      </c>
      <c r="J270" s="890">
        <f>GLOBAL_DER_FEV_2023!J270</f>
        <v>4742.7700000000004</v>
      </c>
      <c r="K270" s="990" t="s">
        <v>14</v>
      </c>
      <c r="L270" s="1154">
        <f>ROUND(L266*$F266,2)</f>
        <v>0</v>
      </c>
      <c r="M270" s="1156">
        <f t="shared" si="21"/>
        <v>0</v>
      </c>
      <c r="N270" s="993">
        <f t="shared" si="20"/>
        <v>0</v>
      </c>
      <c r="O270" s="905"/>
      <c r="P270" s="58" t="str">
        <f>IF(N266&gt;0,"xx",IF(N266&gt;0,"xy",""))</f>
        <v/>
      </c>
      <c r="Q270" s="317" t="str">
        <f t="shared" si="16"/>
        <v/>
      </c>
      <c r="R270" s="317" t="str">
        <f t="shared" si="18"/>
        <v/>
      </c>
      <c r="S270" s="317" t="str">
        <f t="shared" si="19"/>
        <v/>
      </c>
      <c r="T270" s="317" t="str">
        <f>GLOBAL_DER_FEV_2023!S270</f>
        <v/>
      </c>
      <c r="W270" s="582">
        <v>0</v>
      </c>
      <c r="X270" s="580"/>
      <c r="Y270" s="583">
        <f>IF(GLOBAL_DER_FEV_2023!W270=0,0,IF(GLOBAL_DER_FEV_2023!W270&gt;0,"c","b"))</f>
        <v>0</v>
      </c>
    </row>
    <row r="271" spans="1:25" x14ac:dyDescent="0.2">
      <c r="A271" s="317">
        <v>562200</v>
      </c>
      <c r="B271" s="999" t="s">
        <v>1639</v>
      </c>
      <c r="C271" s="1000" t="s">
        <v>184</v>
      </c>
      <c r="D271" s="973" t="s">
        <v>549</v>
      </c>
      <c r="E271" s="974" t="str">
        <f>GLOBAL_DER_FEV_2023!E271</f>
        <v>taxa RL</v>
      </c>
      <c r="F271" s="975">
        <f>GLOBAL_DER_FEV_2023!F271</f>
        <v>2.5999999999999999E-3</v>
      </c>
      <c r="G271" s="976">
        <f>GLOBAL_DER_FEV_2023!G271</f>
        <v>2.0788368000000004</v>
      </c>
      <c r="H271" s="977">
        <f>GLOBAL_DER_FEV_2023!H271</f>
        <v>4.1100000000000003</v>
      </c>
      <c r="I271" s="977">
        <f>GLOBAL_DER_FEV_2023!I271</f>
        <v>6.1888368000000007</v>
      </c>
      <c r="J271" s="978">
        <f>GLOBAL_DER_FEV_2023!J271</f>
        <v>7.43</v>
      </c>
      <c r="K271" s="979" t="s">
        <v>12</v>
      </c>
      <c r="L271" s="1152"/>
      <c r="M271" s="1153">
        <f t="shared" si="21"/>
        <v>0</v>
      </c>
      <c r="N271" s="982">
        <f t="shared" si="20"/>
        <v>0</v>
      </c>
      <c r="O271" s="905"/>
      <c r="Q271" s="317" t="str">
        <f t="shared" si="16"/>
        <v/>
      </c>
      <c r="R271" s="317" t="str">
        <f t="shared" si="18"/>
        <v/>
      </c>
      <c r="S271" s="317" t="str">
        <f t="shared" si="19"/>
        <v/>
      </c>
      <c r="T271" s="317" t="str">
        <f>GLOBAL_DER_FEV_2023!S271</f>
        <v/>
      </c>
      <c r="W271" s="582">
        <v>0</v>
      </c>
      <c r="X271" s="580"/>
      <c r="Y271" s="583">
        <f>IF(GLOBAL_DER_FEV_2023!W271=0,0,IF(GLOBAL_DER_FEV_2023!W271&gt;0,"c","b"))</f>
        <v>0</v>
      </c>
    </row>
    <row r="272" spans="1:25" x14ac:dyDescent="0.2">
      <c r="A272" s="317" t="s">
        <v>147</v>
      </c>
      <c r="B272" s="895" t="s">
        <v>147</v>
      </c>
      <c r="C272" s="896"/>
      <c r="D272" s="1001" t="s">
        <v>229</v>
      </c>
      <c r="E272" s="907">
        <f>GLOBAL_DER_FEV_2023!E272</f>
        <v>150</v>
      </c>
      <c r="F272" s="1002" t="str">
        <f>GLOBAL_DER_FEV_2023!F272</f>
        <v>0,0119</v>
      </c>
      <c r="G272" s="949">
        <f>GLOBAL_DER_FEV_2023!G272</f>
        <v>1.9418420000000003</v>
      </c>
      <c r="H272" s="901">
        <f>GLOBAL_DER_FEV_2023!H272</f>
        <v>0</v>
      </c>
      <c r="I272" s="901">
        <f>GLOBAL_DER_FEV_2023!I272</f>
        <v>0</v>
      </c>
      <c r="J272" s="902">
        <f>GLOBAL_DER_FEV_2023!J272</f>
        <v>0</v>
      </c>
      <c r="K272" s="903" t="s">
        <v>507</v>
      </c>
      <c r="L272" s="1158"/>
      <c r="M272" s="1157">
        <f>IF(L271=0,0,ROUND(J272,2))</f>
        <v>0</v>
      </c>
      <c r="N272" s="893">
        <f t="shared" si="20"/>
        <v>0</v>
      </c>
      <c r="O272" s="905"/>
      <c r="P272" s="58" t="str">
        <f>IF(N271&gt;0,"xx",IF(N271&gt;0,"xy",""))</f>
        <v/>
      </c>
      <c r="Q272" s="317" t="str">
        <f t="shared" si="16"/>
        <v/>
      </c>
      <c r="R272" s="317" t="str">
        <f t="shared" si="18"/>
        <v/>
      </c>
      <c r="S272" s="317" t="str">
        <f t="shared" si="19"/>
        <v/>
      </c>
      <c r="T272" s="317" t="str">
        <f>GLOBAL_DER_FEV_2023!S272</f>
        <v/>
      </c>
      <c r="W272" s="582">
        <v>0</v>
      </c>
      <c r="X272" s="580"/>
      <c r="Y272" s="583">
        <f>IF(GLOBAL_DER_FEV_2023!W272=0,0,IF(GLOBAL_DER_FEV_2023!W272&gt;0,"c","b"))</f>
        <v>0</v>
      </c>
    </row>
    <row r="273" spans="1:25" x14ac:dyDescent="0.2">
      <c r="A273" s="317" t="s">
        <v>147</v>
      </c>
      <c r="B273" s="895" t="s">
        <v>147</v>
      </c>
      <c r="C273" s="896"/>
      <c r="D273" s="1001" t="s">
        <v>230</v>
      </c>
      <c r="E273" s="907">
        <f>GLOBAL_DER_FEV_2023!E273</f>
        <v>353</v>
      </c>
      <c r="F273" s="1002" t="str">
        <f>GLOBAL_DER_FEV_2023!F273</f>
        <v>0,0004</v>
      </c>
      <c r="G273" s="909">
        <f>GLOBAL_DER_FEV_2023!G273</f>
        <v>0.11326400000000002</v>
      </c>
      <c r="H273" s="901">
        <f>GLOBAL_DER_FEV_2023!H273</f>
        <v>0</v>
      </c>
      <c r="I273" s="901">
        <f>GLOBAL_DER_FEV_2023!I273</f>
        <v>0</v>
      </c>
      <c r="J273" s="902">
        <f>GLOBAL_DER_FEV_2023!J273</f>
        <v>0</v>
      </c>
      <c r="K273" s="903" t="s">
        <v>507</v>
      </c>
      <c r="L273" s="1003"/>
      <c r="M273" s="1157">
        <f t="shared" ref="M273:M336" si="22">IF(L273=0,0,ROUND(J273,2))</f>
        <v>0</v>
      </c>
      <c r="N273" s="893">
        <f t="shared" si="20"/>
        <v>0</v>
      </c>
      <c r="O273" s="905"/>
      <c r="P273" s="58" t="str">
        <f>IF(N271&gt;0,"xx",IF(N271&gt;0,"xy",""))</f>
        <v/>
      </c>
      <c r="Q273" s="317" t="str">
        <f t="shared" si="16"/>
        <v/>
      </c>
      <c r="R273" s="317" t="str">
        <f t="shared" si="18"/>
        <v/>
      </c>
      <c r="S273" s="317" t="str">
        <f t="shared" si="19"/>
        <v/>
      </c>
      <c r="T273" s="317" t="str">
        <f>GLOBAL_DER_FEV_2023!S273</f>
        <v/>
      </c>
      <c r="W273" s="582">
        <v>0</v>
      </c>
      <c r="X273" s="580"/>
      <c r="Y273" s="583">
        <f>IF(GLOBAL_DER_FEV_2023!W273=0,0,IF(GLOBAL_DER_FEV_2023!W273&gt;0,"c","b"))</f>
        <v>0</v>
      </c>
    </row>
    <row r="274" spans="1:25" x14ac:dyDescent="0.2">
      <c r="A274" s="317" t="s">
        <v>147</v>
      </c>
      <c r="B274" s="895" t="s">
        <v>147</v>
      </c>
      <c r="C274" s="896"/>
      <c r="D274" s="957" t="s">
        <v>231</v>
      </c>
      <c r="E274" s="907">
        <f>GLOBAL_DER_FEV_2023!E274</f>
        <v>0.2</v>
      </c>
      <c r="F274" s="908" t="str">
        <f>GLOBAL_DER_FEV_2023!F274</f>
        <v>0,0082</v>
      </c>
      <c r="G274" s="949">
        <f>GLOBAL_DER_FEV_2023!G274</f>
        <v>2.3730800000000003E-2</v>
      </c>
      <c r="H274" s="901">
        <f>GLOBAL_DER_FEV_2023!H274</f>
        <v>0</v>
      </c>
      <c r="I274" s="901">
        <f>GLOBAL_DER_FEV_2023!I274</f>
        <v>0</v>
      </c>
      <c r="J274" s="902">
        <f>GLOBAL_DER_FEV_2023!J274</f>
        <v>0</v>
      </c>
      <c r="K274" s="903" t="s">
        <v>507</v>
      </c>
      <c r="L274" s="1003"/>
      <c r="M274" s="1157">
        <f t="shared" si="22"/>
        <v>0</v>
      </c>
      <c r="N274" s="893">
        <f t="shared" si="20"/>
        <v>0</v>
      </c>
      <c r="O274" s="905"/>
      <c r="P274" s="58" t="str">
        <f>IF(N271&gt;0,"xx",IF(N271&gt;0,"xy",""))</f>
        <v/>
      </c>
      <c r="Q274" s="317" t="str">
        <f t="shared" si="16"/>
        <v/>
      </c>
      <c r="R274" s="317" t="str">
        <f t="shared" si="18"/>
        <v/>
      </c>
      <c r="S274" s="317" t="str">
        <f t="shared" si="19"/>
        <v/>
      </c>
      <c r="T274" s="317" t="str">
        <f>GLOBAL_DER_FEV_2023!S274</f>
        <v/>
      </c>
      <c r="W274" s="582">
        <v>0</v>
      </c>
      <c r="X274" s="580"/>
      <c r="Y274" s="583">
        <f>IF(GLOBAL_DER_FEV_2023!W274=0,0,IF(GLOBAL_DER_FEV_2023!W274&gt;0,"c","b"))</f>
        <v>0</v>
      </c>
    </row>
    <row r="275" spans="1:25" ht="13.5" thickBot="1" x14ac:dyDescent="0.25">
      <c r="A275" s="317">
        <v>589170</v>
      </c>
      <c r="B275" s="1009" t="s">
        <v>1674</v>
      </c>
      <c r="C275" s="984" t="s">
        <v>213</v>
      </c>
      <c r="D275" s="1010" t="s">
        <v>548</v>
      </c>
      <c r="E275" s="1005">
        <f>GLOBAL_DER_FEV_2023!E275</f>
        <v>45</v>
      </c>
      <c r="F275" s="1006">
        <f>GLOBAL_DER_FEV_2023!F275</f>
        <v>1</v>
      </c>
      <c r="G275" s="949">
        <f>GLOBAL_DER_FEV_2023!G275</f>
        <v>79.25</v>
      </c>
      <c r="H275" s="988">
        <f>GLOBAL_DER_FEV_2023!H275</f>
        <v>4031.59</v>
      </c>
      <c r="I275" s="988">
        <f>GLOBAL_DER_FEV_2023!I275</f>
        <v>3950.0061855584249</v>
      </c>
      <c r="J275" s="1011">
        <f>GLOBAL_DER_FEV_2023!J275</f>
        <v>4742.7700000000004</v>
      </c>
      <c r="K275" s="990" t="s">
        <v>14</v>
      </c>
      <c r="L275" s="1154">
        <f>ROUND(L271*$F271,2)</f>
        <v>0</v>
      </c>
      <c r="M275" s="1155">
        <f t="shared" si="22"/>
        <v>0</v>
      </c>
      <c r="N275" s="993">
        <f t="shared" si="20"/>
        <v>0</v>
      </c>
      <c r="O275" s="905"/>
      <c r="P275" s="58" t="str">
        <f>IF(N271&gt;0,"xx",IF(N271&gt;0,"xy",""))</f>
        <v/>
      </c>
      <c r="Q275" s="317" t="str">
        <f t="shared" ref="Q275:Q338" si="23">IF(P275="X","x",IF(P275="xx","x",IF(P275="xy","x",IF(P275="y","x",IF(OR(N275&gt;0,N275&gt;0),"x","")))))</f>
        <v/>
      </c>
      <c r="R275" s="317" t="str">
        <f t="shared" si="18"/>
        <v/>
      </c>
      <c r="S275" s="317" t="str">
        <f t="shared" si="19"/>
        <v/>
      </c>
      <c r="T275" s="317" t="str">
        <f>GLOBAL_DER_FEV_2023!S275</f>
        <v/>
      </c>
      <c r="W275" s="582">
        <v>0</v>
      </c>
      <c r="X275" s="580"/>
      <c r="Y275" s="583">
        <f>IF(GLOBAL_DER_FEV_2023!W275=0,0,IF(GLOBAL_DER_FEV_2023!W275&gt;0,"c","b"))</f>
        <v>0</v>
      </c>
    </row>
    <row r="276" spans="1:25" x14ac:dyDescent="0.2">
      <c r="A276" s="317">
        <v>587000</v>
      </c>
      <c r="B276" s="999">
        <v>587000</v>
      </c>
      <c r="C276" s="1000" t="s">
        <v>184</v>
      </c>
      <c r="D276" s="973" t="s">
        <v>232</v>
      </c>
      <c r="E276" s="974" t="str">
        <f>GLOBAL_DER_FEV_2023!E276</f>
        <v>taxa RR-2C</v>
      </c>
      <c r="F276" s="975">
        <f>GLOBAL_DER_FEV_2023!F276</f>
        <v>1.5E-3</v>
      </c>
      <c r="G276" s="976">
        <f>GLOBAL_DER_FEV_2023!G276</f>
        <v>4.3409999999999997E-2</v>
      </c>
      <c r="H276" s="977">
        <f>GLOBAL_DER_FEV_2023!H276</f>
        <v>4.53</v>
      </c>
      <c r="I276" s="977">
        <f>GLOBAL_DER_FEV_2023!I276</f>
        <v>4.57341</v>
      </c>
      <c r="J276" s="978">
        <f>GLOBAL_DER_FEV_2023!J276</f>
        <v>5.49</v>
      </c>
      <c r="K276" s="979" t="s">
        <v>12</v>
      </c>
      <c r="L276" s="1152"/>
      <c r="M276" s="1153">
        <f t="shared" si="22"/>
        <v>0</v>
      </c>
      <c r="N276" s="982">
        <f t="shared" si="20"/>
        <v>0</v>
      </c>
      <c r="O276" s="905"/>
      <c r="Q276" s="317" t="str">
        <f t="shared" si="23"/>
        <v/>
      </c>
      <c r="R276" s="317" t="str">
        <f t="shared" si="18"/>
        <v/>
      </c>
      <c r="S276" s="317" t="str">
        <f t="shared" si="19"/>
        <v/>
      </c>
      <c r="T276" s="317" t="str">
        <f>GLOBAL_DER_FEV_2023!S276</f>
        <v/>
      </c>
      <c r="W276" s="582">
        <v>0</v>
      </c>
      <c r="X276" s="580"/>
      <c r="Y276" s="583">
        <f>IF(GLOBAL_DER_FEV_2023!W276=0,0,IF(GLOBAL_DER_FEV_2023!W276&gt;0,"c","b"))</f>
        <v>0</v>
      </c>
    </row>
    <row r="277" spans="1:25" x14ac:dyDescent="0.2">
      <c r="A277" s="317" t="s">
        <v>147</v>
      </c>
      <c r="B277" s="895" t="s">
        <v>147</v>
      </c>
      <c r="C277" s="896"/>
      <c r="D277" s="957" t="s">
        <v>233</v>
      </c>
      <c r="E277" s="898">
        <f>GLOBAL_DER_FEV_2023!E277</f>
        <v>0.2</v>
      </c>
      <c r="F277" s="899">
        <f>GLOBAL_DER_FEV_2023!F277</f>
        <v>1.4999999999999999E-2</v>
      </c>
      <c r="G277" s="949">
        <f>GLOBAL_DER_FEV_2023!G277</f>
        <v>4.3409999999999997E-2</v>
      </c>
      <c r="H277" s="901">
        <f>GLOBAL_DER_FEV_2023!H277</f>
        <v>0</v>
      </c>
      <c r="I277" s="901">
        <f>GLOBAL_DER_FEV_2023!I277</f>
        <v>0</v>
      </c>
      <c r="J277" s="902">
        <f>GLOBAL_DER_FEV_2023!J277</f>
        <v>0</v>
      </c>
      <c r="K277" s="903" t="s">
        <v>507</v>
      </c>
      <c r="L277" s="1003"/>
      <c r="M277" s="1157">
        <f t="shared" si="22"/>
        <v>0</v>
      </c>
      <c r="N277" s="893">
        <f t="shared" si="20"/>
        <v>0</v>
      </c>
      <c r="O277" s="905"/>
      <c r="P277" s="58" t="str">
        <f>IF(N276&gt;0,"xx",IF(N276&gt;0,"xy",""))</f>
        <v/>
      </c>
      <c r="Q277" s="317" t="str">
        <f t="shared" si="23"/>
        <v/>
      </c>
      <c r="R277" s="317" t="str">
        <f t="shared" ref="R277:R340" si="24">IF(P277="X","x",IF(P277="y","x",IF(P277="xx","x",IF(N277&gt;0,"x",""))))</f>
        <v/>
      </c>
      <c r="S277" s="317" t="str">
        <f t="shared" ref="S277:S340" si="25">IF(P277="X","x",IF(N277&gt;0,"x",""))</f>
        <v/>
      </c>
      <c r="T277" s="317" t="str">
        <f>GLOBAL_DER_FEV_2023!S277</f>
        <v/>
      </c>
      <c r="W277" s="582">
        <v>0</v>
      </c>
      <c r="X277" s="580"/>
      <c r="Y277" s="583">
        <f>IF(GLOBAL_DER_FEV_2023!W277=0,0,IF(GLOBAL_DER_FEV_2023!W277&gt;0,"c","b"))</f>
        <v>0</v>
      </c>
    </row>
    <row r="278" spans="1:25" ht="13.5" thickBot="1" x14ac:dyDescent="0.25">
      <c r="A278" s="317">
        <v>589520</v>
      </c>
      <c r="B278" s="1004" t="s">
        <v>1662</v>
      </c>
      <c r="C278" s="984" t="s">
        <v>213</v>
      </c>
      <c r="D278" s="1012" t="s">
        <v>552</v>
      </c>
      <c r="E278" s="1005">
        <f>GLOBAL_DER_FEV_2023!E278</f>
        <v>353</v>
      </c>
      <c r="F278" s="1006">
        <f>GLOBAL_DER_FEV_2023!F278</f>
        <v>1</v>
      </c>
      <c r="G278" s="949">
        <f>GLOBAL_DER_FEV_2023!G278</f>
        <v>337.96999999999997</v>
      </c>
      <c r="H278" s="988">
        <f>GLOBAL_DER_FEV_2023!H278</f>
        <v>4164.04</v>
      </c>
      <c r="I278" s="988">
        <f>GLOBAL_DER_FEV_2023!I278</f>
        <v>4335.8923053218959</v>
      </c>
      <c r="J278" s="989">
        <f>GLOBAL_DER_FEV_2023!J278</f>
        <v>5206.1099999999997</v>
      </c>
      <c r="K278" s="990" t="s">
        <v>14</v>
      </c>
      <c r="L278" s="1154">
        <f>ROUND(L276*$F276,2)</f>
        <v>0</v>
      </c>
      <c r="M278" s="1159">
        <f t="shared" si="22"/>
        <v>0</v>
      </c>
      <c r="N278" s="993">
        <f t="shared" si="20"/>
        <v>0</v>
      </c>
      <c r="O278" s="905"/>
      <c r="P278" s="58" t="str">
        <f>IF(N276&gt;0,"xx",IF(N276&gt;0,"xy",""))</f>
        <v/>
      </c>
      <c r="Q278" s="317" t="str">
        <f t="shared" si="23"/>
        <v/>
      </c>
      <c r="R278" s="317" t="str">
        <f t="shared" si="24"/>
        <v/>
      </c>
      <c r="S278" s="317" t="str">
        <f t="shared" si="25"/>
        <v/>
      </c>
      <c r="T278" s="317" t="str">
        <f>GLOBAL_DER_FEV_2023!S278</f>
        <v/>
      </c>
      <c r="W278" s="582">
        <v>0</v>
      </c>
      <c r="X278" s="580"/>
      <c r="Y278" s="583">
        <f>IF(GLOBAL_DER_FEV_2023!W278=0,0,IF(GLOBAL_DER_FEV_2023!W278&gt;0,"c","b"))</f>
        <v>0</v>
      </c>
    </row>
    <row r="279" spans="1:25" x14ac:dyDescent="0.2">
      <c r="A279" s="317">
        <v>583100</v>
      </c>
      <c r="B279" s="999" t="s">
        <v>1640</v>
      </c>
      <c r="C279" s="1000" t="s">
        <v>184</v>
      </c>
      <c r="D279" s="1014" t="s">
        <v>234</v>
      </c>
      <c r="E279" s="974" t="str">
        <f>GLOBAL_DER_FEV_2023!E279</f>
        <v>taxa RR-2C</v>
      </c>
      <c r="F279" s="975">
        <f>GLOBAL_DER_FEV_2023!F279</f>
        <v>3.0999999999999999E-3</v>
      </c>
      <c r="G279" s="976">
        <f>GLOBAL_DER_FEV_2023!G279</f>
        <v>7.6112200000000005E-2</v>
      </c>
      <c r="H279" s="977">
        <f>GLOBAL_DER_FEV_2023!H279</f>
        <v>6.82</v>
      </c>
      <c r="I279" s="977">
        <f>GLOBAL_DER_FEV_2023!I279</f>
        <v>6.8961122000000001</v>
      </c>
      <c r="J279" s="978">
        <f>GLOBAL_DER_FEV_2023!J279</f>
        <v>8.2799999999999994</v>
      </c>
      <c r="K279" s="979" t="s">
        <v>12</v>
      </c>
      <c r="L279" s="1152"/>
      <c r="M279" s="1153">
        <f t="shared" si="22"/>
        <v>0</v>
      </c>
      <c r="N279" s="982">
        <f t="shared" si="20"/>
        <v>0</v>
      </c>
      <c r="O279" s="905"/>
      <c r="Q279" s="317" t="str">
        <f t="shared" si="23"/>
        <v/>
      </c>
      <c r="R279" s="317" t="str">
        <f t="shared" si="24"/>
        <v/>
      </c>
      <c r="S279" s="317" t="str">
        <f t="shared" si="25"/>
        <v/>
      </c>
      <c r="T279" s="317" t="str">
        <f>GLOBAL_DER_FEV_2023!S279</f>
        <v/>
      </c>
      <c r="W279" s="582">
        <v>0</v>
      </c>
      <c r="X279" s="580"/>
      <c r="Y279" s="583">
        <f>IF(GLOBAL_DER_FEV_2023!W279=0,0,IF(GLOBAL_DER_FEV_2023!W279&gt;0,"c","b"))</f>
        <v>0</v>
      </c>
    </row>
    <row r="280" spans="1:25" x14ac:dyDescent="0.2">
      <c r="A280" s="317" t="s">
        <v>147</v>
      </c>
      <c r="B280" s="895" t="s">
        <v>147</v>
      </c>
      <c r="C280" s="896"/>
      <c r="D280" s="1015" t="s">
        <v>233</v>
      </c>
      <c r="E280" s="898">
        <f>GLOBAL_DER_FEV_2023!E280</f>
        <v>0.2</v>
      </c>
      <c r="F280" s="908">
        <f>GLOBAL_DER_FEV_2023!F280</f>
        <v>2.63E-2</v>
      </c>
      <c r="G280" s="949">
        <f>GLOBAL_DER_FEV_2023!G280</f>
        <v>7.6112200000000005E-2</v>
      </c>
      <c r="H280" s="901">
        <f>GLOBAL_DER_FEV_2023!H280</f>
        <v>0</v>
      </c>
      <c r="I280" s="901">
        <f>GLOBAL_DER_FEV_2023!I280</f>
        <v>0</v>
      </c>
      <c r="J280" s="902">
        <f>GLOBAL_DER_FEV_2023!J280</f>
        <v>0</v>
      </c>
      <c r="K280" s="903" t="s">
        <v>507</v>
      </c>
      <c r="L280" s="1003"/>
      <c r="M280" s="1157">
        <f t="shared" si="22"/>
        <v>0</v>
      </c>
      <c r="N280" s="893">
        <f t="shared" si="20"/>
        <v>0</v>
      </c>
      <c r="O280" s="905"/>
      <c r="P280" s="58" t="str">
        <f>IF(N279&gt;0,"xx",IF(N279&gt;0,"xy",""))</f>
        <v/>
      </c>
      <c r="Q280" s="317" t="str">
        <f t="shared" si="23"/>
        <v/>
      </c>
      <c r="R280" s="317" t="str">
        <f t="shared" si="24"/>
        <v/>
      </c>
      <c r="S280" s="317" t="str">
        <f t="shared" si="25"/>
        <v/>
      </c>
      <c r="T280" s="317" t="str">
        <f>GLOBAL_DER_FEV_2023!S280</f>
        <v/>
      </c>
      <c r="W280" s="582">
        <v>0</v>
      </c>
      <c r="X280" s="580"/>
      <c r="Y280" s="583">
        <f>IF(GLOBAL_DER_FEV_2023!W280=0,0,IF(GLOBAL_DER_FEV_2023!W280&gt;0,"c","b"))</f>
        <v>0</v>
      </c>
    </row>
    <row r="281" spans="1:25" ht="13.5" thickBot="1" x14ac:dyDescent="0.25">
      <c r="A281" s="317">
        <v>589520</v>
      </c>
      <c r="B281" s="1004" t="s">
        <v>1663</v>
      </c>
      <c r="C281" s="984" t="s">
        <v>213</v>
      </c>
      <c r="D281" s="1016" t="s">
        <v>557</v>
      </c>
      <c r="E281" s="1005">
        <f>GLOBAL_DER_FEV_2023!E281</f>
        <v>353</v>
      </c>
      <c r="F281" s="1006">
        <f>GLOBAL_DER_FEV_2023!F281</f>
        <v>1</v>
      </c>
      <c r="G281" s="949">
        <f>GLOBAL_DER_FEV_2023!G281</f>
        <v>337.96999999999997</v>
      </c>
      <c r="H281" s="988">
        <f>GLOBAL_DER_FEV_2023!H281</f>
        <v>4164.04</v>
      </c>
      <c r="I281" s="988">
        <f>GLOBAL_DER_FEV_2023!I281</f>
        <v>4335.8923053218959</v>
      </c>
      <c r="J281" s="989">
        <f>GLOBAL_DER_FEV_2023!J281</f>
        <v>5206.1099999999997</v>
      </c>
      <c r="K281" s="990" t="s">
        <v>14</v>
      </c>
      <c r="L281" s="1154">
        <f>ROUND(L279*$F279,2)</f>
        <v>0</v>
      </c>
      <c r="M281" s="1159">
        <f t="shared" si="22"/>
        <v>0</v>
      </c>
      <c r="N281" s="993">
        <f t="shared" ref="N281:N344" si="26">IF(ISBLANK(L281),0,IF(W281=0,ROUND(L281*M281,2),IF(W281="b",ROUNDDOWN(L281*M281,2),ROUNDUP(L281*M281,2))))</f>
        <v>0</v>
      </c>
      <c r="O281" s="905"/>
      <c r="P281" s="58" t="str">
        <f>IF(N279&gt;0,"xx",IF(N279&gt;0,"xy",""))</f>
        <v/>
      </c>
      <c r="Q281" s="317" t="str">
        <f t="shared" si="23"/>
        <v/>
      </c>
      <c r="R281" s="317" t="str">
        <f t="shared" si="24"/>
        <v/>
      </c>
      <c r="S281" s="317" t="str">
        <f t="shared" si="25"/>
        <v/>
      </c>
      <c r="T281" s="317" t="str">
        <f>GLOBAL_DER_FEV_2023!S281</f>
        <v/>
      </c>
      <c r="W281" s="582">
        <v>0</v>
      </c>
      <c r="X281" s="580"/>
      <c r="Y281" s="583">
        <f>IF(GLOBAL_DER_FEV_2023!W281=0,0,IF(GLOBAL_DER_FEV_2023!W281&gt;0,"c","b"))</f>
        <v>0</v>
      </c>
    </row>
    <row r="282" spans="1:25" x14ac:dyDescent="0.2">
      <c r="A282" s="317">
        <v>583100</v>
      </c>
      <c r="B282" s="999" t="s">
        <v>1641</v>
      </c>
      <c r="C282" s="1000" t="s">
        <v>184</v>
      </c>
      <c r="D282" s="1014" t="s">
        <v>235</v>
      </c>
      <c r="E282" s="974" t="str">
        <f>GLOBAL_DER_FEV_2023!E282</f>
        <v>taxa RR-2C</v>
      </c>
      <c r="F282" s="975">
        <f>GLOBAL_DER_FEV_2023!F282</f>
        <v>3.3999999999999998E-3</v>
      </c>
      <c r="G282" s="976">
        <f>GLOBAL_DER_FEV_2023!G282</f>
        <v>8.8266999999999998E-2</v>
      </c>
      <c r="H282" s="977">
        <f>GLOBAL_DER_FEV_2023!H282</f>
        <v>6.82</v>
      </c>
      <c r="I282" s="977">
        <f>GLOBAL_DER_FEV_2023!I282</f>
        <v>6.9082670000000004</v>
      </c>
      <c r="J282" s="978">
        <f>GLOBAL_DER_FEV_2023!J282</f>
        <v>8.2899999999999991</v>
      </c>
      <c r="K282" s="979" t="s">
        <v>12</v>
      </c>
      <c r="L282" s="1152"/>
      <c r="M282" s="1153">
        <f t="shared" si="22"/>
        <v>0</v>
      </c>
      <c r="N282" s="982">
        <f t="shared" si="26"/>
        <v>0</v>
      </c>
      <c r="O282" s="905"/>
      <c r="Q282" s="317" t="str">
        <f t="shared" si="23"/>
        <v/>
      </c>
      <c r="R282" s="317" t="str">
        <f t="shared" si="24"/>
        <v/>
      </c>
      <c r="S282" s="317" t="str">
        <f t="shared" si="25"/>
        <v/>
      </c>
      <c r="T282" s="317" t="str">
        <f>GLOBAL_DER_FEV_2023!S282</f>
        <v/>
      </c>
      <c r="W282" s="582">
        <v>0</v>
      </c>
      <c r="X282" s="580"/>
      <c r="Y282" s="583">
        <f>IF(GLOBAL_DER_FEV_2023!W282=0,0,IF(GLOBAL_DER_FEV_2023!W282&gt;0,"c","b"))</f>
        <v>0</v>
      </c>
    </row>
    <row r="283" spans="1:25" x14ac:dyDescent="0.2">
      <c r="A283" s="317" t="s">
        <v>147</v>
      </c>
      <c r="B283" s="895" t="s">
        <v>147</v>
      </c>
      <c r="C283" s="896"/>
      <c r="D283" s="1015" t="s">
        <v>233</v>
      </c>
      <c r="E283" s="898">
        <f>GLOBAL_DER_FEV_2023!E283</f>
        <v>0.2</v>
      </c>
      <c r="F283" s="908">
        <f>GLOBAL_DER_FEV_2023!F283</f>
        <v>3.0499999999999999E-2</v>
      </c>
      <c r="G283" s="949">
        <f>GLOBAL_DER_FEV_2023!G283</f>
        <v>8.8266999999999998E-2</v>
      </c>
      <c r="H283" s="901">
        <f>GLOBAL_DER_FEV_2023!H283</f>
        <v>0</v>
      </c>
      <c r="I283" s="901">
        <f>GLOBAL_DER_FEV_2023!I283</f>
        <v>0</v>
      </c>
      <c r="J283" s="902">
        <f>GLOBAL_DER_FEV_2023!J283</f>
        <v>0</v>
      </c>
      <c r="K283" s="903" t="s">
        <v>507</v>
      </c>
      <c r="L283" s="1003"/>
      <c r="M283" s="1157">
        <f t="shared" si="22"/>
        <v>0</v>
      </c>
      <c r="N283" s="893">
        <f t="shared" si="26"/>
        <v>0</v>
      </c>
      <c r="O283" s="905"/>
      <c r="P283" s="58" t="str">
        <f>IF(N282&gt;0,"xx",IF(N282&gt;0,"xy",""))</f>
        <v/>
      </c>
      <c r="Q283" s="317" t="str">
        <f t="shared" si="23"/>
        <v/>
      </c>
      <c r="R283" s="317" t="str">
        <f t="shared" si="24"/>
        <v/>
      </c>
      <c r="S283" s="317" t="str">
        <f t="shared" si="25"/>
        <v/>
      </c>
      <c r="T283" s="317" t="str">
        <f>GLOBAL_DER_FEV_2023!S283</f>
        <v/>
      </c>
      <c r="W283" s="582">
        <v>0</v>
      </c>
      <c r="X283" s="580"/>
      <c r="Y283" s="583">
        <f>IF(GLOBAL_DER_FEV_2023!W283=0,0,IF(GLOBAL_DER_FEV_2023!W283&gt;0,"c","b"))</f>
        <v>0</v>
      </c>
    </row>
    <row r="284" spans="1:25" ht="13.5" thickBot="1" x14ac:dyDescent="0.25">
      <c r="A284" s="317">
        <v>589520</v>
      </c>
      <c r="B284" s="1004" t="s">
        <v>1664</v>
      </c>
      <c r="C284" s="984" t="s">
        <v>213</v>
      </c>
      <c r="D284" s="1016" t="s">
        <v>1675</v>
      </c>
      <c r="E284" s="1005">
        <f>GLOBAL_DER_FEV_2023!E284</f>
        <v>353</v>
      </c>
      <c r="F284" s="1006">
        <f>GLOBAL_DER_FEV_2023!F284</f>
        <v>1</v>
      </c>
      <c r="G284" s="949">
        <f>GLOBAL_DER_FEV_2023!G284</f>
        <v>337.96999999999997</v>
      </c>
      <c r="H284" s="988">
        <f>GLOBAL_DER_FEV_2023!H284</f>
        <v>4164.04</v>
      </c>
      <c r="I284" s="988">
        <f>GLOBAL_DER_FEV_2023!I284</f>
        <v>4335.8923053218959</v>
      </c>
      <c r="J284" s="989">
        <f>GLOBAL_DER_FEV_2023!J284</f>
        <v>5206.1099999999997</v>
      </c>
      <c r="K284" s="990" t="s">
        <v>14</v>
      </c>
      <c r="L284" s="1154">
        <f>ROUND(L282*$F282,2)</f>
        <v>0</v>
      </c>
      <c r="M284" s="1159">
        <f t="shared" si="22"/>
        <v>0</v>
      </c>
      <c r="N284" s="993">
        <f t="shared" si="26"/>
        <v>0</v>
      </c>
      <c r="O284" s="905"/>
      <c r="P284" s="58" t="str">
        <f>IF(N282&gt;0,"xx",IF(N282&gt;0,"xy",""))</f>
        <v/>
      </c>
      <c r="Q284" s="317" t="str">
        <f t="shared" si="23"/>
        <v/>
      </c>
      <c r="R284" s="317" t="str">
        <f t="shared" si="24"/>
        <v/>
      </c>
      <c r="S284" s="317" t="str">
        <f t="shared" si="25"/>
        <v/>
      </c>
      <c r="T284" s="317" t="str">
        <f>GLOBAL_DER_FEV_2023!S284</f>
        <v/>
      </c>
      <c r="W284" s="582">
        <v>0</v>
      </c>
      <c r="X284" s="580"/>
      <c r="Y284" s="583">
        <f>IF(GLOBAL_DER_FEV_2023!W284=0,0,IF(GLOBAL_DER_FEV_2023!W284&gt;0,"c","b"))</f>
        <v>0</v>
      </c>
    </row>
    <row r="285" spans="1:25" x14ac:dyDescent="0.2">
      <c r="A285" s="317">
        <v>583100</v>
      </c>
      <c r="B285" s="999" t="s">
        <v>1642</v>
      </c>
      <c r="C285" s="1000" t="s">
        <v>184</v>
      </c>
      <c r="D285" s="1014" t="s">
        <v>236</v>
      </c>
      <c r="E285" s="974" t="str">
        <f>GLOBAL_DER_FEV_2023!E285</f>
        <v>taxa RR-2C</v>
      </c>
      <c r="F285" s="975">
        <f>GLOBAL_DER_FEV_2023!F285</f>
        <v>3.8E-3</v>
      </c>
      <c r="G285" s="976">
        <f>GLOBAL_DER_FEV_2023!G285</f>
        <v>0.1064992</v>
      </c>
      <c r="H285" s="977">
        <f>GLOBAL_DER_FEV_2023!H285</f>
        <v>6.82</v>
      </c>
      <c r="I285" s="977">
        <f>GLOBAL_DER_FEV_2023!I285</f>
        <v>6.9264992000000003</v>
      </c>
      <c r="J285" s="978">
        <f>GLOBAL_DER_FEV_2023!J285</f>
        <v>8.32</v>
      </c>
      <c r="K285" s="979" t="s">
        <v>12</v>
      </c>
      <c r="L285" s="1152"/>
      <c r="M285" s="1153">
        <f t="shared" si="22"/>
        <v>0</v>
      </c>
      <c r="N285" s="982">
        <f t="shared" si="26"/>
        <v>0</v>
      </c>
      <c r="O285" s="905"/>
      <c r="Q285" s="317" t="str">
        <f t="shared" si="23"/>
        <v/>
      </c>
      <c r="R285" s="317" t="str">
        <f t="shared" si="24"/>
        <v/>
      </c>
      <c r="S285" s="317" t="str">
        <f t="shared" si="25"/>
        <v/>
      </c>
      <c r="T285" s="317" t="str">
        <f>GLOBAL_DER_FEV_2023!S285</f>
        <v/>
      </c>
      <c r="W285" s="582">
        <v>0</v>
      </c>
      <c r="X285" s="580"/>
      <c r="Y285" s="583">
        <f>IF(GLOBAL_DER_FEV_2023!W285=0,0,IF(GLOBAL_DER_FEV_2023!W285&gt;0,"c","b"))</f>
        <v>0</v>
      </c>
    </row>
    <row r="286" spans="1:25" x14ac:dyDescent="0.2">
      <c r="A286" s="317" t="s">
        <v>147</v>
      </c>
      <c r="B286" s="895" t="s">
        <v>147</v>
      </c>
      <c r="C286" s="896"/>
      <c r="D286" s="1015" t="s">
        <v>233</v>
      </c>
      <c r="E286" s="898">
        <f>GLOBAL_DER_FEV_2023!E286</f>
        <v>0.2</v>
      </c>
      <c r="F286" s="908">
        <f>GLOBAL_DER_FEV_2023!F286</f>
        <v>3.6799999999999999E-2</v>
      </c>
      <c r="G286" s="949">
        <f>GLOBAL_DER_FEV_2023!G286</f>
        <v>0.1064992</v>
      </c>
      <c r="H286" s="901">
        <f>GLOBAL_DER_FEV_2023!H286</f>
        <v>0</v>
      </c>
      <c r="I286" s="901">
        <f>GLOBAL_DER_FEV_2023!I286</f>
        <v>0</v>
      </c>
      <c r="J286" s="902">
        <f>GLOBAL_DER_FEV_2023!J286</f>
        <v>0</v>
      </c>
      <c r="K286" s="903" t="s">
        <v>507</v>
      </c>
      <c r="L286" s="1003"/>
      <c r="M286" s="1157">
        <f t="shared" si="22"/>
        <v>0</v>
      </c>
      <c r="N286" s="893">
        <f t="shared" si="26"/>
        <v>0</v>
      </c>
      <c r="O286" s="905"/>
      <c r="P286" s="58" t="str">
        <f>IF(N285&gt;0,"xx",IF(N285&gt;0,"xy",""))</f>
        <v/>
      </c>
      <c r="Q286" s="317" t="str">
        <f t="shared" si="23"/>
        <v/>
      </c>
      <c r="R286" s="317" t="str">
        <f t="shared" si="24"/>
        <v/>
      </c>
      <c r="S286" s="317" t="str">
        <f t="shared" si="25"/>
        <v/>
      </c>
      <c r="T286" s="317" t="str">
        <f>GLOBAL_DER_FEV_2023!S286</f>
        <v/>
      </c>
      <c r="W286" s="582">
        <v>0</v>
      </c>
      <c r="X286" s="580"/>
      <c r="Y286" s="583">
        <f>IF(GLOBAL_DER_FEV_2023!W286=0,0,IF(GLOBAL_DER_FEV_2023!W286&gt;0,"c","b"))</f>
        <v>0</v>
      </c>
    </row>
    <row r="287" spans="1:25" ht="13.5" thickBot="1" x14ac:dyDescent="0.25">
      <c r="A287" s="317">
        <v>589520</v>
      </c>
      <c r="B287" s="1004" t="s">
        <v>1665</v>
      </c>
      <c r="C287" s="984" t="s">
        <v>213</v>
      </c>
      <c r="D287" s="1016" t="s">
        <v>559</v>
      </c>
      <c r="E287" s="1005">
        <f>GLOBAL_DER_FEV_2023!E287</f>
        <v>353</v>
      </c>
      <c r="F287" s="1006">
        <f>GLOBAL_DER_FEV_2023!F287</f>
        <v>1</v>
      </c>
      <c r="G287" s="949">
        <f>GLOBAL_DER_FEV_2023!G287</f>
        <v>337.96999999999997</v>
      </c>
      <c r="H287" s="988">
        <f>GLOBAL_DER_FEV_2023!H287</f>
        <v>4164.04</v>
      </c>
      <c r="I287" s="988">
        <f>GLOBAL_DER_FEV_2023!I287</f>
        <v>4335.8923053218959</v>
      </c>
      <c r="J287" s="989">
        <f>GLOBAL_DER_FEV_2023!J287</f>
        <v>5206.1099999999997</v>
      </c>
      <c r="K287" s="990" t="s">
        <v>14</v>
      </c>
      <c r="L287" s="1154">
        <f>ROUND(L285*$F285,2)</f>
        <v>0</v>
      </c>
      <c r="M287" s="1159">
        <f t="shared" si="22"/>
        <v>0</v>
      </c>
      <c r="N287" s="993">
        <f t="shared" si="26"/>
        <v>0</v>
      </c>
      <c r="O287" s="905"/>
      <c r="P287" s="58" t="str">
        <f>IF(N285&gt;0,"xx",IF(N285&gt;0,"xy",""))</f>
        <v/>
      </c>
      <c r="Q287" s="317" t="str">
        <f t="shared" si="23"/>
        <v/>
      </c>
      <c r="R287" s="317" t="str">
        <f t="shared" si="24"/>
        <v/>
      </c>
      <c r="S287" s="317" t="str">
        <f t="shared" si="25"/>
        <v/>
      </c>
      <c r="T287" s="317" t="str">
        <f>GLOBAL_DER_FEV_2023!S287</f>
        <v/>
      </c>
      <c r="W287" s="582">
        <v>0</v>
      </c>
      <c r="X287" s="580"/>
      <c r="Y287" s="583">
        <f>IF(GLOBAL_DER_FEV_2023!W287=0,0,IF(GLOBAL_DER_FEV_2023!W287&gt;0,"c","b"))</f>
        <v>0</v>
      </c>
    </row>
    <row r="288" spans="1:25" x14ac:dyDescent="0.2">
      <c r="A288" s="317">
        <v>584200</v>
      </c>
      <c r="B288" s="999" t="s">
        <v>1643</v>
      </c>
      <c r="C288" s="1000" t="s">
        <v>184</v>
      </c>
      <c r="D288" s="1014" t="s">
        <v>237</v>
      </c>
      <c r="E288" s="974" t="str">
        <f>GLOBAL_DER_FEV_2023!E288</f>
        <v>taxa RR-2C</v>
      </c>
      <c r="F288" s="975">
        <f>GLOBAL_DER_FEV_2023!F288</f>
        <v>3.3E-3</v>
      </c>
      <c r="G288" s="976">
        <f>GLOBAL_DER_FEV_2023!G288</f>
        <v>8.2189600000000002E-2</v>
      </c>
      <c r="H288" s="977">
        <f>GLOBAL_DER_FEV_2023!H288</f>
        <v>8.48</v>
      </c>
      <c r="I288" s="977">
        <f>GLOBAL_DER_FEV_2023!I288</f>
        <v>8.5621896</v>
      </c>
      <c r="J288" s="978">
        <f>GLOBAL_DER_FEV_2023!J288</f>
        <v>10.28</v>
      </c>
      <c r="K288" s="979" t="s">
        <v>12</v>
      </c>
      <c r="L288" s="1152"/>
      <c r="M288" s="1153">
        <f t="shared" si="22"/>
        <v>0</v>
      </c>
      <c r="N288" s="982">
        <f t="shared" si="26"/>
        <v>0</v>
      </c>
      <c r="O288" s="905"/>
      <c r="Q288" s="317" t="str">
        <f t="shared" si="23"/>
        <v/>
      </c>
      <c r="R288" s="317" t="str">
        <f t="shared" si="24"/>
        <v/>
      </c>
      <c r="S288" s="317" t="str">
        <f t="shared" si="25"/>
        <v/>
      </c>
      <c r="T288" s="317" t="str">
        <f>GLOBAL_DER_FEV_2023!S288</f>
        <v/>
      </c>
      <c r="W288" s="582">
        <v>0</v>
      </c>
      <c r="X288" s="580"/>
      <c r="Y288" s="583">
        <f>IF(GLOBAL_DER_FEV_2023!W288=0,0,IF(GLOBAL_DER_FEV_2023!W288&gt;0,"c","b"))</f>
        <v>0</v>
      </c>
    </row>
    <row r="289" spans="1:25" x14ac:dyDescent="0.2">
      <c r="A289" s="317" t="s">
        <v>147</v>
      </c>
      <c r="B289" s="895" t="s">
        <v>147</v>
      </c>
      <c r="C289" s="896"/>
      <c r="D289" s="1015" t="s">
        <v>233</v>
      </c>
      <c r="E289" s="898">
        <f>GLOBAL_DER_FEV_2023!E289</f>
        <v>0.2</v>
      </c>
      <c r="F289" s="908">
        <f>GLOBAL_DER_FEV_2023!F289</f>
        <v>2.8400000000000002E-2</v>
      </c>
      <c r="G289" s="949">
        <f>GLOBAL_DER_FEV_2023!G289</f>
        <v>8.2189600000000002E-2</v>
      </c>
      <c r="H289" s="901">
        <f>GLOBAL_DER_FEV_2023!H289</f>
        <v>0</v>
      </c>
      <c r="I289" s="901">
        <f>GLOBAL_DER_FEV_2023!I289</f>
        <v>0</v>
      </c>
      <c r="J289" s="902">
        <f>GLOBAL_DER_FEV_2023!J289</f>
        <v>0</v>
      </c>
      <c r="K289" s="903" t="s">
        <v>507</v>
      </c>
      <c r="L289" s="1003"/>
      <c r="M289" s="1157">
        <f t="shared" si="22"/>
        <v>0</v>
      </c>
      <c r="N289" s="893">
        <f t="shared" si="26"/>
        <v>0</v>
      </c>
      <c r="O289" s="905"/>
      <c r="P289" s="58" t="str">
        <f>IF(N288&gt;0,"xx",IF(N288&gt;0,"xy",""))</f>
        <v/>
      </c>
      <c r="Q289" s="317" t="str">
        <f t="shared" si="23"/>
        <v/>
      </c>
      <c r="R289" s="317" t="str">
        <f t="shared" si="24"/>
        <v/>
      </c>
      <c r="S289" s="317" t="str">
        <f t="shared" si="25"/>
        <v/>
      </c>
      <c r="T289" s="317" t="str">
        <f>GLOBAL_DER_FEV_2023!S289</f>
        <v/>
      </c>
      <c r="W289" s="582">
        <v>0</v>
      </c>
      <c r="X289" s="580"/>
      <c r="Y289" s="583">
        <f>IF(GLOBAL_DER_FEV_2023!W289=0,0,IF(GLOBAL_DER_FEV_2023!W289&gt;0,"c","b"))</f>
        <v>0</v>
      </c>
    </row>
    <row r="290" spans="1:25" ht="13.5" thickBot="1" x14ac:dyDescent="0.25">
      <c r="A290" s="317">
        <v>589520</v>
      </c>
      <c r="B290" s="1004" t="s">
        <v>1666</v>
      </c>
      <c r="C290" s="984" t="s">
        <v>213</v>
      </c>
      <c r="D290" s="1016" t="s">
        <v>558</v>
      </c>
      <c r="E290" s="1005">
        <f>GLOBAL_DER_FEV_2023!E290</f>
        <v>353</v>
      </c>
      <c r="F290" s="1006">
        <f>GLOBAL_DER_FEV_2023!F290</f>
        <v>1</v>
      </c>
      <c r="G290" s="949">
        <f>GLOBAL_DER_FEV_2023!G290</f>
        <v>337.96999999999997</v>
      </c>
      <c r="H290" s="988">
        <f>GLOBAL_DER_FEV_2023!H290</f>
        <v>4164.04</v>
      </c>
      <c r="I290" s="988">
        <f>GLOBAL_DER_FEV_2023!I290</f>
        <v>4335.8923053218959</v>
      </c>
      <c r="J290" s="989">
        <f>GLOBAL_DER_FEV_2023!J290</f>
        <v>5206.1099999999997</v>
      </c>
      <c r="K290" s="990" t="s">
        <v>14</v>
      </c>
      <c r="L290" s="1154">
        <f>ROUND(L288*$F288,2)</f>
        <v>0</v>
      </c>
      <c r="M290" s="1159">
        <f t="shared" si="22"/>
        <v>0</v>
      </c>
      <c r="N290" s="993">
        <f t="shared" si="26"/>
        <v>0</v>
      </c>
      <c r="O290" s="905"/>
      <c r="P290" s="58" t="str">
        <f>IF(N288&gt;0,"xx",IF(N288&gt;0,"xy",""))</f>
        <v/>
      </c>
      <c r="Q290" s="317" t="str">
        <f t="shared" si="23"/>
        <v/>
      </c>
      <c r="R290" s="317" t="str">
        <f t="shared" si="24"/>
        <v/>
      </c>
      <c r="S290" s="317" t="str">
        <f t="shared" si="25"/>
        <v/>
      </c>
      <c r="T290" s="317" t="str">
        <f>GLOBAL_DER_FEV_2023!S290</f>
        <v/>
      </c>
      <c r="W290" s="582">
        <v>0</v>
      </c>
      <c r="X290" s="580"/>
      <c r="Y290" s="583">
        <f>IF(GLOBAL_DER_FEV_2023!W290=0,0,IF(GLOBAL_DER_FEV_2023!W290&gt;0,"c","b"))</f>
        <v>0</v>
      </c>
    </row>
    <row r="291" spans="1:25" x14ac:dyDescent="0.2">
      <c r="A291" s="317">
        <v>584200</v>
      </c>
      <c r="B291" s="999" t="s">
        <v>1644</v>
      </c>
      <c r="C291" s="1000" t="s">
        <v>184</v>
      </c>
      <c r="D291" s="1014" t="s">
        <v>238</v>
      </c>
      <c r="E291" s="974" t="str">
        <f>GLOBAL_DER_FEV_2023!E291</f>
        <v>taxa RR-2C</v>
      </c>
      <c r="F291" s="975">
        <f>GLOBAL_DER_FEV_2023!F291</f>
        <v>3.8E-3</v>
      </c>
      <c r="G291" s="976">
        <f>GLOBAL_DER_FEV_2023!G291</f>
        <v>0.10042180000000001</v>
      </c>
      <c r="H291" s="977">
        <f>GLOBAL_DER_FEV_2023!H291</f>
        <v>8.48</v>
      </c>
      <c r="I291" s="977">
        <f>GLOBAL_DER_FEV_2023!I291</f>
        <v>8.5804217999999999</v>
      </c>
      <c r="J291" s="978">
        <f>GLOBAL_DER_FEV_2023!J291</f>
        <v>10.3</v>
      </c>
      <c r="K291" s="979" t="s">
        <v>12</v>
      </c>
      <c r="L291" s="1152"/>
      <c r="M291" s="1153">
        <f t="shared" si="22"/>
        <v>0</v>
      </c>
      <c r="N291" s="982">
        <f t="shared" si="26"/>
        <v>0</v>
      </c>
      <c r="O291" s="905"/>
      <c r="Q291" s="317" t="str">
        <f t="shared" si="23"/>
        <v/>
      </c>
      <c r="R291" s="317" t="str">
        <f t="shared" si="24"/>
        <v/>
      </c>
      <c r="S291" s="317" t="str">
        <f t="shared" si="25"/>
        <v/>
      </c>
      <c r="T291" s="317" t="str">
        <f>GLOBAL_DER_FEV_2023!S291</f>
        <v/>
      </c>
      <c r="W291" s="582">
        <v>0</v>
      </c>
      <c r="X291" s="580"/>
      <c r="Y291" s="583">
        <f>IF(GLOBAL_DER_FEV_2023!W291=0,0,IF(GLOBAL_DER_FEV_2023!W291&gt;0,"c","b"))</f>
        <v>0</v>
      </c>
    </row>
    <row r="292" spans="1:25" x14ac:dyDescent="0.2">
      <c r="A292" s="317" t="s">
        <v>147</v>
      </c>
      <c r="B292" s="895" t="s">
        <v>147</v>
      </c>
      <c r="C292" s="896"/>
      <c r="D292" s="1015" t="s">
        <v>233</v>
      </c>
      <c r="E292" s="898">
        <f>GLOBAL_DER_FEV_2023!E292</f>
        <v>0.2</v>
      </c>
      <c r="F292" s="908">
        <f>GLOBAL_DER_FEV_2023!F292</f>
        <v>3.4700000000000002E-2</v>
      </c>
      <c r="G292" s="949">
        <f>GLOBAL_DER_FEV_2023!G292</f>
        <v>0.10042180000000001</v>
      </c>
      <c r="H292" s="901">
        <f>GLOBAL_DER_FEV_2023!H292</f>
        <v>0</v>
      </c>
      <c r="I292" s="901">
        <f>GLOBAL_DER_FEV_2023!I292</f>
        <v>0</v>
      </c>
      <c r="J292" s="902">
        <f>GLOBAL_DER_FEV_2023!J292</f>
        <v>0</v>
      </c>
      <c r="K292" s="903" t="s">
        <v>507</v>
      </c>
      <c r="L292" s="1003"/>
      <c r="M292" s="1157">
        <f t="shared" si="22"/>
        <v>0</v>
      </c>
      <c r="N292" s="893">
        <f t="shared" si="26"/>
        <v>0</v>
      </c>
      <c r="O292" s="905"/>
      <c r="P292" s="58" t="str">
        <f>IF(N291&gt;0,"xx",IF(N291&gt;0,"xy",""))</f>
        <v/>
      </c>
      <c r="Q292" s="317" t="str">
        <f t="shared" si="23"/>
        <v/>
      </c>
      <c r="R292" s="317" t="str">
        <f t="shared" si="24"/>
        <v/>
      </c>
      <c r="S292" s="317" t="str">
        <f t="shared" si="25"/>
        <v/>
      </c>
      <c r="T292" s="317" t="str">
        <f>GLOBAL_DER_FEV_2023!S292</f>
        <v/>
      </c>
      <c r="W292" s="582">
        <v>0</v>
      </c>
      <c r="X292" s="580"/>
      <c r="Y292" s="583">
        <f>IF(GLOBAL_DER_FEV_2023!W292=0,0,IF(GLOBAL_DER_FEV_2023!W292&gt;0,"c","b"))</f>
        <v>0</v>
      </c>
    </row>
    <row r="293" spans="1:25" ht="13.5" thickBot="1" x14ac:dyDescent="0.25">
      <c r="A293" s="317">
        <v>589520</v>
      </c>
      <c r="B293" s="1004" t="s">
        <v>1667</v>
      </c>
      <c r="C293" s="984" t="s">
        <v>213</v>
      </c>
      <c r="D293" s="1016" t="s">
        <v>560</v>
      </c>
      <c r="E293" s="1005">
        <f>GLOBAL_DER_FEV_2023!E293</f>
        <v>353</v>
      </c>
      <c r="F293" s="1006">
        <f>GLOBAL_DER_FEV_2023!F293</f>
        <v>1</v>
      </c>
      <c r="G293" s="949">
        <f>GLOBAL_DER_FEV_2023!G293</f>
        <v>337.96999999999997</v>
      </c>
      <c r="H293" s="988">
        <f>GLOBAL_DER_FEV_2023!H293</f>
        <v>4164.04</v>
      </c>
      <c r="I293" s="988">
        <f>GLOBAL_DER_FEV_2023!I293</f>
        <v>4335.8923053218959</v>
      </c>
      <c r="J293" s="989">
        <f>GLOBAL_DER_FEV_2023!J293</f>
        <v>5206.1099999999997</v>
      </c>
      <c r="K293" s="990" t="s">
        <v>14</v>
      </c>
      <c r="L293" s="1154">
        <f>ROUND(L291*$F291,2)</f>
        <v>0</v>
      </c>
      <c r="M293" s="1159">
        <f t="shared" si="22"/>
        <v>0</v>
      </c>
      <c r="N293" s="993">
        <f t="shared" si="26"/>
        <v>0</v>
      </c>
      <c r="O293" s="905"/>
      <c r="P293" s="58" t="str">
        <f>IF(N291&gt;0,"xx",IF(N291&gt;0,"xy",""))</f>
        <v/>
      </c>
      <c r="Q293" s="317" t="str">
        <f t="shared" si="23"/>
        <v/>
      </c>
      <c r="R293" s="317" t="str">
        <f t="shared" si="24"/>
        <v/>
      </c>
      <c r="S293" s="317" t="str">
        <f t="shared" si="25"/>
        <v/>
      </c>
      <c r="T293" s="317" t="str">
        <f>GLOBAL_DER_FEV_2023!S293</f>
        <v/>
      </c>
      <c r="W293" s="582">
        <v>0</v>
      </c>
      <c r="X293" s="580"/>
      <c r="Y293" s="583">
        <f>IF(GLOBAL_DER_FEV_2023!W293=0,0,IF(GLOBAL_DER_FEV_2023!W293&gt;0,"c","b"))</f>
        <v>0</v>
      </c>
    </row>
    <row r="294" spans="1:25" x14ac:dyDescent="0.2">
      <c r="A294" s="317">
        <v>584200</v>
      </c>
      <c r="B294" s="999" t="s">
        <v>1645</v>
      </c>
      <c r="C294" s="1000" t="s">
        <v>184</v>
      </c>
      <c r="D294" s="1014" t="s">
        <v>239</v>
      </c>
      <c r="E294" s="974" t="str">
        <f>GLOBAL_DER_FEV_2023!E294</f>
        <v>taxa RR-2C</v>
      </c>
      <c r="F294" s="975">
        <f>GLOBAL_DER_FEV_2023!F294</f>
        <v>4.0000000000000001E-3</v>
      </c>
      <c r="G294" s="976">
        <f>GLOBAL_DER_FEV_2023!G294</f>
        <v>0.13891200000000001</v>
      </c>
      <c r="H294" s="977">
        <f>GLOBAL_DER_FEV_2023!H294</f>
        <v>8.48</v>
      </c>
      <c r="I294" s="977">
        <f>GLOBAL_DER_FEV_2023!I294</f>
        <v>8.6189119999999999</v>
      </c>
      <c r="J294" s="978">
        <f>GLOBAL_DER_FEV_2023!J294</f>
        <v>10.35</v>
      </c>
      <c r="K294" s="979" t="s">
        <v>12</v>
      </c>
      <c r="L294" s="1152"/>
      <c r="M294" s="1153">
        <f t="shared" si="22"/>
        <v>0</v>
      </c>
      <c r="N294" s="982">
        <f t="shared" si="26"/>
        <v>0</v>
      </c>
      <c r="O294" s="905"/>
      <c r="Q294" s="317" t="str">
        <f t="shared" si="23"/>
        <v/>
      </c>
      <c r="R294" s="317" t="str">
        <f t="shared" si="24"/>
        <v/>
      </c>
      <c r="S294" s="317" t="str">
        <f t="shared" si="25"/>
        <v/>
      </c>
      <c r="T294" s="317" t="str">
        <f>GLOBAL_DER_FEV_2023!S294</f>
        <v/>
      </c>
      <c r="W294" s="582">
        <v>0</v>
      </c>
      <c r="X294" s="580"/>
      <c r="Y294" s="583">
        <f>IF(GLOBAL_DER_FEV_2023!W294=0,0,IF(GLOBAL_DER_FEV_2023!W294&gt;0,"c","b"))</f>
        <v>0</v>
      </c>
    </row>
    <row r="295" spans="1:25" x14ac:dyDescent="0.2">
      <c r="A295" s="317" t="s">
        <v>147</v>
      </c>
      <c r="B295" s="895" t="s">
        <v>147</v>
      </c>
      <c r="C295" s="896"/>
      <c r="D295" s="1015" t="s">
        <v>233</v>
      </c>
      <c r="E295" s="898">
        <f>GLOBAL_DER_FEV_2023!E295</f>
        <v>0.2</v>
      </c>
      <c r="F295" s="908">
        <f>GLOBAL_DER_FEV_2023!F295</f>
        <v>4.8000000000000001E-2</v>
      </c>
      <c r="G295" s="949">
        <f>GLOBAL_DER_FEV_2023!G295</f>
        <v>0.13891200000000001</v>
      </c>
      <c r="H295" s="901">
        <f>GLOBAL_DER_FEV_2023!H295</f>
        <v>0</v>
      </c>
      <c r="I295" s="901">
        <f>GLOBAL_DER_FEV_2023!I295</f>
        <v>0</v>
      </c>
      <c r="J295" s="902">
        <f>GLOBAL_DER_FEV_2023!J295</f>
        <v>0</v>
      </c>
      <c r="K295" s="903" t="s">
        <v>507</v>
      </c>
      <c r="L295" s="1003"/>
      <c r="M295" s="1157">
        <f t="shared" si="22"/>
        <v>0</v>
      </c>
      <c r="N295" s="893">
        <f t="shared" si="26"/>
        <v>0</v>
      </c>
      <c r="O295" s="905"/>
      <c r="P295" s="58" t="str">
        <f>IF(N294&gt;0,"xx",IF(N294&gt;0,"xy",""))</f>
        <v/>
      </c>
      <c r="Q295" s="317" t="str">
        <f t="shared" si="23"/>
        <v/>
      </c>
      <c r="R295" s="317" t="str">
        <f t="shared" si="24"/>
        <v/>
      </c>
      <c r="S295" s="317" t="str">
        <f t="shared" si="25"/>
        <v/>
      </c>
      <c r="T295" s="317" t="str">
        <f>GLOBAL_DER_FEV_2023!S295</f>
        <v/>
      </c>
      <c r="W295" s="582">
        <v>0</v>
      </c>
      <c r="X295" s="580"/>
      <c r="Y295" s="583">
        <f>IF(GLOBAL_DER_FEV_2023!W295=0,0,IF(GLOBAL_DER_FEV_2023!W295&gt;0,"c","b"))</f>
        <v>0</v>
      </c>
    </row>
    <row r="296" spans="1:25" ht="13.5" thickBot="1" x14ac:dyDescent="0.25">
      <c r="A296" s="317">
        <v>589520</v>
      </c>
      <c r="B296" s="1004" t="s">
        <v>1668</v>
      </c>
      <c r="C296" s="984" t="s">
        <v>213</v>
      </c>
      <c r="D296" s="1016" t="s">
        <v>561</v>
      </c>
      <c r="E296" s="1005">
        <f>GLOBAL_DER_FEV_2023!E296</f>
        <v>353</v>
      </c>
      <c r="F296" s="1006">
        <f>GLOBAL_DER_FEV_2023!F296</f>
        <v>1</v>
      </c>
      <c r="G296" s="949">
        <f>GLOBAL_DER_FEV_2023!G296</f>
        <v>337.96999999999997</v>
      </c>
      <c r="H296" s="988">
        <f>GLOBAL_DER_FEV_2023!H296</f>
        <v>4164.04</v>
      </c>
      <c r="I296" s="988">
        <f>GLOBAL_DER_FEV_2023!I296</f>
        <v>4335.8923053218959</v>
      </c>
      <c r="J296" s="989">
        <f>GLOBAL_DER_FEV_2023!J296</f>
        <v>5206.1099999999997</v>
      </c>
      <c r="K296" s="990" t="s">
        <v>14</v>
      </c>
      <c r="L296" s="1154">
        <f>ROUND(L294*$F294,2)</f>
        <v>0</v>
      </c>
      <c r="M296" s="1159">
        <f t="shared" si="22"/>
        <v>0</v>
      </c>
      <c r="N296" s="993">
        <f t="shared" si="26"/>
        <v>0</v>
      </c>
      <c r="O296" s="905"/>
      <c r="P296" s="58" t="str">
        <f>IF(N294&gt;0,"xx",IF(N294&gt;0,"xy",""))</f>
        <v/>
      </c>
      <c r="Q296" s="317" t="str">
        <f t="shared" si="23"/>
        <v/>
      </c>
      <c r="R296" s="317" t="str">
        <f t="shared" si="24"/>
        <v/>
      </c>
      <c r="S296" s="317" t="str">
        <f t="shared" si="25"/>
        <v/>
      </c>
      <c r="T296" s="317" t="str">
        <f>GLOBAL_DER_FEV_2023!S296</f>
        <v/>
      </c>
      <c r="W296" s="582">
        <v>0</v>
      </c>
      <c r="X296" s="580"/>
      <c r="Y296" s="583">
        <f>IF(GLOBAL_DER_FEV_2023!W296=0,0,IF(GLOBAL_DER_FEV_2023!W296&gt;0,"c","b"))</f>
        <v>0</v>
      </c>
    </row>
    <row r="297" spans="1:25" x14ac:dyDescent="0.2">
      <c r="A297" s="317">
        <v>564000</v>
      </c>
      <c r="B297" s="999">
        <v>564000</v>
      </c>
      <c r="C297" s="1000" t="s">
        <v>184</v>
      </c>
      <c r="D297" s="1014" t="s">
        <v>240</v>
      </c>
      <c r="E297" s="974" t="str">
        <f>GLOBAL_DER_FEV_2023!E297</f>
        <v>taxa RR-2C</v>
      </c>
      <c r="F297" s="975">
        <f>GLOBAL_DER_FEV_2023!F297</f>
        <v>0.125</v>
      </c>
      <c r="G297" s="976">
        <f>GLOBAL_DER_FEV_2023!G297</f>
        <v>6.3668000000000005</v>
      </c>
      <c r="H297" s="977">
        <f>GLOBAL_DER_FEV_2023!H297</f>
        <v>122.99</v>
      </c>
      <c r="I297" s="977">
        <f>GLOBAL_DER_FEV_2023!I297</f>
        <v>129.35679999999999</v>
      </c>
      <c r="J297" s="978">
        <f>GLOBAL_DER_FEV_2023!J297</f>
        <v>155.32</v>
      </c>
      <c r="K297" s="979" t="s">
        <v>10</v>
      </c>
      <c r="L297" s="1152"/>
      <c r="M297" s="1153">
        <f t="shared" si="22"/>
        <v>0</v>
      </c>
      <c r="N297" s="982">
        <f t="shared" si="26"/>
        <v>0</v>
      </c>
      <c r="O297" s="905"/>
      <c r="Q297" s="317" t="str">
        <f t="shared" si="23"/>
        <v/>
      </c>
      <c r="R297" s="317" t="str">
        <f t="shared" si="24"/>
        <v/>
      </c>
      <c r="S297" s="317" t="str">
        <f t="shared" si="25"/>
        <v/>
      </c>
      <c r="T297" s="317" t="str">
        <f>GLOBAL_DER_FEV_2023!S297</f>
        <v/>
      </c>
      <c r="W297" s="582">
        <v>0</v>
      </c>
      <c r="X297" s="580"/>
      <c r="Y297" s="583">
        <f>IF(GLOBAL_DER_FEV_2023!W297=0,0,IF(GLOBAL_DER_FEV_2023!W297&gt;0,"c","b"))</f>
        <v>0</v>
      </c>
    </row>
    <row r="298" spans="1:25" x14ac:dyDescent="0.2">
      <c r="A298" s="317" t="s">
        <v>147</v>
      </c>
      <c r="B298" s="895" t="s">
        <v>147</v>
      </c>
      <c r="C298" s="896"/>
      <c r="D298" s="1015" t="s">
        <v>233</v>
      </c>
      <c r="E298" s="898">
        <f>GLOBAL_DER_FEV_2023!E298</f>
        <v>0.2</v>
      </c>
      <c r="F298" s="908">
        <f>GLOBAL_DER_FEV_2023!F298</f>
        <v>2.2000000000000002</v>
      </c>
      <c r="G298" s="949">
        <f>GLOBAL_DER_FEV_2023!G298</f>
        <v>6.3668000000000005</v>
      </c>
      <c r="H298" s="901">
        <f>GLOBAL_DER_FEV_2023!H298</f>
        <v>0</v>
      </c>
      <c r="I298" s="901">
        <f>GLOBAL_DER_FEV_2023!I298</f>
        <v>0</v>
      </c>
      <c r="J298" s="902">
        <f>GLOBAL_DER_FEV_2023!J298</f>
        <v>0</v>
      </c>
      <c r="K298" s="903" t="s">
        <v>507</v>
      </c>
      <c r="L298" s="1003"/>
      <c r="M298" s="1157">
        <f t="shared" si="22"/>
        <v>0</v>
      </c>
      <c r="N298" s="893">
        <f t="shared" si="26"/>
        <v>0</v>
      </c>
      <c r="O298" s="905"/>
      <c r="P298" s="58" t="str">
        <f>IF(N297&gt;0,"xx",IF(N297&gt;0,"xy",""))</f>
        <v/>
      </c>
      <c r="Q298" s="317" t="str">
        <f t="shared" si="23"/>
        <v/>
      </c>
      <c r="R298" s="317" t="str">
        <f t="shared" si="24"/>
        <v/>
      </c>
      <c r="S298" s="317" t="str">
        <f t="shared" si="25"/>
        <v/>
      </c>
      <c r="T298" s="317" t="str">
        <f>GLOBAL_DER_FEV_2023!S298</f>
        <v/>
      </c>
      <c r="W298" s="582">
        <v>0</v>
      </c>
      <c r="X298" s="580"/>
      <c r="Y298" s="583">
        <f>IF(GLOBAL_DER_FEV_2023!W298=0,0,IF(GLOBAL_DER_FEV_2023!W298&gt;0,"c","b"))</f>
        <v>0</v>
      </c>
    </row>
    <row r="299" spans="1:25" ht="13.5" thickBot="1" x14ac:dyDescent="0.25">
      <c r="A299" s="317">
        <v>589520</v>
      </c>
      <c r="B299" s="1004" t="s">
        <v>1669</v>
      </c>
      <c r="C299" s="984" t="s">
        <v>213</v>
      </c>
      <c r="D299" s="1016" t="s">
        <v>562</v>
      </c>
      <c r="E299" s="1005">
        <f>GLOBAL_DER_FEV_2023!E299</f>
        <v>353</v>
      </c>
      <c r="F299" s="1006">
        <f>GLOBAL_DER_FEV_2023!F299</f>
        <v>1</v>
      </c>
      <c r="G299" s="949">
        <f>GLOBAL_DER_FEV_2023!G299</f>
        <v>337.96999999999997</v>
      </c>
      <c r="H299" s="988">
        <f>GLOBAL_DER_FEV_2023!H299</f>
        <v>4164.04</v>
      </c>
      <c r="I299" s="988">
        <f>GLOBAL_DER_FEV_2023!I299</f>
        <v>4335.8923053218959</v>
      </c>
      <c r="J299" s="989">
        <f>GLOBAL_DER_FEV_2023!J299</f>
        <v>5206.1099999999997</v>
      </c>
      <c r="K299" s="990" t="s">
        <v>14</v>
      </c>
      <c r="L299" s="1154">
        <f>ROUND(L297*$F297,2)</f>
        <v>0</v>
      </c>
      <c r="M299" s="1159">
        <f t="shared" si="22"/>
        <v>0</v>
      </c>
      <c r="N299" s="993">
        <f t="shared" si="26"/>
        <v>0</v>
      </c>
      <c r="O299" s="905"/>
      <c r="P299" s="58" t="str">
        <f>IF(N297&gt;0,"xx",IF(N297&gt;0,"xy",""))</f>
        <v/>
      </c>
      <c r="Q299" s="317" t="str">
        <f t="shared" si="23"/>
        <v/>
      </c>
      <c r="R299" s="317" t="str">
        <f t="shared" si="24"/>
        <v/>
      </c>
      <c r="S299" s="317" t="str">
        <f t="shared" si="25"/>
        <v/>
      </c>
      <c r="T299" s="317" t="str">
        <f>GLOBAL_DER_FEV_2023!S299</f>
        <v/>
      </c>
      <c r="W299" s="582">
        <v>0</v>
      </c>
      <c r="X299" s="580"/>
      <c r="Y299" s="583">
        <f>IF(GLOBAL_DER_FEV_2023!W299=0,0,IF(GLOBAL_DER_FEV_2023!W299&gt;0,"c","b"))</f>
        <v>0</v>
      </c>
    </row>
    <row r="300" spans="1:25" x14ac:dyDescent="0.2">
      <c r="A300" s="317">
        <v>564300</v>
      </c>
      <c r="B300" s="999">
        <v>564300</v>
      </c>
      <c r="C300" s="1000" t="s">
        <v>184</v>
      </c>
      <c r="D300" s="1014" t="s">
        <v>241</v>
      </c>
      <c r="E300" s="974" t="str">
        <f>GLOBAL_DER_FEV_2023!E300</f>
        <v>taxa CAP</v>
      </c>
      <c r="F300" s="975">
        <f>GLOBAL_DER_FEV_2023!F300</f>
        <v>0.1</v>
      </c>
      <c r="G300" s="976">
        <f>GLOBAL_DER_FEV_2023!G300</f>
        <v>6.3668000000000005</v>
      </c>
      <c r="H300" s="977">
        <f>GLOBAL_DER_FEV_2023!H300</f>
        <v>131</v>
      </c>
      <c r="I300" s="977">
        <f>GLOBAL_DER_FEV_2023!I300</f>
        <v>137.36680000000001</v>
      </c>
      <c r="J300" s="978">
        <f>GLOBAL_DER_FEV_2023!J300</f>
        <v>164.94</v>
      </c>
      <c r="K300" s="979" t="s">
        <v>10</v>
      </c>
      <c r="L300" s="1152"/>
      <c r="M300" s="1153">
        <f t="shared" si="22"/>
        <v>0</v>
      </c>
      <c r="N300" s="982">
        <f t="shared" si="26"/>
        <v>0</v>
      </c>
      <c r="O300" s="905"/>
      <c r="Q300" s="317" t="str">
        <f t="shared" si="23"/>
        <v/>
      </c>
      <c r="R300" s="317" t="str">
        <f t="shared" si="24"/>
        <v/>
      </c>
      <c r="S300" s="317" t="str">
        <f t="shared" si="25"/>
        <v/>
      </c>
      <c r="T300" s="317" t="str">
        <f>GLOBAL_DER_FEV_2023!S300</f>
        <v/>
      </c>
      <c r="W300" s="582">
        <v>0</v>
      </c>
      <c r="X300" s="580"/>
      <c r="Y300" s="583">
        <f>IF(GLOBAL_DER_FEV_2023!W300=0,0,IF(GLOBAL_DER_FEV_2023!W300&gt;0,"c","b"))</f>
        <v>0</v>
      </c>
    </row>
    <row r="301" spans="1:25" x14ac:dyDescent="0.2">
      <c r="A301" s="317" t="s">
        <v>147</v>
      </c>
      <c r="B301" s="895" t="s">
        <v>147</v>
      </c>
      <c r="C301" s="896"/>
      <c r="D301" s="1015" t="s">
        <v>233</v>
      </c>
      <c r="E301" s="898">
        <f>GLOBAL_DER_FEV_2023!E301</f>
        <v>0.2</v>
      </c>
      <c r="F301" s="908">
        <f>GLOBAL_DER_FEV_2023!F301</f>
        <v>2.2000000000000002</v>
      </c>
      <c r="G301" s="949">
        <f>GLOBAL_DER_FEV_2023!G301</f>
        <v>6.3668000000000005</v>
      </c>
      <c r="H301" s="901">
        <f>GLOBAL_DER_FEV_2023!H301</f>
        <v>0</v>
      </c>
      <c r="I301" s="901">
        <f>GLOBAL_DER_FEV_2023!I301</f>
        <v>0</v>
      </c>
      <c r="J301" s="902">
        <f>GLOBAL_DER_FEV_2023!J301</f>
        <v>0</v>
      </c>
      <c r="K301" s="903" t="s">
        <v>507</v>
      </c>
      <c r="L301" s="1003"/>
      <c r="M301" s="1157">
        <f t="shared" si="22"/>
        <v>0</v>
      </c>
      <c r="N301" s="893">
        <f t="shared" si="26"/>
        <v>0</v>
      </c>
      <c r="O301" s="905"/>
      <c r="P301" s="58" t="str">
        <f>IF(N300&gt;0,"xx",IF(N300&gt;0,"xy",""))</f>
        <v/>
      </c>
      <c r="Q301" s="317" t="str">
        <f t="shared" si="23"/>
        <v/>
      </c>
      <c r="R301" s="317" t="str">
        <f t="shared" si="24"/>
        <v/>
      </c>
      <c r="S301" s="317" t="str">
        <f t="shared" si="25"/>
        <v/>
      </c>
      <c r="T301" s="317" t="str">
        <f>GLOBAL_DER_FEV_2023!S301</f>
        <v/>
      </c>
      <c r="W301" s="582">
        <v>0</v>
      </c>
      <c r="X301" s="580"/>
      <c r="Y301" s="583">
        <f>IF(GLOBAL_DER_FEV_2023!W301=0,0,IF(GLOBAL_DER_FEV_2023!W301&gt;0,"c","b"))</f>
        <v>0</v>
      </c>
    </row>
    <row r="302" spans="1:25" ht="13.5" thickBot="1" x14ac:dyDescent="0.25">
      <c r="A302" s="317">
        <v>589000</v>
      </c>
      <c r="B302" s="1004" t="s">
        <v>708</v>
      </c>
      <c r="C302" s="984" t="s">
        <v>213</v>
      </c>
      <c r="D302" s="1016" t="s">
        <v>563</v>
      </c>
      <c r="E302" s="1005">
        <f>GLOBAL_DER_FEV_2023!E302</f>
        <v>45</v>
      </c>
      <c r="F302" s="1006">
        <f>GLOBAL_DER_FEV_2023!F302</f>
        <v>1</v>
      </c>
      <c r="G302" s="949">
        <f>GLOBAL_DER_FEV_2023!G302</f>
        <v>79.25</v>
      </c>
      <c r="H302" s="988">
        <f>GLOBAL_DER_FEV_2023!H302</f>
        <v>4828.8599999999997</v>
      </c>
      <c r="I302" s="988">
        <f>GLOBAL_DER_FEV_2023!I302</f>
        <v>4715.4703781127673</v>
      </c>
      <c r="J302" s="989">
        <f>GLOBAL_DER_FEV_2023!J302</f>
        <v>5661.87</v>
      </c>
      <c r="K302" s="990" t="s">
        <v>14</v>
      </c>
      <c r="L302" s="1154">
        <f>ROUND(L300*$F300,2)</f>
        <v>0</v>
      </c>
      <c r="M302" s="1159">
        <f t="shared" si="22"/>
        <v>0</v>
      </c>
      <c r="N302" s="993">
        <f t="shared" si="26"/>
        <v>0</v>
      </c>
      <c r="O302" s="905"/>
      <c r="P302" s="58" t="str">
        <f>IF(N300&gt;0,"xx",IF(N300&gt;0,"xy",""))</f>
        <v/>
      </c>
      <c r="Q302" s="317" t="str">
        <f t="shared" si="23"/>
        <v/>
      </c>
      <c r="R302" s="317" t="str">
        <f t="shared" si="24"/>
        <v/>
      </c>
      <c r="S302" s="317" t="str">
        <f t="shared" si="25"/>
        <v/>
      </c>
      <c r="T302" s="317" t="str">
        <f>GLOBAL_DER_FEV_2023!S302</f>
        <v/>
      </c>
      <c r="W302" s="582">
        <v>0</v>
      </c>
      <c r="X302" s="580"/>
      <c r="Y302" s="583">
        <f>IF(GLOBAL_DER_FEV_2023!W302=0,0,IF(GLOBAL_DER_FEV_2023!W302&gt;0,"c","b"))</f>
        <v>0</v>
      </c>
    </row>
    <row r="303" spans="1:25" x14ac:dyDescent="0.2">
      <c r="A303" s="317">
        <v>563100</v>
      </c>
      <c r="B303" s="999" t="s">
        <v>1753</v>
      </c>
      <c r="C303" s="1000" t="s">
        <v>184</v>
      </c>
      <c r="D303" s="1017" t="s">
        <v>242</v>
      </c>
      <c r="E303" s="974" t="str">
        <f>GLOBAL_DER_FEV_2023!E303</f>
        <v>taxa RR-2C</v>
      </c>
      <c r="F303" s="975">
        <f>GLOBAL_DER_FEV_2023!F303</f>
        <v>5.0000000000000001E-4</v>
      </c>
      <c r="G303" s="976">
        <f>GLOBAL_DER_FEV_2023!G303</f>
        <v>2.0258000000000002E-2</v>
      </c>
      <c r="H303" s="977">
        <f>GLOBAL_DER_FEV_2023!H303</f>
        <v>1.27</v>
      </c>
      <c r="I303" s="977">
        <f>GLOBAL_DER_FEV_2023!I303</f>
        <v>1.2902580000000001</v>
      </c>
      <c r="J303" s="978">
        <f>GLOBAL_DER_FEV_2023!J303</f>
        <v>1.55</v>
      </c>
      <c r="K303" s="979" t="s">
        <v>12</v>
      </c>
      <c r="L303" s="1152"/>
      <c r="M303" s="1153">
        <f t="shared" si="22"/>
        <v>0</v>
      </c>
      <c r="N303" s="982">
        <f t="shared" si="26"/>
        <v>0</v>
      </c>
      <c r="O303" s="905"/>
      <c r="Q303" s="317" t="str">
        <f t="shared" si="23"/>
        <v/>
      </c>
      <c r="R303" s="317" t="str">
        <f t="shared" si="24"/>
        <v/>
      </c>
      <c r="S303" s="317" t="str">
        <f t="shared" si="25"/>
        <v/>
      </c>
      <c r="T303" s="317" t="str">
        <f>GLOBAL_DER_FEV_2023!S303</f>
        <v/>
      </c>
      <c r="W303" s="582">
        <v>0</v>
      </c>
      <c r="X303" s="580"/>
      <c r="Y303" s="583">
        <f>IF(GLOBAL_DER_FEV_2023!W303=0,0,IF(GLOBAL_DER_FEV_2023!W303&gt;0,"c","b"))</f>
        <v>0</v>
      </c>
    </row>
    <row r="304" spans="1:25" x14ac:dyDescent="0.2">
      <c r="A304" s="317" t="s">
        <v>147</v>
      </c>
      <c r="B304" s="895" t="s">
        <v>147</v>
      </c>
      <c r="C304" s="896"/>
      <c r="D304" s="1018" t="s">
        <v>233</v>
      </c>
      <c r="E304" s="898">
        <f>GLOBAL_DER_FEV_2023!E304</f>
        <v>0.2</v>
      </c>
      <c r="F304" s="908">
        <f>GLOBAL_DER_FEV_2023!F304</f>
        <v>7.0000000000000001E-3</v>
      </c>
      <c r="G304" s="949">
        <f>GLOBAL_DER_FEV_2023!G304</f>
        <v>2.0258000000000002E-2</v>
      </c>
      <c r="H304" s="901">
        <f>GLOBAL_DER_FEV_2023!H304</f>
        <v>0</v>
      </c>
      <c r="I304" s="901">
        <f>GLOBAL_DER_FEV_2023!I304</f>
        <v>0</v>
      </c>
      <c r="J304" s="902">
        <f>GLOBAL_DER_FEV_2023!J304</f>
        <v>0</v>
      </c>
      <c r="K304" s="903" t="s">
        <v>507</v>
      </c>
      <c r="L304" s="1003"/>
      <c r="M304" s="1157">
        <f t="shared" si="22"/>
        <v>0</v>
      </c>
      <c r="N304" s="893">
        <f t="shared" si="26"/>
        <v>0</v>
      </c>
      <c r="O304" s="905"/>
      <c r="P304" s="58" t="str">
        <f>IF(N303&gt;0,"xx",IF(N303&gt;0,"xy",""))</f>
        <v/>
      </c>
      <c r="Q304" s="317" t="str">
        <f t="shared" si="23"/>
        <v/>
      </c>
      <c r="R304" s="317" t="str">
        <f t="shared" si="24"/>
        <v/>
      </c>
      <c r="S304" s="317" t="str">
        <f t="shared" si="25"/>
        <v/>
      </c>
      <c r="T304" s="317" t="str">
        <f>GLOBAL_DER_FEV_2023!S304</f>
        <v/>
      </c>
      <c r="W304" s="582">
        <v>0</v>
      </c>
      <c r="X304" s="580"/>
      <c r="Y304" s="583">
        <f>IF(GLOBAL_DER_FEV_2023!W304=0,0,IF(GLOBAL_DER_FEV_2023!W304&gt;0,"c","b"))</f>
        <v>0</v>
      </c>
    </row>
    <row r="305" spans="1:25" ht="13.5" thickBot="1" x14ac:dyDescent="0.25">
      <c r="A305" s="317">
        <v>589520</v>
      </c>
      <c r="B305" s="1004" t="s">
        <v>1670</v>
      </c>
      <c r="C305" s="984" t="s">
        <v>213</v>
      </c>
      <c r="D305" s="1012" t="s">
        <v>564</v>
      </c>
      <c r="E305" s="1005">
        <f>GLOBAL_DER_FEV_2023!E305</f>
        <v>353</v>
      </c>
      <c r="F305" s="1006">
        <f>GLOBAL_DER_FEV_2023!F305</f>
        <v>1</v>
      </c>
      <c r="G305" s="949">
        <f>GLOBAL_DER_FEV_2023!G305</f>
        <v>337.96999999999997</v>
      </c>
      <c r="H305" s="988">
        <f>GLOBAL_DER_FEV_2023!H305</f>
        <v>4164.04</v>
      </c>
      <c r="I305" s="988">
        <f>GLOBAL_DER_FEV_2023!I305</f>
        <v>4335.8923053218959</v>
      </c>
      <c r="J305" s="989">
        <f>GLOBAL_DER_FEV_2023!J305</f>
        <v>5206.1099999999997</v>
      </c>
      <c r="K305" s="990" t="s">
        <v>14</v>
      </c>
      <c r="L305" s="1154">
        <f>ROUND(L303*$F303,2)</f>
        <v>0</v>
      </c>
      <c r="M305" s="1159">
        <f t="shared" si="22"/>
        <v>0</v>
      </c>
      <c r="N305" s="993">
        <f t="shared" si="26"/>
        <v>0</v>
      </c>
      <c r="O305" s="905"/>
      <c r="P305" s="58" t="str">
        <f>IF(N303&gt;0,"xx",IF(N303&gt;0,"xy",""))</f>
        <v/>
      </c>
      <c r="Q305" s="317" t="str">
        <f t="shared" si="23"/>
        <v/>
      </c>
      <c r="R305" s="317" t="str">
        <f t="shared" si="24"/>
        <v/>
      </c>
      <c r="S305" s="317" t="str">
        <f t="shared" si="25"/>
        <v/>
      </c>
      <c r="T305" s="317" t="str">
        <f>GLOBAL_DER_FEV_2023!S305</f>
        <v/>
      </c>
      <c r="W305" s="582">
        <v>0</v>
      </c>
      <c r="X305" s="580"/>
      <c r="Y305" s="583">
        <f>IF(GLOBAL_DER_FEV_2023!W305=0,0,IF(GLOBAL_DER_FEV_2023!W305&gt;0,"c","b"))</f>
        <v>0</v>
      </c>
    </row>
    <row r="306" spans="1:25" x14ac:dyDescent="0.2">
      <c r="A306" s="317">
        <v>534000</v>
      </c>
      <c r="B306" s="999" t="s">
        <v>599</v>
      </c>
      <c r="C306" s="1000" t="s">
        <v>184</v>
      </c>
      <c r="D306" s="973" t="s">
        <v>2205</v>
      </c>
      <c r="E306" s="974" t="str">
        <f>GLOBAL_DER_FEV_2023!E306</f>
        <v>taxa RM-2C</v>
      </c>
      <c r="F306" s="975">
        <f>GLOBAL_DER_FEV_2023!F306</f>
        <v>0.08</v>
      </c>
      <c r="G306" s="976">
        <f>GLOBAL_DER_FEV_2023!G306</f>
        <v>69.737280000000013</v>
      </c>
      <c r="H306" s="977">
        <f>GLOBAL_DER_FEV_2023!H306</f>
        <v>141.84</v>
      </c>
      <c r="I306" s="977">
        <f>GLOBAL_DER_FEV_2023!I306</f>
        <v>211.57728000000003</v>
      </c>
      <c r="J306" s="978">
        <f>GLOBAL_DER_FEV_2023!J306</f>
        <v>254.04</v>
      </c>
      <c r="K306" s="979" t="s">
        <v>10</v>
      </c>
      <c r="L306" s="1152"/>
      <c r="M306" s="1153">
        <f t="shared" si="22"/>
        <v>0</v>
      </c>
      <c r="N306" s="982">
        <f t="shared" si="26"/>
        <v>0</v>
      </c>
      <c r="O306" s="905"/>
      <c r="Q306" s="317" t="str">
        <f t="shared" si="23"/>
        <v/>
      </c>
      <c r="R306" s="317" t="str">
        <f t="shared" si="24"/>
        <v/>
      </c>
      <c r="S306" s="317" t="str">
        <f t="shared" si="25"/>
        <v/>
      </c>
      <c r="T306" s="317" t="str">
        <f>GLOBAL_DER_FEV_2023!S306</f>
        <v/>
      </c>
      <c r="W306" s="582">
        <v>0</v>
      </c>
      <c r="X306" s="580"/>
      <c r="Y306" s="583">
        <f>IF(GLOBAL_DER_FEV_2023!W306=0,0,IF(GLOBAL_DER_FEV_2023!W306&gt;0,"c","b"))</f>
        <v>0</v>
      </c>
    </row>
    <row r="307" spans="1:25" x14ac:dyDescent="0.2">
      <c r="A307" s="317" t="s">
        <v>147</v>
      </c>
      <c r="B307" s="895" t="s">
        <v>147</v>
      </c>
      <c r="C307" s="896"/>
      <c r="D307" s="957" t="s">
        <v>229</v>
      </c>
      <c r="E307" s="907">
        <f>GLOBAL_DER_FEV_2023!E307</f>
        <v>150</v>
      </c>
      <c r="F307" s="908">
        <f>GLOBAL_DER_FEV_2023!F307</f>
        <v>0</v>
      </c>
      <c r="G307" s="949">
        <f>GLOBAL_DER_FEV_2023!G307</f>
        <v>0</v>
      </c>
      <c r="H307" s="901">
        <f>GLOBAL_DER_FEV_2023!H307</f>
        <v>0</v>
      </c>
      <c r="I307" s="901">
        <f>GLOBAL_DER_FEV_2023!I307</f>
        <v>0</v>
      </c>
      <c r="J307" s="902">
        <f>GLOBAL_DER_FEV_2023!J307</f>
        <v>0</v>
      </c>
      <c r="K307" s="903" t="s">
        <v>507</v>
      </c>
      <c r="L307" s="1003"/>
      <c r="M307" s="1157">
        <f t="shared" si="22"/>
        <v>0</v>
      </c>
      <c r="N307" s="893">
        <f t="shared" si="26"/>
        <v>0</v>
      </c>
      <c r="O307" s="905"/>
      <c r="P307" s="58" t="str">
        <f>IF(N306&gt;0,"xx",IF(N306&gt;0,"xy",""))</f>
        <v/>
      </c>
      <c r="Q307" s="317" t="str">
        <f t="shared" si="23"/>
        <v/>
      </c>
      <c r="R307" s="317" t="str">
        <f t="shared" si="24"/>
        <v/>
      </c>
      <c r="S307" s="317" t="str">
        <f t="shared" si="25"/>
        <v/>
      </c>
      <c r="T307" s="317" t="str">
        <f>GLOBAL_DER_FEV_2023!S307</f>
        <v/>
      </c>
      <c r="W307" s="582">
        <v>0</v>
      </c>
      <c r="X307" s="580"/>
      <c r="Y307" s="583">
        <f>IF(GLOBAL_DER_FEV_2023!W307=0,0,IF(GLOBAL_DER_FEV_2023!W307&gt;0,"c","b"))</f>
        <v>0</v>
      </c>
    </row>
    <row r="308" spans="1:25" x14ac:dyDescent="0.2">
      <c r="A308" s="317" t="s">
        <v>147</v>
      </c>
      <c r="B308" s="895" t="s">
        <v>147</v>
      </c>
      <c r="C308" s="896"/>
      <c r="D308" s="957" t="s">
        <v>230</v>
      </c>
      <c r="E308" s="907">
        <f>GLOBAL_DER_FEV_2023!E308</f>
        <v>353</v>
      </c>
      <c r="F308" s="908">
        <f>GLOBAL_DER_FEV_2023!F308</f>
        <v>0</v>
      </c>
      <c r="G308" s="909">
        <f>GLOBAL_DER_FEV_2023!G308</f>
        <v>0</v>
      </c>
      <c r="H308" s="901">
        <f>GLOBAL_DER_FEV_2023!H308</f>
        <v>0</v>
      </c>
      <c r="I308" s="901">
        <f>GLOBAL_DER_FEV_2023!I308</f>
        <v>0</v>
      </c>
      <c r="J308" s="902">
        <f>GLOBAL_DER_FEV_2023!J308</f>
        <v>0</v>
      </c>
      <c r="K308" s="903" t="s">
        <v>507</v>
      </c>
      <c r="L308" s="1003"/>
      <c r="M308" s="1157">
        <f t="shared" si="22"/>
        <v>0</v>
      </c>
      <c r="N308" s="893">
        <f t="shared" si="26"/>
        <v>0</v>
      </c>
      <c r="O308" s="905"/>
      <c r="P308" s="58" t="str">
        <f>IF(N306&gt;0,"xx",IF(N306&gt;0,"xy",""))</f>
        <v/>
      </c>
      <c r="Q308" s="317" t="str">
        <f t="shared" si="23"/>
        <v/>
      </c>
      <c r="R308" s="317" t="str">
        <f t="shared" si="24"/>
        <v/>
      </c>
      <c r="S308" s="317" t="str">
        <f t="shared" si="25"/>
        <v/>
      </c>
      <c r="T308" s="317" t="str">
        <f>GLOBAL_DER_FEV_2023!S308</f>
        <v/>
      </c>
      <c r="W308" s="582">
        <v>0</v>
      </c>
      <c r="X308" s="580"/>
      <c r="Y308" s="583">
        <f>IF(GLOBAL_DER_FEV_2023!W308=0,0,IF(GLOBAL_DER_FEV_2023!W308&gt;0,"c","b"))</f>
        <v>0</v>
      </c>
    </row>
    <row r="309" spans="1:25" x14ac:dyDescent="0.2">
      <c r="A309" s="317" t="s">
        <v>147</v>
      </c>
      <c r="B309" s="895" t="s">
        <v>147</v>
      </c>
      <c r="C309" s="896"/>
      <c r="D309" s="957" t="s">
        <v>243</v>
      </c>
      <c r="E309" s="907">
        <f>GLOBAL_DER_FEV_2023!E309</f>
        <v>0.2</v>
      </c>
      <c r="F309" s="908">
        <f>GLOBAL_DER_FEV_2023!F309</f>
        <v>2.12</v>
      </c>
      <c r="G309" s="949">
        <f>GLOBAL_DER_FEV_2023!G309</f>
        <v>6.1352800000000007</v>
      </c>
      <c r="H309" s="901">
        <f>GLOBAL_DER_FEV_2023!H309</f>
        <v>0</v>
      </c>
      <c r="I309" s="901">
        <f>GLOBAL_DER_FEV_2023!I309</f>
        <v>0</v>
      </c>
      <c r="J309" s="902">
        <f>GLOBAL_DER_FEV_2023!J309</f>
        <v>0</v>
      </c>
      <c r="K309" s="903" t="s">
        <v>507</v>
      </c>
      <c r="L309" s="1003"/>
      <c r="M309" s="1157">
        <f t="shared" si="22"/>
        <v>0</v>
      </c>
      <c r="N309" s="893">
        <f t="shared" si="26"/>
        <v>0</v>
      </c>
      <c r="O309" s="905"/>
      <c r="P309" s="58" t="str">
        <f>IF(N306&gt;0,"xx",IF(N306&gt;0,"xy",""))</f>
        <v/>
      </c>
      <c r="Q309" s="317" t="str">
        <f t="shared" si="23"/>
        <v/>
      </c>
      <c r="R309" s="317" t="str">
        <f t="shared" si="24"/>
        <v/>
      </c>
      <c r="S309" s="317" t="str">
        <f t="shared" si="25"/>
        <v/>
      </c>
      <c r="T309" s="317" t="str">
        <f>GLOBAL_DER_FEV_2023!S309</f>
        <v/>
      </c>
      <c r="W309" s="582">
        <v>0</v>
      </c>
      <c r="X309" s="580"/>
      <c r="Y309" s="583">
        <f>IF(GLOBAL_DER_FEV_2023!W309=0,0,IF(GLOBAL_DER_FEV_2023!W309&gt;0,"c","b"))</f>
        <v>0</v>
      </c>
    </row>
    <row r="310" spans="1:25" x14ac:dyDescent="0.2">
      <c r="A310" s="317" t="s">
        <v>147</v>
      </c>
      <c r="B310" s="895" t="s">
        <v>147</v>
      </c>
      <c r="C310" s="896"/>
      <c r="D310" s="957" t="s">
        <v>244</v>
      </c>
      <c r="E310" s="907">
        <f>GLOBAL_DER_FEV_2023!E310</f>
        <v>22</v>
      </c>
      <c r="F310" s="908">
        <f>GLOBAL_DER_FEV_2023!F310</f>
        <v>2.2000000000000002</v>
      </c>
      <c r="G310" s="912">
        <f>GLOBAL_DER_FEV_2023!G310</f>
        <v>63.602000000000011</v>
      </c>
      <c r="H310" s="901">
        <f>GLOBAL_DER_FEV_2023!H310</f>
        <v>0</v>
      </c>
      <c r="I310" s="901">
        <f>GLOBAL_DER_FEV_2023!I310</f>
        <v>0</v>
      </c>
      <c r="J310" s="902">
        <f>GLOBAL_DER_FEV_2023!J310</f>
        <v>0</v>
      </c>
      <c r="K310" s="903" t="s">
        <v>507</v>
      </c>
      <c r="L310" s="1003"/>
      <c r="M310" s="1157">
        <f t="shared" si="22"/>
        <v>0</v>
      </c>
      <c r="N310" s="893">
        <f t="shared" si="26"/>
        <v>0</v>
      </c>
      <c r="O310" s="905"/>
      <c r="P310" s="58" t="str">
        <f>IF(N306&gt;0,"xx",IF(N306&gt;0,"xy",""))</f>
        <v/>
      </c>
      <c r="Q310" s="317" t="str">
        <f t="shared" si="23"/>
        <v/>
      </c>
      <c r="R310" s="317" t="str">
        <f t="shared" si="24"/>
        <v/>
      </c>
      <c r="S310" s="317" t="str">
        <f t="shared" si="25"/>
        <v/>
      </c>
      <c r="T310" s="317" t="str">
        <f>GLOBAL_DER_FEV_2023!S310</f>
        <v/>
      </c>
      <c r="W310" s="582">
        <v>0</v>
      </c>
      <c r="X310" s="580"/>
      <c r="Y310" s="583">
        <f>IF(GLOBAL_DER_FEV_2023!W310=0,0,IF(GLOBAL_DER_FEV_2023!W310&gt;0,"c","b"))</f>
        <v>0</v>
      </c>
    </row>
    <row r="311" spans="1:25" ht="13.5" thickBot="1" x14ac:dyDescent="0.25">
      <c r="A311" s="317">
        <v>589320</v>
      </c>
      <c r="B311" s="1004" t="s">
        <v>719</v>
      </c>
      <c r="C311" s="984" t="s">
        <v>213</v>
      </c>
      <c r="D311" s="1012" t="s">
        <v>699</v>
      </c>
      <c r="E311" s="1005">
        <f>GLOBAL_DER_FEV_2023!E311</f>
        <v>45</v>
      </c>
      <c r="F311" s="1006">
        <f>GLOBAL_DER_FEV_2023!F311</f>
        <v>1</v>
      </c>
      <c r="G311" s="949">
        <f>GLOBAL_DER_FEV_2023!G311</f>
        <v>79.25</v>
      </c>
      <c r="H311" s="988">
        <f>GLOBAL_DER_FEV_2023!H311</f>
        <v>4012.83</v>
      </c>
      <c r="I311" s="988">
        <f>GLOBAL_DER_FEV_2023!I311</f>
        <v>3931.9945856583668</v>
      </c>
      <c r="J311" s="989">
        <f>GLOBAL_DER_FEV_2023!J311</f>
        <v>4721.1499999999996</v>
      </c>
      <c r="K311" s="990" t="s">
        <v>14</v>
      </c>
      <c r="L311" s="1154">
        <f>ROUND(L306*$F306,2)</f>
        <v>0</v>
      </c>
      <c r="M311" s="1159">
        <f t="shared" si="22"/>
        <v>0</v>
      </c>
      <c r="N311" s="993">
        <f t="shared" si="26"/>
        <v>0</v>
      </c>
      <c r="O311" s="905"/>
      <c r="P311" s="58" t="str">
        <f>IF(N306&gt;0,"xx",IF(N306&gt;0,"xy",""))</f>
        <v/>
      </c>
      <c r="Q311" s="317" t="str">
        <f t="shared" si="23"/>
        <v/>
      </c>
      <c r="R311" s="317" t="str">
        <f t="shared" si="24"/>
        <v/>
      </c>
      <c r="S311" s="317" t="str">
        <f t="shared" si="25"/>
        <v/>
      </c>
      <c r="T311" s="317" t="str">
        <f>GLOBAL_DER_FEV_2023!S311</f>
        <v/>
      </c>
      <c r="W311" s="582">
        <v>0</v>
      </c>
      <c r="X311" s="580"/>
      <c r="Y311" s="583">
        <f>IF(GLOBAL_DER_FEV_2023!W311=0,0,IF(GLOBAL_DER_FEV_2023!W311&gt;0,"c","b"))</f>
        <v>0</v>
      </c>
    </row>
    <row r="312" spans="1:25" x14ac:dyDescent="0.2">
      <c r="A312" s="317">
        <v>534000</v>
      </c>
      <c r="B312" s="999" t="s">
        <v>600</v>
      </c>
      <c r="C312" s="1000" t="s">
        <v>184</v>
      </c>
      <c r="D312" s="973" t="s">
        <v>2206</v>
      </c>
      <c r="E312" s="974" t="str">
        <f>GLOBAL_DER_FEV_2023!E312</f>
        <v>taxa RM-2C</v>
      </c>
      <c r="F312" s="975">
        <f>GLOBAL_DER_FEV_2023!F312</f>
        <v>0.08</v>
      </c>
      <c r="G312" s="976">
        <f>GLOBAL_DER_FEV_2023!G312</f>
        <v>69.737280000000013</v>
      </c>
      <c r="H312" s="977">
        <f>GLOBAL_DER_FEV_2023!H312</f>
        <v>141.84</v>
      </c>
      <c r="I312" s="977">
        <f>GLOBAL_DER_FEV_2023!I312</f>
        <v>211.57728000000003</v>
      </c>
      <c r="J312" s="978">
        <f>GLOBAL_DER_FEV_2023!J312</f>
        <v>254.04</v>
      </c>
      <c r="K312" s="979" t="s">
        <v>10</v>
      </c>
      <c r="L312" s="1152"/>
      <c r="M312" s="1153">
        <f t="shared" si="22"/>
        <v>0</v>
      </c>
      <c r="N312" s="982">
        <f t="shared" si="26"/>
        <v>0</v>
      </c>
      <c r="O312" s="905"/>
      <c r="Q312" s="317" t="str">
        <f t="shared" si="23"/>
        <v/>
      </c>
      <c r="R312" s="317" t="str">
        <f t="shared" si="24"/>
        <v/>
      </c>
      <c r="S312" s="317" t="str">
        <f t="shared" si="25"/>
        <v/>
      </c>
      <c r="T312" s="317" t="str">
        <f>GLOBAL_DER_FEV_2023!S312</f>
        <v/>
      </c>
      <c r="W312" s="582">
        <v>0</v>
      </c>
      <c r="X312" s="580"/>
      <c r="Y312" s="583">
        <f>IF(GLOBAL_DER_FEV_2023!W312=0,0,IF(GLOBAL_DER_FEV_2023!W312&gt;0,"c","b"))</f>
        <v>0</v>
      </c>
    </row>
    <row r="313" spans="1:25" x14ac:dyDescent="0.2">
      <c r="A313" s="317" t="s">
        <v>147</v>
      </c>
      <c r="B313" s="895" t="s">
        <v>147</v>
      </c>
      <c r="C313" s="896"/>
      <c r="D313" s="957" t="s">
        <v>229</v>
      </c>
      <c r="E313" s="907">
        <f>GLOBAL_DER_FEV_2023!E313</f>
        <v>150</v>
      </c>
      <c r="F313" s="908">
        <f>GLOBAL_DER_FEV_2023!F313</f>
        <v>0</v>
      </c>
      <c r="G313" s="949">
        <f>GLOBAL_DER_FEV_2023!G313</f>
        <v>0</v>
      </c>
      <c r="H313" s="901">
        <f>GLOBAL_DER_FEV_2023!H313</f>
        <v>0</v>
      </c>
      <c r="I313" s="901">
        <f>GLOBAL_DER_FEV_2023!I313</f>
        <v>0</v>
      </c>
      <c r="J313" s="902">
        <f>GLOBAL_DER_FEV_2023!J313</f>
        <v>0</v>
      </c>
      <c r="K313" s="903" t="s">
        <v>507</v>
      </c>
      <c r="L313" s="1003"/>
      <c r="M313" s="1157">
        <f t="shared" si="22"/>
        <v>0</v>
      </c>
      <c r="N313" s="893">
        <f t="shared" si="26"/>
        <v>0</v>
      </c>
      <c r="O313" s="905"/>
      <c r="P313" s="58" t="str">
        <f>IF(N312&gt;0,"xx",IF(N312&gt;0,"xy",""))</f>
        <v/>
      </c>
      <c r="Q313" s="317" t="str">
        <f t="shared" si="23"/>
        <v/>
      </c>
      <c r="R313" s="317" t="str">
        <f t="shared" si="24"/>
        <v/>
      </c>
      <c r="S313" s="317" t="str">
        <f t="shared" si="25"/>
        <v/>
      </c>
      <c r="T313" s="317" t="str">
        <f>GLOBAL_DER_FEV_2023!S313</f>
        <v/>
      </c>
      <c r="W313" s="582">
        <v>0</v>
      </c>
      <c r="X313" s="580"/>
      <c r="Y313" s="583">
        <f>IF(GLOBAL_DER_FEV_2023!W313=0,0,IF(GLOBAL_DER_FEV_2023!W313&gt;0,"c","b"))</f>
        <v>0</v>
      </c>
    </row>
    <row r="314" spans="1:25" x14ac:dyDescent="0.2">
      <c r="A314" s="317" t="s">
        <v>147</v>
      </c>
      <c r="B314" s="895" t="s">
        <v>147</v>
      </c>
      <c r="C314" s="896"/>
      <c r="D314" s="957" t="s">
        <v>230</v>
      </c>
      <c r="E314" s="907">
        <f>GLOBAL_DER_FEV_2023!E314</f>
        <v>353</v>
      </c>
      <c r="F314" s="908">
        <f>GLOBAL_DER_FEV_2023!F314</f>
        <v>0</v>
      </c>
      <c r="G314" s="909">
        <f>GLOBAL_DER_FEV_2023!G314</f>
        <v>0</v>
      </c>
      <c r="H314" s="901">
        <f>GLOBAL_DER_FEV_2023!H314</f>
        <v>0</v>
      </c>
      <c r="I314" s="901">
        <f>GLOBAL_DER_FEV_2023!I314</f>
        <v>0</v>
      </c>
      <c r="J314" s="902">
        <f>GLOBAL_DER_FEV_2023!J314</f>
        <v>0</v>
      </c>
      <c r="K314" s="903" t="s">
        <v>507</v>
      </c>
      <c r="L314" s="1003"/>
      <c r="M314" s="1157">
        <f t="shared" si="22"/>
        <v>0</v>
      </c>
      <c r="N314" s="893">
        <f t="shared" si="26"/>
        <v>0</v>
      </c>
      <c r="O314" s="905"/>
      <c r="P314" s="58" t="str">
        <f>IF(N312&gt;0,"xx",IF(N312&gt;0,"xy",""))</f>
        <v/>
      </c>
      <c r="Q314" s="317" t="str">
        <f t="shared" si="23"/>
        <v/>
      </c>
      <c r="R314" s="317" t="str">
        <f t="shared" si="24"/>
        <v/>
      </c>
      <c r="S314" s="317" t="str">
        <f t="shared" si="25"/>
        <v/>
      </c>
      <c r="T314" s="317" t="str">
        <f>GLOBAL_DER_FEV_2023!S314</f>
        <v/>
      </c>
      <c r="W314" s="582">
        <v>0</v>
      </c>
      <c r="X314" s="580"/>
      <c r="Y314" s="583">
        <f>IF(GLOBAL_DER_FEV_2023!W314=0,0,IF(GLOBAL_DER_FEV_2023!W314&gt;0,"c","b"))</f>
        <v>0</v>
      </c>
    </row>
    <row r="315" spans="1:25" x14ac:dyDescent="0.2">
      <c r="A315" s="317" t="s">
        <v>147</v>
      </c>
      <c r="B315" s="895" t="s">
        <v>147</v>
      </c>
      <c r="C315" s="896"/>
      <c r="D315" s="957" t="s">
        <v>243</v>
      </c>
      <c r="E315" s="907">
        <f>GLOBAL_DER_FEV_2023!E315</f>
        <v>0.2</v>
      </c>
      <c r="F315" s="908">
        <f>GLOBAL_DER_FEV_2023!F315</f>
        <v>2.12</v>
      </c>
      <c r="G315" s="949">
        <f>GLOBAL_DER_FEV_2023!G315</f>
        <v>6.1352800000000007</v>
      </c>
      <c r="H315" s="901">
        <f>GLOBAL_DER_FEV_2023!H315</f>
        <v>0</v>
      </c>
      <c r="I315" s="901">
        <f>GLOBAL_DER_FEV_2023!I315</f>
        <v>0</v>
      </c>
      <c r="J315" s="902">
        <f>GLOBAL_DER_FEV_2023!J315</f>
        <v>0</v>
      </c>
      <c r="K315" s="903" t="s">
        <v>507</v>
      </c>
      <c r="L315" s="1003"/>
      <c r="M315" s="1157">
        <f t="shared" si="22"/>
        <v>0</v>
      </c>
      <c r="N315" s="893">
        <f t="shared" si="26"/>
        <v>0</v>
      </c>
      <c r="O315" s="905"/>
      <c r="P315" s="58" t="str">
        <f>IF(N312&gt;0,"xx",IF(N312&gt;0,"xy",""))</f>
        <v/>
      </c>
      <c r="Q315" s="317" t="str">
        <f t="shared" si="23"/>
        <v/>
      </c>
      <c r="R315" s="317" t="str">
        <f t="shared" si="24"/>
        <v/>
      </c>
      <c r="S315" s="317" t="str">
        <f t="shared" si="25"/>
        <v/>
      </c>
      <c r="T315" s="317" t="str">
        <f>GLOBAL_DER_FEV_2023!S315</f>
        <v/>
      </c>
      <c r="W315" s="582">
        <v>0</v>
      </c>
      <c r="X315" s="580"/>
      <c r="Y315" s="583">
        <f>IF(GLOBAL_DER_FEV_2023!W315=0,0,IF(GLOBAL_DER_FEV_2023!W315&gt;0,"c","b"))</f>
        <v>0</v>
      </c>
    </row>
    <row r="316" spans="1:25" x14ac:dyDescent="0.2">
      <c r="A316" s="317" t="s">
        <v>147</v>
      </c>
      <c r="B316" s="895" t="s">
        <v>147</v>
      </c>
      <c r="C316" s="896"/>
      <c r="D316" s="957" t="s">
        <v>244</v>
      </c>
      <c r="E316" s="907">
        <f>GLOBAL_DER_FEV_2023!E316</f>
        <v>22</v>
      </c>
      <c r="F316" s="908">
        <f>GLOBAL_DER_FEV_2023!F316</f>
        <v>2.2000000000000002</v>
      </c>
      <c r="G316" s="912">
        <f>GLOBAL_DER_FEV_2023!G316</f>
        <v>63.602000000000011</v>
      </c>
      <c r="H316" s="901">
        <f>GLOBAL_DER_FEV_2023!H316</f>
        <v>0</v>
      </c>
      <c r="I316" s="901">
        <f>GLOBAL_DER_FEV_2023!I316</f>
        <v>0</v>
      </c>
      <c r="J316" s="902">
        <f>GLOBAL_DER_FEV_2023!J316</f>
        <v>0</v>
      </c>
      <c r="K316" s="903" t="s">
        <v>507</v>
      </c>
      <c r="L316" s="1003"/>
      <c r="M316" s="1157">
        <f t="shared" si="22"/>
        <v>0</v>
      </c>
      <c r="N316" s="893">
        <f t="shared" si="26"/>
        <v>0</v>
      </c>
      <c r="O316" s="905"/>
      <c r="P316" s="58" t="str">
        <f>IF(N312&gt;0,"xx",IF(N312&gt;0,"xy",""))</f>
        <v/>
      </c>
      <c r="Q316" s="317" t="str">
        <f t="shared" si="23"/>
        <v/>
      </c>
      <c r="R316" s="317" t="str">
        <f t="shared" si="24"/>
        <v/>
      </c>
      <c r="S316" s="317" t="str">
        <f t="shared" si="25"/>
        <v/>
      </c>
      <c r="T316" s="317" t="str">
        <f>GLOBAL_DER_FEV_2023!S316</f>
        <v/>
      </c>
      <c r="W316" s="582">
        <v>0</v>
      </c>
      <c r="X316" s="580"/>
      <c r="Y316" s="583">
        <f>IF(GLOBAL_DER_FEV_2023!W316=0,0,IF(GLOBAL_DER_FEV_2023!W316&gt;0,"c","b"))</f>
        <v>0</v>
      </c>
    </row>
    <row r="317" spans="1:25" ht="13.5" thickBot="1" x14ac:dyDescent="0.25">
      <c r="A317" s="317">
        <v>589320</v>
      </c>
      <c r="B317" s="1004" t="s">
        <v>720</v>
      </c>
      <c r="C317" s="984" t="s">
        <v>213</v>
      </c>
      <c r="D317" s="1012" t="s">
        <v>699</v>
      </c>
      <c r="E317" s="1005">
        <f>GLOBAL_DER_FEV_2023!E317</f>
        <v>45</v>
      </c>
      <c r="F317" s="1006">
        <f>GLOBAL_DER_FEV_2023!F317</f>
        <v>1</v>
      </c>
      <c r="G317" s="949">
        <f>GLOBAL_DER_FEV_2023!G317</f>
        <v>79.25</v>
      </c>
      <c r="H317" s="988">
        <f>GLOBAL_DER_FEV_2023!H317</f>
        <v>4012.83</v>
      </c>
      <c r="I317" s="988">
        <f>GLOBAL_DER_FEV_2023!I317</f>
        <v>3931.9945856583668</v>
      </c>
      <c r="J317" s="989">
        <f>GLOBAL_DER_FEV_2023!J317</f>
        <v>4721.1499999999996</v>
      </c>
      <c r="K317" s="990" t="s">
        <v>14</v>
      </c>
      <c r="L317" s="1154">
        <f>ROUND(L312*$F312,2)</f>
        <v>0</v>
      </c>
      <c r="M317" s="1159">
        <f t="shared" si="22"/>
        <v>0</v>
      </c>
      <c r="N317" s="993">
        <f t="shared" si="26"/>
        <v>0</v>
      </c>
      <c r="O317" s="905"/>
      <c r="P317" s="58" t="str">
        <f>IF(N312&gt;0,"xx",IF(N312&gt;0,"xy",""))</f>
        <v/>
      </c>
      <c r="Q317" s="317" t="str">
        <f t="shared" si="23"/>
        <v/>
      </c>
      <c r="R317" s="317" t="str">
        <f t="shared" si="24"/>
        <v/>
      </c>
      <c r="S317" s="317" t="str">
        <f t="shared" si="25"/>
        <v/>
      </c>
      <c r="T317" s="317" t="str">
        <f>GLOBAL_DER_FEV_2023!S317</f>
        <v/>
      </c>
      <c r="W317" s="582">
        <v>0</v>
      </c>
      <c r="X317" s="580"/>
      <c r="Y317" s="583">
        <f>IF(GLOBAL_DER_FEV_2023!W317=0,0,IF(GLOBAL_DER_FEV_2023!W317&gt;0,"c","b"))</f>
        <v>0</v>
      </c>
    </row>
    <row r="318" spans="1:25" x14ac:dyDescent="0.2">
      <c r="A318" s="317">
        <v>534000</v>
      </c>
      <c r="B318" s="999" t="s">
        <v>1646</v>
      </c>
      <c r="C318" s="1000" t="s">
        <v>184</v>
      </c>
      <c r="D318" s="973" t="s">
        <v>2207</v>
      </c>
      <c r="E318" s="974" t="str">
        <f>GLOBAL_DER_FEV_2023!E318</f>
        <v>taxa RM-2C</v>
      </c>
      <c r="F318" s="975">
        <f>GLOBAL_DER_FEV_2023!F318</f>
        <v>0.08</v>
      </c>
      <c r="G318" s="976">
        <f>GLOBAL_DER_FEV_2023!G318</f>
        <v>69.737280000000013</v>
      </c>
      <c r="H318" s="977">
        <f>GLOBAL_DER_FEV_2023!H318</f>
        <v>141.84</v>
      </c>
      <c r="I318" s="977">
        <f>GLOBAL_DER_FEV_2023!I318</f>
        <v>211.57728000000003</v>
      </c>
      <c r="J318" s="978">
        <f>GLOBAL_DER_FEV_2023!J318</f>
        <v>254.04</v>
      </c>
      <c r="K318" s="979" t="s">
        <v>10</v>
      </c>
      <c r="L318" s="1152"/>
      <c r="M318" s="1153">
        <f t="shared" si="22"/>
        <v>0</v>
      </c>
      <c r="N318" s="982">
        <f t="shared" si="26"/>
        <v>0</v>
      </c>
      <c r="O318" s="905"/>
      <c r="Q318" s="317" t="str">
        <f t="shared" si="23"/>
        <v/>
      </c>
      <c r="R318" s="317" t="str">
        <f t="shared" si="24"/>
        <v/>
      </c>
      <c r="S318" s="317" t="str">
        <f t="shared" si="25"/>
        <v/>
      </c>
      <c r="T318" s="317" t="str">
        <f>GLOBAL_DER_FEV_2023!S318</f>
        <v/>
      </c>
      <c r="W318" s="582">
        <v>0</v>
      </c>
      <c r="X318" s="580"/>
      <c r="Y318" s="583">
        <f>IF(GLOBAL_DER_FEV_2023!W318=0,0,IF(GLOBAL_DER_FEV_2023!W318&gt;0,"c","b"))</f>
        <v>0</v>
      </c>
    </row>
    <row r="319" spans="1:25" x14ac:dyDescent="0.2">
      <c r="A319" s="317" t="s">
        <v>147</v>
      </c>
      <c r="B319" s="895" t="s">
        <v>147</v>
      </c>
      <c r="C319" s="896"/>
      <c r="D319" s="957" t="s">
        <v>229</v>
      </c>
      <c r="E319" s="907">
        <f>GLOBAL_DER_FEV_2023!E319</f>
        <v>150</v>
      </c>
      <c r="F319" s="908">
        <f>GLOBAL_DER_FEV_2023!F319</f>
        <v>0</v>
      </c>
      <c r="G319" s="949">
        <f>GLOBAL_DER_FEV_2023!G319</f>
        <v>0</v>
      </c>
      <c r="H319" s="901">
        <f>GLOBAL_DER_FEV_2023!H319</f>
        <v>0</v>
      </c>
      <c r="I319" s="901">
        <f>GLOBAL_DER_FEV_2023!I319</f>
        <v>0</v>
      </c>
      <c r="J319" s="902">
        <f>GLOBAL_DER_FEV_2023!J319</f>
        <v>0</v>
      </c>
      <c r="K319" s="903" t="s">
        <v>507</v>
      </c>
      <c r="L319" s="1003"/>
      <c r="M319" s="1157">
        <f t="shared" si="22"/>
        <v>0</v>
      </c>
      <c r="N319" s="893">
        <f t="shared" si="26"/>
        <v>0</v>
      </c>
      <c r="O319" s="905"/>
      <c r="P319" s="58" t="str">
        <f>IF(N318&gt;0,"xx",IF(N318&gt;0,"xy",""))</f>
        <v/>
      </c>
      <c r="Q319" s="317" t="str">
        <f t="shared" si="23"/>
        <v/>
      </c>
      <c r="R319" s="317" t="str">
        <f t="shared" si="24"/>
        <v/>
      </c>
      <c r="S319" s="317" t="str">
        <f t="shared" si="25"/>
        <v/>
      </c>
      <c r="T319" s="317" t="str">
        <f>GLOBAL_DER_FEV_2023!S319</f>
        <v/>
      </c>
      <c r="W319" s="582">
        <v>0</v>
      </c>
      <c r="X319" s="580"/>
      <c r="Y319" s="583">
        <f>IF(GLOBAL_DER_FEV_2023!W319=0,0,IF(GLOBAL_DER_FEV_2023!W319&gt;0,"c","b"))</f>
        <v>0</v>
      </c>
    </row>
    <row r="320" spans="1:25" x14ac:dyDescent="0.2">
      <c r="A320" s="317" t="s">
        <v>147</v>
      </c>
      <c r="B320" s="895" t="s">
        <v>147</v>
      </c>
      <c r="C320" s="896"/>
      <c r="D320" s="957" t="s">
        <v>230</v>
      </c>
      <c r="E320" s="907">
        <f>GLOBAL_DER_FEV_2023!E320</f>
        <v>353</v>
      </c>
      <c r="F320" s="908">
        <f>GLOBAL_DER_FEV_2023!F320</f>
        <v>0</v>
      </c>
      <c r="G320" s="909">
        <f>GLOBAL_DER_FEV_2023!G320</f>
        <v>0</v>
      </c>
      <c r="H320" s="901">
        <f>GLOBAL_DER_FEV_2023!H320</f>
        <v>0</v>
      </c>
      <c r="I320" s="901">
        <f>GLOBAL_DER_FEV_2023!I320</f>
        <v>0</v>
      </c>
      <c r="J320" s="902">
        <f>GLOBAL_DER_FEV_2023!J320</f>
        <v>0</v>
      </c>
      <c r="K320" s="903" t="s">
        <v>507</v>
      </c>
      <c r="L320" s="1003"/>
      <c r="M320" s="1157">
        <f t="shared" si="22"/>
        <v>0</v>
      </c>
      <c r="N320" s="893">
        <f t="shared" si="26"/>
        <v>0</v>
      </c>
      <c r="O320" s="905"/>
      <c r="P320" s="58" t="str">
        <f>IF(N318&gt;0,"xx",IF(N318&gt;0,"xy",""))</f>
        <v/>
      </c>
      <c r="Q320" s="317" t="str">
        <f t="shared" si="23"/>
        <v/>
      </c>
      <c r="R320" s="317" t="str">
        <f t="shared" si="24"/>
        <v/>
      </c>
      <c r="S320" s="317" t="str">
        <f t="shared" si="25"/>
        <v/>
      </c>
      <c r="T320" s="317" t="str">
        <f>GLOBAL_DER_FEV_2023!S320</f>
        <v/>
      </c>
      <c r="W320" s="582">
        <v>0</v>
      </c>
      <c r="X320" s="580"/>
      <c r="Y320" s="583">
        <f>IF(GLOBAL_DER_FEV_2023!W320=0,0,IF(GLOBAL_DER_FEV_2023!W320&gt;0,"c","b"))</f>
        <v>0</v>
      </c>
    </row>
    <row r="321" spans="1:25" x14ac:dyDescent="0.2">
      <c r="A321" s="317" t="s">
        <v>147</v>
      </c>
      <c r="B321" s="895" t="s">
        <v>147</v>
      </c>
      <c r="C321" s="896"/>
      <c r="D321" s="957" t="s">
        <v>243</v>
      </c>
      <c r="E321" s="907">
        <f>GLOBAL_DER_FEV_2023!E321</f>
        <v>0.2</v>
      </c>
      <c r="F321" s="908">
        <f>GLOBAL_DER_FEV_2023!F321</f>
        <v>2.12</v>
      </c>
      <c r="G321" s="949">
        <f>GLOBAL_DER_FEV_2023!G321</f>
        <v>6.1352800000000007</v>
      </c>
      <c r="H321" s="901">
        <f>GLOBAL_DER_FEV_2023!H321</f>
        <v>0</v>
      </c>
      <c r="I321" s="901">
        <f>GLOBAL_DER_FEV_2023!I321</f>
        <v>0</v>
      </c>
      <c r="J321" s="902">
        <f>GLOBAL_DER_FEV_2023!J321</f>
        <v>0</v>
      </c>
      <c r="K321" s="903" t="s">
        <v>507</v>
      </c>
      <c r="L321" s="1003"/>
      <c r="M321" s="1157">
        <f t="shared" si="22"/>
        <v>0</v>
      </c>
      <c r="N321" s="893">
        <f t="shared" si="26"/>
        <v>0</v>
      </c>
      <c r="O321" s="905"/>
      <c r="P321" s="58" t="str">
        <f>IF(N318&gt;0,"xx",IF(N318&gt;0,"xy",""))</f>
        <v/>
      </c>
      <c r="Q321" s="317" t="str">
        <f t="shared" si="23"/>
        <v/>
      </c>
      <c r="R321" s="317" t="str">
        <f t="shared" si="24"/>
        <v/>
      </c>
      <c r="S321" s="317" t="str">
        <f t="shared" si="25"/>
        <v/>
      </c>
      <c r="T321" s="317" t="str">
        <f>GLOBAL_DER_FEV_2023!S321</f>
        <v/>
      </c>
      <c r="W321" s="582">
        <v>0</v>
      </c>
      <c r="X321" s="580"/>
      <c r="Y321" s="583">
        <f>IF(GLOBAL_DER_FEV_2023!W321=0,0,IF(GLOBAL_DER_FEV_2023!W321&gt;0,"c","b"))</f>
        <v>0</v>
      </c>
    </row>
    <row r="322" spans="1:25" x14ac:dyDescent="0.2">
      <c r="A322" s="317" t="s">
        <v>147</v>
      </c>
      <c r="B322" s="895" t="s">
        <v>147</v>
      </c>
      <c r="C322" s="896"/>
      <c r="D322" s="957" t="s">
        <v>244</v>
      </c>
      <c r="E322" s="907">
        <f>GLOBAL_DER_FEV_2023!E322</f>
        <v>22</v>
      </c>
      <c r="F322" s="908">
        <f>GLOBAL_DER_FEV_2023!F322</f>
        <v>2.2000000000000002</v>
      </c>
      <c r="G322" s="912">
        <f>GLOBAL_DER_FEV_2023!G322</f>
        <v>63.602000000000011</v>
      </c>
      <c r="H322" s="901">
        <f>GLOBAL_DER_FEV_2023!H322</f>
        <v>0</v>
      </c>
      <c r="I322" s="901">
        <f>GLOBAL_DER_FEV_2023!I322</f>
        <v>0</v>
      </c>
      <c r="J322" s="902">
        <f>GLOBAL_DER_FEV_2023!J322</f>
        <v>0</v>
      </c>
      <c r="K322" s="903" t="s">
        <v>507</v>
      </c>
      <c r="L322" s="1003"/>
      <c r="M322" s="1157">
        <f t="shared" si="22"/>
        <v>0</v>
      </c>
      <c r="N322" s="893">
        <f t="shared" si="26"/>
        <v>0</v>
      </c>
      <c r="O322" s="905"/>
      <c r="P322" s="58" t="str">
        <f>IF(N318&gt;0,"xx",IF(N318&gt;0,"xy",""))</f>
        <v/>
      </c>
      <c r="Q322" s="317" t="str">
        <f t="shared" si="23"/>
        <v/>
      </c>
      <c r="R322" s="317" t="str">
        <f t="shared" si="24"/>
        <v/>
      </c>
      <c r="S322" s="317" t="str">
        <f t="shared" si="25"/>
        <v/>
      </c>
      <c r="T322" s="317" t="str">
        <f>GLOBAL_DER_FEV_2023!S322</f>
        <v/>
      </c>
      <c r="W322" s="582">
        <v>0</v>
      </c>
      <c r="X322" s="580"/>
      <c r="Y322" s="583">
        <f>IF(GLOBAL_DER_FEV_2023!W322=0,0,IF(GLOBAL_DER_FEV_2023!W322&gt;0,"c","b"))</f>
        <v>0</v>
      </c>
    </row>
    <row r="323" spans="1:25" ht="13.5" thickBot="1" x14ac:dyDescent="0.25">
      <c r="A323" s="317">
        <v>589320</v>
      </c>
      <c r="B323" s="1004" t="s">
        <v>721</v>
      </c>
      <c r="C323" s="984" t="s">
        <v>213</v>
      </c>
      <c r="D323" s="1012" t="s">
        <v>699</v>
      </c>
      <c r="E323" s="1005">
        <f>GLOBAL_DER_FEV_2023!E323</f>
        <v>45</v>
      </c>
      <c r="F323" s="1006">
        <f>GLOBAL_DER_FEV_2023!F323</f>
        <v>1</v>
      </c>
      <c r="G323" s="949">
        <f>GLOBAL_DER_FEV_2023!G323</f>
        <v>79.25</v>
      </c>
      <c r="H323" s="988">
        <f>GLOBAL_DER_FEV_2023!H323</f>
        <v>4012.83</v>
      </c>
      <c r="I323" s="988">
        <f>GLOBAL_DER_FEV_2023!I323</f>
        <v>3931.9945856583668</v>
      </c>
      <c r="J323" s="989">
        <f>GLOBAL_DER_FEV_2023!J323</f>
        <v>4721.1499999999996</v>
      </c>
      <c r="K323" s="990" t="s">
        <v>14</v>
      </c>
      <c r="L323" s="1154">
        <f>ROUND(L318*$F318,2)</f>
        <v>0</v>
      </c>
      <c r="M323" s="1159">
        <f t="shared" si="22"/>
        <v>0</v>
      </c>
      <c r="N323" s="993">
        <f t="shared" si="26"/>
        <v>0</v>
      </c>
      <c r="O323" s="905"/>
      <c r="P323" s="58" t="str">
        <f>IF(N318&gt;0,"xx",IF(N318&gt;0,"xy",""))</f>
        <v/>
      </c>
      <c r="Q323" s="317" t="str">
        <f t="shared" si="23"/>
        <v/>
      </c>
      <c r="R323" s="317" t="str">
        <f t="shared" si="24"/>
        <v/>
      </c>
      <c r="S323" s="317" t="str">
        <f t="shared" si="25"/>
        <v/>
      </c>
      <c r="T323" s="317" t="str">
        <f>GLOBAL_DER_FEV_2023!S323</f>
        <v/>
      </c>
      <c r="W323" s="582">
        <v>0</v>
      </c>
      <c r="X323" s="580"/>
      <c r="Y323" s="583">
        <f>IF(GLOBAL_DER_FEV_2023!W323=0,0,IF(GLOBAL_DER_FEV_2023!W323&gt;0,"c","b"))</f>
        <v>0</v>
      </c>
    </row>
    <row r="324" spans="1:25" x14ac:dyDescent="0.2">
      <c r="A324" s="317">
        <v>534300</v>
      </c>
      <c r="B324" s="999" t="s">
        <v>1758</v>
      </c>
      <c r="C324" s="1000" t="s">
        <v>184</v>
      </c>
      <c r="D324" s="973" t="s">
        <v>2206</v>
      </c>
      <c r="E324" s="974" t="str">
        <f>GLOBAL_DER_FEV_2023!E324</f>
        <v>taxa RM-2C</v>
      </c>
      <c r="F324" s="975">
        <f>GLOBAL_DER_FEV_2023!F324</f>
        <v>0.11</v>
      </c>
      <c r="G324" s="976">
        <f>GLOBAL_DER_FEV_2023!G324</f>
        <v>69.65046000000001</v>
      </c>
      <c r="H324" s="977">
        <f>GLOBAL_DER_FEV_2023!H324</f>
        <v>140.30000000000001</v>
      </c>
      <c r="I324" s="977">
        <f>GLOBAL_DER_FEV_2023!I324</f>
        <v>209.95046000000002</v>
      </c>
      <c r="J324" s="978">
        <f>GLOBAL_DER_FEV_2023!J324</f>
        <v>252.09</v>
      </c>
      <c r="K324" s="979" t="s">
        <v>10</v>
      </c>
      <c r="L324" s="1152"/>
      <c r="M324" s="1153">
        <f t="shared" si="22"/>
        <v>0</v>
      </c>
      <c r="N324" s="982">
        <f t="shared" si="26"/>
        <v>0</v>
      </c>
      <c r="O324" s="905"/>
      <c r="Q324" s="317" t="str">
        <f t="shared" si="23"/>
        <v/>
      </c>
      <c r="R324" s="317" t="str">
        <f t="shared" si="24"/>
        <v/>
      </c>
      <c r="S324" s="317" t="str">
        <f t="shared" si="25"/>
        <v/>
      </c>
      <c r="T324" s="317" t="str">
        <f>GLOBAL_DER_FEV_2023!S324</f>
        <v/>
      </c>
      <c r="W324" s="582">
        <v>0</v>
      </c>
      <c r="X324" s="580"/>
      <c r="Y324" s="583">
        <f>IF(GLOBAL_DER_FEV_2023!W324=0,0,IF(GLOBAL_DER_FEV_2023!W324&gt;0,"c","b"))</f>
        <v>0</v>
      </c>
    </row>
    <row r="325" spans="1:25" x14ac:dyDescent="0.2">
      <c r="A325" s="317" t="s">
        <v>147</v>
      </c>
      <c r="B325" s="895" t="s">
        <v>147</v>
      </c>
      <c r="C325" s="896"/>
      <c r="D325" s="957" t="s">
        <v>229</v>
      </c>
      <c r="E325" s="907">
        <f>GLOBAL_DER_FEV_2023!E325</f>
        <v>150</v>
      </c>
      <c r="F325" s="908">
        <f>GLOBAL_DER_FEV_2023!F325</f>
        <v>0</v>
      </c>
      <c r="G325" s="949">
        <f>GLOBAL_DER_FEV_2023!G325</f>
        <v>0</v>
      </c>
      <c r="H325" s="901">
        <f>GLOBAL_DER_FEV_2023!H325</f>
        <v>0</v>
      </c>
      <c r="I325" s="901">
        <f>GLOBAL_DER_FEV_2023!I325</f>
        <v>0</v>
      </c>
      <c r="J325" s="902">
        <f>GLOBAL_DER_FEV_2023!J325</f>
        <v>0</v>
      </c>
      <c r="K325" s="903" t="s">
        <v>507</v>
      </c>
      <c r="L325" s="1003"/>
      <c r="M325" s="1157">
        <f t="shared" si="22"/>
        <v>0</v>
      </c>
      <c r="N325" s="893">
        <f t="shared" si="26"/>
        <v>0</v>
      </c>
      <c r="O325" s="905"/>
      <c r="P325" s="58" t="str">
        <f>IF(N324&gt;0,"xx",IF(N324&gt;0,"xy",""))</f>
        <v/>
      </c>
      <c r="Q325" s="317" t="str">
        <f t="shared" si="23"/>
        <v/>
      </c>
      <c r="R325" s="317" t="str">
        <f t="shared" si="24"/>
        <v/>
      </c>
      <c r="S325" s="317" t="str">
        <f t="shared" si="25"/>
        <v/>
      </c>
      <c r="T325" s="317" t="str">
        <f>GLOBAL_DER_FEV_2023!S325</f>
        <v/>
      </c>
      <c r="W325" s="582">
        <v>0</v>
      </c>
      <c r="X325" s="580"/>
      <c r="Y325" s="583">
        <f>IF(GLOBAL_DER_FEV_2023!W325=0,0,IF(GLOBAL_DER_FEV_2023!W325&gt;0,"c","b"))</f>
        <v>0</v>
      </c>
    </row>
    <row r="326" spans="1:25" x14ac:dyDescent="0.2">
      <c r="A326" s="317" t="s">
        <v>147</v>
      </c>
      <c r="B326" s="895" t="s">
        <v>147</v>
      </c>
      <c r="C326" s="896"/>
      <c r="D326" s="957" t="s">
        <v>230</v>
      </c>
      <c r="E326" s="907">
        <f>GLOBAL_DER_FEV_2023!E326</f>
        <v>353</v>
      </c>
      <c r="F326" s="908">
        <f>GLOBAL_DER_FEV_2023!F326</f>
        <v>0</v>
      </c>
      <c r="G326" s="909">
        <f>GLOBAL_DER_FEV_2023!G326</f>
        <v>0</v>
      </c>
      <c r="H326" s="901">
        <f>GLOBAL_DER_FEV_2023!H326</f>
        <v>0</v>
      </c>
      <c r="I326" s="901">
        <f>GLOBAL_DER_FEV_2023!I326</f>
        <v>0</v>
      </c>
      <c r="J326" s="902">
        <f>GLOBAL_DER_FEV_2023!J326</f>
        <v>0</v>
      </c>
      <c r="K326" s="903" t="s">
        <v>507</v>
      </c>
      <c r="L326" s="1003"/>
      <c r="M326" s="1157">
        <f t="shared" si="22"/>
        <v>0</v>
      </c>
      <c r="N326" s="893">
        <f t="shared" si="26"/>
        <v>0</v>
      </c>
      <c r="O326" s="905"/>
      <c r="P326" s="58" t="str">
        <f>IF(N324&gt;0,"xx",IF(N324&gt;0,"xy",""))</f>
        <v/>
      </c>
      <c r="Q326" s="317" t="str">
        <f t="shared" si="23"/>
        <v/>
      </c>
      <c r="R326" s="317" t="str">
        <f t="shared" si="24"/>
        <v/>
      </c>
      <c r="S326" s="317" t="str">
        <f t="shared" si="25"/>
        <v/>
      </c>
      <c r="T326" s="317" t="str">
        <f>GLOBAL_DER_FEV_2023!S326</f>
        <v/>
      </c>
      <c r="W326" s="582">
        <v>0</v>
      </c>
      <c r="X326" s="580"/>
      <c r="Y326" s="583">
        <f>IF(GLOBAL_DER_FEV_2023!W326=0,0,IF(GLOBAL_DER_FEV_2023!W326&gt;0,"c","b"))</f>
        <v>0</v>
      </c>
    </row>
    <row r="327" spans="1:25" x14ac:dyDescent="0.2">
      <c r="A327" s="317" t="s">
        <v>147</v>
      </c>
      <c r="B327" s="895" t="s">
        <v>147</v>
      </c>
      <c r="C327" s="896"/>
      <c r="D327" s="957" t="s">
        <v>243</v>
      </c>
      <c r="E327" s="907">
        <f>GLOBAL_DER_FEV_2023!E327</f>
        <v>0.2</v>
      </c>
      <c r="F327" s="908">
        <f>GLOBAL_DER_FEV_2023!F327</f>
        <v>2.09</v>
      </c>
      <c r="G327" s="949">
        <f>GLOBAL_DER_FEV_2023!G327</f>
        <v>6.0484599999999995</v>
      </c>
      <c r="H327" s="901">
        <f>GLOBAL_DER_FEV_2023!H327</f>
        <v>0</v>
      </c>
      <c r="I327" s="901">
        <f>GLOBAL_DER_FEV_2023!I327</f>
        <v>0</v>
      </c>
      <c r="J327" s="902">
        <f>GLOBAL_DER_FEV_2023!J327</f>
        <v>0</v>
      </c>
      <c r="K327" s="903" t="s">
        <v>507</v>
      </c>
      <c r="L327" s="1003"/>
      <c r="M327" s="1157">
        <f t="shared" si="22"/>
        <v>0</v>
      </c>
      <c r="N327" s="893">
        <f t="shared" si="26"/>
        <v>0</v>
      </c>
      <c r="O327" s="905"/>
      <c r="P327" s="58" t="str">
        <f>IF(N324&gt;0,"xx",IF(N324&gt;0,"xy",""))</f>
        <v/>
      </c>
      <c r="Q327" s="317" t="str">
        <f t="shared" si="23"/>
        <v/>
      </c>
      <c r="R327" s="317" t="str">
        <f t="shared" si="24"/>
        <v/>
      </c>
      <c r="S327" s="317" t="str">
        <f t="shared" si="25"/>
        <v/>
      </c>
      <c r="T327" s="317" t="str">
        <f>GLOBAL_DER_FEV_2023!S327</f>
        <v/>
      </c>
      <c r="W327" s="582">
        <v>0</v>
      </c>
      <c r="X327" s="580"/>
      <c r="Y327" s="583">
        <f>IF(GLOBAL_DER_FEV_2023!W327=0,0,IF(GLOBAL_DER_FEV_2023!W327&gt;0,"c","b"))</f>
        <v>0</v>
      </c>
    </row>
    <row r="328" spans="1:25" x14ac:dyDescent="0.2">
      <c r="A328" s="317" t="s">
        <v>147</v>
      </c>
      <c r="B328" s="895" t="s">
        <v>147</v>
      </c>
      <c r="C328" s="896"/>
      <c r="D328" s="957" t="s">
        <v>244</v>
      </c>
      <c r="E328" s="907">
        <f>GLOBAL_DER_FEV_2023!E328</f>
        <v>22</v>
      </c>
      <c r="F328" s="908">
        <f>GLOBAL_DER_FEV_2023!F328</f>
        <v>2.1999999999999997</v>
      </c>
      <c r="G328" s="912">
        <f>GLOBAL_DER_FEV_2023!G328</f>
        <v>63.602000000000004</v>
      </c>
      <c r="H328" s="901">
        <f>GLOBAL_DER_FEV_2023!H328</f>
        <v>0</v>
      </c>
      <c r="I328" s="901">
        <f>GLOBAL_DER_FEV_2023!I328</f>
        <v>0</v>
      </c>
      <c r="J328" s="902">
        <f>GLOBAL_DER_FEV_2023!J328</f>
        <v>0</v>
      </c>
      <c r="K328" s="903" t="s">
        <v>507</v>
      </c>
      <c r="L328" s="1003"/>
      <c r="M328" s="1157">
        <f t="shared" si="22"/>
        <v>0</v>
      </c>
      <c r="N328" s="893">
        <f t="shared" si="26"/>
        <v>0</v>
      </c>
      <c r="O328" s="905"/>
      <c r="P328" s="58" t="str">
        <f>IF(N324&gt;0,"xx",IF(N324&gt;0,"xy",""))</f>
        <v/>
      </c>
      <c r="Q328" s="317" t="str">
        <f t="shared" si="23"/>
        <v/>
      </c>
      <c r="R328" s="317" t="str">
        <f t="shared" si="24"/>
        <v/>
      </c>
      <c r="S328" s="317" t="str">
        <f t="shared" si="25"/>
        <v/>
      </c>
      <c r="T328" s="317" t="str">
        <f>GLOBAL_DER_FEV_2023!S328</f>
        <v/>
      </c>
      <c r="W328" s="582">
        <v>0</v>
      </c>
      <c r="X328" s="580"/>
      <c r="Y328" s="583">
        <f>IF(GLOBAL_DER_FEV_2023!W328=0,0,IF(GLOBAL_DER_FEV_2023!W328&gt;0,"c","b"))</f>
        <v>0</v>
      </c>
    </row>
    <row r="329" spans="1:25" ht="13.5" thickBot="1" x14ac:dyDescent="0.25">
      <c r="A329" s="317">
        <v>589320</v>
      </c>
      <c r="B329" s="1004" t="s">
        <v>722</v>
      </c>
      <c r="C329" s="984" t="s">
        <v>213</v>
      </c>
      <c r="D329" s="1012" t="s">
        <v>699</v>
      </c>
      <c r="E329" s="1005">
        <f>GLOBAL_DER_FEV_2023!E329</f>
        <v>45</v>
      </c>
      <c r="F329" s="1006">
        <f>GLOBAL_DER_FEV_2023!F329</f>
        <v>1</v>
      </c>
      <c r="G329" s="949">
        <f>GLOBAL_DER_FEV_2023!G329</f>
        <v>79.25</v>
      </c>
      <c r="H329" s="988">
        <f>GLOBAL_DER_FEV_2023!H329</f>
        <v>4012.83</v>
      </c>
      <c r="I329" s="988">
        <f>GLOBAL_DER_FEV_2023!I329</f>
        <v>3931.9945856583668</v>
      </c>
      <c r="J329" s="989">
        <f>GLOBAL_DER_FEV_2023!J329</f>
        <v>4721.1499999999996</v>
      </c>
      <c r="K329" s="990" t="s">
        <v>14</v>
      </c>
      <c r="L329" s="1154">
        <f>ROUND(L324*$F324,2)</f>
        <v>0</v>
      </c>
      <c r="M329" s="1159">
        <f t="shared" si="22"/>
        <v>0</v>
      </c>
      <c r="N329" s="993">
        <f t="shared" si="26"/>
        <v>0</v>
      </c>
      <c r="O329" s="905"/>
      <c r="P329" s="58" t="str">
        <f>IF(N324&gt;0,"xx",IF(N324&gt;0,"xy",""))</f>
        <v/>
      </c>
      <c r="Q329" s="317" t="str">
        <f t="shared" si="23"/>
        <v/>
      </c>
      <c r="R329" s="317" t="str">
        <f t="shared" si="24"/>
        <v/>
      </c>
      <c r="S329" s="317" t="str">
        <f t="shared" si="25"/>
        <v/>
      </c>
      <c r="T329" s="317" t="str">
        <f>GLOBAL_DER_FEV_2023!S329</f>
        <v/>
      </c>
      <c r="W329" s="582">
        <v>0</v>
      </c>
      <c r="X329" s="580"/>
      <c r="Y329" s="583">
        <f>IF(GLOBAL_DER_FEV_2023!W329=0,0,IF(GLOBAL_DER_FEV_2023!W329&gt;0,"c","b"))</f>
        <v>0</v>
      </c>
    </row>
    <row r="330" spans="1:25" x14ac:dyDescent="0.2">
      <c r="A330" s="317">
        <v>534300</v>
      </c>
      <c r="B330" s="999" t="s">
        <v>1759</v>
      </c>
      <c r="C330" s="1000" t="s">
        <v>184</v>
      </c>
      <c r="D330" s="973" t="s">
        <v>2208</v>
      </c>
      <c r="E330" s="974" t="str">
        <f>GLOBAL_DER_FEV_2023!E330</f>
        <v>taxa RM-2C</v>
      </c>
      <c r="F330" s="975">
        <f>GLOBAL_DER_FEV_2023!F330</f>
        <v>0.11</v>
      </c>
      <c r="G330" s="976">
        <f>GLOBAL_DER_FEV_2023!G330</f>
        <v>69.65046000000001</v>
      </c>
      <c r="H330" s="977">
        <f>GLOBAL_DER_FEV_2023!H330</f>
        <v>140.30000000000001</v>
      </c>
      <c r="I330" s="977">
        <f>GLOBAL_DER_FEV_2023!I330</f>
        <v>209.95046000000002</v>
      </c>
      <c r="J330" s="978">
        <f>GLOBAL_DER_FEV_2023!J330</f>
        <v>252.09</v>
      </c>
      <c r="K330" s="979" t="s">
        <v>10</v>
      </c>
      <c r="L330" s="1152"/>
      <c r="M330" s="1153">
        <f t="shared" si="22"/>
        <v>0</v>
      </c>
      <c r="N330" s="982">
        <f t="shared" si="26"/>
        <v>0</v>
      </c>
      <c r="O330" s="905"/>
      <c r="Q330" s="317" t="str">
        <f t="shared" si="23"/>
        <v/>
      </c>
      <c r="R330" s="317" t="str">
        <f t="shared" si="24"/>
        <v/>
      </c>
      <c r="S330" s="317" t="str">
        <f t="shared" si="25"/>
        <v/>
      </c>
      <c r="T330" s="317" t="str">
        <f>GLOBAL_DER_FEV_2023!S330</f>
        <v/>
      </c>
      <c r="W330" s="582">
        <v>0</v>
      </c>
      <c r="X330" s="580"/>
      <c r="Y330" s="583">
        <f>IF(GLOBAL_DER_FEV_2023!W330=0,0,IF(GLOBAL_DER_FEV_2023!W330&gt;0,"c","b"))</f>
        <v>0</v>
      </c>
    </row>
    <row r="331" spans="1:25" x14ac:dyDescent="0.2">
      <c r="A331" s="317" t="s">
        <v>147</v>
      </c>
      <c r="B331" s="895" t="s">
        <v>147</v>
      </c>
      <c r="C331" s="896"/>
      <c r="D331" s="957" t="s">
        <v>229</v>
      </c>
      <c r="E331" s="907">
        <f>GLOBAL_DER_FEV_2023!E331</f>
        <v>150</v>
      </c>
      <c r="F331" s="908">
        <f>GLOBAL_DER_FEV_2023!F331</f>
        <v>0</v>
      </c>
      <c r="G331" s="949">
        <f>GLOBAL_DER_FEV_2023!G331</f>
        <v>0</v>
      </c>
      <c r="H331" s="901">
        <f>GLOBAL_DER_FEV_2023!H331</f>
        <v>0</v>
      </c>
      <c r="I331" s="901">
        <f>GLOBAL_DER_FEV_2023!I331</f>
        <v>0</v>
      </c>
      <c r="J331" s="902">
        <f>GLOBAL_DER_FEV_2023!J331</f>
        <v>0</v>
      </c>
      <c r="K331" s="903" t="s">
        <v>507</v>
      </c>
      <c r="L331" s="1003"/>
      <c r="M331" s="1157">
        <f t="shared" si="22"/>
        <v>0</v>
      </c>
      <c r="N331" s="893">
        <f t="shared" si="26"/>
        <v>0</v>
      </c>
      <c r="O331" s="905"/>
      <c r="P331" s="58" t="str">
        <f>IF(N330&gt;0,"xx",IF(N330&gt;0,"xy",""))</f>
        <v/>
      </c>
      <c r="Q331" s="317" t="str">
        <f t="shared" si="23"/>
        <v/>
      </c>
      <c r="R331" s="317" t="str">
        <f t="shared" si="24"/>
        <v/>
      </c>
      <c r="S331" s="317" t="str">
        <f t="shared" si="25"/>
        <v/>
      </c>
      <c r="T331" s="317" t="str">
        <f>GLOBAL_DER_FEV_2023!S331</f>
        <v/>
      </c>
      <c r="W331" s="582">
        <v>0</v>
      </c>
      <c r="X331" s="580"/>
      <c r="Y331" s="583">
        <f>IF(GLOBAL_DER_FEV_2023!W331=0,0,IF(GLOBAL_DER_FEV_2023!W331&gt;0,"c","b"))</f>
        <v>0</v>
      </c>
    </row>
    <row r="332" spans="1:25" x14ac:dyDescent="0.2">
      <c r="A332" s="317" t="s">
        <v>147</v>
      </c>
      <c r="B332" s="895" t="s">
        <v>147</v>
      </c>
      <c r="C332" s="896"/>
      <c r="D332" s="957" t="s">
        <v>230</v>
      </c>
      <c r="E332" s="907">
        <f>GLOBAL_DER_FEV_2023!E332</f>
        <v>353</v>
      </c>
      <c r="F332" s="908">
        <f>GLOBAL_DER_FEV_2023!F332</f>
        <v>0</v>
      </c>
      <c r="G332" s="909">
        <f>GLOBAL_DER_FEV_2023!G332</f>
        <v>0</v>
      </c>
      <c r="H332" s="901">
        <f>GLOBAL_DER_FEV_2023!H332</f>
        <v>0</v>
      </c>
      <c r="I332" s="901">
        <f>GLOBAL_DER_FEV_2023!I332</f>
        <v>0</v>
      </c>
      <c r="J332" s="902">
        <f>GLOBAL_DER_FEV_2023!J332</f>
        <v>0</v>
      </c>
      <c r="K332" s="903" t="s">
        <v>507</v>
      </c>
      <c r="L332" s="1003"/>
      <c r="M332" s="1157">
        <f t="shared" si="22"/>
        <v>0</v>
      </c>
      <c r="N332" s="893">
        <f t="shared" si="26"/>
        <v>0</v>
      </c>
      <c r="O332" s="905"/>
      <c r="P332" s="58" t="str">
        <f>IF(N330&gt;0,"xx",IF(N330&gt;0,"xy",""))</f>
        <v/>
      </c>
      <c r="Q332" s="317" t="str">
        <f t="shared" si="23"/>
        <v/>
      </c>
      <c r="R332" s="317" t="str">
        <f t="shared" si="24"/>
        <v/>
      </c>
      <c r="S332" s="317" t="str">
        <f t="shared" si="25"/>
        <v/>
      </c>
      <c r="T332" s="317" t="str">
        <f>GLOBAL_DER_FEV_2023!S332</f>
        <v/>
      </c>
      <c r="W332" s="582">
        <v>0</v>
      </c>
      <c r="X332" s="580"/>
      <c r="Y332" s="583">
        <f>IF(GLOBAL_DER_FEV_2023!W332=0,0,IF(GLOBAL_DER_FEV_2023!W332&gt;0,"c","b"))</f>
        <v>0</v>
      </c>
    </row>
    <row r="333" spans="1:25" x14ac:dyDescent="0.2">
      <c r="A333" s="317" t="s">
        <v>147</v>
      </c>
      <c r="B333" s="895" t="s">
        <v>147</v>
      </c>
      <c r="C333" s="896"/>
      <c r="D333" s="957" t="s">
        <v>243</v>
      </c>
      <c r="E333" s="907">
        <f>GLOBAL_DER_FEV_2023!E333</f>
        <v>0.2</v>
      </c>
      <c r="F333" s="908">
        <f>GLOBAL_DER_FEV_2023!F333</f>
        <v>2.09</v>
      </c>
      <c r="G333" s="949">
        <f>GLOBAL_DER_FEV_2023!G333</f>
        <v>6.0484599999999995</v>
      </c>
      <c r="H333" s="901">
        <f>GLOBAL_DER_FEV_2023!H333</f>
        <v>0</v>
      </c>
      <c r="I333" s="901">
        <f>GLOBAL_DER_FEV_2023!I333</f>
        <v>0</v>
      </c>
      <c r="J333" s="902">
        <f>GLOBAL_DER_FEV_2023!J333</f>
        <v>0</v>
      </c>
      <c r="K333" s="903" t="s">
        <v>507</v>
      </c>
      <c r="L333" s="1003"/>
      <c r="M333" s="1157">
        <f t="shared" si="22"/>
        <v>0</v>
      </c>
      <c r="N333" s="893">
        <f t="shared" si="26"/>
        <v>0</v>
      </c>
      <c r="O333" s="905"/>
      <c r="P333" s="58" t="str">
        <f>IF(N330&gt;0,"xx",IF(N330&gt;0,"xy",""))</f>
        <v/>
      </c>
      <c r="Q333" s="317" t="str">
        <f t="shared" si="23"/>
        <v/>
      </c>
      <c r="R333" s="317" t="str">
        <f t="shared" si="24"/>
        <v/>
      </c>
      <c r="S333" s="317" t="str">
        <f t="shared" si="25"/>
        <v/>
      </c>
      <c r="T333" s="317" t="str">
        <f>GLOBAL_DER_FEV_2023!S333</f>
        <v/>
      </c>
      <c r="W333" s="582">
        <v>0</v>
      </c>
      <c r="X333" s="580"/>
      <c r="Y333" s="583">
        <f>IF(GLOBAL_DER_FEV_2023!W333=0,0,IF(GLOBAL_DER_FEV_2023!W333&gt;0,"c","b"))</f>
        <v>0</v>
      </c>
    </row>
    <row r="334" spans="1:25" x14ac:dyDescent="0.2">
      <c r="A334" s="317" t="s">
        <v>147</v>
      </c>
      <c r="B334" s="895" t="s">
        <v>147</v>
      </c>
      <c r="C334" s="896"/>
      <c r="D334" s="957" t="s">
        <v>244</v>
      </c>
      <c r="E334" s="907">
        <f>GLOBAL_DER_FEV_2023!E334</f>
        <v>22</v>
      </c>
      <c r="F334" s="908">
        <f>GLOBAL_DER_FEV_2023!F334</f>
        <v>2.1999999999999997</v>
      </c>
      <c r="G334" s="912">
        <f>GLOBAL_DER_FEV_2023!G334</f>
        <v>63.602000000000004</v>
      </c>
      <c r="H334" s="901">
        <f>GLOBAL_DER_FEV_2023!H334</f>
        <v>0</v>
      </c>
      <c r="I334" s="901">
        <f>GLOBAL_DER_FEV_2023!I334</f>
        <v>0</v>
      </c>
      <c r="J334" s="902">
        <f>GLOBAL_DER_FEV_2023!J334</f>
        <v>0</v>
      </c>
      <c r="K334" s="903" t="s">
        <v>507</v>
      </c>
      <c r="L334" s="1003"/>
      <c r="M334" s="1157">
        <f t="shared" si="22"/>
        <v>0</v>
      </c>
      <c r="N334" s="893">
        <f t="shared" si="26"/>
        <v>0</v>
      </c>
      <c r="O334" s="905"/>
      <c r="P334" s="58" t="str">
        <f>IF(N330&gt;0,"xx",IF(N330&gt;0,"xy",""))</f>
        <v/>
      </c>
      <c r="Q334" s="317" t="str">
        <f t="shared" si="23"/>
        <v/>
      </c>
      <c r="R334" s="317" t="str">
        <f t="shared" si="24"/>
        <v/>
      </c>
      <c r="S334" s="317" t="str">
        <f t="shared" si="25"/>
        <v/>
      </c>
      <c r="T334" s="317" t="str">
        <f>GLOBAL_DER_FEV_2023!S334</f>
        <v/>
      </c>
      <c r="W334" s="582">
        <v>0</v>
      </c>
      <c r="X334" s="580"/>
      <c r="Y334" s="583">
        <f>IF(GLOBAL_DER_FEV_2023!W334=0,0,IF(GLOBAL_DER_FEV_2023!W334&gt;0,"c","b"))</f>
        <v>0</v>
      </c>
    </row>
    <row r="335" spans="1:25" ht="13.5" thickBot="1" x14ac:dyDescent="0.25">
      <c r="A335" s="317">
        <v>589320</v>
      </c>
      <c r="B335" s="1004" t="s">
        <v>723</v>
      </c>
      <c r="C335" s="984" t="s">
        <v>213</v>
      </c>
      <c r="D335" s="1012" t="s">
        <v>700</v>
      </c>
      <c r="E335" s="1005">
        <f>GLOBAL_DER_FEV_2023!E335</f>
        <v>45</v>
      </c>
      <c r="F335" s="1006">
        <f>GLOBAL_DER_FEV_2023!F335</f>
        <v>1</v>
      </c>
      <c r="G335" s="949">
        <f>GLOBAL_DER_FEV_2023!G335</f>
        <v>79.25</v>
      </c>
      <c r="H335" s="988">
        <f>GLOBAL_DER_FEV_2023!H335</f>
        <v>4012.83</v>
      </c>
      <c r="I335" s="988">
        <f>GLOBAL_DER_FEV_2023!I335</f>
        <v>3931.9945856583668</v>
      </c>
      <c r="J335" s="989">
        <f>GLOBAL_DER_FEV_2023!J335</f>
        <v>4721.1499999999996</v>
      </c>
      <c r="K335" s="990" t="s">
        <v>14</v>
      </c>
      <c r="L335" s="1154">
        <f>ROUND(L330*$F330,2)</f>
        <v>0</v>
      </c>
      <c r="M335" s="1159">
        <f t="shared" si="22"/>
        <v>0</v>
      </c>
      <c r="N335" s="993">
        <f t="shared" si="26"/>
        <v>0</v>
      </c>
      <c r="O335" s="905"/>
      <c r="P335" s="58" t="str">
        <f>IF(N330&gt;0,"xx",IF(N330&gt;0,"xy",""))</f>
        <v/>
      </c>
      <c r="Q335" s="317" t="str">
        <f t="shared" si="23"/>
        <v/>
      </c>
      <c r="R335" s="317" t="str">
        <f t="shared" si="24"/>
        <v/>
      </c>
      <c r="S335" s="317" t="str">
        <f t="shared" si="25"/>
        <v/>
      </c>
      <c r="T335" s="317" t="str">
        <f>GLOBAL_DER_FEV_2023!S335</f>
        <v/>
      </c>
      <c r="W335" s="582">
        <v>0</v>
      </c>
      <c r="X335" s="580"/>
      <c r="Y335" s="583">
        <f>IF(GLOBAL_DER_FEV_2023!W335=0,0,IF(GLOBAL_DER_FEV_2023!W335&gt;0,"c","b"))</f>
        <v>0</v>
      </c>
    </row>
    <row r="336" spans="1:25" x14ac:dyDescent="0.2">
      <c r="A336" s="317">
        <v>534300</v>
      </c>
      <c r="B336" s="999" t="s">
        <v>1760</v>
      </c>
      <c r="C336" s="1000" t="s">
        <v>184</v>
      </c>
      <c r="D336" s="973" t="s">
        <v>2209</v>
      </c>
      <c r="E336" s="974" t="str">
        <f>GLOBAL_DER_FEV_2023!E336</f>
        <v>taxa RM-2C</v>
      </c>
      <c r="F336" s="975">
        <f>GLOBAL_DER_FEV_2023!F336</f>
        <v>0.14000000000000001</v>
      </c>
      <c r="G336" s="976">
        <f>GLOBAL_DER_FEV_2023!G336</f>
        <v>116.02126000000001</v>
      </c>
      <c r="H336" s="977">
        <f>GLOBAL_DER_FEV_2023!H336</f>
        <v>140.30000000000001</v>
      </c>
      <c r="I336" s="977">
        <f>GLOBAL_DER_FEV_2023!I336</f>
        <v>256.32126000000005</v>
      </c>
      <c r="J336" s="978">
        <f>GLOBAL_DER_FEV_2023!J336</f>
        <v>307.76</v>
      </c>
      <c r="K336" s="979" t="s">
        <v>10</v>
      </c>
      <c r="L336" s="1152"/>
      <c r="M336" s="1153">
        <f t="shared" si="22"/>
        <v>0</v>
      </c>
      <c r="N336" s="982">
        <f t="shared" si="26"/>
        <v>0</v>
      </c>
      <c r="O336" s="905"/>
      <c r="Q336" s="317" t="str">
        <f t="shared" si="23"/>
        <v/>
      </c>
      <c r="R336" s="317" t="str">
        <f t="shared" si="24"/>
        <v/>
      </c>
      <c r="S336" s="317" t="str">
        <f t="shared" si="25"/>
        <v/>
      </c>
      <c r="T336" s="317" t="str">
        <f>GLOBAL_DER_FEV_2023!S336</f>
        <v/>
      </c>
      <c r="W336" s="582">
        <v>0</v>
      </c>
      <c r="X336" s="580"/>
      <c r="Y336" s="583">
        <f>IF(GLOBAL_DER_FEV_2023!W336=0,0,IF(GLOBAL_DER_FEV_2023!W336&gt;0,"c","b"))</f>
        <v>0</v>
      </c>
    </row>
    <row r="337" spans="1:25" x14ac:dyDescent="0.2">
      <c r="A337" s="317" t="s">
        <v>147</v>
      </c>
      <c r="B337" s="895" t="s">
        <v>147</v>
      </c>
      <c r="C337" s="896"/>
      <c r="D337" s="957" t="s">
        <v>229</v>
      </c>
      <c r="E337" s="907">
        <f>GLOBAL_DER_FEV_2023!E337</f>
        <v>150</v>
      </c>
      <c r="F337" s="908">
        <f>GLOBAL_DER_FEV_2023!F337</f>
        <v>0.27</v>
      </c>
      <c r="G337" s="949">
        <f>GLOBAL_DER_FEV_2023!G337</f>
        <v>44.058600000000006</v>
      </c>
      <c r="H337" s="901">
        <f>GLOBAL_DER_FEV_2023!H337</f>
        <v>0</v>
      </c>
      <c r="I337" s="901">
        <f>GLOBAL_DER_FEV_2023!I337</f>
        <v>0</v>
      </c>
      <c r="J337" s="902">
        <f>GLOBAL_DER_FEV_2023!J337</f>
        <v>0</v>
      </c>
      <c r="K337" s="903" t="s">
        <v>507</v>
      </c>
      <c r="L337" s="1003"/>
      <c r="M337" s="1157">
        <f t="shared" ref="M337:M424" si="27">IF(L337=0,0,ROUND(J337,2))</f>
        <v>0</v>
      </c>
      <c r="N337" s="893">
        <f t="shared" si="26"/>
        <v>0</v>
      </c>
      <c r="O337" s="905"/>
      <c r="P337" s="58" t="str">
        <f>IF(N336&gt;0,"xx",IF(N336&gt;0,"xy",""))</f>
        <v/>
      </c>
      <c r="Q337" s="317" t="str">
        <f t="shared" si="23"/>
        <v/>
      </c>
      <c r="R337" s="317" t="str">
        <f t="shared" si="24"/>
        <v/>
      </c>
      <c r="S337" s="317" t="str">
        <f t="shared" si="25"/>
        <v/>
      </c>
      <c r="T337" s="317" t="str">
        <f>GLOBAL_DER_FEV_2023!S337</f>
        <v/>
      </c>
      <c r="W337" s="582">
        <v>0</v>
      </c>
      <c r="X337" s="580"/>
      <c r="Y337" s="583">
        <f>IF(GLOBAL_DER_FEV_2023!W337=0,0,IF(GLOBAL_DER_FEV_2023!W337&gt;0,"c","b"))</f>
        <v>0</v>
      </c>
    </row>
    <row r="338" spans="1:25" x14ac:dyDescent="0.2">
      <c r="A338" s="317" t="s">
        <v>147</v>
      </c>
      <c r="B338" s="895" t="s">
        <v>147</v>
      </c>
      <c r="C338" s="896"/>
      <c r="D338" s="957" t="s">
        <v>230</v>
      </c>
      <c r="E338" s="907">
        <f>GLOBAL_DER_FEV_2023!E338</f>
        <v>353</v>
      </c>
      <c r="F338" s="908">
        <f>GLOBAL_DER_FEV_2023!F338</f>
        <v>0</v>
      </c>
      <c r="G338" s="909">
        <f>GLOBAL_DER_FEV_2023!G338</f>
        <v>0</v>
      </c>
      <c r="H338" s="901">
        <f>GLOBAL_DER_FEV_2023!H338</f>
        <v>0</v>
      </c>
      <c r="I338" s="901">
        <f>GLOBAL_DER_FEV_2023!I338</f>
        <v>0</v>
      </c>
      <c r="J338" s="902">
        <f>GLOBAL_DER_FEV_2023!J338</f>
        <v>0</v>
      </c>
      <c r="K338" s="903" t="s">
        <v>507</v>
      </c>
      <c r="L338" s="1003"/>
      <c r="M338" s="1157">
        <f t="shared" si="27"/>
        <v>0</v>
      </c>
      <c r="N338" s="893">
        <f t="shared" si="26"/>
        <v>0</v>
      </c>
      <c r="O338" s="905"/>
      <c r="P338" s="58" t="str">
        <f>IF(N336&gt;0,"xx",IF(N336&gt;0,"xy",""))</f>
        <v/>
      </c>
      <c r="Q338" s="317" t="str">
        <f t="shared" si="23"/>
        <v/>
      </c>
      <c r="R338" s="317" t="str">
        <f t="shared" si="24"/>
        <v/>
      </c>
      <c r="S338" s="317" t="str">
        <f t="shared" si="25"/>
        <v/>
      </c>
      <c r="T338" s="317" t="str">
        <f>GLOBAL_DER_FEV_2023!S338</f>
        <v/>
      </c>
      <c r="W338" s="582">
        <v>0</v>
      </c>
      <c r="X338" s="580"/>
      <c r="Y338" s="583">
        <f>IF(GLOBAL_DER_FEV_2023!W338=0,0,IF(GLOBAL_DER_FEV_2023!W338&gt;0,"c","b"))</f>
        <v>0</v>
      </c>
    </row>
    <row r="339" spans="1:25" x14ac:dyDescent="0.2">
      <c r="A339" s="317" t="s">
        <v>147</v>
      </c>
      <c r="B339" s="895" t="s">
        <v>147</v>
      </c>
      <c r="C339" s="896"/>
      <c r="D339" s="957" t="s">
        <v>243</v>
      </c>
      <c r="E339" s="907">
        <f>GLOBAL_DER_FEV_2023!E339</f>
        <v>0.2</v>
      </c>
      <c r="F339" s="908">
        <f>GLOBAL_DER_FEV_2023!F339</f>
        <v>1.89</v>
      </c>
      <c r="G339" s="949">
        <f>GLOBAL_DER_FEV_2023!G339</f>
        <v>5.4696600000000002</v>
      </c>
      <c r="H339" s="901">
        <f>GLOBAL_DER_FEV_2023!H339</f>
        <v>0</v>
      </c>
      <c r="I339" s="901">
        <f>GLOBAL_DER_FEV_2023!I339</f>
        <v>0</v>
      </c>
      <c r="J339" s="902">
        <f>GLOBAL_DER_FEV_2023!J339</f>
        <v>0</v>
      </c>
      <c r="K339" s="903" t="s">
        <v>507</v>
      </c>
      <c r="L339" s="1003"/>
      <c r="M339" s="1157">
        <f t="shared" si="27"/>
        <v>0</v>
      </c>
      <c r="N339" s="893">
        <f t="shared" si="26"/>
        <v>0</v>
      </c>
      <c r="O339" s="905"/>
      <c r="P339" s="58" t="str">
        <f>IF(N336&gt;0,"xx",IF(N336&gt;0,"xy",""))</f>
        <v/>
      </c>
      <c r="Q339" s="317" t="str">
        <f t="shared" ref="Q339:Q426" si="28">IF(P339="X","x",IF(P339="xx","x",IF(P339="xy","x",IF(P339="y","x",IF(OR(N339&gt;0,N339&gt;0),"x","")))))</f>
        <v/>
      </c>
      <c r="R339" s="317" t="str">
        <f t="shared" si="24"/>
        <v/>
      </c>
      <c r="S339" s="317" t="str">
        <f t="shared" si="25"/>
        <v/>
      </c>
      <c r="T339" s="317" t="str">
        <f>GLOBAL_DER_FEV_2023!S339</f>
        <v/>
      </c>
      <c r="W339" s="582">
        <v>0</v>
      </c>
      <c r="X339" s="580"/>
      <c r="Y339" s="583">
        <f>IF(GLOBAL_DER_FEV_2023!W339=0,0,IF(GLOBAL_DER_FEV_2023!W339&gt;0,"c","b"))</f>
        <v>0</v>
      </c>
    </row>
    <row r="340" spans="1:25" x14ac:dyDescent="0.2">
      <c r="A340" s="317" t="s">
        <v>147</v>
      </c>
      <c r="B340" s="895" t="s">
        <v>147</v>
      </c>
      <c r="C340" s="896"/>
      <c r="D340" s="957" t="s">
        <v>244</v>
      </c>
      <c r="E340" s="907">
        <f>GLOBAL_DER_FEV_2023!E340</f>
        <v>22</v>
      </c>
      <c r="F340" s="908">
        <f>GLOBAL_DER_FEV_2023!F340</f>
        <v>2.2999999999999998</v>
      </c>
      <c r="G340" s="912">
        <f>GLOBAL_DER_FEV_2023!G340</f>
        <v>66.493000000000009</v>
      </c>
      <c r="H340" s="901">
        <f>GLOBAL_DER_FEV_2023!H340</f>
        <v>0</v>
      </c>
      <c r="I340" s="901">
        <f>GLOBAL_DER_FEV_2023!I340</f>
        <v>0</v>
      </c>
      <c r="J340" s="902">
        <f>GLOBAL_DER_FEV_2023!J340</f>
        <v>0</v>
      </c>
      <c r="K340" s="903" t="s">
        <v>507</v>
      </c>
      <c r="L340" s="1003"/>
      <c r="M340" s="1157">
        <f t="shared" si="27"/>
        <v>0</v>
      </c>
      <c r="N340" s="893">
        <f t="shared" si="26"/>
        <v>0</v>
      </c>
      <c r="O340" s="905"/>
      <c r="P340" s="58" t="str">
        <f>IF(N336&gt;0,"xx",IF(N336&gt;0,"xy",""))</f>
        <v/>
      </c>
      <c r="Q340" s="317" t="str">
        <f t="shared" si="28"/>
        <v/>
      </c>
      <c r="R340" s="317" t="str">
        <f t="shared" si="24"/>
        <v/>
      </c>
      <c r="S340" s="317" t="str">
        <f t="shared" si="25"/>
        <v/>
      </c>
      <c r="T340" s="317" t="str">
        <f>GLOBAL_DER_FEV_2023!S340</f>
        <v/>
      </c>
      <c r="W340" s="582">
        <v>0</v>
      </c>
      <c r="X340" s="580"/>
      <c r="Y340" s="583">
        <f>IF(GLOBAL_DER_FEV_2023!W340=0,0,IF(GLOBAL_DER_FEV_2023!W340&gt;0,"c","b"))</f>
        <v>0</v>
      </c>
    </row>
    <row r="341" spans="1:25" ht="13.5" thickBot="1" x14ac:dyDescent="0.25">
      <c r="A341" s="317">
        <v>589320</v>
      </c>
      <c r="B341" s="1004" t="s">
        <v>1686</v>
      </c>
      <c r="C341" s="984" t="s">
        <v>213</v>
      </c>
      <c r="D341" s="1012" t="s">
        <v>700</v>
      </c>
      <c r="E341" s="1005">
        <f>GLOBAL_DER_FEV_2023!E341</f>
        <v>45</v>
      </c>
      <c r="F341" s="1006">
        <f>GLOBAL_DER_FEV_2023!F341</f>
        <v>1</v>
      </c>
      <c r="G341" s="949">
        <f>GLOBAL_DER_FEV_2023!G341</f>
        <v>79.25</v>
      </c>
      <c r="H341" s="988">
        <f>GLOBAL_DER_FEV_2023!H341</f>
        <v>4012.83</v>
      </c>
      <c r="I341" s="988">
        <f>GLOBAL_DER_FEV_2023!I341</f>
        <v>3931.9945856583668</v>
      </c>
      <c r="J341" s="989">
        <f>GLOBAL_DER_FEV_2023!J341</f>
        <v>4721.1499999999996</v>
      </c>
      <c r="K341" s="990" t="s">
        <v>14</v>
      </c>
      <c r="L341" s="1154">
        <f>ROUND(L336*$F336,2)</f>
        <v>0</v>
      </c>
      <c r="M341" s="1159">
        <f t="shared" si="27"/>
        <v>0</v>
      </c>
      <c r="N341" s="993">
        <f t="shared" si="26"/>
        <v>0</v>
      </c>
      <c r="O341" s="905"/>
      <c r="P341" s="58" t="str">
        <f>IF(N336&gt;0,"xx",IF(N336&gt;0,"xy",""))</f>
        <v/>
      </c>
      <c r="Q341" s="317" t="str">
        <f t="shared" si="28"/>
        <v/>
      </c>
      <c r="R341" s="317" t="str">
        <f t="shared" ref="R341:R428" si="29">IF(P341="X","x",IF(P341="y","x",IF(P341="xx","x",IF(N341&gt;0,"x",""))))</f>
        <v/>
      </c>
      <c r="S341" s="317" t="str">
        <f t="shared" ref="S341:S428" si="30">IF(P341="X","x",IF(N341&gt;0,"x",""))</f>
        <v/>
      </c>
      <c r="T341" s="317" t="str">
        <f>GLOBAL_DER_FEV_2023!S341</f>
        <v/>
      </c>
      <c r="W341" s="582">
        <v>0</v>
      </c>
      <c r="X341" s="580"/>
      <c r="Y341" s="583">
        <f>IF(GLOBAL_DER_FEV_2023!W341=0,0,IF(GLOBAL_DER_FEV_2023!W341&gt;0,"c","b"))</f>
        <v>0</v>
      </c>
    </row>
    <row r="342" spans="1:25" x14ac:dyDescent="0.2">
      <c r="A342" s="317">
        <v>534300</v>
      </c>
      <c r="B342" s="999" t="s">
        <v>1647</v>
      </c>
      <c r="C342" s="1000" t="s">
        <v>184</v>
      </c>
      <c r="D342" s="973" t="s">
        <v>2208</v>
      </c>
      <c r="E342" s="974" t="str">
        <f>GLOBAL_DER_FEV_2023!E342</f>
        <v>taxa RM-2C</v>
      </c>
      <c r="F342" s="975">
        <f>GLOBAL_DER_FEV_2023!F342</f>
        <v>0.14000000000000001</v>
      </c>
      <c r="G342" s="976">
        <f>GLOBAL_DER_FEV_2023!G342</f>
        <v>116.02126000000001</v>
      </c>
      <c r="H342" s="977">
        <f>GLOBAL_DER_FEV_2023!H342</f>
        <v>140.30000000000001</v>
      </c>
      <c r="I342" s="977">
        <f>GLOBAL_DER_FEV_2023!I342</f>
        <v>256.32126000000005</v>
      </c>
      <c r="J342" s="978">
        <f>GLOBAL_DER_FEV_2023!J342</f>
        <v>307.76</v>
      </c>
      <c r="K342" s="979" t="s">
        <v>10</v>
      </c>
      <c r="L342" s="1152"/>
      <c r="M342" s="1153">
        <f t="shared" si="27"/>
        <v>0</v>
      </c>
      <c r="N342" s="982">
        <f t="shared" si="26"/>
        <v>0</v>
      </c>
      <c r="O342" s="905"/>
      <c r="Q342" s="317" t="str">
        <f t="shared" si="28"/>
        <v/>
      </c>
      <c r="R342" s="317" t="str">
        <f t="shared" si="29"/>
        <v/>
      </c>
      <c r="S342" s="317" t="str">
        <f t="shared" si="30"/>
        <v/>
      </c>
      <c r="T342" s="317" t="str">
        <f>GLOBAL_DER_FEV_2023!S342</f>
        <v/>
      </c>
      <c r="W342" s="582">
        <v>0</v>
      </c>
      <c r="X342" s="580"/>
      <c r="Y342" s="583">
        <f>IF(GLOBAL_DER_FEV_2023!W342=0,0,IF(GLOBAL_DER_FEV_2023!W342&gt;0,"c","b"))</f>
        <v>0</v>
      </c>
    </row>
    <row r="343" spans="1:25" x14ac:dyDescent="0.2">
      <c r="A343" s="317" t="s">
        <v>147</v>
      </c>
      <c r="B343" s="895" t="s">
        <v>147</v>
      </c>
      <c r="C343" s="896"/>
      <c r="D343" s="957" t="s">
        <v>229</v>
      </c>
      <c r="E343" s="907">
        <f>GLOBAL_DER_FEV_2023!E343</f>
        <v>150</v>
      </c>
      <c r="F343" s="908">
        <f>GLOBAL_DER_FEV_2023!F343</f>
        <v>0.27</v>
      </c>
      <c r="G343" s="949">
        <f>GLOBAL_DER_FEV_2023!G343</f>
        <v>44.058600000000006</v>
      </c>
      <c r="H343" s="901">
        <f>GLOBAL_DER_FEV_2023!H343</f>
        <v>0</v>
      </c>
      <c r="I343" s="901">
        <f>GLOBAL_DER_FEV_2023!I343</f>
        <v>0</v>
      </c>
      <c r="J343" s="902">
        <f>GLOBAL_DER_FEV_2023!J343</f>
        <v>0</v>
      </c>
      <c r="K343" s="903" t="s">
        <v>507</v>
      </c>
      <c r="L343" s="1003"/>
      <c r="M343" s="1157">
        <f t="shared" si="27"/>
        <v>0</v>
      </c>
      <c r="N343" s="893">
        <f t="shared" si="26"/>
        <v>0</v>
      </c>
      <c r="O343" s="905"/>
      <c r="P343" s="58" t="str">
        <f>IF(N342&gt;0,"xx",IF(N342&gt;0,"xy",""))</f>
        <v/>
      </c>
      <c r="Q343" s="317" t="str">
        <f t="shared" si="28"/>
        <v/>
      </c>
      <c r="R343" s="317" t="str">
        <f t="shared" si="29"/>
        <v/>
      </c>
      <c r="S343" s="317" t="str">
        <f t="shared" si="30"/>
        <v/>
      </c>
      <c r="T343" s="317" t="str">
        <f>GLOBAL_DER_FEV_2023!S343</f>
        <v/>
      </c>
      <c r="W343" s="582">
        <v>0</v>
      </c>
      <c r="X343" s="580"/>
      <c r="Y343" s="583">
        <f>IF(GLOBAL_DER_FEV_2023!W343=0,0,IF(GLOBAL_DER_FEV_2023!W343&gt;0,"c","b"))</f>
        <v>0</v>
      </c>
    </row>
    <row r="344" spans="1:25" x14ac:dyDescent="0.2">
      <c r="A344" s="317" t="s">
        <v>147</v>
      </c>
      <c r="B344" s="895" t="s">
        <v>147</v>
      </c>
      <c r="C344" s="896"/>
      <c r="D344" s="957" t="s">
        <v>230</v>
      </c>
      <c r="E344" s="907">
        <f>GLOBAL_DER_FEV_2023!E344</f>
        <v>353</v>
      </c>
      <c r="F344" s="908">
        <f>GLOBAL_DER_FEV_2023!F344</f>
        <v>0</v>
      </c>
      <c r="G344" s="909">
        <f>GLOBAL_DER_FEV_2023!G344</f>
        <v>0</v>
      </c>
      <c r="H344" s="901">
        <f>GLOBAL_DER_FEV_2023!H344</f>
        <v>0</v>
      </c>
      <c r="I344" s="901">
        <f>GLOBAL_DER_FEV_2023!I344</f>
        <v>0</v>
      </c>
      <c r="J344" s="902">
        <f>GLOBAL_DER_FEV_2023!J344</f>
        <v>0</v>
      </c>
      <c r="K344" s="903" t="s">
        <v>507</v>
      </c>
      <c r="L344" s="1003"/>
      <c r="M344" s="1157">
        <f t="shared" si="27"/>
        <v>0</v>
      </c>
      <c r="N344" s="893">
        <f t="shared" si="26"/>
        <v>0</v>
      </c>
      <c r="O344" s="905"/>
      <c r="P344" s="58" t="str">
        <f>IF(N342&gt;0,"xx",IF(N342&gt;0,"xy",""))</f>
        <v/>
      </c>
      <c r="Q344" s="317" t="str">
        <f t="shared" si="28"/>
        <v/>
      </c>
      <c r="R344" s="317" t="str">
        <f t="shared" si="29"/>
        <v/>
      </c>
      <c r="S344" s="317" t="str">
        <f t="shared" si="30"/>
        <v/>
      </c>
      <c r="T344" s="317" t="str">
        <f>GLOBAL_DER_FEV_2023!S344</f>
        <v/>
      </c>
      <c r="W344" s="582">
        <v>0</v>
      </c>
      <c r="X344" s="580"/>
      <c r="Y344" s="583">
        <f>IF(GLOBAL_DER_FEV_2023!W344=0,0,IF(GLOBAL_DER_FEV_2023!W344&gt;0,"c","b"))</f>
        <v>0</v>
      </c>
    </row>
    <row r="345" spans="1:25" x14ac:dyDescent="0.2">
      <c r="A345" s="317" t="s">
        <v>147</v>
      </c>
      <c r="B345" s="895" t="s">
        <v>147</v>
      </c>
      <c r="C345" s="896"/>
      <c r="D345" s="957" t="s">
        <v>243</v>
      </c>
      <c r="E345" s="907">
        <f>GLOBAL_DER_FEV_2023!E345</f>
        <v>0.2</v>
      </c>
      <c r="F345" s="908">
        <f>GLOBAL_DER_FEV_2023!F345</f>
        <v>1.89</v>
      </c>
      <c r="G345" s="949">
        <f>GLOBAL_DER_FEV_2023!G345</f>
        <v>5.4696600000000002</v>
      </c>
      <c r="H345" s="901">
        <f>GLOBAL_DER_FEV_2023!H345</f>
        <v>0</v>
      </c>
      <c r="I345" s="901">
        <f>GLOBAL_DER_FEV_2023!I345</f>
        <v>0</v>
      </c>
      <c r="J345" s="902">
        <f>GLOBAL_DER_FEV_2023!J345</f>
        <v>0</v>
      </c>
      <c r="K345" s="903" t="s">
        <v>507</v>
      </c>
      <c r="L345" s="1003"/>
      <c r="M345" s="1157">
        <f t="shared" si="27"/>
        <v>0</v>
      </c>
      <c r="N345" s="893">
        <f t="shared" ref="N345:N432" si="31">IF(ISBLANK(L345),0,IF(W345=0,ROUND(L345*M345,2),IF(W345="b",ROUNDDOWN(L345*M345,2),ROUNDUP(L345*M345,2))))</f>
        <v>0</v>
      </c>
      <c r="O345" s="905"/>
      <c r="P345" s="58" t="str">
        <f>IF(N342&gt;0,"xx",IF(N342&gt;0,"xy",""))</f>
        <v/>
      </c>
      <c r="Q345" s="317" t="str">
        <f t="shared" si="28"/>
        <v/>
      </c>
      <c r="R345" s="317" t="str">
        <f t="shared" si="29"/>
        <v/>
      </c>
      <c r="S345" s="317" t="str">
        <f t="shared" si="30"/>
        <v/>
      </c>
      <c r="T345" s="317" t="str">
        <f>GLOBAL_DER_FEV_2023!S345</f>
        <v/>
      </c>
      <c r="W345" s="582">
        <v>0</v>
      </c>
      <c r="X345" s="580"/>
      <c r="Y345" s="583">
        <f>IF(GLOBAL_DER_FEV_2023!W345=0,0,IF(GLOBAL_DER_FEV_2023!W345&gt;0,"c","b"))</f>
        <v>0</v>
      </c>
    </row>
    <row r="346" spans="1:25" x14ac:dyDescent="0.2">
      <c r="A346" s="317" t="s">
        <v>147</v>
      </c>
      <c r="B346" s="895" t="s">
        <v>147</v>
      </c>
      <c r="C346" s="896"/>
      <c r="D346" s="957" t="s">
        <v>244</v>
      </c>
      <c r="E346" s="907">
        <f>GLOBAL_DER_FEV_2023!E346</f>
        <v>22</v>
      </c>
      <c r="F346" s="908">
        <f>GLOBAL_DER_FEV_2023!F346</f>
        <v>2.2999999999999998</v>
      </c>
      <c r="G346" s="912">
        <f>GLOBAL_DER_FEV_2023!G346</f>
        <v>66.493000000000009</v>
      </c>
      <c r="H346" s="901">
        <f>GLOBAL_DER_FEV_2023!H346</f>
        <v>0</v>
      </c>
      <c r="I346" s="901">
        <f>GLOBAL_DER_FEV_2023!I346</f>
        <v>0</v>
      </c>
      <c r="J346" s="902">
        <f>GLOBAL_DER_FEV_2023!J346</f>
        <v>0</v>
      </c>
      <c r="K346" s="903" t="s">
        <v>507</v>
      </c>
      <c r="L346" s="1003"/>
      <c r="M346" s="1157">
        <f t="shared" si="27"/>
        <v>0</v>
      </c>
      <c r="N346" s="893">
        <f t="shared" si="31"/>
        <v>0</v>
      </c>
      <c r="O346" s="905"/>
      <c r="P346" s="58" t="str">
        <f>IF(N342&gt;0,"xx",IF(N342&gt;0,"xy",""))</f>
        <v/>
      </c>
      <c r="Q346" s="317" t="str">
        <f t="shared" si="28"/>
        <v/>
      </c>
      <c r="R346" s="317" t="str">
        <f t="shared" si="29"/>
        <v/>
      </c>
      <c r="S346" s="317" t="str">
        <f t="shared" si="30"/>
        <v/>
      </c>
      <c r="T346" s="317" t="str">
        <f>GLOBAL_DER_FEV_2023!S346</f>
        <v/>
      </c>
      <c r="W346" s="582">
        <v>0</v>
      </c>
      <c r="X346" s="580"/>
      <c r="Y346" s="583">
        <f>IF(GLOBAL_DER_FEV_2023!W346=0,0,IF(GLOBAL_DER_FEV_2023!W346&gt;0,"c","b"))</f>
        <v>0</v>
      </c>
    </row>
    <row r="347" spans="1:25" ht="13.5" thickBot="1" x14ac:dyDescent="0.25">
      <c r="A347" s="317">
        <v>589320</v>
      </c>
      <c r="B347" s="1004" t="s">
        <v>1687</v>
      </c>
      <c r="C347" s="984" t="s">
        <v>213</v>
      </c>
      <c r="D347" s="1012" t="s">
        <v>700</v>
      </c>
      <c r="E347" s="1005">
        <f>GLOBAL_DER_FEV_2023!E347</f>
        <v>45</v>
      </c>
      <c r="F347" s="1006">
        <f>GLOBAL_DER_FEV_2023!F347</f>
        <v>1</v>
      </c>
      <c r="G347" s="949">
        <f>GLOBAL_DER_FEV_2023!G347</f>
        <v>79.25</v>
      </c>
      <c r="H347" s="988">
        <f>GLOBAL_DER_FEV_2023!H347</f>
        <v>4012.83</v>
      </c>
      <c r="I347" s="988">
        <f>GLOBAL_DER_FEV_2023!I347</f>
        <v>3931.9945856583668</v>
      </c>
      <c r="J347" s="989">
        <f>GLOBAL_DER_FEV_2023!J347</f>
        <v>4721.1499999999996</v>
      </c>
      <c r="K347" s="990" t="s">
        <v>14</v>
      </c>
      <c r="L347" s="1154">
        <f>ROUND(L342*$F342,2)</f>
        <v>0</v>
      </c>
      <c r="M347" s="1159">
        <f t="shared" si="27"/>
        <v>0</v>
      </c>
      <c r="N347" s="993">
        <f t="shared" si="31"/>
        <v>0</v>
      </c>
      <c r="O347" s="905"/>
      <c r="P347" s="58" t="str">
        <f>IF(N342&gt;0,"xx",IF(N342&gt;0,"xy",""))</f>
        <v/>
      </c>
      <c r="Q347" s="317" t="str">
        <f t="shared" si="28"/>
        <v/>
      </c>
      <c r="R347" s="317" t="str">
        <f t="shared" si="29"/>
        <v/>
      </c>
      <c r="S347" s="317" t="str">
        <f t="shared" si="30"/>
        <v/>
      </c>
      <c r="T347" s="317" t="str">
        <f>GLOBAL_DER_FEV_2023!S347</f>
        <v/>
      </c>
      <c r="W347" s="582">
        <v>0</v>
      </c>
      <c r="X347" s="580"/>
      <c r="Y347" s="583">
        <f>IF(GLOBAL_DER_FEV_2023!W347=0,0,IF(GLOBAL_DER_FEV_2023!W347&gt;0,"c","b"))</f>
        <v>0</v>
      </c>
    </row>
    <row r="348" spans="1:25" x14ac:dyDescent="0.2">
      <c r="A348" s="317">
        <v>534300</v>
      </c>
      <c r="B348" s="999" t="s">
        <v>1648</v>
      </c>
      <c r="C348" s="1000" t="s">
        <v>184</v>
      </c>
      <c r="D348" s="973" t="s">
        <v>2210</v>
      </c>
      <c r="E348" s="974" t="str">
        <f>GLOBAL_DER_FEV_2023!E348</f>
        <v>taxa RM-2C</v>
      </c>
      <c r="F348" s="975">
        <f>GLOBAL_DER_FEV_2023!F348</f>
        <v>0.18240000000000001</v>
      </c>
      <c r="G348" s="976">
        <f>GLOBAL_DER_FEV_2023!G348</f>
        <v>190.80926220000003</v>
      </c>
      <c r="H348" s="977">
        <f>GLOBAL_DER_FEV_2023!H348</f>
        <v>140.30000000000001</v>
      </c>
      <c r="I348" s="977">
        <f>GLOBAL_DER_FEV_2023!I348</f>
        <v>331.10926220000005</v>
      </c>
      <c r="J348" s="978">
        <f>GLOBAL_DER_FEV_2023!J348</f>
        <v>397.56</v>
      </c>
      <c r="K348" s="979" t="s">
        <v>10</v>
      </c>
      <c r="L348" s="1152"/>
      <c r="M348" s="1153">
        <f t="shared" si="27"/>
        <v>0</v>
      </c>
      <c r="N348" s="982">
        <f t="shared" si="31"/>
        <v>0</v>
      </c>
      <c r="O348" s="905"/>
      <c r="Q348" s="317" t="str">
        <f t="shared" si="28"/>
        <v/>
      </c>
      <c r="R348" s="317" t="str">
        <f t="shared" si="29"/>
        <v/>
      </c>
      <c r="S348" s="317" t="str">
        <f t="shared" si="30"/>
        <v/>
      </c>
      <c r="T348" s="317" t="str">
        <f>GLOBAL_DER_FEV_2023!S348</f>
        <v/>
      </c>
      <c r="W348" s="582">
        <v>0</v>
      </c>
      <c r="X348" s="580"/>
      <c r="Y348" s="583">
        <f>IF(GLOBAL_DER_FEV_2023!W348=0,0,IF(GLOBAL_DER_FEV_2023!W348&gt;0,"c","b"))</f>
        <v>0</v>
      </c>
    </row>
    <row r="349" spans="1:25" x14ac:dyDescent="0.2">
      <c r="A349" s="317" t="s">
        <v>147</v>
      </c>
      <c r="B349" s="895" t="s">
        <v>147</v>
      </c>
      <c r="C349" s="896"/>
      <c r="D349" s="957" t="s">
        <v>229</v>
      </c>
      <c r="E349" s="907">
        <f>GLOBAL_DER_FEV_2023!E349</f>
        <v>150</v>
      </c>
      <c r="F349" s="908">
        <f>GLOBAL_DER_FEV_2023!F349</f>
        <v>0.56969999999999998</v>
      </c>
      <c r="G349" s="949">
        <f>GLOBAL_DER_FEV_2023!G349</f>
        <v>92.963645999999997</v>
      </c>
      <c r="H349" s="901">
        <f>GLOBAL_DER_FEV_2023!H349</f>
        <v>0</v>
      </c>
      <c r="I349" s="901">
        <f>GLOBAL_DER_FEV_2023!I349</f>
        <v>0</v>
      </c>
      <c r="J349" s="902">
        <f>GLOBAL_DER_FEV_2023!J349</f>
        <v>0</v>
      </c>
      <c r="K349" s="903" t="s">
        <v>507</v>
      </c>
      <c r="L349" s="1003"/>
      <c r="M349" s="1157">
        <f t="shared" si="27"/>
        <v>0</v>
      </c>
      <c r="N349" s="893">
        <f t="shared" si="31"/>
        <v>0</v>
      </c>
      <c r="O349" s="905"/>
      <c r="P349" s="58" t="str">
        <f>IF(N348&gt;0,"xx",IF(N348&gt;0,"xy",""))</f>
        <v/>
      </c>
      <c r="Q349" s="317" t="str">
        <f t="shared" si="28"/>
        <v/>
      </c>
      <c r="R349" s="317" t="str">
        <f t="shared" si="29"/>
        <v/>
      </c>
      <c r="S349" s="317" t="str">
        <f t="shared" si="30"/>
        <v/>
      </c>
      <c r="T349" s="317" t="str">
        <f>GLOBAL_DER_FEV_2023!S349</f>
        <v/>
      </c>
      <c r="W349" s="582">
        <v>0</v>
      </c>
      <c r="X349" s="580"/>
      <c r="Y349" s="583">
        <f>IF(GLOBAL_DER_FEV_2023!W349=0,0,IF(GLOBAL_DER_FEV_2023!W349&gt;0,"c","b"))</f>
        <v>0</v>
      </c>
    </row>
    <row r="350" spans="1:25" x14ac:dyDescent="0.2">
      <c r="A350" s="317" t="s">
        <v>147</v>
      </c>
      <c r="B350" s="895" t="s">
        <v>147</v>
      </c>
      <c r="C350" s="896"/>
      <c r="D350" s="957" t="s">
        <v>230</v>
      </c>
      <c r="E350" s="907">
        <f>GLOBAL_DER_FEV_2023!E350</f>
        <v>353</v>
      </c>
      <c r="F350" s="908">
        <f>GLOBAL_DER_FEV_2023!F350</f>
        <v>8.7599999999999997E-2</v>
      </c>
      <c r="G350" s="909">
        <f>GLOBAL_DER_FEV_2023!G350</f>
        <v>24.804816000000002</v>
      </c>
      <c r="H350" s="901">
        <f>GLOBAL_DER_FEV_2023!H350</f>
        <v>0</v>
      </c>
      <c r="I350" s="901">
        <f>GLOBAL_DER_FEV_2023!I350</f>
        <v>0</v>
      </c>
      <c r="J350" s="902">
        <f>GLOBAL_DER_FEV_2023!J350</f>
        <v>0</v>
      </c>
      <c r="K350" s="903" t="s">
        <v>507</v>
      </c>
      <c r="L350" s="1003"/>
      <c r="M350" s="1157">
        <f t="shared" si="27"/>
        <v>0</v>
      </c>
      <c r="N350" s="893">
        <f t="shared" si="31"/>
        <v>0</v>
      </c>
      <c r="O350" s="905"/>
      <c r="P350" s="58" t="str">
        <f>IF(N348&gt;0,"xx",IF(N348&gt;0,"xy",""))</f>
        <v/>
      </c>
      <c r="Q350" s="317" t="str">
        <f t="shared" si="28"/>
        <v/>
      </c>
      <c r="R350" s="317" t="str">
        <f t="shared" si="29"/>
        <v/>
      </c>
      <c r="S350" s="317" t="str">
        <f t="shared" si="30"/>
        <v/>
      </c>
      <c r="T350" s="317" t="str">
        <f>GLOBAL_DER_FEV_2023!S350</f>
        <v/>
      </c>
      <c r="W350" s="582">
        <v>0</v>
      </c>
      <c r="X350" s="580"/>
      <c r="Y350" s="583">
        <f>IF(GLOBAL_DER_FEV_2023!W350=0,0,IF(GLOBAL_DER_FEV_2023!W350&gt;0,"c","b"))</f>
        <v>0</v>
      </c>
    </row>
    <row r="351" spans="1:25" x14ac:dyDescent="0.2">
      <c r="A351" s="317" t="s">
        <v>147</v>
      </c>
      <c r="B351" s="895" t="s">
        <v>147</v>
      </c>
      <c r="C351" s="896"/>
      <c r="D351" s="957" t="s">
        <v>243</v>
      </c>
      <c r="E351" s="907">
        <f>GLOBAL_DER_FEV_2023!E351</f>
        <v>0.2</v>
      </c>
      <c r="F351" s="908">
        <f>GLOBAL_DER_FEV_2023!F351</f>
        <v>1.5333000000000001</v>
      </c>
      <c r="G351" s="949">
        <f>GLOBAL_DER_FEV_2023!G351</f>
        <v>4.4373702000000002</v>
      </c>
      <c r="H351" s="901">
        <f>GLOBAL_DER_FEV_2023!H351</f>
        <v>0</v>
      </c>
      <c r="I351" s="901">
        <f>GLOBAL_DER_FEV_2023!I351</f>
        <v>0</v>
      </c>
      <c r="J351" s="902">
        <f>GLOBAL_DER_FEV_2023!J351</f>
        <v>0</v>
      </c>
      <c r="K351" s="903" t="s">
        <v>507</v>
      </c>
      <c r="L351" s="1003"/>
      <c r="M351" s="1157">
        <f t="shared" si="27"/>
        <v>0</v>
      </c>
      <c r="N351" s="893">
        <f t="shared" si="31"/>
        <v>0</v>
      </c>
      <c r="O351" s="905"/>
      <c r="P351" s="58" t="str">
        <f>IF(N348&gt;0,"xx",IF(N348&gt;0,"xy",""))</f>
        <v/>
      </c>
      <c r="Q351" s="317" t="str">
        <f t="shared" si="28"/>
        <v/>
      </c>
      <c r="R351" s="317" t="str">
        <f t="shared" si="29"/>
        <v/>
      </c>
      <c r="S351" s="317" t="str">
        <f t="shared" si="30"/>
        <v/>
      </c>
      <c r="T351" s="317" t="str">
        <f>GLOBAL_DER_FEV_2023!S351</f>
        <v/>
      </c>
      <c r="W351" s="582">
        <v>0</v>
      </c>
      <c r="X351" s="580"/>
      <c r="Y351" s="583">
        <f>IF(GLOBAL_DER_FEV_2023!W351=0,0,IF(GLOBAL_DER_FEV_2023!W351&gt;0,"c","b"))</f>
        <v>0</v>
      </c>
    </row>
    <row r="352" spans="1:25" x14ac:dyDescent="0.2">
      <c r="A352" s="317" t="s">
        <v>147</v>
      </c>
      <c r="B352" s="895" t="s">
        <v>147</v>
      </c>
      <c r="C352" s="896"/>
      <c r="D352" s="957" t="s">
        <v>244</v>
      </c>
      <c r="E352" s="907">
        <f>GLOBAL_DER_FEV_2023!E352</f>
        <v>22</v>
      </c>
      <c r="F352" s="908">
        <f>GLOBAL_DER_FEV_2023!F352</f>
        <v>2.3730000000000002</v>
      </c>
      <c r="G352" s="912">
        <f>GLOBAL_DER_FEV_2023!G352</f>
        <v>68.603430000000017</v>
      </c>
      <c r="H352" s="901">
        <f>GLOBAL_DER_FEV_2023!H352</f>
        <v>0</v>
      </c>
      <c r="I352" s="901">
        <f>GLOBAL_DER_FEV_2023!I352</f>
        <v>0</v>
      </c>
      <c r="J352" s="902">
        <f>GLOBAL_DER_FEV_2023!J352</f>
        <v>0</v>
      </c>
      <c r="K352" s="903" t="s">
        <v>507</v>
      </c>
      <c r="L352" s="1003"/>
      <c r="M352" s="1157">
        <f t="shared" si="27"/>
        <v>0</v>
      </c>
      <c r="N352" s="893">
        <f t="shared" si="31"/>
        <v>0</v>
      </c>
      <c r="O352" s="905"/>
      <c r="P352" s="58" t="str">
        <f>IF(N348&gt;0,"xx",IF(N348&gt;0,"xy",""))</f>
        <v/>
      </c>
      <c r="Q352" s="317" t="str">
        <f t="shared" si="28"/>
        <v/>
      </c>
      <c r="R352" s="317" t="str">
        <f t="shared" si="29"/>
        <v/>
      </c>
      <c r="S352" s="317" t="str">
        <f t="shared" si="30"/>
        <v/>
      </c>
      <c r="T352" s="317" t="str">
        <f>GLOBAL_DER_FEV_2023!S352</f>
        <v/>
      </c>
      <c r="W352" s="582">
        <v>0</v>
      </c>
      <c r="X352" s="580"/>
      <c r="Y352" s="583">
        <f>IF(GLOBAL_DER_FEV_2023!W352=0,0,IF(GLOBAL_DER_FEV_2023!W352&gt;0,"c","b"))</f>
        <v>0</v>
      </c>
    </row>
    <row r="353" spans="1:25" ht="13.5" thickBot="1" x14ac:dyDescent="0.25">
      <c r="A353" s="317">
        <v>589320</v>
      </c>
      <c r="B353" s="1004" t="s">
        <v>1688</v>
      </c>
      <c r="C353" s="984" t="s">
        <v>213</v>
      </c>
      <c r="D353" s="1012" t="s">
        <v>1682</v>
      </c>
      <c r="E353" s="1005">
        <f>GLOBAL_DER_FEV_2023!E353</f>
        <v>45</v>
      </c>
      <c r="F353" s="1006">
        <f>GLOBAL_DER_FEV_2023!F353</f>
        <v>1</v>
      </c>
      <c r="G353" s="949">
        <f>GLOBAL_DER_FEV_2023!G353</f>
        <v>79.25</v>
      </c>
      <c r="H353" s="988">
        <f>GLOBAL_DER_FEV_2023!H353</f>
        <v>4012.83</v>
      </c>
      <c r="I353" s="988">
        <f>GLOBAL_DER_FEV_2023!I353</f>
        <v>3931.9945856583668</v>
      </c>
      <c r="J353" s="989">
        <f>GLOBAL_DER_FEV_2023!J353</f>
        <v>4721.1499999999996</v>
      </c>
      <c r="K353" s="990" t="s">
        <v>14</v>
      </c>
      <c r="L353" s="1154">
        <f>ROUND(L348*$F348,2)</f>
        <v>0</v>
      </c>
      <c r="M353" s="1159">
        <f t="shared" si="27"/>
        <v>0</v>
      </c>
      <c r="N353" s="993">
        <f t="shared" si="31"/>
        <v>0</v>
      </c>
      <c r="O353" s="905"/>
      <c r="P353" s="58" t="str">
        <f>IF(N348&gt;0,"xx",IF(N348&gt;0,"xy",""))</f>
        <v/>
      </c>
      <c r="Q353" s="317" t="str">
        <f t="shared" si="28"/>
        <v/>
      </c>
      <c r="R353" s="317" t="str">
        <f t="shared" si="29"/>
        <v/>
      </c>
      <c r="S353" s="317" t="str">
        <f t="shared" si="30"/>
        <v/>
      </c>
      <c r="T353" s="317" t="str">
        <f>GLOBAL_DER_FEV_2023!S353</f>
        <v/>
      </c>
      <c r="W353" s="582">
        <v>0</v>
      </c>
      <c r="X353" s="580"/>
      <c r="Y353" s="583">
        <f>IF(GLOBAL_DER_FEV_2023!W353=0,0,IF(GLOBAL_DER_FEV_2023!W353&gt;0,"c","b"))</f>
        <v>0</v>
      </c>
    </row>
    <row r="354" spans="1:25" x14ac:dyDescent="0.2">
      <c r="A354" s="317">
        <v>570300</v>
      </c>
      <c r="B354" s="999" t="s">
        <v>1649</v>
      </c>
      <c r="C354" s="1000" t="s">
        <v>184</v>
      </c>
      <c r="D354" s="1019" t="s">
        <v>769</v>
      </c>
      <c r="E354" s="974" t="str">
        <f>GLOBAL_DER_FEV_2023!E354</f>
        <v>taxa CAP</v>
      </c>
      <c r="F354" s="975">
        <f>GLOBAL_DER_FEV_2023!F354</f>
        <v>0.04</v>
      </c>
      <c r="G354" s="976">
        <f>GLOBAL_DER_FEV_2023!G354</f>
        <v>36.972230000000003</v>
      </c>
      <c r="H354" s="977">
        <f>GLOBAL_DER_FEV_2023!H354</f>
        <v>178.78</v>
      </c>
      <c r="I354" s="977">
        <f>GLOBAL_DER_FEV_2023!I354</f>
        <v>215.75223</v>
      </c>
      <c r="J354" s="978">
        <f>GLOBAL_DER_FEV_2023!J354</f>
        <v>259.05</v>
      </c>
      <c r="K354" s="979" t="s">
        <v>14</v>
      </c>
      <c r="L354" s="1152"/>
      <c r="M354" s="1153">
        <f t="shared" si="27"/>
        <v>0</v>
      </c>
      <c r="N354" s="982">
        <f t="shared" si="31"/>
        <v>0</v>
      </c>
      <c r="O354" s="905"/>
      <c r="Q354" s="317" t="str">
        <f t="shared" si="28"/>
        <v/>
      </c>
      <c r="R354" s="317" t="str">
        <f t="shared" si="29"/>
        <v/>
      </c>
      <c r="S354" s="317" t="str">
        <f t="shared" si="30"/>
        <v/>
      </c>
      <c r="T354" s="317" t="str">
        <f>GLOBAL_DER_FEV_2023!S354</f>
        <v/>
      </c>
      <c r="W354" s="582">
        <v>0</v>
      </c>
      <c r="X354" s="580"/>
      <c r="Y354" s="583">
        <f>IF(GLOBAL_DER_FEV_2023!W354=0,0,IF(GLOBAL_DER_FEV_2023!W354&gt;0,"c","b"))</f>
        <v>0</v>
      </c>
    </row>
    <row r="355" spans="1:25" x14ac:dyDescent="0.2">
      <c r="A355" s="317" t="s">
        <v>147</v>
      </c>
      <c r="B355" s="895" t="s">
        <v>147</v>
      </c>
      <c r="C355" s="896"/>
      <c r="D355" s="957" t="s">
        <v>229</v>
      </c>
      <c r="E355" s="907">
        <f>GLOBAL_DER_FEV_2023!E355</f>
        <v>150</v>
      </c>
      <c r="F355" s="908">
        <f>GLOBAL_DER_FEV_2023!F355</f>
        <v>0</v>
      </c>
      <c r="G355" s="949">
        <f>GLOBAL_DER_FEV_2023!G355</f>
        <v>0</v>
      </c>
      <c r="H355" s="901">
        <f>GLOBAL_DER_FEV_2023!H355</f>
        <v>0</v>
      </c>
      <c r="I355" s="901">
        <f>GLOBAL_DER_FEV_2023!I355</f>
        <v>0</v>
      </c>
      <c r="J355" s="902">
        <f>GLOBAL_DER_FEV_2023!J355</f>
        <v>0</v>
      </c>
      <c r="K355" s="903" t="s">
        <v>507</v>
      </c>
      <c r="L355" s="1003"/>
      <c r="M355" s="1157">
        <f t="shared" si="27"/>
        <v>0</v>
      </c>
      <c r="N355" s="893">
        <f t="shared" si="31"/>
        <v>0</v>
      </c>
      <c r="O355" s="905"/>
      <c r="P355" s="58" t="str">
        <f>IF(N354&gt;0,"xx",IF(N354&gt;0,"xy",""))</f>
        <v/>
      </c>
      <c r="Q355" s="317" t="str">
        <f t="shared" si="28"/>
        <v/>
      </c>
      <c r="R355" s="317" t="str">
        <f t="shared" si="29"/>
        <v/>
      </c>
      <c r="S355" s="317" t="str">
        <f t="shared" si="30"/>
        <v/>
      </c>
      <c r="T355" s="317" t="str">
        <f>GLOBAL_DER_FEV_2023!S355</f>
        <v/>
      </c>
      <c r="W355" s="582">
        <v>0</v>
      </c>
      <c r="X355" s="580"/>
      <c r="Y355" s="583">
        <f>IF(GLOBAL_DER_FEV_2023!W355=0,0,IF(GLOBAL_DER_FEV_2023!W355&gt;0,"c","b"))</f>
        <v>0</v>
      </c>
    </row>
    <row r="356" spans="1:25" x14ac:dyDescent="0.2">
      <c r="A356" s="317" t="s">
        <v>147</v>
      </c>
      <c r="B356" s="895" t="s">
        <v>147</v>
      </c>
      <c r="C356" s="896"/>
      <c r="D356" s="957" t="s">
        <v>230</v>
      </c>
      <c r="E356" s="907">
        <f>GLOBAL_DER_FEV_2023!E356</f>
        <v>353</v>
      </c>
      <c r="F356" s="908">
        <f>GLOBAL_DER_FEV_2023!F356</f>
        <v>1.4999999999999999E-2</v>
      </c>
      <c r="G356" s="909">
        <f>GLOBAL_DER_FEV_2023!G356</f>
        <v>4.2473999999999998</v>
      </c>
      <c r="H356" s="901">
        <f>GLOBAL_DER_FEV_2023!H356</f>
        <v>0</v>
      </c>
      <c r="I356" s="901">
        <f>GLOBAL_DER_FEV_2023!I356</f>
        <v>0</v>
      </c>
      <c r="J356" s="902">
        <f>GLOBAL_DER_FEV_2023!J356</f>
        <v>0</v>
      </c>
      <c r="K356" s="903" t="s">
        <v>507</v>
      </c>
      <c r="L356" s="1003"/>
      <c r="M356" s="1157">
        <f t="shared" si="27"/>
        <v>0</v>
      </c>
      <c r="N356" s="893">
        <f t="shared" si="31"/>
        <v>0</v>
      </c>
      <c r="O356" s="905"/>
      <c r="P356" s="58" t="str">
        <f>IF(N354&gt;0,"xx",IF(N354&gt;0,"xy",""))</f>
        <v/>
      </c>
      <c r="Q356" s="317" t="str">
        <f t="shared" si="28"/>
        <v/>
      </c>
      <c r="R356" s="317" t="str">
        <f t="shared" si="29"/>
        <v/>
      </c>
      <c r="S356" s="317" t="str">
        <f t="shared" si="30"/>
        <v/>
      </c>
      <c r="T356" s="317" t="str">
        <f>GLOBAL_DER_FEV_2023!S356</f>
        <v/>
      </c>
      <c r="W356" s="582">
        <v>0</v>
      </c>
      <c r="X356" s="580"/>
      <c r="Y356" s="583">
        <f>IF(GLOBAL_DER_FEV_2023!W356=0,0,IF(GLOBAL_DER_FEV_2023!W356&gt;0,"c","b"))</f>
        <v>0</v>
      </c>
    </row>
    <row r="357" spans="1:25" x14ac:dyDescent="0.2">
      <c r="A357" s="317" t="s">
        <v>147</v>
      </c>
      <c r="B357" s="895" t="s">
        <v>147</v>
      </c>
      <c r="C357" s="896"/>
      <c r="D357" s="957" t="s">
        <v>243</v>
      </c>
      <c r="E357" s="907">
        <f>GLOBAL_DER_FEV_2023!E357</f>
        <v>0.2</v>
      </c>
      <c r="F357" s="908">
        <f>GLOBAL_DER_FEV_2023!F357</f>
        <v>0.94499999999999995</v>
      </c>
      <c r="G357" s="949">
        <f>GLOBAL_DER_FEV_2023!G357</f>
        <v>2.7348300000000001</v>
      </c>
      <c r="H357" s="901">
        <f>GLOBAL_DER_FEV_2023!H357</f>
        <v>0</v>
      </c>
      <c r="I357" s="901">
        <f>GLOBAL_DER_FEV_2023!I357</f>
        <v>0</v>
      </c>
      <c r="J357" s="902">
        <f>GLOBAL_DER_FEV_2023!J357</f>
        <v>0</v>
      </c>
      <c r="K357" s="903" t="s">
        <v>507</v>
      </c>
      <c r="L357" s="1003"/>
      <c r="M357" s="1157">
        <f t="shared" si="27"/>
        <v>0</v>
      </c>
      <c r="N357" s="893">
        <f t="shared" si="31"/>
        <v>0</v>
      </c>
      <c r="O357" s="905"/>
      <c r="P357" s="58" t="str">
        <f>IF(N354&gt;0,"xx",IF(N354&gt;0,"xy",""))</f>
        <v/>
      </c>
      <c r="Q357" s="317" t="str">
        <f t="shared" si="28"/>
        <v/>
      </c>
      <c r="R357" s="317" t="str">
        <f t="shared" si="29"/>
        <v/>
      </c>
      <c r="S357" s="317" t="str">
        <f t="shared" si="30"/>
        <v/>
      </c>
      <c r="T357" s="317" t="str">
        <f>GLOBAL_DER_FEV_2023!S357</f>
        <v/>
      </c>
      <c r="W357" s="582">
        <v>0</v>
      </c>
      <c r="X357" s="580"/>
      <c r="Y357" s="583">
        <f>IF(GLOBAL_DER_FEV_2023!W357=0,0,IF(GLOBAL_DER_FEV_2023!W357&gt;0,"c","b"))</f>
        <v>0</v>
      </c>
    </row>
    <row r="358" spans="1:25" x14ac:dyDescent="0.2">
      <c r="A358" s="317" t="s">
        <v>147</v>
      </c>
      <c r="B358" s="895" t="s">
        <v>147</v>
      </c>
      <c r="C358" s="896"/>
      <c r="D358" s="957" t="s">
        <v>244</v>
      </c>
      <c r="E358" s="907">
        <f>GLOBAL_DER_FEV_2023!E358</f>
        <v>22</v>
      </c>
      <c r="F358" s="908">
        <f>GLOBAL_DER_FEV_2023!F358</f>
        <v>1</v>
      </c>
      <c r="G358" s="912">
        <f>GLOBAL_DER_FEV_2023!G358</f>
        <v>29.990000000000002</v>
      </c>
      <c r="H358" s="901">
        <f>GLOBAL_DER_FEV_2023!H358</f>
        <v>0</v>
      </c>
      <c r="I358" s="901">
        <f>GLOBAL_DER_FEV_2023!I358</f>
        <v>0</v>
      </c>
      <c r="J358" s="902">
        <f>GLOBAL_DER_FEV_2023!J358</f>
        <v>0</v>
      </c>
      <c r="K358" s="903" t="s">
        <v>507</v>
      </c>
      <c r="L358" s="1003"/>
      <c r="M358" s="1157">
        <f t="shared" si="27"/>
        <v>0</v>
      </c>
      <c r="N358" s="893">
        <f t="shared" si="31"/>
        <v>0</v>
      </c>
      <c r="O358" s="905"/>
      <c r="P358" s="58" t="str">
        <f>IF(N354&gt;0,"xx",IF(N354&gt;0,"xy",""))</f>
        <v/>
      </c>
      <c r="Q358" s="317" t="str">
        <f t="shared" si="28"/>
        <v/>
      </c>
      <c r="R358" s="317" t="str">
        <f t="shared" si="29"/>
        <v/>
      </c>
      <c r="S358" s="317" t="str">
        <f t="shared" si="30"/>
        <v/>
      </c>
      <c r="T358" s="317" t="str">
        <f>GLOBAL_DER_FEV_2023!S358</f>
        <v/>
      </c>
      <c r="W358" s="582">
        <v>0</v>
      </c>
      <c r="X358" s="580"/>
      <c r="Y358" s="583">
        <f>IF(GLOBAL_DER_FEV_2023!W358=0,0,IF(GLOBAL_DER_FEV_2023!W358&gt;0,"c","b"))</f>
        <v>0</v>
      </c>
    </row>
    <row r="359" spans="1:25" ht="13.5" thickBot="1" x14ac:dyDescent="0.25">
      <c r="A359" s="317">
        <v>589000</v>
      </c>
      <c r="B359" s="1009" t="s">
        <v>709</v>
      </c>
      <c r="C359" s="860" t="s">
        <v>213</v>
      </c>
      <c r="D359" s="1012" t="s">
        <v>2178</v>
      </c>
      <c r="E359" s="1020">
        <f>GLOBAL_DER_FEV_2023!E359</f>
        <v>45</v>
      </c>
      <c r="F359" s="1006">
        <f>GLOBAL_DER_FEV_2023!F359</f>
        <v>1</v>
      </c>
      <c r="G359" s="949">
        <f>GLOBAL_DER_FEV_2023!G359</f>
        <v>88.36</v>
      </c>
      <c r="H359" s="988">
        <f>GLOBAL_DER_FEV_2023!H359</f>
        <v>4828.8599999999997</v>
      </c>
      <c r="I359" s="988">
        <f>GLOBAL_DER_FEV_2023!I359</f>
        <v>4724.580378112767</v>
      </c>
      <c r="J359" s="1011">
        <f>GLOBAL_DER_FEV_2023!J359</f>
        <v>5672.8</v>
      </c>
      <c r="K359" s="867" t="s">
        <v>14</v>
      </c>
      <c r="L359" s="1154">
        <f>ROUND(L354*$F354,2)</f>
        <v>0</v>
      </c>
      <c r="M359" s="1159">
        <f t="shared" si="27"/>
        <v>0</v>
      </c>
      <c r="N359" s="993">
        <f t="shared" si="31"/>
        <v>0</v>
      </c>
      <c r="O359" s="905"/>
      <c r="P359" s="58" t="str">
        <f>IF(N354&gt;0,"xx",IF(N354&gt;0,"xy",""))</f>
        <v/>
      </c>
      <c r="Q359" s="317" t="str">
        <f t="shared" si="28"/>
        <v/>
      </c>
      <c r="R359" s="317" t="str">
        <f t="shared" si="29"/>
        <v/>
      </c>
      <c r="S359" s="317" t="str">
        <f t="shared" si="30"/>
        <v/>
      </c>
      <c r="T359" s="317" t="str">
        <f>GLOBAL_DER_FEV_2023!S359</f>
        <v/>
      </c>
      <c r="W359" s="582">
        <v>0</v>
      </c>
      <c r="X359" s="580"/>
      <c r="Y359" s="583">
        <f>IF(GLOBAL_DER_FEV_2023!W359=0,0,IF(GLOBAL_DER_FEV_2023!W359&gt;0,"c","b"))</f>
        <v>0</v>
      </c>
    </row>
    <row r="360" spans="1:25" x14ac:dyDescent="0.2">
      <c r="A360" s="317">
        <v>570310</v>
      </c>
      <c r="B360" s="999" t="s">
        <v>1764</v>
      </c>
      <c r="C360" s="1000" t="s">
        <v>184</v>
      </c>
      <c r="D360" s="1019" t="s">
        <v>770</v>
      </c>
      <c r="E360" s="974" t="str">
        <f>GLOBAL_DER_FEV_2023!E360</f>
        <v>taxa CAP</v>
      </c>
      <c r="F360" s="975">
        <f>GLOBAL_DER_FEV_2023!F360</f>
        <v>0.04</v>
      </c>
      <c r="G360" s="976">
        <f>GLOBAL_DER_FEV_2023!G360</f>
        <v>36.972230000000003</v>
      </c>
      <c r="H360" s="977">
        <f>GLOBAL_DER_FEV_2023!H360</f>
        <v>158.85</v>
      </c>
      <c r="I360" s="977">
        <f>GLOBAL_DER_FEV_2023!I360</f>
        <v>195.82222999999999</v>
      </c>
      <c r="J360" s="978">
        <f>GLOBAL_DER_FEV_2023!J360</f>
        <v>235.12</v>
      </c>
      <c r="K360" s="979" t="s">
        <v>14</v>
      </c>
      <c r="L360" s="1152"/>
      <c r="M360" s="1153">
        <f t="shared" si="27"/>
        <v>0</v>
      </c>
      <c r="N360" s="982">
        <f t="shared" si="31"/>
        <v>0</v>
      </c>
      <c r="O360" s="905"/>
      <c r="Q360" s="317" t="str">
        <f t="shared" si="28"/>
        <v/>
      </c>
      <c r="R360" s="317" t="str">
        <f t="shared" si="29"/>
        <v/>
      </c>
      <c r="S360" s="317" t="str">
        <f t="shared" si="30"/>
        <v/>
      </c>
      <c r="T360" s="317" t="str">
        <f>GLOBAL_DER_FEV_2023!S360</f>
        <v/>
      </c>
      <c r="W360" s="582">
        <v>0</v>
      </c>
      <c r="X360" s="580"/>
      <c r="Y360" s="583">
        <f>IF(GLOBAL_DER_FEV_2023!W360=0,0,IF(GLOBAL_DER_FEV_2023!W360&gt;0,"c","b"))</f>
        <v>0</v>
      </c>
    </row>
    <row r="361" spans="1:25" x14ac:dyDescent="0.2">
      <c r="A361" s="317" t="s">
        <v>147</v>
      </c>
      <c r="B361" s="895" t="s">
        <v>147</v>
      </c>
      <c r="C361" s="896"/>
      <c r="D361" s="957" t="s">
        <v>229</v>
      </c>
      <c r="E361" s="907">
        <f>GLOBAL_DER_FEV_2023!E361</f>
        <v>150</v>
      </c>
      <c r="F361" s="908">
        <f>GLOBAL_DER_FEV_2023!F361</f>
        <v>0</v>
      </c>
      <c r="G361" s="949">
        <f>GLOBAL_DER_FEV_2023!G361</f>
        <v>0</v>
      </c>
      <c r="H361" s="901">
        <f>GLOBAL_DER_FEV_2023!H361</f>
        <v>0</v>
      </c>
      <c r="I361" s="901">
        <f>GLOBAL_DER_FEV_2023!I361</f>
        <v>0</v>
      </c>
      <c r="J361" s="902">
        <f>GLOBAL_DER_FEV_2023!J361</f>
        <v>0</v>
      </c>
      <c r="K361" s="903" t="s">
        <v>507</v>
      </c>
      <c r="L361" s="1003"/>
      <c r="M361" s="1157">
        <f t="shared" si="27"/>
        <v>0</v>
      </c>
      <c r="N361" s="893">
        <f t="shared" si="31"/>
        <v>0</v>
      </c>
      <c r="O361" s="905"/>
      <c r="P361" s="58" t="str">
        <f>IF(N360&gt;0,"xx",IF(N360&gt;0,"xy",""))</f>
        <v/>
      </c>
      <c r="Q361" s="317" t="str">
        <f t="shared" si="28"/>
        <v/>
      </c>
      <c r="R361" s="317" t="str">
        <f t="shared" si="29"/>
        <v/>
      </c>
      <c r="S361" s="317" t="str">
        <f t="shared" si="30"/>
        <v/>
      </c>
      <c r="T361" s="317" t="str">
        <f>GLOBAL_DER_FEV_2023!S361</f>
        <v/>
      </c>
      <c r="W361" s="582">
        <v>0</v>
      </c>
      <c r="X361" s="580"/>
      <c r="Y361" s="583">
        <f>IF(GLOBAL_DER_FEV_2023!W361=0,0,IF(GLOBAL_DER_FEV_2023!W361&gt;0,"c","b"))</f>
        <v>0</v>
      </c>
    </row>
    <row r="362" spans="1:25" x14ac:dyDescent="0.2">
      <c r="A362" s="317" t="s">
        <v>147</v>
      </c>
      <c r="B362" s="895" t="s">
        <v>147</v>
      </c>
      <c r="C362" s="896"/>
      <c r="D362" s="957" t="s">
        <v>230</v>
      </c>
      <c r="E362" s="907">
        <f>GLOBAL_DER_FEV_2023!E362</f>
        <v>353</v>
      </c>
      <c r="F362" s="908">
        <f>GLOBAL_DER_FEV_2023!F362</f>
        <v>1.4999999999999999E-2</v>
      </c>
      <c r="G362" s="909">
        <f>GLOBAL_DER_FEV_2023!G362</f>
        <v>4.2473999999999998</v>
      </c>
      <c r="H362" s="901">
        <f>GLOBAL_DER_FEV_2023!H362</f>
        <v>0</v>
      </c>
      <c r="I362" s="901">
        <f>GLOBAL_DER_FEV_2023!I362</f>
        <v>0</v>
      </c>
      <c r="J362" s="902">
        <f>GLOBAL_DER_FEV_2023!J362</f>
        <v>0</v>
      </c>
      <c r="K362" s="903" t="s">
        <v>507</v>
      </c>
      <c r="L362" s="1003"/>
      <c r="M362" s="1157">
        <f t="shared" si="27"/>
        <v>0</v>
      </c>
      <c r="N362" s="893">
        <f t="shared" si="31"/>
        <v>0</v>
      </c>
      <c r="O362" s="905"/>
      <c r="P362" s="58" t="str">
        <f>IF(N360&gt;0,"xx",IF(N360&gt;0,"xy",""))</f>
        <v/>
      </c>
      <c r="Q362" s="317" t="str">
        <f t="shared" si="28"/>
        <v/>
      </c>
      <c r="R362" s="317" t="str">
        <f t="shared" si="29"/>
        <v/>
      </c>
      <c r="S362" s="317" t="str">
        <f t="shared" si="30"/>
        <v/>
      </c>
      <c r="T362" s="317" t="str">
        <f>GLOBAL_DER_FEV_2023!S362</f>
        <v/>
      </c>
      <c r="W362" s="582">
        <v>0</v>
      </c>
      <c r="X362" s="580"/>
      <c r="Y362" s="583">
        <f>IF(GLOBAL_DER_FEV_2023!W362=0,0,IF(GLOBAL_DER_FEV_2023!W362&gt;0,"c","b"))</f>
        <v>0</v>
      </c>
    </row>
    <row r="363" spans="1:25" x14ac:dyDescent="0.2">
      <c r="A363" s="317" t="s">
        <v>147</v>
      </c>
      <c r="B363" s="895" t="s">
        <v>147</v>
      </c>
      <c r="C363" s="896"/>
      <c r="D363" s="957" t="s">
        <v>243</v>
      </c>
      <c r="E363" s="907">
        <f>GLOBAL_DER_FEV_2023!E363</f>
        <v>0.2</v>
      </c>
      <c r="F363" s="908">
        <f>GLOBAL_DER_FEV_2023!F363</f>
        <v>0.94499999999999995</v>
      </c>
      <c r="G363" s="949">
        <f>GLOBAL_DER_FEV_2023!G363</f>
        <v>2.7348300000000001</v>
      </c>
      <c r="H363" s="901">
        <f>GLOBAL_DER_FEV_2023!H363</f>
        <v>0</v>
      </c>
      <c r="I363" s="901">
        <f>GLOBAL_DER_FEV_2023!I363</f>
        <v>0</v>
      </c>
      <c r="J363" s="902">
        <f>GLOBAL_DER_FEV_2023!J363</f>
        <v>0</v>
      </c>
      <c r="K363" s="903" t="s">
        <v>507</v>
      </c>
      <c r="L363" s="1003"/>
      <c r="M363" s="1157">
        <f t="shared" si="27"/>
        <v>0</v>
      </c>
      <c r="N363" s="893">
        <f t="shared" si="31"/>
        <v>0</v>
      </c>
      <c r="O363" s="905"/>
      <c r="P363" s="58" t="str">
        <f>IF(N360&gt;0,"xx",IF(N360&gt;0,"xy",""))</f>
        <v/>
      </c>
      <c r="Q363" s="317" t="str">
        <f t="shared" si="28"/>
        <v/>
      </c>
      <c r="R363" s="317" t="str">
        <f t="shared" si="29"/>
        <v/>
      </c>
      <c r="S363" s="317" t="str">
        <f t="shared" si="30"/>
        <v/>
      </c>
      <c r="T363" s="317" t="str">
        <f>GLOBAL_DER_FEV_2023!S363</f>
        <v/>
      </c>
      <c r="W363" s="582">
        <v>0</v>
      </c>
      <c r="X363" s="580"/>
      <c r="Y363" s="583">
        <f>IF(GLOBAL_DER_FEV_2023!W363=0,0,IF(GLOBAL_DER_FEV_2023!W363&gt;0,"c","b"))</f>
        <v>0</v>
      </c>
    </row>
    <row r="364" spans="1:25" x14ac:dyDescent="0.2">
      <c r="A364" s="317" t="s">
        <v>147</v>
      </c>
      <c r="B364" s="895" t="s">
        <v>147</v>
      </c>
      <c r="C364" s="896"/>
      <c r="D364" s="957" t="s">
        <v>244</v>
      </c>
      <c r="E364" s="907">
        <f>GLOBAL_DER_FEV_2023!E364</f>
        <v>22</v>
      </c>
      <c r="F364" s="908">
        <f>GLOBAL_DER_FEV_2023!F364</f>
        <v>1</v>
      </c>
      <c r="G364" s="912">
        <f>GLOBAL_DER_FEV_2023!G364</f>
        <v>29.990000000000002</v>
      </c>
      <c r="H364" s="901">
        <f>GLOBAL_DER_FEV_2023!H364</f>
        <v>0</v>
      </c>
      <c r="I364" s="901">
        <f>GLOBAL_DER_FEV_2023!I364</f>
        <v>0</v>
      </c>
      <c r="J364" s="902">
        <f>GLOBAL_DER_FEV_2023!J364</f>
        <v>0</v>
      </c>
      <c r="K364" s="903" t="s">
        <v>507</v>
      </c>
      <c r="L364" s="1003"/>
      <c r="M364" s="1157">
        <f t="shared" si="27"/>
        <v>0</v>
      </c>
      <c r="N364" s="893">
        <f t="shared" si="31"/>
        <v>0</v>
      </c>
      <c r="O364" s="905"/>
      <c r="P364" s="58" t="str">
        <f>IF(N360&gt;0,"xx",IF(N360&gt;0,"xy",""))</f>
        <v/>
      </c>
      <c r="Q364" s="317" t="str">
        <f t="shared" si="28"/>
        <v/>
      </c>
      <c r="R364" s="317" t="str">
        <f t="shared" si="29"/>
        <v/>
      </c>
      <c r="S364" s="317" t="str">
        <f t="shared" si="30"/>
        <v/>
      </c>
      <c r="T364" s="317" t="str">
        <f>GLOBAL_DER_FEV_2023!S364</f>
        <v/>
      </c>
      <c r="W364" s="582">
        <v>0</v>
      </c>
      <c r="X364" s="580"/>
      <c r="Y364" s="583">
        <f>IF(GLOBAL_DER_FEV_2023!W364=0,0,IF(GLOBAL_DER_FEV_2023!W364&gt;0,"c","b"))</f>
        <v>0</v>
      </c>
    </row>
    <row r="365" spans="1:25" ht="13.5" thickBot="1" x14ac:dyDescent="0.25">
      <c r="A365" s="317">
        <v>589000</v>
      </c>
      <c r="B365" s="1004" t="s">
        <v>710</v>
      </c>
      <c r="C365" s="984" t="s">
        <v>213</v>
      </c>
      <c r="D365" s="1012" t="s">
        <v>2177</v>
      </c>
      <c r="E365" s="1020">
        <f>GLOBAL_DER_FEV_2023!E365</f>
        <v>45</v>
      </c>
      <c r="F365" s="1006">
        <f>GLOBAL_DER_FEV_2023!F365</f>
        <v>1</v>
      </c>
      <c r="G365" s="949">
        <f>GLOBAL_DER_FEV_2023!G365</f>
        <v>88.36</v>
      </c>
      <c r="H365" s="988">
        <f>GLOBAL_DER_FEV_2023!H365</f>
        <v>4828.8599999999997</v>
      </c>
      <c r="I365" s="988">
        <f>GLOBAL_DER_FEV_2023!I365</f>
        <v>4724.580378112767</v>
      </c>
      <c r="J365" s="989">
        <f>GLOBAL_DER_FEV_2023!J365</f>
        <v>5672.8</v>
      </c>
      <c r="K365" s="990" t="s">
        <v>14</v>
      </c>
      <c r="L365" s="1154">
        <f>ROUND(L360*$F360,2)</f>
        <v>0</v>
      </c>
      <c r="M365" s="1159">
        <f t="shared" si="27"/>
        <v>0</v>
      </c>
      <c r="N365" s="993">
        <f t="shared" si="31"/>
        <v>0</v>
      </c>
      <c r="O365" s="905"/>
      <c r="P365" s="58" t="str">
        <f>IF(N360&gt;0,"xx",IF(N360&gt;0,"xy",""))</f>
        <v/>
      </c>
      <c r="Q365" s="317" t="str">
        <f t="shared" si="28"/>
        <v/>
      </c>
      <c r="R365" s="317" t="str">
        <f t="shared" si="29"/>
        <v/>
      </c>
      <c r="S365" s="317" t="str">
        <f t="shared" si="30"/>
        <v/>
      </c>
      <c r="T365" s="317" t="str">
        <f>GLOBAL_DER_FEV_2023!S365</f>
        <v/>
      </c>
      <c r="W365" s="582">
        <v>0</v>
      </c>
      <c r="X365" s="580"/>
      <c r="Y365" s="583">
        <f>IF(GLOBAL_DER_FEV_2023!W365=0,0,IF(GLOBAL_DER_FEV_2023!W365&gt;0,"c","b"))</f>
        <v>0</v>
      </c>
    </row>
    <row r="366" spans="1:25" x14ac:dyDescent="0.2">
      <c r="A366" s="317">
        <v>570140</v>
      </c>
      <c r="B366" s="999">
        <v>570140</v>
      </c>
      <c r="C366" s="1000" t="s">
        <v>184</v>
      </c>
      <c r="D366" s="1019" t="s">
        <v>597</v>
      </c>
      <c r="E366" s="974" t="str">
        <f>GLOBAL_DER_FEV_2023!E366</f>
        <v>taxa CAP</v>
      </c>
      <c r="F366" s="975">
        <f>GLOBAL_DER_FEV_2023!F366</f>
        <v>0.05</v>
      </c>
      <c r="G366" s="976">
        <f>GLOBAL_DER_FEV_2023!G366</f>
        <v>53.140143399999999</v>
      </c>
      <c r="H366" s="977">
        <f>GLOBAL_DER_FEV_2023!H366</f>
        <v>281.31</v>
      </c>
      <c r="I366" s="977">
        <f>GLOBAL_DER_FEV_2023!I366</f>
        <v>334.4501434</v>
      </c>
      <c r="J366" s="978">
        <f>GLOBAL_DER_FEV_2023!J366</f>
        <v>401.57</v>
      </c>
      <c r="K366" s="979" t="s">
        <v>14</v>
      </c>
      <c r="L366" s="1152"/>
      <c r="M366" s="1153">
        <f t="shared" si="27"/>
        <v>0</v>
      </c>
      <c r="N366" s="982">
        <f t="shared" si="31"/>
        <v>0</v>
      </c>
      <c r="O366" s="905"/>
      <c r="Q366" s="317" t="str">
        <f t="shared" si="28"/>
        <v/>
      </c>
      <c r="R366" s="317" t="str">
        <f t="shared" si="29"/>
        <v/>
      </c>
      <c r="S366" s="317" t="str">
        <f t="shared" si="30"/>
        <v/>
      </c>
      <c r="T366" s="317" t="str">
        <f>GLOBAL_DER_FEV_2023!S366</f>
        <v/>
      </c>
      <c r="W366" s="582">
        <v>0</v>
      </c>
      <c r="X366" s="580"/>
      <c r="Y366" s="583">
        <f>IF(GLOBAL_DER_FEV_2023!W366=0,0,IF(GLOBAL_DER_FEV_2023!W366&gt;0,"c","b"))</f>
        <v>0</v>
      </c>
    </row>
    <row r="367" spans="1:25" x14ac:dyDescent="0.2">
      <c r="A367" s="317" t="s">
        <v>147</v>
      </c>
      <c r="B367" s="895" t="s">
        <v>147</v>
      </c>
      <c r="C367" s="896"/>
      <c r="D367" s="957" t="s">
        <v>229</v>
      </c>
      <c r="E367" s="907">
        <f>GLOBAL_DER_FEV_2023!E367</f>
        <v>150</v>
      </c>
      <c r="F367" s="908">
        <f>GLOBAL_DER_FEV_2023!F367</f>
        <v>0.1007</v>
      </c>
      <c r="G367" s="949">
        <f>GLOBAL_DER_FEV_2023!G367</f>
        <v>16.432226</v>
      </c>
      <c r="H367" s="901">
        <f>GLOBAL_DER_FEV_2023!H367</f>
        <v>0</v>
      </c>
      <c r="I367" s="901">
        <f>GLOBAL_DER_FEV_2023!I367</f>
        <v>0</v>
      </c>
      <c r="J367" s="902">
        <f>GLOBAL_DER_FEV_2023!J367</f>
        <v>0</v>
      </c>
      <c r="K367" s="958" t="s">
        <v>507</v>
      </c>
      <c r="L367" s="1003"/>
      <c r="M367" s="1157">
        <f t="shared" si="27"/>
        <v>0</v>
      </c>
      <c r="N367" s="893">
        <f t="shared" si="31"/>
        <v>0</v>
      </c>
      <c r="O367" s="905"/>
      <c r="P367" s="58" t="str">
        <f>IF(N366&gt;0,"xx",IF(N366&gt;0,"xy",""))</f>
        <v/>
      </c>
      <c r="Q367" s="317" t="str">
        <f t="shared" si="28"/>
        <v/>
      </c>
      <c r="R367" s="317" t="str">
        <f t="shared" si="29"/>
        <v/>
      </c>
      <c r="S367" s="317" t="str">
        <f t="shared" si="30"/>
        <v/>
      </c>
      <c r="T367" s="317" t="str">
        <f>GLOBAL_DER_FEV_2023!S367</f>
        <v/>
      </c>
      <c r="W367" s="582">
        <v>0</v>
      </c>
      <c r="X367" s="580"/>
      <c r="Y367" s="583">
        <f>IF(GLOBAL_DER_FEV_2023!W367=0,0,IF(GLOBAL_DER_FEV_2023!W367&gt;0,"c","b"))</f>
        <v>0</v>
      </c>
    </row>
    <row r="368" spans="1:25" x14ac:dyDescent="0.2">
      <c r="A368" s="317" t="s">
        <v>147</v>
      </c>
      <c r="B368" s="895" t="s">
        <v>147</v>
      </c>
      <c r="C368" s="896"/>
      <c r="D368" s="957" t="s">
        <v>230</v>
      </c>
      <c r="E368" s="907">
        <f>GLOBAL_DER_FEV_2023!E368</f>
        <v>353</v>
      </c>
      <c r="F368" s="908">
        <f>GLOBAL_DER_FEV_2023!F368</f>
        <v>1.52E-2</v>
      </c>
      <c r="G368" s="909">
        <f>GLOBAL_DER_FEV_2023!G368</f>
        <v>4.3040320000000003</v>
      </c>
      <c r="H368" s="901">
        <f>GLOBAL_DER_FEV_2023!H368</f>
        <v>0</v>
      </c>
      <c r="I368" s="901">
        <f>GLOBAL_DER_FEV_2023!I368</f>
        <v>0</v>
      </c>
      <c r="J368" s="902">
        <f>GLOBAL_DER_FEV_2023!J368</f>
        <v>0</v>
      </c>
      <c r="K368" s="958" t="s">
        <v>507</v>
      </c>
      <c r="L368" s="1003"/>
      <c r="M368" s="1157">
        <f t="shared" si="27"/>
        <v>0</v>
      </c>
      <c r="N368" s="893">
        <f t="shared" si="31"/>
        <v>0</v>
      </c>
      <c r="O368" s="905"/>
      <c r="P368" s="58" t="str">
        <f>IF(N366&gt;0,"xx",IF(N366&gt;0,"xy",""))</f>
        <v/>
      </c>
      <c r="Q368" s="317" t="str">
        <f t="shared" si="28"/>
        <v/>
      </c>
      <c r="R368" s="317" t="str">
        <f t="shared" si="29"/>
        <v/>
      </c>
      <c r="S368" s="317" t="str">
        <f t="shared" si="30"/>
        <v/>
      </c>
      <c r="T368" s="317" t="str">
        <f>GLOBAL_DER_FEV_2023!S368</f>
        <v/>
      </c>
      <c r="W368" s="582">
        <v>0</v>
      </c>
      <c r="X368" s="580"/>
      <c r="Y368" s="583">
        <f>IF(GLOBAL_DER_FEV_2023!W368=0,0,IF(GLOBAL_DER_FEV_2023!W368&gt;0,"c","b"))</f>
        <v>0</v>
      </c>
    </row>
    <row r="369" spans="1:25" x14ac:dyDescent="0.2">
      <c r="A369" s="317" t="s">
        <v>147</v>
      </c>
      <c r="B369" s="895" t="s">
        <v>147</v>
      </c>
      <c r="C369" s="896"/>
      <c r="D369" s="957" t="s">
        <v>243</v>
      </c>
      <c r="E369" s="907">
        <f>GLOBAL_DER_FEV_2023!E369</f>
        <v>0.2</v>
      </c>
      <c r="F369" s="908">
        <f>GLOBAL_DER_FEV_2023!F369</f>
        <v>0.83409999999999995</v>
      </c>
      <c r="G369" s="949">
        <f>GLOBAL_DER_FEV_2023!G369</f>
        <v>2.4138853999999998</v>
      </c>
      <c r="H369" s="901">
        <f>GLOBAL_DER_FEV_2023!H369</f>
        <v>0</v>
      </c>
      <c r="I369" s="901">
        <f>GLOBAL_DER_FEV_2023!I369</f>
        <v>0</v>
      </c>
      <c r="J369" s="902">
        <f>GLOBAL_DER_FEV_2023!J369</f>
        <v>0</v>
      </c>
      <c r="K369" s="958" t="s">
        <v>507</v>
      </c>
      <c r="L369" s="1003"/>
      <c r="M369" s="1157">
        <f t="shared" si="27"/>
        <v>0</v>
      </c>
      <c r="N369" s="893">
        <f t="shared" si="31"/>
        <v>0</v>
      </c>
      <c r="O369" s="905"/>
      <c r="P369" s="58" t="str">
        <f>IF(N366&gt;0,"xx",IF(N366&gt;0,"xy",""))</f>
        <v/>
      </c>
      <c r="Q369" s="317" t="str">
        <f t="shared" si="28"/>
        <v/>
      </c>
      <c r="R369" s="317" t="str">
        <f t="shared" si="29"/>
        <v/>
      </c>
      <c r="S369" s="317" t="str">
        <f t="shared" si="30"/>
        <v/>
      </c>
      <c r="T369" s="317" t="str">
        <f>GLOBAL_DER_FEV_2023!S369</f>
        <v/>
      </c>
      <c r="W369" s="582">
        <v>0</v>
      </c>
      <c r="X369" s="580"/>
      <c r="Y369" s="583">
        <f>IF(GLOBAL_DER_FEV_2023!W369=0,0,IF(GLOBAL_DER_FEV_2023!W369&gt;0,"c","b"))</f>
        <v>0</v>
      </c>
    </row>
    <row r="370" spans="1:25" x14ac:dyDescent="0.2">
      <c r="A370" s="317" t="s">
        <v>147</v>
      </c>
      <c r="B370" s="895" t="s">
        <v>147</v>
      </c>
      <c r="C370" s="896"/>
      <c r="D370" s="957" t="s">
        <v>244</v>
      </c>
      <c r="E370" s="907">
        <f>GLOBAL_DER_FEV_2023!E370</f>
        <v>22</v>
      </c>
      <c r="F370" s="908">
        <f>GLOBAL_DER_FEV_2023!F370</f>
        <v>1</v>
      </c>
      <c r="G370" s="912">
        <f>GLOBAL_DER_FEV_2023!G370</f>
        <v>29.990000000000002</v>
      </c>
      <c r="H370" s="901">
        <f>GLOBAL_DER_FEV_2023!H370</f>
        <v>0</v>
      </c>
      <c r="I370" s="901">
        <f>GLOBAL_DER_FEV_2023!I370</f>
        <v>0</v>
      </c>
      <c r="J370" s="902">
        <f>GLOBAL_DER_FEV_2023!J370</f>
        <v>0</v>
      </c>
      <c r="K370" s="958" t="s">
        <v>507</v>
      </c>
      <c r="L370" s="1003"/>
      <c r="M370" s="1157">
        <f t="shared" si="27"/>
        <v>0</v>
      </c>
      <c r="N370" s="893">
        <f t="shared" si="31"/>
        <v>0</v>
      </c>
      <c r="O370" s="905"/>
      <c r="P370" s="58" t="str">
        <f>IF(N366&gt;0,"xx",IF(N366&gt;0,"xy",""))</f>
        <v/>
      </c>
      <c r="Q370" s="317" t="str">
        <f t="shared" si="28"/>
        <v/>
      </c>
      <c r="R370" s="317" t="str">
        <f t="shared" si="29"/>
        <v/>
      </c>
      <c r="S370" s="317" t="str">
        <f t="shared" si="30"/>
        <v/>
      </c>
      <c r="T370" s="317" t="str">
        <f>GLOBAL_DER_FEV_2023!S370</f>
        <v/>
      </c>
      <c r="W370" s="582">
        <v>0</v>
      </c>
      <c r="X370" s="580"/>
      <c r="Y370" s="583">
        <f>IF(GLOBAL_DER_FEV_2023!W370=0,0,IF(GLOBAL_DER_FEV_2023!W370&gt;0,"c","b"))</f>
        <v>0</v>
      </c>
    </row>
    <row r="371" spans="1:25" ht="13.5" thickBot="1" x14ac:dyDescent="0.25">
      <c r="A371" s="317">
        <v>589000</v>
      </c>
      <c r="B371" s="1004" t="s">
        <v>711</v>
      </c>
      <c r="C371" s="984" t="s">
        <v>213</v>
      </c>
      <c r="D371" s="1012" t="s">
        <v>2172</v>
      </c>
      <c r="E371" s="1005">
        <f>GLOBAL_DER_FEV_2023!E371</f>
        <v>45</v>
      </c>
      <c r="F371" s="1006">
        <f>GLOBAL_DER_FEV_2023!F371</f>
        <v>1</v>
      </c>
      <c r="G371" s="949">
        <f>GLOBAL_DER_FEV_2023!G371</f>
        <v>88.36</v>
      </c>
      <c r="H371" s="988">
        <f>GLOBAL_DER_FEV_2023!H371</f>
        <v>4828.8599999999997</v>
      </c>
      <c r="I371" s="988">
        <f>GLOBAL_DER_FEV_2023!I371</f>
        <v>4724.580378112767</v>
      </c>
      <c r="J371" s="989">
        <f>GLOBAL_DER_FEV_2023!J371</f>
        <v>5672.8</v>
      </c>
      <c r="K371" s="990" t="s">
        <v>14</v>
      </c>
      <c r="L371" s="1154">
        <f>ROUND(L366*$F366,2)</f>
        <v>0</v>
      </c>
      <c r="M371" s="1159">
        <f t="shared" si="27"/>
        <v>0</v>
      </c>
      <c r="N371" s="993">
        <f t="shared" si="31"/>
        <v>0</v>
      </c>
      <c r="O371" s="905"/>
      <c r="P371" s="58" t="str">
        <f>IF(N366&gt;0,"xx",IF(N366&gt;0,"xy",""))</f>
        <v/>
      </c>
      <c r="Q371" s="317" t="str">
        <f t="shared" si="28"/>
        <v/>
      </c>
      <c r="R371" s="317" t="str">
        <f t="shared" si="29"/>
        <v/>
      </c>
      <c r="S371" s="317" t="str">
        <f t="shared" si="30"/>
        <v/>
      </c>
      <c r="T371" s="317" t="str">
        <f>GLOBAL_DER_FEV_2023!S371</f>
        <v/>
      </c>
      <c r="W371" s="582">
        <v>0</v>
      </c>
      <c r="X371" s="580"/>
      <c r="Y371" s="583">
        <f>IF(GLOBAL_DER_FEV_2023!W371=0,0,IF(GLOBAL_DER_FEV_2023!W371&gt;0,"c","b"))</f>
        <v>0</v>
      </c>
    </row>
    <row r="372" spans="1:25" x14ac:dyDescent="0.2">
      <c r="A372" s="317">
        <v>570170</v>
      </c>
      <c r="B372" s="999">
        <v>570170</v>
      </c>
      <c r="C372" s="1000" t="s">
        <v>184</v>
      </c>
      <c r="D372" s="1019" t="s">
        <v>598</v>
      </c>
      <c r="E372" s="974" t="str">
        <f>GLOBAL_DER_FEV_2023!E372</f>
        <v>taxa CAP</v>
      </c>
      <c r="F372" s="975">
        <f>GLOBAL_DER_FEV_2023!F372</f>
        <v>0.05</v>
      </c>
      <c r="G372" s="976">
        <f>GLOBAL_DER_FEV_2023!G372</f>
        <v>53.140143399999999</v>
      </c>
      <c r="H372" s="977">
        <f>GLOBAL_DER_FEV_2023!H372</f>
        <v>209.01</v>
      </c>
      <c r="I372" s="977">
        <f>GLOBAL_DER_FEV_2023!I372</f>
        <v>262.15014339999999</v>
      </c>
      <c r="J372" s="978">
        <f>GLOBAL_DER_FEV_2023!J372</f>
        <v>314.76</v>
      </c>
      <c r="K372" s="979" t="s">
        <v>14</v>
      </c>
      <c r="L372" s="1152"/>
      <c r="M372" s="1153">
        <f t="shared" si="27"/>
        <v>0</v>
      </c>
      <c r="N372" s="982">
        <f t="shared" si="31"/>
        <v>0</v>
      </c>
      <c r="O372" s="905"/>
      <c r="Q372" s="317" t="str">
        <f t="shared" si="28"/>
        <v/>
      </c>
      <c r="R372" s="317" t="str">
        <f t="shared" si="29"/>
        <v/>
      </c>
      <c r="S372" s="317" t="str">
        <f t="shared" si="30"/>
        <v/>
      </c>
      <c r="T372" s="317" t="str">
        <f>GLOBAL_DER_FEV_2023!S372</f>
        <v/>
      </c>
      <c r="W372" s="582">
        <v>0</v>
      </c>
      <c r="X372" s="580"/>
      <c r="Y372" s="583">
        <f>IF(GLOBAL_DER_FEV_2023!W372=0,0,IF(GLOBAL_DER_FEV_2023!W372&gt;0,"c","b"))</f>
        <v>0</v>
      </c>
    </row>
    <row r="373" spans="1:25" x14ac:dyDescent="0.2">
      <c r="A373" s="317" t="s">
        <v>147</v>
      </c>
      <c r="B373" s="895" t="s">
        <v>147</v>
      </c>
      <c r="C373" s="896"/>
      <c r="D373" s="957" t="s">
        <v>229</v>
      </c>
      <c r="E373" s="907">
        <f>GLOBAL_DER_FEV_2023!E373</f>
        <v>150</v>
      </c>
      <c r="F373" s="908">
        <f>GLOBAL_DER_FEV_2023!F373</f>
        <v>0.1007</v>
      </c>
      <c r="G373" s="949">
        <f>GLOBAL_DER_FEV_2023!G373</f>
        <v>16.432226</v>
      </c>
      <c r="H373" s="901">
        <f>GLOBAL_DER_FEV_2023!H373</f>
        <v>0</v>
      </c>
      <c r="I373" s="901">
        <f>GLOBAL_DER_FEV_2023!I373</f>
        <v>0</v>
      </c>
      <c r="J373" s="902">
        <f>GLOBAL_DER_FEV_2023!J373</f>
        <v>0</v>
      </c>
      <c r="K373" s="958" t="s">
        <v>507</v>
      </c>
      <c r="L373" s="1003"/>
      <c r="M373" s="1157">
        <f t="shared" si="27"/>
        <v>0</v>
      </c>
      <c r="N373" s="893">
        <f t="shared" si="31"/>
        <v>0</v>
      </c>
      <c r="O373" s="905"/>
      <c r="P373" s="58" t="str">
        <f>IF(N372&gt;0,"xx",IF(N372&gt;0,"xy",""))</f>
        <v/>
      </c>
      <c r="Q373" s="317" t="str">
        <f t="shared" si="28"/>
        <v/>
      </c>
      <c r="R373" s="317" t="str">
        <f t="shared" si="29"/>
        <v/>
      </c>
      <c r="S373" s="317" t="str">
        <f t="shared" si="30"/>
        <v/>
      </c>
      <c r="T373" s="317" t="str">
        <f>GLOBAL_DER_FEV_2023!S373</f>
        <v/>
      </c>
      <c r="W373" s="582">
        <v>0</v>
      </c>
      <c r="X373" s="580"/>
      <c r="Y373" s="583">
        <f>IF(GLOBAL_DER_FEV_2023!W373=0,0,IF(GLOBAL_DER_FEV_2023!W373&gt;0,"c","b"))</f>
        <v>0</v>
      </c>
    </row>
    <row r="374" spans="1:25" x14ac:dyDescent="0.2">
      <c r="A374" s="317" t="s">
        <v>147</v>
      </c>
      <c r="B374" s="895" t="s">
        <v>147</v>
      </c>
      <c r="C374" s="896"/>
      <c r="D374" s="957" t="s">
        <v>230</v>
      </c>
      <c r="E374" s="907">
        <f>GLOBAL_DER_FEV_2023!E374</f>
        <v>353</v>
      </c>
      <c r="F374" s="908">
        <f>GLOBAL_DER_FEV_2023!F374</f>
        <v>1.52E-2</v>
      </c>
      <c r="G374" s="909">
        <f>GLOBAL_DER_FEV_2023!G374</f>
        <v>4.3040320000000003</v>
      </c>
      <c r="H374" s="901">
        <f>GLOBAL_DER_FEV_2023!H374</f>
        <v>0</v>
      </c>
      <c r="I374" s="901">
        <f>GLOBAL_DER_FEV_2023!I374</f>
        <v>0</v>
      </c>
      <c r="J374" s="902">
        <f>GLOBAL_DER_FEV_2023!J374</f>
        <v>0</v>
      </c>
      <c r="K374" s="958" t="s">
        <v>507</v>
      </c>
      <c r="L374" s="1003"/>
      <c r="M374" s="1157">
        <f t="shared" si="27"/>
        <v>0</v>
      </c>
      <c r="N374" s="893">
        <f t="shared" si="31"/>
        <v>0</v>
      </c>
      <c r="O374" s="905"/>
      <c r="P374" s="58" t="str">
        <f>IF(N372&gt;0,"xx",IF(N372&gt;0,"xy",""))</f>
        <v/>
      </c>
      <c r="Q374" s="317" t="str">
        <f t="shared" si="28"/>
        <v/>
      </c>
      <c r="R374" s="317" t="str">
        <f t="shared" si="29"/>
        <v/>
      </c>
      <c r="S374" s="317" t="str">
        <f t="shared" si="30"/>
        <v/>
      </c>
      <c r="T374" s="317" t="str">
        <f>GLOBAL_DER_FEV_2023!S374</f>
        <v/>
      </c>
      <c r="W374" s="582">
        <v>0</v>
      </c>
      <c r="X374" s="580"/>
      <c r="Y374" s="583">
        <f>IF(GLOBAL_DER_FEV_2023!W374=0,0,IF(GLOBAL_DER_FEV_2023!W374&gt;0,"c","b"))</f>
        <v>0</v>
      </c>
    </row>
    <row r="375" spans="1:25" x14ac:dyDescent="0.2">
      <c r="A375" s="317" t="s">
        <v>147</v>
      </c>
      <c r="B375" s="895" t="s">
        <v>147</v>
      </c>
      <c r="C375" s="896"/>
      <c r="D375" s="957" t="s">
        <v>243</v>
      </c>
      <c r="E375" s="907">
        <f>GLOBAL_DER_FEV_2023!E375</f>
        <v>0.2</v>
      </c>
      <c r="F375" s="908">
        <f>GLOBAL_DER_FEV_2023!F375</f>
        <v>0.83409999999999995</v>
      </c>
      <c r="G375" s="949">
        <f>GLOBAL_DER_FEV_2023!G375</f>
        <v>2.4138853999999998</v>
      </c>
      <c r="H375" s="901">
        <f>GLOBAL_DER_FEV_2023!H375</f>
        <v>0</v>
      </c>
      <c r="I375" s="901">
        <f>GLOBAL_DER_FEV_2023!I375</f>
        <v>0</v>
      </c>
      <c r="J375" s="902">
        <f>GLOBAL_DER_FEV_2023!J375</f>
        <v>0</v>
      </c>
      <c r="K375" s="958" t="s">
        <v>507</v>
      </c>
      <c r="L375" s="1003"/>
      <c r="M375" s="1157">
        <f t="shared" si="27"/>
        <v>0</v>
      </c>
      <c r="N375" s="893">
        <f t="shared" si="31"/>
        <v>0</v>
      </c>
      <c r="O375" s="905"/>
      <c r="P375" s="58" t="str">
        <f>IF(N372&gt;0,"xx",IF(N372&gt;0,"xy",""))</f>
        <v/>
      </c>
      <c r="Q375" s="317" t="str">
        <f t="shared" si="28"/>
        <v/>
      </c>
      <c r="R375" s="317" t="str">
        <f t="shared" si="29"/>
        <v/>
      </c>
      <c r="S375" s="317" t="str">
        <f t="shared" si="30"/>
        <v/>
      </c>
      <c r="T375" s="317" t="str">
        <f>GLOBAL_DER_FEV_2023!S375</f>
        <v/>
      </c>
      <c r="W375" s="582">
        <v>0</v>
      </c>
      <c r="X375" s="580"/>
      <c r="Y375" s="583">
        <f>IF(GLOBAL_DER_FEV_2023!W375=0,0,IF(GLOBAL_DER_FEV_2023!W375&gt;0,"c","b"))</f>
        <v>0</v>
      </c>
    </row>
    <row r="376" spans="1:25" x14ac:dyDescent="0.2">
      <c r="A376" s="317" t="s">
        <v>147</v>
      </c>
      <c r="B376" s="895" t="s">
        <v>147</v>
      </c>
      <c r="C376" s="896"/>
      <c r="D376" s="957" t="s">
        <v>244</v>
      </c>
      <c r="E376" s="907">
        <f>GLOBAL_DER_FEV_2023!E376</f>
        <v>22</v>
      </c>
      <c r="F376" s="908">
        <f>GLOBAL_DER_FEV_2023!F376</f>
        <v>1</v>
      </c>
      <c r="G376" s="912">
        <f>GLOBAL_DER_FEV_2023!G376</f>
        <v>29.990000000000002</v>
      </c>
      <c r="H376" s="901">
        <f>GLOBAL_DER_FEV_2023!H376</f>
        <v>0</v>
      </c>
      <c r="I376" s="901">
        <f>GLOBAL_DER_FEV_2023!I376</f>
        <v>0</v>
      </c>
      <c r="J376" s="902">
        <f>GLOBAL_DER_FEV_2023!J376</f>
        <v>0</v>
      </c>
      <c r="K376" s="958" t="s">
        <v>507</v>
      </c>
      <c r="L376" s="1003"/>
      <c r="M376" s="1157">
        <f t="shared" si="27"/>
        <v>0</v>
      </c>
      <c r="N376" s="893">
        <f t="shared" si="31"/>
        <v>0</v>
      </c>
      <c r="O376" s="905"/>
      <c r="P376" s="58" t="str">
        <f>IF(N372&gt;0,"xx",IF(N372&gt;0,"xy",""))</f>
        <v/>
      </c>
      <c r="Q376" s="317" t="str">
        <f t="shared" si="28"/>
        <v/>
      </c>
      <c r="R376" s="317" t="str">
        <f t="shared" si="29"/>
        <v/>
      </c>
      <c r="S376" s="317" t="str">
        <f t="shared" si="30"/>
        <v/>
      </c>
      <c r="T376" s="317" t="str">
        <f>GLOBAL_DER_FEV_2023!S376</f>
        <v/>
      </c>
      <c r="W376" s="582">
        <v>0</v>
      </c>
      <c r="X376" s="580"/>
      <c r="Y376" s="583">
        <f>IF(GLOBAL_DER_FEV_2023!W376=0,0,IF(GLOBAL_DER_FEV_2023!W376&gt;0,"c","b"))</f>
        <v>0</v>
      </c>
    </row>
    <row r="377" spans="1:25" ht="13.5" thickBot="1" x14ac:dyDescent="0.25">
      <c r="A377" s="317">
        <v>589000</v>
      </c>
      <c r="B377" s="1004" t="s">
        <v>712</v>
      </c>
      <c r="C377" s="984" t="s">
        <v>213</v>
      </c>
      <c r="D377" s="1012" t="s">
        <v>2172</v>
      </c>
      <c r="E377" s="1005">
        <f>GLOBAL_DER_FEV_2023!E377</f>
        <v>45</v>
      </c>
      <c r="F377" s="1006">
        <f>GLOBAL_DER_FEV_2023!F377</f>
        <v>1</v>
      </c>
      <c r="G377" s="949">
        <f>GLOBAL_DER_FEV_2023!G377</f>
        <v>88.36</v>
      </c>
      <c r="H377" s="988">
        <f>GLOBAL_DER_FEV_2023!H377</f>
        <v>4828.8599999999997</v>
      </c>
      <c r="I377" s="988">
        <f>GLOBAL_DER_FEV_2023!I377</f>
        <v>4724.580378112767</v>
      </c>
      <c r="J377" s="989">
        <f>GLOBAL_DER_FEV_2023!J377</f>
        <v>5672.8</v>
      </c>
      <c r="K377" s="990" t="s">
        <v>14</v>
      </c>
      <c r="L377" s="1154">
        <f>ROUND(L372*$F372,2)</f>
        <v>0</v>
      </c>
      <c r="M377" s="1159">
        <f t="shared" si="27"/>
        <v>0</v>
      </c>
      <c r="N377" s="993">
        <f t="shared" si="31"/>
        <v>0</v>
      </c>
      <c r="O377" s="905"/>
      <c r="P377" s="58" t="str">
        <f>IF(N372&gt;0,"xx",IF(N372&gt;0,"xy",""))</f>
        <v/>
      </c>
      <c r="Q377" s="317" t="str">
        <f t="shared" si="28"/>
        <v/>
      </c>
      <c r="R377" s="317" t="str">
        <f t="shared" si="29"/>
        <v/>
      </c>
      <c r="S377" s="317" t="str">
        <f t="shared" si="30"/>
        <v/>
      </c>
      <c r="T377" s="317" t="str">
        <f>GLOBAL_DER_FEV_2023!S377</f>
        <v/>
      </c>
      <c r="W377" s="582">
        <v>0</v>
      </c>
      <c r="X377" s="580"/>
      <c r="Y377" s="583">
        <f>IF(GLOBAL_DER_FEV_2023!W377=0,0,IF(GLOBAL_DER_FEV_2023!W377&gt;0,"c","b"))</f>
        <v>0</v>
      </c>
    </row>
    <row r="378" spans="1:25" x14ac:dyDescent="0.2">
      <c r="A378" s="317">
        <v>570200</v>
      </c>
      <c r="B378" s="999">
        <v>570200</v>
      </c>
      <c r="C378" s="1000" t="s">
        <v>184</v>
      </c>
      <c r="D378" s="1019" t="s">
        <v>2220</v>
      </c>
      <c r="E378" s="974" t="str">
        <f>GLOBAL_DER_FEV_2023!E378</f>
        <v>taxa CAP</v>
      </c>
      <c r="F378" s="975">
        <f>GLOBAL_DER_FEV_2023!F378</f>
        <v>4.4999999999999998E-2</v>
      </c>
      <c r="G378" s="976">
        <f>GLOBAL_DER_FEV_2023!G378</f>
        <v>35.158060000000006</v>
      </c>
      <c r="H378" s="977">
        <f>GLOBAL_DER_FEV_2023!H378</f>
        <v>181.43</v>
      </c>
      <c r="I378" s="977">
        <f>GLOBAL_DER_FEV_2023!I378</f>
        <v>216.58806000000001</v>
      </c>
      <c r="J378" s="978">
        <f>GLOBAL_DER_FEV_2023!J378</f>
        <v>260.06</v>
      </c>
      <c r="K378" s="979" t="s">
        <v>14</v>
      </c>
      <c r="L378" s="1152"/>
      <c r="M378" s="1153">
        <f t="shared" si="27"/>
        <v>0</v>
      </c>
      <c r="N378" s="982">
        <f t="shared" si="31"/>
        <v>0</v>
      </c>
      <c r="O378" s="905"/>
      <c r="Q378" s="317" t="str">
        <f t="shared" si="28"/>
        <v/>
      </c>
      <c r="R378" s="317" t="str">
        <f t="shared" si="29"/>
        <v/>
      </c>
      <c r="S378" s="317" t="str">
        <f t="shared" si="30"/>
        <v/>
      </c>
      <c r="T378" s="317" t="str">
        <f>GLOBAL_DER_FEV_2023!S378</f>
        <v/>
      </c>
      <c r="W378" s="582">
        <v>0</v>
      </c>
      <c r="X378" s="580"/>
      <c r="Y378" s="583">
        <f>IF(GLOBAL_DER_FEV_2023!W378=0,0,IF(GLOBAL_DER_FEV_2023!W378&gt;0,"c","b"))</f>
        <v>0</v>
      </c>
    </row>
    <row r="379" spans="1:25" x14ac:dyDescent="0.2">
      <c r="A379" s="317" t="s">
        <v>147</v>
      </c>
      <c r="B379" s="895" t="s">
        <v>147</v>
      </c>
      <c r="C379" s="896"/>
      <c r="D379" s="957" t="s">
        <v>229</v>
      </c>
      <c r="E379" s="907">
        <f>GLOBAL_DER_FEV_2023!E379</f>
        <v>150</v>
      </c>
      <c r="F379" s="908">
        <f>GLOBAL_DER_FEV_2023!F379</f>
        <v>1.4999999999999999E-2</v>
      </c>
      <c r="G379" s="949">
        <f>GLOBAL_DER_FEV_2023!G379</f>
        <v>2.4477000000000002</v>
      </c>
      <c r="H379" s="901">
        <f>GLOBAL_DER_FEV_2023!H379</f>
        <v>0</v>
      </c>
      <c r="I379" s="901">
        <f>GLOBAL_DER_FEV_2023!I379</f>
        <v>0</v>
      </c>
      <c r="J379" s="902">
        <f>GLOBAL_DER_FEV_2023!J379</f>
        <v>0</v>
      </c>
      <c r="K379" s="958" t="s">
        <v>507</v>
      </c>
      <c r="L379" s="1003"/>
      <c r="M379" s="1157">
        <f t="shared" si="27"/>
        <v>0</v>
      </c>
      <c r="N379" s="893">
        <f t="shared" si="31"/>
        <v>0</v>
      </c>
      <c r="O379" s="905"/>
      <c r="P379" s="58" t="str">
        <f>IF(N378&gt;0,"xx",IF(N378&gt;0,"xy",""))</f>
        <v/>
      </c>
      <c r="Q379" s="317" t="str">
        <f t="shared" si="28"/>
        <v/>
      </c>
      <c r="R379" s="317" t="str">
        <f t="shared" si="29"/>
        <v/>
      </c>
      <c r="S379" s="317" t="str">
        <f t="shared" si="30"/>
        <v/>
      </c>
      <c r="T379" s="317" t="str">
        <f>GLOBAL_DER_FEV_2023!S379</f>
        <v/>
      </c>
      <c r="W379" s="582">
        <v>0</v>
      </c>
      <c r="X379" s="580"/>
      <c r="Y379" s="583">
        <f>IF(GLOBAL_DER_FEV_2023!W379=0,0,IF(GLOBAL_DER_FEV_2023!W379&gt;0,"c","b"))</f>
        <v>0</v>
      </c>
    </row>
    <row r="380" spans="1:25" x14ac:dyDescent="0.2">
      <c r="A380" s="317" t="s">
        <v>147</v>
      </c>
      <c r="B380" s="895" t="s">
        <v>147</v>
      </c>
      <c r="C380" s="896"/>
      <c r="D380" s="957" t="s">
        <v>230</v>
      </c>
      <c r="E380" s="907">
        <f>GLOBAL_DER_FEV_2023!E380</f>
        <v>353</v>
      </c>
      <c r="F380" s="908">
        <f>GLOBAL_DER_FEV_2023!F380</f>
        <v>0</v>
      </c>
      <c r="G380" s="909">
        <f>GLOBAL_DER_FEV_2023!G380</f>
        <v>0</v>
      </c>
      <c r="H380" s="901">
        <f>GLOBAL_DER_FEV_2023!H380</f>
        <v>0</v>
      </c>
      <c r="I380" s="901">
        <f>GLOBAL_DER_FEV_2023!I380</f>
        <v>0</v>
      </c>
      <c r="J380" s="902">
        <f>GLOBAL_DER_FEV_2023!J380</f>
        <v>0</v>
      </c>
      <c r="K380" s="958" t="s">
        <v>507</v>
      </c>
      <c r="L380" s="1003"/>
      <c r="M380" s="1157">
        <f t="shared" si="27"/>
        <v>0</v>
      </c>
      <c r="N380" s="893">
        <f t="shared" si="31"/>
        <v>0</v>
      </c>
      <c r="O380" s="905"/>
      <c r="P380" s="58" t="str">
        <f>IF(N378&gt;0,"xx",IF(N378&gt;0,"xy",""))</f>
        <v/>
      </c>
      <c r="Q380" s="317" t="str">
        <f t="shared" si="28"/>
        <v/>
      </c>
      <c r="R380" s="317" t="str">
        <f t="shared" si="29"/>
        <v/>
      </c>
      <c r="S380" s="317" t="str">
        <f t="shared" si="30"/>
        <v/>
      </c>
      <c r="T380" s="317" t="str">
        <f>GLOBAL_DER_FEV_2023!S380</f>
        <v/>
      </c>
      <c r="W380" s="582">
        <v>0</v>
      </c>
      <c r="X380" s="580"/>
      <c r="Y380" s="583">
        <f>IF(GLOBAL_DER_FEV_2023!W380=0,0,IF(GLOBAL_DER_FEV_2023!W380&gt;0,"c","b"))</f>
        <v>0</v>
      </c>
    </row>
    <row r="381" spans="1:25" x14ac:dyDescent="0.2">
      <c r="A381" s="317" t="s">
        <v>147</v>
      </c>
      <c r="B381" s="895" t="s">
        <v>147</v>
      </c>
      <c r="C381" s="896"/>
      <c r="D381" s="957" t="s">
        <v>243</v>
      </c>
      <c r="E381" s="907">
        <f>GLOBAL_DER_FEV_2023!E381</f>
        <v>0.2</v>
      </c>
      <c r="F381" s="908">
        <f>GLOBAL_DER_FEV_2023!F381</f>
        <v>0.94</v>
      </c>
      <c r="G381" s="949">
        <f>GLOBAL_DER_FEV_2023!G381</f>
        <v>2.7203599999999999</v>
      </c>
      <c r="H381" s="901">
        <f>GLOBAL_DER_FEV_2023!H381</f>
        <v>0</v>
      </c>
      <c r="I381" s="901">
        <f>GLOBAL_DER_FEV_2023!I381</f>
        <v>0</v>
      </c>
      <c r="J381" s="902">
        <f>GLOBAL_DER_FEV_2023!J381</f>
        <v>0</v>
      </c>
      <c r="K381" s="958" t="s">
        <v>507</v>
      </c>
      <c r="L381" s="1003"/>
      <c r="M381" s="1157">
        <f t="shared" si="27"/>
        <v>0</v>
      </c>
      <c r="N381" s="893">
        <f t="shared" si="31"/>
        <v>0</v>
      </c>
      <c r="O381" s="905"/>
      <c r="P381" s="58" t="str">
        <f>IF(N378&gt;0,"xx",IF(N378&gt;0,"xy",""))</f>
        <v/>
      </c>
      <c r="Q381" s="317" t="str">
        <f t="shared" si="28"/>
        <v/>
      </c>
      <c r="R381" s="317" t="str">
        <f t="shared" si="29"/>
        <v/>
      </c>
      <c r="S381" s="317" t="str">
        <f t="shared" si="30"/>
        <v/>
      </c>
      <c r="T381" s="317" t="str">
        <f>GLOBAL_DER_FEV_2023!S381</f>
        <v/>
      </c>
      <c r="W381" s="582">
        <v>0</v>
      </c>
      <c r="X381" s="580"/>
      <c r="Y381" s="583">
        <f>IF(GLOBAL_DER_FEV_2023!W381=0,0,IF(GLOBAL_DER_FEV_2023!W381&gt;0,"c","b"))</f>
        <v>0</v>
      </c>
    </row>
    <row r="382" spans="1:25" x14ac:dyDescent="0.2">
      <c r="A382" s="317" t="s">
        <v>147</v>
      </c>
      <c r="B382" s="895" t="s">
        <v>147</v>
      </c>
      <c r="C382" s="896"/>
      <c r="D382" s="957" t="s">
        <v>244</v>
      </c>
      <c r="E382" s="907">
        <f>GLOBAL_DER_FEV_2023!E382</f>
        <v>22</v>
      </c>
      <c r="F382" s="908">
        <f>GLOBAL_DER_FEV_2023!F382</f>
        <v>1</v>
      </c>
      <c r="G382" s="912">
        <f>GLOBAL_DER_FEV_2023!G382</f>
        <v>29.990000000000002</v>
      </c>
      <c r="H382" s="901">
        <f>GLOBAL_DER_FEV_2023!H382</f>
        <v>0</v>
      </c>
      <c r="I382" s="901">
        <f>GLOBAL_DER_FEV_2023!I382</f>
        <v>0</v>
      </c>
      <c r="J382" s="902">
        <f>GLOBAL_DER_FEV_2023!J382</f>
        <v>0</v>
      </c>
      <c r="K382" s="958" t="s">
        <v>507</v>
      </c>
      <c r="L382" s="1003"/>
      <c r="M382" s="1157">
        <f t="shared" si="27"/>
        <v>0</v>
      </c>
      <c r="N382" s="893">
        <f t="shared" si="31"/>
        <v>0</v>
      </c>
      <c r="O382" s="905"/>
      <c r="P382" s="58" t="str">
        <f>IF(N378&gt;0,"xx",IF(N378&gt;0,"xy",""))</f>
        <v/>
      </c>
      <c r="Q382" s="317" t="str">
        <f t="shared" si="28"/>
        <v/>
      </c>
      <c r="R382" s="317" t="str">
        <f t="shared" si="29"/>
        <v/>
      </c>
      <c r="S382" s="317" t="str">
        <f t="shared" si="30"/>
        <v/>
      </c>
      <c r="T382" s="317" t="str">
        <f>GLOBAL_DER_FEV_2023!S382</f>
        <v/>
      </c>
      <c r="W382" s="582">
        <v>0</v>
      </c>
      <c r="X382" s="580"/>
      <c r="Y382" s="583">
        <f>IF(GLOBAL_DER_FEV_2023!W382=0,0,IF(GLOBAL_DER_FEV_2023!W382&gt;0,"c","b"))</f>
        <v>0</v>
      </c>
    </row>
    <row r="383" spans="1:25" ht="13.5" thickBot="1" x14ac:dyDescent="0.25">
      <c r="A383" s="317">
        <v>589000</v>
      </c>
      <c r="B383" s="1004" t="s">
        <v>713</v>
      </c>
      <c r="C383" s="984" t="s">
        <v>213</v>
      </c>
      <c r="D383" s="1012" t="s">
        <v>2172</v>
      </c>
      <c r="E383" s="1005">
        <f>GLOBAL_DER_FEV_2023!E383</f>
        <v>45</v>
      </c>
      <c r="F383" s="1006">
        <f>GLOBAL_DER_FEV_2023!F383</f>
        <v>1</v>
      </c>
      <c r="G383" s="949">
        <f>GLOBAL_DER_FEV_2023!G383</f>
        <v>88.36</v>
      </c>
      <c r="H383" s="988">
        <f>GLOBAL_DER_FEV_2023!H383</f>
        <v>4828.8599999999997</v>
      </c>
      <c r="I383" s="988">
        <f>GLOBAL_DER_FEV_2023!I383</f>
        <v>4724.580378112767</v>
      </c>
      <c r="J383" s="989">
        <f>GLOBAL_DER_FEV_2023!J383</f>
        <v>5672.8</v>
      </c>
      <c r="K383" s="990" t="s">
        <v>14</v>
      </c>
      <c r="L383" s="1154">
        <f>ROUND(L378*$F378,2)</f>
        <v>0</v>
      </c>
      <c r="M383" s="1159">
        <f t="shared" si="27"/>
        <v>0</v>
      </c>
      <c r="N383" s="993">
        <f t="shared" si="31"/>
        <v>0</v>
      </c>
      <c r="O383" s="905"/>
      <c r="P383" s="58" t="str">
        <f>IF(N378&gt;0,"xx",IF(N378&gt;0,"xy",""))</f>
        <v/>
      </c>
      <c r="Q383" s="317" t="str">
        <f t="shared" si="28"/>
        <v/>
      </c>
      <c r="R383" s="317" t="str">
        <f t="shared" si="29"/>
        <v/>
      </c>
      <c r="S383" s="317" t="str">
        <f t="shared" si="30"/>
        <v/>
      </c>
      <c r="T383" s="317" t="str">
        <f>GLOBAL_DER_FEV_2023!S383</f>
        <v/>
      </c>
      <c r="W383" s="582">
        <v>0</v>
      </c>
      <c r="X383" s="580"/>
      <c r="Y383" s="583">
        <f>IF(GLOBAL_DER_FEV_2023!W383=0,0,IF(GLOBAL_DER_FEV_2023!W383&gt;0,"c","b"))</f>
        <v>0</v>
      </c>
    </row>
    <row r="384" spans="1:25" x14ac:dyDescent="0.2">
      <c r="A384" s="317">
        <v>570200</v>
      </c>
      <c r="B384" s="999">
        <f>GLOBAL_DER_FEV_2023!B384</f>
        <v>570200</v>
      </c>
      <c r="C384" s="1000" t="str">
        <f>GLOBAL_DER_FEV_2023!C384</f>
        <v>DER</v>
      </c>
      <c r="D384" s="1024" t="str">
        <f>GLOBAL_DER_FEV_2023!D384</f>
        <v>CBUQ - Novos Traços - BINDER 2 - novo traço (Quantidade menor que 10.000 ton)</v>
      </c>
      <c r="E384" s="974" t="str">
        <f>GLOBAL_DER_FEV_2023!E384</f>
        <v>taxa CAP</v>
      </c>
      <c r="F384" s="1022">
        <f>GLOBAL_DER_FEV_2023!F384</f>
        <v>4.3999999999999997E-2</v>
      </c>
      <c r="G384" s="976">
        <f>GLOBAL_DER_FEV_2023!G384</f>
        <v>35.0487538</v>
      </c>
      <c r="H384" s="977">
        <f>GLOBAL_DER_FEV_2023!H384</f>
        <v>181.43</v>
      </c>
      <c r="I384" s="977">
        <f>GLOBAL_DER_FEV_2023!I384</f>
        <v>216.47875379999999</v>
      </c>
      <c r="J384" s="978">
        <f>GLOBAL_DER_FEV_2023!J384</f>
        <v>259.93</v>
      </c>
      <c r="K384" s="979" t="s">
        <v>14</v>
      </c>
      <c r="L384" s="1152"/>
      <c r="M384" s="1153">
        <f t="shared" ref="M384:M389" si="32">IF(L384=0,0,ROUND(J384,2))</f>
        <v>0</v>
      </c>
      <c r="N384" s="982">
        <f t="shared" ref="N384:N389" si="33">IF(ISBLANK(L384),0,IF(W384=0,ROUND(L384*M384,2),IF(W384="b",ROUNDDOWN(L384*M384,2),ROUNDUP(L384*M384,2))))</f>
        <v>0</v>
      </c>
      <c r="O384" s="905"/>
      <c r="Q384" s="317" t="str">
        <f t="shared" ref="Q384:Q389" si="34">IF(P384="X","x",IF(P384="xx","x",IF(P384="xy","x",IF(P384="y","x",IF(OR(N384&gt;0,N384&gt;0),"x","")))))</f>
        <v/>
      </c>
      <c r="R384" s="317" t="str">
        <f t="shared" ref="R384:R389" si="35">IF(P384="X","x",IF(P384="y","x",IF(P384="xx","x",IF(N384&gt;0,"x",""))))</f>
        <v/>
      </c>
      <c r="S384" s="317" t="str">
        <f t="shared" ref="S384:S389" si="36">IF(P384="X","x",IF(N384&gt;0,"x",""))</f>
        <v/>
      </c>
      <c r="T384" s="317" t="str">
        <f>GLOBAL_DER_FEV_2023!S384</f>
        <v/>
      </c>
      <c r="W384" s="582">
        <v>0</v>
      </c>
      <c r="X384" s="580"/>
      <c r="Y384" s="583">
        <f>IF(GLOBAL_DER_FEV_2023!W384=0,0,IF(GLOBAL_DER_FEV_2023!W384&gt;0,"c","b"))</f>
        <v>0</v>
      </c>
    </row>
    <row r="385" spans="1:25" x14ac:dyDescent="0.2">
      <c r="A385" s="317" t="s">
        <v>147</v>
      </c>
      <c r="B385" s="895" t="str">
        <f>GLOBAL_DER_FEV_2023!B385</f>
        <v>transporte</v>
      </c>
      <c r="C385" s="896">
        <f>GLOBAL_DER_FEV_2023!C385</f>
        <v>0</v>
      </c>
      <c r="D385" s="957" t="str">
        <f>GLOBAL_DER_FEV_2023!D385</f>
        <v>Areia</v>
      </c>
      <c r="E385" s="907">
        <f>GLOBAL_DER_FEV_2023!E385</f>
        <v>150</v>
      </c>
      <c r="F385" s="1287">
        <f>GLOBAL_DER_FEV_2023!F385</f>
        <v>1.43E-2</v>
      </c>
      <c r="G385" s="949">
        <f>GLOBAL_DER_FEV_2023!G385</f>
        <v>2.3334740000000003</v>
      </c>
      <c r="H385" s="901">
        <f>GLOBAL_DER_FEV_2023!H385</f>
        <v>0</v>
      </c>
      <c r="I385" s="901">
        <f>GLOBAL_DER_FEV_2023!I385</f>
        <v>0</v>
      </c>
      <c r="J385" s="902">
        <f>GLOBAL_DER_FEV_2023!J385</f>
        <v>0</v>
      </c>
      <c r="K385" s="958" t="s">
        <v>507</v>
      </c>
      <c r="L385" s="1003"/>
      <c r="M385" s="1157">
        <f t="shared" si="32"/>
        <v>0</v>
      </c>
      <c r="N385" s="893">
        <f t="shared" si="33"/>
        <v>0</v>
      </c>
      <c r="O385" s="905"/>
      <c r="P385" s="58" t="str">
        <f>IF(N384&gt;0,"xx",IF(N384&gt;0,"xy",""))</f>
        <v/>
      </c>
      <c r="Q385" s="317" t="str">
        <f t="shared" si="34"/>
        <v/>
      </c>
      <c r="R385" s="317" t="str">
        <f t="shared" si="35"/>
        <v/>
      </c>
      <c r="S385" s="317" t="str">
        <f t="shared" si="36"/>
        <v/>
      </c>
      <c r="T385" s="317" t="str">
        <f>GLOBAL_DER_FEV_2023!S385</f>
        <v/>
      </c>
      <c r="W385" s="582">
        <v>0</v>
      </c>
      <c r="X385" s="580"/>
      <c r="Y385" s="583">
        <f>IF(GLOBAL_DER_FEV_2023!W385=0,0,IF(GLOBAL_DER_FEV_2023!W385&gt;0,"c","b"))</f>
        <v>0</v>
      </c>
    </row>
    <row r="386" spans="1:25" x14ac:dyDescent="0.2">
      <c r="A386" s="317" t="s">
        <v>147</v>
      </c>
      <c r="B386" s="895" t="str">
        <f>GLOBAL_DER_FEV_2023!B386</f>
        <v>transporte</v>
      </c>
      <c r="C386" s="896">
        <f>GLOBAL_DER_FEV_2023!C386</f>
        <v>0</v>
      </c>
      <c r="D386" s="957" t="str">
        <f>GLOBAL_DER_FEV_2023!D386</f>
        <v>Cal Hidratada CH-1</v>
      </c>
      <c r="E386" s="907">
        <f>GLOBAL_DER_FEV_2023!E386</f>
        <v>353</v>
      </c>
      <c r="F386" s="1287">
        <f>GLOBAL_DER_FEV_2023!F386</f>
        <v>0</v>
      </c>
      <c r="G386" s="909">
        <f>GLOBAL_DER_FEV_2023!G386</f>
        <v>0</v>
      </c>
      <c r="H386" s="901">
        <f>GLOBAL_DER_FEV_2023!H386</f>
        <v>0</v>
      </c>
      <c r="I386" s="901">
        <f>GLOBAL_DER_FEV_2023!I386</f>
        <v>0</v>
      </c>
      <c r="J386" s="902">
        <f>GLOBAL_DER_FEV_2023!J386</f>
        <v>0</v>
      </c>
      <c r="K386" s="958" t="s">
        <v>507</v>
      </c>
      <c r="L386" s="1003"/>
      <c r="M386" s="1157">
        <f t="shared" si="32"/>
        <v>0</v>
      </c>
      <c r="N386" s="893">
        <f t="shared" si="33"/>
        <v>0</v>
      </c>
      <c r="O386" s="905"/>
      <c r="P386" s="58" t="str">
        <f>IF(N384&gt;0,"xx",IF(N384&gt;0,"xy",""))</f>
        <v/>
      </c>
      <c r="Q386" s="317" t="str">
        <f t="shared" si="34"/>
        <v/>
      </c>
      <c r="R386" s="317" t="str">
        <f t="shared" si="35"/>
        <v/>
      </c>
      <c r="S386" s="317" t="str">
        <f t="shared" si="36"/>
        <v/>
      </c>
      <c r="T386" s="317" t="str">
        <f>GLOBAL_DER_FEV_2023!S386</f>
        <v/>
      </c>
      <c r="W386" s="582">
        <v>0</v>
      </c>
      <c r="X386" s="580"/>
      <c r="Y386" s="583">
        <f>IF(GLOBAL_DER_FEV_2023!W386=0,0,IF(GLOBAL_DER_FEV_2023!W386&gt;0,"c","b"))</f>
        <v>0</v>
      </c>
    </row>
    <row r="387" spans="1:25" x14ac:dyDescent="0.2">
      <c r="A387" s="317" t="s">
        <v>147</v>
      </c>
      <c r="B387" s="895" t="str">
        <f>GLOBAL_DER_FEV_2023!B387</f>
        <v>transporte</v>
      </c>
      <c r="C387" s="896">
        <f>GLOBAL_DER_FEV_2023!C387</f>
        <v>0</v>
      </c>
      <c r="D387" s="957" t="str">
        <f>GLOBAL_DER_FEV_2023!D387</f>
        <v>Brita ( usina )</v>
      </c>
      <c r="E387" s="907">
        <f>GLOBAL_DER_FEV_2023!E387</f>
        <v>0.2</v>
      </c>
      <c r="F387" s="1287">
        <f>GLOBAL_DER_FEV_2023!F387</f>
        <v>0.94169999999999998</v>
      </c>
      <c r="G387" s="949">
        <f>GLOBAL_DER_FEV_2023!G387</f>
        <v>2.7252798</v>
      </c>
      <c r="H387" s="901">
        <f>GLOBAL_DER_FEV_2023!H387</f>
        <v>0</v>
      </c>
      <c r="I387" s="901">
        <f>GLOBAL_DER_FEV_2023!I387</f>
        <v>0</v>
      </c>
      <c r="J387" s="902">
        <f>GLOBAL_DER_FEV_2023!J387</f>
        <v>0</v>
      </c>
      <c r="K387" s="958" t="s">
        <v>507</v>
      </c>
      <c r="L387" s="1003"/>
      <c r="M387" s="1157">
        <f t="shared" si="32"/>
        <v>0</v>
      </c>
      <c r="N387" s="893">
        <f t="shared" si="33"/>
        <v>0</v>
      </c>
      <c r="O387" s="905"/>
      <c r="P387" s="58" t="str">
        <f>IF(N384&gt;0,"xx",IF(N384&gt;0,"xy",""))</f>
        <v/>
      </c>
      <c r="Q387" s="317" t="str">
        <f t="shared" si="34"/>
        <v/>
      </c>
      <c r="R387" s="317" t="str">
        <f t="shared" si="35"/>
        <v/>
      </c>
      <c r="S387" s="317" t="str">
        <f t="shared" si="36"/>
        <v/>
      </c>
      <c r="T387" s="317" t="str">
        <f>GLOBAL_DER_FEV_2023!S387</f>
        <v/>
      </c>
      <c r="W387" s="582">
        <v>0</v>
      </c>
      <c r="X387" s="580"/>
      <c r="Y387" s="583">
        <f>IF(GLOBAL_DER_FEV_2023!W387=0,0,IF(GLOBAL_DER_FEV_2023!W387&gt;0,"c","b"))</f>
        <v>0</v>
      </c>
    </row>
    <row r="388" spans="1:25" x14ac:dyDescent="0.2">
      <c r="A388" s="317" t="s">
        <v>147</v>
      </c>
      <c r="B388" s="895" t="str">
        <f>GLOBAL_DER_FEV_2023!B388</f>
        <v>transporte</v>
      </c>
      <c r="C388" s="896">
        <f>GLOBAL_DER_FEV_2023!C388</f>
        <v>0</v>
      </c>
      <c r="D388" s="957" t="str">
        <f>GLOBAL_DER_FEV_2023!D388</f>
        <v>Massa</v>
      </c>
      <c r="E388" s="907">
        <f>GLOBAL_DER_FEV_2023!E388</f>
        <v>22</v>
      </c>
      <c r="F388" s="1287">
        <f>GLOBAL_DER_FEV_2023!F388</f>
        <v>1</v>
      </c>
      <c r="G388" s="912">
        <f>GLOBAL_DER_FEV_2023!G388</f>
        <v>29.990000000000002</v>
      </c>
      <c r="H388" s="901">
        <f>GLOBAL_DER_FEV_2023!H388</f>
        <v>0</v>
      </c>
      <c r="I388" s="901">
        <f>GLOBAL_DER_FEV_2023!I388</f>
        <v>0</v>
      </c>
      <c r="J388" s="902">
        <f>GLOBAL_DER_FEV_2023!J388</f>
        <v>0</v>
      </c>
      <c r="K388" s="958" t="s">
        <v>507</v>
      </c>
      <c r="L388" s="1003"/>
      <c r="M388" s="1157">
        <f t="shared" si="32"/>
        <v>0</v>
      </c>
      <c r="N388" s="893">
        <f t="shared" si="33"/>
        <v>0</v>
      </c>
      <c r="O388" s="905"/>
      <c r="P388" s="58" t="str">
        <f>IF(N384&gt;0,"xx",IF(N384&gt;0,"xy",""))</f>
        <v/>
      </c>
      <c r="Q388" s="317" t="str">
        <f t="shared" si="34"/>
        <v/>
      </c>
      <c r="R388" s="317" t="str">
        <f t="shared" si="35"/>
        <v/>
      </c>
      <c r="S388" s="317" t="str">
        <f t="shared" si="36"/>
        <v/>
      </c>
      <c r="T388" s="317" t="str">
        <f>GLOBAL_DER_FEV_2023!S388</f>
        <v/>
      </c>
      <c r="W388" s="582">
        <v>0</v>
      </c>
      <c r="X388" s="580"/>
      <c r="Y388" s="583">
        <f>IF(GLOBAL_DER_FEV_2023!W388=0,0,IF(GLOBAL_DER_FEV_2023!W388&gt;0,"c","b"))</f>
        <v>0</v>
      </c>
    </row>
    <row r="389" spans="1:25" ht="13.5" thickBot="1" x14ac:dyDescent="0.25">
      <c r="A389" s="317">
        <v>589000</v>
      </c>
      <c r="B389" s="1004" t="str">
        <f>GLOBAL_DER_FEV_2023!B389</f>
        <v>589000F</v>
      </c>
      <c r="C389" s="984" t="str">
        <f>GLOBAL_DER_FEV_2023!C389</f>
        <v>DER mat</v>
      </c>
      <c r="D389" s="1012" t="str">
        <f>GLOBAL_DER_FEV_2023!D389</f>
        <v>Fornecimento de CAP - CBUQ (Quantidade menor que 10.000 ton)</v>
      </c>
      <c r="E389" s="1005">
        <f>GLOBAL_DER_FEV_2023!E389</f>
        <v>45</v>
      </c>
      <c r="F389" s="1006">
        <f>GLOBAL_DER_FEV_2023!F389</f>
        <v>1</v>
      </c>
      <c r="G389" s="949">
        <f>GLOBAL_DER_FEV_2023!G389</f>
        <v>88.36</v>
      </c>
      <c r="H389" s="988">
        <f>GLOBAL_DER_FEV_2023!H389</f>
        <v>4828.8599999999997</v>
      </c>
      <c r="I389" s="988">
        <f>GLOBAL_DER_FEV_2023!I389</f>
        <v>4724.580378112767</v>
      </c>
      <c r="J389" s="989">
        <f>GLOBAL_DER_FEV_2023!J389</f>
        <v>5672.8</v>
      </c>
      <c r="K389" s="990" t="s">
        <v>14</v>
      </c>
      <c r="L389" s="1154">
        <f>ROUND(L384*$F384,2)</f>
        <v>0</v>
      </c>
      <c r="M389" s="1159">
        <f t="shared" si="32"/>
        <v>0</v>
      </c>
      <c r="N389" s="993">
        <f t="shared" si="33"/>
        <v>0</v>
      </c>
      <c r="O389" s="905"/>
      <c r="P389" s="58" t="str">
        <f>IF(N384&gt;0,"xx",IF(N384&gt;0,"xy",""))</f>
        <v/>
      </c>
      <c r="Q389" s="317" t="str">
        <f t="shared" si="34"/>
        <v/>
      </c>
      <c r="R389" s="317" t="str">
        <f t="shared" si="35"/>
        <v/>
      </c>
      <c r="S389" s="317" t="str">
        <f t="shared" si="36"/>
        <v/>
      </c>
      <c r="T389" s="317" t="str">
        <f>GLOBAL_DER_FEV_2023!S389</f>
        <v/>
      </c>
      <c r="W389" s="582">
        <v>0</v>
      </c>
      <c r="X389" s="580"/>
      <c r="Y389" s="583">
        <f>IF(GLOBAL_DER_FEV_2023!W389=0,0,IF(GLOBAL_DER_FEV_2023!W389&gt;0,"c","b"))</f>
        <v>0</v>
      </c>
    </row>
    <row r="390" spans="1:25" x14ac:dyDescent="0.2">
      <c r="A390" s="317">
        <v>570200</v>
      </c>
      <c r="B390" s="999">
        <f>GLOBAL_DER_FEV_2023!B390</f>
        <v>570200</v>
      </c>
      <c r="C390" s="1000" t="str">
        <f>GLOBAL_DER_FEV_2023!C390</f>
        <v>DER</v>
      </c>
      <c r="D390" s="1024" t="str">
        <f>GLOBAL_DER_FEV_2023!D390</f>
        <v>CBUQ -  Novos Traços - BINDER 3 - novo traço (Quantidade menor que 10.000 ton)</v>
      </c>
      <c r="E390" s="974" t="str">
        <f>GLOBAL_DER_FEV_2023!E390</f>
        <v>taxa CAP</v>
      </c>
      <c r="F390" s="1022">
        <f>Novos_Traços_CBUQ!M141</f>
        <v>4.2999999999999997E-2</v>
      </c>
      <c r="G390" s="976">
        <f>GLOBAL_DER_FEV_2023!G390</f>
        <v>35.067676400000003</v>
      </c>
      <c r="H390" s="977">
        <f>GLOBAL_DER_FEV_2023!H390</f>
        <v>181.43</v>
      </c>
      <c r="I390" s="977">
        <f>GLOBAL_DER_FEV_2023!I390</f>
        <v>216.49767640000002</v>
      </c>
      <c r="J390" s="978">
        <f>GLOBAL_DER_FEV_2023!J390</f>
        <v>259.95</v>
      </c>
      <c r="K390" s="979" t="s">
        <v>14</v>
      </c>
      <c r="L390" s="1152"/>
      <c r="M390" s="1153">
        <f t="shared" ref="M390:M395" si="37">IF(L390=0,0,ROUND(J390,2))</f>
        <v>0</v>
      </c>
      <c r="N390" s="982">
        <f t="shared" ref="N390:N395" si="38">IF(ISBLANK(L390),0,IF(W390=0,ROUND(L390*M390,2),IF(W390="b",ROUNDDOWN(L390*M390,2),ROUNDUP(L390*M390,2))))</f>
        <v>0</v>
      </c>
      <c r="O390" s="905"/>
      <c r="Q390" s="317" t="str">
        <f t="shared" ref="Q390:Q395" si="39">IF(P390="X","x",IF(P390="xx","x",IF(P390="xy","x",IF(P390="y","x",IF(OR(N390&gt;0,N390&gt;0),"x","")))))</f>
        <v/>
      </c>
      <c r="R390" s="317" t="str">
        <f t="shared" ref="R390:R395" si="40">IF(P390="X","x",IF(P390="y","x",IF(P390="xx","x",IF(N390&gt;0,"x",""))))</f>
        <v/>
      </c>
      <c r="S390" s="317" t="str">
        <f t="shared" ref="S390:S395" si="41">IF(P390="X","x",IF(N390&gt;0,"x",""))</f>
        <v/>
      </c>
      <c r="T390" s="317" t="str">
        <f>GLOBAL_DER_FEV_2023!S390</f>
        <v/>
      </c>
      <c r="W390" s="582">
        <v>0</v>
      </c>
      <c r="X390" s="580"/>
      <c r="Y390" s="583">
        <f>IF(GLOBAL_DER_FEV_2023!W390=0,0,IF(GLOBAL_DER_FEV_2023!W390&gt;0,"c","b"))</f>
        <v>0</v>
      </c>
    </row>
    <row r="391" spans="1:25" x14ac:dyDescent="0.2">
      <c r="A391" s="317" t="s">
        <v>147</v>
      </c>
      <c r="B391" s="895" t="str">
        <f>GLOBAL_DER_FEV_2023!B391</f>
        <v>transporte</v>
      </c>
      <c r="C391" s="896">
        <f>GLOBAL_DER_FEV_2023!C391</f>
        <v>0</v>
      </c>
      <c r="D391" s="957" t="str">
        <f>GLOBAL_DER_FEV_2023!D391</f>
        <v>Areia</v>
      </c>
      <c r="E391" s="907">
        <f>GLOBAL_DER_FEV_2023!E391</f>
        <v>150</v>
      </c>
      <c r="F391" s="1287">
        <f>Novos_Traços_CBUQ!M139</f>
        <v>1.44E-2</v>
      </c>
      <c r="G391" s="949">
        <f>GLOBAL_DER_FEV_2023!G391</f>
        <v>2.3497919999999999</v>
      </c>
      <c r="H391" s="901">
        <f>GLOBAL_DER_FEV_2023!H391</f>
        <v>0</v>
      </c>
      <c r="I391" s="901">
        <f>GLOBAL_DER_FEV_2023!I391</f>
        <v>0</v>
      </c>
      <c r="J391" s="902">
        <f>GLOBAL_DER_FEV_2023!J391</f>
        <v>0</v>
      </c>
      <c r="K391" s="958" t="s">
        <v>507</v>
      </c>
      <c r="L391" s="1003"/>
      <c r="M391" s="1157">
        <f t="shared" si="37"/>
        <v>0</v>
      </c>
      <c r="N391" s="893">
        <f t="shared" si="38"/>
        <v>0</v>
      </c>
      <c r="O391" s="905"/>
      <c r="P391" s="58" t="str">
        <f>IF(N390&gt;0,"xx",IF(N390&gt;0,"xy",""))</f>
        <v/>
      </c>
      <c r="Q391" s="317" t="str">
        <f t="shared" si="39"/>
        <v/>
      </c>
      <c r="R391" s="317" t="str">
        <f t="shared" si="40"/>
        <v/>
      </c>
      <c r="S391" s="317" t="str">
        <f t="shared" si="41"/>
        <v/>
      </c>
      <c r="T391" s="317" t="str">
        <f>GLOBAL_DER_FEV_2023!S391</f>
        <v/>
      </c>
      <c r="W391" s="582">
        <v>0</v>
      </c>
      <c r="X391" s="580"/>
      <c r="Y391" s="583">
        <f>IF(GLOBAL_DER_FEV_2023!W391=0,0,IF(GLOBAL_DER_FEV_2023!W391&gt;0,"c","b"))</f>
        <v>0</v>
      </c>
    </row>
    <row r="392" spans="1:25" x14ac:dyDescent="0.2">
      <c r="A392" s="317" t="s">
        <v>147</v>
      </c>
      <c r="B392" s="895" t="str">
        <f>GLOBAL_DER_FEV_2023!B392</f>
        <v>transporte</v>
      </c>
      <c r="C392" s="896">
        <f>GLOBAL_DER_FEV_2023!C392</f>
        <v>0</v>
      </c>
      <c r="D392" s="957" t="str">
        <f>GLOBAL_DER_FEV_2023!D392</f>
        <v>Cal Hidratada CH-1</v>
      </c>
      <c r="E392" s="907">
        <f>GLOBAL_DER_FEV_2023!E392</f>
        <v>353</v>
      </c>
      <c r="F392" s="1287">
        <f>Novos_Traços_CBUQ!M140</f>
        <v>0</v>
      </c>
      <c r="G392" s="909">
        <f>GLOBAL_DER_FEV_2023!G392</f>
        <v>0</v>
      </c>
      <c r="H392" s="901">
        <f>GLOBAL_DER_FEV_2023!H392</f>
        <v>0</v>
      </c>
      <c r="I392" s="901">
        <f>GLOBAL_DER_FEV_2023!I392</f>
        <v>0</v>
      </c>
      <c r="J392" s="902">
        <f>GLOBAL_DER_FEV_2023!J392</f>
        <v>0</v>
      </c>
      <c r="K392" s="958" t="s">
        <v>507</v>
      </c>
      <c r="L392" s="1003"/>
      <c r="M392" s="1157">
        <f t="shared" si="37"/>
        <v>0</v>
      </c>
      <c r="N392" s="893">
        <f t="shared" si="38"/>
        <v>0</v>
      </c>
      <c r="O392" s="905"/>
      <c r="P392" s="58" t="str">
        <f>IF(N390&gt;0,"xx",IF(N390&gt;0,"xy",""))</f>
        <v/>
      </c>
      <c r="Q392" s="317" t="str">
        <f t="shared" si="39"/>
        <v/>
      </c>
      <c r="R392" s="317" t="str">
        <f t="shared" si="40"/>
        <v/>
      </c>
      <c r="S392" s="317" t="str">
        <f t="shared" si="41"/>
        <v/>
      </c>
      <c r="T392" s="317" t="str">
        <f>GLOBAL_DER_FEV_2023!S392</f>
        <v/>
      </c>
      <c r="W392" s="582">
        <v>0</v>
      </c>
      <c r="X392" s="580"/>
      <c r="Y392" s="583">
        <f>IF(GLOBAL_DER_FEV_2023!W392=0,0,IF(GLOBAL_DER_FEV_2023!W392&gt;0,"c","b"))</f>
        <v>0</v>
      </c>
    </row>
    <row r="393" spans="1:25" x14ac:dyDescent="0.2">
      <c r="A393" s="317" t="s">
        <v>147</v>
      </c>
      <c r="B393" s="895" t="str">
        <f>GLOBAL_DER_FEV_2023!B393</f>
        <v>transporte</v>
      </c>
      <c r="C393" s="896">
        <f>GLOBAL_DER_FEV_2023!C393</f>
        <v>0</v>
      </c>
      <c r="D393" s="957" t="str">
        <f>GLOBAL_DER_FEV_2023!D393</f>
        <v>Brita ( usina )</v>
      </c>
      <c r="E393" s="907">
        <f>GLOBAL_DER_FEV_2023!E393</f>
        <v>0.2</v>
      </c>
      <c r="F393" s="1287">
        <f>Novos_Traços_CBUQ!M137</f>
        <v>0.94259999999999999</v>
      </c>
      <c r="G393" s="949">
        <f>GLOBAL_DER_FEV_2023!G393</f>
        <v>2.7278844000000002</v>
      </c>
      <c r="H393" s="901">
        <f>GLOBAL_DER_FEV_2023!H393</f>
        <v>0</v>
      </c>
      <c r="I393" s="901">
        <f>GLOBAL_DER_FEV_2023!I393</f>
        <v>0</v>
      </c>
      <c r="J393" s="902">
        <f>GLOBAL_DER_FEV_2023!J393</f>
        <v>0</v>
      </c>
      <c r="K393" s="958" t="s">
        <v>507</v>
      </c>
      <c r="L393" s="1003"/>
      <c r="M393" s="1157">
        <f t="shared" si="37"/>
        <v>0</v>
      </c>
      <c r="N393" s="893">
        <f t="shared" si="38"/>
        <v>0</v>
      </c>
      <c r="O393" s="905"/>
      <c r="P393" s="58" t="str">
        <f>IF(N390&gt;0,"xx",IF(N390&gt;0,"xy",""))</f>
        <v/>
      </c>
      <c r="Q393" s="317" t="str">
        <f t="shared" si="39"/>
        <v/>
      </c>
      <c r="R393" s="317" t="str">
        <f t="shared" si="40"/>
        <v/>
      </c>
      <c r="S393" s="317" t="str">
        <f t="shared" si="41"/>
        <v/>
      </c>
      <c r="T393" s="317" t="str">
        <f>GLOBAL_DER_FEV_2023!S393</f>
        <v/>
      </c>
      <c r="W393" s="582">
        <v>0</v>
      </c>
      <c r="X393" s="580"/>
      <c r="Y393" s="583">
        <f>IF(GLOBAL_DER_FEV_2023!W393=0,0,IF(GLOBAL_DER_FEV_2023!W393&gt;0,"c","b"))</f>
        <v>0</v>
      </c>
    </row>
    <row r="394" spans="1:25" x14ac:dyDescent="0.2">
      <c r="A394" s="317" t="s">
        <v>147</v>
      </c>
      <c r="B394" s="895" t="str">
        <f>GLOBAL_DER_FEV_2023!B394</f>
        <v>transporte</v>
      </c>
      <c r="C394" s="896">
        <f>GLOBAL_DER_FEV_2023!C394</f>
        <v>0</v>
      </c>
      <c r="D394" s="957" t="str">
        <f>GLOBAL_DER_FEV_2023!D394</f>
        <v>Massa</v>
      </c>
      <c r="E394" s="907">
        <f>GLOBAL_DER_FEV_2023!E394</f>
        <v>22</v>
      </c>
      <c r="F394" s="1287">
        <f>GLOBAL_DER_FEV_2023!F394</f>
        <v>1</v>
      </c>
      <c r="G394" s="912">
        <f>GLOBAL_DER_FEV_2023!G394</f>
        <v>29.990000000000002</v>
      </c>
      <c r="H394" s="901">
        <f>GLOBAL_DER_FEV_2023!H394</f>
        <v>0</v>
      </c>
      <c r="I394" s="901">
        <f>GLOBAL_DER_FEV_2023!I394</f>
        <v>0</v>
      </c>
      <c r="J394" s="902">
        <f>GLOBAL_DER_FEV_2023!J394</f>
        <v>0</v>
      </c>
      <c r="K394" s="958" t="s">
        <v>507</v>
      </c>
      <c r="L394" s="1003"/>
      <c r="M394" s="1157">
        <f t="shared" si="37"/>
        <v>0</v>
      </c>
      <c r="N394" s="893">
        <f t="shared" si="38"/>
        <v>0</v>
      </c>
      <c r="O394" s="905"/>
      <c r="P394" s="58" t="str">
        <f>IF(N390&gt;0,"xx",IF(N390&gt;0,"xy",""))</f>
        <v/>
      </c>
      <c r="Q394" s="317" t="str">
        <f t="shared" si="39"/>
        <v/>
      </c>
      <c r="R394" s="317" t="str">
        <f t="shared" si="40"/>
        <v/>
      </c>
      <c r="S394" s="317" t="str">
        <f t="shared" si="41"/>
        <v/>
      </c>
      <c r="T394" s="317" t="str">
        <f>GLOBAL_DER_FEV_2023!S394</f>
        <v/>
      </c>
      <c r="W394" s="582">
        <v>0</v>
      </c>
      <c r="X394" s="580"/>
      <c r="Y394" s="583">
        <f>IF(GLOBAL_DER_FEV_2023!W394=0,0,IF(GLOBAL_DER_FEV_2023!W394&gt;0,"c","b"))</f>
        <v>0</v>
      </c>
    </row>
    <row r="395" spans="1:25" ht="13.5" thickBot="1" x14ac:dyDescent="0.25">
      <c r="A395" s="317">
        <v>589000</v>
      </c>
      <c r="B395" s="1004" t="str">
        <f>GLOBAL_DER_FEV_2023!B395</f>
        <v>589000F</v>
      </c>
      <c r="C395" s="984" t="str">
        <f>GLOBAL_DER_FEV_2023!C395</f>
        <v>DER mat</v>
      </c>
      <c r="D395" s="1012" t="str">
        <f>GLOBAL_DER_FEV_2023!D395</f>
        <v>Fornecimento de CAP - CBUQ (Quantidade menor que 10.000 ton)</v>
      </c>
      <c r="E395" s="1005">
        <f>GLOBAL_DER_FEV_2023!E395</f>
        <v>45</v>
      </c>
      <c r="F395" s="1006">
        <f>GLOBAL_DER_FEV_2023!F395</f>
        <v>1</v>
      </c>
      <c r="G395" s="949">
        <f>GLOBAL_DER_FEV_2023!G395</f>
        <v>88.36</v>
      </c>
      <c r="H395" s="988">
        <f>GLOBAL_DER_FEV_2023!H395</f>
        <v>4828.8599999999997</v>
      </c>
      <c r="I395" s="988">
        <f>GLOBAL_DER_FEV_2023!I395</f>
        <v>4724.580378112767</v>
      </c>
      <c r="J395" s="989">
        <f>GLOBAL_DER_FEV_2023!J395</f>
        <v>5672.8</v>
      </c>
      <c r="K395" s="990" t="s">
        <v>14</v>
      </c>
      <c r="L395" s="1154">
        <f>ROUND(L390*$F390,2)</f>
        <v>0</v>
      </c>
      <c r="M395" s="1159">
        <f t="shared" si="37"/>
        <v>0</v>
      </c>
      <c r="N395" s="993">
        <f t="shared" si="38"/>
        <v>0</v>
      </c>
      <c r="O395" s="905"/>
      <c r="P395" s="58" t="str">
        <f>IF(N390&gt;0,"xx",IF(N390&gt;0,"xy",""))</f>
        <v/>
      </c>
      <c r="Q395" s="317" t="str">
        <f t="shared" si="39"/>
        <v/>
      </c>
      <c r="R395" s="317" t="str">
        <f t="shared" si="40"/>
        <v/>
      </c>
      <c r="S395" s="317" t="str">
        <f t="shared" si="41"/>
        <v/>
      </c>
      <c r="T395" s="317" t="str">
        <f>GLOBAL_DER_FEV_2023!S395</f>
        <v/>
      </c>
      <c r="W395" s="582">
        <v>0</v>
      </c>
      <c r="X395" s="580"/>
      <c r="Y395" s="583">
        <f>IF(GLOBAL_DER_FEV_2023!W395=0,0,IF(GLOBAL_DER_FEV_2023!W395&gt;0,"c","b"))</f>
        <v>0</v>
      </c>
    </row>
    <row r="396" spans="1:25" x14ac:dyDescent="0.2">
      <c r="A396" s="317">
        <v>570210</v>
      </c>
      <c r="B396" s="999">
        <v>570210</v>
      </c>
      <c r="C396" s="1000" t="s">
        <v>184</v>
      </c>
      <c r="D396" s="1019" t="s">
        <v>2221</v>
      </c>
      <c r="E396" s="974" t="str">
        <f>GLOBAL_DER_FEV_2023!E396</f>
        <v>taxa CAP</v>
      </c>
      <c r="F396" s="975">
        <f>GLOBAL_DER_FEV_2023!F396</f>
        <v>4.4999999999999998E-2</v>
      </c>
      <c r="G396" s="976">
        <f>GLOBAL_DER_FEV_2023!G396</f>
        <v>35.158060000000006</v>
      </c>
      <c r="H396" s="977">
        <f>GLOBAL_DER_FEV_2023!H396</f>
        <v>161.52000000000001</v>
      </c>
      <c r="I396" s="977">
        <f>GLOBAL_DER_FEV_2023!I396</f>
        <v>196.67806000000002</v>
      </c>
      <c r="J396" s="978">
        <f>GLOBAL_DER_FEV_2023!J396</f>
        <v>236.15</v>
      </c>
      <c r="K396" s="979" t="s">
        <v>14</v>
      </c>
      <c r="L396" s="1152"/>
      <c r="M396" s="1153">
        <f t="shared" si="27"/>
        <v>0</v>
      </c>
      <c r="N396" s="982">
        <f t="shared" si="31"/>
        <v>0</v>
      </c>
      <c r="O396" s="905"/>
      <c r="Q396" s="317" t="str">
        <f t="shared" si="28"/>
        <v/>
      </c>
      <c r="R396" s="317" t="str">
        <f t="shared" si="29"/>
        <v/>
      </c>
      <c r="S396" s="317" t="str">
        <f t="shared" si="30"/>
        <v/>
      </c>
      <c r="T396" s="317" t="str">
        <f>GLOBAL_DER_FEV_2023!S396</f>
        <v/>
      </c>
      <c r="W396" s="582">
        <v>0</v>
      </c>
      <c r="X396" s="580"/>
      <c r="Y396" s="583">
        <f>IF(GLOBAL_DER_FEV_2023!W396=0,0,IF(GLOBAL_DER_FEV_2023!W396&gt;0,"c","b"))</f>
        <v>0</v>
      </c>
    </row>
    <row r="397" spans="1:25" x14ac:dyDescent="0.2">
      <c r="A397" s="317" t="s">
        <v>147</v>
      </c>
      <c r="B397" s="895" t="s">
        <v>147</v>
      </c>
      <c r="C397" s="896"/>
      <c r="D397" s="957" t="s">
        <v>229</v>
      </c>
      <c r="E397" s="907">
        <f>GLOBAL_DER_FEV_2023!E397</f>
        <v>150</v>
      </c>
      <c r="F397" s="908">
        <f>GLOBAL_DER_FEV_2023!F397</f>
        <v>1.4999999999999999E-2</v>
      </c>
      <c r="G397" s="949">
        <f>GLOBAL_DER_FEV_2023!G397</f>
        <v>2.4477000000000002</v>
      </c>
      <c r="H397" s="901">
        <f>GLOBAL_DER_FEV_2023!H397</f>
        <v>0</v>
      </c>
      <c r="I397" s="901">
        <f>GLOBAL_DER_FEV_2023!I397</f>
        <v>0</v>
      </c>
      <c r="J397" s="902">
        <f>GLOBAL_DER_FEV_2023!J397</f>
        <v>0</v>
      </c>
      <c r="K397" s="958" t="s">
        <v>507</v>
      </c>
      <c r="L397" s="1003"/>
      <c r="M397" s="1157">
        <f t="shared" si="27"/>
        <v>0</v>
      </c>
      <c r="N397" s="893">
        <f t="shared" si="31"/>
        <v>0</v>
      </c>
      <c r="O397" s="905"/>
      <c r="P397" s="58" t="str">
        <f>IF(N396&gt;0,"xx",IF(N396&gt;0,"xy",""))</f>
        <v/>
      </c>
      <c r="Q397" s="317" t="str">
        <f t="shared" si="28"/>
        <v/>
      </c>
      <c r="R397" s="317" t="str">
        <f t="shared" si="29"/>
        <v/>
      </c>
      <c r="S397" s="317" t="str">
        <f t="shared" si="30"/>
        <v/>
      </c>
      <c r="T397" s="317" t="str">
        <f>GLOBAL_DER_FEV_2023!S397</f>
        <v/>
      </c>
      <c r="W397" s="582">
        <v>0</v>
      </c>
      <c r="X397" s="580"/>
      <c r="Y397" s="583">
        <f>IF(GLOBAL_DER_FEV_2023!W397=0,0,IF(GLOBAL_DER_FEV_2023!W397&gt;0,"c","b"))</f>
        <v>0</v>
      </c>
    </row>
    <row r="398" spans="1:25" x14ac:dyDescent="0.2">
      <c r="A398" s="317" t="s">
        <v>147</v>
      </c>
      <c r="B398" s="895" t="s">
        <v>147</v>
      </c>
      <c r="C398" s="896"/>
      <c r="D398" s="957" t="s">
        <v>230</v>
      </c>
      <c r="E398" s="907">
        <f>GLOBAL_DER_FEV_2023!E398</f>
        <v>353</v>
      </c>
      <c r="F398" s="908">
        <f>GLOBAL_DER_FEV_2023!F398</f>
        <v>0</v>
      </c>
      <c r="G398" s="909">
        <f>GLOBAL_DER_FEV_2023!G398</f>
        <v>0</v>
      </c>
      <c r="H398" s="901">
        <f>GLOBAL_DER_FEV_2023!H398</f>
        <v>0</v>
      </c>
      <c r="I398" s="901">
        <f>GLOBAL_DER_FEV_2023!I398</f>
        <v>0</v>
      </c>
      <c r="J398" s="902">
        <f>GLOBAL_DER_FEV_2023!J398</f>
        <v>0</v>
      </c>
      <c r="K398" s="958" t="s">
        <v>507</v>
      </c>
      <c r="L398" s="1003"/>
      <c r="M398" s="1157">
        <f t="shared" si="27"/>
        <v>0</v>
      </c>
      <c r="N398" s="893">
        <f t="shared" si="31"/>
        <v>0</v>
      </c>
      <c r="O398" s="905"/>
      <c r="P398" s="58" t="str">
        <f>IF(N396&gt;0,"xx",IF(N396&gt;0,"xy",""))</f>
        <v/>
      </c>
      <c r="Q398" s="317" t="str">
        <f t="shared" si="28"/>
        <v/>
      </c>
      <c r="R398" s="317" t="str">
        <f t="shared" si="29"/>
        <v/>
      </c>
      <c r="S398" s="317" t="str">
        <f t="shared" si="30"/>
        <v/>
      </c>
      <c r="T398" s="317" t="str">
        <f>GLOBAL_DER_FEV_2023!S398</f>
        <v/>
      </c>
      <c r="W398" s="582">
        <v>0</v>
      </c>
      <c r="X398" s="580"/>
      <c r="Y398" s="583">
        <f>IF(GLOBAL_DER_FEV_2023!W398=0,0,IF(GLOBAL_DER_FEV_2023!W398&gt;0,"c","b"))</f>
        <v>0</v>
      </c>
    </row>
    <row r="399" spans="1:25" x14ac:dyDescent="0.2">
      <c r="A399" s="317" t="s">
        <v>147</v>
      </c>
      <c r="B399" s="895" t="s">
        <v>147</v>
      </c>
      <c r="C399" s="896"/>
      <c r="D399" s="957" t="s">
        <v>243</v>
      </c>
      <c r="E399" s="907">
        <f>GLOBAL_DER_FEV_2023!E399</f>
        <v>0.2</v>
      </c>
      <c r="F399" s="908">
        <f>GLOBAL_DER_FEV_2023!F399</f>
        <v>0.94</v>
      </c>
      <c r="G399" s="949">
        <f>GLOBAL_DER_FEV_2023!G399</f>
        <v>2.7203599999999999</v>
      </c>
      <c r="H399" s="901">
        <f>GLOBAL_DER_FEV_2023!H399</f>
        <v>0</v>
      </c>
      <c r="I399" s="901">
        <f>GLOBAL_DER_FEV_2023!I399</f>
        <v>0</v>
      </c>
      <c r="J399" s="902">
        <f>GLOBAL_DER_FEV_2023!J399</f>
        <v>0</v>
      </c>
      <c r="K399" s="958" t="s">
        <v>507</v>
      </c>
      <c r="L399" s="1003"/>
      <c r="M399" s="1157">
        <f t="shared" si="27"/>
        <v>0</v>
      </c>
      <c r="N399" s="893">
        <f t="shared" si="31"/>
        <v>0</v>
      </c>
      <c r="O399" s="905"/>
      <c r="P399" s="58" t="str">
        <f>IF(N396&gt;0,"xx",IF(N396&gt;0,"xy",""))</f>
        <v/>
      </c>
      <c r="Q399" s="317" t="str">
        <f t="shared" si="28"/>
        <v/>
      </c>
      <c r="R399" s="317" t="str">
        <f t="shared" si="29"/>
        <v/>
      </c>
      <c r="S399" s="317" t="str">
        <f t="shared" si="30"/>
        <v/>
      </c>
      <c r="T399" s="317" t="str">
        <f>GLOBAL_DER_FEV_2023!S399</f>
        <v/>
      </c>
      <c r="W399" s="582">
        <v>0</v>
      </c>
      <c r="X399" s="580"/>
      <c r="Y399" s="583">
        <f>IF(GLOBAL_DER_FEV_2023!W399=0,0,IF(GLOBAL_DER_FEV_2023!W399&gt;0,"c","b"))</f>
        <v>0</v>
      </c>
    </row>
    <row r="400" spans="1:25" x14ac:dyDescent="0.2">
      <c r="A400" s="317" t="s">
        <v>147</v>
      </c>
      <c r="B400" s="895" t="s">
        <v>147</v>
      </c>
      <c r="C400" s="896"/>
      <c r="D400" s="957" t="s">
        <v>244</v>
      </c>
      <c r="E400" s="907">
        <f>GLOBAL_DER_FEV_2023!E400</f>
        <v>22</v>
      </c>
      <c r="F400" s="908">
        <f>GLOBAL_DER_FEV_2023!F400</f>
        <v>1</v>
      </c>
      <c r="G400" s="912">
        <f>GLOBAL_DER_FEV_2023!G400</f>
        <v>29.990000000000002</v>
      </c>
      <c r="H400" s="901">
        <f>GLOBAL_DER_FEV_2023!H400</f>
        <v>0</v>
      </c>
      <c r="I400" s="901">
        <f>GLOBAL_DER_FEV_2023!I400</f>
        <v>0</v>
      </c>
      <c r="J400" s="902">
        <f>GLOBAL_DER_FEV_2023!J400</f>
        <v>0</v>
      </c>
      <c r="K400" s="958" t="s">
        <v>507</v>
      </c>
      <c r="L400" s="1003"/>
      <c r="M400" s="1157">
        <f t="shared" si="27"/>
        <v>0</v>
      </c>
      <c r="N400" s="893">
        <f t="shared" si="31"/>
        <v>0</v>
      </c>
      <c r="O400" s="905"/>
      <c r="P400" s="58" t="str">
        <f>IF(N396&gt;0,"xx",IF(N396&gt;0,"xy",""))</f>
        <v/>
      </c>
      <c r="Q400" s="317" t="str">
        <f t="shared" si="28"/>
        <v/>
      </c>
      <c r="R400" s="317" t="str">
        <f t="shared" si="29"/>
        <v/>
      </c>
      <c r="S400" s="317" t="str">
        <f t="shared" si="30"/>
        <v/>
      </c>
      <c r="T400" s="317" t="str">
        <f>GLOBAL_DER_FEV_2023!S400</f>
        <v/>
      </c>
      <c r="W400" s="582">
        <v>0</v>
      </c>
      <c r="X400" s="580"/>
      <c r="Y400" s="583">
        <f>IF(GLOBAL_DER_FEV_2023!W400=0,0,IF(GLOBAL_DER_FEV_2023!W400&gt;0,"c","b"))</f>
        <v>0</v>
      </c>
    </row>
    <row r="401" spans="1:25" ht="13.5" thickBot="1" x14ac:dyDescent="0.25">
      <c r="A401" s="317">
        <v>589000</v>
      </c>
      <c r="B401" s="1004" t="s">
        <v>714</v>
      </c>
      <c r="C401" s="984" t="s">
        <v>213</v>
      </c>
      <c r="D401" s="1012" t="s">
        <v>2172</v>
      </c>
      <c r="E401" s="1005">
        <f>GLOBAL_DER_FEV_2023!E401</f>
        <v>45</v>
      </c>
      <c r="F401" s="1006">
        <f>GLOBAL_DER_FEV_2023!F401</f>
        <v>1</v>
      </c>
      <c r="G401" s="949">
        <f>GLOBAL_DER_FEV_2023!G401</f>
        <v>88.36</v>
      </c>
      <c r="H401" s="988">
        <f>GLOBAL_DER_FEV_2023!H401</f>
        <v>4828.8599999999997</v>
      </c>
      <c r="I401" s="988">
        <f>GLOBAL_DER_FEV_2023!I401</f>
        <v>4724.580378112767</v>
      </c>
      <c r="J401" s="989">
        <f>GLOBAL_DER_FEV_2023!J401</f>
        <v>5672.8</v>
      </c>
      <c r="K401" s="990" t="s">
        <v>14</v>
      </c>
      <c r="L401" s="1154">
        <f>ROUND(L396*$F396,2)</f>
        <v>0</v>
      </c>
      <c r="M401" s="1159">
        <f t="shared" si="27"/>
        <v>0</v>
      </c>
      <c r="N401" s="993">
        <f t="shared" si="31"/>
        <v>0</v>
      </c>
      <c r="O401" s="905"/>
      <c r="P401" s="58" t="str">
        <f>IF(N396&gt;0,"xx",IF(N396&gt;0,"xy",""))</f>
        <v/>
      </c>
      <c r="Q401" s="317" t="str">
        <f t="shared" si="28"/>
        <v/>
      </c>
      <c r="R401" s="317" t="str">
        <f t="shared" si="29"/>
        <v/>
      </c>
      <c r="S401" s="317" t="str">
        <f t="shared" si="30"/>
        <v/>
      </c>
      <c r="T401" s="317" t="str">
        <f>GLOBAL_DER_FEV_2023!S401</f>
        <v/>
      </c>
      <c r="W401" s="582">
        <v>0</v>
      </c>
      <c r="X401" s="580"/>
      <c r="Y401" s="583">
        <f>IF(GLOBAL_DER_FEV_2023!W401=0,0,IF(GLOBAL_DER_FEV_2023!W401&gt;0,"c","b"))</f>
        <v>0</v>
      </c>
    </row>
    <row r="402" spans="1:25" x14ac:dyDescent="0.2">
      <c r="A402" s="317">
        <v>570000</v>
      </c>
      <c r="B402" s="999" t="s">
        <v>1651</v>
      </c>
      <c r="C402" s="1000" t="s">
        <v>184</v>
      </c>
      <c r="D402" s="1019" t="s">
        <v>2213</v>
      </c>
      <c r="E402" s="974" t="str">
        <f>GLOBAL_DER_FEV_2023!E402</f>
        <v>taxa CAP</v>
      </c>
      <c r="F402" s="975">
        <f>GLOBAL_DER_FEV_2023!F402</f>
        <v>5.7000000000000002E-2</v>
      </c>
      <c r="G402" s="976">
        <f>GLOBAL_DER_FEV_2023!G402</f>
        <v>52.951632000000004</v>
      </c>
      <c r="H402" s="977">
        <f>GLOBAL_DER_FEV_2023!H402</f>
        <v>187.41</v>
      </c>
      <c r="I402" s="977">
        <f>GLOBAL_DER_FEV_2023!I402</f>
        <v>240.36163199999999</v>
      </c>
      <c r="J402" s="978">
        <f>GLOBAL_DER_FEV_2023!J402</f>
        <v>288.60000000000002</v>
      </c>
      <c r="K402" s="979" t="s">
        <v>14</v>
      </c>
      <c r="L402" s="1152"/>
      <c r="M402" s="1153">
        <f t="shared" si="27"/>
        <v>0</v>
      </c>
      <c r="N402" s="982">
        <f t="shared" si="31"/>
        <v>0</v>
      </c>
      <c r="O402" s="905"/>
      <c r="Q402" s="317" t="str">
        <f t="shared" si="28"/>
        <v/>
      </c>
      <c r="R402" s="317" t="str">
        <f t="shared" si="29"/>
        <v/>
      </c>
      <c r="S402" s="317" t="str">
        <f t="shared" si="30"/>
        <v/>
      </c>
      <c r="T402" s="317" t="str">
        <f>GLOBAL_DER_FEV_2023!S402</f>
        <v/>
      </c>
      <c r="W402" s="582">
        <v>0</v>
      </c>
      <c r="X402" s="580"/>
      <c r="Y402" s="583">
        <f>IF(GLOBAL_DER_FEV_2023!W402=0,0,IF(GLOBAL_DER_FEV_2023!W402&gt;0,"c","b"))</f>
        <v>0</v>
      </c>
    </row>
    <row r="403" spans="1:25" x14ac:dyDescent="0.2">
      <c r="A403" s="317" t="s">
        <v>147</v>
      </c>
      <c r="B403" s="895" t="s">
        <v>147</v>
      </c>
      <c r="C403" s="896"/>
      <c r="D403" s="957" t="s">
        <v>229</v>
      </c>
      <c r="E403" s="907">
        <f>GLOBAL_DER_FEV_2023!E403</f>
        <v>150</v>
      </c>
      <c r="F403" s="908">
        <f>GLOBAL_DER_FEV_2023!F403</f>
        <v>0.1</v>
      </c>
      <c r="G403" s="949">
        <f>GLOBAL_DER_FEV_2023!G403</f>
        <v>16.318000000000001</v>
      </c>
      <c r="H403" s="901">
        <f>GLOBAL_DER_FEV_2023!H403</f>
        <v>0</v>
      </c>
      <c r="I403" s="901">
        <f>GLOBAL_DER_FEV_2023!I403</f>
        <v>0</v>
      </c>
      <c r="J403" s="902">
        <f>GLOBAL_DER_FEV_2023!J403</f>
        <v>0</v>
      </c>
      <c r="K403" s="903" t="s">
        <v>507</v>
      </c>
      <c r="L403" s="1003"/>
      <c r="M403" s="1157">
        <f t="shared" si="27"/>
        <v>0</v>
      </c>
      <c r="N403" s="893">
        <f t="shared" si="31"/>
        <v>0</v>
      </c>
      <c r="O403" s="905"/>
      <c r="P403" s="58" t="str">
        <f>IF(N402&gt;0,"xx",IF(N402&gt;0,"xy",""))</f>
        <v/>
      </c>
      <c r="Q403" s="317" t="str">
        <f t="shared" si="28"/>
        <v/>
      </c>
      <c r="R403" s="317" t="str">
        <f t="shared" si="29"/>
        <v/>
      </c>
      <c r="S403" s="317" t="str">
        <f t="shared" si="30"/>
        <v/>
      </c>
      <c r="T403" s="317" t="str">
        <f>GLOBAL_DER_FEV_2023!S403</f>
        <v/>
      </c>
      <c r="W403" s="582">
        <v>0</v>
      </c>
      <c r="X403" s="580"/>
      <c r="Y403" s="583">
        <f>IF(GLOBAL_DER_FEV_2023!W403=0,0,IF(GLOBAL_DER_FEV_2023!W403&gt;0,"c","b"))</f>
        <v>0</v>
      </c>
    </row>
    <row r="404" spans="1:25" x14ac:dyDescent="0.2">
      <c r="A404" s="317" t="s">
        <v>147</v>
      </c>
      <c r="B404" s="895" t="s">
        <v>147</v>
      </c>
      <c r="C404" s="896"/>
      <c r="D404" s="957" t="s">
        <v>230</v>
      </c>
      <c r="E404" s="907">
        <f>GLOBAL_DER_FEV_2023!E404</f>
        <v>353</v>
      </c>
      <c r="F404" s="908">
        <f>GLOBAL_DER_FEV_2023!F404</f>
        <v>1.4999999999999999E-2</v>
      </c>
      <c r="G404" s="909">
        <f>GLOBAL_DER_FEV_2023!G404</f>
        <v>4.2473999999999998</v>
      </c>
      <c r="H404" s="901">
        <f>GLOBAL_DER_FEV_2023!H404</f>
        <v>0</v>
      </c>
      <c r="I404" s="901">
        <f>GLOBAL_DER_FEV_2023!I404</f>
        <v>0</v>
      </c>
      <c r="J404" s="902">
        <f>GLOBAL_DER_FEV_2023!J404</f>
        <v>0</v>
      </c>
      <c r="K404" s="903" t="s">
        <v>507</v>
      </c>
      <c r="L404" s="1003"/>
      <c r="M404" s="1157">
        <f t="shared" si="27"/>
        <v>0</v>
      </c>
      <c r="N404" s="893">
        <f t="shared" si="31"/>
        <v>0</v>
      </c>
      <c r="O404" s="905"/>
      <c r="P404" s="58" t="str">
        <f>IF(N402&gt;0,"xx",IF(N402&gt;0,"xy",""))</f>
        <v/>
      </c>
      <c r="Q404" s="317" t="str">
        <f t="shared" si="28"/>
        <v/>
      </c>
      <c r="R404" s="317" t="str">
        <f t="shared" si="29"/>
        <v/>
      </c>
      <c r="S404" s="317" t="str">
        <f t="shared" si="30"/>
        <v/>
      </c>
      <c r="T404" s="317" t="str">
        <f>GLOBAL_DER_FEV_2023!S404</f>
        <v/>
      </c>
      <c r="W404" s="582">
        <v>0</v>
      </c>
      <c r="X404" s="580"/>
      <c r="Y404" s="583">
        <f>IF(GLOBAL_DER_FEV_2023!W404=0,0,IF(GLOBAL_DER_FEV_2023!W404&gt;0,"c","b"))</f>
        <v>0</v>
      </c>
    </row>
    <row r="405" spans="1:25" x14ac:dyDescent="0.2">
      <c r="A405" s="317" t="s">
        <v>147</v>
      </c>
      <c r="B405" s="895" t="s">
        <v>147</v>
      </c>
      <c r="C405" s="896"/>
      <c r="D405" s="957" t="s">
        <v>243</v>
      </c>
      <c r="E405" s="907">
        <f>GLOBAL_DER_FEV_2023!E405</f>
        <v>0.2</v>
      </c>
      <c r="F405" s="908">
        <f>GLOBAL_DER_FEV_2023!F405</f>
        <v>0.82799999999999996</v>
      </c>
      <c r="G405" s="949">
        <f>GLOBAL_DER_FEV_2023!G405</f>
        <v>2.3962319999999999</v>
      </c>
      <c r="H405" s="901">
        <f>GLOBAL_DER_FEV_2023!H405</f>
        <v>0</v>
      </c>
      <c r="I405" s="901">
        <f>GLOBAL_DER_FEV_2023!I405</f>
        <v>0</v>
      </c>
      <c r="J405" s="902">
        <f>GLOBAL_DER_FEV_2023!J405</f>
        <v>0</v>
      </c>
      <c r="K405" s="903" t="s">
        <v>507</v>
      </c>
      <c r="L405" s="1003"/>
      <c r="M405" s="1157">
        <f t="shared" si="27"/>
        <v>0</v>
      </c>
      <c r="N405" s="893">
        <f t="shared" si="31"/>
        <v>0</v>
      </c>
      <c r="O405" s="905"/>
      <c r="P405" s="58" t="str">
        <f>IF(N402&gt;0,"xx",IF(N402&gt;0,"xy",""))</f>
        <v/>
      </c>
      <c r="Q405" s="317" t="str">
        <f t="shared" si="28"/>
        <v/>
      </c>
      <c r="R405" s="317" t="str">
        <f t="shared" si="29"/>
        <v/>
      </c>
      <c r="S405" s="317" t="str">
        <f t="shared" si="30"/>
        <v/>
      </c>
      <c r="T405" s="317" t="str">
        <f>GLOBAL_DER_FEV_2023!S405</f>
        <v/>
      </c>
      <c r="W405" s="582">
        <v>0</v>
      </c>
      <c r="X405" s="580"/>
      <c r="Y405" s="583">
        <f>IF(GLOBAL_DER_FEV_2023!W405=0,0,IF(GLOBAL_DER_FEV_2023!W405&gt;0,"c","b"))</f>
        <v>0</v>
      </c>
    </row>
    <row r="406" spans="1:25" x14ac:dyDescent="0.2">
      <c r="A406" s="317" t="s">
        <v>147</v>
      </c>
      <c r="B406" s="895" t="s">
        <v>147</v>
      </c>
      <c r="C406" s="896"/>
      <c r="D406" s="957" t="s">
        <v>244</v>
      </c>
      <c r="E406" s="907">
        <f>GLOBAL_DER_FEV_2023!E406</f>
        <v>22</v>
      </c>
      <c r="F406" s="908">
        <f>GLOBAL_DER_FEV_2023!F406</f>
        <v>1</v>
      </c>
      <c r="G406" s="912">
        <f>GLOBAL_DER_FEV_2023!G406</f>
        <v>29.990000000000002</v>
      </c>
      <c r="H406" s="901">
        <f>GLOBAL_DER_FEV_2023!H406</f>
        <v>0</v>
      </c>
      <c r="I406" s="901">
        <f>GLOBAL_DER_FEV_2023!I406</f>
        <v>0</v>
      </c>
      <c r="J406" s="902">
        <f>GLOBAL_DER_FEV_2023!J406</f>
        <v>0</v>
      </c>
      <c r="K406" s="903" t="s">
        <v>507</v>
      </c>
      <c r="L406" s="1003"/>
      <c r="M406" s="1157">
        <f t="shared" si="27"/>
        <v>0</v>
      </c>
      <c r="N406" s="893">
        <f t="shared" si="31"/>
        <v>0</v>
      </c>
      <c r="O406" s="905"/>
      <c r="P406" s="58" t="str">
        <f>IF(N402&gt;0,"xx",IF(N402&gt;0,"xy",""))</f>
        <v/>
      </c>
      <c r="Q406" s="317" t="str">
        <f t="shared" si="28"/>
        <v/>
      </c>
      <c r="R406" s="317" t="str">
        <f t="shared" si="29"/>
        <v/>
      </c>
      <c r="S406" s="317" t="str">
        <f t="shared" si="30"/>
        <v/>
      </c>
      <c r="T406" s="317" t="str">
        <f>GLOBAL_DER_FEV_2023!S406</f>
        <v/>
      </c>
      <c r="W406" s="582">
        <v>0</v>
      </c>
      <c r="X406" s="580"/>
      <c r="Y406" s="583">
        <f>IF(GLOBAL_DER_FEV_2023!W406=0,0,IF(GLOBAL_DER_FEV_2023!W406&gt;0,"c","b"))</f>
        <v>0</v>
      </c>
    </row>
    <row r="407" spans="1:25" ht="13.5" thickBot="1" x14ac:dyDescent="0.25">
      <c r="A407" s="317">
        <v>589000</v>
      </c>
      <c r="B407" s="1004" t="s">
        <v>715</v>
      </c>
      <c r="C407" s="984" t="s">
        <v>213</v>
      </c>
      <c r="D407" s="1012" t="s">
        <v>2172</v>
      </c>
      <c r="E407" s="1005">
        <f>GLOBAL_DER_FEV_2023!E407</f>
        <v>45</v>
      </c>
      <c r="F407" s="1006">
        <f>GLOBAL_DER_FEV_2023!F407</f>
        <v>1</v>
      </c>
      <c r="G407" s="949">
        <f>GLOBAL_DER_FEV_2023!G407</f>
        <v>88.36</v>
      </c>
      <c r="H407" s="988">
        <f>GLOBAL_DER_FEV_2023!H407</f>
        <v>4828.8599999999997</v>
      </c>
      <c r="I407" s="988">
        <f>GLOBAL_DER_FEV_2023!I407</f>
        <v>4724.580378112767</v>
      </c>
      <c r="J407" s="989">
        <f>GLOBAL_DER_FEV_2023!J407</f>
        <v>5672.8</v>
      </c>
      <c r="K407" s="990" t="s">
        <v>14</v>
      </c>
      <c r="L407" s="1154">
        <f>ROUND(L402*$F402,2)</f>
        <v>0</v>
      </c>
      <c r="M407" s="1159">
        <f t="shared" si="27"/>
        <v>0</v>
      </c>
      <c r="N407" s="993">
        <f t="shared" si="31"/>
        <v>0</v>
      </c>
      <c r="O407" s="905"/>
      <c r="P407" s="58" t="str">
        <f>IF(N402&gt;0,"xx",IF(N402&gt;0,"xy",""))</f>
        <v/>
      </c>
      <c r="Q407" s="317" t="str">
        <f t="shared" si="28"/>
        <v/>
      </c>
      <c r="R407" s="317" t="str">
        <f t="shared" si="29"/>
        <v/>
      </c>
      <c r="S407" s="317" t="str">
        <f t="shared" si="30"/>
        <v/>
      </c>
      <c r="T407" s="317" t="str">
        <f>GLOBAL_DER_FEV_2023!S407</f>
        <v/>
      </c>
      <c r="W407" s="582">
        <v>0</v>
      </c>
      <c r="X407" s="580"/>
      <c r="Y407" s="583">
        <f>IF(GLOBAL_DER_FEV_2023!W407=0,0,IF(GLOBAL_DER_FEV_2023!W407&gt;0,"c","b"))</f>
        <v>0</v>
      </c>
    </row>
    <row r="408" spans="1:25" ht="15.75" customHeight="1" x14ac:dyDescent="0.2">
      <c r="A408" s="317">
        <v>570000</v>
      </c>
      <c r="B408" s="999" t="str">
        <f>GLOBAL_DER_FEV_2023!B408</f>
        <v>570000A</v>
      </c>
      <c r="C408" s="1000" t="str">
        <f>GLOBAL_DER_FEV_2023!C408</f>
        <v>DER</v>
      </c>
      <c r="D408" s="1024" t="str">
        <f>GLOBAL_DER_FEV_2023!D408</f>
        <v>CBUQ - Novo traço - Reperfilamento 2 - "FAIXA C" - (Quant. menor que 10.000 ton)</v>
      </c>
      <c r="E408" s="974" t="str">
        <f>GLOBAL_DER_FEV_2023!E408</f>
        <v>taxa CAP</v>
      </c>
      <c r="F408" s="1022">
        <f>GLOBAL_DER_FEV_2023!F408</f>
        <v>5.0999999999999997E-2</v>
      </c>
      <c r="G408" s="976">
        <f>GLOBAL_DER_FEV_2023!G408</f>
        <v>51.927324600000006</v>
      </c>
      <c r="H408" s="977">
        <f>GLOBAL_DER_FEV_2023!H408</f>
        <v>187.41</v>
      </c>
      <c r="I408" s="977">
        <f>GLOBAL_DER_FEV_2023!I408</f>
        <v>239.33732459999999</v>
      </c>
      <c r="J408" s="978">
        <f>GLOBAL_DER_FEV_2023!J408</f>
        <v>287.37</v>
      </c>
      <c r="K408" s="979" t="s">
        <v>14</v>
      </c>
      <c r="L408" s="1152"/>
      <c r="M408" s="1153">
        <f t="shared" ref="M408:M413" si="42">IF(L408=0,0,ROUND(J408,2))</f>
        <v>0</v>
      </c>
      <c r="N408" s="982">
        <f t="shared" ref="N408:N413" si="43">IF(ISBLANK(L408),0,IF(W408=0,ROUND(L408*M408,2),IF(W408="b",ROUNDDOWN(L408*M408,2),ROUNDUP(L408*M408,2))))</f>
        <v>0</v>
      </c>
      <c r="O408" s="905"/>
      <c r="Q408" s="317" t="str">
        <f t="shared" ref="Q408:Q413" si="44">IF(P408="X","x",IF(P408="xx","x",IF(P408="xy","x",IF(P408="y","x",IF(OR(N408&gt;0,N408&gt;0),"x","")))))</f>
        <v/>
      </c>
      <c r="R408" s="317" t="str">
        <f t="shared" ref="R408:R413" si="45">IF(P408="X","x",IF(P408="y","x",IF(P408="xx","x",IF(N408&gt;0,"x",""))))</f>
        <v/>
      </c>
      <c r="S408" s="317" t="str">
        <f t="shared" ref="S408:S413" si="46">IF(P408="X","x",IF(N408&gt;0,"x",""))</f>
        <v/>
      </c>
      <c r="T408" s="317" t="str">
        <f>GLOBAL_DER_FEV_2023!S408</f>
        <v>x</v>
      </c>
      <c r="W408" s="582">
        <v>0</v>
      </c>
      <c r="X408" s="580"/>
      <c r="Y408" s="583" t="str">
        <f>IF(GLOBAL_DER_FEV_2023!W408=0,0,IF(GLOBAL_DER_FEV_2023!W408&gt;0,"c","b"))</f>
        <v>b</v>
      </c>
    </row>
    <row r="409" spans="1:25" x14ac:dyDescent="0.2">
      <c r="A409" s="317" t="s">
        <v>147</v>
      </c>
      <c r="B409" s="895" t="str">
        <f>GLOBAL_DER_FEV_2023!B409</f>
        <v>transporte</v>
      </c>
      <c r="C409" s="896">
        <f>GLOBAL_DER_FEV_2023!C409</f>
        <v>0</v>
      </c>
      <c r="D409" s="957" t="str">
        <f>GLOBAL_DER_FEV_2023!D409</f>
        <v>Areia</v>
      </c>
      <c r="E409" s="907">
        <f>GLOBAL_DER_FEV_2023!E409</f>
        <v>150</v>
      </c>
      <c r="F409" s="1287">
        <f>GLOBAL_DER_FEV_2023!F409</f>
        <v>9.4899999999999998E-2</v>
      </c>
      <c r="G409" s="949">
        <f>GLOBAL_DER_FEV_2023!G409</f>
        <v>15.485782</v>
      </c>
      <c r="H409" s="901">
        <f>GLOBAL_DER_FEV_2023!H409</f>
        <v>0</v>
      </c>
      <c r="I409" s="901">
        <f>GLOBAL_DER_FEV_2023!I409</f>
        <v>0</v>
      </c>
      <c r="J409" s="902">
        <f>GLOBAL_DER_FEV_2023!J409</f>
        <v>0</v>
      </c>
      <c r="K409" s="903" t="s">
        <v>507</v>
      </c>
      <c r="L409" s="1003"/>
      <c r="M409" s="1157">
        <f t="shared" si="42"/>
        <v>0</v>
      </c>
      <c r="N409" s="893">
        <f t="shared" si="43"/>
        <v>0</v>
      </c>
      <c r="O409" s="905"/>
      <c r="P409" s="58" t="str">
        <f>IF(N408&gt;0,"xx",IF(N408&gt;0,"xy",""))</f>
        <v/>
      </c>
      <c r="Q409" s="317" t="str">
        <f t="shared" si="44"/>
        <v/>
      </c>
      <c r="R409" s="317" t="str">
        <f t="shared" si="45"/>
        <v/>
      </c>
      <c r="S409" s="317" t="str">
        <f t="shared" si="46"/>
        <v/>
      </c>
      <c r="T409" s="317" t="str">
        <f>GLOBAL_DER_FEV_2023!S409</f>
        <v/>
      </c>
      <c r="W409" s="582">
        <v>0</v>
      </c>
      <c r="X409" s="580"/>
      <c r="Y409" s="583">
        <f>IF(GLOBAL_DER_FEV_2023!W409=0,0,IF(GLOBAL_DER_FEV_2023!W409&gt;0,"c","b"))</f>
        <v>0</v>
      </c>
    </row>
    <row r="410" spans="1:25" x14ac:dyDescent="0.2">
      <c r="A410" s="317" t="s">
        <v>147</v>
      </c>
      <c r="B410" s="895" t="str">
        <f>GLOBAL_DER_FEV_2023!B410</f>
        <v>transporte</v>
      </c>
      <c r="C410" s="896">
        <f>GLOBAL_DER_FEV_2023!C410</f>
        <v>0</v>
      </c>
      <c r="D410" s="957" t="str">
        <f>GLOBAL_DER_FEV_2023!D410</f>
        <v>Cal Hidratada CH-1</v>
      </c>
      <c r="E410" s="907">
        <f>GLOBAL_DER_FEV_2023!E410</f>
        <v>353</v>
      </c>
      <c r="F410" s="1287">
        <f>GLOBAL_DER_FEV_2023!F410</f>
        <v>1.4200000000000001E-2</v>
      </c>
      <c r="G410" s="909">
        <f>GLOBAL_DER_FEV_2023!G410</f>
        <v>4.0208720000000007</v>
      </c>
      <c r="H410" s="901">
        <f>GLOBAL_DER_FEV_2023!H410</f>
        <v>0</v>
      </c>
      <c r="I410" s="901">
        <f>GLOBAL_DER_FEV_2023!I410</f>
        <v>0</v>
      </c>
      <c r="J410" s="902">
        <f>GLOBAL_DER_FEV_2023!J410</f>
        <v>0</v>
      </c>
      <c r="K410" s="903" t="s">
        <v>507</v>
      </c>
      <c r="L410" s="1003"/>
      <c r="M410" s="1157">
        <f t="shared" si="42"/>
        <v>0</v>
      </c>
      <c r="N410" s="893">
        <f t="shared" si="43"/>
        <v>0</v>
      </c>
      <c r="O410" s="905"/>
      <c r="P410" s="58" t="str">
        <f>IF(N408&gt;0,"xx",IF(N408&gt;0,"xy",""))</f>
        <v/>
      </c>
      <c r="Q410" s="317" t="str">
        <f t="shared" si="44"/>
        <v/>
      </c>
      <c r="R410" s="317" t="str">
        <f t="shared" si="45"/>
        <v/>
      </c>
      <c r="S410" s="317" t="str">
        <f t="shared" si="46"/>
        <v/>
      </c>
      <c r="T410" s="317" t="str">
        <f>GLOBAL_DER_FEV_2023!S410</f>
        <v/>
      </c>
      <c r="W410" s="582">
        <v>0</v>
      </c>
      <c r="X410" s="580"/>
      <c r="Y410" s="583">
        <f>IF(GLOBAL_DER_FEV_2023!W410=0,0,IF(GLOBAL_DER_FEV_2023!W410&gt;0,"c","b"))</f>
        <v>0</v>
      </c>
    </row>
    <row r="411" spans="1:25" x14ac:dyDescent="0.2">
      <c r="A411" s="317" t="s">
        <v>147</v>
      </c>
      <c r="B411" s="895" t="str">
        <f>GLOBAL_DER_FEV_2023!B411</f>
        <v>transporte</v>
      </c>
      <c r="C411" s="896">
        <f>GLOBAL_DER_FEV_2023!C411</f>
        <v>0</v>
      </c>
      <c r="D411" s="957" t="str">
        <f>GLOBAL_DER_FEV_2023!D411</f>
        <v>Brita ( usina )</v>
      </c>
      <c r="E411" s="907">
        <f>GLOBAL_DER_FEV_2023!E411</f>
        <v>0.2</v>
      </c>
      <c r="F411" s="1287">
        <f>GLOBAL_DER_FEV_2023!F411</f>
        <v>0.83989999999999998</v>
      </c>
      <c r="G411" s="949">
        <f>GLOBAL_DER_FEV_2023!G411</f>
        <v>2.4306706</v>
      </c>
      <c r="H411" s="901">
        <f>GLOBAL_DER_FEV_2023!H411</f>
        <v>0</v>
      </c>
      <c r="I411" s="901">
        <f>GLOBAL_DER_FEV_2023!I411</f>
        <v>0</v>
      </c>
      <c r="J411" s="902">
        <f>GLOBAL_DER_FEV_2023!J411</f>
        <v>0</v>
      </c>
      <c r="K411" s="903" t="s">
        <v>507</v>
      </c>
      <c r="L411" s="1003"/>
      <c r="M411" s="1157">
        <f t="shared" si="42"/>
        <v>0</v>
      </c>
      <c r="N411" s="893">
        <f t="shared" si="43"/>
        <v>0</v>
      </c>
      <c r="O411" s="905"/>
      <c r="P411" s="58" t="str">
        <f>IF(N408&gt;0,"xx",IF(N408&gt;0,"xy",""))</f>
        <v/>
      </c>
      <c r="Q411" s="317" t="str">
        <f t="shared" si="44"/>
        <v/>
      </c>
      <c r="R411" s="317" t="str">
        <f t="shared" si="45"/>
        <v/>
      </c>
      <c r="S411" s="317" t="str">
        <f t="shared" si="46"/>
        <v/>
      </c>
      <c r="T411" s="317" t="str">
        <f>GLOBAL_DER_FEV_2023!S411</f>
        <v/>
      </c>
      <c r="W411" s="582">
        <v>0</v>
      </c>
      <c r="X411" s="580"/>
      <c r="Y411" s="583">
        <f>IF(GLOBAL_DER_FEV_2023!W411=0,0,IF(GLOBAL_DER_FEV_2023!W411&gt;0,"c","b"))</f>
        <v>0</v>
      </c>
    </row>
    <row r="412" spans="1:25" x14ac:dyDescent="0.2">
      <c r="A412" s="317" t="s">
        <v>147</v>
      </c>
      <c r="B412" s="895" t="str">
        <f>GLOBAL_DER_FEV_2023!B412</f>
        <v>transporte</v>
      </c>
      <c r="C412" s="896">
        <f>GLOBAL_DER_FEV_2023!C412</f>
        <v>0</v>
      </c>
      <c r="D412" s="957" t="str">
        <f>GLOBAL_DER_FEV_2023!D412</f>
        <v>Massa</v>
      </c>
      <c r="E412" s="907">
        <f>GLOBAL_DER_FEV_2023!E412</f>
        <v>22</v>
      </c>
      <c r="F412" s="908">
        <f>GLOBAL_DER_FEV_2023!F412</f>
        <v>1</v>
      </c>
      <c r="G412" s="912">
        <f>GLOBAL_DER_FEV_2023!G412</f>
        <v>29.990000000000002</v>
      </c>
      <c r="H412" s="901">
        <f>GLOBAL_DER_FEV_2023!H412</f>
        <v>0</v>
      </c>
      <c r="I412" s="901">
        <f>GLOBAL_DER_FEV_2023!I412</f>
        <v>0</v>
      </c>
      <c r="J412" s="902">
        <f>GLOBAL_DER_FEV_2023!J412</f>
        <v>0</v>
      </c>
      <c r="K412" s="903" t="s">
        <v>507</v>
      </c>
      <c r="L412" s="1003"/>
      <c r="M412" s="1157">
        <f t="shared" si="42"/>
        <v>0</v>
      </c>
      <c r="N412" s="893">
        <f t="shared" si="43"/>
        <v>0</v>
      </c>
      <c r="O412" s="905"/>
      <c r="P412" s="58" t="str">
        <f>IF(N408&gt;0,"xx",IF(N408&gt;0,"xy",""))</f>
        <v/>
      </c>
      <c r="Q412" s="317" t="str">
        <f t="shared" si="44"/>
        <v/>
      </c>
      <c r="R412" s="317" t="str">
        <f t="shared" si="45"/>
        <v/>
      </c>
      <c r="S412" s="317" t="str">
        <f t="shared" si="46"/>
        <v/>
      </c>
      <c r="T412" s="317" t="str">
        <f>GLOBAL_DER_FEV_2023!S412</f>
        <v/>
      </c>
      <c r="W412" s="582">
        <v>0</v>
      </c>
      <c r="X412" s="580"/>
      <c r="Y412" s="583">
        <f>IF(GLOBAL_DER_FEV_2023!W412=0,0,IF(GLOBAL_DER_FEV_2023!W412&gt;0,"c","b"))</f>
        <v>0</v>
      </c>
    </row>
    <row r="413" spans="1:25" ht="13.5" thickBot="1" x14ac:dyDescent="0.25">
      <c r="A413" s="317">
        <v>589000</v>
      </c>
      <c r="B413" s="1004" t="str">
        <f>GLOBAL_DER_FEV_2023!B413</f>
        <v>589000H</v>
      </c>
      <c r="C413" s="984" t="str">
        <f>GLOBAL_DER_FEV_2023!C413</f>
        <v>DER mat</v>
      </c>
      <c r="D413" s="1012" t="str">
        <f>GLOBAL_DER_FEV_2023!D413</f>
        <v>Fornecimento de CAP - CBUQ (Quantidade menor que 10.000 ton)</v>
      </c>
      <c r="E413" s="1005">
        <f>GLOBAL_DER_FEV_2023!E413</f>
        <v>45</v>
      </c>
      <c r="F413" s="1006">
        <f>GLOBAL_DER_FEV_2023!F413</f>
        <v>1</v>
      </c>
      <c r="G413" s="949">
        <f>GLOBAL_DER_FEV_2023!G413</f>
        <v>88.36</v>
      </c>
      <c r="H413" s="988">
        <f>GLOBAL_DER_FEV_2023!H413</f>
        <v>4828.8599999999997</v>
      </c>
      <c r="I413" s="988">
        <f>GLOBAL_DER_FEV_2023!I413</f>
        <v>4724.580378112767</v>
      </c>
      <c r="J413" s="989">
        <f>GLOBAL_DER_FEV_2023!J413</f>
        <v>5672.8</v>
      </c>
      <c r="K413" s="990" t="s">
        <v>14</v>
      </c>
      <c r="L413" s="1154">
        <f>ROUND(L408*$F408,2)</f>
        <v>0</v>
      </c>
      <c r="M413" s="1159">
        <f t="shared" si="42"/>
        <v>0</v>
      </c>
      <c r="N413" s="993">
        <f t="shared" si="43"/>
        <v>0</v>
      </c>
      <c r="O413" s="905"/>
      <c r="P413" s="58" t="str">
        <f>IF(N408&gt;0,"xx",IF(N408&gt;0,"xy",""))</f>
        <v/>
      </c>
      <c r="Q413" s="317" t="str">
        <f t="shared" si="44"/>
        <v/>
      </c>
      <c r="R413" s="317" t="str">
        <f t="shared" si="45"/>
        <v/>
      </c>
      <c r="S413" s="317" t="str">
        <f t="shared" si="46"/>
        <v/>
      </c>
      <c r="T413" s="317" t="str">
        <f>GLOBAL_DER_FEV_2023!S413</f>
        <v>x</v>
      </c>
      <c r="W413" s="582">
        <v>0</v>
      </c>
      <c r="X413" s="580"/>
      <c r="Y413" s="583" t="str">
        <f>IF(GLOBAL_DER_FEV_2023!W413=0,0,IF(GLOBAL_DER_FEV_2023!W413&gt;0,"c","b"))</f>
        <v>b</v>
      </c>
    </row>
    <row r="414" spans="1:25" ht="15.75" customHeight="1" x14ac:dyDescent="0.2">
      <c r="A414" s="317">
        <v>570000</v>
      </c>
      <c r="B414" s="999" t="str">
        <f>GLOBAL_DER_FEV_2023!B414</f>
        <v>570000A</v>
      </c>
      <c r="C414" s="1000" t="str">
        <f>GLOBAL_DER_FEV_2023!C414</f>
        <v>DER</v>
      </c>
      <c r="D414" s="1024" t="str">
        <f>GLOBAL_DER_FEV_2023!D414</f>
        <v>CBUQ - Novo traço - Reperfilamento 3 - "FAIXA C" - (Quant. menor que 10.000 ton)</v>
      </c>
      <c r="E414" s="974" t="str">
        <f>GLOBAL_DER_FEV_2023!E414</f>
        <v>taxa CAP</v>
      </c>
      <c r="F414" s="1022">
        <f>Novos_Traços_CBUQ!M178</f>
        <v>0.05</v>
      </c>
      <c r="G414" s="976">
        <f>GLOBAL_DER_FEV_2023!G414</f>
        <v>51.974273800000006</v>
      </c>
      <c r="H414" s="977">
        <f>GLOBAL_DER_FEV_2023!H414</f>
        <v>187.41</v>
      </c>
      <c r="I414" s="977">
        <f>GLOBAL_DER_FEV_2023!I414</f>
        <v>239.38427380000002</v>
      </c>
      <c r="J414" s="978">
        <f>GLOBAL_DER_FEV_2023!J414</f>
        <v>287.43</v>
      </c>
      <c r="K414" s="979" t="s">
        <v>14</v>
      </c>
      <c r="L414" s="1152"/>
      <c r="M414" s="1153">
        <f t="shared" ref="M414:M419" si="47">IF(L414=0,0,ROUND(J414,2))</f>
        <v>0</v>
      </c>
      <c r="N414" s="982">
        <f t="shared" ref="N414:N419" si="48">IF(ISBLANK(L414),0,IF(W414=0,ROUND(L414*M414,2),IF(W414="b",ROUNDDOWN(L414*M414,2),ROUNDUP(L414*M414,2))))</f>
        <v>0</v>
      </c>
      <c r="O414" s="905"/>
      <c r="Q414" s="317" t="str">
        <f t="shared" ref="Q414:Q419" si="49">IF(P414="X","x",IF(P414="xx","x",IF(P414="xy","x",IF(P414="y","x",IF(OR(N414&gt;0,N414&gt;0),"x","")))))</f>
        <v/>
      </c>
      <c r="R414" s="317" t="str">
        <f t="shared" ref="R414:R419" si="50">IF(P414="X","x",IF(P414="y","x",IF(P414="xx","x",IF(N414&gt;0,"x",""))))</f>
        <v/>
      </c>
      <c r="S414" s="317" t="str">
        <f t="shared" ref="S414:S419" si="51">IF(P414="X","x",IF(N414&gt;0,"x",""))</f>
        <v/>
      </c>
      <c r="T414" s="317" t="str">
        <f>GLOBAL_DER_FEV_2023!S414</f>
        <v/>
      </c>
      <c r="W414" s="582">
        <v>0</v>
      </c>
      <c r="X414" s="580"/>
      <c r="Y414" s="583">
        <f>IF(GLOBAL_DER_FEV_2023!W414=0,0,IF(GLOBAL_DER_FEV_2023!W414&gt;0,"c","b"))</f>
        <v>0</v>
      </c>
    </row>
    <row r="415" spans="1:25" x14ac:dyDescent="0.2">
      <c r="A415" s="317" t="s">
        <v>147</v>
      </c>
      <c r="B415" s="895" t="str">
        <f>GLOBAL_DER_FEV_2023!B415</f>
        <v>transporte</v>
      </c>
      <c r="C415" s="896">
        <f>GLOBAL_DER_FEV_2023!C415</f>
        <v>0</v>
      </c>
      <c r="D415" s="957" t="str">
        <f>GLOBAL_DER_FEV_2023!D415</f>
        <v>Areia</v>
      </c>
      <c r="E415" s="907">
        <f>GLOBAL_DER_FEV_2023!E415</f>
        <v>150</v>
      </c>
      <c r="F415" s="1287">
        <f>Novos_Traços_CBUQ!M176</f>
        <v>9.5000000000000001E-2</v>
      </c>
      <c r="G415" s="949">
        <f>GLOBAL_DER_FEV_2023!G415</f>
        <v>15.5021</v>
      </c>
      <c r="H415" s="901">
        <f>GLOBAL_DER_FEV_2023!H415</f>
        <v>0</v>
      </c>
      <c r="I415" s="901">
        <f>GLOBAL_DER_FEV_2023!I415</f>
        <v>0</v>
      </c>
      <c r="J415" s="902">
        <f>GLOBAL_DER_FEV_2023!J415</f>
        <v>0</v>
      </c>
      <c r="K415" s="903" t="s">
        <v>507</v>
      </c>
      <c r="L415" s="1003"/>
      <c r="M415" s="1157">
        <f t="shared" si="47"/>
        <v>0</v>
      </c>
      <c r="N415" s="893">
        <f t="shared" si="48"/>
        <v>0</v>
      </c>
      <c r="O415" s="905"/>
      <c r="P415" s="58" t="str">
        <f>IF(N414&gt;0,"xx",IF(N414&gt;0,"xy",""))</f>
        <v/>
      </c>
      <c r="Q415" s="317" t="str">
        <f t="shared" si="49"/>
        <v/>
      </c>
      <c r="R415" s="317" t="str">
        <f t="shared" si="50"/>
        <v/>
      </c>
      <c r="S415" s="317" t="str">
        <f t="shared" si="51"/>
        <v/>
      </c>
      <c r="T415" s="317" t="str">
        <f>GLOBAL_DER_FEV_2023!S415</f>
        <v/>
      </c>
      <c r="W415" s="582">
        <v>0</v>
      </c>
      <c r="X415" s="580"/>
      <c r="Y415" s="583">
        <f>IF(GLOBAL_DER_FEV_2023!W415=0,0,IF(GLOBAL_DER_FEV_2023!W415&gt;0,"c","b"))</f>
        <v>0</v>
      </c>
    </row>
    <row r="416" spans="1:25" x14ac:dyDescent="0.2">
      <c r="A416" s="317" t="s">
        <v>147</v>
      </c>
      <c r="B416" s="895" t="str">
        <f>GLOBAL_DER_FEV_2023!B416</f>
        <v>transporte</v>
      </c>
      <c r="C416" s="896">
        <f>GLOBAL_DER_FEV_2023!C416</f>
        <v>0</v>
      </c>
      <c r="D416" s="957" t="str">
        <f>GLOBAL_DER_FEV_2023!D416</f>
        <v>Cal Hidratada CH-1</v>
      </c>
      <c r="E416" s="907">
        <f>GLOBAL_DER_FEV_2023!E416</f>
        <v>353</v>
      </c>
      <c r="F416" s="1287">
        <f>Novos_Traços_CBUQ!M177</f>
        <v>1.43E-2</v>
      </c>
      <c r="G416" s="909">
        <f>GLOBAL_DER_FEV_2023!G416</f>
        <v>4.049188</v>
      </c>
      <c r="H416" s="901">
        <f>GLOBAL_DER_FEV_2023!H416</f>
        <v>0</v>
      </c>
      <c r="I416" s="901">
        <f>GLOBAL_DER_FEV_2023!I416</f>
        <v>0</v>
      </c>
      <c r="J416" s="902">
        <f>GLOBAL_DER_FEV_2023!J416</f>
        <v>0</v>
      </c>
      <c r="K416" s="903" t="s">
        <v>507</v>
      </c>
      <c r="L416" s="1003"/>
      <c r="M416" s="1157">
        <f t="shared" si="47"/>
        <v>0</v>
      </c>
      <c r="N416" s="893">
        <f t="shared" si="48"/>
        <v>0</v>
      </c>
      <c r="O416" s="905"/>
      <c r="P416" s="58" t="str">
        <f>IF(N414&gt;0,"xx",IF(N414&gt;0,"xy",""))</f>
        <v/>
      </c>
      <c r="Q416" s="317" t="str">
        <f t="shared" si="49"/>
        <v/>
      </c>
      <c r="R416" s="317" t="str">
        <f t="shared" si="50"/>
        <v/>
      </c>
      <c r="S416" s="317" t="str">
        <f t="shared" si="51"/>
        <v/>
      </c>
      <c r="T416" s="317" t="str">
        <f>GLOBAL_DER_FEV_2023!S416</f>
        <v/>
      </c>
      <c r="W416" s="582">
        <v>0</v>
      </c>
      <c r="X416" s="580"/>
      <c r="Y416" s="583">
        <f>IF(GLOBAL_DER_FEV_2023!W416=0,0,IF(GLOBAL_DER_FEV_2023!W416&gt;0,"c","b"))</f>
        <v>0</v>
      </c>
    </row>
    <row r="417" spans="1:25" x14ac:dyDescent="0.2">
      <c r="A417" s="317" t="s">
        <v>147</v>
      </c>
      <c r="B417" s="895" t="str">
        <f>GLOBAL_DER_FEV_2023!B417</f>
        <v>transporte</v>
      </c>
      <c r="C417" s="896">
        <f>GLOBAL_DER_FEV_2023!C417</f>
        <v>0</v>
      </c>
      <c r="D417" s="957" t="str">
        <f>GLOBAL_DER_FEV_2023!D417</f>
        <v>Brita ( usina )</v>
      </c>
      <c r="E417" s="907">
        <f>GLOBAL_DER_FEV_2023!E417</f>
        <v>0.2</v>
      </c>
      <c r="F417" s="1287">
        <f>Novos_Traços_CBUQ!M174</f>
        <v>0.8407</v>
      </c>
      <c r="G417" s="949">
        <f>GLOBAL_DER_FEV_2023!G417</f>
        <v>2.4329858</v>
      </c>
      <c r="H417" s="901">
        <f>GLOBAL_DER_FEV_2023!H417</f>
        <v>0</v>
      </c>
      <c r="I417" s="901">
        <f>GLOBAL_DER_FEV_2023!I417</f>
        <v>0</v>
      </c>
      <c r="J417" s="902">
        <f>GLOBAL_DER_FEV_2023!J417</f>
        <v>0</v>
      </c>
      <c r="K417" s="903" t="s">
        <v>507</v>
      </c>
      <c r="L417" s="1003"/>
      <c r="M417" s="1157">
        <f t="shared" si="47"/>
        <v>0</v>
      </c>
      <c r="N417" s="893">
        <f t="shared" si="48"/>
        <v>0</v>
      </c>
      <c r="O417" s="905"/>
      <c r="P417" s="58" t="str">
        <f>IF(N414&gt;0,"xx",IF(N414&gt;0,"xy",""))</f>
        <v/>
      </c>
      <c r="Q417" s="317" t="str">
        <f t="shared" si="49"/>
        <v/>
      </c>
      <c r="R417" s="317" t="str">
        <f t="shared" si="50"/>
        <v/>
      </c>
      <c r="S417" s="317" t="str">
        <f t="shared" si="51"/>
        <v/>
      </c>
      <c r="T417" s="317" t="str">
        <f>GLOBAL_DER_FEV_2023!S417</f>
        <v/>
      </c>
      <c r="W417" s="582">
        <v>0</v>
      </c>
      <c r="X417" s="580"/>
      <c r="Y417" s="583">
        <f>IF(GLOBAL_DER_FEV_2023!W417=0,0,IF(GLOBAL_DER_FEV_2023!W417&gt;0,"c","b"))</f>
        <v>0</v>
      </c>
    </row>
    <row r="418" spans="1:25" x14ac:dyDescent="0.2">
      <c r="A418" s="317" t="s">
        <v>147</v>
      </c>
      <c r="B418" s="895" t="str">
        <f>GLOBAL_DER_FEV_2023!B418</f>
        <v>transporte</v>
      </c>
      <c r="C418" s="896">
        <f>GLOBAL_DER_FEV_2023!C418</f>
        <v>0</v>
      </c>
      <c r="D418" s="957" t="str">
        <f>GLOBAL_DER_FEV_2023!D418</f>
        <v>Massa</v>
      </c>
      <c r="E418" s="907">
        <f>GLOBAL_DER_FEV_2023!E418</f>
        <v>22</v>
      </c>
      <c r="F418" s="908">
        <f>GLOBAL_DER_FEV_2023!F418</f>
        <v>1</v>
      </c>
      <c r="G418" s="912">
        <f>GLOBAL_DER_FEV_2023!G418</f>
        <v>29.990000000000002</v>
      </c>
      <c r="H418" s="901">
        <f>GLOBAL_DER_FEV_2023!H418</f>
        <v>0</v>
      </c>
      <c r="I418" s="901">
        <f>GLOBAL_DER_FEV_2023!I418</f>
        <v>0</v>
      </c>
      <c r="J418" s="902">
        <f>GLOBAL_DER_FEV_2023!J418</f>
        <v>0</v>
      </c>
      <c r="K418" s="903" t="s">
        <v>507</v>
      </c>
      <c r="L418" s="1003"/>
      <c r="M418" s="1157">
        <f t="shared" si="47"/>
        <v>0</v>
      </c>
      <c r="N418" s="893">
        <f t="shared" si="48"/>
        <v>0</v>
      </c>
      <c r="O418" s="905"/>
      <c r="P418" s="58" t="str">
        <f>IF(N414&gt;0,"xx",IF(N414&gt;0,"xy",""))</f>
        <v/>
      </c>
      <c r="Q418" s="317" t="str">
        <f t="shared" si="49"/>
        <v/>
      </c>
      <c r="R418" s="317" t="str">
        <f t="shared" si="50"/>
        <v/>
      </c>
      <c r="S418" s="317" t="str">
        <f t="shared" si="51"/>
        <v/>
      </c>
      <c r="T418" s="317" t="str">
        <f>GLOBAL_DER_FEV_2023!S418</f>
        <v/>
      </c>
      <c r="W418" s="582">
        <v>0</v>
      </c>
      <c r="X418" s="580"/>
      <c r="Y418" s="583">
        <f>IF(GLOBAL_DER_FEV_2023!W418=0,0,IF(GLOBAL_DER_FEV_2023!W418&gt;0,"c","b"))</f>
        <v>0</v>
      </c>
    </row>
    <row r="419" spans="1:25" ht="13.5" thickBot="1" x14ac:dyDescent="0.25">
      <c r="A419" s="317">
        <v>589000</v>
      </c>
      <c r="B419" s="1004" t="str">
        <f>GLOBAL_DER_FEV_2023!B419</f>
        <v>589000H</v>
      </c>
      <c r="C419" s="984" t="str">
        <f>GLOBAL_DER_FEV_2023!C419</f>
        <v>DER mat</v>
      </c>
      <c r="D419" s="1012" t="str">
        <f>GLOBAL_DER_FEV_2023!D419</f>
        <v>Fornecimento de CAP - CBUQ (Quantidade menor que 10.000 ton)</v>
      </c>
      <c r="E419" s="1005">
        <f>GLOBAL_DER_FEV_2023!E419</f>
        <v>45</v>
      </c>
      <c r="F419" s="1006">
        <f>GLOBAL_DER_FEV_2023!F419</f>
        <v>1</v>
      </c>
      <c r="G419" s="949">
        <f>GLOBAL_DER_FEV_2023!G419</f>
        <v>88.36</v>
      </c>
      <c r="H419" s="988">
        <f>GLOBAL_DER_FEV_2023!H419</f>
        <v>4828.8599999999997</v>
      </c>
      <c r="I419" s="988">
        <f>GLOBAL_DER_FEV_2023!I419</f>
        <v>4724.580378112767</v>
      </c>
      <c r="J419" s="989">
        <f>GLOBAL_DER_FEV_2023!J419</f>
        <v>5672.8</v>
      </c>
      <c r="K419" s="990" t="s">
        <v>14</v>
      </c>
      <c r="L419" s="1154">
        <f>ROUND(L414*$F414,2)</f>
        <v>0</v>
      </c>
      <c r="M419" s="1159">
        <f t="shared" si="47"/>
        <v>0</v>
      </c>
      <c r="N419" s="993">
        <f t="shared" si="48"/>
        <v>0</v>
      </c>
      <c r="O419" s="905"/>
      <c r="P419" s="58" t="str">
        <f>IF(N414&gt;0,"xx",IF(N414&gt;0,"xy",""))</f>
        <v/>
      </c>
      <c r="Q419" s="317" t="str">
        <f t="shared" si="49"/>
        <v/>
      </c>
      <c r="R419" s="317" t="str">
        <f t="shared" si="50"/>
        <v/>
      </c>
      <c r="S419" s="317" t="str">
        <f t="shared" si="51"/>
        <v/>
      </c>
      <c r="T419" s="317" t="str">
        <f>GLOBAL_DER_FEV_2023!S419</f>
        <v/>
      </c>
      <c r="W419" s="582">
        <v>0</v>
      </c>
      <c r="X419" s="580"/>
      <c r="Y419" s="583">
        <f>IF(GLOBAL_DER_FEV_2023!W419=0,0,IF(GLOBAL_DER_FEV_2023!W419&gt;0,"c","b"))</f>
        <v>0</v>
      </c>
    </row>
    <row r="420" spans="1:25" x14ac:dyDescent="0.2">
      <c r="A420" s="317">
        <v>570000</v>
      </c>
      <c r="B420" s="999" t="str">
        <f>GLOBAL_DER_FEV_2023!B420</f>
        <v>570000B</v>
      </c>
      <c r="C420" s="1000" t="str">
        <f>GLOBAL_DER_FEV_2023!C420</f>
        <v>DER</v>
      </c>
      <c r="D420" s="1019" t="str">
        <f>GLOBAL_DER_FEV_2023!D420</f>
        <v>CBUQ - TRAÇO 1 - CAPA - Faixa "C" (Quantidade menor que 10.000 ton)</v>
      </c>
      <c r="E420" s="974" t="str">
        <f>GLOBAL_DER_FEV_2023!E420</f>
        <v>taxa CAP</v>
      </c>
      <c r="F420" s="1023">
        <f>Novos_Traços_CBUQ!M184</f>
        <v>0.05</v>
      </c>
      <c r="G420" s="976">
        <f>GLOBAL_DER_FEV_2023!G420</f>
        <v>53.140143399999999</v>
      </c>
      <c r="H420" s="977">
        <f>GLOBAL_DER_FEV_2023!H420</f>
        <v>187.41</v>
      </c>
      <c r="I420" s="977">
        <f>GLOBAL_DER_FEV_2023!I420</f>
        <v>240.5501434</v>
      </c>
      <c r="J420" s="978">
        <f>GLOBAL_DER_FEV_2023!J420</f>
        <v>288.83</v>
      </c>
      <c r="K420" s="979" t="s">
        <v>14</v>
      </c>
      <c r="L420" s="1152"/>
      <c r="M420" s="1153">
        <f t="shared" si="27"/>
        <v>0</v>
      </c>
      <c r="N420" s="982">
        <f t="shared" si="31"/>
        <v>0</v>
      </c>
      <c r="O420" s="905"/>
      <c r="Q420" s="317" t="str">
        <f t="shared" si="28"/>
        <v/>
      </c>
      <c r="R420" s="317" t="str">
        <f t="shared" si="29"/>
        <v/>
      </c>
      <c r="S420" s="317" t="str">
        <f t="shared" si="30"/>
        <v/>
      </c>
      <c r="T420" s="317" t="str">
        <f>GLOBAL_DER_FEV_2023!S420</f>
        <v>x</v>
      </c>
      <c r="W420" s="582">
        <v>0</v>
      </c>
      <c r="X420" s="580"/>
      <c r="Y420" s="583" t="str">
        <f>IF(GLOBAL_DER_FEV_2023!W420=0,0,IF(GLOBAL_DER_FEV_2023!W420&gt;0,"c","b"))</f>
        <v>b</v>
      </c>
    </row>
    <row r="421" spans="1:25" x14ac:dyDescent="0.2">
      <c r="A421" s="317" t="s">
        <v>147</v>
      </c>
      <c r="B421" s="895" t="str">
        <f>GLOBAL_DER_FEV_2023!B421</f>
        <v>transporte</v>
      </c>
      <c r="C421" s="896">
        <f>GLOBAL_DER_FEV_2023!C421</f>
        <v>0</v>
      </c>
      <c r="D421" s="957" t="str">
        <f>GLOBAL_DER_FEV_2023!D421</f>
        <v>Areia</v>
      </c>
      <c r="E421" s="907">
        <f>GLOBAL_DER_FEV_2023!E421</f>
        <v>150</v>
      </c>
      <c r="F421" s="908">
        <f>Novos_Traços_CBUQ!M182</f>
        <v>0</v>
      </c>
      <c r="G421" s="949">
        <f>GLOBAL_DER_FEV_2023!G421</f>
        <v>16.432226</v>
      </c>
      <c r="H421" s="901">
        <f>GLOBAL_DER_FEV_2023!H421</f>
        <v>0</v>
      </c>
      <c r="I421" s="901">
        <f>GLOBAL_DER_FEV_2023!I421</f>
        <v>0</v>
      </c>
      <c r="J421" s="902">
        <f>GLOBAL_DER_FEV_2023!J421</f>
        <v>0</v>
      </c>
      <c r="K421" s="903" t="s">
        <v>507</v>
      </c>
      <c r="L421" s="1003"/>
      <c r="M421" s="1157">
        <f t="shared" si="27"/>
        <v>0</v>
      </c>
      <c r="N421" s="893">
        <f t="shared" si="31"/>
        <v>0</v>
      </c>
      <c r="O421" s="905"/>
      <c r="P421" s="58" t="str">
        <f>IF(N420&gt;0,"xx",IF(N420&gt;0,"xy",""))</f>
        <v/>
      </c>
      <c r="Q421" s="317" t="str">
        <f t="shared" si="28"/>
        <v/>
      </c>
      <c r="R421" s="317" t="str">
        <f t="shared" si="29"/>
        <v/>
      </c>
      <c r="S421" s="317" t="str">
        <f t="shared" si="30"/>
        <v/>
      </c>
      <c r="T421" s="317" t="str">
        <f>GLOBAL_DER_FEV_2023!S421</f>
        <v/>
      </c>
      <c r="W421" s="582">
        <v>0</v>
      </c>
      <c r="X421" s="580"/>
      <c r="Y421" s="583">
        <f>IF(GLOBAL_DER_FEV_2023!W421=0,0,IF(GLOBAL_DER_FEV_2023!W421&gt;0,"c","b"))</f>
        <v>0</v>
      </c>
    </row>
    <row r="422" spans="1:25" x14ac:dyDescent="0.2">
      <c r="A422" s="317" t="s">
        <v>147</v>
      </c>
      <c r="B422" s="895" t="str">
        <f>GLOBAL_DER_FEV_2023!B422</f>
        <v>transporte</v>
      </c>
      <c r="C422" s="896">
        <f>GLOBAL_DER_FEV_2023!C422</f>
        <v>0</v>
      </c>
      <c r="D422" s="957" t="str">
        <f>GLOBAL_DER_FEV_2023!D422</f>
        <v>Cal Hidratada CH-1</v>
      </c>
      <c r="E422" s="907">
        <f>GLOBAL_DER_FEV_2023!E422</f>
        <v>353</v>
      </c>
      <c r="F422" s="908">
        <f>Novos_Traços_CBUQ!M183</f>
        <v>0</v>
      </c>
      <c r="G422" s="909">
        <f>GLOBAL_DER_FEV_2023!G422</f>
        <v>4.3040320000000003</v>
      </c>
      <c r="H422" s="901">
        <f>GLOBAL_DER_FEV_2023!H422</f>
        <v>0</v>
      </c>
      <c r="I422" s="901">
        <f>GLOBAL_DER_FEV_2023!I422</f>
        <v>0</v>
      </c>
      <c r="J422" s="902">
        <f>GLOBAL_DER_FEV_2023!J422</f>
        <v>0</v>
      </c>
      <c r="K422" s="903" t="s">
        <v>507</v>
      </c>
      <c r="L422" s="1003"/>
      <c r="M422" s="1157">
        <f t="shared" si="27"/>
        <v>0</v>
      </c>
      <c r="N422" s="893">
        <f t="shared" si="31"/>
        <v>0</v>
      </c>
      <c r="O422" s="905"/>
      <c r="P422" s="58" t="str">
        <f>IF(N420&gt;0,"xx",IF(N420&gt;0,"xy",""))</f>
        <v/>
      </c>
      <c r="Q422" s="317" t="str">
        <f t="shared" si="28"/>
        <v/>
      </c>
      <c r="R422" s="317" t="str">
        <f t="shared" si="29"/>
        <v/>
      </c>
      <c r="S422" s="317" t="str">
        <f t="shared" si="30"/>
        <v/>
      </c>
      <c r="T422" s="317" t="str">
        <f>GLOBAL_DER_FEV_2023!S422</f>
        <v/>
      </c>
      <c r="W422" s="582">
        <v>0</v>
      </c>
      <c r="X422" s="580"/>
      <c r="Y422" s="583">
        <f>IF(GLOBAL_DER_FEV_2023!W422=0,0,IF(GLOBAL_DER_FEV_2023!W422&gt;0,"c","b"))</f>
        <v>0</v>
      </c>
    </row>
    <row r="423" spans="1:25" x14ac:dyDescent="0.2">
      <c r="A423" s="317" t="s">
        <v>147</v>
      </c>
      <c r="B423" s="895" t="str">
        <f>GLOBAL_DER_FEV_2023!B423</f>
        <v>transporte</v>
      </c>
      <c r="C423" s="896">
        <f>GLOBAL_DER_FEV_2023!C423</f>
        <v>0</v>
      </c>
      <c r="D423" s="957" t="str">
        <f>GLOBAL_DER_FEV_2023!D423</f>
        <v>Brita ( usina )</v>
      </c>
      <c r="E423" s="907">
        <f>GLOBAL_DER_FEV_2023!E423</f>
        <v>0.2</v>
      </c>
      <c r="F423" s="908" t="str">
        <f>Novos_Traços_CBUQ!M180</f>
        <v>OK</v>
      </c>
      <c r="G423" s="949">
        <f>GLOBAL_DER_FEV_2023!G423</f>
        <v>2.4138853999999998</v>
      </c>
      <c r="H423" s="901">
        <f>GLOBAL_DER_FEV_2023!H423</f>
        <v>0</v>
      </c>
      <c r="I423" s="901">
        <f>GLOBAL_DER_FEV_2023!I423</f>
        <v>0</v>
      </c>
      <c r="J423" s="902">
        <f>GLOBAL_DER_FEV_2023!J423</f>
        <v>0</v>
      </c>
      <c r="K423" s="903" t="s">
        <v>507</v>
      </c>
      <c r="L423" s="1003"/>
      <c r="M423" s="1157">
        <f t="shared" si="27"/>
        <v>0</v>
      </c>
      <c r="N423" s="893">
        <f t="shared" si="31"/>
        <v>0</v>
      </c>
      <c r="O423" s="905"/>
      <c r="P423" s="58" t="str">
        <f>IF(N420&gt;0,"xx",IF(N420&gt;0,"xy",""))</f>
        <v/>
      </c>
      <c r="Q423" s="317" t="str">
        <f t="shared" si="28"/>
        <v/>
      </c>
      <c r="R423" s="317" t="str">
        <f t="shared" si="29"/>
        <v/>
      </c>
      <c r="S423" s="317" t="str">
        <f t="shared" si="30"/>
        <v/>
      </c>
      <c r="T423" s="317" t="str">
        <f>GLOBAL_DER_FEV_2023!S423</f>
        <v/>
      </c>
      <c r="W423" s="582">
        <v>0</v>
      </c>
      <c r="X423" s="580"/>
      <c r="Y423" s="583">
        <f>IF(GLOBAL_DER_FEV_2023!W423=0,0,IF(GLOBAL_DER_FEV_2023!W423&gt;0,"c","b"))</f>
        <v>0</v>
      </c>
    </row>
    <row r="424" spans="1:25" x14ac:dyDescent="0.2">
      <c r="A424" s="317" t="s">
        <v>147</v>
      </c>
      <c r="B424" s="895" t="str">
        <f>GLOBAL_DER_FEV_2023!B424</f>
        <v>transporte</v>
      </c>
      <c r="C424" s="896">
        <f>GLOBAL_DER_FEV_2023!C424</f>
        <v>0</v>
      </c>
      <c r="D424" s="957" t="str">
        <f>GLOBAL_DER_FEV_2023!D424</f>
        <v>Massa</v>
      </c>
      <c r="E424" s="907">
        <f>GLOBAL_DER_FEV_2023!E424</f>
        <v>22</v>
      </c>
      <c r="F424" s="908">
        <f>GLOBAL_DER_FEV_2023!F424</f>
        <v>1</v>
      </c>
      <c r="G424" s="912">
        <f>GLOBAL_DER_FEV_2023!G424</f>
        <v>29.990000000000002</v>
      </c>
      <c r="H424" s="901">
        <f>GLOBAL_DER_FEV_2023!H424</f>
        <v>0</v>
      </c>
      <c r="I424" s="901">
        <f>GLOBAL_DER_FEV_2023!I424</f>
        <v>0</v>
      </c>
      <c r="J424" s="902">
        <f>GLOBAL_DER_FEV_2023!J424</f>
        <v>0</v>
      </c>
      <c r="K424" s="903" t="s">
        <v>507</v>
      </c>
      <c r="L424" s="1003"/>
      <c r="M424" s="1157">
        <f t="shared" si="27"/>
        <v>0</v>
      </c>
      <c r="N424" s="893">
        <f t="shared" si="31"/>
        <v>0</v>
      </c>
      <c r="O424" s="905"/>
      <c r="P424" s="58" t="str">
        <f>IF(N420&gt;0,"xx",IF(N420&gt;0,"xy",""))</f>
        <v/>
      </c>
      <c r="Q424" s="317" t="str">
        <f t="shared" si="28"/>
        <v/>
      </c>
      <c r="R424" s="317" t="str">
        <f t="shared" si="29"/>
        <v/>
      </c>
      <c r="S424" s="317" t="str">
        <f t="shared" si="30"/>
        <v/>
      </c>
      <c r="T424" s="317" t="str">
        <f>GLOBAL_DER_FEV_2023!S424</f>
        <v/>
      </c>
      <c r="W424" s="582">
        <v>0</v>
      </c>
      <c r="X424" s="580"/>
      <c r="Y424" s="583">
        <f>IF(GLOBAL_DER_FEV_2023!W424=0,0,IF(GLOBAL_DER_FEV_2023!W424&gt;0,"c","b"))</f>
        <v>0</v>
      </c>
    </row>
    <row r="425" spans="1:25" ht="13.5" thickBot="1" x14ac:dyDescent="0.25">
      <c r="A425" s="317">
        <v>589000</v>
      </c>
      <c r="B425" s="1004" t="str">
        <f>GLOBAL_DER_FEV_2023!B425</f>
        <v>589000I</v>
      </c>
      <c r="C425" s="984" t="str">
        <f>GLOBAL_DER_FEV_2023!C425</f>
        <v>DER mat</v>
      </c>
      <c r="D425" s="1012" t="str">
        <f>GLOBAL_DER_FEV_2023!D425</f>
        <v>Fornecimento de CAP - CBUQ (Quantidade menor que 10.000 ton)</v>
      </c>
      <c r="E425" s="1005">
        <f>GLOBAL_DER_FEV_2023!E425</f>
        <v>45</v>
      </c>
      <c r="F425" s="1006">
        <f>GLOBAL_DER_FEV_2023!F425</f>
        <v>1</v>
      </c>
      <c r="G425" s="949">
        <f>GLOBAL_DER_FEV_2023!G425</f>
        <v>88.36</v>
      </c>
      <c r="H425" s="988">
        <f>GLOBAL_DER_FEV_2023!H425</f>
        <v>4828.8599999999997</v>
      </c>
      <c r="I425" s="988">
        <f>GLOBAL_DER_FEV_2023!I425</f>
        <v>4724.580378112767</v>
      </c>
      <c r="J425" s="989">
        <f>GLOBAL_DER_FEV_2023!J425</f>
        <v>5672.8</v>
      </c>
      <c r="K425" s="990" t="s">
        <v>14</v>
      </c>
      <c r="L425" s="1154">
        <f>ROUND(L420*$F420,2)</f>
        <v>0</v>
      </c>
      <c r="M425" s="1159">
        <f t="shared" ref="M425:M524" si="52">IF(L425=0,0,ROUND(J425,2))</f>
        <v>0</v>
      </c>
      <c r="N425" s="993">
        <f t="shared" si="31"/>
        <v>0</v>
      </c>
      <c r="O425" s="905"/>
      <c r="P425" s="58" t="str">
        <f>IF(N420&gt;0,"xx",IF(N420&gt;0,"xy",""))</f>
        <v/>
      </c>
      <c r="Q425" s="317" t="str">
        <f t="shared" si="28"/>
        <v/>
      </c>
      <c r="R425" s="317" t="str">
        <f t="shared" si="29"/>
        <v/>
      </c>
      <c r="S425" s="317" t="str">
        <f t="shared" si="30"/>
        <v/>
      </c>
      <c r="T425" s="317" t="str">
        <f>GLOBAL_DER_FEV_2023!S425</f>
        <v>x</v>
      </c>
      <c r="W425" s="582">
        <v>0</v>
      </c>
      <c r="X425" s="580"/>
      <c r="Y425" s="583">
        <f>IF(GLOBAL_DER_FEV_2023!W425=0,0,IF(GLOBAL_DER_FEV_2023!W425&gt;0,"c","b"))</f>
        <v>0</v>
      </c>
    </row>
    <row r="426" spans="1:25" x14ac:dyDescent="0.2">
      <c r="A426" s="317">
        <v>570000</v>
      </c>
      <c r="B426" s="999" t="str">
        <f>GLOBAL_DER_FEV_2023!B426</f>
        <v>570000C</v>
      </c>
      <c r="C426" s="1000" t="str">
        <f>GLOBAL_DER_FEV_2023!C426</f>
        <v>DER</v>
      </c>
      <c r="D426" s="1019" t="str">
        <f>GLOBAL_DER_FEV_2023!D426</f>
        <v>CBUQ - TRAÇO 2 - CAPA - Faixa "C" (Quantidade menor que 10.000 ton)</v>
      </c>
      <c r="E426" s="974" t="str">
        <f>GLOBAL_DER_FEV_2023!E426</f>
        <v>taxa CAP</v>
      </c>
      <c r="F426" s="1023">
        <f>GLOBAL_DER_FEV_2023!F426</f>
        <v>5.5E-2</v>
      </c>
      <c r="G426" s="976">
        <f>GLOBAL_DER_FEV_2023!G426</f>
        <v>53.017503800000007</v>
      </c>
      <c r="H426" s="977">
        <f>GLOBAL_DER_FEV_2023!H426</f>
        <v>187.41</v>
      </c>
      <c r="I426" s="977">
        <f>GLOBAL_DER_FEV_2023!I426</f>
        <v>240.42750380000001</v>
      </c>
      <c r="J426" s="978">
        <f>GLOBAL_DER_FEV_2023!J426</f>
        <v>288.68</v>
      </c>
      <c r="K426" s="979" t="s">
        <v>14</v>
      </c>
      <c r="L426" s="1152"/>
      <c r="M426" s="1153">
        <f t="shared" si="52"/>
        <v>0</v>
      </c>
      <c r="N426" s="982">
        <f t="shared" si="31"/>
        <v>0</v>
      </c>
      <c r="O426" s="905"/>
      <c r="Q426" s="317" t="str">
        <f t="shared" si="28"/>
        <v/>
      </c>
      <c r="R426" s="317" t="str">
        <f t="shared" si="29"/>
        <v/>
      </c>
      <c r="S426" s="317" t="str">
        <f t="shared" si="30"/>
        <v/>
      </c>
      <c r="T426" s="317" t="str">
        <f>GLOBAL_DER_FEV_2023!S426</f>
        <v/>
      </c>
      <c r="W426" s="582">
        <v>0</v>
      </c>
      <c r="X426" s="580"/>
      <c r="Y426" s="583">
        <f>IF(GLOBAL_DER_FEV_2023!W426=0,0,IF(GLOBAL_DER_FEV_2023!W426&gt;0,"c","b"))</f>
        <v>0</v>
      </c>
    </row>
    <row r="427" spans="1:25" x14ac:dyDescent="0.2">
      <c r="A427" s="317" t="s">
        <v>147</v>
      </c>
      <c r="B427" s="895" t="str">
        <f>GLOBAL_DER_FEV_2023!B427</f>
        <v>transporte</v>
      </c>
      <c r="C427" s="896">
        <f>GLOBAL_DER_FEV_2023!C427</f>
        <v>0</v>
      </c>
      <c r="D427" s="957" t="str">
        <f>GLOBAL_DER_FEV_2023!D427</f>
        <v>Areia</v>
      </c>
      <c r="E427" s="907">
        <f>GLOBAL_DER_FEV_2023!E427</f>
        <v>150</v>
      </c>
      <c r="F427" s="908">
        <f>GLOBAL_DER_FEV_2023!F427</f>
        <v>0.1002</v>
      </c>
      <c r="G427" s="949">
        <f>GLOBAL_DER_FEV_2023!G427</f>
        <v>16.350636000000002</v>
      </c>
      <c r="H427" s="901">
        <f>GLOBAL_DER_FEV_2023!H427</f>
        <v>0</v>
      </c>
      <c r="I427" s="901">
        <f>GLOBAL_DER_FEV_2023!I427</f>
        <v>0</v>
      </c>
      <c r="J427" s="902">
        <f>GLOBAL_DER_FEV_2023!J427</f>
        <v>0</v>
      </c>
      <c r="K427" s="903" t="s">
        <v>507</v>
      </c>
      <c r="L427" s="1003"/>
      <c r="M427" s="1157">
        <f t="shared" si="52"/>
        <v>0</v>
      </c>
      <c r="N427" s="893">
        <f t="shared" si="31"/>
        <v>0</v>
      </c>
      <c r="O427" s="905"/>
      <c r="P427" s="58" t="str">
        <f>IF(N426&gt;0,"xx",IF(N426&gt;0,"xy",""))</f>
        <v/>
      </c>
      <c r="Q427" s="317" t="str">
        <f t="shared" ref="Q427:Q526" si="53">IF(P427="X","x",IF(P427="xx","x",IF(P427="xy","x",IF(P427="y","x",IF(OR(N427&gt;0,N427&gt;0),"x","")))))</f>
        <v/>
      </c>
      <c r="R427" s="317" t="str">
        <f t="shared" si="29"/>
        <v/>
      </c>
      <c r="S427" s="317" t="str">
        <f t="shared" si="30"/>
        <v/>
      </c>
      <c r="T427" s="317" t="str">
        <f>GLOBAL_DER_FEV_2023!S427</f>
        <v/>
      </c>
      <c r="W427" s="582">
        <v>0</v>
      </c>
      <c r="X427" s="580"/>
      <c r="Y427" s="583">
        <f>IF(GLOBAL_DER_FEV_2023!W427=0,0,IF(GLOBAL_DER_FEV_2023!W427&gt;0,"c","b"))</f>
        <v>0</v>
      </c>
    </row>
    <row r="428" spans="1:25" x14ac:dyDescent="0.2">
      <c r="A428" s="317" t="s">
        <v>147</v>
      </c>
      <c r="B428" s="895" t="str">
        <f>GLOBAL_DER_FEV_2023!B428</f>
        <v>transporte</v>
      </c>
      <c r="C428" s="896">
        <f>GLOBAL_DER_FEV_2023!C428</f>
        <v>0</v>
      </c>
      <c r="D428" s="957" t="str">
        <f>GLOBAL_DER_FEV_2023!D428</f>
        <v>Cal Hidratada CH-1</v>
      </c>
      <c r="E428" s="907">
        <f>GLOBAL_DER_FEV_2023!E428</f>
        <v>353</v>
      </c>
      <c r="F428" s="908">
        <f>GLOBAL_DER_FEV_2023!F428</f>
        <v>1.5100000000000001E-2</v>
      </c>
      <c r="G428" s="909">
        <f>GLOBAL_DER_FEV_2023!G428</f>
        <v>4.275716000000001</v>
      </c>
      <c r="H428" s="901">
        <f>GLOBAL_DER_FEV_2023!H428</f>
        <v>0</v>
      </c>
      <c r="I428" s="901">
        <f>GLOBAL_DER_FEV_2023!I428</f>
        <v>0</v>
      </c>
      <c r="J428" s="902">
        <f>GLOBAL_DER_FEV_2023!J428</f>
        <v>0</v>
      </c>
      <c r="K428" s="903" t="s">
        <v>507</v>
      </c>
      <c r="L428" s="1003"/>
      <c r="M428" s="1157">
        <f t="shared" si="52"/>
        <v>0</v>
      </c>
      <c r="N428" s="893">
        <f t="shared" si="31"/>
        <v>0</v>
      </c>
      <c r="O428" s="905"/>
      <c r="P428" s="58" t="str">
        <f>IF(N426&gt;0,"xx",IF(N426&gt;0,"xy",""))</f>
        <v/>
      </c>
      <c r="Q428" s="317" t="str">
        <f t="shared" si="53"/>
        <v/>
      </c>
      <c r="R428" s="317" t="str">
        <f t="shared" si="29"/>
        <v/>
      </c>
      <c r="S428" s="317" t="str">
        <f t="shared" si="30"/>
        <v/>
      </c>
      <c r="T428" s="317" t="str">
        <f>GLOBAL_DER_FEV_2023!S428</f>
        <v/>
      </c>
      <c r="W428" s="582">
        <v>0</v>
      </c>
      <c r="X428" s="580"/>
      <c r="Y428" s="583">
        <f>IF(GLOBAL_DER_FEV_2023!W428=0,0,IF(GLOBAL_DER_FEV_2023!W428&gt;0,"c","b"))</f>
        <v>0</v>
      </c>
    </row>
    <row r="429" spans="1:25" x14ac:dyDescent="0.2">
      <c r="A429" s="317" t="s">
        <v>147</v>
      </c>
      <c r="B429" s="895" t="str">
        <f>GLOBAL_DER_FEV_2023!B429</f>
        <v>transporte</v>
      </c>
      <c r="C429" s="896">
        <f>GLOBAL_DER_FEV_2023!C429</f>
        <v>0</v>
      </c>
      <c r="D429" s="957" t="str">
        <f>GLOBAL_DER_FEV_2023!D429</f>
        <v>Brita ( usina )</v>
      </c>
      <c r="E429" s="907">
        <f>GLOBAL_DER_FEV_2023!E429</f>
        <v>0.2</v>
      </c>
      <c r="F429" s="908">
        <f>GLOBAL_DER_FEV_2023!F429</f>
        <v>0.82969999999999999</v>
      </c>
      <c r="G429" s="949">
        <f>GLOBAL_DER_FEV_2023!G429</f>
        <v>2.4011518000000001</v>
      </c>
      <c r="H429" s="901">
        <f>GLOBAL_DER_FEV_2023!H429</f>
        <v>0</v>
      </c>
      <c r="I429" s="901">
        <f>GLOBAL_DER_FEV_2023!I429</f>
        <v>0</v>
      </c>
      <c r="J429" s="902">
        <f>GLOBAL_DER_FEV_2023!J429</f>
        <v>0</v>
      </c>
      <c r="K429" s="903" t="s">
        <v>507</v>
      </c>
      <c r="L429" s="1003"/>
      <c r="M429" s="1157">
        <f t="shared" si="52"/>
        <v>0</v>
      </c>
      <c r="N429" s="893">
        <f t="shared" si="31"/>
        <v>0</v>
      </c>
      <c r="O429" s="905"/>
      <c r="P429" s="58" t="str">
        <f>IF(N426&gt;0,"xx",IF(N426&gt;0,"xy",""))</f>
        <v/>
      </c>
      <c r="Q429" s="317" t="str">
        <f t="shared" si="53"/>
        <v/>
      </c>
      <c r="R429" s="317" t="str">
        <f t="shared" ref="R429:R528" si="54">IF(P429="X","x",IF(P429="y","x",IF(P429="xx","x",IF(N429&gt;0,"x",""))))</f>
        <v/>
      </c>
      <c r="S429" s="317" t="str">
        <f t="shared" ref="S429:S528" si="55">IF(P429="X","x",IF(N429&gt;0,"x",""))</f>
        <v/>
      </c>
      <c r="T429" s="317" t="str">
        <f>GLOBAL_DER_FEV_2023!S429</f>
        <v/>
      </c>
      <c r="W429" s="582">
        <v>0</v>
      </c>
      <c r="X429" s="580"/>
      <c r="Y429" s="583">
        <f>IF(GLOBAL_DER_FEV_2023!W429=0,0,IF(GLOBAL_DER_FEV_2023!W429&gt;0,"c","b"))</f>
        <v>0</v>
      </c>
    </row>
    <row r="430" spans="1:25" x14ac:dyDescent="0.2">
      <c r="A430" s="317" t="s">
        <v>147</v>
      </c>
      <c r="B430" s="895" t="str">
        <f>GLOBAL_DER_FEV_2023!B430</f>
        <v>transporte</v>
      </c>
      <c r="C430" s="896">
        <f>GLOBAL_DER_FEV_2023!C430</f>
        <v>0</v>
      </c>
      <c r="D430" s="957" t="str">
        <f>GLOBAL_DER_FEV_2023!D430</f>
        <v>Massa</v>
      </c>
      <c r="E430" s="907">
        <f>GLOBAL_DER_FEV_2023!E430</f>
        <v>22</v>
      </c>
      <c r="F430" s="908">
        <f>GLOBAL_DER_FEV_2023!F430</f>
        <v>1</v>
      </c>
      <c r="G430" s="912">
        <f>GLOBAL_DER_FEV_2023!G430</f>
        <v>29.990000000000002</v>
      </c>
      <c r="H430" s="901">
        <f>GLOBAL_DER_FEV_2023!H430</f>
        <v>0</v>
      </c>
      <c r="I430" s="901">
        <f>GLOBAL_DER_FEV_2023!I430</f>
        <v>0</v>
      </c>
      <c r="J430" s="902">
        <f>GLOBAL_DER_FEV_2023!J430</f>
        <v>0</v>
      </c>
      <c r="K430" s="903" t="s">
        <v>507</v>
      </c>
      <c r="L430" s="1003"/>
      <c r="M430" s="1157">
        <f t="shared" si="52"/>
        <v>0</v>
      </c>
      <c r="N430" s="893">
        <f t="shared" si="31"/>
        <v>0</v>
      </c>
      <c r="O430" s="905"/>
      <c r="P430" s="58" t="str">
        <f>IF(N426&gt;0,"xx",IF(N426&gt;0,"xy",""))</f>
        <v/>
      </c>
      <c r="Q430" s="317" t="str">
        <f t="shared" si="53"/>
        <v/>
      </c>
      <c r="R430" s="317" t="str">
        <f t="shared" si="54"/>
        <v/>
      </c>
      <c r="S430" s="317" t="str">
        <f t="shared" si="55"/>
        <v/>
      </c>
      <c r="T430" s="317" t="str">
        <f>GLOBAL_DER_FEV_2023!S430</f>
        <v/>
      </c>
      <c r="W430" s="582">
        <v>0</v>
      </c>
      <c r="X430" s="580"/>
      <c r="Y430" s="583">
        <f>IF(GLOBAL_DER_FEV_2023!W430=0,0,IF(GLOBAL_DER_FEV_2023!W430&gt;0,"c","b"))</f>
        <v>0</v>
      </c>
    </row>
    <row r="431" spans="1:25" ht="13.5" thickBot="1" x14ac:dyDescent="0.25">
      <c r="A431" s="317">
        <v>589000</v>
      </c>
      <c r="B431" s="1004" t="str">
        <f>GLOBAL_DER_FEV_2023!B431</f>
        <v>589000J</v>
      </c>
      <c r="C431" s="984" t="str">
        <f>GLOBAL_DER_FEV_2023!C431</f>
        <v>DER mat</v>
      </c>
      <c r="D431" s="1012" t="str">
        <f>GLOBAL_DER_FEV_2023!D431</f>
        <v>Fornecimento de CAP - CBUQ (Quantidade menor que 10.000 ton)</v>
      </c>
      <c r="E431" s="1005">
        <f>GLOBAL_DER_FEV_2023!E431</f>
        <v>45</v>
      </c>
      <c r="F431" s="1006">
        <f>GLOBAL_DER_FEV_2023!F431</f>
        <v>1</v>
      </c>
      <c r="G431" s="949">
        <f>GLOBAL_DER_FEV_2023!G431</f>
        <v>88.36</v>
      </c>
      <c r="H431" s="988">
        <f>GLOBAL_DER_FEV_2023!H431</f>
        <v>4828.8599999999997</v>
      </c>
      <c r="I431" s="988">
        <f>GLOBAL_DER_FEV_2023!I431</f>
        <v>4724.580378112767</v>
      </c>
      <c r="J431" s="989">
        <f>GLOBAL_DER_FEV_2023!J431</f>
        <v>5672.8</v>
      </c>
      <c r="K431" s="990" t="s">
        <v>14</v>
      </c>
      <c r="L431" s="1154">
        <f>ROUND(L426*$F426,2)</f>
        <v>0</v>
      </c>
      <c r="M431" s="1159">
        <f t="shared" si="52"/>
        <v>0</v>
      </c>
      <c r="N431" s="993">
        <f t="shared" si="31"/>
        <v>0</v>
      </c>
      <c r="O431" s="905"/>
      <c r="P431" s="58" t="str">
        <f>IF(N426&gt;0,"xx",IF(N426&gt;0,"xy",""))</f>
        <v/>
      </c>
      <c r="Q431" s="317" t="str">
        <f t="shared" si="53"/>
        <v/>
      </c>
      <c r="R431" s="317" t="str">
        <f t="shared" si="54"/>
        <v/>
      </c>
      <c r="S431" s="317" t="str">
        <f t="shared" si="55"/>
        <v/>
      </c>
      <c r="T431" s="317" t="str">
        <f>GLOBAL_DER_FEV_2023!S431</f>
        <v/>
      </c>
      <c r="W431" s="582">
        <v>0</v>
      </c>
      <c r="X431" s="580"/>
      <c r="Y431" s="583">
        <f>IF(GLOBAL_DER_FEV_2023!W431=0,0,IF(GLOBAL_DER_FEV_2023!W431&gt;0,"c","b"))</f>
        <v>0</v>
      </c>
    </row>
    <row r="432" spans="1:25" x14ac:dyDescent="0.2">
      <c r="A432" s="317">
        <v>570000</v>
      </c>
      <c r="B432" s="999" t="str">
        <f>GLOBAL_DER_FEV_2023!B432</f>
        <v>570000D</v>
      </c>
      <c r="C432" s="1000" t="str">
        <f>GLOBAL_DER_FEV_2023!C432</f>
        <v>DER</v>
      </c>
      <c r="D432" s="1019" t="str">
        <f>GLOBAL_DER_FEV_2023!D432</f>
        <v>CBUQ - TRAÇO 3 - CAPA - Faixa "C" (Quantidade menor que 10.000 ton)</v>
      </c>
      <c r="E432" s="974" t="str">
        <f>GLOBAL_DER_FEV_2023!E432</f>
        <v>taxa CAP</v>
      </c>
      <c r="F432" s="1023">
        <f>GLOBAL_DER_FEV_2023!F432</f>
        <v>5.7000000000000002E-2</v>
      </c>
      <c r="G432" s="976">
        <f>GLOBAL_DER_FEV_2023!G432</f>
        <v>52.951632000000004</v>
      </c>
      <c r="H432" s="977">
        <f>GLOBAL_DER_FEV_2023!H432</f>
        <v>187.41</v>
      </c>
      <c r="I432" s="977">
        <f>GLOBAL_DER_FEV_2023!I432</f>
        <v>240.36163199999999</v>
      </c>
      <c r="J432" s="978">
        <f>GLOBAL_DER_FEV_2023!J432</f>
        <v>288.60000000000002</v>
      </c>
      <c r="K432" s="979" t="s">
        <v>14</v>
      </c>
      <c r="L432" s="1152"/>
      <c r="M432" s="1153">
        <f t="shared" si="52"/>
        <v>0</v>
      </c>
      <c r="N432" s="982">
        <f t="shared" si="31"/>
        <v>0</v>
      </c>
      <c r="O432" s="905"/>
      <c r="Q432" s="317" t="str">
        <f t="shared" si="53"/>
        <v/>
      </c>
      <c r="R432" s="317" t="str">
        <f t="shared" si="54"/>
        <v/>
      </c>
      <c r="S432" s="317" t="str">
        <f t="shared" si="55"/>
        <v/>
      </c>
      <c r="T432" s="317" t="str">
        <f>GLOBAL_DER_FEV_2023!S432</f>
        <v/>
      </c>
      <c r="W432" s="582">
        <v>0</v>
      </c>
      <c r="X432" s="580"/>
      <c r="Y432" s="583">
        <f>IF(GLOBAL_DER_FEV_2023!W432=0,0,IF(GLOBAL_DER_FEV_2023!W432&gt;0,"c","b"))</f>
        <v>0</v>
      </c>
    </row>
    <row r="433" spans="1:25" x14ac:dyDescent="0.2">
      <c r="A433" s="317" t="s">
        <v>147</v>
      </c>
      <c r="B433" s="895" t="str">
        <f>GLOBAL_DER_FEV_2023!B433</f>
        <v>transporte</v>
      </c>
      <c r="C433" s="896">
        <f>GLOBAL_DER_FEV_2023!C433</f>
        <v>0</v>
      </c>
      <c r="D433" s="957" t="str">
        <f>GLOBAL_DER_FEV_2023!D433</f>
        <v>Areia</v>
      </c>
      <c r="E433" s="907">
        <f>GLOBAL_DER_FEV_2023!E433</f>
        <v>150</v>
      </c>
      <c r="F433" s="908">
        <f>GLOBAL_DER_FEV_2023!F433</f>
        <v>0.1</v>
      </c>
      <c r="G433" s="949">
        <f>GLOBAL_DER_FEV_2023!G433</f>
        <v>16.318000000000001</v>
      </c>
      <c r="H433" s="901">
        <f>GLOBAL_DER_FEV_2023!H433</f>
        <v>0</v>
      </c>
      <c r="I433" s="901">
        <f>GLOBAL_DER_FEV_2023!I433</f>
        <v>0</v>
      </c>
      <c r="J433" s="902">
        <f>GLOBAL_DER_FEV_2023!J433</f>
        <v>0</v>
      </c>
      <c r="K433" s="903" t="s">
        <v>507</v>
      </c>
      <c r="L433" s="1003"/>
      <c r="M433" s="1157">
        <f t="shared" si="52"/>
        <v>0</v>
      </c>
      <c r="N433" s="893">
        <f t="shared" ref="N433:N532" si="56">IF(ISBLANK(L433),0,IF(W433=0,ROUND(L433*M433,2),IF(W433="b",ROUNDDOWN(L433*M433,2),ROUNDUP(L433*M433,2))))</f>
        <v>0</v>
      </c>
      <c r="O433" s="905"/>
      <c r="P433" s="58" t="str">
        <f>IF(N432&gt;0,"xx",IF(N432&gt;0,"xy",""))</f>
        <v/>
      </c>
      <c r="Q433" s="317" t="str">
        <f t="shared" si="53"/>
        <v/>
      </c>
      <c r="R433" s="317" t="str">
        <f t="shared" si="54"/>
        <v/>
      </c>
      <c r="S433" s="317" t="str">
        <f t="shared" si="55"/>
        <v/>
      </c>
      <c r="T433" s="317" t="str">
        <f>GLOBAL_DER_FEV_2023!S433</f>
        <v/>
      </c>
      <c r="W433" s="582">
        <v>0</v>
      </c>
      <c r="X433" s="580"/>
      <c r="Y433" s="583">
        <f>IF(GLOBAL_DER_FEV_2023!W433=0,0,IF(GLOBAL_DER_FEV_2023!W433&gt;0,"c","b"))</f>
        <v>0</v>
      </c>
    </row>
    <row r="434" spans="1:25" x14ac:dyDescent="0.2">
      <c r="A434" s="317" t="s">
        <v>147</v>
      </c>
      <c r="B434" s="895" t="str">
        <f>GLOBAL_DER_FEV_2023!B434</f>
        <v>transporte</v>
      </c>
      <c r="C434" s="896">
        <f>GLOBAL_DER_FEV_2023!C434</f>
        <v>0</v>
      </c>
      <c r="D434" s="957" t="str">
        <f>GLOBAL_DER_FEV_2023!D434</f>
        <v>Cal Hidratada CH-1</v>
      </c>
      <c r="E434" s="907">
        <f>GLOBAL_DER_FEV_2023!E434</f>
        <v>353</v>
      </c>
      <c r="F434" s="908">
        <f>GLOBAL_DER_FEV_2023!F434</f>
        <v>1.4999999999999999E-2</v>
      </c>
      <c r="G434" s="909">
        <f>GLOBAL_DER_FEV_2023!G434</f>
        <v>4.2473999999999998</v>
      </c>
      <c r="H434" s="901">
        <f>GLOBAL_DER_FEV_2023!H434</f>
        <v>0</v>
      </c>
      <c r="I434" s="901">
        <f>GLOBAL_DER_FEV_2023!I434</f>
        <v>0</v>
      </c>
      <c r="J434" s="902">
        <f>GLOBAL_DER_FEV_2023!J434</f>
        <v>0</v>
      </c>
      <c r="K434" s="903" t="s">
        <v>507</v>
      </c>
      <c r="L434" s="1003"/>
      <c r="M434" s="1157">
        <f t="shared" si="52"/>
        <v>0</v>
      </c>
      <c r="N434" s="893">
        <f t="shared" si="56"/>
        <v>0</v>
      </c>
      <c r="O434" s="905"/>
      <c r="P434" s="58" t="str">
        <f>IF(N432&gt;0,"xx",IF(N432&gt;0,"xy",""))</f>
        <v/>
      </c>
      <c r="Q434" s="317" t="str">
        <f t="shared" si="53"/>
        <v/>
      </c>
      <c r="R434" s="317" t="str">
        <f t="shared" si="54"/>
        <v/>
      </c>
      <c r="S434" s="317" t="str">
        <f t="shared" si="55"/>
        <v/>
      </c>
      <c r="T434" s="317" t="str">
        <f>GLOBAL_DER_FEV_2023!S434</f>
        <v/>
      </c>
      <c r="W434" s="582">
        <v>0</v>
      </c>
      <c r="X434" s="580"/>
      <c r="Y434" s="583">
        <f>IF(GLOBAL_DER_FEV_2023!W434=0,0,IF(GLOBAL_DER_FEV_2023!W434&gt;0,"c","b"))</f>
        <v>0</v>
      </c>
    </row>
    <row r="435" spans="1:25" x14ac:dyDescent="0.2">
      <c r="A435" s="317" t="s">
        <v>147</v>
      </c>
      <c r="B435" s="895" t="str">
        <f>GLOBAL_DER_FEV_2023!B435</f>
        <v>transporte</v>
      </c>
      <c r="C435" s="896">
        <f>GLOBAL_DER_FEV_2023!C435</f>
        <v>0</v>
      </c>
      <c r="D435" s="957" t="str">
        <f>GLOBAL_DER_FEV_2023!D435</f>
        <v>Brita ( usina )</v>
      </c>
      <c r="E435" s="907">
        <f>GLOBAL_DER_FEV_2023!E435</f>
        <v>0.2</v>
      </c>
      <c r="F435" s="908">
        <f>GLOBAL_DER_FEV_2023!F435</f>
        <v>0.82799999999999996</v>
      </c>
      <c r="G435" s="949">
        <f>GLOBAL_DER_FEV_2023!G435</f>
        <v>2.3962319999999999</v>
      </c>
      <c r="H435" s="901">
        <f>GLOBAL_DER_FEV_2023!H435</f>
        <v>0</v>
      </c>
      <c r="I435" s="901">
        <f>GLOBAL_DER_FEV_2023!I435</f>
        <v>0</v>
      </c>
      <c r="J435" s="902">
        <f>GLOBAL_DER_FEV_2023!J435</f>
        <v>0</v>
      </c>
      <c r="K435" s="903" t="s">
        <v>507</v>
      </c>
      <c r="L435" s="1003"/>
      <c r="M435" s="1157">
        <f t="shared" si="52"/>
        <v>0</v>
      </c>
      <c r="N435" s="893">
        <f t="shared" si="56"/>
        <v>0</v>
      </c>
      <c r="O435" s="905"/>
      <c r="P435" s="58" t="str">
        <f>IF(N432&gt;0,"xx",IF(N432&gt;0,"xy",""))</f>
        <v/>
      </c>
      <c r="Q435" s="317" t="str">
        <f t="shared" si="53"/>
        <v/>
      </c>
      <c r="R435" s="317" t="str">
        <f t="shared" si="54"/>
        <v/>
      </c>
      <c r="S435" s="317" t="str">
        <f t="shared" si="55"/>
        <v/>
      </c>
      <c r="T435" s="317" t="str">
        <f>GLOBAL_DER_FEV_2023!S435</f>
        <v/>
      </c>
      <c r="W435" s="582">
        <v>0</v>
      </c>
      <c r="X435" s="580"/>
      <c r="Y435" s="583">
        <f>IF(GLOBAL_DER_FEV_2023!W435=0,0,IF(GLOBAL_DER_FEV_2023!W435&gt;0,"c","b"))</f>
        <v>0</v>
      </c>
    </row>
    <row r="436" spans="1:25" x14ac:dyDescent="0.2">
      <c r="A436" s="317" t="s">
        <v>147</v>
      </c>
      <c r="B436" s="895" t="str">
        <f>GLOBAL_DER_FEV_2023!B436</f>
        <v>transporte</v>
      </c>
      <c r="C436" s="896">
        <f>GLOBAL_DER_FEV_2023!C436</f>
        <v>0</v>
      </c>
      <c r="D436" s="957" t="str">
        <f>GLOBAL_DER_FEV_2023!D436</f>
        <v>Massa</v>
      </c>
      <c r="E436" s="907">
        <f>GLOBAL_DER_FEV_2023!E436</f>
        <v>22</v>
      </c>
      <c r="F436" s="908">
        <f>GLOBAL_DER_FEV_2023!F436</f>
        <v>1</v>
      </c>
      <c r="G436" s="912">
        <f>GLOBAL_DER_FEV_2023!G436</f>
        <v>29.990000000000002</v>
      </c>
      <c r="H436" s="901">
        <f>GLOBAL_DER_FEV_2023!H436</f>
        <v>0</v>
      </c>
      <c r="I436" s="901">
        <f>GLOBAL_DER_FEV_2023!I436</f>
        <v>0</v>
      </c>
      <c r="J436" s="902">
        <f>GLOBAL_DER_FEV_2023!J436</f>
        <v>0</v>
      </c>
      <c r="K436" s="903" t="s">
        <v>507</v>
      </c>
      <c r="L436" s="1003"/>
      <c r="M436" s="1157">
        <f t="shared" si="52"/>
        <v>0</v>
      </c>
      <c r="N436" s="893">
        <f t="shared" si="56"/>
        <v>0</v>
      </c>
      <c r="O436" s="905"/>
      <c r="P436" s="58" t="str">
        <f>IF(N432&gt;0,"xx",IF(N432&gt;0,"xy",""))</f>
        <v/>
      </c>
      <c r="Q436" s="317" t="str">
        <f t="shared" si="53"/>
        <v/>
      </c>
      <c r="R436" s="317" t="str">
        <f t="shared" si="54"/>
        <v/>
      </c>
      <c r="S436" s="317" t="str">
        <f t="shared" si="55"/>
        <v/>
      </c>
      <c r="T436" s="317" t="str">
        <f>GLOBAL_DER_FEV_2023!S436</f>
        <v/>
      </c>
      <c r="W436" s="582">
        <v>0</v>
      </c>
      <c r="X436" s="580"/>
      <c r="Y436" s="583">
        <f>IF(GLOBAL_DER_FEV_2023!W436=0,0,IF(GLOBAL_DER_FEV_2023!W436&gt;0,"c","b"))</f>
        <v>0</v>
      </c>
    </row>
    <row r="437" spans="1:25" ht="13.5" thickBot="1" x14ac:dyDescent="0.25">
      <c r="A437" s="317">
        <v>589000</v>
      </c>
      <c r="B437" s="1004" t="str">
        <f>GLOBAL_DER_FEV_2023!B437</f>
        <v>589000K</v>
      </c>
      <c r="C437" s="984" t="str">
        <f>GLOBAL_DER_FEV_2023!C437</f>
        <v>DER mat</v>
      </c>
      <c r="D437" s="1012" t="str">
        <f>GLOBAL_DER_FEV_2023!D437</f>
        <v>Fornecimento de CAP - CBUQ (Quantidade menor que 10.000 ton)</v>
      </c>
      <c r="E437" s="1005">
        <f>GLOBAL_DER_FEV_2023!E437</f>
        <v>45</v>
      </c>
      <c r="F437" s="1006">
        <f>GLOBAL_DER_FEV_2023!F437</f>
        <v>1</v>
      </c>
      <c r="G437" s="949">
        <f>GLOBAL_DER_FEV_2023!G437</f>
        <v>88.36</v>
      </c>
      <c r="H437" s="988">
        <f>GLOBAL_DER_FEV_2023!H437</f>
        <v>4828.8599999999997</v>
      </c>
      <c r="I437" s="988">
        <f>GLOBAL_DER_FEV_2023!I437</f>
        <v>4724.580378112767</v>
      </c>
      <c r="J437" s="989">
        <f>GLOBAL_DER_FEV_2023!J437</f>
        <v>5672.8</v>
      </c>
      <c r="K437" s="990" t="s">
        <v>14</v>
      </c>
      <c r="L437" s="1154">
        <f>ROUND(L432*$F432,2)</f>
        <v>0</v>
      </c>
      <c r="M437" s="1159">
        <f t="shared" si="52"/>
        <v>0</v>
      </c>
      <c r="N437" s="993">
        <f t="shared" si="56"/>
        <v>0</v>
      </c>
      <c r="O437" s="905"/>
      <c r="P437" s="58" t="str">
        <f>IF(N432&gt;0,"xx",IF(N432&gt;0,"xy",""))</f>
        <v/>
      </c>
      <c r="Q437" s="317" t="str">
        <f t="shared" si="53"/>
        <v/>
      </c>
      <c r="R437" s="317" t="str">
        <f t="shared" si="54"/>
        <v/>
      </c>
      <c r="S437" s="317" t="str">
        <f t="shared" si="55"/>
        <v/>
      </c>
      <c r="T437" s="317" t="str">
        <f>GLOBAL_DER_FEV_2023!S437</f>
        <v/>
      </c>
      <c r="W437" s="582">
        <v>0</v>
      </c>
      <c r="X437" s="580"/>
      <c r="Y437" s="583">
        <f>IF(GLOBAL_DER_FEV_2023!W437=0,0,IF(GLOBAL_DER_FEV_2023!W437&gt;0,"c","b"))</f>
        <v>0</v>
      </c>
    </row>
    <row r="438" spans="1:25" x14ac:dyDescent="0.2">
      <c r="A438" s="317">
        <v>570000</v>
      </c>
      <c r="B438" s="999" t="str">
        <f>GLOBAL_DER_FEV_2023!B438</f>
        <v>570000D</v>
      </c>
      <c r="C438" s="1000" t="str">
        <f>GLOBAL_DER_FEV_2023!C438</f>
        <v>DER</v>
      </c>
      <c r="D438" s="1024" t="str">
        <f>GLOBAL_DER_FEV_2023!D438</f>
        <v>CBUQ - Novos traços - TRAÇO 4 - FAIXA "C" - (Quant. menor que 10.000 ton)</v>
      </c>
      <c r="E438" s="974" t="str">
        <f>GLOBAL_DER_FEV_2023!E438</f>
        <v>taxa CAP</v>
      </c>
      <c r="F438" s="1025">
        <f>GLOBAL_DER_FEV_2023!F438</f>
        <v>5.1999999999999998E-2</v>
      </c>
      <c r="G438" s="976">
        <f>GLOBAL_DER_FEV_2023!G438</f>
        <v>52.076655400000007</v>
      </c>
      <c r="H438" s="977">
        <f>GLOBAL_DER_FEV_2023!H438</f>
        <v>187.41</v>
      </c>
      <c r="I438" s="977">
        <f>GLOBAL_DER_FEV_2023!I438</f>
        <v>239.48665540000002</v>
      </c>
      <c r="J438" s="978">
        <f>GLOBAL_DER_FEV_2023!J438</f>
        <v>287.55</v>
      </c>
      <c r="K438" s="979" t="s">
        <v>14</v>
      </c>
      <c r="L438" s="1152"/>
      <c r="M438" s="1153">
        <f t="shared" ref="M438:M443" si="57">IF(L438=0,0,ROUND(J438,2))</f>
        <v>0</v>
      </c>
      <c r="N438" s="982">
        <f t="shared" si="56"/>
        <v>0</v>
      </c>
      <c r="O438" s="905"/>
      <c r="Q438" s="317" t="str">
        <f t="shared" ref="Q438:Q443" si="58">IF(P438="X","x",IF(P438="xx","x",IF(P438="xy","x",IF(P438="y","x",IF(OR(N438&gt;0,N438&gt;0),"x","")))))</f>
        <v/>
      </c>
      <c r="R438" s="317" t="str">
        <f t="shared" ref="R438:R443" si="59">IF(P438="X","x",IF(P438="y","x",IF(P438="xx","x",IF(N438&gt;0,"x",""))))</f>
        <v/>
      </c>
      <c r="S438" s="317" t="str">
        <f t="shared" ref="S438:S443" si="60">IF(P438="X","x",IF(N438&gt;0,"x",""))</f>
        <v/>
      </c>
      <c r="T438" s="317" t="str">
        <f>GLOBAL_DER_FEV_2023!S438</f>
        <v/>
      </c>
      <c r="W438" s="582">
        <v>0</v>
      </c>
      <c r="X438" s="580"/>
      <c r="Y438" s="583">
        <f>IF(GLOBAL_DER_FEV_2023!W438=0,0,IF(GLOBAL_DER_FEV_2023!W438&gt;0,"c","b"))</f>
        <v>0</v>
      </c>
    </row>
    <row r="439" spans="1:25" x14ac:dyDescent="0.2">
      <c r="A439" s="317" t="s">
        <v>147</v>
      </c>
      <c r="B439" s="895" t="str">
        <f>GLOBAL_DER_FEV_2023!B439</f>
        <v>transporte</v>
      </c>
      <c r="C439" s="896">
        <f>GLOBAL_DER_FEV_2023!C439</f>
        <v>0</v>
      </c>
      <c r="D439" s="957" t="str">
        <f>GLOBAL_DER_FEV_2023!D439</f>
        <v>Areia</v>
      </c>
      <c r="E439" s="907">
        <f>GLOBAL_DER_FEV_2023!E439</f>
        <v>150</v>
      </c>
      <c r="F439" s="1287">
        <f>GLOBAL_DER_FEV_2023!F439</f>
        <v>9.5500000000000002E-2</v>
      </c>
      <c r="G439" s="949">
        <f>GLOBAL_DER_FEV_2023!G439</f>
        <v>15.583690000000001</v>
      </c>
      <c r="H439" s="901">
        <f>GLOBAL_DER_FEV_2023!H439</f>
        <v>0</v>
      </c>
      <c r="I439" s="901">
        <f>GLOBAL_DER_FEV_2023!I439</f>
        <v>0</v>
      </c>
      <c r="J439" s="902">
        <f>GLOBAL_DER_FEV_2023!J439</f>
        <v>0</v>
      </c>
      <c r="K439" s="903" t="s">
        <v>507</v>
      </c>
      <c r="L439" s="1003"/>
      <c r="M439" s="1157">
        <f t="shared" si="57"/>
        <v>0</v>
      </c>
      <c r="N439" s="893">
        <f t="shared" ref="N439:N444" si="61">IF(ISBLANK(L439),0,IF(W439=0,ROUND(L439*M439,2),IF(W439="b",ROUNDDOWN(L439*M439,2),ROUNDUP(L439*M439,2))))</f>
        <v>0</v>
      </c>
      <c r="O439" s="905"/>
      <c r="P439" s="58" t="str">
        <f>IF(N438&gt;0,"xx",IF(N438&gt;0,"xy",""))</f>
        <v/>
      </c>
      <c r="Q439" s="317" t="str">
        <f t="shared" si="58"/>
        <v/>
      </c>
      <c r="R439" s="317" t="str">
        <f t="shared" si="59"/>
        <v/>
      </c>
      <c r="S439" s="317" t="str">
        <f t="shared" si="60"/>
        <v/>
      </c>
      <c r="T439" s="317" t="str">
        <f>GLOBAL_DER_FEV_2023!S439</f>
        <v/>
      </c>
      <c r="W439" s="582">
        <v>0</v>
      </c>
      <c r="X439" s="580"/>
      <c r="Y439" s="583">
        <f>IF(GLOBAL_DER_FEV_2023!W439=0,0,IF(GLOBAL_DER_FEV_2023!W439&gt;0,"c","b"))</f>
        <v>0</v>
      </c>
    </row>
    <row r="440" spans="1:25" x14ac:dyDescent="0.2">
      <c r="A440" s="317" t="s">
        <v>147</v>
      </c>
      <c r="B440" s="895" t="str">
        <f>GLOBAL_DER_FEV_2023!B440</f>
        <v>transporte</v>
      </c>
      <c r="C440" s="896">
        <f>GLOBAL_DER_FEV_2023!C440</f>
        <v>0</v>
      </c>
      <c r="D440" s="957" t="str">
        <f>GLOBAL_DER_FEV_2023!D440</f>
        <v>Cal Hidratada CH-1</v>
      </c>
      <c r="E440" s="907">
        <f>GLOBAL_DER_FEV_2023!E440</f>
        <v>353</v>
      </c>
      <c r="F440" s="1287">
        <f>GLOBAL_DER_FEV_2023!F440</f>
        <v>1.44E-2</v>
      </c>
      <c r="G440" s="909">
        <f>GLOBAL_DER_FEV_2023!G440</f>
        <v>4.0775040000000002</v>
      </c>
      <c r="H440" s="901">
        <f>GLOBAL_DER_FEV_2023!H440</f>
        <v>0</v>
      </c>
      <c r="I440" s="901">
        <f>GLOBAL_DER_FEV_2023!I440</f>
        <v>0</v>
      </c>
      <c r="J440" s="902">
        <f>GLOBAL_DER_FEV_2023!J440</f>
        <v>0</v>
      </c>
      <c r="K440" s="903" t="s">
        <v>507</v>
      </c>
      <c r="L440" s="1003"/>
      <c r="M440" s="1157">
        <f t="shared" si="57"/>
        <v>0</v>
      </c>
      <c r="N440" s="893">
        <f t="shared" si="61"/>
        <v>0</v>
      </c>
      <c r="O440" s="905"/>
      <c r="P440" s="58" t="str">
        <f>IF(N438&gt;0,"xx",IF(N438&gt;0,"xy",""))</f>
        <v/>
      </c>
      <c r="Q440" s="317" t="str">
        <f t="shared" si="58"/>
        <v/>
      </c>
      <c r="R440" s="317" t="str">
        <f t="shared" si="59"/>
        <v/>
      </c>
      <c r="S440" s="317" t="str">
        <f t="shared" si="60"/>
        <v/>
      </c>
      <c r="T440" s="317" t="str">
        <f>GLOBAL_DER_FEV_2023!S440</f>
        <v/>
      </c>
      <c r="W440" s="582">
        <v>0</v>
      </c>
      <c r="X440" s="580"/>
      <c r="Y440" s="583">
        <f>IF(GLOBAL_DER_FEV_2023!W440=0,0,IF(GLOBAL_DER_FEV_2023!W440&gt;0,"c","b"))</f>
        <v>0</v>
      </c>
    </row>
    <row r="441" spans="1:25" x14ac:dyDescent="0.2">
      <c r="A441" s="317" t="s">
        <v>147</v>
      </c>
      <c r="B441" s="895" t="str">
        <f>GLOBAL_DER_FEV_2023!B441</f>
        <v>transporte</v>
      </c>
      <c r="C441" s="896">
        <f>GLOBAL_DER_FEV_2023!C441</f>
        <v>0</v>
      </c>
      <c r="D441" s="957" t="str">
        <f>GLOBAL_DER_FEV_2023!D441</f>
        <v>Brita ( usina )</v>
      </c>
      <c r="E441" s="907">
        <f>GLOBAL_DER_FEV_2023!E441</f>
        <v>0.2</v>
      </c>
      <c r="F441" s="1287">
        <f>GLOBAL_DER_FEV_2023!F441</f>
        <v>0.83809999999999996</v>
      </c>
      <c r="G441" s="949">
        <f>GLOBAL_DER_FEV_2023!G441</f>
        <v>2.4254614000000001</v>
      </c>
      <c r="H441" s="901">
        <f>GLOBAL_DER_FEV_2023!H441</f>
        <v>0</v>
      </c>
      <c r="I441" s="901">
        <f>GLOBAL_DER_FEV_2023!I441</f>
        <v>0</v>
      </c>
      <c r="J441" s="902">
        <f>GLOBAL_DER_FEV_2023!J441</f>
        <v>0</v>
      </c>
      <c r="K441" s="903" t="s">
        <v>507</v>
      </c>
      <c r="L441" s="1003"/>
      <c r="M441" s="1157">
        <f t="shared" si="57"/>
        <v>0</v>
      </c>
      <c r="N441" s="893">
        <f t="shared" si="61"/>
        <v>0</v>
      </c>
      <c r="O441" s="905"/>
      <c r="P441" s="58" t="str">
        <f>IF(N438&gt;0,"xx",IF(N438&gt;0,"xy",""))</f>
        <v/>
      </c>
      <c r="Q441" s="317" t="str">
        <f t="shared" si="58"/>
        <v/>
      </c>
      <c r="R441" s="317" t="str">
        <f t="shared" si="59"/>
        <v/>
      </c>
      <c r="S441" s="317" t="str">
        <f t="shared" si="60"/>
        <v/>
      </c>
      <c r="T441" s="317" t="str">
        <f>GLOBAL_DER_FEV_2023!S441</f>
        <v/>
      </c>
      <c r="W441" s="582">
        <v>0</v>
      </c>
      <c r="X441" s="580"/>
      <c r="Y441" s="583">
        <f>IF(GLOBAL_DER_FEV_2023!W441=0,0,IF(GLOBAL_DER_FEV_2023!W441&gt;0,"c","b"))</f>
        <v>0</v>
      </c>
    </row>
    <row r="442" spans="1:25" x14ac:dyDescent="0.2">
      <c r="A442" s="317" t="s">
        <v>147</v>
      </c>
      <c r="B442" s="895" t="str">
        <f>GLOBAL_DER_FEV_2023!B442</f>
        <v>transporte</v>
      </c>
      <c r="C442" s="896">
        <f>GLOBAL_DER_FEV_2023!C442</f>
        <v>0</v>
      </c>
      <c r="D442" s="957" t="str">
        <f>GLOBAL_DER_FEV_2023!D442</f>
        <v>Massa</v>
      </c>
      <c r="E442" s="907">
        <f>GLOBAL_DER_FEV_2023!E442</f>
        <v>22</v>
      </c>
      <c r="F442" s="908">
        <f>GLOBAL_DER_FEV_2023!F442</f>
        <v>1</v>
      </c>
      <c r="G442" s="912">
        <f>GLOBAL_DER_FEV_2023!G442</f>
        <v>29.990000000000002</v>
      </c>
      <c r="H442" s="901">
        <f>GLOBAL_DER_FEV_2023!H442</f>
        <v>0</v>
      </c>
      <c r="I442" s="901">
        <f>GLOBAL_DER_FEV_2023!I442</f>
        <v>0</v>
      </c>
      <c r="J442" s="902">
        <f>GLOBAL_DER_FEV_2023!J442</f>
        <v>0</v>
      </c>
      <c r="K442" s="903" t="s">
        <v>507</v>
      </c>
      <c r="L442" s="1003"/>
      <c r="M442" s="1157">
        <f t="shared" si="57"/>
        <v>0</v>
      </c>
      <c r="N442" s="893">
        <f t="shared" si="61"/>
        <v>0</v>
      </c>
      <c r="O442" s="905"/>
      <c r="P442" s="58" t="str">
        <f>IF(N438&gt;0,"xx",IF(N438&gt;0,"xy",""))</f>
        <v/>
      </c>
      <c r="Q442" s="317" t="str">
        <f t="shared" si="58"/>
        <v/>
      </c>
      <c r="R442" s="317" t="str">
        <f t="shared" si="59"/>
        <v/>
      </c>
      <c r="S442" s="317" t="str">
        <f t="shared" si="60"/>
        <v/>
      </c>
      <c r="T442" s="317" t="str">
        <f>GLOBAL_DER_FEV_2023!S442</f>
        <v/>
      </c>
      <c r="W442" s="582">
        <v>0</v>
      </c>
      <c r="X442" s="580"/>
      <c r="Y442" s="583">
        <f>IF(GLOBAL_DER_FEV_2023!W442=0,0,IF(GLOBAL_DER_FEV_2023!W442&gt;0,"c","b"))</f>
        <v>0</v>
      </c>
    </row>
    <row r="443" spans="1:25" ht="13.5" thickBot="1" x14ac:dyDescent="0.25">
      <c r="A443" s="317">
        <v>589000</v>
      </c>
      <c r="B443" s="1004" t="str">
        <f>GLOBAL_DER_FEV_2023!B443</f>
        <v>589000K</v>
      </c>
      <c r="C443" s="984" t="str">
        <f>GLOBAL_DER_FEV_2023!C443</f>
        <v>DER mat</v>
      </c>
      <c r="D443" s="1012" t="str">
        <f>GLOBAL_DER_FEV_2023!D443</f>
        <v>Fornecimento de CAP - CBUQ (Quantidade menor que 10.000 ton)</v>
      </c>
      <c r="E443" s="1005">
        <f>GLOBAL_DER_FEV_2023!E443</f>
        <v>45</v>
      </c>
      <c r="F443" s="1006">
        <f>GLOBAL_DER_FEV_2023!F443</f>
        <v>1</v>
      </c>
      <c r="G443" s="949">
        <f>GLOBAL_DER_FEV_2023!G443</f>
        <v>88.36</v>
      </c>
      <c r="H443" s="988">
        <f>GLOBAL_DER_FEV_2023!H443</f>
        <v>4828.8599999999997</v>
      </c>
      <c r="I443" s="988">
        <f>GLOBAL_DER_FEV_2023!I443</f>
        <v>4724.580378112767</v>
      </c>
      <c r="J443" s="989">
        <f>GLOBAL_DER_FEV_2023!J443</f>
        <v>5672.8</v>
      </c>
      <c r="K443" s="990" t="s">
        <v>14</v>
      </c>
      <c r="L443" s="1154">
        <f>ROUND(L438*$F438,2)</f>
        <v>0</v>
      </c>
      <c r="M443" s="1159">
        <f t="shared" si="57"/>
        <v>0</v>
      </c>
      <c r="N443" s="993">
        <f t="shared" si="61"/>
        <v>0</v>
      </c>
      <c r="O443" s="905"/>
      <c r="P443" s="58" t="str">
        <f>IF(N438&gt;0,"xx",IF(N438&gt;0,"xy",""))</f>
        <v/>
      </c>
      <c r="Q443" s="317" t="str">
        <f t="shared" si="58"/>
        <v/>
      </c>
      <c r="R443" s="317" t="str">
        <f t="shared" si="59"/>
        <v/>
      </c>
      <c r="S443" s="317" t="str">
        <f t="shared" si="60"/>
        <v/>
      </c>
      <c r="T443" s="317" t="str">
        <f>GLOBAL_DER_FEV_2023!S443</f>
        <v/>
      </c>
      <c r="W443" s="582">
        <v>0</v>
      </c>
      <c r="X443" s="580"/>
      <c r="Y443" s="583">
        <f>IF(GLOBAL_DER_FEV_2023!W443=0,0,IF(GLOBAL_DER_FEV_2023!W443&gt;0,"c","b"))</f>
        <v>0</v>
      </c>
    </row>
    <row r="444" spans="1:25" x14ac:dyDescent="0.2">
      <c r="A444" s="317">
        <v>570000</v>
      </c>
      <c r="B444" s="999" t="str">
        <f>GLOBAL_DER_FEV_2023!B444</f>
        <v>570000D</v>
      </c>
      <c r="C444" s="1000" t="str">
        <f>GLOBAL_DER_FEV_2023!C444</f>
        <v>DER</v>
      </c>
      <c r="D444" s="1024" t="str">
        <f>GLOBAL_DER_FEV_2023!D444</f>
        <v>CBUQ - Novos traços - TRAÇO 5 - FAIXA "C" - (Quant. menor que 10.000 ton)</v>
      </c>
      <c r="E444" s="974" t="str">
        <f>GLOBAL_DER_FEV_2023!E444</f>
        <v>taxa CAP</v>
      </c>
      <c r="F444" s="1025">
        <f>GLOBAL_DER_FEV_2023!F444</f>
        <v>5.0999999999999997E-2</v>
      </c>
      <c r="G444" s="976">
        <f>GLOBAL_DER_FEV_2023!G444</f>
        <v>52.095578000000003</v>
      </c>
      <c r="H444" s="977">
        <f>GLOBAL_DER_FEV_2023!H444</f>
        <v>187.41</v>
      </c>
      <c r="I444" s="977">
        <f>GLOBAL_DER_FEV_2023!I444</f>
        <v>239.50557800000001</v>
      </c>
      <c r="J444" s="978">
        <f>GLOBAL_DER_FEV_2023!J444</f>
        <v>287.57</v>
      </c>
      <c r="K444" s="979" t="s">
        <v>14</v>
      </c>
      <c r="L444" s="1152"/>
      <c r="M444" s="1153">
        <f t="shared" ref="M444:M455" si="62">IF(L444=0,0,ROUND(J444,2))</f>
        <v>0</v>
      </c>
      <c r="N444" s="982">
        <f t="shared" si="61"/>
        <v>0</v>
      </c>
      <c r="O444" s="905"/>
      <c r="Q444" s="317" t="str">
        <f t="shared" ref="Q444:Q455" si="63">IF(P444="X","x",IF(P444="xx","x",IF(P444="xy","x",IF(P444="y","x",IF(OR(N444&gt;0,N444&gt;0),"x","")))))</f>
        <v/>
      </c>
      <c r="R444" s="317" t="str">
        <f t="shared" ref="R444:R455" si="64">IF(P444="X","x",IF(P444="y","x",IF(P444="xx","x",IF(N444&gt;0,"x",""))))</f>
        <v/>
      </c>
      <c r="S444" s="317" t="str">
        <f t="shared" ref="S444:S455" si="65">IF(P444="X","x",IF(N444&gt;0,"x",""))</f>
        <v/>
      </c>
      <c r="T444" s="317" t="str">
        <f>GLOBAL_DER_FEV_2023!S444</f>
        <v/>
      </c>
      <c r="W444" s="582">
        <v>0</v>
      </c>
      <c r="X444" s="580"/>
      <c r="Y444" s="583">
        <f>IF(GLOBAL_DER_FEV_2023!W444=0,0,IF(GLOBAL_DER_FEV_2023!W444&gt;0,"c","b"))</f>
        <v>0</v>
      </c>
    </row>
    <row r="445" spans="1:25" x14ac:dyDescent="0.2">
      <c r="A445" s="317" t="s">
        <v>147</v>
      </c>
      <c r="B445" s="895" t="str">
        <f>GLOBAL_DER_FEV_2023!B445</f>
        <v>transporte</v>
      </c>
      <c r="C445" s="896">
        <f>GLOBAL_DER_FEV_2023!C445</f>
        <v>0</v>
      </c>
      <c r="D445" s="957" t="str">
        <f>GLOBAL_DER_FEV_2023!D445</f>
        <v>Areia</v>
      </c>
      <c r="E445" s="907">
        <f>GLOBAL_DER_FEV_2023!E445</f>
        <v>150</v>
      </c>
      <c r="F445" s="1287">
        <f>GLOBAL_DER_FEV_2023!F445</f>
        <v>9.5600000000000004E-2</v>
      </c>
      <c r="G445" s="949">
        <f>GLOBAL_DER_FEV_2023!G445</f>
        <v>15.600008000000001</v>
      </c>
      <c r="H445" s="901">
        <f>GLOBAL_DER_FEV_2023!H445</f>
        <v>0</v>
      </c>
      <c r="I445" s="901">
        <f>GLOBAL_DER_FEV_2023!I445</f>
        <v>0</v>
      </c>
      <c r="J445" s="902">
        <f>GLOBAL_DER_FEV_2023!J445</f>
        <v>0</v>
      </c>
      <c r="K445" s="903" t="s">
        <v>507</v>
      </c>
      <c r="L445" s="1003"/>
      <c r="M445" s="1157">
        <f t="shared" si="62"/>
        <v>0</v>
      </c>
      <c r="N445" s="893">
        <f t="shared" ref="N445:N456" si="66">IF(ISBLANK(L445),0,IF(W445=0,ROUND(L445*M445,2),IF(W445="b",ROUNDDOWN(L445*M445,2),ROUNDUP(L445*M445,2))))</f>
        <v>0</v>
      </c>
      <c r="O445" s="905"/>
      <c r="P445" s="58" t="str">
        <f>IF(N444&gt;0,"xx",IF(N444&gt;0,"xy",""))</f>
        <v/>
      </c>
      <c r="Q445" s="317" t="str">
        <f t="shared" si="63"/>
        <v/>
      </c>
      <c r="R445" s="317" t="str">
        <f t="shared" si="64"/>
        <v/>
      </c>
      <c r="S445" s="317" t="str">
        <f t="shared" si="65"/>
        <v/>
      </c>
      <c r="T445" s="317" t="str">
        <f>GLOBAL_DER_FEV_2023!S445</f>
        <v/>
      </c>
      <c r="W445" s="582">
        <v>0</v>
      </c>
      <c r="X445" s="580"/>
      <c r="Y445" s="583">
        <f>IF(GLOBAL_DER_FEV_2023!W445=0,0,IF(GLOBAL_DER_FEV_2023!W445&gt;0,"c","b"))</f>
        <v>0</v>
      </c>
    </row>
    <row r="446" spans="1:25" x14ac:dyDescent="0.2">
      <c r="A446" s="317" t="s">
        <v>147</v>
      </c>
      <c r="B446" s="895" t="str">
        <f>GLOBAL_DER_FEV_2023!B446</f>
        <v>transporte</v>
      </c>
      <c r="C446" s="896">
        <f>GLOBAL_DER_FEV_2023!C446</f>
        <v>0</v>
      </c>
      <c r="D446" s="957" t="str">
        <f>GLOBAL_DER_FEV_2023!D446</f>
        <v>Cal Hidratada CH-1</v>
      </c>
      <c r="E446" s="907">
        <f>GLOBAL_DER_FEV_2023!E446</f>
        <v>353</v>
      </c>
      <c r="F446" s="1287">
        <f>GLOBAL_DER_FEV_2023!F446</f>
        <v>1.44E-2</v>
      </c>
      <c r="G446" s="909">
        <f>GLOBAL_DER_FEV_2023!G446</f>
        <v>4.0775040000000002</v>
      </c>
      <c r="H446" s="901">
        <f>GLOBAL_DER_FEV_2023!H446</f>
        <v>0</v>
      </c>
      <c r="I446" s="901">
        <f>GLOBAL_DER_FEV_2023!I446</f>
        <v>0</v>
      </c>
      <c r="J446" s="902">
        <f>GLOBAL_DER_FEV_2023!J446</f>
        <v>0</v>
      </c>
      <c r="K446" s="903" t="s">
        <v>507</v>
      </c>
      <c r="L446" s="1003"/>
      <c r="M446" s="1157">
        <f t="shared" si="62"/>
        <v>0</v>
      </c>
      <c r="N446" s="893">
        <f t="shared" si="66"/>
        <v>0</v>
      </c>
      <c r="O446" s="905"/>
      <c r="P446" s="58" t="str">
        <f>IF(N444&gt;0,"xx",IF(N444&gt;0,"xy",""))</f>
        <v/>
      </c>
      <c r="Q446" s="317" t="str">
        <f t="shared" si="63"/>
        <v/>
      </c>
      <c r="R446" s="317" t="str">
        <f t="shared" si="64"/>
        <v/>
      </c>
      <c r="S446" s="317" t="str">
        <f t="shared" si="65"/>
        <v/>
      </c>
      <c r="T446" s="317" t="str">
        <f>GLOBAL_DER_FEV_2023!S446</f>
        <v/>
      </c>
      <c r="W446" s="582">
        <v>0</v>
      </c>
      <c r="X446" s="580"/>
      <c r="Y446" s="583">
        <f>IF(GLOBAL_DER_FEV_2023!W446=0,0,IF(GLOBAL_DER_FEV_2023!W446&gt;0,"c","b"))</f>
        <v>0</v>
      </c>
    </row>
    <row r="447" spans="1:25" x14ac:dyDescent="0.2">
      <c r="A447" s="317" t="s">
        <v>147</v>
      </c>
      <c r="B447" s="895" t="str">
        <f>GLOBAL_DER_FEV_2023!B447</f>
        <v>transporte</v>
      </c>
      <c r="C447" s="896">
        <f>GLOBAL_DER_FEV_2023!C447</f>
        <v>0</v>
      </c>
      <c r="D447" s="957" t="str">
        <f>GLOBAL_DER_FEV_2023!D447</f>
        <v>Brita ( usina )</v>
      </c>
      <c r="E447" s="907">
        <f>GLOBAL_DER_FEV_2023!E447</f>
        <v>0.2</v>
      </c>
      <c r="F447" s="1287">
        <f>GLOBAL_DER_FEV_2023!F447</f>
        <v>0.83899999999999997</v>
      </c>
      <c r="G447" s="949">
        <f>GLOBAL_DER_FEV_2023!G447</f>
        <v>2.4280659999999998</v>
      </c>
      <c r="H447" s="901">
        <f>GLOBAL_DER_FEV_2023!H447</f>
        <v>0</v>
      </c>
      <c r="I447" s="901">
        <f>GLOBAL_DER_FEV_2023!I447</f>
        <v>0</v>
      </c>
      <c r="J447" s="902">
        <f>GLOBAL_DER_FEV_2023!J447</f>
        <v>0</v>
      </c>
      <c r="K447" s="903" t="s">
        <v>507</v>
      </c>
      <c r="L447" s="1003"/>
      <c r="M447" s="1157">
        <f t="shared" si="62"/>
        <v>0</v>
      </c>
      <c r="N447" s="893">
        <f t="shared" si="66"/>
        <v>0</v>
      </c>
      <c r="O447" s="905"/>
      <c r="P447" s="58" t="str">
        <f>IF(N444&gt;0,"xx",IF(N444&gt;0,"xy",""))</f>
        <v/>
      </c>
      <c r="Q447" s="317" t="str">
        <f t="shared" si="63"/>
        <v/>
      </c>
      <c r="R447" s="317" t="str">
        <f t="shared" si="64"/>
        <v/>
      </c>
      <c r="S447" s="317" t="str">
        <f t="shared" si="65"/>
        <v/>
      </c>
      <c r="T447" s="317" t="str">
        <f>GLOBAL_DER_FEV_2023!S447</f>
        <v/>
      </c>
      <c r="W447" s="582">
        <v>0</v>
      </c>
      <c r="X447" s="580"/>
      <c r="Y447" s="583">
        <f>IF(GLOBAL_DER_FEV_2023!W447=0,0,IF(GLOBAL_DER_FEV_2023!W447&gt;0,"c","b"))</f>
        <v>0</v>
      </c>
    </row>
    <row r="448" spans="1:25" x14ac:dyDescent="0.2">
      <c r="A448" s="317" t="s">
        <v>147</v>
      </c>
      <c r="B448" s="895" t="str">
        <f>GLOBAL_DER_FEV_2023!B448</f>
        <v>transporte</v>
      </c>
      <c r="C448" s="896">
        <f>GLOBAL_DER_FEV_2023!C448</f>
        <v>0</v>
      </c>
      <c r="D448" s="957" t="str">
        <f>GLOBAL_DER_FEV_2023!D448</f>
        <v>Massa</v>
      </c>
      <c r="E448" s="907">
        <f>GLOBAL_DER_FEV_2023!E448</f>
        <v>22</v>
      </c>
      <c r="F448" s="908">
        <f>GLOBAL_DER_FEV_2023!F448</f>
        <v>1</v>
      </c>
      <c r="G448" s="912">
        <f>GLOBAL_DER_FEV_2023!G448</f>
        <v>29.990000000000002</v>
      </c>
      <c r="H448" s="901">
        <f>GLOBAL_DER_FEV_2023!H448</f>
        <v>0</v>
      </c>
      <c r="I448" s="901">
        <f>GLOBAL_DER_FEV_2023!I448</f>
        <v>0</v>
      </c>
      <c r="J448" s="902">
        <f>GLOBAL_DER_FEV_2023!J448</f>
        <v>0</v>
      </c>
      <c r="K448" s="903" t="s">
        <v>507</v>
      </c>
      <c r="L448" s="1003"/>
      <c r="M448" s="1157">
        <f t="shared" si="62"/>
        <v>0</v>
      </c>
      <c r="N448" s="893">
        <f t="shared" si="66"/>
        <v>0</v>
      </c>
      <c r="O448" s="905"/>
      <c r="P448" s="58" t="str">
        <f>IF(N444&gt;0,"xx",IF(N444&gt;0,"xy",""))</f>
        <v/>
      </c>
      <c r="Q448" s="317" t="str">
        <f t="shared" si="63"/>
        <v/>
      </c>
      <c r="R448" s="317" t="str">
        <f t="shared" si="64"/>
        <v/>
      </c>
      <c r="S448" s="317" t="str">
        <f t="shared" si="65"/>
        <v/>
      </c>
      <c r="T448" s="317" t="str">
        <f>GLOBAL_DER_FEV_2023!S448</f>
        <v/>
      </c>
      <c r="W448" s="582">
        <v>0</v>
      </c>
      <c r="X448" s="580"/>
      <c r="Y448" s="583">
        <f>IF(GLOBAL_DER_FEV_2023!W448=0,0,IF(GLOBAL_DER_FEV_2023!W448&gt;0,"c","b"))</f>
        <v>0</v>
      </c>
    </row>
    <row r="449" spans="1:25" ht="13.5" thickBot="1" x14ac:dyDescent="0.25">
      <c r="A449" s="317">
        <v>589000</v>
      </c>
      <c r="B449" s="1004" t="str">
        <f>GLOBAL_DER_FEV_2023!B449</f>
        <v>589000K</v>
      </c>
      <c r="C449" s="984" t="str">
        <f>GLOBAL_DER_FEV_2023!C449</f>
        <v>DER mat</v>
      </c>
      <c r="D449" s="1012" t="str">
        <f>GLOBAL_DER_FEV_2023!D449</f>
        <v>Fornecimento de CAP - CBUQ (Quantidade menor que 10.000 ton)</v>
      </c>
      <c r="E449" s="1005">
        <f>GLOBAL_DER_FEV_2023!E449</f>
        <v>45</v>
      </c>
      <c r="F449" s="1006">
        <f>GLOBAL_DER_FEV_2023!F449</f>
        <v>1</v>
      </c>
      <c r="G449" s="949">
        <f>GLOBAL_DER_FEV_2023!G449</f>
        <v>88.36</v>
      </c>
      <c r="H449" s="988">
        <f>GLOBAL_DER_FEV_2023!H449</f>
        <v>4828.8599999999997</v>
      </c>
      <c r="I449" s="988">
        <f>GLOBAL_DER_FEV_2023!I449</f>
        <v>4724.580378112767</v>
      </c>
      <c r="J449" s="989">
        <f>GLOBAL_DER_FEV_2023!J449</f>
        <v>5672.8</v>
      </c>
      <c r="K449" s="990" t="s">
        <v>14</v>
      </c>
      <c r="L449" s="1154">
        <f>ROUND(L444*$F444,2)</f>
        <v>0</v>
      </c>
      <c r="M449" s="1159">
        <f t="shared" si="62"/>
        <v>0</v>
      </c>
      <c r="N449" s="993">
        <f t="shared" si="66"/>
        <v>0</v>
      </c>
      <c r="O449" s="905"/>
      <c r="P449" s="58" t="str">
        <f>IF(N444&gt;0,"xx",IF(N444&gt;0,"xy",""))</f>
        <v/>
      </c>
      <c r="Q449" s="317" t="str">
        <f t="shared" si="63"/>
        <v/>
      </c>
      <c r="R449" s="317" t="str">
        <f t="shared" si="64"/>
        <v/>
      </c>
      <c r="S449" s="317" t="str">
        <f t="shared" si="65"/>
        <v/>
      </c>
      <c r="T449" s="317" t="str">
        <f>GLOBAL_DER_FEV_2023!S449</f>
        <v/>
      </c>
      <c r="W449" s="582">
        <v>0</v>
      </c>
      <c r="X449" s="580"/>
      <c r="Y449" s="583">
        <f>IF(GLOBAL_DER_FEV_2023!W449=0,0,IF(GLOBAL_DER_FEV_2023!W449&gt;0,"c","b"))</f>
        <v>0</v>
      </c>
    </row>
    <row r="450" spans="1:25" x14ac:dyDescent="0.2">
      <c r="A450" s="317">
        <v>570000</v>
      </c>
      <c r="B450" s="999" t="str">
        <f>GLOBAL_DER_FEV_2023!B450</f>
        <v>570000D</v>
      </c>
      <c r="C450" s="1000" t="str">
        <f>GLOBAL_DER_FEV_2023!C450</f>
        <v>DER</v>
      </c>
      <c r="D450" s="1024" t="str">
        <f>GLOBAL_DER_FEV_2023!D450</f>
        <v>CBUQ - Novos traços - TRAÇO 6 - FAIXA "C" - (Quant. menor que 10.000 ton)</v>
      </c>
      <c r="E450" s="974" t="str">
        <f>GLOBAL_DER_FEV_2023!E450</f>
        <v>taxa CAP</v>
      </c>
      <c r="F450" s="1025">
        <f>GLOBAL_DER_FEV_2023!F450</f>
        <v>5.2999999999999999E-2</v>
      </c>
      <c r="G450" s="976">
        <f>GLOBAL_DER_FEV_2023!G450</f>
        <v>52.057732800000004</v>
      </c>
      <c r="H450" s="977">
        <f>GLOBAL_DER_FEV_2023!H450</f>
        <v>187.41</v>
      </c>
      <c r="I450" s="977">
        <f>GLOBAL_DER_FEV_2023!I450</f>
        <v>239.46773279999999</v>
      </c>
      <c r="J450" s="978">
        <f>GLOBAL_DER_FEV_2023!J450</f>
        <v>287.52999999999997</v>
      </c>
      <c r="K450" s="979" t="s">
        <v>14</v>
      </c>
      <c r="L450" s="1152"/>
      <c r="M450" s="1153">
        <f t="shared" si="62"/>
        <v>0</v>
      </c>
      <c r="N450" s="982">
        <f t="shared" si="66"/>
        <v>0</v>
      </c>
      <c r="O450" s="905"/>
      <c r="Q450" s="317" t="str">
        <f t="shared" si="63"/>
        <v/>
      </c>
      <c r="R450" s="317" t="str">
        <f t="shared" si="64"/>
        <v/>
      </c>
      <c r="S450" s="317" t="str">
        <f t="shared" si="65"/>
        <v/>
      </c>
      <c r="T450" s="317" t="str">
        <f>GLOBAL_DER_FEV_2023!S450</f>
        <v/>
      </c>
      <c r="W450" s="582">
        <v>0</v>
      </c>
      <c r="X450" s="580"/>
      <c r="Y450" s="583">
        <f>IF(GLOBAL_DER_FEV_2023!W450=0,0,IF(GLOBAL_DER_FEV_2023!W450&gt;0,"c","b"))</f>
        <v>0</v>
      </c>
    </row>
    <row r="451" spans="1:25" x14ac:dyDescent="0.2">
      <c r="A451" s="317" t="s">
        <v>147</v>
      </c>
      <c r="B451" s="895" t="str">
        <f>GLOBAL_DER_FEV_2023!B451</f>
        <v>transporte</v>
      </c>
      <c r="C451" s="896">
        <f>GLOBAL_DER_FEV_2023!C451</f>
        <v>0</v>
      </c>
      <c r="D451" s="957" t="str">
        <f>GLOBAL_DER_FEV_2023!D451</f>
        <v>Areia</v>
      </c>
      <c r="E451" s="907">
        <f>GLOBAL_DER_FEV_2023!E451</f>
        <v>150</v>
      </c>
      <c r="F451" s="1287">
        <f>GLOBAL_DER_FEV_2023!F451</f>
        <v>9.5399999999999999E-2</v>
      </c>
      <c r="G451" s="949">
        <f>GLOBAL_DER_FEV_2023!G451</f>
        <v>15.567372000000001</v>
      </c>
      <c r="H451" s="901">
        <f>GLOBAL_DER_FEV_2023!H451</f>
        <v>0</v>
      </c>
      <c r="I451" s="901">
        <f>GLOBAL_DER_FEV_2023!I451</f>
        <v>0</v>
      </c>
      <c r="J451" s="902">
        <f>GLOBAL_DER_FEV_2023!J451</f>
        <v>0</v>
      </c>
      <c r="K451" s="903" t="s">
        <v>507</v>
      </c>
      <c r="L451" s="1003"/>
      <c r="M451" s="1157">
        <f t="shared" si="62"/>
        <v>0</v>
      </c>
      <c r="N451" s="893">
        <f t="shared" si="66"/>
        <v>0</v>
      </c>
      <c r="O451" s="905"/>
      <c r="P451" s="58" t="str">
        <f>IF(N450&gt;0,"xx",IF(N450&gt;0,"xy",""))</f>
        <v/>
      </c>
      <c r="Q451" s="317" t="str">
        <f t="shared" si="63"/>
        <v/>
      </c>
      <c r="R451" s="317" t="str">
        <f t="shared" si="64"/>
        <v/>
      </c>
      <c r="S451" s="317" t="str">
        <f t="shared" si="65"/>
        <v/>
      </c>
      <c r="T451" s="317" t="str">
        <f>GLOBAL_DER_FEV_2023!S451</f>
        <v/>
      </c>
      <c r="W451" s="582">
        <v>0</v>
      </c>
      <c r="X451" s="580"/>
      <c r="Y451" s="583">
        <f>IF(GLOBAL_DER_FEV_2023!W451=0,0,IF(GLOBAL_DER_FEV_2023!W451&gt;0,"c","b"))</f>
        <v>0</v>
      </c>
    </row>
    <row r="452" spans="1:25" x14ac:dyDescent="0.2">
      <c r="A452" s="317" t="s">
        <v>147</v>
      </c>
      <c r="B452" s="895" t="str">
        <f>GLOBAL_DER_FEV_2023!B452</f>
        <v>transporte</v>
      </c>
      <c r="C452" s="896">
        <f>GLOBAL_DER_FEV_2023!C452</f>
        <v>0</v>
      </c>
      <c r="D452" s="957" t="str">
        <f>GLOBAL_DER_FEV_2023!D452</f>
        <v>Cal Hidratada CH-1</v>
      </c>
      <c r="E452" s="907">
        <f>GLOBAL_DER_FEV_2023!E452</f>
        <v>353</v>
      </c>
      <c r="F452" s="1287">
        <f>GLOBAL_DER_FEV_2023!F452</f>
        <v>1.44E-2</v>
      </c>
      <c r="G452" s="909">
        <f>GLOBAL_DER_FEV_2023!G452</f>
        <v>4.0775040000000002</v>
      </c>
      <c r="H452" s="901">
        <f>GLOBAL_DER_FEV_2023!H452</f>
        <v>0</v>
      </c>
      <c r="I452" s="901">
        <f>GLOBAL_DER_FEV_2023!I452</f>
        <v>0</v>
      </c>
      <c r="J452" s="902">
        <f>GLOBAL_DER_FEV_2023!J452</f>
        <v>0</v>
      </c>
      <c r="K452" s="903" t="s">
        <v>507</v>
      </c>
      <c r="L452" s="1003"/>
      <c r="M452" s="1157">
        <f t="shared" si="62"/>
        <v>0</v>
      </c>
      <c r="N452" s="893">
        <f t="shared" si="66"/>
        <v>0</v>
      </c>
      <c r="O452" s="905"/>
      <c r="P452" s="58" t="str">
        <f>IF(N450&gt;0,"xx",IF(N450&gt;0,"xy",""))</f>
        <v/>
      </c>
      <c r="Q452" s="317" t="str">
        <f t="shared" si="63"/>
        <v/>
      </c>
      <c r="R452" s="317" t="str">
        <f t="shared" si="64"/>
        <v/>
      </c>
      <c r="S452" s="317" t="str">
        <f t="shared" si="65"/>
        <v/>
      </c>
      <c r="T452" s="317" t="str">
        <f>GLOBAL_DER_FEV_2023!S452</f>
        <v/>
      </c>
      <c r="W452" s="582">
        <v>0</v>
      </c>
      <c r="X452" s="580"/>
      <c r="Y452" s="583">
        <f>IF(GLOBAL_DER_FEV_2023!W452=0,0,IF(GLOBAL_DER_FEV_2023!W452&gt;0,"c","b"))</f>
        <v>0</v>
      </c>
    </row>
    <row r="453" spans="1:25" x14ac:dyDescent="0.2">
      <c r="A453" s="317" t="s">
        <v>147</v>
      </c>
      <c r="B453" s="895" t="str">
        <f>GLOBAL_DER_FEV_2023!B453</f>
        <v>transporte</v>
      </c>
      <c r="C453" s="896">
        <f>GLOBAL_DER_FEV_2023!C453</f>
        <v>0</v>
      </c>
      <c r="D453" s="957" t="str">
        <f>GLOBAL_DER_FEV_2023!D453</f>
        <v>Brita ( usina )</v>
      </c>
      <c r="E453" s="907">
        <f>GLOBAL_DER_FEV_2023!E453</f>
        <v>0.2</v>
      </c>
      <c r="F453" s="1287">
        <f>GLOBAL_DER_FEV_2023!F453</f>
        <v>0.83720000000000006</v>
      </c>
      <c r="G453" s="949">
        <f>GLOBAL_DER_FEV_2023!G453</f>
        <v>2.4228568000000004</v>
      </c>
      <c r="H453" s="901">
        <f>GLOBAL_DER_FEV_2023!H453</f>
        <v>0</v>
      </c>
      <c r="I453" s="901">
        <f>GLOBAL_DER_FEV_2023!I453</f>
        <v>0</v>
      </c>
      <c r="J453" s="902">
        <f>GLOBAL_DER_FEV_2023!J453</f>
        <v>0</v>
      </c>
      <c r="K453" s="903" t="s">
        <v>507</v>
      </c>
      <c r="L453" s="1003"/>
      <c r="M453" s="1157">
        <f t="shared" si="62"/>
        <v>0</v>
      </c>
      <c r="N453" s="893">
        <f t="shared" si="66"/>
        <v>0</v>
      </c>
      <c r="O453" s="905"/>
      <c r="P453" s="58" t="str">
        <f>IF(N450&gt;0,"xx",IF(N450&gt;0,"xy",""))</f>
        <v/>
      </c>
      <c r="Q453" s="317" t="str">
        <f t="shared" si="63"/>
        <v/>
      </c>
      <c r="R453" s="317" t="str">
        <f t="shared" si="64"/>
        <v/>
      </c>
      <c r="S453" s="317" t="str">
        <f t="shared" si="65"/>
        <v/>
      </c>
      <c r="T453" s="317" t="str">
        <f>GLOBAL_DER_FEV_2023!S453</f>
        <v/>
      </c>
      <c r="W453" s="582">
        <v>0</v>
      </c>
      <c r="X453" s="580"/>
      <c r="Y453" s="583">
        <f>IF(GLOBAL_DER_FEV_2023!W453=0,0,IF(GLOBAL_DER_FEV_2023!W453&gt;0,"c","b"))</f>
        <v>0</v>
      </c>
    </row>
    <row r="454" spans="1:25" x14ac:dyDescent="0.2">
      <c r="A454" s="317" t="s">
        <v>147</v>
      </c>
      <c r="B454" s="895" t="str">
        <f>GLOBAL_DER_FEV_2023!B454</f>
        <v>transporte</v>
      </c>
      <c r="C454" s="896">
        <f>GLOBAL_DER_FEV_2023!C454</f>
        <v>0</v>
      </c>
      <c r="D454" s="957" t="str">
        <f>GLOBAL_DER_FEV_2023!D454</f>
        <v>Massa</v>
      </c>
      <c r="E454" s="907">
        <f>GLOBAL_DER_FEV_2023!E454</f>
        <v>22</v>
      </c>
      <c r="F454" s="908">
        <f>GLOBAL_DER_FEV_2023!F454</f>
        <v>1</v>
      </c>
      <c r="G454" s="912">
        <f>GLOBAL_DER_FEV_2023!G454</f>
        <v>29.990000000000002</v>
      </c>
      <c r="H454" s="901">
        <f>GLOBAL_DER_FEV_2023!H454</f>
        <v>0</v>
      </c>
      <c r="I454" s="901">
        <f>GLOBAL_DER_FEV_2023!I454</f>
        <v>0</v>
      </c>
      <c r="J454" s="902">
        <f>GLOBAL_DER_FEV_2023!J454</f>
        <v>0</v>
      </c>
      <c r="K454" s="903" t="s">
        <v>507</v>
      </c>
      <c r="L454" s="1003"/>
      <c r="M454" s="1157">
        <f t="shared" si="62"/>
        <v>0</v>
      </c>
      <c r="N454" s="893">
        <f t="shared" si="66"/>
        <v>0</v>
      </c>
      <c r="O454" s="905"/>
      <c r="P454" s="58" t="str">
        <f>IF(N450&gt;0,"xx",IF(N450&gt;0,"xy",""))</f>
        <v/>
      </c>
      <c r="Q454" s="317" t="str">
        <f t="shared" si="63"/>
        <v/>
      </c>
      <c r="R454" s="317" t="str">
        <f t="shared" si="64"/>
        <v/>
      </c>
      <c r="S454" s="317" t="str">
        <f t="shared" si="65"/>
        <v/>
      </c>
      <c r="T454" s="317" t="str">
        <f>GLOBAL_DER_FEV_2023!S454</f>
        <v/>
      </c>
      <c r="W454" s="582">
        <v>0</v>
      </c>
      <c r="X454" s="580"/>
      <c r="Y454" s="583">
        <f>IF(GLOBAL_DER_FEV_2023!W454=0,0,IF(GLOBAL_DER_FEV_2023!W454&gt;0,"c","b"))</f>
        <v>0</v>
      </c>
    </row>
    <row r="455" spans="1:25" ht="13.5" thickBot="1" x14ac:dyDescent="0.25">
      <c r="A455" s="317">
        <v>589000</v>
      </c>
      <c r="B455" s="1004" t="str">
        <f>GLOBAL_DER_FEV_2023!B455</f>
        <v>589000K</v>
      </c>
      <c r="C455" s="984" t="str">
        <f>GLOBAL_DER_FEV_2023!C455</f>
        <v>DER mat</v>
      </c>
      <c r="D455" s="1012" t="str">
        <f>GLOBAL_DER_FEV_2023!D455</f>
        <v>Fornecimento de CAP - CBUQ (Quantidade menor que 10.000 ton)</v>
      </c>
      <c r="E455" s="1005">
        <f>GLOBAL_DER_FEV_2023!E455</f>
        <v>45</v>
      </c>
      <c r="F455" s="1006">
        <f>GLOBAL_DER_FEV_2023!F455</f>
        <v>1</v>
      </c>
      <c r="G455" s="949">
        <f>GLOBAL_DER_FEV_2023!G455</f>
        <v>88.36</v>
      </c>
      <c r="H455" s="988">
        <f>GLOBAL_DER_FEV_2023!H455</f>
        <v>4828.8599999999997</v>
      </c>
      <c r="I455" s="988">
        <f>GLOBAL_DER_FEV_2023!I455</f>
        <v>4724.580378112767</v>
      </c>
      <c r="J455" s="989">
        <f>GLOBAL_DER_FEV_2023!J455</f>
        <v>5672.8</v>
      </c>
      <c r="K455" s="990" t="s">
        <v>14</v>
      </c>
      <c r="L455" s="1154">
        <f>ROUND(L450*$F450,2)</f>
        <v>0</v>
      </c>
      <c r="M455" s="1159">
        <f t="shared" si="62"/>
        <v>0</v>
      </c>
      <c r="N455" s="993">
        <f t="shared" si="66"/>
        <v>0</v>
      </c>
      <c r="O455" s="905"/>
      <c r="P455" s="58" t="str">
        <f>IF(N450&gt;0,"xx",IF(N450&gt;0,"xy",""))</f>
        <v/>
      </c>
      <c r="Q455" s="317" t="str">
        <f t="shared" si="63"/>
        <v/>
      </c>
      <c r="R455" s="317" t="str">
        <f t="shared" si="64"/>
        <v/>
      </c>
      <c r="S455" s="317" t="str">
        <f t="shared" si="65"/>
        <v/>
      </c>
      <c r="T455" s="317" t="str">
        <f>GLOBAL_DER_FEV_2023!S455</f>
        <v/>
      </c>
      <c r="W455" s="582">
        <v>0</v>
      </c>
      <c r="X455" s="580"/>
      <c r="Y455" s="583">
        <f>IF(GLOBAL_DER_FEV_2023!W455=0,0,IF(GLOBAL_DER_FEV_2023!W455&gt;0,"c","b"))</f>
        <v>0</v>
      </c>
    </row>
    <row r="456" spans="1:25" x14ac:dyDescent="0.2">
      <c r="A456" s="317">
        <v>570000</v>
      </c>
      <c r="B456" s="999" t="str">
        <f>GLOBAL_DER_FEV_2023!B456</f>
        <v>570000D</v>
      </c>
      <c r="C456" s="1000" t="str">
        <f>GLOBAL_DER_FEV_2023!C456</f>
        <v>DER</v>
      </c>
      <c r="D456" s="1024" t="str">
        <f>GLOBAL_DER_FEV_2023!D456</f>
        <v>CBUQ - Novos traços - TRAÇO 7 - FAIXA "C" - (Quant. menor que 10.000 ton)</v>
      </c>
      <c r="E456" s="974" t="str">
        <f>GLOBAL_DER_FEV_2023!E456</f>
        <v>taxa CAP</v>
      </c>
      <c r="F456" s="1025">
        <f>GLOBAL_DER_FEV_2023!F456</f>
        <v>4.9500000000000002E-2</v>
      </c>
      <c r="G456" s="976">
        <f>GLOBAL_DER_FEV_2023!G456</f>
        <v>52.115947599999998</v>
      </c>
      <c r="H456" s="977">
        <f>GLOBAL_DER_FEV_2023!H456</f>
        <v>187.41</v>
      </c>
      <c r="I456" s="977">
        <f>GLOBAL_DER_FEV_2023!I456</f>
        <v>239.52594759999999</v>
      </c>
      <c r="J456" s="978">
        <f>GLOBAL_DER_FEV_2023!J456</f>
        <v>287.60000000000002</v>
      </c>
      <c r="K456" s="979" t="s">
        <v>14</v>
      </c>
      <c r="L456" s="1152"/>
      <c r="M456" s="1153">
        <f t="shared" ref="M456:M467" si="67">IF(L456=0,0,ROUND(J456,2))</f>
        <v>0</v>
      </c>
      <c r="N456" s="982">
        <f t="shared" si="66"/>
        <v>0</v>
      </c>
      <c r="O456" s="905"/>
      <c r="Q456" s="317" t="str">
        <f t="shared" ref="Q456:Q467" si="68">IF(P456="X","x",IF(P456="xx","x",IF(P456="xy","x",IF(P456="y","x",IF(OR(N456&gt;0,N456&gt;0),"x","")))))</f>
        <v/>
      </c>
      <c r="R456" s="317" t="str">
        <f t="shared" ref="R456:R467" si="69">IF(P456="X","x",IF(P456="y","x",IF(P456="xx","x",IF(N456&gt;0,"x",""))))</f>
        <v/>
      </c>
      <c r="S456" s="317" t="str">
        <f t="shared" ref="S456:S467" si="70">IF(P456="X","x",IF(N456&gt;0,"x",""))</f>
        <v/>
      </c>
      <c r="T456" s="317" t="str">
        <f>GLOBAL_DER_FEV_2023!S456</f>
        <v/>
      </c>
      <c r="W456" s="582">
        <v>0</v>
      </c>
      <c r="X456" s="580"/>
      <c r="Y456" s="583">
        <f>IF(GLOBAL_DER_FEV_2023!W456=0,0,IF(GLOBAL_DER_FEV_2023!W456&gt;0,"c","b"))</f>
        <v>0</v>
      </c>
    </row>
    <row r="457" spans="1:25" x14ac:dyDescent="0.2">
      <c r="A457" s="317" t="s">
        <v>147</v>
      </c>
      <c r="B457" s="895" t="str">
        <f>GLOBAL_DER_FEV_2023!B457</f>
        <v>transporte</v>
      </c>
      <c r="C457" s="896">
        <f>GLOBAL_DER_FEV_2023!C457</f>
        <v>0</v>
      </c>
      <c r="D457" s="957" t="str">
        <f>GLOBAL_DER_FEV_2023!D457</f>
        <v>Areia</v>
      </c>
      <c r="E457" s="907">
        <f>GLOBAL_DER_FEV_2023!E457</f>
        <v>150</v>
      </c>
      <c r="F457" s="1287">
        <f>GLOBAL_DER_FEV_2023!F457</f>
        <v>9.5699999999999993E-2</v>
      </c>
      <c r="G457" s="949">
        <f>GLOBAL_DER_FEV_2023!G457</f>
        <v>15.616325999999999</v>
      </c>
      <c r="H457" s="901">
        <f>GLOBAL_DER_FEV_2023!H457</f>
        <v>0</v>
      </c>
      <c r="I457" s="901">
        <f>GLOBAL_DER_FEV_2023!I457</f>
        <v>0</v>
      </c>
      <c r="J457" s="902">
        <f>GLOBAL_DER_FEV_2023!J457</f>
        <v>0</v>
      </c>
      <c r="K457" s="903" t="s">
        <v>507</v>
      </c>
      <c r="L457" s="1003"/>
      <c r="M457" s="1157">
        <f t="shared" si="67"/>
        <v>0</v>
      </c>
      <c r="N457" s="893">
        <f t="shared" ref="N457:N467" si="71">IF(ISBLANK(L457),0,IF(W457=0,ROUND(L457*M457,2),IF(W457="b",ROUNDDOWN(L457*M457,2),ROUNDUP(L457*M457,2))))</f>
        <v>0</v>
      </c>
      <c r="O457" s="905"/>
      <c r="P457" s="58" t="str">
        <f>IF(N456&gt;0,"xx",IF(N456&gt;0,"xy",""))</f>
        <v/>
      </c>
      <c r="Q457" s="317" t="str">
        <f t="shared" si="68"/>
        <v/>
      </c>
      <c r="R457" s="317" t="str">
        <f t="shared" si="69"/>
        <v/>
      </c>
      <c r="S457" s="317" t="str">
        <f t="shared" si="70"/>
        <v/>
      </c>
      <c r="T457" s="317" t="str">
        <f>GLOBAL_DER_FEV_2023!S457</f>
        <v/>
      </c>
      <c r="W457" s="582">
        <v>0</v>
      </c>
      <c r="X457" s="580"/>
      <c r="Y457" s="583">
        <f>IF(GLOBAL_DER_FEV_2023!W457=0,0,IF(GLOBAL_DER_FEV_2023!W457&gt;0,"c","b"))</f>
        <v>0</v>
      </c>
    </row>
    <row r="458" spans="1:25" x14ac:dyDescent="0.2">
      <c r="A458" s="317" t="s">
        <v>147</v>
      </c>
      <c r="B458" s="895" t="str">
        <f>GLOBAL_DER_FEV_2023!B458</f>
        <v>transporte</v>
      </c>
      <c r="C458" s="896">
        <f>GLOBAL_DER_FEV_2023!C458</f>
        <v>0</v>
      </c>
      <c r="D458" s="957" t="str">
        <f>GLOBAL_DER_FEV_2023!D458</f>
        <v>Cal Hidratada CH-1</v>
      </c>
      <c r="E458" s="907">
        <f>GLOBAL_DER_FEV_2023!E458</f>
        <v>353</v>
      </c>
      <c r="F458" s="1287">
        <f>GLOBAL_DER_FEV_2023!F458</f>
        <v>1.44E-2</v>
      </c>
      <c r="G458" s="909">
        <f>GLOBAL_DER_FEV_2023!G458</f>
        <v>4.0775040000000002</v>
      </c>
      <c r="H458" s="901">
        <f>GLOBAL_DER_FEV_2023!H458</f>
        <v>0</v>
      </c>
      <c r="I458" s="901">
        <f>GLOBAL_DER_FEV_2023!I458</f>
        <v>0</v>
      </c>
      <c r="J458" s="902">
        <f>GLOBAL_DER_FEV_2023!J458</f>
        <v>0</v>
      </c>
      <c r="K458" s="903" t="s">
        <v>507</v>
      </c>
      <c r="L458" s="1003"/>
      <c r="M458" s="1157">
        <f t="shared" si="67"/>
        <v>0</v>
      </c>
      <c r="N458" s="893">
        <f t="shared" si="71"/>
        <v>0</v>
      </c>
      <c r="O458" s="905"/>
      <c r="P458" s="58" t="str">
        <f>IF(N456&gt;0,"xx",IF(N456&gt;0,"xy",""))</f>
        <v/>
      </c>
      <c r="Q458" s="317" t="str">
        <f t="shared" si="68"/>
        <v/>
      </c>
      <c r="R458" s="317" t="str">
        <f t="shared" si="69"/>
        <v/>
      </c>
      <c r="S458" s="317" t="str">
        <f t="shared" si="70"/>
        <v/>
      </c>
      <c r="T458" s="317" t="str">
        <f>GLOBAL_DER_FEV_2023!S458</f>
        <v/>
      </c>
      <c r="W458" s="582">
        <v>0</v>
      </c>
      <c r="X458" s="580"/>
      <c r="Y458" s="583">
        <f>IF(GLOBAL_DER_FEV_2023!W458=0,0,IF(GLOBAL_DER_FEV_2023!W458&gt;0,"c","b"))</f>
        <v>0</v>
      </c>
    </row>
    <row r="459" spans="1:25" x14ac:dyDescent="0.2">
      <c r="A459" s="317" t="s">
        <v>147</v>
      </c>
      <c r="B459" s="895" t="str">
        <f>GLOBAL_DER_FEV_2023!B459</f>
        <v>transporte</v>
      </c>
      <c r="C459" s="896">
        <f>GLOBAL_DER_FEV_2023!C459</f>
        <v>0</v>
      </c>
      <c r="D459" s="957" t="str">
        <f>GLOBAL_DER_FEV_2023!D459</f>
        <v>Brita ( usina )</v>
      </c>
      <c r="E459" s="907">
        <f>GLOBAL_DER_FEV_2023!E459</f>
        <v>0.2</v>
      </c>
      <c r="F459" s="1287">
        <f>GLOBAL_DER_FEV_2023!F459</f>
        <v>0.84040000000000004</v>
      </c>
      <c r="G459" s="949">
        <f>GLOBAL_DER_FEV_2023!G459</f>
        <v>2.4321176000000002</v>
      </c>
      <c r="H459" s="901">
        <f>GLOBAL_DER_FEV_2023!H459</f>
        <v>0</v>
      </c>
      <c r="I459" s="901">
        <f>GLOBAL_DER_FEV_2023!I459</f>
        <v>0</v>
      </c>
      <c r="J459" s="902">
        <f>GLOBAL_DER_FEV_2023!J459</f>
        <v>0</v>
      </c>
      <c r="K459" s="903" t="s">
        <v>507</v>
      </c>
      <c r="L459" s="1003"/>
      <c r="M459" s="1157">
        <f t="shared" si="67"/>
        <v>0</v>
      </c>
      <c r="N459" s="893">
        <f t="shared" si="71"/>
        <v>0</v>
      </c>
      <c r="O459" s="905"/>
      <c r="P459" s="58" t="str">
        <f>IF(N456&gt;0,"xx",IF(N456&gt;0,"xy",""))</f>
        <v/>
      </c>
      <c r="Q459" s="317" t="str">
        <f t="shared" si="68"/>
        <v/>
      </c>
      <c r="R459" s="317" t="str">
        <f t="shared" si="69"/>
        <v/>
      </c>
      <c r="S459" s="317" t="str">
        <f t="shared" si="70"/>
        <v/>
      </c>
      <c r="T459" s="317" t="str">
        <f>GLOBAL_DER_FEV_2023!S459</f>
        <v/>
      </c>
      <c r="W459" s="582">
        <v>0</v>
      </c>
      <c r="X459" s="580"/>
      <c r="Y459" s="583">
        <f>IF(GLOBAL_DER_FEV_2023!W459=0,0,IF(GLOBAL_DER_FEV_2023!W459&gt;0,"c","b"))</f>
        <v>0</v>
      </c>
    </row>
    <row r="460" spans="1:25" x14ac:dyDescent="0.2">
      <c r="A460" s="317" t="s">
        <v>147</v>
      </c>
      <c r="B460" s="895" t="str">
        <f>GLOBAL_DER_FEV_2023!B460</f>
        <v>transporte</v>
      </c>
      <c r="C460" s="896">
        <f>GLOBAL_DER_FEV_2023!C460</f>
        <v>0</v>
      </c>
      <c r="D460" s="957" t="str">
        <f>GLOBAL_DER_FEV_2023!D460</f>
        <v>Massa</v>
      </c>
      <c r="E460" s="907">
        <f>GLOBAL_DER_FEV_2023!E460</f>
        <v>22</v>
      </c>
      <c r="F460" s="1287">
        <f>GLOBAL_DER_FEV_2023!F460</f>
        <v>1</v>
      </c>
      <c r="G460" s="912">
        <f>GLOBAL_DER_FEV_2023!G460</f>
        <v>29.990000000000002</v>
      </c>
      <c r="H460" s="901">
        <f>GLOBAL_DER_FEV_2023!H460</f>
        <v>0</v>
      </c>
      <c r="I460" s="901">
        <f>GLOBAL_DER_FEV_2023!I460</f>
        <v>0</v>
      </c>
      <c r="J460" s="902">
        <f>GLOBAL_DER_FEV_2023!J460</f>
        <v>0</v>
      </c>
      <c r="K460" s="903" t="s">
        <v>507</v>
      </c>
      <c r="L460" s="1003"/>
      <c r="M460" s="1157">
        <f t="shared" si="67"/>
        <v>0</v>
      </c>
      <c r="N460" s="893">
        <f t="shared" si="71"/>
        <v>0</v>
      </c>
      <c r="O460" s="905"/>
      <c r="P460" s="58" t="str">
        <f>IF(N456&gt;0,"xx",IF(N456&gt;0,"xy",""))</f>
        <v/>
      </c>
      <c r="Q460" s="317" t="str">
        <f t="shared" si="68"/>
        <v/>
      </c>
      <c r="R460" s="317" t="str">
        <f t="shared" si="69"/>
        <v/>
      </c>
      <c r="S460" s="317" t="str">
        <f t="shared" si="70"/>
        <v/>
      </c>
      <c r="T460" s="317" t="str">
        <f>GLOBAL_DER_FEV_2023!S460</f>
        <v/>
      </c>
      <c r="W460" s="582">
        <v>0</v>
      </c>
      <c r="X460" s="580"/>
      <c r="Y460" s="583">
        <f>IF(GLOBAL_DER_FEV_2023!W460=0,0,IF(GLOBAL_DER_FEV_2023!W460&gt;0,"c","b"))</f>
        <v>0</v>
      </c>
    </row>
    <row r="461" spans="1:25" ht="13.5" thickBot="1" x14ac:dyDescent="0.25">
      <c r="A461" s="317">
        <v>589000</v>
      </c>
      <c r="B461" s="1004" t="str">
        <f>GLOBAL_DER_FEV_2023!B461</f>
        <v>589000K</v>
      </c>
      <c r="C461" s="984" t="str">
        <f>GLOBAL_DER_FEV_2023!C461</f>
        <v>DER mat</v>
      </c>
      <c r="D461" s="1012" t="str">
        <f>GLOBAL_DER_FEV_2023!D461</f>
        <v>Fornecimento de CAP - CBUQ (Quantidade menor que 10.000 ton)</v>
      </c>
      <c r="E461" s="1005">
        <f>GLOBAL_DER_FEV_2023!E461</f>
        <v>45</v>
      </c>
      <c r="F461" s="1288">
        <f>GLOBAL_DER_FEV_2023!F461</f>
        <v>1</v>
      </c>
      <c r="G461" s="949">
        <f>GLOBAL_DER_FEV_2023!G461</f>
        <v>88.36</v>
      </c>
      <c r="H461" s="988">
        <f>GLOBAL_DER_FEV_2023!H461</f>
        <v>4828.8599999999997</v>
      </c>
      <c r="I461" s="988">
        <f>GLOBAL_DER_FEV_2023!I461</f>
        <v>4724.580378112767</v>
      </c>
      <c r="J461" s="989">
        <f>GLOBAL_DER_FEV_2023!J461</f>
        <v>5672.8</v>
      </c>
      <c r="K461" s="990" t="s">
        <v>14</v>
      </c>
      <c r="L461" s="1154">
        <f>ROUND(L456*$F456,2)</f>
        <v>0</v>
      </c>
      <c r="M461" s="1159">
        <f t="shared" si="67"/>
        <v>0</v>
      </c>
      <c r="N461" s="993">
        <f t="shared" si="71"/>
        <v>0</v>
      </c>
      <c r="O461" s="905"/>
      <c r="P461" s="58" t="str">
        <f>IF(N456&gt;0,"xx",IF(N456&gt;0,"xy",""))</f>
        <v/>
      </c>
      <c r="Q461" s="317" t="str">
        <f t="shared" si="68"/>
        <v/>
      </c>
      <c r="R461" s="317" t="str">
        <f t="shared" si="69"/>
        <v/>
      </c>
      <c r="S461" s="317" t="str">
        <f t="shared" si="70"/>
        <v/>
      </c>
      <c r="T461" s="317" t="str">
        <f>GLOBAL_DER_FEV_2023!S461</f>
        <v/>
      </c>
      <c r="W461" s="582">
        <v>0</v>
      </c>
      <c r="X461" s="580"/>
      <c r="Y461" s="583">
        <f>IF(GLOBAL_DER_FEV_2023!W461=0,0,IF(GLOBAL_DER_FEV_2023!W461&gt;0,"c","b"))</f>
        <v>0</v>
      </c>
    </row>
    <row r="462" spans="1:25" x14ac:dyDescent="0.2">
      <c r="A462" s="317">
        <v>570000</v>
      </c>
      <c r="B462" s="999" t="str">
        <f>GLOBAL_DER_FEV_2023!B462</f>
        <v>570000D</v>
      </c>
      <c r="C462" s="1000" t="str">
        <f>GLOBAL_DER_FEV_2023!C462</f>
        <v>DER</v>
      </c>
      <c r="D462" s="1024" t="str">
        <f>GLOBAL_DER_FEV_2023!D462</f>
        <v>CBUQ - Novos traços - TRAÇO 8 - FAIXA "C" - (Quant. menor que 10.000 ton)</v>
      </c>
      <c r="E462" s="974" t="str">
        <f>GLOBAL_DER_FEV_2023!E462</f>
        <v>taxa CAP</v>
      </c>
      <c r="F462" s="1025">
        <f>GLOBAL_DER_FEV_2023!F462</f>
        <v>4.9000000000000002E-2</v>
      </c>
      <c r="G462" s="976">
        <f>GLOBAL_DER_FEV_2023!G462</f>
        <v>52.1614498</v>
      </c>
      <c r="H462" s="977">
        <f>GLOBAL_DER_FEV_2023!H462</f>
        <v>187.41</v>
      </c>
      <c r="I462" s="977">
        <f>GLOBAL_DER_FEV_2023!I462</f>
        <v>239.57144979999998</v>
      </c>
      <c r="J462" s="978">
        <f>GLOBAL_DER_FEV_2023!J462</f>
        <v>287.64999999999998</v>
      </c>
      <c r="K462" s="979" t="s">
        <v>14</v>
      </c>
      <c r="L462" s="1152"/>
      <c r="M462" s="1153">
        <f t="shared" si="67"/>
        <v>0</v>
      </c>
      <c r="N462" s="982">
        <f t="shared" si="71"/>
        <v>0</v>
      </c>
      <c r="O462" s="905"/>
      <c r="Q462" s="317" t="str">
        <f t="shared" si="68"/>
        <v/>
      </c>
      <c r="R462" s="317" t="str">
        <f t="shared" si="69"/>
        <v/>
      </c>
      <c r="S462" s="317" t="str">
        <f t="shared" si="70"/>
        <v/>
      </c>
      <c r="T462" s="317" t="str">
        <f>GLOBAL_DER_FEV_2023!S462</f>
        <v/>
      </c>
      <c r="W462" s="582">
        <v>0</v>
      </c>
      <c r="X462" s="580"/>
      <c r="Y462" s="583">
        <f>IF(GLOBAL_DER_FEV_2023!W462=0,0,IF(GLOBAL_DER_FEV_2023!W462&gt;0,"c","b"))</f>
        <v>0</v>
      </c>
    </row>
    <row r="463" spans="1:25" x14ac:dyDescent="0.2">
      <c r="A463" s="317" t="s">
        <v>147</v>
      </c>
      <c r="B463" s="895" t="str">
        <f>GLOBAL_DER_FEV_2023!B463</f>
        <v>transporte</v>
      </c>
      <c r="C463" s="896">
        <f>GLOBAL_DER_FEV_2023!C463</f>
        <v>0</v>
      </c>
      <c r="D463" s="957" t="str">
        <f>GLOBAL_DER_FEV_2023!D463</f>
        <v>Areia</v>
      </c>
      <c r="E463" s="907">
        <f>GLOBAL_DER_FEV_2023!E463</f>
        <v>150</v>
      </c>
      <c r="F463" s="1287">
        <f>GLOBAL_DER_FEV_2023!F463</f>
        <v>9.5799999999999996E-2</v>
      </c>
      <c r="G463" s="949">
        <f>GLOBAL_DER_FEV_2023!G463</f>
        <v>15.632644000000001</v>
      </c>
      <c r="H463" s="901">
        <f>GLOBAL_DER_FEV_2023!H463</f>
        <v>0</v>
      </c>
      <c r="I463" s="901">
        <f>GLOBAL_DER_FEV_2023!I463</f>
        <v>0</v>
      </c>
      <c r="J463" s="902">
        <f>GLOBAL_DER_FEV_2023!J463</f>
        <v>0</v>
      </c>
      <c r="K463" s="903" t="s">
        <v>507</v>
      </c>
      <c r="L463" s="1003"/>
      <c r="M463" s="1157">
        <f t="shared" si="67"/>
        <v>0</v>
      </c>
      <c r="N463" s="893">
        <f t="shared" si="71"/>
        <v>0</v>
      </c>
      <c r="O463" s="905"/>
      <c r="P463" s="58" t="str">
        <f>IF(N462&gt;0,"xx",IF(N462&gt;0,"xy",""))</f>
        <v/>
      </c>
      <c r="Q463" s="317" t="str">
        <f t="shared" si="68"/>
        <v/>
      </c>
      <c r="R463" s="317" t="str">
        <f t="shared" si="69"/>
        <v/>
      </c>
      <c r="S463" s="317" t="str">
        <f t="shared" si="70"/>
        <v/>
      </c>
      <c r="T463" s="317" t="str">
        <f>GLOBAL_DER_FEV_2023!S463</f>
        <v/>
      </c>
      <c r="W463" s="582">
        <v>0</v>
      </c>
      <c r="X463" s="580"/>
      <c r="Y463" s="583">
        <f>IF(GLOBAL_DER_FEV_2023!W463=0,0,IF(GLOBAL_DER_FEV_2023!W463&gt;0,"c","b"))</f>
        <v>0</v>
      </c>
    </row>
    <row r="464" spans="1:25" x14ac:dyDescent="0.2">
      <c r="A464" s="317" t="s">
        <v>147</v>
      </c>
      <c r="B464" s="895" t="str">
        <f>GLOBAL_DER_FEV_2023!B464</f>
        <v>transporte</v>
      </c>
      <c r="C464" s="896">
        <f>GLOBAL_DER_FEV_2023!C464</f>
        <v>0</v>
      </c>
      <c r="D464" s="957" t="str">
        <f>GLOBAL_DER_FEV_2023!D464</f>
        <v>Cal Hidratada CH-1</v>
      </c>
      <c r="E464" s="907">
        <f>GLOBAL_DER_FEV_2023!E464</f>
        <v>353</v>
      </c>
      <c r="F464" s="1287">
        <f>GLOBAL_DER_FEV_2023!F464</f>
        <v>1.4500000000000001E-2</v>
      </c>
      <c r="G464" s="909">
        <f>GLOBAL_DER_FEV_2023!G464</f>
        <v>4.1058200000000005</v>
      </c>
      <c r="H464" s="901">
        <f>GLOBAL_DER_FEV_2023!H464</f>
        <v>0</v>
      </c>
      <c r="I464" s="901">
        <f>GLOBAL_DER_FEV_2023!I464</f>
        <v>0</v>
      </c>
      <c r="J464" s="902">
        <f>GLOBAL_DER_FEV_2023!J464</f>
        <v>0</v>
      </c>
      <c r="K464" s="903" t="s">
        <v>507</v>
      </c>
      <c r="L464" s="1003"/>
      <c r="M464" s="1157">
        <f t="shared" si="67"/>
        <v>0</v>
      </c>
      <c r="N464" s="893">
        <f t="shared" si="71"/>
        <v>0</v>
      </c>
      <c r="O464" s="905"/>
      <c r="P464" s="58" t="str">
        <f>IF(N462&gt;0,"xx",IF(N462&gt;0,"xy",""))</f>
        <v/>
      </c>
      <c r="Q464" s="317" t="str">
        <f t="shared" si="68"/>
        <v/>
      </c>
      <c r="R464" s="317" t="str">
        <f t="shared" si="69"/>
        <v/>
      </c>
      <c r="S464" s="317" t="str">
        <f t="shared" si="70"/>
        <v/>
      </c>
      <c r="T464" s="317" t="str">
        <f>GLOBAL_DER_FEV_2023!S464</f>
        <v/>
      </c>
      <c r="W464" s="582">
        <v>0</v>
      </c>
      <c r="X464" s="580"/>
      <c r="Y464" s="583">
        <f>IF(GLOBAL_DER_FEV_2023!W464=0,0,IF(GLOBAL_DER_FEV_2023!W464&gt;0,"c","b"))</f>
        <v>0</v>
      </c>
    </row>
    <row r="465" spans="1:25" x14ac:dyDescent="0.2">
      <c r="A465" s="317" t="s">
        <v>147</v>
      </c>
      <c r="B465" s="895" t="str">
        <f>GLOBAL_DER_FEV_2023!B465</f>
        <v>transporte</v>
      </c>
      <c r="C465" s="896">
        <f>GLOBAL_DER_FEV_2023!C465</f>
        <v>0</v>
      </c>
      <c r="D465" s="957" t="str">
        <f>GLOBAL_DER_FEV_2023!D465</f>
        <v>Brita ( usina )</v>
      </c>
      <c r="E465" s="907">
        <f>GLOBAL_DER_FEV_2023!E465</f>
        <v>0.2</v>
      </c>
      <c r="F465" s="1287">
        <f>GLOBAL_DER_FEV_2023!F465</f>
        <v>0.8407</v>
      </c>
      <c r="G465" s="949">
        <f>GLOBAL_DER_FEV_2023!G465</f>
        <v>2.4329858</v>
      </c>
      <c r="H465" s="901">
        <f>GLOBAL_DER_FEV_2023!H465</f>
        <v>0</v>
      </c>
      <c r="I465" s="901">
        <f>GLOBAL_DER_FEV_2023!I465</f>
        <v>0</v>
      </c>
      <c r="J465" s="902">
        <f>GLOBAL_DER_FEV_2023!J465</f>
        <v>0</v>
      </c>
      <c r="K465" s="903" t="s">
        <v>507</v>
      </c>
      <c r="L465" s="1003"/>
      <c r="M465" s="1157">
        <f t="shared" si="67"/>
        <v>0</v>
      </c>
      <c r="N465" s="893">
        <f t="shared" si="71"/>
        <v>0</v>
      </c>
      <c r="O465" s="905"/>
      <c r="P465" s="58" t="str">
        <f>IF(N462&gt;0,"xx",IF(N462&gt;0,"xy",""))</f>
        <v/>
      </c>
      <c r="Q465" s="317" t="str">
        <f t="shared" si="68"/>
        <v/>
      </c>
      <c r="R465" s="317" t="str">
        <f t="shared" si="69"/>
        <v/>
      </c>
      <c r="S465" s="317" t="str">
        <f t="shared" si="70"/>
        <v/>
      </c>
      <c r="T465" s="317" t="str">
        <f>GLOBAL_DER_FEV_2023!S465</f>
        <v/>
      </c>
      <c r="W465" s="582">
        <v>0</v>
      </c>
      <c r="X465" s="580"/>
      <c r="Y465" s="583">
        <f>IF(GLOBAL_DER_FEV_2023!W465=0,0,IF(GLOBAL_DER_FEV_2023!W465&gt;0,"c","b"))</f>
        <v>0</v>
      </c>
    </row>
    <row r="466" spans="1:25" x14ac:dyDescent="0.2">
      <c r="A466" s="317" t="s">
        <v>147</v>
      </c>
      <c r="B466" s="895" t="str">
        <f>GLOBAL_DER_FEV_2023!B466</f>
        <v>transporte</v>
      </c>
      <c r="C466" s="896">
        <f>GLOBAL_DER_FEV_2023!C466</f>
        <v>0</v>
      </c>
      <c r="D466" s="957" t="str">
        <f>GLOBAL_DER_FEV_2023!D466</f>
        <v>Massa</v>
      </c>
      <c r="E466" s="907">
        <f>GLOBAL_DER_FEV_2023!E466</f>
        <v>22</v>
      </c>
      <c r="F466" s="908">
        <f>GLOBAL_DER_FEV_2023!F466</f>
        <v>1</v>
      </c>
      <c r="G466" s="912">
        <f>GLOBAL_DER_FEV_2023!G466</f>
        <v>29.990000000000002</v>
      </c>
      <c r="H466" s="901">
        <f>GLOBAL_DER_FEV_2023!H466</f>
        <v>0</v>
      </c>
      <c r="I466" s="901">
        <f>GLOBAL_DER_FEV_2023!I466</f>
        <v>0</v>
      </c>
      <c r="J466" s="902">
        <f>GLOBAL_DER_FEV_2023!J466</f>
        <v>0</v>
      </c>
      <c r="K466" s="903" t="s">
        <v>507</v>
      </c>
      <c r="L466" s="1003"/>
      <c r="M466" s="1157">
        <f t="shared" si="67"/>
        <v>0</v>
      </c>
      <c r="N466" s="893">
        <f t="shared" si="71"/>
        <v>0</v>
      </c>
      <c r="O466" s="905"/>
      <c r="P466" s="58" t="str">
        <f>IF(N462&gt;0,"xx",IF(N462&gt;0,"xy",""))</f>
        <v/>
      </c>
      <c r="Q466" s="317" t="str">
        <f t="shared" si="68"/>
        <v/>
      </c>
      <c r="R466" s="317" t="str">
        <f t="shared" si="69"/>
        <v/>
      </c>
      <c r="S466" s="317" t="str">
        <f t="shared" si="70"/>
        <v/>
      </c>
      <c r="T466" s="317" t="str">
        <f>GLOBAL_DER_FEV_2023!S466</f>
        <v/>
      </c>
      <c r="W466" s="582">
        <v>0</v>
      </c>
      <c r="X466" s="580"/>
      <c r="Y466" s="583">
        <f>IF(GLOBAL_DER_FEV_2023!W466=0,0,IF(GLOBAL_DER_FEV_2023!W466&gt;0,"c","b"))</f>
        <v>0</v>
      </c>
    </row>
    <row r="467" spans="1:25" ht="13.5" thickBot="1" x14ac:dyDescent="0.25">
      <c r="A467" s="317">
        <v>589000</v>
      </c>
      <c r="B467" s="1004" t="str">
        <f>GLOBAL_DER_FEV_2023!B467</f>
        <v>589000K</v>
      </c>
      <c r="C467" s="984" t="str">
        <f>GLOBAL_DER_FEV_2023!C467</f>
        <v>DER mat</v>
      </c>
      <c r="D467" s="1012" t="str">
        <f>GLOBAL_DER_FEV_2023!D467</f>
        <v>Fornecimento de CAP - CBUQ (Quantidade menor que 10.000 ton)</v>
      </c>
      <c r="E467" s="1005">
        <f>GLOBAL_DER_FEV_2023!E467</f>
        <v>45</v>
      </c>
      <c r="F467" s="1006">
        <f>GLOBAL_DER_FEV_2023!F467</f>
        <v>1</v>
      </c>
      <c r="G467" s="949">
        <f>GLOBAL_DER_FEV_2023!G467</f>
        <v>88.36</v>
      </c>
      <c r="H467" s="988">
        <f>GLOBAL_DER_FEV_2023!H467</f>
        <v>4828.8599999999997</v>
      </c>
      <c r="I467" s="988">
        <f>GLOBAL_DER_FEV_2023!I467</f>
        <v>4724.580378112767</v>
      </c>
      <c r="J467" s="989">
        <f>GLOBAL_DER_FEV_2023!J467</f>
        <v>5672.8</v>
      </c>
      <c r="K467" s="990" t="s">
        <v>14</v>
      </c>
      <c r="L467" s="1154">
        <f>ROUND(L462*$F462,2)</f>
        <v>0</v>
      </c>
      <c r="M467" s="1159">
        <f t="shared" si="67"/>
        <v>0</v>
      </c>
      <c r="N467" s="993">
        <f t="shared" si="71"/>
        <v>0</v>
      </c>
      <c r="O467" s="905"/>
      <c r="P467" s="58" t="str">
        <f>IF(N462&gt;0,"xx",IF(N462&gt;0,"xy",""))</f>
        <v/>
      </c>
      <c r="Q467" s="317" t="str">
        <f t="shared" si="68"/>
        <v/>
      </c>
      <c r="R467" s="317" t="str">
        <f t="shared" si="69"/>
        <v/>
      </c>
      <c r="S467" s="317" t="str">
        <f t="shared" si="70"/>
        <v/>
      </c>
      <c r="T467" s="317" t="str">
        <f>GLOBAL_DER_FEV_2023!S467</f>
        <v/>
      </c>
      <c r="W467" s="582">
        <v>0</v>
      </c>
      <c r="X467" s="580"/>
      <c r="Y467" s="583">
        <f>IF(GLOBAL_DER_FEV_2023!W467=0,0,IF(GLOBAL_DER_FEV_2023!W467&gt;0,"c","b"))</f>
        <v>0</v>
      </c>
    </row>
    <row r="468" spans="1:25" x14ac:dyDescent="0.2">
      <c r="A468" s="317">
        <v>570400</v>
      </c>
      <c r="B468" s="999" t="s">
        <v>1655</v>
      </c>
      <c r="C468" s="1000" t="s">
        <v>184</v>
      </c>
      <c r="D468" s="1019" t="s">
        <v>2223</v>
      </c>
      <c r="E468" s="974" t="str">
        <f>GLOBAL_DER_FEV_2023!E468</f>
        <v>taxa CAP</v>
      </c>
      <c r="F468" s="975">
        <f>GLOBAL_DER_FEV_2023!F468</f>
        <v>0.05</v>
      </c>
      <c r="G468" s="976">
        <f>GLOBAL_DER_FEV_2023!G468</f>
        <v>53.140143399999999</v>
      </c>
      <c r="H468" s="977">
        <f>GLOBAL_DER_FEV_2023!H468</f>
        <v>169.12</v>
      </c>
      <c r="I468" s="977">
        <f>GLOBAL_DER_FEV_2023!I468</f>
        <v>222.2601434</v>
      </c>
      <c r="J468" s="978">
        <f>GLOBAL_DER_FEV_2023!J468</f>
        <v>266.87</v>
      </c>
      <c r="K468" s="979" t="s">
        <v>14</v>
      </c>
      <c r="L468" s="1152"/>
      <c r="M468" s="1153">
        <f t="shared" si="52"/>
        <v>0</v>
      </c>
      <c r="N468" s="982">
        <f t="shared" si="56"/>
        <v>0</v>
      </c>
      <c r="O468" s="905"/>
      <c r="Q468" s="317" t="str">
        <f t="shared" si="53"/>
        <v/>
      </c>
      <c r="R468" s="317" t="str">
        <f t="shared" si="54"/>
        <v/>
      </c>
      <c r="S468" s="317" t="str">
        <f t="shared" si="55"/>
        <v/>
      </c>
      <c r="T468" s="317" t="str">
        <f>GLOBAL_DER_FEV_2023!S468</f>
        <v/>
      </c>
      <c r="W468" s="582">
        <v>0</v>
      </c>
      <c r="X468" s="580"/>
      <c r="Y468" s="583">
        <f>IF(GLOBAL_DER_FEV_2023!W468=0,0,IF(GLOBAL_DER_FEV_2023!W468&gt;0,"c","b"))</f>
        <v>0</v>
      </c>
    </row>
    <row r="469" spans="1:25" x14ac:dyDescent="0.2">
      <c r="A469" s="317" t="s">
        <v>147</v>
      </c>
      <c r="B469" s="895" t="s">
        <v>147</v>
      </c>
      <c r="C469" s="896"/>
      <c r="D469" s="957" t="s">
        <v>229</v>
      </c>
      <c r="E469" s="907">
        <f>GLOBAL_DER_FEV_2023!E469</f>
        <v>150</v>
      </c>
      <c r="F469" s="908">
        <f>GLOBAL_DER_FEV_2023!F469</f>
        <v>0.1007</v>
      </c>
      <c r="G469" s="949">
        <f>GLOBAL_DER_FEV_2023!G469</f>
        <v>16.432226</v>
      </c>
      <c r="H469" s="901">
        <f>GLOBAL_DER_FEV_2023!H469</f>
        <v>0</v>
      </c>
      <c r="I469" s="901">
        <f>GLOBAL_DER_FEV_2023!I469</f>
        <v>0</v>
      </c>
      <c r="J469" s="902">
        <f>GLOBAL_DER_FEV_2023!J469</f>
        <v>0</v>
      </c>
      <c r="K469" s="903" t="s">
        <v>507</v>
      </c>
      <c r="L469" s="1003"/>
      <c r="M469" s="1157">
        <f t="shared" si="52"/>
        <v>0</v>
      </c>
      <c r="N469" s="893">
        <f t="shared" si="56"/>
        <v>0</v>
      </c>
      <c r="O469" s="905"/>
      <c r="P469" s="58" t="str">
        <f>IF(N468&gt;0,"xx",IF(N468&gt;0,"xy",""))</f>
        <v/>
      </c>
      <c r="Q469" s="317" t="str">
        <f t="shared" si="53"/>
        <v/>
      </c>
      <c r="R469" s="317" t="str">
        <f t="shared" si="54"/>
        <v/>
      </c>
      <c r="S469" s="317" t="str">
        <f t="shared" si="55"/>
        <v/>
      </c>
      <c r="T469" s="317" t="str">
        <f>GLOBAL_DER_FEV_2023!S469</f>
        <v/>
      </c>
      <c r="W469" s="582">
        <v>0</v>
      </c>
      <c r="X469" s="580"/>
      <c r="Y469" s="583">
        <f>IF(GLOBAL_DER_FEV_2023!W469=0,0,IF(GLOBAL_DER_FEV_2023!W469&gt;0,"c","b"))</f>
        <v>0</v>
      </c>
    </row>
    <row r="470" spans="1:25" x14ac:dyDescent="0.2">
      <c r="A470" s="317" t="s">
        <v>147</v>
      </c>
      <c r="B470" s="895" t="s">
        <v>147</v>
      </c>
      <c r="C470" s="896"/>
      <c r="D470" s="957" t="s">
        <v>230</v>
      </c>
      <c r="E470" s="907">
        <f>GLOBAL_DER_FEV_2023!E470</f>
        <v>353</v>
      </c>
      <c r="F470" s="908">
        <f>GLOBAL_DER_FEV_2023!F470</f>
        <v>1.52E-2</v>
      </c>
      <c r="G470" s="909">
        <f>GLOBAL_DER_FEV_2023!G470</f>
        <v>4.3040320000000003</v>
      </c>
      <c r="H470" s="901">
        <f>GLOBAL_DER_FEV_2023!H470</f>
        <v>0</v>
      </c>
      <c r="I470" s="901">
        <f>GLOBAL_DER_FEV_2023!I470</f>
        <v>0</v>
      </c>
      <c r="J470" s="902">
        <f>GLOBAL_DER_FEV_2023!J470</f>
        <v>0</v>
      </c>
      <c r="K470" s="903" t="s">
        <v>507</v>
      </c>
      <c r="L470" s="1003"/>
      <c r="M470" s="1157">
        <f t="shared" si="52"/>
        <v>0</v>
      </c>
      <c r="N470" s="893">
        <f t="shared" si="56"/>
        <v>0</v>
      </c>
      <c r="O470" s="905"/>
      <c r="P470" s="58" t="str">
        <f>IF(N468&gt;0,"xx",IF(N468&gt;0,"xy",""))</f>
        <v/>
      </c>
      <c r="Q470" s="317" t="str">
        <f t="shared" si="53"/>
        <v/>
      </c>
      <c r="R470" s="317" t="str">
        <f t="shared" si="54"/>
        <v/>
      </c>
      <c r="S470" s="317" t="str">
        <f t="shared" si="55"/>
        <v/>
      </c>
      <c r="T470" s="317" t="str">
        <f>GLOBAL_DER_FEV_2023!S470</f>
        <v/>
      </c>
      <c r="W470" s="582">
        <v>0</v>
      </c>
      <c r="X470" s="580"/>
      <c r="Y470" s="583">
        <f>IF(GLOBAL_DER_FEV_2023!W470=0,0,IF(GLOBAL_DER_FEV_2023!W470&gt;0,"c","b"))</f>
        <v>0</v>
      </c>
    </row>
    <row r="471" spans="1:25" x14ac:dyDescent="0.2">
      <c r="A471" s="317" t="s">
        <v>147</v>
      </c>
      <c r="B471" s="895" t="s">
        <v>147</v>
      </c>
      <c r="C471" s="896"/>
      <c r="D471" s="957" t="s">
        <v>243</v>
      </c>
      <c r="E471" s="907">
        <f>GLOBAL_DER_FEV_2023!E471</f>
        <v>0.2</v>
      </c>
      <c r="F471" s="908">
        <f>GLOBAL_DER_FEV_2023!F471</f>
        <v>0.83409999999999995</v>
      </c>
      <c r="G471" s="949">
        <f>GLOBAL_DER_FEV_2023!G471</f>
        <v>2.4138853999999998</v>
      </c>
      <c r="H471" s="901">
        <f>GLOBAL_DER_FEV_2023!H471</f>
        <v>0</v>
      </c>
      <c r="I471" s="901">
        <f>GLOBAL_DER_FEV_2023!I471</f>
        <v>0</v>
      </c>
      <c r="J471" s="902">
        <f>GLOBAL_DER_FEV_2023!J471</f>
        <v>0</v>
      </c>
      <c r="K471" s="903" t="s">
        <v>507</v>
      </c>
      <c r="L471" s="1003"/>
      <c r="M471" s="1157">
        <f t="shared" si="52"/>
        <v>0</v>
      </c>
      <c r="N471" s="893">
        <f t="shared" si="56"/>
        <v>0</v>
      </c>
      <c r="O471" s="905"/>
      <c r="P471" s="58" t="str">
        <f>IF(N468&gt;0,"xx",IF(N468&gt;0,"xy",""))</f>
        <v/>
      </c>
      <c r="Q471" s="317" t="str">
        <f t="shared" si="53"/>
        <v/>
      </c>
      <c r="R471" s="317" t="str">
        <f t="shared" si="54"/>
        <v/>
      </c>
      <c r="S471" s="317" t="str">
        <f t="shared" si="55"/>
        <v/>
      </c>
      <c r="T471" s="317" t="str">
        <f>GLOBAL_DER_FEV_2023!S471</f>
        <v/>
      </c>
      <c r="W471" s="582">
        <v>0</v>
      </c>
      <c r="X471" s="580"/>
      <c r="Y471" s="583">
        <f>IF(GLOBAL_DER_FEV_2023!W471=0,0,IF(GLOBAL_DER_FEV_2023!W471&gt;0,"c","b"))</f>
        <v>0</v>
      </c>
    </row>
    <row r="472" spans="1:25" x14ac:dyDescent="0.2">
      <c r="A472" s="317" t="s">
        <v>147</v>
      </c>
      <c r="B472" s="895" t="s">
        <v>147</v>
      </c>
      <c r="C472" s="896"/>
      <c r="D472" s="957" t="s">
        <v>244</v>
      </c>
      <c r="E472" s="907">
        <f>GLOBAL_DER_FEV_2023!E472</f>
        <v>22</v>
      </c>
      <c r="F472" s="908">
        <f>GLOBAL_DER_FEV_2023!F472</f>
        <v>1</v>
      </c>
      <c r="G472" s="912">
        <f>GLOBAL_DER_FEV_2023!G472</f>
        <v>29.990000000000002</v>
      </c>
      <c r="H472" s="901">
        <f>GLOBAL_DER_FEV_2023!H472</f>
        <v>0</v>
      </c>
      <c r="I472" s="901">
        <f>GLOBAL_DER_FEV_2023!I472</f>
        <v>0</v>
      </c>
      <c r="J472" s="902">
        <f>GLOBAL_DER_FEV_2023!J472</f>
        <v>0</v>
      </c>
      <c r="K472" s="903" t="s">
        <v>507</v>
      </c>
      <c r="L472" s="1003"/>
      <c r="M472" s="1157">
        <f t="shared" si="52"/>
        <v>0</v>
      </c>
      <c r="N472" s="893">
        <f t="shared" si="56"/>
        <v>0</v>
      </c>
      <c r="O472" s="905"/>
      <c r="P472" s="58" t="str">
        <f>IF(N468&gt;0,"xx",IF(N468&gt;0,"xy",""))</f>
        <v/>
      </c>
      <c r="Q472" s="317" t="str">
        <f t="shared" si="53"/>
        <v/>
      </c>
      <c r="R472" s="317" t="str">
        <f t="shared" si="54"/>
        <v/>
      </c>
      <c r="S472" s="317" t="str">
        <f t="shared" si="55"/>
        <v/>
      </c>
      <c r="T472" s="317" t="str">
        <f>GLOBAL_DER_FEV_2023!S472</f>
        <v/>
      </c>
      <c r="W472" s="582">
        <v>0</v>
      </c>
      <c r="X472" s="580"/>
      <c r="Y472" s="583">
        <f>IF(GLOBAL_DER_FEV_2023!W472=0,0,IF(GLOBAL_DER_FEV_2023!W472&gt;0,"c","b"))</f>
        <v>0</v>
      </c>
    </row>
    <row r="473" spans="1:25" ht="13.5" thickBot="1" x14ac:dyDescent="0.25">
      <c r="A473" s="317">
        <v>589000</v>
      </c>
      <c r="B473" s="1004" t="s">
        <v>1677</v>
      </c>
      <c r="C473" s="984" t="s">
        <v>213</v>
      </c>
      <c r="D473" s="1012" t="s">
        <v>2173</v>
      </c>
      <c r="E473" s="1005">
        <f>GLOBAL_DER_FEV_2023!E473</f>
        <v>45</v>
      </c>
      <c r="F473" s="1006">
        <f>GLOBAL_DER_FEV_2023!F473</f>
        <v>1</v>
      </c>
      <c r="G473" s="949">
        <f>GLOBAL_DER_FEV_2023!G473</f>
        <v>88.36</v>
      </c>
      <c r="H473" s="988">
        <f>GLOBAL_DER_FEV_2023!H473</f>
        <v>4828.8599999999997</v>
      </c>
      <c r="I473" s="988">
        <f>GLOBAL_DER_FEV_2023!I473</f>
        <v>4724.580378112767</v>
      </c>
      <c r="J473" s="989">
        <f>GLOBAL_DER_FEV_2023!J473</f>
        <v>5672.8</v>
      </c>
      <c r="K473" s="990" t="s">
        <v>14</v>
      </c>
      <c r="L473" s="1154">
        <f>ROUND(L468*$F468,2)</f>
        <v>0</v>
      </c>
      <c r="M473" s="1159">
        <f t="shared" si="52"/>
        <v>0</v>
      </c>
      <c r="N473" s="993">
        <f t="shared" si="56"/>
        <v>0</v>
      </c>
      <c r="O473" s="905"/>
      <c r="P473" s="58" t="str">
        <f>IF(N468&gt;0,"xx",IF(N468&gt;0,"xy",""))</f>
        <v/>
      </c>
      <c r="Q473" s="317" t="str">
        <f t="shared" si="53"/>
        <v/>
      </c>
      <c r="R473" s="317" t="str">
        <f t="shared" si="54"/>
        <v/>
      </c>
      <c r="S473" s="317" t="str">
        <f t="shared" si="55"/>
        <v/>
      </c>
      <c r="T473" s="317" t="str">
        <f>GLOBAL_DER_FEV_2023!S473</f>
        <v/>
      </c>
      <c r="W473" s="582">
        <v>0</v>
      </c>
      <c r="X473" s="580"/>
      <c r="Y473" s="583">
        <f>IF(GLOBAL_DER_FEV_2023!W473=0,0,IF(GLOBAL_DER_FEV_2023!W473&gt;0,"c","b"))</f>
        <v>0</v>
      </c>
    </row>
    <row r="474" spans="1:25" x14ac:dyDescent="0.2">
      <c r="A474" s="317">
        <v>570400</v>
      </c>
      <c r="B474" s="999" t="s">
        <v>1656</v>
      </c>
      <c r="C474" s="1000" t="s">
        <v>184</v>
      </c>
      <c r="D474" s="1019" t="s">
        <v>2224</v>
      </c>
      <c r="E474" s="974" t="str">
        <f>GLOBAL_DER_FEV_2023!E474</f>
        <v>taxa CAP</v>
      </c>
      <c r="F474" s="975">
        <f>GLOBAL_DER_FEV_2023!F474</f>
        <v>5.5E-2</v>
      </c>
      <c r="G474" s="976">
        <f>GLOBAL_DER_FEV_2023!G474</f>
        <v>53.017503800000007</v>
      </c>
      <c r="H474" s="977">
        <f>GLOBAL_DER_FEV_2023!H474</f>
        <v>169.12</v>
      </c>
      <c r="I474" s="977">
        <f>GLOBAL_DER_FEV_2023!I474</f>
        <v>222.13750380000002</v>
      </c>
      <c r="J474" s="978">
        <f>GLOBAL_DER_FEV_2023!J474</f>
        <v>266.72000000000003</v>
      </c>
      <c r="K474" s="979" t="s">
        <v>14</v>
      </c>
      <c r="L474" s="1152"/>
      <c r="M474" s="1153">
        <f t="shared" si="52"/>
        <v>0</v>
      </c>
      <c r="N474" s="982">
        <f t="shared" si="56"/>
        <v>0</v>
      </c>
      <c r="O474" s="905"/>
      <c r="Q474" s="317" t="str">
        <f t="shared" si="53"/>
        <v/>
      </c>
      <c r="R474" s="317" t="str">
        <f t="shared" si="54"/>
        <v/>
      </c>
      <c r="S474" s="317" t="str">
        <f t="shared" si="55"/>
        <v/>
      </c>
      <c r="T474" s="317" t="str">
        <f>GLOBAL_DER_FEV_2023!S474</f>
        <v/>
      </c>
      <c r="W474" s="582">
        <v>0</v>
      </c>
      <c r="X474" s="580"/>
      <c r="Y474" s="583">
        <f>IF(GLOBAL_DER_FEV_2023!W474=0,0,IF(GLOBAL_DER_FEV_2023!W474&gt;0,"c","b"))</f>
        <v>0</v>
      </c>
    </row>
    <row r="475" spans="1:25" x14ac:dyDescent="0.2">
      <c r="A475" s="317" t="s">
        <v>147</v>
      </c>
      <c r="B475" s="895" t="s">
        <v>147</v>
      </c>
      <c r="C475" s="896"/>
      <c r="D475" s="957" t="s">
        <v>229</v>
      </c>
      <c r="E475" s="907">
        <f>GLOBAL_DER_FEV_2023!E475</f>
        <v>150</v>
      </c>
      <c r="F475" s="908">
        <f>GLOBAL_DER_FEV_2023!F475</f>
        <v>0.1002</v>
      </c>
      <c r="G475" s="949">
        <f>GLOBAL_DER_FEV_2023!G475</f>
        <v>16.350636000000002</v>
      </c>
      <c r="H475" s="901">
        <f>GLOBAL_DER_FEV_2023!H475</f>
        <v>0</v>
      </c>
      <c r="I475" s="901">
        <f>GLOBAL_DER_FEV_2023!I475</f>
        <v>0</v>
      </c>
      <c r="J475" s="902">
        <f>GLOBAL_DER_FEV_2023!J475</f>
        <v>0</v>
      </c>
      <c r="K475" s="903" t="s">
        <v>507</v>
      </c>
      <c r="L475" s="1003"/>
      <c r="M475" s="1157">
        <f t="shared" si="52"/>
        <v>0</v>
      </c>
      <c r="N475" s="893">
        <f t="shared" si="56"/>
        <v>0</v>
      </c>
      <c r="O475" s="905"/>
      <c r="P475" s="58" t="str">
        <f>IF(N474&gt;0,"xx",IF(N474&gt;0,"xy",""))</f>
        <v/>
      </c>
      <c r="Q475" s="317" t="str">
        <f t="shared" si="53"/>
        <v/>
      </c>
      <c r="R475" s="317" t="str">
        <f t="shared" si="54"/>
        <v/>
      </c>
      <c r="S475" s="317" t="str">
        <f t="shared" si="55"/>
        <v/>
      </c>
      <c r="T475" s="317" t="str">
        <f>GLOBAL_DER_FEV_2023!S475</f>
        <v/>
      </c>
      <c r="W475" s="582">
        <v>0</v>
      </c>
      <c r="X475" s="580"/>
      <c r="Y475" s="583">
        <f>IF(GLOBAL_DER_FEV_2023!W475=0,0,IF(GLOBAL_DER_FEV_2023!W475&gt;0,"c","b"))</f>
        <v>0</v>
      </c>
    </row>
    <row r="476" spans="1:25" x14ac:dyDescent="0.2">
      <c r="A476" s="317" t="s">
        <v>147</v>
      </c>
      <c r="B476" s="895" t="s">
        <v>147</v>
      </c>
      <c r="C476" s="896"/>
      <c r="D476" s="957" t="s">
        <v>230</v>
      </c>
      <c r="E476" s="907">
        <f>GLOBAL_DER_FEV_2023!E476</f>
        <v>353</v>
      </c>
      <c r="F476" s="908">
        <f>GLOBAL_DER_FEV_2023!F476</f>
        <v>1.5100000000000001E-2</v>
      </c>
      <c r="G476" s="909">
        <f>GLOBAL_DER_FEV_2023!G476</f>
        <v>4.275716000000001</v>
      </c>
      <c r="H476" s="901">
        <f>GLOBAL_DER_FEV_2023!H476</f>
        <v>0</v>
      </c>
      <c r="I476" s="901">
        <f>GLOBAL_DER_FEV_2023!I476</f>
        <v>0</v>
      </c>
      <c r="J476" s="902">
        <f>GLOBAL_DER_FEV_2023!J476</f>
        <v>0</v>
      </c>
      <c r="K476" s="903" t="s">
        <v>507</v>
      </c>
      <c r="L476" s="1003"/>
      <c r="M476" s="1157">
        <f t="shared" si="52"/>
        <v>0</v>
      </c>
      <c r="N476" s="893">
        <f t="shared" si="56"/>
        <v>0</v>
      </c>
      <c r="O476" s="905"/>
      <c r="P476" s="58" t="str">
        <f>IF(N474&gt;0,"xx",IF(N474&gt;0,"xy",""))</f>
        <v/>
      </c>
      <c r="Q476" s="317" t="str">
        <f t="shared" si="53"/>
        <v/>
      </c>
      <c r="R476" s="317" t="str">
        <f t="shared" si="54"/>
        <v/>
      </c>
      <c r="S476" s="317" t="str">
        <f t="shared" si="55"/>
        <v/>
      </c>
      <c r="T476" s="317" t="str">
        <f>GLOBAL_DER_FEV_2023!S476</f>
        <v/>
      </c>
      <c r="W476" s="582">
        <v>0</v>
      </c>
      <c r="X476" s="580"/>
      <c r="Y476" s="583">
        <f>IF(GLOBAL_DER_FEV_2023!W476=0,0,IF(GLOBAL_DER_FEV_2023!W476&gt;0,"c","b"))</f>
        <v>0</v>
      </c>
    </row>
    <row r="477" spans="1:25" x14ac:dyDescent="0.2">
      <c r="A477" s="317" t="s">
        <v>147</v>
      </c>
      <c r="B477" s="895" t="s">
        <v>147</v>
      </c>
      <c r="C477" s="896"/>
      <c r="D477" s="957" t="s">
        <v>243</v>
      </c>
      <c r="E477" s="907">
        <f>GLOBAL_DER_FEV_2023!E477</f>
        <v>0.2</v>
      </c>
      <c r="F477" s="908">
        <f>GLOBAL_DER_FEV_2023!F477</f>
        <v>0.82969999999999999</v>
      </c>
      <c r="G477" s="949">
        <f>GLOBAL_DER_FEV_2023!G477</f>
        <v>2.4011518000000001</v>
      </c>
      <c r="H477" s="901">
        <f>GLOBAL_DER_FEV_2023!H477</f>
        <v>0</v>
      </c>
      <c r="I477" s="901">
        <f>GLOBAL_DER_FEV_2023!I477</f>
        <v>0</v>
      </c>
      <c r="J477" s="902">
        <f>GLOBAL_DER_FEV_2023!J477</f>
        <v>0</v>
      </c>
      <c r="K477" s="903" t="s">
        <v>507</v>
      </c>
      <c r="L477" s="1003"/>
      <c r="M477" s="1157">
        <f t="shared" si="52"/>
        <v>0</v>
      </c>
      <c r="N477" s="893">
        <f t="shared" si="56"/>
        <v>0</v>
      </c>
      <c r="O477" s="905"/>
      <c r="P477" s="58" t="str">
        <f>IF(N474&gt;0,"xx",IF(N474&gt;0,"xy",""))</f>
        <v/>
      </c>
      <c r="Q477" s="317" t="str">
        <f t="shared" si="53"/>
        <v/>
      </c>
      <c r="R477" s="317" t="str">
        <f t="shared" si="54"/>
        <v/>
      </c>
      <c r="S477" s="317" t="str">
        <f t="shared" si="55"/>
        <v/>
      </c>
      <c r="T477" s="317" t="str">
        <f>GLOBAL_DER_FEV_2023!S477</f>
        <v/>
      </c>
      <c r="W477" s="582">
        <v>0</v>
      </c>
      <c r="X477" s="580"/>
      <c r="Y477" s="583">
        <f>IF(GLOBAL_DER_FEV_2023!W477=0,0,IF(GLOBAL_DER_FEV_2023!W477&gt;0,"c","b"))</f>
        <v>0</v>
      </c>
    </row>
    <row r="478" spans="1:25" x14ac:dyDescent="0.2">
      <c r="A478" s="317" t="s">
        <v>147</v>
      </c>
      <c r="B478" s="895" t="s">
        <v>147</v>
      </c>
      <c r="C478" s="896"/>
      <c r="D478" s="957" t="s">
        <v>244</v>
      </c>
      <c r="E478" s="907">
        <f>GLOBAL_DER_FEV_2023!E478</f>
        <v>22</v>
      </c>
      <c r="F478" s="908">
        <f>GLOBAL_DER_FEV_2023!F478</f>
        <v>1</v>
      </c>
      <c r="G478" s="912">
        <f>GLOBAL_DER_FEV_2023!G478</f>
        <v>29.990000000000002</v>
      </c>
      <c r="H478" s="901">
        <f>GLOBAL_DER_FEV_2023!H478</f>
        <v>0</v>
      </c>
      <c r="I478" s="901">
        <f>GLOBAL_DER_FEV_2023!I478</f>
        <v>0</v>
      </c>
      <c r="J478" s="902">
        <f>GLOBAL_DER_FEV_2023!J478</f>
        <v>0</v>
      </c>
      <c r="K478" s="903" t="s">
        <v>507</v>
      </c>
      <c r="L478" s="1003"/>
      <c r="M478" s="1157">
        <f t="shared" si="52"/>
        <v>0</v>
      </c>
      <c r="N478" s="893">
        <f t="shared" si="56"/>
        <v>0</v>
      </c>
      <c r="O478" s="905"/>
      <c r="P478" s="58" t="str">
        <f>IF(N474&gt;0,"xx",IF(N474&gt;0,"xy",""))</f>
        <v/>
      </c>
      <c r="Q478" s="317" t="str">
        <f t="shared" si="53"/>
        <v/>
      </c>
      <c r="R478" s="317" t="str">
        <f t="shared" si="54"/>
        <v/>
      </c>
      <c r="S478" s="317" t="str">
        <f t="shared" si="55"/>
        <v/>
      </c>
      <c r="T478" s="317" t="str">
        <f>GLOBAL_DER_FEV_2023!S478</f>
        <v/>
      </c>
      <c r="W478" s="582">
        <v>0</v>
      </c>
      <c r="X478" s="580"/>
      <c r="Y478" s="583">
        <f>IF(GLOBAL_DER_FEV_2023!W478=0,0,IF(GLOBAL_DER_FEV_2023!W478&gt;0,"c","b"))</f>
        <v>0</v>
      </c>
    </row>
    <row r="479" spans="1:25" ht="13.5" thickBot="1" x14ac:dyDescent="0.25">
      <c r="A479" s="317">
        <v>589000</v>
      </c>
      <c r="B479" s="1004" t="s">
        <v>1678</v>
      </c>
      <c r="C479" s="984" t="s">
        <v>213</v>
      </c>
      <c r="D479" s="1012" t="s">
        <v>2173</v>
      </c>
      <c r="E479" s="1005">
        <f>GLOBAL_DER_FEV_2023!E479</f>
        <v>45</v>
      </c>
      <c r="F479" s="1006">
        <f>GLOBAL_DER_FEV_2023!F479</f>
        <v>1</v>
      </c>
      <c r="G479" s="949">
        <f>GLOBAL_DER_FEV_2023!G479</f>
        <v>88.36</v>
      </c>
      <c r="H479" s="988">
        <f>GLOBAL_DER_FEV_2023!H479</f>
        <v>4828.8599999999997</v>
      </c>
      <c r="I479" s="988">
        <f>GLOBAL_DER_FEV_2023!I479</f>
        <v>4724.580378112767</v>
      </c>
      <c r="J479" s="989">
        <f>GLOBAL_DER_FEV_2023!J479</f>
        <v>5672.8</v>
      </c>
      <c r="K479" s="990" t="s">
        <v>14</v>
      </c>
      <c r="L479" s="1154">
        <f>ROUND(L474*$F474,2)</f>
        <v>0</v>
      </c>
      <c r="M479" s="1159">
        <f t="shared" si="52"/>
        <v>0</v>
      </c>
      <c r="N479" s="993">
        <f t="shared" si="56"/>
        <v>0</v>
      </c>
      <c r="O479" s="905"/>
      <c r="P479" s="58" t="str">
        <f>IF(N474&gt;0,"xx",IF(N474&gt;0,"xy",""))</f>
        <v/>
      </c>
      <c r="Q479" s="317" t="str">
        <f t="shared" si="53"/>
        <v/>
      </c>
      <c r="R479" s="317" t="str">
        <f t="shared" si="54"/>
        <v/>
      </c>
      <c r="S479" s="317" t="str">
        <f t="shared" si="55"/>
        <v/>
      </c>
      <c r="T479" s="317" t="str">
        <f>GLOBAL_DER_FEV_2023!S479</f>
        <v/>
      </c>
      <c r="W479" s="582">
        <v>0</v>
      </c>
      <c r="X479" s="580"/>
      <c r="Y479" s="583">
        <f>IF(GLOBAL_DER_FEV_2023!W479=0,0,IF(GLOBAL_DER_FEV_2023!W479&gt;0,"c","b"))</f>
        <v>0</v>
      </c>
    </row>
    <row r="480" spans="1:25" x14ac:dyDescent="0.2">
      <c r="A480" s="317">
        <v>570400</v>
      </c>
      <c r="B480" s="999" t="s">
        <v>1657</v>
      </c>
      <c r="C480" s="1000" t="s">
        <v>184</v>
      </c>
      <c r="D480" s="1019" t="s">
        <v>2225</v>
      </c>
      <c r="E480" s="974" t="str">
        <f>GLOBAL_DER_FEV_2023!E480</f>
        <v>taxa CAP</v>
      </c>
      <c r="F480" s="975">
        <f>GLOBAL_DER_FEV_2023!F480</f>
        <v>5.7000000000000002E-2</v>
      </c>
      <c r="G480" s="976">
        <f>GLOBAL_DER_FEV_2023!G480</f>
        <v>52.951632000000004</v>
      </c>
      <c r="H480" s="977">
        <f>GLOBAL_DER_FEV_2023!H480</f>
        <v>169.12</v>
      </c>
      <c r="I480" s="977">
        <f>GLOBAL_DER_FEV_2023!I480</f>
        <v>222.07163200000002</v>
      </c>
      <c r="J480" s="978">
        <f>GLOBAL_DER_FEV_2023!J480</f>
        <v>266.64</v>
      </c>
      <c r="K480" s="979" t="s">
        <v>14</v>
      </c>
      <c r="L480" s="1152"/>
      <c r="M480" s="1153">
        <f t="shared" si="52"/>
        <v>0</v>
      </c>
      <c r="N480" s="982">
        <f t="shared" si="56"/>
        <v>0</v>
      </c>
      <c r="O480" s="905"/>
      <c r="Q480" s="317" t="str">
        <f t="shared" si="53"/>
        <v/>
      </c>
      <c r="R480" s="317" t="str">
        <f t="shared" si="54"/>
        <v/>
      </c>
      <c r="S480" s="317" t="str">
        <f t="shared" si="55"/>
        <v/>
      </c>
      <c r="T480" s="317" t="str">
        <f>GLOBAL_DER_FEV_2023!S480</f>
        <v/>
      </c>
      <c r="W480" s="582">
        <v>0</v>
      </c>
      <c r="X480" s="580"/>
      <c r="Y480" s="583">
        <f>IF(GLOBAL_DER_FEV_2023!W480=0,0,IF(GLOBAL_DER_FEV_2023!W480&gt;0,"c","b"))</f>
        <v>0</v>
      </c>
    </row>
    <row r="481" spans="1:25" x14ac:dyDescent="0.2">
      <c r="A481" s="317" t="s">
        <v>147</v>
      </c>
      <c r="B481" s="895" t="s">
        <v>147</v>
      </c>
      <c r="C481" s="896"/>
      <c r="D481" s="957" t="s">
        <v>229</v>
      </c>
      <c r="E481" s="907">
        <f>GLOBAL_DER_FEV_2023!E481</f>
        <v>150</v>
      </c>
      <c r="F481" s="908">
        <f>GLOBAL_DER_FEV_2023!F481</f>
        <v>0.1</v>
      </c>
      <c r="G481" s="949">
        <f>GLOBAL_DER_FEV_2023!G481</f>
        <v>16.318000000000001</v>
      </c>
      <c r="H481" s="901">
        <f>GLOBAL_DER_FEV_2023!H481</f>
        <v>0</v>
      </c>
      <c r="I481" s="901">
        <f>GLOBAL_DER_FEV_2023!I481</f>
        <v>0</v>
      </c>
      <c r="J481" s="902">
        <f>GLOBAL_DER_FEV_2023!J481</f>
        <v>0</v>
      </c>
      <c r="K481" s="903" t="s">
        <v>507</v>
      </c>
      <c r="L481" s="1003"/>
      <c r="M481" s="1157">
        <f t="shared" si="52"/>
        <v>0</v>
      </c>
      <c r="N481" s="893">
        <f t="shared" si="56"/>
        <v>0</v>
      </c>
      <c r="O481" s="905"/>
      <c r="P481" s="58" t="str">
        <f>IF(N480&gt;0,"xx",IF(N480&gt;0,"xy",""))</f>
        <v/>
      </c>
      <c r="Q481" s="317" t="str">
        <f t="shared" si="53"/>
        <v/>
      </c>
      <c r="R481" s="317" t="str">
        <f t="shared" si="54"/>
        <v/>
      </c>
      <c r="S481" s="317" t="str">
        <f t="shared" si="55"/>
        <v/>
      </c>
      <c r="T481" s="317" t="str">
        <f>GLOBAL_DER_FEV_2023!S481</f>
        <v/>
      </c>
      <c r="W481" s="582">
        <v>0</v>
      </c>
      <c r="X481" s="580"/>
      <c r="Y481" s="583">
        <f>IF(GLOBAL_DER_FEV_2023!W481=0,0,IF(GLOBAL_DER_FEV_2023!W481&gt;0,"c","b"))</f>
        <v>0</v>
      </c>
    </row>
    <row r="482" spans="1:25" x14ac:dyDescent="0.2">
      <c r="A482" s="317" t="s">
        <v>147</v>
      </c>
      <c r="B482" s="895" t="s">
        <v>147</v>
      </c>
      <c r="C482" s="896"/>
      <c r="D482" s="957" t="s">
        <v>230</v>
      </c>
      <c r="E482" s="907">
        <f>GLOBAL_DER_FEV_2023!E482</f>
        <v>353</v>
      </c>
      <c r="F482" s="908">
        <f>GLOBAL_DER_FEV_2023!F482</f>
        <v>1.4999999999999999E-2</v>
      </c>
      <c r="G482" s="909">
        <f>GLOBAL_DER_FEV_2023!G482</f>
        <v>4.2473999999999998</v>
      </c>
      <c r="H482" s="901">
        <f>GLOBAL_DER_FEV_2023!H482</f>
        <v>0</v>
      </c>
      <c r="I482" s="901">
        <f>GLOBAL_DER_FEV_2023!I482</f>
        <v>0</v>
      </c>
      <c r="J482" s="902">
        <f>GLOBAL_DER_FEV_2023!J482</f>
        <v>0</v>
      </c>
      <c r="K482" s="903" t="s">
        <v>507</v>
      </c>
      <c r="L482" s="1003"/>
      <c r="M482" s="1157">
        <f t="shared" si="52"/>
        <v>0</v>
      </c>
      <c r="N482" s="893">
        <f t="shared" si="56"/>
        <v>0</v>
      </c>
      <c r="O482" s="905"/>
      <c r="P482" s="58" t="str">
        <f>IF(N480&gt;0,"xx",IF(N480&gt;0,"xy",""))</f>
        <v/>
      </c>
      <c r="Q482" s="317" t="str">
        <f t="shared" si="53"/>
        <v/>
      </c>
      <c r="R482" s="317" t="str">
        <f t="shared" si="54"/>
        <v/>
      </c>
      <c r="S482" s="317" t="str">
        <f t="shared" si="55"/>
        <v/>
      </c>
      <c r="T482" s="317" t="str">
        <f>GLOBAL_DER_FEV_2023!S482</f>
        <v/>
      </c>
      <c r="W482" s="582">
        <v>0</v>
      </c>
      <c r="X482" s="580"/>
      <c r="Y482" s="583">
        <f>IF(GLOBAL_DER_FEV_2023!W482=0,0,IF(GLOBAL_DER_FEV_2023!W482&gt;0,"c","b"))</f>
        <v>0</v>
      </c>
    </row>
    <row r="483" spans="1:25" x14ac:dyDescent="0.2">
      <c r="A483" s="317" t="s">
        <v>147</v>
      </c>
      <c r="B483" s="895" t="s">
        <v>147</v>
      </c>
      <c r="C483" s="896"/>
      <c r="D483" s="957" t="s">
        <v>243</v>
      </c>
      <c r="E483" s="907">
        <f>GLOBAL_DER_FEV_2023!E483</f>
        <v>0.2</v>
      </c>
      <c r="F483" s="908">
        <f>GLOBAL_DER_FEV_2023!F483</f>
        <v>0.82799999999999996</v>
      </c>
      <c r="G483" s="949">
        <f>GLOBAL_DER_FEV_2023!G483</f>
        <v>2.3962319999999999</v>
      </c>
      <c r="H483" s="901">
        <f>GLOBAL_DER_FEV_2023!H483</f>
        <v>0</v>
      </c>
      <c r="I483" s="901">
        <f>GLOBAL_DER_FEV_2023!I483</f>
        <v>0</v>
      </c>
      <c r="J483" s="902">
        <f>GLOBAL_DER_FEV_2023!J483</f>
        <v>0</v>
      </c>
      <c r="K483" s="903" t="s">
        <v>507</v>
      </c>
      <c r="L483" s="1003"/>
      <c r="M483" s="1157">
        <f t="shared" si="52"/>
        <v>0</v>
      </c>
      <c r="N483" s="893">
        <f t="shared" si="56"/>
        <v>0</v>
      </c>
      <c r="O483" s="905"/>
      <c r="P483" s="58" t="str">
        <f>IF(N480&gt;0,"xx",IF(N480&gt;0,"xy",""))</f>
        <v/>
      </c>
      <c r="Q483" s="317" t="str">
        <f t="shared" si="53"/>
        <v/>
      </c>
      <c r="R483" s="317" t="str">
        <f t="shared" si="54"/>
        <v/>
      </c>
      <c r="S483" s="317" t="str">
        <f t="shared" si="55"/>
        <v/>
      </c>
      <c r="T483" s="317" t="str">
        <f>GLOBAL_DER_FEV_2023!S483</f>
        <v/>
      </c>
      <c r="W483" s="582">
        <v>0</v>
      </c>
      <c r="X483" s="580"/>
      <c r="Y483" s="583">
        <f>IF(GLOBAL_DER_FEV_2023!W483=0,0,IF(GLOBAL_DER_FEV_2023!W483&gt;0,"c","b"))</f>
        <v>0</v>
      </c>
    </row>
    <row r="484" spans="1:25" x14ac:dyDescent="0.2">
      <c r="A484" s="317" t="s">
        <v>147</v>
      </c>
      <c r="B484" s="895" t="s">
        <v>147</v>
      </c>
      <c r="C484" s="896"/>
      <c r="D484" s="957" t="s">
        <v>244</v>
      </c>
      <c r="E484" s="907">
        <f>GLOBAL_DER_FEV_2023!E484</f>
        <v>22</v>
      </c>
      <c r="F484" s="908">
        <f>GLOBAL_DER_FEV_2023!F484</f>
        <v>1</v>
      </c>
      <c r="G484" s="912">
        <f>GLOBAL_DER_FEV_2023!G484</f>
        <v>29.990000000000002</v>
      </c>
      <c r="H484" s="901">
        <f>GLOBAL_DER_FEV_2023!H484</f>
        <v>0</v>
      </c>
      <c r="I484" s="901">
        <f>GLOBAL_DER_FEV_2023!I484</f>
        <v>0</v>
      </c>
      <c r="J484" s="902">
        <f>GLOBAL_DER_FEV_2023!J484</f>
        <v>0</v>
      </c>
      <c r="K484" s="903" t="s">
        <v>507</v>
      </c>
      <c r="L484" s="1003"/>
      <c r="M484" s="1157">
        <f t="shared" si="52"/>
        <v>0</v>
      </c>
      <c r="N484" s="893">
        <f t="shared" si="56"/>
        <v>0</v>
      </c>
      <c r="O484" s="905"/>
      <c r="P484" s="58" t="str">
        <f>IF(N480&gt;0,"xx",IF(N480&gt;0,"xy",""))</f>
        <v/>
      </c>
      <c r="Q484" s="317" t="str">
        <f t="shared" si="53"/>
        <v/>
      </c>
      <c r="R484" s="317" t="str">
        <f t="shared" si="54"/>
        <v/>
      </c>
      <c r="S484" s="317" t="str">
        <f t="shared" si="55"/>
        <v/>
      </c>
      <c r="T484" s="317" t="str">
        <f>GLOBAL_DER_FEV_2023!S484</f>
        <v/>
      </c>
      <c r="W484" s="582">
        <v>0</v>
      </c>
      <c r="X484" s="580"/>
      <c r="Y484" s="583">
        <f>IF(GLOBAL_DER_FEV_2023!W484=0,0,IF(GLOBAL_DER_FEV_2023!W484&gt;0,"c","b"))</f>
        <v>0</v>
      </c>
    </row>
    <row r="485" spans="1:25" ht="13.5" thickBot="1" x14ac:dyDescent="0.25">
      <c r="A485" s="317">
        <v>589000</v>
      </c>
      <c r="B485" s="1004" t="s">
        <v>725</v>
      </c>
      <c r="C485" s="984" t="s">
        <v>213</v>
      </c>
      <c r="D485" s="1012" t="s">
        <v>2173</v>
      </c>
      <c r="E485" s="1005">
        <f>GLOBAL_DER_FEV_2023!E485</f>
        <v>45</v>
      </c>
      <c r="F485" s="1006">
        <f>GLOBAL_DER_FEV_2023!F485</f>
        <v>1</v>
      </c>
      <c r="G485" s="949">
        <f>GLOBAL_DER_FEV_2023!G485</f>
        <v>88.36</v>
      </c>
      <c r="H485" s="988">
        <f>GLOBAL_DER_FEV_2023!H485</f>
        <v>4828.8599999999997</v>
      </c>
      <c r="I485" s="988">
        <f>GLOBAL_DER_FEV_2023!I485</f>
        <v>4724.580378112767</v>
      </c>
      <c r="J485" s="989">
        <f>GLOBAL_DER_FEV_2023!J485</f>
        <v>5672.8</v>
      </c>
      <c r="K485" s="990" t="s">
        <v>14</v>
      </c>
      <c r="L485" s="1154">
        <f>ROUND(L480*$F480,2)</f>
        <v>0</v>
      </c>
      <c r="M485" s="1159">
        <f t="shared" si="52"/>
        <v>0</v>
      </c>
      <c r="N485" s="993">
        <f t="shared" si="56"/>
        <v>0</v>
      </c>
      <c r="O485" s="905"/>
      <c r="P485" s="58" t="str">
        <f>IF(N480&gt;0,"xx",IF(N480&gt;0,"xy",""))</f>
        <v/>
      </c>
      <c r="Q485" s="317" t="str">
        <f t="shared" si="53"/>
        <v/>
      </c>
      <c r="R485" s="317" t="str">
        <f t="shared" si="54"/>
        <v/>
      </c>
      <c r="S485" s="317" t="str">
        <f t="shared" si="55"/>
        <v/>
      </c>
      <c r="T485" s="317" t="str">
        <f>GLOBAL_DER_FEV_2023!S485</f>
        <v/>
      </c>
      <c r="W485" s="582">
        <v>0</v>
      </c>
      <c r="X485" s="580"/>
      <c r="Y485" s="583">
        <f>IF(GLOBAL_DER_FEV_2023!W485=0,0,IF(GLOBAL_DER_FEV_2023!W485&gt;0,"c","b"))</f>
        <v>0</v>
      </c>
    </row>
    <row r="486" spans="1:25" x14ac:dyDescent="0.2">
      <c r="A486" s="317">
        <v>570000</v>
      </c>
      <c r="B486" s="999" t="str">
        <f>GLOBAL_DER_FEV_2023!B486</f>
        <v>570000D</v>
      </c>
      <c r="C486" s="1000" t="str">
        <f>GLOBAL_DER_FEV_2023!C486</f>
        <v>DER</v>
      </c>
      <c r="D486" s="1024" t="str">
        <f>GLOBAL_DER_FEV_2023!D486</f>
        <v>CBUQ - Novo Traço - TRAÇO 4 - FAIXA "C" - (Quantidade MAIOR que 10.000 ton)</v>
      </c>
      <c r="E486" s="974" t="str">
        <f>GLOBAL_DER_FEV_2023!E486</f>
        <v>taxa CAP</v>
      </c>
      <c r="F486" s="1025">
        <f>GLOBAL_DER_FEV_2023!F486</f>
        <v>0.05</v>
      </c>
      <c r="G486" s="976">
        <f>GLOBAL_DER_FEV_2023!G486</f>
        <v>52.1145006</v>
      </c>
      <c r="H486" s="977">
        <f>GLOBAL_DER_FEV_2023!H486</f>
        <v>187.41</v>
      </c>
      <c r="I486" s="977">
        <f>GLOBAL_DER_FEV_2023!I486</f>
        <v>239.52450060000001</v>
      </c>
      <c r="J486" s="978">
        <f>GLOBAL_DER_FEV_2023!J486</f>
        <v>287.60000000000002</v>
      </c>
      <c r="K486" s="979" t="s">
        <v>14</v>
      </c>
      <c r="L486" s="1152"/>
      <c r="M486" s="1153">
        <f t="shared" si="52"/>
        <v>0</v>
      </c>
      <c r="N486" s="982">
        <f t="shared" ref="N486:N491" si="72">IF(ISBLANK(L486),0,IF(W486=0,ROUND(L486*M486,2),IF(W486="b",ROUNDDOWN(L486*M486,2),ROUNDUP(L486*M486,2))))</f>
        <v>0</v>
      </c>
      <c r="O486" s="905"/>
      <c r="Q486" s="317" t="str">
        <f t="shared" si="53"/>
        <v/>
      </c>
      <c r="R486" s="317" t="str">
        <f t="shared" si="54"/>
        <v/>
      </c>
      <c r="S486" s="317" t="str">
        <f t="shared" si="55"/>
        <v/>
      </c>
      <c r="T486" s="317" t="str">
        <f>GLOBAL_DER_FEV_2023!S486</f>
        <v/>
      </c>
      <c r="W486" s="582">
        <v>0</v>
      </c>
      <c r="X486" s="580"/>
      <c r="Y486" s="583">
        <f>IF(GLOBAL_DER_FEV_2023!W486=0,0,IF(GLOBAL_DER_FEV_2023!W486&gt;0,"c","b"))</f>
        <v>0</v>
      </c>
    </row>
    <row r="487" spans="1:25" x14ac:dyDescent="0.2">
      <c r="A487" s="317" t="s">
        <v>147</v>
      </c>
      <c r="B487" s="895" t="str">
        <f>GLOBAL_DER_FEV_2023!B487</f>
        <v>transporte</v>
      </c>
      <c r="C487" s="896">
        <f>GLOBAL_DER_FEV_2023!C487</f>
        <v>0</v>
      </c>
      <c r="D487" s="957" t="str">
        <f>GLOBAL_DER_FEV_2023!D487</f>
        <v>Areia</v>
      </c>
      <c r="E487" s="907">
        <f>GLOBAL_DER_FEV_2023!E487</f>
        <v>150</v>
      </c>
      <c r="F487" s="1287">
        <f>GLOBAL_DER_FEV_2023!F487</f>
        <v>9.5699999999999993E-2</v>
      </c>
      <c r="G487" s="949">
        <f>GLOBAL_DER_FEV_2023!G487</f>
        <v>15.616325999999999</v>
      </c>
      <c r="H487" s="901">
        <f>GLOBAL_DER_FEV_2023!H487</f>
        <v>0</v>
      </c>
      <c r="I487" s="901">
        <f>GLOBAL_DER_FEV_2023!I487</f>
        <v>0</v>
      </c>
      <c r="J487" s="902">
        <f>GLOBAL_DER_FEV_2023!J487</f>
        <v>0</v>
      </c>
      <c r="K487" s="903" t="s">
        <v>507</v>
      </c>
      <c r="L487" s="1003"/>
      <c r="M487" s="1157">
        <f t="shared" si="52"/>
        <v>0</v>
      </c>
      <c r="N487" s="893">
        <f t="shared" si="72"/>
        <v>0</v>
      </c>
      <c r="O487" s="905"/>
      <c r="P487" s="58" t="str">
        <f>IF(N486&gt;0,"xx",IF(N486&gt;0,"xy",""))</f>
        <v/>
      </c>
      <c r="Q487" s="317" t="str">
        <f t="shared" si="53"/>
        <v/>
      </c>
      <c r="R487" s="317" t="str">
        <f t="shared" si="54"/>
        <v/>
      </c>
      <c r="S487" s="317" t="str">
        <f t="shared" si="55"/>
        <v/>
      </c>
      <c r="T487" s="317" t="str">
        <f>GLOBAL_DER_FEV_2023!S487</f>
        <v/>
      </c>
      <c r="W487" s="582">
        <v>0</v>
      </c>
      <c r="X487" s="580"/>
      <c r="Y487" s="583">
        <f>IF(GLOBAL_DER_FEV_2023!W487=0,0,IF(GLOBAL_DER_FEV_2023!W487&gt;0,"c","b"))</f>
        <v>0</v>
      </c>
    </row>
    <row r="488" spans="1:25" x14ac:dyDescent="0.2">
      <c r="A488" s="317" t="s">
        <v>147</v>
      </c>
      <c r="B488" s="895" t="str">
        <f>GLOBAL_DER_FEV_2023!B488</f>
        <v>transporte</v>
      </c>
      <c r="C488" s="896">
        <f>GLOBAL_DER_FEV_2023!C488</f>
        <v>0</v>
      </c>
      <c r="D488" s="957" t="str">
        <f>GLOBAL_DER_FEV_2023!D488</f>
        <v>Cal Hidratada CH-1</v>
      </c>
      <c r="E488" s="907">
        <f>GLOBAL_DER_FEV_2023!E488</f>
        <v>353</v>
      </c>
      <c r="F488" s="1287">
        <f>GLOBAL_DER_FEV_2023!F488</f>
        <v>1.44E-2</v>
      </c>
      <c r="G488" s="909">
        <f>GLOBAL_DER_FEV_2023!G488</f>
        <v>4.0775040000000002</v>
      </c>
      <c r="H488" s="901">
        <f>GLOBAL_DER_FEV_2023!H488</f>
        <v>0</v>
      </c>
      <c r="I488" s="901">
        <f>GLOBAL_DER_FEV_2023!I488</f>
        <v>0</v>
      </c>
      <c r="J488" s="902">
        <f>GLOBAL_DER_FEV_2023!J488</f>
        <v>0</v>
      </c>
      <c r="K488" s="903" t="s">
        <v>507</v>
      </c>
      <c r="L488" s="1003"/>
      <c r="M488" s="1157">
        <f t="shared" si="52"/>
        <v>0</v>
      </c>
      <c r="N488" s="893">
        <f t="shared" si="72"/>
        <v>0</v>
      </c>
      <c r="O488" s="905"/>
      <c r="P488" s="58" t="str">
        <f>IF(N486&gt;0,"xx",IF(N486&gt;0,"xy",""))</f>
        <v/>
      </c>
      <c r="Q488" s="317" t="str">
        <f t="shared" si="53"/>
        <v/>
      </c>
      <c r="R488" s="317" t="str">
        <f t="shared" si="54"/>
        <v/>
      </c>
      <c r="S488" s="317" t="str">
        <f t="shared" si="55"/>
        <v/>
      </c>
      <c r="T488" s="317" t="str">
        <f>GLOBAL_DER_FEV_2023!S488</f>
        <v/>
      </c>
      <c r="W488" s="582">
        <v>0</v>
      </c>
      <c r="X488" s="580"/>
      <c r="Y488" s="583">
        <f>IF(GLOBAL_DER_FEV_2023!W488=0,0,IF(GLOBAL_DER_FEV_2023!W488&gt;0,"c","b"))</f>
        <v>0</v>
      </c>
    </row>
    <row r="489" spans="1:25" x14ac:dyDescent="0.2">
      <c r="A489" s="317" t="s">
        <v>147</v>
      </c>
      <c r="B489" s="895" t="str">
        <f>GLOBAL_DER_FEV_2023!B489</f>
        <v>transporte</v>
      </c>
      <c r="C489" s="896">
        <f>GLOBAL_DER_FEV_2023!C489</f>
        <v>0</v>
      </c>
      <c r="D489" s="957" t="str">
        <f>GLOBAL_DER_FEV_2023!D489</f>
        <v>Brita ( usina )</v>
      </c>
      <c r="E489" s="907">
        <f>GLOBAL_DER_FEV_2023!E489</f>
        <v>0.2</v>
      </c>
      <c r="F489" s="1287">
        <f>GLOBAL_DER_FEV_2023!F489</f>
        <v>0.83989999999999998</v>
      </c>
      <c r="G489" s="949">
        <f>GLOBAL_DER_FEV_2023!G489</f>
        <v>2.4306706</v>
      </c>
      <c r="H489" s="901">
        <f>GLOBAL_DER_FEV_2023!H489</f>
        <v>0</v>
      </c>
      <c r="I489" s="901">
        <f>GLOBAL_DER_FEV_2023!I489</f>
        <v>0</v>
      </c>
      <c r="J489" s="902">
        <f>GLOBAL_DER_FEV_2023!J489</f>
        <v>0</v>
      </c>
      <c r="K489" s="903" t="s">
        <v>507</v>
      </c>
      <c r="L489" s="1003"/>
      <c r="M489" s="1157">
        <f t="shared" si="52"/>
        <v>0</v>
      </c>
      <c r="N489" s="893">
        <f t="shared" si="72"/>
        <v>0</v>
      </c>
      <c r="O489" s="905"/>
      <c r="P489" s="58" t="str">
        <f>IF(N486&gt;0,"xx",IF(N486&gt;0,"xy",""))</f>
        <v/>
      </c>
      <c r="Q489" s="317" t="str">
        <f t="shared" si="53"/>
        <v/>
      </c>
      <c r="R489" s="317" t="str">
        <f t="shared" si="54"/>
        <v/>
      </c>
      <c r="S489" s="317" t="str">
        <f t="shared" si="55"/>
        <v/>
      </c>
      <c r="T489" s="317" t="str">
        <f>GLOBAL_DER_FEV_2023!S489</f>
        <v/>
      </c>
      <c r="W489" s="582">
        <v>0</v>
      </c>
      <c r="X489" s="580"/>
      <c r="Y489" s="583">
        <f>IF(GLOBAL_DER_FEV_2023!W489=0,0,IF(GLOBAL_DER_FEV_2023!W489&gt;0,"c","b"))</f>
        <v>0</v>
      </c>
    </row>
    <row r="490" spans="1:25" x14ac:dyDescent="0.2">
      <c r="A490" s="317" t="s">
        <v>147</v>
      </c>
      <c r="B490" s="895" t="str">
        <f>GLOBAL_DER_FEV_2023!B490</f>
        <v>transporte</v>
      </c>
      <c r="C490" s="896">
        <f>GLOBAL_DER_FEV_2023!C490</f>
        <v>0</v>
      </c>
      <c r="D490" s="957" t="str">
        <f>GLOBAL_DER_FEV_2023!D490</f>
        <v>Massa</v>
      </c>
      <c r="E490" s="907">
        <f>GLOBAL_DER_FEV_2023!E490</f>
        <v>22</v>
      </c>
      <c r="F490" s="1287">
        <f>GLOBAL_DER_FEV_2023!F490</f>
        <v>1</v>
      </c>
      <c r="G490" s="912">
        <f>GLOBAL_DER_FEV_2023!G490</f>
        <v>29.990000000000002</v>
      </c>
      <c r="H490" s="901">
        <f>GLOBAL_DER_FEV_2023!H490</f>
        <v>0</v>
      </c>
      <c r="I490" s="901">
        <f>GLOBAL_DER_FEV_2023!I490</f>
        <v>0</v>
      </c>
      <c r="J490" s="902">
        <f>GLOBAL_DER_FEV_2023!J490</f>
        <v>0</v>
      </c>
      <c r="K490" s="903" t="s">
        <v>507</v>
      </c>
      <c r="L490" s="1003"/>
      <c r="M490" s="1157">
        <f t="shared" si="52"/>
        <v>0</v>
      </c>
      <c r="N490" s="893">
        <f t="shared" si="72"/>
        <v>0</v>
      </c>
      <c r="O490" s="905"/>
      <c r="P490" s="58" t="str">
        <f>IF(N486&gt;0,"xx",IF(N486&gt;0,"xy",""))</f>
        <v/>
      </c>
      <c r="Q490" s="317" t="str">
        <f t="shared" si="53"/>
        <v/>
      </c>
      <c r="R490" s="317" t="str">
        <f t="shared" si="54"/>
        <v/>
      </c>
      <c r="S490" s="317" t="str">
        <f t="shared" si="55"/>
        <v/>
      </c>
      <c r="T490" s="317" t="str">
        <f>GLOBAL_DER_FEV_2023!S490</f>
        <v/>
      </c>
      <c r="W490" s="582">
        <v>0</v>
      </c>
      <c r="X490" s="580"/>
      <c r="Y490" s="583">
        <f>IF(GLOBAL_DER_FEV_2023!W490=0,0,IF(GLOBAL_DER_FEV_2023!W490&gt;0,"c","b"))</f>
        <v>0</v>
      </c>
    </row>
    <row r="491" spans="1:25" ht="13.5" thickBot="1" x14ac:dyDescent="0.25">
      <c r="A491" s="317">
        <v>589000</v>
      </c>
      <c r="B491" s="1004" t="str">
        <f>GLOBAL_DER_FEV_2023!B491</f>
        <v>589000K</v>
      </c>
      <c r="C491" s="984" t="str">
        <f>GLOBAL_DER_FEV_2023!C491</f>
        <v>DER mat</v>
      </c>
      <c r="D491" s="1012" t="str">
        <f>GLOBAL_DER_FEV_2023!D491</f>
        <v>Fornecimento de CAP - CBUQ (Quantidade menor que 10.000 ton)</v>
      </c>
      <c r="E491" s="1005">
        <f>GLOBAL_DER_FEV_2023!E491</f>
        <v>45</v>
      </c>
      <c r="F491" s="1006">
        <f>GLOBAL_DER_FEV_2023!F491</f>
        <v>1</v>
      </c>
      <c r="G491" s="949">
        <f>GLOBAL_DER_FEV_2023!G491</f>
        <v>88.36</v>
      </c>
      <c r="H491" s="988">
        <f>GLOBAL_DER_FEV_2023!H491</f>
        <v>4828.8599999999997</v>
      </c>
      <c r="I491" s="988">
        <f>GLOBAL_DER_FEV_2023!I491</f>
        <v>4724.580378112767</v>
      </c>
      <c r="J491" s="989">
        <f>GLOBAL_DER_FEV_2023!J491</f>
        <v>5672.8</v>
      </c>
      <c r="K491" s="990" t="s">
        <v>14</v>
      </c>
      <c r="L491" s="1154">
        <f>ROUND(L486*$F486,2)</f>
        <v>0</v>
      </c>
      <c r="M491" s="1159">
        <f t="shared" si="52"/>
        <v>0</v>
      </c>
      <c r="N491" s="993">
        <f t="shared" si="72"/>
        <v>0</v>
      </c>
      <c r="O491" s="905"/>
      <c r="P491" s="58" t="str">
        <f>IF(N486&gt;0,"xx",IF(N486&gt;0,"xy",""))</f>
        <v/>
      </c>
      <c r="Q491" s="317" t="str">
        <f t="shared" si="53"/>
        <v/>
      </c>
      <c r="R491" s="317" t="str">
        <f t="shared" si="54"/>
        <v/>
      </c>
      <c r="S491" s="317" t="str">
        <f t="shared" si="55"/>
        <v/>
      </c>
      <c r="T491" s="317" t="str">
        <f>GLOBAL_DER_FEV_2023!S491</f>
        <v/>
      </c>
      <c r="W491" s="582">
        <v>0</v>
      </c>
      <c r="X491" s="580"/>
      <c r="Y491" s="583">
        <f>IF(GLOBAL_DER_FEV_2023!W491=0,0,IF(GLOBAL_DER_FEV_2023!W491&gt;0,"c","b"))</f>
        <v>0</v>
      </c>
    </row>
    <row r="492" spans="1:25" ht="22.5" x14ac:dyDescent="0.2">
      <c r="A492" s="317">
        <v>570360</v>
      </c>
      <c r="B492" s="999">
        <v>570360</v>
      </c>
      <c r="C492" s="1000" t="s">
        <v>184</v>
      </c>
      <c r="D492" s="973" t="s">
        <v>245</v>
      </c>
      <c r="E492" s="1026" t="str">
        <f>GLOBAL_DER_FEV_2023!E492</f>
        <v>taxa CAP 
SBS(60/85)</v>
      </c>
      <c r="F492" s="975">
        <f>GLOBAL_DER_FEV_2023!F492</f>
        <v>5.8999999999999997E-2</v>
      </c>
      <c r="G492" s="976">
        <f>GLOBAL_DER_FEV_2023!G492</f>
        <v>52.945844000000001</v>
      </c>
      <c r="H492" s="977">
        <f>GLOBAL_DER_FEV_2023!H492</f>
        <v>178.95</v>
      </c>
      <c r="I492" s="977">
        <f>GLOBAL_DER_FEV_2023!I492</f>
        <v>231.89584399999998</v>
      </c>
      <c r="J492" s="978">
        <f>GLOBAL_DER_FEV_2023!J492</f>
        <v>278.44</v>
      </c>
      <c r="K492" s="979" t="s">
        <v>14</v>
      </c>
      <c r="L492" s="1152"/>
      <c r="M492" s="1153">
        <f t="shared" si="52"/>
        <v>0</v>
      </c>
      <c r="N492" s="982">
        <f t="shared" si="56"/>
        <v>0</v>
      </c>
      <c r="O492" s="905"/>
      <c r="Q492" s="317" t="str">
        <f t="shared" si="53"/>
        <v/>
      </c>
      <c r="R492" s="317" t="str">
        <f t="shared" si="54"/>
        <v/>
      </c>
      <c r="S492" s="317" t="str">
        <f t="shared" si="55"/>
        <v/>
      </c>
      <c r="T492" s="317" t="str">
        <f>GLOBAL_DER_FEV_2023!S492</f>
        <v/>
      </c>
      <c r="W492" s="582">
        <v>0</v>
      </c>
      <c r="X492" s="580"/>
      <c r="Y492" s="583">
        <f>IF(GLOBAL_DER_FEV_2023!W492=0,0,IF(GLOBAL_DER_FEV_2023!W492&gt;0,"c","b"))</f>
        <v>0</v>
      </c>
    </row>
    <row r="493" spans="1:25" x14ac:dyDescent="0.2">
      <c r="A493" s="317" t="s">
        <v>147</v>
      </c>
      <c r="B493" s="895" t="s">
        <v>147</v>
      </c>
      <c r="C493" s="896"/>
      <c r="D493" s="957" t="s">
        <v>229</v>
      </c>
      <c r="E493" s="907">
        <f>GLOBAL_DER_FEV_2023!E493</f>
        <v>150</v>
      </c>
      <c r="F493" s="908">
        <f>GLOBAL_DER_FEV_2023!F493</f>
        <v>0.1</v>
      </c>
      <c r="G493" s="949">
        <f>GLOBAL_DER_FEV_2023!G493</f>
        <v>16.318000000000001</v>
      </c>
      <c r="H493" s="901">
        <f>GLOBAL_DER_FEV_2023!H493</f>
        <v>0</v>
      </c>
      <c r="I493" s="901">
        <f>GLOBAL_DER_FEV_2023!I493</f>
        <v>0</v>
      </c>
      <c r="J493" s="902">
        <f>GLOBAL_DER_FEV_2023!J493</f>
        <v>0</v>
      </c>
      <c r="K493" s="903" t="s">
        <v>507</v>
      </c>
      <c r="L493" s="1003"/>
      <c r="M493" s="1157">
        <f t="shared" si="52"/>
        <v>0</v>
      </c>
      <c r="N493" s="893">
        <f t="shared" si="56"/>
        <v>0</v>
      </c>
      <c r="O493" s="905"/>
      <c r="P493" s="58" t="str">
        <f>IF(N492&gt;0,"xx",IF(N492&gt;0,"xy",""))</f>
        <v/>
      </c>
      <c r="Q493" s="317" t="str">
        <f t="shared" si="53"/>
        <v/>
      </c>
      <c r="R493" s="317" t="str">
        <f t="shared" si="54"/>
        <v/>
      </c>
      <c r="S493" s="317" t="str">
        <f t="shared" si="55"/>
        <v/>
      </c>
      <c r="T493" s="317" t="str">
        <f>GLOBAL_DER_FEV_2023!S493</f>
        <v/>
      </c>
      <c r="W493" s="582">
        <v>0</v>
      </c>
      <c r="X493" s="580"/>
      <c r="Y493" s="583">
        <f>IF(GLOBAL_DER_FEV_2023!W493=0,0,IF(GLOBAL_DER_FEV_2023!W493&gt;0,"c","b"))</f>
        <v>0</v>
      </c>
    </row>
    <row r="494" spans="1:25" x14ac:dyDescent="0.2">
      <c r="A494" s="317" t="s">
        <v>147</v>
      </c>
      <c r="B494" s="895" t="s">
        <v>147</v>
      </c>
      <c r="C494" s="896"/>
      <c r="D494" s="957" t="s">
        <v>230</v>
      </c>
      <c r="E494" s="907">
        <f>GLOBAL_DER_FEV_2023!E494</f>
        <v>353</v>
      </c>
      <c r="F494" s="908">
        <f>GLOBAL_DER_FEV_2023!F494</f>
        <v>1.4999999999999999E-2</v>
      </c>
      <c r="G494" s="909">
        <f>GLOBAL_DER_FEV_2023!G494</f>
        <v>4.2473999999999998</v>
      </c>
      <c r="H494" s="901">
        <f>GLOBAL_DER_FEV_2023!H494</f>
        <v>0</v>
      </c>
      <c r="I494" s="901">
        <f>GLOBAL_DER_FEV_2023!I494</f>
        <v>0</v>
      </c>
      <c r="J494" s="902">
        <f>GLOBAL_DER_FEV_2023!J494</f>
        <v>0</v>
      </c>
      <c r="K494" s="903" t="s">
        <v>507</v>
      </c>
      <c r="L494" s="1003"/>
      <c r="M494" s="1157">
        <f t="shared" si="52"/>
        <v>0</v>
      </c>
      <c r="N494" s="893">
        <f t="shared" si="56"/>
        <v>0</v>
      </c>
      <c r="O494" s="905"/>
      <c r="P494" s="58" t="str">
        <f>IF(N492&gt;0,"xx",IF(N492&gt;0,"xy",""))</f>
        <v/>
      </c>
      <c r="Q494" s="317" t="str">
        <f t="shared" si="53"/>
        <v/>
      </c>
      <c r="R494" s="317" t="str">
        <f t="shared" si="54"/>
        <v/>
      </c>
      <c r="S494" s="317" t="str">
        <f t="shared" si="55"/>
        <v/>
      </c>
      <c r="T494" s="317" t="str">
        <f>GLOBAL_DER_FEV_2023!S494</f>
        <v/>
      </c>
      <c r="W494" s="582">
        <v>0</v>
      </c>
      <c r="X494" s="580"/>
      <c r="Y494" s="583">
        <f>IF(GLOBAL_DER_FEV_2023!W494=0,0,IF(GLOBAL_DER_FEV_2023!W494&gt;0,"c","b"))</f>
        <v>0</v>
      </c>
    </row>
    <row r="495" spans="1:25" x14ac:dyDescent="0.2">
      <c r="A495" s="317" t="s">
        <v>147</v>
      </c>
      <c r="B495" s="895" t="s">
        <v>147</v>
      </c>
      <c r="C495" s="896"/>
      <c r="D495" s="957" t="s">
        <v>243</v>
      </c>
      <c r="E495" s="907">
        <f>GLOBAL_DER_FEV_2023!E495</f>
        <v>0.2</v>
      </c>
      <c r="F495" s="908">
        <f>GLOBAL_DER_FEV_2023!F495</f>
        <v>0.82599999999999996</v>
      </c>
      <c r="G495" s="949">
        <f>GLOBAL_DER_FEV_2023!G495</f>
        <v>2.390444</v>
      </c>
      <c r="H495" s="901">
        <f>GLOBAL_DER_FEV_2023!H495</f>
        <v>0</v>
      </c>
      <c r="I495" s="901">
        <f>GLOBAL_DER_FEV_2023!I495</f>
        <v>0</v>
      </c>
      <c r="J495" s="902">
        <f>GLOBAL_DER_FEV_2023!J495</f>
        <v>0</v>
      </c>
      <c r="K495" s="903" t="s">
        <v>507</v>
      </c>
      <c r="L495" s="1003"/>
      <c r="M495" s="1157">
        <f t="shared" si="52"/>
        <v>0</v>
      </c>
      <c r="N495" s="893">
        <f t="shared" si="56"/>
        <v>0</v>
      </c>
      <c r="O495" s="905"/>
      <c r="P495" s="58" t="str">
        <f>IF(N492&gt;0,"xx",IF(N492&gt;0,"xy",""))</f>
        <v/>
      </c>
      <c r="Q495" s="317" t="str">
        <f t="shared" si="53"/>
        <v/>
      </c>
      <c r="R495" s="317" t="str">
        <f t="shared" si="54"/>
        <v/>
      </c>
      <c r="S495" s="317" t="str">
        <f t="shared" si="55"/>
        <v/>
      </c>
      <c r="T495" s="317" t="str">
        <f>GLOBAL_DER_FEV_2023!S495</f>
        <v/>
      </c>
      <c r="W495" s="582">
        <v>0</v>
      </c>
      <c r="X495" s="580"/>
      <c r="Y495" s="583">
        <f>IF(GLOBAL_DER_FEV_2023!W495=0,0,IF(GLOBAL_DER_FEV_2023!W495&gt;0,"c","b"))</f>
        <v>0</v>
      </c>
    </row>
    <row r="496" spans="1:25" x14ac:dyDescent="0.2">
      <c r="A496" s="317" t="s">
        <v>147</v>
      </c>
      <c r="B496" s="895" t="s">
        <v>147</v>
      </c>
      <c r="C496" s="896"/>
      <c r="D496" s="957" t="s">
        <v>244</v>
      </c>
      <c r="E496" s="907">
        <f>GLOBAL_DER_FEV_2023!E496</f>
        <v>22</v>
      </c>
      <c r="F496" s="908">
        <f>GLOBAL_DER_FEV_2023!F496</f>
        <v>1</v>
      </c>
      <c r="G496" s="912">
        <f>GLOBAL_DER_FEV_2023!G496</f>
        <v>29.990000000000002</v>
      </c>
      <c r="H496" s="901">
        <f>GLOBAL_DER_FEV_2023!H496</f>
        <v>0</v>
      </c>
      <c r="I496" s="901">
        <f>GLOBAL_DER_FEV_2023!I496</f>
        <v>0</v>
      </c>
      <c r="J496" s="902">
        <f>GLOBAL_DER_FEV_2023!J496</f>
        <v>0</v>
      </c>
      <c r="K496" s="903" t="s">
        <v>507</v>
      </c>
      <c r="L496" s="1003"/>
      <c r="M496" s="1157">
        <f t="shared" si="52"/>
        <v>0</v>
      </c>
      <c r="N496" s="893">
        <f t="shared" si="56"/>
        <v>0</v>
      </c>
      <c r="O496" s="905"/>
      <c r="P496" s="58" t="str">
        <f>IF(N492&gt;0,"xx",IF(N492&gt;0,"xy",""))</f>
        <v/>
      </c>
      <c r="Q496" s="317" t="str">
        <f t="shared" si="53"/>
        <v/>
      </c>
      <c r="R496" s="317" t="str">
        <f t="shared" si="54"/>
        <v/>
      </c>
      <c r="S496" s="317" t="str">
        <f t="shared" si="55"/>
        <v/>
      </c>
      <c r="T496" s="317" t="str">
        <f>GLOBAL_DER_FEV_2023!S496</f>
        <v/>
      </c>
      <c r="W496" s="582">
        <v>0</v>
      </c>
      <c r="X496" s="580"/>
      <c r="Y496" s="583">
        <f>IF(GLOBAL_DER_FEV_2023!W496=0,0,IF(GLOBAL_DER_FEV_2023!W496&gt;0,"c","b"))</f>
        <v>0</v>
      </c>
    </row>
    <row r="497" spans="1:25" ht="13.5" thickBot="1" x14ac:dyDescent="0.25">
      <c r="A497" s="317">
        <v>589040</v>
      </c>
      <c r="B497" s="1004">
        <v>589040</v>
      </c>
      <c r="C497" s="984" t="s">
        <v>213</v>
      </c>
      <c r="D497" s="1012" t="s">
        <v>567</v>
      </c>
      <c r="E497" s="1005">
        <f>GLOBAL_DER_FEV_2023!E497</f>
        <v>45</v>
      </c>
      <c r="F497" s="1006">
        <f>GLOBAL_DER_FEV_2023!F497</f>
        <v>1</v>
      </c>
      <c r="G497" s="949">
        <f>GLOBAL_DER_FEV_2023!G497</f>
        <v>88.36</v>
      </c>
      <c r="H497" s="988">
        <f>GLOBAL_DER_FEV_2023!H497</f>
        <v>6122.06</v>
      </c>
      <c r="I497" s="988">
        <f>GLOBAL_DER_FEV_2023!I497</f>
        <v>5966.1902390272353</v>
      </c>
      <c r="J497" s="989">
        <f>GLOBAL_DER_FEV_2023!J497</f>
        <v>7163.6</v>
      </c>
      <c r="K497" s="990" t="s">
        <v>14</v>
      </c>
      <c r="L497" s="1154">
        <f>ROUND(L492*$F492,2)</f>
        <v>0</v>
      </c>
      <c r="M497" s="1159">
        <f t="shared" si="52"/>
        <v>0</v>
      </c>
      <c r="N497" s="993">
        <f t="shared" si="56"/>
        <v>0</v>
      </c>
      <c r="O497" s="905"/>
      <c r="P497" s="58" t="str">
        <f>IF(N492&gt;0,"xx",IF(N492&gt;0,"xy",""))</f>
        <v/>
      </c>
      <c r="Q497" s="317" t="str">
        <f t="shared" si="53"/>
        <v/>
      </c>
      <c r="R497" s="317" t="str">
        <f t="shared" si="54"/>
        <v/>
      </c>
      <c r="S497" s="317" t="str">
        <f t="shared" si="55"/>
        <v/>
      </c>
      <c r="T497" s="317" t="str">
        <f>GLOBAL_DER_FEV_2023!S497</f>
        <v/>
      </c>
      <c r="W497" s="582">
        <v>0</v>
      </c>
      <c r="X497" s="580"/>
      <c r="Y497" s="583">
        <f>IF(GLOBAL_DER_FEV_2023!W497=0,0,IF(GLOBAL_DER_FEV_2023!W497&gt;0,"c","b"))</f>
        <v>0</v>
      </c>
    </row>
    <row r="498" spans="1:25" ht="22.5" x14ac:dyDescent="0.2">
      <c r="A498" s="317">
        <v>570350</v>
      </c>
      <c r="B498" s="999">
        <v>570350</v>
      </c>
      <c r="C498" s="1000" t="s">
        <v>184</v>
      </c>
      <c r="D498" s="973" t="s">
        <v>1899</v>
      </c>
      <c r="E498" s="1026" t="str">
        <f>GLOBAL_DER_FEV_2023!E498</f>
        <v>taxa CAP 
borracha</v>
      </c>
      <c r="F498" s="975">
        <f>GLOBAL_DER_FEV_2023!F498</f>
        <v>0.06</v>
      </c>
      <c r="G498" s="976">
        <f>GLOBAL_DER_FEV_2023!G498</f>
        <v>52.942950000000003</v>
      </c>
      <c r="H498" s="977">
        <f>GLOBAL_DER_FEV_2023!H498</f>
        <v>188.55</v>
      </c>
      <c r="I498" s="977">
        <f>GLOBAL_DER_FEV_2023!I498</f>
        <v>241.49295000000001</v>
      </c>
      <c r="J498" s="978">
        <f>GLOBAL_DER_FEV_2023!J498</f>
        <v>289.95999999999998</v>
      </c>
      <c r="K498" s="979" t="s">
        <v>573</v>
      </c>
      <c r="L498" s="1152"/>
      <c r="M498" s="1153">
        <f t="shared" si="52"/>
        <v>0</v>
      </c>
      <c r="N498" s="982">
        <f t="shared" si="56"/>
        <v>0</v>
      </c>
      <c r="O498" s="905"/>
      <c r="Q498" s="317" t="str">
        <f t="shared" si="53"/>
        <v/>
      </c>
      <c r="R498" s="317" t="str">
        <f t="shared" si="54"/>
        <v/>
      </c>
      <c r="S498" s="317" t="str">
        <f t="shared" si="55"/>
        <v/>
      </c>
      <c r="T498" s="317" t="str">
        <f>GLOBAL_DER_FEV_2023!S498</f>
        <v/>
      </c>
      <c r="W498" s="582">
        <v>0</v>
      </c>
      <c r="X498" s="580"/>
      <c r="Y498" s="583">
        <f>IF(GLOBAL_DER_FEV_2023!W498=0,0,IF(GLOBAL_DER_FEV_2023!W498&gt;0,"c","b"))</f>
        <v>0</v>
      </c>
    </row>
    <row r="499" spans="1:25" x14ac:dyDescent="0.2">
      <c r="A499" s="317" t="s">
        <v>147</v>
      </c>
      <c r="B499" s="895" t="s">
        <v>147</v>
      </c>
      <c r="C499" s="896"/>
      <c r="D499" s="957" t="s">
        <v>229</v>
      </c>
      <c r="E499" s="907">
        <f>GLOBAL_DER_FEV_2023!E499</f>
        <v>150</v>
      </c>
      <c r="F499" s="908">
        <f>GLOBAL_DER_FEV_2023!F499</f>
        <v>0.1</v>
      </c>
      <c r="G499" s="949">
        <f>GLOBAL_DER_FEV_2023!G499</f>
        <v>16.318000000000001</v>
      </c>
      <c r="H499" s="901">
        <f>GLOBAL_DER_FEV_2023!H499</f>
        <v>0</v>
      </c>
      <c r="I499" s="901">
        <f>GLOBAL_DER_FEV_2023!I499</f>
        <v>0</v>
      </c>
      <c r="J499" s="902">
        <f>GLOBAL_DER_FEV_2023!J499</f>
        <v>0</v>
      </c>
      <c r="K499" s="903" t="s">
        <v>507</v>
      </c>
      <c r="L499" s="1003"/>
      <c r="M499" s="1157">
        <f t="shared" si="52"/>
        <v>0</v>
      </c>
      <c r="N499" s="893">
        <f t="shared" si="56"/>
        <v>0</v>
      </c>
      <c r="O499" s="905"/>
      <c r="P499" s="58" t="str">
        <f>IF(N498&gt;0,"xx",IF(N498&gt;0,"xy",""))</f>
        <v/>
      </c>
      <c r="Q499" s="317" t="str">
        <f t="shared" si="53"/>
        <v/>
      </c>
      <c r="R499" s="317" t="str">
        <f t="shared" si="54"/>
        <v/>
      </c>
      <c r="S499" s="317" t="str">
        <f t="shared" si="55"/>
        <v/>
      </c>
      <c r="T499" s="317" t="str">
        <f>GLOBAL_DER_FEV_2023!S499</f>
        <v/>
      </c>
      <c r="W499" s="582">
        <v>0</v>
      </c>
      <c r="X499" s="580"/>
      <c r="Y499" s="583">
        <f>IF(GLOBAL_DER_FEV_2023!W499=0,0,IF(GLOBAL_DER_FEV_2023!W499&gt;0,"c","b"))</f>
        <v>0</v>
      </c>
    </row>
    <row r="500" spans="1:25" x14ac:dyDescent="0.2">
      <c r="A500" s="317" t="s">
        <v>147</v>
      </c>
      <c r="B500" s="895" t="s">
        <v>147</v>
      </c>
      <c r="C500" s="896"/>
      <c r="D500" s="957" t="s">
        <v>230</v>
      </c>
      <c r="E500" s="907">
        <f>GLOBAL_DER_FEV_2023!E500</f>
        <v>353</v>
      </c>
      <c r="F500" s="908">
        <f>GLOBAL_DER_FEV_2023!F500</f>
        <v>1.4999999999999999E-2</v>
      </c>
      <c r="G500" s="909">
        <f>GLOBAL_DER_FEV_2023!G500</f>
        <v>4.2473999999999998</v>
      </c>
      <c r="H500" s="901">
        <f>GLOBAL_DER_FEV_2023!H500</f>
        <v>0</v>
      </c>
      <c r="I500" s="901">
        <f>GLOBAL_DER_FEV_2023!I500</f>
        <v>0</v>
      </c>
      <c r="J500" s="902">
        <f>GLOBAL_DER_FEV_2023!J500</f>
        <v>0</v>
      </c>
      <c r="K500" s="903" t="s">
        <v>507</v>
      </c>
      <c r="L500" s="1003"/>
      <c r="M500" s="1157">
        <f t="shared" si="52"/>
        <v>0</v>
      </c>
      <c r="N500" s="893">
        <f t="shared" si="56"/>
        <v>0</v>
      </c>
      <c r="O500" s="905"/>
      <c r="P500" s="58" t="str">
        <f>IF(N498&gt;0,"xx",IF(N498&gt;0,"xy",""))</f>
        <v/>
      </c>
      <c r="Q500" s="317" t="str">
        <f t="shared" si="53"/>
        <v/>
      </c>
      <c r="R500" s="317" t="str">
        <f t="shared" si="54"/>
        <v/>
      </c>
      <c r="S500" s="317" t="str">
        <f t="shared" si="55"/>
        <v/>
      </c>
      <c r="T500" s="317" t="str">
        <f>GLOBAL_DER_FEV_2023!S500</f>
        <v/>
      </c>
      <c r="W500" s="582">
        <v>0</v>
      </c>
      <c r="X500" s="580"/>
      <c r="Y500" s="583">
        <f>IF(GLOBAL_DER_FEV_2023!W500=0,0,IF(GLOBAL_DER_FEV_2023!W500&gt;0,"c","b"))</f>
        <v>0</v>
      </c>
    </row>
    <row r="501" spans="1:25" x14ac:dyDescent="0.2">
      <c r="A501" s="317" t="s">
        <v>147</v>
      </c>
      <c r="B501" s="895" t="s">
        <v>147</v>
      </c>
      <c r="C501" s="896"/>
      <c r="D501" s="957" t="s">
        <v>243</v>
      </c>
      <c r="E501" s="907">
        <f>GLOBAL_DER_FEV_2023!E501</f>
        <v>0.2</v>
      </c>
      <c r="F501" s="908">
        <f>GLOBAL_DER_FEV_2023!F501</f>
        <v>0.82499999999999996</v>
      </c>
      <c r="G501" s="949">
        <f>GLOBAL_DER_FEV_2023!G501</f>
        <v>2.3875500000000001</v>
      </c>
      <c r="H501" s="901">
        <f>GLOBAL_DER_FEV_2023!H501</f>
        <v>0</v>
      </c>
      <c r="I501" s="901">
        <f>GLOBAL_DER_FEV_2023!I501</f>
        <v>0</v>
      </c>
      <c r="J501" s="902">
        <f>GLOBAL_DER_FEV_2023!J501</f>
        <v>0</v>
      </c>
      <c r="K501" s="903" t="s">
        <v>507</v>
      </c>
      <c r="L501" s="1003"/>
      <c r="M501" s="1157">
        <f t="shared" si="52"/>
        <v>0</v>
      </c>
      <c r="N501" s="893">
        <f t="shared" si="56"/>
        <v>0</v>
      </c>
      <c r="O501" s="905"/>
      <c r="P501" s="58" t="str">
        <f>IF(N498&gt;0,"xx",IF(N498&gt;0,"xy",""))</f>
        <v/>
      </c>
      <c r="Q501" s="317" t="str">
        <f t="shared" si="53"/>
        <v/>
      </c>
      <c r="R501" s="317" t="str">
        <f t="shared" si="54"/>
        <v/>
      </c>
      <c r="S501" s="317" t="str">
        <f t="shared" si="55"/>
        <v/>
      </c>
      <c r="T501" s="317" t="str">
        <f>GLOBAL_DER_FEV_2023!S501</f>
        <v/>
      </c>
      <c r="W501" s="582">
        <v>0</v>
      </c>
      <c r="X501" s="580"/>
      <c r="Y501" s="583">
        <f>IF(GLOBAL_DER_FEV_2023!W501=0,0,IF(GLOBAL_DER_FEV_2023!W501&gt;0,"c","b"))</f>
        <v>0</v>
      </c>
    </row>
    <row r="502" spans="1:25" x14ac:dyDescent="0.2">
      <c r="A502" s="317" t="s">
        <v>147</v>
      </c>
      <c r="B502" s="895" t="s">
        <v>147</v>
      </c>
      <c r="C502" s="896"/>
      <c r="D502" s="957" t="s">
        <v>244</v>
      </c>
      <c r="E502" s="907">
        <f>GLOBAL_DER_FEV_2023!E502</f>
        <v>22</v>
      </c>
      <c r="F502" s="908">
        <f>GLOBAL_DER_FEV_2023!F502</f>
        <v>1</v>
      </c>
      <c r="G502" s="912">
        <f>GLOBAL_DER_FEV_2023!G502</f>
        <v>29.990000000000002</v>
      </c>
      <c r="H502" s="901">
        <f>GLOBAL_DER_FEV_2023!H502</f>
        <v>0</v>
      </c>
      <c r="I502" s="901">
        <f>GLOBAL_DER_FEV_2023!I502</f>
        <v>0</v>
      </c>
      <c r="J502" s="902">
        <f>GLOBAL_DER_FEV_2023!J502</f>
        <v>0</v>
      </c>
      <c r="K502" s="903" t="s">
        <v>507</v>
      </c>
      <c r="L502" s="1003"/>
      <c r="M502" s="1157">
        <f t="shared" si="52"/>
        <v>0</v>
      </c>
      <c r="N502" s="893">
        <f t="shared" si="56"/>
        <v>0</v>
      </c>
      <c r="O502" s="905"/>
      <c r="P502" s="58" t="str">
        <f>IF(N498&gt;0,"xx",IF(N498&gt;0,"xy",""))</f>
        <v/>
      </c>
      <c r="Q502" s="317" t="str">
        <f t="shared" si="53"/>
        <v/>
      </c>
      <c r="R502" s="317" t="str">
        <f t="shared" si="54"/>
        <v/>
      </c>
      <c r="S502" s="317" t="str">
        <f t="shared" si="55"/>
        <v/>
      </c>
      <c r="T502" s="317" t="str">
        <f>GLOBAL_DER_FEV_2023!S502</f>
        <v/>
      </c>
      <c r="W502" s="582">
        <v>0</v>
      </c>
      <c r="X502" s="580"/>
      <c r="Y502" s="583">
        <f>IF(GLOBAL_DER_FEV_2023!W502=0,0,IF(GLOBAL_DER_FEV_2023!W502&gt;0,"c","b"))</f>
        <v>0</v>
      </c>
    </row>
    <row r="503" spans="1:25" ht="13.5" thickBot="1" x14ac:dyDescent="0.25">
      <c r="A503" s="317">
        <v>589050</v>
      </c>
      <c r="B503" s="1004">
        <v>589050</v>
      </c>
      <c r="C503" s="984" t="s">
        <v>213</v>
      </c>
      <c r="D503" s="1012" t="s">
        <v>1900</v>
      </c>
      <c r="E503" s="1005">
        <f>GLOBAL_DER_FEV_2023!E503</f>
        <v>45</v>
      </c>
      <c r="F503" s="1006">
        <f>GLOBAL_DER_FEV_2023!F503</f>
        <v>1</v>
      </c>
      <c r="G503" s="949">
        <f>GLOBAL_DER_FEV_2023!G503</f>
        <v>88.36</v>
      </c>
      <c r="H503" s="988">
        <f>GLOBAL_DER_FEV_2023!H503</f>
        <v>5201.1000000000004</v>
      </c>
      <c r="I503" s="988">
        <f>GLOBAL_DER_FEV_2023!I503</f>
        <v>5081.9704605646712</v>
      </c>
      <c r="J503" s="989">
        <f>GLOBAL_DER_FEV_2023!J503</f>
        <v>6101.92</v>
      </c>
      <c r="K503" s="990" t="s">
        <v>14</v>
      </c>
      <c r="L503" s="1154">
        <f>ROUND(L498*$F498,2)</f>
        <v>0</v>
      </c>
      <c r="M503" s="1159">
        <f t="shared" si="52"/>
        <v>0</v>
      </c>
      <c r="N503" s="993">
        <f t="shared" si="56"/>
        <v>0</v>
      </c>
      <c r="O503" s="905"/>
      <c r="P503" s="58" t="str">
        <f>IF(N498&gt;0,"xx",IF(N498&gt;0,"xy",""))</f>
        <v/>
      </c>
      <c r="Q503" s="317" t="str">
        <f t="shared" si="53"/>
        <v/>
      </c>
      <c r="R503" s="317" t="str">
        <f t="shared" si="54"/>
        <v/>
      </c>
      <c r="S503" s="317" t="str">
        <f t="shared" si="55"/>
        <v/>
      </c>
      <c r="T503" s="317" t="str">
        <f>GLOBAL_DER_FEV_2023!S503</f>
        <v/>
      </c>
      <c r="W503" s="582">
        <v>0</v>
      </c>
      <c r="X503" s="580"/>
      <c r="Y503" s="583">
        <f>IF(GLOBAL_DER_FEV_2023!W503=0,0,IF(GLOBAL_DER_FEV_2023!W503&gt;0,"c","b"))</f>
        <v>0</v>
      </c>
    </row>
    <row r="504" spans="1:25" x14ac:dyDescent="0.2">
      <c r="A504" s="317">
        <v>502615</v>
      </c>
      <c r="B504" s="999">
        <v>502615</v>
      </c>
      <c r="C504" s="1000" t="s">
        <v>184</v>
      </c>
      <c r="D504" s="973" t="s">
        <v>1931</v>
      </c>
      <c r="E504" s="974">
        <f>GLOBAL_DER_FEV_2023!E504</f>
        <v>0</v>
      </c>
      <c r="F504" s="975">
        <f>GLOBAL_DER_FEV_2023!F504</f>
        <v>0</v>
      </c>
      <c r="G504" s="976">
        <f>GLOBAL_DER_FEV_2023!G504</f>
        <v>256.41471000000007</v>
      </c>
      <c r="H504" s="977">
        <f>GLOBAL_DER_FEV_2023!H504</f>
        <v>307.27999999999997</v>
      </c>
      <c r="I504" s="977">
        <f>GLOBAL_DER_FEV_2023!I504</f>
        <v>563.69470999999999</v>
      </c>
      <c r="J504" s="978">
        <f>GLOBAL_DER_FEV_2023!J504</f>
        <v>676.83</v>
      </c>
      <c r="K504" s="979" t="s">
        <v>10</v>
      </c>
      <c r="L504" s="1152"/>
      <c r="M504" s="1153">
        <f t="shared" si="52"/>
        <v>0</v>
      </c>
      <c r="N504" s="982">
        <f t="shared" si="56"/>
        <v>0</v>
      </c>
      <c r="O504" s="905"/>
      <c r="Q504" s="317" t="str">
        <f t="shared" si="53"/>
        <v/>
      </c>
      <c r="R504" s="317" t="str">
        <f t="shared" si="54"/>
        <v/>
      </c>
      <c r="S504" s="317" t="str">
        <f t="shared" si="55"/>
        <v/>
      </c>
      <c r="T504" s="317" t="str">
        <f>GLOBAL_DER_FEV_2023!S504</f>
        <v/>
      </c>
      <c r="W504" s="582">
        <v>0</v>
      </c>
      <c r="X504" s="580"/>
      <c r="Y504" s="583">
        <f>IF(GLOBAL_DER_FEV_2023!W504=0,0,IF(GLOBAL_DER_FEV_2023!W504&gt;0,"c","b"))</f>
        <v>0</v>
      </c>
    </row>
    <row r="505" spans="1:25" x14ac:dyDescent="0.2">
      <c r="A505" s="317" t="s">
        <v>147</v>
      </c>
      <c r="B505" s="895" t="s">
        <v>147</v>
      </c>
      <c r="C505" s="896"/>
      <c r="D505" s="957" t="s">
        <v>190</v>
      </c>
      <c r="E505" s="907">
        <f>GLOBAL_DER_FEV_2023!E505</f>
        <v>308</v>
      </c>
      <c r="F505" s="908">
        <f>GLOBAL_DER_FEV_2023!F505</f>
        <v>0.33</v>
      </c>
      <c r="G505" s="909">
        <f>GLOBAL_DER_FEV_2023!G505</f>
        <v>81.859800000000007</v>
      </c>
      <c r="H505" s="901">
        <f>GLOBAL_DER_FEV_2023!H505</f>
        <v>0</v>
      </c>
      <c r="I505" s="901">
        <f>GLOBAL_DER_FEV_2023!I505</f>
        <v>0</v>
      </c>
      <c r="J505" s="902">
        <f>GLOBAL_DER_FEV_2023!J505</f>
        <v>0</v>
      </c>
      <c r="K505" s="958" t="s">
        <v>507</v>
      </c>
      <c r="L505" s="959"/>
      <c r="M505" s="1157">
        <f t="shared" si="52"/>
        <v>0</v>
      </c>
      <c r="N505" s="893">
        <f t="shared" si="56"/>
        <v>0</v>
      </c>
      <c r="O505" s="905"/>
      <c r="P505" s="58" t="str">
        <f>IF(N504&gt;0,"xx",IF(N504&gt;0,"xy",""))</f>
        <v/>
      </c>
      <c r="Q505" s="317" t="str">
        <f t="shared" si="53"/>
        <v/>
      </c>
      <c r="R505" s="317" t="str">
        <f t="shared" si="54"/>
        <v/>
      </c>
      <c r="S505" s="317" t="str">
        <f t="shared" si="55"/>
        <v/>
      </c>
      <c r="T505" s="317" t="str">
        <f>GLOBAL_DER_FEV_2023!S505</f>
        <v/>
      </c>
      <c r="W505" s="582">
        <v>0</v>
      </c>
      <c r="X505" s="580"/>
      <c r="Y505" s="583">
        <f>IF(GLOBAL_DER_FEV_2023!W505=0,0,IF(GLOBAL_DER_FEV_2023!W505&gt;0,"c","b"))</f>
        <v>0</v>
      </c>
    </row>
    <row r="506" spans="1:25" x14ac:dyDescent="0.2">
      <c r="A506" s="317" t="s">
        <v>147</v>
      </c>
      <c r="B506" s="895" t="s">
        <v>147</v>
      </c>
      <c r="C506" s="896"/>
      <c r="D506" s="957" t="s">
        <v>229</v>
      </c>
      <c r="E506" s="907">
        <f>GLOBAL_DER_FEV_2023!E506</f>
        <v>165</v>
      </c>
      <c r="F506" s="908">
        <f>GLOBAL_DER_FEV_2023!F506</f>
        <v>0.92100000000000004</v>
      </c>
      <c r="G506" s="949">
        <f>GLOBAL_DER_FEV_2023!G506</f>
        <v>165.07083000000003</v>
      </c>
      <c r="H506" s="901">
        <f>GLOBAL_DER_FEV_2023!H506</f>
        <v>0</v>
      </c>
      <c r="I506" s="901">
        <f>GLOBAL_DER_FEV_2023!I506</f>
        <v>0</v>
      </c>
      <c r="J506" s="902">
        <f>GLOBAL_DER_FEV_2023!J506</f>
        <v>0</v>
      </c>
      <c r="K506" s="958" t="s">
        <v>507</v>
      </c>
      <c r="L506" s="959"/>
      <c r="M506" s="1157">
        <f t="shared" si="52"/>
        <v>0</v>
      </c>
      <c r="N506" s="893">
        <f t="shared" si="56"/>
        <v>0</v>
      </c>
      <c r="O506" s="905"/>
      <c r="P506" s="58" t="str">
        <f>IF(N504&gt;0,"xx",IF(N504&gt;0,"xy",""))</f>
        <v/>
      </c>
      <c r="Q506" s="317" t="str">
        <f t="shared" si="53"/>
        <v/>
      </c>
      <c r="R506" s="317" t="str">
        <f t="shared" si="54"/>
        <v/>
      </c>
      <c r="S506" s="317" t="str">
        <f t="shared" si="55"/>
        <v/>
      </c>
      <c r="T506" s="317" t="str">
        <f>GLOBAL_DER_FEV_2023!S506</f>
        <v/>
      </c>
      <c r="W506" s="582">
        <v>0</v>
      </c>
      <c r="X506" s="580"/>
      <c r="Y506" s="583">
        <f>IF(GLOBAL_DER_FEV_2023!W506=0,0,IF(GLOBAL_DER_FEV_2023!W506&gt;0,"c","b"))</f>
        <v>0</v>
      </c>
    </row>
    <row r="507" spans="1:25" x14ac:dyDescent="0.2">
      <c r="A507" s="317" t="s">
        <v>147</v>
      </c>
      <c r="B507" s="895" t="s">
        <v>147</v>
      </c>
      <c r="C507" s="896"/>
      <c r="D507" s="957" t="s">
        <v>233</v>
      </c>
      <c r="E507" s="907">
        <f>GLOBAL_DER_FEV_2023!E507</f>
        <v>0.2</v>
      </c>
      <c r="F507" s="908">
        <f>GLOBAL_DER_FEV_2023!F507</f>
        <v>1.1000000000000001</v>
      </c>
      <c r="G507" s="949">
        <f>GLOBAL_DER_FEV_2023!G507</f>
        <v>3.1834000000000002</v>
      </c>
      <c r="H507" s="901">
        <f>GLOBAL_DER_FEV_2023!H507</f>
        <v>0</v>
      </c>
      <c r="I507" s="901">
        <f>GLOBAL_DER_FEV_2023!I507</f>
        <v>0</v>
      </c>
      <c r="J507" s="902">
        <f>GLOBAL_DER_FEV_2023!J507</f>
        <v>0</v>
      </c>
      <c r="K507" s="958" t="s">
        <v>507</v>
      </c>
      <c r="L507" s="959"/>
      <c r="M507" s="1157">
        <f t="shared" si="52"/>
        <v>0</v>
      </c>
      <c r="N507" s="893">
        <f t="shared" si="56"/>
        <v>0</v>
      </c>
      <c r="O507" s="905"/>
      <c r="P507" s="58" t="str">
        <f>IF(N504&gt;0,"xx",IF(N504&gt;0,"xy",""))</f>
        <v/>
      </c>
      <c r="Q507" s="317" t="str">
        <f t="shared" si="53"/>
        <v/>
      </c>
      <c r="R507" s="317" t="str">
        <f t="shared" si="54"/>
        <v/>
      </c>
      <c r="S507" s="317" t="str">
        <f t="shared" si="55"/>
        <v/>
      </c>
      <c r="T507" s="317" t="str">
        <f>GLOBAL_DER_FEV_2023!S507</f>
        <v/>
      </c>
      <c r="W507" s="582">
        <v>0</v>
      </c>
      <c r="X507" s="580"/>
      <c r="Y507" s="583">
        <f>IF(GLOBAL_DER_FEV_2023!W507=0,0,IF(GLOBAL_DER_FEV_2023!W507&gt;0,"c","b"))</f>
        <v>0</v>
      </c>
    </row>
    <row r="508" spans="1:25" x14ac:dyDescent="0.2">
      <c r="A508" s="317" t="s">
        <v>147</v>
      </c>
      <c r="B508" s="895" t="s">
        <v>147</v>
      </c>
      <c r="C508" s="896"/>
      <c r="D508" s="957" t="s">
        <v>244</v>
      </c>
      <c r="E508" s="907">
        <f>GLOBAL_DER_FEV_2023!E508</f>
        <v>0</v>
      </c>
      <c r="F508" s="908">
        <f>GLOBAL_DER_FEV_2023!F508</f>
        <v>2.351</v>
      </c>
      <c r="G508" s="912">
        <f>GLOBAL_DER_FEV_2023!G508</f>
        <v>6.3006800000000007</v>
      </c>
      <c r="H508" s="901">
        <f>GLOBAL_DER_FEV_2023!H508</f>
        <v>0</v>
      </c>
      <c r="I508" s="901">
        <f>GLOBAL_DER_FEV_2023!I508</f>
        <v>0</v>
      </c>
      <c r="J508" s="902">
        <f>GLOBAL_DER_FEV_2023!J508</f>
        <v>0</v>
      </c>
      <c r="K508" s="903" t="s">
        <v>507</v>
      </c>
      <c r="L508" s="1003"/>
      <c r="M508" s="1157">
        <f t="shared" si="52"/>
        <v>0</v>
      </c>
      <c r="N508" s="893">
        <f t="shared" si="56"/>
        <v>0</v>
      </c>
      <c r="O508" s="905"/>
      <c r="P508" s="58" t="str">
        <f>IF(N504&gt;0,"xx",IF(N504&gt;0,"xy",""))</f>
        <v/>
      </c>
      <c r="Q508" s="317" t="str">
        <f t="shared" si="53"/>
        <v/>
      </c>
      <c r="R508" s="317" t="str">
        <f t="shared" si="54"/>
        <v/>
      </c>
      <c r="S508" s="317" t="str">
        <f t="shared" si="55"/>
        <v/>
      </c>
      <c r="T508" s="317" t="str">
        <f>GLOBAL_DER_FEV_2023!S508</f>
        <v/>
      </c>
      <c r="W508" s="582">
        <v>0</v>
      </c>
      <c r="X508" s="580"/>
      <c r="Y508" s="583">
        <f>IF(GLOBAL_DER_FEV_2023!W508=0,0,IF(GLOBAL_DER_FEV_2023!W508&gt;0,"c","b"))</f>
        <v>0</v>
      </c>
    </row>
    <row r="509" spans="1:25" x14ac:dyDescent="0.2">
      <c r="A509" s="317">
        <v>502605</v>
      </c>
      <c r="B509" s="895">
        <v>502605</v>
      </c>
      <c r="C509" s="896" t="s">
        <v>184</v>
      </c>
      <c r="D509" s="906" t="s">
        <v>1932</v>
      </c>
      <c r="E509" s="907">
        <f>GLOBAL_DER_FEV_2023!E509</f>
        <v>0</v>
      </c>
      <c r="F509" s="908">
        <f>GLOBAL_DER_FEV_2023!F509</f>
        <v>0</v>
      </c>
      <c r="G509" s="949">
        <f>GLOBAL_DER_FEV_2023!G509</f>
        <v>194.48190000000002</v>
      </c>
      <c r="H509" s="901">
        <f>GLOBAL_DER_FEV_2023!H509</f>
        <v>182.71</v>
      </c>
      <c r="I509" s="901">
        <f>GLOBAL_DER_FEV_2023!I509</f>
        <v>377.19190000000003</v>
      </c>
      <c r="J509" s="902">
        <f>GLOBAL_DER_FEV_2023!J509</f>
        <v>452.89</v>
      </c>
      <c r="K509" s="903" t="s">
        <v>10</v>
      </c>
      <c r="L509" s="1139"/>
      <c r="M509" s="1140">
        <f t="shared" si="52"/>
        <v>0</v>
      </c>
      <c r="N509" s="893">
        <f t="shared" si="56"/>
        <v>0</v>
      </c>
      <c r="O509" s="905"/>
      <c r="Q509" s="317" t="str">
        <f t="shared" si="53"/>
        <v/>
      </c>
      <c r="R509" s="317" t="str">
        <f t="shared" si="54"/>
        <v/>
      </c>
      <c r="S509" s="317" t="str">
        <f t="shared" si="55"/>
        <v/>
      </c>
      <c r="T509" s="317" t="str">
        <f>GLOBAL_DER_FEV_2023!S509</f>
        <v/>
      </c>
      <c r="W509" s="582">
        <v>0</v>
      </c>
      <c r="X509" s="580"/>
      <c r="Y509" s="583">
        <f>IF(GLOBAL_DER_FEV_2023!W509=0,0,IF(GLOBAL_DER_FEV_2023!W509&gt;0,"c","b"))</f>
        <v>0</v>
      </c>
    </row>
    <row r="510" spans="1:25" x14ac:dyDescent="0.2">
      <c r="A510" s="317" t="s">
        <v>147</v>
      </c>
      <c r="B510" s="895" t="s">
        <v>147</v>
      </c>
      <c r="C510" s="896"/>
      <c r="D510" s="957" t="s">
        <v>190</v>
      </c>
      <c r="E510" s="907">
        <f>GLOBAL_DER_FEV_2023!E510</f>
        <v>308</v>
      </c>
      <c r="F510" s="908">
        <f>GLOBAL_DER_FEV_2023!F510</f>
        <v>0.12</v>
      </c>
      <c r="G510" s="909">
        <f>GLOBAL_DER_FEV_2023!G510</f>
        <v>29.767199999999999</v>
      </c>
      <c r="H510" s="901">
        <f>GLOBAL_DER_FEV_2023!H510</f>
        <v>0</v>
      </c>
      <c r="I510" s="901">
        <f>GLOBAL_DER_FEV_2023!I510</f>
        <v>0</v>
      </c>
      <c r="J510" s="902">
        <f>GLOBAL_DER_FEV_2023!J510</f>
        <v>0</v>
      </c>
      <c r="K510" s="958" t="s">
        <v>507</v>
      </c>
      <c r="L510" s="959"/>
      <c r="M510" s="1157">
        <f t="shared" si="52"/>
        <v>0</v>
      </c>
      <c r="N510" s="893">
        <f t="shared" si="56"/>
        <v>0</v>
      </c>
      <c r="O510" s="905"/>
      <c r="P510" s="58" t="str">
        <f>IF(N509&gt;0,"xx",IF(N509&gt;0,"xy",""))</f>
        <v/>
      </c>
      <c r="Q510" s="317" t="str">
        <f t="shared" si="53"/>
        <v/>
      </c>
      <c r="R510" s="317" t="str">
        <f t="shared" si="54"/>
        <v/>
      </c>
      <c r="S510" s="317" t="str">
        <f t="shared" si="55"/>
        <v/>
      </c>
      <c r="T510" s="317" t="str">
        <f>GLOBAL_DER_FEV_2023!S510</f>
        <v/>
      </c>
      <c r="W510" s="582">
        <v>0</v>
      </c>
      <c r="X510" s="580"/>
      <c r="Y510" s="583">
        <f>IF(GLOBAL_DER_FEV_2023!W510=0,0,IF(GLOBAL_DER_FEV_2023!W510&gt;0,"c","b"))</f>
        <v>0</v>
      </c>
    </row>
    <row r="511" spans="1:25" x14ac:dyDescent="0.2">
      <c r="A511" s="317" t="s">
        <v>147</v>
      </c>
      <c r="B511" s="895" t="s">
        <v>147</v>
      </c>
      <c r="C511" s="896"/>
      <c r="D511" s="957" t="s">
        <v>229</v>
      </c>
      <c r="E511" s="907">
        <f>GLOBAL_DER_FEV_2023!E511</f>
        <v>165</v>
      </c>
      <c r="F511" s="908">
        <f>GLOBAL_DER_FEV_2023!F511</f>
        <v>0.87</v>
      </c>
      <c r="G511" s="949">
        <f>GLOBAL_DER_FEV_2023!G511</f>
        <v>155.93010000000001</v>
      </c>
      <c r="H511" s="901">
        <f>GLOBAL_DER_FEV_2023!H511</f>
        <v>0</v>
      </c>
      <c r="I511" s="901">
        <f>GLOBAL_DER_FEV_2023!I511</f>
        <v>0</v>
      </c>
      <c r="J511" s="902">
        <f>GLOBAL_DER_FEV_2023!J511</f>
        <v>0</v>
      </c>
      <c r="K511" s="958" t="s">
        <v>507</v>
      </c>
      <c r="L511" s="959"/>
      <c r="M511" s="1157">
        <f t="shared" si="52"/>
        <v>0</v>
      </c>
      <c r="N511" s="893">
        <f t="shared" si="56"/>
        <v>0</v>
      </c>
      <c r="O511" s="905"/>
      <c r="P511" s="58" t="str">
        <f>IF(N509&gt;0,"xx",IF(N509&gt;0,"xy",""))</f>
        <v/>
      </c>
      <c r="Q511" s="317" t="str">
        <f t="shared" si="53"/>
        <v/>
      </c>
      <c r="R511" s="317" t="str">
        <f t="shared" si="54"/>
        <v/>
      </c>
      <c r="S511" s="317" t="str">
        <f t="shared" si="55"/>
        <v/>
      </c>
      <c r="T511" s="317" t="str">
        <f>GLOBAL_DER_FEV_2023!S511</f>
        <v/>
      </c>
      <c r="W511" s="582">
        <v>0</v>
      </c>
      <c r="X511" s="580"/>
      <c r="Y511" s="583">
        <f>IF(GLOBAL_DER_FEV_2023!W511=0,0,IF(GLOBAL_DER_FEV_2023!W511&gt;0,"c","b"))</f>
        <v>0</v>
      </c>
    </row>
    <row r="512" spans="1:25" x14ac:dyDescent="0.2">
      <c r="A512" s="317" t="s">
        <v>147</v>
      </c>
      <c r="B512" s="895" t="s">
        <v>147</v>
      </c>
      <c r="C512" s="896"/>
      <c r="D512" s="957" t="s">
        <v>233</v>
      </c>
      <c r="E512" s="907">
        <f>GLOBAL_DER_FEV_2023!E512</f>
        <v>0.2</v>
      </c>
      <c r="F512" s="908">
        <f>GLOBAL_DER_FEV_2023!F512</f>
        <v>1.1000000000000001</v>
      </c>
      <c r="G512" s="949">
        <f>GLOBAL_DER_FEV_2023!G512</f>
        <v>3.1834000000000002</v>
      </c>
      <c r="H512" s="901">
        <f>GLOBAL_DER_FEV_2023!H512</f>
        <v>0</v>
      </c>
      <c r="I512" s="901">
        <f>GLOBAL_DER_FEV_2023!I512</f>
        <v>0</v>
      </c>
      <c r="J512" s="902">
        <f>GLOBAL_DER_FEV_2023!J512</f>
        <v>0</v>
      </c>
      <c r="K512" s="958" t="s">
        <v>507</v>
      </c>
      <c r="L512" s="959"/>
      <c r="M512" s="1157">
        <f t="shared" si="52"/>
        <v>0</v>
      </c>
      <c r="N512" s="893">
        <f t="shared" si="56"/>
        <v>0</v>
      </c>
      <c r="O512" s="905"/>
      <c r="P512" s="58" t="str">
        <f>IF(N509&gt;0,"xx",IF(N509&gt;0,"xy",""))</f>
        <v/>
      </c>
      <c r="Q512" s="317" t="str">
        <f t="shared" si="53"/>
        <v/>
      </c>
      <c r="R512" s="317" t="str">
        <f t="shared" si="54"/>
        <v/>
      </c>
      <c r="S512" s="317" t="str">
        <f t="shared" si="55"/>
        <v/>
      </c>
      <c r="T512" s="317" t="str">
        <f>GLOBAL_DER_FEV_2023!S512</f>
        <v/>
      </c>
      <c r="W512" s="582">
        <v>0</v>
      </c>
      <c r="X512" s="580"/>
      <c r="Y512" s="583">
        <f>IF(GLOBAL_DER_FEV_2023!W512=0,0,IF(GLOBAL_DER_FEV_2023!W512&gt;0,"c","b"))</f>
        <v>0</v>
      </c>
    </row>
    <row r="513" spans="1:25" x14ac:dyDescent="0.2">
      <c r="A513" s="317" t="s">
        <v>147</v>
      </c>
      <c r="B513" s="895" t="s">
        <v>147</v>
      </c>
      <c r="C513" s="896"/>
      <c r="D513" s="957" t="s">
        <v>244</v>
      </c>
      <c r="E513" s="907">
        <f>GLOBAL_DER_FEV_2023!E513</f>
        <v>0</v>
      </c>
      <c r="F513" s="908">
        <f>GLOBAL_DER_FEV_2023!F513</f>
        <v>2.09</v>
      </c>
      <c r="G513" s="912">
        <f>GLOBAL_DER_FEV_2023!G513</f>
        <v>5.6011999999999995</v>
      </c>
      <c r="H513" s="901">
        <f>GLOBAL_DER_FEV_2023!H513</f>
        <v>0</v>
      </c>
      <c r="I513" s="901">
        <f>GLOBAL_DER_FEV_2023!I513</f>
        <v>0</v>
      </c>
      <c r="J513" s="902">
        <f>GLOBAL_DER_FEV_2023!J513</f>
        <v>0</v>
      </c>
      <c r="K513" s="903" t="s">
        <v>507</v>
      </c>
      <c r="L513" s="1003"/>
      <c r="M513" s="1157">
        <f t="shared" si="52"/>
        <v>0</v>
      </c>
      <c r="N513" s="893">
        <f t="shared" si="56"/>
        <v>0</v>
      </c>
      <c r="O513" s="905"/>
      <c r="P513" s="58" t="str">
        <f>IF(N509&gt;0,"xx",IF(N509&gt;0,"xy",""))</f>
        <v/>
      </c>
      <c r="Q513" s="317" t="str">
        <f t="shared" si="53"/>
        <v/>
      </c>
      <c r="R513" s="317" t="str">
        <f t="shared" si="54"/>
        <v/>
      </c>
      <c r="S513" s="317" t="str">
        <f t="shared" si="55"/>
        <v/>
      </c>
      <c r="T513" s="317" t="str">
        <f>GLOBAL_DER_FEV_2023!S513</f>
        <v/>
      </c>
      <c r="W513" s="582">
        <v>0</v>
      </c>
      <c r="X513" s="580"/>
      <c r="Y513" s="583">
        <f>IF(GLOBAL_DER_FEV_2023!W513=0,0,IF(GLOBAL_DER_FEV_2023!W513&gt;0,"c","b"))</f>
        <v>0</v>
      </c>
    </row>
    <row r="514" spans="1:25" x14ac:dyDescent="0.2">
      <c r="A514" s="317">
        <v>505185</v>
      </c>
      <c r="B514" s="895">
        <v>505185</v>
      </c>
      <c r="C514" s="896" t="s">
        <v>184</v>
      </c>
      <c r="D514" s="906" t="s">
        <v>1933</v>
      </c>
      <c r="E514" s="907">
        <f>GLOBAL_DER_FEV_2023!E514</f>
        <v>0</v>
      </c>
      <c r="F514" s="908">
        <f>GLOBAL_DER_FEV_2023!F514</f>
        <v>0</v>
      </c>
      <c r="G514" s="949">
        <f>GLOBAL_DER_FEV_2023!G514</f>
        <v>296.94944000000004</v>
      </c>
      <c r="H514" s="901">
        <f>GLOBAL_DER_FEV_2023!H514</f>
        <v>238.23</v>
      </c>
      <c r="I514" s="901">
        <f>GLOBAL_DER_FEV_2023!I514</f>
        <v>535.17944</v>
      </c>
      <c r="J514" s="902">
        <f>GLOBAL_DER_FEV_2023!J514</f>
        <v>642.59</v>
      </c>
      <c r="K514" s="903" t="s">
        <v>10</v>
      </c>
      <c r="L514" s="1139"/>
      <c r="M514" s="1140">
        <f t="shared" si="52"/>
        <v>0</v>
      </c>
      <c r="N514" s="893">
        <f t="shared" si="56"/>
        <v>0</v>
      </c>
      <c r="O514" s="905"/>
      <c r="Q514" s="317" t="str">
        <f t="shared" si="53"/>
        <v/>
      </c>
      <c r="R514" s="317" t="str">
        <f t="shared" si="54"/>
        <v/>
      </c>
      <c r="S514" s="317" t="str">
        <f t="shared" si="55"/>
        <v/>
      </c>
      <c r="T514" s="317" t="str">
        <f>GLOBAL_DER_FEV_2023!S514</f>
        <v/>
      </c>
      <c r="W514" s="582">
        <v>0</v>
      </c>
      <c r="X514" s="580"/>
      <c r="Y514" s="583">
        <f>IF(GLOBAL_DER_FEV_2023!W514=0,0,IF(GLOBAL_DER_FEV_2023!W514&gt;0,"c","b"))</f>
        <v>0</v>
      </c>
    </row>
    <row r="515" spans="1:25" x14ac:dyDescent="0.2">
      <c r="A515" s="317" t="s">
        <v>147</v>
      </c>
      <c r="B515" s="895" t="s">
        <v>147</v>
      </c>
      <c r="C515" s="896"/>
      <c r="D515" s="957" t="s">
        <v>190</v>
      </c>
      <c r="E515" s="907">
        <f>GLOBAL_DER_FEV_2023!E515</f>
        <v>308</v>
      </c>
      <c r="F515" s="908">
        <f>GLOBAL_DER_FEV_2023!F515</f>
        <v>0.18</v>
      </c>
      <c r="G515" s="909">
        <f>GLOBAL_DER_FEV_2023!G515</f>
        <v>44.650799999999997</v>
      </c>
      <c r="H515" s="901">
        <f>GLOBAL_DER_FEV_2023!H515</f>
        <v>0</v>
      </c>
      <c r="I515" s="901">
        <f>GLOBAL_DER_FEV_2023!I515</f>
        <v>0</v>
      </c>
      <c r="J515" s="902">
        <f>GLOBAL_DER_FEV_2023!J515</f>
        <v>0</v>
      </c>
      <c r="K515" s="958" t="s">
        <v>507</v>
      </c>
      <c r="L515" s="959"/>
      <c r="M515" s="1157">
        <f t="shared" si="52"/>
        <v>0</v>
      </c>
      <c r="N515" s="893">
        <f t="shared" si="56"/>
        <v>0</v>
      </c>
      <c r="O515" s="905"/>
      <c r="P515" s="58" t="str">
        <f>IF(N514&gt;0,"xx",IF(N514&gt;0,"xy",""))</f>
        <v/>
      </c>
      <c r="Q515" s="317" t="str">
        <f t="shared" si="53"/>
        <v/>
      </c>
      <c r="R515" s="317" t="str">
        <f t="shared" si="54"/>
        <v/>
      </c>
      <c r="S515" s="317" t="str">
        <f t="shared" si="55"/>
        <v/>
      </c>
      <c r="T515" s="317" t="str">
        <f>GLOBAL_DER_FEV_2023!S515</f>
        <v/>
      </c>
      <c r="W515" s="582">
        <v>0</v>
      </c>
      <c r="X515" s="580"/>
      <c r="Y515" s="583">
        <f>IF(GLOBAL_DER_FEV_2023!W515=0,0,IF(GLOBAL_DER_FEV_2023!W515&gt;0,"c","b"))</f>
        <v>0</v>
      </c>
    </row>
    <row r="516" spans="1:25" x14ac:dyDescent="0.2">
      <c r="A516" s="317" t="s">
        <v>147</v>
      </c>
      <c r="B516" s="895" t="s">
        <v>147</v>
      </c>
      <c r="C516" s="896"/>
      <c r="D516" s="957" t="s">
        <v>229</v>
      </c>
      <c r="E516" s="907">
        <f>GLOBAL_DER_FEV_2023!E516</f>
        <v>165</v>
      </c>
      <c r="F516" s="908">
        <f>GLOBAL_DER_FEV_2023!F516</f>
        <v>1.06</v>
      </c>
      <c r="G516" s="949">
        <f>GLOBAL_DER_FEV_2023!G516</f>
        <v>189.98380000000003</v>
      </c>
      <c r="H516" s="901">
        <f>GLOBAL_DER_FEV_2023!H516</f>
        <v>0</v>
      </c>
      <c r="I516" s="901">
        <f>GLOBAL_DER_FEV_2023!I516</f>
        <v>0</v>
      </c>
      <c r="J516" s="902">
        <f>GLOBAL_DER_FEV_2023!J516</f>
        <v>0</v>
      </c>
      <c r="K516" s="958" t="s">
        <v>507</v>
      </c>
      <c r="L516" s="959"/>
      <c r="M516" s="1157">
        <f t="shared" si="52"/>
        <v>0</v>
      </c>
      <c r="N516" s="893">
        <f t="shared" si="56"/>
        <v>0</v>
      </c>
      <c r="O516" s="905"/>
      <c r="P516" s="58" t="str">
        <f>IF(N514&gt;0,"xx",IF(N514&gt;0,"xy",""))</f>
        <v/>
      </c>
      <c r="Q516" s="317" t="str">
        <f t="shared" si="53"/>
        <v/>
      </c>
      <c r="R516" s="317" t="str">
        <f t="shared" si="54"/>
        <v/>
      </c>
      <c r="S516" s="317" t="str">
        <f t="shared" si="55"/>
        <v/>
      </c>
      <c r="T516" s="317" t="str">
        <f>GLOBAL_DER_FEV_2023!S516</f>
        <v/>
      </c>
      <c r="W516" s="582">
        <v>0</v>
      </c>
      <c r="X516" s="580"/>
      <c r="Y516" s="583">
        <f>IF(GLOBAL_DER_FEV_2023!W516=0,0,IF(GLOBAL_DER_FEV_2023!W516&gt;0,"c","b"))</f>
        <v>0</v>
      </c>
    </row>
    <row r="517" spans="1:25" x14ac:dyDescent="0.2">
      <c r="A517" s="317" t="s">
        <v>147</v>
      </c>
      <c r="B517" s="895" t="s">
        <v>147</v>
      </c>
      <c r="C517" s="896"/>
      <c r="D517" s="957" t="s">
        <v>233</v>
      </c>
      <c r="E517" s="907">
        <f>GLOBAL_DER_FEV_2023!E517</f>
        <v>0.2</v>
      </c>
      <c r="F517" s="908">
        <f>GLOBAL_DER_FEV_2023!F517</f>
        <v>1.1100000000000001</v>
      </c>
      <c r="G517" s="949">
        <f>GLOBAL_DER_FEV_2023!G517</f>
        <v>3.2123400000000006</v>
      </c>
      <c r="H517" s="901">
        <f>GLOBAL_DER_FEV_2023!H517</f>
        <v>0</v>
      </c>
      <c r="I517" s="901">
        <f>GLOBAL_DER_FEV_2023!I517</f>
        <v>0</v>
      </c>
      <c r="J517" s="902">
        <f>GLOBAL_DER_FEV_2023!J517</f>
        <v>0</v>
      </c>
      <c r="K517" s="958" t="s">
        <v>507</v>
      </c>
      <c r="L517" s="959"/>
      <c r="M517" s="1157">
        <f t="shared" si="52"/>
        <v>0</v>
      </c>
      <c r="N517" s="893">
        <f t="shared" si="56"/>
        <v>0</v>
      </c>
      <c r="O517" s="905"/>
      <c r="P517" s="58" t="str">
        <f>IF(N514&gt;0,"xx",IF(N514&gt;0,"xy",""))</f>
        <v/>
      </c>
      <c r="Q517" s="317" t="str">
        <f t="shared" si="53"/>
        <v/>
      </c>
      <c r="R517" s="317" t="str">
        <f t="shared" si="54"/>
        <v/>
      </c>
      <c r="S517" s="317" t="str">
        <f t="shared" si="55"/>
        <v/>
      </c>
      <c r="T517" s="317" t="str">
        <f>GLOBAL_DER_FEV_2023!S517</f>
        <v/>
      </c>
      <c r="W517" s="582">
        <v>0</v>
      </c>
      <c r="X517" s="580"/>
      <c r="Y517" s="583">
        <f>IF(GLOBAL_DER_FEV_2023!W517=0,0,IF(GLOBAL_DER_FEV_2023!W517&gt;0,"c","b"))</f>
        <v>0</v>
      </c>
    </row>
    <row r="518" spans="1:25" x14ac:dyDescent="0.2">
      <c r="A518" s="317" t="s">
        <v>147</v>
      </c>
      <c r="B518" s="895" t="s">
        <v>147</v>
      </c>
      <c r="C518" s="896"/>
      <c r="D518" s="957" t="s">
        <v>244</v>
      </c>
      <c r="E518" s="907">
        <f>GLOBAL_DER_FEV_2023!E518</f>
        <v>21</v>
      </c>
      <c r="F518" s="908">
        <f>GLOBAL_DER_FEV_2023!F518</f>
        <v>2.35</v>
      </c>
      <c r="G518" s="949">
        <f>GLOBAL_DER_FEV_2023!G518</f>
        <v>59.102500000000006</v>
      </c>
      <c r="H518" s="901">
        <f>GLOBAL_DER_FEV_2023!H518</f>
        <v>0</v>
      </c>
      <c r="I518" s="901">
        <f>GLOBAL_DER_FEV_2023!I518</f>
        <v>0</v>
      </c>
      <c r="J518" s="902">
        <f>GLOBAL_DER_FEV_2023!J518</f>
        <v>0</v>
      </c>
      <c r="K518" s="903" t="s">
        <v>507</v>
      </c>
      <c r="L518" s="1003"/>
      <c r="M518" s="1157">
        <f t="shared" si="52"/>
        <v>0</v>
      </c>
      <c r="N518" s="893">
        <f t="shared" si="56"/>
        <v>0</v>
      </c>
      <c r="O518" s="905"/>
      <c r="P518" s="58" t="str">
        <f>IF(N514&gt;0,"xx",IF(N514&gt;0,"xy",""))</f>
        <v/>
      </c>
      <c r="Q518" s="317" t="str">
        <f t="shared" si="53"/>
        <v/>
      </c>
      <c r="R518" s="317" t="str">
        <f t="shared" si="54"/>
        <v/>
      </c>
      <c r="S518" s="317" t="str">
        <f t="shared" si="55"/>
        <v/>
      </c>
      <c r="T518" s="317" t="str">
        <f>GLOBAL_DER_FEV_2023!S518</f>
        <v/>
      </c>
      <c r="W518" s="582">
        <v>0</v>
      </c>
      <c r="X518" s="580"/>
      <c r="Y518" s="583">
        <f>IF(GLOBAL_DER_FEV_2023!W518=0,0,IF(GLOBAL_DER_FEV_2023!W518&gt;0,"c","b"))</f>
        <v>0</v>
      </c>
    </row>
    <row r="519" spans="1:25" x14ac:dyDescent="0.2">
      <c r="A519" s="317">
        <v>505415</v>
      </c>
      <c r="B519" s="895">
        <v>505415</v>
      </c>
      <c r="C519" s="896" t="s">
        <v>184</v>
      </c>
      <c r="D519" s="906" t="s">
        <v>1934</v>
      </c>
      <c r="E519" s="907">
        <f>GLOBAL_DER_FEV_2023!E519</f>
        <v>0</v>
      </c>
      <c r="F519" s="908">
        <f>GLOBAL_DER_FEV_2023!F519</f>
        <v>0</v>
      </c>
      <c r="G519" s="949">
        <f>GLOBAL_DER_FEV_2023!G519</f>
        <v>0</v>
      </c>
      <c r="H519" s="901">
        <f>GLOBAL_DER_FEV_2023!H519</f>
        <v>8.49</v>
      </c>
      <c r="I519" s="901">
        <f>GLOBAL_DER_FEV_2023!I519</f>
        <v>8.49</v>
      </c>
      <c r="J519" s="902">
        <f>GLOBAL_DER_FEV_2023!J519</f>
        <v>10.19</v>
      </c>
      <c r="K519" s="903" t="s">
        <v>12</v>
      </c>
      <c r="L519" s="1139"/>
      <c r="M519" s="1140">
        <f t="shared" si="52"/>
        <v>0</v>
      </c>
      <c r="N519" s="893">
        <f t="shared" si="56"/>
        <v>0</v>
      </c>
      <c r="O519" s="905"/>
      <c r="Q519" s="317" t="str">
        <f t="shared" si="53"/>
        <v/>
      </c>
      <c r="R519" s="317" t="str">
        <f t="shared" si="54"/>
        <v/>
      </c>
      <c r="S519" s="317" t="str">
        <f t="shared" si="55"/>
        <v/>
      </c>
      <c r="T519" s="317" t="str">
        <f>GLOBAL_DER_FEV_2023!S519</f>
        <v/>
      </c>
      <c r="W519" s="582">
        <v>0</v>
      </c>
      <c r="X519" s="580"/>
      <c r="Y519" s="583">
        <f>IF(GLOBAL_DER_FEV_2023!W519=0,0,IF(GLOBAL_DER_FEV_2023!W519&gt;0,"c","b"))</f>
        <v>0</v>
      </c>
    </row>
    <row r="520" spans="1:25" x14ac:dyDescent="0.2">
      <c r="A520" s="317">
        <v>505416</v>
      </c>
      <c r="B520" s="895">
        <v>505416</v>
      </c>
      <c r="C520" s="896" t="s">
        <v>184</v>
      </c>
      <c r="D520" s="906" t="s">
        <v>1935</v>
      </c>
      <c r="E520" s="907">
        <f>GLOBAL_DER_FEV_2023!E520</f>
        <v>0</v>
      </c>
      <c r="F520" s="908">
        <f>GLOBAL_DER_FEV_2023!F520</f>
        <v>0</v>
      </c>
      <c r="G520" s="949">
        <f>GLOBAL_DER_FEV_2023!G520</f>
        <v>0</v>
      </c>
      <c r="H520" s="901">
        <f>GLOBAL_DER_FEV_2023!H520</f>
        <v>10</v>
      </c>
      <c r="I520" s="901">
        <f>GLOBAL_DER_FEV_2023!I520</f>
        <v>10</v>
      </c>
      <c r="J520" s="902">
        <f>GLOBAL_DER_FEV_2023!J520</f>
        <v>12.01</v>
      </c>
      <c r="K520" s="903" t="s">
        <v>12</v>
      </c>
      <c r="L520" s="1139"/>
      <c r="M520" s="1140">
        <f t="shared" si="52"/>
        <v>0</v>
      </c>
      <c r="N520" s="893">
        <f t="shared" si="56"/>
        <v>0</v>
      </c>
      <c r="O520" s="905"/>
      <c r="Q520" s="317" t="str">
        <f t="shared" si="53"/>
        <v/>
      </c>
      <c r="R520" s="317" t="str">
        <f t="shared" si="54"/>
        <v/>
      </c>
      <c r="S520" s="317" t="str">
        <f t="shared" si="55"/>
        <v/>
      </c>
      <c r="T520" s="317" t="str">
        <f>GLOBAL_DER_FEV_2023!S520</f>
        <v/>
      </c>
      <c r="W520" s="582">
        <v>0</v>
      </c>
      <c r="X520" s="580"/>
      <c r="Y520" s="583">
        <f>IF(GLOBAL_DER_FEV_2023!W520=0,0,IF(GLOBAL_DER_FEV_2023!W520&gt;0,"c","b"))</f>
        <v>0</v>
      </c>
    </row>
    <row r="521" spans="1:25" x14ac:dyDescent="0.2">
      <c r="A521" s="317">
        <v>5111000</v>
      </c>
      <c r="B521" s="895">
        <v>5111000</v>
      </c>
      <c r="C521" s="896" t="s">
        <v>184</v>
      </c>
      <c r="D521" s="906" t="s">
        <v>1936</v>
      </c>
      <c r="E521" s="907">
        <f>GLOBAL_DER_FEV_2023!E521</f>
        <v>0</v>
      </c>
      <c r="F521" s="908">
        <f>GLOBAL_DER_FEV_2023!F521</f>
        <v>0</v>
      </c>
      <c r="G521" s="949">
        <f>GLOBAL_DER_FEV_2023!G521</f>
        <v>0</v>
      </c>
      <c r="H521" s="901">
        <f>GLOBAL_DER_FEV_2023!H521</f>
        <v>4.25</v>
      </c>
      <c r="I521" s="901">
        <f>GLOBAL_DER_FEV_2023!I521</f>
        <v>4.25</v>
      </c>
      <c r="J521" s="902">
        <f>GLOBAL_DER_FEV_2023!J521</f>
        <v>5.0999999999999996</v>
      </c>
      <c r="K521" s="903" t="s">
        <v>12</v>
      </c>
      <c r="L521" s="1139"/>
      <c r="M521" s="1140">
        <f t="shared" si="52"/>
        <v>0</v>
      </c>
      <c r="N521" s="893">
        <f t="shared" si="56"/>
        <v>0</v>
      </c>
      <c r="O521" s="905"/>
      <c r="Q521" s="317" t="str">
        <f t="shared" si="53"/>
        <v/>
      </c>
      <c r="R521" s="317" t="str">
        <f t="shared" si="54"/>
        <v/>
      </c>
      <c r="S521" s="317" t="str">
        <f t="shared" si="55"/>
        <v/>
      </c>
      <c r="T521" s="317" t="str">
        <f>GLOBAL_DER_FEV_2023!S521</f>
        <v/>
      </c>
      <c r="W521" s="582">
        <v>0</v>
      </c>
      <c r="X521" s="580"/>
      <c r="Y521" s="583">
        <f>IF(GLOBAL_DER_FEV_2023!W521=0,0,IF(GLOBAL_DER_FEV_2023!W521&gt;0,"c","b"))</f>
        <v>0</v>
      </c>
    </row>
    <row r="522" spans="1:25" x14ac:dyDescent="0.2">
      <c r="A522" s="317">
        <v>504840</v>
      </c>
      <c r="B522" s="895">
        <v>504840</v>
      </c>
      <c r="C522" s="896" t="s">
        <v>184</v>
      </c>
      <c r="D522" s="906" t="s">
        <v>1937</v>
      </c>
      <c r="E522" s="907">
        <f>GLOBAL_DER_FEV_2023!E522</f>
        <v>0</v>
      </c>
      <c r="F522" s="908">
        <f>GLOBAL_DER_FEV_2023!F522</f>
        <v>0</v>
      </c>
      <c r="G522" s="949">
        <f>GLOBAL_DER_FEV_2023!G522</f>
        <v>0</v>
      </c>
      <c r="H522" s="901">
        <f>GLOBAL_DER_FEV_2023!H522</f>
        <v>41.95</v>
      </c>
      <c r="I522" s="901">
        <f>GLOBAL_DER_FEV_2023!I522</f>
        <v>41.95</v>
      </c>
      <c r="J522" s="902">
        <f>GLOBAL_DER_FEV_2023!J522</f>
        <v>50.37</v>
      </c>
      <c r="K522" s="903" t="s">
        <v>16</v>
      </c>
      <c r="L522" s="1139"/>
      <c r="M522" s="1140">
        <f t="shared" si="52"/>
        <v>0</v>
      </c>
      <c r="N522" s="893">
        <f t="shared" si="56"/>
        <v>0</v>
      </c>
      <c r="O522" s="905"/>
      <c r="Q522" s="317" t="str">
        <f t="shared" si="53"/>
        <v/>
      </c>
      <c r="R522" s="317" t="str">
        <f t="shared" si="54"/>
        <v/>
      </c>
      <c r="S522" s="317" t="str">
        <f t="shared" si="55"/>
        <v/>
      </c>
      <c r="T522" s="317" t="str">
        <f>GLOBAL_DER_FEV_2023!S522</f>
        <v/>
      </c>
      <c r="W522" s="582">
        <v>0</v>
      </c>
      <c r="X522" s="580"/>
      <c r="Y522" s="583">
        <f>IF(GLOBAL_DER_FEV_2023!W522=0,0,IF(GLOBAL_DER_FEV_2023!W522&gt;0,"c","b"))</f>
        <v>0</v>
      </c>
    </row>
    <row r="523" spans="1:25" x14ac:dyDescent="0.2">
      <c r="A523" s="317">
        <v>503110</v>
      </c>
      <c r="B523" s="895">
        <v>503110</v>
      </c>
      <c r="C523" s="896" t="s">
        <v>184</v>
      </c>
      <c r="D523" s="906" t="s">
        <v>1938</v>
      </c>
      <c r="E523" s="907">
        <f>GLOBAL_DER_FEV_2023!E523</f>
        <v>0</v>
      </c>
      <c r="F523" s="908">
        <f>GLOBAL_DER_FEV_2023!F523</f>
        <v>0</v>
      </c>
      <c r="G523" s="949">
        <f>GLOBAL_DER_FEV_2023!G523</f>
        <v>0</v>
      </c>
      <c r="H523" s="901">
        <f>GLOBAL_DER_FEV_2023!H523</f>
        <v>3.61</v>
      </c>
      <c r="I523" s="901">
        <f>GLOBAL_DER_FEV_2023!I523</f>
        <v>3.61</v>
      </c>
      <c r="J523" s="902">
        <f>GLOBAL_DER_FEV_2023!J523</f>
        <v>4.33</v>
      </c>
      <c r="K523" s="903" t="s">
        <v>12</v>
      </c>
      <c r="L523" s="1139"/>
      <c r="M523" s="1140">
        <f t="shared" si="52"/>
        <v>0</v>
      </c>
      <c r="N523" s="893">
        <f t="shared" si="56"/>
        <v>0</v>
      </c>
      <c r="O523" s="905"/>
      <c r="Q523" s="317" t="str">
        <f t="shared" si="53"/>
        <v/>
      </c>
      <c r="R523" s="317" t="str">
        <f t="shared" si="54"/>
        <v/>
      </c>
      <c r="S523" s="317" t="str">
        <f t="shared" si="55"/>
        <v/>
      </c>
      <c r="T523" s="317" t="str">
        <f>GLOBAL_DER_FEV_2023!S523</f>
        <v/>
      </c>
      <c r="W523" s="582">
        <v>0</v>
      </c>
      <c r="X523" s="580"/>
      <c r="Y523" s="583">
        <f>IF(GLOBAL_DER_FEV_2023!W523=0,0,IF(GLOBAL_DER_FEV_2023!W523&gt;0,"c","b"))</f>
        <v>0</v>
      </c>
    </row>
    <row r="524" spans="1:25" x14ac:dyDescent="0.2">
      <c r="A524" s="317">
        <v>507215</v>
      </c>
      <c r="B524" s="895">
        <v>507215</v>
      </c>
      <c r="C524" s="896" t="s">
        <v>184</v>
      </c>
      <c r="D524" s="906" t="s">
        <v>1939</v>
      </c>
      <c r="E524" s="907">
        <f>GLOBAL_DER_FEV_2023!E524</f>
        <v>0</v>
      </c>
      <c r="F524" s="908">
        <f>GLOBAL_DER_FEV_2023!F524</f>
        <v>0</v>
      </c>
      <c r="G524" s="949">
        <f>GLOBAL_DER_FEV_2023!G524</f>
        <v>0</v>
      </c>
      <c r="H524" s="901">
        <f>GLOBAL_DER_FEV_2023!H524</f>
        <v>7.84</v>
      </c>
      <c r="I524" s="901">
        <f>GLOBAL_DER_FEV_2023!I524</f>
        <v>7.84</v>
      </c>
      <c r="J524" s="902">
        <f>GLOBAL_DER_FEV_2023!J524</f>
        <v>9.41</v>
      </c>
      <c r="K524" s="903" t="s">
        <v>16</v>
      </c>
      <c r="L524" s="1139"/>
      <c r="M524" s="1140">
        <f t="shared" si="52"/>
        <v>0</v>
      </c>
      <c r="N524" s="893">
        <f t="shared" si="56"/>
        <v>0</v>
      </c>
      <c r="O524" s="905"/>
      <c r="Q524" s="317" t="str">
        <f t="shared" si="53"/>
        <v/>
      </c>
      <c r="R524" s="317" t="str">
        <f t="shared" si="54"/>
        <v/>
      </c>
      <c r="S524" s="317" t="str">
        <f t="shared" si="55"/>
        <v/>
      </c>
      <c r="T524" s="317" t="str">
        <f>GLOBAL_DER_FEV_2023!S524</f>
        <v/>
      </c>
      <c r="W524" s="582">
        <v>0</v>
      </c>
      <c r="X524" s="580"/>
      <c r="Y524" s="583">
        <f>IF(GLOBAL_DER_FEV_2023!W524=0,0,IF(GLOBAL_DER_FEV_2023!W524&gt;0,"c","b"))</f>
        <v>0</v>
      </c>
    </row>
    <row r="525" spans="1:25" x14ac:dyDescent="0.2">
      <c r="A525" s="317">
        <v>507210</v>
      </c>
      <c r="B525" s="895">
        <v>507210</v>
      </c>
      <c r="C525" s="896" t="s">
        <v>184</v>
      </c>
      <c r="D525" s="906" t="s">
        <v>1940</v>
      </c>
      <c r="E525" s="907">
        <f>GLOBAL_DER_FEV_2023!E525</f>
        <v>0</v>
      </c>
      <c r="F525" s="908">
        <f>GLOBAL_DER_FEV_2023!F525</f>
        <v>0</v>
      </c>
      <c r="G525" s="949">
        <f>GLOBAL_DER_FEV_2023!G525</f>
        <v>0</v>
      </c>
      <c r="H525" s="901">
        <f>GLOBAL_DER_FEV_2023!H525</f>
        <v>8.4</v>
      </c>
      <c r="I525" s="901">
        <f>GLOBAL_DER_FEV_2023!I525</f>
        <v>8.4</v>
      </c>
      <c r="J525" s="902">
        <f>GLOBAL_DER_FEV_2023!J525</f>
        <v>10.09</v>
      </c>
      <c r="K525" s="903" t="s">
        <v>16</v>
      </c>
      <c r="L525" s="1139"/>
      <c r="M525" s="1140">
        <f t="shared" ref="M525:M588" si="73">IF(L525=0,0,ROUND(J525,2))</f>
        <v>0</v>
      </c>
      <c r="N525" s="893">
        <f t="shared" si="56"/>
        <v>0</v>
      </c>
      <c r="O525" s="905"/>
      <c r="Q525" s="317" t="str">
        <f t="shared" si="53"/>
        <v/>
      </c>
      <c r="R525" s="317" t="str">
        <f t="shared" si="54"/>
        <v/>
      </c>
      <c r="S525" s="317" t="str">
        <f t="shared" si="55"/>
        <v/>
      </c>
      <c r="T525" s="317" t="str">
        <f>GLOBAL_DER_FEV_2023!S525</f>
        <v/>
      </c>
      <c r="W525" s="582">
        <v>0</v>
      </c>
      <c r="X525" s="580"/>
      <c r="Y525" s="583">
        <f>IF(GLOBAL_DER_FEV_2023!W525=0,0,IF(GLOBAL_DER_FEV_2023!W525&gt;0,"c","b"))</f>
        <v>0</v>
      </c>
    </row>
    <row r="526" spans="1:25" x14ac:dyDescent="0.2">
      <c r="A526" s="317">
        <v>507220</v>
      </c>
      <c r="B526" s="895">
        <v>507220</v>
      </c>
      <c r="C526" s="896" t="s">
        <v>184</v>
      </c>
      <c r="D526" s="906" t="s">
        <v>1941</v>
      </c>
      <c r="E526" s="907">
        <f>GLOBAL_DER_FEV_2023!E526</f>
        <v>0</v>
      </c>
      <c r="F526" s="908">
        <f>GLOBAL_DER_FEV_2023!F526</f>
        <v>0</v>
      </c>
      <c r="G526" s="949">
        <f>GLOBAL_DER_FEV_2023!G526</f>
        <v>0</v>
      </c>
      <c r="H526" s="901">
        <f>GLOBAL_DER_FEV_2023!H526</f>
        <v>7.48</v>
      </c>
      <c r="I526" s="901">
        <f>GLOBAL_DER_FEV_2023!I526</f>
        <v>7.48</v>
      </c>
      <c r="J526" s="902">
        <f>GLOBAL_DER_FEV_2023!J526</f>
        <v>8.98</v>
      </c>
      <c r="K526" s="903" t="s">
        <v>16</v>
      </c>
      <c r="L526" s="1139"/>
      <c r="M526" s="1140">
        <f t="shared" si="73"/>
        <v>0</v>
      </c>
      <c r="N526" s="893">
        <f t="shared" si="56"/>
        <v>0</v>
      </c>
      <c r="O526" s="905"/>
      <c r="Q526" s="317" t="str">
        <f t="shared" si="53"/>
        <v/>
      </c>
      <c r="R526" s="317" t="str">
        <f t="shared" si="54"/>
        <v/>
      </c>
      <c r="S526" s="317" t="str">
        <f t="shared" si="55"/>
        <v/>
      </c>
      <c r="T526" s="317" t="str">
        <f>GLOBAL_DER_FEV_2023!S526</f>
        <v/>
      </c>
      <c r="W526" s="582">
        <v>0</v>
      </c>
      <c r="X526" s="580"/>
      <c r="Y526" s="583">
        <f>IF(GLOBAL_DER_FEV_2023!W526=0,0,IF(GLOBAL_DER_FEV_2023!W526&gt;0,"c","b"))</f>
        <v>0</v>
      </c>
    </row>
    <row r="527" spans="1:25" x14ac:dyDescent="0.2">
      <c r="A527" s="317">
        <v>507225</v>
      </c>
      <c r="B527" s="895">
        <v>507225</v>
      </c>
      <c r="C527" s="896" t="s">
        <v>184</v>
      </c>
      <c r="D527" s="906" t="s">
        <v>1942</v>
      </c>
      <c r="E527" s="907">
        <f>GLOBAL_DER_FEV_2023!E527</f>
        <v>0</v>
      </c>
      <c r="F527" s="908">
        <f>GLOBAL_DER_FEV_2023!F527</f>
        <v>0</v>
      </c>
      <c r="G527" s="949">
        <f>GLOBAL_DER_FEV_2023!G527</f>
        <v>0</v>
      </c>
      <c r="H527" s="901">
        <f>GLOBAL_DER_FEV_2023!H527</f>
        <v>7.48</v>
      </c>
      <c r="I527" s="901">
        <f>GLOBAL_DER_FEV_2023!I527</f>
        <v>7.48</v>
      </c>
      <c r="J527" s="902">
        <f>GLOBAL_DER_FEV_2023!J527</f>
        <v>8.98</v>
      </c>
      <c r="K527" s="903" t="s">
        <v>16</v>
      </c>
      <c r="L527" s="1139"/>
      <c r="M527" s="1140">
        <f t="shared" si="73"/>
        <v>0</v>
      </c>
      <c r="N527" s="893">
        <f t="shared" si="56"/>
        <v>0</v>
      </c>
      <c r="O527" s="905"/>
      <c r="Q527" s="317" t="str">
        <f t="shared" ref="Q527:Q590" si="74">IF(P527="X","x",IF(P527="xx","x",IF(P527="xy","x",IF(P527="y","x",IF(OR(N527&gt;0,N527&gt;0),"x","")))))</f>
        <v/>
      </c>
      <c r="R527" s="317" t="str">
        <f t="shared" si="54"/>
        <v/>
      </c>
      <c r="S527" s="317" t="str">
        <f t="shared" si="55"/>
        <v/>
      </c>
      <c r="T527" s="317" t="str">
        <f>GLOBAL_DER_FEV_2023!S527</f>
        <v/>
      </c>
      <c r="W527" s="582">
        <v>0</v>
      </c>
      <c r="X527" s="580"/>
      <c r="Y527" s="583">
        <f>IF(GLOBAL_DER_FEV_2023!W527=0,0,IF(GLOBAL_DER_FEV_2023!W527&gt;0,"c","b"))</f>
        <v>0</v>
      </c>
    </row>
    <row r="528" spans="1:25" x14ac:dyDescent="0.2">
      <c r="A528" s="317">
        <v>507232</v>
      </c>
      <c r="B528" s="895">
        <v>507232</v>
      </c>
      <c r="C528" s="896" t="s">
        <v>184</v>
      </c>
      <c r="D528" s="906" t="s">
        <v>1943</v>
      </c>
      <c r="E528" s="907">
        <f>GLOBAL_DER_FEV_2023!E528</f>
        <v>0</v>
      </c>
      <c r="F528" s="908">
        <f>GLOBAL_DER_FEV_2023!F528</f>
        <v>0</v>
      </c>
      <c r="G528" s="949">
        <f>GLOBAL_DER_FEV_2023!G528</f>
        <v>0</v>
      </c>
      <c r="H528" s="901">
        <f>GLOBAL_DER_FEV_2023!H528</f>
        <v>8.3000000000000007</v>
      </c>
      <c r="I528" s="901">
        <f>GLOBAL_DER_FEV_2023!I528</f>
        <v>8.3000000000000007</v>
      </c>
      <c r="J528" s="902">
        <f>GLOBAL_DER_FEV_2023!J528</f>
        <v>9.9700000000000006</v>
      </c>
      <c r="K528" s="903" t="s">
        <v>16</v>
      </c>
      <c r="L528" s="1139"/>
      <c r="M528" s="1140">
        <f t="shared" si="73"/>
        <v>0</v>
      </c>
      <c r="N528" s="893">
        <f t="shared" si="56"/>
        <v>0</v>
      </c>
      <c r="O528" s="905"/>
      <c r="Q528" s="317" t="str">
        <f t="shared" si="74"/>
        <v/>
      </c>
      <c r="R528" s="317" t="str">
        <f t="shared" si="54"/>
        <v/>
      </c>
      <c r="S528" s="317" t="str">
        <f t="shared" si="55"/>
        <v/>
      </c>
      <c r="T528" s="317" t="str">
        <f>GLOBAL_DER_FEV_2023!S528</f>
        <v/>
      </c>
      <c r="W528" s="582">
        <v>0</v>
      </c>
      <c r="X528" s="580"/>
      <c r="Y528" s="583">
        <f>IF(GLOBAL_DER_FEV_2023!W528=0,0,IF(GLOBAL_DER_FEV_2023!W528&gt;0,"c","b"))</f>
        <v>0</v>
      </c>
    </row>
    <row r="529" spans="1:25" x14ac:dyDescent="0.2">
      <c r="A529" s="317">
        <v>504920</v>
      </c>
      <c r="B529" s="895">
        <v>504920</v>
      </c>
      <c r="C529" s="896" t="s">
        <v>184</v>
      </c>
      <c r="D529" s="906" t="s">
        <v>1944</v>
      </c>
      <c r="E529" s="907">
        <f>GLOBAL_DER_FEV_2023!E529</f>
        <v>20</v>
      </c>
      <c r="F529" s="908">
        <f>GLOBAL_DER_FEV_2023!F529</f>
        <v>1.1000000000000001E-3</v>
      </c>
      <c r="G529" s="909">
        <f>GLOBAL_DER_FEV_2023!G529</f>
        <v>2.5762000000000004E-2</v>
      </c>
      <c r="H529" s="901">
        <f>GLOBAL_DER_FEV_2023!H529</f>
        <v>11.4</v>
      </c>
      <c r="I529" s="901">
        <f>GLOBAL_DER_FEV_2023!I529</f>
        <v>11.425762000000001</v>
      </c>
      <c r="J529" s="902">
        <f>GLOBAL_DER_FEV_2023!J529</f>
        <v>13.72</v>
      </c>
      <c r="K529" s="903" t="s">
        <v>16</v>
      </c>
      <c r="L529" s="1139"/>
      <c r="M529" s="1140">
        <f t="shared" si="73"/>
        <v>0</v>
      </c>
      <c r="N529" s="893">
        <f t="shared" si="56"/>
        <v>0</v>
      </c>
      <c r="O529" s="905"/>
      <c r="Q529" s="317" t="str">
        <f t="shared" si="74"/>
        <v/>
      </c>
      <c r="R529" s="317" t="str">
        <f t="shared" ref="R529:R592" si="75">IF(P529="X","x",IF(P529="y","x",IF(P529="xx","x",IF(N529&gt;0,"x",""))))</f>
        <v/>
      </c>
      <c r="S529" s="317" t="str">
        <f t="shared" ref="S529:S592" si="76">IF(P529="X","x",IF(N529&gt;0,"x",""))</f>
        <v/>
      </c>
      <c r="T529" s="317" t="str">
        <f>GLOBAL_DER_FEV_2023!S529</f>
        <v/>
      </c>
      <c r="W529" s="582">
        <v>0</v>
      </c>
      <c r="X529" s="580"/>
      <c r="Y529" s="583">
        <f>IF(GLOBAL_DER_FEV_2023!W529=0,0,IF(GLOBAL_DER_FEV_2023!W529&gt;0,"c","b"))</f>
        <v>0</v>
      </c>
    </row>
    <row r="530" spans="1:25" x14ac:dyDescent="0.2">
      <c r="A530" s="317">
        <v>502660</v>
      </c>
      <c r="B530" s="895">
        <v>502660</v>
      </c>
      <c r="C530" s="896" t="s">
        <v>184</v>
      </c>
      <c r="D530" s="906" t="s">
        <v>1945</v>
      </c>
      <c r="E530" s="907">
        <f>GLOBAL_DER_FEV_2023!E530</f>
        <v>0</v>
      </c>
      <c r="F530" s="908">
        <f>GLOBAL_DER_FEV_2023!F530</f>
        <v>0</v>
      </c>
      <c r="G530" s="949">
        <f>GLOBAL_DER_FEV_2023!G530</f>
        <v>0</v>
      </c>
      <c r="H530" s="901">
        <f>GLOBAL_DER_FEV_2023!H530</f>
        <v>15.77</v>
      </c>
      <c r="I530" s="901">
        <f>GLOBAL_DER_FEV_2023!I530</f>
        <v>15.77</v>
      </c>
      <c r="J530" s="902">
        <f>GLOBAL_DER_FEV_2023!J530</f>
        <v>18.940000000000001</v>
      </c>
      <c r="K530" s="903" t="s">
        <v>13</v>
      </c>
      <c r="L530" s="1139"/>
      <c r="M530" s="1140">
        <f t="shared" si="73"/>
        <v>0</v>
      </c>
      <c r="N530" s="893">
        <f t="shared" si="56"/>
        <v>0</v>
      </c>
      <c r="O530" s="905"/>
      <c r="Q530" s="317" t="str">
        <f t="shared" si="74"/>
        <v/>
      </c>
      <c r="R530" s="317" t="str">
        <f t="shared" si="75"/>
        <v/>
      </c>
      <c r="S530" s="317" t="str">
        <f t="shared" si="76"/>
        <v/>
      </c>
      <c r="T530" s="317" t="str">
        <f>GLOBAL_DER_FEV_2023!S530</f>
        <v/>
      </c>
      <c r="W530" s="582">
        <v>0</v>
      </c>
      <c r="X530" s="580"/>
      <c r="Y530" s="583">
        <f>IF(GLOBAL_DER_FEV_2023!W530=0,0,IF(GLOBAL_DER_FEV_2023!W530&gt;0,"c","b"))</f>
        <v>0</v>
      </c>
    </row>
    <row r="531" spans="1:25" x14ac:dyDescent="0.2">
      <c r="A531" s="317">
        <v>502680</v>
      </c>
      <c r="B531" s="895">
        <v>502680</v>
      </c>
      <c r="C531" s="896" t="s">
        <v>184</v>
      </c>
      <c r="D531" s="906" t="s">
        <v>1946</v>
      </c>
      <c r="E531" s="907">
        <f>GLOBAL_DER_FEV_2023!E531</f>
        <v>0</v>
      </c>
      <c r="F531" s="908">
        <f>GLOBAL_DER_FEV_2023!F531</f>
        <v>0</v>
      </c>
      <c r="G531" s="949">
        <f>GLOBAL_DER_FEV_2023!G531</f>
        <v>0</v>
      </c>
      <c r="H531" s="901">
        <f>GLOBAL_DER_FEV_2023!H531</f>
        <v>14.93</v>
      </c>
      <c r="I531" s="901">
        <f>GLOBAL_DER_FEV_2023!I531</f>
        <v>14.93</v>
      </c>
      <c r="J531" s="902">
        <f>GLOBAL_DER_FEV_2023!J531</f>
        <v>17.93</v>
      </c>
      <c r="K531" s="903" t="s">
        <v>13</v>
      </c>
      <c r="L531" s="1139"/>
      <c r="M531" s="1140">
        <f t="shared" si="73"/>
        <v>0</v>
      </c>
      <c r="N531" s="893">
        <f t="shared" si="56"/>
        <v>0</v>
      </c>
      <c r="O531" s="905"/>
      <c r="Q531" s="317" t="str">
        <f t="shared" si="74"/>
        <v/>
      </c>
      <c r="R531" s="317" t="str">
        <f t="shared" si="75"/>
        <v/>
      </c>
      <c r="S531" s="317" t="str">
        <f t="shared" si="76"/>
        <v/>
      </c>
      <c r="T531" s="317" t="str">
        <f>GLOBAL_DER_FEV_2023!S531</f>
        <v/>
      </c>
      <c r="W531" s="582">
        <v>0</v>
      </c>
      <c r="X531" s="580"/>
      <c r="Y531" s="583">
        <f>IF(GLOBAL_DER_FEV_2023!W531=0,0,IF(GLOBAL_DER_FEV_2023!W531&gt;0,"c","b"))</f>
        <v>0</v>
      </c>
    </row>
    <row r="532" spans="1:25" x14ac:dyDescent="0.2">
      <c r="A532" s="317">
        <v>502670</v>
      </c>
      <c r="B532" s="895">
        <v>502670</v>
      </c>
      <c r="C532" s="896" t="s">
        <v>184</v>
      </c>
      <c r="D532" s="906" t="s">
        <v>1947</v>
      </c>
      <c r="E532" s="907">
        <f>GLOBAL_DER_FEV_2023!E532</f>
        <v>0</v>
      </c>
      <c r="F532" s="908">
        <f>GLOBAL_DER_FEV_2023!F532</f>
        <v>0</v>
      </c>
      <c r="G532" s="912">
        <f>GLOBAL_DER_FEV_2023!G532</f>
        <v>0</v>
      </c>
      <c r="H532" s="901">
        <f>GLOBAL_DER_FEV_2023!H532</f>
        <v>19.57</v>
      </c>
      <c r="I532" s="901">
        <f>GLOBAL_DER_FEV_2023!I532</f>
        <v>19.57</v>
      </c>
      <c r="J532" s="902">
        <f>GLOBAL_DER_FEV_2023!J532</f>
        <v>23.5</v>
      </c>
      <c r="K532" s="903" t="s">
        <v>13</v>
      </c>
      <c r="L532" s="1139"/>
      <c r="M532" s="1140">
        <f t="shared" si="73"/>
        <v>0</v>
      </c>
      <c r="N532" s="893">
        <f t="shared" si="56"/>
        <v>0</v>
      </c>
      <c r="O532" s="905"/>
      <c r="Q532" s="317" t="str">
        <f t="shared" si="74"/>
        <v/>
      </c>
      <c r="R532" s="317" t="str">
        <f t="shared" si="75"/>
        <v/>
      </c>
      <c r="S532" s="317" t="str">
        <f t="shared" si="76"/>
        <v/>
      </c>
      <c r="T532" s="317" t="str">
        <f>GLOBAL_DER_FEV_2023!S532</f>
        <v/>
      </c>
      <c r="W532" s="582">
        <v>0</v>
      </c>
      <c r="X532" s="580"/>
      <c r="Y532" s="583">
        <f>IF(GLOBAL_DER_FEV_2023!W532=0,0,IF(GLOBAL_DER_FEV_2023!W532&gt;0,"c","b"))</f>
        <v>0</v>
      </c>
    </row>
    <row r="533" spans="1:25" ht="22.5" x14ac:dyDescent="0.2">
      <c r="A533" s="317">
        <v>502645</v>
      </c>
      <c r="B533" s="895">
        <v>502645</v>
      </c>
      <c r="C533" s="896" t="s">
        <v>184</v>
      </c>
      <c r="D533" s="906" t="s">
        <v>1948</v>
      </c>
      <c r="E533" s="907">
        <f>GLOBAL_DER_FEV_2023!E533</f>
        <v>0</v>
      </c>
      <c r="F533" s="908">
        <f>GLOBAL_DER_FEV_2023!F533</f>
        <v>0</v>
      </c>
      <c r="G533" s="949">
        <f>GLOBAL_DER_FEV_2023!G533</f>
        <v>278.28509400000002</v>
      </c>
      <c r="H533" s="901">
        <f>GLOBAL_DER_FEV_2023!H533</f>
        <v>322.94</v>
      </c>
      <c r="I533" s="901">
        <f>GLOBAL_DER_FEV_2023!I533</f>
        <v>601.22509400000001</v>
      </c>
      <c r="J533" s="902">
        <f>GLOBAL_DER_FEV_2023!J533</f>
        <v>721.89</v>
      </c>
      <c r="K533" s="903" t="s">
        <v>10</v>
      </c>
      <c r="L533" s="1139"/>
      <c r="M533" s="1140">
        <f t="shared" si="73"/>
        <v>0</v>
      </c>
      <c r="N533" s="893">
        <f t="shared" ref="N533:N596" si="77">IF(ISBLANK(L533),0,IF(W533=0,ROUND(L533*M533,2),IF(W533="b",ROUNDDOWN(L533*M533,2),ROUNDUP(L533*M533,2))))</f>
        <v>0</v>
      </c>
      <c r="O533" s="905"/>
      <c r="Q533" s="317" t="str">
        <f t="shared" si="74"/>
        <v/>
      </c>
      <c r="R533" s="317" t="str">
        <f t="shared" si="75"/>
        <v/>
      </c>
      <c r="S533" s="317" t="str">
        <f t="shared" si="76"/>
        <v/>
      </c>
      <c r="T533" s="317" t="str">
        <f>GLOBAL_DER_FEV_2023!S533</f>
        <v/>
      </c>
      <c r="W533" s="582">
        <v>0</v>
      </c>
      <c r="X533" s="580"/>
      <c r="Y533" s="583">
        <f>IF(GLOBAL_DER_FEV_2023!W533=0,0,IF(GLOBAL_DER_FEV_2023!W533&gt;0,"c","b"))</f>
        <v>0</v>
      </c>
    </row>
    <row r="534" spans="1:25" x14ac:dyDescent="0.2">
      <c r="A534" s="317" t="s">
        <v>147</v>
      </c>
      <c r="B534" s="895" t="s">
        <v>147</v>
      </c>
      <c r="C534" s="896"/>
      <c r="D534" s="957" t="s">
        <v>190</v>
      </c>
      <c r="E534" s="907">
        <f>GLOBAL_DER_FEV_2023!E534</f>
        <v>308</v>
      </c>
      <c r="F534" s="908">
        <f>GLOBAL_DER_FEV_2023!F534</f>
        <v>0.38</v>
      </c>
      <c r="G534" s="909">
        <f>GLOBAL_DER_FEV_2023!G534</f>
        <v>94.262799999999999</v>
      </c>
      <c r="H534" s="901">
        <f>GLOBAL_DER_FEV_2023!H534</f>
        <v>0</v>
      </c>
      <c r="I534" s="901">
        <f>GLOBAL_DER_FEV_2023!I534</f>
        <v>0</v>
      </c>
      <c r="J534" s="902">
        <f>GLOBAL_DER_FEV_2023!J534</f>
        <v>0</v>
      </c>
      <c r="K534" s="958"/>
      <c r="L534" s="959"/>
      <c r="M534" s="1157">
        <f t="shared" si="73"/>
        <v>0</v>
      </c>
      <c r="N534" s="893">
        <f t="shared" si="77"/>
        <v>0</v>
      </c>
      <c r="O534" s="905"/>
      <c r="P534" s="58" t="str">
        <f>IF(N533&gt;0,"xx",IF(N533&gt;0,"xy",""))</f>
        <v/>
      </c>
      <c r="Q534" s="317" t="str">
        <f t="shared" si="74"/>
        <v/>
      </c>
      <c r="R534" s="317" t="str">
        <f t="shared" si="75"/>
        <v/>
      </c>
      <c r="S534" s="317" t="str">
        <f t="shared" si="76"/>
        <v/>
      </c>
      <c r="T534" s="317" t="str">
        <f>GLOBAL_DER_FEV_2023!S534</f>
        <v/>
      </c>
      <c r="W534" s="582">
        <v>0</v>
      </c>
      <c r="X534" s="580"/>
      <c r="Y534" s="583">
        <f>IF(GLOBAL_DER_FEV_2023!W534=0,0,IF(GLOBAL_DER_FEV_2023!W534&gt;0,"c","b"))</f>
        <v>0</v>
      </c>
    </row>
    <row r="535" spans="1:25" x14ac:dyDescent="0.2">
      <c r="A535" s="317" t="s">
        <v>147</v>
      </c>
      <c r="B535" s="895" t="s">
        <v>147</v>
      </c>
      <c r="C535" s="896"/>
      <c r="D535" s="957" t="s">
        <v>229</v>
      </c>
      <c r="E535" s="907">
        <f>GLOBAL_DER_FEV_2023!E535</f>
        <v>165</v>
      </c>
      <c r="F535" s="908">
        <f>GLOBAL_DER_FEV_2023!F535</f>
        <v>0.70050000000000001</v>
      </c>
      <c r="G535" s="949">
        <f>GLOBAL_DER_FEV_2023!G535</f>
        <v>125.55061500000002</v>
      </c>
      <c r="H535" s="901">
        <f>GLOBAL_DER_FEV_2023!H535</f>
        <v>0</v>
      </c>
      <c r="I535" s="901">
        <f>GLOBAL_DER_FEV_2023!I535</f>
        <v>0</v>
      </c>
      <c r="J535" s="902">
        <f>GLOBAL_DER_FEV_2023!J535</f>
        <v>0</v>
      </c>
      <c r="K535" s="958" t="s">
        <v>507</v>
      </c>
      <c r="L535" s="959"/>
      <c r="M535" s="1157">
        <f t="shared" si="73"/>
        <v>0</v>
      </c>
      <c r="N535" s="893">
        <f t="shared" si="77"/>
        <v>0</v>
      </c>
      <c r="O535" s="905"/>
      <c r="P535" s="58" t="str">
        <f>IF(N533&gt;0,"xx",IF(N533&gt;0,"xy",""))</f>
        <v/>
      </c>
      <c r="Q535" s="317" t="str">
        <f t="shared" si="74"/>
        <v/>
      </c>
      <c r="R535" s="317" t="str">
        <f t="shared" si="75"/>
        <v/>
      </c>
      <c r="S535" s="317" t="str">
        <f t="shared" si="76"/>
        <v/>
      </c>
      <c r="T535" s="317" t="str">
        <f>GLOBAL_DER_FEV_2023!S535</f>
        <v/>
      </c>
      <c r="W535" s="582">
        <v>0</v>
      </c>
      <c r="X535" s="580"/>
      <c r="Y535" s="583">
        <f>IF(GLOBAL_DER_FEV_2023!W535=0,0,IF(GLOBAL_DER_FEV_2023!W535&gt;0,"c","b"))</f>
        <v>0</v>
      </c>
    </row>
    <row r="536" spans="1:25" x14ac:dyDescent="0.2">
      <c r="A536" s="317" t="s">
        <v>147</v>
      </c>
      <c r="B536" s="895" t="s">
        <v>147</v>
      </c>
      <c r="C536" s="896"/>
      <c r="D536" s="957" t="s">
        <v>233</v>
      </c>
      <c r="E536" s="907">
        <f>GLOBAL_DER_FEV_2023!E536</f>
        <v>0.2</v>
      </c>
      <c r="F536" s="908">
        <f>GLOBAL_DER_FEV_2023!F536</f>
        <v>1.1160000000000001</v>
      </c>
      <c r="G536" s="949">
        <f>GLOBAL_DER_FEV_2023!G536</f>
        <v>3.2297040000000004</v>
      </c>
      <c r="H536" s="901">
        <f>GLOBAL_DER_FEV_2023!H536</f>
        <v>0</v>
      </c>
      <c r="I536" s="901">
        <f>GLOBAL_DER_FEV_2023!I536</f>
        <v>0</v>
      </c>
      <c r="J536" s="902">
        <f>GLOBAL_DER_FEV_2023!J536</f>
        <v>0</v>
      </c>
      <c r="K536" s="958" t="s">
        <v>507</v>
      </c>
      <c r="L536" s="959"/>
      <c r="M536" s="1157">
        <f t="shared" si="73"/>
        <v>0</v>
      </c>
      <c r="N536" s="893">
        <f t="shared" si="77"/>
        <v>0</v>
      </c>
      <c r="O536" s="905"/>
      <c r="P536" s="58" t="str">
        <f>IF(N533&gt;0,"xx",IF(N533&gt;0,"xy",""))</f>
        <v/>
      </c>
      <c r="Q536" s="317" t="str">
        <f t="shared" si="74"/>
        <v/>
      </c>
      <c r="R536" s="317" t="str">
        <f t="shared" si="75"/>
        <v/>
      </c>
      <c r="S536" s="317" t="str">
        <f t="shared" si="76"/>
        <v/>
      </c>
      <c r="T536" s="317" t="str">
        <f>GLOBAL_DER_FEV_2023!S536</f>
        <v/>
      </c>
      <c r="W536" s="582">
        <v>0</v>
      </c>
      <c r="X536" s="580"/>
      <c r="Y536" s="583">
        <f>IF(GLOBAL_DER_FEV_2023!W536=0,0,IF(GLOBAL_DER_FEV_2023!W536&gt;0,"c","b"))</f>
        <v>0</v>
      </c>
    </row>
    <row r="537" spans="1:25" x14ac:dyDescent="0.2">
      <c r="A537" s="317" t="s">
        <v>147</v>
      </c>
      <c r="B537" s="895" t="s">
        <v>147</v>
      </c>
      <c r="C537" s="896"/>
      <c r="D537" s="957" t="s">
        <v>244</v>
      </c>
      <c r="E537" s="907">
        <f>GLOBAL_DER_FEV_2023!E537</f>
        <v>21</v>
      </c>
      <c r="F537" s="908">
        <f>GLOBAL_DER_FEV_2023!F537</f>
        <v>2.1965000000000003</v>
      </c>
      <c r="G537" s="912">
        <f>GLOBAL_DER_FEV_2023!G537</f>
        <v>55.241975000000011</v>
      </c>
      <c r="H537" s="901">
        <f>GLOBAL_DER_FEV_2023!H537</f>
        <v>0</v>
      </c>
      <c r="I537" s="901">
        <f>GLOBAL_DER_FEV_2023!I537</f>
        <v>0</v>
      </c>
      <c r="J537" s="902">
        <f>GLOBAL_DER_FEV_2023!J537</f>
        <v>0</v>
      </c>
      <c r="K537" s="903" t="s">
        <v>507</v>
      </c>
      <c r="L537" s="1003"/>
      <c r="M537" s="1157">
        <f t="shared" si="73"/>
        <v>0</v>
      </c>
      <c r="N537" s="893">
        <f t="shared" si="77"/>
        <v>0</v>
      </c>
      <c r="O537" s="905"/>
      <c r="P537" s="58" t="str">
        <f>IF(N533&gt;0,"xx",IF(N533&gt;0,"xy",""))</f>
        <v/>
      </c>
      <c r="Q537" s="317" t="str">
        <f t="shared" si="74"/>
        <v/>
      </c>
      <c r="R537" s="317" t="str">
        <f t="shared" si="75"/>
        <v/>
      </c>
      <c r="S537" s="317" t="str">
        <f t="shared" si="76"/>
        <v/>
      </c>
      <c r="T537" s="317" t="str">
        <f>GLOBAL_DER_FEV_2023!S537</f>
        <v/>
      </c>
      <c r="W537" s="582">
        <v>0</v>
      </c>
      <c r="X537" s="580"/>
      <c r="Y537" s="583">
        <f>IF(GLOBAL_DER_FEV_2023!W537=0,0,IF(GLOBAL_DER_FEV_2023!W537&gt;0,"c","b"))</f>
        <v>0</v>
      </c>
    </row>
    <row r="538" spans="1:25" x14ac:dyDescent="0.2">
      <c r="A538" s="317">
        <v>502646</v>
      </c>
      <c r="B538" s="895">
        <v>502646</v>
      </c>
      <c r="C538" s="896" t="s">
        <v>184</v>
      </c>
      <c r="D538" s="906" t="s">
        <v>1949</v>
      </c>
      <c r="E538" s="907">
        <f>GLOBAL_DER_FEV_2023!E538</f>
        <v>0</v>
      </c>
      <c r="F538" s="908">
        <f>GLOBAL_DER_FEV_2023!F538</f>
        <v>0</v>
      </c>
      <c r="G538" s="949">
        <f>GLOBAL_DER_FEV_2023!G538</f>
        <v>278.28509400000002</v>
      </c>
      <c r="H538" s="901">
        <f>GLOBAL_DER_FEV_2023!H538</f>
        <v>378.42</v>
      </c>
      <c r="I538" s="901">
        <f>GLOBAL_DER_FEV_2023!I538</f>
        <v>656.70509400000003</v>
      </c>
      <c r="J538" s="902">
        <f>GLOBAL_DER_FEV_2023!J538</f>
        <v>788.51</v>
      </c>
      <c r="K538" s="903" t="s">
        <v>10</v>
      </c>
      <c r="L538" s="1139"/>
      <c r="M538" s="1140">
        <f t="shared" si="73"/>
        <v>0</v>
      </c>
      <c r="N538" s="893">
        <f t="shared" si="77"/>
        <v>0</v>
      </c>
      <c r="O538" s="905"/>
      <c r="Q538" s="317" t="str">
        <f t="shared" si="74"/>
        <v/>
      </c>
      <c r="R538" s="317" t="str">
        <f t="shared" si="75"/>
        <v/>
      </c>
      <c r="S538" s="317" t="str">
        <f t="shared" si="76"/>
        <v/>
      </c>
      <c r="T538" s="317" t="str">
        <f>GLOBAL_DER_FEV_2023!S538</f>
        <v/>
      </c>
      <c r="W538" s="582">
        <v>0</v>
      </c>
      <c r="X538" s="580"/>
      <c r="Y538" s="583">
        <f>IF(GLOBAL_DER_FEV_2023!W538=0,0,IF(GLOBAL_DER_FEV_2023!W538&gt;0,"c","b"))</f>
        <v>0</v>
      </c>
    </row>
    <row r="539" spans="1:25" x14ac:dyDescent="0.2">
      <c r="A539" s="317" t="s">
        <v>147</v>
      </c>
      <c r="B539" s="895" t="s">
        <v>147</v>
      </c>
      <c r="C539" s="896"/>
      <c r="D539" s="957" t="s">
        <v>190</v>
      </c>
      <c r="E539" s="907">
        <f>GLOBAL_DER_FEV_2023!E539</f>
        <v>308</v>
      </c>
      <c r="F539" s="908">
        <f>GLOBAL_DER_FEV_2023!F539</f>
        <v>0.38</v>
      </c>
      <c r="G539" s="909">
        <f>GLOBAL_DER_FEV_2023!G539</f>
        <v>94.262799999999999</v>
      </c>
      <c r="H539" s="901">
        <f>GLOBAL_DER_FEV_2023!H539</f>
        <v>0</v>
      </c>
      <c r="I539" s="901">
        <f>GLOBAL_DER_FEV_2023!I539</f>
        <v>0</v>
      </c>
      <c r="J539" s="902">
        <f>GLOBAL_DER_FEV_2023!J539</f>
        <v>0</v>
      </c>
      <c r="K539" s="958" t="s">
        <v>507</v>
      </c>
      <c r="L539" s="959"/>
      <c r="M539" s="1157">
        <f t="shared" si="73"/>
        <v>0</v>
      </c>
      <c r="N539" s="893">
        <f t="shared" si="77"/>
        <v>0</v>
      </c>
      <c r="O539" s="905"/>
      <c r="P539" s="58" t="str">
        <f>IF(N538&gt;0,"xx",IF(N538&gt;0,"xy",""))</f>
        <v/>
      </c>
      <c r="Q539" s="317" t="str">
        <f t="shared" si="74"/>
        <v/>
      </c>
      <c r="R539" s="317" t="str">
        <f t="shared" si="75"/>
        <v/>
      </c>
      <c r="S539" s="317" t="str">
        <f t="shared" si="76"/>
        <v/>
      </c>
      <c r="T539" s="317" t="str">
        <f>GLOBAL_DER_FEV_2023!S539</f>
        <v/>
      </c>
      <c r="W539" s="582">
        <v>0</v>
      </c>
      <c r="X539" s="580"/>
      <c r="Y539" s="583">
        <f>IF(GLOBAL_DER_FEV_2023!W539=0,0,IF(GLOBAL_DER_FEV_2023!W539&gt;0,"c","b"))</f>
        <v>0</v>
      </c>
    </row>
    <row r="540" spans="1:25" x14ac:dyDescent="0.2">
      <c r="A540" s="317" t="s">
        <v>147</v>
      </c>
      <c r="B540" s="895" t="s">
        <v>147</v>
      </c>
      <c r="C540" s="896"/>
      <c r="D540" s="957" t="s">
        <v>229</v>
      </c>
      <c r="E540" s="907">
        <f>GLOBAL_DER_FEV_2023!E540</f>
        <v>165</v>
      </c>
      <c r="F540" s="908">
        <f>GLOBAL_DER_FEV_2023!F540</f>
        <v>0.70050000000000001</v>
      </c>
      <c r="G540" s="949">
        <f>GLOBAL_DER_FEV_2023!G540</f>
        <v>125.55061500000002</v>
      </c>
      <c r="H540" s="901">
        <f>GLOBAL_DER_FEV_2023!H540</f>
        <v>0</v>
      </c>
      <c r="I540" s="901">
        <f>GLOBAL_DER_FEV_2023!I540</f>
        <v>0</v>
      </c>
      <c r="J540" s="902">
        <f>GLOBAL_DER_FEV_2023!J540</f>
        <v>0</v>
      </c>
      <c r="K540" s="958" t="s">
        <v>507</v>
      </c>
      <c r="L540" s="959"/>
      <c r="M540" s="1157">
        <f t="shared" si="73"/>
        <v>0</v>
      </c>
      <c r="N540" s="893">
        <f t="shared" si="77"/>
        <v>0</v>
      </c>
      <c r="O540" s="905"/>
      <c r="P540" s="58" t="str">
        <f>IF(N538&gt;0,"xx",IF(N538&gt;0,"xy",""))</f>
        <v/>
      </c>
      <c r="Q540" s="317" t="str">
        <f t="shared" si="74"/>
        <v/>
      </c>
      <c r="R540" s="317" t="str">
        <f t="shared" si="75"/>
        <v/>
      </c>
      <c r="S540" s="317" t="str">
        <f t="shared" si="76"/>
        <v/>
      </c>
      <c r="T540" s="317" t="str">
        <f>GLOBAL_DER_FEV_2023!S540</f>
        <v/>
      </c>
      <c r="W540" s="582">
        <v>0</v>
      </c>
      <c r="X540" s="580"/>
      <c r="Y540" s="583">
        <f>IF(GLOBAL_DER_FEV_2023!W540=0,0,IF(GLOBAL_DER_FEV_2023!W540&gt;0,"c","b"))</f>
        <v>0</v>
      </c>
    </row>
    <row r="541" spans="1:25" x14ac:dyDescent="0.2">
      <c r="A541" s="317" t="s">
        <v>147</v>
      </c>
      <c r="B541" s="895" t="s">
        <v>147</v>
      </c>
      <c r="C541" s="896"/>
      <c r="D541" s="957" t="s">
        <v>233</v>
      </c>
      <c r="E541" s="907">
        <f>GLOBAL_DER_FEV_2023!E541</f>
        <v>0.2</v>
      </c>
      <c r="F541" s="908">
        <f>GLOBAL_DER_FEV_2023!F541</f>
        <v>1.1160000000000001</v>
      </c>
      <c r="G541" s="949">
        <f>GLOBAL_DER_FEV_2023!G541</f>
        <v>3.2297040000000004</v>
      </c>
      <c r="H541" s="901">
        <f>GLOBAL_DER_FEV_2023!H541</f>
        <v>0</v>
      </c>
      <c r="I541" s="901">
        <f>GLOBAL_DER_FEV_2023!I541</f>
        <v>0</v>
      </c>
      <c r="J541" s="902">
        <f>GLOBAL_DER_FEV_2023!J541</f>
        <v>0</v>
      </c>
      <c r="K541" s="903" t="s">
        <v>507</v>
      </c>
      <c r="L541" s="1003"/>
      <c r="M541" s="1157">
        <f t="shared" si="73"/>
        <v>0</v>
      </c>
      <c r="N541" s="893">
        <f t="shared" si="77"/>
        <v>0</v>
      </c>
      <c r="O541" s="905"/>
      <c r="P541" s="58" t="str">
        <f>IF(N537&gt;0,"xx",IF(N537&gt;0,"xy",""))</f>
        <v/>
      </c>
      <c r="Q541" s="317" t="str">
        <f t="shared" si="74"/>
        <v/>
      </c>
      <c r="R541" s="317" t="str">
        <f t="shared" si="75"/>
        <v/>
      </c>
      <c r="S541" s="317" t="str">
        <f t="shared" si="76"/>
        <v/>
      </c>
      <c r="T541" s="317" t="str">
        <f>GLOBAL_DER_FEV_2023!S541</f>
        <v/>
      </c>
      <c r="W541" s="582">
        <v>0</v>
      </c>
      <c r="X541" s="580"/>
      <c r="Y541" s="583">
        <f>IF(GLOBAL_DER_FEV_2023!W541=0,0,IF(GLOBAL_DER_FEV_2023!W541&gt;0,"c","b"))</f>
        <v>0</v>
      </c>
    </row>
    <row r="542" spans="1:25" ht="13.5" thickBot="1" x14ac:dyDescent="0.25">
      <c r="A542" s="317" t="s">
        <v>147</v>
      </c>
      <c r="B542" s="1004" t="s">
        <v>147</v>
      </c>
      <c r="C542" s="984"/>
      <c r="D542" s="1012" t="s">
        <v>244</v>
      </c>
      <c r="E542" s="1005">
        <f>GLOBAL_DER_FEV_2023!E542</f>
        <v>21</v>
      </c>
      <c r="F542" s="1006">
        <f>GLOBAL_DER_FEV_2023!F542</f>
        <v>2.1965000000000003</v>
      </c>
      <c r="G542" s="1028">
        <f>GLOBAL_DER_FEV_2023!G542</f>
        <v>55.241975000000011</v>
      </c>
      <c r="H542" s="988">
        <f>GLOBAL_DER_FEV_2023!H542</f>
        <v>0</v>
      </c>
      <c r="I542" s="988">
        <f>GLOBAL_DER_FEV_2023!I542</f>
        <v>0</v>
      </c>
      <c r="J542" s="989">
        <f>GLOBAL_DER_FEV_2023!J542</f>
        <v>0</v>
      </c>
      <c r="K542" s="1029" t="s">
        <v>507</v>
      </c>
      <c r="L542" s="1030"/>
      <c r="M542" s="1159">
        <f t="shared" si="73"/>
        <v>0</v>
      </c>
      <c r="N542" s="993">
        <f t="shared" si="77"/>
        <v>0</v>
      </c>
      <c r="O542" s="905"/>
      <c r="P542" s="58" t="str">
        <f>IF(N538&gt;0,"xx",IF(N538&gt;0,"xy",""))</f>
        <v/>
      </c>
      <c r="Q542" s="317" t="str">
        <f t="shared" si="74"/>
        <v/>
      </c>
      <c r="R542" s="317" t="str">
        <f t="shared" si="75"/>
        <v/>
      </c>
      <c r="S542" s="317" t="str">
        <f t="shared" si="76"/>
        <v/>
      </c>
      <c r="T542" s="317" t="str">
        <f>GLOBAL_DER_FEV_2023!S542</f>
        <v/>
      </c>
      <c r="W542" s="582">
        <v>0</v>
      </c>
      <c r="X542" s="580"/>
      <c r="Y542" s="583">
        <f>IF(GLOBAL_DER_FEV_2023!W542=0,0,IF(GLOBAL_DER_FEV_2023!W542&gt;0,"c","b"))</f>
        <v>0</v>
      </c>
    </row>
    <row r="543" spans="1:25" ht="45" x14ac:dyDescent="0.2">
      <c r="A543" s="317">
        <v>97104</v>
      </c>
      <c r="B543" s="883">
        <v>97104</v>
      </c>
      <c r="C543" s="884" t="s">
        <v>596</v>
      </c>
      <c r="D543" s="946" t="s">
        <v>1929</v>
      </c>
      <c r="E543" s="1031">
        <f>GLOBAL_DER_FEV_2023!E543</f>
        <v>21</v>
      </c>
      <c r="F543" s="947">
        <f>GLOBAL_DER_FEV_2023!F543</f>
        <v>0.36</v>
      </c>
      <c r="G543" s="949">
        <f>GLOBAL_DER_FEV_2023!G543</f>
        <v>9.0540000000000003</v>
      </c>
      <c r="H543" s="889">
        <f>GLOBAL_DER_FEV_2023!H543</f>
        <v>121.45</v>
      </c>
      <c r="I543" s="889">
        <f>GLOBAL_DER_FEV_2023!I543</f>
        <v>130.50399999999999</v>
      </c>
      <c r="J543" s="890">
        <f>GLOBAL_DER_FEV_2023!J543</f>
        <v>156.69999999999999</v>
      </c>
      <c r="K543" s="891" t="s">
        <v>12</v>
      </c>
      <c r="L543" s="1160"/>
      <c r="M543" s="1138">
        <f t="shared" si="73"/>
        <v>0</v>
      </c>
      <c r="N543" s="932">
        <f t="shared" si="77"/>
        <v>0</v>
      </c>
      <c r="O543" s="905"/>
      <c r="Q543" s="317" t="str">
        <f t="shared" si="74"/>
        <v/>
      </c>
      <c r="R543" s="317" t="str">
        <f t="shared" si="75"/>
        <v/>
      </c>
      <c r="S543" s="317" t="str">
        <f t="shared" si="76"/>
        <v/>
      </c>
      <c r="T543" s="317" t="str">
        <f>GLOBAL_DER_FEV_2023!S543</f>
        <v/>
      </c>
      <c r="W543" s="582">
        <v>0</v>
      </c>
      <c r="X543" s="580"/>
      <c r="Y543" s="583">
        <f>IF(GLOBAL_DER_FEV_2023!W543=0,0,IF(GLOBAL_DER_FEV_2023!W543&gt;0,"c","b"))</f>
        <v>0</v>
      </c>
    </row>
    <row r="544" spans="1:25" ht="45" x14ac:dyDescent="0.2">
      <c r="A544" s="317">
        <v>97105</v>
      </c>
      <c r="B544" s="895">
        <v>97105</v>
      </c>
      <c r="C544" s="896" t="s">
        <v>596</v>
      </c>
      <c r="D544" s="906" t="s">
        <v>1923</v>
      </c>
      <c r="E544" s="907">
        <f>GLOBAL_DER_FEV_2023!E544</f>
        <v>21</v>
      </c>
      <c r="F544" s="908">
        <f>GLOBAL_DER_FEV_2023!F544</f>
        <v>0.42</v>
      </c>
      <c r="G544" s="949">
        <f>GLOBAL_DER_FEV_2023!G544</f>
        <v>10.563000000000001</v>
      </c>
      <c r="H544" s="901">
        <f>GLOBAL_DER_FEV_2023!H544</f>
        <v>136.68</v>
      </c>
      <c r="I544" s="901">
        <f>GLOBAL_DER_FEV_2023!I544</f>
        <v>147.24299999999999</v>
      </c>
      <c r="J544" s="902">
        <f>GLOBAL_DER_FEV_2023!J544</f>
        <v>176.79</v>
      </c>
      <c r="K544" s="903" t="s">
        <v>12</v>
      </c>
      <c r="L544" s="1139"/>
      <c r="M544" s="1140">
        <f t="shared" si="73"/>
        <v>0</v>
      </c>
      <c r="N544" s="893">
        <f t="shared" si="77"/>
        <v>0</v>
      </c>
      <c r="O544" s="905"/>
      <c r="Q544" s="317" t="str">
        <f t="shared" si="74"/>
        <v/>
      </c>
      <c r="R544" s="317" t="str">
        <f t="shared" si="75"/>
        <v/>
      </c>
      <c r="S544" s="317" t="str">
        <f t="shared" si="76"/>
        <v/>
      </c>
      <c r="T544" s="317" t="str">
        <f>GLOBAL_DER_FEV_2023!S544</f>
        <v/>
      </c>
      <c r="W544" s="582">
        <v>0</v>
      </c>
      <c r="X544" s="580"/>
      <c r="Y544" s="583">
        <f>IF(GLOBAL_DER_FEV_2023!W544=0,0,IF(GLOBAL_DER_FEV_2023!W544&gt;0,"c","b"))</f>
        <v>0</v>
      </c>
    </row>
    <row r="545" spans="1:25" ht="45" x14ac:dyDescent="0.2">
      <c r="A545" s="317">
        <v>97106</v>
      </c>
      <c r="B545" s="895">
        <v>97106</v>
      </c>
      <c r="C545" s="896" t="s">
        <v>596</v>
      </c>
      <c r="D545" s="906" t="s">
        <v>1924</v>
      </c>
      <c r="E545" s="907">
        <f>GLOBAL_DER_FEV_2023!E545</f>
        <v>21</v>
      </c>
      <c r="F545" s="908">
        <f>GLOBAL_DER_FEV_2023!F545</f>
        <v>0.48</v>
      </c>
      <c r="G545" s="949">
        <f>GLOBAL_DER_FEV_2023!G545</f>
        <v>12.072000000000001</v>
      </c>
      <c r="H545" s="901">
        <f>GLOBAL_DER_FEV_2023!H545</f>
        <v>150.85</v>
      </c>
      <c r="I545" s="901">
        <f>GLOBAL_DER_FEV_2023!I545</f>
        <v>162.922</v>
      </c>
      <c r="J545" s="902">
        <f>GLOBAL_DER_FEV_2023!J545</f>
        <v>195.62</v>
      </c>
      <c r="K545" s="903" t="s">
        <v>12</v>
      </c>
      <c r="L545" s="1139"/>
      <c r="M545" s="1140">
        <f t="shared" si="73"/>
        <v>0</v>
      </c>
      <c r="N545" s="893">
        <f t="shared" si="77"/>
        <v>0</v>
      </c>
      <c r="O545" s="905"/>
      <c r="Q545" s="317" t="str">
        <f t="shared" si="74"/>
        <v/>
      </c>
      <c r="R545" s="317" t="str">
        <f t="shared" si="75"/>
        <v/>
      </c>
      <c r="S545" s="317" t="str">
        <f t="shared" si="76"/>
        <v/>
      </c>
      <c r="T545" s="317" t="str">
        <f>GLOBAL_DER_FEV_2023!S545</f>
        <v/>
      </c>
      <c r="W545" s="582">
        <v>0</v>
      </c>
      <c r="X545" s="580"/>
      <c r="Y545" s="583">
        <f>IF(GLOBAL_DER_FEV_2023!W545=0,0,IF(GLOBAL_DER_FEV_2023!W545&gt;0,"c","b"))</f>
        <v>0</v>
      </c>
    </row>
    <row r="546" spans="1:25" ht="45" x14ac:dyDescent="0.2">
      <c r="A546" s="317">
        <v>97107</v>
      </c>
      <c r="B546" s="895">
        <v>97107</v>
      </c>
      <c r="C546" s="896" t="s">
        <v>596</v>
      </c>
      <c r="D546" s="906" t="s">
        <v>1925</v>
      </c>
      <c r="E546" s="907">
        <f>GLOBAL_DER_FEV_2023!E546</f>
        <v>21</v>
      </c>
      <c r="F546" s="908">
        <f>GLOBAL_DER_FEV_2023!F546</f>
        <v>0.54</v>
      </c>
      <c r="G546" s="949">
        <f>GLOBAL_DER_FEV_2023!G546</f>
        <v>13.581000000000001</v>
      </c>
      <c r="H546" s="901">
        <f>GLOBAL_DER_FEV_2023!H546</f>
        <v>172.16</v>
      </c>
      <c r="I546" s="901">
        <f>GLOBAL_DER_FEV_2023!I546</f>
        <v>185.74099999999999</v>
      </c>
      <c r="J546" s="902">
        <f>GLOBAL_DER_FEV_2023!J546</f>
        <v>223.02</v>
      </c>
      <c r="K546" s="903" t="s">
        <v>12</v>
      </c>
      <c r="L546" s="1139"/>
      <c r="M546" s="1140">
        <f t="shared" si="73"/>
        <v>0</v>
      </c>
      <c r="N546" s="893">
        <f t="shared" si="77"/>
        <v>0</v>
      </c>
      <c r="O546" s="905"/>
      <c r="Q546" s="317" t="str">
        <f t="shared" si="74"/>
        <v/>
      </c>
      <c r="R546" s="317" t="str">
        <f t="shared" si="75"/>
        <v/>
      </c>
      <c r="S546" s="317" t="str">
        <f t="shared" si="76"/>
        <v/>
      </c>
      <c r="T546" s="317" t="str">
        <f>GLOBAL_DER_FEV_2023!S546</f>
        <v/>
      </c>
      <c r="W546" s="582">
        <v>0</v>
      </c>
      <c r="X546" s="580"/>
      <c r="Y546" s="583">
        <f>IF(GLOBAL_DER_FEV_2023!W546=0,0,IF(GLOBAL_DER_FEV_2023!W546&gt;0,"c","b"))</f>
        <v>0</v>
      </c>
    </row>
    <row r="547" spans="1:25" ht="45" x14ac:dyDescent="0.2">
      <c r="A547" s="317">
        <v>97108</v>
      </c>
      <c r="B547" s="895">
        <v>97108</v>
      </c>
      <c r="C547" s="896" t="s">
        <v>596</v>
      </c>
      <c r="D547" s="906" t="s">
        <v>1926</v>
      </c>
      <c r="E547" s="907">
        <f>GLOBAL_DER_FEV_2023!E547</f>
        <v>21</v>
      </c>
      <c r="F547" s="908">
        <f>GLOBAL_DER_FEV_2023!F547</f>
        <v>0.6</v>
      </c>
      <c r="G547" s="949">
        <f>GLOBAL_DER_FEV_2023!G547</f>
        <v>15.09</v>
      </c>
      <c r="H547" s="901">
        <f>GLOBAL_DER_FEV_2023!H547</f>
        <v>196.46</v>
      </c>
      <c r="I547" s="901">
        <f>GLOBAL_DER_FEV_2023!I547</f>
        <v>211.55</v>
      </c>
      <c r="J547" s="902">
        <f>GLOBAL_DER_FEV_2023!J547</f>
        <v>254.01</v>
      </c>
      <c r="K547" s="903" t="s">
        <v>12</v>
      </c>
      <c r="L547" s="1139"/>
      <c r="M547" s="1140">
        <f t="shared" si="73"/>
        <v>0</v>
      </c>
      <c r="N547" s="893">
        <f t="shared" si="77"/>
        <v>0</v>
      </c>
      <c r="O547" s="905"/>
      <c r="Q547" s="317" t="str">
        <f t="shared" si="74"/>
        <v/>
      </c>
      <c r="R547" s="317" t="str">
        <f t="shared" si="75"/>
        <v/>
      </c>
      <c r="S547" s="317" t="str">
        <f t="shared" si="76"/>
        <v/>
      </c>
      <c r="T547" s="317" t="str">
        <f>GLOBAL_DER_FEV_2023!S547</f>
        <v/>
      </c>
      <c r="W547" s="582">
        <v>0</v>
      </c>
      <c r="X547" s="580"/>
      <c r="Y547" s="583">
        <f>IF(GLOBAL_DER_FEV_2023!W547=0,0,IF(GLOBAL_DER_FEV_2023!W547&gt;0,"c","b"))</f>
        <v>0</v>
      </c>
    </row>
    <row r="548" spans="1:25" ht="45" x14ac:dyDescent="0.2">
      <c r="A548" s="317">
        <v>97109</v>
      </c>
      <c r="B548" s="895">
        <v>97109</v>
      </c>
      <c r="C548" s="896" t="s">
        <v>596</v>
      </c>
      <c r="D548" s="906" t="s">
        <v>1927</v>
      </c>
      <c r="E548" s="907">
        <f>GLOBAL_DER_FEV_2023!E548</f>
        <v>21</v>
      </c>
      <c r="F548" s="908">
        <f>GLOBAL_DER_FEV_2023!F548</f>
        <v>0.66</v>
      </c>
      <c r="G548" s="949">
        <f>GLOBAL_DER_FEV_2023!G548</f>
        <v>16.599000000000004</v>
      </c>
      <c r="H548" s="901">
        <f>GLOBAL_DER_FEV_2023!H548</f>
        <v>217</v>
      </c>
      <c r="I548" s="901">
        <f>GLOBAL_DER_FEV_2023!I548</f>
        <v>233.59899999999999</v>
      </c>
      <c r="J548" s="902">
        <f>GLOBAL_DER_FEV_2023!J548</f>
        <v>280.48</v>
      </c>
      <c r="K548" s="903" t="s">
        <v>12</v>
      </c>
      <c r="L548" s="1139"/>
      <c r="M548" s="1140">
        <f t="shared" si="73"/>
        <v>0</v>
      </c>
      <c r="N548" s="893">
        <f t="shared" si="77"/>
        <v>0</v>
      </c>
      <c r="O548" s="905"/>
      <c r="Q548" s="317" t="str">
        <f t="shared" si="74"/>
        <v/>
      </c>
      <c r="R548" s="317" t="str">
        <f t="shared" si="75"/>
        <v/>
      </c>
      <c r="S548" s="317" t="str">
        <f t="shared" si="76"/>
        <v/>
      </c>
      <c r="T548" s="317" t="str">
        <f>GLOBAL_DER_FEV_2023!S548</f>
        <v/>
      </c>
      <c r="W548" s="582">
        <v>0</v>
      </c>
      <c r="X548" s="580"/>
      <c r="Y548" s="583">
        <f>IF(GLOBAL_DER_FEV_2023!W548=0,0,IF(GLOBAL_DER_FEV_2023!W548&gt;0,"c","b"))</f>
        <v>0</v>
      </c>
    </row>
    <row r="549" spans="1:25" ht="22.5" x14ac:dyDescent="0.2">
      <c r="A549" s="317">
        <v>97111</v>
      </c>
      <c r="B549" s="895">
        <v>97111</v>
      </c>
      <c r="C549" s="896" t="s">
        <v>596</v>
      </c>
      <c r="D549" s="906" t="s">
        <v>1993</v>
      </c>
      <c r="E549" s="907">
        <f>GLOBAL_DER_FEV_2023!E549</f>
        <v>21</v>
      </c>
      <c r="F549" s="908">
        <f>GLOBAL_DER_FEV_2023!F549</f>
        <v>0.3</v>
      </c>
      <c r="G549" s="949">
        <f>GLOBAL_DER_FEV_2023!G549</f>
        <v>7.5449999999999999</v>
      </c>
      <c r="H549" s="901">
        <f>GLOBAL_DER_FEV_2023!H549</f>
        <v>274.89</v>
      </c>
      <c r="I549" s="901">
        <f>GLOBAL_DER_FEV_2023!I549</f>
        <v>282.435</v>
      </c>
      <c r="J549" s="902">
        <f>GLOBAL_DER_FEV_2023!J549</f>
        <v>339.12</v>
      </c>
      <c r="K549" s="903" t="s">
        <v>12</v>
      </c>
      <c r="L549" s="1139"/>
      <c r="M549" s="1140">
        <f t="shared" si="73"/>
        <v>0</v>
      </c>
      <c r="N549" s="893">
        <f t="shared" si="77"/>
        <v>0</v>
      </c>
      <c r="O549" s="905"/>
      <c r="Q549" s="317" t="str">
        <f t="shared" si="74"/>
        <v/>
      </c>
      <c r="R549" s="317" t="str">
        <f t="shared" si="75"/>
        <v/>
      </c>
      <c r="S549" s="317" t="str">
        <f t="shared" si="76"/>
        <v/>
      </c>
      <c r="T549" s="317" t="str">
        <f>GLOBAL_DER_FEV_2023!S549</f>
        <v/>
      </c>
      <c r="W549" s="582">
        <v>0</v>
      </c>
      <c r="X549" s="580"/>
      <c r="Y549" s="583">
        <f>IF(GLOBAL_DER_FEV_2023!W549=0,0,IF(GLOBAL_DER_FEV_2023!W549&gt;0,"c","b"))</f>
        <v>0</v>
      </c>
    </row>
    <row r="550" spans="1:25" ht="22.5" x14ac:dyDescent="0.2">
      <c r="A550" s="317">
        <v>97112</v>
      </c>
      <c r="B550" s="895">
        <v>97112</v>
      </c>
      <c r="C550" s="896" t="s">
        <v>596</v>
      </c>
      <c r="D550" s="906" t="s">
        <v>1998</v>
      </c>
      <c r="E550" s="907">
        <f>GLOBAL_DER_FEV_2023!E550</f>
        <v>21</v>
      </c>
      <c r="F550" s="908">
        <f>GLOBAL_DER_FEV_2023!F550</f>
        <v>0.36</v>
      </c>
      <c r="G550" s="949">
        <f>GLOBAL_DER_FEV_2023!G550</f>
        <v>9.0540000000000003</v>
      </c>
      <c r="H550" s="901">
        <f>GLOBAL_DER_FEV_2023!H550</f>
        <v>231.07</v>
      </c>
      <c r="I550" s="901">
        <f>GLOBAL_DER_FEV_2023!I550</f>
        <v>240.124</v>
      </c>
      <c r="J550" s="902">
        <f>GLOBAL_DER_FEV_2023!J550</f>
        <v>288.32</v>
      </c>
      <c r="K550" s="903" t="s">
        <v>12</v>
      </c>
      <c r="L550" s="1139"/>
      <c r="M550" s="1140">
        <f t="shared" si="73"/>
        <v>0</v>
      </c>
      <c r="N550" s="893">
        <f t="shared" si="77"/>
        <v>0</v>
      </c>
      <c r="O550" s="905"/>
      <c r="Q550" s="317" t="str">
        <f t="shared" si="74"/>
        <v/>
      </c>
      <c r="R550" s="317" t="str">
        <f t="shared" si="75"/>
        <v/>
      </c>
      <c r="S550" s="317" t="str">
        <f t="shared" si="76"/>
        <v/>
      </c>
      <c r="T550" s="317" t="str">
        <f>GLOBAL_DER_FEV_2023!S550</f>
        <v/>
      </c>
      <c r="W550" s="582">
        <v>0</v>
      </c>
      <c r="X550" s="580"/>
      <c r="Y550" s="583">
        <f>IF(GLOBAL_DER_FEV_2023!W550=0,0,IF(GLOBAL_DER_FEV_2023!W550&gt;0,"c","b"))</f>
        <v>0</v>
      </c>
    </row>
    <row r="551" spans="1:25" ht="22.5" x14ac:dyDescent="0.2">
      <c r="A551" s="317">
        <v>97112</v>
      </c>
      <c r="B551" s="895">
        <v>97112</v>
      </c>
      <c r="C551" s="896" t="s">
        <v>596</v>
      </c>
      <c r="D551" s="906" t="s">
        <v>1998</v>
      </c>
      <c r="E551" s="907">
        <f>GLOBAL_DER_FEV_2023!E551</f>
        <v>21</v>
      </c>
      <c r="F551" s="908">
        <f>GLOBAL_DER_FEV_2023!F551</f>
        <v>0.42</v>
      </c>
      <c r="G551" s="949">
        <f>GLOBAL_DER_FEV_2023!G551</f>
        <v>10.563000000000001</v>
      </c>
      <c r="H551" s="901">
        <f>GLOBAL_DER_FEV_2023!H551</f>
        <v>231.07</v>
      </c>
      <c r="I551" s="901">
        <f>GLOBAL_DER_FEV_2023!I551</f>
        <v>241.63299999999998</v>
      </c>
      <c r="J551" s="902">
        <f>GLOBAL_DER_FEV_2023!J551</f>
        <v>290.13</v>
      </c>
      <c r="K551" s="903" t="s">
        <v>12</v>
      </c>
      <c r="L551" s="1139"/>
      <c r="M551" s="1140">
        <f t="shared" si="73"/>
        <v>0</v>
      </c>
      <c r="N551" s="893">
        <f t="shared" si="77"/>
        <v>0</v>
      </c>
      <c r="O551" s="905"/>
      <c r="Q551" s="317" t="str">
        <f t="shared" si="74"/>
        <v/>
      </c>
      <c r="R551" s="317" t="str">
        <f t="shared" si="75"/>
        <v/>
      </c>
      <c r="S551" s="317" t="str">
        <f t="shared" si="76"/>
        <v/>
      </c>
      <c r="T551" s="317" t="str">
        <f>GLOBAL_DER_FEV_2023!S551</f>
        <v/>
      </c>
      <c r="W551" s="582">
        <v>0</v>
      </c>
      <c r="X551" s="580"/>
      <c r="Y551" s="583">
        <f>IF(GLOBAL_DER_FEV_2023!W551=0,0,IF(GLOBAL_DER_FEV_2023!W551&gt;0,"c","b"))</f>
        <v>0</v>
      </c>
    </row>
    <row r="552" spans="1:25" ht="45" x14ac:dyDescent="0.2">
      <c r="A552" s="317">
        <v>97113</v>
      </c>
      <c r="B552" s="895">
        <v>97113</v>
      </c>
      <c r="C552" s="896" t="s">
        <v>596</v>
      </c>
      <c r="D552" s="906" t="s">
        <v>1928</v>
      </c>
      <c r="E552" s="907">
        <f>GLOBAL_DER_FEV_2023!E552</f>
        <v>0</v>
      </c>
      <c r="F552" s="908">
        <f>GLOBAL_DER_FEV_2023!F552</f>
        <v>0</v>
      </c>
      <c r="G552" s="949">
        <f>GLOBAL_DER_FEV_2023!G552</f>
        <v>0</v>
      </c>
      <c r="H552" s="901">
        <f>GLOBAL_DER_FEV_2023!H552</f>
        <v>3.15</v>
      </c>
      <c r="I552" s="901">
        <f>GLOBAL_DER_FEV_2023!I552</f>
        <v>3.15</v>
      </c>
      <c r="J552" s="902">
        <f>GLOBAL_DER_FEV_2023!J552</f>
        <v>3.78</v>
      </c>
      <c r="K552" s="903" t="s">
        <v>12</v>
      </c>
      <c r="L552" s="1139"/>
      <c r="M552" s="1140">
        <f t="shared" si="73"/>
        <v>0</v>
      </c>
      <c r="N552" s="893">
        <f t="shared" si="77"/>
        <v>0</v>
      </c>
      <c r="O552" s="905"/>
      <c r="Q552" s="317" t="str">
        <f t="shared" si="74"/>
        <v/>
      </c>
      <c r="R552" s="317" t="str">
        <f t="shared" si="75"/>
        <v/>
      </c>
      <c r="S552" s="317" t="str">
        <f t="shared" si="76"/>
        <v/>
      </c>
      <c r="T552" s="317" t="str">
        <f>GLOBAL_DER_FEV_2023!S552</f>
        <v/>
      </c>
      <c r="W552" s="582">
        <v>0</v>
      </c>
      <c r="X552" s="580"/>
      <c r="Y552" s="583">
        <f>IF(GLOBAL_DER_FEV_2023!W552=0,0,IF(GLOBAL_DER_FEV_2023!W552&gt;0,"c","b"))</f>
        <v>0</v>
      </c>
    </row>
    <row r="553" spans="1:25" ht="22.5" x14ac:dyDescent="0.2">
      <c r="A553" s="317">
        <v>97114</v>
      </c>
      <c r="B553" s="895">
        <v>97114</v>
      </c>
      <c r="C553" s="896" t="s">
        <v>596</v>
      </c>
      <c r="D553" s="906" t="s">
        <v>1915</v>
      </c>
      <c r="E553" s="907">
        <f>GLOBAL_DER_FEV_2023!E553</f>
        <v>0</v>
      </c>
      <c r="F553" s="908">
        <f>GLOBAL_DER_FEV_2023!F553</f>
        <v>0</v>
      </c>
      <c r="G553" s="949">
        <f>GLOBAL_DER_FEV_2023!G553</f>
        <v>0</v>
      </c>
      <c r="H553" s="901">
        <f>GLOBAL_DER_FEV_2023!H553</f>
        <v>0.44</v>
      </c>
      <c r="I553" s="901">
        <f>GLOBAL_DER_FEV_2023!I553</f>
        <v>0.44</v>
      </c>
      <c r="J553" s="902">
        <f>GLOBAL_DER_FEV_2023!J553</f>
        <v>0.53</v>
      </c>
      <c r="K553" s="903" t="s">
        <v>13</v>
      </c>
      <c r="L553" s="1139"/>
      <c r="M553" s="1140">
        <f t="shared" si="73"/>
        <v>0</v>
      </c>
      <c r="N553" s="893">
        <f t="shared" si="77"/>
        <v>0</v>
      </c>
      <c r="O553" s="905"/>
      <c r="Q553" s="317" t="str">
        <f t="shared" si="74"/>
        <v/>
      </c>
      <c r="R553" s="317" t="str">
        <f t="shared" si="75"/>
        <v/>
      </c>
      <c r="S553" s="317" t="str">
        <f t="shared" si="76"/>
        <v/>
      </c>
      <c r="T553" s="317" t="str">
        <f>GLOBAL_DER_FEV_2023!S553</f>
        <v/>
      </c>
      <c r="W553" s="582">
        <v>0</v>
      </c>
      <c r="X553" s="580"/>
      <c r="Y553" s="583">
        <f>IF(GLOBAL_DER_FEV_2023!W553=0,0,IF(GLOBAL_DER_FEV_2023!W553&gt;0,"c","b"))</f>
        <v>0</v>
      </c>
    </row>
    <row r="554" spans="1:25" ht="22.5" x14ac:dyDescent="0.2">
      <c r="A554" s="317">
        <v>97115</v>
      </c>
      <c r="B554" s="895">
        <v>97115</v>
      </c>
      <c r="C554" s="896" t="s">
        <v>596</v>
      </c>
      <c r="D554" s="906" t="s">
        <v>1916</v>
      </c>
      <c r="E554" s="907">
        <f>GLOBAL_DER_FEV_2023!E554</f>
        <v>0</v>
      </c>
      <c r="F554" s="908">
        <f>GLOBAL_DER_FEV_2023!F554</f>
        <v>0</v>
      </c>
      <c r="G554" s="949">
        <f>GLOBAL_DER_FEV_2023!G554</f>
        <v>0</v>
      </c>
      <c r="H554" s="901">
        <f>GLOBAL_DER_FEV_2023!H554</f>
        <v>46.64</v>
      </c>
      <c r="I554" s="901">
        <f>GLOBAL_DER_FEV_2023!I554</f>
        <v>46.64</v>
      </c>
      <c r="J554" s="902">
        <f>GLOBAL_DER_FEV_2023!J554</f>
        <v>56</v>
      </c>
      <c r="K554" s="903" t="s">
        <v>16</v>
      </c>
      <c r="L554" s="1139"/>
      <c r="M554" s="1140">
        <f t="shared" si="73"/>
        <v>0</v>
      </c>
      <c r="N554" s="893">
        <f t="shared" si="77"/>
        <v>0</v>
      </c>
      <c r="O554" s="905"/>
      <c r="Q554" s="317" t="str">
        <f t="shared" si="74"/>
        <v/>
      </c>
      <c r="R554" s="317" t="str">
        <f t="shared" si="75"/>
        <v/>
      </c>
      <c r="S554" s="317" t="str">
        <f t="shared" si="76"/>
        <v/>
      </c>
      <c r="T554" s="317" t="str">
        <f>GLOBAL_DER_FEV_2023!S554</f>
        <v/>
      </c>
      <c r="W554" s="582">
        <v>0</v>
      </c>
      <c r="X554" s="580"/>
      <c r="Y554" s="583">
        <f>IF(GLOBAL_DER_FEV_2023!W554=0,0,IF(GLOBAL_DER_FEV_2023!W554&gt;0,"c","b"))</f>
        <v>0</v>
      </c>
    </row>
    <row r="555" spans="1:25" ht="22.5" x14ac:dyDescent="0.2">
      <c r="A555" s="317">
        <v>97116</v>
      </c>
      <c r="B555" s="895">
        <v>97116</v>
      </c>
      <c r="C555" s="896" t="s">
        <v>596</v>
      </c>
      <c r="D555" s="906" t="s">
        <v>1917</v>
      </c>
      <c r="E555" s="907">
        <f>GLOBAL_DER_FEV_2023!E555</f>
        <v>0</v>
      </c>
      <c r="F555" s="908">
        <f>GLOBAL_DER_FEV_2023!F555</f>
        <v>0</v>
      </c>
      <c r="G555" s="949">
        <f>GLOBAL_DER_FEV_2023!G555</f>
        <v>0</v>
      </c>
      <c r="H555" s="901">
        <f>GLOBAL_DER_FEV_2023!H555</f>
        <v>26.06</v>
      </c>
      <c r="I555" s="901">
        <f>GLOBAL_DER_FEV_2023!I555</f>
        <v>26.06</v>
      </c>
      <c r="J555" s="902">
        <f>GLOBAL_DER_FEV_2023!J555</f>
        <v>31.29</v>
      </c>
      <c r="K555" s="903" t="s">
        <v>16</v>
      </c>
      <c r="L555" s="1139"/>
      <c r="M555" s="1140">
        <f t="shared" si="73"/>
        <v>0</v>
      </c>
      <c r="N555" s="893">
        <f t="shared" si="77"/>
        <v>0</v>
      </c>
      <c r="O555" s="905"/>
      <c r="Q555" s="317" t="str">
        <f t="shared" si="74"/>
        <v/>
      </c>
      <c r="R555" s="317" t="str">
        <f t="shared" si="75"/>
        <v/>
      </c>
      <c r="S555" s="317" t="str">
        <f t="shared" si="76"/>
        <v/>
      </c>
      <c r="T555" s="317" t="str">
        <f>GLOBAL_DER_FEV_2023!S555</f>
        <v/>
      </c>
      <c r="W555" s="582">
        <v>0</v>
      </c>
      <c r="X555" s="580"/>
      <c r="Y555" s="583">
        <f>IF(GLOBAL_DER_FEV_2023!W555=0,0,IF(GLOBAL_DER_FEV_2023!W555&gt;0,"c","b"))</f>
        <v>0</v>
      </c>
    </row>
    <row r="556" spans="1:25" ht="22.5" x14ac:dyDescent="0.2">
      <c r="A556" s="317">
        <v>97117</v>
      </c>
      <c r="B556" s="895">
        <v>97117</v>
      </c>
      <c r="C556" s="896" t="s">
        <v>596</v>
      </c>
      <c r="D556" s="906" t="s">
        <v>1918</v>
      </c>
      <c r="E556" s="907">
        <f>GLOBAL_DER_FEV_2023!E556</f>
        <v>0</v>
      </c>
      <c r="F556" s="908">
        <f>GLOBAL_DER_FEV_2023!F556</f>
        <v>0</v>
      </c>
      <c r="G556" s="949">
        <f>GLOBAL_DER_FEV_2023!G556</f>
        <v>0</v>
      </c>
      <c r="H556" s="901">
        <f>GLOBAL_DER_FEV_2023!H556</f>
        <v>22.24</v>
      </c>
      <c r="I556" s="901">
        <f>GLOBAL_DER_FEV_2023!I556</f>
        <v>22.24</v>
      </c>
      <c r="J556" s="902">
        <f>GLOBAL_DER_FEV_2023!J556</f>
        <v>26.7</v>
      </c>
      <c r="K556" s="903" t="s">
        <v>16</v>
      </c>
      <c r="L556" s="1139"/>
      <c r="M556" s="1140">
        <f t="shared" si="73"/>
        <v>0</v>
      </c>
      <c r="N556" s="893">
        <f t="shared" si="77"/>
        <v>0</v>
      </c>
      <c r="O556" s="905"/>
      <c r="Q556" s="317" t="str">
        <f t="shared" si="74"/>
        <v/>
      </c>
      <c r="R556" s="317" t="str">
        <f t="shared" si="75"/>
        <v/>
      </c>
      <c r="S556" s="317" t="str">
        <f t="shared" si="76"/>
        <v/>
      </c>
      <c r="T556" s="317" t="str">
        <f>GLOBAL_DER_FEV_2023!S556</f>
        <v/>
      </c>
      <c r="W556" s="582">
        <v>0</v>
      </c>
      <c r="X556" s="580"/>
      <c r="Y556" s="583">
        <f>IF(GLOBAL_DER_FEV_2023!W556=0,0,IF(GLOBAL_DER_FEV_2023!W556&gt;0,"c","b"))</f>
        <v>0</v>
      </c>
    </row>
    <row r="557" spans="1:25" ht="22.5" x14ac:dyDescent="0.2">
      <c r="A557" s="317">
        <v>97118</v>
      </c>
      <c r="B557" s="895">
        <v>97118</v>
      </c>
      <c r="C557" s="896" t="s">
        <v>596</v>
      </c>
      <c r="D557" s="906" t="s">
        <v>1919</v>
      </c>
      <c r="E557" s="907">
        <f>GLOBAL_DER_FEV_2023!E557</f>
        <v>0</v>
      </c>
      <c r="F557" s="908">
        <f>GLOBAL_DER_FEV_2023!F557</f>
        <v>0</v>
      </c>
      <c r="G557" s="949">
        <f>GLOBAL_DER_FEV_2023!G557</f>
        <v>0</v>
      </c>
      <c r="H557" s="901">
        <f>GLOBAL_DER_FEV_2023!H557</f>
        <v>18.18</v>
      </c>
      <c r="I557" s="901">
        <f>GLOBAL_DER_FEV_2023!I557</f>
        <v>18.18</v>
      </c>
      <c r="J557" s="902">
        <f>GLOBAL_DER_FEV_2023!J557</f>
        <v>21.83</v>
      </c>
      <c r="K557" s="903" t="s">
        <v>16</v>
      </c>
      <c r="L557" s="1139"/>
      <c r="M557" s="1140">
        <f t="shared" si="73"/>
        <v>0</v>
      </c>
      <c r="N557" s="893">
        <f t="shared" si="77"/>
        <v>0</v>
      </c>
      <c r="O557" s="905"/>
      <c r="Q557" s="317" t="str">
        <f t="shared" si="74"/>
        <v/>
      </c>
      <c r="R557" s="317" t="str">
        <f t="shared" si="75"/>
        <v/>
      </c>
      <c r="S557" s="317" t="str">
        <f t="shared" si="76"/>
        <v/>
      </c>
      <c r="T557" s="317" t="str">
        <f>GLOBAL_DER_FEV_2023!S557</f>
        <v/>
      </c>
      <c r="W557" s="582">
        <v>0</v>
      </c>
      <c r="X557" s="580"/>
      <c r="Y557" s="583">
        <f>IF(GLOBAL_DER_FEV_2023!W557=0,0,IF(GLOBAL_DER_FEV_2023!W557&gt;0,"c","b"))</f>
        <v>0</v>
      </c>
    </row>
    <row r="558" spans="1:25" ht="22.5" x14ac:dyDescent="0.2">
      <c r="A558" s="317">
        <v>97119</v>
      </c>
      <c r="B558" s="895">
        <v>97119</v>
      </c>
      <c r="C558" s="896" t="s">
        <v>596</v>
      </c>
      <c r="D558" s="906" t="s">
        <v>1920</v>
      </c>
      <c r="E558" s="907">
        <f>GLOBAL_DER_FEV_2023!E558</f>
        <v>0</v>
      </c>
      <c r="F558" s="908">
        <f>GLOBAL_DER_FEV_2023!F558</f>
        <v>0</v>
      </c>
      <c r="G558" s="949">
        <f>GLOBAL_DER_FEV_2023!G558</f>
        <v>0</v>
      </c>
      <c r="H558" s="901">
        <f>GLOBAL_DER_FEV_2023!H558</f>
        <v>16.12</v>
      </c>
      <c r="I558" s="901">
        <f>GLOBAL_DER_FEV_2023!I558</f>
        <v>16.12</v>
      </c>
      <c r="J558" s="902">
        <f>GLOBAL_DER_FEV_2023!J558</f>
        <v>19.36</v>
      </c>
      <c r="K558" s="903" t="s">
        <v>16</v>
      </c>
      <c r="L558" s="1139"/>
      <c r="M558" s="1140">
        <f t="shared" si="73"/>
        <v>0</v>
      </c>
      <c r="N558" s="893">
        <f t="shared" si="77"/>
        <v>0</v>
      </c>
      <c r="O558" s="905"/>
      <c r="Q558" s="317" t="str">
        <f t="shared" si="74"/>
        <v/>
      </c>
      <c r="R558" s="317" t="str">
        <f t="shared" si="75"/>
        <v/>
      </c>
      <c r="S558" s="317" t="str">
        <f t="shared" si="76"/>
        <v/>
      </c>
      <c r="T558" s="317" t="str">
        <f>GLOBAL_DER_FEV_2023!S558</f>
        <v/>
      </c>
      <c r="W558" s="582">
        <v>0</v>
      </c>
      <c r="X558" s="580"/>
      <c r="Y558" s="583">
        <f>IF(GLOBAL_DER_FEV_2023!W558=0,0,IF(GLOBAL_DER_FEV_2023!W558&gt;0,"c","b"))</f>
        <v>0</v>
      </c>
    </row>
    <row r="559" spans="1:25" ht="22.5" x14ac:dyDescent="0.2">
      <c r="A559" s="317">
        <v>97120</v>
      </c>
      <c r="B559" s="895">
        <v>97120</v>
      </c>
      <c r="C559" s="896" t="s">
        <v>596</v>
      </c>
      <c r="D559" s="906" t="s">
        <v>1921</v>
      </c>
      <c r="E559" s="907">
        <f>GLOBAL_DER_FEV_2023!E559</f>
        <v>0</v>
      </c>
      <c r="F559" s="908">
        <f>GLOBAL_DER_FEV_2023!F559</f>
        <v>0</v>
      </c>
      <c r="G559" s="949">
        <f>GLOBAL_DER_FEV_2023!G559</f>
        <v>0</v>
      </c>
      <c r="H559" s="901">
        <f>GLOBAL_DER_FEV_2023!H559</f>
        <v>10.31</v>
      </c>
      <c r="I559" s="901">
        <f>GLOBAL_DER_FEV_2023!I559</f>
        <v>10.31</v>
      </c>
      <c r="J559" s="902">
        <f>GLOBAL_DER_FEV_2023!J559</f>
        <v>12.38</v>
      </c>
      <c r="K559" s="903" t="s">
        <v>16</v>
      </c>
      <c r="L559" s="1139"/>
      <c r="M559" s="1140">
        <f t="shared" si="73"/>
        <v>0</v>
      </c>
      <c r="N559" s="893">
        <f t="shared" si="77"/>
        <v>0</v>
      </c>
      <c r="O559" s="905"/>
      <c r="Q559" s="317" t="str">
        <f t="shared" si="74"/>
        <v/>
      </c>
      <c r="R559" s="317" t="str">
        <f t="shared" si="75"/>
        <v/>
      </c>
      <c r="S559" s="317" t="str">
        <f t="shared" si="76"/>
        <v/>
      </c>
      <c r="T559" s="317" t="str">
        <f>GLOBAL_DER_FEV_2023!S559</f>
        <v/>
      </c>
      <c r="W559" s="582">
        <v>0</v>
      </c>
      <c r="X559" s="580"/>
      <c r="Y559" s="583">
        <f>IF(GLOBAL_DER_FEV_2023!W559=0,0,IF(GLOBAL_DER_FEV_2023!W559&gt;0,"c","b"))</f>
        <v>0</v>
      </c>
    </row>
    <row r="560" spans="1:25" ht="13.5" thickBot="1" x14ac:dyDescent="0.25">
      <c r="A560" s="317">
        <v>96395</v>
      </c>
      <c r="B560" s="895">
        <v>96395</v>
      </c>
      <c r="C560" s="896" t="s">
        <v>596</v>
      </c>
      <c r="D560" s="906" t="s">
        <v>1922</v>
      </c>
      <c r="E560" s="907">
        <f>GLOBAL_DER_FEV_2023!E560</f>
        <v>0</v>
      </c>
      <c r="F560" s="908">
        <f>GLOBAL_DER_FEV_2023!F560</f>
        <v>0</v>
      </c>
      <c r="G560" s="949">
        <f>GLOBAL_DER_FEV_2023!G560</f>
        <v>0</v>
      </c>
      <c r="H560" s="901">
        <f>GLOBAL_DER_FEV_2023!H560</f>
        <v>232.87</v>
      </c>
      <c r="I560" s="901">
        <f>GLOBAL_DER_FEV_2023!I560</f>
        <v>232.87</v>
      </c>
      <c r="J560" s="902">
        <f>GLOBAL_DER_FEV_2023!J560</f>
        <v>279.61</v>
      </c>
      <c r="K560" s="903" t="s">
        <v>10</v>
      </c>
      <c r="L560" s="1139"/>
      <c r="M560" s="1140">
        <f t="shared" si="73"/>
        <v>0</v>
      </c>
      <c r="N560" s="893">
        <f t="shared" si="77"/>
        <v>0</v>
      </c>
      <c r="O560" s="905"/>
      <c r="Q560" s="317" t="str">
        <f t="shared" si="74"/>
        <v/>
      </c>
      <c r="R560" s="317" t="str">
        <f t="shared" si="75"/>
        <v/>
      </c>
      <c r="S560" s="317" t="str">
        <f t="shared" si="76"/>
        <v/>
      </c>
      <c r="T560" s="317" t="str">
        <f>GLOBAL_DER_FEV_2023!S560</f>
        <v/>
      </c>
      <c r="W560" s="582">
        <v>0</v>
      </c>
      <c r="X560" s="580"/>
      <c r="Y560" s="583">
        <f>IF(GLOBAL_DER_FEV_2023!W560=0,0,IF(GLOBAL_DER_FEV_2023!W560&gt;0,"c","b"))</f>
        <v>0</v>
      </c>
    </row>
    <row r="561" spans="1:25" x14ac:dyDescent="0.2">
      <c r="A561" s="317">
        <v>505000</v>
      </c>
      <c r="B561" s="999">
        <v>505000</v>
      </c>
      <c r="C561" s="1000" t="s">
        <v>184</v>
      </c>
      <c r="D561" s="973" t="s">
        <v>246</v>
      </c>
      <c r="E561" s="1026">
        <f>GLOBAL_DER_FEV_2023!E561</f>
        <v>3</v>
      </c>
      <c r="F561" s="975">
        <f>GLOBAL_DER_FEV_2023!F561</f>
        <v>2.4</v>
      </c>
      <c r="G561" s="976">
        <f>GLOBAL_DER_FEV_2023!G561</f>
        <v>14.136000000000001</v>
      </c>
      <c r="H561" s="977">
        <f>GLOBAL_DER_FEV_2023!H561</f>
        <v>233.68</v>
      </c>
      <c r="I561" s="977">
        <f>GLOBAL_DER_FEV_2023!I561</f>
        <v>247.816</v>
      </c>
      <c r="J561" s="890">
        <f>GLOBAL_DER_FEV_2023!J561</f>
        <v>297.55</v>
      </c>
      <c r="K561" s="979" t="s">
        <v>10</v>
      </c>
      <c r="L561" s="1137"/>
      <c r="M561" s="1138">
        <f t="shared" si="73"/>
        <v>0</v>
      </c>
      <c r="N561" s="932">
        <f t="shared" si="77"/>
        <v>0</v>
      </c>
      <c r="O561" s="905"/>
      <c r="Q561" s="317" t="str">
        <f t="shared" si="74"/>
        <v/>
      </c>
      <c r="R561" s="317" t="str">
        <f t="shared" si="75"/>
        <v/>
      </c>
      <c r="S561" s="317" t="str">
        <f t="shared" si="76"/>
        <v/>
      </c>
      <c r="T561" s="317" t="str">
        <f>GLOBAL_DER_FEV_2023!S561</f>
        <v/>
      </c>
      <c r="W561" s="582">
        <v>0</v>
      </c>
      <c r="X561" s="580"/>
      <c r="Y561" s="583">
        <f>IF(GLOBAL_DER_FEV_2023!W561=0,0,IF(GLOBAL_DER_FEV_2023!W561&gt;0,"c","b"))</f>
        <v>0</v>
      </c>
    </row>
    <row r="562" spans="1:25" x14ac:dyDescent="0.2">
      <c r="A562" s="317">
        <v>505100</v>
      </c>
      <c r="B562" s="895">
        <v>505100</v>
      </c>
      <c r="C562" s="896" t="s">
        <v>184</v>
      </c>
      <c r="D562" s="906" t="s">
        <v>247</v>
      </c>
      <c r="E562" s="907">
        <f>GLOBAL_DER_FEV_2023!E562</f>
        <v>3</v>
      </c>
      <c r="F562" s="908">
        <f>GLOBAL_DER_FEV_2023!F562</f>
        <v>2.4</v>
      </c>
      <c r="G562" s="949">
        <f>GLOBAL_DER_FEV_2023!G562</f>
        <v>14.136000000000001</v>
      </c>
      <c r="H562" s="901">
        <f>GLOBAL_DER_FEV_2023!H562</f>
        <v>301.82</v>
      </c>
      <c r="I562" s="901">
        <f>GLOBAL_DER_FEV_2023!I562</f>
        <v>315.95600000000002</v>
      </c>
      <c r="J562" s="902">
        <f>GLOBAL_DER_FEV_2023!J562</f>
        <v>379.37</v>
      </c>
      <c r="K562" s="903" t="s">
        <v>10</v>
      </c>
      <c r="L562" s="1139"/>
      <c r="M562" s="1140">
        <f t="shared" si="73"/>
        <v>0</v>
      </c>
      <c r="N562" s="893">
        <f t="shared" si="77"/>
        <v>0</v>
      </c>
      <c r="O562" s="905"/>
      <c r="Q562" s="317" t="str">
        <f t="shared" si="74"/>
        <v/>
      </c>
      <c r="R562" s="317" t="str">
        <f t="shared" si="75"/>
        <v/>
      </c>
      <c r="S562" s="317" t="str">
        <f t="shared" si="76"/>
        <v/>
      </c>
      <c r="T562" s="317" t="str">
        <f>GLOBAL_DER_FEV_2023!S562</f>
        <v/>
      </c>
      <c r="W562" s="582">
        <v>0</v>
      </c>
      <c r="X562" s="580"/>
      <c r="Y562" s="583">
        <f>IF(GLOBAL_DER_FEV_2023!W562=0,0,IF(GLOBAL_DER_FEV_2023!W562&gt;0,"c","b"))</f>
        <v>0</v>
      </c>
    </row>
    <row r="563" spans="1:25" x14ac:dyDescent="0.2">
      <c r="A563" s="317" t="s">
        <v>165</v>
      </c>
      <c r="B563" s="913" t="s">
        <v>165</v>
      </c>
      <c r="C563" s="914"/>
      <c r="D563" s="915" t="s">
        <v>204</v>
      </c>
      <c r="E563" s="916">
        <f>GLOBAL_DER_FEV_2023!E563</f>
        <v>0</v>
      </c>
      <c r="F563" s="917">
        <f>GLOBAL_DER_FEV_2023!F563</f>
        <v>0</v>
      </c>
      <c r="G563" s="918">
        <f>GLOBAL_DER_FEV_2023!G563</f>
        <v>0</v>
      </c>
      <c r="H563" s="919">
        <f>GLOBAL_DER_FEV_2023!H563</f>
        <v>0</v>
      </c>
      <c r="I563" s="919">
        <f>GLOBAL_DER_FEV_2023!I563</f>
        <v>0</v>
      </c>
      <c r="J563" s="919">
        <f>GLOBAL_DER_FEV_2023!J563</f>
        <v>0</v>
      </c>
      <c r="K563" s="920" t="s">
        <v>507</v>
      </c>
      <c r="L563" s="921"/>
      <c r="M563" s="922"/>
      <c r="N563" s="923">
        <f t="shared" si="77"/>
        <v>0</v>
      </c>
      <c r="O563" s="905"/>
      <c r="P563" s="58" t="str">
        <f>IF(OR(SUM(N564:N588)&gt;0,SUM(N564:N588)&gt;0),"y","")</f>
        <v/>
      </c>
      <c r="Q563" s="317" t="str">
        <f t="shared" si="74"/>
        <v/>
      </c>
      <c r="R563" s="317" t="str">
        <f t="shared" si="75"/>
        <v/>
      </c>
      <c r="S563" s="317" t="str">
        <f t="shared" si="76"/>
        <v/>
      </c>
      <c r="T563" s="317" t="str">
        <f>GLOBAL_DER_FEV_2023!S563</f>
        <v/>
      </c>
      <c r="W563" s="582">
        <v>0</v>
      </c>
      <c r="X563" s="580"/>
      <c r="Y563" s="583">
        <f>IF(GLOBAL_DER_FEV_2023!W563=0,0,IF(GLOBAL_DER_FEV_2023!W563&gt;0,"c","b"))</f>
        <v>0</v>
      </c>
    </row>
    <row r="564" spans="1:25" x14ac:dyDescent="0.2">
      <c r="A564" s="317" t="s">
        <v>165</v>
      </c>
      <c r="B564" s="1036" t="str">
        <f>GLOBAL_DER_FEV_2023!B564</f>
        <v/>
      </c>
      <c r="C564" s="1072" t="str">
        <f>GLOBAL_DER_FEV_2023!C564</f>
        <v/>
      </c>
      <c r="D564" s="1141">
        <f>GLOBAL_DER_FEV_2023!D564</f>
        <v>0</v>
      </c>
      <c r="E564" s="907">
        <f>GLOBAL_DER_FEV_2023!E564</f>
        <v>0</v>
      </c>
      <c r="F564" s="908">
        <f>GLOBAL_DER_FEV_2023!F564</f>
        <v>0</v>
      </c>
      <c r="G564" s="912">
        <f>GLOBAL_DER_FEV_2023!G564</f>
        <v>0</v>
      </c>
      <c r="H564" s="901">
        <f>GLOBAL_DER_FEV_2023!H564</f>
        <v>0</v>
      </c>
      <c r="I564" s="901" t="str">
        <f>GLOBAL_DER_FEV_2023!I564</f>
        <v/>
      </c>
      <c r="J564" s="902" t="str">
        <f>GLOBAL_DER_FEV_2023!J564</f>
        <v/>
      </c>
      <c r="K564" s="903" t="str">
        <f>GLOBAL_DER_FEV_2023!K564</f>
        <v xml:space="preserve">     </v>
      </c>
      <c r="L564" s="1137"/>
      <c r="M564" s="1140">
        <f t="shared" si="73"/>
        <v>0</v>
      </c>
      <c r="N564" s="893">
        <f t="shared" si="77"/>
        <v>0</v>
      </c>
      <c r="O564" s="905"/>
      <c r="Q564" s="317" t="str">
        <f t="shared" si="74"/>
        <v/>
      </c>
      <c r="R564" s="317" t="str">
        <f t="shared" si="75"/>
        <v/>
      </c>
      <c r="S564" s="317" t="str">
        <f t="shared" si="76"/>
        <v/>
      </c>
      <c r="T564" s="317" t="str">
        <f>GLOBAL_DER_FEV_2023!S564</f>
        <v/>
      </c>
      <c r="W564" s="582">
        <v>0</v>
      </c>
      <c r="X564" s="580"/>
      <c r="Y564" s="583">
        <f>IF(GLOBAL_DER_FEV_2023!W564=0,0,IF(GLOBAL_DER_FEV_2023!W564&gt;0,"c","b"))</f>
        <v>0</v>
      </c>
    </row>
    <row r="565" spans="1:25" x14ac:dyDescent="0.2">
      <c r="A565" s="317" t="s">
        <v>165</v>
      </c>
      <c r="B565" s="1036" t="str">
        <f>GLOBAL_DER_FEV_2023!B565</f>
        <v/>
      </c>
      <c r="C565" s="1072" t="str">
        <f>GLOBAL_DER_FEV_2023!C565</f>
        <v/>
      </c>
      <c r="D565" s="1141">
        <f>GLOBAL_DER_FEV_2023!D565</f>
        <v>0</v>
      </c>
      <c r="E565" s="907">
        <f>GLOBAL_DER_FEV_2023!E565</f>
        <v>0</v>
      </c>
      <c r="F565" s="908">
        <f>GLOBAL_DER_FEV_2023!F565</f>
        <v>0</v>
      </c>
      <c r="G565" s="912">
        <f>GLOBAL_DER_FEV_2023!G565</f>
        <v>0</v>
      </c>
      <c r="H565" s="901">
        <f>GLOBAL_DER_FEV_2023!H565</f>
        <v>0</v>
      </c>
      <c r="I565" s="901">
        <f>GLOBAL_DER_FEV_2023!I565</f>
        <v>0</v>
      </c>
      <c r="J565" s="890">
        <f>GLOBAL_DER_FEV_2023!J565</f>
        <v>0</v>
      </c>
      <c r="K565" s="903" t="str">
        <f>GLOBAL_DER_FEV_2023!K565</f>
        <v xml:space="preserve">     </v>
      </c>
      <c r="L565" s="1137"/>
      <c r="M565" s="1140">
        <f t="shared" si="73"/>
        <v>0</v>
      </c>
      <c r="N565" s="932">
        <f t="shared" si="77"/>
        <v>0</v>
      </c>
      <c r="O565" s="905"/>
      <c r="Q565" s="317" t="str">
        <f t="shared" si="74"/>
        <v/>
      </c>
      <c r="R565" s="317" t="str">
        <f t="shared" si="75"/>
        <v/>
      </c>
      <c r="S565" s="317" t="str">
        <f t="shared" si="76"/>
        <v/>
      </c>
      <c r="T565" s="317" t="str">
        <f>GLOBAL_DER_FEV_2023!S565</f>
        <v/>
      </c>
      <c r="W565" s="582">
        <v>0</v>
      </c>
      <c r="X565" s="580"/>
      <c r="Y565" s="583">
        <f>IF(GLOBAL_DER_FEV_2023!W565=0,0,IF(GLOBAL_DER_FEV_2023!W565&gt;0,"c","b"))</f>
        <v>0</v>
      </c>
    </row>
    <row r="566" spans="1:25" x14ac:dyDescent="0.2">
      <c r="A566" s="317" t="s">
        <v>165</v>
      </c>
      <c r="B566" s="1036" t="str">
        <f>GLOBAL_DER_FEV_2023!B566</f>
        <v/>
      </c>
      <c r="C566" s="1072" t="str">
        <f>GLOBAL_DER_FEV_2023!C566</f>
        <v/>
      </c>
      <c r="D566" s="1141">
        <f>GLOBAL_DER_FEV_2023!D566</f>
        <v>0</v>
      </c>
      <c r="E566" s="907">
        <f>GLOBAL_DER_FEV_2023!E566</f>
        <v>0</v>
      </c>
      <c r="F566" s="908">
        <f>GLOBAL_DER_FEV_2023!F566</f>
        <v>0</v>
      </c>
      <c r="G566" s="912">
        <f>GLOBAL_DER_FEV_2023!G566</f>
        <v>0</v>
      </c>
      <c r="H566" s="901">
        <f>GLOBAL_DER_FEV_2023!H566</f>
        <v>0</v>
      </c>
      <c r="I566" s="901">
        <f>GLOBAL_DER_FEV_2023!I566</f>
        <v>0</v>
      </c>
      <c r="J566" s="890">
        <f>GLOBAL_DER_FEV_2023!J566</f>
        <v>0</v>
      </c>
      <c r="K566" s="903" t="str">
        <f>GLOBAL_DER_FEV_2023!K566</f>
        <v xml:space="preserve">     </v>
      </c>
      <c r="L566" s="1137"/>
      <c r="M566" s="1140">
        <f t="shared" si="73"/>
        <v>0</v>
      </c>
      <c r="N566" s="932">
        <f t="shared" si="77"/>
        <v>0</v>
      </c>
      <c r="O566" s="905"/>
      <c r="Q566" s="317" t="str">
        <f t="shared" si="74"/>
        <v/>
      </c>
      <c r="R566" s="317" t="str">
        <f t="shared" si="75"/>
        <v/>
      </c>
      <c r="S566" s="317" t="str">
        <f t="shared" si="76"/>
        <v/>
      </c>
      <c r="T566" s="317" t="str">
        <f>GLOBAL_DER_FEV_2023!S566</f>
        <v/>
      </c>
      <c r="W566" s="582">
        <v>0</v>
      </c>
      <c r="X566" s="580"/>
      <c r="Y566" s="583">
        <f>IF(GLOBAL_DER_FEV_2023!W566=0,0,IF(GLOBAL_DER_FEV_2023!W566&gt;0,"c","b"))</f>
        <v>0</v>
      </c>
    </row>
    <row r="567" spans="1:25" x14ac:dyDescent="0.2">
      <c r="A567" s="317" t="s">
        <v>165</v>
      </c>
      <c r="B567" s="1036" t="str">
        <f>GLOBAL_DER_FEV_2023!B567</f>
        <v/>
      </c>
      <c r="C567" s="1072" t="str">
        <f>GLOBAL_DER_FEV_2023!C567</f>
        <v/>
      </c>
      <c r="D567" s="1141">
        <f>GLOBAL_DER_FEV_2023!D567</f>
        <v>0</v>
      </c>
      <c r="E567" s="907">
        <f>GLOBAL_DER_FEV_2023!E567</f>
        <v>0</v>
      </c>
      <c r="F567" s="908">
        <f>GLOBAL_DER_FEV_2023!F567</f>
        <v>0</v>
      </c>
      <c r="G567" s="912">
        <f>GLOBAL_DER_FEV_2023!G567</f>
        <v>0</v>
      </c>
      <c r="H567" s="901">
        <f>GLOBAL_DER_FEV_2023!H567</f>
        <v>0</v>
      </c>
      <c r="I567" s="901">
        <f>GLOBAL_DER_FEV_2023!I567</f>
        <v>0</v>
      </c>
      <c r="J567" s="890">
        <f>GLOBAL_DER_FEV_2023!J567</f>
        <v>0</v>
      </c>
      <c r="K567" s="903" t="str">
        <f>GLOBAL_DER_FEV_2023!K567</f>
        <v xml:space="preserve">     </v>
      </c>
      <c r="L567" s="1137"/>
      <c r="M567" s="1140">
        <f t="shared" si="73"/>
        <v>0</v>
      </c>
      <c r="N567" s="932">
        <f t="shared" si="77"/>
        <v>0</v>
      </c>
      <c r="O567" s="905"/>
      <c r="Q567" s="317" t="str">
        <f t="shared" si="74"/>
        <v/>
      </c>
      <c r="R567" s="317" t="str">
        <f t="shared" si="75"/>
        <v/>
      </c>
      <c r="S567" s="317" t="str">
        <f t="shared" si="76"/>
        <v/>
      </c>
      <c r="T567" s="317" t="str">
        <f>GLOBAL_DER_FEV_2023!S567</f>
        <v/>
      </c>
      <c r="W567" s="582">
        <v>0</v>
      </c>
      <c r="X567" s="580"/>
      <c r="Y567" s="583">
        <f>IF(GLOBAL_DER_FEV_2023!W567=0,0,IF(GLOBAL_DER_FEV_2023!W567&gt;0,"c","b"))</f>
        <v>0</v>
      </c>
    </row>
    <row r="568" spans="1:25" x14ac:dyDescent="0.2">
      <c r="A568" s="317" t="s">
        <v>165</v>
      </c>
      <c r="B568" s="1036" t="str">
        <f>GLOBAL_DER_FEV_2023!B568</f>
        <v/>
      </c>
      <c r="C568" s="1072" t="str">
        <f>GLOBAL_DER_FEV_2023!C568</f>
        <v/>
      </c>
      <c r="D568" s="1141">
        <f>GLOBAL_DER_FEV_2023!D568</f>
        <v>0</v>
      </c>
      <c r="E568" s="907">
        <f>GLOBAL_DER_FEV_2023!E568</f>
        <v>0</v>
      </c>
      <c r="F568" s="908">
        <f>GLOBAL_DER_FEV_2023!F568</f>
        <v>0</v>
      </c>
      <c r="G568" s="912">
        <f>GLOBAL_DER_FEV_2023!G568</f>
        <v>0</v>
      </c>
      <c r="H568" s="901">
        <f>GLOBAL_DER_FEV_2023!H568</f>
        <v>0</v>
      </c>
      <c r="I568" s="901">
        <f>GLOBAL_DER_FEV_2023!I568</f>
        <v>0</v>
      </c>
      <c r="J568" s="890">
        <f>GLOBAL_DER_FEV_2023!J568</f>
        <v>0</v>
      </c>
      <c r="K568" s="903" t="str">
        <f>GLOBAL_DER_FEV_2023!K568</f>
        <v xml:space="preserve">     </v>
      </c>
      <c r="L568" s="1137"/>
      <c r="M568" s="1140">
        <f t="shared" si="73"/>
        <v>0</v>
      </c>
      <c r="N568" s="932">
        <f t="shared" si="77"/>
        <v>0</v>
      </c>
      <c r="O568" s="905"/>
      <c r="Q568" s="317" t="str">
        <f t="shared" si="74"/>
        <v/>
      </c>
      <c r="R568" s="317" t="str">
        <f t="shared" si="75"/>
        <v/>
      </c>
      <c r="S568" s="317" t="str">
        <f t="shared" si="76"/>
        <v/>
      </c>
      <c r="T568" s="317" t="str">
        <f>GLOBAL_DER_FEV_2023!S568</f>
        <v/>
      </c>
      <c r="W568" s="582">
        <v>0</v>
      </c>
      <c r="X568" s="580"/>
      <c r="Y568" s="583">
        <f>IF(GLOBAL_DER_FEV_2023!W568=0,0,IF(GLOBAL_DER_FEV_2023!W568&gt;0,"c","b"))</f>
        <v>0</v>
      </c>
    </row>
    <row r="569" spans="1:25" x14ac:dyDescent="0.2">
      <c r="A569" s="317" t="s">
        <v>165</v>
      </c>
      <c r="B569" s="1036" t="str">
        <f>GLOBAL_DER_FEV_2023!B569</f>
        <v/>
      </c>
      <c r="C569" s="1072" t="str">
        <f>GLOBAL_DER_FEV_2023!C569</f>
        <v/>
      </c>
      <c r="D569" s="1141">
        <f>GLOBAL_DER_FEV_2023!D569</f>
        <v>0</v>
      </c>
      <c r="E569" s="907">
        <f>GLOBAL_DER_FEV_2023!E569</f>
        <v>0</v>
      </c>
      <c r="F569" s="908">
        <f>GLOBAL_DER_FEV_2023!F569</f>
        <v>0</v>
      </c>
      <c r="G569" s="912">
        <f>GLOBAL_DER_FEV_2023!G569</f>
        <v>0</v>
      </c>
      <c r="H569" s="901">
        <f>GLOBAL_DER_FEV_2023!H569</f>
        <v>0</v>
      </c>
      <c r="I569" s="901">
        <f>GLOBAL_DER_FEV_2023!I569</f>
        <v>0</v>
      </c>
      <c r="J569" s="890">
        <f>GLOBAL_DER_FEV_2023!J569</f>
        <v>0</v>
      </c>
      <c r="K569" s="903" t="str">
        <f>GLOBAL_DER_FEV_2023!K569</f>
        <v xml:space="preserve">     </v>
      </c>
      <c r="L569" s="1137"/>
      <c r="M569" s="1140">
        <f t="shared" si="73"/>
        <v>0</v>
      </c>
      <c r="N569" s="932">
        <f t="shared" si="77"/>
        <v>0</v>
      </c>
      <c r="O569" s="905"/>
      <c r="Q569" s="317" t="str">
        <f t="shared" si="74"/>
        <v/>
      </c>
      <c r="R569" s="317" t="str">
        <f t="shared" si="75"/>
        <v/>
      </c>
      <c r="S569" s="317" t="str">
        <f t="shared" si="76"/>
        <v/>
      </c>
      <c r="T569" s="317" t="str">
        <f>GLOBAL_DER_FEV_2023!S569</f>
        <v/>
      </c>
      <c r="W569" s="582">
        <v>0</v>
      </c>
      <c r="X569" s="580"/>
      <c r="Y569" s="583">
        <f>IF(GLOBAL_DER_FEV_2023!W569=0,0,IF(GLOBAL_DER_FEV_2023!W569&gt;0,"c","b"))</f>
        <v>0</v>
      </c>
    </row>
    <row r="570" spans="1:25" x14ac:dyDescent="0.2">
      <c r="A570" s="317" t="s">
        <v>165</v>
      </c>
      <c r="B570" s="1036" t="str">
        <f>GLOBAL_DER_FEV_2023!B570</f>
        <v/>
      </c>
      <c r="C570" s="1072" t="str">
        <f>GLOBAL_DER_FEV_2023!C570</f>
        <v/>
      </c>
      <c r="D570" s="1141">
        <f>GLOBAL_DER_FEV_2023!D570</f>
        <v>0</v>
      </c>
      <c r="E570" s="907">
        <f>GLOBAL_DER_FEV_2023!E570</f>
        <v>0</v>
      </c>
      <c r="F570" s="908">
        <f>GLOBAL_DER_FEV_2023!F570</f>
        <v>0</v>
      </c>
      <c r="G570" s="912">
        <f>GLOBAL_DER_FEV_2023!G570</f>
        <v>0</v>
      </c>
      <c r="H570" s="901">
        <f>GLOBAL_DER_FEV_2023!H570</f>
        <v>0</v>
      </c>
      <c r="I570" s="901">
        <f>GLOBAL_DER_FEV_2023!I570</f>
        <v>0</v>
      </c>
      <c r="J570" s="890">
        <f>GLOBAL_DER_FEV_2023!J570</f>
        <v>0</v>
      </c>
      <c r="K570" s="903" t="str">
        <f>GLOBAL_DER_FEV_2023!K570</f>
        <v xml:space="preserve">     </v>
      </c>
      <c r="L570" s="1137"/>
      <c r="M570" s="1140">
        <f t="shared" si="73"/>
        <v>0</v>
      </c>
      <c r="N570" s="932">
        <f t="shared" si="77"/>
        <v>0</v>
      </c>
      <c r="O570" s="905"/>
      <c r="Q570" s="317" t="str">
        <f t="shared" si="74"/>
        <v/>
      </c>
      <c r="R570" s="317" t="str">
        <f t="shared" si="75"/>
        <v/>
      </c>
      <c r="S570" s="317" t="str">
        <f t="shared" si="76"/>
        <v/>
      </c>
      <c r="T570" s="317" t="str">
        <f>GLOBAL_DER_FEV_2023!S570</f>
        <v/>
      </c>
      <c r="W570" s="582">
        <v>0</v>
      </c>
      <c r="X570" s="580"/>
      <c r="Y570" s="583">
        <f>IF(GLOBAL_DER_FEV_2023!W570=0,0,IF(GLOBAL_DER_FEV_2023!W570&gt;0,"c","b"))</f>
        <v>0</v>
      </c>
    </row>
    <row r="571" spans="1:25" x14ac:dyDescent="0.2">
      <c r="A571" s="317" t="s">
        <v>165</v>
      </c>
      <c r="B571" s="1036" t="str">
        <f>GLOBAL_DER_FEV_2023!B571</f>
        <v/>
      </c>
      <c r="C571" s="1072" t="str">
        <f>GLOBAL_DER_FEV_2023!C571</f>
        <v/>
      </c>
      <c r="D571" s="1141">
        <f>GLOBAL_DER_FEV_2023!D571</f>
        <v>0</v>
      </c>
      <c r="E571" s="907">
        <f>GLOBAL_DER_FEV_2023!E571</f>
        <v>0</v>
      </c>
      <c r="F571" s="908">
        <f>GLOBAL_DER_FEV_2023!F571</f>
        <v>0</v>
      </c>
      <c r="G571" s="912">
        <f>GLOBAL_DER_FEV_2023!G571</f>
        <v>0</v>
      </c>
      <c r="H571" s="901">
        <f>GLOBAL_DER_FEV_2023!H571</f>
        <v>0</v>
      </c>
      <c r="I571" s="901">
        <f>GLOBAL_DER_FEV_2023!I571</f>
        <v>0</v>
      </c>
      <c r="J571" s="890">
        <f>GLOBAL_DER_FEV_2023!J571</f>
        <v>0</v>
      </c>
      <c r="K571" s="903" t="str">
        <f>GLOBAL_DER_FEV_2023!K571</f>
        <v xml:space="preserve">     </v>
      </c>
      <c r="L571" s="1137"/>
      <c r="M571" s="1140">
        <f t="shared" si="73"/>
        <v>0</v>
      </c>
      <c r="N571" s="932">
        <f t="shared" si="77"/>
        <v>0</v>
      </c>
      <c r="O571" s="905"/>
      <c r="Q571" s="317" t="str">
        <f t="shared" si="74"/>
        <v/>
      </c>
      <c r="R571" s="317" t="str">
        <f t="shared" si="75"/>
        <v/>
      </c>
      <c r="S571" s="317" t="str">
        <f t="shared" si="76"/>
        <v/>
      </c>
      <c r="T571" s="317" t="str">
        <f>GLOBAL_DER_FEV_2023!S571</f>
        <v/>
      </c>
      <c r="W571" s="582">
        <v>0</v>
      </c>
      <c r="X571" s="580"/>
      <c r="Y571" s="583">
        <f>IF(GLOBAL_DER_FEV_2023!W571=0,0,IF(GLOBAL_DER_FEV_2023!W571&gt;0,"c","b"))</f>
        <v>0</v>
      </c>
    </row>
    <row r="572" spans="1:25" x14ac:dyDescent="0.2">
      <c r="A572" s="317" t="s">
        <v>165</v>
      </c>
      <c r="B572" s="1036" t="str">
        <f>GLOBAL_DER_FEV_2023!B572</f>
        <v/>
      </c>
      <c r="C572" s="1072" t="str">
        <f>GLOBAL_DER_FEV_2023!C572</f>
        <v/>
      </c>
      <c r="D572" s="1141">
        <f>GLOBAL_DER_FEV_2023!D572</f>
        <v>0</v>
      </c>
      <c r="E572" s="907">
        <f>GLOBAL_DER_FEV_2023!E572</f>
        <v>0</v>
      </c>
      <c r="F572" s="908">
        <f>GLOBAL_DER_FEV_2023!F572</f>
        <v>0</v>
      </c>
      <c r="G572" s="912">
        <f>GLOBAL_DER_FEV_2023!G572</f>
        <v>0</v>
      </c>
      <c r="H572" s="901">
        <f>GLOBAL_DER_FEV_2023!H572</f>
        <v>0</v>
      </c>
      <c r="I572" s="901">
        <f>GLOBAL_DER_FEV_2023!I572</f>
        <v>0</v>
      </c>
      <c r="J572" s="890">
        <f>GLOBAL_DER_FEV_2023!J572</f>
        <v>0</v>
      </c>
      <c r="K572" s="903" t="str">
        <f>GLOBAL_DER_FEV_2023!K572</f>
        <v xml:space="preserve">     </v>
      </c>
      <c r="L572" s="1137"/>
      <c r="M572" s="1140">
        <f t="shared" si="73"/>
        <v>0</v>
      </c>
      <c r="N572" s="932">
        <f t="shared" si="77"/>
        <v>0</v>
      </c>
      <c r="O572" s="905"/>
      <c r="Q572" s="317" t="str">
        <f t="shared" si="74"/>
        <v/>
      </c>
      <c r="R572" s="317" t="str">
        <f t="shared" si="75"/>
        <v/>
      </c>
      <c r="S572" s="317" t="str">
        <f t="shared" si="76"/>
        <v/>
      </c>
      <c r="T572" s="317" t="str">
        <f>GLOBAL_DER_FEV_2023!S572</f>
        <v/>
      </c>
      <c r="W572" s="582">
        <v>0</v>
      </c>
      <c r="X572" s="580"/>
      <c r="Y572" s="583">
        <f>IF(GLOBAL_DER_FEV_2023!W572=0,0,IF(GLOBAL_DER_FEV_2023!W572&gt;0,"c","b"))</f>
        <v>0</v>
      </c>
    </row>
    <row r="573" spans="1:25" x14ac:dyDescent="0.2">
      <c r="A573" s="317" t="s">
        <v>165</v>
      </c>
      <c r="B573" s="1036" t="str">
        <f>GLOBAL_DER_FEV_2023!B573</f>
        <v/>
      </c>
      <c r="C573" s="1072" t="str">
        <f>GLOBAL_DER_FEV_2023!C573</f>
        <v/>
      </c>
      <c r="D573" s="1141">
        <f>GLOBAL_DER_FEV_2023!D573</f>
        <v>0</v>
      </c>
      <c r="E573" s="907">
        <f>GLOBAL_DER_FEV_2023!E573</f>
        <v>0</v>
      </c>
      <c r="F573" s="908">
        <f>GLOBAL_DER_FEV_2023!F573</f>
        <v>0</v>
      </c>
      <c r="G573" s="912">
        <f>GLOBAL_DER_FEV_2023!G573</f>
        <v>0</v>
      </c>
      <c r="H573" s="901">
        <f>GLOBAL_DER_FEV_2023!H573</f>
        <v>0</v>
      </c>
      <c r="I573" s="901">
        <f>GLOBAL_DER_FEV_2023!I573</f>
        <v>0</v>
      </c>
      <c r="J573" s="890">
        <f>GLOBAL_DER_FEV_2023!J573</f>
        <v>0</v>
      </c>
      <c r="K573" s="903" t="str">
        <f>GLOBAL_DER_FEV_2023!K573</f>
        <v xml:space="preserve">     </v>
      </c>
      <c r="L573" s="1137"/>
      <c r="M573" s="1140">
        <f t="shared" si="73"/>
        <v>0</v>
      </c>
      <c r="N573" s="932">
        <f t="shared" si="77"/>
        <v>0</v>
      </c>
      <c r="O573" s="905"/>
      <c r="Q573" s="317" t="str">
        <f t="shared" si="74"/>
        <v/>
      </c>
      <c r="R573" s="317" t="str">
        <f t="shared" si="75"/>
        <v/>
      </c>
      <c r="S573" s="317" t="str">
        <f t="shared" si="76"/>
        <v/>
      </c>
      <c r="T573" s="317" t="str">
        <f>GLOBAL_DER_FEV_2023!S573</f>
        <v/>
      </c>
      <c r="W573" s="582">
        <v>0</v>
      </c>
      <c r="X573" s="580"/>
      <c r="Y573" s="583">
        <f>IF(GLOBAL_DER_FEV_2023!W573=0,0,IF(GLOBAL_DER_FEV_2023!W573&gt;0,"c","b"))</f>
        <v>0</v>
      </c>
    </row>
    <row r="574" spans="1:25" x14ac:dyDescent="0.2">
      <c r="A574" s="317" t="s">
        <v>165</v>
      </c>
      <c r="B574" s="1036" t="str">
        <f>GLOBAL_DER_FEV_2023!B574</f>
        <v/>
      </c>
      <c r="C574" s="1072" t="str">
        <f>GLOBAL_DER_FEV_2023!C574</f>
        <v/>
      </c>
      <c r="D574" s="1141">
        <f>GLOBAL_DER_FEV_2023!D574</f>
        <v>0</v>
      </c>
      <c r="E574" s="907">
        <f>GLOBAL_DER_FEV_2023!E574</f>
        <v>0</v>
      </c>
      <c r="F574" s="908">
        <f>GLOBAL_DER_FEV_2023!F574</f>
        <v>0</v>
      </c>
      <c r="G574" s="912">
        <f>GLOBAL_DER_FEV_2023!G574</f>
        <v>0</v>
      </c>
      <c r="H574" s="901">
        <f>GLOBAL_DER_FEV_2023!H574</f>
        <v>0</v>
      </c>
      <c r="I574" s="901">
        <f>GLOBAL_DER_FEV_2023!I574</f>
        <v>0</v>
      </c>
      <c r="J574" s="890">
        <f>GLOBAL_DER_FEV_2023!J574</f>
        <v>0</v>
      </c>
      <c r="K574" s="903" t="str">
        <f>GLOBAL_DER_FEV_2023!K574</f>
        <v xml:space="preserve">     </v>
      </c>
      <c r="L574" s="1137"/>
      <c r="M574" s="1140">
        <f t="shared" si="73"/>
        <v>0</v>
      </c>
      <c r="N574" s="932">
        <f t="shared" si="77"/>
        <v>0</v>
      </c>
      <c r="O574" s="905"/>
      <c r="Q574" s="317" t="str">
        <f t="shared" si="74"/>
        <v/>
      </c>
      <c r="R574" s="317" t="str">
        <f t="shared" si="75"/>
        <v/>
      </c>
      <c r="S574" s="317" t="str">
        <f t="shared" si="76"/>
        <v/>
      </c>
      <c r="T574" s="317" t="str">
        <f>GLOBAL_DER_FEV_2023!S574</f>
        <v/>
      </c>
      <c r="W574" s="582">
        <v>0</v>
      </c>
      <c r="X574" s="580"/>
      <c r="Y574" s="583">
        <f>IF(GLOBAL_DER_FEV_2023!W574=0,0,IF(GLOBAL_DER_FEV_2023!W574&gt;0,"c","b"))</f>
        <v>0</v>
      </c>
    </row>
    <row r="575" spans="1:25" x14ac:dyDescent="0.2">
      <c r="A575" s="317" t="s">
        <v>165</v>
      </c>
      <c r="B575" s="1036" t="str">
        <f>GLOBAL_DER_FEV_2023!B575</f>
        <v/>
      </c>
      <c r="C575" s="1072" t="str">
        <f>GLOBAL_DER_FEV_2023!C575</f>
        <v/>
      </c>
      <c r="D575" s="1141">
        <f>GLOBAL_DER_FEV_2023!D575</f>
        <v>0</v>
      </c>
      <c r="E575" s="907">
        <f>GLOBAL_DER_FEV_2023!E575</f>
        <v>0</v>
      </c>
      <c r="F575" s="908">
        <f>GLOBAL_DER_FEV_2023!F575</f>
        <v>0</v>
      </c>
      <c r="G575" s="912">
        <f>GLOBAL_DER_FEV_2023!G575</f>
        <v>0</v>
      </c>
      <c r="H575" s="901">
        <f>GLOBAL_DER_FEV_2023!H575</f>
        <v>0</v>
      </c>
      <c r="I575" s="901">
        <f>GLOBAL_DER_FEV_2023!I575</f>
        <v>0</v>
      </c>
      <c r="J575" s="890">
        <f>GLOBAL_DER_FEV_2023!J575</f>
        <v>0</v>
      </c>
      <c r="K575" s="903" t="str">
        <f>GLOBAL_DER_FEV_2023!K575</f>
        <v xml:space="preserve">     </v>
      </c>
      <c r="L575" s="1137"/>
      <c r="M575" s="1140">
        <f t="shared" si="73"/>
        <v>0</v>
      </c>
      <c r="N575" s="932">
        <f t="shared" si="77"/>
        <v>0</v>
      </c>
      <c r="O575" s="905"/>
      <c r="Q575" s="317" t="str">
        <f t="shared" si="74"/>
        <v/>
      </c>
      <c r="R575" s="317" t="str">
        <f t="shared" si="75"/>
        <v/>
      </c>
      <c r="S575" s="317" t="str">
        <f t="shared" si="76"/>
        <v/>
      </c>
      <c r="T575" s="317" t="str">
        <f>GLOBAL_DER_FEV_2023!S575</f>
        <v/>
      </c>
      <c r="W575" s="582">
        <v>0</v>
      </c>
      <c r="X575" s="580"/>
      <c r="Y575" s="583">
        <f>IF(GLOBAL_DER_FEV_2023!W575=0,0,IF(GLOBAL_DER_FEV_2023!W575&gt;0,"c","b"))</f>
        <v>0</v>
      </c>
    </row>
    <row r="576" spans="1:25" x14ac:dyDescent="0.2">
      <c r="A576" s="317" t="s">
        <v>165</v>
      </c>
      <c r="B576" s="1036" t="str">
        <f>GLOBAL_DER_FEV_2023!B576</f>
        <v/>
      </c>
      <c r="C576" s="1072" t="str">
        <f>GLOBAL_DER_FEV_2023!C576</f>
        <v/>
      </c>
      <c r="D576" s="1141">
        <f>GLOBAL_DER_FEV_2023!D576</f>
        <v>0</v>
      </c>
      <c r="E576" s="907">
        <f>GLOBAL_DER_FEV_2023!E576</f>
        <v>0</v>
      </c>
      <c r="F576" s="908">
        <f>GLOBAL_DER_FEV_2023!F576</f>
        <v>0</v>
      </c>
      <c r="G576" s="912">
        <f>GLOBAL_DER_FEV_2023!G576</f>
        <v>0</v>
      </c>
      <c r="H576" s="901">
        <f>GLOBAL_DER_FEV_2023!H576</f>
        <v>0</v>
      </c>
      <c r="I576" s="901">
        <f>GLOBAL_DER_FEV_2023!I576</f>
        <v>0</v>
      </c>
      <c r="J576" s="890">
        <f>GLOBAL_DER_FEV_2023!J576</f>
        <v>0</v>
      </c>
      <c r="K576" s="903" t="str">
        <f>GLOBAL_DER_FEV_2023!K576</f>
        <v xml:space="preserve">     </v>
      </c>
      <c r="L576" s="1137"/>
      <c r="M576" s="1140">
        <f t="shared" si="73"/>
        <v>0</v>
      </c>
      <c r="N576" s="932">
        <f t="shared" si="77"/>
        <v>0</v>
      </c>
      <c r="O576" s="905"/>
      <c r="Q576" s="317" t="str">
        <f t="shared" si="74"/>
        <v/>
      </c>
      <c r="R576" s="317" t="str">
        <f t="shared" si="75"/>
        <v/>
      </c>
      <c r="S576" s="317" t="str">
        <f t="shared" si="76"/>
        <v/>
      </c>
      <c r="T576" s="317" t="str">
        <f>GLOBAL_DER_FEV_2023!S576</f>
        <v/>
      </c>
      <c r="W576" s="582">
        <v>0</v>
      </c>
      <c r="X576" s="580"/>
      <c r="Y576" s="583">
        <f>IF(GLOBAL_DER_FEV_2023!W576=0,0,IF(GLOBAL_DER_FEV_2023!W576&gt;0,"c","b"))</f>
        <v>0</v>
      </c>
    </row>
    <row r="577" spans="1:25" x14ac:dyDescent="0.2">
      <c r="A577" s="317" t="s">
        <v>165</v>
      </c>
      <c r="B577" s="1036" t="str">
        <f>GLOBAL_DER_FEV_2023!B577</f>
        <v/>
      </c>
      <c r="C577" s="1072" t="str">
        <f>GLOBAL_DER_FEV_2023!C577</f>
        <v/>
      </c>
      <c r="D577" s="1141">
        <f>GLOBAL_DER_FEV_2023!D577</f>
        <v>0</v>
      </c>
      <c r="E577" s="907">
        <f>GLOBAL_DER_FEV_2023!E577</f>
        <v>0</v>
      </c>
      <c r="F577" s="908">
        <f>GLOBAL_DER_FEV_2023!F577</f>
        <v>0</v>
      </c>
      <c r="G577" s="912">
        <f>GLOBAL_DER_FEV_2023!G577</f>
        <v>0</v>
      </c>
      <c r="H577" s="901">
        <f>GLOBAL_DER_FEV_2023!H577</f>
        <v>0</v>
      </c>
      <c r="I577" s="901">
        <f>GLOBAL_DER_FEV_2023!I577</f>
        <v>0</v>
      </c>
      <c r="J577" s="890">
        <f>GLOBAL_DER_FEV_2023!J577</f>
        <v>0</v>
      </c>
      <c r="K577" s="903" t="str">
        <f>GLOBAL_DER_FEV_2023!K577</f>
        <v xml:space="preserve">     </v>
      </c>
      <c r="L577" s="1137"/>
      <c r="M577" s="1140">
        <f t="shared" si="73"/>
        <v>0</v>
      </c>
      <c r="N577" s="932">
        <f t="shared" si="77"/>
        <v>0</v>
      </c>
      <c r="O577" s="905"/>
      <c r="Q577" s="317" t="str">
        <f t="shared" si="74"/>
        <v/>
      </c>
      <c r="R577" s="317" t="str">
        <f t="shared" si="75"/>
        <v/>
      </c>
      <c r="S577" s="317" t="str">
        <f t="shared" si="76"/>
        <v/>
      </c>
      <c r="T577" s="317" t="str">
        <f>GLOBAL_DER_FEV_2023!S577</f>
        <v/>
      </c>
      <c r="W577" s="582">
        <v>0</v>
      </c>
      <c r="X577" s="580"/>
      <c r="Y577" s="583">
        <f>IF(GLOBAL_DER_FEV_2023!W577=0,0,IF(GLOBAL_DER_FEV_2023!W577&gt;0,"c","b"))</f>
        <v>0</v>
      </c>
    </row>
    <row r="578" spans="1:25" x14ac:dyDescent="0.2">
      <c r="A578" s="317" t="s">
        <v>165</v>
      </c>
      <c r="B578" s="1036" t="str">
        <f>GLOBAL_DER_FEV_2023!B578</f>
        <v/>
      </c>
      <c r="C578" s="1072" t="str">
        <f>GLOBAL_DER_FEV_2023!C578</f>
        <v/>
      </c>
      <c r="D578" s="1141">
        <f>GLOBAL_DER_FEV_2023!D578</f>
        <v>0</v>
      </c>
      <c r="E578" s="907">
        <f>GLOBAL_DER_FEV_2023!E578</f>
        <v>0</v>
      </c>
      <c r="F578" s="908">
        <f>GLOBAL_DER_FEV_2023!F578</f>
        <v>0</v>
      </c>
      <c r="G578" s="912">
        <f>GLOBAL_DER_FEV_2023!G578</f>
        <v>0</v>
      </c>
      <c r="H578" s="901">
        <f>GLOBAL_DER_FEV_2023!H578</f>
        <v>0</v>
      </c>
      <c r="I578" s="901">
        <f>GLOBAL_DER_FEV_2023!I578</f>
        <v>0</v>
      </c>
      <c r="J578" s="890">
        <f>GLOBAL_DER_FEV_2023!J578</f>
        <v>0</v>
      </c>
      <c r="K578" s="903" t="str">
        <f>GLOBAL_DER_FEV_2023!K578</f>
        <v xml:space="preserve">     </v>
      </c>
      <c r="L578" s="1137"/>
      <c r="M578" s="1140">
        <f t="shared" si="73"/>
        <v>0</v>
      </c>
      <c r="N578" s="932">
        <f t="shared" si="77"/>
        <v>0</v>
      </c>
      <c r="O578" s="905"/>
      <c r="Q578" s="317" t="str">
        <f t="shared" si="74"/>
        <v/>
      </c>
      <c r="R578" s="317" t="str">
        <f t="shared" si="75"/>
        <v/>
      </c>
      <c r="S578" s="317" t="str">
        <f t="shared" si="76"/>
        <v/>
      </c>
      <c r="T578" s="317" t="str">
        <f>GLOBAL_DER_FEV_2023!S578</f>
        <v/>
      </c>
      <c r="W578" s="582">
        <v>0</v>
      </c>
      <c r="X578" s="580"/>
      <c r="Y578" s="583">
        <f>IF(GLOBAL_DER_FEV_2023!W578=0,0,IF(GLOBAL_DER_FEV_2023!W578&gt;0,"c","b"))</f>
        <v>0</v>
      </c>
    </row>
    <row r="579" spans="1:25" x14ac:dyDescent="0.2">
      <c r="A579" s="317" t="s">
        <v>165</v>
      </c>
      <c r="B579" s="1036" t="str">
        <f>GLOBAL_DER_FEV_2023!B579</f>
        <v/>
      </c>
      <c r="C579" s="1072" t="str">
        <f>GLOBAL_DER_FEV_2023!C579</f>
        <v/>
      </c>
      <c r="D579" s="1141">
        <f>GLOBAL_DER_FEV_2023!D579</f>
        <v>0</v>
      </c>
      <c r="E579" s="907">
        <f>GLOBAL_DER_FEV_2023!E579</f>
        <v>0</v>
      </c>
      <c r="F579" s="908">
        <f>GLOBAL_DER_FEV_2023!F579</f>
        <v>0</v>
      </c>
      <c r="G579" s="912">
        <f>GLOBAL_DER_FEV_2023!G579</f>
        <v>0</v>
      </c>
      <c r="H579" s="901">
        <f>GLOBAL_DER_FEV_2023!H579</f>
        <v>0</v>
      </c>
      <c r="I579" s="901">
        <f>GLOBAL_DER_FEV_2023!I579</f>
        <v>0</v>
      </c>
      <c r="J579" s="890">
        <f>GLOBAL_DER_FEV_2023!J579</f>
        <v>0</v>
      </c>
      <c r="K579" s="903" t="str">
        <f>GLOBAL_DER_FEV_2023!K579</f>
        <v xml:space="preserve">     </v>
      </c>
      <c r="L579" s="1137"/>
      <c r="M579" s="1140">
        <f t="shared" si="73"/>
        <v>0</v>
      </c>
      <c r="N579" s="932">
        <f t="shared" si="77"/>
        <v>0</v>
      </c>
      <c r="O579" s="905"/>
      <c r="Q579" s="317" t="str">
        <f t="shared" si="74"/>
        <v/>
      </c>
      <c r="R579" s="317" t="str">
        <f t="shared" si="75"/>
        <v/>
      </c>
      <c r="S579" s="317" t="str">
        <f t="shared" si="76"/>
        <v/>
      </c>
      <c r="T579" s="317" t="str">
        <f>GLOBAL_DER_FEV_2023!S579</f>
        <v/>
      </c>
      <c r="W579" s="582">
        <v>0</v>
      </c>
      <c r="X579" s="580"/>
      <c r="Y579" s="583">
        <f>IF(GLOBAL_DER_FEV_2023!W579=0,0,IF(GLOBAL_DER_FEV_2023!W579&gt;0,"c","b"))</f>
        <v>0</v>
      </c>
    </row>
    <row r="580" spans="1:25" x14ac:dyDescent="0.2">
      <c r="A580" s="317" t="s">
        <v>165</v>
      </c>
      <c r="B580" s="1036" t="str">
        <f>GLOBAL_DER_FEV_2023!B580</f>
        <v/>
      </c>
      <c r="C580" s="1072" t="str">
        <f>GLOBAL_DER_FEV_2023!C580</f>
        <v/>
      </c>
      <c r="D580" s="1141">
        <f>GLOBAL_DER_FEV_2023!D580</f>
        <v>0</v>
      </c>
      <c r="E580" s="907">
        <f>GLOBAL_DER_FEV_2023!E580</f>
        <v>0</v>
      </c>
      <c r="F580" s="908">
        <f>GLOBAL_DER_FEV_2023!F580</f>
        <v>0</v>
      </c>
      <c r="G580" s="912">
        <f>GLOBAL_DER_FEV_2023!G580</f>
        <v>0</v>
      </c>
      <c r="H580" s="901">
        <f>GLOBAL_DER_FEV_2023!H580</f>
        <v>0</v>
      </c>
      <c r="I580" s="901">
        <f>GLOBAL_DER_FEV_2023!I580</f>
        <v>0</v>
      </c>
      <c r="J580" s="890">
        <f>GLOBAL_DER_FEV_2023!J580</f>
        <v>0</v>
      </c>
      <c r="K580" s="903" t="str">
        <f>GLOBAL_DER_FEV_2023!K580</f>
        <v xml:space="preserve">     </v>
      </c>
      <c r="L580" s="1137"/>
      <c r="M580" s="1140">
        <f t="shared" si="73"/>
        <v>0</v>
      </c>
      <c r="N580" s="932">
        <f t="shared" si="77"/>
        <v>0</v>
      </c>
      <c r="O580" s="905"/>
      <c r="Q580" s="317" t="str">
        <f t="shared" si="74"/>
        <v/>
      </c>
      <c r="R580" s="317" t="str">
        <f t="shared" si="75"/>
        <v/>
      </c>
      <c r="S580" s="317" t="str">
        <f t="shared" si="76"/>
        <v/>
      </c>
      <c r="T580" s="317" t="str">
        <f>GLOBAL_DER_FEV_2023!S580</f>
        <v/>
      </c>
      <c r="W580" s="582">
        <v>0</v>
      </c>
      <c r="X580" s="580"/>
      <c r="Y580" s="583">
        <f>IF(GLOBAL_DER_FEV_2023!W580=0,0,IF(GLOBAL_DER_FEV_2023!W580&gt;0,"c","b"))</f>
        <v>0</v>
      </c>
    </row>
    <row r="581" spans="1:25" x14ac:dyDescent="0.2">
      <c r="A581" s="317" t="s">
        <v>165</v>
      </c>
      <c r="B581" s="1036" t="str">
        <f>GLOBAL_DER_FEV_2023!B581</f>
        <v/>
      </c>
      <c r="C581" s="1072" t="str">
        <f>GLOBAL_DER_FEV_2023!C581</f>
        <v/>
      </c>
      <c r="D581" s="1141">
        <f>GLOBAL_DER_FEV_2023!D581</f>
        <v>0</v>
      </c>
      <c r="E581" s="907">
        <f>GLOBAL_DER_FEV_2023!E581</f>
        <v>0</v>
      </c>
      <c r="F581" s="908">
        <f>GLOBAL_DER_FEV_2023!F581</f>
        <v>0</v>
      </c>
      <c r="G581" s="912">
        <f>GLOBAL_DER_FEV_2023!G581</f>
        <v>0</v>
      </c>
      <c r="H581" s="901">
        <f>GLOBAL_DER_FEV_2023!H581</f>
        <v>0</v>
      </c>
      <c r="I581" s="901">
        <f>GLOBAL_DER_FEV_2023!I581</f>
        <v>0</v>
      </c>
      <c r="J581" s="890">
        <f>GLOBAL_DER_FEV_2023!J581</f>
        <v>0</v>
      </c>
      <c r="K581" s="903" t="str">
        <f>GLOBAL_DER_FEV_2023!K581</f>
        <v xml:space="preserve">     </v>
      </c>
      <c r="L581" s="1137"/>
      <c r="M581" s="1140">
        <f t="shared" si="73"/>
        <v>0</v>
      </c>
      <c r="N581" s="932">
        <f t="shared" si="77"/>
        <v>0</v>
      </c>
      <c r="O581" s="905"/>
      <c r="Q581" s="317" t="str">
        <f t="shared" si="74"/>
        <v/>
      </c>
      <c r="R581" s="317" t="str">
        <f t="shared" si="75"/>
        <v/>
      </c>
      <c r="S581" s="317" t="str">
        <f t="shared" si="76"/>
        <v/>
      </c>
      <c r="T581" s="317" t="str">
        <f>GLOBAL_DER_FEV_2023!S581</f>
        <v/>
      </c>
      <c r="W581" s="582">
        <v>0</v>
      </c>
      <c r="X581" s="580"/>
      <c r="Y581" s="583">
        <f>IF(GLOBAL_DER_FEV_2023!W581=0,0,IF(GLOBAL_DER_FEV_2023!W581&gt;0,"c","b"))</f>
        <v>0</v>
      </c>
    </row>
    <row r="582" spans="1:25" x14ac:dyDescent="0.2">
      <c r="A582" s="317" t="s">
        <v>165</v>
      </c>
      <c r="B582" s="1036" t="str">
        <f>GLOBAL_DER_FEV_2023!B582</f>
        <v/>
      </c>
      <c r="C582" s="1072" t="str">
        <f>GLOBAL_DER_FEV_2023!C582</f>
        <v/>
      </c>
      <c r="D582" s="1141">
        <f>GLOBAL_DER_FEV_2023!D582</f>
        <v>0</v>
      </c>
      <c r="E582" s="907">
        <f>GLOBAL_DER_FEV_2023!E582</f>
        <v>0</v>
      </c>
      <c r="F582" s="908">
        <f>GLOBAL_DER_FEV_2023!F582</f>
        <v>0</v>
      </c>
      <c r="G582" s="912">
        <f>GLOBAL_DER_FEV_2023!G582</f>
        <v>0</v>
      </c>
      <c r="H582" s="901">
        <f>GLOBAL_DER_FEV_2023!H582</f>
        <v>0</v>
      </c>
      <c r="I582" s="901">
        <f>GLOBAL_DER_FEV_2023!I582</f>
        <v>0</v>
      </c>
      <c r="J582" s="890">
        <f>GLOBAL_DER_FEV_2023!J582</f>
        <v>0</v>
      </c>
      <c r="K582" s="903" t="str">
        <f>GLOBAL_DER_FEV_2023!K582</f>
        <v xml:space="preserve">     </v>
      </c>
      <c r="L582" s="1137"/>
      <c r="M582" s="1140">
        <f t="shared" si="73"/>
        <v>0</v>
      </c>
      <c r="N582" s="932">
        <f t="shared" si="77"/>
        <v>0</v>
      </c>
      <c r="O582" s="905"/>
      <c r="Q582" s="317" t="str">
        <f t="shared" si="74"/>
        <v/>
      </c>
      <c r="R582" s="317" t="str">
        <f t="shared" si="75"/>
        <v/>
      </c>
      <c r="S582" s="317" t="str">
        <f t="shared" si="76"/>
        <v/>
      </c>
      <c r="T582" s="317" t="str">
        <f>GLOBAL_DER_FEV_2023!S582</f>
        <v/>
      </c>
      <c r="W582" s="582">
        <v>0</v>
      </c>
      <c r="X582" s="580"/>
      <c r="Y582" s="583">
        <f>IF(GLOBAL_DER_FEV_2023!W582=0,0,IF(GLOBAL_DER_FEV_2023!W582&gt;0,"c","b"))</f>
        <v>0</v>
      </c>
    </row>
    <row r="583" spans="1:25" x14ac:dyDescent="0.2">
      <c r="A583" s="317" t="s">
        <v>165</v>
      </c>
      <c r="B583" s="1036" t="str">
        <f>GLOBAL_DER_FEV_2023!B583</f>
        <v/>
      </c>
      <c r="C583" s="1072" t="str">
        <f>GLOBAL_DER_FEV_2023!C583</f>
        <v/>
      </c>
      <c r="D583" s="1141">
        <f>GLOBAL_DER_FEV_2023!D583</f>
        <v>0</v>
      </c>
      <c r="E583" s="907">
        <f>GLOBAL_DER_FEV_2023!E583</f>
        <v>0</v>
      </c>
      <c r="F583" s="908">
        <f>GLOBAL_DER_FEV_2023!F583</f>
        <v>0</v>
      </c>
      <c r="G583" s="912">
        <f>GLOBAL_DER_FEV_2023!G583</f>
        <v>0</v>
      </c>
      <c r="H583" s="901">
        <f>GLOBAL_DER_FEV_2023!H583</f>
        <v>0</v>
      </c>
      <c r="I583" s="901">
        <f>GLOBAL_DER_FEV_2023!I583</f>
        <v>0</v>
      </c>
      <c r="J583" s="890">
        <f>GLOBAL_DER_FEV_2023!J583</f>
        <v>0</v>
      </c>
      <c r="K583" s="903" t="str">
        <f>GLOBAL_DER_FEV_2023!K583</f>
        <v xml:space="preserve">     </v>
      </c>
      <c r="L583" s="1137"/>
      <c r="M583" s="1140">
        <f t="shared" si="73"/>
        <v>0</v>
      </c>
      <c r="N583" s="932">
        <f t="shared" si="77"/>
        <v>0</v>
      </c>
      <c r="O583" s="905"/>
      <c r="Q583" s="317" t="str">
        <f t="shared" si="74"/>
        <v/>
      </c>
      <c r="R583" s="317" t="str">
        <f t="shared" si="75"/>
        <v/>
      </c>
      <c r="S583" s="317" t="str">
        <f t="shared" si="76"/>
        <v/>
      </c>
      <c r="T583" s="317" t="str">
        <f>GLOBAL_DER_FEV_2023!S583</f>
        <v/>
      </c>
      <c r="W583" s="582">
        <v>0</v>
      </c>
      <c r="X583" s="580"/>
      <c r="Y583" s="583">
        <f>IF(GLOBAL_DER_FEV_2023!W583=0,0,IF(GLOBAL_DER_FEV_2023!W583&gt;0,"c","b"))</f>
        <v>0</v>
      </c>
    </row>
    <row r="584" spans="1:25" x14ac:dyDescent="0.2">
      <c r="A584" s="317" t="s">
        <v>165</v>
      </c>
      <c r="B584" s="1036" t="str">
        <f>GLOBAL_DER_FEV_2023!B584</f>
        <v/>
      </c>
      <c r="C584" s="1072" t="str">
        <f>GLOBAL_DER_FEV_2023!C584</f>
        <v/>
      </c>
      <c r="D584" s="1141">
        <f>GLOBAL_DER_FEV_2023!D584</f>
        <v>0</v>
      </c>
      <c r="E584" s="907">
        <f>GLOBAL_DER_FEV_2023!E584</f>
        <v>0</v>
      </c>
      <c r="F584" s="908">
        <f>GLOBAL_DER_FEV_2023!F584</f>
        <v>0</v>
      </c>
      <c r="G584" s="912">
        <f>GLOBAL_DER_FEV_2023!G584</f>
        <v>0</v>
      </c>
      <c r="H584" s="901">
        <f>GLOBAL_DER_FEV_2023!H584</f>
        <v>0</v>
      </c>
      <c r="I584" s="901">
        <f>GLOBAL_DER_FEV_2023!I584</f>
        <v>0</v>
      </c>
      <c r="J584" s="890">
        <f>GLOBAL_DER_FEV_2023!J584</f>
        <v>0</v>
      </c>
      <c r="K584" s="903" t="str">
        <f>GLOBAL_DER_FEV_2023!K584</f>
        <v xml:space="preserve">     </v>
      </c>
      <c r="L584" s="1137"/>
      <c r="M584" s="1140">
        <f t="shared" si="73"/>
        <v>0</v>
      </c>
      <c r="N584" s="932">
        <f t="shared" si="77"/>
        <v>0</v>
      </c>
      <c r="O584" s="905"/>
      <c r="Q584" s="317" t="str">
        <f t="shared" si="74"/>
        <v/>
      </c>
      <c r="R584" s="317" t="str">
        <f t="shared" si="75"/>
        <v/>
      </c>
      <c r="S584" s="317" t="str">
        <f t="shared" si="76"/>
        <v/>
      </c>
      <c r="T584" s="317" t="str">
        <f>GLOBAL_DER_FEV_2023!S584</f>
        <v/>
      </c>
      <c r="W584" s="582">
        <v>0</v>
      </c>
      <c r="X584" s="580"/>
      <c r="Y584" s="583">
        <f>IF(GLOBAL_DER_FEV_2023!W584=0,0,IF(GLOBAL_DER_FEV_2023!W584&gt;0,"c","b"))</f>
        <v>0</v>
      </c>
    </row>
    <row r="585" spans="1:25" x14ac:dyDescent="0.2">
      <c r="A585" s="317" t="s">
        <v>165</v>
      </c>
      <c r="B585" s="1036" t="str">
        <f>GLOBAL_DER_FEV_2023!B585</f>
        <v/>
      </c>
      <c r="C585" s="1072" t="str">
        <f>GLOBAL_DER_FEV_2023!C585</f>
        <v/>
      </c>
      <c r="D585" s="1141">
        <f>GLOBAL_DER_FEV_2023!D585</f>
        <v>0</v>
      </c>
      <c r="E585" s="907">
        <f>GLOBAL_DER_FEV_2023!E585</f>
        <v>0</v>
      </c>
      <c r="F585" s="908">
        <f>GLOBAL_DER_FEV_2023!F585</f>
        <v>0</v>
      </c>
      <c r="G585" s="912">
        <f>GLOBAL_DER_FEV_2023!G585</f>
        <v>0</v>
      </c>
      <c r="H585" s="901">
        <f>GLOBAL_DER_FEV_2023!H585</f>
        <v>0</v>
      </c>
      <c r="I585" s="901">
        <f>GLOBAL_DER_FEV_2023!I585</f>
        <v>0</v>
      </c>
      <c r="J585" s="890">
        <f>GLOBAL_DER_FEV_2023!J585</f>
        <v>0</v>
      </c>
      <c r="K585" s="903" t="str">
        <f>GLOBAL_DER_FEV_2023!K585</f>
        <v xml:space="preserve">     </v>
      </c>
      <c r="L585" s="1137"/>
      <c r="M585" s="1140">
        <f t="shared" si="73"/>
        <v>0</v>
      </c>
      <c r="N585" s="932">
        <f t="shared" si="77"/>
        <v>0</v>
      </c>
      <c r="O585" s="905"/>
      <c r="Q585" s="317" t="str">
        <f t="shared" si="74"/>
        <v/>
      </c>
      <c r="R585" s="317" t="str">
        <f t="shared" si="75"/>
        <v/>
      </c>
      <c r="S585" s="317" t="str">
        <f t="shared" si="76"/>
        <v/>
      </c>
      <c r="T585" s="317" t="str">
        <f>GLOBAL_DER_FEV_2023!S585</f>
        <v/>
      </c>
      <c r="W585" s="582">
        <v>0</v>
      </c>
      <c r="X585" s="580"/>
      <c r="Y585" s="583">
        <f>IF(GLOBAL_DER_FEV_2023!W585=0,0,IF(GLOBAL_DER_FEV_2023!W585&gt;0,"c","b"))</f>
        <v>0</v>
      </c>
    </row>
    <row r="586" spans="1:25" x14ac:dyDescent="0.2">
      <c r="A586" s="317" t="s">
        <v>165</v>
      </c>
      <c r="B586" s="1036" t="str">
        <f>GLOBAL_DER_FEV_2023!B586</f>
        <v/>
      </c>
      <c r="C586" s="1072" t="str">
        <f>GLOBAL_DER_FEV_2023!C586</f>
        <v/>
      </c>
      <c r="D586" s="1141">
        <f>GLOBAL_DER_FEV_2023!D586</f>
        <v>0</v>
      </c>
      <c r="E586" s="907">
        <f>GLOBAL_DER_FEV_2023!E586</f>
        <v>0</v>
      </c>
      <c r="F586" s="908">
        <f>GLOBAL_DER_FEV_2023!F586</f>
        <v>0</v>
      </c>
      <c r="G586" s="912">
        <f>GLOBAL_DER_FEV_2023!G586</f>
        <v>0</v>
      </c>
      <c r="H586" s="901">
        <f>GLOBAL_DER_FEV_2023!H586</f>
        <v>0</v>
      </c>
      <c r="I586" s="901">
        <f>GLOBAL_DER_FEV_2023!I586</f>
        <v>0</v>
      </c>
      <c r="J586" s="890">
        <f>GLOBAL_DER_FEV_2023!J586</f>
        <v>0</v>
      </c>
      <c r="K586" s="903" t="str">
        <f>GLOBAL_DER_FEV_2023!K586</f>
        <v xml:space="preserve">     </v>
      </c>
      <c r="L586" s="1137"/>
      <c r="M586" s="1140">
        <f t="shared" si="73"/>
        <v>0</v>
      </c>
      <c r="N586" s="932">
        <f t="shared" si="77"/>
        <v>0</v>
      </c>
      <c r="O586" s="905"/>
      <c r="Q586" s="317" t="str">
        <f t="shared" si="74"/>
        <v/>
      </c>
      <c r="R586" s="317" t="str">
        <f t="shared" si="75"/>
        <v/>
      </c>
      <c r="S586" s="317" t="str">
        <f t="shared" si="76"/>
        <v/>
      </c>
      <c r="T586" s="317" t="str">
        <f>GLOBAL_DER_FEV_2023!S586</f>
        <v/>
      </c>
      <c r="W586" s="582">
        <v>0</v>
      </c>
      <c r="X586" s="580"/>
      <c r="Y586" s="583">
        <f>IF(GLOBAL_DER_FEV_2023!W586=0,0,IF(GLOBAL_DER_FEV_2023!W586&gt;0,"c","b"))</f>
        <v>0</v>
      </c>
    </row>
    <row r="587" spans="1:25" x14ac:dyDescent="0.2">
      <c r="A587" s="317" t="s">
        <v>165</v>
      </c>
      <c r="B587" s="1036" t="str">
        <f>GLOBAL_DER_FEV_2023!B587</f>
        <v/>
      </c>
      <c r="C587" s="1072" t="str">
        <f>GLOBAL_DER_FEV_2023!C587</f>
        <v/>
      </c>
      <c r="D587" s="1141">
        <f>GLOBAL_DER_FEV_2023!D587</f>
        <v>0</v>
      </c>
      <c r="E587" s="907">
        <f>GLOBAL_DER_FEV_2023!E587</f>
        <v>0</v>
      </c>
      <c r="F587" s="908">
        <f>GLOBAL_DER_FEV_2023!F587</f>
        <v>0</v>
      </c>
      <c r="G587" s="912">
        <f>GLOBAL_DER_FEV_2023!G587</f>
        <v>0</v>
      </c>
      <c r="H587" s="901">
        <f>GLOBAL_DER_FEV_2023!H587</f>
        <v>0</v>
      </c>
      <c r="I587" s="901">
        <f>GLOBAL_DER_FEV_2023!I587</f>
        <v>0</v>
      </c>
      <c r="J587" s="890">
        <f>GLOBAL_DER_FEV_2023!J587</f>
        <v>0</v>
      </c>
      <c r="K587" s="903" t="str">
        <f>GLOBAL_DER_FEV_2023!K587</f>
        <v xml:space="preserve">     </v>
      </c>
      <c r="L587" s="1137"/>
      <c r="M587" s="1140">
        <f t="shared" si="73"/>
        <v>0</v>
      </c>
      <c r="N587" s="932">
        <f t="shared" si="77"/>
        <v>0</v>
      </c>
      <c r="O587" s="905"/>
      <c r="Q587" s="317" t="str">
        <f t="shared" si="74"/>
        <v/>
      </c>
      <c r="R587" s="317" t="str">
        <f t="shared" si="75"/>
        <v/>
      </c>
      <c r="S587" s="317" t="str">
        <f t="shared" si="76"/>
        <v/>
      </c>
      <c r="T587" s="317" t="str">
        <f>GLOBAL_DER_FEV_2023!S587</f>
        <v/>
      </c>
      <c r="W587" s="582">
        <v>0</v>
      </c>
      <c r="X587" s="580"/>
      <c r="Y587" s="583">
        <f>IF(GLOBAL_DER_FEV_2023!W587=0,0,IF(GLOBAL_DER_FEV_2023!W587&gt;0,"c","b"))</f>
        <v>0</v>
      </c>
    </row>
    <row r="588" spans="1:25" ht="13.5" thickBot="1" x14ac:dyDescent="0.25">
      <c r="A588" s="317" t="s">
        <v>165</v>
      </c>
      <c r="B588" s="1036" t="str">
        <f>GLOBAL_DER_FEV_2023!B588</f>
        <v/>
      </c>
      <c r="C588" s="1072" t="str">
        <f>GLOBAL_DER_FEV_2023!C588</f>
        <v/>
      </c>
      <c r="D588" s="1141">
        <f>GLOBAL_DER_FEV_2023!D588</f>
        <v>0</v>
      </c>
      <c r="E588" s="907">
        <f>GLOBAL_DER_FEV_2023!E588</f>
        <v>0</v>
      </c>
      <c r="F588" s="908">
        <f>GLOBAL_DER_FEV_2023!F588</f>
        <v>0</v>
      </c>
      <c r="G588" s="912">
        <f>GLOBAL_DER_FEV_2023!G588</f>
        <v>0</v>
      </c>
      <c r="H588" s="901">
        <f>GLOBAL_DER_FEV_2023!H588</f>
        <v>0</v>
      </c>
      <c r="I588" s="901">
        <f>GLOBAL_DER_FEV_2023!I588</f>
        <v>0</v>
      </c>
      <c r="J588" s="890">
        <f>GLOBAL_DER_FEV_2023!J588</f>
        <v>0</v>
      </c>
      <c r="K588" s="903" t="str">
        <f>GLOBAL_DER_FEV_2023!K588</f>
        <v xml:space="preserve">     </v>
      </c>
      <c r="L588" s="1137"/>
      <c r="M588" s="1140">
        <f t="shared" si="73"/>
        <v>0</v>
      </c>
      <c r="N588" s="932">
        <f t="shared" si="77"/>
        <v>0</v>
      </c>
      <c r="O588" s="905"/>
      <c r="Q588" s="317" t="str">
        <f t="shared" si="74"/>
        <v/>
      </c>
      <c r="R588" s="317" t="str">
        <f t="shared" si="75"/>
        <v/>
      </c>
      <c r="S588" s="317" t="str">
        <f t="shared" si="76"/>
        <v/>
      </c>
      <c r="T588" s="317" t="str">
        <f>GLOBAL_DER_FEV_2023!S588</f>
        <v/>
      </c>
      <c r="W588" s="582">
        <v>0</v>
      </c>
      <c r="X588" s="580"/>
      <c r="Y588" s="583">
        <f>IF(GLOBAL_DER_FEV_2023!W588=0,0,IF(GLOBAL_DER_FEV_2023!W588&gt;0,"c","b"))</f>
        <v>0</v>
      </c>
    </row>
    <row r="589" spans="1:25" ht="13.5" thickBot="1" x14ac:dyDescent="0.25">
      <c r="A589" s="317" t="s">
        <v>166</v>
      </c>
      <c r="B589" s="950" t="s">
        <v>166</v>
      </c>
      <c r="C589" s="951"/>
      <c r="D589" s="952" t="s">
        <v>430</v>
      </c>
      <c r="E589" s="943">
        <f>GLOBAL_DER_FEV_2023!E589</f>
        <v>0</v>
      </c>
      <c r="F589" s="876"/>
      <c r="G589" s="944"/>
      <c r="H589" s="945">
        <f>GLOBAL_DER_FEV_2023!H589</f>
        <v>0</v>
      </c>
      <c r="I589" s="945">
        <f>GLOBAL_DER_FEV_2023!I589</f>
        <v>0</v>
      </c>
      <c r="J589" s="945">
        <f>GLOBAL_DER_FEV_2023!J589</f>
        <v>0</v>
      </c>
      <c r="K589" s="878" t="s">
        <v>507</v>
      </c>
      <c r="L589" s="879"/>
      <c r="M589" s="880"/>
      <c r="N589" s="881">
        <f t="shared" si="77"/>
        <v>0</v>
      </c>
      <c r="O589" s="882">
        <f>SUM(N590:N643)</f>
        <v>0</v>
      </c>
      <c r="P589" s="58" t="str">
        <f>IF(OR(O589&gt;0,O589&gt;0),"X","")</f>
        <v/>
      </c>
      <c r="Q589" s="317" t="str">
        <f t="shared" si="74"/>
        <v/>
      </c>
      <c r="R589" s="317" t="str">
        <f t="shared" si="75"/>
        <v/>
      </c>
      <c r="S589" s="317" t="str">
        <f t="shared" si="76"/>
        <v/>
      </c>
      <c r="T589" s="317" t="str">
        <f>GLOBAL_DER_FEV_2023!S589</f>
        <v/>
      </c>
      <c r="W589" s="582">
        <v>0</v>
      </c>
      <c r="X589" s="580"/>
      <c r="Y589" s="583">
        <f>IF(GLOBAL_DER_FEV_2023!W589=0,0,IF(GLOBAL_DER_FEV_2023!W589&gt;0,"c","b"))</f>
        <v>0</v>
      </c>
    </row>
    <row r="590" spans="1:25" x14ac:dyDescent="0.2">
      <c r="A590" s="317" t="s">
        <v>833</v>
      </c>
      <c r="B590" s="895" t="str">
        <f>GLOBAL_DER_FEV_2023!B590</f>
        <v>PAV-071</v>
      </c>
      <c r="C590" s="896" t="str">
        <f>GLOBAL_DER_FEV_2023!C590</f>
        <v>PM Curitiba-abr/22</v>
      </c>
      <c r="D590" s="906" t="str">
        <f>GLOBAL_DER_FEV_2023!D590</f>
        <v>Arrancamento de Meio-Fio</v>
      </c>
      <c r="E590" s="907">
        <f>GLOBAL_DER_FEV_2023!E590</f>
        <v>0</v>
      </c>
      <c r="F590" s="908">
        <f>GLOBAL_DER_FEV_2023!F590</f>
        <v>0</v>
      </c>
      <c r="G590" s="912">
        <f>GLOBAL_DER_FEV_2023!G590</f>
        <v>0</v>
      </c>
      <c r="H590" s="901">
        <f>GLOBAL_DER_FEV_2023!H590</f>
        <v>22.14</v>
      </c>
      <c r="I590" s="901">
        <f>GLOBAL_DER_FEV_2023!I590</f>
        <v>22.14</v>
      </c>
      <c r="J590" s="902">
        <f>GLOBAL_DER_FEV_2023!J590</f>
        <v>26.58</v>
      </c>
      <c r="K590" s="903" t="s">
        <v>13</v>
      </c>
      <c r="L590" s="1137"/>
      <c r="M590" s="1138">
        <f t="shared" ref="M590:M652" si="78">IF(L590=0,0,ROUND(J590,2))</f>
        <v>0</v>
      </c>
      <c r="N590" s="893">
        <f t="shared" si="77"/>
        <v>0</v>
      </c>
      <c r="O590" s="905"/>
      <c r="Q590" s="317" t="str">
        <f t="shared" si="74"/>
        <v/>
      </c>
      <c r="R590" s="317" t="str">
        <f t="shared" si="75"/>
        <v/>
      </c>
      <c r="S590" s="317" t="str">
        <f t="shared" si="76"/>
        <v/>
      </c>
      <c r="T590" s="317" t="str">
        <f>GLOBAL_DER_FEV_2023!S590</f>
        <v/>
      </c>
      <c r="W590" s="582">
        <v>0</v>
      </c>
      <c r="X590" s="580"/>
      <c r="Y590" s="583">
        <f>IF(GLOBAL_DER_FEV_2023!W590=0,0,IF(GLOBAL_DER_FEV_2023!W590&gt;0,"c","b"))</f>
        <v>0</v>
      </c>
    </row>
    <row r="591" spans="1:25" x14ac:dyDescent="0.2">
      <c r="A591" s="317" t="s">
        <v>834</v>
      </c>
      <c r="B591" s="895" t="str">
        <f>GLOBAL_DER_FEV_2023!B591</f>
        <v>PAV-077</v>
      </c>
      <c r="C591" s="896" t="str">
        <f>GLOBAL_DER_FEV_2023!C591</f>
        <v>PM Curitiba-abr/22</v>
      </c>
      <c r="D591" s="906" t="str">
        <f>GLOBAL_DER_FEV_2023!D591</f>
        <v>Arrancamento e reassentamento de Meio-Fio de Concreto com sarjeta</v>
      </c>
      <c r="E591" s="898">
        <f>GLOBAL_DER_FEV_2023!E591</f>
        <v>0</v>
      </c>
      <c r="F591" s="899">
        <f>GLOBAL_DER_FEV_2023!F591</f>
        <v>0</v>
      </c>
      <c r="G591" s="900">
        <f>GLOBAL_DER_FEV_2023!G591</f>
        <v>0</v>
      </c>
      <c r="H591" s="901">
        <f>GLOBAL_DER_FEV_2023!H591</f>
        <v>6.56</v>
      </c>
      <c r="I591" s="901">
        <f>GLOBAL_DER_FEV_2023!I591</f>
        <v>6.56</v>
      </c>
      <c r="J591" s="902">
        <f>GLOBAL_DER_FEV_2023!J591</f>
        <v>7.88</v>
      </c>
      <c r="K591" s="903" t="s">
        <v>13</v>
      </c>
      <c r="L591" s="1139"/>
      <c r="M591" s="1140">
        <f t="shared" si="78"/>
        <v>0</v>
      </c>
      <c r="N591" s="893">
        <f t="shared" si="77"/>
        <v>0</v>
      </c>
      <c r="O591" s="905"/>
      <c r="Q591" s="317" t="str">
        <f t="shared" ref="Q591:Q654" si="79">IF(P591="X","x",IF(P591="xx","x",IF(P591="xy","x",IF(P591="y","x",IF(OR(N591&gt;0,N591&gt;0),"x","")))))</f>
        <v/>
      </c>
      <c r="R591" s="317" t="str">
        <f t="shared" si="75"/>
        <v/>
      </c>
      <c r="S591" s="317" t="str">
        <f t="shared" si="76"/>
        <v/>
      </c>
      <c r="T591" s="317" t="str">
        <f>GLOBAL_DER_FEV_2023!S591</f>
        <v/>
      </c>
      <c r="W591" s="582">
        <v>0</v>
      </c>
      <c r="X591" s="580"/>
      <c r="Y591" s="583">
        <f>IF(GLOBAL_DER_FEV_2023!W591=0,0,IF(GLOBAL_DER_FEV_2023!W591&gt;0,"c","b"))</f>
        <v>0</v>
      </c>
    </row>
    <row r="592" spans="1:25" x14ac:dyDescent="0.2">
      <c r="A592" s="317">
        <v>535200</v>
      </c>
      <c r="B592" s="895" t="s">
        <v>1608</v>
      </c>
      <c r="C592" s="896" t="s">
        <v>184</v>
      </c>
      <c r="D592" s="906" t="s">
        <v>220</v>
      </c>
      <c r="E592" s="907">
        <f>GLOBAL_DER_FEV_2023!E592</f>
        <v>0</v>
      </c>
      <c r="F592" s="899">
        <f>GLOBAL_DER_FEV_2023!F592</f>
        <v>7.6999999999999999E-2</v>
      </c>
      <c r="G592" s="949">
        <f>GLOBAL_DER_FEV_2023!G592</f>
        <v>0.20636000000000002</v>
      </c>
      <c r="H592" s="901">
        <f>GLOBAL_DER_FEV_2023!H592</f>
        <v>11.65</v>
      </c>
      <c r="I592" s="901">
        <f>GLOBAL_DER_FEV_2023!I592</f>
        <v>11.85636</v>
      </c>
      <c r="J592" s="902">
        <f>GLOBAL_DER_FEV_2023!J592</f>
        <v>14.24</v>
      </c>
      <c r="K592" s="903" t="s">
        <v>13</v>
      </c>
      <c r="L592" s="1137"/>
      <c r="M592" s="1138">
        <f t="shared" si="78"/>
        <v>0</v>
      </c>
      <c r="N592" s="893">
        <f t="shared" si="77"/>
        <v>0</v>
      </c>
      <c r="O592" s="905"/>
      <c r="Q592" s="317" t="str">
        <f t="shared" si="79"/>
        <v/>
      </c>
      <c r="R592" s="317" t="str">
        <f t="shared" si="75"/>
        <v/>
      </c>
      <c r="S592" s="317" t="str">
        <f t="shared" si="76"/>
        <v/>
      </c>
      <c r="T592" s="317" t="str">
        <f>GLOBAL_DER_FEV_2023!S592</f>
        <v/>
      </c>
      <c r="W592" s="582">
        <v>0</v>
      </c>
      <c r="X592" s="580"/>
      <c r="Y592" s="583">
        <f>IF(GLOBAL_DER_FEV_2023!W592=0,0,IF(GLOBAL_DER_FEV_2023!W592&gt;0,"c","b"))</f>
        <v>0</v>
      </c>
    </row>
    <row r="593" spans="1:25" x14ac:dyDescent="0.2">
      <c r="A593" s="317">
        <v>810100</v>
      </c>
      <c r="B593" s="895">
        <v>810100</v>
      </c>
      <c r="C593" s="896" t="s">
        <v>184</v>
      </c>
      <c r="D593" s="906" t="s">
        <v>248</v>
      </c>
      <c r="E593" s="907">
        <f>GLOBAL_DER_FEV_2023!E593</f>
        <v>0</v>
      </c>
      <c r="F593" s="908">
        <f>GLOBAL_DER_FEV_2023!F593</f>
        <v>0</v>
      </c>
      <c r="G593" s="912">
        <f>GLOBAL_DER_FEV_2023!G593</f>
        <v>23.365354200000002</v>
      </c>
      <c r="H593" s="901">
        <f>GLOBAL_DER_FEV_2023!H593</f>
        <v>66.03</v>
      </c>
      <c r="I593" s="901">
        <f>GLOBAL_DER_FEV_2023!I593</f>
        <v>89.3953542</v>
      </c>
      <c r="J593" s="902">
        <f>GLOBAL_DER_FEV_2023!J593</f>
        <v>107.34</v>
      </c>
      <c r="K593" s="903" t="s">
        <v>13</v>
      </c>
      <c r="L593" s="1137"/>
      <c r="M593" s="1138">
        <f t="shared" si="78"/>
        <v>0</v>
      </c>
      <c r="N593" s="893">
        <f t="shared" si="77"/>
        <v>0</v>
      </c>
      <c r="O593" s="905"/>
      <c r="Q593" s="317" t="str">
        <f t="shared" si="79"/>
        <v/>
      </c>
      <c r="R593" s="317" t="str">
        <f t="shared" ref="R593:R656" si="80">IF(P593="X","x",IF(P593="y","x",IF(P593="xx","x",IF(N593&gt;0,"x",""))))</f>
        <v/>
      </c>
      <c r="S593" s="317" t="str">
        <f t="shared" ref="S593:S656" si="81">IF(P593="X","x",IF(N593&gt;0,"x",""))</f>
        <v/>
      </c>
      <c r="T593" s="317" t="str">
        <f>GLOBAL_DER_FEV_2023!S593</f>
        <v/>
      </c>
      <c r="W593" s="582">
        <v>0</v>
      </c>
      <c r="X593" s="580"/>
      <c r="Y593" s="583">
        <f>IF(GLOBAL_DER_FEV_2023!W593=0,0,IF(GLOBAL_DER_FEV_2023!W593&gt;0,"c","b"))</f>
        <v>0</v>
      </c>
    </row>
    <row r="594" spans="1:25" x14ac:dyDescent="0.2">
      <c r="A594" s="317" t="s">
        <v>147</v>
      </c>
      <c r="B594" s="895" t="s">
        <v>147</v>
      </c>
      <c r="C594" s="896"/>
      <c r="D594" s="957" t="s">
        <v>190</v>
      </c>
      <c r="E594" s="907">
        <f>GLOBAL_DER_FEV_2023!E594</f>
        <v>308</v>
      </c>
      <c r="F594" s="908">
        <f>GLOBAL_DER_FEV_2023!F594</f>
        <v>2.7799999999999998E-2</v>
      </c>
      <c r="G594" s="909">
        <f>GLOBAL_DER_FEV_2023!G594</f>
        <v>6.8960679999999996</v>
      </c>
      <c r="H594" s="901">
        <f>GLOBAL_DER_FEV_2023!H594</f>
        <v>0</v>
      </c>
      <c r="I594" s="901">
        <f>GLOBAL_DER_FEV_2023!I594</f>
        <v>0</v>
      </c>
      <c r="J594" s="902">
        <f>GLOBAL_DER_FEV_2023!J594</f>
        <v>0</v>
      </c>
      <c r="K594" s="958" t="s">
        <v>507</v>
      </c>
      <c r="L594" s="959"/>
      <c r="M594" s="1157">
        <f t="shared" si="78"/>
        <v>0</v>
      </c>
      <c r="N594" s="893">
        <f t="shared" si="77"/>
        <v>0</v>
      </c>
      <c r="O594" s="905"/>
      <c r="P594" s="58" t="str">
        <f>IF(N593&gt;0,"xx",IF(N593&gt;0,"xy",""))</f>
        <v/>
      </c>
      <c r="Q594" s="317" t="str">
        <f t="shared" si="79"/>
        <v/>
      </c>
      <c r="R594" s="317" t="str">
        <f t="shared" si="80"/>
        <v/>
      </c>
      <c r="S594" s="317" t="str">
        <f t="shared" si="81"/>
        <v/>
      </c>
      <c r="T594" s="317" t="str">
        <f>GLOBAL_DER_FEV_2023!S594</f>
        <v/>
      </c>
      <c r="W594" s="582">
        <v>0</v>
      </c>
      <c r="X594" s="580"/>
      <c r="Y594" s="583">
        <f>IF(GLOBAL_DER_FEV_2023!W594=0,0,IF(GLOBAL_DER_FEV_2023!W594&gt;0,"c","b"))</f>
        <v>0</v>
      </c>
    </row>
    <row r="595" spans="1:25" x14ac:dyDescent="0.2">
      <c r="A595" s="317" t="s">
        <v>147</v>
      </c>
      <c r="B595" s="895" t="s">
        <v>147</v>
      </c>
      <c r="C595" s="896"/>
      <c r="D595" s="957" t="s">
        <v>229</v>
      </c>
      <c r="E595" s="907">
        <f>GLOBAL_DER_FEV_2023!E595</f>
        <v>150</v>
      </c>
      <c r="F595" s="908">
        <f>GLOBAL_DER_FEV_2023!F595</f>
        <v>9.8900000000000002E-2</v>
      </c>
      <c r="G595" s="949">
        <f>GLOBAL_DER_FEV_2023!G595</f>
        <v>16.138502000000003</v>
      </c>
      <c r="H595" s="901">
        <f>GLOBAL_DER_FEV_2023!H595</f>
        <v>0</v>
      </c>
      <c r="I595" s="901">
        <f>GLOBAL_DER_FEV_2023!I595</f>
        <v>0</v>
      </c>
      <c r="J595" s="902">
        <f>GLOBAL_DER_FEV_2023!J595</f>
        <v>0</v>
      </c>
      <c r="K595" s="958" t="s">
        <v>507</v>
      </c>
      <c r="L595" s="959"/>
      <c r="M595" s="1157">
        <f t="shared" si="78"/>
        <v>0</v>
      </c>
      <c r="N595" s="893">
        <f t="shared" si="77"/>
        <v>0</v>
      </c>
      <c r="O595" s="905"/>
      <c r="P595" s="58" t="str">
        <f>IF(N593&gt;0,"xx",IF(N593&gt;0,"xy",""))</f>
        <v/>
      </c>
      <c r="Q595" s="317" t="str">
        <f t="shared" si="79"/>
        <v/>
      </c>
      <c r="R595" s="317" t="str">
        <f t="shared" si="80"/>
        <v/>
      </c>
      <c r="S595" s="317" t="str">
        <f t="shared" si="81"/>
        <v/>
      </c>
      <c r="T595" s="317" t="str">
        <f>GLOBAL_DER_FEV_2023!S595</f>
        <v/>
      </c>
      <c r="W595" s="582">
        <v>0</v>
      </c>
      <c r="X595" s="580"/>
      <c r="Y595" s="583">
        <f>IF(GLOBAL_DER_FEV_2023!W595=0,0,IF(GLOBAL_DER_FEV_2023!W595&gt;0,"c","b"))</f>
        <v>0</v>
      </c>
    </row>
    <row r="596" spans="1:25" x14ac:dyDescent="0.2">
      <c r="A596" s="317" t="s">
        <v>147</v>
      </c>
      <c r="B596" s="895" t="s">
        <v>147</v>
      </c>
      <c r="C596" s="896"/>
      <c r="D596" s="957" t="s">
        <v>233</v>
      </c>
      <c r="E596" s="907">
        <f>GLOBAL_DER_FEV_2023!E596</f>
        <v>0.2</v>
      </c>
      <c r="F596" s="908">
        <f>GLOBAL_DER_FEV_2023!F596</f>
        <v>0.1143</v>
      </c>
      <c r="G596" s="949">
        <f>GLOBAL_DER_FEV_2023!G596</f>
        <v>0.33078420000000003</v>
      </c>
      <c r="H596" s="901">
        <f>GLOBAL_DER_FEV_2023!H596</f>
        <v>0</v>
      </c>
      <c r="I596" s="901">
        <f>GLOBAL_DER_FEV_2023!I596</f>
        <v>0</v>
      </c>
      <c r="J596" s="902">
        <f>GLOBAL_DER_FEV_2023!J596</f>
        <v>0</v>
      </c>
      <c r="K596" s="958" t="s">
        <v>507</v>
      </c>
      <c r="L596" s="959"/>
      <c r="M596" s="1157">
        <f t="shared" si="78"/>
        <v>0</v>
      </c>
      <c r="N596" s="893">
        <f t="shared" si="77"/>
        <v>0</v>
      </c>
      <c r="O596" s="905"/>
      <c r="P596" s="58" t="str">
        <f>IF(N593&gt;0,"xx",IF(N593&gt;0,"xy",""))</f>
        <v/>
      </c>
      <c r="Q596" s="317" t="str">
        <f t="shared" si="79"/>
        <v/>
      </c>
      <c r="R596" s="317" t="str">
        <f t="shared" si="80"/>
        <v/>
      </c>
      <c r="S596" s="317" t="str">
        <f t="shared" si="81"/>
        <v/>
      </c>
      <c r="T596" s="317" t="str">
        <f>GLOBAL_DER_FEV_2023!S596</f>
        <v/>
      </c>
      <c r="W596" s="582">
        <v>0</v>
      </c>
      <c r="X596" s="580"/>
      <c r="Y596" s="583">
        <f>IF(GLOBAL_DER_FEV_2023!W596=0,0,IF(GLOBAL_DER_FEV_2023!W596&gt;0,"c","b"))</f>
        <v>0</v>
      </c>
    </row>
    <row r="597" spans="1:25" x14ac:dyDescent="0.2">
      <c r="A597" s="317">
        <v>810050</v>
      </c>
      <c r="B597" s="895">
        <v>810050</v>
      </c>
      <c r="C597" s="896" t="s">
        <v>184</v>
      </c>
      <c r="D597" s="906" t="s">
        <v>249</v>
      </c>
      <c r="E597" s="907">
        <f>GLOBAL_DER_FEV_2023!E597</f>
        <v>0.1</v>
      </c>
      <c r="F597" s="908">
        <f>GLOBAL_DER_FEV_2023!F597</f>
        <v>0.2409</v>
      </c>
      <c r="G597" s="949">
        <f>GLOBAL_DER_FEV_2023!G597</f>
        <v>0.67138830000000005</v>
      </c>
      <c r="H597" s="901">
        <f>GLOBAL_DER_FEV_2023!H597</f>
        <v>104.81</v>
      </c>
      <c r="I597" s="901">
        <f>GLOBAL_DER_FEV_2023!I597</f>
        <v>105.48138830000001</v>
      </c>
      <c r="J597" s="902">
        <f>GLOBAL_DER_FEV_2023!J597</f>
        <v>126.65</v>
      </c>
      <c r="K597" s="903" t="s">
        <v>13</v>
      </c>
      <c r="L597" s="1137"/>
      <c r="M597" s="1138">
        <f t="shared" si="78"/>
        <v>0</v>
      </c>
      <c r="N597" s="893">
        <f t="shared" ref="N597:N660" si="82">IF(ISBLANK(L597),0,IF(W597=0,ROUND(L597*M597,2),IF(W597="b",ROUNDDOWN(L597*M597,2),ROUNDUP(L597*M597,2))))</f>
        <v>0</v>
      </c>
      <c r="O597" s="905"/>
      <c r="P597" s="58"/>
      <c r="Q597" s="317" t="str">
        <f t="shared" si="79"/>
        <v/>
      </c>
      <c r="R597" s="317" t="str">
        <f t="shared" si="80"/>
        <v/>
      </c>
      <c r="S597" s="317" t="str">
        <f t="shared" si="81"/>
        <v/>
      </c>
      <c r="T597" s="317" t="str">
        <f>GLOBAL_DER_FEV_2023!S597</f>
        <v/>
      </c>
      <c r="W597" s="582">
        <v>0</v>
      </c>
      <c r="X597" s="580"/>
      <c r="Y597" s="583">
        <f>IF(GLOBAL_DER_FEV_2023!W597=0,0,IF(GLOBAL_DER_FEV_2023!W597&gt;0,"c","b"))</f>
        <v>0</v>
      </c>
    </row>
    <row r="598" spans="1:25" x14ac:dyDescent="0.2">
      <c r="A598" s="317">
        <v>810200</v>
      </c>
      <c r="B598" s="895">
        <v>810200</v>
      </c>
      <c r="C598" s="896" t="s">
        <v>184</v>
      </c>
      <c r="D598" s="906" t="s">
        <v>250</v>
      </c>
      <c r="E598" s="907">
        <f>GLOBAL_DER_FEV_2023!E598</f>
        <v>0</v>
      </c>
      <c r="F598" s="908">
        <f>GLOBAL_DER_FEV_2023!F598</f>
        <v>0</v>
      </c>
      <c r="G598" s="912">
        <f>GLOBAL_DER_FEV_2023!G598</f>
        <v>9.5140924000000009</v>
      </c>
      <c r="H598" s="901">
        <f>GLOBAL_DER_FEV_2023!H598</f>
        <v>28.65</v>
      </c>
      <c r="I598" s="901">
        <f>GLOBAL_DER_FEV_2023!I598</f>
        <v>38.164092400000001</v>
      </c>
      <c r="J598" s="902">
        <f>GLOBAL_DER_FEV_2023!J598</f>
        <v>45.82</v>
      </c>
      <c r="K598" s="903" t="s">
        <v>13</v>
      </c>
      <c r="L598" s="1137"/>
      <c r="M598" s="1138">
        <f t="shared" si="78"/>
        <v>0</v>
      </c>
      <c r="N598" s="893">
        <f t="shared" si="82"/>
        <v>0</v>
      </c>
      <c r="O598" s="905"/>
      <c r="P598" s="58"/>
      <c r="Q598" s="317" t="str">
        <f t="shared" si="79"/>
        <v/>
      </c>
      <c r="R598" s="317" t="str">
        <f t="shared" si="80"/>
        <v/>
      </c>
      <c r="S598" s="317" t="str">
        <f t="shared" si="81"/>
        <v/>
      </c>
      <c r="T598" s="317" t="str">
        <f>GLOBAL_DER_FEV_2023!S598</f>
        <v/>
      </c>
      <c r="W598" s="582">
        <v>0</v>
      </c>
      <c r="X598" s="580"/>
      <c r="Y598" s="583">
        <f>IF(GLOBAL_DER_FEV_2023!W598=0,0,IF(GLOBAL_DER_FEV_2023!W598&gt;0,"c","b"))</f>
        <v>0</v>
      </c>
    </row>
    <row r="599" spans="1:25" x14ac:dyDescent="0.2">
      <c r="A599" s="317" t="s">
        <v>147</v>
      </c>
      <c r="B599" s="895" t="s">
        <v>147</v>
      </c>
      <c r="C599" s="896"/>
      <c r="D599" s="957" t="s">
        <v>190</v>
      </c>
      <c r="E599" s="907">
        <f>GLOBAL_DER_FEV_2023!E599</f>
        <v>308</v>
      </c>
      <c r="F599" s="908">
        <f>GLOBAL_DER_FEV_2023!F599</f>
        <v>1.1299999999999999E-2</v>
      </c>
      <c r="G599" s="909">
        <f>GLOBAL_DER_FEV_2023!G599</f>
        <v>2.8030779999999997</v>
      </c>
      <c r="H599" s="901">
        <f>GLOBAL_DER_FEV_2023!H599</f>
        <v>0</v>
      </c>
      <c r="I599" s="901">
        <f>GLOBAL_DER_FEV_2023!I599</f>
        <v>0</v>
      </c>
      <c r="J599" s="902">
        <f>GLOBAL_DER_FEV_2023!J599</f>
        <v>0</v>
      </c>
      <c r="K599" s="958" t="s">
        <v>507</v>
      </c>
      <c r="L599" s="959"/>
      <c r="M599" s="1157">
        <f t="shared" si="78"/>
        <v>0</v>
      </c>
      <c r="N599" s="893">
        <f t="shared" si="82"/>
        <v>0</v>
      </c>
      <c r="O599" s="905"/>
      <c r="P599" s="58" t="str">
        <f>IF(N598&gt;0,"xx",IF(N598&gt;0,"xy",""))</f>
        <v/>
      </c>
      <c r="Q599" s="317" t="str">
        <f t="shared" si="79"/>
        <v/>
      </c>
      <c r="R599" s="317" t="str">
        <f t="shared" si="80"/>
        <v/>
      </c>
      <c r="S599" s="317" t="str">
        <f t="shared" si="81"/>
        <v/>
      </c>
      <c r="T599" s="317" t="str">
        <f>GLOBAL_DER_FEV_2023!S599</f>
        <v/>
      </c>
      <c r="W599" s="582">
        <v>0</v>
      </c>
      <c r="X599" s="580"/>
      <c r="Y599" s="583">
        <f>IF(GLOBAL_DER_FEV_2023!W599=0,0,IF(GLOBAL_DER_FEV_2023!W599&gt;0,"c","b"))</f>
        <v>0</v>
      </c>
    </row>
    <row r="600" spans="1:25" x14ac:dyDescent="0.2">
      <c r="A600" s="317" t="s">
        <v>147</v>
      </c>
      <c r="B600" s="895" t="s">
        <v>147</v>
      </c>
      <c r="C600" s="896"/>
      <c r="D600" s="957" t="s">
        <v>229</v>
      </c>
      <c r="E600" s="907">
        <f>GLOBAL_DER_FEV_2023!E600</f>
        <v>150</v>
      </c>
      <c r="F600" s="908">
        <f>GLOBAL_DER_FEV_2023!F600</f>
        <v>4.0300000000000002E-2</v>
      </c>
      <c r="G600" s="949">
        <f>GLOBAL_DER_FEV_2023!G600</f>
        <v>6.5761540000000007</v>
      </c>
      <c r="H600" s="901">
        <f>GLOBAL_DER_FEV_2023!H600</f>
        <v>0</v>
      </c>
      <c r="I600" s="901">
        <f>GLOBAL_DER_FEV_2023!I600</f>
        <v>0</v>
      </c>
      <c r="J600" s="902">
        <f>GLOBAL_DER_FEV_2023!J600</f>
        <v>0</v>
      </c>
      <c r="K600" s="958" t="s">
        <v>507</v>
      </c>
      <c r="L600" s="959"/>
      <c r="M600" s="1157">
        <f t="shared" si="78"/>
        <v>0</v>
      </c>
      <c r="N600" s="893">
        <f t="shared" si="82"/>
        <v>0</v>
      </c>
      <c r="O600" s="905"/>
      <c r="P600" s="58" t="str">
        <f>IF(N598&gt;0,"xx",IF(N598&gt;0,"xy",""))</f>
        <v/>
      </c>
      <c r="Q600" s="317" t="str">
        <f t="shared" si="79"/>
        <v/>
      </c>
      <c r="R600" s="317" t="str">
        <f t="shared" si="80"/>
        <v/>
      </c>
      <c r="S600" s="317" t="str">
        <f t="shared" si="81"/>
        <v/>
      </c>
      <c r="T600" s="317" t="str">
        <f>GLOBAL_DER_FEV_2023!S600</f>
        <v/>
      </c>
      <c r="W600" s="582">
        <v>0</v>
      </c>
      <c r="X600" s="580"/>
      <c r="Y600" s="583">
        <f>IF(GLOBAL_DER_FEV_2023!W600=0,0,IF(GLOBAL_DER_FEV_2023!W600&gt;0,"c","b"))</f>
        <v>0</v>
      </c>
    </row>
    <row r="601" spans="1:25" x14ac:dyDescent="0.2">
      <c r="A601" s="317" t="s">
        <v>147</v>
      </c>
      <c r="B601" s="895" t="s">
        <v>147</v>
      </c>
      <c r="C601" s="896"/>
      <c r="D601" s="957" t="s">
        <v>233</v>
      </c>
      <c r="E601" s="907">
        <f>GLOBAL_DER_FEV_2023!E601</f>
        <v>0.2</v>
      </c>
      <c r="F601" s="908">
        <f>GLOBAL_DER_FEV_2023!F601</f>
        <v>4.6600000000000003E-2</v>
      </c>
      <c r="G601" s="949">
        <f>GLOBAL_DER_FEV_2023!G601</f>
        <v>0.13486040000000002</v>
      </c>
      <c r="H601" s="901">
        <f>GLOBAL_DER_FEV_2023!H601</f>
        <v>0</v>
      </c>
      <c r="I601" s="901">
        <f>GLOBAL_DER_FEV_2023!I601</f>
        <v>0</v>
      </c>
      <c r="J601" s="902">
        <f>GLOBAL_DER_FEV_2023!J601</f>
        <v>0</v>
      </c>
      <c r="K601" s="958" t="s">
        <v>507</v>
      </c>
      <c r="L601" s="959"/>
      <c r="M601" s="1157">
        <f t="shared" si="78"/>
        <v>0</v>
      </c>
      <c r="N601" s="893">
        <f t="shared" si="82"/>
        <v>0</v>
      </c>
      <c r="O601" s="905"/>
      <c r="P601" s="58" t="str">
        <f>IF(N598&gt;0,"xx",IF(N598&gt;0,"xy",""))</f>
        <v/>
      </c>
      <c r="Q601" s="317" t="str">
        <f t="shared" si="79"/>
        <v/>
      </c>
      <c r="R601" s="317" t="str">
        <f t="shared" si="80"/>
        <v/>
      </c>
      <c r="S601" s="317" t="str">
        <f t="shared" si="81"/>
        <v/>
      </c>
      <c r="T601" s="317" t="str">
        <f>GLOBAL_DER_FEV_2023!S601</f>
        <v/>
      </c>
      <c r="W601" s="582">
        <v>0</v>
      </c>
      <c r="X601" s="580"/>
      <c r="Y601" s="583">
        <f>IF(GLOBAL_DER_FEV_2023!W601=0,0,IF(GLOBAL_DER_FEV_2023!W601&gt;0,"c","b"))</f>
        <v>0</v>
      </c>
    </row>
    <row r="602" spans="1:25" x14ac:dyDescent="0.2">
      <c r="A602" s="317">
        <v>810150</v>
      </c>
      <c r="B602" s="895">
        <v>810150</v>
      </c>
      <c r="C602" s="896" t="s">
        <v>184</v>
      </c>
      <c r="D602" s="906" t="s">
        <v>251</v>
      </c>
      <c r="E602" s="907">
        <f>GLOBAL_DER_FEV_2023!E602</f>
        <v>0.1</v>
      </c>
      <c r="F602" s="908">
        <f>GLOBAL_DER_FEV_2023!F602</f>
        <v>9.8199999999999996E-2</v>
      </c>
      <c r="G602" s="949">
        <f>GLOBAL_DER_FEV_2023!G602</f>
        <v>0.27368340000000002</v>
      </c>
      <c r="H602" s="901">
        <f>GLOBAL_DER_FEV_2023!H602</f>
        <v>48.6</v>
      </c>
      <c r="I602" s="901">
        <f>GLOBAL_DER_FEV_2023!I602</f>
        <v>48.873683400000004</v>
      </c>
      <c r="J602" s="902">
        <f>GLOBAL_DER_FEV_2023!J602</f>
        <v>58.68</v>
      </c>
      <c r="K602" s="903" t="s">
        <v>13</v>
      </c>
      <c r="L602" s="1137"/>
      <c r="M602" s="1138">
        <f t="shared" si="78"/>
        <v>0</v>
      </c>
      <c r="N602" s="893">
        <f t="shared" si="82"/>
        <v>0</v>
      </c>
      <c r="O602" s="905"/>
      <c r="Q602" s="317" t="str">
        <f t="shared" si="79"/>
        <v/>
      </c>
      <c r="R602" s="317" t="str">
        <f t="shared" si="80"/>
        <v/>
      </c>
      <c r="S602" s="317" t="str">
        <f t="shared" si="81"/>
        <v/>
      </c>
      <c r="T602" s="317" t="str">
        <f>GLOBAL_DER_FEV_2023!S602</f>
        <v/>
      </c>
      <c r="W602" s="582">
        <v>0</v>
      </c>
      <c r="X602" s="580"/>
      <c r="Y602" s="583">
        <f>IF(GLOBAL_DER_FEV_2023!W602=0,0,IF(GLOBAL_DER_FEV_2023!W602&gt;0,"c","b"))</f>
        <v>0</v>
      </c>
    </row>
    <row r="603" spans="1:25" x14ac:dyDescent="0.2">
      <c r="A603" s="317">
        <v>810700</v>
      </c>
      <c r="B603" s="895">
        <v>810700</v>
      </c>
      <c r="C603" s="896" t="s">
        <v>184</v>
      </c>
      <c r="D603" s="906" t="s">
        <v>252</v>
      </c>
      <c r="E603" s="907">
        <f>GLOBAL_DER_FEV_2023!E603</f>
        <v>0</v>
      </c>
      <c r="F603" s="908">
        <f>GLOBAL_DER_FEV_2023!F603</f>
        <v>0</v>
      </c>
      <c r="G603" s="912">
        <f>GLOBAL_DER_FEV_2023!G603</f>
        <v>7.0460216000000004</v>
      </c>
      <c r="H603" s="901">
        <f>GLOBAL_DER_FEV_2023!H603</f>
        <v>23.47</v>
      </c>
      <c r="I603" s="901">
        <f>GLOBAL_DER_FEV_2023!I603</f>
        <v>30.516021599999998</v>
      </c>
      <c r="J603" s="902">
        <f>GLOBAL_DER_FEV_2023!J603</f>
        <v>36.64</v>
      </c>
      <c r="K603" s="903" t="s">
        <v>13</v>
      </c>
      <c r="L603" s="1137"/>
      <c r="M603" s="1138">
        <f t="shared" si="78"/>
        <v>0</v>
      </c>
      <c r="N603" s="893">
        <f t="shared" si="82"/>
        <v>0</v>
      </c>
      <c r="O603" s="905"/>
      <c r="Q603" s="317" t="str">
        <f t="shared" si="79"/>
        <v/>
      </c>
      <c r="R603" s="317" t="str">
        <f t="shared" si="80"/>
        <v/>
      </c>
      <c r="S603" s="317" t="str">
        <f t="shared" si="81"/>
        <v/>
      </c>
      <c r="T603" s="317" t="str">
        <f>GLOBAL_DER_FEV_2023!S603</f>
        <v/>
      </c>
      <c r="W603" s="582">
        <v>0</v>
      </c>
      <c r="X603" s="580"/>
      <c r="Y603" s="583">
        <f>IF(GLOBAL_DER_FEV_2023!W603=0,0,IF(GLOBAL_DER_FEV_2023!W603&gt;0,"c","b"))</f>
        <v>0</v>
      </c>
    </row>
    <row r="604" spans="1:25" x14ac:dyDescent="0.2">
      <c r="A604" s="317" t="s">
        <v>147</v>
      </c>
      <c r="B604" s="895" t="s">
        <v>147</v>
      </c>
      <c r="C604" s="896"/>
      <c r="D604" s="957" t="s">
        <v>190</v>
      </c>
      <c r="E604" s="907">
        <f>GLOBAL_DER_FEV_2023!E604</f>
        <v>308</v>
      </c>
      <c r="F604" s="908">
        <f>GLOBAL_DER_FEV_2023!F604</f>
        <v>8.3999999999999995E-3</v>
      </c>
      <c r="G604" s="909">
        <f>GLOBAL_DER_FEV_2023!G604</f>
        <v>2.083704</v>
      </c>
      <c r="H604" s="901">
        <f>GLOBAL_DER_FEV_2023!H604</f>
        <v>0</v>
      </c>
      <c r="I604" s="901">
        <f>GLOBAL_DER_FEV_2023!I604</f>
        <v>0</v>
      </c>
      <c r="J604" s="902">
        <f>GLOBAL_DER_FEV_2023!J604</f>
        <v>0</v>
      </c>
      <c r="K604" s="958" t="s">
        <v>507</v>
      </c>
      <c r="L604" s="959"/>
      <c r="M604" s="1157">
        <f t="shared" si="78"/>
        <v>0</v>
      </c>
      <c r="N604" s="893">
        <f t="shared" si="82"/>
        <v>0</v>
      </c>
      <c r="O604" s="905"/>
      <c r="P604" s="58" t="str">
        <f>IF(N603&gt;0,"xx",IF(N603&gt;0,"xy",""))</f>
        <v/>
      </c>
      <c r="Q604" s="317" t="str">
        <f t="shared" si="79"/>
        <v/>
      </c>
      <c r="R604" s="317" t="str">
        <f t="shared" si="80"/>
        <v/>
      </c>
      <c r="S604" s="317" t="str">
        <f t="shared" si="81"/>
        <v/>
      </c>
      <c r="T604" s="317" t="str">
        <f>GLOBAL_DER_FEV_2023!S604</f>
        <v/>
      </c>
      <c r="W604" s="582">
        <v>0</v>
      </c>
      <c r="X604" s="580"/>
      <c r="Y604" s="583">
        <f>IF(GLOBAL_DER_FEV_2023!W604=0,0,IF(GLOBAL_DER_FEV_2023!W604&gt;0,"c","b"))</f>
        <v>0</v>
      </c>
    </row>
    <row r="605" spans="1:25" x14ac:dyDescent="0.2">
      <c r="A605" s="317" t="s">
        <v>147</v>
      </c>
      <c r="B605" s="895" t="s">
        <v>147</v>
      </c>
      <c r="C605" s="896"/>
      <c r="D605" s="957" t="s">
        <v>229</v>
      </c>
      <c r="E605" s="907">
        <f>GLOBAL_DER_FEV_2023!E605</f>
        <v>150</v>
      </c>
      <c r="F605" s="908">
        <f>GLOBAL_DER_FEV_2023!F605</f>
        <v>2.98E-2</v>
      </c>
      <c r="G605" s="949">
        <f>GLOBAL_DER_FEV_2023!G605</f>
        <v>4.8627640000000003</v>
      </c>
      <c r="H605" s="901">
        <f>GLOBAL_DER_FEV_2023!H605</f>
        <v>0</v>
      </c>
      <c r="I605" s="901">
        <f>GLOBAL_DER_FEV_2023!I605</f>
        <v>0</v>
      </c>
      <c r="J605" s="902">
        <f>GLOBAL_DER_FEV_2023!J605</f>
        <v>0</v>
      </c>
      <c r="K605" s="958" t="s">
        <v>507</v>
      </c>
      <c r="L605" s="959"/>
      <c r="M605" s="1157">
        <f t="shared" si="78"/>
        <v>0</v>
      </c>
      <c r="N605" s="893">
        <f t="shared" si="82"/>
        <v>0</v>
      </c>
      <c r="O605" s="905"/>
      <c r="P605" s="58" t="str">
        <f>IF(N603&gt;0,"xx",IF(N603&gt;0,"xy",""))</f>
        <v/>
      </c>
      <c r="Q605" s="317" t="str">
        <f t="shared" si="79"/>
        <v/>
      </c>
      <c r="R605" s="317" t="str">
        <f t="shared" si="80"/>
        <v/>
      </c>
      <c r="S605" s="317" t="str">
        <f t="shared" si="81"/>
        <v/>
      </c>
      <c r="T605" s="317" t="str">
        <f>GLOBAL_DER_FEV_2023!S605</f>
        <v/>
      </c>
      <c r="W605" s="582">
        <v>0</v>
      </c>
      <c r="X605" s="580"/>
      <c r="Y605" s="583">
        <f>IF(GLOBAL_DER_FEV_2023!W605=0,0,IF(GLOBAL_DER_FEV_2023!W605&gt;0,"c","b"))</f>
        <v>0</v>
      </c>
    </row>
    <row r="606" spans="1:25" x14ac:dyDescent="0.2">
      <c r="A606" s="317" t="s">
        <v>147</v>
      </c>
      <c r="B606" s="895" t="s">
        <v>147</v>
      </c>
      <c r="C606" s="896"/>
      <c r="D606" s="957" t="s">
        <v>233</v>
      </c>
      <c r="E606" s="907">
        <f>GLOBAL_DER_FEV_2023!E606</f>
        <v>0.2</v>
      </c>
      <c r="F606" s="908">
        <f>GLOBAL_DER_FEV_2023!F606</f>
        <v>3.44E-2</v>
      </c>
      <c r="G606" s="949">
        <f>GLOBAL_DER_FEV_2023!G606</f>
        <v>9.9553600000000006E-2</v>
      </c>
      <c r="H606" s="901">
        <f>GLOBAL_DER_FEV_2023!H606</f>
        <v>0</v>
      </c>
      <c r="I606" s="901">
        <f>GLOBAL_DER_FEV_2023!I606</f>
        <v>0</v>
      </c>
      <c r="J606" s="902">
        <f>GLOBAL_DER_FEV_2023!J606</f>
        <v>0</v>
      </c>
      <c r="K606" s="958" t="s">
        <v>507</v>
      </c>
      <c r="L606" s="959"/>
      <c r="M606" s="1157">
        <f t="shared" si="78"/>
        <v>0</v>
      </c>
      <c r="N606" s="893">
        <f t="shared" si="82"/>
        <v>0</v>
      </c>
      <c r="O606" s="905"/>
      <c r="P606" s="58" t="str">
        <f>IF(N603&gt;0,"xx",IF(N603&gt;0,"xy",""))</f>
        <v/>
      </c>
      <c r="Q606" s="317" t="str">
        <f t="shared" si="79"/>
        <v/>
      </c>
      <c r="R606" s="317" t="str">
        <f t="shared" si="80"/>
        <v/>
      </c>
      <c r="S606" s="317" t="str">
        <f t="shared" si="81"/>
        <v/>
      </c>
      <c r="T606" s="317" t="str">
        <f>GLOBAL_DER_FEV_2023!S606</f>
        <v/>
      </c>
      <c r="W606" s="582">
        <v>0</v>
      </c>
      <c r="X606" s="580"/>
      <c r="Y606" s="583">
        <f>IF(GLOBAL_DER_FEV_2023!W606=0,0,IF(GLOBAL_DER_FEV_2023!W606&gt;0,"c","b"))</f>
        <v>0</v>
      </c>
    </row>
    <row r="607" spans="1:25" x14ac:dyDescent="0.2">
      <c r="A607" s="317">
        <v>810650</v>
      </c>
      <c r="B607" s="895">
        <v>810650</v>
      </c>
      <c r="C607" s="896" t="s">
        <v>184</v>
      </c>
      <c r="D607" s="906" t="s">
        <v>253</v>
      </c>
      <c r="E607" s="907">
        <f>GLOBAL_DER_FEV_2023!E607</f>
        <v>0.1</v>
      </c>
      <c r="F607" s="908">
        <f>GLOBAL_DER_FEV_2023!F607</f>
        <v>7.2599999999999998E-2</v>
      </c>
      <c r="G607" s="949">
        <f>GLOBAL_DER_FEV_2023!G607</f>
        <v>0.20233620000000002</v>
      </c>
      <c r="H607" s="901">
        <f>GLOBAL_DER_FEV_2023!H607</f>
        <v>40.98</v>
      </c>
      <c r="I607" s="901">
        <f>GLOBAL_DER_FEV_2023!I607</f>
        <v>41.182336199999995</v>
      </c>
      <c r="J607" s="902">
        <f>GLOBAL_DER_FEV_2023!J607</f>
        <v>49.45</v>
      </c>
      <c r="K607" s="903" t="s">
        <v>13</v>
      </c>
      <c r="L607" s="1137"/>
      <c r="M607" s="1138">
        <f t="shared" si="78"/>
        <v>0</v>
      </c>
      <c r="N607" s="893">
        <f t="shared" si="82"/>
        <v>0</v>
      </c>
      <c r="O607" s="905"/>
      <c r="Q607" s="317" t="str">
        <f t="shared" si="79"/>
        <v/>
      </c>
      <c r="R607" s="317" t="str">
        <f t="shared" si="80"/>
        <v/>
      </c>
      <c r="S607" s="317" t="str">
        <f t="shared" si="81"/>
        <v/>
      </c>
      <c r="T607" s="317" t="str">
        <f>GLOBAL_DER_FEV_2023!S607</f>
        <v/>
      </c>
      <c r="W607" s="582">
        <v>0</v>
      </c>
      <c r="X607" s="580"/>
      <c r="Y607" s="583">
        <f>IF(GLOBAL_DER_FEV_2023!W607=0,0,IF(GLOBAL_DER_FEV_2023!W607&gt;0,"c","b"))</f>
        <v>0</v>
      </c>
    </row>
    <row r="608" spans="1:25" x14ac:dyDescent="0.2">
      <c r="A608" s="317">
        <v>810300</v>
      </c>
      <c r="B608" s="895">
        <v>810300</v>
      </c>
      <c r="C608" s="896" t="s">
        <v>184</v>
      </c>
      <c r="D608" s="906" t="s">
        <v>254</v>
      </c>
      <c r="E608" s="907">
        <f>GLOBAL_DER_FEV_2023!E608</f>
        <v>0</v>
      </c>
      <c r="F608" s="908">
        <f>GLOBAL_DER_FEV_2023!F608</f>
        <v>0</v>
      </c>
      <c r="G608" s="912">
        <f>GLOBAL_DER_FEV_2023!G608</f>
        <v>7.7109237999999998</v>
      </c>
      <c r="H608" s="901">
        <f>GLOBAL_DER_FEV_2023!H608</f>
        <v>22.58</v>
      </c>
      <c r="I608" s="901">
        <f>GLOBAL_DER_FEV_2023!I608</f>
        <v>30.290923799999998</v>
      </c>
      <c r="J608" s="902">
        <f>GLOBAL_DER_FEV_2023!J608</f>
        <v>36.369999999999997</v>
      </c>
      <c r="K608" s="903" t="s">
        <v>13</v>
      </c>
      <c r="L608" s="1137"/>
      <c r="M608" s="1138">
        <f t="shared" si="78"/>
        <v>0</v>
      </c>
      <c r="N608" s="893">
        <f t="shared" si="82"/>
        <v>0</v>
      </c>
      <c r="O608" s="905"/>
      <c r="Q608" s="317" t="str">
        <f t="shared" si="79"/>
        <v/>
      </c>
      <c r="R608" s="317" t="str">
        <f t="shared" si="80"/>
        <v/>
      </c>
      <c r="S608" s="317" t="str">
        <f t="shared" si="81"/>
        <v/>
      </c>
      <c r="T608" s="317" t="str">
        <f>GLOBAL_DER_FEV_2023!S608</f>
        <v/>
      </c>
      <c r="W608" s="582">
        <v>0</v>
      </c>
      <c r="X608" s="580"/>
      <c r="Y608" s="583">
        <f>IF(GLOBAL_DER_FEV_2023!W608=0,0,IF(GLOBAL_DER_FEV_2023!W608&gt;0,"c","b"))</f>
        <v>0</v>
      </c>
    </row>
    <row r="609" spans="1:25" x14ac:dyDescent="0.2">
      <c r="A609" s="317" t="s">
        <v>147</v>
      </c>
      <c r="B609" s="895" t="s">
        <v>147</v>
      </c>
      <c r="C609" s="896"/>
      <c r="D609" s="957" t="s">
        <v>190</v>
      </c>
      <c r="E609" s="907">
        <f>GLOBAL_DER_FEV_2023!E609</f>
        <v>308</v>
      </c>
      <c r="F609" s="908">
        <f>GLOBAL_DER_FEV_2023!F609</f>
        <v>9.1999999999999998E-3</v>
      </c>
      <c r="G609" s="909">
        <f>GLOBAL_DER_FEV_2023!G609</f>
        <v>2.282152</v>
      </c>
      <c r="H609" s="901">
        <f>GLOBAL_DER_FEV_2023!H609</f>
        <v>0</v>
      </c>
      <c r="I609" s="901">
        <f>GLOBAL_DER_FEV_2023!I609</f>
        <v>0</v>
      </c>
      <c r="J609" s="902">
        <f>GLOBAL_DER_FEV_2023!J609</f>
        <v>0</v>
      </c>
      <c r="K609" s="958" t="s">
        <v>507</v>
      </c>
      <c r="L609" s="959"/>
      <c r="M609" s="1157">
        <f t="shared" si="78"/>
        <v>0</v>
      </c>
      <c r="N609" s="893">
        <f t="shared" si="82"/>
        <v>0</v>
      </c>
      <c r="O609" s="905"/>
      <c r="P609" s="58" t="str">
        <f>IF(N608&gt;0,"xx",IF(N608&gt;0,"xy",""))</f>
        <v/>
      </c>
      <c r="Q609" s="317" t="str">
        <f t="shared" si="79"/>
        <v/>
      </c>
      <c r="R609" s="317" t="str">
        <f t="shared" si="80"/>
        <v/>
      </c>
      <c r="S609" s="317" t="str">
        <f t="shared" si="81"/>
        <v/>
      </c>
      <c r="T609" s="317" t="str">
        <f>GLOBAL_DER_FEV_2023!S609</f>
        <v/>
      </c>
      <c r="W609" s="582">
        <v>0</v>
      </c>
      <c r="X609" s="580"/>
      <c r="Y609" s="583">
        <f>IF(GLOBAL_DER_FEV_2023!W609=0,0,IF(GLOBAL_DER_FEV_2023!W609&gt;0,"c","b"))</f>
        <v>0</v>
      </c>
    </row>
    <row r="610" spans="1:25" x14ac:dyDescent="0.2">
      <c r="A610" s="317" t="s">
        <v>147</v>
      </c>
      <c r="B610" s="895" t="s">
        <v>147</v>
      </c>
      <c r="C610" s="896"/>
      <c r="D610" s="957" t="s">
        <v>229</v>
      </c>
      <c r="E610" s="907">
        <f>GLOBAL_DER_FEV_2023!E610</f>
        <v>150</v>
      </c>
      <c r="F610" s="908">
        <f>GLOBAL_DER_FEV_2023!F610</f>
        <v>3.2599999999999997E-2</v>
      </c>
      <c r="G610" s="949">
        <f>GLOBAL_DER_FEV_2023!G610</f>
        <v>5.3196680000000001</v>
      </c>
      <c r="H610" s="901">
        <f>GLOBAL_DER_FEV_2023!H610</f>
        <v>0</v>
      </c>
      <c r="I610" s="901">
        <f>GLOBAL_DER_FEV_2023!I610</f>
        <v>0</v>
      </c>
      <c r="J610" s="902">
        <f>GLOBAL_DER_FEV_2023!J610</f>
        <v>0</v>
      </c>
      <c r="K610" s="958" t="s">
        <v>507</v>
      </c>
      <c r="L610" s="959"/>
      <c r="M610" s="1157">
        <f t="shared" si="78"/>
        <v>0</v>
      </c>
      <c r="N610" s="893">
        <f t="shared" si="82"/>
        <v>0</v>
      </c>
      <c r="O610" s="905"/>
      <c r="P610" s="58" t="str">
        <f>IF(N608&gt;0,"xx",IF(N608&gt;0,"xy",""))</f>
        <v/>
      </c>
      <c r="Q610" s="317" t="str">
        <f t="shared" si="79"/>
        <v/>
      </c>
      <c r="R610" s="317" t="str">
        <f t="shared" si="80"/>
        <v/>
      </c>
      <c r="S610" s="317" t="str">
        <f t="shared" si="81"/>
        <v/>
      </c>
      <c r="T610" s="317" t="str">
        <f>GLOBAL_DER_FEV_2023!S610</f>
        <v/>
      </c>
      <c r="W610" s="582">
        <v>0</v>
      </c>
      <c r="X610" s="580"/>
      <c r="Y610" s="583">
        <f>IF(GLOBAL_DER_FEV_2023!W610=0,0,IF(GLOBAL_DER_FEV_2023!W610&gt;0,"c","b"))</f>
        <v>0</v>
      </c>
    </row>
    <row r="611" spans="1:25" x14ac:dyDescent="0.2">
      <c r="A611" s="317" t="s">
        <v>147</v>
      </c>
      <c r="B611" s="895" t="s">
        <v>147</v>
      </c>
      <c r="C611" s="896"/>
      <c r="D611" s="957" t="s">
        <v>233</v>
      </c>
      <c r="E611" s="907">
        <f>GLOBAL_DER_FEV_2023!E611</f>
        <v>0.2</v>
      </c>
      <c r="F611" s="908">
        <f>GLOBAL_DER_FEV_2023!F611</f>
        <v>3.7699999999999997E-2</v>
      </c>
      <c r="G611" s="949">
        <f>GLOBAL_DER_FEV_2023!G611</f>
        <v>0.1091038</v>
      </c>
      <c r="H611" s="901">
        <f>GLOBAL_DER_FEV_2023!H611</f>
        <v>0</v>
      </c>
      <c r="I611" s="901">
        <f>GLOBAL_DER_FEV_2023!I611</f>
        <v>0</v>
      </c>
      <c r="J611" s="902">
        <f>GLOBAL_DER_FEV_2023!J611</f>
        <v>0</v>
      </c>
      <c r="K611" s="958" t="s">
        <v>507</v>
      </c>
      <c r="L611" s="959"/>
      <c r="M611" s="1157">
        <f t="shared" si="78"/>
        <v>0</v>
      </c>
      <c r="N611" s="893">
        <f t="shared" si="82"/>
        <v>0</v>
      </c>
      <c r="O611" s="905"/>
      <c r="P611" s="58" t="str">
        <f>IF(N608&gt;0,"xx",IF(N608&gt;0,"xy",""))</f>
        <v/>
      </c>
      <c r="Q611" s="317" t="str">
        <f t="shared" si="79"/>
        <v/>
      </c>
      <c r="R611" s="317" t="str">
        <f t="shared" si="80"/>
        <v/>
      </c>
      <c r="S611" s="317" t="str">
        <f t="shared" si="81"/>
        <v/>
      </c>
      <c r="T611" s="317" t="str">
        <f>GLOBAL_DER_FEV_2023!S611</f>
        <v/>
      </c>
      <c r="W611" s="582">
        <v>0</v>
      </c>
      <c r="X611" s="580"/>
      <c r="Y611" s="583">
        <f>IF(GLOBAL_DER_FEV_2023!W611=0,0,IF(GLOBAL_DER_FEV_2023!W611&gt;0,"c","b"))</f>
        <v>0</v>
      </c>
    </row>
    <row r="612" spans="1:25" x14ac:dyDescent="0.2">
      <c r="A612" s="317">
        <v>810250</v>
      </c>
      <c r="B612" s="895" t="s">
        <v>1710</v>
      </c>
      <c r="C612" s="896" t="s">
        <v>184</v>
      </c>
      <c r="D612" s="906" t="s">
        <v>255</v>
      </c>
      <c r="E612" s="907">
        <f>GLOBAL_DER_FEV_2023!E612</f>
        <v>0.1</v>
      </c>
      <c r="F612" s="908">
        <f>GLOBAL_DER_FEV_2023!F612</f>
        <v>7.9500000000000001E-2</v>
      </c>
      <c r="G612" s="949">
        <f>GLOBAL_DER_FEV_2023!G612</f>
        <v>0.22156650000000003</v>
      </c>
      <c r="H612" s="901">
        <f>GLOBAL_DER_FEV_2023!H612</f>
        <v>40.090000000000003</v>
      </c>
      <c r="I612" s="901">
        <f>GLOBAL_DER_FEV_2023!I612</f>
        <v>40.311566500000005</v>
      </c>
      <c r="J612" s="902">
        <f>GLOBAL_DER_FEV_2023!J612</f>
        <v>48.4</v>
      </c>
      <c r="K612" s="903" t="s">
        <v>13</v>
      </c>
      <c r="L612" s="1137"/>
      <c r="M612" s="1138">
        <f t="shared" si="78"/>
        <v>0</v>
      </c>
      <c r="N612" s="893">
        <f t="shared" si="82"/>
        <v>0</v>
      </c>
      <c r="O612" s="905"/>
      <c r="Q612" s="317" t="str">
        <f t="shared" si="79"/>
        <v/>
      </c>
      <c r="R612" s="317" t="str">
        <f t="shared" si="80"/>
        <v/>
      </c>
      <c r="S612" s="317" t="str">
        <f t="shared" si="81"/>
        <v/>
      </c>
      <c r="T612" s="317" t="str">
        <f>GLOBAL_DER_FEV_2023!S612</f>
        <v/>
      </c>
      <c r="W612" s="582">
        <v>0</v>
      </c>
      <c r="X612" s="580"/>
      <c r="Y612" s="583">
        <f>IF(GLOBAL_DER_FEV_2023!W612=0,0,IF(GLOBAL_DER_FEV_2023!W612&gt;0,"c","b"))</f>
        <v>0</v>
      </c>
    </row>
    <row r="613" spans="1:25" x14ac:dyDescent="0.2">
      <c r="A613" s="317">
        <v>810400</v>
      </c>
      <c r="B613" s="895">
        <v>810400</v>
      </c>
      <c r="C613" s="896" t="s">
        <v>184</v>
      </c>
      <c r="D613" s="906" t="s">
        <v>256</v>
      </c>
      <c r="E613" s="907">
        <f>GLOBAL_DER_FEV_2023!E613</f>
        <v>0</v>
      </c>
      <c r="F613" s="908">
        <f>GLOBAL_DER_FEV_2023!F613</f>
        <v>0</v>
      </c>
      <c r="G613" s="912">
        <f>GLOBAL_DER_FEV_2023!G613</f>
        <v>16.319332599999999</v>
      </c>
      <c r="H613" s="901">
        <f>GLOBAL_DER_FEV_2023!H613</f>
        <v>41.97</v>
      </c>
      <c r="I613" s="901">
        <f>GLOBAL_DER_FEV_2023!I613</f>
        <v>58.289332599999994</v>
      </c>
      <c r="J613" s="902">
        <f>GLOBAL_DER_FEV_2023!J613</f>
        <v>69.989999999999995</v>
      </c>
      <c r="K613" s="903" t="s">
        <v>13</v>
      </c>
      <c r="L613" s="1137"/>
      <c r="M613" s="1138">
        <f t="shared" si="78"/>
        <v>0</v>
      </c>
      <c r="N613" s="893">
        <f t="shared" si="82"/>
        <v>0</v>
      </c>
      <c r="O613" s="905"/>
      <c r="Q613" s="317" t="str">
        <f t="shared" si="79"/>
        <v/>
      </c>
      <c r="R613" s="317" t="str">
        <f t="shared" si="80"/>
        <v/>
      </c>
      <c r="S613" s="317" t="str">
        <f t="shared" si="81"/>
        <v/>
      </c>
      <c r="T613" s="317" t="str">
        <f>GLOBAL_DER_FEV_2023!S613</f>
        <v/>
      </c>
      <c r="W613" s="582">
        <v>0</v>
      </c>
      <c r="X613" s="580"/>
      <c r="Y613" s="583">
        <f>IF(GLOBAL_DER_FEV_2023!W613=0,0,IF(GLOBAL_DER_FEV_2023!W613&gt;0,"c","b"))</f>
        <v>0</v>
      </c>
    </row>
    <row r="614" spans="1:25" x14ac:dyDescent="0.2">
      <c r="A614" s="317" t="s">
        <v>147</v>
      </c>
      <c r="B614" s="895" t="s">
        <v>147</v>
      </c>
      <c r="C614" s="896"/>
      <c r="D614" s="957" t="s">
        <v>190</v>
      </c>
      <c r="E614" s="907">
        <f>GLOBAL_DER_FEV_2023!E614</f>
        <v>308</v>
      </c>
      <c r="F614" s="908">
        <f>GLOBAL_DER_FEV_2023!F614</f>
        <v>1.9400000000000001E-2</v>
      </c>
      <c r="G614" s="909">
        <f>GLOBAL_DER_FEV_2023!G614</f>
        <v>4.8123640000000005</v>
      </c>
      <c r="H614" s="901">
        <f>GLOBAL_DER_FEV_2023!H614</f>
        <v>0</v>
      </c>
      <c r="I614" s="901">
        <f>GLOBAL_DER_FEV_2023!I614</f>
        <v>0</v>
      </c>
      <c r="J614" s="902">
        <f>GLOBAL_DER_FEV_2023!J614</f>
        <v>0</v>
      </c>
      <c r="K614" s="958" t="s">
        <v>507</v>
      </c>
      <c r="L614" s="959"/>
      <c r="M614" s="1157">
        <f t="shared" si="78"/>
        <v>0</v>
      </c>
      <c r="N614" s="893">
        <f t="shared" si="82"/>
        <v>0</v>
      </c>
      <c r="O614" s="905"/>
      <c r="P614" s="58" t="str">
        <f>IF(N613&gt;0,"xx",IF(N613&gt;0,"xy",""))</f>
        <v/>
      </c>
      <c r="Q614" s="317" t="str">
        <f t="shared" si="79"/>
        <v/>
      </c>
      <c r="R614" s="317" t="str">
        <f t="shared" si="80"/>
        <v/>
      </c>
      <c r="S614" s="317" t="str">
        <f t="shared" si="81"/>
        <v/>
      </c>
      <c r="T614" s="317" t="str">
        <f>GLOBAL_DER_FEV_2023!S614</f>
        <v/>
      </c>
      <c r="W614" s="582">
        <v>0</v>
      </c>
      <c r="X614" s="580"/>
      <c r="Y614" s="583">
        <f>IF(GLOBAL_DER_FEV_2023!W614=0,0,IF(GLOBAL_DER_FEV_2023!W614&gt;0,"c","b"))</f>
        <v>0</v>
      </c>
    </row>
    <row r="615" spans="1:25" x14ac:dyDescent="0.2">
      <c r="A615" s="317" t="s">
        <v>147</v>
      </c>
      <c r="B615" s="895" t="s">
        <v>147</v>
      </c>
      <c r="C615" s="896"/>
      <c r="D615" s="957" t="s">
        <v>229</v>
      </c>
      <c r="E615" s="907">
        <f>GLOBAL_DER_FEV_2023!E615</f>
        <v>150</v>
      </c>
      <c r="F615" s="908">
        <f>GLOBAL_DER_FEV_2023!F615</f>
        <v>6.9099999999999995E-2</v>
      </c>
      <c r="G615" s="949">
        <f>GLOBAL_DER_FEV_2023!G615</f>
        <v>11.275738</v>
      </c>
      <c r="H615" s="901">
        <f>GLOBAL_DER_FEV_2023!H615</f>
        <v>0</v>
      </c>
      <c r="I615" s="901">
        <f>GLOBAL_DER_FEV_2023!I615</f>
        <v>0</v>
      </c>
      <c r="J615" s="902">
        <f>GLOBAL_DER_FEV_2023!J615</f>
        <v>0</v>
      </c>
      <c r="K615" s="958" t="s">
        <v>507</v>
      </c>
      <c r="L615" s="959"/>
      <c r="M615" s="1157">
        <f t="shared" si="78"/>
        <v>0</v>
      </c>
      <c r="N615" s="893">
        <f t="shared" si="82"/>
        <v>0</v>
      </c>
      <c r="O615" s="905"/>
      <c r="P615" s="58" t="str">
        <f>IF(N613&gt;0,"xx",IF(N613&gt;0,"xy",""))</f>
        <v/>
      </c>
      <c r="Q615" s="317" t="str">
        <f t="shared" si="79"/>
        <v/>
      </c>
      <c r="R615" s="317" t="str">
        <f t="shared" si="80"/>
        <v/>
      </c>
      <c r="S615" s="317" t="str">
        <f t="shared" si="81"/>
        <v/>
      </c>
      <c r="T615" s="317" t="str">
        <f>GLOBAL_DER_FEV_2023!S615</f>
        <v/>
      </c>
      <c r="W615" s="582">
        <v>0</v>
      </c>
      <c r="X615" s="580"/>
      <c r="Y615" s="583">
        <f>IF(GLOBAL_DER_FEV_2023!W615=0,0,IF(GLOBAL_DER_FEV_2023!W615&gt;0,"c","b"))</f>
        <v>0</v>
      </c>
    </row>
    <row r="616" spans="1:25" x14ac:dyDescent="0.2">
      <c r="A616" s="317" t="s">
        <v>147</v>
      </c>
      <c r="B616" s="895" t="s">
        <v>147</v>
      </c>
      <c r="C616" s="896"/>
      <c r="D616" s="957" t="s">
        <v>233</v>
      </c>
      <c r="E616" s="907">
        <f>GLOBAL_DER_FEV_2023!E616</f>
        <v>0.2</v>
      </c>
      <c r="F616" s="908">
        <f>GLOBAL_DER_FEV_2023!F616</f>
        <v>7.9899999999999999E-2</v>
      </c>
      <c r="G616" s="949">
        <f>GLOBAL_DER_FEV_2023!G616</f>
        <v>0.23123060000000001</v>
      </c>
      <c r="H616" s="901">
        <f>GLOBAL_DER_FEV_2023!H616</f>
        <v>0</v>
      </c>
      <c r="I616" s="901">
        <f>GLOBAL_DER_FEV_2023!I616</f>
        <v>0</v>
      </c>
      <c r="J616" s="902">
        <f>GLOBAL_DER_FEV_2023!J616</f>
        <v>0</v>
      </c>
      <c r="K616" s="958" t="s">
        <v>507</v>
      </c>
      <c r="L616" s="959"/>
      <c r="M616" s="1157">
        <f t="shared" si="78"/>
        <v>0</v>
      </c>
      <c r="N616" s="893">
        <f t="shared" si="82"/>
        <v>0</v>
      </c>
      <c r="O616" s="905"/>
      <c r="P616" s="58" t="str">
        <f>IF(N613&gt;0,"xx",IF(N613&gt;0,"xy",""))</f>
        <v/>
      </c>
      <c r="Q616" s="317" t="str">
        <f t="shared" si="79"/>
        <v/>
      </c>
      <c r="R616" s="317" t="str">
        <f t="shared" si="80"/>
        <v/>
      </c>
      <c r="S616" s="317" t="str">
        <f t="shared" si="81"/>
        <v/>
      </c>
      <c r="T616" s="317" t="str">
        <f>GLOBAL_DER_FEV_2023!S616</f>
        <v/>
      </c>
      <c r="W616" s="582">
        <v>0</v>
      </c>
      <c r="X616" s="580"/>
      <c r="Y616" s="583">
        <f>IF(GLOBAL_DER_FEV_2023!W616=0,0,IF(GLOBAL_DER_FEV_2023!W616&gt;0,"c","b"))</f>
        <v>0</v>
      </c>
    </row>
    <row r="617" spans="1:25" x14ac:dyDescent="0.2">
      <c r="A617" s="317">
        <v>810350</v>
      </c>
      <c r="B617" s="895">
        <v>810350</v>
      </c>
      <c r="C617" s="896" t="s">
        <v>184</v>
      </c>
      <c r="D617" s="906" t="s">
        <v>257</v>
      </c>
      <c r="E617" s="907">
        <f>GLOBAL_DER_FEV_2023!E617</f>
        <v>0.1</v>
      </c>
      <c r="F617" s="908">
        <f>GLOBAL_DER_FEV_2023!F617</f>
        <v>0.16839999999999999</v>
      </c>
      <c r="G617" s="949">
        <f>GLOBAL_DER_FEV_2023!G617</f>
        <v>0.46933080000000005</v>
      </c>
      <c r="H617" s="901">
        <f>GLOBAL_DER_FEV_2023!H617</f>
        <v>64.56</v>
      </c>
      <c r="I617" s="901">
        <f>GLOBAL_DER_FEV_2023!I617</f>
        <v>65.029330799999997</v>
      </c>
      <c r="J617" s="902">
        <f>GLOBAL_DER_FEV_2023!J617</f>
        <v>78.08</v>
      </c>
      <c r="K617" s="903" t="s">
        <v>13</v>
      </c>
      <c r="L617" s="1139"/>
      <c r="M617" s="1140">
        <f t="shared" si="78"/>
        <v>0</v>
      </c>
      <c r="N617" s="893">
        <f t="shared" si="82"/>
        <v>0</v>
      </c>
      <c r="O617" s="905"/>
      <c r="Q617" s="317" t="str">
        <f t="shared" si="79"/>
        <v/>
      </c>
      <c r="R617" s="317" t="str">
        <f t="shared" si="80"/>
        <v/>
      </c>
      <c r="S617" s="317" t="str">
        <f t="shared" si="81"/>
        <v/>
      </c>
      <c r="T617" s="317" t="str">
        <f>GLOBAL_DER_FEV_2023!S617</f>
        <v/>
      </c>
      <c r="W617" s="582">
        <v>0</v>
      </c>
      <c r="X617" s="580"/>
      <c r="Y617" s="583">
        <f>IF(GLOBAL_DER_FEV_2023!W617=0,0,IF(GLOBAL_DER_FEV_2023!W617&gt;0,"c","b"))</f>
        <v>0</v>
      </c>
    </row>
    <row r="618" spans="1:25" x14ac:dyDescent="0.2">
      <c r="A618" s="640" t="s">
        <v>165</v>
      </c>
      <c r="B618" s="913" t="s">
        <v>165</v>
      </c>
      <c r="C618" s="914"/>
      <c r="D618" s="915" t="s">
        <v>214</v>
      </c>
      <c r="E618" s="916">
        <f>GLOBAL_DER_FEV_2023!E618</f>
        <v>0</v>
      </c>
      <c r="F618" s="917">
        <f>GLOBAL_DER_FEV_2023!F618</f>
        <v>0</v>
      </c>
      <c r="G618" s="918">
        <f>GLOBAL_DER_FEV_2023!G618</f>
        <v>0</v>
      </c>
      <c r="H618" s="919">
        <f>GLOBAL_DER_FEV_2023!H618</f>
        <v>0</v>
      </c>
      <c r="I618" s="919">
        <f>GLOBAL_DER_FEV_2023!I618</f>
        <v>0</v>
      </c>
      <c r="J618" s="919">
        <f>GLOBAL_DER_FEV_2023!J618</f>
        <v>0</v>
      </c>
      <c r="K618" s="920" t="s">
        <v>507</v>
      </c>
      <c r="L618" s="1162"/>
      <c r="M618" s="1163"/>
      <c r="N618" s="1164">
        <f t="shared" si="82"/>
        <v>0</v>
      </c>
      <c r="O618" s="1165"/>
      <c r="P618" s="58" t="str">
        <f>IF(OR(SUM(N619:N643)&gt;0,SUM(N619:N643)&gt;0),"y","")</f>
        <v/>
      </c>
      <c r="Q618" s="317" t="str">
        <f t="shared" si="79"/>
        <v/>
      </c>
      <c r="R618" s="317" t="str">
        <f t="shared" si="80"/>
        <v/>
      </c>
      <c r="S618" s="317" t="str">
        <f t="shared" si="81"/>
        <v/>
      </c>
      <c r="T618" s="317" t="str">
        <f>GLOBAL_DER_FEV_2023!S618</f>
        <v/>
      </c>
      <c r="W618" s="582">
        <v>0</v>
      </c>
      <c r="X618" s="580"/>
      <c r="Y618" s="583">
        <f>IF(GLOBAL_DER_FEV_2023!W618=0,0,IF(GLOBAL_DER_FEV_2023!W618&gt;0,"c","b"))</f>
        <v>0</v>
      </c>
    </row>
    <row r="619" spans="1:25" x14ac:dyDescent="0.2">
      <c r="A619" s="640" t="s">
        <v>165</v>
      </c>
      <c r="B619" s="1036" t="str">
        <f>GLOBAL_DER_FEV_2023!B619</f>
        <v/>
      </c>
      <c r="C619" s="1072" t="str">
        <f>GLOBAL_DER_FEV_2023!C619</f>
        <v/>
      </c>
      <c r="D619" s="1141">
        <f>GLOBAL_DER_FEV_2023!D619</f>
        <v>0</v>
      </c>
      <c r="E619" s="907">
        <f>GLOBAL_DER_FEV_2023!E619</f>
        <v>0</v>
      </c>
      <c r="F619" s="908">
        <f>GLOBAL_DER_FEV_2023!F619</f>
        <v>0</v>
      </c>
      <c r="G619" s="912">
        <f>GLOBAL_DER_FEV_2023!G619</f>
        <v>0</v>
      </c>
      <c r="H619" s="901">
        <f>GLOBAL_DER_FEV_2023!H619</f>
        <v>0</v>
      </c>
      <c r="I619" s="901">
        <f>GLOBAL_DER_FEV_2023!I619</f>
        <v>0</v>
      </c>
      <c r="J619" s="902">
        <f>GLOBAL_DER_FEV_2023!J619</f>
        <v>0</v>
      </c>
      <c r="K619" s="903" t="str">
        <f>GLOBAL_DER_FEV_2023!K619</f>
        <v xml:space="preserve">     </v>
      </c>
      <c r="L619" s="1137"/>
      <c r="M619" s="1140">
        <f t="shared" si="78"/>
        <v>0</v>
      </c>
      <c r="N619" s="1166">
        <f t="shared" si="82"/>
        <v>0</v>
      </c>
      <c r="O619" s="1165"/>
      <c r="Q619" s="317" t="str">
        <f t="shared" si="79"/>
        <v/>
      </c>
      <c r="R619" s="317" t="str">
        <f t="shared" si="80"/>
        <v/>
      </c>
      <c r="S619" s="317" t="str">
        <f t="shared" si="81"/>
        <v/>
      </c>
      <c r="T619" s="317" t="str">
        <f>GLOBAL_DER_FEV_2023!S619</f>
        <v/>
      </c>
      <c r="W619" s="582">
        <v>0</v>
      </c>
      <c r="X619" s="580"/>
      <c r="Y619" s="583">
        <f>IF(GLOBAL_DER_FEV_2023!W619=0,0,IF(GLOBAL_DER_FEV_2023!W619&gt;0,"c","b"))</f>
        <v>0</v>
      </c>
    </row>
    <row r="620" spans="1:25" x14ac:dyDescent="0.2">
      <c r="A620" s="640" t="s">
        <v>165</v>
      </c>
      <c r="B620" s="1036" t="str">
        <f>GLOBAL_DER_FEV_2023!B620</f>
        <v/>
      </c>
      <c r="C620" s="1072" t="str">
        <f>GLOBAL_DER_FEV_2023!C620</f>
        <v/>
      </c>
      <c r="D620" s="1141">
        <f>GLOBAL_DER_FEV_2023!D620</f>
        <v>0</v>
      </c>
      <c r="E620" s="907">
        <f>GLOBAL_DER_FEV_2023!E620</f>
        <v>0</v>
      </c>
      <c r="F620" s="908">
        <f>GLOBAL_DER_FEV_2023!F620</f>
        <v>0</v>
      </c>
      <c r="G620" s="912">
        <f>GLOBAL_DER_FEV_2023!G620</f>
        <v>0</v>
      </c>
      <c r="H620" s="901">
        <f>GLOBAL_DER_FEV_2023!H620</f>
        <v>0</v>
      </c>
      <c r="I620" s="901">
        <f>GLOBAL_DER_FEV_2023!I620</f>
        <v>0</v>
      </c>
      <c r="J620" s="890">
        <f>GLOBAL_DER_FEV_2023!J620</f>
        <v>0</v>
      </c>
      <c r="K620" s="903" t="str">
        <f>GLOBAL_DER_FEV_2023!K620</f>
        <v xml:space="preserve">     </v>
      </c>
      <c r="L620" s="1137"/>
      <c r="M620" s="1140">
        <f t="shared" si="78"/>
        <v>0</v>
      </c>
      <c r="N620" s="1167">
        <f t="shared" si="82"/>
        <v>0</v>
      </c>
      <c r="O620" s="1165"/>
      <c r="Q620" s="317" t="str">
        <f t="shared" si="79"/>
        <v/>
      </c>
      <c r="R620" s="317" t="str">
        <f t="shared" si="80"/>
        <v/>
      </c>
      <c r="S620" s="317" t="str">
        <f t="shared" si="81"/>
        <v/>
      </c>
      <c r="T620" s="317" t="str">
        <f>GLOBAL_DER_FEV_2023!S620</f>
        <v/>
      </c>
      <c r="W620" s="582">
        <v>0</v>
      </c>
      <c r="X620" s="580"/>
      <c r="Y620" s="583">
        <f>IF(GLOBAL_DER_FEV_2023!W620=0,0,IF(GLOBAL_DER_FEV_2023!W620&gt;0,"c","b"))</f>
        <v>0</v>
      </c>
    </row>
    <row r="621" spans="1:25" x14ac:dyDescent="0.2">
      <c r="A621" s="640" t="s">
        <v>165</v>
      </c>
      <c r="B621" s="1036" t="str">
        <f>GLOBAL_DER_FEV_2023!B621</f>
        <v/>
      </c>
      <c r="C621" s="1072" t="str">
        <f>GLOBAL_DER_FEV_2023!C621</f>
        <v/>
      </c>
      <c r="D621" s="1141">
        <f>GLOBAL_DER_FEV_2023!D621</f>
        <v>0</v>
      </c>
      <c r="E621" s="907">
        <f>GLOBAL_DER_FEV_2023!E621</f>
        <v>0</v>
      </c>
      <c r="F621" s="908">
        <f>GLOBAL_DER_FEV_2023!F621</f>
        <v>0</v>
      </c>
      <c r="G621" s="912">
        <f>GLOBAL_DER_FEV_2023!G621</f>
        <v>0</v>
      </c>
      <c r="H621" s="901">
        <f>GLOBAL_DER_FEV_2023!H621</f>
        <v>0</v>
      </c>
      <c r="I621" s="901">
        <f>GLOBAL_DER_FEV_2023!I621</f>
        <v>0</v>
      </c>
      <c r="J621" s="890">
        <f>GLOBAL_DER_FEV_2023!J621</f>
        <v>0</v>
      </c>
      <c r="K621" s="903" t="str">
        <f>GLOBAL_DER_FEV_2023!K621</f>
        <v xml:space="preserve">     </v>
      </c>
      <c r="L621" s="1137"/>
      <c r="M621" s="1140">
        <f t="shared" si="78"/>
        <v>0</v>
      </c>
      <c r="N621" s="1167">
        <f t="shared" si="82"/>
        <v>0</v>
      </c>
      <c r="O621" s="1165"/>
      <c r="Q621" s="317" t="str">
        <f t="shared" si="79"/>
        <v/>
      </c>
      <c r="R621" s="317" t="str">
        <f t="shared" si="80"/>
        <v/>
      </c>
      <c r="S621" s="317" t="str">
        <f t="shared" si="81"/>
        <v/>
      </c>
      <c r="T621" s="317" t="str">
        <f>GLOBAL_DER_FEV_2023!S621</f>
        <v/>
      </c>
      <c r="W621" s="582">
        <v>0</v>
      </c>
      <c r="X621" s="580"/>
      <c r="Y621" s="583">
        <f>IF(GLOBAL_DER_FEV_2023!W621=0,0,IF(GLOBAL_DER_FEV_2023!W621&gt;0,"c","b"))</f>
        <v>0</v>
      </c>
    </row>
    <row r="622" spans="1:25" x14ac:dyDescent="0.2">
      <c r="A622" s="640" t="s">
        <v>165</v>
      </c>
      <c r="B622" s="1036" t="str">
        <f>GLOBAL_DER_FEV_2023!B622</f>
        <v/>
      </c>
      <c r="C622" s="1072" t="str">
        <f>GLOBAL_DER_FEV_2023!C622</f>
        <v/>
      </c>
      <c r="D622" s="1141">
        <f>GLOBAL_DER_FEV_2023!D622</f>
        <v>0</v>
      </c>
      <c r="E622" s="907">
        <f>GLOBAL_DER_FEV_2023!E622</f>
        <v>0</v>
      </c>
      <c r="F622" s="908">
        <f>GLOBAL_DER_FEV_2023!F622</f>
        <v>0</v>
      </c>
      <c r="G622" s="912">
        <f>GLOBAL_DER_FEV_2023!G622</f>
        <v>0</v>
      </c>
      <c r="H622" s="901">
        <f>GLOBAL_DER_FEV_2023!H622</f>
        <v>0</v>
      </c>
      <c r="I622" s="901">
        <f>GLOBAL_DER_FEV_2023!I622</f>
        <v>0</v>
      </c>
      <c r="J622" s="890">
        <f>GLOBAL_DER_FEV_2023!J622</f>
        <v>0</v>
      </c>
      <c r="K622" s="903" t="str">
        <f>GLOBAL_DER_FEV_2023!K622</f>
        <v xml:space="preserve">     </v>
      </c>
      <c r="L622" s="1137"/>
      <c r="M622" s="1140">
        <f t="shared" si="78"/>
        <v>0</v>
      </c>
      <c r="N622" s="1167">
        <f t="shared" si="82"/>
        <v>0</v>
      </c>
      <c r="O622" s="1165"/>
      <c r="Q622" s="317" t="str">
        <f t="shared" si="79"/>
        <v/>
      </c>
      <c r="R622" s="317" t="str">
        <f t="shared" si="80"/>
        <v/>
      </c>
      <c r="S622" s="317" t="str">
        <f t="shared" si="81"/>
        <v/>
      </c>
      <c r="T622" s="317" t="str">
        <f>GLOBAL_DER_FEV_2023!S622</f>
        <v/>
      </c>
      <c r="W622" s="582">
        <v>0</v>
      </c>
      <c r="X622" s="580"/>
      <c r="Y622" s="583">
        <f>IF(GLOBAL_DER_FEV_2023!W622=0,0,IF(GLOBAL_DER_FEV_2023!W622&gt;0,"c","b"))</f>
        <v>0</v>
      </c>
    </row>
    <row r="623" spans="1:25" x14ac:dyDescent="0.2">
      <c r="A623" s="640" t="s">
        <v>165</v>
      </c>
      <c r="B623" s="1036" t="str">
        <f>GLOBAL_DER_FEV_2023!B623</f>
        <v/>
      </c>
      <c r="C623" s="1072" t="str">
        <f>GLOBAL_DER_FEV_2023!C623</f>
        <v/>
      </c>
      <c r="D623" s="1141">
        <f>GLOBAL_DER_FEV_2023!D623</f>
        <v>0</v>
      </c>
      <c r="E623" s="907">
        <f>GLOBAL_DER_FEV_2023!E623</f>
        <v>0</v>
      </c>
      <c r="F623" s="908">
        <f>GLOBAL_DER_FEV_2023!F623</f>
        <v>0</v>
      </c>
      <c r="G623" s="912">
        <f>GLOBAL_DER_FEV_2023!G623</f>
        <v>0</v>
      </c>
      <c r="H623" s="901">
        <f>GLOBAL_DER_FEV_2023!H623</f>
        <v>0</v>
      </c>
      <c r="I623" s="901">
        <f>GLOBAL_DER_FEV_2023!I623</f>
        <v>0</v>
      </c>
      <c r="J623" s="890">
        <f>GLOBAL_DER_FEV_2023!J623</f>
        <v>0</v>
      </c>
      <c r="K623" s="903" t="str">
        <f>GLOBAL_DER_FEV_2023!K623</f>
        <v xml:space="preserve">     </v>
      </c>
      <c r="L623" s="1137"/>
      <c r="M623" s="1140">
        <f t="shared" si="78"/>
        <v>0</v>
      </c>
      <c r="N623" s="1167">
        <f t="shared" si="82"/>
        <v>0</v>
      </c>
      <c r="O623" s="1165"/>
      <c r="Q623" s="317" t="str">
        <f t="shared" si="79"/>
        <v/>
      </c>
      <c r="R623" s="317" t="str">
        <f t="shared" si="80"/>
        <v/>
      </c>
      <c r="S623" s="317" t="str">
        <f t="shared" si="81"/>
        <v/>
      </c>
      <c r="T623" s="317" t="str">
        <f>GLOBAL_DER_FEV_2023!S623</f>
        <v/>
      </c>
      <c r="W623" s="582">
        <v>0</v>
      </c>
      <c r="X623" s="580"/>
      <c r="Y623" s="583">
        <f>IF(GLOBAL_DER_FEV_2023!W623=0,0,IF(GLOBAL_DER_FEV_2023!W623&gt;0,"c","b"))</f>
        <v>0</v>
      </c>
    </row>
    <row r="624" spans="1:25" x14ac:dyDescent="0.2">
      <c r="A624" s="640" t="s">
        <v>165</v>
      </c>
      <c r="B624" s="1036" t="str">
        <f>GLOBAL_DER_FEV_2023!B624</f>
        <v/>
      </c>
      <c r="C624" s="1072" t="str">
        <f>GLOBAL_DER_FEV_2023!C624</f>
        <v/>
      </c>
      <c r="D624" s="1141">
        <f>GLOBAL_DER_FEV_2023!D624</f>
        <v>0</v>
      </c>
      <c r="E624" s="907">
        <f>GLOBAL_DER_FEV_2023!E624</f>
        <v>0</v>
      </c>
      <c r="F624" s="908">
        <f>GLOBAL_DER_FEV_2023!F624</f>
        <v>0</v>
      </c>
      <c r="G624" s="912">
        <f>GLOBAL_DER_FEV_2023!G624</f>
        <v>0</v>
      </c>
      <c r="H624" s="901">
        <f>GLOBAL_DER_FEV_2023!H624</f>
        <v>0</v>
      </c>
      <c r="I624" s="901">
        <f>GLOBAL_DER_FEV_2023!I624</f>
        <v>0</v>
      </c>
      <c r="J624" s="890">
        <f>GLOBAL_DER_FEV_2023!J624</f>
        <v>0</v>
      </c>
      <c r="K624" s="903" t="str">
        <f>GLOBAL_DER_FEV_2023!K624</f>
        <v xml:space="preserve">     </v>
      </c>
      <c r="L624" s="1137"/>
      <c r="M624" s="1140">
        <f t="shared" si="78"/>
        <v>0</v>
      </c>
      <c r="N624" s="1167">
        <f t="shared" si="82"/>
        <v>0</v>
      </c>
      <c r="O624" s="1165"/>
      <c r="Q624" s="317" t="str">
        <f t="shared" si="79"/>
        <v/>
      </c>
      <c r="R624" s="317" t="str">
        <f t="shared" si="80"/>
        <v/>
      </c>
      <c r="S624" s="317" t="str">
        <f t="shared" si="81"/>
        <v/>
      </c>
      <c r="T624" s="317" t="str">
        <f>GLOBAL_DER_FEV_2023!S624</f>
        <v/>
      </c>
      <c r="W624" s="582">
        <v>0</v>
      </c>
      <c r="X624" s="580"/>
      <c r="Y624" s="583">
        <f>IF(GLOBAL_DER_FEV_2023!W624=0,0,IF(GLOBAL_DER_FEV_2023!W624&gt;0,"c","b"))</f>
        <v>0</v>
      </c>
    </row>
    <row r="625" spans="1:25" x14ac:dyDescent="0.2">
      <c r="A625" s="640" t="s">
        <v>165</v>
      </c>
      <c r="B625" s="1036" t="str">
        <f>GLOBAL_DER_FEV_2023!B625</f>
        <v/>
      </c>
      <c r="C625" s="1072" t="str">
        <f>GLOBAL_DER_FEV_2023!C625</f>
        <v/>
      </c>
      <c r="D625" s="1141">
        <f>GLOBAL_DER_FEV_2023!D625</f>
        <v>0</v>
      </c>
      <c r="E625" s="907">
        <f>GLOBAL_DER_FEV_2023!E625</f>
        <v>0</v>
      </c>
      <c r="F625" s="908">
        <f>GLOBAL_DER_FEV_2023!F625</f>
        <v>0</v>
      </c>
      <c r="G625" s="912">
        <f>GLOBAL_DER_FEV_2023!G625</f>
        <v>0</v>
      </c>
      <c r="H625" s="901">
        <f>GLOBAL_DER_FEV_2023!H625</f>
        <v>0</v>
      </c>
      <c r="I625" s="901">
        <f>GLOBAL_DER_FEV_2023!I625</f>
        <v>0</v>
      </c>
      <c r="J625" s="890">
        <f>GLOBAL_DER_FEV_2023!J625</f>
        <v>0</v>
      </c>
      <c r="K625" s="903" t="str">
        <f>GLOBAL_DER_FEV_2023!K625</f>
        <v xml:space="preserve">     </v>
      </c>
      <c r="L625" s="1137"/>
      <c r="M625" s="1140">
        <f t="shared" si="78"/>
        <v>0</v>
      </c>
      <c r="N625" s="1167">
        <f t="shared" si="82"/>
        <v>0</v>
      </c>
      <c r="O625" s="1165"/>
      <c r="Q625" s="317" t="str">
        <f t="shared" si="79"/>
        <v/>
      </c>
      <c r="R625" s="317" t="str">
        <f t="shared" si="80"/>
        <v/>
      </c>
      <c r="S625" s="317" t="str">
        <f t="shared" si="81"/>
        <v/>
      </c>
      <c r="T625" s="317" t="str">
        <f>GLOBAL_DER_FEV_2023!S625</f>
        <v/>
      </c>
      <c r="W625" s="582">
        <v>0</v>
      </c>
      <c r="X625" s="580"/>
      <c r="Y625" s="583">
        <f>IF(GLOBAL_DER_FEV_2023!W625=0,0,IF(GLOBAL_DER_FEV_2023!W625&gt;0,"c","b"))</f>
        <v>0</v>
      </c>
    </row>
    <row r="626" spans="1:25" x14ac:dyDescent="0.2">
      <c r="A626" s="640" t="s">
        <v>165</v>
      </c>
      <c r="B626" s="1036" t="str">
        <f>GLOBAL_DER_FEV_2023!B626</f>
        <v/>
      </c>
      <c r="C626" s="1072" t="str">
        <f>GLOBAL_DER_FEV_2023!C626</f>
        <v/>
      </c>
      <c r="D626" s="1141">
        <f>GLOBAL_DER_FEV_2023!D626</f>
        <v>0</v>
      </c>
      <c r="E626" s="907">
        <f>GLOBAL_DER_FEV_2023!E626</f>
        <v>0</v>
      </c>
      <c r="F626" s="908">
        <f>GLOBAL_DER_FEV_2023!F626</f>
        <v>0</v>
      </c>
      <c r="G626" s="912">
        <f>GLOBAL_DER_FEV_2023!G626</f>
        <v>0</v>
      </c>
      <c r="H626" s="901">
        <f>GLOBAL_DER_FEV_2023!H626</f>
        <v>0</v>
      </c>
      <c r="I626" s="901">
        <f>GLOBAL_DER_FEV_2023!I626</f>
        <v>0</v>
      </c>
      <c r="J626" s="890">
        <f>GLOBAL_DER_FEV_2023!J626</f>
        <v>0</v>
      </c>
      <c r="K626" s="903" t="str">
        <f>GLOBAL_DER_FEV_2023!K626</f>
        <v xml:space="preserve">     </v>
      </c>
      <c r="L626" s="1137"/>
      <c r="M626" s="1140">
        <f t="shared" si="78"/>
        <v>0</v>
      </c>
      <c r="N626" s="1167">
        <f t="shared" si="82"/>
        <v>0</v>
      </c>
      <c r="O626" s="1165"/>
      <c r="Q626" s="317" t="str">
        <f t="shared" si="79"/>
        <v/>
      </c>
      <c r="R626" s="317" t="str">
        <f t="shared" si="80"/>
        <v/>
      </c>
      <c r="S626" s="317" t="str">
        <f t="shared" si="81"/>
        <v/>
      </c>
      <c r="T626" s="317" t="str">
        <f>GLOBAL_DER_FEV_2023!S626</f>
        <v/>
      </c>
      <c r="W626" s="582">
        <v>0</v>
      </c>
      <c r="X626" s="580"/>
      <c r="Y626" s="583">
        <f>IF(GLOBAL_DER_FEV_2023!W626=0,0,IF(GLOBAL_DER_FEV_2023!W626&gt;0,"c","b"))</f>
        <v>0</v>
      </c>
    </row>
    <row r="627" spans="1:25" x14ac:dyDescent="0.2">
      <c r="A627" s="640" t="s">
        <v>165</v>
      </c>
      <c r="B627" s="1036" t="str">
        <f>GLOBAL_DER_FEV_2023!B627</f>
        <v/>
      </c>
      <c r="C627" s="1072" t="str">
        <f>GLOBAL_DER_FEV_2023!C627</f>
        <v/>
      </c>
      <c r="D627" s="1141">
        <f>GLOBAL_DER_FEV_2023!D627</f>
        <v>0</v>
      </c>
      <c r="E627" s="907">
        <f>GLOBAL_DER_FEV_2023!E627</f>
        <v>0</v>
      </c>
      <c r="F627" s="908">
        <f>GLOBAL_DER_FEV_2023!F627</f>
        <v>0</v>
      </c>
      <c r="G627" s="912">
        <f>GLOBAL_DER_FEV_2023!G627</f>
        <v>0</v>
      </c>
      <c r="H627" s="901">
        <f>GLOBAL_DER_FEV_2023!H627</f>
        <v>0</v>
      </c>
      <c r="I627" s="901">
        <f>GLOBAL_DER_FEV_2023!I627</f>
        <v>0</v>
      </c>
      <c r="J627" s="890">
        <f>GLOBAL_DER_FEV_2023!J627</f>
        <v>0</v>
      </c>
      <c r="K627" s="903" t="str">
        <f>GLOBAL_DER_FEV_2023!K627</f>
        <v xml:space="preserve">     </v>
      </c>
      <c r="L627" s="1137"/>
      <c r="M627" s="1140">
        <f t="shared" si="78"/>
        <v>0</v>
      </c>
      <c r="N627" s="1167">
        <f t="shared" si="82"/>
        <v>0</v>
      </c>
      <c r="O627" s="1165"/>
      <c r="Q627" s="317" t="str">
        <f t="shared" si="79"/>
        <v/>
      </c>
      <c r="R627" s="317" t="str">
        <f t="shared" si="80"/>
        <v/>
      </c>
      <c r="S627" s="317" t="str">
        <f t="shared" si="81"/>
        <v/>
      </c>
      <c r="T627" s="317" t="str">
        <f>GLOBAL_DER_FEV_2023!S627</f>
        <v/>
      </c>
      <c r="W627" s="582">
        <v>0</v>
      </c>
      <c r="X627" s="580"/>
      <c r="Y627" s="583">
        <f>IF(GLOBAL_DER_FEV_2023!W627=0,0,IF(GLOBAL_DER_FEV_2023!W627&gt;0,"c","b"))</f>
        <v>0</v>
      </c>
    </row>
    <row r="628" spans="1:25" x14ac:dyDescent="0.2">
      <c r="A628" s="640" t="s">
        <v>165</v>
      </c>
      <c r="B628" s="1036" t="str">
        <f>GLOBAL_DER_FEV_2023!B628</f>
        <v/>
      </c>
      <c r="C628" s="1072" t="str">
        <f>GLOBAL_DER_FEV_2023!C628</f>
        <v/>
      </c>
      <c r="D628" s="1141">
        <f>GLOBAL_DER_FEV_2023!D628</f>
        <v>0</v>
      </c>
      <c r="E628" s="907">
        <f>GLOBAL_DER_FEV_2023!E628</f>
        <v>0</v>
      </c>
      <c r="F628" s="908">
        <f>GLOBAL_DER_FEV_2023!F628</f>
        <v>0</v>
      </c>
      <c r="G628" s="912">
        <f>GLOBAL_DER_FEV_2023!G628</f>
        <v>0</v>
      </c>
      <c r="H628" s="901">
        <f>GLOBAL_DER_FEV_2023!H628</f>
        <v>0</v>
      </c>
      <c r="I628" s="901">
        <f>GLOBAL_DER_FEV_2023!I628</f>
        <v>0</v>
      </c>
      <c r="J628" s="890">
        <f>GLOBAL_DER_FEV_2023!J628</f>
        <v>0</v>
      </c>
      <c r="K628" s="903" t="str">
        <f>GLOBAL_DER_FEV_2023!K628</f>
        <v xml:space="preserve">     </v>
      </c>
      <c r="L628" s="1137"/>
      <c r="M628" s="1140">
        <f t="shared" si="78"/>
        <v>0</v>
      </c>
      <c r="N628" s="1167">
        <f t="shared" si="82"/>
        <v>0</v>
      </c>
      <c r="O628" s="1165"/>
      <c r="Q628" s="317" t="str">
        <f t="shared" si="79"/>
        <v/>
      </c>
      <c r="R628" s="317" t="str">
        <f t="shared" si="80"/>
        <v/>
      </c>
      <c r="S628" s="317" t="str">
        <f t="shared" si="81"/>
        <v/>
      </c>
      <c r="T628" s="317" t="str">
        <f>GLOBAL_DER_FEV_2023!S628</f>
        <v/>
      </c>
      <c r="W628" s="582">
        <v>0</v>
      </c>
      <c r="X628" s="580"/>
      <c r="Y628" s="583">
        <f>IF(GLOBAL_DER_FEV_2023!W628=0,0,IF(GLOBAL_DER_FEV_2023!W628&gt;0,"c","b"))</f>
        <v>0</v>
      </c>
    </row>
    <row r="629" spans="1:25" x14ac:dyDescent="0.2">
      <c r="A629" s="640" t="s">
        <v>165</v>
      </c>
      <c r="B629" s="1036" t="str">
        <f>GLOBAL_DER_FEV_2023!B629</f>
        <v/>
      </c>
      <c r="C629" s="1072" t="str">
        <f>GLOBAL_DER_FEV_2023!C629</f>
        <v/>
      </c>
      <c r="D629" s="1141">
        <f>GLOBAL_DER_FEV_2023!D629</f>
        <v>0</v>
      </c>
      <c r="E629" s="907">
        <f>GLOBAL_DER_FEV_2023!E629</f>
        <v>0</v>
      </c>
      <c r="F629" s="908">
        <f>GLOBAL_DER_FEV_2023!F629</f>
        <v>0</v>
      </c>
      <c r="G629" s="912">
        <f>GLOBAL_DER_FEV_2023!G629</f>
        <v>0</v>
      </c>
      <c r="H629" s="901">
        <f>GLOBAL_DER_FEV_2023!H629</f>
        <v>0</v>
      </c>
      <c r="I629" s="901">
        <f>GLOBAL_DER_FEV_2023!I629</f>
        <v>0</v>
      </c>
      <c r="J629" s="890">
        <f>GLOBAL_DER_FEV_2023!J629</f>
        <v>0</v>
      </c>
      <c r="K629" s="903" t="str">
        <f>GLOBAL_DER_FEV_2023!K629</f>
        <v xml:space="preserve">     </v>
      </c>
      <c r="L629" s="1137"/>
      <c r="M629" s="1140">
        <f t="shared" si="78"/>
        <v>0</v>
      </c>
      <c r="N629" s="1167">
        <f t="shared" si="82"/>
        <v>0</v>
      </c>
      <c r="O629" s="1165"/>
      <c r="Q629" s="317" t="str">
        <f t="shared" si="79"/>
        <v/>
      </c>
      <c r="R629" s="317" t="str">
        <f t="shared" si="80"/>
        <v/>
      </c>
      <c r="S629" s="317" t="str">
        <f t="shared" si="81"/>
        <v/>
      </c>
      <c r="T629" s="317" t="str">
        <f>GLOBAL_DER_FEV_2023!S629</f>
        <v/>
      </c>
      <c r="W629" s="582">
        <v>0</v>
      </c>
      <c r="X629" s="580"/>
      <c r="Y629" s="583">
        <f>IF(GLOBAL_DER_FEV_2023!W629=0,0,IF(GLOBAL_DER_FEV_2023!W629&gt;0,"c","b"))</f>
        <v>0</v>
      </c>
    </row>
    <row r="630" spans="1:25" x14ac:dyDescent="0.2">
      <c r="A630" s="640" t="s">
        <v>165</v>
      </c>
      <c r="B630" s="1036" t="str">
        <f>GLOBAL_DER_FEV_2023!B630</f>
        <v/>
      </c>
      <c r="C630" s="1072" t="str">
        <f>GLOBAL_DER_FEV_2023!C630</f>
        <v/>
      </c>
      <c r="D630" s="1141">
        <f>GLOBAL_DER_FEV_2023!D630</f>
        <v>0</v>
      </c>
      <c r="E630" s="907">
        <f>GLOBAL_DER_FEV_2023!E630</f>
        <v>0</v>
      </c>
      <c r="F630" s="908">
        <f>GLOBAL_DER_FEV_2023!F630</f>
        <v>0</v>
      </c>
      <c r="G630" s="912">
        <f>GLOBAL_DER_FEV_2023!G630</f>
        <v>0</v>
      </c>
      <c r="H630" s="901">
        <f>GLOBAL_DER_FEV_2023!H630</f>
        <v>0</v>
      </c>
      <c r="I630" s="901">
        <f>GLOBAL_DER_FEV_2023!I630</f>
        <v>0</v>
      </c>
      <c r="J630" s="890">
        <f>GLOBAL_DER_FEV_2023!J630</f>
        <v>0</v>
      </c>
      <c r="K630" s="903" t="str">
        <f>GLOBAL_DER_FEV_2023!K630</f>
        <v xml:space="preserve">     </v>
      </c>
      <c r="L630" s="1137"/>
      <c r="M630" s="1140">
        <f t="shared" si="78"/>
        <v>0</v>
      </c>
      <c r="N630" s="1167">
        <f t="shared" si="82"/>
        <v>0</v>
      </c>
      <c r="O630" s="1165"/>
      <c r="Q630" s="317" t="str">
        <f t="shared" si="79"/>
        <v/>
      </c>
      <c r="R630" s="317" t="str">
        <f t="shared" si="80"/>
        <v/>
      </c>
      <c r="S630" s="317" t="str">
        <f t="shared" si="81"/>
        <v/>
      </c>
      <c r="T630" s="317" t="str">
        <f>GLOBAL_DER_FEV_2023!S630</f>
        <v/>
      </c>
      <c r="W630" s="582">
        <v>0</v>
      </c>
      <c r="X630" s="580"/>
      <c r="Y630" s="583">
        <f>IF(GLOBAL_DER_FEV_2023!W630=0,0,IF(GLOBAL_DER_FEV_2023!W630&gt;0,"c","b"))</f>
        <v>0</v>
      </c>
    </row>
    <row r="631" spans="1:25" x14ac:dyDescent="0.2">
      <c r="A631" s="640" t="s">
        <v>165</v>
      </c>
      <c r="B631" s="1036" t="str">
        <f>GLOBAL_DER_FEV_2023!B631</f>
        <v/>
      </c>
      <c r="C631" s="1072" t="str">
        <f>GLOBAL_DER_FEV_2023!C631</f>
        <v/>
      </c>
      <c r="D631" s="1141">
        <f>GLOBAL_DER_FEV_2023!D631</f>
        <v>0</v>
      </c>
      <c r="E631" s="907">
        <f>GLOBAL_DER_FEV_2023!E631</f>
        <v>0</v>
      </c>
      <c r="F631" s="908">
        <f>GLOBAL_DER_FEV_2023!F631</f>
        <v>0</v>
      </c>
      <c r="G631" s="912">
        <f>GLOBAL_DER_FEV_2023!G631</f>
        <v>0</v>
      </c>
      <c r="H631" s="901">
        <f>GLOBAL_DER_FEV_2023!H631</f>
        <v>0</v>
      </c>
      <c r="I631" s="901">
        <f>GLOBAL_DER_FEV_2023!I631</f>
        <v>0</v>
      </c>
      <c r="J631" s="890">
        <f>GLOBAL_DER_FEV_2023!J631</f>
        <v>0</v>
      </c>
      <c r="K631" s="903" t="str">
        <f>GLOBAL_DER_FEV_2023!K631</f>
        <v xml:space="preserve">     </v>
      </c>
      <c r="L631" s="1137"/>
      <c r="M631" s="1140">
        <f t="shared" si="78"/>
        <v>0</v>
      </c>
      <c r="N631" s="1167">
        <f t="shared" si="82"/>
        <v>0</v>
      </c>
      <c r="O631" s="1165"/>
      <c r="Q631" s="317" t="str">
        <f t="shared" si="79"/>
        <v/>
      </c>
      <c r="R631" s="317" t="str">
        <f t="shared" si="80"/>
        <v/>
      </c>
      <c r="S631" s="317" t="str">
        <f t="shared" si="81"/>
        <v/>
      </c>
      <c r="T631" s="317" t="str">
        <f>GLOBAL_DER_FEV_2023!S631</f>
        <v/>
      </c>
      <c r="W631" s="582">
        <v>0</v>
      </c>
      <c r="X631" s="580"/>
      <c r="Y631" s="583">
        <f>IF(GLOBAL_DER_FEV_2023!W631=0,0,IF(GLOBAL_DER_FEV_2023!W631&gt;0,"c","b"))</f>
        <v>0</v>
      </c>
    </row>
    <row r="632" spans="1:25" x14ac:dyDescent="0.2">
      <c r="A632" s="640" t="s">
        <v>165</v>
      </c>
      <c r="B632" s="1036" t="str">
        <f>GLOBAL_DER_FEV_2023!B632</f>
        <v/>
      </c>
      <c r="C632" s="1072" t="str">
        <f>GLOBAL_DER_FEV_2023!C632</f>
        <v/>
      </c>
      <c r="D632" s="1141">
        <f>GLOBAL_DER_FEV_2023!D632</f>
        <v>0</v>
      </c>
      <c r="E632" s="907">
        <f>GLOBAL_DER_FEV_2023!E632</f>
        <v>0</v>
      </c>
      <c r="F632" s="908">
        <f>GLOBAL_DER_FEV_2023!F632</f>
        <v>0</v>
      </c>
      <c r="G632" s="912">
        <f>GLOBAL_DER_FEV_2023!G632</f>
        <v>0</v>
      </c>
      <c r="H632" s="901">
        <f>GLOBAL_DER_FEV_2023!H632</f>
        <v>0</v>
      </c>
      <c r="I632" s="901">
        <f>GLOBAL_DER_FEV_2023!I632</f>
        <v>0</v>
      </c>
      <c r="J632" s="890">
        <f>GLOBAL_DER_FEV_2023!J632</f>
        <v>0</v>
      </c>
      <c r="K632" s="903" t="str">
        <f>GLOBAL_DER_FEV_2023!K632</f>
        <v xml:space="preserve">     </v>
      </c>
      <c r="L632" s="1137"/>
      <c r="M632" s="1140">
        <f t="shared" si="78"/>
        <v>0</v>
      </c>
      <c r="N632" s="1167">
        <f t="shared" si="82"/>
        <v>0</v>
      </c>
      <c r="O632" s="1165"/>
      <c r="Q632" s="317" t="str">
        <f t="shared" si="79"/>
        <v/>
      </c>
      <c r="R632" s="317" t="str">
        <f t="shared" si="80"/>
        <v/>
      </c>
      <c r="S632" s="317" t="str">
        <f t="shared" si="81"/>
        <v/>
      </c>
      <c r="T632" s="317" t="str">
        <f>GLOBAL_DER_FEV_2023!S632</f>
        <v/>
      </c>
      <c r="W632" s="582">
        <v>0</v>
      </c>
      <c r="X632" s="580"/>
      <c r="Y632" s="583">
        <f>IF(GLOBAL_DER_FEV_2023!W632=0,0,IF(GLOBAL_DER_FEV_2023!W632&gt;0,"c","b"))</f>
        <v>0</v>
      </c>
    </row>
    <row r="633" spans="1:25" x14ac:dyDescent="0.2">
      <c r="A633" s="640" t="s">
        <v>165</v>
      </c>
      <c r="B633" s="1036" t="str">
        <f>GLOBAL_DER_FEV_2023!B633</f>
        <v/>
      </c>
      <c r="C633" s="1072" t="str">
        <f>GLOBAL_DER_FEV_2023!C633</f>
        <v/>
      </c>
      <c r="D633" s="1141">
        <f>GLOBAL_DER_FEV_2023!D633</f>
        <v>0</v>
      </c>
      <c r="E633" s="907">
        <f>GLOBAL_DER_FEV_2023!E633</f>
        <v>0</v>
      </c>
      <c r="F633" s="908">
        <f>GLOBAL_DER_FEV_2023!F633</f>
        <v>0</v>
      </c>
      <c r="G633" s="912">
        <f>GLOBAL_DER_FEV_2023!G633</f>
        <v>0</v>
      </c>
      <c r="H633" s="901">
        <f>GLOBAL_DER_FEV_2023!H633</f>
        <v>0</v>
      </c>
      <c r="I633" s="901">
        <f>GLOBAL_DER_FEV_2023!I633</f>
        <v>0</v>
      </c>
      <c r="J633" s="890">
        <f>GLOBAL_DER_FEV_2023!J633</f>
        <v>0</v>
      </c>
      <c r="K633" s="903" t="str">
        <f>GLOBAL_DER_FEV_2023!K633</f>
        <v xml:space="preserve">     </v>
      </c>
      <c r="L633" s="1137"/>
      <c r="M633" s="1140">
        <f t="shared" si="78"/>
        <v>0</v>
      </c>
      <c r="N633" s="1167">
        <f t="shared" si="82"/>
        <v>0</v>
      </c>
      <c r="O633" s="1165"/>
      <c r="Q633" s="317" t="str">
        <f t="shared" si="79"/>
        <v/>
      </c>
      <c r="R633" s="317" t="str">
        <f t="shared" si="80"/>
        <v/>
      </c>
      <c r="S633" s="317" t="str">
        <f t="shared" si="81"/>
        <v/>
      </c>
      <c r="T633" s="317" t="str">
        <f>GLOBAL_DER_FEV_2023!S633</f>
        <v/>
      </c>
      <c r="W633" s="582">
        <v>0</v>
      </c>
      <c r="X633" s="580"/>
      <c r="Y633" s="583">
        <f>IF(GLOBAL_DER_FEV_2023!W633=0,0,IF(GLOBAL_DER_FEV_2023!W633&gt;0,"c","b"))</f>
        <v>0</v>
      </c>
    </row>
    <row r="634" spans="1:25" x14ac:dyDescent="0.2">
      <c r="A634" s="640" t="s">
        <v>165</v>
      </c>
      <c r="B634" s="1036" t="str">
        <f>GLOBAL_DER_FEV_2023!B634</f>
        <v/>
      </c>
      <c r="C634" s="1072" t="str">
        <f>GLOBAL_DER_FEV_2023!C634</f>
        <v/>
      </c>
      <c r="D634" s="1141">
        <f>GLOBAL_DER_FEV_2023!D634</f>
        <v>0</v>
      </c>
      <c r="E634" s="907">
        <f>GLOBAL_DER_FEV_2023!E634</f>
        <v>0</v>
      </c>
      <c r="F634" s="908">
        <f>GLOBAL_DER_FEV_2023!F634</f>
        <v>0</v>
      </c>
      <c r="G634" s="912">
        <f>GLOBAL_DER_FEV_2023!G634</f>
        <v>0</v>
      </c>
      <c r="H634" s="901">
        <f>GLOBAL_DER_FEV_2023!H634</f>
        <v>0</v>
      </c>
      <c r="I634" s="901">
        <f>GLOBAL_DER_FEV_2023!I634</f>
        <v>0</v>
      </c>
      <c r="J634" s="890">
        <f>GLOBAL_DER_FEV_2023!J634</f>
        <v>0</v>
      </c>
      <c r="K634" s="903" t="str">
        <f>GLOBAL_DER_FEV_2023!K634</f>
        <v xml:space="preserve">     </v>
      </c>
      <c r="L634" s="1137"/>
      <c r="M634" s="1140">
        <f t="shared" si="78"/>
        <v>0</v>
      </c>
      <c r="N634" s="1167">
        <f t="shared" si="82"/>
        <v>0</v>
      </c>
      <c r="O634" s="1165"/>
      <c r="Q634" s="317" t="str">
        <f t="shared" si="79"/>
        <v/>
      </c>
      <c r="R634" s="317" t="str">
        <f t="shared" si="80"/>
        <v/>
      </c>
      <c r="S634" s="317" t="str">
        <f t="shared" si="81"/>
        <v/>
      </c>
      <c r="T634" s="317" t="str">
        <f>GLOBAL_DER_FEV_2023!S634</f>
        <v/>
      </c>
      <c r="W634" s="582">
        <v>0</v>
      </c>
      <c r="X634" s="580"/>
      <c r="Y634" s="583">
        <f>IF(GLOBAL_DER_FEV_2023!W634=0,0,IF(GLOBAL_DER_FEV_2023!W634&gt;0,"c","b"))</f>
        <v>0</v>
      </c>
    </row>
    <row r="635" spans="1:25" x14ac:dyDescent="0.2">
      <c r="A635" s="640" t="s">
        <v>165</v>
      </c>
      <c r="B635" s="1036" t="str">
        <f>GLOBAL_DER_FEV_2023!B635</f>
        <v/>
      </c>
      <c r="C635" s="1072" t="str">
        <f>GLOBAL_DER_FEV_2023!C635</f>
        <v/>
      </c>
      <c r="D635" s="1141">
        <f>GLOBAL_DER_FEV_2023!D635</f>
        <v>0</v>
      </c>
      <c r="E635" s="907">
        <f>GLOBAL_DER_FEV_2023!E635</f>
        <v>0</v>
      </c>
      <c r="F635" s="908">
        <f>GLOBAL_DER_FEV_2023!F635</f>
        <v>0</v>
      </c>
      <c r="G635" s="912">
        <f>GLOBAL_DER_FEV_2023!G635</f>
        <v>0</v>
      </c>
      <c r="H635" s="901">
        <f>GLOBAL_DER_FEV_2023!H635</f>
        <v>0</v>
      </c>
      <c r="I635" s="901">
        <f>GLOBAL_DER_FEV_2023!I635</f>
        <v>0</v>
      </c>
      <c r="J635" s="890">
        <f>GLOBAL_DER_FEV_2023!J635</f>
        <v>0</v>
      </c>
      <c r="K635" s="903" t="str">
        <f>GLOBAL_DER_FEV_2023!K635</f>
        <v xml:space="preserve">     </v>
      </c>
      <c r="L635" s="1137"/>
      <c r="M635" s="1140">
        <f t="shared" si="78"/>
        <v>0</v>
      </c>
      <c r="N635" s="1167">
        <f t="shared" si="82"/>
        <v>0</v>
      </c>
      <c r="O635" s="1165"/>
      <c r="Q635" s="317" t="str">
        <f t="shared" si="79"/>
        <v/>
      </c>
      <c r="R635" s="317" t="str">
        <f t="shared" si="80"/>
        <v/>
      </c>
      <c r="S635" s="317" t="str">
        <f t="shared" si="81"/>
        <v/>
      </c>
      <c r="T635" s="317" t="str">
        <f>GLOBAL_DER_FEV_2023!S635</f>
        <v/>
      </c>
      <c r="W635" s="582">
        <v>0</v>
      </c>
      <c r="X635" s="580"/>
      <c r="Y635" s="583">
        <f>IF(GLOBAL_DER_FEV_2023!W635=0,0,IF(GLOBAL_DER_FEV_2023!W635&gt;0,"c","b"))</f>
        <v>0</v>
      </c>
    </row>
    <row r="636" spans="1:25" x14ac:dyDescent="0.2">
      <c r="A636" s="640" t="s">
        <v>165</v>
      </c>
      <c r="B636" s="1036" t="str">
        <f>GLOBAL_DER_FEV_2023!B636</f>
        <v/>
      </c>
      <c r="C636" s="1072" t="str">
        <f>GLOBAL_DER_FEV_2023!C636</f>
        <v/>
      </c>
      <c r="D636" s="1141">
        <f>GLOBAL_DER_FEV_2023!D636</f>
        <v>0</v>
      </c>
      <c r="E636" s="907">
        <f>GLOBAL_DER_FEV_2023!E636</f>
        <v>0</v>
      </c>
      <c r="F636" s="908">
        <f>GLOBAL_DER_FEV_2023!F636</f>
        <v>0</v>
      </c>
      <c r="G636" s="912">
        <f>GLOBAL_DER_FEV_2023!G636</f>
        <v>0</v>
      </c>
      <c r="H636" s="901">
        <f>GLOBAL_DER_FEV_2023!H636</f>
        <v>0</v>
      </c>
      <c r="I636" s="901">
        <f>GLOBAL_DER_FEV_2023!I636</f>
        <v>0</v>
      </c>
      <c r="J636" s="890">
        <f>GLOBAL_DER_FEV_2023!J636</f>
        <v>0</v>
      </c>
      <c r="K636" s="903" t="str">
        <f>GLOBAL_DER_FEV_2023!K636</f>
        <v xml:space="preserve">     </v>
      </c>
      <c r="L636" s="1137"/>
      <c r="M636" s="1140">
        <f t="shared" si="78"/>
        <v>0</v>
      </c>
      <c r="N636" s="1167">
        <f t="shared" si="82"/>
        <v>0</v>
      </c>
      <c r="O636" s="1165"/>
      <c r="Q636" s="317" t="str">
        <f t="shared" si="79"/>
        <v/>
      </c>
      <c r="R636" s="317" t="str">
        <f t="shared" si="80"/>
        <v/>
      </c>
      <c r="S636" s="317" t="str">
        <f t="shared" si="81"/>
        <v/>
      </c>
      <c r="T636" s="317" t="str">
        <f>GLOBAL_DER_FEV_2023!S636</f>
        <v/>
      </c>
      <c r="W636" s="582">
        <v>0</v>
      </c>
      <c r="X636" s="580"/>
      <c r="Y636" s="583">
        <f>IF(GLOBAL_DER_FEV_2023!W636=0,0,IF(GLOBAL_DER_FEV_2023!W636&gt;0,"c","b"))</f>
        <v>0</v>
      </c>
    </row>
    <row r="637" spans="1:25" x14ac:dyDescent="0.2">
      <c r="A637" s="640" t="s">
        <v>165</v>
      </c>
      <c r="B637" s="1036" t="str">
        <f>GLOBAL_DER_FEV_2023!B637</f>
        <v/>
      </c>
      <c r="C637" s="1072" t="str">
        <f>GLOBAL_DER_FEV_2023!C637</f>
        <v/>
      </c>
      <c r="D637" s="1141">
        <f>GLOBAL_DER_FEV_2023!D637</f>
        <v>0</v>
      </c>
      <c r="E637" s="907">
        <f>GLOBAL_DER_FEV_2023!E637</f>
        <v>0</v>
      </c>
      <c r="F637" s="908">
        <f>GLOBAL_DER_FEV_2023!F637</f>
        <v>0</v>
      </c>
      <c r="G637" s="912">
        <f>GLOBAL_DER_FEV_2023!G637</f>
        <v>0</v>
      </c>
      <c r="H637" s="901">
        <f>GLOBAL_DER_FEV_2023!H637</f>
        <v>0</v>
      </c>
      <c r="I637" s="901">
        <f>GLOBAL_DER_FEV_2023!I637</f>
        <v>0</v>
      </c>
      <c r="J637" s="890">
        <f>GLOBAL_DER_FEV_2023!J637</f>
        <v>0</v>
      </c>
      <c r="K637" s="903" t="str">
        <f>GLOBAL_DER_FEV_2023!K637</f>
        <v xml:space="preserve">     </v>
      </c>
      <c r="L637" s="1137"/>
      <c r="M637" s="1140">
        <f t="shared" si="78"/>
        <v>0</v>
      </c>
      <c r="N637" s="1167">
        <f t="shared" si="82"/>
        <v>0</v>
      </c>
      <c r="O637" s="1165"/>
      <c r="Q637" s="317" t="str">
        <f t="shared" si="79"/>
        <v/>
      </c>
      <c r="R637" s="317" t="str">
        <f t="shared" si="80"/>
        <v/>
      </c>
      <c r="S637" s="317" t="str">
        <f t="shared" si="81"/>
        <v/>
      </c>
      <c r="T637" s="317" t="str">
        <f>GLOBAL_DER_FEV_2023!S637</f>
        <v/>
      </c>
      <c r="W637" s="582">
        <v>0</v>
      </c>
      <c r="X637" s="580"/>
      <c r="Y637" s="583">
        <f>IF(GLOBAL_DER_FEV_2023!W637=0,0,IF(GLOBAL_DER_FEV_2023!W637&gt;0,"c","b"))</f>
        <v>0</v>
      </c>
    </row>
    <row r="638" spans="1:25" x14ac:dyDescent="0.2">
      <c r="A638" s="640" t="s">
        <v>165</v>
      </c>
      <c r="B638" s="1036" t="str">
        <f>GLOBAL_DER_FEV_2023!B638</f>
        <v/>
      </c>
      <c r="C638" s="1072" t="str">
        <f>GLOBAL_DER_FEV_2023!C638</f>
        <v/>
      </c>
      <c r="D638" s="1141">
        <f>GLOBAL_DER_FEV_2023!D638</f>
        <v>0</v>
      </c>
      <c r="E638" s="907">
        <f>GLOBAL_DER_FEV_2023!E638</f>
        <v>0</v>
      </c>
      <c r="F638" s="908">
        <f>GLOBAL_DER_FEV_2023!F638</f>
        <v>0</v>
      </c>
      <c r="G638" s="912">
        <f>GLOBAL_DER_FEV_2023!G638</f>
        <v>0</v>
      </c>
      <c r="H638" s="901">
        <f>GLOBAL_DER_FEV_2023!H638</f>
        <v>0</v>
      </c>
      <c r="I638" s="901">
        <f>GLOBAL_DER_FEV_2023!I638</f>
        <v>0</v>
      </c>
      <c r="J638" s="890">
        <f>GLOBAL_DER_FEV_2023!J638</f>
        <v>0</v>
      </c>
      <c r="K638" s="903" t="str">
        <f>GLOBAL_DER_FEV_2023!K638</f>
        <v xml:space="preserve">     </v>
      </c>
      <c r="L638" s="1137"/>
      <c r="M638" s="1140">
        <f t="shared" si="78"/>
        <v>0</v>
      </c>
      <c r="N638" s="1167">
        <f t="shared" si="82"/>
        <v>0</v>
      </c>
      <c r="O638" s="1165"/>
      <c r="Q638" s="317" t="str">
        <f t="shared" si="79"/>
        <v/>
      </c>
      <c r="R638" s="317" t="str">
        <f t="shared" si="80"/>
        <v/>
      </c>
      <c r="S638" s="317" t="str">
        <f t="shared" si="81"/>
        <v/>
      </c>
      <c r="T638" s="317" t="str">
        <f>GLOBAL_DER_FEV_2023!S638</f>
        <v/>
      </c>
      <c r="W638" s="582">
        <v>0</v>
      </c>
      <c r="X638" s="580"/>
      <c r="Y638" s="583">
        <f>IF(GLOBAL_DER_FEV_2023!W638=0,0,IF(GLOBAL_DER_FEV_2023!W638&gt;0,"c","b"))</f>
        <v>0</v>
      </c>
    </row>
    <row r="639" spans="1:25" x14ac:dyDescent="0.2">
      <c r="A639" s="640" t="s">
        <v>165</v>
      </c>
      <c r="B639" s="1036" t="str">
        <f>GLOBAL_DER_FEV_2023!B639</f>
        <v/>
      </c>
      <c r="C639" s="1072" t="str">
        <f>GLOBAL_DER_FEV_2023!C639</f>
        <v/>
      </c>
      <c r="D639" s="1141">
        <f>GLOBAL_DER_FEV_2023!D639</f>
        <v>0</v>
      </c>
      <c r="E639" s="907">
        <f>GLOBAL_DER_FEV_2023!E639</f>
        <v>0</v>
      </c>
      <c r="F639" s="908">
        <f>GLOBAL_DER_FEV_2023!F639</f>
        <v>0</v>
      </c>
      <c r="G639" s="912">
        <f>GLOBAL_DER_FEV_2023!G639</f>
        <v>0</v>
      </c>
      <c r="H639" s="901">
        <f>GLOBAL_DER_FEV_2023!H639</f>
        <v>0</v>
      </c>
      <c r="I639" s="901">
        <f>GLOBAL_DER_FEV_2023!I639</f>
        <v>0</v>
      </c>
      <c r="J639" s="890">
        <f>GLOBAL_DER_FEV_2023!J639</f>
        <v>0</v>
      </c>
      <c r="K639" s="903" t="str">
        <f>GLOBAL_DER_FEV_2023!K639</f>
        <v xml:space="preserve">     </v>
      </c>
      <c r="L639" s="1137"/>
      <c r="M639" s="1140">
        <f t="shared" si="78"/>
        <v>0</v>
      </c>
      <c r="N639" s="1167">
        <f t="shared" si="82"/>
        <v>0</v>
      </c>
      <c r="O639" s="1165"/>
      <c r="Q639" s="317" t="str">
        <f t="shared" si="79"/>
        <v/>
      </c>
      <c r="R639" s="317" t="str">
        <f t="shared" si="80"/>
        <v/>
      </c>
      <c r="S639" s="317" t="str">
        <f t="shared" si="81"/>
        <v/>
      </c>
      <c r="T639" s="317" t="str">
        <f>GLOBAL_DER_FEV_2023!S639</f>
        <v/>
      </c>
      <c r="W639" s="582">
        <v>0</v>
      </c>
      <c r="X639" s="580"/>
      <c r="Y639" s="583">
        <f>IF(GLOBAL_DER_FEV_2023!W639=0,0,IF(GLOBAL_DER_FEV_2023!W639&gt;0,"c","b"))</f>
        <v>0</v>
      </c>
    </row>
    <row r="640" spans="1:25" x14ac:dyDescent="0.2">
      <c r="A640" s="640" t="s">
        <v>165</v>
      </c>
      <c r="B640" s="1036" t="str">
        <f>GLOBAL_DER_FEV_2023!B640</f>
        <v/>
      </c>
      <c r="C640" s="1072" t="str">
        <f>GLOBAL_DER_FEV_2023!C640</f>
        <v/>
      </c>
      <c r="D640" s="1141">
        <f>GLOBAL_DER_FEV_2023!D640</f>
        <v>0</v>
      </c>
      <c r="E640" s="907">
        <f>GLOBAL_DER_FEV_2023!E640</f>
        <v>0</v>
      </c>
      <c r="F640" s="908">
        <f>GLOBAL_DER_FEV_2023!F640</f>
        <v>0</v>
      </c>
      <c r="G640" s="912">
        <f>GLOBAL_DER_FEV_2023!G640</f>
        <v>0</v>
      </c>
      <c r="H640" s="901">
        <f>GLOBAL_DER_FEV_2023!H640</f>
        <v>0</v>
      </c>
      <c r="I640" s="901">
        <f>GLOBAL_DER_FEV_2023!I640</f>
        <v>0</v>
      </c>
      <c r="J640" s="890">
        <f>GLOBAL_DER_FEV_2023!J640</f>
        <v>0</v>
      </c>
      <c r="K640" s="903" t="str">
        <f>GLOBAL_DER_FEV_2023!K640</f>
        <v xml:space="preserve">     </v>
      </c>
      <c r="L640" s="1137"/>
      <c r="M640" s="1140">
        <f t="shared" si="78"/>
        <v>0</v>
      </c>
      <c r="N640" s="1167">
        <f t="shared" si="82"/>
        <v>0</v>
      </c>
      <c r="O640" s="1165"/>
      <c r="Q640" s="317" t="str">
        <f t="shared" si="79"/>
        <v/>
      </c>
      <c r="R640" s="317" t="str">
        <f t="shared" si="80"/>
        <v/>
      </c>
      <c r="S640" s="317" t="str">
        <f t="shared" si="81"/>
        <v/>
      </c>
      <c r="T640" s="317" t="str">
        <f>GLOBAL_DER_FEV_2023!S640</f>
        <v/>
      </c>
      <c r="W640" s="582">
        <v>0</v>
      </c>
      <c r="X640" s="580"/>
      <c r="Y640" s="583">
        <f>IF(GLOBAL_DER_FEV_2023!W640=0,0,IF(GLOBAL_DER_FEV_2023!W640&gt;0,"c","b"))</f>
        <v>0</v>
      </c>
    </row>
    <row r="641" spans="1:25" x14ac:dyDescent="0.2">
      <c r="A641" s="640" t="s">
        <v>165</v>
      </c>
      <c r="B641" s="1036" t="str">
        <f>GLOBAL_DER_FEV_2023!B641</f>
        <v/>
      </c>
      <c r="C641" s="1072" t="str">
        <f>GLOBAL_DER_FEV_2023!C641</f>
        <v/>
      </c>
      <c r="D641" s="1141">
        <f>GLOBAL_DER_FEV_2023!D641</f>
        <v>0</v>
      </c>
      <c r="E641" s="907">
        <f>GLOBAL_DER_FEV_2023!E641</f>
        <v>0</v>
      </c>
      <c r="F641" s="908">
        <f>GLOBAL_DER_FEV_2023!F641</f>
        <v>0</v>
      </c>
      <c r="G641" s="912">
        <f>GLOBAL_DER_FEV_2023!G641</f>
        <v>0</v>
      </c>
      <c r="H641" s="901">
        <f>GLOBAL_DER_FEV_2023!H641</f>
        <v>0</v>
      </c>
      <c r="I641" s="901">
        <f>GLOBAL_DER_FEV_2023!I641</f>
        <v>0</v>
      </c>
      <c r="J641" s="890">
        <f>GLOBAL_DER_FEV_2023!J641</f>
        <v>0</v>
      </c>
      <c r="K641" s="903" t="str">
        <f>GLOBAL_DER_FEV_2023!K641</f>
        <v xml:space="preserve">     </v>
      </c>
      <c r="L641" s="1137"/>
      <c r="M641" s="1140">
        <f t="shared" si="78"/>
        <v>0</v>
      </c>
      <c r="N641" s="1167">
        <f t="shared" si="82"/>
        <v>0</v>
      </c>
      <c r="O641" s="1165"/>
      <c r="Q641" s="317" t="str">
        <f t="shared" si="79"/>
        <v/>
      </c>
      <c r="R641" s="317" t="str">
        <f t="shared" si="80"/>
        <v/>
      </c>
      <c r="S641" s="317" t="str">
        <f t="shared" si="81"/>
        <v/>
      </c>
      <c r="T641" s="317" t="str">
        <f>GLOBAL_DER_FEV_2023!S641</f>
        <v/>
      </c>
      <c r="W641" s="582">
        <v>0</v>
      </c>
      <c r="X641" s="580"/>
      <c r="Y641" s="583">
        <f>IF(GLOBAL_DER_FEV_2023!W641=0,0,IF(GLOBAL_DER_FEV_2023!W641&gt;0,"c","b"))</f>
        <v>0</v>
      </c>
    </row>
    <row r="642" spans="1:25" x14ac:dyDescent="0.2">
      <c r="A642" s="640" t="s">
        <v>165</v>
      </c>
      <c r="B642" s="1036" t="str">
        <f>GLOBAL_DER_FEV_2023!B642</f>
        <v/>
      </c>
      <c r="C642" s="1072" t="str">
        <f>GLOBAL_DER_FEV_2023!C642</f>
        <v/>
      </c>
      <c r="D642" s="1141">
        <f>GLOBAL_DER_FEV_2023!D642</f>
        <v>0</v>
      </c>
      <c r="E642" s="907">
        <f>GLOBAL_DER_FEV_2023!E642</f>
        <v>0</v>
      </c>
      <c r="F642" s="908">
        <f>GLOBAL_DER_FEV_2023!F642</f>
        <v>0</v>
      </c>
      <c r="G642" s="912">
        <f>GLOBAL_DER_FEV_2023!G642</f>
        <v>0</v>
      </c>
      <c r="H642" s="901">
        <f>GLOBAL_DER_FEV_2023!H642</f>
        <v>0</v>
      </c>
      <c r="I642" s="901">
        <f>GLOBAL_DER_FEV_2023!I642</f>
        <v>0</v>
      </c>
      <c r="J642" s="890">
        <f>GLOBAL_DER_FEV_2023!J642</f>
        <v>0</v>
      </c>
      <c r="K642" s="903" t="str">
        <f>GLOBAL_DER_FEV_2023!K642</f>
        <v xml:space="preserve">     </v>
      </c>
      <c r="L642" s="1137"/>
      <c r="M642" s="1140">
        <f t="shared" si="78"/>
        <v>0</v>
      </c>
      <c r="N642" s="1167">
        <f t="shared" si="82"/>
        <v>0</v>
      </c>
      <c r="O642" s="1165"/>
      <c r="Q642" s="317" t="str">
        <f t="shared" si="79"/>
        <v/>
      </c>
      <c r="R642" s="317" t="str">
        <f t="shared" si="80"/>
        <v/>
      </c>
      <c r="S642" s="317" t="str">
        <f t="shared" si="81"/>
        <v/>
      </c>
      <c r="T642" s="317" t="str">
        <f>GLOBAL_DER_FEV_2023!S642</f>
        <v/>
      </c>
      <c r="W642" s="582">
        <v>0</v>
      </c>
      <c r="X642" s="580"/>
      <c r="Y642" s="583">
        <f>IF(GLOBAL_DER_FEV_2023!W642=0,0,IF(GLOBAL_DER_FEV_2023!W642&gt;0,"c","b"))</f>
        <v>0</v>
      </c>
    </row>
    <row r="643" spans="1:25" ht="13.5" thickBot="1" x14ac:dyDescent="0.25">
      <c r="A643" s="640" t="s">
        <v>165</v>
      </c>
      <c r="B643" s="1036" t="str">
        <f>GLOBAL_DER_FEV_2023!B643</f>
        <v/>
      </c>
      <c r="C643" s="1072" t="str">
        <f>GLOBAL_DER_FEV_2023!C643</f>
        <v/>
      </c>
      <c r="D643" s="1141">
        <f>GLOBAL_DER_FEV_2023!D643</f>
        <v>0</v>
      </c>
      <c r="E643" s="907">
        <f>GLOBAL_DER_FEV_2023!E643</f>
        <v>0</v>
      </c>
      <c r="F643" s="908">
        <f>GLOBAL_DER_FEV_2023!F643</f>
        <v>0</v>
      </c>
      <c r="G643" s="912">
        <f>GLOBAL_DER_FEV_2023!G643</f>
        <v>0</v>
      </c>
      <c r="H643" s="901">
        <f>GLOBAL_DER_FEV_2023!H643</f>
        <v>0</v>
      </c>
      <c r="I643" s="901">
        <f>GLOBAL_DER_FEV_2023!I643</f>
        <v>0</v>
      </c>
      <c r="J643" s="890">
        <f>GLOBAL_DER_FEV_2023!J643</f>
        <v>0</v>
      </c>
      <c r="K643" s="903" t="str">
        <f>GLOBAL_DER_FEV_2023!K643</f>
        <v xml:space="preserve">     </v>
      </c>
      <c r="L643" s="1137"/>
      <c r="M643" s="1140">
        <f t="shared" si="78"/>
        <v>0</v>
      </c>
      <c r="N643" s="1167">
        <f t="shared" si="82"/>
        <v>0</v>
      </c>
      <c r="O643" s="1165"/>
      <c r="Q643" s="317" t="str">
        <f t="shared" si="79"/>
        <v/>
      </c>
      <c r="R643" s="317" t="str">
        <f t="shared" si="80"/>
        <v/>
      </c>
      <c r="S643" s="317" t="str">
        <f t="shared" si="81"/>
        <v/>
      </c>
      <c r="T643" s="317" t="str">
        <f>GLOBAL_DER_FEV_2023!S643</f>
        <v/>
      </c>
      <c r="W643" s="582">
        <v>0</v>
      </c>
      <c r="X643" s="580"/>
      <c r="Y643" s="583">
        <f>IF(GLOBAL_DER_FEV_2023!W643=0,0,IF(GLOBAL_DER_FEV_2023!W643&gt;0,"c","b"))</f>
        <v>0</v>
      </c>
    </row>
    <row r="644" spans="1:25" ht="13.5" thickBot="1" x14ac:dyDescent="0.25">
      <c r="A644" s="317" t="s">
        <v>205</v>
      </c>
      <c r="B644" s="950" t="s">
        <v>205</v>
      </c>
      <c r="C644" s="951"/>
      <c r="D644" s="952" t="s">
        <v>575</v>
      </c>
      <c r="E644" s="943">
        <f>GLOBAL_DER_FEV_2023!E644</f>
        <v>0</v>
      </c>
      <c r="F644" s="876"/>
      <c r="G644" s="944"/>
      <c r="H644" s="945">
        <f>GLOBAL_DER_FEV_2023!H644</f>
        <v>0</v>
      </c>
      <c r="I644" s="945">
        <f>GLOBAL_DER_FEV_2023!I644</f>
        <v>0</v>
      </c>
      <c r="J644" s="945">
        <f>GLOBAL_DER_FEV_2023!J644</f>
        <v>0</v>
      </c>
      <c r="K644" s="878" t="s">
        <v>507</v>
      </c>
      <c r="L644" s="879"/>
      <c r="M644" s="880"/>
      <c r="N644" s="881">
        <f t="shared" si="82"/>
        <v>0</v>
      </c>
      <c r="O644" s="882">
        <f>SUM(N645:N852)</f>
        <v>0</v>
      </c>
      <c r="P644" s="58" t="str">
        <f>IF(OR(O644&gt;0,O644&gt;0),"X","")</f>
        <v/>
      </c>
      <c r="Q644" s="317" t="str">
        <f t="shared" si="79"/>
        <v/>
      </c>
      <c r="R644" s="317" t="str">
        <f t="shared" si="80"/>
        <v/>
      </c>
      <c r="S644" s="317" t="str">
        <f t="shared" si="81"/>
        <v/>
      </c>
      <c r="T644" s="317" t="str">
        <f>GLOBAL_DER_FEV_2023!S644</f>
        <v/>
      </c>
      <c r="W644" s="582">
        <v>0</v>
      </c>
      <c r="X644" s="580"/>
      <c r="Y644" s="583">
        <f>IF(GLOBAL_DER_FEV_2023!W644=0,0,IF(GLOBAL_DER_FEV_2023!W644&gt;0,"c","b"))</f>
        <v>0</v>
      </c>
    </row>
    <row r="645" spans="1:25" x14ac:dyDescent="0.2">
      <c r="A645" s="317">
        <v>810250</v>
      </c>
      <c r="B645" s="895" t="s">
        <v>1707</v>
      </c>
      <c r="C645" s="896" t="s">
        <v>184</v>
      </c>
      <c r="D645" s="906" t="s">
        <v>455</v>
      </c>
      <c r="E645" s="907">
        <f>GLOBAL_DER_FEV_2023!E645</f>
        <v>0.1</v>
      </c>
      <c r="F645" s="908">
        <f>GLOBAL_DER_FEV_2023!F645</f>
        <v>3.9800000000000002E-2</v>
      </c>
      <c r="G645" s="949">
        <f>GLOBAL_DER_FEV_2023!G645</f>
        <v>0.11092260000000002</v>
      </c>
      <c r="H645" s="901">
        <f>GLOBAL_DER_FEV_2023!H645</f>
        <v>20.16</v>
      </c>
      <c r="I645" s="901">
        <f>GLOBAL_DER_FEV_2023!I645</f>
        <v>20.270922599999999</v>
      </c>
      <c r="J645" s="902">
        <f>GLOBAL_DER_FEV_2023!J645</f>
        <v>24.34</v>
      </c>
      <c r="K645" s="903" t="s">
        <v>13</v>
      </c>
      <c r="L645" s="1137"/>
      <c r="M645" s="1138">
        <f t="shared" si="78"/>
        <v>0</v>
      </c>
      <c r="N645" s="893">
        <f t="shared" si="82"/>
        <v>0</v>
      </c>
      <c r="O645" s="905"/>
      <c r="Q645" s="317" t="str">
        <f t="shared" si="79"/>
        <v/>
      </c>
      <c r="R645" s="317" t="str">
        <f t="shared" si="80"/>
        <v/>
      </c>
      <c r="S645" s="317" t="str">
        <f t="shared" si="81"/>
        <v/>
      </c>
      <c r="T645" s="317" t="str">
        <f>GLOBAL_DER_FEV_2023!S645</f>
        <v/>
      </c>
      <c r="W645" s="582">
        <v>0</v>
      </c>
      <c r="X645" s="580"/>
      <c r="Y645" s="583">
        <f>IF(GLOBAL_DER_FEV_2023!W645=0,0,IF(GLOBAL_DER_FEV_2023!W645&gt;0,"c","b"))</f>
        <v>0</v>
      </c>
    </row>
    <row r="646" spans="1:25" x14ac:dyDescent="0.2">
      <c r="A646" s="317">
        <v>810250</v>
      </c>
      <c r="B646" s="895" t="s">
        <v>1708</v>
      </c>
      <c r="C646" s="896" t="s">
        <v>184</v>
      </c>
      <c r="D646" s="906" t="s">
        <v>511</v>
      </c>
      <c r="E646" s="907">
        <f>GLOBAL_DER_FEV_2023!E646</f>
        <v>0.1</v>
      </c>
      <c r="F646" s="908">
        <f>GLOBAL_DER_FEV_2023!F646</f>
        <v>2.63E-2</v>
      </c>
      <c r="G646" s="949">
        <f>GLOBAL_DER_FEV_2023!G646</f>
        <v>7.3298100000000005E-2</v>
      </c>
      <c r="H646" s="901">
        <f>GLOBAL_DER_FEV_2023!H646</f>
        <v>13.27</v>
      </c>
      <c r="I646" s="901">
        <f>GLOBAL_DER_FEV_2023!I646</f>
        <v>13.3432981</v>
      </c>
      <c r="J646" s="902">
        <f>GLOBAL_DER_FEV_2023!J646</f>
        <v>16.02</v>
      </c>
      <c r="K646" s="903" t="s">
        <v>13</v>
      </c>
      <c r="L646" s="1137"/>
      <c r="M646" s="1138">
        <f t="shared" si="78"/>
        <v>0</v>
      </c>
      <c r="N646" s="893">
        <f t="shared" si="82"/>
        <v>0</v>
      </c>
      <c r="O646" s="905"/>
      <c r="Q646" s="317" t="str">
        <f t="shared" si="79"/>
        <v/>
      </c>
      <c r="R646" s="317" t="str">
        <f t="shared" si="80"/>
        <v/>
      </c>
      <c r="S646" s="317" t="str">
        <f t="shared" si="81"/>
        <v/>
      </c>
      <c r="T646" s="317" t="str">
        <f>GLOBAL_DER_FEV_2023!S646</f>
        <v/>
      </c>
      <c r="W646" s="582">
        <v>0</v>
      </c>
      <c r="X646" s="580"/>
      <c r="Y646" s="583">
        <f>IF(GLOBAL_DER_FEV_2023!W646=0,0,IF(GLOBAL_DER_FEV_2023!W646&gt;0,"c","b"))</f>
        <v>0</v>
      </c>
    </row>
    <row r="647" spans="1:25" x14ac:dyDescent="0.2">
      <c r="A647" s="317">
        <v>810250</v>
      </c>
      <c r="B647" s="895" t="s">
        <v>1709</v>
      </c>
      <c r="C647" s="896" t="s">
        <v>184</v>
      </c>
      <c r="D647" s="906" t="s">
        <v>456</v>
      </c>
      <c r="E647" s="907">
        <f>GLOBAL_DER_FEV_2023!E647</f>
        <v>0.1</v>
      </c>
      <c r="F647" s="908">
        <f>GLOBAL_DER_FEV_2023!F647</f>
        <v>3.2800000000000003E-2</v>
      </c>
      <c r="G647" s="949">
        <f>GLOBAL_DER_FEV_2023!G647</f>
        <v>9.1413600000000025E-2</v>
      </c>
      <c r="H647" s="901">
        <f>GLOBAL_DER_FEV_2023!H647</f>
        <v>16.510000000000002</v>
      </c>
      <c r="I647" s="901">
        <f>GLOBAL_DER_FEV_2023!I647</f>
        <v>16.601413600000001</v>
      </c>
      <c r="J647" s="902">
        <f>GLOBAL_DER_FEV_2023!J647</f>
        <v>19.93</v>
      </c>
      <c r="K647" s="903" t="s">
        <v>13</v>
      </c>
      <c r="L647" s="1137"/>
      <c r="M647" s="1138">
        <f t="shared" si="78"/>
        <v>0</v>
      </c>
      <c r="N647" s="893">
        <f t="shared" si="82"/>
        <v>0</v>
      </c>
      <c r="O647" s="905"/>
      <c r="Q647" s="317" t="str">
        <f t="shared" si="79"/>
        <v/>
      </c>
      <c r="R647" s="317" t="str">
        <f t="shared" si="80"/>
        <v/>
      </c>
      <c r="S647" s="317" t="str">
        <f t="shared" si="81"/>
        <v/>
      </c>
      <c r="T647" s="317" t="str">
        <f>GLOBAL_DER_FEV_2023!S647</f>
        <v/>
      </c>
      <c r="W647" s="582">
        <v>0</v>
      </c>
      <c r="X647" s="580"/>
      <c r="Y647" s="583">
        <f>IF(GLOBAL_DER_FEV_2023!W647=0,0,IF(GLOBAL_DER_FEV_2023!W647&gt;0,"c","b"))</f>
        <v>0</v>
      </c>
    </row>
    <row r="648" spans="1:25" x14ac:dyDescent="0.2">
      <c r="A648" s="317" t="s">
        <v>451</v>
      </c>
      <c r="B648" s="895" t="str">
        <f>GLOBAL_DER_FEV_2023!B648</f>
        <v>PAI-004B</v>
      </c>
      <c r="C648" s="896" t="str">
        <f>GLOBAL_DER_FEV_2023!C648</f>
        <v>PM Curitiba-abr/22</v>
      </c>
      <c r="D648" s="906" t="str">
        <f>GLOBAL_DER_FEV_2023!D648</f>
        <v>Fincadinha de Granito - (100x8x15cm)</v>
      </c>
      <c r="E648" s="907">
        <f>GLOBAL_DER_FEV_2023!E648</f>
        <v>0</v>
      </c>
      <c r="F648" s="908">
        <f>GLOBAL_DER_FEV_2023!F648</f>
        <v>2.1600000000000001E-2</v>
      </c>
      <c r="G648" s="949">
        <f>GLOBAL_DER_FEV_2023!G648</f>
        <v>5.7888000000000009E-2</v>
      </c>
      <c r="H648" s="901">
        <f>GLOBAL_DER_FEV_2023!H648</f>
        <v>64.709999999999994</v>
      </c>
      <c r="I648" s="901">
        <f>GLOBAL_DER_FEV_2023!I648</f>
        <v>64.767887999999999</v>
      </c>
      <c r="J648" s="902">
        <f>GLOBAL_DER_FEV_2023!J648</f>
        <v>77.77</v>
      </c>
      <c r="K648" s="903" t="s">
        <v>13</v>
      </c>
      <c r="L648" s="1137"/>
      <c r="M648" s="1138">
        <f t="shared" si="78"/>
        <v>0</v>
      </c>
      <c r="N648" s="893">
        <f t="shared" si="82"/>
        <v>0</v>
      </c>
      <c r="O648" s="905"/>
      <c r="Q648" s="317" t="str">
        <f t="shared" si="79"/>
        <v/>
      </c>
      <c r="R648" s="317" t="str">
        <f t="shared" si="80"/>
        <v/>
      </c>
      <c r="S648" s="317" t="str">
        <f t="shared" si="81"/>
        <v/>
      </c>
      <c r="T648" s="317" t="str">
        <f>GLOBAL_DER_FEV_2023!S648</f>
        <v/>
      </c>
      <c r="W648" s="582">
        <v>0</v>
      </c>
      <c r="X648" s="580"/>
      <c r="Y648" s="583">
        <f>IF(GLOBAL_DER_FEV_2023!W648=0,0,IF(GLOBAL_DER_FEV_2023!W648&gt;0,"c","b"))</f>
        <v>0</v>
      </c>
    </row>
    <row r="649" spans="1:25" x14ac:dyDescent="0.2">
      <c r="A649" s="317">
        <v>606700</v>
      </c>
      <c r="B649" s="895" t="s">
        <v>1704</v>
      </c>
      <c r="C649" s="896" t="s">
        <v>184</v>
      </c>
      <c r="D649" s="906" t="s">
        <v>258</v>
      </c>
      <c r="E649" s="907">
        <f>GLOBAL_DER_FEV_2023!E649</f>
        <v>0</v>
      </c>
      <c r="F649" s="908">
        <f>GLOBAL_DER_FEV_2023!F649</f>
        <v>0</v>
      </c>
      <c r="G649" s="912">
        <f>GLOBAL_DER_FEV_2023!G649</f>
        <v>0</v>
      </c>
      <c r="H649" s="901">
        <f>GLOBAL_DER_FEV_2023!H649</f>
        <v>148.04</v>
      </c>
      <c r="I649" s="901">
        <f>GLOBAL_DER_FEV_2023!I649</f>
        <v>148.04</v>
      </c>
      <c r="J649" s="902">
        <f>GLOBAL_DER_FEV_2023!J649</f>
        <v>177.75</v>
      </c>
      <c r="K649" s="903" t="s">
        <v>10</v>
      </c>
      <c r="L649" s="1137"/>
      <c r="M649" s="1138">
        <f t="shared" si="78"/>
        <v>0</v>
      </c>
      <c r="N649" s="893">
        <f t="shared" si="82"/>
        <v>0</v>
      </c>
      <c r="O649" s="905"/>
      <c r="Q649" s="317" t="str">
        <f t="shared" si="79"/>
        <v/>
      </c>
      <c r="R649" s="317" t="str">
        <f t="shared" si="80"/>
        <v/>
      </c>
      <c r="S649" s="317" t="str">
        <f t="shared" si="81"/>
        <v/>
      </c>
      <c r="T649" s="317" t="str">
        <f>GLOBAL_DER_FEV_2023!S649</f>
        <v/>
      </c>
      <c r="W649" s="582">
        <v>0</v>
      </c>
      <c r="X649" s="580"/>
      <c r="Y649" s="583">
        <f>IF(GLOBAL_DER_FEV_2023!W649=0,0,IF(GLOBAL_DER_FEV_2023!W649&gt;0,"c","b"))</f>
        <v>0</v>
      </c>
    </row>
    <row r="650" spans="1:25" x14ac:dyDescent="0.2">
      <c r="A650" s="317">
        <v>606600</v>
      </c>
      <c r="B650" s="895" t="s">
        <v>1701</v>
      </c>
      <c r="C650" s="896" t="s">
        <v>184</v>
      </c>
      <c r="D650" s="906" t="s">
        <v>809</v>
      </c>
      <c r="E650" s="907">
        <f>GLOBAL_DER_FEV_2023!E650</f>
        <v>0</v>
      </c>
      <c r="F650" s="908">
        <f>GLOBAL_DER_FEV_2023!F650</f>
        <v>0</v>
      </c>
      <c r="G650" s="912">
        <f>GLOBAL_DER_FEV_2023!G650</f>
        <v>0</v>
      </c>
      <c r="H650" s="901">
        <f>GLOBAL_DER_FEV_2023!H650</f>
        <v>309.52999999999997</v>
      </c>
      <c r="I650" s="901">
        <f>GLOBAL_DER_FEV_2023!I650</f>
        <v>309.52999999999997</v>
      </c>
      <c r="J650" s="902">
        <f>GLOBAL_DER_FEV_2023!J650</f>
        <v>371.65</v>
      </c>
      <c r="K650" s="903" t="s">
        <v>10</v>
      </c>
      <c r="L650" s="1137"/>
      <c r="M650" s="1138">
        <f t="shared" si="78"/>
        <v>0</v>
      </c>
      <c r="N650" s="893">
        <f t="shared" si="82"/>
        <v>0</v>
      </c>
      <c r="O650" s="905"/>
      <c r="Q650" s="317" t="str">
        <f t="shared" si="79"/>
        <v/>
      </c>
      <c r="R650" s="317" t="str">
        <f t="shared" si="80"/>
        <v/>
      </c>
      <c r="S650" s="317" t="str">
        <f t="shared" si="81"/>
        <v/>
      </c>
      <c r="T650" s="317" t="str">
        <f>GLOBAL_DER_FEV_2023!S650</f>
        <v/>
      </c>
      <c r="W650" s="582">
        <v>0</v>
      </c>
      <c r="X650" s="580"/>
      <c r="Y650" s="583">
        <f>IF(GLOBAL_DER_FEV_2023!W650=0,0,IF(GLOBAL_DER_FEV_2023!W650&gt;0,"c","b"))</f>
        <v>0</v>
      </c>
    </row>
    <row r="651" spans="1:25" x14ac:dyDescent="0.2">
      <c r="A651" s="317">
        <v>100576</v>
      </c>
      <c r="B651" s="895" t="s">
        <v>1745</v>
      </c>
      <c r="C651" s="896" t="s">
        <v>596</v>
      </c>
      <c r="D651" s="906" t="s">
        <v>183</v>
      </c>
      <c r="E651" s="898">
        <f>GLOBAL_DER_FEV_2023!E651</f>
        <v>0</v>
      </c>
      <c r="F651" s="908">
        <f>GLOBAL_DER_FEV_2023!F651</f>
        <v>0</v>
      </c>
      <c r="G651" s="912">
        <f>GLOBAL_DER_FEV_2023!G651</f>
        <v>0</v>
      </c>
      <c r="H651" s="901">
        <f>GLOBAL_DER_FEV_2023!H651</f>
        <v>2.6</v>
      </c>
      <c r="I651" s="901">
        <f>GLOBAL_DER_FEV_2023!I651</f>
        <v>2.6</v>
      </c>
      <c r="J651" s="902">
        <f>GLOBAL_DER_FEV_2023!J651</f>
        <v>3.12</v>
      </c>
      <c r="K651" s="903" t="s">
        <v>12</v>
      </c>
      <c r="L651" s="1137"/>
      <c r="M651" s="1138">
        <f t="shared" si="78"/>
        <v>0</v>
      </c>
      <c r="N651" s="893">
        <f t="shared" si="82"/>
        <v>0</v>
      </c>
      <c r="O651" s="905"/>
      <c r="Q651" s="317" t="str">
        <f t="shared" si="79"/>
        <v/>
      </c>
      <c r="R651" s="317" t="str">
        <f t="shared" si="80"/>
        <v/>
      </c>
      <c r="S651" s="317" t="str">
        <f t="shared" si="81"/>
        <v/>
      </c>
      <c r="T651" s="317" t="str">
        <f>GLOBAL_DER_FEV_2023!S651</f>
        <v/>
      </c>
      <c r="W651" s="582">
        <v>0</v>
      </c>
      <c r="X651" s="580"/>
      <c r="Y651" s="583">
        <f>IF(GLOBAL_DER_FEV_2023!W651=0,0,IF(GLOBAL_DER_FEV_2023!W651&gt;0,"c","b"))</f>
        <v>0</v>
      </c>
    </row>
    <row r="652" spans="1:25" x14ac:dyDescent="0.2">
      <c r="A652" s="317">
        <v>532500</v>
      </c>
      <c r="B652" s="895" t="s">
        <v>1532</v>
      </c>
      <c r="C652" s="896" t="s">
        <v>184</v>
      </c>
      <c r="D652" s="957" t="s">
        <v>329</v>
      </c>
      <c r="E652" s="907">
        <f>GLOBAL_DER_FEV_2023!E652</f>
        <v>150</v>
      </c>
      <c r="F652" s="908">
        <f>GLOBAL_DER_FEV_2023!F652</f>
        <v>1.7250000000000001</v>
      </c>
      <c r="G652" s="949">
        <f>GLOBAL_DER_FEV_2023!G652</f>
        <v>281.4855</v>
      </c>
      <c r="H652" s="901">
        <f>GLOBAL_DER_FEV_2023!H652</f>
        <v>102.38</v>
      </c>
      <c r="I652" s="901">
        <f>GLOBAL_DER_FEV_2023!I652</f>
        <v>383.8655</v>
      </c>
      <c r="J652" s="902">
        <f>GLOBAL_DER_FEV_2023!J652</f>
        <v>460.91</v>
      </c>
      <c r="K652" s="903" t="s">
        <v>10</v>
      </c>
      <c r="L652" s="1137"/>
      <c r="M652" s="1138">
        <f t="shared" si="78"/>
        <v>0</v>
      </c>
      <c r="N652" s="893">
        <f t="shared" si="82"/>
        <v>0</v>
      </c>
      <c r="O652" s="905"/>
      <c r="Q652" s="317" t="str">
        <f t="shared" si="79"/>
        <v/>
      </c>
      <c r="R652" s="317" t="str">
        <f t="shared" si="80"/>
        <v/>
      </c>
      <c r="S652" s="317" t="str">
        <f t="shared" si="81"/>
        <v/>
      </c>
      <c r="T652" s="317" t="str">
        <f>GLOBAL_DER_FEV_2023!S652</f>
        <v/>
      </c>
      <c r="W652" s="582">
        <v>0</v>
      </c>
      <c r="X652" s="580"/>
      <c r="Y652" s="583">
        <f>IF(GLOBAL_DER_FEV_2023!W652=0,0,IF(GLOBAL_DER_FEV_2023!W652&gt;0,"c","b"))</f>
        <v>0</v>
      </c>
    </row>
    <row r="653" spans="1:25" ht="14.45" customHeight="1" x14ac:dyDescent="0.2">
      <c r="A653" s="317">
        <v>603900</v>
      </c>
      <c r="B653" s="895" t="s">
        <v>1731</v>
      </c>
      <c r="C653" s="896" t="s">
        <v>184</v>
      </c>
      <c r="D653" s="957" t="s">
        <v>330</v>
      </c>
      <c r="E653" s="907">
        <f>GLOBAL_DER_FEV_2023!E653</f>
        <v>0.2</v>
      </c>
      <c r="F653" s="908">
        <f>GLOBAL_DER_FEV_2023!F653</f>
        <v>1.5</v>
      </c>
      <c r="G653" s="949">
        <f>GLOBAL_DER_FEV_2023!G653</f>
        <v>4.3410000000000002</v>
      </c>
      <c r="H653" s="901">
        <f>GLOBAL_DER_FEV_2023!H653</f>
        <v>131.84</v>
      </c>
      <c r="I653" s="901">
        <f>GLOBAL_DER_FEV_2023!I653</f>
        <v>136.18100000000001</v>
      </c>
      <c r="J653" s="902">
        <f>GLOBAL_DER_FEV_2023!J653</f>
        <v>163.51</v>
      </c>
      <c r="K653" s="903" t="s">
        <v>10</v>
      </c>
      <c r="L653" s="1137"/>
      <c r="M653" s="1138">
        <f t="shared" ref="M653:M716" si="83">IF(L653=0,0,ROUND(J653,2))</f>
        <v>0</v>
      </c>
      <c r="N653" s="893">
        <f t="shared" si="82"/>
        <v>0</v>
      </c>
      <c r="O653" s="905"/>
      <c r="Q653" s="317" t="str">
        <f t="shared" si="79"/>
        <v/>
      </c>
      <c r="R653" s="317" t="str">
        <f t="shared" si="80"/>
        <v/>
      </c>
      <c r="S653" s="317" t="str">
        <f t="shared" si="81"/>
        <v/>
      </c>
      <c r="T653" s="317" t="str">
        <f>GLOBAL_DER_FEV_2023!S653</f>
        <v/>
      </c>
      <c r="W653" s="582">
        <v>0</v>
      </c>
      <c r="X653" s="580"/>
      <c r="Y653" s="583">
        <f>IF(GLOBAL_DER_FEV_2023!W653=0,0,IF(GLOBAL_DER_FEV_2023!W653&gt;0,"c","b"))</f>
        <v>0</v>
      </c>
    </row>
    <row r="654" spans="1:25" x14ac:dyDescent="0.2">
      <c r="A654" s="317">
        <v>605000</v>
      </c>
      <c r="B654" s="895" t="s">
        <v>216</v>
      </c>
      <c r="C654" s="896" t="s">
        <v>184</v>
      </c>
      <c r="D654" s="906" t="s">
        <v>259</v>
      </c>
      <c r="E654" s="907">
        <f>GLOBAL_DER_FEV_2023!E654</f>
        <v>0</v>
      </c>
      <c r="F654" s="908">
        <f>GLOBAL_DER_FEV_2023!F654</f>
        <v>0</v>
      </c>
      <c r="G654" s="912">
        <f>GLOBAL_DER_FEV_2023!G654</f>
        <v>220.83394000000004</v>
      </c>
      <c r="H654" s="901">
        <f>GLOBAL_DER_FEV_2023!H654</f>
        <v>425.25</v>
      </c>
      <c r="I654" s="901">
        <f>GLOBAL_DER_FEV_2023!I654</f>
        <v>646.08393999999998</v>
      </c>
      <c r="J654" s="902">
        <f>GLOBAL_DER_FEV_2023!J654</f>
        <v>775.75</v>
      </c>
      <c r="K654" s="903" t="s">
        <v>10</v>
      </c>
      <c r="L654" s="1137"/>
      <c r="M654" s="1138">
        <f t="shared" si="83"/>
        <v>0</v>
      </c>
      <c r="N654" s="893">
        <f t="shared" si="82"/>
        <v>0</v>
      </c>
      <c r="O654" s="905"/>
      <c r="Q654" s="317" t="str">
        <f t="shared" si="79"/>
        <v/>
      </c>
      <c r="R654" s="317" t="str">
        <f t="shared" si="80"/>
        <v/>
      </c>
      <c r="S654" s="317" t="str">
        <f t="shared" si="81"/>
        <v/>
      </c>
      <c r="T654" s="317" t="str">
        <f>GLOBAL_DER_FEV_2023!S654</f>
        <v/>
      </c>
      <c r="W654" s="582">
        <v>0</v>
      </c>
      <c r="X654" s="580"/>
      <c r="Y654" s="583">
        <f>IF(GLOBAL_DER_FEV_2023!W654=0,0,IF(GLOBAL_DER_FEV_2023!W654&gt;0,"c","b"))</f>
        <v>0</v>
      </c>
    </row>
    <row r="655" spans="1:25" x14ac:dyDescent="0.2">
      <c r="A655" s="317" t="s">
        <v>147</v>
      </c>
      <c r="B655" s="895" t="s">
        <v>147</v>
      </c>
      <c r="C655" s="896"/>
      <c r="D655" s="957" t="s">
        <v>190</v>
      </c>
      <c r="E655" s="907">
        <f>GLOBAL_DER_FEV_2023!E655</f>
        <v>308</v>
      </c>
      <c r="F655" s="908">
        <f>GLOBAL_DER_FEV_2023!F655</f>
        <v>0.18</v>
      </c>
      <c r="G655" s="909">
        <f>GLOBAL_DER_FEV_2023!G655</f>
        <v>44.650799999999997</v>
      </c>
      <c r="H655" s="901">
        <f>GLOBAL_DER_FEV_2023!H655</f>
        <v>0</v>
      </c>
      <c r="I655" s="901">
        <f>GLOBAL_DER_FEV_2023!I655</f>
        <v>0</v>
      </c>
      <c r="J655" s="902">
        <f>GLOBAL_DER_FEV_2023!J655</f>
        <v>0</v>
      </c>
      <c r="K655" s="958" t="s">
        <v>507</v>
      </c>
      <c r="L655" s="959"/>
      <c r="M655" s="1157">
        <f t="shared" si="83"/>
        <v>0</v>
      </c>
      <c r="N655" s="893">
        <f t="shared" si="82"/>
        <v>0</v>
      </c>
      <c r="O655" s="905"/>
      <c r="P655" s="58" t="str">
        <f>IF(N654&gt;0,"xx",IF(N654&gt;0,"xy",""))</f>
        <v/>
      </c>
      <c r="Q655" s="317" t="str">
        <f t="shared" ref="Q655:Q718" si="84">IF(P655="X","x",IF(P655="xx","x",IF(P655="xy","x",IF(P655="y","x",IF(OR(N655&gt;0,N655&gt;0),"x","")))))</f>
        <v/>
      </c>
      <c r="R655" s="317" t="str">
        <f t="shared" si="80"/>
        <v/>
      </c>
      <c r="S655" s="317" t="str">
        <f t="shared" si="81"/>
        <v/>
      </c>
      <c r="T655" s="317" t="str">
        <f>GLOBAL_DER_FEV_2023!S655</f>
        <v/>
      </c>
      <c r="W655" s="582">
        <v>0</v>
      </c>
      <c r="X655" s="580"/>
      <c r="Y655" s="583">
        <f>IF(GLOBAL_DER_FEV_2023!W655=0,0,IF(GLOBAL_DER_FEV_2023!W655&gt;0,"c","b"))</f>
        <v>0</v>
      </c>
    </row>
    <row r="656" spans="1:25" x14ac:dyDescent="0.2">
      <c r="A656" s="317" t="s">
        <v>147</v>
      </c>
      <c r="B656" s="895" t="s">
        <v>147</v>
      </c>
      <c r="C656" s="896"/>
      <c r="D656" s="957" t="s">
        <v>229</v>
      </c>
      <c r="E656" s="907">
        <f>GLOBAL_DER_FEV_2023!E656</f>
        <v>150</v>
      </c>
      <c r="F656" s="908">
        <f>GLOBAL_DER_FEV_2023!F656</f>
        <v>1.06</v>
      </c>
      <c r="G656" s="949">
        <f>GLOBAL_DER_FEV_2023!G656</f>
        <v>172.97080000000003</v>
      </c>
      <c r="H656" s="901">
        <f>GLOBAL_DER_FEV_2023!H656</f>
        <v>0</v>
      </c>
      <c r="I656" s="901">
        <f>GLOBAL_DER_FEV_2023!I656</f>
        <v>0</v>
      </c>
      <c r="J656" s="902">
        <f>GLOBAL_DER_FEV_2023!J656</f>
        <v>0</v>
      </c>
      <c r="K656" s="958" t="s">
        <v>507</v>
      </c>
      <c r="L656" s="959"/>
      <c r="M656" s="1157">
        <f t="shared" si="83"/>
        <v>0</v>
      </c>
      <c r="N656" s="893">
        <f t="shared" si="82"/>
        <v>0</v>
      </c>
      <c r="O656" s="905"/>
      <c r="P656" s="58" t="str">
        <f>IF(N654&gt;0,"xx",IF(N654&gt;0,"xy",""))</f>
        <v/>
      </c>
      <c r="Q656" s="317" t="str">
        <f t="shared" si="84"/>
        <v/>
      </c>
      <c r="R656" s="317" t="str">
        <f t="shared" si="80"/>
        <v/>
      </c>
      <c r="S656" s="317" t="str">
        <f t="shared" si="81"/>
        <v/>
      </c>
      <c r="T656" s="317" t="str">
        <f>GLOBAL_DER_FEV_2023!S656</f>
        <v/>
      </c>
      <c r="W656" s="582">
        <v>0</v>
      </c>
      <c r="X656" s="580"/>
      <c r="Y656" s="583">
        <f>IF(GLOBAL_DER_FEV_2023!W656=0,0,IF(GLOBAL_DER_FEV_2023!W656&gt;0,"c","b"))</f>
        <v>0</v>
      </c>
    </row>
    <row r="657" spans="1:25" x14ac:dyDescent="0.2">
      <c r="A657" s="317" t="s">
        <v>147</v>
      </c>
      <c r="B657" s="895" t="s">
        <v>147</v>
      </c>
      <c r="C657" s="896"/>
      <c r="D657" s="957" t="s">
        <v>233</v>
      </c>
      <c r="E657" s="907">
        <f>GLOBAL_DER_FEV_2023!E657</f>
        <v>0.2</v>
      </c>
      <c r="F657" s="908">
        <f>GLOBAL_DER_FEV_2023!F657</f>
        <v>1.1100000000000001</v>
      </c>
      <c r="G657" s="949">
        <f>GLOBAL_DER_FEV_2023!G657</f>
        <v>3.2123400000000006</v>
      </c>
      <c r="H657" s="901">
        <f>GLOBAL_DER_FEV_2023!H657</f>
        <v>0</v>
      </c>
      <c r="I657" s="901">
        <f>GLOBAL_DER_FEV_2023!I657</f>
        <v>0</v>
      </c>
      <c r="J657" s="902">
        <f>GLOBAL_DER_FEV_2023!J657</f>
        <v>0</v>
      </c>
      <c r="K657" s="958" t="s">
        <v>507</v>
      </c>
      <c r="L657" s="959"/>
      <c r="M657" s="1157">
        <f t="shared" si="83"/>
        <v>0</v>
      </c>
      <c r="N657" s="893">
        <f t="shared" si="82"/>
        <v>0</v>
      </c>
      <c r="O657" s="905"/>
      <c r="P657" s="58" t="str">
        <f>IF(N654&gt;0,"xx",IF(N654&gt;0,"xy",""))</f>
        <v/>
      </c>
      <c r="Q657" s="317" t="str">
        <f t="shared" si="84"/>
        <v/>
      </c>
      <c r="R657" s="317" t="str">
        <f t="shared" ref="R657:R720" si="85">IF(P657="X","x",IF(P657="y","x",IF(P657="xx","x",IF(N657&gt;0,"x",""))))</f>
        <v/>
      </c>
      <c r="S657" s="317" t="str">
        <f t="shared" ref="S657:S720" si="86">IF(P657="X","x",IF(N657&gt;0,"x",""))</f>
        <v/>
      </c>
      <c r="T657" s="317" t="str">
        <f>GLOBAL_DER_FEV_2023!S657</f>
        <v/>
      </c>
      <c r="W657" s="582">
        <v>0</v>
      </c>
      <c r="X657" s="580"/>
      <c r="Y657" s="583">
        <f>IF(GLOBAL_DER_FEV_2023!W657=0,0,IF(GLOBAL_DER_FEV_2023!W657&gt;0,"c","b"))</f>
        <v>0</v>
      </c>
    </row>
    <row r="658" spans="1:25" x14ac:dyDescent="0.2">
      <c r="A658" s="317">
        <v>400500</v>
      </c>
      <c r="B658" s="895" t="s">
        <v>1565</v>
      </c>
      <c r="C658" s="896" t="s">
        <v>184</v>
      </c>
      <c r="D658" s="906" t="s">
        <v>1732</v>
      </c>
      <c r="E658" s="907">
        <f>GLOBAL_DER_FEV_2023!E658</f>
        <v>150</v>
      </c>
      <c r="F658" s="908">
        <f>GLOBAL_DER_FEV_2023!F658</f>
        <v>1.73</v>
      </c>
      <c r="G658" s="949">
        <f>GLOBAL_DER_FEV_2023!G658</f>
        <v>282.3014</v>
      </c>
      <c r="H658" s="901">
        <f>GLOBAL_DER_FEV_2023!H658</f>
        <v>83.83</v>
      </c>
      <c r="I658" s="901">
        <f>GLOBAL_DER_FEV_2023!I658</f>
        <v>366.13139999999999</v>
      </c>
      <c r="J658" s="902">
        <f>GLOBAL_DER_FEV_2023!J658</f>
        <v>439.61</v>
      </c>
      <c r="K658" s="903" t="s">
        <v>10</v>
      </c>
      <c r="L658" s="1137"/>
      <c r="M658" s="1138">
        <f t="shared" si="83"/>
        <v>0</v>
      </c>
      <c r="N658" s="893">
        <f t="shared" si="82"/>
        <v>0</v>
      </c>
      <c r="O658" s="905"/>
      <c r="Q658" s="317" t="str">
        <f t="shared" si="84"/>
        <v/>
      </c>
      <c r="R658" s="317" t="str">
        <f t="shared" si="85"/>
        <v/>
      </c>
      <c r="S658" s="317" t="str">
        <f t="shared" si="86"/>
        <v/>
      </c>
      <c r="T658" s="317" t="str">
        <f>GLOBAL_DER_FEV_2023!S658</f>
        <v/>
      </c>
      <c r="W658" s="582">
        <v>0</v>
      </c>
      <c r="X658" s="580"/>
      <c r="Y658" s="583">
        <f>IF(GLOBAL_DER_FEV_2023!W658=0,0,IF(GLOBAL_DER_FEV_2023!W658&gt;0,"c","b"))</f>
        <v>0</v>
      </c>
    </row>
    <row r="659" spans="1:25" x14ac:dyDescent="0.2">
      <c r="A659" s="317">
        <v>532500</v>
      </c>
      <c r="B659" s="895" t="s">
        <v>1533</v>
      </c>
      <c r="C659" s="896" t="s">
        <v>184</v>
      </c>
      <c r="D659" s="906" t="s">
        <v>1735</v>
      </c>
      <c r="E659" s="907">
        <f>GLOBAL_DER_FEV_2023!E659</f>
        <v>150</v>
      </c>
      <c r="F659" s="908">
        <f>GLOBAL_DER_FEV_2023!F659</f>
        <v>1.7250000000000001</v>
      </c>
      <c r="G659" s="949">
        <f>GLOBAL_DER_FEV_2023!G659</f>
        <v>281.4855</v>
      </c>
      <c r="H659" s="901">
        <f>GLOBAL_DER_FEV_2023!H659</f>
        <v>102.38</v>
      </c>
      <c r="I659" s="901">
        <f>GLOBAL_DER_FEV_2023!I659</f>
        <v>383.8655</v>
      </c>
      <c r="J659" s="902">
        <f>GLOBAL_DER_FEV_2023!J659</f>
        <v>460.91</v>
      </c>
      <c r="K659" s="903" t="s">
        <v>10</v>
      </c>
      <c r="L659" s="1137"/>
      <c r="M659" s="1138">
        <f t="shared" si="83"/>
        <v>0</v>
      </c>
      <c r="N659" s="893">
        <f t="shared" si="82"/>
        <v>0</v>
      </c>
      <c r="O659" s="905"/>
      <c r="Q659" s="317" t="str">
        <f t="shared" si="84"/>
        <v/>
      </c>
      <c r="R659" s="317" t="str">
        <f t="shared" si="85"/>
        <v/>
      </c>
      <c r="S659" s="317" t="str">
        <f t="shared" si="86"/>
        <v/>
      </c>
      <c r="T659" s="317" t="str">
        <f>GLOBAL_DER_FEV_2023!S659</f>
        <v/>
      </c>
      <c r="W659" s="582">
        <v>0</v>
      </c>
      <c r="X659" s="580"/>
      <c r="Y659" s="583">
        <f>IF(GLOBAL_DER_FEV_2023!W659=0,0,IF(GLOBAL_DER_FEV_2023!W659&gt;0,"c","b"))</f>
        <v>0</v>
      </c>
    </row>
    <row r="660" spans="1:25" x14ac:dyDescent="0.2">
      <c r="A660" s="317">
        <v>532600</v>
      </c>
      <c r="B660" s="895" t="s">
        <v>1566</v>
      </c>
      <c r="C660" s="896" t="s">
        <v>184</v>
      </c>
      <c r="D660" s="906" t="s">
        <v>1733</v>
      </c>
      <c r="E660" s="898">
        <f>GLOBAL_DER_FEV_2023!E660</f>
        <v>0</v>
      </c>
      <c r="F660" s="908">
        <f>GLOBAL_DER_FEV_2023!F660</f>
        <v>2.25</v>
      </c>
      <c r="G660" s="949">
        <f>GLOBAL_DER_FEV_2023!G660</f>
        <v>6.03</v>
      </c>
      <c r="H660" s="901">
        <f>GLOBAL_DER_FEV_2023!H660</f>
        <v>16.07</v>
      </c>
      <c r="I660" s="901">
        <f>GLOBAL_DER_FEV_2023!I660</f>
        <v>22.1</v>
      </c>
      <c r="J660" s="902">
        <f>GLOBAL_DER_FEV_2023!J660</f>
        <v>26.54</v>
      </c>
      <c r="K660" s="903" t="s">
        <v>10</v>
      </c>
      <c r="L660" s="1137"/>
      <c r="M660" s="1138">
        <f t="shared" si="83"/>
        <v>0</v>
      </c>
      <c r="N660" s="893">
        <f t="shared" si="82"/>
        <v>0</v>
      </c>
      <c r="O660" s="905"/>
      <c r="Q660" s="317" t="str">
        <f t="shared" si="84"/>
        <v/>
      </c>
      <c r="R660" s="317" t="str">
        <f t="shared" si="85"/>
        <v/>
      </c>
      <c r="S660" s="317" t="str">
        <f t="shared" si="86"/>
        <v/>
      </c>
      <c r="T660" s="317" t="str">
        <f>GLOBAL_DER_FEV_2023!S660</f>
        <v/>
      </c>
      <c r="W660" s="582">
        <v>0</v>
      </c>
      <c r="X660" s="580"/>
      <c r="Y660" s="583">
        <f>IF(GLOBAL_DER_FEV_2023!W660=0,0,IF(GLOBAL_DER_FEV_2023!W660&gt;0,"c","b"))</f>
        <v>0</v>
      </c>
    </row>
    <row r="661" spans="1:25" x14ac:dyDescent="0.2">
      <c r="A661" s="317">
        <v>603900</v>
      </c>
      <c r="B661" s="895" t="s">
        <v>1741</v>
      </c>
      <c r="C661" s="896" t="s">
        <v>184</v>
      </c>
      <c r="D661" s="906" t="s">
        <v>1734</v>
      </c>
      <c r="E661" s="907">
        <f>GLOBAL_DER_FEV_2023!E661</f>
        <v>0.2</v>
      </c>
      <c r="F661" s="908">
        <f>GLOBAL_DER_FEV_2023!F661</f>
        <v>1.5</v>
      </c>
      <c r="G661" s="949">
        <f>GLOBAL_DER_FEV_2023!G661</f>
        <v>4.3410000000000002</v>
      </c>
      <c r="H661" s="901">
        <f>GLOBAL_DER_FEV_2023!H661</f>
        <v>131.84</v>
      </c>
      <c r="I661" s="901">
        <f>GLOBAL_DER_FEV_2023!I661</f>
        <v>136.18100000000001</v>
      </c>
      <c r="J661" s="902">
        <f>GLOBAL_DER_FEV_2023!J661</f>
        <v>163.51</v>
      </c>
      <c r="K661" s="903" t="s">
        <v>10</v>
      </c>
      <c r="L661" s="1137"/>
      <c r="M661" s="1138">
        <f t="shared" si="83"/>
        <v>0</v>
      </c>
      <c r="N661" s="893">
        <f t="shared" ref="N661:N724" si="87">IF(ISBLANK(L661),0,IF(W661=0,ROUND(L661*M661,2),IF(W661="b",ROUNDDOWN(L661*M661,2),ROUNDUP(L661*M661,2))))</f>
        <v>0</v>
      </c>
      <c r="O661" s="905"/>
      <c r="Q661" s="317" t="str">
        <f t="shared" si="84"/>
        <v/>
      </c>
      <c r="R661" s="317" t="str">
        <f t="shared" si="85"/>
        <v/>
      </c>
      <c r="S661" s="317" t="str">
        <f t="shared" si="86"/>
        <v/>
      </c>
      <c r="T661" s="317" t="str">
        <f>GLOBAL_DER_FEV_2023!S661</f>
        <v/>
      </c>
      <c r="W661" s="582">
        <v>0</v>
      </c>
      <c r="X661" s="580"/>
      <c r="Y661" s="583">
        <f>IF(GLOBAL_DER_FEV_2023!W661=0,0,IF(GLOBAL_DER_FEV_2023!W661&gt;0,"c","b"))</f>
        <v>0</v>
      </c>
    </row>
    <row r="662" spans="1:25" x14ac:dyDescent="0.2">
      <c r="A662" s="317">
        <v>601100</v>
      </c>
      <c r="B662" s="895" t="s">
        <v>1766</v>
      </c>
      <c r="C662" s="896" t="s">
        <v>184</v>
      </c>
      <c r="D662" s="906" t="s">
        <v>260</v>
      </c>
      <c r="E662" s="907">
        <f>GLOBAL_DER_FEV_2023!E662</f>
        <v>0</v>
      </c>
      <c r="F662" s="908">
        <f>GLOBAL_DER_FEV_2023!F662</f>
        <v>0</v>
      </c>
      <c r="G662" s="912">
        <f>GLOBAL_DER_FEV_2023!G662</f>
        <v>0</v>
      </c>
      <c r="H662" s="901">
        <f>GLOBAL_DER_FEV_2023!H662</f>
        <v>54.05</v>
      </c>
      <c r="I662" s="901">
        <f>GLOBAL_DER_FEV_2023!I662</f>
        <v>54.05</v>
      </c>
      <c r="J662" s="902">
        <f>GLOBAL_DER_FEV_2023!J662</f>
        <v>64.900000000000006</v>
      </c>
      <c r="K662" s="903" t="s">
        <v>10</v>
      </c>
      <c r="L662" s="1137"/>
      <c r="M662" s="1138">
        <f t="shared" si="83"/>
        <v>0</v>
      </c>
      <c r="N662" s="893">
        <f t="shared" si="87"/>
        <v>0</v>
      </c>
      <c r="O662" s="905"/>
      <c r="Q662" s="317" t="str">
        <f t="shared" si="84"/>
        <v/>
      </c>
      <c r="R662" s="317" t="str">
        <f t="shared" si="85"/>
        <v/>
      </c>
      <c r="S662" s="317" t="str">
        <f t="shared" si="86"/>
        <v/>
      </c>
      <c r="T662" s="317" t="str">
        <f>GLOBAL_DER_FEV_2023!S662</f>
        <v/>
      </c>
      <c r="W662" s="582">
        <v>0</v>
      </c>
      <c r="X662" s="580"/>
      <c r="Y662" s="583">
        <f>IF(GLOBAL_DER_FEV_2023!W662=0,0,IF(GLOBAL_DER_FEV_2023!W662&gt;0,"c","b"))</f>
        <v>0</v>
      </c>
    </row>
    <row r="663" spans="1:25" x14ac:dyDescent="0.2">
      <c r="A663" s="317">
        <v>602000</v>
      </c>
      <c r="B663" s="895" t="s">
        <v>1996</v>
      </c>
      <c r="C663" s="896" t="s">
        <v>184</v>
      </c>
      <c r="D663" s="906" t="s">
        <v>1994</v>
      </c>
      <c r="E663" s="907">
        <f>GLOBAL_DER_FEV_2023!E663</f>
        <v>0</v>
      </c>
      <c r="F663" s="908">
        <f>GLOBAL_DER_FEV_2023!F663</f>
        <v>0</v>
      </c>
      <c r="G663" s="912">
        <f>GLOBAL_DER_FEV_2023!G663</f>
        <v>0</v>
      </c>
      <c r="H663" s="901">
        <f>GLOBAL_DER_FEV_2023!H663</f>
        <v>62.53</v>
      </c>
      <c r="I663" s="901">
        <f>GLOBAL_DER_FEV_2023!I663</f>
        <v>62.53</v>
      </c>
      <c r="J663" s="902">
        <f>GLOBAL_DER_FEV_2023!J663</f>
        <v>75.08</v>
      </c>
      <c r="K663" s="903" t="s">
        <v>12</v>
      </c>
      <c r="L663" s="1137"/>
      <c r="M663" s="1138">
        <f t="shared" si="83"/>
        <v>0</v>
      </c>
      <c r="N663" s="893">
        <f t="shared" si="87"/>
        <v>0</v>
      </c>
      <c r="O663" s="905"/>
      <c r="Q663" s="317" t="str">
        <f t="shared" si="84"/>
        <v/>
      </c>
      <c r="R663" s="317" t="str">
        <f t="shared" si="85"/>
        <v/>
      </c>
      <c r="S663" s="317" t="str">
        <f t="shared" si="86"/>
        <v/>
      </c>
      <c r="T663" s="317" t="str">
        <f>GLOBAL_DER_FEV_2023!S663</f>
        <v/>
      </c>
      <c r="W663" s="582">
        <v>0</v>
      </c>
      <c r="X663" s="580"/>
      <c r="Y663" s="583">
        <f>IF(GLOBAL_DER_FEV_2023!W663=0,0,IF(GLOBAL_DER_FEV_2023!W663&gt;0,"c","b"))</f>
        <v>0</v>
      </c>
    </row>
    <row r="664" spans="1:25" x14ac:dyDescent="0.2">
      <c r="A664" s="317">
        <v>603000</v>
      </c>
      <c r="B664" s="895" t="s">
        <v>1768</v>
      </c>
      <c r="C664" s="896" t="s">
        <v>184</v>
      </c>
      <c r="D664" s="906" t="s">
        <v>261</v>
      </c>
      <c r="E664" s="907">
        <f>GLOBAL_DER_FEV_2023!E664</f>
        <v>0</v>
      </c>
      <c r="F664" s="908">
        <f>GLOBAL_DER_FEV_2023!F664</f>
        <v>0</v>
      </c>
      <c r="G664" s="912">
        <f>GLOBAL_DER_FEV_2023!G664</f>
        <v>0</v>
      </c>
      <c r="H664" s="901">
        <f>GLOBAL_DER_FEV_2023!H664</f>
        <v>18.34</v>
      </c>
      <c r="I664" s="901">
        <f>GLOBAL_DER_FEV_2023!I664</f>
        <v>18.34</v>
      </c>
      <c r="J664" s="902">
        <f>GLOBAL_DER_FEV_2023!J664</f>
        <v>22.02</v>
      </c>
      <c r="K664" s="903" t="s">
        <v>16</v>
      </c>
      <c r="L664" s="1137"/>
      <c r="M664" s="1138">
        <f t="shared" si="83"/>
        <v>0</v>
      </c>
      <c r="N664" s="893">
        <f t="shared" si="87"/>
        <v>0</v>
      </c>
      <c r="O664" s="905"/>
      <c r="Q664" s="317" t="str">
        <f t="shared" si="84"/>
        <v/>
      </c>
      <c r="R664" s="317" t="str">
        <f t="shared" si="85"/>
        <v/>
      </c>
      <c r="S664" s="317" t="str">
        <f t="shared" si="86"/>
        <v/>
      </c>
      <c r="T664" s="317" t="str">
        <f>GLOBAL_DER_FEV_2023!S664</f>
        <v/>
      </c>
      <c r="W664" s="582">
        <v>0</v>
      </c>
      <c r="X664" s="580"/>
      <c r="Y664" s="583">
        <f>IF(GLOBAL_DER_FEV_2023!W664=0,0,IF(GLOBAL_DER_FEV_2023!W664&gt;0,"c","b"))</f>
        <v>0</v>
      </c>
    </row>
    <row r="665" spans="1:25" x14ac:dyDescent="0.2">
      <c r="A665" s="317">
        <v>603300</v>
      </c>
      <c r="B665" s="895" t="s">
        <v>1771</v>
      </c>
      <c r="C665" s="896" t="s">
        <v>184</v>
      </c>
      <c r="D665" s="906" t="s">
        <v>262</v>
      </c>
      <c r="E665" s="907">
        <f>GLOBAL_DER_FEV_2023!E665</f>
        <v>0</v>
      </c>
      <c r="F665" s="908">
        <f>GLOBAL_DER_FEV_2023!F665</f>
        <v>0</v>
      </c>
      <c r="G665" s="912">
        <f>GLOBAL_DER_FEV_2023!G665</f>
        <v>0</v>
      </c>
      <c r="H665" s="901">
        <f>GLOBAL_DER_FEV_2023!H665</f>
        <v>20.91</v>
      </c>
      <c r="I665" s="901">
        <f>GLOBAL_DER_FEV_2023!I665</f>
        <v>20.91</v>
      </c>
      <c r="J665" s="902">
        <f>GLOBAL_DER_FEV_2023!J665</f>
        <v>25.11</v>
      </c>
      <c r="K665" s="903" t="s">
        <v>16</v>
      </c>
      <c r="L665" s="1137"/>
      <c r="M665" s="1138">
        <f t="shared" si="83"/>
        <v>0</v>
      </c>
      <c r="N665" s="893">
        <f t="shared" si="87"/>
        <v>0</v>
      </c>
      <c r="O665" s="905"/>
      <c r="Q665" s="317" t="str">
        <f t="shared" si="84"/>
        <v/>
      </c>
      <c r="R665" s="317" t="str">
        <f t="shared" si="85"/>
        <v/>
      </c>
      <c r="S665" s="317" t="str">
        <f t="shared" si="86"/>
        <v/>
      </c>
      <c r="T665" s="317" t="str">
        <f>GLOBAL_DER_FEV_2023!S665</f>
        <v/>
      </c>
      <c r="W665" s="582">
        <v>0</v>
      </c>
      <c r="X665" s="580"/>
      <c r="Y665" s="583">
        <f>IF(GLOBAL_DER_FEV_2023!W665=0,0,IF(GLOBAL_DER_FEV_2023!W665&gt;0,"c","b"))</f>
        <v>0</v>
      </c>
    </row>
    <row r="666" spans="1:25" x14ac:dyDescent="0.2">
      <c r="A666" s="317">
        <v>605000</v>
      </c>
      <c r="B666" s="895" t="s">
        <v>299</v>
      </c>
      <c r="C666" s="896" t="s">
        <v>184</v>
      </c>
      <c r="D666" s="906" t="s">
        <v>263</v>
      </c>
      <c r="E666" s="907">
        <f>GLOBAL_DER_FEV_2023!E666</f>
        <v>0</v>
      </c>
      <c r="F666" s="908">
        <f>GLOBAL_DER_FEV_2023!F666</f>
        <v>0</v>
      </c>
      <c r="G666" s="912">
        <f>GLOBAL_DER_FEV_2023!G666</f>
        <v>0.56710335000000001</v>
      </c>
      <c r="H666" s="901">
        <f>GLOBAL_DER_FEV_2023!H666</f>
        <v>26.85</v>
      </c>
      <c r="I666" s="901">
        <f>GLOBAL_DER_FEV_2023!I666</f>
        <v>27.417103350000001</v>
      </c>
      <c r="J666" s="902">
        <f>GLOBAL_DER_FEV_2023!J666</f>
        <v>32.92</v>
      </c>
      <c r="K666" s="903" t="s">
        <v>12</v>
      </c>
      <c r="L666" s="1137"/>
      <c r="M666" s="1138">
        <f t="shared" si="83"/>
        <v>0</v>
      </c>
      <c r="N666" s="893">
        <f t="shared" si="87"/>
        <v>0</v>
      </c>
      <c r="O666" s="905"/>
      <c r="Q666" s="317" t="str">
        <f t="shared" si="84"/>
        <v/>
      </c>
      <c r="R666" s="317" t="str">
        <f t="shared" si="85"/>
        <v/>
      </c>
      <c r="S666" s="317" t="str">
        <f t="shared" si="86"/>
        <v/>
      </c>
      <c r="T666" s="317" t="str">
        <f>GLOBAL_DER_FEV_2023!S666</f>
        <v/>
      </c>
      <c r="W666" s="582">
        <v>0</v>
      </c>
      <c r="X666" s="580"/>
      <c r="Y666" s="583">
        <f>IF(GLOBAL_DER_FEV_2023!W666=0,0,IF(GLOBAL_DER_FEV_2023!W666&gt;0,"c","b"))</f>
        <v>0</v>
      </c>
    </row>
    <row r="667" spans="1:25" x14ac:dyDescent="0.2">
      <c r="A667" s="317" t="s">
        <v>147</v>
      </c>
      <c r="B667" s="895" t="s">
        <v>147</v>
      </c>
      <c r="C667" s="896"/>
      <c r="D667" s="957" t="s">
        <v>190</v>
      </c>
      <c r="E667" s="907">
        <f>GLOBAL_DER_FEV_2023!E667</f>
        <v>308</v>
      </c>
      <c r="F667" s="908">
        <f>GLOBAL_DER_FEV_2023!F667</f>
        <v>1.35E-2</v>
      </c>
      <c r="G667" s="909">
        <f>GLOBAL_DER_FEV_2023!G667</f>
        <v>3.3488099999999998</v>
      </c>
      <c r="H667" s="901">
        <f>GLOBAL_DER_FEV_2023!H667</f>
        <v>0</v>
      </c>
      <c r="I667" s="901">
        <f>GLOBAL_DER_FEV_2023!I667</f>
        <v>3.3488099999999998</v>
      </c>
      <c r="J667" s="902">
        <f>GLOBAL_DER_FEV_2023!J667</f>
        <v>0</v>
      </c>
      <c r="K667" s="958" t="s">
        <v>507</v>
      </c>
      <c r="L667" s="959"/>
      <c r="M667" s="1157">
        <f t="shared" si="83"/>
        <v>0</v>
      </c>
      <c r="N667" s="893">
        <f t="shared" si="87"/>
        <v>0</v>
      </c>
      <c r="O667" s="905"/>
      <c r="P667" s="58" t="str">
        <f>IF(N666&gt;0,"xx",IF(N666&gt;0,"xy",""))</f>
        <v/>
      </c>
      <c r="Q667" s="317" t="str">
        <f t="shared" si="84"/>
        <v/>
      </c>
      <c r="R667" s="317" t="str">
        <f t="shared" si="85"/>
        <v/>
      </c>
      <c r="S667" s="317" t="str">
        <f t="shared" si="86"/>
        <v/>
      </c>
      <c r="T667" s="317" t="str">
        <f>GLOBAL_DER_FEV_2023!S667</f>
        <v/>
      </c>
      <c r="W667" s="582">
        <v>0</v>
      </c>
      <c r="X667" s="580"/>
      <c r="Y667" s="583">
        <f>IF(GLOBAL_DER_FEV_2023!W667=0,0,IF(GLOBAL_DER_FEV_2023!W667&gt;0,"c","b"))</f>
        <v>0</v>
      </c>
    </row>
    <row r="668" spans="1:25" x14ac:dyDescent="0.2">
      <c r="A668" s="317" t="s">
        <v>147</v>
      </c>
      <c r="B668" s="895" t="s">
        <v>147</v>
      </c>
      <c r="C668" s="896"/>
      <c r="D668" s="957" t="s">
        <v>229</v>
      </c>
      <c r="E668" s="907">
        <f>GLOBAL_DER_FEV_2023!E668</f>
        <v>150</v>
      </c>
      <c r="F668" s="908">
        <f>GLOBAL_DER_FEV_2023!F668</f>
        <v>4.8000000000000001E-2</v>
      </c>
      <c r="G668" s="949">
        <f>GLOBAL_DER_FEV_2023!G668</f>
        <v>7.8326400000000005</v>
      </c>
      <c r="H668" s="901">
        <f>GLOBAL_DER_FEV_2023!H668</f>
        <v>0</v>
      </c>
      <c r="I668" s="901">
        <f>GLOBAL_DER_FEV_2023!I668</f>
        <v>7.8326400000000005</v>
      </c>
      <c r="J668" s="902">
        <f>GLOBAL_DER_FEV_2023!J668</f>
        <v>0</v>
      </c>
      <c r="K668" s="958" t="s">
        <v>507</v>
      </c>
      <c r="L668" s="959"/>
      <c r="M668" s="1157">
        <f t="shared" si="83"/>
        <v>0</v>
      </c>
      <c r="N668" s="893">
        <f t="shared" si="87"/>
        <v>0</v>
      </c>
      <c r="O668" s="905"/>
      <c r="P668" s="58" t="str">
        <f>IF(N666&gt;0,"xx",IF(N666&gt;0,"xy",""))</f>
        <v/>
      </c>
      <c r="Q668" s="317" t="str">
        <f t="shared" si="84"/>
        <v/>
      </c>
      <c r="R668" s="317" t="str">
        <f t="shared" si="85"/>
        <v/>
      </c>
      <c r="S668" s="317" t="str">
        <f t="shared" si="86"/>
        <v/>
      </c>
      <c r="T668" s="317" t="str">
        <f>GLOBAL_DER_FEV_2023!S668</f>
        <v/>
      </c>
      <c r="W668" s="582">
        <v>0</v>
      </c>
      <c r="X668" s="580"/>
      <c r="Y668" s="583">
        <f>IF(GLOBAL_DER_FEV_2023!W668=0,0,IF(GLOBAL_DER_FEV_2023!W668&gt;0,"c","b"))</f>
        <v>0</v>
      </c>
    </row>
    <row r="669" spans="1:25" x14ac:dyDescent="0.2">
      <c r="A669" s="317" t="s">
        <v>147</v>
      </c>
      <c r="B669" s="895" t="s">
        <v>147</v>
      </c>
      <c r="C669" s="896"/>
      <c r="D669" s="957" t="s">
        <v>233</v>
      </c>
      <c r="E669" s="907">
        <f>GLOBAL_DER_FEV_2023!E669</f>
        <v>0.2</v>
      </c>
      <c r="F669" s="908">
        <f>GLOBAL_DER_FEV_2023!F669</f>
        <v>5.5500000000000001E-2</v>
      </c>
      <c r="G669" s="949">
        <f>GLOBAL_DER_FEV_2023!G669</f>
        <v>0.16061700000000001</v>
      </c>
      <c r="H669" s="901">
        <f>GLOBAL_DER_FEV_2023!H669</f>
        <v>0</v>
      </c>
      <c r="I669" s="901">
        <f>GLOBAL_DER_FEV_2023!I669</f>
        <v>0.16061700000000001</v>
      </c>
      <c r="J669" s="902">
        <f>GLOBAL_DER_FEV_2023!J669</f>
        <v>0</v>
      </c>
      <c r="K669" s="958" t="s">
        <v>507</v>
      </c>
      <c r="L669" s="959"/>
      <c r="M669" s="1157">
        <f t="shared" si="83"/>
        <v>0</v>
      </c>
      <c r="N669" s="893">
        <f t="shared" si="87"/>
        <v>0</v>
      </c>
      <c r="O669" s="905"/>
      <c r="P669" s="58" t="str">
        <f>IF(N666&gt;0,"xx",IF(N666&gt;0,"xy",""))</f>
        <v/>
      </c>
      <c r="Q669" s="317" t="str">
        <f t="shared" si="84"/>
        <v/>
      </c>
      <c r="R669" s="317" t="str">
        <f t="shared" si="85"/>
        <v/>
      </c>
      <c r="S669" s="317" t="str">
        <f t="shared" si="86"/>
        <v/>
      </c>
      <c r="T669" s="317" t="str">
        <f>GLOBAL_DER_FEV_2023!S669</f>
        <v/>
      </c>
      <c r="W669" s="582">
        <v>0</v>
      </c>
      <c r="X669" s="580"/>
      <c r="Y669" s="583">
        <f>IF(GLOBAL_DER_FEV_2023!W669=0,0,IF(GLOBAL_DER_FEV_2023!W669&gt;0,"c","b"))</f>
        <v>0</v>
      </c>
    </row>
    <row r="670" spans="1:25" x14ac:dyDescent="0.2">
      <c r="A670" s="317">
        <v>605000</v>
      </c>
      <c r="B670" s="895" t="s">
        <v>300</v>
      </c>
      <c r="C670" s="896" t="s">
        <v>184</v>
      </c>
      <c r="D670" s="906" t="s">
        <v>516</v>
      </c>
      <c r="E670" s="907">
        <f>GLOBAL_DER_FEV_2023!E670</f>
        <v>0</v>
      </c>
      <c r="F670" s="908">
        <f>GLOBAL_DER_FEV_2023!F670</f>
        <v>0</v>
      </c>
      <c r="G670" s="912">
        <f>GLOBAL_DER_FEV_2023!G670</f>
        <v>0.68052402000000001</v>
      </c>
      <c r="H670" s="901">
        <f>GLOBAL_DER_FEV_2023!H670</f>
        <v>31.71</v>
      </c>
      <c r="I670" s="901">
        <f>GLOBAL_DER_FEV_2023!I670</f>
        <v>32.390524020000001</v>
      </c>
      <c r="J670" s="902">
        <f>GLOBAL_DER_FEV_2023!J670</f>
        <v>38.89</v>
      </c>
      <c r="K670" s="903" t="s">
        <v>12</v>
      </c>
      <c r="L670" s="1137"/>
      <c r="M670" s="1138">
        <f t="shared" si="83"/>
        <v>0</v>
      </c>
      <c r="N670" s="893">
        <f t="shared" si="87"/>
        <v>0</v>
      </c>
      <c r="O670" s="905"/>
      <c r="Q670" s="317" t="str">
        <f t="shared" si="84"/>
        <v/>
      </c>
      <c r="R670" s="317" t="str">
        <f t="shared" si="85"/>
        <v/>
      </c>
      <c r="S670" s="317" t="str">
        <f t="shared" si="86"/>
        <v/>
      </c>
      <c r="T670" s="317" t="str">
        <f>GLOBAL_DER_FEV_2023!S670</f>
        <v/>
      </c>
      <c r="W670" s="582">
        <v>0</v>
      </c>
      <c r="X670" s="580"/>
      <c r="Y670" s="583">
        <f>IF(GLOBAL_DER_FEV_2023!W670=0,0,IF(GLOBAL_DER_FEV_2023!W670&gt;0,"c","b"))</f>
        <v>0</v>
      </c>
    </row>
    <row r="671" spans="1:25" x14ac:dyDescent="0.2">
      <c r="A671" s="317" t="s">
        <v>147</v>
      </c>
      <c r="B671" s="895" t="s">
        <v>147</v>
      </c>
      <c r="C671" s="896"/>
      <c r="D671" s="957" t="s">
        <v>190</v>
      </c>
      <c r="E671" s="907">
        <f>GLOBAL_DER_FEV_2023!E671</f>
        <v>308</v>
      </c>
      <c r="F671" s="908">
        <f>GLOBAL_DER_FEV_2023!F671</f>
        <v>1.6199999999999999E-2</v>
      </c>
      <c r="G671" s="909">
        <f>GLOBAL_DER_FEV_2023!G671</f>
        <v>4.0185719999999998</v>
      </c>
      <c r="H671" s="901">
        <f>GLOBAL_DER_FEV_2023!H671</f>
        <v>0</v>
      </c>
      <c r="I671" s="901">
        <f>GLOBAL_DER_FEV_2023!I671</f>
        <v>4.0185719999999998</v>
      </c>
      <c r="J671" s="902">
        <f>GLOBAL_DER_FEV_2023!J671</f>
        <v>0</v>
      </c>
      <c r="K671" s="958" t="s">
        <v>507</v>
      </c>
      <c r="L671" s="959"/>
      <c r="M671" s="1157">
        <f t="shared" si="83"/>
        <v>0</v>
      </c>
      <c r="N671" s="893">
        <f t="shared" si="87"/>
        <v>0</v>
      </c>
      <c r="O671" s="905"/>
      <c r="P671" s="58" t="str">
        <f>IF(N670&gt;0,"xx",IF(N670&gt;0,"xy",""))</f>
        <v/>
      </c>
      <c r="Q671" s="317" t="str">
        <f t="shared" si="84"/>
        <v/>
      </c>
      <c r="R671" s="317" t="str">
        <f t="shared" si="85"/>
        <v/>
      </c>
      <c r="S671" s="317" t="str">
        <f t="shared" si="86"/>
        <v/>
      </c>
      <c r="T671" s="317" t="str">
        <f>GLOBAL_DER_FEV_2023!S671</f>
        <v/>
      </c>
      <c r="W671" s="582">
        <v>0</v>
      </c>
      <c r="X671" s="580"/>
      <c r="Y671" s="583">
        <f>IF(GLOBAL_DER_FEV_2023!W671=0,0,IF(GLOBAL_DER_FEV_2023!W671&gt;0,"c","b"))</f>
        <v>0</v>
      </c>
    </row>
    <row r="672" spans="1:25" x14ac:dyDescent="0.2">
      <c r="A672" s="317" t="s">
        <v>147</v>
      </c>
      <c r="B672" s="895" t="s">
        <v>147</v>
      </c>
      <c r="C672" s="896"/>
      <c r="D672" s="957" t="s">
        <v>229</v>
      </c>
      <c r="E672" s="907">
        <f>GLOBAL_DER_FEV_2023!E672</f>
        <v>150</v>
      </c>
      <c r="F672" s="908">
        <f>GLOBAL_DER_FEV_2023!F672</f>
        <v>5.7599999999999998E-2</v>
      </c>
      <c r="G672" s="949">
        <f>GLOBAL_DER_FEV_2023!G672</f>
        <v>9.3991679999999995</v>
      </c>
      <c r="H672" s="901">
        <f>GLOBAL_DER_FEV_2023!H672</f>
        <v>0</v>
      </c>
      <c r="I672" s="901">
        <f>GLOBAL_DER_FEV_2023!I672</f>
        <v>9.3991679999999995</v>
      </c>
      <c r="J672" s="902">
        <f>GLOBAL_DER_FEV_2023!J672</f>
        <v>0</v>
      </c>
      <c r="K672" s="958" t="s">
        <v>507</v>
      </c>
      <c r="L672" s="959"/>
      <c r="M672" s="1157">
        <f t="shared" si="83"/>
        <v>0</v>
      </c>
      <c r="N672" s="893">
        <f t="shared" si="87"/>
        <v>0</v>
      </c>
      <c r="O672" s="905"/>
      <c r="P672" s="58" t="str">
        <f>IF(N670&gt;0,"xx",IF(N670&gt;0,"xy",""))</f>
        <v/>
      </c>
      <c r="Q672" s="317" t="str">
        <f t="shared" si="84"/>
        <v/>
      </c>
      <c r="R672" s="317" t="str">
        <f t="shared" si="85"/>
        <v/>
      </c>
      <c r="S672" s="317" t="str">
        <f t="shared" si="86"/>
        <v/>
      </c>
      <c r="T672" s="317" t="str">
        <f>GLOBAL_DER_FEV_2023!S672</f>
        <v/>
      </c>
      <c r="W672" s="582">
        <v>0</v>
      </c>
      <c r="X672" s="580"/>
      <c r="Y672" s="583">
        <f>IF(GLOBAL_DER_FEV_2023!W672=0,0,IF(GLOBAL_DER_FEV_2023!W672&gt;0,"c","b"))</f>
        <v>0</v>
      </c>
    </row>
    <row r="673" spans="1:25" x14ac:dyDescent="0.2">
      <c r="A673" s="317" t="s">
        <v>147</v>
      </c>
      <c r="B673" s="895" t="s">
        <v>147</v>
      </c>
      <c r="C673" s="896"/>
      <c r="D673" s="957" t="s">
        <v>233</v>
      </c>
      <c r="E673" s="907">
        <f>GLOBAL_DER_FEV_2023!E673</f>
        <v>0.2</v>
      </c>
      <c r="F673" s="908">
        <f>GLOBAL_DER_FEV_2023!F673</f>
        <v>6.6600000000000006E-2</v>
      </c>
      <c r="G673" s="949">
        <f>GLOBAL_DER_FEV_2023!G673</f>
        <v>0.19274040000000003</v>
      </c>
      <c r="H673" s="901">
        <f>GLOBAL_DER_FEV_2023!H673</f>
        <v>0</v>
      </c>
      <c r="I673" s="901">
        <f>GLOBAL_DER_FEV_2023!I673</f>
        <v>0.19274040000000003</v>
      </c>
      <c r="J673" s="902">
        <f>GLOBAL_DER_FEV_2023!J673</f>
        <v>0</v>
      </c>
      <c r="K673" s="958" t="s">
        <v>507</v>
      </c>
      <c r="L673" s="959"/>
      <c r="M673" s="1157">
        <f t="shared" si="83"/>
        <v>0</v>
      </c>
      <c r="N673" s="893">
        <f t="shared" si="87"/>
        <v>0</v>
      </c>
      <c r="O673" s="905"/>
      <c r="P673" s="58" t="str">
        <f>IF(N670&gt;0,"xx",IF(N670&gt;0,"xy",""))</f>
        <v/>
      </c>
      <c r="Q673" s="317" t="str">
        <f t="shared" si="84"/>
        <v/>
      </c>
      <c r="R673" s="317" t="str">
        <f t="shared" si="85"/>
        <v/>
      </c>
      <c r="S673" s="317" t="str">
        <f t="shared" si="86"/>
        <v/>
      </c>
      <c r="T673" s="317" t="str">
        <f>GLOBAL_DER_FEV_2023!S673</f>
        <v/>
      </c>
      <c r="W673" s="582">
        <v>0</v>
      </c>
      <c r="X673" s="580"/>
      <c r="Y673" s="583">
        <f>IF(GLOBAL_DER_FEV_2023!W673=0,0,IF(GLOBAL_DER_FEV_2023!W673&gt;0,"c","b"))</f>
        <v>0</v>
      </c>
    </row>
    <row r="674" spans="1:25" x14ac:dyDescent="0.2">
      <c r="A674" s="317">
        <v>605000</v>
      </c>
      <c r="B674" s="895" t="s">
        <v>301</v>
      </c>
      <c r="C674" s="896" t="s">
        <v>184</v>
      </c>
      <c r="D674" s="906" t="s">
        <v>517</v>
      </c>
      <c r="E674" s="907">
        <f>GLOBAL_DER_FEV_2023!E674</f>
        <v>0</v>
      </c>
      <c r="F674" s="908">
        <f>GLOBAL_DER_FEV_2023!F674</f>
        <v>0</v>
      </c>
      <c r="G674" s="912">
        <f>GLOBAL_DER_FEV_2023!G674</f>
        <v>0.79394469000000001</v>
      </c>
      <c r="H674" s="901">
        <f>GLOBAL_DER_FEV_2023!H674</f>
        <v>36.58</v>
      </c>
      <c r="I674" s="901">
        <f>GLOBAL_DER_FEV_2023!I674</f>
        <v>37.373944690000002</v>
      </c>
      <c r="J674" s="902">
        <f>GLOBAL_DER_FEV_2023!J674</f>
        <v>44.87</v>
      </c>
      <c r="K674" s="903" t="s">
        <v>12</v>
      </c>
      <c r="L674" s="1137"/>
      <c r="M674" s="1138">
        <f t="shared" si="83"/>
        <v>0</v>
      </c>
      <c r="N674" s="893">
        <f t="shared" si="87"/>
        <v>0</v>
      </c>
      <c r="O674" s="905"/>
      <c r="Q674" s="317" t="str">
        <f t="shared" si="84"/>
        <v/>
      </c>
      <c r="R674" s="317" t="str">
        <f t="shared" si="85"/>
        <v/>
      </c>
      <c r="S674" s="317" t="str">
        <f t="shared" si="86"/>
        <v/>
      </c>
      <c r="T674" s="317" t="str">
        <f>GLOBAL_DER_FEV_2023!S674</f>
        <v/>
      </c>
      <c r="W674" s="582">
        <v>0</v>
      </c>
      <c r="X674" s="580"/>
      <c r="Y674" s="583">
        <f>IF(GLOBAL_DER_FEV_2023!W674=0,0,IF(GLOBAL_DER_FEV_2023!W674&gt;0,"c","b"))</f>
        <v>0</v>
      </c>
    </row>
    <row r="675" spans="1:25" x14ac:dyDescent="0.2">
      <c r="A675" s="317" t="s">
        <v>147</v>
      </c>
      <c r="B675" s="895" t="s">
        <v>147</v>
      </c>
      <c r="C675" s="896"/>
      <c r="D675" s="957" t="s">
        <v>190</v>
      </c>
      <c r="E675" s="907">
        <f>GLOBAL_DER_FEV_2023!E675</f>
        <v>308</v>
      </c>
      <c r="F675" s="908">
        <f>GLOBAL_DER_FEV_2023!F675</f>
        <v>1.89E-2</v>
      </c>
      <c r="G675" s="909">
        <f>GLOBAL_DER_FEV_2023!G675</f>
        <v>4.6883340000000002</v>
      </c>
      <c r="H675" s="901">
        <f>GLOBAL_DER_FEV_2023!H675</f>
        <v>0</v>
      </c>
      <c r="I675" s="901">
        <f>GLOBAL_DER_FEV_2023!I675</f>
        <v>4.6883340000000002</v>
      </c>
      <c r="J675" s="902">
        <f>GLOBAL_DER_FEV_2023!J675</f>
        <v>0</v>
      </c>
      <c r="K675" s="958" t="s">
        <v>507</v>
      </c>
      <c r="L675" s="959"/>
      <c r="M675" s="1157">
        <f t="shared" si="83"/>
        <v>0</v>
      </c>
      <c r="N675" s="893">
        <f t="shared" si="87"/>
        <v>0</v>
      </c>
      <c r="O675" s="905"/>
      <c r="P675" s="58" t="str">
        <f>IF(N674&gt;0,"xx",IF(N674&gt;0,"xy",""))</f>
        <v/>
      </c>
      <c r="Q675" s="317" t="str">
        <f t="shared" si="84"/>
        <v/>
      </c>
      <c r="R675" s="317" t="str">
        <f t="shared" si="85"/>
        <v/>
      </c>
      <c r="S675" s="317" t="str">
        <f t="shared" si="86"/>
        <v/>
      </c>
      <c r="T675" s="317" t="str">
        <f>GLOBAL_DER_FEV_2023!S675</f>
        <v/>
      </c>
      <c r="W675" s="582">
        <v>0</v>
      </c>
      <c r="X675" s="580"/>
      <c r="Y675" s="583">
        <f>IF(GLOBAL_DER_FEV_2023!W675=0,0,IF(GLOBAL_DER_FEV_2023!W675&gt;0,"c","b"))</f>
        <v>0</v>
      </c>
    </row>
    <row r="676" spans="1:25" x14ac:dyDescent="0.2">
      <c r="A676" s="317" t="s">
        <v>147</v>
      </c>
      <c r="B676" s="895" t="s">
        <v>147</v>
      </c>
      <c r="C676" s="896"/>
      <c r="D676" s="957" t="s">
        <v>229</v>
      </c>
      <c r="E676" s="907">
        <f>GLOBAL_DER_FEV_2023!E676</f>
        <v>150</v>
      </c>
      <c r="F676" s="908">
        <f>GLOBAL_DER_FEV_2023!F676</f>
        <v>6.7199999999999996E-2</v>
      </c>
      <c r="G676" s="949">
        <f>GLOBAL_DER_FEV_2023!G676</f>
        <v>10.965695999999999</v>
      </c>
      <c r="H676" s="901">
        <f>GLOBAL_DER_FEV_2023!H676</f>
        <v>0</v>
      </c>
      <c r="I676" s="901">
        <f>GLOBAL_DER_FEV_2023!I676</f>
        <v>10.965695999999999</v>
      </c>
      <c r="J676" s="902">
        <f>GLOBAL_DER_FEV_2023!J676</f>
        <v>0</v>
      </c>
      <c r="K676" s="958" t="s">
        <v>507</v>
      </c>
      <c r="L676" s="959"/>
      <c r="M676" s="1157">
        <f t="shared" si="83"/>
        <v>0</v>
      </c>
      <c r="N676" s="893">
        <f t="shared" si="87"/>
        <v>0</v>
      </c>
      <c r="O676" s="905"/>
      <c r="P676" s="58" t="str">
        <f>IF(N674&gt;0,"xx",IF(N674&gt;0,"xy",""))</f>
        <v/>
      </c>
      <c r="Q676" s="317" t="str">
        <f t="shared" si="84"/>
        <v/>
      </c>
      <c r="R676" s="317" t="str">
        <f t="shared" si="85"/>
        <v/>
      </c>
      <c r="S676" s="317" t="str">
        <f t="shared" si="86"/>
        <v/>
      </c>
      <c r="T676" s="317" t="str">
        <f>GLOBAL_DER_FEV_2023!S676</f>
        <v/>
      </c>
      <c r="W676" s="582">
        <v>0</v>
      </c>
      <c r="X676" s="580"/>
      <c r="Y676" s="583">
        <f>IF(GLOBAL_DER_FEV_2023!W676=0,0,IF(GLOBAL_DER_FEV_2023!W676&gt;0,"c","b"))</f>
        <v>0</v>
      </c>
    </row>
    <row r="677" spans="1:25" x14ac:dyDescent="0.2">
      <c r="A677" s="317" t="s">
        <v>147</v>
      </c>
      <c r="B677" s="895" t="s">
        <v>147</v>
      </c>
      <c r="C677" s="896"/>
      <c r="D677" s="957" t="s">
        <v>233</v>
      </c>
      <c r="E677" s="907">
        <f>GLOBAL_DER_FEV_2023!E677</f>
        <v>0.2</v>
      </c>
      <c r="F677" s="908">
        <f>GLOBAL_DER_FEV_2023!F677</f>
        <v>7.7700000000000005E-2</v>
      </c>
      <c r="G677" s="949">
        <f>GLOBAL_DER_FEV_2023!G677</f>
        <v>0.22486380000000003</v>
      </c>
      <c r="H677" s="901">
        <f>GLOBAL_DER_FEV_2023!H677</f>
        <v>0</v>
      </c>
      <c r="I677" s="901">
        <f>GLOBAL_DER_FEV_2023!I677</f>
        <v>0.22486380000000003</v>
      </c>
      <c r="J677" s="902">
        <f>GLOBAL_DER_FEV_2023!J677</f>
        <v>0</v>
      </c>
      <c r="K677" s="958" t="s">
        <v>507</v>
      </c>
      <c r="L677" s="959"/>
      <c r="M677" s="1157">
        <f t="shared" si="83"/>
        <v>0</v>
      </c>
      <c r="N677" s="893">
        <f t="shared" si="87"/>
        <v>0</v>
      </c>
      <c r="O677" s="905"/>
      <c r="P677" s="58" t="str">
        <f>IF(N674&gt;0,"xx",IF(N674&gt;0,"xy",""))</f>
        <v/>
      </c>
      <c r="Q677" s="317" t="str">
        <f t="shared" si="84"/>
        <v/>
      </c>
      <c r="R677" s="317" t="str">
        <f t="shared" si="85"/>
        <v/>
      </c>
      <c r="S677" s="317" t="str">
        <f t="shared" si="86"/>
        <v/>
      </c>
      <c r="T677" s="317" t="str">
        <f>GLOBAL_DER_FEV_2023!S677</f>
        <v/>
      </c>
      <c r="W677" s="582">
        <v>0</v>
      </c>
      <c r="X677" s="580"/>
      <c r="Y677" s="583">
        <f>IF(GLOBAL_DER_FEV_2023!W677=0,0,IF(GLOBAL_DER_FEV_2023!W677&gt;0,"c","b"))</f>
        <v>0</v>
      </c>
    </row>
    <row r="678" spans="1:25" x14ac:dyDescent="0.2">
      <c r="A678" s="317">
        <v>605000</v>
      </c>
      <c r="B678" s="895" t="s">
        <v>1775</v>
      </c>
      <c r="C678" s="896" t="s">
        <v>184</v>
      </c>
      <c r="D678" s="906" t="s">
        <v>526</v>
      </c>
      <c r="E678" s="907">
        <f>GLOBAL_DER_FEV_2023!E678</f>
        <v>0</v>
      </c>
      <c r="F678" s="908">
        <f>GLOBAL_DER_FEV_2023!F678</f>
        <v>0</v>
      </c>
      <c r="G678" s="912">
        <f>GLOBAL_DER_FEV_2023!G678</f>
        <v>0.90736536000000001</v>
      </c>
      <c r="H678" s="901">
        <f>GLOBAL_DER_FEV_2023!H678</f>
        <v>41.44</v>
      </c>
      <c r="I678" s="901">
        <f>GLOBAL_DER_FEV_2023!I678</f>
        <v>42.347365359999998</v>
      </c>
      <c r="J678" s="902">
        <f>GLOBAL_DER_FEV_2023!J678</f>
        <v>50.85</v>
      </c>
      <c r="K678" s="903" t="s">
        <v>12</v>
      </c>
      <c r="L678" s="1137"/>
      <c r="M678" s="1138">
        <f t="shared" si="83"/>
        <v>0</v>
      </c>
      <c r="N678" s="893">
        <f t="shared" si="87"/>
        <v>0</v>
      </c>
      <c r="O678" s="905"/>
      <c r="Q678" s="317" t="str">
        <f t="shared" si="84"/>
        <v/>
      </c>
      <c r="R678" s="317" t="str">
        <f t="shared" si="85"/>
        <v/>
      </c>
      <c r="S678" s="317" t="str">
        <f t="shared" si="86"/>
        <v/>
      </c>
      <c r="T678" s="317" t="str">
        <f>GLOBAL_DER_FEV_2023!S678</f>
        <v/>
      </c>
      <c r="W678" s="582">
        <v>0</v>
      </c>
      <c r="X678" s="580"/>
      <c r="Y678" s="583">
        <f>IF(GLOBAL_DER_FEV_2023!W678=0,0,IF(GLOBAL_DER_FEV_2023!W678&gt;0,"c","b"))</f>
        <v>0</v>
      </c>
    </row>
    <row r="679" spans="1:25" x14ac:dyDescent="0.2">
      <c r="A679" s="317" t="s">
        <v>147</v>
      </c>
      <c r="B679" s="895" t="s">
        <v>147</v>
      </c>
      <c r="C679" s="896"/>
      <c r="D679" s="957" t="s">
        <v>190</v>
      </c>
      <c r="E679" s="907">
        <f>GLOBAL_DER_FEV_2023!E679</f>
        <v>308</v>
      </c>
      <c r="F679" s="908">
        <f>GLOBAL_DER_FEV_2023!F679</f>
        <v>2.1600000000000001E-2</v>
      </c>
      <c r="G679" s="909">
        <f>GLOBAL_DER_FEV_2023!G679</f>
        <v>5.3580960000000006</v>
      </c>
      <c r="H679" s="901">
        <f>GLOBAL_DER_FEV_2023!H679</f>
        <v>0</v>
      </c>
      <c r="I679" s="901">
        <f>GLOBAL_DER_FEV_2023!I679</f>
        <v>0</v>
      </c>
      <c r="J679" s="902">
        <f>GLOBAL_DER_FEV_2023!J679</f>
        <v>0</v>
      </c>
      <c r="K679" s="958" t="s">
        <v>507</v>
      </c>
      <c r="L679" s="959"/>
      <c r="M679" s="1157">
        <f t="shared" si="83"/>
        <v>0</v>
      </c>
      <c r="N679" s="893">
        <f t="shared" si="87"/>
        <v>0</v>
      </c>
      <c r="O679" s="905"/>
      <c r="P679" s="58" t="str">
        <f>IF(N678&gt;0,"xx",IF(N678&gt;0,"xy",""))</f>
        <v/>
      </c>
      <c r="Q679" s="317" t="str">
        <f t="shared" si="84"/>
        <v/>
      </c>
      <c r="R679" s="317" t="str">
        <f t="shared" si="85"/>
        <v/>
      </c>
      <c r="S679" s="317" t="str">
        <f t="shared" si="86"/>
        <v/>
      </c>
      <c r="T679" s="317" t="str">
        <f>GLOBAL_DER_FEV_2023!S679</f>
        <v/>
      </c>
      <c r="W679" s="582">
        <v>0</v>
      </c>
      <c r="X679" s="580"/>
      <c r="Y679" s="583">
        <f>IF(GLOBAL_DER_FEV_2023!W679=0,0,IF(GLOBAL_DER_FEV_2023!W679&gt;0,"c","b"))</f>
        <v>0</v>
      </c>
    </row>
    <row r="680" spans="1:25" x14ac:dyDescent="0.2">
      <c r="A680" s="317" t="s">
        <v>147</v>
      </c>
      <c r="B680" s="895" t="s">
        <v>147</v>
      </c>
      <c r="C680" s="896"/>
      <c r="D680" s="957" t="s">
        <v>229</v>
      </c>
      <c r="E680" s="907">
        <f>GLOBAL_DER_FEV_2023!E680</f>
        <v>150</v>
      </c>
      <c r="F680" s="908">
        <f>GLOBAL_DER_FEV_2023!F680</f>
        <v>7.6799999999999993E-2</v>
      </c>
      <c r="G680" s="949">
        <f>GLOBAL_DER_FEV_2023!G680</f>
        <v>12.532223999999999</v>
      </c>
      <c r="H680" s="901">
        <f>GLOBAL_DER_FEV_2023!H680</f>
        <v>0</v>
      </c>
      <c r="I680" s="901">
        <f>GLOBAL_DER_FEV_2023!I680</f>
        <v>0</v>
      </c>
      <c r="J680" s="902">
        <f>GLOBAL_DER_FEV_2023!J680</f>
        <v>0</v>
      </c>
      <c r="K680" s="958" t="s">
        <v>507</v>
      </c>
      <c r="L680" s="959"/>
      <c r="M680" s="1157">
        <f t="shared" si="83"/>
        <v>0</v>
      </c>
      <c r="N680" s="893">
        <f t="shared" si="87"/>
        <v>0</v>
      </c>
      <c r="O680" s="905"/>
      <c r="P680" s="58" t="str">
        <f>IF(N678&gt;0,"xx",IF(N678&gt;0,"xy",""))</f>
        <v/>
      </c>
      <c r="Q680" s="317" t="str">
        <f t="shared" si="84"/>
        <v/>
      </c>
      <c r="R680" s="317" t="str">
        <f t="shared" si="85"/>
        <v/>
      </c>
      <c r="S680" s="317" t="str">
        <f t="shared" si="86"/>
        <v/>
      </c>
      <c r="T680" s="317" t="str">
        <f>GLOBAL_DER_FEV_2023!S680</f>
        <v/>
      </c>
      <c r="W680" s="582">
        <v>0</v>
      </c>
      <c r="X680" s="580"/>
      <c r="Y680" s="583">
        <f>IF(GLOBAL_DER_FEV_2023!W680=0,0,IF(GLOBAL_DER_FEV_2023!W680&gt;0,"c","b"))</f>
        <v>0</v>
      </c>
    </row>
    <row r="681" spans="1:25" x14ac:dyDescent="0.2">
      <c r="A681" s="317" t="s">
        <v>147</v>
      </c>
      <c r="B681" s="895" t="s">
        <v>147</v>
      </c>
      <c r="C681" s="896"/>
      <c r="D681" s="957" t="s">
        <v>233</v>
      </c>
      <c r="E681" s="907">
        <f>GLOBAL_DER_FEV_2023!E681</f>
        <v>0.2</v>
      </c>
      <c r="F681" s="908">
        <f>GLOBAL_DER_FEV_2023!F681</f>
        <v>8.8800000000000004E-2</v>
      </c>
      <c r="G681" s="949">
        <f>GLOBAL_DER_FEV_2023!G681</f>
        <v>0.25698720000000003</v>
      </c>
      <c r="H681" s="901">
        <f>GLOBAL_DER_FEV_2023!H681</f>
        <v>0</v>
      </c>
      <c r="I681" s="901">
        <f>GLOBAL_DER_FEV_2023!I681</f>
        <v>0</v>
      </c>
      <c r="J681" s="902">
        <f>GLOBAL_DER_FEV_2023!J681</f>
        <v>0</v>
      </c>
      <c r="K681" s="958" t="s">
        <v>507</v>
      </c>
      <c r="L681" s="959"/>
      <c r="M681" s="1157">
        <f t="shared" si="83"/>
        <v>0</v>
      </c>
      <c r="N681" s="893">
        <f t="shared" si="87"/>
        <v>0</v>
      </c>
      <c r="O681" s="905"/>
      <c r="P681" s="58" t="str">
        <f>IF(N678&gt;0,"xx",IF(N678&gt;0,"xy",""))</f>
        <v/>
      </c>
      <c r="Q681" s="317" t="str">
        <f t="shared" si="84"/>
        <v/>
      </c>
      <c r="R681" s="317" t="str">
        <f t="shared" si="85"/>
        <v/>
      </c>
      <c r="S681" s="317" t="str">
        <f t="shared" si="86"/>
        <v/>
      </c>
      <c r="T681" s="317" t="str">
        <f>GLOBAL_DER_FEV_2023!S681</f>
        <v/>
      </c>
      <c r="W681" s="582">
        <v>0</v>
      </c>
      <c r="X681" s="580"/>
      <c r="Y681" s="583">
        <f>IF(GLOBAL_DER_FEV_2023!W681=0,0,IF(GLOBAL_DER_FEV_2023!W681&gt;0,"c","b"))</f>
        <v>0</v>
      </c>
    </row>
    <row r="682" spans="1:25" x14ac:dyDescent="0.2">
      <c r="A682" s="317">
        <v>511000</v>
      </c>
      <c r="B682" s="895" t="s">
        <v>1557</v>
      </c>
      <c r="C682" s="896" t="s">
        <v>184</v>
      </c>
      <c r="D682" s="906" t="s">
        <v>268</v>
      </c>
      <c r="E682" s="907">
        <f>GLOBAL_DER_FEV_2023!E682</f>
        <v>0</v>
      </c>
      <c r="F682" s="908">
        <f>GLOBAL_DER_FEV_2023!F682</f>
        <v>0</v>
      </c>
      <c r="G682" s="912">
        <f>GLOBAL_DER_FEV_2023!G682</f>
        <v>0</v>
      </c>
      <c r="H682" s="901">
        <f>GLOBAL_DER_FEV_2023!H682</f>
        <v>4.91</v>
      </c>
      <c r="I682" s="901">
        <f>GLOBAL_DER_FEV_2023!I682</f>
        <v>4.91</v>
      </c>
      <c r="J682" s="902">
        <f>GLOBAL_DER_FEV_2023!J682</f>
        <v>5.9</v>
      </c>
      <c r="K682" s="903" t="s">
        <v>12</v>
      </c>
      <c r="L682" s="1137"/>
      <c r="M682" s="1138">
        <f t="shared" si="83"/>
        <v>0</v>
      </c>
      <c r="N682" s="893">
        <f t="shared" si="87"/>
        <v>0</v>
      </c>
      <c r="O682" s="905"/>
      <c r="Q682" s="317" t="str">
        <f t="shared" si="84"/>
        <v/>
      </c>
      <c r="R682" s="317" t="str">
        <f t="shared" si="85"/>
        <v/>
      </c>
      <c r="S682" s="317" t="str">
        <f t="shared" si="86"/>
        <v/>
      </c>
      <c r="T682" s="317" t="str">
        <f>GLOBAL_DER_FEV_2023!S682</f>
        <v/>
      </c>
      <c r="W682" s="582">
        <v>0</v>
      </c>
      <c r="X682" s="580"/>
      <c r="Y682" s="583">
        <f>IF(GLOBAL_DER_FEV_2023!W682=0,0,IF(GLOBAL_DER_FEV_2023!W682&gt;0,"c","b"))</f>
        <v>0</v>
      </c>
    </row>
    <row r="683" spans="1:25" x14ac:dyDescent="0.2">
      <c r="A683" s="317">
        <v>511100</v>
      </c>
      <c r="B683" s="895" t="s">
        <v>1569</v>
      </c>
      <c r="C683" s="896" t="s">
        <v>184</v>
      </c>
      <c r="D683" s="906" t="s">
        <v>269</v>
      </c>
      <c r="E683" s="907">
        <f>GLOBAL_DER_FEV_2023!E683</f>
        <v>0</v>
      </c>
      <c r="F683" s="908">
        <f>GLOBAL_DER_FEV_2023!F683</f>
        <v>0</v>
      </c>
      <c r="G683" s="912">
        <f>GLOBAL_DER_FEV_2023!G683</f>
        <v>0</v>
      </c>
      <c r="H683" s="901">
        <f>GLOBAL_DER_FEV_2023!H683</f>
        <v>4.25</v>
      </c>
      <c r="I683" s="901">
        <f>GLOBAL_DER_FEV_2023!I683</f>
        <v>4.25</v>
      </c>
      <c r="J683" s="902">
        <f>GLOBAL_DER_FEV_2023!J683</f>
        <v>5.0999999999999996</v>
      </c>
      <c r="K683" s="903" t="s">
        <v>12</v>
      </c>
      <c r="L683" s="1137"/>
      <c r="M683" s="1138">
        <f t="shared" si="83"/>
        <v>0</v>
      </c>
      <c r="N683" s="893">
        <f t="shared" si="87"/>
        <v>0</v>
      </c>
      <c r="O683" s="905"/>
      <c r="Q683" s="317" t="str">
        <f t="shared" si="84"/>
        <v/>
      </c>
      <c r="R683" s="317" t="str">
        <f t="shared" si="85"/>
        <v/>
      </c>
      <c r="S683" s="317" t="str">
        <f t="shared" si="86"/>
        <v/>
      </c>
      <c r="T683" s="317" t="str">
        <f>GLOBAL_DER_FEV_2023!S683</f>
        <v/>
      </c>
      <c r="W683" s="582">
        <v>0</v>
      </c>
      <c r="X683" s="580"/>
      <c r="Y683" s="583">
        <f>IF(GLOBAL_DER_FEV_2023!W683=0,0,IF(GLOBAL_DER_FEV_2023!W683&gt;0,"c","b"))</f>
        <v>0</v>
      </c>
    </row>
    <row r="684" spans="1:25" x14ac:dyDescent="0.2">
      <c r="A684" s="317">
        <v>520100</v>
      </c>
      <c r="B684" s="895" t="s">
        <v>1560</v>
      </c>
      <c r="C684" s="896" t="s">
        <v>184</v>
      </c>
      <c r="D684" s="906" t="s">
        <v>270</v>
      </c>
      <c r="E684" s="898">
        <f>GLOBAL_DER_FEV_2023!E684</f>
        <v>1</v>
      </c>
      <c r="F684" s="899">
        <f>GLOBAL_DER_FEV_2023!F684</f>
        <v>2.0999999999999996</v>
      </c>
      <c r="G684" s="949">
        <f>GLOBAL_DER_FEV_2023!G684</f>
        <v>7.8749999999999982</v>
      </c>
      <c r="H684" s="954">
        <f>GLOBAL_DER_FEV_2023!H684</f>
        <v>5.45</v>
      </c>
      <c r="I684" s="901">
        <f>GLOBAL_DER_FEV_2023!I684</f>
        <v>13.324999999999999</v>
      </c>
      <c r="J684" s="902">
        <f>GLOBAL_DER_FEV_2023!J684</f>
        <v>16</v>
      </c>
      <c r="K684" s="903" t="s">
        <v>10</v>
      </c>
      <c r="L684" s="1137"/>
      <c r="M684" s="1138">
        <f t="shared" si="83"/>
        <v>0</v>
      </c>
      <c r="N684" s="893">
        <f t="shared" si="87"/>
        <v>0</v>
      </c>
      <c r="O684" s="905"/>
      <c r="Q684" s="317" t="str">
        <f t="shared" si="84"/>
        <v/>
      </c>
      <c r="R684" s="317" t="str">
        <f t="shared" si="85"/>
        <v/>
      </c>
      <c r="S684" s="317" t="str">
        <f t="shared" si="86"/>
        <v/>
      </c>
      <c r="T684" s="317" t="str">
        <f>GLOBAL_DER_FEV_2023!S684</f>
        <v/>
      </c>
      <c r="W684" s="582">
        <v>0</v>
      </c>
      <c r="X684" s="580"/>
      <c r="Y684" s="583">
        <f>IF(GLOBAL_DER_FEV_2023!W684=0,0,IF(GLOBAL_DER_FEV_2023!W684&gt;0,"c","b"))</f>
        <v>0</v>
      </c>
    </row>
    <row r="685" spans="1:25" x14ac:dyDescent="0.2">
      <c r="A685" s="317">
        <v>520100</v>
      </c>
      <c r="B685" s="895" t="s">
        <v>1561</v>
      </c>
      <c r="C685" s="896" t="s">
        <v>184</v>
      </c>
      <c r="D685" s="906" t="s">
        <v>271</v>
      </c>
      <c r="E685" s="898">
        <f>GLOBAL_DER_FEV_2023!E685</f>
        <v>10</v>
      </c>
      <c r="F685" s="899">
        <f>GLOBAL_DER_FEV_2023!F685</f>
        <v>2.0999999999999996</v>
      </c>
      <c r="G685" s="949">
        <f>GLOBAL_DER_FEV_2023!G685</f>
        <v>28.097999999999995</v>
      </c>
      <c r="H685" s="954">
        <f>GLOBAL_DER_FEV_2023!H685</f>
        <v>5.45</v>
      </c>
      <c r="I685" s="901">
        <f>GLOBAL_DER_FEV_2023!I685</f>
        <v>33.547999999999995</v>
      </c>
      <c r="J685" s="902">
        <f>GLOBAL_DER_FEV_2023!J685</f>
        <v>40.28</v>
      </c>
      <c r="K685" s="903" t="s">
        <v>10</v>
      </c>
      <c r="L685" s="1137"/>
      <c r="M685" s="1138">
        <f t="shared" si="83"/>
        <v>0</v>
      </c>
      <c r="N685" s="893">
        <f t="shared" si="87"/>
        <v>0</v>
      </c>
      <c r="O685" s="905"/>
      <c r="Q685" s="317" t="str">
        <f t="shared" si="84"/>
        <v/>
      </c>
      <c r="R685" s="317" t="str">
        <f t="shared" si="85"/>
        <v/>
      </c>
      <c r="S685" s="317" t="str">
        <f t="shared" si="86"/>
        <v/>
      </c>
      <c r="T685" s="317" t="str">
        <f>GLOBAL_DER_FEV_2023!S685</f>
        <v/>
      </c>
      <c r="W685" s="582">
        <v>0</v>
      </c>
      <c r="X685" s="580"/>
      <c r="Y685" s="583">
        <f>IF(GLOBAL_DER_FEV_2023!W685=0,0,IF(GLOBAL_DER_FEV_2023!W685&gt;0,"c","b"))</f>
        <v>0</v>
      </c>
    </row>
    <row r="686" spans="1:25" x14ac:dyDescent="0.2">
      <c r="A686" s="317">
        <v>533500</v>
      </c>
      <c r="B686" s="895" t="s">
        <v>1551</v>
      </c>
      <c r="C686" s="896" t="s">
        <v>184</v>
      </c>
      <c r="D686" s="906" t="s">
        <v>449</v>
      </c>
      <c r="E686" s="898">
        <f>GLOBAL_DER_FEV_2023!E686</f>
        <v>0</v>
      </c>
      <c r="F686" s="899">
        <f>GLOBAL_DER_FEV_2023!F686</f>
        <v>1.95</v>
      </c>
      <c r="G686" s="949">
        <f>GLOBAL_DER_FEV_2023!G686</f>
        <v>5.226</v>
      </c>
      <c r="H686" s="901">
        <f>GLOBAL_DER_FEV_2023!H686</f>
        <v>25.79</v>
      </c>
      <c r="I686" s="901">
        <f>GLOBAL_DER_FEV_2023!I686</f>
        <v>31.015999999999998</v>
      </c>
      <c r="J686" s="902">
        <f>GLOBAL_DER_FEV_2023!J686</f>
        <v>37.24</v>
      </c>
      <c r="K686" s="903" t="s">
        <v>10</v>
      </c>
      <c r="L686" s="1137"/>
      <c r="M686" s="1138">
        <f t="shared" si="83"/>
        <v>0</v>
      </c>
      <c r="N686" s="893">
        <f t="shared" si="87"/>
        <v>0</v>
      </c>
      <c r="O686" s="905"/>
      <c r="Q686" s="317" t="str">
        <f t="shared" si="84"/>
        <v/>
      </c>
      <c r="R686" s="317" t="str">
        <f t="shared" si="85"/>
        <v/>
      </c>
      <c r="S686" s="317" t="str">
        <f t="shared" si="86"/>
        <v/>
      </c>
      <c r="T686" s="317" t="str">
        <f>GLOBAL_DER_FEV_2023!S686</f>
        <v/>
      </c>
      <c r="W686" s="582">
        <v>0</v>
      </c>
      <c r="X686" s="580"/>
      <c r="Y686" s="583">
        <f>IF(GLOBAL_DER_FEV_2023!W686=0,0,IF(GLOBAL_DER_FEV_2023!W686&gt;0,"c","b"))</f>
        <v>0</v>
      </c>
    </row>
    <row r="687" spans="1:25" x14ac:dyDescent="0.2">
      <c r="A687" s="317">
        <v>533100</v>
      </c>
      <c r="B687" s="895" t="s">
        <v>1554</v>
      </c>
      <c r="C687" s="896" t="s">
        <v>184</v>
      </c>
      <c r="D687" s="906" t="s">
        <v>457</v>
      </c>
      <c r="E687" s="898">
        <f>GLOBAL_DER_FEV_2023!E687</f>
        <v>0</v>
      </c>
      <c r="F687" s="899">
        <f>GLOBAL_DER_FEV_2023!F687</f>
        <v>1.98</v>
      </c>
      <c r="G687" s="949">
        <f>GLOBAL_DER_FEV_2023!G687</f>
        <v>5.3064</v>
      </c>
      <c r="H687" s="901">
        <f>GLOBAL_DER_FEV_2023!H687</f>
        <v>30.58</v>
      </c>
      <c r="I687" s="901">
        <f>GLOBAL_DER_FEV_2023!I687</f>
        <v>35.886399999999995</v>
      </c>
      <c r="J687" s="902">
        <f>GLOBAL_DER_FEV_2023!J687</f>
        <v>43.09</v>
      </c>
      <c r="K687" s="903" t="s">
        <v>10</v>
      </c>
      <c r="L687" s="1137"/>
      <c r="M687" s="1138">
        <f t="shared" si="83"/>
        <v>0</v>
      </c>
      <c r="N687" s="893">
        <f t="shared" si="87"/>
        <v>0</v>
      </c>
      <c r="O687" s="905"/>
      <c r="Q687" s="317" t="str">
        <f t="shared" si="84"/>
        <v/>
      </c>
      <c r="R687" s="317" t="str">
        <f t="shared" si="85"/>
        <v/>
      </c>
      <c r="S687" s="317" t="str">
        <f t="shared" si="86"/>
        <v/>
      </c>
      <c r="T687" s="317" t="str">
        <f>GLOBAL_DER_FEV_2023!S687</f>
        <v/>
      </c>
      <c r="W687" s="582">
        <v>0</v>
      </c>
      <c r="X687" s="580"/>
      <c r="Y687" s="583">
        <f>IF(GLOBAL_DER_FEV_2023!W687=0,0,IF(GLOBAL_DER_FEV_2023!W687&gt;0,"c","b"))</f>
        <v>0</v>
      </c>
    </row>
    <row r="688" spans="1:25" x14ac:dyDescent="0.2">
      <c r="A688" s="317">
        <v>533100</v>
      </c>
      <c r="B688" s="895" t="s">
        <v>1555</v>
      </c>
      <c r="C688" s="896" t="s">
        <v>184</v>
      </c>
      <c r="D688" s="906" t="s">
        <v>272</v>
      </c>
      <c r="E688" s="898">
        <f>GLOBAL_DER_FEV_2023!E688</f>
        <v>10</v>
      </c>
      <c r="F688" s="899">
        <f>GLOBAL_DER_FEV_2023!F688</f>
        <v>2.1</v>
      </c>
      <c r="G688" s="949">
        <f>GLOBAL_DER_FEV_2023!G688</f>
        <v>28.098000000000003</v>
      </c>
      <c r="H688" s="901">
        <f>GLOBAL_DER_FEV_2023!H688</f>
        <v>30.58</v>
      </c>
      <c r="I688" s="901">
        <f>GLOBAL_DER_FEV_2023!I688</f>
        <v>58.677999999999997</v>
      </c>
      <c r="J688" s="902">
        <f>GLOBAL_DER_FEV_2023!J688</f>
        <v>70.45</v>
      </c>
      <c r="K688" s="903" t="s">
        <v>10</v>
      </c>
      <c r="L688" s="1137"/>
      <c r="M688" s="1138">
        <f t="shared" si="83"/>
        <v>0</v>
      </c>
      <c r="N688" s="893">
        <f t="shared" si="87"/>
        <v>0</v>
      </c>
      <c r="O688" s="905"/>
      <c r="Q688" s="317" t="str">
        <f t="shared" si="84"/>
        <v/>
      </c>
      <c r="R688" s="317" t="str">
        <f t="shared" si="85"/>
        <v/>
      </c>
      <c r="S688" s="317" t="str">
        <f t="shared" si="86"/>
        <v/>
      </c>
      <c r="T688" s="317" t="str">
        <f>GLOBAL_DER_FEV_2023!S688</f>
        <v/>
      </c>
      <c r="W688" s="582">
        <v>0</v>
      </c>
      <c r="X688" s="580"/>
      <c r="Y688" s="583">
        <f>IF(GLOBAL_DER_FEV_2023!W688=0,0,IF(GLOBAL_DER_FEV_2023!W688&gt;0,"c","b"))</f>
        <v>0</v>
      </c>
    </row>
    <row r="689" spans="1:25" x14ac:dyDescent="0.2">
      <c r="A689" s="317">
        <v>530200</v>
      </c>
      <c r="B689" s="895" t="s">
        <v>1747</v>
      </c>
      <c r="C689" s="896" t="s">
        <v>184</v>
      </c>
      <c r="D689" s="906" t="s">
        <v>217</v>
      </c>
      <c r="E689" s="898">
        <f>GLOBAL_DER_FEV_2023!E689</f>
        <v>0.2</v>
      </c>
      <c r="F689" s="899">
        <f>GLOBAL_DER_FEV_2023!F689</f>
        <v>2.2000000000000002</v>
      </c>
      <c r="G689" s="949">
        <f>GLOBAL_DER_FEV_2023!G689</f>
        <v>6.3668000000000005</v>
      </c>
      <c r="H689" s="901">
        <f>GLOBAL_DER_FEV_2023!H689</f>
        <v>98.29</v>
      </c>
      <c r="I689" s="901">
        <f>GLOBAL_DER_FEV_2023!I689</f>
        <v>104.6568</v>
      </c>
      <c r="J689" s="902">
        <f>GLOBAL_DER_FEV_2023!J689</f>
        <v>125.66</v>
      </c>
      <c r="K689" s="903" t="s">
        <v>10</v>
      </c>
      <c r="L689" s="1137"/>
      <c r="M689" s="1138">
        <f t="shared" si="83"/>
        <v>0</v>
      </c>
      <c r="N689" s="893">
        <f t="shared" si="87"/>
        <v>0</v>
      </c>
      <c r="O689" s="905"/>
      <c r="Q689" s="317" t="str">
        <f t="shared" si="84"/>
        <v/>
      </c>
      <c r="R689" s="317" t="str">
        <f t="shared" si="85"/>
        <v/>
      </c>
      <c r="S689" s="317" t="str">
        <f t="shared" si="86"/>
        <v/>
      </c>
      <c r="T689" s="317" t="str">
        <f>GLOBAL_DER_FEV_2023!S689</f>
        <v/>
      </c>
      <c r="W689" s="582">
        <v>0</v>
      </c>
      <c r="X689" s="580"/>
      <c r="Y689" s="583">
        <f>IF(GLOBAL_DER_FEV_2023!W689=0,0,IF(GLOBAL_DER_FEV_2023!W689&gt;0,"c","b"))</f>
        <v>0</v>
      </c>
    </row>
    <row r="690" spans="1:25" x14ac:dyDescent="0.2">
      <c r="A690" s="317" t="s">
        <v>830</v>
      </c>
      <c r="B690" s="895" t="str">
        <f>GLOBAL_DER_FEV_2023!B690</f>
        <v>PAV-003B</v>
      </c>
      <c r="C690" s="896" t="str">
        <f>GLOBAL_DER_FEV_2023!C690</f>
        <v>PM Curitiba-abr/22</v>
      </c>
      <c r="D690" s="906" t="str">
        <f>GLOBAL_DER_FEV_2023!D690</f>
        <v>Saibro Compactado CBR&gt;=20 (Base ou Sub-Base)</v>
      </c>
      <c r="E690" s="898">
        <f>GLOBAL_DER_FEV_2023!E690</f>
        <v>0</v>
      </c>
      <c r="F690" s="899">
        <f>GLOBAL_DER_FEV_2023!F690</f>
        <v>1.95</v>
      </c>
      <c r="G690" s="949">
        <f>GLOBAL_DER_FEV_2023!G690</f>
        <v>5.226</v>
      </c>
      <c r="H690" s="901">
        <f>GLOBAL_DER_FEV_2023!H690</f>
        <v>81.2</v>
      </c>
      <c r="I690" s="901">
        <f>GLOBAL_DER_FEV_2023!I690</f>
        <v>86.426000000000002</v>
      </c>
      <c r="J690" s="902">
        <f>GLOBAL_DER_FEV_2023!J690</f>
        <v>103.77</v>
      </c>
      <c r="K690" s="903" t="s">
        <v>10</v>
      </c>
      <c r="L690" s="1137"/>
      <c r="M690" s="1138">
        <f t="shared" si="83"/>
        <v>0</v>
      </c>
      <c r="N690" s="893">
        <f t="shared" si="87"/>
        <v>0</v>
      </c>
      <c r="O690" s="905"/>
      <c r="Q690" s="317" t="str">
        <f t="shared" si="84"/>
        <v/>
      </c>
      <c r="R690" s="317" t="str">
        <f t="shared" si="85"/>
        <v/>
      </c>
      <c r="S690" s="317" t="str">
        <f t="shared" si="86"/>
        <v/>
      </c>
      <c r="T690" s="317" t="str">
        <f>GLOBAL_DER_FEV_2023!S690</f>
        <v/>
      </c>
      <c r="W690" s="582">
        <v>0</v>
      </c>
      <c r="X690" s="580"/>
      <c r="Y690" s="583">
        <f>IF(GLOBAL_DER_FEV_2023!W690=0,0,IF(GLOBAL_DER_FEV_2023!W690&gt;0,"c","b"))</f>
        <v>0</v>
      </c>
    </row>
    <row r="691" spans="1:25" x14ac:dyDescent="0.2">
      <c r="A691" s="317" t="s">
        <v>831</v>
      </c>
      <c r="B691" s="895" t="str">
        <f>GLOBAL_DER_FEV_2023!B691</f>
        <v>PAV-005B</v>
      </c>
      <c r="C691" s="896" t="str">
        <f>GLOBAL_DER_FEV_2023!C691</f>
        <v>PM Curitiba-abr/22</v>
      </c>
      <c r="D691" s="906" t="str">
        <f>GLOBAL_DER_FEV_2023!D691</f>
        <v>Moledo Compactado CBR&gt;=20(Base ou Sub-Base)</v>
      </c>
      <c r="E691" s="898">
        <f>GLOBAL_DER_FEV_2023!E691</f>
        <v>0</v>
      </c>
      <c r="F691" s="899">
        <f>GLOBAL_DER_FEV_2023!F691</f>
        <v>2.1</v>
      </c>
      <c r="G691" s="949">
        <f>GLOBAL_DER_FEV_2023!G691</f>
        <v>5.628000000000001</v>
      </c>
      <c r="H691" s="901">
        <f>GLOBAL_DER_FEV_2023!H691</f>
        <v>44.92</v>
      </c>
      <c r="I691" s="901">
        <f>GLOBAL_DER_FEV_2023!I691</f>
        <v>50.548000000000002</v>
      </c>
      <c r="J691" s="902">
        <f>GLOBAL_DER_FEV_2023!J691</f>
        <v>60.69</v>
      </c>
      <c r="K691" s="903" t="s">
        <v>10</v>
      </c>
      <c r="L691" s="1137"/>
      <c r="M691" s="1138">
        <f t="shared" si="83"/>
        <v>0</v>
      </c>
      <c r="N691" s="893">
        <f t="shared" si="87"/>
        <v>0</v>
      </c>
      <c r="O691" s="905"/>
      <c r="Q691" s="317" t="str">
        <f t="shared" si="84"/>
        <v/>
      </c>
      <c r="R691" s="317" t="str">
        <f t="shared" si="85"/>
        <v/>
      </c>
      <c r="S691" s="317" t="str">
        <f t="shared" si="86"/>
        <v/>
      </c>
      <c r="T691" s="317" t="str">
        <f>GLOBAL_DER_FEV_2023!S691</f>
        <v/>
      </c>
      <c r="W691" s="582">
        <v>0</v>
      </c>
      <c r="X691" s="580"/>
      <c r="Y691" s="583">
        <f>IF(GLOBAL_DER_FEV_2023!W691=0,0,IF(GLOBAL_DER_FEV_2023!W691&gt;0,"c","b"))</f>
        <v>0</v>
      </c>
    </row>
    <row r="692" spans="1:25" x14ac:dyDescent="0.2">
      <c r="A692" s="317">
        <v>530200</v>
      </c>
      <c r="B692" s="895" t="s">
        <v>1748</v>
      </c>
      <c r="C692" s="896" t="s">
        <v>184</v>
      </c>
      <c r="D692" s="906" t="s">
        <v>458</v>
      </c>
      <c r="E692" s="898">
        <f>GLOBAL_DER_FEV_2023!E692</f>
        <v>0.2</v>
      </c>
      <c r="F692" s="899">
        <f>GLOBAL_DER_FEV_2023!F692</f>
        <v>2.2000000000000002</v>
      </c>
      <c r="G692" s="949">
        <f>GLOBAL_DER_FEV_2023!G692</f>
        <v>6.3668000000000005</v>
      </c>
      <c r="H692" s="901">
        <f>GLOBAL_DER_FEV_2023!H692</f>
        <v>98.29</v>
      </c>
      <c r="I692" s="901">
        <f>GLOBAL_DER_FEV_2023!I692</f>
        <v>104.6568</v>
      </c>
      <c r="J692" s="902">
        <f>GLOBAL_DER_FEV_2023!J692</f>
        <v>125.66</v>
      </c>
      <c r="K692" s="903" t="s">
        <v>10</v>
      </c>
      <c r="L692" s="1137"/>
      <c r="M692" s="1138">
        <f t="shared" si="83"/>
        <v>0</v>
      </c>
      <c r="N692" s="893">
        <f t="shared" si="87"/>
        <v>0</v>
      </c>
      <c r="O692" s="905"/>
      <c r="Q692" s="317" t="str">
        <f t="shared" si="84"/>
        <v/>
      </c>
      <c r="R692" s="317" t="str">
        <f t="shared" si="85"/>
        <v/>
      </c>
      <c r="S692" s="317" t="str">
        <f t="shared" si="86"/>
        <v/>
      </c>
      <c r="T692" s="317" t="str">
        <f>GLOBAL_DER_FEV_2023!S692</f>
        <v/>
      </c>
      <c r="W692" s="582">
        <v>0</v>
      </c>
      <c r="X692" s="580"/>
      <c r="Y692" s="583">
        <f>IF(GLOBAL_DER_FEV_2023!W692=0,0,IF(GLOBAL_DER_FEV_2023!W692&gt;0,"c","b"))</f>
        <v>0</v>
      </c>
    </row>
    <row r="693" spans="1:25" ht="13.5" thickBot="1" x14ac:dyDescent="0.25">
      <c r="A693" s="317">
        <v>531000</v>
      </c>
      <c r="B693" s="895" t="s">
        <v>1787</v>
      </c>
      <c r="C693" s="896" t="s">
        <v>184</v>
      </c>
      <c r="D693" s="906" t="s">
        <v>273</v>
      </c>
      <c r="E693" s="907">
        <f>GLOBAL_DER_FEV_2023!E693</f>
        <v>0.2</v>
      </c>
      <c r="F693" s="908">
        <f>GLOBAL_DER_FEV_2023!F693</f>
        <v>2.4</v>
      </c>
      <c r="G693" s="912">
        <f>GLOBAL_DER_FEV_2023!G693</f>
        <v>6.9455999999999998</v>
      </c>
      <c r="H693" s="901">
        <f>GLOBAL_DER_FEV_2023!H693</f>
        <v>132.22999999999999</v>
      </c>
      <c r="I693" s="901">
        <f>GLOBAL_DER_FEV_2023!I693</f>
        <v>139.1756</v>
      </c>
      <c r="J693" s="902">
        <f>GLOBAL_DER_FEV_2023!J693</f>
        <v>167.11</v>
      </c>
      <c r="K693" s="903" t="s">
        <v>10</v>
      </c>
      <c r="L693" s="1137"/>
      <c r="M693" s="1138">
        <f t="shared" si="83"/>
        <v>0</v>
      </c>
      <c r="N693" s="893">
        <f t="shared" si="87"/>
        <v>0</v>
      </c>
      <c r="O693" s="905"/>
      <c r="Q693" s="317" t="str">
        <f t="shared" si="84"/>
        <v/>
      </c>
      <c r="R693" s="317" t="str">
        <f t="shared" si="85"/>
        <v/>
      </c>
      <c r="S693" s="317" t="str">
        <f t="shared" si="86"/>
        <v/>
      </c>
      <c r="T693" s="317" t="str">
        <f>GLOBAL_DER_FEV_2023!S693</f>
        <v/>
      </c>
      <c r="W693" s="582">
        <v>0</v>
      </c>
      <c r="X693" s="580"/>
      <c r="Y693" s="583">
        <f>IF(GLOBAL_DER_FEV_2023!W693=0,0,IF(GLOBAL_DER_FEV_2023!W693&gt;0,"c","b"))</f>
        <v>0</v>
      </c>
    </row>
    <row r="694" spans="1:25" x14ac:dyDescent="0.2">
      <c r="A694" s="317">
        <v>560100</v>
      </c>
      <c r="B694" s="971" t="s">
        <v>701</v>
      </c>
      <c r="C694" s="972" t="s">
        <v>184</v>
      </c>
      <c r="D694" s="973" t="s">
        <v>1521</v>
      </c>
      <c r="E694" s="974" t="str">
        <f>GLOBAL_DER_FEV_2023!E694</f>
        <v>taxa RR-1C</v>
      </c>
      <c r="F694" s="975">
        <f>GLOBAL_DER_FEV_2023!F694</f>
        <v>1.1999999999999999E-3</v>
      </c>
      <c r="G694" s="976">
        <f>GLOBAL_DER_FEV_2023!G694</f>
        <v>0</v>
      </c>
      <c r="H694" s="977">
        <f>GLOBAL_DER_FEV_2023!H694</f>
        <v>0.49</v>
      </c>
      <c r="I694" s="977">
        <f>GLOBAL_DER_FEV_2023!I694</f>
        <v>0.49</v>
      </c>
      <c r="J694" s="978">
        <f>GLOBAL_DER_FEV_2023!J694</f>
        <v>0.59</v>
      </c>
      <c r="K694" s="979" t="s">
        <v>12</v>
      </c>
      <c r="L694" s="1152"/>
      <c r="M694" s="1153">
        <f t="shared" si="83"/>
        <v>0</v>
      </c>
      <c r="N694" s="982">
        <f t="shared" si="87"/>
        <v>0</v>
      </c>
      <c r="O694" s="905"/>
      <c r="Q694" s="317" t="str">
        <f t="shared" si="84"/>
        <v/>
      </c>
      <c r="R694" s="317" t="str">
        <f t="shared" si="85"/>
        <v/>
      </c>
      <c r="S694" s="317" t="str">
        <f t="shared" si="86"/>
        <v/>
      </c>
      <c r="T694" s="317" t="str">
        <f>GLOBAL_DER_FEV_2023!S694</f>
        <v/>
      </c>
      <c r="W694" s="582">
        <v>0</v>
      </c>
      <c r="X694" s="580"/>
      <c r="Y694" s="583">
        <f>IF(GLOBAL_DER_FEV_2023!W694=0,0,IF(GLOBAL_DER_FEV_2023!W694&gt;0,"c","b"))</f>
        <v>0</v>
      </c>
    </row>
    <row r="695" spans="1:25" ht="13.5" thickBot="1" x14ac:dyDescent="0.25">
      <c r="A695" s="317">
        <v>589420</v>
      </c>
      <c r="B695" s="983" t="s">
        <v>707</v>
      </c>
      <c r="C695" s="1033" t="s">
        <v>213</v>
      </c>
      <c r="D695" s="985" t="s">
        <v>553</v>
      </c>
      <c r="E695" s="986">
        <f>GLOBAL_DER_FEV_2023!E695</f>
        <v>353</v>
      </c>
      <c r="F695" s="987">
        <f>GLOBAL_DER_FEV_2023!F695</f>
        <v>1</v>
      </c>
      <c r="G695" s="949">
        <f>GLOBAL_DER_FEV_2023!G695</f>
        <v>337.96999999999997</v>
      </c>
      <c r="H695" s="988">
        <f>GLOBAL_DER_FEV_2023!H695</f>
        <v>3861.37</v>
      </c>
      <c r="I695" s="988">
        <f>GLOBAL_DER_FEV_2023!I695</f>
        <v>4045.2968393437163</v>
      </c>
      <c r="J695" s="989">
        <f>GLOBAL_DER_FEV_2023!J695</f>
        <v>4857.1899999999996</v>
      </c>
      <c r="K695" s="990" t="s">
        <v>14</v>
      </c>
      <c r="L695" s="1154">
        <f>ROUND(L694*$F694,2)</f>
        <v>0</v>
      </c>
      <c r="M695" s="1155">
        <f t="shared" si="83"/>
        <v>0</v>
      </c>
      <c r="N695" s="993">
        <f t="shared" si="87"/>
        <v>0</v>
      </c>
      <c r="O695" s="905"/>
      <c r="Q695" s="317" t="str">
        <f t="shared" si="84"/>
        <v/>
      </c>
      <c r="R695" s="317" t="str">
        <f t="shared" si="85"/>
        <v/>
      </c>
      <c r="S695" s="317" t="str">
        <f t="shared" si="86"/>
        <v/>
      </c>
      <c r="T695" s="317" t="str">
        <f>GLOBAL_DER_FEV_2023!S695</f>
        <v/>
      </c>
      <c r="W695" s="582">
        <v>0</v>
      </c>
      <c r="X695" s="580"/>
      <c r="Y695" s="583">
        <f>IF(GLOBAL_DER_FEV_2023!W695=0,0,IF(GLOBAL_DER_FEV_2023!W695&gt;0,"c","b"))</f>
        <v>0</v>
      </c>
    </row>
    <row r="696" spans="1:25" x14ac:dyDescent="0.2">
      <c r="A696" s="317">
        <v>560100</v>
      </c>
      <c r="B696" s="971" t="s">
        <v>1604</v>
      </c>
      <c r="C696" s="972" t="s">
        <v>184</v>
      </c>
      <c r="D696" s="973" t="s">
        <v>540</v>
      </c>
      <c r="E696" s="974" t="str">
        <f>GLOBAL_DER_FEV_2023!E696</f>
        <v>taxa RR-1C</v>
      </c>
      <c r="F696" s="975">
        <f>GLOBAL_DER_FEV_2023!F696</f>
        <v>1.1000000000000001E-3</v>
      </c>
      <c r="G696" s="976">
        <f>GLOBAL_DER_FEV_2023!G696</f>
        <v>0</v>
      </c>
      <c r="H696" s="977">
        <f>GLOBAL_DER_FEV_2023!H696</f>
        <v>0.49</v>
      </c>
      <c r="I696" s="977">
        <f>GLOBAL_DER_FEV_2023!I696</f>
        <v>0.49</v>
      </c>
      <c r="J696" s="978">
        <f>GLOBAL_DER_FEV_2023!J696</f>
        <v>0.59</v>
      </c>
      <c r="K696" s="979" t="s">
        <v>12</v>
      </c>
      <c r="L696" s="1152"/>
      <c r="M696" s="1153">
        <f t="shared" si="83"/>
        <v>0</v>
      </c>
      <c r="N696" s="982">
        <f t="shared" si="87"/>
        <v>0</v>
      </c>
      <c r="O696" s="905"/>
      <c r="Q696" s="317" t="str">
        <f t="shared" si="84"/>
        <v/>
      </c>
      <c r="R696" s="317" t="str">
        <f t="shared" si="85"/>
        <v/>
      </c>
      <c r="S696" s="317" t="str">
        <f t="shared" si="86"/>
        <v/>
      </c>
      <c r="T696" s="317" t="str">
        <f>GLOBAL_DER_FEV_2023!S696</f>
        <v/>
      </c>
      <c r="W696" s="582">
        <v>0</v>
      </c>
      <c r="X696" s="580"/>
      <c r="Y696" s="583">
        <f>IF(GLOBAL_DER_FEV_2023!W696=0,0,IF(GLOBAL_DER_FEV_2023!W696&gt;0,"c","b"))</f>
        <v>0</v>
      </c>
    </row>
    <row r="697" spans="1:25" ht="13.5" thickBot="1" x14ac:dyDescent="0.25">
      <c r="A697" s="317">
        <v>589190</v>
      </c>
      <c r="B697" s="983" t="s">
        <v>1698</v>
      </c>
      <c r="C697" s="1033" t="s">
        <v>213</v>
      </c>
      <c r="D697" s="985" t="s">
        <v>554</v>
      </c>
      <c r="E697" s="986">
        <f>GLOBAL_DER_FEV_2023!E697</f>
        <v>45</v>
      </c>
      <c r="F697" s="987">
        <f>GLOBAL_DER_FEV_2023!F697</f>
        <v>1</v>
      </c>
      <c r="G697" s="949">
        <f>GLOBAL_DER_FEV_2023!G697</f>
        <v>79.25</v>
      </c>
      <c r="H697" s="988">
        <f>GLOBAL_DER_FEV_2023!H697</f>
        <v>4730.97</v>
      </c>
      <c r="I697" s="988">
        <f>GLOBAL_DER_FEV_2023!I697</f>
        <v>4621.4855426001504</v>
      </c>
      <c r="J697" s="989">
        <f>GLOBAL_DER_FEV_2023!J697</f>
        <v>5549.02</v>
      </c>
      <c r="K697" s="990" t="s">
        <v>14</v>
      </c>
      <c r="L697" s="1154">
        <f>ROUND(L696*$F696,2)</f>
        <v>0</v>
      </c>
      <c r="M697" s="1155">
        <f t="shared" si="83"/>
        <v>0</v>
      </c>
      <c r="N697" s="993">
        <f t="shared" si="87"/>
        <v>0</v>
      </c>
      <c r="O697" s="905"/>
      <c r="Q697" s="317" t="str">
        <f t="shared" si="84"/>
        <v/>
      </c>
      <c r="R697" s="317" t="str">
        <f t="shared" si="85"/>
        <v/>
      </c>
      <c r="S697" s="317" t="str">
        <f t="shared" si="86"/>
        <v/>
      </c>
      <c r="T697" s="317" t="str">
        <f>GLOBAL_DER_FEV_2023!S697</f>
        <v/>
      </c>
      <c r="W697" s="582">
        <v>0</v>
      </c>
      <c r="X697" s="580"/>
      <c r="Y697" s="583">
        <f>IF(GLOBAL_DER_FEV_2023!W697=0,0,IF(GLOBAL_DER_FEV_2023!W697&gt;0,"c","b"))</f>
        <v>0</v>
      </c>
    </row>
    <row r="698" spans="1:25" x14ac:dyDescent="0.2">
      <c r="A698" s="317">
        <v>560400</v>
      </c>
      <c r="B698" s="971" t="s">
        <v>1749</v>
      </c>
      <c r="C698" s="972" t="s">
        <v>184</v>
      </c>
      <c r="D698" s="973" t="s">
        <v>541</v>
      </c>
      <c r="E698" s="974" t="str">
        <f>GLOBAL_DER_FEV_2023!E698</f>
        <v>taxa RR-1C</v>
      </c>
      <c r="F698" s="975">
        <f>GLOBAL_DER_FEV_2023!F698</f>
        <v>1.1999999999999999E-3</v>
      </c>
      <c r="G698" s="976">
        <f>GLOBAL_DER_FEV_2023!G698</f>
        <v>0</v>
      </c>
      <c r="H698" s="977">
        <f>GLOBAL_DER_FEV_2023!H698</f>
        <v>0.49</v>
      </c>
      <c r="I698" s="977">
        <f>GLOBAL_DER_FEV_2023!I698</f>
        <v>0.49</v>
      </c>
      <c r="J698" s="978">
        <f>GLOBAL_DER_FEV_2023!J698</f>
        <v>0.59</v>
      </c>
      <c r="K698" s="979" t="s">
        <v>12</v>
      </c>
      <c r="L698" s="1152"/>
      <c r="M698" s="1153">
        <f t="shared" si="83"/>
        <v>0</v>
      </c>
      <c r="N698" s="982">
        <f t="shared" si="87"/>
        <v>0</v>
      </c>
      <c r="O698" s="905"/>
      <c r="Q698" s="317" t="str">
        <f t="shared" si="84"/>
        <v/>
      </c>
      <c r="R698" s="317" t="str">
        <f t="shared" si="85"/>
        <v/>
      </c>
      <c r="S698" s="317" t="str">
        <f t="shared" si="86"/>
        <v/>
      </c>
      <c r="T698" s="317" t="str">
        <f>GLOBAL_DER_FEV_2023!S698</f>
        <v/>
      </c>
      <c r="W698" s="582">
        <v>0</v>
      </c>
      <c r="X698" s="580"/>
      <c r="Y698" s="583">
        <f>IF(GLOBAL_DER_FEV_2023!W698=0,0,IF(GLOBAL_DER_FEV_2023!W698&gt;0,"c","b"))</f>
        <v>0</v>
      </c>
    </row>
    <row r="699" spans="1:25" ht="13.5" thickBot="1" x14ac:dyDescent="0.25">
      <c r="A699" s="317">
        <v>589100</v>
      </c>
      <c r="B699" s="983" t="s">
        <v>1750</v>
      </c>
      <c r="C699" s="1033" t="s">
        <v>213</v>
      </c>
      <c r="D699" s="985" t="s">
        <v>555</v>
      </c>
      <c r="E699" s="986">
        <f>GLOBAL_DER_FEV_2023!E699</f>
        <v>45</v>
      </c>
      <c r="F699" s="987">
        <f>GLOBAL_DER_FEV_2023!F699</f>
        <v>1</v>
      </c>
      <c r="G699" s="949">
        <f>GLOBAL_DER_FEV_2023!G699</f>
        <v>79.25</v>
      </c>
      <c r="H699" s="988">
        <f>GLOBAL_DER_FEV_2023!H699</f>
        <v>5937.37</v>
      </c>
      <c r="I699" s="988">
        <f>GLOBAL_DER_FEV_2023!I699</f>
        <v>5779.7581502456906</v>
      </c>
      <c r="J699" s="989">
        <f>GLOBAL_DER_FEV_2023!J699</f>
        <v>6939.76</v>
      </c>
      <c r="K699" s="990" t="s">
        <v>14</v>
      </c>
      <c r="L699" s="1154">
        <f>ROUND(L698*$F698,2)</f>
        <v>0</v>
      </c>
      <c r="M699" s="1155">
        <f t="shared" si="83"/>
        <v>0</v>
      </c>
      <c r="N699" s="993">
        <f t="shared" si="87"/>
        <v>0</v>
      </c>
      <c r="O699" s="905"/>
      <c r="Q699" s="317" t="str">
        <f t="shared" si="84"/>
        <v/>
      </c>
      <c r="R699" s="317" t="str">
        <f t="shared" si="85"/>
        <v/>
      </c>
      <c r="S699" s="317" t="str">
        <f t="shared" si="86"/>
        <v/>
      </c>
      <c r="T699" s="317" t="str">
        <f>GLOBAL_DER_FEV_2023!S699</f>
        <v/>
      </c>
      <c r="W699" s="582">
        <v>0</v>
      </c>
      <c r="X699" s="580"/>
      <c r="Y699" s="583">
        <f>IF(GLOBAL_DER_FEV_2023!W699=0,0,IF(GLOBAL_DER_FEV_2023!W699&gt;0,"c","b"))</f>
        <v>0</v>
      </c>
    </row>
    <row r="700" spans="1:25" x14ac:dyDescent="0.2">
      <c r="A700" s="317">
        <v>561100</v>
      </c>
      <c r="B700" s="971" t="s">
        <v>1751</v>
      </c>
      <c r="C700" s="972" t="s">
        <v>184</v>
      </c>
      <c r="D700" s="973" t="s">
        <v>542</v>
      </c>
      <c r="E700" s="974" t="str">
        <f>GLOBAL_DER_FEV_2023!E700</f>
        <v>taxa RR-1C</v>
      </c>
      <c r="F700" s="975">
        <f>GLOBAL_DER_FEV_2023!F700</f>
        <v>5.0000000000000001E-4</v>
      </c>
      <c r="G700" s="976">
        <f>GLOBAL_DER_FEV_2023!G700</f>
        <v>0</v>
      </c>
      <c r="H700" s="977">
        <f>GLOBAL_DER_FEV_2023!H700</f>
        <v>0.34</v>
      </c>
      <c r="I700" s="977">
        <f>GLOBAL_DER_FEV_2023!I700</f>
        <v>0.34</v>
      </c>
      <c r="J700" s="978">
        <f>GLOBAL_DER_FEV_2023!J700</f>
        <v>0.41</v>
      </c>
      <c r="K700" s="979" t="s">
        <v>12</v>
      </c>
      <c r="L700" s="1152"/>
      <c r="M700" s="1153">
        <f t="shared" si="83"/>
        <v>0</v>
      </c>
      <c r="N700" s="982">
        <f t="shared" si="87"/>
        <v>0</v>
      </c>
      <c r="O700" s="905"/>
      <c r="Q700" s="317" t="str">
        <f t="shared" si="84"/>
        <v/>
      </c>
      <c r="R700" s="317" t="str">
        <f t="shared" si="85"/>
        <v/>
      </c>
      <c r="S700" s="317" t="str">
        <f t="shared" si="86"/>
        <v/>
      </c>
      <c r="T700" s="317" t="str">
        <f>GLOBAL_DER_FEV_2023!S700</f>
        <v/>
      </c>
      <c r="W700" s="582">
        <v>0</v>
      </c>
      <c r="X700" s="580"/>
      <c r="Y700" s="583">
        <f>IF(GLOBAL_DER_FEV_2023!W700=0,0,IF(GLOBAL_DER_FEV_2023!W700&gt;0,"c","b"))</f>
        <v>0</v>
      </c>
    </row>
    <row r="701" spans="1:25" ht="13.5" thickBot="1" x14ac:dyDescent="0.25">
      <c r="A701" s="317">
        <v>589420</v>
      </c>
      <c r="B701" s="983" t="s">
        <v>1606</v>
      </c>
      <c r="C701" s="1033" t="s">
        <v>213</v>
      </c>
      <c r="D701" s="985" t="s">
        <v>704</v>
      </c>
      <c r="E701" s="986">
        <f>GLOBAL_DER_FEV_2023!E701</f>
        <v>353</v>
      </c>
      <c r="F701" s="994">
        <f>GLOBAL_DER_FEV_2023!F701</f>
        <v>1</v>
      </c>
      <c r="G701" s="949">
        <f>GLOBAL_DER_FEV_2023!G701</f>
        <v>337.96999999999997</v>
      </c>
      <c r="H701" s="988">
        <f>GLOBAL_DER_FEV_2023!H701</f>
        <v>3861.37</v>
      </c>
      <c r="I701" s="988">
        <f>GLOBAL_DER_FEV_2023!I701</f>
        <v>4045.2968393437163</v>
      </c>
      <c r="J701" s="989">
        <f>GLOBAL_DER_FEV_2023!J701</f>
        <v>4857.1899999999996</v>
      </c>
      <c r="K701" s="990" t="s">
        <v>14</v>
      </c>
      <c r="L701" s="1154">
        <f>ROUND(L700*$F700,2)</f>
        <v>0</v>
      </c>
      <c r="M701" s="1155">
        <f t="shared" si="83"/>
        <v>0</v>
      </c>
      <c r="N701" s="993">
        <f t="shared" si="87"/>
        <v>0</v>
      </c>
      <c r="O701" s="905"/>
      <c r="Q701" s="317" t="str">
        <f t="shared" si="84"/>
        <v/>
      </c>
      <c r="R701" s="317" t="str">
        <f t="shared" si="85"/>
        <v/>
      </c>
      <c r="S701" s="317" t="str">
        <f t="shared" si="86"/>
        <v/>
      </c>
      <c r="T701" s="317" t="str">
        <f>GLOBAL_DER_FEV_2023!S701</f>
        <v/>
      </c>
      <c r="W701" s="582">
        <v>0</v>
      </c>
      <c r="X701" s="580"/>
      <c r="Y701" s="583">
        <f>IF(GLOBAL_DER_FEV_2023!W701=0,0,IF(GLOBAL_DER_FEV_2023!W701&gt;0,"c","b"))</f>
        <v>0</v>
      </c>
    </row>
    <row r="702" spans="1:25" x14ac:dyDescent="0.2">
      <c r="A702" s="317">
        <v>563100</v>
      </c>
      <c r="B702" s="999" t="s">
        <v>1754</v>
      </c>
      <c r="C702" s="1000" t="s">
        <v>184</v>
      </c>
      <c r="D702" s="973" t="s">
        <v>242</v>
      </c>
      <c r="E702" s="974" t="str">
        <f>GLOBAL_DER_FEV_2023!E702</f>
        <v>taxa RR-2C</v>
      </c>
      <c r="F702" s="975">
        <f>GLOBAL_DER_FEV_2023!F702</f>
        <v>5.0000000000000001E-4</v>
      </c>
      <c r="G702" s="976">
        <f>GLOBAL_DER_FEV_2023!G702</f>
        <v>1.6478E-2</v>
      </c>
      <c r="H702" s="977">
        <f>GLOBAL_DER_FEV_2023!H702</f>
        <v>1.27</v>
      </c>
      <c r="I702" s="977">
        <f>GLOBAL_DER_FEV_2023!I702</f>
        <v>1.286478</v>
      </c>
      <c r="J702" s="978">
        <f>GLOBAL_DER_FEV_2023!J702</f>
        <v>1.54</v>
      </c>
      <c r="K702" s="979" t="s">
        <v>12</v>
      </c>
      <c r="L702" s="1152"/>
      <c r="M702" s="1153">
        <f t="shared" si="83"/>
        <v>0</v>
      </c>
      <c r="N702" s="982">
        <f t="shared" si="87"/>
        <v>0</v>
      </c>
      <c r="O702" s="905"/>
      <c r="Q702" s="317" t="str">
        <f t="shared" si="84"/>
        <v/>
      </c>
      <c r="R702" s="317" t="str">
        <f t="shared" si="85"/>
        <v/>
      </c>
      <c r="S702" s="317" t="str">
        <f t="shared" si="86"/>
        <v/>
      </c>
      <c r="T702" s="317" t="str">
        <f>GLOBAL_DER_FEV_2023!S702</f>
        <v/>
      </c>
      <c r="W702" s="582">
        <v>0</v>
      </c>
      <c r="X702" s="580"/>
      <c r="Y702" s="583">
        <f>IF(GLOBAL_DER_FEV_2023!W702=0,0,IF(GLOBAL_DER_FEV_2023!W702&gt;0,"c","b"))</f>
        <v>0</v>
      </c>
    </row>
    <row r="703" spans="1:25" x14ac:dyDescent="0.2">
      <c r="A703" s="317" t="s">
        <v>147</v>
      </c>
      <c r="B703" s="895" t="s">
        <v>147</v>
      </c>
      <c r="C703" s="896"/>
      <c r="D703" s="957" t="s">
        <v>233</v>
      </c>
      <c r="E703" s="898">
        <f>GLOBAL_DER_FEV_2023!E703</f>
        <v>0.2</v>
      </c>
      <c r="F703" s="908">
        <f>GLOBAL_DER_FEV_2023!F703</f>
        <v>7.0000000000000001E-3</v>
      </c>
      <c r="G703" s="949">
        <f>GLOBAL_DER_FEV_2023!G703</f>
        <v>1.6478E-2</v>
      </c>
      <c r="H703" s="901">
        <f>GLOBAL_DER_FEV_2023!H703</f>
        <v>0</v>
      </c>
      <c r="I703" s="901">
        <f>GLOBAL_DER_FEV_2023!I703</f>
        <v>0</v>
      </c>
      <c r="J703" s="902">
        <f>GLOBAL_DER_FEV_2023!J703</f>
        <v>0</v>
      </c>
      <c r="K703" s="958" t="s">
        <v>507</v>
      </c>
      <c r="L703" s="1003"/>
      <c r="M703" s="1157">
        <f t="shared" si="83"/>
        <v>0</v>
      </c>
      <c r="N703" s="893">
        <f t="shared" si="87"/>
        <v>0</v>
      </c>
      <c r="O703" s="905"/>
      <c r="P703" s="58" t="str">
        <f>IF(N702&gt;0,"xx",IF(N702&gt;0,"xy",""))</f>
        <v/>
      </c>
      <c r="Q703" s="317" t="str">
        <f t="shared" si="84"/>
        <v/>
      </c>
      <c r="R703" s="317" t="str">
        <f t="shared" si="85"/>
        <v/>
      </c>
      <c r="S703" s="317" t="str">
        <f t="shared" si="86"/>
        <v/>
      </c>
      <c r="T703" s="317" t="str">
        <f>GLOBAL_DER_FEV_2023!S703</f>
        <v/>
      </c>
      <c r="W703" s="582">
        <v>0</v>
      </c>
      <c r="X703" s="580"/>
      <c r="Y703" s="583">
        <f>IF(GLOBAL_DER_FEV_2023!W703=0,0,IF(GLOBAL_DER_FEV_2023!W703&gt;0,"c","b"))</f>
        <v>0</v>
      </c>
    </row>
    <row r="704" spans="1:25" ht="13.5" thickBot="1" x14ac:dyDescent="0.25">
      <c r="A704" s="317">
        <v>589520</v>
      </c>
      <c r="B704" s="1004" t="s">
        <v>1676</v>
      </c>
      <c r="C704" s="984" t="s">
        <v>213</v>
      </c>
      <c r="D704" s="1012" t="s">
        <v>564</v>
      </c>
      <c r="E704" s="1005">
        <f>GLOBAL_DER_FEV_2023!E704</f>
        <v>353</v>
      </c>
      <c r="F704" s="1006">
        <f>GLOBAL_DER_FEV_2023!F704</f>
        <v>1</v>
      </c>
      <c r="G704" s="949">
        <f>GLOBAL_DER_FEV_2023!G704</f>
        <v>337.96999999999997</v>
      </c>
      <c r="H704" s="988">
        <f>GLOBAL_DER_FEV_2023!H704</f>
        <v>4164.04</v>
      </c>
      <c r="I704" s="988">
        <f>GLOBAL_DER_FEV_2023!I704</f>
        <v>4335.8923053218959</v>
      </c>
      <c r="J704" s="989">
        <f>GLOBAL_DER_FEV_2023!J704</f>
        <v>5206.1099999999997</v>
      </c>
      <c r="K704" s="990" t="s">
        <v>14</v>
      </c>
      <c r="L704" s="1154">
        <f>ROUND(L702*$F702,2)</f>
        <v>0</v>
      </c>
      <c r="M704" s="1168">
        <f t="shared" si="83"/>
        <v>0</v>
      </c>
      <c r="N704" s="993">
        <f t="shared" si="87"/>
        <v>0</v>
      </c>
      <c r="O704" s="905"/>
      <c r="P704" s="58" t="str">
        <f>IF(N702&gt;0,"xx",IF(N702&gt;0,"xy",""))</f>
        <v/>
      </c>
      <c r="Q704" s="317" t="str">
        <f t="shared" si="84"/>
        <v/>
      </c>
      <c r="R704" s="317" t="str">
        <f t="shared" si="85"/>
        <v/>
      </c>
      <c r="S704" s="317" t="str">
        <f t="shared" si="86"/>
        <v/>
      </c>
      <c r="T704" s="317" t="str">
        <f>GLOBAL_DER_FEV_2023!S704</f>
        <v/>
      </c>
      <c r="W704" s="582">
        <v>0</v>
      </c>
      <c r="X704" s="580"/>
      <c r="Y704" s="583">
        <f>IF(GLOBAL_DER_FEV_2023!W704=0,0,IF(GLOBAL_DER_FEV_2023!W704&gt;0,"c","b"))</f>
        <v>0</v>
      </c>
    </row>
    <row r="705" spans="1:25" x14ac:dyDescent="0.2">
      <c r="A705" s="317">
        <v>534000</v>
      </c>
      <c r="B705" s="999" t="s">
        <v>1755</v>
      </c>
      <c r="C705" s="1000" t="s">
        <v>184</v>
      </c>
      <c r="D705" s="973" t="s">
        <v>2205</v>
      </c>
      <c r="E705" s="974" t="str">
        <f>GLOBAL_DER_FEV_2023!E705</f>
        <v>taxa RM-2C</v>
      </c>
      <c r="F705" s="975">
        <f>GLOBAL_DER_FEV_2023!F705</f>
        <v>0.08</v>
      </c>
      <c r="G705" s="976">
        <f>GLOBAL_DER_FEV_2023!G705</f>
        <v>63.819280000000013</v>
      </c>
      <c r="H705" s="977">
        <f>GLOBAL_DER_FEV_2023!H705</f>
        <v>141.84</v>
      </c>
      <c r="I705" s="977">
        <f>GLOBAL_DER_FEV_2023!I705</f>
        <v>205.65928000000002</v>
      </c>
      <c r="J705" s="978">
        <f>GLOBAL_DER_FEV_2023!J705</f>
        <v>246.94</v>
      </c>
      <c r="K705" s="979" t="s">
        <v>10</v>
      </c>
      <c r="L705" s="1152"/>
      <c r="M705" s="1153">
        <f t="shared" si="83"/>
        <v>0</v>
      </c>
      <c r="N705" s="982">
        <f t="shared" si="87"/>
        <v>0</v>
      </c>
      <c r="O705" s="905"/>
      <c r="Q705" s="317" t="str">
        <f t="shared" si="84"/>
        <v/>
      </c>
      <c r="R705" s="317" t="str">
        <f t="shared" si="85"/>
        <v/>
      </c>
      <c r="S705" s="317" t="str">
        <f t="shared" si="86"/>
        <v/>
      </c>
      <c r="T705" s="317" t="str">
        <f>GLOBAL_DER_FEV_2023!S705</f>
        <v/>
      </c>
      <c r="W705" s="582">
        <v>0</v>
      </c>
      <c r="X705" s="580"/>
      <c r="Y705" s="583">
        <f>IF(GLOBAL_DER_FEV_2023!W705=0,0,IF(GLOBAL_DER_FEV_2023!W705&gt;0,"c","b"))</f>
        <v>0</v>
      </c>
    </row>
    <row r="706" spans="1:25" x14ac:dyDescent="0.2">
      <c r="A706" s="317" t="s">
        <v>147</v>
      </c>
      <c r="B706" s="895" t="s">
        <v>147</v>
      </c>
      <c r="C706" s="896"/>
      <c r="D706" s="957" t="s">
        <v>229</v>
      </c>
      <c r="E706" s="907">
        <f>GLOBAL_DER_FEV_2023!E706</f>
        <v>150</v>
      </c>
      <c r="F706" s="908">
        <f>GLOBAL_DER_FEV_2023!F706</f>
        <v>0</v>
      </c>
      <c r="G706" s="912">
        <f>GLOBAL_DER_FEV_2023!G706</f>
        <v>0</v>
      </c>
      <c r="H706" s="901">
        <f>GLOBAL_DER_FEV_2023!H706</f>
        <v>0</v>
      </c>
      <c r="I706" s="901">
        <f>GLOBAL_DER_FEV_2023!I706</f>
        <v>0</v>
      </c>
      <c r="J706" s="902">
        <f>GLOBAL_DER_FEV_2023!J706</f>
        <v>0</v>
      </c>
      <c r="K706" s="903" t="s">
        <v>507</v>
      </c>
      <c r="L706" s="1158"/>
      <c r="M706" s="1157">
        <f t="shared" si="83"/>
        <v>0</v>
      </c>
      <c r="N706" s="893">
        <f t="shared" si="87"/>
        <v>0</v>
      </c>
      <c r="O706" s="905"/>
      <c r="P706" s="58" t="str">
        <f>IF(N705&gt;0,"xx",IF(N705&gt;0,"xy",""))</f>
        <v/>
      </c>
      <c r="Q706" s="317" t="str">
        <f t="shared" si="84"/>
        <v/>
      </c>
      <c r="R706" s="317" t="str">
        <f t="shared" si="85"/>
        <v/>
      </c>
      <c r="S706" s="317" t="str">
        <f t="shared" si="86"/>
        <v/>
      </c>
      <c r="T706" s="317" t="str">
        <f>GLOBAL_DER_FEV_2023!S706</f>
        <v/>
      </c>
      <c r="W706" s="582">
        <v>0</v>
      </c>
      <c r="X706" s="580"/>
      <c r="Y706" s="583">
        <f>IF(GLOBAL_DER_FEV_2023!W706=0,0,IF(GLOBAL_DER_FEV_2023!W706&gt;0,"c","b"))</f>
        <v>0</v>
      </c>
    </row>
    <row r="707" spans="1:25" x14ac:dyDescent="0.2">
      <c r="A707" s="317" t="s">
        <v>147</v>
      </c>
      <c r="B707" s="895" t="s">
        <v>147</v>
      </c>
      <c r="C707" s="896"/>
      <c r="D707" s="957" t="s">
        <v>230</v>
      </c>
      <c r="E707" s="907">
        <f>GLOBAL_DER_FEV_2023!E707</f>
        <v>353</v>
      </c>
      <c r="F707" s="908">
        <f>GLOBAL_DER_FEV_2023!F707</f>
        <v>0</v>
      </c>
      <c r="G707" s="909">
        <f>GLOBAL_DER_FEV_2023!G707</f>
        <v>0</v>
      </c>
      <c r="H707" s="901">
        <f>GLOBAL_DER_FEV_2023!H707</f>
        <v>0</v>
      </c>
      <c r="I707" s="901">
        <f>GLOBAL_DER_FEV_2023!I707</f>
        <v>0</v>
      </c>
      <c r="J707" s="902">
        <f>GLOBAL_DER_FEV_2023!J707</f>
        <v>0</v>
      </c>
      <c r="K707" s="903" t="s">
        <v>507</v>
      </c>
      <c r="L707" s="1003"/>
      <c r="M707" s="1157">
        <f t="shared" si="83"/>
        <v>0</v>
      </c>
      <c r="N707" s="893">
        <f t="shared" si="87"/>
        <v>0</v>
      </c>
      <c r="O707" s="905"/>
      <c r="P707" s="58" t="str">
        <f>IF(N705&gt;0,"xx",IF(N705&gt;0,"xy",""))</f>
        <v/>
      </c>
      <c r="Q707" s="317" t="str">
        <f t="shared" si="84"/>
        <v/>
      </c>
      <c r="R707" s="317" t="str">
        <f t="shared" si="85"/>
        <v/>
      </c>
      <c r="S707" s="317" t="str">
        <f t="shared" si="86"/>
        <v/>
      </c>
      <c r="T707" s="317" t="str">
        <f>GLOBAL_DER_FEV_2023!S707</f>
        <v/>
      </c>
      <c r="W707" s="582">
        <v>0</v>
      </c>
      <c r="X707" s="580"/>
      <c r="Y707" s="583">
        <f>IF(GLOBAL_DER_FEV_2023!W707=0,0,IF(GLOBAL_DER_FEV_2023!W707&gt;0,"c","b"))</f>
        <v>0</v>
      </c>
    </row>
    <row r="708" spans="1:25" x14ac:dyDescent="0.2">
      <c r="A708" s="317" t="s">
        <v>147</v>
      </c>
      <c r="B708" s="895" t="s">
        <v>147</v>
      </c>
      <c r="C708" s="896"/>
      <c r="D708" s="957" t="s">
        <v>243</v>
      </c>
      <c r="E708" s="907">
        <f>GLOBAL_DER_FEV_2023!E708</f>
        <v>0.2</v>
      </c>
      <c r="F708" s="908">
        <f>GLOBAL_DER_FEV_2023!F708</f>
        <v>2.12</v>
      </c>
      <c r="G708" s="912">
        <f>GLOBAL_DER_FEV_2023!G708</f>
        <v>6.1352800000000007</v>
      </c>
      <c r="H708" s="901">
        <f>GLOBAL_DER_FEV_2023!H708</f>
        <v>0</v>
      </c>
      <c r="I708" s="901">
        <f>GLOBAL_DER_FEV_2023!I708</f>
        <v>0</v>
      </c>
      <c r="J708" s="902">
        <f>GLOBAL_DER_FEV_2023!J708</f>
        <v>0</v>
      </c>
      <c r="K708" s="903" t="s">
        <v>507</v>
      </c>
      <c r="L708" s="1003"/>
      <c r="M708" s="1157">
        <f t="shared" si="83"/>
        <v>0</v>
      </c>
      <c r="N708" s="893">
        <f t="shared" si="87"/>
        <v>0</v>
      </c>
      <c r="O708" s="905"/>
      <c r="P708" s="58" t="str">
        <f>IF(N705&gt;0,"xx",IF(N705&gt;0,"xy",""))</f>
        <v/>
      </c>
      <c r="Q708" s="317" t="str">
        <f t="shared" si="84"/>
        <v/>
      </c>
      <c r="R708" s="317" t="str">
        <f t="shared" si="85"/>
        <v/>
      </c>
      <c r="S708" s="317" t="str">
        <f t="shared" si="86"/>
        <v/>
      </c>
      <c r="T708" s="317" t="str">
        <f>GLOBAL_DER_FEV_2023!S708</f>
        <v/>
      </c>
      <c r="W708" s="582">
        <v>0</v>
      </c>
      <c r="X708" s="580"/>
      <c r="Y708" s="583">
        <f>IF(GLOBAL_DER_FEV_2023!W708=0,0,IF(GLOBAL_DER_FEV_2023!W708&gt;0,"c","b"))</f>
        <v>0</v>
      </c>
    </row>
    <row r="709" spans="1:25" x14ac:dyDescent="0.2">
      <c r="A709" s="317" t="s">
        <v>147</v>
      </c>
      <c r="B709" s="895" t="s">
        <v>147</v>
      </c>
      <c r="C709" s="896"/>
      <c r="D709" s="957" t="s">
        <v>244</v>
      </c>
      <c r="E709" s="907">
        <f>GLOBAL_DER_FEV_2023!E709</f>
        <v>22</v>
      </c>
      <c r="F709" s="908">
        <f>GLOBAL_DER_FEV_2023!F709</f>
        <v>2.2000000000000002</v>
      </c>
      <c r="G709" s="912">
        <f>GLOBAL_DER_FEV_2023!G709</f>
        <v>57.684000000000012</v>
      </c>
      <c r="H709" s="901">
        <f>GLOBAL_DER_FEV_2023!H709</f>
        <v>0</v>
      </c>
      <c r="I709" s="901">
        <f>GLOBAL_DER_FEV_2023!I709</f>
        <v>0</v>
      </c>
      <c r="J709" s="902">
        <f>GLOBAL_DER_FEV_2023!J709</f>
        <v>0</v>
      </c>
      <c r="K709" s="903" t="s">
        <v>507</v>
      </c>
      <c r="L709" s="1003"/>
      <c r="M709" s="1157">
        <f t="shared" si="83"/>
        <v>0</v>
      </c>
      <c r="N709" s="893">
        <f t="shared" si="87"/>
        <v>0</v>
      </c>
      <c r="O709" s="905"/>
      <c r="P709" s="58" t="str">
        <f>IF(N705&gt;0,"xx",IF(N705&gt;0,"xy",""))</f>
        <v/>
      </c>
      <c r="Q709" s="317" t="str">
        <f t="shared" si="84"/>
        <v/>
      </c>
      <c r="R709" s="317" t="str">
        <f t="shared" si="85"/>
        <v/>
      </c>
      <c r="S709" s="317" t="str">
        <f t="shared" si="86"/>
        <v/>
      </c>
      <c r="T709" s="317" t="str">
        <f>GLOBAL_DER_FEV_2023!S709</f>
        <v/>
      </c>
      <c r="W709" s="582">
        <v>0</v>
      </c>
      <c r="X709" s="580"/>
      <c r="Y709" s="583">
        <f>IF(GLOBAL_DER_FEV_2023!W709=0,0,IF(GLOBAL_DER_FEV_2023!W709&gt;0,"c","b"))</f>
        <v>0</v>
      </c>
    </row>
    <row r="710" spans="1:25" ht="13.5" thickBot="1" x14ac:dyDescent="0.25">
      <c r="A710" s="317">
        <v>589320</v>
      </c>
      <c r="B710" s="1004" t="s">
        <v>1689</v>
      </c>
      <c r="C710" s="984" t="s">
        <v>213</v>
      </c>
      <c r="D710" s="1012" t="s">
        <v>699</v>
      </c>
      <c r="E710" s="1005">
        <f>GLOBAL_DER_FEV_2023!E710</f>
        <v>45</v>
      </c>
      <c r="F710" s="1006">
        <f>GLOBAL_DER_FEV_2023!F710</f>
        <v>1</v>
      </c>
      <c r="G710" s="949">
        <f>GLOBAL_DER_FEV_2023!G710</f>
        <v>79.25</v>
      </c>
      <c r="H710" s="988">
        <f>GLOBAL_DER_FEV_2023!H710</f>
        <v>4012.83</v>
      </c>
      <c r="I710" s="988">
        <f>GLOBAL_DER_FEV_2023!I710</f>
        <v>3931.9945856583668</v>
      </c>
      <c r="J710" s="989">
        <f>GLOBAL_DER_FEV_2023!J710</f>
        <v>4721.1499999999996</v>
      </c>
      <c r="K710" s="990" t="s">
        <v>14</v>
      </c>
      <c r="L710" s="1169">
        <f>ROUND(L705*$F705,2)</f>
        <v>0</v>
      </c>
      <c r="M710" s="1168">
        <f t="shared" si="83"/>
        <v>0</v>
      </c>
      <c r="N710" s="993">
        <f t="shared" si="87"/>
        <v>0</v>
      </c>
      <c r="O710" s="905"/>
      <c r="P710" s="58" t="str">
        <f>IF(N705&gt;0,"xx",IF(N705&gt;0,"xy",""))</f>
        <v/>
      </c>
      <c r="Q710" s="317" t="str">
        <f t="shared" si="84"/>
        <v/>
      </c>
      <c r="R710" s="317" t="str">
        <f t="shared" si="85"/>
        <v/>
      </c>
      <c r="S710" s="317" t="str">
        <f t="shared" si="86"/>
        <v/>
      </c>
      <c r="T710" s="317" t="str">
        <f>GLOBAL_DER_FEV_2023!S710</f>
        <v/>
      </c>
      <c r="W710" s="582">
        <v>0</v>
      </c>
      <c r="X710" s="580"/>
      <c r="Y710" s="583">
        <f>IF(GLOBAL_DER_FEV_2023!W710=0,0,IF(GLOBAL_DER_FEV_2023!W710&gt;0,"c","b"))</f>
        <v>0</v>
      </c>
    </row>
    <row r="711" spans="1:25" x14ac:dyDescent="0.2">
      <c r="A711" s="317">
        <v>534000</v>
      </c>
      <c r="B711" s="999" t="s">
        <v>1756</v>
      </c>
      <c r="C711" s="1000" t="s">
        <v>184</v>
      </c>
      <c r="D711" s="973" t="s">
        <v>2206</v>
      </c>
      <c r="E711" s="974" t="str">
        <f>GLOBAL_DER_FEV_2023!E711</f>
        <v>taxa RM-2C</v>
      </c>
      <c r="F711" s="975">
        <f>GLOBAL_DER_FEV_2023!F711</f>
        <v>0.08</v>
      </c>
      <c r="G711" s="976">
        <f>GLOBAL_DER_FEV_2023!G711</f>
        <v>63.819280000000013</v>
      </c>
      <c r="H711" s="977">
        <f>GLOBAL_DER_FEV_2023!H711</f>
        <v>141.84</v>
      </c>
      <c r="I711" s="977">
        <f>GLOBAL_DER_FEV_2023!I711</f>
        <v>205.65928000000002</v>
      </c>
      <c r="J711" s="978">
        <f>GLOBAL_DER_FEV_2023!J711</f>
        <v>246.94</v>
      </c>
      <c r="K711" s="979" t="s">
        <v>10</v>
      </c>
      <c r="L711" s="1152"/>
      <c r="M711" s="1153">
        <f t="shared" si="83"/>
        <v>0</v>
      </c>
      <c r="N711" s="982">
        <f t="shared" si="87"/>
        <v>0</v>
      </c>
      <c r="O711" s="905"/>
      <c r="Q711" s="317" t="str">
        <f t="shared" si="84"/>
        <v/>
      </c>
      <c r="R711" s="317" t="str">
        <f t="shared" si="85"/>
        <v/>
      </c>
      <c r="S711" s="317" t="str">
        <f t="shared" si="86"/>
        <v/>
      </c>
      <c r="T711" s="317" t="str">
        <f>GLOBAL_DER_FEV_2023!S711</f>
        <v/>
      </c>
      <c r="W711" s="582">
        <v>0</v>
      </c>
      <c r="X711" s="580"/>
      <c r="Y711" s="583">
        <f>IF(GLOBAL_DER_FEV_2023!W711=0,0,IF(GLOBAL_DER_FEV_2023!W711&gt;0,"c","b"))</f>
        <v>0</v>
      </c>
    </row>
    <row r="712" spans="1:25" x14ac:dyDescent="0.2">
      <c r="A712" s="317" t="s">
        <v>147</v>
      </c>
      <c r="B712" s="895" t="s">
        <v>147</v>
      </c>
      <c r="C712" s="896"/>
      <c r="D712" s="957" t="s">
        <v>229</v>
      </c>
      <c r="E712" s="907">
        <f>GLOBAL_DER_FEV_2023!E712</f>
        <v>150</v>
      </c>
      <c r="F712" s="908">
        <f>GLOBAL_DER_FEV_2023!F712</f>
        <v>0</v>
      </c>
      <c r="G712" s="912">
        <f>GLOBAL_DER_FEV_2023!G712</f>
        <v>0</v>
      </c>
      <c r="H712" s="901">
        <f>GLOBAL_DER_FEV_2023!H712</f>
        <v>0</v>
      </c>
      <c r="I712" s="901">
        <f>GLOBAL_DER_FEV_2023!I712</f>
        <v>0</v>
      </c>
      <c r="J712" s="902">
        <f>GLOBAL_DER_FEV_2023!J712</f>
        <v>0</v>
      </c>
      <c r="K712" s="903" t="s">
        <v>507</v>
      </c>
      <c r="L712" s="1003"/>
      <c r="M712" s="1157">
        <f t="shared" si="83"/>
        <v>0</v>
      </c>
      <c r="N712" s="893">
        <f t="shared" si="87"/>
        <v>0</v>
      </c>
      <c r="O712" s="905"/>
      <c r="P712" s="58" t="str">
        <f>IF(N711&gt;0,"xx",IF(N711&gt;0,"xy",""))</f>
        <v/>
      </c>
      <c r="Q712" s="317" t="str">
        <f t="shared" si="84"/>
        <v/>
      </c>
      <c r="R712" s="317" t="str">
        <f t="shared" si="85"/>
        <v/>
      </c>
      <c r="S712" s="317" t="str">
        <f t="shared" si="86"/>
        <v/>
      </c>
      <c r="T712" s="317" t="str">
        <f>GLOBAL_DER_FEV_2023!S712</f>
        <v/>
      </c>
      <c r="W712" s="582">
        <v>0</v>
      </c>
      <c r="X712" s="580"/>
      <c r="Y712" s="583">
        <f>IF(GLOBAL_DER_FEV_2023!W712=0,0,IF(GLOBAL_DER_FEV_2023!W712&gt;0,"c","b"))</f>
        <v>0</v>
      </c>
    </row>
    <row r="713" spans="1:25" x14ac:dyDescent="0.2">
      <c r="A713" s="317" t="s">
        <v>147</v>
      </c>
      <c r="B713" s="895" t="s">
        <v>147</v>
      </c>
      <c r="C713" s="896"/>
      <c r="D713" s="957" t="s">
        <v>230</v>
      </c>
      <c r="E713" s="907">
        <f>GLOBAL_DER_FEV_2023!E713</f>
        <v>353</v>
      </c>
      <c r="F713" s="908">
        <f>GLOBAL_DER_FEV_2023!F713</f>
        <v>0</v>
      </c>
      <c r="G713" s="909">
        <f>GLOBAL_DER_FEV_2023!G713</f>
        <v>0</v>
      </c>
      <c r="H713" s="901">
        <f>GLOBAL_DER_FEV_2023!H713</f>
        <v>0</v>
      </c>
      <c r="I713" s="901">
        <f>GLOBAL_DER_FEV_2023!I713</f>
        <v>0</v>
      </c>
      <c r="J713" s="902">
        <f>GLOBAL_DER_FEV_2023!J713</f>
        <v>0</v>
      </c>
      <c r="K713" s="903" t="s">
        <v>507</v>
      </c>
      <c r="L713" s="1003"/>
      <c r="M713" s="1157">
        <f t="shared" si="83"/>
        <v>0</v>
      </c>
      <c r="N713" s="893">
        <f t="shared" si="87"/>
        <v>0</v>
      </c>
      <c r="O713" s="905"/>
      <c r="P713" s="58" t="str">
        <f>IF(N711&gt;0,"xx",IF(N711&gt;0,"xy",""))</f>
        <v/>
      </c>
      <c r="Q713" s="317" t="str">
        <f t="shared" si="84"/>
        <v/>
      </c>
      <c r="R713" s="317" t="str">
        <f t="shared" si="85"/>
        <v/>
      </c>
      <c r="S713" s="317" t="str">
        <f t="shared" si="86"/>
        <v/>
      </c>
      <c r="T713" s="317" t="str">
        <f>GLOBAL_DER_FEV_2023!S713</f>
        <v/>
      </c>
      <c r="W713" s="582">
        <v>0</v>
      </c>
      <c r="X713" s="580"/>
      <c r="Y713" s="583">
        <f>IF(GLOBAL_DER_FEV_2023!W713=0,0,IF(GLOBAL_DER_FEV_2023!W713&gt;0,"c","b"))</f>
        <v>0</v>
      </c>
    </row>
    <row r="714" spans="1:25" x14ac:dyDescent="0.2">
      <c r="A714" s="317" t="s">
        <v>147</v>
      </c>
      <c r="B714" s="895" t="s">
        <v>147</v>
      </c>
      <c r="C714" s="896"/>
      <c r="D714" s="957" t="s">
        <v>243</v>
      </c>
      <c r="E714" s="907">
        <f>GLOBAL_DER_FEV_2023!E714</f>
        <v>0.2</v>
      </c>
      <c r="F714" s="908">
        <f>GLOBAL_DER_FEV_2023!F714</f>
        <v>2.12</v>
      </c>
      <c r="G714" s="912">
        <f>GLOBAL_DER_FEV_2023!G714</f>
        <v>6.1352800000000007</v>
      </c>
      <c r="H714" s="901">
        <f>GLOBAL_DER_FEV_2023!H714</f>
        <v>0</v>
      </c>
      <c r="I714" s="901">
        <f>GLOBAL_DER_FEV_2023!I714</f>
        <v>0</v>
      </c>
      <c r="J714" s="902">
        <f>GLOBAL_DER_FEV_2023!J714</f>
        <v>0</v>
      </c>
      <c r="K714" s="903" t="s">
        <v>507</v>
      </c>
      <c r="L714" s="1003"/>
      <c r="M714" s="1157">
        <f t="shared" si="83"/>
        <v>0</v>
      </c>
      <c r="N714" s="893">
        <f t="shared" si="87"/>
        <v>0</v>
      </c>
      <c r="O714" s="905"/>
      <c r="P714" s="58" t="str">
        <f>IF(N711&gt;0,"xx",IF(N711&gt;0,"xy",""))</f>
        <v/>
      </c>
      <c r="Q714" s="317" t="str">
        <f t="shared" si="84"/>
        <v/>
      </c>
      <c r="R714" s="317" t="str">
        <f t="shared" si="85"/>
        <v/>
      </c>
      <c r="S714" s="317" t="str">
        <f t="shared" si="86"/>
        <v/>
      </c>
      <c r="T714" s="317" t="str">
        <f>GLOBAL_DER_FEV_2023!S714</f>
        <v/>
      </c>
      <c r="W714" s="582">
        <v>0</v>
      </c>
      <c r="X714" s="580"/>
      <c r="Y714" s="583">
        <f>IF(GLOBAL_DER_FEV_2023!W714=0,0,IF(GLOBAL_DER_FEV_2023!W714&gt;0,"c","b"))</f>
        <v>0</v>
      </c>
    </row>
    <row r="715" spans="1:25" x14ac:dyDescent="0.2">
      <c r="A715" s="317" t="s">
        <v>147</v>
      </c>
      <c r="B715" s="895" t="s">
        <v>147</v>
      </c>
      <c r="C715" s="896"/>
      <c r="D715" s="957" t="s">
        <v>244</v>
      </c>
      <c r="E715" s="907">
        <f>GLOBAL_DER_FEV_2023!E715</f>
        <v>22</v>
      </c>
      <c r="F715" s="908">
        <f>GLOBAL_DER_FEV_2023!F715</f>
        <v>2.2000000000000002</v>
      </c>
      <c r="G715" s="912">
        <f>GLOBAL_DER_FEV_2023!G715</f>
        <v>57.684000000000012</v>
      </c>
      <c r="H715" s="901">
        <f>GLOBAL_DER_FEV_2023!H715</f>
        <v>0</v>
      </c>
      <c r="I715" s="901">
        <f>GLOBAL_DER_FEV_2023!I715</f>
        <v>0</v>
      </c>
      <c r="J715" s="902">
        <f>GLOBAL_DER_FEV_2023!J715</f>
        <v>0</v>
      </c>
      <c r="K715" s="903" t="s">
        <v>507</v>
      </c>
      <c r="L715" s="1003"/>
      <c r="M715" s="1157">
        <f t="shared" si="83"/>
        <v>0</v>
      </c>
      <c r="N715" s="893">
        <f t="shared" si="87"/>
        <v>0</v>
      </c>
      <c r="O715" s="905"/>
      <c r="P715" s="58" t="str">
        <f>IF(N711&gt;0,"xx",IF(N711&gt;0,"xy",""))</f>
        <v/>
      </c>
      <c r="Q715" s="317" t="str">
        <f t="shared" si="84"/>
        <v/>
      </c>
      <c r="R715" s="317" t="str">
        <f t="shared" si="85"/>
        <v/>
      </c>
      <c r="S715" s="317" t="str">
        <f t="shared" si="86"/>
        <v/>
      </c>
      <c r="T715" s="317" t="str">
        <f>GLOBAL_DER_FEV_2023!S715</f>
        <v/>
      </c>
      <c r="W715" s="582">
        <v>0</v>
      </c>
      <c r="X715" s="580"/>
      <c r="Y715" s="583">
        <f>IF(GLOBAL_DER_FEV_2023!W715=0,0,IF(GLOBAL_DER_FEV_2023!W715&gt;0,"c","b"))</f>
        <v>0</v>
      </c>
    </row>
    <row r="716" spans="1:25" ht="13.5" thickBot="1" x14ac:dyDescent="0.25">
      <c r="A716" s="317">
        <v>589320</v>
      </c>
      <c r="B716" s="1004" t="s">
        <v>1690</v>
      </c>
      <c r="C716" s="984" t="s">
        <v>213</v>
      </c>
      <c r="D716" s="1012" t="s">
        <v>699</v>
      </c>
      <c r="E716" s="1005">
        <f>GLOBAL_DER_FEV_2023!E716</f>
        <v>45</v>
      </c>
      <c r="F716" s="1006">
        <f>GLOBAL_DER_FEV_2023!F716</f>
        <v>1</v>
      </c>
      <c r="G716" s="949">
        <f>GLOBAL_DER_FEV_2023!G716</f>
        <v>79.25</v>
      </c>
      <c r="H716" s="988">
        <f>GLOBAL_DER_FEV_2023!H716</f>
        <v>4012.83</v>
      </c>
      <c r="I716" s="988">
        <f>GLOBAL_DER_FEV_2023!I716</f>
        <v>3931.9945856583668</v>
      </c>
      <c r="J716" s="989">
        <f>GLOBAL_DER_FEV_2023!J716</f>
        <v>4721.1499999999996</v>
      </c>
      <c r="K716" s="990" t="s">
        <v>14</v>
      </c>
      <c r="L716" s="1169">
        <f>ROUND(L711*$F711,2)</f>
        <v>0</v>
      </c>
      <c r="M716" s="1168">
        <f t="shared" si="83"/>
        <v>0</v>
      </c>
      <c r="N716" s="993">
        <f t="shared" si="87"/>
        <v>0</v>
      </c>
      <c r="O716" s="905"/>
      <c r="P716" s="58" t="str">
        <f>IF(N711&gt;0,"xx",IF(N711&gt;0,"xy",""))</f>
        <v/>
      </c>
      <c r="Q716" s="317" t="str">
        <f t="shared" si="84"/>
        <v/>
      </c>
      <c r="R716" s="317" t="str">
        <f t="shared" si="85"/>
        <v/>
      </c>
      <c r="S716" s="317" t="str">
        <f t="shared" si="86"/>
        <v/>
      </c>
      <c r="T716" s="317" t="str">
        <f>GLOBAL_DER_FEV_2023!S716</f>
        <v/>
      </c>
      <c r="W716" s="582">
        <v>0</v>
      </c>
      <c r="X716" s="580"/>
      <c r="Y716" s="583">
        <f>IF(GLOBAL_DER_FEV_2023!W716=0,0,IF(GLOBAL_DER_FEV_2023!W716&gt;0,"c","b"))</f>
        <v>0</v>
      </c>
    </row>
    <row r="717" spans="1:25" x14ac:dyDescent="0.2">
      <c r="A717" s="317">
        <v>534000</v>
      </c>
      <c r="B717" s="999" t="s">
        <v>1757</v>
      </c>
      <c r="C717" s="1000" t="s">
        <v>184</v>
      </c>
      <c r="D717" s="973" t="s">
        <v>2207</v>
      </c>
      <c r="E717" s="974" t="str">
        <f>GLOBAL_DER_FEV_2023!E717</f>
        <v>taxa RM-2C</v>
      </c>
      <c r="F717" s="975">
        <f>GLOBAL_DER_FEV_2023!F717</f>
        <v>0.08</v>
      </c>
      <c r="G717" s="976">
        <f>GLOBAL_DER_FEV_2023!G717</f>
        <v>63.819280000000013</v>
      </c>
      <c r="H717" s="977">
        <f>GLOBAL_DER_FEV_2023!H717</f>
        <v>141.84</v>
      </c>
      <c r="I717" s="977">
        <f>GLOBAL_DER_FEV_2023!I717</f>
        <v>205.65928000000002</v>
      </c>
      <c r="J717" s="978">
        <f>GLOBAL_DER_FEV_2023!J717</f>
        <v>246.94</v>
      </c>
      <c r="K717" s="979" t="s">
        <v>10</v>
      </c>
      <c r="L717" s="1152"/>
      <c r="M717" s="1153">
        <f t="shared" ref="M717:M792" si="88">IF(L717=0,0,ROUND(J717,2))</f>
        <v>0</v>
      </c>
      <c r="N717" s="982">
        <f t="shared" si="87"/>
        <v>0</v>
      </c>
      <c r="O717" s="905"/>
      <c r="Q717" s="317" t="str">
        <f t="shared" si="84"/>
        <v/>
      </c>
      <c r="R717" s="317" t="str">
        <f t="shared" si="85"/>
        <v/>
      </c>
      <c r="S717" s="317" t="str">
        <f t="shared" si="86"/>
        <v/>
      </c>
      <c r="T717" s="317" t="str">
        <f>GLOBAL_DER_FEV_2023!S717</f>
        <v/>
      </c>
      <c r="W717" s="582">
        <v>0</v>
      </c>
      <c r="X717" s="580"/>
      <c r="Y717" s="583">
        <f>IF(GLOBAL_DER_FEV_2023!W717=0,0,IF(GLOBAL_DER_FEV_2023!W717&gt;0,"c","b"))</f>
        <v>0</v>
      </c>
    </row>
    <row r="718" spans="1:25" x14ac:dyDescent="0.2">
      <c r="A718" s="317" t="s">
        <v>147</v>
      </c>
      <c r="B718" s="895" t="s">
        <v>147</v>
      </c>
      <c r="C718" s="896"/>
      <c r="D718" s="957" t="s">
        <v>229</v>
      </c>
      <c r="E718" s="907">
        <f>GLOBAL_DER_FEV_2023!E718</f>
        <v>150</v>
      </c>
      <c r="F718" s="908">
        <f>GLOBAL_DER_FEV_2023!F718</f>
        <v>0</v>
      </c>
      <c r="G718" s="912">
        <f>GLOBAL_DER_FEV_2023!G718</f>
        <v>0</v>
      </c>
      <c r="H718" s="901">
        <f>GLOBAL_DER_FEV_2023!H718</f>
        <v>0</v>
      </c>
      <c r="I718" s="901">
        <f>GLOBAL_DER_FEV_2023!I718</f>
        <v>0</v>
      </c>
      <c r="J718" s="902">
        <f>GLOBAL_DER_FEV_2023!J718</f>
        <v>0</v>
      </c>
      <c r="K718" s="903" t="s">
        <v>507</v>
      </c>
      <c r="L718" s="1003"/>
      <c r="M718" s="1157">
        <f t="shared" si="88"/>
        <v>0</v>
      </c>
      <c r="N718" s="893">
        <f t="shared" si="87"/>
        <v>0</v>
      </c>
      <c r="O718" s="905"/>
      <c r="P718" s="58" t="str">
        <f>IF(N717&gt;0,"xx",IF(N717&gt;0,"xy",""))</f>
        <v/>
      </c>
      <c r="Q718" s="317" t="str">
        <f t="shared" si="84"/>
        <v/>
      </c>
      <c r="R718" s="317" t="str">
        <f t="shared" si="85"/>
        <v/>
      </c>
      <c r="S718" s="317" t="str">
        <f t="shared" si="86"/>
        <v/>
      </c>
      <c r="T718" s="317" t="str">
        <f>GLOBAL_DER_FEV_2023!S718</f>
        <v/>
      </c>
      <c r="W718" s="582">
        <v>0</v>
      </c>
      <c r="X718" s="580"/>
      <c r="Y718" s="583">
        <f>IF(GLOBAL_DER_FEV_2023!W718=0,0,IF(GLOBAL_DER_FEV_2023!W718&gt;0,"c","b"))</f>
        <v>0</v>
      </c>
    </row>
    <row r="719" spans="1:25" x14ac:dyDescent="0.2">
      <c r="A719" s="317" t="s">
        <v>147</v>
      </c>
      <c r="B719" s="895" t="s">
        <v>147</v>
      </c>
      <c r="C719" s="896"/>
      <c r="D719" s="957" t="s">
        <v>230</v>
      </c>
      <c r="E719" s="907">
        <f>GLOBAL_DER_FEV_2023!E719</f>
        <v>353</v>
      </c>
      <c r="F719" s="908">
        <f>GLOBAL_DER_FEV_2023!F719</f>
        <v>0</v>
      </c>
      <c r="G719" s="909">
        <f>GLOBAL_DER_FEV_2023!G719</f>
        <v>0</v>
      </c>
      <c r="H719" s="901">
        <f>GLOBAL_DER_FEV_2023!H719</f>
        <v>0</v>
      </c>
      <c r="I719" s="901">
        <f>GLOBAL_DER_FEV_2023!I719</f>
        <v>0</v>
      </c>
      <c r="J719" s="902">
        <f>GLOBAL_DER_FEV_2023!J719</f>
        <v>0</v>
      </c>
      <c r="K719" s="903" t="s">
        <v>507</v>
      </c>
      <c r="L719" s="1003"/>
      <c r="M719" s="1157">
        <f t="shared" si="88"/>
        <v>0</v>
      </c>
      <c r="N719" s="893">
        <f t="shared" si="87"/>
        <v>0</v>
      </c>
      <c r="O719" s="905"/>
      <c r="P719" s="58" t="str">
        <f>IF(N717&gt;0,"xx",IF(N717&gt;0,"xy",""))</f>
        <v/>
      </c>
      <c r="Q719" s="317" t="str">
        <f t="shared" ref="Q719:Q794" si="89">IF(P719="X","x",IF(P719="xx","x",IF(P719="xy","x",IF(P719="y","x",IF(OR(N719&gt;0,N719&gt;0),"x","")))))</f>
        <v/>
      </c>
      <c r="R719" s="317" t="str">
        <f t="shared" si="85"/>
        <v/>
      </c>
      <c r="S719" s="317" t="str">
        <f t="shared" si="86"/>
        <v/>
      </c>
      <c r="T719" s="317" t="str">
        <f>GLOBAL_DER_FEV_2023!S719</f>
        <v/>
      </c>
      <c r="W719" s="582">
        <v>0</v>
      </c>
      <c r="X719" s="580"/>
      <c r="Y719" s="583">
        <f>IF(GLOBAL_DER_FEV_2023!W719=0,0,IF(GLOBAL_DER_FEV_2023!W719&gt;0,"c","b"))</f>
        <v>0</v>
      </c>
    </row>
    <row r="720" spans="1:25" x14ac:dyDescent="0.2">
      <c r="A720" s="317" t="s">
        <v>147</v>
      </c>
      <c r="B720" s="895" t="s">
        <v>147</v>
      </c>
      <c r="C720" s="896"/>
      <c r="D720" s="957" t="s">
        <v>243</v>
      </c>
      <c r="E720" s="907">
        <f>GLOBAL_DER_FEV_2023!E720</f>
        <v>0.2</v>
      </c>
      <c r="F720" s="908">
        <f>GLOBAL_DER_FEV_2023!F720</f>
        <v>2.12</v>
      </c>
      <c r="G720" s="912">
        <f>GLOBAL_DER_FEV_2023!G720</f>
        <v>6.1352800000000007</v>
      </c>
      <c r="H720" s="901">
        <f>GLOBAL_DER_FEV_2023!H720</f>
        <v>0</v>
      </c>
      <c r="I720" s="901">
        <f>GLOBAL_DER_FEV_2023!I720</f>
        <v>0</v>
      </c>
      <c r="J720" s="902">
        <f>GLOBAL_DER_FEV_2023!J720</f>
        <v>0</v>
      </c>
      <c r="K720" s="903" t="s">
        <v>507</v>
      </c>
      <c r="L720" s="1003"/>
      <c r="M720" s="1157">
        <f t="shared" si="88"/>
        <v>0</v>
      </c>
      <c r="N720" s="893">
        <f t="shared" si="87"/>
        <v>0</v>
      </c>
      <c r="O720" s="905"/>
      <c r="P720" s="58" t="str">
        <f>IF(N717&gt;0,"xx",IF(N717&gt;0,"xy",""))</f>
        <v/>
      </c>
      <c r="Q720" s="317" t="str">
        <f t="shared" si="89"/>
        <v/>
      </c>
      <c r="R720" s="317" t="str">
        <f t="shared" si="85"/>
        <v/>
      </c>
      <c r="S720" s="317" t="str">
        <f t="shared" si="86"/>
        <v/>
      </c>
      <c r="T720" s="317" t="str">
        <f>GLOBAL_DER_FEV_2023!S720</f>
        <v/>
      </c>
      <c r="W720" s="582">
        <v>0</v>
      </c>
      <c r="X720" s="580"/>
      <c r="Y720" s="583">
        <f>IF(GLOBAL_DER_FEV_2023!W720=0,0,IF(GLOBAL_DER_FEV_2023!W720&gt;0,"c","b"))</f>
        <v>0</v>
      </c>
    </row>
    <row r="721" spans="1:25" x14ac:dyDescent="0.2">
      <c r="A721" s="317" t="s">
        <v>147</v>
      </c>
      <c r="B721" s="895" t="s">
        <v>147</v>
      </c>
      <c r="C721" s="896"/>
      <c r="D721" s="957" t="s">
        <v>244</v>
      </c>
      <c r="E721" s="907">
        <f>GLOBAL_DER_FEV_2023!E721</f>
        <v>22</v>
      </c>
      <c r="F721" s="908">
        <f>GLOBAL_DER_FEV_2023!F721</f>
        <v>2.2000000000000002</v>
      </c>
      <c r="G721" s="912">
        <f>GLOBAL_DER_FEV_2023!G721</f>
        <v>57.684000000000012</v>
      </c>
      <c r="H721" s="901">
        <f>GLOBAL_DER_FEV_2023!H721</f>
        <v>0</v>
      </c>
      <c r="I721" s="901">
        <f>GLOBAL_DER_FEV_2023!I721</f>
        <v>0</v>
      </c>
      <c r="J721" s="902">
        <f>GLOBAL_DER_FEV_2023!J721</f>
        <v>0</v>
      </c>
      <c r="K721" s="903" t="s">
        <v>507</v>
      </c>
      <c r="L721" s="1003"/>
      <c r="M721" s="1157">
        <f t="shared" si="88"/>
        <v>0</v>
      </c>
      <c r="N721" s="893">
        <f t="shared" si="87"/>
        <v>0</v>
      </c>
      <c r="O721" s="905"/>
      <c r="P721" s="58" t="str">
        <f>IF(N717&gt;0,"xx",IF(N717&gt;0,"xy",""))</f>
        <v/>
      </c>
      <c r="Q721" s="317" t="str">
        <f t="shared" si="89"/>
        <v/>
      </c>
      <c r="R721" s="317" t="str">
        <f t="shared" ref="R721:R796" si="90">IF(P721="X","x",IF(P721="y","x",IF(P721="xx","x",IF(N721&gt;0,"x",""))))</f>
        <v/>
      </c>
      <c r="S721" s="317" t="str">
        <f t="shared" ref="S721:S796" si="91">IF(P721="X","x",IF(N721&gt;0,"x",""))</f>
        <v/>
      </c>
      <c r="T721" s="317" t="str">
        <f>GLOBAL_DER_FEV_2023!S721</f>
        <v/>
      </c>
      <c r="W721" s="582">
        <v>0</v>
      </c>
      <c r="X721" s="580"/>
      <c r="Y721" s="583">
        <f>IF(GLOBAL_DER_FEV_2023!W721=0,0,IF(GLOBAL_DER_FEV_2023!W721&gt;0,"c","b"))</f>
        <v>0</v>
      </c>
    </row>
    <row r="722" spans="1:25" ht="13.5" thickBot="1" x14ac:dyDescent="0.25">
      <c r="A722" s="317">
        <v>589320</v>
      </c>
      <c r="B722" s="1004" t="s">
        <v>1691</v>
      </c>
      <c r="C722" s="984" t="s">
        <v>213</v>
      </c>
      <c r="D722" s="1012" t="s">
        <v>699</v>
      </c>
      <c r="E722" s="1005">
        <f>GLOBAL_DER_FEV_2023!E722</f>
        <v>45</v>
      </c>
      <c r="F722" s="1006">
        <f>GLOBAL_DER_FEV_2023!F722</f>
        <v>1</v>
      </c>
      <c r="G722" s="949">
        <f>GLOBAL_DER_FEV_2023!G722</f>
        <v>79.25</v>
      </c>
      <c r="H722" s="988">
        <f>GLOBAL_DER_FEV_2023!H722</f>
        <v>4012.83</v>
      </c>
      <c r="I722" s="988">
        <f>GLOBAL_DER_FEV_2023!I722</f>
        <v>3931.9945856583668</v>
      </c>
      <c r="J722" s="989">
        <f>GLOBAL_DER_FEV_2023!J722</f>
        <v>4721.1499999999996</v>
      </c>
      <c r="K722" s="990" t="s">
        <v>14</v>
      </c>
      <c r="L722" s="1169">
        <f>ROUND(L717*$F717,2)</f>
        <v>0</v>
      </c>
      <c r="M722" s="1168">
        <f t="shared" si="88"/>
        <v>0</v>
      </c>
      <c r="N722" s="993">
        <f t="shared" si="87"/>
        <v>0</v>
      </c>
      <c r="O722" s="905"/>
      <c r="P722" s="58" t="str">
        <f>IF(N717&gt;0,"xx",IF(N717&gt;0,"xy",""))</f>
        <v/>
      </c>
      <c r="Q722" s="317" t="str">
        <f t="shared" si="89"/>
        <v/>
      </c>
      <c r="R722" s="317" t="str">
        <f t="shared" si="90"/>
        <v/>
      </c>
      <c r="S722" s="317" t="str">
        <f t="shared" si="91"/>
        <v/>
      </c>
      <c r="T722" s="317" t="str">
        <f>GLOBAL_DER_FEV_2023!S722</f>
        <v/>
      </c>
      <c r="W722" s="582">
        <v>0</v>
      </c>
      <c r="X722" s="580"/>
      <c r="Y722" s="583">
        <f>IF(GLOBAL_DER_FEV_2023!W722=0,0,IF(GLOBAL_DER_FEV_2023!W722&gt;0,"c","b"))</f>
        <v>0</v>
      </c>
    </row>
    <row r="723" spans="1:25" x14ac:dyDescent="0.2">
      <c r="A723" s="317">
        <v>534300</v>
      </c>
      <c r="B723" s="999" t="s">
        <v>1683</v>
      </c>
      <c r="C723" s="1000" t="s">
        <v>184</v>
      </c>
      <c r="D723" s="973" t="s">
        <v>2209</v>
      </c>
      <c r="E723" s="974" t="str">
        <f>GLOBAL_DER_FEV_2023!E723</f>
        <v>taxa RM-2C</v>
      </c>
      <c r="F723" s="975">
        <f>GLOBAL_DER_FEV_2023!F723</f>
        <v>0.11</v>
      </c>
      <c r="G723" s="976">
        <f>GLOBAL_DER_FEV_2023!G723</f>
        <v>63.732459999999996</v>
      </c>
      <c r="H723" s="977">
        <f>GLOBAL_DER_FEV_2023!H723</f>
        <v>140.30000000000001</v>
      </c>
      <c r="I723" s="977">
        <f>GLOBAL_DER_FEV_2023!I723</f>
        <v>204.03246000000001</v>
      </c>
      <c r="J723" s="978">
        <f>GLOBAL_DER_FEV_2023!J723</f>
        <v>244.98</v>
      </c>
      <c r="K723" s="979" t="s">
        <v>10</v>
      </c>
      <c r="L723" s="1152"/>
      <c r="M723" s="1153">
        <f t="shared" si="88"/>
        <v>0</v>
      </c>
      <c r="N723" s="982">
        <f t="shared" si="87"/>
        <v>0</v>
      </c>
      <c r="O723" s="905"/>
      <c r="Q723" s="317" t="str">
        <f t="shared" si="89"/>
        <v/>
      </c>
      <c r="R723" s="317" t="str">
        <f t="shared" si="90"/>
        <v/>
      </c>
      <c r="S723" s="317" t="str">
        <f t="shared" si="91"/>
        <v/>
      </c>
      <c r="T723" s="317" t="str">
        <f>GLOBAL_DER_FEV_2023!S723</f>
        <v/>
      </c>
      <c r="W723" s="582">
        <v>0</v>
      </c>
      <c r="X723" s="580"/>
      <c r="Y723" s="583">
        <f>IF(GLOBAL_DER_FEV_2023!W723=0,0,IF(GLOBAL_DER_FEV_2023!W723&gt;0,"c","b"))</f>
        <v>0</v>
      </c>
    </row>
    <row r="724" spans="1:25" x14ac:dyDescent="0.2">
      <c r="A724" s="317" t="s">
        <v>147</v>
      </c>
      <c r="B724" s="895" t="s">
        <v>147</v>
      </c>
      <c r="C724" s="896"/>
      <c r="D724" s="957" t="s">
        <v>229</v>
      </c>
      <c r="E724" s="907">
        <f>GLOBAL_DER_FEV_2023!E724</f>
        <v>150</v>
      </c>
      <c r="F724" s="908">
        <f>GLOBAL_DER_FEV_2023!F724</f>
        <v>0</v>
      </c>
      <c r="G724" s="912">
        <f>GLOBAL_DER_FEV_2023!G724</f>
        <v>0</v>
      </c>
      <c r="H724" s="901">
        <f>GLOBAL_DER_FEV_2023!H724</f>
        <v>0</v>
      </c>
      <c r="I724" s="901">
        <f>GLOBAL_DER_FEV_2023!I724</f>
        <v>0</v>
      </c>
      <c r="J724" s="902">
        <f>GLOBAL_DER_FEV_2023!J724</f>
        <v>0</v>
      </c>
      <c r="K724" s="903" t="s">
        <v>507</v>
      </c>
      <c r="L724" s="1003"/>
      <c r="M724" s="1157">
        <f t="shared" si="88"/>
        <v>0</v>
      </c>
      <c r="N724" s="893">
        <f t="shared" si="87"/>
        <v>0</v>
      </c>
      <c r="O724" s="905"/>
      <c r="P724" s="58" t="str">
        <f>IF(N723&gt;0,"xx",IF(N723&gt;0,"xy",""))</f>
        <v/>
      </c>
      <c r="Q724" s="317" t="str">
        <f t="shared" si="89"/>
        <v/>
      </c>
      <c r="R724" s="317" t="str">
        <f t="shared" si="90"/>
        <v/>
      </c>
      <c r="S724" s="317" t="str">
        <f t="shared" si="91"/>
        <v/>
      </c>
      <c r="T724" s="317" t="str">
        <f>GLOBAL_DER_FEV_2023!S724</f>
        <v/>
      </c>
      <c r="W724" s="582">
        <v>0</v>
      </c>
      <c r="X724" s="580"/>
      <c r="Y724" s="583">
        <f>IF(GLOBAL_DER_FEV_2023!W724=0,0,IF(GLOBAL_DER_FEV_2023!W724&gt;0,"c","b"))</f>
        <v>0</v>
      </c>
    </row>
    <row r="725" spans="1:25" x14ac:dyDescent="0.2">
      <c r="A725" s="317" t="s">
        <v>147</v>
      </c>
      <c r="B725" s="895" t="s">
        <v>147</v>
      </c>
      <c r="C725" s="896"/>
      <c r="D725" s="957" t="s">
        <v>230</v>
      </c>
      <c r="E725" s="907">
        <f>GLOBAL_DER_FEV_2023!E725</f>
        <v>353</v>
      </c>
      <c r="F725" s="908">
        <f>GLOBAL_DER_FEV_2023!F725</f>
        <v>0</v>
      </c>
      <c r="G725" s="909">
        <f>GLOBAL_DER_FEV_2023!G725</f>
        <v>0</v>
      </c>
      <c r="H725" s="901">
        <f>GLOBAL_DER_FEV_2023!H725</f>
        <v>0</v>
      </c>
      <c r="I725" s="901">
        <f>GLOBAL_DER_FEV_2023!I725</f>
        <v>0</v>
      </c>
      <c r="J725" s="902">
        <f>GLOBAL_DER_FEV_2023!J725</f>
        <v>0</v>
      </c>
      <c r="K725" s="903" t="s">
        <v>507</v>
      </c>
      <c r="L725" s="1003"/>
      <c r="M725" s="1157">
        <f t="shared" si="88"/>
        <v>0</v>
      </c>
      <c r="N725" s="893">
        <f t="shared" ref="N725:N800" si="92">IF(ISBLANK(L725),0,IF(W725=0,ROUND(L725*M725,2),IF(W725="b",ROUNDDOWN(L725*M725,2),ROUNDUP(L725*M725,2))))</f>
        <v>0</v>
      </c>
      <c r="O725" s="905"/>
      <c r="P725" s="58" t="str">
        <f>IF(N723&gt;0,"xx",IF(N723&gt;0,"xy",""))</f>
        <v/>
      </c>
      <c r="Q725" s="317" t="str">
        <f t="shared" si="89"/>
        <v/>
      </c>
      <c r="R725" s="317" t="str">
        <f t="shared" si="90"/>
        <v/>
      </c>
      <c r="S725" s="317" t="str">
        <f t="shared" si="91"/>
        <v/>
      </c>
      <c r="T725" s="317" t="str">
        <f>GLOBAL_DER_FEV_2023!S725</f>
        <v/>
      </c>
      <c r="W725" s="582">
        <v>0</v>
      </c>
      <c r="X725" s="580"/>
      <c r="Y725" s="583">
        <f>IF(GLOBAL_DER_FEV_2023!W725=0,0,IF(GLOBAL_DER_FEV_2023!W725&gt;0,"c","b"))</f>
        <v>0</v>
      </c>
    </row>
    <row r="726" spans="1:25" x14ac:dyDescent="0.2">
      <c r="A726" s="317" t="s">
        <v>147</v>
      </c>
      <c r="B726" s="895" t="s">
        <v>147</v>
      </c>
      <c r="C726" s="896"/>
      <c r="D726" s="957" t="s">
        <v>243</v>
      </c>
      <c r="E726" s="907">
        <f>GLOBAL_DER_FEV_2023!E726</f>
        <v>0.2</v>
      </c>
      <c r="F726" s="908">
        <f>GLOBAL_DER_FEV_2023!F726</f>
        <v>2.09</v>
      </c>
      <c r="G726" s="912">
        <f>GLOBAL_DER_FEV_2023!G726</f>
        <v>6.0484599999999995</v>
      </c>
      <c r="H726" s="901">
        <f>GLOBAL_DER_FEV_2023!H726</f>
        <v>0</v>
      </c>
      <c r="I726" s="901">
        <f>GLOBAL_DER_FEV_2023!I726</f>
        <v>0</v>
      </c>
      <c r="J726" s="902">
        <f>GLOBAL_DER_FEV_2023!J726</f>
        <v>0</v>
      </c>
      <c r="K726" s="903" t="s">
        <v>507</v>
      </c>
      <c r="L726" s="1003"/>
      <c r="M726" s="1157">
        <f t="shared" si="88"/>
        <v>0</v>
      </c>
      <c r="N726" s="893">
        <f t="shared" si="92"/>
        <v>0</v>
      </c>
      <c r="O726" s="905"/>
      <c r="P726" s="58" t="str">
        <f>IF(N723&gt;0,"xx",IF(N723&gt;0,"xy",""))</f>
        <v/>
      </c>
      <c r="Q726" s="317" t="str">
        <f t="shared" si="89"/>
        <v/>
      </c>
      <c r="R726" s="317" t="str">
        <f t="shared" si="90"/>
        <v/>
      </c>
      <c r="S726" s="317" t="str">
        <f t="shared" si="91"/>
        <v/>
      </c>
      <c r="T726" s="317" t="str">
        <f>GLOBAL_DER_FEV_2023!S726</f>
        <v/>
      </c>
      <c r="W726" s="582">
        <v>0</v>
      </c>
      <c r="X726" s="580"/>
      <c r="Y726" s="583">
        <f>IF(GLOBAL_DER_FEV_2023!W726=0,0,IF(GLOBAL_DER_FEV_2023!W726&gt;0,"c","b"))</f>
        <v>0</v>
      </c>
    </row>
    <row r="727" spans="1:25" x14ac:dyDescent="0.2">
      <c r="A727" s="317" t="s">
        <v>147</v>
      </c>
      <c r="B727" s="895" t="s">
        <v>147</v>
      </c>
      <c r="C727" s="896"/>
      <c r="D727" s="957" t="s">
        <v>244</v>
      </c>
      <c r="E727" s="907">
        <f>GLOBAL_DER_FEV_2023!E727</f>
        <v>22</v>
      </c>
      <c r="F727" s="908">
        <f>GLOBAL_DER_FEV_2023!F727</f>
        <v>2.1999999999999997</v>
      </c>
      <c r="G727" s="912">
        <f>GLOBAL_DER_FEV_2023!G727</f>
        <v>57.683999999999997</v>
      </c>
      <c r="H727" s="901">
        <f>GLOBAL_DER_FEV_2023!H727</f>
        <v>0</v>
      </c>
      <c r="I727" s="901">
        <f>GLOBAL_DER_FEV_2023!I727</f>
        <v>0</v>
      </c>
      <c r="J727" s="902">
        <f>GLOBAL_DER_FEV_2023!J727</f>
        <v>0</v>
      </c>
      <c r="K727" s="903" t="s">
        <v>507</v>
      </c>
      <c r="L727" s="1003"/>
      <c r="M727" s="1157">
        <f t="shared" si="88"/>
        <v>0</v>
      </c>
      <c r="N727" s="893">
        <f t="shared" si="92"/>
        <v>0</v>
      </c>
      <c r="O727" s="905"/>
      <c r="P727" s="58" t="str">
        <f>IF(N723&gt;0,"xx",IF(N723&gt;0,"xy",""))</f>
        <v/>
      </c>
      <c r="Q727" s="317" t="str">
        <f t="shared" si="89"/>
        <v/>
      </c>
      <c r="R727" s="317" t="str">
        <f t="shared" si="90"/>
        <v/>
      </c>
      <c r="S727" s="317" t="str">
        <f t="shared" si="91"/>
        <v/>
      </c>
      <c r="T727" s="317" t="str">
        <f>GLOBAL_DER_FEV_2023!S727</f>
        <v/>
      </c>
      <c r="W727" s="582">
        <v>0</v>
      </c>
      <c r="X727" s="580"/>
      <c r="Y727" s="583">
        <f>IF(GLOBAL_DER_FEV_2023!W727=0,0,IF(GLOBAL_DER_FEV_2023!W727&gt;0,"c","b"))</f>
        <v>0</v>
      </c>
    </row>
    <row r="728" spans="1:25" ht="13.5" thickBot="1" x14ac:dyDescent="0.25">
      <c r="A728" s="317">
        <v>589320</v>
      </c>
      <c r="B728" s="1004" t="s">
        <v>1692</v>
      </c>
      <c r="C728" s="984" t="s">
        <v>213</v>
      </c>
      <c r="D728" s="1012" t="s">
        <v>700</v>
      </c>
      <c r="E728" s="1005">
        <f>GLOBAL_DER_FEV_2023!E728</f>
        <v>45</v>
      </c>
      <c r="F728" s="1006">
        <f>GLOBAL_DER_FEV_2023!F728</f>
        <v>1</v>
      </c>
      <c r="G728" s="949">
        <f>GLOBAL_DER_FEV_2023!G728</f>
        <v>79.25</v>
      </c>
      <c r="H728" s="988">
        <f>GLOBAL_DER_FEV_2023!H728</f>
        <v>4012.83</v>
      </c>
      <c r="I728" s="988">
        <f>GLOBAL_DER_FEV_2023!I728</f>
        <v>3931.9945856583668</v>
      </c>
      <c r="J728" s="989">
        <f>GLOBAL_DER_FEV_2023!J728</f>
        <v>4721.1499999999996</v>
      </c>
      <c r="K728" s="990" t="s">
        <v>14</v>
      </c>
      <c r="L728" s="1169">
        <f>ROUND(L723*$F723,2)</f>
        <v>0</v>
      </c>
      <c r="M728" s="1168">
        <f t="shared" si="88"/>
        <v>0</v>
      </c>
      <c r="N728" s="993">
        <f t="shared" si="92"/>
        <v>0</v>
      </c>
      <c r="O728" s="905"/>
      <c r="P728" s="58" t="str">
        <f>IF(N723&gt;0,"xx",IF(N723&gt;0,"xy",""))</f>
        <v/>
      </c>
      <c r="Q728" s="317" t="str">
        <f t="shared" si="89"/>
        <v/>
      </c>
      <c r="R728" s="317" t="str">
        <f t="shared" si="90"/>
        <v/>
      </c>
      <c r="S728" s="317" t="str">
        <f t="shared" si="91"/>
        <v/>
      </c>
      <c r="T728" s="317" t="str">
        <f>GLOBAL_DER_FEV_2023!S728</f>
        <v/>
      </c>
      <c r="W728" s="582">
        <v>0</v>
      </c>
      <c r="X728" s="580"/>
      <c r="Y728" s="583">
        <f>IF(GLOBAL_DER_FEV_2023!W728=0,0,IF(GLOBAL_DER_FEV_2023!W728&gt;0,"c","b"))</f>
        <v>0</v>
      </c>
    </row>
    <row r="729" spans="1:25" x14ac:dyDescent="0.2">
      <c r="A729" s="317">
        <v>534300</v>
      </c>
      <c r="B729" s="999" t="s">
        <v>1684</v>
      </c>
      <c r="C729" s="1000" t="s">
        <v>184</v>
      </c>
      <c r="D729" s="973" t="s">
        <v>2208</v>
      </c>
      <c r="E729" s="974" t="str">
        <f>GLOBAL_DER_FEV_2023!E729</f>
        <v>taxa RM-2C</v>
      </c>
      <c r="F729" s="975">
        <f>GLOBAL_DER_FEV_2023!F729</f>
        <v>0.11</v>
      </c>
      <c r="G729" s="976">
        <f>GLOBAL_DER_FEV_2023!G729</f>
        <v>63.732459999999996</v>
      </c>
      <c r="H729" s="977">
        <f>GLOBAL_DER_FEV_2023!H729</f>
        <v>140.30000000000001</v>
      </c>
      <c r="I729" s="977">
        <f>GLOBAL_DER_FEV_2023!I729</f>
        <v>204.03246000000001</v>
      </c>
      <c r="J729" s="978">
        <f>GLOBAL_DER_FEV_2023!J729</f>
        <v>244.98</v>
      </c>
      <c r="K729" s="979" t="s">
        <v>10</v>
      </c>
      <c r="L729" s="1152"/>
      <c r="M729" s="1153">
        <f t="shared" si="88"/>
        <v>0</v>
      </c>
      <c r="N729" s="982">
        <f t="shared" si="92"/>
        <v>0</v>
      </c>
      <c r="O729" s="905"/>
      <c r="Q729" s="317" t="str">
        <f t="shared" si="89"/>
        <v/>
      </c>
      <c r="R729" s="317" t="str">
        <f t="shared" si="90"/>
        <v/>
      </c>
      <c r="S729" s="317" t="str">
        <f t="shared" si="91"/>
        <v/>
      </c>
      <c r="T729" s="317" t="str">
        <f>GLOBAL_DER_FEV_2023!S729</f>
        <v/>
      </c>
      <c r="W729" s="582">
        <v>0</v>
      </c>
      <c r="X729" s="580"/>
      <c r="Y729" s="583">
        <f>IF(GLOBAL_DER_FEV_2023!W729=0,0,IF(GLOBAL_DER_FEV_2023!W729&gt;0,"c","b"))</f>
        <v>0</v>
      </c>
    </row>
    <row r="730" spans="1:25" x14ac:dyDescent="0.2">
      <c r="A730" s="317" t="s">
        <v>147</v>
      </c>
      <c r="B730" s="895" t="s">
        <v>147</v>
      </c>
      <c r="C730" s="896"/>
      <c r="D730" s="957" t="s">
        <v>229</v>
      </c>
      <c r="E730" s="907">
        <f>GLOBAL_DER_FEV_2023!E730</f>
        <v>150</v>
      </c>
      <c r="F730" s="908">
        <f>GLOBAL_DER_FEV_2023!F730</f>
        <v>0</v>
      </c>
      <c r="G730" s="912">
        <f>GLOBAL_DER_FEV_2023!G730</f>
        <v>0</v>
      </c>
      <c r="H730" s="901">
        <f>GLOBAL_DER_FEV_2023!H730</f>
        <v>0</v>
      </c>
      <c r="I730" s="901">
        <f>GLOBAL_DER_FEV_2023!I730</f>
        <v>0</v>
      </c>
      <c r="J730" s="902">
        <f>GLOBAL_DER_FEV_2023!J730</f>
        <v>0</v>
      </c>
      <c r="K730" s="903" t="s">
        <v>507</v>
      </c>
      <c r="L730" s="1003"/>
      <c r="M730" s="1157">
        <f t="shared" si="88"/>
        <v>0</v>
      </c>
      <c r="N730" s="893">
        <f t="shared" si="92"/>
        <v>0</v>
      </c>
      <c r="O730" s="905"/>
      <c r="P730" s="58" t="str">
        <f>IF(N729&gt;0,"xx",IF(N729&gt;0,"xy",""))</f>
        <v/>
      </c>
      <c r="Q730" s="317" t="str">
        <f t="shared" si="89"/>
        <v/>
      </c>
      <c r="R730" s="317" t="str">
        <f t="shared" si="90"/>
        <v/>
      </c>
      <c r="S730" s="317" t="str">
        <f t="shared" si="91"/>
        <v/>
      </c>
      <c r="T730" s="317" t="str">
        <f>GLOBAL_DER_FEV_2023!S730</f>
        <v/>
      </c>
      <c r="W730" s="582">
        <v>0</v>
      </c>
      <c r="X730" s="580"/>
      <c r="Y730" s="583">
        <f>IF(GLOBAL_DER_FEV_2023!W730=0,0,IF(GLOBAL_DER_FEV_2023!W730&gt;0,"c","b"))</f>
        <v>0</v>
      </c>
    </row>
    <row r="731" spans="1:25" x14ac:dyDescent="0.2">
      <c r="A731" s="317" t="s">
        <v>147</v>
      </c>
      <c r="B731" s="895" t="s">
        <v>147</v>
      </c>
      <c r="C731" s="896"/>
      <c r="D731" s="957" t="s">
        <v>230</v>
      </c>
      <c r="E731" s="907">
        <f>GLOBAL_DER_FEV_2023!E731</f>
        <v>353</v>
      </c>
      <c r="F731" s="908">
        <f>GLOBAL_DER_FEV_2023!F731</f>
        <v>0</v>
      </c>
      <c r="G731" s="909">
        <f>GLOBAL_DER_FEV_2023!G731</f>
        <v>0</v>
      </c>
      <c r="H731" s="901">
        <f>GLOBAL_DER_FEV_2023!H731</f>
        <v>0</v>
      </c>
      <c r="I731" s="901">
        <f>GLOBAL_DER_FEV_2023!I731</f>
        <v>0</v>
      </c>
      <c r="J731" s="902">
        <f>GLOBAL_DER_FEV_2023!J731</f>
        <v>0</v>
      </c>
      <c r="K731" s="903" t="s">
        <v>507</v>
      </c>
      <c r="L731" s="1003"/>
      <c r="M731" s="1157">
        <f t="shared" si="88"/>
        <v>0</v>
      </c>
      <c r="N731" s="893">
        <f t="shared" si="92"/>
        <v>0</v>
      </c>
      <c r="O731" s="905"/>
      <c r="P731" s="58" t="str">
        <f>IF(N729&gt;0,"xx",IF(N729&gt;0,"xy",""))</f>
        <v/>
      </c>
      <c r="Q731" s="317" t="str">
        <f t="shared" si="89"/>
        <v/>
      </c>
      <c r="R731" s="317" t="str">
        <f t="shared" si="90"/>
        <v/>
      </c>
      <c r="S731" s="317" t="str">
        <f t="shared" si="91"/>
        <v/>
      </c>
      <c r="T731" s="317" t="str">
        <f>GLOBAL_DER_FEV_2023!S731</f>
        <v/>
      </c>
      <c r="W731" s="582">
        <v>0</v>
      </c>
      <c r="X731" s="580"/>
      <c r="Y731" s="583">
        <f>IF(GLOBAL_DER_FEV_2023!W731=0,0,IF(GLOBAL_DER_FEV_2023!W731&gt;0,"c","b"))</f>
        <v>0</v>
      </c>
    </row>
    <row r="732" spans="1:25" x14ac:dyDescent="0.2">
      <c r="A732" s="317" t="s">
        <v>147</v>
      </c>
      <c r="B732" s="895" t="s">
        <v>147</v>
      </c>
      <c r="C732" s="896"/>
      <c r="D732" s="957" t="s">
        <v>243</v>
      </c>
      <c r="E732" s="907">
        <f>GLOBAL_DER_FEV_2023!E732</f>
        <v>0.2</v>
      </c>
      <c r="F732" s="908">
        <f>GLOBAL_DER_FEV_2023!F732</f>
        <v>2.09</v>
      </c>
      <c r="G732" s="912">
        <f>GLOBAL_DER_FEV_2023!G732</f>
        <v>6.0484599999999995</v>
      </c>
      <c r="H732" s="901">
        <f>GLOBAL_DER_FEV_2023!H732</f>
        <v>0</v>
      </c>
      <c r="I732" s="901">
        <f>GLOBAL_DER_FEV_2023!I732</f>
        <v>0</v>
      </c>
      <c r="J732" s="902">
        <f>GLOBAL_DER_FEV_2023!J732</f>
        <v>0</v>
      </c>
      <c r="K732" s="903" t="s">
        <v>507</v>
      </c>
      <c r="L732" s="1003"/>
      <c r="M732" s="1157">
        <f t="shared" si="88"/>
        <v>0</v>
      </c>
      <c r="N732" s="893">
        <f t="shared" si="92"/>
        <v>0</v>
      </c>
      <c r="O732" s="905"/>
      <c r="P732" s="58" t="str">
        <f>IF(N729&gt;0,"xx",IF(N729&gt;0,"xy",""))</f>
        <v/>
      </c>
      <c r="Q732" s="317" t="str">
        <f t="shared" si="89"/>
        <v/>
      </c>
      <c r="R732" s="317" t="str">
        <f t="shared" si="90"/>
        <v/>
      </c>
      <c r="S732" s="317" t="str">
        <f t="shared" si="91"/>
        <v/>
      </c>
      <c r="T732" s="317" t="str">
        <f>GLOBAL_DER_FEV_2023!S732</f>
        <v/>
      </c>
      <c r="W732" s="582">
        <v>0</v>
      </c>
      <c r="X732" s="580"/>
      <c r="Y732" s="583">
        <f>IF(GLOBAL_DER_FEV_2023!W732=0,0,IF(GLOBAL_DER_FEV_2023!W732&gt;0,"c","b"))</f>
        <v>0</v>
      </c>
    </row>
    <row r="733" spans="1:25" x14ac:dyDescent="0.2">
      <c r="A733" s="317" t="s">
        <v>147</v>
      </c>
      <c r="B733" s="895" t="s">
        <v>147</v>
      </c>
      <c r="C733" s="896"/>
      <c r="D733" s="957" t="s">
        <v>244</v>
      </c>
      <c r="E733" s="907">
        <f>GLOBAL_DER_FEV_2023!E733</f>
        <v>22</v>
      </c>
      <c r="F733" s="908">
        <f>GLOBAL_DER_FEV_2023!F733</f>
        <v>2.1999999999999997</v>
      </c>
      <c r="G733" s="912">
        <f>GLOBAL_DER_FEV_2023!G733</f>
        <v>57.683999999999997</v>
      </c>
      <c r="H733" s="901">
        <f>GLOBAL_DER_FEV_2023!H733</f>
        <v>0</v>
      </c>
      <c r="I733" s="901">
        <f>GLOBAL_DER_FEV_2023!I733</f>
        <v>0</v>
      </c>
      <c r="J733" s="902">
        <f>GLOBAL_DER_FEV_2023!J733</f>
        <v>0</v>
      </c>
      <c r="K733" s="903" t="s">
        <v>507</v>
      </c>
      <c r="L733" s="1003"/>
      <c r="M733" s="1157">
        <f t="shared" si="88"/>
        <v>0</v>
      </c>
      <c r="N733" s="893">
        <f t="shared" si="92"/>
        <v>0</v>
      </c>
      <c r="O733" s="905"/>
      <c r="P733" s="58" t="str">
        <f>IF(N729&gt;0,"xx",IF(N729&gt;0,"xy",""))</f>
        <v/>
      </c>
      <c r="Q733" s="317" t="str">
        <f t="shared" si="89"/>
        <v/>
      </c>
      <c r="R733" s="317" t="str">
        <f t="shared" si="90"/>
        <v/>
      </c>
      <c r="S733" s="317" t="str">
        <f t="shared" si="91"/>
        <v/>
      </c>
      <c r="T733" s="317" t="str">
        <f>GLOBAL_DER_FEV_2023!S733</f>
        <v/>
      </c>
      <c r="W733" s="582">
        <v>0</v>
      </c>
      <c r="X733" s="580"/>
      <c r="Y733" s="583">
        <f>IF(GLOBAL_DER_FEV_2023!W733=0,0,IF(GLOBAL_DER_FEV_2023!W733&gt;0,"c","b"))</f>
        <v>0</v>
      </c>
    </row>
    <row r="734" spans="1:25" ht="13.5" thickBot="1" x14ac:dyDescent="0.25">
      <c r="A734" s="317">
        <v>589320</v>
      </c>
      <c r="B734" s="1004" t="s">
        <v>1693</v>
      </c>
      <c r="C734" s="984" t="s">
        <v>213</v>
      </c>
      <c r="D734" s="1012" t="s">
        <v>700</v>
      </c>
      <c r="E734" s="1005">
        <f>GLOBAL_DER_FEV_2023!E734</f>
        <v>45</v>
      </c>
      <c r="F734" s="1006">
        <f>GLOBAL_DER_FEV_2023!F734</f>
        <v>1</v>
      </c>
      <c r="G734" s="949">
        <f>GLOBAL_DER_FEV_2023!G734</f>
        <v>79.25</v>
      </c>
      <c r="H734" s="988">
        <f>GLOBAL_DER_FEV_2023!H734</f>
        <v>4012.83</v>
      </c>
      <c r="I734" s="988">
        <f>GLOBAL_DER_FEV_2023!I734</f>
        <v>3931.9945856583668</v>
      </c>
      <c r="J734" s="989">
        <f>GLOBAL_DER_FEV_2023!J734</f>
        <v>4721.1499999999996</v>
      </c>
      <c r="K734" s="990" t="s">
        <v>14</v>
      </c>
      <c r="L734" s="1169">
        <f>ROUND(L729*$F729,2)</f>
        <v>0</v>
      </c>
      <c r="M734" s="1168">
        <f t="shared" si="88"/>
        <v>0</v>
      </c>
      <c r="N734" s="993">
        <f t="shared" si="92"/>
        <v>0</v>
      </c>
      <c r="O734" s="905"/>
      <c r="P734" s="58" t="str">
        <f>IF(N729&gt;0,"xx",IF(N729&gt;0,"xy",""))</f>
        <v/>
      </c>
      <c r="Q734" s="317" t="str">
        <f t="shared" si="89"/>
        <v/>
      </c>
      <c r="R734" s="317" t="str">
        <f t="shared" si="90"/>
        <v/>
      </c>
      <c r="S734" s="317" t="str">
        <f t="shared" si="91"/>
        <v/>
      </c>
      <c r="T734" s="317" t="str">
        <f>GLOBAL_DER_FEV_2023!S734</f>
        <v/>
      </c>
      <c r="W734" s="582">
        <v>0</v>
      </c>
      <c r="X734" s="580"/>
      <c r="Y734" s="583">
        <f>IF(GLOBAL_DER_FEV_2023!W734=0,0,IF(GLOBAL_DER_FEV_2023!W734&gt;0,"c","b"))</f>
        <v>0</v>
      </c>
    </row>
    <row r="735" spans="1:25" x14ac:dyDescent="0.2">
      <c r="A735" s="317">
        <v>534300</v>
      </c>
      <c r="B735" s="999" t="s">
        <v>1685</v>
      </c>
      <c r="C735" s="1000" t="s">
        <v>184</v>
      </c>
      <c r="D735" s="973" t="s">
        <v>2209</v>
      </c>
      <c r="E735" s="974" t="str">
        <f>GLOBAL_DER_FEV_2023!E735</f>
        <v>taxa RM-2C</v>
      </c>
      <c r="F735" s="975">
        <f>GLOBAL_DER_FEV_2023!F735</f>
        <v>0.14000000000000001</v>
      </c>
      <c r="G735" s="976">
        <f>GLOBAL_DER_FEV_2023!G735</f>
        <v>109.83426</v>
      </c>
      <c r="H735" s="977">
        <f>GLOBAL_DER_FEV_2023!H735</f>
        <v>140.30000000000001</v>
      </c>
      <c r="I735" s="977">
        <f>GLOBAL_DER_FEV_2023!I735</f>
        <v>250.13426000000001</v>
      </c>
      <c r="J735" s="978">
        <f>GLOBAL_DER_FEV_2023!J735</f>
        <v>300.33999999999997</v>
      </c>
      <c r="K735" s="979" t="s">
        <v>10</v>
      </c>
      <c r="L735" s="1152"/>
      <c r="M735" s="1153">
        <f t="shared" si="88"/>
        <v>0</v>
      </c>
      <c r="N735" s="982">
        <f t="shared" si="92"/>
        <v>0</v>
      </c>
      <c r="O735" s="905"/>
      <c r="Q735" s="317" t="str">
        <f t="shared" si="89"/>
        <v/>
      </c>
      <c r="R735" s="317" t="str">
        <f t="shared" si="90"/>
        <v/>
      </c>
      <c r="S735" s="317" t="str">
        <f t="shared" si="91"/>
        <v/>
      </c>
      <c r="T735" s="317" t="str">
        <f>GLOBAL_DER_FEV_2023!S735</f>
        <v/>
      </c>
      <c r="W735" s="582">
        <v>0</v>
      </c>
      <c r="X735" s="580"/>
      <c r="Y735" s="583">
        <f>IF(GLOBAL_DER_FEV_2023!W735=0,0,IF(GLOBAL_DER_FEV_2023!W735&gt;0,"c","b"))</f>
        <v>0</v>
      </c>
    </row>
    <row r="736" spans="1:25" x14ac:dyDescent="0.2">
      <c r="A736" s="317" t="s">
        <v>147</v>
      </c>
      <c r="B736" s="895" t="s">
        <v>147</v>
      </c>
      <c r="C736" s="896"/>
      <c r="D736" s="957" t="s">
        <v>229</v>
      </c>
      <c r="E736" s="907">
        <f>GLOBAL_DER_FEV_2023!E736</f>
        <v>150</v>
      </c>
      <c r="F736" s="908">
        <f>GLOBAL_DER_FEV_2023!F736</f>
        <v>0.27</v>
      </c>
      <c r="G736" s="912">
        <f>GLOBAL_DER_FEV_2023!G736</f>
        <v>44.058600000000006</v>
      </c>
      <c r="H736" s="901">
        <f>GLOBAL_DER_FEV_2023!H736</f>
        <v>0</v>
      </c>
      <c r="I736" s="901">
        <f>GLOBAL_DER_FEV_2023!I736</f>
        <v>0</v>
      </c>
      <c r="J736" s="902">
        <f>GLOBAL_DER_FEV_2023!J736</f>
        <v>0</v>
      </c>
      <c r="K736" s="903" t="s">
        <v>507</v>
      </c>
      <c r="L736" s="1003"/>
      <c r="M736" s="1157">
        <f t="shared" si="88"/>
        <v>0</v>
      </c>
      <c r="N736" s="893">
        <f t="shared" si="92"/>
        <v>0</v>
      </c>
      <c r="O736" s="905"/>
      <c r="P736" s="58" t="str">
        <f>IF(N735&gt;0,"xx",IF(N735&gt;0,"xy",""))</f>
        <v/>
      </c>
      <c r="Q736" s="317" t="str">
        <f t="shared" si="89"/>
        <v/>
      </c>
      <c r="R736" s="317" t="str">
        <f t="shared" si="90"/>
        <v/>
      </c>
      <c r="S736" s="317" t="str">
        <f t="shared" si="91"/>
        <v/>
      </c>
      <c r="T736" s="317" t="str">
        <f>GLOBAL_DER_FEV_2023!S736</f>
        <v/>
      </c>
      <c r="W736" s="582">
        <v>0</v>
      </c>
      <c r="X736" s="580"/>
      <c r="Y736" s="583">
        <f>IF(GLOBAL_DER_FEV_2023!W736=0,0,IF(GLOBAL_DER_FEV_2023!W736&gt;0,"c","b"))</f>
        <v>0</v>
      </c>
    </row>
    <row r="737" spans="1:25" x14ac:dyDescent="0.2">
      <c r="A737" s="317" t="s">
        <v>147</v>
      </c>
      <c r="B737" s="895" t="s">
        <v>147</v>
      </c>
      <c r="C737" s="896"/>
      <c r="D737" s="957" t="s">
        <v>230</v>
      </c>
      <c r="E737" s="907">
        <f>GLOBAL_DER_FEV_2023!E737</f>
        <v>353</v>
      </c>
      <c r="F737" s="908">
        <f>GLOBAL_DER_FEV_2023!F737</f>
        <v>0</v>
      </c>
      <c r="G737" s="909">
        <f>GLOBAL_DER_FEV_2023!G737</f>
        <v>0</v>
      </c>
      <c r="H737" s="901">
        <f>GLOBAL_DER_FEV_2023!H737</f>
        <v>0</v>
      </c>
      <c r="I737" s="901">
        <f>GLOBAL_DER_FEV_2023!I737</f>
        <v>0</v>
      </c>
      <c r="J737" s="902">
        <f>GLOBAL_DER_FEV_2023!J737</f>
        <v>0</v>
      </c>
      <c r="K737" s="903" t="s">
        <v>507</v>
      </c>
      <c r="L737" s="1003"/>
      <c r="M737" s="1157">
        <f t="shared" si="88"/>
        <v>0</v>
      </c>
      <c r="N737" s="893">
        <f t="shared" si="92"/>
        <v>0</v>
      </c>
      <c r="O737" s="905"/>
      <c r="P737" s="58" t="str">
        <f>IF(N735&gt;0,"xx",IF(N735&gt;0,"xy",""))</f>
        <v/>
      </c>
      <c r="Q737" s="317" t="str">
        <f t="shared" si="89"/>
        <v/>
      </c>
      <c r="R737" s="317" t="str">
        <f t="shared" si="90"/>
        <v/>
      </c>
      <c r="S737" s="317" t="str">
        <f t="shared" si="91"/>
        <v/>
      </c>
      <c r="T737" s="317" t="str">
        <f>GLOBAL_DER_FEV_2023!S737</f>
        <v/>
      </c>
      <c r="W737" s="582">
        <v>0</v>
      </c>
      <c r="X737" s="580"/>
      <c r="Y737" s="583">
        <f>IF(GLOBAL_DER_FEV_2023!W737=0,0,IF(GLOBAL_DER_FEV_2023!W737&gt;0,"c","b"))</f>
        <v>0</v>
      </c>
    </row>
    <row r="738" spans="1:25" x14ac:dyDescent="0.2">
      <c r="A738" s="317" t="s">
        <v>147</v>
      </c>
      <c r="B738" s="895" t="s">
        <v>147</v>
      </c>
      <c r="C738" s="896"/>
      <c r="D738" s="957" t="s">
        <v>243</v>
      </c>
      <c r="E738" s="907">
        <f>GLOBAL_DER_FEV_2023!E738</f>
        <v>0.2</v>
      </c>
      <c r="F738" s="908">
        <f>GLOBAL_DER_FEV_2023!F738</f>
        <v>1.89</v>
      </c>
      <c r="G738" s="912">
        <f>GLOBAL_DER_FEV_2023!G738</f>
        <v>5.4696600000000002</v>
      </c>
      <c r="H738" s="901">
        <f>GLOBAL_DER_FEV_2023!H738</f>
        <v>0</v>
      </c>
      <c r="I738" s="901">
        <f>GLOBAL_DER_FEV_2023!I738</f>
        <v>0</v>
      </c>
      <c r="J738" s="902">
        <f>GLOBAL_DER_FEV_2023!J738</f>
        <v>0</v>
      </c>
      <c r="K738" s="903" t="s">
        <v>507</v>
      </c>
      <c r="L738" s="1003"/>
      <c r="M738" s="1157">
        <f t="shared" si="88"/>
        <v>0</v>
      </c>
      <c r="N738" s="893">
        <f t="shared" si="92"/>
        <v>0</v>
      </c>
      <c r="O738" s="905"/>
      <c r="P738" s="58" t="str">
        <f>IF(N735&gt;0,"xx",IF(N735&gt;0,"xy",""))</f>
        <v/>
      </c>
      <c r="Q738" s="317" t="str">
        <f t="shared" si="89"/>
        <v/>
      </c>
      <c r="R738" s="317" t="str">
        <f t="shared" si="90"/>
        <v/>
      </c>
      <c r="S738" s="317" t="str">
        <f t="shared" si="91"/>
        <v/>
      </c>
      <c r="T738" s="317" t="str">
        <f>GLOBAL_DER_FEV_2023!S738</f>
        <v/>
      </c>
      <c r="W738" s="582">
        <v>0</v>
      </c>
      <c r="X738" s="580"/>
      <c r="Y738" s="583">
        <f>IF(GLOBAL_DER_FEV_2023!W738=0,0,IF(GLOBAL_DER_FEV_2023!W738&gt;0,"c","b"))</f>
        <v>0</v>
      </c>
    </row>
    <row r="739" spans="1:25" x14ac:dyDescent="0.2">
      <c r="A739" s="317" t="s">
        <v>147</v>
      </c>
      <c r="B739" s="895" t="s">
        <v>147</v>
      </c>
      <c r="C739" s="896"/>
      <c r="D739" s="957" t="s">
        <v>244</v>
      </c>
      <c r="E739" s="907">
        <f>GLOBAL_DER_FEV_2023!E739</f>
        <v>22</v>
      </c>
      <c r="F739" s="908">
        <f>GLOBAL_DER_FEV_2023!F739</f>
        <v>2.2999999999999998</v>
      </c>
      <c r="G739" s="912">
        <f>GLOBAL_DER_FEV_2023!G739</f>
        <v>60.305999999999997</v>
      </c>
      <c r="H739" s="901">
        <f>GLOBAL_DER_FEV_2023!H739</f>
        <v>0</v>
      </c>
      <c r="I739" s="901">
        <f>GLOBAL_DER_FEV_2023!I739</f>
        <v>0</v>
      </c>
      <c r="J739" s="902">
        <f>GLOBAL_DER_FEV_2023!J739</f>
        <v>0</v>
      </c>
      <c r="K739" s="903" t="s">
        <v>507</v>
      </c>
      <c r="L739" s="1003"/>
      <c r="M739" s="1157">
        <f t="shared" si="88"/>
        <v>0</v>
      </c>
      <c r="N739" s="893">
        <f t="shared" si="92"/>
        <v>0</v>
      </c>
      <c r="O739" s="905"/>
      <c r="P739" s="58" t="str">
        <f>IF(N735&gt;0,"xx",IF(N735&gt;0,"xy",""))</f>
        <v/>
      </c>
      <c r="Q739" s="317" t="str">
        <f t="shared" si="89"/>
        <v/>
      </c>
      <c r="R739" s="317" t="str">
        <f t="shared" si="90"/>
        <v/>
      </c>
      <c r="S739" s="317" t="str">
        <f t="shared" si="91"/>
        <v/>
      </c>
      <c r="T739" s="317" t="str">
        <f>GLOBAL_DER_FEV_2023!S739</f>
        <v/>
      </c>
      <c r="W739" s="582">
        <v>0</v>
      </c>
      <c r="X739" s="580"/>
      <c r="Y739" s="583">
        <f>IF(GLOBAL_DER_FEV_2023!W739=0,0,IF(GLOBAL_DER_FEV_2023!W739&gt;0,"c","b"))</f>
        <v>0</v>
      </c>
    </row>
    <row r="740" spans="1:25" ht="13.5" thickBot="1" x14ac:dyDescent="0.25">
      <c r="A740" s="317">
        <v>589320</v>
      </c>
      <c r="B740" s="1004" t="s">
        <v>1694</v>
      </c>
      <c r="C740" s="984" t="s">
        <v>213</v>
      </c>
      <c r="D740" s="1012" t="s">
        <v>700</v>
      </c>
      <c r="E740" s="1005">
        <f>GLOBAL_DER_FEV_2023!E740</f>
        <v>45</v>
      </c>
      <c r="F740" s="1006">
        <f>GLOBAL_DER_FEV_2023!F740</f>
        <v>1</v>
      </c>
      <c r="G740" s="949">
        <f>GLOBAL_DER_FEV_2023!G740</f>
        <v>79.25</v>
      </c>
      <c r="H740" s="988">
        <f>GLOBAL_DER_FEV_2023!H740</f>
        <v>4012.83</v>
      </c>
      <c r="I740" s="988">
        <f>GLOBAL_DER_FEV_2023!I740</f>
        <v>3931.9945856583668</v>
      </c>
      <c r="J740" s="989">
        <f>GLOBAL_DER_FEV_2023!J740</f>
        <v>4721.1499999999996</v>
      </c>
      <c r="K740" s="990" t="s">
        <v>14</v>
      </c>
      <c r="L740" s="1169">
        <f>ROUND(L735*$F735,2)</f>
        <v>0</v>
      </c>
      <c r="M740" s="1168">
        <f t="shared" si="88"/>
        <v>0</v>
      </c>
      <c r="N740" s="993">
        <f t="shared" si="92"/>
        <v>0</v>
      </c>
      <c r="O740" s="905"/>
      <c r="P740" s="58" t="str">
        <f>IF(N735&gt;0,"xx",IF(N735&gt;0,"xy",""))</f>
        <v/>
      </c>
      <c r="Q740" s="317" t="str">
        <f t="shared" si="89"/>
        <v/>
      </c>
      <c r="R740" s="317" t="str">
        <f t="shared" si="90"/>
        <v/>
      </c>
      <c r="S740" s="317" t="str">
        <f t="shared" si="91"/>
        <v/>
      </c>
      <c r="T740" s="317" t="str">
        <f>GLOBAL_DER_FEV_2023!S740</f>
        <v/>
      </c>
      <c r="W740" s="582">
        <v>0</v>
      </c>
      <c r="X740" s="580"/>
      <c r="Y740" s="583">
        <f>IF(GLOBAL_DER_FEV_2023!W740=0,0,IF(GLOBAL_DER_FEV_2023!W740&gt;0,"c","b"))</f>
        <v>0</v>
      </c>
    </row>
    <row r="741" spans="1:25" x14ac:dyDescent="0.2">
      <c r="A741" s="317">
        <v>534300</v>
      </c>
      <c r="B741" s="999" t="s">
        <v>1761</v>
      </c>
      <c r="C741" s="1000" t="s">
        <v>184</v>
      </c>
      <c r="D741" s="973" t="s">
        <v>2208</v>
      </c>
      <c r="E741" s="974" t="str">
        <f>GLOBAL_DER_FEV_2023!E741</f>
        <v>taxa RM-2C</v>
      </c>
      <c r="F741" s="975">
        <f>GLOBAL_DER_FEV_2023!F741</f>
        <v>0.14000000000000001</v>
      </c>
      <c r="G741" s="976">
        <f>GLOBAL_DER_FEV_2023!G741</f>
        <v>109.83426</v>
      </c>
      <c r="H741" s="977">
        <f>GLOBAL_DER_FEV_2023!H741</f>
        <v>140.30000000000001</v>
      </c>
      <c r="I741" s="977">
        <f>GLOBAL_DER_FEV_2023!I741</f>
        <v>250.13426000000001</v>
      </c>
      <c r="J741" s="978">
        <f>GLOBAL_DER_FEV_2023!J741</f>
        <v>300.33999999999997</v>
      </c>
      <c r="K741" s="979" t="s">
        <v>10</v>
      </c>
      <c r="L741" s="1152"/>
      <c r="M741" s="1153">
        <f t="shared" si="88"/>
        <v>0</v>
      </c>
      <c r="N741" s="982">
        <f t="shared" si="92"/>
        <v>0</v>
      </c>
      <c r="O741" s="905"/>
      <c r="Q741" s="317" t="str">
        <f t="shared" si="89"/>
        <v/>
      </c>
      <c r="R741" s="317" t="str">
        <f t="shared" si="90"/>
        <v/>
      </c>
      <c r="S741" s="317" t="str">
        <f t="shared" si="91"/>
        <v/>
      </c>
      <c r="T741" s="317" t="str">
        <f>GLOBAL_DER_FEV_2023!S741</f>
        <v/>
      </c>
      <c r="W741" s="582">
        <v>0</v>
      </c>
      <c r="X741" s="580"/>
      <c r="Y741" s="583">
        <f>IF(GLOBAL_DER_FEV_2023!W741=0,0,IF(GLOBAL_DER_FEV_2023!W741&gt;0,"c","b"))</f>
        <v>0</v>
      </c>
    </row>
    <row r="742" spans="1:25" x14ac:dyDescent="0.2">
      <c r="A742" s="317" t="s">
        <v>147</v>
      </c>
      <c r="B742" s="895" t="s">
        <v>147</v>
      </c>
      <c r="C742" s="896"/>
      <c r="D742" s="957" t="s">
        <v>229</v>
      </c>
      <c r="E742" s="907">
        <f>GLOBAL_DER_FEV_2023!E742</f>
        <v>150</v>
      </c>
      <c r="F742" s="908">
        <f>GLOBAL_DER_FEV_2023!F742</f>
        <v>0.27</v>
      </c>
      <c r="G742" s="912">
        <f>GLOBAL_DER_FEV_2023!G742</f>
        <v>44.058600000000006</v>
      </c>
      <c r="H742" s="901">
        <f>GLOBAL_DER_FEV_2023!H742</f>
        <v>0</v>
      </c>
      <c r="I742" s="901">
        <f>GLOBAL_DER_FEV_2023!I742</f>
        <v>0</v>
      </c>
      <c r="J742" s="902">
        <f>GLOBAL_DER_FEV_2023!J742</f>
        <v>0</v>
      </c>
      <c r="K742" s="903" t="s">
        <v>507</v>
      </c>
      <c r="L742" s="1003"/>
      <c r="M742" s="1157">
        <f t="shared" si="88"/>
        <v>0</v>
      </c>
      <c r="N742" s="893">
        <f t="shared" si="92"/>
        <v>0</v>
      </c>
      <c r="O742" s="905"/>
      <c r="P742" s="58" t="str">
        <f>IF(N741&gt;0,"xx",IF(N741&gt;0,"xy",""))</f>
        <v/>
      </c>
      <c r="Q742" s="317" t="str">
        <f t="shared" si="89"/>
        <v/>
      </c>
      <c r="R742" s="317" t="str">
        <f t="shared" si="90"/>
        <v/>
      </c>
      <c r="S742" s="317" t="str">
        <f t="shared" si="91"/>
        <v/>
      </c>
      <c r="T742" s="317" t="str">
        <f>GLOBAL_DER_FEV_2023!S742</f>
        <v/>
      </c>
      <c r="W742" s="582">
        <v>0</v>
      </c>
      <c r="X742" s="580"/>
      <c r="Y742" s="583">
        <f>IF(GLOBAL_DER_FEV_2023!W742=0,0,IF(GLOBAL_DER_FEV_2023!W742&gt;0,"c","b"))</f>
        <v>0</v>
      </c>
    </row>
    <row r="743" spans="1:25" x14ac:dyDescent="0.2">
      <c r="A743" s="317" t="s">
        <v>147</v>
      </c>
      <c r="B743" s="895" t="s">
        <v>147</v>
      </c>
      <c r="C743" s="896"/>
      <c r="D743" s="957" t="s">
        <v>230</v>
      </c>
      <c r="E743" s="907">
        <f>GLOBAL_DER_FEV_2023!E743</f>
        <v>353</v>
      </c>
      <c r="F743" s="908">
        <f>GLOBAL_DER_FEV_2023!F743</f>
        <v>0</v>
      </c>
      <c r="G743" s="909">
        <f>GLOBAL_DER_FEV_2023!G743</f>
        <v>0</v>
      </c>
      <c r="H743" s="901">
        <f>GLOBAL_DER_FEV_2023!H743</f>
        <v>0</v>
      </c>
      <c r="I743" s="901">
        <f>GLOBAL_DER_FEV_2023!I743</f>
        <v>0</v>
      </c>
      <c r="J743" s="902">
        <f>GLOBAL_DER_FEV_2023!J743</f>
        <v>0</v>
      </c>
      <c r="K743" s="903" t="s">
        <v>507</v>
      </c>
      <c r="L743" s="1003"/>
      <c r="M743" s="1157">
        <f t="shared" si="88"/>
        <v>0</v>
      </c>
      <c r="N743" s="893">
        <f t="shared" si="92"/>
        <v>0</v>
      </c>
      <c r="O743" s="905"/>
      <c r="P743" s="58" t="str">
        <f>IF(N741&gt;0,"xx",IF(N741&gt;0,"xy",""))</f>
        <v/>
      </c>
      <c r="Q743" s="317" t="str">
        <f t="shared" si="89"/>
        <v/>
      </c>
      <c r="R743" s="317" t="str">
        <f t="shared" si="90"/>
        <v/>
      </c>
      <c r="S743" s="317" t="str">
        <f t="shared" si="91"/>
        <v/>
      </c>
      <c r="T743" s="317" t="str">
        <f>GLOBAL_DER_FEV_2023!S743</f>
        <v/>
      </c>
      <c r="W743" s="582">
        <v>0</v>
      </c>
      <c r="X743" s="580"/>
      <c r="Y743" s="583">
        <f>IF(GLOBAL_DER_FEV_2023!W743=0,0,IF(GLOBAL_DER_FEV_2023!W743&gt;0,"c","b"))</f>
        <v>0</v>
      </c>
    </row>
    <row r="744" spans="1:25" x14ac:dyDescent="0.2">
      <c r="A744" s="317" t="s">
        <v>147</v>
      </c>
      <c r="B744" s="895" t="s">
        <v>147</v>
      </c>
      <c r="C744" s="896"/>
      <c r="D744" s="957" t="s">
        <v>243</v>
      </c>
      <c r="E744" s="907">
        <f>GLOBAL_DER_FEV_2023!E744</f>
        <v>0.2</v>
      </c>
      <c r="F744" s="908">
        <f>GLOBAL_DER_FEV_2023!F744</f>
        <v>1.89</v>
      </c>
      <c r="G744" s="912">
        <f>GLOBAL_DER_FEV_2023!G744</f>
        <v>5.4696600000000002</v>
      </c>
      <c r="H744" s="901">
        <f>GLOBAL_DER_FEV_2023!H744</f>
        <v>0</v>
      </c>
      <c r="I744" s="901">
        <f>GLOBAL_DER_FEV_2023!I744</f>
        <v>0</v>
      </c>
      <c r="J744" s="902">
        <f>GLOBAL_DER_FEV_2023!J744</f>
        <v>0</v>
      </c>
      <c r="K744" s="903" t="s">
        <v>507</v>
      </c>
      <c r="L744" s="1003"/>
      <c r="M744" s="1157">
        <f t="shared" si="88"/>
        <v>0</v>
      </c>
      <c r="N744" s="893">
        <f t="shared" si="92"/>
        <v>0</v>
      </c>
      <c r="O744" s="905"/>
      <c r="P744" s="58" t="str">
        <f>IF(N741&gt;0,"xx",IF(N741&gt;0,"xy",""))</f>
        <v/>
      </c>
      <c r="Q744" s="317" t="str">
        <f t="shared" si="89"/>
        <v/>
      </c>
      <c r="R744" s="317" t="str">
        <f t="shared" si="90"/>
        <v/>
      </c>
      <c r="S744" s="317" t="str">
        <f t="shared" si="91"/>
        <v/>
      </c>
      <c r="T744" s="317" t="str">
        <f>GLOBAL_DER_FEV_2023!S744</f>
        <v/>
      </c>
      <c r="W744" s="582">
        <v>0</v>
      </c>
      <c r="X744" s="580"/>
      <c r="Y744" s="583">
        <f>IF(GLOBAL_DER_FEV_2023!W744=0,0,IF(GLOBAL_DER_FEV_2023!W744&gt;0,"c","b"))</f>
        <v>0</v>
      </c>
    </row>
    <row r="745" spans="1:25" x14ac:dyDescent="0.2">
      <c r="A745" s="317" t="s">
        <v>147</v>
      </c>
      <c r="B745" s="895" t="s">
        <v>147</v>
      </c>
      <c r="C745" s="896"/>
      <c r="D745" s="957" t="s">
        <v>244</v>
      </c>
      <c r="E745" s="907">
        <f>GLOBAL_DER_FEV_2023!E745</f>
        <v>22</v>
      </c>
      <c r="F745" s="908">
        <f>GLOBAL_DER_FEV_2023!F745</f>
        <v>2.2999999999999998</v>
      </c>
      <c r="G745" s="912">
        <f>GLOBAL_DER_FEV_2023!G745</f>
        <v>60.305999999999997</v>
      </c>
      <c r="H745" s="901">
        <f>GLOBAL_DER_FEV_2023!H745</f>
        <v>0</v>
      </c>
      <c r="I745" s="901">
        <f>GLOBAL_DER_FEV_2023!I745</f>
        <v>0</v>
      </c>
      <c r="J745" s="902">
        <f>GLOBAL_DER_FEV_2023!J745</f>
        <v>0</v>
      </c>
      <c r="K745" s="903" t="s">
        <v>507</v>
      </c>
      <c r="L745" s="1003"/>
      <c r="M745" s="1157">
        <f t="shared" si="88"/>
        <v>0</v>
      </c>
      <c r="N745" s="893">
        <f t="shared" si="92"/>
        <v>0</v>
      </c>
      <c r="O745" s="905"/>
      <c r="P745" s="58" t="str">
        <f>IF(N741&gt;0,"xx",IF(N741&gt;0,"xy",""))</f>
        <v/>
      </c>
      <c r="Q745" s="317" t="str">
        <f t="shared" si="89"/>
        <v/>
      </c>
      <c r="R745" s="317" t="str">
        <f t="shared" si="90"/>
        <v/>
      </c>
      <c r="S745" s="317" t="str">
        <f t="shared" si="91"/>
        <v/>
      </c>
      <c r="T745" s="317" t="str">
        <f>GLOBAL_DER_FEV_2023!S745</f>
        <v/>
      </c>
      <c r="W745" s="582">
        <v>0</v>
      </c>
      <c r="X745" s="580"/>
      <c r="Y745" s="583">
        <f>IF(GLOBAL_DER_FEV_2023!W745=0,0,IF(GLOBAL_DER_FEV_2023!W745&gt;0,"c","b"))</f>
        <v>0</v>
      </c>
    </row>
    <row r="746" spans="1:25" ht="13.5" thickBot="1" x14ac:dyDescent="0.25">
      <c r="A746" s="317">
        <v>589320</v>
      </c>
      <c r="B746" s="1004" t="s">
        <v>1695</v>
      </c>
      <c r="C746" s="984" t="s">
        <v>213</v>
      </c>
      <c r="D746" s="1012" t="s">
        <v>700</v>
      </c>
      <c r="E746" s="1005">
        <f>GLOBAL_DER_FEV_2023!E746</f>
        <v>45</v>
      </c>
      <c r="F746" s="1006">
        <f>GLOBAL_DER_FEV_2023!F746</f>
        <v>1</v>
      </c>
      <c r="G746" s="949">
        <f>GLOBAL_DER_FEV_2023!G746</f>
        <v>79.25</v>
      </c>
      <c r="H746" s="988">
        <f>GLOBAL_DER_FEV_2023!H746</f>
        <v>4012.83</v>
      </c>
      <c r="I746" s="988">
        <f>GLOBAL_DER_FEV_2023!I746</f>
        <v>3931.9945856583668</v>
      </c>
      <c r="J746" s="989">
        <f>GLOBAL_DER_FEV_2023!J746</f>
        <v>4721.1499999999996</v>
      </c>
      <c r="K746" s="990" t="s">
        <v>14</v>
      </c>
      <c r="L746" s="1169">
        <f>ROUND(L741*$F741,2)</f>
        <v>0</v>
      </c>
      <c r="M746" s="1168">
        <f t="shared" si="88"/>
        <v>0</v>
      </c>
      <c r="N746" s="993">
        <f t="shared" si="92"/>
        <v>0</v>
      </c>
      <c r="O746" s="905"/>
      <c r="P746" s="58" t="str">
        <f>IF(N741&gt;0,"xx",IF(N741&gt;0,"xy",""))</f>
        <v/>
      </c>
      <c r="Q746" s="317" t="str">
        <f t="shared" si="89"/>
        <v/>
      </c>
      <c r="R746" s="317" t="str">
        <f t="shared" si="90"/>
        <v/>
      </c>
      <c r="S746" s="317" t="str">
        <f t="shared" si="91"/>
        <v/>
      </c>
      <c r="T746" s="317" t="str">
        <f>GLOBAL_DER_FEV_2023!S746</f>
        <v/>
      </c>
      <c r="W746" s="582">
        <v>0</v>
      </c>
      <c r="X746" s="580"/>
      <c r="Y746" s="583">
        <f>IF(GLOBAL_DER_FEV_2023!W746=0,0,IF(GLOBAL_DER_FEV_2023!W746&gt;0,"c","b"))</f>
        <v>0</v>
      </c>
    </row>
    <row r="747" spans="1:25" x14ac:dyDescent="0.2">
      <c r="A747" s="317">
        <v>534300</v>
      </c>
      <c r="B747" s="999" t="s">
        <v>1762</v>
      </c>
      <c r="C747" s="1000" t="s">
        <v>184</v>
      </c>
      <c r="D747" s="973" t="s">
        <v>2210</v>
      </c>
      <c r="E747" s="974" t="str">
        <f>GLOBAL_DER_FEV_2023!E747</f>
        <v>taxa RM-2C</v>
      </c>
      <c r="F747" s="975">
        <f>GLOBAL_DER_FEV_2023!F747</f>
        <v>0.18240000000000001</v>
      </c>
      <c r="G747" s="976">
        <f>GLOBAL_DER_FEV_2023!G747</f>
        <v>184.42589220000002</v>
      </c>
      <c r="H747" s="977">
        <f>GLOBAL_DER_FEV_2023!H747</f>
        <v>140.30000000000001</v>
      </c>
      <c r="I747" s="977">
        <f>GLOBAL_DER_FEV_2023!I747</f>
        <v>324.72589220000003</v>
      </c>
      <c r="J747" s="978">
        <f>GLOBAL_DER_FEV_2023!J747</f>
        <v>389.9</v>
      </c>
      <c r="K747" s="979" t="s">
        <v>10</v>
      </c>
      <c r="L747" s="1152"/>
      <c r="M747" s="1153">
        <f t="shared" si="88"/>
        <v>0</v>
      </c>
      <c r="N747" s="982">
        <f t="shared" si="92"/>
        <v>0</v>
      </c>
      <c r="O747" s="905"/>
      <c r="Q747" s="317" t="str">
        <f t="shared" si="89"/>
        <v/>
      </c>
      <c r="R747" s="317" t="str">
        <f t="shared" si="90"/>
        <v/>
      </c>
      <c r="S747" s="317" t="str">
        <f t="shared" si="91"/>
        <v/>
      </c>
      <c r="T747" s="317" t="str">
        <f>GLOBAL_DER_FEV_2023!S747</f>
        <v/>
      </c>
      <c r="W747" s="582">
        <v>0</v>
      </c>
      <c r="X747" s="580"/>
      <c r="Y747" s="583">
        <f>IF(GLOBAL_DER_FEV_2023!W747=0,0,IF(GLOBAL_DER_FEV_2023!W747&gt;0,"c","b"))</f>
        <v>0</v>
      </c>
    </row>
    <row r="748" spans="1:25" x14ac:dyDescent="0.2">
      <c r="A748" s="317" t="s">
        <v>147</v>
      </c>
      <c r="B748" s="895" t="s">
        <v>147</v>
      </c>
      <c r="C748" s="896"/>
      <c r="D748" s="957" t="s">
        <v>229</v>
      </c>
      <c r="E748" s="907">
        <f>GLOBAL_DER_FEV_2023!E748</f>
        <v>150</v>
      </c>
      <c r="F748" s="908">
        <f>GLOBAL_DER_FEV_2023!F748</f>
        <v>0.56969999999999998</v>
      </c>
      <c r="G748" s="912">
        <f>GLOBAL_DER_FEV_2023!G748</f>
        <v>92.963645999999997</v>
      </c>
      <c r="H748" s="901">
        <f>GLOBAL_DER_FEV_2023!H748</f>
        <v>0</v>
      </c>
      <c r="I748" s="901">
        <f>GLOBAL_DER_FEV_2023!I748</f>
        <v>0</v>
      </c>
      <c r="J748" s="902">
        <f>GLOBAL_DER_FEV_2023!J748</f>
        <v>0</v>
      </c>
      <c r="K748" s="903" t="s">
        <v>507</v>
      </c>
      <c r="L748" s="1003"/>
      <c r="M748" s="1157">
        <f t="shared" si="88"/>
        <v>0</v>
      </c>
      <c r="N748" s="893">
        <f t="shared" si="92"/>
        <v>0</v>
      </c>
      <c r="O748" s="905"/>
      <c r="P748" s="58" t="str">
        <f>IF(N747&gt;0,"xx",IF(N747&gt;0,"xy",""))</f>
        <v/>
      </c>
      <c r="Q748" s="317" t="str">
        <f t="shared" si="89"/>
        <v/>
      </c>
      <c r="R748" s="317" t="str">
        <f t="shared" si="90"/>
        <v/>
      </c>
      <c r="S748" s="317" t="str">
        <f t="shared" si="91"/>
        <v/>
      </c>
      <c r="T748" s="317" t="str">
        <f>GLOBAL_DER_FEV_2023!S748</f>
        <v/>
      </c>
      <c r="W748" s="582">
        <v>0</v>
      </c>
      <c r="X748" s="580"/>
      <c r="Y748" s="583">
        <f>IF(GLOBAL_DER_FEV_2023!W748=0,0,IF(GLOBAL_DER_FEV_2023!W748&gt;0,"c","b"))</f>
        <v>0</v>
      </c>
    </row>
    <row r="749" spans="1:25" x14ac:dyDescent="0.2">
      <c r="A749" s="317" t="s">
        <v>147</v>
      </c>
      <c r="B749" s="895" t="s">
        <v>147</v>
      </c>
      <c r="C749" s="896"/>
      <c r="D749" s="957" t="s">
        <v>230</v>
      </c>
      <c r="E749" s="907">
        <f>GLOBAL_DER_FEV_2023!E749</f>
        <v>353</v>
      </c>
      <c r="F749" s="908">
        <f>GLOBAL_DER_FEV_2023!F749</f>
        <v>8.7599999999999997E-2</v>
      </c>
      <c r="G749" s="909">
        <f>GLOBAL_DER_FEV_2023!G749</f>
        <v>24.804816000000002</v>
      </c>
      <c r="H749" s="901">
        <f>GLOBAL_DER_FEV_2023!H749</f>
        <v>0</v>
      </c>
      <c r="I749" s="901">
        <f>GLOBAL_DER_FEV_2023!I749</f>
        <v>0</v>
      </c>
      <c r="J749" s="902">
        <f>GLOBAL_DER_FEV_2023!J749</f>
        <v>0</v>
      </c>
      <c r="K749" s="903" t="s">
        <v>507</v>
      </c>
      <c r="L749" s="1003"/>
      <c r="M749" s="1157">
        <f t="shared" si="88"/>
        <v>0</v>
      </c>
      <c r="N749" s="893">
        <f t="shared" si="92"/>
        <v>0</v>
      </c>
      <c r="O749" s="905"/>
      <c r="P749" s="58" t="str">
        <f>IF(N747&gt;0,"xx",IF(N747&gt;0,"xy",""))</f>
        <v/>
      </c>
      <c r="Q749" s="317" t="str">
        <f t="shared" si="89"/>
        <v/>
      </c>
      <c r="R749" s="317" t="str">
        <f t="shared" si="90"/>
        <v/>
      </c>
      <c r="S749" s="317" t="str">
        <f t="shared" si="91"/>
        <v/>
      </c>
      <c r="T749" s="317" t="str">
        <f>GLOBAL_DER_FEV_2023!S749</f>
        <v/>
      </c>
      <c r="W749" s="582">
        <v>0</v>
      </c>
      <c r="X749" s="580"/>
      <c r="Y749" s="583">
        <f>IF(GLOBAL_DER_FEV_2023!W749=0,0,IF(GLOBAL_DER_FEV_2023!W749&gt;0,"c","b"))</f>
        <v>0</v>
      </c>
    </row>
    <row r="750" spans="1:25" x14ac:dyDescent="0.2">
      <c r="A750" s="317" t="s">
        <v>147</v>
      </c>
      <c r="B750" s="895" t="s">
        <v>147</v>
      </c>
      <c r="C750" s="896"/>
      <c r="D750" s="957" t="s">
        <v>243</v>
      </c>
      <c r="E750" s="907">
        <f>GLOBAL_DER_FEV_2023!E750</f>
        <v>0.2</v>
      </c>
      <c r="F750" s="908">
        <f>GLOBAL_DER_FEV_2023!F750</f>
        <v>1.5333000000000001</v>
      </c>
      <c r="G750" s="912">
        <f>GLOBAL_DER_FEV_2023!G750</f>
        <v>4.4373702000000002</v>
      </c>
      <c r="H750" s="901">
        <f>GLOBAL_DER_FEV_2023!H750</f>
        <v>0</v>
      </c>
      <c r="I750" s="901">
        <f>GLOBAL_DER_FEV_2023!I750</f>
        <v>0</v>
      </c>
      <c r="J750" s="902">
        <f>GLOBAL_DER_FEV_2023!J750</f>
        <v>0</v>
      </c>
      <c r="K750" s="903" t="s">
        <v>507</v>
      </c>
      <c r="L750" s="1003"/>
      <c r="M750" s="1157">
        <f t="shared" si="88"/>
        <v>0</v>
      </c>
      <c r="N750" s="893">
        <f t="shared" si="92"/>
        <v>0</v>
      </c>
      <c r="O750" s="905"/>
      <c r="P750" s="58" t="str">
        <f>IF(N747&gt;0,"xx",IF(N747&gt;0,"xy",""))</f>
        <v/>
      </c>
      <c r="Q750" s="317" t="str">
        <f t="shared" si="89"/>
        <v/>
      </c>
      <c r="R750" s="317" t="str">
        <f t="shared" si="90"/>
        <v/>
      </c>
      <c r="S750" s="317" t="str">
        <f t="shared" si="91"/>
        <v/>
      </c>
      <c r="T750" s="317" t="str">
        <f>GLOBAL_DER_FEV_2023!S750</f>
        <v/>
      </c>
      <c r="W750" s="582">
        <v>0</v>
      </c>
      <c r="X750" s="580"/>
      <c r="Y750" s="583">
        <f>IF(GLOBAL_DER_FEV_2023!W750=0,0,IF(GLOBAL_DER_FEV_2023!W750&gt;0,"c","b"))</f>
        <v>0</v>
      </c>
    </row>
    <row r="751" spans="1:25" x14ac:dyDescent="0.2">
      <c r="A751" s="317" t="s">
        <v>147</v>
      </c>
      <c r="B751" s="895" t="s">
        <v>147</v>
      </c>
      <c r="C751" s="896"/>
      <c r="D751" s="957" t="s">
        <v>244</v>
      </c>
      <c r="E751" s="907">
        <f>GLOBAL_DER_FEV_2023!E751</f>
        <v>22</v>
      </c>
      <c r="F751" s="908">
        <f>GLOBAL_DER_FEV_2023!F751</f>
        <v>2.3730000000000002</v>
      </c>
      <c r="G751" s="912">
        <f>GLOBAL_DER_FEV_2023!G751</f>
        <v>62.220060000000011</v>
      </c>
      <c r="H751" s="901">
        <f>GLOBAL_DER_FEV_2023!H751</f>
        <v>0</v>
      </c>
      <c r="I751" s="901">
        <f>GLOBAL_DER_FEV_2023!I751</f>
        <v>0</v>
      </c>
      <c r="J751" s="902">
        <f>GLOBAL_DER_FEV_2023!J751</f>
        <v>0</v>
      </c>
      <c r="K751" s="903" t="s">
        <v>507</v>
      </c>
      <c r="L751" s="1003"/>
      <c r="M751" s="1157">
        <f t="shared" si="88"/>
        <v>0</v>
      </c>
      <c r="N751" s="893">
        <f t="shared" si="92"/>
        <v>0</v>
      </c>
      <c r="O751" s="905"/>
      <c r="P751" s="58" t="str">
        <f>IF(N747&gt;0,"xx",IF(N747&gt;0,"xy",""))</f>
        <v/>
      </c>
      <c r="Q751" s="317" t="str">
        <f t="shared" si="89"/>
        <v/>
      </c>
      <c r="R751" s="317" t="str">
        <f t="shared" si="90"/>
        <v/>
      </c>
      <c r="S751" s="317" t="str">
        <f t="shared" si="91"/>
        <v/>
      </c>
      <c r="T751" s="317" t="str">
        <f>GLOBAL_DER_FEV_2023!S751</f>
        <v/>
      </c>
      <c r="W751" s="582">
        <v>0</v>
      </c>
      <c r="X751" s="580"/>
      <c r="Y751" s="583">
        <f>IF(GLOBAL_DER_FEV_2023!W751=0,0,IF(GLOBAL_DER_FEV_2023!W751&gt;0,"c","b"))</f>
        <v>0</v>
      </c>
    </row>
    <row r="752" spans="1:25" ht="13.5" thickBot="1" x14ac:dyDescent="0.25">
      <c r="A752" s="317">
        <v>589320</v>
      </c>
      <c r="B752" s="1004" t="s">
        <v>1696</v>
      </c>
      <c r="C752" s="984" t="s">
        <v>213</v>
      </c>
      <c r="D752" s="1012" t="s">
        <v>1682</v>
      </c>
      <c r="E752" s="1005">
        <f>GLOBAL_DER_FEV_2023!E752</f>
        <v>45</v>
      </c>
      <c r="F752" s="1006">
        <f>GLOBAL_DER_FEV_2023!F752</f>
        <v>1</v>
      </c>
      <c r="G752" s="949">
        <f>GLOBAL_DER_FEV_2023!G752</f>
        <v>79.25</v>
      </c>
      <c r="H752" s="988">
        <f>GLOBAL_DER_FEV_2023!H752</f>
        <v>4012.83</v>
      </c>
      <c r="I752" s="988">
        <f>GLOBAL_DER_FEV_2023!I752</f>
        <v>3931.9945856583668</v>
      </c>
      <c r="J752" s="989">
        <f>GLOBAL_DER_FEV_2023!J752</f>
        <v>4721.1499999999996</v>
      </c>
      <c r="K752" s="990" t="s">
        <v>14</v>
      </c>
      <c r="L752" s="1169">
        <f>ROUND(L747*$F747,2)</f>
        <v>0</v>
      </c>
      <c r="M752" s="1168">
        <f t="shared" si="88"/>
        <v>0</v>
      </c>
      <c r="N752" s="993">
        <f t="shared" si="92"/>
        <v>0</v>
      </c>
      <c r="O752" s="905"/>
      <c r="P752" s="58" t="str">
        <f>IF(N747&gt;0,"xx",IF(N747&gt;0,"xy",""))</f>
        <v/>
      </c>
      <c r="Q752" s="317" t="str">
        <f t="shared" si="89"/>
        <v/>
      </c>
      <c r="R752" s="317" t="str">
        <f t="shared" si="90"/>
        <v/>
      </c>
      <c r="S752" s="317" t="str">
        <f t="shared" si="91"/>
        <v/>
      </c>
      <c r="T752" s="317" t="str">
        <f>GLOBAL_DER_FEV_2023!S752</f>
        <v/>
      </c>
      <c r="W752" s="582">
        <v>0</v>
      </c>
      <c r="X752" s="580"/>
      <c r="Y752" s="583">
        <f>IF(GLOBAL_DER_FEV_2023!W752=0,0,IF(GLOBAL_DER_FEV_2023!W752&gt;0,"c","b"))</f>
        <v>0</v>
      </c>
    </row>
    <row r="753" spans="1:25" x14ac:dyDescent="0.2">
      <c r="A753" s="317">
        <v>570300</v>
      </c>
      <c r="B753" s="999" t="s">
        <v>1763</v>
      </c>
      <c r="C753" s="1000" t="s">
        <v>184</v>
      </c>
      <c r="D753" s="1019" t="s">
        <v>769</v>
      </c>
      <c r="E753" s="974" t="str">
        <f>GLOBAL_DER_FEV_2023!E753</f>
        <v>taxa CAP</v>
      </c>
      <c r="F753" s="975">
        <f>GLOBAL_DER_FEV_2023!F753</f>
        <v>0.04</v>
      </c>
      <c r="G753" s="976">
        <f>GLOBAL_DER_FEV_2023!G753</f>
        <v>36.972230000000003</v>
      </c>
      <c r="H753" s="977">
        <f>GLOBAL_DER_FEV_2023!H753</f>
        <v>178.78</v>
      </c>
      <c r="I753" s="977">
        <f>GLOBAL_DER_FEV_2023!I753</f>
        <v>215.75223</v>
      </c>
      <c r="J753" s="978">
        <f>GLOBAL_DER_FEV_2023!J753</f>
        <v>259.05</v>
      </c>
      <c r="K753" s="979" t="s">
        <v>14</v>
      </c>
      <c r="L753" s="1152"/>
      <c r="M753" s="1153">
        <f t="shared" si="88"/>
        <v>0</v>
      </c>
      <c r="N753" s="982">
        <f t="shared" si="92"/>
        <v>0</v>
      </c>
      <c r="O753" s="905"/>
      <c r="Q753" s="317" t="str">
        <f t="shared" si="89"/>
        <v/>
      </c>
      <c r="R753" s="317" t="str">
        <f t="shared" si="90"/>
        <v/>
      </c>
      <c r="S753" s="317" t="str">
        <f t="shared" si="91"/>
        <v/>
      </c>
      <c r="T753" s="317" t="str">
        <f>GLOBAL_DER_FEV_2023!S753</f>
        <v/>
      </c>
      <c r="W753" s="582">
        <v>0</v>
      </c>
      <c r="X753" s="580"/>
      <c r="Y753" s="583">
        <f>IF(GLOBAL_DER_FEV_2023!W753=0,0,IF(GLOBAL_DER_FEV_2023!W753&gt;0,"c","b"))</f>
        <v>0</v>
      </c>
    </row>
    <row r="754" spans="1:25" x14ac:dyDescent="0.2">
      <c r="A754" s="317" t="s">
        <v>147</v>
      </c>
      <c r="B754" s="895" t="s">
        <v>147</v>
      </c>
      <c r="C754" s="896"/>
      <c r="D754" s="957" t="s">
        <v>229</v>
      </c>
      <c r="E754" s="907">
        <f>GLOBAL_DER_FEV_2023!E754</f>
        <v>150</v>
      </c>
      <c r="F754" s="908">
        <f>GLOBAL_DER_FEV_2023!F754</f>
        <v>0</v>
      </c>
      <c r="G754" s="949">
        <f>GLOBAL_DER_FEV_2023!G754</f>
        <v>0</v>
      </c>
      <c r="H754" s="901">
        <f>GLOBAL_DER_FEV_2023!H754</f>
        <v>0</v>
      </c>
      <c r="I754" s="901">
        <f>GLOBAL_DER_FEV_2023!I754</f>
        <v>0</v>
      </c>
      <c r="J754" s="902">
        <f>GLOBAL_DER_FEV_2023!J754</f>
        <v>0</v>
      </c>
      <c r="K754" s="903" t="s">
        <v>507</v>
      </c>
      <c r="L754" s="1003"/>
      <c r="M754" s="1157">
        <f t="shared" si="88"/>
        <v>0</v>
      </c>
      <c r="N754" s="893">
        <f t="shared" si="92"/>
        <v>0</v>
      </c>
      <c r="O754" s="905"/>
      <c r="P754" s="58" t="str">
        <f>IF(N753&gt;0,"xx",IF(N753&gt;0,"xy",""))</f>
        <v/>
      </c>
      <c r="Q754" s="317" t="str">
        <f t="shared" si="89"/>
        <v/>
      </c>
      <c r="R754" s="317" t="str">
        <f t="shared" si="90"/>
        <v/>
      </c>
      <c r="S754" s="317" t="str">
        <f t="shared" si="91"/>
        <v/>
      </c>
      <c r="T754" s="317" t="str">
        <f>GLOBAL_DER_FEV_2023!S754</f>
        <v/>
      </c>
      <c r="W754" s="582">
        <v>0</v>
      </c>
      <c r="X754" s="580"/>
      <c r="Y754" s="583">
        <f>IF(GLOBAL_DER_FEV_2023!W754=0,0,IF(GLOBAL_DER_FEV_2023!W754&gt;0,"c","b"))</f>
        <v>0</v>
      </c>
    </row>
    <row r="755" spans="1:25" x14ac:dyDescent="0.2">
      <c r="A755" s="317" t="s">
        <v>147</v>
      </c>
      <c r="B755" s="895" t="s">
        <v>147</v>
      </c>
      <c r="C755" s="896"/>
      <c r="D755" s="957" t="s">
        <v>230</v>
      </c>
      <c r="E755" s="907">
        <f>GLOBAL_DER_FEV_2023!E755</f>
        <v>353</v>
      </c>
      <c r="F755" s="908">
        <f>GLOBAL_DER_FEV_2023!F755</f>
        <v>1.4999999999999999E-2</v>
      </c>
      <c r="G755" s="909">
        <f>GLOBAL_DER_FEV_2023!G755</f>
        <v>4.2473999999999998</v>
      </c>
      <c r="H755" s="901">
        <f>GLOBAL_DER_FEV_2023!H755</f>
        <v>0</v>
      </c>
      <c r="I755" s="901">
        <f>GLOBAL_DER_FEV_2023!I755</f>
        <v>0</v>
      </c>
      <c r="J755" s="902">
        <f>GLOBAL_DER_FEV_2023!J755</f>
        <v>0</v>
      </c>
      <c r="K755" s="903" t="s">
        <v>507</v>
      </c>
      <c r="L755" s="1003"/>
      <c r="M755" s="1157">
        <f t="shared" si="88"/>
        <v>0</v>
      </c>
      <c r="N755" s="893">
        <f t="shared" si="92"/>
        <v>0</v>
      </c>
      <c r="O755" s="905"/>
      <c r="P755" s="58" t="str">
        <f>IF(N753&gt;0,"xx",IF(N753&gt;0,"xy",""))</f>
        <v/>
      </c>
      <c r="Q755" s="317" t="str">
        <f t="shared" si="89"/>
        <v/>
      </c>
      <c r="R755" s="317" t="str">
        <f t="shared" si="90"/>
        <v/>
      </c>
      <c r="S755" s="317" t="str">
        <f t="shared" si="91"/>
        <v/>
      </c>
      <c r="T755" s="317" t="str">
        <f>GLOBAL_DER_FEV_2023!S755</f>
        <v/>
      </c>
      <c r="W755" s="582">
        <v>0</v>
      </c>
      <c r="X755" s="580"/>
      <c r="Y755" s="583">
        <f>IF(GLOBAL_DER_FEV_2023!W755=0,0,IF(GLOBAL_DER_FEV_2023!W755&gt;0,"c","b"))</f>
        <v>0</v>
      </c>
    </row>
    <row r="756" spans="1:25" x14ac:dyDescent="0.2">
      <c r="A756" s="317" t="s">
        <v>147</v>
      </c>
      <c r="B756" s="895" t="s">
        <v>147</v>
      </c>
      <c r="C756" s="896"/>
      <c r="D756" s="957" t="s">
        <v>243</v>
      </c>
      <c r="E756" s="907">
        <f>GLOBAL_DER_FEV_2023!E756</f>
        <v>0.2</v>
      </c>
      <c r="F756" s="908">
        <f>GLOBAL_DER_FEV_2023!F756</f>
        <v>0.94499999999999995</v>
      </c>
      <c r="G756" s="949">
        <f>GLOBAL_DER_FEV_2023!G756</f>
        <v>2.7348300000000001</v>
      </c>
      <c r="H756" s="901">
        <f>GLOBAL_DER_FEV_2023!H756</f>
        <v>0</v>
      </c>
      <c r="I756" s="901">
        <f>GLOBAL_DER_FEV_2023!I756</f>
        <v>0</v>
      </c>
      <c r="J756" s="902">
        <f>GLOBAL_DER_FEV_2023!J756</f>
        <v>0</v>
      </c>
      <c r="K756" s="903" t="s">
        <v>507</v>
      </c>
      <c r="L756" s="1003"/>
      <c r="M756" s="1157">
        <f t="shared" si="88"/>
        <v>0</v>
      </c>
      <c r="N756" s="893">
        <f t="shared" si="92"/>
        <v>0</v>
      </c>
      <c r="O756" s="905"/>
      <c r="P756" s="58" t="str">
        <f>IF(N753&gt;0,"xx",IF(N753&gt;0,"xy",""))</f>
        <v/>
      </c>
      <c r="Q756" s="317" t="str">
        <f t="shared" si="89"/>
        <v/>
      </c>
      <c r="R756" s="317" t="str">
        <f t="shared" si="90"/>
        <v/>
      </c>
      <c r="S756" s="317" t="str">
        <f t="shared" si="91"/>
        <v/>
      </c>
      <c r="T756" s="317" t="str">
        <f>GLOBAL_DER_FEV_2023!S756</f>
        <v/>
      </c>
      <c r="W756" s="582">
        <v>0</v>
      </c>
      <c r="X756" s="580"/>
      <c r="Y756" s="583">
        <f>IF(GLOBAL_DER_FEV_2023!W756=0,0,IF(GLOBAL_DER_FEV_2023!W756&gt;0,"c","b"))</f>
        <v>0</v>
      </c>
    </row>
    <row r="757" spans="1:25" x14ac:dyDescent="0.2">
      <c r="A757" s="317" t="s">
        <v>147</v>
      </c>
      <c r="B757" s="895" t="s">
        <v>147</v>
      </c>
      <c r="C757" s="896"/>
      <c r="D757" s="957" t="s">
        <v>244</v>
      </c>
      <c r="E757" s="907">
        <f>GLOBAL_DER_FEV_2023!E757</f>
        <v>22</v>
      </c>
      <c r="F757" s="908">
        <f>GLOBAL_DER_FEV_2023!F757</f>
        <v>1</v>
      </c>
      <c r="G757" s="912">
        <f>GLOBAL_DER_FEV_2023!G757</f>
        <v>29.990000000000002</v>
      </c>
      <c r="H757" s="901">
        <f>GLOBAL_DER_FEV_2023!H757</f>
        <v>0</v>
      </c>
      <c r="I757" s="901">
        <f>GLOBAL_DER_FEV_2023!I757</f>
        <v>0</v>
      </c>
      <c r="J757" s="902">
        <f>GLOBAL_DER_FEV_2023!J757</f>
        <v>0</v>
      </c>
      <c r="K757" s="903" t="s">
        <v>507</v>
      </c>
      <c r="L757" s="1003"/>
      <c r="M757" s="1157">
        <f t="shared" si="88"/>
        <v>0</v>
      </c>
      <c r="N757" s="893">
        <f t="shared" si="92"/>
        <v>0</v>
      </c>
      <c r="O757" s="905"/>
      <c r="P757" s="58" t="str">
        <f>IF(N753&gt;0,"xx",IF(N753&gt;0,"xy",""))</f>
        <v/>
      </c>
      <c r="Q757" s="317" t="str">
        <f t="shared" si="89"/>
        <v/>
      </c>
      <c r="R757" s="317" t="str">
        <f t="shared" si="90"/>
        <v/>
      </c>
      <c r="S757" s="317" t="str">
        <f t="shared" si="91"/>
        <v/>
      </c>
      <c r="T757" s="317" t="str">
        <f>GLOBAL_DER_FEV_2023!S757</f>
        <v/>
      </c>
      <c r="W757" s="582">
        <v>0</v>
      </c>
      <c r="X757" s="580"/>
      <c r="Y757" s="583">
        <f>IF(GLOBAL_DER_FEV_2023!W757=0,0,IF(GLOBAL_DER_FEV_2023!W757&gt;0,"c","b"))</f>
        <v>0</v>
      </c>
    </row>
    <row r="758" spans="1:25" ht="13.5" thickBot="1" x14ac:dyDescent="0.25">
      <c r="A758" s="317">
        <v>589000</v>
      </c>
      <c r="B758" s="1009" t="s">
        <v>726</v>
      </c>
      <c r="C758" s="860" t="s">
        <v>213</v>
      </c>
      <c r="D758" s="1012" t="s">
        <v>565</v>
      </c>
      <c r="E758" s="1020">
        <f>GLOBAL_DER_FEV_2023!E758</f>
        <v>45</v>
      </c>
      <c r="F758" s="1006">
        <f>GLOBAL_DER_FEV_2023!F758</f>
        <v>1</v>
      </c>
      <c r="G758" s="949">
        <f>GLOBAL_DER_FEV_2023!G758</f>
        <v>88.36</v>
      </c>
      <c r="H758" s="988">
        <f>GLOBAL_DER_FEV_2023!H758</f>
        <v>4828.8599999999997</v>
      </c>
      <c r="I758" s="988">
        <f>GLOBAL_DER_FEV_2023!I758</f>
        <v>4724.580378112767</v>
      </c>
      <c r="J758" s="1011">
        <f>GLOBAL_DER_FEV_2023!J758</f>
        <v>5672.8</v>
      </c>
      <c r="K758" s="867" t="s">
        <v>14</v>
      </c>
      <c r="L758" s="1169">
        <f>ROUND(L753*$F753,2)</f>
        <v>0</v>
      </c>
      <c r="M758" s="1168">
        <f t="shared" si="88"/>
        <v>0</v>
      </c>
      <c r="N758" s="993">
        <f t="shared" si="92"/>
        <v>0</v>
      </c>
      <c r="O758" s="905"/>
      <c r="P758" s="58" t="str">
        <f>IF(N753&gt;0,"xx",IF(N753&gt;0,"xy",""))</f>
        <v/>
      </c>
      <c r="Q758" s="317" t="str">
        <f t="shared" si="89"/>
        <v/>
      </c>
      <c r="R758" s="317" t="str">
        <f t="shared" si="90"/>
        <v/>
      </c>
      <c r="S758" s="317" t="str">
        <f t="shared" si="91"/>
        <v/>
      </c>
      <c r="T758" s="317" t="str">
        <f>GLOBAL_DER_FEV_2023!S758</f>
        <v/>
      </c>
      <c r="W758" s="582">
        <v>0</v>
      </c>
      <c r="X758" s="580"/>
      <c r="Y758" s="583">
        <f>IF(GLOBAL_DER_FEV_2023!W758=0,0,IF(GLOBAL_DER_FEV_2023!W758&gt;0,"c","b"))</f>
        <v>0</v>
      </c>
    </row>
    <row r="759" spans="1:25" x14ac:dyDescent="0.2">
      <c r="A759" s="317">
        <v>570310</v>
      </c>
      <c r="B759" s="999" t="s">
        <v>1650</v>
      </c>
      <c r="C759" s="1000" t="s">
        <v>184</v>
      </c>
      <c r="D759" s="1019" t="s">
        <v>770</v>
      </c>
      <c r="E759" s="974" t="str">
        <f>GLOBAL_DER_FEV_2023!E759</f>
        <v>taxa CAP</v>
      </c>
      <c r="F759" s="975">
        <f>GLOBAL_DER_FEV_2023!F759</f>
        <v>0.04</v>
      </c>
      <c r="G759" s="976">
        <f>GLOBAL_DER_FEV_2023!G759</f>
        <v>36.972230000000003</v>
      </c>
      <c r="H759" s="977">
        <f>GLOBAL_DER_FEV_2023!H759</f>
        <v>158.85</v>
      </c>
      <c r="I759" s="977">
        <f>GLOBAL_DER_FEV_2023!I759</f>
        <v>195.82222999999999</v>
      </c>
      <c r="J759" s="978">
        <f>GLOBAL_DER_FEV_2023!J759</f>
        <v>235.12</v>
      </c>
      <c r="K759" s="979" t="s">
        <v>14</v>
      </c>
      <c r="L759" s="1152"/>
      <c r="M759" s="1153">
        <f t="shared" si="88"/>
        <v>0</v>
      </c>
      <c r="N759" s="982">
        <f t="shared" si="92"/>
        <v>0</v>
      </c>
      <c r="O759" s="905"/>
      <c r="Q759" s="317" t="str">
        <f t="shared" si="89"/>
        <v/>
      </c>
      <c r="R759" s="317" t="str">
        <f t="shared" si="90"/>
        <v/>
      </c>
      <c r="S759" s="317" t="str">
        <f t="shared" si="91"/>
        <v/>
      </c>
      <c r="T759" s="317" t="str">
        <f>GLOBAL_DER_FEV_2023!S759</f>
        <v/>
      </c>
      <c r="W759" s="582">
        <v>0</v>
      </c>
      <c r="X759" s="580"/>
      <c r="Y759" s="583">
        <f>IF(GLOBAL_DER_FEV_2023!W759=0,0,IF(GLOBAL_DER_FEV_2023!W759&gt;0,"c","b"))</f>
        <v>0</v>
      </c>
    </row>
    <row r="760" spans="1:25" x14ac:dyDescent="0.2">
      <c r="A760" s="317" t="s">
        <v>147</v>
      </c>
      <c r="B760" s="895" t="s">
        <v>147</v>
      </c>
      <c r="C760" s="896"/>
      <c r="D760" s="957" t="s">
        <v>229</v>
      </c>
      <c r="E760" s="907">
        <f>GLOBAL_DER_FEV_2023!E760</f>
        <v>150</v>
      </c>
      <c r="F760" s="908">
        <f>GLOBAL_DER_FEV_2023!F760</f>
        <v>0</v>
      </c>
      <c r="G760" s="949">
        <f>GLOBAL_DER_FEV_2023!G760</f>
        <v>0</v>
      </c>
      <c r="H760" s="901">
        <f>GLOBAL_DER_FEV_2023!H760</f>
        <v>0</v>
      </c>
      <c r="I760" s="901">
        <f>GLOBAL_DER_FEV_2023!I760</f>
        <v>0</v>
      </c>
      <c r="J760" s="902">
        <f>GLOBAL_DER_FEV_2023!J760</f>
        <v>0</v>
      </c>
      <c r="K760" s="903" t="s">
        <v>507</v>
      </c>
      <c r="L760" s="1003"/>
      <c r="M760" s="1157">
        <f t="shared" si="88"/>
        <v>0</v>
      </c>
      <c r="N760" s="893">
        <f t="shared" si="92"/>
        <v>0</v>
      </c>
      <c r="O760" s="905"/>
      <c r="P760" s="58" t="str">
        <f>IF(N759&gt;0,"xx",IF(N759&gt;0,"xy",""))</f>
        <v/>
      </c>
      <c r="Q760" s="317" t="str">
        <f t="shared" si="89"/>
        <v/>
      </c>
      <c r="R760" s="317" t="str">
        <f t="shared" si="90"/>
        <v/>
      </c>
      <c r="S760" s="317" t="str">
        <f t="shared" si="91"/>
        <v/>
      </c>
      <c r="T760" s="317" t="str">
        <f>GLOBAL_DER_FEV_2023!S760</f>
        <v/>
      </c>
      <c r="W760" s="582">
        <v>0</v>
      </c>
      <c r="X760" s="580"/>
      <c r="Y760" s="583">
        <f>IF(GLOBAL_DER_FEV_2023!W760=0,0,IF(GLOBAL_DER_FEV_2023!W760&gt;0,"c","b"))</f>
        <v>0</v>
      </c>
    </row>
    <row r="761" spans="1:25" x14ac:dyDescent="0.2">
      <c r="A761" s="317" t="s">
        <v>147</v>
      </c>
      <c r="B761" s="895" t="s">
        <v>147</v>
      </c>
      <c r="C761" s="896"/>
      <c r="D761" s="957" t="s">
        <v>230</v>
      </c>
      <c r="E761" s="907">
        <f>GLOBAL_DER_FEV_2023!E761</f>
        <v>353</v>
      </c>
      <c r="F761" s="908">
        <f>GLOBAL_DER_FEV_2023!F761</f>
        <v>1.4999999999999999E-2</v>
      </c>
      <c r="G761" s="909">
        <f>GLOBAL_DER_FEV_2023!G761</f>
        <v>4.2473999999999998</v>
      </c>
      <c r="H761" s="901">
        <f>GLOBAL_DER_FEV_2023!H761</f>
        <v>0</v>
      </c>
      <c r="I761" s="901">
        <f>GLOBAL_DER_FEV_2023!I761</f>
        <v>0</v>
      </c>
      <c r="J761" s="902">
        <f>GLOBAL_DER_FEV_2023!J761</f>
        <v>0</v>
      </c>
      <c r="K761" s="903" t="s">
        <v>507</v>
      </c>
      <c r="L761" s="1003"/>
      <c r="M761" s="1157">
        <f t="shared" si="88"/>
        <v>0</v>
      </c>
      <c r="N761" s="893">
        <f t="shared" si="92"/>
        <v>0</v>
      </c>
      <c r="O761" s="905"/>
      <c r="P761" s="58" t="str">
        <f>IF(N759&gt;0,"xx",IF(N759&gt;0,"xy",""))</f>
        <v/>
      </c>
      <c r="Q761" s="317" t="str">
        <f t="shared" si="89"/>
        <v/>
      </c>
      <c r="R761" s="317" t="str">
        <f t="shared" si="90"/>
        <v/>
      </c>
      <c r="S761" s="317" t="str">
        <f t="shared" si="91"/>
        <v/>
      </c>
      <c r="T761" s="317" t="str">
        <f>GLOBAL_DER_FEV_2023!S761</f>
        <v/>
      </c>
      <c r="W761" s="582">
        <v>0</v>
      </c>
      <c r="X761" s="580"/>
      <c r="Y761" s="583">
        <f>IF(GLOBAL_DER_FEV_2023!W761=0,0,IF(GLOBAL_DER_FEV_2023!W761&gt;0,"c","b"))</f>
        <v>0</v>
      </c>
    </row>
    <row r="762" spans="1:25" x14ac:dyDescent="0.2">
      <c r="A762" s="317" t="s">
        <v>147</v>
      </c>
      <c r="B762" s="895" t="s">
        <v>147</v>
      </c>
      <c r="C762" s="896"/>
      <c r="D762" s="957" t="s">
        <v>243</v>
      </c>
      <c r="E762" s="907">
        <f>GLOBAL_DER_FEV_2023!E762</f>
        <v>0.2</v>
      </c>
      <c r="F762" s="908">
        <f>GLOBAL_DER_FEV_2023!F762</f>
        <v>0.94499999999999995</v>
      </c>
      <c r="G762" s="949">
        <f>GLOBAL_DER_FEV_2023!G762</f>
        <v>2.7348300000000001</v>
      </c>
      <c r="H762" s="901">
        <f>GLOBAL_DER_FEV_2023!H762</f>
        <v>0</v>
      </c>
      <c r="I762" s="901">
        <f>GLOBAL_DER_FEV_2023!I762</f>
        <v>0</v>
      </c>
      <c r="J762" s="902">
        <f>GLOBAL_DER_FEV_2023!J762</f>
        <v>0</v>
      </c>
      <c r="K762" s="903" t="s">
        <v>507</v>
      </c>
      <c r="L762" s="1003"/>
      <c r="M762" s="1157">
        <f t="shared" si="88"/>
        <v>0</v>
      </c>
      <c r="N762" s="893">
        <f t="shared" si="92"/>
        <v>0</v>
      </c>
      <c r="O762" s="905"/>
      <c r="P762" s="58" t="str">
        <f>IF(N759&gt;0,"xx",IF(N759&gt;0,"xy",""))</f>
        <v/>
      </c>
      <c r="Q762" s="317" t="str">
        <f t="shared" si="89"/>
        <v/>
      </c>
      <c r="R762" s="317" t="str">
        <f t="shared" si="90"/>
        <v/>
      </c>
      <c r="S762" s="317" t="str">
        <f t="shared" si="91"/>
        <v/>
      </c>
      <c r="T762" s="317" t="str">
        <f>GLOBAL_DER_FEV_2023!S762</f>
        <v/>
      </c>
      <c r="W762" s="582">
        <v>0</v>
      </c>
      <c r="X762" s="580"/>
      <c r="Y762" s="583">
        <f>IF(GLOBAL_DER_FEV_2023!W762=0,0,IF(GLOBAL_DER_FEV_2023!W762&gt;0,"c","b"))</f>
        <v>0</v>
      </c>
    </row>
    <row r="763" spans="1:25" x14ac:dyDescent="0.2">
      <c r="A763" s="317" t="s">
        <v>147</v>
      </c>
      <c r="B763" s="895" t="s">
        <v>147</v>
      </c>
      <c r="C763" s="896"/>
      <c r="D763" s="957" t="s">
        <v>244</v>
      </c>
      <c r="E763" s="907">
        <f>GLOBAL_DER_FEV_2023!E763</f>
        <v>22</v>
      </c>
      <c r="F763" s="908">
        <f>GLOBAL_DER_FEV_2023!F763</f>
        <v>1</v>
      </c>
      <c r="G763" s="912">
        <f>GLOBAL_DER_FEV_2023!G763</f>
        <v>29.990000000000002</v>
      </c>
      <c r="H763" s="901">
        <f>GLOBAL_DER_FEV_2023!H763</f>
        <v>0</v>
      </c>
      <c r="I763" s="901">
        <f>GLOBAL_DER_FEV_2023!I763</f>
        <v>0</v>
      </c>
      <c r="J763" s="902">
        <f>GLOBAL_DER_FEV_2023!J763</f>
        <v>0</v>
      </c>
      <c r="K763" s="903" t="s">
        <v>507</v>
      </c>
      <c r="L763" s="1003"/>
      <c r="M763" s="1157">
        <f t="shared" si="88"/>
        <v>0</v>
      </c>
      <c r="N763" s="893">
        <f t="shared" si="92"/>
        <v>0</v>
      </c>
      <c r="O763" s="905"/>
      <c r="P763" s="58" t="str">
        <f>IF(N759&gt;0,"xx",IF(N759&gt;0,"xy",""))</f>
        <v/>
      </c>
      <c r="Q763" s="317" t="str">
        <f t="shared" si="89"/>
        <v/>
      </c>
      <c r="R763" s="317" t="str">
        <f t="shared" si="90"/>
        <v/>
      </c>
      <c r="S763" s="317" t="str">
        <f t="shared" si="91"/>
        <v/>
      </c>
      <c r="T763" s="317" t="str">
        <f>GLOBAL_DER_FEV_2023!S763</f>
        <v/>
      </c>
      <c r="W763" s="582">
        <v>0</v>
      </c>
      <c r="X763" s="580"/>
      <c r="Y763" s="583">
        <f>IF(GLOBAL_DER_FEV_2023!W763=0,0,IF(GLOBAL_DER_FEV_2023!W763&gt;0,"c","b"))</f>
        <v>0</v>
      </c>
    </row>
    <row r="764" spans="1:25" ht="13.5" thickBot="1" x14ac:dyDescent="0.25">
      <c r="A764" s="317">
        <v>589000</v>
      </c>
      <c r="B764" s="1004" t="s">
        <v>1679</v>
      </c>
      <c r="C764" s="984" t="s">
        <v>213</v>
      </c>
      <c r="D764" s="1012" t="s">
        <v>566</v>
      </c>
      <c r="E764" s="1020">
        <f>GLOBAL_DER_FEV_2023!E764</f>
        <v>45</v>
      </c>
      <c r="F764" s="1006">
        <f>GLOBAL_DER_FEV_2023!F764</f>
        <v>1</v>
      </c>
      <c r="G764" s="949">
        <f>GLOBAL_DER_FEV_2023!G764</f>
        <v>88.36</v>
      </c>
      <c r="H764" s="988">
        <f>GLOBAL_DER_FEV_2023!H764</f>
        <v>4828.8599999999997</v>
      </c>
      <c r="I764" s="988">
        <f>GLOBAL_DER_FEV_2023!I764</f>
        <v>4724.580378112767</v>
      </c>
      <c r="J764" s="989">
        <f>GLOBAL_DER_FEV_2023!J764</f>
        <v>5672.8</v>
      </c>
      <c r="K764" s="990" t="s">
        <v>14</v>
      </c>
      <c r="L764" s="1169">
        <f>ROUND(L759*$F759,2)</f>
        <v>0</v>
      </c>
      <c r="M764" s="1168">
        <f t="shared" si="88"/>
        <v>0</v>
      </c>
      <c r="N764" s="993">
        <f t="shared" si="92"/>
        <v>0</v>
      </c>
      <c r="O764" s="905"/>
      <c r="P764" s="58" t="str">
        <f>IF(N759&gt;0,"xx",IF(N759&gt;0,"xy",""))</f>
        <v/>
      </c>
      <c r="Q764" s="317" t="str">
        <f t="shared" si="89"/>
        <v/>
      </c>
      <c r="R764" s="317" t="str">
        <f t="shared" si="90"/>
        <v/>
      </c>
      <c r="S764" s="317" t="str">
        <f t="shared" si="91"/>
        <v/>
      </c>
      <c r="T764" s="317" t="str">
        <f>GLOBAL_DER_FEV_2023!S764</f>
        <v/>
      </c>
      <c r="W764" s="582">
        <v>0</v>
      </c>
      <c r="X764" s="580"/>
      <c r="Y764" s="583">
        <f>IF(GLOBAL_DER_FEV_2023!W764=0,0,IF(GLOBAL_DER_FEV_2023!W764&gt;0,"c","b"))</f>
        <v>0</v>
      </c>
    </row>
    <row r="765" spans="1:25" x14ac:dyDescent="0.2">
      <c r="A765" s="317">
        <v>570000</v>
      </c>
      <c r="B765" s="999" t="str">
        <f>GLOBAL_DER_FEV_2023!B765</f>
        <v>570000E</v>
      </c>
      <c r="C765" s="1000" t="str">
        <f>GLOBAL_DER_FEV_2023!C765</f>
        <v>DER</v>
      </c>
      <c r="D765" s="973" t="str">
        <f>GLOBAL_DER_FEV_2023!D765</f>
        <v>CBUQ - PASSEIO  (Quantidade menor que 10.000 ton)</v>
      </c>
      <c r="E765" s="974" t="str">
        <f>GLOBAL_DER_FEV_2023!E765</f>
        <v>taxa CAP</v>
      </c>
      <c r="F765" s="975">
        <f>GLOBAL_DER_FEV_2023!F765</f>
        <v>5.7000000000000002E-2</v>
      </c>
      <c r="G765" s="976">
        <f>GLOBAL_DER_FEV_2023!G765</f>
        <v>52.951632000000004</v>
      </c>
      <c r="H765" s="977">
        <f>GLOBAL_DER_FEV_2023!H765</f>
        <v>187.41</v>
      </c>
      <c r="I765" s="977">
        <f>GLOBAL_DER_FEV_2023!I765</f>
        <v>240.36163199999999</v>
      </c>
      <c r="J765" s="978">
        <f>GLOBAL_DER_FEV_2023!J765</f>
        <v>288.60000000000002</v>
      </c>
      <c r="K765" s="979" t="s">
        <v>14</v>
      </c>
      <c r="L765" s="1152"/>
      <c r="M765" s="1153">
        <f t="shared" si="88"/>
        <v>0</v>
      </c>
      <c r="N765" s="982">
        <f t="shared" si="92"/>
        <v>0</v>
      </c>
      <c r="O765" s="905"/>
      <c r="Q765" s="317" t="str">
        <f t="shared" si="89"/>
        <v/>
      </c>
      <c r="R765" s="317" t="str">
        <f t="shared" si="90"/>
        <v/>
      </c>
      <c r="S765" s="317" t="str">
        <f t="shared" si="91"/>
        <v/>
      </c>
      <c r="T765" s="317" t="str">
        <f>GLOBAL_DER_FEV_2023!S765</f>
        <v/>
      </c>
      <c r="W765" s="582">
        <v>0</v>
      </c>
      <c r="X765" s="580"/>
      <c r="Y765" s="583">
        <f>IF(GLOBAL_DER_FEV_2023!W765=0,0,IF(GLOBAL_DER_FEV_2023!W765&gt;0,"c","b"))</f>
        <v>0</v>
      </c>
    </row>
    <row r="766" spans="1:25" x14ac:dyDescent="0.2">
      <c r="A766" s="317" t="s">
        <v>147</v>
      </c>
      <c r="B766" s="895" t="str">
        <f>GLOBAL_DER_FEV_2023!B766</f>
        <v>transporte</v>
      </c>
      <c r="C766" s="896">
        <f>GLOBAL_DER_FEV_2023!C766</f>
        <v>0</v>
      </c>
      <c r="D766" s="957" t="str">
        <f>GLOBAL_DER_FEV_2023!D766</f>
        <v>Areia</v>
      </c>
      <c r="E766" s="907">
        <f>GLOBAL_DER_FEV_2023!E766</f>
        <v>150</v>
      </c>
      <c r="F766" s="908">
        <f>GLOBAL_DER_FEV_2023!F766</f>
        <v>0.1</v>
      </c>
      <c r="G766" s="949">
        <f>GLOBAL_DER_FEV_2023!G766</f>
        <v>16.318000000000001</v>
      </c>
      <c r="H766" s="901">
        <f>GLOBAL_DER_FEV_2023!H766</f>
        <v>0</v>
      </c>
      <c r="I766" s="901">
        <f>GLOBAL_DER_FEV_2023!I766</f>
        <v>0</v>
      </c>
      <c r="J766" s="902">
        <f>GLOBAL_DER_FEV_2023!J766</f>
        <v>0</v>
      </c>
      <c r="K766" s="903" t="s">
        <v>507</v>
      </c>
      <c r="L766" s="1003"/>
      <c r="M766" s="1157">
        <f t="shared" si="88"/>
        <v>0</v>
      </c>
      <c r="N766" s="893">
        <f t="shared" si="92"/>
        <v>0</v>
      </c>
      <c r="O766" s="905"/>
      <c r="P766" s="58" t="str">
        <f>IF(N765&gt;0,"xx",IF(N765&gt;0,"xy",""))</f>
        <v/>
      </c>
      <c r="Q766" s="317" t="str">
        <f t="shared" si="89"/>
        <v/>
      </c>
      <c r="R766" s="317" t="str">
        <f t="shared" si="90"/>
        <v/>
      </c>
      <c r="S766" s="317" t="str">
        <f t="shared" si="91"/>
        <v/>
      </c>
      <c r="T766" s="317" t="str">
        <f>GLOBAL_DER_FEV_2023!S766</f>
        <v/>
      </c>
      <c r="W766" s="582">
        <v>0</v>
      </c>
      <c r="X766" s="580"/>
      <c r="Y766" s="583">
        <f>IF(GLOBAL_DER_FEV_2023!W766=0,0,IF(GLOBAL_DER_FEV_2023!W766&gt;0,"c","b"))</f>
        <v>0</v>
      </c>
    </row>
    <row r="767" spans="1:25" x14ac:dyDescent="0.2">
      <c r="A767" s="317" t="s">
        <v>147</v>
      </c>
      <c r="B767" s="895" t="str">
        <f>GLOBAL_DER_FEV_2023!B767</f>
        <v>transporte</v>
      </c>
      <c r="C767" s="896">
        <f>GLOBAL_DER_FEV_2023!C767</f>
        <v>0</v>
      </c>
      <c r="D767" s="957" t="str">
        <f>GLOBAL_DER_FEV_2023!D767</f>
        <v>Cal Hidratada CH-1</v>
      </c>
      <c r="E767" s="907">
        <f>GLOBAL_DER_FEV_2023!E767</f>
        <v>353</v>
      </c>
      <c r="F767" s="908">
        <f>GLOBAL_DER_FEV_2023!F767</f>
        <v>1.4999999999999999E-2</v>
      </c>
      <c r="G767" s="909">
        <f>GLOBAL_DER_FEV_2023!G767</f>
        <v>4.2473999999999998</v>
      </c>
      <c r="H767" s="901">
        <f>GLOBAL_DER_FEV_2023!H767</f>
        <v>0</v>
      </c>
      <c r="I767" s="901">
        <f>GLOBAL_DER_FEV_2023!I767</f>
        <v>0</v>
      </c>
      <c r="J767" s="902">
        <f>GLOBAL_DER_FEV_2023!J767</f>
        <v>0</v>
      </c>
      <c r="K767" s="903" t="s">
        <v>507</v>
      </c>
      <c r="L767" s="1003"/>
      <c r="M767" s="1157">
        <f t="shared" si="88"/>
        <v>0</v>
      </c>
      <c r="N767" s="893">
        <f t="shared" si="92"/>
        <v>0</v>
      </c>
      <c r="O767" s="905"/>
      <c r="P767" s="58" t="str">
        <f>IF(N765&gt;0,"xx",IF(N765&gt;0,"xy",""))</f>
        <v/>
      </c>
      <c r="Q767" s="317" t="str">
        <f t="shared" si="89"/>
        <v/>
      </c>
      <c r="R767" s="317" t="str">
        <f t="shared" si="90"/>
        <v/>
      </c>
      <c r="S767" s="317" t="str">
        <f t="shared" si="91"/>
        <v/>
      </c>
      <c r="T767" s="317" t="str">
        <f>GLOBAL_DER_FEV_2023!S767</f>
        <v/>
      </c>
      <c r="W767" s="582">
        <v>0</v>
      </c>
      <c r="X767" s="580"/>
      <c r="Y767" s="583">
        <f>IF(GLOBAL_DER_FEV_2023!W767=0,0,IF(GLOBAL_DER_FEV_2023!W767&gt;0,"c","b"))</f>
        <v>0</v>
      </c>
    </row>
    <row r="768" spans="1:25" x14ac:dyDescent="0.2">
      <c r="A768" s="317" t="s">
        <v>147</v>
      </c>
      <c r="B768" s="895" t="str">
        <f>GLOBAL_DER_FEV_2023!B768</f>
        <v>transporte</v>
      </c>
      <c r="C768" s="896">
        <f>GLOBAL_DER_FEV_2023!C768</f>
        <v>0</v>
      </c>
      <c r="D768" s="957" t="str">
        <f>GLOBAL_DER_FEV_2023!D768</f>
        <v>Brita ( usina )</v>
      </c>
      <c r="E768" s="907">
        <f>GLOBAL_DER_FEV_2023!E768</f>
        <v>0.2</v>
      </c>
      <c r="F768" s="908">
        <f>GLOBAL_DER_FEV_2023!F768</f>
        <v>0.82799999999999996</v>
      </c>
      <c r="G768" s="949">
        <f>GLOBAL_DER_FEV_2023!G768</f>
        <v>2.3962319999999999</v>
      </c>
      <c r="H768" s="901">
        <f>GLOBAL_DER_FEV_2023!H768</f>
        <v>0</v>
      </c>
      <c r="I768" s="901">
        <f>GLOBAL_DER_FEV_2023!I768</f>
        <v>0</v>
      </c>
      <c r="J768" s="902">
        <f>GLOBAL_DER_FEV_2023!J768</f>
        <v>0</v>
      </c>
      <c r="K768" s="903" t="s">
        <v>507</v>
      </c>
      <c r="L768" s="1003"/>
      <c r="M768" s="1157">
        <f t="shared" si="88"/>
        <v>0</v>
      </c>
      <c r="N768" s="893">
        <f t="shared" si="92"/>
        <v>0</v>
      </c>
      <c r="O768" s="905"/>
      <c r="P768" s="58" t="str">
        <f>IF(N765&gt;0,"xx",IF(N765&gt;0,"xy",""))</f>
        <v/>
      </c>
      <c r="Q768" s="317" t="str">
        <f t="shared" si="89"/>
        <v/>
      </c>
      <c r="R768" s="317" t="str">
        <f t="shared" si="90"/>
        <v/>
      </c>
      <c r="S768" s="317" t="str">
        <f t="shared" si="91"/>
        <v/>
      </c>
      <c r="T768" s="317" t="str">
        <f>GLOBAL_DER_FEV_2023!S768</f>
        <v/>
      </c>
      <c r="W768" s="582">
        <v>0</v>
      </c>
      <c r="X768" s="580"/>
      <c r="Y768" s="583">
        <f>IF(GLOBAL_DER_FEV_2023!W768=0,0,IF(GLOBAL_DER_FEV_2023!W768&gt;0,"c","b"))</f>
        <v>0</v>
      </c>
    </row>
    <row r="769" spans="1:25" x14ac:dyDescent="0.2">
      <c r="A769" s="317" t="s">
        <v>147</v>
      </c>
      <c r="B769" s="895" t="str">
        <f>GLOBAL_DER_FEV_2023!B769</f>
        <v>transporte</v>
      </c>
      <c r="C769" s="896">
        <f>GLOBAL_DER_FEV_2023!C769</f>
        <v>0</v>
      </c>
      <c r="D769" s="957" t="str">
        <f>GLOBAL_DER_FEV_2023!D769</f>
        <v>Massa</v>
      </c>
      <c r="E769" s="907">
        <f>GLOBAL_DER_FEV_2023!E769</f>
        <v>22</v>
      </c>
      <c r="F769" s="908">
        <f>GLOBAL_DER_FEV_2023!F769</f>
        <v>1</v>
      </c>
      <c r="G769" s="912">
        <f>GLOBAL_DER_FEV_2023!G769</f>
        <v>29.990000000000002</v>
      </c>
      <c r="H769" s="901">
        <f>GLOBAL_DER_FEV_2023!H769</f>
        <v>0</v>
      </c>
      <c r="I769" s="901">
        <f>GLOBAL_DER_FEV_2023!I769</f>
        <v>0</v>
      </c>
      <c r="J769" s="902">
        <f>GLOBAL_DER_FEV_2023!J769</f>
        <v>0</v>
      </c>
      <c r="K769" s="903" t="s">
        <v>507</v>
      </c>
      <c r="L769" s="1003"/>
      <c r="M769" s="1157">
        <f t="shared" si="88"/>
        <v>0</v>
      </c>
      <c r="N769" s="893">
        <f t="shared" si="92"/>
        <v>0</v>
      </c>
      <c r="O769" s="905"/>
      <c r="P769" s="58" t="str">
        <f>IF(N765&gt;0,"xx",IF(N765&gt;0,"xy",""))</f>
        <v/>
      </c>
      <c r="Q769" s="317" t="str">
        <f t="shared" si="89"/>
        <v/>
      </c>
      <c r="R769" s="317" t="str">
        <f t="shared" si="90"/>
        <v/>
      </c>
      <c r="S769" s="317" t="str">
        <f t="shared" si="91"/>
        <v/>
      </c>
      <c r="T769" s="317" t="str">
        <f>GLOBAL_DER_FEV_2023!S769</f>
        <v/>
      </c>
      <c r="W769" s="582">
        <v>0</v>
      </c>
      <c r="X769" s="580"/>
      <c r="Y769" s="583">
        <f>IF(GLOBAL_DER_FEV_2023!W769=0,0,IF(GLOBAL_DER_FEV_2023!W769&gt;0,"c","b"))</f>
        <v>0</v>
      </c>
    </row>
    <row r="770" spans="1:25" ht="13.5" thickBot="1" x14ac:dyDescent="0.25">
      <c r="A770" s="317">
        <v>589000</v>
      </c>
      <c r="B770" s="1004" t="str">
        <f>GLOBAL_DER_FEV_2023!B770</f>
        <v>589000Q</v>
      </c>
      <c r="C770" s="984" t="str">
        <f>GLOBAL_DER_FEV_2023!C770</f>
        <v>DER mat</v>
      </c>
      <c r="D770" s="1012" t="str">
        <f>GLOBAL_DER_FEV_2023!D770</f>
        <v>Fornecimento de CAP - CBUQ (Quantidade menor que 10.000 ton)</v>
      </c>
      <c r="E770" s="1005">
        <f>GLOBAL_DER_FEV_2023!E770</f>
        <v>45</v>
      </c>
      <c r="F770" s="1006">
        <f>GLOBAL_DER_FEV_2023!F770</f>
        <v>1</v>
      </c>
      <c r="G770" s="949">
        <f>GLOBAL_DER_FEV_2023!G770</f>
        <v>88.36</v>
      </c>
      <c r="H770" s="988">
        <f>GLOBAL_DER_FEV_2023!H770</f>
        <v>4828.8599999999997</v>
      </c>
      <c r="I770" s="988">
        <f>GLOBAL_DER_FEV_2023!I770</f>
        <v>4724.580378112767</v>
      </c>
      <c r="J770" s="989">
        <f>GLOBAL_DER_FEV_2023!J770</f>
        <v>5672.8</v>
      </c>
      <c r="K770" s="990" t="s">
        <v>14</v>
      </c>
      <c r="L770" s="1169">
        <f>ROUND(L765*$F765,2)</f>
        <v>0</v>
      </c>
      <c r="M770" s="1168">
        <f t="shared" si="88"/>
        <v>0</v>
      </c>
      <c r="N770" s="993">
        <f t="shared" si="92"/>
        <v>0</v>
      </c>
      <c r="O770" s="905"/>
      <c r="P770" s="58" t="str">
        <f>IF(N765&gt;0,"xx",IF(N765&gt;0,"xy",""))</f>
        <v/>
      </c>
      <c r="Q770" s="317" t="str">
        <f t="shared" si="89"/>
        <v/>
      </c>
      <c r="R770" s="317" t="str">
        <f t="shared" si="90"/>
        <v/>
      </c>
      <c r="S770" s="317" t="str">
        <f t="shared" si="91"/>
        <v/>
      </c>
      <c r="T770" s="317" t="str">
        <f>GLOBAL_DER_FEV_2023!S770</f>
        <v/>
      </c>
      <c r="W770" s="582">
        <v>0</v>
      </c>
      <c r="X770" s="580"/>
      <c r="Y770" s="583">
        <f>IF(GLOBAL_DER_FEV_2023!W770=0,0,IF(GLOBAL_DER_FEV_2023!W770&gt;0,"c","b"))</f>
        <v>0</v>
      </c>
    </row>
    <row r="771" spans="1:25" x14ac:dyDescent="0.2">
      <c r="A771" s="317">
        <v>570400</v>
      </c>
      <c r="B771" s="999" t="str">
        <f>GLOBAL_DER_FEV_2023!B771</f>
        <v>570400D</v>
      </c>
      <c r="C771" s="1000" t="str">
        <f>GLOBAL_DER_FEV_2023!C771</f>
        <v>DER</v>
      </c>
      <c r="D771" s="973" t="str">
        <f>GLOBAL_DER_FEV_2023!D771</f>
        <v>CBUQ - PASSEIO (Quantidade maior que 10.000 ton)</v>
      </c>
      <c r="E771" s="974" t="str">
        <f>GLOBAL_DER_FEV_2023!E771</f>
        <v>taxa CAP</v>
      </c>
      <c r="F771" s="975">
        <f>GLOBAL_DER_FEV_2023!F771</f>
        <v>5.7000000000000002E-2</v>
      </c>
      <c r="G771" s="976">
        <f>GLOBAL_DER_FEV_2023!G771</f>
        <v>52.951632000000004</v>
      </c>
      <c r="H771" s="977">
        <f>GLOBAL_DER_FEV_2023!H771</f>
        <v>169.12</v>
      </c>
      <c r="I771" s="977">
        <f>GLOBAL_DER_FEV_2023!I771</f>
        <v>222.07163200000002</v>
      </c>
      <c r="J771" s="978">
        <f>GLOBAL_DER_FEV_2023!J771</f>
        <v>266.64</v>
      </c>
      <c r="K771" s="979" t="s">
        <v>14</v>
      </c>
      <c r="L771" s="1152"/>
      <c r="M771" s="1153">
        <f t="shared" si="88"/>
        <v>0</v>
      </c>
      <c r="N771" s="982">
        <f t="shared" si="92"/>
        <v>0</v>
      </c>
      <c r="O771" s="905"/>
      <c r="Q771" s="317" t="str">
        <f t="shared" si="89"/>
        <v/>
      </c>
      <c r="R771" s="317" t="str">
        <f t="shared" si="90"/>
        <v/>
      </c>
      <c r="S771" s="317" t="str">
        <f t="shared" si="91"/>
        <v/>
      </c>
      <c r="T771" s="317" t="str">
        <f>GLOBAL_DER_FEV_2023!S771</f>
        <v/>
      </c>
      <c r="W771" s="582">
        <v>0</v>
      </c>
      <c r="X771" s="580"/>
      <c r="Y771" s="583">
        <f>IF(GLOBAL_DER_FEV_2023!W771=0,0,IF(GLOBAL_DER_FEV_2023!W771&gt;0,"c","b"))</f>
        <v>0</v>
      </c>
    </row>
    <row r="772" spans="1:25" x14ac:dyDescent="0.2">
      <c r="A772" s="317" t="s">
        <v>147</v>
      </c>
      <c r="B772" s="895" t="str">
        <f>GLOBAL_DER_FEV_2023!B772</f>
        <v>transporte</v>
      </c>
      <c r="C772" s="896">
        <f>GLOBAL_DER_FEV_2023!C772</f>
        <v>0</v>
      </c>
      <c r="D772" s="957" t="str">
        <f>GLOBAL_DER_FEV_2023!D772</f>
        <v>Areia</v>
      </c>
      <c r="E772" s="907">
        <f>GLOBAL_DER_FEV_2023!E772</f>
        <v>150</v>
      </c>
      <c r="F772" s="908">
        <f>GLOBAL_DER_FEV_2023!F772</f>
        <v>0.1</v>
      </c>
      <c r="G772" s="949">
        <f>GLOBAL_DER_FEV_2023!G772</f>
        <v>16.318000000000001</v>
      </c>
      <c r="H772" s="901">
        <f>GLOBAL_DER_FEV_2023!H772</f>
        <v>0</v>
      </c>
      <c r="I772" s="901">
        <f>GLOBAL_DER_FEV_2023!I772</f>
        <v>0</v>
      </c>
      <c r="J772" s="902">
        <f>GLOBAL_DER_FEV_2023!J772</f>
        <v>0</v>
      </c>
      <c r="K772" s="903" t="s">
        <v>507</v>
      </c>
      <c r="L772" s="1003"/>
      <c r="M772" s="1157">
        <f t="shared" si="88"/>
        <v>0</v>
      </c>
      <c r="N772" s="893">
        <f t="shared" si="92"/>
        <v>0</v>
      </c>
      <c r="O772" s="905"/>
      <c r="P772" s="58" t="str">
        <f>IF(N771&gt;0,"xx",IF(N771&gt;0,"xy",""))</f>
        <v/>
      </c>
      <c r="Q772" s="317" t="str">
        <f t="shared" si="89"/>
        <v/>
      </c>
      <c r="R772" s="317" t="str">
        <f t="shared" si="90"/>
        <v/>
      </c>
      <c r="S772" s="317" t="str">
        <f t="shared" si="91"/>
        <v/>
      </c>
      <c r="T772" s="317" t="str">
        <f>GLOBAL_DER_FEV_2023!S772</f>
        <v/>
      </c>
      <c r="W772" s="582">
        <v>0</v>
      </c>
      <c r="X772" s="580"/>
      <c r="Y772" s="583">
        <f>IF(GLOBAL_DER_FEV_2023!W772=0,0,IF(GLOBAL_DER_FEV_2023!W772&gt;0,"c","b"))</f>
        <v>0</v>
      </c>
    </row>
    <row r="773" spans="1:25" x14ac:dyDescent="0.2">
      <c r="A773" s="317" t="s">
        <v>147</v>
      </c>
      <c r="B773" s="895" t="str">
        <f>GLOBAL_DER_FEV_2023!B773</f>
        <v>transporte</v>
      </c>
      <c r="C773" s="896">
        <f>GLOBAL_DER_FEV_2023!C773</f>
        <v>0</v>
      </c>
      <c r="D773" s="957" t="str">
        <f>GLOBAL_DER_FEV_2023!D773</f>
        <v>Cal Hidratada CH-1</v>
      </c>
      <c r="E773" s="907">
        <f>GLOBAL_DER_FEV_2023!E773</f>
        <v>353</v>
      </c>
      <c r="F773" s="908">
        <f>GLOBAL_DER_FEV_2023!F773</f>
        <v>1.4999999999999999E-2</v>
      </c>
      <c r="G773" s="909">
        <f>GLOBAL_DER_FEV_2023!G773</f>
        <v>4.2473999999999998</v>
      </c>
      <c r="H773" s="901">
        <f>GLOBAL_DER_FEV_2023!H773</f>
        <v>0</v>
      </c>
      <c r="I773" s="901">
        <f>GLOBAL_DER_FEV_2023!I773</f>
        <v>0</v>
      </c>
      <c r="J773" s="902">
        <f>GLOBAL_DER_FEV_2023!J773</f>
        <v>0</v>
      </c>
      <c r="K773" s="903" t="s">
        <v>507</v>
      </c>
      <c r="L773" s="1003"/>
      <c r="M773" s="1157">
        <f t="shared" si="88"/>
        <v>0</v>
      </c>
      <c r="N773" s="893">
        <f t="shared" si="92"/>
        <v>0</v>
      </c>
      <c r="O773" s="905"/>
      <c r="P773" s="58" t="str">
        <f>IF(N771&gt;0,"xx",IF(N771&gt;0,"xy",""))</f>
        <v/>
      </c>
      <c r="Q773" s="317" t="str">
        <f t="shared" si="89"/>
        <v/>
      </c>
      <c r="R773" s="317" t="str">
        <f t="shared" si="90"/>
        <v/>
      </c>
      <c r="S773" s="317" t="str">
        <f t="shared" si="91"/>
        <v/>
      </c>
      <c r="T773" s="317" t="str">
        <f>GLOBAL_DER_FEV_2023!S773</f>
        <v/>
      </c>
      <c r="W773" s="582">
        <v>0</v>
      </c>
      <c r="X773" s="580"/>
      <c r="Y773" s="583">
        <f>IF(GLOBAL_DER_FEV_2023!W773=0,0,IF(GLOBAL_DER_FEV_2023!W773&gt;0,"c","b"))</f>
        <v>0</v>
      </c>
    </row>
    <row r="774" spans="1:25" x14ac:dyDescent="0.2">
      <c r="A774" s="317" t="s">
        <v>147</v>
      </c>
      <c r="B774" s="895" t="str">
        <f>GLOBAL_DER_FEV_2023!B774</f>
        <v>transporte</v>
      </c>
      <c r="C774" s="896">
        <f>GLOBAL_DER_FEV_2023!C774</f>
        <v>0</v>
      </c>
      <c r="D774" s="957" t="str">
        <f>GLOBAL_DER_FEV_2023!D774</f>
        <v>Brita ( usina )</v>
      </c>
      <c r="E774" s="907">
        <f>GLOBAL_DER_FEV_2023!E774</f>
        <v>0.2</v>
      </c>
      <c r="F774" s="908">
        <f>GLOBAL_DER_FEV_2023!F774</f>
        <v>0.82799999999999996</v>
      </c>
      <c r="G774" s="949">
        <f>GLOBAL_DER_FEV_2023!G774</f>
        <v>2.3962319999999999</v>
      </c>
      <c r="H774" s="901">
        <f>GLOBAL_DER_FEV_2023!H774</f>
        <v>0</v>
      </c>
      <c r="I774" s="901">
        <f>GLOBAL_DER_FEV_2023!I774</f>
        <v>0</v>
      </c>
      <c r="J774" s="902">
        <f>GLOBAL_DER_FEV_2023!J774</f>
        <v>0</v>
      </c>
      <c r="K774" s="903" t="s">
        <v>507</v>
      </c>
      <c r="L774" s="1003"/>
      <c r="M774" s="1157">
        <f t="shared" si="88"/>
        <v>0</v>
      </c>
      <c r="N774" s="893">
        <f t="shared" si="92"/>
        <v>0</v>
      </c>
      <c r="O774" s="905"/>
      <c r="P774" s="58" t="str">
        <f>IF(N771&gt;0,"xx",IF(N771&gt;0,"xy",""))</f>
        <v/>
      </c>
      <c r="Q774" s="317" t="str">
        <f t="shared" si="89"/>
        <v/>
      </c>
      <c r="R774" s="317" t="str">
        <f t="shared" si="90"/>
        <v/>
      </c>
      <c r="S774" s="317" t="str">
        <f t="shared" si="91"/>
        <v/>
      </c>
      <c r="T774" s="317" t="str">
        <f>GLOBAL_DER_FEV_2023!S774</f>
        <v/>
      </c>
      <c r="W774" s="582">
        <v>0</v>
      </c>
      <c r="X774" s="580"/>
      <c r="Y774" s="583">
        <f>IF(GLOBAL_DER_FEV_2023!W774=0,0,IF(GLOBAL_DER_FEV_2023!W774&gt;0,"c","b"))</f>
        <v>0</v>
      </c>
    </row>
    <row r="775" spans="1:25" x14ac:dyDescent="0.2">
      <c r="A775" s="317" t="s">
        <v>147</v>
      </c>
      <c r="B775" s="895" t="str">
        <f>GLOBAL_DER_FEV_2023!B775</f>
        <v>transporte</v>
      </c>
      <c r="C775" s="896">
        <f>GLOBAL_DER_FEV_2023!C775</f>
        <v>0</v>
      </c>
      <c r="D775" s="957" t="str">
        <f>GLOBAL_DER_FEV_2023!D775</f>
        <v>Massa</v>
      </c>
      <c r="E775" s="907">
        <f>GLOBAL_DER_FEV_2023!E775</f>
        <v>22</v>
      </c>
      <c r="F775" s="908">
        <f>GLOBAL_DER_FEV_2023!F775</f>
        <v>1</v>
      </c>
      <c r="G775" s="912">
        <f>GLOBAL_DER_FEV_2023!G775</f>
        <v>29.990000000000002</v>
      </c>
      <c r="H775" s="901">
        <f>GLOBAL_DER_FEV_2023!H775</f>
        <v>0</v>
      </c>
      <c r="I775" s="901">
        <f>GLOBAL_DER_FEV_2023!I775</f>
        <v>0</v>
      </c>
      <c r="J775" s="902">
        <f>GLOBAL_DER_FEV_2023!J775</f>
        <v>0</v>
      </c>
      <c r="K775" s="903" t="s">
        <v>507</v>
      </c>
      <c r="L775" s="1003"/>
      <c r="M775" s="1157">
        <f t="shared" si="88"/>
        <v>0</v>
      </c>
      <c r="N775" s="893">
        <f t="shared" si="92"/>
        <v>0</v>
      </c>
      <c r="O775" s="905"/>
      <c r="P775" s="58" t="str">
        <f>IF(N771&gt;0,"xx",IF(N771&gt;0,"xy",""))</f>
        <v/>
      </c>
      <c r="Q775" s="317" t="str">
        <f t="shared" si="89"/>
        <v/>
      </c>
      <c r="R775" s="317" t="str">
        <f t="shared" si="90"/>
        <v/>
      </c>
      <c r="S775" s="317" t="str">
        <f t="shared" si="91"/>
        <v/>
      </c>
      <c r="T775" s="317" t="str">
        <f>GLOBAL_DER_FEV_2023!S775</f>
        <v/>
      </c>
      <c r="W775" s="582">
        <v>0</v>
      </c>
      <c r="X775" s="580"/>
      <c r="Y775" s="583">
        <f>IF(GLOBAL_DER_FEV_2023!W775=0,0,IF(GLOBAL_DER_FEV_2023!W775&gt;0,"c","b"))</f>
        <v>0</v>
      </c>
    </row>
    <row r="776" spans="1:25" ht="13.5" thickBot="1" x14ac:dyDescent="0.25">
      <c r="A776" s="317">
        <v>589000</v>
      </c>
      <c r="B776" s="1004" t="str">
        <f>GLOBAL_DER_FEV_2023!B776</f>
        <v>589000R</v>
      </c>
      <c r="C776" s="984" t="str">
        <f>GLOBAL_DER_FEV_2023!C776</f>
        <v>DER mat</v>
      </c>
      <c r="D776" s="1012" t="str">
        <f>GLOBAL_DER_FEV_2023!D776</f>
        <v>Fornecimento de CAP - CBUQ (Quantidade maior que 10.000 ton)</v>
      </c>
      <c r="E776" s="1005">
        <f>GLOBAL_DER_FEV_2023!E776</f>
        <v>45</v>
      </c>
      <c r="F776" s="1006">
        <f>GLOBAL_DER_FEV_2023!F776</f>
        <v>1</v>
      </c>
      <c r="G776" s="1028">
        <f>GLOBAL_DER_FEV_2023!G776</f>
        <v>88.36</v>
      </c>
      <c r="H776" s="988">
        <f>GLOBAL_DER_FEV_2023!H776</f>
        <v>4828.8599999999997</v>
      </c>
      <c r="I776" s="988">
        <f>GLOBAL_DER_FEV_2023!I776</f>
        <v>4724.580378112767</v>
      </c>
      <c r="J776" s="989">
        <f>GLOBAL_DER_FEV_2023!J776</f>
        <v>5672.8</v>
      </c>
      <c r="K776" s="990" t="s">
        <v>14</v>
      </c>
      <c r="L776" s="1169">
        <f>ROUND(L771*$F771,2)</f>
        <v>0</v>
      </c>
      <c r="M776" s="1168">
        <f t="shared" si="88"/>
        <v>0</v>
      </c>
      <c r="N776" s="993">
        <f t="shared" si="92"/>
        <v>0</v>
      </c>
      <c r="O776" s="905"/>
      <c r="P776" s="58" t="str">
        <f>IF(N771&gt;0,"xx",IF(N771&gt;0,"xy",""))</f>
        <v/>
      </c>
      <c r="Q776" s="317" t="str">
        <f t="shared" si="89"/>
        <v/>
      </c>
      <c r="R776" s="317" t="str">
        <f t="shared" si="90"/>
        <v/>
      </c>
      <c r="S776" s="317" t="str">
        <f t="shared" si="91"/>
        <v/>
      </c>
      <c r="T776" s="317" t="str">
        <f>GLOBAL_DER_FEV_2023!S776</f>
        <v/>
      </c>
      <c r="W776" s="582">
        <v>0</v>
      </c>
      <c r="X776" s="580"/>
      <c r="Y776" s="583">
        <f>IF(GLOBAL_DER_FEV_2023!W776=0,0,IF(GLOBAL_DER_FEV_2023!W776&gt;0,"c","b"))</f>
        <v>0</v>
      </c>
    </row>
    <row r="777" spans="1:25" ht="22.5" x14ac:dyDescent="0.2">
      <c r="A777" s="317">
        <v>570000</v>
      </c>
      <c r="B777" s="999" t="str">
        <f>GLOBAL_DER_FEV_2023!B777</f>
        <v>570000E</v>
      </c>
      <c r="C777" s="1000" t="str">
        <f>GLOBAL_DER_FEV_2023!C777</f>
        <v>DER</v>
      </c>
      <c r="D777" s="1024" t="str">
        <f>GLOBAL_DER_FEV_2023!D777</f>
        <v>CBUQ - PASSEIO - Novo Traço - TRAÇO 4 - FAIXA "D" - (Quant. menor que 10.000 ton)</v>
      </c>
      <c r="E777" s="974" t="str">
        <f>GLOBAL_DER_FEV_2023!E777</f>
        <v>taxa CAP</v>
      </c>
      <c r="F777" s="1022">
        <f>GLOBAL_DER_FEV_2023!F777</f>
        <v>5.6000000000000001E-2</v>
      </c>
      <c r="G777" s="976">
        <f>GLOBAL_DER_FEV_2023!G777</f>
        <v>51.832711599999996</v>
      </c>
      <c r="H777" s="977">
        <f>GLOBAL_DER_FEV_2023!H777</f>
        <v>187.41</v>
      </c>
      <c r="I777" s="977">
        <f>GLOBAL_DER_FEV_2023!I777</f>
        <v>239.24271160000001</v>
      </c>
      <c r="J777" s="978">
        <f>GLOBAL_DER_FEV_2023!J777</f>
        <v>287.26</v>
      </c>
      <c r="K777" s="979" t="s">
        <v>14</v>
      </c>
      <c r="L777" s="1152"/>
      <c r="M777" s="1153">
        <f t="shared" ref="M777:M782" si="93">IF(L777=0,0,ROUND(J777,2))</f>
        <v>0</v>
      </c>
      <c r="N777" s="982">
        <f t="shared" ref="N777:N782" si="94">IF(ISBLANK(L777),0,IF(W777=0,ROUND(L777*M777,2),IF(W777="b",ROUNDDOWN(L777*M777,2),ROUNDUP(L777*M777,2))))</f>
        <v>0</v>
      </c>
      <c r="O777" s="905"/>
      <c r="Q777" s="317" t="str">
        <f t="shared" ref="Q777:Q782" si="95">IF(P777="X","x",IF(P777="xx","x",IF(P777="xy","x",IF(P777="y","x",IF(OR(N777&gt;0,N777&gt;0),"x","")))))</f>
        <v/>
      </c>
      <c r="R777" s="317" t="str">
        <f t="shared" ref="R777:R782" si="96">IF(P777="X","x",IF(P777="y","x",IF(P777="xx","x",IF(N777&gt;0,"x",""))))</f>
        <v/>
      </c>
      <c r="S777" s="317" t="str">
        <f t="shared" ref="S777:S782" si="97">IF(P777="X","x",IF(N777&gt;0,"x",""))</f>
        <v/>
      </c>
      <c r="T777" s="317" t="str">
        <f>GLOBAL_DER_FEV_2023!S777</f>
        <v/>
      </c>
      <c r="W777" s="582">
        <v>0</v>
      </c>
      <c r="X777" s="580"/>
      <c r="Y777" s="583">
        <f>IF(GLOBAL_DER_FEV_2023!W777=0,0,IF(GLOBAL_DER_FEV_2023!W777&gt;0,"c","b"))</f>
        <v>0</v>
      </c>
    </row>
    <row r="778" spans="1:25" x14ac:dyDescent="0.2">
      <c r="A778" s="317" t="s">
        <v>147</v>
      </c>
      <c r="B778" s="895" t="str">
        <f>GLOBAL_DER_FEV_2023!B778</f>
        <v>transporte</v>
      </c>
      <c r="C778" s="896">
        <f>GLOBAL_DER_FEV_2023!C778</f>
        <v>0</v>
      </c>
      <c r="D778" s="957" t="str">
        <f>GLOBAL_DER_FEV_2023!D778</f>
        <v>Areia</v>
      </c>
      <c r="E778" s="907">
        <f>GLOBAL_DER_FEV_2023!E778</f>
        <v>150</v>
      </c>
      <c r="F778" s="1287">
        <f>GLOBAL_DER_FEV_2023!F778</f>
        <v>9.4399999999999998E-2</v>
      </c>
      <c r="G778" s="949">
        <f>GLOBAL_DER_FEV_2023!G778</f>
        <v>15.404192</v>
      </c>
      <c r="H778" s="901">
        <f>GLOBAL_DER_FEV_2023!H778</f>
        <v>0</v>
      </c>
      <c r="I778" s="901">
        <f>GLOBAL_DER_FEV_2023!I778</f>
        <v>0</v>
      </c>
      <c r="J778" s="902">
        <f>GLOBAL_DER_FEV_2023!J778</f>
        <v>0</v>
      </c>
      <c r="K778" s="903" t="s">
        <v>507</v>
      </c>
      <c r="L778" s="1003"/>
      <c r="M778" s="1157">
        <f t="shared" si="93"/>
        <v>0</v>
      </c>
      <c r="N778" s="893">
        <f t="shared" si="94"/>
        <v>0</v>
      </c>
      <c r="O778" s="905"/>
      <c r="P778" s="58" t="str">
        <f>IF(N777&gt;0,"xx",IF(N777&gt;0,"xy",""))</f>
        <v/>
      </c>
      <c r="Q778" s="317" t="str">
        <f t="shared" si="95"/>
        <v/>
      </c>
      <c r="R778" s="317" t="str">
        <f t="shared" si="96"/>
        <v/>
      </c>
      <c r="S778" s="317" t="str">
        <f t="shared" si="97"/>
        <v/>
      </c>
      <c r="T778" s="317" t="str">
        <f>GLOBAL_DER_FEV_2023!S778</f>
        <v/>
      </c>
      <c r="W778" s="582">
        <v>0</v>
      </c>
      <c r="X778" s="580"/>
      <c r="Y778" s="583">
        <f>IF(GLOBAL_DER_FEV_2023!W778=0,0,IF(GLOBAL_DER_FEV_2023!W778&gt;0,"c","b"))</f>
        <v>0</v>
      </c>
    </row>
    <row r="779" spans="1:25" x14ac:dyDescent="0.2">
      <c r="A779" s="317" t="s">
        <v>147</v>
      </c>
      <c r="B779" s="895" t="str">
        <f>GLOBAL_DER_FEV_2023!B779</f>
        <v>transporte</v>
      </c>
      <c r="C779" s="896">
        <f>GLOBAL_DER_FEV_2023!C779</f>
        <v>0</v>
      </c>
      <c r="D779" s="957" t="str">
        <f>GLOBAL_DER_FEV_2023!D779</f>
        <v>Cal Hidratada CH-1</v>
      </c>
      <c r="E779" s="907">
        <f>GLOBAL_DER_FEV_2023!E779</f>
        <v>353</v>
      </c>
      <c r="F779" s="1287">
        <f>GLOBAL_DER_FEV_2023!F779</f>
        <v>1.4200000000000001E-2</v>
      </c>
      <c r="G779" s="909">
        <f>GLOBAL_DER_FEV_2023!G779</f>
        <v>4.0208720000000007</v>
      </c>
      <c r="H779" s="901">
        <f>GLOBAL_DER_FEV_2023!H779</f>
        <v>0</v>
      </c>
      <c r="I779" s="901">
        <f>GLOBAL_DER_FEV_2023!I779</f>
        <v>0</v>
      </c>
      <c r="J779" s="902">
        <f>GLOBAL_DER_FEV_2023!J779</f>
        <v>0</v>
      </c>
      <c r="K779" s="903" t="s">
        <v>507</v>
      </c>
      <c r="L779" s="1003"/>
      <c r="M779" s="1157">
        <f t="shared" si="93"/>
        <v>0</v>
      </c>
      <c r="N779" s="893">
        <f t="shared" si="94"/>
        <v>0</v>
      </c>
      <c r="O779" s="905"/>
      <c r="P779" s="58" t="str">
        <f>IF(N777&gt;0,"xx",IF(N777&gt;0,"xy",""))</f>
        <v/>
      </c>
      <c r="Q779" s="317" t="str">
        <f t="shared" si="95"/>
        <v/>
      </c>
      <c r="R779" s="317" t="str">
        <f t="shared" si="96"/>
        <v/>
      </c>
      <c r="S779" s="317" t="str">
        <f t="shared" si="97"/>
        <v/>
      </c>
      <c r="T779" s="317" t="str">
        <f>GLOBAL_DER_FEV_2023!S779</f>
        <v/>
      </c>
      <c r="W779" s="582">
        <v>0</v>
      </c>
      <c r="X779" s="580"/>
      <c r="Y779" s="583">
        <f>IF(GLOBAL_DER_FEV_2023!W779=0,0,IF(GLOBAL_DER_FEV_2023!W779&gt;0,"c","b"))</f>
        <v>0</v>
      </c>
    </row>
    <row r="780" spans="1:25" x14ac:dyDescent="0.2">
      <c r="A780" s="317" t="s">
        <v>147</v>
      </c>
      <c r="B780" s="895" t="str">
        <f>GLOBAL_DER_FEV_2023!B780</f>
        <v>transporte</v>
      </c>
      <c r="C780" s="896">
        <f>GLOBAL_DER_FEV_2023!C780</f>
        <v>0</v>
      </c>
      <c r="D780" s="957" t="str">
        <f>GLOBAL_DER_FEV_2023!D780</f>
        <v>Brita ( usina )</v>
      </c>
      <c r="E780" s="907">
        <f>GLOBAL_DER_FEV_2023!E780</f>
        <v>0.2</v>
      </c>
      <c r="F780" s="1287">
        <f>GLOBAL_DER_FEV_2023!F780</f>
        <v>0.83540000000000003</v>
      </c>
      <c r="G780" s="949">
        <f>GLOBAL_DER_FEV_2023!G780</f>
        <v>2.4176476</v>
      </c>
      <c r="H780" s="901">
        <f>GLOBAL_DER_FEV_2023!H780</f>
        <v>0</v>
      </c>
      <c r="I780" s="901">
        <f>GLOBAL_DER_FEV_2023!I780</f>
        <v>0</v>
      </c>
      <c r="J780" s="902">
        <f>GLOBAL_DER_FEV_2023!J780</f>
        <v>0</v>
      </c>
      <c r="K780" s="903" t="s">
        <v>507</v>
      </c>
      <c r="L780" s="1003"/>
      <c r="M780" s="1157">
        <f t="shared" si="93"/>
        <v>0</v>
      </c>
      <c r="N780" s="893">
        <f t="shared" si="94"/>
        <v>0</v>
      </c>
      <c r="O780" s="905"/>
      <c r="P780" s="58" t="str">
        <f>IF(N777&gt;0,"xx",IF(N777&gt;0,"xy",""))</f>
        <v/>
      </c>
      <c r="Q780" s="317" t="str">
        <f t="shared" si="95"/>
        <v/>
      </c>
      <c r="R780" s="317" t="str">
        <f t="shared" si="96"/>
        <v/>
      </c>
      <c r="S780" s="317" t="str">
        <f t="shared" si="97"/>
        <v/>
      </c>
      <c r="T780" s="317" t="str">
        <f>GLOBAL_DER_FEV_2023!S780</f>
        <v/>
      </c>
      <c r="W780" s="582">
        <v>0</v>
      </c>
      <c r="X780" s="580"/>
      <c r="Y780" s="583">
        <f>IF(GLOBAL_DER_FEV_2023!W780=0,0,IF(GLOBAL_DER_FEV_2023!W780&gt;0,"c","b"))</f>
        <v>0</v>
      </c>
    </row>
    <row r="781" spans="1:25" x14ac:dyDescent="0.2">
      <c r="A781" s="317" t="s">
        <v>147</v>
      </c>
      <c r="B781" s="895" t="str">
        <f>GLOBAL_DER_FEV_2023!B781</f>
        <v>transporte</v>
      </c>
      <c r="C781" s="896">
        <f>GLOBAL_DER_FEV_2023!C781</f>
        <v>0</v>
      </c>
      <c r="D781" s="957" t="str">
        <f>GLOBAL_DER_FEV_2023!D781</f>
        <v>Massa</v>
      </c>
      <c r="E781" s="907">
        <f>GLOBAL_DER_FEV_2023!E781</f>
        <v>22</v>
      </c>
      <c r="F781" s="908">
        <f>GLOBAL_DER_FEV_2023!F781</f>
        <v>1</v>
      </c>
      <c r="G781" s="912">
        <f>GLOBAL_DER_FEV_2023!G781</f>
        <v>29.990000000000002</v>
      </c>
      <c r="H781" s="901">
        <f>GLOBAL_DER_FEV_2023!H781</f>
        <v>0</v>
      </c>
      <c r="I781" s="901">
        <f>GLOBAL_DER_FEV_2023!I781</f>
        <v>0</v>
      </c>
      <c r="J781" s="902">
        <f>GLOBAL_DER_FEV_2023!J781</f>
        <v>0</v>
      </c>
      <c r="K781" s="903" t="s">
        <v>507</v>
      </c>
      <c r="L781" s="1003"/>
      <c r="M781" s="1157">
        <f t="shared" si="93"/>
        <v>0</v>
      </c>
      <c r="N781" s="893">
        <f t="shared" si="94"/>
        <v>0</v>
      </c>
      <c r="O781" s="905"/>
      <c r="P781" s="58" t="str">
        <f>IF(N777&gt;0,"xx",IF(N777&gt;0,"xy",""))</f>
        <v/>
      </c>
      <c r="Q781" s="317" t="str">
        <f t="shared" si="95"/>
        <v/>
      </c>
      <c r="R781" s="317" t="str">
        <f t="shared" si="96"/>
        <v/>
      </c>
      <c r="S781" s="317" t="str">
        <f t="shared" si="97"/>
        <v/>
      </c>
      <c r="T781" s="317" t="str">
        <f>GLOBAL_DER_FEV_2023!S781</f>
        <v/>
      </c>
      <c r="W781" s="582">
        <v>0</v>
      </c>
      <c r="X781" s="580"/>
      <c r="Y781" s="583">
        <f>IF(GLOBAL_DER_FEV_2023!W781=0,0,IF(GLOBAL_DER_FEV_2023!W781&gt;0,"c","b"))</f>
        <v>0</v>
      </c>
    </row>
    <row r="782" spans="1:25" ht="13.5" thickBot="1" x14ac:dyDescent="0.25">
      <c r="A782" s="317">
        <v>589000</v>
      </c>
      <c r="B782" s="1004" t="str">
        <f>GLOBAL_DER_FEV_2023!B782</f>
        <v>589000Q</v>
      </c>
      <c r="C782" s="984" t="str">
        <f>GLOBAL_DER_FEV_2023!C782</f>
        <v>DER mat</v>
      </c>
      <c r="D782" s="1012" t="str">
        <f>GLOBAL_DER_FEV_2023!D782</f>
        <v>Fornecimento de CAP - CBUQ (Quantidade menor que 10.000 ton)</v>
      </c>
      <c r="E782" s="1005">
        <f>GLOBAL_DER_FEV_2023!E782</f>
        <v>45</v>
      </c>
      <c r="F782" s="1006">
        <f>GLOBAL_DER_FEV_2023!F782</f>
        <v>1</v>
      </c>
      <c r="G782" s="1028">
        <f>GLOBAL_DER_FEV_2023!G782</f>
        <v>88.36</v>
      </c>
      <c r="H782" s="988">
        <f>GLOBAL_DER_FEV_2023!H782</f>
        <v>4828.8599999999997</v>
      </c>
      <c r="I782" s="988">
        <f>GLOBAL_DER_FEV_2023!I782</f>
        <v>4724.580378112767</v>
      </c>
      <c r="J782" s="989">
        <f>GLOBAL_DER_FEV_2023!J782</f>
        <v>5672.8</v>
      </c>
      <c r="K782" s="990" t="s">
        <v>14</v>
      </c>
      <c r="L782" s="1169">
        <f>ROUND(L777*$F777,2)</f>
        <v>0</v>
      </c>
      <c r="M782" s="1168">
        <f t="shared" si="93"/>
        <v>0</v>
      </c>
      <c r="N782" s="993">
        <f t="shared" si="94"/>
        <v>0</v>
      </c>
      <c r="O782" s="905"/>
      <c r="P782" s="58" t="str">
        <f>IF(N777&gt;0,"xx",IF(N777&gt;0,"xy",""))</f>
        <v/>
      </c>
      <c r="Q782" s="317" t="str">
        <f t="shared" si="95"/>
        <v/>
      </c>
      <c r="R782" s="317" t="str">
        <f t="shared" si="96"/>
        <v/>
      </c>
      <c r="S782" s="317" t="str">
        <f t="shared" si="97"/>
        <v/>
      </c>
      <c r="T782" s="317" t="str">
        <f>GLOBAL_DER_FEV_2023!S782</f>
        <v/>
      </c>
      <c r="W782" s="582">
        <v>0</v>
      </c>
      <c r="X782" s="580"/>
      <c r="Y782" s="583">
        <f>IF(GLOBAL_DER_FEV_2023!W782=0,0,IF(GLOBAL_DER_FEV_2023!W782&gt;0,"c","b"))</f>
        <v>0</v>
      </c>
    </row>
    <row r="783" spans="1:25" ht="22.5" x14ac:dyDescent="0.2">
      <c r="A783" s="317">
        <v>570000</v>
      </c>
      <c r="B783" s="999" t="str">
        <f>GLOBAL_DER_FEV_2023!B783</f>
        <v>570000E</v>
      </c>
      <c r="C783" s="1000" t="str">
        <f>GLOBAL_DER_FEV_2023!C783</f>
        <v>DER</v>
      </c>
      <c r="D783" s="1024" t="str">
        <f>GLOBAL_DER_FEV_2023!D783</f>
        <v>CBUQ - PASSEIO - Novo Traço - TRAÇO 5 - FAIXA "D" - (Quant. menor que 10.000 ton)</v>
      </c>
      <c r="E783" s="974" t="str">
        <f>GLOBAL_DER_FEV_2023!E783</f>
        <v>taxa CAP</v>
      </c>
      <c r="F783" s="1022">
        <f>GLOBAL_DER_FEV_2023!F783</f>
        <v>5.5E-2</v>
      </c>
      <c r="G783" s="976">
        <f>GLOBAL_DER_FEV_2023!G783</f>
        <v>51.851634200000007</v>
      </c>
      <c r="H783" s="977">
        <f>GLOBAL_DER_FEV_2023!H783</f>
        <v>187.41</v>
      </c>
      <c r="I783" s="977">
        <f>GLOBAL_DER_FEV_2023!I783</f>
        <v>239.2616342</v>
      </c>
      <c r="J783" s="978">
        <f>GLOBAL_DER_FEV_2023!J783</f>
        <v>287.27999999999997</v>
      </c>
      <c r="K783" s="979" t="s">
        <v>14</v>
      </c>
      <c r="L783" s="1152"/>
      <c r="M783" s="1153">
        <f t="shared" ref="M783:M788" si="98">IF(L783=0,0,ROUND(J783,2))</f>
        <v>0</v>
      </c>
      <c r="N783" s="982">
        <f t="shared" ref="N783:N788" si="99">IF(ISBLANK(L783),0,IF(W783=0,ROUND(L783*M783,2),IF(W783="b",ROUNDDOWN(L783*M783,2),ROUNDUP(L783*M783,2))))</f>
        <v>0</v>
      </c>
      <c r="O783" s="905"/>
      <c r="Q783" s="317" t="str">
        <f t="shared" ref="Q783:Q788" si="100">IF(P783="X","x",IF(P783="xx","x",IF(P783="xy","x",IF(P783="y","x",IF(OR(N783&gt;0,N783&gt;0),"x","")))))</f>
        <v/>
      </c>
      <c r="R783" s="317" t="str">
        <f t="shared" ref="R783:R788" si="101">IF(P783="X","x",IF(P783="y","x",IF(P783="xx","x",IF(N783&gt;0,"x",""))))</f>
        <v/>
      </c>
      <c r="S783" s="317" t="str">
        <f t="shared" ref="S783:S788" si="102">IF(P783="X","x",IF(N783&gt;0,"x",""))</f>
        <v/>
      </c>
      <c r="T783" s="317" t="str">
        <f>GLOBAL_DER_FEV_2023!S783</f>
        <v/>
      </c>
      <c r="W783" s="582">
        <v>0</v>
      </c>
      <c r="X783" s="580"/>
      <c r="Y783" s="583">
        <f>IF(GLOBAL_DER_FEV_2023!W783=0,0,IF(GLOBAL_DER_FEV_2023!W783&gt;0,"c","b"))</f>
        <v>0</v>
      </c>
    </row>
    <row r="784" spans="1:25" x14ac:dyDescent="0.2">
      <c r="A784" s="317" t="s">
        <v>147</v>
      </c>
      <c r="B784" s="895" t="str">
        <f>GLOBAL_DER_FEV_2023!B784</f>
        <v>transporte</v>
      </c>
      <c r="C784" s="896">
        <f>GLOBAL_DER_FEV_2023!C784</f>
        <v>0</v>
      </c>
      <c r="D784" s="957" t="str">
        <f>GLOBAL_DER_FEV_2023!D784</f>
        <v>Areia</v>
      </c>
      <c r="E784" s="907">
        <f>GLOBAL_DER_FEV_2023!E784</f>
        <v>150</v>
      </c>
      <c r="F784" s="1287">
        <f>GLOBAL_DER_FEV_2023!F784</f>
        <v>9.4500000000000001E-2</v>
      </c>
      <c r="G784" s="949">
        <f>GLOBAL_DER_FEV_2023!G784</f>
        <v>15.42051</v>
      </c>
      <c r="H784" s="901">
        <f>GLOBAL_DER_FEV_2023!H784</f>
        <v>0</v>
      </c>
      <c r="I784" s="901">
        <f>GLOBAL_DER_FEV_2023!I784</f>
        <v>0</v>
      </c>
      <c r="J784" s="902">
        <f>GLOBAL_DER_FEV_2023!J784</f>
        <v>0</v>
      </c>
      <c r="K784" s="903" t="s">
        <v>507</v>
      </c>
      <c r="L784" s="1003"/>
      <c r="M784" s="1157">
        <f t="shared" si="98"/>
        <v>0</v>
      </c>
      <c r="N784" s="893">
        <f t="shared" si="99"/>
        <v>0</v>
      </c>
      <c r="O784" s="905"/>
      <c r="P784" s="58" t="str">
        <f>IF(N783&gt;0,"xx",IF(N783&gt;0,"xy",""))</f>
        <v/>
      </c>
      <c r="Q784" s="317" t="str">
        <f t="shared" si="100"/>
        <v/>
      </c>
      <c r="R784" s="317" t="str">
        <f t="shared" si="101"/>
        <v/>
      </c>
      <c r="S784" s="317" t="str">
        <f t="shared" si="102"/>
        <v/>
      </c>
      <c r="T784" s="317" t="str">
        <f>GLOBAL_DER_FEV_2023!S784</f>
        <v/>
      </c>
      <c r="W784" s="582">
        <v>0</v>
      </c>
      <c r="X784" s="580"/>
      <c r="Y784" s="583">
        <f>IF(GLOBAL_DER_FEV_2023!W784=0,0,IF(GLOBAL_DER_FEV_2023!W784&gt;0,"c","b"))</f>
        <v>0</v>
      </c>
    </row>
    <row r="785" spans="1:25" x14ac:dyDescent="0.2">
      <c r="A785" s="317" t="s">
        <v>147</v>
      </c>
      <c r="B785" s="895" t="str">
        <f>GLOBAL_DER_FEV_2023!B785</f>
        <v>transporte</v>
      </c>
      <c r="C785" s="896">
        <f>GLOBAL_DER_FEV_2023!C785</f>
        <v>0</v>
      </c>
      <c r="D785" s="957" t="str">
        <f>GLOBAL_DER_FEV_2023!D785</f>
        <v>Cal Hidratada CH-1</v>
      </c>
      <c r="E785" s="907">
        <f>GLOBAL_DER_FEV_2023!E785</f>
        <v>353</v>
      </c>
      <c r="F785" s="1287">
        <f>GLOBAL_DER_FEV_2023!F785</f>
        <v>1.4200000000000001E-2</v>
      </c>
      <c r="G785" s="909">
        <f>GLOBAL_DER_FEV_2023!G785</f>
        <v>4.0208720000000007</v>
      </c>
      <c r="H785" s="901">
        <f>GLOBAL_DER_FEV_2023!H785</f>
        <v>0</v>
      </c>
      <c r="I785" s="901">
        <f>GLOBAL_DER_FEV_2023!I785</f>
        <v>0</v>
      </c>
      <c r="J785" s="902">
        <f>GLOBAL_DER_FEV_2023!J785</f>
        <v>0</v>
      </c>
      <c r="K785" s="903" t="s">
        <v>507</v>
      </c>
      <c r="L785" s="1003"/>
      <c r="M785" s="1157">
        <f t="shared" si="98"/>
        <v>0</v>
      </c>
      <c r="N785" s="893">
        <f t="shared" si="99"/>
        <v>0</v>
      </c>
      <c r="O785" s="905"/>
      <c r="P785" s="58" t="str">
        <f>IF(N783&gt;0,"xx",IF(N783&gt;0,"xy",""))</f>
        <v/>
      </c>
      <c r="Q785" s="317" t="str">
        <f t="shared" si="100"/>
        <v/>
      </c>
      <c r="R785" s="317" t="str">
        <f t="shared" si="101"/>
        <v/>
      </c>
      <c r="S785" s="317" t="str">
        <f t="shared" si="102"/>
        <v/>
      </c>
      <c r="T785" s="317" t="str">
        <f>GLOBAL_DER_FEV_2023!S785</f>
        <v/>
      </c>
      <c r="W785" s="582">
        <v>0</v>
      </c>
      <c r="X785" s="580"/>
      <c r="Y785" s="583">
        <f>IF(GLOBAL_DER_FEV_2023!W785=0,0,IF(GLOBAL_DER_FEV_2023!W785&gt;0,"c","b"))</f>
        <v>0</v>
      </c>
    </row>
    <row r="786" spans="1:25" x14ac:dyDescent="0.2">
      <c r="A786" s="317" t="s">
        <v>147</v>
      </c>
      <c r="B786" s="895" t="str">
        <f>GLOBAL_DER_FEV_2023!B786</f>
        <v>transporte</v>
      </c>
      <c r="C786" s="896">
        <f>GLOBAL_DER_FEV_2023!C786</f>
        <v>0</v>
      </c>
      <c r="D786" s="957" t="str">
        <f>GLOBAL_DER_FEV_2023!D786</f>
        <v>Brita ( usina )</v>
      </c>
      <c r="E786" s="907">
        <f>GLOBAL_DER_FEV_2023!E786</f>
        <v>0.2</v>
      </c>
      <c r="F786" s="1287">
        <f>GLOBAL_DER_FEV_2023!F786</f>
        <v>0.83630000000000004</v>
      </c>
      <c r="G786" s="949">
        <f>GLOBAL_DER_FEV_2023!G786</f>
        <v>2.4202522000000002</v>
      </c>
      <c r="H786" s="901">
        <f>GLOBAL_DER_FEV_2023!H786</f>
        <v>0</v>
      </c>
      <c r="I786" s="901">
        <f>GLOBAL_DER_FEV_2023!I786</f>
        <v>0</v>
      </c>
      <c r="J786" s="902">
        <f>GLOBAL_DER_FEV_2023!J786</f>
        <v>0</v>
      </c>
      <c r="K786" s="903" t="s">
        <v>507</v>
      </c>
      <c r="L786" s="1003"/>
      <c r="M786" s="1157">
        <f t="shared" si="98"/>
        <v>0</v>
      </c>
      <c r="N786" s="893">
        <f t="shared" si="99"/>
        <v>0</v>
      </c>
      <c r="O786" s="905"/>
      <c r="P786" s="58" t="str">
        <f>IF(N783&gt;0,"xx",IF(N783&gt;0,"xy",""))</f>
        <v/>
      </c>
      <c r="Q786" s="317" t="str">
        <f t="shared" si="100"/>
        <v/>
      </c>
      <c r="R786" s="317" t="str">
        <f t="shared" si="101"/>
        <v/>
      </c>
      <c r="S786" s="317" t="str">
        <f t="shared" si="102"/>
        <v/>
      </c>
      <c r="T786" s="317" t="str">
        <f>GLOBAL_DER_FEV_2023!S786</f>
        <v/>
      </c>
      <c r="W786" s="582">
        <v>0</v>
      </c>
      <c r="X786" s="580"/>
      <c r="Y786" s="583">
        <f>IF(GLOBAL_DER_FEV_2023!W786=0,0,IF(GLOBAL_DER_FEV_2023!W786&gt;0,"c","b"))</f>
        <v>0</v>
      </c>
    </row>
    <row r="787" spans="1:25" x14ac:dyDescent="0.2">
      <c r="A787" s="317" t="s">
        <v>147</v>
      </c>
      <c r="B787" s="895" t="str">
        <f>GLOBAL_DER_FEV_2023!B787</f>
        <v>transporte</v>
      </c>
      <c r="C787" s="896">
        <f>GLOBAL_DER_FEV_2023!C787</f>
        <v>0</v>
      </c>
      <c r="D787" s="957" t="str">
        <f>GLOBAL_DER_FEV_2023!D787</f>
        <v>Massa</v>
      </c>
      <c r="E787" s="907">
        <f>GLOBAL_DER_FEV_2023!E787</f>
        <v>22</v>
      </c>
      <c r="F787" s="1287">
        <f>GLOBAL_DER_FEV_2023!F787</f>
        <v>1</v>
      </c>
      <c r="G787" s="912">
        <f>GLOBAL_DER_FEV_2023!G787</f>
        <v>29.990000000000002</v>
      </c>
      <c r="H787" s="901">
        <f>GLOBAL_DER_FEV_2023!H787</f>
        <v>0</v>
      </c>
      <c r="I787" s="901">
        <f>GLOBAL_DER_FEV_2023!I787</f>
        <v>0</v>
      </c>
      <c r="J787" s="902">
        <f>GLOBAL_DER_FEV_2023!J787</f>
        <v>0</v>
      </c>
      <c r="K787" s="903" t="s">
        <v>507</v>
      </c>
      <c r="L787" s="1003"/>
      <c r="M787" s="1157">
        <f t="shared" si="98"/>
        <v>0</v>
      </c>
      <c r="N787" s="893">
        <f t="shared" si="99"/>
        <v>0</v>
      </c>
      <c r="O787" s="905"/>
      <c r="P787" s="58" t="str">
        <f>IF(N783&gt;0,"xx",IF(N783&gt;0,"xy",""))</f>
        <v/>
      </c>
      <c r="Q787" s="317" t="str">
        <f t="shared" si="100"/>
        <v/>
      </c>
      <c r="R787" s="317" t="str">
        <f t="shared" si="101"/>
        <v/>
      </c>
      <c r="S787" s="317" t="str">
        <f t="shared" si="102"/>
        <v/>
      </c>
      <c r="T787" s="317" t="str">
        <f>GLOBAL_DER_FEV_2023!S787</f>
        <v/>
      </c>
      <c r="W787" s="582">
        <v>0</v>
      </c>
      <c r="X787" s="580"/>
      <c r="Y787" s="583">
        <f>IF(GLOBAL_DER_FEV_2023!W787=0,0,IF(GLOBAL_DER_FEV_2023!W787&gt;0,"c","b"))</f>
        <v>0</v>
      </c>
    </row>
    <row r="788" spans="1:25" ht="13.5" thickBot="1" x14ac:dyDescent="0.25">
      <c r="A788" s="317">
        <v>589000</v>
      </c>
      <c r="B788" s="1004" t="str">
        <f>GLOBAL_DER_FEV_2023!B788</f>
        <v>589000Q</v>
      </c>
      <c r="C788" s="984" t="str">
        <f>GLOBAL_DER_FEV_2023!C788</f>
        <v>DER mat</v>
      </c>
      <c r="D788" s="1012" t="str">
        <f>GLOBAL_DER_FEV_2023!D788</f>
        <v>Fornecimento de CAP - CBUQ (Quantidade menor que 10.000 ton)</v>
      </c>
      <c r="E788" s="1005">
        <f>GLOBAL_DER_FEV_2023!E788</f>
        <v>45</v>
      </c>
      <c r="F788" s="1006">
        <f>GLOBAL_DER_FEV_2023!F788</f>
        <v>1</v>
      </c>
      <c r="G788" s="1028">
        <f>GLOBAL_DER_FEV_2023!G788</f>
        <v>88.36</v>
      </c>
      <c r="H788" s="988">
        <f>GLOBAL_DER_FEV_2023!H788</f>
        <v>4828.8599999999997</v>
      </c>
      <c r="I788" s="988">
        <f>GLOBAL_DER_FEV_2023!I788</f>
        <v>4724.580378112767</v>
      </c>
      <c r="J788" s="989">
        <f>GLOBAL_DER_FEV_2023!J788</f>
        <v>5672.8</v>
      </c>
      <c r="K788" s="990" t="s">
        <v>14</v>
      </c>
      <c r="L788" s="1169">
        <f>ROUND(L783*$F783,2)</f>
        <v>0</v>
      </c>
      <c r="M788" s="1168">
        <f t="shared" si="98"/>
        <v>0</v>
      </c>
      <c r="N788" s="993">
        <f t="shared" si="99"/>
        <v>0</v>
      </c>
      <c r="O788" s="905"/>
      <c r="P788" s="58" t="str">
        <f>IF(N783&gt;0,"xx",IF(N783&gt;0,"xy",""))</f>
        <v/>
      </c>
      <c r="Q788" s="317" t="str">
        <f t="shared" si="100"/>
        <v/>
      </c>
      <c r="R788" s="317" t="str">
        <f t="shared" si="101"/>
        <v/>
      </c>
      <c r="S788" s="317" t="str">
        <f t="shared" si="102"/>
        <v/>
      </c>
      <c r="T788" s="317" t="str">
        <f>GLOBAL_DER_FEV_2023!S788</f>
        <v/>
      </c>
      <c r="W788" s="582">
        <v>0</v>
      </c>
      <c r="X788" s="580"/>
      <c r="Y788" s="583">
        <f>IF(GLOBAL_DER_FEV_2023!W788=0,0,IF(GLOBAL_DER_FEV_2023!W788&gt;0,"c","b"))</f>
        <v>0</v>
      </c>
    </row>
    <row r="789" spans="1:25" x14ac:dyDescent="0.2">
      <c r="A789" s="317">
        <v>521450</v>
      </c>
      <c r="B789" s="955" t="s">
        <v>1613</v>
      </c>
      <c r="C789" s="956" t="s">
        <v>184</v>
      </c>
      <c r="D789" s="906" t="s">
        <v>274</v>
      </c>
      <c r="E789" s="907">
        <f>GLOBAL_DER_FEV_2023!E789</f>
        <v>0</v>
      </c>
      <c r="F789" s="899">
        <f>GLOBAL_DER_FEV_2023!F789</f>
        <v>0.3</v>
      </c>
      <c r="G789" s="949">
        <f>GLOBAL_DER_FEV_2023!G789</f>
        <v>0.80400000000000005</v>
      </c>
      <c r="H789" s="901">
        <f>GLOBAL_DER_FEV_2023!H789</f>
        <v>25.31</v>
      </c>
      <c r="I789" s="901">
        <f>GLOBAL_DER_FEV_2023!I789</f>
        <v>26.113999999999997</v>
      </c>
      <c r="J789" s="902">
        <f>GLOBAL_DER_FEV_2023!J789</f>
        <v>31.36</v>
      </c>
      <c r="K789" s="903" t="s">
        <v>12</v>
      </c>
      <c r="L789" s="1137"/>
      <c r="M789" s="1138">
        <f t="shared" si="88"/>
        <v>0</v>
      </c>
      <c r="N789" s="893">
        <f t="shared" si="92"/>
        <v>0</v>
      </c>
      <c r="O789" s="905"/>
      <c r="Q789" s="317" t="str">
        <f t="shared" si="89"/>
        <v/>
      </c>
      <c r="R789" s="317" t="str">
        <f t="shared" si="90"/>
        <v/>
      </c>
      <c r="S789" s="317" t="str">
        <f t="shared" si="91"/>
        <v/>
      </c>
      <c r="T789" s="317" t="str">
        <f>GLOBAL_DER_FEV_2023!S789</f>
        <v/>
      </c>
      <c r="W789" s="582">
        <v>0</v>
      </c>
      <c r="X789" s="580"/>
      <c r="Y789" s="583">
        <f>IF(GLOBAL_DER_FEV_2023!W789=0,0,IF(GLOBAL_DER_FEV_2023!W789&gt;0,"c","b"))</f>
        <v>0</v>
      </c>
    </row>
    <row r="790" spans="1:25" x14ac:dyDescent="0.2">
      <c r="A790" s="317">
        <v>535200</v>
      </c>
      <c r="B790" s="895" t="s">
        <v>1609</v>
      </c>
      <c r="C790" s="896" t="s">
        <v>184</v>
      </c>
      <c r="D790" s="906" t="s">
        <v>275</v>
      </c>
      <c r="E790" s="907">
        <f>GLOBAL_DER_FEV_2023!E790</f>
        <v>0</v>
      </c>
      <c r="F790" s="899">
        <f>GLOBAL_DER_FEV_2023!F790</f>
        <v>7.6999999999999999E-2</v>
      </c>
      <c r="G790" s="949">
        <f>GLOBAL_DER_FEV_2023!G790</f>
        <v>0.20636000000000002</v>
      </c>
      <c r="H790" s="901">
        <f>GLOBAL_DER_FEV_2023!H790</f>
        <v>11.65</v>
      </c>
      <c r="I790" s="901">
        <f>GLOBAL_DER_FEV_2023!I790</f>
        <v>11.85636</v>
      </c>
      <c r="J790" s="902">
        <f>GLOBAL_DER_FEV_2023!J790</f>
        <v>14.24</v>
      </c>
      <c r="K790" s="903" t="s">
        <v>13</v>
      </c>
      <c r="L790" s="1137"/>
      <c r="M790" s="1138">
        <f t="shared" si="88"/>
        <v>0</v>
      </c>
      <c r="N790" s="893">
        <f t="shared" si="92"/>
        <v>0</v>
      </c>
      <c r="O790" s="905"/>
      <c r="Q790" s="317" t="str">
        <f t="shared" si="89"/>
        <v/>
      </c>
      <c r="R790" s="317" t="str">
        <f t="shared" si="90"/>
        <v/>
      </c>
      <c r="S790" s="317" t="str">
        <f t="shared" si="91"/>
        <v/>
      </c>
      <c r="T790" s="317" t="str">
        <f>GLOBAL_DER_FEV_2023!S790</f>
        <v/>
      </c>
      <c r="W790" s="582">
        <v>0</v>
      </c>
      <c r="X790" s="580"/>
      <c r="Y790" s="583">
        <f>IF(GLOBAL_DER_FEV_2023!W790=0,0,IF(GLOBAL_DER_FEV_2023!W790&gt;0,"c","b"))</f>
        <v>0</v>
      </c>
    </row>
    <row r="791" spans="1:25" x14ac:dyDescent="0.2">
      <c r="A791" s="317">
        <v>521450</v>
      </c>
      <c r="B791" s="895" t="s">
        <v>1614</v>
      </c>
      <c r="C791" s="896" t="s">
        <v>184</v>
      </c>
      <c r="D791" s="906" t="s">
        <v>276</v>
      </c>
      <c r="E791" s="907">
        <f>GLOBAL_DER_FEV_2023!E791</f>
        <v>0</v>
      </c>
      <c r="F791" s="899">
        <f>GLOBAL_DER_FEV_2023!F791</f>
        <v>0</v>
      </c>
      <c r="G791" s="912">
        <f>GLOBAL_DER_FEV_2023!G791</f>
        <v>0</v>
      </c>
      <c r="H791" s="901">
        <f>GLOBAL_DER_FEV_2023!H791</f>
        <v>25.31</v>
      </c>
      <c r="I791" s="901">
        <f>GLOBAL_DER_FEV_2023!I791</f>
        <v>25.31</v>
      </c>
      <c r="J791" s="902">
        <f>GLOBAL_DER_FEV_2023!J791</f>
        <v>30.39</v>
      </c>
      <c r="K791" s="903" t="s">
        <v>12</v>
      </c>
      <c r="L791" s="1137"/>
      <c r="M791" s="1138">
        <f t="shared" si="88"/>
        <v>0</v>
      </c>
      <c r="N791" s="893">
        <f t="shared" si="92"/>
        <v>0</v>
      </c>
      <c r="O791" s="905"/>
      <c r="Q791" s="317" t="str">
        <f t="shared" si="89"/>
        <v/>
      </c>
      <c r="R791" s="317" t="str">
        <f t="shared" si="90"/>
        <v/>
      </c>
      <c r="S791" s="317" t="str">
        <f t="shared" si="91"/>
        <v/>
      </c>
      <c r="T791" s="317" t="str">
        <f>GLOBAL_DER_FEV_2023!S791</f>
        <v/>
      </c>
      <c r="W791" s="582">
        <v>0</v>
      </c>
      <c r="X791" s="580"/>
      <c r="Y791" s="583">
        <f>IF(GLOBAL_DER_FEV_2023!W791=0,0,IF(GLOBAL_DER_FEV_2023!W791&gt;0,"c","b"))</f>
        <v>0</v>
      </c>
    </row>
    <row r="792" spans="1:25" x14ac:dyDescent="0.2">
      <c r="A792" s="317">
        <v>521450</v>
      </c>
      <c r="B792" s="895" t="s">
        <v>1615</v>
      </c>
      <c r="C792" s="896" t="s">
        <v>184</v>
      </c>
      <c r="D792" s="906" t="s">
        <v>277</v>
      </c>
      <c r="E792" s="907">
        <f>GLOBAL_DER_FEV_2023!E792</f>
        <v>0</v>
      </c>
      <c r="F792" s="899">
        <f>GLOBAL_DER_FEV_2023!F792</f>
        <v>0</v>
      </c>
      <c r="G792" s="912">
        <f>GLOBAL_DER_FEV_2023!G792</f>
        <v>0</v>
      </c>
      <c r="H792" s="901">
        <f>GLOBAL_DER_FEV_2023!H792</f>
        <v>25.31</v>
      </c>
      <c r="I792" s="901">
        <f>GLOBAL_DER_FEV_2023!I792</f>
        <v>25.31</v>
      </c>
      <c r="J792" s="902">
        <f>GLOBAL_DER_FEV_2023!J792</f>
        <v>30.39</v>
      </c>
      <c r="K792" s="903" t="s">
        <v>12</v>
      </c>
      <c r="L792" s="1137"/>
      <c r="M792" s="1138">
        <f t="shared" si="88"/>
        <v>0</v>
      </c>
      <c r="N792" s="893">
        <f t="shared" si="92"/>
        <v>0</v>
      </c>
      <c r="O792" s="905"/>
      <c r="Q792" s="317" t="str">
        <f t="shared" si="89"/>
        <v/>
      </c>
      <c r="R792" s="317" t="str">
        <f t="shared" si="90"/>
        <v/>
      </c>
      <c r="S792" s="317" t="str">
        <f t="shared" si="91"/>
        <v/>
      </c>
      <c r="T792" s="317" t="str">
        <f>GLOBAL_DER_FEV_2023!S792</f>
        <v/>
      </c>
      <c r="W792" s="582">
        <v>0</v>
      </c>
      <c r="X792" s="580"/>
      <c r="Y792" s="583">
        <f>IF(GLOBAL_DER_FEV_2023!W792=0,0,IF(GLOBAL_DER_FEV_2023!W792&gt;0,"c","b"))</f>
        <v>0</v>
      </c>
    </row>
    <row r="793" spans="1:25" x14ac:dyDescent="0.2">
      <c r="A793" s="317">
        <v>535000</v>
      </c>
      <c r="B793" s="895" t="s">
        <v>1752</v>
      </c>
      <c r="C793" s="896" t="s">
        <v>184</v>
      </c>
      <c r="D793" s="906" t="s">
        <v>222</v>
      </c>
      <c r="E793" s="907">
        <f>GLOBAL_DER_FEV_2023!E793</f>
        <v>0</v>
      </c>
      <c r="F793" s="908">
        <f>GLOBAL_DER_FEV_2023!F793</f>
        <v>0.27200000000000002</v>
      </c>
      <c r="G793" s="949">
        <f>GLOBAL_DER_FEV_2023!G793</f>
        <v>0.72896000000000005</v>
      </c>
      <c r="H793" s="901">
        <f>GLOBAL_DER_FEV_2023!H793</f>
        <v>109.55</v>
      </c>
      <c r="I793" s="901">
        <f>GLOBAL_DER_FEV_2023!I793</f>
        <v>110.27896</v>
      </c>
      <c r="J793" s="902">
        <f>GLOBAL_DER_FEV_2023!J793</f>
        <v>132.41</v>
      </c>
      <c r="K793" s="903" t="s">
        <v>12</v>
      </c>
      <c r="L793" s="1137"/>
      <c r="M793" s="1138">
        <f t="shared" ref="M793:M852" si="103">IF(L793=0,0,ROUND(J793,2))</f>
        <v>0</v>
      </c>
      <c r="N793" s="893">
        <f t="shared" si="92"/>
        <v>0</v>
      </c>
      <c r="O793" s="905"/>
      <c r="Q793" s="317" t="str">
        <f t="shared" si="89"/>
        <v/>
      </c>
      <c r="R793" s="317" t="str">
        <f t="shared" si="90"/>
        <v/>
      </c>
      <c r="S793" s="317" t="str">
        <f t="shared" si="91"/>
        <v/>
      </c>
      <c r="T793" s="317" t="str">
        <f>GLOBAL_DER_FEV_2023!S793</f>
        <v/>
      </c>
      <c r="W793" s="582">
        <v>0</v>
      </c>
      <c r="X793" s="580"/>
      <c r="Y793" s="583">
        <f>IF(GLOBAL_DER_FEV_2023!W793=0,0,IF(GLOBAL_DER_FEV_2023!W793&gt;0,"c","b"))</f>
        <v>0</v>
      </c>
    </row>
    <row r="794" spans="1:25" x14ac:dyDescent="0.2">
      <c r="A794" s="317">
        <v>863000</v>
      </c>
      <c r="B794" s="895" t="s">
        <v>1622</v>
      </c>
      <c r="C794" s="896" t="s">
        <v>184</v>
      </c>
      <c r="D794" s="906" t="s">
        <v>223</v>
      </c>
      <c r="E794" s="907">
        <f>GLOBAL_DER_FEV_2023!E794</f>
        <v>0.1</v>
      </c>
      <c r="F794" s="908">
        <f>GLOBAL_DER_FEV_2023!F794</f>
        <v>0.08</v>
      </c>
      <c r="G794" s="949">
        <f>GLOBAL_DER_FEV_2023!G794</f>
        <v>0.22296000000000005</v>
      </c>
      <c r="H794" s="901">
        <f>GLOBAL_DER_FEV_2023!H794</f>
        <v>105.61</v>
      </c>
      <c r="I794" s="901">
        <f>GLOBAL_DER_FEV_2023!I794</f>
        <v>105.83296</v>
      </c>
      <c r="J794" s="902">
        <f>GLOBAL_DER_FEV_2023!J794</f>
        <v>127.07</v>
      </c>
      <c r="K794" s="903" t="s">
        <v>12</v>
      </c>
      <c r="L794" s="1137"/>
      <c r="M794" s="1138">
        <f t="shared" si="103"/>
        <v>0</v>
      </c>
      <c r="N794" s="893">
        <f t="shared" si="92"/>
        <v>0</v>
      </c>
      <c r="O794" s="905"/>
      <c r="Q794" s="317" t="str">
        <f t="shared" si="89"/>
        <v/>
      </c>
      <c r="R794" s="317" t="str">
        <f t="shared" si="90"/>
        <v/>
      </c>
      <c r="S794" s="317" t="str">
        <f t="shared" si="91"/>
        <v/>
      </c>
      <c r="T794" s="317" t="str">
        <f>GLOBAL_DER_FEV_2023!S794</f>
        <v/>
      </c>
      <c r="W794" s="582">
        <v>0</v>
      </c>
      <c r="X794" s="580"/>
      <c r="Y794" s="583">
        <f>IF(GLOBAL_DER_FEV_2023!W794=0,0,IF(GLOBAL_DER_FEV_2023!W794&gt;0,"c","b"))</f>
        <v>0</v>
      </c>
    </row>
    <row r="795" spans="1:25" x14ac:dyDescent="0.2">
      <c r="A795" s="317">
        <v>863000</v>
      </c>
      <c r="B795" s="895" t="s">
        <v>1623</v>
      </c>
      <c r="C795" s="896" t="s">
        <v>184</v>
      </c>
      <c r="D795" s="906" t="s">
        <v>224</v>
      </c>
      <c r="E795" s="907">
        <f>GLOBAL_DER_FEV_2023!E795</f>
        <v>0.1</v>
      </c>
      <c r="F795" s="908">
        <f>GLOBAL_DER_FEV_2023!F795</f>
        <v>0.1</v>
      </c>
      <c r="G795" s="949">
        <f>GLOBAL_DER_FEV_2023!G795</f>
        <v>0.27870000000000006</v>
      </c>
      <c r="H795" s="901">
        <f>GLOBAL_DER_FEV_2023!H795</f>
        <v>105.61</v>
      </c>
      <c r="I795" s="901">
        <f>GLOBAL_DER_FEV_2023!I795</f>
        <v>105.8887</v>
      </c>
      <c r="J795" s="902">
        <f>GLOBAL_DER_FEV_2023!J795</f>
        <v>127.14</v>
      </c>
      <c r="K795" s="903" t="s">
        <v>12</v>
      </c>
      <c r="L795" s="1137"/>
      <c r="M795" s="1138">
        <f t="shared" si="103"/>
        <v>0</v>
      </c>
      <c r="N795" s="893">
        <f t="shared" si="92"/>
        <v>0</v>
      </c>
      <c r="O795" s="905"/>
      <c r="Q795" s="317" t="str">
        <f t="shared" ref="Q795:Q858" si="104">IF(P795="X","x",IF(P795="xx","x",IF(P795="xy","x",IF(P795="y","x",IF(OR(N795&gt;0,N795&gt;0),"x","")))))</f>
        <v/>
      </c>
      <c r="R795" s="317" t="str">
        <f t="shared" si="90"/>
        <v/>
      </c>
      <c r="S795" s="317" t="str">
        <f t="shared" si="91"/>
        <v/>
      </c>
      <c r="T795" s="317" t="str">
        <f>GLOBAL_DER_FEV_2023!S795</f>
        <v/>
      </c>
      <c r="W795" s="582">
        <v>0</v>
      </c>
      <c r="X795" s="580"/>
      <c r="Y795" s="583">
        <f>IF(GLOBAL_DER_FEV_2023!W795=0,0,IF(GLOBAL_DER_FEV_2023!W795&gt;0,"c","b"))</f>
        <v>0</v>
      </c>
    </row>
    <row r="796" spans="1:25" x14ac:dyDescent="0.2">
      <c r="A796" s="317">
        <v>534906</v>
      </c>
      <c r="B796" s="895" t="s">
        <v>1626</v>
      </c>
      <c r="C796" s="896" t="s">
        <v>184</v>
      </c>
      <c r="D796" s="906" t="s">
        <v>225</v>
      </c>
      <c r="E796" s="907">
        <f>GLOBAL_DER_FEV_2023!E796</f>
        <v>0.1</v>
      </c>
      <c r="F796" s="908">
        <f>GLOBAL_DER_FEV_2023!F796</f>
        <v>0.12</v>
      </c>
      <c r="G796" s="949">
        <f>GLOBAL_DER_FEV_2023!G796</f>
        <v>0.33444000000000002</v>
      </c>
      <c r="H796" s="901">
        <f>GLOBAL_DER_FEV_2023!H796</f>
        <v>76.400000000000006</v>
      </c>
      <c r="I796" s="901">
        <f>GLOBAL_DER_FEV_2023!I796</f>
        <v>76.734440000000006</v>
      </c>
      <c r="J796" s="902">
        <f>GLOBAL_DER_FEV_2023!J796</f>
        <v>92.14</v>
      </c>
      <c r="K796" s="903" t="s">
        <v>12</v>
      </c>
      <c r="L796" s="1137"/>
      <c r="M796" s="1138">
        <f t="shared" si="103"/>
        <v>0</v>
      </c>
      <c r="N796" s="893">
        <f t="shared" si="92"/>
        <v>0</v>
      </c>
      <c r="O796" s="905"/>
      <c r="Q796" s="317" t="str">
        <f t="shared" si="104"/>
        <v/>
      </c>
      <c r="R796" s="317" t="str">
        <f t="shared" si="90"/>
        <v/>
      </c>
      <c r="S796" s="317" t="str">
        <f t="shared" si="91"/>
        <v/>
      </c>
      <c r="T796" s="317" t="str">
        <f>GLOBAL_DER_FEV_2023!S796</f>
        <v/>
      </c>
      <c r="W796" s="582">
        <v>0</v>
      </c>
      <c r="X796" s="580"/>
      <c r="Y796" s="583">
        <f>IF(GLOBAL_DER_FEV_2023!W796=0,0,IF(GLOBAL_DER_FEV_2023!W796&gt;0,"c","b"))</f>
        <v>0</v>
      </c>
    </row>
    <row r="797" spans="1:25" x14ac:dyDescent="0.2">
      <c r="A797" s="317">
        <v>534906</v>
      </c>
      <c r="B797" s="895" t="s">
        <v>1627</v>
      </c>
      <c r="C797" s="896" t="s">
        <v>184</v>
      </c>
      <c r="D797" s="906" t="s">
        <v>226</v>
      </c>
      <c r="E797" s="907">
        <f>GLOBAL_DER_FEV_2023!E797</f>
        <v>0.1</v>
      </c>
      <c r="F797" s="908">
        <f>GLOBAL_DER_FEV_2023!F797</f>
        <v>0.14000000000000001</v>
      </c>
      <c r="G797" s="949">
        <f>GLOBAL_DER_FEV_2023!G797</f>
        <v>0.39018000000000008</v>
      </c>
      <c r="H797" s="901">
        <f>GLOBAL_DER_FEV_2023!H797</f>
        <v>76.400000000000006</v>
      </c>
      <c r="I797" s="901">
        <f>GLOBAL_DER_FEV_2023!I797</f>
        <v>76.790180000000007</v>
      </c>
      <c r="J797" s="902">
        <f>GLOBAL_DER_FEV_2023!J797</f>
        <v>92.2</v>
      </c>
      <c r="K797" s="903" t="s">
        <v>12</v>
      </c>
      <c r="L797" s="1137"/>
      <c r="M797" s="1138">
        <f t="shared" si="103"/>
        <v>0</v>
      </c>
      <c r="N797" s="893">
        <f t="shared" si="92"/>
        <v>0</v>
      </c>
      <c r="O797" s="905"/>
      <c r="Q797" s="317" t="str">
        <f t="shared" si="104"/>
        <v/>
      </c>
      <c r="R797" s="317" t="str">
        <f t="shared" ref="R797:R860" si="105">IF(P797="X","x",IF(P797="y","x",IF(P797="xx","x",IF(N797&gt;0,"x",""))))</f>
        <v/>
      </c>
      <c r="S797" s="317" t="str">
        <f t="shared" ref="S797:S860" si="106">IF(P797="X","x",IF(N797&gt;0,"x",""))</f>
        <v/>
      </c>
      <c r="T797" s="317" t="str">
        <f>GLOBAL_DER_FEV_2023!S797</f>
        <v/>
      </c>
      <c r="W797" s="582">
        <v>0</v>
      </c>
      <c r="X797" s="580"/>
      <c r="Y797" s="583">
        <f>IF(GLOBAL_DER_FEV_2023!W797=0,0,IF(GLOBAL_DER_FEV_2023!W797&gt;0,"c","b"))</f>
        <v>0</v>
      </c>
    </row>
    <row r="798" spans="1:25" x14ac:dyDescent="0.2">
      <c r="A798" s="317">
        <v>534906</v>
      </c>
      <c r="B798" s="895" t="s">
        <v>1628</v>
      </c>
      <c r="C798" s="896" t="s">
        <v>184</v>
      </c>
      <c r="D798" s="906" t="s">
        <v>227</v>
      </c>
      <c r="E798" s="907">
        <f>GLOBAL_DER_FEV_2023!E798</f>
        <v>0.1</v>
      </c>
      <c r="F798" s="908">
        <f>GLOBAL_DER_FEV_2023!F798</f>
        <v>0.16</v>
      </c>
      <c r="G798" s="949">
        <f>GLOBAL_DER_FEV_2023!G798</f>
        <v>0.44592000000000009</v>
      </c>
      <c r="H798" s="901">
        <f>GLOBAL_DER_FEV_2023!H798</f>
        <v>76.400000000000006</v>
      </c>
      <c r="I798" s="901">
        <f>GLOBAL_DER_FEV_2023!I798</f>
        <v>76.845920000000007</v>
      </c>
      <c r="J798" s="902">
        <f>GLOBAL_DER_FEV_2023!J798</f>
        <v>92.27</v>
      </c>
      <c r="K798" s="903" t="s">
        <v>12</v>
      </c>
      <c r="L798" s="1137"/>
      <c r="M798" s="1138">
        <f t="shared" si="103"/>
        <v>0</v>
      </c>
      <c r="N798" s="893">
        <f t="shared" si="92"/>
        <v>0</v>
      </c>
      <c r="O798" s="905"/>
      <c r="Q798" s="317" t="str">
        <f t="shared" si="104"/>
        <v/>
      </c>
      <c r="R798" s="317" t="str">
        <f t="shared" si="105"/>
        <v/>
      </c>
      <c r="S798" s="317" t="str">
        <f t="shared" si="106"/>
        <v/>
      </c>
      <c r="T798" s="317" t="str">
        <f>GLOBAL_DER_FEV_2023!S798</f>
        <v/>
      </c>
      <c r="W798" s="582">
        <v>0</v>
      </c>
      <c r="X798" s="580"/>
      <c r="Y798" s="583">
        <f>IF(GLOBAL_DER_FEV_2023!W798=0,0,IF(GLOBAL_DER_FEV_2023!W798&gt;0,"c","b"))</f>
        <v>0</v>
      </c>
    </row>
    <row r="799" spans="1:25" x14ac:dyDescent="0.2">
      <c r="A799" s="317">
        <v>534906</v>
      </c>
      <c r="B799" s="895" t="s">
        <v>1629</v>
      </c>
      <c r="C799" s="896" t="s">
        <v>184</v>
      </c>
      <c r="D799" s="906" t="s">
        <v>228</v>
      </c>
      <c r="E799" s="907">
        <f>GLOBAL_DER_FEV_2023!E799</f>
        <v>0.1</v>
      </c>
      <c r="F799" s="908">
        <f>GLOBAL_DER_FEV_2023!F799</f>
        <v>0.2</v>
      </c>
      <c r="G799" s="949">
        <f>GLOBAL_DER_FEV_2023!G799</f>
        <v>0.55740000000000012</v>
      </c>
      <c r="H799" s="901">
        <f>GLOBAL_DER_FEV_2023!H799</f>
        <v>76.400000000000006</v>
      </c>
      <c r="I799" s="901">
        <f>GLOBAL_DER_FEV_2023!I799</f>
        <v>76.957400000000007</v>
      </c>
      <c r="J799" s="902">
        <f>GLOBAL_DER_FEV_2023!J799</f>
        <v>92.4</v>
      </c>
      <c r="K799" s="903" t="s">
        <v>12</v>
      </c>
      <c r="L799" s="1137"/>
      <c r="M799" s="1138">
        <f t="shared" si="103"/>
        <v>0</v>
      </c>
      <c r="N799" s="893">
        <f t="shared" si="92"/>
        <v>0</v>
      </c>
      <c r="O799" s="905"/>
      <c r="Q799" s="317" t="str">
        <f t="shared" si="104"/>
        <v/>
      </c>
      <c r="R799" s="317" t="str">
        <f t="shared" si="105"/>
        <v/>
      </c>
      <c r="S799" s="317" t="str">
        <f t="shared" si="106"/>
        <v/>
      </c>
      <c r="T799" s="317" t="str">
        <f>GLOBAL_DER_FEV_2023!S799</f>
        <v/>
      </c>
      <c r="W799" s="582">
        <v>0</v>
      </c>
      <c r="X799" s="580"/>
      <c r="Y799" s="583">
        <f>IF(GLOBAL_DER_FEV_2023!W799=0,0,IF(GLOBAL_DER_FEV_2023!W799&gt;0,"c","b"))</f>
        <v>0</v>
      </c>
    </row>
    <row r="800" spans="1:25" x14ac:dyDescent="0.2">
      <c r="A800" s="317">
        <v>534906</v>
      </c>
      <c r="B800" s="895" t="s">
        <v>1630</v>
      </c>
      <c r="C800" s="896" t="s">
        <v>184</v>
      </c>
      <c r="D800" s="906" t="s">
        <v>803</v>
      </c>
      <c r="E800" s="907">
        <f>GLOBAL_DER_FEV_2023!E800</f>
        <v>0.1</v>
      </c>
      <c r="F800" s="908">
        <f>GLOBAL_DER_FEV_2023!F800</f>
        <v>0.14000000000000001</v>
      </c>
      <c r="G800" s="949">
        <f>GLOBAL_DER_FEV_2023!G800</f>
        <v>0.39018000000000008</v>
      </c>
      <c r="H800" s="901">
        <f>GLOBAL_DER_FEV_2023!H800</f>
        <v>76.400000000000006</v>
      </c>
      <c r="I800" s="901">
        <f>GLOBAL_DER_FEV_2023!I800</f>
        <v>76.790180000000007</v>
      </c>
      <c r="J800" s="902">
        <f>GLOBAL_DER_FEV_2023!J800</f>
        <v>92.2</v>
      </c>
      <c r="K800" s="903" t="s">
        <v>12</v>
      </c>
      <c r="L800" s="1137"/>
      <c r="M800" s="1138">
        <f t="shared" si="103"/>
        <v>0</v>
      </c>
      <c r="N800" s="893">
        <f t="shared" si="92"/>
        <v>0</v>
      </c>
      <c r="O800" s="905"/>
      <c r="Q800" s="317" t="str">
        <f t="shared" si="104"/>
        <v/>
      </c>
      <c r="R800" s="317" t="str">
        <f t="shared" si="105"/>
        <v/>
      </c>
      <c r="S800" s="317" t="str">
        <f t="shared" si="106"/>
        <v/>
      </c>
      <c r="T800" s="317" t="str">
        <f>GLOBAL_DER_FEV_2023!S800</f>
        <v/>
      </c>
      <c r="W800" s="582">
        <v>0</v>
      </c>
      <c r="X800" s="580"/>
      <c r="Y800" s="583">
        <f>IF(GLOBAL_DER_FEV_2023!W800=0,0,IF(GLOBAL_DER_FEV_2023!W800&gt;0,"c","b"))</f>
        <v>0</v>
      </c>
    </row>
    <row r="801" spans="1:25" x14ac:dyDescent="0.2">
      <c r="A801" s="317">
        <v>534906</v>
      </c>
      <c r="B801" s="895" t="s">
        <v>1631</v>
      </c>
      <c r="C801" s="896" t="s">
        <v>184</v>
      </c>
      <c r="D801" s="906" t="s">
        <v>804</v>
      </c>
      <c r="E801" s="907">
        <f>GLOBAL_DER_FEV_2023!E801</f>
        <v>0.1</v>
      </c>
      <c r="F801" s="908">
        <f>GLOBAL_DER_FEV_2023!F801</f>
        <v>0.14000000000000001</v>
      </c>
      <c r="G801" s="949">
        <f>GLOBAL_DER_FEV_2023!G801</f>
        <v>0.39018000000000008</v>
      </c>
      <c r="H801" s="901">
        <f>GLOBAL_DER_FEV_2023!H801</f>
        <v>76.400000000000006</v>
      </c>
      <c r="I801" s="901">
        <f>GLOBAL_DER_FEV_2023!I801</f>
        <v>76.790180000000007</v>
      </c>
      <c r="J801" s="902">
        <f>GLOBAL_DER_FEV_2023!J801</f>
        <v>92.2</v>
      </c>
      <c r="K801" s="903" t="s">
        <v>12</v>
      </c>
      <c r="L801" s="1137"/>
      <c r="M801" s="1138">
        <f t="shared" si="103"/>
        <v>0</v>
      </c>
      <c r="N801" s="893">
        <f t="shared" ref="N801:N864" si="107">IF(ISBLANK(L801),0,IF(W801=0,ROUND(L801*M801,2),IF(W801="b",ROUNDDOWN(L801*M801,2),ROUNDUP(L801*M801,2))))</f>
        <v>0</v>
      </c>
      <c r="O801" s="905"/>
      <c r="Q801" s="317" t="str">
        <f t="shared" si="104"/>
        <v/>
      </c>
      <c r="R801" s="317" t="str">
        <f t="shared" si="105"/>
        <v/>
      </c>
      <c r="S801" s="317" t="str">
        <f t="shared" si="106"/>
        <v/>
      </c>
      <c r="T801" s="317" t="str">
        <f>GLOBAL_DER_FEV_2023!S801</f>
        <v/>
      </c>
      <c r="W801" s="582">
        <v>0</v>
      </c>
      <c r="X801" s="580"/>
      <c r="Y801" s="583">
        <f>IF(GLOBAL_DER_FEV_2023!W801=0,0,IF(GLOBAL_DER_FEV_2023!W801&gt;0,"c","b"))</f>
        <v>0</v>
      </c>
    </row>
    <row r="802" spans="1:25" x14ac:dyDescent="0.2">
      <c r="A802" s="317">
        <v>534908</v>
      </c>
      <c r="B802" s="895" t="s">
        <v>211</v>
      </c>
      <c r="C802" s="896" t="s">
        <v>184</v>
      </c>
      <c r="D802" s="906" t="s">
        <v>805</v>
      </c>
      <c r="E802" s="907">
        <f>GLOBAL_DER_FEV_2023!E802</f>
        <v>0.1</v>
      </c>
      <c r="F802" s="908">
        <f>GLOBAL_DER_FEV_2023!F802</f>
        <v>0.18</v>
      </c>
      <c r="G802" s="949">
        <f>GLOBAL_DER_FEV_2023!G802</f>
        <v>0.50165999999999999</v>
      </c>
      <c r="H802" s="901">
        <f>GLOBAL_DER_FEV_2023!H802</f>
        <v>89.6</v>
      </c>
      <c r="I802" s="901">
        <f>GLOBAL_DER_FEV_2023!I802</f>
        <v>90.101659999999995</v>
      </c>
      <c r="J802" s="902">
        <f>GLOBAL_DER_FEV_2023!J802</f>
        <v>108.19</v>
      </c>
      <c r="K802" s="903" t="s">
        <v>12</v>
      </c>
      <c r="L802" s="1137"/>
      <c r="M802" s="1138">
        <f t="shared" si="103"/>
        <v>0</v>
      </c>
      <c r="N802" s="893">
        <f t="shared" si="107"/>
        <v>0</v>
      </c>
      <c r="O802" s="905"/>
      <c r="Q802" s="317" t="str">
        <f t="shared" si="104"/>
        <v/>
      </c>
      <c r="R802" s="317" t="str">
        <f t="shared" si="105"/>
        <v/>
      </c>
      <c r="S802" s="317" t="str">
        <f t="shared" si="106"/>
        <v/>
      </c>
      <c r="T802" s="317" t="str">
        <f>GLOBAL_DER_FEV_2023!S802</f>
        <v/>
      </c>
      <c r="W802" s="582">
        <v>0</v>
      </c>
      <c r="X802" s="580"/>
      <c r="Y802" s="583">
        <f>IF(GLOBAL_DER_FEV_2023!W802=0,0,IF(GLOBAL_DER_FEV_2023!W802&gt;0,"c","b"))</f>
        <v>0</v>
      </c>
    </row>
    <row r="803" spans="1:25" x14ac:dyDescent="0.2">
      <c r="A803" s="317">
        <v>534908</v>
      </c>
      <c r="B803" s="895" t="s">
        <v>212</v>
      </c>
      <c r="C803" s="896" t="s">
        <v>184</v>
      </c>
      <c r="D803" s="906" t="s">
        <v>806</v>
      </c>
      <c r="E803" s="907">
        <f>GLOBAL_DER_FEV_2023!E803</f>
        <v>0.1</v>
      </c>
      <c r="F803" s="908">
        <f>GLOBAL_DER_FEV_2023!F803</f>
        <v>0.18</v>
      </c>
      <c r="G803" s="949">
        <f>GLOBAL_DER_FEV_2023!G803</f>
        <v>0.50165999999999999</v>
      </c>
      <c r="H803" s="901">
        <f>GLOBAL_DER_FEV_2023!H803</f>
        <v>89.6</v>
      </c>
      <c r="I803" s="901">
        <f>GLOBAL_DER_FEV_2023!I803</f>
        <v>90.101659999999995</v>
      </c>
      <c r="J803" s="902">
        <f>GLOBAL_DER_FEV_2023!J803</f>
        <v>108.19</v>
      </c>
      <c r="K803" s="903" t="s">
        <v>12</v>
      </c>
      <c r="L803" s="1137"/>
      <c r="M803" s="1138">
        <f t="shared" si="103"/>
        <v>0</v>
      </c>
      <c r="N803" s="893">
        <f t="shared" si="107"/>
        <v>0</v>
      </c>
      <c r="O803" s="905"/>
      <c r="Q803" s="317" t="str">
        <f t="shared" si="104"/>
        <v/>
      </c>
      <c r="R803" s="317" t="str">
        <f t="shared" si="105"/>
        <v/>
      </c>
      <c r="S803" s="317" t="str">
        <f t="shared" si="106"/>
        <v/>
      </c>
      <c r="T803" s="317" t="str">
        <f>GLOBAL_DER_FEV_2023!S803</f>
        <v/>
      </c>
      <c r="W803" s="582">
        <v>0</v>
      </c>
      <c r="X803" s="580"/>
      <c r="Y803" s="583">
        <f>IF(GLOBAL_DER_FEV_2023!W803=0,0,IF(GLOBAL_DER_FEV_2023!W803&gt;0,"c","b"))</f>
        <v>0</v>
      </c>
    </row>
    <row r="804" spans="1:25" x14ac:dyDescent="0.2">
      <c r="A804" s="317">
        <v>534908</v>
      </c>
      <c r="B804" s="895" t="s">
        <v>1632</v>
      </c>
      <c r="C804" s="896" t="s">
        <v>184</v>
      </c>
      <c r="D804" s="906" t="s">
        <v>807</v>
      </c>
      <c r="E804" s="907">
        <f>GLOBAL_DER_FEV_2023!E804</f>
        <v>0.1</v>
      </c>
      <c r="F804" s="908">
        <f>GLOBAL_DER_FEV_2023!F804</f>
        <v>0.22</v>
      </c>
      <c r="G804" s="949">
        <f>GLOBAL_DER_FEV_2023!G804</f>
        <v>0.61314000000000013</v>
      </c>
      <c r="H804" s="901">
        <f>GLOBAL_DER_FEV_2023!H804</f>
        <v>89.6</v>
      </c>
      <c r="I804" s="901">
        <f>GLOBAL_DER_FEV_2023!I804</f>
        <v>90.213139999999996</v>
      </c>
      <c r="J804" s="902">
        <f>GLOBAL_DER_FEV_2023!J804</f>
        <v>108.32</v>
      </c>
      <c r="K804" s="903" t="s">
        <v>12</v>
      </c>
      <c r="L804" s="1137"/>
      <c r="M804" s="1138">
        <f t="shared" si="103"/>
        <v>0</v>
      </c>
      <c r="N804" s="893">
        <f t="shared" si="107"/>
        <v>0</v>
      </c>
      <c r="O804" s="905"/>
      <c r="Q804" s="317" t="str">
        <f t="shared" si="104"/>
        <v/>
      </c>
      <c r="R804" s="317" t="str">
        <f t="shared" si="105"/>
        <v/>
      </c>
      <c r="S804" s="317" t="str">
        <f t="shared" si="106"/>
        <v/>
      </c>
      <c r="T804" s="317" t="str">
        <f>GLOBAL_DER_FEV_2023!S804</f>
        <v/>
      </c>
      <c r="W804" s="582">
        <v>0</v>
      </c>
      <c r="X804" s="580"/>
      <c r="Y804" s="583">
        <f>IF(GLOBAL_DER_FEV_2023!W804=0,0,IF(GLOBAL_DER_FEV_2023!W804&gt;0,"c","b"))</f>
        <v>0</v>
      </c>
    </row>
    <row r="805" spans="1:25" x14ac:dyDescent="0.2">
      <c r="A805" s="317">
        <v>534908</v>
      </c>
      <c r="B805" s="895" t="s">
        <v>1633</v>
      </c>
      <c r="C805" s="896" t="s">
        <v>184</v>
      </c>
      <c r="D805" s="906" t="s">
        <v>808</v>
      </c>
      <c r="E805" s="907">
        <f>GLOBAL_DER_FEV_2023!E805</f>
        <v>0.1</v>
      </c>
      <c r="F805" s="908">
        <f>GLOBAL_DER_FEV_2023!F805</f>
        <v>0.22</v>
      </c>
      <c r="G805" s="949">
        <f>GLOBAL_DER_FEV_2023!G805</f>
        <v>0.61314000000000013</v>
      </c>
      <c r="H805" s="901">
        <f>GLOBAL_DER_FEV_2023!H805</f>
        <v>89.6</v>
      </c>
      <c r="I805" s="901">
        <f>GLOBAL_DER_FEV_2023!I805</f>
        <v>90.213139999999996</v>
      </c>
      <c r="J805" s="902">
        <f>GLOBAL_DER_FEV_2023!J805</f>
        <v>108.32</v>
      </c>
      <c r="K805" s="903" t="s">
        <v>12</v>
      </c>
      <c r="L805" s="1137"/>
      <c r="M805" s="1138">
        <f t="shared" si="103"/>
        <v>0</v>
      </c>
      <c r="N805" s="893">
        <f t="shared" si="107"/>
        <v>0</v>
      </c>
      <c r="O805" s="905"/>
      <c r="Q805" s="317" t="str">
        <f t="shared" si="104"/>
        <v/>
      </c>
      <c r="R805" s="317" t="str">
        <f t="shared" si="105"/>
        <v/>
      </c>
      <c r="S805" s="317" t="str">
        <f t="shared" si="106"/>
        <v/>
      </c>
      <c r="T805" s="317" t="str">
        <f>GLOBAL_DER_FEV_2023!S805</f>
        <v/>
      </c>
      <c r="W805" s="582">
        <v>0</v>
      </c>
      <c r="X805" s="580"/>
      <c r="Y805" s="583">
        <f>IF(GLOBAL_DER_FEV_2023!W805=0,0,IF(GLOBAL_DER_FEV_2023!W805&gt;0,"c","b"))</f>
        <v>0</v>
      </c>
    </row>
    <row r="806" spans="1:25" x14ac:dyDescent="0.2">
      <c r="A806" s="317">
        <v>101090</v>
      </c>
      <c r="B806" s="895" t="s">
        <v>1635</v>
      </c>
      <c r="C806" s="896" t="s">
        <v>596</v>
      </c>
      <c r="D806" s="906" t="s">
        <v>1518</v>
      </c>
      <c r="E806" s="907">
        <f>GLOBAL_DER_FEV_2023!E806</f>
        <v>0</v>
      </c>
      <c r="F806" s="908">
        <f>GLOBAL_DER_FEV_2023!F806</f>
        <v>0.3</v>
      </c>
      <c r="G806" s="949">
        <f>GLOBAL_DER_FEV_2023!G806</f>
        <v>0.80400000000000005</v>
      </c>
      <c r="H806" s="901">
        <f>GLOBAL_DER_FEV_2023!H806</f>
        <v>291.81</v>
      </c>
      <c r="I806" s="901">
        <f>GLOBAL_DER_FEV_2023!I806</f>
        <v>292.61399999999998</v>
      </c>
      <c r="J806" s="902">
        <f>GLOBAL_DER_FEV_2023!J806</f>
        <v>351.34</v>
      </c>
      <c r="K806" s="903" t="s">
        <v>12</v>
      </c>
      <c r="L806" s="1139"/>
      <c r="M806" s="1140">
        <f t="shared" si="103"/>
        <v>0</v>
      </c>
      <c r="N806" s="893">
        <f t="shared" si="107"/>
        <v>0</v>
      </c>
      <c r="O806" s="905"/>
      <c r="Q806" s="317" t="str">
        <f t="shared" si="104"/>
        <v/>
      </c>
      <c r="R806" s="317" t="str">
        <f t="shared" si="105"/>
        <v/>
      </c>
      <c r="S806" s="317" t="str">
        <f t="shared" si="106"/>
        <v/>
      </c>
      <c r="T806" s="317" t="str">
        <f>GLOBAL_DER_FEV_2023!S806</f>
        <v/>
      </c>
      <c r="W806" s="582">
        <v>0</v>
      </c>
      <c r="X806" s="580"/>
      <c r="Y806" s="583">
        <f>IF(GLOBAL_DER_FEV_2023!W806=0,0,IF(GLOBAL_DER_FEV_2023!W806&gt;0,"c","b"))</f>
        <v>0</v>
      </c>
    </row>
    <row r="807" spans="1:25" x14ac:dyDescent="0.2">
      <c r="A807" s="317">
        <v>98509</v>
      </c>
      <c r="B807" s="895">
        <v>98509</v>
      </c>
      <c r="C807" s="896" t="s">
        <v>596</v>
      </c>
      <c r="D807" s="906" t="s">
        <v>1527</v>
      </c>
      <c r="E807" s="907">
        <f>GLOBAL_DER_FEV_2023!E807</f>
        <v>0</v>
      </c>
      <c r="F807" s="908">
        <f>GLOBAL_DER_FEV_2023!F807</f>
        <v>0</v>
      </c>
      <c r="G807" s="912">
        <f>GLOBAL_DER_FEV_2023!G807</f>
        <v>0</v>
      </c>
      <c r="H807" s="901">
        <f>GLOBAL_DER_FEV_2023!H807</f>
        <v>31.71</v>
      </c>
      <c r="I807" s="901">
        <f>GLOBAL_DER_FEV_2023!I807</f>
        <v>31.71</v>
      </c>
      <c r="J807" s="902">
        <f>GLOBAL_DER_FEV_2023!J807</f>
        <v>38.07</v>
      </c>
      <c r="K807" s="903" t="s">
        <v>15</v>
      </c>
      <c r="L807" s="1137"/>
      <c r="M807" s="1138">
        <f t="shared" si="103"/>
        <v>0</v>
      </c>
      <c r="N807" s="893">
        <f t="shared" si="107"/>
        <v>0</v>
      </c>
      <c r="O807" s="905"/>
      <c r="Q807" s="317" t="str">
        <f t="shared" si="104"/>
        <v/>
      </c>
      <c r="R807" s="317" t="str">
        <f t="shared" si="105"/>
        <v/>
      </c>
      <c r="S807" s="317" t="str">
        <f t="shared" si="106"/>
        <v/>
      </c>
      <c r="T807" s="317" t="str">
        <f>GLOBAL_DER_FEV_2023!S807</f>
        <v/>
      </c>
      <c r="W807" s="582">
        <v>0</v>
      </c>
      <c r="X807" s="580"/>
      <c r="Y807" s="583">
        <f>IF(GLOBAL_DER_FEV_2023!W807=0,0,IF(GLOBAL_DER_FEV_2023!W807&gt;0,"c","b"))</f>
        <v>0</v>
      </c>
    </row>
    <row r="808" spans="1:25" x14ac:dyDescent="0.2">
      <c r="A808" s="317">
        <v>98510</v>
      </c>
      <c r="B808" s="895">
        <v>98510</v>
      </c>
      <c r="C808" s="896" t="s">
        <v>596</v>
      </c>
      <c r="D808" s="906" t="s">
        <v>837</v>
      </c>
      <c r="E808" s="907">
        <f>GLOBAL_DER_FEV_2023!E808</f>
        <v>0</v>
      </c>
      <c r="F808" s="908">
        <f>GLOBAL_DER_FEV_2023!F808</f>
        <v>0</v>
      </c>
      <c r="G808" s="912">
        <f>GLOBAL_DER_FEV_2023!G808</f>
        <v>0</v>
      </c>
      <c r="H808" s="901">
        <f>GLOBAL_DER_FEV_2023!H808</f>
        <v>57.03</v>
      </c>
      <c r="I808" s="901">
        <f>GLOBAL_DER_FEV_2023!I808</f>
        <v>57.03</v>
      </c>
      <c r="J808" s="902">
        <f>GLOBAL_DER_FEV_2023!J808</f>
        <v>68.48</v>
      </c>
      <c r="K808" s="903" t="s">
        <v>15</v>
      </c>
      <c r="L808" s="1137"/>
      <c r="M808" s="1138">
        <f t="shared" si="103"/>
        <v>0</v>
      </c>
      <c r="N808" s="893">
        <f t="shared" si="107"/>
        <v>0</v>
      </c>
      <c r="O808" s="905"/>
      <c r="Q808" s="317" t="str">
        <f t="shared" si="104"/>
        <v/>
      </c>
      <c r="R808" s="317" t="str">
        <f t="shared" si="105"/>
        <v/>
      </c>
      <c r="S808" s="317" t="str">
        <f t="shared" si="106"/>
        <v/>
      </c>
      <c r="T808" s="317" t="str">
        <f>GLOBAL_DER_FEV_2023!S808</f>
        <v/>
      </c>
      <c r="W808" s="582">
        <v>0</v>
      </c>
      <c r="X808" s="580"/>
      <c r="Y808" s="583">
        <f>IF(GLOBAL_DER_FEV_2023!W808=0,0,IF(GLOBAL_DER_FEV_2023!W808&gt;0,"c","b"))</f>
        <v>0</v>
      </c>
    </row>
    <row r="809" spans="1:25" x14ac:dyDescent="0.2">
      <c r="A809" s="317">
        <v>98511</v>
      </c>
      <c r="B809" s="895">
        <v>98511</v>
      </c>
      <c r="C809" s="896" t="s">
        <v>596</v>
      </c>
      <c r="D809" s="906" t="s">
        <v>838</v>
      </c>
      <c r="E809" s="907">
        <f>GLOBAL_DER_FEV_2023!E809</f>
        <v>0</v>
      </c>
      <c r="F809" s="908">
        <f>GLOBAL_DER_FEV_2023!F809</f>
        <v>0</v>
      </c>
      <c r="G809" s="912">
        <f>GLOBAL_DER_FEV_2023!G809</f>
        <v>0</v>
      </c>
      <c r="H809" s="901">
        <f>GLOBAL_DER_FEV_2023!H809</f>
        <v>102.8</v>
      </c>
      <c r="I809" s="901">
        <f>GLOBAL_DER_FEV_2023!I809</f>
        <v>102.8</v>
      </c>
      <c r="J809" s="902">
        <f>GLOBAL_DER_FEV_2023!J809</f>
        <v>123.43</v>
      </c>
      <c r="K809" s="903" t="s">
        <v>15</v>
      </c>
      <c r="L809" s="1137"/>
      <c r="M809" s="1138">
        <f t="shared" si="103"/>
        <v>0</v>
      </c>
      <c r="N809" s="893">
        <f t="shared" si="107"/>
        <v>0</v>
      </c>
      <c r="O809" s="905"/>
      <c r="Q809" s="317" t="str">
        <f t="shared" si="104"/>
        <v/>
      </c>
      <c r="R809" s="317" t="str">
        <f t="shared" si="105"/>
        <v/>
      </c>
      <c r="S809" s="317" t="str">
        <f t="shared" si="106"/>
        <v/>
      </c>
      <c r="T809" s="317" t="str">
        <f>GLOBAL_DER_FEV_2023!S809</f>
        <v/>
      </c>
      <c r="W809" s="582">
        <v>0</v>
      </c>
      <c r="X809" s="580"/>
      <c r="Y809" s="583">
        <f>IF(GLOBAL_DER_FEV_2023!W809=0,0,IF(GLOBAL_DER_FEV_2023!W809&gt;0,"c","b"))</f>
        <v>0</v>
      </c>
    </row>
    <row r="810" spans="1:25" x14ac:dyDescent="0.2">
      <c r="A810" s="317">
        <v>98516</v>
      </c>
      <c r="B810" s="895">
        <v>98516</v>
      </c>
      <c r="C810" s="896" t="s">
        <v>596</v>
      </c>
      <c r="D810" s="906" t="s">
        <v>839</v>
      </c>
      <c r="E810" s="907">
        <f>GLOBAL_DER_FEV_2023!E810</f>
        <v>0</v>
      </c>
      <c r="F810" s="908">
        <f>GLOBAL_DER_FEV_2023!F810</f>
        <v>0</v>
      </c>
      <c r="G810" s="912">
        <f>GLOBAL_DER_FEV_2023!G810</f>
        <v>0</v>
      </c>
      <c r="H810" s="901">
        <f>GLOBAL_DER_FEV_2023!H810</f>
        <v>348.96</v>
      </c>
      <c r="I810" s="901">
        <f>GLOBAL_DER_FEV_2023!I810</f>
        <v>348.96</v>
      </c>
      <c r="J810" s="902">
        <f>GLOBAL_DER_FEV_2023!J810</f>
        <v>419</v>
      </c>
      <c r="K810" s="903" t="s">
        <v>15</v>
      </c>
      <c r="L810" s="1137"/>
      <c r="M810" s="1138">
        <f t="shared" si="103"/>
        <v>0</v>
      </c>
      <c r="N810" s="893">
        <f t="shared" si="107"/>
        <v>0</v>
      </c>
      <c r="O810" s="905"/>
      <c r="Q810" s="317" t="str">
        <f t="shared" si="104"/>
        <v/>
      </c>
      <c r="R810" s="317" t="str">
        <f t="shared" si="105"/>
        <v/>
      </c>
      <c r="S810" s="317" t="str">
        <f t="shared" si="106"/>
        <v/>
      </c>
      <c r="T810" s="317" t="str">
        <f>GLOBAL_DER_FEV_2023!S810</f>
        <v/>
      </c>
      <c r="W810" s="582">
        <v>0</v>
      </c>
      <c r="X810" s="580"/>
      <c r="Y810" s="583">
        <f>IF(GLOBAL_DER_FEV_2023!W810=0,0,IF(GLOBAL_DER_FEV_2023!W810&gt;0,"c","b"))</f>
        <v>0</v>
      </c>
    </row>
    <row r="811" spans="1:25" x14ac:dyDescent="0.2">
      <c r="A811" s="317">
        <v>98504</v>
      </c>
      <c r="B811" s="895">
        <v>98504</v>
      </c>
      <c r="C811" s="896" t="s">
        <v>596</v>
      </c>
      <c r="D811" s="906" t="s">
        <v>459</v>
      </c>
      <c r="E811" s="907">
        <f>GLOBAL_DER_FEV_2023!E811</f>
        <v>0</v>
      </c>
      <c r="F811" s="908">
        <f>GLOBAL_DER_FEV_2023!F811</f>
        <v>0</v>
      </c>
      <c r="G811" s="912">
        <f>GLOBAL_DER_FEV_2023!G811</f>
        <v>0</v>
      </c>
      <c r="H811" s="901">
        <f>GLOBAL_DER_FEV_2023!H811</f>
        <v>11.01</v>
      </c>
      <c r="I811" s="901">
        <f>GLOBAL_DER_FEV_2023!I811</f>
        <v>11.01</v>
      </c>
      <c r="J811" s="902">
        <f>GLOBAL_DER_FEV_2023!J811</f>
        <v>13.22</v>
      </c>
      <c r="K811" s="903" t="s">
        <v>12</v>
      </c>
      <c r="L811" s="1137"/>
      <c r="M811" s="1138">
        <f t="shared" si="103"/>
        <v>0</v>
      </c>
      <c r="N811" s="893">
        <f t="shared" si="107"/>
        <v>0</v>
      </c>
      <c r="O811" s="905"/>
      <c r="Q811" s="317" t="str">
        <f t="shared" si="104"/>
        <v/>
      </c>
      <c r="R811" s="317" t="str">
        <f t="shared" si="105"/>
        <v/>
      </c>
      <c r="S811" s="317" t="str">
        <f t="shared" si="106"/>
        <v/>
      </c>
      <c r="T811" s="317" t="str">
        <f>GLOBAL_DER_FEV_2023!S811</f>
        <v/>
      </c>
      <c r="W811" s="582">
        <v>0</v>
      </c>
      <c r="X811" s="580"/>
      <c r="Y811" s="583">
        <f>IF(GLOBAL_DER_FEV_2023!W811=0,0,IF(GLOBAL_DER_FEV_2023!W811&gt;0,"c","b"))</f>
        <v>0</v>
      </c>
    </row>
    <row r="812" spans="1:25" x14ac:dyDescent="0.2">
      <c r="A812" s="317">
        <v>98505</v>
      </c>
      <c r="B812" s="895">
        <v>98505</v>
      </c>
      <c r="C812" s="896" t="s">
        <v>596</v>
      </c>
      <c r="D812" s="906" t="s">
        <v>840</v>
      </c>
      <c r="E812" s="907">
        <f>GLOBAL_DER_FEV_2023!E812</f>
        <v>0</v>
      </c>
      <c r="F812" s="908">
        <f>GLOBAL_DER_FEV_2023!F812</f>
        <v>0</v>
      </c>
      <c r="G812" s="912">
        <f>GLOBAL_DER_FEV_2023!G812</f>
        <v>0</v>
      </c>
      <c r="H812" s="901">
        <f>GLOBAL_DER_FEV_2023!H812</f>
        <v>46.68</v>
      </c>
      <c r="I812" s="901">
        <f>GLOBAL_DER_FEV_2023!I812</f>
        <v>46.68</v>
      </c>
      <c r="J812" s="902">
        <f>GLOBAL_DER_FEV_2023!J812</f>
        <v>56.05</v>
      </c>
      <c r="K812" s="903" t="s">
        <v>12</v>
      </c>
      <c r="L812" s="1137"/>
      <c r="M812" s="1138">
        <f t="shared" si="103"/>
        <v>0</v>
      </c>
      <c r="N812" s="893">
        <f t="shared" si="107"/>
        <v>0</v>
      </c>
      <c r="O812" s="905"/>
      <c r="Q812" s="317" t="str">
        <f t="shared" si="104"/>
        <v/>
      </c>
      <c r="R812" s="317" t="str">
        <f t="shared" si="105"/>
        <v/>
      </c>
      <c r="S812" s="317" t="str">
        <f t="shared" si="106"/>
        <v/>
      </c>
      <c r="T812" s="317" t="str">
        <f>GLOBAL_DER_FEV_2023!S812</f>
        <v/>
      </c>
      <c r="W812" s="582">
        <v>0</v>
      </c>
      <c r="X812" s="580"/>
      <c r="Y812" s="583">
        <f>IF(GLOBAL_DER_FEV_2023!W812=0,0,IF(GLOBAL_DER_FEV_2023!W812&gt;0,"c","b"))</f>
        <v>0</v>
      </c>
    </row>
    <row r="813" spans="1:25" x14ac:dyDescent="0.2">
      <c r="A813" s="317">
        <v>800000</v>
      </c>
      <c r="B813" s="895">
        <v>800000</v>
      </c>
      <c r="C813" s="896" t="s">
        <v>184</v>
      </c>
      <c r="D813" s="906" t="s">
        <v>460</v>
      </c>
      <c r="E813" s="907">
        <f>GLOBAL_DER_FEV_2023!E813</f>
        <v>0</v>
      </c>
      <c r="F813" s="908">
        <f>GLOBAL_DER_FEV_2023!F813</f>
        <v>0</v>
      </c>
      <c r="G813" s="912">
        <f>GLOBAL_DER_FEV_2023!G813</f>
        <v>0</v>
      </c>
      <c r="H813" s="901">
        <f>GLOBAL_DER_FEV_2023!H813</f>
        <v>12.41</v>
      </c>
      <c r="I813" s="901">
        <f>GLOBAL_DER_FEV_2023!I813</f>
        <v>12.41</v>
      </c>
      <c r="J813" s="902">
        <f>GLOBAL_DER_FEV_2023!J813</f>
        <v>14.9</v>
      </c>
      <c r="K813" s="903" t="s">
        <v>12</v>
      </c>
      <c r="L813" s="1137"/>
      <c r="M813" s="1138">
        <f t="shared" si="103"/>
        <v>0</v>
      </c>
      <c r="N813" s="893">
        <f t="shared" si="107"/>
        <v>0</v>
      </c>
      <c r="O813" s="905"/>
      <c r="Q813" s="317" t="str">
        <f t="shared" si="104"/>
        <v/>
      </c>
      <c r="R813" s="317" t="str">
        <f t="shared" si="105"/>
        <v/>
      </c>
      <c r="S813" s="317" t="str">
        <f t="shared" si="106"/>
        <v/>
      </c>
      <c r="T813" s="317" t="str">
        <f>GLOBAL_DER_FEV_2023!S813</f>
        <v/>
      </c>
      <c r="W813" s="582">
        <v>0</v>
      </c>
      <c r="X813" s="580"/>
      <c r="Y813" s="583">
        <f>IF(GLOBAL_DER_FEV_2023!W813=0,0,IF(GLOBAL_DER_FEV_2023!W813&gt;0,"c","b"))</f>
        <v>0</v>
      </c>
    </row>
    <row r="814" spans="1:25" x14ac:dyDescent="0.2">
      <c r="A814" s="317" t="s">
        <v>297</v>
      </c>
      <c r="B814" s="895" t="s">
        <v>297</v>
      </c>
      <c r="C814" s="896" t="s">
        <v>184</v>
      </c>
      <c r="D814" s="906" t="s">
        <v>280</v>
      </c>
      <c r="E814" s="907">
        <f>GLOBAL_DER_FEV_2023!E814</f>
        <v>0</v>
      </c>
      <c r="F814" s="908">
        <f>GLOBAL_DER_FEV_2023!F814</f>
        <v>0</v>
      </c>
      <c r="G814" s="912">
        <f>GLOBAL_DER_FEV_2023!G814</f>
        <v>0</v>
      </c>
      <c r="H814" s="901">
        <f>GLOBAL_DER_FEV_2023!H814</f>
        <v>0</v>
      </c>
      <c r="I814" s="901">
        <f>GLOBAL_DER_FEV_2023!I814</f>
        <v>0</v>
      </c>
      <c r="J814" s="902">
        <f>GLOBAL_DER_FEV_2023!J814</f>
        <v>0</v>
      </c>
      <c r="K814" s="903" t="s">
        <v>10</v>
      </c>
      <c r="L814" s="1137"/>
      <c r="M814" s="1138">
        <f t="shared" si="103"/>
        <v>0</v>
      </c>
      <c r="N814" s="893">
        <f t="shared" si="107"/>
        <v>0</v>
      </c>
      <c r="O814" s="905"/>
      <c r="Q814" s="317" t="str">
        <f t="shared" si="104"/>
        <v/>
      </c>
      <c r="R814" s="317" t="str">
        <f t="shared" si="105"/>
        <v/>
      </c>
      <c r="S814" s="317" t="str">
        <f t="shared" si="106"/>
        <v/>
      </c>
      <c r="T814" s="317" t="str">
        <f>GLOBAL_DER_FEV_2023!S814</f>
        <v/>
      </c>
      <c r="W814" s="582">
        <v>0</v>
      </c>
      <c r="X814" s="580"/>
      <c r="Y814" s="583">
        <f>IF(GLOBAL_DER_FEV_2023!W814=0,0,IF(GLOBAL_DER_FEV_2023!W814&gt;0,"c","b"))</f>
        <v>0</v>
      </c>
    </row>
    <row r="815" spans="1:25" x14ac:dyDescent="0.2">
      <c r="A815" s="317">
        <v>605000</v>
      </c>
      <c r="B815" s="895" t="s">
        <v>1776</v>
      </c>
      <c r="C815" s="896" t="s">
        <v>184</v>
      </c>
      <c r="D815" s="906" t="s">
        <v>281</v>
      </c>
      <c r="E815" s="907">
        <f>GLOBAL_DER_FEV_2023!E815</f>
        <v>0</v>
      </c>
      <c r="F815" s="908">
        <f>GLOBAL_DER_FEV_2023!F815</f>
        <v>0</v>
      </c>
      <c r="G815" s="912">
        <f>GLOBAL_DER_FEV_2023!G815</f>
        <v>0</v>
      </c>
      <c r="H815" s="901">
        <f>GLOBAL_DER_FEV_2023!H815</f>
        <v>481.5</v>
      </c>
      <c r="I815" s="901">
        <f>GLOBAL_DER_FEV_2023!I815</f>
        <v>481.5</v>
      </c>
      <c r="J815" s="902">
        <f>GLOBAL_DER_FEV_2023!J815</f>
        <v>578.14</v>
      </c>
      <c r="K815" s="903" t="s">
        <v>15</v>
      </c>
      <c r="L815" s="1137"/>
      <c r="M815" s="1138">
        <f t="shared" si="103"/>
        <v>0</v>
      </c>
      <c r="N815" s="893">
        <f t="shared" si="107"/>
        <v>0</v>
      </c>
      <c r="O815" s="905"/>
      <c r="Q815" s="317" t="str">
        <f t="shared" si="104"/>
        <v/>
      </c>
      <c r="R815" s="317" t="str">
        <f t="shared" si="105"/>
        <v/>
      </c>
      <c r="S815" s="317" t="str">
        <f t="shared" si="106"/>
        <v/>
      </c>
      <c r="T815" s="317" t="str">
        <f>GLOBAL_DER_FEV_2023!S815</f>
        <v/>
      </c>
      <c r="W815" s="582">
        <v>0</v>
      </c>
      <c r="X815" s="580"/>
      <c r="Y815" s="583">
        <f>IF(GLOBAL_DER_FEV_2023!W815=0,0,IF(GLOBAL_DER_FEV_2023!W815&gt;0,"c","b"))</f>
        <v>0</v>
      </c>
    </row>
    <row r="816" spans="1:25" x14ac:dyDescent="0.2">
      <c r="A816" s="317">
        <v>605000</v>
      </c>
      <c r="B816" s="895" t="s">
        <v>1777</v>
      </c>
      <c r="C816" s="896" t="s">
        <v>184</v>
      </c>
      <c r="D816" s="906" t="s">
        <v>282</v>
      </c>
      <c r="E816" s="907">
        <f>GLOBAL_DER_FEV_2023!E816</f>
        <v>0</v>
      </c>
      <c r="F816" s="908">
        <f>GLOBAL_DER_FEV_2023!F816</f>
        <v>0</v>
      </c>
      <c r="G816" s="912">
        <f>GLOBAL_DER_FEV_2023!G816</f>
        <v>0</v>
      </c>
      <c r="H816" s="901">
        <f>GLOBAL_DER_FEV_2023!H816</f>
        <v>481.5</v>
      </c>
      <c r="I816" s="901">
        <f>GLOBAL_DER_FEV_2023!I816</f>
        <v>481.5</v>
      </c>
      <c r="J816" s="902">
        <f>GLOBAL_DER_FEV_2023!J816</f>
        <v>578.14</v>
      </c>
      <c r="K816" s="903" t="s">
        <v>15</v>
      </c>
      <c r="L816" s="1137"/>
      <c r="M816" s="1138">
        <f t="shared" si="103"/>
        <v>0</v>
      </c>
      <c r="N816" s="893">
        <f t="shared" si="107"/>
        <v>0</v>
      </c>
      <c r="O816" s="905"/>
      <c r="Q816" s="317" t="str">
        <f t="shared" si="104"/>
        <v/>
      </c>
      <c r="R816" s="317" t="str">
        <f t="shared" si="105"/>
        <v/>
      </c>
      <c r="S816" s="317" t="str">
        <f t="shared" si="106"/>
        <v/>
      </c>
      <c r="T816" s="317" t="str">
        <f>GLOBAL_DER_FEV_2023!S816</f>
        <v/>
      </c>
      <c r="W816" s="582">
        <v>0</v>
      </c>
      <c r="X816" s="580"/>
      <c r="Y816" s="583">
        <f>IF(GLOBAL_DER_FEV_2023!W816=0,0,IF(GLOBAL_DER_FEV_2023!W816&gt;0,"c","b"))</f>
        <v>0</v>
      </c>
    </row>
    <row r="817" spans="1:25" x14ac:dyDescent="0.2">
      <c r="A817" s="317">
        <v>605000</v>
      </c>
      <c r="B817" s="895" t="s">
        <v>1778</v>
      </c>
      <c r="C817" s="896" t="s">
        <v>184</v>
      </c>
      <c r="D817" s="906" t="s">
        <v>283</v>
      </c>
      <c r="E817" s="907">
        <f>GLOBAL_DER_FEV_2023!E817</f>
        <v>0</v>
      </c>
      <c r="F817" s="908">
        <f>GLOBAL_DER_FEV_2023!F817</f>
        <v>0</v>
      </c>
      <c r="G817" s="912">
        <f>GLOBAL_DER_FEV_2023!G817</f>
        <v>0</v>
      </c>
      <c r="H817" s="901">
        <f>GLOBAL_DER_FEV_2023!H817</f>
        <v>481.5</v>
      </c>
      <c r="I817" s="901">
        <f>GLOBAL_DER_FEV_2023!I817</f>
        <v>481.5</v>
      </c>
      <c r="J817" s="902">
        <f>GLOBAL_DER_FEV_2023!J817</f>
        <v>578.14</v>
      </c>
      <c r="K817" s="903" t="s">
        <v>15</v>
      </c>
      <c r="L817" s="1137"/>
      <c r="M817" s="1138">
        <f t="shared" si="103"/>
        <v>0</v>
      </c>
      <c r="N817" s="893">
        <f t="shared" si="107"/>
        <v>0</v>
      </c>
      <c r="O817" s="905"/>
      <c r="Q817" s="317" t="str">
        <f t="shared" si="104"/>
        <v/>
      </c>
      <c r="R817" s="317" t="str">
        <f t="shared" si="105"/>
        <v/>
      </c>
      <c r="S817" s="317" t="str">
        <f t="shared" si="106"/>
        <v/>
      </c>
      <c r="T817" s="317" t="str">
        <f>GLOBAL_DER_FEV_2023!S817</f>
        <v/>
      </c>
      <c r="W817" s="582">
        <v>0</v>
      </c>
      <c r="X817" s="580"/>
      <c r="Y817" s="583">
        <f>IF(GLOBAL_DER_FEV_2023!W817=0,0,IF(GLOBAL_DER_FEV_2023!W817&gt;0,"c","b"))</f>
        <v>0</v>
      </c>
    </row>
    <row r="818" spans="1:25" x14ac:dyDescent="0.2">
      <c r="A818" s="317">
        <v>605000</v>
      </c>
      <c r="B818" s="895" t="s">
        <v>1779</v>
      </c>
      <c r="C818" s="896" t="s">
        <v>184</v>
      </c>
      <c r="D818" s="906" t="s">
        <v>284</v>
      </c>
      <c r="E818" s="907">
        <f>GLOBAL_DER_FEV_2023!E818</f>
        <v>0</v>
      </c>
      <c r="F818" s="908">
        <f>GLOBAL_DER_FEV_2023!F818</f>
        <v>0</v>
      </c>
      <c r="G818" s="912">
        <f>GLOBAL_DER_FEV_2023!G818</f>
        <v>0</v>
      </c>
      <c r="H818" s="901">
        <f>GLOBAL_DER_FEV_2023!H818</f>
        <v>654.30999999999995</v>
      </c>
      <c r="I818" s="901">
        <f>GLOBAL_DER_FEV_2023!I818</f>
        <v>654.30999999999995</v>
      </c>
      <c r="J818" s="902">
        <f>GLOBAL_DER_FEV_2023!J818</f>
        <v>785.63</v>
      </c>
      <c r="K818" s="903" t="s">
        <v>15</v>
      </c>
      <c r="L818" s="1137"/>
      <c r="M818" s="1138">
        <f t="shared" si="103"/>
        <v>0</v>
      </c>
      <c r="N818" s="893">
        <f t="shared" si="107"/>
        <v>0</v>
      </c>
      <c r="O818" s="905"/>
      <c r="Q818" s="317" t="str">
        <f t="shared" si="104"/>
        <v/>
      </c>
      <c r="R818" s="317" t="str">
        <f t="shared" si="105"/>
        <v/>
      </c>
      <c r="S818" s="317" t="str">
        <f t="shared" si="106"/>
        <v/>
      </c>
      <c r="T818" s="317" t="str">
        <f>GLOBAL_DER_FEV_2023!S818</f>
        <v/>
      </c>
      <c r="W818" s="582">
        <v>0</v>
      </c>
      <c r="X818" s="580"/>
      <c r="Y818" s="583">
        <f>IF(GLOBAL_DER_FEV_2023!W818=0,0,IF(GLOBAL_DER_FEV_2023!W818&gt;0,"c","b"))</f>
        <v>0</v>
      </c>
    </row>
    <row r="819" spans="1:25" x14ac:dyDescent="0.2">
      <c r="A819" s="317">
        <v>605000</v>
      </c>
      <c r="B819" s="895" t="s">
        <v>1780</v>
      </c>
      <c r="C819" s="896" t="s">
        <v>184</v>
      </c>
      <c r="D819" s="906" t="s">
        <v>285</v>
      </c>
      <c r="E819" s="907">
        <f>GLOBAL_DER_FEV_2023!E819</f>
        <v>0</v>
      </c>
      <c r="F819" s="908">
        <f>GLOBAL_DER_FEV_2023!F819</f>
        <v>0</v>
      </c>
      <c r="G819" s="912">
        <f>GLOBAL_DER_FEV_2023!G819</f>
        <v>0</v>
      </c>
      <c r="H819" s="901">
        <f>GLOBAL_DER_FEV_2023!H819</f>
        <v>573.36</v>
      </c>
      <c r="I819" s="901">
        <f>GLOBAL_DER_FEV_2023!I819</f>
        <v>573.36</v>
      </c>
      <c r="J819" s="902">
        <f>GLOBAL_DER_FEV_2023!J819</f>
        <v>688.43</v>
      </c>
      <c r="K819" s="903" t="s">
        <v>15</v>
      </c>
      <c r="L819" s="1137"/>
      <c r="M819" s="1138">
        <f t="shared" si="103"/>
        <v>0</v>
      </c>
      <c r="N819" s="893">
        <f t="shared" si="107"/>
        <v>0</v>
      </c>
      <c r="O819" s="905"/>
      <c r="Q819" s="317" t="str">
        <f t="shared" si="104"/>
        <v/>
      </c>
      <c r="R819" s="317" t="str">
        <f t="shared" si="105"/>
        <v/>
      </c>
      <c r="S819" s="317" t="str">
        <f t="shared" si="106"/>
        <v/>
      </c>
      <c r="T819" s="317" t="str">
        <f>GLOBAL_DER_FEV_2023!S819</f>
        <v/>
      </c>
      <c r="W819" s="582">
        <v>0</v>
      </c>
      <c r="X819" s="580"/>
      <c r="Y819" s="583">
        <f>IF(GLOBAL_DER_FEV_2023!W819=0,0,IF(GLOBAL_DER_FEV_2023!W819&gt;0,"c","b"))</f>
        <v>0</v>
      </c>
    </row>
    <row r="820" spans="1:25" x14ac:dyDescent="0.2">
      <c r="A820" s="640" t="s">
        <v>165</v>
      </c>
      <c r="B820" s="913" t="s">
        <v>165</v>
      </c>
      <c r="C820" s="914"/>
      <c r="D820" s="915" t="s">
        <v>215</v>
      </c>
      <c r="E820" s="916">
        <f>GLOBAL_DER_FEV_2023!E820</f>
        <v>0</v>
      </c>
      <c r="F820" s="917">
        <f>GLOBAL_DER_FEV_2023!F820</f>
        <v>0</v>
      </c>
      <c r="G820" s="918">
        <f>GLOBAL_DER_FEV_2023!G820</f>
        <v>0</v>
      </c>
      <c r="H820" s="919">
        <f>GLOBAL_DER_FEV_2023!H820</f>
        <v>0</v>
      </c>
      <c r="I820" s="919">
        <f>GLOBAL_DER_FEV_2023!I820</f>
        <v>0</v>
      </c>
      <c r="J820" s="919">
        <f>GLOBAL_DER_FEV_2023!J820</f>
        <v>0</v>
      </c>
      <c r="K820" s="920" t="s">
        <v>507</v>
      </c>
      <c r="L820" s="921"/>
      <c r="M820" s="922">
        <f t="shared" si="103"/>
        <v>0</v>
      </c>
      <c r="N820" s="923">
        <f t="shared" si="107"/>
        <v>0</v>
      </c>
      <c r="O820" s="905"/>
      <c r="P820" s="58" t="str">
        <f>IF(OR(SUM(N821:N852)&gt;0,SUM(N821:N852)&gt;0),"y","")</f>
        <v/>
      </c>
      <c r="Q820" s="317" t="str">
        <f t="shared" si="104"/>
        <v/>
      </c>
      <c r="R820" s="317" t="str">
        <f t="shared" si="105"/>
        <v/>
      </c>
      <c r="S820" s="317" t="str">
        <f t="shared" si="106"/>
        <v/>
      </c>
      <c r="T820" s="317" t="str">
        <f>GLOBAL_DER_FEV_2023!S820</f>
        <v/>
      </c>
      <c r="W820" s="582">
        <v>0</v>
      </c>
      <c r="X820" s="580"/>
      <c r="Y820" s="583">
        <f>IF(GLOBAL_DER_FEV_2023!W820=0,0,IF(GLOBAL_DER_FEV_2023!W820&gt;0,"c","b"))</f>
        <v>0</v>
      </c>
    </row>
    <row r="821" spans="1:25" ht="26.1" customHeight="1" x14ac:dyDescent="0.2">
      <c r="A821" s="640" t="s">
        <v>165</v>
      </c>
      <c r="B821" s="1036">
        <f>GLOBAL_DER_FEV_2023!B821</f>
        <v>834908</v>
      </c>
      <c r="C821" s="1072" t="str">
        <f>GLOBAL_DER_FEV_2023!C821</f>
        <v>DER</v>
      </c>
      <c r="D821" s="1141" t="str">
        <f>GLOBAL_DER_FEV_2023!D821</f>
        <v>Fornecimento e assentamento de piso tátil de concreto alerta/direcional
20x20cm</v>
      </c>
      <c r="E821" s="907">
        <f>GLOBAL_DER_FEV_2023!E821</f>
        <v>0</v>
      </c>
      <c r="F821" s="908">
        <f>GLOBAL_DER_FEV_2023!F821</f>
        <v>0</v>
      </c>
      <c r="G821" s="912">
        <f>GLOBAL_DER_FEV_2023!G821</f>
        <v>0</v>
      </c>
      <c r="H821" s="901">
        <f>GLOBAL_DER_FEV_2023!H821</f>
        <v>90.41</v>
      </c>
      <c r="I821" s="901">
        <f>GLOBAL_DER_FEV_2023!I821</f>
        <v>90.41</v>
      </c>
      <c r="J821" s="902">
        <f>GLOBAL_DER_FEV_2023!J821</f>
        <v>108.56</v>
      </c>
      <c r="K821" s="903" t="str">
        <f>GLOBAL_DER_FEV_2023!K821</f>
        <v>m2</v>
      </c>
      <c r="L821" s="1137"/>
      <c r="M821" s="922">
        <f t="shared" si="103"/>
        <v>0</v>
      </c>
      <c r="N821" s="1166">
        <f t="shared" si="107"/>
        <v>0</v>
      </c>
      <c r="O821" s="1165"/>
      <c r="Q821" s="317" t="str">
        <f t="shared" si="104"/>
        <v/>
      </c>
      <c r="R821" s="317" t="str">
        <f t="shared" si="105"/>
        <v/>
      </c>
      <c r="S821" s="317" t="str">
        <f t="shared" si="106"/>
        <v/>
      </c>
      <c r="T821" s="317" t="str">
        <f>GLOBAL_DER_FEV_2023!S821</f>
        <v/>
      </c>
      <c r="W821" s="582">
        <v>0</v>
      </c>
      <c r="X821" s="580"/>
      <c r="Y821" s="583">
        <f>IF(GLOBAL_DER_FEV_2023!W821=0,0,IF(GLOBAL_DER_FEV_2023!W821&gt;0,"c","b"))</f>
        <v>0</v>
      </c>
    </row>
    <row r="822" spans="1:25" ht="26.1" customHeight="1" x14ac:dyDescent="0.2">
      <c r="A822" s="640" t="s">
        <v>165</v>
      </c>
      <c r="B822" s="1036">
        <f>GLOBAL_DER_FEV_2023!B822</f>
        <v>834909</v>
      </c>
      <c r="C822" s="1072" t="str">
        <f>GLOBAL_DER_FEV_2023!C822</f>
        <v>DER</v>
      </c>
      <c r="D822" s="1141" t="str">
        <f>GLOBAL_DER_FEV_2023!D822</f>
        <v>Fornecimento e assentamento de piso tátil de concreto alerta/direcional
20x20cm vermelho</v>
      </c>
      <c r="E822" s="907">
        <f>GLOBAL_DER_FEV_2023!E822</f>
        <v>0</v>
      </c>
      <c r="F822" s="908">
        <f>GLOBAL_DER_FEV_2023!F822</f>
        <v>0</v>
      </c>
      <c r="G822" s="912">
        <f>GLOBAL_DER_FEV_2023!G822</f>
        <v>0</v>
      </c>
      <c r="H822" s="901">
        <f>GLOBAL_DER_FEV_2023!H822</f>
        <v>96.16</v>
      </c>
      <c r="I822" s="901">
        <f>GLOBAL_DER_FEV_2023!I822</f>
        <v>96.16</v>
      </c>
      <c r="J822" s="890">
        <f>GLOBAL_DER_FEV_2023!J822</f>
        <v>115.46</v>
      </c>
      <c r="K822" s="903" t="str">
        <f>GLOBAL_DER_FEV_2023!K822</f>
        <v>m2</v>
      </c>
      <c r="L822" s="1137"/>
      <c r="M822" s="922">
        <f t="shared" si="103"/>
        <v>0</v>
      </c>
      <c r="N822" s="1167">
        <f t="shared" si="107"/>
        <v>0</v>
      </c>
      <c r="O822" s="1165"/>
      <c r="Q822" s="317" t="str">
        <f t="shared" si="104"/>
        <v/>
      </c>
      <c r="R822" s="317" t="str">
        <f t="shared" si="105"/>
        <v/>
      </c>
      <c r="S822" s="317" t="str">
        <f t="shared" si="106"/>
        <v/>
      </c>
      <c r="T822" s="317" t="str">
        <f>GLOBAL_DER_FEV_2023!S822</f>
        <v/>
      </c>
      <c r="W822" s="582">
        <v>0</v>
      </c>
      <c r="X822" s="580"/>
      <c r="Y822" s="583">
        <f>IF(GLOBAL_DER_FEV_2023!W822=0,0,IF(GLOBAL_DER_FEV_2023!W822&gt;0,"c","b"))</f>
        <v>0</v>
      </c>
    </row>
    <row r="823" spans="1:25" ht="26.1" customHeight="1" x14ac:dyDescent="0.2">
      <c r="A823" s="640" t="s">
        <v>165</v>
      </c>
      <c r="B823" s="1036">
        <f>GLOBAL_DER_FEV_2023!B823</f>
        <v>834906</v>
      </c>
      <c r="C823" s="1072" t="str">
        <f>GLOBAL_DER_FEV_2023!C823</f>
        <v>DER</v>
      </c>
      <c r="D823" s="1141" t="str">
        <f>GLOBAL_DER_FEV_2023!D823</f>
        <v>Fornecimento e assentamento de piso tátil de concreto alerta/direcional
40x40cm</v>
      </c>
      <c r="E823" s="907">
        <f>GLOBAL_DER_FEV_2023!E823</f>
        <v>0</v>
      </c>
      <c r="F823" s="908">
        <f>GLOBAL_DER_FEV_2023!F823</f>
        <v>0</v>
      </c>
      <c r="G823" s="912">
        <f>GLOBAL_DER_FEV_2023!G823</f>
        <v>0</v>
      </c>
      <c r="H823" s="901">
        <f>GLOBAL_DER_FEV_2023!H823</f>
        <v>96.21</v>
      </c>
      <c r="I823" s="901">
        <f>GLOBAL_DER_FEV_2023!I823</f>
        <v>96.21</v>
      </c>
      <c r="J823" s="890">
        <f>GLOBAL_DER_FEV_2023!J823</f>
        <v>115.52</v>
      </c>
      <c r="K823" s="903" t="str">
        <f>GLOBAL_DER_FEV_2023!K823</f>
        <v>m2</v>
      </c>
      <c r="L823" s="1137"/>
      <c r="M823" s="922">
        <f t="shared" si="103"/>
        <v>0</v>
      </c>
      <c r="N823" s="1167">
        <f t="shared" si="107"/>
        <v>0</v>
      </c>
      <c r="O823" s="1165"/>
      <c r="Q823" s="317" t="str">
        <f t="shared" si="104"/>
        <v/>
      </c>
      <c r="R823" s="317" t="str">
        <f t="shared" si="105"/>
        <v/>
      </c>
      <c r="S823" s="317" t="str">
        <f t="shared" si="106"/>
        <v/>
      </c>
      <c r="T823" s="317" t="str">
        <f>GLOBAL_DER_FEV_2023!S823</f>
        <v/>
      </c>
      <c r="W823" s="582">
        <v>0</v>
      </c>
      <c r="X823" s="580"/>
      <c r="Y823" s="583">
        <f>IF(GLOBAL_DER_FEV_2023!W823=0,0,IF(GLOBAL_DER_FEV_2023!W823&gt;0,"c","b"))</f>
        <v>0</v>
      </c>
    </row>
    <row r="824" spans="1:25" ht="26.1" customHeight="1" x14ac:dyDescent="0.2">
      <c r="A824" s="640" t="s">
        <v>165</v>
      </c>
      <c r="B824" s="1036">
        <f>GLOBAL_DER_FEV_2023!B824</f>
        <v>834907</v>
      </c>
      <c r="C824" s="1072" t="str">
        <f>GLOBAL_DER_FEV_2023!C824</f>
        <v>DER</v>
      </c>
      <c r="D824" s="1141" t="str">
        <f>GLOBAL_DER_FEV_2023!D824</f>
        <v>Fornecimento e assentamento de piso tátil de concreto alerta/direcional
40x40cm vermelho</v>
      </c>
      <c r="E824" s="907">
        <f>GLOBAL_DER_FEV_2023!E824</f>
        <v>0</v>
      </c>
      <c r="F824" s="908">
        <f>GLOBAL_DER_FEV_2023!F824</f>
        <v>0</v>
      </c>
      <c r="G824" s="912">
        <f>GLOBAL_DER_FEV_2023!G824</f>
        <v>0</v>
      </c>
      <c r="H824" s="901">
        <f>GLOBAL_DER_FEV_2023!H824</f>
        <v>99.84</v>
      </c>
      <c r="I824" s="901">
        <f>GLOBAL_DER_FEV_2023!I824</f>
        <v>99.84</v>
      </c>
      <c r="J824" s="890">
        <f>GLOBAL_DER_FEV_2023!J824</f>
        <v>119.88</v>
      </c>
      <c r="K824" s="903" t="str">
        <f>GLOBAL_DER_FEV_2023!K824</f>
        <v>m2</v>
      </c>
      <c r="L824" s="1137"/>
      <c r="M824" s="922">
        <f t="shared" si="103"/>
        <v>0</v>
      </c>
      <c r="N824" s="1167">
        <f t="shared" si="107"/>
        <v>0</v>
      </c>
      <c r="O824" s="1165"/>
      <c r="Q824" s="317" t="str">
        <f t="shared" si="104"/>
        <v/>
      </c>
      <c r="R824" s="317" t="str">
        <f t="shared" si="105"/>
        <v/>
      </c>
      <c r="S824" s="317" t="str">
        <f t="shared" si="106"/>
        <v/>
      </c>
      <c r="T824" s="317" t="str">
        <f>GLOBAL_DER_FEV_2023!S824</f>
        <v/>
      </c>
      <c r="W824" s="582">
        <v>0</v>
      </c>
      <c r="X824" s="580"/>
      <c r="Y824" s="583">
        <f>IF(GLOBAL_DER_FEV_2023!W824=0,0,IF(GLOBAL_DER_FEV_2023!W824&gt;0,"c","b"))</f>
        <v>0</v>
      </c>
    </row>
    <row r="825" spans="1:25" x14ac:dyDescent="0.2">
      <c r="A825" s="640" t="s">
        <v>165</v>
      </c>
      <c r="B825" s="1036" t="str">
        <f>GLOBAL_DER_FEV_2023!B825</f>
        <v>COMP.01</v>
      </c>
      <c r="C825" s="1072" t="str">
        <f>GLOBAL_DER_FEV_2023!C825</f>
        <v>DER</v>
      </c>
      <c r="D825" s="1141" t="str">
        <f>GLOBAL_DER_FEV_2023!D825</f>
        <v>RAMPA PARA PNE COM PISO TÁTIL NBR 9050 ÁREA DE 4,50M2</v>
      </c>
      <c r="E825" s="907">
        <f>GLOBAL_DER_FEV_2023!E825</f>
        <v>0</v>
      </c>
      <c r="F825" s="908">
        <f>GLOBAL_DER_FEV_2023!F825</f>
        <v>0</v>
      </c>
      <c r="G825" s="912">
        <f>GLOBAL_DER_FEV_2023!G825</f>
        <v>0</v>
      </c>
      <c r="H825" s="901">
        <f>GLOBAL_DER_FEV_2023!H825</f>
        <v>348.27</v>
      </c>
      <c r="I825" s="901">
        <f>GLOBAL_DER_FEV_2023!I825</f>
        <v>348.27</v>
      </c>
      <c r="J825" s="890">
        <f>GLOBAL_DER_FEV_2023!J825</f>
        <v>418.17</v>
      </c>
      <c r="K825" s="903" t="str">
        <f>GLOBAL_DER_FEV_2023!K825</f>
        <v>UN</v>
      </c>
      <c r="L825" s="1137"/>
      <c r="M825" s="922">
        <f t="shared" si="103"/>
        <v>0</v>
      </c>
      <c r="N825" s="1167">
        <f t="shared" si="107"/>
        <v>0</v>
      </c>
      <c r="O825" s="1165"/>
      <c r="Q825" s="317" t="str">
        <f t="shared" si="104"/>
        <v/>
      </c>
      <c r="R825" s="317" t="str">
        <f t="shared" si="105"/>
        <v/>
      </c>
      <c r="S825" s="317" t="str">
        <f t="shared" si="106"/>
        <v/>
      </c>
      <c r="T825" s="317" t="str">
        <f>GLOBAL_DER_FEV_2023!S825</f>
        <v/>
      </c>
      <c r="W825" s="582">
        <v>0</v>
      </c>
      <c r="X825" s="580"/>
      <c r="Y825" s="583">
        <f>IF(GLOBAL_DER_FEV_2023!W825=0,0,IF(GLOBAL_DER_FEV_2023!W825&gt;0,"c","b"))</f>
        <v>0</v>
      </c>
    </row>
    <row r="826" spans="1:25" x14ac:dyDescent="0.2">
      <c r="A826" s="640" t="s">
        <v>165</v>
      </c>
      <c r="B826" s="1036" t="str">
        <f>GLOBAL_DER_FEV_2023!B826</f>
        <v/>
      </c>
      <c r="C826" s="1072" t="str">
        <f>GLOBAL_DER_FEV_2023!C826</f>
        <v/>
      </c>
      <c r="D826" s="1141">
        <f>GLOBAL_DER_FEV_2023!D826</f>
        <v>0</v>
      </c>
      <c r="E826" s="907">
        <f>GLOBAL_DER_FEV_2023!E826</f>
        <v>0</v>
      </c>
      <c r="F826" s="908">
        <f>GLOBAL_DER_FEV_2023!F826</f>
        <v>0</v>
      </c>
      <c r="G826" s="912">
        <f>GLOBAL_DER_FEV_2023!G826</f>
        <v>0</v>
      </c>
      <c r="H826" s="901">
        <f>GLOBAL_DER_FEV_2023!H826</f>
        <v>0</v>
      </c>
      <c r="I826" s="901">
        <f>GLOBAL_DER_FEV_2023!I826</f>
        <v>0</v>
      </c>
      <c r="J826" s="890">
        <f>GLOBAL_DER_FEV_2023!J826</f>
        <v>0</v>
      </c>
      <c r="K826" s="903" t="str">
        <f>GLOBAL_DER_FEV_2023!K826</f>
        <v xml:space="preserve">     </v>
      </c>
      <c r="L826" s="1137"/>
      <c r="M826" s="922">
        <f t="shared" si="103"/>
        <v>0</v>
      </c>
      <c r="N826" s="1167">
        <f t="shared" si="107"/>
        <v>0</v>
      </c>
      <c r="O826" s="1165"/>
      <c r="Q826" s="317" t="str">
        <f t="shared" si="104"/>
        <v/>
      </c>
      <c r="R826" s="317" t="str">
        <f t="shared" si="105"/>
        <v/>
      </c>
      <c r="S826" s="317" t="str">
        <f t="shared" si="106"/>
        <v/>
      </c>
      <c r="T826" s="317" t="str">
        <f>GLOBAL_DER_FEV_2023!S826</f>
        <v/>
      </c>
      <c r="W826" s="582">
        <v>0</v>
      </c>
      <c r="X826" s="580"/>
      <c r="Y826" s="583">
        <f>IF(GLOBAL_DER_FEV_2023!W826=0,0,IF(GLOBAL_DER_FEV_2023!W826&gt;0,"c","b"))</f>
        <v>0</v>
      </c>
    </row>
    <row r="827" spans="1:25" x14ac:dyDescent="0.2">
      <c r="A827" s="640" t="s">
        <v>165</v>
      </c>
      <c r="B827" s="1036" t="str">
        <f>GLOBAL_DER_FEV_2023!B827</f>
        <v/>
      </c>
      <c r="C827" s="1072" t="str">
        <f>GLOBAL_DER_FEV_2023!C827</f>
        <v/>
      </c>
      <c r="D827" s="1141">
        <f>GLOBAL_DER_FEV_2023!D827</f>
        <v>0</v>
      </c>
      <c r="E827" s="907">
        <f>GLOBAL_DER_FEV_2023!E827</f>
        <v>0</v>
      </c>
      <c r="F827" s="908">
        <f>GLOBAL_DER_FEV_2023!F827</f>
        <v>0</v>
      </c>
      <c r="G827" s="912">
        <f>GLOBAL_DER_FEV_2023!G827</f>
        <v>0</v>
      </c>
      <c r="H827" s="901">
        <f>GLOBAL_DER_FEV_2023!H827</f>
        <v>0</v>
      </c>
      <c r="I827" s="901">
        <f>GLOBAL_DER_FEV_2023!I827</f>
        <v>0</v>
      </c>
      <c r="J827" s="890">
        <f>GLOBAL_DER_FEV_2023!J827</f>
        <v>0</v>
      </c>
      <c r="K827" s="903" t="str">
        <f>GLOBAL_DER_FEV_2023!K827</f>
        <v xml:space="preserve">     </v>
      </c>
      <c r="L827" s="1137"/>
      <c r="M827" s="922">
        <f t="shared" si="103"/>
        <v>0</v>
      </c>
      <c r="N827" s="1167">
        <f t="shared" si="107"/>
        <v>0</v>
      </c>
      <c r="O827" s="1165"/>
      <c r="Q827" s="317" t="str">
        <f t="shared" si="104"/>
        <v/>
      </c>
      <c r="R827" s="317" t="str">
        <f t="shared" si="105"/>
        <v/>
      </c>
      <c r="S827" s="317" t="str">
        <f t="shared" si="106"/>
        <v/>
      </c>
      <c r="T827" s="317" t="str">
        <f>GLOBAL_DER_FEV_2023!S827</f>
        <v/>
      </c>
      <c r="W827" s="582">
        <v>0</v>
      </c>
      <c r="X827" s="580"/>
      <c r="Y827" s="583">
        <f>IF(GLOBAL_DER_FEV_2023!W827=0,0,IF(GLOBAL_DER_FEV_2023!W827&gt;0,"c","b"))</f>
        <v>0</v>
      </c>
    </row>
    <row r="828" spans="1:25" x14ac:dyDescent="0.2">
      <c r="A828" s="640" t="s">
        <v>165</v>
      </c>
      <c r="B828" s="1036" t="str">
        <f>GLOBAL_DER_FEV_2023!B828</f>
        <v/>
      </c>
      <c r="C828" s="1072" t="str">
        <f>GLOBAL_DER_FEV_2023!C828</f>
        <v/>
      </c>
      <c r="D828" s="1141">
        <f>GLOBAL_DER_FEV_2023!D828</f>
        <v>0</v>
      </c>
      <c r="E828" s="907">
        <f>GLOBAL_DER_FEV_2023!E828</f>
        <v>0</v>
      </c>
      <c r="F828" s="908">
        <f>GLOBAL_DER_FEV_2023!F828</f>
        <v>0</v>
      </c>
      <c r="G828" s="912">
        <f>GLOBAL_DER_FEV_2023!G828</f>
        <v>0</v>
      </c>
      <c r="H828" s="901">
        <f>GLOBAL_DER_FEV_2023!H828</f>
        <v>0</v>
      </c>
      <c r="I828" s="901">
        <f>GLOBAL_DER_FEV_2023!I828</f>
        <v>0</v>
      </c>
      <c r="J828" s="890">
        <f>GLOBAL_DER_FEV_2023!J828</f>
        <v>0</v>
      </c>
      <c r="K828" s="903" t="str">
        <f>GLOBAL_DER_FEV_2023!K828</f>
        <v xml:space="preserve">     </v>
      </c>
      <c r="L828" s="1137"/>
      <c r="M828" s="922">
        <f t="shared" si="103"/>
        <v>0</v>
      </c>
      <c r="N828" s="1167">
        <f t="shared" si="107"/>
        <v>0</v>
      </c>
      <c r="O828" s="1165"/>
      <c r="Q828" s="317" t="str">
        <f t="shared" si="104"/>
        <v/>
      </c>
      <c r="R828" s="317" t="str">
        <f t="shared" si="105"/>
        <v/>
      </c>
      <c r="S828" s="317" t="str">
        <f t="shared" si="106"/>
        <v/>
      </c>
      <c r="T828" s="317" t="str">
        <f>GLOBAL_DER_FEV_2023!S828</f>
        <v/>
      </c>
      <c r="W828" s="582">
        <v>0</v>
      </c>
      <c r="X828" s="580"/>
      <c r="Y828" s="583">
        <f>IF(GLOBAL_DER_FEV_2023!W828=0,0,IF(GLOBAL_DER_FEV_2023!W828&gt;0,"c","b"))</f>
        <v>0</v>
      </c>
    </row>
    <row r="829" spans="1:25" x14ac:dyDescent="0.2">
      <c r="A829" s="640" t="s">
        <v>165</v>
      </c>
      <c r="B829" s="1036" t="str">
        <f>GLOBAL_DER_FEV_2023!B829</f>
        <v/>
      </c>
      <c r="C829" s="1072" t="str">
        <f>GLOBAL_DER_FEV_2023!C829</f>
        <v/>
      </c>
      <c r="D829" s="1141">
        <f>GLOBAL_DER_FEV_2023!D829</f>
        <v>0</v>
      </c>
      <c r="E829" s="907">
        <f>GLOBAL_DER_FEV_2023!E829</f>
        <v>0</v>
      </c>
      <c r="F829" s="908">
        <f>GLOBAL_DER_FEV_2023!F829</f>
        <v>0</v>
      </c>
      <c r="G829" s="912">
        <f>GLOBAL_DER_FEV_2023!G829</f>
        <v>0</v>
      </c>
      <c r="H829" s="901">
        <f>GLOBAL_DER_FEV_2023!H829</f>
        <v>0</v>
      </c>
      <c r="I829" s="901">
        <f>GLOBAL_DER_FEV_2023!I829</f>
        <v>0</v>
      </c>
      <c r="J829" s="890">
        <f>GLOBAL_DER_FEV_2023!J829</f>
        <v>0</v>
      </c>
      <c r="K829" s="903" t="str">
        <f>GLOBAL_DER_FEV_2023!K829</f>
        <v xml:space="preserve">     </v>
      </c>
      <c r="L829" s="1137"/>
      <c r="M829" s="922">
        <f t="shared" si="103"/>
        <v>0</v>
      </c>
      <c r="N829" s="1167">
        <f t="shared" si="107"/>
        <v>0</v>
      </c>
      <c r="O829" s="1165"/>
      <c r="Q829" s="317" t="str">
        <f t="shared" si="104"/>
        <v/>
      </c>
      <c r="R829" s="317" t="str">
        <f t="shared" si="105"/>
        <v/>
      </c>
      <c r="S829" s="317" t="str">
        <f t="shared" si="106"/>
        <v/>
      </c>
      <c r="T829" s="317" t="str">
        <f>GLOBAL_DER_FEV_2023!S829</f>
        <v/>
      </c>
      <c r="W829" s="582">
        <v>0</v>
      </c>
      <c r="X829" s="580"/>
      <c r="Y829" s="583">
        <f>IF(GLOBAL_DER_FEV_2023!W829=0,0,IF(GLOBAL_DER_FEV_2023!W829&gt;0,"c","b"))</f>
        <v>0</v>
      </c>
    </row>
    <row r="830" spans="1:25" x14ac:dyDescent="0.2">
      <c r="A830" s="640" t="s">
        <v>165</v>
      </c>
      <c r="B830" s="1036" t="str">
        <f>GLOBAL_DER_FEV_2023!B830</f>
        <v/>
      </c>
      <c r="C830" s="1072" t="str">
        <f>GLOBAL_DER_FEV_2023!C830</f>
        <v/>
      </c>
      <c r="D830" s="1141">
        <f>GLOBAL_DER_FEV_2023!D830</f>
        <v>0</v>
      </c>
      <c r="E830" s="907">
        <f>GLOBAL_DER_FEV_2023!E830</f>
        <v>0</v>
      </c>
      <c r="F830" s="908">
        <f>GLOBAL_DER_FEV_2023!F830</f>
        <v>0</v>
      </c>
      <c r="G830" s="912">
        <f>GLOBAL_DER_FEV_2023!G830</f>
        <v>0</v>
      </c>
      <c r="H830" s="901">
        <f>GLOBAL_DER_FEV_2023!H830</f>
        <v>0</v>
      </c>
      <c r="I830" s="901">
        <f>GLOBAL_DER_FEV_2023!I830</f>
        <v>0</v>
      </c>
      <c r="J830" s="890">
        <f>GLOBAL_DER_FEV_2023!J830</f>
        <v>0</v>
      </c>
      <c r="K830" s="903" t="str">
        <f>GLOBAL_DER_FEV_2023!K830</f>
        <v xml:space="preserve">     </v>
      </c>
      <c r="L830" s="1137"/>
      <c r="M830" s="922">
        <f t="shared" si="103"/>
        <v>0</v>
      </c>
      <c r="N830" s="1167">
        <f t="shared" si="107"/>
        <v>0</v>
      </c>
      <c r="O830" s="1165"/>
      <c r="Q830" s="317" t="str">
        <f t="shared" si="104"/>
        <v/>
      </c>
      <c r="R830" s="317" t="str">
        <f t="shared" si="105"/>
        <v/>
      </c>
      <c r="S830" s="317" t="str">
        <f t="shared" si="106"/>
        <v/>
      </c>
      <c r="T830" s="317" t="str">
        <f>GLOBAL_DER_FEV_2023!S830</f>
        <v/>
      </c>
      <c r="W830" s="582">
        <v>0</v>
      </c>
      <c r="X830" s="580"/>
      <c r="Y830" s="583">
        <f>IF(GLOBAL_DER_FEV_2023!W830=0,0,IF(GLOBAL_DER_FEV_2023!W830&gt;0,"c","b"))</f>
        <v>0</v>
      </c>
    </row>
    <row r="831" spans="1:25" x14ac:dyDescent="0.2">
      <c r="A831" s="640" t="s">
        <v>165</v>
      </c>
      <c r="B831" s="1036" t="str">
        <f>GLOBAL_DER_FEV_2023!B831</f>
        <v/>
      </c>
      <c r="C831" s="1072" t="str">
        <f>GLOBAL_DER_FEV_2023!C831</f>
        <v/>
      </c>
      <c r="D831" s="1141">
        <f>GLOBAL_DER_FEV_2023!D831</f>
        <v>0</v>
      </c>
      <c r="E831" s="907">
        <f>GLOBAL_DER_FEV_2023!E831</f>
        <v>0</v>
      </c>
      <c r="F831" s="908">
        <f>GLOBAL_DER_FEV_2023!F831</f>
        <v>0</v>
      </c>
      <c r="G831" s="912">
        <f>GLOBAL_DER_FEV_2023!G831</f>
        <v>0</v>
      </c>
      <c r="H831" s="901">
        <f>GLOBAL_DER_FEV_2023!H831</f>
        <v>0</v>
      </c>
      <c r="I831" s="901">
        <f>GLOBAL_DER_FEV_2023!I831</f>
        <v>0</v>
      </c>
      <c r="J831" s="890">
        <f>GLOBAL_DER_FEV_2023!J831</f>
        <v>0</v>
      </c>
      <c r="K831" s="903" t="str">
        <f>GLOBAL_DER_FEV_2023!K831</f>
        <v xml:space="preserve">     </v>
      </c>
      <c r="L831" s="1137"/>
      <c r="M831" s="922">
        <f t="shared" si="103"/>
        <v>0</v>
      </c>
      <c r="N831" s="1167">
        <f t="shared" si="107"/>
        <v>0</v>
      </c>
      <c r="O831" s="1165"/>
      <c r="Q831" s="317" t="str">
        <f t="shared" si="104"/>
        <v/>
      </c>
      <c r="R831" s="317" t="str">
        <f t="shared" si="105"/>
        <v/>
      </c>
      <c r="S831" s="317" t="str">
        <f t="shared" si="106"/>
        <v/>
      </c>
      <c r="T831" s="317" t="str">
        <f>GLOBAL_DER_FEV_2023!S831</f>
        <v/>
      </c>
      <c r="W831" s="582">
        <v>0</v>
      </c>
      <c r="X831" s="580"/>
      <c r="Y831" s="583">
        <f>IF(GLOBAL_DER_FEV_2023!W831=0,0,IF(GLOBAL_DER_FEV_2023!W831&gt;0,"c","b"))</f>
        <v>0</v>
      </c>
    </row>
    <row r="832" spans="1:25" x14ac:dyDescent="0.2">
      <c r="A832" s="640" t="s">
        <v>165</v>
      </c>
      <c r="B832" s="1036" t="str">
        <f>GLOBAL_DER_FEV_2023!B832</f>
        <v/>
      </c>
      <c r="C832" s="1072" t="str">
        <f>GLOBAL_DER_FEV_2023!C832</f>
        <v/>
      </c>
      <c r="D832" s="1141">
        <f>GLOBAL_DER_FEV_2023!D832</f>
        <v>0</v>
      </c>
      <c r="E832" s="907">
        <f>GLOBAL_DER_FEV_2023!E832</f>
        <v>0</v>
      </c>
      <c r="F832" s="908">
        <f>GLOBAL_DER_FEV_2023!F832</f>
        <v>0</v>
      </c>
      <c r="G832" s="912">
        <f>GLOBAL_DER_FEV_2023!G832</f>
        <v>0</v>
      </c>
      <c r="H832" s="901">
        <f>GLOBAL_DER_FEV_2023!H832</f>
        <v>0</v>
      </c>
      <c r="I832" s="901">
        <f>GLOBAL_DER_FEV_2023!I832</f>
        <v>0</v>
      </c>
      <c r="J832" s="890">
        <f>GLOBAL_DER_FEV_2023!J832</f>
        <v>0</v>
      </c>
      <c r="K832" s="903" t="str">
        <f>GLOBAL_DER_FEV_2023!K832</f>
        <v xml:space="preserve">     </v>
      </c>
      <c r="L832" s="1137"/>
      <c r="M832" s="922">
        <f t="shared" si="103"/>
        <v>0</v>
      </c>
      <c r="N832" s="1167">
        <f t="shared" si="107"/>
        <v>0</v>
      </c>
      <c r="O832" s="1165"/>
      <c r="Q832" s="317" t="str">
        <f t="shared" si="104"/>
        <v/>
      </c>
      <c r="R832" s="317" t="str">
        <f t="shared" si="105"/>
        <v/>
      </c>
      <c r="S832" s="317" t="str">
        <f t="shared" si="106"/>
        <v/>
      </c>
      <c r="T832" s="317" t="str">
        <f>GLOBAL_DER_FEV_2023!S832</f>
        <v/>
      </c>
      <c r="W832" s="582">
        <v>0</v>
      </c>
      <c r="X832" s="580"/>
      <c r="Y832" s="583">
        <f>IF(GLOBAL_DER_FEV_2023!W832=0,0,IF(GLOBAL_DER_FEV_2023!W832&gt;0,"c","b"))</f>
        <v>0</v>
      </c>
    </row>
    <row r="833" spans="1:25" x14ac:dyDescent="0.2">
      <c r="A833" s="640" t="s">
        <v>165</v>
      </c>
      <c r="B833" s="1036" t="str">
        <f>GLOBAL_DER_FEV_2023!B833</f>
        <v/>
      </c>
      <c r="C833" s="1072" t="str">
        <f>GLOBAL_DER_FEV_2023!C833</f>
        <v/>
      </c>
      <c r="D833" s="1141">
        <f>GLOBAL_DER_FEV_2023!D833</f>
        <v>0</v>
      </c>
      <c r="E833" s="907">
        <f>GLOBAL_DER_FEV_2023!E833</f>
        <v>0</v>
      </c>
      <c r="F833" s="908">
        <f>GLOBAL_DER_FEV_2023!F833</f>
        <v>0</v>
      </c>
      <c r="G833" s="912">
        <f>GLOBAL_DER_FEV_2023!G833</f>
        <v>0</v>
      </c>
      <c r="H833" s="901">
        <f>GLOBAL_DER_FEV_2023!H833</f>
        <v>0</v>
      </c>
      <c r="I833" s="901">
        <f>GLOBAL_DER_FEV_2023!I833</f>
        <v>0</v>
      </c>
      <c r="J833" s="890">
        <f>GLOBAL_DER_FEV_2023!J833</f>
        <v>0</v>
      </c>
      <c r="K833" s="903" t="str">
        <f>GLOBAL_DER_FEV_2023!K833</f>
        <v xml:space="preserve">     </v>
      </c>
      <c r="L833" s="1137"/>
      <c r="M833" s="922">
        <f t="shared" si="103"/>
        <v>0</v>
      </c>
      <c r="N833" s="1167">
        <f t="shared" si="107"/>
        <v>0</v>
      </c>
      <c r="O833" s="1165"/>
      <c r="Q833" s="317" t="str">
        <f t="shared" si="104"/>
        <v/>
      </c>
      <c r="R833" s="317" t="str">
        <f t="shared" si="105"/>
        <v/>
      </c>
      <c r="S833" s="317" t="str">
        <f t="shared" si="106"/>
        <v/>
      </c>
      <c r="T833" s="317" t="str">
        <f>GLOBAL_DER_FEV_2023!S833</f>
        <v/>
      </c>
      <c r="W833" s="582">
        <v>0</v>
      </c>
      <c r="X833" s="580"/>
      <c r="Y833" s="583">
        <f>IF(GLOBAL_DER_FEV_2023!W833=0,0,IF(GLOBAL_DER_FEV_2023!W833&gt;0,"c","b"))</f>
        <v>0</v>
      </c>
    </row>
    <row r="834" spans="1:25" x14ac:dyDescent="0.2">
      <c r="A834" s="640" t="s">
        <v>165</v>
      </c>
      <c r="B834" s="1036" t="str">
        <f>GLOBAL_DER_FEV_2023!B834</f>
        <v/>
      </c>
      <c r="C834" s="1072" t="str">
        <f>GLOBAL_DER_FEV_2023!C834</f>
        <v/>
      </c>
      <c r="D834" s="1141">
        <f>GLOBAL_DER_FEV_2023!D834</f>
        <v>0</v>
      </c>
      <c r="E834" s="907">
        <f>GLOBAL_DER_FEV_2023!E834</f>
        <v>0</v>
      </c>
      <c r="F834" s="908">
        <f>GLOBAL_DER_FEV_2023!F834</f>
        <v>0</v>
      </c>
      <c r="G834" s="912">
        <f>GLOBAL_DER_FEV_2023!G834</f>
        <v>0</v>
      </c>
      <c r="H834" s="901">
        <f>GLOBAL_DER_FEV_2023!H834</f>
        <v>0</v>
      </c>
      <c r="I834" s="901">
        <f>GLOBAL_DER_FEV_2023!I834</f>
        <v>0</v>
      </c>
      <c r="J834" s="890">
        <f>GLOBAL_DER_FEV_2023!J834</f>
        <v>0</v>
      </c>
      <c r="K834" s="903" t="str">
        <f>GLOBAL_DER_FEV_2023!K834</f>
        <v xml:space="preserve">     </v>
      </c>
      <c r="L834" s="1137"/>
      <c r="M834" s="922">
        <f t="shared" si="103"/>
        <v>0</v>
      </c>
      <c r="N834" s="1167">
        <f t="shared" si="107"/>
        <v>0</v>
      </c>
      <c r="O834" s="1165"/>
      <c r="Q834" s="317" t="str">
        <f t="shared" si="104"/>
        <v/>
      </c>
      <c r="R834" s="317" t="str">
        <f t="shared" si="105"/>
        <v/>
      </c>
      <c r="S834" s="317" t="str">
        <f t="shared" si="106"/>
        <v/>
      </c>
      <c r="T834" s="317" t="str">
        <f>GLOBAL_DER_FEV_2023!S834</f>
        <v/>
      </c>
      <c r="W834" s="582">
        <v>0</v>
      </c>
      <c r="X834" s="580"/>
      <c r="Y834" s="583">
        <f>IF(GLOBAL_DER_FEV_2023!W834=0,0,IF(GLOBAL_DER_FEV_2023!W834&gt;0,"c","b"))</f>
        <v>0</v>
      </c>
    </row>
    <row r="835" spans="1:25" x14ac:dyDescent="0.2">
      <c r="A835" s="640" t="s">
        <v>165</v>
      </c>
      <c r="B835" s="1036" t="str">
        <f>GLOBAL_DER_FEV_2023!B835</f>
        <v/>
      </c>
      <c r="C835" s="1072" t="str">
        <f>GLOBAL_DER_FEV_2023!C835</f>
        <v/>
      </c>
      <c r="D835" s="1141">
        <f>GLOBAL_DER_FEV_2023!D835</f>
        <v>0</v>
      </c>
      <c r="E835" s="907">
        <f>GLOBAL_DER_FEV_2023!E835</f>
        <v>0</v>
      </c>
      <c r="F835" s="908">
        <f>GLOBAL_DER_FEV_2023!F835</f>
        <v>0</v>
      </c>
      <c r="G835" s="912">
        <f>GLOBAL_DER_FEV_2023!G835</f>
        <v>0</v>
      </c>
      <c r="H835" s="901">
        <f>GLOBAL_DER_FEV_2023!H835</f>
        <v>0</v>
      </c>
      <c r="I835" s="901">
        <f>GLOBAL_DER_FEV_2023!I835</f>
        <v>0</v>
      </c>
      <c r="J835" s="890">
        <f>GLOBAL_DER_FEV_2023!J835</f>
        <v>0</v>
      </c>
      <c r="K835" s="903" t="str">
        <f>GLOBAL_DER_FEV_2023!K835</f>
        <v xml:space="preserve">     </v>
      </c>
      <c r="L835" s="1137"/>
      <c r="M835" s="922">
        <f t="shared" si="103"/>
        <v>0</v>
      </c>
      <c r="N835" s="1167">
        <f t="shared" si="107"/>
        <v>0</v>
      </c>
      <c r="O835" s="1165"/>
      <c r="Q835" s="317" t="str">
        <f t="shared" si="104"/>
        <v/>
      </c>
      <c r="R835" s="317" t="str">
        <f t="shared" si="105"/>
        <v/>
      </c>
      <c r="S835" s="317" t="str">
        <f t="shared" si="106"/>
        <v/>
      </c>
      <c r="T835" s="317" t="str">
        <f>GLOBAL_DER_FEV_2023!S835</f>
        <v/>
      </c>
      <c r="W835" s="582">
        <v>0</v>
      </c>
      <c r="X835" s="580"/>
      <c r="Y835" s="583">
        <f>IF(GLOBAL_DER_FEV_2023!W835=0,0,IF(GLOBAL_DER_FEV_2023!W835&gt;0,"c","b"))</f>
        <v>0</v>
      </c>
    </row>
    <row r="836" spans="1:25" x14ac:dyDescent="0.2">
      <c r="A836" s="640" t="s">
        <v>165</v>
      </c>
      <c r="B836" s="1036" t="str">
        <f>GLOBAL_DER_FEV_2023!B836</f>
        <v/>
      </c>
      <c r="C836" s="1072" t="str">
        <f>GLOBAL_DER_FEV_2023!C836</f>
        <v/>
      </c>
      <c r="D836" s="1141">
        <f>GLOBAL_DER_FEV_2023!D836</f>
        <v>0</v>
      </c>
      <c r="E836" s="907">
        <f>GLOBAL_DER_FEV_2023!E836</f>
        <v>0</v>
      </c>
      <c r="F836" s="908">
        <f>GLOBAL_DER_FEV_2023!F836</f>
        <v>0</v>
      </c>
      <c r="G836" s="912">
        <f>GLOBAL_DER_FEV_2023!G836</f>
        <v>0</v>
      </c>
      <c r="H836" s="901">
        <f>GLOBAL_DER_FEV_2023!H836</f>
        <v>0</v>
      </c>
      <c r="I836" s="901">
        <f>GLOBAL_DER_FEV_2023!I836</f>
        <v>0</v>
      </c>
      <c r="J836" s="890">
        <f>GLOBAL_DER_FEV_2023!J836</f>
        <v>0</v>
      </c>
      <c r="K836" s="903" t="str">
        <f>GLOBAL_DER_FEV_2023!K836</f>
        <v xml:space="preserve">     </v>
      </c>
      <c r="L836" s="1137"/>
      <c r="M836" s="922">
        <f t="shared" si="103"/>
        <v>0</v>
      </c>
      <c r="N836" s="1167">
        <f t="shared" si="107"/>
        <v>0</v>
      </c>
      <c r="O836" s="1165"/>
      <c r="Q836" s="317" t="str">
        <f t="shared" si="104"/>
        <v/>
      </c>
      <c r="R836" s="317" t="str">
        <f t="shared" si="105"/>
        <v/>
      </c>
      <c r="S836" s="317" t="str">
        <f t="shared" si="106"/>
        <v/>
      </c>
      <c r="T836" s="317" t="str">
        <f>GLOBAL_DER_FEV_2023!S836</f>
        <v/>
      </c>
      <c r="W836" s="582">
        <v>0</v>
      </c>
      <c r="X836" s="580"/>
      <c r="Y836" s="583">
        <f>IF(GLOBAL_DER_FEV_2023!W836=0,0,IF(GLOBAL_DER_FEV_2023!W836&gt;0,"c","b"))</f>
        <v>0</v>
      </c>
    </row>
    <row r="837" spans="1:25" x14ac:dyDescent="0.2">
      <c r="A837" s="640" t="s">
        <v>165</v>
      </c>
      <c r="B837" s="1036" t="str">
        <f>GLOBAL_DER_FEV_2023!B837</f>
        <v/>
      </c>
      <c r="C837" s="1072" t="str">
        <f>GLOBAL_DER_FEV_2023!C837</f>
        <v/>
      </c>
      <c r="D837" s="1141">
        <f>GLOBAL_DER_FEV_2023!D837</f>
        <v>0</v>
      </c>
      <c r="E837" s="907">
        <f>GLOBAL_DER_FEV_2023!E837</f>
        <v>0</v>
      </c>
      <c r="F837" s="908">
        <f>GLOBAL_DER_FEV_2023!F837</f>
        <v>0</v>
      </c>
      <c r="G837" s="912">
        <f>GLOBAL_DER_FEV_2023!G837</f>
        <v>0</v>
      </c>
      <c r="H837" s="901">
        <f>GLOBAL_DER_FEV_2023!H837</f>
        <v>0</v>
      </c>
      <c r="I837" s="901">
        <f>GLOBAL_DER_FEV_2023!I837</f>
        <v>0</v>
      </c>
      <c r="J837" s="890">
        <f>GLOBAL_DER_FEV_2023!J837</f>
        <v>0</v>
      </c>
      <c r="K837" s="903" t="str">
        <f>GLOBAL_DER_FEV_2023!K837</f>
        <v xml:space="preserve">     </v>
      </c>
      <c r="L837" s="1137"/>
      <c r="M837" s="922">
        <f t="shared" si="103"/>
        <v>0</v>
      </c>
      <c r="N837" s="1167">
        <f t="shared" si="107"/>
        <v>0</v>
      </c>
      <c r="O837" s="1165"/>
      <c r="Q837" s="317" t="str">
        <f t="shared" si="104"/>
        <v/>
      </c>
      <c r="R837" s="317" t="str">
        <f t="shared" si="105"/>
        <v/>
      </c>
      <c r="S837" s="317" t="str">
        <f t="shared" si="106"/>
        <v/>
      </c>
      <c r="T837" s="317" t="str">
        <f>GLOBAL_DER_FEV_2023!S837</f>
        <v/>
      </c>
      <c r="W837" s="582">
        <v>0</v>
      </c>
      <c r="X837" s="580"/>
      <c r="Y837" s="583">
        <f>IF(GLOBAL_DER_FEV_2023!W837=0,0,IF(GLOBAL_DER_FEV_2023!W837&gt;0,"c","b"))</f>
        <v>0</v>
      </c>
    </row>
    <row r="838" spans="1:25" x14ac:dyDescent="0.2">
      <c r="A838" s="640" t="s">
        <v>165</v>
      </c>
      <c r="B838" s="1036" t="str">
        <f>GLOBAL_DER_FEV_2023!B838</f>
        <v/>
      </c>
      <c r="C838" s="1072" t="str">
        <f>GLOBAL_DER_FEV_2023!C838</f>
        <v/>
      </c>
      <c r="D838" s="1141">
        <f>GLOBAL_DER_FEV_2023!D838</f>
        <v>0</v>
      </c>
      <c r="E838" s="907">
        <f>GLOBAL_DER_FEV_2023!E838</f>
        <v>0</v>
      </c>
      <c r="F838" s="908">
        <f>GLOBAL_DER_FEV_2023!F838</f>
        <v>0</v>
      </c>
      <c r="G838" s="912">
        <f>GLOBAL_DER_FEV_2023!G838</f>
        <v>0</v>
      </c>
      <c r="H838" s="901">
        <f>GLOBAL_DER_FEV_2023!H838</f>
        <v>0</v>
      </c>
      <c r="I838" s="901">
        <f>GLOBAL_DER_FEV_2023!I838</f>
        <v>0</v>
      </c>
      <c r="J838" s="890">
        <f>GLOBAL_DER_FEV_2023!J838</f>
        <v>0</v>
      </c>
      <c r="K838" s="903" t="str">
        <f>GLOBAL_DER_FEV_2023!K838</f>
        <v xml:space="preserve">     </v>
      </c>
      <c r="L838" s="1137"/>
      <c r="M838" s="922">
        <f t="shared" si="103"/>
        <v>0</v>
      </c>
      <c r="N838" s="1167">
        <f t="shared" si="107"/>
        <v>0</v>
      </c>
      <c r="O838" s="1165"/>
      <c r="Q838" s="317" t="str">
        <f t="shared" si="104"/>
        <v/>
      </c>
      <c r="R838" s="317" t="str">
        <f t="shared" si="105"/>
        <v/>
      </c>
      <c r="S838" s="317" t="str">
        <f t="shared" si="106"/>
        <v/>
      </c>
      <c r="T838" s="317" t="str">
        <f>GLOBAL_DER_FEV_2023!S838</f>
        <v/>
      </c>
      <c r="W838" s="582">
        <v>0</v>
      </c>
      <c r="X838" s="580"/>
      <c r="Y838" s="583">
        <f>IF(GLOBAL_DER_FEV_2023!W838=0,0,IF(GLOBAL_DER_FEV_2023!W838&gt;0,"c","b"))</f>
        <v>0</v>
      </c>
    </row>
    <row r="839" spans="1:25" x14ac:dyDescent="0.2">
      <c r="A839" s="640" t="s">
        <v>165</v>
      </c>
      <c r="B839" s="1036" t="str">
        <f>GLOBAL_DER_FEV_2023!B839</f>
        <v/>
      </c>
      <c r="C839" s="1072" t="str">
        <f>GLOBAL_DER_FEV_2023!C839</f>
        <v/>
      </c>
      <c r="D839" s="1141">
        <f>GLOBAL_DER_FEV_2023!D839</f>
        <v>0</v>
      </c>
      <c r="E839" s="907">
        <f>GLOBAL_DER_FEV_2023!E839</f>
        <v>0</v>
      </c>
      <c r="F839" s="908">
        <f>GLOBAL_DER_FEV_2023!F839</f>
        <v>0</v>
      </c>
      <c r="G839" s="912">
        <f>GLOBAL_DER_FEV_2023!G839</f>
        <v>0</v>
      </c>
      <c r="H839" s="901">
        <f>GLOBAL_DER_FEV_2023!H839</f>
        <v>0</v>
      </c>
      <c r="I839" s="901">
        <f>GLOBAL_DER_FEV_2023!I839</f>
        <v>0</v>
      </c>
      <c r="J839" s="890">
        <f>GLOBAL_DER_FEV_2023!J839</f>
        <v>0</v>
      </c>
      <c r="K839" s="903" t="str">
        <f>GLOBAL_DER_FEV_2023!K839</f>
        <v xml:space="preserve">     </v>
      </c>
      <c r="L839" s="1137"/>
      <c r="M839" s="922">
        <f t="shared" si="103"/>
        <v>0</v>
      </c>
      <c r="N839" s="1167">
        <f t="shared" si="107"/>
        <v>0</v>
      </c>
      <c r="O839" s="1165"/>
      <c r="Q839" s="317" t="str">
        <f t="shared" si="104"/>
        <v/>
      </c>
      <c r="R839" s="317" t="str">
        <f t="shared" si="105"/>
        <v/>
      </c>
      <c r="S839" s="317" t="str">
        <f t="shared" si="106"/>
        <v/>
      </c>
      <c r="T839" s="317" t="str">
        <f>GLOBAL_DER_FEV_2023!S839</f>
        <v/>
      </c>
      <c r="W839" s="582">
        <v>0</v>
      </c>
      <c r="X839" s="580"/>
      <c r="Y839" s="583">
        <f>IF(GLOBAL_DER_FEV_2023!W839=0,0,IF(GLOBAL_DER_FEV_2023!W839&gt;0,"c","b"))</f>
        <v>0</v>
      </c>
    </row>
    <row r="840" spans="1:25" x14ac:dyDescent="0.2">
      <c r="A840" s="640" t="s">
        <v>165</v>
      </c>
      <c r="B840" s="1036" t="str">
        <f>GLOBAL_DER_FEV_2023!B840</f>
        <v/>
      </c>
      <c r="C840" s="1072" t="str">
        <f>GLOBAL_DER_FEV_2023!C840</f>
        <v/>
      </c>
      <c r="D840" s="1141">
        <f>GLOBAL_DER_FEV_2023!D840</f>
        <v>0</v>
      </c>
      <c r="E840" s="907">
        <f>GLOBAL_DER_FEV_2023!E840</f>
        <v>0</v>
      </c>
      <c r="F840" s="908">
        <f>GLOBAL_DER_FEV_2023!F840</f>
        <v>0</v>
      </c>
      <c r="G840" s="912">
        <f>GLOBAL_DER_FEV_2023!G840</f>
        <v>0</v>
      </c>
      <c r="H840" s="901">
        <f>GLOBAL_DER_FEV_2023!H840</f>
        <v>0</v>
      </c>
      <c r="I840" s="901">
        <f>GLOBAL_DER_FEV_2023!I840</f>
        <v>0</v>
      </c>
      <c r="J840" s="890">
        <f>GLOBAL_DER_FEV_2023!J840</f>
        <v>0</v>
      </c>
      <c r="K840" s="903" t="str">
        <f>GLOBAL_DER_FEV_2023!K840</f>
        <v xml:space="preserve">     </v>
      </c>
      <c r="L840" s="1137"/>
      <c r="M840" s="922">
        <f t="shared" si="103"/>
        <v>0</v>
      </c>
      <c r="N840" s="1167">
        <f t="shared" si="107"/>
        <v>0</v>
      </c>
      <c r="O840" s="1165"/>
      <c r="Q840" s="317" t="str">
        <f t="shared" si="104"/>
        <v/>
      </c>
      <c r="R840" s="317" t="str">
        <f t="shared" si="105"/>
        <v/>
      </c>
      <c r="S840" s="317" t="str">
        <f t="shared" si="106"/>
        <v/>
      </c>
      <c r="T840" s="317" t="str">
        <f>GLOBAL_DER_FEV_2023!S840</f>
        <v/>
      </c>
      <c r="W840" s="582">
        <v>0</v>
      </c>
      <c r="X840" s="580"/>
      <c r="Y840" s="583">
        <f>IF(GLOBAL_DER_FEV_2023!W840=0,0,IF(GLOBAL_DER_FEV_2023!W840&gt;0,"c","b"))</f>
        <v>0</v>
      </c>
    </row>
    <row r="841" spans="1:25" x14ac:dyDescent="0.2">
      <c r="A841" s="640" t="s">
        <v>165</v>
      </c>
      <c r="B841" s="1036" t="str">
        <f>GLOBAL_DER_FEV_2023!B841</f>
        <v/>
      </c>
      <c r="C841" s="1072" t="str">
        <f>GLOBAL_DER_FEV_2023!C841</f>
        <v/>
      </c>
      <c r="D841" s="1141">
        <f>GLOBAL_DER_FEV_2023!D841</f>
        <v>0</v>
      </c>
      <c r="E841" s="907">
        <f>GLOBAL_DER_FEV_2023!E841</f>
        <v>0</v>
      </c>
      <c r="F841" s="908">
        <f>GLOBAL_DER_FEV_2023!F841</f>
        <v>0</v>
      </c>
      <c r="G841" s="912">
        <f>GLOBAL_DER_FEV_2023!G841</f>
        <v>0</v>
      </c>
      <c r="H841" s="901">
        <f>GLOBAL_DER_FEV_2023!H841</f>
        <v>0</v>
      </c>
      <c r="I841" s="901">
        <f>GLOBAL_DER_FEV_2023!I841</f>
        <v>0</v>
      </c>
      <c r="J841" s="890">
        <f>GLOBAL_DER_FEV_2023!J841</f>
        <v>0</v>
      </c>
      <c r="K841" s="903" t="str">
        <f>GLOBAL_DER_FEV_2023!K841</f>
        <v xml:space="preserve">     </v>
      </c>
      <c r="L841" s="1137"/>
      <c r="M841" s="922">
        <f t="shared" si="103"/>
        <v>0</v>
      </c>
      <c r="N841" s="1167">
        <f t="shared" si="107"/>
        <v>0</v>
      </c>
      <c r="O841" s="1165"/>
      <c r="Q841" s="317" t="str">
        <f t="shared" si="104"/>
        <v/>
      </c>
      <c r="R841" s="317" t="str">
        <f t="shared" si="105"/>
        <v/>
      </c>
      <c r="S841" s="317" t="str">
        <f t="shared" si="106"/>
        <v/>
      </c>
      <c r="T841" s="317" t="str">
        <f>GLOBAL_DER_FEV_2023!S841</f>
        <v/>
      </c>
      <c r="W841" s="582">
        <v>0</v>
      </c>
      <c r="X841" s="580"/>
      <c r="Y841" s="583">
        <f>IF(GLOBAL_DER_FEV_2023!W841=0,0,IF(GLOBAL_DER_FEV_2023!W841&gt;0,"c","b"))</f>
        <v>0</v>
      </c>
    </row>
    <row r="842" spans="1:25" x14ac:dyDescent="0.2">
      <c r="A842" s="640" t="s">
        <v>165</v>
      </c>
      <c r="B842" s="1036" t="str">
        <f>GLOBAL_DER_FEV_2023!B842</f>
        <v/>
      </c>
      <c r="C842" s="1072" t="str">
        <f>GLOBAL_DER_FEV_2023!C842</f>
        <v/>
      </c>
      <c r="D842" s="1141">
        <f>GLOBAL_DER_FEV_2023!D842</f>
        <v>0</v>
      </c>
      <c r="E842" s="907">
        <f>GLOBAL_DER_FEV_2023!E842</f>
        <v>0</v>
      </c>
      <c r="F842" s="908">
        <f>GLOBAL_DER_FEV_2023!F842</f>
        <v>0</v>
      </c>
      <c r="G842" s="912">
        <f>GLOBAL_DER_FEV_2023!G842</f>
        <v>0</v>
      </c>
      <c r="H842" s="901">
        <f>GLOBAL_DER_FEV_2023!H842</f>
        <v>0</v>
      </c>
      <c r="I842" s="901">
        <f>GLOBAL_DER_FEV_2023!I842</f>
        <v>0</v>
      </c>
      <c r="J842" s="890">
        <f>GLOBAL_DER_FEV_2023!J842</f>
        <v>0</v>
      </c>
      <c r="K842" s="903" t="str">
        <f>GLOBAL_DER_FEV_2023!K842</f>
        <v xml:space="preserve">     </v>
      </c>
      <c r="L842" s="1137"/>
      <c r="M842" s="922">
        <f t="shared" si="103"/>
        <v>0</v>
      </c>
      <c r="N842" s="1167">
        <f t="shared" si="107"/>
        <v>0</v>
      </c>
      <c r="O842" s="1165"/>
      <c r="Q842" s="317" t="str">
        <f t="shared" si="104"/>
        <v/>
      </c>
      <c r="R842" s="317" t="str">
        <f t="shared" si="105"/>
        <v/>
      </c>
      <c r="S842" s="317" t="str">
        <f t="shared" si="106"/>
        <v/>
      </c>
      <c r="T842" s="317" t="str">
        <f>GLOBAL_DER_FEV_2023!S842</f>
        <v/>
      </c>
      <c r="W842" s="582">
        <v>0</v>
      </c>
      <c r="X842" s="580"/>
      <c r="Y842" s="583">
        <f>IF(GLOBAL_DER_FEV_2023!W842=0,0,IF(GLOBAL_DER_FEV_2023!W842&gt;0,"c","b"))</f>
        <v>0</v>
      </c>
    </row>
    <row r="843" spans="1:25" x14ac:dyDescent="0.2">
      <c r="A843" s="640" t="s">
        <v>165</v>
      </c>
      <c r="B843" s="1036" t="str">
        <f>GLOBAL_DER_FEV_2023!B843</f>
        <v/>
      </c>
      <c r="C843" s="1072" t="str">
        <f>GLOBAL_DER_FEV_2023!C843</f>
        <v/>
      </c>
      <c r="D843" s="1141">
        <f>GLOBAL_DER_FEV_2023!D843</f>
        <v>0</v>
      </c>
      <c r="E843" s="907">
        <f>GLOBAL_DER_FEV_2023!E843</f>
        <v>0</v>
      </c>
      <c r="F843" s="908">
        <f>GLOBAL_DER_FEV_2023!F843</f>
        <v>0</v>
      </c>
      <c r="G843" s="912">
        <f>GLOBAL_DER_FEV_2023!G843</f>
        <v>0</v>
      </c>
      <c r="H843" s="901">
        <f>GLOBAL_DER_FEV_2023!H843</f>
        <v>0</v>
      </c>
      <c r="I843" s="901">
        <f>GLOBAL_DER_FEV_2023!I843</f>
        <v>0</v>
      </c>
      <c r="J843" s="890">
        <f>GLOBAL_DER_FEV_2023!J843</f>
        <v>0</v>
      </c>
      <c r="K843" s="903" t="str">
        <f>GLOBAL_DER_FEV_2023!K843</f>
        <v xml:space="preserve">     </v>
      </c>
      <c r="L843" s="1137"/>
      <c r="M843" s="922">
        <f t="shared" si="103"/>
        <v>0</v>
      </c>
      <c r="N843" s="1167">
        <f t="shared" si="107"/>
        <v>0</v>
      </c>
      <c r="O843" s="1165"/>
      <c r="Q843" s="317" t="str">
        <f t="shared" si="104"/>
        <v/>
      </c>
      <c r="R843" s="317" t="str">
        <f t="shared" si="105"/>
        <v/>
      </c>
      <c r="S843" s="317" t="str">
        <f t="shared" si="106"/>
        <v/>
      </c>
      <c r="T843" s="317" t="str">
        <f>GLOBAL_DER_FEV_2023!S843</f>
        <v/>
      </c>
      <c r="W843" s="582">
        <v>0</v>
      </c>
      <c r="X843" s="580"/>
      <c r="Y843" s="583">
        <f>IF(GLOBAL_DER_FEV_2023!W843=0,0,IF(GLOBAL_DER_FEV_2023!W843&gt;0,"c","b"))</f>
        <v>0</v>
      </c>
    </row>
    <row r="844" spans="1:25" x14ac:dyDescent="0.2">
      <c r="A844" s="640" t="s">
        <v>165</v>
      </c>
      <c r="B844" s="1036" t="str">
        <f>GLOBAL_DER_FEV_2023!B844</f>
        <v/>
      </c>
      <c r="C844" s="1072" t="str">
        <f>GLOBAL_DER_FEV_2023!C844</f>
        <v/>
      </c>
      <c r="D844" s="1141">
        <f>GLOBAL_DER_FEV_2023!D844</f>
        <v>0</v>
      </c>
      <c r="E844" s="907">
        <f>GLOBAL_DER_FEV_2023!E844</f>
        <v>0</v>
      </c>
      <c r="F844" s="908">
        <f>GLOBAL_DER_FEV_2023!F844</f>
        <v>0</v>
      </c>
      <c r="G844" s="912">
        <f>GLOBAL_DER_FEV_2023!G844</f>
        <v>0</v>
      </c>
      <c r="H844" s="901">
        <f>GLOBAL_DER_FEV_2023!H844</f>
        <v>0</v>
      </c>
      <c r="I844" s="901">
        <f>GLOBAL_DER_FEV_2023!I844</f>
        <v>0</v>
      </c>
      <c r="J844" s="890">
        <f>GLOBAL_DER_FEV_2023!J844</f>
        <v>0</v>
      </c>
      <c r="K844" s="903" t="str">
        <f>GLOBAL_DER_FEV_2023!K844</f>
        <v xml:space="preserve">     </v>
      </c>
      <c r="L844" s="1137"/>
      <c r="M844" s="922">
        <f t="shared" si="103"/>
        <v>0</v>
      </c>
      <c r="N844" s="1167">
        <f t="shared" si="107"/>
        <v>0</v>
      </c>
      <c r="O844" s="1165"/>
      <c r="Q844" s="317" t="str">
        <f t="shared" si="104"/>
        <v/>
      </c>
      <c r="R844" s="317" t="str">
        <f t="shared" si="105"/>
        <v/>
      </c>
      <c r="S844" s="317" t="str">
        <f t="shared" si="106"/>
        <v/>
      </c>
      <c r="T844" s="317" t="str">
        <f>GLOBAL_DER_FEV_2023!S844</f>
        <v/>
      </c>
      <c r="W844" s="582">
        <v>0</v>
      </c>
      <c r="X844" s="580"/>
      <c r="Y844" s="583">
        <f>IF(GLOBAL_DER_FEV_2023!W844=0,0,IF(GLOBAL_DER_FEV_2023!W844&gt;0,"c","b"))</f>
        <v>0</v>
      </c>
    </row>
    <row r="845" spans="1:25" x14ac:dyDescent="0.2">
      <c r="A845" s="640" t="s">
        <v>165</v>
      </c>
      <c r="B845" s="1036" t="str">
        <f>GLOBAL_DER_FEV_2023!B845</f>
        <v/>
      </c>
      <c r="C845" s="1072" t="str">
        <f>GLOBAL_DER_FEV_2023!C845</f>
        <v/>
      </c>
      <c r="D845" s="1141">
        <f>GLOBAL_DER_FEV_2023!D845</f>
        <v>0</v>
      </c>
      <c r="E845" s="907">
        <f>GLOBAL_DER_FEV_2023!E845</f>
        <v>0</v>
      </c>
      <c r="F845" s="908">
        <f>GLOBAL_DER_FEV_2023!F845</f>
        <v>0</v>
      </c>
      <c r="G845" s="912">
        <f>GLOBAL_DER_FEV_2023!G845</f>
        <v>0</v>
      </c>
      <c r="H845" s="901">
        <f>GLOBAL_DER_FEV_2023!H845</f>
        <v>0</v>
      </c>
      <c r="I845" s="901">
        <f>GLOBAL_DER_FEV_2023!I845</f>
        <v>0</v>
      </c>
      <c r="J845" s="890">
        <f>GLOBAL_DER_FEV_2023!J845</f>
        <v>0</v>
      </c>
      <c r="K845" s="903" t="str">
        <f>GLOBAL_DER_FEV_2023!K845</f>
        <v xml:space="preserve">     </v>
      </c>
      <c r="L845" s="1137"/>
      <c r="M845" s="922">
        <f t="shared" si="103"/>
        <v>0</v>
      </c>
      <c r="N845" s="1167">
        <f t="shared" si="107"/>
        <v>0</v>
      </c>
      <c r="O845" s="1165"/>
      <c r="Q845" s="317" t="str">
        <f t="shared" si="104"/>
        <v/>
      </c>
      <c r="R845" s="317" t="str">
        <f t="shared" si="105"/>
        <v/>
      </c>
      <c r="S845" s="317" t="str">
        <f t="shared" si="106"/>
        <v/>
      </c>
      <c r="T845" s="317" t="str">
        <f>GLOBAL_DER_FEV_2023!S845</f>
        <v/>
      </c>
      <c r="W845" s="582">
        <v>0</v>
      </c>
      <c r="X845" s="580"/>
      <c r="Y845" s="583">
        <f>IF(GLOBAL_DER_FEV_2023!W845=0,0,IF(GLOBAL_DER_FEV_2023!W845&gt;0,"c","b"))</f>
        <v>0</v>
      </c>
    </row>
    <row r="846" spans="1:25" x14ac:dyDescent="0.2">
      <c r="A846" s="640" t="s">
        <v>165</v>
      </c>
      <c r="B846" s="1036" t="str">
        <f>GLOBAL_DER_FEV_2023!B846</f>
        <v/>
      </c>
      <c r="C846" s="1072" t="str">
        <f>GLOBAL_DER_FEV_2023!C846</f>
        <v/>
      </c>
      <c r="D846" s="1141">
        <f>GLOBAL_DER_FEV_2023!D846</f>
        <v>0</v>
      </c>
      <c r="E846" s="907">
        <f>GLOBAL_DER_FEV_2023!E846</f>
        <v>0</v>
      </c>
      <c r="F846" s="908">
        <f>GLOBAL_DER_FEV_2023!F846</f>
        <v>0</v>
      </c>
      <c r="G846" s="912">
        <f>GLOBAL_DER_FEV_2023!G846</f>
        <v>0</v>
      </c>
      <c r="H846" s="901">
        <f>GLOBAL_DER_FEV_2023!H846</f>
        <v>0</v>
      </c>
      <c r="I846" s="901">
        <f>GLOBAL_DER_FEV_2023!I846</f>
        <v>0</v>
      </c>
      <c r="J846" s="890">
        <f>GLOBAL_DER_FEV_2023!J846</f>
        <v>0</v>
      </c>
      <c r="K846" s="903" t="str">
        <f>GLOBAL_DER_FEV_2023!K846</f>
        <v xml:space="preserve">     </v>
      </c>
      <c r="L846" s="1137"/>
      <c r="M846" s="922">
        <f t="shared" si="103"/>
        <v>0</v>
      </c>
      <c r="N846" s="1167">
        <f t="shared" si="107"/>
        <v>0</v>
      </c>
      <c r="O846" s="1165"/>
      <c r="Q846" s="317" t="str">
        <f t="shared" si="104"/>
        <v/>
      </c>
      <c r="R846" s="317" t="str">
        <f t="shared" si="105"/>
        <v/>
      </c>
      <c r="S846" s="317" t="str">
        <f t="shared" si="106"/>
        <v/>
      </c>
      <c r="T846" s="317" t="str">
        <f>GLOBAL_DER_FEV_2023!S846</f>
        <v/>
      </c>
      <c r="W846" s="582">
        <v>0</v>
      </c>
      <c r="X846" s="580"/>
      <c r="Y846" s="583">
        <f>IF(GLOBAL_DER_FEV_2023!W846=0,0,IF(GLOBAL_DER_FEV_2023!W846&gt;0,"c","b"))</f>
        <v>0</v>
      </c>
    </row>
    <row r="847" spans="1:25" x14ac:dyDescent="0.2">
      <c r="A847" s="640" t="s">
        <v>165</v>
      </c>
      <c r="B847" s="1036" t="str">
        <f>GLOBAL_DER_FEV_2023!B847</f>
        <v/>
      </c>
      <c r="C847" s="1072" t="str">
        <f>GLOBAL_DER_FEV_2023!C847</f>
        <v/>
      </c>
      <c r="D847" s="1141">
        <f>GLOBAL_DER_FEV_2023!D847</f>
        <v>0</v>
      </c>
      <c r="E847" s="907">
        <f>GLOBAL_DER_FEV_2023!E847</f>
        <v>0</v>
      </c>
      <c r="F847" s="908">
        <f>GLOBAL_DER_FEV_2023!F847</f>
        <v>0</v>
      </c>
      <c r="G847" s="912">
        <f>GLOBAL_DER_FEV_2023!G847</f>
        <v>0</v>
      </c>
      <c r="H847" s="901">
        <f>GLOBAL_DER_FEV_2023!H847</f>
        <v>0</v>
      </c>
      <c r="I847" s="901">
        <f>GLOBAL_DER_FEV_2023!I847</f>
        <v>0</v>
      </c>
      <c r="J847" s="890">
        <f>GLOBAL_DER_FEV_2023!J847</f>
        <v>0</v>
      </c>
      <c r="K847" s="903" t="str">
        <f>GLOBAL_DER_FEV_2023!K847</f>
        <v xml:space="preserve">     </v>
      </c>
      <c r="L847" s="1137"/>
      <c r="M847" s="922">
        <f t="shared" si="103"/>
        <v>0</v>
      </c>
      <c r="N847" s="1167">
        <f t="shared" si="107"/>
        <v>0</v>
      </c>
      <c r="O847" s="1165"/>
      <c r="Q847" s="317" t="str">
        <f t="shared" si="104"/>
        <v/>
      </c>
      <c r="R847" s="317" t="str">
        <f t="shared" si="105"/>
        <v/>
      </c>
      <c r="S847" s="317" t="str">
        <f t="shared" si="106"/>
        <v/>
      </c>
      <c r="T847" s="317" t="str">
        <f>GLOBAL_DER_FEV_2023!S847</f>
        <v/>
      </c>
      <c r="W847" s="582">
        <v>0</v>
      </c>
      <c r="X847" s="580"/>
      <c r="Y847" s="583">
        <f>IF(GLOBAL_DER_FEV_2023!W847=0,0,IF(GLOBAL_DER_FEV_2023!W847&gt;0,"c","b"))</f>
        <v>0</v>
      </c>
    </row>
    <row r="848" spans="1:25" x14ac:dyDescent="0.2">
      <c r="A848" s="640" t="s">
        <v>165</v>
      </c>
      <c r="B848" s="1036" t="str">
        <f>GLOBAL_DER_FEV_2023!B848</f>
        <v/>
      </c>
      <c r="C848" s="1072" t="str">
        <f>GLOBAL_DER_FEV_2023!C848</f>
        <v/>
      </c>
      <c r="D848" s="1141">
        <f>GLOBAL_DER_FEV_2023!D848</f>
        <v>0</v>
      </c>
      <c r="E848" s="907">
        <f>GLOBAL_DER_FEV_2023!E848</f>
        <v>0</v>
      </c>
      <c r="F848" s="908">
        <f>GLOBAL_DER_FEV_2023!F848</f>
        <v>0</v>
      </c>
      <c r="G848" s="912">
        <f>GLOBAL_DER_FEV_2023!G848</f>
        <v>0</v>
      </c>
      <c r="H848" s="901">
        <f>GLOBAL_DER_FEV_2023!H848</f>
        <v>0</v>
      </c>
      <c r="I848" s="901">
        <f>GLOBAL_DER_FEV_2023!I848</f>
        <v>0</v>
      </c>
      <c r="J848" s="890">
        <f>GLOBAL_DER_FEV_2023!J848</f>
        <v>0</v>
      </c>
      <c r="K848" s="903" t="str">
        <f>GLOBAL_DER_FEV_2023!K848</f>
        <v xml:space="preserve">     </v>
      </c>
      <c r="L848" s="1137"/>
      <c r="M848" s="922">
        <f t="shared" si="103"/>
        <v>0</v>
      </c>
      <c r="N848" s="1167">
        <f t="shared" si="107"/>
        <v>0</v>
      </c>
      <c r="O848" s="1165"/>
      <c r="Q848" s="317" t="str">
        <f t="shared" si="104"/>
        <v/>
      </c>
      <c r="R848" s="317" t="str">
        <f t="shared" si="105"/>
        <v/>
      </c>
      <c r="S848" s="317" t="str">
        <f t="shared" si="106"/>
        <v/>
      </c>
      <c r="T848" s="317" t="str">
        <f>GLOBAL_DER_FEV_2023!S848</f>
        <v/>
      </c>
      <c r="W848" s="582">
        <v>0</v>
      </c>
      <c r="X848" s="580"/>
      <c r="Y848" s="583">
        <f>IF(GLOBAL_DER_FEV_2023!W848=0,0,IF(GLOBAL_DER_FEV_2023!W848&gt;0,"c","b"))</f>
        <v>0</v>
      </c>
    </row>
    <row r="849" spans="1:25" x14ac:dyDescent="0.2">
      <c r="A849" s="640" t="s">
        <v>165</v>
      </c>
      <c r="B849" s="1036" t="str">
        <f>GLOBAL_DER_FEV_2023!B849</f>
        <v/>
      </c>
      <c r="C849" s="1072" t="str">
        <f>GLOBAL_DER_FEV_2023!C849</f>
        <v/>
      </c>
      <c r="D849" s="1141">
        <f>GLOBAL_DER_FEV_2023!D849</f>
        <v>0</v>
      </c>
      <c r="E849" s="907">
        <f>GLOBAL_DER_FEV_2023!E849</f>
        <v>0</v>
      </c>
      <c r="F849" s="908">
        <f>GLOBAL_DER_FEV_2023!F849</f>
        <v>0</v>
      </c>
      <c r="G849" s="912">
        <f>GLOBAL_DER_FEV_2023!G849</f>
        <v>0</v>
      </c>
      <c r="H849" s="901">
        <f>GLOBAL_DER_FEV_2023!H849</f>
        <v>0</v>
      </c>
      <c r="I849" s="901">
        <f>GLOBAL_DER_FEV_2023!I849</f>
        <v>0</v>
      </c>
      <c r="J849" s="890">
        <f>GLOBAL_DER_FEV_2023!J849</f>
        <v>0</v>
      </c>
      <c r="K849" s="903" t="str">
        <f>GLOBAL_DER_FEV_2023!K849</f>
        <v xml:space="preserve">     </v>
      </c>
      <c r="L849" s="1137"/>
      <c r="M849" s="922">
        <f t="shared" si="103"/>
        <v>0</v>
      </c>
      <c r="N849" s="1167">
        <f t="shared" si="107"/>
        <v>0</v>
      </c>
      <c r="O849" s="1165"/>
      <c r="Q849" s="317" t="str">
        <f t="shared" si="104"/>
        <v/>
      </c>
      <c r="R849" s="317" t="str">
        <f t="shared" si="105"/>
        <v/>
      </c>
      <c r="S849" s="317" t="str">
        <f t="shared" si="106"/>
        <v/>
      </c>
      <c r="T849" s="317" t="str">
        <f>GLOBAL_DER_FEV_2023!S849</f>
        <v/>
      </c>
      <c r="W849" s="582">
        <v>0</v>
      </c>
      <c r="X849" s="580"/>
      <c r="Y849" s="583">
        <f>IF(GLOBAL_DER_FEV_2023!W849=0,0,IF(GLOBAL_DER_FEV_2023!W849&gt;0,"c","b"))</f>
        <v>0</v>
      </c>
    </row>
    <row r="850" spans="1:25" x14ac:dyDescent="0.2">
      <c r="A850" s="640" t="s">
        <v>165</v>
      </c>
      <c r="B850" s="1036" t="str">
        <f>GLOBAL_DER_FEV_2023!B850</f>
        <v/>
      </c>
      <c r="C850" s="1072" t="str">
        <f>GLOBAL_DER_FEV_2023!C850</f>
        <v/>
      </c>
      <c r="D850" s="1141">
        <f>GLOBAL_DER_FEV_2023!D850</f>
        <v>0</v>
      </c>
      <c r="E850" s="907">
        <f>GLOBAL_DER_FEV_2023!E850</f>
        <v>0</v>
      </c>
      <c r="F850" s="908">
        <f>GLOBAL_DER_FEV_2023!F850</f>
        <v>0</v>
      </c>
      <c r="G850" s="912">
        <f>GLOBAL_DER_FEV_2023!G850</f>
        <v>0</v>
      </c>
      <c r="H850" s="901">
        <f>GLOBAL_DER_FEV_2023!H850</f>
        <v>0</v>
      </c>
      <c r="I850" s="901">
        <f>GLOBAL_DER_FEV_2023!I850</f>
        <v>0</v>
      </c>
      <c r="J850" s="890">
        <f>GLOBAL_DER_FEV_2023!J850</f>
        <v>0</v>
      </c>
      <c r="K850" s="903" t="str">
        <f>GLOBAL_DER_FEV_2023!K850</f>
        <v xml:space="preserve">     </v>
      </c>
      <c r="L850" s="1137"/>
      <c r="M850" s="922">
        <f t="shared" si="103"/>
        <v>0</v>
      </c>
      <c r="N850" s="1167">
        <f t="shared" si="107"/>
        <v>0</v>
      </c>
      <c r="O850" s="1165"/>
      <c r="Q850" s="317" t="str">
        <f t="shared" si="104"/>
        <v/>
      </c>
      <c r="R850" s="317" t="str">
        <f t="shared" si="105"/>
        <v/>
      </c>
      <c r="S850" s="317" t="str">
        <f t="shared" si="106"/>
        <v/>
      </c>
      <c r="T850" s="317" t="str">
        <f>GLOBAL_DER_FEV_2023!S850</f>
        <v/>
      </c>
      <c r="W850" s="582">
        <v>0</v>
      </c>
      <c r="X850" s="580"/>
      <c r="Y850" s="583">
        <f>IF(GLOBAL_DER_FEV_2023!W850=0,0,IF(GLOBAL_DER_FEV_2023!W850&gt;0,"c","b"))</f>
        <v>0</v>
      </c>
    </row>
    <row r="851" spans="1:25" x14ac:dyDescent="0.2">
      <c r="A851" s="640" t="s">
        <v>165</v>
      </c>
      <c r="B851" s="1036" t="str">
        <f>GLOBAL_DER_FEV_2023!B851</f>
        <v/>
      </c>
      <c r="C851" s="1072" t="str">
        <f>GLOBAL_DER_FEV_2023!C851</f>
        <v/>
      </c>
      <c r="D851" s="1141">
        <f>GLOBAL_DER_FEV_2023!D851</f>
        <v>0</v>
      </c>
      <c r="E851" s="907">
        <f>GLOBAL_DER_FEV_2023!E851</f>
        <v>0</v>
      </c>
      <c r="F851" s="908">
        <f>GLOBAL_DER_FEV_2023!F851</f>
        <v>0</v>
      </c>
      <c r="G851" s="912">
        <f>GLOBAL_DER_FEV_2023!G851</f>
        <v>0</v>
      </c>
      <c r="H851" s="901">
        <f>GLOBAL_DER_FEV_2023!H851</f>
        <v>0</v>
      </c>
      <c r="I851" s="901">
        <f>GLOBAL_DER_FEV_2023!I851</f>
        <v>0</v>
      </c>
      <c r="J851" s="890">
        <f>GLOBAL_DER_FEV_2023!J851</f>
        <v>0</v>
      </c>
      <c r="K851" s="903" t="str">
        <f>GLOBAL_DER_FEV_2023!K851</f>
        <v xml:space="preserve">     </v>
      </c>
      <c r="L851" s="1137"/>
      <c r="M851" s="922">
        <f t="shared" si="103"/>
        <v>0</v>
      </c>
      <c r="N851" s="1167">
        <f t="shared" si="107"/>
        <v>0</v>
      </c>
      <c r="O851" s="1165"/>
      <c r="Q851" s="317" t="str">
        <f t="shared" si="104"/>
        <v/>
      </c>
      <c r="R851" s="317" t="str">
        <f t="shared" si="105"/>
        <v/>
      </c>
      <c r="S851" s="317" t="str">
        <f t="shared" si="106"/>
        <v/>
      </c>
      <c r="T851" s="317" t="str">
        <f>GLOBAL_DER_FEV_2023!S851</f>
        <v/>
      </c>
      <c r="W851" s="582">
        <v>0</v>
      </c>
      <c r="X851" s="580"/>
      <c r="Y851" s="583">
        <f>IF(GLOBAL_DER_FEV_2023!W851=0,0,IF(GLOBAL_DER_FEV_2023!W851&gt;0,"c","b"))</f>
        <v>0</v>
      </c>
    </row>
    <row r="852" spans="1:25" ht="13.5" thickBot="1" x14ac:dyDescent="0.25">
      <c r="A852" s="640" t="s">
        <v>165</v>
      </c>
      <c r="B852" s="1036" t="str">
        <f>GLOBAL_DER_FEV_2023!B852</f>
        <v/>
      </c>
      <c r="C852" s="1072" t="str">
        <f>GLOBAL_DER_FEV_2023!C852</f>
        <v/>
      </c>
      <c r="D852" s="1141">
        <f>GLOBAL_DER_FEV_2023!D852</f>
        <v>0</v>
      </c>
      <c r="E852" s="907">
        <f>GLOBAL_DER_FEV_2023!E852</f>
        <v>0</v>
      </c>
      <c r="F852" s="908">
        <f>GLOBAL_DER_FEV_2023!F852</f>
        <v>0</v>
      </c>
      <c r="G852" s="912">
        <f>GLOBAL_DER_FEV_2023!G852</f>
        <v>0</v>
      </c>
      <c r="H852" s="901">
        <f>GLOBAL_DER_FEV_2023!H852</f>
        <v>0</v>
      </c>
      <c r="I852" s="901">
        <f>GLOBAL_DER_FEV_2023!I852</f>
        <v>0</v>
      </c>
      <c r="J852" s="890">
        <f>GLOBAL_DER_FEV_2023!J852</f>
        <v>0</v>
      </c>
      <c r="K852" s="903" t="str">
        <f>GLOBAL_DER_FEV_2023!K852</f>
        <v xml:space="preserve">     </v>
      </c>
      <c r="L852" s="1137"/>
      <c r="M852" s="922">
        <f t="shared" si="103"/>
        <v>0</v>
      </c>
      <c r="N852" s="1167">
        <f t="shared" si="107"/>
        <v>0</v>
      </c>
      <c r="O852" s="1165"/>
      <c r="Q852" s="317" t="str">
        <f t="shared" si="104"/>
        <v/>
      </c>
      <c r="R852" s="317" t="str">
        <f t="shared" si="105"/>
        <v/>
      </c>
      <c r="S852" s="317" t="str">
        <f t="shared" si="106"/>
        <v/>
      </c>
      <c r="T852" s="317" t="str">
        <f>GLOBAL_DER_FEV_2023!S852</f>
        <v/>
      </c>
      <c r="W852" s="582">
        <v>0</v>
      </c>
      <c r="X852" s="580"/>
      <c r="Y852" s="583">
        <f>IF(GLOBAL_DER_FEV_2023!W852=0,0,IF(GLOBAL_DER_FEV_2023!W852&gt;0,"c","b"))</f>
        <v>0</v>
      </c>
    </row>
    <row r="853" spans="1:25" ht="13.5" thickBot="1" x14ac:dyDescent="0.25">
      <c r="A853" s="317" t="s">
        <v>417</v>
      </c>
      <c r="B853" s="950" t="s">
        <v>417</v>
      </c>
      <c r="C853" s="951"/>
      <c r="D853" s="952" t="s">
        <v>436</v>
      </c>
      <c r="E853" s="943">
        <f>GLOBAL_DER_FEV_2023!E853</f>
        <v>0</v>
      </c>
      <c r="F853" s="876"/>
      <c r="G853" s="944"/>
      <c r="H853" s="945">
        <f>GLOBAL_DER_FEV_2023!H853</f>
        <v>0</v>
      </c>
      <c r="I853" s="945">
        <f>GLOBAL_DER_FEV_2023!I853</f>
        <v>0</v>
      </c>
      <c r="J853" s="945">
        <f>GLOBAL_DER_FEV_2023!J853</f>
        <v>0</v>
      </c>
      <c r="K853" s="878" t="s">
        <v>507</v>
      </c>
      <c r="L853" s="879"/>
      <c r="M853" s="880">
        <f t="shared" ref="M853:M911" si="108">IF(L853=0,0,ROUND(J853,2))</f>
        <v>0</v>
      </c>
      <c r="N853" s="881">
        <f t="shared" si="107"/>
        <v>0</v>
      </c>
      <c r="O853" s="882">
        <f>SUM(N854:N912)</f>
        <v>0</v>
      </c>
      <c r="P853" s="58" t="str">
        <f>IF(OR(O853&gt;0,O853&gt;0),"X","")</f>
        <v/>
      </c>
      <c r="Q853" s="317" t="str">
        <f t="shared" si="104"/>
        <v/>
      </c>
      <c r="R853" s="317" t="str">
        <f t="shared" si="105"/>
        <v/>
      </c>
      <c r="S853" s="317" t="str">
        <f t="shared" si="106"/>
        <v/>
      </c>
      <c r="T853" s="317" t="str">
        <f>GLOBAL_DER_FEV_2023!S853</f>
        <v>x</v>
      </c>
      <c r="W853" s="582">
        <v>0</v>
      </c>
      <c r="X853" s="580"/>
      <c r="Y853" s="583">
        <f>IF(GLOBAL_DER_FEV_2023!W853=0,0,IF(GLOBAL_DER_FEV_2023!W853&gt;0,"c","b"))</f>
        <v>0</v>
      </c>
    </row>
    <row r="854" spans="1:25" x14ac:dyDescent="0.2">
      <c r="A854" s="317">
        <v>813000</v>
      </c>
      <c r="B854" s="895">
        <v>813000</v>
      </c>
      <c r="C854" s="896" t="s">
        <v>184</v>
      </c>
      <c r="D854" s="906" t="s">
        <v>533</v>
      </c>
      <c r="E854" s="907">
        <f>GLOBAL_DER_FEV_2023!E854</f>
        <v>0</v>
      </c>
      <c r="F854" s="908">
        <f>GLOBAL_DER_FEV_2023!F854</f>
        <v>0</v>
      </c>
      <c r="G854" s="912">
        <f>GLOBAL_DER_FEV_2023!G854</f>
        <v>16.704728600000003</v>
      </c>
      <c r="H854" s="901">
        <f>GLOBAL_DER_FEV_2023!H854</f>
        <v>102.37</v>
      </c>
      <c r="I854" s="901">
        <f>GLOBAL_DER_FEV_2023!I854</f>
        <v>119.07472860000001</v>
      </c>
      <c r="J854" s="902">
        <f>GLOBAL_DER_FEV_2023!J854</f>
        <v>142.97</v>
      </c>
      <c r="K854" s="903" t="s">
        <v>13</v>
      </c>
      <c r="L854" s="1137"/>
      <c r="M854" s="1138">
        <f t="shared" si="108"/>
        <v>0</v>
      </c>
      <c r="N854" s="893">
        <f t="shared" si="107"/>
        <v>0</v>
      </c>
      <c r="O854" s="905"/>
      <c r="Q854" s="317" t="str">
        <f t="shared" si="104"/>
        <v/>
      </c>
      <c r="R854" s="317" t="str">
        <f t="shared" si="105"/>
        <v/>
      </c>
      <c r="S854" s="317" t="str">
        <f t="shared" si="106"/>
        <v/>
      </c>
      <c r="T854" s="317" t="str">
        <f>GLOBAL_DER_FEV_2023!S854</f>
        <v/>
      </c>
      <c r="W854" s="582">
        <v>0</v>
      </c>
      <c r="X854" s="580"/>
      <c r="Y854" s="583">
        <f>IF(GLOBAL_DER_FEV_2023!W854=0,0,IF(GLOBAL_DER_FEV_2023!W854&gt;0,"c","b"))</f>
        <v>0</v>
      </c>
    </row>
    <row r="855" spans="1:25" x14ac:dyDescent="0.2">
      <c r="A855" s="317" t="s">
        <v>147</v>
      </c>
      <c r="B855" s="895" t="s">
        <v>147</v>
      </c>
      <c r="C855" s="896"/>
      <c r="D855" s="957" t="s">
        <v>190</v>
      </c>
      <c r="E855" s="907">
        <f>GLOBAL_DER_FEV_2023!E855</f>
        <v>308</v>
      </c>
      <c r="F855" s="908">
        <f>GLOBAL_DER_FEV_2023!F855</f>
        <v>1.7600000000000001E-2</v>
      </c>
      <c r="G855" s="909">
        <f>GLOBAL_DER_FEV_2023!G855</f>
        <v>4.365856</v>
      </c>
      <c r="H855" s="901">
        <f>GLOBAL_DER_FEV_2023!H855</f>
        <v>0</v>
      </c>
      <c r="I855" s="901">
        <f>GLOBAL_DER_FEV_2023!I855</f>
        <v>0</v>
      </c>
      <c r="J855" s="902">
        <f>GLOBAL_DER_FEV_2023!J855</f>
        <v>0</v>
      </c>
      <c r="K855" s="958" t="s">
        <v>507</v>
      </c>
      <c r="L855" s="959"/>
      <c r="M855" s="1157">
        <f t="shared" si="108"/>
        <v>0</v>
      </c>
      <c r="N855" s="893">
        <f t="shared" si="107"/>
        <v>0</v>
      </c>
      <c r="O855" s="905"/>
      <c r="P855" s="58" t="str">
        <f>IF(N854&gt;0,"xx",IF(N854&gt;0,"xy",""))</f>
        <v/>
      </c>
      <c r="Q855" s="317" t="str">
        <f t="shared" si="104"/>
        <v/>
      </c>
      <c r="R855" s="317" t="str">
        <f t="shared" si="105"/>
        <v/>
      </c>
      <c r="S855" s="317" t="str">
        <f t="shared" si="106"/>
        <v/>
      </c>
      <c r="T855" s="317" t="str">
        <f>GLOBAL_DER_FEV_2023!S855</f>
        <v/>
      </c>
      <c r="W855" s="582">
        <v>0</v>
      </c>
      <c r="X855" s="580"/>
      <c r="Y855" s="583">
        <f>IF(GLOBAL_DER_FEV_2023!W855=0,0,IF(GLOBAL_DER_FEV_2023!W855&gt;0,"c","b"))</f>
        <v>0</v>
      </c>
    </row>
    <row r="856" spans="1:25" x14ac:dyDescent="0.2">
      <c r="A856" s="317" t="s">
        <v>147</v>
      </c>
      <c r="B856" s="895" t="s">
        <v>147</v>
      </c>
      <c r="C856" s="896"/>
      <c r="D856" s="957" t="s">
        <v>229</v>
      </c>
      <c r="E856" s="907">
        <f>GLOBAL_DER_FEV_2023!E856</f>
        <v>150</v>
      </c>
      <c r="F856" s="908">
        <f>GLOBAL_DER_FEV_2023!F856</f>
        <v>7.3400000000000007E-2</v>
      </c>
      <c r="G856" s="949">
        <f>GLOBAL_DER_FEV_2023!G856</f>
        <v>11.977412000000001</v>
      </c>
      <c r="H856" s="901">
        <f>GLOBAL_DER_FEV_2023!H856</f>
        <v>0</v>
      </c>
      <c r="I856" s="901">
        <f>GLOBAL_DER_FEV_2023!I856</f>
        <v>0</v>
      </c>
      <c r="J856" s="902">
        <f>GLOBAL_DER_FEV_2023!J856</f>
        <v>0</v>
      </c>
      <c r="K856" s="958" t="s">
        <v>507</v>
      </c>
      <c r="L856" s="959"/>
      <c r="M856" s="1157">
        <f t="shared" si="108"/>
        <v>0</v>
      </c>
      <c r="N856" s="893">
        <f t="shared" si="107"/>
        <v>0</v>
      </c>
      <c r="O856" s="905"/>
      <c r="P856" s="58" t="str">
        <f>IF(N854&gt;0,"xx",IF(N854&gt;0,"xy",""))</f>
        <v/>
      </c>
      <c r="Q856" s="317" t="str">
        <f t="shared" si="104"/>
        <v/>
      </c>
      <c r="R856" s="317" t="str">
        <f t="shared" si="105"/>
        <v/>
      </c>
      <c r="S856" s="317" t="str">
        <f t="shared" si="106"/>
        <v/>
      </c>
      <c r="T856" s="317" t="str">
        <f>GLOBAL_DER_FEV_2023!S856</f>
        <v/>
      </c>
      <c r="W856" s="582">
        <v>0</v>
      </c>
      <c r="X856" s="580"/>
      <c r="Y856" s="583">
        <f>IF(GLOBAL_DER_FEV_2023!W856=0,0,IF(GLOBAL_DER_FEV_2023!W856&gt;0,"c","b"))</f>
        <v>0</v>
      </c>
    </row>
    <row r="857" spans="1:25" x14ac:dyDescent="0.2">
      <c r="A857" s="317" t="s">
        <v>147</v>
      </c>
      <c r="B857" s="895" t="s">
        <v>147</v>
      </c>
      <c r="C857" s="896"/>
      <c r="D857" s="957" t="s">
        <v>233</v>
      </c>
      <c r="E857" s="907">
        <f>GLOBAL_DER_FEV_2023!E857</f>
        <v>0.2</v>
      </c>
      <c r="F857" s="908">
        <f>GLOBAL_DER_FEV_2023!F857</f>
        <v>0.1249</v>
      </c>
      <c r="G857" s="949">
        <f>GLOBAL_DER_FEV_2023!G857</f>
        <v>0.36146060000000002</v>
      </c>
      <c r="H857" s="901">
        <f>GLOBAL_DER_FEV_2023!H857</f>
        <v>0</v>
      </c>
      <c r="I857" s="901">
        <f>GLOBAL_DER_FEV_2023!I857</f>
        <v>0</v>
      </c>
      <c r="J857" s="902">
        <f>GLOBAL_DER_FEV_2023!J857</f>
        <v>0</v>
      </c>
      <c r="K857" s="958" t="s">
        <v>507</v>
      </c>
      <c r="L857" s="959"/>
      <c r="M857" s="1157">
        <f t="shared" si="108"/>
        <v>0</v>
      </c>
      <c r="N857" s="893">
        <f t="shared" si="107"/>
        <v>0</v>
      </c>
      <c r="O857" s="905"/>
      <c r="P857" s="58" t="str">
        <f>IF(N854&gt;0,"xx",IF(N854&gt;0,"xy",""))</f>
        <v/>
      </c>
      <c r="Q857" s="317" t="str">
        <f t="shared" si="104"/>
        <v/>
      </c>
      <c r="R857" s="317" t="str">
        <f t="shared" si="105"/>
        <v/>
      </c>
      <c r="S857" s="317" t="str">
        <f t="shared" si="106"/>
        <v/>
      </c>
      <c r="T857" s="317" t="str">
        <f>GLOBAL_DER_FEV_2023!S857</f>
        <v/>
      </c>
      <c r="W857" s="582">
        <v>0</v>
      </c>
      <c r="X857" s="580"/>
      <c r="Y857" s="583">
        <f>IF(GLOBAL_DER_FEV_2023!W857=0,0,IF(GLOBAL_DER_FEV_2023!W857&gt;0,"c","b"))</f>
        <v>0</v>
      </c>
    </row>
    <row r="858" spans="1:25" x14ac:dyDescent="0.2">
      <c r="A858" s="317">
        <v>814000</v>
      </c>
      <c r="B858" s="895">
        <v>814000</v>
      </c>
      <c r="C858" s="896" t="s">
        <v>184</v>
      </c>
      <c r="D858" s="906" t="s">
        <v>534</v>
      </c>
      <c r="E858" s="907">
        <f>GLOBAL_DER_FEV_2023!E858</f>
        <v>0</v>
      </c>
      <c r="F858" s="908">
        <f>GLOBAL_DER_FEV_2023!F858</f>
        <v>0</v>
      </c>
      <c r="G858" s="912">
        <f>GLOBAL_DER_FEV_2023!G858</f>
        <v>16.704728600000003</v>
      </c>
      <c r="H858" s="901">
        <f>GLOBAL_DER_FEV_2023!H858</f>
        <v>101.06</v>
      </c>
      <c r="I858" s="901">
        <f>GLOBAL_DER_FEV_2023!I858</f>
        <v>117.76472860000001</v>
      </c>
      <c r="J858" s="902">
        <f>GLOBAL_DER_FEV_2023!J858</f>
        <v>141.4</v>
      </c>
      <c r="K858" s="903" t="s">
        <v>13</v>
      </c>
      <c r="L858" s="1137"/>
      <c r="M858" s="1138">
        <f t="shared" si="108"/>
        <v>0</v>
      </c>
      <c r="N858" s="893">
        <f t="shared" si="107"/>
        <v>0</v>
      </c>
      <c r="O858" s="905"/>
      <c r="Q858" s="317" t="str">
        <f t="shared" si="104"/>
        <v/>
      </c>
      <c r="R858" s="317" t="str">
        <f t="shared" si="105"/>
        <v/>
      </c>
      <c r="S858" s="317" t="str">
        <f t="shared" si="106"/>
        <v/>
      </c>
      <c r="T858" s="317" t="str">
        <f>GLOBAL_DER_FEV_2023!S858</f>
        <v/>
      </c>
      <c r="W858" s="582">
        <v>0</v>
      </c>
      <c r="X858" s="580"/>
      <c r="Y858" s="583">
        <f>IF(GLOBAL_DER_FEV_2023!W858=0,0,IF(GLOBAL_DER_FEV_2023!W858&gt;0,"c","b"))</f>
        <v>0</v>
      </c>
    </row>
    <row r="859" spans="1:25" x14ac:dyDescent="0.2">
      <c r="A859" s="317" t="s">
        <v>147</v>
      </c>
      <c r="B859" s="895" t="s">
        <v>147</v>
      </c>
      <c r="C859" s="896"/>
      <c r="D859" s="957" t="s">
        <v>190</v>
      </c>
      <c r="E859" s="907">
        <f>GLOBAL_DER_FEV_2023!E859</f>
        <v>308</v>
      </c>
      <c r="F859" s="908">
        <f>GLOBAL_DER_FEV_2023!F859</f>
        <v>1.7600000000000001E-2</v>
      </c>
      <c r="G859" s="909">
        <f>GLOBAL_DER_FEV_2023!G859</f>
        <v>4.365856</v>
      </c>
      <c r="H859" s="901">
        <f>GLOBAL_DER_FEV_2023!H859</f>
        <v>0</v>
      </c>
      <c r="I859" s="901">
        <f>GLOBAL_DER_FEV_2023!I859</f>
        <v>0</v>
      </c>
      <c r="J859" s="902">
        <f>GLOBAL_DER_FEV_2023!J859</f>
        <v>0</v>
      </c>
      <c r="K859" s="958" t="s">
        <v>507</v>
      </c>
      <c r="L859" s="959"/>
      <c r="M859" s="1157">
        <f t="shared" si="108"/>
        <v>0</v>
      </c>
      <c r="N859" s="893">
        <f t="shared" si="107"/>
        <v>0</v>
      </c>
      <c r="O859" s="905"/>
      <c r="P859" s="58" t="str">
        <f>IF(N858&gt;0,"xx",IF(N858&gt;0,"xy",""))</f>
        <v/>
      </c>
      <c r="Q859" s="317" t="str">
        <f t="shared" ref="Q859:Q913" si="109">IF(P859="X","x",IF(P859="xx","x",IF(P859="xy","x",IF(P859="y","x",IF(OR(N859&gt;0,N859&gt;0),"x","")))))</f>
        <v/>
      </c>
      <c r="R859" s="317" t="str">
        <f t="shared" si="105"/>
        <v/>
      </c>
      <c r="S859" s="317" t="str">
        <f t="shared" si="106"/>
        <v/>
      </c>
      <c r="T859" s="317" t="str">
        <f>GLOBAL_DER_FEV_2023!S859</f>
        <v/>
      </c>
      <c r="W859" s="582">
        <v>0</v>
      </c>
      <c r="X859" s="580"/>
      <c r="Y859" s="583">
        <f>IF(GLOBAL_DER_FEV_2023!W859=0,0,IF(GLOBAL_DER_FEV_2023!W859&gt;0,"c","b"))</f>
        <v>0</v>
      </c>
    </row>
    <row r="860" spans="1:25" x14ac:dyDescent="0.2">
      <c r="A860" s="317" t="s">
        <v>147</v>
      </c>
      <c r="B860" s="895" t="s">
        <v>147</v>
      </c>
      <c r="C860" s="896"/>
      <c r="D860" s="957" t="s">
        <v>229</v>
      </c>
      <c r="E860" s="907">
        <f>GLOBAL_DER_FEV_2023!E860</f>
        <v>150</v>
      </c>
      <c r="F860" s="908">
        <f>GLOBAL_DER_FEV_2023!F860</f>
        <v>7.3400000000000007E-2</v>
      </c>
      <c r="G860" s="949">
        <f>GLOBAL_DER_FEV_2023!G860</f>
        <v>11.977412000000001</v>
      </c>
      <c r="H860" s="901">
        <f>GLOBAL_DER_FEV_2023!H860</f>
        <v>0</v>
      </c>
      <c r="I860" s="901">
        <f>GLOBAL_DER_FEV_2023!I860</f>
        <v>0</v>
      </c>
      <c r="J860" s="902">
        <f>GLOBAL_DER_FEV_2023!J860</f>
        <v>0</v>
      </c>
      <c r="K860" s="958" t="s">
        <v>507</v>
      </c>
      <c r="L860" s="959"/>
      <c r="M860" s="1157">
        <f t="shared" si="108"/>
        <v>0</v>
      </c>
      <c r="N860" s="893">
        <f t="shared" si="107"/>
        <v>0</v>
      </c>
      <c r="O860" s="905"/>
      <c r="P860" s="58" t="str">
        <f>IF(N858&gt;0,"xx",IF(N858&gt;0,"xy",""))</f>
        <v/>
      </c>
      <c r="Q860" s="317" t="str">
        <f t="shared" si="109"/>
        <v/>
      </c>
      <c r="R860" s="317" t="str">
        <f t="shared" si="105"/>
        <v/>
      </c>
      <c r="S860" s="317" t="str">
        <f t="shared" si="106"/>
        <v/>
      </c>
      <c r="T860" s="317" t="str">
        <f>GLOBAL_DER_FEV_2023!S860</f>
        <v/>
      </c>
      <c r="W860" s="582">
        <v>0</v>
      </c>
      <c r="X860" s="580"/>
      <c r="Y860" s="583">
        <f>IF(GLOBAL_DER_FEV_2023!W860=0,0,IF(GLOBAL_DER_FEV_2023!W860&gt;0,"c","b"))</f>
        <v>0</v>
      </c>
    </row>
    <row r="861" spans="1:25" x14ac:dyDescent="0.2">
      <c r="A861" s="317" t="s">
        <v>147</v>
      </c>
      <c r="B861" s="895" t="s">
        <v>147</v>
      </c>
      <c r="C861" s="896"/>
      <c r="D861" s="957" t="s">
        <v>233</v>
      </c>
      <c r="E861" s="907">
        <f>GLOBAL_DER_FEV_2023!E861</f>
        <v>0.2</v>
      </c>
      <c r="F861" s="908">
        <f>GLOBAL_DER_FEV_2023!F861</f>
        <v>0.1249</v>
      </c>
      <c r="G861" s="949">
        <f>GLOBAL_DER_FEV_2023!G861</f>
        <v>0.36146060000000002</v>
      </c>
      <c r="H861" s="901">
        <f>GLOBAL_DER_FEV_2023!H861</f>
        <v>0</v>
      </c>
      <c r="I861" s="901">
        <f>GLOBAL_DER_FEV_2023!I861</f>
        <v>0</v>
      </c>
      <c r="J861" s="902">
        <f>GLOBAL_DER_FEV_2023!J861</f>
        <v>0</v>
      </c>
      <c r="K861" s="958" t="s">
        <v>507</v>
      </c>
      <c r="L861" s="959"/>
      <c r="M861" s="1157">
        <f t="shared" si="108"/>
        <v>0</v>
      </c>
      <c r="N861" s="893">
        <f t="shared" si="107"/>
        <v>0</v>
      </c>
      <c r="O861" s="905"/>
      <c r="P861" s="58" t="str">
        <f>IF(N858&gt;0,"xx",IF(N858&gt;0,"xy",""))</f>
        <v/>
      </c>
      <c r="Q861" s="317" t="str">
        <f t="shared" si="109"/>
        <v/>
      </c>
      <c r="R861" s="317" t="str">
        <f t="shared" ref="R861:R913" si="110">IF(P861="X","x",IF(P861="y","x",IF(P861="xx","x",IF(N861&gt;0,"x",""))))</f>
        <v/>
      </c>
      <c r="S861" s="317" t="str">
        <f t="shared" ref="S861:S913" si="111">IF(P861="X","x",IF(N861&gt;0,"x",""))</f>
        <v/>
      </c>
      <c r="T861" s="317" t="str">
        <f>GLOBAL_DER_FEV_2023!S861</f>
        <v/>
      </c>
      <c r="W861" s="582">
        <v>0</v>
      </c>
      <c r="X861" s="580"/>
      <c r="Y861" s="583">
        <f>IF(GLOBAL_DER_FEV_2023!W861=0,0,IF(GLOBAL_DER_FEV_2023!W861&gt;0,"c","b"))</f>
        <v>0</v>
      </c>
    </row>
    <row r="862" spans="1:25" x14ac:dyDescent="0.2">
      <c r="A862" s="317">
        <v>823000</v>
      </c>
      <c r="B862" s="895" t="s">
        <v>1788</v>
      </c>
      <c r="C862" s="896" t="s">
        <v>184</v>
      </c>
      <c r="D862" s="906" t="s">
        <v>267</v>
      </c>
      <c r="E862" s="907">
        <f>GLOBAL_DER_FEV_2023!E862</f>
        <v>0</v>
      </c>
      <c r="F862" s="908">
        <f>GLOBAL_DER_FEV_2023!F862</f>
        <v>0</v>
      </c>
      <c r="G862" s="912">
        <f>GLOBAL_DER_FEV_2023!G862</f>
        <v>0</v>
      </c>
      <c r="H862" s="901">
        <f>GLOBAL_DER_FEV_2023!H862</f>
        <v>490.71</v>
      </c>
      <c r="I862" s="901">
        <f>GLOBAL_DER_FEV_2023!I862</f>
        <v>490.71</v>
      </c>
      <c r="J862" s="902">
        <f>GLOBAL_DER_FEV_2023!J862</f>
        <v>589.20000000000005</v>
      </c>
      <c r="K862" s="903" t="s">
        <v>13</v>
      </c>
      <c r="L862" s="1137"/>
      <c r="M862" s="1138">
        <f t="shared" si="108"/>
        <v>0</v>
      </c>
      <c r="N862" s="893">
        <f t="shared" si="107"/>
        <v>0</v>
      </c>
      <c r="O862" s="905"/>
      <c r="Q862" s="317" t="str">
        <f t="shared" si="109"/>
        <v/>
      </c>
      <c r="R862" s="317" t="str">
        <f t="shared" si="110"/>
        <v/>
      </c>
      <c r="S862" s="317" t="str">
        <f t="shared" si="111"/>
        <v/>
      </c>
      <c r="T862" s="317" t="str">
        <f>GLOBAL_DER_FEV_2023!S862</f>
        <v/>
      </c>
      <c r="W862" s="582">
        <v>0</v>
      </c>
      <c r="X862" s="580"/>
      <c r="Y862" s="583">
        <f>IF(GLOBAL_DER_FEV_2023!W862=0,0,IF(GLOBAL_DER_FEV_2023!W862&gt;0,"c","b"))</f>
        <v>0</v>
      </c>
    </row>
    <row r="863" spans="1:25" x14ac:dyDescent="0.2">
      <c r="A863" s="317">
        <v>871000</v>
      </c>
      <c r="B863" s="895">
        <v>871000</v>
      </c>
      <c r="C863" s="896" t="s">
        <v>184</v>
      </c>
      <c r="D863" s="906" t="s">
        <v>462</v>
      </c>
      <c r="E863" s="907">
        <f>GLOBAL_DER_FEV_2023!E863</f>
        <v>0</v>
      </c>
      <c r="F863" s="908">
        <f>GLOBAL_DER_FEV_2023!F863</f>
        <v>0</v>
      </c>
      <c r="G863" s="912">
        <f>GLOBAL_DER_FEV_2023!G863</f>
        <v>0</v>
      </c>
      <c r="H863" s="901">
        <f>GLOBAL_DER_FEV_2023!H863</f>
        <v>18.28</v>
      </c>
      <c r="I863" s="901">
        <f>GLOBAL_DER_FEV_2023!I863</f>
        <v>18.28</v>
      </c>
      <c r="J863" s="902">
        <f>GLOBAL_DER_FEV_2023!J863</f>
        <v>21.95</v>
      </c>
      <c r="K863" s="903" t="s">
        <v>15</v>
      </c>
      <c r="L863" s="1137"/>
      <c r="M863" s="1138">
        <f t="shared" si="108"/>
        <v>0</v>
      </c>
      <c r="N863" s="893">
        <f t="shared" si="107"/>
        <v>0</v>
      </c>
      <c r="O863" s="905"/>
      <c r="Q863" s="317" t="str">
        <f t="shared" si="109"/>
        <v/>
      </c>
      <c r="R863" s="317" t="str">
        <f t="shared" si="110"/>
        <v/>
      </c>
      <c r="S863" s="317" t="str">
        <f t="shared" si="111"/>
        <v/>
      </c>
      <c r="T863" s="317" t="str">
        <f>GLOBAL_DER_FEV_2023!S863</f>
        <v/>
      </c>
      <c r="W863" s="582">
        <v>0</v>
      </c>
      <c r="X863" s="580"/>
      <c r="Y863" s="583">
        <f>IF(GLOBAL_DER_FEV_2023!W863=0,0,IF(GLOBAL_DER_FEV_2023!W863&gt;0,"c","b"))</f>
        <v>0</v>
      </c>
    </row>
    <row r="864" spans="1:25" x14ac:dyDescent="0.2">
      <c r="A864" s="317">
        <v>870000</v>
      </c>
      <c r="B864" s="895">
        <v>870000</v>
      </c>
      <c r="C864" s="896" t="s">
        <v>184</v>
      </c>
      <c r="D864" s="906" t="s">
        <v>463</v>
      </c>
      <c r="E864" s="907">
        <f>GLOBAL_DER_FEV_2023!E864</f>
        <v>0</v>
      </c>
      <c r="F864" s="908">
        <f>GLOBAL_DER_FEV_2023!F864</f>
        <v>0</v>
      </c>
      <c r="G864" s="912">
        <f>GLOBAL_DER_FEV_2023!G864</f>
        <v>0</v>
      </c>
      <c r="H864" s="901">
        <f>GLOBAL_DER_FEV_2023!H864</f>
        <v>17.63</v>
      </c>
      <c r="I864" s="901">
        <f>GLOBAL_DER_FEV_2023!I864</f>
        <v>17.63</v>
      </c>
      <c r="J864" s="902">
        <f>GLOBAL_DER_FEV_2023!J864</f>
        <v>21.17</v>
      </c>
      <c r="K864" s="903" t="s">
        <v>15</v>
      </c>
      <c r="L864" s="1137"/>
      <c r="M864" s="1138">
        <f t="shared" si="108"/>
        <v>0</v>
      </c>
      <c r="N864" s="893">
        <f t="shared" si="107"/>
        <v>0</v>
      </c>
      <c r="O864" s="905"/>
      <c r="Q864" s="317" t="str">
        <f t="shared" si="109"/>
        <v/>
      </c>
      <c r="R864" s="317" t="str">
        <f t="shared" si="110"/>
        <v/>
      </c>
      <c r="S864" s="317" t="str">
        <f t="shared" si="111"/>
        <v/>
      </c>
      <c r="T864" s="317" t="str">
        <f>GLOBAL_DER_FEV_2023!S864</f>
        <v/>
      </c>
      <c r="W864" s="582">
        <v>0</v>
      </c>
      <c r="X864" s="580"/>
      <c r="Y864" s="583">
        <f>IF(GLOBAL_DER_FEV_2023!W864=0,0,IF(GLOBAL_DER_FEV_2023!W864&gt;0,"c","b"))</f>
        <v>0</v>
      </c>
    </row>
    <row r="865" spans="1:25" x14ac:dyDescent="0.2">
      <c r="A865" s="317">
        <v>873000</v>
      </c>
      <c r="B865" s="895">
        <v>873000</v>
      </c>
      <c r="C865" s="896" t="s">
        <v>184</v>
      </c>
      <c r="D865" s="906" t="s">
        <v>464</v>
      </c>
      <c r="E865" s="907">
        <f>GLOBAL_DER_FEV_2023!E865</f>
        <v>0</v>
      </c>
      <c r="F865" s="908">
        <f>GLOBAL_DER_FEV_2023!F865</f>
        <v>0</v>
      </c>
      <c r="G865" s="912">
        <f>GLOBAL_DER_FEV_2023!G865</f>
        <v>0</v>
      </c>
      <c r="H865" s="901">
        <f>GLOBAL_DER_FEV_2023!H865</f>
        <v>31.82</v>
      </c>
      <c r="I865" s="901">
        <f>GLOBAL_DER_FEV_2023!I865</f>
        <v>31.82</v>
      </c>
      <c r="J865" s="902">
        <f>GLOBAL_DER_FEV_2023!J865</f>
        <v>38.21</v>
      </c>
      <c r="K865" s="903" t="s">
        <v>15</v>
      </c>
      <c r="L865" s="1137"/>
      <c r="M865" s="1138">
        <f t="shared" si="108"/>
        <v>0</v>
      </c>
      <c r="N865" s="893">
        <f t="shared" ref="N865:N913" si="112">IF(ISBLANK(L865),0,IF(W865=0,ROUND(L865*M865,2),IF(W865="b",ROUNDDOWN(L865*M865,2),ROUNDUP(L865*M865,2))))</f>
        <v>0</v>
      </c>
      <c r="O865" s="905"/>
      <c r="Q865" s="317" t="str">
        <f t="shared" si="109"/>
        <v/>
      </c>
      <c r="R865" s="317" t="str">
        <f t="shared" si="110"/>
        <v/>
      </c>
      <c r="S865" s="317" t="str">
        <f t="shared" si="111"/>
        <v/>
      </c>
      <c r="T865" s="317" t="str">
        <f>GLOBAL_DER_FEV_2023!S865</f>
        <v/>
      </c>
      <c r="W865" s="582">
        <v>0</v>
      </c>
      <c r="X865" s="580"/>
      <c r="Y865" s="583">
        <f>IF(GLOBAL_DER_FEV_2023!W865=0,0,IF(GLOBAL_DER_FEV_2023!W865&gt;0,"c","b"))</f>
        <v>0</v>
      </c>
    </row>
    <row r="866" spans="1:25" x14ac:dyDescent="0.2">
      <c r="A866" s="317">
        <v>872000</v>
      </c>
      <c r="B866" s="895">
        <v>872000</v>
      </c>
      <c r="C866" s="896" t="s">
        <v>184</v>
      </c>
      <c r="D866" s="906" t="s">
        <v>465</v>
      </c>
      <c r="E866" s="907">
        <f>GLOBAL_DER_FEV_2023!E866</f>
        <v>0</v>
      </c>
      <c r="F866" s="908">
        <f>GLOBAL_DER_FEV_2023!F866</f>
        <v>0</v>
      </c>
      <c r="G866" s="912">
        <f>GLOBAL_DER_FEV_2023!G866</f>
        <v>0</v>
      </c>
      <c r="H866" s="901">
        <f>GLOBAL_DER_FEV_2023!H866</f>
        <v>31.05</v>
      </c>
      <c r="I866" s="901">
        <f>GLOBAL_DER_FEV_2023!I866</f>
        <v>31.05</v>
      </c>
      <c r="J866" s="902">
        <f>GLOBAL_DER_FEV_2023!J866</f>
        <v>37.28</v>
      </c>
      <c r="K866" s="903" t="s">
        <v>15</v>
      </c>
      <c r="L866" s="1137"/>
      <c r="M866" s="1138">
        <f t="shared" si="108"/>
        <v>0</v>
      </c>
      <c r="N866" s="893">
        <f t="shared" si="112"/>
        <v>0</v>
      </c>
      <c r="O866" s="905"/>
      <c r="Q866" s="317" t="str">
        <f t="shared" si="109"/>
        <v/>
      </c>
      <c r="R866" s="317" t="str">
        <f t="shared" si="110"/>
        <v/>
      </c>
      <c r="S866" s="317" t="str">
        <f t="shared" si="111"/>
        <v/>
      </c>
      <c r="T866" s="317" t="str">
        <f>GLOBAL_DER_FEV_2023!S866</f>
        <v/>
      </c>
      <c r="W866" s="582">
        <v>0</v>
      </c>
      <c r="X866" s="580"/>
      <c r="Y866" s="583">
        <f>IF(GLOBAL_DER_FEV_2023!W866=0,0,IF(GLOBAL_DER_FEV_2023!W866&gt;0,"c","b"))</f>
        <v>0</v>
      </c>
    </row>
    <row r="867" spans="1:25" x14ac:dyDescent="0.2">
      <c r="A867" s="317">
        <v>822000</v>
      </c>
      <c r="B867" s="895">
        <v>822000</v>
      </c>
      <c r="C867" s="896" t="s">
        <v>184</v>
      </c>
      <c r="D867" s="906" t="s">
        <v>461</v>
      </c>
      <c r="E867" s="907">
        <f>GLOBAL_DER_FEV_2023!E867</f>
        <v>0</v>
      </c>
      <c r="F867" s="908">
        <f>GLOBAL_DER_FEV_2023!F867</f>
        <v>0</v>
      </c>
      <c r="G867" s="912">
        <f>GLOBAL_DER_FEV_2023!G867</f>
        <v>0</v>
      </c>
      <c r="H867" s="901">
        <f>GLOBAL_DER_FEV_2023!H867</f>
        <v>30.86</v>
      </c>
      <c r="I867" s="901">
        <f>GLOBAL_DER_FEV_2023!I867</f>
        <v>30.86</v>
      </c>
      <c r="J867" s="902">
        <f>GLOBAL_DER_FEV_2023!J867</f>
        <v>37.049999999999997</v>
      </c>
      <c r="K867" s="903" t="s">
        <v>12</v>
      </c>
      <c r="L867" s="1137"/>
      <c r="M867" s="1138">
        <f t="shared" si="108"/>
        <v>0</v>
      </c>
      <c r="N867" s="893">
        <f t="shared" si="112"/>
        <v>0</v>
      </c>
      <c r="O867" s="905"/>
      <c r="Q867" s="317" t="str">
        <f t="shared" si="109"/>
        <v/>
      </c>
      <c r="R867" s="317" t="str">
        <f t="shared" si="110"/>
        <v/>
      </c>
      <c r="S867" s="317" t="str">
        <f t="shared" si="111"/>
        <v/>
      </c>
      <c r="T867" s="317" t="str">
        <f>GLOBAL_DER_FEV_2023!S867</f>
        <v>x</v>
      </c>
      <c r="W867" s="582">
        <v>0</v>
      </c>
      <c r="X867" s="580"/>
      <c r="Y867" s="583">
        <f>IF(GLOBAL_DER_FEV_2023!W867=0,0,IF(GLOBAL_DER_FEV_2023!W867&gt;0,"c","b"))</f>
        <v>0</v>
      </c>
    </row>
    <row r="868" spans="1:25" x14ac:dyDescent="0.2">
      <c r="A868" s="317">
        <v>820000</v>
      </c>
      <c r="B868" s="895" t="s">
        <v>302</v>
      </c>
      <c r="C868" s="896" t="s">
        <v>184</v>
      </c>
      <c r="D868" s="906" t="s">
        <v>286</v>
      </c>
      <c r="E868" s="907">
        <f>GLOBAL_DER_FEV_2023!E868</f>
        <v>0</v>
      </c>
      <c r="F868" s="908">
        <f>GLOBAL_DER_FEV_2023!F868</f>
        <v>0</v>
      </c>
      <c r="G868" s="912">
        <f>GLOBAL_DER_FEV_2023!G868</f>
        <v>0</v>
      </c>
      <c r="H868" s="901">
        <f>GLOBAL_DER_FEV_2023!H868</f>
        <v>542.29999999999995</v>
      </c>
      <c r="I868" s="901">
        <f>GLOBAL_DER_FEV_2023!I868</f>
        <v>542.29999999999995</v>
      </c>
      <c r="J868" s="902">
        <f>GLOBAL_DER_FEV_2023!J868</f>
        <v>651.14</v>
      </c>
      <c r="K868" s="903" t="s">
        <v>12</v>
      </c>
      <c r="L868" s="1137"/>
      <c r="M868" s="1138">
        <f t="shared" si="108"/>
        <v>0</v>
      </c>
      <c r="N868" s="893">
        <f t="shared" si="112"/>
        <v>0</v>
      </c>
      <c r="O868" s="905"/>
      <c r="Q868" s="317" t="str">
        <f t="shared" si="109"/>
        <v/>
      </c>
      <c r="R868" s="317" t="str">
        <f t="shared" si="110"/>
        <v/>
      </c>
      <c r="S868" s="317" t="str">
        <f t="shared" si="111"/>
        <v/>
      </c>
      <c r="T868" s="317" t="str">
        <f>GLOBAL_DER_FEV_2023!S868</f>
        <v/>
      </c>
      <c r="W868" s="582">
        <v>0</v>
      </c>
      <c r="X868" s="580"/>
      <c r="Y868" s="583">
        <f>IF(GLOBAL_DER_FEV_2023!W868=0,0,IF(GLOBAL_DER_FEV_2023!W868&gt;0,"c","b"))</f>
        <v>0</v>
      </c>
    </row>
    <row r="869" spans="1:25" x14ac:dyDescent="0.2">
      <c r="A869" s="317">
        <v>821000</v>
      </c>
      <c r="B869" s="895">
        <v>821000</v>
      </c>
      <c r="C869" s="896" t="s">
        <v>184</v>
      </c>
      <c r="D869" s="906" t="s">
        <v>287</v>
      </c>
      <c r="E869" s="907">
        <f>GLOBAL_DER_FEV_2023!E869</f>
        <v>0</v>
      </c>
      <c r="F869" s="908">
        <f>GLOBAL_DER_FEV_2023!F869</f>
        <v>0</v>
      </c>
      <c r="G869" s="912">
        <f>GLOBAL_DER_FEV_2023!G869</f>
        <v>0</v>
      </c>
      <c r="H869" s="901">
        <f>GLOBAL_DER_FEV_2023!H869</f>
        <v>167.69</v>
      </c>
      <c r="I869" s="901">
        <f>GLOBAL_DER_FEV_2023!I869</f>
        <v>167.69</v>
      </c>
      <c r="J869" s="902">
        <f>GLOBAL_DER_FEV_2023!J869</f>
        <v>201.35</v>
      </c>
      <c r="K869" s="903" t="s">
        <v>15</v>
      </c>
      <c r="L869" s="1137"/>
      <c r="M869" s="1138">
        <f t="shared" si="108"/>
        <v>0</v>
      </c>
      <c r="N869" s="893">
        <f t="shared" si="112"/>
        <v>0</v>
      </c>
      <c r="O869" s="905"/>
      <c r="Q869" s="317" t="str">
        <f t="shared" si="109"/>
        <v/>
      </c>
      <c r="R869" s="317" t="str">
        <f t="shared" si="110"/>
        <v/>
      </c>
      <c r="S869" s="317" t="str">
        <f t="shared" si="111"/>
        <v/>
      </c>
      <c r="T869" s="317" t="str">
        <f>GLOBAL_DER_FEV_2023!S869</f>
        <v/>
      </c>
      <c r="W869" s="582">
        <v>0</v>
      </c>
      <c r="X869" s="580"/>
      <c r="Y869" s="583">
        <f>IF(GLOBAL_DER_FEV_2023!W869=0,0,IF(GLOBAL_DER_FEV_2023!W869&gt;0,"c","b"))</f>
        <v>0</v>
      </c>
    </row>
    <row r="870" spans="1:25" x14ac:dyDescent="0.2">
      <c r="A870" s="317">
        <v>821300</v>
      </c>
      <c r="B870" s="895">
        <v>821300</v>
      </c>
      <c r="C870" s="896" t="s">
        <v>184</v>
      </c>
      <c r="D870" s="906" t="s">
        <v>288</v>
      </c>
      <c r="E870" s="907">
        <f>GLOBAL_DER_FEV_2023!E870</f>
        <v>0</v>
      </c>
      <c r="F870" s="908">
        <f>GLOBAL_DER_FEV_2023!F870</f>
        <v>0</v>
      </c>
      <c r="G870" s="912">
        <f>GLOBAL_DER_FEV_2023!G870</f>
        <v>0</v>
      </c>
      <c r="H870" s="901">
        <f>GLOBAL_DER_FEV_2023!H870</f>
        <v>416.52</v>
      </c>
      <c r="I870" s="901">
        <f>GLOBAL_DER_FEV_2023!I870</f>
        <v>416.52</v>
      </c>
      <c r="J870" s="902">
        <f>GLOBAL_DER_FEV_2023!J870</f>
        <v>500.12</v>
      </c>
      <c r="K870" s="903" t="s">
        <v>15</v>
      </c>
      <c r="L870" s="1137"/>
      <c r="M870" s="1138">
        <f t="shared" si="108"/>
        <v>0</v>
      </c>
      <c r="N870" s="893">
        <f t="shared" si="112"/>
        <v>0</v>
      </c>
      <c r="O870" s="905"/>
      <c r="Q870" s="317" t="str">
        <f t="shared" si="109"/>
        <v/>
      </c>
      <c r="R870" s="317" t="str">
        <f t="shared" si="110"/>
        <v/>
      </c>
      <c r="S870" s="317" t="str">
        <f t="shared" si="111"/>
        <v/>
      </c>
      <c r="T870" s="317" t="str">
        <f>GLOBAL_DER_FEV_2023!S870</f>
        <v/>
      </c>
      <c r="W870" s="582">
        <v>0</v>
      </c>
      <c r="X870" s="580"/>
      <c r="Y870" s="583">
        <f>IF(GLOBAL_DER_FEV_2023!W870=0,0,IF(GLOBAL_DER_FEV_2023!W870&gt;0,"c","b"))</f>
        <v>0</v>
      </c>
    </row>
    <row r="871" spans="1:25" x14ac:dyDescent="0.2">
      <c r="A871" s="317">
        <v>820000</v>
      </c>
      <c r="B871" s="895" t="s">
        <v>303</v>
      </c>
      <c r="C871" s="896" t="s">
        <v>184</v>
      </c>
      <c r="D871" s="906" t="s">
        <v>289</v>
      </c>
      <c r="E871" s="907">
        <f>GLOBAL_DER_FEV_2023!E871</f>
        <v>0</v>
      </c>
      <c r="F871" s="908">
        <f>GLOBAL_DER_FEV_2023!F871</f>
        <v>0</v>
      </c>
      <c r="G871" s="912">
        <f>GLOBAL_DER_FEV_2023!G871</f>
        <v>0</v>
      </c>
      <c r="H871" s="901">
        <f>GLOBAL_DER_FEV_2023!H871</f>
        <v>542.29999999999995</v>
      </c>
      <c r="I871" s="901">
        <f>GLOBAL_DER_FEV_2023!I871</f>
        <v>460.95499999999993</v>
      </c>
      <c r="J871" s="902">
        <f>GLOBAL_DER_FEV_2023!J871</f>
        <v>553.47</v>
      </c>
      <c r="K871" s="903" t="s">
        <v>15</v>
      </c>
      <c r="L871" s="1137"/>
      <c r="M871" s="1138">
        <f t="shared" si="108"/>
        <v>0</v>
      </c>
      <c r="N871" s="893">
        <f t="shared" si="112"/>
        <v>0</v>
      </c>
      <c r="O871" s="905"/>
      <c r="Q871" s="317" t="str">
        <f t="shared" si="109"/>
        <v/>
      </c>
      <c r="R871" s="317" t="str">
        <f t="shared" si="110"/>
        <v/>
      </c>
      <c r="S871" s="317" t="str">
        <f t="shared" si="111"/>
        <v/>
      </c>
      <c r="T871" s="317" t="str">
        <f>GLOBAL_DER_FEV_2023!S871</f>
        <v/>
      </c>
      <c r="W871" s="582">
        <v>0</v>
      </c>
      <c r="X871" s="580"/>
      <c r="Y871" s="583">
        <f>IF(GLOBAL_DER_FEV_2023!W871=0,0,IF(GLOBAL_DER_FEV_2023!W871&gt;0,"c","b"))</f>
        <v>0</v>
      </c>
    </row>
    <row r="872" spans="1:25" x14ac:dyDescent="0.2">
      <c r="A872" s="317">
        <v>820000</v>
      </c>
      <c r="B872" s="895" t="s">
        <v>304</v>
      </c>
      <c r="C872" s="896" t="s">
        <v>184</v>
      </c>
      <c r="D872" s="906" t="s">
        <v>290</v>
      </c>
      <c r="E872" s="907">
        <f>GLOBAL_DER_FEV_2023!E872</f>
        <v>0</v>
      </c>
      <c r="F872" s="908">
        <f>GLOBAL_DER_FEV_2023!F872</f>
        <v>0</v>
      </c>
      <c r="G872" s="912">
        <f>GLOBAL_DER_FEV_2023!G872</f>
        <v>0</v>
      </c>
      <c r="H872" s="901">
        <f>GLOBAL_DER_FEV_2023!H872</f>
        <v>542.29999999999995</v>
      </c>
      <c r="I872" s="901">
        <f>GLOBAL_DER_FEV_2023!I872</f>
        <v>460.95499999999993</v>
      </c>
      <c r="J872" s="902">
        <f>GLOBAL_DER_FEV_2023!J872</f>
        <v>553.47</v>
      </c>
      <c r="K872" s="903" t="s">
        <v>15</v>
      </c>
      <c r="L872" s="1137"/>
      <c r="M872" s="1138">
        <f t="shared" si="108"/>
        <v>0</v>
      </c>
      <c r="N872" s="893">
        <f t="shared" si="112"/>
        <v>0</v>
      </c>
      <c r="O872" s="905"/>
      <c r="Q872" s="317" t="str">
        <f t="shared" si="109"/>
        <v/>
      </c>
      <c r="R872" s="317" t="str">
        <f t="shared" si="110"/>
        <v/>
      </c>
      <c r="S872" s="317" t="str">
        <f t="shared" si="111"/>
        <v/>
      </c>
      <c r="T872" s="317" t="str">
        <f>GLOBAL_DER_FEV_2023!S872</f>
        <v/>
      </c>
      <c r="W872" s="582">
        <v>0</v>
      </c>
      <c r="X872" s="580"/>
      <c r="Y872" s="583">
        <f>IF(GLOBAL_DER_FEV_2023!W872=0,0,IF(GLOBAL_DER_FEV_2023!W872&gt;0,"c","b"))</f>
        <v>0</v>
      </c>
    </row>
    <row r="873" spans="1:25" x14ac:dyDescent="0.2">
      <c r="A873" s="317">
        <v>820000</v>
      </c>
      <c r="B873" s="895" t="s">
        <v>305</v>
      </c>
      <c r="C873" s="896" t="s">
        <v>184</v>
      </c>
      <c r="D873" s="906" t="s">
        <v>291</v>
      </c>
      <c r="E873" s="907">
        <f>GLOBAL_DER_FEV_2023!E873</f>
        <v>0</v>
      </c>
      <c r="F873" s="908">
        <f>GLOBAL_DER_FEV_2023!F873</f>
        <v>0</v>
      </c>
      <c r="G873" s="912">
        <f>GLOBAL_DER_FEV_2023!G873</f>
        <v>0</v>
      </c>
      <c r="H873" s="901">
        <f>GLOBAL_DER_FEV_2023!H873</f>
        <v>542.29999999999995</v>
      </c>
      <c r="I873" s="901">
        <f>GLOBAL_DER_FEV_2023!I873</f>
        <v>460.95499999999993</v>
      </c>
      <c r="J873" s="902">
        <f>GLOBAL_DER_FEV_2023!J873</f>
        <v>553.47</v>
      </c>
      <c r="K873" s="903" t="s">
        <v>15</v>
      </c>
      <c r="L873" s="1137"/>
      <c r="M873" s="1138">
        <f t="shared" si="108"/>
        <v>0</v>
      </c>
      <c r="N873" s="893">
        <f t="shared" si="112"/>
        <v>0</v>
      </c>
      <c r="O873" s="905"/>
      <c r="Q873" s="317" t="str">
        <f t="shared" si="109"/>
        <v/>
      </c>
      <c r="R873" s="317" t="str">
        <f t="shared" si="110"/>
        <v/>
      </c>
      <c r="S873" s="317" t="str">
        <f t="shared" si="111"/>
        <v/>
      </c>
      <c r="T873" s="317" t="str">
        <f>GLOBAL_DER_FEV_2023!S873</f>
        <v/>
      </c>
      <c r="W873" s="582">
        <v>0</v>
      </c>
      <c r="X873" s="580"/>
      <c r="Y873" s="583">
        <f>IF(GLOBAL_DER_FEV_2023!W873=0,0,IF(GLOBAL_DER_FEV_2023!W873&gt;0,"c","b"))</f>
        <v>0</v>
      </c>
    </row>
    <row r="874" spans="1:25" x14ac:dyDescent="0.2">
      <c r="A874" s="317">
        <v>820000</v>
      </c>
      <c r="B874" s="895" t="s">
        <v>306</v>
      </c>
      <c r="C874" s="896" t="s">
        <v>184</v>
      </c>
      <c r="D874" s="906" t="s">
        <v>292</v>
      </c>
      <c r="E874" s="907">
        <f>GLOBAL_DER_FEV_2023!E874</f>
        <v>0</v>
      </c>
      <c r="F874" s="908">
        <f>GLOBAL_DER_FEV_2023!F874</f>
        <v>0</v>
      </c>
      <c r="G874" s="912">
        <f>GLOBAL_DER_FEV_2023!G874</f>
        <v>0</v>
      </c>
      <c r="H874" s="901">
        <f>GLOBAL_DER_FEV_2023!H874</f>
        <v>542.29999999999995</v>
      </c>
      <c r="I874" s="901">
        <f>GLOBAL_DER_FEV_2023!I874</f>
        <v>460.95499999999993</v>
      </c>
      <c r="J874" s="902">
        <f>GLOBAL_DER_FEV_2023!J874</f>
        <v>553.47</v>
      </c>
      <c r="K874" s="903" t="s">
        <v>15</v>
      </c>
      <c r="L874" s="1137"/>
      <c r="M874" s="1138">
        <f t="shared" si="108"/>
        <v>0</v>
      </c>
      <c r="N874" s="893">
        <f t="shared" si="112"/>
        <v>0</v>
      </c>
      <c r="O874" s="905"/>
      <c r="Q874" s="317" t="str">
        <f t="shared" si="109"/>
        <v/>
      </c>
      <c r="R874" s="317" t="str">
        <f t="shared" si="110"/>
        <v/>
      </c>
      <c r="S874" s="317" t="str">
        <f t="shared" si="111"/>
        <v/>
      </c>
      <c r="T874" s="317" t="str">
        <f>GLOBAL_DER_FEV_2023!S874</f>
        <v/>
      </c>
      <c r="W874" s="582">
        <v>0</v>
      </c>
      <c r="X874" s="580"/>
      <c r="Y874" s="583">
        <f>IF(GLOBAL_DER_FEV_2023!W874=0,0,IF(GLOBAL_DER_FEV_2023!W874&gt;0,"c","b"))</f>
        <v>0</v>
      </c>
    </row>
    <row r="875" spans="1:25" x14ac:dyDescent="0.2">
      <c r="A875" s="317">
        <v>820000</v>
      </c>
      <c r="B875" s="895" t="s">
        <v>307</v>
      </c>
      <c r="C875" s="896" t="s">
        <v>184</v>
      </c>
      <c r="D875" s="906" t="s">
        <v>293</v>
      </c>
      <c r="E875" s="907">
        <f>GLOBAL_DER_FEV_2023!E875</f>
        <v>0</v>
      </c>
      <c r="F875" s="908">
        <f>GLOBAL_DER_FEV_2023!F875</f>
        <v>0</v>
      </c>
      <c r="G875" s="912">
        <f>GLOBAL_DER_FEV_2023!G875</f>
        <v>0</v>
      </c>
      <c r="H875" s="901">
        <f>GLOBAL_DER_FEV_2023!H875</f>
        <v>542.29999999999995</v>
      </c>
      <c r="I875" s="901">
        <f>GLOBAL_DER_FEV_2023!I875</f>
        <v>542.29999999999995</v>
      </c>
      <c r="J875" s="902">
        <f>GLOBAL_DER_FEV_2023!J875</f>
        <v>651.14</v>
      </c>
      <c r="K875" s="903" t="s">
        <v>15</v>
      </c>
      <c r="L875" s="1137"/>
      <c r="M875" s="1138">
        <f t="shared" si="108"/>
        <v>0</v>
      </c>
      <c r="N875" s="893">
        <f t="shared" si="112"/>
        <v>0</v>
      </c>
      <c r="O875" s="905"/>
      <c r="Q875" s="317" t="str">
        <f t="shared" si="109"/>
        <v/>
      </c>
      <c r="R875" s="317" t="str">
        <f t="shared" si="110"/>
        <v/>
      </c>
      <c r="S875" s="317" t="str">
        <f t="shared" si="111"/>
        <v/>
      </c>
      <c r="T875" s="317" t="str">
        <f>GLOBAL_DER_FEV_2023!S875</f>
        <v/>
      </c>
      <c r="W875" s="582">
        <v>0</v>
      </c>
      <c r="X875" s="580"/>
      <c r="Y875" s="583">
        <f>IF(GLOBAL_DER_FEV_2023!W875=0,0,IF(GLOBAL_DER_FEV_2023!W875&gt;0,"c","b"))</f>
        <v>0</v>
      </c>
    </row>
    <row r="876" spans="1:25" x14ac:dyDescent="0.2">
      <c r="A876" s="317">
        <v>820000</v>
      </c>
      <c r="B876" s="895" t="s">
        <v>308</v>
      </c>
      <c r="C876" s="896" t="s">
        <v>184</v>
      </c>
      <c r="D876" s="906" t="s">
        <v>294</v>
      </c>
      <c r="E876" s="907">
        <f>GLOBAL_DER_FEV_2023!E876</f>
        <v>0</v>
      </c>
      <c r="F876" s="908">
        <f>GLOBAL_DER_FEV_2023!F876</f>
        <v>0</v>
      </c>
      <c r="G876" s="912">
        <f>GLOBAL_DER_FEV_2023!G876</f>
        <v>0</v>
      </c>
      <c r="H876" s="901">
        <f>GLOBAL_DER_FEV_2023!H876</f>
        <v>542.29999999999995</v>
      </c>
      <c r="I876" s="901">
        <f>GLOBAL_DER_FEV_2023!I876</f>
        <v>542.29999999999995</v>
      </c>
      <c r="J876" s="902">
        <f>GLOBAL_DER_FEV_2023!J876</f>
        <v>651.14</v>
      </c>
      <c r="K876" s="903" t="s">
        <v>15</v>
      </c>
      <c r="L876" s="1137"/>
      <c r="M876" s="1138">
        <f t="shared" si="108"/>
        <v>0</v>
      </c>
      <c r="N876" s="893">
        <f t="shared" si="112"/>
        <v>0</v>
      </c>
      <c r="O876" s="905"/>
      <c r="Q876" s="317" t="str">
        <f t="shared" si="109"/>
        <v/>
      </c>
      <c r="R876" s="317" t="str">
        <f t="shared" si="110"/>
        <v/>
      </c>
      <c r="S876" s="317" t="str">
        <f t="shared" si="111"/>
        <v/>
      </c>
      <c r="T876" s="317" t="str">
        <f>GLOBAL_DER_FEV_2023!S876</f>
        <v/>
      </c>
      <c r="W876" s="582">
        <v>0</v>
      </c>
      <c r="X876" s="580"/>
      <c r="Y876" s="583">
        <f>IF(GLOBAL_DER_FEV_2023!W876=0,0,IF(GLOBAL_DER_FEV_2023!W876&gt;0,"c","b"))</f>
        <v>0</v>
      </c>
    </row>
    <row r="877" spans="1:25" x14ac:dyDescent="0.2">
      <c r="A877" s="317">
        <v>820000</v>
      </c>
      <c r="B877" s="895" t="s">
        <v>309</v>
      </c>
      <c r="C877" s="896" t="s">
        <v>184</v>
      </c>
      <c r="D877" s="906" t="s">
        <v>295</v>
      </c>
      <c r="E877" s="907">
        <f>GLOBAL_DER_FEV_2023!E877</f>
        <v>0</v>
      </c>
      <c r="F877" s="908">
        <f>GLOBAL_DER_FEV_2023!F877</f>
        <v>0</v>
      </c>
      <c r="G877" s="912">
        <f>GLOBAL_DER_FEV_2023!G877</f>
        <v>0</v>
      </c>
      <c r="H877" s="901">
        <f>GLOBAL_DER_FEV_2023!H877</f>
        <v>542.29999999999995</v>
      </c>
      <c r="I877" s="901">
        <f>GLOBAL_DER_FEV_2023!I877</f>
        <v>542.29999999999995</v>
      </c>
      <c r="J877" s="902">
        <f>GLOBAL_DER_FEV_2023!J877</f>
        <v>651.14</v>
      </c>
      <c r="K877" s="903" t="s">
        <v>15</v>
      </c>
      <c r="L877" s="1137"/>
      <c r="M877" s="1138">
        <f t="shared" si="108"/>
        <v>0</v>
      </c>
      <c r="N877" s="893">
        <f t="shared" si="112"/>
        <v>0</v>
      </c>
      <c r="O877" s="905"/>
      <c r="Q877" s="317" t="str">
        <f t="shared" si="109"/>
        <v/>
      </c>
      <c r="R877" s="317" t="str">
        <f t="shared" si="110"/>
        <v/>
      </c>
      <c r="S877" s="317" t="str">
        <f t="shared" si="111"/>
        <v/>
      </c>
      <c r="T877" s="317" t="str">
        <f>GLOBAL_DER_FEV_2023!S877</f>
        <v/>
      </c>
      <c r="W877" s="582">
        <v>0</v>
      </c>
      <c r="X877" s="580"/>
      <c r="Y877" s="583">
        <f>IF(GLOBAL_DER_FEV_2023!W877=0,0,IF(GLOBAL_DER_FEV_2023!W877&gt;0,"c","b"))</f>
        <v>0</v>
      </c>
    </row>
    <row r="878" spans="1:25" x14ac:dyDescent="0.2">
      <c r="A878" s="317">
        <v>820000</v>
      </c>
      <c r="B878" s="895" t="s">
        <v>512</v>
      </c>
      <c r="C878" s="896" t="s">
        <v>184</v>
      </c>
      <c r="D878" s="906" t="s">
        <v>296</v>
      </c>
      <c r="E878" s="907">
        <f>GLOBAL_DER_FEV_2023!E878</f>
        <v>0</v>
      </c>
      <c r="F878" s="908">
        <f>GLOBAL_DER_FEV_2023!F878</f>
        <v>0</v>
      </c>
      <c r="G878" s="912">
        <f>GLOBAL_DER_FEV_2023!G878</f>
        <v>0</v>
      </c>
      <c r="H878" s="901">
        <f>GLOBAL_DER_FEV_2023!H878</f>
        <v>542.29999999999995</v>
      </c>
      <c r="I878" s="901">
        <f>GLOBAL_DER_FEV_2023!I878</f>
        <v>542.29999999999995</v>
      </c>
      <c r="J878" s="902">
        <f>GLOBAL_DER_FEV_2023!J878</f>
        <v>651.14</v>
      </c>
      <c r="K878" s="903" t="s">
        <v>15</v>
      </c>
      <c r="L878" s="1139"/>
      <c r="M878" s="1140">
        <f t="shared" si="108"/>
        <v>0</v>
      </c>
      <c r="N878" s="893">
        <f t="shared" si="112"/>
        <v>0</v>
      </c>
      <c r="O878" s="905"/>
      <c r="Q878" s="317" t="str">
        <f t="shared" si="109"/>
        <v/>
      </c>
      <c r="R878" s="317" t="str">
        <f t="shared" si="110"/>
        <v/>
      </c>
      <c r="S878" s="317" t="str">
        <f t="shared" si="111"/>
        <v/>
      </c>
      <c r="T878" s="317" t="str">
        <f>GLOBAL_DER_FEV_2023!S878</f>
        <v/>
      </c>
      <c r="W878" s="582">
        <v>0</v>
      </c>
      <c r="X878" s="580"/>
      <c r="Y878" s="583">
        <f>IF(GLOBAL_DER_FEV_2023!W878=0,0,IF(GLOBAL_DER_FEV_2023!W878&gt;0,"c","b"))</f>
        <v>0</v>
      </c>
    </row>
    <row r="879" spans="1:25" ht="22.5" x14ac:dyDescent="0.2">
      <c r="A879" s="317">
        <v>820000</v>
      </c>
      <c r="B879" s="895" t="s">
        <v>1790</v>
      </c>
      <c r="C879" s="896" t="s">
        <v>184</v>
      </c>
      <c r="D879" s="906" t="s">
        <v>529</v>
      </c>
      <c r="E879" s="907">
        <f>GLOBAL_DER_FEV_2023!E879</f>
        <v>0</v>
      </c>
      <c r="F879" s="908">
        <f>GLOBAL_DER_FEV_2023!F879</f>
        <v>0</v>
      </c>
      <c r="G879" s="912">
        <f>GLOBAL_DER_FEV_2023!G879</f>
        <v>0</v>
      </c>
      <c r="H879" s="901">
        <f>GLOBAL_DER_FEV_2023!H879</f>
        <v>542.29999999999995</v>
      </c>
      <c r="I879" s="901">
        <f>GLOBAL_DER_FEV_2023!I879</f>
        <v>542.29999999999995</v>
      </c>
      <c r="J879" s="902">
        <f>GLOBAL_DER_FEV_2023!J879</f>
        <v>651.14</v>
      </c>
      <c r="K879" s="903" t="s">
        <v>15</v>
      </c>
      <c r="L879" s="1139"/>
      <c r="M879" s="1140">
        <f t="shared" si="108"/>
        <v>0</v>
      </c>
      <c r="N879" s="893">
        <f t="shared" si="112"/>
        <v>0</v>
      </c>
      <c r="O879" s="905"/>
      <c r="Q879" s="317" t="str">
        <f t="shared" si="109"/>
        <v/>
      </c>
      <c r="R879" s="317" t="str">
        <f t="shared" si="110"/>
        <v/>
      </c>
      <c r="S879" s="317" t="str">
        <f t="shared" si="111"/>
        <v/>
      </c>
      <c r="T879" s="317" t="str">
        <f>GLOBAL_DER_FEV_2023!S879</f>
        <v/>
      </c>
      <c r="W879" s="582">
        <v>0</v>
      </c>
      <c r="X879" s="580"/>
      <c r="Y879" s="583">
        <f>IF(GLOBAL_DER_FEV_2023!W879=0,0,IF(GLOBAL_DER_FEV_2023!W879&gt;0,"c","b"))</f>
        <v>0</v>
      </c>
    </row>
    <row r="880" spans="1:25" ht="15" customHeight="1" x14ac:dyDescent="0.2">
      <c r="B880" s="1170" t="s">
        <v>165</v>
      </c>
      <c r="C880" s="914"/>
      <c r="D880" s="915" t="s">
        <v>437</v>
      </c>
      <c r="E880" s="916">
        <f>GLOBAL_DER_FEV_2023!E880</f>
        <v>0</v>
      </c>
      <c r="F880" s="917">
        <f>GLOBAL_DER_FEV_2023!F880</f>
        <v>0</v>
      </c>
      <c r="G880" s="918">
        <f>GLOBAL_DER_FEV_2023!G880</f>
        <v>0</v>
      </c>
      <c r="H880" s="919">
        <f>GLOBAL_DER_FEV_2023!H880</f>
        <v>0</v>
      </c>
      <c r="I880" s="919">
        <f>GLOBAL_DER_FEV_2023!I880</f>
        <v>0</v>
      </c>
      <c r="J880" s="919">
        <f>GLOBAL_DER_FEV_2023!J880</f>
        <v>0</v>
      </c>
      <c r="K880" s="920" t="s">
        <v>507</v>
      </c>
      <c r="L880" s="921"/>
      <c r="M880" s="1140">
        <f t="shared" si="108"/>
        <v>0</v>
      </c>
      <c r="N880" s="893">
        <f t="shared" si="112"/>
        <v>0</v>
      </c>
      <c r="O880" s="905"/>
      <c r="P880" s="58" t="str">
        <f>IF(OR(SUM(N881:N912)&gt;0,SUM(N881:N912)&gt;0),"y","")</f>
        <v/>
      </c>
      <c r="Q880" s="317" t="str">
        <f t="shared" si="109"/>
        <v/>
      </c>
      <c r="R880" s="317" t="str">
        <f t="shared" si="110"/>
        <v/>
      </c>
      <c r="S880" s="317" t="str">
        <f t="shared" si="111"/>
        <v/>
      </c>
      <c r="T880" s="317" t="str">
        <f>GLOBAL_DER_FEV_2023!S880</f>
        <v/>
      </c>
      <c r="W880" s="582">
        <v>0</v>
      </c>
      <c r="X880" s="580"/>
      <c r="Y880" s="583">
        <f>IF(GLOBAL_DER_FEV_2023!W880=0,0,IF(GLOBAL_DER_FEV_2023!W880&gt;0,"c","b"))</f>
        <v>0</v>
      </c>
    </row>
    <row r="881" spans="1:25" ht="15" customHeight="1" x14ac:dyDescent="0.2">
      <c r="B881" s="1036" t="str">
        <f>GLOBAL_DER_FEV_2023!B881</f>
        <v/>
      </c>
      <c r="C881" s="1072" t="str">
        <f>GLOBAL_DER_FEV_2023!C881</f>
        <v/>
      </c>
      <c r="D881" s="1141">
        <f>GLOBAL_DER_FEV_2023!D881</f>
        <v>0</v>
      </c>
      <c r="E881" s="907">
        <f>GLOBAL_DER_FEV_2023!E881</f>
        <v>0</v>
      </c>
      <c r="F881" s="908">
        <f>GLOBAL_DER_FEV_2023!F881</f>
        <v>0</v>
      </c>
      <c r="G881" s="912">
        <f>GLOBAL_DER_FEV_2023!G881</f>
        <v>0</v>
      </c>
      <c r="H881" s="901">
        <f>GLOBAL_DER_FEV_2023!H881</f>
        <v>0</v>
      </c>
      <c r="I881" s="901">
        <f>GLOBAL_DER_FEV_2023!I881</f>
        <v>0</v>
      </c>
      <c r="J881" s="902">
        <f>GLOBAL_DER_FEV_2023!J881</f>
        <v>0</v>
      </c>
      <c r="K881" s="903" t="str">
        <f>GLOBAL_DER_FEV_2023!K881</f>
        <v xml:space="preserve">     </v>
      </c>
      <c r="L881" s="1137"/>
      <c r="M881" s="1140">
        <f t="shared" si="108"/>
        <v>0</v>
      </c>
      <c r="N881" s="1166">
        <f t="shared" si="112"/>
        <v>0</v>
      </c>
      <c r="O881" s="1165"/>
      <c r="Q881" s="317" t="str">
        <f t="shared" si="109"/>
        <v/>
      </c>
      <c r="R881" s="317" t="str">
        <f t="shared" si="110"/>
        <v/>
      </c>
      <c r="S881" s="317" t="str">
        <f t="shared" si="111"/>
        <v/>
      </c>
      <c r="T881" s="317" t="str">
        <f>GLOBAL_DER_FEV_2023!S881</f>
        <v/>
      </c>
      <c r="W881" s="582">
        <v>0</v>
      </c>
      <c r="X881" s="580"/>
      <c r="Y881" s="583">
        <f>IF(GLOBAL_DER_FEV_2023!W881=0,0,IF(GLOBAL_DER_FEV_2023!W881&gt;0,"c","b"))</f>
        <v>0</v>
      </c>
    </row>
    <row r="882" spans="1:25" ht="15" customHeight="1" x14ac:dyDescent="0.2">
      <c r="A882" s="640" t="s">
        <v>165</v>
      </c>
      <c r="B882" s="1036" t="str">
        <f>GLOBAL_DER_FEV_2023!B882</f>
        <v/>
      </c>
      <c r="C882" s="1072" t="str">
        <f>GLOBAL_DER_FEV_2023!C882</f>
        <v/>
      </c>
      <c r="D882" s="1141">
        <f>GLOBAL_DER_FEV_2023!D882</f>
        <v>0</v>
      </c>
      <c r="E882" s="907">
        <f>GLOBAL_DER_FEV_2023!E882</f>
        <v>0</v>
      </c>
      <c r="F882" s="908">
        <f>GLOBAL_DER_FEV_2023!F882</f>
        <v>0</v>
      </c>
      <c r="G882" s="912">
        <f>GLOBAL_DER_FEV_2023!G882</f>
        <v>0</v>
      </c>
      <c r="H882" s="901">
        <f>GLOBAL_DER_FEV_2023!H882</f>
        <v>0</v>
      </c>
      <c r="I882" s="901">
        <f>GLOBAL_DER_FEV_2023!I882</f>
        <v>0</v>
      </c>
      <c r="J882" s="890">
        <f>GLOBAL_DER_FEV_2023!J882</f>
        <v>0</v>
      </c>
      <c r="K882" s="903" t="str">
        <f>GLOBAL_DER_FEV_2023!K882</f>
        <v xml:space="preserve">     </v>
      </c>
      <c r="L882" s="1137"/>
      <c r="M882" s="1140">
        <f t="shared" si="108"/>
        <v>0</v>
      </c>
      <c r="N882" s="1167">
        <f t="shared" si="112"/>
        <v>0</v>
      </c>
      <c r="O882" s="1165"/>
      <c r="Q882" s="317" t="str">
        <f t="shared" si="109"/>
        <v/>
      </c>
      <c r="R882" s="317" t="str">
        <f t="shared" si="110"/>
        <v/>
      </c>
      <c r="S882" s="317" t="str">
        <f t="shared" si="111"/>
        <v/>
      </c>
      <c r="T882" s="317" t="str">
        <f>GLOBAL_DER_FEV_2023!S882</f>
        <v/>
      </c>
      <c r="W882" s="582">
        <v>0</v>
      </c>
      <c r="X882" s="580"/>
      <c r="Y882" s="583">
        <f>IF(GLOBAL_DER_FEV_2023!W882=0,0,IF(GLOBAL_DER_FEV_2023!W882&gt;0,"c","b"))</f>
        <v>0</v>
      </c>
    </row>
    <row r="883" spans="1:25" ht="15" customHeight="1" x14ac:dyDescent="0.2">
      <c r="A883" s="640" t="s">
        <v>165</v>
      </c>
      <c r="B883" s="1036" t="str">
        <f>GLOBAL_DER_FEV_2023!B883</f>
        <v/>
      </c>
      <c r="C883" s="1072" t="str">
        <f>GLOBAL_DER_FEV_2023!C883</f>
        <v/>
      </c>
      <c r="D883" s="1141">
        <f>GLOBAL_DER_FEV_2023!D883</f>
        <v>0</v>
      </c>
      <c r="E883" s="907">
        <f>GLOBAL_DER_FEV_2023!E883</f>
        <v>0</v>
      </c>
      <c r="F883" s="908">
        <f>GLOBAL_DER_FEV_2023!F883</f>
        <v>0</v>
      </c>
      <c r="G883" s="912">
        <f>GLOBAL_DER_FEV_2023!G883</f>
        <v>0</v>
      </c>
      <c r="H883" s="901">
        <f>GLOBAL_DER_FEV_2023!H883</f>
        <v>0</v>
      </c>
      <c r="I883" s="901">
        <f>GLOBAL_DER_FEV_2023!I883</f>
        <v>0</v>
      </c>
      <c r="J883" s="890">
        <f>GLOBAL_DER_FEV_2023!J883</f>
        <v>0</v>
      </c>
      <c r="K883" s="903" t="str">
        <f>GLOBAL_DER_FEV_2023!K883</f>
        <v xml:space="preserve">     </v>
      </c>
      <c r="L883" s="1137"/>
      <c r="M883" s="1140">
        <f t="shared" si="108"/>
        <v>0</v>
      </c>
      <c r="N883" s="1167">
        <f t="shared" si="112"/>
        <v>0</v>
      </c>
      <c r="O883" s="1165"/>
      <c r="Q883" s="317" t="str">
        <f t="shared" si="109"/>
        <v/>
      </c>
      <c r="R883" s="317" t="str">
        <f t="shared" si="110"/>
        <v/>
      </c>
      <c r="S883" s="317" t="str">
        <f t="shared" si="111"/>
        <v/>
      </c>
      <c r="T883" s="317" t="str">
        <f>GLOBAL_DER_FEV_2023!S883</f>
        <v/>
      </c>
      <c r="W883" s="582">
        <v>0</v>
      </c>
      <c r="X883" s="580"/>
      <c r="Y883" s="583">
        <f>IF(GLOBAL_DER_FEV_2023!W883=0,0,IF(GLOBAL_DER_FEV_2023!W883&gt;0,"c","b"))</f>
        <v>0</v>
      </c>
    </row>
    <row r="884" spans="1:25" ht="15" customHeight="1" x14ac:dyDescent="0.2">
      <c r="A884" s="640" t="s">
        <v>165</v>
      </c>
      <c r="B884" s="1036" t="str">
        <f>GLOBAL_DER_FEV_2023!B884</f>
        <v/>
      </c>
      <c r="C884" s="1072" t="str">
        <f>GLOBAL_DER_FEV_2023!C884</f>
        <v/>
      </c>
      <c r="D884" s="1141">
        <f>GLOBAL_DER_FEV_2023!D884</f>
        <v>0</v>
      </c>
      <c r="E884" s="907">
        <f>GLOBAL_DER_FEV_2023!E884</f>
        <v>0</v>
      </c>
      <c r="F884" s="908">
        <f>GLOBAL_DER_FEV_2023!F884</f>
        <v>0</v>
      </c>
      <c r="G884" s="912">
        <f>GLOBAL_DER_FEV_2023!G884</f>
        <v>0</v>
      </c>
      <c r="H884" s="901">
        <f>GLOBAL_DER_FEV_2023!H884</f>
        <v>0</v>
      </c>
      <c r="I884" s="901">
        <f>GLOBAL_DER_FEV_2023!I884</f>
        <v>0</v>
      </c>
      <c r="J884" s="890">
        <f>GLOBAL_DER_FEV_2023!J884</f>
        <v>0</v>
      </c>
      <c r="K884" s="903" t="str">
        <f>GLOBAL_DER_FEV_2023!K884</f>
        <v xml:space="preserve">     </v>
      </c>
      <c r="L884" s="1137"/>
      <c r="M884" s="1140">
        <f t="shared" si="108"/>
        <v>0</v>
      </c>
      <c r="N884" s="1167">
        <f t="shared" si="112"/>
        <v>0</v>
      </c>
      <c r="O884" s="1165"/>
      <c r="Q884" s="317" t="str">
        <f t="shared" si="109"/>
        <v/>
      </c>
      <c r="R884" s="317" t="str">
        <f t="shared" si="110"/>
        <v/>
      </c>
      <c r="S884" s="317" t="str">
        <f t="shared" si="111"/>
        <v/>
      </c>
      <c r="T884" s="317" t="str">
        <f>GLOBAL_DER_FEV_2023!S884</f>
        <v/>
      </c>
      <c r="W884" s="582">
        <v>0</v>
      </c>
      <c r="X884" s="580"/>
      <c r="Y884" s="583">
        <f>IF(GLOBAL_DER_FEV_2023!W884=0,0,IF(GLOBAL_DER_FEV_2023!W884&gt;0,"c","b"))</f>
        <v>0</v>
      </c>
    </row>
    <row r="885" spans="1:25" ht="15" customHeight="1" x14ac:dyDescent="0.2">
      <c r="A885" s="640" t="s">
        <v>165</v>
      </c>
      <c r="B885" s="1036" t="str">
        <f>GLOBAL_DER_FEV_2023!B885</f>
        <v/>
      </c>
      <c r="C885" s="1072" t="str">
        <f>GLOBAL_DER_FEV_2023!C885</f>
        <v/>
      </c>
      <c r="D885" s="1141">
        <f>GLOBAL_DER_FEV_2023!D885</f>
        <v>0</v>
      </c>
      <c r="E885" s="907">
        <f>GLOBAL_DER_FEV_2023!E885</f>
        <v>0</v>
      </c>
      <c r="F885" s="908">
        <f>GLOBAL_DER_FEV_2023!F885</f>
        <v>0</v>
      </c>
      <c r="G885" s="912">
        <f>GLOBAL_DER_FEV_2023!G885</f>
        <v>0</v>
      </c>
      <c r="H885" s="901">
        <f>GLOBAL_DER_FEV_2023!H885</f>
        <v>0</v>
      </c>
      <c r="I885" s="901">
        <f>GLOBAL_DER_FEV_2023!I885</f>
        <v>0</v>
      </c>
      <c r="J885" s="890">
        <f>GLOBAL_DER_FEV_2023!J885</f>
        <v>0</v>
      </c>
      <c r="K885" s="903" t="str">
        <f>GLOBAL_DER_FEV_2023!K885</f>
        <v xml:space="preserve">     </v>
      </c>
      <c r="L885" s="1137"/>
      <c r="M885" s="1140">
        <f t="shared" si="108"/>
        <v>0</v>
      </c>
      <c r="N885" s="1167">
        <f t="shared" si="112"/>
        <v>0</v>
      </c>
      <c r="O885" s="1165"/>
      <c r="Q885" s="317" t="str">
        <f t="shared" si="109"/>
        <v/>
      </c>
      <c r="R885" s="317" t="str">
        <f t="shared" si="110"/>
        <v/>
      </c>
      <c r="S885" s="317" t="str">
        <f t="shared" si="111"/>
        <v/>
      </c>
      <c r="T885" s="317" t="str">
        <f>GLOBAL_DER_FEV_2023!S885</f>
        <v/>
      </c>
      <c r="W885" s="582">
        <v>0</v>
      </c>
      <c r="X885" s="580"/>
      <c r="Y885" s="583">
        <f>IF(GLOBAL_DER_FEV_2023!W885=0,0,IF(GLOBAL_DER_FEV_2023!W885&gt;0,"c","b"))</f>
        <v>0</v>
      </c>
    </row>
    <row r="886" spans="1:25" ht="15" customHeight="1" x14ac:dyDescent="0.2">
      <c r="A886" s="640" t="s">
        <v>165</v>
      </c>
      <c r="B886" s="1036" t="str">
        <f>GLOBAL_DER_FEV_2023!B886</f>
        <v/>
      </c>
      <c r="C886" s="1072" t="str">
        <f>GLOBAL_DER_FEV_2023!C886</f>
        <v/>
      </c>
      <c r="D886" s="1141">
        <f>GLOBAL_DER_FEV_2023!D886</f>
        <v>0</v>
      </c>
      <c r="E886" s="907">
        <f>GLOBAL_DER_FEV_2023!E886</f>
        <v>0</v>
      </c>
      <c r="F886" s="908">
        <f>GLOBAL_DER_FEV_2023!F886</f>
        <v>0</v>
      </c>
      <c r="G886" s="912">
        <f>GLOBAL_DER_FEV_2023!G886</f>
        <v>0</v>
      </c>
      <c r="H886" s="901">
        <f>GLOBAL_DER_FEV_2023!H886</f>
        <v>0</v>
      </c>
      <c r="I886" s="901">
        <f>GLOBAL_DER_FEV_2023!I886</f>
        <v>0</v>
      </c>
      <c r="J886" s="890">
        <f>GLOBAL_DER_FEV_2023!J886</f>
        <v>0</v>
      </c>
      <c r="K886" s="903" t="str">
        <f>GLOBAL_DER_FEV_2023!K886</f>
        <v xml:space="preserve">     </v>
      </c>
      <c r="L886" s="1137"/>
      <c r="M886" s="1140">
        <f t="shared" si="108"/>
        <v>0</v>
      </c>
      <c r="N886" s="1167">
        <f t="shared" si="112"/>
        <v>0</v>
      </c>
      <c r="O886" s="1165"/>
      <c r="Q886" s="317" t="str">
        <f t="shared" si="109"/>
        <v/>
      </c>
      <c r="R886" s="317" t="str">
        <f t="shared" si="110"/>
        <v/>
      </c>
      <c r="S886" s="317" t="str">
        <f t="shared" si="111"/>
        <v/>
      </c>
      <c r="T886" s="317" t="str">
        <f>GLOBAL_DER_FEV_2023!S886</f>
        <v/>
      </c>
      <c r="W886" s="582">
        <v>0</v>
      </c>
      <c r="X886" s="580"/>
      <c r="Y886" s="583">
        <f>IF(GLOBAL_DER_FEV_2023!W886=0,0,IF(GLOBAL_DER_FEV_2023!W886&gt;0,"c","b"))</f>
        <v>0</v>
      </c>
    </row>
    <row r="887" spans="1:25" ht="15" customHeight="1" x14ac:dyDescent="0.2">
      <c r="A887" s="640" t="s">
        <v>165</v>
      </c>
      <c r="B887" s="1036" t="str">
        <f>GLOBAL_DER_FEV_2023!B887</f>
        <v/>
      </c>
      <c r="C887" s="1072" t="str">
        <f>GLOBAL_DER_FEV_2023!C887</f>
        <v/>
      </c>
      <c r="D887" s="1141">
        <f>GLOBAL_DER_FEV_2023!D887</f>
        <v>0</v>
      </c>
      <c r="E887" s="907">
        <f>GLOBAL_DER_FEV_2023!E887</f>
        <v>0</v>
      </c>
      <c r="F887" s="908">
        <f>GLOBAL_DER_FEV_2023!F887</f>
        <v>0</v>
      </c>
      <c r="G887" s="912">
        <f>GLOBAL_DER_FEV_2023!G887</f>
        <v>0</v>
      </c>
      <c r="H887" s="901">
        <f>GLOBAL_DER_FEV_2023!H887</f>
        <v>0</v>
      </c>
      <c r="I887" s="901">
        <f>GLOBAL_DER_FEV_2023!I887</f>
        <v>0</v>
      </c>
      <c r="J887" s="890">
        <f>GLOBAL_DER_FEV_2023!J887</f>
        <v>0</v>
      </c>
      <c r="K887" s="903" t="str">
        <f>GLOBAL_DER_FEV_2023!K887</f>
        <v xml:space="preserve">     </v>
      </c>
      <c r="L887" s="1137"/>
      <c r="M887" s="1140">
        <f t="shared" si="108"/>
        <v>0</v>
      </c>
      <c r="N887" s="1167">
        <f t="shared" si="112"/>
        <v>0</v>
      </c>
      <c r="O887" s="1165"/>
      <c r="Q887" s="317" t="str">
        <f t="shared" si="109"/>
        <v/>
      </c>
      <c r="R887" s="317" t="str">
        <f t="shared" si="110"/>
        <v/>
      </c>
      <c r="S887" s="317" t="str">
        <f t="shared" si="111"/>
        <v/>
      </c>
      <c r="T887" s="317" t="str">
        <f>GLOBAL_DER_FEV_2023!S887</f>
        <v/>
      </c>
      <c r="W887" s="582">
        <v>0</v>
      </c>
      <c r="X887" s="580"/>
      <c r="Y887" s="583">
        <f>IF(GLOBAL_DER_FEV_2023!W887=0,0,IF(GLOBAL_DER_FEV_2023!W887&gt;0,"c","b"))</f>
        <v>0</v>
      </c>
    </row>
    <row r="888" spans="1:25" ht="15" customHeight="1" x14ac:dyDescent="0.2">
      <c r="A888" s="640" t="s">
        <v>165</v>
      </c>
      <c r="B888" s="1036" t="str">
        <f>GLOBAL_DER_FEV_2023!B888</f>
        <v/>
      </c>
      <c r="C888" s="1072" t="str">
        <f>GLOBAL_DER_FEV_2023!C888</f>
        <v/>
      </c>
      <c r="D888" s="1141">
        <f>GLOBAL_DER_FEV_2023!D888</f>
        <v>0</v>
      </c>
      <c r="E888" s="907">
        <f>GLOBAL_DER_FEV_2023!E888</f>
        <v>0</v>
      </c>
      <c r="F888" s="908">
        <f>GLOBAL_DER_FEV_2023!F888</f>
        <v>0</v>
      </c>
      <c r="G888" s="912">
        <f>GLOBAL_DER_FEV_2023!G888</f>
        <v>0</v>
      </c>
      <c r="H888" s="901">
        <f>GLOBAL_DER_FEV_2023!H888</f>
        <v>0</v>
      </c>
      <c r="I888" s="901">
        <f>GLOBAL_DER_FEV_2023!I888</f>
        <v>0</v>
      </c>
      <c r="J888" s="890">
        <f>GLOBAL_DER_FEV_2023!J888</f>
        <v>0</v>
      </c>
      <c r="K888" s="903" t="str">
        <f>GLOBAL_DER_FEV_2023!K888</f>
        <v xml:space="preserve">     </v>
      </c>
      <c r="L888" s="1137"/>
      <c r="M888" s="1140">
        <f t="shared" si="108"/>
        <v>0</v>
      </c>
      <c r="N888" s="1167">
        <f t="shared" si="112"/>
        <v>0</v>
      </c>
      <c r="O888" s="1165"/>
      <c r="Q888" s="317" t="str">
        <f t="shared" si="109"/>
        <v/>
      </c>
      <c r="R888" s="317" t="str">
        <f t="shared" si="110"/>
        <v/>
      </c>
      <c r="S888" s="317" t="str">
        <f t="shared" si="111"/>
        <v/>
      </c>
      <c r="T888" s="317" t="str">
        <f>GLOBAL_DER_FEV_2023!S888</f>
        <v/>
      </c>
      <c r="W888" s="582">
        <v>0</v>
      </c>
      <c r="X888" s="580"/>
      <c r="Y888" s="583">
        <f>IF(GLOBAL_DER_FEV_2023!W888=0,0,IF(GLOBAL_DER_FEV_2023!W888&gt;0,"c","b"))</f>
        <v>0</v>
      </c>
    </row>
    <row r="889" spans="1:25" ht="15" customHeight="1" x14ac:dyDescent="0.2">
      <c r="A889" s="640" t="s">
        <v>165</v>
      </c>
      <c r="B889" s="1036" t="str">
        <f>GLOBAL_DER_FEV_2023!B889</f>
        <v/>
      </c>
      <c r="C889" s="1072" t="str">
        <f>GLOBAL_DER_FEV_2023!C889</f>
        <v/>
      </c>
      <c r="D889" s="1141">
        <f>GLOBAL_DER_FEV_2023!D889</f>
        <v>0</v>
      </c>
      <c r="E889" s="907">
        <f>GLOBAL_DER_FEV_2023!E889</f>
        <v>0</v>
      </c>
      <c r="F889" s="908">
        <f>GLOBAL_DER_FEV_2023!F889</f>
        <v>0</v>
      </c>
      <c r="G889" s="912">
        <f>GLOBAL_DER_FEV_2023!G889</f>
        <v>0</v>
      </c>
      <c r="H889" s="901">
        <f>GLOBAL_DER_FEV_2023!H889</f>
        <v>0</v>
      </c>
      <c r="I889" s="901">
        <f>GLOBAL_DER_FEV_2023!I889</f>
        <v>0</v>
      </c>
      <c r="J889" s="890">
        <f>GLOBAL_DER_FEV_2023!J889</f>
        <v>0</v>
      </c>
      <c r="K889" s="903" t="str">
        <f>GLOBAL_DER_FEV_2023!K889</f>
        <v xml:space="preserve">     </v>
      </c>
      <c r="L889" s="1137"/>
      <c r="M889" s="1140">
        <f t="shared" si="108"/>
        <v>0</v>
      </c>
      <c r="N889" s="1167">
        <f t="shared" si="112"/>
        <v>0</v>
      </c>
      <c r="O889" s="1165"/>
      <c r="Q889" s="317" t="str">
        <f t="shared" si="109"/>
        <v/>
      </c>
      <c r="R889" s="317" t="str">
        <f t="shared" si="110"/>
        <v/>
      </c>
      <c r="S889" s="317" t="str">
        <f t="shared" si="111"/>
        <v/>
      </c>
      <c r="T889" s="317" t="str">
        <f>GLOBAL_DER_FEV_2023!S889</f>
        <v/>
      </c>
      <c r="W889" s="582">
        <v>0</v>
      </c>
      <c r="X889" s="580"/>
      <c r="Y889" s="583">
        <f>IF(GLOBAL_DER_FEV_2023!W889=0,0,IF(GLOBAL_DER_FEV_2023!W889&gt;0,"c","b"))</f>
        <v>0</v>
      </c>
    </row>
    <row r="890" spans="1:25" ht="15" customHeight="1" x14ac:dyDescent="0.2">
      <c r="A890" s="640" t="s">
        <v>165</v>
      </c>
      <c r="B890" s="1036" t="str">
        <f>GLOBAL_DER_FEV_2023!B890</f>
        <v/>
      </c>
      <c r="C890" s="1072" t="str">
        <f>GLOBAL_DER_FEV_2023!C890</f>
        <v/>
      </c>
      <c r="D890" s="1141">
        <f>GLOBAL_DER_FEV_2023!D890</f>
        <v>0</v>
      </c>
      <c r="E890" s="907">
        <f>GLOBAL_DER_FEV_2023!E890</f>
        <v>0</v>
      </c>
      <c r="F890" s="908">
        <f>GLOBAL_DER_FEV_2023!F890</f>
        <v>0</v>
      </c>
      <c r="G890" s="912">
        <f>GLOBAL_DER_FEV_2023!G890</f>
        <v>0</v>
      </c>
      <c r="H890" s="901">
        <f>GLOBAL_DER_FEV_2023!H890</f>
        <v>0</v>
      </c>
      <c r="I890" s="901">
        <f>GLOBAL_DER_FEV_2023!I890</f>
        <v>0</v>
      </c>
      <c r="J890" s="890">
        <f>GLOBAL_DER_FEV_2023!J890</f>
        <v>0</v>
      </c>
      <c r="K890" s="903" t="str">
        <f>GLOBAL_DER_FEV_2023!K890</f>
        <v xml:space="preserve">     </v>
      </c>
      <c r="L890" s="1137"/>
      <c r="M890" s="1140">
        <f t="shared" si="108"/>
        <v>0</v>
      </c>
      <c r="N890" s="1167">
        <f t="shared" si="112"/>
        <v>0</v>
      </c>
      <c r="O890" s="1165"/>
      <c r="Q890" s="317" t="str">
        <f t="shared" si="109"/>
        <v/>
      </c>
      <c r="R890" s="317" t="str">
        <f t="shared" si="110"/>
        <v/>
      </c>
      <c r="S890" s="317" t="str">
        <f t="shared" si="111"/>
        <v/>
      </c>
      <c r="T890" s="317" t="str">
        <f>GLOBAL_DER_FEV_2023!S890</f>
        <v/>
      </c>
      <c r="W890" s="582">
        <v>0</v>
      </c>
      <c r="X890" s="580"/>
      <c r="Y890" s="583">
        <f>IF(GLOBAL_DER_FEV_2023!W890=0,0,IF(GLOBAL_DER_FEV_2023!W890&gt;0,"c","b"))</f>
        <v>0</v>
      </c>
    </row>
    <row r="891" spans="1:25" ht="15" customHeight="1" x14ac:dyDescent="0.2">
      <c r="A891" s="640" t="s">
        <v>165</v>
      </c>
      <c r="B891" s="1036" t="str">
        <f>GLOBAL_DER_FEV_2023!B891</f>
        <v/>
      </c>
      <c r="C891" s="1072" t="str">
        <f>GLOBAL_DER_FEV_2023!C891</f>
        <v/>
      </c>
      <c r="D891" s="1141">
        <f>GLOBAL_DER_FEV_2023!D891</f>
        <v>0</v>
      </c>
      <c r="E891" s="907">
        <f>GLOBAL_DER_FEV_2023!E891</f>
        <v>0</v>
      </c>
      <c r="F891" s="908">
        <f>GLOBAL_DER_FEV_2023!F891</f>
        <v>0</v>
      </c>
      <c r="G891" s="912">
        <f>GLOBAL_DER_FEV_2023!G891</f>
        <v>0</v>
      </c>
      <c r="H891" s="901">
        <f>GLOBAL_DER_FEV_2023!H891</f>
        <v>0</v>
      </c>
      <c r="I891" s="901">
        <f>GLOBAL_DER_FEV_2023!I891</f>
        <v>0</v>
      </c>
      <c r="J891" s="890">
        <f>GLOBAL_DER_FEV_2023!J891</f>
        <v>0</v>
      </c>
      <c r="K891" s="903" t="str">
        <f>GLOBAL_DER_FEV_2023!K891</f>
        <v xml:space="preserve">     </v>
      </c>
      <c r="L891" s="1137"/>
      <c r="M891" s="1140">
        <f t="shared" si="108"/>
        <v>0</v>
      </c>
      <c r="N891" s="1167">
        <f t="shared" si="112"/>
        <v>0</v>
      </c>
      <c r="O891" s="1165"/>
      <c r="Q891" s="317" t="str">
        <f t="shared" si="109"/>
        <v/>
      </c>
      <c r="R891" s="317" t="str">
        <f t="shared" si="110"/>
        <v/>
      </c>
      <c r="S891" s="317" t="str">
        <f t="shared" si="111"/>
        <v/>
      </c>
      <c r="T891" s="317" t="str">
        <f>GLOBAL_DER_FEV_2023!S891</f>
        <v/>
      </c>
      <c r="W891" s="582">
        <v>0</v>
      </c>
      <c r="X891" s="580"/>
      <c r="Y891" s="583">
        <f>IF(GLOBAL_DER_FEV_2023!W891=0,0,IF(GLOBAL_DER_FEV_2023!W891&gt;0,"c","b"))</f>
        <v>0</v>
      </c>
    </row>
    <row r="892" spans="1:25" ht="15" customHeight="1" x14ac:dyDescent="0.2">
      <c r="A892" s="640" t="s">
        <v>165</v>
      </c>
      <c r="B892" s="1036" t="str">
        <f>GLOBAL_DER_FEV_2023!B892</f>
        <v/>
      </c>
      <c r="C892" s="1072" t="str">
        <f>GLOBAL_DER_FEV_2023!C892</f>
        <v/>
      </c>
      <c r="D892" s="1141">
        <f>GLOBAL_DER_FEV_2023!D892</f>
        <v>0</v>
      </c>
      <c r="E892" s="907">
        <f>GLOBAL_DER_FEV_2023!E892</f>
        <v>0</v>
      </c>
      <c r="F892" s="908">
        <f>GLOBAL_DER_FEV_2023!F892</f>
        <v>0</v>
      </c>
      <c r="G892" s="912">
        <f>GLOBAL_DER_FEV_2023!G892</f>
        <v>0</v>
      </c>
      <c r="H892" s="901">
        <f>GLOBAL_DER_FEV_2023!H892</f>
        <v>0</v>
      </c>
      <c r="I892" s="901">
        <f>GLOBAL_DER_FEV_2023!I892</f>
        <v>0</v>
      </c>
      <c r="J892" s="890">
        <f>GLOBAL_DER_FEV_2023!J892</f>
        <v>0</v>
      </c>
      <c r="K892" s="903" t="str">
        <f>GLOBAL_DER_FEV_2023!K892</f>
        <v xml:space="preserve">     </v>
      </c>
      <c r="L892" s="1137"/>
      <c r="M892" s="1140">
        <f t="shared" si="108"/>
        <v>0</v>
      </c>
      <c r="N892" s="1167">
        <f t="shared" si="112"/>
        <v>0</v>
      </c>
      <c r="O892" s="1165"/>
      <c r="Q892" s="317" t="str">
        <f t="shared" si="109"/>
        <v/>
      </c>
      <c r="R892" s="317" t="str">
        <f t="shared" si="110"/>
        <v/>
      </c>
      <c r="S892" s="317" t="str">
        <f t="shared" si="111"/>
        <v/>
      </c>
      <c r="T892" s="317" t="str">
        <f>GLOBAL_DER_FEV_2023!S892</f>
        <v/>
      </c>
      <c r="W892" s="582">
        <v>0</v>
      </c>
      <c r="X892" s="580"/>
      <c r="Y892" s="583">
        <f>IF(GLOBAL_DER_FEV_2023!W892=0,0,IF(GLOBAL_DER_FEV_2023!W892&gt;0,"c","b"))</f>
        <v>0</v>
      </c>
    </row>
    <row r="893" spans="1:25" ht="15" customHeight="1" x14ac:dyDescent="0.2">
      <c r="A893" s="640" t="s">
        <v>165</v>
      </c>
      <c r="B893" s="1036" t="str">
        <f>GLOBAL_DER_FEV_2023!B893</f>
        <v/>
      </c>
      <c r="C893" s="1072" t="str">
        <f>GLOBAL_DER_FEV_2023!C893</f>
        <v/>
      </c>
      <c r="D893" s="1141">
        <f>GLOBAL_DER_FEV_2023!D893</f>
        <v>0</v>
      </c>
      <c r="E893" s="907">
        <f>GLOBAL_DER_FEV_2023!E893</f>
        <v>0</v>
      </c>
      <c r="F893" s="908">
        <f>GLOBAL_DER_FEV_2023!F893</f>
        <v>0</v>
      </c>
      <c r="G893" s="912">
        <f>GLOBAL_DER_FEV_2023!G893</f>
        <v>0</v>
      </c>
      <c r="H893" s="901">
        <f>GLOBAL_DER_FEV_2023!H893</f>
        <v>0</v>
      </c>
      <c r="I893" s="901">
        <f>GLOBAL_DER_FEV_2023!I893</f>
        <v>0</v>
      </c>
      <c r="J893" s="890">
        <f>GLOBAL_DER_FEV_2023!J893</f>
        <v>0</v>
      </c>
      <c r="K893" s="903" t="str">
        <f>GLOBAL_DER_FEV_2023!K893</f>
        <v xml:space="preserve">     </v>
      </c>
      <c r="L893" s="1137"/>
      <c r="M893" s="1140">
        <f t="shared" si="108"/>
        <v>0</v>
      </c>
      <c r="N893" s="1167">
        <f t="shared" si="112"/>
        <v>0</v>
      </c>
      <c r="O893" s="1165"/>
      <c r="Q893" s="317" t="str">
        <f t="shared" si="109"/>
        <v/>
      </c>
      <c r="R893" s="317" t="str">
        <f t="shared" si="110"/>
        <v/>
      </c>
      <c r="S893" s="317" t="str">
        <f t="shared" si="111"/>
        <v/>
      </c>
      <c r="T893" s="317" t="str">
        <f>GLOBAL_DER_FEV_2023!S893</f>
        <v/>
      </c>
      <c r="W893" s="582">
        <v>0</v>
      </c>
      <c r="X893" s="580"/>
      <c r="Y893" s="583">
        <f>IF(GLOBAL_DER_FEV_2023!W893=0,0,IF(GLOBAL_DER_FEV_2023!W893&gt;0,"c","b"))</f>
        <v>0</v>
      </c>
    </row>
    <row r="894" spans="1:25" ht="15" customHeight="1" x14ac:dyDescent="0.2">
      <c r="A894" s="640" t="s">
        <v>165</v>
      </c>
      <c r="B894" s="1036" t="str">
        <f>GLOBAL_DER_FEV_2023!B894</f>
        <v/>
      </c>
      <c r="C894" s="1072" t="str">
        <f>GLOBAL_DER_FEV_2023!C894</f>
        <v/>
      </c>
      <c r="D894" s="1141">
        <f>GLOBAL_DER_FEV_2023!D894</f>
        <v>0</v>
      </c>
      <c r="E894" s="907">
        <f>GLOBAL_DER_FEV_2023!E894</f>
        <v>0</v>
      </c>
      <c r="F894" s="908">
        <f>GLOBAL_DER_FEV_2023!F894</f>
        <v>0</v>
      </c>
      <c r="G894" s="912">
        <f>GLOBAL_DER_FEV_2023!G894</f>
        <v>0</v>
      </c>
      <c r="H894" s="901">
        <f>GLOBAL_DER_FEV_2023!H894</f>
        <v>0</v>
      </c>
      <c r="I894" s="901">
        <f>GLOBAL_DER_FEV_2023!I894</f>
        <v>0</v>
      </c>
      <c r="J894" s="890">
        <f>GLOBAL_DER_FEV_2023!J894</f>
        <v>0</v>
      </c>
      <c r="K894" s="903" t="str">
        <f>GLOBAL_DER_FEV_2023!K894</f>
        <v xml:space="preserve">     </v>
      </c>
      <c r="L894" s="1137"/>
      <c r="M894" s="1140">
        <f t="shared" si="108"/>
        <v>0</v>
      </c>
      <c r="N894" s="1167">
        <f t="shared" si="112"/>
        <v>0</v>
      </c>
      <c r="O894" s="1165"/>
      <c r="Q894" s="317" t="str">
        <f t="shared" si="109"/>
        <v/>
      </c>
      <c r="R894" s="317" t="str">
        <f t="shared" si="110"/>
        <v/>
      </c>
      <c r="S894" s="317" t="str">
        <f t="shared" si="111"/>
        <v/>
      </c>
      <c r="T894" s="317" t="str">
        <f>GLOBAL_DER_FEV_2023!S894</f>
        <v/>
      </c>
      <c r="W894" s="582">
        <v>0</v>
      </c>
      <c r="X894" s="580"/>
      <c r="Y894" s="583">
        <f>IF(GLOBAL_DER_FEV_2023!W894=0,0,IF(GLOBAL_DER_FEV_2023!W894&gt;0,"c","b"))</f>
        <v>0</v>
      </c>
    </row>
    <row r="895" spans="1:25" ht="15" customHeight="1" x14ac:dyDescent="0.2">
      <c r="A895" s="640" t="s">
        <v>165</v>
      </c>
      <c r="B895" s="1036" t="str">
        <f>GLOBAL_DER_FEV_2023!B895</f>
        <v/>
      </c>
      <c r="C895" s="1072" t="str">
        <f>GLOBAL_DER_FEV_2023!C895</f>
        <v/>
      </c>
      <c r="D895" s="1141">
        <f>GLOBAL_DER_FEV_2023!D895</f>
        <v>0</v>
      </c>
      <c r="E895" s="907">
        <f>GLOBAL_DER_FEV_2023!E895</f>
        <v>0</v>
      </c>
      <c r="F895" s="908">
        <f>GLOBAL_DER_FEV_2023!F895</f>
        <v>0</v>
      </c>
      <c r="G895" s="912">
        <f>GLOBAL_DER_FEV_2023!G895</f>
        <v>0</v>
      </c>
      <c r="H895" s="901">
        <f>GLOBAL_DER_FEV_2023!H895</f>
        <v>0</v>
      </c>
      <c r="I895" s="901">
        <f>GLOBAL_DER_FEV_2023!I895</f>
        <v>0</v>
      </c>
      <c r="J895" s="890">
        <f>GLOBAL_DER_FEV_2023!J895</f>
        <v>0</v>
      </c>
      <c r="K895" s="903" t="str">
        <f>GLOBAL_DER_FEV_2023!K895</f>
        <v xml:space="preserve">     </v>
      </c>
      <c r="L895" s="1137"/>
      <c r="M895" s="1140">
        <f t="shared" si="108"/>
        <v>0</v>
      </c>
      <c r="N895" s="1167">
        <f t="shared" si="112"/>
        <v>0</v>
      </c>
      <c r="O895" s="1165"/>
      <c r="Q895" s="317" t="str">
        <f t="shared" si="109"/>
        <v/>
      </c>
      <c r="R895" s="317" t="str">
        <f t="shared" si="110"/>
        <v/>
      </c>
      <c r="S895" s="317" t="str">
        <f t="shared" si="111"/>
        <v/>
      </c>
      <c r="T895" s="317" t="str">
        <f>GLOBAL_DER_FEV_2023!S895</f>
        <v/>
      </c>
      <c r="W895" s="582">
        <v>0</v>
      </c>
      <c r="X895" s="580"/>
      <c r="Y895" s="583">
        <f>IF(GLOBAL_DER_FEV_2023!W895=0,0,IF(GLOBAL_DER_FEV_2023!W895&gt;0,"c","b"))</f>
        <v>0</v>
      </c>
    </row>
    <row r="896" spans="1:25" ht="15" customHeight="1" x14ac:dyDescent="0.2">
      <c r="A896" s="640" t="s">
        <v>165</v>
      </c>
      <c r="B896" s="1036" t="str">
        <f>GLOBAL_DER_FEV_2023!B896</f>
        <v/>
      </c>
      <c r="C896" s="1072" t="str">
        <f>GLOBAL_DER_FEV_2023!C896</f>
        <v/>
      </c>
      <c r="D896" s="1141">
        <f>GLOBAL_DER_FEV_2023!D896</f>
        <v>0</v>
      </c>
      <c r="E896" s="907">
        <f>GLOBAL_DER_FEV_2023!E896</f>
        <v>0</v>
      </c>
      <c r="F896" s="908">
        <f>GLOBAL_DER_FEV_2023!F896</f>
        <v>0</v>
      </c>
      <c r="G896" s="912">
        <f>GLOBAL_DER_FEV_2023!G896</f>
        <v>0</v>
      </c>
      <c r="H896" s="901">
        <f>GLOBAL_DER_FEV_2023!H896</f>
        <v>0</v>
      </c>
      <c r="I896" s="901">
        <f>GLOBAL_DER_FEV_2023!I896</f>
        <v>0</v>
      </c>
      <c r="J896" s="890">
        <f>GLOBAL_DER_FEV_2023!J896</f>
        <v>0</v>
      </c>
      <c r="K896" s="903" t="str">
        <f>GLOBAL_DER_FEV_2023!K896</f>
        <v xml:space="preserve">     </v>
      </c>
      <c r="L896" s="1137"/>
      <c r="M896" s="1140">
        <f t="shared" si="108"/>
        <v>0</v>
      </c>
      <c r="N896" s="1167">
        <f t="shared" si="112"/>
        <v>0</v>
      </c>
      <c r="O896" s="1165"/>
      <c r="Q896" s="317" t="str">
        <f t="shared" si="109"/>
        <v/>
      </c>
      <c r="R896" s="317" t="str">
        <f t="shared" si="110"/>
        <v/>
      </c>
      <c r="S896" s="317" t="str">
        <f t="shared" si="111"/>
        <v/>
      </c>
      <c r="T896" s="317" t="str">
        <f>GLOBAL_DER_FEV_2023!S896</f>
        <v/>
      </c>
      <c r="W896" s="582">
        <v>0</v>
      </c>
      <c r="X896" s="580"/>
      <c r="Y896" s="583">
        <f>IF(GLOBAL_DER_FEV_2023!W896=0,0,IF(GLOBAL_DER_FEV_2023!W896&gt;0,"c","b"))</f>
        <v>0</v>
      </c>
    </row>
    <row r="897" spans="1:25" ht="15" customHeight="1" x14ac:dyDescent="0.2">
      <c r="A897" s="640" t="s">
        <v>165</v>
      </c>
      <c r="B897" s="1036" t="str">
        <f>GLOBAL_DER_FEV_2023!B897</f>
        <v/>
      </c>
      <c r="C897" s="1072" t="str">
        <f>GLOBAL_DER_FEV_2023!C897</f>
        <v/>
      </c>
      <c r="D897" s="1141">
        <f>GLOBAL_DER_FEV_2023!D897</f>
        <v>0</v>
      </c>
      <c r="E897" s="907">
        <f>GLOBAL_DER_FEV_2023!E897</f>
        <v>0</v>
      </c>
      <c r="F897" s="908">
        <f>GLOBAL_DER_FEV_2023!F897</f>
        <v>0</v>
      </c>
      <c r="G897" s="912">
        <f>GLOBAL_DER_FEV_2023!G897</f>
        <v>0</v>
      </c>
      <c r="H897" s="901">
        <f>GLOBAL_DER_FEV_2023!H897</f>
        <v>0</v>
      </c>
      <c r="I897" s="901">
        <f>GLOBAL_DER_FEV_2023!I897</f>
        <v>0</v>
      </c>
      <c r="J897" s="890">
        <f>GLOBAL_DER_FEV_2023!J897</f>
        <v>0</v>
      </c>
      <c r="K897" s="903" t="str">
        <f>GLOBAL_DER_FEV_2023!K897</f>
        <v xml:space="preserve">     </v>
      </c>
      <c r="L897" s="1137"/>
      <c r="M897" s="1140">
        <f t="shared" si="108"/>
        <v>0</v>
      </c>
      <c r="N897" s="1167">
        <f t="shared" si="112"/>
        <v>0</v>
      </c>
      <c r="O897" s="1165"/>
      <c r="Q897" s="317" t="str">
        <f t="shared" si="109"/>
        <v/>
      </c>
      <c r="R897" s="317" t="str">
        <f t="shared" si="110"/>
        <v/>
      </c>
      <c r="S897" s="317" t="str">
        <f t="shared" si="111"/>
        <v/>
      </c>
      <c r="T897" s="317" t="str">
        <f>GLOBAL_DER_FEV_2023!S897</f>
        <v/>
      </c>
      <c r="W897" s="582">
        <v>0</v>
      </c>
      <c r="X897" s="580"/>
      <c r="Y897" s="583">
        <f>IF(GLOBAL_DER_FEV_2023!W897=0,0,IF(GLOBAL_DER_FEV_2023!W897&gt;0,"c","b"))</f>
        <v>0</v>
      </c>
    </row>
    <row r="898" spans="1:25" ht="15" customHeight="1" x14ac:dyDescent="0.2">
      <c r="A898" s="640" t="s">
        <v>165</v>
      </c>
      <c r="B898" s="1036" t="str">
        <f>GLOBAL_DER_FEV_2023!B898</f>
        <v/>
      </c>
      <c r="C898" s="1072" t="str">
        <f>GLOBAL_DER_FEV_2023!C898</f>
        <v/>
      </c>
      <c r="D898" s="1141">
        <f>GLOBAL_DER_FEV_2023!D898</f>
        <v>0</v>
      </c>
      <c r="E898" s="907">
        <f>GLOBAL_DER_FEV_2023!E898</f>
        <v>0</v>
      </c>
      <c r="F898" s="908">
        <f>GLOBAL_DER_FEV_2023!F898</f>
        <v>0</v>
      </c>
      <c r="G898" s="912">
        <f>GLOBAL_DER_FEV_2023!G898</f>
        <v>0</v>
      </c>
      <c r="H898" s="901">
        <f>GLOBAL_DER_FEV_2023!H898</f>
        <v>0</v>
      </c>
      <c r="I898" s="901">
        <f>GLOBAL_DER_FEV_2023!I898</f>
        <v>0</v>
      </c>
      <c r="J898" s="890">
        <f>GLOBAL_DER_FEV_2023!J898</f>
        <v>0</v>
      </c>
      <c r="K898" s="903" t="str">
        <f>GLOBAL_DER_FEV_2023!K898</f>
        <v xml:space="preserve">     </v>
      </c>
      <c r="L898" s="1137"/>
      <c r="M898" s="1140">
        <f t="shared" si="108"/>
        <v>0</v>
      </c>
      <c r="N898" s="1167">
        <f t="shared" si="112"/>
        <v>0</v>
      </c>
      <c r="O898" s="1165"/>
      <c r="Q898" s="317" t="str">
        <f t="shared" si="109"/>
        <v/>
      </c>
      <c r="R898" s="317" t="str">
        <f t="shared" si="110"/>
        <v/>
      </c>
      <c r="S898" s="317" t="str">
        <f t="shared" si="111"/>
        <v/>
      </c>
      <c r="T898" s="317" t="str">
        <f>GLOBAL_DER_FEV_2023!S898</f>
        <v/>
      </c>
      <c r="W898" s="582">
        <v>0</v>
      </c>
      <c r="X898" s="580"/>
      <c r="Y898" s="583">
        <f>IF(GLOBAL_DER_FEV_2023!W898=0,0,IF(GLOBAL_DER_FEV_2023!W898&gt;0,"c","b"))</f>
        <v>0</v>
      </c>
    </row>
    <row r="899" spans="1:25" ht="15" customHeight="1" x14ac:dyDescent="0.2">
      <c r="A899" s="640" t="s">
        <v>165</v>
      </c>
      <c r="B899" s="1036" t="str">
        <f>GLOBAL_DER_FEV_2023!B899</f>
        <v/>
      </c>
      <c r="C899" s="1072" t="str">
        <f>GLOBAL_DER_FEV_2023!C899</f>
        <v/>
      </c>
      <c r="D899" s="1141">
        <f>GLOBAL_DER_FEV_2023!D899</f>
        <v>0</v>
      </c>
      <c r="E899" s="907">
        <f>GLOBAL_DER_FEV_2023!E899</f>
        <v>0</v>
      </c>
      <c r="F899" s="908">
        <f>GLOBAL_DER_FEV_2023!F899</f>
        <v>0</v>
      </c>
      <c r="G899" s="912">
        <f>GLOBAL_DER_FEV_2023!G899</f>
        <v>0</v>
      </c>
      <c r="H899" s="901">
        <f>GLOBAL_DER_FEV_2023!H899</f>
        <v>0</v>
      </c>
      <c r="I899" s="901">
        <f>GLOBAL_DER_FEV_2023!I899</f>
        <v>0</v>
      </c>
      <c r="J899" s="890">
        <f>GLOBAL_DER_FEV_2023!J899</f>
        <v>0</v>
      </c>
      <c r="K899" s="903" t="str">
        <f>GLOBAL_DER_FEV_2023!K899</f>
        <v xml:space="preserve">     </v>
      </c>
      <c r="L899" s="1137"/>
      <c r="M899" s="1140">
        <f t="shared" si="108"/>
        <v>0</v>
      </c>
      <c r="N899" s="1167">
        <f t="shared" si="112"/>
        <v>0</v>
      </c>
      <c r="O899" s="1165"/>
      <c r="Q899" s="317" t="str">
        <f t="shared" si="109"/>
        <v/>
      </c>
      <c r="R899" s="317" t="str">
        <f t="shared" si="110"/>
        <v/>
      </c>
      <c r="S899" s="317" t="str">
        <f t="shared" si="111"/>
        <v/>
      </c>
      <c r="T899" s="317" t="str">
        <f>GLOBAL_DER_FEV_2023!S899</f>
        <v/>
      </c>
      <c r="W899" s="582">
        <v>0</v>
      </c>
      <c r="X899" s="580"/>
      <c r="Y899" s="583">
        <f>IF(GLOBAL_DER_FEV_2023!W899=0,0,IF(GLOBAL_DER_FEV_2023!W899&gt;0,"c","b"))</f>
        <v>0</v>
      </c>
    </row>
    <row r="900" spans="1:25" ht="15" customHeight="1" x14ac:dyDescent="0.2">
      <c r="A900" s="640" t="s">
        <v>165</v>
      </c>
      <c r="B900" s="1036" t="str">
        <f>GLOBAL_DER_FEV_2023!B900</f>
        <v/>
      </c>
      <c r="C900" s="1072" t="str">
        <f>GLOBAL_DER_FEV_2023!C900</f>
        <v/>
      </c>
      <c r="D900" s="1141">
        <f>GLOBAL_DER_FEV_2023!D900</f>
        <v>0</v>
      </c>
      <c r="E900" s="907">
        <f>GLOBAL_DER_FEV_2023!E900</f>
        <v>0</v>
      </c>
      <c r="F900" s="908">
        <f>GLOBAL_DER_FEV_2023!F900</f>
        <v>0</v>
      </c>
      <c r="G900" s="912">
        <f>GLOBAL_DER_FEV_2023!G900</f>
        <v>0</v>
      </c>
      <c r="H900" s="901">
        <f>GLOBAL_DER_FEV_2023!H900</f>
        <v>0</v>
      </c>
      <c r="I900" s="901">
        <f>GLOBAL_DER_FEV_2023!I900</f>
        <v>0</v>
      </c>
      <c r="J900" s="890">
        <f>GLOBAL_DER_FEV_2023!J900</f>
        <v>0</v>
      </c>
      <c r="K900" s="903" t="str">
        <f>GLOBAL_DER_FEV_2023!K900</f>
        <v xml:space="preserve">     </v>
      </c>
      <c r="L900" s="1137"/>
      <c r="M900" s="1140">
        <f t="shared" si="108"/>
        <v>0</v>
      </c>
      <c r="N900" s="1167">
        <f t="shared" si="112"/>
        <v>0</v>
      </c>
      <c r="O900" s="1165"/>
      <c r="Q900" s="317" t="str">
        <f t="shared" si="109"/>
        <v/>
      </c>
      <c r="R900" s="317" t="str">
        <f t="shared" si="110"/>
        <v/>
      </c>
      <c r="S900" s="317" t="str">
        <f t="shared" si="111"/>
        <v/>
      </c>
      <c r="T900" s="317" t="str">
        <f>GLOBAL_DER_FEV_2023!S900</f>
        <v/>
      </c>
      <c r="W900" s="582">
        <v>0</v>
      </c>
      <c r="X900" s="580"/>
      <c r="Y900" s="583">
        <f>IF(GLOBAL_DER_FEV_2023!W900=0,0,IF(GLOBAL_DER_FEV_2023!W900&gt;0,"c","b"))</f>
        <v>0</v>
      </c>
    </row>
    <row r="901" spans="1:25" ht="15" customHeight="1" x14ac:dyDescent="0.2">
      <c r="A901" s="640" t="s">
        <v>165</v>
      </c>
      <c r="B901" s="1036" t="str">
        <f>GLOBAL_DER_FEV_2023!B901</f>
        <v/>
      </c>
      <c r="C901" s="1072" t="str">
        <f>GLOBAL_DER_FEV_2023!C901</f>
        <v/>
      </c>
      <c r="D901" s="1141">
        <f>GLOBAL_DER_FEV_2023!D901</f>
        <v>0</v>
      </c>
      <c r="E901" s="907">
        <f>GLOBAL_DER_FEV_2023!E901</f>
        <v>0</v>
      </c>
      <c r="F901" s="908">
        <f>GLOBAL_DER_FEV_2023!F901</f>
        <v>0</v>
      </c>
      <c r="G901" s="912">
        <f>GLOBAL_DER_FEV_2023!G901</f>
        <v>0</v>
      </c>
      <c r="H901" s="901">
        <f>GLOBAL_DER_FEV_2023!H901</f>
        <v>0</v>
      </c>
      <c r="I901" s="901">
        <f>GLOBAL_DER_FEV_2023!I901</f>
        <v>0</v>
      </c>
      <c r="J901" s="890">
        <f>GLOBAL_DER_FEV_2023!J901</f>
        <v>0</v>
      </c>
      <c r="K901" s="903" t="str">
        <f>GLOBAL_DER_FEV_2023!K901</f>
        <v xml:space="preserve">     </v>
      </c>
      <c r="L901" s="1137"/>
      <c r="M901" s="1140">
        <f t="shared" si="108"/>
        <v>0</v>
      </c>
      <c r="N901" s="1167">
        <f t="shared" si="112"/>
        <v>0</v>
      </c>
      <c r="O901" s="1165"/>
      <c r="Q901" s="317" t="str">
        <f t="shared" si="109"/>
        <v/>
      </c>
      <c r="R901" s="317" t="str">
        <f t="shared" si="110"/>
        <v/>
      </c>
      <c r="S901" s="317" t="str">
        <f t="shared" si="111"/>
        <v/>
      </c>
      <c r="T901" s="317" t="str">
        <f>GLOBAL_DER_FEV_2023!S901</f>
        <v/>
      </c>
      <c r="W901" s="582">
        <v>0</v>
      </c>
      <c r="X901" s="580"/>
      <c r="Y901" s="583">
        <f>IF(GLOBAL_DER_FEV_2023!W901=0,0,IF(GLOBAL_DER_FEV_2023!W901&gt;0,"c","b"))</f>
        <v>0</v>
      </c>
    </row>
    <row r="902" spans="1:25" ht="15" customHeight="1" x14ac:dyDescent="0.2">
      <c r="A902" s="640" t="s">
        <v>165</v>
      </c>
      <c r="B902" s="1036" t="str">
        <f>GLOBAL_DER_FEV_2023!B902</f>
        <v/>
      </c>
      <c r="C902" s="1072" t="str">
        <f>GLOBAL_DER_FEV_2023!C902</f>
        <v/>
      </c>
      <c r="D902" s="1141">
        <f>GLOBAL_DER_FEV_2023!D902</f>
        <v>0</v>
      </c>
      <c r="E902" s="907">
        <f>GLOBAL_DER_FEV_2023!E902</f>
        <v>0</v>
      </c>
      <c r="F902" s="908">
        <f>GLOBAL_DER_FEV_2023!F902</f>
        <v>0</v>
      </c>
      <c r="G902" s="912">
        <f>GLOBAL_DER_FEV_2023!G902</f>
        <v>0</v>
      </c>
      <c r="H902" s="901">
        <f>GLOBAL_DER_FEV_2023!H902</f>
        <v>0</v>
      </c>
      <c r="I902" s="901">
        <f>GLOBAL_DER_FEV_2023!I902</f>
        <v>0</v>
      </c>
      <c r="J902" s="890">
        <f>GLOBAL_DER_FEV_2023!J902</f>
        <v>0</v>
      </c>
      <c r="K902" s="903" t="str">
        <f>GLOBAL_DER_FEV_2023!K902</f>
        <v xml:space="preserve">     </v>
      </c>
      <c r="L902" s="1137"/>
      <c r="M902" s="1140">
        <f t="shared" si="108"/>
        <v>0</v>
      </c>
      <c r="N902" s="1167">
        <f t="shared" si="112"/>
        <v>0</v>
      </c>
      <c r="O902" s="1165"/>
      <c r="Q902" s="317" t="str">
        <f t="shared" si="109"/>
        <v/>
      </c>
      <c r="R902" s="317" t="str">
        <f t="shared" si="110"/>
        <v/>
      </c>
      <c r="S902" s="317" t="str">
        <f t="shared" si="111"/>
        <v/>
      </c>
      <c r="T902" s="317" t="str">
        <f>GLOBAL_DER_FEV_2023!S902</f>
        <v/>
      </c>
      <c r="W902" s="582">
        <v>0</v>
      </c>
      <c r="X902" s="580"/>
      <c r="Y902" s="583">
        <f>IF(GLOBAL_DER_FEV_2023!W902=0,0,IF(GLOBAL_DER_FEV_2023!W902&gt;0,"c","b"))</f>
        <v>0</v>
      </c>
    </row>
    <row r="903" spans="1:25" ht="15" customHeight="1" x14ac:dyDescent="0.2">
      <c r="A903" s="640" t="s">
        <v>165</v>
      </c>
      <c r="B903" s="1036" t="str">
        <f>GLOBAL_DER_FEV_2023!B903</f>
        <v/>
      </c>
      <c r="C903" s="1072" t="str">
        <f>GLOBAL_DER_FEV_2023!C903</f>
        <v/>
      </c>
      <c r="D903" s="1141">
        <f>GLOBAL_DER_FEV_2023!D903</f>
        <v>0</v>
      </c>
      <c r="E903" s="907">
        <f>GLOBAL_DER_FEV_2023!E903</f>
        <v>0</v>
      </c>
      <c r="F903" s="908">
        <f>GLOBAL_DER_FEV_2023!F903</f>
        <v>0</v>
      </c>
      <c r="G903" s="912">
        <f>GLOBAL_DER_FEV_2023!G903</f>
        <v>0</v>
      </c>
      <c r="H903" s="901">
        <f>GLOBAL_DER_FEV_2023!H903</f>
        <v>0</v>
      </c>
      <c r="I903" s="901">
        <f>GLOBAL_DER_FEV_2023!I903</f>
        <v>0</v>
      </c>
      <c r="J903" s="890">
        <f>GLOBAL_DER_FEV_2023!J903</f>
        <v>0</v>
      </c>
      <c r="K903" s="903" t="str">
        <f>GLOBAL_DER_FEV_2023!K903</f>
        <v xml:space="preserve">     </v>
      </c>
      <c r="L903" s="1137"/>
      <c r="M903" s="1140">
        <f t="shared" si="108"/>
        <v>0</v>
      </c>
      <c r="N903" s="1167">
        <f t="shared" si="112"/>
        <v>0</v>
      </c>
      <c r="O903" s="1165"/>
      <c r="Q903" s="317" t="str">
        <f t="shared" si="109"/>
        <v/>
      </c>
      <c r="R903" s="317" t="str">
        <f t="shared" si="110"/>
        <v/>
      </c>
      <c r="S903" s="317" t="str">
        <f t="shared" si="111"/>
        <v/>
      </c>
      <c r="T903" s="317" t="str">
        <f>GLOBAL_DER_FEV_2023!S903</f>
        <v/>
      </c>
      <c r="W903" s="582">
        <v>0</v>
      </c>
      <c r="X903" s="580"/>
      <c r="Y903" s="583">
        <f>IF(GLOBAL_DER_FEV_2023!W903=0,0,IF(GLOBAL_DER_FEV_2023!W903&gt;0,"c","b"))</f>
        <v>0</v>
      </c>
    </row>
    <row r="904" spans="1:25" ht="15" customHeight="1" x14ac:dyDescent="0.2">
      <c r="A904" s="640" t="s">
        <v>165</v>
      </c>
      <c r="B904" s="1036" t="str">
        <f>GLOBAL_DER_FEV_2023!B904</f>
        <v/>
      </c>
      <c r="C904" s="1072" t="str">
        <f>GLOBAL_DER_FEV_2023!C904</f>
        <v/>
      </c>
      <c r="D904" s="1141">
        <f>GLOBAL_DER_FEV_2023!D904</f>
        <v>0</v>
      </c>
      <c r="E904" s="907">
        <f>GLOBAL_DER_FEV_2023!E904</f>
        <v>0</v>
      </c>
      <c r="F904" s="908">
        <f>GLOBAL_DER_FEV_2023!F904</f>
        <v>0</v>
      </c>
      <c r="G904" s="912">
        <f>GLOBAL_DER_FEV_2023!G904</f>
        <v>0</v>
      </c>
      <c r="H904" s="901">
        <f>GLOBAL_DER_FEV_2023!H904</f>
        <v>0</v>
      </c>
      <c r="I904" s="901">
        <f>GLOBAL_DER_FEV_2023!I904</f>
        <v>0</v>
      </c>
      <c r="J904" s="890">
        <f>GLOBAL_DER_FEV_2023!J904</f>
        <v>0</v>
      </c>
      <c r="K904" s="903" t="str">
        <f>GLOBAL_DER_FEV_2023!K904</f>
        <v xml:space="preserve">     </v>
      </c>
      <c r="L904" s="1137"/>
      <c r="M904" s="1140">
        <f t="shared" si="108"/>
        <v>0</v>
      </c>
      <c r="N904" s="1167">
        <f t="shared" si="112"/>
        <v>0</v>
      </c>
      <c r="O904" s="1165"/>
      <c r="Q904" s="317" t="str">
        <f t="shared" si="109"/>
        <v/>
      </c>
      <c r="R904" s="317" t="str">
        <f t="shared" si="110"/>
        <v/>
      </c>
      <c r="S904" s="317" t="str">
        <f t="shared" si="111"/>
        <v/>
      </c>
      <c r="T904" s="317" t="str">
        <f>GLOBAL_DER_FEV_2023!S904</f>
        <v/>
      </c>
      <c r="W904" s="582">
        <v>0</v>
      </c>
      <c r="X904" s="580"/>
      <c r="Y904" s="583">
        <f>IF(GLOBAL_DER_FEV_2023!W904=0,0,IF(GLOBAL_DER_FEV_2023!W904&gt;0,"c","b"))</f>
        <v>0</v>
      </c>
    </row>
    <row r="905" spans="1:25" ht="15" customHeight="1" x14ac:dyDescent="0.2">
      <c r="A905" s="640" t="s">
        <v>165</v>
      </c>
      <c r="B905" s="1036" t="str">
        <f>GLOBAL_DER_FEV_2023!B905</f>
        <v/>
      </c>
      <c r="C905" s="1072" t="str">
        <f>GLOBAL_DER_FEV_2023!C905</f>
        <v/>
      </c>
      <c r="D905" s="1141">
        <f>GLOBAL_DER_FEV_2023!D905</f>
        <v>0</v>
      </c>
      <c r="E905" s="907">
        <f>GLOBAL_DER_FEV_2023!E905</f>
        <v>0</v>
      </c>
      <c r="F905" s="908">
        <f>GLOBAL_DER_FEV_2023!F905</f>
        <v>0</v>
      </c>
      <c r="G905" s="912">
        <f>GLOBAL_DER_FEV_2023!G905</f>
        <v>0</v>
      </c>
      <c r="H905" s="901">
        <f>GLOBAL_DER_FEV_2023!H905</f>
        <v>0</v>
      </c>
      <c r="I905" s="901">
        <f>GLOBAL_DER_FEV_2023!I905</f>
        <v>0</v>
      </c>
      <c r="J905" s="890">
        <f>GLOBAL_DER_FEV_2023!J905</f>
        <v>0</v>
      </c>
      <c r="K905" s="903" t="str">
        <f>GLOBAL_DER_FEV_2023!K905</f>
        <v xml:space="preserve">     </v>
      </c>
      <c r="L905" s="1137"/>
      <c r="M905" s="1140">
        <f t="shared" si="108"/>
        <v>0</v>
      </c>
      <c r="N905" s="1167">
        <f t="shared" si="112"/>
        <v>0</v>
      </c>
      <c r="O905" s="1165"/>
      <c r="Q905" s="317" t="str">
        <f t="shared" si="109"/>
        <v/>
      </c>
      <c r="R905" s="317" t="str">
        <f t="shared" si="110"/>
        <v/>
      </c>
      <c r="S905" s="317" t="str">
        <f t="shared" si="111"/>
        <v/>
      </c>
      <c r="T905" s="317" t="str">
        <f>GLOBAL_DER_FEV_2023!S905</f>
        <v/>
      </c>
      <c r="W905" s="582">
        <v>0</v>
      </c>
      <c r="X905" s="580"/>
      <c r="Y905" s="583">
        <f>IF(GLOBAL_DER_FEV_2023!W905=0,0,IF(GLOBAL_DER_FEV_2023!W905&gt;0,"c","b"))</f>
        <v>0</v>
      </c>
    </row>
    <row r="906" spans="1:25" ht="15" customHeight="1" x14ac:dyDescent="0.2">
      <c r="A906" s="640" t="s">
        <v>165</v>
      </c>
      <c r="B906" s="1036" t="str">
        <f>GLOBAL_DER_FEV_2023!B906</f>
        <v/>
      </c>
      <c r="C906" s="1072" t="str">
        <f>GLOBAL_DER_FEV_2023!C906</f>
        <v/>
      </c>
      <c r="D906" s="1141">
        <f>GLOBAL_DER_FEV_2023!D906</f>
        <v>0</v>
      </c>
      <c r="E906" s="907">
        <f>GLOBAL_DER_FEV_2023!E906</f>
        <v>0</v>
      </c>
      <c r="F906" s="908">
        <f>GLOBAL_DER_FEV_2023!F906</f>
        <v>0</v>
      </c>
      <c r="G906" s="912">
        <f>GLOBAL_DER_FEV_2023!G906</f>
        <v>0</v>
      </c>
      <c r="H906" s="901">
        <f>GLOBAL_DER_FEV_2023!H906</f>
        <v>0</v>
      </c>
      <c r="I906" s="901">
        <f>GLOBAL_DER_FEV_2023!I906</f>
        <v>0</v>
      </c>
      <c r="J906" s="890">
        <f>GLOBAL_DER_FEV_2023!J906</f>
        <v>0</v>
      </c>
      <c r="K906" s="903" t="str">
        <f>GLOBAL_DER_FEV_2023!K906</f>
        <v xml:space="preserve">     </v>
      </c>
      <c r="L906" s="1137"/>
      <c r="M906" s="1140">
        <f t="shared" si="108"/>
        <v>0</v>
      </c>
      <c r="N906" s="1167">
        <f t="shared" si="112"/>
        <v>0</v>
      </c>
      <c r="O906" s="1165"/>
      <c r="Q906" s="317" t="str">
        <f t="shared" si="109"/>
        <v/>
      </c>
      <c r="R906" s="317" t="str">
        <f t="shared" si="110"/>
        <v/>
      </c>
      <c r="S906" s="317" t="str">
        <f t="shared" si="111"/>
        <v/>
      </c>
      <c r="T906" s="317" t="str">
        <f>GLOBAL_DER_FEV_2023!S906</f>
        <v/>
      </c>
      <c r="W906" s="582">
        <v>0</v>
      </c>
      <c r="X906" s="580"/>
      <c r="Y906" s="583">
        <f>IF(GLOBAL_DER_FEV_2023!W906=0,0,IF(GLOBAL_DER_FEV_2023!W906&gt;0,"c","b"))</f>
        <v>0</v>
      </c>
    </row>
    <row r="907" spans="1:25" ht="15" customHeight="1" x14ac:dyDescent="0.2">
      <c r="A907" s="640" t="s">
        <v>165</v>
      </c>
      <c r="B907" s="1036" t="str">
        <f>GLOBAL_DER_FEV_2023!B907</f>
        <v/>
      </c>
      <c r="C907" s="1072" t="str">
        <f>GLOBAL_DER_FEV_2023!C907</f>
        <v/>
      </c>
      <c r="D907" s="1141">
        <f>GLOBAL_DER_FEV_2023!D907</f>
        <v>0</v>
      </c>
      <c r="E907" s="907">
        <f>GLOBAL_DER_FEV_2023!E907</f>
        <v>0</v>
      </c>
      <c r="F907" s="908">
        <f>GLOBAL_DER_FEV_2023!F907</f>
        <v>0</v>
      </c>
      <c r="G907" s="912">
        <f>GLOBAL_DER_FEV_2023!G907</f>
        <v>0</v>
      </c>
      <c r="H907" s="901">
        <f>GLOBAL_DER_FEV_2023!H907</f>
        <v>0</v>
      </c>
      <c r="I907" s="901">
        <f>GLOBAL_DER_FEV_2023!I907</f>
        <v>0</v>
      </c>
      <c r="J907" s="890">
        <f>GLOBAL_DER_FEV_2023!J907</f>
        <v>0</v>
      </c>
      <c r="K907" s="903" t="str">
        <f>GLOBAL_DER_FEV_2023!K907</f>
        <v xml:space="preserve">     </v>
      </c>
      <c r="L907" s="1137"/>
      <c r="M907" s="1140">
        <f t="shared" si="108"/>
        <v>0</v>
      </c>
      <c r="N907" s="1167">
        <f t="shared" si="112"/>
        <v>0</v>
      </c>
      <c r="O907" s="1165"/>
      <c r="Q907" s="317" t="str">
        <f t="shared" si="109"/>
        <v/>
      </c>
      <c r="R907" s="317" t="str">
        <f t="shared" si="110"/>
        <v/>
      </c>
      <c r="S907" s="317" t="str">
        <f t="shared" si="111"/>
        <v/>
      </c>
      <c r="T907" s="317" t="str">
        <f>GLOBAL_DER_FEV_2023!S907</f>
        <v/>
      </c>
      <c r="W907" s="582">
        <v>0</v>
      </c>
      <c r="X907" s="580"/>
      <c r="Y907" s="583">
        <f>IF(GLOBAL_DER_FEV_2023!W907=0,0,IF(GLOBAL_DER_FEV_2023!W907&gt;0,"c","b"))</f>
        <v>0</v>
      </c>
    </row>
    <row r="908" spans="1:25" ht="15" customHeight="1" x14ac:dyDescent="0.2">
      <c r="A908" s="640" t="s">
        <v>165</v>
      </c>
      <c r="B908" s="1036" t="str">
        <f>GLOBAL_DER_FEV_2023!B908</f>
        <v/>
      </c>
      <c r="C908" s="1072" t="str">
        <f>GLOBAL_DER_FEV_2023!C908</f>
        <v/>
      </c>
      <c r="D908" s="1141">
        <f>GLOBAL_DER_FEV_2023!D908</f>
        <v>0</v>
      </c>
      <c r="E908" s="907">
        <f>GLOBAL_DER_FEV_2023!E908</f>
        <v>0</v>
      </c>
      <c r="F908" s="908">
        <f>GLOBAL_DER_FEV_2023!F908</f>
        <v>0</v>
      </c>
      <c r="G908" s="912">
        <f>GLOBAL_DER_FEV_2023!G908</f>
        <v>0</v>
      </c>
      <c r="H908" s="901">
        <f>GLOBAL_DER_FEV_2023!H908</f>
        <v>0</v>
      </c>
      <c r="I908" s="901">
        <f>GLOBAL_DER_FEV_2023!I908</f>
        <v>0</v>
      </c>
      <c r="J908" s="890">
        <f>GLOBAL_DER_FEV_2023!J908</f>
        <v>0</v>
      </c>
      <c r="K908" s="903" t="str">
        <f>GLOBAL_DER_FEV_2023!K908</f>
        <v xml:space="preserve">     </v>
      </c>
      <c r="L908" s="1137"/>
      <c r="M908" s="1140">
        <f t="shared" si="108"/>
        <v>0</v>
      </c>
      <c r="N908" s="1167">
        <f t="shared" si="112"/>
        <v>0</v>
      </c>
      <c r="O908" s="1165"/>
      <c r="Q908" s="317" t="str">
        <f t="shared" si="109"/>
        <v/>
      </c>
      <c r="R908" s="317" t="str">
        <f t="shared" si="110"/>
        <v/>
      </c>
      <c r="S908" s="317" t="str">
        <f t="shared" si="111"/>
        <v/>
      </c>
      <c r="T908" s="317" t="str">
        <f>GLOBAL_DER_FEV_2023!S908</f>
        <v/>
      </c>
      <c r="W908" s="582">
        <v>0</v>
      </c>
      <c r="X908" s="580"/>
      <c r="Y908" s="583">
        <f>IF(GLOBAL_DER_FEV_2023!W908=0,0,IF(GLOBAL_DER_FEV_2023!W908&gt;0,"c","b"))</f>
        <v>0</v>
      </c>
    </row>
    <row r="909" spans="1:25" ht="15" customHeight="1" x14ac:dyDescent="0.2">
      <c r="A909" s="640" t="s">
        <v>165</v>
      </c>
      <c r="B909" s="1036" t="str">
        <f>GLOBAL_DER_FEV_2023!B909</f>
        <v/>
      </c>
      <c r="C909" s="1072" t="str">
        <f>GLOBAL_DER_FEV_2023!C909</f>
        <v/>
      </c>
      <c r="D909" s="1141">
        <f>GLOBAL_DER_FEV_2023!D909</f>
        <v>0</v>
      </c>
      <c r="E909" s="907">
        <f>GLOBAL_DER_FEV_2023!E909</f>
        <v>0</v>
      </c>
      <c r="F909" s="908">
        <f>GLOBAL_DER_FEV_2023!F909</f>
        <v>0</v>
      </c>
      <c r="G909" s="912">
        <f>GLOBAL_DER_FEV_2023!G909</f>
        <v>0</v>
      </c>
      <c r="H909" s="901">
        <f>GLOBAL_DER_FEV_2023!H909</f>
        <v>0</v>
      </c>
      <c r="I909" s="901">
        <f>GLOBAL_DER_FEV_2023!I909</f>
        <v>0</v>
      </c>
      <c r="J909" s="890">
        <f>GLOBAL_DER_FEV_2023!J909</f>
        <v>0</v>
      </c>
      <c r="K909" s="903" t="str">
        <f>GLOBAL_DER_FEV_2023!K909</f>
        <v xml:space="preserve">     </v>
      </c>
      <c r="L909" s="1137"/>
      <c r="M909" s="1140">
        <f t="shared" si="108"/>
        <v>0</v>
      </c>
      <c r="N909" s="1167">
        <f t="shared" si="112"/>
        <v>0</v>
      </c>
      <c r="O909" s="1165"/>
      <c r="Q909" s="317" t="str">
        <f t="shared" si="109"/>
        <v/>
      </c>
      <c r="R909" s="317" t="str">
        <f t="shared" si="110"/>
        <v/>
      </c>
      <c r="S909" s="317" t="str">
        <f t="shared" si="111"/>
        <v/>
      </c>
      <c r="T909" s="317" t="str">
        <f>GLOBAL_DER_FEV_2023!S909</f>
        <v/>
      </c>
      <c r="W909" s="582">
        <v>0</v>
      </c>
      <c r="X909" s="580"/>
      <c r="Y909" s="583">
        <f>IF(GLOBAL_DER_FEV_2023!W909=0,0,IF(GLOBAL_DER_FEV_2023!W909&gt;0,"c","b"))</f>
        <v>0</v>
      </c>
    </row>
    <row r="910" spans="1:25" ht="15" customHeight="1" x14ac:dyDescent="0.2">
      <c r="A910" s="640" t="s">
        <v>165</v>
      </c>
      <c r="B910" s="1036" t="str">
        <f>GLOBAL_DER_FEV_2023!B910</f>
        <v/>
      </c>
      <c r="C910" s="1072" t="str">
        <f>GLOBAL_DER_FEV_2023!C910</f>
        <v/>
      </c>
      <c r="D910" s="1141">
        <f>GLOBAL_DER_FEV_2023!D910</f>
        <v>0</v>
      </c>
      <c r="E910" s="907">
        <f>GLOBAL_DER_FEV_2023!E910</f>
        <v>0</v>
      </c>
      <c r="F910" s="908">
        <f>GLOBAL_DER_FEV_2023!F910</f>
        <v>0</v>
      </c>
      <c r="G910" s="912">
        <f>GLOBAL_DER_FEV_2023!G910</f>
        <v>0</v>
      </c>
      <c r="H910" s="901">
        <f>GLOBAL_DER_FEV_2023!H910</f>
        <v>0</v>
      </c>
      <c r="I910" s="901">
        <f>GLOBAL_DER_FEV_2023!I910</f>
        <v>0</v>
      </c>
      <c r="J910" s="890">
        <f>GLOBAL_DER_FEV_2023!J910</f>
        <v>0</v>
      </c>
      <c r="K910" s="903" t="str">
        <f>GLOBAL_DER_FEV_2023!K910</f>
        <v xml:space="preserve">     </v>
      </c>
      <c r="L910" s="1137"/>
      <c r="M910" s="1140">
        <f t="shared" si="108"/>
        <v>0</v>
      </c>
      <c r="N910" s="1167">
        <f t="shared" si="112"/>
        <v>0</v>
      </c>
      <c r="O910" s="1165"/>
      <c r="Q910" s="317" t="str">
        <f t="shared" si="109"/>
        <v/>
      </c>
      <c r="R910" s="317" t="str">
        <f t="shared" si="110"/>
        <v/>
      </c>
      <c r="S910" s="317" t="str">
        <f t="shared" si="111"/>
        <v/>
      </c>
      <c r="T910" s="317" t="str">
        <f>GLOBAL_DER_FEV_2023!S910</f>
        <v/>
      </c>
      <c r="W910" s="582">
        <v>0</v>
      </c>
      <c r="X910" s="580"/>
      <c r="Y910" s="583">
        <f>IF(GLOBAL_DER_FEV_2023!W910=0,0,IF(GLOBAL_DER_FEV_2023!W910&gt;0,"c","b"))</f>
        <v>0</v>
      </c>
    </row>
    <row r="911" spans="1:25" ht="15" customHeight="1" x14ac:dyDescent="0.2">
      <c r="A911" s="640" t="s">
        <v>165</v>
      </c>
      <c r="B911" s="1036" t="str">
        <f>GLOBAL_DER_FEV_2023!B911</f>
        <v/>
      </c>
      <c r="C911" s="1072" t="str">
        <f>GLOBAL_DER_FEV_2023!C911</f>
        <v/>
      </c>
      <c r="D911" s="1141">
        <f>GLOBAL_DER_FEV_2023!D911</f>
        <v>0</v>
      </c>
      <c r="E911" s="907">
        <f>GLOBAL_DER_FEV_2023!E911</f>
        <v>0</v>
      </c>
      <c r="F911" s="908">
        <f>GLOBAL_DER_FEV_2023!F911</f>
        <v>0</v>
      </c>
      <c r="G911" s="912">
        <f>GLOBAL_DER_FEV_2023!G911</f>
        <v>0</v>
      </c>
      <c r="H911" s="901">
        <f>GLOBAL_DER_FEV_2023!H911</f>
        <v>0</v>
      </c>
      <c r="I911" s="901">
        <f>GLOBAL_DER_FEV_2023!I911</f>
        <v>0</v>
      </c>
      <c r="J911" s="890">
        <f>GLOBAL_DER_FEV_2023!J911</f>
        <v>0</v>
      </c>
      <c r="K911" s="903" t="str">
        <f>GLOBAL_DER_FEV_2023!K911</f>
        <v xml:space="preserve">     </v>
      </c>
      <c r="L911" s="1137"/>
      <c r="M911" s="1140">
        <f t="shared" si="108"/>
        <v>0</v>
      </c>
      <c r="N911" s="1167">
        <f t="shared" si="112"/>
        <v>0</v>
      </c>
      <c r="O911" s="1165"/>
      <c r="Q911" s="317" t="str">
        <f t="shared" si="109"/>
        <v/>
      </c>
      <c r="R911" s="317" t="str">
        <f t="shared" si="110"/>
        <v/>
      </c>
      <c r="S911" s="317" t="str">
        <f t="shared" si="111"/>
        <v/>
      </c>
      <c r="T911" s="317" t="str">
        <f>GLOBAL_DER_FEV_2023!S911</f>
        <v/>
      </c>
      <c r="W911" s="582">
        <v>0</v>
      </c>
      <c r="X911" s="580"/>
      <c r="Y911" s="583">
        <f>IF(GLOBAL_DER_FEV_2023!W911=0,0,IF(GLOBAL_DER_FEV_2023!W911&gt;0,"c","b"))</f>
        <v>0</v>
      </c>
    </row>
    <row r="912" spans="1:25" ht="15" customHeight="1" thickBot="1" x14ac:dyDescent="0.25">
      <c r="A912" s="640" t="s">
        <v>165</v>
      </c>
      <c r="B912" s="1036" t="str">
        <f>GLOBAL_DER_FEV_2023!B912</f>
        <v/>
      </c>
      <c r="C912" s="1072" t="str">
        <f>GLOBAL_DER_FEV_2023!C912</f>
        <v/>
      </c>
      <c r="D912" s="1141">
        <f>GLOBAL_DER_FEV_2023!D912</f>
        <v>0</v>
      </c>
      <c r="E912" s="907">
        <f>GLOBAL_DER_FEV_2023!E912</f>
        <v>0</v>
      </c>
      <c r="F912" s="908">
        <f>GLOBAL_DER_FEV_2023!F912</f>
        <v>0</v>
      </c>
      <c r="G912" s="912">
        <f>GLOBAL_DER_FEV_2023!G912</f>
        <v>0</v>
      </c>
      <c r="H912" s="901">
        <f>GLOBAL_DER_FEV_2023!H912</f>
        <v>0</v>
      </c>
      <c r="I912" s="901">
        <f>GLOBAL_DER_FEV_2023!I912</f>
        <v>0</v>
      </c>
      <c r="J912" s="890">
        <f>GLOBAL_DER_FEV_2023!J912</f>
        <v>0</v>
      </c>
      <c r="K912" s="903" t="str">
        <f>GLOBAL_DER_FEV_2023!K912</f>
        <v xml:space="preserve">     </v>
      </c>
      <c r="L912" s="1137"/>
      <c r="M912" s="1140">
        <f t="shared" ref="M912" si="113">IF(L912=0,0,ROUND(J912,2))</f>
        <v>0</v>
      </c>
      <c r="N912" s="1167">
        <f t="shared" si="112"/>
        <v>0</v>
      </c>
      <c r="O912" s="1165"/>
      <c r="Q912" s="317" t="str">
        <f t="shared" si="109"/>
        <v/>
      </c>
      <c r="R912" s="317" t="str">
        <f t="shared" si="110"/>
        <v/>
      </c>
      <c r="S912" s="317" t="str">
        <f t="shared" si="111"/>
        <v/>
      </c>
      <c r="T912" s="317" t="str">
        <f>GLOBAL_DER_FEV_2023!S912</f>
        <v/>
      </c>
      <c r="W912" s="582">
        <v>0</v>
      </c>
      <c r="X912" s="580"/>
      <c r="Y912" s="583">
        <f>IF(GLOBAL_DER_FEV_2023!W912=0,0,IF(GLOBAL_DER_FEV_2023!W912&gt;0,"c","b"))</f>
        <v>0</v>
      </c>
    </row>
    <row r="913" spans="1:25" ht="15" customHeight="1" thickBot="1" x14ac:dyDescent="0.25">
      <c r="A913" s="317" t="s">
        <v>310</v>
      </c>
      <c r="B913" s="950" t="s">
        <v>310</v>
      </c>
      <c r="C913" s="951"/>
      <c r="D913" s="952" t="s">
        <v>438</v>
      </c>
      <c r="E913" s="943">
        <f>GLOBAL_DER_FEV_2023!E913</f>
        <v>0</v>
      </c>
      <c r="F913" s="876"/>
      <c r="G913" s="945"/>
      <c r="H913" s="945">
        <f>GLOBAL_DER_FEV_2023!H913</f>
        <v>0</v>
      </c>
      <c r="I913" s="945">
        <f>GLOBAL_DER_FEV_2023!I913</f>
        <v>0</v>
      </c>
      <c r="J913" s="945">
        <f>GLOBAL_DER_FEV_2023!J913</f>
        <v>0</v>
      </c>
      <c r="K913" s="878" t="s">
        <v>507</v>
      </c>
      <c r="L913" s="879"/>
      <c r="M913" s="880">
        <f t="shared" ref="M913" si="114">IF(L913=0,0,ROUND(J913,2))</f>
        <v>0</v>
      </c>
      <c r="N913" s="881">
        <f t="shared" si="112"/>
        <v>0</v>
      </c>
      <c r="O913" s="882">
        <f>SUM(N914:N1624)</f>
        <v>0</v>
      </c>
      <c r="P913" s="58" t="str">
        <f>IF(OR(O913&gt;0,O913&gt;0),"X","")</f>
        <v/>
      </c>
      <c r="Q913" s="317" t="str">
        <f t="shared" si="109"/>
        <v/>
      </c>
      <c r="R913" s="317" t="str">
        <f t="shared" si="110"/>
        <v/>
      </c>
      <c r="S913" s="317" t="str">
        <f t="shared" si="111"/>
        <v/>
      </c>
      <c r="T913" s="317" t="str">
        <f>GLOBAL_DER_FEV_2023!S913</f>
        <v/>
      </c>
      <c r="W913" s="582">
        <v>0</v>
      </c>
      <c r="X913" s="580"/>
      <c r="Y913" s="583">
        <f>IF(GLOBAL_DER_FEV_2023!W913=0,0,IF(GLOBAL_DER_FEV_2023!W913&gt;0,"c","b"))</f>
        <v>0</v>
      </c>
    </row>
    <row r="914" spans="1:25" ht="33.75" x14ac:dyDescent="0.2">
      <c r="A914" s="317">
        <v>102102</v>
      </c>
      <c r="B914" s="895">
        <v>102102</v>
      </c>
      <c r="C914" s="896" t="s">
        <v>596</v>
      </c>
      <c r="D914" s="906" t="s">
        <v>841</v>
      </c>
      <c r="E914" s="907">
        <f>GLOBAL_DER_FEV_2023!E914</f>
        <v>0</v>
      </c>
      <c r="F914" s="908">
        <f>GLOBAL_DER_FEV_2023!F914</f>
        <v>0</v>
      </c>
      <c r="G914" s="912">
        <f>GLOBAL_DER_FEV_2023!G914</f>
        <v>0</v>
      </c>
      <c r="H914" s="901">
        <f>GLOBAL_DER_FEV_2023!H914</f>
        <v>9956</v>
      </c>
      <c r="I914" s="901">
        <f>GLOBAL_DER_FEV_2023!I914</f>
        <v>9956</v>
      </c>
      <c r="J914" s="902">
        <f>GLOBAL_DER_FEV_2023!J914</f>
        <v>11954.17</v>
      </c>
      <c r="K914" s="903" t="s">
        <v>1516</v>
      </c>
      <c r="L914" s="1137"/>
      <c r="M914" s="1138">
        <f t="shared" ref="M914:M965" si="115">IF(L914=0,0,ROUND(J914,2))</f>
        <v>0</v>
      </c>
      <c r="N914" s="893">
        <f t="shared" ref="N914:N918" si="116">IF(ISBLANK(L914),0,IF(W914=0,ROUND(L914*M914,2),IF(W914="b",ROUNDDOWN(L914*M914,2),ROUNDUP(L914*M914,2))))</f>
        <v>0</v>
      </c>
      <c r="O914" s="905"/>
      <c r="Q914" s="317" t="str">
        <f t="shared" ref="Q914:Q976" si="117">IF(P914="X","x",IF(P914="xx","x",IF(P914="xy","x",IF(P914="y","x",IF(OR(N914&gt;0,N914&gt;0),"x","")))))</f>
        <v/>
      </c>
      <c r="R914" s="317" t="str">
        <f t="shared" ref="R914" si="118">IF(P914="X","x",IF(P914="y","x",IF(P914="xx","x",IF(N914&gt;0,"x",""))))</f>
        <v/>
      </c>
      <c r="S914" s="317" t="str">
        <f t="shared" ref="S914" si="119">IF(P914="X","x",IF(N914&gt;0,"x",""))</f>
        <v/>
      </c>
      <c r="T914" s="317" t="str">
        <f>GLOBAL_DER_FEV_2023!S914</f>
        <v/>
      </c>
      <c r="W914" s="582">
        <v>0</v>
      </c>
      <c r="X914" s="580"/>
      <c r="Y914" s="583">
        <f>IF(GLOBAL_DER_FEV_2023!W914=0,0,IF(GLOBAL_DER_FEV_2023!W914&gt;0,"c","b"))</f>
        <v>0</v>
      </c>
    </row>
    <row r="915" spans="1:25" ht="33.75" x14ac:dyDescent="0.2">
      <c r="A915" s="317">
        <v>102103</v>
      </c>
      <c r="B915" s="895">
        <v>102103</v>
      </c>
      <c r="C915" s="896" t="s">
        <v>596</v>
      </c>
      <c r="D915" s="906" t="s">
        <v>842</v>
      </c>
      <c r="E915" s="907">
        <f>GLOBAL_DER_FEV_2023!E915</f>
        <v>0</v>
      </c>
      <c r="F915" s="908">
        <f>GLOBAL_DER_FEV_2023!F915</f>
        <v>0</v>
      </c>
      <c r="G915" s="912">
        <f>GLOBAL_DER_FEV_2023!G915</f>
        <v>0</v>
      </c>
      <c r="H915" s="901">
        <f>GLOBAL_DER_FEV_2023!H915</f>
        <v>11068.77</v>
      </c>
      <c r="I915" s="901">
        <f>GLOBAL_DER_FEV_2023!I915</f>
        <v>11068.77</v>
      </c>
      <c r="J915" s="902">
        <f>GLOBAL_DER_FEV_2023!J915</f>
        <v>13290.27</v>
      </c>
      <c r="K915" s="903" t="s">
        <v>1516</v>
      </c>
      <c r="L915" s="1137"/>
      <c r="M915" s="1138">
        <f t="shared" si="115"/>
        <v>0</v>
      </c>
      <c r="N915" s="893">
        <f t="shared" si="116"/>
        <v>0</v>
      </c>
      <c r="O915" s="905"/>
      <c r="Q915" s="317" t="str">
        <f t="shared" si="117"/>
        <v/>
      </c>
      <c r="R915" s="317" t="str">
        <f t="shared" ref="R915:R978" si="120">IF(P915="X","x",IF(P915="y","x",IF(P915="xx","x",IF(N915&gt;0,"x",""))))</f>
        <v/>
      </c>
      <c r="S915" s="317" t="str">
        <f t="shared" ref="S915:S978" si="121">IF(P915="X","x",IF(N915&gt;0,"x",""))</f>
        <v/>
      </c>
      <c r="T915" s="317" t="str">
        <f>GLOBAL_DER_FEV_2023!S915</f>
        <v/>
      </c>
      <c r="W915" s="582">
        <v>0</v>
      </c>
      <c r="X915" s="580"/>
      <c r="Y915" s="583">
        <f>IF(GLOBAL_DER_FEV_2023!W915=0,0,IF(GLOBAL_DER_FEV_2023!W915&gt;0,"c","b"))</f>
        <v>0</v>
      </c>
    </row>
    <row r="916" spans="1:25" ht="33.75" x14ac:dyDescent="0.2">
      <c r="A916" s="317">
        <v>102104</v>
      </c>
      <c r="B916" s="895">
        <v>102104</v>
      </c>
      <c r="C916" s="896" t="s">
        <v>596</v>
      </c>
      <c r="D916" s="906" t="s">
        <v>843</v>
      </c>
      <c r="E916" s="907">
        <f>GLOBAL_DER_FEV_2023!E916</f>
        <v>0</v>
      </c>
      <c r="F916" s="908">
        <f>GLOBAL_DER_FEV_2023!F916</f>
        <v>0</v>
      </c>
      <c r="G916" s="912">
        <f>GLOBAL_DER_FEV_2023!G916</f>
        <v>0</v>
      </c>
      <c r="H916" s="901">
        <f>GLOBAL_DER_FEV_2023!H916</f>
        <v>14168.89</v>
      </c>
      <c r="I916" s="901">
        <f>GLOBAL_DER_FEV_2023!I916</f>
        <v>14168.89</v>
      </c>
      <c r="J916" s="902">
        <f>GLOBAL_DER_FEV_2023!J916</f>
        <v>17012.59</v>
      </c>
      <c r="K916" s="903" t="s">
        <v>1516</v>
      </c>
      <c r="L916" s="1137"/>
      <c r="M916" s="1138">
        <f t="shared" si="115"/>
        <v>0</v>
      </c>
      <c r="N916" s="893">
        <f t="shared" si="116"/>
        <v>0</v>
      </c>
      <c r="O916" s="905"/>
      <c r="Q916" s="317" t="str">
        <f t="shared" si="117"/>
        <v/>
      </c>
      <c r="R916" s="317" t="str">
        <f t="shared" si="120"/>
        <v/>
      </c>
      <c r="S916" s="317" t="str">
        <f t="shared" si="121"/>
        <v/>
      </c>
      <c r="T916" s="317" t="str">
        <f>GLOBAL_DER_FEV_2023!S916</f>
        <v/>
      </c>
      <c r="W916" s="582">
        <v>0</v>
      </c>
      <c r="X916" s="580"/>
      <c r="Y916" s="583">
        <f>IF(GLOBAL_DER_FEV_2023!W916=0,0,IF(GLOBAL_DER_FEV_2023!W916&gt;0,"c","b"))</f>
        <v>0</v>
      </c>
    </row>
    <row r="917" spans="1:25" ht="33.75" x14ac:dyDescent="0.2">
      <c r="A917" s="317">
        <v>102105</v>
      </c>
      <c r="B917" s="895">
        <v>102105</v>
      </c>
      <c r="C917" s="896" t="s">
        <v>596</v>
      </c>
      <c r="D917" s="906" t="s">
        <v>844</v>
      </c>
      <c r="E917" s="907">
        <f>GLOBAL_DER_FEV_2023!E917</f>
        <v>0</v>
      </c>
      <c r="F917" s="908">
        <f>GLOBAL_DER_FEV_2023!F917</f>
        <v>0</v>
      </c>
      <c r="G917" s="912">
        <f>GLOBAL_DER_FEV_2023!G917</f>
        <v>0</v>
      </c>
      <c r="H917" s="901">
        <f>GLOBAL_DER_FEV_2023!H917</f>
        <v>17389.88</v>
      </c>
      <c r="I917" s="901">
        <f>GLOBAL_DER_FEV_2023!I917</f>
        <v>17389.88</v>
      </c>
      <c r="J917" s="902">
        <f>GLOBAL_DER_FEV_2023!J917</f>
        <v>20880.03</v>
      </c>
      <c r="K917" s="903" t="s">
        <v>1516</v>
      </c>
      <c r="L917" s="1137"/>
      <c r="M917" s="1138">
        <f t="shared" si="115"/>
        <v>0</v>
      </c>
      <c r="N917" s="893">
        <f t="shared" si="116"/>
        <v>0</v>
      </c>
      <c r="O917" s="905"/>
      <c r="Q917" s="317" t="str">
        <f t="shared" si="117"/>
        <v/>
      </c>
      <c r="R917" s="317" t="str">
        <f t="shared" si="120"/>
        <v/>
      </c>
      <c r="S917" s="317" t="str">
        <f t="shared" si="121"/>
        <v/>
      </c>
      <c r="T917" s="317" t="str">
        <f>GLOBAL_DER_FEV_2023!S917</f>
        <v/>
      </c>
      <c r="W917" s="582">
        <v>0</v>
      </c>
      <c r="X917" s="580"/>
      <c r="Y917" s="583">
        <f>IF(GLOBAL_DER_FEV_2023!W917=0,0,IF(GLOBAL_DER_FEV_2023!W917&gt;0,"c","b"))</f>
        <v>0</v>
      </c>
    </row>
    <row r="918" spans="1:25" ht="33.75" x14ac:dyDescent="0.2">
      <c r="A918" s="317">
        <v>102106</v>
      </c>
      <c r="B918" s="895">
        <v>102106</v>
      </c>
      <c r="C918" s="896" t="s">
        <v>596</v>
      </c>
      <c r="D918" s="906" t="s">
        <v>845</v>
      </c>
      <c r="E918" s="907">
        <f>GLOBAL_DER_FEV_2023!E918</f>
        <v>0</v>
      </c>
      <c r="F918" s="908">
        <f>GLOBAL_DER_FEV_2023!F918</f>
        <v>0</v>
      </c>
      <c r="G918" s="912">
        <f>GLOBAL_DER_FEV_2023!G918</f>
        <v>0</v>
      </c>
      <c r="H918" s="901">
        <f>GLOBAL_DER_FEV_2023!H918</f>
        <v>21783.06</v>
      </c>
      <c r="I918" s="901">
        <f>GLOBAL_DER_FEV_2023!I918</f>
        <v>21783.06</v>
      </c>
      <c r="J918" s="902">
        <f>GLOBAL_DER_FEV_2023!J918</f>
        <v>26154.92</v>
      </c>
      <c r="K918" s="903" t="s">
        <v>1516</v>
      </c>
      <c r="L918" s="1137"/>
      <c r="M918" s="1138">
        <f t="shared" si="115"/>
        <v>0</v>
      </c>
      <c r="N918" s="893">
        <f t="shared" si="116"/>
        <v>0</v>
      </c>
      <c r="O918" s="905"/>
      <c r="Q918" s="317" t="str">
        <f t="shared" si="117"/>
        <v/>
      </c>
      <c r="R918" s="317" t="str">
        <f t="shared" si="120"/>
        <v/>
      </c>
      <c r="S918" s="317" t="str">
        <f t="shared" si="121"/>
        <v/>
      </c>
      <c r="T918" s="317" t="str">
        <f>GLOBAL_DER_FEV_2023!S918</f>
        <v/>
      </c>
      <c r="W918" s="582">
        <v>0</v>
      </c>
      <c r="X918" s="580"/>
      <c r="Y918" s="583">
        <f>IF(GLOBAL_DER_FEV_2023!W918=0,0,IF(GLOBAL_DER_FEV_2023!W918&gt;0,"c","b"))</f>
        <v>0</v>
      </c>
    </row>
    <row r="919" spans="1:25" ht="33.75" x14ac:dyDescent="0.2">
      <c r="A919" s="317">
        <v>102107</v>
      </c>
      <c r="B919" s="895">
        <v>102107</v>
      </c>
      <c r="C919" s="896" t="s">
        <v>596</v>
      </c>
      <c r="D919" s="906" t="s">
        <v>846</v>
      </c>
      <c r="E919" s="907">
        <f>GLOBAL_DER_FEV_2023!E919</f>
        <v>0</v>
      </c>
      <c r="F919" s="908">
        <f>GLOBAL_DER_FEV_2023!F919</f>
        <v>0</v>
      </c>
      <c r="G919" s="912">
        <f>GLOBAL_DER_FEV_2023!G919</f>
        <v>0</v>
      </c>
      <c r="H919" s="901">
        <f>GLOBAL_DER_FEV_2023!H919</f>
        <v>30352.89</v>
      </c>
      <c r="I919" s="901">
        <f>GLOBAL_DER_FEV_2023!I919</f>
        <v>30352.89</v>
      </c>
      <c r="J919" s="902">
        <f>GLOBAL_DER_FEV_2023!J919</f>
        <v>36444.720000000001</v>
      </c>
      <c r="K919" s="903" t="s">
        <v>1516</v>
      </c>
      <c r="L919" s="1137"/>
      <c r="M919" s="1138">
        <f t="shared" si="115"/>
        <v>0</v>
      </c>
      <c r="N919" s="893">
        <f t="shared" ref="N919:N982" si="122">IF(ISBLANK(L919),0,IF(W919=0,ROUND(L919*M919,2),IF(W919="b",ROUNDDOWN(L919*M919,2),ROUNDUP(L919*M919,2))))</f>
        <v>0</v>
      </c>
      <c r="O919" s="905"/>
      <c r="Q919" s="317" t="str">
        <f t="shared" si="117"/>
        <v/>
      </c>
      <c r="R919" s="317" t="str">
        <f t="shared" si="120"/>
        <v/>
      </c>
      <c r="S919" s="317" t="str">
        <f t="shared" si="121"/>
        <v/>
      </c>
      <c r="T919" s="317" t="str">
        <f>GLOBAL_DER_FEV_2023!S919</f>
        <v/>
      </c>
      <c r="W919" s="582">
        <v>0</v>
      </c>
      <c r="X919" s="580"/>
      <c r="Y919" s="583">
        <f>IF(GLOBAL_DER_FEV_2023!W919=0,0,IF(GLOBAL_DER_FEV_2023!W919&gt;0,"c","b"))</f>
        <v>0</v>
      </c>
    </row>
    <row r="920" spans="1:25" ht="33.75" x14ac:dyDescent="0.2">
      <c r="A920" s="317">
        <v>102108</v>
      </c>
      <c r="B920" s="895">
        <v>102108</v>
      </c>
      <c r="C920" s="896" t="s">
        <v>596</v>
      </c>
      <c r="D920" s="906" t="s">
        <v>847</v>
      </c>
      <c r="E920" s="907">
        <f>GLOBAL_DER_FEV_2023!E920</f>
        <v>0</v>
      </c>
      <c r="F920" s="908">
        <f>GLOBAL_DER_FEV_2023!F920</f>
        <v>0</v>
      </c>
      <c r="G920" s="912">
        <f>GLOBAL_DER_FEV_2023!G920</f>
        <v>0</v>
      </c>
      <c r="H920" s="901">
        <f>GLOBAL_DER_FEV_2023!H920</f>
        <v>35328.54</v>
      </c>
      <c r="I920" s="901">
        <f>GLOBAL_DER_FEV_2023!I920</f>
        <v>35328.54</v>
      </c>
      <c r="J920" s="902">
        <f>GLOBAL_DER_FEV_2023!J920</f>
        <v>42418.98</v>
      </c>
      <c r="K920" s="903" t="s">
        <v>1516</v>
      </c>
      <c r="L920" s="1137"/>
      <c r="M920" s="1138">
        <f t="shared" si="115"/>
        <v>0</v>
      </c>
      <c r="N920" s="893">
        <f t="shared" si="122"/>
        <v>0</v>
      </c>
      <c r="O920" s="905"/>
      <c r="Q920" s="317" t="str">
        <f t="shared" si="117"/>
        <v/>
      </c>
      <c r="R920" s="317" t="str">
        <f t="shared" si="120"/>
        <v/>
      </c>
      <c r="S920" s="317" t="str">
        <f t="shared" si="121"/>
        <v/>
      </c>
      <c r="T920" s="317" t="str">
        <f>GLOBAL_DER_FEV_2023!S920</f>
        <v/>
      </c>
      <c r="W920" s="582">
        <v>0</v>
      </c>
      <c r="X920" s="580"/>
      <c r="Y920" s="583">
        <f>IF(GLOBAL_DER_FEV_2023!W920=0,0,IF(GLOBAL_DER_FEV_2023!W920&gt;0,"c","b"))</f>
        <v>0</v>
      </c>
    </row>
    <row r="921" spans="1:25" ht="22.5" x14ac:dyDescent="0.2">
      <c r="A921" s="317">
        <v>102109</v>
      </c>
      <c r="B921" s="895">
        <v>102109</v>
      </c>
      <c r="C921" s="896" t="s">
        <v>596</v>
      </c>
      <c r="D921" s="906" t="s">
        <v>848</v>
      </c>
      <c r="E921" s="907">
        <f>GLOBAL_DER_FEV_2023!E921</f>
        <v>0</v>
      </c>
      <c r="F921" s="908">
        <f>GLOBAL_DER_FEV_2023!F921</f>
        <v>0</v>
      </c>
      <c r="G921" s="912">
        <f>GLOBAL_DER_FEV_2023!G921</f>
        <v>0</v>
      </c>
      <c r="H921" s="901">
        <f>GLOBAL_DER_FEV_2023!H921</f>
        <v>45.94</v>
      </c>
      <c r="I921" s="901">
        <f>GLOBAL_DER_FEV_2023!I921</f>
        <v>45.94</v>
      </c>
      <c r="J921" s="902">
        <f>GLOBAL_DER_FEV_2023!J921</f>
        <v>55.16</v>
      </c>
      <c r="K921" s="903" t="s">
        <v>1516</v>
      </c>
      <c r="L921" s="1137"/>
      <c r="M921" s="1138">
        <f t="shared" si="115"/>
        <v>0</v>
      </c>
      <c r="N921" s="893">
        <f t="shared" si="122"/>
        <v>0</v>
      </c>
      <c r="O921" s="905"/>
      <c r="Q921" s="317" t="str">
        <f t="shared" si="117"/>
        <v/>
      </c>
      <c r="R921" s="317" t="str">
        <f t="shared" si="120"/>
        <v/>
      </c>
      <c r="S921" s="317" t="str">
        <f t="shared" si="121"/>
        <v/>
      </c>
      <c r="T921" s="317" t="str">
        <f>GLOBAL_DER_FEV_2023!S921</f>
        <v/>
      </c>
      <c r="W921" s="582">
        <v>0</v>
      </c>
      <c r="X921" s="580"/>
      <c r="Y921" s="583">
        <f>IF(GLOBAL_DER_FEV_2023!W921=0,0,IF(GLOBAL_DER_FEV_2023!W921&gt;0,"c","b"))</f>
        <v>0</v>
      </c>
    </row>
    <row r="922" spans="1:25" ht="22.5" x14ac:dyDescent="0.2">
      <c r="A922" s="317">
        <v>102110</v>
      </c>
      <c r="B922" s="895">
        <v>102110</v>
      </c>
      <c r="C922" s="896" t="s">
        <v>596</v>
      </c>
      <c r="D922" s="906" t="s">
        <v>849</v>
      </c>
      <c r="E922" s="907">
        <f>GLOBAL_DER_FEV_2023!E922</f>
        <v>0</v>
      </c>
      <c r="F922" s="908">
        <f>GLOBAL_DER_FEV_2023!F922</f>
        <v>0</v>
      </c>
      <c r="G922" s="912">
        <f>GLOBAL_DER_FEV_2023!G922</f>
        <v>0</v>
      </c>
      <c r="H922" s="901">
        <f>GLOBAL_DER_FEV_2023!H922</f>
        <v>110.92</v>
      </c>
      <c r="I922" s="901">
        <f>GLOBAL_DER_FEV_2023!I922</f>
        <v>110.92</v>
      </c>
      <c r="J922" s="902">
        <f>GLOBAL_DER_FEV_2023!J922</f>
        <v>133.18</v>
      </c>
      <c r="K922" s="903" t="s">
        <v>1516</v>
      </c>
      <c r="L922" s="1137"/>
      <c r="M922" s="1138">
        <f t="shared" si="115"/>
        <v>0</v>
      </c>
      <c r="N922" s="893">
        <f t="shared" si="122"/>
        <v>0</v>
      </c>
      <c r="O922" s="905"/>
      <c r="Q922" s="317" t="str">
        <f t="shared" si="117"/>
        <v/>
      </c>
      <c r="R922" s="317" t="str">
        <f t="shared" si="120"/>
        <v/>
      </c>
      <c r="S922" s="317" t="str">
        <f t="shared" si="121"/>
        <v/>
      </c>
      <c r="T922" s="317" t="str">
        <f>GLOBAL_DER_FEV_2023!S922</f>
        <v/>
      </c>
      <c r="W922" s="582">
        <v>0</v>
      </c>
      <c r="X922" s="580"/>
      <c r="Y922" s="583">
        <f>IF(GLOBAL_DER_FEV_2023!W922=0,0,IF(GLOBAL_DER_FEV_2023!W922&gt;0,"c","b"))</f>
        <v>0</v>
      </c>
    </row>
    <row r="923" spans="1:25" ht="22.5" x14ac:dyDescent="0.2">
      <c r="A923" s="317">
        <v>100619</v>
      </c>
      <c r="B923" s="895">
        <v>100619</v>
      </c>
      <c r="C923" s="896" t="s">
        <v>596</v>
      </c>
      <c r="D923" s="906" t="s">
        <v>850</v>
      </c>
      <c r="E923" s="907">
        <f>GLOBAL_DER_FEV_2023!E923</f>
        <v>0</v>
      </c>
      <c r="F923" s="908">
        <f>GLOBAL_DER_FEV_2023!F923</f>
        <v>0</v>
      </c>
      <c r="G923" s="912">
        <f>GLOBAL_DER_FEV_2023!G923</f>
        <v>0</v>
      </c>
      <c r="H923" s="901">
        <f>GLOBAL_DER_FEV_2023!H923</f>
        <v>601.52</v>
      </c>
      <c r="I923" s="901">
        <f>GLOBAL_DER_FEV_2023!I923</f>
        <v>601.52</v>
      </c>
      <c r="J923" s="902">
        <f>GLOBAL_DER_FEV_2023!J923</f>
        <v>722.25</v>
      </c>
      <c r="K923" s="903" t="s">
        <v>1516</v>
      </c>
      <c r="L923" s="1137"/>
      <c r="M923" s="1138">
        <f t="shared" si="115"/>
        <v>0</v>
      </c>
      <c r="N923" s="893">
        <f t="shared" si="122"/>
        <v>0</v>
      </c>
      <c r="O923" s="905"/>
      <c r="Q923" s="317" t="str">
        <f t="shared" si="117"/>
        <v/>
      </c>
      <c r="R923" s="317" t="str">
        <f t="shared" si="120"/>
        <v/>
      </c>
      <c r="S923" s="317" t="str">
        <f t="shared" si="121"/>
        <v/>
      </c>
      <c r="T923" s="317" t="str">
        <f>GLOBAL_DER_FEV_2023!S923</f>
        <v/>
      </c>
      <c r="W923" s="582">
        <v>0</v>
      </c>
      <c r="X923" s="580"/>
      <c r="Y923" s="583">
        <f>IF(GLOBAL_DER_FEV_2023!W923=0,0,IF(GLOBAL_DER_FEV_2023!W923&gt;0,"c","b"))</f>
        <v>0</v>
      </c>
    </row>
    <row r="924" spans="1:25" ht="22.5" x14ac:dyDescent="0.2">
      <c r="A924" s="317">
        <v>100620</v>
      </c>
      <c r="B924" s="895">
        <v>100620</v>
      </c>
      <c r="C924" s="896" t="s">
        <v>596</v>
      </c>
      <c r="D924" s="906" t="s">
        <v>851</v>
      </c>
      <c r="E924" s="907">
        <f>GLOBAL_DER_FEV_2023!E924</f>
        <v>0</v>
      </c>
      <c r="F924" s="908">
        <f>GLOBAL_DER_FEV_2023!F924</f>
        <v>0</v>
      </c>
      <c r="G924" s="912">
        <f>GLOBAL_DER_FEV_2023!G924</f>
        <v>0</v>
      </c>
      <c r="H924" s="901">
        <f>GLOBAL_DER_FEV_2023!H924</f>
        <v>3497.06</v>
      </c>
      <c r="I924" s="901">
        <f>GLOBAL_DER_FEV_2023!I924</f>
        <v>3497.06</v>
      </c>
      <c r="J924" s="902">
        <f>GLOBAL_DER_FEV_2023!J924</f>
        <v>4198.92</v>
      </c>
      <c r="K924" s="903" t="s">
        <v>1516</v>
      </c>
      <c r="L924" s="1137"/>
      <c r="M924" s="1138">
        <f t="shared" si="115"/>
        <v>0</v>
      </c>
      <c r="N924" s="893">
        <f t="shared" si="122"/>
        <v>0</v>
      </c>
      <c r="O924" s="905"/>
      <c r="Q924" s="317" t="str">
        <f t="shared" si="117"/>
        <v/>
      </c>
      <c r="R924" s="317" t="str">
        <f t="shared" si="120"/>
        <v/>
      </c>
      <c r="S924" s="317" t="str">
        <f t="shared" si="121"/>
        <v/>
      </c>
      <c r="T924" s="317" t="str">
        <f>GLOBAL_DER_FEV_2023!S924</f>
        <v/>
      </c>
      <c r="W924" s="582">
        <v>0</v>
      </c>
      <c r="X924" s="580"/>
      <c r="Y924" s="583">
        <f>IF(GLOBAL_DER_FEV_2023!W924=0,0,IF(GLOBAL_DER_FEV_2023!W924&gt;0,"c","b"))</f>
        <v>0</v>
      </c>
    </row>
    <row r="925" spans="1:25" ht="22.5" x14ac:dyDescent="0.2">
      <c r="A925" s="317">
        <v>100621</v>
      </c>
      <c r="B925" s="895">
        <v>100621</v>
      </c>
      <c r="C925" s="896" t="s">
        <v>596</v>
      </c>
      <c r="D925" s="906" t="s">
        <v>852</v>
      </c>
      <c r="E925" s="907">
        <f>GLOBAL_DER_FEV_2023!E925</f>
        <v>0</v>
      </c>
      <c r="F925" s="908">
        <f>GLOBAL_DER_FEV_2023!F925</f>
        <v>0</v>
      </c>
      <c r="G925" s="912">
        <f>GLOBAL_DER_FEV_2023!G925</f>
        <v>0</v>
      </c>
      <c r="H925" s="901">
        <f>GLOBAL_DER_FEV_2023!H925</f>
        <v>3985.57</v>
      </c>
      <c r="I925" s="901">
        <f>GLOBAL_DER_FEV_2023!I925</f>
        <v>3985.57</v>
      </c>
      <c r="J925" s="902">
        <f>GLOBAL_DER_FEV_2023!J925</f>
        <v>4785.47</v>
      </c>
      <c r="K925" s="903" t="s">
        <v>1516</v>
      </c>
      <c r="L925" s="1137"/>
      <c r="M925" s="1138">
        <f t="shared" si="115"/>
        <v>0</v>
      </c>
      <c r="N925" s="893">
        <f t="shared" si="122"/>
        <v>0</v>
      </c>
      <c r="O925" s="905"/>
      <c r="Q925" s="317" t="str">
        <f t="shared" si="117"/>
        <v/>
      </c>
      <c r="R925" s="317" t="str">
        <f t="shared" si="120"/>
        <v/>
      </c>
      <c r="S925" s="317" t="str">
        <f t="shared" si="121"/>
        <v/>
      </c>
      <c r="T925" s="317" t="str">
        <f>GLOBAL_DER_FEV_2023!S925</f>
        <v/>
      </c>
      <c r="W925" s="582">
        <v>0</v>
      </c>
      <c r="X925" s="580"/>
      <c r="Y925" s="583">
        <f>IF(GLOBAL_DER_FEV_2023!W925=0,0,IF(GLOBAL_DER_FEV_2023!W925&gt;0,"c","b"))</f>
        <v>0</v>
      </c>
    </row>
    <row r="926" spans="1:25" ht="22.5" x14ac:dyDescent="0.2">
      <c r="A926" s="317">
        <v>100622</v>
      </c>
      <c r="B926" s="895">
        <v>100622</v>
      </c>
      <c r="C926" s="896" t="s">
        <v>596</v>
      </c>
      <c r="D926" s="906" t="s">
        <v>853</v>
      </c>
      <c r="E926" s="907">
        <f>GLOBAL_DER_FEV_2023!E926</f>
        <v>0</v>
      </c>
      <c r="F926" s="908">
        <f>GLOBAL_DER_FEV_2023!F926</f>
        <v>0</v>
      </c>
      <c r="G926" s="912">
        <f>GLOBAL_DER_FEV_2023!G926</f>
        <v>0</v>
      </c>
      <c r="H926" s="901">
        <f>GLOBAL_DER_FEV_2023!H926</f>
        <v>2579.4299999999998</v>
      </c>
      <c r="I926" s="901">
        <f>GLOBAL_DER_FEV_2023!I926</f>
        <v>2579.4299999999998</v>
      </c>
      <c r="J926" s="902">
        <f>GLOBAL_DER_FEV_2023!J926</f>
        <v>3097.12</v>
      </c>
      <c r="K926" s="903" t="s">
        <v>1516</v>
      </c>
      <c r="L926" s="1137"/>
      <c r="M926" s="1138">
        <f t="shared" si="115"/>
        <v>0</v>
      </c>
      <c r="N926" s="893">
        <f t="shared" si="122"/>
        <v>0</v>
      </c>
      <c r="O926" s="905"/>
      <c r="Q926" s="317" t="str">
        <f t="shared" si="117"/>
        <v/>
      </c>
      <c r="R926" s="317" t="str">
        <f t="shared" si="120"/>
        <v/>
      </c>
      <c r="S926" s="317" t="str">
        <f t="shared" si="121"/>
        <v/>
      </c>
      <c r="T926" s="317" t="str">
        <f>GLOBAL_DER_FEV_2023!S926</f>
        <v/>
      </c>
      <c r="W926" s="582">
        <v>0</v>
      </c>
      <c r="X926" s="580"/>
      <c r="Y926" s="583">
        <f>IF(GLOBAL_DER_FEV_2023!W926=0,0,IF(GLOBAL_DER_FEV_2023!W926&gt;0,"c","b"))</f>
        <v>0</v>
      </c>
    </row>
    <row r="927" spans="1:25" ht="22.5" x14ac:dyDescent="0.2">
      <c r="A927" s="317">
        <v>100623</v>
      </c>
      <c r="B927" s="895">
        <v>100623</v>
      </c>
      <c r="C927" s="896" t="s">
        <v>596</v>
      </c>
      <c r="D927" s="906" t="s">
        <v>854</v>
      </c>
      <c r="E927" s="907">
        <f>GLOBAL_DER_FEV_2023!E927</f>
        <v>0</v>
      </c>
      <c r="F927" s="908">
        <f>GLOBAL_DER_FEV_2023!F927</f>
        <v>0</v>
      </c>
      <c r="G927" s="912">
        <f>GLOBAL_DER_FEV_2023!G927</f>
        <v>0</v>
      </c>
      <c r="H927" s="901">
        <f>GLOBAL_DER_FEV_2023!H927</f>
        <v>2785.78</v>
      </c>
      <c r="I927" s="901">
        <f>GLOBAL_DER_FEV_2023!I927</f>
        <v>2785.78</v>
      </c>
      <c r="J927" s="902">
        <f>GLOBAL_DER_FEV_2023!J927</f>
        <v>3344.89</v>
      </c>
      <c r="K927" s="903" t="s">
        <v>1516</v>
      </c>
      <c r="L927" s="1137"/>
      <c r="M927" s="1138">
        <f t="shared" si="115"/>
        <v>0</v>
      </c>
      <c r="N927" s="893">
        <f t="shared" si="122"/>
        <v>0</v>
      </c>
      <c r="O927" s="905"/>
      <c r="Q927" s="317" t="str">
        <f t="shared" si="117"/>
        <v/>
      </c>
      <c r="R927" s="317" t="str">
        <f t="shared" si="120"/>
        <v/>
      </c>
      <c r="S927" s="317" t="str">
        <f t="shared" si="121"/>
        <v/>
      </c>
      <c r="T927" s="317" t="str">
        <f>GLOBAL_DER_FEV_2023!S927</f>
        <v/>
      </c>
      <c r="W927" s="582">
        <v>0</v>
      </c>
      <c r="X927" s="580"/>
      <c r="Y927" s="583">
        <f>IF(GLOBAL_DER_FEV_2023!W927=0,0,IF(GLOBAL_DER_FEV_2023!W927&gt;0,"c","b"))</f>
        <v>0</v>
      </c>
    </row>
    <row r="928" spans="1:25" ht="33.75" x14ac:dyDescent="0.2">
      <c r="A928" s="317">
        <v>100578</v>
      </c>
      <c r="B928" s="895">
        <v>100578</v>
      </c>
      <c r="C928" s="896" t="s">
        <v>596</v>
      </c>
      <c r="D928" s="906" t="s">
        <v>855</v>
      </c>
      <c r="E928" s="907">
        <f>GLOBAL_DER_FEV_2023!E928</f>
        <v>0</v>
      </c>
      <c r="F928" s="908">
        <f>GLOBAL_DER_FEV_2023!F928</f>
        <v>0</v>
      </c>
      <c r="G928" s="912">
        <f>GLOBAL_DER_FEV_2023!G928</f>
        <v>0</v>
      </c>
      <c r="H928" s="901">
        <f>GLOBAL_DER_FEV_2023!H928</f>
        <v>509.26</v>
      </c>
      <c r="I928" s="901">
        <f>GLOBAL_DER_FEV_2023!I928</f>
        <v>509.26</v>
      </c>
      <c r="J928" s="902">
        <f>GLOBAL_DER_FEV_2023!J928</f>
        <v>611.47</v>
      </c>
      <c r="K928" s="903" t="s">
        <v>1516</v>
      </c>
      <c r="L928" s="1137"/>
      <c r="M928" s="1138">
        <f t="shared" si="115"/>
        <v>0</v>
      </c>
      <c r="N928" s="893">
        <f t="shared" si="122"/>
        <v>0</v>
      </c>
      <c r="O928" s="905"/>
      <c r="Q928" s="317" t="str">
        <f t="shared" si="117"/>
        <v/>
      </c>
      <c r="R928" s="317" t="str">
        <f t="shared" si="120"/>
        <v/>
      </c>
      <c r="S928" s="317" t="str">
        <f t="shared" si="121"/>
        <v/>
      </c>
      <c r="T928" s="317" t="str">
        <f>GLOBAL_DER_FEV_2023!S928</f>
        <v/>
      </c>
      <c r="W928" s="582">
        <v>0</v>
      </c>
      <c r="X928" s="580"/>
      <c r="Y928" s="583">
        <f>IF(GLOBAL_DER_FEV_2023!W928=0,0,IF(GLOBAL_DER_FEV_2023!W928&gt;0,"c","b"))</f>
        <v>0</v>
      </c>
    </row>
    <row r="929" spans="1:25" ht="33.75" x14ac:dyDescent="0.2">
      <c r="A929" s="317">
        <v>100579</v>
      </c>
      <c r="B929" s="895">
        <v>100579</v>
      </c>
      <c r="C929" s="896" t="s">
        <v>596</v>
      </c>
      <c r="D929" s="906" t="s">
        <v>856</v>
      </c>
      <c r="E929" s="907">
        <f>GLOBAL_DER_FEV_2023!E929</f>
        <v>0</v>
      </c>
      <c r="F929" s="908">
        <f>GLOBAL_DER_FEV_2023!F929</f>
        <v>0</v>
      </c>
      <c r="G929" s="912">
        <f>GLOBAL_DER_FEV_2023!G929</f>
        <v>0</v>
      </c>
      <c r="H929" s="901">
        <f>GLOBAL_DER_FEV_2023!H929</f>
        <v>558</v>
      </c>
      <c r="I929" s="901">
        <f>GLOBAL_DER_FEV_2023!I929</f>
        <v>558</v>
      </c>
      <c r="J929" s="902">
        <f>GLOBAL_DER_FEV_2023!J929</f>
        <v>669.99</v>
      </c>
      <c r="K929" s="903" t="s">
        <v>1516</v>
      </c>
      <c r="L929" s="1137"/>
      <c r="M929" s="1138">
        <f t="shared" si="115"/>
        <v>0</v>
      </c>
      <c r="N929" s="893">
        <f t="shared" si="122"/>
        <v>0</v>
      </c>
      <c r="O929" s="905"/>
      <c r="Q929" s="317" t="str">
        <f t="shared" si="117"/>
        <v/>
      </c>
      <c r="R929" s="317" t="str">
        <f t="shared" si="120"/>
        <v/>
      </c>
      <c r="S929" s="317" t="str">
        <f t="shared" si="121"/>
        <v/>
      </c>
      <c r="T929" s="317" t="str">
        <f>GLOBAL_DER_FEV_2023!S929</f>
        <v/>
      </c>
      <c r="W929" s="582">
        <v>0</v>
      </c>
      <c r="X929" s="580"/>
      <c r="Y929" s="583">
        <f>IF(GLOBAL_DER_FEV_2023!W929=0,0,IF(GLOBAL_DER_FEV_2023!W929&gt;0,"c","b"))</f>
        <v>0</v>
      </c>
    </row>
    <row r="930" spans="1:25" ht="33.75" x14ac:dyDescent="0.2">
      <c r="A930" s="317">
        <v>100580</v>
      </c>
      <c r="B930" s="895">
        <v>100580</v>
      </c>
      <c r="C930" s="896" t="s">
        <v>596</v>
      </c>
      <c r="D930" s="906" t="s">
        <v>857</v>
      </c>
      <c r="E930" s="907">
        <f>GLOBAL_DER_FEV_2023!E930</f>
        <v>0</v>
      </c>
      <c r="F930" s="908">
        <f>GLOBAL_DER_FEV_2023!F930</f>
        <v>0</v>
      </c>
      <c r="G930" s="912">
        <f>GLOBAL_DER_FEV_2023!G930</f>
        <v>0</v>
      </c>
      <c r="H930" s="901">
        <f>GLOBAL_DER_FEV_2023!H930</f>
        <v>615.13</v>
      </c>
      <c r="I930" s="901">
        <f>GLOBAL_DER_FEV_2023!I930</f>
        <v>615.13</v>
      </c>
      <c r="J930" s="902">
        <f>GLOBAL_DER_FEV_2023!J930</f>
        <v>738.59</v>
      </c>
      <c r="K930" s="903" t="s">
        <v>1516</v>
      </c>
      <c r="L930" s="1137"/>
      <c r="M930" s="1138">
        <f t="shared" si="115"/>
        <v>0</v>
      </c>
      <c r="N930" s="893">
        <f t="shared" si="122"/>
        <v>0</v>
      </c>
      <c r="O930" s="905"/>
      <c r="Q930" s="317" t="str">
        <f t="shared" si="117"/>
        <v/>
      </c>
      <c r="R930" s="317" t="str">
        <f t="shared" si="120"/>
        <v/>
      </c>
      <c r="S930" s="317" t="str">
        <f t="shared" si="121"/>
        <v/>
      </c>
      <c r="T930" s="317" t="str">
        <f>GLOBAL_DER_FEV_2023!S930</f>
        <v/>
      </c>
      <c r="W930" s="582">
        <v>0</v>
      </c>
      <c r="X930" s="580"/>
      <c r="Y930" s="583">
        <f>IF(GLOBAL_DER_FEV_2023!W930=0,0,IF(GLOBAL_DER_FEV_2023!W930&gt;0,"c","b"))</f>
        <v>0</v>
      </c>
    </row>
    <row r="931" spans="1:25" ht="33.75" x14ac:dyDescent="0.2">
      <c r="A931" s="317">
        <v>100581</v>
      </c>
      <c r="B931" s="895">
        <v>100581</v>
      </c>
      <c r="C931" s="896" t="s">
        <v>596</v>
      </c>
      <c r="D931" s="906" t="s">
        <v>858</v>
      </c>
      <c r="E931" s="907">
        <f>GLOBAL_DER_FEV_2023!E931</f>
        <v>0</v>
      </c>
      <c r="F931" s="908">
        <f>GLOBAL_DER_FEV_2023!F931</f>
        <v>0</v>
      </c>
      <c r="G931" s="912">
        <f>GLOBAL_DER_FEV_2023!G931</f>
        <v>0</v>
      </c>
      <c r="H931" s="901">
        <f>GLOBAL_DER_FEV_2023!H931</f>
        <v>582.14</v>
      </c>
      <c r="I931" s="901">
        <f>GLOBAL_DER_FEV_2023!I931</f>
        <v>582.14</v>
      </c>
      <c r="J931" s="902">
        <f>GLOBAL_DER_FEV_2023!J931</f>
        <v>698.98</v>
      </c>
      <c r="K931" s="903" t="s">
        <v>1516</v>
      </c>
      <c r="L931" s="1137"/>
      <c r="M931" s="1138">
        <f t="shared" si="115"/>
        <v>0</v>
      </c>
      <c r="N931" s="893">
        <f t="shared" si="122"/>
        <v>0</v>
      </c>
      <c r="O931" s="905"/>
      <c r="Q931" s="317" t="str">
        <f t="shared" si="117"/>
        <v/>
      </c>
      <c r="R931" s="317" t="str">
        <f t="shared" si="120"/>
        <v/>
      </c>
      <c r="S931" s="317" t="str">
        <f t="shared" si="121"/>
        <v/>
      </c>
      <c r="T931" s="317" t="str">
        <f>GLOBAL_DER_FEV_2023!S931</f>
        <v/>
      </c>
      <c r="W931" s="582">
        <v>0</v>
      </c>
      <c r="X931" s="580"/>
      <c r="Y931" s="583">
        <f>IF(GLOBAL_DER_FEV_2023!W931=0,0,IF(GLOBAL_DER_FEV_2023!W931&gt;0,"c","b"))</f>
        <v>0</v>
      </c>
    </row>
    <row r="932" spans="1:25" ht="33.75" x14ac:dyDescent="0.2">
      <c r="A932" s="317">
        <v>100582</v>
      </c>
      <c r="B932" s="895">
        <v>100582</v>
      </c>
      <c r="C932" s="896" t="s">
        <v>596</v>
      </c>
      <c r="D932" s="906" t="s">
        <v>859</v>
      </c>
      <c r="E932" s="907">
        <f>GLOBAL_DER_FEV_2023!E932</f>
        <v>0</v>
      </c>
      <c r="F932" s="908">
        <f>GLOBAL_DER_FEV_2023!F932</f>
        <v>0</v>
      </c>
      <c r="G932" s="912">
        <f>GLOBAL_DER_FEV_2023!G932</f>
        <v>0</v>
      </c>
      <c r="H932" s="901">
        <f>GLOBAL_DER_FEV_2023!H932</f>
        <v>685.15</v>
      </c>
      <c r="I932" s="901">
        <f>GLOBAL_DER_FEV_2023!I932</f>
        <v>685.15</v>
      </c>
      <c r="J932" s="902">
        <f>GLOBAL_DER_FEV_2023!J932</f>
        <v>822.66</v>
      </c>
      <c r="K932" s="903" t="s">
        <v>1516</v>
      </c>
      <c r="L932" s="1137"/>
      <c r="M932" s="1138">
        <f t="shared" si="115"/>
        <v>0</v>
      </c>
      <c r="N932" s="893">
        <f t="shared" si="122"/>
        <v>0</v>
      </c>
      <c r="O932" s="905"/>
      <c r="Q932" s="317" t="str">
        <f t="shared" si="117"/>
        <v/>
      </c>
      <c r="R932" s="317" t="str">
        <f t="shared" si="120"/>
        <v/>
      </c>
      <c r="S932" s="317" t="str">
        <f t="shared" si="121"/>
        <v/>
      </c>
      <c r="T932" s="317" t="str">
        <f>GLOBAL_DER_FEV_2023!S932</f>
        <v/>
      </c>
      <c r="W932" s="582">
        <v>0</v>
      </c>
      <c r="X932" s="580"/>
      <c r="Y932" s="583">
        <f>IF(GLOBAL_DER_FEV_2023!W932=0,0,IF(GLOBAL_DER_FEV_2023!W932&gt;0,"c","b"))</f>
        <v>0</v>
      </c>
    </row>
    <row r="933" spans="1:25" ht="33.75" x14ac:dyDescent="0.2">
      <c r="A933" s="317">
        <v>100583</v>
      </c>
      <c r="B933" s="895">
        <v>100583</v>
      </c>
      <c r="C933" s="896" t="s">
        <v>596</v>
      </c>
      <c r="D933" s="906" t="s">
        <v>860</v>
      </c>
      <c r="E933" s="907">
        <f>GLOBAL_DER_FEV_2023!E933</f>
        <v>0</v>
      </c>
      <c r="F933" s="908">
        <f>GLOBAL_DER_FEV_2023!F933</f>
        <v>0</v>
      </c>
      <c r="G933" s="912">
        <f>GLOBAL_DER_FEV_2023!G933</f>
        <v>0</v>
      </c>
      <c r="H933" s="901">
        <f>GLOBAL_DER_FEV_2023!H933</f>
        <v>608.13</v>
      </c>
      <c r="I933" s="901">
        <f>GLOBAL_DER_FEV_2023!I933</f>
        <v>608.13</v>
      </c>
      <c r="J933" s="902">
        <f>GLOBAL_DER_FEV_2023!J933</f>
        <v>730.18</v>
      </c>
      <c r="K933" s="903" t="s">
        <v>1516</v>
      </c>
      <c r="L933" s="1137"/>
      <c r="M933" s="1138">
        <f t="shared" si="115"/>
        <v>0</v>
      </c>
      <c r="N933" s="893">
        <f t="shared" si="122"/>
        <v>0</v>
      </c>
      <c r="O933" s="905"/>
      <c r="Q933" s="317" t="str">
        <f t="shared" si="117"/>
        <v/>
      </c>
      <c r="R933" s="317" t="str">
        <f t="shared" si="120"/>
        <v/>
      </c>
      <c r="S933" s="317" t="str">
        <f t="shared" si="121"/>
        <v/>
      </c>
      <c r="T933" s="317" t="str">
        <f>GLOBAL_DER_FEV_2023!S933</f>
        <v/>
      </c>
      <c r="W933" s="582">
        <v>0</v>
      </c>
      <c r="X933" s="580"/>
      <c r="Y933" s="583">
        <f>IF(GLOBAL_DER_FEV_2023!W933=0,0,IF(GLOBAL_DER_FEV_2023!W933&gt;0,"c","b"))</f>
        <v>0</v>
      </c>
    </row>
    <row r="934" spans="1:25" ht="33.75" x14ac:dyDescent="0.2">
      <c r="A934" s="317">
        <v>100584</v>
      </c>
      <c r="B934" s="895">
        <v>100584</v>
      </c>
      <c r="C934" s="896" t="s">
        <v>596</v>
      </c>
      <c r="D934" s="906" t="s">
        <v>861</v>
      </c>
      <c r="E934" s="907">
        <f>GLOBAL_DER_FEV_2023!E934</f>
        <v>0</v>
      </c>
      <c r="F934" s="908">
        <f>GLOBAL_DER_FEV_2023!F934</f>
        <v>0</v>
      </c>
      <c r="G934" s="912">
        <f>GLOBAL_DER_FEV_2023!G934</f>
        <v>0</v>
      </c>
      <c r="H934" s="901">
        <f>GLOBAL_DER_FEV_2023!H934</f>
        <v>670.05</v>
      </c>
      <c r="I934" s="901">
        <f>GLOBAL_DER_FEV_2023!I934</f>
        <v>670.05</v>
      </c>
      <c r="J934" s="902">
        <f>GLOBAL_DER_FEV_2023!J934</f>
        <v>804.53</v>
      </c>
      <c r="K934" s="903" t="s">
        <v>1516</v>
      </c>
      <c r="L934" s="1137"/>
      <c r="M934" s="1138">
        <f t="shared" si="115"/>
        <v>0</v>
      </c>
      <c r="N934" s="893">
        <f t="shared" si="122"/>
        <v>0</v>
      </c>
      <c r="O934" s="905"/>
      <c r="Q934" s="317" t="str">
        <f t="shared" si="117"/>
        <v/>
      </c>
      <c r="R934" s="317" t="str">
        <f t="shared" si="120"/>
        <v/>
      </c>
      <c r="S934" s="317" t="str">
        <f t="shared" si="121"/>
        <v/>
      </c>
      <c r="T934" s="317" t="str">
        <f>GLOBAL_DER_FEV_2023!S934</f>
        <v/>
      </c>
      <c r="W934" s="582">
        <v>0</v>
      </c>
      <c r="X934" s="580"/>
      <c r="Y934" s="583">
        <f>IF(GLOBAL_DER_FEV_2023!W934=0,0,IF(GLOBAL_DER_FEV_2023!W934&gt;0,"c","b"))</f>
        <v>0</v>
      </c>
    </row>
    <row r="935" spans="1:25" ht="33.75" x14ac:dyDescent="0.2">
      <c r="A935" s="317">
        <v>100585</v>
      </c>
      <c r="B935" s="895">
        <v>100585</v>
      </c>
      <c r="C935" s="896" t="s">
        <v>596</v>
      </c>
      <c r="D935" s="906" t="s">
        <v>862</v>
      </c>
      <c r="E935" s="907">
        <f>GLOBAL_DER_FEV_2023!E935</f>
        <v>0</v>
      </c>
      <c r="F935" s="908">
        <f>GLOBAL_DER_FEV_2023!F935</f>
        <v>0</v>
      </c>
      <c r="G935" s="912">
        <f>GLOBAL_DER_FEV_2023!G935</f>
        <v>0</v>
      </c>
      <c r="H935" s="901">
        <f>GLOBAL_DER_FEV_2023!H935</f>
        <v>658.54</v>
      </c>
      <c r="I935" s="901">
        <f>GLOBAL_DER_FEV_2023!I935</f>
        <v>658.54</v>
      </c>
      <c r="J935" s="902">
        <f>GLOBAL_DER_FEV_2023!J935</f>
        <v>790.71</v>
      </c>
      <c r="K935" s="903" t="s">
        <v>1516</v>
      </c>
      <c r="L935" s="1137"/>
      <c r="M935" s="1138">
        <f t="shared" si="115"/>
        <v>0</v>
      </c>
      <c r="N935" s="893">
        <f t="shared" si="122"/>
        <v>0</v>
      </c>
      <c r="O935" s="905"/>
      <c r="Q935" s="317" t="str">
        <f t="shared" si="117"/>
        <v/>
      </c>
      <c r="R935" s="317" t="str">
        <f t="shared" si="120"/>
        <v/>
      </c>
      <c r="S935" s="317" t="str">
        <f t="shared" si="121"/>
        <v/>
      </c>
      <c r="T935" s="317" t="str">
        <f>GLOBAL_DER_FEV_2023!S935</f>
        <v/>
      </c>
      <c r="W935" s="582">
        <v>0</v>
      </c>
      <c r="X935" s="580"/>
      <c r="Y935" s="583">
        <f>IF(GLOBAL_DER_FEV_2023!W935=0,0,IF(GLOBAL_DER_FEV_2023!W935&gt;0,"c","b"))</f>
        <v>0</v>
      </c>
    </row>
    <row r="936" spans="1:25" ht="33.75" x14ac:dyDescent="0.2">
      <c r="A936" s="317">
        <v>100586</v>
      </c>
      <c r="B936" s="895">
        <v>100586</v>
      </c>
      <c r="C936" s="896" t="s">
        <v>596</v>
      </c>
      <c r="D936" s="906" t="s">
        <v>863</v>
      </c>
      <c r="E936" s="907">
        <f>GLOBAL_DER_FEV_2023!E936</f>
        <v>0</v>
      </c>
      <c r="F936" s="908">
        <f>GLOBAL_DER_FEV_2023!F936</f>
        <v>0</v>
      </c>
      <c r="G936" s="912">
        <f>GLOBAL_DER_FEV_2023!G936</f>
        <v>0</v>
      </c>
      <c r="H936" s="901">
        <f>GLOBAL_DER_FEV_2023!H936</f>
        <v>757.16</v>
      </c>
      <c r="I936" s="901">
        <f>GLOBAL_DER_FEV_2023!I936</f>
        <v>757.16</v>
      </c>
      <c r="J936" s="902">
        <f>GLOBAL_DER_FEV_2023!J936</f>
        <v>909.12</v>
      </c>
      <c r="K936" s="903" t="s">
        <v>1516</v>
      </c>
      <c r="L936" s="1137"/>
      <c r="M936" s="1138">
        <f t="shared" si="115"/>
        <v>0</v>
      </c>
      <c r="N936" s="893">
        <f t="shared" si="122"/>
        <v>0</v>
      </c>
      <c r="O936" s="905"/>
      <c r="Q936" s="317" t="str">
        <f t="shared" si="117"/>
        <v/>
      </c>
      <c r="R936" s="317" t="str">
        <f t="shared" si="120"/>
        <v/>
      </c>
      <c r="S936" s="317" t="str">
        <f t="shared" si="121"/>
        <v/>
      </c>
      <c r="T936" s="317" t="str">
        <f>GLOBAL_DER_FEV_2023!S936</f>
        <v/>
      </c>
      <c r="W936" s="582">
        <v>0</v>
      </c>
      <c r="X936" s="580"/>
      <c r="Y936" s="583">
        <f>IF(GLOBAL_DER_FEV_2023!W936=0,0,IF(GLOBAL_DER_FEV_2023!W936&gt;0,"c","b"))</f>
        <v>0</v>
      </c>
    </row>
    <row r="937" spans="1:25" ht="33.75" x14ac:dyDescent="0.2">
      <c r="A937" s="317">
        <v>100587</v>
      </c>
      <c r="B937" s="895">
        <v>100587</v>
      </c>
      <c r="C937" s="896" t="s">
        <v>596</v>
      </c>
      <c r="D937" s="906" t="s">
        <v>864</v>
      </c>
      <c r="E937" s="907">
        <f>GLOBAL_DER_FEV_2023!E937</f>
        <v>0</v>
      </c>
      <c r="F937" s="908">
        <f>GLOBAL_DER_FEV_2023!F937</f>
        <v>0</v>
      </c>
      <c r="G937" s="912">
        <f>GLOBAL_DER_FEV_2023!G937</f>
        <v>0</v>
      </c>
      <c r="H937" s="901">
        <f>GLOBAL_DER_FEV_2023!H937</f>
        <v>710.91</v>
      </c>
      <c r="I937" s="901">
        <f>GLOBAL_DER_FEV_2023!I937</f>
        <v>710.91</v>
      </c>
      <c r="J937" s="902">
        <f>GLOBAL_DER_FEV_2023!J937</f>
        <v>853.59</v>
      </c>
      <c r="K937" s="903" t="s">
        <v>1516</v>
      </c>
      <c r="L937" s="1137"/>
      <c r="M937" s="1138">
        <f t="shared" si="115"/>
        <v>0</v>
      </c>
      <c r="N937" s="893">
        <f t="shared" si="122"/>
        <v>0</v>
      </c>
      <c r="O937" s="905"/>
      <c r="Q937" s="317" t="str">
        <f t="shared" si="117"/>
        <v/>
      </c>
      <c r="R937" s="317" t="str">
        <f t="shared" si="120"/>
        <v/>
      </c>
      <c r="S937" s="317" t="str">
        <f t="shared" si="121"/>
        <v/>
      </c>
      <c r="T937" s="317" t="str">
        <f>GLOBAL_DER_FEV_2023!S937</f>
        <v/>
      </c>
      <c r="W937" s="582">
        <v>0</v>
      </c>
      <c r="X937" s="580"/>
      <c r="Y937" s="583">
        <f>IF(GLOBAL_DER_FEV_2023!W937=0,0,IF(GLOBAL_DER_FEV_2023!W937&gt;0,"c","b"))</f>
        <v>0</v>
      </c>
    </row>
    <row r="938" spans="1:25" ht="33.75" x14ac:dyDescent="0.2">
      <c r="A938" s="317">
        <v>100588</v>
      </c>
      <c r="B938" s="895">
        <v>100588</v>
      </c>
      <c r="C938" s="896" t="s">
        <v>596</v>
      </c>
      <c r="D938" s="906" t="s">
        <v>865</v>
      </c>
      <c r="E938" s="907">
        <f>GLOBAL_DER_FEV_2023!E938</f>
        <v>0</v>
      </c>
      <c r="F938" s="908">
        <f>GLOBAL_DER_FEV_2023!F938</f>
        <v>0</v>
      </c>
      <c r="G938" s="912">
        <f>GLOBAL_DER_FEV_2023!G938</f>
        <v>0</v>
      </c>
      <c r="H938" s="901">
        <f>GLOBAL_DER_FEV_2023!H938</f>
        <v>787.57</v>
      </c>
      <c r="I938" s="901">
        <f>GLOBAL_DER_FEV_2023!I938</f>
        <v>787.57</v>
      </c>
      <c r="J938" s="902">
        <f>GLOBAL_DER_FEV_2023!J938</f>
        <v>945.64</v>
      </c>
      <c r="K938" s="903" t="s">
        <v>1516</v>
      </c>
      <c r="L938" s="1137"/>
      <c r="M938" s="1138">
        <f t="shared" si="115"/>
        <v>0</v>
      </c>
      <c r="N938" s="893">
        <f t="shared" si="122"/>
        <v>0</v>
      </c>
      <c r="O938" s="905"/>
      <c r="Q938" s="317" t="str">
        <f t="shared" si="117"/>
        <v/>
      </c>
      <c r="R938" s="317" t="str">
        <f t="shared" si="120"/>
        <v/>
      </c>
      <c r="S938" s="317" t="str">
        <f t="shared" si="121"/>
        <v/>
      </c>
      <c r="T938" s="317" t="str">
        <f>GLOBAL_DER_FEV_2023!S938</f>
        <v/>
      </c>
      <c r="W938" s="582">
        <v>0</v>
      </c>
      <c r="X938" s="580"/>
      <c r="Y938" s="583">
        <f>IF(GLOBAL_DER_FEV_2023!W938=0,0,IF(GLOBAL_DER_FEV_2023!W938&gt;0,"c","b"))</f>
        <v>0</v>
      </c>
    </row>
    <row r="939" spans="1:25" ht="33.75" x14ac:dyDescent="0.2">
      <c r="A939" s="317">
        <v>100589</v>
      </c>
      <c r="B939" s="895">
        <v>100589</v>
      </c>
      <c r="C939" s="896" t="s">
        <v>596</v>
      </c>
      <c r="D939" s="906" t="s">
        <v>866</v>
      </c>
      <c r="E939" s="907">
        <f>GLOBAL_DER_FEV_2023!E939</f>
        <v>0</v>
      </c>
      <c r="F939" s="908">
        <f>GLOBAL_DER_FEV_2023!F939</f>
        <v>0</v>
      </c>
      <c r="G939" s="912">
        <f>GLOBAL_DER_FEV_2023!G939</f>
        <v>0</v>
      </c>
      <c r="H939" s="901">
        <f>GLOBAL_DER_FEV_2023!H939</f>
        <v>790.38</v>
      </c>
      <c r="I939" s="901">
        <f>GLOBAL_DER_FEV_2023!I939</f>
        <v>790.38</v>
      </c>
      <c r="J939" s="902">
        <f>GLOBAL_DER_FEV_2023!J939</f>
        <v>949.01</v>
      </c>
      <c r="K939" s="903" t="s">
        <v>1516</v>
      </c>
      <c r="L939" s="1137"/>
      <c r="M939" s="1138">
        <f t="shared" si="115"/>
        <v>0</v>
      </c>
      <c r="N939" s="893">
        <f t="shared" si="122"/>
        <v>0</v>
      </c>
      <c r="O939" s="905"/>
      <c r="Q939" s="317" t="str">
        <f t="shared" si="117"/>
        <v/>
      </c>
      <c r="R939" s="317" t="str">
        <f t="shared" si="120"/>
        <v/>
      </c>
      <c r="S939" s="317" t="str">
        <f t="shared" si="121"/>
        <v/>
      </c>
      <c r="T939" s="317" t="str">
        <f>GLOBAL_DER_FEV_2023!S939</f>
        <v/>
      </c>
      <c r="W939" s="582">
        <v>0</v>
      </c>
      <c r="X939" s="580"/>
      <c r="Y939" s="583">
        <f>IF(GLOBAL_DER_FEV_2023!W939=0,0,IF(GLOBAL_DER_FEV_2023!W939&gt;0,"c","b"))</f>
        <v>0</v>
      </c>
    </row>
    <row r="940" spans="1:25" ht="33.75" x14ac:dyDescent="0.2">
      <c r="A940" s="317">
        <v>100590</v>
      </c>
      <c r="B940" s="895">
        <v>100590</v>
      </c>
      <c r="C940" s="896" t="s">
        <v>596</v>
      </c>
      <c r="D940" s="906" t="s">
        <v>867</v>
      </c>
      <c r="E940" s="907">
        <f>GLOBAL_DER_FEV_2023!E940</f>
        <v>0</v>
      </c>
      <c r="F940" s="908">
        <f>GLOBAL_DER_FEV_2023!F940</f>
        <v>0</v>
      </c>
      <c r="G940" s="912">
        <f>GLOBAL_DER_FEV_2023!G940</f>
        <v>0</v>
      </c>
      <c r="H940" s="901">
        <f>GLOBAL_DER_FEV_2023!H940</f>
        <v>866.24</v>
      </c>
      <c r="I940" s="901">
        <f>GLOBAL_DER_FEV_2023!I940</f>
        <v>866.24</v>
      </c>
      <c r="J940" s="902">
        <f>GLOBAL_DER_FEV_2023!J940</f>
        <v>1040.0899999999999</v>
      </c>
      <c r="K940" s="903" t="s">
        <v>1516</v>
      </c>
      <c r="L940" s="1137"/>
      <c r="M940" s="1138">
        <f t="shared" si="115"/>
        <v>0</v>
      </c>
      <c r="N940" s="893">
        <f t="shared" si="122"/>
        <v>0</v>
      </c>
      <c r="O940" s="905"/>
      <c r="Q940" s="317" t="str">
        <f t="shared" si="117"/>
        <v/>
      </c>
      <c r="R940" s="317" t="str">
        <f t="shared" si="120"/>
        <v/>
      </c>
      <c r="S940" s="317" t="str">
        <f t="shared" si="121"/>
        <v/>
      </c>
      <c r="T940" s="317" t="str">
        <f>GLOBAL_DER_FEV_2023!S940</f>
        <v/>
      </c>
      <c r="W940" s="582">
        <v>0</v>
      </c>
      <c r="X940" s="580"/>
      <c r="Y940" s="583">
        <f>IF(GLOBAL_DER_FEV_2023!W940=0,0,IF(GLOBAL_DER_FEV_2023!W940&gt;0,"c","b"))</f>
        <v>0</v>
      </c>
    </row>
    <row r="941" spans="1:25" ht="33.75" x14ac:dyDescent="0.2">
      <c r="A941" s="317">
        <v>100591</v>
      </c>
      <c r="B941" s="895">
        <v>100591</v>
      </c>
      <c r="C941" s="896" t="s">
        <v>596</v>
      </c>
      <c r="D941" s="906" t="s">
        <v>868</v>
      </c>
      <c r="E941" s="907">
        <f>GLOBAL_DER_FEV_2023!E941</f>
        <v>0</v>
      </c>
      <c r="F941" s="908">
        <f>GLOBAL_DER_FEV_2023!F941</f>
        <v>0</v>
      </c>
      <c r="G941" s="912">
        <f>GLOBAL_DER_FEV_2023!G941</f>
        <v>0</v>
      </c>
      <c r="H941" s="901">
        <f>GLOBAL_DER_FEV_2023!H941</f>
        <v>783.32</v>
      </c>
      <c r="I941" s="901">
        <f>GLOBAL_DER_FEV_2023!I941</f>
        <v>783.32</v>
      </c>
      <c r="J941" s="902">
        <f>GLOBAL_DER_FEV_2023!J941</f>
        <v>940.53</v>
      </c>
      <c r="K941" s="903" t="s">
        <v>1516</v>
      </c>
      <c r="L941" s="1137"/>
      <c r="M941" s="1138">
        <f t="shared" si="115"/>
        <v>0</v>
      </c>
      <c r="N941" s="893">
        <f t="shared" si="122"/>
        <v>0</v>
      </c>
      <c r="O941" s="905"/>
      <c r="Q941" s="317" t="str">
        <f t="shared" si="117"/>
        <v/>
      </c>
      <c r="R941" s="317" t="str">
        <f t="shared" si="120"/>
        <v/>
      </c>
      <c r="S941" s="317" t="str">
        <f t="shared" si="121"/>
        <v/>
      </c>
      <c r="T941" s="317" t="str">
        <f>GLOBAL_DER_FEV_2023!S941</f>
        <v/>
      </c>
      <c r="W941" s="582">
        <v>0</v>
      </c>
      <c r="X941" s="580"/>
      <c r="Y941" s="583">
        <f>IF(GLOBAL_DER_FEV_2023!W941=0,0,IF(GLOBAL_DER_FEV_2023!W941&gt;0,"c","b"))</f>
        <v>0</v>
      </c>
    </row>
    <row r="942" spans="1:25" ht="33.75" x14ac:dyDescent="0.2">
      <c r="A942" s="317">
        <v>100592</v>
      </c>
      <c r="B942" s="895">
        <v>100592</v>
      </c>
      <c r="C942" s="896" t="s">
        <v>596</v>
      </c>
      <c r="D942" s="906" t="s">
        <v>869</v>
      </c>
      <c r="E942" s="907">
        <f>GLOBAL_DER_FEV_2023!E942</f>
        <v>0</v>
      </c>
      <c r="F942" s="908">
        <f>GLOBAL_DER_FEV_2023!F942</f>
        <v>0</v>
      </c>
      <c r="G942" s="912">
        <f>GLOBAL_DER_FEV_2023!G942</f>
        <v>0</v>
      </c>
      <c r="H942" s="901">
        <f>GLOBAL_DER_FEV_2023!H942</f>
        <v>846.16</v>
      </c>
      <c r="I942" s="901">
        <f>GLOBAL_DER_FEV_2023!I942</f>
        <v>846.16</v>
      </c>
      <c r="J942" s="902">
        <f>GLOBAL_DER_FEV_2023!J942</f>
        <v>1015.98</v>
      </c>
      <c r="K942" s="903" t="s">
        <v>1516</v>
      </c>
      <c r="L942" s="1137"/>
      <c r="M942" s="1138">
        <f t="shared" si="115"/>
        <v>0</v>
      </c>
      <c r="N942" s="893">
        <f t="shared" si="122"/>
        <v>0</v>
      </c>
      <c r="O942" s="905"/>
      <c r="Q942" s="317" t="str">
        <f t="shared" si="117"/>
        <v/>
      </c>
      <c r="R942" s="317" t="str">
        <f t="shared" si="120"/>
        <v/>
      </c>
      <c r="S942" s="317" t="str">
        <f t="shared" si="121"/>
        <v/>
      </c>
      <c r="T942" s="317" t="str">
        <f>GLOBAL_DER_FEV_2023!S942</f>
        <v/>
      </c>
      <c r="W942" s="582">
        <v>0</v>
      </c>
      <c r="X942" s="580"/>
      <c r="Y942" s="583">
        <f>IF(GLOBAL_DER_FEV_2023!W942=0,0,IF(GLOBAL_DER_FEV_2023!W942&gt;0,"c","b"))</f>
        <v>0</v>
      </c>
    </row>
    <row r="943" spans="1:25" ht="33.75" x14ac:dyDescent="0.2">
      <c r="A943" s="317">
        <v>100593</v>
      </c>
      <c r="B943" s="895">
        <v>100593</v>
      </c>
      <c r="C943" s="896" t="s">
        <v>596</v>
      </c>
      <c r="D943" s="906" t="s">
        <v>870</v>
      </c>
      <c r="E943" s="907">
        <f>GLOBAL_DER_FEV_2023!E943</f>
        <v>0</v>
      </c>
      <c r="F943" s="908">
        <f>GLOBAL_DER_FEV_2023!F943</f>
        <v>0</v>
      </c>
      <c r="G943" s="912">
        <f>GLOBAL_DER_FEV_2023!G943</f>
        <v>0</v>
      </c>
      <c r="H943" s="901">
        <f>GLOBAL_DER_FEV_2023!H943</f>
        <v>839.13</v>
      </c>
      <c r="I943" s="901">
        <f>GLOBAL_DER_FEV_2023!I943</f>
        <v>839.13</v>
      </c>
      <c r="J943" s="902">
        <f>GLOBAL_DER_FEV_2023!J943</f>
        <v>1007.54</v>
      </c>
      <c r="K943" s="903" t="s">
        <v>1516</v>
      </c>
      <c r="L943" s="1137"/>
      <c r="M943" s="1138">
        <f t="shared" si="115"/>
        <v>0</v>
      </c>
      <c r="N943" s="893">
        <f t="shared" si="122"/>
        <v>0</v>
      </c>
      <c r="O943" s="905"/>
      <c r="Q943" s="317" t="str">
        <f t="shared" si="117"/>
        <v/>
      </c>
      <c r="R943" s="317" t="str">
        <f t="shared" si="120"/>
        <v/>
      </c>
      <c r="S943" s="317" t="str">
        <f t="shared" si="121"/>
        <v/>
      </c>
      <c r="T943" s="317" t="str">
        <f>GLOBAL_DER_FEV_2023!S943</f>
        <v/>
      </c>
      <c r="W943" s="582">
        <v>0</v>
      </c>
      <c r="X943" s="580"/>
      <c r="Y943" s="583">
        <f>IF(GLOBAL_DER_FEV_2023!W943=0,0,IF(GLOBAL_DER_FEV_2023!W943&gt;0,"c","b"))</f>
        <v>0</v>
      </c>
    </row>
    <row r="944" spans="1:25" ht="33.75" x14ac:dyDescent="0.2">
      <c r="A944" s="317">
        <v>100594</v>
      </c>
      <c r="B944" s="895">
        <v>100594</v>
      </c>
      <c r="C944" s="896" t="s">
        <v>596</v>
      </c>
      <c r="D944" s="906" t="s">
        <v>871</v>
      </c>
      <c r="E944" s="907">
        <f>GLOBAL_DER_FEV_2023!E944</f>
        <v>0</v>
      </c>
      <c r="F944" s="908">
        <f>GLOBAL_DER_FEV_2023!F944</f>
        <v>0</v>
      </c>
      <c r="G944" s="912">
        <f>GLOBAL_DER_FEV_2023!G944</f>
        <v>0</v>
      </c>
      <c r="H944" s="901">
        <f>GLOBAL_DER_FEV_2023!H944</f>
        <v>945.58</v>
      </c>
      <c r="I944" s="901">
        <f>GLOBAL_DER_FEV_2023!I944</f>
        <v>945.58</v>
      </c>
      <c r="J944" s="902">
        <f>GLOBAL_DER_FEV_2023!J944</f>
        <v>1135.3599999999999</v>
      </c>
      <c r="K944" s="903" t="s">
        <v>1516</v>
      </c>
      <c r="L944" s="1137"/>
      <c r="M944" s="1138">
        <f t="shared" si="115"/>
        <v>0</v>
      </c>
      <c r="N944" s="893">
        <f t="shared" si="122"/>
        <v>0</v>
      </c>
      <c r="O944" s="905"/>
      <c r="Q944" s="317" t="str">
        <f t="shared" si="117"/>
        <v/>
      </c>
      <c r="R944" s="317" t="str">
        <f t="shared" si="120"/>
        <v/>
      </c>
      <c r="S944" s="317" t="str">
        <f t="shared" si="121"/>
        <v/>
      </c>
      <c r="T944" s="317" t="str">
        <f>GLOBAL_DER_FEV_2023!S944</f>
        <v/>
      </c>
      <c r="W944" s="582">
        <v>0</v>
      </c>
      <c r="X944" s="580"/>
      <c r="Y944" s="583">
        <f>IF(GLOBAL_DER_FEV_2023!W944=0,0,IF(GLOBAL_DER_FEV_2023!W944&gt;0,"c","b"))</f>
        <v>0</v>
      </c>
    </row>
    <row r="945" spans="1:25" ht="33.75" x14ac:dyDescent="0.2">
      <c r="A945" s="317">
        <v>100595</v>
      </c>
      <c r="B945" s="895">
        <v>100595</v>
      </c>
      <c r="C945" s="896" t="s">
        <v>596</v>
      </c>
      <c r="D945" s="906" t="s">
        <v>872</v>
      </c>
      <c r="E945" s="907">
        <f>GLOBAL_DER_FEV_2023!E945</f>
        <v>0</v>
      </c>
      <c r="F945" s="908">
        <f>GLOBAL_DER_FEV_2023!F945</f>
        <v>0</v>
      </c>
      <c r="G945" s="912">
        <f>GLOBAL_DER_FEV_2023!G945</f>
        <v>0</v>
      </c>
      <c r="H945" s="901">
        <f>GLOBAL_DER_FEV_2023!H945</f>
        <v>1006.57</v>
      </c>
      <c r="I945" s="901">
        <f>GLOBAL_DER_FEV_2023!I945</f>
        <v>1006.57</v>
      </c>
      <c r="J945" s="902">
        <f>GLOBAL_DER_FEV_2023!J945</f>
        <v>1208.5899999999999</v>
      </c>
      <c r="K945" s="903" t="s">
        <v>1516</v>
      </c>
      <c r="L945" s="1137"/>
      <c r="M945" s="1138">
        <f t="shared" si="115"/>
        <v>0</v>
      </c>
      <c r="N945" s="893">
        <f t="shared" si="122"/>
        <v>0</v>
      </c>
      <c r="O945" s="905"/>
      <c r="Q945" s="317" t="str">
        <f t="shared" si="117"/>
        <v/>
      </c>
      <c r="R945" s="317" t="str">
        <f t="shared" si="120"/>
        <v/>
      </c>
      <c r="S945" s="317" t="str">
        <f t="shared" si="121"/>
        <v/>
      </c>
      <c r="T945" s="317" t="str">
        <f>GLOBAL_DER_FEV_2023!S945</f>
        <v/>
      </c>
      <c r="W945" s="582">
        <v>0</v>
      </c>
      <c r="X945" s="580"/>
      <c r="Y945" s="583">
        <f>IF(GLOBAL_DER_FEV_2023!W945=0,0,IF(GLOBAL_DER_FEV_2023!W945&gt;0,"c","b"))</f>
        <v>0</v>
      </c>
    </row>
    <row r="946" spans="1:25" ht="33.75" x14ac:dyDescent="0.2">
      <c r="A946" s="317">
        <v>100596</v>
      </c>
      <c r="B946" s="895">
        <v>100596</v>
      </c>
      <c r="C946" s="896" t="s">
        <v>596</v>
      </c>
      <c r="D946" s="906" t="s">
        <v>873</v>
      </c>
      <c r="E946" s="907">
        <f>GLOBAL_DER_FEV_2023!E946</f>
        <v>0</v>
      </c>
      <c r="F946" s="908">
        <f>GLOBAL_DER_FEV_2023!F946</f>
        <v>0</v>
      </c>
      <c r="G946" s="912">
        <f>GLOBAL_DER_FEV_2023!G946</f>
        <v>0</v>
      </c>
      <c r="H946" s="901">
        <f>GLOBAL_DER_FEV_2023!H946</f>
        <v>1150.1199999999999</v>
      </c>
      <c r="I946" s="901">
        <f>GLOBAL_DER_FEV_2023!I946</f>
        <v>1150.1199999999999</v>
      </c>
      <c r="J946" s="902">
        <f>GLOBAL_DER_FEV_2023!J946</f>
        <v>1380.95</v>
      </c>
      <c r="K946" s="903" t="s">
        <v>1516</v>
      </c>
      <c r="L946" s="1137"/>
      <c r="M946" s="1138">
        <f t="shared" si="115"/>
        <v>0</v>
      </c>
      <c r="N946" s="893">
        <f t="shared" si="122"/>
        <v>0</v>
      </c>
      <c r="O946" s="905"/>
      <c r="Q946" s="317" t="str">
        <f t="shared" si="117"/>
        <v/>
      </c>
      <c r="R946" s="317" t="str">
        <f t="shared" si="120"/>
        <v/>
      </c>
      <c r="S946" s="317" t="str">
        <f t="shared" si="121"/>
        <v/>
      </c>
      <c r="T946" s="317" t="str">
        <f>GLOBAL_DER_FEV_2023!S946</f>
        <v/>
      </c>
      <c r="W946" s="582">
        <v>0</v>
      </c>
      <c r="X946" s="580"/>
      <c r="Y946" s="583">
        <f>IF(GLOBAL_DER_FEV_2023!W946=0,0,IF(GLOBAL_DER_FEV_2023!W946&gt;0,"c","b"))</f>
        <v>0</v>
      </c>
    </row>
    <row r="947" spans="1:25" ht="33.75" x14ac:dyDescent="0.2">
      <c r="A947" s="317">
        <v>100597</v>
      </c>
      <c r="B947" s="895">
        <v>100597</v>
      </c>
      <c r="C947" s="896" t="s">
        <v>596</v>
      </c>
      <c r="D947" s="906" t="s">
        <v>874</v>
      </c>
      <c r="E947" s="907">
        <f>GLOBAL_DER_FEV_2023!E947</f>
        <v>0</v>
      </c>
      <c r="F947" s="908">
        <f>GLOBAL_DER_FEV_2023!F947</f>
        <v>0</v>
      </c>
      <c r="G947" s="912">
        <f>GLOBAL_DER_FEV_2023!G947</f>
        <v>0</v>
      </c>
      <c r="H947" s="901">
        <f>GLOBAL_DER_FEV_2023!H947</f>
        <v>1167.05</v>
      </c>
      <c r="I947" s="901">
        <f>GLOBAL_DER_FEV_2023!I947</f>
        <v>1167.05</v>
      </c>
      <c r="J947" s="902">
        <f>GLOBAL_DER_FEV_2023!J947</f>
        <v>1401.28</v>
      </c>
      <c r="K947" s="903" t="s">
        <v>1516</v>
      </c>
      <c r="L947" s="1137"/>
      <c r="M947" s="1138">
        <f t="shared" si="115"/>
        <v>0</v>
      </c>
      <c r="N947" s="893">
        <f t="shared" si="122"/>
        <v>0</v>
      </c>
      <c r="O947" s="905"/>
      <c r="Q947" s="317" t="str">
        <f t="shared" si="117"/>
        <v/>
      </c>
      <c r="R947" s="317" t="str">
        <f t="shared" si="120"/>
        <v/>
      </c>
      <c r="S947" s="317" t="str">
        <f t="shared" si="121"/>
        <v/>
      </c>
      <c r="T947" s="317" t="str">
        <f>GLOBAL_DER_FEV_2023!S947</f>
        <v/>
      </c>
      <c r="W947" s="582">
        <v>0</v>
      </c>
      <c r="X947" s="580"/>
      <c r="Y947" s="583">
        <f>IF(GLOBAL_DER_FEV_2023!W947=0,0,IF(GLOBAL_DER_FEV_2023!W947&gt;0,"c","b"))</f>
        <v>0</v>
      </c>
    </row>
    <row r="948" spans="1:25" ht="33.75" x14ac:dyDescent="0.2">
      <c r="A948" s="317">
        <v>100598</v>
      </c>
      <c r="B948" s="895">
        <v>100598</v>
      </c>
      <c r="C948" s="896" t="s">
        <v>596</v>
      </c>
      <c r="D948" s="906" t="s">
        <v>875</v>
      </c>
      <c r="E948" s="907">
        <f>GLOBAL_DER_FEV_2023!E948</f>
        <v>0</v>
      </c>
      <c r="F948" s="908">
        <f>GLOBAL_DER_FEV_2023!F948</f>
        <v>0</v>
      </c>
      <c r="G948" s="912">
        <f>GLOBAL_DER_FEV_2023!G948</f>
        <v>0</v>
      </c>
      <c r="H948" s="901">
        <f>GLOBAL_DER_FEV_2023!H948</f>
        <v>1285.3900000000001</v>
      </c>
      <c r="I948" s="901">
        <f>GLOBAL_DER_FEV_2023!I948</f>
        <v>1285.3900000000001</v>
      </c>
      <c r="J948" s="902">
        <f>GLOBAL_DER_FEV_2023!J948</f>
        <v>1543.37</v>
      </c>
      <c r="K948" s="903" t="s">
        <v>1516</v>
      </c>
      <c r="L948" s="1137"/>
      <c r="M948" s="1138">
        <f t="shared" si="115"/>
        <v>0</v>
      </c>
      <c r="N948" s="893">
        <f t="shared" si="122"/>
        <v>0</v>
      </c>
      <c r="O948" s="905"/>
      <c r="Q948" s="317" t="str">
        <f t="shared" si="117"/>
        <v/>
      </c>
      <c r="R948" s="317" t="str">
        <f t="shared" si="120"/>
        <v/>
      </c>
      <c r="S948" s="317" t="str">
        <f t="shared" si="121"/>
        <v/>
      </c>
      <c r="T948" s="317" t="str">
        <f>GLOBAL_DER_FEV_2023!S948</f>
        <v/>
      </c>
      <c r="W948" s="582">
        <v>0</v>
      </c>
      <c r="X948" s="580"/>
      <c r="Y948" s="583">
        <f>IF(GLOBAL_DER_FEV_2023!W948=0,0,IF(GLOBAL_DER_FEV_2023!W948&gt;0,"c","b"))</f>
        <v>0</v>
      </c>
    </row>
    <row r="949" spans="1:25" ht="33.75" x14ac:dyDescent="0.2">
      <c r="A949" s="317">
        <v>100599</v>
      </c>
      <c r="B949" s="895">
        <v>100599</v>
      </c>
      <c r="C949" s="896" t="s">
        <v>596</v>
      </c>
      <c r="D949" s="906" t="s">
        <v>876</v>
      </c>
      <c r="E949" s="907">
        <f>GLOBAL_DER_FEV_2023!E949</f>
        <v>0</v>
      </c>
      <c r="F949" s="908">
        <f>GLOBAL_DER_FEV_2023!F949</f>
        <v>0</v>
      </c>
      <c r="G949" s="912">
        <f>GLOBAL_DER_FEV_2023!G949</f>
        <v>0</v>
      </c>
      <c r="H949" s="901">
        <f>GLOBAL_DER_FEV_2023!H949</f>
        <v>516.86</v>
      </c>
      <c r="I949" s="901">
        <f>GLOBAL_DER_FEV_2023!I949</f>
        <v>516.86</v>
      </c>
      <c r="J949" s="902">
        <f>GLOBAL_DER_FEV_2023!J949</f>
        <v>620.59</v>
      </c>
      <c r="K949" s="903" t="s">
        <v>1516</v>
      </c>
      <c r="L949" s="1137"/>
      <c r="M949" s="1138">
        <f t="shared" si="115"/>
        <v>0</v>
      </c>
      <c r="N949" s="893">
        <f t="shared" si="122"/>
        <v>0</v>
      </c>
      <c r="O949" s="905"/>
      <c r="Q949" s="317" t="str">
        <f t="shared" si="117"/>
        <v/>
      </c>
      <c r="R949" s="317" t="str">
        <f t="shared" si="120"/>
        <v/>
      </c>
      <c r="S949" s="317" t="str">
        <f t="shared" si="121"/>
        <v/>
      </c>
      <c r="T949" s="317" t="str">
        <f>GLOBAL_DER_FEV_2023!S949</f>
        <v/>
      </c>
      <c r="W949" s="582">
        <v>0</v>
      </c>
      <c r="X949" s="580"/>
      <c r="Y949" s="583">
        <f>IF(GLOBAL_DER_FEV_2023!W949=0,0,IF(GLOBAL_DER_FEV_2023!W949&gt;0,"c","b"))</f>
        <v>0</v>
      </c>
    </row>
    <row r="950" spans="1:25" ht="33.75" x14ac:dyDescent="0.2">
      <c r="A950" s="317">
        <v>100600</v>
      </c>
      <c r="B950" s="895">
        <v>100600</v>
      </c>
      <c r="C950" s="896" t="s">
        <v>596</v>
      </c>
      <c r="D950" s="906" t="s">
        <v>877</v>
      </c>
      <c r="E950" s="907">
        <f>GLOBAL_DER_FEV_2023!E950</f>
        <v>0</v>
      </c>
      <c r="F950" s="908">
        <f>GLOBAL_DER_FEV_2023!F950</f>
        <v>0</v>
      </c>
      <c r="G950" s="912">
        <f>GLOBAL_DER_FEV_2023!G950</f>
        <v>0</v>
      </c>
      <c r="H950" s="901">
        <f>GLOBAL_DER_FEV_2023!H950</f>
        <v>613.13</v>
      </c>
      <c r="I950" s="901">
        <f>GLOBAL_DER_FEV_2023!I950</f>
        <v>613.13</v>
      </c>
      <c r="J950" s="902">
        <f>GLOBAL_DER_FEV_2023!J950</f>
        <v>736.19</v>
      </c>
      <c r="K950" s="903" t="s">
        <v>1516</v>
      </c>
      <c r="L950" s="1137"/>
      <c r="M950" s="1138">
        <f t="shared" si="115"/>
        <v>0</v>
      </c>
      <c r="N950" s="893">
        <f t="shared" si="122"/>
        <v>0</v>
      </c>
      <c r="O950" s="905"/>
      <c r="Q950" s="317" t="str">
        <f t="shared" si="117"/>
        <v/>
      </c>
      <c r="R950" s="317" t="str">
        <f t="shared" si="120"/>
        <v/>
      </c>
      <c r="S950" s="317" t="str">
        <f t="shared" si="121"/>
        <v/>
      </c>
      <c r="T950" s="317" t="str">
        <f>GLOBAL_DER_FEV_2023!S950</f>
        <v/>
      </c>
      <c r="W950" s="582">
        <v>0</v>
      </c>
      <c r="X950" s="580"/>
      <c r="Y950" s="583">
        <f>IF(GLOBAL_DER_FEV_2023!W950=0,0,IF(GLOBAL_DER_FEV_2023!W950&gt;0,"c","b"))</f>
        <v>0</v>
      </c>
    </row>
    <row r="951" spans="1:25" ht="33.75" x14ac:dyDescent="0.2">
      <c r="A951" s="317">
        <v>100601</v>
      </c>
      <c r="B951" s="895">
        <v>100601</v>
      </c>
      <c r="C951" s="896" t="s">
        <v>596</v>
      </c>
      <c r="D951" s="906" t="s">
        <v>878</v>
      </c>
      <c r="E951" s="907">
        <f>GLOBAL_DER_FEV_2023!E951</f>
        <v>0</v>
      </c>
      <c r="F951" s="908">
        <f>GLOBAL_DER_FEV_2023!F951</f>
        <v>0</v>
      </c>
      <c r="G951" s="912">
        <f>GLOBAL_DER_FEV_2023!G951</f>
        <v>0</v>
      </c>
      <c r="H951" s="901">
        <f>GLOBAL_DER_FEV_2023!H951</f>
        <v>772.56</v>
      </c>
      <c r="I951" s="901">
        <f>GLOBAL_DER_FEV_2023!I951</f>
        <v>772.56</v>
      </c>
      <c r="J951" s="902">
        <f>GLOBAL_DER_FEV_2023!J951</f>
        <v>927.61</v>
      </c>
      <c r="K951" s="903" t="s">
        <v>1516</v>
      </c>
      <c r="L951" s="1137"/>
      <c r="M951" s="1138">
        <f t="shared" si="115"/>
        <v>0</v>
      </c>
      <c r="N951" s="893">
        <f t="shared" si="122"/>
        <v>0</v>
      </c>
      <c r="O951" s="905"/>
      <c r="Q951" s="317" t="str">
        <f t="shared" si="117"/>
        <v/>
      </c>
      <c r="R951" s="317" t="str">
        <f t="shared" si="120"/>
        <v/>
      </c>
      <c r="S951" s="317" t="str">
        <f t="shared" si="121"/>
        <v/>
      </c>
      <c r="T951" s="317" t="str">
        <f>GLOBAL_DER_FEV_2023!S951</f>
        <v/>
      </c>
      <c r="W951" s="582">
        <v>0</v>
      </c>
      <c r="X951" s="580"/>
      <c r="Y951" s="583">
        <f>IF(GLOBAL_DER_FEV_2023!W951=0,0,IF(GLOBAL_DER_FEV_2023!W951&gt;0,"c","b"))</f>
        <v>0</v>
      </c>
    </row>
    <row r="952" spans="1:25" ht="33.75" x14ac:dyDescent="0.2">
      <c r="A952" s="317">
        <v>100602</v>
      </c>
      <c r="B952" s="895">
        <v>100602</v>
      </c>
      <c r="C952" s="896" t="s">
        <v>596</v>
      </c>
      <c r="D952" s="906" t="s">
        <v>879</v>
      </c>
      <c r="E952" s="907">
        <f>GLOBAL_DER_FEV_2023!E952</f>
        <v>0</v>
      </c>
      <c r="F952" s="908">
        <f>GLOBAL_DER_FEV_2023!F952</f>
        <v>0</v>
      </c>
      <c r="G952" s="912">
        <f>GLOBAL_DER_FEV_2023!G952</f>
        <v>0</v>
      </c>
      <c r="H952" s="901">
        <f>GLOBAL_DER_FEV_2023!H952</f>
        <v>971.46</v>
      </c>
      <c r="I952" s="901">
        <f>GLOBAL_DER_FEV_2023!I952</f>
        <v>971.46</v>
      </c>
      <c r="J952" s="902">
        <f>GLOBAL_DER_FEV_2023!J952</f>
        <v>1166.43</v>
      </c>
      <c r="K952" s="903" t="s">
        <v>1516</v>
      </c>
      <c r="L952" s="1137"/>
      <c r="M952" s="1138">
        <f t="shared" si="115"/>
        <v>0</v>
      </c>
      <c r="N952" s="893">
        <f t="shared" si="122"/>
        <v>0</v>
      </c>
      <c r="O952" s="905"/>
      <c r="Q952" s="317" t="str">
        <f t="shared" si="117"/>
        <v/>
      </c>
      <c r="R952" s="317" t="str">
        <f t="shared" si="120"/>
        <v/>
      </c>
      <c r="S952" s="317" t="str">
        <f t="shared" si="121"/>
        <v/>
      </c>
      <c r="T952" s="317" t="str">
        <f>GLOBAL_DER_FEV_2023!S952</f>
        <v/>
      </c>
      <c r="W952" s="582">
        <v>0</v>
      </c>
      <c r="X952" s="580"/>
      <c r="Y952" s="583">
        <f>IF(GLOBAL_DER_FEV_2023!W952=0,0,IF(GLOBAL_DER_FEV_2023!W952&gt;0,"c","b"))</f>
        <v>0</v>
      </c>
    </row>
    <row r="953" spans="1:25" ht="33.75" x14ac:dyDescent="0.2">
      <c r="A953" s="317">
        <v>100603</v>
      </c>
      <c r="B953" s="895">
        <v>100603</v>
      </c>
      <c r="C953" s="896" t="s">
        <v>596</v>
      </c>
      <c r="D953" s="906" t="s">
        <v>880</v>
      </c>
      <c r="E953" s="907">
        <f>GLOBAL_DER_FEV_2023!E953</f>
        <v>0</v>
      </c>
      <c r="F953" s="908">
        <f>GLOBAL_DER_FEV_2023!F953</f>
        <v>0</v>
      </c>
      <c r="G953" s="912">
        <f>GLOBAL_DER_FEV_2023!G953</f>
        <v>0</v>
      </c>
      <c r="H953" s="901">
        <f>GLOBAL_DER_FEV_2023!H953</f>
        <v>1484.28</v>
      </c>
      <c r="I953" s="901">
        <f>GLOBAL_DER_FEV_2023!I953</f>
        <v>1484.28</v>
      </c>
      <c r="J953" s="902">
        <f>GLOBAL_DER_FEV_2023!J953</f>
        <v>1782.17</v>
      </c>
      <c r="K953" s="903" t="s">
        <v>1516</v>
      </c>
      <c r="L953" s="1137"/>
      <c r="M953" s="1138">
        <f t="shared" si="115"/>
        <v>0</v>
      </c>
      <c r="N953" s="893">
        <f t="shared" si="122"/>
        <v>0</v>
      </c>
      <c r="O953" s="905"/>
      <c r="Q953" s="317" t="str">
        <f t="shared" si="117"/>
        <v/>
      </c>
      <c r="R953" s="317" t="str">
        <f t="shared" si="120"/>
        <v/>
      </c>
      <c r="S953" s="317" t="str">
        <f t="shared" si="121"/>
        <v/>
      </c>
      <c r="T953" s="317" t="str">
        <f>GLOBAL_DER_FEV_2023!S953</f>
        <v/>
      </c>
      <c r="W953" s="582">
        <v>0</v>
      </c>
      <c r="X953" s="580"/>
      <c r="Y953" s="583">
        <f>IF(GLOBAL_DER_FEV_2023!W953=0,0,IF(GLOBAL_DER_FEV_2023!W953&gt;0,"c","b"))</f>
        <v>0</v>
      </c>
    </row>
    <row r="954" spans="1:25" ht="33.75" x14ac:dyDescent="0.2">
      <c r="A954" s="317">
        <v>100604</v>
      </c>
      <c r="B954" s="895">
        <v>100604</v>
      </c>
      <c r="C954" s="896" t="s">
        <v>596</v>
      </c>
      <c r="D954" s="906" t="s">
        <v>881</v>
      </c>
      <c r="E954" s="907">
        <f>GLOBAL_DER_FEV_2023!E954</f>
        <v>0</v>
      </c>
      <c r="F954" s="908">
        <f>GLOBAL_DER_FEV_2023!F954</f>
        <v>0</v>
      </c>
      <c r="G954" s="912">
        <f>GLOBAL_DER_FEV_2023!G954</f>
        <v>0</v>
      </c>
      <c r="H954" s="901">
        <f>GLOBAL_DER_FEV_2023!H954</f>
        <v>652.23</v>
      </c>
      <c r="I954" s="901">
        <f>GLOBAL_DER_FEV_2023!I954</f>
        <v>652.23</v>
      </c>
      <c r="J954" s="902">
        <f>GLOBAL_DER_FEV_2023!J954</f>
        <v>783.13</v>
      </c>
      <c r="K954" s="903" t="s">
        <v>1516</v>
      </c>
      <c r="L954" s="1137"/>
      <c r="M954" s="1138">
        <f t="shared" si="115"/>
        <v>0</v>
      </c>
      <c r="N954" s="893">
        <f t="shared" si="122"/>
        <v>0</v>
      </c>
      <c r="O954" s="905"/>
      <c r="Q954" s="317" t="str">
        <f t="shared" si="117"/>
        <v/>
      </c>
      <c r="R954" s="317" t="str">
        <f t="shared" si="120"/>
        <v/>
      </c>
      <c r="S954" s="317" t="str">
        <f t="shared" si="121"/>
        <v/>
      </c>
      <c r="T954" s="317" t="str">
        <f>GLOBAL_DER_FEV_2023!S954</f>
        <v/>
      </c>
      <c r="W954" s="582">
        <v>0</v>
      </c>
      <c r="X954" s="580"/>
      <c r="Y954" s="583">
        <f>IF(GLOBAL_DER_FEV_2023!W954=0,0,IF(GLOBAL_DER_FEV_2023!W954&gt;0,"c","b"))</f>
        <v>0</v>
      </c>
    </row>
    <row r="955" spans="1:25" ht="33.75" x14ac:dyDescent="0.2">
      <c r="A955" s="317">
        <v>100605</v>
      </c>
      <c r="B955" s="895">
        <v>100605</v>
      </c>
      <c r="C955" s="896" t="s">
        <v>596</v>
      </c>
      <c r="D955" s="906" t="s">
        <v>882</v>
      </c>
      <c r="E955" s="907">
        <f>GLOBAL_DER_FEV_2023!E955</f>
        <v>0</v>
      </c>
      <c r="F955" s="908">
        <f>GLOBAL_DER_FEV_2023!F955</f>
        <v>0</v>
      </c>
      <c r="G955" s="912">
        <f>GLOBAL_DER_FEV_2023!G955</f>
        <v>0</v>
      </c>
      <c r="H955" s="901">
        <f>GLOBAL_DER_FEV_2023!H955</f>
        <v>1021.11</v>
      </c>
      <c r="I955" s="901">
        <f>GLOBAL_DER_FEV_2023!I955</f>
        <v>1021.11</v>
      </c>
      <c r="J955" s="902">
        <f>GLOBAL_DER_FEV_2023!J955</f>
        <v>1226.05</v>
      </c>
      <c r="K955" s="903" t="s">
        <v>1516</v>
      </c>
      <c r="L955" s="1137"/>
      <c r="M955" s="1138">
        <f t="shared" si="115"/>
        <v>0</v>
      </c>
      <c r="N955" s="893">
        <f t="shared" si="122"/>
        <v>0</v>
      </c>
      <c r="O955" s="905"/>
      <c r="Q955" s="317" t="str">
        <f t="shared" si="117"/>
        <v/>
      </c>
      <c r="R955" s="317" t="str">
        <f t="shared" si="120"/>
        <v/>
      </c>
      <c r="S955" s="317" t="str">
        <f t="shared" si="121"/>
        <v/>
      </c>
      <c r="T955" s="317" t="str">
        <f>GLOBAL_DER_FEV_2023!S955</f>
        <v/>
      </c>
      <c r="W955" s="582">
        <v>0</v>
      </c>
      <c r="X955" s="580"/>
      <c r="Y955" s="583">
        <f>IF(GLOBAL_DER_FEV_2023!W955=0,0,IF(GLOBAL_DER_FEV_2023!W955&gt;0,"c","b"))</f>
        <v>0</v>
      </c>
    </row>
    <row r="956" spans="1:25" ht="33.75" x14ac:dyDescent="0.2">
      <c r="A956" s="317">
        <v>100606</v>
      </c>
      <c r="B956" s="895">
        <v>100606</v>
      </c>
      <c r="C956" s="896" t="s">
        <v>596</v>
      </c>
      <c r="D956" s="906" t="s">
        <v>883</v>
      </c>
      <c r="E956" s="907">
        <f>GLOBAL_DER_FEV_2023!E956</f>
        <v>0</v>
      </c>
      <c r="F956" s="908">
        <f>GLOBAL_DER_FEV_2023!F956</f>
        <v>0</v>
      </c>
      <c r="G956" s="912">
        <f>GLOBAL_DER_FEV_2023!G956</f>
        <v>0</v>
      </c>
      <c r="H956" s="901">
        <f>GLOBAL_DER_FEV_2023!H956</f>
        <v>1547.64</v>
      </c>
      <c r="I956" s="901">
        <f>GLOBAL_DER_FEV_2023!I956</f>
        <v>1547.64</v>
      </c>
      <c r="J956" s="902">
        <f>GLOBAL_DER_FEV_2023!J956</f>
        <v>1858.25</v>
      </c>
      <c r="K956" s="903" t="s">
        <v>1516</v>
      </c>
      <c r="L956" s="1137"/>
      <c r="M956" s="1138">
        <f t="shared" si="115"/>
        <v>0</v>
      </c>
      <c r="N956" s="893">
        <f t="shared" si="122"/>
        <v>0</v>
      </c>
      <c r="O956" s="905"/>
      <c r="Q956" s="317" t="str">
        <f t="shared" si="117"/>
        <v/>
      </c>
      <c r="R956" s="317" t="str">
        <f t="shared" si="120"/>
        <v/>
      </c>
      <c r="S956" s="317" t="str">
        <f t="shared" si="121"/>
        <v/>
      </c>
      <c r="T956" s="317" t="str">
        <f>GLOBAL_DER_FEV_2023!S956</f>
        <v/>
      </c>
      <c r="W956" s="582">
        <v>0</v>
      </c>
      <c r="X956" s="580"/>
      <c r="Y956" s="583">
        <f>IF(GLOBAL_DER_FEV_2023!W956=0,0,IF(GLOBAL_DER_FEV_2023!W956&gt;0,"c","b"))</f>
        <v>0</v>
      </c>
    </row>
    <row r="957" spans="1:25" ht="33.75" x14ac:dyDescent="0.2">
      <c r="A957" s="317">
        <v>100607</v>
      </c>
      <c r="B957" s="895">
        <v>100607</v>
      </c>
      <c r="C957" s="896" t="s">
        <v>596</v>
      </c>
      <c r="D957" s="906" t="s">
        <v>884</v>
      </c>
      <c r="E957" s="907">
        <f>GLOBAL_DER_FEV_2023!E957</f>
        <v>0</v>
      </c>
      <c r="F957" s="908">
        <f>GLOBAL_DER_FEV_2023!F957</f>
        <v>0</v>
      </c>
      <c r="G957" s="912">
        <f>GLOBAL_DER_FEV_2023!G957</f>
        <v>0</v>
      </c>
      <c r="H957" s="901">
        <f>GLOBAL_DER_FEV_2023!H957</f>
        <v>670.9</v>
      </c>
      <c r="I957" s="901">
        <f>GLOBAL_DER_FEV_2023!I957</f>
        <v>670.9</v>
      </c>
      <c r="J957" s="902">
        <f>GLOBAL_DER_FEV_2023!J957</f>
        <v>805.55</v>
      </c>
      <c r="K957" s="903" t="s">
        <v>1516</v>
      </c>
      <c r="L957" s="1137"/>
      <c r="M957" s="1138">
        <f t="shared" si="115"/>
        <v>0</v>
      </c>
      <c r="N957" s="893">
        <f t="shared" si="122"/>
        <v>0</v>
      </c>
      <c r="O957" s="905"/>
      <c r="Q957" s="317" t="str">
        <f t="shared" si="117"/>
        <v/>
      </c>
      <c r="R957" s="317" t="str">
        <f t="shared" si="120"/>
        <v/>
      </c>
      <c r="S957" s="317" t="str">
        <f t="shared" si="121"/>
        <v/>
      </c>
      <c r="T957" s="317" t="str">
        <f>GLOBAL_DER_FEV_2023!S957</f>
        <v/>
      </c>
      <c r="W957" s="582">
        <v>0</v>
      </c>
      <c r="X957" s="580"/>
      <c r="Y957" s="583">
        <f>IF(GLOBAL_DER_FEV_2023!W957=0,0,IF(GLOBAL_DER_FEV_2023!W957&gt;0,"c","b"))</f>
        <v>0</v>
      </c>
    </row>
    <row r="958" spans="1:25" ht="33.75" x14ac:dyDescent="0.2">
      <c r="A958" s="317">
        <v>100608</v>
      </c>
      <c r="B958" s="895">
        <v>100608</v>
      </c>
      <c r="C958" s="896" t="s">
        <v>596</v>
      </c>
      <c r="D958" s="906" t="s">
        <v>885</v>
      </c>
      <c r="E958" s="907">
        <f>GLOBAL_DER_FEV_2023!E958</f>
        <v>0</v>
      </c>
      <c r="F958" s="908">
        <f>GLOBAL_DER_FEV_2023!F958</f>
        <v>0</v>
      </c>
      <c r="G958" s="912">
        <f>GLOBAL_DER_FEV_2023!G958</f>
        <v>0</v>
      </c>
      <c r="H958" s="901">
        <f>GLOBAL_DER_FEV_2023!H958</f>
        <v>1045.5899999999999</v>
      </c>
      <c r="I958" s="901">
        <f>GLOBAL_DER_FEV_2023!I958</f>
        <v>1045.5899999999999</v>
      </c>
      <c r="J958" s="902">
        <f>GLOBAL_DER_FEV_2023!J958</f>
        <v>1255.44</v>
      </c>
      <c r="K958" s="903" t="s">
        <v>1516</v>
      </c>
      <c r="L958" s="1137"/>
      <c r="M958" s="1138">
        <f t="shared" si="115"/>
        <v>0</v>
      </c>
      <c r="N958" s="893">
        <f t="shared" si="122"/>
        <v>0</v>
      </c>
      <c r="O958" s="905"/>
      <c r="Q958" s="317" t="str">
        <f t="shared" si="117"/>
        <v/>
      </c>
      <c r="R958" s="317" t="str">
        <f t="shared" si="120"/>
        <v/>
      </c>
      <c r="S958" s="317" t="str">
        <f t="shared" si="121"/>
        <v/>
      </c>
      <c r="T958" s="317" t="str">
        <f>GLOBAL_DER_FEV_2023!S958</f>
        <v/>
      </c>
      <c r="W958" s="582">
        <v>0</v>
      </c>
      <c r="X958" s="580"/>
      <c r="Y958" s="583">
        <f>IF(GLOBAL_DER_FEV_2023!W958=0,0,IF(GLOBAL_DER_FEV_2023!W958&gt;0,"c","b"))</f>
        <v>0</v>
      </c>
    </row>
    <row r="959" spans="1:25" ht="33.75" x14ac:dyDescent="0.2">
      <c r="A959" s="317">
        <v>100609</v>
      </c>
      <c r="B959" s="895">
        <v>100609</v>
      </c>
      <c r="C959" s="896" t="s">
        <v>596</v>
      </c>
      <c r="D959" s="906" t="s">
        <v>886</v>
      </c>
      <c r="E959" s="907">
        <f>GLOBAL_DER_FEV_2023!E959</f>
        <v>0</v>
      </c>
      <c r="F959" s="908">
        <f>GLOBAL_DER_FEV_2023!F959</f>
        <v>0</v>
      </c>
      <c r="G959" s="912">
        <f>GLOBAL_DER_FEV_2023!G959</f>
        <v>0</v>
      </c>
      <c r="H959" s="901">
        <f>GLOBAL_DER_FEV_2023!H959</f>
        <v>1581.56</v>
      </c>
      <c r="I959" s="901">
        <f>GLOBAL_DER_FEV_2023!I959</f>
        <v>1581.56</v>
      </c>
      <c r="J959" s="902">
        <f>GLOBAL_DER_FEV_2023!J959</f>
        <v>1898.98</v>
      </c>
      <c r="K959" s="903" t="s">
        <v>1516</v>
      </c>
      <c r="L959" s="1137"/>
      <c r="M959" s="1138">
        <f t="shared" si="115"/>
        <v>0</v>
      </c>
      <c r="N959" s="893">
        <f t="shared" si="122"/>
        <v>0</v>
      </c>
      <c r="O959" s="905"/>
      <c r="Q959" s="317" t="str">
        <f t="shared" si="117"/>
        <v/>
      </c>
      <c r="R959" s="317" t="str">
        <f t="shared" si="120"/>
        <v/>
      </c>
      <c r="S959" s="317" t="str">
        <f t="shared" si="121"/>
        <v/>
      </c>
      <c r="T959" s="317" t="str">
        <f>GLOBAL_DER_FEV_2023!S959</f>
        <v/>
      </c>
      <c r="W959" s="582">
        <v>0</v>
      </c>
      <c r="X959" s="580"/>
      <c r="Y959" s="583">
        <f>IF(GLOBAL_DER_FEV_2023!W959=0,0,IF(GLOBAL_DER_FEV_2023!W959&gt;0,"c","b"))</f>
        <v>0</v>
      </c>
    </row>
    <row r="960" spans="1:25" ht="33.75" x14ac:dyDescent="0.2">
      <c r="A960" s="317">
        <v>100610</v>
      </c>
      <c r="B960" s="895">
        <v>100610</v>
      </c>
      <c r="C960" s="896" t="s">
        <v>596</v>
      </c>
      <c r="D960" s="906" t="s">
        <v>887</v>
      </c>
      <c r="E960" s="907">
        <f>GLOBAL_DER_FEV_2023!E960</f>
        <v>0</v>
      </c>
      <c r="F960" s="908">
        <f>GLOBAL_DER_FEV_2023!F960</f>
        <v>0</v>
      </c>
      <c r="G960" s="912">
        <f>GLOBAL_DER_FEV_2023!G960</f>
        <v>0</v>
      </c>
      <c r="H960" s="901">
        <f>GLOBAL_DER_FEV_2023!H960</f>
        <v>689.49</v>
      </c>
      <c r="I960" s="901">
        <f>GLOBAL_DER_FEV_2023!I960</f>
        <v>689.49</v>
      </c>
      <c r="J960" s="902">
        <f>GLOBAL_DER_FEV_2023!J960</f>
        <v>827.87</v>
      </c>
      <c r="K960" s="903" t="s">
        <v>1516</v>
      </c>
      <c r="L960" s="1137"/>
      <c r="M960" s="1138">
        <f t="shared" si="115"/>
        <v>0</v>
      </c>
      <c r="N960" s="893">
        <f t="shared" si="122"/>
        <v>0</v>
      </c>
      <c r="O960" s="905"/>
      <c r="Q960" s="317" t="str">
        <f t="shared" si="117"/>
        <v/>
      </c>
      <c r="R960" s="317" t="str">
        <f t="shared" si="120"/>
        <v/>
      </c>
      <c r="S960" s="317" t="str">
        <f t="shared" si="121"/>
        <v/>
      </c>
      <c r="T960" s="317" t="str">
        <f>GLOBAL_DER_FEV_2023!S960</f>
        <v/>
      </c>
      <c r="W960" s="582">
        <v>0</v>
      </c>
      <c r="X960" s="580"/>
      <c r="Y960" s="583">
        <f>IF(GLOBAL_DER_FEV_2023!W960=0,0,IF(GLOBAL_DER_FEV_2023!W960&gt;0,"c","b"))</f>
        <v>0</v>
      </c>
    </row>
    <row r="961" spans="1:25" ht="33.75" x14ac:dyDescent="0.2">
      <c r="A961" s="317">
        <v>100611</v>
      </c>
      <c r="B961" s="895">
        <v>100611</v>
      </c>
      <c r="C961" s="896" t="s">
        <v>596</v>
      </c>
      <c r="D961" s="906" t="s">
        <v>888</v>
      </c>
      <c r="E961" s="907">
        <f>GLOBAL_DER_FEV_2023!E961</f>
        <v>0</v>
      </c>
      <c r="F961" s="908">
        <f>GLOBAL_DER_FEV_2023!F961</f>
        <v>0</v>
      </c>
      <c r="G961" s="912">
        <f>GLOBAL_DER_FEV_2023!G961</f>
        <v>0</v>
      </c>
      <c r="H961" s="901">
        <f>GLOBAL_DER_FEV_2023!H961</f>
        <v>858.26</v>
      </c>
      <c r="I961" s="901">
        <f>GLOBAL_DER_FEV_2023!I961</f>
        <v>858.26</v>
      </c>
      <c r="J961" s="902">
        <f>GLOBAL_DER_FEV_2023!J961</f>
        <v>1030.51</v>
      </c>
      <c r="K961" s="903" t="s">
        <v>1516</v>
      </c>
      <c r="L961" s="1137"/>
      <c r="M961" s="1138">
        <f t="shared" si="115"/>
        <v>0</v>
      </c>
      <c r="N961" s="893">
        <f t="shared" si="122"/>
        <v>0</v>
      </c>
      <c r="O961" s="905"/>
      <c r="Q961" s="317" t="str">
        <f t="shared" si="117"/>
        <v/>
      </c>
      <c r="R961" s="317" t="str">
        <f t="shared" si="120"/>
        <v/>
      </c>
      <c r="S961" s="317" t="str">
        <f t="shared" si="121"/>
        <v/>
      </c>
      <c r="T961" s="317" t="str">
        <f>GLOBAL_DER_FEV_2023!S961</f>
        <v/>
      </c>
      <c r="W961" s="582">
        <v>0</v>
      </c>
      <c r="X961" s="580"/>
      <c r="Y961" s="583">
        <f>IF(GLOBAL_DER_FEV_2023!W961=0,0,IF(GLOBAL_DER_FEV_2023!W961&gt;0,"c","b"))</f>
        <v>0</v>
      </c>
    </row>
    <row r="962" spans="1:25" ht="33.75" x14ac:dyDescent="0.2">
      <c r="A962" s="317">
        <v>100612</v>
      </c>
      <c r="B962" s="895">
        <v>100612</v>
      </c>
      <c r="C962" s="896" t="s">
        <v>596</v>
      </c>
      <c r="D962" s="906" t="s">
        <v>889</v>
      </c>
      <c r="E962" s="907">
        <f>GLOBAL_DER_FEV_2023!E962</f>
        <v>0</v>
      </c>
      <c r="F962" s="908">
        <f>GLOBAL_DER_FEV_2023!F962</f>
        <v>0</v>
      </c>
      <c r="G962" s="912">
        <f>GLOBAL_DER_FEV_2023!G962</f>
        <v>0</v>
      </c>
      <c r="H962" s="901">
        <f>GLOBAL_DER_FEV_2023!H962</f>
        <v>1069.6600000000001</v>
      </c>
      <c r="I962" s="901">
        <f>GLOBAL_DER_FEV_2023!I962</f>
        <v>1069.6600000000001</v>
      </c>
      <c r="J962" s="902">
        <f>GLOBAL_DER_FEV_2023!J962</f>
        <v>1284.3399999999999</v>
      </c>
      <c r="K962" s="903" t="s">
        <v>1516</v>
      </c>
      <c r="L962" s="1137"/>
      <c r="M962" s="1138">
        <f t="shared" si="115"/>
        <v>0</v>
      </c>
      <c r="N962" s="893">
        <f t="shared" si="122"/>
        <v>0</v>
      </c>
      <c r="O962" s="905"/>
      <c r="Q962" s="317" t="str">
        <f t="shared" si="117"/>
        <v/>
      </c>
      <c r="R962" s="317" t="str">
        <f t="shared" si="120"/>
        <v/>
      </c>
      <c r="S962" s="317" t="str">
        <f t="shared" si="121"/>
        <v/>
      </c>
      <c r="T962" s="317" t="str">
        <f>GLOBAL_DER_FEV_2023!S962</f>
        <v/>
      </c>
      <c r="W962" s="582">
        <v>0</v>
      </c>
      <c r="X962" s="580"/>
      <c r="Y962" s="583">
        <f>IF(GLOBAL_DER_FEV_2023!W962=0,0,IF(GLOBAL_DER_FEV_2023!W962&gt;0,"c","b"))</f>
        <v>0</v>
      </c>
    </row>
    <row r="963" spans="1:25" ht="33.75" x14ac:dyDescent="0.2">
      <c r="A963" s="317">
        <v>100613</v>
      </c>
      <c r="B963" s="895">
        <v>100613</v>
      </c>
      <c r="C963" s="896" t="s">
        <v>596</v>
      </c>
      <c r="D963" s="906" t="s">
        <v>890</v>
      </c>
      <c r="E963" s="907">
        <f>GLOBAL_DER_FEV_2023!E963</f>
        <v>0</v>
      </c>
      <c r="F963" s="908">
        <f>GLOBAL_DER_FEV_2023!F963</f>
        <v>0</v>
      </c>
      <c r="G963" s="912">
        <f>GLOBAL_DER_FEV_2023!G963</f>
        <v>0</v>
      </c>
      <c r="H963" s="901">
        <f>GLOBAL_DER_FEV_2023!H963</f>
        <v>1614.79</v>
      </c>
      <c r="I963" s="901">
        <f>GLOBAL_DER_FEV_2023!I963</f>
        <v>1614.79</v>
      </c>
      <c r="J963" s="902">
        <f>GLOBAL_DER_FEV_2023!J963</f>
        <v>1938.88</v>
      </c>
      <c r="K963" s="903" t="s">
        <v>1516</v>
      </c>
      <c r="L963" s="1137"/>
      <c r="M963" s="1138">
        <f t="shared" si="115"/>
        <v>0</v>
      </c>
      <c r="N963" s="893">
        <f t="shared" si="122"/>
        <v>0</v>
      </c>
      <c r="O963" s="905"/>
      <c r="Q963" s="317" t="str">
        <f t="shared" si="117"/>
        <v/>
      </c>
      <c r="R963" s="317" t="str">
        <f t="shared" si="120"/>
        <v/>
      </c>
      <c r="S963" s="317" t="str">
        <f t="shared" si="121"/>
        <v/>
      </c>
      <c r="T963" s="317" t="str">
        <f>GLOBAL_DER_FEV_2023!S963</f>
        <v/>
      </c>
      <c r="W963" s="582">
        <v>0</v>
      </c>
      <c r="X963" s="580"/>
      <c r="Y963" s="583">
        <f>IF(GLOBAL_DER_FEV_2023!W963=0,0,IF(GLOBAL_DER_FEV_2023!W963&gt;0,"c","b"))</f>
        <v>0</v>
      </c>
    </row>
    <row r="964" spans="1:25" ht="33.75" x14ac:dyDescent="0.2">
      <c r="A964" s="317">
        <v>100614</v>
      </c>
      <c r="B964" s="895">
        <v>100614</v>
      </c>
      <c r="C964" s="896" t="s">
        <v>596</v>
      </c>
      <c r="D964" s="906" t="s">
        <v>891</v>
      </c>
      <c r="E964" s="907">
        <f>GLOBAL_DER_FEV_2023!E964</f>
        <v>0</v>
      </c>
      <c r="F964" s="908">
        <f>GLOBAL_DER_FEV_2023!F964</f>
        <v>0</v>
      </c>
      <c r="G964" s="912">
        <f>GLOBAL_DER_FEV_2023!G964</f>
        <v>0</v>
      </c>
      <c r="H964" s="901">
        <f>GLOBAL_DER_FEV_2023!H964</f>
        <v>900.34</v>
      </c>
      <c r="I964" s="901">
        <f>GLOBAL_DER_FEV_2023!I964</f>
        <v>900.34</v>
      </c>
      <c r="J964" s="902">
        <f>GLOBAL_DER_FEV_2023!J964</f>
        <v>1081.04</v>
      </c>
      <c r="K964" s="903" t="s">
        <v>1516</v>
      </c>
      <c r="L964" s="1137"/>
      <c r="M964" s="1138">
        <f t="shared" si="115"/>
        <v>0</v>
      </c>
      <c r="N964" s="893">
        <f t="shared" si="122"/>
        <v>0</v>
      </c>
      <c r="O964" s="905"/>
      <c r="Q964" s="317" t="str">
        <f t="shared" si="117"/>
        <v/>
      </c>
      <c r="R964" s="317" t="str">
        <f t="shared" si="120"/>
        <v/>
      </c>
      <c r="S964" s="317" t="str">
        <f t="shared" si="121"/>
        <v/>
      </c>
      <c r="T964" s="317" t="str">
        <f>GLOBAL_DER_FEV_2023!S964</f>
        <v/>
      </c>
      <c r="W964" s="582">
        <v>0</v>
      </c>
      <c r="X964" s="580"/>
      <c r="Y964" s="583">
        <f>IF(GLOBAL_DER_FEV_2023!W964=0,0,IF(GLOBAL_DER_FEV_2023!W964&gt;0,"c","b"))</f>
        <v>0</v>
      </c>
    </row>
    <row r="965" spans="1:25" ht="33.75" x14ac:dyDescent="0.2">
      <c r="A965" s="317">
        <v>100615</v>
      </c>
      <c r="B965" s="895">
        <v>100615</v>
      </c>
      <c r="C965" s="896" t="s">
        <v>596</v>
      </c>
      <c r="D965" s="906" t="s">
        <v>892</v>
      </c>
      <c r="E965" s="907">
        <f>GLOBAL_DER_FEV_2023!E965</f>
        <v>0</v>
      </c>
      <c r="F965" s="908">
        <f>GLOBAL_DER_FEV_2023!F965</f>
        <v>0</v>
      </c>
      <c r="G965" s="912">
        <f>GLOBAL_DER_FEV_2023!G965</f>
        <v>0</v>
      </c>
      <c r="H965" s="901">
        <f>GLOBAL_DER_FEV_2023!H965</f>
        <v>1117.47</v>
      </c>
      <c r="I965" s="901">
        <f>GLOBAL_DER_FEV_2023!I965</f>
        <v>1117.47</v>
      </c>
      <c r="J965" s="902">
        <f>GLOBAL_DER_FEV_2023!J965</f>
        <v>1341.75</v>
      </c>
      <c r="K965" s="903" t="s">
        <v>1516</v>
      </c>
      <c r="L965" s="1137"/>
      <c r="M965" s="1138">
        <f t="shared" si="115"/>
        <v>0</v>
      </c>
      <c r="N965" s="893">
        <f t="shared" si="122"/>
        <v>0</v>
      </c>
      <c r="O965" s="905"/>
      <c r="Q965" s="317" t="str">
        <f t="shared" si="117"/>
        <v/>
      </c>
      <c r="R965" s="317" t="str">
        <f t="shared" si="120"/>
        <v/>
      </c>
      <c r="S965" s="317" t="str">
        <f t="shared" si="121"/>
        <v/>
      </c>
      <c r="T965" s="317" t="str">
        <f>GLOBAL_DER_FEV_2023!S965</f>
        <v/>
      </c>
      <c r="W965" s="582">
        <v>0</v>
      </c>
      <c r="X965" s="580"/>
      <c r="Y965" s="583">
        <f>IF(GLOBAL_DER_FEV_2023!W965=0,0,IF(GLOBAL_DER_FEV_2023!W965&gt;0,"c","b"))</f>
        <v>0</v>
      </c>
    </row>
    <row r="966" spans="1:25" ht="33.75" x14ac:dyDescent="0.2">
      <c r="A966" s="317">
        <v>100616</v>
      </c>
      <c r="B966" s="895">
        <v>100616</v>
      </c>
      <c r="C966" s="896" t="s">
        <v>596</v>
      </c>
      <c r="D966" s="906" t="s">
        <v>893</v>
      </c>
      <c r="E966" s="907">
        <f>GLOBAL_DER_FEV_2023!E966</f>
        <v>0</v>
      </c>
      <c r="F966" s="908">
        <f>GLOBAL_DER_FEV_2023!F966</f>
        <v>0</v>
      </c>
      <c r="G966" s="912">
        <f>GLOBAL_DER_FEV_2023!G966</f>
        <v>0</v>
      </c>
      <c r="H966" s="901">
        <f>GLOBAL_DER_FEV_2023!H966</f>
        <v>1684.75</v>
      </c>
      <c r="I966" s="901">
        <f>GLOBAL_DER_FEV_2023!I966</f>
        <v>1684.75</v>
      </c>
      <c r="J966" s="902">
        <f>GLOBAL_DER_FEV_2023!J966</f>
        <v>2022.88</v>
      </c>
      <c r="K966" s="903" t="s">
        <v>1516</v>
      </c>
      <c r="L966" s="1137"/>
      <c r="M966" s="1138">
        <f t="shared" ref="M966:M1029" si="123">IF(L966=0,0,ROUND(J966,2))</f>
        <v>0</v>
      </c>
      <c r="N966" s="893">
        <f t="shared" si="122"/>
        <v>0</v>
      </c>
      <c r="O966" s="905"/>
      <c r="Q966" s="317" t="str">
        <f t="shared" si="117"/>
        <v/>
      </c>
      <c r="R966" s="317" t="str">
        <f t="shared" si="120"/>
        <v/>
      </c>
      <c r="S966" s="317" t="str">
        <f t="shared" si="121"/>
        <v/>
      </c>
      <c r="T966" s="317" t="str">
        <f>GLOBAL_DER_FEV_2023!S966</f>
        <v/>
      </c>
      <c r="W966" s="582">
        <v>0</v>
      </c>
      <c r="X966" s="580"/>
      <c r="Y966" s="583">
        <f>IF(GLOBAL_DER_FEV_2023!W966=0,0,IF(GLOBAL_DER_FEV_2023!W966&gt;0,"c","b"))</f>
        <v>0</v>
      </c>
    </row>
    <row r="967" spans="1:25" ht="33.75" x14ac:dyDescent="0.2">
      <c r="A967" s="317">
        <v>100617</v>
      </c>
      <c r="B967" s="895">
        <v>100617</v>
      </c>
      <c r="C967" s="896" t="s">
        <v>596</v>
      </c>
      <c r="D967" s="906" t="s">
        <v>894</v>
      </c>
      <c r="E967" s="907">
        <f>GLOBAL_DER_FEV_2023!E967</f>
        <v>0</v>
      </c>
      <c r="F967" s="908">
        <f>GLOBAL_DER_FEV_2023!F967</f>
        <v>0</v>
      </c>
      <c r="G967" s="912">
        <f>GLOBAL_DER_FEV_2023!G967</f>
        <v>0</v>
      </c>
      <c r="H967" s="901">
        <f>GLOBAL_DER_FEV_2023!H967</f>
        <v>1165.17</v>
      </c>
      <c r="I967" s="901">
        <f>GLOBAL_DER_FEV_2023!I967</f>
        <v>1165.17</v>
      </c>
      <c r="J967" s="902">
        <f>GLOBAL_DER_FEV_2023!J967</f>
        <v>1399.02</v>
      </c>
      <c r="K967" s="903" t="s">
        <v>1516</v>
      </c>
      <c r="L967" s="1137"/>
      <c r="M967" s="1138">
        <f t="shared" si="123"/>
        <v>0</v>
      </c>
      <c r="N967" s="893">
        <f t="shared" si="122"/>
        <v>0</v>
      </c>
      <c r="O967" s="905"/>
      <c r="Q967" s="317" t="str">
        <f t="shared" si="117"/>
        <v/>
      </c>
      <c r="R967" s="317" t="str">
        <f t="shared" si="120"/>
        <v/>
      </c>
      <c r="S967" s="317" t="str">
        <f t="shared" si="121"/>
        <v/>
      </c>
      <c r="T967" s="317" t="str">
        <f>GLOBAL_DER_FEV_2023!S967</f>
        <v/>
      </c>
      <c r="W967" s="582">
        <v>0</v>
      </c>
      <c r="X967" s="580"/>
      <c r="Y967" s="583">
        <f>IF(GLOBAL_DER_FEV_2023!W967=0,0,IF(GLOBAL_DER_FEV_2023!W967&gt;0,"c","b"))</f>
        <v>0</v>
      </c>
    </row>
    <row r="968" spans="1:25" ht="45" x14ac:dyDescent="0.2">
      <c r="A968" s="317">
        <v>100618</v>
      </c>
      <c r="B968" s="895">
        <v>100618</v>
      </c>
      <c r="C968" s="896" t="s">
        <v>596</v>
      </c>
      <c r="D968" s="906" t="s">
        <v>895</v>
      </c>
      <c r="E968" s="907">
        <f>GLOBAL_DER_FEV_2023!E968</f>
        <v>0</v>
      </c>
      <c r="F968" s="908">
        <f>GLOBAL_DER_FEV_2023!F968</f>
        <v>0</v>
      </c>
      <c r="G968" s="912">
        <f>GLOBAL_DER_FEV_2023!G968</f>
        <v>0</v>
      </c>
      <c r="H968" s="901">
        <f>GLOBAL_DER_FEV_2023!H968</f>
        <v>1758.03</v>
      </c>
      <c r="I968" s="901">
        <f>GLOBAL_DER_FEV_2023!I968</f>
        <v>1758.03</v>
      </c>
      <c r="J968" s="902">
        <f>GLOBAL_DER_FEV_2023!J968</f>
        <v>2110.87</v>
      </c>
      <c r="K968" s="903" t="s">
        <v>1516</v>
      </c>
      <c r="L968" s="1137"/>
      <c r="M968" s="1138">
        <f t="shared" si="123"/>
        <v>0</v>
      </c>
      <c r="N968" s="893">
        <f t="shared" si="122"/>
        <v>0</v>
      </c>
      <c r="O968" s="905"/>
      <c r="Q968" s="317" t="str">
        <f t="shared" si="117"/>
        <v/>
      </c>
      <c r="R968" s="317" t="str">
        <f t="shared" si="120"/>
        <v/>
      </c>
      <c r="S968" s="317" t="str">
        <f t="shared" si="121"/>
        <v/>
      </c>
      <c r="T968" s="317" t="str">
        <f>GLOBAL_DER_FEV_2023!S968</f>
        <v/>
      </c>
      <c r="W968" s="582">
        <v>0</v>
      </c>
      <c r="X968" s="580"/>
      <c r="Y968" s="583">
        <f>IF(GLOBAL_DER_FEV_2023!W968=0,0,IF(GLOBAL_DER_FEV_2023!W968&gt;0,"c","b"))</f>
        <v>0</v>
      </c>
    </row>
    <row r="969" spans="1:25" ht="22.5" x14ac:dyDescent="0.2">
      <c r="A969" s="317">
        <v>97660</v>
      </c>
      <c r="B969" s="895">
        <v>97660</v>
      </c>
      <c r="C969" s="896" t="s">
        <v>596</v>
      </c>
      <c r="D969" s="906" t="s">
        <v>896</v>
      </c>
      <c r="E969" s="907">
        <f>GLOBAL_DER_FEV_2023!E969</f>
        <v>0</v>
      </c>
      <c r="F969" s="908">
        <f>GLOBAL_DER_FEV_2023!F969</f>
        <v>0</v>
      </c>
      <c r="G969" s="912">
        <f>GLOBAL_DER_FEV_2023!G969</f>
        <v>0</v>
      </c>
      <c r="H969" s="901">
        <f>GLOBAL_DER_FEV_2023!H969</f>
        <v>0.77</v>
      </c>
      <c r="I969" s="901">
        <f>GLOBAL_DER_FEV_2023!I969</f>
        <v>0.77</v>
      </c>
      <c r="J969" s="902">
        <f>GLOBAL_DER_FEV_2023!J969</f>
        <v>0.92</v>
      </c>
      <c r="K969" s="903" t="s">
        <v>1516</v>
      </c>
      <c r="L969" s="1137"/>
      <c r="M969" s="1138">
        <f t="shared" si="123"/>
        <v>0</v>
      </c>
      <c r="N969" s="893">
        <f t="shared" si="122"/>
        <v>0</v>
      </c>
      <c r="O969" s="905"/>
      <c r="Q969" s="317" t="str">
        <f t="shared" si="117"/>
        <v/>
      </c>
      <c r="R969" s="317" t="str">
        <f t="shared" si="120"/>
        <v/>
      </c>
      <c r="S969" s="317" t="str">
        <f t="shared" si="121"/>
        <v/>
      </c>
      <c r="T969" s="317" t="str">
        <f>GLOBAL_DER_FEV_2023!S969</f>
        <v/>
      </c>
      <c r="W969" s="582">
        <v>0</v>
      </c>
      <c r="X969" s="580"/>
      <c r="Y969" s="583">
        <f>IF(GLOBAL_DER_FEV_2023!W969=0,0,IF(GLOBAL_DER_FEV_2023!W969&gt;0,"c","b"))</f>
        <v>0</v>
      </c>
    </row>
    <row r="970" spans="1:25" ht="22.5" x14ac:dyDescent="0.2">
      <c r="A970" s="317">
        <v>90447</v>
      </c>
      <c r="B970" s="895">
        <v>90447</v>
      </c>
      <c r="C970" s="896" t="s">
        <v>596</v>
      </c>
      <c r="D970" s="906" t="s">
        <v>897</v>
      </c>
      <c r="E970" s="907">
        <f>GLOBAL_DER_FEV_2023!E970</f>
        <v>0</v>
      </c>
      <c r="F970" s="908">
        <f>GLOBAL_DER_FEV_2023!F970</f>
        <v>0</v>
      </c>
      <c r="G970" s="912">
        <f>GLOBAL_DER_FEV_2023!G970</f>
        <v>0</v>
      </c>
      <c r="H970" s="901">
        <f>GLOBAL_DER_FEV_2023!H970</f>
        <v>8.0299999999999994</v>
      </c>
      <c r="I970" s="901">
        <f>GLOBAL_DER_FEV_2023!I970</f>
        <v>8.0299999999999994</v>
      </c>
      <c r="J970" s="902">
        <f>GLOBAL_DER_FEV_2023!J970</f>
        <v>9.64</v>
      </c>
      <c r="K970" s="903" t="s">
        <v>62</v>
      </c>
      <c r="L970" s="1137"/>
      <c r="M970" s="1138">
        <f t="shared" si="123"/>
        <v>0</v>
      </c>
      <c r="N970" s="893">
        <f t="shared" si="122"/>
        <v>0</v>
      </c>
      <c r="O970" s="905"/>
      <c r="Q970" s="317" t="str">
        <f t="shared" si="117"/>
        <v/>
      </c>
      <c r="R970" s="317" t="str">
        <f t="shared" si="120"/>
        <v/>
      </c>
      <c r="S970" s="317" t="str">
        <f t="shared" si="121"/>
        <v/>
      </c>
      <c r="T970" s="317" t="str">
        <f>GLOBAL_DER_FEV_2023!S970</f>
        <v/>
      </c>
      <c r="W970" s="582">
        <v>0</v>
      </c>
      <c r="X970" s="580"/>
      <c r="Y970" s="583">
        <f>IF(GLOBAL_DER_FEV_2023!W970=0,0,IF(GLOBAL_DER_FEV_2023!W970&gt;0,"c","b"))</f>
        <v>0</v>
      </c>
    </row>
    <row r="971" spans="1:25" ht="22.5" x14ac:dyDescent="0.2">
      <c r="A971" s="317">
        <v>90456</v>
      </c>
      <c r="B971" s="895">
        <v>90456</v>
      </c>
      <c r="C971" s="896" t="s">
        <v>596</v>
      </c>
      <c r="D971" s="906" t="s">
        <v>898</v>
      </c>
      <c r="E971" s="907">
        <f>GLOBAL_DER_FEV_2023!E971</f>
        <v>0</v>
      </c>
      <c r="F971" s="908">
        <f>GLOBAL_DER_FEV_2023!F971</f>
        <v>0</v>
      </c>
      <c r="G971" s="912">
        <f>GLOBAL_DER_FEV_2023!G971</f>
        <v>0</v>
      </c>
      <c r="H971" s="901">
        <f>GLOBAL_DER_FEV_2023!H971</f>
        <v>5.16</v>
      </c>
      <c r="I971" s="901">
        <f>GLOBAL_DER_FEV_2023!I971</f>
        <v>5.16</v>
      </c>
      <c r="J971" s="902">
        <f>GLOBAL_DER_FEV_2023!J971</f>
        <v>6.2</v>
      </c>
      <c r="K971" s="903" t="s">
        <v>1516</v>
      </c>
      <c r="L971" s="1137"/>
      <c r="M971" s="1138">
        <f t="shared" si="123"/>
        <v>0</v>
      </c>
      <c r="N971" s="893">
        <f t="shared" si="122"/>
        <v>0</v>
      </c>
      <c r="O971" s="905"/>
      <c r="Q971" s="317" t="str">
        <f t="shared" si="117"/>
        <v/>
      </c>
      <c r="R971" s="317" t="str">
        <f t="shared" si="120"/>
        <v/>
      </c>
      <c r="S971" s="317" t="str">
        <f t="shared" si="121"/>
        <v/>
      </c>
      <c r="T971" s="317" t="str">
        <f>GLOBAL_DER_FEV_2023!S971</f>
        <v/>
      </c>
      <c r="W971" s="582">
        <v>0</v>
      </c>
      <c r="X971" s="580"/>
      <c r="Y971" s="583">
        <f>IF(GLOBAL_DER_FEV_2023!W971=0,0,IF(GLOBAL_DER_FEV_2023!W971&gt;0,"c","b"))</f>
        <v>0</v>
      </c>
    </row>
    <row r="972" spans="1:25" ht="22.5" x14ac:dyDescent="0.2">
      <c r="A972" s="317">
        <v>90457</v>
      </c>
      <c r="B972" s="895">
        <v>90457</v>
      </c>
      <c r="C972" s="896" t="s">
        <v>596</v>
      </c>
      <c r="D972" s="906" t="s">
        <v>899</v>
      </c>
      <c r="E972" s="907">
        <f>GLOBAL_DER_FEV_2023!E972</f>
        <v>0</v>
      </c>
      <c r="F972" s="908">
        <f>GLOBAL_DER_FEV_2023!F972</f>
        <v>0</v>
      </c>
      <c r="G972" s="912">
        <f>GLOBAL_DER_FEV_2023!G972</f>
        <v>0</v>
      </c>
      <c r="H972" s="901">
        <f>GLOBAL_DER_FEV_2023!H972</f>
        <v>11.77</v>
      </c>
      <c r="I972" s="901">
        <f>GLOBAL_DER_FEV_2023!I972</f>
        <v>11.77</v>
      </c>
      <c r="J972" s="902">
        <f>GLOBAL_DER_FEV_2023!J972</f>
        <v>14.13</v>
      </c>
      <c r="K972" s="903" t="s">
        <v>1516</v>
      </c>
      <c r="L972" s="1137"/>
      <c r="M972" s="1138">
        <f t="shared" si="123"/>
        <v>0</v>
      </c>
      <c r="N972" s="893">
        <f t="shared" si="122"/>
        <v>0</v>
      </c>
      <c r="O972" s="905"/>
      <c r="Q972" s="317" t="str">
        <f t="shared" si="117"/>
        <v/>
      </c>
      <c r="R972" s="317" t="str">
        <f t="shared" si="120"/>
        <v/>
      </c>
      <c r="S972" s="317" t="str">
        <f t="shared" si="121"/>
        <v/>
      </c>
      <c r="T972" s="317" t="str">
        <f>GLOBAL_DER_FEV_2023!S972</f>
        <v/>
      </c>
      <c r="W972" s="582">
        <v>0</v>
      </c>
      <c r="X972" s="580"/>
      <c r="Y972" s="583">
        <f>IF(GLOBAL_DER_FEV_2023!W972=0,0,IF(GLOBAL_DER_FEV_2023!W972&gt;0,"c","b"))</f>
        <v>0</v>
      </c>
    </row>
    <row r="973" spans="1:25" ht="22.5" x14ac:dyDescent="0.2">
      <c r="A973" s="317">
        <v>90458</v>
      </c>
      <c r="B973" s="895">
        <v>90458</v>
      </c>
      <c r="C973" s="896" t="s">
        <v>596</v>
      </c>
      <c r="D973" s="906" t="s">
        <v>900</v>
      </c>
      <c r="E973" s="907">
        <f>GLOBAL_DER_FEV_2023!E973</f>
        <v>0</v>
      </c>
      <c r="F973" s="908">
        <f>GLOBAL_DER_FEV_2023!F973</f>
        <v>0</v>
      </c>
      <c r="G973" s="912">
        <f>GLOBAL_DER_FEV_2023!G973</f>
        <v>0</v>
      </c>
      <c r="H973" s="901">
        <f>GLOBAL_DER_FEV_2023!H973</f>
        <v>33.409999999999997</v>
      </c>
      <c r="I973" s="901">
        <f>GLOBAL_DER_FEV_2023!I973</f>
        <v>33.409999999999997</v>
      </c>
      <c r="J973" s="902">
        <f>GLOBAL_DER_FEV_2023!J973</f>
        <v>40.119999999999997</v>
      </c>
      <c r="K973" s="903" t="s">
        <v>1516</v>
      </c>
      <c r="L973" s="1137"/>
      <c r="M973" s="1138">
        <f t="shared" si="123"/>
        <v>0</v>
      </c>
      <c r="N973" s="893">
        <f t="shared" si="122"/>
        <v>0</v>
      </c>
      <c r="O973" s="905"/>
      <c r="Q973" s="317" t="str">
        <f t="shared" si="117"/>
        <v/>
      </c>
      <c r="R973" s="317" t="str">
        <f t="shared" si="120"/>
        <v/>
      </c>
      <c r="S973" s="317" t="str">
        <f t="shared" si="121"/>
        <v/>
      </c>
      <c r="T973" s="317" t="str">
        <f>GLOBAL_DER_FEV_2023!S973</f>
        <v/>
      </c>
      <c r="W973" s="582">
        <v>0</v>
      </c>
      <c r="X973" s="580"/>
      <c r="Y973" s="583">
        <f>IF(GLOBAL_DER_FEV_2023!W973=0,0,IF(GLOBAL_DER_FEV_2023!W973&gt;0,"c","b"))</f>
        <v>0</v>
      </c>
    </row>
    <row r="974" spans="1:25" ht="22.5" x14ac:dyDescent="0.2">
      <c r="A974" s="317">
        <v>101938</v>
      </c>
      <c r="B974" s="895">
        <v>101938</v>
      </c>
      <c r="C974" s="896" t="s">
        <v>596</v>
      </c>
      <c r="D974" s="906" t="s">
        <v>901</v>
      </c>
      <c r="E974" s="907">
        <f>GLOBAL_DER_FEV_2023!E974</f>
        <v>0</v>
      </c>
      <c r="F974" s="908">
        <f>GLOBAL_DER_FEV_2023!F974</f>
        <v>0</v>
      </c>
      <c r="G974" s="912">
        <f>GLOBAL_DER_FEV_2023!G974</f>
        <v>0</v>
      </c>
      <c r="H974" s="901">
        <f>GLOBAL_DER_FEV_2023!H974</f>
        <v>127.45</v>
      </c>
      <c r="I974" s="901">
        <f>GLOBAL_DER_FEV_2023!I974</f>
        <v>127.45</v>
      </c>
      <c r="J974" s="902">
        <f>GLOBAL_DER_FEV_2023!J974</f>
        <v>153.03</v>
      </c>
      <c r="K974" s="903" t="s">
        <v>1516</v>
      </c>
      <c r="L974" s="1137"/>
      <c r="M974" s="1138">
        <f t="shared" si="123"/>
        <v>0</v>
      </c>
      <c r="N974" s="893">
        <f t="shared" si="122"/>
        <v>0</v>
      </c>
      <c r="O974" s="905"/>
      <c r="Q974" s="317" t="str">
        <f t="shared" si="117"/>
        <v/>
      </c>
      <c r="R974" s="317" t="str">
        <f t="shared" si="120"/>
        <v/>
      </c>
      <c r="S974" s="317" t="str">
        <f t="shared" si="121"/>
        <v/>
      </c>
      <c r="T974" s="317" t="str">
        <f>GLOBAL_DER_FEV_2023!S974</f>
        <v/>
      </c>
      <c r="W974" s="582">
        <v>0</v>
      </c>
      <c r="X974" s="580"/>
      <c r="Y974" s="583">
        <f>IF(GLOBAL_DER_FEV_2023!W974=0,0,IF(GLOBAL_DER_FEV_2023!W974&gt;0,"c","b"))</f>
        <v>0</v>
      </c>
    </row>
    <row r="975" spans="1:25" ht="33.75" x14ac:dyDescent="0.2">
      <c r="A975" s="317">
        <v>101489</v>
      </c>
      <c r="B975" s="895">
        <v>101489</v>
      </c>
      <c r="C975" s="896" t="s">
        <v>596</v>
      </c>
      <c r="D975" s="906" t="s">
        <v>902</v>
      </c>
      <c r="E975" s="907">
        <f>GLOBAL_DER_FEV_2023!E975</f>
        <v>0</v>
      </c>
      <c r="F975" s="908">
        <f>GLOBAL_DER_FEV_2023!F975</f>
        <v>0</v>
      </c>
      <c r="G975" s="912">
        <f>GLOBAL_DER_FEV_2023!G975</f>
        <v>0</v>
      </c>
      <c r="H975" s="901">
        <f>GLOBAL_DER_FEV_2023!H975</f>
        <v>1507.06</v>
      </c>
      <c r="I975" s="901">
        <f>GLOBAL_DER_FEV_2023!I975</f>
        <v>1507.06</v>
      </c>
      <c r="J975" s="902">
        <f>GLOBAL_DER_FEV_2023!J975</f>
        <v>1809.53</v>
      </c>
      <c r="K975" s="903" t="s">
        <v>1516</v>
      </c>
      <c r="L975" s="1137"/>
      <c r="M975" s="1138">
        <f t="shared" si="123"/>
        <v>0</v>
      </c>
      <c r="N975" s="893">
        <f t="shared" si="122"/>
        <v>0</v>
      </c>
      <c r="O975" s="905"/>
      <c r="Q975" s="317" t="str">
        <f t="shared" si="117"/>
        <v/>
      </c>
      <c r="R975" s="317" t="str">
        <f t="shared" si="120"/>
        <v/>
      </c>
      <c r="S975" s="317" t="str">
        <f t="shared" si="121"/>
        <v/>
      </c>
      <c r="T975" s="317" t="str">
        <f>GLOBAL_DER_FEV_2023!S975</f>
        <v/>
      </c>
      <c r="W975" s="582">
        <v>0</v>
      </c>
      <c r="X975" s="580"/>
      <c r="Y975" s="583">
        <f>IF(GLOBAL_DER_FEV_2023!W975=0,0,IF(GLOBAL_DER_FEV_2023!W975&gt;0,"c","b"))</f>
        <v>0</v>
      </c>
    </row>
    <row r="976" spans="1:25" ht="33.75" x14ac:dyDescent="0.2">
      <c r="A976" s="317">
        <v>101490</v>
      </c>
      <c r="B976" s="895">
        <v>101490</v>
      </c>
      <c r="C976" s="896" t="s">
        <v>596</v>
      </c>
      <c r="D976" s="906" t="s">
        <v>903</v>
      </c>
      <c r="E976" s="907">
        <f>GLOBAL_DER_FEV_2023!E976</f>
        <v>0</v>
      </c>
      <c r="F976" s="908">
        <f>GLOBAL_DER_FEV_2023!F976</f>
        <v>0</v>
      </c>
      <c r="G976" s="912">
        <f>GLOBAL_DER_FEV_2023!G976</f>
        <v>0</v>
      </c>
      <c r="H976" s="901">
        <f>GLOBAL_DER_FEV_2023!H976</f>
        <v>1605.18</v>
      </c>
      <c r="I976" s="901">
        <f>GLOBAL_DER_FEV_2023!I976</f>
        <v>1605.18</v>
      </c>
      <c r="J976" s="902">
        <f>GLOBAL_DER_FEV_2023!J976</f>
        <v>1927.34</v>
      </c>
      <c r="K976" s="903" t="s">
        <v>1516</v>
      </c>
      <c r="L976" s="1137"/>
      <c r="M976" s="1138">
        <f t="shared" si="123"/>
        <v>0</v>
      </c>
      <c r="N976" s="893">
        <f t="shared" si="122"/>
        <v>0</v>
      </c>
      <c r="O976" s="905"/>
      <c r="Q976" s="317" t="str">
        <f t="shared" si="117"/>
        <v/>
      </c>
      <c r="R976" s="317" t="str">
        <f t="shared" si="120"/>
        <v/>
      </c>
      <c r="S976" s="317" t="str">
        <f t="shared" si="121"/>
        <v/>
      </c>
      <c r="T976" s="317" t="str">
        <f>GLOBAL_DER_FEV_2023!S976</f>
        <v/>
      </c>
      <c r="W976" s="582">
        <v>0</v>
      </c>
      <c r="X976" s="580"/>
      <c r="Y976" s="583">
        <f>IF(GLOBAL_DER_FEV_2023!W976=0,0,IF(GLOBAL_DER_FEV_2023!W976&gt;0,"c","b"))</f>
        <v>0</v>
      </c>
    </row>
    <row r="977" spans="1:25" ht="33.75" x14ac:dyDescent="0.2">
      <c r="A977" s="317">
        <v>101491</v>
      </c>
      <c r="B977" s="895">
        <v>101491</v>
      </c>
      <c r="C977" s="896" t="s">
        <v>596</v>
      </c>
      <c r="D977" s="906" t="s">
        <v>904</v>
      </c>
      <c r="E977" s="907">
        <f>GLOBAL_DER_FEV_2023!E977</f>
        <v>0</v>
      </c>
      <c r="F977" s="908">
        <f>GLOBAL_DER_FEV_2023!F977</f>
        <v>0</v>
      </c>
      <c r="G977" s="912">
        <f>GLOBAL_DER_FEV_2023!G977</f>
        <v>0</v>
      </c>
      <c r="H977" s="901">
        <f>GLOBAL_DER_FEV_2023!H977</f>
        <v>1632.79</v>
      </c>
      <c r="I977" s="901">
        <f>GLOBAL_DER_FEV_2023!I977</f>
        <v>1632.79</v>
      </c>
      <c r="J977" s="902">
        <f>GLOBAL_DER_FEV_2023!J977</f>
        <v>1960.49</v>
      </c>
      <c r="K977" s="903" t="s">
        <v>1516</v>
      </c>
      <c r="L977" s="1137"/>
      <c r="M977" s="1138">
        <f t="shared" si="123"/>
        <v>0</v>
      </c>
      <c r="N977" s="893">
        <f t="shared" si="122"/>
        <v>0</v>
      </c>
      <c r="O977" s="905"/>
      <c r="Q977" s="317" t="str">
        <f t="shared" ref="Q977:Q1040" si="124">IF(P977="X","x",IF(P977="xx","x",IF(P977="xy","x",IF(P977="y","x",IF(OR(N977&gt;0,N977&gt;0),"x","")))))</f>
        <v/>
      </c>
      <c r="R977" s="317" t="str">
        <f t="shared" si="120"/>
        <v/>
      </c>
      <c r="S977" s="317" t="str">
        <f t="shared" si="121"/>
        <v/>
      </c>
      <c r="T977" s="317" t="str">
        <f>GLOBAL_DER_FEV_2023!S977</f>
        <v/>
      </c>
      <c r="W977" s="582">
        <v>0</v>
      </c>
      <c r="X977" s="580"/>
      <c r="Y977" s="583">
        <f>IF(GLOBAL_DER_FEV_2023!W977=0,0,IF(GLOBAL_DER_FEV_2023!W977&gt;0,"c","b"))</f>
        <v>0</v>
      </c>
    </row>
    <row r="978" spans="1:25" ht="33.75" x14ac:dyDescent="0.2">
      <c r="A978" s="317">
        <v>101492</v>
      </c>
      <c r="B978" s="895">
        <v>101492</v>
      </c>
      <c r="C978" s="896" t="s">
        <v>596</v>
      </c>
      <c r="D978" s="906" t="s">
        <v>905</v>
      </c>
      <c r="E978" s="907">
        <f>GLOBAL_DER_FEV_2023!E978</f>
        <v>0</v>
      </c>
      <c r="F978" s="908">
        <f>GLOBAL_DER_FEV_2023!F978</f>
        <v>0</v>
      </c>
      <c r="G978" s="912">
        <f>GLOBAL_DER_FEV_2023!G978</f>
        <v>0</v>
      </c>
      <c r="H978" s="901">
        <f>GLOBAL_DER_FEV_2023!H978</f>
        <v>1787.27</v>
      </c>
      <c r="I978" s="901">
        <f>GLOBAL_DER_FEV_2023!I978</f>
        <v>1787.27</v>
      </c>
      <c r="J978" s="902">
        <f>GLOBAL_DER_FEV_2023!J978</f>
        <v>2145.98</v>
      </c>
      <c r="K978" s="903" t="s">
        <v>1516</v>
      </c>
      <c r="L978" s="1137"/>
      <c r="M978" s="1138">
        <f t="shared" si="123"/>
        <v>0</v>
      </c>
      <c r="N978" s="893">
        <f t="shared" si="122"/>
        <v>0</v>
      </c>
      <c r="O978" s="905"/>
      <c r="Q978" s="317" t="str">
        <f t="shared" si="124"/>
        <v/>
      </c>
      <c r="R978" s="317" t="str">
        <f t="shared" si="120"/>
        <v/>
      </c>
      <c r="S978" s="317" t="str">
        <f t="shared" si="121"/>
        <v/>
      </c>
      <c r="T978" s="317" t="str">
        <f>GLOBAL_DER_FEV_2023!S978</f>
        <v/>
      </c>
      <c r="W978" s="582">
        <v>0</v>
      </c>
      <c r="X978" s="580"/>
      <c r="Y978" s="583">
        <f>IF(GLOBAL_DER_FEV_2023!W978=0,0,IF(GLOBAL_DER_FEV_2023!W978&gt;0,"c","b"))</f>
        <v>0</v>
      </c>
    </row>
    <row r="979" spans="1:25" ht="33.75" x14ac:dyDescent="0.2">
      <c r="A979" s="317">
        <v>101493</v>
      </c>
      <c r="B979" s="895">
        <v>101493</v>
      </c>
      <c r="C979" s="896" t="s">
        <v>596</v>
      </c>
      <c r="D979" s="906" t="s">
        <v>906</v>
      </c>
      <c r="E979" s="907">
        <f>GLOBAL_DER_FEV_2023!E979</f>
        <v>0</v>
      </c>
      <c r="F979" s="908">
        <f>GLOBAL_DER_FEV_2023!F979</f>
        <v>0</v>
      </c>
      <c r="G979" s="912">
        <f>GLOBAL_DER_FEV_2023!G979</f>
        <v>0</v>
      </c>
      <c r="H979" s="901">
        <f>GLOBAL_DER_FEV_2023!H979</f>
        <v>1487.05</v>
      </c>
      <c r="I979" s="901">
        <f>GLOBAL_DER_FEV_2023!I979</f>
        <v>1487.05</v>
      </c>
      <c r="J979" s="902">
        <f>GLOBAL_DER_FEV_2023!J979</f>
        <v>1785.5</v>
      </c>
      <c r="K979" s="903" t="s">
        <v>1516</v>
      </c>
      <c r="L979" s="1137"/>
      <c r="M979" s="1138">
        <f t="shared" si="123"/>
        <v>0</v>
      </c>
      <c r="N979" s="893">
        <f t="shared" si="122"/>
        <v>0</v>
      </c>
      <c r="O979" s="905"/>
      <c r="Q979" s="317" t="str">
        <f t="shared" si="124"/>
        <v/>
      </c>
      <c r="R979" s="317" t="str">
        <f t="shared" ref="R979:R1042" si="125">IF(P979="X","x",IF(P979="y","x",IF(P979="xx","x",IF(N979&gt;0,"x",""))))</f>
        <v/>
      </c>
      <c r="S979" s="317" t="str">
        <f t="shared" ref="S979:S1042" si="126">IF(P979="X","x",IF(N979&gt;0,"x",""))</f>
        <v/>
      </c>
      <c r="T979" s="317" t="str">
        <f>GLOBAL_DER_FEV_2023!S979</f>
        <v/>
      </c>
      <c r="W979" s="582">
        <v>0</v>
      </c>
      <c r="X979" s="580"/>
      <c r="Y979" s="583">
        <f>IF(GLOBAL_DER_FEV_2023!W979=0,0,IF(GLOBAL_DER_FEV_2023!W979&gt;0,"c","b"))</f>
        <v>0</v>
      </c>
    </row>
    <row r="980" spans="1:25" ht="33.75" x14ac:dyDescent="0.2">
      <c r="A980" s="317">
        <v>101494</v>
      </c>
      <c r="B980" s="895">
        <v>101494</v>
      </c>
      <c r="C980" s="896" t="s">
        <v>596</v>
      </c>
      <c r="D980" s="906" t="s">
        <v>907</v>
      </c>
      <c r="E980" s="907">
        <f>GLOBAL_DER_FEV_2023!E980</f>
        <v>0</v>
      </c>
      <c r="F980" s="908">
        <f>GLOBAL_DER_FEV_2023!F980</f>
        <v>0</v>
      </c>
      <c r="G980" s="912">
        <f>GLOBAL_DER_FEV_2023!G980</f>
        <v>0</v>
      </c>
      <c r="H980" s="901">
        <f>GLOBAL_DER_FEV_2023!H980</f>
        <v>1585.17</v>
      </c>
      <c r="I980" s="901">
        <f>GLOBAL_DER_FEV_2023!I980</f>
        <v>1585.17</v>
      </c>
      <c r="J980" s="902">
        <f>GLOBAL_DER_FEV_2023!J980</f>
        <v>1903.31</v>
      </c>
      <c r="K980" s="903" t="s">
        <v>1516</v>
      </c>
      <c r="L980" s="1137"/>
      <c r="M980" s="1138">
        <f t="shared" si="123"/>
        <v>0</v>
      </c>
      <c r="N980" s="893">
        <f t="shared" si="122"/>
        <v>0</v>
      </c>
      <c r="O980" s="905"/>
      <c r="Q980" s="317" t="str">
        <f t="shared" si="124"/>
        <v/>
      </c>
      <c r="R980" s="317" t="str">
        <f t="shared" si="125"/>
        <v/>
      </c>
      <c r="S980" s="317" t="str">
        <f t="shared" si="126"/>
        <v/>
      </c>
      <c r="T980" s="317" t="str">
        <f>GLOBAL_DER_FEV_2023!S980</f>
        <v/>
      </c>
      <c r="W980" s="582">
        <v>0</v>
      </c>
      <c r="X980" s="580"/>
      <c r="Y980" s="583">
        <f>IF(GLOBAL_DER_FEV_2023!W980=0,0,IF(GLOBAL_DER_FEV_2023!W980&gt;0,"c","b"))</f>
        <v>0</v>
      </c>
    </row>
    <row r="981" spans="1:25" ht="33.75" x14ac:dyDescent="0.2">
      <c r="A981" s="317">
        <v>101495</v>
      </c>
      <c r="B981" s="895">
        <v>101495</v>
      </c>
      <c r="C981" s="896" t="s">
        <v>596</v>
      </c>
      <c r="D981" s="906" t="s">
        <v>908</v>
      </c>
      <c r="E981" s="907">
        <f>GLOBAL_DER_FEV_2023!E981</f>
        <v>0</v>
      </c>
      <c r="F981" s="908">
        <f>GLOBAL_DER_FEV_2023!F981</f>
        <v>0</v>
      </c>
      <c r="G981" s="912">
        <f>GLOBAL_DER_FEV_2023!G981</f>
        <v>0</v>
      </c>
      <c r="H981" s="901">
        <f>GLOBAL_DER_FEV_2023!H981</f>
        <v>1612.78</v>
      </c>
      <c r="I981" s="901">
        <f>GLOBAL_DER_FEV_2023!I981</f>
        <v>1612.78</v>
      </c>
      <c r="J981" s="902">
        <f>GLOBAL_DER_FEV_2023!J981</f>
        <v>1936.46</v>
      </c>
      <c r="K981" s="903" t="s">
        <v>1516</v>
      </c>
      <c r="L981" s="1137"/>
      <c r="M981" s="1138">
        <f t="shared" si="123"/>
        <v>0</v>
      </c>
      <c r="N981" s="893">
        <f t="shared" si="122"/>
        <v>0</v>
      </c>
      <c r="O981" s="905"/>
      <c r="Q981" s="317" t="str">
        <f t="shared" si="124"/>
        <v/>
      </c>
      <c r="R981" s="317" t="str">
        <f t="shared" si="125"/>
        <v/>
      </c>
      <c r="S981" s="317" t="str">
        <f t="shared" si="126"/>
        <v/>
      </c>
      <c r="T981" s="317" t="str">
        <f>GLOBAL_DER_FEV_2023!S981</f>
        <v/>
      </c>
      <c r="W981" s="582">
        <v>0</v>
      </c>
      <c r="X981" s="580"/>
      <c r="Y981" s="583">
        <f>IF(GLOBAL_DER_FEV_2023!W981=0,0,IF(GLOBAL_DER_FEV_2023!W981&gt;0,"c","b"))</f>
        <v>0</v>
      </c>
    </row>
    <row r="982" spans="1:25" ht="33.75" x14ac:dyDescent="0.2">
      <c r="A982" s="317">
        <v>101496</v>
      </c>
      <c r="B982" s="895">
        <v>101496</v>
      </c>
      <c r="C982" s="896" t="s">
        <v>596</v>
      </c>
      <c r="D982" s="906" t="s">
        <v>909</v>
      </c>
      <c r="E982" s="907">
        <f>GLOBAL_DER_FEV_2023!E982</f>
        <v>0</v>
      </c>
      <c r="F982" s="908">
        <f>GLOBAL_DER_FEV_2023!F982</f>
        <v>0</v>
      </c>
      <c r="G982" s="912">
        <f>GLOBAL_DER_FEV_2023!G982</f>
        <v>0</v>
      </c>
      <c r="H982" s="901">
        <f>GLOBAL_DER_FEV_2023!H982</f>
        <v>1767.26</v>
      </c>
      <c r="I982" s="901">
        <f>GLOBAL_DER_FEV_2023!I982</f>
        <v>1767.26</v>
      </c>
      <c r="J982" s="902">
        <f>GLOBAL_DER_FEV_2023!J982</f>
        <v>2121.9499999999998</v>
      </c>
      <c r="K982" s="903" t="s">
        <v>1516</v>
      </c>
      <c r="L982" s="1137"/>
      <c r="M982" s="1138">
        <f t="shared" si="123"/>
        <v>0</v>
      </c>
      <c r="N982" s="893">
        <f t="shared" si="122"/>
        <v>0</v>
      </c>
      <c r="O982" s="905"/>
      <c r="Q982" s="317" t="str">
        <f t="shared" si="124"/>
        <v/>
      </c>
      <c r="R982" s="317" t="str">
        <f t="shared" si="125"/>
        <v/>
      </c>
      <c r="S982" s="317" t="str">
        <f t="shared" si="126"/>
        <v/>
      </c>
      <c r="T982" s="317" t="str">
        <f>GLOBAL_DER_FEV_2023!S982</f>
        <v/>
      </c>
      <c r="W982" s="582">
        <v>0</v>
      </c>
      <c r="X982" s="580"/>
      <c r="Y982" s="583">
        <f>IF(GLOBAL_DER_FEV_2023!W982=0,0,IF(GLOBAL_DER_FEV_2023!W982&gt;0,"c","b"))</f>
        <v>0</v>
      </c>
    </row>
    <row r="983" spans="1:25" ht="33.75" x14ac:dyDescent="0.2">
      <c r="A983" s="317">
        <v>101497</v>
      </c>
      <c r="B983" s="895">
        <v>101497</v>
      </c>
      <c r="C983" s="896" t="s">
        <v>596</v>
      </c>
      <c r="D983" s="906" t="s">
        <v>910</v>
      </c>
      <c r="E983" s="907">
        <f>GLOBAL_DER_FEV_2023!E983</f>
        <v>0</v>
      </c>
      <c r="F983" s="908">
        <f>GLOBAL_DER_FEV_2023!F983</f>
        <v>0</v>
      </c>
      <c r="G983" s="912">
        <f>GLOBAL_DER_FEV_2023!G983</f>
        <v>0</v>
      </c>
      <c r="H983" s="901">
        <f>GLOBAL_DER_FEV_2023!H983</f>
        <v>1782.8</v>
      </c>
      <c r="I983" s="901">
        <f>GLOBAL_DER_FEV_2023!I983</f>
        <v>1782.8</v>
      </c>
      <c r="J983" s="902">
        <f>GLOBAL_DER_FEV_2023!J983</f>
        <v>2140.61</v>
      </c>
      <c r="K983" s="903" t="s">
        <v>1516</v>
      </c>
      <c r="L983" s="1137"/>
      <c r="M983" s="1138">
        <f t="shared" si="123"/>
        <v>0</v>
      </c>
      <c r="N983" s="893">
        <f t="shared" ref="N983:N1046" si="127">IF(ISBLANK(L983),0,IF(W983=0,ROUND(L983*M983,2),IF(W983="b",ROUNDDOWN(L983*M983,2),ROUNDUP(L983*M983,2))))</f>
        <v>0</v>
      </c>
      <c r="O983" s="905"/>
      <c r="Q983" s="317" t="str">
        <f t="shared" si="124"/>
        <v/>
      </c>
      <c r="R983" s="317" t="str">
        <f t="shared" si="125"/>
        <v/>
      </c>
      <c r="S983" s="317" t="str">
        <f t="shared" si="126"/>
        <v/>
      </c>
      <c r="T983" s="317" t="str">
        <f>GLOBAL_DER_FEV_2023!S983</f>
        <v/>
      </c>
      <c r="W983" s="582">
        <v>0</v>
      </c>
      <c r="X983" s="580"/>
      <c r="Y983" s="583">
        <f>IF(GLOBAL_DER_FEV_2023!W983=0,0,IF(GLOBAL_DER_FEV_2023!W983&gt;0,"c","b"))</f>
        <v>0</v>
      </c>
    </row>
    <row r="984" spans="1:25" ht="33.75" x14ac:dyDescent="0.2">
      <c r="A984" s="317">
        <v>101498</v>
      </c>
      <c r="B984" s="895">
        <v>101498</v>
      </c>
      <c r="C984" s="896" t="s">
        <v>596</v>
      </c>
      <c r="D984" s="906" t="s">
        <v>911</v>
      </c>
      <c r="E984" s="907">
        <f>GLOBAL_DER_FEV_2023!E984</f>
        <v>0</v>
      </c>
      <c r="F984" s="908">
        <f>GLOBAL_DER_FEV_2023!F984</f>
        <v>0</v>
      </c>
      <c r="G984" s="912">
        <f>GLOBAL_DER_FEV_2023!G984</f>
        <v>0</v>
      </c>
      <c r="H984" s="901">
        <f>GLOBAL_DER_FEV_2023!H984</f>
        <v>1931.32</v>
      </c>
      <c r="I984" s="901">
        <f>GLOBAL_DER_FEV_2023!I984</f>
        <v>1931.32</v>
      </c>
      <c r="J984" s="902">
        <f>GLOBAL_DER_FEV_2023!J984</f>
        <v>2318.94</v>
      </c>
      <c r="K984" s="903" t="s">
        <v>1516</v>
      </c>
      <c r="L984" s="1137"/>
      <c r="M984" s="1138">
        <f t="shared" si="123"/>
        <v>0</v>
      </c>
      <c r="N984" s="893">
        <f t="shared" si="127"/>
        <v>0</v>
      </c>
      <c r="O984" s="905"/>
      <c r="Q984" s="317" t="str">
        <f t="shared" si="124"/>
        <v/>
      </c>
      <c r="R984" s="317" t="str">
        <f t="shared" si="125"/>
        <v/>
      </c>
      <c r="S984" s="317" t="str">
        <f t="shared" si="126"/>
        <v/>
      </c>
      <c r="T984" s="317" t="str">
        <f>GLOBAL_DER_FEV_2023!S984</f>
        <v/>
      </c>
      <c r="W984" s="582">
        <v>0</v>
      </c>
      <c r="X984" s="580"/>
      <c r="Y984" s="583">
        <f>IF(GLOBAL_DER_FEV_2023!W984=0,0,IF(GLOBAL_DER_FEV_2023!W984&gt;0,"c","b"))</f>
        <v>0</v>
      </c>
    </row>
    <row r="985" spans="1:25" ht="33.75" x14ac:dyDescent="0.2">
      <c r="A985" s="317">
        <v>101499</v>
      </c>
      <c r="B985" s="895">
        <v>101499</v>
      </c>
      <c r="C985" s="896" t="s">
        <v>596</v>
      </c>
      <c r="D985" s="906" t="s">
        <v>912</v>
      </c>
      <c r="E985" s="907">
        <f>GLOBAL_DER_FEV_2023!E985</f>
        <v>0</v>
      </c>
      <c r="F985" s="908">
        <f>GLOBAL_DER_FEV_2023!F985</f>
        <v>0</v>
      </c>
      <c r="G985" s="912">
        <f>GLOBAL_DER_FEV_2023!G985</f>
        <v>0</v>
      </c>
      <c r="H985" s="901">
        <f>GLOBAL_DER_FEV_2023!H985</f>
        <v>1973.11</v>
      </c>
      <c r="I985" s="901">
        <f>GLOBAL_DER_FEV_2023!I985</f>
        <v>1973.11</v>
      </c>
      <c r="J985" s="902">
        <f>GLOBAL_DER_FEV_2023!J985</f>
        <v>2369.11</v>
      </c>
      <c r="K985" s="903" t="s">
        <v>1516</v>
      </c>
      <c r="L985" s="1137"/>
      <c r="M985" s="1138">
        <f t="shared" si="123"/>
        <v>0</v>
      </c>
      <c r="N985" s="893">
        <f t="shared" si="127"/>
        <v>0</v>
      </c>
      <c r="O985" s="905"/>
      <c r="Q985" s="317" t="str">
        <f t="shared" si="124"/>
        <v/>
      </c>
      <c r="R985" s="317" t="str">
        <f t="shared" si="125"/>
        <v/>
      </c>
      <c r="S985" s="317" t="str">
        <f t="shared" si="126"/>
        <v/>
      </c>
      <c r="T985" s="317" t="str">
        <f>GLOBAL_DER_FEV_2023!S985</f>
        <v/>
      </c>
      <c r="W985" s="582">
        <v>0</v>
      </c>
      <c r="X985" s="580"/>
      <c r="Y985" s="583">
        <f>IF(GLOBAL_DER_FEV_2023!W985=0,0,IF(GLOBAL_DER_FEV_2023!W985&gt;0,"c","b"))</f>
        <v>0</v>
      </c>
    </row>
    <row r="986" spans="1:25" ht="33.75" x14ac:dyDescent="0.2">
      <c r="A986" s="317">
        <v>101500</v>
      </c>
      <c r="B986" s="895">
        <v>101500</v>
      </c>
      <c r="C986" s="896" t="s">
        <v>596</v>
      </c>
      <c r="D986" s="906" t="s">
        <v>913</v>
      </c>
      <c r="E986" s="907">
        <f>GLOBAL_DER_FEV_2023!E986</f>
        <v>0</v>
      </c>
      <c r="F986" s="908">
        <f>GLOBAL_DER_FEV_2023!F986</f>
        <v>0</v>
      </c>
      <c r="G986" s="912">
        <f>GLOBAL_DER_FEV_2023!G986</f>
        <v>0</v>
      </c>
      <c r="H986" s="901">
        <f>GLOBAL_DER_FEV_2023!H986</f>
        <v>2185.7800000000002</v>
      </c>
      <c r="I986" s="901">
        <f>GLOBAL_DER_FEV_2023!I986</f>
        <v>2185.7800000000002</v>
      </c>
      <c r="J986" s="902">
        <f>GLOBAL_DER_FEV_2023!J986</f>
        <v>2624.47</v>
      </c>
      <c r="K986" s="903" t="s">
        <v>1516</v>
      </c>
      <c r="L986" s="1137"/>
      <c r="M986" s="1138">
        <f t="shared" si="123"/>
        <v>0</v>
      </c>
      <c r="N986" s="893">
        <f t="shared" si="127"/>
        <v>0</v>
      </c>
      <c r="O986" s="905"/>
      <c r="Q986" s="317" t="str">
        <f t="shared" si="124"/>
        <v/>
      </c>
      <c r="R986" s="317" t="str">
        <f t="shared" si="125"/>
        <v/>
      </c>
      <c r="S986" s="317" t="str">
        <f t="shared" si="126"/>
        <v/>
      </c>
      <c r="T986" s="317" t="str">
        <f>GLOBAL_DER_FEV_2023!S986</f>
        <v/>
      </c>
      <c r="W986" s="582">
        <v>0</v>
      </c>
      <c r="X986" s="580"/>
      <c r="Y986" s="583">
        <f>IF(GLOBAL_DER_FEV_2023!W986=0,0,IF(GLOBAL_DER_FEV_2023!W986&gt;0,"c","b"))</f>
        <v>0</v>
      </c>
    </row>
    <row r="987" spans="1:25" ht="22.5" x14ac:dyDescent="0.2">
      <c r="A987" s="317">
        <v>101501</v>
      </c>
      <c r="B987" s="895">
        <v>101501</v>
      </c>
      <c r="C987" s="896" t="s">
        <v>596</v>
      </c>
      <c r="D987" s="906" t="s">
        <v>914</v>
      </c>
      <c r="E987" s="907">
        <f>GLOBAL_DER_FEV_2023!E987</f>
        <v>0</v>
      </c>
      <c r="F987" s="908">
        <f>GLOBAL_DER_FEV_2023!F987</f>
        <v>0</v>
      </c>
      <c r="G987" s="912">
        <f>GLOBAL_DER_FEV_2023!G987</f>
        <v>0</v>
      </c>
      <c r="H987" s="901">
        <f>GLOBAL_DER_FEV_2023!H987</f>
        <v>1770.67</v>
      </c>
      <c r="I987" s="901">
        <f>GLOBAL_DER_FEV_2023!I987</f>
        <v>1770.67</v>
      </c>
      <c r="J987" s="902">
        <f>GLOBAL_DER_FEV_2023!J987</f>
        <v>2126.04</v>
      </c>
      <c r="K987" s="903" t="s">
        <v>1516</v>
      </c>
      <c r="L987" s="1137"/>
      <c r="M987" s="1138">
        <f t="shared" si="123"/>
        <v>0</v>
      </c>
      <c r="N987" s="893">
        <f t="shared" si="127"/>
        <v>0</v>
      </c>
      <c r="O987" s="905"/>
      <c r="Q987" s="317" t="str">
        <f t="shared" si="124"/>
        <v/>
      </c>
      <c r="R987" s="317" t="str">
        <f t="shared" si="125"/>
        <v/>
      </c>
      <c r="S987" s="317" t="str">
        <f t="shared" si="126"/>
        <v/>
      </c>
      <c r="T987" s="317" t="str">
        <f>GLOBAL_DER_FEV_2023!S987</f>
        <v/>
      </c>
      <c r="W987" s="582">
        <v>0</v>
      </c>
      <c r="X987" s="580"/>
      <c r="Y987" s="583">
        <f>IF(GLOBAL_DER_FEV_2023!W987=0,0,IF(GLOBAL_DER_FEV_2023!W987&gt;0,"c","b"))</f>
        <v>0</v>
      </c>
    </row>
    <row r="988" spans="1:25" ht="22.5" x14ac:dyDescent="0.2">
      <c r="A988" s="317">
        <v>101502</v>
      </c>
      <c r="B988" s="895">
        <v>101502</v>
      </c>
      <c r="C988" s="896" t="s">
        <v>596</v>
      </c>
      <c r="D988" s="906" t="s">
        <v>915</v>
      </c>
      <c r="E988" s="907">
        <f>GLOBAL_DER_FEV_2023!E988</f>
        <v>0</v>
      </c>
      <c r="F988" s="908">
        <f>GLOBAL_DER_FEV_2023!F988</f>
        <v>0</v>
      </c>
      <c r="G988" s="912">
        <f>GLOBAL_DER_FEV_2023!G988</f>
        <v>0</v>
      </c>
      <c r="H988" s="901">
        <f>GLOBAL_DER_FEV_2023!H988</f>
        <v>1919.19</v>
      </c>
      <c r="I988" s="901">
        <f>GLOBAL_DER_FEV_2023!I988</f>
        <v>1919.19</v>
      </c>
      <c r="J988" s="902">
        <f>GLOBAL_DER_FEV_2023!J988</f>
        <v>2304.37</v>
      </c>
      <c r="K988" s="903" t="s">
        <v>1516</v>
      </c>
      <c r="L988" s="1137"/>
      <c r="M988" s="1138">
        <f t="shared" si="123"/>
        <v>0</v>
      </c>
      <c r="N988" s="893">
        <f t="shared" si="127"/>
        <v>0</v>
      </c>
      <c r="O988" s="905"/>
      <c r="Q988" s="317" t="str">
        <f t="shared" si="124"/>
        <v/>
      </c>
      <c r="R988" s="317" t="str">
        <f t="shared" si="125"/>
        <v/>
      </c>
      <c r="S988" s="317" t="str">
        <f t="shared" si="126"/>
        <v/>
      </c>
      <c r="T988" s="317" t="str">
        <f>GLOBAL_DER_FEV_2023!S988</f>
        <v/>
      </c>
      <c r="W988" s="582">
        <v>0</v>
      </c>
      <c r="X988" s="580"/>
      <c r="Y988" s="583">
        <f>IF(GLOBAL_DER_FEV_2023!W988=0,0,IF(GLOBAL_DER_FEV_2023!W988&gt;0,"c","b"))</f>
        <v>0</v>
      </c>
    </row>
    <row r="989" spans="1:25" ht="22.5" x14ac:dyDescent="0.2">
      <c r="A989" s="317">
        <v>101503</v>
      </c>
      <c r="B989" s="895">
        <v>101503</v>
      </c>
      <c r="C989" s="896" t="s">
        <v>596</v>
      </c>
      <c r="D989" s="906" t="s">
        <v>916</v>
      </c>
      <c r="E989" s="907">
        <f>GLOBAL_DER_FEV_2023!E989</f>
        <v>0</v>
      </c>
      <c r="F989" s="908">
        <f>GLOBAL_DER_FEV_2023!F989</f>
        <v>0</v>
      </c>
      <c r="G989" s="912">
        <f>GLOBAL_DER_FEV_2023!G989</f>
        <v>0</v>
      </c>
      <c r="H989" s="901">
        <f>GLOBAL_DER_FEV_2023!H989</f>
        <v>1960.98</v>
      </c>
      <c r="I989" s="901">
        <f>GLOBAL_DER_FEV_2023!I989</f>
        <v>1960.98</v>
      </c>
      <c r="J989" s="902">
        <f>GLOBAL_DER_FEV_2023!J989</f>
        <v>2354.5500000000002</v>
      </c>
      <c r="K989" s="903" t="s">
        <v>1516</v>
      </c>
      <c r="L989" s="1137"/>
      <c r="M989" s="1138">
        <f t="shared" si="123"/>
        <v>0</v>
      </c>
      <c r="N989" s="893">
        <f t="shared" si="127"/>
        <v>0</v>
      </c>
      <c r="O989" s="905"/>
      <c r="Q989" s="317" t="str">
        <f t="shared" si="124"/>
        <v/>
      </c>
      <c r="R989" s="317" t="str">
        <f t="shared" si="125"/>
        <v/>
      </c>
      <c r="S989" s="317" t="str">
        <f t="shared" si="126"/>
        <v/>
      </c>
      <c r="T989" s="317" t="str">
        <f>GLOBAL_DER_FEV_2023!S989</f>
        <v/>
      </c>
      <c r="W989" s="582">
        <v>0</v>
      </c>
      <c r="X989" s="580"/>
      <c r="Y989" s="583">
        <f>IF(GLOBAL_DER_FEV_2023!W989=0,0,IF(GLOBAL_DER_FEV_2023!W989&gt;0,"c","b"))</f>
        <v>0</v>
      </c>
    </row>
    <row r="990" spans="1:25" ht="22.5" x14ac:dyDescent="0.2">
      <c r="A990" s="317">
        <v>101504</v>
      </c>
      <c r="B990" s="895">
        <v>101504</v>
      </c>
      <c r="C990" s="896" t="s">
        <v>596</v>
      </c>
      <c r="D990" s="906" t="s">
        <v>917</v>
      </c>
      <c r="E990" s="907">
        <f>GLOBAL_DER_FEV_2023!E990</f>
        <v>0</v>
      </c>
      <c r="F990" s="908">
        <f>GLOBAL_DER_FEV_2023!F990</f>
        <v>0</v>
      </c>
      <c r="G990" s="912">
        <f>GLOBAL_DER_FEV_2023!G990</f>
        <v>0</v>
      </c>
      <c r="H990" s="901">
        <f>GLOBAL_DER_FEV_2023!H990</f>
        <v>2173.65</v>
      </c>
      <c r="I990" s="901">
        <f>GLOBAL_DER_FEV_2023!I990</f>
        <v>2173.65</v>
      </c>
      <c r="J990" s="902">
        <f>GLOBAL_DER_FEV_2023!J990</f>
        <v>2609.9</v>
      </c>
      <c r="K990" s="903" t="s">
        <v>1516</v>
      </c>
      <c r="L990" s="1137"/>
      <c r="M990" s="1138">
        <f t="shared" si="123"/>
        <v>0</v>
      </c>
      <c r="N990" s="893">
        <f t="shared" si="127"/>
        <v>0</v>
      </c>
      <c r="O990" s="905"/>
      <c r="Q990" s="317" t="str">
        <f t="shared" si="124"/>
        <v/>
      </c>
      <c r="R990" s="317" t="str">
        <f t="shared" si="125"/>
        <v/>
      </c>
      <c r="S990" s="317" t="str">
        <f t="shared" si="126"/>
        <v/>
      </c>
      <c r="T990" s="317" t="str">
        <f>GLOBAL_DER_FEV_2023!S990</f>
        <v/>
      </c>
      <c r="W990" s="582">
        <v>0</v>
      </c>
      <c r="X990" s="580"/>
      <c r="Y990" s="583">
        <f>IF(GLOBAL_DER_FEV_2023!W990=0,0,IF(GLOBAL_DER_FEV_2023!W990&gt;0,"c","b"))</f>
        <v>0</v>
      </c>
    </row>
    <row r="991" spans="1:25" ht="33.75" x14ac:dyDescent="0.2">
      <c r="A991" s="317">
        <v>101505</v>
      </c>
      <c r="B991" s="895">
        <v>101505</v>
      </c>
      <c r="C991" s="896" t="s">
        <v>596</v>
      </c>
      <c r="D991" s="906" t="s">
        <v>918</v>
      </c>
      <c r="E991" s="907">
        <f>GLOBAL_DER_FEV_2023!E991</f>
        <v>0</v>
      </c>
      <c r="F991" s="908">
        <f>GLOBAL_DER_FEV_2023!F991</f>
        <v>0</v>
      </c>
      <c r="G991" s="912">
        <f>GLOBAL_DER_FEV_2023!G991</f>
        <v>0</v>
      </c>
      <c r="H991" s="901">
        <f>GLOBAL_DER_FEV_2023!H991</f>
        <v>1896.69</v>
      </c>
      <c r="I991" s="901">
        <f>GLOBAL_DER_FEV_2023!I991</f>
        <v>1896.69</v>
      </c>
      <c r="J991" s="902">
        <f>GLOBAL_DER_FEV_2023!J991</f>
        <v>2277.36</v>
      </c>
      <c r="K991" s="903" t="s">
        <v>1516</v>
      </c>
      <c r="L991" s="1137"/>
      <c r="M991" s="1138">
        <f t="shared" si="123"/>
        <v>0</v>
      </c>
      <c r="N991" s="893">
        <f t="shared" si="127"/>
        <v>0</v>
      </c>
      <c r="O991" s="905"/>
      <c r="Q991" s="317" t="str">
        <f t="shared" si="124"/>
        <v/>
      </c>
      <c r="R991" s="317" t="str">
        <f t="shared" si="125"/>
        <v/>
      </c>
      <c r="S991" s="317" t="str">
        <f t="shared" si="126"/>
        <v/>
      </c>
      <c r="T991" s="317" t="str">
        <f>GLOBAL_DER_FEV_2023!S991</f>
        <v/>
      </c>
      <c r="W991" s="582">
        <v>0</v>
      </c>
      <c r="X991" s="580"/>
      <c r="Y991" s="583">
        <f>IF(GLOBAL_DER_FEV_2023!W991=0,0,IF(GLOBAL_DER_FEV_2023!W991&gt;0,"c","b"))</f>
        <v>0</v>
      </c>
    </row>
    <row r="992" spans="1:25" ht="33.75" x14ac:dyDescent="0.2">
      <c r="A992" s="317">
        <v>101506</v>
      </c>
      <c r="B992" s="895">
        <v>101506</v>
      </c>
      <c r="C992" s="896" t="s">
        <v>596</v>
      </c>
      <c r="D992" s="906" t="s">
        <v>919</v>
      </c>
      <c r="E992" s="907">
        <f>GLOBAL_DER_FEV_2023!E992</f>
        <v>0</v>
      </c>
      <c r="F992" s="908">
        <f>GLOBAL_DER_FEV_2023!F992</f>
        <v>0</v>
      </c>
      <c r="G992" s="912">
        <f>GLOBAL_DER_FEV_2023!G992</f>
        <v>0</v>
      </c>
      <c r="H992" s="901">
        <f>GLOBAL_DER_FEV_2023!H992</f>
        <v>2094.7199999999998</v>
      </c>
      <c r="I992" s="901">
        <f>GLOBAL_DER_FEV_2023!I992</f>
        <v>2094.7199999999998</v>
      </c>
      <c r="J992" s="902">
        <f>GLOBAL_DER_FEV_2023!J992</f>
        <v>2515.13</v>
      </c>
      <c r="K992" s="903" t="s">
        <v>1516</v>
      </c>
      <c r="L992" s="1137"/>
      <c r="M992" s="1138">
        <f t="shared" si="123"/>
        <v>0</v>
      </c>
      <c r="N992" s="893">
        <f t="shared" si="127"/>
        <v>0</v>
      </c>
      <c r="O992" s="905"/>
      <c r="Q992" s="317" t="str">
        <f t="shared" si="124"/>
        <v/>
      </c>
      <c r="R992" s="317" t="str">
        <f t="shared" si="125"/>
        <v/>
      </c>
      <c r="S992" s="317" t="str">
        <f t="shared" si="126"/>
        <v/>
      </c>
      <c r="T992" s="317" t="str">
        <f>GLOBAL_DER_FEV_2023!S992</f>
        <v/>
      </c>
      <c r="W992" s="582">
        <v>0</v>
      </c>
      <c r="X992" s="580"/>
      <c r="Y992" s="583">
        <f>IF(GLOBAL_DER_FEV_2023!W992=0,0,IF(GLOBAL_DER_FEV_2023!W992&gt;0,"c","b"))</f>
        <v>0</v>
      </c>
    </row>
    <row r="993" spans="1:25" ht="33.75" x14ac:dyDescent="0.2">
      <c r="A993" s="317">
        <v>101507</v>
      </c>
      <c r="B993" s="895">
        <v>101507</v>
      </c>
      <c r="C993" s="896" t="s">
        <v>596</v>
      </c>
      <c r="D993" s="906" t="s">
        <v>920</v>
      </c>
      <c r="E993" s="907">
        <f>GLOBAL_DER_FEV_2023!E993</f>
        <v>0</v>
      </c>
      <c r="F993" s="908">
        <f>GLOBAL_DER_FEV_2023!F993</f>
        <v>0</v>
      </c>
      <c r="G993" s="912">
        <f>GLOBAL_DER_FEV_2023!G993</f>
        <v>0</v>
      </c>
      <c r="H993" s="901">
        <f>GLOBAL_DER_FEV_2023!H993</f>
        <v>2150.44</v>
      </c>
      <c r="I993" s="901">
        <f>GLOBAL_DER_FEV_2023!I993</f>
        <v>2150.44</v>
      </c>
      <c r="J993" s="902">
        <f>GLOBAL_DER_FEV_2023!J993</f>
        <v>2582.0300000000002</v>
      </c>
      <c r="K993" s="903" t="s">
        <v>1516</v>
      </c>
      <c r="L993" s="1137"/>
      <c r="M993" s="1138">
        <f t="shared" si="123"/>
        <v>0</v>
      </c>
      <c r="N993" s="893">
        <f t="shared" si="127"/>
        <v>0</v>
      </c>
      <c r="O993" s="905"/>
      <c r="Q993" s="317" t="str">
        <f t="shared" si="124"/>
        <v/>
      </c>
      <c r="R993" s="317" t="str">
        <f t="shared" si="125"/>
        <v/>
      </c>
      <c r="S993" s="317" t="str">
        <f t="shared" si="126"/>
        <v/>
      </c>
      <c r="T993" s="317" t="str">
        <f>GLOBAL_DER_FEV_2023!S993</f>
        <v/>
      </c>
      <c r="W993" s="582">
        <v>0</v>
      </c>
      <c r="X993" s="580"/>
      <c r="Y993" s="583">
        <f>IF(GLOBAL_DER_FEV_2023!W993=0,0,IF(GLOBAL_DER_FEV_2023!W993&gt;0,"c","b"))</f>
        <v>0</v>
      </c>
    </row>
    <row r="994" spans="1:25" ht="33.75" x14ac:dyDescent="0.2">
      <c r="A994" s="317">
        <v>101508</v>
      </c>
      <c r="B994" s="895">
        <v>101508</v>
      </c>
      <c r="C994" s="896" t="s">
        <v>596</v>
      </c>
      <c r="D994" s="906" t="s">
        <v>921</v>
      </c>
      <c r="E994" s="907">
        <f>GLOBAL_DER_FEV_2023!E994</f>
        <v>0</v>
      </c>
      <c r="F994" s="908">
        <f>GLOBAL_DER_FEV_2023!F994</f>
        <v>0</v>
      </c>
      <c r="G994" s="912">
        <f>GLOBAL_DER_FEV_2023!G994</f>
        <v>0</v>
      </c>
      <c r="H994" s="901">
        <f>GLOBAL_DER_FEV_2023!H994</f>
        <v>2420.2800000000002</v>
      </c>
      <c r="I994" s="901">
        <f>GLOBAL_DER_FEV_2023!I994</f>
        <v>2420.2800000000002</v>
      </c>
      <c r="J994" s="902">
        <f>GLOBAL_DER_FEV_2023!J994</f>
        <v>2906.03</v>
      </c>
      <c r="K994" s="903" t="s">
        <v>1516</v>
      </c>
      <c r="L994" s="1137"/>
      <c r="M994" s="1138">
        <f t="shared" si="123"/>
        <v>0</v>
      </c>
      <c r="N994" s="893">
        <f t="shared" si="127"/>
        <v>0</v>
      </c>
      <c r="O994" s="905"/>
      <c r="Q994" s="317" t="str">
        <f t="shared" si="124"/>
        <v/>
      </c>
      <c r="R994" s="317" t="str">
        <f t="shared" si="125"/>
        <v/>
      </c>
      <c r="S994" s="317" t="str">
        <f t="shared" si="126"/>
        <v/>
      </c>
      <c r="T994" s="317" t="str">
        <f>GLOBAL_DER_FEV_2023!S994</f>
        <v/>
      </c>
      <c r="W994" s="582">
        <v>0</v>
      </c>
      <c r="X994" s="580"/>
      <c r="Y994" s="583">
        <f>IF(GLOBAL_DER_FEV_2023!W994=0,0,IF(GLOBAL_DER_FEV_2023!W994&gt;0,"c","b"))</f>
        <v>0</v>
      </c>
    </row>
    <row r="995" spans="1:25" ht="22.5" x14ac:dyDescent="0.2">
      <c r="A995" s="317">
        <v>101509</v>
      </c>
      <c r="B995" s="895">
        <v>101509</v>
      </c>
      <c r="C995" s="896" t="s">
        <v>596</v>
      </c>
      <c r="D995" s="906" t="s">
        <v>922</v>
      </c>
      <c r="E995" s="907">
        <f>GLOBAL_DER_FEV_2023!E995</f>
        <v>0</v>
      </c>
      <c r="F995" s="908">
        <f>GLOBAL_DER_FEV_2023!F995</f>
        <v>0</v>
      </c>
      <c r="G995" s="912">
        <f>GLOBAL_DER_FEV_2023!G995</f>
        <v>0</v>
      </c>
      <c r="H995" s="901">
        <f>GLOBAL_DER_FEV_2023!H995</f>
        <v>2020.87</v>
      </c>
      <c r="I995" s="901">
        <f>GLOBAL_DER_FEV_2023!I995</f>
        <v>2020.87</v>
      </c>
      <c r="J995" s="902">
        <f>GLOBAL_DER_FEV_2023!J995</f>
        <v>2426.46</v>
      </c>
      <c r="K995" s="903" t="s">
        <v>1516</v>
      </c>
      <c r="L995" s="1137"/>
      <c r="M995" s="1138">
        <f t="shared" si="123"/>
        <v>0</v>
      </c>
      <c r="N995" s="893">
        <f t="shared" si="127"/>
        <v>0</v>
      </c>
      <c r="O995" s="905"/>
      <c r="Q995" s="317" t="str">
        <f t="shared" si="124"/>
        <v/>
      </c>
      <c r="R995" s="317" t="str">
        <f t="shared" si="125"/>
        <v/>
      </c>
      <c r="S995" s="317" t="str">
        <f t="shared" si="126"/>
        <v/>
      </c>
      <c r="T995" s="317" t="str">
        <f>GLOBAL_DER_FEV_2023!S995</f>
        <v/>
      </c>
      <c r="W995" s="582">
        <v>0</v>
      </c>
      <c r="X995" s="580"/>
      <c r="Y995" s="583">
        <f>IF(GLOBAL_DER_FEV_2023!W995=0,0,IF(GLOBAL_DER_FEV_2023!W995&gt;0,"c","b"))</f>
        <v>0</v>
      </c>
    </row>
    <row r="996" spans="1:25" ht="22.5" x14ac:dyDescent="0.2">
      <c r="A996" s="317">
        <v>101510</v>
      </c>
      <c r="B996" s="895">
        <v>101510</v>
      </c>
      <c r="C996" s="896" t="s">
        <v>596</v>
      </c>
      <c r="D996" s="906" t="s">
        <v>923</v>
      </c>
      <c r="E996" s="907">
        <f>GLOBAL_DER_FEV_2023!E996</f>
        <v>0</v>
      </c>
      <c r="F996" s="908">
        <f>GLOBAL_DER_FEV_2023!F996</f>
        <v>0</v>
      </c>
      <c r="G996" s="912">
        <f>GLOBAL_DER_FEV_2023!G996</f>
        <v>0</v>
      </c>
      <c r="H996" s="901">
        <f>GLOBAL_DER_FEV_2023!H996</f>
        <v>2218.9</v>
      </c>
      <c r="I996" s="901">
        <f>GLOBAL_DER_FEV_2023!I996</f>
        <v>2218.9</v>
      </c>
      <c r="J996" s="902">
        <f>GLOBAL_DER_FEV_2023!J996</f>
        <v>2664.23</v>
      </c>
      <c r="K996" s="903" t="s">
        <v>1516</v>
      </c>
      <c r="L996" s="1137"/>
      <c r="M996" s="1138">
        <f t="shared" si="123"/>
        <v>0</v>
      </c>
      <c r="N996" s="893">
        <f t="shared" si="127"/>
        <v>0</v>
      </c>
      <c r="O996" s="905"/>
      <c r="Q996" s="317" t="str">
        <f t="shared" si="124"/>
        <v/>
      </c>
      <c r="R996" s="317" t="str">
        <f t="shared" si="125"/>
        <v/>
      </c>
      <c r="S996" s="317" t="str">
        <f t="shared" si="126"/>
        <v/>
      </c>
      <c r="T996" s="317" t="str">
        <f>GLOBAL_DER_FEV_2023!S996</f>
        <v/>
      </c>
      <c r="W996" s="582">
        <v>0</v>
      </c>
      <c r="X996" s="580"/>
      <c r="Y996" s="583">
        <f>IF(GLOBAL_DER_FEV_2023!W996=0,0,IF(GLOBAL_DER_FEV_2023!W996&gt;0,"c","b"))</f>
        <v>0</v>
      </c>
    </row>
    <row r="997" spans="1:25" ht="22.5" x14ac:dyDescent="0.2">
      <c r="A997" s="317">
        <v>101511</v>
      </c>
      <c r="B997" s="895">
        <v>101511</v>
      </c>
      <c r="C997" s="896" t="s">
        <v>596</v>
      </c>
      <c r="D997" s="906" t="s">
        <v>924</v>
      </c>
      <c r="E997" s="907">
        <f>GLOBAL_DER_FEV_2023!E997</f>
        <v>0</v>
      </c>
      <c r="F997" s="908">
        <f>GLOBAL_DER_FEV_2023!F997</f>
        <v>0</v>
      </c>
      <c r="G997" s="912">
        <f>GLOBAL_DER_FEV_2023!G997</f>
        <v>0</v>
      </c>
      <c r="H997" s="901">
        <f>GLOBAL_DER_FEV_2023!H997</f>
        <v>2274.62</v>
      </c>
      <c r="I997" s="901">
        <f>GLOBAL_DER_FEV_2023!I997</f>
        <v>2274.62</v>
      </c>
      <c r="J997" s="902">
        <f>GLOBAL_DER_FEV_2023!J997</f>
        <v>2731.14</v>
      </c>
      <c r="K997" s="903" t="s">
        <v>1516</v>
      </c>
      <c r="L997" s="1137"/>
      <c r="M997" s="1138">
        <f t="shared" si="123"/>
        <v>0</v>
      </c>
      <c r="N997" s="893">
        <f t="shared" si="127"/>
        <v>0</v>
      </c>
      <c r="O997" s="905"/>
      <c r="Q997" s="317" t="str">
        <f t="shared" si="124"/>
        <v/>
      </c>
      <c r="R997" s="317" t="str">
        <f t="shared" si="125"/>
        <v/>
      </c>
      <c r="S997" s="317" t="str">
        <f t="shared" si="126"/>
        <v/>
      </c>
      <c r="T997" s="317" t="str">
        <f>GLOBAL_DER_FEV_2023!S997</f>
        <v/>
      </c>
      <c r="W997" s="582">
        <v>0</v>
      </c>
      <c r="X997" s="580"/>
      <c r="Y997" s="583">
        <f>IF(GLOBAL_DER_FEV_2023!W997=0,0,IF(GLOBAL_DER_FEV_2023!W997&gt;0,"c","b"))</f>
        <v>0</v>
      </c>
    </row>
    <row r="998" spans="1:25" ht="22.5" x14ac:dyDescent="0.2">
      <c r="A998" s="317">
        <v>101512</v>
      </c>
      <c r="B998" s="895">
        <v>101512</v>
      </c>
      <c r="C998" s="896" t="s">
        <v>596</v>
      </c>
      <c r="D998" s="906" t="s">
        <v>925</v>
      </c>
      <c r="E998" s="907">
        <f>GLOBAL_DER_FEV_2023!E998</f>
        <v>0</v>
      </c>
      <c r="F998" s="908">
        <f>GLOBAL_DER_FEV_2023!F998</f>
        <v>0</v>
      </c>
      <c r="G998" s="912">
        <f>GLOBAL_DER_FEV_2023!G998</f>
        <v>0</v>
      </c>
      <c r="H998" s="901">
        <f>GLOBAL_DER_FEV_2023!H998</f>
        <v>2544.46</v>
      </c>
      <c r="I998" s="901">
        <f>GLOBAL_DER_FEV_2023!I998</f>
        <v>2544.46</v>
      </c>
      <c r="J998" s="902">
        <f>GLOBAL_DER_FEV_2023!J998</f>
        <v>3055.13</v>
      </c>
      <c r="K998" s="903" t="s">
        <v>1516</v>
      </c>
      <c r="L998" s="1137"/>
      <c r="M998" s="1138">
        <f t="shared" si="123"/>
        <v>0</v>
      </c>
      <c r="N998" s="893">
        <f t="shared" si="127"/>
        <v>0</v>
      </c>
      <c r="O998" s="905"/>
      <c r="Q998" s="317" t="str">
        <f t="shared" si="124"/>
        <v/>
      </c>
      <c r="R998" s="317" t="str">
        <f t="shared" si="125"/>
        <v/>
      </c>
      <c r="S998" s="317" t="str">
        <f t="shared" si="126"/>
        <v/>
      </c>
      <c r="T998" s="317" t="str">
        <f>GLOBAL_DER_FEV_2023!S998</f>
        <v/>
      </c>
      <c r="W998" s="582">
        <v>0</v>
      </c>
      <c r="X998" s="580"/>
      <c r="Y998" s="583">
        <f>IF(GLOBAL_DER_FEV_2023!W998=0,0,IF(GLOBAL_DER_FEV_2023!W998&gt;0,"c","b"))</f>
        <v>0</v>
      </c>
    </row>
    <row r="999" spans="1:25" ht="33.75" x14ac:dyDescent="0.2">
      <c r="A999" s="317">
        <v>101513</v>
      </c>
      <c r="B999" s="895">
        <v>101513</v>
      </c>
      <c r="C999" s="896" t="s">
        <v>596</v>
      </c>
      <c r="D999" s="906" t="s">
        <v>926</v>
      </c>
      <c r="E999" s="907">
        <f>GLOBAL_DER_FEV_2023!E999</f>
        <v>0</v>
      </c>
      <c r="F999" s="908">
        <f>GLOBAL_DER_FEV_2023!F999</f>
        <v>0</v>
      </c>
      <c r="G999" s="912">
        <f>GLOBAL_DER_FEV_2023!G999</f>
        <v>0</v>
      </c>
      <c r="H999" s="901">
        <f>GLOBAL_DER_FEV_2023!H999</f>
        <v>840</v>
      </c>
      <c r="I999" s="901">
        <f>GLOBAL_DER_FEV_2023!I999</f>
        <v>840</v>
      </c>
      <c r="J999" s="902">
        <f>GLOBAL_DER_FEV_2023!J999</f>
        <v>1008.59</v>
      </c>
      <c r="K999" s="903" t="s">
        <v>1516</v>
      </c>
      <c r="L999" s="1137"/>
      <c r="M999" s="1138">
        <f t="shared" si="123"/>
        <v>0</v>
      </c>
      <c r="N999" s="893">
        <f t="shared" si="127"/>
        <v>0</v>
      </c>
      <c r="O999" s="905"/>
      <c r="Q999" s="317" t="str">
        <f t="shared" si="124"/>
        <v/>
      </c>
      <c r="R999" s="317" t="str">
        <f t="shared" si="125"/>
        <v/>
      </c>
      <c r="S999" s="317" t="str">
        <f t="shared" si="126"/>
        <v/>
      </c>
      <c r="T999" s="317" t="str">
        <f>GLOBAL_DER_FEV_2023!S999</f>
        <v/>
      </c>
      <c r="W999" s="582">
        <v>0</v>
      </c>
      <c r="X999" s="580"/>
      <c r="Y999" s="583">
        <f>IF(GLOBAL_DER_FEV_2023!W999=0,0,IF(GLOBAL_DER_FEV_2023!W999&gt;0,"c","b"))</f>
        <v>0</v>
      </c>
    </row>
    <row r="1000" spans="1:25" ht="33.75" x14ac:dyDescent="0.2">
      <c r="A1000" s="317">
        <v>101514</v>
      </c>
      <c r="B1000" s="895">
        <v>101514</v>
      </c>
      <c r="C1000" s="896" t="s">
        <v>596</v>
      </c>
      <c r="D1000" s="906" t="s">
        <v>927</v>
      </c>
      <c r="E1000" s="907">
        <f>GLOBAL_DER_FEV_2023!E1000</f>
        <v>0</v>
      </c>
      <c r="F1000" s="908">
        <f>GLOBAL_DER_FEV_2023!F1000</f>
        <v>0</v>
      </c>
      <c r="G1000" s="912">
        <f>GLOBAL_DER_FEV_2023!G1000</f>
        <v>0</v>
      </c>
      <c r="H1000" s="901">
        <f>GLOBAL_DER_FEV_2023!H1000</f>
        <v>957.75</v>
      </c>
      <c r="I1000" s="901">
        <f>GLOBAL_DER_FEV_2023!I1000</f>
        <v>957.75</v>
      </c>
      <c r="J1000" s="902">
        <f>GLOBAL_DER_FEV_2023!J1000</f>
        <v>1149.97</v>
      </c>
      <c r="K1000" s="903" t="s">
        <v>1516</v>
      </c>
      <c r="L1000" s="1137"/>
      <c r="M1000" s="1138">
        <f t="shared" si="123"/>
        <v>0</v>
      </c>
      <c r="N1000" s="893">
        <f t="shared" si="127"/>
        <v>0</v>
      </c>
      <c r="O1000" s="905"/>
      <c r="Q1000" s="317" t="str">
        <f t="shared" si="124"/>
        <v/>
      </c>
      <c r="R1000" s="317" t="str">
        <f t="shared" si="125"/>
        <v/>
      </c>
      <c r="S1000" s="317" t="str">
        <f t="shared" si="126"/>
        <v/>
      </c>
      <c r="T1000" s="317" t="str">
        <f>GLOBAL_DER_FEV_2023!S1000</f>
        <v/>
      </c>
      <c r="W1000" s="582">
        <v>0</v>
      </c>
      <c r="X1000" s="580"/>
      <c r="Y1000" s="583">
        <f>IF(GLOBAL_DER_FEV_2023!W1000=0,0,IF(GLOBAL_DER_FEV_2023!W1000&gt;0,"c","b"))</f>
        <v>0</v>
      </c>
    </row>
    <row r="1001" spans="1:25" ht="33.75" x14ac:dyDescent="0.2">
      <c r="A1001" s="317">
        <v>101515</v>
      </c>
      <c r="B1001" s="895">
        <v>101515</v>
      </c>
      <c r="C1001" s="896" t="s">
        <v>596</v>
      </c>
      <c r="D1001" s="906" t="s">
        <v>928</v>
      </c>
      <c r="E1001" s="907">
        <f>GLOBAL_DER_FEV_2023!E1001</f>
        <v>0</v>
      </c>
      <c r="F1001" s="908">
        <f>GLOBAL_DER_FEV_2023!F1001</f>
        <v>0</v>
      </c>
      <c r="G1001" s="912">
        <f>GLOBAL_DER_FEV_2023!G1001</f>
        <v>0</v>
      </c>
      <c r="H1001" s="901">
        <f>GLOBAL_DER_FEV_2023!H1001</f>
        <v>990.88</v>
      </c>
      <c r="I1001" s="901">
        <f>GLOBAL_DER_FEV_2023!I1001</f>
        <v>990.88</v>
      </c>
      <c r="J1001" s="902">
        <f>GLOBAL_DER_FEV_2023!J1001</f>
        <v>1189.75</v>
      </c>
      <c r="K1001" s="903" t="s">
        <v>1516</v>
      </c>
      <c r="L1001" s="1137"/>
      <c r="M1001" s="1138">
        <f t="shared" si="123"/>
        <v>0</v>
      </c>
      <c r="N1001" s="893">
        <f t="shared" si="127"/>
        <v>0</v>
      </c>
      <c r="O1001" s="905"/>
      <c r="Q1001" s="317" t="str">
        <f t="shared" si="124"/>
        <v/>
      </c>
      <c r="R1001" s="317" t="str">
        <f t="shared" si="125"/>
        <v/>
      </c>
      <c r="S1001" s="317" t="str">
        <f t="shared" si="126"/>
        <v/>
      </c>
      <c r="T1001" s="317" t="str">
        <f>GLOBAL_DER_FEV_2023!S1001</f>
        <v/>
      </c>
      <c r="W1001" s="582">
        <v>0</v>
      </c>
      <c r="X1001" s="580"/>
      <c r="Y1001" s="583">
        <f>IF(GLOBAL_DER_FEV_2023!W1001=0,0,IF(GLOBAL_DER_FEV_2023!W1001&gt;0,"c","b"))</f>
        <v>0</v>
      </c>
    </row>
    <row r="1002" spans="1:25" ht="33.75" x14ac:dyDescent="0.2">
      <c r="A1002" s="317">
        <v>101516</v>
      </c>
      <c r="B1002" s="895">
        <v>101516</v>
      </c>
      <c r="C1002" s="896" t="s">
        <v>596</v>
      </c>
      <c r="D1002" s="906" t="s">
        <v>929</v>
      </c>
      <c r="E1002" s="907">
        <f>GLOBAL_DER_FEV_2023!E1002</f>
        <v>0</v>
      </c>
      <c r="F1002" s="908">
        <f>GLOBAL_DER_FEV_2023!F1002</f>
        <v>0</v>
      </c>
      <c r="G1002" s="912">
        <f>GLOBAL_DER_FEV_2023!G1002</f>
        <v>0</v>
      </c>
      <c r="H1002" s="901">
        <f>GLOBAL_DER_FEV_2023!H1002</f>
        <v>1126.8399999999999</v>
      </c>
      <c r="I1002" s="901">
        <f>GLOBAL_DER_FEV_2023!I1002</f>
        <v>1126.8399999999999</v>
      </c>
      <c r="J1002" s="902">
        <f>GLOBAL_DER_FEV_2023!J1002</f>
        <v>1353</v>
      </c>
      <c r="K1002" s="903" t="s">
        <v>1516</v>
      </c>
      <c r="L1002" s="1137"/>
      <c r="M1002" s="1138">
        <f t="shared" si="123"/>
        <v>0</v>
      </c>
      <c r="N1002" s="893">
        <f t="shared" si="127"/>
        <v>0</v>
      </c>
      <c r="O1002" s="905"/>
      <c r="Q1002" s="317" t="str">
        <f t="shared" si="124"/>
        <v/>
      </c>
      <c r="R1002" s="317" t="str">
        <f t="shared" si="125"/>
        <v/>
      </c>
      <c r="S1002" s="317" t="str">
        <f t="shared" si="126"/>
        <v/>
      </c>
      <c r="T1002" s="317" t="str">
        <f>GLOBAL_DER_FEV_2023!S1002</f>
        <v/>
      </c>
      <c r="W1002" s="582">
        <v>0</v>
      </c>
      <c r="X1002" s="580"/>
      <c r="Y1002" s="583">
        <f>IF(GLOBAL_DER_FEV_2023!W1002=0,0,IF(GLOBAL_DER_FEV_2023!W1002&gt;0,"c","b"))</f>
        <v>0</v>
      </c>
    </row>
    <row r="1003" spans="1:25" ht="33.75" x14ac:dyDescent="0.2">
      <c r="A1003" s="317">
        <v>101517</v>
      </c>
      <c r="B1003" s="895">
        <v>101517</v>
      </c>
      <c r="C1003" s="896" t="s">
        <v>596</v>
      </c>
      <c r="D1003" s="906" t="s">
        <v>930</v>
      </c>
      <c r="E1003" s="907">
        <f>GLOBAL_DER_FEV_2023!E1003</f>
        <v>0</v>
      </c>
      <c r="F1003" s="908">
        <f>GLOBAL_DER_FEV_2023!F1003</f>
        <v>0</v>
      </c>
      <c r="G1003" s="912">
        <f>GLOBAL_DER_FEV_2023!G1003</f>
        <v>0</v>
      </c>
      <c r="H1003" s="901">
        <f>GLOBAL_DER_FEV_2023!H1003</f>
        <v>819.99</v>
      </c>
      <c r="I1003" s="901">
        <f>GLOBAL_DER_FEV_2023!I1003</f>
        <v>819.99</v>
      </c>
      <c r="J1003" s="902">
        <f>GLOBAL_DER_FEV_2023!J1003</f>
        <v>984.56</v>
      </c>
      <c r="K1003" s="903" t="s">
        <v>1516</v>
      </c>
      <c r="L1003" s="1137"/>
      <c r="M1003" s="1138">
        <f t="shared" si="123"/>
        <v>0</v>
      </c>
      <c r="N1003" s="893">
        <f t="shared" si="127"/>
        <v>0</v>
      </c>
      <c r="O1003" s="905"/>
      <c r="Q1003" s="317" t="str">
        <f t="shared" si="124"/>
        <v/>
      </c>
      <c r="R1003" s="317" t="str">
        <f t="shared" si="125"/>
        <v/>
      </c>
      <c r="S1003" s="317" t="str">
        <f t="shared" si="126"/>
        <v/>
      </c>
      <c r="T1003" s="317" t="str">
        <f>GLOBAL_DER_FEV_2023!S1003</f>
        <v/>
      </c>
      <c r="W1003" s="582">
        <v>0</v>
      </c>
      <c r="X1003" s="580"/>
      <c r="Y1003" s="583">
        <f>IF(GLOBAL_DER_FEV_2023!W1003=0,0,IF(GLOBAL_DER_FEV_2023!W1003&gt;0,"c","b"))</f>
        <v>0</v>
      </c>
    </row>
    <row r="1004" spans="1:25" ht="33.75" x14ac:dyDescent="0.2">
      <c r="A1004" s="317">
        <v>101518</v>
      </c>
      <c r="B1004" s="895">
        <v>101518</v>
      </c>
      <c r="C1004" s="896" t="s">
        <v>596</v>
      </c>
      <c r="D1004" s="906" t="s">
        <v>931</v>
      </c>
      <c r="E1004" s="907">
        <f>GLOBAL_DER_FEV_2023!E1004</f>
        <v>0</v>
      </c>
      <c r="F1004" s="908">
        <f>GLOBAL_DER_FEV_2023!F1004</f>
        <v>0</v>
      </c>
      <c r="G1004" s="912">
        <f>GLOBAL_DER_FEV_2023!G1004</f>
        <v>0</v>
      </c>
      <c r="H1004" s="901">
        <f>GLOBAL_DER_FEV_2023!H1004</f>
        <v>937.74</v>
      </c>
      <c r="I1004" s="901">
        <f>GLOBAL_DER_FEV_2023!I1004</f>
        <v>937.74</v>
      </c>
      <c r="J1004" s="902">
        <f>GLOBAL_DER_FEV_2023!J1004</f>
        <v>1125.94</v>
      </c>
      <c r="K1004" s="903" t="s">
        <v>1516</v>
      </c>
      <c r="L1004" s="1137"/>
      <c r="M1004" s="1138">
        <f t="shared" si="123"/>
        <v>0</v>
      </c>
      <c r="N1004" s="893">
        <f t="shared" si="127"/>
        <v>0</v>
      </c>
      <c r="O1004" s="905"/>
      <c r="Q1004" s="317" t="str">
        <f t="shared" si="124"/>
        <v/>
      </c>
      <c r="R1004" s="317" t="str">
        <f t="shared" si="125"/>
        <v/>
      </c>
      <c r="S1004" s="317" t="str">
        <f t="shared" si="126"/>
        <v/>
      </c>
      <c r="T1004" s="317" t="str">
        <f>GLOBAL_DER_FEV_2023!S1004</f>
        <v/>
      </c>
      <c r="W1004" s="582">
        <v>0</v>
      </c>
      <c r="X1004" s="580"/>
      <c r="Y1004" s="583">
        <f>IF(GLOBAL_DER_FEV_2023!W1004=0,0,IF(GLOBAL_DER_FEV_2023!W1004&gt;0,"c","b"))</f>
        <v>0</v>
      </c>
    </row>
    <row r="1005" spans="1:25" ht="33.75" x14ac:dyDescent="0.2">
      <c r="A1005" s="317">
        <v>101519</v>
      </c>
      <c r="B1005" s="895">
        <v>101519</v>
      </c>
      <c r="C1005" s="896" t="s">
        <v>596</v>
      </c>
      <c r="D1005" s="906" t="s">
        <v>932</v>
      </c>
      <c r="E1005" s="907">
        <f>GLOBAL_DER_FEV_2023!E1005</f>
        <v>0</v>
      </c>
      <c r="F1005" s="908">
        <f>GLOBAL_DER_FEV_2023!F1005</f>
        <v>0</v>
      </c>
      <c r="G1005" s="912">
        <f>GLOBAL_DER_FEV_2023!G1005</f>
        <v>0</v>
      </c>
      <c r="H1005" s="901">
        <f>GLOBAL_DER_FEV_2023!H1005</f>
        <v>970.87</v>
      </c>
      <c r="I1005" s="901">
        <f>GLOBAL_DER_FEV_2023!I1005</f>
        <v>970.87</v>
      </c>
      <c r="J1005" s="902">
        <f>GLOBAL_DER_FEV_2023!J1005</f>
        <v>1165.72</v>
      </c>
      <c r="K1005" s="903" t="s">
        <v>1516</v>
      </c>
      <c r="L1005" s="1137"/>
      <c r="M1005" s="1138">
        <f t="shared" si="123"/>
        <v>0</v>
      </c>
      <c r="N1005" s="893">
        <f t="shared" si="127"/>
        <v>0</v>
      </c>
      <c r="O1005" s="905"/>
      <c r="Q1005" s="317" t="str">
        <f t="shared" si="124"/>
        <v/>
      </c>
      <c r="R1005" s="317" t="str">
        <f t="shared" si="125"/>
        <v/>
      </c>
      <c r="S1005" s="317" t="str">
        <f t="shared" si="126"/>
        <v/>
      </c>
      <c r="T1005" s="317" t="str">
        <f>GLOBAL_DER_FEV_2023!S1005</f>
        <v/>
      </c>
      <c r="W1005" s="582">
        <v>0</v>
      </c>
      <c r="X1005" s="580"/>
      <c r="Y1005" s="583">
        <f>IF(GLOBAL_DER_FEV_2023!W1005=0,0,IF(GLOBAL_DER_FEV_2023!W1005&gt;0,"c","b"))</f>
        <v>0</v>
      </c>
    </row>
    <row r="1006" spans="1:25" ht="33.75" x14ac:dyDescent="0.2">
      <c r="A1006" s="317">
        <v>101520</v>
      </c>
      <c r="B1006" s="895">
        <v>101520</v>
      </c>
      <c r="C1006" s="896" t="s">
        <v>596</v>
      </c>
      <c r="D1006" s="906" t="s">
        <v>933</v>
      </c>
      <c r="E1006" s="907">
        <f>GLOBAL_DER_FEV_2023!E1006</f>
        <v>0</v>
      </c>
      <c r="F1006" s="908">
        <f>GLOBAL_DER_FEV_2023!F1006</f>
        <v>0</v>
      </c>
      <c r="G1006" s="912">
        <f>GLOBAL_DER_FEV_2023!G1006</f>
        <v>0</v>
      </c>
      <c r="H1006" s="901">
        <f>GLOBAL_DER_FEV_2023!H1006</f>
        <v>1106.83</v>
      </c>
      <c r="I1006" s="901">
        <f>GLOBAL_DER_FEV_2023!I1006</f>
        <v>1106.83</v>
      </c>
      <c r="J1006" s="902">
        <f>GLOBAL_DER_FEV_2023!J1006</f>
        <v>1328.97</v>
      </c>
      <c r="K1006" s="903" t="s">
        <v>1516</v>
      </c>
      <c r="L1006" s="1137"/>
      <c r="M1006" s="1138">
        <f t="shared" si="123"/>
        <v>0</v>
      </c>
      <c r="N1006" s="893">
        <f t="shared" si="127"/>
        <v>0</v>
      </c>
      <c r="O1006" s="905"/>
      <c r="Q1006" s="317" t="str">
        <f t="shared" si="124"/>
        <v/>
      </c>
      <c r="R1006" s="317" t="str">
        <f t="shared" si="125"/>
        <v/>
      </c>
      <c r="S1006" s="317" t="str">
        <f t="shared" si="126"/>
        <v/>
      </c>
      <c r="T1006" s="317" t="str">
        <f>GLOBAL_DER_FEV_2023!S1006</f>
        <v/>
      </c>
      <c r="W1006" s="582">
        <v>0</v>
      </c>
      <c r="X1006" s="580"/>
      <c r="Y1006" s="583">
        <f>IF(GLOBAL_DER_FEV_2023!W1006=0,0,IF(GLOBAL_DER_FEV_2023!W1006&gt;0,"c","b"))</f>
        <v>0</v>
      </c>
    </row>
    <row r="1007" spans="1:25" ht="33.75" x14ac:dyDescent="0.2">
      <c r="A1007" s="317">
        <v>101521</v>
      </c>
      <c r="B1007" s="895">
        <v>101521</v>
      </c>
      <c r="C1007" s="896" t="s">
        <v>596</v>
      </c>
      <c r="D1007" s="906" t="s">
        <v>934</v>
      </c>
      <c r="E1007" s="907">
        <f>GLOBAL_DER_FEV_2023!E1007</f>
        <v>0</v>
      </c>
      <c r="F1007" s="908">
        <f>GLOBAL_DER_FEV_2023!F1007</f>
        <v>0</v>
      </c>
      <c r="G1007" s="912">
        <f>GLOBAL_DER_FEV_2023!G1007</f>
        <v>0</v>
      </c>
      <c r="H1007" s="901">
        <f>GLOBAL_DER_FEV_2023!H1007</f>
        <v>1130.83</v>
      </c>
      <c r="I1007" s="901">
        <f>GLOBAL_DER_FEV_2023!I1007</f>
        <v>1130.83</v>
      </c>
      <c r="J1007" s="902">
        <f>GLOBAL_DER_FEV_2023!J1007</f>
        <v>1357.79</v>
      </c>
      <c r="K1007" s="903" t="s">
        <v>1516</v>
      </c>
      <c r="L1007" s="1137"/>
      <c r="M1007" s="1138">
        <f t="shared" si="123"/>
        <v>0</v>
      </c>
      <c r="N1007" s="893">
        <f t="shared" si="127"/>
        <v>0</v>
      </c>
      <c r="O1007" s="905"/>
      <c r="Q1007" s="317" t="str">
        <f t="shared" si="124"/>
        <v/>
      </c>
      <c r="R1007" s="317" t="str">
        <f t="shared" si="125"/>
        <v/>
      </c>
      <c r="S1007" s="317" t="str">
        <f t="shared" si="126"/>
        <v/>
      </c>
      <c r="T1007" s="317" t="str">
        <f>GLOBAL_DER_FEV_2023!S1007</f>
        <v/>
      </c>
      <c r="W1007" s="582">
        <v>0</v>
      </c>
      <c r="X1007" s="580"/>
      <c r="Y1007" s="583">
        <f>IF(GLOBAL_DER_FEV_2023!W1007=0,0,IF(GLOBAL_DER_FEV_2023!W1007&gt;0,"c","b"))</f>
        <v>0</v>
      </c>
    </row>
    <row r="1008" spans="1:25" ht="33.75" x14ac:dyDescent="0.2">
      <c r="A1008" s="317">
        <v>101522</v>
      </c>
      <c r="B1008" s="895">
        <v>101522</v>
      </c>
      <c r="C1008" s="896" t="s">
        <v>596</v>
      </c>
      <c r="D1008" s="906" t="s">
        <v>935</v>
      </c>
      <c r="E1008" s="907">
        <f>GLOBAL_DER_FEV_2023!E1008</f>
        <v>0</v>
      </c>
      <c r="F1008" s="908">
        <f>GLOBAL_DER_FEV_2023!F1008</f>
        <v>0</v>
      </c>
      <c r="G1008" s="912">
        <f>GLOBAL_DER_FEV_2023!G1008</f>
        <v>0</v>
      </c>
      <c r="H1008" s="901">
        <f>GLOBAL_DER_FEV_2023!H1008</f>
        <v>1307.45</v>
      </c>
      <c r="I1008" s="901">
        <f>GLOBAL_DER_FEV_2023!I1008</f>
        <v>1307.45</v>
      </c>
      <c r="J1008" s="902">
        <f>GLOBAL_DER_FEV_2023!J1008</f>
        <v>1569.86</v>
      </c>
      <c r="K1008" s="903" t="s">
        <v>1516</v>
      </c>
      <c r="L1008" s="1137"/>
      <c r="M1008" s="1138">
        <f t="shared" si="123"/>
        <v>0</v>
      </c>
      <c r="N1008" s="893">
        <f t="shared" si="127"/>
        <v>0</v>
      </c>
      <c r="O1008" s="905"/>
      <c r="Q1008" s="317" t="str">
        <f t="shared" si="124"/>
        <v/>
      </c>
      <c r="R1008" s="317" t="str">
        <f t="shared" si="125"/>
        <v/>
      </c>
      <c r="S1008" s="317" t="str">
        <f t="shared" si="126"/>
        <v/>
      </c>
      <c r="T1008" s="317" t="str">
        <f>GLOBAL_DER_FEV_2023!S1008</f>
        <v/>
      </c>
      <c r="W1008" s="582">
        <v>0</v>
      </c>
      <c r="X1008" s="580"/>
      <c r="Y1008" s="583">
        <f>IF(GLOBAL_DER_FEV_2023!W1008=0,0,IF(GLOBAL_DER_FEV_2023!W1008&gt;0,"c","b"))</f>
        <v>0</v>
      </c>
    </row>
    <row r="1009" spans="1:25" ht="33.75" x14ac:dyDescent="0.2">
      <c r="A1009" s="317">
        <v>101523</v>
      </c>
      <c r="B1009" s="895">
        <v>101523</v>
      </c>
      <c r="C1009" s="896" t="s">
        <v>596</v>
      </c>
      <c r="D1009" s="906" t="s">
        <v>936</v>
      </c>
      <c r="E1009" s="907">
        <f>GLOBAL_DER_FEV_2023!E1009</f>
        <v>0</v>
      </c>
      <c r="F1009" s="908">
        <f>GLOBAL_DER_FEV_2023!F1009</f>
        <v>0</v>
      </c>
      <c r="G1009" s="912">
        <f>GLOBAL_DER_FEV_2023!G1009</f>
        <v>0</v>
      </c>
      <c r="H1009" s="901">
        <f>GLOBAL_DER_FEV_2023!H1009</f>
        <v>1357.14</v>
      </c>
      <c r="I1009" s="901">
        <f>GLOBAL_DER_FEV_2023!I1009</f>
        <v>1357.14</v>
      </c>
      <c r="J1009" s="902">
        <f>GLOBAL_DER_FEV_2023!J1009</f>
        <v>1629.52</v>
      </c>
      <c r="K1009" s="903" t="s">
        <v>1516</v>
      </c>
      <c r="L1009" s="1137"/>
      <c r="M1009" s="1138">
        <f t="shared" si="123"/>
        <v>0</v>
      </c>
      <c r="N1009" s="893">
        <f t="shared" si="127"/>
        <v>0</v>
      </c>
      <c r="O1009" s="905"/>
      <c r="Q1009" s="317" t="str">
        <f t="shared" si="124"/>
        <v/>
      </c>
      <c r="R1009" s="317" t="str">
        <f t="shared" si="125"/>
        <v/>
      </c>
      <c r="S1009" s="317" t="str">
        <f t="shared" si="126"/>
        <v/>
      </c>
      <c r="T1009" s="317" t="str">
        <f>GLOBAL_DER_FEV_2023!S1009</f>
        <v/>
      </c>
      <c r="W1009" s="582">
        <v>0</v>
      </c>
      <c r="X1009" s="580"/>
      <c r="Y1009" s="583">
        <f>IF(GLOBAL_DER_FEV_2023!W1009=0,0,IF(GLOBAL_DER_FEV_2023!W1009&gt;0,"c","b"))</f>
        <v>0</v>
      </c>
    </row>
    <row r="1010" spans="1:25" ht="33.75" x14ac:dyDescent="0.2">
      <c r="A1010" s="317">
        <v>101524</v>
      </c>
      <c r="B1010" s="895">
        <v>101524</v>
      </c>
      <c r="C1010" s="896" t="s">
        <v>596</v>
      </c>
      <c r="D1010" s="906" t="s">
        <v>937</v>
      </c>
      <c r="E1010" s="907">
        <f>GLOBAL_DER_FEV_2023!E1010</f>
        <v>0</v>
      </c>
      <c r="F1010" s="908">
        <f>GLOBAL_DER_FEV_2023!F1010</f>
        <v>0</v>
      </c>
      <c r="G1010" s="912">
        <f>GLOBAL_DER_FEV_2023!G1010</f>
        <v>0</v>
      </c>
      <c r="H1010" s="901">
        <f>GLOBAL_DER_FEV_2023!H1010</f>
        <v>1561.08</v>
      </c>
      <c r="I1010" s="901">
        <f>GLOBAL_DER_FEV_2023!I1010</f>
        <v>1561.08</v>
      </c>
      <c r="J1010" s="902">
        <f>GLOBAL_DER_FEV_2023!J1010</f>
        <v>1874.39</v>
      </c>
      <c r="K1010" s="903" t="s">
        <v>1516</v>
      </c>
      <c r="L1010" s="1137"/>
      <c r="M1010" s="1138">
        <f t="shared" si="123"/>
        <v>0</v>
      </c>
      <c r="N1010" s="893">
        <f t="shared" si="127"/>
        <v>0</v>
      </c>
      <c r="O1010" s="905"/>
      <c r="Q1010" s="317" t="str">
        <f t="shared" si="124"/>
        <v/>
      </c>
      <c r="R1010" s="317" t="str">
        <f t="shared" si="125"/>
        <v/>
      </c>
      <c r="S1010" s="317" t="str">
        <f t="shared" si="126"/>
        <v/>
      </c>
      <c r="T1010" s="317" t="str">
        <f>GLOBAL_DER_FEV_2023!S1010</f>
        <v/>
      </c>
      <c r="W1010" s="582">
        <v>0</v>
      </c>
      <c r="X1010" s="580"/>
      <c r="Y1010" s="583">
        <f>IF(GLOBAL_DER_FEV_2023!W1010=0,0,IF(GLOBAL_DER_FEV_2023!W1010&gt;0,"c","b"))</f>
        <v>0</v>
      </c>
    </row>
    <row r="1011" spans="1:25" ht="33.75" x14ac:dyDescent="0.2">
      <c r="A1011" s="317">
        <v>101525</v>
      </c>
      <c r="B1011" s="895">
        <v>101525</v>
      </c>
      <c r="C1011" s="896" t="s">
        <v>596</v>
      </c>
      <c r="D1011" s="906" t="s">
        <v>938</v>
      </c>
      <c r="E1011" s="907">
        <f>GLOBAL_DER_FEV_2023!E1011</f>
        <v>0</v>
      </c>
      <c r="F1011" s="908">
        <f>GLOBAL_DER_FEV_2023!F1011</f>
        <v>0</v>
      </c>
      <c r="G1011" s="912">
        <f>GLOBAL_DER_FEV_2023!G1011</f>
        <v>0</v>
      </c>
      <c r="H1011" s="901">
        <f>GLOBAL_DER_FEV_2023!H1011</f>
        <v>1118.71</v>
      </c>
      <c r="I1011" s="901">
        <f>GLOBAL_DER_FEV_2023!I1011</f>
        <v>1118.71</v>
      </c>
      <c r="J1011" s="902">
        <f>GLOBAL_DER_FEV_2023!J1011</f>
        <v>1343.24</v>
      </c>
      <c r="K1011" s="903" t="s">
        <v>1516</v>
      </c>
      <c r="L1011" s="1137"/>
      <c r="M1011" s="1138">
        <f t="shared" si="123"/>
        <v>0</v>
      </c>
      <c r="N1011" s="893">
        <f t="shared" si="127"/>
        <v>0</v>
      </c>
      <c r="O1011" s="905"/>
      <c r="Q1011" s="317" t="str">
        <f t="shared" si="124"/>
        <v/>
      </c>
      <c r="R1011" s="317" t="str">
        <f t="shared" si="125"/>
        <v/>
      </c>
      <c r="S1011" s="317" t="str">
        <f t="shared" si="126"/>
        <v/>
      </c>
      <c r="T1011" s="317" t="str">
        <f>GLOBAL_DER_FEV_2023!S1011</f>
        <v/>
      </c>
      <c r="W1011" s="582">
        <v>0</v>
      </c>
      <c r="X1011" s="580"/>
      <c r="Y1011" s="583">
        <f>IF(GLOBAL_DER_FEV_2023!W1011=0,0,IF(GLOBAL_DER_FEV_2023!W1011&gt;0,"c","b"))</f>
        <v>0</v>
      </c>
    </row>
    <row r="1012" spans="1:25" ht="33.75" x14ac:dyDescent="0.2">
      <c r="A1012" s="317">
        <v>101526</v>
      </c>
      <c r="B1012" s="895">
        <v>101526</v>
      </c>
      <c r="C1012" s="896" t="s">
        <v>596</v>
      </c>
      <c r="D1012" s="906" t="s">
        <v>939</v>
      </c>
      <c r="E1012" s="907">
        <f>GLOBAL_DER_FEV_2023!E1012</f>
        <v>0</v>
      </c>
      <c r="F1012" s="908">
        <f>GLOBAL_DER_FEV_2023!F1012</f>
        <v>0</v>
      </c>
      <c r="G1012" s="912">
        <f>GLOBAL_DER_FEV_2023!G1012</f>
        <v>0</v>
      </c>
      <c r="H1012" s="901">
        <f>GLOBAL_DER_FEV_2023!H1012</f>
        <v>1295.33</v>
      </c>
      <c r="I1012" s="901">
        <f>GLOBAL_DER_FEV_2023!I1012</f>
        <v>1295.33</v>
      </c>
      <c r="J1012" s="902">
        <f>GLOBAL_DER_FEV_2023!J1012</f>
        <v>1555.3</v>
      </c>
      <c r="K1012" s="903" t="s">
        <v>1516</v>
      </c>
      <c r="L1012" s="1137"/>
      <c r="M1012" s="1138">
        <f t="shared" si="123"/>
        <v>0</v>
      </c>
      <c r="N1012" s="893">
        <f t="shared" si="127"/>
        <v>0</v>
      </c>
      <c r="O1012" s="905"/>
      <c r="Q1012" s="317" t="str">
        <f t="shared" si="124"/>
        <v/>
      </c>
      <c r="R1012" s="317" t="str">
        <f t="shared" si="125"/>
        <v/>
      </c>
      <c r="S1012" s="317" t="str">
        <f t="shared" si="126"/>
        <v/>
      </c>
      <c r="T1012" s="317" t="str">
        <f>GLOBAL_DER_FEV_2023!S1012</f>
        <v/>
      </c>
      <c r="W1012" s="582">
        <v>0</v>
      </c>
      <c r="X1012" s="580"/>
      <c r="Y1012" s="583">
        <f>IF(GLOBAL_DER_FEV_2023!W1012=0,0,IF(GLOBAL_DER_FEV_2023!W1012&gt;0,"c","b"))</f>
        <v>0</v>
      </c>
    </row>
    <row r="1013" spans="1:25" ht="33.75" x14ac:dyDescent="0.2">
      <c r="A1013" s="317">
        <v>101527</v>
      </c>
      <c r="B1013" s="895">
        <v>101527</v>
      </c>
      <c r="C1013" s="896" t="s">
        <v>596</v>
      </c>
      <c r="D1013" s="906" t="s">
        <v>940</v>
      </c>
      <c r="E1013" s="907">
        <f>GLOBAL_DER_FEV_2023!E1013</f>
        <v>0</v>
      </c>
      <c r="F1013" s="908">
        <f>GLOBAL_DER_FEV_2023!F1013</f>
        <v>0</v>
      </c>
      <c r="G1013" s="912">
        <f>GLOBAL_DER_FEV_2023!G1013</f>
        <v>0</v>
      </c>
      <c r="H1013" s="901">
        <f>GLOBAL_DER_FEV_2023!H1013</f>
        <v>1345.02</v>
      </c>
      <c r="I1013" s="901">
        <f>GLOBAL_DER_FEV_2023!I1013</f>
        <v>1345.02</v>
      </c>
      <c r="J1013" s="902">
        <f>GLOBAL_DER_FEV_2023!J1013</f>
        <v>1614.97</v>
      </c>
      <c r="K1013" s="903" t="s">
        <v>1516</v>
      </c>
      <c r="L1013" s="1137"/>
      <c r="M1013" s="1138">
        <f t="shared" si="123"/>
        <v>0</v>
      </c>
      <c r="N1013" s="893">
        <f t="shared" si="127"/>
        <v>0</v>
      </c>
      <c r="O1013" s="905"/>
      <c r="Q1013" s="317" t="str">
        <f t="shared" si="124"/>
        <v/>
      </c>
      <c r="R1013" s="317" t="str">
        <f t="shared" si="125"/>
        <v/>
      </c>
      <c r="S1013" s="317" t="str">
        <f t="shared" si="126"/>
        <v/>
      </c>
      <c r="T1013" s="317" t="str">
        <f>GLOBAL_DER_FEV_2023!S1013</f>
        <v/>
      </c>
      <c r="W1013" s="582">
        <v>0</v>
      </c>
      <c r="X1013" s="580"/>
      <c r="Y1013" s="583">
        <f>IF(GLOBAL_DER_FEV_2023!W1013=0,0,IF(GLOBAL_DER_FEV_2023!W1013&gt;0,"c","b"))</f>
        <v>0</v>
      </c>
    </row>
    <row r="1014" spans="1:25" ht="33.75" x14ac:dyDescent="0.2">
      <c r="A1014" s="317">
        <v>101528</v>
      </c>
      <c r="B1014" s="895">
        <v>101528</v>
      </c>
      <c r="C1014" s="896" t="s">
        <v>596</v>
      </c>
      <c r="D1014" s="906" t="s">
        <v>941</v>
      </c>
      <c r="E1014" s="907">
        <f>GLOBAL_DER_FEV_2023!E1014</f>
        <v>0</v>
      </c>
      <c r="F1014" s="908">
        <f>GLOBAL_DER_FEV_2023!F1014</f>
        <v>0</v>
      </c>
      <c r="G1014" s="912">
        <f>GLOBAL_DER_FEV_2023!G1014</f>
        <v>0</v>
      </c>
      <c r="H1014" s="901">
        <f>GLOBAL_DER_FEV_2023!H1014</f>
        <v>1548.96</v>
      </c>
      <c r="I1014" s="901">
        <f>GLOBAL_DER_FEV_2023!I1014</f>
        <v>1548.96</v>
      </c>
      <c r="J1014" s="902">
        <f>GLOBAL_DER_FEV_2023!J1014</f>
        <v>1859.84</v>
      </c>
      <c r="K1014" s="903" t="s">
        <v>1516</v>
      </c>
      <c r="L1014" s="1137"/>
      <c r="M1014" s="1138">
        <f t="shared" si="123"/>
        <v>0</v>
      </c>
      <c r="N1014" s="893">
        <f t="shared" si="127"/>
        <v>0</v>
      </c>
      <c r="O1014" s="905"/>
      <c r="Q1014" s="317" t="str">
        <f t="shared" si="124"/>
        <v/>
      </c>
      <c r="R1014" s="317" t="str">
        <f t="shared" si="125"/>
        <v/>
      </c>
      <c r="S1014" s="317" t="str">
        <f t="shared" si="126"/>
        <v/>
      </c>
      <c r="T1014" s="317" t="str">
        <f>GLOBAL_DER_FEV_2023!S1014</f>
        <v/>
      </c>
      <c r="W1014" s="582">
        <v>0</v>
      </c>
      <c r="X1014" s="580"/>
      <c r="Y1014" s="583">
        <f>IF(GLOBAL_DER_FEV_2023!W1014=0,0,IF(GLOBAL_DER_FEV_2023!W1014&gt;0,"c","b"))</f>
        <v>0</v>
      </c>
    </row>
    <row r="1015" spans="1:25" ht="33.75" x14ac:dyDescent="0.2">
      <c r="A1015" s="317">
        <v>101529</v>
      </c>
      <c r="B1015" s="895">
        <v>101529</v>
      </c>
      <c r="C1015" s="896" t="s">
        <v>596</v>
      </c>
      <c r="D1015" s="906" t="s">
        <v>942</v>
      </c>
      <c r="E1015" s="907">
        <f>GLOBAL_DER_FEV_2023!E1015</f>
        <v>0</v>
      </c>
      <c r="F1015" s="908">
        <f>GLOBAL_DER_FEV_2023!F1015</f>
        <v>0</v>
      </c>
      <c r="G1015" s="912">
        <f>GLOBAL_DER_FEV_2023!G1015</f>
        <v>0</v>
      </c>
      <c r="H1015" s="901">
        <f>GLOBAL_DER_FEV_2023!H1015</f>
        <v>1261.4000000000001</v>
      </c>
      <c r="I1015" s="901">
        <f>GLOBAL_DER_FEV_2023!I1015</f>
        <v>1261.4000000000001</v>
      </c>
      <c r="J1015" s="902">
        <f>GLOBAL_DER_FEV_2023!J1015</f>
        <v>1514.56</v>
      </c>
      <c r="K1015" s="903" t="s">
        <v>1516</v>
      </c>
      <c r="L1015" s="1137"/>
      <c r="M1015" s="1138">
        <f t="shared" si="123"/>
        <v>0</v>
      </c>
      <c r="N1015" s="893">
        <f t="shared" si="127"/>
        <v>0</v>
      </c>
      <c r="O1015" s="905"/>
      <c r="Q1015" s="317" t="str">
        <f t="shared" si="124"/>
        <v/>
      </c>
      <c r="R1015" s="317" t="str">
        <f t="shared" si="125"/>
        <v/>
      </c>
      <c r="S1015" s="317" t="str">
        <f t="shared" si="126"/>
        <v/>
      </c>
      <c r="T1015" s="317" t="str">
        <f>GLOBAL_DER_FEV_2023!S1015</f>
        <v/>
      </c>
      <c r="W1015" s="582">
        <v>0</v>
      </c>
      <c r="X1015" s="580"/>
      <c r="Y1015" s="583">
        <f>IF(GLOBAL_DER_FEV_2023!W1015=0,0,IF(GLOBAL_DER_FEV_2023!W1015&gt;0,"c","b"))</f>
        <v>0</v>
      </c>
    </row>
    <row r="1016" spans="1:25" ht="33.75" x14ac:dyDescent="0.2">
      <c r="A1016" s="317">
        <v>101530</v>
      </c>
      <c r="B1016" s="895">
        <v>101530</v>
      </c>
      <c r="C1016" s="896" t="s">
        <v>596</v>
      </c>
      <c r="D1016" s="906" t="s">
        <v>943</v>
      </c>
      <c r="E1016" s="907">
        <f>GLOBAL_DER_FEV_2023!E1016</f>
        <v>0</v>
      </c>
      <c r="F1016" s="908">
        <f>GLOBAL_DER_FEV_2023!F1016</f>
        <v>0</v>
      </c>
      <c r="G1016" s="912">
        <f>GLOBAL_DER_FEV_2023!G1016</f>
        <v>0</v>
      </c>
      <c r="H1016" s="901">
        <f>GLOBAL_DER_FEV_2023!H1016</f>
        <v>1496.89</v>
      </c>
      <c r="I1016" s="901">
        <f>GLOBAL_DER_FEV_2023!I1016</f>
        <v>1496.89</v>
      </c>
      <c r="J1016" s="902">
        <f>GLOBAL_DER_FEV_2023!J1016</f>
        <v>1797.32</v>
      </c>
      <c r="K1016" s="903" t="s">
        <v>1516</v>
      </c>
      <c r="L1016" s="1137"/>
      <c r="M1016" s="1138">
        <f t="shared" si="123"/>
        <v>0</v>
      </c>
      <c r="N1016" s="893">
        <f t="shared" si="127"/>
        <v>0</v>
      </c>
      <c r="O1016" s="905"/>
      <c r="Q1016" s="317" t="str">
        <f t="shared" si="124"/>
        <v/>
      </c>
      <c r="R1016" s="317" t="str">
        <f t="shared" si="125"/>
        <v/>
      </c>
      <c r="S1016" s="317" t="str">
        <f t="shared" si="126"/>
        <v/>
      </c>
      <c r="T1016" s="317" t="str">
        <f>GLOBAL_DER_FEV_2023!S1016</f>
        <v/>
      </c>
      <c r="W1016" s="582">
        <v>0</v>
      </c>
      <c r="X1016" s="580"/>
      <c r="Y1016" s="583">
        <f>IF(GLOBAL_DER_FEV_2023!W1016=0,0,IF(GLOBAL_DER_FEV_2023!W1016&gt;0,"c","b"))</f>
        <v>0</v>
      </c>
    </row>
    <row r="1017" spans="1:25" ht="33.75" x14ac:dyDescent="0.2">
      <c r="A1017" s="317">
        <v>101531</v>
      </c>
      <c r="B1017" s="895">
        <v>101531</v>
      </c>
      <c r="C1017" s="896" t="s">
        <v>596</v>
      </c>
      <c r="D1017" s="906" t="s">
        <v>944</v>
      </c>
      <c r="E1017" s="907">
        <f>GLOBAL_DER_FEV_2023!E1017</f>
        <v>0</v>
      </c>
      <c r="F1017" s="908">
        <f>GLOBAL_DER_FEV_2023!F1017</f>
        <v>0</v>
      </c>
      <c r="G1017" s="912">
        <f>GLOBAL_DER_FEV_2023!G1017</f>
        <v>0</v>
      </c>
      <c r="H1017" s="901">
        <f>GLOBAL_DER_FEV_2023!H1017</f>
        <v>1563.15</v>
      </c>
      <c r="I1017" s="901">
        <f>GLOBAL_DER_FEV_2023!I1017</f>
        <v>1563.15</v>
      </c>
      <c r="J1017" s="902">
        <f>GLOBAL_DER_FEV_2023!J1017</f>
        <v>1876.87</v>
      </c>
      <c r="K1017" s="903" t="s">
        <v>1516</v>
      </c>
      <c r="L1017" s="1137"/>
      <c r="M1017" s="1138">
        <f t="shared" si="123"/>
        <v>0</v>
      </c>
      <c r="N1017" s="893">
        <f t="shared" si="127"/>
        <v>0</v>
      </c>
      <c r="O1017" s="905"/>
      <c r="Q1017" s="317" t="str">
        <f t="shared" si="124"/>
        <v/>
      </c>
      <c r="R1017" s="317" t="str">
        <f t="shared" si="125"/>
        <v/>
      </c>
      <c r="S1017" s="317" t="str">
        <f t="shared" si="126"/>
        <v/>
      </c>
      <c r="T1017" s="317" t="str">
        <f>GLOBAL_DER_FEV_2023!S1017</f>
        <v/>
      </c>
      <c r="W1017" s="582">
        <v>0</v>
      </c>
      <c r="X1017" s="580"/>
      <c r="Y1017" s="583">
        <f>IF(GLOBAL_DER_FEV_2023!W1017=0,0,IF(GLOBAL_DER_FEV_2023!W1017&gt;0,"c","b"))</f>
        <v>0</v>
      </c>
    </row>
    <row r="1018" spans="1:25" ht="33.75" x14ac:dyDescent="0.2">
      <c r="A1018" s="317">
        <v>101532</v>
      </c>
      <c r="B1018" s="895">
        <v>101532</v>
      </c>
      <c r="C1018" s="896" t="s">
        <v>596</v>
      </c>
      <c r="D1018" s="906" t="s">
        <v>945</v>
      </c>
      <c r="E1018" s="907">
        <f>GLOBAL_DER_FEV_2023!E1018</f>
        <v>0</v>
      </c>
      <c r="F1018" s="908">
        <f>GLOBAL_DER_FEV_2023!F1018</f>
        <v>0</v>
      </c>
      <c r="G1018" s="912">
        <f>GLOBAL_DER_FEV_2023!G1018</f>
        <v>0</v>
      </c>
      <c r="H1018" s="901">
        <f>GLOBAL_DER_FEV_2023!H1018</f>
        <v>1835.07</v>
      </c>
      <c r="I1018" s="901">
        <f>GLOBAL_DER_FEV_2023!I1018</f>
        <v>1835.07</v>
      </c>
      <c r="J1018" s="902">
        <f>GLOBAL_DER_FEV_2023!J1018</f>
        <v>2203.37</v>
      </c>
      <c r="K1018" s="903" t="s">
        <v>1516</v>
      </c>
      <c r="L1018" s="1137"/>
      <c r="M1018" s="1138">
        <f t="shared" si="123"/>
        <v>0</v>
      </c>
      <c r="N1018" s="893">
        <f t="shared" si="127"/>
        <v>0</v>
      </c>
      <c r="O1018" s="905"/>
      <c r="Q1018" s="317" t="str">
        <f t="shared" si="124"/>
        <v/>
      </c>
      <c r="R1018" s="317" t="str">
        <f t="shared" si="125"/>
        <v/>
      </c>
      <c r="S1018" s="317" t="str">
        <f t="shared" si="126"/>
        <v/>
      </c>
      <c r="T1018" s="317" t="str">
        <f>GLOBAL_DER_FEV_2023!S1018</f>
        <v/>
      </c>
      <c r="W1018" s="582">
        <v>0</v>
      </c>
      <c r="X1018" s="580"/>
      <c r="Y1018" s="583">
        <f>IF(GLOBAL_DER_FEV_2023!W1018=0,0,IF(GLOBAL_DER_FEV_2023!W1018&gt;0,"c","b"))</f>
        <v>0</v>
      </c>
    </row>
    <row r="1019" spans="1:25" ht="33.75" x14ac:dyDescent="0.2">
      <c r="A1019" s="317">
        <v>101533</v>
      </c>
      <c r="B1019" s="895">
        <v>101533</v>
      </c>
      <c r="C1019" s="896" t="s">
        <v>596</v>
      </c>
      <c r="D1019" s="906" t="s">
        <v>946</v>
      </c>
      <c r="E1019" s="907">
        <f>GLOBAL_DER_FEV_2023!E1019</f>
        <v>0</v>
      </c>
      <c r="F1019" s="908">
        <f>GLOBAL_DER_FEV_2023!F1019</f>
        <v>0</v>
      </c>
      <c r="G1019" s="912">
        <f>GLOBAL_DER_FEV_2023!G1019</f>
        <v>0</v>
      </c>
      <c r="H1019" s="901">
        <f>GLOBAL_DER_FEV_2023!H1019</f>
        <v>1385.59</v>
      </c>
      <c r="I1019" s="901">
        <f>GLOBAL_DER_FEV_2023!I1019</f>
        <v>1385.59</v>
      </c>
      <c r="J1019" s="902">
        <f>GLOBAL_DER_FEV_2023!J1019</f>
        <v>1663.68</v>
      </c>
      <c r="K1019" s="903" t="s">
        <v>1516</v>
      </c>
      <c r="L1019" s="1137"/>
      <c r="M1019" s="1138">
        <f t="shared" si="123"/>
        <v>0</v>
      </c>
      <c r="N1019" s="893">
        <f t="shared" si="127"/>
        <v>0</v>
      </c>
      <c r="O1019" s="905"/>
      <c r="Q1019" s="317" t="str">
        <f t="shared" si="124"/>
        <v/>
      </c>
      <c r="R1019" s="317" t="str">
        <f t="shared" si="125"/>
        <v/>
      </c>
      <c r="S1019" s="317" t="str">
        <f t="shared" si="126"/>
        <v/>
      </c>
      <c r="T1019" s="317" t="str">
        <f>GLOBAL_DER_FEV_2023!S1019</f>
        <v/>
      </c>
      <c r="W1019" s="582">
        <v>0</v>
      </c>
      <c r="X1019" s="580"/>
      <c r="Y1019" s="583">
        <f>IF(GLOBAL_DER_FEV_2023!W1019=0,0,IF(GLOBAL_DER_FEV_2023!W1019&gt;0,"c","b"))</f>
        <v>0</v>
      </c>
    </row>
    <row r="1020" spans="1:25" ht="33.75" x14ac:dyDescent="0.2">
      <c r="A1020" s="317">
        <v>101534</v>
      </c>
      <c r="B1020" s="895">
        <v>101534</v>
      </c>
      <c r="C1020" s="896" t="s">
        <v>596</v>
      </c>
      <c r="D1020" s="906" t="s">
        <v>947</v>
      </c>
      <c r="E1020" s="907">
        <f>GLOBAL_DER_FEV_2023!E1020</f>
        <v>0</v>
      </c>
      <c r="F1020" s="908">
        <f>GLOBAL_DER_FEV_2023!F1020</f>
        <v>0</v>
      </c>
      <c r="G1020" s="912">
        <f>GLOBAL_DER_FEV_2023!G1020</f>
        <v>0</v>
      </c>
      <c r="H1020" s="901">
        <f>GLOBAL_DER_FEV_2023!H1020</f>
        <v>1621.08</v>
      </c>
      <c r="I1020" s="901">
        <f>GLOBAL_DER_FEV_2023!I1020</f>
        <v>1621.08</v>
      </c>
      <c r="J1020" s="902">
        <f>GLOBAL_DER_FEV_2023!J1020</f>
        <v>1946.43</v>
      </c>
      <c r="K1020" s="903" t="s">
        <v>1516</v>
      </c>
      <c r="L1020" s="1137"/>
      <c r="M1020" s="1138">
        <f t="shared" si="123"/>
        <v>0</v>
      </c>
      <c r="N1020" s="893">
        <f t="shared" si="127"/>
        <v>0</v>
      </c>
      <c r="O1020" s="905"/>
      <c r="Q1020" s="317" t="str">
        <f t="shared" si="124"/>
        <v/>
      </c>
      <c r="R1020" s="317" t="str">
        <f t="shared" si="125"/>
        <v/>
      </c>
      <c r="S1020" s="317" t="str">
        <f t="shared" si="126"/>
        <v/>
      </c>
      <c r="T1020" s="317" t="str">
        <f>GLOBAL_DER_FEV_2023!S1020</f>
        <v/>
      </c>
      <c r="W1020" s="582">
        <v>0</v>
      </c>
      <c r="X1020" s="580"/>
      <c r="Y1020" s="583">
        <f>IF(GLOBAL_DER_FEV_2023!W1020=0,0,IF(GLOBAL_DER_FEV_2023!W1020&gt;0,"c","b"))</f>
        <v>0</v>
      </c>
    </row>
    <row r="1021" spans="1:25" ht="33.75" x14ac:dyDescent="0.2">
      <c r="A1021" s="317">
        <v>101535</v>
      </c>
      <c r="B1021" s="895">
        <v>101535</v>
      </c>
      <c r="C1021" s="896" t="s">
        <v>596</v>
      </c>
      <c r="D1021" s="906" t="s">
        <v>948</v>
      </c>
      <c r="E1021" s="907">
        <f>GLOBAL_DER_FEV_2023!E1021</f>
        <v>0</v>
      </c>
      <c r="F1021" s="908">
        <f>GLOBAL_DER_FEV_2023!F1021</f>
        <v>0</v>
      </c>
      <c r="G1021" s="912">
        <f>GLOBAL_DER_FEV_2023!G1021</f>
        <v>0</v>
      </c>
      <c r="H1021" s="901">
        <f>GLOBAL_DER_FEV_2023!H1021</f>
        <v>1687.34</v>
      </c>
      <c r="I1021" s="901">
        <f>GLOBAL_DER_FEV_2023!I1021</f>
        <v>1687.34</v>
      </c>
      <c r="J1021" s="902">
        <f>GLOBAL_DER_FEV_2023!J1021</f>
        <v>2025.99</v>
      </c>
      <c r="K1021" s="903" t="s">
        <v>1516</v>
      </c>
      <c r="L1021" s="1137"/>
      <c r="M1021" s="1138">
        <f t="shared" si="123"/>
        <v>0</v>
      </c>
      <c r="N1021" s="893">
        <f t="shared" si="127"/>
        <v>0</v>
      </c>
      <c r="O1021" s="905"/>
      <c r="Q1021" s="317" t="str">
        <f t="shared" si="124"/>
        <v/>
      </c>
      <c r="R1021" s="317" t="str">
        <f t="shared" si="125"/>
        <v/>
      </c>
      <c r="S1021" s="317" t="str">
        <f t="shared" si="126"/>
        <v/>
      </c>
      <c r="T1021" s="317" t="str">
        <f>GLOBAL_DER_FEV_2023!S1021</f>
        <v/>
      </c>
      <c r="W1021" s="582">
        <v>0</v>
      </c>
      <c r="X1021" s="580"/>
      <c r="Y1021" s="583">
        <f>IF(GLOBAL_DER_FEV_2023!W1021=0,0,IF(GLOBAL_DER_FEV_2023!W1021&gt;0,"c","b"))</f>
        <v>0</v>
      </c>
    </row>
    <row r="1022" spans="1:25" ht="33.75" x14ac:dyDescent="0.2">
      <c r="A1022" s="317">
        <v>101536</v>
      </c>
      <c r="B1022" s="895">
        <v>101536</v>
      </c>
      <c r="C1022" s="896" t="s">
        <v>596</v>
      </c>
      <c r="D1022" s="906" t="s">
        <v>949</v>
      </c>
      <c r="E1022" s="907">
        <f>GLOBAL_DER_FEV_2023!E1022</f>
        <v>0</v>
      </c>
      <c r="F1022" s="908">
        <f>GLOBAL_DER_FEV_2023!F1022</f>
        <v>0</v>
      </c>
      <c r="G1022" s="912">
        <f>GLOBAL_DER_FEV_2023!G1022</f>
        <v>0</v>
      </c>
      <c r="H1022" s="901">
        <f>GLOBAL_DER_FEV_2023!H1022</f>
        <v>1959.26</v>
      </c>
      <c r="I1022" s="901">
        <f>GLOBAL_DER_FEV_2023!I1022</f>
        <v>1959.26</v>
      </c>
      <c r="J1022" s="902">
        <f>GLOBAL_DER_FEV_2023!J1022</f>
        <v>2352.48</v>
      </c>
      <c r="K1022" s="903" t="s">
        <v>1516</v>
      </c>
      <c r="L1022" s="1137"/>
      <c r="M1022" s="1138">
        <f t="shared" si="123"/>
        <v>0</v>
      </c>
      <c r="N1022" s="893">
        <f t="shared" si="127"/>
        <v>0</v>
      </c>
      <c r="O1022" s="905"/>
      <c r="Q1022" s="317" t="str">
        <f t="shared" si="124"/>
        <v/>
      </c>
      <c r="R1022" s="317" t="str">
        <f t="shared" si="125"/>
        <v/>
      </c>
      <c r="S1022" s="317" t="str">
        <f t="shared" si="126"/>
        <v/>
      </c>
      <c r="T1022" s="317" t="str">
        <f>GLOBAL_DER_FEV_2023!S1022</f>
        <v/>
      </c>
      <c r="W1022" s="582">
        <v>0</v>
      </c>
      <c r="X1022" s="580"/>
      <c r="Y1022" s="583">
        <f>IF(GLOBAL_DER_FEV_2023!W1022=0,0,IF(GLOBAL_DER_FEV_2023!W1022&gt;0,"c","b"))</f>
        <v>0</v>
      </c>
    </row>
    <row r="1023" spans="1:25" ht="35.1" customHeight="1" x14ac:dyDescent="0.2">
      <c r="A1023" s="317" t="s">
        <v>950</v>
      </c>
      <c r="B1023" s="895" t="str">
        <f>GLOBAL_DER_FEV_2023!B1023</f>
        <v>16.105.000030.SER</v>
      </c>
      <c r="C1023" s="896" t="str">
        <f>GLOBAL_DER_FEV_2023!C1023</f>
        <v>PINI - fev/23</v>
      </c>
      <c r="D1023" s="906" t="str">
        <f>GLOBAL_DER_FEV_2023!D1023</f>
        <v>ENTRADA DE ENERGIA ELÉTRICA, SUBTERRÂNEA, TRIFÁSICA, COM CAIXA DE EMBUTIR, CABO DE 16 MM2 E DISJUNTOR DIN 50A (NÃO INCLUSA MURETA DE ALVENARIA). AF_07/2020</v>
      </c>
      <c r="E1023" s="907">
        <f>GLOBAL_DER_FEV_2023!E1023</f>
        <v>0</v>
      </c>
      <c r="F1023" s="908">
        <f>GLOBAL_DER_FEV_2023!F1023</f>
        <v>0</v>
      </c>
      <c r="G1023" s="912">
        <f>GLOBAL_DER_FEV_2023!G1023</f>
        <v>0</v>
      </c>
      <c r="H1023" s="901">
        <f>GLOBAL_DER_FEV_2023!H1023</f>
        <v>1885.87</v>
      </c>
      <c r="I1023" s="901">
        <f>GLOBAL_DER_FEV_2023!I1023</f>
        <v>1885.87</v>
      </c>
      <c r="J1023" s="902">
        <f>GLOBAL_DER_FEV_2023!J1023</f>
        <v>2264.36</v>
      </c>
      <c r="K1023" s="903" t="s">
        <v>1516</v>
      </c>
      <c r="L1023" s="1137"/>
      <c r="M1023" s="1138">
        <f t="shared" si="123"/>
        <v>0</v>
      </c>
      <c r="N1023" s="893">
        <f t="shared" si="127"/>
        <v>0</v>
      </c>
      <c r="O1023" s="905"/>
      <c r="Q1023" s="317" t="str">
        <f t="shared" si="124"/>
        <v/>
      </c>
      <c r="R1023" s="317" t="str">
        <f t="shared" si="125"/>
        <v/>
      </c>
      <c r="S1023" s="317" t="str">
        <f t="shared" si="126"/>
        <v/>
      </c>
      <c r="T1023" s="317" t="str">
        <f>GLOBAL_DER_FEV_2023!S1023</f>
        <v/>
      </c>
      <c r="W1023" s="582">
        <v>0</v>
      </c>
      <c r="X1023" s="580"/>
      <c r="Y1023" s="583">
        <f>IF(GLOBAL_DER_FEV_2023!W1023=0,0,IF(GLOBAL_DER_FEV_2023!W1023&gt;0,"c","b"))</f>
        <v>0</v>
      </c>
    </row>
    <row r="1024" spans="1:25" ht="35.1" customHeight="1" x14ac:dyDescent="0.2">
      <c r="A1024" s="317" t="s">
        <v>951</v>
      </c>
      <c r="B1024" s="895" t="str">
        <f>GLOBAL_DER_FEV_2023!B1024</f>
        <v>16.105.000031.SER</v>
      </c>
      <c r="C1024" s="896" t="str">
        <f>GLOBAL_DER_FEV_2023!C1024</f>
        <v>PINI - fev/23</v>
      </c>
      <c r="D1024" s="906" t="str">
        <f>GLOBAL_DER_FEV_2023!D1024</f>
        <v>ENTRADA DE ENERGIA ELÉTRICA, SUBTERRÂNEA, TRIFÁSICA, COM CAIXA DE EMBUTIR, CABO DE 25 MM2 E DISJUNTOR DIN 50A (NÃO INCLUSA MURETA DE ALVENARIA). AF_07/2020</v>
      </c>
      <c r="E1024" s="907">
        <f>GLOBAL_DER_FEV_2023!E1024</f>
        <v>0</v>
      </c>
      <c r="F1024" s="908">
        <f>GLOBAL_DER_FEV_2023!F1024</f>
        <v>0</v>
      </c>
      <c r="G1024" s="912">
        <f>GLOBAL_DER_FEV_2023!G1024</f>
        <v>0</v>
      </c>
      <c r="H1024" s="901">
        <f>GLOBAL_DER_FEV_2023!H1024</f>
        <v>2069.96</v>
      </c>
      <c r="I1024" s="901">
        <f>GLOBAL_DER_FEV_2023!I1024</f>
        <v>2069.96</v>
      </c>
      <c r="J1024" s="902">
        <f>GLOBAL_DER_FEV_2023!J1024</f>
        <v>2485.4</v>
      </c>
      <c r="K1024" s="903" t="s">
        <v>1516</v>
      </c>
      <c r="L1024" s="1137"/>
      <c r="M1024" s="1138">
        <f t="shared" si="123"/>
        <v>0</v>
      </c>
      <c r="N1024" s="893">
        <f t="shared" si="127"/>
        <v>0</v>
      </c>
      <c r="O1024" s="905"/>
      <c r="Q1024" s="317" t="str">
        <f t="shared" si="124"/>
        <v/>
      </c>
      <c r="R1024" s="317" t="str">
        <f t="shared" si="125"/>
        <v/>
      </c>
      <c r="S1024" s="317" t="str">
        <f t="shared" si="126"/>
        <v/>
      </c>
      <c r="T1024" s="317" t="str">
        <f>GLOBAL_DER_FEV_2023!S1024</f>
        <v/>
      </c>
      <c r="W1024" s="582">
        <v>0</v>
      </c>
      <c r="X1024" s="580"/>
      <c r="Y1024" s="583">
        <f>IF(GLOBAL_DER_FEV_2023!W1024=0,0,IF(GLOBAL_DER_FEV_2023!W1024&gt;0,"c","b"))</f>
        <v>0</v>
      </c>
    </row>
    <row r="1025" spans="1:25" ht="35.1" customHeight="1" x14ac:dyDescent="0.2">
      <c r="A1025" s="317" t="s">
        <v>952</v>
      </c>
      <c r="B1025" s="895" t="str">
        <f>GLOBAL_DER_FEV_2023!B1025</f>
        <v>16.105.000032.SER</v>
      </c>
      <c r="C1025" s="896" t="str">
        <f>GLOBAL_DER_FEV_2023!C1025</f>
        <v>PINI - fev/23</v>
      </c>
      <c r="D1025" s="906" t="str">
        <f>GLOBAL_DER_FEV_2023!D1025</f>
        <v>ENTRADA DE ENERGIA ELÉTRICA, SUBTERRÂNEA, TRIFÁSICA, COM CAIXA DE EMBUTIR, CABO DE 35 MM2 E DISJUNTOR DIN 50A (NÃO INCLUSA MURETA DE ALVENARIA). AF_07/2020</v>
      </c>
      <c r="E1025" s="907">
        <f>GLOBAL_DER_FEV_2023!E1025</f>
        <v>0</v>
      </c>
      <c r="F1025" s="908">
        <f>GLOBAL_DER_FEV_2023!F1025</f>
        <v>0</v>
      </c>
      <c r="G1025" s="912">
        <f>GLOBAL_DER_FEV_2023!G1025</f>
        <v>0</v>
      </c>
      <c r="H1025" s="901">
        <f>GLOBAL_DER_FEV_2023!H1025</f>
        <v>2505.64</v>
      </c>
      <c r="I1025" s="901">
        <f>GLOBAL_DER_FEV_2023!I1025</f>
        <v>2505.64</v>
      </c>
      <c r="J1025" s="902">
        <f>GLOBAL_DER_FEV_2023!J1025</f>
        <v>3008.52</v>
      </c>
      <c r="K1025" s="903" t="s">
        <v>1516</v>
      </c>
      <c r="L1025" s="1137"/>
      <c r="M1025" s="1138">
        <f t="shared" si="123"/>
        <v>0</v>
      </c>
      <c r="N1025" s="893">
        <f t="shared" si="127"/>
        <v>0</v>
      </c>
      <c r="O1025" s="905"/>
      <c r="Q1025" s="317" t="str">
        <f t="shared" si="124"/>
        <v/>
      </c>
      <c r="R1025" s="317" t="str">
        <f t="shared" si="125"/>
        <v/>
      </c>
      <c r="S1025" s="317" t="str">
        <f t="shared" si="126"/>
        <v/>
      </c>
      <c r="T1025" s="317" t="str">
        <f>GLOBAL_DER_FEV_2023!S1025</f>
        <v/>
      </c>
      <c r="W1025" s="582">
        <v>0</v>
      </c>
      <c r="X1025" s="580"/>
      <c r="Y1025" s="583">
        <f>IF(GLOBAL_DER_FEV_2023!W1025=0,0,IF(GLOBAL_DER_FEV_2023!W1025&gt;0,"c","b"))</f>
        <v>0</v>
      </c>
    </row>
    <row r="1026" spans="1:25" x14ac:dyDescent="0.2">
      <c r="A1026" s="317" t="s">
        <v>953</v>
      </c>
      <c r="B1026" s="895" t="str">
        <f>GLOBAL_DER_FEV_2023!B1026</f>
        <v>16.105.000033.SER</v>
      </c>
      <c r="C1026" s="896" t="str">
        <f>GLOBAL_DER_FEV_2023!C1026</f>
        <v>PINI - fev/23</v>
      </c>
      <c r="D1026" s="906" t="str">
        <f>GLOBAL_DER_FEV_2023!D1026</f>
        <v>Entrada de energia em poste próprio da edificação com potência instalada de 15 a 20 KW</v>
      </c>
      <c r="E1026" s="907">
        <f>GLOBAL_DER_FEV_2023!E1026</f>
        <v>0</v>
      </c>
      <c r="F1026" s="908">
        <f>GLOBAL_DER_FEV_2023!F1026</f>
        <v>0</v>
      </c>
      <c r="G1026" s="912">
        <f>GLOBAL_DER_FEV_2023!G1026</f>
        <v>0</v>
      </c>
      <c r="H1026" s="901">
        <f>GLOBAL_DER_FEV_2023!H1026</f>
        <v>2829.71</v>
      </c>
      <c r="I1026" s="901">
        <f>GLOBAL_DER_FEV_2023!I1026</f>
        <v>2829.71</v>
      </c>
      <c r="J1026" s="902">
        <f>GLOBAL_DER_FEV_2023!J1026</f>
        <v>3397.63</v>
      </c>
      <c r="K1026" s="903" t="s">
        <v>1516</v>
      </c>
      <c r="L1026" s="1137"/>
      <c r="M1026" s="1138">
        <f t="shared" si="123"/>
        <v>0</v>
      </c>
      <c r="N1026" s="893">
        <f t="shared" si="127"/>
        <v>0</v>
      </c>
      <c r="O1026" s="905"/>
      <c r="Q1026" s="317" t="str">
        <f t="shared" si="124"/>
        <v/>
      </c>
      <c r="R1026" s="317" t="str">
        <f t="shared" si="125"/>
        <v/>
      </c>
      <c r="S1026" s="317" t="str">
        <f t="shared" si="126"/>
        <v/>
      </c>
      <c r="T1026" s="317" t="str">
        <f>GLOBAL_DER_FEV_2023!S1026</f>
        <v/>
      </c>
      <c r="W1026" s="582">
        <v>0</v>
      </c>
      <c r="X1026" s="580"/>
      <c r="Y1026" s="583">
        <f>IF(GLOBAL_DER_FEV_2023!W1026=0,0,IF(GLOBAL_DER_FEV_2023!W1026&gt;0,"c","b"))</f>
        <v>0</v>
      </c>
    </row>
    <row r="1027" spans="1:25" x14ac:dyDescent="0.2">
      <c r="A1027" s="317" t="s">
        <v>955</v>
      </c>
      <c r="B1027" s="895" t="str">
        <f>GLOBAL_DER_FEV_2023!B1027</f>
        <v>16.105.000034.SER</v>
      </c>
      <c r="C1027" s="896" t="str">
        <f>GLOBAL_DER_FEV_2023!C1027</f>
        <v>PINI - fev/23</v>
      </c>
      <c r="D1027" s="906" t="str">
        <f>GLOBAL_DER_FEV_2023!D1027</f>
        <v>Entrada de energia em poste próprio da edificação com potência instalada de 20 a 25 KW</v>
      </c>
      <c r="E1027" s="907">
        <f>GLOBAL_DER_FEV_2023!E1027</f>
        <v>0</v>
      </c>
      <c r="F1027" s="908">
        <f>GLOBAL_DER_FEV_2023!F1027</f>
        <v>0</v>
      </c>
      <c r="G1027" s="912">
        <f>GLOBAL_DER_FEV_2023!G1027</f>
        <v>0</v>
      </c>
      <c r="H1027" s="901">
        <f>GLOBAL_DER_FEV_2023!H1027</f>
        <v>4324.09</v>
      </c>
      <c r="I1027" s="901">
        <f>GLOBAL_DER_FEV_2023!I1027</f>
        <v>4324.09</v>
      </c>
      <c r="J1027" s="902">
        <f>GLOBAL_DER_FEV_2023!J1027</f>
        <v>5191.93</v>
      </c>
      <c r="K1027" s="903" t="s">
        <v>1516</v>
      </c>
      <c r="L1027" s="1137"/>
      <c r="M1027" s="1138">
        <f t="shared" si="123"/>
        <v>0</v>
      </c>
      <c r="N1027" s="893">
        <f t="shared" si="127"/>
        <v>0</v>
      </c>
      <c r="O1027" s="905"/>
      <c r="Q1027" s="317" t="str">
        <f t="shared" si="124"/>
        <v/>
      </c>
      <c r="R1027" s="317" t="str">
        <f t="shared" si="125"/>
        <v/>
      </c>
      <c r="S1027" s="317" t="str">
        <f t="shared" si="126"/>
        <v/>
      </c>
      <c r="T1027" s="317" t="str">
        <f>GLOBAL_DER_FEV_2023!S1027</f>
        <v/>
      </c>
      <c r="W1027" s="582">
        <v>0</v>
      </c>
      <c r="X1027" s="580"/>
      <c r="Y1027" s="583">
        <f>IF(GLOBAL_DER_FEV_2023!W1027=0,0,IF(GLOBAL_DER_FEV_2023!W1027&gt;0,"c","b"))</f>
        <v>0</v>
      </c>
    </row>
    <row r="1028" spans="1:25" x14ac:dyDescent="0.2">
      <c r="A1028" s="317" t="s">
        <v>957</v>
      </c>
      <c r="B1028" s="895" t="str">
        <f>GLOBAL_DER_FEV_2023!B1028</f>
        <v>16.105.000035.SER</v>
      </c>
      <c r="C1028" s="896" t="str">
        <f>GLOBAL_DER_FEV_2023!C1028</f>
        <v>PINI - fev/23</v>
      </c>
      <c r="D1028" s="906" t="str">
        <f>GLOBAL_DER_FEV_2023!D1028</f>
        <v>Entrada de energia em poste próprio da edificação com potência instalada de 25 a 30 KW</v>
      </c>
      <c r="E1028" s="907">
        <f>GLOBAL_DER_FEV_2023!E1028</f>
        <v>0</v>
      </c>
      <c r="F1028" s="908">
        <f>GLOBAL_DER_FEV_2023!F1028</f>
        <v>0</v>
      </c>
      <c r="G1028" s="912">
        <f>GLOBAL_DER_FEV_2023!G1028</f>
        <v>0</v>
      </c>
      <c r="H1028" s="901">
        <f>GLOBAL_DER_FEV_2023!H1028</f>
        <v>5277.61</v>
      </c>
      <c r="I1028" s="901">
        <f>GLOBAL_DER_FEV_2023!I1028</f>
        <v>5277.61</v>
      </c>
      <c r="J1028" s="902">
        <f>GLOBAL_DER_FEV_2023!J1028</f>
        <v>6336.83</v>
      </c>
      <c r="K1028" s="903" t="s">
        <v>1516</v>
      </c>
      <c r="L1028" s="1137"/>
      <c r="M1028" s="1138">
        <f t="shared" si="123"/>
        <v>0</v>
      </c>
      <c r="N1028" s="893">
        <f t="shared" si="127"/>
        <v>0</v>
      </c>
      <c r="O1028" s="905"/>
      <c r="Q1028" s="317" t="str">
        <f t="shared" si="124"/>
        <v/>
      </c>
      <c r="R1028" s="317" t="str">
        <f t="shared" si="125"/>
        <v/>
      </c>
      <c r="S1028" s="317" t="str">
        <f t="shared" si="126"/>
        <v/>
      </c>
      <c r="T1028" s="317" t="str">
        <f>GLOBAL_DER_FEV_2023!S1028</f>
        <v/>
      </c>
      <c r="W1028" s="582">
        <v>0</v>
      </c>
      <c r="X1028" s="580"/>
      <c r="Y1028" s="583">
        <f>IF(GLOBAL_DER_FEV_2023!W1028=0,0,IF(GLOBAL_DER_FEV_2023!W1028&gt;0,"c","b"))</f>
        <v>0</v>
      </c>
    </row>
    <row r="1029" spans="1:25" ht="22.5" x14ac:dyDescent="0.2">
      <c r="A1029" s="317">
        <v>96984</v>
      </c>
      <c r="B1029" s="895">
        <v>96984</v>
      </c>
      <c r="C1029" s="896" t="s">
        <v>596</v>
      </c>
      <c r="D1029" s="906" t="s">
        <v>959</v>
      </c>
      <c r="E1029" s="907">
        <f>GLOBAL_DER_FEV_2023!E1029</f>
        <v>0</v>
      </c>
      <c r="F1029" s="908">
        <f>GLOBAL_DER_FEV_2023!F1029</f>
        <v>0</v>
      </c>
      <c r="G1029" s="912">
        <f>GLOBAL_DER_FEV_2023!G1029</f>
        <v>0</v>
      </c>
      <c r="H1029" s="901">
        <f>GLOBAL_DER_FEV_2023!H1029</f>
        <v>77.59</v>
      </c>
      <c r="I1029" s="901">
        <f>GLOBAL_DER_FEV_2023!I1029</f>
        <v>77.59</v>
      </c>
      <c r="J1029" s="902">
        <f>GLOBAL_DER_FEV_2023!J1029</f>
        <v>93.16</v>
      </c>
      <c r="K1029" s="903" t="s">
        <v>1516</v>
      </c>
      <c r="L1029" s="1137"/>
      <c r="M1029" s="1138">
        <f t="shared" si="123"/>
        <v>0</v>
      </c>
      <c r="N1029" s="893">
        <f t="shared" si="127"/>
        <v>0</v>
      </c>
      <c r="O1029" s="905"/>
      <c r="Q1029" s="317" t="str">
        <f t="shared" si="124"/>
        <v/>
      </c>
      <c r="R1029" s="317" t="str">
        <f t="shared" si="125"/>
        <v/>
      </c>
      <c r="S1029" s="317" t="str">
        <f t="shared" si="126"/>
        <v/>
      </c>
      <c r="T1029" s="317" t="str">
        <f>GLOBAL_DER_FEV_2023!S1029</f>
        <v/>
      </c>
      <c r="W1029" s="582">
        <v>0</v>
      </c>
      <c r="X1029" s="580"/>
      <c r="Y1029" s="583">
        <f>IF(GLOBAL_DER_FEV_2023!W1029=0,0,IF(GLOBAL_DER_FEV_2023!W1029&gt;0,"c","b"))</f>
        <v>0</v>
      </c>
    </row>
    <row r="1030" spans="1:25" ht="22.5" x14ac:dyDescent="0.2">
      <c r="A1030" s="317">
        <v>91831</v>
      </c>
      <c r="B1030" s="895">
        <v>91831</v>
      </c>
      <c r="C1030" s="896" t="s">
        <v>596</v>
      </c>
      <c r="D1030" s="906" t="s">
        <v>960</v>
      </c>
      <c r="E1030" s="907">
        <f>GLOBAL_DER_FEV_2023!E1030</f>
        <v>0</v>
      </c>
      <c r="F1030" s="908">
        <f>GLOBAL_DER_FEV_2023!F1030</f>
        <v>0</v>
      </c>
      <c r="G1030" s="912">
        <f>GLOBAL_DER_FEV_2023!G1030</f>
        <v>0</v>
      </c>
      <c r="H1030" s="901">
        <f>GLOBAL_DER_FEV_2023!H1030</f>
        <v>10.69</v>
      </c>
      <c r="I1030" s="901">
        <f>GLOBAL_DER_FEV_2023!I1030</f>
        <v>10.69</v>
      </c>
      <c r="J1030" s="902">
        <f>GLOBAL_DER_FEV_2023!J1030</f>
        <v>12.84</v>
      </c>
      <c r="K1030" s="903" t="s">
        <v>62</v>
      </c>
      <c r="L1030" s="1137"/>
      <c r="M1030" s="1138">
        <f t="shared" ref="M1030:M1093" si="128">IF(L1030=0,0,ROUND(J1030,2))</f>
        <v>0</v>
      </c>
      <c r="N1030" s="893">
        <f t="shared" si="127"/>
        <v>0</v>
      </c>
      <c r="O1030" s="905"/>
      <c r="Q1030" s="317" t="str">
        <f t="shared" si="124"/>
        <v/>
      </c>
      <c r="R1030" s="317" t="str">
        <f t="shared" si="125"/>
        <v/>
      </c>
      <c r="S1030" s="317" t="str">
        <f t="shared" si="126"/>
        <v/>
      </c>
      <c r="T1030" s="317" t="str">
        <f>GLOBAL_DER_FEV_2023!S1030</f>
        <v/>
      </c>
      <c r="W1030" s="582">
        <v>0</v>
      </c>
      <c r="X1030" s="580"/>
      <c r="Y1030" s="583">
        <f>IF(GLOBAL_DER_FEV_2023!W1030=0,0,IF(GLOBAL_DER_FEV_2023!W1030&gt;0,"c","b"))</f>
        <v>0</v>
      </c>
    </row>
    <row r="1031" spans="1:25" ht="22.5" x14ac:dyDescent="0.2">
      <c r="A1031" s="317">
        <v>91834</v>
      </c>
      <c r="B1031" s="895">
        <v>91834</v>
      </c>
      <c r="C1031" s="896" t="s">
        <v>596</v>
      </c>
      <c r="D1031" s="906" t="s">
        <v>961</v>
      </c>
      <c r="E1031" s="907">
        <f>GLOBAL_DER_FEV_2023!E1031</f>
        <v>0</v>
      </c>
      <c r="F1031" s="908">
        <f>GLOBAL_DER_FEV_2023!F1031</f>
        <v>0</v>
      </c>
      <c r="G1031" s="912">
        <f>GLOBAL_DER_FEV_2023!G1031</f>
        <v>0</v>
      </c>
      <c r="H1031" s="901">
        <f>GLOBAL_DER_FEV_2023!H1031</f>
        <v>11.9</v>
      </c>
      <c r="I1031" s="901">
        <f>GLOBAL_DER_FEV_2023!I1031</f>
        <v>11.9</v>
      </c>
      <c r="J1031" s="902">
        <f>GLOBAL_DER_FEV_2023!J1031</f>
        <v>14.29</v>
      </c>
      <c r="K1031" s="903" t="s">
        <v>62</v>
      </c>
      <c r="L1031" s="1137"/>
      <c r="M1031" s="1138">
        <f t="shared" si="128"/>
        <v>0</v>
      </c>
      <c r="N1031" s="893">
        <f t="shared" si="127"/>
        <v>0</v>
      </c>
      <c r="O1031" s="905"/>
      <c r="Q1031" s="317" t="str">
        <f t="shared" si="124"/>
        <v/>
      </c>
      <c r="R1031" s="317" t="str">
        <f t="shared" si="125"/>
        <v/>
      </c>
      <c r="S1031" s="317" t="str">
        <f t="shared" si="126"/>
        <v/>
      </c>
      <c r="T1031" s="317" t="str">
        <f>GLOBAL_DER_FEV_2023!S1031</f>
        <v/>
      </c>
      <c r="W1031" s="582">
        <v>0</v>
      </c>
      <c r="X1031" s="580"/>
      <c r="Y1031" s="583">
        <f>IF(GLOBAL_DER_FEV_2023!W1031=0,0,IF(GLOBAL_DER_FEV_2023!W1031&gt;0,"c","b"))</f>
        <v>0</v>
      </c>
    </row>
    <row r="1032" spans="1:25" ht="22.5" x14ac:dyDescent="0.2">
      <c r="A1032" s="317">
        <v>91836</v>
      </c>
      <c r="B1032" s="895">
        <v>91836</v>
      </c>
      <c r="C1032" s="896" t="s">
        <v>596</v>
      </c>
      <c r="D1032" s="906" t="s">
        <v>962</v>
      </c>
      <c r="E1032" s="907">
        <f>GLOBAL_DER_FEV_2023!E1032</f>
        <v>0</v>
      </c>
      <c r="F1032" s="908">
        <f>GLOBAL_DER_FEV_2023!F1032</f>
        <v>0</v>
      </c>
      <c r="G1032" s="912">
        <f>GLOBAL_DER_FEV_2023!G1032</f>
        <v>0</v>
      </c>
      <c r="H1032" s="901">
        <f>GLOBAL_DER_FEV_2023!H1032</f>
        <v>15.96</v>
      </c>
      <c r="I1032" s="901">
        <f>GLOBAL_DER_FEV_2023!I1032</f>
        <v>15.96</v>
      </c>
      <c r="J1032" s="902">
        <f>GLOBAL_DER_FEV_2023!J1032</f>
        <v>19.16</v>
      </c>
      <c r="K1032" s="903" t="s">
        <v>62</v>
      </c>
      <c r="L1032" s="1137"/>
      <c r="M1032" s="1138">
        <f t="shared" si="128"/>
        <v>0</v>
      </c>
      <c r="N1032" s="893">
        <f t="shared" si="127"/>
        <v>0</v>
      </c>
      <c r="O1032" s="905"/>
      <c r="Q1032" s="317" t="str">
        <f t="shared" si="124"/>
        <v/>
      </c>
      <c r="R1032" s="317" t="str">
        <f t="shared" si="125"/>
        <v/>
      </c>
      <c r="S1032" s="317" t="str">
        <f t="shared" si="126"/>
        <v/>
      </c>
      <c r="T1032" s="317" t="str">
        <f>GLOBAL_DER_FEV_2023!S1032</f>
        <v/>
      </c>
      <c r="W1032" s="582">
        <v>0</v>
      </c>
      <c r="X1032" s="580"/>
      <c r="Y1032" s="583">
        <f>IF(GLOBAL_DER_FEV_2023!W1032=0,0,IF(GLOBAL_DER_FEV_2023!W1032&gt;0,"c","b"))</f>
        <v>0</v>
      </c>
    </row>
    <row r="1033" spans="1:25" ht="22.5" x14ac:dyDescent="0.2">
      <c r="A1033" s="317">
        <v>91842</v>
      </c>
      <c r="B1033" s="895">
        <v>91842</v>
      </c>
      <c r="C1033" s="896" t="s">
        <v>596</v>
      </c>
      <c r="D1033" s="906" t="s">
        <v>963</v>
      </c>
      <c r="E1033" s="907">
        <f>GLOBAL_DER_FEV_2023!E1033</f>
        <v>0</v>
      </c>
      <c r="F1033" s="908">
        <f>GLOBAL_DER_FEV_2023!F1033</f>
        <v>0</v>
      </c>
      <c r="G1033" s="912">
        <f>GLOBAL_DER_FEV_2023!G1033</f>
        <v>0</v>
      </c>
      <c r="H1033" s="901">
        <f>GLOBAL_DER_FEV_2023!H1033</f>
        <v>8.0500000000000007</v>
      </c>
      <c r="I1033" s="901">
        <f>GLOBAL_DER_FEV_2023!I1033</f>
        <v>8.0500000000000007</v>
      </c>
      <c r="J1033" s="902">
        <f>GLOBAL_DER_FEV_2023!J1033</f>
        <v>9.67</v>
      </c>
      <c r="K1033" s="903" t="s">
        <v>62</v>
      </c>
      <c r="L1033" s="1137"/>
      <c r="M1033" s="1138">
        <f t="shared" si="128"/>
        <v>0</v>
      </c>
      <c r="N1033" s="893">
        <f t="shared" si="127"/>
        <v>0</v>
      </c>
      <c r="O1033" s="905"/>
      <c r="Q1033" s="317" t="str">
        <f t="shared" si="124"/>
        <v/>
      </c>
      <c r="R1033" s="317" t="str">
        <f t="shared" si="125"/>
        <v/>
      </c>
      <c r="S1033" s="317" t="str">
        <f t="shared" si="126"/>
        <v/>
      </c>
      <c r="T1033" s="317" t="str">
        <f>GLOBAL_DER_FEV_2023!S1033</f>
        <v/>
      </c>
      <c r="W1033" s="582">
        <v>0</v>
      </c>
      <c r="X1033" s="580"/>
      <c r="Y1033" s="583">
        <f>IF(GLOBAL_DER_FEV_2023!W1033=0,0,IF(GLOBAL_DER_FEV_2023!W1033&gt;0,"c","b"))</f>
        <v>0</v>
      </c>
    </row>
    <row r="1034" spans="1:25" ht="22.5" x14ac:dyDescent="0.2">
      <c r="A1034" s="317">
        <v>91844</v>
      </c>
      <c r="B1034" s="895">
        <v>91844</v>
      </c>
      <c r="C1034" s="896" t="s">
        <v>596</v>
      </c>
      <c r="D1034" s="906" t="s">
        <v>964</v>
      </c>
      <c r="E1034" s="907">
        <f>GLOBAL_DER_FEV_2023!E1034</f>
        <v>0</v>
      </c>
      <c r="F1034" s="908">
        <f>GLOBAL_DER_FEV_2023!F1034</f>
        <v>0</v>
      </c>
      <c r="G1034" s="912">
        <f>GLOBAL_DER_FEV_2023!G1034</f>
        <v>0</v>
      </c>
      <c r="H1034" s="901">
        <f>GLOBAL_DER_FEV_2023!H1034</f>
        <v>9.26</v>
      </c>
      <c r="I1034" s="901">
        <f>GLOBAL_DER_FEV_2023!I1034</f>
        <v>9.26</v>
      </c>
      <c r="J1034" s="902">
        <f>GLOBAL_DER_FEV_2023!J1034</f>
        <v>11.12</v>
      </c>
      <c r="K1034" s="903" t="s">
        <v>62</v>
      </c>
      <c r="L1034" s="1137"/>
      <c r="M1034" s="1138">
        <f t="shared" si="128"/>
        <v>0</v>
      </c>
      <c r="N1034" s="893">
        <f t="shared" si="127"/>
        <v>0</v>
      </c>
      <c r="O1034" s="905"/>
      <c r="Q1034" s="317" t="str">
        <f t="shared" si="124"/>
        <v/>
      </c>
      <c r="R1034" s="317" t="str">
        <f t="shared" si="125"/>
        <v/>
      </c>
      <c r="S1034" s="317" t="str">
        <f t="shared" si="126"/>
        <v/>
      </c>
      <c r="T1034" s="317" t="str">
        <f>GLOBAL_DER_FEV_2023!S1034</f>
        <v/>
      </c>
      <c r="W1034" s="582">
        <v>0</v>
      </c>
      <c r="X1034" s="580"/>
      <c r="Y1034" s="583">
        <f>IF(GLOBAL_DER_FEV_2023!W1034=0,0,IF(GLOBAL_DER_FEV_2023!W1034&gt;0,"c","b"))</f>
        <v>0</v>
      </c>
    </row>
    <row r="1035" spans="1:25" ht="22.5" x14ac:dyDescent="0.2">
      <c r="A1035" s="317">
        <v>91846</v>
      </c>
      <c r="B1035" s="895">
        <v>91846</v>
      </c>
      <c r="C1035" s="896" t="s">
        <v>596</v>
      </c>
      <c r="D1035" s="906" t="s">
        <v>965</v>
      </c>
      <c r="E1035" s="907">
        <f>GLOBAL_DER_FEV_2023!E1035</f>
        <v>0</v>
      </c>
      <c r="F1035" s="908">
        <f>GLOBAL_DER_FEV_2023!F1035</f>
        <v>0</v>
      </c>
      <c r="G1035" s="912">
        <f>GLOBAL_DER_FEV_2023!G1035</f>
        <v>0</v>
      </c>
      <c r="H1035" s="901">
        <f>GLOBAL_DER_FEV_2023!H1035</f>
        <v>13.33</v>
      </c>
      <c r="I1035" s="901">
        <f>GLOBAL_DER_FEV_2023!I1035</f>
        <v>13.33</v>
      </c>
      <c r="J1035" s="902">
        <f>GLOBAL_DER_FEV_2023!J1035</f>
        <v>16.010000000000002</v>
      </c>
      <c r="K1035" s="903" t="s">
        <v>62</v>
      </c>
      <c r="L1035" s="1137"/>
      <c r="M1035" s="1138">
        <f t="shared" si="128"/>
        <v>0</v>
      </c>
      <c r="N1035" s="893">
        <f t="shared" si="127"/>
        <v>0</v>
      </c>
      <c r="O1035" s="905"/>
      <c r="Q1035" s="317" t="str">
        <f t="shared" si="124"/>
        <v/>
      </c>
      <c r="R1035" s="317" t="str">
        <f t="shared" si="125"/>
        <v/>
      </c>
      <c r="S1035" s="317" t="str">
        <f t="shared" si="126"/>
        <v/>
      </c>
      <c r="T1035" s="317" t="str">
        <f>GLOBAL_DER_FEV_2023!S1035</f>
        <v/>
      </c>
      <c r="W1035" s="582">
        <v>0</v>
      </c>
      <c r="X1035" s="580"/>
      <c r="Y1035" s="583">
        <f>IF(GLOBAL_DER_FEV_2023!W1035=0,0,IF(GLOBAL_DER_FEV_2023!W1035&gt;0,"c","b"))</f>
        <v>0</v>
      </c>
    </row>
    <row r="1036" spans="1:25" ht="22.5" x14ac:dyDescent="0.2">
      <c r="A1036" s="317">
        <v>91852</v>
      </c>
      <c r="B1036" s="895">
        <v>91852</v>
      </c>
      <c r="C1036" s="896" t="s">
        <v>596</v>
      </c>
      <c r="D1036" s="906" t="s">
        <v>966</v>
      </c>
      <c r="E1036" s="907">
        <f>GLOBAL_DER_FEV_2023!E1036</f>
        <v>0</v>
      </c>
      <c r="F1036" s="908">
        <f>GLOBAL_DER_FEV_2023!F1036</f>
        <v>0</v>
      </c>
      <c r="G1036" s="912">
        <f>GLOBAL_DER_FEV_2023!G1036</f>
        <v>0</v>
      </c>
      <c r="H1036" s="901">
        <f>GLOBAL_DER_FEV_2023!H1036</f>
        <v>11.16</v>
      </c>
      <c r="I1036" s="901">
        <f>GLOBAL_DER_FEV_2023!I1036</f>
        <v>11.16</v>
      </c>
      <c r="J1036" s="902">
        <f>GLOBAL_DER_FEV_2023!J1036</f>
        <v>13.4</v>
      </c>
      <c r="K1036" s="903" t="s">
        <v>62</v>
      </c>
      <c r="L1036" s="1137"/>
      <c r="M1036" s="1138">
        <f t="shared" si="128"/>
        <v>0</v>
      </c>
      <c r="N1036" s="893">
        <f t="shared" si="127"/>
        <v>0</v>
      </c>
      <c r="O1036" s="905"/>
      <c r="Q1036" s="317" t="str">
        <f t="shared" si="124"/>
        <v/>
      </c>
      <c r="R1036" s="317" t="str">
        <f t="shared" si="125"/>
        <v/>
      </c>
      <c r="S1036" s="317" t="str">
        <f t="shared" si="126"/>
        <v/>
      </c>
      <c r="T1036" s="317" t="str">
        <f>GLOBAL_DER_FEV_2023!S1036</f>
        <v/>
      </c>
      <c r="W1036" s="582">
        <v>0</v>
      </c>
      <c r="X1036" s="580"/>
      <c r="Y1036" s="583">
        <f>IF(GLOBAL_DER_FEV_2023!W1036=0,0,IF(GLOBAL_DER_FEV_2023!W1036&gt;0,"c","b"))</f>
        <v>0</v>
      </c>
    </row>
    <row r="1037" spans="1:25" ht="22.5" x14ac:dyDescent="0.2">
      <c r="A1037" s="317">
        <v>91854</v>
      </c>
      <c r="B1037" s="895">
        <v>91854</v>
      </c>
      <c r="C1037" s="896" t="s">
        <v>596</v>
      </c>
      <c r="D1037" s="906" t="s">
        <v>967</v>
      </c>
      <c r="E1037" s="907">
        <f>GLOBAL_DER_FEV_2023!E1037</f>
        <v>0</v>
      </c>
      <c r="F1037" s="908">
        <f>GLOBAL_DER_FEV_2023!F1037</f>
        <v>0</v>
      </c>
      <c r="G1037" s="912">
        <f>GLOBAL_DER_FEV_2023!G1037</f>
        <v>0</v>
      </c>
      <c r="H1037" s="901">
        <f>GLOBAL_DER_FEV_2023!H1037</f>
        <v>12.34</v>
      </c>
      <c r="I1037" s="901">
        <f>GLOBAL_DER_FEV_2023!I1037</f>
        <v>12.34</v>
      </c>
      <c r="J1037" s="902">
        <f>GLOBAL_DER_FEV_2023!J1037</f>
        <v>14.82</v>
      </c>
      <c r="K1037" s="903" t="s">
        <v>62</v>
      </c>
      <c r="L1037" s="1137"/>
      <c r="M1037" s="1138">
        <f t="shared" si="128"/>
        <v>0</v>
      </c>
      <c r="N1037" s="893">
        <f t="shared" si="127"/>
        <v>0</v>
      </c>
      <c r="O1037" s="905"/>
      <c r="Q1037" s="317" t="str">
        <f t="shared" si="124"/>
        <v/>
      </c>
      <c r="R1037" s="317" t="str">
        <f t="shared" si="125"/>
        <v/>
      </c>
      <c r="S1037" s="317" t="str">
        <f t="shared" si="126"/>
        <v/>
      </c>
      <c r="T1037" s="317" t="str">
        <f>GLOBAL_DER_FEV_2023!S1037</f>
        <v/>
      </c>
      <c r="W1037" s="582">
        <v>0</v>
      </c>
      <c r="X1037" s="580"/>
      <c r="Y1037" s="583">
        <f>IF(GLOBAL_DER_FEV_2023!W1037=0,0,IF(GLOBAL_DER_FEV_2023!W1037&gt;0,"c","b"))</f>
        <v>0</v>
      </c>
    </row>
    <row r="1038" spans="1:25" ht="22.5" x14ac:dyDescent="0.2">
      <c r="A1038" s="317">
        <v>91856</v>
      </c>
      <c r="B1038" s="895">
        <v>91856</v>
      </c>
      <c r="C1038" s="896" t="s">
        <v>596</v>
      </c>
      <c r="D1038" s="906" t="s">
        <v>968</v>
      </c>
      <c r="E1038" s="907">
        <f>GLOBAL_DER_FEV_2023!E1038</f>
        <v>0</v>
      </c>
      <c r="F1038" s="908">
        <f>GLOBAL_DER_FEV_2023!F1038</f>
        <v>0</v>
      </c>
      <c r="G1038" s="912">
        <f>GLOBAL_DER_FEV_2023!G1038</f>
        <v>0</v>
      </c>
      <c r="H1038" s="901">
        <f>GLOBAL_DER_FEV_2023!H1038</f>
        <v>16.18</v>
      </c>
      <c r="I1038" s="901">
        <f>GLOBAL_DER_FEV_2023!I1038</f>
        <v>16.18</v>
      </c>
      <c r="J1038" s="902">
        <f>GLOBAL_DER_FEV_2023!J1038</f>
        <v>19.43</v>
      </c>
      <c r="K1038" s="903" t="s">
        <v>62</v>
      </c>
      <c r="L1038" s="1137"/>
      <c r="M1038" s="1138">
        <f t="shared" si="128"/>
        <v>0</v>
      </c>
      <c r="N1038" s="893">
        <f t="shared" si="127"/>
        <v>0</v>
      </c>
      <c r="O1038" s="905"/>
      <c r="Q1038" s="317" t="str">
        <f t="shared" si="124"/>
        <v/>
      </c>
      <c r="R1038" s="317" t="str">
        <f t="shared" si="125"/>
        <v/>
      </c>
      <c r="S1038" s="317" t="str">
        <f t="shared" si="126"/>
        <v/>
      </c>
      <c r="T1038" s="317" t="str">
        <f>GLOBAL_DER_FEV_2023!S1038</f>
        <v/>
      </c>
      <c r="W1038" s="582">
        <v>0</v>
      </c>
      <c r="X1038" s="580"/>
      <c r="Y1038" s="583">
        <f>IF(GLOBAL_DER_FEV_2023!W1038=0,0,IF(GLOBAL_DER_FEV_2023!W1038&gt;0,"c","b"))</f>
        <v>0</v>
      </c>
    </row>
    <row r="1039" spans="1:25" ht="33.75" x14ac:dyDescent="0.2">
      <c r="A1039" s="317">
        <v>91833</v>
      </c>
      <c r="B1039" s="895">
        <v>91833</v>
      </c>
      <c r="C1039" s="896" t="s">
        <v>596</v>
      </c>
      <c r="D1039" s="906" t="s">
        <v>969</v>
      </c>
      <c r="E1039" s="907">
        <f>GLOBAL_DER_FEV_2023!E1039</f>
        <v>0</v>
      </c>
      <c r="F1039" s="908">
        <f>GLOBAL_DER_FEV_2023!F1039</f>
        <v>0</v>
      </c>
      <c r="G1039" s="912">
        <f>GLOBAL_DER_FEV_2023!G1039</f>
        <v>0</v>
      </c>
      <c r="H1039" s="901">
        <f>GLOBAL_DER_FEV_2023!H1039</f>
        <v>11.52</v>
      </c>
      <c r="I1039" s="901">
        <f>GLOBAL_DER_FEV_2023!I1039</f>
        <v>11.52</v>
      </c>
      <c r="J1039" s="902">
        <f>GLOBAL_DER_FEV_2023!J1039</f>
        <v>13.83</v>
      </c>
      <c r="K1039" s="903" t="s">
        <v>62</v>
      </c>
      <c r="L1039" s="1137"/>
      <c r="M1039" s="1138">
        <f t="shared" si="128"/>
        <v>0</v>
      </c>
      <c r="N1039" s="893">
        <f t="shared" si="127"/>
        <v>0</v>
      </c>
      <c r="O1039" s="905"/>
      <c r="Q1039" s="317" t="str">
        <f t="shared" si="124"/>
        <v/>
      </c>
      <c r="R1039" s="317" t="str">
        <f t="shared" si="125"/>
        <v/>
      </c>
      <c r="S1039" s="317" t="str">
        <f t="shared" si="126"/>
        <v/>
      </c>
      <c r="T1039" s="317" t="str">
        <f>GLOBAL_DER_FEV_2023!S1039</f>
        <v/>
      </c>
      <c r="W1039" s="582">
        <v>0</v>
      </c>
      <c r="X1039" s="580"/>
      <c r="Y1039" s="583">
        <f>IF(GLOBAL_DER_FEV_2023!W1039=0,0,IF(GLOBAL_DER_FEV_2023!W1039&gt;0,"c","b"))</f>
        <v>0</v>
      </c>
    </row>
    <row r="1040" spans="1:25" ht="33.75" x14ac:dyDescent="0.2">
      <c r="A1040" s="317">
        <v>91835</v>
      </c>
      <c r="B1040" s="895">
        <v>91835</v>
      </c>
      <c r="C1040" s="896" t="s">
        <v>596</v>
      </c>
      <c r="D1040" s="906" t="s">
        <v>970</v>
      </c>
      <c r="E1040" s="907">
        <f>GLOBAL_DER_FEV_2023!E1040</f>
        <v>0</v>
      </c>
      <c r="F1040" s="908">
        <f>GLOBAL_DER_FEV_2023!F1040</f>
        <v>0</v>
      </c>
      <c r="G1040" s="912">
        <f>GLOBAL_DER_FEV_2023!G1040</f>
        <v>0</v>
      </c>
      <c r="H1040" s="901">
        <f>GLOBAL_DER_FEV_2023!H1040</f>
        <v>14.01</v>
      </c>
      <c r="I1040" s="901">
        <f>GLOBAL_DER_FEV_2023!I1040</f>
        <v>14.01</v>
      </c>
      <c r="J1040" s="902">
        <f>GLOBAL_DER_FEV_2023!J1040</f>
        <v>16.82</v>
      </c>
      <c r="K1040" s="903" t="s">
        <v>62</v>
      </c>
      <c r="L1040" s="1137"/>
      <c r="M1040" s="1138">
        <f t="shared" si="128"/>
        <v>0</v>
      </c>
      <c r="N1040" s="893">
        <f t="shared" si="127"/>
        <v>0</v>
      </c>
      <c r="O1040" s="905"/>
      <c r="Q1040" s="317" t="str">
        <f t="shared" si="124"/>
        <v/>
      </c>
      <c r="R1040" s="317" t="str">
        <f t="shared" si="125"/>
        <v/>
      </c>
      <c r="S1040" s="317" t="str">
        <f t="shared" si="126"/>
        <v/>
      </c>
      <c r="T1040" s="317" t="str">
        <f>GLOBAL_DER_FEV_2023!S1040</f>
        <v/>
      </c>
      <c r="W1040" s="582">
        <v>0</v>
      </c>
      <c r="X1040" s="580"/>
      <c r="Y1040" s="583">
        <f>IF(GLOBAL_DER_FEV_2023!W1040=0,0,IF(GLOBAL_DER_FEV_2023!W1040&gt;0,"c","b"))</f>
        <v>0</v>
      </c>
    </row>
    <row r="1041" spans="1:25" ht="33.75" x14ac:dyDescent="0.2">
      <c r="A1041" s="317">
        <v>91837</v>
      </c>
      <c r="B1041" s="895">
        <v>91837</v>
      </c>
      <c r="C1041" s="896" t="s">
        <v>596</v>
      </c>
      <c r="D1041" s="906" t="s">
        <v>971</v>
      </c>
      <c r="E1041" s="907">
        <f>GLOBAL_DER_FEV_2023!E1041</f>
        <v>0</v>
      </c>
      <c r="F1041" s="908">
        <f>GLOBAL_DER_FEV_2023!F1041</f>
        <v>0</v>
      </c>
      <c r="G1041" s="912">
        <f>GLOBAL_DER_FEV_2023!G1041</f>
        <v>0</v>
      </c>
      <c r="H1041" s="901">
        <f>GLOBAL_DER_FEV_2023!H1041</f>
        <v>20.87</v>
      </c>
      <c r="I1041" s="901">
        <f>GLOBAL_DER_FEV_2023!I1041</f>
        <v>20.87</v>
      </c>
      <c r="J1041" s="902">
        <f>GLOBAL_DER_FEV_2023!J1041</f>
        <v>25.06</v>
      </c>
      <c r="K1041" s="903" t="s">
        <v>62</v>
      </c>
      <c r="L1041" s="1137"/>
      <c r="M1041" s="1138">
        <f t="shared" si="128"/>
        <v>0</v>
      </c>
      <c r="N1041" s="893">
        <f t="shared" si="127"/>
        <v>0</v>
      </c>
      <c r="O1041" s="905"/>
      <c r="Q1041" s="317" t="str">
        <f t="shared" ref="Q1041:Q1104" si="129">IF(P1041="X","x",IF(P1041="xx","x",IF(P1041="xy","x",IF(P1041="y","x",IF(OR(N1041&gt;0,N1041&gt;0),"x","")))))</f>
        <v/>
      </c>
      <c r="R1041" s="317" t="str">
        <f t="shared" si="125"/>
        <v/>
      </c>
      <c r="S1041" s="317" t="str">
        <f t="shared" si="126"/>
        <v/>
      </c>
      <c r="T1041" s="317" t="str">
        <f>GLOBAL_DER_FEV_2023!S1041</f>
        <v/>
      </c>
      <c r="W1041" s="582">
        <v>0</v>
      </c>
      <c r="X1041" s="580"/>
      <c r="Y1041" s="583">
        <f>IF(GLOBAL_DER_FEV_2023!W1041=0,0,IF(GLOBAL_DER_FEV_2023!W1041&gt;0,"c","b"))</f>
        <v>0</v>
      </c>
    </row>
    <row r="1042" spans="1:25" ht="33.75" x14ac:dyDescent="0.2">
      <c r="A1042" s="317">
        <v>91843</v>
      </c>
      <c r="B1042" s="895">
        <v>91843</v>
      </c>
      <c r="C1042" s="896" t="s">
        <v>596</v>
      </c>
      <c r="D1042" s="906" t="s">
        <v>972</v>
      </c>
      <c r="E1042" s="907">
        <f>GLOBAL_DER_FEV_2023!E1042</f>
        <v>0</v>
      </c>
      <c r="F1042" s="908">
        <f>GLOBAL_DER_FEV_2023!F1042</f>
        <v>0</v>
      </c>
      <c r="G1042" s="912">
        <f>GLOBAL_DER_FEV_2023!G1042</f>
        <v>0</v>
      </c>
      <c r="H1042" s="901">
        <f>GLOBAL_DER_FEV_2023!H1042</f>
        <v>8.8800000000000008</v>
      </c>
      <c r="I1042" s="901">
        <f>GLOBAL_DER_FEV_2023!I1042</f>
        <v>8.8800000000000008</v>
      </c>
      <c r="J1042" s="902">
        <f>GLOBAL_DER_FEV_2023!J1042</f>
        <v>10.66</v>
      </c>
      <c r="K1042" s="903" t="s">
        <v>62</v>
      </c>
      <c r="L1042" s="1137"/>
      <c r="M1042" s="1138">
        <f t="shared" si="128"/>
        <v>0</v>
      </c>
      <c r="N1042" s="893">
        <f t="shared" si="127"/>
        <v>0</v>
      </c>
      <c r="O1042" s="905"/>
      <c r="Q1042" s="317" t="str">
        <f t="shared" si="129"/>
        <v/>
      </c>
      <c r="R1042" s="317" t="str">
        <f t="shared" si="125"/>
        <v/>
      </c>
      <c r="S1042" s="317" t="str">
        <f t="shared" si="126"/>
        <v/>
      </c>
      <c r="T1042" s="317" t="str">
        <f>GLOBAL_DER_FEV_2023!S1042</f>
        <v/>
      </c>
      <c r="W1042" s="582">
        <v>0</v>
      </c>
      <c r="X1042" s="580"/>
      <c r="Y1042" s="583">
        <f>IF(GLOBAL_DER_FEV_2023!W1042=0,0,IF(GLOBAL_DER_FEV_2023!W1042&gt;0,"c","b"))</f>
        <v>0</v>
      </c>
    </row>
    <row r="1043" spans="1:25" ht="33.75" x14ac:dyDescent="0.2">
      <c r="A1043" s="317">
        <v>91845</v>
      </c>
      <c r="B1043" s="895">
        <v>91845</v>
      </c>
      <c r="C1043" s="896" t="s">
        <v>596</v>
      </c>
      <c r="D1043" s="906" t="s">
        <v>973</v>
      </c>
      <c r="E1043" s="907">
        <f>GLOBAL_DER_FEV_2023!E1043</f>
        <v>0</v>
      </c>
      <c r="F1043" s="908">
        <f>GLOBAL_DER_FEV_2023!F1043</f>
        <v>0</v>
      </c>
      <c r="G1043" s="912">
        <f>GLOBAL_DER_FEV_2023!G1043</f>
        <v>0</v>
      </c>
      <c r="H1043" s="901">
        <f>GLOBAL_DER_FEV_2023!H1043</f>
        <v>11.37</v>
      </c>
      <c r="I1043" s="901">
        <f>GLOBAL_DER_FEV_2023!I1043</f>
        <v>11.37</v>
      </c>
      <c r="J1043" s="902">
        <f>GLOBAL_DER_FEV_2023!J1043</f>
        <v>13.65</v>
      </c>
      <c r="K1043" s="903" t="s">
        <v>62</v>
      </c>
      <c r="L1043" s="1137"/>
      <c r="M1043" s="1138">
        <f t="shared" si="128"/>
        <v>0</v>
      </c>
      <c r="N1043" s="893">
        <f t="shared" si="127"/>
        <v>0</v>
      </c>
      <c r="O1043" s="905"/>
      <c r="Q1043" s="317" t="str">
        <f t="shared" si="129"/>
        <v/>
      </c>
      <c r="R1043" s="317" t="str">
        <f t="shared" ref="R1043:R1106" si="130">IF(P1043="X","x",IF(P1043="y","x",IF(P1043="xx","x",IF(N1043&gt;0,"x",""))))</f>
        <v/>
      </c>
      <c r="S1043" s="317" t="str">
        <f t="shared" ref="S1043:S1106" si="131">IF(P1043="X","x",IF(N1043&gt;0,"x",""))</f>
        <v/>
      </c>
      <c r="T1043" s="317" t="str">
        <f>GLOBAL_DER_FEV_2023!S1043</f>
        <v/>
      </c>
      <c r="W1043" s="582">
        <v>0</v>
      </c>
      <c r="X1043" s="580"/>
      <c r="Y1043" s="583">
        <f>IF(GLOBAL_DER_FEV_2023!W1043=0,0,IF(GLOBAL_DER_FEV_2023!W1043&gt;0,"c","b"))</f>
        <v>0</v>
      </c>
    </row>
    <row r="1044" spans="1:25" ht="33.75" x14ac:dyDescent="0.2">
      <c r="A1044" s="317">
        <v>91847</v>
      </c>
      <c r="B1044" s="895">
        <v>91847</v>
      </c>
      <c r="C1044" s="896" t="s">
        <v>596</v>
      </c>
      <c r="D1044" s="906" t="s">
        <v>974</v>
      </c>
      <c r="E1044" s="907">
        <f>GLOBAL_DER_FEV_2023!E1044</f>
        <v>0</v>
      </c>
      <c r="F1044" s="908">
        <f>GLOBAL_DER_FEV_2023!F1044</f>
        <v>0</v>
      </c>
      <c r="G1044" s="912">
        <f>GLOBAL_DER_FEV_2023!G1044</f>
        <v>0</v>
      </c>
      <c r="H1044" s="901">
        <f>GLOBAL_DER_FEV_2023!H1044</f>
        <v>18.239999999999998</v>
      </c>
      <c r="I1044" s="901">
        <f>GLOBAL_DER_FEV_2023!I1044</f>
        <v>18.239999999999998</v>
      </c>
      <c r="J1044" s="902">
        <f>GLOBAL_DER_FEV_2023!J1044</f>
        <v>21.9</v>
      </c>
      <c r="K1044" s="903" t="s">
        <v>62</v>
      </c>
      <c r="L1044" s="1137"/>
      <c r="M1044" s="1138">
        <f t="shared" si="128"/>
        <v>0</v>
      </c>
      <c r="N1044" s="893">
        <f t="shared" si="127"/>
        <v>0</v>
      </c>
      <c r="O1044" s="905"/>
      <c r="Q1044" s="317" t="str">
        <f t="shared" si="129"/>
        <v/>
      </c>
      <c r="R1044" s="317" t="str">
        <f t="shared" si="130"/>
        <v/>
      </c>
      <c r="S1044" s="317" t="str">
        <f t="shared" si="131"/>
        <v/>
      </c>
      <c r="T1044" s="317" t="str">
        <f>GLOBAL_DER_FEV_2023!S1044</f>
        <v/>
      </c>
      <c r="W1044" s="582">
        <v>0</v>
      </c>
      <c r="X1044" s="580"/>
      <c r="Y1044" s="583">
        <f>IF(GLOBAL_DER_FEV_2023!W1044=0,0,IF(GLOBAL_DER_FEV_2023!W1044&gt;0,"c","b"))</f>
        <v>0</v>
      </c>
    </row>
    <row r="1045" spans="1:25" ht="33.75" x14ac:dyDescent="0.2">
      <c r="A1045" s="317">
        <v>91853</v>
      </c>
      <c r="B1045" s="895">
        <v>91853</v>
      </c>
      <c r="C1045" s="896" t="s">
        <v>596</v>
      </c>
      <c r="D1045" s="906" t="s">
        <v>975</v>
      </c>
      <c r="E1045" s="907">
        <f>GLOBAL_DER_FEV_2023!E1045</f>
        <v>0</v>
      </c>
      <c r="F1045" s="908">
        <f>GLOBAL_DER_FEV_2023!F1045</f>
        <v>0</v>
      </c>
      <c r="G1045" s="912">
        <f>GLOBAL_DER_FEV_2023!G1045</f>
        <v>0</v>
      </c>
      <c r="H1045" s="901">
        <f>GLOBAL_DER_FEV_2023!H1045</f>
        <v>11.93</v>
      </c>
      <c r="I1045" s="901">
        <f>GLOBAL_DER_FEV_2023!I1045</f>
        <v>11.93</v>
      </c>
      <c r="J1045" s="902">
        <f>GLOBAL_DER_FEV_2023!J1045</f>
        <v>14.32</v>
      </c>
      <c r="K1045" s="903" t="s">
        <v>62</v>
      </c>
      <c r="L1045" s="1137"/>
      <c r="M1045" s="1138">
        <f t="shared" si="128"/>
        <v>0</v>
      </c>
      <c r="N1045" s="893">
        <f t="shared" si="127"/>
        <v>0</v>
      </c>
      <c r="O1045" s="905"/>
      <c r="Q1045" s="317" t="str">
        <f t="shared" si="129"/>
        <v/>
      </c>
      <c r="R1045" s="317" t="str">
        <f t="shared" si="130"/>
        <v/>
      </c>
      <c r="S1045" s="317" t="str">
        <f t="shared" si="131"/>
        <v/>
      </c>
      <c r="T1045" s="317" t="str">
        <f>GLOBAL_DER_FEV_2023!S1045</f>
        <v/>
      </c>
      <c r="W1045" s="582">
        <v>0</v>
      </c>
      <c r="X1045" s="580"/>
      <c r="Y1045" s="583">
        <f>IF(GLOBAL_DER_FEV_2023!W1045=0,0,IF(GLOBAL_DER_FEV_2023!W1045&gt;0,"c","b"))</f>
        <v>0</v>
      </c>
    </row>
    <row r="1046" spans="1:25" ht="33.75" x14ac:dyDescent="0.2">
      <c r="A1046" s="317">
        <v>91855</v>
      </c>
      <c r="B1046" s="895">
        <v>91855</v>
      </c>
      <c r="C1046" s="896" t="s">
        <v>596</v>
      </c>
      <c r="D1046" s="906" t="s">
        <v>976</v>
      </c>
      <c r="E1046" s="907">
        <f>GLOBAL_DER_FEV_2023!E1046</f>
        <v>0</v>
      </c>
      <c r="F1046" s="908">
        <f>GLOBAL_DER_FEV_2023!F1046</f>
        <v>0</v>
      </c>
      <c r="G1046" s="912">
        <f>GLOBAL_DER_FEV_2023!G1046</f>
        <v>0</v>
      </c>
      <c r="H1046" s="901">
        <f>GLOBAL_DER_FEV_2023!H1046</f>
        <v>14.29</v>
      </c>
      <c r="I1046" s="901">
        <f>GLOBAL_DER_FEV_2023!I1046</f>
        <v>14.29</v>
      </c>
      <c r="J1046" s="902">
        <f>GLOBAL_DER_FEV_2023!J1046</f>
        <v>17.16</v>
      </c>
      <c r="K1046" s="903" t="s">
        <v>62</v>
      </c>
      <c r="L1046" s="1137"/>
      <c r="M1046" s="1138">
        <f t="shared" si="128"/>
        <v>0</v>
      </c>
      <c r="N1046" s="893">
        <f t="shared" si="127"/>
        <v>0</v>
      </c>
      <c r="O1046" s="905"/>
      <c r="Q1046" s="317" t="str">
        <f t="shared" si="129"/>
        <v/>
      </c>
      <c r="R1046" s="317" t="str">
        <f t="shared" si="130"/>
        <v/>
      </c>
      <c r="S1046" s="317" t="str">
        <f t="shared" si="131"/>
        <v/>
      </c>
      <c r="T1046" s="317" t="str">
        <f>GLOBAL_DER_FEV_2023!S1046</f>
        <v/>
      </c>
      <c r="W1046" s="582">
        <v>0</v>
      </c>
      <c r="X1046" s="580"/>
      <c r="Y1046" s="583">
        <f>IF(GLOBAL_DER_FEV_2023!W1046=0,0,IF(GLOBAL_DER_FEV_2023!W1046&gt;0,"c","b"))</f>
        <v>0</v>
      </c>
    </row>
    <row r="1047" spans="1:25" ht="33.75" x14ac:dyDescent="0.2">
      <c r="A1047" s="317">
        <v>91857</v>
      </c>
      <c r="B1047" s="895">
        <v>91857</v>
      </c>
      <c r="C1047" s="896" t="s">
        <v>596</v>
      </c>
      <c r="D1047" s="906" t="s">
        <v>977</v>
      </c>
      <c r="E1047" s="907">
        <f>GLOBAL_DER_FEV_2023!E1047</f>
        <v>0</v>
      </c>
      <c r="F1047" s="908">
        <f>GLOBAL_DER_FEV_2023!F1047</f>
        <v>0</v>
      </c>
      <c r="G1047" s="912">
        <f>GLOBAL_DER_FEV_2023!G1047</f>
        <v>0</v>
      </c>
      <c r="H1047" s="901">
        <f>GLOBAL_DER_FEV_2023!H1047</f>
        <v>20.72</v>
      </c>
      <c r="I1047" s="901">
        <f>GLOBAL_DER_FEV_2023!I1047</f>
        <v>20.72</v>
      </c>
      <c r="J1047" s="902">
        <f>GLOBAL_DER_FEV_2023!J1047</f>
        <v>24.88</v>
      </c>
      <c r="K1047" s="903" t="s">
        <v>62</v>
      </c>
      <c r="L1047" s="1137"/>
      <c r="M1047" s="1138">
        <f t="shared" si="128"/>
        <v>0</v>
      </c>
      <c r="N1047" s="893">
        <f t="shared" ref="N1047:N1110" si="132">IF(ISBLANK(L1047),0,IF(W1047=0,ROUND(L1047*M1047,2),IF(W1047="b",ROUNDDOWN(L1047*M1047,2),ROUNDUP(L1047*M1047,2))))</f>
        <v>0</v>
      </c>
      <c r="O1047" s="905"/>
      <c r="Q1047" s="317" t="str">
        <f t="shared" si="129"/>
        <v/>
      </c>
      <c r="R1047" s="317" t="str">
        <f t="shared" si="130"/>
        <v/>
      </c>
      <c r="S1047" s="317" t="str">
        <f t="shared" si="131"/>
        <v/>
      </c>
      <c r="T1047" s="317" t="str">
        <f>GLOBAL_DER_FEV_2023!S1047</f>
        <v/>
      </c>
      <c r="W1047" s="582">
        <v>0</v>
      </c>
      <c r="X1047" s="580"/>
      <c r="Y1047" s="583">
        <f>IF(GLOBAL_DER_FEV_2023!W1047=0,0,IF(GLOBAL_DER_FEV_2023!W1047&gt;0,"c","b"))</f>
        <v>0</v>
      </c>
    </row>
    <row r="1048" spans="1:25" ht="22.5" x14ac:dyDescent="0.2">
      <c r="A1048" s="317">
        <v>91874</v>
      </c>
      <c r="B1048" s="895">
        <v>91874</v>
      </c>
      <c r="C1048" s="896" t="s">
        <v>596</v>
      </c>
      <c r="D1048" s="906" t="s">
        <v>978</v>
      </c>
      <c r="E1048" s="907">
        <f>GLOBAL_DER_FEV_2023!E1048</f>
        <v>0</v>
      </c>
      <c r="F1048" s="908">
        <f>GLOBAL_DER_FEV_2023!F1048</f>
        <v>0</v>
      </c>
      <c r="G1048" s="912">
        <f>GLOBAL_DER_FEV_2023!G1048</f>
        <v>0</v>
      </c>
      <c r="H1048" s="901">
        <f>GLOBAL_DER_FEV_2023!H1048</f>
        <v>6.07</v>
      </c>
      <c r="I1048" s="901">
        <f>GLOBAL_DER_FEV_2023!I1048</f>
        <v>6.07</v>
      </c>
      <c r="J1048" s="902">
        <f>GLOBAL_DER_FEV_2023!J1048</f>
        <v>7.29</v>
      </c>
      <c r="K1048" s="903" t="s">
        <v>1516</v>
      </c>
      <c r="L1048" s="1137"/>
      <c r="M1048" s="1138">
        <f t="shared" si="128"/>
        <v>0</v>
      </c>
      <c r="N1048" s="893">
        <f t="shared" si="132"/>
        <v>0</v>
      </c>
      <c r="O1048" s="905"/>
      <c r="Q1048" s="317" t="str">
        <f t="shared" si="129"/>
        <v/>
      </c>
      <c r="R1048" s="317" t="str">
        <f t="shared" si="130"/>
        <v/>
      </c>
      <c r="S1048" s="317" t="str">
        <f t="shared" si="131"/>
        <v/>
      </c>
      <c r="T1048" s="317" t="str">
        <f>GLOBAL_DER_FEV_2023!S1048</f>
        <v/>
      </c>
      <c r="W1048" s="582">
        <v>0</v>
      </c>
      <c r="X1048" s="580"/>
      <c r="Y1048" s="583">
        <f>IF(GLOBAL_DER_FEV_2023!W1048=0,0,IF(GLOBAL_DER_FEV_2023!W1048&gt;0,"c","b"))</f>
        <v>0</v>
      </c>
    </row>
    <row r="1049" spans="1:25" ht="22.5" x14ac:dyDescent="0.2">
      <c r="A1049" s="317">
        <v>91875</v>
      </c>
      <c r="B1049" s="895">
        <v>91875</v>
      </c>
      <c r="C1049" s="896" t="s">
        <v>596</v>
      </c>
      <c r="D1049" s="906" t="s">
        <v>979</v>
      </c>
      <c r="E1049" s="907">
        <f>GLOBAL_DER_FEV_2023!E1049</f>
        <v>0</v>
      </c>
      <c r="F1049" s="908">
        <f>GLOBAL_DER_FEV_2023!F1049</f>
        <v>0</v>
      </c>
      <c r="G1049" s="912">
        <f>GLOBAL_DER_FEV_2023!G1049</f>
        <v>0</v>
      </c>
      <c r="H1049" s="901">
        <f>GLOBAL_DER_FEV_2023!H1049</f>
        <v>8.0399999999999991</v>
      </c>
      <c r="I1049" s="901">
        <f>GLOBAL_DER_FEV_2023!I1049</f>
        <v>8.0399999999999991</v>
      </c>
      <c r="J1049" s="902">
        <f>GLOBAL_DER_FEV_2023!J1049</f>
        <v>9.65</v>
      </c>
      <c r="K1049" s="903" t="s">
        <v>1516</v>
      </c>
      <c r="L1049" s="1137"/>
      <c r="M1049" s="1138">
        <f t="shared" si="128"/>
        <v>0</v>
      </c>
      <c r="N1049" s="893">
        <f t="shared" si="132"/>
        <v>0</v>
      </c>
      <c r="O1049" s="905"/>
      <c r="Q1049" s="317" t="str">
        <f t="shared" si="129"/>
        <v/>
      </c>
      <c r="R1049" s="317" t="str">
        <f t="shared" si="130"/>
        <v/>
      </c>
      <c r="S1049" s="317" t="str">
        <f t="shared" si="131"/>
        <v/>
      </c>
      <c r="T1049" s="317" t="str">
        <f>GLOBAL_DER_FEV_2023!S1049</f>
        <v/>
      </c>
      <c r="W1049" s="582">
        <v>0</v>
      </c>
      <c r="X1049" s="580"/>
      <c r="Y1049" s="583">
        <f>IF(GLOBAL_DER_FEV_2023!W1049=0,0,IF(GLOBAL_DER_FEV_2023!W1049&gt;0,"c","b"))</f>
        <v>0</v>
      </c>
    </row>
    <row r="1050" spans="1:25" ht="22.5" x14ac:dyDescent="0.2">
      <c r="A1050" s="317">
        <v>91876</v>
      </c>
      <c r="B1050" s="895">
        <v>91876</v>
      </c>
      <c r="C1050" s="896" t="s">
        <v>596</v>
      </c>
      <c r="D1050" s="906" t="s">
        <v>980</v>
      </c>
      <c r="E1050" s="907">
        <f>GLOBAL_DER_FEV_2023!E1050</f>
        <v>0</v>
      </c>
      <c r="F1050" s="908">
        <f>GLOBAL_DER_FEV_2023!F1050</f>
        <v>0</v>
      </c>
      <c r="G1050" s="912">
        <f>GLOBAL_DER_FEV_2023!G1050</f>
        <v>0</v>
      </c>
      <c r="H1050" s="901">
        <f>GLOBAL_DER_FEV_2023!H1050</f>
        <v>10.61</v>
      </c>
      <c r="I1050" s="901">
        <f>GLOBAL_DER_FEV_2023!I1050</f>
        <v>10.61</v>
      </c>
      <c r="J1050" s="902">
        <f>GLOBAL_DER_FEV_2023!J1050</f>
        <v>12.74</v>
      </c>
      <c r="K1050" s="903" t="s">
        <v>1516</v>
      </c>
      <c r="L1050" s="1137"/>
      <c r="M1050" s="1138">
        <f t="shared" si="128"/>
        <v>0</v>
      </c>
      <c r="N1050" s="893">
        <f t="shared" si="132"/>
        <v>0</v>
      </c>
      <c r="O1050" s="905"/>
      <c r="Q1050" s="317" t="str">
        <f t="shared" si="129"/>
        <v/>
      </c>
      <c r="R1050" s="317" t="str">
        <f t="shared" si="130"/>
        <v/>
      </c>
      <c r="S1050" s="317" t="str">
        <f t="shared" si="131"/>
        <v/>
      </c>
      <c r="T1050" s="317" t="str">
        <f>GLOBAL_DER_FEV_2023!S1050</f>
        <v/>
      </c>
      <c r="W1050" s="582">
        <v>0</v>
      </c>
      <c r="X1050" s="580"/>
      <c r="Y1050" s="583">
        <f>IF(GLOBAL_DER_FEV_2023!W1050=0,0,IF(GLOBAL_DER_FEV_2023!W1050&gt;0,"c","b"))</f>
        <v>0</v>
      </c>
    </row>
    <row r="1051" spans="1:25" ht="22.5" x14ac:dyDescent="0.2">
      <c r="A1051" s="317">
        <v>91877</v>
      </c>
      <c r="B1051" s="895">
        <v>91877</v>
      </c>
      <c r="C1051" s="896" t="s">
        <v>596</v>
      </c>
      <c r="D1051" s="906" t="s">
        <v>981</v>
      </c>
      <c r="E1051" s="907">
        <f>GLOBAL_DER_FEV_2023!E1051</f>
        <v>0</v>
      </c>
      <c r="F1051" s="908">
        <f>GLOBAL_DER_FEV_2023!F1051</f>
        <v>0</v>
      </c>
      <c r="G1051" s="912">
        <f>GLOBAL_DER_FEV_2023!G1051</f>
        <v>0</v>
      </c>
      <c r="H1051" s="901">
        <f>GLOBAL_DER_FEV_2023!H1051</f>
        <v>14.08</v>
      </c>
      <c r="I1051" s="901">
        <f>GLOBAL_DER_FEV_2023!I1051</f>
        <v>14.08</v>
      </c>
      <c r="J1051" s="902">
        <f>GLOBAL_DER_FEV_2023!J1051</f>
        <v>16.91</v>
      </c>
      <c r="K1051" s="903" t="s">
        <v>1516</v>
      </c>
      <c r="L1051" s="1137"/>
      <c r="M1051" s="1138">
        <f t="shared" si="128"/>
        <v>0</v>
      </c>
      <c r="N1051" s="893">
        <f t="shared" si="132"/>
        <v>0</v>
      </c>
      <c r="O1051" s="905"/>
      <c r="Q1051" s="317" t="str">
        <f t="shared" si="129"/>
        <v/>
      </c>
      <c r="R1051" s="317" t="str">
        <f t="shared" si="130"/>
        <v/>
      </c>
      <c r="S1051" s="317" t="str">
        <f t="shared" si="131"/>
        <v/>
      </c>
      <c r="T1051" s="317" t="str">
        <f>GLOBAL_DER_FEV_2023!S1051</f>
        <v/>
      </c>
      <c r="W1051" s="582">
        <v>0</v>
      </c>
      <c r="X1051" s="580"/>
      <c r="Y1051" s="583">
        <f>IF(GLOBAL_DER_FEV_2023!W1051=0,0,IF(GLOBAL_DER_FEV_2023!W1051&gt;0,"c","b"))</f>
        <v>0</v>
      </c>
    </row>
    <row r="1052" spans="1:25" ht="22.5" x14ac:dyDescent="0.2">
      <c r="A1052" s="317">
        <v>91878</v>
      </c>
      <c r="B1052" s="895">
        <v>91878</v>
      </c>
      <c r="C1052" s="896" t="s">
        <v>596</v>
      </c>
      <c r="D1052" s="906" t="s">
        <v>982</v>
      </c>
      <c r="E1052" s="907">
        <f>GLOBAL_DER_FEV_2023!E1052</f>
        <v>0</v>
      </c>
      <c r="F1052" s="908">
        <f>GLOBAL_DER_FEV_2023!F1052</f>
        <v>0</v>
      </c>
      <c r="G1052" s="912">
        <f>GLOBAL_DER_FEV_2023!G1052</f>
        <v>0</v>
      </c>
      <c r="H1052" s="901">
        <f>GLOBAL_DER_FEV_2023!H1052</f>
        <v>7.82</v>
      </c>
      <c r="I1052" s="901">
        <f>GLOBAL_DER_FEV_2023!I1052</f>
        <v>7.82</v>
      </c>
      <c r="J1052" s="902">
        <f>GLOBAL_DER_FEV_2023!J1052</f>
        <v>9.39</v>
      </c>
      <c r="K1052" s="903" t="s">
        <v>1516</v>
      </c>
      <c r="L1052" s="1137"/>
      <c r="M1052" s="1138">
        <f t="shared" si="128"/>
        <v>0</v>
      </c>
      <c r="N1052" s="893">
        <f t="shared" si="132"/>
        <v>0</v>
      </c>
      <c r="O1052" s="905"/>
      <c r="Q1052" s="317" t="str">
        <f t="shared" si="129"/>
        <v/>
      </c>
      <c r="R1052" s="317" t="str">
        <f t="shared" si="130"/>
        <v/>
      </c>
      <c r="S1052" s="317" t="str">
        <f t="shared" si="131"/>
        <v/>
      </c>
      <c r="T1052" s="317" t="str">
        <f>GLOBAL_DER_FEV_2023!S1052</f>
        <v/>
      </c>
      <c r="W1052" s="582">
        <v>0</v>
      </c>
      <c r="X1052" s="580"/>
      <c r="Y1052" s="583">
        <f>IF(GLOBAL_DER_FEV_2023!W1052=0,0,IF(GLOBAL_DER_FEV_2023!W1052&gt;0,"c","b"))</f>
        <v>0</v>
      </c>
    </row>
    <row r="1053" spans="1:25" ht="22.5" x14ac:dyDescent="0.2">
      <c r="A1053" s="317">
        <v>91879</v>
      </c>
      <c r="B1053" s="895">
        <v>91879</v>
      </c>
      <c r="C1053" s="896" t="s">
        <v>596</v>
      </c>
      <c r="D1053" s="906" t="s">
        <v>983</v>
      </c>
      <c r="E1053" s="907">
        <f>GLOBAL_DER_FEV_2023!E1053</f>
        <v>0</v>
      </c>
      <c r="F1053" s="908">
        <f>GLOBAL_DER_FEV_2023!F1053</f>
        <v>0</v>
      </c>
      <c r="G1053" s="912">
        <f>GLOBAL_DER_FEV_2023!G1053</f>
        <v>0</v>
      </c>
      <c r="H1053" s="901">
        <f>GLOBAL_DER_FEV_2023!H1053</f>
        <v>9.7200000000000006</v>
      </c>
      <c r="I1053" s="901">
        <f>GLOBAL_DER_FEV_2023!I1053</f>
        <v>9.7200000000000006</v>
      </c>
      <c r="J1053" s="902">
        <f>GLOBAL_DER_FEV_2023!J1053</f>
        <v>11.67</v>
      </c>
      <c r="K1053" s="903" t="s">
        <v>1516</v>
      </c>
      <c r="L1053" s="1137"/>
      <c r="M1053" s="1138">
        <f t="shared" si="128"/>
        <v>0</v>
      </c>
      <c r="N1053" s="893">
        <f t="shared" si="132"/>
        <v>0</v>
      </c>
      <c r="O1053" s="905"/>
      <c r="Q1053" s="317" t="str">
        <f t="shared" si="129"/>
        <v/>
      </c>
      <c r="R1053" s="317" t="str">
        <f t="shared" si="130"/>
        <v/>
      </c>
      <c r="S1053" s="317" t="str">
        <f t="shared" si="131"/>
        <v/>
      </c>
      <c r="T1053" s="317" t="str">
        <f>GLOBAL_DER_FEV_2023!S1053</f>
        <v/>
      </c>
      <c r="W1053" s="582">
        <v>0</v>
      </c>
      <c r="X1053" s="580"/>
      <c r="Y1053" s="583">
        <f>IF(GLOBAL_DER_FEV_2023!W1053=0,0,IF(GLOBAL_DER_FEV_2023!W1053&gt;0,"c","b"))</f>
        <v>0</v>
      </c>
    </row>
    <row r="1054" spans="1:25" ht="22.5" x14ac:dyDescent="0.2">
      <c r="A1054" s="317">
        <v>91880</v>
      </c>
      <c r="B1054" s="895">
        <v>91880</v>
      </c>
      <c r="C1054" s="896" t="s">
        <v>596</v>
      </c>
      <c r="D1054" s="906" t="s">
        <v>984</v>
      </c>
      <c r="E1054" s="907">
        <f>GLOBAL_DER_FEV_2023!E1054</f>
        <v>0</v>
      </c>
      <c r="F1054" s="908">
        <f>GLOBAL_DER_FEV_2023!F1054</f>
        <v>0</v>
      </c>
      <c r="G1054" s="912">
        <f>GLOBAL_DER_FEV_2023!G1054</f>
        <v>0</v>
      </c>
      <c r="H1054" s="901">
        <f>GLOBAL_DER_FEV_2023!H1054</f>
        <v>12.34</v>
      </c>
      <c r="I1054" s="901">
        <f>GLOBAL_DER_FEV_2023!I1054</f>
        <v>12.34</v>
      </c>
      <c r="J1054" s="902">
        <f>GLOBAL_DER_FEV_2023!J1054</f>
        <v>14.82</v>
      </c>
      <c r="K1054" s="903" t="s">
        <v>1516</v>
      </c>
      <c r="L1054" s="1137"/>
      <c r="M1054" s="1138">
        <f t="shared" si="128"/>
        <v>0</v>
      </c>
      <c r="N1054" s="893">
        <f t="shared" si="132"/>
        <v>0</v>
      </c>
      <c r="O1054" s="905"/>
      <c r="Q1054" s="317" t="str">
        <f t="shared" si="129"/>
        <v/>
      </c>
      <c r="R1054" s="317" t="str">
        <f t="shared" si="130"/>
        <v/>
      </c>
      <c r="S1054" s="317" t="str">
        <f t="shared" si="131"/>
        <v/>
      </c>
      <c r="T1054" s="317" t="str">
        <f>GLOBAL_DER_FEV_2023!S1054</f>
        <v/>
      </c>
      <c r="W1054" s="582">
        <v>0</v>
      </c>
      <c r="X1054" s="580"/>
      <c r="Y1054" s="583">
        <f>IF(GLOBAL_DER_FEV_2023!W1054=0,0,IF(GLOBAL_DER_FEV_2023!W1054&gt;0,"c","b"))</f>
        <v>0</v>
      </c>
    </row>
    <row r="1055" spans="1:25" ht="22.5" x14ac:dyDescent="0.2">
      <c r="A1055" s="317">
        <v>91881</v>
      </c>
      <c r="B1055" s="895">
        <v>91881</v>
      </c>
      <c r="C1055" s="896" t="s">
        <v>596</v>
      </c>
      <c r="D1055" s="906" t="s">
        <v>985</v>
      </c>
      <c r="E1055" s="907">
        <f>GLOBAL_DER_FEV_2023!E1055</f>
        <v>0</v>
      </c>
      <c r="F1055" s="908">
        <f>GLOBAL_DER_FEV_2023!F1055</f>
        <v>0</v>
      </c>
      <c r="G1055" s="912">
        <f>GLOBAL_DER_FEV_2023!G1055</f>
        <v>0</v>
      </c>
      <c r="H1055" s="901">
        <f>GLOBAL_DER_FEV_2023!H1055</f>
        <v>15.82</v>
      </c>
      <c r="I1055" s="901">
        <f>GLOBAL_DER_FEV_2023!I1055</f>
        <v>15.82</v>
      </c>
      <c r="J1055" s="902">
        <f>GLOBAL_DER_FEV_2023!J1055</f>
        <v>19</v>
      </c>
      <c r="K1055" s="903" t="s">
        <v>1516</v>
      </c>
      <c r="L1055" s="1137"/>
      <c r="M1055" s="1138">
        <f t="shared" si="128"/>
        <v>0</v>
      </c>
      <c r="N1055" s="893">
        <f t="shared" si="132"/>
        <v>0</v>
      </c>
      <c r="O1055" s="905"/>
      <c r="Q1055" s="317" t="str">
        <f t="shared" si="129"/>
        <v/>
      </c>
      <c r="R1055" s="317" t="str">
        <f t="shared" si="130"/>
        <v/>
      </c>
      <c r="S1055" s="317" t="str">
        <f t="shared" si="131"/>
        <v/>
      </c>
      <c r="T1055" s="317" t="str">
        <f>GLOBAL_DER_FEV_2023!S1055</f>
        <v/>
      </c>
      <c r="W1055" s="582">
        <v>0</v>
      </c>
      <c r="X1055" s="580"/>
      <c r="Y1055" s="583">
        <f>IF(GLOBAL_DER_FEV_2023!W1055=0,0,IF(GLOBAL_DER_FEV_2023!W1055&gt;0,"c","b"))</f>
        <v>0</v>
      </c>
    </row>
    <row r="1056" spans="1:25" ht="22.5" x14ac:dyDescent="0.2">
      <c r="A1056" s="317">
        <v>91882</v>
      </c>
      <c r="B1056" s="895">
        <v>91882</v>
      </c>
      <c r="C1056" s="896" t="s">
        <v>596</v>
      </c>
      <c r="D1056" s="906" t="s">
        <v>986</v>
      </c>
      <c r="E1056" s="907">
        <f>GLOBAL_DER_FEV_2023!E1056</f>
        <v>0</v>
      </c>
      <c r="F1056" s="908">
        <f>GLOBAL_DER_FEV_2023!F1056</f>
        <v>0</v>
      </c>
      <c r="G1056" s="912">
        <f>GLOBAL_DER_FEV_2023!G1056</f>
        <v>0</v>
      </c>
      <c r="H1056" s="901">
        <f>GLOBAL_DER_FEV_2023!H1056</f>
        <v>9.67</v>
      </c>
      <c r="I1056" s="901">
        <f>GLOBAL_DER_FEV_2023!I1056</f>
        <v>9.67</v>
      </c>
      <c r="J1056" s="902">
        <f>GLOBAL_DER_FEV_2023!J1056</f>
        <v>11.61</v>
      </c>
      <c r="K1056" s="903" t="s">
        <v>1516</v>
      </c>
      <c r="L1056" s="1137"/>
      <c r="M1056" s="1138">
        <f t="shared" si="128"/>
        <v>0</v>
      </c>
      <c r="N1056" s="893">
        <f t="shared" si="132"/>
        <v>0</v>
      </c>
      <c r="O1056" s="905"/>
      <c r="Q1056" s="317" t="str">
        <f t="shared" si="129"/>
        <v/>
      </c>
      <c r="R1056" s="317" t="str">
        <f t="shared" si="130"/>
        <v/>
      </c>
      <c r="S1056" s="317" t="str">
        <f t="shared" si="131"/>
        <v/>
      </c>
      <c r="T1056" s="317" t="str">
        <f>GLOBAL_DER_FEV_2023!S1056</f>
        <v/>
      </c>
      <c r="W1056" s="582">
        <v>0</v>
      </c>
      <c r="X1056" s="580"/>
      <c r="Y1056" s="583">
        <f>IF(GLOBAL_DER_FEV_2023!W1056=0,0,IF(GLOBAL_DER_FEV_2023!W1056&gt;0,"c","b"))</f>
        <v>0</v>
      </c>
    </row>
    <row r="1057" spans="1:25" ht="22.5" x14ac:dyDescent="0.2">
      <c r="A1057" s="317">
        <v>91884</v>
      </c>
      <c r="B1057" s="895">
        <v>91884</v>
      </c>
      <c r="C1057" s="896" t="s">
        <v>596</v>
      </c>
      <c r="D1057" s="906" t="s">
        <v>987</v>
      </c>
      <c r="E1057" s="907">
        <f>GLOBAL_DER_FEV_2023!E1057</f>
        <v>0</v>
      </c>
      <c r="F1057" s="908">
        <f>GLOBAL_DER_FEV_2023!F1057</f>
        <v>0</v>
      </c>
      <c r="G1057" s="912">
        <f>GLOBAL_DER_FEV_2023!G1057</f>
        <v>0</v>
      </c>
      <c r="H1057" s="901">
        <f>GLOBAL_DER_FEV_2023!H1057</f>
        <v>11.16</v>
      </c>
      <c r="I1057" s="901">
        <f>GLOBAL_DER_FEV_2023!I1057</f>
        <v>11.16</v>
      </c>
      <c r="J1057" s="902">
        <f>GLOBAL_DER_FEV_2023!J1057</f>
        <v>13.4</v>
      </c>
      <c r="K1057" s="903" t="s">
        <v>1516</v>
      </c>
      <c r="L1057" s="1137"/>
      <c r="M1057" s="1138">
        <f t="shared" si="128"/>
        <v>0</v>
      </c>
      <c r="N1057" s="893">
        <f t="shared" si="132"/>
        <v>0</v>
      </c>
      <c r="O1057" s="905"/>
      <c r="Q1057" s="317" t="str">
        <f t="shared" si="129"/>
        <v/>
      </c>
      <c r="R1057" s="317" t="str">
        <f t="shared" si="130"/>
        <v/>
      </c>
      <c r="S1057" s="317" t="str">
        <f t="shared" si="131"/>
        <v/>
      </c>
      <c r="T1057" s="317" t="str">
        <f>GLOBAL_DER_FEV_2023!S1057</f>
        <v/>
      </c>
      <c r="W1057" s="582">
        <v>0</v>
      </c>
      <c r="X1057" s="580"/>
      <c r="Y1057" s="583">
        <f>IF(GLOBAL_DER_FEV_2023!W1057=0,0,IF(GLOBAL_DER_FEV_2023!W1057&gt;0,"c","b"))</f>
        <v>0</v>
      </c>
    </row>
    <row r="1058" spans="1:25" ht="22.5" x14ac:dyDescent="0.2">
      <c r="A1058" s="317">
        <v>91885</v>
      </c>
      <c r="B1058" s="895">
        <v>91885</v>
      </c>
      <c r="C1058" s="896" t="s">
        <v>596</v>
      </c>
      <c r="D1058" s="906" t="s">
        <v>988</v>
      </c>
      <c r="E1058" s="907">
        <f>GLOBAL_DER_FEV_2023!E1058</f>
        <v>0</v>
      </c>
      <c r="F1058" s="908">
        <f>GLOBAL_DER_FEV_2023!F1058</f>
        <v>0</v>
      </c>
      <c r="G1058" s="912">
        <f>GLOBAL_DER_FEV_2023!G1058</f>
        <v>0</v>
      </c>
      <c r="H1058" s="901">
        <f>GLOBAL_DER_FEV_2023!H1058</f>
        <v>13.18</v>
      </c>
      <c r="I1058" s="901">
        <f>GLOBAL_DER_FEV_2023!I1058</f>
        <v>13.18</v>
      </c>
      <c r="J1058" s="902">
        <f>GLOBAL_DER_FEV_2023!J1058</f>
        <v>15.83</v>
      </c>
      <c r="K1058" s="903" t="s">
        <v>1516</v>
      </c>
      <c r="L1058" s="1137"/>
      <c r="M1058" s="1138">
        <f t="shared" si="128"/>
        <v>0</v>
      </c>
      <c r="N1058" s="893">
        <f t="shared" si="132"/>
        <v>0</v>
      </c>
      <c r="O1058" s="905"/>
      <c r="Q1058" s="317" t="str">
        <f t="shared" si="129"/>
        <v/>
      </c>
      <c r="R1058" s="317" t="str">
        <f t="shared" si="130"/>
        <v/>
      </c>
      <c r="S1058" s="317" t="str">
        <f t="shared" si="131"/>
        <v/>
      </c>
      <c r="T1058" s="317" t="str">
        <f>GLOBAL_DER_FEV_2023!S1058</f>
        <v/>
      </c>
      <c r="W1058" s="582">
        <v>0</v>
      </c>
      <c r="X1058" s="580"/>
      <c r="Y1058" s="583">
        <f>IF(GLOBAL_DER_FEV_2023!W1058=0,0,IF(GLOBAL_DER_FEV_2023!W1058&gt;0,"c","b"))</f>
        <v>0</v>
      </c>
    </row>
    <row r="1059" spans="1:25" ht="22.5" x14ac:dyDescent="0.2">
      <c r="A1059" s="317">
        <v>91886</v>
      </c>
      <c r="B1059" s="895">
        <v>91886</v>
      </c>
      <c r="C1059" s="896" t="s">
        <v>596</v>
      </c>
      <c r="D1059" s="906" t="s">
        <v>989</v>
      </c>
      <c r="E1059" s="907">
        <f>GLOBAL_DER_FEV_2023!E1059</f>
        <v>0</v>
      </c>
      <c r="F1059" s="908">
        <f>GLOBAL_DER_FEV_2023!F1059</f>
        <v>0</v>
      </c>
      <c r="G1059" s="912">
        <f>GLOBAL_DER_FEV_2023!G1059</f>
        <v>0</v>
      </c>
      <c r="H1059" s="901">
        <f>GLOBAL_DER_FEV_2023!H1059</f>
        <v>16</v>
      </c>
      <c r="I1059" s="901">
        <f>GLOBAL_DER_FEV_2023!I1059</f>
        <v>16</v>
      </c>
      <c r="J1059" s="902">
        <f>GLOBAL_DER_FEV_2023!J1059</f>
        <v>19.21</v>
      </c>
      <c r="K1059" s="903" t="s">
        <v>1516</v>
      </c>
      <c r="L1059" s="1137"/>
      <c r="M1059" s="1138">
        <f t="shared" si="128"/>
        <v>0</v>
      </c>
      <c r="N1059" s="893">
        <f t="shared" si="132"/>
        <v>0</v>
      </c>
      <c r="O1059" s="905"/>
      <c r="Q1059" s="317" t="str">
        <f t="shared" si="129"/>
        <v/>
      </c>
      <c r="R1059" s="317" t="str">
        <f t="shared" si="130"/>
        <v/>
      </c>
      <c r="S1059" s="317" t="str">
        <f t="shared" si="131"/>
        <v/>
      </c>
      <c r="T1059" s="317" t="str">
        <f>GLOBAL_DER_FEV_2023!S1059</f>
        <v/>
      </c>
      <c r="W1059" s="582">
        <v>0</v>
      </c>
      <c r="X1059" s="580"/>
      <c r="Y1059" s="583">
        <f>IF(GLOBAL_DER_FEV_2023!W1059=0,0,IF(GLOBAL_DER_FEV_2023!W1059&gt;0,"c","b"))</f>
        <v>0</v>
      </c>
    </row>
    <row r="1060" spans="1:25" ht="33.75" x14ac:dyDescent="0.2">
      <c r="A1060" s="317">
        <v>91887</v>
      </c>
      <c r="B1060" s="895">
        <v>91887</v>
      </c>
      <c r="C1060" s="896" t="s">
        <v>596</v>
      </c>
      <c r="D1060" s="906" t="s">
        <v>990</v>
      </c>
      <c r="E1060" s="907">
        <f>GLOBAL_DER_FEV_2023!E1060</f>
        <v>0</v>
      </c>
      <c r="F1060" s="908">
        <f>GLOBAL_DER_FEV_2023!F1060</f>
        <v>0</v>
      </c>
      <c r="G1060" s="912">
        <f>GLOBAL_DER_FEV_2023!G1060</f>
        <v>0</v>
      </c>
      <c r="H1060" s="901">
        <f>GLOBAL_DER_FEV_2023!H1060</f>
        <v>11.2</v>
      </c>
      <c r="I1060" s="901">
        <f>GLOBAL_DER_FEV_2023!I1060</f>
        <v>11.2</v>
      </c>
      <c r="J1060" s="902">
        <f>GLOBAL_DER_FEV_2023!J1060</f>
        <v>13.45</v>
      </c>
      <c r="K1060" s="903" t="s">
        <v>1516</v>
      </c>
      <c r="L1060" s="1137"/>
      <c r="M1060" s="1138">
        <f t="shared" si="128"/>
        <v>0</v>
      </c>
      <c r="N1060" s="893">
        <f t="shared" si="132"/>
        <v>0</v>
      </c>
      <c r="O1060" s="905"/>
      <c r="Q1060" s="317" t="str">
        <f t="shared" si="129"/>
        <v/>
      </c>
      <c r="R1060" s="317" t="str">
        <f t="shared" si="130"/>
        <v/>
      </c>
      <c r="S1060" s="317" t="str">
        <f t="shared" si="131"/>
        <v/>
      </c>
      <c r="T1060" s="317" t="str">
        <f>GLOBAL_DER_FEV_2023!S1060</f>
        <v/>
      </c>
      <c r="W1060" s="582">
        <v>0</v>
      </c>
      <c r="X1060" s="580"/>
      <c r="Y1060" s="583">
        <f>IF(GLOBAL_DER_FEV_2023!W1060=0,0,IF(GLOBAL_DER_FEV_2023!W1060&gt;0,"c","b"))</f>
        <v>0</v>
      </c>
    </row>
    <row r="1061" spans="1:25" ht="33.75" x14ac:dyDescent="0.2">
      <c r="A1061" s="317">
        <v>91889</v>
      </c>
      <c r="B1061" s="895">
        <v>91889</v>
      </c>
      <c r="C1061" s="896" t="s">
        <v>596</v>
      </c>
      <c r="D1061" s="906" t="s">
        <v>991</v>
      </c>
      <c r="E1061" s="907">
        <f>GLOBAL_DER_FEV_2023!E1061</f>
        <v>0</v>
      </c>
      <c r="F1061" s="908">
        <f>GLOBAL_DER_FEV_2023!F1061</f>
        <v>0</v>
      </c>
      <c r="G1061" s="912">
        <f>GLOBAL_DER_FEV_2023!G1061</f>
        <v>0</v>
      </c>
      <c r="H1061" s="901">
        <f>GLOBAL_DER_FEV_2023!H1061</f>
        <v>10.8</v>
      </c>
      <c r="I1061" s="901">
        <f>GLOBAL_DER_FEV_2023!I1061</f>
        <v>10.8</v>
      </c>
      <c r="J1061" s="902">
        <f>GLOBAL_DER_FEV_2023!J1061</f>
        <v>12.97</v>
      </c>
      <c r="K1061" s="903" t="s">
        <v>1516</v>
      </c>
      <c r="L1061" s="1137"/>
      <c r="M1061" s="1138">
        <f t="shared" si="128"/>
        <v>0</v>
      </c>
      <c r="N1061" s="893">
        <f t="shared" si="132"/>
        <v>0</v>
      </c>
      <c r="O1061" s="905"/>
      <c r="Q1061" s="317" t="str">
        <f t="shared" si="129"/>
        <v/>
      </c>
      <c r="R1061" s="317" t="str">
        <f t="shared" si="130"/>
        <v/>
      </c>
      <c r="S1061" s="317" t="str">
        <f t="shared" si="131"/>
        <v/>
      </c>
      <c r="T1061" s="317" t="str">
        <f>GLOBAL_DER_FEV_2023!S1061</f>
        <v/>
      </c>
      <c r="W1061" s="582">
        <v>0</v>
      </c>
      <c r="X1061" s="580"/>
      <c r="Y1061" s="583">
        <f>IF(GLOBAL_DER_FEV_2023!W1061=0,0,IF(GLOBAL_DER_FEV_2023!W1061&gt;0,"c","b"))</f>
        <v>0</v>
      </c>
    </row>
    <row r="1062" spans="1:25" ht="33.75" x14ac:dyDescent="0.2">
      <c r="A1062" s="317">
        <v>91890</v>
      </c>
      <c r="B1062" s="895">
        <v>91890</v>
      </c>
      <c r="C1062" s="896" t="s">
        <v>596</v>
      </c>
      <c r="D1062" s="906" t="s">
        <v>992</v>
      </c>
      <c r="E1062" s="907">
        <f>GLOBAL_DER_FEV_2023!E1062</f>
        <v>0</v>
      </c>
      <c r="F1062" s="908">
        <f>GLOBAL_DER_FEV_2023!F1062</f>
        <v>0</v>
      </c>
      <c r="G1062" s="912">
        <f>GLOBAL_DER_FEV_2023!G1062</f>
        <v>0</v>
      </c>
      <c r="H1062" s="901">
        <f>GLOBAL_DER_FEV_2023!H1062</f>
        <v>13.35</v>
      </c>
      <c r="I1062" s="901">
        <f>GLOBAL_DER_FEV_2023!I1062</f>
        <v>13.35</v>
      </c>
      <c r="J1062" s="902">
        <f>GLOBAL_DER_FEV_2023!J1062</f>
        <v>16.03</v>
      </c>
      <c r="K1062" s="903" t="s">
        <v>1516</v>
      </c>
      <c r="L1062" s="1137"/>
      <c r="M1062" s="1138">
        <f t="shared" si="128"/>
        <v>0</v>
      </c>
      <c r="N1062" s="893">
        <f t="shared" si="132"/>
        <v>0</v>
      </c>
      <c r="O1062" s="905"/>
      <c r="Q1062" s="317" t="str">
        <f t="shared" si="129"/>
        <v/>
      </c>
      <c r="R1062" s="317" t="str">
        <f t="shared" si="130"/>
        <v/>
      </c>
      <c r="S1062" s="317" t="str">
        <f t="shared" si="131"/>
        <v/>
      </c>
      <c r="T1062" s="317" t="str">
        <f>GLOBAL_DER_FEV_2023!S1062</f>
        <v/>
      </c>
      <c r="W1062" s="582">
        <v>0</v>
      </c>
      <c r="X1062" s="580"/>
      <c r="Y1062" s="583">
        <f>IF(GLOBAL_DER_FEV_2023!W1062=0,0,IF(GLOBAL_DER_FEV_2023!W1062&gt;0,"c","b"))</f>
        <v>0</v>
      </c>
    </row>
    <row r="1063" spans="1:25" ht="33.75" x14ac:dyDescent="0.2">
      <c r="A1063" s="317">
        <v>91892</v>
      </c>
      <c r="B1063" s="895">
        <v>91892</v>
      </c>
      <c r="C1063" s="896" t="s">
        <v>596</v>
      </c>
      <c r="D1063" s="906" t="s">
        <v>993</v>
      </c>
      <c r="E1063" s="907">
        <f>GLOBAL_DER_FEV_2023!E1063</f>
        <v>0</v>
      </c>
      <c r="F1063" s="908">
        <f>GLOBAL_DER_FEV_2023!F1063</f>
        <v>0</v>
      </c>
      <c r="G1063" s="912">
        <f>GLOBAL_DER_FEV_2023!G1063</f>
        <v>0</v>
      </c>
      <c r="H1063" s="901">
        <f>GLOBAL_DER_FEV_2023!H1063</f>
        <v>16.04</v>
      </c>
      <c r="I1063" s="901">
        <f>GLOBAL_DER_FEV_2023!I1063</f>
        <v>16.04</v>
      </c>
      <c r="J1063" s="902">
        <f>GLOBAL_DER_FEV_2023!J1063</f>
        <v>19.260000000000002</v>
      </c>
      <c r="K1063" s="903" t="s">
        <v>1516</v>
      </c>
      <c r="L1063" s="1137"/>
      <c r="M1063" s="1138">
        <f t="shared" si="128"/>
        <v>0</v>
      </c>
      <c r="N1063" s="893">
        <f t="shared" si="132"/>
        <v>0</v>
      </c>
      <c r="O1063" s="905"/>
      <c r="Q1063" s="317" t="str">
        <f t="shared" si="129"/>
        <v/>
      </c>
      <c r="R1063" s="317" t="str">
        <f t="shared" si="130"/>
        <v/>
      </c>
      <c r="S1063" s="317" t="str">
        <f t="shared" si="131"/>
        <v/>
      </c>
      <c r="T1063" s="317" t="str">
        <f>GLOBAL_DER_FEV_2023!S1063</f>
        <v/>
      </c>
      <c r="W1063" s="582">
        <v>0</v>
      </c>
      <c r="X1063" s="580"/>
      <c r="Y1063" s="583">
        <f>IF(GLOBAL_DER_FEV_2023!W1063=0,0,IF(GLOBAL_DER_FEV_2023!W1063&gt;0,"c","b"))</f>
        <v>0</v>
      </c>
    </row>
    <row r="1064" spans="1:25" ht="33.75" x14ac:dyDescent="0.2">
      <c r="A1064" s="317">
        <v>91893</v>
      </c>
      <c r="B1064" s="895">
        <v>91893</v>
      </c>
      <c r="C1064" s="896" t="s">
        <v>596</v>
      </c>
      <c r="D1064" s="906" t="s">
        <v>994</v>
      </c>
      <c r="E1064" s="907">
        <f>GLOBAL_DER_FEV_2023!E1064</f>
        <v>0</v>
      </c>
      <c r="F1064" s="908">
        <f>GLOBAL_DER_FEV_2023!F1064</f>
        <v>0</v>
      </c>
      <c r="G1064" s="912">
        <f>GLOBAL_DER_FEV_2023!G1064</f>
        <v>0</v>
      </c>
      <c r="H1064" s="901">
        <f>GLOBAL_DER_FEV_2023!H1064</f>
        <v>18.22</v>
      </c>
      <c r="I1064" s="901">
        <f>GLOBAL_DER_FEV_2023!I1064</f>
        <v>18.22</v>
      </c>
      <c r="J1064" s="902">
        <f>GLOBAL_DER_FEV_2023!J1064</f>
        <v>21.88</v>
      </c>
      <c r="K1064" s="903" t="s">
        <v>1516</v>
      </c>
      <c r="L1064" s="1137"/>
      <c r="M1064" s="1138">
        <f t="shared" si="128"/>
        <v>0</v>
      </c>
      <c r="N1064" s="893">
        <f t="shared" si="132"/>
        <v>0</v>
      </c>
      <c r="O1064" s="905"/>
      <c r="Q1064" s="317" t="str">
        <f t="shared" si="129"/>
        <v/>
      </c>
      <c r="R1064" s="317" t="str">
        <f t="shared" si="130"/>
        <v/>
      </c>
      <c r="S1064" s="317" t="str">
        <f t="shared" si="131"/>
        <v/>
      </c>
      <c r="T1064" s="317" t="str">
        <f>GLOBAL_DER_FEV_2023!S1064</f>
        <v/>
      </c>
      <c r="W1064" s="582">
        <v>0</v>
      </c>
      <c r="X1064" s="580"/>
      <c r="Y1064" s="583">
        <f>IF(GLOBAL_DER_FEV_2023!W1064=0,0,IF(GLOBAL_DER_FEV_2023!W1064&gt;0,"c","b"))</f>
        <v>0</v>
      </c>
    </row>
    <row r="1065" spans="1:25" ht="33.75" x14ac:dyDescent="0.2">
      <c r="A1065" s="317">
        <v>91896</v>
      </c>
      <c r="B1065" s="895">
        <v>91896</v>
      </c>
      <c r="C1065" s="896" t="s">
        <v>596</v>
      </c>
      <c r="D1065" s="906" t="s">
        <v>995</v>
      </c>
      <c r="E1065" s="907">
        <f>GLOBAL_DER_FEV_2023!E1065</f>
        <v>0</v>
      </c>
      <c r="F1065" s="908">
        <f>GLOBAL_DER_FEV_2023!F1065</f>
        <v>0</v>
      </c>
      <c r="G1065" s="912">
        <f>GLOBAL_DER_FEV_2023!G1065</f>
        <v>0</v>
      </c>
      <c r="H1065" s="901">
        <f>GLOBAL_DER_FEV_2023!H1065</f>
        <v>22.26</v>
      </c>
      <c r="I1065" s="901">
        <f>GLOBAL_DER_FEV_2023!I1065</f>
        <v>22.26</v>
      </c>
      <c r="J1065" s="902">
        <f>GLOBAL_DER_FEV_2023!J1065</f>
        <v>26.73</v>
      </c>
      <c r="K1065" s="903" t="s">
        <v>1516</v>
      </c>
      <c r="L1065" s="1137"/>
      <c r="M1065" s="1138">
        <f t="shared" si="128"/>
        <v>0</v>
      </c>
      <c r="N1065" s="893">
        <f t="shared" si="132"/>
        <v>0</v>
      </c>
      <c r="O1065" s="905"/>
      <c r="Q1065" s="317" t="str">
        <f t="shared" si="129"/>
        <v/>
      </c>
      <c r="R1065" s="317" t="str">
        <f t="shared" si="130"/>
        <v/>
      </c>
      <c r="S1065" s="317" t="str">
        <f t="shared" si="131"/>
        <v/>
      </c>
      <c r="T1065" s="317" t="str">
        <f>GLOBAL_DER_FEV_2023!S1065</f>
        <v/>
      </c>
      <c r="W1065" s="582">
        <v>0</v>
      </c>
      <c r="X1065" s="580"/>
      <c r="Y1065" s="583">
        <f>IF(GLOBAL_DER_FEV_2023!W1065=0,0,IF(GLOBAL_DER_FEV_2023!W1065&gt;0,"c","b"))</f>
        <v>0</v>
      </c>
    </row>
    <row r="1066" spans="1:25" ht="33.75" x14ac:dyDescent="0.2">
      <c r="A1066" s="317">
        <v>91898</v>
      </c>
      <c r="B1066" s="895">
        <v>91898</v>
      </c>
      <c r="C1066" s="896" t="s">
        <v>596</v>
      </c>
      <c r="D1066" s="906" t="s">
        <v>996</v>
      </c>
      <c r="E1066" s="907">
        <f>GLOBAL_DER_FEV_2023!E1066</f>
        <v>0</v>
      </c>
      <c r="F1066" s="908">
        <f>GLOBAL_DER_FEV_2023!F1066</f>
        <v>0</v>
      </c>
      <c r="G1066" s="912">
        <f>GLOBAL_DER_FEV_2023!G1066</f>
        <v>0</v>
      </c>
      <c r="H1066" s="901">
        <f>GLOBAL_DER_FEV_2023!H1066</f>
        <v>25.18</v>
      </c>
      <c r="I1066" s="901">
        <f>GLOBAL_DER_FEV_2023!I1066</f>
        <v>25.18</v>
      </c>
      <c r="J1066" s="902">
        <f>GLOBAL_DER_FEV_2023!J1066</f>
        <v>30.23</v>
      </c>
      <c r="K1066" s="903" t="s">
        <v>1516</v>
      </c>
      <c r="L1066" s="1137"/>
      <c r="M1066" s="1138">
        <f t="shared" si="128"/>
        <v>0</v>
      </c>
      <c r="N1066" s="893">
        <f t="shared" si="132"/>
        <v>0</v>
      </c>
      <c r="O1066" s="905"/>
      <c r="Q1066" s="317" t="str">
        <f t="shared" si="129"/>
        <v/>
      </c>
      <c r="R1066" s="317" t="str">
        <f t="shared" si="130"/>
        <v/>
      </c>
      <c r="S1066" s="317" t="str">
        <f t="shared" si="131"/>
        <v/>
      </c>
      <c r="T1066" s="317" t="str">
        <f>GLOBAL_DER_FEV_2023!S1066</f>
        <v/>
      </c>
      <c r="W1066" s="582">
        <v>0</v>
      </c>
      <c r="X1066" s="580"/>
      <c r="Y1066" s="583">
        <f>IF(GLOBAL_DER_FEV_2023!W1066=0,0,IF(GLOBAL_DER_FEV_2023!W1066&gt;0,"c","b"))</f>
        <v>0</v>
      </c>
    </row>
    <row r="1067" spans="1:25" ht="33.75" x14ac:dyDescent="0.2">
      <c r="A1067" s="317">
        <v>91899</v>
      </c>
      <c r="B1067" s="895">
        <v>91899</v>
      </c>
      <c r="C1067" s="896" t="s">
        <v>596</v>
      </c>
      <c r="D1067" s="906" t="s">
        <v>997</v>
      </c>
      <c r="E1067" s="907">
        <f>GLOBAL_DER_FEV_2023!E1067</f>
        <v>0</v>
      </c>
      <c r="F1067" s="908">
        <f>GLOBAL_DER_FEV_2023!F1067</f>
        <v>0</v>
      </c>
      <c r="G1067" s="912">
        <f>GLOBAL_DER_FEV_2023!G1067</f>
        <v>0</v>
      </c>
      <c r="H1067" s="901">
        <f>GLOBAL_DER_FEV_2023!H1067</f>
        <v>13.72</v>
      </c>
      <c r="I1067" s="901">
        <f>GLOBAL_DER_FEV_2023!I1067</f>
        <v>13.72</v>
      </c>
      <c r="J1067" s="902">
        <f>GLOBAL_DER_FEV_2023!J1067</f>
        <v>16.47</v>
      </c>
      <c r="K1067" s="903" t="s">
        <v>1516</v>
      </c>
      <c r="L1067" s="1137"/>
      <c r="M1067" s="1138">
        <f t="shared" si="128"/>
        <v>0</v>
      </c>
      <c r="N1067" s="893">
        <f t="shared" si="132"/>
        <v>0</v>
      </c>
      <c r="O1067" s="905"/>
      <c r="Q1067" s="317" t="str">
        <f t="shared" si="129"/>
        <v/>
      </c>
      <c r="R1067" s="317" t="str">
        <f t="shared" si="130"/>
        <v/>
      </c>
      <c r="S1067" s="317" t="str">
        <f t="shared" si="131"/>
        <v/>
      </c>
      <c r="T1067" s="317" t="str">
        <f>GLOBAL_DER_FEV_2023!S1067</f>
        <v/>
      </c>
      <c r="W1067" s="582">
        <v>0</v>
      </c>
      <c r="X1067" s="580"/>
      <c r="Y1067" s="583">
        <f>IF(GLOBAL_DER_FEV_2023!W1067=0,0,IF(GLOBAL_DER_FEV_2023!W1067&gt;0,"c","b"))</f>
        <v>0</v>
      </c>
    </row>
    <row r="1068" spans="1:25" ht="33.75" x14ac:dyDescent="0.2">
      <c r="A1068" s="317">
        <v>91901</v>
      </c>
      <c r="B1068" s="895">
        <v>91901</v>
      </c>
      <c r="C1068" s="896" t="s">
        <v>596</v>
      </c>
      <c r="D1068" s="906" t="s">
        <v>998</v>
      </c>
      <c r="E1068" s="907">
        <f>GLOBAL_DER_FEV_2023!E1068</f>
        <v>0</v>
      </c>
      <c r="F1068" s="908">
        <f>GLOBAL_DER_FEV_2023!F1068</f>
        <v>0</v>
      </c>
      <c r="G1068" s="912">
        <f>GLOBAL_DER_FEV_2023!G1068</f>
        <v>0</v>
      </c>
      <c r="H1068" s="901">
        <f>GLOBAL_DER_FEV_2023!H1068</f>
        <v>13.32</v>
      </c>
      <c r="I1068" s="901">
        <f>GLOBAL_DER_FEV_2023!I1068</f>
        <v>13.32</v>
      </c>
      <c r="J1068" s="902">
        <f>GLOBAL_DER_FEV_2023!J1068</f>
        <v>15.99</v>
      </c>
      <c r="K1068" s="903" t="s">
        <v>1516</v>
      </c>
      <c r="L1068" s="1137"/>
      <c r="M1068" s="1138">
        <f t="shared" si="128"/>
        <v>0</v>
      </c>
      <c r="N1068" s="893">
        <f t="shared" si="132"/>
        <v>0</v>
      </c>
      <c r="O1068" s="905"/>
      <c r="Q1068" s="317" t="str">
        <f t="shared" si="129"/>
        <v/>
      </c>
      <c r="R1068" s="317" t="str">
        <f t="shared" si="130"/>
        <v/>
      </c>
      <c r="S1068" s="317" t="str">
        <f t="shared" si="131"/>
        <v/>
      </c>
      <c r="T1068" s="317" t="str">
        <f>GLOBAL_DER_FEV_2023!S1068</f>
        <v/>
      </c>
      <c r="W1068" s="582">
        <v>0</v>
      </c>
      <c r="X1068" s="580"/>
      <c r="Y1068" s="583">
        <f>IF(GLOBAL_DER_FEV_2023!W1068=0,0,IF(GLOBAL_DER_FEV_2023!W1068&gt;0,"c","b"))</f>
        <v>0</v>
      </c>
    </row>
    <row r="1069" spans="1:25" ht="33.75" x14ac:dyDescent="0.2">
      <c r="A1069" s="317">
        <v>91902</v>
      </c>
      <c r="B1069" s="895">
        <v>91902</v>
      </c>
      <c r="C1069" s="896" t="s">
        <v>596</v>
      </c>
      <c r="D1069" s="906" t="s">
        <v>999</v>
      </c>
      <c r="E1069" s="907">
        <f>GLOBAL_DER_FEV_2023!E1069</f>
        <v>0</v>
      </c>
      <c r="F1069" s="908">
        <f>GLOBAL_DER_FEV_2023!F1069</f>
        <v>0</v>
      </c>
      <c r="G1069" s="912">
        <f>GLOBAL_DER_FEV_2023!G1069</f>
        <v>0</v>
      </c>
      <c r="H1069" s="901">
        <f>GLOBAL_DER_FEV_2023!H1069</f>
        <v>15.87</v>
      </c>
      <c r="I1069" s="901">
        <f>GLOBAL_DER_FEV_2023!I1069</f>
        <v>15.87</v>
      </c>
      <c r="J1069" s="902">
        <f>GLOBAL_DER_FEV_2023!J1069</f>
        <v>19.059999999999999</v>
      </c>
      <c r="K1069" s="903" t="s">
        <v>1516</v>
      </c>
      <c r="L1069" s="1137"/>
      <c r="M1069" s="1138">
        <f t="shared" si="128"/>
        <v>0</v>
      </c>
      <c r="N1069" s="893">
        <f t="shared" si="132"/>
        <v>0</v>
      </c>
      <c r="O1069" s="905"/>
      <c r="Q1069" s="317" t="str">
        <f t="shared" si="129"/>
        <v/>
      </c>
      <c r="R1069" s="317" t="str">
        <f t="shared" si="130"/>
        <v/>
      </c>
      <c r="S1069" s="317" t="str">
        <f t="shared" si="131"/>
        <v/>
      </c>
      <c r="T1069" s="317" t="str">
        <f>GLOBAL_DER_FEV_2023!S1069</f>
        <v/>
      </c>
      <c r="W1069" s="582">
        <v>0</v>
      </c>
      <c r="X1069" s="580"/>
      <c r="Y1069" s="583">
        <f>IF(GLOBAL_DER_FEV_2023!W1069=0,0,IF(GLOBAL_DER_FEV_2023!W1069&gt;0,"c","b"))</f>
        <v>0</v>
      </c>
    </row>
    <row r="1070" spans="1:25" ht="33.75" x14ac:dyDescent="0.2">
      <c r="A1070" s="317">
        <v>91895</v>
      </c>
      <c r="B1070" s="895">
        <v>91895</v>
      </c>
      <c r="C1070" s="896" t="s">
        <v>596</v>
      </c>
      <c r="D1070" s="906" t="s">
        <v>1000</v>
      </c>
      <c r="E1070" s="907">
        <f>GLOBAL_DER_FEV_2023!E1070</f>
        <v>0</v>
      </c>
      <c r="F1070" s="908">
        <f>GLOBAL_DER_FEV_2023!F1070</f>
        <v>0</v>
      </c>
      <c r="G1070" s="912">
        <f>GLOBAL_DER_FEV_2023!G1070</f>
        <v>0</v>
      </c>
      <c r="H1070" s="901">
        <f>GLOBAL_DER_FEV_2023!H1070</f>
        <v>20.96</v>
      </c>
      <c r="I1070" s="901">
        <f>GLOBAL_DER_FEV_2023!I1070</f>
        <v>20.96</v>
      </c>
      <c r="J1070" s="902">
        <f>GLOBAL_DER_FEV_2023!J1070</f>
        <v>25.17</v>
      </c>
      <c r="K1070" s="903" t="s">
        <v>1516</v>
      </c>
      <c r="L1070" s="1137"/>
      <c r="M1070" s="1138">
        <f t="shared" si="128"/>
        <v>0</v>
      </c>
      <c r="N1070" s="893">
        <f t="shared" si="132"/>
        <v>0</v>
      </c>
      <c r="O1070" s="905"/>
      <c r="Q1070" s="317" t="str">
        <f t="shared" si="129"/>
        <v/>
      </c>
      <c r="R1070" s="317" t="str">
        <f t="shared" si="130"/>
        <v/>
      </c>
      <c r="S1070" s="317" t="str">
        <f t="shared" si="131"/>
        <v/>
      </c>
      <c r="T1070" s="317" t="str">
        <f>GLOBAL_DER_FEV_2023!S1070</f>
        <v/>
      </c>
      <c r="W1070" s="582">
        <v>0</v>
      </c>
      <c r="X1070" s="580"/>
      <c r="Y1070" s="583">
        <f>IF(GLOBAL_DER_FEV_2023!W1070=0,0,IF(GLOBAL_DER_FEV_2023!W1070&gt;0,"c","b"))</f>
        <v>0</v>
      </c>
    </row>
    <row r="1071" spans="1:25" ht="33.75" x14ac:dyDescent="0.2">
      <c r="A1071" s="317">
        <v>91907</v>
      </c>
      <c r="B1071" s="895">
        <v>91907</v>
      </c>
      <c r="C1071" s="896" t="s">
        <v>596</v>
      </c>
      <c r="D1071" s="906" t="s">
        <v>1001</v>
      </c>
      <c r="E1071" s="907">
        <f>GLOBAL_DER_FEV_2023!E1071</f>
        <v>0</v>
      </c>
      <c r="F1071" s="908">
        <f>GLOBAL_DER_FEV_2023!F1071</f>
        <v>0</v>
      </c>
      <c r="G1071" s="912">
        <f>GLOBAL_DER_FEV_2023!G1071</f>
        <v>0</v>
      </c>
      <c r="H1071" s="901">
        <f>GLOBAL_DER_FEV_2023!H1071</f>
        <v>23.49</v>
      </c>
      <c r="I1071" s="901">
        <f>GLOBAL_DER_FEV_2023!I1071</f>
        <v>23.49</v>
      </c>
      <c r="J1071" s="902">
        <f>GLOBAL_DER_FEV_2023!J1071</f>
        <v>28.2</v>
      </c>
      <c r="K1071" s="903" t="s">
        <v>1516</v>
      </c>
      <c r="L1071" s="1137"/>
      <c r="M1071" s="1138">
        <f t="shared" si="128"/>
        <v>0</v>
      </c>
      <c r="N1071" s="893">
        <f t="shared" si="132"/>
        <v>0</v>
      </c>
      <c r="O1071" s="905"/>
      <c r="Q1071" s="317" t="str">
        <f t="shared" si="129"/>
        <v/>
      </c>
      <c r="R1071" s="317" t="str">
        <f t="shared" si="130"/>
        <v/>
      </c>
      <c r="S1071" s="317" t="str">
        <f t="shared" si="131"/>
        <v/>
      </c>
      <c r="T1071" s="317" t="str">
        <f>GLOBAL_DER_FEV_2023!S1071</f>
        <v/>
      </c>
      <c r="W1071" s="582">
        <v>0</v>
      </c>
      <c r="X1071" s="580"/>
      <c r="Y1071" s="583">
        <f>IF(GLOBAL_DER_FEV_2023!W1071=0,0,IF(GLOBAL_DER_FEV_2023!W1071&gt;0,"c","b"))</f>
        <v>0</v>
      </c>
    </row>
    <row r="1072" spans="1:25" ht="33.75" x14ac:dyDescent="0.2">
      <c r="A1072" s="317">
        <v>91919</v>
      </c>
      <c r="B1072" s="895">
        <v>91919</v>
      </c>
      <c r="C1072" s="896" t="s">
        <v>596</v>
      </c>
      <c r="D1072" s="906" t="s">
        <v>1002</v>
      </c>
      <c r="E1072" s="907">
        <f>GLOBAL_DER_FEV_2023!E1072</f>
        <v>0</v>
      </c>
      <c r="F1072" s="908">
        <f>GLOBAL_DER_FEV_2023!F1072</f>
        <v>0</v>
      </c>
      <c r="G1072" s="912">
        <f>GLOBAL_DER_FEV_2023!G1072</f>
        <v>0</v>
      </c>
      <c r="H1072" s="901">
        <f>GLOBAL_DER_FEV_2023!H1072</f>
        <v>24.8</v>
      </c>
      <c r="I1072" s="901">
        <f>GLOBAL_DER_FEV_2023!I1072</f>
        <v>24.8</v>
      </c>
      <c r="J1072" s="902">
        <f>GLOBAL_DER_FEV_2023!J1072</f>
        <v>29.78</v>
      </c>
      <c r="K1072" s="903" t="s">
        <v>1516</v>
      </c>
      <c r="L1072" s="1137"/>
      <c r="M1072" s="1138">
        <f t="shared" si="128"/>
        <v>0</v>
      </c>
      <c r="N1072" s="893">
        <f t="shared" si="132"/>
        <v>0</v>
      </c>
      <c r="O1072" s="905"/>
      <c r="Q1072" s="317" t="str">
        <f t="shared" si="129"/>
        <v/>
      </c>
      <c r="R1072" s="317" t="str">
        <f t="shared" si="130"/>
        <v/>
      </c>
      <c r="S1072" s="317" t="str">
        <f t="shared" si="131"/>
        <v/>
      </c>
      <c r="T1072" s="317" t="str">
        <f>GLOBAL_DER_FEV_2023!S1072</f>
        <v/>
      </c>
      <c r="W1072" s="582">
        <v>0</v>
      </c>
      <c r="X1072" s="580"/>
      <c r="Y1072" s="583">
        <f>IF(GLOBAL_DER_FEV_2023!W1072=0,0,IF(GLOBAL_DER_FEV_2023!W1072&gt;0,"c","b"))</f>
        <v>0</v>
      </c>
    </row>
    <row r="1073" spans="1:25" ht="33.75" x14ac:dyDescent="0.2">
      <c r="A1073" s="317">
        <v>91904</v>
      </c>
      <c r="B1073" s="895">
        <v>91904</v>
      </c>
      <c r="C1073" s="896" t="s">
        <v>596</v>
      </c>
      <c r="D1073" s="906" t="s">
        <v>1003</v>
      </c>
      <c r="E1073" s="907">
        <f>GLOBAL_DER_FEV_2023!E1073</f>
        <v>0</v>
      </c>
      <c r="F1073" s="908">
        <f>GLOBAL_DER_FEV_2023!F1073</f>
        <v>0</v>
      </c>
      <c r="G1073" s="912">
        <f>GLOBAL_DER_FEV_2023!G1073</f>
        <v>0</v>
      </c>
      <c r="H1073" s="901">
        <f>GLOBAL_DER_FEV_2023!H1073</f>
        <v>18.559999999999999</v>
      </c>
      <c r="I1073" s="901">
        <f>GLOBAL_DER_FEV_2023!I1073</f>
        <v>18.559999999999999</v>
      </c>
      <c r="J1073" s="902">
        <f>GLOBAL_DER_FEV_2023!J1073</f>
        <v>22.28</v>
      </c>
      <c r="K1073" s="903" t="s">
        <v>1516</v>
      </c>
      <c r="L1073" s="1137"/>
      <c r="M1073" s="1138">
        <f t="shared" si="128"/>
        <v>0</v>
      </c>
      <c r="N1073" s="893">
        <f t="shared" si="132"/>
        <v>0</v>
      </c>
      <c r="O1073" s="905"/>
      <c r="Q1073" s="317" t="str">
        <f t="shared" si="129"/>
        <v/>
      </c>
      <c r="R1073" s="317" t="str">
        <f t="shared" si="130"/>
        <v/>
      </c>
      <c r="S1073" s="317" t="str">
        <f t="shared" si="131"/>
        <v/>
      </c>
      <c r="T1073" s="317" t="str">
        <f>GLOBAL_DER_FEV_2023!S1073</f>
        <v/>
      </c>
      <c r="W1073" s="582">
        <v>0</v>
      </c>
      <c r="X1073" s="580"/>
      <c r="Y1073" s="583">
        <f>IF(GLOBAL_DER_FEV_2023!W1073=0,0,IF(GLOBAL_DER_FEV_2023!W1073&gt;0,"c","b"))</f>
        <v>0</v>
      </c>
    </row>
    <row r="1074" spans="1:25" ht="33.75" x14ac:dyDescent="0.2">
      <c r="A1074" s="317">
        <v>91905</v>
      </c>
      <c r="B1074" s="895">
        <v>91905</v>
      </c>
      <c r="C1074" s="896" t="s">
        <v>596</v>
      </c>
      <c r="D1074" s="906" t="s">
        <v>1004</v>
      </c>
      <c r="E1074" s="907">
        <f>GLOBAL_DER_FEV_2023!E1074</f>
        <v>0</v>
      </c>
      <c r="F1074" s="908">
        <f>GLOBAL_DER_FEV_2023!F1074</f>
        <v>0</v>
      </c>
      <c r="G1074" s="912">
        <f>GLOBAL_DER_FEV_2023!G1074</f>
        <v>0</v>
      </c>
      <c r="H1074" s="901">
        <f>GLOBAL_DER_FEV_2023!H1074</f>
        <v>20.75</v>
      </c>
      <c r="I1074" s="901">
        <f>GLOBAL_DER_FEV_2023!I1074</f>
        <v>20.75</v>
      </c>
      <c r="J1074" s="902">
        <f>GLOBAL_DER_FEV_2023!J1074</f>
        <v>24.91</v>
      </c>
      <c r="K1074" s="903" t="s">
        <v>1516</v>
      </c>
      <c r="L1074" s="1137"/>
      <c r="M1074" s="1138">
        <f t="shared" si="128"/>
        <v>0</v>
      </c>
      <c r="N1074" s="893">
        <f t="shared" si="132"/>
        <v>0</v>
      </c>
      <c r="O1074" s="905"/>
      <c r="Q1074" s="317" t="str">
        <f t="shared" si="129"/>
        <v/>
      </c>
      <c r="R1074" s="317" t="str">
        <f t="shared" si="130"/>
        <v/>
      </c>
      <c r="S1074" s="317" t="str">
        <f t="shared" si="131"/>
        <v/>
      </c>
      <c r="T1074" s="317" t="str">
        <f>GLOBAL_DER_FEV_2023!S1074</f>
        <v/>
      </c>
      <c r="W1074" s="582">
        <v>0</v>
      </c>
      <c r="X1074" s="580"/>
      <c r="Y1074" s="583">
        <f>IF(GLOBAL_DER_FEV_2023!W1074=0,0,IF(GLOBAL_DER_FEV_2023!W1074&gt;0,"c","b"))</f>
        <v>0</v>
      </c>
    </row>
    <row r="1075" spans="1:25" ht="33.75" x14ac:dyDescent="0.2">
      <c r="A1075" s="317">
        <v>91908</v>
      </c>
      <c r="B1075" s="895">
        <v>91908</v>
      </c>
      <c r="C1075" s="896" t="s">
        <v>596</v>
      </c>
      <c r="D1075" s="906" t="s">
        <v>1005</v>
      </c>
      <c r="E1075" s="907">
        <f>GLOBAL_DER_FEV_2023!E1075</f>
        <v>0</v>
      </c>
      <c r="F1075" s="908">
        <f>GLOBAL_DER_FEV_2023!F1075</f>
        <v>0</v>
      </c>
      <c r="G1075" s="912">
        <f>GLOBAL_DER_FEV_2023!G1075</f>
        <v>0</v>
      </c>
      <c r="H1075" s="901">
        <f>GLOBAL_DER_FEV_2023!H1075</f>
        <v>24.84</v>
      </c>
      <c r="I1075" s="901">
        <f>GLOBAL_DER_FEV_2023!I1075</f>
        <v>24.84</v>
      </c>
      <c r="J1075" s="902">
        <f>GLOBAL_DER_FEV_2023!J1075</f>
        <v>29.83</v>
      </c>
      <c r="K1075" s="903" t="s">
        <v>1516</v>
      </c>
      <c r="L1075" s="1137"/>
      <c r="M1075" s="1138">
        <f t="shared" si="128"/>
        <v>0</v>
      </c>
      <c r="N1075" s="893">
        <f t="shared" si="132"/>
        <v>0</v>
      </c>
      <c r="O1075" s="905"/>
      <c r="Q1075" s="317" t="str">
        <f t="shared" si="129"/>
        <v/>
      </c>
      <c r="R1075" s="317" t="str">
        <f t="shared" si="130"/>
        <v/>
      </c>
      <c r="S1075" s="317" t="str">
        <f t="shared" si="131"/>
        <v/>
      </c>
      <c r="T1075" s="317" t="str">
        <f>GLOBAL_DER_FEV_2023!S1075</f>
        <v/>
      </c>
      <c r="W1075" s="582">
        <v>0</v>
      </c>
      <c r="X1075" s="580"/>
      <c r="Y1075" s="583">
        <f>IF(GLOBAL_DER_FEV_2023!W1075=0,0,IF(GLOBAL_DER_FEV_2023!W1075&gt;0,"c","b"))</f>
        <v>0</v>
      </c>
    </row>
    <row r="1076" spans="1:25" ht="33.75" x14ac:dyDescent="0.2">
      <c r="A1076" s="317">
        <v>91910</v>
      </c>
      <c r="B1076" s="895">
        <v>91910</v>
      </c>
      <c r="C1076" s="896" t="s">
        <v>596</v>
      </c>
      <c r="D1076" s="906" t="s">
        <v>1006</v>
      </c>
      <c r="E1076" s="907">
        <f>GLOBAL_DER_FEV_2023!E1076</f>
        <v>0</v>
      </c>
      <c r="F1076" s="908">
        <f>GLOBAL_DER_FEV_2023!F1076</f>
        <v>0</v>
      </c>
      <c r="G1076" s="912">
        <f>GLOBAL_DER_FEV_2023!G1076</f>
        <v>0</v>
      </c>
      <c r="H1076" s="901">
        <f>GLOBAL_DER_FEV_2023!H1076</f>
        <v>27.76</v>
      </c>
      <c r="I1076" s="901">
        <f>GLOBAL_DER_FEV_2023!I1076</f>
        <v>27.76</v>
      </c>
      <c r="J1076" s="902">
        <f>GLOBAL_DER_FEV_2023!J1076</f>
        <v>33.33</v>
      </c>
      <c r="K1076" s="903" t="s">
        <v>1516</v>
      </c>
      <c r="L1076" s="1137"/>
      <c r="M1076" s="1138">
        <f t="shared" si="128"/>
        <v>0</v>
      </c>
      <c r="N1076" s="893">
        <f t="shared" si="132"/>
        <v>0</v>
      </c>
      <c r="O1076" s="905"/>
      <c r="Q1076" s="317" t="str">
        <f t="shared" si="129"/>
        <v/>
      </c>
      <c r="R1076" s="317" t="str">
        <f t="shared" si="130"/>
        <v/>
      </c>
      <c r="S1076" s="317" t="str">
        <f t="shared" si="131"/>
        <v/>
      </c>
      <c r="T1076" s="317" t="str">
        <f>GLOBAL_DER_FEV_2023!S1076</f>
        <v/>
      </c>
      <c r="W1076" s="582">
        <v>0</v>
      </c>
      <c r="X1076" s="580"/>
      <c r="Y1076" s="583">
        <f>IF(GLOBAL_DER_FEV_2023!W1076=0,0,IF(GLOBAL_DER_FEV_2023!W1076&gt;0,"c","b"))</f>
        <v>0</v>
      </c>
    </row>
    <row r="1077" spans="1:25" ht="33.75" x14ac:dyDescent="0.2">
      <c r="A1077" s="317">
        <v>91911</v>
      </c>
      <c r="B1077" s="895">
        <v>91911</v>
      </c>
      <c r="C1077" s="896" t="s">
        <v>596</v>
      </c>
      <c r="D1077" s="906" t="s">
        <v>1007</v>
      </c>
      <c r="E1077" s="907">
        <f>GLOBAL_DER_FEV_2023!E1077</f>
        <v>0</v>
      </c>
      <c r="F1077" s="908">
        <f>GLOBAL_DER_FEV_2023!F1077</f>
        <v>0</v>
      </c>
      <c r="G1077" s="912">
        <f>GLOBAL_DER_FEV_2023!G1077</f>
        <v>0</v>
      </c>
      <c r="H1077" s="901">
        <f>GLOBAL_DER_FEV_2023!H1077</f>
        <v>16.600000000000001</v>
      </c>
      <c r="I1077" s="901">
        <f>GLOBAL_DER_FEV_2023!I1077</f>
        <v>16.600000000000001</v>
      </c>
      <c r="J1077" s="902">
        <f>GLOBAL_DER_FEV_2023!J1077</f>
        <v>19.93</v>
      </c>
      <c r="K1077" s="903" t="s">
        <v>1516</v>
      </c>
      <c r="L1077" s="1137"/>
      <c r="M1077" s="1138">
        <f t="shared" si="128"/>
        <v>0</v>
      </c>
      <c r="N1077" s="893">
        <f t="shared" si="132"/>
        <v>0</v>
      </c>
      <c r="O1077" s="905"/>
      <c r="Q1077" s="317" t="str">
        <f t="shared" si="129"/>
        <v/>
      </c>
      <c r="R1077" s="317" t="str">
        <f t="shared" si="130"/>
        <v/>
      </c>
      <c r="S1077" s="317" t="str">
        <f t="shared" si="131"/>
        <v/>
      </c>
      <c r="T1077" s="317" t="str">
        <f>GLOBAL_DER_FEV_2023!S1077</f>
        <v/>
      </c>
      <c r="W1077" s="582">
        <v>0</v>
      </c>
      <c r="X1077" s="580"/>
      <c r="Y1077" s="583">
        <f>IF(GLOBAL_DER_FEV_2023!W1077=0,0,IF(GLOBAL_DER_FEV_2023!W1077&gt;0,"c","b"))</f>
        <v>0</v>
      </c>
    </row>
    <row r="1078" spans="1:25" ht="33.75" x14ac:dyDescent="0.2">
      <c r="A1078" s="317">
        <v>91913</v>
      </c>
      <c r="B1078" s="895">
        <v>91913</v>
      </c>
      <c r="C1078" s="896" t="s">
        <v>596</v>
      </c>
      <c r="D1078" s="906" t="s">
        <v>1008</v>
      </c>
      <c r="E1078" s="907">
        <f>GLOBAL_DER_FEV_2023!E1078</f>
        <v>0</v>
      </c>
      <c r="F1078" s="908">
        <f>GLOBAL_DER_FEV_2023!F1078</f>
        <v>0</v>
      </c>
      <c r="G1078" s="912">
        <f>GLOBAL_DER_FEV_2023!G1078</f>
        <v>0</v>
      </c>
      <c r="H1078" s="901">
        <f>GLOBAL_DER_FEV_2023!H1078</f>
        <v>16.2</v>
      </c>
      <c r="I1078" s="901">
        <f>GLOBAL_DER_FEV_2023!I1078</f>
        <v>16.2</v>
      </c>
      <c r="J1078" s="902">
        <f>GLOBAL_DER_FEV_2023!J1078</f>
        <v>19.45</v>
      </c>
      <c r="K1078" s="903" t="s">
        <v>1516</v>
      </c>
      <c r="L1078" s="1137"/>
      <c r="M1078" s="1138">
        <f t="shared" si="128"/>
        <v>0</v>
      </c>
      <c r="N1078" s="893">
        <f t="shared" si="132"/>
        <v>0</v>
      </c>
      <c r="O1078" s="905"/>
      <c r="Q1078" s="317" t="str">
        <f t="shared" si="129"/>
        <v/>
      </c>
      <c r="R1078" s="317" t="str">
        <f t="shared" si="130"/>
        <v/>
      </c>
      <c r="S1078" s="317" t="str">
        <f t="shared" si="131"/>
        <v/>
      </c>
      <c r="T1078" s="317" t="str">
        <f>GLOBAL_DER_FEV_2023!S1078</f>
        <v/>
      </c>
      <c r="W1078" s="582">
        <v>0</v>
      </c>
      <c r="X1078" s="580"/>
      <c r="Y1078" s="583">
        <f>IF(GLOBAL_DER_FEV_2023!W1078=0,0,IF(GLOBAL_DER_FEV_2023!W1078&gt;0,"c","b"))</f>
        <v>0</v>
      </c>
    </row>
    <row r="1079" spans="1:25" ht="33.75" x14ac:dyDescent="0.2">
      <c r="A1079" s="317">
        <v>91914</v>
      </c>
      <c r="B1079" s="895">
        <v>91914</v>
      </c>
      <c r="C1079" s="896" t="s">
        <v>596</v>
      </c>
      <c r="D1079" s="906" t="s">
        <v>1009</v>
      </c>
      <c r="E1079" s="907">
        <f>GLOBAL_DER_FEV_2023!E1079</f>
        <v>0</v>
      </c>
      <c r="F1079" s="908">
        <f>GLOBAL_DER_FEV_2023!F1079</f>
        <v>0</v>
      </c>
      <c r="G1079" s="912">
        <f>GLOBAL_DER_FEV_2023!G1079</f>
        <v>0</v>
      </c>
      <c r="H1079" s="901">
        <f>GLOBAL_DER_FEV_2023!H1079</f>
        <v>18.09</v>
      </c>
      <c r="I1079" s="901">
        <f>GLOBAL_DER_FEV_2023!I1079</f>
        <v>18.09</v>
      </c>
      <c r="J1079" s="902">
        <f>GLOBAL_DER_FEV_2023!J1079</f>
        <v>21.72</v>
      </c>
      <c r="K1079" s="903" t="s">
        <v>1516</v>
      </c>
      <c r="L1079" s="1137"/>
      <c r="M1079" s="1138">
        <f t="shared" si="128"/>
        <v>0</v>
      </c>
      <c r="N1079" s="893">
        <f t="shared" si="132"/>
        <v>0</v>
      </c>
      <c r="O1079" s="905"/>
      <c r="Q1079" s="317" t="str">
        <f t="shared" si="129"/>
        <v/>
      </c>
      <c r="R1079" s="317" t="str">
        <f t="shared" si="130"/>
        <v/>
      </c>
      <c r="S1079" s="317" t="str">
        <f t="shared" si="131"/>
        <v/>
      </c>
      <c r="T1079" s="317" t="str">
        <f>GLOBAL_DER_FEV_2023!S1079</f>
        <v/>
      </c>
      <c r="W1079" s="582">
        <v>0</v>
      </c>
      <c r="X1079" s="580"/>
      <c r="Y1079" s="583">
        <f>IF(GLOBAL_DER_FEV_2023!W1079=0,0,IF(GLOBAL_DER_FEV_2023!W1079&gt;0,"c","b"))</f>
        <v>0</v>
      </c>
    </row>
    <row r="1080" spans="1:25" ht="33.75" x14ac:dyDescent="0.2">
      <c r="A1080" s="317">
        <v>91916</v>
      </c>
      <c r="B1080" s="895">
        <v>91916</v>
      </c>
      <c r="C1080" s="896" t="s">
        <v>596</v>
      </c>
      <c r="D1080" s="906" t="s">
        <v>1010</v>
      </c>
      <c r="E1080" s="907">
        <f>GLOBAL_DER_FEV_2023!E1080</f>
        <v>0</v>
      </c>
      <c r="F1080" s="908">
        <f>GLOBAL_DER_FEV_2023!F1080</f>
        <v>0</v>
      </c>
      <c r="G1080" s="912">
        <f>GLOBAL_DER_FEV_2023!G1080</f>
        <v>0</v>
      </c>
      <c r="H1080" s="901">
        <f>GLOBAL_DER_FEV_2023!H1080</f>
        <v>20.78</v>
      </c>
      <c r="I1080" s="901">
        <f>GLOBAL_DER_FEV_2023!I1080</f>
        <v>20.78</v>
      </c>
      <c r="J1080" s="902">
        <f>GLOBAL_DER_FEV_2023!J1080</f>
        <v>24.95</v>
      </c>
      <c r="K1080" s="903" t="s">
        <v>1516</v>
      </c>
      <c r="L1080" s="1137"/>
      <c r="M1080" s="1138">
        <f t="shared" si="128"/>
        <v>0</v>
      </c>
      <c r="N1080" s="893">
        <f t="shared" si="132"/>
        <v>0</v>
      </c>
      <c r="O1080" s="905"/>
      <c r="Q1080" s="317" t="str">
        <f t="shared" si="129"/>
        <v/>
      </c>
      <c r="R1080" s="317" t="str">
        <f t="shared" si="130"/>
        <v/>
      </c>
      <c r="S1080" s="317" t="str">
        <f t="shared" si="131"/>
        <v/>
      </c>
      <c r="T1080" s="317" t="str">
        <f>GLOBAL_DER_FEV_2023!S1080</f>
        <v/>
      </c>
      <c r="W1080" s="582">
        <v>0</v>
      </c>
      <c r="X1080" s="580"/>
      <c r="Y1080" s="583">
        <f>IF(GLOBAL_DER_FEV_2023!W1080=0,0,IF(GLOBAL_DER_FEV_2023!W1080&gt;0,"c","b"))</f>
        <v>0</v>
      </c>
    </row>
    <row r="1081" spans="1:25" ht="33.75" x14ac:dyDescent="0.2">
      <c r="A1081" s="317">
        <v>91917</v>
      </c>
      <c r="B1081" s="895">
        <v>91917</v>
      </c>
      <c r="C1081" s="896" t="s">
        <v>596</v>
      </c>
      <c r="D1081" s="906" t="s">
        <v>1011</v>
      </c>
      <c r="E1081" s="907">
        <f>GLOBAL_DER_FEV_2023!E1081</f>
        <v>0</v>
      </c>
      <c r="F1081" s="908">
        <f>GLOBAL_DER_FEV_2023!F1081</f>
        <v>0</v>
      </c>
      <c r="G1081" s="912">
        <f>GLOBAL_DER_FEV_2023!G1081</f>
        <v>0</v>
      </c>
      <c r="H1081" s="901">
        <f>GLOBAL_DER_FEV_2023!H1081</f>
        <v>22.06</v>
      </c>
      <c r="I1081" s="901">
        <f>GLOBAL_DER_FEV_2023!I1081</f>
        <v>22.06</v>
      </c>
      <c r="J1081" s="902">
        <f>GLOBAL_DER_FEV_2023!J1081</f>
        <v>26.49</v>
      </c>
      <c r="K1081" s="903" t="s">
        <v>1516</v>
      </c>
      <c r="L1081" s="1137"/>
      <c r="M1081" s="1138">
        <f t="shared" si="128"/>
        <v>0</v>
      </c>
      <c r="N1081" s="893">
        <f t="shared" si="132"/>
        <v>0</v>
      </c>
      <c r="O1081" s="905"/>
      <c r="Q1081" s="317" t="str">
        <f t="shared" si="129"/>
        <v/>
      </c>
      <c r="R1081" s="317" t="str">
        <f t="shared" si="130"/>
        <v/>
      </c>
      <c r="S1081" s="317" t="str">
        <f t="shared" si="131"/>
        <v/>
      </c>
      <c r="T1081" s="317" t="str">
        <f>GLOBAL_DER_FEV_2023!S1081</f>
        <v/>
      </c>
      <c r="W1081" s="582">
        <v>0</v>
      </c>
      <c r="X1081" s="580"/>
      <c r="Y1081" s="583">
        <f>IF(GLOBAL_DER_FEV_2023!W1081=0,0,IF(GLOBAL_DER_FEV_2023!W1081&gt;0,"c","b"))</f>
        <v>0</v>
      </c>
    </row>
    <row r="1082" spans="1:25" ht="33.75" x14ac:dyDescent="0.2">
      <c r="A1082" s="317">
        <v>91920</v>
      </c>
      <c r="B1082" s="895">
        <v>91920</v>
      </c>
      <c r="C1082" s="896" t="s">
        <v>596</v>
      </c>
      <c r="D1082" s="906" t="s">
        <v>1012</v>
      </c>
      <c r="E1082" s="907">
        <f>GLOBAL_DER_FEV_2023!E1082</f>
        <v>0</v>
      </c>
      <c r="F1082" s="908">
        <f>GLOBAL_DER_FEV_2023!F1082</f>
        <v>0</v>
      </c>
      <c r="G1082" s="912">
        <f>GLOBAL_DER_FEV_2023!G1082</f>
        <v>0</v>
      </c>
      <c r="H1082" s="901">
        <f>GLOBAL_DER_FEV_2023!H1082</f>
        <v>25.15</v>
      </c>
      <c r="I1082" s="901">
        <f>GLOBAL_DER_FEV_2023!I1082</f>
        <v>25.15</v>
      </c>
      <c r="J1082" s="902">
        <f>GLOBAL_DER_FEV_2023!J1082</f>
        <v>30.2</v>
      </c>
      <c r="K1082" s="903" t="s">
        <v>1516</v>
      </c>
      <c r="L1082" s="1137"/>
      <c r="M1082" s="1138">
        <f t="shared" si="128"/>
        <v>0</v>
      </c>
      <c r="N1082" s="893">
        <f t="shared" si="132"/>
        <v>0</v>
      </c>
      <c r="O1082" s="905"/>
      <c r="Q1082" s="317" t="str">
        <f t="shared" si="129"/>
        <v/>
      </c>
      <c r="R1082" s="317" t="str">
        <f t="shared" si="130"/>
        <v/>
      </c>
      <c r="S1082" s="317" t="str">
        <f t="shared" si="131"/>
        <v/>
      </c>
      <c r="T1082" s="317" t="str">
        <f>GLOBAL_DER_FEV_2023!S1082</f>
        <v/>
      </c>
      <c r="W1082" s="582">
        <v>0</v>
      </c>
      <c r="X1082" s="580"/>
      <c r="Y1082" s="583">
        <f>IF(GLOBAL_DER_FEV_2023!W1082=0,0,IF(GLOBAL_DER_FEV_2023!W1082&gt;0,"c","b"))</f>
        <v>0</v>
      </c>
    </row>
    <row r="1083" spans="1:25" ht="33.75" x14ac:dyDescent="0.2">
      <c r="A1083" s="317">
        <v>91922</v>
      </c>
      <c r="B1083" s="895">
        <v>91922</v>
      </c>
      <c r="C1083" s="896" t="s">
        <v>596</v>
      </c>
      <c r="D1083" s="906" t="s">
        <v>1013</v>
      </c>
      <c r="E1083" s="907">
        <f>GLOBAL_DER_FEV_2023!E1083</f>
        <v>0</v>
      </c>
      <c r="F1083" s="908">
        <f>GLOBAL_DER_FEV_2023!F1083</f>
        <v>0</v>
      </c>
      <c r="G1083" s="912">
        <f>GLOBAL_DER_FEV_2023!G1083</f>
        <v>0</v>
      </c>
      <c r="H1083" s="901">
        <f>GLOBAL_DER_FEV_2023!H1083</f>
        <v>28.07</v>
      </c>
      <c r="I1083" s="901">
        <f>GLOBAL_DER_FEV_2023!I1083</f>
        <v>28.07</v>
      </c>
      <c r="J1083" s="902">
        <f>GLOBAL_DER_FEV_2023!J1083</f>
        <v>33.700000000000003</v>
      </c>
      <c r="K1083" s="903" t="s">
        <v>1516</v>
      </c>
      <c r="L1083" s="1137"/>
      <c r="M1083" s="1138">
        <f t="shared" si="128"/>
        <v>0</v>
      </c>
      <c r="N1083" s="893">
        <f t="shared" si="132"/>
        <v>0</v>
      </c>
      <c r="O1083" s="905"/>
      <c r="Q1083" s="317" t="str">
        <f t="shared" si="129"/>
        <v/>
      </c>
      <c r="R1083" s="317" t="str">
        <f t="shared" si="130"/>
        <v/>
      </c>
      <c r="S1083" s="317" t="str">
        <f t="shared" si="131"/>
        <v/>
      </c>
      <c r="T1083" s="317" t="str">
        <f>GLOBAL_DER_FEV_2023!S1083</f>
        <v/>
      </c>
      <c r="W1083" s="582">
        <v>0</v>
      </c>
      <c r="X1083" s="580"/>
      <c r="Y1083" s="583">
        <f>IF(GLOBAL_DER_FEV_2023!W1083=0,0,IF(GLOBAL_DER_FEV_2023!W1083&gt;0,"c","b"))</f>
        <v>0</v>
      </c>
    </row>
    <row r="1084" spans="1:25" ht="22.5" x14ac:dyDescent="0.2">
      <c r="A1084" s="317">
        <v>93013</v>
      </c>
      <c r="B1084" s="895">
        <v>93013</v>
      </c>
      <c r="C1084" s="896" t="s">
        <v>596</v>
      </c>
      <c r="D1084" s="906" t="s">
        <v>1014</v>
      </c>
      <c r="E1084" s="907">
        <f>GLOBAL_DER_FEV_2023!E1084</f>
        <v>0</v>
      </c>
      <c r="F1084" s="908">
        <f>GLOBAL_DER_FEV_2023!F1084</f>
        <v>0</v>
      </c>
      <c r="G1084" s="912">
        <f>GLOBAL_DER_FEV_2023!G1084</f>
        <v>0</v>
      </c>
      <c r="H1084" s="901">
        <f>GLOBAL_DER_FEV_2023!H1084</f>
        <v>18.309999999999999</v>
      </c>
      <c r="I1084" s="901">
        <f>GLOBAL_DER_FEV_2023!I1084</f>
        <v>18.309999999999999</v>
      </c>
      <c r="J1084" s="902">
        <f>GLOBAL_DER_FEV_2023!J1084</f>
        <v>21.98</v>
      </c>
      <c r="K1084" s="903" t="s">
        <v>1516</v>
      </c>
      <c r="L1084" s="1137"/>
      <c r="M1084" s="1138">
        <f t="shared" si="128"/>
        <v>0</v>
      </c>
      <c r="N1084" s="893">
        <f t="shared" si="132"/>
        <v>0</v>
      </c>
      <c r="O1084" s="905"/>
      <c r="Q1084" s="317" t="str">
        <f t="shared" si="129"/>
        <v/>
      </c>
      <c r="R1084" s="317" t="str">
        <f t="shared" si="130"/>
        <v/>
      </c>
      <c r="S1084" s="317" t="str">
        <f t="shared" si="131"/>
        <v/>
      </c>
      <c r="T1084" s="317" t="str">
        <f>GLOBAL_DER_FEV_2023!S1084</f>
        <v/>
      </c>
      <c r="W1084" s="582">
        <v>0</v>
      </c>
      <c r="X1084" s="580"/>
      <c r="Y1084" s="583">
        <f>IF(GLOBAL_DER_FEV_2023!W1084=0,0,IF(GLOBAL_DER_FEV_2023!W1084&gt;0,"c","b"))</f>
        <v>0</v>
      </c>
    </row>
    <row r="1085" spans="1:25" ht="22.5" x14ac:dyDescent="0.2">
      <c r="A1085" s="317">
        <v>93014</v>
      </c>
      <c r="B1085" s="895">
        <v>93014</v>
      </c>
      <c r="C1085" s="896" t="s">
        <v>596</v>
      </c>
      <c r="D1085" s="906" t="s">
        <v>1015</v>
      </c>
      <c r="E1085" s="907">
        <f>GLOBAL_DER_FEV_2023!E1085</f>
        <v>0</v>
      </c>
      <c r="F1085" s="908">
        <f>GLOBAL_DER_FEV_2023!F1085</f>
        <v>0</v>
      </c>
      <c r="G1085" s="912">
        <f>GLOBAL_DER_FEV_2023!G1085</f>
        <v>0</v>
      </c>
      <c r="H1085" s="901">
        <f>GLOBAL_DER_FEV_2023!H1085</f>
        <v>22.49</v>
      </c>
      <c r="I1085" s="901">
        <f>GLOBAL_DER_FEV_2023!I1085</f>
        <v>22.49</v>
      </c>
      <c r="J1085" s="902">
        <f>GLOBAL_DER_FEV_2023!J1085</f>
        <v>27</v>
      </c>
      <c r="K1085" s="903" t="s">
        <v>1516</v>
      </c>
      <c r="L1085" s="1137"/>
      <c r="M1085" s="1138">
        <f t="shared" si="128"/>
        <v>0</v>
      </c>
      <c r="N1085" s="893">
        <f t="shared" si="132"/>
        <v>0</v>
      </c>
      <c r="O1085" s="905"/>
      <c r="Q1085" s="317" t="str">
        <f t="shared" si="129"/>
        <v/>
      </c>
      <c r="R1085" s="317" t="str">
        <f t="shared" si="130"/>
        <v/>
      </c>
      <c r="S1085" s="317" t="str">
        <f t="shared" si="131"/>
        <v/>
      </c>
      <c r="T1085" s="317" t="str">
        <f>GLOBAL_DER_FEV_2023!S1085</f>
        <v/>
      </c>
      <c r="W1085" s="582">
        <v>0</v>
      </c>
      <c r="X1085" s="580"/>
      <c r="Y1085" s="583">
        <f>IF(GLOBAL_DER_FEV_2023!W1085=0,0,IF(GLOBAL_DER_FEV_2023!W1085&gt;0,"c","b"))</f>
        <v>0</v>
      </c>
    </row>
    <row r="1086" spans="1:25" ht="22.5" x14ac:dyDescent="0.2">
      <c r="A1086" s="317">
        <v>93015</v>
      </c>
      <c r="B1086" s="895">
        <v>93015</v>
      </c>
      <c r="C1086" s="896" t="s">
        <v>596</v>
      </c>
      <c r="D1086" s="906" t="s">
        <v>1016</v>
      </c>
      <c r="E1086" s="907">
        <f>GLOBAL_DER_FEV_2023!E1086</f>
        <v>0</v>
      </c>
      <c r="F1086" s="908">
        <f>GLOBAL_DER_FEV_2023!F1086</f>
        <v>0</v>
      </c>
      <c r="G1086" s="912">
        <f>GLOBAL_DER_FEV_2023!G1086</f>
        <v>0</v>
      </c>
      <c r="H1086" s="901">
        <f>GLOBAL_DER_FEV_2023!H1086</f>
        <v>34.130000000000003</v>
      </c>
      <c r="I1086" s="901">
        <f>GLOBAL_DER_FEV_2023!I1086</f>
        <v>34.130000000000003</v>
      </c>
      <c r="J1086" s="902">
        <f>GLOBAL_DER_FEV_2023!J1086</f>
        <v>40.98</v>
      </c>
      <c r="K1086" s="903" t="s">
        <v>1516</v>
      </c>
      <c r="L1086" s="1137"/>
      <c r="M1086" s="1138">
        <f t="shared" si="128"/>
        <v>0</v>
      </c>
      <c r="N1086" s="893">
        <f t="shared" si="132"/>
        <v>0</v>
      </c>
      <c r="O1086" s="905"/>
      <c r="Q1086" s="317" t="str">
        <f t="shared" si="129"/>
        <v/>
      </c>
      <c r="R1086" s="317" t="str">
        <f t="shared" si="130"/>
        <v/>
      </c>
      <c r="S1086" s="317" t="str">
        <f t="shared" si="131"/>
        <v/>
      </c>
      <c r="T1086" s="317" t="str">
        <f>GLOBAL_DER_FEV_2023!S1086</f>
        <v/>
      </c>
      <c r="W1086" s="582">
        <v>0</v>
      </c>
      <c r="X1086" s="580"/>
      <c r="Y1086" s="583">
        <f>IF(GLOBAL_DER_FEV_2023!W1086=0,0,IF(GLOBAL_DER_FEV_2023!W1086&gt;0,"c","b"))</f>
        <v>0</v>
      </c>
    </row>
    <row r="1087" spans="1:25" ht="22.5" x14ac:dyDescent="0.2">
      <c r="A1087" s="317">
        <v>93016</v>
      </c>
      <c r="B1087" s="895">
        <v>93016</v>
      </c>
      <c r="C1087" s="896" t="s">
        <v>596</v>
      </c>
      <c r="D1087" s="906" t="s">
        <v>1017</v>
      </c>
      <c r="E1087" s="907">
        <f>GLOBAL_DER_FEV_2023!E1087</f>
        <v>0</v>
      </c>
      <c r="F1087" s="908">
        <f>GLOBAL_DER_FEV_2023!F1087</f>
        <v>0</v>
      </c>
      <c r="G1087" s="912">
        <f>GLOBAL_DER_FEV_2023!G1087</f>
        <v>0</v>
      </c>
      <c r="H1087" s="901">
        <f>GLOBAL_DER_FEV_2023!H1087</f>
        <v>41.5</v>
      </c>
      <c r="I1087" s="901">
        <f>GLOBAL_DER_FEV_2023!I1087</f>
        <v>41.5</v>
      </c>
      <c r="J1087" s="902">
        <f>GLOBAL_DER_FEV_2023!J1087</f>
        <v>49.83</v>
      </c>
      <c r="K1087" s="903" t="s">
        <v>1516</v>
      </c>
      <c r="L1087" s="1137"/>
      <c r="M1087" s="1138">
        <f t="shared" si="128"/>
        <v>0</v>
      </c>
      <c r="N1087" s="893">
        <f t="shared" si="132"/>
        <v>0</v>
      </c>
      <c r="O1087" s="905"/>
      <c r="Q1087" s="317" t="str">
        <f t="shared" si="129"/>
        <v/>
      </c>
      <c r="R1087" s="317" t="str">
        <f t="shared" si="130"/>
        <v/>
      </c>
      <c r="S1087" s="317" t="str">
        <f t="shared" si="131"/>
        <v/>
      </c>
      <c r="T1087" s="317" t="str">
        <f>GLOBAL_DER_FEV_2023!S1087</f>
        <v/>
      </c>
      <c r="W1087" s="582">
        <v>0</v>
      </c>
      <c r="X1087" s="580"/>
      <c r="Y1087" s="583">
        <f>IF(GLOBAL_DER_FEV_2023!W1087=0,0,IF(GLOBAL_DER_FEV_2023!W1087&gt;0,"c","b"))</f>
        <v>0</v>
      </c>
    </row>
    <row r="1088" spans="1:25" ht="22.5" x14ac:dyDescent="0.2">
      <c r="A1088" s="317">
        <v>93017</v>
      </c>
      <c r="B1088" s="895">
        <v>93017</v>
      </c>
      <c r="C1088" s="896" t="s">
        <v>596</v>
      </c>
      <c r="D1088" s="906" t="s">
        <v>1018</v>
      </c>
      <c r="E1088" s="907">
        <f>GLOBAL_DER_FEV_2023!E1088</f>
        <v>0</v>
      </c>
      <c r="F1088" s="908">
        <f>GLOBAL_DER_FEV_2023!F1088</f>
        <v>0</v>
      </c>
      <c r="G1088" s="912">
        <f>GLOBAL_DER_FEV_2023!G1088</f>
        <v>0</v>
      </c>
      <c r="H1088" s="901">
        <f>GLOBAL_DER_FEV_2023!H1088</f>
        <v>62.43</v>
      </c>
      <c r="I1088" s="901">
        <f>GLOBAL_DER_FEV_2023!I1088</f>
        <v>62.43</v>
      </c>
      <c r="J1088" s="902">
        <f>GLOBAL_DER_FEV_2023!J1088</f>
        <v>74.959999999999994</v>
      </c>
      <c r="K1088" s="903" t="s">
        <v>1516</v>
      </c>
      <c r="L1088" s="1137"/>
      <c r="M1088" s="1138">
        <f t="shared" si="128"/>
        <v>0</v>
      </c>
      <c r="N1088" s="893">
        <f t="shared" si="132"/>
        <v>0</v>
      </c>
      <c r="O1088" s="905"/>
      <c r="Q1088" s="317" t="str">
        <f t="shared" si="129"/>
        <v/>
      </c>
      <c r="R1088" s="317" t="str">
        <f t="shared" si="130"/>
        <v/>
      </c>
      <c r="S1088" s="317" t="str">
        <f t="shared" si="131"/>
        <v/>
      </c>
      <c r="T1088" s="317" t="str">
        <f>GLOBAL_DER_FEV_2023!S1088</f>
        <v/>
      </c>
      <c r="W1088" s="582">
        <v>0</v>
      </c>
      <c r="X1088" s="580"/>
      <c r="Y1088" s="583">
        <f>IF(GLOBAL_DER_FEV_2023!W1088=0,0,IF(GLOBAL_DER_FEV_2023!W1088&gt;0,"c","b"))</f>
        <v>0</v>
      </c>
    </row>
    <row r="1089" spans="1:25" ht="22.5" x14ac:dyDescent="0.2">
      <c r="A1089" s="317">
        <v>93018</v>
      </c>
      <c r="B1089" s="895">
        <v>93018</v>
      </c>
      <c r="C1089" s="896" t="s">
        <v>596</v>
      </c>
      <c r="D1089" s="906" t="s">
        <v>1019</v>
      </c>
      <c r="E1089" s="907">
        <f>GLOBAL_DER_FEV_2023!E1089</f>
        <v>0</v>
      </c>
      <c r="F1089" s="908">
        <f>GLOBAL_DER_FEV_2023!F1089</f>
        <v>0</v>
      </c>
      <c r="G1089" s="912">
        <f>GLOBAL_DER_FEV_2023!G1089</f>
        <v>0</v>
      </c>
      <c r="H1089" s="901">
        <f>GLOBAL_DER_FEV_2023!H1089</f>
        <v>27.96</v>
      </c>
      <c r="I1089" s="901">
        <f>GLOBAL_DER_FEV_2023!I1089</f>
        <v>27.96</v>
      </c>
      <c r="J1089" s="902">
        <f>GLOBAL_DER_FEV_2023!J1089</f>
        <v>33.57</v>
      </c>
      <c r="K1089" s="903" t="s">
        <v>1516</v>
      </c>
      <c r="L1089" s="1137"/>
      <c r="M1089" s="1138">
        <f t="shared" si="128"/>
        <v>0</v>
      </c>
      <c r="N1089" s="893">
        <f t="shared" si="132"/>
        <v>0</v>
      </c>
      <c r="O1089" s="905"/>
      <c r="Q1089" s="317" t="str">
        <f t="shared" si="129"/>
        <v/>
      </c>
      <c r="R1089" s="317" t="str">
        <f t="shared" si="130"/>
        <v/>
      </c>
      <c r="S1089" s="317" t="str">
        <f t="shared" si="131"/>
        <v/>
      </c>
      <c r="T1089" s="317" t="str">
        <f>GLOBAL_DER_FEV_2023!S1089</f>
        <v/>
      </c>
      <c r="W1089" s="582">
        <v>0</v>
      </c>
      <c r="X1089" s="580"/>
      <c r="Y1089" s="583">
        <f>IF(GLOBAL_DER_FEV_2023!W1089=0,0,IF(GLOBAL_DER_FEV_2023!W1089&gt;0,"c","b"))</f>
        <v>0</v>
      </c>
    </row>
    <row r="1090" spans="1:25" ht="22.5" x14ac:dyDescent="0.2">
      <c r="A1090" s="317">
        <v>93020</v>
      </c>
      <c r="B1090" s="895">
        <v>93020</v>
      </c>
      <c r="C1090" s="896" t="s">
        <v>596</v>
      </c>
      <c r="D1090" s="906" t="s">
        <v>1020</v>
      </c>
      <c r="E1090" s="907">
        <f>GLOBAL_DER_FEV_2023!E1090</f>
        <v>0</v>
      </c>
      <c r="F1090" s="908">
        <f>GLOBAL_DER_FEV_2023!F1090</f>
        <v>0</v>
      </c>
      <c r="G1090" s="912">
        <f>GLOBAL_DER_FEV_2023!G1090</f>
        <v>0</v>
      </c>
      <c r="H1090" s="901">
        <f>GLOBAL_DER_FEV_2023!H1090</f>
        <v>35.840000000000003</v>
      </c>
      <c r="I1090" s="901">
        <f>GLOBAL_DER_FEV_2023!I1090</f>
        <v>35.840000000000003</v>
      </c>
      <c r="J1090" s="902">
        <f>GLOBAL_DER_FEV_2023!J1090</f>
        <v>43.03</v>
      </c>
      <c r="K1090" s="903" t="s">
        <v>1516</v>
      </c>
      <c r="L1090" s="1137"/>
      <c r="M1090" s="1138">
        <f t="shared" si="128"/>
        <v>0</v>
      </c>
      <c r="N1090" s="893">
        <f t="shared" si="132"/>
        <v>0</v>
      </c>
      <c r="O1090" s="905"/>
      <c r="Q1090" s="317" t="str">
        <f t="shared" si="129"/>
        <v/>
      </c>
      <c r="R1090" s="317" t="str">
        <f t="shared" si="130"/>
        <v/>
      </c>
      <c r="S1090" s="317" t="str">
        <f t="shared" si="131"/>
        <v/>
      </c>
      <c r="T1090" s="317" t="str">
        <f>GLOBAL_DER_FEV_2023!S1090</f>
        <v/>
      </c>
      <c r="W1090" s="582">
        <v>0</v>
      </c>
      <c r="X1090" s="580"/>
      <c r="Y1090" s="583">
        <f>IF(GLOBAL_DER_FEV_2023!W1090=0,0,IF(GLOBAL_DER_FEV_2023!W1090&gt;0,"c","b"))</f>
        <v>0</v>
      </c>
    </row>
    <row r="1091" spans="1:25" ht="22.5" x14ac:dyDescent="0.2">
      <c r="A1091" s="317">
        <v>93022</v>
      </c>
      <c r="B1091" s="895">
        <v>93022</v>
      </c>
      <c r="C1091" s="896" t="s">
        <v>596</v>
      </c>
      <c r="D1091" s="906" t="s">
        <v>1021</v>
      </c>
      <c r="E1091" s="907">
        <f>GLOBAL_DER_FEV_2023!E1091</f>
        <v>0</v>
      </c>
      <c r="F1091" s="908">
        <f>GLOBAL_DER_FEV_2023!F1091</f>
        <v>0</v>
      </c>
      <c r="G1091" s="912">
        <f>GLOBAL_DER_FEV_2023!G1091</f>
        <v>0</v>
      </c>
      <c r="H1091" s="901">
        <f>GLOBAL_DER_FEV_2023!H1091</f>
        <v>60</v>
      </c>
      <c r="I1091" s="901">
        <f>GLOBAL_DER_FEV_2023!I1091</f>
        <v>60</v>
      </c>
      <c r="J1091" s="902">
        <f>GLOBAL_DER_FEV_2023!J1091</f>
        <v>72.040000000000006</v>
      </c>
      <c r="K1091" s="903" t="s">
        <v>1516</v>
      </c>
      <c r="L1091" s="1137"/>
      <c r="M1091" s="1138">
        <f t="shared" si="128"/>
        <v>0</v>
      </c>
      <c r="N1091" s="893">
        <f t="shared" si="132"/>
        <v>0</v>
      </c>
      <c r="O1091" s="905"/>
      <c r="Q1091" s="317" t="str">
        <f t="shared" si="129"/>
        <v/>
      </c>
      <c r="R1091" s="317" t="str">
        <f t="shared" si="130"/>
        <v/>
      </c>
      <c r="S1091" s="317" t="str">
        <f t="shared" si="131"/>
        <v/>
      </c>
      <c r="T1091" s="317" t="str">
        <f>GLOBAL_DER_FEV_2023!S1091</f>
        <v/>
      </c>
      <c r="W1091" s="582">
        <v>0</v>
      </c>
      <c r="X1091" s="580"/>
      <c r="Y1091" s="583">
        <f>IF(GLOBAL_DER_FEV_2023!W1091=0,0,IF(GLOBAL_DER_FEV_2023!W1091&gt;0,"c","b"))</f>
        <v>0</v>
      </c>
    </row>
    <row r="1092" spans="1:25" ht="22.5" x14ac:dyDescent="0.2">
      <c r="A1092" s="317">
        <v>93024</v>
      </c>
      <c r="B1092" s="895">
        <v>93024</v>
      </c>
      <c r="C1092" s="896" t="s">
        <v>596</v>
      </c>
      <c r="D1092" s="906" t="s">
        <v>1022</v>
      </c>
      <c r="E1092" s="907">
        <f>GLOBAL_DER_FEV_2023!E1092</f>
        <v>0</v>
      </c>
      <c r="F1092" s="908">
        <f>GLOBAL_DER_FEV_2023!F1092</f>
        <v>0</v>
      </c>
      <c r="G1092" s="912">
        <f>GLOBAL_DER_FEV_2023!G1092</f>
        <v>0</v>
      </c>
      <c r="H1092" s="901">
        <f>GLOBAL_DER_FEV_2023!H1092</f>
        <v>63.08</v>
      </c>
      <c r="I1092" s="901">
        <f>GLOBAL_DER_FEV_2023!I1092</f>
        <v>63.08</v>
      </c>
      <c r="J1092" s="902">
        <f>GLOBAL_DER_FEV_2023!J1092</f>
        <v>75.739999999999995</v>
      </c>
      <c r="K1092" s="903" t="s">
        <v>1516</v>
      </c>
      <c r="L1092" s="1137"/>
      <c r="M1092" s="1138">
        <f t="shared" si="128"/>
        <v>0</v>
      </c>
      <c r="N1092" s="893">
        <f t="shared" si="132"/>
        <v>0</v>
      </c>
      <c r="O1092" s="905"/>
      <c r="Q1092" s="317" t="str">
        <f t="shared" si="129"/>
        <v/>
      </c>
      <c r="R1092" s="317" t="str">
        <f t="shared" si="130"/>
        <v/>
      </c>
      <c r="S1092" s="317" t="str">
        <f t="shared" si="131"/>
        <v/>
      </c>
      <c r="T1092" s="317" t="str">
        <f>GLOBAL_DER_FEV_2023!S1092</f>
        <v/>
      </c>
      <c r="W1092" s="582">
        <v>0</v>
      </c>
      <c r="X1092" s="580"/>
      <c r="Y1092" s="583">
        <f>IF(GLOBAL_DER_FEV_2023!W1092=0,0,IF(GLOBAL_DER_FEV_2023!W1092&gt;0,"c","b"))</f>
        <v>0</v>
      </c>
    </row>
    <row r="1093" spans="1:25" ht="22.5" x14ac:dyDescent="0.2">
      <c r="A1093" s="317">
        <v>93026</v>
      </c>
      <c r="B1093" s="895">
        <v>93026</v>
      </c>
      <c r="C1093" s="896" t="s">
        <v>596</v>
      </c>
      <c r="D1093" s="906" t="s">
        <v>1023</v>
      </c>
      <c r="E1093" s="907">
        <f>GLOBAL_DER_FEV_2023!E1093</f>
        <v>0</v>
      </c>
      <c r="F1093" s="908">
        <f>GLOBAL_DER_FEV_2023!F1093</f>
        <v>0</v>
      </c>
      <c r="G1093" s="912">
        <f>GLOBAL_DER_FEV_2023!G1093</f>
        <v>0</v>
      </c>
      <c r="H1093" s="901">
        <f>GLOBAL_DER_FEV_2023!H1093</f>
        <v>103.23</v>
      </c>
      <c r="I1093" s="901">
        <f>GLOBAL_DER_FEV_2023!I1093</f>
        <v>103.23</v>
      </c>
      <c r="J1093" s="902">
        <f>GLOBAL_DER_FEV_2023!J1093</f>
        <v>123.95</v>
      </c>
      <c r="K1093" s="903" t="s">
        <v>1516</v>
      </c>
      <c r="L1093" s="1137"/>
      <c r="M1093" s="1138">
        <f t="shared" si="128"/>
        <v>0</v>
      </c>
      <c r="N1093" s="893">
        <f t="shared" si="132"/>
        <v>0</v>
      </c>
      <c r="O1093" s="905"/>
      <c r="Q1093" s="317" t="str">
        <f t="shared" si="129"/>
        <v/>
      </c>
      <c r="R1093" s="317" t="str">
        <f t="shared" si="130"/>
        <v/>
      </c>
      <c r="S1093" s="317" t="str">
        <f t="shared" si="131"/>
        <v/>
      </c>
      <c r="T1093" s="317" t="str">
        <f>GLOBAL_DER_FEV_2023!S1093</f>
        <v/>
      </c>
      <c r="W1093" s="582">
        <v>0</v>
      </c>
      <c r="X1093" s="580"/>
      <c r="Y1093" s="583">
        <f>IF(GLOBAL_DER_FEV_2023!W1093=0,0,IF(GLOBAL_DER_FEV_2023!W1093&gt;0,"c","b"))</f>
        <v>0</v>
      </c>
    </row>
    <row r="1094" spans="1:25" ht="33.75" x14ac:dyDescent="0.2">
      <c r="A1094" s="317">
        <v>97559</v>
      </c>
      <c r="B1094" s="895">
        <v>97559</v>
      </c>
      <c r="C1094" s="896" t="s">
        <v>596</v>
      </c>
      <c r="D1094" s="906" t="s">
        <v>1024</v>
      </c>
      <c r="E1094" s="907">
        <f>GLOBAL_DER_FEV_2023!E1094</f>
        <v>0</v>
      </c>
      <c r="F1094" s="908">
        <f>GLOBAL_DER_FEV_2023!F1094</f>
        <v>0</v>
      </c>
      <c r="G1094" s="912">
        <f>GLOBAL_DER_FEV_2023!G1094</f>
        <v>0</v>
      </c>
      <c r="H1094" s="901">
        <f>GLOBAL_DER_FEV_2023!H1094</f>
        <v>13.05</v>
      </c>
      <c r="I1094" s="901">
        <f>GLOBAL_DER_FEV_2023!I1094</f>
        <v>13.05</v>
      </c>
      <c r="J1094" s="902">
        <f>GLOBAL_DER_FEV_2023!J1094</f>
        <v>15.67</v>
      </c>
      <c r="K1094" s="903" t="s">
        <v>1516</v>
      </c>
      <c r="L1094" s="1137"/>
      <c r="M1094" s="1138">
        <f t="shared" ref="M1094:M1157" si="133">IF(L1094=0,0,ROUND(J1094,2))</f>
        <v>0</v>
      </c>
      <c r="N1094" s="893">
        <f t="shared" si="132"/>
        <v>0</v>
      </c>
      <c r="O1094" s="905"/>
      <c r="Q1094" s="317" t="str">
        <f t="shared" si="129"/>
        <v/>
      </c>
      <c r="R1094" s="317" t="str">
        <f t="shared" si="130"/>
        <v/>
      </c>
      <c r="S1094" s="317" t="str">
        <f t="shared" si="131"/>
        <v/>
      </c>
      <c r="T1094" s="317" t="str">
        <f>GLOBAL_DER_FEV_2023!S1094</f>
        <v/>
      </c>
      <c r="W1094" s="582">
        <v>0</v>
      </c>
      <c r="X1094" s="580"/>
      <c r="Y1094" s="583">
        <f>IF(GLOBAL_DER_FEV_2023!W1094=0,0,IF(GLOBAL_DER_FEV_2023!W1094&gt;0,"c","b"))</f>
        <v>0</v>
      </c>
    </row>
    <row r="1095" spans="1:25" ht="33.75" x14ac:dyDescent="0.2">
      <c r="A1095" s="317">
        <v>97562</v>
      </c>
      <c r="B1095" s="895">
        <v>97562</v>
      </c>
      <c r="C1095" s="896" t="s">
        <v>596</v>
      </c>
      <c r="D1095" s="906" t="s">
        <v>1025</v>
      </c>
      <c r="E1095" s="907">
        <f>GLOBAL_DER_FEV_2023!E1095</f>
        <v>0</v>
      </c>
      <c r="F1095" s="908">
        <f>GLOBAL_DER_FEV_2023!F1095</f>
        <v>0</v>
      </c>
      <c r="G1095" s="912">
        <f>GLOBAL_DER_FEV_2023!G1095</f>
        <v>0</v>
      </c>
      <c r="H1095" s="901">
        <f>GLOBAL_DER_FEV_2023!H1095</f>
        <v>15.57</v>
      </c>
      <c r="I1095" s="901">
        <f>GLOBAL_DER_FEV_2023!I1095</f>
        <v>15.57</v>
      </c>
      <c r="J1095" s="902">
        <f>GLOBAL_DER_FEV_2023!J1095</f>
        <v>18.690000000000001</v>
      </c>
      <c r="K1095" s="903" t="s">
        <v>1516</v>
      </c>
      <c r="L1095" s="1137"/>
      <c r="M1095" s="1138">
        <f t="shared" si="133"/>
        <v>0</v>
      </c>
      <c r="N1095" s="893">
        <f t="shared" si="132"/>
        <v>0</v>
      </c>
      <c r="O1095" s="905"/>
      <c r="Q1095" s="317" t="str">
        <f t="shared" si="129"/>
        <v/>
      </c>
      <c r="R1095" s="317" t="str">
        <f t="shared" si="130"/>
        <v/>
      </c>
      <c r="S1095" s="317" t="str">
        <f t="shared" si="131"/>
        <v/>
      </c>
      <c r="T1095" s="317" t="str">
        <f>GLOBAL_DER_FEV_2023!S1095</f>
        <v/>
      </c>
      <c r="W1095" s="582">
        <v>0</v>
      </c>
      <c r="X1095" s="580"/>
      <c r="Y1095" s="583">
        <f>IF(GLOBAL_DER_FEV_2023!W1095=0,0,IF(GLOBAL_DER_FEV_2023!W1095&gt;0,"c","b"))</f>
        <v>0</v>
      </c>
    </row>
    <row r="1096" spans="1:25" ht="33.75" x14ac:dyDescent="0.2">
      <c r="A1096" s="317">
        <v>97564</v>
      </c>
      <c r="B1096" s="895">
        <v>97564</v>
      </c>
      <c r="C1096" s="896" t="s">
        <v>596</v>
      </c>
      <c r="D1096" s="906" t="s">
        <v>1026</v>
      </c>
      <c r="E1096" s="907">
        <f>GLOBAL_DER_FEV_2023!E1096</f>
        <v>0</v>
      </c>
      <c r="F1096" s="908">
        <f>GLOBAL_DER_FEV_2023!F1096</f>
        <v>0</v>
      </c>
      <c r="G1096" s="912">
        <f>GLOBAL_DER_FEV_2023!G1096</f>
        <v>0</v>
      </c>
      <c r="H1096" s="901">
        <f>GLOBAL_DER_FEV_2023!H1096</f>
        <v>17.79</v>
      </c>
      <c r="I1096" s="901">
        <f>GLOBAL_DER_FEV_2023!I1096</f>
        <v>17.79</v>
      </c>
      <c r="J1096" s="902">
        <f>GLOBAL_DER_FEV_2023!J1096</f>
        <v>21.36</v>
      </c>
      <c r="K1096" s="903" t="s">
        <v>1516</v>
      </c>
      <c r="L1096" s="1137"/>
      <c r="M1096" s="1138">
        <f t="shared" si="133"/>
        <v>0</v>
      </c>
      <c r="N1096" s="893">
        <f t="shared" si="132"/>
        <v>0</v>
      </c>
      <c r="O1096" s="905"/>
      <c r="Q1096" s="317" t="str">
        <f t="shared" si="129"/>
        <v/>
      </c>
      <c r="R1096" s="317" t="str">
        <f t="shared" si="130"/>
        <v/>
      </c>
      <c r="S1096" s="317" t="str">
        <f t="shared" si="131"/>
        <v/>
      </c>
      <c r="T1096" s="317" t="str">
        <f>GLOBAL_DER_FEV_2023!S1096</f>
        <v/>
      </c>
      <c r="W1096" s="582">
        <v>0</v>
      </c>
      <c r="X1096" s="580"/>
      <c r="Y1096" s="583">
        <f>IF(GLOBAL_DER_FEV_2023!W1096=0,0,IF(GLOBAL_DER_FEV_2023!W1096&gt;0,"c","b"))</f>
        <v>0</v>
      </c>
    </row>
    <row r="1097" spans="1:25" ht="22.5" x14ac:dyDescent="0.2">
      <c r="A1097" s="317">
        <v>91862</v>
      </c>
      <c r="B1097" s="895">
        <v>91862</v>
      </c>
      <c r="C1097" s="896" t="s">
        <v>596</v>
      </c>
      <c r="D1097" s="906" t="s">
        <v>1027</v>
      </c>
      <c r="E1097" s="907">
        <f>GLOBAL_DER_FEV_2023!E1097</f>
        <v>0</v>
      </c>
      <c r="F1097" s="908">
        <f>GLOBAL_DER_FEV_2023!F1097</f>
        <v>0</v>
      </c>
      <c r="G1097" s="912">
        <f>GLOBAL_DER_FEV_2023!G1097</f>
        <v>0</v>
      </c>
      <c r="H1097" s="901">
        <f>GLOBAL_DER_FEV_2023!H1097</f>
        <v>13.26</v>
      </c>
      <c r="I1097" s="901">
        <f>GLOBAL_DER_FEV_2023!I1097</f>
        <v>13.26</v>
      </c>
      <c r="J1097" s="902">
        <f>GLOBAL_DER_FEV_2023!J1097</f>
        <v>15.92</v>
      </c>
      <c r="K1097" s="903" t="s">
        <v>62</v>
      </c>
      <c r="L1097" s="1137"/>
      <c r="M1097" s="1138">
        <f t="shared" si="133"/>
        <v>0</v>
      </c>
      <c r="N1097" s="893">
        <f t="shared" si="132"/>
        <v>0</v>
      </c>
      <c r="O1097" s="905"/>
      <c r="Q1097" s="317" t="str">
        <f t="shared" si="129"/>
        <v/>
      </c>
      <c r="R1097" s="317" t="str">
        <f t="shared" si="130"/>
        <v/>
      </c>
      <c r="S1097" s="317" t="str">
        <f t="shared" si="131"/>
        <v/>
      </c>
      <c r="T1097" s="317" t="str">
        <f>GLOBAL_DER_FEV_2023!S1097</f>
        <v/>
      </c>
      <c r="W1097" s="582">
        <v>0</v>
      </c>
      <c r="X1097" s="580"/>
      <c r="Y1097" s="583">
        <f>IF(GLOBAL_DER_FEV_2023!W1097=0,0,IF(GLOBAL_DER_FEV_2023!W1097&gt;0,"c","b"))</f>
        <v>0</v>
      </c>
    </row>
    <row r="1098" spans="1:25" ht="22.5" x14ac:dyDescent="0.2">
      <c r="A1098" s="317">
        <v>91863</v>
      </c>
      <c r="B1098" s="895">
        <v>91863</v>
      </c>
      <c r="C1098" s="896" t="s">
        <v>596</v>
      </c>
      <c r="D1098" s="906" t="s">
        <v>1028</v>
      </c>
      <c r="E1098" s="907">
        <f>GLOBAL_DER_FEV_2023!E1098</f>
        <v>0</v>
      </c>
      <c r="F1098" s="908">
        <f>GLOBAL_DER_FEV_2023!F1098</f>
        <v>0</v>
      </c>
      <c r="G1098" s="912">
        <f>GLOBAL_DER_FEV_2023!G1098</f>
        <v>0</v>
      </c>
      <c r="H1098" s="901">
        <f>GLOBAL_DER_FEV_2023!H1098</f>
        <v>15.67</v>
      </c>
      <c r="I1098" s="901">
        <f>GLOBAL_DER_FEV_2023!I1098</f>
        <v>15.67</v>
      </c>
      <c r="J1098" s="902">
        <f>GLOBAL_DER_FEV_2023!J1098</f>
        <v>18.809999999999999</v>
      </c>
      <c r="K1098" s="903" t="s">
        <v>62</v>
      </c>
      <c r="L1098" s="1137"/>
      <c r="M1098" s="1138">
        <f t="shared" si="133"/>
        <v>0</v>
      </c>
      <c r="N1098" s="893">
        <f t="shared" si="132"/>
        <v>0</v>
      </c>
      <c r="O1098" s="905"/>
      <c r="Q1098" s="317" t="str">
        <f t="shared" si="129"/>
        <v/>
      </c>
      <c r="R1098" s="317" t="str">
        <f t="shared" si="130"/>
        <v/>
      </c>
      <c r="S1098" s="317" t="str">
        <f t="shared" si="131"/>
        <v/>
      </c>
      <c r="T1098" s="317" t="str">
        <f>GLOBAL_DER_FEV_2023!S1098</f>
        <v/>
      </c>
      <c r="W1098" s="582">
        <v>0</v>
      </c>
      <c r="X1098" s="580"/>
      <c r="Y1098" s="583">
        <f>IF(GLOBAL_DER_FEV_2023!W1098=0,0,IF(GLOBAL_DER_FEV_2023!W1098&gt;0,"c","b"))</f>
        <v>0</v>
      </c>
    </row>
    <row r="1099" spans="1:25" ht="22.5" x14ac:dyDescent="0.2">
      <c r="A1099" s="317">
        <v>91864</v>
      </c>
      <c r="B1099" s="895">
        <v>91864</v>
      </c>
      <c r="C1099" s="896" t="s">
        <v>596</v>
      </c>
      <c r="D1099" s="906" t="s">
        <v>1029</v>
      </c>
      <c r="E1099" s="907">
        <f>GLOBAL_DER_FEV_2023!E1099</f>
        <v>0</v>
      </c>
      <c r="F1099" s="908">
        <f>GLOBAL_DER_FEV_2023!F1099</f>
        <v>0</v>
      </c>
      <c r="G1099" s="912">
        <f>GLOBAL_DER_FEV_2023!G1099</f>
        <v>0</v>
      </c>
      <c r="H1099" s="901">
        <f>GLOBAL_DER_FEV_2023!H1099</f>
        <v>21.09</v>
      </c>
      <c r="I1099" s="901">
        <f>GLOBAL_DER_FEV_2023!I1099</f>
        <v>21.09</v>
      </c>
      <c r="J1099" s="902">
        <f>GLOBAL_DER_FEV_2023!J1099</f>
        <v>25.32</v>
      </c>
      <c r="K1099" s="903" t="s">
        <v>62</v>
      </c>
      <c r="L1099" s="1137"/>
      <c r="M1099" s="1138">
        <f t="shared" si="133"/>
        <v>0</v>
      </c>
      <c r="N1099" s="893">
        <f t="shared" si="132"/>
        <v>0</v>
      </c>
      <c r="O1099" s="905"/>
      <c r="Q1099" s="317" t="str">
        <f t="shared" si="129"/>
        <v/>
      </c>
      <c r="R1099" s="317" t="str">
        <f t="shared" si="130"/>
        <v/>
      </c>
      <c r="S1099" s="317" t="str">
        <f t="shared" si="131"/>
        <v/>
      </c>
      <c r="T1099" s="317" t="str">
        <f>GLOBAL_DER_FEV_2023!S1099</f>
        <v/>
      </c>
      <c r="W1099" s="582">
        <v>0</v>
      </c>
      <c r="X1099" s="580"/>
      <c r="Y1099" s="583">
        <f>IF(GLOBAL_DER_FEV_2023!W1099=0,0,IF(GLOBAL_DER_FEV_2023!W1099&gt;0,"c","b"))</f>
        <v>0</v>
      </c>
    </row>
    <row r="1100" spans="1:25" ht="22.5" x14ac:dyDescent="0.2">
      <c r="A1100" s="317">
        <v>91865</v>
      </c>
      <c r="B1100" s="895">
        <v>91865</v>
      </c>
      <c r="C1100" s="896" t="s">
        <v>596</v>
      </c>
      <c r="D1100" s="906" t="s">
        <v>1030</v>
      </c>
      <c r="E1100" s="907">
        <f>GLOBAL_DER_FEV_2023!E1100</f>
        <v>0</v>
      </c>
      <c r="F1100" s="908">
        <f>GLOBAL_DER_FEV_2023!F1100</f>
        <v>0</v>
      </c>
      <c r="G1100" s="912">
        <f>GLOBAL_DER_FEV_2023!G1100</f>
        <v>0</v>
      </c>
      <c r="H1100" s="901">
        <f>GLOBAL_DER_FEV_2023!H1100</f>
        <v>26.43</v>
      </c>
      <c r="I1100" s="901">
        <f>GLOBAL_DER_FEV_2023!I1100</f>
        <v>26.43</v>
      </c>
      <c r="J1100" s="902">
        <f>GLOBAL_DER_FEV_2023!J1100</f>
        <v>31.73</v>
      </c>
      <c r="K1100" s="903" t="s">
        <v>62</v>
      </c>
      <c r="L1100" s="1137"/>
      <c r="M1100" s="1138">
        <f t="shared" si="133"/>
        <v>0</v>
      </c>
      <c r="N1100" s="893">
        <f t="shared" si="132"/>
        <v>0</v>
      </c>
      <c r="O1100" s="905"/>
      <c r="Q1100" s="317" t="str">
        <f t="shared" si="129"/>
        <v/>
      </c>
      <c r="R1100" s="317" t="str">
        <f t="shared" si="130"/>
        <v/>
      </c>
      <c r="S1100" s="317" t="str">
        <f t="shared" si="131"/>
        <v/>
      </c>
      <c r="T1100" s="317" t="str">
        <f>GLOBAL_DER_FEV_2023!S1100</f>
        <v/>
      </c>
      <c r="W1100" s="582">
        <v>0</v>
      </c>
      <c r="X1100" s="580"/>
      <c r="Y1100" s="583">
        <f>IF(GLOBAL_DER_FEV_2023!W1100=0,0,IF(GLOBAL_DER_FEV_2023!W1100&gt;0,"c","b"))</f>
        <v>0</v>
      </c>
    </row>
    <row r="1101" spans="1:25" ht="22.5" x14ac:dyDescent="0.2">
      <c r="A1101" s="317">
        <v>91866</v>
      </c>
      <c r="B1101" s="895">
        <v>91866</v>
      </c>
      <c r="C1101" s="896" t="s">
        <v>596</v>
      </c>
      <c r="D1101" s="906" t="s">
        <v>1031</v>
      </c>
      <c r="E1101" s="907">
        <f>GLOBAL_DER_FEV_2023!E1101</f>
        <v>0</v>
      </c>
      <c r="F1101" s="908">
        <f>GLOBAL_DER_FEV_2023!F1101</f>
        <v>0</v>
      </c>
      <c r="G1101" s="912">
        <f>GLOBAL_DER_FEV_2023!G1101</f>
        <v>0</v>
      </c>
      <c r="H1101" s="901">
        <f>GLOBAL_DER_FEV_2023!H1101</f>
        <v>10.81</v>
      </c>
      <c r="I1101" s="901">
        <f>GLOBAL_DER_FEV_2023!I1101</f>
        <v>10.81</v>
      </c>
      <c r="J1101" s="902">
        <f>GLOBAL_DER_FEV_2023!J1101</f>
        <v>12.98</v>
      </c>
      <c r="K1101" s="903" t="s">
        <v>62</v>
      </c>
      <c r="L1101" s="1137"/>
      <c r="M1101" s="1138">
        <f t="shared" si="133"/>
        <v>0</v>
      </c>
      <c r="N1101" s="893">
        <f t="shared" si="132"/>
        <v>0</v>
      </c>
      <c r="O1101" s="905"/>
      <c r="Q1101" s="317" t="str">
        <f t="shared" si="129"/>
        <v/>
      </c>
      <c r="R1101" s="317" t="str">
        <f t="shared" si="130"/>
        <v/>
      </c>
      <c r="S1101" s="317" t="str">
        <f t="shared" si="131"/>
        <v/>
      </c>
      <c r="T1101" s="317" t="str">
        <f>GLOBAL_DER_FEV_2023!S1101</f>
        <v/>
      </c>
      <c r="W1101" s="582">
        <v>0</v>
      </c>
      <c r="X1101" s="580"/>
      <c r="Y1101" s="583">
        <f>IF(GLOBAL_DER_FEV_2023!W1101=0,0,IF(GLOBAL_DER_FEV_2023!W1101&gt;0,"c","b"))</f>
        <v>0</v>
      </c>
    </row>
    <row r="1102" spans="1:25" ht="22.5" x14ac:dyDescent="0.2">
      <c r="A1102" s="317">
        <v>91867</v>
      </c>
      <c r="B1102" s="895">
        <v>91867</v>
      </c>
      <c r="C1102" s="896" t="s">
        <v>596</v>
      </c>
      <c r="D1102" s="906" t="s">
        <v>1032</v>
      </c>
      <c r="E1102" s="907">
        <f>GLOBAL_DER_FEV_2023!E1102</f>
        <v>0</v>
      </c>
      <c r="F1102" s="908">
        <f>GLOBAL_DER_FEV_2023!F1102</f>
        <v>0</v>
      </c>
      <c r="G1102" s="912">
        <f>GLOBAL_DER_FEV_2023!G1102</f>
        <v>0</v>
      </c>
      <c r="H1102" s="901">
        <f>GLOBAL_DER_FEV_2023!H1102</f>
        <v>13.22</v>
      </c>
      <c r="I1102" s="901">
        <f>GLOBAL_DER_FEV_2023!I1102</f>
        <v>13.22</v>
      </c>
      <c r="J1102" s="902">
        <f>GLOBAL_DER_FEV_2023!J1102</f>
        <v>15.87</v>
      </c>
      <c r="K1102" s="903" t="s">
        <v>62</v>
      </c>
      <c r="L1102" s="1137"/>
      <c r="M1102" s="1138">
        <f t="shared" si="133"/>
        <v>0</v>
      </c>
      <c r="N1102" s="893">
        <f t="shared" si="132"/>
        <v>0</v>
      </c>
      <c r="O1102" s="905"/>
      <c r="Q1102" s="317" t="str">
        <f t="shared" si="129"/>
        <v/>
      </c>
      <c r="R1102" s="317" t="str">
        <f t="shared" si="130"/>
        <v/>
      </c>
      <c r="S1102" s="317" t="str">
        <f t="shared" si="131"/>
        <v/>
      </c>
      <c r="T1102" s="317" t="str">
        <f>GLOBAL_DER_FEV_2023!S1102</f>
        <v/>
      </c>
      <c r="W1102" s="582">
        <v>0</v>
      </c>
      <c r="X1102" s="580"/>
      <c r="Y1102" s="583">
        <f>IF(GLOBAL_DER_FEV_2023!W1102=0,0,IF(GLOBAL_DER_FEV_2023!W1102&gt;0,"c","b"))</f>
        <v>0</v>
      </c>
    </row>
    <row r="1103" spans="1:25" ht="22.5" x14ac:dyDescent="0.2">
      <c r="A1103" s="317">
        <v>91868</v>
      </c>
      <c r="B1103" s="895">
        <v>91868</v>
      </c>
      <c r="C1103" s="896" t="s">
        <v>596</v>
      </c>
      <c r="D1103" s="906" t="s">
        <v>1033</v>
      </c>
      <c r="E1103" s="907">
        <f>GLOBAL_DER_FEV_2023!E1103</f>
        <v>0</v>
      </c>
      <c r="F1103" s="908">
        <f>GLOBAL_DER_FEV_2023!F1103</f>
        <v>0</v>
      </c>
      <c r="G1103" s="912">
        <f>GLOBAL_DER_FEV_2023!G1103</f>
        <v>0</v>
      </c>
      <c r="H1103" s="901">
        <f>GLOBAL_DER_FEV_2023!H1103</f>
        <v>18.64</v>
      </c>
      <c r="I1103" s="901">
        <f>GLOBAL_DER_FEV_2023!I1103</f>
        <v>18.64</v>
      </c>
      <c r="J1103" s="902">
        <f>GLOBAL_DER_FEV_2023!J1103</f>
        <v>22.38</v>
      </c>
      <c r="K1103" s="903" t="s">
        <v>62</v>
      </c>
      <c r="L1103" s="1137"/>
      <c r="M1103" s="1138">
        <f t="shared" si="133"/>
        <v>0</v>
      </c>
      <c r="N1103" s="893">
        <f t="shared" si="132"/>
        <v>0</v>
      </c>
      <c r="O1103" s="905"/>
      <c r="Q1103" s="317" t="str">
        <f t="shared" si="129"/>
        <v/>
      </c>
      <c r="R1103" s="317" t="str">
        <f t="shared" si="130"/>
        <v/>
      </c>
      <c r="S1103" s="317" t="str">
        <f t="shared" si="131"/>
        <v/>
      </c>
      <c r="T1103" s="317" t="str">
        <f>GLOBAL_DER_FEV_2023!S1103</f>
        <v/>
      </c>
      <c r="W1103" s="582">
        <v>0</v>
      </c>
      <c r="X1103" s="580"/>
      <c r="Y1103" s="583">
        <f>IF(GLOBAL_DER_FEV_2023!W1103=0,0,IF(GLOBAL_DER_FEV_2023!W1103&gt;0,"c","b"))</f>
        <v>0</v>
      </c>
    </row>
    <row r="1104" spans="1:25" ht="22.5" x14ac:dyDescent="0.2">
      <c r="A1104" s="317">
        <v>91869</v>
      </c>
      <c r="B1104" s="895">
        <v>91869</v>
      </c>
      <c r="C1104" s="896" t="s">
        <v>596</v>
      </c>
      <c r="D1104" s="906" t="s">
        <v>1034</v>
      </c>
      <c r="E1104" s="907">
        <f>GLOBAL_DER_FEV_2023!E1104</f>
        <v>0</v>
      </c>
      <c r="F1104" s="908">
        <f>GLOBAL_DER_FEV_2023!F1104</f>
        <v>0</v>
      </c>
      <c r="G1104" s="912">
        <f>GLOBAL_DER_FEV_2023!G1104</f>
        <v>0</v>
      </c>
      <c r="H1104" s="901">
        <f>GLOBAL_DER_FEV_2023!H1104</f>
        <v>23.99</v>
      </c>
      <c r="I1104" s="901">
        <f>GLOBAL_DER_FEV_2023!I1104</f>
        <v>23.99</v>
      </c>
      <c r="J1104" s="902">
        <f>GLOBAL_DER_FEV_2023!J1104</f>
        <v>28.8</v>
      </c>
      <c r="K1104" s="903" t="s">
        <v>62</v>
      </c>
      <c r="L1104" s="1137"/>
      <c r="M1104" s="1138">
        <f t="shared" si="133"/>
        <v>0</v>
      </c>
      <c r="N1104" s="893">
        <f t="shared" si="132"/>
        <v>0</v>
      </c>
      <c r="O1104" s="905"/>
      <c r="Q1104" s="317" t="str">
        <f t="shared" si="129"/>
        <v/>
      </c>
      <c r="R1104" s="317" t="str">
        <f t="shared" si="130"/>
        <v/>
      </c>
      <c r="S1104" s="317" t="str">
        <f t="shared" si="131"/>
        <v/>
      </c>
      <c r="T1104" s="317" t="str">
        <f>GLOBAL_DER_FEV_2023!S1104</f>
        <v/>
      </c>
      <c r="W1104" s="582">
        <v>0</v>
      </c>
      <c r="X1104" s="580"/>
      <c r="Y1104" s="583">
        <f>IF(GLOBAL_DER_FEV_2023!W1104=0,0,IF(GLOBAL_DER_FEV_2023!W1104&gt;0,"c","b"))</f>
        <v>0</v>
      </c>
    </row>
    <row r="1105" spans="1:25" ht="22.5" x14ac:dyDescent="0.2">
      <c r="A1105" s="317">
        <v>91870</v>
      </c>
      <c r="B1105" s="895">
        <v>91870</v>
      </c>
      <c r="C1105" s="896" t="s">
        <v>596</v>
      </c>
      <c r="D1105" s="906" t="s">
        <v>1035</v>
      </c>
      <c r="E1105" s="907">
        <f>GLOBAL_DER_FEV_2023!E1105</f>
        <v>0</v>
      </c>
      <c r="F1105" s="908">
        <f>GLOBAL_DER_FEV_2023!F1105</f>
        <v>0</v>
      </c>
      <c r="G1105" s="912">
        <f>GLOBAL_DER_FEV_2023!G1105</f>
        <v>0</v>
      </c>
      <c r="H1105" s="901">
        <f>GLOBAL_DER_FEV_2023!H1105</f>
        <v>14.78</v>
      </c>
      <c r="I1105" s="901">
        <f>GLOBAL_DER_FEV_2023!I1105</f>
        <v>14.78</v>
      </c>
      <c r="J1105" s="902">
        <f>GLOBAL_DER_FEV_2023!J1105</f>
        <v>17.75</v>
      </c>
      <c r="K1105" s="903" t="s">
        <v>62</v>
      </c>
      <c r="L1105" s="1137"/>
      <c r="M1105" s="1138">
        <f t="shared" si="133"/>
        <v>0</v>
      </c>
      <c r="N1105" s="893">
        <f t="shared" si="132"/>
        <v>0</v>
      </c>
      <c r="O1105" s="905"/>
      <c r="Q1105" s="317" t="str">
        <f t="shared" ref="Q1105:Q1168" si="134">IF(P1105="X","x",IF(P1105="xx","x",IF(P1105="xy","x",IF(P1105="y","x",IF(OR(N1105&gt;0,N1105&gt;0),"x","")))))</f>
        <v/>
      </c>
      <c r="R1105" s="317" t="str">
        <f t="shared" si="130"/>
        <v/>
      </c>
      <c r="S1105" s="317" t="str">
        <f t="shared" si="131"/>
        <v/>
      </c>
      <c r="T1105" s="317" t="str">
        <f>GLOBAL_DER_FEV_2023!S1105</f>
        <v/>
      </c>
      <c r="W1105" s="582">
        <v>0</v>
      </c>
      <c r="X1105" s="580"/>
      <c r="Y1105" s="583">
        <f>IF(GLOBAL_DER_FEV_2023!W1105=0,0,IF(GLOBAL_DER_FEV_2023!W1105&gt;0,"c","b"))</f>
        <v>0</v>
      </c>
    </row>
    <row r="1106" spans="1:25" ht="22.5" x14ac:dyDescent="0.2">
      <c r="A1106" s="317">
        <v>91871</v>
      </c>
      <c r="B1106" s="895">
        <v>91871</v>
      </c>
      <c r="C1106" s="896" t="s">
        <v>596</v>
      </c>
      <c r="D1106" s="906" t="s">
        <v>1036</v>
      </c>
      <c r="E1106" s="907">
        <f>GLOBAL_DER_FEV_2023!E1106</f>
        <v>0</v>
      </c>
      <c r="F1106" s="908">
        <f>GLOBAL_DER_FEV_2023!F1106</f>
        <v>0</v>
      </c>
      <c r="G1106" s="912">
        <f>GLOBAL_DER_FEV_2023!G1106</f>
        <v>0</v>
      </c>
      <c r="H1106" s="901">
        <f>GLOBAL_DER_FEV_2023!H1106</f>
        <v>17.260000000000002</v>
      </c>
      <c r="I1106" s="901">
        <f>GLOBAL_DER_FEV_2023!I1106</f>
        <v>17.260000000000002</v>
      </c>
      <c r="J1106" s="902">
        <f>GLOBAL_DER_FEV_2023!J1106</f>
        <v>20.72</v>
      </c>
      <c r="K1106" s="903" t="s">
        <v>62</v>
      </c>
      <c r="L1106" s="1137"/>
      <c r="M1106" s="1138">
        <f t="shared" si="133"/>
        <v>0</v>
      </c>
      <c r="N1106" s="893">
        <f t="shared" si="132"/>
        <v>0</v>
      </c>
      <c r="O1106" s="905"/>
      <c r="Q1106" s="317" t="str">
        <f t="shared" si="134"/>
        <v/>
      </c>
      <c r="R1106" s="317" t="str">
        <f t="shared" si="130"/>
        <v/>
      </c>
      <c r="S1106" s="317" t="str">
        <f t="shared" si="131"/>
        <v/>
      </c>
      <c r="T1106" s="317" t="str">
        <f>GLOBAL_DER_FEV_2023!S1106</f>
        <v/>
      </c>
      <c r="W1106" s="582">
        <v>0</v>
      </c>
      <c r="X1106" s="580"/>
      <c r="Y1106" s="583">
        <f>IF(GLOBAL_DER_FEV_2023!W1106=0,0,IF(GLOBAL_DER_FEV_2023!W1106&gt;0,"c","b"))</f>
        <v>0</v>
      </c>
    </row>
    <row r="1107" spans="1:25" ht="22.5" x14ac:dyDescent="0.2">
      <c r="A1107" s="317">
        <v>91872</v>
      </c>
      <c r="B1107" s="895">
        <v>91872</v>
      </c>
      <c r="C1107" s="896" t="s">
        <v>596</v>
      </c>
      <c r="D1107" s="906" t="s">
        <v>1037</v>
      </c>
      <c r="E1107" s="907">
        <f>GLOBAL_DER_FEV_2023!E1107</f>
        <v>0</v>
      </c>
      <c r="F1107" s="908">
        <f>GLOBAL_DER_FEV_2023!F1107</f>
        <v>0</v>
      </c>
      <c r="G1107" s="912">
        <f>GLOBAL_DER_FEV_2023!G1107</f>
        <v>0</v>
      </c>
      <c r="H1107" s="901">
        <f>GLOBAL_DER_FEV_2023!H1107</f>
        <v>22.67</v>
      </c>
      <c r="I1107" s="901">
        <f>GLOBAL_DER_FEV_2023!I1107</f>
        <v>22.67</v>
      </c>
      <c r="J1107" s="902">
        <f>GLOBAL_DER_FEV_2023!J1107</f>
        <v>27.22</v>
      </c>
      <c r="K1107" s="903" t="s">
        <v>62</v>
      </c>
      <c r="L1107" s="1137"/>
      <c r="M1107" s="1138">
        <f t="shared" si="133"/>
        <v>0</v>
      </c>
      <c r="N1107" s="893">
        <f t="shared" si="132"/>
        <v>0</v>
      </c>
      <c r="O1107" s="905"/>
      <c r="Q1107" s="317" t="str">
        <f t="shared" si="134"/>
        <v/>
      </c>
      <c r="R1107" s="317" t="str">
        <f t="shared" ref="R1107:R1170" si="135">IF(P1107="X","x",IF(P1107="y","x",IF(P1107="xx","x",IF(N1107&gt;0,"x",""))))</f>
        <v/>
      </c>
      <c r="S1107" s="317" t="str">
        <f t="shared" ref="S1107:S1170" si="136">IF(P1107="X","x",IF(N1107&gt;0,"x",""))</f>
        <v/>
      </c>
      <c r="T1107" s="317" t="str">
        <f>GLOBAL_DER_FEV_2023!S1107</f>
        <v/>
      </c>
      <c r="W1107" s="582">
        <v>0</v>
      </c>
      <c r="X1107" s="580"/>
      <c r="Y1107" s="583">
        <f>IF(GLOBAL_DER_FEV_2023!W1107=0,0,IF(GLOBAL_DER_FEV_2023!W1107&gt;0,"c","b"))</f>
        <v>0</v>
      </c>
    </row>
    <row r="1108" spans="1:25" ht="22.5" x14ac:dyDescent="0.2">
      <c r="A1108" s="317">
        <v>91873</v>
      </c>
      <c r="B1108" s="895">
        <v>91873</v>
      </c>
      <c r="C1108" s="896" t="s">
        <v>596</v>
      </c>
      <c r="D1108" s="906" t="s">
        <v>1038</v>
      </c>
      <c r="E1108" s="907">
        <f>GLOBAL_DER_FEV_2023!E1108</f>
        <v>0</v>
      </c>
      <c r="F1108" s="908">
        <f>GLOBAL_DER_FEV_2023!F1108</f>
        <v>0</v>
      </c>
      <c r="G1108" s="912">
        <f>GLOBAL_DER_FEV_2023!G1108</f>
        <v>0</v>
      </c>
      <c r="H1108" s="901">
        <f>GLOBAL_DER_FEV_2023!H1108</f>
        <v>27.96</v>
      </c>
      <c r="I1108" s="901">
        <f>GLOBAL_DER_FEV_2023!I1108</f>
        <v>27.96</v>
      </c>
      <c r="J1108" s="902">
        <f>GLOBAL_DER_FEV_2023!J1108</f>
        <v>33.57</v>
      </c>
      <c r="K1108" s="903" t="s">
        <v>62</v>
      </c>
      <c r="L1108" s="1137"/>
      <c r="M1108" s="1138">
        <f t="shared" si="133"/>
        <v>0</v>
      </c>
      <c r="N1108" s="893">
        <f t="shared" si="132"/>
        <v>0</v>
      </c>
      <c r="O1108" s="905"/>
      <c r="Q1108" s="317" t="str">
        <f t="shared" si="134"/>
        <v/>
      </c>
      <c r="R1108" s="317" t="str">
        <f t="shared" si="135"/>
        <v/>
      </c>
      <c r="S1108" s="317" t="str">
        <f t="shared" si="136"/>
        <v/>
      </c>
      <c r="T1108" s="317" t="str">
        <f>GLOBAL_DER_FEV_2023!S1108</f>
        <v/>
      </c>
      <c r="W1108" s="582">
        <v>0</v>
      </c>
      <c r="X1108" s="580"/>
      <c r="Y1108" s="583">
        <f>IF(GLOBAL_DER_FEV_2023!W1108=0,0,IF(GLOBAL_DER_FEV_2023!W1108&gt;0,"c","b"))</f>
        <v>0</v>
      </c>
    </row>
    <row r="1109" spans="1:25" ht="22.5" x14ac:dyDescent="0.2">
      <c r="A1109" s="317">
        <v>93008</v>
      </c>
      <c r="B1109" s="895">
        <v>93008</v>
      </c>
      <c r="C1109" s="896" t="s">
        <v>596</v>
      </c>
      <c r="D1109" s="906" t="s">
        <v>1039</v>
      </c>
      <c r="E1109" s="907">
        <f>GLOBAL_DER_FEV_2023!E1109</f>
        <v>0</v>
      </c>
      <c r="F1109" s="908">
        <f>GLOBAL_DER_FEV_2023!F1109</f>
        <v>0</v>
      </c>
      <c r="G1109" s="912">
        <f>GLOBAL_DER_FEV_2023!G1109</f>
        <v>0</v>
      </c>
      <c r="H1109" s="901">
        <f>GLOBAL_DER_FEV_2023!H1109</f>
        <v>24.19</v>
      </c>
      <c r="I1109" s="901">
        <f>GLOBAL_DER_FEV_2023!I1109</f>
        <v>24.19</v>
      </c>
      <c r="J1109" s="902">
        <f>GLOBAL_DER_FEV_2023!J1109</f>
        <v>29.04</v>
      </c>
      <c r="K1109" s="903" t="s">
        <v>62</v>
      </c>
      <c r="L1109" s="1137"/>
      <c r="M1109" s="1138">
        <f t="shared" si="133"/>
        <v>0</v>
      </c>
      <c r="N1109" s="893">
        <f t="shared" si="132"/>
        <v>0</v>
      </c>
      <c r="O1109" s="905"/>
      <c r="Q1109" s="317" t="str">
        <f t="shared" si="134"/>
        <v/>
      </c>
      <c r="R1109" s="317" t="str">
        <f t="shared" si="135"/>
        <v/>
      </c>
      <c r="S1109" s="317" t="str">
        <f t="shared" si="136"/>
        <v/>
      </c>
      <c r="T1109" s="317" t="str">
        <f>GLOBAL_DER_FEV_2023!S1109</f>
        <v/>
      </c>
      <c r="W1109" s="582">
        <v>0</v>
      </c>
      <c r="X1109" s="580"/>
      <c r="Y1109" s="583">
        <f>IF(GLOBAL_DER_FEV_2023!W1109=0,0,IF(GLOBAL_DER_FEV_2023!W1109&gt;0,"c","b"))</f>
        <v>0</v>
      </c>
    </row>
    <row r="1110" spans="1:25" ht="22.5" x14ac:dyDescent="0.2">
      <c r="A1110" s="317">
        <v>93009</v>
      </c>
      <c r="B1110" s="895">
        <v>93009</v>
      </c>
      <c r="C1110" s="896" t="s">
        <v>596</v>
      </c>
      <c r="D1110" s="906" t="s">
        <v>1040</v>
      </c>
      <c r="E1110" s="907">
        <f>GLOBAL_DER_FEV_2023!E1110</f>
        <v>0</v>
      </c>
      <c r="F1110" s="908">
        <f>GLOBAL_DER_FEV_2023!F1110</f>
        <v>0</v>
      </c>
      <c r="G1110" s="912">
        <f>GLOBAL_DER_FEV_2023!G1110</f>
        <v>0</v>
      </c>
      <c r="H1110" s="901">
        <f>GLOBAL_DER_FEV_2023!H1110</f>
        <v>36.299999999999997</v>
      </c>
      <c r="I1110" s="901">
        <f>GLOBAL_DER_FEV_2023!I1110</f>
        <v>36.299999999999997</v>
      </c>
      <c r="J1110" s="902">
        <f>GLOBAL_DER_FEV_2023!J1110</f>
        <v>43.59</v>
      </c>
      <c r="K1110" s="903" t="s">
        <v>62</v>
      </c>
      <c r="L1110" s="1137"/>
      <c r="M1110" s="1138">
        <f t="shared" si="133"/>
        <v>0</v>
      </c>
      <c r="N1110" s="893">
        <f t="shared" si="132"/>
        <v>0</v>
      </c>
      <c r="O1110" s="905"/>
      <c r="Q1110" s="317" t="str">
        <f t="shared" si="134"/>
        <v/>
      </c>
      <c r="R1110" s="317" t="str">
        <f t="shared" si="135"/>
        <v/>
      </c>
      <c r="S1110" s="317" t="str">
        <f t="shared" si="136"/>
        <v/>
      </c>
      <c r="T1110" s="317" t="str">
        <f>GLOBAL_DER_FEV_2023!S1110</f>
        <v/>
      </c>
      <c r="W1110" s="582">
        <v>0</v>
      </c>
      <c r="X1110" s="580"/>
      <c r="Y1110" s="583">
        <f>IF(GLOBAL_DER_FEV_2023!W1110=0,0,IF(GLOBAL_DER_FEV_2023!W1110&gt;0,"c","b"))</f>
        <v>0</v>
      </c>
    </row>
    <row r="1111" spans="1:25" ht="22.5" x14ac:dyDescent="0.2">
      <c r="A1111" s="317">
        <v>93010</v>
      </c>
      <c r="B1111" s="895">
        <v>93010</v>
      </c>
      <c r="C1111" s="896" t="s">
        <v>596</v>
      </c>
      <c r="D1111" s="906" t="s">
        <v>1041</v>
      </c>
      <c r="E1111" s="907">
        <f>GLOBAL_DER_FEV_2023!E1111</f>
        <v>0</v>
      </c>
      <c r="F1111" s="908">
        <f>GLOBAL_DER_FEV_2023!F1111</f>
        <v>0</v>
      </c>
      <c r="G1111" s="912">
        <f>GLOBAL_DER_FEV_2023!G1111</f>
        <v>0</v>
      </c>
      <c r="H1111" s="901">
        <f>GLOBAL_DER_FEV_2023!H1111</f>
        <v>50.91</v>
      </c>
      <c r="I1111" s="901">
        <f>GLOBAL_DER_FEV_2023!I1111</f>
        <v>50.91</v>
      </c>
      <c r="J1111" s="902">
        <f>GLOBAL_DER_FEV_2023!J1111</f>
        <v>61.13</v>
      </c>
      <c r="K1111" s="903" t="s">
        <v>62</v>
      </c>
      <c r="L1111" s="1137"/>
      <c r="M1111" s="1138">
        <f t="shared" si="133"/>
        <v>0</v>
      </c>
      <c r="N1111" s="893">
        <f t="shared" ref="N1111:N1174" si="137">IF(ISBLANK(L1111),0,IF(W1111=0,ROUND(L1111*M1111,2),IF(W1111="b",ROUNDDOWN(L1111*M1111,2),ROUNDUP(L1111*M1111,2))))</f>
        <v>0</v>
      </c>
      <c r="O1111" s="905"/>
      <c r="Q1111" s="317" t="str">
        <f t="shared" si="134"/>
        <v/>
      </c>
      <c r="R1111" s="317" t="str">
        <f t="shared" si="135"/>
        <v/>
      </c>
      <c r="S1111" s="317" t="str">
        <f t="shared" si="136"/>
        <v/>
      </c>
      <c r="T1111" s="317" t="str">
        <f>GLOBAL_DER_FEV_2023!S1111</f>
        <v/>
      </c>
      <c r="W1111" s="582">
        <v>0</v>
      </c>
      <c r="X1111" s="580"/>
      <c r="Y1111" s="583">
        <f>IF(GLOBAL_DER_FEV_2023!W1111=0,0,IF(GLOBAL_DER_FEV_2023!W1111&gt;0,"c","b"))</f>
        <v>0</v>
      </c>
    </row>
    <row r="1112" spans="1:25" ht="22.5" x14ac:dyDescent="0.2">
      <c r="A1112" s="317">
        <v>93011</v>
      </c>
      <c r="B1112" s="895">
        <v>93011</v>
      </c>
      <c r="C1112" s="896" t="s">
        <v>596</v>
      </c>
      <c r="D1112" s="906" t="s">
        <v>1042</v>
      </c>
      <c r="E1112" s="907">
        <f>GLOBAL_DER_FEV_2023!E1112</f>
        <v>0</v>
      </c>
      <c r="F1112" s="908">
        <f>GLOBAL_DER_FEV_2023!F1112</f>
        <v>0</v>
      </c>
      <c r="G1112" s="912">
        <f>GLOBAL_DER_FEV_2023!G1112</f>
        <v>0</v>
      </c>
      <c r="H1112" s="901">
        <f>GLOBAL_DER_FEV_2023!H1112</f>
        <v>62.51</v>
      </c>
      <c r="I1112" s="901">
        <f>GLOBAL_DER_FEV_2023!I1112</f>
        <v>62.51</v>
      </c>
      <c r="J1112" s="902">
        <f>GLOBAL_DER_FEV_2023!J1112</f>
        <v>75.06</v>
      </c>
      <c r="K1112" s="903" t="s">
        <v>62</v>
      </c>
      <c r="L1112" s="1137"/>
      <c r="M1112" s="1138">
        <f t="shared" si="133"/>
        <v>0</v>
      </c>
      <c r="N1112" s="893">
        <f t="shared" si="137"/>
        <v>0</v>
      </c>
      <c r="O1112" s="905"/>
      <c r="Q1112" s="317" t="str">
        <f t="shared" si="134"/>
        <v/>
      </c>
      <c r="R1112" s="317" t="str">
        <f t="shared" si="135"/>
        <v/>
      </c>
      <c r="S1112" s="317" t="str">
        <f t="shared" si="136"/>
        <v/>
      </c>
      <c r="T1112" s="317" t="str">
        <f>GLOBAL_DER_FEV_2023!S1112</f>
        <v/>
      </c>
      <c r="W1112" s="582">
        <v>0</v>
      </c>
      <c r="X1112" s="580"/>
      <c r="Y1112" s="583">
        <f>IF(GLOBAL_DER_FEV_2023!W1112=0,0,IF(GLOBAL_DER_FEV_2023!W1112&gt;0,"c","b"))</f>
        <v>0</v>
      </c>
    </row>
    <row r="1113" spans="1:25" ht="22.5" x14ac:dyDescent="0.2">
      <c r="A1113" s="317">
        <v>93012</v>
      </c>
      <c r="B1113" s="895">
        <v>93012</v>
      </c>
      <c r="C1113" s="896" t="s">
        <v>596</v>
      </c>
      <c r="D1113" s="906" t="s">
        <v>1043</v>
      </c>
      <c r="E1113" s="907">
        <f>GLOBAL_DER_FEV_2023!E1113</f>
        <v>0</v>
      </c>
      <c r="F1113" s="908">
        <f>GLOBAL_DER_FEV_2023!F1113</f>
        <v>0</v>
      </c>
      <c r="G1113" s="912">
        <f>GLOBAL_DER_FEV_2023!G1113</f>
        <v>0</v>
      </c>
      <c r="H1113" s="901">
        <f>GLOBAL_DER_FEV_2023!H1113</f>
        <v>95.11</v>
      </c>
      <c r="I1113" s="901">
        <f>GLOBAL_DER_FEV_2023!I1113</f>
        <v>95.11</v>
      </c>
      <c r="J1113" s="902">
        <f>GLOBAL_DER_FEV_2023!J1113</f>
        <v>114.2</v>
      </c>
      <c r="K1113" s="903" t="s">
        <v>62</v>
      </c>
      <c r="L1113" s="1137"/>
      <c r="M1113" s="1138">
        <f t="shared" si="133"/>
        <v>0</v>
      </c>
      <c r="N1113" s="893">
        <f t="shared" si="137"/>
        <v>0</v>
      </c>
      <c r="O1113" s="905"/>
      <c r="Q1113" s="317" t="str">
        <f t="shared" si="134"/>
        <v/>
      </c>
      <c r="R1113" s="317" t="str">
        <f t="shared" si="135"/>
        <v/>
      </c>
      <c r="S1113" s="317" t="str">
        <f t="shared" si="136"/>
        <v/>
      </c>
      <c r="T1113" s="317" t="str">
        <f>GLOBAL_DER_FEV_2023!S1113</f>
        <v/>
      </c>
      <c r="W1113" s="582">
        <v>0</v>
      </c>
      <c r="X1113" s="580"/>
      <c r="Y1113" s="583">
        <f>IF(GLOBAL_DER_FEV_2023!W1113=0,0,IF(GLOBAL_DER_FEV_2023!W1113&gt;0,"c","b"))</f>
        <v>0</v>
      </c>
    </row>
    <row r="1114" spans="1:25" ht="22.5" x14ac:dyDescent="0.2">
      <c r="A1114" s="317">
        <v>95726</v>
      </c>
      <c r="B1114" s="895">
        <v>95726</v>
      </c>
      <c r="C1114" s="896" t="s">
        <v>596</v>
      </c>
      <c r="D1114" s="906" t="s">
        <v>1044</v>
      </c>
      <c r="E1114" s="907">
        <f>GLOBAL_DER_FEV_2023!E1114</f>
        <v>0</v>
      </c>
      <c r="F1114" s="908">
        <f>GLOBAL_DER_FEV_2023!F1114</f>
        <v>0</v>
      </c>
      <c r="G1114" s="912">
        <f>GLOBAL_DER_FEV_2023!G1114</f>
        <v>0</v>
      </c>
      <c r="H1114" s="901">
        <f>GLOBAL_DER_FEV_2023!H1114</f>
        <v>10.94</v>
      </c>
      <c r="I1114" s="901">
        <f>GLOBAL_DER_FEV_2023!I1114</f>
        <v>10.94</v>
      </c>
      <c r="J1114" s="902">
        <f>GLOBAL_DER_FEV_2023!J1114</f>
        <v>13.14</v>
      </c>
      <c r="K1114" s="903" t="s">
        <v>62</v>
      </c>
      <c r="L1114" s="1137"/>
      <c r="M1114" s="1138">
        <f t="shared" si="133"/>
        <v>0</v>
      </c>
      <c r="N1114" s="893">
        <f t="shared" si="137"/>
        <v>0</v>
      </c>
      <c r="O1114" s="905"/>
      <c r="Q1114" s="317" t="str">
        <f t="shared" si="134"/>
        <v/>
      </c>
      <c r="R1114" s="317" t="str">
        <f t="shared" si="135"/>
        <v/>
      </c>
      <c r="S1114" s="317" t="str">
        <f t="shared" si="136"/>
        <v/>
      </c>
      <c r="T1114" s="317" t="str">
        <f>GLOBAL_DER_FEV_2023!S1114</f>
        <v/>
      </c>
      <c r="W1114" s="582">
        <v>0</v>
      </c>
      <c r="X1114" s="580"/>
      <c r="Y1114" s="583">
        <f>IF(GLOBAL_DER_FEV_2023!W1114=0,0,IF(GLOBAL_DER_FEV_2023!W1114&gt;0,"c","b"))</f>
        <v>0</v>
      </c>
    </row>
    <row r="1115" spans="1:25" ht="22.5" x14ac:dyDescent="0.2">
      <c r="A1115" s="317">
        <v>95727</v>
      </c>
      <c r="B1115" s="895">
        <v>95727</v>
      </c>
      <c r="C1115" s="896" t="s">
        <v>596</v>
      </c>
      <c r="D1115" s="906" t="s">
        <v>1045</v>
      </c>
      <c r="E1115" s="907">
        <f>GLOBAL_DER_FEV_2023!E1115</f>
        <v>0</v>
      </c>
      <c r="F1115" s="908">
        <f>GLOBAL_DER_FEV_2023!F1115</f>
        <v>0</v>
      </c>
      <c r="G1115" s="912">
        <f>GLOBAL_DER_FEV_2023!G1115</f>
        <v>0</v>
      </c>
      <c r="H1115" s="901">
        <f>GLOBAL_DER_FEV_2023!H1115</f>
        <v>15.28</v>
      </c>
      <c r="I1115" s="901">
        <f>GLOBAL_DER_FEV_2023!I1115</f>
        <v>15.28</v>
      </c>
      <c r="J1115" s="902">
        <f>GLOBAL_DER_FEV_2023!J1115</f>
        <v>18.350000000000001</v>
      </c>
      <c r="K1115" s="903" t="s">
        <v>62</v>
      </c>
      <c r="L1115" s="1137"/>
      <c r="M1115" s="1138">
        <f t="shared" si="133"/>
        <v>0</v>
      </c>
      <c r="N1115" s="893">
        <f t="shared" si="137"/>
        <v>0</v>
      </c>
      <c r="O1115" s="905"/>
      <c r="Q1115" s="317" t="str">
        <f t="shared" si="134"/>
        <v/>
      </c>
      <c r="R1115" s="317" t="str">
        <f t="shared" si="135"/>
        <v/>
      </c>
      <c r="S1115" s="317" t="str">
        <f t="shared" si="136"/>
        <v/>
      </c>
      <c r="T1115" s="317" t="str">
        <f>GLOBAL_DER_FEV_2023!S1115</f>
        <v/>
      </c>
      <c r="W1115" s="582">
        <v>0</v>
      </c>
      <c r="X1115" s="580"/>
      <c r="Y1115" s="583">
        <f>IF(GLOBAL_DER_FEV_2023!W1115=0,0,IF(GLOBAL_DER_FEV_2023!W1115&gt;0,"c","b"))</f>
        <v>0</v>
      </c>
    </row>
    <row r="1116" spans="1:25" ht="22.5" x14ac:dyDescent="0.2">
      <c r="A1116" s="317">
        <v>95728</v>
      </c>
      <c r="B1116" s="895">
        <v>95728</v>
      </c>
      <c r="C1116" s="896" t="s">
        <v>596</v>
      </c>
      <c r="D1116" s="906" t="s">
        <v>1046</v>
      </c>
      <c r="E1116" s="907">
        <f>GLOBAL_DER_FEV_2023!E1116</f>
        <v>0</v>
      </c>
      <c r="F1116" s="908">
        <f>GLOBAL_DER_FEV_2023!F1116</f>
        <v>0</v>
      </c>
      <c r="G1116" s="912">
        <f>GLOBAL_DER_FEV_2023!G1116</f>
        <v>0</v>
      </c>
      <c r="H1116" s="901">
        <f>GLOBAL_DER_FEV_2023!H1116</f>
        <v>22.47</v>
      </c>
      <c r="I1116" s="901">
        <f>GLOBAL_DER_FEV_2023!I1116</f>
        <v>22.47</v>
      </c>
      <c r="J1116" s="902">
        <f>GLOBAL_DER_FEV_2023!J1116</f>
        <v>26.98</v>
      </c>
      <c r="K1116" s="903" t="s">
        <v>62</v>
      </c>
      <c r="L1116" s="1137"/>
      <c r="M1116" s="1138">
        <f t="shared" si="133"/>
        <v>0</v>
      </c>
      <c r="N1116" s="893">
        <f t="shared" si="137"/>
        <v>0</v>
      </c>
      <c r="O1116" s="905"/>
      <c r="Q1116" s="317" t="str">
        <f t="shared" si="134"/>
        <v/>
      </c>
      <c r="R1116" s="317" t="str">
        <f t="shared" si="135"/>
        <v/>
      </c>
      <c r="S1116" s="317" t="str">
        <f t="shared" si="136"/>
        <v/>
      </c>
      <c r="T1116" s="317" t="str">
        <f>GLOBAL_DER_FEV_2023!S1116</f>
        <v/>
      </c>
      <c r="W1116" s="582">
        <v>0</v>
      </c>
      <c r="X1116" s="580"/>
      <c r="Y1116" s="583">
        <f>IF(GLOBAL_DER_FEV_2023!W1116=0,0,IF(GLOBAL_DER_FEV_2023!W1116&gt;0,"c","b"))</f>
        <v>0</v>
      </c>
    </row>
    <row r="1117" spans="1:25" ht="22.5" x14ac:dyDescent="0.2">
      <c r="A1117" s="317">
        <v>95729</v>
      </c>
      <c r="B1117" s="895">
        <v>95729</v>
      </c>
      <c r="C1117" s="896" t="s">
        <v>596</v>
      </c>
      <c r="D1117" s="906" t="s">
        <v>1047</v>
      </c>
      <c r="E1117" s="907">
        <f>GLOBAL_DER_FEV_2023!E1117</f>
        <v>0</v>
      </c>
      <c r="F1117" s="908">
        <f>GLOBAL_DER_FEV_2023!F1117</f>
        <v>0</v>
      </c>
      <c r="G1117" s="912">
        <f>GLOBAL_DER_FEV_2023!G1117</f>
        <v>0</v>
      </c>
      <c r="H1117" s="901">
        <f>GLOBAL_DER_FEV_2023!H1117</f>
        <v>10.130000000000001</v>
      </c>
      <c r="I1117" s="901">
        <f>GLOBAL_DER_FEV_2023!I1117</f>
        <v>10.130000000000001</v>
      </c>
      <c r="J1117" s="902">
        <f>GLOBAL_DER_FEV_2023!J1117</f>
        <v>12.16</v>
      </c>
      <c r="K1117" s="903" t="s">
        <v>62</v>
      </c>
      <c r="L1117" s="1137"/>
      <c r="M1117" s="1138">
        <f t="shared" si="133"/>
        <v>0</v>
      </c>
      <c r="N1117" s="893">
        <f t="shared" si="137"/>
        <v>0</v>
      </c>
      <c r="O1117" s="905"/>
      <c r="Q1117" s="317" t="str">
        <f t="shared" si="134"/>
        <v/>
      </c>
      <c r="R1117" s="317" t="str">
        <f t="shared" si="135"/>
        <v/>
      </c>
      <c r="S1117" s="317" t="str">
        <f t="shared" si="136"/>
        <v/>
      </c>
      <c r="T1117" s="317" t="str">
        <f>GLOBAL_DER_FEV_2023!S1117</f>
        <v/>
      </c>
      <c r="W1117" s="582">
        <v>0</v>
      </c>
      <c r="X1117" s="580"/>
      <c r="Y1117" s="583">
        <f>IF(GLOBAL_DER_FEV_2023!W1117=0,0,IF(GLOBAL_DER_FEV_2023!W1117&gt;0,"c","b"))</f>
        <v>0</v>
      </c>
    </row>
    <row r="1118" spans="1:25" ht="22.5" x14ac:dyDescent="0.2">
      <c r="A1118" s="317">
        <v>95730</v>
      </c>
      <c r="B1118" s="895">
        <v>95730</v>
      </c>
      <c r="C1118" s="896" t="s">
        <v>596</v>
      </c>
      <c r="D1118" s="906" t="s">
        <v>1048</v>
      </c>
      <c r="E1118" s="907">
        <f>GLOBAL_DER_FEV_2023!E1118</f>
        <v>0</v>
      </c>
      <c r="F1118" s="908">
        <f>GLOBAL_DER_FEV_2023!F1118</f>
        <v>0</v>
      </c>
      <c r="G1118" s="912">
        <f>GLOBAL_DER_FEV_2023!G1118</f>
        <v>0</v>
      </c>
      <c r="H1118" s="901">
        <f>GLOBAL_DER_FEV_2023!H1118</f>
        <v>11.31</v>
      </c>
      <c r="I1118" s="901">
        <f>GLOBAL_DER_FEV_2023!I1118</f>
        <v>11.31</v>
      </c>
      <c r="J1118" s="902">
        <f>GLOBAL_DER_FEV_2023!J1118</f>
        <v>13.58</v>
      </c>
      <c r="K1118" s="903" t="s">
        <v>62</v>
      </c>
      <c r="L1118" s="1137"/>
      <c r="M1118" s="1138">
        <f t="shared" si="133"/>
        <v>0</v>
      </c>
      <c r="N1118" s="893">
        <f t="shared" si="137"/>
        <v>0</v>
      </c>
      <c r="O1118" s="905"/>
      <c r="Q1118" s="317" t="str">
        <f t="shared" si="134"/>
        <v/>
      </c>
      <c r="R1118" s="317" t="str">
        <f t="shared" si="135"/>
        <v/>
      </c>
      <c r="S1118" s="317" t="str">
        <f t="shared" si="136"/>
        <v/>
      </c>
      <c r="T1118" s="317" t="str">
        <f>GLOBAL_DER_FEV_2023!S1118</f>
        <v/>
      </c>
      <c r="W1118" s="582">
        <v>0</v>
      </c>
      <c r="X1118" s="580"/>
      <c r="Y1118" s="583">
        <f>IF(GLOBAL_DER_FEV_2023!W1118=0,0,IF(GLOBAL_DER_FEV_2023!W1118&gt;0,"c","b"))</f>
        <v>0</v>
      </c>
    </row>
    <row r="1119" spans="1:25" ht="22.5" x14ac:dyDescent="0.2">
      <c r="A1119" s="317">
        <v>95731</v>
      </c>
      <c r="B1119" s="895">
        <v>95731</v>
      </c>
      <c r="C1119" s="896" t="s">
        <v>596</v>
      </c>
      <c r="D1119" s="906" t="s">
        <v>1049</v>
      </c>
      <c r="E1119" s="907">
        <f>GLOBAL_DER_FEV_2023!E1119</f>
        <v>0</v>
      </c>
      <c r="F1119" s="908">
        <f>GLOBAL_DER_FEV_2023!F1119</f>
        <v>0</v>
      </c>
      <c r="G1119" s="912">
        <f>GLOBAL_DER_FEV_2023!G1119</f>
        <v>0</v>
      </c>
      <c r="H1119" s="901">
        <f>GLOBAL_DER_FEV_2023!H1119</f>
        <v>13.96</v>
      </c>
      <c r="I1119" s="901">
        <f>GLOBAL_DER_FEV_2023!I1119</f>
        <v>13.96</v>
      </c>
      <c r="J1119" s="902">
        <f>GLOBAL_DER_FEV_2023!J1119</f>
        <v>16.760000000000002</v>
      </c>
      <c r="K1119" s="903" t="s">
        <v>62</v>
      </c>
      <c r="L1119" s="1137"/>
      <c r="M1119" s="1138">
        <f t="shared" si="133"/>
        <v>0</v>
      </c>
      <c r="N1119" s="893">
        <f t="shared" si="137"/>
        <v>0</v>
      </c>
      <c r="O1119" s="905"/>
      <c r="Q1119" s="317" t="str">
        <f t="shared" si="134"/>
        <v/>
      </c>
      <c r="R1119" s="317" t="str">
        <f t="shared" si="135"/>
        <v/>
      </c>
      <c r="S1119" s="317" t="str">
        <f t="shared" si="136"/>
        <v/>
      </c>
      <c r="T1119" s="317" t="str">
        <f>GLOBAL_DER_FEV_2023!S1119</f>
        <v/>
      </c>
      <c r="W1119" s="582">
        <v>0</v>
      </c>
      <c r="X1119" s="580"/>
      <c r="Y1119" s="583">
        <f>IF(GLOBAL_DER_FEV_2023!W1119=0,0,IF(GLOBAL_DER_FEV_2023!W1119&gt;0,"c","b"))</f>
        <v>0</v>
      </c>
    </row>
    <row r="1120" spans="1:25" ht="22.5" x14ac:dyDescent="0.2">
      <c r="A1120" s="317">
        <v>95733</v>
      </c>
      <c r="B1120" s="895">
        <v>95733</v>
      </c>
      <c r="C1120" s="896" t="s">
        <v>596</v>
      </c>
      <c r="D1120" s="906" t="s">
        <v>1050</v>
      </c>
      <c r="E1120" s="907">
        <f>GLOBAL_DER_FEV_2023!E1120</f>
        <v>0</v>
      </c>
      <c r="F1120" s="908">
        <f>GLOBAL_DER_FEV_2023!F1120</f>
        <v>0</v>
      </c>
      <c r="G1120" s="912">
        <f>GLOBAL_DER_FEV_2023!G1120</f>
        <v>0</v>
      </c>
      <c r="H1120" s="901">
        <f>GLOBAL_DER_FEV_2023!H1120</f>
        <v>6.78</v>
      </c>
      <c r="I1120" s="901">
        <f>GLOBAL_DER_FEV_2023!I1120</f>
        <v>6.78</v>
      </c>
      <c r="J1120" s="902">
        <f>GLOBAL_DER_FEV_2023!J1120</f>
        <v>8.14</v>
      </c>
      <c r="K1120" s="903" t="s">
        <v>1516</v>
      </c>
      <c r="L1120" s="1137"/>
      <c r="M1120" s="1138">
        <f t="shared" si="133"/>
        <v>0</v>
      </c>
      <c r="N1120" s="893">
        <f t="shared" si="137"/>
        <v>0</v>
      </c>
      <c r="O1120" s="905"/>
      <c r="Q1120" s="317" t="str">
        <f t="shared" si="134"/>
        <v/>
      </c>
      <c r="R1120" s="317" t="str">
        <f t="shared" si="135"/>
        <v/>
      </c>
      <c r="S1120" s="317" t="str">
        <f t="shared" si="136"/>
        <v/>
      </c>
      <c r="T1120" s="317" t="str">
        <f>GLOBAL_DER_FEV_2023!S1120</f>
        <v/>
      </c>
      <c r="W1120" s="582">
        <v>0</v>
      </c>
      <c r="X1120" s="580"/>
      <c r="Y1120" s="583">
        <f>IF(GLOBAL_DER_FEV_2023!W1120=0,0,IF(GLOBAL_DER_FEV_2023!W1120&gt;0,"c","b"))</f>
        <v>0</v>
      </c>
    </row>
    <row r="1121" spans="1:25" ht="22.5" x14ac:dyDescent="0.2">
      <c r="A1121" s="317">
        <v>95734</v>
      </c>
      <c r="B1121" s="895">
        <v>95734</v>
      </c>
      <c r="C1121" s="896" t="s">
        <v>596</v>
      </c>
      <c r="D1121" s="906" t="s">
        <v>1051</v>
      </c>
      <c r="E1121" s="907">
        <f>GLOBAL_DER_FEV_2023!E1121</f>
        <v>0</v>
      </c>
      <c r="F1121" s="908">
        <f>GLOBAL_DER_FEV_2023!F1121</f>
        <v>0</v>
      </c>
      <c r="G1121" s="912">
        <f>GLOBAL_DER_FEV_2023!G1121</f>
        <v>0</v>
      </c>
      <c r="H1121" s="901">
        <f>GLOBAL_DER_FEV_2023!H1121</f>
        <v>9.0299999999999994</v>
      </c>
      <c r="I1121" s="901">
        <f>GLOBAL_DER_FEV_2023!I1121</f>
        <v>9.0299999999999994</v>
      </c>
      <c r="J1121" s="902">
        <f>GLOBAL_DER_FEV_2023!J1121</f>
        <v>10.84</v>
      </c>
      <c r="K1121" s="903" t="s">
        <v>1516</v>
      </c>
      <c r="L1121" s="1137"/>
      <c r="M1121" s="1138">
        <f t="shared" si="133"/>
        <v>0</v>
      </c>
      <c r="N1121" s="893">
        <f t="shared" si="137"/>
        <v>0</v>
      </c>
      <c r="O1121" s="905"/>
      <c r="Q1121" s="317" t="str">
        <f t="shared" si="134"/>
        <v/>
      </c>
      <c r="R1121" s="317" t="str">
        <f t="shared" si="135"/>
        <v/>
      </c>
      <c r="S1121" s="317" t="str">
        <f t="shared" si="136"/>
        <v/>
      </c>
      <c r="T1121" s="317" t="str">
        <f>GLOBAL_DER_FEV_2023!S1121</f>
        <v/>
      </c>
      <c r="W1121" s="582">
        <v>0</v>
      </c>
      <c r="X1121" s="580"/>
      <c r="Y1121" s="583">
        <f>IF(GLOBAL_DER_FEV_2023!W1121=0,0,IF(GLOBAL_DER_FEV_2023!W1121&gt;0,"c","b"))</f>
        <v>0</v>
      </c>
    </row>
    <row r="1122" spans="1:25" ht="22.5" x14ac:dyDescent="0.2">
      <c r="A1122" s="317">
        <v>95735</v>
      </c>
      <c r="B1122" s="895">
        <v>95735</v>
      </c>
      <c r="C1122" s="896" t="s">
        <v>596</v>
      </c>
      <c r="D1122" s="906" t="s">
        <v>1052</v>
      </c>
      <c r="E1122" s="907">
        <f>GLOBAL_DER_FEV_2023!E1122</f>
        <v>0</v>
      </c>
      <c r="F1122" s="908">
        <f>GLOBAL_DER_FEV_2023!F1122</f>
        <v>0</v>
      </c>
      <c r="G1122" s="912">
        <f>GLOBAL_DER_FEV_2023!G1122</f>
        <v>0</v>
      </c>
      <c r="H1122" s="901">
        <f>GLOBAL_DER_FEV_2023!H1122</f>
        <v>7.48</v>
      </c>
      <c r="I1122" s="901">
        <f>GLOBAL_DER_FEV_2023!I1122</f>
        <v>7.48</v>
      </c>
      <c r="J1122" s="902">
        <f>GLOBAL_DER_FEV_2023!J1122</f>
        <v>8.98</v>
      </c>
      <c r="K1122" s="903" t="s">
        <v>1516</v>
      </c>
      <c r="L1122" s="1137"/>
      <c r="M1122" s="1138">
        <f t="shared" si="133"/>
        <v>0</v>
      </c>
      <c r="N1122" s="893">
        <f t="shared" si="137"/>
        <v>0</v>
      </c>
      <c r="O1122" s="905"/>
      <c r="Q1122" s="317" t="str">
        <f t="shared" si="134"/>
        <v/>
      </c>
      <c r="R1122" s="317" t="str">
        <f t="shared" si="135"/>
        <v/>
      </c>
      <c r="S1122" s="317" t="str">
        <f t="shared" si="136"/>
        <v/>
      </c>
      <c r="T1122" s="317" t="str">
        <f>GLOBAL_DER_FEV_2023!S1122</f>
        <v/>
      </c>
      <c r="W1122" s="582">
        <v>0</v>
      </c>
      <c r="X1122" s="580"/>
      <c r="Y1122" s="583">
        <f>IF(GLOBAL_DER_FEV_2023!W1122=0,0,IF(GLOBAL_DER_FEV_2023!W1122&gt;0,"c","b"))</f>
        <v>0</v>
      </c>
    </row>
    <row r="1123" spans="1:25" ht="22.5" x14ac:dyDescent="0.2">
      <c r="A1123" s="317">
        <v>95736</v>
      </c>
      <c r="B1123" s="895">
        <v>95736</v>
      </c>
      <c r="C1123" s="896" t="s">
        <v>596</v>
      </c>
      <c r="D1123" s="906" t="s">
        <v>1053</v>
      </c>
      <c r="E1123" s="907">
        <f>GLOBAL_DER_FEV_2023!E1123</f>
        <v>0</v>
      </c>
      <c r="F1123" s="908">
        <f>GLOBAL_DER_FEV_2023!F1123</f>
        <v>0</v>
      </c>
      <c r="G1123" s="912">
        <f>GLOBAL_DER_FEV_2023!G1123</f>
        <v>0</v>
      </c>
      <c r="H1123" s="901">
        <f>GLOBAL_DER_FEV_2023!H1123</f>
        <v>8.85</v>
      </c>
      <c r="I1123" s="901">
        <f>GLOBAL_DER_FEV_2023!I1123</f>
        <v>8.85</v>
      </c>
      <c r="J1123" s="902">
        <f>GLOBAL_DER_FEV_2023!J1123</f>
        <v>10.63</v>
      </c>
      <c r="K1123" s="903" t="s">
        <v>1516</v>
      </c>
      <c r="L1123" s="1137"/>
      <c r="M1123" s="1138">
        <f t="shared" si="133"/>
        <v>0</v>
      </c>
      <c r="N1123" s="893">
        <f t="shared" si="137"/>
        <v>0</v>
      </c>
      <c r="O1123" s="905"/>
      <c r="Q1123" s="317" t="str">
        <f t="shared" si="134"/>
        <v/>
      </c>
      <c r="R1123" s="317" t="str">
        <f t="shared" si="135"/>
        <v/>
      </c>
      <c r="S1123" s="317" t="str">
        <f t="shared" si="136"/>
        <v/>
      </c>
      <c r="T1123" s="317" t="str">
        <f>GLOBAL_DER_FEV_2023!S1123</f>
        <v/>
      </c>
      <c r="W1123" s="582">
        <v>0</v>
      </c>
      <c r="X1123" s="580"/>
      <c r="Y1123" s="583">
        <f>IF(GLOBAL_DER_FEV_2023!W1123=0,0,IF(GLOBAL_DER_FEV_2023!W1123&gt;0,"c","b"))</f>
        <v>0</v>
      </c>
    </row>
    <row r="1124" spans="1:25" ht="22.5" x14ac:dyDescent="0.2">
      <c r="A1124" s="317">
        <v>95738</v>
      </c>
      <c r="B1124" s="895">
        <v>95738</v>
      </c>
      <c r="C1124" s="896" t="s">
        <v>596</v>
      </c>
      <c r="D1124" s="906" t="s">
        <v>1054</v>
      </c>
      <c r="E1124" s="907">
        <f>GLOBAL_DER_FEV_2023!E1124</f>
        <v>0</v>
      </c>
      <c r="F1124" s="908">
        <f>GLOBAL_DER_FEV_2023!F1124</f>
        <v>0</v>
      </c>
      <c r="G1124" s="912">
        <f>GLOBAL_DER_FEV_2023!G1124</f>
        <v>0</v>
      </c>
      <c r="H1124" s="901">
        <f>GLOBAL_DER_FEV_2023!H1124</f>
        <v>10.71</v>
      </c>
      <c r="I1124" s="901">
        <f>GLOBAL_DER_FEV_2023!I1124</f>
        <v>10.71</v>
      </c>
      <c r="J1124" s="902">
        <f>GLOBAL_DER_FEV_2023!J1124</f>
        <v>12.86</v>
      </c>
      <c r="K1124" s="903" t="s">
        <v>1516</v>
      </c>
      <c r="L1124" s="1137"/>
      <c r="M1124" s="1138">
        <f t="shared" si="133"/>
        <v>0</v>
      </c>
      <c r="N1124" s="893">
        <f t="shared" si="137"/>
        <v>0</v>
      </c>
      <c r="O1124" s="905"/>
      <c r="Q1124" s="317" t="str">
        <f t="shared" si="134"/>
        <v/>
      </c>
      <c r="R1124" s="317" t="str">
        <f t="shared" si="135"/>
        <v/>
      </c>
      <c r="S1124" s="317" t="str">
        <f t="shared" si="136"/>
        <v/>
      </c>
      <c r="T1124" s="317" t="str">
        <f>GLOBAL_DER_FEV_2023!S1124</f>
        <v/>
      </c>
      <c r="W1124" s="582">
        <v>0</v>
      </c>
      <c r="X1124" s="580"/>
      <c r="Y1124" s="583">
        <f>IF(GLOBAL_DER_FEV_2023!W1124=0,0,IF(GLOBAL_DER_FEV_2023!W1124&gt;0,"c","b"))</f>
        <v>0</v>
      </c>
    </row>
    <row r="1125" spans="1:25" ht="22.5" x14ac:dyDescent="0.2">
      <c r="A1125" s="317">
        <v>95732</v>
      </c>
      <c r="B1125" s="895">
        <v>95732</v>
      </c>
      <c r="C1125" s="896" t="s">
        <v>596</v>
      </c>
      <c r="D1125" s="906" t="s">
        <v>1055</v>
      </c>
      <c r="E1125" s="907">
        <f>GLOBAL_DER_FEV_2023!E1125</f>
        <v>0</v>
      </c>
      <c r="F1125" s="908">
        <f>GLOBAL_DER_FEV_2023!F1125</f>
        <v>0</v>
      </c>
      <c r="G1125" s="912">
        <f>GLOBAL_DER_FEV_2023!G1125</f>
        <v>0</v>
      </c>
      <c r="H1125" s="901">
        <f>GLOBAL_DER_FEV_2023!H1125</f>
        <v>5.14</v>
      </c>
      <c r="I1125" s="901">
        <f>GLOBAL_DER_FEV_2023!I1125</f>
        <v>5.14</v>
      </c>
      <c r="J1125" s="902">
        <f>GLOBAL_DER_FEV_2023!J1125</f>
        <v>6.17</v>
      </c>
      <c r="K1125" s="903" t="s">
        <v>1516</v>
      </c>
      <c r="L1125" s="1137"/>
      <c r="M1125" s="1138">
        <f t="shared" si="133"/>
        <v>0</v>
      </c>
      <c r="N1125" s="893">
        <f t="shared" si="137"/>
        <v>0</v>
      </c>
      <c r="O1125" s="905"/>
      <c r="Q1125" s="317" t="str">
        <f t="shared" si="134"/>
        <v/>
      </c>
      <c r="R1125" s="317" t="str">
        <f t="shared" si="135"/>
        <v/>
      </c>
      <c r="S1125" s="317" t="str">
        <f t="shared" si="136"/>
        <v/>
      </c>
      <c r="T1125" s="317" t="str">
        <f>GLOBAL_DER_FEV_2023!S1125</f>
        <v/>
      </c>
      <c r="W1125" s="582">
        <v>0</v>
      </c>
      <c r="X1125" s="580"/>
      <c r="Y1125" s="583">
        <f>IF(GLOBAL_DER_FEV_2023!W1125=0,0,IF(GLOBAL_DER_FEV_2023!W1125&gt;0,"c","b"))</f>
        <v>0</v>
      </c>
    </row>
    <row r="1126" spans="1:25" ht="22.5" x14ac:dyDescent="0.2">
      <c r="A1126" s="317">
        <v>95745</v>
      </c>
      <c r="B1126" s="895">
        <v>95745</v>
      </c>
      <c r="C1126" s="896" t="s">
        <v>596</v>
      </c>
      <c r="D1126" s="906" t="s">
        <v>1056</v>
      </c>
      <c r="E1126" s="907">
        <f>GLOBAL_DER_FEV_2023!E1126</f>
        <v>0</v>
      </c>
      <c r="F1126" s="908">
        <f>GLOBAL_DER_FEV_2023!F1126</f>
        <v>0</v>
      </c>
      <c r="G1126" s="912">
        <f>GLOBAL_DER_FEV_2023!G1126</f>
        <v>0</v>
      </c>
      <c r="H1126" s="901">
        <f>GLOBAL_DER_FEV_2023!H1126</f>
        <v>23.89</v>
      </c>
      <c r="I1126" s="901">
        <f>GLOBAL_DER_FEV_2023!I1126</f>
        <v>23.89</v>
      </c>
      <c r="J1126" s="902">
        <f>GLOBAL_DER_FEV_2023!J1126</f>
        <v>28.68</v>
      </c>
      <c r="K1126" s="903" t="s">
        <v>62</v>
      </c>
      <c r="L1126" s="1137"/>
      <c r="M1126" s="1138">
        <f t="shared" si="133"/>
        <v>0</v>
      </c>
      <c r="N1126" s="893">
        <f t="shared" si="137"/>
        <v>0</v>
      </c>
      <c r="O1126" s="905"/>
      <c r="Q1126" s="317" t="str">
        <f t="shared" si="134"/>
        <v/>
      </c>
      <c r="R1126" s="317" t="str">
        <f t="shared" si="135"/>
        <v/>
      </c>
      <c r="S1126" s="317" t="str">
        <f t="shared" si="136"/>
        <v/>
      </c>
      <c r="T1126" s="317" t="str">
        <f>GLOBAL_DER_FEV_2023!S1126</f>
        <v/>
      </c>
      <c r="W1126" s="582">
        <v>0</v>
      </c>
      <c r="X1126" s="580"/>
      <c r="Y1126" s="583">
        <f>IF(GLOBAL_DER_FEV_2023!W1126=0,0,IF(GLOBAL_DER_FEV_2023!W1126&gt;0,"c","b"))</f>
        <v>0</v>
      </c>
    </row>
    <row r="1127" spans="1:25" ht="22.5" x14ac:dyDescent="0.2">
      <c r="A1127" s="317">
        <v>95746</v>
      </c>
      <c r="B1127" s="895">
        <v>95746</v>
      </c>
      <c r="C1127" s="896" t="s">
        <v>596</v>
      </c>
      <c r="D1127" s="906" t="s">
        <v>1057</v>
      </c>
      <c r="E1127" s="907">
        <f>GLOBAL_DER_FEV_2023!E1127</f>
        <v>0</v>
      </c>
      <c r="F1127" s="908">
        <f>GLOBAL_DER_FEV_2023!F1127</f>
        <v>0</v>
      </c>
      <c r="G1127" s="912">
        <f>GLOBAL_DER_FEV_2023!G1127</f>
        <v>0</v>
      </c>
      <c r="H1127" s="901">
        <f>GLOBAL_DER_FEV_2023!H1127</f>
        <v>29.71</v>
      </c>
      <c r="I1127" s="901">
        <f>GLOBAL_DER_FEV_2023!I1127</f>
        <v>29.71</v>
      </c>
      <c r="J1127" s="902">
        <f>GLOBAL_DER_FEV_2023!J1127</f>
        <v>35.67</v>
      </c>
      <c r="K1127" s="903" t="s">
        <v>62</v>
      </c>
      <c r="L1127" s="1137"/>
      <c r="M1127" s="1138">
        <f t="shared" si="133"/>
        <v>0</v>
      </c>
      <c r="N1127" s="893">
        <f t="shared" si="137"/>
        <v>0</v>
      </c>
      <c r="O1127" s="905"/>
      <c r="Q1127" s="317" t="str">
        <f t="shared" si="134"/>
        <v/>
      </c>
      <c r="R1127" s="317" t="str">
        <f t="shared" si="135"/>
        <v/>
      </c>
      <c r="S1127" s="317" t="str">
        <f t="shared" si="136"/>
        <v/>
      </c>
      <c r="T1127" s="317" t="str">
        <f>GLOBAL_DER_FEV_2023!S1127</f>
        <v/>
      </c>
      <c r="W1127" s="582">
        <v>0</v>
      </c>
      <c r="X1127" s="580"/>
      <c r="Y1127" s="583">
        <f>IF(GLOBAL_DER_FEV_2023!W1127=0,0,IF(GLOBAL_DER_FEV_2023!W1127&gt;0,"c","b"))</f>
        <v>0</v>
      </c>
    </row>
    <row r="1128" spans="1:25" ht="22.5" x14ac:dyDescent="0.2">
      <c r="A1128" s="317">
        <v>95747</v>
      </c>
      <c r="B1128" s="895">
        <v>95747</v>
      </c>
      <c r="C1128" s="896" t="s">
        <v>596</v>
      </c>
      <c r="D1128" s="906" t="s">
        <v>1058</v>
      </c>
      <c r="E1128" s="907">
        <f>GLOBAL_DER_FEV_2023!E1128</f>
        <v>0</v>
      </c>
      <c r="F1128" s="908">
        <f>GLOBAL_DER_FEV_2023!F1128</f>
        <v>0</v>
      </c>
      <c r="G1128" s="912">
        <f>GLOBAL_DER_FEV_2023!G1128</f>
        <v>0</v>
      </c>
      <c r="H1128" s="901">
        <f>GLOBAL_DER_FEV_2023!H1128</f>
        <v>49.07</v>
      </c>
      <c r="I1128" s="901">
        <f>GLOBAL_DER_FEV_2023!I1128</f>
        <v>49.07</v>
      </c>
      <c r="J1128" s="902">
        <f>GLOBAL_DER_FEV_2023!J1128</f>
        <v>58.92</v>
      </c>
      <c r="K1128" s="903" t="s">
        <v>62</v>
      </c>
      <c r="L1128" s="1137"/>
      <c r="M1128" s="1138">
        <f t="shared" si="133"/>
        <v>0</v>
      </c>
      <c r="N1128" s="893">
        <f t="shared" si="137"/>
        <v>0</v>
      </c>
      <c r="O1128" s="905"/>
      <c r="Q1128" s="317" t="str">
        <f t="shared" si="134"/>
        <v/>
      </c>
      <c r="R1128" s="317" t="str">
        <f t="shared" si="135"/>
        <v/>
      </c>
      <c r="S1128" s="317" t="str">
        <f t="shared" si="136"/>
        <v/>
      </c>
      <c r="T1128" s="317" t="str">
        <f>GLOBAL_DER_FEV_2023!S1128</f>
        <v/>
      </c>
      <c r="W1128" s="582">
        <v>0</v>
      </c>
      <c r="X1128" s="580"/>
      <c r="Y1128" s="583">
        <f>IF(GLOBAL_DER_FEV_2023!W1128=0,0,IF(GLOBAL_DER_FEV_2023!W1128&gt;0,"c","b"))</f>
        <v>0</v>
      </c>
    </row>
    <row r="1129" spans="1:25" ht="22.5" x14ac:dyDescent="0.2">
      <c r="A1129" s="317">
        <v>95748</v>
      </c>
      <c r="B1129" s="895">
        <v>95748</v>
      </c>
      <c r="C1129" s="896" t="s">
        <v>596</v>
      </c>
      <c r="D1129" s="906" t="s">
        <v>1059</v>
      </c>
      <c r="E1129" s="907">
        <f>GLOBAL_DER_FEV_2023!E1129</f>
        <v>0</v>
      </c>
      <c r="F1129" s="908">
        <f>GLOBAL_DER_FEV_2023!F1129</f>
        <v>0</v>
      </c>
      <c r="G1129" s="912">
        <f>GLOBAL_DER_FEV_2023!G1129</f>
        <v>0</v>
      </c>
      <c r="H1129" s="901">
        <f>GLOBAL_DER_FEV_2023!H1129</f>
        <v>53.05</v>
      </c>
      <c r="I1129" s="901">
        <f>GLOBAL_DER_FEV_2023!I1129</f>
        <v>53.05</v>
      </c>
      <c r="J1129" s="902">
        <f>GLOBAL_DER_FEV_2023!J1129</f>
        <v>63.7</v>
      </c>
      <c r="K1129" s="903" t="s">
        <v>62</v>
      </c>
      <c r="L1129" s="1137"/>
      <c r="M1129" s="1138">
        <f t="shared" si="133"/>
        <v>0</v>
      </c>
      <c r="N1129" s="893">
        <f t="shared" si="137"/>
        <v>0</v>
      </c>
      <c r="O1129" s="905"/>
      <c r="Q1129" s="317" t="str">
        <f t="shared" si="134"/>
        <v/>
      </c>
      <c r="R1129" s="317" t="str">
        <f t="shared" si="135"/>
        <v/>
      </c>
      <c r="S1129" s="317" t="str">
        <f t="shared" si="136"/>
        <v/>
      </c>
      <c r="T1129" s="317" t="str">
        <f>GLOBAL_DER_FEV_2023!S1129</f>
        <v/>
      </c>
      <c r="W1129" s="582">
        <v>0</v>
      </c>
      <c r="X1129" s="580"/>
      <c r="Y1129" s="583">
        <f>IF(GLOBAL_DER_FEV_2023!W1129=0,0,IF(GLOBAL_DER_FEV_2023!W1129&gt;0,"c","b"))</f>
        <v>0</v>
      </c>
    </row>
    <row r="1130" spans="1:25" ht="22.5" x14ac:dyDescent="0.2">
      <c r="A1130" s="317">
        <v>95749</v>
      </c>
      <c r="B1130" s="895">
        <v>95749</v>
      </c>
      <c r="C1130" s="896" t="s">
        <v>596</v>
      </c>
      <c r="D1130" s="906" t="s">
        <v>1060</v>
      </c>
      <c r="E1130" s="907">
        <f>GLOBAL_DER_FEV_2023!E1130</f>
        <v>0</v>
      </c>
      <c r="F1130" s="908">
        <f>GLOBAL_DER_FEV_2023!F1130</f>
        <v>0</v>
      </c>
      <c r="G1130" s="912">
        <f>GLOBAL_DER_FEV_2023!G1130</f>
        <v>0</v>
      </c>
      <c r="H1130" s="901">
        <f>GLOBAL_DER_FEV_2023!H1130</f>
        <v>31.18</v>
      </c>
      <c r="I1130" s="901">
        <f>GLOBAL_DER_FEV_2023!I1130</f>
        <v>31.18</v>
      </c>
      <c r="J1130" s="902">
        <f>GLOBAL_DER_FEV_2023!J1130</f>
        <v>37.44</v>
      </c>
      <c r="K1130" s="903" t="s">
        <v>62</v>
      </c>
      <c r="L1130" s="1137"/>
      <c r="M1130" s="1138">
        <f t="shared" si="133"/>
        <v>0</v>
      </c>
      <c r="N1130" s="893">
        <f t="shared" si="137"/>
        <v>0</v>
      </c>
      <c r="O1130" s="905"/>
      <c r="Q1130" s="317" t="str">
        <f t="shared" si="134"/>
        <v/>
      </c>
      <c r="R1130" s="317" t="str">
        <f t="shared" si="135"/>
        <v/>
      </c>
      <c r="S1130" s="317" t="str">
        <f t="shared" si="136"/>
        <v/>
      </c>
      <c r="T1130" s="317" t="str">
        <f>GLOBAL_DER_FEV_2023!S1130</f>
        <v/>
      </c>
      <c r="W1130" s="582">
        <v>0</v>
      </c>
      <c r="X1130" s="580"/>
      <c r="Y1130" s="583">
        <f>IF(GLOBAL_DER_FEV_2023!W1130=0,0,IF(GLOBAL_DER_FEV_2023!W1130&gt;0,"c","b"))</f>
        <v>0</v>
      </c>
    </row>
    <row r="1131" spans="1:25" ht="22.5" x14ac:dyDescent="0.2">
      <c r="A1131" s="317">
        <v>95750</v>
      </c>
      <c r="B1131" s="895">
        <v>95750</v>
      </c>
      <c r="C1131" s="896" t="s">
        <v>596</v>
      </c>
      <c r="D1131" s="906" t="s">
        <v>1061</v>
      </c>
      <c r="E1131" s="907">
        <f>GLOBAL_DER_FEV_2023!E1131</f>
        <v>0</v>
      </c>
      <c r="F1131" s="908">
        <f>GLOBAL_DER_FEV_2023!F1131</f>
        <v>0</v>
      </c>
      <c r="G1131" s="912">
        <f>GLOBAL_DER_FEV_2023!G1131</f>
        <v>0</v>
      </c>
      <c r="H1131" s="901">
        <f>GLOBAL_DER_FEV_2023!H1131</f>
        <v>36.840000000000003</v>
      </c>
      <c r="I1131" s="901">
        <f>GLOBAL_DER_FEV_2023!I1131</f>
        <v>36.840000000000003</v>
      </c>
      <c r="J1131" s="902">
        <f>GLOBAL_DER_FEV_2023!J1131</f>
        <v>44.23</v>
      </c>
      <c r="K1131" s="903" t="s">
        <v>62</v>
      </c>
      <c r="L1131" s="1137"/>
      <c r="M1131" s="1138">
        <f t="shared" si="133"/>
        <v>0</v>
      </c>
      <c r="N1131" s="893">
        <f t="shared" si="137"/>
        <v>0</v>
      </c>
      <c r="O1131" s="905"/>
      <c r="Q1131" s="317" t="str">
        <f t="shared" si="134"/>
        <v/>
      </c>
      <c r="R1131" s="317" t="str">
        <f t="shared" si="135"/>
        <v/>
      </c>
      <c r="S1131" s="317" t="str">
        <f t="shared" si="136"/>
        <v/>
      </c>
      <c r="T1131" s="317" t="str">
        <f>GLOBAL_DER_FEV_2023!S1131</f>
        <v/>
      </c>
      <c r="W1131" s="582">
        <v>0</v>
      </c>
      <c r="X1131" s="580"/>
      <c r="Y1131" s="583">
        <f>IF(GLOBAL_DER_FEV_2023!W1131=0,0,IF(GLOBAL_DER_FEV_2023!W1131&gt;0,"c","b"))</f>
        <v>0</v>
      </c>
    </row>
    <row r="1132" spans="1:25" ht="22.5" x14ac:dyDescent="0.2">
      <c r="A1132" s="317">
        <v>95751</v>
      </c>
      <c r="B1132" s="895">
        <v>95751</v>
      </c>
      <c r="C1132" s="896" t="s">
        <v>596</v>
      </c>
      <c r="D1132" s="906" t="s">
        <v>1062</v>
      </c>
      <c r="E1132" s="907">
        <f>GLOBAL_DER_FEV_2023!E1132</f>
        <v>0</v>
      </c>
      <c r="F1132" s="908">
        <f>GLOBAL_DER_FEV_2023!F1132</f>
        <v>0</v>
      </c>
      <c r="G1132" s="912">
        <f>GLOBAL_DER_FEV_2023!G1132</f>
        <v>0</v>
      </c>
      <c r="H1132" s="901">
        <f>GLOBAL_DER_FEV_2023!H1132</f>
        <v>55.99</v>
      </c>
      <c r="I1132" s="901">
        <f>GLOBAL_DER_FEV_2023!I1132</f>
        <v>55.99</v>
      </c>
      <c r="J1132" s="902">
        <f>GLOBAL_DER_FEV_2023!J1132</f>
        <v>67.23</v>
      </c>
      <c r="K1132" s="903" t="s">
        <v>62</v>
      </c>
      <c r="L1132" s="1137"/>
      <c r="M1132" s="1138">
        <f t="shared" si="133"/>
        <v>0</v>
      </c>
      <c r="N1132" s="893">
        <f t="shared" si="137"/>
        <v>0</v>
      </c>
      <c r="O1132" s="905"/>
      <c r="Q1132" s="317" t="str">
        <f t="shared" si="134"/>
        <v/>
      </c>
      <c r="R1132" s="317" t="str">
        <f t="shared" si="135"/>
        <v/>
      </c>
      <c r="S1132" s="317" t="str">
        <f t="shared" si="136"/>
        <v/>
      </c>
      <c r="T1132" s="317" t="str">
        <f>GLOBAL_DER_FEV_2023!S1132</f>
        <v/>
      </c>
      <c r="W1132" s="582">
        <v>0</v>
      </c>
      <c r="X1132" s="580"/>
      <c r="Y1132" s="583">
        <f>IF(GLOBAL_DER_FEV_2023!W1132=0,0,IF(GLOBAL_DER_FEV_2023!W1132&gt;0,"c","b"))</f>
        <v>0</v>
      </c>
    </row>
    <row r="1133" spans="1:25" ht="22.5" x14ac:dyDescent="0.2">
      <c r="A1133" s="317">
        <v>95752</v>
      </c>
      <c r="B1133" s="895">
        <v>95752</v>
      </c>
      <c r="C1133" s="896" t="s">
        <v>596</v>
      </c>
      <c r="D1133" s="906" t="s">
        <v>1063</v>
      </c>
      <c r="E1133" s="907">
        <f>GLOBAL_DER_FEV_2023!E1133</f>
        <v>0</v>
      </c>
      <c r="F1133" s="908">
        <f>GLOBAL_DER_FEV_2023!F1133</f>
        <v>0</v>
      </c>
      <c r="G1133" s="912">
        <f>GLOBAL_DER_FEV_2023!G1133</f>
        <v>0</v>
      </c>
      <c r="H1133" s="901">
        <f>GLOBAL_DER_FEV_2023!H1133</f>
        <v>59.7</v>
      </c>
      <c r="I1133" s="901">
        <f>GLOBAL_DER_FEV_2023!I1133</f>
        <v>59.7</v>
      </c>
      <c r="J1133" s="902">
        <f>GLOBAL_DER_FEV_2023!J1133</f>
        <v>71.680000000000007</v>
      </c>
      <c r="K1133" s="903" t="s">
        <v>62</v>
      </c>
      <c r="L1133" s="1137"/>
      <c r="M1133" s="1138">
        <f t="shared" si="133"/>
        <v>0</v>
      </c>
      <c r="N1133" s="893">
        <f t="shared" si="137"/>
        <v>0</v>
      </c>
      <c r="O1133" s="905"/>
      <c r="Q1133" s="317" t="str">
        <f t="shared" si="134"/>
        <v/>
      </c>
      <c r="R1133" s="317" t="str">
        <f t="shared" si="135"/>
        <v/>
      </c>
      <c r="S1133" s="317" t="str">
        <f t="shared" si="136"/>
        <v/>
      </c>
      <c r="T1133" s="317" t="str">
        <f>GLOBAL_DER_FEV_2023!S1133</f>
        <v/>
      </c>
      <c r="W1133" s="582">
        <v>0</v>
      </c>
      <c r="X1133" s="580"/>
      <c r="Y1133" s="583">
        <f>IF(GLOBAL_DER_FEV_2023!W1133=0,0,IF(GLOBAL_DER_FEV_2023!W1133&gt;0,"c","b"))</f>
        <v>0</v>
      </c>
    </row>
    <row r="1134" spans="1:25" ht="22.5" x14ac:dyDescent="0.2">
      <c r="A1134" s="317">
        <v>95753</v>
      </c>
      <c r="B1134" s="895">
        <v>95753</v>
      </c>
      <c r="C1134" s="896" t="s">
        <v>596</v>
      </c>
      <c r="D1134" s="906" t="s">
        <v>1064</v>
      </c>
      <c r="E1134" s="907">
        <f>GLOBAL_DER_FEV_2023!E1134</f>
        <v>0</v>
      </c>
      <c r="F1134" s="908">
        <f>GLOBAL_DER_FEV_2023!F1134</f>
        <v>0</v>
      </c>
      <c r="G1134" s="912">
        <f>GLOBAL_DER_FEV_2023!G1134</f>
        <v>0</v>
      </c>
      <c r="H1134" s="901">
        <f>GLOBAL_DER_FEV_2023!H1134</f>
        <v>7.96</v>
      </c>
      <c r="I1134" s="901">
        <f>GLOBAL_DER_FEV_2023!I1134</f>
        <v>7.96</v>
      </c>
      <c r="J1134" s="902">
        <f>GLOBAL_DER_FEV_2023!J1134</f>
        <v>9.56</v>
      </c>
      <c r="K1134" s="903" t="s">
        <v>1516</v>
      </c>
      <c r="L1134" s="1137"/>
      <c r="M1134" s="1138">
        <f t="shared" si="133"/>
        <v>0</v>
      </c>
      <c r="N1134" s="893">
        <f t="shared" si="137"/>
        <v>0</v>
      </c>
      <c r="O1134" s="905"/>
      <c r="Q1134" s="317" t="str">
        <f t="shared" si="134"/>
        <v/>
      </c>
      <c r="R1134" s="317" t="str">
        <f t="shared" si="135"/>
        <v/>
      </c>
      <c r="S1134" s="317" t="str">
        <f t="shared" si="136"/>
        <v/>
      </c>
      <c r="T1134" s="317" t="str">
        <f>GLOBAL_DER_FEV_2023!S1134</f>
        <v/>
      </c>
      <c r="W1134" s="582">
        <v>0</v>
      </c>
      <c r="X1134" s="580"/>
      <c r="Y1134" s="583">
        <f>IF(GLOBAL_DER_FEV_2023!W1134=0,0,IF(GLOBAL_DER_FEV_2023!W1134&gt;0,"c","b"))</f>
        <v>0</v>
      </c>
    </row>
    <row r="1135" spans="1:25" ht="22.5" x14ac:dyDescent="0.2">
      <c r="A1135" s="317">
        <v>95754</v>
      </c>
      <c r="B1135" s="895">
        <v>95754</v>
      </c>
      <c r="C1135" s="896" t="s">
        <v>596</v>
      </c>
      <c r="D1135" s="906" t="s">
        <v>1065</v>
      </c>
      <c r="E1135" s="907">
        <f>GLOBAL_DER_FEV_2023!E1135</f>
        <v>0</v>
      </c>
      <c r="F1135" s="908">
        <f>GLOBAL_DER_FEV_2023!F1135</f>
        <v>0</v>
      </c>
      <c r="G1135" s="912">
        <f>GLOBAL_DER_FEV_2023!G1135</f>
        <v>0</v>
      </c>
      <c r="H1135" s="901">
        <f>GLOBAL_DER_FEV_2023!H1135</f>
        <v>9.91</v>
      </c>
      <c r="I1135" s="901">
        <f>GLOBAL_DER_FEV_2023!I1135</f>
        <v>9.91</v>
      </c>
      <c r="J1135" s="902">
        <f>GLOBAL_DER_FEV_2023!J1135</f>
        <v>11.9</v>
      </c>
      <c r="K1135" s="903" t="s">
        <v>1516</v>
      </c>
      <c r="L1135" s="1137"/>
      <c r="M1135" s="1138">
        <f t="shared" si="133"/>
        <v>0</v>
      </c>
      <c r="N1135" s="893">
        <f t="shared" si="137"/>
        <v>0</v>
      </c>
      <c r="O1135" s="905"/>
      <c r="Q1135" s="317" t="str">
        <f t="shared" si="134"/>
        <v/>
      </c>
      <c r="R1135" s="317" t="str">
        <f t="shared" si="135"/>
        <v/>
      </c>
      <c r="S1135" s="317" t="str">
        <f t="shared" si="136"/>
        <v/>
      </c>
      <c r="T1135" s="317" t="str">
        <f>GLOBAL_DER_FEV_2023!S1135</f>
        <v/>
      </c>
      <c r="W1135" s="582">
        <v>0</v>
      </c>
      <c r="X1135" s="580"/>
      <c r="Y1135" s="583">
        <f>IF(GLOBAL_DER_FEV_2023!W1135=0,0,IF(GLOBAL_DER_FEV_2023!W1135&gt;0,"c","b"))</f>
        <v>0</v>
      </c>
    </row>
    <row r="1136" spans="1:25" ht="22.5" x14ac:dyDescent="0.2">
      <c r="A1136" s="317">
        <v>95755</v>
      </c>
      <c r="B1136" s="895">
        <v>95755</v>
      </c>
      <c r="C1136" s="896" t="s">
        <v>596</v>
      </c>
      <c r="D1136" s="906" t="s">
        <v>1066</v>
      </c>
      <c r="E1136" s="907">
        <f>GLOBAL_DER_FEV_2023!E1136</f>
        <v>0</v>
      </c>
      <c r="F1136" s="908">
        <f>GLOBAL_DER_FEV_2023!F1136</f>
        <v>0</v>
      </c>
      <c r="G1136" s="912">
        <f>GLOBAL_DER_FEV_2023!G1136</f>
        <v>0</v>
      </c>
      <c r="H1136" s="901">
        <f>GLOBAL_DER_FEV_2023!H1136</f>
        <v>14.25</v>
      </c>
      <c r="I1136" s="901">
        <f>GLOBAL_DER_FEV_2023!I1136</f>
        <v>14.25</v>
      </c>
      <c r="J1136" s="902">
        <f>GLOBAL_DER_FEV_2023!J1136</f>
        <v>17.11</v>
      </c>
      <c r="K1136" s="903" t="s">
        <v>1516</v>
      </c>
      <c r="L1136" s="1137"/>
      <c r="M1136" s="1138">
        <f t="shared" si="133"/>
        <v>0</v>
      </c>
      <c r="N1136" s="893">
        <f t="shared" si="137"/>
        <v>0</v>
      </c>
      <c r="O1136" s="905"/>
      <c r="Q1136" s="317" t="str">
        <f t="shared" si="134"/>
        <v/>
      </c>
      <c r="R1136" s="317" t="str">
        <f t="shared" si="135"/>
        <v/>
      </c>
      <c r="S1136" s="317" t="str">
        <f t="shared" si="136"/>
        <v/>
      </c>
      <c r="T1136" s="317" t="str">
        <f>GLOBAL_DER_FEV_2023!S1136</f>
        <v/>
      </c>
      <c r="W1136" s="582">
        <v>0</v>
      </c>
      <c r="X1136" s="580"/>
      <c r="Y1136" s="583">
        <f>IF(GLOBAL_DER_FEV_2023!W1136=0,0,IF(GLOBAL_DER_FEV_2023!W1136&gt;0,"c","b"))</f>
        <v>0</v>
      </c>
    </row>
    <row r="1137" spans="1:25" ht="22.5" x14ac:dyDescent="0.2">
      <c r="A1137" s="317">
        <v>95756</v>
      </c>
      <c r="B1137" s="895">
        <v>95756</v>
      </c>
      <c r="C1137" s="896" t="s">
        <v>596</v>
      </c>
      <c r="D1137" s="906" t="s">
        <v>1067</v>
      </c>
      <c r="E1137" s="907">
        <f>GLOBAL_DER_FEV_2023!E1137</f>
        <v>0</v>
      </c>
      <c r="F1137" s="908">
        <f>GLOBAL_DER_FEV_2023!F1137</f>
        <v>0</v>
      </c>
      <c r="G1137" s="912">
        <f>GLOBAL_DER_FEV_2023!G1137</f>
        <v>0</v>
      </c>
      <c r="H1137" s="901">
        <f>GLOBAL_DER_FEV_2023!H1137</f>
        <v>18.989999999999998</v>
      </c>
      <c r="I1137" s="901">
        <f>GLOBAL_DER_FEV_2023!I1137</f>
        <v>18.989999999999998</v>
      </c>
      <c r="J1137" s="902">
        <f>GLOBAL_DER_FEV_2023!J1137</f>
        <v>22.8</v>
      </c>
      <c r="K1137" s="903" t="s">
        <v>1516</v>
      </c>
      <c r="L1137" s="1137"/>
      <c r="M1137" s="1138">
        <f t="shared" si="133"/>
        <v>0</v>
      </c>
      <c r="N1137" s="893">
        <f t="shared" si="137"/>
        <v>0</v>
      </c>
      <c r="O1137" s="905"/>
      <c r="Q1137" s="317" t="str">
        <f t="shared" si="134"/>
        <v/>
      </c>
      <c r="R1137" s="317" t="str">
        <f t="shared" si="135"/>
        <v/>
      </c>
      <c r="S1137" s="317" t="str">
        <f t="shared" si="136"/>
        <v/>
      </c>
      <c r="T1137" s="317" t="str">
        <f>GLOBAL_DER_FEV_2023!S1137</f>
        <v/>
      </c>
      <c r="W1137" s="582">
        <v>0</v>
      </c>
      <c r="X1137" s="580"/>
      <c r="Y1137" s="583">
        <f>IF(GLOBAL_DER_FEV_2023!W1137=0,0,IF(GLOBAL_DER_FEV_2023!W1137&gt;0,"c","b"))</f>
        <v>0</v>
      </c>
    </row>
    <row r="1138" spans="1:25" ht="22.5" x14ac:dyDescent="0.2">
      <c r="A1138" s="317">
        <v>95757</v>
      </c>
      <c r="B1138" s="895">
        <v>95757</v>
      </c>
      <c r="C1138" s="896" t="s">
        <v>596</v>
      </c>
      <c r="D1138" s="906" t="s">
        <v>1068</v>
      </c>
      <c r="E1138" s="907">
        <f>GLOBAL_DER_FEV_2023!E1138</f>
        <v>0</v>
      </c>
      <c r="F1138" s="908">
        <f>GLOBAL_DER_FEV_2023!F1138</f>
        <v>0</v>
      </c>
      <c r="G1138" s="912">
        <f>GLOBAL_DER_FEV_2023!G1138</f>
        <v>0</v>
      </c>
      <c r="H1138" s="901">
        <f>GLOBAL_DER_FEV_2023!H1138</f>
        <v>12.01</v>
      </c>
      <c r="I1138" s="901">
        <f>GLOBAL_DER_FEV_2023!I1138</f>
        <v>12.01</v>
      </c>
      <c r="J1138" s="902">
        <f>GLOBAL_DER_FEV_2023!J1138</f>
        <v>14.42</v>
      </c>
      <c r="K1138" s="903" t="s">
        <v>1516</v>
      </c>
      <c r="L1138" s="1137"/>
      <c r="M1138" s="1138">
        <f t="shared" si="133"/>
        <v>0</v>
      </c>
      <c r="N1138" s="893">
        <f t="shared" si="137"/>
        <v>0</v>
      </c>
      <c r="O1138" s="905"/>
      <c r="Q1138" s="317" t="str">
        <f t="shared" si="134"/>
        <v/>
      </c>
      <c r="R1138" s="317" t="str">
        <f t="shared" si="135"/>
        <v/>
      </c>
      <c r="S1138" s="317" t="str">
        <f t="shared" si="136"/>
        <v/>
      </c>
      <c r="T1138" s="317" t="str">
        <f>GLOBAL_DER_FEV_2023!S1138</f>
        <v/>
      </c>
      <c r="W1138" s="582">
        <v>0</v>
      </c>
      <c r="X1138" s="580"/>
      <c r="Y1138" s="583">
        <f>IF(GLOBAL_DER_FEV_2023!W1138=0,0,IF(GLOBAL_DER_FEV_2023!W1138&gt;0,"c","b"))</f>
        <v>0</v>
      </c>
    </row>
    <row r="1139" spans="1:25" ht="22.5" x14ac:dyDescent="0.2">
      <c r="A1139" s="317">
        <v>95758</v>
      </c>
      <c r="B1139" s="895">
        <v>95758</v>
      </c>
      <c r="C1139" s="896" t="s">
        <v>596</v>
      </c>
      <c r="D1139" s="906" t="s">
        <v>1069</v>
      </c>
      <c r="E1139" s="907">
        <f>GLOBAL_DER_FEV_2023!E1139</f>
        <v>0</v>
      </c>
      <c r="F1139" s="908">
        <f>GLOBAL_DER_FEV_2023!F1139</f>
        <v>0</v>
      </c>
      <c r="G1139" s="912">
        <f>GLOBAL_DER_FEV_2023!G1139</f>
        <v>0</v>
      </c>
      <c r="H1139" s="901">
        <f>GLOBAL_DER_FEV_2023!H1139</f>
        <v>13.5</v>
      </c>
      <c r="I1139" s="901">
        <f>GLOBAL_DER_FEV_2023!I1139</f>
        <v>13.5</v>
      </c>
      <c r="J1139" s="902">
        <f>GLOBAL_DER_FEV_2023!J1139</f>
        <v>16.21</v>
      </c>
      <c r="K1139" s="903" t="s">
        <v>1516</v>
      </c>
      <c r="L1139" s="1137"/>
      <c r="M1139" s="1138">
        <f t="shared" si="133"/>
        <v>0</v>
      </c>
      <c r="N1139" s="893">
        <f t="shared" si="137"/>
        <v>0</v>
      </c>
      <c r="O1139" s="905"/>
      <c r="Q1139" s="317" t="str">
        <f t="shared" si="134"/>
        <v/>
      </c>
      <c r="R1139" s="317" t="str">
        <f t="shared" si="135"/>
        <v/>
      </c>
      <c r="S1139" s="317" t="str">
        <f t="shared" si="136"/>
        <v/>
      </c>
      <c r="T1139" s="317" t="str">
        <f>GLOBAL_DER_FEV_2023!S1139</f>
        <v/>
      </c>
      <c r="W1139" s="582">
        <v>0</v>
      </c>
      <c r="X1139" s="580"/>
      <c r="Y1139" s="583">
        <f>IF(GLOBAL_DER_FEV_2023!W1139=0,0,IF(GLOBAL_DER_FEV_2023!W1139&gt;0,"c","b"))</f>
        <v>0</v>
      </c>
    </row>
    <row r="1140" spans="1:25" ht="22.5" x14ac:dyDescent="0.2">
      <c r="A1140" s="317">
        <v>95759</v>
      </c>
      <c r="B1140" s="895">
        <v>95759</v>
      </c>
      <c r="C1140" s="896" t="s">
        <v>596</v>
      </c>
      <c r="D1140" s="906" t="s">
        <v>1070</v>
      </c>
      <c r="E1140" s="907">
        <f>GLOBAL_DER_FEV_2023!E1140</f>
        <v>0</v>
      </c>
      <c r="F1140" s="908">
        <f>GLOBAL_DER_FEV_2023!F1140</f>
        <v>0</v>
      </c>
      <c r="G1140" s="912">
        <f>GLOBAL_DER_FEV_2023!G1140</f>
        <v>0</v>
      </c>
      <c r="H1140" s="901">
        <f>GLOBAL_DER_FEV_2023!H1140</f>
        <v>17.16</v>
      </c>
      <c r="I1140" s="901">
        <f>GLOBAL_DER_FEV_2023!I1140</f>
        <v>17.16</v>
      </c>
      <c r="J1140" s="902">
        <f>GLOBAL_DER_FEV_2023!J1140</f>
        <v>20.6</v>
      </c>
      <c r="K1140" s="903" t="s">
        <v>1516</v>
      </c>
      <c r="L1140" s="1137"/>
      <c r="M1140" s="1138">
        <f t="shared" si="133"/>
        <v>0</v>
      </c>
      <c r="N1140" s="893">
        <f t="shared" si="137"/>
        <v>0</v>
      </c>
      <c r="O1140" s="905"/>
      <c r="Q1140" s="317" t="str">
        <f t="shared" si="134"/>
        <v/>
      </c>
      <c r="R1140" s="317" t="str">
        <f t="shared" si="135"/>
        <v/>
      </c>
      <c r="S1140" s="317" t="str">
        <f t="shared" si="136"/>
        <v/>
      </c>
      <c r="T1140" s="317" t="str">
        <f>GLOBAL_DER_FEV_2023!S1140</f>
        <v/>
      </c>
      <c r="W1140" s="582">
        <v>0</v>
      </c>
      <c r="X1140" s="580"/>
      <c r="Y1140" s="583">
        <f>IF(GLOBAL_DER_FEV_2023!W1140=0,0,IF(GLOBAL_DER_FEV_2023!W1140&gt;0,"c","b"))</f>
        <v>0</v>
      </c>
    </row>
    <row r="1141" spans="1:25" ht="22.5" x14ac:dyDescent="0.2">
      <c r="A1141" s="317">
        <v>95760</v>
      </c>
      <c r="B1141" s="895">
        <v>95760</v>
      </c>
      <c r="C1141" s="896" t="s">
        <v>596</v>
      </c>
      <c r="D1141" s="906" t="s">
        <v>1071</v>
      </c>
      <c r="E1141" s="907">
        <f>GLOBAL_DER_FEV_2023!E1141</f>
        <v>0</v>
      </c>
      <c r="F1141" s="908">
        <f>GLOBAL_DER_FEV_2023!F1141</f>
        <v>0</v>
      </c>
      <c r="G1141" s="912">
        <f>GLOBAL_DER_FEV_2023!G1141</f>
        <v>0</v>
      </c>
      <c r="H1141" s="901">
        <f>GLOBAL_DER_FEV_2023!H1141</f>
        <v>21.11</v>
      </c>
      <c r="I1141" s="901">
        <f>GLOBAL_DER_FEV_2023!I1141</f>
        <v>21.11</v>
      </c>
      <c r="J1141" s="902">
        <f>GLOBAL_DER_FEV_2023!J1141</f>
        <v>25.35</v>
      </c>
      <c r="K1141" s="903" t="s">
        <v>1516</v>
      </c>
      <c r="L1141" s="1137"/>
      <c r="M1141" s="1138">
        <f t="shared" si="133"/>
        <v>0</v>
      </c>
      <c r="N1141" s="893">
        <f t="shared" si="137"/>
        <v>0</v>
      </c>
      <c r="O1141" s="905"/>
      <c r="Q1141" s="317" t="str">
        <f t="shared" si="134"/>
        <v/>
      </c>
      <c r="R1141" s="317" t="str">
        <f t="shared" si="135"/>
        <v/>
      </c>
      <c r="S1141" s="317" t="str">
        <f t="shared" si="136"/>
        <v/>
      </c>
      <c r="T1141" s="317" t="str">
        <f>GLOBAL_DER_FEV_2023!S1141</f>
        <v/>
      </c>
      <c r="W1141" s="582">
        <v>0</v>
      </c>
      <c r="X1141" s="580"/>
      <c r="Y1141" s="583">
        <f>IF(GLOBAL_DER_FEV_2023!W1141=0,0,IF(GLOBAL_DER_FEV_2023!W1141&gt;0,"c","b"))</f>
        <v>0</v>
      </c>
    </row>
    <row r="1142" spans="1:25" ht="22.5" x14ac:dyDescent="0.2">
      <c r="A1142" s="317">
        <v>91839</v>
      </c>
      <c r="B1142" s="895">
        <v>91839</v>
      </c>
      <c r="C1142" s="896" t="s">
        <v>596</v>
      </c>
      <c r="D1142" s="906" t="s">
        <v>1072</v>
      </c>
      <c r="E1142" s="907">
        <f>GLOBAL_DER_FEV_2023!E1142</f>
        <v>0</v>
      </c>
      <c r="F1142" s="908">
        <f>GLOBAL_DER_FEV_2023!F1142</f>
        <v>0</v>
      </c>
      <c r="G1142" s="912">
        <f>GLOBAL_DER_FEV_2023!G1142</f>
        <v>0</v>
      </c>
      <c r="H1142" s="901">
        <f>GLOBAL_DER_FEV_2023!H1142</f>
        <v>12.12</v>
      </c>
      <c r="I1142" s="901">
        <f>GLOBAL_DER_FEV_2023!I1142</f>
        <v>12.12</v>
      </c>
      <c r="J1142" s="902">
        <f>GLOBAL_DER_FEV_2023!J1142</f>
        <v>14.55</v>
      </c>
      <c r="K1142" s="903" t="s">
        <v>62</v>
      </c>
      <c r="L1142" s="1137"/>
      <c r="M1142" s="1138">
        <f t="shared" si="133"/>
        <v>0</v>
      </c>
      <c r="N1142" s="893">
        <f t="shared" si="137"/>
        <v>0</v>
      </c>
      <c r="O1142" s="905"/>
      <c r="Q1142" s="317" t="str">
        <f t="shared" si="134"/>
        <v/>
      </c>
      <c r="R1142" s="317" t="str">
        <f t="shared" si="135"/>
        <v/>
      </c>
      <c r="S1142" s="317" t="str">
        <f t="shared" si="136"/>
        <v/>
      </c>
      <c r="T1142" s="317" t="str">
        <f>GLOBAL_DER_FEV_2023!S1142</f>
        <v/>
      </c>
      <c r="W1142" s="582">
        <v>0</v>
      </c>
      <c r="X1142" s="580"/>
      <c r="Y1142" s="583">
        <f>IF(GLOBAL_DER_FEV_2023!W1142=0,0,IF(GLOBAL_DER_FEV_2023!W1142&gt;0,"c","b"))</f>
        <v>0</v>
      </c>
    </row>
    <row r="1143" spans="1:25" ht="22.5" x14ac:dyDescent="0.2">
      <c r="A1143" s="317">
        <v>91840</v>
      </c>
      <c r="B1143" s="895">
        <v>91840</v>
      </c>
      <c r="C1143" s="896" t="s">
        <v>596</v>
      </c>
      <c r="D1143" s="906" t="s">
        <v>1073</v>
      </c>
      <c r="E1143" s="907">
        <f>GLOBAL_DER_FEV_2023!E1143</f>
        <v>0</v>
      </c>
      <c r="F1143" s="908">
        <f>GLOBAL_DER_FEV_2023!F1143</f>
        <v>0</v>
      </c>
      <c r="G1143" s="912">
        <f>GLOBAL_DER_FEV_2023!G1143</f>
        <v>0</v>
      </c>
      <c r="H1143" s="901">
        <f>GLOBAL_DER_FEV_2023!H1143</f>
        <v>15.07</v>
      </c>
      <c r="I1143" s="901">
        <f>GLOBAL_DER_FEV_2023!I1143</f>
        <v>15.07</v>
      </c>
      <c r="J1143" s="902">
        <f>GLOBAL_DER_FEV_2023!J1143</f>
        <v>18.09</v>
      </c>
      <c r="K1143" s="903" t="s">
        <v>62</v>
      </c>
      <c r="L1143" s="1137"/>
      <c r="M1143" s="1138">
        <f t="shared" si="133"/>
        <v>0</v>
      </c>
      <c r="N1143" s="893">
        <f t="shared" si="137"/>
        <v>0</v>
      </c>
      <c r="O1143" s="905"/>
      <c r="Q1143" s="317" t="str">
        <f t="shared" si="134"/>
        <v/>
      </c>
      <c r="R1143" s="317" t="str">
        <f t="shared" si="135"/>
        <v/>
      </c>
      <c r="S1143" s="317" t="str">
        <f t="shared" si="136"/>
        <v/>
      </c>
      <c r="T1143" s="317" t="str">
        <f>GLOBAL_DER_FEV_2023!S1143</f>
        <v/>
      </c>
      <c r="W1143" s="582">
        <v>0</v>
      </c>
      <c r="X1143" s="580"/>
      <c r="Y1143" s="583">
        <f>IF(GLOBAL_DER_FEV_2023!W1143=0,0,IF(GLOBAL_DER_FEV_2023!W1143&gt;0,"c","b"))</f>
        <v>0</v>
      </c>
    </row>
    <row r="1144" spans="1:25" ht="22.5" x14ac:dyDescent="0.2">
      <c r="A1144" s="317">
        <v>91841</v>
      </c>
      <c r="B1144" s="895">
        <v>91841</v>
      </c>
      <c r="C1144" s="896" t="s">
        <v>596</v>
      </c>
      <c r="D1144" s="906" t="s">
        <v>1074</v>
      </c>
      <c r="E1144" s="907">
        <f>GLOBAL_DER_FEV_2023!E1144</f>
        <v>0</v>
      </c>
      <c r="F1144" s="908">
        <f>GLOBAL_DER_FEV_2023!F1144</f>
        <v>0</v>
      </c>
      <c r="G1144" s="912">
        <f>GLOBAL_DER_FEV_2023!G1144</f>
        <v>0</v>
      </c>
      <c r="H1144" s="901">
        <f>GLOBAL_DER_FEV_2023!H1144</f>
        <v>14.37</v>
      </c>
      <c r="I1144" s="901">
        <f>GLOBAL_DER_FEV_2023!I1144</f>
        <v>14.37</v>
      </c>
      <c r="J1144" s="902">
        <f>GLOBAL_DER_FEV_2023!J1144</f>
        <v>17.25</v>
      </c>
      <c r="K1144" s="903" t="s">
        <v>62</v>
      </c>
      <c r="L1144" s="1137"/>
      <c r="M1144" s="1138">
        <f t="shared" si="133"/>
        <v>0</v>
      </c>
      <c r="N1144" s="893">
        <f t="shared" si="137"/>
        <v>0</v>
      </c>
      <c r="O1144" s="905"/>
      <c r="Q1144" s="317" t="str">
        <f t="shared" si="134"/>
        <v/>
      </c>
      <c r="R1144" s="317" t="str">
        <f t="shared" si="135"/>
        <v/>
      </c>
      <c r="S1144" s="317" t="str">
        <f t="shared" si="136"/>
        <v/>
      </c>
      <c r="T1144" s="317" t="str">
        <f>GLOBAL_DER_FEV_2023!S1144</f>
        <v/>
      </c>
      <c r="W1144" s="582">
        <v>0</v>
      </c>
      <c r="X1144" s="580"/>
      <c r="Y1144" s="583">
        <f>IF(GLOBAL_DER_FEV_2023!W1144=0,0,IF(GLOBAL_DER_FEV_2023!W1144&gt;0,"c","b"))</f>
        <v>0</v>
      </c>
    </row>
    <row r="1145" spans="1:25" ht="22.5" x14ac:dyDescent="0.2">
      <c r="A1145" s="317">
        <v>91849</v>
      </c>
      <c r="B1145" s="895">
        <v>91849</v>
      </c>
      <c r="C1145" s="896" t="s">
        <v>596</v>
      </c>
      <c r="D1145" s="906" t="s">
        <v>1075</v>
      </c>
      <c r="E1145" s="907">
        <f>GLOBAL_DER_FEV_2023!E1145</f>
        <v>0</v>
      </c>
      <c r="F1145" s="908">
        <f>GLOBAL_DER_FEV_2023!F1145</f>
        <v>0</v>
      </c>
      <c r="G1145" s="912">
        <f>GLOBAL_DER_FEV_2023!G1145</f>
        <v>0</v>
      </c>
      <c r="H1145" s="901">
        <f>GLOBAL_DER_FEV_2023!H1145</f>
        <v>9.49</v>
      </c>
      <c r="I1145" s="901">
        <f>GLOBAL_DER_FEV_2023!I1145</f>
        <v>9.49</v>
      </c>
      <c r="J1145" s="902">
        <f>GLOBAL_DER_FEV_2023!J1145</f>
        <v>11.39</v>
      </c>
      <c r="K1145" s="903" t="s">
        <v>62</v>
      </c>
      <c r="L1145" s="1137"/>
      <c r="M1145" s="1138">
        <f t="shared" si="133"/>
        <v>0</v>
      </c>
      <c r="N1145" s="893">
        <f t="shared" si="137"/>
        <v>0</v>
      </c>
      <c r="O1145" s="905"/>
      <c r="Q1145" s="317" t="str">
        <f t="shared" si="134"/>
        <v/>
      </c>
      <c r="R1145" s="317" t="str">
        <f t="shared" si="135"/>
        <v/>
      </c>
      <c r="S1145" s="317" t="str">
        <f t="shared" si="136"/>
        <v/>
      </c>
      <c r="T1145" s="317" t="str">
        <f>GLOBAL_DER_FEV_2023!S1145</f>
        <v/>
      </c>
      <c r="W1145" s="582">
        <v>0</v>
      </c>
      <c r="X1145" s="580"/>
      <c r="Y1145" s="583">
        <f>IF(GLOBAL_DER_FEV_2023!W1145=0,0,IF(GLOBAL_DER_FEV_2023!W1145&gt;0,"c","b"))</f>
        <v>0</v>
      </c>
    </row>
    <row r="1146" spans="1:25" ht="22.5" x14ac:dyDescent="0.2">
      <c r="A1146" s="317">
        <v>91850</v>
      </c>
      <c r="B1146" s="895">
        <v>91850</v>
      </c>
      <c r="C1146" s="896" t="s">
        <v>596</v>
      </c>
      <c r="D1146" s="906" t="s">
        <v>1076</v>
      </c>
      <c r="E1146" s="907">
        <f>GLOBAL_DER_FEV_2023!E1146</f>
        <v>0</v>
      </c>
      <c r="F1146" s="908">
        <f>GLOBAL_DER_FEV_2023!F1146</f>
        <v>0</v>
      </c>
      <c r="G1146" s="912">
        <f>GLOBAL_DER_FEV_2023!G1146</f>
        <v>0</v>
      </c>
      <c r="H1146" s="901">
        <f>GLOBAL_DER_FEV_2023!H1146</f>
        <v>12.51</v>
      </c>
      <c r="I1146" s="901">
        <f>GLOBAL_DER_FEV_2023!I1146</f>
        <v>12.51</v>
      </c>
      <c r="J1146" s="902">
        <f>GLOBAL_DER_FEV_2023!J1146</f>
        <v>15.02</v>
      </c>
      <c r="K1146" s="903" t="s">
        <v>62</v>
      </c>
      <c r="L1146" s="1137"/>
      <c r="M1146" s="1138">
        <f t="shared" si="133"/>
        <v>0</v>
      </c>
      <c r="N1146" s="893">
        <f t="shared" si="137"/>
        <v>0</v>
      </c>
      <c r="O1146" s="905"/>
      <c r="Q1146" s="317" t="str">
        <f t="shared" si="134"/>
        <v/>
      </c>
      <c r="R1146" s="317" t="str">
        <f t="shared" si="135"/>
        <v/>
      </c>
      <c r="S1146" s="317" t="str">
        <f t="shared" si="136"/>
        <v/>
      </c>
      <c r="T1146" s="317" t="str">
        <f>GLOBAL_DER_FEV_2023!S1146</f>
        <v/>
      </c>
      <c r="W1146" s="582">
        <v>0</v>
      </c>
      <c r="X1146" s="580"/>
      <c r="Y1146" s="583">
        <f>IF(GLOBAL_DER_FEV_2023!W1146=0,0,IF(GLOBAL_DER_FEV_2023!W1146&gt;0,"c","b"))</f>
        <v>0</v>
      </c>
    </row>
    <row r="1147" spans="1:25" ht="22.5" x14ac:dyDescent="0.2">
      <c r="A1147" s="317">
        <v>91851</v>
      </c>
      <c r="B1147" s="895">
        <v>91851</v>
      </c>
      <c r="C1147" s="896" t="s">
        <v>596</v>
      </c>
      <c r="D1147" s="906" t="s">
        <v>1077</v>
      </c>
      <c r="E1147" s="907">
        <f>GLOBAL_DER_FEV_2023!E1147</f>
        <v>0</v>
      </c>
      <c r="F1147" s="908">
        <f>GLOBAL_DER_FEV_2023!F1147</f>
        <v>0</v>
      </c>
      <c r="G1147" s="912">
        <f>GLOBAL_DER_FEV_2023!G1147</f>
        <v>0</v>
      </c>
      <c r="H1147" s="901">
        <f>GLOBAL_DER_FEV_2023!H1147</f>
        <v>11.81</v>
      </c>
      <c r="I1147" s="901">
        <f>GLOBAL_DER_FEV_2023!I1147</f>
        <v>11.81</v>
      </c>
      <c r="J1147" s="902">
        <f>GLOBAL_DER_FEV_2023!J1147</f>
        <v>14.18</v>
      </c>
      <c r="K1147" s="903" t="s">
        <v>62</v>
      </c>
      <c r="L1147" s="1137"/>
      <c r="M1147" s="1138">
        <f t="shared" si="133"/>
        <v>0</v>
      </c>
      <c r="N1147" s="893">
        <f t="shared" si="137"/>
        <v>0</v>
      </c>
      <c r="O1147" s="905"/>
      <c r="Q1147" s="317" t="str">
        <f t="shared" si="134"/>
        <v/>
      </c>
      <c r="R1147" s="317" t="str">
        <f t="shared" si="135"/>
        <v/>
      </c>
      <c r="S1147" s="317" t="str">
        <f t="shared" si="136"/>
        <v/>
      </c>
      <c r="T1147" s="317" t="str">
        <f>GLOBAL_DER_FEV_2023!S1147</f>
        <v/>
      </c>
      <c r="W1147" s="582">
        <v>0</v>
      </c>
      <c r="X1147" s="580"/>
      <c r="Y1147" s="583">
        <f>IF(GLOBAL_DER_FEV_2023!W1147=0,0,IF(GLOBAL_DER_FEV_2023!W1147&gt;0,"c","b"))</f>
        <v>0</v>
      </c>
    </row>
    <row r="1148" spans="1:25" ht="22.5" x14ac:dyDescent="0.2">
      <c r="A1148" s="317">
        <v>91859</v>
      </c>
      <c r="B1148" s="895">
        <v>91859</v>
      </c>
      <c r="C1148" s="896" t="s">
        <v>596</v>
      </c>
      <c r="D1148" s="906" t="s">
        <v>1078</v>
      </c>
      <c r="E1148" s="907">
        <f>GLOBAL_DER_FEV_2023!E1148</f>
        <v>0</v>
      </c>
      <c r="F1148" s="908">
        <f>GLOBAL_DER_FEV_2023!F1148</f>
        <v>0</v>
      </c>
      <c r="G1148" s="912">
        <f>GLOBAL_DER_FEV_2023!G1148</f>
        <v>0</v>
      </c>
      <c r="H1148" s="901">
        <f>GLOBAL_DER_FEV_2023!H1148</f>
        <v>12.63</v>
      </c>
      <c r="I1148" s="901">
        <f>GLOBAL_DER_FEV_2023!I1148</f>
        <v>12.63</v>
      </c>
      <c r="J1148" s="902">
        <f>GLOBAL_DER_FEV_2023!J1148</f>
        <v>15.16</v>
      </c>
      <c r="K1148" s="903" t="s">
        <v>62</v>
      </c>
      <c r="L1148" s="1137"/>
      <c r="M1148" s="1138">
        <f t="shared" si="133"/>
        <v>0</v>
      </c>
      <c r="N1148" s="893">
        <f t="shared" si="137"/>
        <v>0</v>
      </c>
      <c r="O1148" s="905"/>
      <c r="Q1148" s="317" t="str">
        <f t="shared" si="134"/>
        <v/>
      </c>
      <c r="R1148" s="317" t="str">
        <f t="shared" si="135"/>
        <v/>
      </c>
      <c r="S1148" s="317" t="str">
        <f t="shared" si="136"/>
        <v/>
      </c>
      <c r="T1148" s="317" t="str">
        <f>GLOBAL_DER_FEV_2023!S1148</f>
        <v/>
      </c>
      <c r="W1148" s="582">
        <v>0</v>
      </c>
      <c r="X1148" s="580"/>
      <c r="Y1148" s="583">
        <f>IF(GLOBAL_DER_FEV_2023!W1148=0,0,IF(GLOBAL_DER_FEV_2023!W1148&gt;0,"c","b"))</f>
        <v>0</v>
      </c>
    </row>
    <row r="1149" spans="1:25" ht="22.5" x14ac:dyDescent="0.2">
      <c r="A1149" s="317">
        <v>91860</v>
      </c>
      <c r="B1149" s="895">
        <v>91860</v>
      </c>
      <c r="C1149" s="896" t="s">
        <v>596</v>
      </c>
      <c r="D1149" s="906" t="s">
        <v>1079</v>
      </c>
      <c r="E1149" s="907">
        <f>GLOBAL_DER_FEV_2023!E1149</f>
        <v>0</v>
      </c>
      <c r="F1149" s="908">
        <f>GLOBAL_DER_FEV_2023!F1149</f>
        <v>0</v>
      </c>
      <c r="G1149" s="912">
        <f>GLOBAL_DER_FEV_2023!G1149</f>
        <v>0</v>
      </c>
      <c r="H1149" s="901">
        <f>GLOBAL_DER_FEV_2023!H1149</f>
        <v>15.53</v>
      </c>
      <c r="I1149" s="901">
        <f>GLOBAL_DER_FEV_2023!I1149</f>
        <v>15.53</v>
      </c>
      <c r="J1149" s="902">
        <f>GLOBAL_DER_FEV_2023!J1149</f>
        <v>18.649999999999999</v>
      </c>
      <c r="K1149" s="903" t="s">
        <v>62</v>
      </c>
      <c r="L1149" s="1137"/>
      <c r="M1149" s="1138">
        <f t="shared" si="133"/>
        <v>0</v>
      </c>
      <c r="N1149" s="893">
        <f t="shared" si="137"/>
        <v>0</v>
      </c>
      <c r="O1149" s="905"/>
      <c r="Q1149" s="317" t="str">
        <f t="shared" si="134"/>
        <v/>
      </c>
      <c r="R1149" s="317" t="str">
        <f t="shared" si="135"/>
        <v/>
      </c>
      <c r="S1149" s="317" t="str">
        <f t="shared" si="136"/>
        <v/>
      </c>
      <c r="T1149" s="317" t="str">
        <f>GLOBAL_DER_FEV_2023!S1149</f>
        <v/>
      </c>
      <c r="W1149" s="582">
        <v>0</v>
      </c>
      <c r="X1149" s="580"/>
      <c r="Y1149" s="583">
        <f>IF(GLOBAL_DER_FEV_2023!W1149=0,0,IF(GLOBAL_DER_FEV_2023!W1149&gt;0,"c","b"))</f>
        <v>0</v>
      </c>
    </row>
    <row r="1150" spans="1:25" ht="22.5" x14ac:dyDescent="0.2">
      <c r="A1150" s="317">
        <v>91861</v>
      </c>
      <c r="B1150" s="895">
        <v>91861</v>
      </c>
      <c r="C1150" s="896" t="s">
        <v>596</v>
      </c>
      <c r="D1150" s="906" t="s">
        <v>1080</v>
      </c>
      <c r="E1150" s="907">
        <f>GLOBAL_DER_FEV_2023!E1150</f>
        <v>0</v>
      </c>
      <c r="F1150" s="908">
        <f>GLOBAL_DER_FEV_2023!F1150</f>
        <v>0</v>
      </c>
      <c r="G1150" s="912">
        <f>GLOBAL_DER_FEV_2023!G1150</f>
        <v>0</v>
      </c>
      <c r="H1150" s="901">
        <f>GLOBAL_DER_FEV_2023!H1150</f>
        <v>14.88</v>
      </c>
      <c r="I1150" s="901">
        <f>GLOBAL_DER_FEV_2023!I1150</f>
        <v>14.88</v>
      </c>
      <c r="J1150" s="902">
        <f>GLOBAL_DER_FEV_2023!J1150</f>
        <v>17.87</v>
      </c>
      <c r="K1150" s="903" t="s">
        <v>62</v>
      </c>
      <c r="L1150" s="1137"/>
      <c r="M1150" s="1138">
        <f t="shared" si="133"/>
        <v>0</v>
      </c>
      <c r="N1150" s="893">
        <f t="shared" si="137"/>
        <v>0</v>
      </c>
      <c r="O1150" s="905"/>
      <c r="Q1150" s="317" t="str">
        <f t="shared" si="134"/>
        <v/>
      </c>
      <c r="R1150" s="317" t="str">
        <f t="shared" si="135"/>
        <v/>
      </c>
      <c r="S1150" s="317" t="str">
        <f t="shared" si="136"/>
        <v/>
      </c>
      <c r="T1150" s="317" t="str">
        <f>GLOBAL_DER_FEV_2023!S1150</f>
        <v/>
      </c>
      <c r="W1150" s="582">
        <v>0</v>
      </c>
      <c r="X1150" s="580"/>
      <c r="Y1150" s="583">
        <f>IF(GLOBAL_DER_FEV_2023!W1150=0,0,IF(GLOBAL_DER_FEV_2023!W1150&gt;0,"c","b"))</f>
        <v>0</v>
      </c>
    </row>
    <row r="1151" spans="1:25" ht="22.5" x14ac:dyDescent="0.2">
      <c r="A1151" s="317">
        <v>97667</v>
      </c>
      <c r="B1151" s="895">
        <v>97667</v>
      </c>
      <c r="C1151" s="896" t="s">
        <v>596</v>
      </c>
      <c r="D1151" s="906" t="s">
        <v>1081</v>
      </c>
      <c r="E1151" s="907">
        <f>GLOBAL_DER_FEV_2023!E1151</f>
        <v>0</v>
      </c>
      <c r="F1151" s="908">
        <f>GLOBAL_DER_FEV_2023!F1151</f>
        <v>0</v>
      </c>
      <c r="G1151" s="912">
        <f>GLOBAL_DER_FEV_2023!G1151</f>
        <v>0</v>
      </c>
      <c r="H1151" s="901">
        <f>GLOBAL_DER_FEV_2023!H1151</f>
        <v>9.3000000000000007</v>
      </c>
      <c r="I1151" s="901">
        <f>GLOBAL_DER_FEV_2023!I1151</f>
        <v>9.3000000000000007</v>
      </c>
      <c r="J1151" s="902">
        <f>GLOBAL_DER_FEV_2023!J1151</f>
        <v>11.17</v>
      </c>
      <c r="K1151" s="903" t="s">
        <v>62</v>
      </c>
      <c r="L1151" s="1137"/>
      <c r="M1151" s="1138">
        <f t="shared" si="133"/>
        <v>0</v>
      </c>
      <c r="N1151" s="893">
        <f t="shared" si="137"/>
        <v>0</v>
      </c>
      <c r="O1151" s="905"/>
      <c r="Q1151" s="317" t="str">
        <f t="shared" si="134"/>
        <v/>
      </c>
      <c r="R1151" s="317" t="str">
        <f t="shared" si="135"/>
        <v/>
      </c>
      <c r="S1151" s="317" t="str">
        <f t="shared" si="136"/>
        <v/>
      </c>
      <c r="T1151" s="317" t="str">
        <f>GLOBAL_DER_FEV_2023!S1151</f>
        <v/>
      </c>
      <c r="W1151" s="582">
        <v>0</v>
      </c>
      <c r="X1151" s="580"/>
      <c r="Y1151" s="583">
        <f>IF(GLOBAL_DER_FEV_2023!W1151=0,0,IF(GLOBAL_DER_FEV_2023!W1151&gt;0,"c","b"))</f>
        <v>0</v>
      </c>
    </row>
    <row r="1152" spans="1:25" ht="22.5" x14ac:dyDescent="0.2">
      <c r="A1152" s="317">
        <v>97668</v>
      </c>
      <c r="B1152" s="895">
        <v>97668</v>
      </c>
      <c r="C1152" s="896" t="s">
        <v>596</v>
      </c>
      <c r="D1152" s="906" t="s">
        <v>1082</v>
      </c>
      <c r="E1152" s="907">
        <f>GLOBAL_DER_FEV_2023!E1152</f>
        <v>0</v>
      </c>
      <c r="F1152" s="908">
        <f>GLOBAL_DER_FEV_2023!F1152</f>
        <v>0</v>
      </c>
      <c r="G1152" s="912">
        <f>GLOBAL_DER_FEV_2023!G1152</f>
        <v>0</v>
      </c>
      <c r="H1152" s="901">
        <f>GLOBAL_DER_FEV_2023!H1152</f>
        <v>13.25</v>
      </c>
      <c r="I1152" s="901">
        <f>GLOBAL_DER_FEV_2023!I1152</f>
        <v>13.25</v>
      </c>
      <c r="J1152" s="902">
        <f>GLOBAL_DER_FEV_2023!J1152</f>
        <v>15.91</v>
      </c>
      <c r="K1152" s="903" t="s">
        <v>62</v>
      </c>
      <c r="L1152" s="1137"/>
      <c r="M1152" s="1138">
        <f t="shared" si="133"/>
        <v>0</v>
      </c>
      <c r="N1152" s="893">
        <f t="shared" si="137"/>
        <v>0</v>
      </c>
      <c r="O1152" s="905"/>
      <c r="Q1152" s="317" t="str">
        <f t="shared" si="134"/>
        <v/>
      </c>
      <c r="R1152" s="317" t="str">
        <f t="shared" si="135"/>
        <v/>
      </c>
      <c r="S1152" s="317" t="str">
        <f t="shared" si="136"/>
        <v/>
      </c>
      <c r="T1152" s="317" t="str">
        <f>GLOBAL_DER_FEV_2023!S1152</f>
        <v/>
      </c>
      <c r="W1152" s="582">
        <v>0</v>
      </c>
      <c r="X1152" s="580"/>
      <c r="Y1152" s="583">
        <f>IF(GLOBAL_DER_FEV_2023!W1152=0,0,IF(GLOBAL_DER_FEV_2023!W1152&gt;0,"c","b"))</f>
        <v>0</v>
      </c>
    </row>
    <row r="1153" spans="1:25" ht="22.5" x14ac:dyDescent="0.2">
      <c r="A1153" s="317">
        <v>97669</v>
      </c>
      <c r="B1153" s="895">
        <v>97669</v>
      </c>
      <c r="C1153" s="896" t="s">
        <v>596</v>
      </c>
      <c r="D1153" s="906" t="s">
        <v>1083</v>
      </c>
      <c r="E1153" s="907">
        <f>GLOBAL_DER_FEV_2023!E1153</f>
        <v>0</v>
      </c>
      <c r="F1153" s="908">
        <f>GLOBAL_DER_FEV_2023!F1153</f>
        <v>0</v>
      </c>
      <c r="G1153" s="912">
        <f>GLOBAL_DER_FEV_2023!G1153</f>
        <v>0</v>
      </c>
      <c r="H1153" s="901">
        <f>GLOBAL_DER_FEV_2023!H1153</f>
        <v>19.670000000000002</v>
      </c>
      <c r="I1153" s="901">
        <f>GLOBAL_DER_FEV_2023!I1153</f>
        <v>19.670000000000002</v>
      </c>
      <c r="J1153" s="902">
        <f>GLOBAL_DER_FEV_2023!J1153</f>
        <v>23.62</v>
      </c>
      <c r="K1153" s="903" t="s">
        <v>62</v>
      </c>
      <c r="L1153" s="1137"/>
      <c r="M1153" s="1138">
        <f t="shared" si="133"/>
        <v>0</v>
      </c>
      <c r="N1153" s="893">
        <f t="shared" si="137"/>
        <v>0</v>
      </c>
      <c r="O1153" s="905"/>
      <c r="Q1153" s="317" t="str">
        <f t="shared" si="134"/>
        <v/>
      </c>
      <c r="R1153" s="317" t="str">
        <f t="shared" si="135"/>
        <v/>
      </c>
      <c r="S1153" s="317" t="str">
        <f t="shared" si="136"/>
        <v/>
      </c>
      <c r="T1153" s="317" t="str">
        <f>GLOBAL_DER_FEV_2023!S1153</f>
        <v/>
      </c>
      <c r="W1153" s="582">
        <v>0</v>
      </c>
      <c r="X1153" s="580"/>
      <c r="Y1153" s="583">
        <f>IF(GLOBAL_DER_FEV_2023!W1153=0,0,IF(GLOBAL_DER_FEV_2023!W1153&gt;0,"c","b"))</f>
        <v>0</v>
      </c>
    </row>
    <row r="1154" spans="1:25" ht="22.5" x14ac:dyDescent="0.2">
      <c r="A1154" s="317">
        <v>97670</v>
      </c>
      <c r="B1154" s="895">
        <v>97670</v>
      </c>
      <c r="C1154" s="896" t="s">
        <v>596</v>
      </c>
      <c r="D1154" s="906" t="s">
        <v>1084</v>
      </c>
      <c r="E1154" s="907">
        <f>GLOBAL_DER_FEV_2023!E1154</f>
        <v>0</v>
      </c>
      <c r="F1154" s="908">
        <f>GLOBAL_DER_FEV_2023!F1154</f>
        <v>0</v>
      </c>
      <c r="G1154" s="912">
        <f>GLOBAL_DER_FEV_2023!G1154</f>
        <v>0</v>
      </c>
      <c r="H1154" s="901">
        <f>GLOBAL_DER_FEV_2023!H1154</f>
        <v>25.13</v>
      </c>
      <c r="I1154" s="901">
        <f>GLOBAL_DER_FEV_2023!I1154</f>
        <v>25.13</v>
      </c>
      <c r="J1154" s="902">
        <f>GLOBAL_DER_FEV_2023!J1154</f>
        <v>30.17</v>
      </c>
      <c r="K1154" s="903" t="s">
        <v>62</v>
      </c>
      <c r="L1154" s="1137"/>
      <c r="M1154" s="1138">
        <f t="shared" si="133"/>
        <v>0</v>
      </c>
      <c r="N1154" s="893">
        <f t="shared" si="137"/>
        <v>0</v>
      </c>
      <c r="O1154" s="905"/>
      <c r="Q1154" s="317" t="str">
        <f t="shared" si="134"/>
        <v/>
      </c>
      <c r="R1154" s="317" t="str">
        <f t="shared" si="135"/>
        <v/>
      </c>
      <c r="S1154" s="317" t="str">
        <f t="shared" si="136"/>
        <v/>
      </c>
      <c r="T1154" s="317" t="str">
        <f>GLOBAL_DER_FEV_2023!S1154</f>
        <v/>
      </c>
      <c r="W1154" s="582">
        <v>0</v>
      </c>
      <c r="X1154" s="580"/>
      <c r="Y1154" s="583">
        <f>IF(GLOBAL_DER_FEV_2023!W1154=0,0,IF(GLOBAL_DER_FEV_2023!W1154&gt;0,"c","b"))</f>
        <v>0</v>
      </c>
    </row>
    <row r="1155" spans="1:25" ht="22.5" x14ac:dyDescent="0.2">
      <c r="A1155" s="317">
        <v>91924</v>
      </c>
      <c r="B1155" s="895">
        <v>91924</v>
      </c>
      <c r="C1155" s="896" t="s">
        <v>596</v>
      </c>
      <c r="D1155" s="906" t="s">
        <v>1085</v>
      </c>
      <c r="E1155" s="907">
        <f>GLOBAL_DER_FEV_2023!E1155</f>
        <v>0</v>
      </c>
      <c r="F1155" s="908">
        <f>GLOBAL_DER_FEV_2023!F1155</f>
        <v>0</v>
      </c>
      <c r="G1155" s="912">
        <f>GLOBAL_DER_FEV_2023!G1155</f>
        <v>0</v>
      </c>
      <c r="H1155" s="901">
        <f>GLOBAL_DER_FEV_2023!H1155</f>
        <v>3.11</v>
      </c>
      <c r="I1155" s="901">
        <f>GLOBAL_DER_FEV_2023!I1155</f>
        <v>3.11</v>
      </c>
      <c r="J1155" s="902">
        <f>GLOBAL_DER_FEV_2023!J1155</f>
        <v>3.73</v>
      </c>
      <c r="K1155" s="903" t="s">
        <v>62</v>
      </c>
      <c r="L1155" s="1137"/>
      <c r="M1155" s="1138">
        <f t="shared" si="133"/>
        <v>0</v>
      </c>
      <c r="N1155" s="893">
        <f t="shared" si="137"/>
        <v>0</v>
      </c>
      <c r="O1155" s="905"/>
      <c r="Q1155" s="317" t="str">
        <f t="shared" si="134"/>
        <v/>
      </c>
      <c r="R1155" s="317" t="str">
        <f t="shared" si="135"/>
        <v/>
      </c>
      <c r="S1155" s="317" t="str">
        <f t="shared" si="136"/>
        <v/>
      </c>
      <c r="T1155" s="317" t="str">
        <f>GLOBAL_DER_FEV_2023!S1155</f>
        <v/>
      </c>
      <c r="W1155" s="582">
        <v>0</v>
      </c>
      <c r="X1155" s="580"/>
      <c r="Y1155" s="583">
        <f>IF(GLOBAL_DER_FEV_2023!W1155=0,0,IF(GLOBAL_DER_FEV_2023!W1155&gt;0,"c","b"))</f>
        <v>0</v>
      </c>
    </row>
    <row r="1156" spans="1:25" ht="22.5" x14ac:dyDescent="0.2">
      <c r="A1156" s="317">
        <v>91926</v>
      </c>
      <c r="B1156" s="895">
        <v>91926</v>
      </c>
      <c r="C1156" s="896" t="s">
        <v>596</v>
      </c>
      <c r="D1156" s="906" t="s">
        <v>1086</v>
      </c>
      <c r="E1156" s="907">
        <f>GLOBAL_DER_FEV_2023!E1156</f>
        <v>0</v>
      </c>
      <c r="F1156" s="908">
        <f>GLOBAL_DER_FEV_2023!F1156</f>
        <v>0</v>
      </c>
      <c r="G1156" s="912">
        <f>GLOBAL_DER_FEV_2023!G1156</f>
        <v>0</v>
      </c>
      <c r="H1156" s="901">
        <f>GLOBAL_DER_FEV_2023!H1156</f>
        <v>4.42</v>
      </c>
      <c r="I1156" s="901">
        <f>GLOBAL_DER_FEV_2023!I1156</f>
        <v>4.42</v>
      </c>
      <c r="J1156" s="902">
        <f>GLOBAL_DER_FEV_2023!J1156</f>
        <v>5.31</v>
      </c>
      <c r="K1156" s="903" t="s">
        <v>62</v>
      </c>
      <c r="L1156" s="1137"/>
      <c r="M1156" s="1138">
        <f t="shared" si="133"/>
        <v>0</v>
      </c>
      <c r="N1156" s="893">
        <f t="shared" si="137"/>
        <v>0</v>
      </c>
      <c r="O1156" s="905"/>
      <c r="Q1156" s="317" t="str">
        <f t="shared" si="134"/>
        <v/>
      </c>
      <c r="R1156" s="317" t="str">
        <f t="shared" si="135"/>
        <v/>
      </c>
      <c r="S1156" s="317" t="str">
        <f t="shared" si="136"/>
        <v/>
      </c>
      <c r="T1156" s="317" t="str">
        <f>GLOBAL_DER_FEV_2023!S1156</f>
        <v/>
      </c>
      <c r="W1156" s="582">
        <v>0</v>
      </c>
      <c r="X1156" s="580"/>
      <c r="Y1156" s="583">
        <f>IF(GLOBAL_DER_FEV_2023!W1156=0,0,IF(GLOBAL_DER_FEV_2023!W1156&gt;0,"c","b"))</f>
        <v>0</v>
      </c>
    </row>
    <row r="1157" spans="1:25" ht="22.5" x14ac:dyDescent="0.2">
      <c r="A1157" s="317">
        <v>91928</v>
      </c>
      <c r="B1157" s="895">
        <v>91928</v>
      </c>
      <c r="C1157" s="896" t="s">
        <v>596</v>
      </c>
      <c r="D1157" s="906" t="s">
        <v>1087</v>
      </c>
      <c r="E1157" s="907">
        <f>GLOBAL_DER_FEV_2023!E1157</f>
        <v>0</v>
      </c>
      <c r="F1157" s="908">
        <f>GLOBAL_DER_FEV_2023!F1157</f>
        <v>0</v>
      </c>
      <c r="G1157" s="912">
        <f>GLOBAL_DER_FEV_2023!G1157</f>
        <v>0</v>
      </c>
      <c r="H1157" s="901">
        <f>GLOBAL_DER_FEV_2023!H1157</f>
        <v>6.72</v>
      </c>
      <c r="I1157" s="901">
        <f>GLOBAL_DER_FEV_2023!I1157</f>
        <v>6.72</v>
      </c>
      <c r="J1157" s="902">
        <f>GLOBAL_DER_FEV_2023!J1157</f>
        <v>8.07</v>
      </c>
      <c r="K1157" s="903" t="s">
        <v>62</v>
      </c>
      <c r="L1157" s="1137"/>
      <c r="M1157" s="1138">
        <f t="shared" si="133"/>
        <v>0</v>
      </c>
      <c r="N1157" s="893">
        <f t="shared" si="137"/>
        <v>0</v>
      </c>
      <c r="O1157" s="905"/>
      <c r="Q1157" s="317" t="str">
        <f t="shared" si="134"/>
        <v/>
      </c>
      <c r="R1157" s="317" t="str">
        <f t="shared" si="135"/>
        <v/>
      </c>
      <c r="S1157" s="317" t="str">
        <f t="shared" si="136"/>
        <v/>
      </c>
      <c r="T1157" s="317" t="str">
        <f>GLOBAL_DER_FEV_2023!S1157</f>
        <v/>
      </c>
      <c r="W1157" s="582">
        <v>0</v>
      </c>
      <c r="X1157" s="580"/>
      <c r="Y1157" s="583">
        <f>IF(GLOBAL_DER_FEV_2023!W1157=0,0,IF(GLOBAL_DER_FEV_2023!W1157&gt;0,"c","b"))</f>
        <v>0</v>
      </c>
    </row>
    <row r="1158" spans="1:25" ht="22.5" x14ac:dyDescent="0.2">
      <c r="A1158" s="317">
        <v>91930</v>
      </c>
      <c r="B1158" s="895">
        <v>91930</v>
      </c>
      <c r="C1158" s="896" t="s">
        <v>596</v>
      </c>
      <c r="D1158" s="906" t="s">
        <v>1088</v>
      </c>
      <c r="E1158" s="907">
        <f>GLOBAL_DER_FEV_2023!E1158</f>
        <v>0</v>
      </c>
      <c r="F1158" s="908">
        <f>GLOBAL_DER_FEV_2023!F1158</f>
        <v>0</v>
      </c>
      <c r="G1158" s="912">
        <f>GLOBAL_DER_FEV_2023!G1158</f>
        <v>0</v>
      </c>
      <c r="H1158" s="901">
        <f>GLOBAL_DER_FEV_2023!H1158</f>
        <v>9.31</v>
      </c>
      <c r="I1158" s="901">
        <f>GLOBAL_DER_FEV_2023!I1158</f>
        <v>9.31</v>
      </c>
      <c r="J1158" s="902">
        <f>GLOBAL_DER_FEV_2023!J1158</f>
        <v>11.18</v>
      </c>
      <c r="K1158" s="903" t="s">
        <v>62</v>
      </c>
      <c r="L1158" s="1137"/>
      <c r="M1158" s="1138">
        <f t="shared" ref="M1158:M1221" si="138">IF(L1158=0,0,ROUND(J1158,2))</f>
        <v>0</v>
      </c>
      <c r="N1158" s="893">
        <f t="shared" si="137"/>
        <v>0</v>
      </c>
      <c r="O1158" s="905"/>
      <c r="Q1158" s="317" t="str">
        <f t="shared" si="134"/>
        <v/>
      </c>
      <c r="R1158" s="317" t="str">
        <f t="shared" si="135"/>
        <v/>
      </c>
      <c r="S1158" s="317" t="str">
        <f t="shared" si="136"/>
        <v/>
      </c>
      <c r="T1158" s="317" t="str">
        <f>GLOBAL_DER_FEV_2023!S1158</f>
        <v/>
      </c>
      <c r="W1158" s="582">
        <v>0</v>
      </c>
      <c r="X1158" s="580"/>
      <c r="Y1158" s="583">
        <f>IF(GLOBAL_DER_FEV_2023!W1158=0,0,IF(GLOBAL_DER_FEV_2023!W1158&gt;0,"c","b"))</f>
        <v>0</v>
      </c>
    </row>
    <row r="1159" spans="1:25" ht="22.5" x14ac:dyDescent="0.2">
      <c r="A1159" s="317">
        <v>91932</v>
      </c>
      <c r="B1159" s="895">
        <v>91932</v>
      </c>
      <c r="C1159" s="896" t="s">
        <v>596</v>
      </c>
      <c r="D1159" s="906" t="s">
        <v>1089</v>
      </c>
      <c r="E1159" s="907">
        <f>GLOBAL_DER_FEV_2023!E1159</f>
        <v>0</v>
      </c>
      <c r="F1159" s="908">
        <f>GLOBAL_DER_FEV_2023!F1159</f>
        <v>0</v>
      </c>
      <c r="G1159" s="912">
        <f>GLOBAL_DER_FEV_2023!G1159</f>
        <v>0</v>
      </c>
      <c r="H1159" s="901">
        <f>GLOBAL_DER_FEV_2023!H1159</f>
        <v>16.420000000000002</v>
      </c>
      <c r="I1159" s="901">
        <f>GLOBAL_DER_FEV_2023!I1159</f>
        <v>16.420000000000002</v>
      </c>
      <c r="J1159" s="902">
        <f>GLOBAL_DER_FEV_2023!J1159</f>
        <v>19.72</v>
      </c>
      <c r="K1159" s="903" t="s">
        <v>62</v>
      </c>
      <c r="L1159" s="1137"/>
      <c r="M1159" s="1138">
        <f t="shared" si="138"/>
        <v>0</v>
      </c>
      <c r="N1159" s="893">
        <f t="shared" si="137"/>
        <v>0</v>
      </c>
      <c r="O1159" s="905"/>
      <c r="Q1159" s="317" t="str">
        <f t="shared" si="134"/>
        <v/>
      </c>
      <c r="R1159" s="317" t="str">
        <f t="shared" si="135"/>
        <v/>
      </c>
      <c r="S1159" s="317" t="str">
        <f t="shared" si="136"/>
        <v/>
      </c>
      <c r="T1159" s="317" t="str">
        <f>GLOBAL_DER_FEV_2023!S1159</f>
        <v/>
      </c>
      <c r="W1159" s="582">
        <v>0</v>
      </c>
      <c r="X1159" s="580"/>
      <c r="Y1159" s="583">
        <f>IF(GLOBAL_DER_FEV_2023!W1159=0,0,IF(GLOBAL_DER_FEV_2023!W1159&gt;0,"c","b"))</f>
        <v>0</v>
      </c>
    </row>
    <row r="1160" spans="1:25" ht="22.5" x14ac:dyDescent="0.2">
      <c r="A1160" s="317">
        <v>91934</v>
      </c>
      <c r="B1160" s="895">
        <v>91934</v>
      </c>
      <c r="C1160" s="896" t="s">
        <v>596</v>
      </c>
      <c r="D1160" s="906" t="s">
        <v>1090</v>
      </c>
      <c r="E1160" s="907">
        <f>GLOBAL_DER_FEV_2023!E1160</f>
        <v>0</v>
      </c>
      <c r="F1160" s="908">
        <f>GLOBAL_DER_FEV_2023!F1160</f>
        <v>0</v>
      </c>
      <c r="G1160" s="912">
        <f>GLOBAL_DER_FEV_2023!G1160</f>
        <v>0</v>
      </c>
      <c r="H1160" s="901">
        <f>GLOBAL_DER_FEV_2023!H1160</f>
        <v>23.75</v>
      </c>
      <c r="I1160" s="901">
        <f>GLOBAL_DER_FEV_2023!I1160</f>
        <v>23.75</v>
      </c>
      <c r="J1160" s="902">
        <f>GLOBAL_DER_FEV_2023!J1160</f>
        <v>28.52</v>
      </c>
      <c r="K1160" s="903" t="s">
        <v>62</v>
      </c>
      <c r="L1160" s="1137"/>
      <c r="M1160" s="1138">
        <f t="shared" si="138"/>
        <v>0</v>
      </c>
      <c r="N1160" s="893">
        <f t="shared" si="137"/>
        <v>0</v>
      </c>
      <c r="O1160" s="905"/>
      <c r="Q1160" s="317" t="str">
        <f t="shared" si="134"/>
        <v/>
      </c>
      <c r="R1160" s="317" t="str">
        <f t="shared" si="135"/>
        <v/>
      </c>
      <c r="S1160" s="317" t="str">
        <f t="shared" si="136"/>
        <v/>
      </c>
      <c r="T1160" s="317" t="str">
        <f>GLOBAL_DER_FEV_2023!S1160</f>
        <v/>
      </c>
      <c r="W1160" s="582">
        <v>0</v>
      </c>
      <c r="X1160" s="580"/>
      <c r="Y1160" s="583">
        <f>IF(GLOBAL_DER_FEV_2023!W1160=0,0,IF(GLOBAL_DER_FEV_2023!W1160&gt;0,"c","b"))</f>
        <v>0</v>
      </c>
    </row>
    <row r="1161" spans="1:25" ht="22.5" x14ac:dyDescent="0.2">
      <c r="A1161" s="317">
        <v>92979</v>
      </c>
      <c r="B1161" s="895">
        <v>92979</v>
      </c>
      <c r="C1161" s="896" t="s">
        <v>596</v>
      </c>
      <c r="D1161" s="906" t="s">
        <v>1091</v>
      </c>
      <c r="E1161" s="907">
        <f>GLOBAL_DER_FEV_2023!E1161</f>
        <v>0</v>
      </c>
      <c r="F1161" s="908">
        <f>GLOBAL_DER_FEV_2023!F1161</f>
        <v>0</v>
      </c>
      <c r="G1161" s="912">
        <f>GLOBAL_DER_FEV_2023!G1161</f>
        <v>0</v>
      </c>
      <c r="H1161" s="901">
        <f>GLOBAL_DER_FEV_2023!H1161</f>
        <v>10.73</v>
      </c>
      <c r="I1161" s="901">
        <f>GLOBAL_DER_FEV_2023!I1161</f>
        <v>10.73</v>
      </c>
      <c r="J1161" s="902">
        <f>GLOBAL_DER_FEV_2023!J1161</f>
        <v>12.88</v>
      </c>
      <c r="K1161" s="903" t="s">
        <v>62</v>
      </c>
      <c r="L1161" s="1137"/>
      <c r="M1161" s="1138">
        <f t="shared" si="138"/>
        <v>0</v>
      </c>
      <c r="N1161" s="893">
        <f t="shared" si="137"/>
        <v>0</v>
      </c>
      <c r="O1161" s="905"/>
      <c r="Q1161" s="317" t="str">
        <f t="shared" si="134"/>
        <v/>
      </c>
      <c r="R1161" s="317" t="str">
        <f t="shared" si="135"/>
        <v/>
      </c>
      <c r="S1161" s="317" t="str">
        <f t="shared" si="136"/>
        <v/>
      </c>
      <c r="T1161" s="317" t="str">
        <f>GLOBAL_DER_FEV_2023!S1161</f>
        <v/>
      </c>
      <c r="W1161" s="582">
        <v>0</v>
      </c>
      <c r="X1161" s="580"/>
      <c r="Y1161" s="583">
        <f>IF(GLOBAL_DER_FEV_2023!W1161=0,0,IF(GLOBAL_DER_FEV_2023!W1161&gt;0,"c","b"))</f>
        <v>0</v>
      </c>
    </row>
    <row r="1162" spans="1:25" ht="22.5" x14ac:dyDescent="0.2">
      <c r="A1162" s="317">
        <v>92981</v>
      </c>
      <c r="B1162" s="895">
        <v>92981</v>
      </c>
      <c r="C1162" s="896" t="s">
        <v>596</v>
      </c>
      <c r="D1162" s="906" t="s">
        <v>1092</v>
      </c>
      <c r="E1162" s="907">
        <f>GLOBAL_DER_FEV_2023!E1162</f>
        <v>0</v>
      </c>
      <c r="F1162" s="908">
        <f>GLOBAL_DER_FEV_2023!F1162</f>
        <v>0</v>
      </c>
      <c r="G1162" s="912">
        <f>GLOBAL_DER_FEV_2023!G1162</f>
        <v>0</v>
      </c>
      <c r="H1162" s="901">
        <f>GLOBAL_DER_FEV_2023!H1162</f>
        <v>15.33</v>
      </c>
      <c r="I1162" s="901">
        <f>GLOBAL_DER_FEV_2023!I1162</f>
        <v>15.33</v>
      </c>
      <c r="J1162" s="902">
        <f>GLOBAL_DER_FEV_2023!J1162</f>
        <v>18.41</v>
      </c>
      <c r="K1162" s="903" t="s">
        <v>62</v>
      </c>
      <c r="L1162" s="1137"/>
      <c r="M1162" s="1138">
        <f t="shared" si="138"/>
        <v>0</v>
      </c>
      <c r="N1162" s="893">
        <f t="shared" si="137"/>
        <v>0</v>
      </c>
      <c r="O1162" s="905"/>
      <c r="Q1162" s="317" t="str">
        <f t="shared" si="134"/>
        <v/>
      </c>
      <c r="R1162" s="317" t="str">
        <f t="shared" si="135"/>
        <v/>
      </c>
      <c r="S1162" s="317" t="str">
        <f t="shared" si="136"/>
        <v/>
      </c>
      <c r="T1162" s="317" t="str">
        <f>GLOBAL_DER_FEV_2023!S1162</f>
        <v/>
      </c>
      <c r="W1162" s="582">
        <v>0</v>
      </c>
      <c r="X1162" s="580"/>
      <c r="Y1162" s="583">
        <f>IF(GLOBAL_DER_FEV_2023!W1162=0,0,IF(GLOBAL_DER_FEV_2023!W1162&gt;0,"c","b"))</f>
        <v>0</v>
      </c>
    </row>
    <row r="1163" spans="1:25" ht="22.5" x14ac:dyDescent="0.2">
      <c r="A1163" s="317">
        <v>91925</v>
      </c>
      <c r="B1163" s="895">
        <v>91925</v>
      </c>
      <c r="C1163" s="896" t="s">
        <v>596</v>
      </c>
      <c r="D1163" s="906" t="s">
        <v>1093</v>
      </c>
      <c r="E1163" s="907">
        <f>GLOBAL_DER_FEV_2023!E1163</f>
        <v>0</v>
      </c>
      <c r="F1163" s="908">
        <f>GLOBAL_DER_FEV_2023!F1163</f>
        <v>0</v>
      </c>
      <c r="G1163" s="912">
        <f>GLOBAL_DER_FEV_2023!G1163</f>
        <v>0</v>
      </c>
      <c r="H1163" s="901">
        <f>GLOBAL_DER_FEV_2023!H1163</f>
        <v>3.68</v>
      </c>
      <c r="I1163" s="901">
        <f>GLOBAL_DER_FEV_2023!I1163</f>
        <v>3.68</v>
      </c>
      <c r="J1163" s="902">
        <f>GLOBAL_DER_FEV_2023!J1163</f>
        <v>4.42</v>
      </c>
      <c r="K1163" s="903" t="s">
        <v>62</v>
      </c>
      <c r="L1163" s="1137"/>
      <c r="M1163" s="1138">
        <f t="shared" si="138"/>
        <v>0</v>
      </c>
      <c r="N1163" s="893">
        <f t="shared" si="137"/>
        <v>0</v>
      </c>
      <c r="O1163" s="905"/>
      <c r="Q1163" s="317" t="str">
        <f t="shared" si="134"/>
        <v/>
      </c>
      <c r="R1163" s="317" t="str">
        <f t="shared" si="135"/>
        <v/>
      </c>
      <c r="S1163" s="317" t="str">
        <f t="shared" si="136"/>
        <v/>
      </c>
      <c r="T1163" s="317" t="str">
        <f>GLOBAL_DER_FEV_2023!S1163</f>
        <v/>
      </c>
      <c r="W1163" s="582">
        <v>0</v>
      </c>
      <c r="X1163" s="580"/>
      <c r="Y1163" s="583">
        <f>IF(GLOBAL_DER_FEV_2023!W1163=0,0,IF(GLOBAL_DER_FEV_2023!W1163&gt;0,"c","b"))</f>
        <v>0</v>
      </c>
    </row>
    <row r="1164" spans="1:25" ht="22.5" x14ac:dyDescent="0.2">
      <c r="A1164" s="317">
        <v>91927</v>
      </c>
      <c r="B1164" s="895">
        <v>91927</v>
      </c>
      <c r="C1164" s="896" t="s">
        <v>596</v>
      </c>
      <c r="D1164" s="906" t="s">
        <v>1094</v>
      </c>
      <c r="E1164" s="907">
        <f>GLOBAL_DER_FEV_2023!E1164</f>
        <v>0</v>
      </c>
      <c r="F1164" s="908">
        <f>GLOBAL_DER_FEV_2023!F1164</f>
        <v>0</v>
      </c>
      <c r="G1164" s="912">
        <f>GLOBAL_DER_FEV_2023!G1164</f>
        <v>0</v>
      </c>
      <c r="H1164" s="901">
        <f>GLOBAL_DER_FEV_2023!H1164</f>
        <v>4.91</v>
      </c>
      <c r="I1164" s="901">
        <f>GLOBAL_DER_FEV_2023!I1164</f>
        <v>4.91</v>
      </c>
      <c r="J1164" s="902">
        <f>GLOBAL_DER_FEV_2023!J1164</f>
        <v>5.9</v>
      </c>
      <c r="K1164" s="903" t="s">
        <v>62</v>
      </c>
      <c r="L1164" s="1137"/>
      <c r="M1164" s="1138">
        <f t="shared" si="138"/>
        <v>0</v>
      </c>
      <c r="N1164" s="893">
        <f t="shared" si="137"/>
        <v>0</v>
      </c>
      <c r="O1164" s="905"/>
      <c r="Q1164" s="317" t="str">
        <f t="shared" si="134"/>
        <v/>
      </c>
      <c r="R1164" s="317" t="str">
        <f t="shared" si="135"/>
        <v/>
      </c>
      <c r="S1164" s="317" t="str">
        <f t="shared" si="136"/>
        <v/>
      </c>
      <c r="T1164" s="317" t="str">
        <f>GLOBAL_DER_FEV_2023!S1164</f>
        <v/>
      </c>
      <c r="W1164" s="582">
        <v>0</v>
      </c>
      <c r="X1164" s="580"/>
      <c r="Y1164" s="583">
        <f>IF(GLOBAL_DER_FEV_2023!W1164=0,0,IF(GLOBAL_DER_FEV_2023!W1164&gt;0,"c","b"))</f>
        <v>0</v>
      </c>
    </row>
    <row r="1165" spans="1:25" ht="22.5" x14ac:dyDescent="0.2">
      <c r="A1165" s="317">
        <v>91929</v>
      </c>
      <c r="B1165" s="895">
        <v>91929</v>
      </c>
      <c r="C1165" s="896" t="s">
        <v>596</v>
      </c>
      <c r="D1165" s="906" t="s">
        <v>1095</v>
      </c>
      <c r="E1165" s="907">
        <f>GLOBAL_DER_FEV_2023!E1165</f>
        <v>0</v>
      </c>
      <c r="F1165" s="908">
        <f>GLOBAL_DER_FEV_2023!F1165</f>
        <v>0</v>
      </c>
      <c r="G1165" s="912">
        <f>GLOBAL_DER_FEV_2023!G1165</f>
        <v>0</v>
      </c>
      <c r="H1165" s="901">
        <f>GLOBAL_DER_FEV_2023!H1165</f>
        <v>7.14</v>
      </c>
      <c r="I1165" s="901">
        <f>GLOBAL_DER_FEV_2023!I1165</f>
        <v>7.14</v>
      </c>
      <c r="J1165" s="902">
        <f>GLOBAL_DER_FEV_2023!J1165</f>
        <v>8.57</v>
      </c>
      <c r="K1165" s="903" t="s">
        <v>62</v>
      </c>
      <c r="L1165" s="1137"/>
      <c r="M1165" s="1138">
        <f t="shared" si="138"/>
        <v>0</v>
      </c>
      <c r="N1165" s="893">
        <f t="shared" si="137"/>
        <v>0</v>
      </c>
      <c r="O1165" s="905"/>
      <c r="Q1165" s="317" t="str">
        <f t="shared" si="134"/>
        <v/>
      </c>
      <c r="R1165" s="317" t="str">
        <f t="shared" si="135"/>
        <v/>
      </c>
      <c r="S1165" s="317" t="str">
        <f t="shared" si="136"/>
        <v/>
      </c>
      <c r="T1165" s="317" t="str">
        <f>GLOBAL_DER_FEV_2023!S1165</f>
        <v/>
      </c>
      <c r="W1165" s="582">
        <v>0</v>
      </c>
      <c r="X1165" s="580"/>
      <c r="Y1165" s="583">
        <f>IF(GLOBAL_DER_FEV_2023!W1165=0,0,IF(GLOBAL_DER_FEV_2023!W1165&gt;0,"c","b"))</f>
        <v>0</v>
      </c>
    </row>
    <row r="1166" spans="1:25" ht="22.5" x14ac:dyDescent="0.2">
      <c r="A1166" s="317">
        <v>91931</v>
      </c>
      <c r="B1166" s="895">
        <v>91931</v>
      </c>
      <c r="C1166" s="896" t="s">
        <v>596</v>
      </c>
      <c r="D1166" s="906" t="s">
        <v>1096</v>
      </c>
      <c r="E1166" s="907">
        <f>GLOBAL_DER_FEV_2023!E1166</f>
        <v>0</v>
      </c>
      <c r="F1166" s="908">
        <f>GLOBAL_DER_FEV_2023!F1166</f>
        <v>0</v>
      </c>
      <c r="G1166" s="912">
        <f>GLOBAL_DER_FEV_2023!G1166</f>
        <v>0</v>
      </c>
      <c r="H1166" s="901">
        <f>GLOBAL_DER_FEV_2023!H1166</f>
        <v>10</v>
      </c>
      <c r="I1166" s="901">
        <f>GLOBAL_DER_FEV_2023!I1166</f>
        <v>10</v>
      </c>
      <c r="J1166" s="902">
        <f>GLOBAL_DER_FEV_2023!J1166</f>
        <v>12.01</v>
      </c>
      <c r="K1166" s="903" t="s">
        <v>62</v>
      </c>
      <c r="L1166" s="1137"/>
      <c r="M1166" s="1138">
        <f t="shared" si="138"/>
        <v>0</v>
      </c>
      <c r="N1166" s="893">
        <f t="shared" si="137"/>
        <v>0</v>
      </c>
      <c r="O1166" s="905"/>
      <c r="Q1166" s="317" t="str">
        <f t="shared" si="134"/>
        <v/>
      </c>
      <c r="R1166" s="317" t="str">
        <f t="shared" si="135"/>
        <v/>
      </c>
      <c r="S1166" s="317" t="str">
        <f t="shared" si="136"/>
        <v/>
      </c>
      <c r="T1166" s="317" t="str">
        <f>GLOBAL_DER_FEV_2023!S1166</f>
        <v/>
      </c>
      <c r="W1166" s="582">
        <v>0</v>
      </c>
      <c r="X1166" s="580"/>
      <c r="Y1166" s="583">
        <f>IF(GLOBAL_DER_FEV_2023!W1166=0,0,IF(GLOBAL_DER_FEV_2023!W1166&gt;0,"c","b"))</f>
        <v>0</v>
      </c>
    </row>
    <row r="1167" spans="1:25" ht="22.5" x14ac:dyDescent="0.2">
      <c r="A1167" s="317">
        <v>91933</v>
      </c>
      <c r="B1167" s="895">
        <v>91933</v>
      </c>
      <c r="C1167" s="896" t="s">
        <v>596</v>
      </c>
      <c r="D1167" s="906" t="s">
        <v>1097</v>
      </c>
      <c r="E1167" s="907">
        <f>GLOBAL_DER_FEV_2023!E1167</f>
        <v>0</v>
      </c>
      <c r="F1167" s="908">
        <f>GLOBAL_DER_FEV_2023!F1167</f>
        <v>0</v>
      </c>
      <c r="G1167" s="912">
        <f>GLOBAL_DER_FEV_2023!G1167</f>
        <v>0</v>
      </c>
      <c r="H1167" s="901">
        <f>GLOBAL_DER_FEV_2023!H1167</f>
        <v>15.88</v>
      </c>
      <c r="I1167" s="901">
        <f>GLOBAL_DER_FEV_2023!I1167</f>
        <v>15.88</v>
      </c>
      <c r="J1167" s="902">
        <f>GLOBAL_DER_FEV_2023!J1167</f>
        <v>19.07</v>
      </c>
      <c r="K1167" s="903" t="s">
        <v>62</v>
      </c>
      <c r="L1167" s="1137"/>
      <c r="M1167" s="1138">
        <f t="shared" si="138"/>
        <v>0</v>
      </c>
      <c r="N1167" s="893">
        <f t="shared" si="137"/>
        <v>0</v>
      </c>
      <c r="O1167" s="905"/>
      <c r="Q1167" s="317" t="str">
        <f t="shared" si="134"/>
        <v/>
      </c>
      <c r="R1167" s="317" t="str">
        <f t="shared" si="135"/>
        <v/>
      </c>
      <c r="S1167" s="317" t="str">
        <f t="shared" si="136"/>
        <v/>
      </c>
      <c r="T1167" s="317" t="str">
        <f>GLOBAL_DER_FEV_2023!S1167</f>
        <v/>
      </c>
      <c r="W1167" s="582">
        <v>0</v>
      </c>
      <c r="X1167" s="580"/>
      <c r="Y1167" s="583">
        <f>IF(GLOBAL_DER_FEV_2023!W1167=0,0,IF(GLOBAL_DER_FEV_2023!W1167&gt;0,"c","b"))</f>
        <v>0</v>
      </c>
    </row>
    <row r="1168" spans="1:25" ht="22.5" x14ac:dyDescent="0.2">
      <c r="A1168" s="317">
        <v>91935</v>
      </c>
      <c r="B1168" s="895">
        <v>91935</v>
      </c>
      <c r="C1168" s="896" t="s">
        <v>596</v>
      </c>
      <c r="D1168" s="906" t="s">
        <v>1098</v>
      </c>
      <c r="E1168" s="907">
        <f>GLOBAL_DER_FEV_2023!E1168</f>
        <v>0</v>
      </c>
      <c r="F1168" s="908">
        <f>GLOBAL_DER_FEV_2023!F1168</f>
        <v>0</v>
      </c>
      <c r="G1168" s="912">
        <f>GLOBAL_DER_FEV_2023!G1168</f>
        <v>0</v>
      </c>
      <c r="H1168" s="901">
        <f>GLOBAL_DER_FEV_2023!H1168</f>
        <v>24.8</v>
      </c>
      <c r="I1168" s="901">
        <f>GLOBAL_DER_FEV_2023!I1168</f>
        <v>24.8</v>
      </c>
      <c r="J1168" s="902">
        <f>GLOBAL_DER_FEV_2023!J1168</f>
        <v>29.78</v>
      </c>
      <c r="K1168" s="903" t="s">
        <v>62</v>
      </c>
      <c r="L1168" s="1137"/>
      <c r="M1168" s="1138">
        <f t="shared" si="138"/>
        <v>0</v>
      </c>
      <c r="N1168" s="893">
        <f t="shared" si="137"/>
        <v>0</v>
      </c>
      <c r="O1168" s="905"/>
      <c r="Q1168" s="317" t="str">
        <f t="shared" si="134"/>
        <v/>
      </c>
      <c r="R1168" s="317" t="str">
        <f t="shared" si="135"/>
        <v/>
      </c>
      <c r="S1168" s="317" t="str">
        <f t="shared" si="136"/>
        <v/>
      </c>
      <c r="T1168" s="317" t="str">
        <f>GLOBAL_DER_FEV_2023!S1168</f>
        <v/>
      </c>
      <c r="W1168" s="582">
        <v>0</v>
      </c>
      <c r="X1168" s="580"/>
      <c r="Y1168" s="583">
        <f>IF(GLOBAL_DER_FEV_2023!W1168=0,0,IF(GLOBAL_DER_FEV_2023!W1168&gt;0,"c","b"))</f>
        <v>0</v>
      </c>
    </row>
    <row r="1169" spans="1:25" ht="22.5" x14ac:dyDescent="0.2">
      <c r="A1169" s="317">
        <v>92980</v>
      </c>
      <c r="B1169" s="895">
        <v>92980</v>
      </c>
      <c r="C1169" s="896" t="s">
        <v>596</v>
      </c>
      <c r="D1169" s="906" t="s">
        <v>1099</v>
      </c>
      <c r="E1169" s="907">
        <f>GLOBAL_DER_FEV_2023!E1169</f>
        <v>0</v>
      </c>
      <c r="F1169" s="908">
        <f>GLOBAL_DER_FEV_2023!F1169</f>
        <v>0</v>
      </c>
      <c r="G1169" s="912">
        <f>GLOBAL_DER_FEV_2023!G1169</f>
        <v>0</v>
      </c>
      <c r="H1169" s="901">
        <f>GLOBAL_DER_FEV_2023!H1169</f>
        <v>10.26</v>
      </c>
      <c r="I1169" s="901">
        <f>GLOBAL_DER_FEV_2023!I1169</f>
        <v>10.26</v>
      </c>
      <c r="J1169" s="902">
        <f>GLOBAL_DER_FEV_2023!J1169</f>
        <v>12.32</v>
      </c>
      <c r="K1169" s="903" t="s">
        <v>62</v>
      </c>
      <c r="L1169" s="1137"/>
      <c r="M1169" s="1138">
        <f t="shared" si="138"/>
        <v>0</v>
      </c>
      <c r="N1169" s="893">
        <f t="shared" si="137"/>
        <v>0</v>
      </c>
      <c r="O1169" s="905"/>
      <c r="Q1169" s="317" t="str">
        <f t="shared" ref="Q1169:Q1232" si="139">IF(P1169="X","x",IF(P1169="xx","x",IF(P1169="xy","x",IF(P1169="y","x",IF(OR(N1169&gt;0,N1169&gt;0),"x","")))))</f>
        <v/>
      </c>
      <c r="R1169" s="317" t="str">
        <f t="shared" si="135"/>
        <v/>
      </c>
      <c r="S1169" s="317" t="str">
        <f t="shared" si="136"/>
        <v/>
      </c>
      <c r="T1169" s="317" t="str">
        <f>GLOBAL_DER_FEV_2023!S1169</f>
        <v/>
      </c>
      <c r="W1169" s="582">
        <v>0</v>
      </c>
      <c r="X1169" s="580"/>
      <c r="Y1169" s="583">
        <f>IF(GLOBAL_DER_FEV_2023!W1169=0,0,IF(GLOBAL_DER_FEV_2023!W1169&gt;0,"c","b"))</f>
        <v>0</v>
      </c>
    </row>
    <row r="1170" spans="1:25" ht="22.5" x14ac:dyDescent="0.2">
      <c r="A1170" s="317">
        <v>92982</v>
      </c>
      <c r="B1170" s="895">
        <v>92982</v>
      </c>
      <c r="C1170" s="896" t="s">
        <v>596</v>
      </c>
      <c r="D1170" s="906" t="s">
        <v>1100</v>
      </c>
      <c r="E1170" s="907">
        <f>GLOBAL_DER_FEV_2023!E1170</f>
        <v>0</v>
      </c>
      <c r="F1170" s="908">
        <f>GLOBAL_DER_FEV_2023!F1170</f>
        <v>0</v>
      </c>
      <c r="G1170" s="912">
        <f>GLOBAL_DER_FEV_2023!G1170</f>
        <v>0</v>
      </c>
      <c r="H1170" s="901">
        <f>GLOBAL_DER_FEV_2023!H1170</f>
        <v>16.23</v>
      </c>
      <c r="I1170" s="901">
        <f>GLOBAL_DER_FEV_2023!I1170</f>
        <v>16.23</v>
      </c>
      <c r="J1170" s="902">
        <f>GLOBAL_DER_FEV_2023!J1170</f>
        <v>19.489999999999998</v>
      </c>
      <c r="K1170" s="903" t="s">
        <v>62</v>
      </c>
      <c r="L1170" s="1137"/>
      <c r="M1170" s="1138">
        <f t="shared" si="138"/>
        <v>0</v>
      </c>
      <c r="N1170" s="893">
        <f t="shared" si="137"/>
        <v>0</v>
      </c>
      <c r="O1170" s="905"/>
      <c r="Q1170" s="317" t="str">
        <f t="shared" si="139"/>
        <v/>
      </c>
      <c r="R1170" s="317" t="str">
        <f t="shared" si="135"/>
        <v/>
      </c>
      <c r="S1170" s="317" t="str">
        <f t="shared" si="136"/>
        <v/>
      </c>
      <c r="T1170" s="317" t="str">
        <f>GLOBAL_DER_FEV_2023!S1170</f>
        <v/>
      </c>
      <c r="W1170" s="582">
        <v>0</v>
      </c>
      <c r="X1170" s="580"/>
      <c r="Y1170" s="583">
        <f>IF(GLOBAL_DER_FEV_2023!W1170=0,0,IF(GLOBAL_DER_FEV_2023!W1170&gt;0,"c","b"))</f>
        <v>0</v>
      </c>
    </row>
    <row r="1171" spans="1:25" ht="22.5" x14ac:dyDescent="0.2">
      <c r="A1171" s="317">
        <v>92984</v>
      </c>
      <c r="B1171" s="895">
        <v>92984</v>
      </c>
      <c r="C1171" s="896" t="s">
        <v>596</v>
      </c>
      <c r="D1171" s="906" t="s">
        <v>1101</v>
      </c>
      <c r="E1171" s="907">
        <f>GLOBAL_DER_FEV_2023!E1171</f>
        <v>0</v>
      </c>
      <c r="F1171" s="908">
        <f>GLOBAL_DER_FEV_2023!F1171</f>
        <v>0</v>
      </c>
      <c r="G1171" s="912">
        <f>GLOBAL_DER_FEV_2023!G1171</f>
        <v>0</v>
      </c>
      <c r="H1171" s="901">
        <f>GLOBAL_DER_FEV_2023!H1171</f>
        <v>27.31</v>
      </c>
      <c r="I1171" s="901">
        <f>GLOBAL_DER_FEV_2023!I1171</f>
        <v>27.31</v>
      </c>
      <c r="J1171" s="902">
        <f>GLOBAL_DER_FEV_2023!J1171</f>
        <v>32.79</v>
      </c>
      <c r="K1171" s="903" t="s">
        <v>62</v>
      </c>
      <c r="L1171" s="1137"/>
      <c r="M1171" s="1138">
        <f t="shared" si="138"/>
        <v>0</v>
      </c>
      <c r="N1171" s="893">
        <f t="shared" si="137"/>
        <v>0</v>
      </c>
      <c r="O1171" s="905"/>
      <c r="Q1171" s="317" t="str">
        <f t="shared" si="139"/>
        <v/>
      </c>
      <c r="R1171" s="317" t="str">
        <f t="shared" ref="R1171:R1234" si="140">IF(P1171="X","x",IF(P1171="y","x",IF(P1171="xx","x",IF(N1171&gt;0,"x",""))))</f>
        <v/>
      </c>
      <c r="S1171" s="317" t="str">
        <f t="shared" ref="S1171:S1234" si="141">IF(P1171="X","x",IF(N1171&gt;0,"x",""))</f>
        <v/>
      </c>
      <c r="T1171" s="317" t="str">
        <f>GLOBAL_DER_FEV_2023!S1171</f>
        <v/>
      </c>
      <c r="W1171" s="582">
        <v>0</v>
      </c>
      <c r="X1171" s="580"/>
      <c r="Y1171" s="583">
        <f>IF(GLOBAL_DER_FEV_2023!W1171=0,0,IF(GLOBAL_DER_FEV_2023!W1171&gt;0,"c","b"))</f>
        <v>0</v>
      </c>
    </row>
    <row r="1172" spans="1:25" ht="22.5" x14ac:dyDescent="0.2">
      <c r="A1172" s="317">
        <v>92986</v>
      </c>
      <c r="B1172" s="895">
        <v>92986</v>
      </c>
      <c r="C1172" s="896" t="s">
        <v>596</v>
      </c>
      <c r="D1172" s="906" t="s">
        <v>1102</v>
      </c>
      <c r="E1172" s="907">
        <f>GLOBAL_DER_FEV_2023!E1172</f>
        <v>0</v>
      </c>
      <c r="F1172" s="908">
        <f>GLOBAL_DER_FEV_2023!F1172</f>
        <v>0</v>
      </c>
      <c r="G1172" s="912">
        <f>GLOBAL_DER_FEV_2023!G1172</f>
        <v>0</v>
      </c>
      <c r="H1172" s="901">
        <f>GLOBAL_DER_FEV_2023!H1172</f>
        <v>37.61</v>
      </c>
      <c r="I1172" s="901">
        <f>GLOBAL_DER_FEV_2023!I1172</f>
        <v>37.61</v>
      </c>
      <c r="J1172" s="902">
        <f>GLOBAL_DER_FEV_2023!J1172</f>
        <v>45.16</v>
      </c>
      <c r="K1172" s="903" t="s">
        <v>62</v>
      </c>
      <c r="L1172" s="1137"/>
      <c r="M1172" s="1138">
        <f t="shared" si="138"/>
        <v>0</v>
      </c>
      <c r="N1172" s="893">
        <f t="shared" si="137"/>
        <v>0</v>
      </c>
      <c r="O1172" s="905"/>
      <c r="Q1172" s="317" t="str">
        <f t="shared" si="139"/>
        <v/>
      </c>
      <c r="R1172" s="317" t="str">
        <f t="shared" si="140"/>
        <v/>
      </c>
      <c r="S1172" s="317" t="str">
        <f t="shared" si="141"/>
        <v/>
      </c>
      <c r="T1172" s="317" t="str">
        <f>GLOBAL_DER_FEV_2023!S1172</f>
        <v/>
      </c>
      <c r="W1172" s="582">
        <v>0</v>
      </c>
      <c r="X1172" s="580"/>
      <c r="Y1172" s="583">
        <f>IF(GLOBAL_DER_FEV_2023!W1172=0,0,IF(GLOBAL_DER_FEV_2023!W1172&gt;0,"c","b"))</f>
        <v>0</v>
      </c>
    </row>
    <row r="1173" spans="1:25" ht="22.5" x14ac:dyDescent="0.2">
      <c r="A1173" s="317">
        <v>92988</v>
      </c>
      <c r="B1173" s="895">
        <v>92988</v>
      </c>
      <c r="C1173" s="896" t="s">
        <v>596</v>
      </c>
      <c r="D1173" s="906" t="s">
        <v>1103</v>
      </c>
      <c r="E1173" s="907">
        <f>GLOBAL_DER_FEV_2023!E1173</f>
        <v>0</v>
      </c>
      <c r="F1173" s="908">
        <f>GLOBAL_DER_FEV_2023!F1173</f>
        <v>0</v>
      </c>
      <c r="G1173" s="912">
        <f>GLOBAL_DER_FEV_2023!G1173</f>
        <v>0</v>
      </c>
      <c r="H1173" s="901">
        <f>GLOBAL_DER_FEV_2023!H1173</f>
        <v>54.4</v>
      </c>
      <c r="I1173" s="901">
        <f>GLOBAL_DER_FEV_2023!I1173</f>
        <v>54.4</v>
      </c>
      <c r="J1173" s="902">
        <f>GLOBAL_DER_FEV_2023!J1173</f>
        <v>65.319999999999993</v>
      </c>
      <c r="K1173" s="903" t="s">
        <v>62</v>
      </c>
      <c r="L1173" s="1137"/>
      <c r="M1173" s="1138">
        <f t="shared" si="138"/>
        <v>0</v>
      </c>
      <c r="N1173" s="893">
        <f t="shared" si="137"/>
        <v>0</v>
      </c>
      <c r="O1173" s="905"/>
      <c r="Q1173" s="317" t="str">
        <f t="shared" si="139"/>
        <v/>
      </c>
      <c r="R1173" s="317" t="str">
        <f t="shared" si="140"/>
        <v/>
      </c>
      <c r="S1173" s="317" t="str">
        <f t="shared" si="141"/>
        <v/>
      </c>
      <c r="T1173" s="317" t="str">
        <f>GLOBAL_DER_FEV_2023!S1173</f>
        <v/>
      </c>
      <c r="W1173" s="582">
        <v>0</v>
      </c>
      <c r="X1173" s="580"/>
      <c r="Y1173" s="583">
        <f>IF(GLOBAL_DER_FEV_2023!W1173=0,0,IF(GLOBAL_DER_FEV_2023!W1173&gt;0,"c","b"))</f>
        <v>0</v>
      </c>
    </row>
    <row r="1174" spans="1:25" ht="22.5" x14ac:dyDescent="0.2">
      <c r="A1174" s="317">
        <v>92990</v>
      </c>
      <c r="B1174" s="895">
        <v>92990</v>
      </c>
      <c r="C1174" s="896" t="s">
        <v>596</v>
      </c>
      <c r="D1174" s="906" t="s">
        <v>1104</v>
      </c>
      <c r="E1174" s="907">
        <f>GLOBAL_DER_FEV_2023!E1174</f>
        <v>0</v>
      </c>
      <c r="F1174" s="908">
        <f>GLOBAL_DER_FEV_2023!F1174</f>
        <v>0</v>
      </c>
      <c r="G1174" s="912">
        <f>GLOBAL_DER_FEV_2023!G1174</f>
        <v>0</v>
      </c>
      <c r="H1174" s="901">
        <f>GLOBAL_DER_FEV_2023!H1174</f>
        <v>75.17</v>
      </c>
      <c r="I1174" s="901">
        <f>GLOBAL_DER_FEV_2023!I1174</f>
        <v>75.17</v>
      </c>
      <c r="J1174" s="902">
        <f>GLOBAL_DER_FEV_2023!J1174</f>
        <v>90.26</v>
      </c>
      <c r="K1174" s="903" t="s">
        <v>62</v>
      </c>
      <c r="L1174" s="1137"/>
      <c r="M1174" s="1138">
        <f t="shared" si="138"/>
        <v>0</v>
      </c>
      <c r="N1174" s="893">
        <f t="shared" si="137"/>
        <v>0</v>
      </c>
      <c r="O1174" s="905"/>
      <c r="Q1174" s="317" t="str">
        <f t="shared" si="139"/>
        <v/>
      </c>
      <c r="R1174" s="317" t="str">
        <f t="shared" si="140"/>
        <v/>
      </c>
      <c r="S1174" s="317" t="str">
        <f t="shared" si="141"/>
        <v/>
      </c>
      <c r="T1174" s="317" t="str">
        <f>GLOBAL_DER_FEV_2023!S1174</f>
        <v/>
      </c>
      <c r="W1174" s="582">
        <v>0</v>
      </c>
      <c r="X1174" s="580"/>
      <c r="Y1174" s="583">
        <f>IF(GLOBAL_DER_FEV_2023!W1174=0,0,IF(GLOBAL_DER_FEV_2023!W1174&gt;0,"c","b"))</f>
        <v>0</v>
      </c>
    </row>
    <row r="1175" spans="1:25" ht="22.5" x14ac:dyDescent="0.2">
      <c r="A1175" s="317">
        <v>92992</v>
      </c>
      <c r="B1175" s="895">
        <v>92992</v>
      </c>
      <c r="C1175" s="896" t="s">
        <v>596</v>
      </c>
      <c r="D1175" s="906" t="s">
        <v>1105</v>
      </c>
      <c r="E1175" s="907">
        <f>GLOBAL_DER_FEV_2023!E1175</f>
        <v>0</v>
      </c>
      <c r="F1175" s="908">
        <f>GLOBAL_DER_FEV_2023!F1175</f>
        <v>0</v>
      </c>
      <c r="G1175" s="912">
        <f>GLOBAL_DER_FEV_2023!G1175</f>
        <v>0</v>
      </c>
      <c r="H1175" s="901">
        <f>GLOBAL_DER_FEV_2023!H1175</f>
        <v>97.11</v>
      </c>
      <c r="I1175" s="901">
        <f>GLOBAL_DER_FEV_2023!I1175</f>
        <v>97.11</v>
      </c>
      <c r="J1175" s="902">
        <f>GLOBAL_DER_FEV_2023!J1175</f>
        <v>116.6</v>
      </c>
      <c r="K1175" s="903" t="s">
        <v>62</v>
      </c>
      <c r="L1175" s="1137"/>
      <c r="M1175" s="1138">
        <f t="shared" si="138"/>
        <v>0</v>
      </c>
      <c r="N1175" s="893">
        <f t="shared" ref="N1175:N1238" si="142">IF(ISBLANK(L1175),0,IF(W1175=0,ROUND(L1175*M1175,2),IF(W1175="b",ROUNDDOWN(L1175*M1175,2),ROUNDUP(L1175*M1175,2))))</f>
        <v>0</v>
      </c>
      <c r="O1175" s="905"/>
      <c r="Q1175" s="317" t="str">
        <f t="shared" si="139"/>
        <v/>
      </c>
      <c r="R1175" s="317" t="str">
        <f t="shared" si="140"/>
        <v/>
      </c>
      <c r="S1175" s="317" t="str">
        <f t="shared" si="141"/>
        <v/>
      </c>
      <c r="T1175" s="317" t="str">
        <f>GLOBAL_DER_FEV_2023!S1175</f>
        <v/>
      </c>
      <c r="W1175" s="582">
        <v>0</v>
      </c>
      <c r="X1175" s="580"/>
      <c r="Y1175" s="583">
        <f>IF(GLOBAL_DER_FEV_2023!W1175=0,0,IF(GLOBAL_DER_FEV_2023!W1175&gt;0,"c","b"))</f>
        <v>0</v>
      </c>
    </row>
    <row r="1176" spans="1:25" ht="22.5" x14ac:dyDescent="0.2">
      <c r="A1176" s="317">
        <v>92994</v>
      </c>
      <c r="B1176" s="895">
        <v>92994</v>
      </c>
      <c r="C1176" s="896" t="s">
        <v>596</v>
      </c>
      <c r="D1176" s="906" t="s">
        <v>1106</v>
      </c>
      <c r="E1176" s="907">
        <f>GLOBAL_DER_FEV_2023!E1176</f>
        <v>0</v>
      </c>
      <c r="F1176" s="908">
        <f>GLOBAL_DER_FEV_2023!F1176</f>
        <v>0</v>
      </c>
      <c r="G1176" s="912">
        <f>GLOBAL_DER_FEV_2023!G1176</f>
        <v>0</v>
      </c>
      <c r="H1176" s="901">
        <f>GLOBAL_DER_FEV_2023!H1176</f>
        <v>126.04</v>
      </c>
      <c r="I1176" s="901">
        <f>GLOBAL_DER_FEV_2023!I1176</f>
        <v>126.04</v>
      </c>
      <c r="J1176" s="902">
        <f>GLOBAL_DER_FEV_2023!J1176</f>
        <v>151.34</v>
      </c>
      <c r="K1176" s="903" t="s">
        <v>62</v>
      </c>
      <c r="L1176" s="1137"/>
      <c r="M1176" s="1138">
        <f t="shared" si="138"/>
        <v>0</v>
      </c>
      <c r="N1176" s="893">
        <f t="shared" si="142"/>
        <v>0</v>
      </c>
      <c r="O1176" s="905"/>
      <c r="Q1176" s="317" t="str">
        <f t="shared" si="139"/>
        <v/>
      </c>
      <c r="R1176" s="317" t="str">
        <f t="shared" si="140"/>
        <v/>
      </c>
      <c r="S1176" s="317" t="str">
        <f t="shared" si="141"/>
        <v/>
      </c>
      <c r="T1176" s="317" t="str">
        <f>GLOBAL_DER_FEV_2023!S1176</f>
        <v/>
      </c>
      <c r="W1176" s="582">
        <v>0</v>
      </c>
      <c r="X1176" s="580"/>
      <c r="Y1176" s="583">
        <f>IF(GLOBAL_DER_FEV_2023!W1176=0,0,IF(GLOBAL_DER_FEV_2023!W1176&gt;0,"c","b"))</f>
        <v>0</v>
      </c>
    </row>
    <row r="1177" spans="1:25" ht="22.5" x14ac:dyDescent="0.2">
      <c r="A1177" s="317">
        <v>92996</v>
      </c>
      <c r="B1177" s="895">
        <v>92996</v>
      </c>
      <c r="C1177" s="896" t="s">
        <v>596</v>
      </c>
      <c r="D1177" s="906" t="s">
        <v>1107</v>
      </c>
      <c r="E1177" s="907">
        <f>GLOBAL_DER_FEV_2023!E1177</f>
        <v>0</v>
      </c>
      <c r="F1177" s="908">
        <f>GLOBAL_DER_FEV_2023!F1177</f>
        <v>0</v>
      </c>
      <c r="G1177" s="912">
        <f>GLOBAL_DER_FEV_2023!G1177</f>
        <v>0</v>
      </c>
      <c r="H1177" s="901">
        <f>GLOBAL_DER_FEV_2023!H1177</f>
        <v>152.46</v>
      </c>
      <c r="I1177" s="901">
        <f>GLOBAL_DER_FEV_2023!I1177</f>
        <v>152.46</v>
      </c>
      <c r="J1177" s="902">
        <f>GLOBAL_DER_FEV_2023!J1177</f>
        <v>183.06</v>
      </c>
      <c r="K1177" s="903" t="s">
        <v>62</v>
      </c>
      <c r="L1177" s="1137"/>
      <c r="M1177" s="1138">
        <f t="shared" si="138"/>
        <v>0</v>
      </c>
      <c r="N1177" s="893">
        <f t="shared" si="142"/>
        <v>0</v>
      </c>
      <c r="O1177" s="905"/>
      <c r="Q1177" s="317" t="str">
        <f t="shared" si="139"/>
        <v/>
      </c>
      <c r="R1177" s="317" t="str">
        <f t="shared" si="140"/>
        <v/>
      </c>
      <c r="S1177" s="317" t="str">
        <f t="shared" si="141"/>
        <v/>
      </c>
      <c r="T1177" s="317" t="str">
        <f>GLOBAL_DER_FEV_2023!S1177</f>
        <v/>
      </c>
      <c r="W1177" s="582">
        <v>0</v>
      </c>
      <c r="X1177" s="580"/>
      <c r="Y1177" s="583">
        <f>IF(GLOBAL_DER_FEV_2023!W1177=0,0,IF(GLOBAL_DER_FEV_2023!W1177&gt;0,"c","b"))</f>
        <v>0</v>
      </c>
    </row>
    <row r="1178" spans="1:25" ht="22.5" x14ac:dyDescent="0.2">
      <c r="A1178" s="317">
        <v>92998</v>
      </c>
      <c r="B1178" s="895">
        <v>92998</v>
      </c>
      <c r="C1178" s="896" t="s">
        <v>596</v>
      </c>
      <c r="D1178" s="906" t="s">
        <v>1108</v>
      </c>
      <c r="E1178" s="907">
        <f>GLOBAL_DER_FEV_2023!E1178</f>
        <v>0</v>
      </c>
      <c r="F1178" s="908">
        <f>GLOBAL_DER_FEV_2023!F1178</f>
        <v>0</v>
      </c>
      <c r="G1178" s="912">
        <f>GLOBAL_DER_FEV_2023!G1178</f>
        <v>0</v>
      </c>
      <c r="H1178" s="901">
        <f>GLOBAL_DER_FEV_2023!H1178</f>
        <v>186.74</v>
      </c>
      <c r="I1178" s="901">
        <f>GLOBAL_DER_FEV_2023!I1178</f>
        <v>186.74</v>
      </c>
      <c r="J1178" s="902">
        <f>GLOBAL_DER_FEV_2023!J1178</f>
        <v>224.22</v>
      </c>
      <c r="K1178" s="903" t="s">
        <v>62</v>
      </c>
      <c r="L1178" s="1137"/>
      <c r="M1178" s="1138">
        <f t="shared" si="138"/>
        <v>0</v>
      </c>
      <c r="N1178" s="893">
        <f t="shared" si="142"/>
        <v>0</v>
      </c>
      <c r="O1178" s="905"/>
      <c r="Q1178" s="317" t="str">
        <f t="shared" si="139"/>
        <v/>
      </c>
      <c r="R1178" s="317" t="str">
        <f t="shared" si="140"/>
        <v/>
      </c>
      <c r="S1178" s="317" t="str">
        <f t="shared" si="141"/>
        <v/>
      </c>
      <c r="T1178" s="317" t="str">
        <f>GLOBAL_DER_FEV_2023!S1178</f>
        <v/>
      </c>
      <c r="W1178" s="582">
        <v>0</v>
      </c>
      <c r="X1178" s="580"/>
      <c r="Y1178" s="583">
        <f>IF(GLOBAL_DER_FEV_2023!W1178=0,0,IF(GLOBAL_DER_FEV_2023!W1178&gt;0,"c","b"))</f>
        <v>0</v>
      </c>
    </row>
    <row r="1179" spans="1:25" ht="22.5" x14ac:dyDescent="0.2">
      <c r="A1179" s="317">
        <v>93000</v>
      </c>
      <c r="B1179" s="895">
        <v>93000</v>
      </c>
      <c r="C1179" s="896" t="s">
        <v>596</v>
      </c>
      <c r="D1179" s="906" t="s">
        <v>1109</v>
      </c>
      <c r="E1179" s="907">
        <f>GLOBAL_DER_FEV_2023!E1179</f>
        <v>0</v>
      </c>
      <c r="F1179" s="908">
        <f>GLOBAL_DER_FEV_2023!F1179</f>
        <v>0</v>
      </c>
      <c r="G1179" s="912">
        <f>GLOBAL_DER_FEV_2023!G1179</f>
        <v>0</v>
      </c>
      <c r="H1179" s="901">
        <f>GLOBAL_DER_FEV_2023!H1179</f>
        <v>247.07</v>
      </c>
      <c r="I1179" s="901">
        <f>GLOBAL_DER_FEV_2023!I1179</f>
        <v>247.07</v>
      </c>
      <c r="J1179" s="902">
        <f>GLOBAL_DER_FEV_2023!J1179</f>
        <v>296.66000000000003</v>
      </c>
      <c r="K1179" s="903" t="s">
        <v>62</v>
      </c>
      <c r="L1179" s="1137"/>
      <c r="M1179" s="1138">
        <f t="shared" si="138"/>
        <v>0</v>
      </c>
      <c r="N1179" s="893">
        <f t="shared" si="142"/>
        <v>0</v>
      </c>
      <c r="O1179" s="905"/>
      <c r="Q1179" s="317" t="str">
        <f t="shared" si="139"/>
        <v/>
      </c>
      <c r="R1179" s="317" t="str">
        <f t="shared" si="140"/>
        <v/>
      </c>
      <c r="S1179" s="317" t="str">
        <f t="shared" si="141"/>
        <v/>
      </c>
      <c r="T1179" s="317" t="str">
        <f>GLOBAL_DER_FEV_2023!S1179</f>
        <v/>
      </c>
      <c r="W1179" s="582">
        <v>0</v>
      </c>
      <c r="X1179" s="580"/>
      <c r="Y1179" s="583">
        <f>IF(GLOBAL_DER_FEV_2023!W1179=0,0,IF(GLOBAL_DER_FEV_2023!W1179&gt;0,"c","b"))</f>
        <v>0</v>
      </c>
    </row>
    <row r="1180" spans="1:25" ht="22.5" x14ac:dyDescent="0.2">
      <c r="A1180" s="317">
        <v>93002</v>
      </c>
      <c r="B1180" s="895">
        <v>93002</v>
      </c>
      <c r="C1180" s="896" t="s">
        <v>596</v>
      </c>
      <c r="D1180" s="906" t="s">
        <v>1110</v>
      </c>
      <c r="E1180" s="907">
        <f>GLOBAL_DER_FEV_2023!E1180</f>
        <v>0</v>
      </c>
      <c r="F1180" s="908">
        <f>GLOBAL_DER_FEV_2023!F1180</f>
        <v>0</v>
      </c>
      <c r="G1180" s="912">
        <f>GLOBAL_DER_FEV_2023!G1180</f>
        <v>0</v>
      </c>
      <c r="H1180" s="901">
        <f>GLOBAL_DER_FEV_2023!H1180</f>
        <v>319.27</v>
      </c>
      <c r="I1180" s="901">
        <f>GLOBAL_DER_FEV_2023!I1180</f>
        <v>319.27</v>
      </c>
      <c r="J1180" s="902">
        <f>GLOBAL_DER_FEV_2023!J1180</f>
        <v>383.35</v>
      </c>
      <c r="K1180" s="903" t="s">
        <v>62</v>
      </c>
      <c r="L1180" s="1137"/>
      <c r="M1180" s="1138">
        <f t="shared" si="138"/>
        <v>0</v>
      </c>
      <c r="N1180" s="893">
        <f t="shared" si="142"/>
        <v>0</v>
      </c>
      <c r="O1180" s="905"/>
      <c r="Q1180" s="317" t="str">
        <f t="shared" si="139"/>
        <v/>
      </c>
      <c r="R1180" s="317" t="str">
        <f t="shared" si="140"/>
        <v/>
      </c>
      <c r="S1180" s="317" t="str">
        <f t="shared" si="141"/>
        <v/>
      </c>
      <c r="T1180" s="317" t="str">
        <f>GLOBAL_DER_FEV_2023!S1180</f>
        <v/>
      </c>
      <c r="W1180" s="582">
        <v>0</v>
      </c>
      <c r="X1180" s="580"/>
      <c r="Y1180" s="583">
        <f>IF(GLOBAL_DER_FEV_2023!W1180=0,0,IF(GLOBAL_DER_FEV_2023!W1180&gt;0,"c","b"))</f>
        <v>0</v>
      </c>
    </row>
    <row r="1181" spans="1:25" ht="22.5" x14ac:dyDescent="0.2">
      <c r="A1181" s="317">
        <v>101884</v>
      </c>
      <c r="B1181" s="895">
        <v>101884</v>
      </c>
      <c r="C1181" s="896" t="s">
        <v>596</v>
      </c>
      <c r="D1181" s="906" t="s">
        <v>1111</v>
      </c>
      <c r="E1181" s="907">
        <f>GLOBAL_DER_FEV_2023!E1181</f>
        <v>0</v>
      </c>
      <c r="F1181" s="908">
        <f>GLOBAL_DER_FEV_2023!F1181</f>
        <v>0</v>
      </c>
      <c r="G1181" s="912">
        <f>GLOBAL_DER_FEV_2023!G1181</f>
        <v>0</v>
      </c>
      <c r="H1181" s="901">
        <f>GLOBAL_DER_FEV_2023!H1181</f>
        <v>10.42</v>
      </c>
      <c r="I1181" s="901">
        <f>GLOBAL_DER_FEV_2023!I1181</f>
        <v>10.42</v>
      </c>
      <c r="J1181" s="902">
        <f>GLOBAL_DER_FEV_2023!J1181</f>
        <v>12.51</v>
      </c>
      <c r="K1181" s="903" t="s">
        <v>62</v>
      </c>
      <c r="L1181" s="1137"/>
      <c r="M1181" s="1138">
        <f t="shared" si="138"/>
        <v>0</v>
      </c>
      <c r="N1181" s="893">
        <f t="shared" si="142"/>
        <v>0</v>
      </c>
      <c r="O1181" s="905"/>
      <c r="Q1181" s="317" t="str">
        <f t="shared" si="139"/>
        <v/>
      </c>
      <c r="R1181" s="317" t="str">
        <f t="shared" si="140"/>
        <v/>
      </c>
      <c r="S1181" s="317" t="str">
        <f t="shared" si="141"/>
        <v/>
      </c>
      <c r="T1181" s="317" t="str">
        <f>GLOBAL_DER_FEV_2023!S1181</f>
        <v/>
      </c>
      <c r="W1181" s="582">
        <v>0</v>
      </c>
      <c r="X1181" s="580"/>
      <c r="Y1181" s="583">
        <f>IF(GLOBAL_DER_FEV_2023!W1181=0,0,IF(GLOBAL_DER_FEV_2023!W1181&gt;0,"c","b"))</f>
        <v>0</v>
      </c>
    </row>
    <row r="1182" spans="1:25" ht="22.5" x14ac:dyDescent="0.2">
      <c r="A1182" s="317">
        <v>101885</v>
      </c>
      <c r="B1182" s="895">
        <v>101885</v>
      </c>
      <c r="C1182" s="896" t="s">
        <v>596</v>
      </c>
      <c r="D1182" s="906" t="s">
        <v>1112</v>
      </c>
      <c r="E1182" s="907">
        <f>GLOBAL_DER_FEV_2023!E1182</f>
        <v>0</v>
      </c>
      <c r="F1182" s="908">
        <f>GLOBAL_DER_FEV_2023!F1182</f>
        <v>0</v>
      </c>
      <c r="G1182" s="912">
        <f>GLOBAL_DER_FEV_2023!G1182</f>
        <v>0</v>
      </c>
      <c r="H1182" s="901">
        <f>GLOBAL_DER_FEV_2023!H1182</f>
        <v>9.9499999999999993</v>
      </c>
      <c r="I1182" s="901">
        <f>GLOBAL_DER_FEV_2023!I1182</f>
        <v>9.9499999999999993</v>
      </c>
      <c r="J1182" s="902">
        <f>GLOBAL_DER_FEV_2023!J1182</f>
        <v>11.95</v>
      </c>
      <c r="K1182" s="903" t="s">
        <v>62</v>
      </c>
      <c r="L1182" s="1137"/>
      <c r="M1182" s="1138">
        <f t="shared" si="138"/>
        <v>0</v>
      </c>
      <c r="N1182" s="893">
        <f t="shared" si="142"/>
        <v>0</v>
      </c>
      <c r="O1182" s="905"/>
      <c r="Q1182" s="317" t="str">
        <f t="shared" si="139"/>
        <v/>
      </c>
      <c r="R1182" s="317" t="str">
        <f t="shared" si="140"/>
        <v/>
      </c>
      <c r="S1182" s="317" t="str">
        <f t="shared" si="141"/>
        <v/>
      </c>
      <c r="T1182" s="317" t="str">
        <f>GLOBAL_DER_FEV_2023!S1182</f>
        <v/>
      </c>
      <c r="W1182" s="582">
        <v>0</v>
      </c>
      <c r="X1182" s="580"/>
      <c r="Y1182" s="583">
        <f>IF(GLOBAL_DER_FEV_2023!W1182=0,0,IF(GLOBAL_DER_FEV_2023!W1182&gt;0,"c","b"))</f>
        <v>0</v>
      </c>
    </row>
    <row r="1183" spans="1:25" ht="22.5" x14ac:dyDescent="0.2">
      <c r="A1183" s="317">
        <v>101886</v>
      </c>
      <c r="B1183" s="895">
        <v>101886</v>
      </c>
      <c r="C1183" s="896" t="s">
        <v>596</v>
      </c>
      <c r="D1183" s="906" t="s">
        <v>1113</v>
      </c>
      <c r="E1183" s="907">
        <f>GLOBAL_DER_FEV_2023!E1183</f>
        <v>0</v>
      </c>
      <c r="F1183" s="908">
        <f>GLOBAL_DER_FEV_2023!F1183</f>
        <v>0</v>
      </c>
      <c r="G1183" s="912">
        <f>GLOBAL_DER_FEV_2023!G1183</f>
        <v>0</v>
      </c>
      <c r="H1183" s="901">
        <f>GLOBAL_DER_FEV_2023!H1183</f>
        <v>14.98</v>
      </c>
      <c r="I1183" s="901">
        <f>GLOBAL_DER_FEV_2023!I1183</f>
        <v>14.98</v>
      </c>
      <c r="J1183" s="902">
        <f>GLOBAL_DER_FEV_2023!J1183</f>
        <v>17.989999999999998</v>
      </c>
      <c r="K1183" s="903" t="s">
        <v>62</v>
      </c>
      <c r="L1183" s="1137"/>
      <c r="M1183" s="1138">
        <f t="shared" si="138"/>
        <v>0</v>
      </c>
      <c r="N1183" s="893">
        <f t="shared" si="142"/>
        <v>0</v>
      </c>
      <c r="O1183" s="905"/>
      <c r="Q1183" s="317" t="str">
        <f t="shared" si="139"/>
        <v/>
      </c>
      <c r="R1183" s="317" t="str">
        <f t="shared" si="140"/>
        <v/>
      </c>
      <c r="S1183" s="317" t="str">
        <f t="shared" si="141"/>
        <v/>
      </c>
      <c r="T1183" s="317" t="str">
        <f>GLOBAL_DER_FEV_2023!S1183</f>
        <v/>
      </c>
      <c r="W1183" s="582">
        <v>0</v>
      </c>
      <c r="X1183" s="580"/>
      <c r="Y1183" s="583">
        <f>IF(GLOBAL_DER_FEV_2023!W1183=0,0,IF(GLOBAL_DER_FEV_2023!W1183&gt;0,"c","b"))</f>
        <v>0</v>
      </c>
    </row>
    <row r="1184" spans="1:25" ht="22.5" x14ac:dyDescent="0.2">
      <c r="A1184" s="317">
        <v>101887</v>
      </c>
      <c r="B1184" s="895">
        <v>101887</v>
      </c>
      <c r="C1184" s="896" t="s">
        <v>596</v>
      </c>
      <c r="D1184" s="906" t="s">
        <v>1114</v>
      </c>
      <c r="E1184" s="907">
        <f>GLOBAL_DER_FEV_2023!E1184</f>
        <v>0</v>
      </c>
      <c r="F1184" s="908">
        <f>GLOBAL_DER_FEV_2023!F1184</f>
        <v>0</v>
      </c>
      <c r="G1184" s="912">
        <f>GLOBAL_DER_FEV_2023!G1184</f>
        <v>0</v>
      </c>
      <c r="H1184" s="901">
        <f>GLOBAL_DER_FEV_2023!H1184</f>
        <v>15.88</v>
      </c>
      <c r="I1184" s="901">
        <f>GLOBAL_DER_FEV_2023!I1184</f>
        <v>15.88</v>
      </c>
      <c r="J1184" s="902">
        <f>GLOBAL_DER_FEV_2023!J1184</f>
        <v>19.07</v>
      </c>
      <c r="K1184" s="903" t="s">
        <v>62</v>
      </c>
      <c r="L1184" s="1137"/>
      <c r="M1184" s="1138">
        <f t="shared" si="138"/>
        <v>0</v>
      </c>
      <c r="N1184" s="893">
        <f t="shared" si="142"/>
        <v>0</v>
      </c>
      <c r="O1184" s="905"/>
      <c r="Q1184" s="317" t="str">
        <f t="shared" si="139"/>
        <v/>
      </c>
      <c r="R1184" s="317" t="str">
        <f t="shared" si="140"/>
        <v/>
      </c>
      <c r="S1184" s="317" t="str">
        <f t="shared" si="141"/>
        <v/>
      </c>
      <c r="T1184" s="317" t="str">
        <f>GLOBAL_DER_FEV_2023!S1184</f>
        <v/>
      </c>
      <c r="W1184" s="582">
        <v>0</v>
      </c>
      <c r="X1184" s="580"/>
      <c r="Y1184" s="583">
        <f>IF(GLOBAL_DER_FEV_2023!W1184=0,0,IF(GLOBAL_DER_FEV_2023!W1184&gt;0,"c","b"))</f>
        <v>0</v>
      </c>
    </row>
    <row r="1185" spans="1:25" ht="22.5" x14ac:dyDescent="0.2">
      <c r="A1185" s="317">
        <v>101888</v>
      </c>
      <c r="B1185" s="895">
        <v>101888</v>
      </c>
      <c r="C1185" s="896" t="s">
        <v>596</v>
      </c>
      <c r="D1185" s="906" t="s">
        <v>1115</v>
      </c>
      <c r="E1185" s="907">
        <f>GLOBAL_DER_FEV_2023!E1185</f>
        <v>0</v>
      </c>
      <c r="F1185" s="908">
        <f>GLOBAL_DER_FEV_2023!F1185</f>
        <v>0</v>
      </c>
      <c r="G1185" s="912">
        <f>GLOBAL_DER_FEV_2023!G1185</f>
        <v>0</v>
      </c>
      <c r="H1185" s="901">
        <f>GLOBAL_DER_FEV_2023!H1185</f>
        <v>23.48</v>
      </c>
      <c r="I1185" s="901">
        <f>GLOBAL_DER_FEV_2023!I1185</f>
        <v>23.48</v>
      </c>
      <c r="J1185" s="902">
        <f>GLOBAL_DER_FEV_2023!J1185</f>
        <v>28.19</v>
      </c>
      <c r="K1185" s="903" t="s">
        <v>62</v>
      </c>
      <c r="L1185" s="1137"/>
      <c r="M1185" s="1138">
        <f t="shared" si="138"/>
        <v>0</v>
      </c>
      <c r="N1185" s="893">
        <f t="shared" si="142"/>
        <v>0</v>
      </c>
      <c r="O1185" s="905"/>
      <c r="Q1185" s="317" t="str">
        <f t="shared" si="139"/>
        <v/>
      </c>
      <c r="R1185" s="317" t="str">
        <f t="shared" si="140"/>
        <v/>
      </c>
      <c r="S1185" s="317" t="str">
        <f t="shared" si="141"/>
        <v/>
      </c>
      <c r="T1185" s="317" t="str">
        <f>GLOBAL_DER_FEV_2023!S1185</f>
        <v/>
      </c>
      <c r="W1185" s="582">
        <v>0</v>
      </c>
      <c r="X1185" s="580"/>
      <c r="Y1185" s="583">
        <f>IF(GLOBAL_DER_FEV_2023!W1185=0,0,IF(GLOBAL_DER_FEV_2023!W1185&gt;0,"c","b"))</f>
        <v>0</v>
      </c>
    </row>
    <row r="1186" spans="1:25" ht="22.5" x14ac:dyDescent="0.2">
      <c r="A1186" s="317">
        <v>101889</v>
      </c>
      <c r="B1186" s="895">
        <v>101889</v>
      </c>
      <c r="C1186" s="896" t="s">
        <v>596</v>
      </c>
      <c r="D1186" s="906" t="s">
        <v>1116</v>
      </c>
      <c r="E1186" s="907">
        <f>GLOBAL_DER_FEV_2023!E1186</f>
        <v>0</v>
      </c>
      <c r="F1186" s="908">
        <f>GLOBAL_DER_FEV_2023!F1186</f>
        <v>0</v>
      </c>
      <c r="G1186" s="912">
        <f>GLOBAL_DER_FEV_2023!G1186</f>
        <v>0</v>
      </c>
      <c r="H1186" s="901">
        <f>GLOBAL_DER_FEV_2023!H1186</f>
        <v>24.66</v>
      </c>
      <c r="I1186" s="901">
        <f>GLOBAL_DER_FEV_2023!I1186</f>
        <v>24.66</v>
      </c>
      <c r="J1186" s="902">
        <f>GLOBAL_DER_FEV_2023!J1186</f>
        <v>29.61</v>
      </c>
      <c r="K1186" s="903" t="s">
        <v>62</v>
      </c>
      <c r="L1186" s="1137"/>
      <c r="M1186" s="1138">
        <f t="shared" si="138"/>
        <v>0</v>
      </c>
      <c r="N1186" s="893">
        <f t="shared" si="142"/>
        <v>0</v>
      </c>
      <c r="O1186" s="905"/>
      <c r="Q1186" s="317" t="str">
        <f t="shared" si="139"/>
        <v/>
      </c>
      <c r="R1186" s="317" t="str">
        <f t="shared" si="140"/>
        <v/>
      </c>
      <c r="S1186" s="317" t="str">
        <f t="shared" si="141"/>
        <v/>
      </c>
      <c r="T1186" s="317" t="str">
        <f>GLOBAL_DER_FEV_2023!S1186</f>
        <v/>
      </c>
      <c r="W1186" s="582">
        <v>0</v>
      </c>
      <c r="X1186" s="580"/>
      <c r="Y1186" s="583">
        <f>IF(GLOBAL_DER_FEV_2023!W1186=0,0,IF(GLOBAL_DER_FEV_2023!W1186&gt;0,"c","b"))</f>
        <v>0</v>
      </c>
    </row>
    <row r="1187" spans="1:25" ht="33.75" x14ac:dyDescent="0.2">
      <c r="A1187" s="317">
        <v>101560</v>
      </c>
      <c r="B1187" s="895">
        <v>101560</v>
      </c>
      <c r="C1187" s="896" t="s">
        <v>596</v>
      </c>
      <c r="D1187" s="906" t="s">
        <v>1117</v>
      </c>
      <c r="E1187" s="907">
        <f>GLOBAL_DER_FEV_2023!E1187</f>
        <v>0</v>
      </c>
      <c r="F1187" s="908">
        <f>GLOBAL_DER_FEV_2023!F1187</f>
        <v>0</v>
      </c>
      <c r="G1187" s="912">
        <f>GLOBAL_DER_FEV_2023!G1187</f>
        <v>0</v>
      </c>
      <c r="H1187" s="901">
        <f>GLOBAL_DER_FEV_2023!H1187</f>
        <v>9.89</v>
      </c>
      <c r="I1187" s="901">
        <f>GLOBAL_DER_FEV_2023!I1187</f>
        <v>9.89</v>
      </c>
      <c r="J1187" s="902">
        <f>GLOBAL_DER_FEV_2023!J1187</f>
        <v>11.87</v>
      </c>
      <c r="K1187" s="903" t="s">
        <v>62</v>
      </c>
      <c r="L1187" s="1137"/>
      <c r="M1187" s="1138">
        <f t="shared" si="138"/>
        <v>0</v>
      </c>
      <c r="N1187" s="893">
        <f t="shared" si="142"/>
        <v>0</v>
      </c>
      <c r="O1187" s="905"/>
      <c r="Q1187" s="317" t="str">
        <f t="shared" si="139"/>
        <v/>
      </c>
      <c r="R1187" s="317" t="str">
        <f t="shared" si="140"/>
        <v/>
      </c>
      <c r="S1187" s="317" t="str">
        <f t="shared" si="141"/>
        <v/>
      </c>
      <c r="T1187" s="317" t="str">
        <f>GLOBAL_DER_FEV_2023!S1187</f>
        <v/>
      </c>
      <c r="W1187" s="582">
        <v>0</v>
      </c>
      <c r="X1187" s="580"/>
      <c r="Y1187" s="583">
        <f>IF(GLOBAL_DER_FEV_2023!W1187=0,0,IF(GLOBAL_DER_FEV_2023!W1187&gt;0,"c","b"))</f>
        <v>0</v>
      </c>
    </row>
    <row r="1188" spans="1:25" ht="33.75" x14ac:dyDescent="0.2">
      <c r="A1188" s="317">
        <v>101561</v>
      </c>
      <c r="B1188" s="895">
        <v>101561</v>
      </c>
      <c r="C1188" s="896" t="s">
        <v>596</v>
      </c>
      <c r="D1188" s="906" t="s">
        <v>1118</v>
      </c>
      <c r="E1188" s="907">
        <f>GLOBAL_DER_FEV_2023!E1188</f>
        <v>0</v>
      </c>
      <c r="F1188" s="908">
        <f>GLOBAL_DER_FEV_2023!F1188</f>
        <v>0</v>
      </c>
      <c r="G1188" s="912">
        <f>GLOBAL_DER_FEV_2023!G1188</f>
        <v>0</v>
      </c>
      <c r="H1188" s="901">
        <f>GLOBAL_DER_FEV_2023!H1188</f>
        <v>15.7</v>
      </c>
      <c r="I1188" s="901">
        <f>GLOBAL_DER_FEV_2023!I1188</f>
        <v>15.7</v>
      </c>
      <c r="J1188" s="902">
        <f>GLOBAL_DER_FEV_2023!J1188</f>
        <v>18.850000000000001</v>
      </c>
      <c r="K1188" s="903" t="s">
        <v>62</v>
      </c>
      <c r="L1188" s="1137"/>
      <c r="M1188" s="1138">
        <f t="shared" si="138"/>
        <v>0</v>
      </c>
      <c r="N1188" s="893">
        <f t="shared" si="142"/>
        <v>0</v>
      </c>
      <c r="O1188" s="905"/>
      <c r="Q1188" s="317" t="str">
        <f t="shared" si="139"/>
        <v/>
      </c>
      <c r="R1188" s="317" t="str">
        <f t="shared" si="140"/>
        <v/>
      </c>
      <c r="S1188" s="317" t="str">
        <f t="shared" si="141"/>
        <v/>
      </c>
      <c r="T1188" s="317" t="str">
        <f>GLOBAL_DER_FEV_2023!S1188</f>
        <v/>
      </c>
      <c r="W1188" s="582">
        <v>0</v>
      </c>
      <c r="X1188" s="580"/>
      <c r="Y1188" s="583">
        <f>IF(GLOBAL_DER_FEV_2023!W1188=0,0,IF(GLOBAL_DER_FEV_2023!W1188&gt;0,"c","b"))</f>
        <v>0</v>
      </c>
    </row>
    <row r="1189" spans="1:25" ht="33.75" x14ac:dyDescent="0.2">
      <c r="A1189" s="317">
        <v>101562</v>
      </c>
      <c r="B1189" s="895">
        <v>101562</v>
      </c>
      <c r="C1189" s="896" t="s">
        <v>596</v>
      </c>
      <c r="D1189" s="906" t="s">
        <v>1119</v>
      </c>
      <c r="E1189" s="907">
        <f>GLOBAL_DER_FEV_2023!E1189</f>
        <v>0</v>
      </c>
      <c r="F1189" s="908">
        <f>GLOBAL_DER_FEV_2023!F1189</f>
        <v>0</v>
      </c>
      <c r="G1189" s="912">
        <f>GLOBAL_DER_FEV_2023!G1189</f>
        <v>0</v>
      </c>
      <c r="H1189" s="901">
        <f>GLOBAL_DER_FEV_2023!H1189</f>
        <v>24.3</v>
      </c>
      <c r="I1189" s="901">
        <f>GLOBAL_DER_FEV_2023!I1189</f>
        <v>24.3</v>
      </c>
      <c r="J1189" s="902">
        <f>GLOBAL_DER_FEV_2023!J1189</f>
        <v>29.18</v>
      </c>
      <c r="K1189" s="903" t="s">
        <v>62</v>
      </c>
      <c r="L1189" s="1137"/>
      <c r="M1189" s="1138">
        <f t="shared" si="138"/>
        <v>0</v>
      </c>
      <c r="N1189" s="893">
        <f t="shared" si="142"/>
        <v>0</v>
      </c>
      <c r="O1189" s="905"/>
      <c r="Q1189" s="317" t="str">
        <f t="shared" si="139"/>
        <v/>
      </c>
      <c r="R1189" s="317" t="str">
        <f t="shared" si="140"/>
        <v/>
      </c>
      <c r="S1189" s="317" t="str">
        <f t="shared" si="141"/>
        <v/>
      </c>
      <c r="T1189" s="317" t="str">
        <f>GLOBAL_DER_FEV_2023!S1189</f>
        <v/>
      </c>
      <c r="W1189" s="582">
        <v>0</v>
      </c>
      <c r="X1189" s="580"/>
      <c r="Y1189" s="583">
        <f>IF(GLOBAL_DER_FEV_2023!W1189=0,0,IF(GLOBAL_DER_FEV_2023!W1189&gt;0,"c","b"))</f>
        <v>0</v>
      </c>
    </row>
    <row r="1190" spans="1:25" ht="33.75" x14ac:dyDescent="0.2">
      <c r="A1190" s="317">
        <v>101563</v>
      </c>
      <c r="B1190" s="895">
        <v>101563</v>
      </c>
      <c r="C1190" s="896" t="s">
        <v>596</v>
      </c>
      <c r="D1190" s="906" t="s">
        <v>1120</v>
      </c>
      <c r="E1190" s="907">
        <f>GLOBAL_DER_FEV_2023!E1190</f>
        <v>0</v>
      </c>
      <c r="F1190" s="908">
        <f>GLOBAL_DER_FEV_2023!F1190</f>
        <v>0</v>
      </c>
      <c r="G1190" s="912">
        <f>GLOBAL_DER_FEV_2023!G1190</f>
        <v>0</v>
      </c>
      <c r="H1190" s="901">
        <f>GLOBAL_DER_FEV_2023!H1190</f>
        <v>34.299999999999997</v>
      </c>
      <c r="I1190" s="901">
        <f>GLOBAL_DER_FEV_2023!I1190</f>
        <v>34.299999999999997</v>
      </c>
      <c r="J1190" s="902">
        <f>GLOBAL_DER_FEV_2023!J1190</f>
        <v>41.18</v>
      </c>
      <c r="K1190" s="903" t="s">
        <v>62</v>
      </c>
      <c r="L1190" s="1137"/>
      <c r="M1190" s="1138">
        <f t="shared" si="138"/>
        <v>0</v>
      </c>
      <c r="N1190" s="893">
        <f t="shared" si="142"/>
        <v>0</v>
      </c>
      <c r="O1190" s="905"/>
      <c r="Q1190" s="317" t="str">
        <f t="shared" si="139"/>
        <v/>
      </c>
      <c r="R1190" s="317" t="str">
        <f t="shared" si="140"/>
        <v/>
      </c>
      <c r="S1190" s="317" t="str">
        <f t="shared" si="141"/>
        <v/>
      </c>
      <c r="T1190" s="317" t="str">
        <f>GLOBAL_DER_FEV_2023!S1190</f>
        <v/>
      </c>
      <c r="W1190" s="582">
        <v>0</v>
      </c>
      <c r="X1190" s="580"/>
      <c r="Y1190" s="583">
        <f>IF(GLOBAL_DER_FEV_2023!W1190=0,0,IF(GLOBAL_DER_FEV_2023!W1190&gt;0,"c","b"))</f>
        <v>0</v>
      </c>
    </row>
    <row r="1191" spans="1:25" ht="33.75" x14ac:dyDescent="0.2">
      <c r="A1191" s="317">
        <v>101564</v>
      </c>
      <c r="B1191" s="895">
        <v>101564</v>
      </c>
      <c r="C1191" s="896" t="s">
        <v>596</v>
      </c>
      <c r="D1191" s="906" t="s">
        <v>1121</v>
      </c>
      <c r="E1191" s="907">
        <f>GLOBAL_DER_FEV_2023!E1191</f>
        <v>0</v>
      </c>
      <c r="F1191" s="908">
        <f>GLOBAL_DER_FEV_2023!F1191</f>
        <v>0</v>
      </c>
      <c r="G1191" s="912">
        <f>GLOBAL_DER_FEV_2023!G1191</f>
        <v>0</v>
      </c>
      <c r="H1191" s="901">
        <f>GLOBAL_DER_FEV_2023!H1191</f>
        <v>50.7</v>
      </c>
      <c r="I1191" s="901">
        <f>GLOBAL_DER_FEV_2023!I1191</f>
        <v>50.7</v>
      </c>
      <c r="J1191" s="902">
        <f>GLOBAL_DER_FEV_2023!J1191</f>
        <v>60.88</v>
      </c>
      <c r="K1191" s="903" t="s">
        <v>62</v>
      </c>
      <c r="L1191" s="1137"/>
      <c r="M1191" s="1138">
        <f t="shared" si="138"/>
        <v>0</v>
      </c>
      <c r="N1191" s="893">
        <f t="shared" si="142"/>
        <v>0</v>
      </c>
      <c r="O1191" s="905"/>
      <c r="Q1191" s="317" t="str">
        <f t="shared" si="139"/>
        <v/>
      </c>
      <c r="R1191" s="317" t="str">
        <f t="shared" si="140"/>
        <v/>
      </c>
      <c r="S1191" s="317" t="str">
        <f t="shared" si="141"/>
        <v/>
      </c>
      <c r="T1191" s="317" t="str">
        <f>GLOBAL_DER_FEV_2023!S1191</f>
        <v/>
      </c>
      <c r="W1191" s="582">
        <v>0</v>
      </c>
      <c r="X1191" s="580"/>
      <c r="Y1191" s="583">
        <f>IF(GLOBAL_DER_FEV_2023!W1191=0,0,IF(GLOBAL_DER_FEV_2023!W1191&gt;0,"c","b"))</f>
        <v>0</v>
      </c>
    </row>
    <row r="1192" spans="1:25" ht="33.75" x14ac:dyDescent="0.2">
      <c r="A1192" s="317">
        <v>101565</v>
      </c>
      <c r="B1192" s="895">
        <v>101565</v>
      </c>
      <c r="C1192" s="896" t="s">
        <v>596</v>
      </c>
      <c r="D1192" s="906" t="s">
        <v>1122</v>
      </c>
      <c r="E1192" s="907">
        <f>GLOBAL_DER_FEV_2023!E1192</f>
        <v>0</v>
      </c>
      <c r="F1192" s="908">
        <f>GLOBAL_DER_FEV_2023!F1192</f>
        <v>0</v>
      </c>
      <c r="G1192" s="912">
        <f>GLOBAL_DER_FEV_2023!G1192</f>
        <v>0</v>
      </c>
      <c r="H1192" s="901">
        <f>GLOBAL_DER_FEV_2023!H1192</f>
        <v>70.89</v>
      </c>
      <c r="I1192" s="901">
        <f>GLOBAL_DER_FEV_2023!I1192</f>
        <v>70.89</v>
      </c>
      <c r="J1192" s="902">
        <f>GLOBAL_DER_FEV_2023!J1192</f>
        <v>85.12</v>
      </c>
      <c r="K1192" s="903" t="s">
        <v>62</v>
      </c>
      <c r="L1192" s="1137"/>
      <c r="M1192" s="1138">
        <f t="shared" si="138"/>
        <v>0</v>
      </c>
      <c r="N1192" s="893">
        <f t="shared" si="142"/>
        <v>0</v>
      </c>
      <c r="O1192" s="905"/>
      <c r="Q1192" s="317" t="str">
        <f t="shared" si="139"/>
        <v/>
      </c>
      <c r="R1192" s="317" t="str">
        <f t="shared" si="140"/>
        <v/>
      </c>
      <c r="S1192" s="317" t="str">
        <f t="shared" si="141"/>
        <v/>
      </c>
      <c r="T1192" s="317" t="str">
        <f>GLOBAL_DER_FEV_2023!S1192</f>
        <v/>
      </c>
      <c r="W1192" s="582">
        <v>0</v>
      </c>
      <c r="X1192" s="580"/>
      <c r="Y1192" s="583">
        <f>IF(GLOBAL_DER_FEV_2023!W1192=0,0,IF(GLOBAL_DER_FEV_2023!W1192&gt;0,"c","b"))</f>
        <v>0</v>
      </c>
    </row>
    <row r="1193" spans="1:25" ht="33.75" x14ac:dyDescent="0.2">
      <c r="A1193" s="317">
        <v>101567</v>
      </c>
      <c r="B1193" s="895">
        <v>101567</v>
      </c>
      <c r="C1193" s="896" t="s">
        <v>596</v>
      </c>
      <c r="D1193" s="906" t="s">
        <v>1123</v>
      </c>
      <c r="E1193" s="907">
        <f>GLOBAL_DER_FEV_2023!E1193</f>
        <v>0</v>
      </c>
      <c r="F1193" s="908">
        <f>GLOBAL_DER_FEV_2023!F1193</f>
        <v>0</v>
      </c>
      <c r="G1193" s="912">
        <f>GLOBAL_DER_FEV_2023!G1193</f>
        <v>0</v>
      </c>
      <c r="H1193" s="901">
        <f>GLOBAL_DER_FEV_2023!H1193</f>
        <v>92.02</v>
      </c>
      <c r="I1193" s="901">
        <f>GLOBAL_DER_FEV_2023!I1193</f>
        <v>92.02</v>
      </c>
      <c r="J1193" s="902">
        <f>GLOBAL_DER_FEV_2023!J1193</f>
        <v>110.49</v>
      </c>
      <c r="K1193" s="903" t="s">
        <v>62</v>
      </c>
      <c r="L1193" s="1137"/>
      <c r="M1193" s="1138">
        <f t="shared" si="138"/>
        <v>0</v>
      </c>
      <c r="N1193" s="893">
        <f t="shared" si="142"/>
        <v>0</v>
      </c>
      <c r="O1193" s="905"/>
      <c r="Q1193" s="317" t="str">
        <f t="shared" si="139"/>
        <v/>
      </c>
      <c r="R1193" s="317" t="str">
        <f t="shared" si="140"/>
        <v/>
      </c>
      <c r="S1193" s="317" t="str">
        <f t="shared" si="141"/>
        <v/>
      </c>
      <c r="T1193" s="317" t="str">
        <f>GLOBAL_DER_FEV_2023!S1193</f>
        <v/>
      </c>
      <c r="W1193" s="582">
        <v>0</v>
      </c>
      <c r="X1193" s="580"/>
      <c r="Y1193" s="583">
        <f>IF(GLOBAL_DER_FEV_2023!W1193=0,0,IF(GLOBAL_DER_FEV_2023!W1193&gt;0,"c","b"))</f>
        <v>0</v>
      </c>
    </row>
    <row r="1194" spans="1:25" ht="33.75" x14ac:dyDescent="0.2">
      <c r="A1194" s="317">
        <v>101568</v>
      </c>
      <c r="B1194" s="895">
        <v>101568</v>
      </c>
      <c r="C1194" s="896" t="s">
        <v>596</v>
      </c>
      <c r="D1194" s="906" t="s">
        <v>1124</v>
      </c>
      <c r="E1194" s="907">
        <f>GLOBAL_DER_FEV_2023!E1194</f>
        <v>0</v>
      </c>
      <c r="F1194" s="908">
        <f>GLOBAL_DER_FEV_2023!F1194</f>
        <v>0</v>
      </c>
      <c r="G1194" s="912">
        <f>GLOBAL_DER_FEV_2023!G1194</f>
        <v>0</v>
      </c>
      <c r="H1194" s="901">
        <f>GLOBAL_DER_FEV_2023!H1194</f>
        <v>120.3</v>
      </c>
      <c r="I1194" s="901">
        <f>GLOBAL_DER_FEV_2023!I1194</f>
        <v>120.3</v>
      </c>
      <c r="J1194" s="902">
        <f>GLOBAL_DER_FEV_2023!J1194</f>
        <v>144.44</v>
      </c>
      <c r="K1194" s="903" t="s">
        <v>62</v>
      </c>
      <c r="L1194" s="1137"/>
      <c r="M1194" s="1138">
        <f t="shared" si="138"/>
        <v>0</v>
      </c>
      <c r="N1194" s="893">
        <f t="shared" si="142"/>
        <v>0</v>
      </c>
      <c r="O1194" s="905"/>
      <c r="Q1194" s="317" t="str">
        <f t="shared" si="139"/>
        <v/>
      </c>
      <c r="R1194" s="317" t="str">
        <f t="shared" si="140"/>
        <v/>
      </c>
      <c r="S1194" s="317" t="str">
        <f t="shared" si="141"/>
        <v/>
      </c>
      <c r="T1194" s="317" t="str">
        <f>GLOBAL_DER_FEV_2023!S1194</f>
        <v/>
      </c>
      <c r="W1194" s="582">
        <v>0</v>
      </c>
      <c r="X1194" s="580"/>
      <c r="Y1194" s="583">
        <f>IF(GLOBAL_DER_FEV_2023!W1194=0,0,IF(GLOBAL_DER_FEV_2023!W1194&gt;0,"c","b"))</f>
        <v>0</v>
      </c>
    </row>
    <row r="1195" spans="1:25" ht="22.5" x14ac:dyDescent="0.2">
      <c r="A1195" s="317">
        <v>95777</v>
      </c>
      <c r="B1195" s="895">
        <v>95777</v>
      </c>
      <c r="C1195" s="896" t="s">
        <v>596</v>
      </c>
      <c r="D1195" s="906" t="s">
        <v>1125</v>
      </c>
      <c r="E1195" s="907">
        <f>GLOBAL_DER_FEV_2023!E1195</f>
        <v>0</v>
      </c>
      <c r="F1195" s="908">
        <f>GLOBAL_DER_FEV_2023!F1195</f>
        <v>0</v>
      </c>
      <c r="G1195" s="912">
        <f>GLOBAL_DER_FEV_2023!G1195</f>
        <v>0</v>
      </c>
      <c r="H1195" s="901">
        <f>GLOBAL_DER_FEV_2023!H1195</f>
        <v>28.73</v>
      </c>
      <c r="I1195" s="901">
        <f>GLOBAL_DER_FEV_2023!I1195</f>
        <v>28.73</v>
      </c>
      <c r="J1195" s="902">
        <f>GLOBAL_DER_FEV_2023!J1195</f>
        <v>34.5</v>
      </c>
      <c r="K1195" s="903" t="s">
        <v>1516</v>
      </c>
      <c r="L1195" s="1137"/>
      <c r="M1195" s="1138">
        <f t="shared" si="138"/>
        <v>0</v>
      </c>
      <c r="N1195" s="893">
        <f t="shared" si="142"/>
        <v>0</v>
      </c>
      <c r="O1195" s="905"/>
      <c r="Q1195" s="317" t="str">
        <f t="shared" si="139"/>
        <v/>
      </c>
      <c r="R1195" s="317" t="str">
        <f t="shared" si="140"/>
        <v/>
      </c>
      <c r="S1195" s="317" t="str">
        <f t="shared" si="141"/>
        <v/>
      </c>
      <c r="T1195" s="317" t="str">
        <f>GLOBAL_DER_FEV_2023!S1195</f>
        <v/>
      </c>
      <c r="W1195" s="582">
        <v>0</v>
      </c>
      <c r="X1195" s="580"/>
      <c r="Y1195" s="583">
        <f>IF(GLOBAL_DER_FEV_2023!W1195=0,0,IF(GLOBAL_DER_FEV_2023!W1195&gt;0,"c","b"))</f>
        <v>0</v>
      </c>
    </row>
    <row r="1196" spans="1:25" ht="22.5" x14ac:dyDescent="0.2">
      <c r="A1196" s="317">
        <v>95778</v>
      </c>
      <c r="B1196" s="895">
        <v>95778</v>
      </c>
      <c r="C1196" s="896" t="s">
        <v>596</v>
      </c>
      <c r="D1196" s="906" t="s">
        <v>1126</v>
      </c>
      <c r="E1196" s="907">
        <f>GLOBAL_DER_FEV_2023!E1196</f>
        <v>0</v>
      </c>
      <c r="F1196" s="908">
        <f>GLOBAL_DER_FEV_2023!F1196</f>
        <v>0</v>
      </c>
      <c r="G1196" s="912">
        <f>GLOBAL_DER_FEV_2023!G1196</f>
        <v>0</v>
      </c>
      <c r="H1196" s="901">
        <f>GLOBAL_DER_FEV_2023!H1196</f>
        <v>32.130000000000003</v>
      </c>
      <c r="I1196" s="901">
        <f>GLOBAL_DER_FEV_2023!I1196</f>
        <v>32.130000000000003</v>
      </c>
      <c r="J1196" s="902">
        <f>GLOBAL_DER_FEV_2023!J1196</f>
        <v>38.58</v>
      </c>
      <c r="K1196" s="903" t="s">
        <v>1516</v>
      </c>
      <c r="L1196" s="1137"/>
      <c r="M1196" s="1138">
        <f t="shared" si="138"/>
        <v>0</v>
      </c>
      <c r="N1196" s="893">
        <f t="shared" si="142"/>
        <v>0</v>
      </c>
      <c r="O1196" s="905"/>
      <c r="Q1196" s="317" t="str">
        <f t="shared" si="139"/>
        <v/>
      </c>
      <c r="R1196" s="317" t="str">
        <f t="shared" si="140"/>
        <v/>
      </c>
      <c r="S1196" s="317" t="str">
        <f t="shared" si="141"/>
        <v/>
      </c>
      <c r="T1196" s="317" t="str">
        <f>GLOBAL_DER_FEV_2023!S1196</f>
        <v/>
      </c>
      <c r="W1196" s="582">
        <v>0</v>
      </c>
      <c r="X1196" s="580"/>
      <c r="Y1196" s="583">
        <f>IF(GLOBAL_DER_FEV_2023!W1196=0,0,IF(GLOBAL_DER_FEV_2023!W1196&gt;0,"c","b"))</f>
        <v>0</v>
      </c>
    </row>
    <row r="1197" spans="1:25" ht="22.5" x14ac:dyDescent="0.2">
      <c r="A1197" s="317">
        <v>95779</v>
      </c>
      <c r="B1197" s="895">
        <v>95779</v>
      </c>
      <c r="C1197" s="896" t="s">
        <v>596</v>
      </c>
      <c r="D1197" s="906" t="s">
        <v>1127</v>
      </c>
      <c r="E1197" s="907">
        <f>GLOBAL_DER_FEV_2023!E1197</f>
        <v>0</v>
      </c>
      <c r="F1197" s="908">
        <f>GLOBAL_DER_FEV_2023!F1197</f>
        <v>0</v>
      </c>
      <c r="G1197" s="912">
        <f>GLOBAL_DER_FEV_2023!G1197</f>
        <v>0</v>
      </c>
      <c r="H1197" s="901">
        <f>GLOBAL_DER_FEV_2023!H1197</f>
        <v>26.72</v>
      </c>
      <c r="I1197" s="901">
        <f>GLOBAL_DER_FEV_2023!I1197</f>
        <v>26.72</v>
      </c>
      <c r="J1197" s="902">
        <f>GLOBAL_DER_FEV_2023!J1197</f>
        <v>32.08</v>
      </c>
      <c r="K1197" s="903" t="s">
        <v>1516</v>
      </c>
      <c r="L1197" s="1137"/>
      <c r="M1197" s="1138">
        <f t="shared" si="138"/>
        <v>0</v>
      </c>
      <c r="N1197" s="893">
        <f t="shared" si="142"/>
        <v>0</v>
      </c>
      <c r="O1197" s="905"/>
      <c r="Q1197" s="317" t="str">
        <f t="shared" si="139"/>
        <v/>
      </c>
      <c r="R1197" s="317" t="str">
        <f t="shared" si="140"/>
        <v/>
      </c>
      <c r="S1197" s="317" t="str">
        <f t="shared" si="141"/>
        <v/>
      </c>
      <c r="T1197" s="317" t="str">
        <f>GLOBAL_DER_FEV_2023!S1197</f>
        <v/>
      </c>
      <c r="W1197" s="582">
        <v>0</v>
      </c>
      <c r="X1197" s="580"/>
      <c r="Y1197" s="583">
        <f>IF(GLOBAL_DER_FEV_2023!W1197=0,0,IF(GLOBAL_DER_FEV_2023!W1197&gt;0,"c","b"))</f>
        <v>0</v>
      </c>
    </row>
    <row r="1198" spans="1:25" ht="22.5" x14ac:dyDescent="0.2">
      <c r="A1198" s="317">
        <v>95780</v>
      </c>
      <c r="B1198" s="895">
        <v>95780</v>
      </c>
      <c r="C1198" s="896" t="s">
        <v>596</v>
      </c>
      <c r="D1198" s="906" t="s">
        <v>1128</v>
      </c>
      <c r="E1198" s="907">
        <f>GLOBAL_DER_FEV_2023!E1198</f>
        <v>0</v>
      </c>
      <c r="F1198" s="908">
        <f>GLOBAL_DER_FEV_2023!F1198</f>
        <v>0</v>
      </c>
      <c r="G1198" s="912">
        <f>GLOBAL_DER_FEV_2023!G1198</f>
        <v>0</v>
      </c>
      <c r="H1198" s="901">
        <f>GLOBAL_DER_FEV_2023!H1198</f>
        <v>34.22</v>
      </c>
      <c r="I1198" s="901">
        <f>GLOBAL_DER_FEV_2023!I1198</f>
        <v>34.22</v>
      </c>
      <c r="J1198" s="902">
        <f>GLOBAL_DER_FEV_2023!J1198</f>
        <v>41.09</v>
      </c>
      <c r="K1198" s="903" t="s">
        <v>1516</v>
      </c>
      <c r="L1198" s="1137"/>
      <c r="M1198" s="1138">
        <f t="shared" si="138"/>
        <v>0</v>
      </c>
      <c r="N1198" s="893">
        <f t="shared" si="142"/>
        <v>0</v>
      </c>
      <c r="O1198" s="905"/>
      <c r="Q1198" s="317" t="str">
        <f t="shared" si="139"/>
        <v/>
      </c>
      <c r="R1198" s="317" t="str">
        <f t="shared" si="140"/>
        <v/>
      </c>
      <c r="S1198" s="317" t="str">
        <f t="shared" si="141"/>
        <v/>
      </c>
      <c r="T1198" s="317" t="str">
        <f>GLOBAL_DER_FEV_2023!S1198</f>
        <v/>
      </c>
      <c r="W1198" s="582">
        <v>0</v>
      </c>
      <c r="X1198" s="580"/>
      <c r="Y1198" s="583">
        <f>IF(GLOBAL_DER_FEV_2023!W1198=0,0,IF(GLOBAL_DER_FEV_2023!W1198&gt;0,"c","b"))</f>
        <v>0</v>
      </c>
    </row>
    <row r="1199" spans="1:25" ht="22.5" x14ac:dyDescent="0.2">
      <c r="A1199" s="317">
        <v>95781</v>
      </c>
      <c r="B1199" s="895">
        <v>95781</v>
      </c>
      <c r="C1199" s="896" t="s">
        <v>596</v>
      </c>
      <c r="D1199" s="906" t="s">
        <v>1129</v>
      </c>
      <c r="E1199" s="907">
        <f>GLOBAL_DER_FEV_2023!E1199</f>
        <v>0</v>
      </c>
      <c r="F1199" s="908">
        <f>GLOBAL_DER_FEV_2023!F1199</f>
        <v>0</v>
      </c>
      <c r="G1199" s="912">
        <f>GLOBAL_DER_FEV_2023!G1199</f>
        <v>0</v>
      </c>
      <c r="H1199" s="901">
        <f>GLOBAL_DER_FEV_2023!H1199</f>
        <v>38.9</v>
      </c>
      <c r="I1199" s="901">
        <f>GLOBAL_DER_FEV_2023!I1199</f>
        <v>38.9</v>
      </c>
      <c r="J1199" s="902">
        <f>GLOBAL_DER_FEV_2023!J1199</f>
        <v>46.71</v>
      </c>
      <c r="K1199" s="903" t="s">
        <v>1516</v>
      </c>
      <c r="L1199" s="1137"/>
      <c r="M1199" s="1138">
        <f t="shared" si="138"/>
        <v>0</v>
      </c>
      <c r="N1199" s="893">
        <f t="shared" si="142"/>
        <v>0</v>
      </c>
      <c r="O1199" s="905"/>
      <c r="Q1199" s="317" t="str">
        <f t="shared" si="139"/>
        <v/>
      </c>
      <c r="R1199" s="317" t="str">
        <f t="shared" si="140"/>
        <v/>
      </c>
      <c r="S1199" s="317" t="str">
        <f t="shared" si="141"/>
        <v/>
      </c>
      <c r="T1199" s="317" t="str">
        <f>GLOBAL_DER_FEV_2023!S1199</f>
        <v/>
      </c>
      <c r="W1199" s="582">
        <v>0</v>
      </c>
      <c r="X1199" s="580"/>
      <c r="Y1199" s="583">
        <f>IF(GLOBAL_DER_FEV_2023!W1199=0,0,IF(GLOBAL_DER_FEV_2023!W1199&gt;0,"c","b"))</f>
        <v>0</v>
      </c>
    </row>
    <row r="1200" spans="1:25" ht="22.5" x14ac:dyDescent="0.2">
      <c r="A1200" s="317">
        <v>95782</v>
      </c>
      <c r="B1200" s="895">
        <v>95782</v>
      </c>
      <c r="C1200" s="896" t="s">
        <v>596</v>
      </c>
      <c r="D1200" s="906" t="s">
        <v>1130</v>
      </c>
      <c r="E1200" s="907">
        <f>GLOBAL_DER_FEV_2023!E1200</f>
        <v>0</v>
      </c>
      <c r="F1200" s="908">
        <f>GLOBAL_DER_FEV_2023!F1200</f>
        <v>0</v>
      </c>
      <c r="G1200" s="912">
        <f>GLOBAL_DER_FEV_2023!G1200</f>
        <v>0</v>
      </c>
      <c r="H1200" s="901">
        <f>GLOBAL_DER_FEV_2023!H1200</f>
        <v>36.520000000000003</v>
      </c>
      <c r="I1200" s="901">
        <f>GLOBAL_DER_FEV_2023!I1200</f>
        <v>36.520000000000003</v>
      </c>
      <c r="J1200" s="902">
        <f>GLOBAL_DER_FEV_2023!J1200</f>
        <v>43.85</v>
      </c>
      <c r="K1200" s="903" t="s">
        <v>1516</v>
      </c>
      <c r="L1200" s="1137"/>
      <c r="M1200" s="1138">
        <f t="shared" si="138"/>
        <v>0</v>
      </c>
      <c r="N1200" s="893">
        <f t="shared" si="142"/>
        <v>0</v>
      </c>
      <c r="O1200" s="905"/>
      <c r="Q1200" s="317" t="str">
        <f t="shared" si="139"/>
        <v/>
      </c>
      <c r="R1200" s="317" t="str">
        <f t="shared" si="140"/>
        <v/>
      </c>
      <c r="S1200" s="317" t="str">
        <f t="shared" si="141"/>
        <v/>
      </c>
      <c r="T1200" s="317" t="str">
        <f>GLOBAL_DER_FEV_2023!S1200</f>
        <v/>
      </c>
      <c r="W1200" s="582">
        <v>0</v>
      </c>
      <c r="X1200" s="580"/>
      <c r="Y1200" s="583">
        <f>IF(GLOBAL_DER_FEV_2023!W1200=0,0,IF(GLOBAL_DER_FEV_2023!W1200&gt;0,"c","b"))</f>
        <v>0</v>
      </c>
    </row>
    <row r="1201" spans="1:25" ht="22.5" x14ac:dyDescent="0.2">
      <c r="A1201" s="317">
        <v>95785</v>
      </c>
      <c r="B1201" s="895">
        <v>95785</v>
      </c>
      <c r="C1201" s="896" t="s">
        <v>596</v>
      </c>
      <c r="D1201" s="906" t="s">
        <v>1131</v>
      </c>
      <c r="E1201" s="907">
        <f>GLOBAL_DER_FEV_2023!E1201</f>
        <v>0</v>
      </c>
      <c r="F1201" s="908">
        <f>GLOBAL_DER_FEV_2023!F1201</f>
        <v>0</v>
      </c>
      <c r="G1201" s="912">
        <f>GLOBAL_DER_FEV_2023!G1201</f>
        <v>0</v>
      </c>
      <c r="H1201" s="901">
        <f>GLOBAL_DER_FEV_2023!H1201</f>
        <v>43.24</v>
      </c>
      <c r="I1201" s="901">
        <f>GLOBAL_DER_FEV_2023!I1201</f>
        <v>43.24</v>
      </c>
      <c r="J1201" s="902">
        <f>GLOBAL_DER_FEV_2023!J1201</f>
        <v>51.92</v>
      </c>
      <c r="K1201" s="903" t="s">
        <v>1516</v>
      </c>
      <c r="L1201" s="1137"/>
      <c r="M1201" s="1138">
        <f t="shared" si="138"/>
        <v>0</v>
      </c>
      <c r="N1201" s="893">
        <f t="shared" si="142"/>
        <v>0</v>
      </c>
      <c r="O1201" s="905"/>
      <c r="Q1201" s="317" t="str">
        <f t="shared" si="139"/>
        <v/>
      </c>
      <c r="R1201" s="317" t="str">
        <f t="shared" si="140"/>
        <v/>
      </c>
      <c r="S1201" s="317" t="str">
        <f t="shared" si="141"/>
        <v/>
      </c>
      <c r="T1201" s="317" t="str">
        <f>GLOBAL_DER_FEV_2023!S1201</f>
        <v/>
      </c>
      <c r="W1201" s="582">
        <v>0</v>
      </c>
      <c r="X1201" s="580"/>
      <c r="Y1201" s="583">
        <f>IF(GLOBAL_DER_FEV_2023!W1201=0,0,IF(GLOBAL_DER_FEV_2023!W1201&gt;0,"c","b"))</f>
        <v>0</v>
      </c>
    </row>
    <row r="1202" spans="1:25" ht="22.5" x14ac:dyDescent="0.2">
      <c r="A1202" s="317">
        <v>95787</v>
      </c>
      <c r="B1202" s="895">
        <v>95787</v>
      </c>
      <c r="C1202" s="896" t="s">
        <v>596</v>
      </c>
      <c r="D1202" s="906" t="s">
        <v>1132</v>
      </c>
      <c r="E1202" s="907">
        <f>GLOBAL_DER_FEV_2023!E1202</f>
        <v>0</v>
      </c>
      <c r="F1202" s="908">
        <f>GLOBAL_DER_FEV_2023!F1202</f>
        <v>0</v>
      </c>
      <c r="G1202" s="912">
        <f>GLOBAL_DER_FEV_2023!G1202</f>
        <v>0</v>
      </c>
      <c r="H1202" s="901">
        <f>GLOBAL_DER_FEV_2023!H1202</f>
        <v>32.24</v>
      </c>
      <c r="I1202" s="901">
        <f>GLOBAL_DER_FEV_2023!I1202</f>
        <v>32.24</v>
      </c>
      <c r="J1202" s="902">
        <f>GLOBAL_DER_FEV_2023!J1202</f>
        <v>38.71</v>
      </c>
      <c r="K1202" s="903" t="s">
        <v>1516</v>
      </c>
      <c r="L1202" s="1137"/>
      <c r="M1202" s="1138">
        <f t="shared" si="138"/>
        <v>0</v>
      </c>
      <c r="N1202" s="893">
        <f t="shared" si="142"/>
        <v>0</v>
      </c>
      <c r="O1202" s="905"/>
      <c r="Q1202" s="317" t="str">
        <f t="shared" si="139"/>
        <v/>
      </c>
      <c r="R1202" s="317" t="str">
        <f t="shared" si="140"/>
        <v/>
      </c>
      <c r="S1202" s="317" t="str">
        <f t="shared" si="141"/>
        <v/>
      </c>
      <c r="T1202" s="317" t="str">
        <f>GLOBAL_DER_FEV_2023!S1202</f>
        <v/>
      </c>
      <c r="W1202" s="582">
        <v>0</v>
      </c>
      <c r="X1202" s="580"/>
      <c r="Y1202" s="583">
        <f>IF(GLOBAL_DER_FEV_2023!W1202=0,0,IF(GLOBAL_DER_FEV_2023!W1202&gt;0,"c","b"))</f>
        <v>0</v>
      </c>
    </row>
    <row r="1203" spans="1:25" ht="22.5" x14ac:dyDescent="0.2">
      <c r="A1203" s="317">
        <v>95789</v>
      </c>
      <c r="B1203" s="895">
        <v>95789</v>
      </c>
      <c r="C1203" s="896" t="s">
        <v>596</v>
      </c>
      <c r="D1203" s="906" t="s">
        <v>1133</v>
      </c>
      <c r="E1203" s="907">
        <f>GLOBAL_DER_FEV_2023!E1203</f>
        <v>0</v>
      </c>
      <c r="F1203" s="908">
        <f>GLOBAL_DER_FEV_2023!F1203</f>
        <v>0</v>
      </c>
      <c r="G1203" s="912">
        <f>GLOBAL_DER_FEV_2023!G1203</f>
        <v>0</v>
      </c>
      <c r="H1203" s="901">
        <f>GLOBAL_DER_FEV_2023!H1203</f>
        <v>43.94</v>
      </c>
      <c r="I1203" s="901">
        <f>GLOBAL_DER_FEV_2023!I1203</f>
        <v>43.94</v>
      </c>
      <c r="J1203" s="902">
        <f>GLOBAL_DER_FEV_2023!J1203</f>
        <v>52.76</v>
      </c>
      <c r="K1203" s="903" t="s">
        <v>1516</v>
      </c>
      <c r="L1203" s="1137"/>
      <c r="M1203" s="1138">
        <f t="shared" si="138"/>
        <v>0</v>
      </c>
      <c r="N1203" s="893">
        <f t="shared" si="142"/>
        <v>0</v>
      </c>
      <c r="O1203" s="905"/>
      <c r="Q1203" s="317" t="str">
        <f t="shared" si="139"/>
        <v/>
      </c>
      <c r="R1203" s="317" t="str">
        <f t="shared" si="140"/>
        <v/>
      </c>
      <c r="S1203" s="317" t="str">
        <f t="shared" si="141"/>
        <v/>
      </c>
      <c r="T1203" s="317" t="str">
        <f>GLOBAL_DER_FEV_2023!S1203</f>
        <v/>
      </c>
      <c r="W1203" s="582">
        <v>0</v>
      </c>
      <c r="X1203" s="580"/>
      <c r="Y1203" s="583">
        <f>IF(GLOBAL_DER_FEV_2023!W1203=0,0,IF(GLOBAL_DER_FEV_2023!W1203&gt;0,"c","b"))</f>
        <v>0</v>
      </c>
    </row>
    <row r="1204" spans="1:25" ht="22.5" x14ac:dyDescent="0.2">
      <c r="A1204" s="317">
        <v>95791</v>
      </c>
      <c r="B1204" s="895">
        <v>95791</v>
      </c>
      <c r="C1204" s="896" t="s">
        <v>596</v>
      </c>
      <c r="D1204" s="906" t="s">
        <v>1134</v>
      </c>
      <c r="E1204" s="907">
        <f>GLOBAL_DER_FEV_2023!E1204</f>
        <v>0</v>
      </c>
      <c r="F1204" s="908">
        <f>GLOBAL_DER_FEV_2023!F1204</f>
        <v>0</v>
      </c>
      <c r="G1204" s="912">
        <f>GLOBAL_DER_FEV_2023!G1204</f>
        <v>0</v>
      </c>
      <c r="H1204" s="901">
        <f>GLOBAL_DER_FEV_2023!H1204</f>
        <v>61.1</v>
      </c>
      <c r="I1204" s="901">
        <f>GLOBAL_DER_FEV_2023!I1204</f>
        <v>61.1</v>
      </c>
      <c r="J1204" s="902">
        <f>GLOBAL_DER_FEV_2023!J1204</f>
        <v>73.36</v>
      </c>
      <c r="K1204" s="903" t="s">
        <v>1516</v>
      </c>
      <c r="L1204" s="1137"/>
      <c r="M1204" s="1138">
        <f t="shared" si="138"/>
        <v>0</v>
      </c>
      <c r="N1204" s="893">
        <f t="shared" si="142"/>
        <v>0</v>
      </c>
      <c r="O1204" s="905"/>
      <c r="Q1204" s="317" t="str">
        <f t="shared" si="139"/>
        <v/>
      </c>
      <c r="R1204" s="317" t="str">
        <f t="shared" si="140"/>
        <v/>
      </c>
      <c r="S1204" s="317" t="str">
        <f t="shared" si="141"/>
        <v/>
      </c>
      <c r="T1204" s="317" t="str">
        <f>GLOBAL_DER_FEV_2023!S1204</f>
        <v/>
      </c>
      <c r="W1204" s="582">
        <v>0</v>
      </c>
      <c r="X1204" s="580"/>
      <c r="Y1204" s="583">
        <f>IF(GLOBAL_DER_FEV_2023!W1204=0,0,IF(GLOBAL_DER_FEV_2023!W1204&gt;0,"c","b"))</f>
        <v>0</v>
      </c>
    </row>
    <row r="1205" spans="1:25" ht="22.5" x14ac:dyDescent="0.2">
      <c r="A1205" s="317">
        <v>95795</v>
      </c>
      <c r="B1205" s="895">
        <v>95795</v>
      </c>
      <c r="C1205" s="896" t="s">
        <v>596</v>
      </c>
      <c r="D1205" s="906" t="s">
        <v>1135</v>
      </c>
      <c r="E1205" s="907">
        <f>GLOBAL_DER_FEV_2023!E1205</f>
        <v>0</v>
      </c>
      <c r="F1205" s="908">
        <f>GLOBAL_DER_FEV_2023!F1205</f>
        <v>0</v>
      </c>
      <c r="G1205" s="912">
        <f>GLOBAL_DER_FEV_2023!G1205</f>
        <v>0</v>
      </c>
      <c r="H1205" s="901">
        <f>GLOBAL_DER_FEV_2023!H1205</f>
        <v>36.74</v>
      </c>
      <c r="I1205" s="901">
        <f>GLOBAL_DER_FEV_2023!I1205</f>
        <v>36.74</v>
      </c>
      <c r="J1205" s="902">
        <f>GLOBAL_DER_FEV_2023!J1205</f>
        <v>44.11</v>
      </c>
      <c r="K1205" s="903" t="s">
        <v>1516</v>
      </c>
      <c r="L1205" s="1137"/>
      <c r="M1205" s="1138">
        <f t="shared" si="138"/>
        <v>0</v>
      </c>
      <c r="N1205" s="893">
        <f t="shared" si="142"/>
        <v>0</v>
      </c>
      <c r="O1205" s="905"/>
      <c r="Q1205" s="317" t="str">
        <f t="shared" si="139"/>
        <v/>
      </c>
      <c r="R1205" s="317" t="str">
        <f t="shared" si="140"/>
        <v/>
      </c>
      <c r="S1205" s="317" t="str">
        <f t="shared" si="141"/>
        <v/>
      </c>
      <c r="T1205" s="317" t="str">
        <f>GLOBAL_DER_FEV_2023!S1205</f>
        <v/>
      </c>
      <c r="W1205" s="582">
        <v>0</v>
      </c>
      <c r="X1205" s="580"/>
      <c r="Y1205" s="583">
        <f>IF(GLOBAL_DER_FEV_2023!W1205=0,0,IF(GLOBAL_DER_FEV_2023!W1205&gt;0,"c","b"))</f>
        <v>0</v>
      </c>
    </row>
    <row r="1206" spans="1:25" ht="22.5" x14ac:dyDescent="0.2">
      <c r="A1206" s="317">
        <v>95796</v>
      </c>
      <c r="B1206" s="895">
        <v>95796</v>
      </c>
      <c r="C1206" s="896" t="s">
        <v>596</v>
      </c>
      <c r="D1206" s="906" t="s">
        <v>1136</v>
      </c>
      <c r="E1206" s="907">
        <f>GLOBAL_DER_FEV_2023!E1206</f>
        <v>0</v>
      </c>
      <c r="F1206" s="908">
        <f>GLOBAL_DER_FEV_2023!F1206</f>
        <v>0</v>
      </c>
      <c r="G1206" s="912">
        <f>GLOBAL_DER_FEV_2023!G1206</f>
        <v>0</v>
      </c>
      <c r="H1206" s="901">
        <f>GLOBAL_DER_FEV_2023!H1206</f>
        <v>51.6</v>
      </c>
      <c r="I1206" s="901">
        <f>GLOBAL_DER_FEV_2023!I1206</f>
        <v>51.6</v>
      </c>
      <c r="J1206" s="902">
        <f>GLOBAL_DER_FEV_2023!J1206</f>
        <v>61.96</v>
      </c>
      <c r="K1206" s="903" t="s">
        <v>1516</v>
      </c>
      <c r="L1206" s="1137"/>
      <c r="M1206" s="1138">
        <f t="shared" si="138"/>
        <v>0</v>
      </c>
      <c r="N1206" s="893">
        <f t="shared" si="142"/>
        <v>0</v>
      </c>
      <c r="O1206" s="905"/>
      <c r="Q1206" s="317" t="str">
        <f t="shared" si="139"/>
        <v/>
      </c>
      <c r="R1206" s="317" t="str">
        <f t="shared" si="140"/>
        <v/>
      </c>
      <c r="S1206" s="317" t="str">
        <f t="shared" si="141"/>
        <v/>
      </c>
      <c r="T1206" s="317" t="str">
        <f>GLOBAL_DER_FEV_2023!S1206</f>
        <v/>
      </c>
      <c r="W1206" s="582">
        <v>0</v>
      </c>
      <c r="X1206" s="580"/>
      <c r="Y1206" s="583">
        <f>IF(GLOBAL_DER_FEV_2023!W1206=0,0,IF(GLOBAL_DER_FEV_2023!W1206&gt;0,"c","b"))</f>
        <v>0</v>
      </c>
    </row>
    <row r="1207" spans="1:25" ht="22.5" x14ac:dyDescent="0.2">
      <c r="A1207" s="317">
        <v>95797</v>
      </c>
      <c r="B1207" s="895">
        <v>95797</v>
      </c>
      <c r="C1207" s="896" t="s">
        <v>596</v>
      </c>
      <c r="D1207" s="906" t="s">
        <v>1137</v>
      </c>
      <c r="E1207" s="907">
        <f>GLOBAL_DER_FEV_2023!E1207</f>
        <v>0</v>
      </c>
      <c r="F1207" s="908">
        <f>GLOBAL_DER_FEV_2023!F1207</f>
        <v>0</v>
      </c>
      <c r="G1207" s="912">
        <f>GLOBAL_DER_FEV_2023!G1207</f>
        <v>0</v>
      </c>
      <c r="H1207" s="901">
        <f>GLOBAL_DER_FEV_2023!H1207</f>
        <v>71.37</v>
      </c>
      <c r="I1207" s="901">
        <f>GLOBAL_DER_FEV_2023!I1207</f>
        <v>71.37</v>
      </c>
      <c r="J1207" s="902">
        <f>GLOBAL_DER_FEV_2023!J1207</f>
        <v>85.69</v>
      </c>
      <c r="K1207" s="903" t="s">
        <v>1516</v>
      </c>
      <c r="L1207" s="1137"/>
      <c r="M1207" s="1138">
        <f t="shared" si="138"/>
        <v>0</v>
      </c>
      <c r="N1207" s="893">
        <f t="shared" si="142"/>
        <v>0</v>
      </c>
      <c r="O1207" s="905"/>
      <c r="Q1207" s="317" t="str">
        <f t="shared" si="139"/>
        <v/>
      </c>
      <c r="R1207" s="317" t="str">
        <f t="shared" si="140"/>
        <v/>
      </c>
      <c r="S1207" s="317" t="str">
        <f t="shared" si="141"/>
        <v/>
      </c>
      <c r="T1207" s="317" t="str">
        <f>GLOBAL_DER_FEV_2023!S1207</f>
        <v/>
      </c>
      <c r="W1207" s="582">
        <v>0</v>
      </c>
      <c r="X1207" s="580"/>
      <c r="Y1207" s="583">
        <f>IF(GLOBAL_DER_FEV_2023!W1207=0,0,IF(GLOBAL_DER_FEV_2023!W1207&gt;0,"c","b"))</f>
        <v>0</v>
      </c>
    </row>
    <row r="1208" spans="1:25" ht="22.5" x14ac:dyDescent="0.2">
      <c r="A1208" s="317">
        <v>95801</v>
      </c>
      <c r="B1208" s="895">
        <v>95801</v>
      </c>
      <c r="C1208" s="896" t="s">
        <v>596</v>
      </c>
      <c r="D1208" s="906" t="s">
        <v>1138</v>
      </c>
      <c r="E1208" s="907">
        <f>GLOBAL_DER_FEV_2023!E1208</f>
        <v>0</v>
      </c>
      <c r="F1208" s="908">
        <f>GLOBAL_DER_FEV_2023!F1208</f>
        <v>0</v>
      </c>
      <c r="G1208" s="912">
        <f>GLOBAL_DER_FEV_2023!G1208</f>
        <v>0</v>
      </c>
      <c r="H1208" s="901">
        <f>GLOBAL_DER_FEV_2023!H1208</f>
        <v>43.96</v>
      </c>
      <c r="I1208" s="901">
        <f>GLOBAL_DER_FEV_2023!I1208</f>
        <v>43.96</v>
      </c>
      <c r="J1208" s="902">
        <f>GLOBAL_DER_FEV_2023!J1208</f>
        <v>52.78</v>
      </c>
      <c r="K1208" s="903" t="s">
        <v>1516</v>
      </c>
      <c r="L1208" s="1137"/>
      <c r="M1208" s="1138">
        <f t="shared" si="138"/>
        <v>0</v>
      </c>
      <c r="N1208" s="893">
        <f t="shared" si="142"/>
        <v>0</v>
      </c>
      <c r="O1208" s="905"/>
      <c r="Q1208" s="317" t="str">
        <f t="shared" si="139"/>
        <v/>
      </c>
      <c r="R1208" s="317" t="str">
        <f t="shared" si="140"/>
        <v/>
      </c>
      <c r="S1208" s="317" t="str">
        <f t="shared" si="141"/>
        <v/>
      </c>
      <c r="T1208" s="317" t="str">
        <f>GLOBAL_DER_FEV_2023!S1208</f>
        <v/>
      </c>
      <c r="W1208" s="582">
        <v>0</v>
      </c>
      <c r="X1208" s="580"/>
      <c r="Y1208" s="583">
        <f>IF(GLOBAL_DER_FEV_2023!W1208=0,0,IF(GLOBAL_DER_FEV_2023!W1208&gt;0,"c","b"))</f>
        <v>0</v>
      </c>
    </row>
    <row r="1209" spans="1:25" ht="22.5" x14ac:dyDescent="0.2">
      <c r="A1209" s="317">
        <v>95802</v>
      </c>
      <c r="B1209" s="895">
        <v>95802</v>
      </c>
      <c r="C1209" s="896" t="s">
        <v>596</v>
      </c>
      <c r="D1209" s="906" t="s">
        <v>1139</v>
      </c>
      <c r="E1209" s="907">
        <f>GLOBAL_DER_FEV_2023!E1209</f>
        <v>0</v>
      </c>
      <c r="F1209" s="908">
        <f>GLOBAL_DER_FEV_2023!F1209</f>
        <v>0</v>
      </c>
      <c r="G1209" s="912">
        <f>GLOBAL_DER_FEV_2023!G1209</f>
        <v>0</v>
      </c>
      <c r="H1209" s="901">
        <f>GLOBAL_DER_FEV_2023!H1209</f>
        <v>54.65</v>
      </c>
      <c r="I1209" s="901">
        <f>GLOBAL_DER_FEV_2023!I1209</f>
        <v>54.65</v>
      </c>
      <c r="J1209" s="902">
        <f>GLOBAL_DER_FEV_2023!J1209</f>
        <v>65.62</v>
      </c>
      <c r="K1209" s="903" t="s">
        <v>1516</v>
      </c>
      <c r="L1209" s="1137"/>
      <c r="M1209" s="1138">
        <f t="shared" si="138"/>
        <v>0</v>
      </c>
      <c r="N1209" s="893">
        <f t="shared" si="142"/>
        <v>0</v>
      </c>
      <c r="O1209" s="905"/>
      <c r="Q1209" s="317" t="str">
        <f t="shared" si="139"/>
        <v/>
      </c>
      <c r="R1209" s="317" t="str">
        <f t="shared" si="140"/>
        <v/>
      </c>
      <c r="S1209" s="317" t="str">
        <f t="shared" si="141"/>
        <v/>
      </c>
      <c r="T1209" s="317" t="str">
        <f>GLOBAL_DER_FEV_2023!S1209</f>
        <v/>
      </c>
      <c r="W1209" s="582">
        <v>0</v>
      </c>
      <c r="X1209" s="580"/>
      <c r="Y1209" s="583">
        <f>IF(GLOBAL_DER_FEV_2023!W1209=0,0,IF(GLOBAL_DER_FEV_2023!W1209&gt;0,"c","b"))</f>
        <v>0</v>
      </c>
    </row>
    <row r="1210" spans="1:25" ht="22.5" x14ac:dyDescent="0.2">
      <c r="A1210" s="317">
        <v>95803</v>
      </c>
      <c r="B1210" s="895">
        <v>95803</v>
      </c>
      <c r="C1210" s="896" t="s">
        <v>596</v>
      </c>
      <c r="D1210" s="906" t="s">
        <v>1140</v>
      </c>
      <c r="E1210" s="907">
        <f>GLOBAL_DER_FEV_2023!E1210</f>
        <v>0</v>
      </c>
      <c r="F1210" s="908">
        <f>GLOBAL_DER_FEV_2023!F1210</f>
        <v>0</v>
      </c>
      <c r="G1210" s="912">
        <f>GLOBAL_DER_FEV_2023!G1210</f>
        <v>0</v>
      </c>
      <c r="H1210" s="901">
        <f>GLOBAL_DER_FEV_2023!H1210</f>
        <v>79.510000000000005</v>
      </c>
      <c r="I1210" s="901">
        <f>GLOBAL_DER_FEV_2023!I1210</f>
        <v>79.510000000000005</v>
      </c>
      <c r="J1210" s="902">
        <f>GLOBAL_DER_FEV_2023!J1210</f>
        <v>95.47</v>
      </c>
      <c r="K1210" s="903" t="s">
        <v>1516</v>
      </c>
      <c r="L1210" s="1137"/>
      <c r="M1210" s="1138">
        <f t="shared" si="138"/>
        <v>0</v>
      </c>
      <c r="N1210" s="893">
        <f t="shared" si="142"/>
        <v>0</v>
      </c>
      <c r="O1210" s="905"/>
      <c r="Q1210" s="317" t="str">
        <f t="shared" si="139"/>
        <v/>
      </c>
      <c r="R1210" s="317" t="str">
        <f t="shared" si="140"/>
        <v/>
      </c>
      <c r="S1210" s="317" t="str">
        <f t="shared" si="141"/>
        <v/>
      </c>
      <c r="T1210" s="317" t="str">
        <f>GLOBAL_DER_FEV_2023!S1210</f>
        <v/>
      </c>
      <c r="W1210" s="582">
        <v>0</v>
      </c>
      <c r="X1210" s="580"/>
      <c r="Y1210" s="583">
        <f>IF(GLOBAL_DER_FEV_2023!W1210=0,0,IF(GLOBAL_DER_FEV_2023!W1210&gt;0,"c","b"))</f>
        <v>0</v>
      </c>
    </row>
    <row r="1211" spans="1:25" ht="22.5" x14ac:dyDescent="0.2">
      <c r="A1211" s="317">
        <v>95804</v>
      </c>
      <c r="B1211" s="895">
        <v>95804</v>
      </c>
      <c r="C1211" s="896" t="s">
        <v>596</v>
      </c>
      <c r="D1211" s="906" t="s">
        <v>1141</v>
      </c>
      <c r="E1211" s="907">
        <f>GLOBAL_DER_FEV_2023!E1211</f>
        <v>0</v>
      </c>
      <c r="F1211" s="908">
        <f>GLOBAL_DER_FEV_2023!F1211</f>
        <v>0</v>
      </c>
      <c r="G1211" s="912">
        <f>GLOBAL_DER_FEV_2023!G1211</f>
        <v>0</v>
      </c>
      <c r="H1211" s="901">
        <f>GLOBAL_DER_FEV_2023!H1211</f>
        <v>27.21</v>
      </c>
      <c r="I1211" s="901">
        <f>GLOBAL_DER_FEV_2023!I1211</f>
        <v>27.21</v>
      </c>
      <c r="J1211" s="902">
        <f>GLOBAL_DER_FEV_2023!J1211</f>
        <v>32.67</v>
      </c>
      <c r="K1211" s="903" t="s">
        <v>1516</v>
      </c>
      <c r="L1211" s="1137"/>
      <c r="M1211" s="1138">
        <f t="shared" si="138"/>
        <v>0</v>
      </c>
      <c r="N1211" s="893">
        <f t="shared" si="142"/>
        <v>0</v>
      </c>
      <c r="O1211" s="905"/>
      <c r="Q1211" s="317" t="str">
        <f t="shared" si="139"/>
        <v/>
      </c>
      <c r="R1211" s="317" t="str">
        <f t="shared" si="140"/>
        <v/>
      </c>
      <c r="S1211" s="317" t="str">
        <f t="shared" si="141"/>
        <v/>
      </c>
      <c r="T1211" s="317" t="str">
        <f>GLOBAL_DER_FEV_2023!S1211</f>
        <v/>
      </c>
      <c r="W1211" s="582">
        <v>0</v>
      </c>
      <c r="X1211" s="580"/>
      <c r="Y1211" s="583">
        <f>IF(GLOBAL_DER_FEV_2023!W1211=0,0,IF(GLOBAL_DER_FEV_2023!W1211&gt;0,"c","b"))</f>
        <v>0</v>
      </c>
    </row>
    <row r="1212" spans="1:25" ht="22.5" x14ac:dyDescent="0.2">
      <c r="A1212" s="317">
        <v>95805</v>
      </c>
      <c r="B1212" s="895">
        <v>95805</v>
      </c>
      <c r="C1212" s="896" t="s">
        <v>596</v>
      </c>
      <c r="D1212" s="906" t="s">
        <v>1142</v>
      </c>
      <c r="E1212" s="907">
        <f>GLOBAL_DER_FEV_2023!E1212</f>
        <v>0</v>
      </c>
      <c r="F1212" s="908">
        <f>GLOBAL_DER_FEV_2023!F1212</f>
        <v>0</v>
      </c>
      <c r="G1212" s="912">
        <f>GLOBAL_DER_FEV_2023!G1212</f>
        <v>0</v>
      </c>
      <c r="H1212" s="901">
        <f>GLOBAL_DER_FEV_2023!H1212</f>
        <v>28.7</v>
      </c>
      <c r="I1212" s="901">
        <f>GLOBAL_DER_FEV_2023!I1212</f>
        <v>28.7</v>
      </c>
      <c r="J1212" s="902">
        <f>GLOBAL_DER_FEV_2023!J1212</f>
        <v>34.46</v>
      </c>
      <c r="K1212" s="903" t="s">
        <v>1516</v>
      </c>
      <c r="L1212" s="1137"/>
      <c r="M1212" s="1138">
        <f t="shared" si="138"/>
        <v>0</v>
      </c>
      <c r="N1212" s="893">
        <f t="shared" si="142"/>
        <v>0</v>
      </c>
      <c r="O1212" s="905"/>
      <c r="Q1212" s="317" t="str">
        <f t="shared" si="139"/>
        <v/>
      </c>
      <c r="R1212" s="317" t="str">
        <f t="shared" si="140"/>
        <v/>
      </c>
      <c r="S1212" s="317" t="str">
        <f t="shared" si="141"/>
        <v/>
      </c>
      <c r="T1212" s="317" t="str">
        <f>GLOBAL_DER_FEV_2023!S1212</f>
        <v/>
      </c>
      <c r="W1212" s="582">
        <v>0</v>
      </c>
      <c r="X1212" s="580"/>
      <c r="Y1212" s="583">
        <f>IF(GLOBAL_DER_FEV_2023!W1212=0,0,IF(GLOBAL_DER_FEV_2023!W1212&gt;0,"c","b"))</f>
        <v>0</v>
      </c>
    </row>
    <row r="1213" spans="1:25" ht="22.5" x14ac:dyDescent="0.2">
      <c r="A1213" s="317">
        <v>95806</v>
      </c>
      <c r="B1213" s="895">
        <v>95806</v>
      </c>
      <c r="C1213" s="896" t="s">
        <v>596</v>
      </c>
      <c r="D1213" s="906" t="s">
        <v>1143</v>
      </c>
      <c r="E1213" s="907">
        <f>GLOBAL_DER_FEV_2023!E1213</f>
        <v>0</v>
      </c>
      <c r="F1213" s="908">
        <f>GLOBAL_DER_FEV_2023!F1213</f>
        <v>0</v>
      </c>
      <c r="G1213" s="912">
        <f>GLOBAL_DER_FEV_2023!G1213</f>
        <v>0</v>
      </c>
      <c r="H1213" s="901">
        <f>GLOBAL_DER_FEV_2023!H1213</f>
        <v>31.42</v>
      </c>
      <c r="I1213" s="901">
        <f>GLOBAL_DER_FEV_2023!I1213</f>
        <v>31.42</v>
      </c>
      <c r="J1213" s="902">
        <f>GLOBAL_DER_FEV_2023!J1213</f>
        <v>37.729999999999997</v>
      </c>
      <c r="K1213" s="903" t="s">
        <v>1516</v>
      </c>
      <c r="L1213" s="1137"/>
      <c r="M1213" s="1138">
        <f t="shared" si="138"/>
        <v>0</v>
      </c>
      <c r="N1213" s="893">
        <f t="shared" si="142"/>
        <v>0</v>
      </c>
      <c r="O1213" s="905"/>
      <c r="Q1213" s="317" t="str">
        <f t="shared" si="139"/>
        <v/>
      </c>
      <c r="R1213" s="317" t="str">
        <f t="shared" si="140"/>
        <v/>
      </c>
      <c r="S1213" s="317" t="str">
        <f t="shared" si="141"/>
        <v/>
      </c>
      <c r="T1213" s="317" t="str">
        <f>GLOBAL_DER_FEV_2023!S1213</f>
        <v/>
      </c>
      <c r="W1213" s="582">
        <v>0</v>
      </c>
      <c r="X1213" s="580"/>
      <c r="Y1213" s="583">
        <f>IF(GLOBAL_DER_FEV_2023!W1213=0,0,IF(GLOBAL_DER_FEV_2023!W1213&gt;0,"c","b"))</f>
        <v>0</v>
      </c>
    </row>
    <row r="1214" spans="1:25" ht="22.5" x14ac:dyDescent="0.2">
      <c r="A1214" s="317">
        <v>95807</v>
      </c>
      <c r="B1214" s="895">
        <v>95807</v>
      </c>
      <c r="C1214" s="896" t="s">
        <v>596</v>
      </c>
      <c r="D1214" s="906" t="s">
        <v>1144</v>
      </c>
      <c r="E1214" s="907">
        <f>GLOBAL_DER_FEV_2023!E1214</f>
        <v>0</v>
      </c>
      <c r="F1214" s="908">
        <f>GLOBAL_DER_FEV_2023!F1214</f>
        <v>0</v>
      </c>
      <c r="G1214" s="912">
        <f>GLOBAL_DER_FEV_2023!G1214</f>
        <v>0</v>
      </c>
      <c r="H1214" s="901">
        <f>GLOBAL_DER_FEV_2023!H1214</f>
        <v>31.89</v>
      </c>
      <c r="I1214" s="901">
        <f>GLOBAL_DER_FEV_2023!I1214</f>
        <v>31.89</v>
      </c>
      <c r="J1214" s="902">
        <f>GLOBAL_DER_FEV_2023!J1214</f>
        <v>38.29</v>
      </c>
      <c r="K1214" s="903" t="s">
        <v>1516</v>
      </c>
      <c r="L1214" s="1137"/>
      <c r="M1214" s="1138">
        <f t="shared" si="138"/>
        <v>0</v>
      </c>
      <c r="N1214" s="893">
        <f t="shared" si="142"/>
        <v>0</v>
      </c>
      <c r="O1214" s="905"/>
      <c r="Q1214" s="317" t="str">
        <f t="shared" si="139"/>
        <v/>
      </c>
      <c r="R1214" s="317" t="str">
        <f t="shared" si="140"/>
        <v/>
      </c>
      <c r="S1214" s="317" t="str">
        <f t="shared" si="141"/>
        <v/>
      </c>
      <c r="T1214" s="317" t="str">
        <f>GLOBAL_DER_FEV_2023!S1214</f>
        <v/>
      </c>
      <c r="W1214" s="582">
        <v>0</v>
      </c>
      <c r="X1214" s="580"/>
      <c r="Y1214" s="583">
        <f>IF(GLOBAL_DER_FEV_2023!W1214=0,0,IF(GLOBAL_DER_FEV_2023!W1214&gt;0,"c","b"))</f>
        <v>0</v>
      </c>
    </row>
    <row r="1215" spans="1:25" ht="22.5" x14ac:dyDescent="0.2">
      <c r="A1215" s="317">
        <v>95808</v>
      </c>
      <c r="B1215" s="895">
        <v>95808</v>
      </c>
      <c r="C1215" s="896" t="s">
        <v>596</v>
      </c>
      <c r="D1215" s="906" t="s">
        <v>1145</v>
      </c>
      <c r="E1215" s="907">
        <f>GLOBAL_DER_FEV_2023!E1215</f>
        <v>0</v>
      </c>
      <c r="F1215" s="908">
        <f>GLOBAL_DER_FEV_2023!F1215</f>
        <v>0</v>
      </c>
      <c r="G1215" s="912">
        <f>GLOBAL_DER_FEV_2023!G1215</f>
        <v>0</v>
      </c>
      <c r="H1215" s="901">
        <f>GLOBAL_DER_FEV_2023!H1215</f>
        <v>36.369999999999997</v>
      </c>
      <c r="I1215" s="901">
        <f>GLOBAL_DER_FEV_2023!I1215</f>
        <v>36.369999999999997</v>
      </c>
      <c r="J1215" s="902">
        <f>GLOBAL_DER_FEV_2023!J1215</f>
        <v>43.67</v>
      </c>
      <c r="K1215" s="903" t="s">
        <v>1516</v>
      </c>
      <c r="L1215" s="1137"/>
      <c r="M1215" s="1138">
        <f t="shared" si="138"/>
        <v>0</v>
      </c>
      <c r="N1215" s="893">
        <f t="shared" si="142"/>
        <v>0</v>
      </c>
      <c r="O1215" s="905"/>
      <c r="Q1215" s="317" t="str">
        <f t="shared" si="139"/>
        <v/>
      </c>
      <c r="R1215" s="317" t="str">
        <f t="shared" si="140"/>
        <v/>
      </c>
      <c r="S1215" s="317" t="str">
        <f t="shared" si="141"/>
        <v/>
      </c>
      <c r="T1215" s="317" t="str">
        <f>GLOBAL_DER_FEV_2023!S1215</f>
        <v/>
      </c>
      <c r="W1215" s="582">
        <v>0</v>
      </c>
      <c r="X1215" s="580"/>
      <c r="Y1215" s="583">
        <f>IF(GLOBAL_DER_FEV_2023!W1215=0,0,IF(GLOBAL_DER_FEV_2023!W1215&gt;0,"c","b"))</f>
        <v>0</v>
      </c>
    </row>
    <row r="1216" spans="1:25" ht="22.5" x14ac:dyDescent="0.2">
      <c r="A1216" s="317">
        <v>95809</v>
      </c>
      <c r="B1216" s="895">
        <v>95809</v>
      </c>
      <c r="C1216" s="896" t="s">
        <v>596</v>
      </c>
      <c r="D1216" s="906" t="s">
        <v>1146</v>
      </c>
      <c r="E1216" s="907">
        <f>GLOBAL_DER_FEV_2023!E1216</f>
        <v>0</v>
      </c>
      <c r="F1216" s="908">
        <f>GLOBAL_DER_FEV_2023!F1216</f>
        <v>0</v>
      </c>
      <c r="G1216" s="912">
        <f>GLOBAL_DER_FEV_2023!G1216</f>
        <v>0</v>
      </c>
      <c r="H1216" s="901">
        <f>GLOBAL_DER_FEV_2023!H1216</f>
        <v>45.11</v>
      </c>
      <c r="I1216" s="901">
        <f>GLOBAL_DER_FEV_2023!I1216</f>
        <v>45.11</v>
      </c>
      <c r="J1216" s="902">
        <f>GLOBAL_DER_FEV_2023!J1216</f>
        <v>54.16</v>
      </c>
      <c r="K1216" s="903" t="s">
        <v>1516</v>
      </c>
      <c r="L1216" s="1137"/>
      <c r="M1216" s="1138">
        <f t="shared" si="138"/>
        <v>0</v>
      </c>
      <c r="N1216" s="893">
        <f t="shared" si="142"/>
        <v>0</v>
      </c>
      <c r="O1216" s="905"/>
      <c r="Q1216" s="317" t="str">
        <f t="shared" si="139"/>
        <v/>
      </c>
      <c r="R1216" s="317" t="str">
        <f t="shared" si="140"/>
        <v/>
      </c>
      <c r="S1216" s="317" t="str">
        <f t="shared" si="141"/>
        <v/>
      </c>
      <c r="T1216" s="317" t="str">
        <f>GLOBAL_DER_FEV_2023!S1216</f>
        <v/>
      </c>
      <c r="W1216" s="582">
        <v>0</v>
      </c>
      <c r="X1216" s="580"/>
      <c r="Y1216" s="583">
        <f>IF(GLOBAL_DER_FEV_2023!W1216=0,0,IF(GLOBAL_DER_FEV_2023!W1216&gt;0,"c","b"))</f>
        <v>0</v>
      </c>
    </row>
    <row r="1217" spans="1:25" ht="22.5" x14ac:dyDescent="0.2">
      <c r="A1217" s="317">
        <v>95810</v>
      </c>
      <c r="B1217" s="895">
        <v>95810</v>
      </c>
      <c r="C1217" s="896" t="s">
        <v>596</v>
      </c>
      <c r="D1217" s="906" t="s">
        <v>1147</v>
      </c>
      <c r="E1217" s="907">
        <f>GLOBAL_DER_FEV_2023!E1217</f>
        <v>0</v>
      </c>
      <c r="F1217" s="908">
        <f>GLOBAL_DER_FEV_2023!F1217</f>
        <v>0</v>
      </c>
      <c r="G1217" s="912">
        <f>GLOBAL_DER_FEV_2023!G1217</f>
        <v>0</v>
      </c>
      <c r="H1217" s="901">
        <f>GLOBAL_DER_FEV_2023!H1217</f>
        <v>19.940000000000001</v>
      </c>
      <c r="I1217" s="901">
        <f>GLOBAL_DER_FEV_2023!I1217</f>
        <v>19.940000000000001</v>
      </c>
      <c r="J1217" s="902">
        <f>GLOBAL_DER_FEV_2023!J1217</f>
        <v>23.94</v>
      </c>
      <c r="K1217" s="903" t="s">
        <v>1516</v>
      </c>
      <c r="L1217" s="1137"/>
      <c r="M1217" s="1138">
        <f t="shared" si="138"/>
        <v>0</v>
      </c>
      <c r="N1217" s="893">
        <f t="shared" si="142"/>
        <v>0</v>
      </c>
      <c r="O1217" s="905"/>
      <c r="Q1217" s="317" t="str">
        <f t="shared" si="139"/>
        <v/>
      </c>
      <c r="R1217" s="317" t="str">
        <f t="shared" si="140"/>
        <v/>
      </c>
      <c r="S1217" s="317" t="str">
        <f t="shared" si="141"/>
        <v/>
      </c>
      <c r="T1217" s="317" t="str">
        <f>GLOBAL_DER_FEV_2023!S1217</f>
        <v/>
      </c>
      <c r="W1217" s="582">
        <v>0</v>
      </c>
      <c r="X1217" s="580"/>
      <c r="Y1217" s="583">
        <f>IF(GLOBAL_DER_FEV_2023!W1217=0,0,IF(GLOBAL_DER_FEV_2023!W1217&gt;0,"c","b"))</f>
        <v>0</v>
      </c>
    </row>
    <row r="1218" spans="1:25" ht="22.5" x14ac:dyDescent="0.2">
      <c r="A1218" s="317">
        <v>95811</v>
      </c>
      <c r="B1218" s="895">
        <v>95811</v>
      </c>
      <c r="C1218" s="896" t="s">
        <v>596</v>
      </c>
      <c r="D1218" s="906" t="s">
        <v>1148</v>
      </c>
      <c r="E1218" s="907">
        <f>GLOBAL_DER_FEV_2023!E1218</f>
        <v>0</v>
      </c>
      <c r="F1218" s="908">
        <f>GLOBAL_DER_FEV_2023!F1218</f>
        <v>0</v>
      </c>
      <c r="G1218" s="912">
        <f>GLOBAL_DER_FEV_2023!G1218</f>
        <v>0</v>
      </c>
      <c r="H1218" s="901">
        <f>GLOBAL_DER_FEV_2023!H1218</f>
        <v>24.43</v>
      </c>
      <c r="I1218" s="901">
        <f>GLOBAL_DER_FEV_2023!I1218</f>
        <v>24.43</v>
      </c>
      <c r="J1218" s="902">
        <f>GLOBAL_DER_FEV_2023!J1218</f>
        <v>29.33</v>
      </c>
      <c r="K1218" s="903" t="s">
        <v>1516</v>
      </c>
      <c r="L1218" s="1137"/>
      <c r="M1218" s="1138">
        <f t="shared" si="138"/>
        <v>0</v>
      </c>
      <c r="N1218" s="893">
        <f t="shared" si="142"/>
        <v>0</v>
      </c>
      <c r="O1218" s="905"/>
      <c r="Q1218" s="317" t="str">
        <f t="shared" si="139"/>
        <v/>
      </c>
      <c r="R1218" s="317" t="str">
        <f t="shared" si="140"/>
        <v/>
      </c>
      <c r="S1218" s="317" t="str">
        <f t="shared" si="141"/>
        <v/>
      </c>
      <c r="T1218" s="317" t="str">
        <f>GLOBAL_DER_FEV_2023!S1218</f>
        <v/>
      </c>
      <c r="W1218" s="582">
        <v>0</v>
      </c>
      <c r="X1218" s="580"/>
      <c r="Y1218" s="583">
        <f>IF(GLOBAL_DER_FEV_2023!W1218=0,0,IF(GLOBAL_DER_FEV_2023!W1218&gt;0,"c","b"))</f>
        <v>0</v>
      </c>
    </row>
    <row r="1219" spans="1:25" ht="22.5" x14ac:dyDescent="0.2">
      <c r="A1219" s="317">
        <v>95812</v>
      </c>
      <c r="B1219" s="895">
        <v>95812</v>
      </c>
      <c r="C1219" s="896" t="s">
        <v>596</v>
      </c>
      <c r="D1219" s="906" t="s">
        <v>1149</v>
      </c>
      <c r="E1219" s="907">
        <f>GLOBAL_DER_FEV_2023!E1219</f>
        <v>0</v>
      </c>
      <c r="F1219" s="908">
        <f>GLOBAL_DER_FEV_2023!F1219</f>
        <v>0</v>
      </c>
      <c r="G1219" s="912">
        <f>GLOBAL_DER_FEV_2023!G1219</f>
        <v>0</v>
      </c>
      <c r="H1219" s="901">
        <f>GLOBAL_DER_FEV_2023!H1219</f>
        <v>33.159999999999997</v>
      </c>
      <c r="I1219" s="901">
        <f>GLOBAL_DER_FEV_2023!I1219</f>
        <v>33.159999999999997</v>
      </c>
      <c r="J1219" s="902">
        <f>GLOBAL_DER_FEV_2023!J1219</f>
        <v>39.82</v>
      </c>
      <c r="K1219" s="903" t="s">
        <v>1516</v>
      </c>
      <c r="L1219" s="1137"/>
      <c r="M1219" s="1138">
        <f t="shared" si="138"/>
        <v>0</v>
      </c>
      <c r="N1219" s="893">
        <f t="shared" si="142"/>
        <v>0</v>
      </c>
      <c r="O1219" s="905"/>
      <c r="Q1219" s="317" t="str">
        <f t="shared" si="139"/>
        <v/>
      </c>
      <c r="R1219" s="317" t="str">
        <f t="shared" si="140"/>
        <v/>
      </c>
      <c r="S1219" s="317" t="str">
        <f t="shared" si="141"/>
        <v/>
      </c>
      <c r="T1219" s="317" t="str">
        <f>GLOBAL_DER_FEV_2023!S1219</f>
        <v/>
      </c>
      <c r="W1219" s="582">
        <v>0</v>
      </c>
      <c r="X1219" s="580"/>
      <c r="Y1219" s="583">
        <f>IF(GLOBAL_DER_FEV_2023!W1219=0,0,IF(GLOBAL_DER_FEV_2023!W1219&gt;0,"c","b"))</f>
        <v>0</v>
      </c>
    </row>
    <row r="1220" spans="1:25" ht="22.5" x14ac:dyDescent="0.2">
      <c r="A1220" s="317">
        <v>95813</v>
      </c>
      <c r="B1220" s="895">
        <v>95813</v>
      </c>
      <c r="C1220" s="896" t="s">
        <v>596</v>
      </c>
      <c r="D1220" s="906" t="s">
        <v>1150</v>
      </c>
      <c r="E1220" s="907">
        <f>GLOBAL_DER_FEV_2023!E1220</f>
        <v>0</v>
      </c>
      <c r="F1220" s="908">
        <f>GLOBAL_DER_FEV_2023!F1220</f>
        <v>0</v>
      </c>
      <c r="G1220" s="912">
        <f>GLOBAL_DER_FEV_2023!G1220</f>
        <v>0</v>
      </c>
      <c r="H1220" s="901">
        <f>GLOBAL_DER_FEV_2023!H1220</f>
        <v>23.14</v>
      </c>
      <c r="I1220" s="901">
        <f>GLOBAL_DER_FEV_2023!I1220</f>
        <v>23.14</v>
      </c>
      <c r="J1220" s="902">
        <f>GLOBAL_DER_FEV_2023!J1220</f>
        <v>27.78</v>
      </c>
      <c r="K1220" s="903" t="s">
        <v>1516</v>
      </c>
      <c r="L1220" s="1137"/>
      <c r="M1220" s="1138">
        <f t="shared" si="138"/>
        <v>0</v>
      </c>
      <c r="N1220" s="893">
        <f t="shared" si="142"/>
        <v>0</v>
      </c>
      <c r="O1220" s="905"/>
      <c r="Q1220" s="317" t="str">
        <f t="shared" si="139"/>
        <v/>
      </c>
      <c r="R1220" s="317" t="str">
        <f t="shared" si="140"/>
        <v/>
      </c>
      <c r="S1220" s="317" t="str">
        <f t="shared" si="141"/>
        <v/>
      </c>
      <c r="T1220" s="317" t="str">
        <f>GLOBAL_DER_FEV_2023!S1220</f>
        <v/>
      </c>
      <c r="W1220" s="582">
        <v>0</v>
      </c>
      <c r="X1220" s="580"/>
      <c r="Y1220" s="583">
        <f>IF(GLOBAL_DER_FEV_2023!W1220=0,0,IF(GLOBAL_DER_FEV_2023!W1220&gt;0,"c","b"))</f>
        <v>0</v>
      </c>
    </row>
    <row r="1221" spans="1:25" ht="22.5" x14ac:dyDescent="0.2">
      <c r="A1221" s="317">
        <v>95814</v>
      </c>
      <c r="B1221" s="895">
        <v>95814</v>
      </c>
      <c r="C1221" s="896" t="s">
        <v>596</v>
      </c>
      <c r="D1221" s="906" t="s">
        <v>1151</v>
      </c>
      <c r="E1221" s="907">
        <f>GLOBAL_DER_FEV_2023!E1221</f>
        <v>0</v>
      </c>
      <c r="F1221" s="908">
        <f>GLOBAL_DER_FEV_2023!F1221</f>
        <v>0</v>
      </c>
      <c r="G1221" s="912">
        <f>GLOBAL_DER_FEV_2023!G1221</f>
        <v>0</v>
      </c>
      <c r="H1221" s="901">
        <f>GLOBAL_DER_FEV_2023!H1221</f>
        <v>29.12</v>
      </c>
      <c r="I1221" s="901">
        <f>GLOBAL_DER_FEV_2023!I1221</f>
        <v>29.12</v>
      </c>
      <c r="J1221" s="902">
        <f>GLOBAL_DER_FEV_2023!J1221</f>
        <v>34.96</v>
      </c>
      <c r="K1221" s="903" t="s">
        <v>1516</v>
      </c>
      <c r="L1221" s="1137"/>
      <c r="M1221" s="1138">
        <f t="shared" si="138"/>
        <v>0</v>
      </c>
      <c r="N1221" s="893">
        <f t="shared" si="142"/>
        <v>0</v>
      </c>
      <c r="O1221" s="905"/>
      <c r="Q1221" s="317" t="str">
        <f t="shared" si="139"/>
        <v/>
      </c>
      <c r="R1221" s="317" t="str">
        <f t="shared" si="140"/>
        <v/>
      </c>
      <c r="S1221" s="317" t="str">
        <f t="shared" si="141"/>
        <v/>
      </c>
      <c r="T1221" s="317" t="str">
        <f>GLOBAL_DER_FEV_2023!S1221</f>
        <v/>
      </c>
      <c r="W1221" s="582">
        <v>0</v>
      </c>
      <c r="X1221" s="580"/>
      <c r="Y1221" s="583">
        <f>IF(GLOBAL_DER_FEV_2023!W1221=0,0,IF(GLOBAL_DER_FEV_2023!W1221&gt;0,"c","b"))</f>
        <v>0</v>
      </c>
    </row>
    <row r="1222" spans="1:25" ht="22.5" x14ac:dyDescent="0.2">
      <c r="A1222" s="317">
        <v>95815</v>
      </c>
      <c r="B1222" s="895">
        <v>95815</v>
      </c>
      <c r="C1222" s="896" t="s">
        <v>596</v>
      </c>
      <c r="D1222" s="906" t="s">
        <v>1152</v>
      </c>
      <c r="E1222" s="907">
        <f>GLOBAL_DER_FEV_2023!E1222</f>
        <v>0</v>
      </c>
      <c r="F1222" s="908">
        <f>GLOBAL_DER_FEV_2023!F1222</f>
        <v>0</v>
      </c>
      <c r="G1222" s="912">
        <f>GLOBAL_DER_FEV_2023!G1222</f>
        <v>0</v>
      </c>
      <c r="H1222" s="901">
        <f>GLOBAL_DER_FEV_2023!H1222</f>
        <v>42.77</v>
      </c>
      <c r="I1222" s="901">
        <f>GLOBAL_DER_FEV_2023!I1222</f>
        <v>42.77</v>
      </c>
      <c r="J1222" s="902">
        <f>GLOBAL_DER_FEV_2023!J1222</f>
        <v>51.35</v>
      </c>
      <c r="K1222" s="903" t="s">
        <v>1516</v>
      </c>
      <c r="L1222" s="1137"/>
      <c r="M1222" s="1138">
        <f t="shared" ref="M1222:M1285" si="143">IF(L1222=0,0,ROUND(J1222,2))</f>
        <v>0</v>
      </c>
      <c r="N1222" s="893">
        <f t="shared" si="142"/>
        <v>0</v>
      </c>
      <c r="O1222" s="905"/>
      <c r="Q1222" s="317" t="str">
        <f t="shared" si="139"/>
        <v/>
      </c>
      <c r="R1222" s="317" t="str">
        <f t="shared" si="140"/>
        <v/>
      </c>
      <c r="S1222" s="317" t="str">
        <f t="shared" si="141"/>
        <v/>
      </c>
      <c r="T1222" s="317" t="str">
        <f>GLOBAL_DER_FEV_2023!S1222</f>
        <v/>
      </c>
      <c r="W1222" s="582">
        <v>0</v>
      </c>
      <c r="X1222" s="580"/>
      <c r="Y1222" s="583">
        <f>IF(GLOBAL_DER_FEV_2023!W1222=0,0,IF(GLOBAL_DER_FEV_2023!W1222&gt;0,"c","b"))</f>
        <v>0</v>
      </c>
    </row>
    <row r="1223" spans="1:25" ht="22.5" x14ac:dyDescent="0.2">
      <c r="A1223" s="317">
        <v>95816</v>
      </c>
      <c r="B1223" s="895">
        <v>95816</v>
      </c>
      <c r="C1223" s="896" t="s">
        <v>596</v>
      </c>
      <c r="D1223" s="906" t="s">
        <v>1153</v>
      </c>
      <c r="E1223" s="907">
        <f>GLOBAL_DER_FEV_2023!E1223</f>
        <v>0</v>
      </c>
      <c r="F1223" s="908">
        <f>GLOBAL_DER_FEV_2023!F1223</f>
        <v>0</v>
      </c>
      <c r="G1223" s="912">
        <f>GLOBAL_DER_FEV_2023!G1223</f>
        <v>0</v>
      </c>
      <c r="H1223" s="901">
        <f>GLOBAL_DER_FEV_2023!H1223</f>
        <v>38.6</v>
      </c>
      <c r="I1223" s="901">
        <f>GLOBAL_DER_FEV_2023!I1223</f>
        <v>38.6</v>
      </c>
      <c r="J1223" s="902">
        <f>GLOBAL_DER_FEV_2023!J1223</f>
        <v>46.35</v>
      </c>
      <c r="K1223" s="903" t="s">
        <v>1516</v>
      </c>
      <c r="L1223" s="1137"/>
      <c r="M1223" s="1138">
        <f t="shared" si="143"/>
        <v>0</v>
      </c>
      <c r="N1223" s="893">
        <f t="shared" si="142"/>
        <v>0</v>
      </c>
      <c r="O1223" s="905"/>
      <c r="Q1223" s="317" t="str">
        <f t="shared" si="139"/>
        <v/>
      </c>
      <c r="R1223" s="317" t="str">
        <f t="shared" si="140"/>
        <v/>
      </c>
      <c r="S1223" s="317" t="str">
        <f t="shared" si="141"/>
        <v/>
      </c>
      <c r="T1223" s="317" t="str">
        <f>GLOBAL_DER_FEV_2023!S1223</f>
        <v/>
      </c>
      <c r="W1223" s="582">
        <v>0</v>
      </c>
      <c r="X1223" s="580"/>
      <c r="Y1223" s="583">
        <f>IF(GLOBAL_DER_FEV_2023!W1223=0,0,IF(GLOBAL_DER_FEV_2023!W1223&gt;0,"c","b"))</f>
        <v>0</v>
      </c>
    </row>
    <row r="1224" spans="1:25" ht="22.5" x14ac:dyDescent="0.2">
      <c r="A1224" s="317">
        <v>95817</v>
      </c>
      <c r="B1224" s="895">
        <v>95817</v>
      </c>
      <c r="C1224" s="896" t="s">
        <v>596</v>
      </c>
      <c r="D1224" s="906" t="s">
        <v>1154</v>
      </c>
      <c r="E1224" s="907">
        <f>GLOBAL_DER_FEV_2023!E1224</f>
        <v>0</v>
      </c>
      <c r="F1224" s="908">
        <f>GLOBAL_DER_FEV_2023!F1224</f>
        <v>0</v>
      </c>
      <c r="G1224" s="912">
        <f>GLOBAL_DER_FEV_2023!G1224</f>
        <v>0</v>
      </c>
      <c r="H1224" s="901">
        <f>GLOBAL_DER_FEV_2023!H1224</f>
        <v>45.47</v>
      </c>
      <c r="I1224" s="901">
        <f>GLOBAL_DER_FEV_2023!I1224</f>
        <v>45.47</v>
      </c>
      <c r="J1224" s="902">
        <f>GLOBAL_DER_FEV_2023!J1224</f>
        <v>54.6</v>
      </c>
      <c r="K1224" s="903" t="s">
        <v>1516</v>
      </c>
      <c r="L1224" s="1137"/>
      <c r="M1224" s="1138">
        <f t="shared" si="143"/>
        <v>0</v>
      </c>
      <c r="N1224" s="893">
        <f t="shared" si="142"/>
        <v>0</v>
      </c>
      <c r="O1224" s="905"/>
      <c r="Q1224" s="317" t="str">
        <f t="shared" si="139"/>
        <v/>
      </c>
      <c r="R1224" s="317" t="str">
        <f t="shared" si="140"/>
        <v/>
      </c>
      <c r="S1224" s="317" t="str">
        <f t="shared" si="141"/>
        <v/>
      </c>
      <c r="T1224" s="317" t="str">
        <f>GLOBAL_DER_FEV_2023!S1224</f>
        <v/>
      </c>
      <c r="W1224" s="582">
        <v>0</v>
      </c>
      <c r="X1224" s="580"/>
      <c r="Y1224" s="583">
        <f>IF(GLOBAL_DER_FEV_2023!W1224=0,0,IF(GLOBAL_DER_FEV_2023!W1224&gt;0,"c","b"))</f>
        <v>0</v>
      </c>
    </row>
    <row r="1225" spans="1:25" ht="22.5" x14ac:dyDescent="0.2">
      <c r="A1225" s="317">
        <v>95818</v>
      </c>
      <c r="B1225" s="895">
        <v>95818</v>
      </c>
      <c r="C1225" s="896" t="s">
        <v>596</v>
      </c>
      <c r="D1225" s="906" t="s">
        <v>1155</v>
      </c>
      <c r="E1225" s="907">
        <f>GLOBAL_DER_FEV_2023!E1225</f>
        <v>0</v>
      </c>
      <c r="F1225" s="908">
        <f>GLOBAL_DER_FEV_2023!F1225</f>
        <v>0</v>
      </c>
      <c r="G1225" s="912">
        <f>GLOBAL_DER_FEV_2023!G1225</f>
        <v>0</v>
      </c>
      <c r="H1225" s="901">
        <f>GLOBAL_DER_FEV_2023!H1225</f>
        <v>63.06</v>
      </c>
      <c r="I1225" s="901">
        <f>GLOBAL_DER_FEV_2023!I1225</f>
        <v>63.06</v>
      </c>
      <c r="J1225" s="902">
        <f>GLOBAL_DER_FEV_2023!J1225</f>
        <v>75.72</v>
      </c>
      <c r="K1225" s="903" t="s">
        <v>1516</v>
      </c>
      <c r="L1225" s="1137"/>
      <c r="M1225" s="1138">
        <f t="shared" si="143"/>
        <v>0</v>
      </c>
      <c r="N1225" s="893">
        <f t="shared" si="142"/>
        <v>0</v>
      </c>
      <c r="O1225" s="905"/>
      <c r="Q1225" s="317" t="str">
        <f t="shared" si="139"/>
        <v/>
      </c>
      <c r="R1225" s="317" t="str">
        <f t="shared" si="140"/>
        <v/>
      </c>
      <c r="S1225" s="317" t="str">
        <f t="shared" si="141"/>
        <v/>
      </c>
      <c r="T1225" s="317" t="str">
        <f>GLOBAL_DER_FEV_2023!S1225</f>
        <v/>
      </c>
      <c r="W1225" s="582">
        <v>0</v>
      </c>
      <c r="X1225" s="580"/>
      <c r="Y1225" s="583">
        <f>IF(GLOBAL_DER_FEV_2023!W1225=0,0,IF(GLOBAL_DER_FEV_2023!W1225&gt;0,"c","b"))</f>
        <v>0</v>
      </c>
    </row>
    <row r="1226" spans="1:25" ht="22.5" x14ac:dyDescent="0.2">
      <c r="A1226" s="317">
        <v>91936</v>
      </c>
      <c r="B1226" s="895">
        <v>91936</v>
      </c>
      <c r="C1226" s="896" t="s">
        <v>596</v>
      </c>
      <c r="D1226" s="906" t="s">
        <v>1156</v>
      </c>
      <c r="E1226" s="907">
        <f>GLOBAL_DER_FEV_2023!E1226</f>
        <v>0</v>
      </c>
      <c r="F1226" s="908">
        <f>GLOBAL_DER_FEV_2023!F1226</f>
        <v>0</v>
      </c>
      <c r="G1226" s="912">
        <f>GLOBAL_DER_FEV_2023!G1226</f>
        <v>0</v>
      </c>
      <c r="H1226" s="901">
        <f>GLOBAL_DER_FEV_2023!H1226</f>
        <v>16.95</v>
      </c>
      <c r="I1226" s="901">
        <f>GLOBAL_DER_FEV_2023!I1226</f>
        <v>16.95</v>
      </c>
      <c r="J1226" s="902">
        <f>GLOBAL_DER_FEV_2023!J1226</f>
        <v>20.350000000000001</v>
      </c>
      <c r="K1226" s="903" t="s">
        <v>1516</v>
      </c>
      <c r="L1226" s="1137"/>
      <c r="M1226" s="1138">
        <f t="shared" si="143"/>
        <v>0</v>
      </c>
      <c r="N1226" s="893">
        <f t="shared" si="142"/>
        <v>0</v>
      </c>
      <c r="O1226" s="905"/>
      <c r="Q1226" s="317" t="str">
        <f t="shared" si="139"/>
        <v/>
      </c>
      <c r="R1226" s="317" t="str">
        <f t="shared" si="140"/>
        <v/>
      </c>
      <c r="S1226" s="317" t="str">
        <f t="shared" si="141"/>
        <v/>
      </c>
      <c r="T1226" s="317" t="str">
        <f>GLOBAL_DER_FEV_2023!S1226</f>
        <v/>
      </c>
      <c r="W1226" s="582">
        <v>0</v>
      </c>
      <c r="X1226" s="580"/>
      <c r="Y1226" s="583">
        <f>IF(GLOBAL_DER_FEV_2023!W1226=0,0,IF(GLOBAL_DER_FEV_2023!W1226&gt;0,"c","b"))</f>
        <v>0</v>
      </c>
    </row>
    <row r="1227" spans="1:25" ht="22.5" x14ac:dyDescent="0.2">
      <c r="A1227" s="317">
        <v>91937</v>
      </c>
      <c r="B1227" s="895">
        <v>91937</v>
      </c>
      <c r="C1227" s="896" t="s">
        <v>596</v>
      </c>
      <c r="D1227" s="906" t="s">
        <v>1157</v>
      </c>
      <c r="E1227" s="907">
        <f>GLOBAL_DER_FEV_2023!E1227</f>
        <v>0</v>
      </c>
      <c r="F1227" s="908">
        <f>GLOBAL_DER_FEV_2023!F1227</f>
        <v>0</v>
      </c>
      <c r="G1227" s="912">
        <f>GLOBAL_DER_FEV_2023!G1227</f>
        <v>0</v>
      </c>
      <c r="H1227" s="901">
        <f>GLOBAL_DER_FEV_2023!H1227</f>
        <v>14.37</v>
      </c>
      <c r="I1227" s="901">
        <f>GLOBAL_DER_FEV_2023!I1227</f>
        <v>14.37</v>
      </c>
      <c r="J1227" s="902">
        <f>GLOBAL_DER_FEV_2023!J1227</f>
        <v>17.25</v>
      </c>
      <c r="K1227" s="903" t="s">
        <v>1516</v>
      </c>
      <c r="L1227" s="1137"/>
      <c r="M1227" s="1138">
        <f t="shared" si="143"/>
        <v>0</v>
      </c>
      <c r="N1227" s="893">
        <f t="shared" si="142"/>
        <v>0</v>
      </c>
      <c r="O1227" s="905"/>
      <c r="Q1227" s="317" t="str">
        <f t="shared" si="139"/>
        <v/>
      </c>
      <c r="R1227" s="317" t="str">
        <f t="shared" si="140"/>
        <v/>
      </c>
      <c r="S1227" s="317" t="str">
        <f t="shared" si="141"/>
        <v/>
      </c>
      <c r="T1227" s="317" t="str">
        <f>GLOBAL_DER_FEV_2023!S1227</f>
        <v/>
      </c>
      <c r="W1227" s="582">
        <v>0</v>
      </c>
      <c r="X1227" s="580"/>
      <c r="Y1227" s="583">
        <f>IF(GLOBAL_DER_FEV_2023!W1227=0,0,IF(GLOBAL_DER_FEV_2023!W1227&gt;0,"c","b"))</f>
        <v>0</v>
      </c>
    </row>
    <row r="1228" spans="1:25" ht="22.5" x14ac:dyDescent="0.2">
      <c r="A1228" s="317">
        <v>91939</v>
      </c>
      <c r="B1228" s="895">
        <v>91939</v>
      </c>
      <c r="C1228" s="896" t="s">
        <v>596</v>
      </c>
      <c r="D1228" s="906" t="s">
        <v>1158</v>
      </c>
      <c r="E1228" s="907">
        <f>GLOBAL_DER_FEV_2023!E1228</f>
        <v>0</v>
      </c>
      <c r="F1228" s="908">
        <f>GLOBAL_DER_FEV_2023!F1228</f>
        <v>0</v>
      </c>
      <c r="G1228" s="912">
        <f>GLOBAL_DER_FEV_2023!G1228</f>
        <v>0</v>
      </c>
      <c r="H1228" s="901">
        <f>GLOBAL_DER_FEV_2023!H1228</f>
        <v>34.94</v>
      </c>
      <c r="I1228" s="901">
        <f>GLOBAL_DER_FEV_2023!I1228</f>
        <v>34.94</v>
      </c>
      <c r="J1228" s="902">
        <f>GLOBAL_DER_FEV_2023!J1228</f>
        <v>41.95</v>
      </c>
      <c r="K1228" s="903" t="s">
        <v>1516</v>
      </c>
      <c r="L1228" s="1137"/>
      <c r="M1228" s="1138">
        <f t="shared" si="143"/>
        <v>0</v>
      </c>
      <c r="N1228" s="893">
        <f t="shared" si="142"/>
        <v>0</v>
      </c>
      <c r="O1228" s="905"/>
      <c r="Q1228" s="317" t="str">
        <f t="shared" si="139"/>
        <v/>
      </c>
      <c r="R1228" s="317" t="str">
        <f t="shared" si="140"/>
        <v/>
      </c>
      <c r="S1228" s="317" t="str">
        <f t="shared" si="141"/>
        <v/>
      </c>
      <c r="T1228" s="317" t="str">
        <f>GLOBAL_DER_FEV_2023!S1228</f>
        <v/>
      </c>
      <c r="W1228" s="582">
        <v>0</v>
      </c>
      <c r="X1228" s="580"/>
      <c r="Y1228" s="583">
        <f>IF(GLOBAL_DER_FEV_2023!W1228=0,0,IF(GLOBAL_DER_FEV_2023!W1228&gt;0,"c","b"))</f>
        <v>0</v>
      </c>
    </row>
    <row r="1229" spans="1:25" ht="22.5" x14ac:dyDescent="0.2">
      <c r="A1229" s="317">
        <v>91940</v>
      </c>
      <c r="B1229" s="895">
        <v>91940</v>
      </c>
      <c r="C1229" s="896" t="s">
        <v>596</v>
      </c>
      <c r="D1229" s="906" t="s">
        <v>1159</v>
      </c>
      <c r="E1229" s="907">
        <f>GLOBAL_DER_FEV_2023!E1229</f>
        <v>0</v>
      </c>
      <c r="F1229" s="908">
        <f>GLOBAL_DER_FEV_2023!F1229</f>
        <v>0</v>
      </c>
      <c r="G1229" s="912">
        <f>GLOBAL_DER_FEV_2023!G1229</f>
        <v>0</v>
      </c>
      <c r="H1229" s="901">
        <f>GLOBAL_DER_FEV_2023!H1229</f>
        <v>18.61</v>
      </c>
      <c r="I1229" s="901">
        <f>GLOBAL_DER_FEV_2023!I1229</f>
        <v>18.61</v>
      </c>
      <c r="J1229" s="902">
        <f>GLOBAL_DER_FEV_2023!J1229</f>
        <v>22.35</v>
      </c>
      <c r="K1229" s="903" t="s">
        <v>1516</v>
      </c>
      <c r="L1229" s="1137"/>
      <c r="M1229" s="1138">
        <f t="shared" si="143"/>
        <v>0</v>
      </c>
      <c r="N1229" s="893">
        <f t="shared" si="142"/>
        <v>0</v>
      </c>
      <c r="O1229" s="905"/>
      <c r="Q1229" s="317" t="str">
        <f t="shared" si="139"/>
        <v/>
      </c>
      <c r="R1229" s="317" t="str">
        <f t="shared" si="140"/>
        <v/>
      </c>
      <c r="S1229" s="317" t="str">
        <f t="shared" si="141"/>
        <v/>
      </c>
      <c r="T1229" s="317" t="str">
        <f>GLOBAL_DER_FEV_2023!S1229</f>
        <v/>
      </c>
      <c r="W1229" s="582">
        <v>0</v>
      </c>
      <c r="X1229" s="580"/>
      <c r="Y1229" s="583">
        <f>IF(GLOBAL_DER_FEV_2023!W1229=0,0,IF(GLOBAL_DER_FEV_2023!W1229&gt;0,"c","b"))</f>
        <v>0</v>
      </c>
    </row>
    <row r="1230" spans="1:25" ht="22.5" x14ac:dyDescent="0.2">
      <c r="A1230" s="317">
        <v>91941</v>
      </c>
      <c r="B1230" s="895">
        <v>91941</v>
      </c>
      <c r="C1230" s="896" t="s">
        <v>596</v>
      </c>
      <c r="D1230" s="906" t="s">
        <v>1160</v>
      </c>
      <c r="E1230" s="907">
        <f>GLOBAL_DER_FEV_2023!E1230</f>
        <v>0</v>
      </c>
      <c r="F1230" s="908">
        <f>GLOBAL_DER_FEV_2023!F1230</f>
        <v>0</v>
      </c>
      <c r="G1230" s="912">
        <f>GLOBAL_DER_FEV_2023!G1230</f>
        <v>0</v>
      </c>
      <c r="H1230" s="901">
        <f>GLOBAL_DER_FEV_2023!H1230</f>
        <v>12.49</v>
      </c>
      <c r="I1230" s="901">
        <f>GLOBAL_DER_FEV_2023!I1230</f>
        <v>12.49</v>
      </c>
      <c r="J1230" s="902">
        <f>GLOBAL_DER_FEV_2023!J1230</f>
        <v>15</v>
      </c>
      <c r="K1230" s="903" t="s">
        <v>1516</v>
      </c>
      <c r="L1230" s="1137"/>
      <c r="M1230" s="1138">
        <f t="shared" si="143"/>
        <v>0</v>
      </c>
      <c r="N1230" s="893">
        <f t="shared" si="142"/>
        <v>0</v>
      </c>
      <c r="O1230" s="905"/>
      <c r="Q1230" s="317" t="str">
        <f t="shared" si="139"/>
        <v/>
      </c>
      <c r="R1230" s="317" t="str">
        <f t="shared" si="140"/>
        <v/>
      </c>
      <c r="S1230" s="317" t="str">
        <f t="shared" si="141"/>
        <v/>
      </c>
      <c r="T1230" s="317" t="str">
        <f>GLOBAL_DER_FEV_2023!S1230</f>
        <v/>
      </c>
      <c r="W1230" s="582">
        <v>0</v>
      </c>
      <c r="X1230" s="580"/>
      <c r="Y1230" s="583">
        <f>IF(GLOBAL_DER_FEV_2023!W1230=0,0,IF(GLOBAL_DER_FEV_2023!W1230&gt;0,"c","b"))</f>
        <v>0</v>
      </c>
    </row>
    <row r="1231" spans="1:25" ht="22.5" x14ac:dyDescent="0.2">
      <c r="A1231" s="317">
        <v>91942</v>
      </c>
      <c r="B1231" s="895">
        <v>91942</v>
      </c>
      <c r="C1231" s="896" t="s">
        <v>596</v>
      </c>
      <c r="D1231" s="906" t="s">
        <v>1161</v>
      </c>
      <c r="E1231" s="907">
        <f>GLOBAL_DER_FEV_2023!E1231</f>
        <v>0</v>
      </c>
      <c r="F1231" s="908">
        <f>GLOBAL_DER_FEV_2023!F1231</f>
        <v>0</v>
      </c>
      <c r="G1231" s="912">
        <f>GLOBAL_DER_FEV_2023!G1231</f>
        <v>0</v>
      </c>
      <c r="H1231" s="901">
        <f>GLOBAL_DER_FEV_2023!H1231</f>
        <v>42.95</v>
      </c>
      <c r="I1231" s="901">
        <f>GLOBAL_DER_FEV_2023!I1231</f>
        <v>42.95</v>
      </c>
      <c r="J1231" s="902">
        <f>GLOBAL_DER_FEV_2023!J1231</f>
        <v>51.57</v>
      </c>
      <c r="K1231" s="903" t="s">
        <v>1516</v>
      </c>
      <c r="L1231" s="1137"/>
      <c r="M1231" s="1138">
        <f t="shared" si="143"/>
        <v>0</v>
      </c>
      <c r="N1231" s="893">
        <f t="shared" si="142"/>
        <v>0</v>
      </c>
      <c r="O1231" s="905"/>
      <c r="Q1231" s="317" t="str">
        <f t="shared" si="139"/>
        <v/>
      </c>
      <c r="R1231" s="317" t="str">
        <f t="shared" si="140"/>
        <v/>
      </c>
      <c r="S1231" s="317" t="str">
        <f t="shared" si="141"/>
        <v/>
      </c>
      <c r="T1231" s="317" t="str">
        <f>GLOBAL_DER_FEV_2023!S1231</f>
        <v/>
      </c>
      <c r="W1231" s="582">
        <v>0</v>
      </c>
      <c r="X1231" s="580"/>
      <c r="Y1231" s="583">
        <f>IF(GLOBAL_DER_FEV_2023!W1231=0,0,IF(GLOBAL_DER_FEV_2023!W1231&gt;0,"c","b"))</f>
        <v>0</v>
      </c>
    </row>
    <row r="1232" spans="1:25" ht="22.5" x14ac:dyDescent="0.2">
      <c r="A1232" s="317">
        <v>91943</v>
      </c>
      <c r="B1232" s="895">
        <v>91943</v>
      </c>
      <c r="C1232" s="896" t="s">
        <v>596</v>
      </c>
      <c r="D1232" s="906" t="s">
        <v>1162</v>
      </c>
      <c r="E1232" s="907">
        <f>GLOBAL_DER_FEV_2023!E1232</f>
        <v>0</v>
      </c>
      <c r="F1232" s="908">
        <f>GLOBAL_DER_FEV_2023!F1232</f>
        <v>0</v>
      </c>
      <c r="G1232" s="912">
        <f>GLOBAL_DER_FEV_2023!G1232</f>
        <v>0</v>
      </c>
      <c r="H1232" s="901">
        <f>GLOBAL_DER_FEV_2023!H1232</f>
        <v>24.17</v>
      </c>
      <c r="I1232" s="901">
        <f>GLOBAL_DER_FEV_2023!I1232</f>
        <v>24.17</v>
      </c>
      <c r="J1232" s="902">
        <f>GLOBAL_DER_FEV_2023!J1232</f>
        <v>29.02</v>
      </c>
      <c r="K1232" s="903" t="s">
        <v>1516</v>
      </c>
      <c r="L1232" s="1137"/>
      <c r="M1232" s="1138">
        <f t="shared" si="143"/>
        <v>0</v>
      </c>
      <c r="N1232" s="893">
        <f t="shared" si="142"/>
        <v>0</v>
      </c>
      <c r="O1232" s="905"/>
      <c r="Q1232" s="317" t="str">
        <f t="shared" si="139"/>
        <v/>
      </c>
      <c r="R1232" s="317" t="str">
        <f t="shared" si="140"/>
        <v/>
      </c>
      <c r="S1232" s="317" t="str">
        <f t="shared" si="141"/>
        <v/>
      </c>
      <c r="T1232" s="317" t="str">
        <f>GLOBAL_DER_FEV_2023!S1232</f>
        <v/>
      </c>
      <c r="W1232" s="582">
        <v>0</v>
      </c>
      <c r="X1232" s="580"/>
      <c r="Y1232" s="583">
        <f>IF(GLOBAL_DER_FEV_2023!W1232=0,0,IF(GLOBAL_DER_FEV_2023!W1232&gt;0,"c","b"))</f>
        <v>0</v>
      </c>
    </row>
    <row r="1233" spans="1:25" ht="22.5" x14ac:dyDescent="0.2">
      <c r="A1233" s="317">
        <v>91944</v>
      </c>
      <c r="B1233" s="895">
        <v>91944</v>
      </c>
      <c r="C1233" s="896" t="s">
        <v>596</v>
      </c>
      <c r="D1233" s="906" t="s">
        <v>1163</v>
      </c>
      <c r="E1233" s="907">
        <f>GLOBAL_DER_FEV_2023!E1233</f>
        <v>0</v>
      </c>
      <c r="F1233" s="908">
        <f>GLOBAL_DER_FEV_2023!F1233</f>
        <v>0</v>
      </c>
      <c r="G1233" s="912">
        <f>GLOBAL_DER_FEV_2023!G1233</f>
        <v>0</v>
      </c>
      <c r="H1233" s="901">
        <f>GLOBAL_DER_FEV_2023!H1233</f>
        <v>17.149999999999999</v>
      </c>
      <c r="I1233" s="901">
        <f>GLOBAL_DER_FEV_2023!I1233</f>
        <v>17.149999999999999</v>
      </c>
      <c r="J1233" s="902">
        <f>GLOBAL_DER_FEV_2023!J1233</f>
        <v>20.59</v>
      </c>
      <c r="K1233" s="903" t="s">
        <v>1516</v>
      </c>
      <c r="L1233" s="1137"/>
      <c r="M1233" s="1138">
        <f t="shared" si="143"/>
        <v>0</v>
      </c>
      <c r="N1233" s="893">
        <f t="shared" si="142"/>
        <v>0</v>
      </c>
      <c r="O1233" s="905"/>
      <c r="Q1233" s="317" t="str">
        <f t="shared" ref="Q1233:Q1296" si="144">IF(P1233="X","x",IF(P1233="xx","x",IF(P1233="xy","x",IF(P1233="y","x",IF(OR(N1233&gt;0,N1233&gt;0),"x","")))))</f>
        <v/>
      </c>
      <c r="R1233" s="317" t="str">
        <f t="shared" si="140"/>
        <v/>
      </c>
      <c r="S1233" s="317" t="str">
        <f t="shared" si="141"/>
        <v/>
      </c>
      <c r="T1233" s="317" t="str">
        <f>GLOBAL_DER_FEV_2023!S1233</f>
        <v/>
      </c>
      <c r="W1233" s="582">
        <v>0</v>
      </c>
      <c r="X1233" s="580"/>
      <c r="Y1233" s="583">
        <f>IF(GLOBAL_DER_FEV_2023!W1233=0,0,IF(GLOBAL_DER_FEV_2023!W1233&gt;0,"c","b"))</f>
        <v>0</v>
      </c>
    </row>
    <row r="1234" spans="1:25" ht="22.5" x14ac:dyDescent="0.2">
      <c r="A1234" s="317">
        <v>92865</v>
      </c>
      <c r="B1234" s="895">
        <v>92865</v>
      </c>
      <c r="C1234" s="896" t="s">
        <v>596</v>
      </c>
      <c r="D1234" s="906" t="s">
        <v>1164</v>
      </c>
      <c r="E1234" s="907">
        <f>GLOBAL_DER_FEV_2023!E1234</f>
        <v>0</v>
      </c>
      <c r="F1234" s="908">
        <f>GLOBAL_DER_FEV_2023!F1234</f>
        <v>0</v>
      </c>
      <c r="G1234" s="912">
        <f>GLOBAL_DER_FEV_2023!G1234</f>
        <v>0</v>
      </c>
      <c r="H1234" s="901">
        <f>GLOBAL_DER_FEV_2023!H1234</f>
        <v>13.15</v>
      </c>
      <c r="I1234" s="901">
        <f>GLOBAL_DER_FEV_2023!I1234</f>
        <v>13.15</v>
      </c>
      <c r="J1234" s="902">
        <f>GLOBAL_DER_FEV_2023!J1234</f>
        <v>15.79</v>
      </c>
      <c r="K1234" s="903" t="s">
        <v>1516</v>
      </c>
      <c r="L1234" s="1137"/>
      <c r="M1234" s="1138">
        <f t="shared" si="143"/>
        <v>0</v>
      </c>
      <c r="N1234" s="893">
        <f t="shared" si="142"/>
        <v>0</v>
      </c>
      <c r="O1234" s="905"/>
      <c r="Q1234" s="317" t="str">
        <f t="shared" si="144"/>
        <v/>
      </c>
      <c r="R1234" s="317" t="str">
        <f t="shared" si="140"/>
        <v/>
      </c>
      <c r="S1234" s="317" t="str">
        <f t="shared" si="141"/>
        <v/>
      </c>
      <c r="T1234" s="317" t="str">
        <f>GLOBAL_DER_FEV_2023!S1234</f>
        <v/>
      </c>
      <c r="W1234" s="582">
        <v>0</v>
      </c>
      <c r="X1234" s="580"/>
      <c r="Y1234" s="583">
        <f>IF(GLOBAL_DER_FEV_2023!W1234=0,0,IF(GLOBAL_DER_FEV_2023!W1234&gt;0,"c","b"))</f>
        <v>0</v>
      </c>
    </row>
    <row r="1235" spans="1:25" ht="22.5" x14ac:dyDescent="0.2">
      <c r="A1235" s="317">
        <v>92866</v>
      </c>
      <c r="B1235" s="895">
        <v>92866</v>
      </c>
      <c r="C1235" s="896" t="s">
        <v>596</v>
      </c>
      <c r="D1235" s="906" t="s">
        <v>1165</v>
      </c>
      <c r="E1235" s="907">
        <f>GLOBAL_DER_FEV_2023!E1235</f>
        <v>0</v>
      </c>
      <c r="F1235" s="908">
        <f>GLOBAL_DER_FEV_2023!F1235</f>
        <v>0</v>
      </c>
      <c r="G1235" s="912">
        <f>GLOBAL_DER_FEV_2023!G1235</f>
        <v>0</v>
      </c>
      <c r="H1235" s="901">
        <f>GLOBAL_DER_FEV_2023!H1235</f>
        <v>10.67</v>
      </c>
      <c r="I1235" s="901">
        <f>GLOBAL_DER_FEV_2023!I1235</f>
        <v>10.67</v>
      </c>
      <c r="J1235" s="902">
        <f>GLOBAL_DER_FEV_2023!J1235</f>
        <v>12.81</v>
      </c>
      <c r="K1235" s="903" t="s">
        <v>1516</v>
      </c>
      <c r="L1235" s="1137"/>
      <c r="M1235" s="1138">
        <f t="shared" si="143"/>
        <v>0</v>
      </c>
      <c r="N1235" s="893">
        <f t="shared" si="142"/>
        <v>0</v>
      </c>
      <c r="O1235" s="905"/>
      <c r="Q1235" s="317" t="str">
        <f t="shared" si="144"/>
        <v/>
      </c>
      <c r="R1235" s="317" t="str">
        <f t="shared" ref="R1235:R1298" si="145">IF(P1235="X","x",IF(P1235="y","x",IF(P1235="xx","x",IF(N1235&gt;0,"x",""))))</f>
        <v/>
      </c>
      <c r="S1235" s="317" t="str">
        <f t="shared" ref="S1235:S1298" si="146">IF(P1235="X","x",IF(N1235&gt;0,"x",""))</f>
        <v/>
      </c>
      <c r="T1235" s="317" t="str">
        <f>GLOBAL_DER_FEV_2023!S1235</f>
        <v/>
      </c>
      <c r="W1235" s="582">
        <v>0</v>
      </c>
      <c r="X1235" s="580"/>
      <c r="Y1235" s="583">
        <f>IF(GLOBAL_DER_FEV_2023!W1235=0,0,IF(GLOBAL_DER_FEV_2023!W1235&gt;0,"c","b"))</f>
        <v>0</v>
      </c>
    </row>
    <row r="1236" spans="1:25" ht="22.5" x14ac:dyDescent="0.2">
      <c r="A1236" s="317">
        <v>92867</v>
      </c>
      <c r="B1236" s="895">
        <v>92867</v>
      </c>
      <c r="C1236" s="896" t="s">
        <v>596</v>
      </c>
      <c r="D1236" s="906" t="s">
        <v>1166</v>
      </c>
      <c r="E1236" s="907">
        <f>GLOBAL_DER_FEV_2023!E1236</f>
        <v>0</v>
      </c>
      <c r="F1236" s="908">
        <f>GLOBAL_DER_FEV_2023!F1236</f>
        <v>0</v>
      </c>
      <c r="G1236" s="912">
        <f>GLOBAL_DER_FEV_2023!G1236</f>
        <v>0</v>
      </c>
      <c r="H1236" s="901">
        <f>GLOBAL_DER_FEV_2023!H1236</f>
        <v>33.869999999999997</v>
      </c>
      <c r="I1236" s="901">
        <f>GLOBAL_DER_FEV_2023!I1236</f>
        <v>33.869999999999997</v>
      </c>
      <c r="J1236" s="902">
        <f>GLOBAL_DER_FEV_2023!J1236</f>
        <v>40.67</v>
      </c>
      <c r="K1236" s="903" t="s">
        <v>1516</v>
      </c>
      <c r="L1236" s="1137"/>
      <c r="M1236" s="1138">
        <f t="shared" si="143"/>
        <v>0</v>
      </c>
      <c r="N1236" s="893">
        <f t="shared" si="142"/>
        <v>0</v>
      </c>
      <c r="O1236" s="905"/>
      <c r="Q1236" s="317" t="str">
        <f t="shared" si="144"/>
        <v/>
      </c>
      <c r="R1236" s="317" t="str">
        <f t="shared" si="145"/>
        <v/>
      </c>
      <c r="S1236" s="317" t="str">
        <f t="shared" si="146"/>
        <v/>
      </c>
      <c r="T1236" s="317" t="str">
        <f>GLOBAL_DER_FEV_2023!S1236</f>
        <v/>
      </c>
      <c r="W1236" s="582">
        <v>0</v>
      </c>
      <c r="X1236" s="580"/>
      <c r="Y1236" s="583">
        <f>IF(GLOBAL_DER_FEV_2023!W1236=0,0,IF(GLOBAL_DER_FEV_2023!W1236&gt;0,"c","b"))</f>
        <v>0</v>
      </c>
    </row>
    <row r="1237" spans="1:25" ht="22.5" x14ac:dyDescent="0.2">
      <c r="A1237" s="317">
        <v>92868</v>
      </c>
      <c r="B1237" s="895">
        <v>92868</v>
      </c>
      <c r="C1237" s="896" t="s">
        <v>596</v>
      </c>
      <c r="D1237" s="906" t="s">
        <v>1167</v>
      </c>
      <c r="E1237" s="907">
        <f>GLOBAL_DER_FEV_2023!E1237</f>
        <v>0</v>
      </c>
      <c r="F1237" s="908">
        <f>GLOBAL_DER_FEV_2023!F1237</f>
        <v>0</v>
      </c>
      <c r="G1237" s="912">
        <f>GLOBAL_DER_FEV_2023!G1237</f>
        <v>0</v>
      </c>
      <c r="H1237" s="901">
        <f>GLOBAL_DER_FEV_2023!H1237</f>
        <v>17.54</v>
      </c>
      <c r="I1237" s="901">
        <f>GLOBAL_DER_FEV_2023!I1237</f>
        <v>17.54</v>
      </c>
      <c r="J1237" s="902">
        <f>GLOBAL_DER_FEV_2023!J1237</f>
        <v>21.06</v>
      </c>
      <c r="K1237" s="903" t="s">
        <v>1516</v>
      </c>
      <c r="L1237" s="1137"/>
      <c r="M1237" s="1138">
        <f t="shared" si="143"/>
        <v>0</v>
      </c>
      <c r="N1237" s="893">
        <f t="shared" si="142"/>
        <v>0</v>
      </c>
      <c r="O1237" s="905"/>
      <c r="Q1237" s="317" t="str">
        <f t="shared" si="144"/>
        <v/>
      </c>
      <c r="R1237" s="317" t="str">
        <f t="shared" si="145"/>
        <v/>
      </c>
      <c r="S1237" s="317" t="str">
        <f t="shared" si="146"/>
        <v/>
      </c>
      <c r="T1237" s="317" t="str">
        <f>GLOBAL_DER_FEV_2023!S1237</f>
        <v/>
      </c>
      <c r="W1237" s="582">
        <v>0</v>
      </c>
      <c r="X1237" s="580"/>
      <c r="Y1237" s="583">
        <f>IF(GLOBAL_DER_FEV_2023!W1237=0,0,IF(GLOBAL_DER_FEV_2023!W1237&gt;0,"c","b"))</f>
        <v>0</v>
      </c>
    </row>
    <row r="1238" spans="1:25" ht="22.5" x14ac:dyDescent="0.2">
      <c r="A1238" s="317">
        <v>92869</v>
      </c>
      <c r="B1238" s="895">
        <v>92869</v>
      </c>
      <c r="C1238" s="896" t="s">
        <v>596</v>
      </c>
      <c r="D1238" s="906" t="s">
        <v>1168</v>
      </c>
      <c r="E1238" s="907">
        <f>GLOBAL_DER_FEV_2023!E1238</f>
        <v>0</v>
      </c>
      <c r="F1238" s="908">
        <f>GLOBAL_DER_FEV_2023!F1238</f>
        <v>0</v>
      </c>
      <c r="G1238" s="912">
        <f>GLOBAL_DER_FEV_2023!G1238</f>
        <v>0</v>
      </c>
      <c r="H1238" s="901">
        <f>GLOBAL_DER_FEV_2023!H1238</f>
        <v>11.42</v>
      </c>
      <c r="I1238" s="901">
        <f>GLOBAL_DER_FEV_2023!I1238</f>
        <v>11.42</v>
      </c>
      <c r="J1238" s="902">
        <f>GLOBAL_DER_FEV_2023!J1238</f>
        <v>13.71</v>
      </c>
      <c r="K1238" s="903" t="s">
        <v>1516</v>
      </c>
      <c r="L1238" s="1137"/>
      <c r="M1238" s="1138">
        <f t="shared" si="143"/>
        <v>0</v>
      </c>
      <c r="N1238" s="893">
        <f t="shared" si="142"/>
        <v>0</v>
      </c>
      <c r="O1238" s="905"/>
      <c r="Q1238" s="317" t="str">
        <f t="shared" si="144"/>
        <v/>
      </c>
      <c r="R1238" s="317" t="str">
        <f t="shared" si="145"/>
        <v/>
      </c>
      <c r="S1238" s="317" t="str">
        <f t="shared" si="146"/>
        <v/>
      </c>
      <c r="T1238" s="317" t="str">
        <f>GLOBAL_DER_FEV_2023!S1238</f>
        <v/>
      </c>
      <c r="W1238" s="582">
        <v>0</v>
      </c>
      <c r="X1238" s="580"/>
      <c r="Y1238" s="583">
        <f>IF(GLOBAL_DER_FEV_2023!W1238=0,0,IF(GLOBAL_DER_FEV_2023!W1238&gt;0,"c","b"))</f>
        <v>0</v>
      </c>
    </row>
    <row r="1239" spans="1:25" ht="22.5" x14ac:dyDescent="0.2">
      <c r="A1239" s="317">
        <v>92870</v>
      </c>
      <c r="B1239" s="895">
        <v>92870</v>
      </c>
      <c r="C1239" s="896" t="s">
        <v>596</v>
      </c>
      <c r="D1239" s="906" t="s">
        <v>1169</v>
      </c>
      <c r="E1239" s="907">
        <f>GLOBAL_DER_FEV_2023!E1239</f>
        <v>0</v>
      </c>
      <c r="F1239" s="908">
        <f>GLOBAL_DER_FEV_2023!F1239</f>
        <v>0</v>
      </c>
      <c r="G1239" s="912">
        <f>GLOBAL_DER_FEV_2023!G1239</f>
        <v>0</v>
      </c>
      <c r="H1239" s="901">
        <f>GLOBAL_DER_FEV_2023!H1239</f>
        <v>41.08</v>
      </c>
      <c r="I1239" s="901">
        <f>GLOBAL_DER_FEV_2023!I1239</f>
        <v>41.08</v>
      </c>
      <c r="J1239" s="902">
        <f>GLOBAL_DER_FEV_2023!J1239</f>
        <v>49.32</v>
      </c>
      <c r="K1239" s="903" t="s">
        <v>1516</v>
      </c>
      <c r="L1239" s="1137"/>
      <c r="M1239" s="1138">
        <f t="shared" si="143"/>
        <v>0</v>
      </c>
      <c r="N1239" s="893">
        <f t="shared" ref="N1239:N1302" si="147">IF(ISBLANK(L1239),0,IF(W1239=0,ROUND(L1239*M1239,2),IF(W1239="b",ROUNDDOWN(L1239*M1239,2),ROUNDUP(L1239*M1239,2))))</f>
        <v>0</v>
      </c>
      <c r="O1239" s="905"/>
      <c r="Q1239" s="317" t="str">
        <f t="shared" si="144"/>
        <v/>
      </c>
      <c r="R1239" s="317" t="str">
        <f t="shared" si="145"/>
        <v/>
      </c>
      <c r="S1239" s="317" t="str">
        <f t="shared" si="146"/>
        <v/>
      </c>
      <c r="T1239" s="317" t="str">
        <f>GLOBAL_DER_FEV_2023!S1239</f>
        <v/>
      </c>
      <c r="W1239" s="582">
        <v>0</v>
      </c>
      <c r="X1239" s="580"/>
      <c r="Y1239" s="583">
        <f>IF(GLOBAL_DER_FEV_2023!W1239=0,0,IF(GLOBAL_DER_FEV_2023!W1239&gt;0,"c","b"))</f>
        <v>0</v>
      </c>
    </row>
    <row r="1240" spans="1:25" ht="22.5" x14ac:dyDescent="0.2">
      <c r="A1240" s="317">
        <v>92871</v>
      </c>
      <c r="B1240" s="895">
        <v>92871</v>
      </c>
      <c r="C1240" s="896" t="s">
        <v>596</v>
      </c>
      <c r="D1240" s="906" t="s">
        <v>1170</v>
      </c>
      <c r="E1240" s="907">
        <f>GLOBAL_DER_FEV_2023!E1240</f>
        <v>0</v>
      </c>
      <c r="F1240" s="908">
        <f>GLOBAL_DER_FEV_2023!F1240</f>
        <v>0</v>
      </c>
      <c r="G1240" s="912">
        <f>GLOBAL_DER_FEV_2023!G1240</f>
        <v>0</v>
      </c>
      <c r="H1240" s="901">
        <f>GLOBAL_DER_FEV_2023!H1240</f>
        <v>22.3</v>
      </c>
      <c r="I1240" s="901">
        <f>GLOBAL_DER_FEV_2023!I1240</f>
        <v>22.3</v>
      </c>
      <c r="J1240" s="902">
        <f>GLOBAL_DER_FEV_2023!J1240</f>
        <v>26.78</v>
      </c>
      <c r="K1240" s="903" t="s">
        <v>1516</v>
      </c>
      <c r="L1240" s="1137"/>
      <c r="M1240" s="1138">
        <f t="shared" si="143"/>
        <v>0</v>
      </c>
      <c r="N1240" s="893">
        <f t="shared" si="147"/>
        <v>0</v>
      </c>
      <c r="O1240" s="905"/>
      <c r="Q1240" s="317" t="str">
        <f t="shared" si="144"/>
        <v/>
      </c>
      <c r="R1240" s="317" t="str">
        <f t="shared" si="145"/>
        <v/>
      </c>
      <c r="S1240" s="317" t="str">
        <f t="shared" si="146"/>
        <v/>
      </c>
      <c r="T1240" s="317" t="str">
        <f>GLOBAL_DER_FEV_2023!S1240</f>
        <v/>
      </c>
      <c r="W1240" s="582">
        <v>0</v>
      </c>
      <c r="X1240" s="580"/>
      <c r="Y1240" s="583">
        <f>IF(GLOBAL_DER_FEV_2023!W1240=0,0,IF(GLOBAL_DER_FEV_2023!W1240&gt;0,"c","b"))</f>
        <v>0</v>
      </c>
    </row>
    <row r="1241" spans="1:25" ht="22.5" x14ac:dyDescent="0.2">
      <c r="A1241" s="317">
        <v>92872</v>
      </c>
      <c r="B1241" s="895">
        <v>92872</v>
      </c>
      <c r="C1241" s="896" t="s">
        <v>596</v>
      </c>
      <c r="D1241" s="906" t="s">
        <v>1171</v>
      </c>
      <c r="E1241" s="907">
        <f>GLOBAL_DER_FEV_2023!E1241</f>
        <v>0</v>
      </c>
      <c r="F1241" s="908">
        <f>GLOBAL_DER_FEV_2023!F1241</f>
        <v>0</v>
      </c>
      <c r="G1241" s="912">
        <f>GLOBAL_DER_FEV_2023!G1241</f>
        <v>0</v>
      </c>
      <c r="H1241" s="901">
        <f>GLOBAL_DER_FEV_2023!H1241</f>
        <v>15.28</v>
      </c>
      <c r="I1241" s="901">
        <f>GLOBAL_DER_FEV_2023!I1241</f>
        <v>15.28</v>
      </c>
      <c r="J1241" s="902">
        <f>GLOBAL_DER_FEV_2023!J1241</f>
        <v>18.350000000000001</v>
      </c>
      <c r="K1241" s="903" t="s">
        <v>1516</v>
      </c>
      <c r="L1241" s="1137"/>
      <c r="M1241" s="1138">
        <f t="shared" si="143"/>
        <v>0</v>
      </c>
      <c r="N1241" s="893">
        <f t="shared" si="147"/>
        <v>0</v>
      </c>
      <c r="O1241" s="905"/>
      <c r="Q1241" s="317" t="str">
        <f t="shared" si="144"/>
        <v/>
      </c>
      <c r="R1241" s="317" t="str">
        <f t="shared" si="145"/>
        <v/>
      </c>
      <c r="S1241" s="317" t="str">
        <f t="shared" si="146"/>
        <v/>
      </c>
      <c r="T1241" s="317" t="str">
        <f>GLOBAL_DER_FEV_2023!S1241</f>
        <v/>
      </c>
      <c r="W1241" s="582">
        <v>0</v>
      </c>
      <c r="X1241" s="580"/>
      <c r="Y1241" s="583">
        <f>IF(GLOBAL_DER_FEV_2023!W1241=0,0,IF(GLOBAL_DER_FEV_2023!W1241&gt;0,"c","b"))</f>
        <v>0</v>
      </c>
    </row>
    <row r="1242" spans="1:25" ht="22.5" x14ac:dyDescent="0.2">
      <c r="A1242" s="317">
        <v>97886</v>
      </c>
      <c r="B1242" s="895">
        <v>97886</v>
      </c>
      <c r="C1242" s="896" t="s">
        <v>596</v>
      </c>
      <c r="D1242" s="906" t="s">
        <v>1172</v>
      </c>
      <c r="E1242" s="907">
        <f>GLOBAL_DER_FEV_2023!E1242</f>
        <v>0</v>
      </c>
      <c r="F1242" s="908">
        <f>GLOBAL_DER_FEV_2023!F1242</f>
        <v>0</v>
      </c>
      <c r="G1242" s="912">
        <f>GLOBAL_DER_FEV_2023!G1242</f>
        <v>0</v>
      </c>
      <c r="H1242" s="901">
        <f>GLOBAL_DER_FEV_2023!H1242</f>
        <v>177.3</v>
      </c>
      <c r="I1242" s="901">
        <f>GLOBAL_DER_FEV_2023!I1242</f>
        <v>177.3</v>
      </c>
      <c r="J1242" s="902">
        <f>GLOBAL_DER_FEV_2023!J1242</f>
        <v>212.88</v>
      </c>
      <c r="K1242" s="903" t="s">
        <v>1516</v>
      </c>
      <c r="L1242" s="1137"/>
      <c r="M1242" s="1138">
        <f t="shared" si="143"/>
        <v>0</v>
      </c>
      <c r="N1242" s="893">
        <f t="shared" si="147"/>
        <v>0</v>
      </c>
      <c r="O1242" s="905"/>
      <c r="Q1242" s="317" t="str">
        <f t="shared" si="144"/>
        <v/>
      </c>
      <c r="R1242" s="317" t="str">
        <f t="shared" si="145"/>
        <v/>
      </c>
      <c r="S1242" s="317" t="str">
        <f t="shared" si="146"/>
        <v/>
      </c>
      <c r="T1242" s="317" t="str">
        <f>GLOBAL_DER_FEV_2023!S1242</f>
        <v/>
      </c>
      <c r="W1242" s="582">
        <v>0</v>
      </c>
      <c r="X1242" s="580"/>
      <c r="Y1242" s="583">
        <f>IF(GLOBAL_DER_FEV_2023!W1242=0,0,IF(GLOBAL_DER_FEV_2023!W1242&gt;0,"c","b"))</f>
        <v>0</v>
      </c>
    </row>
    <row r="1243" spans="1:25" ht="22.5" x14ac:dyDescent="0.2">
      <c r="A1243" s="317">
        <v>97887</v>
      </c>
      <c r="B1243" s="895">
        <v>97887</v>
      </c>
      <c r="C1243" s="896" t="s">
        <v>596</v>
      </c>
      <c r="D1243" s="906" t="s">
        <v>1173</v>
      </c>
      <c r="E1243" s="907">
        <f>GLOBAL_DER_FEV_2023!E1243</f>
        <v>0</v>
      </c>
      <c r="F1243" s="908">
        <f>GLOBAL_DER_FEV_2023!F1243</f>
        <v>0</v>
      </c>
      <c r="G1243" s="912">
        <f>GLOBAL_DER_FEV_2023!G1243</f>
        <v>0</v>
      </c>
      <c r="H1243" s="901">
        <f>GLOBAL_DER_FEV_2023!H1243</f>
        <v>279.77999999999997</v>
      </c>
      <c r="I1243" s="901">
        <f>GLOBAL_DER_FEV_2023!I1243</f>
        <v>279.77999999999997</v>
      </c>
      <c r="J1243" s="902">
        <f>GLOBAL_DER_FEV_2023!J1243</f>
        <v>335.93</v>
      </c>
      <c r="K1243" s="903" t="s">
        <v>1516</v>
      </c>
      <c r="L1243" s="1137"/>
      <c r="M1243" s="1138">
        <f t="shared" si="143"/>
        <v>0</v>
      </c>
      <c r="N1243" s="893">
        <f t="shared" si="147"/>
        <v>0</v>
      </c>
      <c r="O1243" s="905"/>
      <c r="Q1243" s="317" t="str">
        <f t="shared" si="144"/>
        <v/>
      </c>
      <c r="R1243" s="317" t="str">
        <f t="shared" si="145"/>
        <v/>
      </c>
      <c r="S1243" s="317" t="str">
        <f t="shared" si="146"/>
        <v/>
      </c>
      <c r="T1243" s="317" t="str">
        <f>GLOBAL_DER_FEV_2023!S1243</f>
        <v/>
      </c>
      <c r="W1243" s="582">
        <v>0</v>
      </c>
      <c r="X1243" s="580"/>
      <c r="Y1243" s="583">
        <f>IF(GLOBAL_DER_FEV_2023!W1243=0,0,IF(GLOBAL_DER_FEV_2023!W1243&gt;0,"c","b"))</f>
        <v>0</v>
      </c>
    </row>
    <row r="1244" spans="1:25" ht="22.5" x14ac:dyDescent="0.2">
      <c r="A1244" s="317">
        <v>97888</v>
      </c>
      <c r="B1244" s="895">
        <v>97888</v>
      </c>
      <c r="C1244" s="896" t="s">
        <v>596</v>
      </c>
      <c r="D1244" s="906" t="s">
        <v>1174</v>
      </c>
      <c r="E1244" s="907">
        <f>GLOBAL_DER_FEV_2023!E1244</f>
        <v>0</v>
      </c>
      <c r="F1244" s="908">
        <f>GLOBAL_DER_FEV_2023!F1244</f>
        <v>0</v>
      </c>
      <c r="G1244" s="912">
        <f>GLOBAL_DER_FEV_2023!G1244</f>
        <v>0</v>
      </c>
      <c r="H1244" s="901">
        <f>GLOBAL_DER_FEV_2023!H1244</f>
        <v>539.29</v>
      </c>
      <c r="I1244" s="901">
        <f>GLOBAL_DER_FEV_2023!I1244</f>
        <v>539.29</v>
      </c>
      <c r="J1244" s="902">
        <f>GLOBAL_DER_FEV_2023!J1244</f>
        <v>647.53</v>
      </c>
      <c r="K1244" s="903" t="s">
        <v>1516</v>
      </c>
      <c r="L1244" s="1137"/>
      <c r="M1244" s="1138">
        <f t="shared" si="143"/>
        <v>0</v>
      </c>
      <c r="N1244" s="893">
        <f t="shared" si="147"/>
        <v>0</v>
      </c>
      <c r="O1244" s="905"/>
      <c r="Q1244" s="317" t="str">
        <f t="shared" si="144"/>
        <v/>
      </c>
      <c r="R1244" s="317" t="str">
        <f t="shared" si="145"/>
        <v/>
      </c>
      <c r="S1244" s="317" t="str">
        <f t="shared" si="146"/>
        <v/>
      </c>
      <c r="T1244" s="317" t="str">
        <f>GLOBAL_DER_FEV_2023!S1244</f>
        <v/>
      </c>
      <c r="W1244" s="582">
        <v>0</v>
      </c>
      <c r="X1244" s="580"/>
      <c r="Y1244" s="583">
        <f>IF(GLOBAL_DER_FEV_2023!W1244=0,0,IF(GLOBAL_DER_FEV_2023!W1244&gt;0,"c","b"))</f>
        <v>0</v>
      </c>
    </row>
    <row r="1245" spans="1:25" ht="22.5" x14ac:dyDescent="0.2">
      <c r="A1245" s="317">
        <v>97889</v>
      </c>
      <c r="B1245" s="895">
        <v>97889</v>
      </c>
      <c r="C1245" s="896" t="s">
        <v>596</v>
      </c>
      <c r="D1245" s="906" t="s">
        <v>1175</v>
      </c>
      <c r="E1245" s="907">
        <f>GLOBAL_DER_FEV_2023!E1245</f>
        <v>0</v>
      </c>
      <c r="F1245" s="908">
        <f>GLOBAL_DER_FEV_2023!F1245</f>
        <v>0</v>
      </c>
      <c r="G1245" s="912">
        <f>GLOBAL_DER_FEV_2023!G1245</f>
        <v>0</v>
      </c>
      <c r="H1245" s="901">
        <f>GLOBAL_DER_FEV_2023!H1245</f>
        <v>730.16</v>
      </c>
      <c r="I1245" s="901">
        <f>GLOBAL_DER_FEV_2023!I1245</f>
        <v>730.16</v>
      </c>
      <c r="J1245" s="902">
        <f>GLOBAL_DER_FEV_2023!J1245</f>
        <v>876.7</v>
      </c>
      <c r="K1245" s="903" t="s">
        <v>1516</v>
      </c>
      <c r="L1245" s="1137"/>
      <c r="M1245" s="1138">
        <f t="shared" si="143"/>
        <v>0</v>
      </c>
      <c r="N1245" s="893">
        <f t="shared" si="147"/>
        <v>0</v>
      </c>
      <c r="O1245" s="905"/>
      <c r="Q1245" s="317" t="str">
        <f t="shared" si="144"/>
        <v/>
      </c>
      <c r="R1245" s="317" t="str">
        <f t="shared" si="145"/>
        <v/>
      </c>
      <c r="S1245" s="317" t="str">
        <f t="shared" si="146"/>
        <v/>
      </c>
      <c r="T1245" s="317" t="str">
        <f>GLOBAL_DER_FEV_2023!S1245</f>
        <v/>
      </c>
      <c r="W1245" s="582">
        <v>0</v>
      </c>
      <c r="X1245" s="580"/>
      <c r="Y1245" s="583">
        <f>IF(GLOBAL_DER_FEV_2023!W1245=0,0,IF(GLOBAL_DER_FEV_2023!W1245&gt;0,"c","b"))</f>
        <v>0</v>
      </c>
    </row>
    <row r="1246" spans="1:25" ht="22.5" x14ac:dyDescent="0.2">
      <c r="A1246" s="317">
        <v>97890</v>
      </c>
      <c r="B1246" s="895">
        <v>97890</v>
      </c>
      <c r="C1246" s="896" t="s">
        <v>596</v>
      </c>
      <c r="D1246" s="906" t="s">
        <v>1176</v>
      </c>
      <c r="E1246" s="907">
        <f>GLOBAL_DER_FEV_2023!E1246</f>
        <v>0</v>
      </c>
      <c r="F1246" s="908">
        <f>GLOBAL_DER_FEV_2023!F1246</f>
        <v>0</v>
      </c>
      <c r="G1246" s="912">
        <f>GLOBAL_DER_FEV_2023!G1246</f>
        <v>0</v>
      </c>
      <c r="H1246" s="901">
        <f>GLOBAL_DER_FEV_2023!H1246</f>
        <v>822.62</v>
      </c>
      <c r="I1246" s="901">
        <f>GLOBAL_DER_FEV_2023!I1246</f>
        <v>822.62</v>
      </c>
      <c r="J1246" s="902">
        <f>GLOBAL_DER_FEV_2023!J1246</f>
        <v>987.72</v>
      </c>
      <c r="K1246" s="903" t="s">
        <v>1516</v>
      </c>
      <c r="L1246" s="1137"/>
      <c r="M1246" s="1138">
        <f t="shared" si="143"/>
        <v>0</v>
      </c>
      <c r="N1246" s="893">
        <f t="shared" si="147"/>
        <v>0</v>
      </c>
      <c r="O1246" s="905"/>
      <c r="Q1246" s="317" t="str">
        <f t="shared" si="144"/>
        <v/>
      </c>
      <c r="R1246" s="317" t="str">
        <f t="shared" si="145"/>
        <v/>
      </c>
      <c r="S1246" s="317" t="str">
        <f t="shared" si="146"/>
        <v/>
      </c>
      <c r="T1246" s="317" t="str">
        <f>GLOBAL_DER_FEV_2023!S1246</f>
        <v/>
      </c>
      <c r="W1246" s="582">
        <v>0</v>
      </c>
      <c r="X1246" s="580"/>
      <c r="Y1246" s="583">
        <f>IF(GLOBAL_DER_FEV_2023!W1246=0,0,IF(GLOBAL_DER_FEV_2023!W1246&gt;0,"c","b"))</f>
        <v>0</v>
      </c>
    </row>
    <row r="1247" spans="1:25" ht="22.5" x14ac:dyDescent="0.2">
      <c r="A1247" s="317">
        <v>97933</v>
      </c>
      <c r="B1247" s="895">
        <v>97933</v>
      </c>
      <c r="C1247" s="896" t="s">
        <v>596</v>
      </c>
      <c r="D1247" s="906" t="s">
        <v>1177</v>
      </c>
      <c r="E1247" s="907">
        <f>GLOBAL_DER_FEV_2023!E1247</f>
        <v>0</v>
      </c>
      <c r="F1247" s="908">
        <f>GLOBAL_DER_FEV_2023!F1247</f>
        <v>0</v>
      </c>
      <c r="G1247" s="912">
        <f>GLOBAL_DER_FEV_2023!G1247</f>
        <v>0</v>
      </c>
      <c r="H1247" s="901">
        <f>GLOBAL_DER_FEV_2023!H1247</f>
        <v>779.23</v>
      </c>
      <c r="I1247" s="901">
        <f>GLOBAL_DER_FEV_2023!I1247</f>
        <v>779.23</v>
      </c>
      <c r="J1247" s="902">
        <f>GLOBAL_DER_FEV_2023!J1247</f>
        <v>935.62</v>
      </c>
      <c r="K1247" s="903" t="s">
        <v>1516</v>
      </c>
      <c r="L1247" s="1137"/>
      <c r="M1247" s="1138">
        <f t="shared" si="143"/>
        <v>0</v>
      </c>
      <c r="N1247" s="893">
        <f t="shared" si="147"/>
        <v>0</v>
      </c>
      <c r="O1247" s="905"/>
      <c r="Q1247" s="317" t="str">
        <f t="shared" si="144"/>
        <v/>
      </c>
      <c r="R1247" s="317" t="str">
        <f t="shared" si="145"/>
        <v/>
      </c>
      <c r="S1247" s="317" t="str">
        <f t="shared" si="146"/>
        <v/>
      </c>
      <c r="T1247" s="317" t="str">
        <f>GLOBAL_DER_FEV_2023!S1247</f>
        <v/>
      </c>
      <c r="W1247" s="582">
        <v>0</v>
      </c>
      <c r="X1247" s="580"/>
      <c r="Y1247" s="583">
        <f>IF(GLOBAL_DER_FEV_2023!W1247=0,0,IF(GLOBAL_DER_FEV_2023!W1247&gt;0,"c","b"))</f>
        <v>0</v>
      </c>
    </row>
    <row r="1248" spans="1:25" ht="22.5" x14ac:dyDescent="0.2">
      <c r="A1248" s="317">
        <v>97947</v>
      </c>
      <c r="B1248" s="895">
        <v>97947</v>
      </c>
      <c r="C1248" s="896" t="s">
        <v>596</v>
      </c>
      <c r="D1248" s="906" t="s">
        <v>1178</v>
      </c>
      <c r="E1248" s="907">
        <f>GLOBAL_DER_FEV_2023!E1248</f>
        <v>0</v>
      </c>
      <c r="F1248" s="908">
        <f>GLOBAL_DER_FEV_2023!F1248</f>
        <v>0</v>
      </c>
      <c r="G1248" s="912">
        <f>GLOBAL_DER_FEV_2023!G1248</f>
        <v>0</v>
      </c>
      <c r="H1248" s="901">
        <f>GLOBAL_DER_FEV_2023!H1248</f>
        <v>1737.19</v>
      </c>
      <c r="I1248" s="901">
        <f>GLOBAL_DER_FEV_2023!I1248</f>
        <v>1737.19</v>
      </c>
      <c r="J1248" s="902">
        <f>GLOBAL_DER_FEV_2023!J1248</f>
        <v>2085.84</v>
      </c>
      <c r="K1248" s="903" t="s">
        <v>1516</v>
      </c>
      <c r="L1248" s="1137"/>
      <c r="M1248" s="1138">
        <f t="shared" si="143"/>
        <v>0</v>
      </c>
      <c r="N1248" s="893">
        <f t="shared" si="147"/>
        <v>0</v>
      </c>
      <c r="O1248" s="905"/>
      <c r="Q1248" s="317" t="str">
        <f t="shared" si="144"/>
        <v/>
      </c>
      <c r="R1248" s="317" t="str">
        <f t="shared" si="145"/>
        <v/>
      </c>
      <c r="S1248" s="317" t="str">
        <f t="shared" si="146"/>
        <v/>
      </c>
      <c r="T1248" s="317" t="str">
        <f>GLOBAL_DER_FEV_2023!S1248</f>
        <v/>
      </c>
      <c r="W1248" s="582">
        <v>0</v>
      </c>
      <c r="X1248" s="580"/>
      <c r="Y1248" s="583">
        <f>IF(GLOBAL_DER_FEV_2023!W1248=0,0,IF(GLOBAL_DER_FEV_2023!W1248&gt;0,"c","b"))</f>
        <v>0</v>
      </c>
    </row>
    <row r="1249" spans="1:25" ht="22.5" x14ac:dyDescent="0.2">
      <c r="A1249" s="317">
        <v>97948</v>
      </c>
      <c r="B1249" s="895">
        <v>97948</v>
      </c>
      <c r="C1249" s="896" t="s">
        <v>596</v>
      </c>
      <c r="D1249" s="906" t="s">
        <v>1179</v>
      </c>
      <c r="E1249" s="907">
        <f>GLOBAL_DER_FEV_2023!E1249</f>
        <v>0</v>
      </c>
      <c r="F1249" s="908">
        <f>GLOBAL_DER_FEV_2023!F1249</f>
        <v>0</v>
      </c>
      <c r="G1249" s="912">
        <f>GLOBAL_DER_FEV_2023!G1249</f>
        <v>0</v>
      </c>
      <c r="H1249" s="901">
        <f>GLOBAL_DER_FEV_2023!H1249</f>
        <v>3167.41</v>
      </c>
      <c r="I1249" s="901">
        <f>GLOBAL_DER_FEV_2023!I1249</f>
        <v>3167.41</v>
      </c>
      <c r="J1249" s="902">
        <f>GLOBAL_DER_FEV_2023!J1249</f>
        <v>3803.11</v>
      </c>
      <c r="K1249" s="903" t="s">
        <v>1516</v>
      </c>
      <c r="L1249" s="1137"/>
      <c r="M1249" s="1138">
        <f t="shared" si="143"/>
        <v>0</v>
      </c>
      <c r="N1249" s="893">
        <f t="shared" si="147"/>
        <v>0</v>
      </c>
      <c r="O1249" s="905"/>
      <c r="Q1249" s="317" t="str">
        <f t="shared" si="144"/>
        <v/>
      </c>
      <c r="R1249" s="317" t="str">
        <f t="shared" si="145"/>
        <v/>
      </c>
      <c r="S1249" s="317" t="str">
        <f t="shared" si="146"/>
        <v/>
      </c>
      <c r="T1249" s="317" t="str">
        <f>GLOBAL_DER_FEV_2023!S1249</f>
        <v/>
      </c>
      <c r="W1249" s="582">
        <v>0</v>
      </c>
      <c r="X1249" s="580"/>
      <c r="Y1249" s="583">
        <f>IF(GLOBAL_DER_FEV_2023!W1249=0,0,IF(GLOBAL_DER_FEV_2023!W1249&gt;0,"c","b"))</f>
        <v>0</v>
      </c>
    </row>
    <row r="1250" spans="1:25" ht="22.5" x14ac:dyDescent="0.2">
      <c r="A1250" s="317">
        <v>97953</v>
      </c>
      <c r="B1250" s="895">
        <v>97953</v>
      </c>
      <c r="C1250" s="896" t="s">
        <v>596</v>
      </c>
      <c r="D1250" s="906" t="s">
        <v>1180</v>
      </c>
      <c r="E1250" s="907">
        <f>GLOBAL_DER_FEV_2023!E1250</f>
        <v>0</v>
      </c>
      <c r="F1250" s="908">
        <f>GLOBAL_DER_FEV_2023!F1250</f>
        <v>0</v>
      </c>
      <c r="G1250" s="912">
        <f>GLOBAL_DER_FEV_2023!G1250</f>
        <v>0</v>
      </c>
      <c r="H1250" s="901">
        <f>GLOBAL_DER_FEV_2023!H1250</f>
        <v>1225.21</v>
      </c>
      <c r="I1250" s="901">
        <f>GLOBAL_DER_FEV_2023!I1250</f>
        <v>1225.21</v>
      </c>
      <c r="J1250" s="902">
        <f>GLOBAL_DER_FEV_2023!J1250</f>
        <v>1471.11</v>
      </c>
      <c r="K1250" s="903" t="s">
        <v>1516</v>
      </c>
      <c r="L1250" s="1137"/>
      <c r="M1250" s="1138">
        <f t="shared" si="143"/>
        <v>0</v>
      </c>
      <c r="N1250" s="893">
        <f t="shared" si="147"/>
        <v>0</v>
      </c>
      <c r="O1250" s="905"/>
      <c r="Q1250" s="317" t="str">
        <f t="shared" si="144"/>
        <v/>
      </c>
      <c r="R1250" s="317" t="str">
        <f t="shared" si="145"/>
        <v/>
      </c>
      <c r="S1250" s="317" t="str">
        <f t="shared" si="146"/>
        <v/>
      </c>
      <c r="T1250" s="317" t="str">
        <f>GLOBAL_DER_FEV_2023!S1250</f>
        <v/>
      </c>
      <c r="W1250" s="582">
        <v>0</v>
      </c>
      <c r="X1250" s="580"/>
      <c r="Y1250" s="583">
        <f>IF(GLOBAL_DER_FEV_2023!W1250=0,0,IF(GLOBAL_DER_FEV_2023!W1250&gt;0,"c","b"))</f>
        <v>0</v>
      </c>
    </row>
    <row r="1251" spans="1:25" ht="22.5" x14ac:dyDescent="0.2">
      <c r="A1251" s="317">
        <v>97955</v>
      </c>
      <c r="B1251" s="895">
        <v>97955</v>
      </c>
      <c r="C1251" s="896" t="s">
        <v>596</v>
      </c>
      <c r="D1251" s="906" t="s">
        <v>1181</v>
      </c>
      <c r="E1251" s="907">
        <f>GLOBAL_DER_FEV_2023!E1251</f>
        <v>0</v>
      </c>
      <c r="F1251" s="908">
        <f>GLOBAL_DER_FEV_2023!F1251</f>
        <v>0</v>
      </c>
      <c r="G1251" s="912">
        <f>GLOBAL_DER_FEV_2023!G1251</f>
        <v>0</v>
      </c>
      <c r="H1251" s="901">
        <f>GLOBAL_DER_FEV_2023!H1251</f>
        <v>2655.52</v>
      </c>
      <c r="I1251" s="901">
        <f>GLOBAL_DER_FEV_2023!I1251</f>
        <v>2655.52</v>
      </c>
      <c r="J1251" s="902">
        <f>GLOBAL_DER_FEV_2023!J1251</f>
        <v>3188.48</v>
      </c>
      <c r="K1251" s="903" t="s">
        <v>1516</v>
      </c>
      <c r="L1251" s="1137"/>
      <c r="M1251" s="1138">
        <f t="shared" si="143"/>
        <v>0</v>
      </c>
      <c r="N1251" s="893">
        <f t="shared" si="147"/>
        <v>0</v>
      </c>
      <c r="O1251" s="905"/>
      <c r="Q1251" s="317" t="str">
        <f t="shared" si="144"/>
        <v/>
      </c>
      <c r="R1251" s="317" t="str">
        <f t="shared" si="145"/>
        <v/>
      </c>
      <c r="S1251" s="317" t="str">
        <f t="shared" si="146"/>
        <v/>
      </c>
      <c r="T1251" s="317" t="str">
        <f>GLOBAL_DER_FEV_2023!S1251</f>
        <v/>
      </c>
      <c r="W1251" s="582">
        <v>0</v>
      </c>
      <c r="X1251" s="580"/>
      <c r="Y1251" s="583">
        <f>IF(GLOBAL_DER_FEV_2023!W1251=0,0,IF(GLOBAL_DER_FEV_2023!W1251&gt;0,"c","b"))</f>
        <v>0</v>
      </c>
    </row>
    <row r="1252" spans="1:25" ht="22.5" x14ac:dyDescent="0.2">
      <c r="A1252" s="317">
        <v>97891</v>
      </c>
      <c r="B1252" s="895">
        <v>97891</v>
      </c>
      <c r="C1252" s="896" t="s">
        <v>596</v>
      </c>
      <c r="D1252" s="906" t="s">
        <v>1182</v>
      </c>
      <c r="E1252" s="907">
        <f>GLOBAL_DER_FEV_2023!E1252</f>
        <v>0</v>
      </c>
      <c r="F1252" s="908">
        <f>GLOBAL_DER_FEV_2023!F1252</f>
        <v>0</v>
      </c>
      <c r="G1252" s="912">
        <f>GLOBAL_DER_FEV_2023!G1252</f>
        <v>0</v>
      </c>
      <c r="H1252" s="901">
        <f>GLOBAL_DER_FEV_2023!H1252</f>
        <v>208.61</v>
      </c>
      <c r="I1252" s="901">
        <f>GLOBAL_DER_FEV_2023!I1252</f>
        <v>208.61</v>
      </c>
      <c r="J1252" s="902">
        <f>GLOBAL_DER_FEV_2023!J1252</f>
        <v>250.48</v>
      </c>
      <c r="K1252" s="903" t="s">
        <v>1516</v>
      </c>
      <c r="L1252" s="1137"/>
      <c r="M1252" s="1138">
        <f t="shared" si="143"/>
        <v>0</v>
      </c>
      <c r="N1252" s="893">
        <f t="shared" si="147"/>
        <v>0</v>
      </c>
      <c r="O1252" s="905"/>
      <c r="Q1252" s="317" t="str">
        <f t="shared" si="144"/>
        <v/>
      </c>
      <c r="R1252" s="317" t="str">
        <f t="shared" si="145"/>
        <v/>
      </c>
      <c r="S1252" s="317" t="str">
        <f t="shared" si="146"/>
        <v/>
      </c>
      <c r="T1252" s="317" t="str">
        <f>GLOBAL_DER_FEV_2023!S1252</f>
        <v/>
      </c>
      <c r="W1252" s="582">
        <v>0</v>
      </c>
      <c r="X1252" s="580"/>
      <c r="Y1252" s="583">
        <f>IF(GLOBAL_DER_FEV_2023!W1252=0,0,IF(GLOBAL_DER_FEV_2023!W1252&gt;0,"c","b"))</f>
        <v>0</v>
      </c>
    </row>
    <row r="1253" spans="1:25" ht="22.5" x14ac:dyDescent="0.2">
      <c r="A1253" s="317">
        <v>97892</v>
      </c>
      <c r="B1253" s="895">
        <v>97892</v>
      </c>
      <c r="C1253" s="896" t="s">
        <v>596</v>
      </c>
      <c r="D1253" s="906" t="s">
        <v>1183</v>
      </c>
      <c r="E1253" s="907">
        <f>GLOBAL_DER_FEV_2023!E1253</f>
        <v>0</v>
      </c>
      <c r="F1253" s="908">
        <f>GLOBAL_DER_FEV_2023!F1253</f>
        <v>0</v>
      </c>
      <c r="G1253" s="912">
        <f>GLOBAL_DER_FEV_2023!G1253</f>
        <v>0</v>
      </c>
      <c r="H1253" s="901">
        <f>GLOBAL_DER_FEV_2023!H1253</f>
        <v>388.86</v>
      </c>
      <c r="I1253" s="901">
        <f>GLOBAL_DER_FEV_2023!I1253</f>
        <v>388.86</v>
      </c>
      <c r="J1253" s="902">
        <f>GLOBAL_DER_FEV_2023!J1253</f>
        <v>466.9</v>
      </c>
      <c r="K1253" s="903" t="s">
        <v>1516</v>
      </c>
      <c r="L1253" s="1137"/>
      <c r="M1253" s="1138">
        <f t="shared" si="143"/>
        <v>0</v>
      </c>
      <c r="N1253" s="893">
        <f t="shared" si="147"/>
        <v>0</v>
      </c>
      <c r="O1253" s="905"/>
      <c r="Q1253" s="317" t="str">
        <f t="shared" si="144"/>
        <v/>
      </c>
      <c r="R1253" s="317" t="str">
        <f t="shared" si="145"/>
        <v/>
      </c>
      <c r="S1253" s="317" t="str">
        <f t="shared" si="146"/>
        <v/>
      </c>
      <c r="T1253" s="317" t="str">
        <f>GLOBAL_DER_FEV_2023!S1253</f>
        <v/>
      </c>
      <c r="W1253" s="582">
        <v>0</v>
      </c>
      <c r="X1253" s="580"/>
      <c r="Y1253" s="583">
        <f>IF(GLOBAL_DER_FEV_2023!W1253=0,0,IF(GLOBAL_DER_FEV_2023!W1253&gt;0,"c","b"))</f>
        <v>0</v>
      </c>
    </row>
    <row r="1254" spans="1:25" ht="22.5" x14ac:dyDescent="0.2">
      <c r="A1254" s="317">
        <v>97893</v>
      </c>
      <c r="B1254" s="895">
        <v>97893</v>
      </c>
      <c r="C1254" s="896" t="s">
        <v>596</v>
      </c>
      <c r="D1254" s="906" t="s">
        <v>1184</v>
      </c>
      <c r="E1254" s="907">
        <f>GLOBAL_DER_FEV_2023!E1254</f>
        <v>0</v>
      </c>
      <c r="F1254" s="908">
        <f>GLOBAL_DER_FEV_2023!F1254</f>
        <v>0</v>
      </c>
      <c r="G1254" s="912">
        <f>GLOBAL_DER_FEV_2023!G1254</f>
        <v>0</v>
      </c>
      <c r="H1254" s="901">
        <f>GLOBAL_DER_FEV_2023!H1254</f>
        <v>538.29</v>
      </c>
      <c r="I1254" s="901">
        <f>GLOBAL_DER_FEV_2023!I1254</f>
        <v>538.29</v>
      </c>
      <c r="J1254" s="902">
        <f>GLOBAL_DER_FEV_2023!J1254</f>
        <v>646.32000000000005</v>
      </c>
      <c r="K1254" s="903" t="s">
        <v>1516</v>
      </c>
      <c r="L1254" s="1137"/>
      <c r="M1254" s="1138">
        <f t="shared" si="143"/>
        <v>0</v>
      </c>
      <c r="N1254" s="893">
        <f t="shared" si="147"/>
        <v>0</v>
      </c>
      <c r="O1254" s="905"/>
      <c r="Q1254" s="317" t="str">
        <f t="shared" si="144"/>
        <v/>
      </c>
      <c r="R1254" s="317" t="str">
        <f t="shared" si="145"/>
        <v/>
      </c>
      <c r="S1254" s="317" t="str">
        <f t="shared" si="146"/>
        <v/>
      </c>
      <c r="T1254" s="317" t="str">
        <f>GLOBAL_DER_FEV_2023!S1254</f>
        <v/>
      </c>
      <c r="W1254" s="582">
        <v>0</v>
      </c>
      <c r="X1254" s="580"/>
      <c r="Y1254" s="583">
        <f>IF(GLOBAL_DER_FEV_2023!W1254=0,0,IF(GLOBAL_DER_FEV_2023!W1254&gt;0,"c","b"))</f>
        <v>0</v>
      </c>
    </row>
    <row r="1255" spans="1:25" ht="22.5" x14ac:dyDescent="0.2">
      <c r="A1255" s="317">
        <v>97894</v>
      </c>
      <c r="B1255" s="895">
        <v>97894</v>
      </c>
      <c r="C1255" s="896" t="s">
        <v>596</v>
      </c>
      <c r="D1255" s="906" t="s">
        <v>1185</v>
      </c>
      <c r="E1255" s="907">
        <f>GLOBAL_DER_FEV_2023!E1255</f>
        <v>0</v>
      </c>
      <c r="F1255" s="908">
        <f>GLOBAL_DER_FEV_2023!F1255</f>
        <v>0</v>
      </c>
      <c r="G1255" s="912">
        <f>GLOBAL_DER_FEV_2023!G1255</f>
        <v>0</v>
      </c>
      <c r="H1255" s="901">
        <f>GLOBAL_DER_FEV_2023!H1255</f>
        <v>590.13</v>
      </c>
      <c r="I1255" s="901">
        <f>GLOBAL_DER_FEV_2023!I1255</f>
        <v>590.13</v>
      </c>
      <c r="J1255" s="902">
        <f>GLOBAL_DER_FEV_2023!J1255</f>
        <v>708.57</v>
      </c>
      <c r="K1255" s="903" t="s">
        <v>1516</v>
      </c>
      <c r="L1255" s="1137"/>
      <c r="M1255" s="1138">
        <f t="shared" si="143"/>
        <v>0</v>
      </c>
      <c r="N1255" s="893">
        <f t="shared" si="147"/>
        <v>0</v>
      </c>
      <c r="O1255" s="905"/>
      <c r="Q1255" s="317" t="str">
        <f t="shared" si="144"/>
        <v/>
      </c>
      <c r="R1255" s="317" t="str">
        <f t="shared" si="145"/>
        <v/>
      </c>
      <c r="S1255" s="317" t="str">
        <f t="shared" si="146"/>
        <v/>
      </c>
      <c r="T1255" s="317" t="str">
        <f>GLOBAL_DER_FEV_2023!S1255</f>
        <v/>
      </c>
      <c r="W1255" s="582">
        <v>0</v>
      </c>
      <c r="X1255" s="580"/>
      <c r="Y1255" s="583">
        <f>IF(GLOBAL_DER_FEV_2023!W1255=0,0,IF(GLOBAL_DER_FEV_2023!W1255&gt;0,"c","b"))</f>
        <v>0</v>
      </c>
    </row>
    <row r="1256" spans="1:25" ht="22.5" x14ac:dyDescent="0.2">
      <c r="A1256" s="317">
        <v>97881</v>
      </c>
      <c r="B1256" s="895">
        <v>97881</v>
      </c>
      <c r="C1256" s="896" t="s">
        <v>596</v>
      </c>
      <c r="D1256" s="906" t="s">
        <v>1186</v>
      </c>
      <c r="E1256" s="907">
        <f>GLOBAL_DER_FEV_2023!E1256</f>
        <v>0</v>
      </c>
      <c r="F1256" s="908">
        <f>GLOBAL_DER_FEV_2023!F1256</f>
        <v>0</v>
      </c>
      <c r="G1256" s="912">
        <f>GLOBAL_DER_FEV_2023!G1256</f>
        <v>0</v>
      </c>
      <c r="H1256" s="901">
        <f>GLOBAL_DER_FEV_2023!H1256</f>
        <v>108.09</v>
      </c>
      <c r="I1256" s="901">
        <f>GLOBAL_DER_FEV_2023!I1256</f>
        <v>108.09</v>
      </c>
      <c r="J1256" s="902">
        <f>GLOBAL_DER_FEV_2023!J1256</f>
        <v>129.78</v>
      </c>
      <c r="K1256" s="903" t="s">
        <v>1516</v>
      </c>
      <c r="L1256" s="1137"/>
      <c r="M1256" s="1138">
        <f t="shared" si="143"/>
        <v>0</v>
      </c>
      <c r="N1256" s="893">
        <f t="shared" si="147"/>
        <v>0</v>
      </c>
      <c r="O1256" s="905"/>
      <c r="Q1256" s="317" t="str">
        <f t="shared" si="144"/>
        <v/>
      </c>
      <c r="R1256" s="317" t="str">
        <f t="shared" si="145"/>
        <v/>
      </c>
      <c r="S1256" s="317" t="str">
        <f t="shared" si="146"/>
        <v/>
      </c>
      <c r="T1256" s="317" t="str">
        <f>GLOBAL_DER_FEV_2023!S1256</f>
        <v/>
      </c>
      <c r="W1256" s="582">
        <v>0</v>
      </c>
      <c r="X1256" s="580"/>
      <c r="Y1256" s="583">
        <f>IF(GLOBAL_DER_FEV_2023!W1256=0,0,IF(GLOBAL_DER_FEV_2023!W1256&gt;0,"c","b"))</f>
        <v>0</v>
      </c>
    </row>
    <row r="1257" spans="1:25" ht="22.5" x14ac:dyDescent="0.2">
      <c r="A1257" s="317">
        <v>97882</v>
      </c>
      <c r="B1257" s="895">
        <v>97882</v>
      </c>
      <c r="C1257" s="896" t="s">
        <v>596</v>
      </c>
      <c r="D1257" s="906" t="s">
        <v>1187</v>
      </c>
      <c r="E1257" s="907">
        <f>GLOBAL_DER_FEV_2023!E1257</f>
        <v>0</v>
      </c>
      <c r="F1257" s="908">
        <f>GLOBAL_DER_FEV_2023!F1257</f>
        <v>0</v>
      </c>
      <c r="G1257" s="912">
        <f>GLOBAL_DER_FEV_2023!G1257</f>
        <v>0</v>
      </c>
      <c r="H1257" s="901">
        <f>GLOBAL_DER_FEV_2023!H1257</f>
        <v>168.28</v>
      </c>
      <c r="I1257" s="901">
        <f>GLOBAL_DER_FEV_2023!I1257</f>
        <v>168.28</v>
      </c>
      <c r="J1257" s="902">
        <f>GLOBAL_DER_FEV_2023!J1257</f>
        <v>202.05</v>
      </c>
      <c r="K1257" s="903" t="s">
        <v>1516</v>
      </c>
      <c r="L1257" s="1137"/>
      <c r="M1257" s="1138">
        <f t="shared" si="143"/>
        <v>0</v>
      </c>
      <c r="N1257" s="893">
        <f t="shared" si="147"/>
        <v>0</v>
      </c>
      <c r="O1257" s="905"/>
      <c r="Q1257" s="317" t="str">
        <f t="shared" si="144"/>
        <v/>
      </c>
      <c r="R1257" s="317" t="str">
        <f t="shared" si="145"/>
        <v/>
      </c>
      <c r="S1257" s="317" t="str">
        <f t="shared" si="146"/>
        <v/>
      </c>
      <c r="T1257" s="317" t="str">
        <f>GLOBAL_DER_FEV_2023!S1257</f>
        <v/>
      </c>
      <c r="W1257" s="582">
        <v>0</v>
      </c>
      <c r="X1257" s="580"/>
      <c r="Y1257" s="583">
        <f>IF(GLOBAL_DER_FEV_2023!W1257=0,0,IF(GLOBAL_DER_FEV_2023!W1257&gt;0,"c","b"))</f>
        <v>0</v>
      </c>
    </row>
    <row r="1258" spans="1:25" ht="22.5" x14ac:dyDescent="0.2">
      <c r="A1258" s="317">
        <v>97883</v>
      </c>
      <c r="B1258" s="895">
        <v>97883</v>
      </c>
      <c r="C1258" s="896" t="s">
        <v>596</v>
      </c>
      <c r="D1258" s="906" t="s">
        <v>1188</v>
      </c>
      <c r="E1258" s="907">
        <f>GLOBAL_DER_FEV_2023!E1258</f>
        <v>0</v>
      </c>
      <c r="F1258" s="908">
        <f>GLOBAL_DER_FEV_2023!F1258</f>
        <v>0</v>
      </c>
      <c r="G1258" s="912">
        <f>GLOBAL_DER_FEV_2023!G1258</f>
        <v>0</v>
      </c>
      <c r="H1258" s="901">
        <f>GLOBAL_DER_FEV_2023!H1258</f>
        <v>324.05</v>
      </c>
      <c r="I1258" s="901">
        <f>GLOBAL_DER_FEV_2023!I1258</f>
        <v>324.05</v>
      </c>
      <c r="J1258" s="902">
        <f>GLOBAL_DER_FEV_2023!J1258</f>
        <v>389.09</v>
      </c>
      <c r="K1258" s="903" t="s">
        <v>1516</v>
      </c>
      <c r="L1258" s="1137"/>
      <c r="M1258" s="1138">
        <f t="shared" si="143"/>
        <v>0</v>
      </c>
      <c r="N1258" s="893">
        <f t="shared" si="147"/>
        <v>0</v>
      </c>
      <c r="O1258" s="905"/>
      <c r="Q1258" s="317" t="str">
        <f t="shared" si="144"/>
        <v/>
      </c>
      <c r="R1258" s="317" t="str">
        <f t="shared" si="145"/>
        <v/>
      </c>
      <c r="S1258" s="317" t="str">
        <f t="shared" si="146"/>
        <v/>
      </c>
      <c r="T1258" s="317" t="str">
        <f>GLOBAL_DER_FEV_2023!S1258</f>
        <v/>
      </c>
      <c r="W1258" s="582">
        <v>0</v>
      </c>
      <c r="X1258" s="580"/>
      <c r="Y1258" s="583">
        <f>IF(GLOBAL_DER_FEV_2023!W1258=0,0,IF(GLOBAL_DER_FEV_2023!W1258&gt;0,"c","b"))</f>
        <v>0</v>
      </c>
    </row>
    <row r="1259" spans="1:25" ht="22.5" x14ac:dyDescent="0.2">
      <c r="A1259" s="317">
        <v>97884</v>
      </c>
      <c r="B1259" s="895">
        <v>97884</v>
      </c>
      <c r="C1259" s="896" t="s">
        <v>596</v>
      </c>
      <c r="D1259" s="906" t="s">
        <v>1189</v>
      </c>
      <c r="E1259" s="907">
        <f>GLOBAL_DER_FEV_2023!E1259</f>
        <v>0</v>
      </c>
      <c r="F1259" s="908">
        <f>GLOBAL_DER_FEV_2023!F1259</f>
        <v>0</v>
      </c>
      <c r="G1259" s="912">
        <f>GLOBAL_DER_FEV_2023!G1259</f>
        <v>0</v>
      </c>
      <c r="H1259" s="901">
        <f>GLOBAL_DER_FEV_2023!H1259</f>
        <v>625.80999999999995</v>
      </c>
      <c r="I1259" s="901">
        <f>GLOBAL_DER_FEV_2023!I1259</f>
        <v>625.80999999999995</v>
      </c>
      <c r="J1259" s="902">
        <f>GLOBAL_DER_FEV_2023!J1259</f>
        <v>751.41</v>
      </c>
      <c r="K1259" s="903" t="s">
        <v>1516</v>
      </c>
      <c r="L1259" s="1137"/>
      <c r="M1259" s="1138">
        <f t="shared" si="143"/>
        <v>0</v>
      </c>
      <c r="N1259" s="893">
        <f t="shared" si="147"/>
        <v>0</v>
      </c>
      <c r="O1259" s="905"/>
      <c r="Q1259" s="317" t="str">
        <f t="shared" si="144"/>
        <v/>
      </c>
      <c r="R1259" s="317" t="str">
        <f t="shared" si="145"/>
        <v/>
      </c>
      <c r="S1259" s="317" t="str">
        <f t="shared" si="146"/>
        <v/>
      </c>
      <c r="T1259" s="317" t="str">
        <f>GLOBAL_DER_FEV_2023!S1259</f>
        <v/>
      </c>
      <c r="W1259" s="582">
        <v>0</v>
      </c>
      <c r="X1259" s="580"/>
      <c r="Y1259" s="583">
        <f>IF(GLOBAL_DER_FEV_2023!W1259=0,0,IF(GLOBAL_DER_FEV_2023!W1259&gt;0,"c","b"))</f>
        <v>0</v>
      </c>
    </row>
    <row r="1260" spans="1:25" ht="22.5" x14ac:dyDescent="0.2">
      <c r="A1260" s="317">
        <v>97885</v>
      </c>
      <c r="B1260" s="895">
        <v>97885</v>
      </c>
      <c r="C1260" s="896" t="s">
        <v>596</v>
      </c>
      <c r="D1260" s="906" t="s">
        <v>1190</v>
      </c>
      <c r="E1260" s="907">
        <f>GLOBAL_DER_FEV_2023!E1260</f>
        <v>0</v>
      </c>
      <c r="F1260" s="908">
        <f>GLOBAL_DER_FEV_2023!F1260</f>
        <v>0</v>
      </c>
      <c r="G1260" s="912">
        <f>GLOBAL_DER_FEV_2023!G1260</f>
        <v>0</v>
      </c>
      <c r="H1260" s="901">
        <f>GLOBAL_DER_FEV_2023!H1260</f>
        <v>954.37</v>
      </c>
      <c r="I1260" s="901">
        <f>GLOBAL_DER_FEV_2023!I1260</f>
        <v>954.37</v>
      </c>
      <c r="J1260" s="902">
        <f>GLOBAL_DER_FEV_2023!J1260</f>
        <v>1145.9100000000001</v>
      </c>
      <c r="K1260" s="903" t="s">
        <v>1516</v>
      </c>
      <c r="L1260" s="1137"/>
      <c r="M1260" s="1138">
        <f t="shared" si="143"/>
        <v>0</v>
      </c>
      <c r="N1260" s="893">
        <f t="shared" si="147"/>
        <v>0</v>
      </c>
      <c r="O1260" s="905"/>
      <c r="Q1260" s="317" t="str">
        <f t="shared" si="144"/>
        <v/>
      </c>
      <c r="R1260" s="317" t="str">
        <f t="shared" si="145"/>
        <v/>
      </c>
      <c r="S1260" s="317" t="str">
        <f t="shared" si="146"/>
        <v/>
      </c>
      <c r="T1260" s="317" t="str">
        <f>GLOBAL_DER_FEV_2023!S1260</f>
        <v/>
      </c>
      <c r="W1260" s="582">
        <v>0</v>
      </c>
      <c r="X1260" s="580"/>
      <c r="Y1260" s="583">
        <f>IF(GLOBAL_DER_FEV_2023!W1260=0,0,IF(GLOBAL_DER_FEV_2023!W1260&gt;0,"c","b"))</f>
        <v>0</v>
      </c>
    </row>
    <row r="1261" spans="1:25" ht="22.5" x14ac:dyDescent="0.2">
      <c r="A1261" s="317">
        <v>91945</v>
      </c>
      <c r="B1261" s="895">
        <v>91945</v>
      </c>
      <c r="C1261" s="896" t="s">
        <v>596</v>
      </c>
      <c r="D1261" s="906" t="s">
        <v>1191</v>
      </c>
      <c r="E1261" s="907">
        <f>GLOBAL_DER_FEV_2023!E1261</f>
        <v>0</v>
      </c>
      <c r="F1261" s="908">
        <f>GLOBAL_DER_FEV_2023!F1261</f>
        <v>0</v>
      </c>
      <c r="G1261" s="912">
        <f>GLOBAL_DER_FEV_2023!G1261</f>
        <v>0</v>
      </c>
      <c r="H1261" s="901">
        <f>GLOBAL_DER_FEV_2023!H1261</f>
        <v>11.14</v>
      </c>
      <c r="I1261" s="901">
        <f>GLOBAL_DER_FEV_2023!I1261</f>
        <v>11.14</v>
      </c>
      <c r="J1261" s="902">
        <f>GLOBAL_DER_FEV_2023!J1261</f>
        <v>13.38</v>
      </c>
      <c r="K1261" s="903" t="s">
        <v>1516</v>
      </c>
      <c r="L1261" s="1137"/>
      <c r="M1261" s="1138">
        <f t="shared" si="143"/>
        <v>0</v>
      </c>
      <c r="N1261" s="893">
        <f t="shared" si="147"/>
        <v>0</v>
      </c>
      <c r="O1261" s="905"/>
      <c r="Q1261" s="317" t="str">
        <f t="shared" si="144"/>
        <v/>
      </c>
      <c r="R1261" s="317" t="str">
        <f t="shared" si="145"/>
        <v/>
      </c>
      <c r="S1261" s="317" t="str">
        <f t="shared" si="146"/>
        <v/>
      </c>
      <c r="T1261" s="317" t="str">
        <f>GLOBAL_DER_FEV_2023!S1261</f>
        <v/>
      </c>
      <c r="W1261" s="582">
        <v>0</v>
      </c>
      <c r="X1261" s="580"/>
      <c r="Y1261" s="583">
        <f>IF(GLOBAL_DER_FEV_2023!W1261=0,0,IF(GLOBAL_DER_FEV_2023!W1261&gt;0,"c","b"))</f>
        <v>0</v>
      </c>
    </row>
    <row r="1262" spans="1:25" ht="22.5" x14ac:dyDescent="0.2">
      <c r="A1262" s="317">
        <v>91946</v>
      </c>
      <c r="B1262" s="895">
        <v>91946</v>
      </c>
      <c r="C1262" s="896" t="s">
        <v>596</v>
      </c>
      <c r="D1262" s="906" t="s">
        <v>1192</v>
      </c>
      <c r="E1262" s="907">
        <f>GLOBAL_DER_FEV_2023!E1262</f>
        <v>0</v>
      </c>
      <c r="F1262" s="908">
        <f>GLOBAL_DER_FEV_2023!F1262</f>
        <v>0</v>
      </c>
      <c r="G1262" s="912">
        <f>GLOBAL_DER_FEV_2023!G1262</f>
        <v>0</v>
      </c>
      <c r="H1262" s="901">
        <f>GLOBAL_DER_FEV_2023!H1262</f>
        <v>9.23</v>
      </c>
      <c r="I1262" s="901">
        <f>GLOBAL_DER_FEV_2023!I1262</f>
        <v>9.23</v>
      </c>
      <c r="J1262" s="902">
        <f>GLOBAL_DER_FEV_2023!J1262</f>
        <v>11.08</v>
      </c>
      <c r="K1262" s="903" t="s">
        <v>1516</v>
      </c>
      <c r="L1262" s="1137"/>
      <c r="M1262" s="1138">
        <f t="shared" si="143"/>
        <v>0</v>
      </c>
      <c r="N1262" s="893">
        <f t="shared" si="147"/>
        <v>0</v>
      </c>
      <c r="O1262" s="905"/>
      <c r="Q1262" s="317" t="str">
        <f t="shared" si="144"/>
        <v/>
      </c>
      <c r="R1262" s="317" t="str">
        <f t="shared" si="145"/>
        <v/>
      </c>
      <c r="S1262" s="317" t="str">
        <f t="shared" si="146"/>
        <v/>
      </c>
      <c r="T1262" s="317" t="str">
        <f>GLOBAL_DER_FEV_2023!S1262</f>
        <v/>
      </c>
      <c r="W1262" s="582">
        <v>0</v>
      </c>
      <c r="X1262" s="580"/>
      <c r="Y1262" s="583">
        <f>IF(GLOBAL_DER_FEV_2023!W1262=0,0,IF(GLOBAL_DER_FEV_2023!W1262&gt;0,"c","b"))</f>
        <v>0</v>
      </c>
    </row>
    <row r="1263" spans="1:25" ht="22.5" x14ac:dyDescent="0.2">
      <c r="A1263" s="317">
        <v>91947</v>
      </c>
      <c r="B1263" s="895">
        <v>91947</v>
      </c>
      <c r="C1263" s="896" t="s">
        <v>596</v>
      </c>
      <c r="D1263" s="906" t="s">
        <v>1193</v>
      </c>
      <c r="E1263" s="907">
        <f>GLOBAL_DER_FEV_2023!E1263</f>
        <v>0</v>
      </c>
      <c r="F1263" s="908">
        <f>GLOBAL_DER_FEV_2023!F1263</f>
        <v>0</v>
      </c>
      <c r="G1263" s="912">
        <f>GLOBAL_DER_FEV_2023!G1263</f>
        <v>0</v>
      </c>
      <c r="H1263" s="901">
        <f>GLOBAL_DER_FEV_2023!H1263</f>
        <v>8.0399999999999991</v>
      </c>
      <c r="I1263" s="901">
        <f>GLOBAL_DER_FEV_2023!I1263</f>
        <v>8.0399999999999991</v>
      </c>
      <c r="J1263" s="902">
        <f>GLOBAL_DER_FEV_2023!J1263</f>
        <v>9.65</v>
      </c>
      <c r="K1263" s="903" t="s">
        <v>1516</v>
      </c>
      <c r="L1263" s="1137"/>
      <c r="M1263" s="1138">
        <f t="shared" si="143"/>
        <v>0</v>
      </c>
      <c r="N1263" s="893">
        <f t="shared" si="147"/>
        <v>0</v>
      </c>
      <c r="O1263" s="905"/>
      <c r="Q1263" s="317" t="str">
        <f t="shared" si="144"/>
        <v/>
      </c>
      <c r="R1263" s="317" t="str">
        <f t="shared" si="145"/>
        <v/>
      </c>
      <c r="S1263" s="317" t="str">
        <f t="shared" si="146"/>
        <v/>
      </c>
      <c r="T1263" s="317" t="str">
        <f>GLOBAL_DER_FEV_2023!S1263</f>
        <v/>
      </c>
      <c r="W1263" s="582">
        <v>0</v>
      </c>
      <c r="X1263" s="580"/>
      <c r="Y1263" s="583">
        <f>IF(GLOBAL_DER_FEV_2023!W1263=0,0,IF(GLOBAL_DER_FEV_2023!W1263&gt;0,"c","b"))</f>
        <v>0</v>
      </c>
    </row>
    <row r="1264" spans="1:25" ht="22.5" x14ac:dyDescent="0.2">
      <c r="A1264" s="317">
        <v>91949</v>
      </c>
      <c r="B1264" s="895">
        <v>91949</v>
      </c>
      <c r="C1264" s="896" t="s">
        <v>596</v>
      </c>
      <c r="D1264" s="906" t="s">
        <v>1194</v>
      </c>
      <c r="E1264" s="907">
        <f>GLOBAL_DER_FEV_2023!E1264</f>
        <v>0</v>
      </c>
      <c r="F1264" s="908">
        <f>GLOBAL_DER_FEV_2023!F1264</f>
        <v>0</v>
      </c>
      <c r="G1264" s="912">
        <f>GLOBAL_DER_FEV_2023!G1264</f>
        <v>0</v>
      </c>
      <c r="H1264" s="901">
        <f>GLOBAL_DER_FEV_2023!H1264</f>
        <v>16.88</v>
      </c>
      <c r="I1264" s="901">
        <f>GLOBAL_DER_FEV_2023!I1264</f>
        <v>16.88</v>
      </c>
      <c r="J1264" s="902">
        <f>GLOBAL_DER_FEV_2023!J1264</f>
        <v>20.27</v>
      </c>
      <c r="K1264" s="903" t="s">
        <v>1516</v>
      </c>
      <c r="L1264" s="1137"/>
      <c r="M1264" s="1138">
        <f t="shared" si="143"/>
        <v>0</v>
      </c>
      <c r="N1264" s="893">
        <f t="shared" si="147"/>
        <v>0</v>
      </c>
      <c r="O1264" s="905"/>
      <c r="Q1264" s="317" t="str">
        <f t="shared" si="144"/>
        <v/>
      </c>
      <c r="R1264" s="317" t="str">
        <f t="shared" si="145"/>
        <v/>
      </c>
      <c r="S1264" s="317" t="str">
        <f t="shared" si="146"/>
        <v/>
      </c>
      <c r="T1264" s="317" t="str">
        <f>GLOBAL_DER_FEV_2023!S1264</f>
        <v/>
      </c>
      <c r="W1264" s="582">
        <v>0</v>
      </c>
      <c r="X1264" s="580"/>
      <c r="Y1264" s="583">
        <f>IF(GLOBAL_DER_FEV_2023!W1264=0,0,IF(GLOBAL_DER_FEV_2023!W1264&gt;0,"c","b"))</f>
        <v>0</v>
      </c>
    </row>
    <row r="1265" spans="1:25" ht="22.5" x14ac:dyDescent="0.2">
      <c r="A1265" s="317">
        <v>91950</v>
      </c>
      <c r="B1265" s="895">
        <v>91950</v>
      </c>
      <c r="C1265" s="896" t="s">
        <v>596</v>
      </c>
      <c r="D1265" s="906" t="s">
        <v>1195</v>
      </c>
      <c r="E1265" s="907">
        <f>GLOBAL_DER_FEV_2023!E1265</f>
        <v>0</v>
      </c>
      <c r="F1265" s="908">
        <f>GLOBAL_DER_FEV_2023!F1265</f>
        <v>0</v>
      </c>
      <c r="G1265" s="912">
        <f>GLOBAL_DER_FEV_2023!G1265</f>
        <v>0</v>
      </c>
      <c r="H1265" s="901">
        <f>GLOBAL_DER_FEV_2023!H1265</f>
        <v>14.58</v>
      </c>
      <c r="I1265" s="901">
        <f>GLOBAL_DER_FEV_2023!I1265</f>
        <v>14.58</v>
      </c>
      <c r="J1265" s="902">
        <f>GLOBAL_DER_FEV_2023!J1265</f>
        <v>17.510000000000002</v>
      </c>
      <c r="K1265" s="903" t="s">
        <v>1516</v>
      </c>
      <c r="L1265" s="1137"/>
      <c r="M1265" s="1138">
        <f t="shared" si="143"/>
        <v>0</v>
      </c>
      <c r="N1265" s="893">
        <f t="shared" si="147"/>
        <v>0</v>
      </c>
      <c r="O1265" s="905"/>
      <c r="Q1265" s="317" t="str">
        <f t="shared" si="144"/>
        <v/>
      </c>
      <c r="R1265" s="317" t="str">
        <f t="shared" si="145"/>
        <v/>
      </c>
      <c r="S1265" s="317" t="str">
        <f t="shared" si="146"/>
        <v/>
      </c>
      <c r="T1265" s="317" t="str">
        <f>GLOBAL_DER_FEV_2023!S1265</f>
        <v/>
      </c>
      <c r="W1265" s="582">
        <v>0</v>
      </c>
      <c r="X1265" s="580"/>
      <c r="Y1265" s="583">
        <f>IF(GLOBAL_DER_FEV_2023!W1265=0,0,IF(GLOBAL_DER_FEV_2023!W1265&gt;0,"c","b"))</f>
        <v>0</v>
      </c>
    </row>
    <row r="1266" spans="1:25" ht="22.5" x14ac:dyDescent="0.2">
      <c r="A1266" s="317">
        <v>91951</v>
      </c>
      <c r="B1266" s="895">
        <v>91951</v>
      </c>
      <c r="C1266" s="896" t="s">
        <v>596</v>
      </c>
      <c r="D1266" s="906" t="s">
        <v>1196</v>
      </c>
      <c r="E1266" s="907">
        <f>GLOBAL_DER_FEV_2023!E1266</f>
        <v>0</v>
      </c>
      <c r="F1266" s="908">
        <f>GLOBAL_DER_FEV_2023!F1266</f>
        <v>0</v>
      </c>
      <c r="G1266" s="912">
        <f>GLOBAL_DER_FEV_2023!G1266</f>
        <v>0</v>
      </c>
      <c r="H1266" s="901">
        <f>GLOBAL_DER_FEV_2023!H1266</f>
        <v>13.19</v>
      </c>
      <c r="I1266" s="901">
        <f>GLOBAL_DER_FEV_2023!I1266</f>
        <v>13.19</v>
      </c>
      <c r="J1266" s="902">
        <f>GLOBAL_DER_FEV_2023!J1266</f>
        <v>15.84</v>
      </c>
      <c r="K1266" s="903" t="s">
        <v>1516</v>
      </c>
      <c r="L1266" s="1137"/>
      <c r="M1266" s="1138">
        <f t="shared" si="143"/>
        <v>0</v>
      </c>
      <c r="N1266" s="893">
        <f t="shared" si="147"/>
        <v>0</v>
      </c>
      <c r="O1266" s="905"/>
      <c r="Q1266" s="317" t="str">
        <f t="shared" si="144"/>
        <v/>
      </c>
      <c r="R1266" s="317" t="str">
        <f t="shared" si="145"/>
        <v/>
      </c>
      <c r="S1266" s="317" t="str">
        <f t="shared" si="146"/>
        <v/>
      </c>
      <c r="T1266" s="317" t="str">
        <f>GLOBAL_DER_FEV_2023!S1266</f>
        <v/>
      </c>
      <c r="W1266" s="582">
        <v>0</v>
      </c>
      <c r="X1266" s="580"/>
      <c r="Y1266" s="583">
        <f>IF(GLOBAL_DER_FEV_2023!W1266=0,0,IF(GLOBAL_DER_FEV_2023!W1266&gt;0,"c","b"))</f>
        <v>0</v>
      </c>
    </row>
    <row r="1267" spans="1:25" ht="22.5" x14ac:dyDescent="0.2">
      <c r="A1267" s="317">
        <v>101946</v>
      </c>
      <c r="B1267" s="895">
        <v>101946</v>
      </c>
      <c r="C1267" s="896" t="s">
        <v>596</v>
      </c>
      <c r="D1267" s="906" t="s">
        <v>1197</v>
      </c>
      <c r="E1267" s="907">
        <f>GLOBAL_DER_FEV_2023!E1267</f>
        <v>0</v>
      </c>
      <c r="F1267" s="908">
        <f>GLOBAL_DER_FEV_2023!F1267</f>
        <v>0</v>
      </c>
      <c r="G1267" s="912">
        <f>GLOBAL_DER_FEV_2023!G1267</f>
        <v>0</v>
      </c>
      <c r="H1267" s="901">
        <f>GLOBAL_DER_FEV_2023!H1267</f>
        <v>191.01</v>
      </c>
      <c r="I1267" s="901">
        <f>GLOBAL_DER_FEV_2023!I1267</f>
        <v>191.01</v>
      </c>
      <c r="J1267" s="902">
        <f>GLOBAL_DER_FEV_2023!J1267</f>
        <v>229.35</v>
      </c>
      <c r="K1267" s="903" t="s">
        <v>1516</v>
      </c>
      <c r="L1267" s="1137"/>
      <c r="M1267" s="1138">
        <f t="shared" si="143"/>
        <v>0</v>
      </c>
      <c r="N1267" s="893">
        <f t="shared" si="147"/>
        <v>0</v>
      </c>
      <c r="O1267" s="905"/>
      <c r="Q1267" s="317" t="str">
        <f t="shared" si="144"/>
        <v/>
      </c>
      <c r="R1267" s="317" t="str">
        <f t="shared" si="145"/>
        <v/>
      </c>
      <c r="S1267" s="317" t="str">
        <f t="shared" si="146"/>
        <v/>
      </c>
      <c r="T1267" s="317" t="str">
        <f>GLOBAL_DER_FEV_2023!S1267</f>
        <v/>
      </c>
      <c r="W1267" s="582">
        <v>0</v>
      </c>
      <c r="X1267" s="580"/>
      <c r="Y1267" s="583">
        <f>IF(GLOBAL_DER_FEV_2023!W1267=0,0,IF(GLOBAL_DER_FEV_2023!W1267&gt;0,"c","b"))</f>
        <v>0</v>
      </c>
    </row>
    <row r="1268" spans="1:25" ht="22.5" x14ac:dyDescent="0.2">
      <c r="A1268" s="317">
        <v>97362</v>
      </c>
      <c r="B1268" s="895">
        <v>97362</v>
      </c>
      <c r="C1268" s="896" t="s">
        <v>596</v>
      </c>
      <c r="D1268" s="906" t="s">
        <v>1198</v>
      </c>
      <c r="E1268" s="907">
        <f>GLOBAL_DER_FEV_2023!E1268</f>
        <v>0</v>
      </c>
      <c r="F1268" s="908">
        <f>GLOBAL_DER_FEV_2023!F1268</f>
        <v>0</v>
      </c>
      <c r="G1268" s="912">
        <f>GLOBAL_DER_FEV_2023!G1268</f>
        <v>0</v>
      </c>
      <c r="H1268" s="901">
        <f>GLOBAL_DER_FEV_2023!H1268</f>
        <v>2474.29</v>
      </c>
      <c r="I1268" s="901">
        <f>GLOBAL_DER_FEV_2023!I1268</f>
        <v>2474.29</v>
      </c>
      <c r="J1268" s="902">
        <f>GLOBAL_DER_FEV_2023!J1268</f>
        <v>2970.88</v>
      </c>
      <c r="K1268" s="903" t="s">
        <v>1516</v>
      </c>
      <c r="L1268" s="1137"/>
      <c r="M1268" s="1138">
        <f t="shared" si="143"/>
        <v>0</v>
      </c>
      <c r="N1268" s="893">
        <f t="shared" si="147"/>
        <v>0</v>
      </c>
      <c r="O1268" s="905"/>
      <c r="Q1268" s="317" t="str">
        <f t="shared" si="144"/>
        <v/>
      </c>
      <c r="R1268" s="317" t="str">
        <f t="shared" si="145"/>
        <v/>
      </c>
      <c r="S1268" s="317" t="str">
        <f t="shared" si="146"/>
        <v/>
      </c>
      <c r="T1268" s="317" t="str">
        <f>GLOBAL_DER_FEV_2023!S1268</f>
        <v/>
      </c>
      <c r="W1268" s="582">
        <v>0</v>
      </c>
      <c r="X1268" s="580"/>
      <c r="Y1268" s="583">
        <f>IF(GLOBAL_DER_FEV_2023!W1268=0,0,IF(GLOBAL_DER_FEV_2023!W1268&gt;0,"c","b"))</f>
        <v>0</v>
      </c>
    </row>
    <row r="1269" spans="1:25" ht="22.5" x14ac:dyDescent="0.2">
      <c r="A1269" s="317">
        <v>97359</v>
      </c>
      <c r="B1269" s="895">
        <v>97359</v>
      </c>
      <c r="C1269" s="896" t="s">
        <v>596</v>
      </c>
      <c r="D1269" s="906" t="s">
        <v>1199</v>
      </c>
      <c r="E1269" s="907">
        <f>GLOBAL_DER_FEV_2023!E1269</f>
        <v>0</v>
      </c>
      <c r="F1269" s="908">
        <f>GLOBAL_DER_FEV_2023!F1269</f>
        <v>0</v>
      </c>
      <c r="G1269" s="912">
        <f>GLOBAL_DER_FEV_2023!G1269</f>
        <v>0</v>
      </c>
      <c r="H1269" s="901">
        <f>GLOBAL_DER_FEV_2023!H1269</f>
        <v>4248.38</v>
      </c>
      <c r="I1269" s="901">
        <f>GLOBAL_DER_FEV_2023!I1269</f>
        <v>4248.38</v>
      </c>
      <c r="J1269" s="902">
        <f>GLOBAL_DER_FEV_2023!J1269</f>
        <v>5101.03</v>
      </c>
      <c r="K1269" s="903" t="s">
        <v>1516</v>
      </c>
      <c r="L1269" s="1137"/>
      <c r="M1269" s="1138">
        <f t="shared" si="143"/>
        <v>0</v>
      </c>
      <c r="N1269" s="893">
        <f t="shared" si="147"/>
        <v>0</v>
      </c>
      <c r="O1269" s="905"/>
      <c r="Q1269" s="317" t="str">
        <f t="shared" si="144"/>
        <v/>
      </c>
      <c r="R1269" s="317" t="str">
        <f t="shared" si="145"/>
        <v/>
      </c>
      <c r="S1269" s="317" t="str">
        <f t="shared" si="146"/>
        <v/>
      </c>
      <c r="T1269" s="317" t="str">
        <f>GLOBAL_DER_FEV_2023!S1269</f>
        <v/>
      </c>
      <c r="W1269" s="582">
        <v>0</v>
      </c>
      <c r="X1269" s="580"/>
      <c r="Y1269" s="583">
        <f>IF(GLOBAL_DER_FEV_2023!W1269=0,0,IF(GLOBAL_DER_FEV_2023!W1269&gt;0,"c","b"))</f>
        <v>0</v>
      </c>
    </row>
    <row r="1270" spans="1:25" ht="22.5" x14ac:dyDescent="0.2">
      <c r="A1270" s="317">
        <v>97360</v>
      </c>
      <c r="B1270" s="895">
        <v>97360</v>
      </c>
      <c r="C1270" s="896" t="s">
        <v>596</v>
      </c>
      <c r="D1270" s="906" t="s">
        <v>1200</v>
      </c>
      <c r="E1270" s="907">
        <f>GLOBAL_DER_FEV_2023!E1270</f>
        <v>0</v>
      </c>
      <c r="F1270" s="908">
        <f>GLOBAL_DER_FEV_2023!F1270</f>
        <v>0</v>
      </c>
      <c r="G1270" s="912">
        <f>GLOBAL_DER_FEV_2023!G1270</f>
        <v>0</v>
      </c>
      <c r="H1270" s="901">
        <f>GLOBAL_DER_FEV_2023!H1270</f>
        <v>8185.52</v>
      </c>
      <c r="I1270" s="901">
        <f>GLOBAL_DER_FEV_2023!I1270</f>
        <v>8185.52</v>
      </c>
      <c r="J1270" s="902">
        <f>GLOBAL_DER_FEV_2023!J1270</f>
        <v>9828.35</v>
      </c>
      <c r="K1270" s="903" t="s">
        <v>1516</v>
      </c>
      <c r="L1270" s="1137"/>
      <c r="M1270" s="1138">
        <f t="shared" si="143"/>
        <v>0</v>
      </c>
      <c r="N1270" s="893">
        <f t="shared" si="147"/>
        <v>0</v>
      </c>
      <c r="O1270" s="905"/>
      <c r="Q1270" s="317" t="str">
        <f t="shared" si="144"/>
        <v/>
      </c>
      <c r="R1270" s="317" t="str">
        <f t="shared" si="145"/>
        <v/>
      </c>
      <c r="S1270" s="317" t="str">
        <f t="shared" si="146"/>
        <v/>
      </c>
      <c r="T1270" s="317" t="str">
        <f>GLOBAL_DER_FEV_2023!S1270</f>
        <v/>
      </c>
      <c r="W1270" s="582">
        <v>0</v>
      </c>
      <c r="X1270" s="580"/>
      <c r="Y1270" s="583">
        <f>IF(GLOBAL_DER_FEV_2023!W1270=0,0,IF(GLOBAL_DER_FEV_2023!W1270&gt;0,"c","b"))</f>
        <v>0</v>
      </c>
    </row>
    <row r="1271" spans="1:25" ht="22.5" x14ac:dyDescent="0.2">
      <c r="A1271" s="317">
        <v>97361</v>
      </c>
      <c r="B1271" s="895">
        <v>97361</v>
      </c>
      <c r="C1271" s="896" t="s">
        <v>596</v>
      </c>
      <c r="D1271" s="906" t="s">
        <v>1201</v>
      </c>
      <c r="E1271" s="907">
        <f>GLOBAL_DER_FEV_2023!E1271</f>
        <v>0</v>
      </c>
      <c r="F1271" s="908">
        <f>GLOBAL_DER_FEV_2023!F1271</f>
        <v>0</v>
      </c>
      <c r="G1271" s="912">
        <f>GLOBAL_DER_FEV_2023!G1271</f>
        <v>0</v>
      </c>
      <c r="H1271" s="901">
        <f>GLOBAL_DER_FEV_2023!H1271</f>
        <v>10914.04</v>
      </c>
      <c r="I1271" s="901">
        <f>GLOBAL_DER_FEV_2023!I1271</f>
        <v>10914.04</v>
      </c>
      <c r="J1271" s="902">
        <f>GLOBAL_DER_FEV_2023!J1271</f>
        <v>13104.49</v>
      </c>
      <c r="K1271" s="903" t="s">
        <v>1516</v>
      </c>
      <c r="L1271" s="1137"/>
      <c r="M1271" s="1138">
        <f t="shared" si="143"/>
        <v>0</v>
      </c>
      <c r="N1271" s="893">
        <f t="shared" si="147"/>
        <v>0</v>
      </c>
      <c r="O1271" s="905"/>
      <c r="Q1271" s="317" t="str">
        <f t="shared" si="144"/>
        <v/>
      </c>
      <c r="R1271" s="317" t="str">
        <f t="shared" si="145"/>
        <v/>
      </c>
      <c r="S1271" s="317" t="str">
        <f t="shared" si="146"/>
        <v/>
      </c>
      <c r="T1271" s="317" t="str">
        <f>GLOBAL_DER_FEV_2023!S1271</f>
        <v/>
      </c>
      <c r="W1271" s="582">
        <v>0</v>
      </c>
      <c r="X1271" s="580"/>
      <c r="Y1271" s="583">
        <f>IF(GLOBAL_DER_FEV_2023!W1271=0,0,IF(GLOBAL_DER_FEV_2023!W1271&gt;0,"c","b"))</f>
        <v>0</v>
      </c>
    </row>
    <row r="1272" spans="1:25" ht="33.75" x14ac:dyDescent="0.2">
      <c r="A1272" s="317">
        <v>101875</v>
      </c>
      <c r="B1272" s="895">
        <v>101875</v>
      </c>
      <c r="C1272" s="896" t="s">
        <v>596</v>
      </c>
      <c r="D1272" s="906" t="s">
        <v>1202</v>
      </c>
      <c r="E1272" s="907">
        <f>GLOBAL_DER_FEV_2023!E1272</f>
        <v>0</v>
      </c>
      <c r="F1272" s="908">
        <f>GLOBAL_DER_FEV_2023!F1272</f>
        <v>0</v>
      </c>
      <c r="G1272" s="912">
        <f>GLOBAL_DER_FEV_2023!G1272</f>
        <v>0</v>
      </c>
      <c r="H1272" s="901">
        <f>GLOBAL_DER_FEV_2023!H1272</f>
        <v>527.42999999999995</v>
      </c>
      <c r="I1272" s="901">
        <f>GLOBAL_DER_FEV_2023!I1272</f>
        <v>527.42999999999995</v>
      </c>
      <c r="J1272" s="902">
        <f>GLOBAL_DER_FEV_2023!J1272</f>
        <v>633.29</v>
      </c>
      <c r="K1272" s="903" t="s">
        <v>1516</v>
      </c>
      <c r="L1272" s="1137"/>
      <c r="M1272" s="1138">
        <f t="shared" si="143"/>
        <v>0</v>
      </c>
      <c r="N1272" s="893">
        <f t="shared" si="147"/>
        <v>0</v>
      </c>
      <c r="O1272" s="905"/>
      <c r="Q1272" s="317" t="str">
        <f t="shared" si="144"/>
        <v/>
      </c>
      <c r="R1272" s="317" t="str">
        <f t="shared" si="145"/>
        <v/>
      </c>
      <c r="S1272" s="317" t="str">
        <f t="shared" si="146"/>
        <v/>
      </c>
      <c r="T1272" s="317" t="str">
        <f>GLOBAL_DER_FEV_2023!S1272</f>
        <v/>
      </c>
      <c r="W1272" s="582">
        <v>0</v>
      </c>
      <c r="X1272" s="580"/>
      <c r="Y1272" s="583">
        <f>IF(GLOBAL_DER_FEV_2023!W1272=0,0,IF(GLOBAL_DER_FEV_2023!W1272&gt;0,"c","b"))</f>
        <v>0</v>
      </c>
    </row>
    <row r="1273" spans="1:25" ht="22.5" x14ac:dyDescent="0.2">
      <c r="A1273" s="317">
        <v>101876</v>
      </c>
      <c r="B1273" s="895">
        <v>101876</v>
      </c>
      <c r="C1273" s="896" t="s">
        <v>596</v>
      </c>
      <c r="D1273" s="906" t="s">
        <v>1203</v>
      </c>
      <c r="E1273" s="907">
        <f>GLOBAL_DER_FEV_2023!E1273</f>
        <v>0</v>
      </c>
      <c r="F1273" s="908">
        <f>GLOBAL_DER_FEV_2023!F1273</f>
        <v>0</v>
      </c>
      <c r="G1273" s="912">
        <f>GLOBAL_DER_FEV_2023!G1273</f>
        <v>0</v>
      </c>
      <c r="H1273" s="901">
        <f>GLOBAL_DER_FEV_2023!H1273</f>
        <v>95.28</v>
      </c>
      <c r="I1273" s="901">
        <f>GLOBAL_DER_FEV_2023!I1273</f>
        <v>95.28</v>
      </c>
      <c r="J1273" s="902">
        <f>GLOBAL_DER_FEV_2023!J1273</f>
        <v>114.4</v>
      </c>
      <c r="K1273" s="903" t="s">
        <v>1516</v>
      </c>
      <c r="L1273" s="1137"/>
      <c r="M1273" s="1138">
        <f t="shared" si="143"/>
        <v>0</v>
      </c>
      <c r="N1273" s="893">
        <f t="shared" si="147"/>
        <v>0</v>
      </c>
      <c r="O1273" s="905"/>
      <c r="Q1273" s="317" t="str">
        <f t="shared" si="144"/>
        <v/>
      </c>
      <c r="R1273" s="317" t="str">
        <f t="shared" si="145"/>
        <v/>
      </c>
      <c r="S1273" s="317" t="str">
        <f t="shared" si="146"/>
        <v/>
      </c>
      <c r="T1273" s="317" t="str">
        <f>GLOBAL_DER_FEV_2023!S1273</f>
        <v/>
      </c>
      <c r="W1273" s="582">
        <v>0</v>
      </c>
      <c r="X1273" s="580"/>
      <c r="Y1273" s="583">
        <f>IF(GLOBAL_DER_FEV_2023!W1273=0,0,IF(GLOBAL_DER_FEV_2023!W1273&gt;0,"c","b"))</f>
        <v>0</v>
      </c>
    </row>
    <row r="1274" spans="1:25" ht="22.5" x14ac:dyDescent="0.2">
      <c r="A1274" s="317">
        <v>101877</v>
      </c>
      <c r="B1274" s="895">
        <v>101877</v>
      </c>
      <c r="C1274" s="896" t="s">
        <v>596</v>
      </c>
      <c r="D1274" s="906" t="s">
        <v>1204</v>
      </c>
      <c r="E1274" s="907">
        <f>GLOBAL_DER_FEV_2023!E1274</f>
        <v>0</v>
      </c>
      <c r="F1274" s="908">
        <f>GLOBAL_DER_FEV_2023!F1274</f>
        <v>0</v>
      </c>
      <c r="G1274" s="912">
        <f>GLOBAL_DER_FEV_2023!G1274</f>
        <v>0</v>
      </c>
      <c r="H1274" s="901">
        <f>GLOBAL_DER_FEV_2023!H1274</f>
        <v>65.819999999999993</v>
      </c>
      <c r="I1274" s="901">
        <f>GLOBAL_DER_FEV_2023!I1274</f>
        <v>65.819999999999993</v>
      </c>
      <c r="J1274" s="902">
        <f>GLOBAL_DER_FEV_2023!J1274</f>
        <v>79.03</v>
      </c>
      <c r="K1274" s="903" t="s">
        <v>1516</v>
      </c>
      <c r="L1274" s="1137"/>
      <c r="M1274" s="1138">
        <f t="shared" si="143"/>
        <v>0</v>
      </c>
      <c r="N1274" s="893">
        <f t="shared" si="147"/>
        <v>0</v>
      </c>
      <c r="O1274" s="905"/>
      <c r="Q1274" s="317" t="str">
        <f t="shared" si="144"/>
        <v/>
      </c>
      <c r="R1274" s="317" t="str">
        <f t="shared" si="145"/>
        <v/>
      </c>
      <c r="S1274" s="317" t="str">
        <f t="shared" si="146"/>
        <v/>
      </c>
      <c r="T1274" s="317" t="str">
        <f>GLOBAL_DER_FEV_2023!S1274</f>
        <v/>
      </c>
      <c r="W1274" s="582">
        <v>0</v>
      </c>
      <c r="X1274" s="580"/>
      <c r="Y1274" s="583">
        <f>IF(GLOBAL_DER_FEV_2023!W1274=0,0,IF(GLOBAL_DER_FEV_2023!W1274&gt;0,"c","b"))</f>
        <v>0</v>
      </c>
    </row>
    <row r="1275" spans="1:25" ht="33.75" x14ac:dyDescent="0.2">
      <c r="A1275" s="317">
        <v>101878</v>
      </c>
      <c r="B1275" s="895">
        <v>101878</v>
      </c>
      <c r="C1275" s="896" t="s">
        <v>596</v>
      </c>
      <c r="D1275" s="906" t="s">
        <v>1205</v>
      </c>
      <c r="E1275" s="907">
        <f>GLOBAL_DER_FEV_2023!E1275</f>
        <v>0</v>
      </c>
      <c r="F1275" s="908">
        <f>GLOBAL_DER_FEV_2023!F1275</f>
        <v>0</v>
      </c>
      <c r="G1275" s="912">
        <f>GLOBAL_DER_FEV_2023!G1275</f>
        <v>0</v>
      </c>
      <c r="H1275" s="901">
        <f>GLOBAL_DER_FEV_2023!H1275</f>
        <v>728.23</v>
      </c>
      <c r="I1275" s="901">
        <f>GLOBAL_DER_FEV_2023!I1275</f>
        <v>728.23</v>
      </c>
      <c r="J1275" s="902">
        <f>GLOBAL_DER_FEV_2023!J1275</f>
        <v>874.39</v>
      </c>
      <c r="K1275" s="903" t="s">
        <v>1516</v>
      </c>
      <c r="L1275" s="1137"/>
      <c r="M1275" s="1138">
        <f t="shared" si="143"/>
        <v>0</v>
      </c>
      <c r="N1275" s="893">
        <f t="shared" si="147"/>
        <v>0</v>
      </c>
      <c r="O1275" s="905"/>
      <c r="Q1275" s="317" t="str">
        <f t="shared" si="144"/>
        <v/>
      </c>
      <c r="R1275" s="317" t="str">
        <f t="shared" si="145"/>
        <v/>
      </c>
      <c r="S1275" s="317" t="str">
        <f t="shared" si="146"/>
        <v/>
      </c>
      <c r="T1275" s="317" t="str">
        <f>GLOBAL_DER_FEV_2023!S1275</f>
        <v/>
      </c>
      <c r="W1275" s="582">
        <v>0</v>
      </c>
      <c r="X1275" s="580"/>
      <c r="Y1275" s="583">
        <f>IF(GLOBAL_DER_FEV_2023!W1275=0,0,IF(GLOBAL_DER_FEV_2023!W1275&gt;0,"c","b"))</f>
        <v>0</v>
      </c>
    </row>
    <row r="1276" spans="1:25" ht="33.75" x14ac:dyDescent="0.2">
      <c r="A1276" s="317">
        <v>101879</v>
      </c>
      <c r="B1276" s="895">
        <v>101879</v>
      </c>
      <c r="C1276" s="896" t="s">
        <v>596</v>
      </c>
      <c r="D1276" s="906" t="s">
        <v>1206</v>
      </c>
      <c r="E1276" s="907">
        <f>GLOBAL_DER_FEV_2023!E1276</f>
        <v>0</v>
      </c>
      <c r="F1276" s="908">
        <f>GLOBAL_DER_FEV_2023!F1276</f>
        <v>0</v>
      </c>
      <c r="G1276" s="912">
        <f>GLOBAL_DER_FEV_2023!G1276</f>
        <v>0</v>
      </c>
      <c r="H1276" s="901">
        <f>GLOBAL_DER_FEV_2023!H1276</f>
        <v>764.5</v>
      </c>
      <c r="I1276" s="901">
        <f>GLOBAL_DER_FEV_2023!I1276</f>
        <v>764.5</v>
      </c>
      <c r="J1276" s="902">
        <f>GLOBAL_DER_FEV_2023!J1276</f>
        <v>917.94</v>
      </c>
      <c r="K1276" s="903" t="s">
        <v>1516</v>
      </c>
      <c r="L1276" s="1137"/>
      <c r="M1276" s="1138">
        <f t="shared" si="143"/>
        <v>0</v>
      </c>
      <c r="N1276" s="893">
        <f t="shared" si="147"/>
        <v>0</v>
      </c>
      <c r="O1276" s="905"/>
      <c r="Q1276" s="317" t="str">
        <f t="shared" si="144"/>
        <v/>
      </c>
      <c r="R1276" s="317" t="str">
        <f t="shared" si="145"/>
        <v/>
      </c>
      <c r="S1276" s="317" t="str">
        <f t="shared" si="146"/>
        <v/>
      </c>
      <c r="T1276" s="317" t="str">
        <f>GLOBAL_DER_FEV_2023!S1276</f>
        <v/>
      </c>
      <c r="W1276" s="582">
        <v>0</v>
      </c>
      <c r="X1276" s="580"/>
      <c r="Y1276" s="583">
        <f>IF(GLOBAL_DER_FEV_2023!W1276=0,0,IF(GLOBAL_DER_FEV_2023!W1276&gt;0,"c","b"))</f>
        <v>0</v>
      </c>
    </row>
    <row r="1277" spans="1:25" ht="33.75" x14ac:dyDescent="0.2">
      <c r="A1277" s="317">
        <v>101880</v>
      </c>
      <c r="B1277" s="895">
        <v>101880</v>
      </c>
      <c r="C1277" s="896" t="s">
        <v>596</v>
      </c>
      <c r="D1277" s="906" t="s">
        <v>1207</v>
      </c>
      <c r="E1277" s="907">
        <f>GLOBAL_DER_FEV_2023!E1277</f>
        <v>0</v>
      </c>
      <c r="F1277" s="908">
        <f>GLOBAL_DER_FEV_2023!F1277</f>
        <v>0</v>
      </c>
      <c r="G1277" s="912">
        <f>GLOBAL_DER_FEV_2023!G1277</f>
        <v>0</v>
      </c>
      <c r="H1277" s="901">
        <f>GLOBAL_DER_FEV_2023!H1277</f>
        <v>879.71</v>
      </c>
      <c r="I1277" s="901">
        <f>GLOBAL_DER_FEV_2023!I1277</f>
        <v>879.71</v>
      </c>
      <c r="J1277" s="902">
        <f>GLOBAL_DER_FEV_2023!J1277</f>
        <v>1056.27</v>
      </c>
      <c r="K1277" s="903" t="s">
        <v>1516</v>
      </c>
      <c r="L1277" s="1137"/>
      <c r="M1277" s="1138">
        <f t="shared" si="143"/>
        <v>0</v>
      </c>
      <c r="N1277" s="893">
        <f t="shared" si="147"/>
        <v>0</v>
      </c>
      <c r="O1277" s="905"/>
      <c r="Q1277" s="317" t="str">
        <f t="shared" si="144"/>
        <v/>
      </c>
      <c r="R1277" s="317" t="str">
        <f t="shared" si="145"/>
        <v/>
      </c>
      <c r="S1277" s="317" t="str">
        <f t="shared" si="146"/>
        <v/>
      </c>
      <c r="T1277" s="317" t="str">
        <f>GLOBAL_DER_FEV_2023!S1277</f>
        <v/>
      </c>
      <c r="W1277" s="582">
        <v>0</v>
      </c>
      <c r="X1277" s="580"/>
      <c r="Y1277" s="583">
        <f>IF(GLOBAL_DER_FEV_2023!W1277=0,0,IF(GLOBAL_DER_FEV_2023!W1277&gt;0,"c","b"))</f>
        <v>0</v>
      </c>
    </row>
    <row r="1278" spans="1:25" ht="33.75" x14ac:dyDescent="0.2">
      <c r="A1278" s="317">
        <v>101881</v>
      </c>
      <c r="B1278" s="895">
        <v>101881</v>
      </c>
      <c r="C1278" s="896" t="s">
        <v>596</v>
      </c>
      <c r="D1278" s="906" t="s">
        <v>1208</v>
      </c>
      <c r="E1278" s="907">
        <f>GLOBAL_DER_FEV_2023!E1278</f>
        <v>0</v>
      </c>
      <c r="F1278" s="908">
        <f>GLOBAL_DER_FEV_2023!F1278</f>
        <v>0</v>
      </c>
      <c r="G1278" s="912">
        <f>GLOBAL_DER_FEV_2023!G1278</f>
        <v>0</v>
      </c>
      <c r="H1278" s="901">
        <f>GLOBAL_DER_FEV_2023!H1278</f>
        <v>1267.3399999999999</v>
      </c>
      <c r="I1278" s="901">
        <f>GLOBAL_DER_FEV_2023!I1278</f>
        <v>1267.3399999999999</v>
      </c>
      <c r="J1278" s="902">
        <f>GLOBAL_DER_FEV_2023!J1278</f>
        <v>1521.7</v>
      </c>
      <c r="K1278" s="903" t="s">
        <v>1516</v>
      </c>
      <c r="L1278" s="1137"/>
      <c r="M1278" s="1138">
        <f t="shared" si="143"/>
        <v>0</v>
      </c>
      <c r="N1278" s="893">
        <f t="shared" si="147"/>
        <v>0</v>
      </c>
      <c r="O1278" s="905"/>
      <c r="Q1278" s="317" t="str">
        <f t="shared" si="144"/>
        <v/>
      </c>
      <c r="R1278" s="317" t="str">
        <f t="shared" si="145"/>
        <v/>
      </c>
      <c r="S1278" s="317" t="str">
        <f t="shared" si="146"/>
        <v/>
      </c>
      <c r="T1278" s="317" t="str">
        <f>GLOBAL_DER_FEV_2023!S1278</f>
        <v/>
      </c>
      <c r="W1278" s="582">
        <v>0</v>
      </c>
      <c r="X1278" s="580"/>
      <c r="Y1278" s="583">
        <f>IF(GLOBAL_DER_FEV_2023!W1278=0,0,IF(GLOBAL_DER_FEV_2023!W1278&gt;0,"c","b"))</f>
        <v>0</v>
      </c>
    </row>
    <row r="1279" spans="1:25" ht="33.75" x14ac:dyDescent="0.2">
      <c r="A1279" s="317">
        <v>101882</v>
      </c>
      <c r="B1279" s="895">
        <v>101882</v>
      </c>
      <c r="C1279" s="896" t="s">
        <v>596</v>
      </c>
      <c r="D1279" s="906" t="s">
        <v>1209</v>
      </c>
      <c r="E1279" s="907">
        <f>GLOBAL_DER_FEV_2023!E1279</f>
        <v>0</v>
      </c>
      <c r="F1279" s="908">
        <f>GLOBAL_DER_FEV_2023!F1279</f>
        <v>0</v>
      </c>
      <c r="G1279" s="912">
        <f>GLOBAL_DER_FEV_2023!G1279</f>
        <v>0</v>
      </c>
      <c r="H1279" s="901">
        <f>GLOBAL_DER_FEV_2023!H1279</f>
        <v>1801.44</v>
      </c>
      <c r="I1279" s="901">
        <f>GLOBAL_DER_FEV_2023!I1279</f>
        <v>1801.44</v>
      </c>
      <c r="J1279" s="902">
        <f>GLOBAL_DER_FEV_2023!J1279</f>
        <v>2162.9899999999998</v>
      </c>
      <c r="K1279" s="903" t="s">
        <v>1516</v>
      </c>
      <c r="L1279" s="1137"/>
      <c r="M1279" s="1138">
        <f t="shared" si="143"/>
        <v>0</v>
      </c>
      <c r="N1279" s="893">
        <f t="shared" si="147"/>
        <v>0</v>
      </c>
      <c r="O1279" s="905"/>
      <c r="Q1279" s="317" t="str">
        <f t="shared" si="144"/>
        <v/>
      </c>
      <c r="R1279" s="317" t="str">
        <f t="shared" si="145"/>
        <v/>
      </c>
      <c r="S1279" s="317" t="str">
        <f t="shared" si="146"/>
        <v/>
      </c>
      <c r="T1279" s="317" t="str">
        <f>GLOBAL_DER_FEV_2023!S1279</f>
        <v/>
      </c>
      <c r="W1279" s="582">
        <v>0</v>
      </c>
      <c r="X1279" s="580"/>
      <c r="Y1279" s="583">
        <f>IF(GLOBAL_DER_FEV_2023!W1279=0,0,IF(GLOBAL_DER_FEV_2023!W1279&gt;0,"c","b"))</f>
        <v>0</v>
      </c>
    </row>
    <row r="1280" spans="1:25" ht="33.75" x14ac:dyDescent="0.2">
      <c r="A1280" s="317">
        <v>101883</v>
      </c>
      <c r="B1280" s="895">
        <v>101883</v>
      </c>
      <c r="C1280" s="896" t="s">
        <v>596</v>
      </c>
      <c r="D1280" s="906" t="s">
        <v>1210</v>
      </c>
      <c r="E1280" s="907">
        <f>GLOBAL_DER_FEV_2023!E1280</f>
        <v>0</v>
      </c>
      <c r="F1280" s="908">
        <f>GLOBAL_DER_FEV_2023!F1280</f>
        <v>0</v>
      </c>
      <c r="G1280" s="912">
        <f>GLOBAL_DER_FEV_2023!G1280</f>
        <v>0</v>
      </c>
      <c r="H1280" s="901">
        <f>GLOBAL_DER_FEV_2023!H1280</f>
        <v>728.76</v>
      </c>
      <c r="I1280" s="901">
        <f>GLOBAL_DER_FEV_2023!I1280</f>
        <v>728.76</v>
      </c>
      <c r="J1280" s="902">
        <f>GLOBAL_DER_FEV_2023!J1280</f>
        <v>875.02</v>
      </c>
      <c r="K1280" s="903" t="s">
        <v>1516</v>
      </c>
      <c r="L1280" s="1137"/>
      <c r="M1280" s="1138">
        <f t="shared" si="143"/>
        <v>0</v>
      </c>
      <c r="N1280" s="893">
        <f t="shared" si="147"/>
        <v>0</v>
      </c>
      <c r="O1280" s="905"/>
      <c r="Q1280" s="317" t="str">
        <f t="shared" si="144"/>
        <v/>
      </c>
      <c r="R1280" s="317" t="str">
        <f t="shared" si="145"/>
        <v/>
      </c>
      <c r="S1280" s="317" t="str">
        <f t="shared" si="146"/>
        <v/>
      </c>
      <c r="T1280" s="317" t="str">
        <f>GLOBAL_DER_FEV_2023!S1280</f>
        <v/>
      </c>
      <c r="W1280" s="582">
        <v>0</v>
      </c>
      <c r="X1280" s="580"/>
      <c r="Y1280" s="583">
        <f>IF(GLOBAL_DER_FEV_2023!W1280=0,0,IF(GLOBAL_DER_FEV_2023!W1280&gt;0,"c","b"))</f>
        <v>0</v>
      </c>
    </row>
    <row r="1281" spans="1:25" x14ac:dyDescent="0.2">
      <c r="A1281" s="317">
        <v>101901</v>
      </c>
      <c r="B1281" s="895">
        <v>101901</v>
      </c>
      <c r="C1281" s="896" t="s">
        <v>596</v>
      </c>
      <c r="D1281" s="906" t="s">
        <v>1211</v>
      </c>
      <c r="E1281" s="907">
        <f>GLOBAL_DER_FEV_2023!E1281</f>
        <v>0</v>
      </c>
      <c r="F1281" s="908">
        <f>GLOBAL_DER_FEV_2023!F1281</f>
        <v>0</v>
      </c>
      <c r="G1281" s="912">
        <f>GLOBAL_DER_FEV_2023!G1281</f>
        <v>0</v>
      </c>
      <c r="H1281" s="901">
        <f>GLOBAL_DER_FEV_2023!H1281</f>
        <v>109.64</v>
      </c>
      <c r="I1281" s="901">
        <f>GLOBAL_DER_FEV_2023!I1281</f>
        <v>109.64</v>
      </c>
      <c r="J1281" s="902">
        <f>GLOBAL_DER_FEV_2023!J1281</f>
        <v>131.63999999999999</v>
      </c>
      <c r="K1281" s="903" t="s">
        <v>1516</v>
      </c>
      <c r="L1281" s="1137"/>
      <c r="M1281" s="1138">
        <f t="shared" si="143"/>
        <v>0</v>
      </c>
      <c r="N1281" s="893">
        <f t="shared" si="147"/>
        <v>0</v>
      </c>
      <c r="O1281" s="905"/>
      <c r="Q1281" s="317" t="str">
        <f t="shared" si="144"/>
        <v/>
      </c>
      <c r="R1281" s="317" t="str">
        <f t="shared" si="145"/>
        <v/>
      </c>
      <c r="S1281" s="317" t="str">
        <f t="shared" si="146"/>
        <v/>
      </c>
      <c r="T1281" s="317" t="str">
        <f>GLOBAL_DER_FEV_2023!S1281</f>
        <v/>
      </c>
      <c r="W1281" s="582">
        <v>0</v>
      </c>
      <c r="X1281" s="580"/>
      <c r="Y1281" s="583">
        <f>IF(GLOBAL_DER_FEV_2023!W1281=0,0,IF(GLOBAL_DER_FEV_2023!W1281&gt;0,"c","b"))</f>
        <v>0</v>
      </c>
    </row>
    <row r="1282" spans="1:25" x14ac:dyDescent="0.2">
      <c r="A1282" s="317">
        <v>101902</v>
      </c>
      <c r="B1282" s="895">
        <v>101902</v>
      </c>
      <c r="C1282" s="896" t="s">
        <v>596</v>
      </c>
      <c r="D1282" s="906" t="s">
        <v>1212</v>
      </c>
      <c r="E1282" s="907">
        <f>GLOBAL_DER_FEV_2023!E1282</f>
        <v>0</v>
      </c>
      <c r="F1282" s="908">
        <f>GLOBAL_DER_FEV_2023!F1282</f>
        <v>0</v>
      </c>
      <c r="G1282" s="912">
        <f>GLOBAL_DER_FEV_2023!G1282</f>
        <v>0</v>
      </c>
      <c r="H1282" s="901">
        <f>GLOBAL_DER_FEV_2023!H1282</f>
        <v>136.05000000000001</v>
      </c>
      <c r="I1282" s="901">
        <f>GLOBAL_DER_FEV_2023!I1282</f>
        <v>136.05000000000001</v>
      </c>
      <c r="J1282" s="902">
        <f>GLOBAL_DER_FEV_2023!J1282</f>
        <v>163.36000000000001</v>
      </c>
      <c r="K1282" s="903" t="s">
        <v>1516</v>
      </c>
      <c r="L1282" s="1137"/>
      <c r="M1282" s="1138">
        <f t="shared" si="143"/>
        <v>0</v>
      </c>
      <c r="N1282" s="893">
        <f t="shared" si="147"/>
        <v>0</v>
      </c>
      <c r="O1282" s="905"/>
      <c r="Q1282" s="317" t="str">
        <f t="shared" si="144"/>
        <v/>
      </c>
      <c r="R1282" s="317" t="str">
        <f t="shared" si="145"/>
        <v/>
      </c>
      <c r="S1282" s="317" t="str">
        <f t="shared" si="146"/>
        <v/>
      </c>
      <c r="T1282" s="317" t="str">
        <f>GLOBAL_DER_FEV_2023!S1282</f>
        <v/>
      </c>
      <c r="W1282" s="582">
        <v>0</v>
      </c>
      <c r="X1282" s="580"/>
      <c r="Y1282" s="583">
        <f>IF(GLOBAL_DER_FEV_2023!W1282=0,0,IF(GLOBAL_DER_FEV_2023!W1282&gt;0,"c","b"))</f>
        <v>0</v>
      </c>
    </row>
    <row r="1283" spans="1:25" x14ac:dyDescent="0.2">
      <c r="A1283" s="317">
        <v>101903</v>
      </c>
      <c r="B1283" s="895">
        <v>101903</v>
      </c>
      <c r="C1283" s="896" t="s">
        <v>596</v>
      </c>
      <c r="D1283" s="906" t="s">
        <v>1213</v>
      </c>
      <c r="E1283" s="907">
        <f>GLOBAL_DER_FEV_2023!E1283</f>
        <v>0</v>
      </c>
      <c r="F1283" s="908">
        <f>GLOBAL_DER_FEV_2023!F1283</f>
        <v>0</v>
      </c>
      <c r="G1283" s="912">
        <f>GLOBAL_DER_FEV_2023!G1283</f>
        <v>0</v>
      </c>
      <c r="H1283" s="901">
        <f>GLOBAL_DER_FEV_2023!H1283</f>
        <v>283.02</v>
      </c>
      <c r="I1283" s="901">
        <f>GLOBAL_DER_FEV_2023!I1283</f>
        <v>283.02</v>
      </c>
      <c r="J1283" s="902">
        <f>GLOBAL_DER_FEV_2023!J1283</f>
        <v>339.82</v>
      </c>
      <c r="K1283" s="903" t="s">
        <v>1516</v>
      </c>
      <c r="L1283" s="1137"/>
      <c r="M1283" s="1138">
        <f t="shared" si="143"/>
        <v>0</v>
      </c>
      <c r="N1283" s="893">
        <f t="shared" si="147"/>
        <v>0</v>
      </c>
      <c r="O1283" s="905"/>
      <c r="Q1283" s="317" t="str">
        <f t="shared" si="144"/>
        <v/>
      </c>
      <c r="R1283" s="317" t="str">
        <f t="shared" si="145"/>
        <v/>
      </c>
      <c r="S1283" s="317" t="str">
        <f t="shared" si="146"/>
        <v/>
      </c>
      <c r="T1283" s="317" t="str">
        <f>GLOBAL_DER_FEV_2023!S1283</f>
        <v/>
      </c>
      <c r="W1283" s="582">
        <v>0</v>
      </c>
      <c r="X1283" s="580"/>
      <c r="Y1283" s="583">
        <f>IF(GLOBAL_DER_FEV_2023!W1283=0,0,IF(GLOBAL_DER_FEV_2023!W1283&gt;0,"c","b"))</f>
        <v>0</v>
      </c>
    </row>
    <row r="1284" spans="1:25" x14ac:dyDescent="0.2">
      <c r="A1284" s="317">
        <v>101904</v>
      </c>
      <c r="B1284" s="895">
        <v>101904</v>
      </c>
      <c r="C1284" s="896" t="s">
        <v>596</v>
      </c>
      <c r="D1284" s="906" t="s">
        <v>1214</v>
      </c>
      <c r="E1284" s="907">
        <f>GLOBAL_DER_FEV_2023!E1284</f>
        <v>0</v>
      </c>
      <c r="F1284" s="908">
        <f>GLOBAL_DER_FEV_2023!F1284</f>
        <v>0</v>
      </c>
      <c r="G1284" s="912">
        <f>GLOBAL_DER_FEV_2023!G1284</f>
        <v>0</v>
      </c>
      <c r="H1284" s="901">
        <f>GLOBAL_DER_FEV_2023!H1284</f>
        <v>1021.61</v>
      </c>
      <c r="I1284" s="901">
        <f>GLOBAL_DER_FEV_2023!I1284</f>
        <v>1021.61</v>
      </c>
      <c r="J1284" s="902">
        <f>GLOBAL_DER_FEV_2023!J1284</f>
        <v>1226.6500000000001</v>
      </c>
      <c r="K1284" s="903" t="s">
        <v>1516</v>
      </c>
      <c r="L1284" s="1137"/>
      <c r="M1284" s="1138">
        <f t="shared" si="143"/>
        <v>0</v>
      </c>
      <c r="N1284" s="893">
        <f t="shared" si="147"/>
        <v>0</v>
      </c>
      <c r="O1284" s="905"/>
      <c r="Q1284" s="317" t="str">
        <f t="shared" si="144"/>
        <v/>
      </c>
      <c r="R1284" s="317" t="str">
        <f t="shared" si="145"/>
        <v/>
      </c>
      <c r="S1284" s="317" t="str">
        <f t="shared" si="146"/>
        <v/>
      </c>
      <c r="T1284" s="317" t="str">
        <f>GLOBAL_DER_FEV_2023!S1284</f>
        <v/>
      </c>
      <c r="W1284" s="582">
        <v>0</v>
      </c>
      <c r="X1284" s="580"/>
      <c r="Y1284" s="583">
        <f>IF(GLOBAL_DER_FEV_2023!W1284=0,0,IF(GLOBAL_DER_FEV_2023!W1284&gt;0,"c","b"))</f>
        <v>0</v>
      </c>
    </row>
    <row r="1285" spans="1:25" ht="22.5" x14ac:dyDescent="0.2">
      <c r="A1285" s="317">
        <v>93653</v>
      </c>
      <c r="B1285" s="895">
        <v>93653</v>
      </c>
      <c r="C1285" s="896" t="s">
        <v>596</v>
      </c>
      <c r="D1285" s="906" t="s">
        <v>1215</v>
      </c>
      <c r="E1285" s="907">
        <f>GLOBAL_DER_FEV_2023!E1285</f>
        <v>0</v>
      </c>
      <c r="F1285" s="908">
        <f>GLOBAL_DER_FEV_2023!F1285</f>
        <v>0</v>
      </c>
      <c r="G1285" s="912">
        <f>GLOBAL_DER_FEV_2023!G1285</f>
        <v>0</v>
      </c>
      <c r="H1285" s="901">
        <f>GLOBAL_DER_FEV_2023!H1285</f>
        <v>12.16</v>
      </c>
      <c r="I1285" s="901">
        <f>GLOBAL_DER_FEV_2023!I1285</f>
        <v>12.16</v>
      </c>
      <c r="J1285" s="902">
        <f>GLOBAL_DER_FEV_2023!J1285</f>
        <v>14.6</v>
      </c>
      <c r="K1285" s="903" t="s">
        <v>1516</v>
      </c>
      <c r="L1285" s="1137"/>
      <c r="M1285" s="1138">
        <f t="shared" si="143"/>
        <v>0</v>
      </c>
      <c r="N1285" s="893">
        <f t="shared" si="147"/>
        <v>0</v>
      </c>
      <c r="O1285" s="905"/>
      <c r="Q1285" s="317" t="str">
        <f t="shared" si="144"/>
        <v/>
      </c>
      <c r="R1285" s="317" t="str">
        <f t="shared" si="145"/>
        <v/>
      </c>
      <c r="S1285" s="317" t="str">
        <f t="shared" si="146"/>
        <v/>
      </c>
      <c r="T1285" s="317" t="str">
        <f>GLOBAL_DER_FEV_2023!S1285</f>
        <v/>
      </c>
      <c r="W1285" s="582">
        <v>0</v>
      </c>
      <c r="X1285" s="580"/>
      <c r="Y1285" s="583">
        <f>IF(GLOBAL_DER_FEV_2023!W1285=0,0,IF(GLOBAL_DER_FEV_2023!W1285&gt;0,"c","b"))</f>
        <v>0</v>
      </c>
    </row>
    <row r="1286" spans="1:25" ht="22.5" x14ac:dyDescent="0.2">
      <c r="A1286" s="317">
        <v>93654</v>
      </c>
      <c r="B1286" s="895">
        <v>93654</v>
      </c>
      <c r="C1286" s="896" t="s">
        <v>596</v>
      </c>
      <c r="D1286" s="906" t="s">
        <v>1216</v>
      </c>
      <c r="E1286" s="907">
        <f>GLOBAL_DER_FEV_2023!E1286</f>
        <v>0</v>
      </c>
      <c r="F1286" s="908">
        <f>GLOBAL_DER_FEV_2023!F1286</f>
        <v>0</v>
      </c>
      <c r="G1286" s="912">
        <f>GLOBAL_DER_FEV_2023!G1286</f>
        <v>0</v>
      </c>
      <c r="H1286" s="901">
        <f>GLOBAL_DER_FEV_2023!H1286</f>
        <v>12.9</v>
      </c>
      <c r="I1286" s="901">
        <f>GLOBAL_DER_FEV_2023!I1286</f>
        <v>12.9</v>
      </c>
      <c r="J1286" s="902">
        <f>GLOBAL_DER_FEV_2023!J1286</f>
        <v>15.49</v>
      </c>
      <c r="K1286" s="903" t="s">
        <v>1516</v>
      </c>
      <c r="L1286" s="1137"/>
      <c r="M1286" s="1138">
        <f t="shared" ref="M1286:M1349" si="148">IF(L1286=0,0,ROUND(J1286,2))</f>
        <v>0</v>
      </c>
      <c r="N1286" s="893">
        <f t="shared" si="147"/>
        <v>0</v>
      </c>
      <c r="O1286" s="905"/>
      <c r="Q1286" s="317" t="str">
        <f t="shared" si="144"/>
        <v/>
      </c>
      <c r="R1286" s="317" t="str">
        <f t="shared" si="145"/>
        <v/>
      </c>
      <c r="S1286" s="317" t="str">
        <f t="shared" si="146"/>
        <v/>
      </c>
      <c r="T1286" s="317" t="str">
        <f>GLOBAL_DER_FEV_2023!S1286</f>
        <v/>
      </c>
      <c r="W1286" s="582">
        <v>0</v>
      </c>
      <c r="X1286" s="580"/>
      <c r="Y1286" s="583">
        <f>IF(GLOBAL_DER_FEV_2023!W1286=0,0,IF(GLOBAL_DER_FEV_2023!W1286&gt;0,"c","b"))</f>
        <v>0</v>
      </c>
    </row>
    <row r="1287" spans="1:25" ht="22.5" x14ac:dyDescent="0.2">
      <c r="A1287" s="317">
        <v>93655</v>
      </c>
      <c r="B1287" s="895">
        <v>93655</v>
      </c>
      <c r="C1287" s="896" t="s">
        <v>596</v>
      </c>
      <c r="D1287" s="906" t="s">
        <v>1217</v>
      </c>
      <c r="E1287" s="907">
        <f>GLOBAL_DER_FEV_2023!E1287</f>
        <v>0</v>
      </c>
      <c r="F1287" s="908">
        <f>GLOBAL_DER_FEV_2023!F1287</f>
        <v>0</v>
      </c>
      <c r="G1287" s="912">
        <f>GLOBAL_DER_FEV_2023!G1287</f>
        <v>0</v>
      </c>
      <c r="H1287" s="901">
        <f>GLOBAL_DER_FEV_2023!H1287</f>
        <v>14.29</v>
      </c>
      <c r="I1287" s="901">
        <f>GLOBAL_DER_FEV_2023!I1287</f>
        <v>14.29</v>
      </c>
      <c r="J1287" s="902">
        <f>GLOBAL_DER_FEV_2023!J1287</f>
        <v>17.16</v>
      </c>
      <c r="K1287" s="903" t="s">
        <v>1516</v>
      </c>
      <c r="L1287" s="1137"/>
      <c r="M1287" s="1138">
        <f t="shared" si="148"/>
        <v>0</v>
      </c>
      <c r="N1287" s="893">
        <f t="shared" si="147"/>
        <v>0</v>
      </c>
      <c r="O1287" s="905"/>
      <c r="Q1287" s="317" t="str">
        <f t="shared" si="144"/>
        <v/>
      </c>
      <c r="R1287" s="317" t="str">
        <f t="shared" si="145"/>
        <v/>
      </c>
      <c r="S1287" s="317" t="str">
        <f t="shared" si="146"/>
        <v/>
      </c>
      <c r="T1287" s="317" t="str">
        <f>GLOBAL_DER_FEV_2023!S1287</f>
        <v/>
      </c>
      <c r="W1287" s="582">
        <v>0</v>
      </c>
      <c r="X1287" s="580"/>
      <c r="Y1287" s="583">
        <f>IF(GLOBAL_DER_FEV_2023!W1287=0,0,IF(GLOBAL_DER_FEV_2023!W1287&gt;0,"c","b"))</f>
        <v>0</v>
      </c>
    </row>
    <row r="1288" spans="1:25" ht="22.5" x14ac:dyDescent="0.2">
      <c r="A1288" s="317">
        <v>93656</v>
      </c>
      <c r="B1288" s="895">
        <v>93656</v>
      </c>
      <c r="C1288" s="896" t="s">
        <v>596</v>
      </c>
      <c r="D1288" s="906" t="s">
        <v>1218</v>
      </c>
      <c r="E1288" s="907">
        <f>GLOBAL_DER_FEV_2023!E1288</f>
        <v>0</v>
      </c>
      <c r="F1288" s="908">
        <f>GLOBAL_DER_FEV_2023!F1288</f>
        <v>0</v>
      </c>
      <c r="G1288" s="912">
        <f>GLOBAL_DER_FEV_2023!G1288</f>
        <v>0</v>
      </c>
      <c r="H1288" s="901">
        <f>GLOBAL_DER_FEV_2023!H1288</f>
        <v>14.29</v>
      </c>
      <c r="I1288" s="901">
        <f>GLOBAL_DER_FEV_2023!I1288</f>
        <v>14.29</v>
      </c>
      <c r="J1288" s="902">
        <f>GLOBAL_DER_FEV_2023!J1288</f>
        <v>17.16</v>
      </c>
      <c r="K1288" s="903" t="s">
        <v>1516</v>
      </c>
      <c r="L1288" s="1137"/>
      <c r="M1288" s="1138">
        <f t="shared" si="148"/>
        <v>0</v>
      </c>
      <c r="N1288" s="893">
        <f t="shared" si="147"/>
        <v>0</v>
      </c>
      <c r="O1288" s="905"/>
      <c r="Q1288" s="317" t="str">
        <f t="shared" si="144"/>
        <v/>
      </c>
      <c r="R1288" s="317" t="str">
        <f t="shared" si="145"/>
        <v/>
      </c>
      <c r="S1288" s="317" t="str">
        <f t="shared" si="146"/>
        <v/>
      </c>
      <c r="T1288" s="317" t="str">
        <f>GLOBAL_DER_FEV_2023!S1288</f>
        <v/>
      </c>
      <c r="W1288" s="582">
        <v>0</v>
      </c>
      <c r="X1288" s="580"/>
      <c r="Y1288" s="583">
        <f>IF(GLOBAL_DER_FEV_2023!W1288=0,0,IF(GLOBAL_DER_FEV_2023!W1288&gt;0,"c","b"))</f>
        <v>0</v>
      </c>
    </row>
    <row r="1289" spans="1:25" ht="22.5" x14ac:dyDescent="0.2">
      <c r="A1289" s="317">
        <v>93657</v>
      </c>
      <c r="B1289" s="895">
        <v>93657</v>
      </c>
      <c r="C1289" s="896" t="s">
        <v>596</v>
      </c>
      <c r="D1289" s="906" t="s">
        <v>1219</v>
      </c>
      <c r="E1289" s="907">
        <f>GLOBAL_DER_FEV_2023!E1289</f>
        <v>0</v>
      </c>
      <c r="F1289" s="908">
        <f>GLOBAL_DER_FEV_2023!F1289</f>
        <v>0</v>
      </c>
      <c r="G1289" s="912">
        <f>GLOBAL_DER_FEV_2023!G1289</f>
        <v>0</v>
      </c>
      <c r="H1289" s="901">
        <f>GLOBAL_DER_FEV_2023!H1289</f>
        <v>15.99</v>
      </c>
      <c r="I1289" s="901">
        <f>GLOBAL_DER_FEV_2023!I1289</f>
        <v>15.99</v>
      </c>
      <c r="J1289" s="902">
        <f>GLOBAL_DER_FEV_2023!J1289</f>
        <v>19.2</v>
      </c>
      <c r="K1289" s="903" t="s">
        <v>1516</v>
      </c>
      <c r="L1289" s="1137"/>
      <c r="M1289" s="1138">
        <f t="shared" si="148"/>
        <v>0</v>
      </c>
      <c r="N1289" s="893">
        <f t="shared" si="147"/>
        <v>0</v>
      </c>
      <c r="O1289" s="905"/>
      <c r="Q1289" s="317" t="str">
        <f t="shared" si="144"/>
        <v/>
      </c>
      <c r="R1289" s="317" t="str">
        <f t="shared" si="145"/>
        <v/>
      </c>
      <c r="S1289" s="317" t="str">
        <f t="shared" si="146"/>
        <v/>
      </c>
      <c r="T1289" s="317" t="str">
        <f>GLOBAL_DER_FEV_2023!S1289</f>
        <v/>
      </c>
      <c r="W1289" s="582">
        <v>0</v>
      </c>
      <c r="X1289" s="580"/>
      <c r="Y1289" s="583">
        <f>IF(GLOBAL_DER_FEV_2023!W1289=0,0,IF(GLOBAL_DER_FEV_2023!W1289&gt;0,"c","b"))</f>
        <v>0</v>
      </c>
    </row>
    <row r="1290" spans="1:25" ht="22.5" x14ac:dyDescent="0.2">
      <c r="A1290" s="317">
        <v>93658</v>
      </c>
      <c r="B1290" s="895">
        <v>93658</v>
      </c>
      <c r="C1290" s="896" t="s">
        <v>596</v>
      </c>
      <c r="D1290" s="906" t="s">
        <v>1220</v>
      </c>
      <c r="E1290" s="907">
        <f>GLOBAL_DER_FEV_2023!E1290</f>
        <v>0</v>
      </c>
      <c r="F1290" s="908">
        <f>GLOBAL_DER_FEV_2023!F1290</f>
        <v>0</v>
      </c>
      <c r="G1290" s="912">
        <f>GLOBAL_DER_FEV_2023!G1290</f>
        <v>0</v>
      </c>
      <c r="H1290" s="901">
        <f>GLOBAL_DER_FEV_2023!H1290</f>
        <v>23.17</v>
      </c>
      <c r="I1290" s="901">
        <f>GLOBAL_DER_FEV_2023!I1290</f>
        <v>23.17</v>
      </c>
      <c r="J1290" s="902">
        <f>GLOBAL_DER_FEV_2023!J1290</f>
        <v>27.82</v>
      </c>
      <c r="K1290" s="903" t="s">
        <v>1516</v>
      </c>
      <c r="L1290" s="1137"/>
      <c r="M1290" s="1138">
        <f t="shared" si="148"/>
        <v>0</v>
      </c>
      <c r="N1290" s="893">
        <f t="shared" si="147"/>
        <v>0</v>
      </c>
      <c r="O1290" s="905"/>
      <c r="Q1290" s="317" t="str">
        <f t="shared" si="144"/>
        <v/>
      </c>
      <c r="R1290" s="317" t="str">
        <f t="shared" si="145"/>
        <v/>
      </c>
      <c r="S1290" s="317" t="str">
        <f t="shared" si="146"/>
        <v/>
      </c>
      <c r="T1290" s="317" t="str">
        <f>GLOBAL_DER_FEV_2023!S1290</f>
        <v/>
      </c>
      <c r="W1290" s="582">
        <v>0</v>
      </c>
      <c r="X1290" s="580"/>
      <c r="Y1290" s="583">
        <f>IF(GLOBAL_DER_FEV_2023!W1290=0,0,IF(GLOBAL_DER_FEV_2023!W1290&gt;0,"c","b"))</f>
        <v>0</v>
      </c>
    </row>
    <row r="1291" spans="1:25" ht="22.5" x14ac:dyDescent="0.2">
      <c r="A1291" s="317">
        <v>93659</v>
      </c>
      <c r="B1291" s="895">
        <v>93659</v>
      </c>
      <c r="C1291" s="896" t="s">
        <v>596</v>
      </c>
      <c r="D1291" s="906" t="s">
        <v>1221</v>
      </c>
      <c r="E1291" s="907">
        <f>GLOBAL_DER_FEV_2023!E1291</f>
        <v>0</v>
      </c>
      <c r="F1291" s="908">
        <f>GLOBAL_DER_FEV_2023!F1291</f>
        <v>0</v>
      </c>
      <c r="G1291" s="912">
        <f>GLOBAL_DER_FEV_2023!G1291</f>
        <v>0</v>
      </c>
      <c r="H1291" s="901">
        <f>GLOBAL_DER_FEV_2023!H1291</f>
        <v>26.68</v>
      </c>
      <c r="I1291" s="901">
        <f>GLOBAL_DER_FEV_2023!I1291</f>
        <v>26.68</v>
      </c>
      <c r="J1291" s="902">
        <f>GLOBAL_DER_FEV_2023!J1291</f>
        <v>32.03</v>
      </c>
      <c r="K1291" s="903" t="s">
        <v>1516</v>
      </c>
      <c r="L1291" s="1137"/>
      <c r="M1291" s="1138">
        <f t="shared" si="148"/>
        <v>0</v>
      </c>
      <c r="N1291" s="893">
        <f t="shared" si="147"/>
        <v>0</v>
      </c>
      <c r="O1291" s="905"/>
      <c r="Q1291" s="317" t="str">
        <f t="shared" si="144"/>
        <v/>
      </c>
      <c r="R1291" s="317" t="str">
        <f t="shared" si="145"/>
        <v/>
      </c>
      <c r="S1291" s="317" t="str">
        <f t="shared" si="146"/>
        <v/>
      </c>
      <c r="T1291" s="317" t="str">
        <f>GLOBAL_DER_FEV_2023!S1291</f>
        <v/>
      </c>
      <c r="W1291" s="582">
        <v>0</v>
      </c>
      <c r="X1291" s="580"/>
      <c r="Y1291" s="583">
        <f>IF(GLOBAL_DER_FEV_2023!W1291=0,0,IF(GLOBAL_DER_FEV_2023!W1291&gt;0,"c","b"))</f>
        <v>0</v>
      </c>
    </row>
    <row r="1292" spans="1:25" ht="22.5" x14ac:dyDescent="0.2">
      <c r="A1292" s="317">
        <v>101890</v>
      </c>
      <c r="B1292" s="895">
        <v>101890</v>
      </c>
      <c r="C1292" s="896" t="s">
        <v>596</v>
      </c>
      <c r="D1292" s="906" t="s">
        <v>1222</v>
      </c>
      <c r="E1292" s="907">
        <f>GLOBAL_DER_FEV_2023!E1292</f>
        <v>0</v>
      </c>
      <c r="F1292" s="908">
        <f>GLOBAL_DER_FEV_2023!F1292</f>
        <v>0</v>
      </c>
      <c r="G1292" s="912">
        <f>GLOBAL_DER_FEV_2023!G1292</f>
        <v>0</v>
      </c>
      <c r="H1292" s="901">
        <f>GLOBAL_DER_FEV_2023!H1292</f>
        <v>17</v>
      </c>
      <c r="I1292" s="901">
        <f>GLOBAL_DER_FEV_2023!I1292</f>
        <v>17</v>
      </c>
      <c r="J1292" s="902">
        <f>GLOBAL_DER_FEV_2023!J1292</f>
        <v>20.41</v>
      </c>
      <c r="K1292" s="903" t="s">
        <v>1516</v>
      </c>
      <c r="L1292" s="1137"/>
      <c r="M1292" s="1138">
        <f t="shared" si="148"/>
        <v>0</v>
      </c>
      <c r="N1292" s="893">
        <f t="shared" si="147"/>
        <v>0</v>
      </c>
      <c r="O1292" s="905"/>
      <c r="Q1292" s="317" t="str">
        <f t="shared" si="144"/>
        <v/>
      </c>
      <c r="R1292" s="317" t="str">
        <f t="shared" si="145"/>
        <v/>
      </c>
      <c r="S1292" s="317" t="str">
        <f t="shared" si="146"/>
        <v/>
      </c>
      <c r="T1292" s="317" t="str">
        <f>GLOBAL_DER_FEV_2023!S1292</f>
        <v/>
      </c>
      <c r="W1292" s="582">
        <v>0</v>
      </c>
      <c r="X1292" s="580"/>
      <c r="Y1292" s="583">
        <f>IF(GLOBAL_DER_FEV_2023!W1292=0,0,IF(GLOBAL_DER_FEV_2023!W1292&gt;0,"c","b"))</f>
        <v>0</v>
      </c>
    </row>
    <row r="1293" spans="1:25" ht="22.5" x14ac:dyDescent="0.2">
      <c r="A1293" s="317">
        <v>101891</v>
      </c>
      <c r="B1293" s="895">
        <v>101891</v>
      </c>
      <c r="C1293" s="896" t="s">
        <v>596</v>
      </c>
      <c r="D1293" s="906" t="s">
        <v>1223</v>
      </c>
      <c r="E1293" s="907">
        <f>GLOBAL_DER_FEV_2023!E1293</f>
        <v>0</v>
      </c>
      <c r="F1293" s="908">
        <f>GLOBAL_DER_FEV_2023!F1293</f>
        <v>0</v>
      </c>
      <c r="G1293" s="912">
        <f>GLOBAL_DER_FEV_2023!G1293</f>
        <v>0</v>
      </c>
      <c r="H1293" s="901">
        <f>GLOBAL_DER_FEV_2023!H1293</f>
        <v>29.51</v>
      </c>
      <c r="I1293" s="901">
        <f>GLOBAL_DER_FEV_2023!I1293</f>
        <v>29.51</v>
      </c>
      <c r="J1293" s="902">
        <f>GLOBAL_DER_FEV_2023!J1293</f>
        <v>35.43</v>
      </c>
      <c r="K1293" s="903" t="s">
        <v>1516</v>
      </c>
      <c r="L1293" s="1137"/>
      <c r="M1293" s="1138">
        <f t="shared" si="148"/>
        <v>0</v>
      </c>
      <c r="N1293" s="893">
        <f t="shared" si="147"/>
        <v>0</v>
      </c>
      <c r="O1293" s="905"/>
      <c r="Q1293" s="317" t="str">
        <f t="shared" si="144"/>
        <v/>
      </c>
      <c r="R1293" s="317" t="str">
        <f t="shared" si="145"/>
        <v/>
      </c>
      <c r="S1293" s="317" t="str">
        <f t="shared" si="146"/>
        <v/>
      </c>
      <c r="T1293" s="317" t="str">
        <f>GLOBAL_DER_FEV_2023!S1293</f>
        <v/>
      </c>
      <c r="W1293" s="582">
        <v>0</v>
      </c>
      <c r="X1293" s="580"/>
      <c r="Y1293" s="583">
        <f>IF(GLOBAL_DER_FEV_2023!W1293=0,0,IF(GLOBAL_DER_FEV_2023!W1293&gt;0,"c","b"))</f>
        <v>0</v>
      </c>
    </row>
    <row r="1294" spans="1:25" ht="22.5" x14ac:dyDescent="0.2">
      <c r="A1294" s="317">
        <v>93660</v>
      </c>
      <c r="B1294" s="895">
        <v>93660</v>
      </c>
      <c r="C1294" s="896" t="s">
        <v>596</v>
      </c>
      <c r="D1294" s="906" t="s">
        <v>1224</v>
      </c>
      <c r="E1294" s="907">
        <f>GLOBAL_DER_FEV_2023!E1294</f>
        <v>0</v>
      </c>
      <c r="F1294" s="908">
        <f>GLOBAL_DER_FEV_2023!F1294</f>
        <v>0</v>
      </c>
      <c r="G1294" s="912">
        <f>GLOBAL_DER_FEV_2023!G1294</f>
        <v>0</v>
      </c>
      <c r="H1294" s="901">
        <f>GLOBAL_DER_FEV_2023!H1294</f>
        <v>58.62</v>
      </c>
      <c r="I1294" s="901">
        <f>GLOBAL_DER_FEV_2023!I1294</f>
        <v>58.62</v>
      </c>
      <c r="J1294" s="902">
        <f>GLOBAL_DER_FEV_2023!J1294</f>
        <v>70.39</v>
      </c>
      <c r="K1294" s="903" t="s">
        <v>1516</v>
      </c>
      <c r="L1294" s="1137"/>
      <c r="M1294" s="1138">
        <f t="shared" si="148"/>
        <v>0</v>
      </c>
      <c r="N1294" s="893">
        <f t="shared" si="147"/>
        <v>0</v>
      </c>
      <c r="O1294" s="905"/>
      <c r="Q1294" s="317" t="str">
        <f t="shared" si="144"/>
        <v/>
      </c>
      <c r="R1294" s="317" t="str">
        <f t="shared" si="145"/>
        <v/>
      </c>
      <c r="S1294" s="317" t="str">
        <f t="shared" si="146"/>
        <v/>
      </c>
      <c r="T1294" s="317" t="str">
        <f>GLOBAL_DER_FEV_2023!S1294</f>
        <v/>
      </c>
      <c r="W1294" s="582">
        <v>0</v>
      </c>
      <c r="X1294" s="580"/>
      <c r="Y1294" s="583">
        <f>IF(GLOBAL_DER_FEV_2023!W1294=0,0,IF(GLOBAL_DER_FEV_2023!W1294&gt;0,"c","b"))</f>
        <v>0</v>
      </c>
    </row>
    <row r="1295" spans="1:25" ht="22.5" x14ac:dyDescent="0.2">
      <c r="A1295" s="317">
        <v>93661</v>
      </c>
      <c r="B1295" s="895">
        <v>93661</v>
      </c>
      <c r="C1295" s="896" t="s">
        <v>596</v>
      </c>
      <c r="D1295" s="906" t="s">
        <v>1225</v>
      </c>
      <c r="E1295" s="907">
        <f>GLOBAL_DER_FEV_2023!E1295</f>
        <v>0</v>
      </c>
      <c r="F1295" s="908">
        <f>GLOBAL_DER_FEV_2023!F1295</f>
        <v>0</v>
      </c>
      <c r="G1295" s="912">
        <f>GLOBAL_DER_FEV_2023!G1295</f>
        <v>0</v>
      </c>
      <c r="H1295" s="901">
        <f>GLOBAL_DER_FEV_2023!H1295</f>
        <v>60.11</v>
      </c>
      <c r="I1295" s="901">
        <f>GLOBAL_DER_FEV_2023!I1295</f>
        <v>60.11</v>
      </c>
      <c r="J1295" s="902">
        <f>GLOBAL_DER_FEV_2023!J1295</f>
        <v>72.17</v>
      </c>
      <c r="K1295" s="903" t="s">
        <v>1516</v>
      </c>
      <c r="L1295" s="1137"/>
      <c r="M1295" s="1138">
        <f t="shared" si="148"/>
        <v>0</v>
      </c>
      <c r="N1295" s="893">
        <f t="shared" si="147"/>
        <v>0</v>
      </c>
      <c r="O1295" s="905"/>
      <c r="Q1295" s="317" t="str">
        <f t="shared" si="144"/>
        <v/>
      </c>
      <c r="R1295" s="317" t="str">
        <f t="shared" si="145"/>
        <v/>
      </c>
      <c r="S1295" s="317" t="str">
        <f t="shared" si="146"/>
        <v/>
      </c>
      <c r="T1295" s="317" t="str">
        <f>GLOBAL_DER_FEV_2023!S1295</f>
        <v/>
      </c>
      <c r="W1295" s="582">
        <v>0</v>
      </c>
      <c r="X1295" s="580"/>
      <c r="Y1295" s="583">
        <f>IF(GLOBAL_DER_FEV_2023!W1295=0,0,IF(GLOBAL_DER_FEV_2023!W1295&gt;0,"c","b"))</f>
        <v>0</v>
      </c>
    </row>
    <row r="1296" spans="1:25" ht="22.5" x14ac:dyDescent="0.2">
      <c r="A1296" s="317">
        <v>93662</v>
      </c>
      <c r="B1296" s="895">
        <v>93662</v>
      </c>
      <c r="C1296" s="896" t="s">
        <v>596</v>
      </c>
      <c r="D1296" s="906" t="s">
        <v>1226</v>
      </c>
      <c r="E1296" s="907">
        <f>GLOBAL_DER_FEV_2023!E1296</f>
        <v>0</v>
      </c>
      <c r="F1296" s="908">
        <f>GLOBAL_DER_FEV_2023!F1296</f>
        <v>0</v>
      </c>
      <c r="G1296" s="912">
        <f>GLOBAL_DER_FEV_2023!G1296</f>
        <v>0</v>
      </c>
      <c r="H1296" s="901">
        <f>GLOBAL_DER_FEV_2023!H1296</f>
        <v>62.87</v>
      </c>
      <c r="I1296" s="901">
        <f>GLOBAL_DER_FEV_2023!I1296</f>
        <v>62.87</v>
      </c>
      <c r="J1296" s="902">
        <f>GLOBAL_DER_FEV_2023!J1296</f>
        <v>75.489999999999995</v>
      </c>
      <c r="K1296" s="903" t="s">
        <v>1516</v>
      </c>
      <c r="L1296" s="1137"/>
      <c r="M1296" s="1138">
        <f t="shared" si="148"/>
        <v>0</v>
      </c>
      <c r="N1296" s="893">
        <f t="shared" si="147"/>
        <v>0</v>
      </c>
      <c r="O1296" s="905"/>
      <c r="Q1296" s="317" t="str">
        <f t="shared" si="144"/>
        <v/>
      </c>
      <c r="R1296" s="317" t="str">
        <f t="shared" si="145"/>
        <v/>
      </c>
      <c r="S1296" s="317" t="str">
        <f t="shared" si="146"/>
        <v/>
      </c>
      <c r="T1296" s="317" t="str">
        <f>GLOBAL_DER_FEV_2023!S1296</f>
        <v/>
      </c>
      <c r="W1296" s="582">
        <v>0</v>
      </c>
      <c r="X1296" s="580"/>
      <c r="Y1296" s="583">
        <f>IF(GLOBAL_DER_FEV_2023!W1296=0,0,IF(GLOBAL_DER_FEV_2023!W1296&gt;0,"c","b"))</f>
        <v>0</v>
      </c>
    </row>
    <row r="1297" spans="1:25" ht="22.5" x14ac:dyDescent="0.2">
      <c r="A1297" s="317">
        <v>93663</v>
      </c>
      <c r="B1297" s="895">
        <v>93663</v>
      </c>
      <c r="C1297" s="896" t="s">
        <v>596</v>
      </c>
      <c r="D1297" s="906" t="s">
        <v>1227</v>
      </c>
      <c r="E1297" s="907">
        <f>GLOBAL_DER_FEV_2023!E1297</f>
        <v>0</v>
      </c>
      <c r="F1297" s="908">
        <f>GLOBAL_DER_FEV_2023!F1297</f>
        <v>0</v>
      </c>
      <c r="G1297" s="912">
        <f>GLOBAL_DER_FEV_2023!G1297</f>
        <v>0</v>
      </c>
      <c r="H1297" s="901">
        <f>GLOBAL_DER_FEV_2023!H1297</f>
        <v>62.87</v>
      </c>
      <c r="I1297" s="901">
        <f>GLOBAL_DER_FEV_2023!I1297</f>
        <v>62.87</v>
      </c>
      <c r="J1297" s="902">
        <f>GLOBAL_DER_FEV_2023!J1297</f>
        <v>75.489999999999995</v>
      </c>
      <c r="K1297" s="903" t="s">
        <v>1516</v>
      </c>
      <c r="L1297" s="1137"/>
      <c r="M1297" s="1138">
        <f t="shared" si="148"/>
        <v>0</v>
      </c>
      <c r="N1297" s="893">
        <f t="shared" si="147"/>
        <v>0</v>
      </c>
      <c r="O1297" s="905"/>
      <c r="Q1297" s="317" t="str">
        <f t="shared" ref="Q1297:Q1360" si="149">IF(P1297="X","x",IF(P1297="xx","x",IF(P1297="xy","x",IF(P1297="y","x",IF(OR(N1297&gt;0,N1297&gt;0),"x","")))))</f>
        <v/>
      </c>
      <c r="R1297" s="317" t="str">
        <f t="shared" si="145"/>
        <v/>
      </c>
      <c r="S1297" s="317" t="str">
        <f t="shared" si="146"/>
        <v/>
      </c>
      <c r="T1297" s="317" t="str">
        <f>GLOBAL_DER_FEV_2023!S1297</f>
        <v/>
      </c>
      <c r="W1297" s="582">
        <v>0</v>
      </c>
      <c r="X1297" s="580"/>
      <c r="Y1297" s="583">
        <f>IF(GLOBAL_DER_FEV_2023!W1297=0,0,IF(GLOBAL_DER_FEV_2023!W1297&gt;0,"c","b"))</f>
        <v>0</v>
      </c>
    </row>
    <row r="1298" spans="1:25" ht="22.5" x14ac:dyDescent="0.2">
      <c r="A1298" s="317">
        <v>93664</v>
      </c>
      <c r="B1298" s="895">
        <v>93664</v>
      </c>
      <c r="C1298" s="896" t="s">
        <v>596</v>
      </c>
      <c r="D1298" s="906" t="s">
        <v>1228</v>
      </c>
      <c r="E1298" s="907">
        <f>GLOBAL_DER_FEV_2023!E1298</f>
        <v>0</v>
      </c>
      <c r="F1298" s="908">
        <f>GLOBAL_DER_FEV_2023!F1298</f>
        <v>0</v>
      </c>
      <c r="G1298" s="912">
        <f>GLOBAL_DER_FEV_2023!G1298</f>
        <v>0</v>
      </c>
      <c r="H1298" s="901">
        <f>GLOBAL_DER_FEV_2023!H1298</f>
        <v>66.28</v>
      </c>
      <c r="I1298" s="901">
        <f>GLOBAL_DER_FEV_2023!I1298</f>
        <v>66.28</v>
      </c>
      <c r="J1298" s="902">
        <f>GLOBAL_DER_FEV_2023!J1298</f>
        <v>79.58</v>
      </c>
      <c r="K1298" s="903" t="s">
        <v>1516</v>
      </c>
      <c r="L1298" s="1137"/>
      <c r="M1298" s="1138">
        <f t="shared" si="148"/>
        <v>0</v>
      </c>
      <c r="N1298" s="893">
        <f t="shared" si="147"/>
        <v>0</v>
      </c>
      <c r="O1298" s="905"/>
      <c r="Q1298" s="317" t="str">
        <f t="shared" si="149"/>
        <v/>
      </c>
      <c r="R1298" s="317" t="str">
        <f t="shared" si="145"/>
        <v/>
      </c>
      <c r="S1298" s="317" t="str">
        <f t="shared" si="146"/>
        <v/>
      </c>
      <c r="T1298" s="317" t="str">
        <f>GLOBAL_DER_FEV_2023!S1298</f>
        <v/>
      </c>
      <c r="W1298" s="582">
        <v>0</v>
      </c>
      <c r="X1298" s="580"/>
      <c r="Y1298" s="583">
        <f>IF(GLOBAL_DER_FEV_2023!W1298=0,0,IF(GLOBAL_DER_FEV_2023!W1298&gt;0,"c","b"))</f>
        <v>0</v>
      </c>
    </row>
    <row r="1299" spans="1:25" ht="22.5" x14ac:dyDescent="0.2">
      <c r="A1299" s="317">
        <v>93665</v>
      </c>
      <c r="B1299" s="895">
        <v>93665</v>
      </c>
      <c r="C1299" s="896" t="s">
        <v>596</v>
      </c>
      <c r="D1299" s="906" t="s">
        <v>1229</v>
      </c>
      <c r="E1299" s="907">
        <f>GLOBAL_DER_FEV_2023!E1299</f>
        <v>0</v>
      </c>
      <c r="F1299" s="908">
        <f>GLOBAL_DER_FEV_2023!F1299</f>
        <v>0</v>
      </c>
      <c r="G1299" s="912">
        <f>GLOBAL_DER_FEV_2023!G1299</f>
        <v>0</v>
      </c>
      <c r="H1299" s="901">
        <f>GLOBAL_DER_FEV_2023!H1299</f>
        <v>70.98</v>
      </c>
      <c r="I1299" s="901">
        <f>GLOBAL_DER_FEV_2023!I1299</f>
        <v>70.98</v>
      </c>
      <c r="J1299" s="902">
        <f>GLOBAL_DER_FEV_2023!J1299</f>
        <v>85.23</v>
      </c>
      <c r="K1299" s="903" t="s">
        <v>1516</v>
      </c>
      <c r="L1299" s="1137"/>
      <c r="M1299" s="1138">
        <f t="shared" si="148"/>
        <v>0</v>
      </c>
      <c r="N1299" s="893">
        <f t="shared" si="147"/>
        <v>0</v>
      </c>
      <c r="O1299" s="905"/>
      <c r="Q1299" s="317" t="str">
        <f t="shared" si="149"/>
        <v/>
      </c>
      <c r="R1299" s="317" t="str">
        <f t="shared" ref="R1299:R1362" si="150">IF(P1299="X","x",IF(P1299="y","x",IF(P1299="xx","x",IF(N1299&gt;0,"x",""))))</f>
        <v/>
      </c>
      <c r="S1299" s="317" t="str">
        <f t="shared" ref="S1299:S1362" si="151">IF(P1299="X","x",IF(N1299&gt;0,"x",""))</f>
        <v/>
      </c>
      <c r="T1299" s="317" t="str">
        <f>GLOBAL_DER_FEV_2023!S1299</f>
        <v/>
      </c>
      <c r="W1299" s="582">
        <v>0</v>
      </c>
      <c r="X1299" s="580"/>
      <c r="Y1299" s="583">
        <f>IF(GLOBAL_DER_FEV_2023!W1299=0,0,IF(GLOBAL_DER_FEV_2023!W1299&gt;0,"c","b"))</f>
        <v>0</v>
      </c>
    </row>
    <row r="1300" spans="1:25" ht="22.5" x14ac:dyDescent="0.2">
      <c r="A1300" s="317">
        <v>93666</v>
      </c>
      <c r="B1300" s="895">
        <v>93666</v>
      </c>
      <c r="C1300" s="896" t="s">
        <v>596</v>
      </c>
      <c r="D1300" s="906" t="s">
        <v>1230</v>
      </c>
      <c r="E1300" s="907">
        <f>GLOBAL_DER_FEV_2023!E1300</f>
        <v>0</v>
      </c>
      <c r="F1300" s="908">
        <f>GLOBAL_DER_FEV_2023!F1300</f>
        <v>0</v>
      </c>
      <c r="G1300" s="912">
        <f>GLOBAL_DER_FEV_2023!G1300</f>
        <v>0</v>
      </c>
      <c r="H1300" s="901">
        <f>GLOBAL_DER_FEV_2023!H1300</f>
        <v>77.989999999999995</v>
      </c>
      <c r="I1300" s="901">
        <f>GLOBAL_DER_FEV_2023!I1300</f>
        <v>77.989999999999995</v>
      </c>
      <c r="J1300" s="902">
        <f>GLOBAL_DER_FEV_2023!J1300</f>
        <v>93.64</v>
      </c>
      <c r="K1300" s="903" t="s">
        <v>1516</v>
      </c>
      <c r="L1300" s="1137"/>
      <c r="M1300" s="1138">
        <f t="shared" si="148"/>
        <v>0</v>
      </c>
      <c r="N1300" s="893">
        <f t="shared" si="147"/>
        <v>0</v>
      </c>
      <c r="O1300" s="905"/>
      <c r="Q1300" s="317" t="str">
        <f t="shared" si="149"/>
        <v/>
      </c>
      <c r="R1300" s="317" t="str">
        <f t="shared" si="150"/>
        <v/>
      </c>
      <c r="S1300" s="317" t="str">
        <f t="shared" si="151"/>
        <v/>
      </c>
      <c r="T1300" s="317" t="str">
        <f>GLOBAL_DER_FEV_2023!S1300</f>
        <v/>
      </c>
      <c r="W1300" s="582">
        <v>0</v>
      </c>
      <c r="X1300" s="580"/>
      <c r="Y1300" s="583">
        <f>IF(GLOBAL_DER_FEV_2023!W1300=0,0,IF(GLOBAL_DER_FEV_2023!W1300&gt;0,"c","b"))</f>
        <v>0</v>
      </c>
    </row>
    <row r="1301" spans="1:25" ht="22.5" x14ac:dyDescent="0.2">
      <c r="A1301" s="317">
        <v>101892</v>
      </c>
      <c r="B1301" s="895">
        <v>101892</v>
      </c>
      <c r="C1301" s="896" t="s">
        <v>596</v>
      </c>
      <c r="D1301" s="906" t="s">
        <v>1231</v>
      </c>
      <c r="E1301" s="907">
        <f>GLOBAL_DER_FEV_2023!E1301</f>
        <v>0</v>
      </c>
      <c r="F1301" s="908">
        <f>GLOBAL_DER_FEV_2023!F1301</f>
        <v>0</v>
      </c>
      <c r="G1301" s="912">
        <f>GLOBAL_DER_FEV_2023!G1301</f>
        <v>0</v>
      </c>
      <c r="H1301" s="901">
        <f>GLOBAL_DER_FEV_2023!H1301</f>
        <v>74.239999999999995</v>
      </c>
      <c r="I1301" s="901">
        <f>GLOBAL_DER_FEV_2023!I1301</f>
        <v>74.239999999999995</v>
      </c>
      <c r="J1301" s="902">
        <f>GLOBAL_DER_FEV_2023!J1301</f>
        <v>89.14</v>
      </c>
      <c r="K1301" s="903" t="s">
        <v>1516</v>
      </c>
      <c r="L1301" s="1137"/>
      <c r="M1301" s="1138">
        <f t="shared" si="148"/>
        <v>0</v>
      </c>
      <c r="N1301" s="893">
        <f t="shared" si="147"/>
        <v>0</v>
      </c>
      <c r="O1301" s="905"/>
      <c r="Q1301" s="317" t="str">
        <f t="shared" si="149"/>
        <v/>
      </c>
      <c r="R1301" s="317" t="str">
        <f t="shared" si="150"/>
        <v/>
      </c>
      <c r="S1301" s="317" t="str">
        <f t="shared" si="151"/>
        <v/>
      </c>
      <c r="T1301" s="317" t="str">
        <f>GLOBAL_DER_FEV_2023!S1301</f>
        <v/>
      </c>
      <c r="W1301" s="582">
        <v>0</v>
      </c>
      <c r="X1301" s="580"/>
      <c r="Y1301" s="583">
        <f>IF(GLOBAL_DER_FEV_2023!W1301=0,0,IF(GLOBAL_DER_FEV_2023!W1301&gt;0,"c","b"))</f>
        <v>0</v>
      </c>
    </row>
    <row r="1302" spans="1:25" ht="22.5" x14ac:dyDescent="0.2">
      <c r="A1302" s="317">
        <v>93667</v>
      </c>
      <c r="B1302" s="895">
        <v>93667</v>
      </c>
      <c r="C1302" s="896" t="s">
        <v>596</v>
      </c>
      <c r="D1302" s="906" t="s">
        <v>1232</v>
      </c>
      <c r="E1302" s="907">
        <f>GLOBAL_DER_FEV_2023!E1302</f>
        <v>0</v>
      </c>
      <c r="F1302" s="908">
        <f>GLOBAL_DER_FEV_2023!F1302</f>
        <v>0</v>
      </c>
      <c r="G1302" s="912">
        <f>GLOBAL_DER_FEV_2023!G1302</f>
        <v>0</v>
      </c>
      <c r="H1302" s="901">
        <f>GLOBAL_DER_FEV_2023!H1302</f>
        <v>73.459999999999994</v>
      </c>
      <c r="I1302" s="901">
        <f>GLOBAL_DER_FEV_2023!I1302</f>
        <v>73.459999999999994</v>
      </c>
      <c r="J1302" s="902">
        <f>GLOBAL_DER_FEV_2023!J1302</f>
        <v>88.2</v>
      </c>
      <c r="K1302" s="903" t="s">
        <v>1516</v>
      </c>
      <c r="L1302" s="1137"/>
      <c r="M1302" s="1138">
        <f t="shared" si="148"/>
        <v>0</v>
      </c>
      <c r="N1302" s="893">
        <f t="shared" si="147"/>
        <v>0</v>
      </c>
      <c r="O1302" s="905"/>
      <c r="Q1302" s="317" t="str">
        <f t="shared" si="149"/>
        <v/>
      </c>
      <c r="R1302" s="317" t="str">
        <f t="shared" si="150"/>
        <v/>
      </c>
      <c r="S1302" s="317" t="str">
        <f t="shared" si="151"/>
        <v/>
      </c>
      <c r="T1302" s="317" t="str">
        <f>GLOBAL_DER_FEV_2023!S1302</f>
        <v/>
      </c>
      <c r="W1302" s="582">
        <v>0</v>
      </c>
      <c r="X1302" s="580"/>
      <c r="Y1302" s="583">
        <f>IF(GLOBAL_DER_FEV_2023!W1302=0,0,IF(GLOBAL_DER_FEV_2023!W1302&gt;0,"c","b"))</f>
        <v>0</v>
      </c>
    </row>
    <row r="1303" spans="1:25" ht="22.5" x14ac:dyDescent="0.2">
      <c r="A1303" s="317">
        <v>93668</v>
      </c>
      <c r="B1303" s="895">
        <v>93668</v>
      </c>
      <c r="C1303" s="896" t="s">
        <v>596</v>
      </c>
      <c r="D1303" s="906" t="s">
        <v>1233</v>
      </c>
      <c r="E1303" s="907">
        <f>GLOBAL_DER_FEV_2023!E1303</f>
        <v>0</v>
      </c>
      <c r="F1303" s="908">
        <f>GLOBAL_DER_FEV_2023!F1303</f>
        <v>0</v>
      </c>
      <c r="G1303" s="912">
        <f>GLOBAL_DER_FEV_2023!G1303</f>
        <v>0</v>
      </c>
      <c r="H1303" s="901">
        <f>GLOBAL_DER_FEV_2023!H1303</f>
        <v>75.7</v>
      </c>
      <c r="I1303" s="901">
        <f>GLOBAL_DER_FEV_2023!I1303</f>
        <v>75.7</v>
      </c>
      <c r="J1303" s="902">
        <f>GLOBAL_DER_FEV_2023!J1303</f>
        <v>90.89</v>
      </c>
      <c r="K1303" s="903" t="s">
        <v>1516</v>
      </c>
      <c r="L1303" s="1137"/>
      <c r="M1303" s="1138">
        <f t="shared" si="148"/>
        <v>0</v>
      </c>
      <c r="N1303" s="893">
        <f t="shared" ref="N1303:N1366" si="152">IF(ISBLANK(L1303),0,IF(W1303=0,ROUND(L1303*M1303,2),IF(W1303="b",ROUNDDOWN(L1303*M1303,2),ROUNDUP(L1303*M1303,2))))</f>
        <v>0</v>
      </c>
      <c r="O1303" s="905"/>
      <c r="Q1303" s="317" t="str">
        <f t="shared" si="149"/>
        <v/>
      </c>
      <c r="R1303" s="317" t="str">
        <f t="shared" si="150"/>
        <v/>
      </c>
      <c r="S1303" s="317" t="str">
        <f t="shared" si="151"/>
        <v/>
      </c>
      <c r="T1303" s="317" t="str">
        <f>GLOBAL_DER_FEV_2023!S1303</f>
        <v/>
      </c>
      <c r="W1303" s="582">
        <v>0</v>
      </c>
      <c r="X1303" s="580"/>
      <c r="Y1303" s="583">
        <f>IF(GLOBAL_DER_FEV_2023!W1303=0,0,IF(GLOBAL_DER_FEV_2023!W1303&gt;0,"c","b"))</f>
        <v>0</v>
      </c>
    </row>
    <row r="1304" spans="1:25" ht="22.5" x14ac:dyDescent="0.2">
      <c r="A1304" s="317">
        <v>93669</v>
      </c>
      <c r="B1304" s="895">
        <v>93669</v>
      </c>
      <c r="C1304" s="896" t="s">
        <v>596</v>
      </c>
      <c r="D1304" s="906" t="s">
        <v>1234</v>
      </c>
      <c r="E1304" s="907">
        <f>GLOBAL_DER_FEV_2023!E1304</f>
        <v>0</v>
      </c>
      <c r="F1304" s="908">
        <f>GLOBAL_DER_FEV_2023!F1304</f>
        <v>0</v>
      </c>
      <c r="G1304" s="912">
        <f>GLOBAL_DER_FEV_2023!G1304</f>
        <v>0</v>
      </c>
      <c r="H1304" s="901">
        <f>GLOBAL_DER_FEV_2023!H1304</f>
        <v>79.84</v>
      </c>
      <c r="I1304" s="901">
        <f>GLOBAL_DER_FEV_2023!I1304</f>
        <v>79.84</v>
      </c>
      <c r="J1304" s="902">
        <f>GLOBAL_DER_FEV_2023!J1304</f>
        <v>95.86</v>
      </c>
      <c r="K1304" s="903" t="s">
        <v>1516</v>
      </c>
      <c r="L1304" s="1137"/>
      <c r="M1304" s="1138">
        <f t="shared" si="148"/>
        <v>0</v>
      </c>
      <c r="N1304" s="893">
        <f t="shared" si="152"/>
        <v>0</v>
      </c>
      <c r="O1304" s="905"/>
      <c r="Q1304" s="317" t="str">
        <f t="shared" si="149"/>
        <v/>
      </c>
      <c r="R1304" s="317" t="str">
        <f t="shared" si="150"/>
        <v/>
      </c>
      <c r="S1304" s="317" t="str">
        <f t="shared" si="151"/>
        <v/>
      </c>
      <c r="T1304" s="317" t="str">
        <f>GLOBAL_DER_FEV_2023!S1304</f>
        <v/>
      </c>
      <c r="W1304" s="582">
        <v>0</v>
      </c>
      <c r="X1304" s="580"/>
      <c r="Y1304" s="583">
        <f>IF(GLOBAL_DER_FEV_2023!W1304=0,0,IF(GLOBAL_DER_FEV_2023!W1304&gt;0,"c","b"))</f>
        <v>0</v>
      </c>
    </row>
    <row r="1305" spans="1:25" ht="22.5" x14ac:dyDescent="0.2">
      <c r="A1305" s="317">
        <v>93670</v>
      </c>
      <c r="B1305" s="895">
        <v>93670</v>
      </c>
      <c r="C1305" s="896" t="s">
        <v>596</v>
      </c>
      <c r="D1305" s="906" t="s">
        <v>1235</v>
      </c>
      <c r="E1305" s="907">
        <f>GLOBAL_DER_FEV_2023!E1305</f>
        <v>0</v>
      </c>
      <c r="F1305" s="908">
        <f>GLOBAL_DER_FEV_2023!F1305</f>
        <v>0</v>
      </c>
      <c r="G1305" s="912">
        <f>GLOBAL_DER_FEV_2023!G1305</f>
        <v>0</v>
      </c>
      <c r="H1305" s="901">
        <f>GLOBAL_DER_FEV_2023!H1305</f>
        <v>79.84</v>
      </c>
      <c r="I1305" s="901">
        <f>GLOBAL_DER_FEV_2023!I1305</f>
        <v>79.84</v>
      </c>
      <c r="J1305" s="902">
        <f>GLOBAL_DER_FEV_2023!J1305</f>
        <v>95.86</v>
      </c>
      <c r="K1305" s="903" t="s">
        <v>1516</v>
      </c>
      <c r="L1305" s="1137"/>
      <c r="M1305" s="1138">
        <f t="shared" si="148"/>
        <v>0</v>
      </c>
      <c r="N1305" s="893">
        <f t="shared" si="152"/>
        <v>0</v>
      </c>
      <c r="O1305" s="905"/>
      <c r="Q1305" s="317" t="str">
        <f t="shared" si="149"/>
        <v/>
      </c>
      <c r="R1305" s="317" t="str">
        <f t="shared" si="150"/>
        <v/>
      </c>
      <c r="S1305" s="317" t="str">
        <f t="shared" si="151"/>
        <v/>
      </c>
      <c r="T1305" s="317" t="str">
        <f>GLOBAL_DER_FEV_2023!S1305</f>
        <v/>
      </c>
      <c r="W1305" s="582">
        <v>0</v>
      </c>
      <c r="X1305" s="580"/>
      <c r="Y1305" s="583">
        <f>IF(GLOBAL_DER_FEV_2023!W1305=0,0,IF(GLOBAL_DER_FEV_2023!W1305&gt;0,"c","b"))</f>
        <v>0</v>
      </c>
    </row>
    <row r="1306" spans="1:25" ht="22.5" x14ac:dyDescent="0.2">
      <c r="A1306" s="317">
        <v>93671</v>
      </c>
      <c r="B1306" s="895">
        <v>93671</v>
      </c>
      <c r="C1306" s="896" t="s">
        <v>596</v>
      </c>
      <c r="D1306" s="906" t="s">
        <v>1236</v>
      </c>
      <c r="E1306" s="907">
        <f>GLOBAL_DER_FEV_2023!E1306</f>
        <v>0</v>
      </c>
      <c r="F1306" s="908">
        <f>GLOBAL_DER_FEV_2023!F1306</f>
        <v>0</v>
      </c>
      <c r="G1306" s="912">
        <f>GLOBAL_DER_FEV_2023!G1306</f>
        <v>0</v>
      </c>
      <c r="H1306" s="901">
        <f>GLOBAL_DER_FEV_2023!H1306</f>
        <v>84.94</v>
      </c>
      <c r="I1306" s="901">
        <f>GLOBAL_DER_FEV_2023!I1306</f>
        <v>84.94</v>
      </c>
      <c r="J1306" s="902">
        <f>GLOBAL_DER_FEV_2023!J1306</f>
        <v>101.99</v>
      </c>
      <c r="K1306" s="903" t="s">
        <v>1516</v>
      </c>
      <c r="L1306" s="1137"/>
      <c r="M1306" s="1138">
        <f t="shared" si="148"/>
        <v>0</v>
      </c>
      <c r="N1306" s="893">
        <f t="shared" si="152"/>
        <v>0</v>
      </c>
      <c r="O1306" s="905"/>
      <c r="Q1306" s="317" t="str">
        <f t="shared" si="149"/>
        <v/>
      </c>
      <c r="R1306" s="317" t="str">
        <f t="shared" si="150"/>
        <v/>
      </c>
      <c r="S1306" s="317" t="str">
        <f t="shared" si="151"/>
        <v/>
      </c>
      <c r="T1306" s="317" t="str">
        <f>GLOBAL_DER_FEV_2023!S1306</f>
        <v/>
      </c>
      <c r="W1306" s="582">
        <v>0</v>
      </c>
      <c r="X1306" s="580"/>
      <c r="Y1306" s="583">
        <f>IF(GLOBAL_DER_FEV_2023!W1306=0,0,IF(GLOBAL_DER_FEV_2023!W1306&gt;0,"c","b"))</f>
        <v>0</v>
      </c>
    </row>
    <row r="1307" spans="1:25" ht="22.5" x14ac:dyDescent="0.2">
      <c r="A1307" s="317">
        <v>93672</v>
      </c>
      <c r="B1307" s="895">
        <v>93672</v>
      </c>
      <c r="C1307" s="896" t="s">
        <v>596</v>
      </c>
      <c r="D1307" s="906" t="s">
        <v>1237</v>
      </c>
      <c r="E1307" s="907">
        <f>GLOBAL_DER_FEV_2023!E1307</f>
        <v>0</v>
      </c>
      <c r="F1307" s="908">
        <f>GLOBAL_DER_FEV_2023!F1307</f>
        <v>0</v>
      </c>
      <c r="G1307" s="912">
        <f>GLOBAL_DER_FEV_2023!G1307</f>
        <v>0</v>
      </c>
      <c r="H1307" s="901">
        <f>GLOBAL_DER_FEV_2023!H1307</f>
        <v>93.21</v>
      </c>
      <c r="I1307" s="901">
        <f>GLOBAL_DER_FEV_2023!I1307</f>
        <v>93.21</v>
      </c>
      <c r="J1307" s="902">
        <f>GLOBAL_DER_FEV_2023!J1307</f>
        <v>111.92</v>
      </c>
      <c r="K1307" s="903" t="s">
        <v>1516</v>
      </c>
      <c r="L1307" s="1137"/>
      <c r="M1307" s="1138">
        <f t="shared" si="148"/>
        <v>0</v>
      </c>
      <c r="N1307" s="893">
        <f t="shared" si="152"/>
        <v>0</v>
      </c>
      <c r="O1307" s="905"/>
      <c r="Q1307" s="317" t="str">
        <f t="shared" si="149"/>
        <v/>
      </c>
      <c r="R1307" s="317" t="str">
        <f t="shared" si="150"/>
        <v/>
      </c>
      <c r="S1307" s="317" t="str">
        <f t="shared" si="151"/>
        <v/>
      </c>
      <c r="T1307" s="317" t="str">
        <f>GLOBAL_DER_FEV_2023!S1307</f>
        <v/>
      </c>
      <c r="W1307" s="582">
        <v>0</v>
      </c>
      <c r="X1307" s="580"/>
      <c r="Y1307" s="583">
        <f>IF(GLOBAL_DER_FEV_2023!W1307=0,0,IF(GLOBAL_DER_FEV_2023!W1307&gt;0,"c","b"))</f>
        <v>0</v>
      </c>
    </row>
    <row r="1308" spans="1:25" ht="22.5" x14ac:dyDescent="0.2">
      <c r="A1308" s="317">
        <v>93673</v>
      </c>
      <c r="B1308" s="895">
        <v>93673</v>
      </c>
      <c r="C1308" s="896" t="s">
        <v>596</v>
      </c>
      <c r="D1308" s="906" t="s">
        <v>1238</v>
      </c>
      <c r="E1308" s="907">
        <f>GLOBAL_DER_FEV_2023!E1308</f>
        <v>0</v>
      </c>
      <c r="F1308" s="908">
        <f>GLOBAL_DER_FEV_2023!F1308</f>
        <v>0</v>
      </c>
      <c r="G1308" s="912">
        <f>GLOBAL_DER_FEV_2023!G1308</f>
        <v>0</v>
      </c>
      <c r="H1308" s="901">
        <f>GLOBAL_DER_FEV_2023!H1308</f>
        <v>103.75</v>
      </c>
      <c r="I1308" s="901">
        <f>GLOBAL_DER_FEV_2023!I1308</f>
        <v>103.75</v>
      </c>
      <c r="J1308" s="902">
        <f>GLOBAL_DER_FEV_2023!J1308</f>
        <v>124.57</v>
      </c>
      <c r="K1308" s="903" t="s">
        <v>1516</v>
      </c>
      <c r="L1308" s="1137"/>
      <c r="M1308" s="1138">
        <f t="shared" si="148"/>
        <v>0</v>
      </c>
      <c r="N1308" s="893">
        <f t="shared" si="152"/>
        <v>0</v>
      </c>
      <c r="O1308" s="905"/>
      <c r="Q1308" s="317" t="str">
        <f t="shared" si="149"/>
        <v/>
      </c>
      <c r="R1308" s="317" t="str">
        <f t="shared" si="150"/>
        <v/>
      </c>
      <c r="S1308" s="317" t="str">
        <f t="shared" si="151"/>
        <v/>
      </c>
      <c r="T1308" s="317" t="str">
        <f>GLOBAL_DER_FEV_2023!S1308</f>
        <v/>
      </c>
      <c r="W1308" s="582">
        <v>0</v>
      </c>
      <c r="X1308" s="580"/>
      <c r="Y1308" s="583">
        <f>IF(GLOBAL_DER_FEV_2023!W1308=0,0,IF(GLOBAL_DER_FEV_2023!W1308&gt;0,"c","b"))</f>
        <v>0</v>
      </c>
    </row>
    <row r="1309" spans="1:25" ht="22.5" x14ac:dyDescent="0.2">
      <c r="A1309" s="317">
        <v>101893</v>
      </c>
      <c r="B1309" s="895">
        <v>101893</v>
      </c>
      <c r="C1309" s="896" t="s">
        <v>596</v>
      </c>
      <c r="D1309" s="906" t="s">
        <v>1239</v>
      </c>
      <c r="E1309" s="907">
        <f>GLOBAL_DER_FEV_2023!E1309</f>
        <v>0</v>
      </c>
      <c r="F1309" s="908">
        <f>GLOBAL_DER_FEV_2023!F1309</f>
        <v>0</v>
      </c>
      <c r="G1309" s="912">
        <f>GLOBAL_DER_FEV_2023!G1309</f>
        <v>0</v>
      </c>
      <c r="H1309" s="901">
        <f>GLOBAL_DER_FEV_2023!H1309</f>
        <v>95.19</v>
      </c>
      <c r="I1309" s="901">
        <f>GLOBAL_DER_FEV_2023!I1309</f>
        <v>95.19</v>
      </c>
      <c r="J1309" s="902">
        <f>GLOBAL_DER_FEV_2023!J1309</f>
        <v>114.29</v>
      </c>
      <c r="K1309" s="903" t="s">
        <v>1516</v>
      </c>
      <c r="L1309" s="1137"/>
      <c r="M1309" s="1138">
        <f t="shared" si="148"/>
        <v>0</v>
      </c>
      <c r="N1309" s="893">
        <f t="shared" si="152"/>
        <v>0</v>
      </c>
      <c r="O1309" s="905"/>
      <c r="Q1309" s="317" t="str">
        <f t="shared" si="149"/>
        <v/>
      </c>
      <c r="R1309" s="317" t="str">
        <f t="shared" si="150"/>
        <v/>
      </c>
      <c r="S1309" s="317" t="str">
        <f t="shared" si="151"/>
        <v/>
      </c>
      <c r="T1309" s="317" t="str">
        <f>GLOBAL_DER_FEV_2023!S1309</f>
        <v/>
      </c>
      <c r="W1309" s="582">
        <v>0</v>
      </c>
      <c r="X1309" s="580"/>
      <c r="Y1309" s="583">
        <f>IF(GLOBAL_DER_FEV_2023!W1309=0,0,IF(GLOBAL_DER_FEV_2023!W1309&gt;0,"c","b"))</f>
        <v>0</v>
      </c>
    </row>
    <row r="1310" spans="1:25" ht="22.5" x14ac:dyDescent="0.2">
      <c r="A1310" s="317">
        <v>101894</v>
      </c>
      <c r="B1310" s="895">
        <v>101894</v>
      </c>
      <c r="C1310" s="896" t="s">
        <v>596</v>
      </c>
      <c r="D1310" s="906" t="s">
        <v>1240</v>
      </c>
      <c r="E1310" s="907">
        <f>GLOBAL_DER_FEV_2023!E1310</f>
        <v>0</v>
      </c>
      <c r="F1310" s="908">
        <f>GLOBAL_DER_FEV_2023!F1310</f>
        <v>0</v>
      </c>
      <c r="G1310" s="912">
        <f>GLOBAL_DER_FEV_2023!G1310</f>
        <v>0</v>
      </c>
      <c r="H1310" s="901">
        <f>GLOBAL_DER_FEV_2023!H1310</f>
        <v>166.69</v>
      </c>
      <c r="I1310" s="901">
        <f>GLOBAL_DER_FEV_2023!I1310</f>
        <v>166.69</v>
      </c>
      <c r="J1310" s="902">
        <f>GLOBAL_DER_FEV_2023!J1310</f>
        <v>200.14</v>
      </c>
      <c r="K1310" s="903" t="s">
        <v>1516</v>
      </c>
      <c r="L1310" s="1137"/>
      <c r="M1310" s="1138">
        <f t="shared" si="148"/>
        <v>0</v>
      </c>
      <c r="N1310" s="893">
        <f t="shared" si="152"/>
        <v>0</v>
      </c>
      <c r="O1310" s="905"/>
      <c r="Q1310" s="317" t="str">
        <f t="shared" si="149"/>
        <v/>
      </c>
      <c r="R1310" s="317" t="str">
        <f t="shared" si="150"/>
        <v/>
      </c>
      <c r="S1310" s="317" t="str">
        <f t="shared" si="151"/>
        <v/>
      </c>
      <c r="T1310" s="317" t="str">
        <f>GLOBAL_DER_FEV_2023!S1310</f>
        <v/>
      </c>
      <c r="W1310" s="582">
        <v>0</v>
      </c>
      <c r="X1310" s="580"/>
      <c r="Y1310" s="583">
        <f>IF(GLOBAL_DER_FEV_2023!W1310=0,0,IF(GLOBAL_DER_FEV_2023!W1310&gt;0,"c","b"))</f>
        <v>0</v>
      </c>
    </row>
    <row r="1311" spans="1:25" ht="22.5" x14ac:dyDescent="0.2">
      <c r="A1311" s="317">
        <v>101663</v>
      </c>
      <c r="B1311" s="895">
        <v>101663</v>
      </c>
      <c r="C1311" s="896" t="s">
        <v>596</v>
      </c>
      <c r="D1311" s="906" t="s">
        <v>1241</v>
      </c>
      <c r="E1311" s="907">
        <f>GLOBAL_DER_FEV_2023!E1311</f>
        <v>0</v>
      </c>
      <c r="F1311" s="908">
        <f>GLOBAL_DER_FEV_2023!F1311</f>
        <v>0</v>
      </c>
      <c r="G1311" s="912">
        <f>GLOBAL_DER_FEV_2023!G1311</f>
        <v>0</v>
      </c>
      <c r="H1311" s="901">
        <f>GLOBAL_DER_FEV_2023!H1311</f>
        <v>29.2</v>
      </c>
      <c r="I1311" s="901">
        <f>GLOBAL_DER_FEV_2023!I1311</f>
        <v>29.2</v>
      </c>
      <c r="J1311" s="902">
        <f>GLOBAL_DER_FEV_2023!J1311</f>
        <v>35.06</v>
      </c>
      <c r="K1311" s="903" t="s">
        <v>1516</v>
      </c>
      <c r="L1311" s="1137"/>
      <c r="M1311" s="1138">
        <f t="shared" si="148"/>
        <v>0</v>
      </c>
      <c r="N1311" s="893">
        <f t="shared" si="152"/>
        <v>0</v>
      </c>
      <c r="O1311" s="905"/>
      <c r="Q1311" s="317" t="str">
        <f t="shared" si="149"/>
        <v/>
      </c>
      <c r="R1311" s="317" t="str">
        <f t="shared" si="150"/>
        <v/>
      </c>
      <c r="S1311" s="317" t="str">
        <f t="shared" si="151"/>
        <v/>
      </c>
      <c r="T1311" s="317" t="str">
        <f>GLOBAL_DER_FEV_2023!S1311</f>
        <v/>
      </c>
      <c r="W1311" s="582">
        <v>0</v>
      </c>
      <c r="X1311" s="580"/>
      <c r="Y1311" s="583">
        <f>IF(GLOBAL_DER_FEV_2023!W1311=0,0,IF(GLOBAL_DER_FEV_2023!W1311&gt;0,"c","b"))</f>
        <v>0</v>
      </c>
    </row>
    <row r="1312" spans="1:25" ht="22.5" x14ac:dyDescent="0.2">
      <c r="A1312" s="317">
        <v>101664</v>
      </c>
      <c r="B1312" s="895">
        <v>101664</v>
      </c>
      <c r="C1312" s="896" t="s">
        <v>596</v>
      </c>
      <c r="D1312" s="906" t="s">
        <v>1242</v>
      </c>
      <c r="E1312" s="907">
        <f>GLOBAL_DER_FEV_2023!E1312</f>
        <v>0</v>
      </c>
      <c r="F1312" s="908">
        <f>GLOBAL_DER_FEV_2023!F1312</f>
        <v>0</v>
      </c>
      <c r="G1312" s="912">
        <f>GLOBAL_DER_FEV_2023!G1312</f>
        <v>0</v>
      </c>
      <c r="H1312" s="901">
        <f>GLOBAL_DER_FEV_2023!H1312</f>
        <v>30.24</v>
      </c>
      <c r="I1312" s="901">
        <f>GLOBAL_DER_FEV_2023!I1312</f>
        <v>30.24</v>
      </c>
      <c r="J1312" s="902">
        <f>GLOBAL_DER_FEV_2023!J1312</f>
        <v>36.31</v>
      </c>
      <c r="K1312" s="903" t="s">
        <v>1516</v>
      </c>
      <c r="L1312" s="1137"/>
      <c r="M1312" s="1138">
        <f t="shared" si="148"/>
        <v>0</v>
      </c>
      <c r="N1312" s="893">
        <f t="shared" si="152"/>
        <v>0</v>
      </c>
      <c r="O1312" s="905"/>
      <c r="Q1312" s="317" t="str">
        <f t="shared" si="149"/>
        <v/>
      </c>
      <c r="R1312" s="317" t="str">
        <f t="shared" si="150"/>
        <v/>
      </c>
      <c r="S1312" s="317" t="str">
        <f t="shared" si="151"/>
        <v/>
      </c>
      <c r="T1312" s="317" t="str">
        <f>GLOBAL_DER_FEV_2023!S1312</f>
        <v/>
      </c>
      <c r="W1312" s="582">
        <v>0</v>
      </c>
      <c r="X1312" s="580"/>
      <c r="Y1312" s="583">
        <f>IF(GLOBAL_DER_FEV_2023!W1312=0,0,IF(GLOBAL_DER_FEV_2023!W1312&gt;0,"c","b"))</f>
        <v>0</v>
      </c>
    </row>
    <row r="1313" spans="1:25" ht="22.5" x14ac:dyDescent="0.2">
      <c r="A1313" s="317">
        <v>101665</v>
      </c>
      <c r="B1313" s="895">
        <v>101665</v>
      </c>
      <c r="C1313" s="896" t="s">
        <v>596</v>
      </c>
      <c r="D1313" s="906" t="s">
        <v>1243</v>
      </c>
      <c r="E1313" s="907">
        <f>GLOBAL_DER_FEV_2023!E1313</f>
        <v>0</v>
      </c>
      <c r="F1313" s="908">
        <f>GLOBAL_DER_FEV_2023!F1313</f>
        <v>0</v>
      </c>
      <c r="G1313" s="912">
        <f>GLOBAL_DER_FEV_2023!G1313</f>
        <v>0</v>
      </c>
      <c r="H1313" s="901">
        <f>GLOBAL_DER_FEV_2023!H1313</f>
        <v>34.729999999999997</v>
      </c>
      <c r="I1313" s="901">
        <f>GLOBAL_DER_FEV_2023!I1313</f>
        <v>34.729999999999997</v>
      </c>
      <c r="J1313" s="902">
        <f>GLOBAL_DER_FEV_2023!J1313</f>
        <v>41.7</v>
      </c>
      <c r="K1313" s="903" t="s">
        <v>1516</v>
      </c>
      <c r="L1313" s="1137"/>
      <c r="M1313" s="1138">
        <f t="shared" si="148"/>
        <v>0</v>
      </c>
      <c r="N1313" s="893">
        <f t="shared" si="152"/>
        <v>0</v>
      </c>
      <c r="O1313" s="905"/>
      <c r="Q1313" s="317" t="str">
        <f t="shared" si="149"/>
        <v/>
      </c>
      <c r="R1313" s="317" t="str">
        <f t="shared" si="150"/>
        <v/>
      </c>
      <c r="S1313" s="317" t="str">
        <f t="shared" si="151"/>
        <v/>
      </c>
      <c r="T1313" s="317" t="str">
        <f>GLOBAL_DER_FEV_2023!S1313</f>
        <v/>
      </c>
      <c r="W1313" s="582">
        <v>0</v>
      </c>
      <c r="X1313" s="580"/>
      <c r="Y1313" s="583">
        <f>IF(GLOBAL_DER_FEV_2023!W1313=0,0,IF(GLOBAL_DER_FEV_2023!W1313&gt;0,"c","b"))</f>
        <v>0</v>
      </c>
    </row>
    <row r="1314" spans="1:25" ht="22.5" x14ac:dyDescent="0.2">
      <c r="A1314" s="317">
        <v>101895</v>
      </c>
      <c r="B1314" s="895">
        <v>101895</v>
      </c>
      <c r="C1314" s="896" t="s">
        <v>596</v>
      </c>
      <c r="D1314" s="906" t="s">
        <v>1244</v>
      </c>
      <c r="E1314" s="907">
        <f>GLOBAL_DER_FEV_2023!E1314</f>
        <v>0</v>
      </c>
      <c r="F1314" s="908">
        <f>GLOBAL_DER_FEV_2023!F1314</f>
        <v>0</v>
      </c>
      <c r="G1314" s="912">
        <f>GLOBAL_DER_FEV_2023!G1314</f>
        <v>0</v>
      </c>
      <c r="H1314" s="901">
        <f>GLOBAL_DER_FEV_2023!H1314</f>
        <v>445.37</v>
      </c>
      <c r="I1314" s="901">
        <f>GLOBAL_DER_FEV_2023!I1314</f>
        <v>445.37</v>
      </c>
      <c r="J1314" s="902">
        <f>GLOBAL_DER_FEV_2023!J1314</f>
        <v>534.76</v>
      </c>
      <c r="K1314" s="903" t="s">
        <v>1516</v>
      </c>
      <c r="L1314" s="1137"/>
      <c r="M1314" s="1138">
        <f t="shared" si="148"/>
        <v>0</v>
      </c>
      <c r="N1314" s="893">
        <f t="shared" si="152"/>
        <v>0</v>
      </c>
      <c r="O1314" s="905"/>
      <c r="Q1314" s="317" t="str">
        <f t="shared" si="149"/>
        <v/>
      </c>
      <c r="R1314" s="317" t="str">
        <f t="shared" si="150"/>
        <v/>
      </c>
      <c r="S1314" s="317" t="str">
        <f t="shared" si="151"/>
        <v/>
      </c>
      <c r="T1314" s="317" t="str">
        <f>GLOBAL_DER_FEV_2023!S1314</f>
        <v/>
      </c>
      <c r="W1314" s="582">
        <v>0</v>
      </c>
      <c r="X1314" s="580"/>
      <c r="Y1314" s="583">
        <f>IF(GLOBAL_DER_FEV_2023!W1314=0,0,IF(GLOBAL_DER_FEV_2023!W1314&gt;0,"c","b"))</f>
        <v>0</v>
      </c>
    </row>
    <row r="1315" spans="1:25" ht="22.5" x14ac:dyDescent="0.2">
      <c r="A1315" s="317">
        <v>101896</v>
      </c>
      <c r="B1315" s="895">
        <v>101896</v>
      </c>
      <c r="C1315" s="896" t="s">
        <v>596</v>
      </c>
      <c r="D1315" s="906" t="s">
        <v>1245</v>
      </c>
      <c r="E1315" s="907">
        <f>GLOBAL_DER_FEV_2023!E1315</f>
        <v>0</v>
      </c>
      <c r="F1315" s="908">
        <f>GLOBAL_DER_FEV_2023!F1315</f>
        <v>0</v>
      </c>
      <c r="G1315" s="912">
        <f>GLOBAL_DER_FEV_2023!G1315</f>
        <v>0</v>
      </c>
      <c r="H1315" s="901">
        <f>GLOBAL_DER_FEV_2023!H1315</f>
        <v>661.28</v>
      </c>
      <c r="I1315" s="901">
        <f>GLOBAL_DER_FEV_2023!I1315</f>
        <v>661.28</v>
      </c>
      <c r="J1315" s="902">
        <f>GLOBAL_DER_FEV_2023!J1315</f>
        <v>794</v>
      </c>
      <c r="K1315" s="903" t="s">
        <v>1516</v>
      </c>
      <c r="L1315" s="1137"/>
      <c r="M1315" s="1138">
        <f t="shared" si="148"/>
        <v>0</v>
      </c>
      <c r="N1315" s="893">
        <f t="shared" si="152"/>
        <v>0</v>
      </c>
      <c r="O1315" s="905"/>
      <c r="Q1315" s="317" t="str">
        <f t="shared" si="149"/>
        <v/>
      </c>
      <c r="R1315" s="317" t="str">
        <f t="shared" si="150"/>
        <v/>
      </c>
      <c r="S1315" s="317" t="str">
        <f t="shared" si="151"/>
        <v/>
      </c>
      <c r="T1315" s="317" t="str">
        <f>GLOBAL_DER_FEV_2023!S1315</f>
        <v/>
      </c>
      <c r="W1315" s="582">
        <v>0</v>
      </c>
      <c r="X1315" s="580"/>
      <c r="Y1315" s="583">
        <f>IF(GLOBAL_DER_FEV_2023!W1315=0,0,IF(GLOBAL_DER_FEV_2023!W1315&gt;0,"c","b"))</f>
        <v>0</v>
      </c>
    </row>
    <row r="1316" spans="1:25" ht="22.5" x14ac:dyDescent="0.2">
      <c r="A1316" s="317">
        <v>101897</v>
      </c>
      <c r="B1316" s="895">
        <v>101897</v>
      </c>
      <c r="C1316" s="896" t="s">
        <v>596</v>
      </c>
      <c r="D1316" s="906" t="s">
        <v>1246</v>
      </c>
      <c r="E1316" s="907">
        <f>GLOBAL_DER_FEV_2023!E1316</f>
        <v>0</v>
      </c>
      <c r="F1316" s="908">
        <f>GLOBAL_DER_FEV_2023!F1316</f>
        <v>0</v>
      </c>
      <c r="G1316" s="912">
        <f>GLOBAL_DER_FEV_2023!G1316</f>
        <v>0</v>
      </c>
      <c r="H1316" s="901">
        <f>GLOBAL_DER_FEV_2023!H1316</f>
        <v>1048.0899999999999</v>
      </c>
      <c r="I1316" s="901">
        <f>GLOBAL_DER_FEV_2023!I1316</f>
        <v>1048.0899999999999</v>
      </c>
      <c r="J1316" s="902">
        <f>GLOBAL_DER_FEV_2023!J1316</f>
        <v>1258.44</v>
      </c>
      <c r="K1316" s="903" t="s">
        <v>1516</v>
      </c>
      <c r="L1316" s="1137"/>
      <c r="M1316" s="1138">
        <f t="shared" si="148"/>
        <v>0</v>
      </c>
      <c r="N1316" s="893">
        <f t="shared" si="152"/>
        <v>0</v>
      </c>
      <c r="O1316" s="905"/>
      <c r="Q1316" s="317" t="str">
        <f t="shared" si="149"/>
        <v/>
      </c>
      <c r="R1316" s="317" t="str">
        <f t="shared" si="150"/>
        <v/>
      </c>
      <c r="S1316" s="317" t="str">
        <f t="shared" si="151"/>
        <v/>
      </c>
      <c r="T1316" s="317" t="str">
        <f>GLOBAL_DER_FEV_2023!S1316</f>
        <v/>
      </c>
      <c r="W1316" s="582">
        <v>0</v>
      </c>
      <c r="X1316" s="580"/>
      <c r="Y1316" s="583">
        <f>IF(GLOBAL_DER_FEV_2023!W1316=0,0,IF(GLOBAL_DER_FEV_2023!W1316&gt;0,"c","b"))</f>
        <v>0</v>
      </c>
    </row>
    <row r="1317" spans="1:25" ht="22.5" x14ac:dyDescent="0.2">
      <c r="A1317" s="317">
        <v>101898</v>
      </c>
      <c r="B1317" s="895">
        <v>101898</v>
      </c>
      <c r="C1317" s="896" t="s">
        <v>596</v>
      </c>
      <c r="D1317" s="906" t="s">
        <v>1247</v>
      </c>
      <c r="E1317" s="907">
        <f>GLOBAL_DER_FEV_2023!E1317</f>
        <v>0</v>
      </c>
      <c r="F1317" s="908">
        <f>GLOBAL_DER_FEV_2023!F1317</f>
        <v>0</v>
      </c>
      <c r="G1317" s="912">
        <f>GLOBAL_DER_FEV_2023!G1317</f>
        <v>0</v>
      </c>
      <c r="H1317" s="901">
        <f>GLOBAL_DER_FEV_2023!H1317</f>
        <v>1398.72</v>
      </c>
      <c r="I1317" s="901">
        <f>GLOBAL_DER_FEV_2023!I1317</f>
        <v>1398.72</v>
      </c>
      <c r="J1317" s="902">
        <f>GLOBAL_DER_FEV_2023!J1317</f>
        <v>1679.44</v>
      </c>
      <c r="K1317" s="903" t="s">
        <v>1516</v>
      </c>
      <c r="L1317" s="1137"/>
      <c r="M1317" s="1138">
        <f t="shared" si="148"/>
        <v>0</v>
      </c>
      <c r="N1317" s="893">
        <f t="shared" si="152"/>
        <v>0</v>
      </c>
      <c r="O1317" s="905"/>
      <c r="Q1317" s="317" t="str">
        <f t="shared" si="149"/>
        <v/>
      </c>
      <c r="R1317" s="317" t="str">
        <f t="shared" si="150"/>
        <v/>
      </c>
      <c r="S1317" s="317" t="str">
        <f t="shared" si="151"/>
        <v/>
      </c>
      <c r="T1317" s="317" t="str">
        <f>GLOBAL_DER_FEV_2023!S1317</f>
        <v/>
      </c>
      <c r="W1317" s="582">
        <v>0</v>
      </c>
      <c r="X1317" s="580"/>
      <c r="Y1317" s="583">
        <f>IF(GLOBAL_DER_FEV_2023!W1317=0,0,IF(GLOBAL_DER_FEV_2023!W1317&gt;0,"c","b"))</f>
        <v>0</v>
      </c>
    </row>
    <row r="1318" spans="1:25" ht="22.5" x14ac:dyDescent="0.2">
      <c r="A1318" s="317">
        <v>101899</v>
      </c>
      <c r="B1318" s="895">
        <v>101899</v>
      </c>
      <c r="C1318" s="896" t="s">
        <v>596</v>
      </c>
      <c r="D1318" s="906" t="s">
        <v>1248</v>
      </c>
      <c r="E1318" s="907">
        <f>GLOBAL_DER_FEV_2023!E1318</f>
        <v>0</v>
      </c>
      <c r="F1318" s="908">
        <f>GLOBAL_DER_FEV_2023!F1318</f>
        <v>0</v>
      </c>
      <c r="G1318" s="912">
        <f>GLOBAL_DER_FEV_2023!G1318</f>
        <v>0</v>
      </c>
      <c r="H1318" s="901">
        <f>GLOBAL_DER_FEV_2023!H1318</f>
        <v>2232.7399999999998</v>
      </c>
      <c r="I1318" s="901">
        <f>GLOBAL_DER_FEV_2023!I1318</f>
        <v>2232.7399999999998</v>
      </c>
      <c r="J1318" s="902">
        <f>GLOBAL_DER_FEV_2023!J1318</f>
        <v>2680.85</v>
      </c>
      <c r="K1318" s="903" t="s">
        <v>1516</v>
      </c>
      <c r="L1318" s="1137"/>
      <c r="M1318" s="1138">
        <f t="shared" si="148"/>
        <v>0</v>
      </c>
      <c r="N1318" s="893">
        <f t="shared" si="152"/>
        <v>0</v>
      </c>
      <c r="O1318" s="905"/>
      <c r="Q1318" s="317" t="str">
        <f t="shared" si="149"/>
        <v/>
      </c>
      <c r="R1318" s="317" t="str">
        <f t="shared" si="150"/>
        <v/>
      </c>
      <c r="S1318" s="317" t="str">
        <f t="shared" si="151"/>
        <v/>
      </c>
      <c r="T1318" s="317" t="str">
        <f>GLOBAL_DER_FEV_2023!S1318</f>
        <v/>
      </c>
      <c r="W1318" s="582">
        <v>0</v>
      </c>
      <c r="X1318" s="580"/>
      <c r="Y1318" s="583">
        <f>IF(GLOBAL_DER_FEV_2023!W1318=0,0,IF(GLOBAL_DER_FEV_2023!W1318&gt;0,"c","b"))</f>
        <v>0</v>
      </c>
    </row>
    <row r="1319" spans="1:25" ht="22.5" x14ac:dyDescent="0.2">
      <c r="A1319" s="317">
        <v>101900</v>
      </c>
      <c r="B1319" s="895">
        <v>101900</v>
      </c>
      <c r="C1319" s="896" t="s">
        <v>596</v>
      </c>
      <c r="D1319" s="906" t="s">
        <v>1249</v>
      </c>
      <c r="E1319" s="907">
        <f>GLOBAL_DER_FEV_2023!E1319</f>
        <v>0</v>
      </c>
      <c r="F1319" s="908">
        <f>GLOBAL_DER_FEV_2023!F1319</f>
        <v>0</v>
      </c>
      <c r="G1319" s="912">
        <f>GLOBAL_DER_FEV_2023!G1319</f>
        <v>0</v>
      </c>
      <c r="H1319" s="901">
        <f>GLOBAL_DER_FEV_2023!H1319</f>
        <v>4648.41</v>
      </c>
      <c r="I1319" s="901">
        <f>GLOBAL_DER_FEV_2023!I1319</f>
        <v>4648.41</v>
      </c>
      <c r="J1319" s="902">
        <f>GLOBAL_DER_FEV_2023!J1319</f>
        <v>5581.35</v>
      </c>
      <c r="K1319" s="903" t="s">
        <v>1516</v>
      </c>
      <c r="L1319" s="1137"/>
      <c r="M1319" s="1138">
        <f t="shared" si="148"/>
        <v>0</v>
      </c>
      <c r="N1319" s="893">
        <f t="shared" si="152"/>
        <v>0</v>
      </c>
      <c r="O1319" s="905"/>
      <c r="Q1319" s="317" t="str">
        <f t="shared" si="149"/>
        <v/>
      </c>
      <c r="R1319" s="317" t="str">
        <f t="shared" si="150"/>
        <v/>
      </c>
      <c r="S1319" s="317" t="str">
        <f t="shared" si="151"/>
        <v/>
      </c>
      <c r="T1319" s="317" t="str">
        <f>GLOBAL_DER_FEV_2023!S1319</f>
        <v/>
      </c>
      <c r="W1319" s="582">
        <v>0</v>
      </c>
      <c r="X1319" s="580"/>
      <c r="Y1319" s="583">
        <f>IF(GLOBAL_DER_FEV_2023!W1319=0,0,IF(GLOBAL_DER_FEV_2023!W1319&gt;0,"c","b"))</f>
        <v>0</v>
      </c>
    </row>
    <row r="1320" spans="1:25" ht="22.5" x14ac:dyDescent="0.2">
      <c r="A1320" s="317">
        <v>91952</v>
      </c>
      <c r="B1320" s="895">
        <v>91952</v>
      </c>
      <c r="C1320" s="896" t="s">
        <v>596</v>
      </c>
      <c r="D1320" s="906" t="s">
        <v>1250</v>
      </c>
      <c r="E1320" s="907">
        <f>GLOBAL_DER_FEV_2023!E1320</f>
        <v>0</v>
      </c>
      <c r="F1320" s="908">
        <f>GLOBAL_DER_FEV_2023!F1320</f>
        <v>0</v>
      </c>
      <c r="G1320" s="912">
        <f>GLOBAL_DER_FEV_2023!G1320</f>
        <v>0</v>
      </c>
      <c r="H1320" s="901">
        <f>GLOBAL_DER_FEV_2023!H1320</f>
        <v>21.5</v>
      </c>
      <c r="I1320" s="901">
        <f>GLOBAL_DER_FEV_2023!I1320</f>
        <v>21.5</v>
      </c>
      <c r="J1320" s="902">
        <f>GLOBAL_DER_FEV_2023!J1320</f>
        <v>25.82</v>
      </c>
      <c r="K1320" s="903" t="s">
        <v>1516</v>
      </c>
      <c r="L1320" s="1137"/>
      <c r="M1320" s="1138">
        <f t="shared" si="148"/>
        <v>0</v>
      </c>
      <c r="N1320" s="893">
        <f t="shared" si="152"/>
        <v>0</v>
      </c>
      <c r="O1320" s="905"/>
      <c r="Q1320" s="317" t="str">
        <f t="shared" si="149"/>
        <v/>
      </c>
      <c r="R1320" s="317" t="str">
        <f t="shared" si="150"/>
        <v/>
      </c>
      <c r="S1320" s="317" t="str">
        <f t="shared" si="151"/>
        <v/>
      </c>
      <c r="T1320" s="317" t="str">
        <f>GLOBAL_DER_FEV_2023!S1320</f>
        <v/>
      </c>
      <c r="W1320" s="582">
        <v>0</v>
      </c>
      <c r="X1320" s="580"/>
      <c r="Y1320" s="583">
        <f>IF(GLOBAL_DER_FEV_2023!W1320=0,0,IF(GLOBAL_DER_FEV_2023!W1320&gt;0,"c","b"))</f>
        <v>0</v>
      </c>
    </row>
    <row r="1321" spans="1:25" ht="22.5" x14ac:dyDescent="0.2">
      <c r="A1321" s="317">
        <v>91953</v>
      </c>
      <c r="B1321" s="895">
        <v>91953</v>
      </c>
      <c r="C1321" s="896" t="s">
        <v>596</v>
      </c>
      <c r="D1321" s="906" t="s">
        <v>1251</v>
      </c>
      <c r="E1321" s="907">
        <f>GLOBAL_DER_FEV_2023!E1321</f>
        <v>0</v>
      </c>
      <c r="F1321" s="908">
        <f>GLOBAL_DER_FEV_2023!F1321</f>
        <v>0</v>
      </c>
      <c r="G1321" s="912">
        <f>GLOBAL_DER_FEV_2023!G1321</f>
        <v>0</v>
      </c>
      <c r="H1321" s="901">
        <f>GLOBAL_DER_FEV_2023!H1321</f>
        <v>30.73</v>
      </c>
      <c r="I1321" s="901">
        <f>GLOBAL_DER_FEV_2023!I1321</f>
        <v>30.73</v>
      </c>
      <c r="J1321" s="902">
        <f>GLOBAL_DER_FEV_2023!J1321</f>
        <v>36.9</v>
      </c>
      <c r="K1321" s="903" t="s">
        <v>1516</v>
      </c>
      <c r="L1321" s="1137"/>
      <c r="M1321" s="1138">
        <f t="shared" si="148"/>
        <v>0</v>
      </c>
      <c r="N1321" s="893">
        <f t="shared" si="152"/>
        <v>0</v>
      </c>
      <c r="O1321" s="905"/>
      <c r="Q1321" s="317" t="str">
        <f t="shared" si="149"/>
        <v/>
      </c>
      <c r="R1321" s="317" t="str">
        <f t="shared" si="150"/>
        <v/>
      </c>
      <c r="S1321" s="317" t="str">
        <f t="shared" si="151"/>
        <v/>
      </c>
      <c r="T1321" s="317" t="str">
        <f>GLOBAL_DER_FEV_2023!S1321</f>
        <v/>
      </c>
      <c r="W1321" s="582">
        <v>0</v>
      </c>
      <c r="X1321" s="580"/>
      <c r="Y1321" s="583">
        <f>IF(GLOBAL_DER_FEV_2023!W1321=0,0,IF(GLOBAL_DER_FEV_2023!W1321&gt;0,"c","b"))</f>
        <v>0</v>
      </c>
    </row>
    <row r="1322" spans="1:25" ht="22.5" x14ac:dyDescent="0.2">
      <c r="A1322" s="317">
        <v>91956</v>
      </c>
      <c r="B1322" s="895">
        <v>91956</v>
      </c>
      <c r="C1322" s="896" t="s">
        <v>596</v>
      </c>
      <c r="D1322" s="906" t="s">
        <v>1252</v>
      </c>
      <c r="E1322" s="907">
        <f>GLOBAL_DER_FEV_2023!E1322</f>
        <v>0</v>
      </c>
      <c r="F1322" s="908">
        <f>GLOBAL_DER_FEV_2023!F1322</f>
        <v>0</v>
      </c>
      <c r="G1322" s="912">
        <f>GLOBAL_DER_FEV_2023!G1322</f>
        <v>0</v>
      </c>
      <c r="H1322" s="901">
        <f>GLOBAL_DER_FEV_2023!H1322</f>
        <v>46.76</v>
      </c>
      <c r="I1322" s="901">
        <f>GLOBAL_DER_FEV_2023!I1322</f>
        <v>46.76</v>
      </c>
      <c r="J1322" s="902">
        <f>GLOBAL_DER_FEV_2023!J1322</f>
        <v>56.14</v>
      </c>
      <c r="K1322" s="903" t="s">
        <v>1516</v>
      </c>
      <c r="L1322" s="1137"/>
      <c r="M1322" s="1138">
        <f t="shared" si="148"/>
        <v>0</v>
      </c>
      <c r="N1322" s="893">
        <f t="shared" si="152"/>
        <v>0</v>
      </c>
      <c r="O1322" s="905"/>
      <c r="Q1322" s="317" t="str">
        <f t="shared" si="149"/>
        <v/>
      </c>
      <c r="R1322" s="317" t="str">
        <f t="shared" si="150"/>
        <v/>
      </c>
      <c r="S1322" s="317" t="str">
        <f t="shared" si="151"/>
        <v/>
      </c>
      <c r="T1322" s="317" t="str">
        <f>GLOBAL_DER_FEV_2023!S1322</f>
        <v/>
      </c>
      <c r="W1322" s="582">
        <v>0</v>
      </c>
      <c r="X1322" s="580"/>
      <c r="Y1322" s="583">
        <f>IF(GLOBAL_DER_FEV_2023!W1322=0,0,IF(GLOBAL_DER_FEV_2023!W1322&gt;0,"c","b"))</f>
        <v>0</v>
      </c>
    </row>
    <row r="1323" spans="1:25" ht="22.5" x14ac:dyDescent="0.2">
      <c r="A1323" s="317">
        <v>91957</v>
      </c>
      <c r="B1323" s="895">
        <v>91957</v>
      </c>
      <c r="C1323" s="896" t="s">
        <v>596</v>
      </c>
      <c r="D1323" s="906" t="s">
        <v>1253</v>
      </c>
      <c r="E1323" s="907">
        <f>GLOBAL_DER_FEV_2023!E1323</f>
        <v>0</v>
      </c>
      <c r="F1323" s="908">
        <f>GLOBAL_DER_FEV_2023!F1323</f>
        <v>0</v>
      </c>
      <c r="G1323" s="912">
        <f>GLOBAL_DER_FEV_2023!G1323</f>
        <v>0</v>
      </c>
      <c r="H1323" s="901">
        <f>GLOBAL_DER_FEV_2023!H1323</f>
        <v>55.99</v>
      </c>
      <c r="I1323" s="901">
        <f>GLOBAL_DER_FEV_2023!I1323</f>
        <v>55.99</v>
      </c>
      <c r="J1323" s="902">
        <f>GLOBAL_DER_FEV_2023!J1323</f>
        <v>67.23</v>
      </c>
      <c r="K1323" s="903" t="s">
        <v>1516</v>
      </c>
      <c r="L1323" s="1137"/>
      <c r="M1323" s="1138">
        <f t="shared" si="148"/>
        <v>0</v>
      </c>
      <c r="N1323" s="893">
        <f t="shared" si="152"/>
        <v>0</v>
      </c>
      <c r="O1323" s="905"/>
      <c r="Q1323" s="317" t="str">
        <f t="shared" si="149"/>
        <v/>
      </c>
      <c r="R1323" s="317" t="str">
        <f t="shared" si="150"/>
        <v/>
      </c>
      <c r="S1323" s="317" t="str">
        <f t="shared" si="151"/>
        <v/>
      </c>
      <c r="T1323" s="317" t="str">
        <f>GLOBAL_DER_FEV_2023!S1323</f>
        <v/>
      </c>
      <c r="W1323" s="582">
        <v>0</v>
      </c>
      <c r="X1323" s="580"/>
      <c r="Y1323" s="583">
        <f>IF(GLOBAL_DER_FEV_2023!W1323=0,0,IF(GLOBAL_DER_FEV_2023!W1323&gt;0,"c","b"))</f>
        <v>0</v>
      </c>
    </row>
    <row r="1324" spans="1:25" ht="22.5" x14ac:dyDescent="0.2">
      <c r="A1324" s="317">
        <v>91958</v>
      </c>
      <c r="B1324" s="895">
        <v>91958</v>
      </c>
      <c r="C1324" s="896" t="s">
        <v>596</v>
      </c>
      <c r="D1324" s="906" t="s">
        <v>1254</v>
      </c>
      <c r="E1324" s="907">
        <f>GLOBAL_DER_FEV_2023!E1324</f>
        <v>0</v>
      </c>
      <c r="F1324" s="908">
        <f>GLOBAL_DER_FEV_2023!F1324</f>
        <v>0</v>
      </c>
      <c r="G1324" s="912">
        <f>GLOBAL_DER_FEV_2023!G1324</f>
        <v>0</v>
      </c>
      <c r="H1324" s="901">
        <f>GLOBAL_DER_FEV_2023!H1324</f>
        <v>39.42</v>
      </c>
      <c r="I1324" s="901">
        <f>GLOBAL_DER_FEV_2023!I1324</f>
        <v>39.42</v>
      </c>
      <c r="J1324" s="902">
        <f>GLOBAL_DER_FEV_2023!J1324</f>
        <v>47.33</v>
      </c>
      <c r="K1324" s="903" t="s">
        <v>1516</v>
      </c>
      <c r="L1324" s="1137"/>
      <c r="M1324" s="1138">
        <f t="shared" si="148"/>
        <v>0</v>
      </c>
      <c r="N1324" s="893">
        <f t="shared" si="152"/>
        <v>0</v>
      </c>
      <c r="O1324" s="905"/>
      <c r="Q1324" s="317" t="str">
        <f t="shared" si="149"/>
        <v/>
      </c>
      <c r="R1324" s="317" t="str">
        <f t="shared" si="150"/>
        <v/>
      </c>
      <c r="S1324" s="317" t="str">
        <f t="shared" si="151"/>
        <v/>
      </c>
      <c r="T1324" s="317" t="str">
        <f>GLOBAL_DER_FEV_2023!S1324</f>
        <v/>
      </c>
      <c r="W1324" s="582">
        <v>0</v>
      </c>
      <c r="X1324" s="580"/>
      <c r="Y1324" s="583">
        <f>IF(GLOBAL_DER_FEV_2023!W1324=0,0,IF(GLOBAL_DER_FEV_2023!W1324&gt;0,"c","b"))</f>
        <v>0</v>
      </c>
    </row>
    <row r="1325" spans="1:25" ht="22.5" x14ac:dyDescent="0.2">
      <c r="A1325" s="317">
        <v>91959</v>
      </c>
      <c r="B1325" s="895">
        <v>91959</v>
      </c>
      <c r="C1325" s="896" t="s">
        <v>596</v>
      </c>
      <c r="D1325" s="906" t="s">
        <v>1255</v>
      </c>
      <c r="E1325" s="907">
        <f>GLOBAL_DER_FEV_2023!E1325</f>
        <v>0</v>
      </c>
      <c r="F1325" s="908">
        <f>GLOBAL_DER_FEV_2023!F1325</f>
        <v>0</v>
      </c>
      <c r="G1325" s="912">
        <f>GLOBAL_DER_FEV_2023!G1325</f>
        <v>0</v>
      </c>
      <c r="H1325" s="901">
        <f>GLOBAL_DER_FEV_2023!H1325</f>
        <v>48.65</v>
      </c>
      <c r="I1325" s="901">
        <f>GLOBAL_DER_FEV_2023!I1325</f>
        <v>48.65</v>
      </c>
      <c r="J1325" s="902">
        <f>GLOBAL_DER_FEV_2023!J1325</f>
        <v>58.41</v>
      </c>
      <c r="K1325" s="903" t="s">
        <v>1516</v>
      </c>
      <c r="L1325" s="1137"/>
      <c r="M1325" s="1138">
        <f t="shared" si="148"/>
        <v>0</v>
      </c>
      <c r="N1325" s="893">
        <f t="shared" si="152"/>
        <v>0</v>
      </c>
      <c r="O1325" s="905"/>
      <c r="Q1325" s="317" t="str">
        <f t="shared" si="149"/>
        <v/>
      </c>
      <c r="R1325" s="317" t="str">
        <f t="shared" si="150"/>
        <v/>
      </c>
      <c r="S1325" s="317" t="str">
        <f t="shared" si="151"/>
        <v/>
      </c>
      <c r="T1325" s="317" t="str">
        <f>GLOBAL_DER_FEV_2023!S1325</f>
        <v/>
      </c>
      <c r="W1325" s="582">
        <v>0</v>
      </c>
      <c r="X1325" s="580"/>
      <c r="Y1325" s="583">
        <f>IF(GLOBAL_DER_FEV_2023!W1325=0,0,IF(GLOBAL_DER_FEV_2023!W1325&gt;0,"c","b"))</f>
        <v>0</v>
      </c>
    </row>
    <row r="1326" spans="1:25" ht="22.5" x14ac:dyDescent="0.2">
      <c r="A1326" s="317">
        <v>91962</v>
      </c>
      <c r="B1326" s="895">
        <v>91962</v>
      </c>
      <c r="C1326" s="896" t="s">
        <v>596</v>
      </c>
      <c r="D1326" s="906" t="s">
        <v>1256</v>
      </c>
      <c r="E1326" s="907">
        <f>GLOBAL_DER_FEV_2023!E1326</f>
        <v>0</v>
      </c>
      <c r="F1326" s="908">
        <f>GLOBAL_DER_FEV_2023!F1326</f>
        <v>0</v>
      </c>
      <c r="G1326" s="912">
        <f>GLOBAL_DER_FEV_2023!G1326</f>
        <v>0</v>
      </c>
      <c r="H1326" s="901">
        <f>GLOBAL_DER_FEV_2023!H1326</f>
        <v>72.069999999999993</v>
      </c>
      <c r="I1326" s="901">
        <f>GLOBAL_DER_FEV_2023!I1326</f>
        <v>72.069999999999993</v>
      </c>
      <c r="J1326" s="902">
        <f>GLOBAL_DER_FEV_2023!J1326</f>
        <v>86.53</v>
      </c>
      <c r="K1326" s="903" t="s">
        <v>1516</v>
      </c>
      <c r="L1326" s="1137"/>
      <c r="M1326" s="1138">
        <f t="shared" si="148"/>
        <v>0</v>
      </c>
      <c r="N1326" s="893">
        <f t="shared" si="152"/>
        <v>0</v>
      </c>
      <c r="O1326" s="905"/>
      <c r="Q1326" s="317" t="str">
        <f t="shared" si="149"/>
        <v/>
      </c>
      <c r="R1326" s="317" t="str">
        <f t="shared" si="150"/>
        <v/>
      </c>
      <c r="S1326" s="317" t="str">
        <f t="shared" si="151"/>
        <v/>
      </c>
      <c r="T1326" s="317" t="str">
        <f>GLOBAL_DER_FEV_2023!S1326</f>
        <v/>
      </c>
      <c r="W1326" s="582">
        <v>0</v>
      </c>
      <c r="X1326" s="580"/>
      <c r="Y1326" s="583">
        <f>IF(GLOBAL_DER_FEV_2023!W1326=0,0,IF(GLOBAL_DER_FEV_2023!W1326&gt;0,"c","b"))</f>
        <v>0</v>
      </c>
    </row>
    <row r="1327" spans="1:25" ht="22.5" x14ac:dyDescent="0.2">
      <c r="A1327" s="317">
        <v>91963</v>
      </c>
      <c r="B1327" s="895">
        <v>91963</v>
      </c>
      <c r="C1327" s="896" t="s">
        <v>596</v>
      </c>
      <c r="D1327" s="906" t="s">
        <v>1257</v>
      </c>
      <c r="E1327" s="907">
        <f>GLOBAL_DER_FEV_2023!E1327</f>
        <v>0</v>
      </c>
      <c r="F1327" s="908">
        <f>GLOBAL_DER_FEV_2023!F1327</f>
        <v>0</v>
      </c>
      <c r="G1327" s="912">
        <f>GLOBAL_DER_FEV_2023!G1327</f>
        <v>0</v>
      </c>
      <c r="H1327" s="901">
        <f>GLOBAL_DER_FEV_2023!H1327</f>
        <v>81.3</v>
      </c>
      <c r="I1327" s="901">
        <f>GLOBAL_DER_FEV_2023!I1327</f>
        <v>81.3</v>
      </c>
      <c r="J1327" s="902">
        <f>GLOBAL_DER_FEV_2023!J1327</f>
        <v>97.62</v>
      </c>
      <c r="K1327" s="903" t="s">
        <v>1516</v>
      </c>
      <c r="L1327" s="1137"/>
      <c r="M1327" s="1138">
        <f t="shared" si="148"/>
        <v>0</v>
      </c>
      <c r="N1327" s="893">
        <f t="shared" si="152"/>
        <v>0</v>
      </c>
      <c r="O1327" s="905"/>
      <c r="Q1327" s="317" t="str">
        <f t="shared" si="149"/>
        <v/>
      </c>
      <c r="R1327" s="317" t="str">
        <f t="shared" si="150"/>
        <v/>
      </c>
      <c r="S1327" s="317" t="str">
        <f t="shared" si="151"/>
        <v/>
      </c>
      <c r="T1327" s="317" t="str">
        <f>GLOBAL_DER_FEV_2023!S1327</f>
        <v/>
      </c>
      <c r="W1327" s="582">
        <v>0</v>
      </c>
      <c r="X1327" s="580"/>
      <c r="Y1327" s="583">
        <f>IF(GLOBAL_DER_FEV_2023!W1327=0,0,IF(GLOBAL_DER_FEV_2023!W1327&gt;0,"c","b"))</f>
        <v>0</v>
      </c>
    </row>
    <row r="1328" spans="1:25" ht="22.5" x14ac:dyDescent="0.2">
      <c r="A1328" s="317">
        <v>91964</v>
      </c>
      <c r="B1328" s="895">
        <v>91964</v>
      </c>
      <c r="C1328" s="896" t="s">
        <v>596</v>
      </c>
      <c r="D1328" s="906" t="s">
        <v>1258</v>
      </c>
      <c r="E1328" s="907">
        <f>GLOBAL_DER_FEV_2023!E1328</f>
        <v>0</v>
      </c>
      <c r="F1328" s="908">
        <f>GLOBAL_DER_FEV_2023!F1328</f>
        <v>0</v>
      </c>
      <c r="G1328" s="912">
        <f>GLOBAL_DER_FEV_2023!G1328</f>
        <v>0</v>
      </c>
      <c r="H1328" s="901">
        <f>GLOBAL_DER_FEV_2023!H1328</f>
        <v>64.66</v>
      </c>
      <c r="I1328" s="901">
        <f>GLOBAL_DER_FEV_2023!I1328</f>
        <v>64.66</v>
      </c>
      <c r="J1328" s="902">
        <f>GLOBAL_DER_FEV_2023!J1328</f>
        <v>77.64</v>
      </c>
      <c r="K1328" s="903" t="s">
        <v>1516</v>
      </c>
      <c r="L1328" s="1137"/>
      <c r="M1328" s="1138">
        <f t="shared" si="148"/>
        <v>0</v>
      </c>
      <c r="N1328" s="893">
        <f t="shared" si="152"/>
        <v>0</v>
      </c>
      <c r="O1328" s="905"/>
      <c r="Q1328" s="317" t="str">
        <f t="shared" si="149"/>
        <v/>
      </c>
      <c r="R1328" s="317" t="str">
        <f t="shared" si="150"/>
        <v/>
      </c>
      <c r="S1328" s="317" t="str">
        <f t="shared" si="151"/>
        <v/>
      </c>
      <c r="T1328" s="317" t="str">
        <f>GLOBAL_DER_FEV_2023!S1328</f>
        <v/>
      </c>
      <c r="W1328" s="582">
        <v>0</v>
      </c>
      <c r="X1328" s="580"/>
      <c r="Y1328" s="583">
        <f>IF(GLOBAL_DER_FEV_2023!W1328=0,0,IF(GLOBAL_DER_FEV_2023!W1328&gt;0,"c","b"))</f>
        <v>0</v>
      </c>
    </row>
    <row r="1329" spans="1:25" ht="22.5" x14ac:dyDescent="0.2">
      <c r="A1329" s="317">
        <v>91965</v>
      </c>
      <c r="B1329" s="895">
        <v>91965</v>
      </c>
      <c r="C1329" s="896" t="s">
        <v>596</v>
      </c>
      <c r="D1329" s="906" t="s">
        <v>1259</v>
      </c>
      <c r="E1329" s="907">
        <f>GLOBAL_DER_FEV_2023!E1329</f>
        <v>0</v>
      </c>
      <c r="F1329" s="908">
        <f>GLOBAL_DER_FEV_2023!F1329</f>
        <v>0</v>
      </c>
      <c r="G1329" s="912">
        <f>GLOBAL_DER_FEV_2023!G1329</f>
        <v>0</v>
      </c>
      <c r="H1329" s="901">
        <f>GLOBAL_DER_FEV_2023!H1329</f>
        <v>73.89</v>
      </c>
      <c r="I1329" s="901">
        <f>GLOBAL_DER_FEV_2023!I1329</f>
        <v>73.89</v>
      </c>
      <c r="J1329" s="902">
        <f>GLOBAL_DER_FEV_2023!J1329</f>
        <v>88.72</v>
      </c>
      <c r="K1329" s="903" t="s">
        <v>1516</v>
      </c>
      <c r="L1329" s="1137"/>
      <c r="M1329" s="1138">
        <f t="shared" si="148"/>
        <v>0</v>
      </c>
      <c r="N1329" s="893">
        <f t="shared" si="152"/>
        <v>0</v>
      </c>
      <c r="O1329" s="905"/>
      <c r="Q1329" s="317" t="str">
        <f t="shared" si="149"/>
        <v/>
      </c>
      <c r="R1329" s="317" t="str">
        <f t="shared" si="150"/>
        <v/>
      </c>
      <c r="S1329" s="317" t="str">
        <f t="shared" si="151"/>
        <v/>
      </c>
      <c r="T1329" s="317" t="str">
        <f>GLOBAL_DER_FEV_2023!S1329</f>
        <v/>
      </c>
      <c r="W1329" s="582">
        <v>0</v>
      </c>
      <c r="X1329" s="580"/>
      <c r="Y1329" s="583">
        <f>IF(GLOBAL_DER_FEV_2023!W1329=0,0,IF(GLOBAL_DER_FEV_2023!W1329&gt;0,"c","b"))</f>
        <v>0</v>
      </c>
    </row>
    <row r="1330" spans="1:25" ht="22.5" x14ac:dyDescent="0.2">
      <c r="A1330" s="317">
        <v>91966</v>
      </c>
      <c r="B1330" s="895">
        <v>91966</v>
      </c>
      <c r="C1330" s="896" t="s">
        <v>596</v>
      </c>
      <c r="D1330" s="906" t="s">
        <v>1260</v>
      </c>
      <c r="E1330" s="907">
        <f>GLOBAL_DER_FEV_2023!E1330</f>
        <v>0</v>
      </c>
      <c r="F1330" s="908">
        <f>GLOBAL_DER_FEV_2023!F1330</f>
        <v>0</v>
      </c>
      <c r="G1330" s="912">
        <f>GLOBAL_DER_FEV_2023!G1330</f>
        <v>0</v>
      </c>
      <c r="H1330" s="901">
        <f>GLOBAL_DER_FEV_2023!H1330</f>
        <v>57.32</v>
      </c>
      <c r="I1330" s="901">
        <f>GLOBAL_DER_FEV_2023!I1330</f>
        <v>57.32</v>
      </c>
      <c r="J1330" s="902">
        <f>GLOBAL_DER_FEV_2023!J1330</f>
        <v>68.819999999999993</v>
      </c>
      <c r="K1330" s="903" t="s">
        <v>1516</v>
      </c>
      <c r="L1330" s="1137"/>
      <c r="M1330" s="1138">
        <f t="shared" si="148"/>
        <v>0</v>
      </c>
      <c r="N1330" s="893">
        <f t="shared" si="152"/>
        <v>0</v>
      </c>
      <c r="O1330" s="905"/>
      <c r="Q1330" s="317" t="str">
        <f t="shared" si="149"/>
        <v/>
      </c>
      <c r="R1330" s="317" t="str">
        <f t="shared" si="150"/>
        <v/>
      </c>
      <c r="S1330" s="317" t="str">
        <f t="shared" si="151"/>
        <v/>
      </c>
      <c r="T1330" s="317" t="str">
        <f>GLOBAL_DER_FEV_2023!S1330</f>
        <v/>
      </c>
      <c r="W1330" s="582">
        <v>0</v>
      </c>
      <c r="X1330" s="580"/>
      <c r="Y1330" s="583">
        <f>IF(GLOBAL_DER_FEV_2023!W1330=0,0,IF(GLOBAL_DER_FEV_2023!W1330&gt;0,"c","b"))</f>
        <v>0</v>
      </c>
    </row>
    <row r="1331" spans="1:25" ht="22.5" x14ac:dyDescent="0.2">
      <c r="A1331" s="317">
        <v>91967</v>
      </c>
      <c r="B1331" s="895">
        <v>91967</v>
      </c>
      <c r="C1331" s="896" t="s">
        <v>596</v>
      </c>
      <c r="D1331" s="906" t="s">
        <v>1261</v>
      </c>
      <c r="E1331" s="907">
        <f>GLOBAL_DER_FEV_2023!E1331</f>
        <v>0</v>
      </c>
      <c r="F1331" s="908">
        <f>GLOBAL_DER_FEV_2023!F1331</f>
        <v>0</v>
      </c>
      <c r="G1331" s="912">
        <f>GLOBAL_DER_FEV_2023!G1331</f>
        <v>0</v>
      </c>
      <c r="H1331" s="901">
        <f>GLOBAL_DER_FEV_2023!H1331</f>
        <v>66.55</v>
      </c>
      <c r="I1331" s="901">
        <f>GLOBAL_DER_FEV_2023!I1331</f>
        <v>66.55</v>
      </c>
      <c r="J1331" s="902">
        <f>GLOBAL_DER_FEV_2023!J1331</f>
        <v>79.91</v>
      </c>
      <c r="K1331" s="903" t="s">
        <v>1516</v>
      </c>
      <c r="L1331" s="1137"/>
      <c r="M1331" s="1138">
        <f t="shared" si="148"/>
        <v>0</v>
      </c>
      <c r="N1331" s="893">
        <f t="shared" si="152"/>
        <v>0</v>
      </c>
      <c r="O1331" s="905"/>
      <c r="Q1331" s="317" t="str">
        <f t="shared" si="149"/>
        <v/>
      </c>
      <c r="R1331" s="317" t="str">
        <f t="shared" si="150"/>
        <v/>
      </c>
      <c r="S1331" s="317" t="str">
        <f t="shared" si="151"/>
        <v/>
      </c>
      <c r="T1331" s="317" t="str">
        <f>GLOBAL_DER_FEV_2023!S1331</f>
        <v/>
      </c>
      <c r="W1331" s="582">
        <v>0</v>
      </c>
      <c r="X1331" s="580"/>
      <c r="Y1331" s="583">
        <f>IF(GLOBAL_DER_FEV_2023!W1331=0,0,IF(GLOBAL_DER_FEV_2023!W1331&gt;0,"c","b"))</f>
        <v>0</v>
      </c>
    </row>
    <row r="1332" spans="1:25" ht="22.5" x14ac:dyDescent="0.2">
      <c r="A1332" s="317">
        <v>91970</v>
      </c>
      <c r="B1332" s="895">
        <v>91970</v>
      </c>
      <c r="C1332" s="896" t="s">
        <v>596</v>
      </c>
      <c r="D1332" s="906" t="s">
        <v>1262</v>
      </c>
      <c r="E1332" s="907">
        <f>GLOBAL_DER_FEV_2023!E1332</f>
        <v>0</v>
      </c>
      <c r="F1332" s="908">
        <f>GLOBAL_DER_FEV_2023!F1332</f>
        <v>0</v>
      </c>
      <c r="G1332" s="912">
        <f>GLOBAL_DER_FEV_2023!G1332</f>
        <v>0</v>
      </c>
      <c r="H1332" s="901">
        <f>GLOBAL_DER_FEV_2023!H1332</f>
        <v>83</v>
      </c>
      <c r="I1332" s="901">
        <f>GLOBAL_DER_FEV_2023!I1332</f>
        <v>83</v>
      </c>
      <c r="J1332" s="902">
        <f>GLOBAL_DER_FEV_2023!J1332</f>
        <v>99.66</v>
      </c>
      <c r="K1332" s="903" t="s">
        <v>1516</v>
      </c>
      <c r="L1332" s="1137"/>
      <c r="M1332" s="1138">
        <f t="shared" si="148"/>
        <v>0</v>
      </c>
      <c r="N1332" s="893">
        <f t="shared" si="152"/>
        <v>0</v>
      </c>
      <c r="O1332" s="905"/>
      <c r="Q1332" s="317" t="str">
        <f t="shared" si="149"/>
        <v/>
      </c>
      <c r="R1332" s="317" t="str">
        <f t="shared" si="150"/>
        <v/>
      </c>
      <c r="S1332" s="317" t="str">
        <f t="shared" si="151"/>
        <v/>
      </c>
      <c r="T1332" s="317" t="str">
        <f>GLOBAL_DER_FEV_2023!S1332</f>
        <v/>
      </c>
      <c r="W1332" s="582">
        <v>0</v>
      </c>
      <c r="X1332" s="580"/>
      <c r="Y1332" s="583">
        <f>IF(GLOBAL_DER_FEV_2023!W1332=0,0,IF(GLOBAL_DER_FEV_2023!W1332&gt;0,"c","b"))</f>
        <v>0</v>
      </c>
    </row>
    <row r="1333" spans="1:25" ht="22.5" x14ac:dyDescent="0.2">
      <c r="A1333" s="317">
        <v>91971</v>
      </c>
      <c r="B1333" s="895">
        <v>91971</v>
      </c>
      <c r="C1333" s="896" t="s">
        <v>596</v>
      </c>
      <c r="D1333" s="906" t="s">
        <v>1263</v>
      </c>
      <c r="E1333" s="907">
        <f>GLOBAL_DER_FEV_2023!E1333</f>
        <v>0</v>
      </c>
      <c r="F1333" s="908">
        <f>GLOBAL_DER_FEV_2023!F1333</f>
        <v>0</v>
      </c>
      <c r="G1333" s="912">
        <f>GLOBAL_DER_FEV_2023!G1333</f>
        <v>0</v>
      </c>
      <c r="H1333" s="901">
        <f>GLOBAL_DER_FEV_2023!H1333</f>
        <v>97.58</v>
      </c>
      <c r="I1333" s="901">
        <f>GLOBAL_DER_FEV_2023!I1333</f>
        <v>97.58</v>
      </c>
      <c r="J1333" s="902">
        <f>GLOBAL_DER_FEV_2023!J1333</f>
        <v>117.16</v>
      </c>
      <c r="K1333" s="903" t="s">
        <v>1516</v>
      </c>
      <c r="L1333" s="1137"/>
      <c r="M1333" s="1138">
        <f t="shared" si="148"/>
        <v>0</v>
      </c>
      <c r="N1333" s="893">
        <f t="shared" si="152"/>
        <v>0</v>
      </c>
      <c r="O1333" s="905"/>
      <c r="Q1333" s="317" t="str">
        <f t="shared" si="149"/>
        <v/>
      </c>
      <c r="R1333" s="317" t="str">
        <f t="shared" si="150"/>
        <v/>
      </c>
      <c r="S1333" s="317" t="str">
        <f t="shared" si="151"/>
        <v/>
      </c>
      <c r="T1333" s="317" t="str">
        <f>GLOBAL_DER_FEV_2023!S1333</f>
        <v/>
      </c>
      <c r="W1333" s="582">
        <v>0</v>
      </c>
      <c r="X1333" s="580"/>
      <c r="Y1333" s="583">
        <f>IF(GLOBAL_DER_FEV_2023!W1333=0,0,IF(GLOBAL_DER_FEV_2023!W1333&gt;0,"c","b"))</f>
        <v>0</v>
      </c>
    </row>
    <row r="1334" spans="1:25" ht="22.5" x14ac:dyDescent="0.2">
      <c r="A1334" s="317">
        <v>91972</v>
      </c>
      <c r="B1334" s="895">
        <v>91972</v>
      </c>
      <c r="C1334" s="896" t="s">
        <v>596</v>
      </c>
      <c r="D1334" s="906" t="s">
        <v>1264</v>
      </c>
      <c r="E1334" s="907">
        <f>GLOBAL_DER_FEV_2023!E1334</f>
        <v>0</v>
      </c>
      <c r="F1334" s="908">
        <f>GLOBAL_DER_FEV_2023!F1334</f>
        <v>0</v>
      </c>
      <c r="G1334" s="912">
        <f>GLOBAL_DER_FEV_2023!G1334</f>
        <v>0</v>
      </c>
      <c r="H1334" s="901">
        <f>GLOBAL_DER_FEV_2023!H1334</f>
        <v>90.4</v>
      </c>
      <c r="I1334" s="901">
        <f>GLOBAL_DER_FEV_2023!I1334</f>
        <v>90.4</v>
      </c>
      <c r="J1334" s="902">
        <f>GLOBAL_DER_FEV_2023!J1334</f>
        <v>108.54</v>
      </c>
      <c r="K1334" s="903" t="s">
        <v>1516</v>
      </c>
      <c r="L1334" s="1137"/>
      <c r="M1334" s="1138">
        <f t="shared" si="148"/>
        <v>0</v>
      </c>
      <c r="N1334" s="893">
        <f t="shared" si="152"/>
        <v>0</v>
      </c>
      <c r="O1334" s="905"/>
      <c r="Q1334" s="317" t="str">
        <f t="shared" si="149"/>
        <v/>
      </c>
      <c r="R1334" s="317" t="str">
        <f t="shared" si="150"/>
        <v/>
      </c>
      <c r="S1334" s="317" t="str">
        <f t="shared" si="151"/>
        <v/>
      </c>
      <c r="T1334" s="317" t="str">
        <f>GLOBAL_DER_FEV_2023!S1334</f>
        <v/>
      </c>
      <c r="W1334" s="582">
        <v>0</v>
      </c>
      <c r="X1334" s="580"/>
      <c r="Y1334" s="583">
        <f>IF(GLOBAL_DER_FEV_2023!W1334=0,0,IF(GLOBAL_DER_FEV_2023!W1334&gt;0,"c","b"))</f>
        <v>0</v>
      </c>
    </row>
    <row r="1335" spans="1:25" ht="22.5" x14ac:dyDescent="0.2">
      <c r="A1335" s="317">
        <v>91973</v>
      </c>
      <c r="B1335" s="895">
        <v>91973</v>
      </c>
      <c r="C1335" s="896" t="s">
        <v>596</v>
      </c>
      <c r="D1335" s="906" t="s">
        <v>1265</v>
      </c>
      <c r="E1335" s="907">
        <f>GLOBAL_DER_FEV_2023!E1335</f>
        <v>0</v>
      </c>
      <c r="F1335" s="908">
        <f>GLOBAL_DER_FEV_2023!F1335</f>
        <v>0</v>
      </c>
      <c r="G1335" s="912">
        <f>GLOBAL_DER_FEV_2023!G1335</f>
        <v>0</v>
      </c>
      <c r="H1335" s="901">
        <f>GLOBAL_DER_FEV_2023!H1335</f>
        <v>104.98</v>
      </c>
      <c r="I1335" s="901">
        <f>GLOBAL_DER_FEV_2023!I1335</f>
        <v>104.98</v>
      </c>
      <c r="J1335" s="902">
        <f>GLOBAL_DER_FEV_2023!J1335</f>
        <v>126.05</v>
      </c>
      <c r="K1335" s="903" t="s">
        <v>1516</v>
      </c>
      <c r="L1335" s="1137"/>
      <c r="M1335" s="1138">
        <f t="shared" si="148"/>
        <v>0</v>
      </c>
      <c r="N1335" s="893">
        <f t="shared" si="152"/>
        <v>0</v>
      </c>
      <c r="O1335" s="905"/>
      <c r="Q1335" s="317" t="str">
        <f t="shared" si="149"/>
        <v/>
      </c>
      <c r="R1335" s="317" t="str">
        <f t="shared" si="150"/>
        <v/>
      </c>
      <c r="S1335" s="317" t="str">
        <f t="shared" si="151"/>
        <v/>
      </c>
      <c r="T1335" s="317" t="str">
        <f>GLOBAL_DER_FEV_2023!S1335</f>
        <v/>
      </c>
      <c r="W1335" s="582">
        <v>0</v>
      </c>
      <c r="X1335" s="580"/>
      <c r="Y1335" s="583">
        <f>IF(GLOBAL_DER_FEV_2023!W1335=0,0,IF(GLOBAL_DER_FEV_2023!W1335&gt;0,"c","b"))</f>
        <v>0</v>
      </c>
    </row>
    <row r="1336" spans="1:25" ht="22.5" x14ac:dyDescent="0.2">
      <c r="A1336" s="317">
        <v>91974</v>
      </c>
      <c r="B1336" s="895">
        <v>91974</v>
      </c>
      <c r="C1336" s="896" t="s">
        <v>596</v>
      </c>
      <c r="D1336" s="906" t="s">
        <v>1266</v>
      </c>
      <c r="E1336" s="907">
        <f>GLOBAL_DER_FEV_2023!E1336</f>
        <v>0</v>
      </c>
      <c r="F1336" s="908">
        <f>GLOBAL_DER_FEV_2023!F1336</f>
        <v>0</v>
      </c>
      <c r="G1336" s="912">
        <f>GLOBAL_DER_FEV_2023!G1336</f>
        <v>0</v>
      </c>
      <c r="H1336" s="901">
        <f>GLOBAL_DER_FEV_2023!H1336</f>
        <v>75.599999999999994</v>
      </c>
      <c r="I1336" s="901">
        <f>GLOBAL_DER_FEV_2023!I1336</f>
        <v>75.599999999999994</v>
      </c>
      <c r="J1336" s="902">
        <f>GLOBAL_DER_FEV_2023!J1336</f>
        <v>90.77</v>
      </c>
      <c r="K1336" s="903" t="s">
        <v>1516</v>
      </c>
      <c r="L1336" s="1137"/>
      <c r="M1336" s="1138">
        <f t="shared" si="148"/>
        <v>0</v>
      </c>
      <c r="N1336" s="893">
        <f t="shared" si="152"/>
        <v>0</v>
      </c>
      <c r="O1336" s="905"/>
      <c r="Q1336" s="317" t="str">
        <f t="shared" si="149"/>
        <v/>
      </c>
      <c r="R1336" s="317" t="str">
        <f t="shared" si="150"/>
        <v/>
      </c>
      <c r="S1336" s="317" t="str">
        <f t="shared" si="151"/>
        <v/>
      </c>
      <c r="T1336" s="317" t="str">
        <f>GLOBAL_DER_FEV_2023!S1336</f>
        <v/>
      </c>
      <c r="W1336" s="582">
        <v>0</v>
      </c>
      <c r="X1336" s="580"/>
      <c r="Y1336" s="583">
        <f>IF(GLOBAL_DER_FEV_2023!W1336=0,0,IF(GLOBAL_DER_FEV_2023!W1336&gt;0,"c","b"))</f>
        <v>0</v>
      </c>
    </row>
    <row r="1337" spans="1:25" ht="22.5" x14ac:dyDescent="0.2">
      <c r="A1337" s="317">
        <v>91975</v>
      </c>
      <c r="B1337" s="895">
        <v>91975</v>
      </c>
      <c r="C1337" s="896" t="s">
        <v>596</v>
      </c>
      <c r="D1337" s="906" t="s">
        <v>1267</v>
      </c>
      <c r="E1337" s="907">
        <f>GLOBAL_DER_FEV_2023!E1337</f>
        <v>0</v>
      </c>
      <c r="F1337" s="908">
        <f>GLOBAL_DER_FEV_2023!F1337</f>
        <v>0</v>
      </c>
      <c r="G1337" s="912">
        <f>GLOBAL_DER_FEV_2023!G1337</f>
        <v>0</v>
      </c>
      <c r="H1337" s="901">
        <f>GLOBAL_DER_FEV_2023!H1337</f>
        <v>90.18</v>
      </c>
      <c r="I1337" s="901">
        <f>GLOBAL_DER_FEV_2023!I1337</f>
        <v>90.18</v>
      </c>
      <c r="J1337" s="902">
        <f>GLOBAL_DER_FEV_2023!J1337</f>
        <v>108.28</v>
      </c>
      <c r="K1337" s="903" t="s">
        <v>1516</v>
      </c>
      <c r="L1337" s="1137"/>
      <c r="M1337" s="1138">
        <f t="shared" si="148"/>
        <v>0</v>
      </c>
      <c r="N1337" s="893">
        <f t="shared" si="152"/>
        <v>0</v>
      </c>
      <c r="O1337" s="905"/>
      <c r="Q1337" s="317" t="str">
        <f t="shared" si="149"/>
        <v/>
      </c>
      <c r="R1337" s="317" t="str">
        <f t="shared" si="150"/>
        <v/>
      </c>
      <c r="S1337" s="317" t="str">
        <f t="shared" si="151"/>
        <v/>
      </c>
      <c r="T1337" s="317" t="str">
        <f>GLOBAL_DER_FEV_2023!S1337</f>
        <v/>
      </c>
      <c r="W1337" s="582">
        <v>0</v>
      </c>
      <c r="X1337" s="580"/>
      <c r="Y1337" s="583">
        <f>IF(GLOBAL_DER_FEV_2023!W1337=0,0,IF(GLOBAL_DER_FEV_2023!W1337&gt;0,"c","b"))</f>
        <v>0</v>
      </c>
    </row>
    <row r="1338" spans="1:25" ht="22.5" x14ac:dyDescent="0.2">
      <c r="A1338" s="317">
        <v>91976</v>
      </c>
      <c r="B1338" s="895">
        <v>91976</v>
      </c>
      <c r="C1338" s="896" t="s">
        <v>596</v>
      </c>
      <c r="D1338" s="906" t="s">
        <v>1268</v>
      </c>
      <c r="E1338" s="907">
        <f>GLOBAL_DER_FEV_2023!E1338</f>
        <v>0</v>
      </c>
      <c r="F1338" s="908">
        <f>GLOBAL_DER_FEV_2023!F1338</f>
        <v>0</v>
      </c>
      <c r="G1338" s="912">
        <f>GLOBAL_DER_FEV_2023!G1338</f>
        <v>0</v>
      </c>
      <c r="H1338" s="901">
        <f>GLOBAL_DER_FEV_2023!H1338</f>
        <v>111.54</v>
      </c>
      <c r="I1338" s="901">
        <f>GLOBAL_DER_FEV_2023!I1338</f>
        <v>111.54</v>
      </c>
      <c r="J1338" s="902">
        <f>GLOBAL_DER_FEV_2023!J1338</f>
        <v>133.93</v>
      </c>
      <c r="K1338" s="903" t="s">
        <v>1516</v>
      </c>
      <c r="L1338" s="1137"/>
      <c r="M1338" s="1138">
        <f t="shared" si="148"/>
        <v>0</v>
      </c>
      <c r="N1338" s="893">
        <f t="shared" si="152"/>
        <v>0</v>
      </c>
      <c r="O1338" s="905"/>
      <c r="Q1338" s="317" t="str">
        <f t="shared" si="149"/>
        <v/>
      </c>
      <c r="R1338" s="317" t="str">
        <f t="shared" si="150"/>
        <v/>
      </c>
      <c r="S1338" s="317" t="str">
        <f t="shared" si="151"/>
        <v/>
      </c>
      <c r="T1338" s="317" t="str">
        <f>GLOBAL_DER_FEV_2023!S1338</f>
        <v/>
      </c>
      <c r="W1338" s="582">
        <v>0</v>
      </c>
      <c r="X1338" s="580"/>
      <c r="Y1338" s="583">
        <f>IF(GLOBAL_DER_FEV_2023!W1338=0,0,IF(GLOBAL_DER_FEV_2023!W1338&gt;0,"c","b"))</f>
        <v>0</v>
      </c>
    </row>
    <row r="1339" spans="1:25" ht="22.5" x14ac:dyDescent="0.2">
      <c r="A1339" s="317">
        <v>91977</v>
      </c>
      <c r="B1339" s="895">
        <v>91977</v>
      </c>
      <c r="C1339" s="896" t="s">
        <v>596</v>
      </c>
      <c r="D1339" s="906" t="s">
        <v>1269</v>
      </c>
      <c r="E1339" s="907">
        <f>GLOBAL_DER_FEV_2023!E1339</f>
        <v>0</v>
      </c>
      <c r="F1339" s="908">
        <f>GLOBAL_DER_FEV_2023!F1339</f>
        <v>0</v>
      </c>
      <c r="G1339" s="912">
        <f>GLOBAL_DER_FEV_2023!G1339</f>
        <v>0</v>
      </c>
      <c r="H1339" s="901">
        <f>GLOBAL_DER_FEV_2023!H1339</f>
        <v>126.12</v>
      </c>
      <c r="I1339" s="901">
        <f>GLOBAL_DER_FEV_2023!I1339</f>
        <v>126.12</v>
      </c>
      <c r="J1339" s="902">
        <f>GLOBAL_DER_FEV_2023!J1339</f>
        <v>151.43</v>
      </c>
      <c r="K1339" s="903" t="s">
        <v>1516</v>
      </c>
      <c r="L1339" s="1137"/>
      <c r="M1339" s="1138">
        <f t="shared" si="148"/>
        <v>0</v>
      </c>
      <c r="N1339" s="893">
        <f t="shared" si="152"/>
        <v>0</v>
      </c>
      <c r="O1339" s="905"/>
      <c r="Q1339" s="317" t="str">
        <f t="shared" si="149"/>
        <v/>
      </c>
      <c r="R1339" s="317" t="str">
        <f t="shared" si="150"/>
        <v/>
      </c>
      <c r="S1339" s="317" t="str">
        <f t="shared" si="151"/>
        <v/>
      </c>
      <c r="T1339" s="317" t="str">
        <f>GLOBAL_DER_FEV_2023!S1339</f>
        <v/>
      </c>
      <c r="W1339" s="582">
        <v>0</v>
      </c>
      <c r="X1339" s="580"/>
      <c r="Y1339" s="583">
        <f>IF(GLOBAL_DER_FEV_2023!W1339=0,0,IF(GLOBAL_DER_FEV_2023!W1339&gt;0,"c","b"))</f>
        <v>0</v>
      </c>
    </row>
    <row r="1340" spans="1:25" ht="22.5" x14ac:dyDescent="0.2">
      <c r="A1340" s="317">
        <v>92022</v>
      </c>
      <c r="B1340" s="895">
        <v>92022</v>
      </c>
      <c r="C1340" s="896" t="s">
        <v>596</v>
      </c>
      <c r="D1340" s="906" t="s">
        <v>1270</v>
      </c>
      <c r="E1340" s="907">
        <f>GLOBAL_DER_FEV_2023!E1340</f>
        <v>0</v>
      </c>
      <c r="F1340" s="908">
        <f>GLOBAL_DER_FEV_2023!F1340</f>
        <v>0</v>
      </c>
      <c r="G1340" s="912">
        <f>GLOBAL_DER_FEV_2023!G1340</f>
        <v>0</v>
      </c>
      <c r="H1340" s="901">
        <f>GLOBAL_DER_FEV_2023!H1340</f>
        <v>45.44</v>
      </c>
      <c r="I1340" s="901">
        <f>GLOBAL_DER_FEV_2023!I1340</f>
        <v>45.44</v>
      </c>
      <c r="J1340" s="902">
        <f>GLOBAL_DER_FEV_2023!J1340</f>
        <v>54.56</v>
      </c>
      <c r="K1340" s="903" t="s">
        <v>1516</v>
      </c>
      <c r="L1340" s="1137"/>
      <c r="M1340" s="1138">
        <f t="shared" si="148"/>
        <v>0</v>
      </c>
      <c r="N1340" s="893">
        <f t="shared" si="152"/>
        <v>0</v>
      </c>
      <c r="O1340" s="905"/>
      <c r="Q1340" s="317" t="str">
        <f t="shared" si="149"/>
        <v/>
      </c>
      <c r="R1340" s="317" t="str">
        <f t="shared" si="150"/>
        <v/>
      </c>
      <c r="S1340" s="317" t="str">
        <f t="shared" si="151"/>
        <v/>
      </c>
      <c r="T1340" s="317" t="str">
        <f>GLOBAL_DER_FEV_2023!S1340</f>
        <v/>
      </c>
      <c r="W1340" s="582">
        <v>0</v>
      </c>
      <c r="X1340" s="580"/>
      <c r="Y1340" s="583">
        <f>IF(GLOBAL_DER_FEV_2023!W1340=0,0,IF(GLOBAL_DER_FEV_2023!W1340&gt;0,"c","b"))</f>
        <v>0</v>
      </c>
    </row>
    <row r="1341" spans="1:25" ht="22.5" x14ac:dyDescent="0.2">
      <c r="A1341" s="317">
        <v>92023</v>
      </c>
      <c r="B1341" s="895">
        <v>92023</v>
      </c>
      <c r="C1341" s="896" t="s">
        <v>596</v>
      </c>
      <c r="D1341" s="906" t="s">
        <v>1271</v>
      </c>
      <c r="E1341" s="907">
        <f>GLOBAL_DER_FEV_2023!E1341</f>
        <v>0</v>
      </c>
      <c r="F1341" s="908">
        <f>GLOBAL_DER_FEV_2023!F1341</f>
        <v>0</v>
      </c>
      <c r="G1341" s="912">
        <f>GLOBAL_DER_FEV_2023!G1341</f>
        <v>0</v>
      </c>
      <c r="H1341" s="901">
        <f>GLOBAL_DER_FEV_2023!H1341</f>
        <v>54.67</v>
      </c>
      <c r="I1341" s="901">
        <f>GLOBAL_DER_FEV_2023!I1341</f>
        <v>54.67</v>
      </c>
      <c r="J1341" s="902">
        <f>GLOBAL_DER_FEV_2023!J1341</f>
        <v>65.64</v>
      </c>
      <c r="K1341" s="903" t="s">
        <v>1516</v>
      </c>
      <c r="L1341" s="1137"/>
      <c r="M1341" s="1138">
        <f t="shared" si="148"/>
        <v>0</v>
      </c>
      <c r="N1341" s="893">
        <f t="shared" si="152"/>
        <v>0</v>
      </c>
      <c r="O1341" s="905"/>
      <c r="Q1341" s="317" t="str">
        <f t="shared" si="149"/>
        <v/>
      </c>
      <c r="R1341" s="317" t="str">
        <f t="shared" si="150"/>
        <v/>
      </c>
      <c r="S1341" s="317" t="str">
        <f t="shared" si="151"/>
        <v/>
      </c>
      <c r="T1341" s="317" t="str">
        <f>GLOBAL_DER_FEV_2023!S1341</f>
        <v/>
      </c>
      <c r="W1341" s="582">
        <v>0</v>
      </c>
      <c r="X1341" s="580"/>
      <c r="Y1341" s="583">
        <f>IF(GLOBAL_DER_FEV_2023!W1341=0,0,IF(GLOBAL_DER_FEV_2023!W1341&gt;0,"c","b"))</f>
        <v>0</v>
      </c>
    </row>
    <row r="1342" spans="1:25" ht="22.5" x14ac:dyDescent="0.2">
      <c r="A1342" s="317">
        <v>92024</v>
      </c>
      <c r="B1342" s="895">
        <v>92024</v>
      </c>
      <c r="C1342" s="896" t="s">
        <v>596</v>
      </c>
      <c r="D1342" s="906" t="s">
        <v>1272</v>
      </c>
      <c r="E1342" s="907">
        <f>GLOBAL_DER_FEV_2023!E1342</f>
        <v>0</v>
      </c>
      <c r="F1342" s="908">
        <f>GLOBAL_DER_FEV_2023!F1342</f>
        <v>0</v>
      </c>
      <c r="G1342" s="912">
        <f>GLOBAL_DER_FEV_2023!G1342</f>
        <v>0</v>
      </c>
      <c r="H1342" s="901">
        <f>GLOBAL_DER_FEV_2023!H1342</f>
        <v>69.430000000000007</v>
      </c>
      <c r="I1342" s="901">
        <f>GLOBAL_DER_FEV_2023!I1342</f>
        <v>69.430000000000007</v>
      </c>
      <c r="J1342" s="902">
        <f>GLOBAL_DER_FEV_2023!J1342</f>
        <v>83.36</v>
      </c>
      <c r="K1342" s="903" t="s">
        <v>1516</v>
      </c>
      <c r="L1342" s="1137"/>
      <c r="M1342" s="1138">
        <f t="shared" si="148"/>
        <v>0</v>
      </c>
      <c r="N1342" s="893">
        <f t="shared" si="152"/>
        <v>0</v>
      </c>
      <c r="O1342" s="905"/>
      <c r="Q1342" s="317" t="str">
        <f t="shared" si="149"/>
        <v/>
      </c>
      <c r="R1342" s="317" t="str">
        <f t="shared" si="150"/>
        <v/>
      </c>
      <c r="S1342" s="317" t="str">
        <f t="shared" si="151"/>
        <v/>
      </c>
      <c r="T1342" s="317" t="str">
        <f>GLOBAL_DER_FEV_2023!S1342</f>
        <v/>
      </c>
      <c r="W1342" s="582">
        <v>0</v>
      </c>
      <c r="X1342" s="580"/>
      <c r="Y1342" s="583">
        <f>IF(GLOBAL_DER_FEV_2023!W1342=0,0,IF(GLOBAL_DER_FEV_2023!W1342&gt;0,"c","b"))</f>
        <v>0</v>
      </c>
    </row>
    <row r="1343" spans="1:25" ht="22.5" x14ac:dyDescent="0.2">
      <c r="A1343" s="317">
        <v>92025</v>
      </c>
      <c r="B1343" s="895">
        <v>92025</v>
      </c>
      <c r="C1343" s="896" t="s">
        <v>596</v>
      </c>
      <c r="D1343" s="906" t="s">
        <v>1273</v>
      </c>
      <c r="E1343" s="907">
        <f>GLOBAL_DER_FEV_2023!E1343</f>
        <v>0</v>
      </c>
      <c r="F1343" s="908">
        <f>GLOBAL_DER_FEV_2023!F1343</f>
        <v>0</v>
      </c>
      <c r="G1343" s="912">
        <f>GLOBAL_DER_FEV_2023!G1343</f>
        <v>0</v>
      </c>
      <c r="H1343" s="901">
        <f>GLOBAL_DER_FEV_2023!H1343</f>
        <v>78.66</v>
      </c>
      <c r="I1343" s="901">
        <f>GLOBAL_DER_FEV_2023!I1343</f>
        <v>78.66</v>
      </c>
      <c r="J1343" s="902">
        <f>GLOBAL_DER_FEV_2023!J1343</f>
        <v>94.45</v>
      </c>
      <c r="K1343" s="903" t="s">
        <v>1516</v>
      </c>
      <c r="L1343" s="1137"/>
      <c r="M1343" s="1138">
        <f t="shared" si="148"/>
        <v>0</v>
      </c>
      <c r="N1343" s="893">
        <f t="shared" si="152"/>
        <v>0</v>
      </c>
      <c r="O1343" s="905"/>
      <c r="Q1343" s="317" t="str">
        <f t="shared" si="149"/>
        <v/>
      </c>
      <c r="R1343" s="317" t="str">
        <f t="shared" si="150"/>
        <v/>
      </c>
      <c r="S1343" s="317" t="str">
        <f t="shared" si="151"/>
        <v/>
      </c>
      <c r="T1343" s="317" t="str">
        <f>GLOBAL_DER_FEV_2023!S1343</f>
        <v/>
      </c>
      <c r="W1343" s="582">
        <v>0</v>
      </c>
      <c r="X1343" s="580"/>
      <c r="Y1343" s="583">
        <f>IF(GLOBAL_DER_FEV_2023!W1343=0,0,IF(GLOBAL_DER_FEV_2023!W1343&gt;0,"c","b"))</f>
        <v>0</v>
      </c>
    </row>
    <row r="1344" spans="1:25" ht="22.5" x14ac:dyDescent="0.2">
      <c r="A1344" s="317">
        <v>92026</v>
      </c>
      <c r="B1344" s="895">
        <v>92026</v>
      </c>
      <c r="C1344" s="896" t="s">
        <v>596</v>
      </c>
      <c r="D1344" s="906" t="s">
        <v>1274</v>
      </c>
      <c r="E1344" s="907">
        <f>GLOBAL_DER_FEV_2023!E1344</f>
        <v>0</v>
      </c>
      <c r="F1344" s="908">
        <f>GLOBAL_DER_FEV_2023!F1344</f>
        <v>0</v>
      </c>
      <c r="G1344" s="912">
        <f>GLOBAL_DER_FEV_2023!G1344</f>
        <v>0</v>
      </c>
      <c r="H1344" s="901">
        <f>GLOBAL_DER_FEV_2023!H1344</f>
        <v>63.34</v>
      </c>
      <c r="I1344" s="901">
        <f>GLOBAL_DER_FEV_2023!I1344</f>
        <v>63.34</v>
      </c>
      <c r="J1344" s="902">
        <f>GLOBAL_DER_FEV_2023!J1344</f>
        <v>76.05</v>
      </c>
      <c r="K1344" s="903" t="s">
        <v>1516</v>
      </c>
      <c r="L1344" s="1137"/>
      <c r="M1344" s="1138">
        <f t="shared" si="148"/>
        <v>0</v>
      </c>
      <c r="N1344" s="893">
        <f t="shared" si="152"/>
        <v>0</v>
      </c>
      <c r="O1344" s="905"/>
      <c r="Q1344" s="317" t="str">
        <f t="shared" si="149"/>
        <v/>
      </c>
      <c r="R1344" s="317" t="str">
        <f t="shared" si="150"/>
        <v/>
      </c>
      <c r="S1344" s="317" t="str">
        <f t="shared" si="151"/>
        <v/>
      </c>
      <c r="T1344" s="317" t="str">
        <f>GLOBAL_DER_FEV_2023!S1344</f>
        <v/>
      </c>
      <c r="W1344" s="582">
        <v>0</v>
      </c>
      <c r="X1344" s="580"/>
      <c r="Y1344" s="583">
        <f>IF(GLOBAL_DER_FEV_2023!W1344=0,0,IF(GLOBAL_DER_FEV_2023!W1344&gt;0,"c","b"))</f>
        <v>0</v>
      </c>
    </row>
    <row r="1345" spans="1:25" ht="22.5" x14ac:dyDescent="0.2">
      <c r="A1345" s="317">
        <v>92027</v>
      </c>
      <c r="B1345" s="895">
        <v>92027</v>
      </c>
      <c r="C1345" s="896" t="s">
        <v>596</v>
      </c>
      <c r="D1345" s="906" t="s">
        <v>1275</v>
      </c>
      <c r="E1345" s="907">
        <f>GLOBAL_DER_FEV_2023!E1345</f>
        <v>0</v>
      </c>
      <c r="F1345" s="908">
        <f>GLOBAL_DER_FEV_2023!F1345</f>
        <v>0</v>
      </c>
      <c r="G1345" s="912">
        <f>GLOBAL_DER_FEV_2023!G1345</f>
        <v>0</v>
      </c>
      <c r="H1345" s="901">
        <f>GLOBAL_DER_FEV_2023!H1345</f>
        <v>72.569999999999993</v>
      </c>
      <c r="I1345" s="901">
        <f>GLOBAL_DER_FEV_2023!I1345</f>
        <v>72.569999999999993</v>
      </c>
      <c r="J1345" s="902">
        <f>GLOBAL_DER_FEV_2023!J1345</f>
        <v>87.13</v>
      </c>
      <c r="K1345" s="903" t="s">
        <v>1516</v>
      </c>
      <c r="L1345" s="1137"/>
      <c r="M1345" s="1138">
        <f t="shared" si="148"/>
        <v>0</v>
      </c>
      <c r="N1345" s="893">
        <f t="shared" si="152"/>
        <v>0</v>
      </c>
      <c r="O1345" s="905"/>
      <c r="Q1345" s="317" t="str">
        <f t="shared" si="149"/>
        <v/>
      </c>
      <c r="R1345" s="317" t="str">
        <f t="shared" si="150"/>
        <v/>
      </c>
      <c r="S1345" s="317" t="str">
        <f t="shared" si="151"/>
        <v/>
      </c>
      <c r="T1345" s="317" t="str">
        <f>GLOBAL_DER_FEV_2023!S1345</f>
        <v/>
      </c>
      <c r="W1345" s="582">
        <v>0</v>
      </c>
      <c r="X1345" s="580"/>
      <c r="Y1345" s="583">
        <f>IF(GLOBAL_DER_FEV_2023!W1345=0,0,IF(GLOBAL_DER_FEV_2023!W1345&gt;0,"c","b"))</f>
        <v>0</v>
      </c>
    </row>
    <row r="1346" spans="1:25" ht="33.75" x14ac:dyDescent="0.2">
      <c r="A1346" s="317">
        <v>92034</v>
      </c>
      <c r="B1346" s="895">
        <v>92034</v>
      </c>
      <c r="C1346" s="896" t="s">
        <v>596</v>
      </c>
      <c r="D1346" s="906" t="s">
        <v>1276</v>
      </c>
      <c r="E1346" s="907">
        <f>GLOBAL_DER_FEV_2023!E1346</f>
        <v>0</v>
      </c>
      <c r="F1346" s="908">
        <f>GLOBAL_DER_FEV_2023!F1346</f>
        <v>0</v>
      </c>
      <c r="G1346" s="912">
        <f>GLOBAL_DER_FEV_2023!G1346</f>
        <v>0</v>
      </c>
      <c r="H1346" s="901">
        <f>GLOBAL_DER_FEV_2023!H1346</f>
        <v>70.75</v>
      </c>
      <c r="I1346" s="901">
        <f>GLOBAL_DER_FEV_2023!I1346</f>
        <v>70.75</v>
      </c>
      <c r="J1346" s="902">
        <f>GLOBAL_DER_FEV_2023!J1346</f>
        <v>84.95</v>
      </c>
      <c r="K1346" s="903" t="s">
        <v>1516</v>
      </c>
      <c r="L1346" s="1137"/>
      <c r="M1346" s="1138">
        <f t="shared" si="148"/>
        <v>0</v>
      </c>
      <c r="N1346" s="893">
        <f t="shared" si="152"/>
        <v>0</v>
      </c>
      <c r="O1346" s="905"/>
      <c r="Q1346" s="317" t="str">
        <f t="shared" si="149"/>
        <v/>
      </c>
      <c r="R1346" s="317" t="str">
        <f t="shared" si="150"/>
        <v/>
      </c>
      <c r="S1346" s="317" t="str">
        <f t="shared" si="151"/>
        <v/>
      </c>
      <c r="T1346" s="317" t="str">
        <f>GLOBAL_DER_FEV_2023!S1346</f>
        <v/>
      </c>
      <c r="W1346" s="582">
        <v>0</v>
      </c>
      <c r="X1346" s="580"/>
      <c r="Y1346" s="583">
        <f>IF(GLOBAL_DER_FEV_2023!W1346=0,0,IF(GLOBAL_DER_FEV_2023!W1346&gt;0,"c","b"))</f>
        <v>0</v>
      </c>
    </row>
    <row r="1347" spans="1:25" ht="33.75" x14ac:dyDescent="0.2">
      <c r="A1347" s="317">
        <v>92035</v>
      </c>
      <c r="B1347" s="895">
        <v>92035</v>
      </c>
      <c r="C1347" s="896" t="s">
        <v>596</v>
      </c>
      <c r="D1347" s="906" t="s">
        <v>1277</v>
      </c>
      <c r="E1347" s="907">
        <f>GLOBAL_DER_FEV_2023!E1347</f>
        <v>0</v>
      </c>
      <c r="F1347" s="908">
        <f>GLOBAL_DER_FEV_2023!F1347</f>
        <v>0</v>
      </c>
      <c r="G1347" s="912">
        <f>GLOBAL_DER_FEV_2023!G1347</f>
        <v>0</v>
      </c>
      <c r="H1347" s="901">
        <f>GLOBAL_DER_FEV_2023!H1347</f>
        <v>79.98</v>
      </c>
      <c r="I1347" s="901">
        <f>GLOBAL_DER_FEV_2023!I1347</f>
        <v>79.98</v>
      </c>
      <c r="J1347" s="902">
        <f>GLOBAL_DER_FEV_2023!J1347</f>
        <v>96.03</v>
      </c>
      <c r="K1347" s="903" t="s">
        <v>1516</v>
      </c>
      <c r="L1347" s="1137"/>
      <c r="M1347" s="1138">
        <f t="shared" si="148"/>
        <v>0</v>
      </c>
      <c r="N1347" s="893">
        <f t="shared" si="152"/>
        <v>0</v>
      </c>
      <c r="O1347" s="905"/>
      <c r="Q1347" s="317" t="str">
        <f t="shared" si="149"/>
        <v/>
      </c>
      <c r="R1347" s="317" t="str">
        <f t="shared" si="150"/>
        <v/>
      </c>
      <c r="S1347" s="317" t="str">
        <f t="shared" si="151"/>
        <v/>
      </c>
      <c r="T1347" s="317" t="str">
        <f>GLOBAL_DER_FEV_2023!S1347</f>
        <v/>
      </c>
      <c r="W1347" s="582">
        <v>0</v>
      </c>
      <c r="X1347" s="580"/>
      <c r="Y1347" s="583">
        <f>IF(GLOBAL_DER_FEV_2023!W1347=0,0,IF(GLOBAL_DER_FEV_2023!W1347&gt;0,"c","b"))</f>
        <v>0</v>
      </c>
    </row>
    <row r="1348" spans="1:25" ht="22.5" x14ac:dyDescent="0.2">
      <c r="A1348" s="317">
        <v>91954</v>
      </c>
      <c r="B1348" s="895">
        <v>91954</v>
      </c>
      <c r="C1348" s="896" t="s">
        <v>596</v>
      </c>
      <c r="D1348" s="906" t="s">
        <v>1278</v>
      </c>
      <c r="E1348" s="907">
        <f>GLOBAL_DER_FEV_2023!E1348</f>
        <v>0</v>
      </c>
      <c r="F1348" s="908">
        <f>GLOBAL_DER_FEV_2023!F1348</f>
        <v>0</v>
      </c>
      <c r="G1348" s="912">
        <f>GLOBAL_DER_FEV_2023!G1348</f>
        <v>0</v>
      </c>
      <c r="H1348" s="901">
        <f>GLOBAL_DER_FEV_2023!H1348</f>
        <v>28.9</v>
      </c>
      <c r="I1348" s="901">
        <f>GLOBAL_DER_FEV_2023!I1348</f>
        <v>28.9</v>
      </c>
      <c r="J1348" s="902">
        <f>GLOBAL_DER_FEV_2023!J1348</f>
        <v>34.700000000000003</v>
      </c>
      <c r="K1348" s="903" t="s">
        <v>1516</v>
      </c>
      <c r="L1348" s="1137"/>
      <c r="M1348" s="1138">
        <f t="shared" si="148"/>
        <v>0</v>
      </c>
      <c r="N1348" s="893">
        <f t="shared" si="152"/>
        <v>0</v>
      </c>
      <c r="O1348" s="905"/>
      <c r="Q1348" s="317" t="str">
        <f t="shared" si="149"/>
        <v/>
      </c>
      <c r="R1348" s="317" t="str">
        <f t="shared" si="150"/>
        <v/>
      </c>
      <c r="S1348" s="317" t="str">
        <f t="shared" si="151"/>
        <v/>
      </c>
      <c r="T1348" s="317" t="str">
        <f>GLOBAL_DER_FEV_2023!S1348</f>
        <v/>
      </c>
      <c r="W1348" s="582">
        <v>0</v>
      </c>
      <c r="X1348" s="580"/>
      <c r="Y1348" s="583">
        <f>IF(GLOBAL_DER_FEV_2023!W1348=0,0,IF(GLOBAL_DER_FEV_2023!W1348&gt;0,"c","b"))</f>
        <v>0</v>
      </c>
    </row>
    <row r="1349" spans="1:25" ht="22.5" x14ac:dyDescent="0.2">
      <c r="A1349" s="317">
        <v>91955</v>
      </c>
      <c r="B1349" s="895">
        <v>91955</v>
      </c>
      <c r="C1349" s="896" t="s">
        <v>596</v>
      </c>
      <c r="D1349" s="906" t="s">
        <v>1279</v>
      </c>
      <c r="E1349" s="907">
        <f>GLOBAL_DER_FEV_2023!E1349</f>
        <v>0</v>
      </c>
      <c r="F1349" s="908">
        <f>GLOBAL_DER_FEV_2023!F1349</f>
        <v>0</v>
      </c>
      <c r="G1349" s="912">
        <f>GLOBAL_DER_FEV_2023!G1349</f>
        <v>0</v>
      </c>
      <c r="H1349" s="901">
        <f>GLOBAL_DER_FEV_2023!H1349</f>
        <v>38.130000000000003</v>
      </c>
      <c r="I1349" s="901">
        <f>GLOBAL_DER_FEV_2023!I1349</f>
        <v>38.130000000000003</v>
      </c>
      <c r="J1349" s="902">
        <f>GLOBAL_DER_FEV_2023!J1349</f>
        <v>45.78</v>
      </c>
      <c r="K1349" s="903" t="s">
        <v>1516</v>
      </c>
      <c r="L1349" s="1137"/>
      <c r="M1349" s="1138">
        <f t="shared" si="148"/>
        <v>0</v>
      </c>
      <c r="N1349" s="893">
        <f t="shared" si="152"/>
        <v>0</v>
      </c>
      <c r="O1349" s="905"/>
      <c r="Q1349" s="317" t="str">
        <f t="shared" si="149"/>
        <v/>
      </c>
      <c r="R1349" s="317" t="str">
        <f t="shared" si="150"/>
        <v/>
      </c>
      <c r="S1349" s="317" t="str">
        <f t="shared" si="151"/>
        <v/>
      </c>
      <c r="T1349" s="317" t="str">
        <f>GLOBAL_DER_FEV_2023!S1349</f>
        <v/>
      </c>
      <c r="W1349" s="582">
        <v>0</v>
      </c>
      <c r="X1349" s="580"/>
      <c r="Y1349" s="583">
        <f>IF(GLOBAL_DER_FEV_2023!W1349=0,0,IF(GLOBAL_DER_FEV_2023!W1349&gt;0,"c","b"))</f>
        <v>0</v>
      </c>
    </row>
    <row r="1350" spans="1:25" ht="22.5" x14ac:dyDescent="0.2">
      <c r="A1350" s="317">
        <v>91960</v>
      </c>
      <c r="B1350" s="895">
        <v>91960</v>
      </c>
      <c r="C1350" s="896" t="s">
        <v>596</v>
      </c>
      <c r="D1350" s="906" t="s">
        <v>1280</v>
      </c>
      <c r="E1350" s="907">
        <f>GLOBAL_DER_FEV_2023!E1350</f>
        <v>0</v>
      </c>
      <c r="F1350" s="908">
        <f>GLOBAL_DER_FEV_2023!F1350</f>
        <v>0</v>
      </c>
      <c r="G1350" s="912">
        <f>GLOBAL_DER_FEV_2023!G1350</f>
        <v>0</v>
      </c>
      <c r="H1350" s="901">
        <f>GLOBAL_DER_FEV_2023!H1350</f>
        <v>54.15</v>
      </c>
      <c r="I1350" s="901">
        <f>GLOBAL_DER_FEV_2023!I1350</f>
        <v>54.15</v>
      </c>
      <c r="J1350" s="902">
        <f>GLOBAL_DER_FEV_2023!J1350</f>
        <v>65.02</v>
      </c>
      <c r="K1350" s="903" t="s">
        <v>1516</v>
      </c>
      <c r="L1350" s="1137"/>
      <c r="M1350" s="1138">
        <f t="shared" ref="M1350:M1413" si="153">IF(L1350=0,0,ROUND(J1350,2))</f>
        <v>0</v>
      </c>
      <c r="N1350" s="893">
        <f t="shared" si="152"/>
        <v>0</v>
      </c>
      <c r="O1350" s="905"/>
      <c r="Q1350" s="317" t="str">
        <f t="shared" si="149"/>
        <v/>
      </c>
      <c r="R1350" s="317" t="str">
        <f t="shared" si="150"/>
        <v/>
      </c>
      <c r="S1350" s="317" t="str">
        <f t="shared" si="151"/>
        <v/>
      </c>
      <c r="T1350" s="317" t="str">
        <f>GLOBAL_DER_FEV_2023!S1350</f>
        <v/>
      </c>
      <c r="W1350" s="582">
        <v>0</v>
      </c>
      <c r="X1350" s="580"/>
      <c r="Y1350" s="583">
        <f>IF(GLOBAL_DER_FEV_2023!W1350=0,0,IF(GLOBAL_DER_FEV_2023!W1350&gt;0,"c","b"))</f>
        <v>0</v>
      </c>
    </row>
    <row r="1351" spans="1:25" ht="22.5" x14ac:dyDescent="0.2">
      <c r="A1351" s="317">
        <v>91961</v>
      </c>
      <c r="B1351" s="895">
        <v>91961</v>
      </c>
      <c r="C1351" s="896" t="s">
        <v>596</v>
      </c>
      <c r="D1351" s="906" t="s">
        <v>1281</v>
      </c>
      <c r="E1351" s="907">
        <f>GLOBAL_DER_FEV_2023!E1351</f>
        <v>0</v>
      </c>
      <c r="F1351" s="908">
        <f>GLOBAL_DER_FEV_2023!F1351</f>
        <v>0</v>
      </c>
      <c r="G1351" s="912">
        <f>GLOBAL_DER_FEV_2023!G1351</f>
        <v>0</v>
      </c>
      <c r="H1351" s="901">
        <f>GLOBAL_DER_FEV_2023!H1351</f>
        <v>63.38</v>
      </c>
      <c r="I1351" s="901">
        <f>GLOBAL_DER_FEV_2023!I1351</f>
        <v>63.38</v>
      </c>
      <c r="J1351" s="902">
        <f>GLOBAL_DER_FEV_2023!J1351</f>
        <v>76.099999999999994</v>
      </c>
      <c r="K1351" s="903" t="s">
        <v>1516</v>
      </c>
      <c r="L1351" s="1137"/>
      <c r="M1351" s="1138">
        <f t="shared" si="153"/>
        <v>0</v>
      </c>
      <c r="N1351" s="893">
        <f t="shared" si="152"/>
        <v>0</v>
      </c>
      <c r="O1351" s="905"/>
      <c r="Q1351" s="317" t="str">
        <f t="shared" si="149"/>
        <v/>
      </c>
      <c r="R1351" s="317" t="str">
        <f t="shared" si="150"/>
        <v/>
      </c>
      <c r="S1351" s="317" t="str">
        <f t="shared" si="151"/>
        <v/>
      </c>
      <c r="T1351" s="317" t="str">
        <f>GLOBAL_DER_FEV_2023!S1351</f>
        <v/>
      </c>
      <c r="W1351" s="582">
        <v>0</v>
      </c>
      <c r="X1351" s="580"/>
      <c r="Y1351" s="583">
        <f>IF(GLOBAL_DER_FEV_2023!W1351=0,0,IF(GLOBAL_DER_FEV_2023!W1351&gt;0,"c","b"))</f>
        <v>0</v>
      </c>
    </row>
    <row r="1352" spans="1:25" ht="22.5" x14ac:dyDescent="0.2">
      <c r="A1352" s="317">
        <v>91968</v>
      </c>
      <c r="B1352" s="895">
        <v>91968</v>
      </c>
      <c r="C1352" s="896" t="s">
        <v>596</v>
      </c>
      <c r="D1352" s="906" t="s">
        <v>1282</v>
      </c>
      <c r="E1352" s="907">
        <f>GLOBAL_DER_FEV_2023!E1352</f>
        <v>0</v>
      </c>
      <c r="F1352" s="908">
        <f>GLOBAL_DER_FEV_2023!F1352</f>
        <v>0</v>
      </c>
      <c r="G1352" s="912">
        <f>GLOBAL_DER_FEV_2023!G1352</f>
        <v>0</v>
      </c>
      <c r="H1352" s="901">
        <f>GLOBAL_DER_FEV_2023!H1352</f>
        <v>79.41</v>
      </c>
      <c r="I1352" s="901">
        <f>GLOBAL_DER_FEV_2023!I1352</f>
        <v>79.41</v>
      </c>
      <c r="J1352" s="902">
        <f>GLOBAL_DER_FEV_2023!J1352</f>
        <v>95.35</v>
      </c>
      <c r="K1352" s="903" t="s">
        <v>1516</v>
      </c>
      <c r="L1352" s="1137"/>
      <c r="M1352" s="1138">
        <f t="shared" si="153"/>
        <v>0</v>
      </c>
      <c r="N1352" s="893">
        <f t="shared" si="152"/>
        <v>0</v>
      </c>
      <c r="O1352" s="905"/>
      <c r="Q1352" s="317" t="str">
        <f t="shared" si="149"/>
        <v/>
      </c>
      <c r="R1352" s="317" t="str">
        <f t="shared" si="150"/>
        <v/>
      </c>
      <c r="S1352" s="317" t="str">
        <f t="shared" si="151"/>
        <v/>
      </c>
      <c r="T1352" s="317" t="str">
        <f>GLOBAL_DER_FEV_2023!S1352</f>
        <v/>
      </c>
      <c r="W1352" s="582">
        <v>0</v>
      </c>
      <c r="X1352" s="580"/>
      <c r="Y1352" s="583">
        <f>IF(GLOBAL_DER_FEV_2023!W1352=0,0,IF(GLOBAL_DER_FEV_2023!W1352&gt;0,"c","b"))</f>
        <v>0</v>
      </c>
    </row>
    <row r="1353" spans="1:25" ht="22.5" x14ac:dyDescent="0.2">
      <c r="A1353" s="317">
        <v>91969</v>
      </c>
      <c r="B1353" s="895">
        <v>91969</v>
      </c>
      <c r="C1353" s="896" t="s">
        <v>596</v>
      </c>
      <c r="D1353" s="906" t="s">
        <v>1283</v>
      </c>
      <c r="E1353" s="907">
        <f>GLOBAL_DER_FEV_2023!E1353</f>
        <v>0</v>
      </c>
      <c r="F1353" s="908">
        <f>GLOBAL_DER_FEV_2023!F1353</f>
        <v>0</v>
      </c>
      <c r="G1353" s="912">
        <f>GLOBAL_DER_FEV_2023!G1353</f>
        <v>0</v>
      </c>
      <c r="H1353" s="901">
        <f>GLOBAL_DER_FEV_2023!H1353</f>
        <v>88.64</v>
      </c>
      <c r="I1353" s="901">
        <f>GLOBAL_DER_FEV_2023!I1353</f>
        <v>88.64</v>
      </c>
      <c r="J1353" s="902">
        <f>GLOBAL_DER_FEV_2023!J1353</f>
        <v>106.43</v>
      </c>
      <c r="K1353" s="903" t="s">
        <v>1516</v>
      </c>
      <c r="L1353" s="1137"/>
      <c r="M1353" s="1138">
        <f t="shared" si="153"/>
        <v>0</v>
      </c>
      <c r="N1353" s="893">
        <f t="shared" si="152"/>
        <v>0</v>
      </c>
      <c r="O1353" s="905"/>
      <c r="Q1353" s="317" t="str">
        <f t="shared" si="149"/>
        <v/>
      </c>
      <c r="R1353" s="317" t="str">
        <f t="shared" si="150"/>
        <v/>
      </c>
      <c r="S1353" s="317" t="str">
        <f t="shared" si="151"/>
        <v/>
      </c>
      <c r="T1353" s="317" t="str">
        <f>GLOBAL_DER_FEV_2023!S1353</f>
        <v/>
      </c>
      <c r="W1353" s="582">
        <v>0</v>
      </c>
      <c r="X1353" s="580"/>
      <c r="Y1353" s="583">
        <f>IF(GLOBAL_DER_FEV_2023!W1353=0,0,IF(GLOBAL_DER_FEV_2023!W1353&gt;0,"c","b"))</f>
        <v>0</v>
      </c>
    </row>
    <row r="1354" spans="1:25" ht="22.5" x14ac:dyDescent="0.2">
      <c r="A1354" s="317">
        <v>92028</v>
      </c>
      <c r="B1354" s="895">
        <v>92028</v>
      </c>
      <c r="C1354" s="896" t="s">
        <v>596</v>
      </c>
      <c r="D1354" s="906" t="s">
        <v>1284</v>
      </c>
      <c r="E1354" s="907">
        <f>GLOBAL_DER_FEV_2023!E1354</f>
        <v>0</v>
      </c>
      <c r="F1354" s="908">
        <f>GLOBAL_DER_FEV_2023!F1354</f>
        <v>0</v>
      </c>
      <c r="G1354" s="912">
        <f>GLOBAL_DER_FEV_2023!G1354</f>
        <v>0</v>
      </c>
      <c r="H1354" s="901">
        <f>GLOBAL_DER_FEV_2023!H1354</f>
        <v>52.83</v>
      </c>
      <c r="I1354" s="901">
        <f>GLOBAL_DER_FEV_2023!I1354</f>
        <v>52.83</v>
      </c>
      <c r="J1354" s="902">
        <f>GLOBAL_DER_FEV_2023!J1354</f>
        <v>63.43</v>
      </c>
      <c r="K1354" s="903" t="s">
        <v>1516</v>
      </c>
      <c r="L1354" s="1137"/>
      <c r="M1354" s="1138">
        <f t="shared" si="153"/>
        <v>0</v>
      </c>
      <c r="N1354" s="893">
        <f t="shared" si="152"/>
        <v>0</v>
      </c>
      <c r="O1354" s="905"/>
      <c r="Q1354" s="317" t="str">
        <f t="shared" si="149"/>
        <v/>
      </c>
      <c r="R1354" s="317" t="str">
        <f t="shared" si="150"/>
        <v/>
      </c>
      <c r="S1354" s="317" t="str">
        <f t="shared" si="151"/>
        <v/>
      </c>
      <c r="T1354" s="317" t="str">
        <f>GLOBAL_DER_FEV_2023!S1354</f>
        <v/>
      </c>
      <c r="W1354" s="582">
        <v>0</v>
      </c>
      <c r="X1354" s="580"/>
      <c r="Y1354" s="583">
        <f>IF(GLOBAL_DER_FEV_2023!W1354=0,0,IF(GLOBAL_DER_FEV_2023!W1354&gt;0,"c","b"))</f>
        <v>0</v>
      </c>
    </row>
    <row r="1355" spans="1:25" ht="22.5" x14ac:dyDescent="0.2">
      <c r="A1355" s="317">
        <v>92029</v>
      </c>
      <c r="B1355" s="895">
        <v>92029</v>
      </c>
      <c r="C1355" s="896" t="s">
        <v>596</v>
      </c>
      <c r="D1355" s="906" t="s">
        <v>1285</v>
      </c>
      <c r="E1355" s="907">
        <f>GLOBAL_DER_FEV_2023!E1355</f>
        <v>0</v>
      </c>
      <c r="F1355" s="908">
        <f>GLOBAL_DER_FEV_2023!F1355</f>
        <v>0</v>
      </c>
      <c r="G1355" s="912">
        <f>GLOBAL_DER_FEV_2023!G1355</f>
        <v>0</v>
      </c>
      <c r="H1355" s="901">
        <f>GLOBAL_DER_FEV_2023!H1355</f>
        <v>62.06</v>
      </c>
      <c r="I1355" s="901">
        <f>GLOBAL_DER_FEV_2023!I1355</f>
        <v>62.06</v>
      </c>
      <c r="J1355" s="902">
        <f>GLOBAL_DER_FEV_2023!J1355</f>
        <v>74.52</v>
      </c>
      <c r="K1355" s="903" t="s">
        <v>1516</v>
      </c>
      <c r="L1355" s="1137"/>
      <c r="M1355" s="1138">
        <f t="shared" si="153"/>
        <v>0</v>
      </c>
      <c r="N1355" s="893">
        <f t="shared" si="152"/>
        <v>0</v>
      </c>
      <c r="O1355" s="905"/>
      <c r="Q1355" s="317" t="str">
        <f t="shared" si="149"/>
        <v/>
      </c>
      <c r="R1355" s="317" t="str">
        <f t="shared" si="150"/>
        <v/>
      </c>
      <c r="S1355" s="317" t="str">
        <f t="shared" si="151"/>
        <v/>
      </c>
      <c r="T1355" s="317" t="str">
        <f>GLOBAL_DER_FEV_2023!S1355</f>
        <v/>
      </c>
      <c r="W1355" s="582">
        <v>0</v>
      </c>
      <c r="X1355" s="580"/>
      <c r="Y1355" s="583">
        <f>IF(GLOBAL_DER_FEV_2023!W1355=0,0,IF(GLOBAL_DER_FEV_2023!W1355&gt;0,"c","b"))</f>
        <v>0</v>
      </c>
    </row>
    <row r="1356" spans="1:25" ht="22.5" x14ac:dyDescent="0.2">
      <c r="A1356" s="317">
        <v>92030</v>
      </c>
      <c r="B1356" s="895">
        <v>92030</v>
      </c>
      <c r="C1356" s="896" t="s">
        <v>596</v>
      </c>
      <c r="D1356" s="906" t="s">
        <v>1286</v>
      </c>
      <c r="E1356" s="907">
        <f>GLOBAL_DER_FEV_2023!E1356</f>
        <v>0</v>
      </c>
      <c r="F1356" s="908">
        <f>GLOBAL_DER_FEV_2023!F1356</f>
        <v>0</v>
      </c>
      <c r="G1356" s="912">
        <f>GLOBAL_DER_FEV_2023!G1356</f>
        <v>0</v>
      </c>
      <c r="H1356" s="901">
        <f>GLOBAL_DER_FEV_2023!H1356</f>
        <v>76.77</v>
      </c>
      <c r="I1356" s="901">
        <f>GLOBAL_DER_FEV_2023!I1356</f>
        <v>76.77</v>
      </c>
      <c r="J1356" s="902">
        <f>GLOBAL_DER_FEV_2023!J1356</f>
        <v>92.18</v>
      </c>
      <c r="K1356" s="903" t="s">
        <v>1516</v>
      </c>
      <c r="L1356" s="1137"/>
      <c r="M1356" s="1138">
        <f t="shared" si="153"/>
        <v>0</v>
      </c>
      <c r="N1356" s="893">
        <f t="shared" si="152"/>
        <v>0</v>
      </c>
      <c r="O1356" s="905"/>
      <c r="Q1356" s="317" t="str">
        <f t="shared" si="149"/>
        <v/>
      </c>
      <c r="R1356" s="317" t="str">
        <f t="shared" si="150"/>
        <v/>
      </c>
      <c r="S1356" s="317" t="str">
        <f t="shared" si="151"/>
        <v/>
      </c>
      <c r="T1356" s="317" t="str">
        <f>GLOBAL_DER_FEV_2023!S1356</f>
        <v/>
      </c>
      <c r="W1356" s="582">
        <v>0</v>
      </c>
      <c r="X1356" s="580"/>
      <c r="Y1356" s="583">
        <f>IF(GLOBAL_DER_FEV_2023!W1356=0,0,IF(GLOBAL_DER_FEV_2023!W1356&gt;0,"c","b"))</f>
        <v>0</v>
      </c>
    </row>
    <row r="1357" spans="1:25" ht="22.5" x14ac:dyDescent="0.2">
      <c r="A1357" s="317">
        <v>92031</v>
      </c>
      <c r="B1357" s="895">
        <v>92031</v>
      </c>
      <c r="C1357" s="896" t="s">
        <v>596</v>
      </c>
      <c r="D1357" s="906" t="s">
        <v>1287</v>
      </c>
      <c r="E1357" s="907">
        <f>GLOBAL_DER_FEV_2023!E1357</f>
        <v>0</v>
      </c>
      <c r="F1357" s="908">
        <f>GLOBAL_DER_FEV_2023!F1357</f>
        <v>0</v>
      </c>
      <c r="G1357" s="912">
        <f>GLOBAL_DER_FEV_2023!G1357</f>
        <v>0</v>
      </c>
      <c r="H1357" s="901">
        <f>GLOBAL_DER_FEV_2023!H1357</f>
        <v>86</v>
      </c>
      <c r="I1357" s="901">
        <f>GLOBAL_DER_FEV_2023!I1357</f>
        <v>86</v>
      </c>
      <c r="J1357" s="902">
        <f>GLOBAL_DER_FEV_2023!J1357</f>
        <v>103.26</v>
      </c>
      <c r="K1357" s="903" t="s">
        <v>1516</v>
      </c>
      <c r="L1357" s="1137"/>
      <c r="M1357" s="1138">
        <f t="shared" si="153"/>
        <v>0</v>
      </c>
      <c r="N1357" s="893">
        <f t="shared" si="152"/>
        <v>0</v>
      </c>
      <c r="O1357" s="905"/>
      <c r="Q1357" s="317" t="str">
        <f t="shared" si="149"/>
        <v/>
      </c>
      <c r="R1357" s="317" t="str">
        <f t="shared" si="150"/>
        <v/>
      </c>
      <c r="S1357" s="317" t="str">
        <f t="shared" si="151"/>
        <v/>
      </c>
      <c r="T1357" s="317" t="str">
        <f>GLOBAL_DER_FEV_2023!S1357</f>
        <v/>
      </c>
      <c r="W1357" s="582">
        <v>0</v>
      </c>
      <c r="X1357" s="580"/>
      <c r="Y1357" s="583">
        <f>IF(GLOBAL_DER_FEV_2023!W1357=0,0,IF(GLOBAL_DER_FEV_2023!W1357&gt;0,"c","b"))</f>
        <v>0</v>
      </c>
    </row>
    <row r="1358" spans="1:25" ht="22.5" x14ac:dyDescent="0.2">
      <c r="A1358" s="317">
        <v>92032</v>
      </c>
      <c r="B1358" s="895">
        <v>92032</v>
      </c>
      <c r="C1358" s="896" t="s">
        <v>596</v>
      </c>
      <c r="D1358" s="906" t="s">
        <v>1288</v>
      </c>
      <c r="E1358" s="907">
        <f>GLOBAL_DER_FEV_2023!E1358</f>
        <v>0</v>
      </c>
      <c r="F1358" s="908">
        <f>GLOBAL_DER_FEV_2023!F1358</f>
        <v>0</v>
      </c>
      <c r="G1358" s="912">
        <f>GLOBAL_DER_FEV_2023!G1358</f>
        <v>0</v>
      </c>
      <c r="H1358" s="901">
        <f>GLOBAL_DER_FEV_2023!H1358</f>
        <v>78.09</v>
      </c>
      <c r="I1358" s="901">
        <f>GLOBAL_DER_FEV_2023!I1358</f>
        <v>78.09</v>
      </c>
      <c r="J1358" s="902">
        <f>GLOBAL_DER_FEV_2023!J1358</f>
        <v>93.76</v>
      </c>
      <c r="K1358" s="903" t="s">
        <v>1516</v>
      </c>
      <c r="L1358" s="1137"/>
      <c r="M1358" s="1138">
        <f t="shared" si="153"/>
        <v>0</v>
      </c>
      <c r="N1358" s="893">
        <f t="shared" si="152"/>
        <v>0</v>
      </c>
      <c r="O1358" s="905"/>
      <c r="Q1358" s="317" t="str">
        <f t="shared" si="149"/>
        <v/>
      </c>
      <c r="R1358" s="317" t="str">
        <f t="shared" si="150"/>
        <v/>
      </c>
      <c r="S1358" s="317" t="str">
        <f t="shared" si="151"/>
        <v/>
      </c>
      <c r="T1358" s="317" t="str">
        <f>GLOBAL_DER_FEV_2023!S1358</f>
        <v/>
      </c>
      <c r="W1358" s="582">
        <v>0</v>
      </c>
      <c r="X1358" s="580"/>
      <c r="Y1358" s="583">
        <f>IF(GLOBAL_DER_FEV_2023!W1358=0,0,IF(GLOBAL_DER_FEV_2023!W1358&gt;0,"c","b"))</f>
        <v>0</v>
      </c>
    </row>
    <row r="1359" spans="1:25" ht="22.5" x14ac:dyDescent="0.2">
      <c r="A1359" s="317">
        <v>92033</v>
      </c>
      <c r="B1359" s="895">
        <v>92033</v>
      </c>
      <c r="C1359" s="896" t="s">
        <v>596</v>
      </c>
      <c r="D1359" s="906" t="s">
        <v>1289</v>
      </c>
      <c r="E1359" s="907">
        <f>GLOBAL_DER_FEV_2023!E1359</f>
        <v>0</v>
      </c>
      <c r="F1359" s="908">
        <f>GLOBAL_DER_FEV_2023!F1359</f>
        <v>0</v>
      </c>
      <c r="G1359" s="912">
        <f>GLOBAL_DER_FEV_2023!G1359</f>
        <v>0</v>
      </c>
      <c r="H1359" s="901">
        <f>GLOBAL_DER_FEV_2023!H1359</f>
        <v>87.32</v>
      </c>
      <c r="I1359" s="901">
        <f>GLOBAL_DER_FEV_2023!I1359</f>
        <v>87.32</v>
      </c>
      <c r="J1359" s="902">
        <f>GLOBAL_DER_FEV_2023!J1359</f>
        <v>104.85</v>
      </c>
      <c r="K1359" s="903" t="s">
        <v>1516</v>
      </c>
      <c r="L1359" s="1137"/>
      <c r="M1359" s="1138">
        <f t="shared" si="153"/>
        <v>0</v>
      </c>
      <c r="N1359" s="893">
        <f t="shared" si="152"/>
        <v>0</v>
      </c>
      <c r="O1359" s="905"/>
      <c r="Q1359" s="317" t="str">
        <f t="shared" si="149"/>
        <v/>
      </c>
      <c r="R1359" s="317" t="str">
        <f t="shared" si="150"/>
        <v/>
      </c>
      <c r="S1359" s="317" t="str">
        <f t="shared" si="151"/>
        <v/>
      </c>
      <c r="T1359" s="317" t="str">
        <f>GLOBAL_DER_FEV_2023!S1359</f>
        <v/>
      </c>
      <c r="W1359" s="582">
        <v>0</v>
      </c>
      <c r="X1359" s="580"/>
      <c r="Y1359" s="583">
        <f>IF(GLOBAL_DER_FEV_2023!W1359=0,0,IF(GLOBAL_DER_FEV_2023!W1359&gt;0,"c","b"))</f>
        <v>0</v>
      </c>
    </row>
    <row r="1360" spans="1:25" ht="22.5" x14ac:dyDescent="0.2">
      <c r="A1360" s="317">
        <v>91978</v>
      </c>
      <c r="B1360" s="895">
        <v>91978</v>
      </c>
      <c r="C1360" s="896" t="s">
        <v>596</v>
      </c>
      <c r="D1360" s="906" t="s">
        <v>1290</v>
      </c>
      <c r="E1360" s="907">
        <f>GLOBAL_DER_FEV_2023!E1360</f>
        <v>0</v>
      </c>
      <c r="F1360" s="908">
        <f>GLOBAL_DER_FEV_2023!F1360</f>
        <v>0</v>
      </c>
      <c r="G1360" s="912">
        <f>GLOBAL_DER_FEV_2023!G1360</f>
        <v>0</v>
      </c>
      <c r="H1360" s="901">
        <f>GLOBAL_DER_FEV_2023!H1360</f>
        <v>45.56</v>
      </c>
      <c r="I1360" s="901">
        <f>GLOBAL_DER_FEV_2023!I1360</f>
        <v>45.56</v>
      </c>
      <c r="J1360" s="902">
        <f>GLOBAL_DER_FEV_2023!J1360</f>
        <v>54.7</v>
      </c>
      <c r="K1360" s="903" t="s">
        <v>1516</v>
      </c>
      <c r="L1360" s="1137"/>
      <c r="M1360" s="1138">
        <f t="shared" si="153"/>
        <v>0</v>
      </c>
      <c r="N1360" s="893">
        <f t="shared" si="152"/>
        <v>0</v>
      </c>
      <c r="O1360" s="905"/>
      <c r="Q1360" s="317" t="str">
        <f t="shared" si="149"/>
        <v/>
      </c>
      <c r="R1360" s="317" t="str">
        <f t="shared" si="150"/>
        <v/>
      </c>
      <c r="S1360" s="317" t="str">
        <f t="shared" si="151"/>
        <v/>
      </c>
      <c r="T1360" s="317" t="str">
        <f>GLOBAL_DER_FEV_2023!S1360</f>
        <v/>
      </c>
      <c r="W1360" s="582">
        <v>0</v>
      </c>
      <c r="X1360" s="580"/>
      <c r="Y1360" s="583">
        <f>IF(GLOBAL_DER_FEV_2023!W1360=0,0,IF(GLOBAL_DER_FEV_2023!W1360&gt;0,"c","b"))</f>
        <v>0</v>
      </c>
    </row>
    <row r="1361" spans="1:25" ht="22.5" x14ac:dyDescent="0.2">
      <c r="A1361" s="317">
        <v>91979</v>
      </c>
      <c r="B1361" s="895">
        <v>91979</v>
      </c>
      <c r="C1361" s="896" t="s">
        <v>596</v>
      </c>
      <c r="D1361" s="906" t="s">
        <v>1291</v>
      </c>
      <c r="E1361" s="907">
        <f>GLOBAL_DER_FEV_2023!E1361</f>
        <v>0</v>
      </c>
      <c r="F1361" s="908">
        <f>GLOBAL_DER_FEV_2023!F1361</f>
        <v>0</v>
      </c>
      <c r="G1361" s="912">
        <f>GLOBAL_DER_FEV_2023!G1361</f>
        <v>0</v>
      </c>
      <c r="H1361" s="901">
        <f>GLOBAL_DER_FEV_2023!H1361</f>
        <v>54.79</v>
      </c>
      <c r="I1361" s="901">
        <f>GLOBAL_DER_FEV_2023!I1361</f>
        <v>54.79</v>
      </c>
      <c r="J1361" s="902">
        <f>GLOBAL_DER_FEV_2023!J1361</f>
        <v>65.790000000000006</v>
      </c>
      <c r="K1361" s="903" t="s">
        <v>1516</v>
      </c>
      <c r="L1361" s="1137"/>
      <c r="M1361" s="1138">
        <f t="shared" si="153"/>
        <v>0</v>
      </c>
      <c r="N1361" s="893">
        <f t="shared" si="152"/>
        <v>0</v>
      </c>
      <c r="O1361" s="905"/>
      <c r="Q1361" s="317" t="str">
        <f t="shared" ref="Q1361:Q1424" si="154">IF(P1361="X","x",IF(P1361="xx","x",IF(P1361="xy","x",IF(P1361="y","x",IF(OR(N1361&gt;0,N1361&gt;0),"x","")))))</f>
        <v/>
      </c>
      <c r="R1361" s="317" t="str">
        <f t="shared" si="150"/>
        <v/>
      </c>
      <c r="S1361" s="317" t="str">
        <f t="shared" si="151"/>
        <v/>
      </c>
      <c r="T1361" s="317" t="str">
        <f>GLOBAL_DER_FEV_2023!S1361</f>
        <v/>
      </c>
      <c r="W1361" s="582">
        <v>0</v>
      </c>
      <c r="X1361" s="580"/>
      <c r="Y1361" s="583">
        <f>IF(GLOBAL_DER_FEV_2023!W1361=0,0,IF(GLOBAL_DER_FEV_2023!W1361&gt;0,"c","b"))</f>
        <v>0</v>
      </c>
    </row>
    <row r="1362" spans="1:25" ht="22.5" x14ac:dyDescent="0.2">
      <c r="A1362" s="317">
        <v>91980</v>
      </c>
      <c r="B1362" s="895">
        <v>91980</v>
      </c>
      <c r="C1362" s="896" t="s">
        <v>596</v>
      </c>
      <c r="D1362" s="906" t="s">
        <v>1292</v>
      </c>
      <c r="E1362" s="907">
        <f>GLOBAL_DER_FEV_2023!E1362</f>
        <v>0</v>
      </c>
      <c r="F1362" s="908">
        <f>GLOBAL_DER_FEV_2023!F1362</f>
        <v>0</v>
      </c>
      <c r="G1362" s="912">
        <f>GLOBAL_DER_FEV_2023!G1362</f>
        <v>0</v>
      </c>
      <c r="H1362" s="901">
        <f>GLOBAL_DER_FEV_2023!H1362</f>
        <v>44.15</v>
      </c>
      <c r="I1362" s="901">
        <f>GLOBAL_DER_FEV_2023!I1362</f>
        <v>44.15</v>
      </c>
      <c r="J1362" s="902">
        <f>GLOBAL_DER_FEV_2023!J1362</f>
        <v>53.01</v>
      </c>
      <c r="K1362" s="903" t="s">
        <v>1516</v>
      </c>
      <c r="L1362" s="1137"/>
      <c r="M1362" s="1138">
        <f t="shared" si="153"/>
        <v>0</v>
      </c>
      <c r="N1362" s="893">
        <f t="shared" si="152"/>
        <v>0</v>
      </c>
      <c r="O1362" s="905"/>
      <c r="Q1362" s="317" t="str">
        <f t="shared" si="154"/>
        <v/>
      </c>
      <c r="R1362" s="317" t="str">
        <f t="shared" si="150"/>
        <v/>
      </c>
      <c r="S1362" s="317" t="str">
        <f t="shared" si="151"/>
        <v/>
      </c>
      <c r="T1362" s="317" t="str">
        <f>GLOBAL_DER_FEV_2023!S1362</f>
        <v/>
      </c>
      <c r="W1362" s="582">
        <v>0</v>
      </c>
      <c r="X1362" s="580"/>
      <c r="Y1362" s="583">
        <f>IF(GLOBAL_DER_FEV_2023!W1362=0,0,IF(GLOBAL_DER_FEV_2023!W1362&gt;0,"c","b"))</f>
        <v>0</v>
      </c>
    </row>
    <row r="1363" spans="1:25" ht="22.5" x14ac:dyDescent="0.2">
      <c r="A1363" s="317">
        <v>91981</v>
      </c>
      <c r="B1363" s="895">
        <v>91981</v>
      </c>
      <c r="C1363" s="896" t="s">
        <v>596</v>
      </c>
      <c r="D1363" s="906" t="s">
        <v>1293</v>
      </c>
      <c r="E1363" s="907">
        <f>GLOBAL_DER_FEV_2023!E1363</f>
        <v>0</v>
      </c>
      <c r="F1363" s="908">
        <f>GLOBAL_DER_FEV_2023!F1363</f>
        <v>0</v>
      </c>
      <c r="G1363" s="912">
        <f>GLOBAL_DER_FEV_2023!G1363</f>
        <v>0</v>
      </c>
      <c r="H1363" s="901">
        <f>GLOBAL_DER_FEV_2023!H1363</f>
        <v>53.38</v>
      </c>
      <c r="I1363" s="901">
        <f>GLOBAL_DER_FEV_2023!I1363</f>
        <v>53.38</v>
      </c>
      <c r="J1363" s="902">
        <f>GLOBAL_DER_FEV_2023!J1363</f>
        <v>64.09</v>
      </c>
      <c r="K1363" s="903" t="s">
        <v>1516</v>
      </c>
      <c r="L1363" s="1137"/>
      <c r="M1363" s="1138">
        <f t="shared" si="153"/>
        <v>0</v>
      </c>
      <c r="N1363" s="893">
        <f t="shared" si="152"/>
        <v>0</v>
      </c>
      <c r="O1363" s="905"/>
      <c r="Q1363" s="317" t="str">
        <f t="shared" si="154"/>
        <v/>
      </c>
      <c r="R1363" s="317" t="str">
        <f t="shared" ref="R1363:R1426" si="155">IF(P1363="X","x",IF(P1363="y","x",IF(P1363="xx","x",IF(N1363&gt;0,"x",""))))</f>
        <v/>
      </c>
      <c r="S1363" s="317" t="str">
        <f t="shared" ref="S1363:S1426" si="156">IF(P1363="X","x",IF(N1363&gt;0,"x",""))</f>
        <v/>
      </c>
      <c r="T1363" s="317" t="str">
        <f>GLOBAL_DER_FEV_2023!S1363</f>
        <v/>
      </c>
      <c r="W1363" s="582">
        <v>0</v>
      </c>
      <c r="X1363" s="580"/>
      <c r="Y1363" s="583">
        <f>IF(GLOBAL_DER_FEV_2023!W1363=0,0,IF(GLOBAL_DER_FEV_2023!W1363&gt;0,"c","b"))</f>
        <v>0</v>
      </c>
    </row>
    <row r="1364" spans="1:25" ht="22.5" x14ac:dyDescent="0.2">
      <c r="A1364" s="317">
        <v>91978</v>
      </c>
      <c r="B1364" s="895">
        <v>91978</v>
      </c>
      <c r="C1364" s="896" t="s">
        <v>596</v>
      </c>
      <c r="D1364" s="906" t="s">
        <v>1290</v>
      </c>
      <c r="E1364" s="907">
        <f>GLOBAL_DER_FEV_2023!E1364</f>
        <v>0</v>
      </c>
      <c r="F1364" s="908">
        <f>GLOBAL_DER_FEV_2023!F1364</f>
        <v>0</v>
      </c>
      <c r="G1364" s="912">
        <f>GLOBAL_DER_FEV_2023!G1364</f>
        <v>0</v>
      </c>
      <c r="H1364" s="901">
        <f>GLOBAL_DER_FEV_2023!H1364</f>
        <v>45.56</v>
      </c>
      <c r="I1364" s="901">
        <f>GLOBAL_DER_FEV_2023!I1364</f>
        <v>45.56</v>
      </c>
      <c r="J1364" s="902">
        <f>GLOBAL_DER_FEV_2023!J1364</f>
        <v>54.7</v>
      </c>
      <c r="K1364" s="903" t="s">
        <v>1516</v>
      </c>
      <c r="L1364" s="1137"/>
      <c r="M1364" s="1138">
        <f t="shared" si="153"/>
        <v>0</v>
      </c>
      <c r="N1364" s="893">
        <f t="shared" si="152"/>
        <v>0</v>
      </c>
      <c r="O1364" s="905"/>
      <c r="Q1364" s="317" t="str">
        <f t="shared" si="154"/>
        <v/>
      </c>
      <c r="R1364" s="317" t="str">
        <f t="shared" si="155"/>
        <v/>
      </c>
      <c r="S1364" s="317" t="str">
        <f t="shared" si="156"/>
        <v/>
      </c>
      <c r="T1364" s="317" t="str">
        <f>GLOBAL_DER_FEV_2023!S1364</f>
        <v/>
      </c>
      <c r="W1364" s="582">
        <v>0</v>
      </c>
      <c r="X1364" s="580"/>
      <c r="Y1364" s="583">
        <f>IF(GLOBAL_DER_FEV_2023!W1364=0,0,IF(GLOBAL_DER_FEV_2023!W1364&gt;0,"c","b"))</f>
        <v>0</v>
      </c>
    </row>
    <row r="1365" spans="1:25" ht="22.5" x14ac:dyDescent="0.2">
      <c r="A1365" s="317">
        <v>91979</v>
      </c>
      <c r="B1365" s="895">
        <v>91979</v>
      </c>
      <c r="C1365" s="896" t="s">
        <v>596</v>
      </c>
      <c r="D1365" s="906" t="s">
        <v>1291</v>
      </c>
      <c r="E1365" s="907">
        <f>GLOBAL_DER_FEV_2023!E1365</f>
        <v>0</v>
      </c>
      <c r="F1365" s="908">
        <f>GLOBAL_DER_FEV_2023!F1365</f>
        <v>0</v>
      </c>
      <c r="G1365" s="912">
        <f>GLOBAL_DER_FEV_2023!G1365</f>
        <v>0</v>
      </c>
      <c r="H1365" s="901">
        <f>GLOBAL_DER_FEV_2023!H1365</f>
        <v>54.79</v>
      </c>
      <c r="I1365" s="901">
        <f>GLOBAL_DER_FEV_2023!I1365</f>
        <v>54.79</v>
      </c>
      <c r="J1365" s="902">
        <f>GLOBAL_DER_FEV_2023!J1365</f>
        <v>65.790000000000006</v>
      </c>
      <c r="K1365" s="903" t="s">
        <v>1516</v>
      </c>
      <c r="L1365" s="1137"/>
      <c r="M1365" s="1138">
        <f t="shared" si="153"/>
        <v>0</v>
      </c>
      <c r="N1365" s="893">
        <f t="shared" si="152"/>
        <v>0</v>
      </c>
      <c r="O1365" s="905"/>
      <c r="Q1365" s="317" t="str">
        <f t="shared" si="154"/>
        <v/>
      </c>
      <c r="R1365" s="317" t="str">
        <f t="shared" si="155"/>
        <v/>
      </c>
      <c r="S1365" s="317" t="str">
        <f t="shared" si="156"/>
        <v/>
      </c>
      <c r="T1365" s="317" t="str">
        <f>GLOBAL_DER_FEV_2023!S1365</f>
        <v/>
      </c>
      <c r="W1365" s="582">
        <v>0</v>
      </c>
      <c r="X1365" s="580"/>
      <c r="Y1365" s="583">
        <f>IF(GLOBAL_DER_FEV_2023!W1365=0,0,IF(GLOBAL_DER_FEV_2023!W1365&gt;0,"c","b"))</f>
        <v>0</v>
      </c>
    </row>
    <row r="1366" spans="1:25" ht="22.5" x14ac:dyDescent="0.2">
      <c r="A1366" s="317">
        <v>91980</v>
      </c>
      <c r="B1366" s="895">
        <v>91980</v>
      </c>
      <c r="C1366" s="896" t="s">
        <v>596</v>
      </c>
      <c r="D1366" s="906" t="s">
        <v>1292</v>
      </c>
      <c r="E1366" s="907">
        <f>GLOBAL_DER_FEV_2023!E1366</f>
        <v>0</v>
      </c>
      <c r="F1366" s="908">
        <f>GLOBAL_DER_FEV_2023!F1366</f>
        <v>0</v>
      </c>
      <c r="G1366" s="912">
        <f>GLOBAL_DER_FEV_2023!G1366</f>
        <v>0</v>
      </c>
      <c r="H1366" s="901">
        <f>GLOBAL_DER_FEV_2023!H1366</f>
        <v>44.15</v>
      </c>
      <c r="I1366" s="901">
        <f>GLOBAL_DER_FEV_2023!I1366</f>
        <v>44.15</v>
      </c>
      <c r="J1366" s="902">
        <f>GLOBAL_DER_FEV_2023!J1366</f>
        <v>53.01</v>
      </c>
      <c r="K1366" s="903" t="s">
        <v>1516</v>
      </c>
      <c r="L1366" s="1137"/>
      <c r="M1366" s="1138">
        <f t="shared" si="153"/>
        <v>0</v>
      </c>
      <c r="N1366" s="893">
        <f t="shared" si="152"/>
        <v>0</v>
      </c>
      <c r="O1366" s="905"/>
      <c r="Q1366" s="317" t="str">
        <f t="shared" si="154"/>
        <v/>
      </c>
      <c r="R1366" s="317" t="str">
        <f t="shared" si="155"/>
        <v/>
      </c>
      <c r="S1366" s="317" t="str">
        <f t="shared" si="156"/>
        <v/>
      </c>
      <c r="T1366" s="317" t="str">
        <f>GLOBAL_DER_FEV_2023!S1366</f>
        <v/>
      </c>
      <c r="W1366" s="582">
        <v>0</v>
      </c>
      <c r="X1366" s="580"/>
      <c r="Y1366" s="583">
        <f>IF(GLOBAL_DER_FEV_2023!W1366=0,0,IF(GLOBAL_DER_FEV_2023!W1366&gt;0,"c","b"))</f>
        <v>0</v>
      </c>
    </row>
    <row r="1367" spans="1:25" ht="22.5" x14ac:dyDescent="0.2">
      <c r="A1367" s="317">
        <v>91981</v>
      </c>
      <c r="B1367" s="895">
        <v>91981</v>
      </c>
      <c r="C1367" s="896" t="s">
        <v>596</v>
      </c>
      <c r="D1367" s="906" t="s">
        <v>1293</v>
      </c>
      <c r="E1367" s="907">
        <f>GLOBAL_DER_FEV_2023!E1367</f>
        <v>0</v>
      </c>
      <c r="F1367" s="908">
        <f>GLOBAL_DER_FEV_2023!F1367</f>
        <v>0</v>
      </c>
      <c r="G1367" s="912">
        <f>GLOBAL_DER_FEV_2023!G1367</f>
        <v>0</v>
      </c>
      <c r="H1367" s="901">
        <f>GLOBAL_DER_FEV_2023!H1367</f>
        <v>53.38</v>
      </c>
      <c r="I1367" s="901">
        <f>GLOBAL_DER_FEV_2023!I1367</f>
        <v>53.38</v>
      </c>
      <c r="J1367" s="902">
        <f>GLOBAL_DER_FEV_2023!J1367</f>
        <v>64.09</v>
      </c>
      <c r="K1367" s="903" t="s">
        <v>1516</v>
      </c>
      <c r="L1367" s="1137"/>
      <c r="M1367" s="1138">
        <f t="shared" si="153"/>
        <v>0</v>
      </c>
      <c r="N1367" s="893">
        <f t="shared" ref="N1367:N1430" si="157">IF(ISBLANK(L1367),0,IF(W1367=0,ROUND(L1367*M1367,2),IF(W1367="b",ROUNDDOWN(L1367*M1367,2),ROUNDUP(L1367*M1367,2))))</f>
        <v>0</v>
      </c>
      <c r="O1367" s="905"/>
      <c r="Q1367" s="317" t="str">
        <f t="shared" si="154"/>
        <v/>
      </c>
      <c r="R1367" s="317" t="str">
        <f t="shared" si="155"/>
        <v/>
      </c>
      <c r="S1367" s="317" t="str">
        <f t="shared" si="156"/>
        <v/>
      </c>
      <c r="T1367" s="317" t="str">
        <f>GLOBAL_DER_FEV_2023!S1367</f>
        <v/>
      </c>
      <c r="W1367" s="582">
        <v>0</v>
      </c>
      <c r="X1367" s="580"/>
      <c r="Y1367" s="583">
        <f>IF(GLOBAL_DER_FEV_2023!W1367=0,0,IF(GLOBAL_DER_FEV_2023!W1367&gt;0,"c","b"))</f>
        <v>0</v>
      </c>
    </row>
    <row r="1368" spans="1:25" ht="22.5" x14ac:dyDescent="0.2">
      <c r="A1368" s="317">
        <v>91982</v>
      </c>
      <c r="B1368" s="895">
        <v>91982</v>
      </c>
      <c r="C1368" s="896" t="s">
        <v>596</v>
      </c>
      <c r="D1368" s="906" t="s">
        <v>1294</v>
      </c>
      <c r="E1368" s="907">
        <f>GLOBAL_DER_FEV_2023!E1368</f>
        <v>0</v>
      </c>
      <c r="F1368" s="908">
        <f>GLOBAL_DER_FEV_2023!F1368</f>
        <v>0</v>
      </c>
      <c r="G1368" s="912">
        <f>GLOBAL_DER_FEV_2023!G1368</f>
        <v>0</v>
      </c>
      <c r="H1368" s="901">
        <f>GLOBAL_DER_FEV_2023!H1368</f>
        <v>102.63</v>
      </c>
      <c r="I1368" s="901">
        <f>GLOBAL_DER_FEV_2023!I1368</f>
        <v>102.63</v>
      </c>
      <c r="J1368" s="902">
        <f>GLOBAL_DER_FEV_2023!J1368</f>
        <v>123.23</v>
      </c>
      <c r="K1368" s="903" t="s">
        <v>1516</v>
      </c>
      <c r="L1368" s="1137"/>
      <c r="M1368" s="1138">
        <f t="shared" si="153"/>
        <v>0</v>
      </c>
      <c r="N1368" s="893">
        <f t="shared" si="157"/>
        <v>0</v>
      </c>
      <c r="O1368" s="905"/>
      <c r="Q1368" s="317" t="str">
        <f t="shared" si="154"/>
        <v/>
      </c>
      <c r="R1368" s="317" t="str">
        <f t="shared" si="155"/>
        <v/>
      </c>
      <c r="S1368" s="317" t="str">
        <f t="shared" si="156"/>
        <v/>
      </c>
      <c r="T1368" s="317" t="str">
        <f>GLOBAL_DER_FEV_2023!S1368</f>
        <v/>
      </c>
      <c r="W1368" s="582">
        <v>0</v>
      </c>
      <c r="X1368" s="580"/>
      <c r="Y1368" s="583">
        <f>IF(GLOBAL_DER_FEV_2023!W1368=0,0,IF(GLOBAL_DER_FEV_2023!W1368&gt;0,"c","b"))</f>
        <v>0</v>
      </c>
    </row>
    <row r="1369" spans="1:25" ht="22.5" x14ac:dyDescent="0.2">
      <c r="A1369" s="317">
        <v>91983</v>
      </c>
      <c r="B1369" s="895">
        <v>91983</v>
      </c>
      <c r="C1369" s="896" t="s">
        <v>596</v>
      </c>
      <c r="D1369" s="906" t="s">
        <v>1295</v>
      </c>
      <c r="E1369" s="907">
        <f>GLOBAL_DER_FEV_2023!E1369</f>
        <v>0</v>
      </c>
      <c r="F1369" s="908">
        <f>GLOBAL_DER_FEV_2023!F1369</f>
        <v>0</v>
      </c>
      <c r="G1369" s="912">
        <f>GLOBAL_DER_FEV_2023!G1369</f>
        <v>0</v>
      </c>
      <c r="H1369" s="901">
        <f>GLOBAL_DER_FEV_2023!H1369</f>
        <v>111.86</v>
      </c>
      <c r="I1369" s="901">
        <f>GLOBAL_DER_FEV_2023!I1369</f>
        <v>111.86</v>
      </c>
      <c r="J1369" s="902">
        <f>GLOBAL_DER_FEV_2023!J1369</f>
        <v>134.31</v>
      </c>
      <c r="K1369" s="903" t="s">
        <v>1516</v>
      </c>
      <c r="L1369" s="1137"/>
      <c r="M1369" s="1138">
        <f t="shared" si="153"/>
        <v>0</v>
      </c>
      <c r="N1369" s="893">
        <f t="shared" si="157"/>
        <v>0</v>
      </c>
      <c r="O1369" s="905"/>
      <c r="Q1369" s="317" t="str">
        <f t="shared" si="154"/>
        <v/>
      </c>
      <c r="R1369" s="317" t="str">
        <f t="shared" si="155"/>
        <v/>
      </c>
      <c r="S1369" s="317" t="str">
        <f t="shared" si="156"/>
        <v/>
      </c>
      <c r="T1369" s="317" t="str">
        <f>GLOBAL_DER_FEV_2023!S1369</f>
        <v/>
      </c>
      <c r="W1369" s="582">
        <v>0</v>
      </c>
      <c r="X1369" s="580"/>
      <c r="Y1369" s="583">
        <f>IF(GLOBAL_DER_FEV_2023!W1369=0,0,IF(GLOBAL_DER_FEV_2023!W1369&gt;0,"c","b"))</f>
        <v>0</v>
      </c>
    </row>
    <row r="1370" spans="1:25" ht="22.5" x14ac:dyDescent="0.2">
      <c r="A1370" s="317">
        <v>91984</v>
      </c>
      <c r="B1370" s="895">
        <v>91984</v>
      </c>
      <c r="C1370" s="896" t="s">
        <v>596</v>
      </c>
      <c r="D1370" s="906" t="s">
        <v>1296</v>
      </c>
      <c r="E1370" s="907">
        <f>GLOBAL_DER_FEV_2023!E1370</f>
        <v>0</v>
      </c>
      <c r="F1370" s="908">
        <f>GLOBAL_DER_FEV_2023!F1370</f>
        <v>0</v>
      </c>
      <c r="G1370" s="912">
        <f>GLOBAL_DER_FEV_2023!G1370</f>
        <v>0</v>
      </c>
      <c r="H1370" s="901">
        <f>GLOBAL_DER_FEV_2023!H1370</f>
        <v>20.2</v>
      </c>
      <c r="I1370" s="901">
        <f>GLOBAL_DER_FEV_2023!I1370</f>
        <v>20.2</v>
      </c>
      <c r="J1370" s="902">
        <f>GLOBAL_DER_FEV_2023!J1370</f>
        <v>24.25</v>
      </c>
      <c r="K1370" s="903" t="s">
        <v>1516</v>
      </c>
      <c r="L1370" s="1137"/>
      <c r="M1370" s="1138">
        <f t="shared" si="153"/>
        <v>0</v>
      </c>
      <c r="N1370" s="893">
        <f t="shared" si="157"/>
        <v>0</v>
      </c>
      <c r="O1370" s="905"/>
      <c r="Q1370" s="317" t="str">
        <f t="shared" si="154"/>
        <v/>
      </c>
      <c r="R1370" s="317" t="str">
        <f t="shared" si="155"/>
        <v/>
      </c>
      <c r="S1370" s="317" t="str">
        <f t="shared" si="156"/>
        <v/>
      </c>
      <c r="T1370" s="317" t="str">
        <f>GLOBAL_DER_FEV_2023!S1370</f>
        <v/>
      </c>
      <c r="W1370" s="582">
        <v>0</v>
      </c>
      <c r="X1370" s="580"/>
      <c r="Y1370" s="583">
        <f>IF(GLOBAL_DER_FEV_2023!W1370=0,0,IF(GLOBAL_DER_FEV_2023!W1370&gt;0,"c","b"))</f>
        <v>0</v>
      </c>
    </row>
    <row r="1371" spans="1:25" ht="22.5" x14ac:dyDescent="0.2">
      <c r="A1371" s="317">
        <v>91985</v>
      </c>
      <c r="B1371" s="895">
        <v>91985</v>
      </c>
      <c r="C1371" s="896" t="s">
        <v>596</v>
      </c>
      <c r="D1371" s="906" t="s">
        <v>1297</v>
      </c>
      <c r="E1371" s="907">
        <f>GLOBAL_DER_FEV_2023!E1371</f>
        <v>0</v>
      </c>
      <c r="F1371" s="908">
        <f>GLOBAL_DER_FEV_2023!F1371</f>
        <v>0</v>
      </c>
      <c r="G1371" s="912">
        <f>GLOBAL_DER_FEV_2023!G1371</f>
        <v>0</v>
      </c>
      <c r="H1371" s="901">
        <f>GLOBAL_DER_FEV_2023!H1371</f>
        <v>29.43</v>
      </c>
      <c r="I1371" s="901">
        <f>GLOBAL_DER_FEV_2023!I1371</f>
        <v>29.43</v>
      </c>
      <c r="J1371" s="902">
        <f>GLOBAL_DER_FEV_2023!J1371</f>
        <v>35.340000000000003</v>
      </c>
      <c r="K1371" s="903" t="s">
        <v>1516</v>
      </c>
      <c r="L1371" s="1137"/>
      <c r="M1371" s="1138">
        <f t="shared" si="153"/>
        <v>0</v>
      </c>
      <c r="N1371" s="893">
        <f t="shared" si="157"/>
        <v>0</v>
      </c>
      <c r="O1371" s="905"/>
      <c r="Q1371" s="317" t="str">
        <f t="shared" si="154"/>
        <v/>
      </c>
      <c r="R1371" s="317" t="str">
        <f t="shared" si="155"/>
        <v/>
      </c>
      <c r="S1371" s="317" t="str">
        <f t="shared" si="156"/>
        <v/>
      </c>
      <c r="T1371" s="317" t="str">
        <f>GLOBAL_DER_FEV_2023!S1371</f>
        <v/>
      </c>
      <c r="W1371" s="582">
        <v>0</v>
      </c>
      <c r="X1371" s="580"/>
      <c r="Y1371" s="583">
        <f>IF(GLOBAL_DER_FEV_2023!W1371=0,0,IF(GLOBAL_DER_FEV_2023!W1371&gt;0,"c","b"))</f>
        <v>0</v>
      </c>
    </row>
    <row r="1372" spans="1:25" ht="22.5" x14ac:dyDescent="0.2">
      <c r="A1372" s="317">
        <v>91986</v>
      </c>
      <c r="B1372" s="895">
        <v>91986</v>
      </c>
      <c r="C1372" s="896" t="s">
        <v>596</v>
      </c>
      <c r="D1372" s="906" t="s">
        <v>1298</v>
      </c>
      <c r="E1372" s="907">
        <f>GLOBAL_DER_FEV_2023!E1372</f>
        <v>0</v>
      </c>
      <c r="F1372" s="908">
        <f>GLOBAL_DER_FEV_2023!F1372</f>
        <v>0</v>
      </c>
      <c r="G1372" s="912">
        <f>GLOBAL_DER_FEV_2023!G1372</f>
        <v>0</v>
      </c>
      <c r="H1372" s="901">
        <f>GLOBAL_DER_FEV_2023!H1372</f>
        <v>42.51</v>
      </c>
      <c r="I1372" s="901">
        <f>GLOBAL_DER_FEV_2023!I1372</f>
        <v>42.51</v>
      </c>
      <c r="J1372" s="902">
        <f>GLOBAL_DER_FEV_2023!J1372</f>
        <v>51.04</v>
      </c>
      <c r="K1372" s="903" t="s">
        <v>1516</v>
      </c>
      <c r="L1372" s="1137"/>
      <c r="M1372" s="1138">
        <f t="shared" si="153"/>
        <v>0</v>
      </c>
      <c r="N1372" s="893">
        <f t="shared" si="157"/>
        <v>0</v>
      </c>
      <c r="O1372" s="905"/>
      <c r="Q1372" s="317" t="str">
        <f t="shared" si="154"/>
        <v/>
      </c>
      <c r="R1372" s="317" t="str">
        <f t="shared" si="155"/>
        <v/>
      </c>
      <c r="S1372" s="317" t="str">
        <f t="shared" si="156"/>
        <v/>
      </c>
      <c r="T1372" s="317" t="str">
        <f>GLOBAL_DER_FEV_2023!S1372</f>
        <v/>
      </c>
      <c r="W1372" s="582">
        <v>0</v>
      </c>
      <c r="X1372" s="580"/>
      <c r="Y1372" s="583">
        <f>IF(GLOBAL_DER_FEV_2023!W1372=0,0,IF(GLOBAL_DER_FEV_2023!W1372&gt;0,"c","b"))</f>
        <v>0</v>
      </c>
    </row>
    <row r="1373" spans="1:25" ht="22.5" x14ac:dyDescent="0.2">
      <c r="A1373" s="317">
        <v>91987</v>
      </c>
      <c r="B1373" s="895">
        <v>91987</v>
      </c>
      <c r="C1373" s="896" t="s">
        <v>596</v>
      </c>
      <c r="D1373" s="906" t="s">
        <v>1299</v>
      </c>
      <c r="E1373" s="907">
        <f>GLOBAL_DER_FEV_2023!E1373</f>
        <v>0</v>
      </c>
      <c r="F1373" s="908">
        <f>GLOBAL_DER_FEV_2023!F1373</f>
        <v>0</v>
      </c>
      <c r="G1373" s="912">
        <f>GLOBAL_DER_FEV_2023!G1373</f>
        <v>0</v>
      </c>
      <c r="H1373" s="901">
        <f>GLOBAL_DER_FEV_2023!H1373</f>
        <v>51.74</v>
      </c>
      <c r="I1373" s="901">
        <f>GLOBAL_DER_FEV_2023!I1373</f>
        <v>51.74</v>
      </c>
      <c r="J1373" s="902">
        <f>GLOBAL_DER_FEV_2023!J1373</f>
        <v>62.12</v>
      </c>
      <c r="K1373" s="903" t="s">
        <v>1516</v>
      </c>
      <c r="L1373" s="1137"/>
      <c r="M1373" s="1138">
        <f t="shared" si="153"/>
        <v>0</v>
      </c>
      <c r="N1373" s="893">
        <f t="shared" si="157"/>
        <v>0</v>
      </c>
      <c r="O1373" s="905"/>
      <c r="Q1373" s="317" t="str">
        <f t="shared" si="154"/>
        <v/>
      </c>
      <c r="R1373" s="317" t="str">
        <f t="shared" si="155"/>
        <v/>
      </c>
      <c r="S1373" s="317" t="str">
        <f t="shared" si="156"/>
        <v/>
      </c>
      <c r="T1373" s="317" t="str">
        <f>GLOBAL_DER_FEV_2023!S1373</f>
        <v/>
      </c>
      <c r="W1373" s="582">
        <v>0</v>
      </c>
      <c r="X1373" s="580"/>
      <c r="Y1373" s="583">
        <f>IF(GLOBAL_DER_FEV_2023!W1373=0,0,IF(GLOBAL_DER_FEV_2023!W1373&gt;0,"c","b"))</f>
        <v>0</v>
      </c>
    </row>
    <row r="1374" spans="1:25" ht="22.5" x14ac:dyDescent="0.2">
      <c r="A1374" s="317">
        <v>91988</v>
      </c>
      <c r="B1374" s="895">
        <v>91988</v>
      </c>
      <c r="C1374" s="896" t="s">
        <v>596</v>
      </c>
      <c r="D1374" s="906" t="s">
        <v>1300</v>
      </c>
      <c r="E1374" s="907">
        <f>GLOBAL_DER_FEV_2023!E1374</f>
        <v>0</v>
      </c>
      <c r="F1374" s="908">
        <f>GLOBAL_DER_FEV_2023!F1374</f>
        <v>0</v>
      </c>
      <c r="G1374" s="912">
        <f>GLOBAL_DER_FEV_2023!G1374</f>
        <v>0</v>
      </c>
      <c r="H1374" s="901">
        <f>GLOBAL_DER_FEV_2023!H1374</f>
        <v>24.92</v>
      </c>
      <c r="I1374" s="901">
        <f>GLOBAL_DER_FEV_2023!I1374</f>
        <v>24.92</v>
      </c>
      <c r="J1374" s="902">
        <f>GLOBAL_DER_FEV_2023!J1374</f>
        <v>29.92</v>
      </c>
      <c r="K1374" s="903" t="s">
        <v>1516</v>
      </c>
      <c r="L1374" s="1137"/>
      <c r="M1374" s="1138">
        <f t="shared" si="153"/>
        <v>0</v>
      </c>
      <c r="N1374" s="893">
        <f t="shared" si="157"/>
        <v>0</v>
      </c>
      <c r="O1374" s="905"/>
      <c r="Q1374" s="317" t="str">
        <f t="shared" si="154"/>
        <v/>
      </c>
      <c r="R1374" s="317" t="str">
        <f t="shared" si="155"/>
        <v/>
      </c>
      <c r="S1374" s="317" t="str">
        <f t="shared" si="156"/>
        <v/>
      </c>
      <c r="T1374" s="317" t="str">
        <f>GLOBAL_DER_FEV_2023!S1374</f>
        <v/>
      </c>
      <c r="W1374" s="582">
        <v>0</v>
      </c>
      <c r="X1374" s="580"/>
      <c r="Y1374" s="583">
        <f>IF(GLOBAL_DER_FEV_2023!W1374=0,0,IF(GLOBAL_DER_FEV_2023!W1374&gt;0,"c","b"))</f>
        <v>0</v>
      </c>
    </row>
    <row r="1375" spans="1:25" ht="22.5" x14ac:dyDescent="0.2">
      <c r="A1375" s="317">
        <v>91989</v>
      </c>
      <c r="B1375" s="895">
        <v>91989</v>
      </c>
      <c r="C1375" s="896" t="s">
        <v>596</v>
      </c>
      <c r="D1375" s="906" t="s">
        <v>1301</v>
      </c>
      <c r="E1375" s="907">
        <f>GLOBAL_DER_FEV_2023!E1375</f>
        <v>0</v>
      </c>
      <c r="F1375" s="908">
        <f>GLOBAL_DER_FEV_2023!F1375</f>
        <v>0</v>
      </c>
      <c r="G1375" s="912">
        <f>GLOBAL_DER_FEV_2023!G1375</f>
        <v>0</v>
      </c>
      <c r="H1375" s="901">
        <f>GLOBAL_DER_FEV_2023!H1375</f>
        <v>34.15</v>
      </c>
      <c r="I1375" s="901">
        <f>GLOBAL_DER_FEV_2023!I1375</f>
        <v>34.15</v>
      </c>
      <c r="J1375" s="902">
        <f>GLOBAL_DER_FEV_2023!J1375</f>
        <v>41</v>
      </c>
      <c r="K1375" s="903" t="s">
        <v>1516</v>
      </c>
      <c r="L1375" s="1137"/>
      <c r="M1375" s="1138">
        <f t="shared" si="153"/>
        <v>0</v>
      </c>
      <c r="N1375" s="893">
        <f t="shared" si="157"/>
        <v>0</v>
      </c>
      <c r="O1375" s="905"/>
      <c r="Q1375" s="317" t="str">
        <f t="shared" si="154"/>
        <v/>
      </c>
      <c r="R1375" s="317" t="str">
        <f t="shared" si="155"/>
        <v/>
      </c>
      <c r="S1375" s="317" t="str">
        <f t="shared" si="156"/>
        <v/>
      </c>
      <c r="T1375" s="317" t="str">
        <f>GLOBAL_DER_FEV_2023!S1375</f>
        <v/>
      </c>
      <c r="W1375" s="582">
        <v>0</v>
      </c>
      <c r="X1375" s="580"/>
      <c r="Y1375" s="583">
        <f>IF(GLOBAL_DER_FEV_2023!W1375=0,0,IF(GLOBAL_DER_FEV_2023!W1375&gt;0,"c","b"))</f>
        <v>0</v>
      </c>
    </row>
    <row r="1376" spans="1:25" ht="22.5" x14ac:dyDescent="0.2">
      <c r="A1376" s="317">
        <v>91990</v>
      </c>
      <c r="B1376" s="895">
        <v>91990</v>
      </c>
      <c r="C1376" s="896" t="s">
        <v>596</v>
      </c>
      <c r="D1376" s="906" t="s">
        <v>1302</v>
      </c>
      <c r="E1376" s="907">
        <f>GLOBAL_DER_FEV_2023!E1376</f>
        <v>0</v>
      </c>
      <c r="F1376" s="908">
        <f>GLOBAL_DER_FEV_2023!F1376</f>
        <v>0</v>
      </c>
      <c r="G1376" s="912">
        <f>GLOBAL_DER_FEV_2023!G1376</f>
        <v>0</v>
      </c>
      <c r="H1376" s="901">
        <f>GLOBAL_DER_FEV_2023!H1376</f>
        <v>38.869999999999997</v>
      </c>
      <c r="I1376" s="901">
        <f>GLOBAL_DER_FEV_2023!I1376</f>
        <v>38.869999999999997</v>
      </c>
      <c r="J1376" s="902">
        <f>GLOBAL_DER_FEV_2023!J1376</f>
        <v>46.67</v>
      </c>
      <c r="K1376" s="903" t="s">
        <v>1516</v>
      </c>
      <c r="L1376" s="1137"/>
      <c r="M1376" s="1138">
        <f t="shared" si="153"/>
        <v>0</v>
      </c>
      <c r="N1376" s="893">
        <f t="shared" si="157"/>
        <v>0</v>
      </c>
      <c r="O1376" s="905"/>
      <c r="Q1376" s="317" t="str">
        <f t="shared" si="154"/>
        <v/>
      </c>
      <c r="R1376" s="317" t="str">
        <f t="shared" si="155"/>
        <v/>
      </c>
      <c r="S1376" s="317" t="str">
        <f t="shared" si="156"/>
        <v/>
      </c>
      <c r="T1376" s="317" t="str">
        <f>GLOBAL_DER_FEV_2023!S1376</f>
        <v/>
      </c>
      <c r="W1376" s="582">
        <v>0</v>
      </c>
      <c r="X1376" s="580"/>
      <c r="Y1376" s="583">
        <f>IF(GLOBAL_DER_FEV_2023!W1376=0,0,IF(GLOBAL_DER_FEV_2023!W1376&gt;0,"c","b"))</f>
        <v>0</v>
      </c>
    </row>
    <row r="1377" spans="1:25" ht="22.5" x14ac:dyDescent="0.2">
      <c r="A1377" s="317">
        <v>91991</v>
      </c>
      <c r="B1377" s="895">
        <v>91991</v>
      </c>
      <c r="C1377" s="896" t="s">
        <v>596</v>
      </c>
      <c r="D1377" s="906" t="s">
        <v>1303</v>
      </c>
      <c r="E1377" s="907">
        <f>GLOBAL_DER_FEV_2023!E1377</f>
        <v>0</v>
      </c>
      <c r="F1377" s="908">
        <f>GLOBAL_DER_FEV_2023!F1377</f>
        <v>0</v>
      </c>
      <c r="G1377" s="912">
        <f>GLOBAL_DER_FEV_2023!G1377</f>
        <v>0</v>
      </c>
      <c r="H1377" s="901">
        <f>GLOBAL_DER_FEV_2023!H1377</f>
        <v>41.42</v>
      </c>
      <c r="I1377" s="901">
        <f>GLOBAL_DER_FEV_2023!I1377</f>
        <v>41.42</v>
      </c>
      <c r="J1377" s="902">
        <f>GLOBAL_DER_FEV_2023!J1377</f>
        <v>49.73</v>
      </c>
      <c r="K1377" s="903" t="s">
        <v>1516</v>
      </c>
      <c r="L1377" s="1137"/>
      <c r="M1377" s="1138">
        <f t="shared" si="153"/>
        <v>0</v>
      </c>
      <c r="N1377" s="893">
        <f t="shared" si="157"/>
        <v>0</v>
      </c>
      <c r="O1377" s="905"/>
      <c r="Q1377" s="317" t="str">
        <f t="shared" si="154"/>
        <v/>
      </c>
      <c r="R1377" s="317" t="str">
        <f t="shared" si="155"/>
        <v/>
      </c>
      <c r="S1377" s="317" t="str">
        <f t="shared" si="156"/>
        <v/>
      </c>
      <c r="T1377" s="317" t="str">
        <f>GLOBAL_DER_FEV_2023!S1377</f>
        <v/>
      </c>
      <c r="W1377" s="582">
        <v>0</v>
      </c>
      <c r="X1377" s="580"/>
      <c r="Y1377" s="583">
        <f>IF(GLOBAL_DER_FEV_2023!W1377=0,0,IF(GLOBAL_DER_FEV_2023!W1377&gt;0,"c","b"))</f>
        <v>0</v>
      </c>
    </row>
    <row r="1378" spans="1:25" ht="22.5" x14ac:dyDescent="0.2">
      <c r="A1378" s="317">
        <v>91992</v>
      </c>
      <c r="B1378" s="895">
        <v>91992</v>
      </c>
      <c r="C1378" s="896" t="s">
        <v>596</v>
      </c>
      <c r="D1378" s="906" t="s">
        <v>1304</v>
      </c>
      <c r="E1378" s="907">
        <f>GLOBAL_DER_FEV_2023!E1378</f>
        <v>0</v>
      </c>
      <c r="F1378" s="908">
        <f>GLOBAL_DER_FEV_2023!F1378</f>
        <v>0</v>
      </c>
      <c r="G1378" s="912">
        <f>GLOBAL_DER_FEV_2023!G1378</f>
        <v>0</v>
      </c>
      <c r="H1378" s="901">
        <f>GLOBAL_DER_FEV_2023!H1378</f>
        <v>48.1</v>
      </c>
      <c r="I1378" s="901">
        <f>GLOBAL_DER_FEV_2023!I1378</f>
        <v>48.1</v>
      </c>
      <c r="J1378" s="902">
        <f>GLOBAL_DER_FEV_2023!J1378</f>
        <v>57.75</v>
      </c>
      <c r="K1378" s="903" t="s">
        <v>1516</v>
      </c>
      <c r="L1378" s="1137"/>
      <c r="M1378" s="1138">
        <f t="shared" si="153"/>
        <v>0</v>
      </c>
      <c r="N1378" s="893">
        <f t="shared" si="157"/>
        <v>0</v>
      </c>
      <c r="O1378" s="905"/>
      <c r="Q1378" s="317" t="str">
        <f t="shared" si="154"/>
        <v/>
      </c>
      <c r="R1378" s="317" t="str">
        <f t="shared" si="155"/>
        <v/>
      </c>
      <c r="S1378" s="317" t="str">
        <f t="shared" si="156"/>
        <v/>
      </c>
      <c r="T1378" s="317" t="str">
        <f>GLOBAL_DER_FEV_2023!S1378</f>
        <v/>
      </c>
      <c r="W1378" s="582">
        <v>0</v>
      </c>
      <c r="X1378" s="580"/>
      <c r="Y1378" s="583">
        <f>IF(GLOBAL_DER_FEV_2023!W1378=0,0,IF(GLOBAL_DER_FEV_2023!W1378&gt;0,"c","b"))</f>
        <v>0</v>
      </c>
    </row>
    <row r="1379" spans="1:25" ht="22.5" x14ac:dyDescent="0.2">
      <c r="A1379" s="317">
        <v>91993</v>
      </c>
      <c r="B1379" s="895">
        <v>91993</v>
      </c>
      <c r="C1379" s="896" t="s">
        <v>596</v>
      </c>
      <c r="D1379" s="906" t="s">
        <v>1305</v>
      </c>
      <c r="E1379" s="907">
        <f>GLOBAL_DER_FEV_2023!E1379</f>
        <v>0</v>
      </c>
      <c r="F1379" s="908">
        <f>GLOBAL_DER_FEV_2023!F1379</f>
        <v>0</v>
      </c>
      <c r="G1379" s="912">
        <f>GLOBAL_DER_FEV_2023!G1379</f>
        <v>0</v>
      </c>
      <c r="H1379" s="901">
        <f>GLOBAL_DER_FEV_2023!H1379</f>
        <v>50.65</v>
      </c>
      <c r="I1379" s="901">
        <f>GLOBAL_DER_FEV_2023!I1379</f>
        <v>50.65</v>
      </c>
      <c r="J1379" s="902">
        <f>GLOBAL_DER_FEV_2023!J1379</f>
        <v>60.82</v>
      </c>
      <c r="K1379" s="903" t="s">
        <v>1516</v>
      </c>
      <c r="L1379" s="1137"/>
      <c r="M1379" s="1138">
        <f t="shared" si="153"/>
        <v>0</v>
      </c>
      <c r="N1379" s="893">
        <f t="shared" si="157"/>
        <v>0</v>
      </c>
      <c r="O1379" s="905"/>
      <c r="Q1379" s="317" t="str">
        <f t="shared" si="154"/>
        <v/>
      </c>
      <c r="R1379" s="317" t="str">
        <f t="shared" si="155"/>
        <v/>
      </c>
      <c r="S1379" s="317" t="str">
        <f t="shared" si="156"/>
        <v/>
      </c>
      <c r="T1379" s="317" t="str">
        <f>GLOBAL_DER_FEV_2023!S1379</f>
        <v/>
      </c>
      <c r="W1379" s="582">
        <v>0</v>
      </c>
      <c r="X1379" s="580"/>
      <c r="Y1379" s="583">
        <f>IF(GLOBAL_DER_FEV_2023!W1379=0,0,IF(GLOBAL_DER_FEV_2023!W1379&gt;0,"c","b"))</f>
        <v>0</v>
      </c>
    </row>
    <row r="1380" spans="1:25" ht="22.5" x14ac:dyDescent="0.2">
      <c r="A1380" s="317">
        <v>91994</v>
      </c>
      <c r="B1380" s="895">
        <v>91994</v>
      </c>
      <c r="C1380" s="896" t="s">
        <v>596</v>
      </c>
      <c r="D1380" s="906" t="s">
        <v>1306</v>
      </c>
      <c r="E1380" s="907">
        <f>GLOBAL_DER_FEV_2023!E1380</f>
        <v>0</v>
      </c>
      <c r="F1380" s="908">
        <f>GLOBAL_DER_FEV_2023!F1380</f>
        <v>0</v>
      </c>
      <c r="G1380" s="912">
        <f>GLOBAL_DER_FEV_2023!G1380</f>
        <v>0</v>
      </c>
      <c r="H1380" s="901">
        <f>GLOBAL_DER_FEV_2023!H1380</f>
        <v>27.58</v>
      </c>
      <c r="I1380" s="901">
        <f>GLOBAL_DER_FEV_2023!I1380</f>
        <v>27.58</v>
      </c>
      <c r="J1380" s="902">
        <f>GLOBAL_DER_FEV_2023!J1380</f>
        <v>33.119999999999997</v>
      </c>
      <c r="K1380" s="903" t="s">
        <v>1516</v>
      </c>
      <c r="L1380" s="1137"/>
      <c r="M1380" s="1138">
        <f t="shared" si="153"/>
        <v>0</v>
      </c>
      <c r="N1380" s="893">
        <f t="shared" si="157"/>
        <v>0</v>
      </c>
      <c r="O1380" s="905"/>
      <c r="Q1380" s="317" t="str">
        <f t="shared" si="154"/>
        <v/>
      </c>
      <c r="R1380" s="317" t="str">
        <f t="shared" si="155"/>
        <v/>
      </c>
      <c r="S1380" s="317" t="str">
        <f t="shared" si="156"/>
        <v/>
      </c>
      <c r="T1380" s="317" t="str">
        <f>GLOBAL_DER_FEV_2023!S1380</f>
        <v/>
      </c>
      <c r="W1380" s="582">
        <v>0</v>
      </c>
      <c r="X1380" s="580"/>
      <c r="Y1380" s="583">
        <f>IF(GLOBAL_DER_FEV_2023!W1380=0,0,IF(GLOBAL_DER_FEV_2023!W1380&gt;0,"c","b"))</f>
        <v>0</v>
      </c>
    </row>
    <row r="1381" spans="1:25" ht="22.5" x14ac:dyDescent="0.2">
      <c r="A1381" s="317">
        <v>91995</v>
      </c>
      <c r="B1381" s="895">
        <v>91995</v>
      </c>
      <c r="C1381" s="896" t="s">
        <v>596</v>
      </c>
      <c r="D1381" s="906" t="s">
        <v>1307</v>
      </c>
      <c r="E1381" s="907">
        <f>GLOBAL_DER_FEV_2023!E1381</f>
        <v>0</v>
      </c>
      <c r="F1381" s="908">
        <f>GLOBAL_DER_FEV_2023!F1381</f>
        <v>0</v>
      </c>
      <c r="G1381" s="912">
        <f>GLOBAL_DER_FEV_2023!G1381</f>
        <v>0</v>
      </c>
      <c r="H1381" s="901">
        <f>GLOBAL_DER_FEV_2023!H1381</f>
        <v>30.13</v>
      </c>
      <c r="I1381" s="901">
        <f>GLOBAL_DER_FEV_2023!I1381</f>
        <v>30.13</v>
      </c>
      <c r="J1381" s="902">
        <f>GLOBAL_DER_FEV_2023!J1381</f>
        <v>36.18</v>
      </c>
      <c r="K1381" s="903" t="s">
        <v>1516</v>
      </c>
      <c r="L1381" s="1137"/>
      <c r="M1381" s="1138">
        <f t="shared" si="153"/>
        <v>0</v>
      </c>
      <c r="N1381" s="893">
        <f t="shared" si="157"/>
        <v>0</v>
      </c>
      <c r="O1381" s="905"/>
      <c r="Q1381" s="317" t="str">
        <f t="shared" si="154"/>
        <v/>
      </c>
      <c r="R1381" s="317" t="str">
        <f t="shared" si="155"/>
        <v/>
      </c>
      <c r="S1381" s="317" t="str">
        <f t="shared" si="156"/>
        <v/>
      </c>
      <c r="T1381" s="317" t="str">
        <f>GLOBAL_DER_FEV_2023!S1381</f>
        <v/>
      </c>
      <c r="W1381" s="582">
        <v>0</v>
      </c>
      <c r="X1381" s="580"/>
      <c r="Y1381" s="583">
        <f>IF(GLOBAL_DER_FEV_2023!W1381=0,0,IF(GLOBAL_DER_FEV_2023!W1381&gt;0,"c","b"))</f>
        <v>0</v>
      </c>
    </row>
    <row r="1382" spans="1:25" ht="22.5" x14ac:dyDescent="0.2">
      <c r="A1382" s="317">
        <v>91996</v>
      </c>
      <c r="B1382" s="895">
        <v>91996</v>
      </c>
      <c r="C1382" s="896" t="s">
        <v>596</v>
      </c>
      <c r="D1382" s="906" t="s">
        <v>1308</v>
      </c>
      <c r="E1382" s="907">
        <f>GLOBAL_DER_FEV_2023!E1382</f>
        <v>0</v>
      </c>
      <c r="F1382" s="908">
        <f>GLOBAL_DER_FEV_2023!F1382</f>
        <v>0</v>
      </c>
      <c r="G1382" s="912">
        <f>GLOBAL_DER_FEV_2023!G1382</f>
        <v>0</v>
      </c>
      <c r="H1382" s="901">
        <f>GLOBAL_DER_FEV_2023!H1382</f>
        <v>36.81</v>
      </c>
      <c r="I1382" s="901">
        <f>GLOBAL_DER_FEV_2023!I1382</f>
        <v>36.81</v>
      </c>
      <c r="J1382" s="902">
        <f>GLOBAL_DER_FEV_2023!J1382</f>
        <v>44.2</v>
      </c>
      <c r="K1382" s="903" t="s">
        <v>1516</v>
      </c>
      <c r="L1382" s="1137"/>
      <c r="M1382" s="1138">
        <f t="shared" si="153"/>
        <v>0</v>
      </c>
      <c r="N1382" s="893">
        <f t="shared" si="157"/>
        <v>0</v>
      </c>
      <c r="O1382" s="905"/>
      <c r="Q1382" s="317" t="str">
        <f t="shared" si="154"/>
        <v/>
      </c>
      <c r="R1382" s="317" t="str">
        <f t="shared" si="155"/>
        <v/>
      </c>
      <c r="S1382" s="317" t="str">
        <f t="shared" si="156"/>
        <v/>
      </c>
      <c r="T1382" s="317" t="str">
        <f>GLOBAL_DER_FEV_2023!S1382</f>
        <v/>
      </c>
      <c r="W1382" s="582">
        <v>0</v>
      </c>
      <c r="X1382" s="580"/>
      <c r="Y1382" s="583">
        <f>IF(GLOBAL_DER_FEV_2023!W1382=0,0,IF(GLOBAL_DER_FEV_2023!W1382&gt;0,"c","b"))</f>
        <v>0</v>
      </c>
    </row>
    <row r="1383" spans="1:25" ht="22.5" x14ac:dyDescent="0.2">
      <c r="A1383" s="317">
        <v>91997</v>
      </c>
      <c r="B1383" s="895">
        <v>91997</v>
      </c>
      <c r="C1383" s="896" t="s">
        <v>596</v>
      </c>
      <c r="D1383" s="906" t="s">
        <v>1309</v>
      </c>
      <c r="E1383" s="907">
        <f>GLOBAL_DER_FEV_2023!E1383</f>
        <v>0</v>
      </c>
      <c r="F1383" s="908">
        <f>GLOBAL_DER_FEV_2023!F1383</f>
        <v>0</v>
      </c>
      <c r="G1383" s="912">
        <f>GLOBAL_DER_FEV_2023!G1383</f>
        <v>0</v>
      </c>
      <c r="H1383" s="901">
        <f>GLOBAL_DER_FEV_2023!H1383</f>
        <v>39.36</v>
      </c>
      <c r="I1383" s="901">
        <f>GLOBAL_DER_FEV_2023!I1383</f>
        <v>39.36</v>
      </c>
      <c r="J1383" s="902">
        <f>GLOBAL_DER_FEV_2023!J1383</f>
        <v>47.26</v>
      </c>
      <c r="K1383" s="903" t="s">
        <v>1516</v>
      </c>
      <c r="L1383" s="1137"/>
      <c r="M1383" s="1138">
        <f t="shared" si="153"/>
        <v>0</v>
      </c>
      <c r="N1383" s="893">
        <f t="shared" si="157"/>
        <v>0</v>
      </c>
      <c r="O1383" s="905"/>
      <c r="Q1383" s="317" t="str">
        <f t="shared" si="154"/>
        <v/>
      </c>
      <c r="R1383" s="317" t="str">
        <f t="shared" si="155"/>
        <v/>
      </c>
      <c r="S1383" s="317" t="str">
        <f t="shared" si="156"/>
        <v/>
      </c>
      <c r="T1383" s="317" t="str">
        <f>GLOBAL_DER_FEV_2023!S1383</f>
        <v/>
      </c>
      <c r="W1383" s="582">
        <v>0</v>
      </c>
      <c r="X1383" s="580"/>
      <c r="Y1383" s="583">
        <f>IF(GLOBAL_DER_FEV_2023!W1383=0,0,IF(GLOBAL_DER_FEV_2023!W1383&gt;0,"c","b"))</f>
        <v>0</v>
      </c>
    </row>
    <row r="1384" spans="1:25" ht="22.5" x14ac:dyDescent="0.2">
      <c r="A1384" s="317">
        <v>91998</v>
      </c>
      <c r="B1384" s="895">
        <v>91998</v>
      </c>
      <c r="C1384" s="896" t="s">
        <v>596</v>
      </c>
      <c r="D1384" s="906" t="s">
        <v>1310</v>
      </c>
      <c r="E1384" s="907">
        <f>GLOBAL_DER_FEV_2023!E1384</f>
        <v>0</v>
      </c>
      <c r="F1384" s="908">
        <f>GLOBAL_DER_FEV_2023!F1384</f>
        <v>0</v>
      </c>
      <c r="G1384" s="912">
        <f>GLOBAL_DER_FEV_2023!G1384</f>
        <v>0</v>
      </c>
      <c r="H1384" s="901">
        <f>GLOBAL_DER_FEV_2023!H1384</f>
        <v>23.2</v>
      </c>
      <c r="I1384" s="901">
        <f>GLOBAL_DER_FEV_2023!I1384</f>
        <v>23.2</v>
      </c>
      <c r="J1384" s="902">
        <f>GLOBAL_DER_FEV_2023!J1384</f>
        <v>27.86</v>
      </c>
      <c r="K1384" s="903" t="s">
        <v>1516</v>
      </c>
      <c r="L1384" s="1137"/>
      <c r="M1384" s="1138">
        <f t="shared" si="153"/>
        <v>0</v>
      </c>
      <c r="N1384" s="893">
        <f t="shared" si="157"/>
        <v>0</v>
      </c>
      <c r="O1384" s="905"/>
      <c r="Q1384" s="317" t="str">
        <f t="shared" si="154"/>
        <v/>
      </c>
      <c r="R1384" s="317" t="str">
        <f t="shared" si="155"/>
        <v/>
      </c>
      <c r="S1384" s="317" t="str">
        <f t="shared" si="156"/>
        <v/>
      </c>
      <c r="T1384" s="317" t="str">
        <f>GLOBAL_DER_FEV_2023!S1384</f>
        <v/>
      </c>
      <c r="W1384" s="582">
        <v>0</v>
      </c>
      <c r="X1384" s="580"/>
      <c r="Y1384" s="583">
        <f>IF(GLOBAL_DER_FEV_2023!W1384=0,0,IF(GLOBAL_DER_FEV_2023!W1384&gt;0,"c","b"))</f>
        <v>0</v>
      </c>
    </row>
    <row r="1385" spans="1:25" ht="22.5" x14ac:dyDescent="0.2">
      <c r="A1385" s="317">
        <v>91999</v>
      </c>
      <c r="B1385" s="895">
        <v>91999</v>
      </c>
      <c r="C1385" s="896" t="s">
        <v>596</v>
      </c>
      <c r="D1385" s="906" t="s">
        <v>1311</v>
      </c>
      <c r="E1385" s="907">
        <f>GLOBAL_DER_FEV_2023!E1385</f>
        <v>0</v>
      </c>
      <c r="F1385" s="908">
        <f>GLOBAL_DER_FEV_2023!F1385</f>
        <v>0</v>
      </c>
      <c r="G1385" s="912">
        <f>GLOBAL_DER_FEV_2023!G1385</f>
        <v>0</v>
      </c>
      <c r="H1385" s="901">
        <f>GLOBAL_DER_FEV_2023!H1385</f>
        <v>25.75</v>
      </c>
      <c r="I1385" s="901">
        <f>GLOBAL_DER_FEV_2023!I1385</f>
        <v>25.75</v>
      </c>
      <c r="J1385" s="902">
        <f>GLOBAL_DER_FEV_2023!J1385</f>
        <v>30.92</v>
      </c>
      <c r="K1385" s="903" t="s">
        <v>1516</v>
      </c>
      <c r="L1385" s="1137"/>
      <c r="M1385" s="1138">
        <f t="shared" si="153"/>
        <v>0</v>
      </c>
      <c r="N1385" s="893">
        <f t="shared" si="157"/>
        <v>0</v>
      </c>
      <c r="O1385" s="905"/>
      <c r="Q1385" s="317" t="str">
        <f t="shared" si="154"/>
        <v/>
      </c>
      <c r="R1385" s="317" t="str">
        <f t="shared" si="155"/>
        <v/>
      </c>
      <c r="S1385" s="317" t="str">
        <f t="shared" si="156"/>
        <v/>
      </c>
      <c r="T1385" s="317" t="str">
        <f>GLOBAL_DER_FEV_2023!S1385</f>
        <v/>
      </c>
      <c r="W1385" s="582">
        <v>0</v>
      </c>
      <c r="X1385" s="580"/>
      <c r="Y1385" s="583">
        <f>IF(GLOBAL_DER_FEV_2023!W1385=0,0,IF(GLOBAL_DER_FEV_2023!W1385&gt;0,"c","b"))</f>
        <v>0</v>
      </c>
    </row>
    <row r="1386" spans="1:25" ht="22.5" x14ac:dyDescent="0.2">
      <c r="A1386" s="317">
        <v>92000</v>
      </c>
      <c r="B1386" s="895">
        <v>92000</v>
      </c>
      <c r="C1386" s="896" t="s">
        <v>596</v>
      </c>
      <c r="D1386" s="906" t="s">
        <v>1312</v>
      </c>
      <c r="E1386" s="907">
        <f>GLOBAL_DER_FEV_2023!E1386</f>
        <v>0</v>
      </c>
      <c r="F1386" s="908">
        <f>GLOBAL_DER_FEV_2023!F1386</f>
        <v>0</v>
      </c>
      <c r="G1386" s="912">
        <f>GLOBAL_DER_FEV_2023!G1386</f>
        <v>0</v>
      </c>
      <c r="H1386" s="901">
        <f>GLOBAL_DER_FEV_2023!H1386</f>
        <v>32.43</v>
      </c>
      <c r="I1386" s="901">
        <f>GLOBAL_DER_FEV_2023!I1386</f>
        <v>32.43</v>
      </c>
      <c r="J1386" s="902">
        <f>GLOBAL_DER_FEV_2023!J1386</f>
        <v>38.94</v>
      </c>
      <c r="K1386" s="903" t="s">
        <v>1516</v>
      </c>
      <c r="L1386" s="1137"/>
      <c r="M1386" s="1138">
        <f t="shared" si="153"/>
        <v>0</v>
      </c>
      <c r="N1386" s="893">
        <f t="shared" si="157"/>
        <v>0</v>
      </c>
      <c r="O1386" s="905"/>
      <c r="Q1386" s="317" t="str">
        <f t="shared" si="154"/>
        <v/>
      </c>
      <c r="R1386" s="317" t="str">
        <f t="shared" si="155"/>
        <v/>
      </c>
      <c r="S1386" s="317" t="str">
        <f t="shared" si="156"/>
        <v/>
      </c>
      <c r="T1386" s="317" t="str">
        <f>GLOBAL_DER_FEV_2023!S1386</f>
        <v/>
      </c>
      <c r="W1386" s="582">
        <v>0</v>
      </c>
      <c r="X1386" s="580"/>
      <c r="Y1386" s="583">
        <f>IF(GLOBAL_DER_FEV_2023!W1386=0,0,IF(GLOBAL_DER_FEV_2023!W1386&gt;0,"c","b"))</f>
        <v>0</v>
      </c>
    </row>
    <row r="1387" spans="1:25" ht="22.5" x14ac:dyDescent="0.2">
      <c r="A1387" s="317">
        <v>92001</v>
      </c>
      <c r="B1387" s="895">
        <v>92001</v>
      </c>
      <c r="C1387" s="896" t="s">
        <v>596</v>
      </c>
      <c r="D1387" s="906" t="s">
        <v>1313</v>
      </c>
      <c r="E1387" s="907">
        <f>GLOBAL_DER_FEV_2023!E1387</f>
        <v>0</v>
      </c>
      <c r="F1387" s="908">
        <f>GLOBAL_DER_FEV_2023!F1387</f>
        <v>0</v>
      </c>
      <c r="G1387" s="912">
        <f>GLOBAL_DER_FEV_2023!G1387</f>
        <v>0</v>
      </c>
      <c r="H1387" s="901">
        <f>GLOBAL_DER_FEV_2023!H1387</f>
        <v>34.979999999999997</v>
      </c>
      <c r="I1387" s="901">
        <f>GLOBAL_DER_FEV_2023!I1387</f>
        <v>34.979999999999997</v>
      </c>
      <c r="J1387" s="902">
        <f>GLOBAL_DER_FEV_2023!J1387</f>
        <v>42</v>
      </c>
      <c r="K1387" s="903" t="s">
        <v>1516</v>
      </c>
      <c r="L1387" s="1137"/>
      <c r="M1387" s="1138">
        <f t="shared" si="153"/>
        <v>0</v>
      </c>
      <c r="N1387" s="893">
        <f t="shared" si="157"/>
        <v>0</v>
      </c>
      <c r="O1387" s="905"/>
      <c r="Q1387" s="317" t="str">
        <f t="shared" si="154"/>
        <v/>
      </c>
      <c r="R1387" s="317" t="str">
        <f t="shared" si="155"/>
        <v/>
      </c>
      <c r="S1387" s="317" t="str">
        <f t="shared" si="156"/>
        <v/>
      </c>
      <c r="T1387" s="317" t="str">
        <f>GLOBAL_DER_FEV_2023!S1387</f>
        <v/>
      </c>
      <c r="W1387" s="582">
        <v>0</v>
      </c>
      <c r="X1387" s="580"/>
      <c r="Y1387" s="583">
        <f>IF(GLOBAL_DER_FEV_2023!W1387=0,0,IF(GLOBAL_DER_FEV_2023!W1387&gt;0,"c","b"))</f>
        <v>0</v>
      </c>
    </row>
    <row r="1388" spans="1:25" ht="22.5" x14ac:dyDescent="0.2">
      <c r="A1388" s="317">
        <v>92002</v>
      </c>
      <c r="B1388" s="895">
        <v>92002</v>
      </c>
      <c r="C1388" s="896" t="s">
        <v>596</v>
      </c>
      <c r="D1388" s="906" t="s">
        <v>1314</v>
      </c>
      <c r="E1388" s="907">
        <f>GLOBAL_DER_FEV_2023!E1388</f>
        <v>0</v>
      </c>
      <c r="F1388" s="908">
        <f>GLOBAL_DER_FEV_2023!F1388</f>
        <v>0</v>
      </c>
      <c r="G1388" s="912">
        <f>GLOBAL_DER_FEV_2023!G1388</f>
        <v>0</v>
      </c>
      <c r="H1388" s="901">
        <f>GLOBAL_DER_FEV_2023!H1388</f>
        <v>51.51</v>
      </c>
      <c r="I1388" s="901">
        <f>GLOBAL_DER_FEV_2023!I1388</f>
        <v>51.51</v>
      </c>
      <c r="J1388" s="902">
        <f>GLOBAL_DER_FEV_2023!J1388</f>
        <v>61.85</v>
      </c>
      <c r="K1388" s="903" t="s">
        <v>1516</v>
      </c>
      <c r="L1388" s="1137"/>
      <c r="M1388" s="1138">
        <f t="shared" si="153"/>
        <v>0</v>
      </c>
      <c r="N1388" s="893">
        <f t="shared" si="157"/>
        <v>0</v>
      </c>
      <c r="O1388" s="905"/>
      <c r="Q1388" s="317" t="str">
        <f t="shared" si="154"/>
        <v/>
      </c>
      <c r="R1388" s="317" t="str">
        <f t="shared" si="155"/>
        <v/>
      </c>
      <c r="S1388" s="317" t="str">
        <f t="shared" si="156"/>
        <v/>
      </c>
      <c r="T1388" s="317" t="str">
        <f>GLOBAL_DER_FEV_2023!S1388</f>
        <v/>
      </c>
      <c r="W1388" s="582">
        <v>0</v>
      </c>
      <c r="X1388" s="580"/>
      <c r="Y1388" s="583">
        <f>IF(GLOBAL_DER_FEV_2023!W1388=0,0,IF(GLOBAL_DER_FEV_2023!W1388&gt;0,"c","b"))</f>
        <v>0</v>
      </c>
    </row>
    <row r="1389" spans="1:25" ht="22.5" x14ac:dyDescent="0.2">
      <c r="A1389" s="317">
        <v>92003</v>
      </c>
      <c r="B1389" s="895">
        <v>92003</v>
      </c>
      <c r="C1389" s="896" t="s">
        <v>596</v>
      </c>
      <c r="D1389" s="906" t="s">
        <v>1315</v>
      </c>
      <c r="E1389" s="907">
        <f>GLOBAL_DER_FEV_2023!E1389</f>
        <v>0</v>
      </c>
      <c r="F1389" s="908">
        <f>GLOBAL_DER_FEV_2023!F1389</f>
        <v>0</v>
      </c>
      <c r="G1389" s="912">
        <f>GLOBAL_DER_FEV_2023!G1389</f>
        <v>0</v>
      </c>
      <c r="H1389" s="901">
        <f>GLOBAL_DER_FEV_2023!H1389</f>
        <v>56.61</v>
      </c>
      <c r="I1389" s="901">
        <f>GLOBAL_DER_FEV_2023!I1389</f>
        <v>56.61</v>
      </c>
      <c r="J1389" s="902">
        <f>GLOBAL_DER_FEV_2023!J1389</f>
        <v>67.97</v>
      </c>
      <c r="K1389" s="903" t="s">
        <v>1516</v>
      </c>
      <c r="L1389" s="1137"/>
      <c r="M1389" s="1138">
        <f t="shared" si="153"/>
        <v>0</v>
      </c>
      <c r="N1389" s="893">
        <f t="shared" si="157"/>
        <v>0</v>
      </c>
      <c r="O1389" s="905"/>
      <c r="Q1389" s="317" t="str">
        <f t="shared" si="154"/>
        <v/>
      </c>
      <c r="R1389" s="317" t="str">
        <f t="shared" si="155"/>
        <v/>
      </c>
      <c r="S1389" s="317" t="str">
        <f t="shared" si="156"/>
        <v/>
      </c>
      <c r="T1389" s="317" t="str">
        <f>GLOBAL_DER_FEV_2023!S1389</f>
        <v/>
      </c>
      <c r="W1389" s="582">
        <v>0</v>
      </c>
      <c r="X1389" s="580"/>
      <c r="Y1389" s="583">
        <f>IF(GLOBAL_DER_FEV_2023!W1389=0,0,IF(GLOBAL_DER_FEV_2023!W1389&gt;0,"c","b"))</f>
        <v>0</v>
      </c>
    </row>
    <row r="1390" spans="1:25" ht="22.5" x14ac:dyDescent="0.2">
      <c r="A1390" s="317">
        <v>92004</v>
      </c>
      <c r="B1390" s="895">
        <v>92004</v>
      </c>
      <c r="C1390" s="896" t="s">
        <v>596</v>
      </c>
      <c r="D1390" s="906" t="s">
        <v>1316</v>
      </c>
      <c r="E1390" s="907">
        <f>GLOBAL_DER_FEV_2023!E1390</f>
        <v>0</v>
      </c>
      <c r="F1390" s="908">
        <f>GLOBAL_DER_FEV_2023!F1390</f>
        <v>0</v>
      </c>
      <c r="G1390" s="912">
        <f>GLOBAL_DER_FEV_2023!G1390</f>
        <v>0</v>
      </c>
      <c r="H1390" s="901">
        <f>GLOBAL_DER_FEV_2023!H1390</f>
        <v>60.74</v>
      </c>
      <c r="I1390" s="901">
        <f>GLOBAL_DER_FEV_2023!I1390</f>
        <v>60.74</v>
      </c>
      <c r="J1390" s="902">
        <f>GLOBAL_DER_FEV_2023!J1390</f>
        <v>72.930000000000007</v>
      </c>
      <c r="K1390" s="903" t="s">
        <v>1516</v>
      </c>
      <c r="L1390" s="1137"/>
      <c r="M1390" s="1138">
        <f t="shared" si="153"/>
        <v>0</v>
      </c>
      <c r="N1390" s="893">
        <f t="shared" si="157"/>
        <v>0</v>
      </c>
      <c r="O1390" s="905"/>
      <c r="Q1390" s="317" t="str">
        <f t="shared" si="154"/>
        <v/>
      </c>
      <c r="R1390" s="317" t="str">
        <f t="shared" si="155"/>
        <v/>
      </c>
      <c r="S1390" s="317" t="str">
        <f t="shared" si="156"/>
        <v/>
      </c>
      <c r="T1390" s="317" t="str">
        <f>GLOBAL_DER_FEV_2023!S1390</f>
        <v/>
      </c>
      <c r="W1390" s="582">
        <v>0</v>
      </c>
      <c r="X1390" s="580"/>
      <c r="Y1390" s="583">
        <f>IF(GLOBAL_DER_FEV_2023!W1390=0,0,IF(GLOBAL_DER_FEV_2023!W1390&gt;0,"c","b"))</f>
        <v>0</v>
      </c>
    </row>
    <row r="1391" spans="1:25" ht="22.5" x14ac:dyDescent="0.2">
      <c r="A1391" s="317">
        <v>92005</v>
      </c>
      <c r="B1391" s="895">
        <v>92005</v>
      </c>
      <c r="C1391" s="896" t="s">
        <v>596</v>
      </c>
      <c r="D1391" s="906" t="s">
        <v>1317</v>
      </c>
      <c r="E1391" s="907">
        <f>GLOBAL_DER_FEV_2023!E1391</f>
        <v>0</v>
      </c>
      <c r="F1391" s="908">
        <f>GLOBAL_DER_FEV_2023!F1391</f>
        <v>0</v>
      </c>
      <c r="G1391" s="912">
        <f>GLOBAL_DER_FEV_2023!G1391</f>
        <v>0</v>
      </c>
      <c r="H1391" s="901">
        <f>GLOBAL_DER_FEV_2023!H1391</f>
        <v>65.84</v>
      </c>
      <c r="I1391" s="901">
        <f>GLOBAL_DER_FEV_2023!I1391</f>
        <v>65.84</v>
      </c>
      <c r="J1391" s="902">
        <f>GLOBAL_DER_FEV_2023!J1391</f>
        <v>79.05</v>
      </c>
      <c r="K1391" s="903" t="s">
        <v>1516</v>
      </c>
      <c r="L1391" s="1137"/>
      <c r="M1391" s="1138">
        <f t="shared" si="153"/>
        <v>0</v>
      </c>
      <c r="N1391" s="893">
        <f t="shared" si="157"/>
        <v>0</v>
      </c>
      <c r="O1391" s="905"/>
      <c r="Q1391" s="317" t="str">
        <f t="shared" si="154"/>
        <v/>
      </c>
      <c r="R1391" s="317" t="str">
        <f t="shared" si="155"/>
        <v/>
      </c>
      <c r="S1391" s="317" t="str">
        <f t="shared" si="156"/>
        <v/>
      </c>
      <c r="T1391" s="317" t="str">
        <f>GLOBAL_DER_FEV_2023!S1391</f>
        <v/>
      </c>
      <c r="W1391" s="582">
        <v>0</v>
      </c>
      <c r="X1391" s="580"/>
      <c r="Y1391" s="583">
        <f>IF(GLOBAL_DER_FEV_2023!W1391=0,0,IF(GLOBAL_DER_FEV_2023!W1391&gt;0,"c","b"))</f>
        <v>0</v>
      </c>
    </row>
    <row r="1392" spans="1:25" ht="22.5" x14ac:dyDescent="0.2">
      <c r="A1392" s="317">
        <v>92006</v>
      </c>
      <c r="B1392" s="895">
        <v>92006</v>
      </c>
      <c r="C1392" s="896" t="s">
        <v>596</v>
      </c>
      <c r="D1392" s="906" t="s">
        <v>1318</v>
      </c>
      <c r="E1392" s="907">
        <f>GLOBAL_DER_FEV_2023!E1392</f>
        <v>0</v>
      </c>
      <c r="F1392" s="908">
        <f>GLOBAL_DER_FEV_2023!F1392</f>
        <v>0</v>
      </c>
      <c r="G1392" s="912">
        <f>GLOBAL_DER_FEV_2023!G1392</f>
        <v>0</v>
      </c>
      <c r="H1392" s="901">
        <f>GLOBAL_DER_FEV_2023!H1392</f>
        <v>42.75</v>
      </c>
      <c r="I1392" s="901">
        <f>GLOBAL_DER_FEV_2023!I1392</f>
        <v>42.75</v>
      </c>
      <c r="J1392" s="902">
        <f>GLOBAL_DER_FEV_2023!J1392</f>
        <v>51.33</v>
      </c>
      <c r="K1392" s="903" t="s">
        <v>1516</v>
      </c>
      <c r="L1392" s="1137"/>
      <c r="M1392" s="1138">
        <f t="shared" si="153"/>
        <v>0</v>
      </c>
      <c r="N1392" s="893">
        <f t="shared" si="157"/>
        <v>0</v>
      </c>
      <c r="O1392" s="905"/>
      <c r="Q1392" s="317" t="str">
        <f t="shared" si="154"/>
        <v/>
      </c>
      <c r="R1392" s="317" t="str">
        <f t="shared" si="155"/>
        <v/>
      </c>
      <c r="S1392" s="317" t="str">
        <f t="shared" si="156"/>
        <v/>
      </c>
      <c r="T1392" s="317" t="str">
        <f>GLOBAL_DER_FEV_2023!S1392</f>
        <v/>
      </c>
      <c r="W1392" s="582">
        <v>0</v>
      </c>
      <c r="X1392" s="580"/>
      <c r="Y1392" s="583">
        <f>IF(GLOBAL_DER_FEV_2023!W1392=0,0,IF(GLOBAL_DER_FEV_2023!W1392&gt;0,"c","b"))</f>
        <v>0</v>
      </c>
    </row>
    <row r="1393" spans="1:25" ht="22.5" x14ac:dyDescent="0.2">
      <c r="A1393" s="317">
        <v>92007</v>
      </c>
      <c r="B1393" s="895">
        <v>92007</v>
      </c>
      <c r="C1393" s="896" t="s">
        <v>596</v>
      </c>
      <c r="D1393" s="906" t="s">
        <v>1319</v>
      </c>
      <c r="E1393" s="907">
        <f>GLOBAL_DER_FEV_2023!E1393</f>
        <v>0</v>
      </c>
      <c r="F1393" s="908">
        <f>GLOBAL_DER_FEV_2023!F1393</f>
        <v>0</v>
      </c>
      <c r="G1393" s="912">
        <f>GLOBAL_DER_FEV_2023!G1393</f>
        <v>0</v>
      </c>
      <c r="H1393" s="901">
        <f>GLOBAL_DER_FEV_2023!H1393</f>
        <v>47.85</v>
      </c>
      <c r="I1393" s="901">
        <f>GLOBAL_DER_FEV_2023!I1393</f>
        <v>47.85</v>
      </c>
      <c r="J1393" s="902">
        <f>GLOBAL_DER_FEV_2023!J1393</f>
        <v>57.45</v>
      </c>
      <c r="K1393" s="903" t="s">
        <v>1516</v>
      </c>
      <c r="L1393" s="1137"/>
      <c r="M1393" s="1138">
        <f t="shared" si="153"/>
        <v>0</v>
      </c>
      <c r="N1393" s="893">
        <f t="shared" si="157"/>
        <v>0</v>
      </c>
      <c r="O1393" s="905"/>
      <c r="Q1393" s="317" t="str">
        <f t="shared" si="154"/>
        <v/>
      </c>
      <c r="R1393" s="317" t="str">
        <f t="shared" si="155"/>
        <v/>
      </c>
      <c r="S1393" s="317" t="str">
        <f t="shared" si="156"/>
        <v/>
      </c>
      <c r="T1393" s="317" t="str">
        <f>GLOBAL_DER_FEV_2023!S1393</f>
        <v/>
      </c>
      <c r="W1393" s="582">
        <v>0</v>
      </c>
      <c r="X1393" s="580"/>
      <c r="Y1393" s="583">
        <f>IF(GLOBAL_DER_FEV_2023!W1393=0,0,IF(GLOBAL_DER_FEV_2023!W1393&gt;0,"c","b"))</f>
        <v>0</v>
      </c>
    </row>
    <row r="1394" spans="1:25" ht="22.5" x14ac:dyDescent="0.2">
      <c r="A1394" s="317">
        <v>92008</v>
      </c>
      <c r="B1394" s="895">
        <v>92008</v>
      </c>
      <c r="C1394" s="896" t="s">
        <v>596</v>
      </c>
      <c r="D1394" s="906" t="s">
        <v>1320</v>
      </c>
      <c r="E1394" s="907">
        <f>GLOBAL_DER_FEV_2023!E1394</f>
        <v>0</v>
      </c>
      <c r="F1394" s="908">
        <f>GLOBAL_DER_FEV_2023!F1394</f>
        <v>0</v>
      </c>
      <c r="G1394" s="912">
        <f>GLOBAL_DER_FEV_2023!G1394</f>
        <v>0</v>
      </c>
      <c r="H1394" s="901">
        <f>GLOBAL_DER_FEV_2023!H1394</f>
        <v>51.98</v>
      </c>
      <c r="I1394" s="901">
        <f>GLOBAL_DER_FEV_2023!I1394</f>
        <v>51.98</v>
      </c>
      <c r="J1394" s="902">
        <f>GLOBAL_DER_FEV_2023!J1394</f>
        <v>62.41</v>
      </c>
      <c r="K1394" s="903" t="s">
        <v>1516</v>
      </c>
      <c r="L1394" s="1137"/>
      <c r="M1394" s="1138">
        <f t="shared" si="153"/>
        <v>0</v>
      </c>
      <c r="N1394" s="893">
        <f t="shared" si="157"/>
        <v>0</v>
      </c>
      <c r="O1394" s="905"/>
      <c r="Q1394" s="317" t="str">
        <f t="shared" si="154"/>
        <v/>
      </c>
      <c r="R1394" s="317" t="str">
        <f t="shared" si="155"/>
        <v/>
      </c>
      <c r="S1394" s="317" t="str">
        <f t="shared" si="156"/>
        <v/>
      </c>
      <c r="T1394" s="317" t="str">
        <f>GLOBAL_DER_FEV_2023!S1394</f>
        <v/>
      </c>
      <c r="W1394" s="582">
        <v>0</v>
      </c>
      <c r="X1394" s="580"/>
      <c r="Y1394" s="583">
        <f>IF(GLOBAL_DER_FEV_2023!W1394=0,0,IF(GLOBAL_DER_FEV_2023!W1394&gt;0,"c","b"))</f>
        <v>0</v>
      </c>
    </row>
    <row r="1395" spans="1:25" ht="22.5" x14ac:dyDescent="0.2">
      <c r="A1395" s="317">
        <v>92009</v>
      </c>
      <c r="B1395" s="895">
        <v>92009</v>
      </c>
      <c r="C1395" s="896" t="s">
        <v>596</v>
      </c>
      <c r="D1395" s="906" t="s">
        <v>1321</v>
      </c>
      <c r="E1395" s="907">
        <f>GLOBAL_DER_FEV_2023!E1395</f>
        <v>0</v>
      </c>
      <c r="F1395" s="908">
        <f>GLOBAL_DER_FEV_2023!F1395</f>
        <v>0</v>
      </c>
      <c r="G1395" s="912">
        <f>GLOBAL_DER_FEV_2023!G1395</f>
        <v>0</v>
      </c>
      <c r="H1395" s="901">
        <f>GLOBAL_DER_FEV_2023!H1395</f>
        <v>57.08</v>
      </c>
      <c r="I1395" s="901">
        <f>GLOBAL_DER_FEV_2023!I1395</f>
        <v>57.08</v>
      </c>
      <c r="J1395" s="902">
        <f>GLOBAL_DER_FEV_2023!J1395</f>
        <v>68.540000000000006</v>
      </c>
      <c r="K1395" s="903" t="s">
        <v>1516</v>
      </c>
      <c r="L1395" s="1137"/>
      <c r="M1395" s="1138">
        <f t="shared" si="153"/>
        <v>0</v>
      </c>
      <c r="N1395" s="893">
        <f t="shared" si="157"/>
        <v>0</v>
      </c>
      <c r="O1395" s="905"/>
      <c r="Q1395" s="317" t="str">
        <f t="shared" si="154"/>
        <v/>
      </c>
      <c r="R1395" s="317" t="str">
        <f t="shared" si="155"/>
        <v/>
      </c>
      <c r="S1395" s="317" t="str">
        <f t="shared" si="156"/>
        <v/>
      </c>
      <c r="T1395" s="317" t="str">
        <f>GLOBAL_DER_FEV_2023!S1395</f>
        <v/>
      </c>
      <c r="W1395" s="582">
        <v>0</v>
      </c>
      <c r="X1395" s="580"/>
      <c r="Y1395" s="583">
        <f>IF(GLOBAL_DER_FEV_2023!W1395=0,0,IF(GLOBAL_DER_FEV_2023!W1395&gt;0,"c","b"))</f>
        <v>0</v>
      </c>
    </row>
    <row r="1396" spans="1:25" ht="22.5" x14ac:dyDescent="0.2">
      <c r="A1396" s="317">
        <v>92010</v>
      </c>
      <c r="B1396" s="895">
        <v>92010</v>
      </c>
      <c r="C1396" s="896" t="s">
        <v>596</v>
      </c>
      <c r="D1396" s="906" t="s">
        <v>1322</v>
      </c>
      <c r="E1396" s="907">
        <f>GLOBAL_DER_FEV_2023!E1396</f>
        <v>0</v>
      </c>
      <c r="F1396" s="908">
        <f>GLOBAL_DER_FEV_2023!F1396</f>
        <v>0</v>
      </c>
      <c r="G1396" s="912">
        <f>GLOBAL_DER_FEV_2023!G1396</f>
        <v>0</v>
      </c>
      <c r="H1396" s="901">
        <f>GLOBAL_DER_FEV_2023!H1396</f>
        <v>75.45</v>
      </c>
      <c r="I1396" s="901">
        <f>GLOBAL_DER_FEV_2023!I1396</f>
        <v>75.45</v>
      </c>
      <c r="J1396" s="902">
        <f>GLOBAL_DER_FEV_2023!J1396</f>
        <v>90.59</v>
      </c>
      <c r="K1396" s="903" t="s">
        <v>1516</v>
      </c>
      <c r="L1396" s="1137"/>
      <c r="M1396" s="1138">
        <f t="shared" si="153"/>
        <v>0</v>
      </c>
      <c r="N1396" s="893">
        <f t="shared" si="157"/>
        <v>0</v>
      </c>
      <c r="O1396" s="905"/>
      <c r="Q1396" s="317" t="str">
        <f t="shared" si="154"/>
        <v/>
      </c>
      <c r="R1396" s="317" t="str">
        <f t="shared" si="155"/>
        <v/>
      </c>
      <c r="S1396" s="317" t="str">
        <f t="shared" si="156"/>
        <v/>
      </c>
      <c r="T1396" s="317" t="str">
        <f>GLOBAL_DER_FEV_2023!S1396</f>
        <v/>
      </c>
      <c r="W1396" s="582">
        <v>0</v>
      </c>
      <c r="X1396" s="580"/>
      <c r="Y1396" s="583">
        <f>IF(GLOBAL_DER_FEV_2023!W1396=0,0,IF(GLOBAL_DER_FEV_2023!W1396&gt;0,"c","b"))</f>
        <v>0</v>
      </c>
    </row>
    <row r="1397" spans="1:25" ht="22.5" x14ac:dyDescent="0.2">
      <c r="A1397" s="317">
        <v>92011</v>
      </c>
      <c r="B1397" s="895">
        <v>92011</v>
      </c>
      <c r="C1397" s="896" t="s">
        <v>596</v>
      </c>
      <c r="D1397" s="906" t="s">
        <v>1323</v>
      </c>
      <c r="E1397" s="907">
        <f>GLOBAL_DER_FEV_2023!E1397</f>
        <v>0</v>
      </c>
      <c r="F1397" s="908">
        <f>GLOBAL_DER_FEV_2023!F1397</f>
        <v>0</v>
      </c>
      <c r="G1397" s="912">
        <f>GLOBAL_DER_FEV_2023!G1397</f>
        <v>0</v>
      </c>
      <c r="H1397" s="901">
        <f>GLOBAL_DER_FEV_2023!H1397</f>
        <v>83.1</v>
      </c>
      <c r="I1397" s="901">
        <f>GLOBAL_DER_FEV_2023!I1397</f>
        <v>83.1</v>
      </c>
      <c r="J1397" s="902">
        <f>GLOBAL_DER_FEV_2023!J1397</f>
        <v>99.78</v>
      </c>
      <c r="K1397" s="903" t="s">
        <v>1516</v>
      </c>
      <c r="L1397" s="1137"/>
      <c r="M1397" s="1138">
        <f t="shared" si="153"/>
        <v>0</v>
      </c>
      <c r="N1397" s="893">
        <f t="shared" si="157"/>
        <v>0</v>
      </c>
      <c r="O1397" s="905"/>
      <c r="Q1397" s="317" t="str">
        <f t="shared" si="154"/>
        <v/>
      </c>
      <c r="R1397" s="317" t="str">
        <f t="shared" si="155"/>
        <v/>
      </c>
      <c r="S1397" s="317" t="str">
        <f t="shared" si="156"/>
        <v/>
      </c>
      <c r="T1397" s="317" t="str">
        <f>GLOBAL_DER_FEV_2023!S1397</f>
        <v/>
      </c>
      <c r="W1397" s="582">
        <v>0</v>
      </c>
      <c r="X1397" s="580"/>
      <c r="Y1397" s="583">
        <f>IF(GLOBAL_DER_FEV_2023!W1397=0,0,IF(GLOBAL_DER_FEV_2023!W1397&gt;0,"c","b"))</f>
        <v>0</v>
      </c>
    </row>
    <row r="1398" spans="1:25" ht="22.5" x14ac:dyDescent="0.2">
      <c r="A1398" s="317">
        <v>92012</v>
      </c>
      <c r="B1398" s="895">
        <v>92012</v>
      </c>
      <c r="C1398" s="896" t="s">
        <v>596</v>
      </c>
      <c r="D1398" s="906" t="s">
        <v>1324</v>
      </c>
      <c r="E1398" s="907">
        <f>GLOBAL_DER_FEV_2023!E1398</f>
        <v>0</v>
      </c>
      <c r="F1398" s="908">
        <f>GLOBAL_DER_FEV_2023!F1398</f>
        <v>0</v>
      </c>
      <c r="G1398" s="912">
        <f>GLOBAL_DER_FEV_2023!G1398</f>
        <v>0</v>
      </c>
      <c r="H1398" s="901">
        <f>GLOBAL_DER_FEV_2023!H1398</f>
        <v>84.68</v>
      </c>
      <c r="I1398" s="901">
        <f>GLOBAL_DER_FEV_2023!I1398</f>
        <v>84.68</v>
      </c>
      <c r="J1398" s="902">
        <f>GLOBAL_DER_FEV_2023!J1398</f>
        <v>101.68</v>
      </c>
      <c r="K1398" s="903" t="s">
        <v>1516</v>
      </c>
      <c r="L1398" s="1137"/>
      <c r="M1398" s="1138">
        <f t="shared" si="153"/>
        <v>0</v>
      </c>
      <c r="N1398" s="893">
        <f t="shared" si="157"/>
        <v>0</v>
      </c>
      <c r="O1398" s="905"/>
      <c r="Q1398" s="317" t="str">
        <f t="shared" si="154"/>
        <v/>
      </c>
      <c r="R1398" s="317" t="str">
        <f t="shared" si="155"/>
        <v/>
      </c>
      <c r="S1398" s="317" t="str">
        <f t="shared" si="156"/>
        <v/>
      </c>
      <c r="T1398" s="317" t="str">
        <f>GLOBAL_DER_FEV_2023!S1398</f>
        <v/>
      </c>
      <c r="W1398" s="582">
        <v>0</v>
      </c>
      <c r="X1398" s="580"/>
      <c r="Y1398" s="583">
        <f>IF(GLOBAL_DER_FEV_2023!W1398=0,0,IF(GLOBAL_DER_FEV_2023!W1398&gt;0,"c","b"))</f>
        <v>0</v>
      </c>
    </row>
    <row r="1399" spans="1:25" ht="22.5" x14ac:dyDescent="0.2">
      <c r="A1399" s="317">
        <v>92013</v>
      </c>
      <c r="B1399" s="895">
        <v>92013</v>
      </c>
      <c r="C1399" s="896" t="s">
        <v>596</v>
      </c>
      <c r="D1399" s="906" t="s">
        <v>1325</v>
      </c>
      <c r="E1399" s="907">
        <f>GLOBAL_DER_FEV_2023!E1399</f>
        <v>0</v>
      </c>
      <c r="F1399" s="908">
        <f>GLOBAL_DER_FEV_2023!F1399</f>
        <v>0</v>
      </c>
      <c r="G1399" s="912">
        <f>GLOBAL_DER_FEV_2023!G1399</f>
        <v>0</v>
      </c>
      <c r="H1399" s="901">
        <f>GLOBAL_DER_FEV_2023!H1399</f>
        <v>92.33</v>
      </c>
      <c r="I1399" s="901">
        <f>GLOBAL_DER_FEV_2023!I1399</f>
        <v>92.33</v>
      </c>
      <c r="J1399" s="902">
        <f>GLOBAL_DER_FEV_2023!J1399</f>
        <v>110.86</v>
      </c>
      <c r="K1399" s="903" t="s">
        <v>1516</v>
      </c>
      <c r="L1399" s="1137"/>
      <c r="M1399" s="1138">
        <f t="shared" si="153"/>
        <v>0</v>
      </c>
      <c r="N1399" s="893">
        <f t="shared" si="157"/>
        <v>0</v>
      </c>
      <c r="O1399" s="905"/>
      <c r="Q1399" s="317" t="str">
        <f t="shared" si="154"/>
        <v/>
      </c>
      <c r="R1399" s="317" t="str">
        <f t="shared" si="155"/>
        <v/>
      </c>
      <c r="S1399" s="317" t="str">
        <f t="shared" si="156"/>
        <v/>
      </c>
      <c r="T1399" s="317" t="str">
        <f>GLOBAL_DER_FEV_2023!S1399</f>
        <v/>
      </c>
      <c r="W1399" s="582">
        <v>0</v>
      </c>
      <c r="X1399" s="580"/>
      <c r="Y1399" s="583">
        <f>IF(GLOBAL_DER_FEV_2023!W1399=0,0,IF(GLOBAL_DER_FEV_2023!W1399&gt;0,"c","b"))</f>
        <v>0</v>
      </c>
    </row>
    <row r="1400" spans="1:25" ht="22.5" x14ac:dyDescent="0.2">
      <c r="A1400" s="317">
        <v>92014</v>
      </c>
      <c r="B1400" s="895">
        <v>92014</v>
      </c>
      <c r="C1400" s="896" t="s">
        <v>596</v>
      </c>
      <c r="D1400" s="906" t="s">
        <v>1326</v>
      </c>
      <c r="E1400" s="907">
        <f>GLOBAL_DER_FEV_2023!E1400</f>
        <v>0</v>
      </c>
      <c r="F1400" s="908">
        <f>GLOBAL_DER_FEV_2023!F1400</f>
        <v>0</v>
      </c>
      <c r="G1400" s="912">
        <f>GLOBAL_DER_FEV_2023!G1400</f>
        <v>0</v>
      </c>
      <c r="H1400" s="901">
        <f>GLOBAL_DER_FEV_2023!H1400</f>
        <v>62.3</v>
      </c>
      <c r="I1400" s="901">
        <f>GLOBAL_DER_FEV_2023!I1400</f>
        <v>62.3</v>
      </c>
      <c r="J1400" s="902">
        <f>GLOBAL_DER_FEV_2023!J1400</f>
        <v>74.8</v>
      </c>
      <c r="K1400" s="903" t="s">
        <v>1516</v>
      </c>
      <c r="L1400" s="1137"/>
      <c r="M1400" s="1138">
        <f t="shared" si="153"/>
        <v>0</v>
      </c>
      <c r="N1400" s="893">
        <f t="shared" si="157"/>
        <v>0</v>
      </c>
      <c r="O1400" s="905"/>
      <c r="Q1400" s="317" t="str">
        <f t="shared" si="154"/>
        <v/>
      </c>
      <c r="R1400" s="317" t="str">
        <f t="shared" si="155"/>
        <v/>
      </c>
      <c r="S1400" s="317" t="str">
        <f t="shared" si="156"/>
        <v/>
      </c>
      <c r="T1400" s="317" t="str">
        <f>GLOBAL_DER_FEV_2023!S1400</f>
        <v/>
      </c>
      <c r="W1400" s="582">
        <v>0</v>
      </c>
      <c r="X1400" s="580"/>
      <c r="Y1400" s="583">
        <f>IF(GLOBAL_DER_FEV_2023!W1400=0,0,IF(GLOBAL_DER_FEV_2023!W1400&gt;0,"c","b"))</f>
        <v>0</v>
      </c>
    </row>
    <row r="1401" spans="1:25" ht="22.5" x14ac:dyDescent="0.2">
      <c r="A1401" s="317">
        <v>92015</v>
      </c>
      <c r="B1401" s="895">
        <v>92015</v>
      </c>
      <c r="C1401" s="896" t="s">
        <v>596</v>
      </c>
      <c r="D1401" s="906" t="s">
        <v>1327</v>
      </c>
      <c r="E1401" s="907">
        <f>GLOBAL_DER_FEV_2023!E1401</f>
        <v>0</v>
      </c>
      <c r="F1401" s="908">
        <f>GLOBAL_DER_FEV_2023!F1401</f>
        <v>0</v>
      </c>
      <c r="G1401" s="912">
        <f>GLOBAL_DER_FEV_2023!G1401</f>
        <v>0</v>
      </c>
      <c r="H1401" s="901">
        <f>GLOBAL_DER_FEV_2023!H1401</f>
        <v>69.95</v>
      </c>
      <c r="I1401" s="901">
        <f>GLOBAL_DER_FEV_2023!I1401</f>
        <v>69.95</v>
      </c>
      <c r="J1401" s="902">
        <f>GLOBAL_DER_FEV_2023!J1401</f>
        <v>83.99</v>
      </c>
      <c r="K1401" s="903" t="s">
        <v>1516</v>
      </c>
      <c r="L1401" s="1137"/>
      <c r="M1401" s="1138">
        <f t="shared" si="153"/>
        <v>0</v>
      </c>
      <c r="N1401" s="893">
        <f t="shared" si="157"/>
        <v>0</v>
      </c>
      <c r="O1401" s="905"/>
      <c r="Q1401" s="317" t="str">
        <f t="shared" si="154"/>
        <v/>
      </c>
      <c r="R1401" s="317" t="str">
        <f t="shared" si="155"/>
        <v/>
      </c>
      <c r="S1401" s="317" t="str">
        <f t="shared" si="156"/>
        <v/>
      </c>
      <c r="T1401" s="317" t="str">
        <f>GLOBAL_DER_FEV_2023!S1401</f>
        <v/>
      </c>
      <c r="W1401" s="582">
        <v>0</v>
      </c>
      <c r="X1401" s="580"/>
      <c r="Y1401" s="583">
        <f>IF(GLOBAL_DER_FEV_2023!W1401=0,0,IF(GLOBAL_DER_FEV_2023!W1401&gt;0,"c","b"))</f>
        <v>0</v>
      </c>
    </row>
    <row r="1402" spans="1:25" ht="22.5" x14ac:dyDescent="0.2">
      <c r="A1402" s="317">
        <v>92016</v>
      </c>
      <c r="B1402" s="895">
        <v>92016</v>
      </c>
      <c r="C1402" s="896" t="s">
        <v>596</v>
      </c>
      <c r="D1402" s="906" t="s">
        <v>1328</v>
      </c>
      <c r="E1402" s="907">
        <f>GLOBAL_DER_FEV_2023!E1402</f>
        <v>0</v>
      </c>
      <c r="F1402" s="908">
        <f>GLOBAL_DER_FEV_2023!F1402</f>
        <v>0</v>
      </c>
      <c r="G1402" s="912">
        <f>GLOBAL_DER_FEV_2023!G1402</f>
        <v>0</v>
      </c>
      <c r="H1402" s="901">
        <f>GLOBAL_DER_FEV_2023!H1402</f>
        <v>71.53</v>
      </c>
      <c r="I1402" s="901">
        <f>GLOBAL_DER_FEV_2023!I1402</f>
        <v>71.53</v>
      </c>
      <c r="J1402" s="902">
        <f>GLOBAL_DER_FEV_2023!J1402</f>
        <v>85.89</v>
      </c>
      <c r="K1402" s="903" t="s">
        <v>1516</v>
      </c>
      <c r="L1402" s="1137"/>
      <c r="M1402" s="1138">
        <f t="shared" si="153"/>
        <v>0</v>
      </c>
      <c r="N1402" s="893">
        <f t="shared" si="157"/>
        <v>0</v>
      </c>
      <c r="O1402" s="905"/>
      <c r="Q1402" s="317" t="str">
        <f t="shared" si="154"/>
        <v/>
      </c>
      <c r="R1402" s="317" t="str">
        <f t="shared" si="155"/>
        <v/>
      </c>
      <c r="S1402" s="317" t="str">
        <f t="shared" si="156"/>
        <v/>
      </c>
      <c r="T1402" s="317" t="str">
        <f>GLOBAL_DER_FEV_2023!S1402</f>
        <v/>
      </c>
      <c r="W1402" s="582">
        <v>0</v>
      </c>
      <c r="X1402" s="580"/>
      <c r="Y1402" s="583">
        <f>IF(GLOBAL_DER_FEV_2023!W1402=0,0,IF(GLOBAL_DER_FEV_2023!W1402&gt;0,"c","b"))</f>
        <v>0</v>
      </c>
    </row>
    <row r="1403" spans="1:25" ht="22.5" x14ac:dyDescent="0.2">
      <c r="A1403" s="317">
        <v>92017</v>
      </c>
      <c r="B1403" s="895">
        <v>92017</v>
      </c>
      <c r="C1403" s="896" t="s">
        <v>596</v>
      </c>
      <c r="D1403" s="906" t="s">
        <v>1329</v>
      </c>
      <c r="E1403" s="907">
        <f>GLOBAL_DER_FEV_2023!E1403</f>
        <v>0</v>
      </c>
      <c r="F1403" s="908">
        <f>GLOBAL_DER_FEV_2023!F1403</f>
        <v>0</v>
      </c>
      <c r="G1403" s="912">
        <f>GLOBAL_DER_FEV_2023!G1403</f>
        <v>0</v>
      </c>
      <c r="H1403" s="901">
        <f>GLOBAL_DER_FEV_2023!H1403</f>
        <v>79.180000000000007</v>
      </c>
      <c r="I1403" s="901">
        <f>GLOBAL_DER_FEV_2023!I1403</f>
        <v>79.180000000000007</v>
      </c>
      <c r="J1403" s="902">
        <f>GLOBAL_DER_FEV_2023!J1403</f>
        <v>95.07</v>
      </c>
      <c r="K1403" s="903" t="s">
        <v>1516</v>
      </c>
      <c r="L1403" s="1137"/>
      <c r="M1403" s="1138">
        <f t="shared" si="153"/>
        <v>0</v>
      </c>
      <c r="N1403" s="893">
        <f t="shared" si="157"/>
        <v>0</v>
      </c>
      <c r="O1403" s="905"/>
      <c r="Q1403" s="317" t="str">
        <f t="shared" si="154"/>
        <v/>
      </c>
      <c r="R1403" s="317" t="str">
        <f t="shared" si="155"/>
        <v/>
      </c>
      <c r="S1403" s="317" t="str">
        <f t="shared" si="156"/>
        <v/>
      </c>
      <c r="T1403" s="317" t="str">
        <f>GLOBAL_DER_FEV_2023!S1403</f>
        <v/>
      </c>
      <c r="W1403" s="582">
        <v>0</v>
      </c>
      <c r="X1403" s="580"/>
      <c r="Y1403" s="583">
        <f>IF(GLOBAL_DER_FEV_2023!W1403=0,0,IF(GLOBAL_DER_FEV_2023!W1403&gt;0,"c","b"))</f>
        <v>0</v>
      </c>
    </row>
    <row r="1404" spans="1:25" ht="22.5" x14ac:dyDescent="0.2">
      <c r="A1404" s="317">
        <v>92018</v>
      </c>
      <c r="B1404" s="895">
        <v>92018</v>
      </c>
      <c r="C1404" s="896" t="s">
        <v>596</v>
      </c>
      <c r="D1404" s="906" t="s">
        <v>1330</v>
      </c>
      <c r="E1404" s="907">
        <f>GLOBAL_DER_FEV_2023!E1404</f>
        <v>0</v>
      </c>
      <c r="F1404" s="908">
        <f>GLOBAL_DER_FEV_2023!F1404</f>
        <v>0</v>
      </c>
      <c r="G1404" s="912">
        <f>GLOBAL_DER_FEV_2023!G1404</f>
        <v>0</v>
      </c>
      <c r="H1404" s="901">
        <f>GLOBAL_DER_FEV_2023!H1404</f>
        <v>82.46</v>
      </c>
      <c r="I1404" s="901">
        <f>GLOBAL_DER_FEV_2023!I1404</f>
        <v>82.46</v>
      </c>
      <c r="J1404" s="902">
        <f>GLOBAL_DER_FEV_2023!J1404</f>
        <v>99.01</v>
      </c>
      <c r="K1404" s="903" t="s">
        <v>1516</v>
      </c>
      <c r="L1404" s="1137"/>
      <c r="M1404" s="1138">
        <f t="shared" si="153"/>
        <v>0</v>
      </c>
      <c r="N1404" s="893">
        <f t="shared" si="157"/>
        <v>0</v>
      </c>
      <c r="O1404" s="905"/>
      <c r="Q1404" s="317" t="str">
        <f t="shared" si="154"/>
        <v/>
      </c>
      <c r="R1404" s="317" t="str">
        <f t="shared" si="155"/>
        <v/>
      </c>
      <c r="S1404" s="317" t="str">
        <f t="shared" si="156"/>
        <v/>
      </c>
      <c r="T1404" s="317" t="str">
        <f>GLOBAL_DER_FEV_2023!S1404</f>
        <v/>
      </c>
      <c r="W1404" s="582">
        <v>0</v>
      </c>
      <c r="X1404" s="580"/>
      <c r="Y1404" s="583">
        <f>IF(GLOBAL_DER_FEV_2023!W1404=0,0,IF(GLOBAL_DER_FEV_2023!W1404&gt;0,"c","b"))</f>
        <v>0</v>
      </c>
    </row>
    <row r="1405" spans="1:25" ht="22.5" x14ac:dyDescent="0.2">
      <c r="A1405" s="317">
        <v>92019</v>
      </c>
      <c r="B1405" s="895">
        <v>92019</v>
      </c>
      <c r="C1405" s="896" t="s">
        <v>596</v>
      </c>
      <c r="D1405" s="906" t="s">
        <v>1331</v>
      </c>
      <c r="E1405" s="907">
        <f>GLOBAL_DER_FEV_2023!E1405</f>
        <v>0</v>
      </c>
      <c r="F1405" s="908">
        <f>GLOBAL_DER_FEV_2023!F1405</f>
        <v>0</v>
      </c>
      <c r="G1405" s="912">
        <f>GLOBAL_DER_FEV_2023!G1405</f>
        <v>0</v>
      </c>
      <c r="H1405" s="901">
        <f>GLOBAL_DER_FEV_2023!H1405</f>
        <v>97.04</v>
      </c>
      <c r="I1405" s="901">
        <f>GLOBAL_DER_FEV_2023!I1405</f>
        <v>97.04</v>
      </c>
      <c r="J1405" s="902">
        <f>GLOBAL_DER_FEV_2023!J1405</f>
        <v>116.52</v>
      </c>
      <c r="K1405" s="903" t="s">
        <v>1516</v>
      </c>
      <c r="L1405" s="1137"/>
      <c r="M1405" s="1138">
        <f t="shared" si="153"/>
        <v>0</v>
      </c>
      <c r="N1405" s="893">
        <f t="shared" si="157"/>
        <v>0</v>
      </c>
      <c r="O1405" s="905"/>
      <c r="Q1405" s="317" t="str">
        <f t="shared" si="154"/>
        <v/>
      </c>
      <c r="R1405" s="317" t="str">
        <f t="shared" si="155"/>
        <v/>
      </c>
      <c r="S1405" s="317" t="str">
        <f t="shared" si="156"/>
        <v/>
      </c>
      <c r="T1405" s="317" t="str">
        <f>GLOBAL_DER_FEV_2023!S1405</f>
        <v/>
      </c>
      <c r="W1405" s="582">
        <v>0</v>
      </c>
      <c r="X1405" s="580"/>
      <c r="Y1405" s="583">
        <f>IF(GLOBAL_DER_FEV_2023!W1405=0,0,IF(GLOBAL_DER_FEV_2023!W1405&gt;0,"c","b"))</f>
        <v>0</v>
      </c>
    </row>
    <row r="1406" spans="1:25" ht="22.5" x14ac:dyDescent="0.2">
      <c r="A1406" s="317">
        <v>92020</v>
      </c>
      <c r="B1406" s="895">
        <v>92020</v>
      </c>
      <c r="C1406" s="896" t="s">
        <v>596</v>
      </c>
      <c r="D1406" s="906" t="s">
        <v>1332</v>
      </c>
      <c r="E1406" s="907">
        <f>GLOBAL_DER_FEV_2023!E1406</f>
        <v>0</v>
      </c>
      <c r="F1406" s="908">
        <f>GLOBAL_DER_FEV_2023!F1406</f>
        <v>0</v>
      </c>
      <c r="G1406" s="912">
        <f>GLOBAL_DER_FEV_2023!G1406</f>
        <v>0</v>
      </c>
      <c r="H1406" s="901">
        <f>GLOBAL_DER_FEV_2023!H1406</f>
        <v>121.86</v>
      </c>
      <c r="I1406" s="901">
        <f>GLOBAL_DER_FEV_2023!I1406</f>
        <v>121.86</v>
      </c>
      <c r="J1406" s="902">
        <f>GLOBAL_DER_FEV_2023!J1406</f>
        <v>146.32</v>
      </c>
      <c r="K1406" s="903" t="s">
        <v>1516</v>
      </c>
      <c r="L1406" s="1137"/>
      <c r="M1406" s="1138">
        <f t="shared" si="153"/>
        <v>0</v>
      </c>
      <c r="N1406" s="893">
        <f t="shared" si="157"/>
        <v>0</v>
      </c>
      <c r="O1406" s="905"/>
      <c r="Q1406" s="317" t="str">
        <f t="shared" si="154"/>
        <v/>
      </c>
      <c r="R1406" s="317" t="str">
        <f t="shared" si="155"/>
        <v/>
      </c>
      <c r="S1406" s="317" t="str">
        <f t="shared" si="156"/>
        <v/>
      </c>
      <c r="T1406" s="317" t="str">
        <f>GLOBAL_DER_FEV_2023!S1406</f>
        <v/>
      </c>
      <c r="W1406" s="582">
        <v>0</v>
      </c>
      <c r="X1406" s="580"/>
      <c r="Y1406" s="583">
        <f>IF(GLOBAL_DER_FEV_2023!W1406=0,0,IF(GLOBAL_DER_FEV_2023!W1406&gt;0,"c","b"))</f>
        <v>0</v>
      </c>
    </row>
    <row r="1407" spans="1:25" ht="22.5" x14ac:dyDescent="0.2">
      <c r="A1407" s="317">
        <v>92021</v>
      </c>
      <c r="B1407" s="895">
        <v>92021</v>
      </c>
      <c r="C1407" s="896" t="s">
        <v>596</v>
      </c>
      <c r="D1407" s="906" t="s">
        <v>1333</v>
      </c>
      <c r="E1407" s="907">
        <f>GLOBAL_DER_FEV_2023!E1407</f>
        <v>0</v>
      </c>
      <c r="F1407" s="908">
        <f>GLOBAL_DER_FEV_2023!F1407</f>
        <v>0</v>
      </c>
      <c r="G1407" s="912">
        <f>GLOBAL_DER_FEV_2023!G1407</f>
        <v>0</v>
      </c>
      <c r="H1407" s="901">
        <f>GLOBAL_DER_FEV_2023!H1407</f>
        <v>136.44</v>
      </c>
      <c r="I1407" s="901">
        <f>GLOBAL_DER_FEV_2023!I1407</f>
        <v>136.44</v>
      </c>
      <c r="J1407" s="902">
        <f>GLOBAL_DER_FEV_2023!J1407</f>
        <v>163.82</v>
      </c>
      <c r="K1407" s="903" t="s">
        <v>1516</v>
      </c>
      <c r="L1407" s="1137"/>
      <c r="M1407" s="1138">
        <f t="shared" si="153"/>
        <v>0</v>
      </c>
      <c r="N1407" s="893">
        <f t="shared" si="157"/>
        <v>0</v>
      </c>
      <c r="O1407" s="905"/>
      <c r="Q1407" s="317" t="str">
        <f t="shared" si="154"/>
        <v/>
      </c>
      <c r="R1407" s="317" t="str">
        <f t="shared" si="155"/>
        <v/>
      </c>
      <c r="S1407" s="317" t="str">
        <f t="shared" si="156"/>
        <v/>
      </c>
      <c r="T1407" s="317" t="str">
        <f>GLOBAL_DER_FEV_2023!S1407</f>
        <v/>
      </c>
      <c r="W1407" s="582">
        <v>0</v>
      </c>
      <c r="X1407" s="580"/>
      <c r="Y1407" s="583">
        <f>IF(GLOBAL_DER_FEV_2023!W1407=0,0,IF(GLOBAL_DER_FEV_2023!W1407&gt;0,"c","b"))</f>
        <v>0</v>
      </c>
    </row>
    <row r="1408" spans="1:25" ht="22.5" x14ac:dyDescent="0.2">
      <c r="A1408" s="317">
        <v>93141</v>
      </c>
      <c r="B1408" s="895">
        <v>93141</v>
      </c>
      <c r="C1408" s="896" t="s">
        <v>596</v>
      </c>
      <c r="D1408" s="906" t="s">
        <v>1334</v>
      </c>
      <c r="E1408" s="907">
        <f>GLOBAL_DER_FEV_2023!E1408</f>
        <v>0</v>
      </c>
      <c r="F1408" s="908">
        <f>GLOBAL_DER_FEV_2023!F1408</f>
        <v>0</v>
      </c>
      <c r="G1408" s="912">
        <f>GLOBAL_DER_FEV_2023!G1408</f>
        <v>0</v>
      </c>
      <c r="H1408" s="901">
        <f>GLOBAL_DER_FEV_2023!H1408</f>
        <v>200.2</v>
      </c>
      <c r="I1408" s="901">
        <f>GLOBAL_DER_FEV_2023!I1408</f>
        <v>200.2</v>
      </c>
      <c r="J1408" s="902">
        <f>GLOBAL_DER_FEV_2023!J1408</f>
        <v>240.38</v>
      </c>
      <c r="K1408" s="903" t="s">
        <v>1516</v>
      </c>
      <c r="L1408" s="1137"/>
      <c r="M1408" s="1138">
        <f t="shared" si="153"/>
        <v>0</v>
      </c>
      <c r="N1408" s="893">
        <f t="shared" si="157"/>
        <v>0</v>
      </c>
      <c r="O1408" s="905"/>
      <c r="Q1408" s="317" t="str">
        <f t="shared" si="154"/>
        <v/>
      </c>
      <c r="R1408" s="317" t="str">
        <f t="shared" si="155"/>
        <v/>
      </c>
      <c r="S1408" s="317" t="str">
        <f t="shared" si="156"/>
        <v/>
      </c>
      <c r="T1408" s="317" t="str">
        <f>GLOBAL_DER_FEV_2023!S1408</f>
        <v/>
      </c>
      <c r="W1408" s="582">
        <v>0</v>
      </c>
      <c r="X1408" s="580"/>
      <c r="Y1408" s="583">
        <f>IF(GLOBAL_DER_FEV_2023!W1408=0,0,IF(GLOBAL_DER_FEV_2023!W1408&gt;0,"c","b"))</f>
        <v>0</v>
      </c>
    </row>
    <row r="1409" spans="1:25" ht="22.5" x14ac:dyDescent="0.2">
      <c r="A1409" s="317">
        <v>93142</v>
      </c>
      <c r="B1409" s="895">
        <v>93142</v>
      </c>
      <c r="C1409" s="896" t="s">
        <v>596</v>
      </c>
      <c r="D1409" s="906" t="s">
        <v>1335</v>
      </c>
      <c r="E1409" s="907">
        <f>GLOBAL_DER_FEV_2023!E1409</f>
        <v>0</v>
      </c>
      <c r="F1409" s="908">
        <f>GLOBAL_DER_FEV_2023!F1409</f>
        <v>0</v>
      </c>
      <c r="G1409" s="912">
        <f>GLOBAL_DER_FEV_2023!G1409</f>
        <v>0</v>
      </c>
      <c r="H1409" s="901">
        <f>GLOBAL_DER_FEV_2023!H1409</f>
        <v>224.18</v>
      </c>
      <c r="I1409" s="901">
        <f>GLOBAL_DER_FEV_2023!I1409</f>
        <v>224.18</v>
      </c>
      <c r="J1409" s="902">
        <f>GLOBAL_DER_FEV_2023!J1409</f>
        <v>269.17</v>
      </c>
      <c r="K1409" s="903" t="s">
        <v>1516</v>
      </c>
      <c r="L1409" s="1137"/>
      <c r="M1409" s="1138">
        <f t="shared" si="153"/>
        <v>0</v>
      </c>
      <c r="N1409" s="893">
        <f t="shared" si="157"/>
        <v>0</v>
      </c>
      <c r="O1409" s="905"/>
      <c r="Q1409" s="317" t="str">
        <f t="shared" si="154"/>
        <v/>
      </c>
      <c r="R1409" s="317" t="str">
        <f t="shared" si="155"/>
        <v/>
      </c>
      <c r="S1409" s="317" t="str">
        <f t="shared" si="156"/>
        <v/>
      </c>
      <c r="T1409" s="317" t="str">
        <f>GLOBAL_DER_FEV_2023!S1409</f>
        <v/>
      </c>
      <c r="W1409" s="582">
        <v>0</v>
      </c>
      <c r="X1409" s="580"/>
      <c r="Y1409" s="583">
        <f>IF(GLOBAL_DER_FEV_2023!W1409=0,0,IF(GLOBAL_DER_FEV_2023!W1409&gt;0,"c","b"))</f>
        <v>0</v>
      </c>
    </row>
    <row r="1410" spans="1:25" ht="22.5" x14ac:dyDescent="0.2">
      <c r="A1410" s="317">
        <v>93143</v>
      </c>
      <c r="B1410" s="895">
        <v>93143</v>
      </c>
      <c r="C1410" s="896" t="s">
        <v>596</v>
      </c>
      <c r="D1410" s="906" t="s">
        <v>1336</v>
      </c>
      <c r="E1410" s="907">
        <f>GLOBAL_DER_FEV_2023!E1410</f>
        <v>0</v>
      </c>
      <c r="F1410" s="908">
        <f>GLOBAL_DER_FEV_2023!F1410</f>
        <v>0</v>
      </c>
      <c r="G1410" s="912">
        <f>GLOBAL_DER_FEV_2023!G1410</f>
        <v>0</v>
      </c>
      <c r="H1410" s="901">
        <f>GLOBAL_DER_FEV_2023!H1410</f>
        <v>203.26</v>
      </c>
      <c r="I1410" s="901">
        <f>GLOBAL_DER_FEV_2023!I1410</f>
        <v>203.26</v>
      </c>
      <c r="J1410" s="902">
        <f>GLOBAL_DER_FEV_2023!J1410</f>
        <v>244.05</v>
      </c>
      <c r="K1410" s="903" t="s">
        <v>1516</v>
      </c>
      <c r="L1410" s="1137"/>
      <c r="M1410" s="1138">
        <f t="shared" si="153"/>
        <v>0</v>
      </c>
      <c r="N1410" s="893">
        <f t="shared" si="157"/>
        <v>0</v>
      </c>
      <c r="O1410" s="905"/>
      <c r="Q1410" s="317" t="str">
        <f t="shared" si="154"/>
        <v/>
      </c>
      <c r="R1410" s="317" t="str">
        <f t="shared" si="155"/>
        <v/>
      </c>
      <c r="S1410" s="317" t="str">
        <f t="shared" si="156"/>
        <v/>
      </c>
      <c r="T1410" s="317" t="str">
        <f>GLOBAL_DER_FEV_2023!S1410</f>
        <v/>
      </c>
      <c r="W1410" s="582">
        <v>0</v>
      </c>
      <c r="X1410" s="580"/>
      <c r="Y1410" s="583">
        <f>IF(GLOBAL_DER_FEV_2023!W1410=0,0,IF(GLOBAL_DER_FEV_2023!W1410&gt;0,"c","b"))</f>
        <v>0</v>
      </c>
    </row>
    <row r="1411" spans="1:25" ht="33.75" x14ac:dyDescent="0.2">
      <c r="A1411" s="317">
        <v>93144</v>
      </c>
      <c r="B1411" s="895">
        <v>93144</v>
      </c>
      <c r="C1411" s="896" t="s">
        <v>596</v>
      </c>
      <c r="D1411" s="906" t="s">
        <v>1337</v>
      </c>
      <c r="E1411" s="907">
        <f>GLOBAL_DER_FEV_2023!E1411</f>
        <v>0</v>
      </c>
      <c r="F1411" s="908">
        <f>GLOBAL_DER_FEV_2023!F1411</f>
        <v>0</v>
      </c>
      <c r="G1411" s="912">
        <f>GLOBAL_DER_FEV_2023!G1411</f>
        <v>0</v>
      </c>
      <c r="H1411" s="901">
        <f>GLOBAL_DER_FEV_2023!H1411</f>
        <v>258.51</v>
      </c>
      <c r="I1411" s="901">
        <f>GLOBAL_DER_FEV_2023!I1411</f>
        <v>258.51</v>
      </c>
      <c r="J1411" s="902">
        <f>GLOBAL_DER_FEV_2023!J1411</f>
        <v>310.39</v>
      </c>
      <c r="K1411" s="903" t="s">
        <v>1516</v>
      </c>
      <c r="L1411" s="1137"/>
      <c r="M1411" s="1138">
        <f t="shared" si="153"/>
        <v>0</v>
      </c>
      <c r="N1411" s="893">
        <f t="shared" si="157"/>
        <v>0</v>
      </c>
      <c r="O1411" s="905"/>
      <c r="Q1411" s="317" t="str">
        <f t="shared" si="154"/>
        <v/>
      </c>
      <c r="R1411" s="317" t="str">
        <f t="shared" si="155"/>
        <v/>
      </c>
      <c r="S1411" s="317" t="str">
        <f t="shared" si="156"/>
        <v/>
      </c>
      <c r="T1411" s="317" t="str">
        <f>GLOBAL_DER_FEV_2023!S1411</f>
        <v/>
      </c>
      <c r="W1411" s="582">
        <v>0</v>
      </c>
      <c r="X1411" s="580"/>
      <c r="Y1411" s="583">
        <f>IF(GLOBAL_DER_FEV_2023!W1411=0,0,IF(GLOBAL_DER_FEV_2023!W1411&gt;0,"c","b"))</f>
        <v>0</v>
      </c>
    </row>
    <row r="1412" spans="1:25" ht="33.75" x14ac:dyDescent="0.2">
      <c r="A1412" s="317">
        <v>93145</v>
      </c>
      <c r="B1412" s="895">
        <v>93145</v>
      </c>
      <c r="C1412" s="896" t="s">
        <v>596</v>
      </c>
      <c r="D1412" s="906" t="s">
        <v>1338</v>
      </c>
      <c r="E1412" s="907">
        <f>GLOBAL_DER_FEV_2023!E1412</f>
        <v>0</v>
      </c>
      <c r="F1412" s="908">
        <f>GLOBAL_DER_FEV_2023!F1412</f>
        <v>0</v>
      </c>
      <c r="G1412" s="912">
        <f>GLOBAL_DER_FEV_2023!G1412</f>
        <v>0</v>
      </c>
      <c r="H1412" s="901">
        <f>GLOBAL_DER_FEV_2023!H1412</f>
        <v>243.22</v>
      </c>
      <c r="I1412" s="901">
        <f>GLOBAL_DER_FEV_2023!I1412</f>
        <v>243.22</v>
      </c>
      <c r="J1412" s="902">
        <f>GLOBAL_DER_FEV_2023!J1412</f>
        <v>292.02999999999997</v>
      </c>
      <c r="K1412" s="903" t="s">
        <v>1516</v>
      </c>
      <c r="L1412" s="1137"/>
      <c r="M1412" s="1138">
        <f t="shared" si="153"/>
        <v>0</v>
      </c>
      <c r="N1412" s="893">
        <f t="shared" si="157"/>
        <v>0</v>
      </c>
      <c r="O1412" s="905"/>
      <c r="Q1412" s="317" t="str">
        <f t="shared" si="154"/>
        <v/>
      </c>
      <c r="R1412" s="317" t="str">
        <f t="shared" si="155"/>
        <v/>
      </c>
      <c r="S1412" s="317" t="str">
        <f t="shared" si="156"/>
        <v/>
      </c>
      <c r="T1412" s="317" t="str">
        <f>GLOBAL_DER_FEV_2023!S1412</f>
        <v/>
      </c>
      <c r="W1412" s="582">
        <v>0</v>
      </c>
      <c r="X1412" s="580"/>
      <c r="Y1412" s="583">
        <f>IF(GLOBAL_DER_FEV_2023!W1412=0,0,IF(GLOBAL_DER_FEV_2023!W1412&gt;0,"c","b"))</f>
        <v>0</v>
      </c>
    </row>
    <row r="1413" spans="1:25" ht="33.75" x14ac:dyDescent="0.2">
      <c r="A1413" s="317">
        <v>93146</v>
      </c>
      <c r="B1413" s="895">
        <v>93146</v>
      </c>
      <c r="C1413" s="896" t="s">
        <v>596</v>
      </c>
      <c r="D1413" s="906" t="s">
        <v>1339</v>
      </c>
      <c r="E1413" s="907">
        <f>GLOBAL_DER_FEV_2023!E1413</f>
        <v>0</v>
      </c>
      <c r="F1413" s="908">
        <f>GLOBAL_DER_FEV_2023!F1413</f>
        <v>0</v>
      </c>
      <c r="G1413" s="912">
        <f>GLOBAL_DER_FEV_2023!G1413</f>
        <v>0</v>
      </c>
      <c r="H1413" s="901">
        <f>GLOBAL_DER_FEV_2023!H1413</f>
        <v>262.87</v>
      </c>
      <c r="I1413" s="901">
        <f>GLOBAL_DER_FEV_2023!I1413</f>
        <v>262.87</v>
      </c>
      <c r="J1413" s="902">
        <f>GLOBAL_DER_FEV_2023!J1413</f>
        <v>315.63</v>
      </c>
      <c r="K1413" s="903" t="s">
        <v>1516</v>
      </c>
      <c r="L1413" s="1137"/>
      <c r="M1413" s="1138">
        <f t="shared" si="153"/>
        <v>0</v>
      </c>
      <c r="N1413" s="893">
        <f t="shared" si="157"/>
        <v>0</v>
      </c>
      <c r="O1413" s="905"/>
      <c r="Q1413" s="317" t="str">
        <f t="shared" si="154"/>
        <v/>
      </c>
      <c r="R1413" s="317" t="str">
        <f t="shared" si="155"/>
        <v/>
      </c>
      <c r="S1413" s="317" t="str">
        <f t="shared" si="156"/>
        <v/>
      </c>
      <c r="T1413" s="317" t="str">
        <f>GLOBAL_DER_FEV_2023!S1413</f>
        <v/>
      </c>
      <c r="W1413" s="582">
        <v>0</v>
      </c>
      <c r="X1413" s="580"/>
      <c r="Y1413" s="583">
        <f>IF(GLOBAL_DER_FEV_2023!W1413=0,0,IF(GLOBAL_DER_FEV_2023!W1413&gt;0,"c","b"))</f>
        <v>0</v>
      </c>
    </row>
    <row r="1414" spans="1:25" ht="33.75" x14ac:dyDescent="0.2">
      <c r="A1414" s="317">
        <v>93147</v>
      </c>
      <c r="B1414" s="895">
        <v>93147</v>
      </c>
      <c r="C1414" s="896" t="s">
        <v>596</v>
      </c>
      <c r="D1414" s="906" t="s">
        <v>1340</v>
      </c>
      <c r="E1414" s="907">
        <f>GLOBAL_DER_FEV_2023!E1414</f>
        <v>0</v>
      </c>
      <c r="F1414" s="908">
        <f>GLOBAL_DER_FEV_2023!F1414</f>
        <v>0</v>
      </c>
      <c r="G1414" s="912">
        <f>GLOBAL_DER_FEV_2023!G1414</f>
        <v>0</v>
      </c>
      <c r="H1414" s="901">
        <f>GLOBAL_DER_FEV_2023!H1414</f>
        <v>299.76</v>
      </c>
      <c r="I1414" s="901">
        <f>GLOBAL_DER_FEV_2023!I1414</f>
        <v>299.76</v>
      </c>
      <c r="J1414" s="902">
        <f>GLOBAL_DER_FEV_2023!J1414</f>
        <v>359.92</v>
      </c>
      <c r="K1414" s="903" t="s">
        <v>1516</v>
      </c>
      <c r="L1414" s="1137"/>
      <c r="M1414" s="1138">
        <f t="shared" ref="M1414:M1477" si="158">IF(L1414=0,0,ROUND(J1414,2))</f>
        <v>0</v>
      </c>
      <c r="N1414" s="893">
        <f t="shared" si="157"/>
        <v>0</v>
      </c>
      <c r="O1414" s="905"/>
      <c r="Q1414" s="317" t="str">
        <f t="shared" si="154"/>
        <v/>
      </c>
      <c r="R1414" s="317" t="str">
        <f t="shared" si="155"/>
        <v/>
      </c>
      <c r="S1414" s="317" t="str">
        <f t="shared" si="156"/>
        <v/>
      </c>
      <c r="T1414" s="317" t="str">
        <f>GLOBAL_DER_FEV_2023!S1414</f>
        <v/>
      </c>
      <c r="W1414" s="582">
        <v>0</v>
      </c>
      <c r="X1414" s="580"/>
      <c r="Y1414" s="583">
        <f>IF(GLOBAL_DER_FEV_2023!W1414=0,0,IF(GLOBAL_DER_FEV_2023!W1414&gt;0,"c","b"))</f>
        <v>0</v>
      </c>
    </row>
    <row r="1415" spans="1:25" ht="33.75" x14ac:dyDescent="0.2">
      <c r="A1415" s="317">
        <v>93128</v>
      </c>
      <c r="B1415" s="895">
        <v>93128</v>
      </c>
      <c r="C1415" s="896" t="s">
        <v>596</v>
      </c>
      <c r="D1415" s="906" t="s">
        <v>1341</v>
      </c>
      <c r="E1415" s="907">
        <f>GLOBAL_DER_FEV_2023!E1415</f>
        <v>0</v>
      </c>
      <c r="F1415" s="908">
        <f>GLOBAL_DER_FEV_2023!F1415</f>
        <v>0</v>
      </c>
      <c r="G1415" s="912">
        <f>GLOBAL_DER_FEV_2023!G1415</f>
        <v>0</v>
      </c>
      <c r="H1415" s="901">
        <f>GLOBAL_DER_FEV_2023!H1415</f>
        <v>165.8</v>
      </c>
      <c r="I1415" s="901">
        <f>GLOBAL_DER_FEV_2023!I1415</f>
        <v>165.8</v>
      </c>
      <c r="J1415" s="902">
        <f>GLOBAL_DER_FEV_2023!J1415</f>
        <v>199.08</v>
      </c>
      <c r="K1415" s="903" t="s">
        <v>1516</v>
      </c>
      <c r="L1415" s="1137"/>
      <c r="M1415" s="1138">
        <f t="shared" si="158"/>
        <v>0</v>
      </c>
      <c r="N1415" s="893">
        <f t="shared" si="157"/>
        <v>0</v>
      </c>
      <c r="O1415" s="905"/>
      <c r="Q1415" s="317" t="str">
        <f t="shared" si="154"/>
        <v/>
      </c>
      <c r="R1415" s="317" t="str">
        <f t="shared" si="155"/>
        <v/>
      </c>
      <c r="S1415" s="317" t="str">
        <f t="shared" si="156"/>
        <v/>
      </c>
      <c r="T1415" s="317" t="str">
        <f>GLOBAL_DER_FEV_2023!S1415</f>
        <v/>
      </c>
      <c r="W1415" s="582">
        <v>0</v>
      </c>
      <c r="X1415" s="580"/>
      <c r="Y1415" s="583">
        <f>IF(GLOBAL_DER_FEV_2023!W1415=0,0,IF(GLOBAL_DER_FEV_2023!W1415&gt;0,"c","b"))</f>
        <v>0</v>
      </c>
    </row>
    <row r="1416" spans="1:25" ht="33.75" x14ac:dyDescent="0.2">
      <c r="A1416" s="317">
        <v>93137</v>
      </c>
      <c r="B1416" s="895">
        <v>93137</v>
      </c>
      <c r="C1416" s="896" t="s">
        <v>596</v>
      </c>
      <c r="D1416" s="906" t="s">
        <v>1342</v>
      </c>
      <c r="E1416" s="907">
        <f>GLOBAL_DER_FEV_2023!E1416</f>
        <v>0</v>
      </c>
      <c r="F1416" s="908">
        <f>GLOBAL_DER_FEV_2023!F1416</f>
        <v>0</v>
      </c>
      <c r="G1416" s="912">
        <f>GLOBAL_DER_FEV_2023!G1416</f>
        <v>0</v>
      </c>
      <c r="H1416" s="901">
        <f>GLOBAL_DER_FEV_2023!H1416</f>
        <v>196.5</v>
      </c>
      <c r="I1416" s="901">
        <f>GLOBAL_DER_FEV_2023!I1416</f>
        <v>196.5</v>
      </c>
      <c r="J1416" s="902">
        <f>GLOBAL_DER_FEV_2023!J1416</f>
        <v>235.94</v>
      </c>
      <c r="K1416" s="903" t="s">
        <v>1516</v>
      </c>
      <c r="L1416" s="1137"/>
      <c r="M1416" s="1138">
        <f t="shared" si="158"/>
        <v>0</v>
      </c>
      <c r="N1416" s="893">
        <f t="shared" si="157"/>
        <v>0</v>
      </c>
      <c r="O1416" s="905"/>
      <c r="Q1416" s="317" t="str">
        <f t="shared" si="154"/>
        <v/>
      </c>
      <c r="R1416" s="317" t="str">
        <f t="shared" si="155"/>
        <v/>
      </c>
      <c r="S1416" s="317" t="str">
        <f t="shared" si="156"/>
        <v/>
      </c>
      <c r="T1416" s="317" t="str">
        <f>GLOBAL_DER_FEV_2023!S1416</f>
        <v/>
      </c>
      <c r="W1416" s="582">
        <v>0</v>
      </c>
      <c r="X1416" s="580"/>
      <c r="Y1416" s="583">
        <f>IF(GLOBAL_DER_FEV_2023!W1416=0,0,IF(GLOBAL_DER_FEV_2023!W1416&gt;0,"c","b"))</f>
        <v>0</v>
      </c>
    </row>
    <row r="1417" spans="1:25" ht="33.75" x14ac:dyDescent="0.2">
      <c r="A1417" s="317">
        <v>93138</v>
      </c>
      <c r="B1417" s="895">
        <v>93138</v>
      </c>
      <c r="C1417" s="896" t="s">
        <v>596</v>
      </c>
      <c r="D1417" s="906" t="s">
        <v>1343</v>
      </c>
      <c r="E1417" s="907">
        <f>GLOBAL_DER_FEV_2023!E1417</f>
        <v>0</v>
      </c>
      <c r="F1417" s="908">
        <f>GLOBAL_DER_FEV_2023!F1417</f>
        <v>0</v>
      </c>
      <c r="G1417" s="912">
        <f>GLOBAL_DER_FEV_2023!G1417</f>
        <v>0</v>
      </c>
      <c r="H1417" s="901">
        <f>GLOBAL_DER_FEV_2023!H1417</f>
        <v>185.46</v>
      </c>
      <c r="I1417" s="901">
        <f>GLOBAL_DER_FEV_2023!I1417</f>
        <v>185.46</v>
      </c>
      <c r="J1417" s="902">
        <f>GLOBAL_DER_FEV_2023!J1417</f>
        <v>222.68</v>
      </c>
      <c r="K1417" s="903" t="s">
        <v>1516</v>
      </c>
      <c r="L1417" s="1137"/>
      <c r="M1417" s="1138">
        <f t="shared" si="158"/>
        <v>0</v>
      </c>
      <c r="N1417" s="893">
        <f t="shared" si="157"/>
        <v>0</v>
      </c>
      <c r="O1417" s="905"/>
      <c r="Q1417" s="317" t="str">
        <f t="shared" si="154"/>
        <v/>
      </c>
      <c r="R1417" s="317" t="str">
        <f t="shared" si="155"/>
        <v/>
      </c>
      <c r="S1417" s="317" t="str">
        <f t="shared" si="156"/>
        <v/>
      </c>
      <c r="T1417" s="317" t="str">
        <f>GLOBAL_DER_FEV_2023!S1417</f>
        <v/>
      </c>
      <c r="W1417" s="582">
        <v>0</v>
      </c>
      <c r="X1417" s="580"/>
      <c r="Y1417" s="583">
        <f>IF(GLOBAL_DER_FEV_2023!W1417=0,0,IF(GLOBAL_DER_FEV_2023!W1417&gt;0,"c","b"))</f>
        <v>0</v>
      </c>
    </row>
    <row r="1418" spans="1:25" ht="33.75" x14ac:dyDescent="0.2">
      <c r="A1418" s="317">
        <v>93139</v>
      </c>
      <c r="B1418" s="895">
        <v>93139</v>
      </c>
      <c r="C1418" s="896" t="s">
        <v>596</v>
      </c>
      <c r="D1418" s="906" t="s">
        <v>1344</v>
      </c>
      <c r="E1418" s="907">
        <f>GLOBAL_DER_FEV_2023!E1418</f>
        <v>0</v>
      </c>
      <c r="F1418" s="908">
        <f>GLOBAL_DER_FEV_2023!F1418</f>
        <v>0</v>
      </c>
      <c r="G1418" s="912">
        <f>GLOBAL_DER_FEV_2023!G1418</f>
        <v>0</v>
      </c>
      <c r="H1418" s="901">
        <f>GLOBAL_DER_FEV_2023!H1418</f>
        <v>235.76</v>
      </c>
      <c r="I1418" s="901">
        <f>GLOBAL_DER_FEV_2023!I1418</f>
        <v>235.76</v>
      </c>
      <c r="J1418" s="902">
        <f>GLOBAL_DER_FEV_2023!J1418</f>
        <v>283.08</v>
      </c>
      <c r="K1418" s="903" t="s">
        <v>1516</v>
      </c>
      <c r="L1418" s="1137"/>
      <c r="M1418" s="1138">
        <f t="shared" si="158"/>
        <v>0</v>
      </c>
      <c r="N1418" s="893">
        <f t="shared" si="157"/>
        <v>0</v>
      </c>
      <c r="O1418" s="905"/>
      <c r="Q1418" s="317" t="str">
        <f t="shared" si="154"/>
        <v/>
      </c>
      <c r="R1418" s="317" t="str">
        <f t="shared" si="155"/>
        <v/>
      </c>
      <c r="S1418" s="317" t="str">
        <f t="shared" si="156"/>
        <v/>
      </c>
      <c r="T1418" s="317" t="str">
        <f>GLOBAL_DER_FEV_2023!S1418</f>
        <v/>
      </c>
      <c r="W1418" s="582">
        <v>0</v>
      </c>
      <c r="X1418" s="580"/>
      <c r="Y1418" s="583">
        <f>IF(GLOBAL_DER_FEV_2023!W1418=0,0,IF(GLOBAL_DER_FEV_2023!W1418&gt;0,"c","b"))</f>
        <v>0</v>
      </c>
    </row>
    <row r="1419" spans="1:25" ht="33.75" x14ac:dyDescent="0.2">
      <c r="A1419" s="317">
        <v>93140</v>
      </c>
      <c r="B1419" s="895">
        <v>93140</v>
      </c>
      <c r="C1419" s="896" t="s">
        <v>596</v>
      </c>
      <c r="D1419" s="906" t="s">
        <v>1345</v>
      </c>
      <c r="E1419" s="907">
        <f>GLOBAL_DER_FEV_2023!E1419</f>
        <v>0</v>
      </c>
      <c r="F1419" s="908">
        <f>GLOBAL_DER_FEV_2023!F1419</f>
        <v>0</v>
      </c>
      <c r="G1419" s="912">
        <f>GLOBAL_DER_FEV_2023!G1419</f>
        <v>0</v>
      </c>
      <c r="H1419" s="901">
        <f>GLOBAL_DER_FEV_2023!H1419</f>
        <v>222.29</v>
      </c>
      <c r="I1419" s="901">
        <f>GLOBAL_DER_FEV_2023!I1419</f>
        <v>222.29</v>
      </c>
      <c r="J1419" s="902">
        <f>GLOBAL_DER_FEV_2023!J1419</f>
        <v>266.89999999999998</v>
      </c>
      <c r="K1419" s="903" t="s">
        <v>1516</v>
      </c>
      <c r="L1419" s="1137"/>
      <c r="M1419" s="1138">
        <f t="shared" si="158"/>
        <v>0</v>
      </c>
      <c r="N1419" s="893">
        <f t="shared" si="157"/>
        <v>0</v>
      </c>
      <c r="O1419" s="905"/>
      <c r="Q1419" s="317" t="str">
        <f t="shared" si="154"/>
        <v/>
      </c>
      <c r="R1419" s="317" t="str">
        <f t="shared" si="155"/>
        <v/>
      </c>
      <c r="S1419" s="317" t="str">
        <f t="shared" si="156"/>
        <v/>
      </c>
      <c r="T1419" s="317" t="str">
        <f>GLOBAL_DER_FEV_2023!S1419</f>
        <v/>
      </c>
      <c r="W1419" s="582">
        <v>0</v>
      </c>
      <c r="X1419" s="580"/>
      <c r="Y1419" s="583">
        <f>IF(GLOBAL_DER_FEV_2023!W1419=0,0,IF(GLOBAL_DER_FEV_2023!W1419&gt;0,"c","b"))</f>
        <v>0</v>
      </c>
    </row>
    <row r="1420" spans="1:25" ht="22.5" x14ac:dyDescent="0.2">
      <c r="A1420" s="317">
        <v>97595</v>
      </c>
      <c r="B1420" s="895">
        <v>97595</v>
      </c>
      <c r="C1420" s="896" t="s">
        <v>596</v>
      </c>
      <c r="D1420" s="906" t="s">
        <v>1346</v>
      </c>
      <c r="E1420" s="907">
        <f>GLOBAL_DER_FEV_2023!E1420</f>
        <v>0</v>
      </c>
      <c r="F1420" s="908">
        <f>GLOBAL_DER_FEV_2023!F1420</f>
        <v>0</v>
      </c>
      <c r="G1420" s="912">
        <f>GLOBAL_DER_FEV_2023!G1420</f>
        <v>0</v>
      </c>
      <c r="H1420" s="901">
        <f>GLOBAL_DER_FEV_2023!H1420</f>
        <v>118.06</v>
      </c>
      <c r="I1420" s="901">
        <f>GLOBAL_DER_FEV_2023!I1420</f>
        <v>118.06</v>
      </c>
      <c r="J1420" s="902">
        <f>GLOBAL_DER_FEV_2023!J1420</f>
        <v>141.75</v>
      </c>
      <c r="K1420" s="903" t="s">
        <v>1516</v>
      </c>
      <c r="L1420" s="1137"/>
      <c r="M1420" s="1138">
        <f t="shared" si="158"/>
        <v>0</v>
      </c>
      <c r="N1420" s="893">
        <f t="shared" si="157"/>
        <v>0</v>
      </c>
      <c r="O1420" s="905"/>
      <c r="Q1420" s="317" t="str">
        <f t="shared" si="154"/>
        <v/>
      </c>
      <c r="R1420" s="317" t="str">
        <f t="shared" si="155"/>
        <v/>
      </c>
      <c r="S1420" s="317" t="str">
        <f t="shared" si="156"/>
        <v/>
      </c>
      <c r="T1420" s="317" t="str">
        <f>GLOBAL_DER_FEV_2023!S1420</f>
        <v/>
      </c>
      <c r="W1420" s="582">
        <v>0</v>
      </c>
      <c r="X1420" s="580"/>
      <c r="Y1420" s="583">
        <f>IF(GLOBAL_DER_FEV_2023!W1420=0,0,IF(GLOBAL_DER_FEV_2023!W1420&gt;0,"c","b"))</f>
        <v>0</v>
      </c>
    </row>
    <row r="1421" spans="1:25" ht="22.5" x14ac:dyDescent="0.2">
      <c r="A1421" s="317">
        <v>97596</v>
      </c>
      <c r="B1421" s="895">
        <v>97596</v>
      </c>
      <c r="C1421" s="896" t="s">
        <v>596</v>
      </c>
      <c r="D1421" s="906" t="s">
        <v>1347</v>
      </c>
      <c r="E1421" s="907">
        <f>GLOBAL_DER_FEV_2023!E1421</f>
        <v>0</v>
      </c>
      <c r="F1421" s="908">
        <f>GLOBAL_DER_FEV_2023!F1421</f>
        <v>0</v>
      </c>
      <c r="G1421" s="912">
        <f>GLOBAL_DER_FEV_2023!G1421</f>
        <v>0</v>
      </c>
      <c r="H1421" s="901">
        <f>GLOBAL_DER_FEV_2023!H1421</f>
        <v>82.53</v>
      </c>
      <c r="I1421" s="901">
        <f>GLOBAL_DER_FEV_2023!I1421</f>
        <v>82.53</v>
      </c>
      <c r="J1421" s="902">
        <f>GLOBAL_DER_FEV_2023!J1421</f>
        <v>99.09</v>
      </c>
      <c r="K1421" s="903" t="s">
        <v>1516</v>
      </c>
      <c r="L1421" s="1137"/>
      <c r="M1421" s="1138">
        <f t="shared" si="158"/>
        <v>0</v>
      </c>
      <c r="N1421" s="893">
        <f t="shared" si="157"/>
        <v>0</v>
      </c>
      <c r="O1421" s="905"/>
      <c r="Q1421" s="317" t="str">
        <f t="shared" si="154"/>
        <v/>
      </c>
      <c r="R1421" s="317" t="str">
        <f t="shared" si="155"/>
        <v/>
      </c>
      <c r="S1421" s="317" t="str">
        <f t="shared" si="156"/>
        <v/>
      </c>
      <c r="T1421" s="317" t="str">
        <f>GLOBAL_DER_FEV_2023!S1421</f>
        <v/>
      </c>
      <c r="W1421" s="582">
        <v>0</v>
      </c>
      <c r="X1421" s="580"/>
      <c r="Y1421" s="583">
        <f>IF(GLOBAL_DER_FEV_2023!W1421=0,0,IF(GLOBAL_DER_FEV_2023!W1421&gt;0,"c","b"))</f>
        <v>0</v>
      </c>
    </row>
    <row r="1422" spans="1:25" ht="22.5" x14ac:dyDescent="0.2">
      <c r="A1422" s="317">
        <v>97597</v>
      </c>
      <c r="B1422" s="895">
        <v>97597</v>
      </c>
      <c r="C1422" s="896" t="s">
        <v>596</v>
      </c>
      <c r="D1422" s="906" t="s">
        <v>1348</v>
      </c>
      <c r="E1422" s="907">
        <f>GLOBAL_DER_FEV_2023!E1422</f>
        <v>0</v>
      </c>
      <c r="F1422" s="908">
        <f>GLOBAL_DER_FEV_2023!F1422</f>
        <v>0</v>
      </c>
      <c r="G1422" s="912">
        <f>GLOBAL_DER_FEV_2023!G1422</f>
        <v>0</v>
      </c>
      <c r="H1422" s="901">
        <f>GLOBAL_DER_FEV_2023!H1422</f>
        <v>81.42</v>
      </c>
      <c r="I1422" s="901">
        <f>GLOBAL_DER_FEV_2023!I1422</f>
        <v>81.42</v>
      </c>
      <c r="J1422" s="902">
        <f>GLOBAL_DER_FEV_2023!J1422</f>
        <v>97.76</v>
      </c>
      <c r="K1422" s="903" t="s">
        <v>1516</v>
      </c>
      <c r="L1422" s="1137"/>
      <c r="M1422" s="1138">
        <f t="shared" si="158"/>
        <v>0</v>
      </c>
      <c r="N1422" s="893">
        <f t="shared" si="157"/>
        <v>0</v>
      </c>
      <c r="O1422" s="905"/>
      <c r="Q1422" s="317" t="str">
        <f t="shared" si="154"/>
        <v/>
      </c>
      <c r="R1422" s="317" t="str">
        <f t="shared" si="155"/>
        <v/>
      </c>
      <c r="S1422" s="317" t="str">
        <f t="shared" si="156"/>
        <v/>
      </c>
      <c r="T1422" s="317" t="str">
        <f>GLOBAL_DER_FEV_2023!S1422</f>
        <v/>
      </c>
      <c r="W1422" s="582">
        <v>0</v>
      </c>
      <c r="X1422" s="580"/>
      <c r="Y1422" s="583">
        <f>IF(GLOBAL_DER_FEV_2023!W1422=0,0,IF(GLOBAL_DER_FEV_2023!W1422&gt;0,"c","b"))</f>
        <v>0</v>
      </c>
    </row>
    <row r="1423" spans="1:25" ht="22.5" x14ac:dyDescent="0.2">
      <c r="A1423" s="317">
        <v>97598</v>
      </c>
      <c r="B1423" s="895">
        <v>97598</v>
      </c>
      <c r="C1423" s="896" t="s">
        <v>596</v>
      </c>
      <c r="D1423" s="906" t="s">
        <v>1349</v>
      </c>
      <c r="E1423" s="907">
        <f>GLOBAL_DER_FEV_2023!E1423</f>
        <v>0</v>
      </c>
      <c r="F1423" s="908">
        <f>GLOBAL_DER_FEV_2023!F1423</f>
        <v>0</v>
      </c>
      <c r="G1423" s="912">
        <f>GLOBAL_DER_FEV_2023!G1423</f>
        <v>0</v>
      </c>
      <c r="H1423" s="901">
        <f>GLOBAL_DER_FEV_2023!H1423</f>
        <v>76.88</v>
      </c>
      <c r="I1423" s="901">
        <f>GLOBAL_DER_FEV_2023!I1423</f>
        <v>76.88</v>
      </c>
      <c r="J1423" s="902">
        <f>GLOBAL_DER_FEV_2023!J1423</f>
        <v>92.31</v>
      </c>
      <c r="K1423" s="903" t="s">
        <v>1516</v>
      </c>
      <c r="L1423" s="1137"/>
      <c r="M1423" s="1138">
        <f t="shared" si="158"/>
        <v>0</v>
      </c>
      <c r="N1423" s="893">
        <f t="shared" si="157"/>
        <v>0</v>
      </c>
      <c r="O1423" s="905"/>
      <c r="Q1423" s="317" t="str">
        <f t="shared" si="154"/>
        <v/>
      </c>
      <c r="R1423" s="317" t="str">
        <f t="shared" si="155"/>
        <v/>
      </c>
      <c r="S1423" s="317" t="str">
        <f t="shared" si="156"/>
        <v/>
      </c>
      <c r="T1423" s="317" t="str">
        <f>GLOBAL_DER_FEV_2023!S1423</f>
        <v/>
      </c>
      <c r="W1423" s="582">
        <v>0</v>
      </c>
      <c r="X1423" s="580"/>
      <c r="Y1423" s="583">
        <f>IF(GLOBAL_DER_FEV_2023!W1423=0,0,IF(GLOBAL_DER_FEV_2023!W1423&gt;0,"c","b"))</f>
        <v>0</v>
      </c>
    </row>
    <row r="1424" spans="1:25" ht="22.5" x14ac:dyDescent="0.2">
      <c r="A1424" s="317">
        <v>97599</v>
      </c>
      <c r="B1424" s="895">
        <v>97599</v>
      </c>
      <c r="C1424" s="896" t="s">
        <v>596</v>
      </c>
      <c r="D1424" s="906" t="s">
        <v>1350</v>
      </c>
      <c r="E1424" s="907">
        <f>GLOBAL_DER_FEV_2023!E1424</f>
        <v>0</v>
      </c>
      <c r="F1424" s="908">
        <f>GLOBAL_DER_FEV_2023!F1424</f>
        <v>0</v>
      </c>
      <c r="G1424" s="912">
        <f>GLOBAL_DER_FEV_2023!G1424</f>
        <v>0</v>
      </c>
      <c r="H1424" s="901">
        <f>GLOBAL_DER_FEV_2023!H1424</f>
        <v>28.78</v>
      </c>
      <c r="I1424" s="901">
        <f>GLOBAL_DER_FEV_2023!I1424</f>
        <v>28.78</v>
      </c>
      <c r="J1424" s="902">
        <f>GLOBAL_DER_FEV_2023!J1424</f>
        <v>34.56</v>
      </c>
      <c r="K1424" s="903" t="s">
        <v>1516</v>
      </c>
      <c r="L1424" s="1137"/>
      <c r="M1424" s="1138">
        <f t="shared" si="158"/>
        <v>0</v>
      </c>
      <c r="N1424" s="893">
        <f t="shared" si="157"/>
        <v>0</v>
      </c>
      <c r="O1424" s="905"/>
      <c r="Q1424" s="317" t="str">
        <f t="shared" si="154"/>
        <v/>
      </c>
      <c r="R1424" s="317" t="str">
        <f t="shared" si="155"/>
        <v/>
      </c>
      <c r="S1424" s="317" t="str">
        <f t="shared" si="156"/>
        <v/>
      </c>
      <c r="T1424" s="317" t="str">
        <f>GLOBAL_DER_FEV_2023!S1424</f>
        <v/>
      </c>
      <c r="W1424" s="582">
        <v>0</v>
      </c>
      <c r="X1424" s="580"/>
      <c r="Y1424" s="583">
        <f>IF(GLOBAL_DER_FEV_2023!W1424=0,0,IF(GLOBAL_DER_FEV_2023!W1424&gt;0,"c","b"))</f>
        <v>0</v>
      </c>
    </row>
    <row r="1425" spans="1:25" ht="22.5" x14ac:dyDescent="0.2">
      <c r="A1425" s="317">
        <v>97583</v>
      </c>
      <c r="B1425" s="895">
        <v>97583</v>
      </c>
      <c r="C1425" s="896" t="s">
        <v>596</v>
      </c>
      <c r="D1425" s="906" t="s">
        <v>1351</v>
      </c>
      <c r="E1425" s="907">
        <f>GLOBAL_DER_FEV_2023!E1425</f>
        <v>0</v>
      </c>
      <c r="F1425" s="908">
        <f>GLOBAL_DER_FEV_2023!F1425</f>
        <v>0</v>
      </c>
      <c r="G1425" s="912">
        <f>GLOBAL_DER_FEV_2023!G1425</f>
        <v>0</v>
      </c>
      <c r="H1425" s="901">
        <f>GLOBAL_DER_FEV_2023!H1425</f>
        <v>99.02</v>
      </c>
      <c r="I1425" s="901">
        <f>GLOBAL_DER_FEV_2023!I1425</f>
        <v>99.02</v>
      </c>
      <c r="J1425" s="902">
        <f>GLOBAL_DER_FEV_2023!J1425</f>
        <v>118.89</v>
      </c>
      <c r="K1425" s="903" t="s">
        <v>1516</v>
      </c>
      <c r="L1425" s="1137"/>
      <c r="M1425" s="1138">
        <f t="shared" si="158"/>
        <v>0</v>
      </c>
      <c r="N1425" s="893">
        <f t="shared" si="157"/>
        <v>0</v>
      </c>
      <c r="O1425" s="905"/>
      <c r="Q1425" s="317" t="str">
        <f t="shared" ref="Q1425:Q1488" si="159">IF(P1425="X","x",IF(P1425="xx","x",IF(P1425="xy","x",IF(P1425="y","x",IF(OR(N1425&gt;0,N1425&gt;0),"x","")))))</f>
        <v/>
      </c>
      <c r="R1425" s="317" t="str">
        <f t="shared" si="155"/>
        <v/>
      </c>
      <c r="S1425" s="317" t="str">
        <f t="shared" si="156"/>
        <v/>
      </c>
      <c r="T1425" s="317" t="str">
        <f>GLOBAL_DER_FEV_2023!S1425</f>
        <v/>
      </c>
      <c r="W1425" s="582">
        <v>0</v>
      </c>
      <c r="X1425" s="580"/>
      <c r="Y1425" s="583">
        <f>IF(GLOBAL_DER_FEV_2023!W1425=0,0,IF(GLOBAL_DER_FEV_2023!W1425&gt;0,"c","b"))</f>
        <v>0</v>
      </c>
    </row>
    <row r="1426" spans="1:25" ht="33.75" x14ac:dyDescent="0.2">
      <c r="A1426" s="317">
        <v>101662</v>
      </c>
      <c r="B1426" s="895">
        <v>101662</v>
      </c>
      <c r="C1426" s="896" t="s">
        <v>596</v>
      </c>
      <c r="D1426" s="906" t="s">
        <v>1352</v>
      </c>
      <c r="E1426" s="907">
        <f>GLOBAL_DER_FEV_2023!E1426</f>
        <v>0</v>
      </c>
      <c r="F1426" s="908">
        <f>GLOBAL_DER_FEV_2023!F1426</f>
        <v>0</v>
      </c>
      <c r="G1426" s="912">
        <f>GLOBAL_DER_FEV_2023!G1426</f>
        <v>0</v>
      </c>
      <c r="H1426" s="901">
        <f>GLOBAL_DER_FEV_2023!H1426</f>
        <v>794.92</v>
      </c>
      <c r="I1426" s="901">
        <f>GLOBAL_DER_FEV_2023!I1426</f>
        <v>794.92</v>
      </c>
      <c r="J1426" s="902">
        <f>GLOBAL_DER_FEV_2023!J1426</f>
        <v>954.46</v>
      </c>
      <c r="K1426" s="903" t="s">
        <v>1516</v>
      </c>
      <c r="L1426" s="1137"/>
      <c r="M1426" s="1138">
        <f t="shared" si="158"/>
        <v>0</v>
      </c>
      <c r="N1426" s="893">
        <f t="shared" si="157"/>
        <v>0</v>
      </c>
      <c r="O1426" s="905"/>
      <c r="Q1426" s="317" t="str">
        <f t="shared" si="159"/>
        <v/>
      </c>
      <c r="R1426" s="317" t="str">
        <f t="shared" si="155"/>
        <v/>
      </c>
      <c r="S1426" s="317" t="str">
        <f t="shared" si="156"/>
        <v/>
      </c>
      <c r="T1426" s="317" t="str">
        <f>GLOBAL_DER_FEV_2023!S1426</f>
        <v/>
      </c>
      <c r="W1426" s="582">
        <v>0</v>
      </c>
      <c r="X1426" s="580"/>
      <c r="Y1426" s="583">
        <f>IF(GLOBAL_DER_FEV_2023!W1426=0,0,IF(GLOBAL_DER_FEV_2023!W1426&gt;0,"c","b"))</f>
        <v>0</v>
      </c>
    </row>
    <row r="1427" spans="1:25" ht="22.5" x14ac:dyDescent="0.2">
      <c r="A1427" s="317">
        <v>101652</v>
      </c>
      <c r="B1427" s="895">
        <v>101652</v>
      </c>
      <c r="C1427" s="896" t="s">
        <v>596</v>
      </c>
      <c r="D1427" s="906" t="s">
        <v>1353</v>
      </c>
      <c r="E1427" s="907">
        <f>GLOBAL_DER_FEV_2023!E1427</f>
        <v>0</v>
      </c>
      <c r="F1427" s="908">
        <f>GLOBAL_DER_FEV_2023!F1427</f>
        <v>0</v>
      </c>
      <c r="G1427" s="912">
        <f>GLOBAL_DER_FEV_2023!G1427</f>
        <v>0</v>
      </c>
      <c r="H1427" s="901">
        <f>GLOBAL_DER_FEV_2023!H1427</f>
        <v>576.32000000000005</v>
      </c>
      <c r="I1427" s="901">
        <f>GLOBAL_DER_FEV_2023!I1427</f>
        <v>576.32000000000005</v>
      </c>
      <c r="J1427" s="902">
        <f>GLOBAL_DER_FEV_2023!J1427</f>
        <v>691.99</v>
      </c>
      <c r="K1427" s="903" t="s">
        <v>1516</v>
      </c>
      <c r="L1427" s="1137"/>
      <c r="M1427" s="1138">
        <f t="shared" si="158"/>
        <v>0</v>
      </c>
      <c r="N1427" s="893">
        <f t="shared" si="157"/>
        <v>0</v>
      </c>
      <c r="O1427" s="905"/>
      <c r="Q1427" s="317" t="str">
        <f t="shared" si="159"/>
        <v/>
      </c>
      <c r="R1427" s="317" t="str">
        <f t="shared" ref="R1427:R1490" si="160">IF(P1427="X","x",IF(P1427="y","x",IF(P1427="xx","x",IF(N1427&gt;0,"x",""))))</f>
        <v/>
      </c>
      <c r="S1427" s="317" t="str">
        <f t="shared" ref="S1427:S1490" si="161">IF(P1427="X","x",IF(N1427&gt;0,"x",""))</f>
        <v/>
      </c>
      <c r="T1427" s="317" t="str">
        <f>GLOBAL_DER_FEV_2023!S1427</f>
        <v/>
      </c>
      <c r="W1427" s="582">
        <v>0</v>
      </c>
      <c r="X1427" s="580"/>
      <c r="Y1427" s="583">
        <f>IF(GLOBAL_DER_FEV_2023!W1427=0,0,IF(GLOBAL_DER_FEV_2023!W1427&gt;0,"c","b"))</f>
        <v>0</v>
      </c>
    </row>
    <row r="1428" spans="1:25" ht="45" x14ac:dyDescent="0.2">
      <c r="A1428" s="317">
        <v>101653</v>
      </c>
      <c r="B1428" s="895">
        <v>101653</v>
      </c>
      <c r="C1428" s="896" t="s">
        <v>596</v>
      </c>
      <c r="D1428" s="906" t="s">
        <v>1354</v>
      </c>
      <c r="E1428" s="907">
        <f>GLOBAL_DER_FEV_2023!E1428</f>
        <v>0</v>
      </c>
      <c r="F1428" s="908">
        <f>GLOBAL_DER_FEV_2023!F1428</f>
        <v>0</v>
      </c>
      <c r="G1428" s="912">
        <f>GLOBAL_DER_FEV_2023!G1428</f>
        <v>0</v>
      </c>
      <c r="H1428" s="901">
        <f>GLOBAL_DER_FEV_2023!H1428</f>
        <v>311.74</v>
      </c>
      <c r="I1428" s="901">
        <f>GLOBAL_DER_FEV_2023!I1428</f>
        <v>311.74</v>
      </c>
      <c r="J1428" s="902">
        <f>GLOBAL_DER_FEV_2023!J1428</f>
        <v>374.31</v>
      </c>
      <c r="K1428" s="903" t="s">
        <v>1516</v>
      </c>
      <c r="L1428" s="1137"/>
      <c r="M1428" s="1138">
        <f t="shared" si="158"/>
        <v>0</v>
      </c>
      <c r="N1428" s="893">
        <f t="shared" si="157"/>
        <v>0</v>
      </c>
      <c r="O1428" s="905"/>
      <c r="Q1428" s="317" t="str">
        <f t="shared" si="159"/>
        <v/>
      </c>
      <c r="R1428" s="317" t="str">
        <f t="shared" si="160"/>
        <v/>
      </c>
      <c r="S1428" s="317" t="str">
        <f t="shared" si="161"/>
        <v/>
      </c>
      <c r="T1428" s="317" t="str">
        <f>GLOBAL_DER_FEV_2023!S1428</f>
        <v/>
      </c>
      <c r="W1428" s="582">
        <v>0</v>
      </c>
      <c r="X1428" s="580"/>
      <c r="Y1428" s="583">
        <f>IF(GLOBAL_DER_FEV_2023!W1428=0,0,IF(GLOBAL_DER_FEV_2023!W1428&gt;0,"c","b"))</f>
        <v>0</v>
      </c>
    </row>
    <row r="1429" spans="1:25" ht="22.5" x14ac:dyDescent="0.2">
      <c r="A1429" s="317">
        <v>97584</v>
      </c>
      <c r="B1429" s="895">
        <v>97584</v>
      </c>
      <c r="C1429" s="896" t="s">
        <v>596</v>
      </c>
      <c r="D1429" s="906" t="s">
        <v>1355</v>
      </c>
      <c r="E1429" s="907">
        <f>GLOBAL_DER_FEV_2023!E1429</f>
        <v>0</v>
      </c>
      <c r="F1429" s="908">
        <f>GLOBAL_DER_FEV_2023!F1429</f>
        <v>0</v>
      </c>
      <c r="G1429" s="912">
        <f>GLOBAL_DER_FEV_2023!G1429</f>
        <v>0</v>
      </c>
      <c r="H1429" s="901">
        <f>GLOBAL_DER_FEV_2023!H1429</f>
        <v>138.43</v>
      </c>
      <c r="I1429" s="901">
        <f>GLOBAL_DER_FEV_2023!I1429</f>
        <v>138.43</v>
      </c>
      <c r="J1429" s="902">
        <f>GLOBAL_DER_FEV_2023!J1429</f>
        <v>166.21</v>
      </c>
      <c r="K1429" s="903" t="s">
        <v>1516</v>
      </c>
      <c r="L1429" s="1137"/>
      <c r="M1429" s="1138">
        <f t="shared" si="158"/>
        <v>0</v>
      </c>
      <c r="N1429" s="893">
        <f t="shared" si="157"/>
        <v>0</v>
      </c>
      <c r="O1429" s="905"/>
      <c r="Q1429" s="317" t="str">
        <f t="shared" si="159"/>
        <v/>
      </c>
      <c r="R1429" s="317" t="str">
        <f t="shared" si="160"/>
        <v/>
      </c>
      <c r="S1429" s="317" t="str">
        <f t="shared" si="161"/>
        <v/>
      </c>
      <c r="T1429" s="317" t="str">
        <f>GLOBAL_DER_FEV_2023!S1429</f>
        <v/>
      </c>
      <c r="W1429" s="582">
        <v>0</v>
      </c>
      <c r="X1429" s="580"/>
      <c r="Y1429" s="583">
        <f>IF(GLOBAL_DER_FEV_2023!W1429=0,0,IF(GLOBAL_DER_FEV_2023!W1429&gt;0,"c","b"))</f>
        <v>0</v>
      </c>
    </row>
    <row r="1430" spans="1:25" ht="33.75" x14ac:dyDescent="0.2">
      <c r="A1430" s="317">
        <v>97585</v>
      </c>
      <c r="B1430" s="895">
        <v>97585</v>
      </c>
      <c r="C1430" s="896" t="s">
        <v>596</v>
      </c>
      <c r="D1430" s="906" t="s">
        <v>1356</v>
      </c>
      <c r="E1430" s="907">
        <f>GLOBAL_DER_FEV_2023!E1430</f>
        <v>0</v>
      </c>
      <c r="F1430" s="908">
        <f>GLOBAL_DER_FEV_2023!F1430</f>
        <v>0</v>
      </c>
      <c r="G1430" s="912">
        <f>GLOBAL_DER_FEV_2023!G1430</f>
        <v>0</v>
      </c>
      <c r="H1430" s="901">
        <f>GLOBAL_DER_FEV_2023!H1430</f>
        <v>133.19999999999999</v>
      </c>
      <c r="I1430" s="901">
        <f>GLOBAL_DER_FEV_2023!I1430</f>
        <v>133.19999999999999</v>
      </c>
      <c r="J1430" s="902">
        <f>GLOBAL_DER_FEV_2023!J1430</f>
        <v>159.93</v>
      </c>
      <c r="K1430" s="903" t="s">
        <v>1516</v>
      </c>
      <c r="L1430" s="1137"/>
      <c r="M1430" s="1138">
        <f t="shared" si="158"/>
        <v>0</v>
      </c>
      <c r="N1430" s="893">
        <f t="shared" si="157"/>
        <v>0</v>
      </c>
      <c r="O1430" s="905"/>
      <c r="Q1430" s="317" t="str">
        <f t="shared" si="159"/>
        <v/>
      </c>
      <c r="R1430" s="317" t="str">
        <f t="shared" si="160"/>
        <v/>
      </c>
      <c r="S1430" s="317" t="str">
        <f t="shared" si="161"/>
        <v/>
      </c>
      <c r="T1430" s="317" t="str">
        <f>GLOBAL_DER_FEV_2023!S1430</f>
        <v/>
      </c>
      <c r="W1430" s="582">
        <v>0</v>
      </c>
      <c r="X1430" s="580"/>
      <c r="Y1430" s="583">
        <f>IF(GLOBAL_DER_FEV_2023!W1430=0,0,IF(GLOBAL_DER_FEV_2023!W1430&gt;0,"c","b"))</f>
        <v>0</v>
      </c>
    </row>
    <row r="1431" spans="1:25" ht="33.75" x14ac:dyDescent="0.2">
      <c r="A1431" s="317">
        <v>97586</v>
      </c>
      <c r="B1431" s="895">
        <v>97586</v>
      </c>
      <c r="C1431" s="896" t="s">
        <v>596</v>
      </c>
      <c r="D1431" s="906" t="s">
        <v>1357</v>
      </c>
      <c r="E1431" s="907">
        <f>GLOBAL_DER_FEV_2023!E1431</f>
        <v>0</v>
      </c>
      <c r="F1431" s="908">
        <f>GLOBAL_DER_FEV_2023!F1431</f>
        <v>0</v>
      </c>
      <c r="G1431" s="912">
        <f>GLOBAL_DER_FEV_2023!G1431</f>
        <v>0</v>
      </c>
      <c r="H1431" s="901">
        <f>GLOBAL_DER_FEV_2023!H1431</f>
        <v>180.8</v>
      </c>
      <c r="I1431" s="901">
        <f>GLOBAL_DER_FEV_2023!I1431</f>
        <v>180.8</v>
      </c>
      <c r="J1431" s="902">
        <f>GLOBAL_DER_FEV_2023!J1431</f>
        <v>217.09</v>
      </c>
      <c r="K1431" s="903" t="s">
        <v>1516</v>
      </c>
      <c r="L1431" s="1137"/>
      <c r="M1431" s="1138">
        <f t="shared" si="158"/>
        <v>0</v>
      </c>
      <c r="N1431" s="893">
        <f t="shared" ref="N1431:N1494" si="162">IF(ISBLANK(L1431),0,IF(W1431=0,ROUND(L1431*M1431,2),IF(W1431="b",ROUNDDOWN(L1431*M1431,2),ROUNDUP(L1431*M1431,2))))</f>
        <v>0</v>
      </c>
      <c r="O1431" s="905"/>
      <c r="Q1431" s="317" t="str">
        <f t="shared" si="159"/>
        <v/>
      </c>
      <c r="R1431" s="317" t="str">
        <f t="shared" si="160"/>
        <v/>
      </c>
      <c r="S1431" s="317" t="str">
        <f t="shared" si="161"/>
        <v/>
      </c>
      <c r="T1431" s="317" t="str">
        <f>GLOBAL_DER_FEV_2023!S1431</f>
        <v/>
      </c>
      <c r="W1431" s="582">
        <v>0</v>
      </c>
      <c r="X1431" s="580"/>
      <c r="Y1431" s="583">
        <f>IF(GLOBAL_DER_FEV_2023!W1431=0,0,IF(GLOBAL_DER_FEV_2023!W1431&gt;0,"c","b"))</f>
        <v>0</v>
      </c>
    </row>
    <row r="1432" spans="1:25" ht="22.5" x14ac:dyDescent="0.2">
      <c r="A1432" s="317">
        <v>97587</v>
      </c>
      <c r="B1432" s="895">
        <v>97587</v>
      </c>
      <c r="C1432" s="896" t="s">
        <v>596</v>
      </c>
      <c r="D1432" s="906" t="s">
        <v>1358</v>
      </c>
      <c r="E1432" s="907">
        <f>GLOBAL_DER_FEV_2023!E1432</f>
        <v>0</v>
      </c>
      <c r="F1432" s="908">
        <f>GLOBAL_DER_FEV_2023!F1432</f>
        <v>0</v>
      </c>
      <c r="G1432" s="912">
        <f>GLOBAL_DER_FEV_2023!G1432</f>
        <v>0</v>
      </c>
      <c r="H1432" s="901">
        <f>GLOBAL_DER_FEV_2023!H1432</f>
        <v>329.67</v>
      </c>
      <c r="I1432" s="901">
        <f>GLOBAL_DER_FEV_2023!I1432</f>
        <v>329.67</v>
      </c>
      <c r="J1432" s="902">
        <f>GLOBAL_DER_FEV_2023!J1432</f>
        <v>395.83</v>
      </c>
      <c r="K1432" s="903" t="s">
        <v>1516</v>
      </c>
      <c r="L1432" s="1137"/>
      <c r="M1432" s="1138">
        <f t="shared" si="158"/>
        <v>0</v>
      </c>
      <c r="N1432" s="893">
        <f t="shared" si="162"/>
        <v>0</v>
      </c>
      <c r="O1432" s="905"/>
      <c r="Q1432" s="317" t="str">
        <f t="shared" si="159"/>
        <v/>
      </c>
      <c r="R1432" s="317" t="str">
        <f t="shared" si="160"/>
        <v/>
      </c>
      <c r="S1432" s="317" t="str">
        <f t="shared" si="161"/>
        <v/>
      </c>
      <c r="T1432" s="317" t="str">
        <f>GLOBAL_DER_FEV_2023!S1432</f>
        <v/>
      </c>
      <c r="W1432" s="582">
        <v>0</v>
      </c>
      <c r="X1432" s="580"/>
      <c r="Y1432" s="583">
        <f>IF(GLOBAL_DER_FEV_2023!W1432=0,0,IF(GLOBAL_DER_FEV_2023!W1432&gt;0,"c","b"))</f>
        <v>0</v>
      </c>
    </row>
    <row r="1433" spans="1:25" ht="22.5" x14ac:dyDescent="0.2">
      <c r="A1433" s="317">
        <v>97589</v>
      </c>
      <c r="B1433" s="895">
        <v>97589</v>
      </c>
      <c r="C1433" s="896" t="s">
        <v>596</v>
      </c>
      <c r="D1433" s="906" t="s">
        <v>1359</v>
      </c>
      <c r="E1433" s="907">
        <f>GLOBAL_DER_FEV_2023!E1433</f>
        <v>0</v>
      </c>
      <c r="F1433" s="908">
        <f>GLOBAL_DER_FEV_2023!F1433</f>
        <v>0</v>
      </c>
      <c r="G1433" s="912">
        <f>GLOBAL_DER_FEV_2023!G1433</f>
        <v>0</v>
      </c>
      <c r="H1433" s="901">
        <f>GLOBAL_DER_FEV_2023!H1433</f>
        <v>47.54</v>
      </c>
      <c r="I1433" s="901">
        <f>GLOBAL_DER_FEV_2023!I1433</f>
        <v>47.54</v>
      </c>
      <c r="J1433" s="902">
        <f>GLOBAL_DER_FEV_2023!J1433</f>
        <v>57.08</v>
      </c>
      <c r="K1433" s="903" t="s">
        <v>1516</v>
      </c>
      <c r="L1433" s="1137"/>
      <c r="M1433" s="1138">
        <f t="shared" si="158"/>
        <v>0</v>
      </c>
      <c r="N1433" s="893">
        <f t="shared" si="162"/>
        <v>0</v>
      </c>
      <c r="O1433" s="905"/>
      <c r="Q1433" s="317" t="str">
        <f t="shared" si="159"/>
        <v/>
      </c>
      <c r="R1433" s="317" t="str">
        <f t="shared" si="160"/>
        <v/>
      </c>
      <c r="S1433" s="317" t="str">
        <f t="shared" si="161"/>
        <v/>
      </c>
      <c r="T1433" s="317" t="str">
        <f>GLOBAL_DER_FEV_2023!S1433</f>
        <v/>
      </c>
      <c r="W1433" s="582">
        <v>0</v>
      </c>
      <c r="X1433" s="580"/>
      <c r="Y1433" s="583">
        <f>IF(GLOBAL_DER_FEV_2023!W1433=0,0,IF(GLOBAL_DER_FEV_2023!W1433&gt;0,"c","b"))</f>
        <v>0</v>
      </c>
    </row>
    <row r="1434" spans="1:25" ht="33.75" x14ac:dyDescent="0.2">
      <c r="A1434" s="317">
        <v>97590</v>
      </c>
      <c r="B1434" s="895">
        <v>97590</v>
      </c>
      <c r="C1434" s="896" t="s">
        <v>596</v>
      </c>
      <c r="D1434" s="906" t="s">
        <v>1360</v>
      </c>
      <c r="E1434" s="907">
        <f>GLOBAL_DER_FEV_2023!E1434</f>
        <v>0</v>
      </c>
      <c r="F1434" s="908">
        <f>GLOBAL_DER_FEV_2023!F1434</f>
        <v>0</v>
      </c>
      <c r="G1434" s="912">
        <f>GLOBAL_DER_FEV_2023!G1434</f>
        <v>0</v>
      </c>
      <c r="H1434" s="901">
        <f>GLOBAL_DER_FEV_2023!H1434</f>
        <v>113.3</v>
      </c>
      <c r="I1434" s="901">
        <f>GLOBAL_DER_FEV_2023!I1434</f>
        <v>113.3</v>
      </c>
      <c r="J1434" s="902">
        <f>GLOBAL_DER_FEV_2023!J1434</f>
        <v>136.04</v>
      </c>
      <c r="K1434" s="903" t="s">
        <v>1516</v>
      </c>
      <c r="L1434" s="1137"/>
      <c r="M1434" s="1138">
        <f t="shared" si="158"/>
        <v>0</v>
      </c>
      <c r="N1434" s="893">
        <f t="shared" si="162"/>
        <v>0</v>
      </c>
      <c r="O1434" s="905"/>
      <c r="Q1434" s="317" t="str">
        <f t="shared" si="159"/>
        <v/>
      </c>
      <c r="R1434" s="317" t="str">
        <f t="shared" si="160"/>
        <v/>
      </c>
      <c r="S1434" s="317" t="str">
        <f t="shared" si="161"/>
        <v/>
      </c>
      <c r="T1434" s="317" t="str">
        <f>GLOBAL_DER_FEV_2023!S1434</f>
        <v/>
      </c>
      <c r="W1434" s="582">
        <v>0</v>
      </c>
      <c r="X1434" s="580"/>
      <c r="Y1434" s="583">
        <f>IF(GLOBAL_DER_FEV_2023!W1434=0,0,IF(GLOBAL_DER_FEV_2023!W1434&gt;0,"c","b"))</f>
        <v>0</v>
      </c>
    </row>
    <row r="1435" spans="1:25" ht="33.75" x14ac:dyDescent="0.2">
      <c r="A1435" s="317">
        <v>97591</v>
      </c>
      <c r="B1435" s="895">
        <v>97591</v>
      </c>
      <c r="C1435" s="896" t="s">
        <v>596</v>
      </c>
      <c r="D1435" s="906" t="s">
        <v>1361</v>
      </c>
      <c r="E1435" s="907">
        <f>GLOBAL_DER_FEV_2023!E1435</f>
        <v>0</v>
      </c>
      <c r="F1435" s="908">
        <f>GLOBAL_DER_FEV_2023!F1435</f>
        <v>0</v>
      </c>
      <c r="G1435" s="912">
        <f>GLOBAL_DER_FEV_2023!G1435</f>
        <v>0</v>
      </c>
      <c r="H1435" s="901">
        <f>GLOBAL_DER_FEV_2023!H1435</f>
        <v>147.91999999999999</v>
      </c>
      <c r="I1435" s="901">
        <f>GLOBAL_DER_FEV_2023!I1435</f>
        <v>147.91999999999999</v>
      </c>
      <c r="J1435" s="902">
        <f>GLOBAL_DER_FEV_2023!J1435</f>
        <v>177.61</v>
      </c>
      <c r="K1435" s="903" t="s">
        <v>1516</v>
      </c>
      <c r="L1435" s="1137"/>
      <c r="M1435" s="1138">
        <f t="shared" si="158"/>
        <v>0</v>
      </c>
      <c r="N1435" s="893">
        <f t="shared" si="162"/>
        <v>0</v>
      </c>
      <c r="O1435" s="905"/>
      <c r="Q1435" s="317" t="str">
        <f t="shared" si="159"/>
        <v/>
      </c>
      <c r="R1435" s="317" t="str">
        <f t="shared" si="160"/>
        <v/>
      </c>
      <c r="S1435" s="317" t="str">
        <f t="shared" si="161"/>
        <v/>
      </c>
      <c r="T1435" s="317" t="str">
        <f>GLOBAL_DER_FEV_2023!S1435</f>
        <v/>
      </c>
      <c r="W1435" s="582">
        <v>0</v>
      </c>
      <c r="X1435" s="580"/>
      <c r="Y1435" s="583">
        <f>IF(GLOBAL_DER_FEV_2023!W1435=0,0,IF(GLOBAL_DER_FEV_2023!W1435&gt;0,"c","b"))</f>
        <v>0</v>
      </c>
    </row>
    <row r="1436" spans="1:25" ht="22.5" x14ac:dyDescent="0.2">
      <c r="A1436" s="317">
        <v>103782</v>
      </c>
      <c r="B1436" s="895">
        <v>103782</v>
      </c>
      <c r="C1436" s="896" t="s">
        <v>596</v>
      </c>
      <c r="D1436" s="906" t="s">
        <v>1992</v>
      </c>
      <c r="E1436" s="907">
        <f>GLOBAL_DER_FEV_2023!E1436</f>
        <v>0</v>
      </c>
      <c r="F1436" s="908">
        <f>GLOBAL_DER_FEV_2023!F1436</f>
        <v>0</v>
      </c>
      <c r="G1436" s="912">
        <f>GLOBAL_DER_FEV_2023!G1436</f>
        <v>0</v>
      </c>
      <c r="H1436" s="901">
        <f>GLOBAL_DER_FEV_2023!H1436</f>
        <v>41.27</v>
      </c>
      <c r="I1436" s="901">
        <f>GLOBAL_DER_FEV_2023!I1436</f>
        <v>41.27</v>
      </c>
      <c r="J1436" s="902">
        <f>GLOBAL_DER_FEV_2023!J1436</f>
        <v>49.55</v>
      </c>
      <c r="K1436" s="903" t="s">
        <v>1516</v>
      </c>
      <c r="L1436" s="1137"/>
      <c r="M1436" s="1138">
        <f t="shared" si="158"/>
        <v>0</v>
      </c>
      <c r="N1436" s="893">
        <f t="shared" si="162"/>
        <v>0</v>
      </c>
      <c r="O1436" s="905"/>
      <c r="Q1436" s="317" t="str">
        <f t="shared" si="159"/>
        <v/>
      </c>
      <c r="R1436" s="317" t="str">
        <f t="shared" si="160"/>
        <v/>
      </c>
      <c r="S1436" s="317" t="str">
        <f t="shared" si="161"/>
        <v/>
      </c>
      <c r="T1436" s="317" t="str">
        <f>GLOBAL_DER_FEV_2023!S1436</f>
        <v/>
      </c>
      <c r="W1436" s="582">
        <v>0</v>
      </c>
      <c r="X1436" s="580"/>
      <c r="Y1436" s="583">
        <f>IF(GLOBAL_DER_FEV_2023!W1436=0,0,IF(GLOBAL_DER_FEV_2023!W1436&gt;0,"c","b"))</f>
        <v>0</v>
      </c>
    </row>
    <row r="1437" spans="1:25" ht="22.5" x14ac:dyDescent="0.2">
      <c r="A1437" s="317">
        <v>97593</v>
      </c>
      <c r="B1437" s="895">
        <v>97593</v>
      </c>
      <c r="C1437" s="896" t="s">
        <v>596</v>
      </c>
      <c r="D1437" s="906" t="s">
        <v>1362</v>
      </c>
      <c r="E1437" s="907">
        <f>GLOBAL_DER_FEV_2023!E1437</f>
        <v>0</v>
      </c>
      <c r="F1437" s="908">
        <f>GLOBAL_DER_FEV_2023!F1437</f>
        <v>0</v>
      </c>
      <c r="G1437" s="912">
        <f>GLOBAL_DER_FEV_2023!G1437</f>
        <v>0</v>
      </c>
      <c r="H1437" s="901">
        <f>GLOBAL_DER_FEV_2023!H1437</f>
        <v>163.66999999999999</v>
      </c>
      <c r="I1437" s="901">
        <f>GLOBAL_DER_FEV_2023!I1437</f>
        <v>163.66999999999999</v>
      </c>
      <c r="J1437" s="902">
        <f>GLOBAL_DER_FEV_2023!J1437</f>
        <v>196.52</v>
      </c>
      <c r="K1437" s="903" t="s">
        <v>1516</v>
      </c>
      <c r="L1437" s="1137"/>
      <c r="M1437" s="1138">
        <f t="shared" si="158"/>
        <v>0</v>
      </c>
      <c r="N1437" s="893">
        <f t="shared" si="162"/>
        <v>0</v>
      </c>
      <c r="O1437" s="905"/>
      <c r="Q1437" s="317" t="str">
        <f t="shared" si="159"/>
        <v/>
      </c>
      <c r="R1437" s="317" t="str">
        <f t="shared" si="160"/>
        <v/>
      </c>
      <c r="S1437" s="317" t="str">
        <f t="shared" si="161"/>
        <v/>
      </c>
      <c r="T1437" s="317" t="str">
        <f>GLOBAL_DER_FEV_2023!S1437</f>
        <v/>
      </c>
      <c r="W1437" s="582">
        <v>0</v>
      </c>
      <c r="X1437" s="580"/>
      <c r="Y1437" s="583">
        <f>IF(GLOBAL_DER_FEV_2023!W1437=0,0,IF(GLOBAL_DER_FEV_2023!W1437&gt;0,"c","b"))</f>
        <v>0</v>
      </c>
    </row>
    <row r="1438" spans="1:25" ht="22.5" x14ac:dyDescent="0.2">
      <c r="A1438" s="317">
        <v>97594</v>
      </c>
      <c r="B1438" s="895">
        <v>97594</v>
      </c>
      <c r="C1438" s="896" t="s">
        <v>596</v>
      </c>
      <c r="D1438" s="906" t="s">
        <v>1363</v>
      </c>
      <c r="E1438" s="907">
        <f>GLOBAL_DER_FEV_2023!E1438</f>
        <v>0</v>
      </c>
      <c r="F1438" s="908">
        <f>GLOBAL_DER_FEV_2023!F1438</f>
        <v>0</v>
      </c>
      <c r="G1438" s="912">
        <f>GLOBAL_DER_FEV_2023!G1438</f>
        <v>0</v>
      </c>
      <c r="H1438" s="901">
        <f>GLOBAL_DER_FEV_2023!H1438</f>
        <v>148.53</v>
      </c>
      <c r="I1438" s="901">
        <f>GLOBAL_DER_FEV_2023!I1438</f>
        <v>148.53</v>
      </c>
      <c r="J1438" s="902">
        <f>GLOBAL_DER_FEV_2023!J1438</f>
        <v>178.34</v>
      </c>
      <c r="K1438" s="903" t="s">
        <v>1516</v>
      </c>
      <c r="L1438" s="1137"/>
      <c r="M1438" s="1138">
        <f t="shared" si="158"/>
        <v>0</v>
      </c>
      <c r="N1438" s="893">
        <f t="shared" si="162"/>
        <v>0</v>
      </c>
      <c r="O1438" s="905"/>
      <c r="Q1438" s="317" t="str">
        <f t="shared" si="159"/>
        <v/>
      </c>
      <c r="R1438" s="317" t="str">
        <f t="shared" si="160"/>
        <v/>
      </c>
      <c r="S1438" s="317" t="str">
        <f t="shared" si="161"/>
        <v/>
      </c>
      <c r="T1438" s="317" t="str">
        <f>GLOBAL_DER_FEV_2023!S1438</f>
        <v/>
      </c>
      <c r="W1438" s="582">
        <v>0</v>
      </c>
      <c r="X1438" s="580"/>
      <c r="Y1438" s="583">
        <f>IF(GLOBAL_DER_FEV_2023!W1438=0,0,IF(GLOBAL_DER_FEV_2023!W1438&gt;0,"c","b"))</f>
        <v>0</v>
      </c>
    </row>
    <row r="1439" spans="1:25" ht="22.5" x14ac:dyDescent="0.2">
      <c r="A1439" s="317">
        <v>101666</v>
      </c>
      <c r="B1439" s="895">
        <v>101666</v>
      </c>
      <c r="C1439" s="896" t="s">
        <v>596</v>
      </c>
      <c r="D1439" s="906" t="s">
        <v>1364</v>
      </c>
      <c r="E1439" s="907">
        <f>GLOBAL_DER_FEV_2023!E1439</f>
        <v>0</v>
      </c>
      <c r="F1439" s="908">
        <f>GLOBAL_DER_FEV_2023!F1439</f>
        <v>0</v>
      </c>
      <c r="G1439" s="912">
        <f>GLOBAL_DER_FEV_2023!G1439</f>
        <v>0</v>
      </c>
      <c r="H1439" s="901">
        <f>GLOBAL_DER_FEV_2023!H1439</f>
        <v>450.92</v>
      </c>
      <c r="I1439" s="901">
        <f>GLOBAL_DER_FEV_2023!I1439</f>
        <v>450.92</v>
      </c>
      <c r="J1439" s="902">
        <f>GLOBAL_DER_FEV_2023!J1439</f>
        <v>541.41999999999996</v>
      </c>
      <c r="K1439" s="903" t="s">
        <v>1516</v>
      </c>
      <c r="L1439" s="1137"/>
      <c r="M1439" s="1138">
        <f t="shared" si="158"/>
        <v>0</v>
      </c>
      <c r="N1439" s="893">
        <f t="shared" si="162"/>
        <v>0</v>
      </c>
      <c r="O1439" s="905"/>
      <c r="Q1439" s="317" t="str">
        <f t="shared" si="159"/>
        <v/>
      </c>
      <c r="R1439" s="317" t="str">
        <f t="shared" si="160"/>
        <v/>
      </c>
      <c r="S1439" s="317" t="str">
        <f t="shared" si="161"/>
        <v/>
      </c>
      <c r="T1439" s="317" t="str">
        <f>GLOBAL_DER_FEV_2023!S1439</f>
        <v/>
      </c>
      <c r="W1439" s="582">
        <v>0</v>
      </c>
      <c r="X1439" s="580"/>
      <c r="Y1439" s="583">
        <f>IF(GLOBAL_DER_FEV_2023!W1439=0,0,IF(GLOBAL_DER_FEV_2023!W1439&gt;0,"c","b"))</f>
        <v>0</v>
      </c>
    </row>
    <row r="1440" spans="1:25" ht="33.75" x14ac:dyDescent="0.2">
      <c r="A1440" s="317">
        <v>97600</v>
      </c>
      <c r="B1440" s="895">
        <v>97600</v>
      </c>
      <c r="C1440" s="896" t="s">
        <v>596</v>
      </c>
      <c r="D1440" s="906" t="s">
        <v>1365</v>
      </c>
      <c r="E1440" s="907">
        <f>GLOBAL_DER_FEV_2023!E1440</f>
        <v>0</v>
      </c>
      <c r="F1440" s="908">
        <f>GLOBAL_DER_FEV_2023!F1440</f>
        <v>0</v>
      </c>
      <c r="G1440" s="912">
        <f>GLOBAL_DER_FEV_2023!G1440</f>
        <v>0</v>
      </c>
      <c r="H1440" s="901">
        <f>GLOBAL_DER_FEV_2023!H1440</f>
        <v>360.17</v>
      </c>
      <c r="I1440" s="901">
        <f>GLOBAL_DER_FEV_2023!I1440</f>
        <v>360.17</v>
      </c>
      <c r="J1440" s="902">
        <f>GLOBAL_DER_FEV_2023!J1440</f>
        <v>432.46</v>
      </c>
      <c r="K1440" s="903" t="s">
        <v>1516</v>
      </c>
      <c r="L1440" s="1137"/>
      <c r="M1440" s="1138">
        <f t="shared" si="158"/>
        <v>0</v>
      </c>
      <c r="N1440" s="893">
        <f t="shared" si="162"/>
        <v>0</v>
      </c>
      <c r="O1440" s="905"/>
      <c r="Q1440" s="317" t="str">
        <f t="shared" si="159"/>
        <v/>
      </c>
      <c r="R1440" s="317" t="str">
        <f t="shared" si="160"/>
        <v/>
      </c>
      <c r="S1440" s="317" t="str">
        <f t="shared" si="161"/>
        <v/>
      </c>
      <c r="T1440" s="317" t="str">
        <f>GLOBAL_DER_FEV_2023!S1440</f>
        <v/>
      </c>
      <c r="W1440" s="582">
        <v>0</v>
      </c>
      <c r="X1440" s="580"/>
      <c r="Y1440" s="583">
        <f>IF(GLOBAL_DER_FEV_2023!W1440=0,0,IF(GLOBAL_DER_FEV_2023!W1440&gt;0,"c","b"))</f>
        <v>0</v>
      </c>
    </row>
    <row r="1441" spans="1:25" ht="33.75" x14ac:dyDescent="0.2">
      <c r="A1441" s="317">
        <v>97601</v>
      </c>
      <c r="B1441" s="895">
        <v>97601</v>
      </c>
      <c r="C1441" s="896" t="s">
        <v>596</v>
      </c>
      <c r="D1441" s="906" t="s">
        <v>1366</v>
      </c>
      <c r="E1441" s="907">
        <f>GLOBAL_DER_FEV_2023!E1441</f>
        <v>0</v>
      </c>
      <c r="F1441" s="908">
        <f>GLOBAL_DER_FEV_2023!F1441</f>
        <v>0</v>
      </c>
      <c r="G1441" s="912">
        <f>GLOBAL_DER_FEV_2023!G1441</f>
        <v>0</v>
      </c>
      <c r="H1441" s="901">
        <f>GLOBAL_DER_FEV_2023!H1441</f>
        <v>380.4</v>
      </c>
      <c r="I1441" s="901">
        <f>GLOBAL_DER_FEV_2023!I1441</f>
        <v>380.4</v>
      </c>
      <c r="J1441" s="902">
        <f>GLOBAL_DER_FEV_2023!J1441</f>
        <v>456.75</v>
      </c>
      <c r="K1441" s="903" t="s">
        <v>1516</v>
      </c>
      <c r="L1441" s="1137"/>
      <c r="M1441" s="1138">
        <f t="shared" si="158"/>
        <v>0</v>
      </c>
      <c r="N1441" s="893">
        <f t="shared" si="162"/>
        <v>0</v>
      </c>
      <c r="O1441" s="905"/>
      <c r="Q1441" s="317" t="str">
        <f t="shared" si="159"/>
        <v/>
      </c>
      <c r="R1441" s="317" t="str">
        <f t="shared" si="160"/>
        <v/>
      </c>
      <c r="S1441" s="317" t="str">
        <f t="shared" si="161"/>
        <v/>
      </c>
      <c r="T1441" s="317" t="str">
        <f>GLOBAL_DER_FEV_2023!S1441</f>
        <v/>
      </c>
      <c r="W1441" s="582">
        <v>0</v>
      </c>
      <c r="X1441" s="580"/>
      <c r="Y1441" s="583">
        <f>IF(GLOBAL_DER_FEV_2023!W1441=0,0,IF(GLOBAL_DER_FEV_2023!W1441&gt;0,"c","b"))</f>
        <v>0</v>
      </c>
    </row>
    <row r="1442" spans="1:25" ht="22.5" x14ac:dyDescent="0.2">
      <c r="A1442" s="317">
        <v>97611</v>
      </c>
      <c r="B1442" s="895">
        <v>97611</v>
      </c>
      <c r="C1442" s="896" t="s">
        <v>596</v>
      </c>
      <c r="D1442" s="906" t="s">
        <v>1367</v>
      </c>
      <c r="E1442" s="907">
        <f>GLOBAL_DER_FEV_2023!E1442</f>
        <v>0</v>
      </c>
      <c r="F1442" s="908">
        <f>GLOBAL_DER_FEV_2023!F1442</f>
        <v>0</v>
      </c>
      <c r="G1442" s="912">
        <f>GLOBAL_DER_FEV_2023!G1442</f>
        <v>0</v>
      </c>
      <c r="H1442" s="901">
        <f>GLOBAL_DER_FEV_2023!H1442</f>
        <v>27.22</v>
      </c>
      <c r="I1442" s="901">
        <f>GLOBAL_DER_FEV_2023!I1442</f>
        <v>27.22</v>
      </c>
      <c r="J1442" s="902">
        <f>GLOBAL_DER_FEV_2023!J1442</f>
        <v>32.68</v>
      </c>
      <c r="K1442" s="903" t="s">
        <v>1516</v>
      </c>
      <c r="L1442" s="1137"/>
      <c r="M1442" s="1138">
        <f t="shared" si="158"/>
        <v>0</v>
      </c>
      <c r="N1442" s="893">
        <f t="shared" si="162"/>
        <v>0</v>
      </c>
      <c r="O1442" s="905"/>
      <c r="Q1442" s="317" t="str">
        <f t="shared" si="159"/>
        <v/>
      </c>
      <c r="R1442" s="317" t="str">
        <f t="shared" si="160"/>
        <v/>
      </c>
      <c r="S1442" s="317" t="str">
        <f t="shared" si="161"/>
        <v/>
      </c>
      <c r="T1442" s="317" t="str">
        <f>GLOBAL_DER_FEV_2023!S1442</f>
        <v/>
      </c>
      <c r="W1442" s="582">
        <v>0</v>
      </c>
      <c r="X1442" s="580"/>
      <c r="Y1442" s="583">
        <f>IF(GLOBAL_DER_FEV_2023!W1442=0,0,IF(GLOBAL_DER_FEV_2023!W1442&gt;0,"c","b"))</f>
        <v>0</v>
      </c>
    </row>
    <row r="1443" spans="1:25" ht="22.5" x14ac:dyDescent="0.2">
      <c r="A1443" s="317">
        <v>97612</v>
      </c>
      <c r="B1443" s="895">
        <v>97612</v>
      </c>
      <c r="C1443" s="896" t="s">
        <v>596</v>
      </c>
      <c r="D1443" s="906" t="s">
        <v>1368</v>
      </c>
      <c r="E1443" s="907">
        <f>GLOBAL_DER_FEV_2023!E1443</f>
        <v>0</v>
      </c>
      <c r="F1443" s="908">
        <f>GLOBAL_DER_FEV_2023!F1443</f>
        <v>0</v>
      </c>
      <c r="G1443" s="912">
        <f>GLOBAL_DER_FEV_2023!G1443</f>
        <v>0</v>
      </c>
      <c r="H1443" s="901">
        <f>GLOBAL_DER_FEV_2023!H1443</f>
        <v>29.48</v>
      </c>
      <c r="I1443" s="901">
        <f>GLOBAL_DER_FEV_2023!I1443</f>
        <v>29.48</v>
      </c>
      <c r="J1443" s="902">
        <f>GLOBAL_DER_FEV_2023!J1443</f>
        <v>35.4</v>
      </c>
      <c r="K1443" s="903" t="s">
        <v>1516</v>
      </c>
      <c r="L1443" s="1137"/>
      <c r="M1443" s="1138">
        <f t="shared" si="158"/>
        <v>0</v>
      </c>
      <c r="N1443" s="893">
        <f t="shared" si="162"/>
        <v>0</v>
      </c>
      <c r="O1443" s="905"/>
      <c r="Q1443" s="317" t="str">
        <f t="shared" si="159"/>
        <v/>
      </c>
      <c r="R1443" s="317" t="str">
        <f t="shared" si="160"/>
        <v/>
      </c>
      <c r="S1443" s="317" t="str">
        <f t="shared" si="161"/>
        <v/>
      </c>
      <c r="T1443" s="317" t="str">
        <f>GLOBAL_DER_FEV_2023!S1443</f>
        <v/>
      </c>
      <c r="W1443" s="582">
        <v>0</v>
      </c>
      <c r="X1443" s="580"/>
      <c r="Y1443" s="583">
        <f>IF(GLOBAL_DER_FEV_2023!W1443=0,0,IF(GLOBAL_DER_FEV_2023!W1443&gt;0,"c","b"))</f>
        <v>0</v>
      </c>
    </row>
    <row r="1444" spans="1:25" ht="22.5" x14ac:dyDescent="0.2">
      <c r="A1444" s="317">
        <v>97615</v>
      </c>
      <c r="B1444" s="895">
        <v>97615</v>
      </c>
      <c r="C1444" s="896" t="s">
        <v>596</v>
      </c>
      <c r="D1444" s="906" t="s">
        <v>1369</v>
      </c>
      <c r="E1444" s="907">
        <f>GLOBAL_DER_FEV_2023!E1444</f>
        <v>0</v>
      </c>
      <c r="F1444" s="908">
        <f>GLOBAL_DER_FEV_2023!F1444</f>
        <v>0</v>
      </c>
      <c r="G1444" s="912">
        <f>GLOBAL_DER_FEV_2023!G1444</f>
        <v>0</v>
      </c>
      <c r="H1444" s="901">
        <f>GLOBAL_DER_FEV_2023!H1444</f>
        <v>62.31</v>
      </c>
      <c r="I1444" s="901">
        <f>GLOBAL_DER_FEV_2023!I1444</f>
        <v>62.31</v>
      </c>
      <c r="J1444" s="902">
        <f>GLOBAL_DER_FEV_2023!J1444</f>
        <v>74.819999999999993</v>
      </c>
      <c r="K1444" s="903" t="s">
        <v>1516</v>
      </c>
      <c r="L1444" s="1137"/>
      <c r="M1444" s="1138">
        <f t="shared" si="158"/>
        <v>0</v>
      </c>
      <c r="N1444" s="893">
        <f t="shared" si="162"/>
        <v>0</v>
      </c>
      <c r="O1444" s="905"/>
      <c r="Q1444" s="317" t="str">
        <f t="shared" si="159"/>
        <v/>
      </c>
      <c r="R1444" s="317" t="str">
        <f t="shared" si="160"/>
        <v/>
      </c>
      <c r="S1444" s="317" t="str">
        <f t="shared" si="161"/>
        <v/>
      </c>
      <c r="T1444" s="317" t="str">
        <f>GLOBAL_DER_FEV_2023!S1444</f>
        <v/>
      </c>
      <c r="W1444" s="582">
        <v>0</v>
      </c>
      <c r="X1444" s="580"/>
      <c r="Y1444" s="583">
        <f>IF(GLOBAL_DER_FEV_2023!W1444=0,0,IF(GLOBAL_DER_FEV_2023!W1444&gt;0,"c","b"))</f>
        <v>0</v>
      </c>
    </row>
    <row r="1445" spans="1:25" ht="22.5" x14ac:dyDescent="0.2">
      <c r="A1445" s="317">
        <v>97616</v>
      </c>
      <c r="B1445" s="895">
        <v>97616</v>
      </c>
      <c r="C1445" s="896" t="s">
        <v>596</v>
      </c>
      <c r="D1445" s="906" t="s">
        <v>1370</v>
      </c>
      <c r="E1445" s="907">
        <f>GLOBAL_DER_FEV_2023!E1445</f>
        <v>0</v>
      </c>
      <c r="F1445" s="908">
        <f>GLOBAL_DER_FEV_2023!F1445</f>
        <v>0</v>
      </c>
      <c r="G1445" s="912">
        <f>GLOBAL_DER_FEV_2023!G1445</f>
        <v>0</v>
      </c>
      <c r="H1445" s="901">
        <f>GLOBAL_DER_FEV_2023!H1445</f>
        <v>71.38</v>
      </c>
      <c r="I1445" s="901">
        <f>GLOBAL_DER_FEV_2023!I1445</f>
        <v>71.38</v>
      </c>
      <c r="J1445" s="902">
        <f>GLOBAL_DER_FEV_2023!J1445</f>
        <v>85.71</v>
      </c>
      <c r="K1445" s="903" t="s">
        <v>1516</v>
      </c>
      <c r="L1445" s="1137"/>
      <c r="M1445" s="1138">
        <f t="shared" si="158"/>
        <v>0</v>
      </c>
      <c r="N1445" s="893">
        <f t="shared" si="162"/>
        <v>0</v>
      </c>
      <c r="O1445" s="905"/>
      <c r="Q1445" s="317" t="str">
        <f t="shared" si="159"/>
        <v/>
      </c>
      <c r="R1445" s="317" t="str">
        <f t="shared" si="160"/>
        <v/>
      </c>
      <c r="S1445" s="317" t="str">
        <f t="shared" si="161"/>
        <v/>
      </c>
      <c r="T1445" s="317" t="str">
        <f>GLOBAL_DER_FEV_2023!S1445</f>
        <v/>
      </c>
      <c r="W1445" s="582">
        <v>0</v>
      </c>
      <c r="X1445" s="580"/>
      <c r="Y1445" s="583">
        <f>IF(GLOBAL_DER_FEV_2023!W1445=0,0,IF(GLOBAL_DER_FEV_2023!W1445&gt;0,"c","b"))</f>
        <v>0</v>
      </c>
    </row>
    <row r="1446" spans="1:25" ht="22.5" x14ac:dyDescent="0.2">
      <c r="A1446" s="317">
        <v>97617</v>
      </c>
      <c r="B1446" s="895">
        <v>97617</v>
      </c>
      <c r="C1446" s="896" t="s">
        <v>596</v>
      </c>
      <c r="D1446" s="906" t="s">
        <v>1371</v>
      </c>
      <c r="E1446" s="907">
        <f>GLOBAL_DER_FEV_2023!E1446</f>
        <v>0</v>
      </c>
      <c r="F1446" s="908">
        <f>GLOBAL_DER_FEV_2023!F1446</f>
        <v>0</v>
      </c>
      <c r="G1446" s="912">
        <f>GLOBAL_DER_FEV_2023!G1446</f>
        <v>0</v>
      </c>
      <c r="H1446" s="901">
        <f>GLOBAL_DER_FEV_2023!H1446</f>
        <v>71.03</v>
      </c>
      <c r="I1446" s="901">
        <f>GLOBAL_DER_FEV_2023!I1446</f>
        <v>71.03</v>
      </c>
      <c r="J1446" s="902">
        <f>GLOBAL_DER_FEV_2023!J1446</f>
        <v>85.29</v>
      </c>
      <c r="K1446" s="903" t="s">
        <v>1516</v>
      </c>
      <c r="L1446" s="1137"/>
      <c r="M1446" s="1138">
        <f t="shared" si="158"/>
        <v>0</v>
      </c>
      <c r="N1446" s="893">
        <f t="shared" si="162"/>
        <v>0</v>
      </c>
      <c r="O1446" s="905"/>
      <c r="Q1446" s="317" t="str">
        <f t="shared" si="159"/>
        <v/>
      </c>
      <c r="R1446" s="317" t="str">
        <f t="shared" si="160"/>
        <v/>
      </c>
      <c r="S1446" s="317" t="str">
        <f t="shared" si="161"/>
        <v/>
      </c>
      <c r="T1446" s="317" t="str">
        <f>GLOBAL_DER_FEV_2023!S1446</f>
        <v/>
      </c>
      <c r="W1446" s="582">
        <v>0</v>
      </c>
      <c r="X1446" s="580"/>
      <c r="Y1446" s="583">
        <f>IF(GLOBAL_DER_FEV_2023!W1446=0,0,IF(GLOBAL_DER_FEV_2023!W1446&gt;0,"c","b"))</f>
        <v>0</v>
      </c>
    </row>
    <row r="1447" spans="1:25" ht="22.5" x14ac:dyDescent="0.2">
      <c r="A1447" s="317">
        <v>97618</v>
      </c>
      <c r="B1447" s="895">
        <v>97618</v>
      </c>
      <c r="C1447" s="896" t="s">
        <v>596</v>
      </c>
      <c r="D1447" s="906" t="s">
        <v>1372</v>
      </c>
      <c r="E1447" s="907">
        <f>GLOBAL_DER_FEV_2023!E1447</f>
        <v>0</v>
      </c>
      <c r="F1447" s="908">
        <f>GLOBAL_DER_FEV_2023!F1447</f>
        <v>0</v>
      </c>
      <c r="G1447" s="912">
        <f>GLOBAL_DER_FEV_2023!G1447</f>
        <v>0</v>
      </c>
      <c r="H1447" s="901">
        <f>GLOBAL_DER_FEV_2023!H1447</f>
        <v>65.489999999999995</v>
      </c>
      <c r="I1447" s="901">
        <f>GLOBAL_DER_FEV_2023!I1447</f>
        <v>65.489999999999995</v>
      </c>
      <c r="J1447" s="902">
        <f>GLOBAL_DER_FEV_2023!J1447</f>
        <v>78.63</v>
      </c>
      <c r="K1447" s="903" t="s">
        <v>1516</v>
      </c>
      <c r="L1447" s="1137"/>
      <c r="M1447" s="1138">
        <f t="shared" si="158"/>
        <v>0</v>
      </c>
      <c r="N1447" s="893">
        <f t="shared" si="162"/>
        <v>0</v>
      </c>
      <c r="O1447" s="905"/>
      <c r="Q1447" s="317" t="str">
        <f t="shared" si="159"/>
        <v/>
      </c>
      <c r="R1447" s="317" t="str">
        <f t="shared" si="160"/>
        <v/>
      </c>
      <c r="S1447" s="317" t="str">
        <f t="shared" si="161"/>
        <v/>
      </c>
      <c r="T1447" s="317" t="str">
        <f>GLOBAL_DER_FEV_2023!S1447</f>
        <v/>
      </c>
      <c r="W1447" s="582">
        <v>0</v>
      </c>
      <c r="X1447" s="580"/>
      <c r="Y1447" s="583">
        <f>IF(GLOBAL_DER_FEV_2023!W1447=0,0,IF(GLOBAL_DER_FEV_2023!W1447&gt;0,"c","b"))</f>
        <v>0</v>
      </c>
    </row>
    <row r="1448" spans="1:25" ht="22.5" x14ac:dyDescent="0.2">
      <c r="A1448" s="317">
        <v>97613</v>
      </c>
      <c r="B1448" s="895">
        <v>97613</v>
      </c>
      <c r="C1448" s="896" t="s">
        <v>596</v>
      </c>
      <c r="D1448" s="906" t="s">
        <v>1373</v>
      </c>
      <c r="E1448" s="907">
        <f>GLOBAL_DER_FEV_2023!E1448</f>
        <v>0</v>
      </c>
      <c r="F1448" s="908">
        <f>GLOBAL_DER_FEV_2023!F1448</f>
        <v>0</v>
      </c>
      <c r="G1448" s="912">
        <f>GLOBAL_DER_FEV_2023!G1448</f>
        <v>0</v>
      </c>
      <c r="H1448" s="901">
        <f>GLOBAL_DER_FEV_2023!H1448</f>
        <v>37.01</v>
      </c>
      <c r="I1448" s="901">
        <f>GLOBAL_DER_FEV_2023!I1448</f>
        <v>37.01</v>
      </c>
      <c r="J1448" s="902">
        <f>GLOBAL_DER_FEV_2023!J1448</f>
        <v>44.44</v>
      </c>
      <c r="K1448" s="903" t="s">
        <v>1516</v>
      </c>
      <c r="L1448" s="1137"/>
      <c r="M1448" s="1138">
        <f t="shared" si="158"/>
        <v>0</v>
      </c>
      <c r="N1448" s="893">
        <f t="shared" si="162"/>
        <v>0</v>
      </c>
      <c r="O1448" s="905"/>
      <c r="Q1448" s="317" t="str">
        <f t="shared" si="159"/>
        <v/>
      </c>
      <c r="R1448" s="317" t="str">
        <f t="shared" si="160"/>
        <v/>
      </c>
      <c r="S1448" s="317" t="str">
        <f t="shared" si="161"/>
        <v/>
      </c>
      <c r="T1448" s="317" t="str">
        <f>GLOBAL_DER_FEV_2023!S1448</f>
        <v/>
      </c>
      <c r="W1448" s="582">
        <v>0</v>
      </c>
      <c r="X1448" s="580"/>
      <c r="Y1448" s="583">
        <f>IF(GLOBAL_DER_FEV_2023!W1448=0,0,IF(GLOBAL_DER_FEV_2023!W1448&gt;0,"c","b"))</f>
        <v>0</v>
      </c>
    </row>
    <row r="1449" spans="1:25" ht="22.5" x14ac:dyDescent="0.2">
      <c r="A1449" s="317">
        <v>97614</v>
      </c>
      <c r="B1449" s="895">
        <v>97614</v>
      </c>
      <c r="C1449" s="896" t="s">
        <v>596</v>
      </c>
      <c r="D1449" s="906" t="s">
        <v>1374</v>
      </c>
      <c r="E1449" s="907">
        <f>GLOBAL_DER_FEV_2023!E1449</f>
        <v>0</v>
      </c>
      <c r="F1449" s="908">
        <f>GLOBAL_DER_FEV_2023!F1449</f>
        <v>0</v>
      </c>
      <c r="G1449" s="912">
        <f>GLOBAL_DER_FEV_2023!G1449</f>
        <v>0</v>
      </c>
      <c r="H1449" s="901">
        <f>GLOBAL_DER_FEV_2023!H1449</f>
        <v>64.17</v>
      </c>
      <c r="I1449" s="901">
        <f>GLOBAL_DER_FEV_2023!I1449</f>
        <v>64.17</v>
      </c>
      <c r="J1449" s="902">
        <f>GLOBAL_DER_FEV_2023!J1449</f>
        <v>77.05</v>
      </c>
      <c r="K1449" s="903" t="s">
        <v>1516</v>
      </c>
      <c r="L1449" s="1137"/>
      <c r="M1449" s="1138">
        <f t="shared" si="158"/>
        <v>0</v>
      </c>
      <c r="N1449" s="893">
        <f t="shared" si="162"/>
        <v>0</v>
      </c>
      <c r="O1449" s="905"/>
      <c r="Q1449" s="317" t="str">
        <f t="shared" si="159"/>
        <v/>
      </c>
      <c r="R1449" s="317" t="str">
        <f t="shared" si="160"/>
        <v/>
      </c>
      <c r="S1449" s="317" t="str">
        <f t="shared" si="161"/>
        <v/>
      </c>
      <c r="T1449" s="317" t="str">
        <f>GLOBAL_DER_FEV_2023!S1449</f>
        <v/>
      </c>
      <c r="W1449" s="582">
        <v>0</v>
      </c>
      <c r="X1449" s="580"/>
      <c r="Y1449" s="583">
        <f>IF(GLOBAL_DER_FEV_2023!W1449=0,0,IF(GLOBAL_DER_FEV_2023!W1449&gt;0,"c","b"))</f>
        <v>0</v>
      </c>
    </row>
    <row r="1450" spans="1:25" x14ac:dyDescent="0.2">
      <c r="A1450" s="317">
        <v>101648</v>
      </c>
      <c r="B1450" s="895">
        <v>101648</v>
      </c>
      <c r="C1450" s="896" t="s">
        <v>596</v>
      </c>
      <c r="D1450" s="906" t="s">
        <v>1375</v>
      </c>
      <c r="E1450" s="907">
        <f>GLOBAL_DER_FEV_2023!E1450</f>
        <v>0</v>
      </c>
      <c r="F1450" s="908">
        <f>GLOBAL_DER_FEV_2023!F1450</f>
        <v>0</v>
      </c>
      <c r="G1450" s="912">
        <f>GLOBAL_DER_FEV_2023!G1450</f>
        <v>0</v>
      </c>
      <c r="H1450" s="901">
        <f>GLOBAL_DER_FEV_2023!H1450</f>
        <v>57.65</v>
      </c>
      <c r="I1450" s="901">
        <f>GLOBAL_DER_FEV_2023!I1450</f>
        <v>57.65</v>
      </c>
      <c r="J1450" s="902">
        <f>GLOBAL_DER_FEV_2023!J1450</f>
        <v>69.22</v>
      </c>
      <c r="K1450" s="903" t="s">
        <v>1516</v>
      </c>
      <c r="L1450" s="1137"/>
      <c r="M1450" s="1138">
        <f t="shared" si="158"/>
        <v>0</v>
      </c>
      <c r="N1450" s="893">
        <f t="shared" si="162"/>
        <v>0</v>
      </c>
      <c r="O1450" s="905"/>
      <c r="Q1450" s="317" t="str">
        <f t="shared" si="159"/>
        <v/>
      </c>
      <c r="R1450" s="317" t="str">
        <f t="shared" si="160"/>
        <v/>
      </c>
      <c r="S1450" s="317" t="str">
        <f t="shared" si="161"/>
        <v/>
      </c>
      <c r="T1450" s="317" t="str">
        <f>GLOBAL_DER_FEV_2023!S1450</f>
        <v/>
      </c>
      <c r="W1450" s="582">
        <v>0</v>
      </c>
      <c r="X1450" s="580"/>
      <c r="Y1450" s="583">
        <f>IF(GLOBAL_DER_FEV_2023!W1450=0,0,IF(GLOBAL_DER_FEV_2023!W1450&gt;0,"c","b"))</f>
        <v>0</v>
      </c>
    </row>
    <row r="1451" spans="1:25" x14ac:dyDescent="0.2">
      <c r="A1451" s="317">
        <v>101649</v>
      </c>
      <c r="B1451" s="895">
        <v>101649</v>
      </c>
      <c r="C1451" s="896" t="s">
        <v>596</v>
      </c>
      <c r="D1451" s="906" t="s">
        <v>1376</v>
      </c>
      <c r="E1451" s="907">
        <f>GLOBAL_DER_FEV_2023!E1451</f>
        <v>0</v>
      </c>
      <c r="F1451" s="908">
        <f>GLOBAL_DER_FEV_2023!F1451</f>
        <v>0</v>
      </c>
      <c r="G1451" s="912">
        <f>GLOBAL_DER_FEV_2023!G1451</f>
        <v>0</v>
      </c>
      <c r="H1451" s="901">
        <f>GLOBAL_DER_FEV_2023!H1451</f>
        <v>66.41</v>
      </c>
      <c r="I1451" s="901">
        <f>GLOBAL_DER_FEV_2023!I1451</f>
        <v>66.41</v>
      </c>
      <c r="J1451" s="902">
        <f>GLOBAL_DER_FEV_2023!J1451</f>
        <v>79.739999999999995</v>
      </c>
      <c r="K1451" s="903" t="s">
        <v>1516</v>
      </c>
      <c r="L1451" s="1137"/>
      <c r="M1451" s="1138">
        <f t="shared" si="158"/>
        <v>0</v>
      </c>
      <c r="N1451" s="893">
        <f t="shared" si="162"/>
        <v>0</v>
      </c>
      <c r="O1451" s="905"/>
      <c r="Q1451" s="317" t="str">
        <f t="shared" si="159"/>
        <v/>
      </c>
      <c r="R1451" s="317" t="str">
        <f t="shared" si="160"/>
        <v/>
      </c>
      <c r="S1451" s="317" t="str">
        <f t="shared" si="161"/>
        <v/>
      </c>
      <c r="T1451" s="317" t="str">
        <f>GLOBAL_DER_FEV_2023!S1451</f>
        <v/>
      </c>
      <c r="W1451" s="582">
        <v>0</v>
      </c>
      <c r="X1451" s="580"/>
      <c r="Y1451" s="583">
        <f>IF(GLOBAL_DER_FEV_2023!W1451=0,0,IF(GLOBAL_DER_FEV_2023!W1451&gt;0,"c","b"))</f>
        <v>0</v>
      </c>
    </row>
    <row r="1452" spans="1:25" x14ac:dyDescent="0.2">
      <c r="A1452" s="317">
        <v>101650</v>
      </c>
      <c r="B1452" s="895">
        <v>101650</v>
      </c>
      <c r="C1452" s="896" t="s">
        <v>596</v>
      </c>
      <c r="D1452" s="906" t="s">
        <v>1377</v>
      </c>
      <c r="E1452" s="907">
        <f>GLOBAL_DER_FEV_2023!E1452</f>
        <v>0</v>
      </c>
      <c r="F1452" s="908">
        <f>GLOBAL_DER_FEV_2023!F1452</f>
        <v>0</v>
      </c>
      <c r="G1452" s="912">
        <f>GLOBAL_DER_FEV_2023!G1452</f>
        <v>0</v>
      </c>
      <c r="H1452" s="901">
        <f>GLOBAL_DER_FEV_2023!H1452</f>
        <v>77.16</v>
      </c>
      <c r="I1452" s="901">
        <f>GLOBAL_DER_FEV_2023!I1452</f>
        <v>77.16</v>
      </c>
      <c r="J1452" s="902">
        <f>GLOBAL_DER_FEV_2023!J1452</f>
        <v>92.65</v>
      </c>
      <c r="K1452" s="903" t="s">
        <v>1516</v>
      </c>
      <c r="L1452" s="1137"/>
      <c r="M1452" s="1138">
        <f t="shared" si="158"/>
        <v>0</v>
      </c>
      <c r="N1452" s="893">
        <f t="shared" si="162"/>
        <v>0</v>
      </c>
      <c r="O1452" s="905"/>
      <c r="Q1452" s="317" t="str">
        <f t="shared" si="159"/>
        <v/>
      </c>
      <c r="R1452" s="317" t="str">
        <f t="shared" si="160"/>
        <v/>
      </c>
      <c r="S1452" s="317" t="str">
        <f t="shared" si="161"/>
        <v/>
      </c>
      <c r="T1452" s="317" t="str">
        <f>GLOBAL_DER_FEV_2023!S1452</f>
        <v/>
      </c>
      <c r="W1452" s="582">
        <v>0</v>
      </c>
      <c r="X1452" s="580"/>
      <c r="Y1452" s="583">
        <f>IF(GLOBAL_DER_FEV_2023!W1452=0,0,IF(GLOBAL_DER_FEV_2023!W1452&gt;0,"c","b"))</f>
        <v>0</v>
      </c>
    </row>
    <row r="1453" spans="1:25" x14ac:dyDescent="0.2">
      <c r="A1453" s="317">
        <v>101640</v>
      </c>
      <c r="B1453" s="895">
        <v>101640</v>
      </c>
      <c r="C1453" s="896" t="s">
        <v>596</v>
      </c>
      <c r="D1453" s="906" t="s">
        <v>1378</v>
      </c>
      <c r="E1453" s="907">
        <f>GLOBAL_DER_FEV_2023!E1453</f>
        <v>0</v>
      </c>
      <c r="F1453" s="908">
        <f>GLOBAL_DER_FEV_2023!F1453</f>
        <v>0</v>
      </c>
      <c r="G1453" s="912">
        <f>GLOBAL_DER_FEV_2023!G1453</f>
        <v>0</v>
      </c>
      <c r="H1453" s="901">
        <f>GLOBAL_DER_FEV_2023!H1453</f>
        <v>105.4</v>
      </c>
      <c r="I1453" s="901">
        <f>GLOBAL_DER_FEV_2023!I1453</f>
        <v>105.4</v>
      </c>
      <c r="J1453" s="902">
        <f>GLOBAL_DER_FEV_2023!J1453</f>
        <v>126.55</v>
      </c>
      <c r="K1453" s="903" t="s">
        <v>1516</v>
      </c>
      <c r="L1453" s="1137"/>
      <c r="M1453" s="1138">
        <f t="shared" si="158"/>
        <v>0</v>
      </c>
      <c r="N1453" s="893">
        <f t="shared" si="162"/>
        <v>0</v>
      </c>
      <c r="O1453" s="905"/>
      <c r="Q1453" s="317" t="str">
        <f t="shared" si="159"/>
        <v/>
      </c>
      <c r="R1453" s="317" t="str">
        <f t="shared" si="160"/>
        <v/>
      </c>
      <c r="S1453" s="317" t="str">
        <f t="shared" si="161"/>
        <v/>
      </c>
      <c r="T1453" s="317" t="str">
        <f>GLOBAL_DER_FEV_2023!S1453</f>
        <v/>
      </c>
      <c r="W1453" s="582">
        <v>0</v>
      </c>
      <c r="X1453" s="580"/>
      <c r="Y1453" s="583">
        <f>IF(GLOBAL_DER_FEV_2023!W1453=0,0,IF(GLOBAL_DER_FEV_2023!W1453&gt;0,"c","b"))</f>
        <v>0</v>
      </c>
    </row>
    <row r="1454" spans="1:25" x14ac:dyDescent="0.2">
      <c r="A1454" s="317">
        <v>101641</v>
      </c>
      <c r="B1454" s="895">
        <v>101641</v>
      </c>
      <c r="C1454" s="896" t="s">
        <v>596</v>
      </c>
      <c r="D1454" s="906" t="s">
        <v>1379</v>
      </c>
      <c r="E1454" s="907">
        <f>GLOBAL_DER_FEV_2023!E1454</f>
        <v>0</v>
      </c>
      <c r="F1454" s="908">
        <f>GLOBAL_DER_FEV_2023!F1454</f>
        <v>0</v>
      </c>
      <c r="G1454" s="912">
        <f>GLOBAL_DER_FEV_2023!G1454</f>
        <v>0</v>
      </c>
      <c r="H1454" s="901">
        <f>GLOBAL_DER_FEV_2023!H1454</f>
        <v>54.66</v>
      </c>
      <c r="I1454" s="901">
        <f>GLOBAL_DER_FEV_2023!I1454</f>
        <v>54.66</v>
      </c>
      <c r="J1454" s="902">
        <f>GLOBAL_DER_FEV_2023!J1454</f>
        <v>65.63</v>
      </c>
      <c r="K1454" s="903" t="s">
        <v>1516</v>
      </c>
      <c r="L1454" s="1137"/>
      <c r="M1454" s="1138">
        <f t="shared" si="158"/>
        <v>0</v>
      </c>
      <c r="N1454" s="893">
        <f t="shared" si="162"/>
        <v>0</v>
      </c>
      <c r="O1454" s="905"/>
      <c r="Q1454" s="317" t="str">
        <f t="shared" si="159"/>
        <v/>
      </c>
      <c r="R1454" s="317" t="str">
        <f t="shared" si="160"/>
        <v/>
      </c>
      <c r="S1454" s="317" t="str">
        <f t="shared" si="161"/>
        <v/>
      </c>
      <c r="T1454" s="317" t="str">
        <f>GLOBAL_DER_FEV_2023!S1454</f>
        <v/>
      </c>
      <c r="W1454" s="582">
        <v>0</v>
      </c>
      <c r="X1454" s="580"/>
      <c r="Y1454" s="583">
        <f>IF(GLOBAL_DER_FEV_2023!W1454=0,0,IF(GLOBAL_DER_FEV_2023!W1454&gt;0,"c","b"))</f>
        <v>0</v>
      </c>
    </row>
    <row r="1455" spans="1:25" x14ac:dyDescent="0.2">
      <c r="A1455" s="317">
        <v>101642</v>
      </c>
      <c r="B1455" s="895">
        <v>101642</v>
      </c>
      <c r="C1455" s="896" t="s">
        <v>596</v>
      </c>
      <c r="D1455" s="906" t="s">
        <v>1380</v>
      </c>
      <c r="E1455" s="907">
        <f>GLOBAL_DER_FEV_2023!E1455</f>
        <v>0</v>
      </c>
      <c r="F1455" s="908">
        <f>GLOBAL_DER_FEV_2023!F1455</f>
        <v>0</v>
      </c>
      <c r="G1455" s="912">
        <f>GLOBAL_DER_FEV_2023!G1455</f>
        <v>0</v>
      </c>
      <c r="H1455" s="901">
        <f>GLOBAL_DER_FEV_2023!H1455</f>
        <v>27.5</v>
      </c>
      <c r="I1455" s="901">
        <f>GLOBAL_DER_FEV_2023!I1455</f>
        <v>27.5</v>
      </c>
      <c r="J1455" s="902">
        <f>GLOBAL_DER_FEV_2023!J1455</f>
        <v>33.020000000000003</v>
      </c>
      <c r="K1455" s="903" t="s">
        <v>1516</v>
      </c>
      <c r="L1455" s="1137"/>
      <c r="M1455" s="1138">
        <f t="shared" si="158"/>
        <v>0</v>
      </c>
      <c r="N1455" s="893">
        <f t="shared" si="162"/>
        <v>0</v>
      </c>
      <c r="O1455" s="905"/>
      <c r="Q1455" s="317" t="str">
        <f t="shared" si="159"/>
        <v/>
      </c>
      <c r="R1455" s="317" t="str">
        <f t="shared" si="160"/>
        <v/>
      </c>
      <c r="S1455" s="317" t="str">
        <f t="shared" si="161"/>
        <v/>
      </c>
      <c r="T1455" s="317" t="str">
        <f>GLOBAL_DER_FEV_2023!S1455</f>
        <v/>
      </c>
      <c r="W1455" s="582">
        <v>0</v>
      </c>
      <c r="X1455" s="580"/>
      <c r="Y1455" s="583">
        <f>IF(GLOBAL_DER_FEV_2023!W1455=0,0,IF(GLOBAL_DER_FEV_2023!W1455&gt;0,"c","b"))</f>
        <v>0</v>
      </c>
    </row>
    <row r="1456" spans="1:25" x14ac:dyDescent="0.2">
      <c r="A1456" s="317">
        <v>101643</v>
      </c>
      <c r="B1456" s="895">
        <v>101643</v>
      </c>
      <c r="C1456" s="896" t="s">
        <v>596</v>
      </c>
      <c r="D1456" s="906" t="s">
        <v>1381</v>
      </c>
      <c r="E1456" s="907">
        <f>GLOBAL_DER_FEV_2023!E1456</f>
        <v>0</v>
      </c>
      <c r="F1456" s="908">
        <f>GLOBAL_DER_FEV_2023!F1456</f>
        <v>0</v>
      </c>
      <c r="G1456" s="912">
        <f>GLOBAL_DER_FEV_2023!G1456</f>
        <v>0</v>
      </c>
      <c r="H1456" s="901">
        <f>GLOBAL_DER_FEV_2023!H1456</f>
        <v>47.73</v>
      </c>
      <c r="I1456" s="901">
        <f>GLOBAL_DER_FEV_2023!I1456</f>
        <v>47.73</v>
      </c>
      <c r="J1456" s="902">
        <f>GLOBAL_DER_FEV_2023!J1456</f>
        <v>57.31</v>
      </c>
      <c r="K1456" s="903" t="s">
        <v>1516</v>
      </c>
      <c r="L1456" s="1137"/>
      <c r="M1456" s="1138">
        <f t="shared" si="158"/>
        <v>0</v>
      </c>
      <c r="N1456" s="893">
        <f t="shared" si="162"/>
        <v>0</v>
      </c>
      <c r="O1456" s="905"/>
      <c r="Q1456" s="317" t="str">
        <f t="shared" si="159"/>
        <v/>
      </c>
      <c r="R1456" s="317" t="str">
        <f t="shared" si="160"/>
        <v/>
      </c>
      <c r="S1456" s="317" t="str">
        <f t="shared" si="161"/>
        <v/>
      </c>
      <c r="T1456" s="317" t="str">
        <f>GLOBAL_DER_FEV_2023!S1456</f>
        <v/>
      </c>
      <c r="W1456" s="582">
        <v>0</v>
      </c>
      <c r="X1456" s="580"/>
      <c r="Y1456" s="583">
        <f>IF(GLOBAL_DER_FEV_2023!W1456=0,0,IF(GLOBAL_DER_FEV_2023!W1456&gt;0,"c","b"))</f>
        <v>0</v>
      </c>
    </row>
    <row r="1457" spans="1:25" x14ac:dyDescent="0.2">
      <c r="A1457" s="317">
        <v>101644</v>
      </c>
      <c r="B1457" s="895">
        <v>101644</v>
      </c>
      <c r="C1457" s="896" t="s">
        <v>596</v>
      </c>
      <c r="D1457" s="906" t="s">
        <v>1382</v>
      </c>
      <c r="E1457" s="907">
        <f>GLOBAL_DER_FEV_2023!E1457</f>
        <v>0</v>
      </c>
      <c r="F1457" s="908">
        <f>GLOBAL_DER_FEV_2023!F1457</f>
        <v>0</v>
      </c>
      <c r="G1457" s="912">
        <f>GLOBAL_DER_FEV_2023!G1457</f>
        <v>0</v>
      </c>
      <c r="H1457" s="901">
        <f>GLOBAL_DER_FEV_2023!H1457</f>
        <v>64.540000000000006</v>
      </c>
      <c r="I1457" s="901">
        <f>GLOBAL_DER_FEV_2023!I1457</f>
        <v>64.540000000000006</v>
      </c>
      <c r="J1457" s="902">
        <f>GLOBAL_DER_FEV_2023!J1457</f>
        <v>77.489999999999995</v>
      </c>
      <c r="K1457" s="903" t="s">
        <v>1516</v>
      </c>
      <c r="L1457" s="1137"/>
      <c r="M1457" s="1138">
        <f t="shared" si="158"/>
        <v>0</v>
      </c>
      <c r="N1457" s="893">
        <f t="shared" si="162"/>
        <v>0</v>
      </c>
      <c r="O1457" s="905"/>
      <c r="Q1457" s="317" t="str">
        <f t="shared" si="159"/>
        <v/>
      </c>
      <c r="R1457" s="317" t="str">
        <f t="shared" si="160"/>
        <v/>
      </c>
      <c r="S1457" s="317" t="str">
        <f t="shared" si="161"/>
        <v/>
      </c>
      <c r="T1457" s="317" t="str">
        <f>GLOBAL_DER_FEV_2023!S1457</f>
        <v/>
      </c>
      <c r="W1457" s="582">
        <v>0</v>
      </c>
      <c r="X1457" s="580"/>
      <c r="Y1457" s="583">
        <f>IF(GLOBAL_DER_FEV_2023!W1457=0,0,IF(GLOBAL_DER_FEV_2023!W1457&gt;0,"c","b"))</f>
        <v>0</v>
      </c>
    </row>
    <row r="1458" spans="1:25" x14ac:dyDescent="0.2">
      <c r="A1458" s="317">
        <v>101645</v>
      </c>
      <c r="B1458" s="895">
        <v>101645</v>
      </c>
      <c r="C1458" s="896" t="s">
        <v>596</v>
      </c>
      <c r="D1458" s="906" t="s">
        <v>1383</v>
      </c>
      <c r="E1458" s="907">
        <f>GLOBAL_DER_FEV_2023!E1458</f>
        <v>0</v>
      </c>
      <c r="F1458" s="908">
        <f>GLOBAL_DER_FEV_2023!F1458</f>
        <v>0</v>
      </c>
      <c r="G1458" s="912">
        <f>GLOBAL_DER_FEV_2023!G1458</f>
        <v>0</v>
      </c>
      <c r="H1458" s="901">
        <f>GLOBAL_DER_FEV_2023!H1458</f>
        <v>30.63</v>
      </c>
      <c r="I1458" s="901">
        <f>GLOBAL_DER_FEV_2023!I1458</f>
        <v>30.63</v>
      </c>
      <c r="J1458" s="902">
        <f>GLOBAL_DER_FEV_2023!J1458</f>
        <v>36.78</v>
      </c>
      <c r="K1458" s="903" t="s">
        <v>1516</v>
      </c>
      <c r="L1458" s="1137"/>
      <c r="M1458" s="1138">
        <f t="shared" si="158"/>
        <v>0</v>
      </c>
      <c r="N1458" s="893">
        <f t="shared" si="162"/>
        <v>0</v>
      </c>
      <c r="O1458" s="905"/>
      <c r="Q1458" s="317" t="str">
        <f t="shared" si="159"/>
        <v/>
      </c>
      <c r="R1458" s="317" t="str">
        <f t="shared" si="160"/>
        <v/>
      </c>
      <c r="S1458" s="317" t="str">
        <f t="shared" si="161"/>
        <v/>
      </c>
      <c r="T1458" s="317" t="str">
        <f>GLOBAL_DER_FEV_2023!S1458</f>
        <v/>
      </c>
      <c r="W1458" s="582">
        <v>0</v>
      </c>
      <c r="X1458" s="580"/>
      <c r="Y1458" s="583">
        <f>IF(GLOBAL_DER_FEV_2023!W1458=0,0,IF(GLOBAL_DER_FEV_2023!W1458&gt;0,"c","b"))</f>
        <v>0</v>
      </c>
    </row>
    <row r="1459" spans="1:25" x14ac:dyDescent="0.2">
      <c r="A1459" s="317">
        <v>101646</v>
      </c>
      <c r="B1459" s="895">
        <v>101646</v>
      </c>
      <c r="C1459" s="896" t="s">
        <v>596</v>
      </c>
      <c r="D1459" s="906" t="s">
        <v>1384</v>
      </c>
      <c r="E1459" s="907">
        <f>GLOBAL_DER_FEV_2023!E1459</f>
        <v>0</v>
      </c>
      <c r="F1459" s="908">
        <f>GLOBAL_DER_FEV_2023!F1459</f>
        <v>0</v>
      </c>
      <c r="G1459" s="912">
        <f>GLOBAL_DER_FEV_2023!G1459</f>
        <v>0</v>
      </c>
      <c r="H1459" s="901">
        <f>GLOBAL_DER_FEV_2023!H1459</f>
        <v>40.630000000000003</v>
      </c>
      <c r="I1459" s="901">
        <f>GLOBAL_DER_FEV_2023!I1459</f>
        <v>40.630000000000003</v>
      </c>
      <c r="J1459" s="902">
        <f>GLOBAL_DER_FEV_2023!J1459</f>
        <v>48.78</v>
      </c>
      <c r="K1459" s="903" t="s">
        <v>1516</v>
      </c>
      <c r="L1459" s="1137"/>
      <c r="M1459" s="1138">
        <f t="shared" si="158"/>
        <v>0</v>
      </c>
      <c r="N1459" s="893">
        <f t="shared" si="162"/>
        <v>0</v>
      </c>
      <c r="O1459" s="905"/>
      <c r="Q1459" s="317" t="str">
        <f t="shared" si="159"/>
        <v/>
      </c>
      <c r="R1459" s="317" t="str">
        <f t="shared" si="160"/>
        <v/>
      </c>
      <c r="S1459" s="317" t="str">
        <f t="shared" si="161"/>
        <v/>
      </c>
      <c r="T1459" s="317" t="str">
        <f>GLOBAL_DER_FEV_2023!S1459</f>
        <v/>
      </c>
      <c r="W1459" s="582">
        <v>0</v>
      </c>
      <c r="X1459" s="580"/>
      <c r="Y1459" s="583">
        <f>IF(GLOBAL_DER_FEV_2023!W1459=0,0,IF(GLOBAL_DER_FEV_2023!W1459&gt;0,"c","b"))</f>
        <v>0</v>
      </c>
    </row>
    <row r="1460" spans="1:25" x14ac:dyDescent="0.2">
      <c r="A1460" s="317">
        <v>101647</v>
      </c>
      <c r="B1460" s="895">
        <v>101647</v>
      </c>
      <c r="C1460" s="896" t="s">
        <v>596</v>
      </c>
      <c r="D1460" s="906" t="s">
        <v>1385</v>
      </c>
      <c r="E1460" s="907">
        <f>GLOBAL_DER_FEV_2023!E1460</f>
        <v>0</v>
      </c>
      <c r="F1460" s="908">
        <f>GLOBAL_DER_FEV_2023!F1460</f>
        <v>0</v>
      </c>
      <c r="G1460" s="912">
        <f>GLOBAL_DER_FEV_2023!G1460</f>
        <v>0</v>
      </c>
      <c r="H1460" s="901">
        <f>GLOBAL_DER_FEV_2023!H1460</f>
        <v>74.489999999999995</v>
      </c>
      <c r="I1460" s="901">
        <f>GLOBAL_DER_FEV_2023!I1460</f>
        <v>74.489999999999995</v>
      </c>
      <c r="J1460" s="902">
        <f>GLOBAL_DER_FEV_2023!J1460</f>
        <v>89.44</v>
      </c>
      <c r="K1460" s="903" t="s">
        <v>1516</v>
      </c>
      <c r="L1460" s="1137"/>
      <c r="M1460" s="1138">
        <f t="shared" si="158"/>
        <v>0</v>
      </c>
      <c r="N1460" s="893">
        <f t="shared" si="162"/>
        <v>0</v>
      </c>
      <c r="O1460" s="905"/>
      <c r="Q1460" s="317" t="str">
        <f t="shared" si="159"/>
        <v/>
      </c>
      <c r="R1460" s="317" t="str">
        <f t="shared" si="160"/>
        <v/>
      </c>
      <c r="S1460" s="317" t="str">
        <f t="shared" si="161"/>
        <v/>
      </c>
      <c r="T1460" s="317" t="str">
        <f>GLOBAL_DER_FEV_2023!S1460</f>
        <v/>
      </c>
      <c r="W1460" s="582">
        <v>0</v>
      </c>
      <c r="X1460" s="580"/>
      <c r="Y1460" s="583">
        <f>IF(GLOBAL_DER_FEV_2023!W1460=0,0,IF(GLOBAL_DER_FEV_2023!W1460&gt;0,"c","b"))</f>
        <v>0</v>
      </c>
    </row>
    <row r="1461" spans="1:25" ht="22.5" x14ac:dyDescent="0.2">
      <c r="A1461" s="317">
        <v>102085</v>
      </c>
      <c r="B1461" s="895">
        <v>102085</v>
      </c>
      <c r="C1461" s="896" t="s">
        <v>596</v>
      </c>
      <c r="D1461" s="906" t="s">
        <v>1386</v>
      </c>
      <c r="E1461" s="907">
        <f>GLOBAL_DER_FEV_2023!E1461</f>
        <v>0</v>
      </c>
      <c r="F1461" s="908">
        <f>GLOBAL_DER_FEV_2023!F1461</f>
        <v>0</v>
      </c>
      <c r="G1461" s="912">
        <f>GLOBAL_DER_FEV_2023!G1461</f>
        <v>0</v>
      </c>
      <c r="H1461" s="901">
        <f>GLOBAL_DER_FEV_2023!H1461</f>
        <v>228.92</v>
      </c>
      <c r="I1461" s="901">
        <f>GLOBAL_DER_FEV_2023!I1461</f>
        <v>228.92</v>
      </c>
      <c r="J1461" s="902">
        <f>GLOBAL_DER_FEV_2023!J1461</f>
        <v>274.86</v>
      </c>
      <c r="K1461" s="903" t="s">
        <v>1516</v>
      </c>
      <c r="L1461" s="1137"/>
      <c r="M1461" s="1138">
        <f t="shared" si="158"/>
        <v>0</v>
      </c>
      <c r="N1461" s="893">
        <f t="shared" si="162"/>
        <v>0</v>
      </c>
      <c r="O1461" s="905"/>
      <c r="Q1461" s="317" t="str">
        <f t="shared" si="159"/>
        <v/>
      </c>
      <c r="R1461" s="317" t="str">
        <f t="shared" si="160"/>
        <v/>
      </c>
      <c r="S1461" s="317" t="str">
        <f t="shared" si="161"/>
        <v/>
      </c>
      <c r="T1461" s="317" t="str">
        <f>GLOBAL_DER_FEV_2023!S1461</f>
        <v/>
      </c>
      <c r="W1461" s="582">
        <v>0</v>
      </c>
      <c r="X1461" s="580"/>
      <c r="Y1461" s="583">
        <f>IF(GLOBAL_DER_FEV_2023!W1461=0,0,IF(GLOBAL_DER_FEV_2023!W1461&gt;0,"c","b"))</f>
        <v>0</v>
      </c>
    </row>
    <row r="1462" spans="1:25" ht="22.5" x14ac:dyDescent="0.2">
      <c r="A1462" s="317">
        <v>97605</v>
      </c>
      <c r="B1462" s="895">
        <v>97605</v>
      </c>
      <c r="C1462" s="896" t="s">
        <v>596</v>
      </c>
      <c r="D1462" s="906" t="s">
        <v>1387</v>
      </c>
      <c r="E1462" s="907">
        <f>GLOBAL_DER_FEV_2023!E1462</f>
        <v>0</v>
      </c>
      <c r="F1462" s="908">
        <f>GLOBAL_DER_FEV_2023!F1462</f>
        <v>0</v>
      </c>
      <c r="G1462" s="912">
        <f>GLOBAL_DER_FEV_2023!G1462</f>
        <v>0</v>
      </c>
      <c r="H1462" s="901">
        <f>GLOBAL_DER_FEV_2023!H1462</f>
        <v>105.71</v>
      </c>
      <c r="I1462" s="901">
        <f>GLOBAL_DER_FEV_2023!I1462</f>
        <v>105.71</v>
      </c>
      <c r="J1462" s="902">
        <f>GLOBAL_DER_FEV_2023!J1462</f>
        <v>126.93</v>
      </c>
      <c r="K1462" s="903" t="s">
        <v>1516</v>
      </c>
      <c r="L1462" s="1137"/>
      <c r="M1462" s="1138">
        <f t="shared" si="158"/>
        <v>0</v>
      </c>
      <c r="N1462" s="893">
        <f t="shared" si="162"/>
        <v>0</v>
      </c>
      <c r="O1462" s="905"/>
      <c r="Q1462" s="317" t="str">
        <f t="shared" si="159"/>
        <v/>
      </c>
      <c r="R1462" s="317" t="str">
        <f t="shared" si="160"/>
        <v/>
      </c>
      <c r="S1462" s="317" t="str">
        <f t="shared" si="161"/>
        <v/>
      </c>
      <c r="T1462" s="317" t="str">
        <f>GLOBAL_DER_FEV_2023!S1462</f>
        <v/>
      </c>
      <c r="W1462" s="582">
        <v>0</v>
      </c>
      <c r="X1462" s="580"/>
      <c r="Y1462" s="583">
        <f>IF(GLOBAL_DER_FEV_2023!W1462=0,0,IF(GLOBAL_DER_FEV_2023!W1462&gt;0,"c","b"))</f>
        <v>0</v>
      </c>
    </row>
    <row r="1463" spans="1:25" ht="22.5" x14ac:dyDescent="0.2">
      <c r="A1463" s="317">
        <v>101654</v>
      </c>
      <c r="B1463" s="895">
        <v>101654</v>
      </c>
      <c r="C1463" s="896" t="s">
        <v>596</v>
      </c>
      <c r="D1463" s="906" t="s">
        <v>1388</v>
      </c>
      <c r="E1463" s="907">
        <f>GLOBAL_DER_FEV_2023!E1463</f>
        <v>0</v>
      </c>
      <c r="F1463" s="908">
        <f>GLOBAL_DER_FEV_2023!F1463</f>
        <v>0</v>
      </c>
      <c r="G1463" s="912">
        <f>GLOBAL_DER_FEV_2023!G1463</f>
        <v>0</v>
      </c>
      <c r="H1463" s="901">
        <f>GLOBAL_DER_FEV_2023!H1463</f>
        <v>292.29000000000002</v>
      </c>
      <c r="I1463" s="901">
        <f>GLOBAL_DER_FEV_2023!I1463</f>
        <v>292.29000000000002</v>
      </c>
      <c r="J1463" s="902">
        <f>GLOBAL_DER_FEV_2023!J1463</f>
        <v>350.95</v>
      </c>
      <c r="K1463" s="903" t="s">
        <v>1516</v>
      </c>
      <c r="L1463" s="1137"/>
      <c r="M1463" s="1138">
        <f t="shared" si="158"/>
        <v>0</v>
      </c>
      <c r="N1463" s="893">
        <f t="shared" si="162"/>
        <v>0</v>
      </c>
      <c r="O1463" s="905"/>
      <c r="Q1463" s="317" t="str">
        <f t="shared" si="159"/>
        <v/>
      </c>
      <c r="R1463" s="317" t="str">
        <f t="shared" si="160"/>
        <v/>
      </c>
      <c r="S1463" s="317" t="str">
        <f t="shared" si="161"/>
        <v/>
      </c>
      <c r="T1463" s="317" t="str">
        <f>GLOBAL_DER_FEV_2023!S1463</f>
        <v/>
      </c>
      <c r="W1463" s="582">
        <v>0</v>
      </c>
      <c r="X1463" s="580"/>
      <c r="Y1463" s="583">
        <f>IF(GLOBAL_DER_FEV_2023!W1463=0,0,IF(GLOBAL_DER_FEV_2023!W1463&gt;0,"c","b"))</f>
        <v>0</v>
      </c>
    </row>
    <row r="1464" spans="1:25" ht="22.5" x14ac:dyDescent="0.2">
      <c r="A1464" s="317">
        <v>101655</v>
      </c>
      <c r="B1464" s="895">
        <v>101655</v>
      </c>
      <c r="C1464" s="896" t="s">
        <v>596</v>
      </c>
      <c r="D1464" s="906" t="s">
        <v>1389</v>
      </c>
      <c r="E1464" s="907">
        <f>GLOBAL_DER_FEV_2023!E1464</f>
        <v>0</v>
      </c>
      <c r="F1464" s="908">
        <f>GLOBAL_DER_FEV_2023!F1464</f>
        <v>0</v>
      </c>
      <c r="G1464" s="912">
        <f>GLOBAL_DER_FEV_2023!G1464</f>
        <v>0</v>
      </c>
      <c r="H1464" s="901">
        <f>GLOBAL_DER_FEV_2023!H1464</f>
        <v>473.09</v>
      </c>
      <c r="I1464" s="901">
        <f>GLOBAL_DER_FEV_2023!I1464</f>
        <v>473.09</v>
      </c>
      <c r="J1464" s="902">
        <f>GLOBAL_DER_FEV_2023!J1464</f>
        <v>568.04</v>
      </c>
      <c r="K1464" s="903" t="s">
        <v>1516</v>
      </c>
      <c r="L1464" s="1137"/>
      <c r="M1464" s="1138">
        <f t="shared" si="158"/>
        <v>0</v>
      </c>
      <c r="N1464" s="893">
        <f t="shared" si="162"/>
        <v>0</v>
      </c>
      <c r="O1464" s="905"/>
      <c r="Q1464" s="317" t="str">
        <f t="shared" si="159"/>
        <v/>
      </c>
      <c r="R1464" s="317" t="str">
        <f t="shared" si="160"/>
        <v/>
      </c>
      <c r="S1464" s="317" t="str">
        <f t="shared" si="161"/>
        <v/>
      </c>
      <c r="T1464" s="317" t="str">
        <f>GLOBAL_DER_FEV_2023!S1464</f>
        <v/>
      </c>
      <c r="W1464" s="582">
        <v>0</v>
      </c>
      <c r="X1464" s="580"/>
      <c r="Y1464" s="583">
        <f>IF(GLOBAL_DER_FEV_2023!W1464=0,0,IF(GLOBAL_DER_FEV_2023!W1464&gt;0,"c","b"))</f>
        <v>0</v>
      </c>
    </row>
    <row r="1465" spans="1:25" ht="22.5" x14ac:dyDescent="0.2">
      <c r="A1465" s="317">
        <v>101656</v>
      </c>
      <c r="B1465" s="895">
        <v>101656</v>
      </c>
      <c r="C1465" s="896" t="s">
        <v>596</v>
      </c>
      <c r="D1465" s="906" t="s">
        <v>1390</v>
      </c>
      <c r="E1465" s="907">
        <f>GLOBAL_DER_FEV_2023!E1465</f>
        <v>0</v>
      </c>
      <c r="F1465" s="908">
        <f>GLOBAL_DER_FEV_2023!F1465</f>
        <v>0</v>
      </c>
      <c r="G1465" s="912">
        <f>GLOBAL_DER_FEV_2023!G1465</f>
        <v>0</v>
      </c>
      <c r="H1465" s="901">
        <f>GLOBAL_DER_FEV_2023!H1465</f>
        <v>515.30999999999995</v>
      </c>
      <c r="I1465" s="901">
        <f>GLOBAL_DER_FEV_2023!I1465</f>
        <v>515.30999999999995</v>
      </c>
      <c r="J1465" s="902">
        <f>GLOBAL_DER_FEV_2023!J1465</f>
        <v>618.73</v>
      </c>
      <c r="K1465" s="903" t="s">
        <v>1516</v>
      </c>
      <c r="L1465" s="1137"/>
      <c r="M1465" s="1138">
        <f t="shared" si="158"/>
        <v>0</v>
      </c>
      <c r="N1465" s="893">
        <f t="shared" si="162"/>
        <v>0</v>
      </c>
      <c r="O1465" s="905"/>
      <c r="Q1465" s="317" t="str">
        <f t="shared" si="159"/>
        <v/>
      </c>
      <c r="R1465" s="317" t="str">
        <f t="shared" si="160"/>
        <v/>
      </c>
      <c r="S1465" s="317" t="str">
        <f t="shared" si="161"/>
        <v/>
      </c>
      <c r="T1465" s="317" t="str">
        <f>GLOBAL_DER_FEV_2023!S1465</f>
        <v/>
      </c>
      <c r="W1465" s="582">
        <v>0</v>
      </c>
      <c r="X1465" s="580"/>
      <c r="Y1465" s="583">
        <f>IF(GLOBAL_DER_FEV_2023!W1465=0,0,IF(GLOBAL_DER_FEV_2023!W1465&gt;0,"c","b"))</f>
        <v>0</v>
      </c>
    </row>
    <row r="1466" spans="1:25" ht="22.5" x14ac:dyDescent="0.2">
      <c r="A1466" s="317">
        <v>101657</v>
      </c>
      <c r="B1466" s="895">
        <v>101657</v>
      </c>
      <c r="C1466" s="896" t="s">
        <v>596</v>
      </c>
      <c r="D1466" s="906" t="s">
        <v>1391</v>
      </c>
      <c r="E1466" s="907">
        <f>GLOBAL_DER_FEV_2023!E1466</f>
        <v>0</v>
      </c>
      <c r="F1466" s="908">
        <f>GLOBAL_DER_FEV_2023!F1466</f>
        <v>0</v>
      </c>
      <c r="G1466" s="912">
        <f>GLOBAL_DER_FEV_2023!G1466</f>
        <v>0</v>
      </c>
      <c r="H1466" s="901">
        <f>GLOBAL_DER_FEV_2023!H1466</f>
        <v>605.23</v>
      </c>
      <c r="I1466" s="901">
        <f>GLOBAL_DER_FEV_2023!I1466</f>
        <v>605.23</v>
      </c>
      <c r="J1466" s="902">
        <f>GLOBAL_DER_FEV_2023!J1466</f>
        <v>726.7</v>
      </c>
      <c r="K1466" s="903" t="s">
        <v>1516</v>
      </c>
      <c r="L1466" s="1137"/>
      <c r="M1466" s="1138">
        <f t="shared" si="158"/>
        <v>0</v>
      </c>
      <c r="N1466" s="893">
        <f t="shared" si="162"/>
        <v>0</v>
      </c>
      <c r="O1466" s="905"/>
      <c r="Q1466" s="317" t="str">
        <f t="shared" si="159"/>
        <v/>
      </c>
      <c r="R1466" s="317" t="str">
        <f t="shared" si="160"/>
        <v/>
      </c>
      <c r="S1466" s="317" t="str">
        <f t="shared" si="161"/>
        <v/>
      </c>
      <c r="T1466" s="317" t="str">
        <f>GLOBAL_DER_FEV_2023!S1466</f>
        <v/>
      </c>
      <c r="W1466" s="582">
        <v>0</v>
      </c>
      <c r="X1466" s="580"/>
      <c r="Y1466" s="583">
        <f>IF(GLOBAL_DER_FEV_2023!W1466=0,0,IF(GLOBAL_DER_FEV_2023!W1466&gt;0,"c","b"))</f>
        <v>0</v>
      </c>
    </row>
    <row r="1467" spans="1:25" ht="22.5" x14ac:dyDescent="0.2">
      <c r="A1467" s="317">
        <v>101658</v>
      </c>
      <c r="B1467" s="895">
        <v>101658</v>
      </c>
      <c r="C1467" s="896" t="s">
        <v>596</v>
      </c>
      <c r="D1467" s="906" t="s">
        <v>1392</v>
      </c>
      <c r="E1467" s="907">
        <f>GLOBAL_DER_FEV_2023!E1467</f>
        <v>0</v>
      </c>
      <c r="F1467" s="908">
        <f>GLOBAL_DER_FEV_2023!F1467</f>
        <v>0</v>
      </c>
      <c r="G1467" s="912">
        <f>GLOBAL_DER_FEV_2023!G1467</f>
        <v>0</v>
      </c>
      <c r="H1467" s="901">
        <f>GLOBAL_DER_FEV_2023!H1467</f>
        <v>790.12</v>
      </c>
      <c r="I1467" s="901">
        <f>GLOBAL_DER_FEV_2023!I1467</f>
        <v>790.12</v>
      </c>
      <c r="J1467" s="902">
        <f>GLOBAL_DER_FEV_2023!J1467</f>
        <v>948.7</v>
      </c>
      <c r="K1467" s="903" t="s">
        <v>1516</v>
      </c>
      <c r="L1467" s="1137"/>
      <c r="M1467" s="1138">
        <f t="shared" si="158"/>
        <v>0</v>
      </c>
      <c r="N1467" s="893">
        <f t="shared" si="162"/>
        <v>0</v>
      </c>
      <c r="O1467" s="905"/>
      <c r="Q1467" s="317" t="str">
        <f t="shared" si="159"/>
        <v/>
      </c>
      <c r="R1467" s="317" t="str">
        <f t="shared" si="160"/>
        <v/>
      </c>
      <c r="S1467" s="317" t="str">
        <f t="shared" si="161"/>
        <v/>
      </c>
      <c r="T1467" s="317" t="str">
        <f>GLOBAL_DER_FEV_2023!S1467</f>
        <v/>
      </c>
      <c r="W1467" s="582">
        <v>0</v>
      </c>
      <c r="X1467" s="580"/>
      <c r="Y1467" s="583">
        <f>IF(GLOBAL_DER_FEV_2023!W1467=0,0,IF(GLOBAL_DER_FEV_2023!W1467&gt;0,"c","b"))</f>
        <v>0</v>
      </c>
    </row>
    <row r="1468" spans="1:25" ht="22.5" x14ac:dyDescent="0.2">
      <c r="A1468" s="317">
        <v>101659</v>
      </c>
      <c r="B1468" s="895">
        <v>101659</v>
      </c>
      <c r="C1468" s="896" t="s">
        <v>596</v>
      </c>
      <c r="D1468" s="906" t="s">
        <v>1393</v>
      </c>
      <c r="E1468" s="907">
        <f>GLOBAL_DER_FEV_2023!E1468</f>
        <v>0</v>
      </c>
      <c r="F1468" s="908">
        <f>GLOBAL_DER_FEV_2023!F1468</f>
        <v>0</v>
      </c>
      <c r="G1468" s="912">
        <f>GLOBAL_DER_FEV_2023!G1468</f>
        <v>0</v>
      </c>
      <c r="H1468" s="901">
        <f>GLOBAL_DER_FEV_2023!H1468</f>
        <v>905.12</v>
      </c>
      <c r="I1468" s="901">
        <f>GLOBAL_DER_FEV_2023!I1468</f>
        <v>905.12</v>
      </c>
      <c r="J1468" s="902">
        <f>GLOBAL_DER_FEV_2023!J1468</f>
        <v>1086.78</v>
      </c>
      <c r="K1468" s="903" t="s">
        <v>1516</v>
      </c>
      <c r="L1468" s="1137"/>
      <c r="M1468" s="1138">
        <f t="shared" si="158"/>
        <v>0</v>
      </c>
      <c r="N1468" s="893">
        <f t="shared" si="162"/>
        <v>0</v>
      </c>
      <c r="O1468" s="905"/>
      <c r="Q1468" s="317" t="str">
        <f t="shared" si="159"/>
        <v/>
      </c>
      <c r="R1468" s="317" t="str">
        <f t="shared" si="160"/>
        <v/>
      </c>
      <c r="S1468" s="317" t="str">
        <f t="shared" si="161"/>
        <v/>
      </c>
      <c r="T1468" s="317" t="str">
        <f>GLOBAL_DER_FEV_2023!S1468</f>
        <v/>
      </c>
      <c r="W1468" s="582">
        <v>0</v>
      </c>
      <c r="X1468" s="580"/>
      <c r="Y1468" s="583">
        <f>IF(GLOBAL_DER_FEV_2023!W1468=0,0,IF(GLOBAL_DER_FEV_2023!W1468&gt;0,"c","b"))</f>
        <v>0</v>
      </c>
    </row>
    <row r="1469" spans="1:25" ht="22.5" x14ac:dyDescent="0.2">
      <c r="A1469" s="317">
        <v>101660</v>
      </c>
      <c r="B1469" s="895">
        <v>101660</v>
      </c>
      <c r="C1469" s="896" t="s">
        <v>596</v>
      </c>
      <c r="D1469" s="906" t="s">
        <v>1394</v>
      </c>
      <c r="E1469" s="907">
        <f>GLOBAL_DER_FEV_2023!E1469</f>
        <v>0</v>
      </c>
      <c r="F1469" s="908">
        <f>GLOBAL_DER_FEV_2023!F1469</f>
        <v>0</v>
      </c>
      <c r="G1469" s="912">
        <f>GLOBAL_DER_FEV_2023!G1469</f>
        <v>0</v>
      </c>
      <c r="H1469" s="901">
        <f>GLOBAL_DER_FEV_2023!H1469</f>
        <v>1447.98</v>
      </c>
      <c r="I1469" s="901">
        <f>GLOBAL_DER_FEV_2023!I1469</f>
        <v>1447.98</v>
      </c>
      <c r="J1469" s="902">
        <f>GLOBAL_DER_FEV_2023!J1469</f>
        <v>1738.59</v>
      </c>
      <c r="K1469" s="903" t="s">
        <v>1516</v>
      </c>
      <c r="L1469" s="1137"/>
      <c r="M1469" s="1138">
        <f t="shared" si="158"/>
        <v>0</v>
      </c>
      <c r="N1469" s="893">
        <f t="shared" si="162"/>
        <v>0</v>
      </c>
      <c r="O1469" s="905"/>
      <c r="Q1469" s="317" t="str">
        <f t="shared" si="159"/>
        <v/>
      </c>
      <c r="R1469" s="317" t="str">
        <f t="shared" si="160"/>
        <v/>
      </c>
      <c r="S1469" s="317" t="str">
        <f t="shared" si="161"/>
        <v/>
      </c>
      <c r="T1469" s="317" t="str">
        <f>GLOBAL_DER_FEV_2023!S1469</f>
        <v/>
      </c>
      <c r="W1469" s="582">
        <v>0</v>
      </c>
      <c r="X1469" s="580"/>
      <c r="Y1469" s="583">
        <f>IF(GLOBAL_DER_FEV_2023!W1469=0,0,IF(GLOBAL_DER_FEV_2023!W1469&gt;0,"c","b"))</f>
        <v>0</v>
      </c>
    </row>
    <row r="1470" spans="1:25" ht="22.5" x14ac:dyDescent="0.2">
      <c r="A1470" s="317">
        <v>97606</v>
      </c>
      <c r="B1470" s="895">
        <v>97606</v>
      </c>
      <c r="C1470" s="896" t="s">
        <v>596</v>
      </c>
      <c r="D1470" s="906" t="s">
        <v>1395</v>
      </c>
      <c r="E1470" s="907">
        <f>GLOBAL_DER_FEV_2023!E1470</f>
        <v>0</v>
      </c>
      <c r="F1470" s="908">
        <f>GLOBAL_DER_FEV_2023!F1470</f>
        <v>0</v>
      </c>
      <c r="G1470" s="912">
        <f>GLOBAL_DER_FEV_2023!G1470</f>
        <v>0</v>
      </c>
      <c r="H1470" s="901">
        <f>GLOBAL_DER_FEV_2023!H1470</f>
        <v>114.57</v>
      </c>
      <c r="I1470" s="901">
        <f>GLOBAL_DER_FEV_2023!I1470</f>
        <v>114.57</v>
      </c>
      <c r="J1470" s="902">
        <f>GLOBAL_DER_FEV_2023!J1470</f>
        <v>137.56</v>
      </c>
      <c r="K1470" s="903" t="s">
        <v>1516</v>
      </c>
      <c r="L1470" s="1137"/>
      <c r="M1470" s="1138">
        <f t="shared" si="158"/>
        <v>0</v>
      </c>
      <c r="N1470" s="893">
        <f t="shared" si="162"/>
        <v>0</v>
      </c>
      <c r="O1470" s="905"/>
      <c r="Q1470" s="317" t="str">
        <f t="shared" si="159"/>
        <v/>
      </c>
      <c r="R1470" s="317" t="str">
        <f t="shared" si="160"/>
        <v/>
      </c>
      <c r="S1470" s="317" t="str">
        <f t="shared" si="161"/>
        <v/>
      </c>
      <c r="T1470" s="317" t="str">
        <f>GLOBAL_DER_FEV_2023!S1470</f>
        <v/>
      </c>
      <c r="W1470" s="582">
        <v>0</v>
      </c>
      <c r="X1470" s="580"/>
      <c r="Y1470" s="583">
        <f>IF(GLOBAL_DER_FEV_2023!W1470=0,0,IF(GLOBAL_DER_FEV_2023!W1470&gt;0,"c","b"))</f>
        <v>0</v>
      </c>
    </row>
    <row r="1471" spans="1:25" ht="22.5" x14ac:dyDescent="0.2">
      <c r="A1471" s="317">
        <v>97607</v>
      </c>
      <c r="B1471" s="895">
        <v>97607</v>
      </c>
      <c r="C1471" s="896" t="s">
        <v>596</v>
      </c>
      <c r="D1471" s="906" t="s">
        <v>1396</v>
      </c>
      <c r="E1471" s="907">
        <f>GLOBAL_DER_FEV_2023!E1471</f>
        <v>0</v>
      </c>
      <c r="F1471" s="908">
        <f>GLOBAL_DER_FEV_2023!F1471</f>
        <v>0</v>
      </c>
      <c r="G1471" s="912">
        <f>GLOBAL_DER_FEV_2023!G1471</f>
        <v>0</v>
      </c>
      <c r="H1471" s="901">
        <f>GLOBAL_DER_FEV_2023!H1471</f>
        <v>127.64</v>
      </c>
      <c r="I1471" s="901">
        <f>GLOBAL_DER_FEV_2023!I1471</f>
        <v>127.64</v>
      </c>
      <c r="J1471" s="902">
        <f>GLOBAL_DER_FEV_2023!J1471</f>
        <v>153.26</v>
      </c>
      <c r="K1471" s="903" t="s">
        <v>1516</v>
      </c>
      <c r="L1471" s="1137"/>
      <c r="M1471" s="1138">
        <f t="shared" si="158"/>
        <v>0</v>
      </c>
      <c r="N1471" s="893">
        <f t="shared" si="162"/>
        <v>0</v>
      </c>
      <c r="O1471" s="905"/>
      <c r="Q1471" s="317" t="str">
        <f t="shared" si="159"/>
        <v/>
      </c>
      <c r="R1471" s="317" t="str">
        <f t="shared" si="160"/>
        <v/>
      </c>
      <c r="S1471" s="317" t="str">
        <f t="shared" si="161"/>
        <v/>
      </c>
      <c r="T1471" s="317" t="str">
        <f>GLOBAL_DER_FEV_2023!S1471</f>
        <v/>
      </c>
      <c r="W1471" s="582">
        <v>0</v>
      </c>
      <c r="X1471" s="580"/>
      <c r="Y1471" s="583">
        <f>IF(GLOBAL_DER_FEV_2023!W1471=0,0,IF(GLOBAL_DER_FEV_2023!W1471&gt;0,"c","b"))</f>
        <v>0</v>
      </c>
    </row>
    <row r="1472" spans="1:25" ht="33.75" x14ac:dyDescent="0.2">
      <c r="A1472" s="317">
        <v>97608</v>
      </c>
      <c r="B1472" s="895">
        <v>97608</v>
      </c>
      <c r="C1472" s="896" t="s">
        <v>596</v>
      </c>
      <c r="D1472" s="906" t="s">
        <v>1397</v>
      </c>
      <c r="E1472" s="907">
        <f>GLOBAL_DER_FEV_2023!E1472</f>
        <v>0</v>
      </c>
      <c r="F1472" s="908">
        <f>GLOBAL_DER_FEV_2023!F1472</f>
        <v>0</v>
      </c>
      <c r="G1472" s="912">
        <f>GLOBAL_DER_FEV_2023!G1472</f>
        <v>0</v>
      </c>
      <c r="H1472" s="901">
        <f>GLOBAL_DER_FEV_2023!H1472</f>
        <v>136.5</v>
      </c>
      <c r="I1472" s="901">
        <f>GLOBAL_DER_FEV_2023!I1472</f>
        <v>136.5</v>
      </c>
      <c r="J1472" s="902">
        <f>GLOBAL_DER_FEV_2023!J1472</f>
        <v>163.9</v>
      </c>
      <c r="K1472" s="903" t="s">
        <v>1516</v>
      </c>
      <c r="L1472" s="1137"/>
      <c r="M1472" s="1138">
        <f t="shared" si="158"/>
        <v>0</v>
      </c>
      <c r="N1472" s="893">
        <f t="shared" si="162"/>
        <v>0</v>
      </c>
      <c r="O1472" s="905"/>
      <c r="Q1472" s="317" t="str">
        <f t="shared" si="159"/>
        <v/>
      </c>
      <c r="R1472" s="317" t="str">
        <f t="shared" si="160"/>
        <v/>
      </c>
      <c r="S1472" s="317" t="str">
        <f t="shared" si="161"/>
        <v/>
      </c>
      <c r="T1472" s="317" t="str">
        <f>GLOBAL_DER_FEV_2023!S1472</f>
        <v/>
      </c>
      <c r="W1472" s="582">
        <v>0</v>
      </c>
      <c r="X1472" s="580"/>
      <c r="Y1472" s="583">
        <f>IF(GLOBAL_DER_FEV_2023!W1472=0,0,IF(GLOBAL_DER_FEV_2023!W1472&gt;0,"c","b"))</f>
        <v>0</v>
      </c>
    </row>
    <row r="1473" spans="1:25" ht="22.5" x14ac:dyDescent="0.2">
      <c r="A1473" s="317">
        <v>100902</v>
      </c>
      <c r="B1473" s="895">
        <v>100902</v>
      </c>
      <c r="C1473" s="896" t="s">
        <v>596</v>
      </c>
      <c r="D1473" s="906" t="s">
        <v>1398</v>
      </c>
      <c r="E1473" s="907">
        <f>GLOBAL_DER_FEV_2023!E1473</f>
        <v>0</v>
      </c>
      <c r="F1473" s="908">
        <f>GLOBAL_DER_FEV_2023!F1473</f>
        <v>0</v>
      </c>
      <c r="G1473" s="912">
        <f>GLOBAL_DER_FEV_2023!G1473</f>
        <v>0</v>
      </c>
      <c r="H1473" s="901">
        <f>GLOBAL_DER_FEV_2023!H1473</f>
        <v>29.72</v>
      </c>
      <c r="I1473" s="901">
        <f>GLOBAL_DER_FEV_2023!I1473</f>
        <v>29.72</v>
      </c>
      <c r="J1473" s="902">
        <f>GLOBAL_DER_FEV_2023!J1473</f>
        <v>35.68</v>
      </c>
      <c r="K1473" s="903" t="s">
        <v>1516</v>
      </c>
      <c r="L1473" s="1137"/>
      <c r="M1473" s="1138">
        <f t="shared" si="158"/>
        <v>0</v>
      </c>
      <c r="N1473" s="893">
        <f t="shared" si="162"/>
        <v>0</v>
      </c>
      <c r="O1473" s="905"/>
      <c r="Q1473" s="317" t="str">
        <f t="shared" si="159"/>
        <v/>
      </c>
      <c r="R1473" s="317" t="str">
        <f t="shared" si="160"/>
        <v/>
      </c>
      <c r="S1473" s="317" t="str">
        <f t="shared" si="161"/>
        <v/>
      </c>
      <c r="T1473" s="317" t="str">
        <f>GLOBAL_DER_FEV_2023!S1473</f>
        <v/>
      </c>
      <c r="W1473" s="582">
        <v>0</v>
      </c>
      <c r="X1473" s="580"/>
      <c r="Y1473" s="583">
        <f>IF(GLOBAL_DER_FEV_2023!W1473=0,0,IF(GLOBAL_DER_FEV_2023!W1473&gt;0,"c","b"))</f>
        <v>0</v>
      </c>
    </row>
    <row r="1474" spans="1:25" ht="22.5" x14ac:dyDescent="0.2">
      <c r="A1474" s="317">
        <v>100903</v>
      </c>
      <c r="B1474" s="895">
        <v>100903</v>
      </c>
      <c r="C1474" s="896" t="s">
        <v>596</v>
      </c>
      <c r="D1474" s="906" t="s">
        <v>1399</v>
      </c>
      <c r="E1474" s="907">
        <f>GLOBAL_DER_FEV_2023!E1474</f>
        <v>0</v>
      </c>
      <c r="F1474" s="908">
        <f>GLOBAL_DER_FEV_2023!F1474</f>
        <v>0</v>
      </c>
      <c r="G1474" s="912">
        <f>GLOBAL_DER_FEV_2023!G1474</f>
        <v>0</v>
      </c>
      <c r="H1474" s="901">
        <f>GLOBAL_DER_FEV_2023!H1474</f>
        <v>34.54</v>
      </c>
      <c r="I1474" s="901">
        <f>GLOBAL_DER_FEV_2023!I1474</f>
        <v>34.54</v>
      </c>
      <c r="J1474" s="902">
        <f>GLOBAL_DER_FEV_2023!J1474</f>
        <v>41.47</v>
      </c>
      <c r="K1474" s="903" t="s">
        <v>1516</v>
      </c>
      <c r="L1474" s="1137"/>
      <c r="M1474" s="1138">
        <f t="shared" si="158"/>
        <v>0</v>
      </c>
      <c r="N1474" s="893">
        <f t="shared" si="162"/>
        <v>0</v>
      </c>
      <c r="O1474" s="905"/>
      <c r="Q1474" s="317" t="str">
        <f t="shared" si="159"/>
        <v/>
      </c>
      <c r="R1474" s="317" t="str">
        <f t="shared" si="160"/>
        <v/>
      </c>
      <c r="S1474" s="317" t="str">
        <f t="shared" si="161"/>
        <v/>
      </c>
      <c r="T1474" s="317" t="str">
        <f>GLOBAL_DER_FEV_2023!S1474</f>
        <v/>
      </c>
      <c r="W1474" s="582">
        <v>0</v>
      </c>
      <c r="X1474" s="580"/>
      <c r="Y1474" s="583">
        <f>IF(GLOBAL_DER_FEV_2023!W1474=0,0,IF(GLOBAL_DER_FEV_2023!W1474&gt;0,"c","b"))</f>
        <v>0</v>
      </c>
    </row>
    <row r="1475" spans="1:25" ht="33.75" x14ac:dyDescent="0.2">
      <c r="A1475" s="317">
        <v>100904</v>
      </c>
      <c r="B1475" s="895">
        <v>100904</v>
      </c>
      <c r="C1475" s="896" t="s">
        <v>596</v>
      </c>
      <c r="D1475" s="906" t="s">
        <v>1400</v>
      </c>
      <c r="E1475" s="907">
        <f>GLOBAL_DER_FEV_2023!E1475</f>
        <v>0</v>
      </c>
      <c r="F1475" s="908">
        <f>GLOBAL_DER_FEV_2023!F1475</f>
        <v>0</v>
      </c>
      <c r="G1475" s="912">
        <f>GLOBAL_DER_FEV_2023!G1475</f>
        <v>0</v>
      </c>
      <c r="H1475" s="901">
        <f>GLOBAL_DER_FEV_2023!H1475</f>
        <v>99.02</v>
      </c>
      <c r="I1475" s="901">
        <f>GLOBAL_DER_FEV_2023!I1475</f>
        <v>99.02</v>
      </c>
      <c r="J1475" s="902">
        <f>GLOBAL_DER_FEV_2023!J1475</f>
        <v>118.89</v>
      </c>
      <c r="K1475" s="903" t="s">
        <v>1516</v>
      </c>
      <c r="L1475" s="1137"/>
      <c r="M1475" s="1138">
        <f t="shared" si="158"/>
        <v>0</v>
      </c>
      <c r="N1475" s="893">
        <f t="shared" si="162"/>
        <v>0</v>
      </c>
      <c r="O1475" s="905"/>
      <c r="Q1475" s="317" t="str">
        <f t="shared" si="159"/>
        <v/>
      </c>
      <c r="R1475" s="317" t="str">
        <f t="shared" si="160"/>
        <v/>
      </c>
      <c r="S1475" s="317" t="str">
        <f t="shared" si="161"/>
        <v/>
      </c>
      <c r="T1475" s="317" t="str">
        <f>GLOBAL_DER_FEV_2023!S1475</f>
        <v/>
      </c>
      <c r="W1475" s="582">
        <v>0</v>
      </c>
      <c r="X1475" s="580"/>
      <c r="Y1475" s="583">
        <f>IF(GLOBAL_DER_FEV_2023!W1475=0,0,IF(GLOBAL_DER_FEV_2023!W1475&gt;0,"c","b"))</f>
        <v>0</v>
      </c>
    </row>
    <row r="1476" spans="1:25" ht="33.75" x14ac:dyDescent="0.2">
      <c r="A1476" s="317">
        <v>100905</v>
      </c>
      <c r="B1476" s="895">
        <v>100905</v>
      </c>
      <c r="C1476" s="896" t="s">
        <v>596</v>
      </c>
      <c r="D1476" s="906" t="s">
        <v>1401</v>
      </c>
      <c r="E1476" s="907">
        <f>GLOBAL_DER_FEV_2023!E1476</f>
        <v>0</v>
      </c>
      <c r="F1476" s="908">
        <f>GLOBAL_DER_FEV_2023!F1476</f>
        <v>0</v>
      </c>
      <c r="G1476" s="912">
        <f>GLOBAL_DER_FEV_2023!G1476</f>
        <v>0</v>
      </c>
      <c r="H1476" s="901">
        <f>GLOBAL_DER_FEV_2023!H1476</f>
        <v>266.39999999999998</v>
      </c>
      <c r="I1476" s="901">
        <f>GLOBAL_DER_FEV_2023!I1476</f>
        <v>266.39999999999998</v>
      </c>
      <c r="J1476" s="902">
        <f>GLOBAL_DER_FEV_2023!J1476</f>
        <v>319.87</v>
      </c>
      <c r="K1476" s="903" t="s">
        <v>1516</v>
      </c>
      <c r="L1476" s="1137"/>
      <c r="M1476" s="1138">
        <f t="shared" si="158"/>
        <v>0</v>
      </c>
      <c r="N1476" s="893">
        <f t="shared" si="162"/>
        <v>0</v>
      </c>
      <c r="O1476" s="905"/>
      <c r="Q1476" s="317" t="str">
        <f t="shared" si="159"/>
        <v/>
      </c>
      <c r="R1476" s="317" t="str">
        <f t="shared" si="160"/>
        <v/>
      </c>
      <c r="S1476" s="317" t="str">
        <f t="shared" si="161"/>
        <v/>
      </c>
      <c r="T1476" s="317" t="str">
        <f>GLOBAL_DER_FEV_2023!S1476</f>
        <v/>
      </c>
      <c r="W1476" s="582">
        <v>0</v>
      </c>
      <c r="X1476" s="580"/>
      <c r="Y1476" s="583">
        <f>IF(GLOBAL_DER_FEV_2023!W1476=0,0,IF(GLOBAL_DER_FEV_2023!W1476&gt;0,"c","b"))</f>
        <v>0</v>
      </c>
    </row>
    <row r="1477" spans="1:25" ht="33.75" x14ac:dyDescent="0.2">
      <c r="A1477" s="317">
        <v>100906</v>
      </c>
      <c r="B1477" s="895">
        <v>100906</v>
      </c>
      <c r="C1477" s="896" t="s">
        <v>596</v>
      </c>
      <c r="D1477" s="906" t="s">
        <v>1402</v>
      </c>
      <c r="E1477" s="907">
        <f>GLOBAL_DER_FEV_2023!E1477</f>
        <v>0</v>
      </c>
      <c r="F1477" s="908">
        <f>GLOBAL_DER_FEV_2023!F1477</f>
        <v>0</v>
      </c>
      <c r="G1477" s="912">
        <f>GLOBAL_DER_FEV_2023!G1477</f>
        <v>0</v>
      </c>
      <c r="H1477" s="901">
        <f>GLOBAL_DER_FEV_2023!H1477</f>
        <v>361.6</v>
      </c>
      <c r="I1477" s="901">
        <f>GLOBAL_DER_FEV_2023!I1477</f>
        <v>361.6</v>
      </c>
      <c r="J1477" s="902">
        <f>GLOBAL_DER_FEV_2023!J1477</f>
        <v>434.17</v>
      </c>
      <c r="K1477" s="903" t="s">
        <v>1516</v>
      </c>
      <c r="L1477" s="1137"/>
      <c r="M1477" s="1138">
        <f t="shared" si="158"/>
        <v>0</v>
      </c>
      <c r="N1477" s="893">
        <f t="shared" si="162"/>
        <v>0</v>
      </c>
      <c r="O1477" s="905"/>
      <c r="Q1477" s="317" t="str">
        <f t="shared" si="159"/>
        <v/>
      </c>
      <c r="R1477" s="317" t="str">
        <f t="shared" si="160"/>
        <v/>
      </c>
      <c r="S1477" s="317" t="str">
        <f t="shared" si="161"/>
        <v/>
      </c>
      <c r="T1477" s="317" t="str">
        <f>GLOBAL_DER_FEV_2023!S1477</f>
        <v/>
      </c>
      <c r="W1477" s="582">
        <v>0</v>
      </c>
      <c r="X1477" s="580"/>
      <c r="Y1477" s="583">
        <f>IF(GLOBAL_DER_FEV_2023!W1477=0,0,IF(GLOBAL_DER_FEV_2023!W1477&gt;0,"c","b"))</f>
        <v>0</v>
      </c>
    </row>
    <row r="1478" spans="1:25" ht="22.5" x14ac:dyDescent="0.2">
      <c r="A1478" s="317">
        <v>100919</v>
      </c>
      <c r="B1478" s="895">
        <v>100919</v>
      </c>
      <c r="C1478" s="896" t="s">
        <v>596</v>
      </c>
      <c r="D1478" s="906" t="s">
        <v>1403</v>
      </c>
      <c r="E1478" s="907">
        <f>GLOBAL_DER_FEV_2023!E1478</f>
        <v>0</v>
      </c>
      <c r="F1478" s="908">
        <f>GLOBAL_DER_FEV_2023!F1478</f>
        <v>0</v>
      </c>
      <c r="G1478" s="912">
        <f>GLOBAL_DER_FEV_2023!G1478</f>
        <v>0</v>
      </c>
      <c r="H1478" s="901">
        <f>GLOBAL_DER_FEV_2023!H1478</f>
        <v>73.05</v>
      </c>
      <c r="I1478" s="901">
        <f>GLOBAL_DER_FEV_2023!I1478</f>
        <v>73.05</v>
      </c>
      <c r="J1478" s="902">
        <f>GLOBAL_DER_FEV_2023!J1478</f>
        <v>87.71</v>
      </c>
      <c r="K1478" s="903" t="s">
        <v>1516</v>
      </c>
      <c r="L1478" s="1137"/>
      <c r="M1478" s="1138">
        <f t="shared" ref="M1478:M1541" si="163">IF(L1478=0,0,ROUND(J1478,2))</f>
        <v>0</v>
      </c>
      <c r="N1478" s="893">
        <f t="shared" si="162"/>
        <v>0</v>
      </c>
      <c r="O1478" s="905"/>
      <c r="Q1478" s="317" t="str">
        <f t="shared" si="159"/>
        <v/>
      </c>
      <c r="R1478" s="317" t="str">
        <f t="shared" si="160"/>
        <v/>
      </c>
      <c r="S1478" s="317" t="str">
        <f t="shared" si="161"/>
        <v/>
      </c>
      <c r="T1478" s="317" t="str">
        <f>GLOBAL_DER_FEV_2023!S1478</f>
        <v/>
      </c>
      <c r="W1478" s="582">
        <v>0</v>
      </c>
      <c r="X1478" s="580"/>
      <c r="Y1478" s="583">
        <f>IF(GLOBAL_DER_FEV_2023!W1478=0,0,IF(GLOBAL_DER_FEV_2023!W1478&gt;0,"c","b"))</f>
        <v>0</v>
      </c>
    </row>
    <row r="1479" spans="1:25" ht="22.5" x14ac:dyDescent="0.2">
      <c r="A1479" s="317">
        <v>100920</v>
      </c>
      <c r="B1479" s="895">
        <v>100920</v>
      </c>
      <c r="C1479" s="896" t="s">
        <v>596</v>
      </c>
      <c r="D1479" s="906" t="s">
        <v>1404</v>
      </c>
      <c r="E1479" s="907">
        <f>GLOBAL_DER_FEV_2023!E1479</f>
        <v>0</v>
      </c>
      <c r="F1479" s="908">
        <f>GLOBAL_DER_FEV_2023!F1479</f>
        <v>0</v>
      </c>
      <c r="G1479" s="912">
        <f>GLOBAL_DER_FEV_2023!G1479</f>
        <v>0</v>
      </c>
      <c r="H1479" s="901">
        <f>GLOBAL_DER_FEV_2023!H1479</f>
        <v>123.15</v>
      </c>
      <c r="I1479" s="901">
        <f>GLOBAL_DER_FEV_2023!I1479</f>
        <v>123.15</v>
      </c>
      <c r="J1479" s="902">
        <f>GLOBAL_DER_FEV_2023!J1479</f>
        <v>147.87</v>
      </c>
      <c r="K1479" s="903" t="s">
        <v>1516</v>
      </c>
      <c r="L1479" s="1137"/>
      <c r="M1479" s="1138">
        <f t="shared" si="163"/>
        <v>0</v>
      </c>
      <c r="N1479" s="893">
        <f t="shared" si="162"/>
        <v>0</v>
      </c>
      <c r="O1479" s="905"/>
      <c r="Q1479" s="317" t="str">
        <f t="shared" si="159"/>
        <v/>
      </c>
      <c r="R1479" s="317" t="str">
        <f t="shared" si="160"/>
        <v/>
      </c>
      <c r="S1479" s="317" t="str">
        <f t="shared" si="161"/>
        <v/>
      </c>
      <c r="T1479" s="317" t="str">
        <f>GLOBAL_DER_FEV_2023!S1479</f>
        <v/>
      </c>
      <c r="W1479" s="582">
        <v>0</v>
      </c>
      <c r="X1479" s="580"/>
      <c r="Y1479" s="583">
        <f>IF(GLOBAL_DER_FEV_2023!W1479=0,0,IF(GLOBAL_DER_FEV_2023!W1479&gt;0,"c","b"))</f>
        <v>0</v>
      </c>
    </row>
    <row r="1480" spans="1:25" ht="22.5" x14ac:dyDescent="0.2">
      <c r="A1480" s="317">
        <v>97609</v>
      </c>
      <c r="B1480" s="895">
        <v>97609</v>
      </c>
      <c r="C1480" s="896" t="s">
        <v>596</v>
      </c>
      <c r="D1480" s="906" t="s">
        <v>1405</v>
      </c>
      <c r="E1480" s="907">
        <f>GLOBAL_DER_FEV_2023!E1480</f>
        <v>0</v>
      </c>
      <c r="F1480" s="908">
        <f>GLOBAL_DER_FEV_2023!F1480</f>
        <v>0</v>
      </c>
      <c r="G1480" s="912">
        <f>GLOBAL_DER_FEV_2023!G1480</f>
        <v>0</v>
      </c>
      <c r="H1480" s="901">
        <f>GLOBAL_DER_FEV_2023!H1480</f>
        <v>18.36</v>
      </c>
      <c r="I1480" s="901">
        <f>GLOBAL_DER_FEV_2023!I1480</f>
        <v>18.36</v>
      </c>
      <c r="J1480" s="902">
        <f>GLOBAL_DER_FEV_2023!J1480</f>
        <v>22.04</v>
      </c>
      <c r="K1480" s="903" t="s">
        <v>1516</v>
      </c>
      <c r="L1480" s="1137"/>
      <c r="M1480" s="1138">
        <f t="shared" si="163"/>
        <v>0</v>
      </c>
      <c r="N1480" s="893">
        <f t="shared" si="162"/>
        <v>0</v>
      </c>
      <c r="O1480" s="905"/>
      <c r="Q1480" s="317" t="str">
        <f t="shared" si="159"/>
        <v/>
      </c>
      <c r="R1480" s="317" t="str">
        <f t="shared" si="160"/>
        <v/>
      </c>
      <c r="S1480" s="317" t="str">
        <f t="shared" si="161"/>
        <v/>
      </c>
      <c r="T1480" s="317" t="str">
        <f>GLOBAL_DER_FEV_2023!S1480</f>
        <v/>
      </c>
      <c r="W1480" s="582">
        <v>0</v>
      </c>
      <c r="X1480" s="580"/>
      <c r="Y1480" s="583">
        <f>IF(GLOBAL_DER_FEV_2023!W1480=0,0,IF(GLOBAL_DER_FEV_2023!W1480&gt;0,"c","b"))</f>
        <v>0</v>
      </c>
    </row>
    <row r="1481" spans="1:25" ht="22.5" x14ac:dyDescent="0.2">
      <c r="A1481" s="317">
        <v>97610</v>
      </c>
      <c r="B1481" s="895">
        <v>97610</v>
      </c>
      <c r="C1481" s="896" t="s">
        <v>596</v>
      </c>
      <c r="D1481" s="906" t="s">
        <v>1406</v>
      </c>
      <c r="E1481" s="907">
        <f>GLOBAL_DER_FEV_2023!E1481</f>
        <v>0</v>
      </c>
      <c r="F1481" s="908">
        <f>GLOBAL_DER_FEV_2023!F1481</f>
        <v>0</v>
      </c>
      <c r="G1481" s="912">
        <f>GLOBAL_DER_FEV_2023!G1481</f>
        <v>0</v>
      </c>
      <c r="H1481" s="901">
        <f>GLOBAL_DER_FEV_2023!H1481</f>
        <v>19.45</v>
      </c>
      <c r="I1481" s="901">
        <f>GLOBAL_DER_FEV_2023!I1481</f>
        <v>19.45</v>
      </c>
      <c r="J1481" s="902">
        <f>GLOBAL_DER_FEV_2023!J1481</f>
        <v>23.35</v>
      </c>
      <c r="K1481" s="903" t="s">
        <v>1516</v>
      </c>
      <c r="L1481" s="1137"/>
      <c r="M1481" s="1138">
        <f t="shared" si="163"/>
        <v>0</v>
      </c>
      <c r="N1481" s="893">
        <f t="shared" si="162"/>
        <v>0</v>
      </c>
      <c r="O1481" s="905"/>
      <c r="Q1481" s="317" t="str">
        <f t="shared" si="159"/>
        <v/>
      </c>
      <c r="R1481" s="317" t="str">
        <f t="shared" si="160"/>
        <v/>
      </c>
      <c r="S1481" s="317" t="str">
        <f t="shared" si="161"/>
        <v/>
      </c>
      <c r="T1481" s="317" t="str">
        <f>GLOBAL_DER_FEV_2023!S1481</f>
        <v/>
      </c>
      <c r="W1481" s="582">
        <v>0</v>
      </c>
      <c r="X1481" s="580"/>
      <c r="Y1481" s="583">
        <f>IF(GLOBAL_DER_FEV_2023!W1481=0,0,IF(GLOBAL_DER_FEV_2023!W1481&gt;0,"c","b"))</f>
        <v>0</v>
      </c>
    </row>
    <row r="1482" spans="1:25" ht="22.5" x14ac:dyDescent="0.2">
      <c r="A1482" s="317">
        <v>101537</v>
      </c>
      <c r="B1482" s="895">
        <v>101537</v>
      </c>
      <c r="C1482" s="896" t="s">
        <v>596</v>
      </c>
      <c r="D1482" s="906" t="s">
        <v>1407</v>
      </c>
      <c r="E1482" s="907">
        <f>GLOBAL_DER_FEV_2023!E1482</f>
        <v>0</v>
      </c>
      <c r="F1482" s="908">
        <f>GLOBAL_DER_FEV_2023!F1482</f>
        <v>0</v>
      </c>
      <c r="G1482" s="912">
        <f>GLOBAL_DER_FEV_2023!G1482</f>
        <v>0</v>
      </c>
      <c r="H1482" s="901">
        <f>GLOBAL_DER_FEV_2023!H1482</f>
        <v>139.63999999999999</v>
      </c>
      <c r="I1482" s="901">
        <f>GLOBAL_DER_FEV_2023!I1482</f>
        <v>139.63999999999999</v>
      </c>
      <c r="J1482" s="902">
        <f>GLOBAL_DER_FEV_2023!J1482</f>
        <v>167.67</v>
      </c>
      <c r="K1482" s="903" t="s">
        <v>1516</v>
      </c>
      <c r="L1482" s="1137"/>
      <c r="M1482" s="1138">
        <f t="shared" si="163"/>
        <v>0</v>
      </c>
      <c r="N1482" s="893">
        <f t="shared" si="162"/>
        <v>0</v>
      </c>
      <c r="O1482" s="905"/>
      <c r="Q1482" s="317" t="str">
        <f t="shared" si="159"/>
        <v/>
      </c>
      <c r="R1482" s="317" t="str">
        <f t="shared" si="160"/>
        <v/>
      </c>
      <c r="S1482" s="317" t="str">
        <f t="shared" si="161"/>
        <v/>
      </c>
      <c r="T1482" s="317" t="str">
        <f>GLOBAL_DER_FEV_2023!S1482</f>
        <v/>
      </c>
      <c r="W1482" s="582">
        <v>0</v>
      </c>
      <c r="X1482" s="580"/>
      <c r="Y1482" s="583">
        <f>IF(GLOBAL_DER_FEV_2023!W1482=0,0,IF(GLOBAL_DER_FEV_2023!W1482&gt;0,"c","b"))</f>
        <v>0</v>
      </c>
    </row>
    <row r="1483" spans="1:25" x14ac:dyDescent="0.2">
      <c r="A1483" s="317">
        <v>97054</v>
      </c>
      <c r="B1483" s="895">
        <v>97054</v>
      </c>
      <c r="C1483" s="896" t="s">
        <v>596</v>
      </c>
      <c r="D1483" s="906" t="s">
        <v>1408</v>
      </c>
      <c r="E1483" s="907">
        <f>GLOBAL_DER_FEV_2023!E1483</f>
        <v>0</v>
      </c>
      <c r="F1483" s="908">
        <f>GLOBAL_DER_FEV_2023!F1483</f>
        <v>0</v>
      </c>
      <c r="G1483" s="912">
        <f>GLOBAL_DER_FEV_2023!G1483</f>
        <v>0</v>
      </c>
      <c r="H1483" s="901">
        <f>GLOBAL_DER_FEV_2023!H1483</f>
        <v>28.63</v>
      </c>
      <c r="I1483" s="901">
        <f>GLOBAL_DER_FEV_2023!I1483</f>
        <v>28.63</v>
      </c>
      <c r="J1483" s="902">
        <f>GLOBAL_DER_FEV_2023!J1483</f>
        <v>34.380000000000003</v>
      </c>
      <c r="K1483" s="903" t="s">
        <v>1516</v>
      </c>
      <c r="L1483" s="1137"/>
      <c r="M1483" s="1138">
        <f t="shared" si="163"/>
        <v>0</v>
      </c>
      <c r="N1483" s="893">
        <f t="shared" si="162"/>
        <v>0</v>
      </c>
      <c r="O1483" s="905"/>
      <c r="Q1483" s="317" t="str">
        <f t="shared" si="159"/>
        <v/>
      </c>
      <c r="R1483" s="317" t="str">
        <f t="shared" si="160"/>
        <v/>
      </c>
      <c r="S1483" s="317" t="str">
        <f t="shared" si="161"/>
        <v/>
      </c>
      <c r="T1483" s="317" t="str">
        <f>GLOBAL_DER_FEV_2023!S1483</f>
        <v/>
      </c>
      <c r="W1483" s="582">
        <v>0</v>
      </c>
      <c r="X1483" s="580"/>
      <c r="Y1483" s="583">
        <f>IF(GLOBAL_DER_FEV_2023!W1483=0,0,IF(GLOBAL_DER_FEV_2023!W1483&gt;0,"c","b"))</f>
        <v>0</v>
      </c>
    </row>
    <row r="1484" spans="1:25" ht="22.5" x14ac:dyDescent="0.2">
      <c r="A1484" s="317">
        <v>101538</v>
      </c>
      <c r="B1484" s="895">
        <v>101538</v>
      </c>
      <c r="C1484" s="896" t="s">
        <v>596</v>
      </c>
      <c r="D1484" s="906" t="s">
        <v>1409</v>
      </c>
      <c r="E1484" s="907">
        <f>GLOBAL_DER_FEV_2023!E1484</f>
        <v>0</v>
      </c>
      <c r="F1484" s="908">
        <f>GLOBAL_DER_FEV_2023!F1484</f>
        <v>0</v>
      </c>
      <c r="G1484" s="912">
        <f>GLOBAL_DER_FEV_2023!G1484</f>
        <v>0</v>
      </c>
      <c r="H1484" s="901">
        <f>GLOBAL_DER_FEV_2023!H1484</f>
        <v>33.369999999999997</v>
      </c>
      <c r="I1484" s="901">
        <f>GLOBAL_DER_FEV_2023!I1484</f>
        <v>33.369999999999997</v>
      </c>
      <c r="J1484" s="902">
        <f>GLOBAL_DER_FEV_2023!J1484</f>
        <v>40.07</v>
      </c>
      <c r="K1484" s="903" t="s">
        <v>1516</v>
      </c>
      <c r="L1484" s="1137"/>
      <c r="M1484" s="1138">
        <f t="shared" si="163"/>
        <v>0</v>
      </c>
      <c r="N1484" s="893">
        <f t="shared" si="162"/>
        <v>0</v>
      </c>
      <c r="O1484" s="905"/>
      <c r="Q1484" s="317" t="str">
        <f t="shared" si="159"/>
        <v/>
      </c>
      <c r="R1484" s="317" t="str">
        <f t="shared" si="160"/>
        <v/>
      </c>
      <c r="S1484" s="317" t="str">
        <f t="shared" si="161"/>
        <v/>
      </c>
      <c r="T1484" s="317" t="str">
        <f>GLOBAL_DER_FEV_2023!S1484</f>
        <v/>
      </c>
      <c r="W1484" s="582">
        <v>0</v>
      </c>
      <c r="X1484" s="580"/>
      <c r="Y1484" s="583">
        <f>IF(GLOBAL_DER_FEV_2023!W1484=0,0,IF(GLOBAL_DER_FEV_2023!W1484&gt;0,"c","b"))</f>
        <v>0</v>
      </c>
    </row>
    <row r="1485" spans="1:25" ht="22.5" x14ac:dyDescent="0.2">
      <c r="A1485" s="317">
        <v>101539</v>
      </c>
      <c r="B1485" s="895">
        <v>101539</v>
      </c>
      <c r="C1485" s="896" t="s">
        <v>596</v>
      </c>
      <c r="D1485" s="906" t="s">
        <v>1410</v>
      </c>
      <c r="E1485" s="907">
        <f>GLOBAL_DER_FEV_2023!E1485</f>
        <v>0</v>
      </c>
      <c r="F1485" s="908">
        <f>GLOBAL_DER_FEV_2023!F1485</f>
        <v>0</v>
      </c>
      <c r="G1485" s="912">
        <f>GLOBAL_DER_FEV_2023!G1485</f>
        <v>0</v>
      </c>
      <c r="H1485" s="901">
        <f>GLOBAL_DER_FEV_2023!H1485</f>
        <v>58.76</v>
      </c>
      <c r="I1485" s="901">
        <f>GLOBAL_DER_FEV_2023!I1485</f>
        <v>58.76</v>
      </c>
      <c r="J1485" s="902">
        <f>GLOBAL_DER_FEV_2023!J1485</f>
        <v>70.55</v>
      </c>
      <c r="K1485" s="903" t="s">
        <v>1516</v>
      </c>
      <c r="L1485" s="1137"/>
      <c r="M1485" s="1138">
        <f t="shared" si="163"/>
        <v>0</v>
      </c>
      <c r="N1485" s="893">
        <f t="shared" si="162"/>
        <v>0</v>
      </c>
      <c r="O1485" s="905"/>
      <c r="Q1485" s="317" t="str">
        <f t="shared" si="159"/>
        <v/>
      </c>
      <c r="R1485" s="317" t="str">
        <f t="shared" si="160"/>
        <v/>
      </c>
      <c r="S1485" s="317" t="str">
        <f t="shared" si="161"/>
        <v/>
      </c>
      <c r="T1485" s="317" t="str">
        <f>GLOBAL_DER_FEV_2023!S1485</f>
        <v/>
      </c>
      <c r="W1485" s="582">
        <v>0</v>
      </c>
      <c r="X1485" s="580"/>
      <c r="Y1485" s="583">
        <f>IF(GLOBAL_DER_FEV_2023!W1485=0,0,IF(GLOBAL_DER_FEV_2023!W1485&gt;0,"c","b"))</f>
        <v>0</v>
      </c>
    </row>
    <row r="1486" spans="1:25" ht="22.5" x14ac:dyDescent="0.2">
      <c r="A1486" s="317">
        <v>101540</v>
      </c>
      <c r="B1486" s="895">
        <v>101540</v>
      </c>
      <c r="C1486" s="896" t="s">
        <v>596</v>
      </c>
      <c r="D1486" s="906" t="s">
        <v>1411</v>
      </c>
      <c r="E1486" s="907">
        <f>GLOBAL_DER_FEV_2023!E1486</f>
        <v>0</v>
      </c>
      <c r="F1486" s="908">
        <f>GLOBAL_DER_FEV_2023!F1486</f>
        <v>0</v>
      </c>
      <c r="G1486" s="912">
        <f>GLOBAL_DER_FEV_2023!G1486</f>
        <v>0</v>
      </c>
      <c r="H1486" s="901">
        <f>GLOBAL_DER_FEV_2023!H1486</f>
        <v>95.26</v>
      </c>
      <c r="I1486" s="901">
        <f>GLOBAL_DER_FEV_2023!I1486</f>
        <v>95.26</v>
      </c>
      <c r="J1486" s="902">
        <f>GLOBAL_DER_FEV_2023!J1486</f>
        <v>114.38</v>
      </c>
      <c r="K1486" s="903" t="s">
        <v>1516</v>
      </c>
      <c r="L1486" s="1137"/>
      <c r="M1486" s="1138">
        <f t="shared" si="163"/>
        <v>0</v>
      </c>
      <c r="N1486" s="893">
        <f t="shared" si="162"/>
        <v>0</v>
      </c>
      <c r="O1486" s="905"/>
      <c r="Q1486" s="317" t="str">
        <f t="shared" si="159"/>
        <v/>
      </c>
      <c r="R1486" s="317" t="str">
        <f t="shared" si="160"/>
        <v/>
      </c>
      <c r="S1486" s="317" t="str">
        <f t="shared" si="161"/>
        <v/>
      </c>
      <c r="T1486" s="317" t="str">
        <f>GLOBAL_DER_FEV_2023!S1486</f>
        <v/>
      </c>
      <c r="W1486" s="582">
        <v>0</v>
      </c>
      <c r="X1486" s="580"/>
      <c r="Y1486" s="583">
        <f>IF(GLOBAL_DER_FEV_2023!W1486=0,0,IF(GLOBAL_DER_FEV_2023!W1486&gt;0,"c","b"))</f>
        <v>0</v>
      </c>
    </row>
    <row r="1487" spans="1:25" ht="22.5" x14ac:dyDescent="0.2">
      <c r="A1487" s="317">
        <v>101541</v>
      </c>
      <c r="B1487" s="895">
        <v>101541</v>
      </c>
      <c r="C1487" s="896" t="s">
        <v>596</v>
      </c>
      <c r="D1487" s="906" t="s">
        <v>1412</v>
      </c>
      <c r="E1487" s="907">
        <f>GLOBAL_DER_FEV_2023!E1487</f>
        <v>0</v>
      </c>
      <c r="F1487" s="908">
        <f>GLOBAL_DER_FEV_2023!F1487</f>
        <v>0</v>
      </c>
      <c r="G1487" s="912">
        <f>GLOBAL_DER_FEV_2023!G1487</f>
        <v>0</v>
      </c>
      <c r="H1487" s="901">
        <f>GLOBAL_DER_FEV_2023!H1487</f>
        <v>125.15</v>
      </c>
      <c r="I1487" s="901">
        <f>GLOBAL_DER_FEV_2023!I1487</f>
        <v>125.15</v>
      </c>
      <c r="J1487" s="902">
        <f>GLOBAL_DER_FEV_2023!J1487</f>
        <v>150.27000000000001</v>
      </c>
      <c r="K1487" s="903" t="s">
        <v>1516</v>
      </c>
      <c r="L1487" s="1137"/>
      <c r="M1487" s="1138">
        <f t="shared" si="163"/>
        <v>0</v>
      </c>
      <c r="N1487" s="893">
        <f t="shared" si="162"/>
        <v>0</v>
      </c>
      <c r="O1487" s="905"/>
      <c r="Q1487" s="317" t="str">
        <f t="shared" si="159"/>
        <v/>
      </c>
      <c r="R1487" s="317" t="str">
        <f t="shared" si="160"/>
        <v/>
      </c>
      <c r="S1487" s="317" t="str">
        <f t="shared" si="161"/>
        <v/>
      </c>
      <c r="T1487" s="317" t="str">
        <f>GLOBAL_DER_FEV_2023!S1487</f>
        <v/>
      </c>
      <c r="W1487" s="582">
        <v>0</v>
      </c>
      <c r="X1487" s="580"/>
      <c r="Y1487" s="583">
        <f>IF(GLOBAL_DER_FEV_2023!W1487=0,0,IF(GLOBAL_DER_FEV_2023!W1487&gt;0,"c","b"))</f>
        <v>0</v>
      </c>
    </row>
    <row r="1488" spans="1:25" ht="22.5" x14ac:dyDescent="0.2">
      <c r="A1488" s="317">
        <v>101542</v>
      </c>
      <c r="B1488" s="895">
        <v>101542</v>
      </c>
      <c r="C1488" s="896" t="s">
        <v>596</v>
      </c>
      <c r="D1488" s="906" t="s">
        <v>1413</v>
      </c>
      <c r="E1488" s="907">
        <f>GLOBAL_DER_FEV_2023!E1488</f>
        <v>0</v>
      </c>
      <c r="F1488" s="908">
        <f>GLOBAL_DER_FEV_2023!F1488</f>
        <v>0</v>
      </c>
      <c r="G1488" s="912">
        <f>GLOBAL_DER_FEV_2023!G1488</f>
        <v>0</v>
      </c>
      <c r="H1488" s="901">
        <f>GLOBAL_DER_FEV_2023!H1488</f>
        <v>26.46</v>
      </c>
      <c r="I1488" s="901">
        <f>GLOBAL_DER_FEV_2023!I1488</f>
        <v>26.46</v>
      </c>
      <c r="J1488" s="902">
        <f>GLOBAL_DER_FEV_2023!J1488</f>
        <v>31.77</v>
      </c>
      <c r="K1488" s="903" t="s">
        <v>1516</v>
      </c>
      <c r="L1488" s="1137"/>
      <c r="M1488" s="1138">
        <f t="shared" si="163"/>
        <v>0</v>
      </c>
      <c r="N1488" s="893">
        <f t="shared" si="162"/>
        <v>0</v>
      </c>
      <c r="O1488" s="905"/>
      <c r="Q1488" s="317" t="str">
        <f t="shared" si="159"/>
        <v/>
      </c>
      <c r="R1488" s="317" t="str">
        <f t="shared" si="160"/>
        <v/>
      </c>
      <c r="S1488" s="317" t="str">
        <f t="shared" si="161"/>
        <v/>
      </c>
      <c r="T1488" s="317" t="str">
        <f>GLOBAL_DER_FEV_2023!S1488</f>
        <v/>
      </c>
      <c r="W1488" s="582">
        <v>0</v>
      </c>
      <c r="X1488" s="580"/>
      <c r="Y1488" s="583">
        <f>IF(GLOBAL_DER_FEV_2023!W1488=0,0,IF(GLOBAL_DER_FEV_2023!W1488&gt;0,"c","b"))</f>
        <v>0</v>
      </c>
    </row>
    <row r="1489" spans="1:25" ht="22.5" x14ac:dyDescent="0.2">
      <c r="A1489" s="317">
        <v>101543</v>
      </c>
      <c r="B1489" s="895">
        <v>101543</v>
      </c>
      <c r="C1489" s="896" t="s">
        <v>596</v>
      </c>
      <c r="D1489" s="906" t="s">
        <v>1414</v>
      </c>
      <c r="E1489" s="907">
        <f>GLOBAL_DER_FEV_2023!E1489</f>
        <v>0</v>
      </c>
      <c r="F1489" s="908">
        <f>GLOBAL_DER_FEV_2023!F1489</f>
        <v>0</v>
      </c>
      <c r="G1489" s="912">
        <f>GLOBAL_DER_FEV_2023!G1489</f>
        <v>0</v>
      </c>
      <c r="H1489" s="901">
        <f>GLOBAL_DER_FEV_2023!H1489</f>
        <v>49.08</v>
      </c>
      <c r="I1489" s="901">
        <f>GLOBAL_DER_FEV_2023!I1489</f>
        <v>49.08</v>
      </c>
      <c r="J1489" s="902">
        <f>GLOBAL_DER_FEV_2023!J1489</f>
        <v>58.93</v>
      </c>
      <c r="K1489" s="903" t="s">
        <v>1516</v>
      </c>
      <c r="L1489" s="1137"/>
      <c r="M1489" s="1138">
        <f t="shared" si="163"/>
        <v>0</v>
      </c>
      <c r="N1489" s="893">
        <f t="shared" si="162"/>
        <v>0</v>
      </c>
      <c r="O1489" s="905"/>
      <c r="Q1489" s="317" t="str">
        <f t="shared" ref="Q1489:Q1552" si="164">IF(P1489="X","x",IF(P1489="xx","x",IF(P1489="xy","x",IF(P1489="y","x",IF(OR(N1489&gt;0,N1489&gt;0),"x","")))))</f>
        <v/>
      </c>
      <c r="R1489" s="317" t="str">
        <f t="shared" si="160"/>
        <v/>
      </c>
      <c r="S1489" s="317" t="str">
        <f t="shared" si="161"/>
        <v/>
      </c>
      <c r="T1489" s="317" t="str">
        <f>GLOBAL_DER_FEV_2023!S1489</f>
        <v/>
      </c>
      <c r="W1489" s="582">
        <v>0</v>
      </c>
      <c r="X1489" s="580"/>
      <c r="Y1489" s="583">
        <f>IF(GLOBAL_DER_FEV_2023!W1489=0,0,IF(GLOBAL_DER_FEV_2023!W1489&gt;0,"c","b"))</f>
        <v>0</v>
      </c>
    </row>
    <row r="1490" spans="1:25" ht="22.5" x14ac:dyDescent="0.2">
      <c r="A1490" s="317">
        <v>101544</v>
      </c>
      <c r="B1490" s="895">
        <v>101544</v>
      </c>
      <c r="C1490" s="896" t="s">
        <v>596</v>
      </c>
      <c r="D1490" s="906" t="s">
        <v>1415</v>
      </c>
      <c r="E1490" s="907">
        <f>GLOBAL_DER_FEV_2023!E1490</f>
        <v>0</v>
      </c>
      <c r="F1490" s="908">
        <f>GLOBAL_DER_FEV_2023!F1490</f>
        <v>0</v>
      </c>
      <c r="G1490" s="912">
        <f>GLOBAL_DER_FEV_2023!G1490</f>
        <v>0</v>
      </c>
      <c r="H1490" s="901">
        <f>GLOBAL_DER_FEV_2023!H1490</f>
        <v>76.709999999999994</v>
      </c>
      <c r="I1490" s="901">
        <f>GLOBAL_DER_FEV_2023!I1490</f>
        <v>76.709999999999994</v>
      </c>
      <c r="J1490" s="902">
        <f>GLOBAL_DER_FEV_2023!J1490</f>
        <v>92.11</v>
      </c>
      <c r="K1490" s="903" t="s">
        <v>1516</v>
      </c>
      <c r="L1490" s="1137"/>
      <c r="M1490" s="1138">
        <f t="shared" si="163"/>
        <v>0</v>
      </c>
      <c r="N1490" s="893">
        <f t="shared" si="162"/>
        <v>0</v>
      </c>
      <c r="O1490" s="905"/>
      <c r="Q1490" s="317" t="str">
        <f t="shared" si="164"/>
        <v/>
      </c>
      <c r="R1490" s="317" t="str">
        <f t="shared" si="160"/>
        <v/>
      </c>
      <c r="S1490" s="317" t="str">
        <f t="shared" si="161"/>
        <v/>
      </c>
      <c r="T1490" s="317" t="str">
        <f>GLOBAL_DER_FEV_2023!S1490</f>
        <v/>
      </c>
      <c r="W1490" s="582">
        <v>0</v>
      </c>
      <c r="X1490" s="580"/>
      <c r="Y1490" s="583">
        <f>IF(GLOBAL_DER_FEV_2023!W1490=0,0,IF(GLOBAL_DER_FEV_2023!W1490&gt;0,"c","b"))</f>
        <v>0</v>
      </c>
    </row>
    <row r="1491" spans="1:25" ht="22.5" x14ac:dyDescent="0.2">
      <c r="A1491" s="317">
        <v>101545</v>
      </c>
      <c r="B1491" s="895">
        <v>101545</v>
      </c>
      <c r="C1491" s="896" t="s">
        <v>596</v>
      </c>
      <c r="D1491" s="906" t="s">
        <v>1416</v>
      </c>
      <c r="E1491" s="907">
        <f>GLOBAL_DER_FEV_2023!E1491</f>
        <v>0</v>
      </c>
      <c r="F1491" s="908">
        <f>GLOBAL_DER_FEV_2023!F1491</f>
        <v>0</v>
      </c>
      <c r="G1491" s="912">
        <f>GLOBAL_DER_FEV_2023!G1491</f>
        <v>0</v>
      </c>
      <c r="H1491" s="901">
        <f>GLOBAL_DER_FEV_2023!H1491</f>
        <v>108.1</v>
      </c>
      <c r="I1491" s="901">
        <f>GLOBAL_DER_FEV_2023!I1491</f>
        <v>108.1</v>
      </c>
      <c r="J1491" s="902">
        <f>GLOBAL_DER_FEV_2023!J1491</f>
        <v>129.80000000000001</v>
      </c>
      <c r="K1491" s="903" t="s">
        <v>1516</v>
      </c>
      <c r="L1491" s="1137"/>
      <c r="M1491" s="1138">
        <f t="shared" si="163"/>
        <v>0</v>
      </c>
      <c r="N1491" s="893">
        <f t="shared" si="162"/>
        <v>0</v>
      </c>
      <c r="O1491" s="905"/>
      <c r="Q1491" s="317" t="str">
        <f t="shared" si="164"/>
        <v/>
      </c>
      <c r="R1491" s="317" t="str">
        <f t="shared" ref="R1491:R1554" si="165">IF(P1491="X","x",IF(P1491="y","x",IF(P1491="xx","x",IF(N1491&gt;0,"x",""))))</f>
        <v/>
      </c>
      <c r="S1491" s="317" t="str">
        <f t="shared" ref="S1491:S1554" si="166">IF(P1491="X","x",IF(N1491&gt;0,"x",""))</f>
        <v/>
      </c>
      <c r="T1491" s="317" t="str">
        <f>GLOBAL_DER_FEV_2023!S1491</f>
        <v/>
      </c>
      <c r="W1491" s="582">
        <v>0</v>
      </c>
      <c r="X1491" s="580"/>
      <c r="Y1491" s="583">
        <f>IF(GLOBAL_DER_FEV_2023!W1491=0,0,IF(GLOBAL_DER_FEV_2023!W1491&gt;0,"c","b"))</f>
        <v>0</v>
      </c>
    </row>
    <row r="1492" spans="1:25" ht="22.5" x14ac:dyDescent="0.2">
      <c r="A1492" s="317">
        <v>101546</v>
      </c>
      <c r="B1492" s="895">
        <v>101546</v>
      </c>
      <c r="C1492" s="896" t="s">
        <v>596</v>
      </c>
      <c r="D1492" s="906" t="s">
        <v>1417</v>
      </c>
      <c r="E1492" s="907">
        <f>GLOBAL_DER_FEV_2023!E1492</f>
        <v>0</v>
      </c>
      <c r="F1492" s="908">
        <f>GLOBAL_DER_FEV_2023!F1492</f>
        <v>0</v>
      </c>
      <c r="G1492" s="912">
        <f>GLOBAL_DER_FEV_2023!G1492</f>
        <v>0</v>
      </c>
      <c r="H1492" s="901">
        <f>GLOBAL_DER_FEV_2023!H1492</f>
        <v>28.34</v>
      </c>
      <c r="I1492" s="901">
        <f>GLOBAL_DER_FEV_2023!I1492</f>
        <v>28.34</v>
      </c>
      <c r="J1492" s="902">
        <f>GLOBAL_DER_FEV_2023!J1492</f>
        <v>34.03</v>
      </c>
      <c r="K1492" s="903" t="s">
        <v>1516</v>
      </c>
      <c r="L1492" s="1137"/>
      <c r="M1492" s="1138">
        <f t="shared" si="163"/>
        <v>0</v>
      </c>
      <c r="N1492" s="893">
        <f t="shared" si="162"/>
        <v>0</v>
      </c>
      <c r="O1492" s="905"/>
      <c r="Q1492" s="317" t="str">
        <f t="shared" si="164"/>
        <v/>
      </c>
      <c r="R1492" s="317" t="str">
        <f t="shared" si="165"/>
        <v/>
      </c>
      <c r="S1492" s="317" t="str">
        <f t="shared" si="166"/>
        <v/>
      </c>
      <c r="T1492" s="317" t="str">
        <f>GLOBAL_DER_FEV_2023!S1492</f>
        <v/>
      </c>
      <c r="W1492" s="582">
        <v>0</v>
      </c>
      <c r="X1492" s="580"/>
      <c r="Y1492" s="583">
        <f>IF(GLOBAL_DER_FEV_2023!W1492=0,0,IF(GLOBAL_DER_FEV_2023!W1492&gt;0,"c","b"))</f>
        <v>0</v>
      </c>
    </row>
    <row r="1493" spans="1:25" ht="22.5" x14ac:dyDescent="0.2">
      <c r="A1493" s="317">
        <v>101547</v>
      </c>
      <c r="B1493" s="895">
        <v>101547</v>
      </c>
      <c r="C1493" s="896" t="s">
        <v>596</v>
      </c>
      <c r="D1493" s="906" t="s">
        <v>1418</v>
      </c>
      <c r="E1493" s="907">
        <f>GLOBAL_DER_FEV_2023!E1493</f>
        <v>0</v>
      </c>
      <c r="F1493" s="908">
        <f>GLOBAL_DER_FEV_2023!F1493</f>
        <v>0</v>
      </c>
      <c r="G1493" s="912">
        <f>GLOBAL_DER_FEV_2023!G1493</f>
        <v>0</v>
      </c>
      <c r="H1493" s="901">
        <f>GLOBAL_DER_FEV_2023!H1493</f>
        <v>87.57</v>
      </c>
      <c r="I1493" s="901">
        <f>GLOBAL_DER_FEV_2023!I1493</f>
        <v>87.57</v>
      </c>
      <c r="J1493" s="902">
        <f>GLOBAL_DER_FEV_2023!J1493</f>
        <v>105.15</v>
      </c>
      <c r="K1493" s="903" t="s">
        <v>1516</v>
      </c>
      <c r="L1493" s="1137"/>
      <c r="M1493" s="1138">
        <f t="shared" si="163"/>
        <v>0</v>
      </c>
      <c r="N1493" s="893">
        <f t="shared" si="162"/>
        <v>0</v>
      </c>
      <c r="O1493" s="905"/>
      <c r="Q1493" s="317" t="str">
        <f t="shared" si="164"/>
        <v/>
      </c>
      <c r="R1493" s="317" t="str">
        <f t="shared" si="165"/>
        <v/>
      </c>
      <c r="S1493" s="317" t="str">
        <f t="shared" si="166"/>
        <v/>
      </c>
      <c r="T1493" s="317" t="str">
        <f>GLOBAL_DER_FEV_2023!S1493</f>
        <v/>
      </c>
      <c r="W1493" s="582">
        <v>0</v>
      </c>
      <c r="X1493" s="580"/>
      <c r="Y1493" s="583">
        <f>IF(GLOBAL_DER_FEV_2023!W1493=0,0,IF(GLOBAL_DER_FEV_2023!W1493&gt;0,"c","b"))</f>
        <v>0</v>
      </c>
    </row>
    <row r="1494" spans="1:25" ht="22.5" x14ac:dyDescent="0.2">
      <c r="A1494" s="317">
        <v>101548</v>
      </c>
      <c r="B1494" s="895">
        <v>101548</v>
      </c>
      <c r="C1494" s="896" t="s">
        <v>596</v>
      </c>
      <c r="D1494" s="906" t="s">
        <v>1419</v>
      </c>
      <c r="E1494" s="907">
        <f>GLOBAL_DER_FEV_2023!E1494</f>
        <v>0</v>
      </c>
      <c r="F1494" s="908">
        <f>GLOBAL_DER_FEV_2023!F1494</f>
        <v>0</v>
      </c>
      <c r="G1494" s="912">
        <f>GLOBAL_DER_FEV_2023!G1494</f>
        <v>0</v>
      </c>
      <c r="H1494" s="901">
        <f>GLOBAL_DER_FEV_2023!H1494</f>
        <v>7.45</v>
      </c>
      <c r="I1494" s="901">
        <f>GLOBAL_DER_FEV_2023!I1494</f>
        <v>7.45</v>
      </c>
      <c r="J1494" s="902">
        <f>GLOBAL_DER_FEV_2023!J1494</f>
        <v>8.9499999999999993</v>
      </c>
      <c r="K1494" s="903" t="s">
        <v>1516</v>
      </c>
      <c r="L1494" s="1137"/>
      <c r="M1494" s="1138">
        <f t="shared" si="163"/>
        <v>0</v>
      </c>
      <c r="N1494" s="893">
        <f t="shared" si="162"/>
        <v>0</v>
      </c>
      <c r="O1494" s="905"/>
      <c r="Q1494" s="317" t="str">
        <f t="shared" si="164"/>
        <v/>
      </c>
      <c r="R1494" s="317" t="str">
        <f t="shared" si="165"/>
        <v/>
      </c>
      <c r="S1494" s="317" t="str">
        <f t="shared" si="166"/>
        <v/>
      </c>
      <c r="T1494" s="317" t="str">
        <f>GLOBAL_DER_FEV_2023!S1494</f>
        <v/>
      </c>
      <c r="W1494" s="582">
        <v>0</v>
      </c>
      <c r="X1494" s="580"/>
      <c r="Y1494" s="583">
        <f>IF(GLOBAL_DER_FEV_2023!W1494=0,0,IF(GLOBAL_DER_FEV_2023!W1494&gt;0,"c","b"))</f>
        <v>0</v>
      </c>
    </row>
    <row r="1495" spans="1:25" ht="22.5" x14ac:dyDescent="0.2">
      <c r="A1495" s="317">
        <v>101549</v>
      </c>
      <c r="B1495" s="895">
        <v>101549</v>
      </c>
      <c r="C1495" s="896" t="s">
        <v>596</v>
      </c>
      <c r="D1495" s="906" t="s">
        <v>1420</v>
      </c>
      <c r="E1495" s="907">
        <f>GLOBAL_DER_FEV_2023!E1495</f>
        <v>0</v>
      </c>
      <c r="F1495" s="908">
        <f>GLOBAL_DER_FEV_2023!F1495</f>
        <v>0</v>
      </c>
      <c r="G1495" s="912">
        <f>GLOBAL_DER_FEV_2023!G1495</f>
        <v>0</v>
      </c>
      <c r="H1495" s="901">
        <f>GLOBAL_DER_FEV_2023!H1495</f>
        <v>22.14</v>
      </c>
      <c r="I1495" s="901">
        <f>GLOBAL_DER_FEV_2023!I1495</f>
        <v>22.14</v>
      </c>
      <c r="J1495" s="902">
        <f>GLOBAL_DER_FEV_2023!J1495</f>
        <v>26.58</v>
      </c>
      <c r="K1495" s="903" t="s">
        <v>1516</v>
      </c>
      <c r="L1495" s="1137"/>
      <c r="M1495" s="1138">
        <f t="shared" si="163"/>
        <v>0</v>
      </c>
      <c r="N1495" s="893">
        <f t="shared" ref="N1495:N1558" si="167">IF(ISBLANK(L1495),0,IF(W1495=0,ROUND(L1495*M1495,2),IF(W1495="b",ROUNDDOWN(L1495*M1495,2),ROUNDUP(L1495*M1495,2))))</f>
        <v>0</v>
      </c>
      <c r="O1495" s="905"/>
      <c r="Q1495" s="317" t="str">
        <f t="shared" si="164"/>
        <v/>
      </c>
      <c r="R1495" s="317" t="str">
        <f t="shared" si="165"/>
        <v/>
      </c>
      <c r="S1495" s="317" t="str">
        <f t="shared" si="166"/>
        <v/>
      </c>
      <c r="T1495" s="317" t="str">
        <f>GLOBAL_DER_FEV_2023!S1495</f>
        <v/>
      </c>
      <c r="W1495" s="582">
        <v>0</v>
      </c>
      <c r="X1495" s="580"/>
      <c r="Y1495" s="583">
        <f>IF(GLOBAL_DER_FEV_2023!W1495=0,0,IF(GLOBAL_DER_FEV_2023!W1495&gt;0,"c","b"))</f>
        <v>0</v>
      </c>
    </row>
    <row r="1496" spans="1:25" ht="22.5" x14ac:dyDescent="0.2">
      <c r="A1496" s="317">
        <v>101553</v>
      </c>
      <c r="B1496" s="895">
        <v>101553</v>
      </c>
      <c r="C1496" s="896" t="s">
        <v>596</v>
      </c>
      <c r="D1496" s="906" t="s">
        <v>1421</v>
      </c>
      <c r="E1496" s="907">
        <f>GLOBAL_DER_FEV_2023!E1496</f>
        <v>0</v>
      </c>
      <c r="F1496" s="908">
        <f>GLOBAL_DER_FEV_2023!F1496</f>
        <v>0</v>
      </c>
      <c r="G1496" s="912">
        <f>GLOBAL_DER_FEV_2023!G1496</f>
        <v>0</v>
      </c>
      <c r="H1496" s="901">
        <f>GLOBAL_DER_FEV_2023!H1496</f>
        <v>11.35</v>
      </c>
      <c r="I1496" s="901">
        <f>GLOBAL_DER_FEV_2023!I1496</f>
        <v>11.35</v>
      </c>
      <c r="J1496" s="902">
        <f>GLOBAL_DER_FEV_2023!J1496</f>
        <v>13.63</v>
      </c>
      <c r="K1496" s="903" t="s">
        <v>1516</v>
      </c>
      <c r="L1496" s="1137"/>
      <c r="M1496" s="1138">
        <f t="shared" si="163"/>
        <v>0</v>
      </c>
      <c r="N1496" s="893">
        <f t="shared" si="167"/>
        <v>0</v>
      </c>
      <c r="O1496" s="905"/>
      <c r="Q1496" s="317" t="str">
        <f t="shared" si="164"/>
        <v/>
      </c>
      <c r="R1496" s="317" t="str">
        <f t="shared" si="165"/>
        <v/>
      </c>
      <c r="S1496" s="317" t="str">
        <f t="shared" si="166"/>
        <v/>
      </c>
      <c r="T1496" s="317" t="str">
        <f>GLOBAL_DER_FEV_2023!S1496</f>
        <v/>
      </c>
      <c r="W1496" s="582">
        <v>0</v>
      </c>
      <c r="X1496" s="580"/>
      <c r="Y1496" s="583">
        <f>IF(GLOBAL_DER_FEV_2023!W1496=0,0,IF(GLOBAL_DER_FEV_2023!W1496&gt;0,"c","b"))</f>
        <v>0</v>
      </c>
    </row>
    <row r="1497" spans="1:25" ht="22.5" x14ac:dyDescent="0.2">
      <c r="A1497" s="317">
        <v>101554</v>
      </c>
      <c r="B1497" s="895">
        <v>101554</v>
      </c>
      <c r="C1497" s="896" t="s">
        <v>596</v>
      </c>
      <c r="D1497" s="906" t="s">
        <v>1422</v>
      </c>
      <c r="E1497" s="907">
        <f>GLOBAL_DER_FEV_2023!E1497</f>
        <v>0</v>
      </c>
      <c r="F1497" s="908">
        <f>GLOBAL_DER_FEV_2023!F1497</f>
        <v>0</v>
      </c>
      <c r="G1497" s="912">
        <f>GLOBAL_DER_FEV_2023!G1497</f>
        <v>0</v>
      </c>
      <c r="H1497" s="901">
        <f>GLOBAL_DER_FEV_2023!H1497</f>
        <v>9.09</v>
      </c>
      <c r="I1497" s="901">
        <f>GLOBAL_DER_FEV_2023!I1497</f>
        <v>9.09</v>
      </c>
      <c r="J1497" s="902">
        <f>GLOBAL_DER_FEV_2023!J1497</f>
        <v>10.91</v>
      </c>
      <c r="K1497" s="903" t="s">
        <v>1516</v>
      </c>
      <c r="L1497" s="1137"/>
      <c r="M1497" s="1138">
        <f t="shared" si="163"/>
        <v>0</v>
      </c>
      <c r="N1497" s="893">
        <f t="shared" si="167"/>
        <v>0</v>
      </c>
      <c r="O1497" s="905"/>
      <c r="Q1497" s="317" t="str">
        <f t="shared" si="164"/>
        <v/>
      </c>
      <c r="R1497" s="317" t="str">
        <f t="shared" si="165"/>
        <v/>
      </c>
      <c r="S1497" s="317" t="str">
        <f t="shared" si="166"/>
        <v/>
      </c>
      <c r="T1497" s="317" t="str">
        <f>GLOBAL_DER_FEV_2023!S1497</f>
        <v/>
      </c>
      <c r="W1497" s="582">
        <v>0</v>
      </c>
      <c r="X1497" s="580"/>
      <c r="Y1497" s="583">
        <f>IF(GLOBAL_DER_FEV_2023!W1497=0,0,IF(GLOBAL_DER_FEV_2023!W1497&gt;0,"c","b"))</f>
        <v>0</v>
      </c>
    </row>
    <row r="1498" spans="1:25" ht="22.5" x14ac:dyDescent="0.2">
      <c r="A1498" s="317">
        <v>101555</v>
      </c>
      <c r="B1498" s="895">
        <v>101555</v>
      </c>
      <c r="C1498" s="896" t="s">
        <v>596</v>
      </c>
      <c r="D1498" s="906" t="s">
        <v>1423</v>
      </c>
      <c r="E1498" s="907">
        <f>GLOBAL_DER_FEV_2023!E1498</f>
        <v>0</v>
      </c>
      <c r="F1498" s="908">
        <f>GLOBAL_DER_FEV_2023!F1498</f>
        <v>0</v>
      </c>
      <c r="G1498" s="912">
        <f>GLOBAL_DER_FEV_2023!G1498</f>
        <v>0</v>
      </c>
      <c r="H1498" s="901">
        <f>GLOBAL_DER_FEV_2023!H1498</f>
        <v>7.02</v>
      </c>
      <c r="I1498" s="901">
        <f>GLOBAL_DER_FEV_2023!I1498</f>
        <v>7.02</v>
      </c>
      <c r="J1498" s="902">
        <f>GLOBAL_DER_FEV_2023!J1498</f>
        <v>8.43</v>
      </c>
      <c r="K1498" s="903" t="s">
        <v>1516</v>
      </c>
      <c r="L1498" s="1137"/>
      <c r="M1498" s="1138">
        <f t="shared" si="163"/>
        <v>0</v>
      </c>
      <c r="N1498" s="893">
        <f t="shared" si="167"/>
        <v>0</v>
      </c>
      <c r="O1498" s="905"/>
      <c r="Q1498" s="317" t="str">
        <f t="shared" si="164"/>
        <v/>
      </c>
      <c r="R1498" s="317" t="str">
        <f t="shared" si="165"/>
        <v/>
      </c>
      <c r="S1498" s="317" t="str">
        <f t="shared" si="166"/>
        <v/>
      </c>
      <c r="T1498" s="317" t="str">
        <f>GLOBAL_DER_FEV_2023!S1498</f>
        <v/>
      </c>
      <c r="W1498" s="582">
        <v>0</v>
      </c>
      <c r="X1498" s="580"/>
      <c r="Y1498" s="583">
        <f>IF(GLOBAL_DER_FEV_2023!W1498=0,0,IF(GLOBAL_DER_FEV_2023!W1498&gt;0,"c","b"))</f>
        <v>0</v>
      </c>
    </row>
    <row r="1499" spans="1:25" ht="22.5" x14ac:dyDescent="0.2">
      <c r="A1499" s="317">
        <v>101556</v>
      </c>
      <c r="B1499" s="895">
        <v>101556</v>
      </c>
      <c r="C1499" s="896" t="s">
        <v>596</v>
      </c>
      <c r="D1499" s="906" t="s">
        <v>1424</v>
      </c>
      <c r="E1499" s="907">
        <f>GLOBAL_DER_FEV_2023!E1499</f>
        <v>0</v>
      </c>
      <c r="F1499" s="908">
        <f>GLOBAL_DER_FEV_2023!F1499</f>
        <v>0</v>
      </c>
      <c r="G1499" s="912">
        <f>GLOBAL_DER_FEV_2023!G1499</f>
        <v>0</v>
      </c>
      <c r="H1499" s="901">
        <f>GLOBAL_DER_FEV_2023!H1499</f>
        <v>6.69</v>
      </c>
      <c r="I1499" s="901">
        <f>GLOBAL_DER_FEV_2023!I1499</f>
        <v>6.69</v>
      </c>
      <c r="J1499" s="902">
        <f>GLOBAL_DER_FEV_2023!J1499</f>
        <v>8.0299999999999994</v>
      </c>
      <c r="K1499" s="903" t="s">
        <v>1516</v>
      </c>
      <c r="L1499" s="1137"/>
      <c r="M1499" s="1138">
        <f t="shared" si="163"/>
        <v>0</v>
      </c>
      <c r="N1499" s="893">
        <f t="shared" si="167"/>
        <v>0</v>
      </c>
      <c r="O1499" s="905"/>
      <c r="Q1499" s="317" t="str">
        <f t="shared" si="164"/>
        <v/>
      </c>
      <c r="R1499" s="317" t="str">
        <f t="shared" si="165"/>
        <v/>
      </c>
      <c r="S1499" s="317" t="str">
        <f t="shared" si="166"/>
        <v/>
      </c>
      <c r="T1499" s="317" t="str">
        <f>GLOBAL_DER_FEV_2023!S1499</f>
        <v/>
      </c>
      <c r="W1499" s="582">
        <v>0</v>
      </c>
      <c r="X1499" s="580"/>
      <c r="Y1499" s="583">
        <f>IF(GLOBAL_DER_FEV_2023!W1499=0,0,IF(GLOBAL_DER_FEV_2023!W1499&gt;0,"c","b"))</f>
        <v>0</v>
      </c>
    </row>
    <row r="1500" spans="1:25" ht="22.5" x14ac:dyDescent="0.2">
      <c r="A1500" s="317">
        <v>101626</v>
      </c>
      <c r="B1500" s="895">
        <v>101626</v>
      </c>
      <c r="C1500" s="896" t="s">
        <v>596</v>
      </c>
      <c r="D1500" s="906" t="s">
        <v>1425</v>
      </c>
      <c r="E1500" s="907">
        <f>GLOBAL_DER_FEV_2023!E1500</f>
        <v>0</v>
      </c>
      <c r="F1500" s="908">
        <f>GLOBAL_DER_FEV_2023!F1500</f>
        <v>0</v>
      </c>
      <c r="G1500" s="912">
        <f>GLOBAL_DER_FEV_2023!G1500</f>
        <v>0</v>
      </c>
      <c r="H1500" s="901">
        <f>GLOBAL_DER_FEV_2023!H1500</f>
        <v>195.03</v>
      </c>
      <c r="I1500" s="901">
        <f>GLOBAL_DER_FEV_2023!I1500</f>
        <v>195.03</v>
      </c>
      <c r="J1500" s="902">
        <f>GLOBAL_DER_FEV_2023!J1500</f>
        <v>234.17</v>
      </c>
      <c r="K1500" s="903" t="s">
        <v>1516</v>
      </c>
      <c r="L1500" s="1137"/>
      <c r="M1500" s="1138">
        <f t="shared" si="163"/>
        <v>0</v>
      </c>
      <c r="N1500" s="893">
        <f t="shared" si="167"/>
        <v>0</v>
      </c>
      <c r="O1500" s="905"/>
      <c r="Q1500" s="317" t="str">
        <f t="shared" si="164"/>
        <v/>
      </c>
      <c r="R1500" s="317" t="str">
        <f t="shared" si="165"/>
        <v/>
      </c>
      <c r="S1500" s="317" t="str">
        <f t="shared" si="166"/>
        <v/>
      </c>
      <c r="T1500" s="317" t="str">
        <f>GLOBAL_DER_FEV_2023!S1500</f>
        <v/>
      </c>
      <c r="W1500" s="582">
        <v>0</v>
      </c>
      <c r="X1500" s="580"/>
      <c r="Y1500" s="583">
        <f>IF(GLOBAL_DER_FEV_2023!W1500=0,0,IF(GLOBAL_DER_FEV_2023!W1500&gt;0,"c","b"))</f>
        <v>0</v>
      </c>
    </row>
    <row r="1501" spans="1:25" ht="22.5" x14ac:dyDescent="0.2">
      <c r="A1501" s="317">
        <v>101627</v>
      </c>
      <c r="B1501" s="895">
        <v>101627</v>
      </c>
      <c r="C1501" s="896" t="s">
        <v>596</v>
      </c>
      <c r="D1501" s="906" t="s">
        <v>1426</v>
      </c>
      <c r="E1501" s="907">
        <f>GLOBAL_DER_FEV_2023!E1501</f>
        <v>0</v>
      </c>
      <c r="F1501" s="908">
        <f>GLOBAL_DER_FEV_2023!F1501</f>
        <v>0</v>
      </c>
      <c r="G1501" s="912">
        <f>GLOBAL_DER_FEV_2023!G1501</f>
        <v>0</v>
      </c>
      <c r="H1501" s="901">
        <f>GLOBAL_DER_FEV_2023!H1501</f>
        <v>302.79000000000002</v>
      </c>
      <c r="I1501" s="901">
        <f>GLOBAL_DER_FEV_2023!I1501</f>
        <v>302.79000000000002</v>
      </c>
      <c r="J1501" s="902">
        <f>GLOBAL_DER_FEV_2023!J1501</f>
        <v>363.56</v>
      </c>
      <c r="K1501" s="903" t="s">
        <v>1516</v>
      </c>
      <c r="L1501" s="1137"/>
      <c r="M1501" s="1138">
        <f t="shared" si="163"/>
        <v>0</v>
      </c>
      <c r="N1501" s="893">
        <f t="shared" si="167"/>
        <v>0</v>
      </c>
      <c r="O1501" s="905"/>
      <c r="Q1501" s="317" t="str">
        <f t="shared" si="164"/>
        <v/>
      </c>
      <c r="R1501" s="317" t="str">
        <f t="shared" si="165"/>
        <v/>
      </c>
      <c r="S1501" s="317" t="str">
        <f t="shared" si="166"/>
        <v/>
      </c>
      <c r="T1501" s="317" t="str">
        <f>GLOBAL_DER_FEV_2023!S1501</f>
        <v/>
      </c>
      <c r="W1501" s="582">
        <v>0</v>
      </c>
      <c r="X1501" s="580"/>
      <c r="Y1501" s="583">
        <f>IF(GLOBAL_DER_FEV_2023!W1501=0,0,IF(GLOBAL_DER_FEV_2023!W1501&gt;0,"c","b"))</f>
        <v>0</v>
      </c>
    </row>
    <row r="1502" spans="1:25" ht="22.5" x14ac:dyDescent="0.2">
      <c r="A1502" s="317">
        <v>101628</v>
      </c>
      <c r="B1502" s="895">
        <v>101628</v>
      </c>
      <c r="C1502" s="896" t="s">
        <v>596</v>
      </c>
      <c r="D1502" s="906" t="s">
        <v>1427</v>
      </c>
      <c r="E1502" s="907">
        <f>GLOBAL_DER_FEV_2023!E1502</f>
        <v>0</v>
      </c>
      <c r="F1502" s="908">
        <f>GLOBAL_DER_FEV_2023!F1502</f>
        <v>0</v>
      </c>
      <c r="G1502" s="912">
        <f>GLOBAL_DER_FEV_2023!G1502</f>
        <v>0</v>
      </c>
      <c r="H1502" s="901">
        <f>GLOBAL_DER_FEV_2023!H1502</f>
        <v>145.18</v>
      </c>
      <c r="I1502" s="901">
        <f>GLOBAL_DER_FEV_2023!I1502</f>
        <v>145.18</v>
      </c>
      <c r="J1502" s="902">
        <f>GLOBAL_DER_FEV_2023!J1502</f>
        <v>174.32</v>
      </c>
      <c r="K1502" s="903" t="s">
        <v>1516</v>
      </c>
      <c r="L1502" s="1137"/>
      <c r="M1502" s="1138">
        <f t="shared" si="163"/>
        <v>0</v>
      </c>
      <c r="N1502" s="893">
        <f t="shared" si="167"/>
        <v>0</v>
      </c>
      <c r="O1502" s="905"/>
      <c r="Q1502" s="317" t="str">
        <f t="shared" si="164"/>
        <v/>
      </c>
      <c r="R1502" s="317" t="str">
        <f t="shared" si="165"/>
        <v/>
      </c>
      <c r="S1502" s="317" t="str">
        <f t="shared" si="166"/>
        <v/>
      </c>
      <c r="T1502" s="317" t="str">
        <f>GLOBAL_DER_FEV_2023!S1502</f>
        <v/>
      </c>
      <c r="W1502" s="582">
        <v>0</v>
      </c>
      <c r="X1502" s="580"/>
      <c r="Y1502" s="583">
        <f>IF(GLOBAL_DER_FEV_2023!W1502=0,0,IF(GLOBAL_DER_FEV_2023!W1502&gt;0,"c","b"))</f>
        <v>0</v>
      </c>
    </row>
    <row r="1503" spans="1:25" ht="22.5" x14ac:dyDescent="0.2">
      <c r="A1503" s="317">
        <v>101629</v>
      </c>
      <c r="B1503" s="895">
        <v>101629</v>
      </c>
      <c r="C1503" s="896" t="s">
        <v>596</v>
      </c>
      <c r="D1503" s="906" t="s">
        <v>1428</v>
      </c>
      <c r="E1503" s="907">
        <f>GLOBAL_DER_FEV_2023!E1503</f>
        <v>0</v>
      </c>
      <c r="F1503" s="908">
        <f>GLOBAL_DER_FEV_2023!F1503</f>
        <v>0</v>
      </c>
      <c r="G1503" s="912">
        <f>GLOBAL_DER_FEV_2023!G1503</f>
        <v>0</v>
      </c>
      <c r="H1503" s="901">
        <f>GLOBAL_DER_FEV_2023!H1503</f>
        <v>170.85</v>
      </c>
      <c r="I1503" s="901">
        <f>GLOBAL_DER_FEV_2023!I1503</f>
        <v>170.85</v>
      </c>
      <c r="J1503" s="902">
        <f>GLOBAL_DER_FEV_2023!J1503</f>
        <v>205.14</v>
      </c>
      <c r="K1503" s="903" t="s">
        <v>1516</v>
      </c>
      <c r="L1503" s="1137"/>
      <c r="M1503" s="1138">
        <f t="shared" si="163"/>
        <v>0</v>
      </c>
      <c r="N1503" s="893">
        <f t="shared" si="167"/>
        <v>0</v>
      </c>
      <c r="O1503" s="905"/>
      <c r="Q1503" s="317" t="str">
        <f t="shared" si="164"/>
        <v/>
      </c>
      <c r="R1503" s="317" t="str">
        <f t="shared" si="165"/>
        <v/>
      </c>
      <c r="S1503" s="317" t="str">
        <f t="shared" si="166"/>
        <v/>
      </c>
      <c r="T1503" s="317" t="str">
        <f>GLOBAL_DER_FEV_2023!S1503</f>
        <v/>
      </c>
      <c r="W1503" s="582">
        <v>0</v>
      </c>
      <c r="X1503" s="580"/>
      <c r="Y1503" s="583">
        <f>IF(GLOBAL_DER_FEV_2023!W1503=0,0,IF(GLOBAL_DER_FEV_2023!W1503&gt;0,"c","b"))</f>
        <v>0</v>
      </c>
    </row>
    <row r="1504" spans="1:25" ht="22.5" x14ac:dyDescent="0.2">
      <c r="A1504" s="317">
        <v>100921</v>
      </c>
      <c r="B1504" s="895">
        <v>100921</v>
      </c>
      <c r="C1504" s="896" t="s">
        <v>596</v>
      </c>
      <c r="D1504" s="906" t="s">
        <v>1429</v>
      </c>
      <c r="E1504" s="907">
        <f>GLOBAL_DER_FEV_2023!E1504</f>
        <v>0</v>
      </c>
      <c r="F1504" s="908">
        <f>GLOBAL_DER_FEV_2023!F1504</f>
        <v>0</v>
      </c>
      <c r="G1504" s="912">
        <f>GLOBAL_DER_FEV_2023!G1504</f>
        <v>0</v>
      </c>
      <c r="H1504" s="901">
        <f>GLOBAL_DER_FEV_2023!H1504</f>
        <v>76.739999999999995</v>
      </c>
      <c r="I1504" s="901">
        <f>GLOBAL_DER_FEV_2023!I1504</f>
        <v>76.739999999999995</v>
      </c>
      <c r="J1504" s="902">
        <f>GLOBAL_DER_FEV_2023!J1504</f>
        <v>92.14</v>
      </c>
      <c r="K1504" s="903" t="s">
        <v>1516</v>
      </c>
      <c r="L1504" s="1137"/>
      <c r="M1504" s="1138">
        <f t="shared" si="163"/>
        <v>0</v>
      </c>
      <c r="N1504" s="893">
        <f t="shared" si="167"/>
        <v>0</v>
      </c>
      <c r="O1504" s="905"/>
      <c r="Q1504" s="317" t="str">
        <f t="shared" si="164"/>
        <v/>
      </c>
      <c r="R1504" s="317" t="str">
        <f t="shared" si="165"/>
        <v/>
      </c>
      <c r="S1504" s="317" t="str">
        <f t="shared" si="166"/>
        <v/>
      </c>
      <c r="T1504" s="317" t="str">
        <f>GLOBAL_DER_FEV_2023!S1504</f>
        <v/>
      </c>
      <c r="W1504" s="582">
        <v>0</v>
      </c>
      <c r="X1504" s="580"/>
      <c r="Y1504" s="583">
        <f>IF(GLOBAL_DER_FEV_2023!W1504=0,0,IF(GLOBAL_DER_FEV_2023!W1504&gt;0,"c","b"))</f>
        <v>0</v>
      </c>
    </row>
    <row r="1505" spans="1:25" ht="22.5" x14ac:dyDescent="0.2">
      <c r="A1505" s="317">
        <v>100922</v>
      </c>
      <c r="B1505" s="895">
        <v>100922</v>
      </c>
      <c r="C1505" s="896" t="s">
        <v>596</v>
      </c>
      <c r="D1505" s="906" t="s">
        <v>1430</v>
      </c>
      <c r="E1505" s="907">
        <f>GLOBAL_DER_FEV_2023!E1505</f>
        <v>0</v>
      </c>
      <c r="F1505" s="908">
        <f>GLOBAL_DER_FEV_2023!F1505</f>
        <v>0</v>
      </c>
      <c r="G1505" s="912">
        <f>GLOBAL_DER_FEV_2023!G1505</f>
        <v>0</v>
      </c>
      <c r="H1505" s="901">
        <f>GLOBAL_DER_FEV_2023!H1505</f>
        <v>55.07</v>
      </c>
      <c r="I1505" s="901">
        <f>GLOBAL_DER_FEV_2023!I1505</f>
        <v>55.07</v>
      </c>
      <c r="J1505" s="902">
        <f>GLOBAL_DER_FEV_2023!J1505</f>
        <v>66.12</v>
      </c>
      <c r="K1505" s="903" t="s">
        <v>1516</v>
      </c>
      <c r="L1505" s="1137"/>
      <c r="M1505" s="1138">
        <f t="shared" si="163"/>
        <v>0</v>
      </c>
      <c r="N1505" s="893">
        <f t="shared" si="167"/>
        <v>0</v>
      </c>
      <c r="O1505" s="905"/>
      <c r="Q1505" s="317" t="str">
        <f t="shared" si="164"/>
        <v/>
      </c>
      <c r="R1505" s="317" t="str">
        <f t="shared" si="165"/>
        <v/>
      </c>
      <c r="S1505" s="317" t="str">
        <f t="shared" si="166"/>
        <v/>
      </c>
      <c r="T1505" s="317" t="str">
        <f>GLOBAL_DER_FEV_2023!S1505</f>
        <v/>
      </c>
      <c r="W1505" s="582">
        <v>0</v>
      </c>
      <c r="X1505" s="580"/>
      <c r="Y1505" s="583">
        <f>IF(GLOBAL_DER_FEV_2023!W1505=0,0,IF(GLOBAL_DER_FEV_2023!W1505&gt;0,"c","b"))</f>
        <v>0</v>
      </c>
    </row>
    <row r="1506" spans="1:25" ht="22.5" x14ac:dyDescent="0.2">
      <c r="A1506" s="317">
        <v>100923</v>
      </c>
      <c r="B1506" s="895">
        <v>100923</v>
      </c>
      <c r="C1506" s="896" t="s">
        <v>596</v>
      </c>
      <c r="D1506" s="906" t="s">
        <v>1431</v>
      </c>
      <c r="E1506" s="907">
        <f>GLOBAL_DER_FEV_2023!E1506</f>
        <v>0</v>
      </c>
      <c r="F1506" s="908">
        <f>GLOBAL_DER_FEV_2023!F1506</f>
        <v>0</v>
      </c>
      <c r="G1506" s="912">
        <f>GLOBAL_DER_FEV_2023!G1506</f>
        <v>0</v>
      </c>
      <c r="H1506" s="901">
        <f>GLOBAL_DER_FEV_2023!H1506</f>
        <v>63.57</v>
      </c>
      <c r="I1506" s="901">
        <f>GLOBAL_DER_FEV_2023!I1506</f>
        <v>63.57</v>
      </c>
      <c r="J1506" s="902">
        <f>GLOBAL_DER_FEV_2023!J1506</f>
        <v>76.33</v>
      </c>
      <c r="K1506" s="903" t="s">
        <v>1516</v>
      </c>
      <c r="L1506" s="1137"/>
      <c r="M1506" s="1138">
        <f t="shared" si="163"/>
        <v>0</v>
      </c>
      <c r="N1506" s="893">
        <f t="shared" si="167"/>
        <v>0</v>
      </c>
      <c r="O1506" s="905"/>
      <c r="Q1506" s="317" t="str">
        <f t="shared" si="164"/>
        <v/>
      </c>
      <c r="R1506" s="317" t="str">
        <f t="shared" si="165"/>
        <v/>
      </c>
      <c r="S1506" s="317" t="str">
        <f t="shared" si="166"/>
        <v/>
      </c>
      <c r="T1506" s="317" t="str">
        <f>GLOBAL_DER_FEV_2023!S1506</f>
        <v/>
      </c>
      <c r="W1506" s="582">
        <v>0</v>
      </c>
      <c r="X1506" s="580"/>
      <c r="Y1506" s="583">
        <f>IF(GLOBAL_DER_FEV_2023!W1506=0,0,IF(GLOBAL_DER_FEV_2023!W1506&gt;0,"c","b"))</f>
        <v>0</v>
      </c>
    </row>
    <row r="1507" spans="1:25" ht="33.75" x14ac:dyDescent="0.2">
      <c r="A1507" s="317">
        <v>101661</v>
      </c>
      <c r="B1507" s="895">
        <v>101661</v>
      </c>
      <c r="C1507" s="896" t="s">
        <v>596</v>
      </c>
      <c r="D1507" s="906" t="s">
        <v>1432</v>
      </c>
      <c r="E1507" s="907">
        <f>GLOBAL_DER_FEV_2023!E1507</f>
        <v>0</v>
      </c>
      <c r="F1507" s="908">
        <f>GLOBAL_DER_FEV_2023!F1507</f>
        <v>0</v>
      </c>
      <c r="G1507" s="912">
        <f>GLOBAL_DER_FEV_2023!G1507</f>
        <v>0</v>
      </c>
      <c r="H1507" s="901">
        <f>GLOBAL_DER_FEV_2023!H1507</f>
        <v>126.97</v>
      </c>
      <c r="I1507" s="901">
        <f>GLOBAL_DER_FEV_2023!I1507</f>
        <v>126.97</v>
      </c>
      <c r="J1507" s="902">
        <f>GLOBAL_DER_FEV_2023!J1507</f>
        <v>152.44999999999999</v>
      </c>
      <c r="K1507" s="903" t="s">
        <v>1516</v>
      </c>
      <c r="L1507" s="1137"/>
      <c r="M1507" s="1138">
        <f t="shared" si="163"/>
        <v>0</v>
      </c>
      <c r="N1507" s="893">
        <f t="shared" si="167"/>
        <v>0</v>
      </c>
      <c r="O1507" s="905"/>
      <c r="Q1507" s="317" t="str">
        <f t="shared" si="164"/>
        <v/>
      </c>
      <c r="R1507" s="317" t="str">
        <f t="shared" si="165"/>
        <v/>
      </c>
      <c r="S1507" s="317" t="str">
        <f t="shared" si="166"/>
        <v/>
      </c>
      <c r="T1507" s="317" t="str">
        <f>GLOBAL_DER_FEV_2023!S1507</f>
        <v/>
      </c>
      <c r="W1507" s="582">
        <v>0</v>
      </c>
      <c r="X1507" s="580"/>
      <c r="Y1507" s="583">
        <f>IF(GLOBAL_DER_FEV_2023!W1507=0,0,IF(GLOBAL_DER_FEV_2023!W1507&gt;0,"c","b"))</f>
        <v>0</v>
      </c>
    </row>
    <row r="1508" spans="1:25" ht="22.5" x14ac:dyDescent="0.2">
      <c r="A1508" s="317">
        <v>101651</v>
      </c>
      <c r="B1508" s="895">
        <v>101651</v>
      </c>
      <c r="C1508" s="896" t="s">
        <v>596</v>
      </c>
      <c r="D1508" s="906" t="s">
        <v>1433</v>
      </c>
      <c r="E1508" s="907">
        <f>GLOBAL_DER_FEV_2023!E1508</f>
        <v>0</v>
      </c>
      <c r="F1508" s="908">
        <f>GLOBAL_DER_FEV_2023!F1508</f>
        <v>0</v>
      </c>
      <c r="G1508" s="912">
        <f>GLOBAL_DER_FEV_2023!G1508</f>
        <v>0</v>
      </c>
      <c r="H1508" s="901">
        <f>GLOBAL_DER_FEV_2023!H1508</f>
        <v>67.55</v>
      </c>
      <c r="I1508" s="901">
        <f>GLOBAL_DER_FEV_2023!I1508</f>
        <v>67.55</v>
      </c>
      <c r="J1508" s="902">
        <f>GLOBAL_DER_FEV_2023!J1508</f>
        <v>81.11</v>
      </c>
      <c r="K1508" s="903" t="s">
        <v>1516</v>
      </c>
      <c r="L1508" s="1137"/>
      <c r="M1508" s="1138">
        <f t="shared" si="163"/>
        <v>0</v>
      </c>
      <c r="N1508" s="893">
        <f t="shared" si="167"/>
        <v>0</v>
      </c>
      <c r="O1508" s="905"/>
      <c r="Q1508" s="317" t="str">
        <f t="shared" si="164"/>
        <v/>
      </c>
      <c r="R1508" s="317" t="str">
        <f t="shared" si="165"/>
        <v/>
      </c>
      <c r="S1508" s="317" t="str">
        <f t="shared" si="166"/>
        <v/>
      </c>
      <c r="T1508" s="317" t="str">
        <f>GLOBAL_DER_FEV_2023!S1508</f>
        <v/>
      </c>
      <c r="W1508" s="582">
        <v>0</v>
      </c>
      <c r="X1508" s="580"/>
      <c r="Y1508" s="583">
        <f>IF(GLOBAL_DER_FEV_2023!W1508=0,0,IF(GLOBAL_DER_FEV_2023!W1508&gt;0,"c","b"))</f>
        <v>0</v>
      </c>
    </row>
    <row r="1509" spans="1:25" ht="22.5" x14ac:dyDescent="0.2">
      <c r="A1509" s="317">
        <v>101630</v>
      </c>
      <c r="B1509" s="895">
        <v>101630</v>
      </c>
      <c r="C1509" s="896" t="s">
        <v>596</v>
      </c>
      <c r="D1509" s="906" t="s">
        <v>1434</v>
      </c>
      <c r="E1509" s="907">
        <f>GLOBAL_DER_FEV_2023!E1509</f>
        <v>0</v>
      </c>
      <c r="F1509" s="908">
        <f>GLOBAL_DER_FEV_2023!F1509</f>
        <v>0</v>
      </c>
      <c r="G1509" s="912">
        <f>GLOBAL_DER_FEV_2023!G1509</f>
        <v>0</v>
      </c>
      <c r="H1509" s="901">
        <f>GLOBAL_DER_FEV_2023!H1509</f>
        <v>80.7</v>
      </c>
      <c r="I1509" s="901">
        <f>GLOBAL_DER_FEV_2023!I1509</f>
        <v>80.7</v>
      </c>
      <c r="J1509" s="902">
        <f>GLOBAL_DER_FEV_2023!J1509</f>
        <v>96.9</v>
      </c>
      <c r="K1509" s="903" t="s">
        <v>1516</v>
      </c>
      <c r="L1509" s="1137"/>
      <c r="M1509" s="1138">
        <f t="shared" si="163"/>
        <v>0</v>
      </c>
      <c r="N1509" s="893">
        <f t="shared" si="167"/>
        <v>0</v>
      </c>
      <c r="O1509" s="905"/>
      <c r="Q1509" s="317" t="str">
        <f t="shared" si="164"/>
        <v/>
      </c>
      <c r="R1509" s="317" t="str">
        <f t="shared" si="165"/>
        <v/>
      </c>
      <c r="S1509" s="317" t="str">
        <f t="shared" si="166"/>
        <v/>
      </c>
      <c r="T1509" s="317" t="str">
        <f>GLOBAL_DER_FEV_2023!S1509</f>
        <v/>
      </c>
      <c r="W1509" s="582">
        <v>0</v>
      </c>
      <c r="X1509" s="580"/>
      <c r="Y1509" s="583">
        <f>IF(GLOBAL_DER_FEV_2023!W1509=0,0,IF(GLOBAL_DER_FEV_2023!W1509&gt;0,"c","b"))</f>
        <v>0</v>
      </c>
    </row>
    <row r="1510" spans="1:25" ht="22.5" x14ac:dyDescent="0.2">
      <c r="A1510" s="317">
        <v>101631</v>
      </c>
      <c r="B1510" s="895">
        <v>101631</v>
      </c>
      <c r="C1510" s="896" t="s">
        <v>596</v>
      </c>
      <c r="D1510" s="906" t="s">
        <v>1435</v>
      </c>
      <c r="E1510" s="907">
        <f>GLOBAL_DER_FEV_2023!E1510</f>
        <v>0</v>
      </c>
      <c r="F1510" s="908">
        <f>GLOBAL_DER_FEV_2023!F1510</f>
        <v>0</v>
      </c>
      <c r="G1510" s="912">
        <f>GLOBAL_DER_FEV_2023!G1510</f>
        <v>0</v>
      </c>
      <c r="H1510" s="901">
        <f>GLOBAL_DER_FEV_2023!H1510</f>
        <v>39.08</v>
      </c>
      <c r="I1510" s="901">
        <f>GLOBAL_DER_FEV_2023!I1510</f>
        <v>39.08</v>
      </c>
      <c r="J1510" s="902">
        <f>GLOBAL_DER_FEV_2023!J1510</f>
        <v>46.92</v>
      </c>
      <c r="K1510" s="903" t="s">
        <v>1516</v>
      </c>
      <c r="L1510" s="1137"/>
      <c r="M1510" s="1138">
        <f t="shared" si="163"/>
        <v>0</v>
      </c>
      <c r="N1510" s="893">
        <f t="shared" si="167"/>
        <v>0</v>
      </c>
      <c r="O1510" s="905"/>
      <c r="Q1510" s="317" t="str">
        <f t="shared" si="164"/>
        <v/>
      </c>
      <c r="R1510" s="317" t="str">
        <f t="shared" si="165"/>
        <v/>
      </c>
      <c r="S1510" s="317" t="str">
        <f t="shared" si="166"/>
        <v/>
      </c>
      <c r="T1510" s="317" t="str">
        <f>GLOBAL_DER_FEV_2023!S1510</f>
        <v/>
      </c>
      <c r="W1510" s="582">
        <v>0</v>
      </c>
      <c r="X1510" s="580"/>
      <c r="Y1510" s="583">
        <f>IF(GLOBAL_DER_FEV_2023!W1510=0,0,IF(GLOBAL_DER_FEV_2023!W1510&gt;0,"c","b"))</f>
        <v>0</v>
      </c>
    </row>
    <row r="1511" spans="1:25" ht="22.5" x14ac:dyDescent="0.2">
      <c r="A1511" s="317">
        <v>101632</v>
      </c>
      <c r="B1511" s="895">
        <v>101632</v>
      </c>
      <c r="C1511" s="896" t="s">
        <v>596</v>
      </c>
      <c r="D1511" s="906" t="s">
        <v>1436</v>
      </c>
      <c r="E1511" s="907">
        <f>GLOBAL_DER_FEV_2023!E1511</f>
        <v>0</v>
      </c>
      <c r="F1511" s="908">
        <f>GLOBAL_DER_FEV_2023!F1511</f>
        <v>0</v>
      </c>
      <c r="G1511" s="912">
        <f>GLOBAL_DER_FEV_2023!G1511</f>
        <v>0</v>
      </c>
      <c r="H1511" s="901">
        <f>GLOBAL_DER_FEV_2023!H1511</f>
        <v>43.27</v>
      </c>
      <c r="I1511" s="901">
        <f>GLOBAL_DER_FEV_2023!I1511</f>
        <v>43.27</v>
      </c>
      <c r="J1511" s="902">
        <f>GLOBAL_DER_FEV_2023!J1511</f>
        <v>51.95</v>
      </c>
      <c r="K1511" s="903" t="s">
        <v>1516</v>
      </c>
      <c r="L1511" s="1137"/>
      <c r="M1511" s="1138">
        <f t="shared" si="163"/>
        <v>0</v>
      </c>
      <c r="N1511" s="893">
        <f t="shared" si="167"/>
        <v>0</v>
      </c>
      <c r="O1511" s="905"/>
      <c r="Q1511" s="317" t="str">
        <f t="shared" si="164"/>
        <v/>
      </c>
      <c r="R1511" s="317" t="str">
        <f t="shared" si="165"/>
        <v/>
      </c>
      <c r="S1511" s="317" t="str">
        <f t="shared" si="166"/>
        <v/>
      </c>
      <c r="T1511" s="317" t="str">
        <f>GLOBAL_DER_FEV_2023!S1511</f>
        <v/>
      </c>
      <c r="W1511" s="582">
        <v>0</v>
      </c>
      <c r="X1511" s="580"/>
      <c r="Y1511" s="583">
        <f>IF(GLOBAL_DER_FEV_2023!W1511=0,0,IF(GLOBAL_DER_FEV_2023!W1511&gt;0,"c","b"))</f>
        <v>0</v>
      </c>
    </row>
    <row r="1512" spans="1:25" ht="22.5" x14ac:dyDescent="0.2">
      <c r="A1512" s="317">
        <v>101633</v>
      </c>
      <c r="B1512" s="895">
        <v>101633</v>
      </c>
      <c r="C1512" s="896" t="s">
        <v>596</v>
      </c>
      <c r="D1512" s="906" t="s">
        <v>1437</v>
      </c>
      <c r="E1512" s="907">
        <f>GLOBAL_DER_FEV_2023!E1512</f>
        <v>0</v>
      </c>
      <c r="F1512" s="908">
        <f>GLOBAL_DER_FEV_2023!F1512</f>
        <v>0</v>
      </c>
      <c r="G1512" s="912">
        <f>GLOBAL_DER_FEV_2023!G1512</f>
        <v>0</v>
      </c>
      <c r="H1512" s="901">
        <f>GLOBAL_DER_FEV_2023!H1512</f>
        <v>108.32</v>
      </c>
      <c r="I1512" s="901">
        <f>GLOBAL_DER_FEV_2023!I1512</f>
        <v>108.32</v>
      </c>
      <c r="J1512" s="902">
        <f>GLOBAL_DER_FEV_2023!J1512</f>
        <v>130.06</v>
      </c>
      <c r="K1512" s="903" t="s">
        <v>1516</v>
      </c>
      <c r="L1512" s="1137"/>
      <c r="M1512" s="1138">
        <f t="shared" si="163"/>
        <v>0</v>
      </c>
      <c r="N1512" s="893">
        <f t="shared" si="167"/>
        <v>0</v>
      </c>
      <c r="O1512" s="905"/>
      <c r="Q1512" s="317" t="str">
        <f t="shared" si="164"/>
        <v/>
      </c>
      <c r="R1512" s="317" t="str">
        <f t="shared" si="165"/>
        <v/>
      </c>
      <c r="S1512" s="317" t="str">
        <f t="shared" si="166"/>
        <v/>
      </c>
      <c r="T1512" s="317" t="str">
        <f>GLOBAL_DER_FEV_2023!S1512</f>
        <v/>
      </c>
      <c r="W1512" s="582">
        <v>0</v>
      </c>
      <c r="X1512" s="580"/>
      <c r="Y1512" s="583">
        <f>IF(GLOBAL_DER_FEV_2023!W1512=0,0,IF(GLOBAL_DER_FEV_2023!W1512&gt;0,"c","b"))</f>
        <v>0</v>
      </c>
    </row>
    <row r="1513" spans="1:25" ht="33.75" x14ac:dyDescent="0.2">
      <c r="A1513" s="317">
        <v>101636</v>
      </c>
      <c r="B1513" s="895">
        <v>101636</v>
      </c>
      <c r="C1513" s="896" t="s">
        <v>596</v>
      </c>
      <c r="D1513" s="906" t="s">
        <v>1438</v>
      </c>
      <c r="E1513" s="907">
        <f>GLOBAL_DER_FEV_2023!E1513</f>
        <v>0</v>
      </c>
      <c r="F1513" s="908">
        <f>GLOBAL_DER_FEV_2023!F1513</f>
        <v>0</v>
      </c>
      <c r="G1513" s="912">
        <f>GLOBAL_DER_FEV_2023!G1513</f>
        <v>0</v>
      </c>
      <c r="H1513" s="901">
        <f>GLOBAL_DER_FEV_2023!H1513</f>
        <v>163.68</v>
      </c>
      <c r="I1513" s="901">
        <f>GLOBAL_DER_FEV_2023!I1513</f>
        <v>163.68</v>
      </c>
      <c r="J1513" s="902">
        <f>GLOBAL_DER_FEV_2023!J1513</f>
        <v>196.53</v>
      </c>
      <c r="K1513" s="903" t="s">
        <v>1516</v>
      </c>
      <c r="L1513" s="1137"/>
      <c r="M1513" s="1138">
        <f t="shared" si="163"/>
        <v>0</v>
      </c>
      <c r="N1513" s="893">
        <f t="shared" si="167"/>
        <v>0</v>
      </c>
      <c r="O1513" s="905"/>
      <c r="Q1513" s="317" t="str">
        <f t="shared" si="164"/>
        <v/>
      </c>
      <c r="R1513" s="317" t="str">
        <f t="shared" si="165"/>
        <v/>
      </c>
      <c r="S1513" s="317" t="str">
        <f t="shared" si="166"/>
        <v/>
      </c>
      <c r="T1513" s="317" t="str">
        <f>GLOBAL_DER_FEV_2023!S1513</f>
        <v/>
      </c>
      <c r="W1513" s="582">
        <v>0</v>
      </c>
      <c r="X1513" s="580"/>
      <c r="Y1513" s="583">
        <f>IF(GLOBAL_DER_FEV_2023!W1513=0,0,IF(GLOBAL_DER_FEV_2023!W1513&gt;0,"c","b"))</f>
        <v>0</v>
      </c>
    </row>
    <row r="1514" spans="1:25" ht="33.75" x14ac:dyDescent="0.2">
      <c r="A1514" s="317">
        <v>101637</v>
      </c>
      <c r="B1514" s="895">
        <v>101637</v>
      </c>
      <c r="C1514" s="896" t="s">
        <v>596</v>
      </c>
      <c r="D1514" s="906" t="s">
        <v>1439</v>
      </c>
      <c r="E1514" s="907">
        <f>GLOBAL_DER_FEV_2023!E1514</f>
        <v>0</v>
      </c>
      <c r="F1514" s="908">
        <f>GLOBAL_DER_FEV_2023!F1514</f>
        <v>0</v>
      </c>
      <c r="G1514" s="912">
        <f>GLOBAL_DER_FEV_2023!G1514</f>
        <v>0</v>
      </c>
      <c r="H1514" s="901">
        <f>GLOBAL_DER_FEV_2023!H1514</f>
        <v>158.52000000000001</v>
      </c>
      <c r="I1514" s="901">
        <f>GLOBAL_DER_FEV_2023!I1514</f>
        <v>158.52000000000001</v>
      </c>
      <c r="J1514" s="902">
        <f>GLOBAL_DER_FEV_2023!J1514</f>
        <v>190.33</v>
      </c>
      <c r="K1514" s="903" t="s">
        <v>1516</v>
      </c>
      <c r="L1514" s="1137"/>
      <c r="M1514" s="1138">
        <f t="shared" si="163"/>
        <v>0</v>
      </c>
      <c r="N1514" s="893">
        <f t="shared" si="167"/>
        <v>0</v>
      </c>
      <c r="O1514" s="905"/>
      <c r="Q1514" s="317" t="str">
        <f t="shared" si="164"/>
        <v/>
      </c>
      <c r="R1514" s="317" t="str">
        <f t="shared" si="165"/>
        <v/>
      </c>
      <c r="S1514" s="317" t="str">
        <f t="shared" si="166"/>
        <v/>
      </c>
      <c r="T1514" s="317" t="str">
        <f>GLOBAL_DER_FEV_2023!S1514</f>
        <v/>
      </c>
      <c r="W1514" s="582">
        <v>0</v>
      </c>
      <c r="X1514" s="580"/>
      <c r="Y1514" s="583">
        <f>IF(GLOBAL_DER_FEV_2023!W1514=0,0,IF(GLOBAL_DER_FEV_2023!W1514&gt;0,"c","b"))</f>
        <v>0</v>
      </c>
    </row>
    <row r="1515" spans="1:25" ht="22.5" x14ac:dyDescent="0.2">
      <c r="A1515" s="317">
        <v>96985</v>
      </c>
      <c r="B1515" s="895">
        <v>96985</v>
      </c>
      <c r="C1515" s="896" t="s">
        <v>596</v>
      </c>
      <c r="D1515" s="906" t="s">
        <v>1440</v>
      </c>
      <c r="E1515" s="907">
        <f>GLOBAL_DER_FEV_2023!E1515</f>
        <v>0</v>
      </c>
      <c r="F1515" s="908">
        <f>GLOBAL_DER_FEV_2023!F1515</f>
        <v>0</v>
      </c>
      <c r="G1515" s="912">
        <f>GLOBAL_DER_FEV_2023!G1515</f>
        <v>0</v>
      </c>
      <c r="H1515" s="901">
        <f>GLOBAL_DER_FEV_2023!H1515</f>
        <v>91.92</v>
      </c>
      <c r="I1515" s="901">
        <f>GLOBAL_DER_FEV_2023!I1515</f>
        <v>91.92</v>
      </c>
      <c r="J1515" s="902">
        <f>GLOBAL_DER_FEV_2023!J1515</f>
        <v>110.37</v>
      </c>
      <c r="K1515" s="903" t="s">
        <v>1516</v>
      </c>
      <c r="L1515" s="1137"/>
      <c r="M1515" s="1138">
        <f t="shared" si="163"/>
        <v>0</v>
      </c>
      <c r="N1515" s="893">
        <f t="shared" si="167"/>
        <v>0</v>
      </c>
      <c r="O1515" s="905"/>
      <c r="Q1515" s="317" t="str">
        <f t="shared" si="164"/>
        <v/>
      </c>
      <c r="R1515" s="317" t="str">
        <f t="shared" si="165"/>
        <v/>
      </c>
      <c r="S1515" s="317" t="str">
        <f t="shared" si="166"/>
        <v/>
      </c>
      <c r="T1515" s="317" t="str">
        <f>GLOBAL_DER_FEV_2023!S1515</f>
        <v/>
      </c>
      <c r="W1515" s="582">
        <v>0</v>
      </c>
      <c r="X1515" s="580"/>
      <c r="Y1515" s="583">
        <f>IF(GLOBAL_DER_FEV_2023!W1515=0,0,IF(GLOBAL_DER_FEV_2023!W1515&gt;0,"c","b"))</f>
        <v>0</v>
      </c>
    </row>
    <row r="1516" spans="1:25" ht="22.5" x14ac:dyDescent="0.2">
      <c r="A1516" s="317">
        <v>96986</v>
      </c>
      <c r="B1516" s="895">
        <v>96986</v>
      </c>
      <c r="C1516" s="896" t="s">
        <v>596</v>
      </c>
      <c r="D1516" s="906" t="s">
        <v>1441</v>
      </c>
      <c r="E1516" s="907">
        <f>GLOBAL_DER_FEV_2023!E1516</f>
        <v>0</v>
      </c>
      <c r="F1516" s="908">
        <f>GLOBAL_DER_FEV_2023!F1516</f>
        <v>0</v>
      </c>
      <c r="G1516" s="912">
        <f>GLOBAL_DER_FEV_2023!G1516</f>
        <v>0</v>
      </c>
      <c r="H1516" s="901">
        <f>GLOBAL_DER_FEV_2023!H1516</f>
        <v>137.30000000000001</v>
      </c>
      <c r="I1516" s="901">
        <f>GLOBAL_DER_FEV_2023!I1516</f>
        <v>137.30000000000001</v>
      </c>
      <c r="J1516" s="902">
        <f>GLOBAL_DER_FEV_2023!J1516</f>
        <v>164.86</v>
      </c>
      <c r="K1516" s="903" t="s">
        <v>1516</v>
      </c>
      <c r="L1516" s="1137"/>
      <c r="M1516" s="1138">
        <f t="shared" si="163"/>
        <v>0</v>
      </c>
      <c r="N1516" s="893">
        <f t="shared" si="167"/>
        <v>0</v>
      </c>
      <c r="O1516" s="905"/>
      <c r="Q1516" s="317" t="str">
        <f t="shared" si="164"/>
        <v/>
      </c>
      <c r="R1516" s="317" t="str">
        <f t="shared" si="165"/>
        <v/>
      </c>
      <c r="S1516" s="317" t="str">
        <f t="shared" si="166"/>
        <v/>
      </c>
      <c r="T1516" s="317" t="str">
        <f>GLOBAL_DER_FEV_2023!S1516</f>
        <v/>
      </c>
      <c r="W1516" s="582">
        <v>0</v>
      </c>
      <c r="X1516" s="580"/>
      <c r="Y1516" s="583">
        <f>IF(GLOBAL_DER_FEV_2023!W1516=0,0,IF(GLOBAL_DER_FEV_2023!W1516&gt;0,"c","b"))</f>
        <v>0</v>
      </c>
    </row>
    <row r="1517" spans="1:25" ht="22.5" x14ac:dyDescent="0.2">
      <c r="A1517" s="317">
        <v>96987</v>
      </c>
      <c r="B1517" s="895">
        <v>96987</v>
      </c>
      <c r="C1517" s="896" t="s">
        <v>596</v>
      </c>
      <c r="D1517" s="906" t="s">
        <v>1442</v>
      </c>
      <c r="E1517" s="907">
        <f>GLOBAL_DER_FEV_2023!E1517</f>
        <v>0</v>
      </c>
      <c r="F1517" s="908">
        <f>GLOBAL_DER_FEV_2023!F1517</f>
        <v>0</v>
      </c>
      <c r="G1517" s="912">
        <f>GLOBAL_DER_FEV_2023!G1517</f>
        <v>0</v>
      </c>
      <c r="H1517" s="901">
        <f>GLOBAL_DER_FEV_2023!H1517</f>
        <v>118</v>
      </c>
      <c r="I1517" s="901">
        <f>GLOBAL_DER_FEV_2023!I1517</f>
        <v>118</v>
      </c>
      <c r="J1517" s="902">
        <f>GLOBAL_DER_FEV_2023!J1517</f>
        <v>141.68</v>
      </c>
      <c r="K1517" s="903" t="s">
        <v>1516</v>
      </c>
      <c r="L1517" s="1137"/>
      <c r="M1517" s="1138">
        <f t="shared" si="163"/>
        <v>0</v>
      </c>
      <c r="N1517" s="893">
        <f t="shared" si="167"/>
        <v>0</v>
      </c>
      <c r="O1517" s="905"/>
      <c r="Q1517" s="317" t="str">
        <f t="shared" si="164"/>
        <v/>
      </c>
      <c r="R1517" s="317" t="str">
        <f t="shared" si="165"/>
        <v/>
      </c>
      <c r="S1517" s="317" t="str">
        <f t="shared" si="166"/>
        <v/>
      </c>
      <c r="T1517" s="317" t="str">
        <f>GLOBAL_DER_FEV_2023!S1517</f>
        <v/>
      </c>
      <c r="W1517" s="582">
        <v>0</v>
      </c>
      <c r="X1517" s="580"/>
      <c r="Y1517" s="583">
        <f>IF(GLOBAL_DER_FEV_2023!W1517=0,0,IF(GLOBAL_DER_FEV_2023!W1517&gt;0,"c","b"))</f>
        <v>0</v>
      </c>
    </row>
    <row r="1518" spans="1:25" x14ac:dyDescent="0.2">
      <c r="A1518" s="317">
        <v>96988</v>
      </c>
      <c r="B1518" s="895">
        <v>96988</v>
      </c>
      <c r="C1518" s="896" t="s">
        <v>596</v>
      </c>
      <c r="D1518" s="906" t="s">
        <v>1443</v>
      </c>
      <c r="E1518" s="907">
        <f>GLOBAL_DER_FEV_2023!E1518</f>
        <v>0</v>
      </c>
      <c r="F1518" s="908">
        <f>GLOBAL_DER_FEV_2023!F1518</f>
        <v>0</v>
      </c>
      <c r="G1518" s="912">
        <f>GLOBAL_DER_FEV_2023!G1518</f>
        <v>0</v>
      </c>
      <c r="H1518" s="901">
        <f>GLOBAL_DER_FEV_2023!H1518</f>
        <v>157.33000000000001</v>
      </c>
      <c r="I1518" s="901">
        <f>GLOBAL_DER_FEV_2023!I1518</f>
        <v>157.33000000000001</v>
      </c>
      <c r="J1518" s="902">
        <f>GLOBAL_DER_FEV_2023!J1518</f>
        <v>188.91</v>
      </c>
      <c r="K1518" s="903" t="s">
        <v>1516</v>
      </c>
      <c r="L1518" s="1137"/>
      <c r="M1518" s="1138">
        <f t="shared" si="163"/>
        <v>0</v>
      </c>
      <c r="N1518" s="893">
        <f t="shared" si="167"/>
        <v>0</v>
      </c>
      <c r="O1518" s="905"/>
      <c r="Q1518" s="317" t="str">
        <f t="shared" si="164"/>
        <v/>
      </c>
      <c r="R1518" s="317" t="str">
        <f t="shared" si="165"/>
        <v/>
      </c>
      <c r="S1518" s="317" t="str">
        <f t="shared" si="166"/>
        <v/>
      </c>
      <c r="T1518" s="317" t="str">
        <f>GLOBAL_DER_FEV_2023!S1518</f>
        <v/>
      </c>
      <c r="W1518" s="582">
        <v>0</v>
      </c>
      <c r="X1518" s="580"/>
      <c r="Y1518" s="583">
        <f>IF(GLOBAL_DER_FEV_2023!W1518=0,0,IF(GLOBAL_DER_FEV_2023!W1518&gt;0,"c","b"))</f>
        <v>0</v>
      </c>
    </row>
    <row r="1519" spans="1:25" ht="22.5" x14ac:dyDescent="0.2">
      <c r="A1519" s="317">
        <v>96971</v>
      </c>
      <c r="B1519" s="895">
        <v>96971</v>
      </c>
      <c r="C1519" s="896" t="s">
        <v>596</v>
      </c>
      <c r="D1519" s="906" t="s">
        <v>1444</v>
      </c>
      <c r="E1519" s="907">
        <f>GLOBAL_DER_FEV_2023!E1519</f>
        <v>0</v>
      </c>
      <c r="F1519" s="908">
        <f>GLOBAL_DER_FEV_2023!F1519</f>
        <v>0</v>
      </c>
      <c r="G1519" s="912">
        <f>GLOBAL_DER_FEV_2023!G1519</f>
        <v>0</v>
      </c>
      <c r="H1519" s="901">
        <f>GLOBAL_DER_FEV_2023!H1519</f>
        <v>37.03</v>
      </c>
      <c r="I1519" s="901">
        <f>GLOBAL_DER_FEV_2023!I1519</f>
        <v>37.03</v>
      </c>
      <c r="J1519" s="902">
        <f>GLOBAL_DER_FEV_2023!J1519</f>
        <v>44.46</v>
      </c>
      <c r="K1519" s="903" t="s">
        <v>62</v>
      </c>
      <c r="L1519" s="1137"/>
      <c r="M1519" s="1138">
        <f t="shared" si="163"/>
        <v>0</v>
      </c>
      <c r="N1519" s="893">
        <f t="shared" si="167"/>
        <v>0</v>
      </c>
      <c r="O1519" s="905"/>
      <c r="Q1519" s="317" t="str">
        <f t="shared" si="164"/>
        <v/>
      </c>
      <c r="R1519" s="317" t="str">
        <f t="shared" si="165"/>
        <v/>
      </c>
      <c r="S1519" s="317" t="str">
        <f t="shared" si="166"/>
        <v/>
      </c>
      <c r="T1519" s="317" t="str">
        <f>GLOBAL_DER_FEV_2023!S1519</f>
        <v/>
      </c>
      <c r="W1519" s="582">
        <v>0</v>
      </c>
      <c r="X1519" s="580"/>
      <c r="Y1519" s="583">
        <f>IF(GLOBAL_DER_FEV_2023!W1519=0,0,IF(GLOBAL_DER_FEV_2023!W1519&gt;0,"c","b"))</f>
        <v>0</v>
      </c>
    </row>
    <row r="1520" spans="1:25" ht="22.5" x14ac:dyDescent="0.2">
      <c r="A1520" s="317">
        <v>96972</v>
      </c>
      <c r="B1520" s="895">
        <v>96972</v>
      </c>
      <c r="C1520" s="896" t="s">
        <v>596</v>
      </c>
      <c r="D1520" s="906" t="s">
        <v>1445</v>
      </c>
      <c r="E1520" s="907">
        <f>GLOBAL_DER_FEV_2023!E1520</f>
        <v>0</v>
      </c>
      <c r="F1520" s="908">
        <f>GLOBAL_DER_FEV_2023!F1520</f>
        <v>0</v>
      </c>
      <c r="G1520" s="912">
        <f>GLOBAL_DER_FEV_2023!G1520</f>
        <v>0</v>
      </c>
      <c r="H1520" s="901">
        <f>GLOBAL_DER_FEV_2023!H1520</f>
        <v>50.05</v>
      </c>
      <c r="I1520" s="901">
        <f>GLOBAL_DER_FEV_2023!I1520</f>
        <v>50.05</v>
      </c>
      <c r="J1520" s="902">
        <f>GLOBAL_DER_FEV_2023!J1520</f>
        <v>60.1</v>
      </c>
      <c r="K1520" s="903" t="s">
        <v>62</v>
      </c>
      <c r="L1520" s="1137"/>
      <c r="M1520" s="1138">
        <f t="shared" si="163"/>
        <v>0</v>
      </c>
      <c r="N1520" s="893">
        <f t="shared" si="167"/>
        <v>0</v>
      </c>
      <c r="O1520" s="905"/>
      <c r="Q1520" s="317" t="str">
        <f t="shared" si="164"/>
        <v/>
      </c>
      <c r="R1520" s="317" t="str">
        <f t="shared" si="165"/>
        <v/>
      </c>
      <c r="S1520" s="317" t="str">
        <f t="shared" si="166"/>
        <v/>
      </c>
      <c r="T1520" s="317" t="str">
        <f>GLOBAL_DER_FEV_2023!S1520</f>
        <v/>
      </c>
      <c r="W1520" s="582">
        <v>0</v>
      </c>
      <c r="X1520" s="580"/>
      <c r="Y1520" s="583">
        <f>IF(GLOBAL_DER_FEV_2023!W1520=0,0,IF(GLOBAL_DER_FEV_2023!W1520&gt;0,"c","b"))</f>
        <v>0</v>
      </c>
    </row>
    <row r="1521" spans="1:25" ht="22.5" x14ac:dyDescent="0.2">
      <c r="A1521" s="317">
        <v>96973</v>
      </c>
      <c r="B1521" s="895">
        <v>96973</v>
      </c>
      <c r="C1521" s="896" t="s">
        <v>596</v>
      </c>
      <c r="D1521" s="906" t="s">
        <v>1446</v>
      </c>
      <c r="E1521" s="907">
        <f>GLOBAL_DER_FEV_2023!E1521</f>
        <v>0</v>
      </c>
      <c r="F1521" s="908">
        <f>GLOBAL_DER_FEV_2023!F1521</f>
        <v>0</v>
      </c>
      <c r="G1521" s="912">
        <f>GLOBAL_DER_FEV_2023!G1521</f>
        <v>0</v>
      </c>
      <c r="H1521" s="901">
        <f>GLOBAL_DER_FEV_2023!H1521</f>
        <v>66.23</v>
      </c>
      <c r="I1521" s="901">
        <f>GLOBAL_DER_FEV_2023!I1521</f>
        <v>66.23</v>
      </c>
      <c r="J1521" s="902">
        <f>GLOBAL_DER_FEV_2023!J1521</f>
        <v>79.52</v>
      </c>
      <c r="K1521" s="903" t="s">
        <v>62</v>
      </c>
      <c r="L1521" s="1137"/>
      <c r="M1521" s="1138">
        <f t="shared" si="163"/>
        <v>0</v>
      </c>
      <c r="N1521" s="893">
        <f t="shared" si="167"/>
        <v>0</v>
      </c>
      <c r="O1521" s="905"/>
      <c r="Q1521" s="317" t="str">
        <f t="shared" si="164"/>
        <v/>
      </c>
      <c r="R1521" s="317" t="str">
        <f t="shared" si="165"/>
        <v/>
      </c>
      <c r="S1521" s="317" t="str">
        <f t="shared" si="166"/>
        <v/>
      </c>
      <c r="T1521" s="317" t="str">
        <f>GLOBAL_DER_FEV_2023!S1521</f>
        <v/>
      </c>
      <c r="W1521" s="582">
        <v>0</v>
      </c>
      <c r="X1521" s="580"/>
      <c r="Y1521" s="583">
        <f>IF(GLOBAL_DER_FEV_2023!W1521=0,0,IF(GLOBAL_DER_FEV_2023!W1521&gt;0,"c","b"))</f>
        <v>0</v>
      </c>
    </row>
    <row r="1522" spans="1:25" ht="22.5" x14ac:dyDescent="0.2">
      <c r="A1522" s="317">
        <v>96974</v>
      </c>
      <c r="B1522" s="895">
        <v>96974</v>
      </c>
      <c r="C1522" s="896" t="s">
        <v>596</v>
      </c>
      <c r="D1522" s="906" t="s">
        <v>1447</v>
      </c>
      <c r="E1522" s="907">
        <f>GLOBAL_DER_FEV_2023!E1522</f>
        <v>0</v>
      </c>
      <c r="F1522" s="908">
        <f>GLOBAL_DER_FEV_2023!F1522</f>
        <v>0</v>
      </c>
      <c r="G1522" s="912">
        <f>GLOBAL_DER_FEV_2023!G1522</f>
        <v>0</v>
      </c>
      <c r="H1522" s="901">
        <f>GLOBAL_DER_FEV_2023!H1522</f>
        <v>86.55</v>
      </c>
      <c r="I1522" s="901">
        <f>GLOBAL_DER_FEV_2023!I1522</f>
        <v>86.55</v>
      </c>
      <c r="J1522" s="902">
        <f>GLOBAL_DER_FEV_2023!J1522</f>
        <v>103.92</v>
      </c>
      <c r="K1522" s="903" t="s">
        <v>62</v>
      </c>
      <c r="L1522" s="1137"/>
      <c r="M1522" s="1138">
        <f t="shared" si="163"/>
        <v>0</v>
      </c>
      <c r="N1522" s="893">
        <f t="shared" si="167"/>
        <v>0</v>
      </c>
      <c r="O1522" s="905"/>
      <c r="Q1522" s="317" t="str">
        <f t="shared" si="164"/>
        <v/>
      </c>
      <c r="R1522" s="317" t="str">
        <f t="shared" si="165"/>
        <v/>
      </c>
      <c r="S1522" s="317" t="str">
        <f t="shared" si="166"/>
        <v/>
      </c>
      <c r="T1522" s="317" t="str">
        <f>GLOBAL_DER_FEV_2023!S1522</f>
        <v/>
      </c>
      <c r="W1522" s="582">
        <v>0</v>
      </c>
      <c r="X1522" s="580"/>
      <c r="Y1522" s="583">
        <f>IF(GLOBAL_DER_FEV_2023!W1522=0,0,IF(GLOBAL_DER_FEV_2023!W1522&gt;0,"c","b"))</f>
        <v>0</v>
      </c>
    </row>
    <row r="1523" spans="1:25" ht="22.5" x14ac:dyDescent="0.2">
      <c r="A1523" s="317">
        <v>96975</v>
      </c>
      <c r="B1523" s="895">
        <v>96975</v>
      </c>
      <c r="C1523" s="896" t="s">
        <v>596</v>
      </c>
      <c r="D1523" s="906" t="s">
        <v>1448</v>
      </c>
      <c r="E1523" s="907">
        <f>GLOBAL_DER_FEV_2023!E1523</f>
        <v>0</v>
      </c>
      <c r="F1523" s="908">
        <f>GLOBAL_DER_FEV_2023!F1523</f>
        <v>0</v>
      </c>
      <c r="G1523" s="912">
        <f>GLOBAL_DER_FEV_2023!G1523</f>
        <v>0</v>
      </c>
      <c r="H1523" s="901">
        <f>GLOBAL_DER_FEV_2023!H1523</f>
        <v>107.85</v>
      </c>
      <c r="I1523" s="901">
        <f>GLOBAL_DER_FEV_2023!I1523</f>
        <v>107.85</v>
      </c>
      <c r="J1523" s="902">
        <f>GLOBAL_DER_FEV_2023!J1523</f>
        <v>129.5</v>
      </c>
      <c r="K1523" s="903" t="s">
        <v>62</v>
      </c>
      <c r="L1523" s="1137"/>
      <c r="M1523" s="1138">
        <f t="shared" si="163"/>
        <v>0</v>
      </c>
      <c r="N1523" s="893">
        <f t="shared" si="167"/>
        <v>0</v>
      </c>
      <c r="O1523" s="905"/>
      <c r="Q1523" s="317" t="str">
        <f t="shared" si="164"/>
        <v/>
      </c>
      <c r="R1523" s="317" t="str">
        <f t="shared" si="165"/>
        <v/>
      </c>
      <c r="S1523" s="317" t="str">
        <f t="shared" si="166"/>
        <v/>
      </c>
      <c r="T1523" s="317" t="str">
        <f>GLOBAL_DER_FEV_2023!S1523</f>
        <v/>
      </c>
      <c r="W1523" s="582">
        <v>0</v>
      </c>
      <c r="X1523" s="580"/>
      <c r="Y1523" s="583">
        <f>IF(GLOBAL_DER_FEV_2023!W1523=0,0,IF(GLOBAL_DER_FEV_2023!W1523&gt;0,"c","b"))</f>
        <v>0</v>
      </c>
    </row>
    <row r="1524" spans="1:25" ht="22.5" x14ac:dyDescent="0.2">
      <c r="A1524" s="317">
        <v>96976</v>
      </c>
      <c r="B1524" s="895">
        <v>96976</v>
      </c>
      <c r="C1524" s="896" t="s">
        <v>596</v>
      </c>
      <c r="D1524" s="906" t="s">
        <v>1449</v>
      </c>
      <c r="E1524" s="907">
        <f>GLOBAL_DER_FEV_2023!E1524</f>
        <v>0</v>
      </c>
      <c r="F1524" s="908">
        <f>GLOBAL_DER_FEV_2023!F1524</f>
        <v>0</v>
      </c>
      <c r="G1524" s="912">
        <f>GLOBAL_DER_FEV_2023!G1524</f>
        <v>0</v>
      </c>
      <c r="H1524" s="901">
        <f>GLOBAL_DER_FEV_2023!H1524</f>
        <v>142.65</v>
      </c>
      <c r="I1524" s="901">
        <f>GLOBAL_DER_FEV_2023!I1524</f>
        <v>142.65</v>
      </c>
      <c r="J1524" s="902">
        <f>GLOBAL_DER_FEV_2023!J1524</f>
        <v>171.28</v>
      </c>
      <c r="K1524" s="903" t="s">
        <v>62</v>
      </c>
      <c r="L1524" s="1137"/>
      <c r="M1524" s="1138">
        <f t="shared" si="163"/>
        <v>0</v>
      </c>
      <c r="N1524" s="893">
        <f t="shared" si="167"/>
        <v>0</v>
      </c>
      <c r="O1524" s="905"/>
      <c r="Q1524" s="317" t="str">
        <f t="shared" si="164"/>
        <v/>
      </c>
      <c r="R1524" s="317" t="str">
        <f t="shared" si="165"/>
        <v/>
      </c>
      <c r="S1524" s="317" t="str">
        <f t="shared" si="166"/>
        <v/>
      </c>
      <c r="T1524" s="317" t="str">
        <f>GLOBAL_DER_FEV_2023!S1524</f>
        <v/>
      </c>
      <c r="W1524" s="582">
        <v>0</v>
      </c>
      <c r="X1524" s="580"/>
      <c r="Y1524" s="583">
        <f>IF(GLOBAL_DER_FEV_2023!W1524=0,0,IF(GLOBAL_DER_FEV_2023!W1524&gt;0,"c","b"))</f>
        <v>0</v>
      </c>
    </row>
    <row r="1525" spans="1:25" ht="22.5" x14ac:dyDescent="0.2">
      <c r="A1525" s="317">
        <v>96977</v>
      </c>
      <c r="B1525" s="895">
        <v>96977</v>
      </c>
      <c r="C1525" s="896" t="s">
        <v>596</v>
      </c>
      <c r="D1525" s="906" t="s">
        <v>1450</v>
      </c>
      <c r="E1525" s="907">
        <f>GLOBAL_DER_FEV_2023!E1525</f>
        <v>0</v>
      </c>
      <c r="F1525" s="908">
        <f>GLOBAL_DER_FEV_2023!F1525</f>
        <v>0</v>
      </c>
      <c r="G1525" s="912">
        <f>GLOBAL_DER_FEV_2023!G1525</f>
        <v>0</v>
      </c>
      <c r="H1525" s="901">
        <f>GLOBAL_DER_FEV_2023!H1525</f>
        <v>58.29</v>
      </c>
      <c r="I1525" s="901">
        <f>GLOBAL_DER_FEV_2023!I1525</f>
        <v>58.29</v>
      </c>
      <c r="J1525" s="902">
        <f>GLOBAL_DER_FEV_2023!J1525</f>
        <v>69.989999999999995</v>
      </c>
      <c r="K1525" s="903" t="s">
        <v>62</v>
      </c>
      <c r="L1525" s="1137"/>
      <c r="M1525" s="1138">
        <f t="shared" si="163"/>
        <v>0</v>
      </c>
      <c r="N1525" s="893">
        <f t="shared" si="167"/>
        <v>0</v>
      </c>
      <c r="O1525" s="905"/>
      <c r="Q1525" s="317" t="str">
        <f t="shared" si="164"/>
        <v/>
      </c>
      <c r="R1525" s="317" t="str">
        <f t="shared" si="165"/>
        <v/>
      </c>
      <c r="S1525" s="317" t="str">
        <f t="shared" si="166"/>
        <v/>
      </c>
      <c r="T1525" s="317" t="str">
        <f>GLOBAL_DER_FEV_2023!S1525</f>
        <v/>
      </c>
      <c r="W1525" s="582">
        <v>0</v>
      </c>
      <c r="X1525" s="580"/>
      <c r="Y1525" s="583">
        <f>IF(GLOBAL_DER_FEV_2023!W1525=0,0,IF(GLOBAL_DER_FEV_2023!W1525&gt;0,"c","b"))</f>
        <v>0</v>
      </c>
    </row>
    <row r="1526" spans="1:25" ht="22.5" x14ac:dyDescent="0.2">
      <c r="A1526" s="317">
        <v>96978</v>
      </c>
      <c r="B1526" s="895">
        <v>96978</v>
      </c>
      <c r="C1526" s="896" t="s">
        <v>596</v>
      </c>
      <c r="D1526" s="906" t="s">
        <v>1451</v>
      </c>
      <c r="E1526" s="907">
        <f>GLOBAL_DER_FEV_2023!E1526</f>
        <v>0</v>
      </c>
      <c r="F1526" s="908">
        <f>GLOBAL_DER_FEV_2023!F1526</f>
        <v>0</v>
      </c>
      <c r="G1526" s="912">
        <f>GLOBAL_DER_FEV_2023!G1526</f>
        <v>0</v>
      </c>
      <c r="H1526" s="901">
        <f>GLOBAL_DER_FEV_2023!H1526</f>
        <v>76.77</v>
      </c>
      <c r="I1526" s="901">
        <f>GLOBAL_DER_FEV_2023!I1526</f>
        <v>76.77</v>
      </c>
      <c r="J1526" s="902">
        <f>GLOBAL_DER_FEV_2023!J1526</f>
        <v>92.18</v>
      </c>
      <c r="K1526" s="903" t="s">
        <v>62</v>
      </c>
      <c r="L1526" s="1137"/>
      <c r="M1526" s="1138">
        <f t="shared" si="163"/>
        <v>0</v>
      </c>
      <c r="N1526" s="893">
        <f t="shared" si="167"/>
        <v>0</v>
      </c>
      <c r="O1526" s="905"/>
      <c r="Q1526" s="317" t="str">
        <f t="shared" si="164"/>
        <v/>
      </c>
      <c r="R1526" s="317" t="str">
        <f t="shared" si="165"/>
        <v/>
      </c>
      <c r="S1526" s="317" t="str">
        <f t="shared" si="166"/>
        <v/>
      </c>
      <c r="T1526" s="317" t="str">
        <f>GLOBAL_DER_FEV_2023!S1526</f>
        <v/>
      </c>
      <c r="W1526" s="582">
        <v>0</v>
      </c>
      <c r="X1526" s="580"/>
      <c r="Y1526" s="583">
        <f>IF(GLOBAL_DER_FEV_2023!W1526=0,0,IF(GLOBAL_DER_FEV_2023!W1526&gt;0,"c","b"))</f>
        <v>0</v>
      </c>
    </row>
    <row r="1527" spans="1:25" ht="22.5" x14ac:dyDescent="0.2">
      <c r="A1527" s="317">
        <v>96979</v>
      </c>
      <c r="B1527" s="895">
        <v>96979</v>
      </c>
      <c r="C1527" s="896" t="s">
        <v>596</v>
      </c>
      <c r="D1527" s="906" t="s">
        <v>1452</v>
      </c>
      <c r="E1527" s="907">
        <f>GLOBAL_DER_FEV_2023!E1527</f>
        <v>0</v>
      </c>
      <c r="F1527" s="908">
        <f>GLOBAL_DER_FEV_2023!F1527</f>
        <v>0</v>
      </c>
      <c r="G1527" s="912">
        <f>GLOBAL_DER_FEV_2023!G1527</f>
        <v>0</v>
      </c>
      <c r="H1527" s="901">
        <f>GLOBAL_DER_FEV_2023!H1527</f>
        <v>109.74</v>
      </c>
      <c r="I1527" s="901">
        <f>GLOBAL_DER_FEV_2023!I1527</f>
        <v>109.74</v>
      </c>
      <c r="J1527" s="902">
        <f>GLOBAL_DER_FEV_2023!J1527</f>
        <v>131.76</v>
      </c>
      <c r="K1527" s="903" t="s">
        <v>62</v>
      </c>
      <c r="L1527" s="1137"/>
      <c r="M1527" s="1138">
        <f t="shared" si="163"/>
        <v>0</v>
      </c>
      <c r="N1527" s="893">
        <f t="shared" si="167"/>
        <v>0</v>
      </c>
      <c r="O1527" s="905"/>
      <c r="Q1527" s="317" t="str">
        <f t="shared" si="164"/>
        <v/>
      </c>
      <c r="R1527" s="317" t="str">
        <f t="shared" si="165"/>
        <v/>
      </c>
      <c r="S1527" s="317" t="str">
        <f t="shared" si="166"/>
        <v/>
      </c>
      <c r="T1527" s="317" t="str">
        <f>GLOBAL_DER_FEV_2023!S1527</f>
        <v/>
      </c>
      <c r="W1527" s="582">
        <v>0</v>
      </c>
      <c r="X1527" s="580"/>
      <c r="Y1527" s="583">
        <f>IF(GLOBAL_DER_FEV_2023!W1527=0,0,IF(GLOBAL_DER_FEV_2023!W1527&gt;0,"c","b"))</f>
        <v>0</v>
      </c>
    </row>
    <row r="1528" spans="1:25" x14ac:dyDescent="0.2">
      <c r="A1528" s="317">
        <v>96989</v>
      </c>
      <c r="B1528" s="895">
        <v>96989</v>
      </c>
      <c r="C1528" s="896" t="s">
        <v>596</v>
      </c>
      <c r="D1528" s="906" t="s">
        <v>1453</v>
      </c>
      <c r="E1528" s="907">
        <f>GLOBAL_DER_FEV_2023!E1528</f>
        <v>0</v>
      </c>
      <c r="F1528" s="908">
        <f>GLOBAL_DER_FEV_2023!F1528</f>
        <v>0</v>
      </c>
      <c r="G1528" s="912">
        <f>GLOBAL_DER_FEV_2023!G1528</f>
        <v>0</v>
      </c>
      <c r="H1528" s="901">
        <f>GLOBAL_DER_FEV_2023!H1528</f>
        <v>131.58000000000001</v>
      </c>
      <c r="I1528" s="901">
        <f>GLOBAL_DER_FEV_2023!I1528</f>
        <v>131.58000000000001</v>
      </c>
      <c r="J1528" s="902">
        <f>GLOBAL_DER_FEV_2023!J1528</f>
        <v>157.99</v>
      </c>
      <c r="K1528" s="903" t="s">
        <v>1516</v>
      </c>
      <c r="L1528" s="1137"/>
      <c r="M1528" s="1138">
        <f t="shared" si="163"/>
        <v>0</v>
      </c>
      <c r="N1528" s="893">
        <f t="shared" si="167"/>
        <v>0</v>
      </c>
      <c r="O1528" s="905"/>
      <c r="Q1528" s="317" t="str">
        <f t="shared" si="164"/>
        <v/>
      </c>
      <c r="R1528" s="317" t="str">
        <f t="shared" si="165"/>
        <v/>
      </c>
      <c r="S1528" s="317" t="str">
        <f t="shared" si="166"/>
        <v/>
      </c>
      <c r="T1528" s="317" t="str">
        <f>GLOBAL_DER_FEV_2023!S1528</f>
        <v/>
      </c>
      <c r="W1528" s="582">
        <v>0</v>
      </c>
      <c r="X1528" s="580"/>
      <c r="Y1528" s="583">
        <f>IF(GLOBAL_DER_FEV_2023!W1528=0,0,IF(GLOBAL_DER_FEV_2023!W1528&gt;0,"c","b"))</f>
        <v>0</v>
      </c>
    </row>
    <row r="1529" spans="1:25" ht="22.5" x14ac:dyDescent="0.2">
      <c r="A1529" s="317">
        <v>98463</v>
      </c>
      <c r="B1529" s="895">
        <v>98463</v>
      </c>
      <c r="C1529" s="896" t="s">
        <v>596</v>
      </c>
      <c r="D1529" s="906" t="s">
        <v>1454</v>
      </c>
      <c r="E1529" s="907">
        <f>GLOBAL_DER_FEV_2023!E1529</f>
        <v>0</v>
      </c>
      <c r="F1529" s="908">
        <f>GLOBAL_DER_FEV_2023!F1529</f>
        <v>0</v>
      </c>
      <c r="G1529" s="912">
        <f>GLOBAL_DER_FEV_2023!G1529</f>
        <v>0</v>
      </c>
      <c r="H1529" s="901">
        <f>GLOBAL_DER_FEV_2023!H1529</f>
        <v>26.69</v>
      </c>
      <c r="I1529" s="901">
        <f>GLOBAL_DER_FEV_2023!I1529</f>
        <v>26.69</v>
      </c>
      <c r="J1529" s="902">
        <f>GLOBAL_DER_FEV_2023!J1529</f>
        <v>32.049999999999997</v>
      </c>
      <c r="K1529" s="903" t="s">
        <v>1516</v>
      </c>
      <c r="L1529" s="1137"/>
      <c r="M1529" s="1138">
        <f t="shared" si="163"/>
        <v>0</v>
      </c>
      <c r="N1529" s="893">
        <f t="shared" si="167"/>
        <v>0</v>
      </c>
      <c r="O1529" s="905"/>
      <c r="Q1529" s="317" t="str">
        <f t="shared" si="164"/>
        <v/>
      </c>
      <c r="R1529" s="317" t="str">
        <f t="shared" si="165"/>
        <v/>
      </c>
      <c r="S1529" s="317" t="str">
        <f t="shared" si="166"/>
        <v/>
      </c>
      <c r="T1529" s="317" t="str">
        <f>GLOBAL_DER_FEV_2023!S1529</f>
        <v/>
      </c>
      <c r="W1529" s="582">
        <v>0</v>
      </c>
      <c r="X1529" s="580"/>
      <c r="Y1529" s="583">
        <f>IF(GLOBAL_DER_FEV_2023!W1529=0,0,IF(GLOBAL_DER_FEV_2023!W1529&gt;0,"c","b"))</f>
        <v>0</v>
      </c>
    </row>
    <row r="1530" spans="1:25" ht="33.75" x14ac:dyDescent="0.2">
      <c r="A1530" s="317">
        <v>100560</v>
      </c>
      <c r="B1530" s="895">
        <v>100560</v>
      </c>
      <c r="C1530" s="896" t="s">
        <v>596</v>
      </c>
      <c r="D1530" s="906" t="s">
        <v>1455</v>
      </c>
      <c r="E1530" s="907">
        <f>GLOBAL_DER_FEV_2023!E1530</f>
        <v>0</v>
      </c>
      <c r="F1530" s="908">
        <f>GLOBAL_DER_FEV_2023!F1530</f>
        <v>0</v>
      </c>
      <c r="G1530" s="912">
        <f>GLOBAL_DER_FEV_2023!G1530</f>
        <v>0</v>
      </c>
      <c r="H1530" s="901">
        <f>GLOBAL_DER_FEV_2023!H1530</f>
        <v>139.51</v>
      </c>
      <c r="I1530" s="901">
        <f>GLOBAL_DER_FEV_2023!I1530</f>
        <v>139.51</v>
      </c>
      <c r="J1530" s="902">
        <f>GLOBAL_DER_FEV_2023!J1530</f>
        <v>167.51</v>
      </c>
      <c r="K1530" s="903" t="s">
        <v>1516</v>
      </c>
      <c r="L1530" s="1137"/>
      <c r="M1530" s="1138">
        <f t="shared" si="163"/>
        <v>0</v>
      </c>
      <c r="N1530" s="893">
        <f t="shared" si="167"/>
        <v>0</v>
      </c>
      <c r="O1530" s="905"/>
      <c r="Q1530" s="317" t="str">
        <f t="shared" si="164"/>
        <v/>
      </c>
      <c r="R1530" s="317" t="str">
        <f t="shared" si="165"/>
        <v/>
      </c>
      <c r="S1530" s="317" t="str">
        <f t="shared" si="166"/>
        <v/>
      </c>
      <c r="T1530" s="317" t="str">
        <f>GLOBAL_DER_FEV_2023!S1530</f>
        <v/>
      </c>
      <c r="W1530" s="582">
        <v>0</v>
      </c>
      <c r="X1530" s="580"/>
      <c r="Y1530" s="583">
        <f>IF(GLOBAL_DER_FEV_2023!W1530=0,0,IF(GLOBAL_DER_FEV_2023!W1530&gt;0,"c","b"))</f>
        <v>0</v>
      </c>
    </row>
    <row r="1531" spans="1:25" ht="33.75" x14ac:dyDescent="0.2">
      <c r="A1531" s="317">
        <v>100561</v>
      </c>
      <c r="B1531" s="895">
        <v>100561</v>
      </c>
      <c r="C1531" s="896" t="s">
        <v>596</v>
      </c>
      <c r="D1531" s="906" t="s">
        <v>1456</v>
      </c>
      <c r="E1531" s="907">
        <f>GLOBAL_DER_FEV_2023!E1531</f>
        <v>0</v>
      </c>
      <c r="F1531" s="908">
        <f>GLOBAL_DER_FEV_2023!F1531</f>
        <v>0</v>
      </c>
      <c r="G1531" s="912">
        <f>GLOBAL_DER_FEV_2023!G1531</f>
        <v>0</v>
      </c>
      <c r="H1531" s="901">
        <f>GLOBAL_DER_FEV_2023!H1531</f>
        <v>252.88</v>
      </c>
      <c r="I1531" s="901">
        <f>GLOBAL_DER_FEV_2023!I1531</f>
        <v>252.88</v>
      </c>
      <c r="J1531" s="902">
        <f>GLOBAL_DER_FEV_2023!J1531</f>
        <v>303.63</v>
      </c>
      <c r="K1531" s="903" t="s">
        <v>1516</v>
      </c>
      <c r="L1531" s="1137"/>
      <c r="M1531" s="1138">
        <f t="shared" si="163"/>
        <v>0</v>
      </c>
      <c r="N1531" s="893">
        <f t="shared" si="167"/>
        <v>0</v>
      </c>
      <c r="O1531" s="905"/>
      <c r="Q1531" s="317" t="str">
        <f t="shared" si="164"/>
        <v/>
      </c>
      <c r="R1531" s="317" t="str">
        <f t="shared" si="165"/>
        <v/>
      </c>
      <c r="S1531" s="317" t="str">
        <f t="shared" si="166"/>
        <v/>
      </c>
      <c r="T1531" s="317" t="str">
        <f>GLOBAL_DER_FEV_2023!S1531</f>
        <v/>
      </c>
      <c r="W1531" s="582">
        <v>0</v>
      </c>
      <c r="X1531" s="580"/>
      <c r="Y1531" s="583">
        <f>IF(GLOBAL_DER_FEV_2023!W1531=0,0,IF(GLOBAL_DER_FEV_2023!W1531&gt;0,"c","b"))</f>
        <v>0</v>
      </c>
    </row>
    <row r="1532" spans="1:25" ht="33.75" x14ac:dyDescent="0.2">
      <c r="A1532" s="317">
        <v>100562</v>
      </c>
      <c r="B1532" s="895">
        <v>100562</v>
      </c>
      <c r="C1532" s="896" t="s">
        <v>596</v>
      </c>
      <c r="D1532" s="906" t="s">
        <v>1457</v>
      </c>
      <c r="E1532" s="907">
        <f>GLOBAL_DER_FEV_2023!E1532</f>
        <v>0</v>
      </c>
      <c r="F1532" s="908">
        <f>GLOBAL_DER_FEV_2023!F1532</f>
        <v>0</v>
      </c>
      <c r="G1532" s="912">
        <f>GLOBAL_DER_FEV_2023!G1532</f>
        <v>0</v>
      </c>
      <c r="H1532" s="901">
        <f>GLOBAL_DER_FEV_2023!H1532</f>
        <v>389.51</v>
      </c>
      <c r="I1532" s="901">
        <f>GLOBAL_DER_FEV_2023!I1532</f>
        <v>389.51</v>
      </c>
      <c r="J1532" s="902">
        <f>GLOBAL_DER_FEV_2023!J1532</f>
        <v>467.68</v>
      </c>
      <c r="K1532" s="903" t="s">
        <v>1516</v>
      </c>
      <c r="L1532" s="1137"/>
      <c r="M1532" s="1138">
        <f t="shared" si="163"/>
        <v>0</v>
      </c>
      <c r="N1532" s="893">
        <f t="shared" si="167"/>
        <v>0</v>
      </c>
      <c r="O1532" s="905"/>
      <c r="Q1532" s="317" t="str">
        <f t="shared" si="164"/>
        <v/>
      </c>
      <c r="R1532" s="317" t="str">
        <f t="shared" si="165"/>
        <v/>
      </c>
      <c r="S1532" s="317" t="str">
        <f t="shared" si="166"/>
        <v/>
      </c>
      <c r="T1532" s="317" t="str">
        <f>GLOBAL_DER_FEV_2023!S1532</f>
        <v/>
      </c>
      <c r="W1532" s="582">
        <v>0</v>
      </c>
      <c r="X1532" s="580"/>
      <c r="Y1532" s="583">
        <f>IF(GLOBAL_DER_FEV_2023!W1532=0,0,IF(GLOBAL_DER_FEV_2023!W1532&gt;0,"c","b"))</f>
        <v>0</v>
      </c>
    </row>
    <row r="1533" spans="1:25" ht="22.5" x14ac:dyDescent="0.2">
      <c r="A1533" s="317">
        <v>100563</v>
      </c>
      <c r="B1533" s="895">
        <v>100563</v>
      </c>
      <c r="C1533" s="896" t="s">
        <v>596</v>
      </c>
      <c r="D1533" s="906" t="s">
        <v>1458</v>
      </c>
      <c r="E1533" s="907">
        <f>GLOBAL_DER_FEV_2023!E1533</f>
        <v>0</v>
      </c>
      <c r="F1533" s="908">
        <f>GLOBAL_DER_FEV_2023!F1533</f>
        <v>0</v>
      </c>
      <c r="G1533" s="912">
        <f>GLOBAL_DER_FEV_2023!G1533</f>
        <v>0</v>
      </c>
      <c r="H1533" s="901">
        <f>GLOBAL_DER_FEV_2023!H1533</f>
        <v>559.6</v>
      </c>
      <c r="I1533" s="901">
        <f>GLOBAL_DER_FEV_2023!I1533</f>
        <v>559.6</v>
      </c>
      <c r="J1533" s="902">
        <f>GLOBAL_DER_FEV_2023!J1533</f>
        <v>671.91</v>
      </c>
      <c r="K1533" s="903" t="s">
        <v>1516</v>
      </c>
      <c r="L1533" s="1137"/>
      <c r="M1533" s="1138">
        <f t="shared" si="163"/>
        <v>0</v>
      </c>
      <c r="N1533" s="893">
        <f t="shared" si="167"/>
        <v>0</v>
      </c>
      <c r="O1533" s="905"/>
      <c r="Q1533" s="317" t="str">
        <f t="shared" si="164"/>
        <v/>
      </c>
      <c r="R1533" s="317" t="str">
        <f t="shared" si="165"/>
        <v/>
      </c>
      <c r="S1533" s="317" t="str">
        <f t="shared" si="166"/>
        <v/>
      </c>
      <c r="T1533" s="317" t="str">
        <f>GLOBAL_DER_FEV_2023!S1533</f>
        <v/>
      </c>
      <c r="W1533" s="582">
        <v>0</v>
      </c>
      <c r="X1533" s="580"/>
      <c r="Y1533" s="583">
        <f>IF(GLOBAL_DER_FEV_2023!W1533=0,0,IF(GLOBAL_DER_FEV_2023!W1533&gt;0,"c","b"))</f>
        <v>0</v>
      </c>
    </row>
    <row r="1534" spans="1:25" ht="22.5" x14ac:dyDescent="0.2">
      <c r="A1534" s="317">
        <v>100556</v>
      </c>
      <c r="B1534" s="895">
        <v>100556</v>
      </c>
      <c r="C1534" s="896" t="s">
        <v>596</v>
      </c>
      <c r="D1534" s="906" t="s">
        <v>1459</v>
      </c>
      <c r="E1534" s="907">
        <f>GLOBAL_DER_FEV_2023!E1534</f>
        <v>0</v>
      </c>
      <c r="F1534" s="908">
        <f>GLOBAL_DER_FEV_2023!F1534</f>
        <v>0</v>
      </c>
      <c r="G1534" s="912">
        <f>GLOBAL_DER_FEV_2023!G1534</f>
        <v>0</v>
      </c>
      <c r="H1534" s="901">
        <f>GLOBAL_DER_FEV_2023!H1534</f>
        <v>51.63</v>
      </c>
      <c r="I1534" s="901">
        <f>GLOBAL_DER_FEV_2023!I1534</f>
        <v>51.63</v>
      </c>
      <c r="J1534" s="902">
        <f>GLOBAL_DER_FEV_2023!J1534</f>
        <v>61.99</v>
      </c>
      <c r="K1534" s="903" t="s">
        <v>1516</v>
      </c>
      <c r="L1534" s="1137"/>
      <c r="M1534" s="1138">
        <f t="shared" si="163"/>
        <v>0</v>
      </c>
      <c r="N1534" s="893">
        <f t="shared" si="167"/>
        <v>0</v>
      </c>
      <c r="O1534" s="905"/>
      <c r="Q1534" s="317" t="str">
        <f t="shared" si="164"/>
        <v/>
      </c>
      <c r="R1534" s="317" t="str">
        <f t="shared" si="165"/>
        <v/>
      </c>
      <c r="S1534" s="317" t="str">
        <f t="shared" si="166"/>
        <v/>
      </c>
      <c r="T1534" s="317" t="str">
        <f>GLOBAL_DER_FEV_2023!S1534</f>
        <v/>
      </c>
      <c r="W1534" s="582">
        <v>0</v>
      </c>
      <c r="X1534" s="580"/>
      <c r="Y1534" s="583">
        <f>IF(GLOBAL_DER_FEV_2023!W1534=0,0,IF(GLOBAL_DER_FEV_2023!W1534&gt;0,"c","b"))</f>
        <v>0</v>
      </c>
    </row>
    <row r="1535" spans="1:25" ht="22.5" x14ac:dyDescent="0.2">
      <c r="A1535" s="317">
        <v>100557</v>
      </c>
      <c r="B1535" s="895">
        <v>100557</v>
      </c>
      <c r="C1535" s="896" t="s">
        <v>596</v>
      </c>
      <c r="D1535" s="906" t="s">
        <v>1460</v>
      </c>
      <c r="E1535" s="907">
        <f>GLOBAL_DER_FEV_2023!E1535</f>
        <v>0</v>
      </c>
      <c r="F1535" s="908">
        <f>GLOBAL_DER_FEV_2023!F1535</f>
        <v>0</v>
      </c>
      <c r="G1535" s="912">
        <f>GLOBAL_DER_FEV_2023!G1535</f>
        <v>0</v>
      </c>
      <c r="H1535" s="901">
        <f>GLOBAL_DER_FEV_2023!H1535</f>
        <v>638.92999999999995</v>
      </c>
      <c r="I1535" s="901">
        <f>GLOBAL_DER_FEV_2023!I1535</f>
        <v>638.92999999999995</v>
      </c>
      <c r="J1535" s="902">
        <f>GLOBAL_DER_FEV_2023!J1535</f>
        <v>767.16</v>
      </c>
      <c r="K1535" s="903" t="s">
        <v>1516</v>
      </c>
      <c r="L1535" s="1137"/>
      <c r="M1535" s="1138">
        <f t="shared" si="163"/>
        <v>0</v>
      </c>
      <c r="N1535" s="893">
        <f t="shared" si="167"/>
        <v>0</v>
      </c>
      <c r="O1535" s="905"/>
      <c r="Q1535" s="317" t="str">
        <f t="shared" si="164"/>
        <v/>
      </c>
      <c r="R1535" s="317" t="str">
        <f t="shared" si="165"/>
        <v/>
      </c>
      <c r="S1535" s="317" t="str">
        <f t="shared" si="166"/>
        <v/>
      </c>
      <c r="T1535" s="317" t="str">
        <f>GLOBAL_DER_FEV_2023!S1535</f>
        <v/>
      </c>
      <c r="W1535" s="582">
        <v>0</v>
      </c>
      <c r="X1535" s="580"/>
      <c r="Y1535" s="583">
        <f>IF(GLOBAL_DER_FEV_2023!W1535=0,0,IF(GLOBAL_DER_FEV_2023!W1535&gt;0,"c","b"))</f>
        <v>0</v>
      </c>
    </row>
    <row r="1536" spans="1:25" ht="22.5" x14ac:dyDescent="0.2">
      <c r="A1536" s="317">
        <v>98294</v>
      </c>
      <c r="B1536" s="895">
        <v>98294</v>
      </c>
      <c r="C1536" s="896" t="s">
        <v>596</v>
      </c>
      <c r="D1536" s="906" t="s">
        <v>1461</v>
      </c>
      <c r="E1536" s="907">
        <f>GLOBAL_DER_FEV_2023!E1536</f>
        <v>0</v>
      </c>
      <c r="F1536" s="908">
        <f>GLOBAL_DER_FEV_2023!F1536</f>
        <v>0</v>
      </c>
      <c r="G1536" s="912">
        <f>GLOBAL_DER_FEV_2023!G1536</f>
        <v>0</v>
      </c>
      <c r="H1536" s="901">
        <f>GLOBAL_DER_FEV_2023!H1536</f>
        <v>8.24</v>
      </c>
      <c r="I1536" s="901">
        <f>GLOBAL_DER_FEV_2023!I1536</f>
        <v>8.24</v>
      </c>
      <c r="J1536" s="902">
        <f>GLOBAL_DER_FEV_2023!J1536</f>
        <v>9.89</v>
      </c>
      <c r="K1536" s="903" t="s">
        <v>62</v>
      </c>
      <c r="L1536" s="1137"/>
      <c r="M1536" s="1138">
        <f t="shared" si="163"/>
        <v>0</v>
      </c>
      <c r="N1536" s="893">
        <f t="shared" si="167"/>
        <v>0</v>
      </c>
      <c r="O1536" s="905"/>
      <c r="Q1536" s="317" t="str">
        <f t="shared" si="164"/>
        <v/>
      </c>
      <c r="R1536" s="317" t="str">
        <f t="shared" si="165"/>
        <v/>
      </c>
      <c r="S1536" s="317" t="str">
        <f t="shared" si="166"/>
        <v/>
      </c>
      <c r="T1536" s="317" t="str">
        <f>GLOBAL_DER_FEV_2023!S1536</f>
        <v/>
      </c>
      <c r="W1536" s="582">
        <v>0</v>
      </c>
      <c r="X1536" s="580"/>
      <c r="Y1536" s="583">
        <f>IF(GLOBAL_DER_FEV_2023!W1536=0,0,IF(GLOBAL_DER_FEV_2023!W1536&gt;0,"c","b"))</f>
        <v>0</v>
      </c>
    </row>
    <row r="1537" spans="1:25" ht="22.5" x14ac:dyDescent="0.2">
      <c r="A1537" s="317">
        <v>98295</v>
      </c>
      <c r="B1537" s="895">
        <v>98295</v>
      </c>
      <c r="C1537" s="896" t="s">
        <v>596</v>
      </c>
      <c r="D1537" s="906" t="s">
        <v>1462</v>
      </c>
      <c r="E1537" s="907">
        <f>GLOBAL_DER_FEV_2023!E1537</f>
        <v>0</v>
      </c>
      <c r="F1537" s="908">
        <f>GLOBAL_DER_FEV_2023!F1537</f>
        <v>0</v>
      </c>
      <c r="G1537" s="912">
        <f>GLOBAL_DER_FEV_2023!G1537</f>
        <v>0</v>
      </c>
      <c r="H1537" s="901">
        <f>GLOBAL_DER_FEV_2023!H1537</f>
        <v>7.4</v>
      </c>
      <c r="I1537" s="901">
        <f>GLOBAL_DER_FEV_2023!I1537</f>
        <v>7.4</v>
      </c>
      <c r="J1537" s="902">
        <f>GLOBAL_DER_FEV_2023!J1537</f>
        <v>8.89</v>
      </c>
      <c r="K1537" s="903" t="s">
        <v>62</v>
      </c>
      <c r="L1537" s="1137"/>
      <c r="M1537" s="1138">
        <f t="shared" si="163"/>
        <v>0</v>
      </c>
      <c r="N1537" s="893">
        <f t="shared" si="167"/>
        <v>0</v>
      </c>
      <c r="O1537" s="905"/>
      <c r="Q1537" s="317" t="str">
        <f t="shared" si="164"/>
        <v/>
      </c>
      <c r="R1537" s="317" t="str">
        <f t="shared" si="165"/>
        <v/>
      </c>
      <c r="S1537" s="317" t="str">
        <f t="shared" si="166"/>
        <v/>
      </c>
      <c r="T1537" s="317" t="str">
        <f>GLOBAL_DER_FEV_2023!S1537</f>
        <v/>
      </c>
      <c r="W1537" s="582">
        <v>0</v>
      </c>
      <c r="X1537" s="580"/>
      <c r="Y1537" s="583">
        <f>IF(GLOBAL_DER_FEV_2023!W1537=0,0,IF(GLOBAL_DER_FEV_2023!W1537&gt;0,"c","b"))</f>
        <v>0</v>
      </c>
    </row>
    <row r="1538" spans="1:25" ht="22.5" x14ac:dyDescent="0.2">
      <c r="A1538" s="317">
        <v>98296</v>
      </c>
      <c r="B1538" s="895">
        <v>98296</v>
      </c>
      <c r="C1538" s="896" t="s">
        <v>596</v>
      </c>
      <c r="D1538" s="906" t="s">
        <v>1463</v>
      </c>
      <c r="E1538" s="907">
        <f>GLOBAL_DER_FEV_2023!E1538</f>
        <v>0</v>
      </c>
      <c r="F1538" s="908">
        <f>GLOBAL_DER_FEV_2023!F1538</f>
        <v>0</v>
      </c>
      <c r="G1538" s="912">
        <f>GLOBAL_DER_FEV_2023!G1538</f>
        <v>0</v>
      </c>
      <c r="H1538" s="901">
        <f>GLOBAL_DER_FEV_2023!H1538</f>
        <v>12.01</v>
      </c>
      <c r="I1538" s="901">
        <f>GLOBAL_DER_FEV_2023!I1538</f>
        <v>12.01</v>
      </c>
      <c r="J1538" s="902">
        <f>GLOBAL_DER_FEV_2023!J1538</f>
        <v>14.42</v>
      </c>
      <c r="K1538" s="903" t="s">
        <v>62</v>
      </c>
      <c r="L1538" s="1137"/>
      <c r="M1538" s="1138">
        <f t="shared" si="163"/>
        <v>0</v>
      </c>
      <c r="N1538" s="893">
        <f t="shared" si="167"/>
        <v>0</v>
      </c>
      <c r="O1538" s="905"/>
      <c r="Q1538" s="317" t="str">
        <f t="shared" si="164"/>
        <v/>
      </c>
      <c r="R1538" s="317" t="str">
        <f t="shared" si="165"/>
        <v/>
      </c>
      <c r="S1538" s="317" t="str">
        <f t="shared" si="166"/>
        <v/>
      </c>
      <c r="T1538" s="317" t="str">
        <f>GLOBAL_DER_FEV_2023!S1538</f>
        <v/>
      </c>
      <c r="W1538" s="582">
        <v>0</v>
      </c>
      <c r="X1538" s="580"/>
      <c r="Y1538" s="583">
        <f>IF(GLOBAL_DER_FEV_2023!W1538=0,0,IF(GLOBAL_DER_FEV_2023!W1538&gt;0,"c","b"))</f>
        <v>0</v>
      </c>
    </row>
    <row r="1539" spans="1:25" ht="22.5" x14ac:dyDescent="0.2">
      <c r="A1539" s="317">
        <v>98297</v>
      </c>
      <c r="B1539" s="895">
        <v>98297</v>
      </c>
      <c r="C1539" s="896" t="s">
        <v>596</v>
      </c>
      <c r="D1539" s="906" t="s">
        <v>1464</v>
      </c>
      <c r="E1539" s="907">
        <f>GLOBAL_DER_FEV_2023!E1539</f>
        <v>0</v>
      </c>
      <c r="F1539" s="908">
        <f>GLOBAL_DER_FEV_2023!F1539</f>
        <v>0</v>
      </c>
      <c r="G1539" s="912">
        <f>GLOBAL_DER_FEV_2023!G1539</f>
        <v>0</v>
      </c>
      <c r="H1539" s="901">
        <f>GLOBAL_DER_FEV_2023!H1539</f>
        <v>10.67</v>
      </c>
      <c r="I1539" s="901">
        <f>GLOBAL_DER_FEV_2023!I1539</f>
        <v>10.67</v>
      </c>
      <c r="J1539" s="902">
        <f>GLOBAL_DER_FEV_2023!J1539</f>
        <v>12.81</v>
      </c>
      <c r="K1539" s="903" t="s">
        <v>62</v>
      </c>
      <c r="L1539" s="1137"/>
      <c r="M1539" s="1138">
        <f t="shared" si="163"/>
        <v>0</v>
      </c>
      <c r="N1539" s="893">
        <f t="shared" si="167"/>
        <v>0</v>
      </c>
      <c r="O1539" s="905"/>
      <c r="Q1539" s="317" t="str">
        <f t="shared" si="164"/>
        <v/>
      </c>
      <c r="R1539" s="317" t="str">
        <f t="shared" si="165"/>
        <v/>
      </c>
      <c r="S1539" s="317" t="str">
        <f t="shared" si="166"/>
        <v/>
      </c>
      <c r="T1539" s="317" t="str">
        <f>GLOBAL_DER_FEV_2023!S1539</f>
        <v/>
      </c>
      <c r="W1539" s="582">
        <v>0</v>
      </c>
      <c r="X1539" s="580"/>
      <c r="Y1539" s="583">
        <f>IF(GLOBAL_DER_FEV_2023!W1539=0,0,IF(GLOBAL_DER_FEV_2023!W1539&gt;0,"c","b"))</f>
        <v>0</v>
      </c>
    </row>
    <row r="1540" spans="1:25" ht="22.5" x14ac:dyDescent="0.2">
      <c r="A1540" s="317">
        <v>98301</v>
      </c>
      <c r="B1540" s="895">
        <v>98301</v>
      </c>
      <c r="C1540" s="896" t="s">
        <v>596</v>
      </c>
      <c r="D1540" s="906" t="s">
        <v>1465</v>
      </c>
      <c r="E1540" s="907">
        <f>GLOBAL_DER_FEV_2023!E1540</f>
        <v>0</v>
      </c>
      <c r="F1540" s="908">
        <f>GLOBAL_DER_FEV_2023!F1540</f>
        <v>0</v>
      </c>
      <c r="G1540" s="912">
        <f>GLOBAL_DER_FEV_2023!G1540</f>
        <v>0</v>
      </c>
      <c r="H1540" s="901">
        <f>GLOBAL_DER_FEV_2023!H1540</f>
        <v>792.1</v>
      </c>
      <c r="I1540" s="901">
        <f>GLOBAL_DER_FEV_2023!I1540</f>
        <v>792.1</v>
      </c>
      <c r="J1540" s="902">
        <f>GLOBAL_DER_FEV_2023!J1540</f>
        <v>951.07</v>
      </c>
      <c r="K1540" s="903" t="s">
        <v>1516</v>
      </c>
      <c r="L1540" s="1137"/>
      <c r="M1540" s="1138">
        <f t="shared" si="163"/>
        <v>0</v>
      </c>
      <c r="N1540" s="893">
        <f t="shared" si="167"/>
        <v>0</v>
      </c>
      <c r="O1540" s="905"/>
      <c r="Q1540" s="317" t="str">
        <f t="shared" si="164"/>
        <v/>
      </c>
      <c r="R1540" s="317" t="str">
        <f t="shared" si="165"/>
        <v/>
      </c>
      <c r="S1540" s="317" t="str">
        <f t="shared" si="166"/>
        <v/>
      </c>
      <c r="T1540" s="317" t="str">
        <f>GLOBAL_DER_FEV_2023!S1540</f>
        <v/>
      </c>
      <c r="W1540" s="582">
        <v>0</v>
      </c>
      <c r="X1540" s="580"/>
      <c r="Y1540" s="583">
        <f>IF(GLOBAL_DER_FEV_2023!W1540=0,0,IF(GLOBAL_DER_FEV_2023!W1540&gt;0,"c","b"))</f>
        <v>0</v>
      </c>
    </row>
    <row r="1541" spans="1:25" x14ac:dyDescent="0.2">
      <c r="A1541" s="317">
        <v>98302</v>
      </c>
      <c r="B1541" s="895">
        <v>98302</v>
      </c>
      <c r="C1541" s="896" t="s">
        <v>596</v>
      </c>
      <c r="D1541" s="906" t="s">
        <v>1466</v>
      </c>
      <c r="E1541" s="907">
        <f>GLOBAL_DER_FEV_2023!E1541</f>
        <v>0</v>
      </c>
      <c r="F1541" s="908">
        <f>GLOBAL_DER_FEV_2023!F1541</f>
        <v>0</v>
      </c>
      <c r="G1541" s="912">
        <f>GLOBAL_DER_FEV_2023!G1541</f>
        <v>0</v>
      </c>
      <c r="H1541" s="901">
        <f>GLOBAL_DER_FEV_2023!H1541</f>
        <v>1496.89</v>
      </c>
      <c r="I1541" s="901">
        <f>GLOBAL_DER_FEV_2023!I1541</f>
        <v>1496.89</v>
      </c>
      <c r="J1541" s="902">
        <f>GLOBAL_DER_FEV_2023!J1541</f>
        <v>1797.32</v>
      </c>
      <c r="K1541" s="903" t="s">
        <v>1516</v>
      </c>
      <c r="L1541" s="1137"/>
      <c r="M1541" s="1138">
        <f t="shared" si="163"/>
        <v>0</v>
      </c>
      <c r="N1541" s="893">
        <f t="shared" si="167"/>
        <v>0</v>
      </c>
      <c r="O1541" s="905"/>
      <c r="Q1541" s="317" t="str">
        <f t="shared" si="164"/>
        <v/>
      </c>
      <c r="R1541" s="317" t="str">
        <f t="shared" si="165"/>
        <v/>
      </c>
      <c r="S1541" s="317" t="str">
        <f t="shared" si="166"/>
        <v/>
      </c>
      <c r="T1541" s="317" t="str">
        <f>GLOBAL_DER_FEV_2023!S1541</f>
        <v/>
      </c>
      <c r="W1541" s="582">
        <v>0</v>
      </c>
      <c r="X1541" s="580"/>
      <c r="Y1541" s="583">
        <f>IF(GLOBAL_DER_FEV_2023!W1541=0,0,IF(GLOBAL_DER_FEV_2023!W1541&gt;0,"c","b"))</f>
        <v>0</v>
      </c>
    </row>
    <row r="1542" spans="1:25" x14ac:dyDescent="0.2">
      <c r="A1542" s="317">
        <v>98304</v>
      </c>
      <c r="B1542" s="895">
        <v>98304</v>
      </c>
      <c r="C1542" s="896" t="s">
        <v>596</v>
      </c>
      <c r="D1542" s="906" t="s">
        <v>1467</v>
      </c>
      <c r="E1542" s="907">
        <f>GLOBAL_DER_FEV_2023!E1542</f>
        <v>0</v>
      </c>
      <c r="F1542" s="908">
        <f>GLOBAL_DER_FEV_2023!F1542</f>
        <v>0</v>
      </c>
      <c r="G1542" s="912">
        <f>GLOBAL_DER_FEV_2023!G1542</f>
        <v>0</v>
      </c>
      <c r="H1542" s="901">
        <f>GLOBAL_DER_FEV_2023!H1542</f>
        <v>4703.87</v>
      </c>
      <c r="I1542" s="901">
        <f>GLOBAL_DER_FEV_2023!I1542</f>
        <v>4703.87</v>
      </c>
      <c r="J1542" s="902">
        <f>GLOBAL_DER_FEV_2023!J1542</f>
        <v>5647.94</v>
      </c>
      <c r="K1542" s="903" t="s">
        <v>1516</v>
      </c>
      <c r="L1542" s="1137"/>
      <c r="M1542" s="1138">
        <f t="shared" ref="M1542:M1605" si="168">IF(L1542=0,0,ROUND(J1542,2))</f>
        <v>0</v>
      </c>
      <c r="N1542" s="893">
        <f t="shared" si="167"/>
        <v>0</v>
      </c>
      <c r="O1542" s="905"/>
      <c r="Q1542" s="317" t="str">
        <f t="shared" si="164"/>
        <v/>
      </c>
      <c r="R1542" s="317" t="str">
        <f t="shared" si="165"/>
        <v/>
      </c>
      <c r="S1542" s="317" t="str">
        <f t="shared" si="166"/>
        <v/>
      </c>
      <c r="T1542" s="317" t="str">
        <f>GLOBAL_DER_FEV_2023!S1542</f>
        <v/>
      </c>
      <c r="W1542" s="582">
        <v>0</v>
      </c>
      <c r="X1542" s="580"/>
      <c r="Y1542" s="583">
        <f>IF(GLOBAL_DER_FEV_2023!W1542=0,0,IF(GLOBAL_DER_FEV_2023!W1542&gt;0,"c","b"))</f>
        <v>0</v>
      </c>
    </row>
    <row r="1543" spans="1:25" x14ac:dyDescent="0.2">
      <c r="A1543" s="317">
        <v>98307</v>
      </c>
      <c r="B1543" s="895">
        <v>98307</v>
      </c>
      <c r="C1543" s="896" t="s">
        <v>596</v>
      </c>
      <c r="D1543" s="906" t="s">
        <v>1468</v>
      </c>
      <c r="E1543" s="907">
        <f>GLOBAL_DER_FEV_2023!E1543</f>
        <v>0</v>
      </c>
      <c r="F1543" s="908">
        <f>GLOBAL_DER_FEV_2023!F1543</f>
        <v>0</v>
      </c>
      <c r="G1543" s="912">
        <f>GLOBAL_DER_FEV_2023!G1543</f>
        <v>0</v>
      </c>
      <c r="H1543" s="901">
        <f>GLOBAL_DER_FEV_2023!H1543</f>
        <v>54.02</v>
      </c>
      <c r="I1543" s="901">
        <f>GLOBAL_DER_FEV_2023!I1543</f>
        <v>54.02</v>
      </c>
      <c r="J1543" s="902">
        <f>GLOBAL_DER_FEV_2023!J1543</f>
        <v>64.86</v>
      </c>
      <c r="K1543" s="903" t="s">
        <v>1516</v>
      </c>
      <c r="L1543" s="1137"/>
      <c r="M1543" s="1138">
        <f t="shared" si="168"/>
        <v>0</v>
      </c>
      <c r="N1543" s="893">
        <f t="shared" si="167"/>
        <v>0</v>
      </c>
      <c r="O1543" s="905"/>
      <c r="Q1543" s="317" t="str">
        <f t="shared" si="164"/>
        <v/>
      </c>
      <c r="R1543" s="317" t="str">
        <f t="shared" si="165"/>
        <v/>
      </c>
      <c r="S1543" s="317" t="str">
        <f t="shared" si="166"/>
        <v/>
      </c>
      <c r="T1543" s="317" t="str">
        <f>GLOBAL_DER_FEV_2023!S1543</f>
        <v/>
      </c>
      <c r="W1543" s="582">
        <v>0</v>
      </c>
      <c r="X1543" s="580"/>
      <c r="Y1543" s="583">
        <f>IF(GLOBAL_DER_FEV_2023!W1543=0,0,IF(GLOBAL_DER_FEV_2023!W1543&gt;0,"c","b"))</f>
        <v>0</v>
      </c>
    </row>
    <row r="1544" spans="1:25" x14ac:dyDescent="0.2">
      <c r="A1544" s="317">
        <v>98308</v>
      </c>
      <c r="B1544" s="895">
        <v>98308</v>
      </c>
      <c r="C1544" s="896" t="s">
        <v>596</v>
      </c>
      <c r="D1544" s="906" t="s">
        <v>1469</v>
      </c>
      <c r="E1544" s="907">
        <f>GLOBAL_DER_FEV_2023!E1544</f>
        <v>0</v>
      </c>
      <c r="F1544" s="908">
        <f>GLOBAL_DER_FEV_2023!F1544</f>
        <v>0</v>
      </c>
      <c r="G1544" s="912">
        <f>GLOBAL_DER_FEV_2023!G1544</f>
        <v>0</v>
      </c>
      <c r="H1544" s="901">
        <f>GLOBAL_DER_FEV_2023!H1544</f>
        <v>35.97</v>
      </c>
      <c r="I1544" s="901">
        <f>GLOBAL_DER_FEV_2023!I1544</f>
        <v>35.97</v>
      </c>
      <c r="J1544" s="902">
        <f>GLOBAL_DER_FEV_2023!J1544</f>
        <v>43.19</v>
      </c>
      <c r="K1544" s="903" t="s">
        <v>1516</v>
      </c>
      <c r="L1544" s="1137"/>
      <c r="M1544" s="1138">
        <f t="shared" si="168"/>
        <v>0</v>
      </c>
      <c r="N1544" s="893">
        <f t="shared" si="167"/>
        <v>0</v>
      </c>
      <c r="O1544" s="905"/>
      <c r="Q1544" s="317" t="str">
        <f t="shared" si="164"/>
        <v/>
      </c>
      <c r="R1544" s="317" t="str">
        <f t="shared" si="165"/>
        <v/>
      </c>
      <c r="S1544" s="317" t="str">
        <f t="shared" si="166"/>
        <v/>
      </c>
      <c r="T1544" s="317" t="str">
        <f>GLOBAL_DER_FEV_2023!S1544</f>
        <v/>
      </c>
      <c r="W1544" s="582">
        <v>0</v>
      </c>
      <c r="X1544" s="580"/>
      <c r="Y1544" s="583">
        <f>IF(GLOBAL_DER_FEV_2023!W1544=0,0,IF(GLOBAL_DER_FEV_2023!W1544&gt;0,"c","b"))</f>
        <v>0</v>
      </c>
    </row>
    <row r="1545" spans="1:25" ht="22.5" x14ac:dyDescent="0.2">
      <c r="A1545" s="317">
        <v>98593</v>
      </c>
      <c r="B1545" s="895">
        <v>98593</v>
      </c>
      <c r="C1545" s="896" t="s">
        <v>596</v>
      </c>
      <c r="D1545" s="906" t="s">
        <v>1470</v>
      </c>
      <c r="E1545" s="907">
        <f>GLOBAL_DER_FEV_2023!E1545</f>
        <v>0</v>
      </c>
      <c r="F1545" s="908">
        <f>GLOBAL_DER_FEV_2023!F1545</f>
        <v>0</v>
      </c>
      <c r="G1545" s="912">
        <f>GLOBAL_DER_FEV_2023!G1545</f>
        <v>0</v>
      </c>
      <c r="H1545" s="901">
        <f>GLOBAL_DER_FEV_2023!H1545</f>
        <v>3266.78</v>
      </c>
      <c r="I1545" s="901">
        <f>GLOBAL_DER_FEV_2023!I1545</f>
        <v>3266.78</v>
      </c>
      <c r="J1545" s="902">
        <f>GLOBAL_DER_FEV_2023!J1545</f>
        <v>3922.42</v>
      </c>
      <c r="K1545" s="903" t="s">
        <v>1516</v>
      </c>
      <c r="L1545" s="1137"/>
      <c r="M1545" s="1138">
        <f t="shared" si="168"/>
        <v>0</v>
      </c>
      <c r="N1545" s="893">
        <f t="shared" si="167"/>
        <v>0</v>
      </c>
      <c r="O1545" s="905"/>
      <c r="Q1545" s="317" t="str">
        <f t="shared" si="164"/>
        <v/>
      </c>
      <c r="R1545" s="317" t="str">
        <f t="shared" si="165"/>
        <v/>
      </c>
      <c r="S1545" s="317" t="str">
        <f t="shared" si="166"/>
        <v/>
      </c>
      <c r="T1545" s="317" t="str">
        <f>GLOBAL_DER_FEV_2023!S1545</f>
        <v/>
      </c>
      <c r="W1545" s="582">
        <v>0</v>
      </c>
      <c r="X1545" s="580"/>
      <c r="Y1545" s="583">
        <f>IF(GLOBAL_DER_FEV_2023!W1545=0,0,IF(GLOBAL_DER_FEV_2023!W1545&gt;0,"c","b"))</f>
        <v>0</v>
      </c>
    </row>
    <row r="1546" spans="1:25" ht="22.5" x14ac:dyDescent="0.2">
      <c r="A1546" s="317">
        <v>98400</v>
      </c>
      <c r="B1546" s="895">
        <v>98400</v>
      </c>
      <c r="C1546" s="896" t="s">
        <v>596</v>
      </c>
      <c r="D1546" s="906" t="s">
        <v>1471</v>
      </c>
      <c r="E1546" s="907">
        <f>GLOBAL_DER_FEV_2023!E1546</f>
        <v>0</v>
      </c>
      <c r="F1546" s="908">
        <f>GLOBAL_DER_FEV_2023!F1546</f>
        <v>0</v>
      </c>
      <c r="G1546" s="912">
        <f>GLOBAL_DER_FEV_2023!G1546</f>
        <v>0</v>
      </c>
      <c r="H1546" s="901">
        <f>GLOBAL_DER_FEV_2023!H1546</f>
        <v>16.71</v>
      </c>
      <c r="I1546" s="901">
        <f>GLOBAL_DER_FEV_2023!I1546</f>
        <v>16.71</v>
      </c>
      <c r="J1546" s="902">
        <f>GLOBAL_DER_FEV_2023!J1546</f>
        <v>20.059999999999999</v>
      </c>
      <c r="K1546" s="903" t="s">
        <v>62</v>
      </c>
      <c r="L1546" s="1137"/>
      <c r="M1546" s="1138">
        <f t="shared" si="168"/>
        <v>0</v>
      </c>
      <c r="N1546" s="893">
        <f t="shared" si="167"/>
        <v>0</v>
      </c>
      <c r="O1546" s="905"/>
      <c r="Q1546" s="317" t="str">
        <f t="shared" si="164"/>
        <v/>
      </c>
      <c r="R1546" s="317" t="str">
        <f t="shared" si="165"/>
        <v/>
      </c>
      <c r="S1546" s="317" t="str">
        <f t="shared" si="166"/>
        <v/>
      </c>
      <c r="T1546" s="317" t="str">
        <f>GLOBAL_DER_FEV_2023!S1546</f>
        <v/>
      </c>
      <c r="W1546" s="582">
        <v>0</v>
      </c>
      <c r="X1546" s="580"/>
      <c r="Y1546" s="583">
        <f>IF(GLOBAL_DER_FEV_2023!W1546=0,0,IF(GLOBAL_DER_FEV_2023!W1546&gt;0,"c","b"))</f>
        <v>0</v>
      </c>
    </row>
    <row r="1547" spans="1:25" ht="22.5" x14ac:dyDescent="0.2">
      <c r="A1547" s="317">
        <v>98401</v>
      </c>
      <c r="B1547" s="895">
        <v>98401</v>
      </c>
      <c r="C1547" s="896" t="s">
        <v>596</v>
      </c>
      <c r="D1547" s="906" t="s">
        <v>1472</v>
      </c>
      <c r="E1547" s="907">
        <f>GLOBAL_DER_FEV_2023!E1547</f>
        <v>0</v>
      </c>
      <c r="F1547" s="908">
        <f>GLOBAL_DER_FEV_2023!F1547</f>
        <v>0</v>
      </c>
      <c r="G1547" s="912">
        <f>GLOBAL_DER_FEV_2023!G1547</f>
        <v>0</v>
      </c>
      <c r="H1547" s="901">
        <f>GLOBAL_DER_FEV_2023!H1547</f>
        <v>25.99</v>
      </c>
      <c r="I1547" s="901">
        <f>GLOBAL_DER_FEV_2023!I1547</f>
        <v>25.99</v>
      </c>
      <c r="J1547" s="902">
        <f>GLOBAL_DER_FEV_2023!J1547</f>
        <v>31.21</v>
      </c>
      <c r="K1547" s="903" t="s">
        <v>62</v>
      </c>
      <c r="L1547" s="1137"/>
      <c r="M1547" s="1138">
        <f t="shared" si="168"/>
        <v>0</v>
      </c>
      <c r="N1547" s="893">
        <f t="shared" si="167"/>
        <v>0</v>
      </c>
      <c r="O1547" s="905"/>
      <c r="Q1547" s="317" t="str">
        <f t="shared" si="164"/>
        <v/>
      </c>
      <c r="R1547" s="317" t="str">
        <f t="shared" si="165"/>
        <v/>
      </c>
      <c r="S1547" s="317" t="str">
        <f t="shared" si="166"/>
        <v/>
      </c>
      <c r="T1547" s="317" t="str">
        <f>GLOBAL_DER_FEV_2023!S1547</f>
        <v/>
      </c>
      <c r="W1547" s="582">
        <v>0</v>
      </c>
      <c r="X1547" s="580"/>
      <c r="Y1547" s="583">
        <f>IF(GLOBAL_DER_FEV_2023!W1547=0,0,IF(GLOBAL_DER_FEV_2023!W1547&gt;0,"c","b"))</f>
        <v>0</v>
      </c>
    </row>
    <row r="1548" spans="1:25" ht="22.5" x14ac:dyDescent="0.2">
      <c r="A1548" s="317">
        <v>98402</v>
      </c>
      <c r="B1548" s="895">
        <v>98402</v>
      </c>
      <c r="C1548" s="896" t="s">
        <v>596</v>
      </c>
      <c r="D1548" s="906" t="s">
        <v>1473</v>
      </c>
      <c r="E1548" s="907">
        <f>GLOBAL_DER_FEV_2023!E1548</f>
        <v>0</v>
      </c>
      <c r="F1548" s="908">
        <f>GLOBAL_DER_FEV_2023!F1548</f>
        <v>0</v>
      </c>
      <c r="G1548" s="912">
        <f>GLOBAL_DER_FEV_2023!G1548</f>
        <v>0</v>
      </c>
      <c r="H1548" s="901">
        <f>GLOBAL_DER_FEV_2023!H1548</f>
        <v>30.27</v>
      </c>
      <c r="I1548" s="901">
        <f>GLOBAL_DER_FEV_2023!I1548</f>
        <v>30.27</v>
      </c>
      <c r="J1548" s="902">
        <f>GLOBAL_DER_FEV_2023!J1548</f>
        <v>36.35</v>
      </c>
      <c r="K1548" s="903" t="s">
        <v>62</v>
      </c>
      <c r="L1548" s="1137"/>
      <c r="M1548" s="1138">
        <f t="shared" si="168"/>
        <v>0</v>
      </c>
      <c r="N1548" s="893">
        <f t="shared" si="167"/>
        <v>0</v>
      </c>
      <c r="O1548" s="905"/>
      <c r="Q1548" s="317" t="str">
        <f t="shared" si="164"/>
        <v/>
      </c>
      <c r="R1548" s="317" t="str">
        <f t="shared" si="165"/>
        <v/>
      </c>
      <c r="S1548" s="317" t="str">
        <f t="shared" si="166"/>
        <v/>
      </c>
      <c r="T1548" s="317" t="str">
        <f>GLOBAL_DER_FEV_2023!S1548</f>
        <v/>
      </c>
      <c r="W1548" s="582">
        <v>0</v>
      </c>
      <c r="X1548" s="580"/>
      <c r="Y1548" s="583">
        <f>IF(GLOBAL_DER_FEV_2023!W1548=0,0,IF(GLOBAL_DER_FEV_2023!W1548&gt;0,"c","b"))</f>
        <v>0</v>
      </c>
    </row>
    <row r="1549" spans="1:25" ht="22.5" x14ac:dyDescent="0.2">
      <c r="A1549" s="317">
        <v>98267</v>
      </c>
      <c r="B1549" s="895">
        <v>98267</v>
      </c>
      <c r="C1549" s="896" t="s">
        <v>596</v>
      </c>
      <c r="D1549" s="906" t="s">
        <v>1474</v>
      </c>
      <c r="E1549" s="907">
        <f>GLOBAL_DER_FEV_2023!E1549</f>
        <v>0</v>
      </c>
      <c r="F1549" s="908">
        <f>GLOBAL_DER_FEV_2023!F1549</f>
        <v>0</v>
      </c>
      <c r="G1549" s="912">
        <f>GLOBAL_DER_FEV_2023!G1549</f>
        <v>0</v>
      </c>
      <c r="H1549" s="901">
        <f>GLOBAL_DER_FEV_2023!H1549</f>
        <v>13.69</v>
      </c>
      <c r="I1549" s="901">
        <f>GLOBAL_DER_FEV_2023!I1549</f>
        <v>13.69</v>
      </c>
      <c r="J1549" s="902">
        <f>GLOBAL_DER_FEV_2023!J1549</f>
        <v>16.440000000000001</v>
      </c>
      <c r="K1549" s="903" t="s">
        <v>62</v>
      </c>
      <c r="L1549" s="1137"/>
      <c r="M1549" s="1138">
        <f t="shared" si="168"/>
        <v>0</v>
      </c>
      <c r="N1549" s="893">
        <f t="shared" si="167"/>
        <v>0</v>
      </c>
      <c r="O1549" s="905"/>
      <c r="Q1549" s="317" t="str">
        <f t="shared" si="164"/>
        <v/>
      </c>
      <c r="R1549" s="317" t="str">
        <f t="shared" si="165"/>
        <v/>
      </c>
      <c r="S1549" s="317" t="str">
        <f t="shared" si="166"/>
        <v/>
      </c>
      <c r="T1549" s="317" t="str">
        <f>GLOBAL_DER_FEV_2023!S1549</f>
        <v/>
      </c>
      <c r="W1549" s="582">
        <v>0</v>
      </c>
      <c r="X1549" s="580"/>
      <c r="Y1549" s="583">
        <f>IF(GLOBAL_DER_FEV_2023!W1549=0,0,IF(GLOBAL_DER_FEV_2023!W1549&gt;0,"c","b"))</f>
        <v>0</v>
      </c>
    </row>
    <row r="1550" spans="1:25" ht="22.5" x14ac:dyDescent="0.2">
      <c r="A1550" s="317">
        <v>98268</v>
      </c>
      <c r="B1550" s="895">
        <v>98268</v>
      </c>
      <c r="C1550" s="896" t="s">
        <v>596</v>
      </c>
      <c r="D1550" s="906" t="s">
        <v>1475</v>
      </c>
      <c r="E1550" s="907">
        <f>GLOBAL_DER_FEV_2023!E1550</f>
        <v>0</v>
      </c>
      <c r="F1550" s="908">
        <f>GLOBAL_DER_FEV_2023!F1550</f>
        <v>0</v>
      </c>
      <c r="G1550" s="912">
        <f>GLOBAL_DER_FEV_2023!G1550</f>
        <v>0</v>
      </c>
      <c r="H1550" s="901">
        <f>GLOBAL_DER_FEV_2023!H1550</f>
        <v>21.8</v>
      </c>
      <c r="I1550" s="901">
        <f>GLOBAL_DER_FEV_2023!I1550</f>
        <v>21.8</v>
      </c>
      <c r="J1550" s="902">
        <f>GLOBAL_DER_FEV_2023!J1550</f>
        <v>26.18</v>
      </c>
      <c r="K1550" s="903" t="s">
        <v>62</v>
      </c>
      <c r="L1550" s="1137"/>
      <c r="M1550" s="1138">
        <f t="shared" si="168"/>
        <v>0</v>
      </c>
      <c r="N1550" s="893">
        <f t="shared" si="167"/>
        <v>0</v>
      </c>
      <c r="O1550" s="905"/>
      <c r="Q1550" s="317" t="str">
        <f t="shared" si="164"/>
        <v/>
      </c>
      <c r="R1550" s="317" t="str">
        <f t="shared" si="165"/>
        <v/>
      </c>
      <c r="S1550" s="317" t="str">
        <f t="shared" si="166"/>
        <v/>
      </c>
      <c r="T1550" s="317" t="str">
        <f>GLOBAL_DER_FEV_2023!S1550</f>
        <v/>
      </c>
      <c r="W1550" s="582">
        <v>0</v>
      </c>
      <c r="X1550" s="580"/>
      <c r="Y1550" s="583">
        <f>IF(GLOBAL_DER_FEV_2023!W1550=0,0,IF(GLOBAL_DER_FEV_2023!W1550&gt;0,"c","b"))</f>
        <v>0</v>
      </c>
    </row>
    <row r="1551" spans="1:25" ht="22.5" x14ac:dyDescent="0.2">
      <c r="A1551" s="317">
        <v>98269</v>
      </c>
      <c r="B1551" s="895">
        <v>98269</v>
      </c>
      <c r="C1551" s="896" t="s">
        <v>596</v>
      </c>
      <c r="D1551" s="906" t="s">
        <v>1476</v>
      </c>
      <c r="E1551" s="907">
        <f>GLOBAL_DER_FEV_2023!E1551</f>
        <v>0</v>
      </c>
      <c r="F1551" s="908">
        <f>GLOBAL_DER_FEV_2023!F1551</f>
        <v>0</v>
      </c>
      <c r="G1551" s="912">
        <f>GLOBAL_DER_FEV_2023!G1551</f>
        <v>0</v>
      </c>
      <c r="H1551" s="901">
        <f>GLOBAL_DER_FEV_2023!H1551</f>
        <v>29.62</v>
      </c>
      <c r="I1551" s="901">
        <f>GLOBAL_DER_FEV_2023!I1551</f>
        <v>29.62</v>
      </c>
      <c r="J1551" s="902">
        <f>GLOBAL_DER_FEV_2023!J1551</f>
        <v>35.56</v>
      </c>
      <c r="K1551" s="903" t="s">
        <v>62</v>
      </c>
      <c r="L1551" s="1137"/>
      <c r="M1551" s="1138">
        <f t="shared" si="168"/>
        <v>0</v>
      </c>
      <c r="N1551" s="893">
        <f t="shared" si="167"/>
        <v>0</v>
      </c>
      <c r="O1551" s="905"/>
      <c r="Q1551" s="317" t="str">
        <f t="shared" si="164"/>
        <v/>
      </c>
      <c r="R1551" s="317" t="str">
        <f t="shared" si="165"/>
        <v/>
      </c>
      <c r="S1551" s="317" t="str">
        <f t="shared" si="166"/>
        <v/>
      </c>
      <c r="T1551" s="317" t="str">
        <f>GLOBAL_DER_FEV_2023!S1551</f>
        <v/>
      </c>
      <c r="W1551" s="582">
        <v>0</v>
      </c>
      <c r="X1551" s="580"/>
      <c r="Y1551" s="583">
        <f>IF(GLOBAL_DER_FEV_2023!W1551=0,0,IF(GLOBAL_DER_FEV_2023!W1551&gt;0,"c","b"))</f>
        <v>0</v>
      </c>
    </row>
    <row r="1552" spans="1:25" ht="22.5" x14ac:dyDescent="0.2">
      <c r="A1552" s="317">
        <v>98270</v>
      </c>
      <c r="B1552" s="895">
        <v>98270</v>
      </c>
      <c r="C1552" s="896" t="s">
        <v>596</v>
      </c>
      <c r="D1552" s="906" t="s">
        <v>1477</v>
      </c>
      <c r="E1552" s="907">
        <f>GLOBAL_DER_FEV_2023!E1552</f>
        <v>0</v>
      </c>
      <c r="F1552" s="908">
        <f>GLOBAL_DER_FEV_2023!F1552</f>
        <v>0</v>
      </c>
      <c r="G1552" s="912">
        <f>GLOBAL_DER_FEV_2023!G1552</f>
        <v>0</v>
      </c>
      <c r="H1552" s="901">
        <f>GLOBAL_DER_FEV_2023!H1552</f>
        <v>44.42</v>
      </c>
      <c r="I1552" s="901">
        <f>GLOBAL_DER_FEV_2023!I1552</f>
        <v>44.42</v>
      </c>
      <c r="J1552" s="902">
        <f>GLOBAL_DER_FEV_2023!J1552</f>
        <v>53.34</v>
      </c>
      <c r="K1552" s="903" t="s">
        <v>62</v>
      </c>
      <c r="L1552" s="1137"/>
      <c r="M1552" s="1138">
        <f t="shared" si="168"/>
        <v>0</v>
      </c>
      <c r="N1552" s="893">
        <f t="shared" si="167"/>
        <v>0</v>
      </c>
      <c r="O1552" s="905"/>
      <c r="Q1552" s="317" t="str">
        <f t="shared" si="164"/>
        <v/>
      </c>
      <c r="R1552" s="317" t="str">
        <f t="shared" si="165"/>
        <v/>
      </c>
      <c r="S1552" s="317" t="str">
        <f t="shared" si="166"/>
        <v/>
      </c>
      <c r="T1552" s="317" t="str">
        <f>GLOBAL_DER_FEV_2023!S1552</f>
        <v/>
      </c>
      <c r="W1552" s="582">
        <v>0</v>
      </c>
      <c r="X1552" s="580"/>
      <c r="Y1552" s="583">
        <f>IF(GLOBAL_DER_FEV_2023!W1552=0,0,IF(GLOBAL_DER_FEV_2023!W1552&gt;0,"c","b"))</f>
        <v>0</v>
      </c>
    </row>
    <row r="1553" spans="1:25" ht="22.5" x14ac:dyDescent="0.2">
      <c r="A1553" s="317">
        <v>98271</v>
      </c>
      <c r="B1553" s="895">
        <v>98271</v>
      </c>
      <c r="C1553" s="896" t="s">
        <v>596</v>
      </c>
      <c r="D1553" s="906" t="s">
        <v>1478</v>
      </c>
      <c r="E1553" s="907">
        <f>GLOBAL_DER_FEV_2023!E1553</f>
        <v>0</v>
      </c>
      <c r="F1553" s="908">
        <f>GLOBAL_DER_FEV_2023!F1553</f>
        <v>0</v>
      </c>
      <c r="G1553" s="912">
        <f>GLOBAL_DER_FEV_2023!G1553</f>
        <v>0</v>
      </c>
      <c r="H1553" s="901">
        <f>GLOBAL_DER_FEV_2023!H1553</f>
        <v>62.23</v>
      </c>
      <c r="I1553" s="901">
        <f>GLOBAL_DER_FEV_2023!I1553</f>
        <v>62.23</v>
      </c>
      <c r="J1553" s="902">
        <f>GLOBAL_DER_FEV_2023!J1553</f>
        <v>74.72</v>
      </c>
      <c r="K1553" s="903" t="s">
        <v>62</v>
      </c>
      <c r="L1553" s="1137"/>
      <c r="M1553" s="1138">
        <f t="shared" si="168"/>
        <v>0</v>
      </c>
      <c r="N1553" s="893">
        <f t="shared" si="167"/>
        <v>0</v>
      </c>
      <c r="O1553" s="905"/>
      <c r="Q1553" s="317" t="str">
        <f t="shared" ref="Q1553:Q1616" si="169">IF(P1553="X","x",IF(P1553="xx","x",IF(P1553="xy","x",IF(P1553="y","x",IF(OR(N1553&gt;0,N1553&gt;0),"x","")))))</f>
        <v/>
      </c>
      <c r="R1553" s="317" t="str">
        <f t="shared" si="165"/>
        <v/>
      </c>
      <c r="S1553" s="317" t="str">
        <f t="shared" si="166"/>
        <v/>
      </c>
      <c r="T1553" s="317" t="str">
        <f>GLOBAL_DER_FEV_2023!S1553</f>
        <v/>
      </c>
      <c r="W1553" s="582">
        <v>0</v>
      </c>
      <c r="X1553" s="580"/>
      <c r="Y1553" s="583">
        <f>IF(GLOBAL_DER_FEV_2023!W1553=0,0,IF(GLOBAL_DER_FEV_2023!W1553&gt;0,"c","b"))</f>
        <v>0</v>
      </c>
    </row>
    <row r="1554" spans="1:25" ht="22.5" x14ac:dyDescent="0.2">
      <c r="A1554" s="317">
        <v>98272</v>
      </c>
      <c r="B1554" s="895">
        <v>98272</v>
      </c>
      <c r="C1554" s="896" t="s">
        <v>596</v>
      </c>
      <c r="D1554" s="906" t="s">
        <v>1479</v>
      </c>
      <c r="E1554" s="907">
        <f>GLOBAL_DER_FEV_2023!E1554</f>
        <v>0</v>
      </c>
      <c r="F1554" s="908">
        <f>GLOBAL_DER_FEV_2023!F1554</f>
        <v>0</v>
      </c>
      <c r="G1554" s="912">
        <f>GLOBAL_DER_FEV_2023!G1554</f>
        <v>0</v>
      </c>
      <c r="H1554" s="901">
        <f>GLOBAL_DER_FEV_2023!H1554</f>
        <v>142.05000000000001</v>
      </c>
      <c r="I1554" s="901">
        <f>GLOBAL_DER_FEV_2023!I1554</f>
        <v>142.05000000000001</v>
      </c>
      <c r="J1554" s="902">
        <f>GLOBAL_DER_FEV_2023!J1554</f>
        <v>170.56</v>
      </c>
      <c r="K1554" s="903" t="s">
        <v>62</v>
      </c>
      <c r="L1554" s="1137"/>
      <c r="M1554" s="1138">
        <f t="shared" si="168"/>
        <v>0</v>
      </c>
      <c r="N1554" s="893">
        <f t="shared" si="167"/>
        <v>0</v>
      </c>
      <c r="O1554" s="905"/>
      <c r="Q1554" s="317" t="str">
        <f t="shared" si="169"/>
        <v/>
      </c>
      <c r="R1554" s="317" t="str">
        <f t="shared" si="165"/>
        <v/>
      </c>
      <c r="S1554" s="317" t="str">
        <f t="shared" si="166"/>
        <v/>
      </c>
      <c r="T1554" s="317" t="str">
        <f>GLOBAL_DER_FEV_2023!S1554</f>
        <v/>
      </c>
      <c r="W1554" s="582">
        <v>0</v>
      </c>
      <c r="X1554" s="580"/>
      <c r="Y1554" s="583">
        <f>IF(GLOBAL_DER_FEV_2023!W1554=0,0,IF(GLOBAL_DER_FEV_2023!W1554&gt;0,"c","b"))</f>
        <v>0</v>
      </c>
    </row>
    <row r="1555" spans="1:25" ht="22.5" x14ac:dyDescent="0.2">
      <c r="A1555" s="317">
        <v>98276</v>
      </c>
      <c r="B1555" s="895">
        <v>98276</v>
      </c>
      <c r="C1555" s="896" t="s">
        <v>596</v>
      </c>
      <c r="D1555" s="906" t="s">
        <v>1480</v>
      </c>
      <c r="E1555" s="907">
        <f>GLOBAL_DER_FEV_2023!E1555</f>
        <v>0</v>
      </c>
      <c r="F1555" s="908">
        <f>GLOBAL_DER_FEV_2023!F1555</f>
        <v>0</v>
      </c>
      <c r="G1555" s="912">
        <f>GLOBAL_DER_FEV_2023!G1555</f>
        <v>0</v>
      </c>
      <c r="H1555" s="901">
        <f>GLOBAL_DER_FEV_2023!H1555</f>
        <v>10.08</v>
      </c>
      <c r="I1555" s="901">
        <f>GLOBAL_DER_FEV_2023!I1555</f>
        <v>10.08</v>
      </c>
      <c r="J1555" s="902">
        <f>GLOBAL_DER_FEV_2023!J1555</f>
        <v>12.1</v>
      </c>
      <c r="K1555" s="903" t="s">
        <v>62</v>
      </c>
      <c r="L1555" s="1137"/>
      <c r="M1555" s="1138">
        <f t="shared" si="168"/>
        <v>0</v>
      </c>
      <c r="N1555" s="893">
        <f t="shared" si="167"/>
        <v>0</v>
      </c>
      <c r="O1555" s="905"/>
      <c r="Q1555" s="317" t="str">
        <f t="shared" si="169"/>
        <v/>
      </c>
      <c r="R1555" s="317" t="str">
        <f t="shared" ref="R1555:R1618" si="170">IF(P1555="X","x",IF(P1555="y","x",IF(P1555="xx","x",IF(N1555&gt;0,"x",""))))</f>
        <v/>
      </c>
      <c r="S1555" s="317" t="str">
        <f t="shared" ref="S1555:S1618" si="171">IF(P1555="X","x",IF(N1555&gt;0,"x",""))</f>
        <v/>
      </c>
      <c r="T1555" s="317" t="str">
        <f>GLOBAL_DER_FEV_2023!S1555</f>
        <v/>
      </c>
      <c r="W1555" s="582">
        <v>0</v>
      </c>
      <c r="X1555" s="580"/>
      <c r="Y1555" s="583">
        <f>IF(GLOBAL_DER_FEV_2023!W1555=0,0,IF(GLOBAL_DER_FEV_2023!W1555&gt;0,"c","b"))</f>
        <v>0</v>
      </c>
    </row>
    <row r="1556" spans="1:25" ht="22.5" x14ac:dyDescent="0.2">
      <c r="A1556" s="317">
        <v>98277</v>
      </c>
      <c r="B1556" s="895">
        <v>98277</v>
      </c>
      <c r="C1556" s="896" t="s">
        <v>596</v>
      </c>
      <c r="D1556" s="906" t="s">
        <v>1481</v>
      </c>
      <c r="E1556" s="907">
        <f>GLOBAL_DER_FEV_2023!E1556</f>
        <v>0</v>
      </c>
      <c r="F1556" s="908">
        <f>GLOBAL_DER_FEV_2023!F1556</f>
        <v>0</v>
      </c>
      <c r="G1556" s="912">
        <f>GLOBAL_DER_FEV_2023!G1556</f>
        <v>0</v>
      </c>
      <c r="H1556" s="901">
        <f>GLOBAL_DER_FEV_2023!H1556</f>
        <v>18.18</v>
      </c>
      <c r="I1556" s="901">
        <f>GLOBAL_DER_FEV_2023!I1556</f>
        <v>18.18</v>
      </c>
      <c r="J1556" s="902">
        <f>GLOBAL_DER_FEV_2023!J1556</f>
        <v>21.83</v>
      </c>
      <c r="K1556" s="903" t="s">
        <v>62</v>
      </c>
      <c r="L1556" s="1137"/>
      <c r="M1556" s="1138">
        <f t="shared" si="168"/>
        <v>0</v>
      </c>
      <c r="N1556" s="893">
        <f t="shared" si="167"/>
        <v>0</v>
      </c>
      <c r="O1556" s="905"/>
      <c r="Q1556" s="317" t="str">
        <f t="shared" si="169"/>
        <v/>
      </c>
      <c r="R1556" s="317" t="str">
        <f t="shared" si="170"/>
        <v/>
      </c>
      <c r="S1556" s="317" t="str">
        <f t="shared" si="171"/>
        <v/>
      </c>
      <c r="T1556" s="317" t="str">
        <f>GLOBAL_DER_FEV_2023!S1556</f>
        <v/>
      </c>
      <c r="W1556" s="582">
        <v>0</v>
      </c>
      <c r="X1556" s="580"/>
      <c r="Y1556" s="583">
        <f>IF(GLOBAL_DER_FEV_2023!W1556=0,0,IF(GLOBAL_DER_FEV_2023!W1556&gt;0,"c","b"))</f>
        <v>0</v>
      </c>
    </row>
    <row r="1557" spans="1:25" ht="22.5" x14ac:dyDescent="0.2">
      <c r="A1557" s="317">
        <v>98278</v>
      </c>
      <c r="B1557" s="895">
        <v>98278</v>
      </c>
      <c r="C1557" s="896" t="s">
        <v>596</v>
      </c>
      <c r="D1557" s="906" t="s">
        <v>1482</v>
      </c>
      <c r="E1557" s="907">
        <f>GLOBAL_DER_FEV_2023!E1557</f>
        <v>0</v>
      </c>
      <c r="F1557" s="908">
        <f>GLOBAL_DER_FEV_2023!F1557</f>
        <v>0</v>
      </c>
      <c r="G1557" s="912">
        <f>GLOBAL_DER_FEV_2023!G1557</f>
        <v>0</v>
      </c>
      <c r="H1557" s="901">
        <f>GLOBAL_DER_FEV_2023!H1557</f>
        <v>26.01</v>
      </c>
      <c r="I1557" s="901">
        <f>GLOBAL_DER_FEV_2023!I1557</f>
        <v>26.01</v>
      </c>
      <c r="J1557" s="902">
        <f>GLOBAL_DER_FEV_2023!J1557</f>
        <v>31.23</v>
      </c>
      <c r="K1557" s="903" t="s">
        <v>62</v>
      </c>
      <c r="L1557" s="1137"/>
      <c r="M1557" s="1138">
        <f t="shared" si="168"/>
        <v>0</v>
      </c>
      <c r="N1557" s="893">
        <f t="shared" si="167"/>
        <v>0</v>
      </c>
      <c r="O1557" s="905"/>
      <c r="Q1557" s="317" t="str">
        <f t="shared" si="169"/>
        <v/>
      </c>
      <c r="R1557" s="317" t="str">
        <f t="shared" si="170"/>
        <v/>
      </c>
      <c r="S1557" s="317" t="str">
        <f t="shared" si="171"/>
        <v/>
      </c>
      <c r="T1557" s="317" t="str">
        <f>GLOBAL_DER_FEV_2023!S1557</f>
        <v/>
      </c>
      <c r="W1557" s="582">
        <v>0</v>
      </c>
      <c r="X1557" s="580"/>
      <c r="Y1557" s="583">
        <f>IF(GLOBAL_DER_FEV_2023!W1557=0,0,IF(GLOBAL_DER_FEV_2023!W1557&gt;0,"c","b"))</f>
        <v>0</v>
      </c>
    </row>
    <row r="1558" spans="1:25" ht="22.5" x14ac:dyDescent="0.2">
      <c r="A1558" s="317">
        <v>98279</v>
      </c>
      <c r="B1558" s="895">
        <v>98279</v>
      </c>
      <c r="C1558" s="896" t="s">
        <v>596</v>
      </c>
      <c r="D1558" s="906" t="s">
        <v>1483</v>
      </c>
      <c r="E1558" s="907">
        <f>GLOBAL_DER_FEV_2023!E1558</f>
        <v>0</v>
      </c>
      <c r="F1558" s="908">
        <f>GLOBAL_DER_FEV_2023!F1558</f>
        <v>0</v>
      </c>
      <c r="G1558" s="912">
        <f>GLOBAL_DER_FEV_2023!G1558</f>
        <v>0</v>
      </c>
      <c r="H1558" s="901">
        <f>GLOBAL_DER_FEV_2023!H1558</f>
        <v>40.799999999999997</v>
      </c>
      <c r="I1558" s="901">
        <f>GLOBAL_DER_FEV_2023!I1558</f>
        <v>40.799999999999997</v>
      </c>
      <c r="J1558" s="902">
        <f>GLOBAL_DER_FEV_2023!J1558</f>
        <v>48.99</v>
      </c>
      <c r="K1558" s="903" t="s">
        <v>62</v>
      </c>
      <c r="L1558" s="1137"/>
      <c r="M1558" s="1138">
        <f t="shared" si="168"/>
        <v>0</v>
      </c>
      <c r="N1558" s="893">
        <f t="shared" si="167"/>
        <v>0</v>
      </c>
      <c r="O1558" s="905"/>
      <c r="Q1558" s="317" t="str">
        <f t="shared" si="169"/>
        <v/>
      </c>
      <c r="R1558" s="317" t="str">
        <f t="shared" si="170"/>
        <v/>
      </c>
      <c r="S1558" s="317" t="str">
        <f t="shared" si="171"/>
        <v/>
      </c>
      <c r="T1558" s="317" t="str">
        <f>GLOBAL_DER_FEV_2023!S1558</f>
        <v/>
      </c>
      <c r="W1558" s="582">
        <v>0</v>
      </c>
      <c r="X1558" s="580"/>
      <c r="Y1558" s="583">
        <f>IF(GLOBAL_DER_FEV_2023!W1558=0,0,IF(GLOBAL_DER_FEV_2023!W1558&gt;0,"c","b"))</f>
        <v>0</v>
      </c>
    </row>
    <row r="1559" spans="1:25" ht="22.5" x14ac:dyDescent="0.2">
      <c r="A1559" s="317">
        <v>98286</v>
      </c>
      <c r="B1559" s="895">
        <v>98286</v>
      </c>
      <c r="C1559" s="896" t="s">
        <v>596</v>
      </c>
      <c r="D1559" s="906" t="s">
        <v>1484</v>
      </c>
      <c r="E1559" s="907">
        <f>GLOBAL_DER_FEV_2023!E1559</f>
        <v>0</v>
      </c>
      <c r="F1559" s="908">
        <f>GLOBAL_DER_FEV_2023!F1559</f>
        <v>0</v>
      </c>
      <c r="G1559" s="912">
        <f>GLOBAL_DER_FEV_2023!G1559</f>
        <v>0</v>
      </c>
      <c r="H1559" s="901">
        <f>GLOBAL_DER_FEV_2023!H1559</f>
        <v>18.350000000000001</v>
      </c>
      <c r="I1559" s="901">
        <f>GLOBAL_DER_FEV_2023!I1559</f>
        <v>18.350000000000001</v>
      </c>
      <c r="J1559" s="902">
        <f>GLOBAL_DER_FEV_2023!J1559</f>
        <v>22.03</v>
      </c>
      <c r="K1559" s="903" t="s">
        <v>62</v>
      </c>
      <c r="L1559" s="1137"/>
      <c r="M1559" s="1138">
        <f t="shared" si="168"/>
        <v>0</v>
      </c>
      <c r="N1559" s="893">
        <f t="shared" ref="N1559:N1622" si="172">IF(ISBLANK(L1559),0,IF(W1559=0,ROUND(L1559*M1559,2),IF(W1559="b",ROUNDDOWN(L1559*M1559,2),ROUNDUP(L1559*M1559,2))))</f>
        <v>0</v>
      </c>
      <c r="O1559" s="905"/>
      <c r="Q1559" s="317" t="str">
        <f t="shared" si="169"/>
        <v/>
      </c>
      <c r="R1559" s="317" t="str">
        <f t="shared" si="170"/>
        <v/>
      </c>
      <c r="S1559" s="317" t="str">
        <f t="shared" si="171"/>
        <v/>
      </c>
      <c r="T1559" s="317" t="str">
        <f>GLOBAL_DER_FEV_2023!S1559</f>
        <v/>
      </c>
      <c r="W1559" s="582">
        <v>0</v>
      </c>
      <c r="X1559" s="580"/>
      <c r="Y1559" s="583">
        <f>IF(GLOBAL_DER_FEV_2023!W1559=0,0,IF(GLOBAL_DER_FEV_2023!W1559&gt;0,"c","b"))</f>
        <v>0</v>
      </c>
    </row>
    <row r="1560" spans="1:25" ht="22.5" x14ac:dyDescent="0.2">
      <c r="A1560" s="317">
        <v>98293</v>
      </c>
      <c r="B1560" s="895">
        <v>98293</v>
      </c>
      <c r="C1560" s="896" t="s">
        <v>596</v>
      </c>
      <c r="D1560" s="906" t="s">
        <v>1485</v>
      </c>
      <c r="E1560" s="907">
        <f>GLOBAL_DER_FEV_2023!E1560</f>
        <v>0</v>
      </c>
      <c r="F1560" s="908">
        <f>GLOBAL_DER_FEV_2023!F1560</f>
        <v>0</v>
      </c>
      <c r="G1560" s="912">
        <f>GLOBAL_DER_FEV_2023!G1560</f>
        <v>0</v>
      </c>
      <c r="H1560" s="901">
        <f>GLOBAL_DER_FEV_2023!H1560</f>
        <v>10.9</v>
      </c>
      <c r="I1560" s="901">
        <f>GLOBAL_DER_FEV_2023!I1560</f>
        <v>10.9</v>
      </c>
      <c r="J1560" s="902">
        <f>GLOBAL_DER_FEV_2023!J1560</f>
        <v>13.09</v>
      </c>
      <c r="K1560" s="903" t="s">
        <v>62</v>
      </c>
      <c r="L1560" s="1137"/>
      <c r="M1560" s="1138">
        <f t="shared" si="168"/>
        <v>0</v>
      </c>
      <c r="N1560" s="893">
        <f t="shared" si="172"/>
        <v>0</v>
      </c>
      <c r="O1560" s="905"/>
      <c r="Q1560" s="317" t="str">
        <f t="shared" si="169"/>
        <v/>
      </c>
      <c r="R1560" s="317" t="str">
        <f t="shared" si="170"/>
        <v/>
      </c>
      <c r="S1560" s="317" t="str">
        <f t="shared" si="171"/>
        <v/>
      </c>
      <c r="T1560" s="317" t="str">
        <f>GLOBAL_DER_FEV_2023!S1560</f>
        <v/>
      </c>
      <c r="W1560" s="582">
        <v>0</v>
      </c>
      <c r="X1560" s="580"/>
      <c r="Y1560" s="583">
        <f>IF(GLOBAL_DER_FEV_2023!W1560=0,0,IF(GLOBAL_DER_FEV_2023!W1560&gt;0,"c","b"))</f>
        <v>0</v>
      </c>
    </row>
    <row r="1561" spans="1:25" ht="22.5" x14ac:dyDescent="0.2">
      <c r="A1561" s="317">
        <v>98261</v>
      </c>
      <c r="B1561" s="895">
        <v>98261</v>
      </c>
      <c r="C1561" s="896" t="s">
        <v>596</v>
      </c>
      <c r="D1561" s="906" t="s">
        <v>1486</v>
      </c>
      <c r="E1561" s="907">
        <f>GLOBAL_DER_FEV_2023!E1561</f>
        <v>0</v>
      </c>
      <c r="F1561" s="908">
        <f>GLOBAL_DER_FEV_2023!F1561</f>
        <v>0</v>
      </c>
      <c r="G1561" s="912">
        <f>GLOBAL_DER_FEV_2023!G1561</f>
        <v>0</v>
      </c>
      <c r="H1561" s="901">
        <f>GLOBAL_DER_FEV_2023!H1561</f>
        <v>4.59</v>
      </c>
      <c r="I1561" s="901">
        <f>GLOBAL_DER_FEV_2023!I1561</f>
        <v>4.59</v>
      </c>
      <c r="J1561" s="902">
        <f>GLOBAL_DER_FEV_2023!J1561</f>
        <v>5.51</v>
      </c>
      <c r="K1561" s="903" t="s">
        <v>62</v>
      </c>
      <c r="L1561" s="1137"/>
      <c r="M1561" s="1138">
        <f t="shared" si="168"/>
        <v>0</v>
      </c>
      <c r="N1561" s="893">
        <f t="shared" si="172"/>
        <v>0</v>
      </c>
      <c r="O1561" s="905"/>
      <c r="Q1561" s="317" t="str">
        <f t="shared" si="169"/>
        <v/>
      </c>
      <c r="R1561" s="317" t="str">
        <f t="shared" si="170"/>
        <v/>
      </c>
      <c r="S1561" s="317" t="str">
        <f t="shared" si="171"/>
        <v/>
      </c>
      <c r="T1561" s="317" t="str">
        <f>GLOBAL_DER_FEV_2023!S1561</f>
        <v/>
      </c>
      <c r="W1561" s="582">
        <v>0</v>
      </c>
      <c r="X1561" s="580"/>
      <c r="Y1561" s="583">
        <f>IF(GLOBAL_DER_FEV_2023!W1561=0,0,IF(GLOBAL_DER_FEV_2023!W1561&gt;0,"c","b"))</f>
        <v>0</v>
      </c>
    </row>
    <row r="1562" spans="1:25" ht="22.5" x14ac:dyDescent="0.2">
      <c r="A1562" s="317">
        <v>98262</v>
      </c>
      <c r="B1562" s="895">
        <v>98262</v>
      </c>
      <c r="C1562" s="896" t="s">
        <v>596</v>
      </c>
      <c r="D1562" s="906" t="s">
        <v>1487</v>
      </c>
      <c r="E1562" s="907">
        <f>GLOBAL_DER_FEV_2023!E1562</f>
        <v>0</v>
      </c>
      <c r="F1562" s="908">
        <f>GLOBAL_DER_FEV_2023!F1562</f>
        <v>0</v>
      </c>
      <c r="G1562" s="912">
        <f>GLOBAL_DER_FEV_2023!G1562</f>
        <v>0</v>
      </c>
      <c r="H1562" s="901">
        <f>GLOBAL_DER_FEV_2023!H1562</f>
        <v>5.63</v>
      </c>
      <c r="I1562" s="901">
        <f>GLOBAL_DER_FEV_2023!I1562</f>
        <v>5.63</v>
      </c>
      <c r="J1562" s="902">
        <f>GLOBAL_DER_FEV_2023!J1562</f>
        <v>6.76</v>
      </c>
      <c r="K1562" s="903" t="s">
        <v>62</v>
      </c>
      <c r="L1562" s="1137"/>
      <c r="M1562" s="1138">
        <f t="shared" si="168"/>
        <v>0</v>
      </c>
      <c r="N1562" s="893">
        <f t="shared" si="172"/>
        <v>0</v>
      </c>
      <c r="O1562" s="905"/>
      <c r="Q1562" s="317" t="str">
        <f t="shared" si="169"/>
        <v/>
      </c>
      <c r="R1562" s="317" t="str">
        <f t="shared" si="170"/>
        <v/>
      </c>
      <c r="S1562" s="317" t="str">
        <f t="shared" si="171"/>
        <v/>
      </c>
      <c r="T1562" s="317" t="str">
        <f>GLOBAL_DER_FEV_2023!S1562</f>
        <v/>
      </c>
      <c r="W1562" s="582">
        <v>0</v>
      </c>
      <c r="X1562" s="580"/>
      <c r="Y1562" s="583">
        <f>IF(GLOBAL_DER_FEV_2023!W1562=0,0,IF(GLOBAL_DER_FEV_2023!W1562&gt;0,"c","b"))</f>
        <v>0</v>
      </c>
    </row>
    <row r="1563" spans="1:25" ht="22.5" x14ac:dyDescent="0.2">
      <c r="A1563" s="317">
        <v>98263</v>
      </c>
      <c r="B1563" s="895">
        <v>98263</v>
      </c>
      <c r="C1563" s="896" t="s">
        <v>596</v>
      </c>
      <c r="D1563" s="906" t="s">
        <v>1488</v>
      </c>
      <c r="E1563" s="907">
        <f>GLOBAL_DER_FEV_2023!E1563</f>
        <v>0</v>
      </c>
      <c r="F1563" s="908">
        <f>GLOBAL_DER_FEV_2023!F1563</f>
        <v>0</v>
      </c>
      <c r="G1563" s="912">
        <f>GLOBAL_DER_FEV_2023!G1563</f>
        <v>0</v>
      </c>
      <c r="H1563" s="901">
        <f>GLOBAL_DER_FEV_2023!H1563</f>
        <v>5.89</v>
      </c>
      <c r="I1563" s="901">
        <f>GLOBAL_DER_FEV_2023!I1563</f>
        <v>5.89</v>
      </c>
      <c r="J1563" s="902">
        <f>GLOBAL_DER_FEV_2023!J1563</f>
        <v>7.07</v>
      </c>
      <c r="K1563" s="903" t="s">
        <v>62</v>
      </c>
      <c r="L1563" s="1137"/>
      <c r="M1563" s="1138">
        <f t="shared" si="168"/>
        <v>0</v>
      </c>
      <c r="N1563" s="893">
        <f t="shared" si="172"/>
        <v>0</v>
      </c>
      <c r="O1563" s="905"/>
      <c r="Q1563" s="317" t="str">
        <f t="shared" si="169"/>
        <v/>
      </c>
      <c r="R1563" s="317" t="str">
        <f t="shared" si="170"/>
        <v/>
      </c>
      <c r="S1563" s="317" t="str">
        <f t="shared" si="171"/>
        <v/>
      </c>
      <c r="T1563" s="317" t="str">
        <f>GLOBAL_DER_FEV_2023!S1563</f>
        <v/>
      </c>
      <c r="W1563" s="582">
        <v>0</v>
      </c>
      <c r="X1563" s="580"/>
      <c r="Y1563" s="583">
        <f>IF(GLOBAL_DER_FEV_2023!W1563=0,0,IF(GLOBAL_DER_FEV_2023!W1563&gt;0,"c","b"))</f>
        <v>0</v>
      </c>
    </row>
    <row r="1564" spans="1:25" ht="22.5" x14ac:dyDescent="0.2">
      <c r="A1564" s="317">
        <v>98264</v>
      </c>
      <c r="B1564" s="895">
        <v>98264</v>
      </c>
      <c r="C1564" s="896" t="s">
        <v>596</v>
      </c>
      <c r="D1564" s="906" t="s">
        <v>1489</v>
      </c>
      <c r="E1564" s="907">
        <f>GLOBAL_DER_FEV_2023!E1564</f>
        <v>0</v>
      </c>
      <c r="F1564" s="908">
        <f>GLOBAL_DER_FEV_2023!F1564</f>
        <v>0</v>
      </c>
      <c r="G1564" s="912">
        <f>GLOBAL_DER_FEV_2023!G1564</f>
        <v>0</v>
      </c>
      <c r="H1564" s="901">
        <f>GLOBAL_DER_FEV_2023!H1564</f>
        <v>6.99</v>
      </c>
      <c r="I1564" s="901">
        <f>GLOBAL_DER_FEV_2023!I1564</f>
        <v>6.99</v>
      </c>
      <c r="J1564" s="902">
        <f>GLOBAL_DER_FEV_2023!J1564</f>
        <v>8.39</v>
      </c>
      <c r="K1564" s="903" t="s">
        <v>62</v>
      </c>
      <c r="L1564" s="1137"/>
      <c r="M1564" s="1138">
        <f t="shared" si="168"/>
        <v>0</v>
      </c>
      <c r="N1564" s="893">
        <f t="shared" si="172"/>
        <v>0</v>
      </c>
      <c r="O1564" s="905"/>
      <c r="Q1564" s="317" t="str">
        <f t="shared" si="169"/>
        <v/>
      </c>
      <c r="R1564" s="317" t="str">
        <f t="shared" si="170"/>
        <v/>
      </c>
      <c r="S1564" s="317" t="str">
        <f t="shared" si="171"/>
        <v/>
      </c>
      <c r="T1564" s="317" t="str">
        <f>GLOBAL_DER_FEV_2023!S1564</f>
        <v/>
      </c>
      <c r="W1564" s="582">
        <v>0</v>
      </c>
      <c r="X1564" s="580"/>
      <c r="Y1564" s="583">
        <f>IF(GLOBAL_DER_FEV_2023!W1564=0,0,IF(GLOBAL_DER_FEV_2023!W1564&gt;0,"c","b"))</f>
        <v>0</v>
      </c>
    </row>
    <row r="1565" spans="1:25" ht="22.5" x14ac:dyDescent="0.2">
      <c r="A1565" s="317">
        <v>98265</v>
      </c>
      <c r="B1565" s="895">
        <v>98265</v>
      </c>
      <c r="C1565" s="896" t="s">
        <v>596</v>
      </c>
      <c r="D1565" s="906" t="s">
        <v>1490</v>
      </c>
      <c r="E1565" s="907">
        <f>GLOBAL_DER_FEV_2023!E1565</f>
        <v>0</v>
      </c>
      <c r="F1565" s="908">
        <f>GLOBAL_DER_FEV_2023!F1565</f>
        <v>0</v>
      </c>
      <c r="G1565" s="912">
        <f>GLOBAL_DER_FEV_2023!G1565</f>
        <v>0</v>
      </c>
      <c r="H1565" s="901">
        <f>GLOBAL_DER_FEV_2023!H1565</f>
        <v>7.72</v>
      </c>
      <c r="I1565" s="901">
        <f>GLOBAL_DER_FEV_2023!I1565</f>
        <v>7.72</v>
      </c>
      <c r="J1565" s="902">
        <f>GLOBAL_DER_FEV_2023!J1565</f>
        <v>9.27</v>
      </c>
      <c r="K1565" s="903" t="s">
        <v>62</v>
      </c>
      <c r="L1565" s="1137"/>
      <c r="M1565" s="1138">
        <f t="shared" si="168"/>
        <v>0</v>
      </c>
      <c r="N1565" s="893">
        <f t="shared" si="172"/>
        <v>0</v>
      </c>
      <c r="O1565" s="905"/>
      <c r="Q1565" s="317" t="str">
        <f t="shared" si="169"/>
        <v/>
      </c>
      <c r="R1565" s="317" t="str">
        <f t="shared" si="170"/>
        <v/>
      </c>
      <c r="S1565" s="317" t="str">
        <f t="shared" si="171"/>
        <v/>
      </c>
      <c r="T1565" s="317" t="str">
        <f>GLOBAL_DER_FEV_2023!S1565</f>
        <v/>
      </c>
      <c r="W1565" s="582">
        <v>0</v>
      </c>
      <c r="X1565" s="580"/>
      <c r="Y1565" s="583">
        <f>IF(GLOBAL_DER_FEV_2023!W1565=0,0,IF(GLOBAL_DER_FEV_2023!W1565&gt;0,"c","b"))</f>
        <v>0</v>
      </c>
    </row>
    <row r="1566" spans="1:25" ht="22.5" x14ac:dyDescent="0.2">
      <c r="A1566" s="317">
        <v>98266</v>
      </c>
      <c r="B1566" s="895">
        <v>98266</v>
      </c>
      <c r="C1566" s="896" t="s">
        <v>596</v>
      </c>
      <c r="D1566" s="906" t="s">
        <v>1491</v>
      </c>
      <c r="E1566" s="907">
        <f>GLOBAL_DER_FEV_2023!E1566</f>
        <v>0</v>
      </c>
      <c r="F1566" s="908">
        <f>GLOBAL_DER_FEV_2023!F1566</f>
        <v>0</v>
      </c>
      <c r="G1566" s="912">
        <f>GLOBAL_DER_FEV_2023!G1566</f>
        <v>0</v>
      </c>
      <c r="H1566" s="901">
        <f>GLOBAL_DER_FEV_2023!H1566</f>
        <v>8.73</v>
      </c>
      <c r="I1566" s="901">
        <f>GLOBAL_DER_FEV_2023!I1566</f>
        <v>8.73</v>
      </c>
      <c r="J1566" s="902">
        <f>GLOBAL_DER_FEV_2023!J1566</f>
        <v>10.48</v>
      </c>
      <c r="K1566" s="903" t="s">
        <v>62</v>
      </c>
      <c r="L1566" s="1137"/>
      <c r="M1566" s="1138">
        <f t="shared" si="168"/>
        <v>0</v>
      </c>
      <c r="N1566" s="893">
        <f t="shared" si="172"/>
        <v>0</v>
      </c>
      <c r="O1566" s="905"/>
      <c r="Q1566" s="317" t="str">
        <f t="shared" si="169"/>
        <v/>
      </c>
      <c r="R1566" s="317" t="str">
        <f t="shared" si="170"/>
        <v/>
      </c>
      <c r="S1566" s="317" t="str">
        <f t="shared" si="171"/>
        <v/>
      </c>
      <c r="T1566" s="317" t="str">
        <f>GLOBAL_DER_FEV_2023!S1566</f>
        <v/>
      </c>
      <c r="W1566" s="582">
        <v>0</v>
      </c>
      <c r="X1566" s="580"/>
      <c r="Y1566" s="583">
        <f>IF(GLOBAL_DER_FEV_2023!W1566=0,0,IF(GLOBAL_DER_FEV_2023!W1566&gt;0,"c","b"))</f>
        <v>0</v>
      </c>
    </row>
    <row r="1567" spans="1:25" ht="22.5" x14ac:dyDescent="0.2">
      <c r="A1567" s="317">
        <v>98273</v>
      </c>
      <c r="B1567" s="895">
        <v>98273</v>
      </c>
      <c r="C1567" s="896" t="s">
        <v>596</v>
      </c>
      <c r="D1567" s="906" t="s">
        <v>1492</v>
      </c>
      <c r="E1567" s="907">
        <f>GLOBAL_DER_FEV_2023!E1567</f>
        <v>0</v>
      </c>
      <c r="F1567" s="908">
        <f>GLOBAL_DER_FEV_2023!F1567</f>
        <v>0</v>
      </c>
      <c r="G1567" s="912">
        <f>GLOBAL_DER_FEV_2023!G1567</f>
        <v>0</v>
      </c>
      <c r="H1567" s="901">
        <f>GLOBAL_DER_FEV_2023!H1567</f>
        <v>3.37</v>
      </c>
      <c r="I1567" s="901">
        <f>GLOBAL_DER_FEV_2023!I1567</f>
        <v>3.37</v>
      </c>
      <c r="J1567" s="902">
        <f>GLOBAL_DER_FEV_2023!J1567</f>
        <v>4.05</v>
      </c>
      <c r="K1567" s="903" t="s">
        <v>62</v>
      </c>
      <c r="L1567" s="1137"/>
      <c r="M1567" s="1138">
        <f t="shared" si="168"/>
        <v>0</v>
      </c>
      <c r="N1567" s="893">
        <f t="shared" si="172"/>
        <v>0</v>
      </c>
      <c r="O1567" s="905"/>
      <c r="Q1567" s="317" t="str">
        <f t="shared" si="169"/>
        <v/>
      </c>
      <c r="R1567" s="317" t="str">
        <f t="shared" si="170"/>
        <v/>
      </c>
      <c r="S1567" s="317" t="str">
        <f t="shared" si="171"/>
        <v/>
      </c>
      <c r="T1567" s="317" t="str">
        <f>GLOBAL_DER_FEV_2023!S1567</f>
        <v/>
      </c>
      <c r="W1567" s="582">
        <v>0</v>
      </c>
      <c r="X1567" s="580"/>
      <c r="Y1567" s="583">
        <f>IF(GLOBAL_DER_FEV_2023!W1567=0,0,IF(GLOBAL_DER_FEV_2023!W1567&gt;0,"c","b"))</f>
        <v>0</v>
      </c>
    </row>
    <row r="1568" spans="1:25" ht="22.5" x14ac:dyDescent="0.2">
      <c r="A1568" s="317">
        <v>98274</v>
      </c>
      <c r="B1568" s="895">
        <v>98274</v>
      </c>
      <c r="C1568" s="896" t="s">
        <v>596</v>
      </c>
      <c r="D1568" s="906" t="s">
        <v>1493</v>
      </c>
      <c r="E1568" s="907">
        <f>GLOBAL_DER_FEV_2023!E1568</f>
        <v>0</v>
      </c>
      <c r="F1568" s="908">
        <f>GLOBAL_DER_FEV_2023!F1568</f>
        <v>0</v>
      </c>
      <c r="G1568" s="912">
        <f>GLOBAL_DER_FEV_2023!G1568</f>
        <v>0</v>
      </c>
      <c r="H1568" s="901">
        <f>GLOBAL_DER_FEV_2023!H1568</f>
        <v>4.0999999999999996</v>
      </c>
      <c r="I1568" s="901">
        <f>GLOBAL_DER_FEV_2023!I1568</f>
        <v>4.0999999999999996</v>
      </c>
      <c r="J1568" s="902">
        <f>GLOBAL_DER_FEV_2023!J1568</f>
        <v>4.92</v>
      </c>
      <c r="K1568" s="903" t="s">
        <v>62</v>
      </c>
      <c r="L1568" s="1137"/>
      <c r="M1568" s="1138">
        <f t="shared" si="168"/>
        <v>0</v>
      </c>
      <c r="N1568" s="893">
        <f t="shared" si="172"/>
        <v>0</v>
      </c>
      <c r="O1568" s="905"/>
      <c r="Q1568" s="317" t="str">
        <f t="shared" si="169"/>
        <v/>
      </c>
      <c r="R1568" s="317" t="str">
        <f t="shared" si="170"/>
        <v/>
      </c>
      <c r="S1568" s="317" t="str">
        <f t="shared" si="171"/>
        <v/>
      </c>
      <c r="T1568" s="317" t="str">
        <f>GLOBAL_DER_FEV_2023!S1568</f>
        <v/>
      </c>
      <c r="W1568" s="582">
        <v>0</v>
      </c>
      <c r="X1568" s="580"/>
      <c r="Y1568" s="583">
        <f>IF(GLOBAL_DER_FEV_2023!W1568=0,0,IF(GLOBAL_DER_FEV_2023!W1568&gt;0,"c","b"))</f>
        <v>0</v>
      </c>
    </row>
    <row r="1569" spans="1:25" ht="22.5" x14ac:dyDescent="0.2">
      <c r="A1569" s="317">
        <v>98275</v>
      </c>
      <c r="B1569" s="895">
        <v>98275</v>
      </c>
      <c r="C1569" s="896" t="s">
        <v>596</v>
      </c>
      <c r="D1569" s="906" t="s">
        <v>1494</v>
      </c>
      <c r="E1569" s="907">
        <f>GLOBAL_DER_FEV_2023!E1569</f>
        <v>0</v>
      </c>
      <c r="F1569" s="908">
        <f>GLOBAL_DER_FEV_2023!F1569</f>
        <v>0</v>
      </c>
      <c r="G1569" s="912">
        <f>GLOBAL_DER_FEV_2023!G1569</f>
        <v>0</v>
      </c>
      <c r="H1569" s="901">
        <f>GLOBAL_DER_FEV_2023!H1569</f>
        <v>5.1100000000000003</v>
      </c>
      <c r="I1569" s="901">
        <f>GLOBAL_DER_FEV_2023!I1569</f>
        <v>5.1100000000000003</v>
      </c>
      <c r="J1569" s="902">
        <f>GLOBAL_DER_FEV_2023!J1569</f>
        <v>6.14</v>
      </c>
      <c r="K1569" s="903" t="s">
        <v>62</v>
      </c>
      <c r="L1569" s="1137"/>
      <c r="M1569" s="1138">
        <f t="shared" si="168"/>
        <v>0</v>
      </c>
      <c r="N1569" s="893">
        <f t="shared" si="172"/>
        <v>0</v>
      </c>
      <c r="O1569" s="905"/>
      <c r="Q1569" s="317" t="str">
        <f t="shared" si="169"/>
        <v/>
      </c>
      <c r="R1569" s="317" t="str">
        <f t="shared" si="170"/>
        <v/>
      </c>
      <c r="S1569" s="317" t="str">
        <f t="shared" si="171"/>
        <v/>
      </c>
      <c r="T1569" s="317" t="str">
        <f>GLOBAL_DER_FEV_2023!S1569</f>
        <v/>
      </c>
      <c r="W1569" s="582">
        <v>0</v>
      </c>
      <c r="X1569" s="580"/>
      <c r="Y1569" s="583">
        <f>IF(GLOBAL_DER_FEV_2023!W1569=0,0,IF(GLOBAL_DER_FEV_2023!W1569&gt;0,"c","b"))</f>
        <v>0</v>
      </c>
    </row>
    <row r="1570" spans="1:25" ht="22.5" x14ac:dyDescent="0.2">
      <c r="A1570" s="317">
        <v>98280</v>
      </c>
      <c r="B1570" s="895">
        <v>98280</v>
      </c>
      <c r="C1570" s="896" t="s">
        <v>596</v>
      </c>
      <c r="D1570" s="906" t="s">
        <v>1495</v>
      </c>
      <c r="E1570" s="907">
        <f>GLOBAL_DER_FEV_2023!E1570</f>
        <v>0</v>
      </c>
      <c r="F1570" s="908">
        <f>GLOBAL_DER_FEV_2023!F1570</f>
        <v>0</v>
      </c>
      <c r="G1570" s="912">
        <f>GLOBAL_DER_FEV_2023!G1570</f>
        <v>0</v>
      </c>
      <c r="H1570" s="901">
        <f>GLOBAL_DER_FEV_2023!H1570</f>
        <v>9.25</v>
      </c>
      <c r="I1570" s="901">
        <f>GLOBAL_DER_FEV_2023!I1570</f>
        <v>9.25</v>
      </c>
      <c r="J1570" s="902">
        <f>GLOBAL_DER_FEV_2023!J1570</f>
        <v>11.11</v>
      </c>
      <c r="K1570" s="903" t="s">
        <v>62</v>
      </c>
      <c r="L1570" s="1137"/>
      <c r="M1570" s="1138">
        <f t="shared" si="168"/>
        <v>0</v>
      </c>
      <c r="N1570" s="893">
        <f t="shared" si="172"/>
        <v>0</v>
      </c>
      <c r="O1570" s="905"/>
      <c r="Q1570" s="317" t="str">
        <f t="shared" si="169"/>
        <v/>
      </c>
      <c r="R1570" s="317" t="str">
        <f t="shared" si="170"/>
        <v/>
      </c>
      <c r="S1570" s="317" t="str">
        <f t="shared" si="171"/>
        <v/>
      </c>
      <c r="T1570" s="317" t="str">
        <f>GLOBAL_DER_FEV_2023!S1570</f>
        <v/>
      </c>
      <c r="W1570" s="582">
        <v>0</v>
      </c>
      <c r="X1570" s="580"/>
      <c r="Y1570" s="583">
        <f>IF(GLOBAL_DER_FEV_2023!W1570=0,0,IF(GLOBAL_DER_FEV_2023!W1570&gt;0,"c","b"))</f>
        <v>0</v>
      </c>
    </row>
    <row r="1571" spans="1:25" ht="22.5" x14ac:dyDescent="0.2">
      <c r="A1571" s="317">
        <v>98281</v>
      </c>
      <c r="B1571" s="895">
        <v>98281</v>
      </c>
      <c r="C1571" s="896" t="s">
        <v>596</v>
      </c>
      <c r="D1571" s="906" t="s">
        <v>1496</v>
      </c>
      <c r="E1571" s="907">
        <f>GLOBAL_DER_FEV_2023!E1571</f>
        <v>0</v>
      </c>
      <c r="F1571" s="908">
        <f>GLOBAL_DER_FEV_2023!F1571</f>
        <v>0</v>
      </c>
      <c r="G1571" s="912">
        <f>GLOBAL_DER_FEV_2023!G1571</f>
        <v>0</v>
      </c>
      <c r="H1571" s="901">
        <f>GLOBAL_DER_FEV_2023!H1571</f>
        <v>10.28</v>
      </c>
      <c r="I1571" s="901">
        <f>GLOBAL_DER_FEV_2023!I1571</f>
        <v>10.28</v>
      </c>
      <c r="J1571" s="902">
        <f>GLOBAL_DER_FEV_2023!J1571</f>
        <v>12.34</v>
      </c>
      <c r="K1571" s="903" t="s">
        <v>62</v>
      </c>
      <c r="L1571" s="1137"/>
      <c r="M1571" s="1138">
        <f t="shared" si="168"/>
        <v>0</v>
      </c>
      <c r="N1571" s="893">
        <f t="shared" si="172"/>
        <v>0</v>
      </c>
      <c r="O1571" s="905"/>
      <c r="Q1571" s="317" t="str">
        <f t="shared" si="169"/>
        <v/>
      </c>
      <c r="R1571" s="317" t="str">
        <f t="shared" si="170"/>
        <v/>
      </c>
      <c r="S1571" s="317" t="str">
        <f t="shared" si="171"/>
        <v/>
      </c>
      <c r="T1571" s="317" t="str">
        <f>GLOBAL_DER_FEV_2023!S1571</f>
        <v/>
      </c>
      <c r="W1571" s="582">
        <v>0</v>
      </c>
      <c r="X1571" s="580"/>
      <c r="Y1571" s="583">
        <f>IF(GLOBAL_DER_FEV_2023!W1571=0,0,IF(GLOBAL_DER_FEV_2023!W1571&gt;0,"c","b"))</f>
        <v>0</v>
      </c>
    </row>
    <row r="1572" spans="1:25" ht="22.5" x14ac:dyDescent="0.2">
      <c r="A1572" s="317">
        <v>98282</v>
      </c>
      <c r="B1572" s="895">
        <v>98282</v>
      </c>
      <c r="C1572" s="896" t="s">
        <v>596</v>
      </c>
      <c r="D1572" s="906" t="s">
        <v>1497</v>
      </c>
      <c r="E1572" s="907">
        <f>GLOBAL_DER_FEV_2023!E1572</f>
        <v>0</v>
      </c>
      <c r="F1572" s="908">
        <f>GLOBAL_DER_FEV_2023!F1572</f>
        <v>0</v>
      </c>
      <c r="G1572" s="912">
        <f>GLOBAL_DER_FEV_2023!G1572</f>
        <v>0</v>
      </c>
      <c r="H1572" s="901">
        <f>GLOBAL_DER_FEV_2023!H1572</f>
        <v>10.53</v>
      </c>
      <c r="I1572" s="901">
        <f>GLOBAL_DER_FEV_2023!I1572</f>
        <v>10.53</v>
      </c>
      <c r="J1572" s="902">
        <f>GLOBAL_DER_FEV_2023!J1572</f>
        <v>12.64</v>
      </c>
      <c r="K1572" s="903" t="s">
        <v>62</v>
      </c>
      <c r="L1572" s="1137"/>
      <c r="M1572" s="1138">
        <f t="shared" si="168"/>
        <v>0</v>
      </c>
      <c r="N1572" s="893">
        <f t="shared" si="172"/>
        <v>0</v>
      </c>
      <c r="O1572" s="905"/>
      <c r="Q1572" s="317" t="str">
        <f t="shared" si="169"/>
        <v/>
      </c>
      <c r="R1572" s="317" t="str">
        <f t="shared" si="170"/>
        <v/>
      </c>
      <c r="S1572" s="317" t="str">
        <f t="shared" si="171"/>
        <v/>
      </c>
      <c r="T1572" s="317" t="str">
        <f>GLOBAL_DER_FEV_2023!S1572</f>
        <v/>
      </c>
      <c r="W1572" s="582">
        <v>0</v>
      </c>
      <c r="X1572" s="580"/>
      <c r="Y1572" s="583">
        <f>IF(GLOBAL_DER_FEV_2023!W1572=0,0,IF(GLOBAL_DER_FEV_2023!W1572&gt;0,"c","b"))</f>
        <v>0</v>
      </c>
    </row>
    <row r="1573" spans="1:25" ht="22.5" x14ac:dyDescent="0.2">
      <c r="A1573" s="317">
        <v>98283</v>
      </c>
      <c r="B1573" s="895">
        <v>98283</v>
      </c>
      <c r="C1573" s="896" t="s">
        <v>596</v>
      </c>
      <c r="D1573" s="906" t="s">
        <v>1498</v>
      </c>
      <c r="E1573" s="907">
        <f>GLOBAL_DER_FEV_2023!E1573</f>
        <v>0</v>
      </c>
      <c r="F1573" s="908">
        <f>GLOBAL_DER_FEV_2023!F1573</f>
        <v>0</v>
      </c>
      <c r="G1573" s="912">
        <f>GLOBAL_DER_FEV_2023!G1573</f>
        <v>0</v>
      </c>
      <c r="H1573" s="901">
        <f>GLOBAL_DER_FEV_2023!H1573</f>
        <v>11.64</v>
      </c>
      <c r="I1573" s="901">
        <f>GLOBAL_DER_FEV_2023!I1573</f>
        <v>11.64</v>
      </c>
      <c r="J1573" s="902">
        <f>GLOBAL_DER_FEV_2023!J1573</f>
        <v>13.98</v>
      </c>
      <c r="K1573" s="903" t="s">
        <v>62</v>
      </c>
      <c r="L1573" s="1137"/>
      <c r="M1573" s="1138">
        <f t="shared" si="168"/>
        <v>0</v>
      </c>
      <c r="N1573" s="893">
        <f t="shared" si="172"/>
        <v>0</v>
      </c>
      <c r="O1573" s="905"/>
      <c r="Q1573" s="317" t="str">
        <f t="shared" si="169"/>
        <v/>
      </c>
      <c r="R1573" s="317" t="str">
        <f t="shared" si="170"/>
        <v/>
      </c>
      <c r="S1573" s="317" t="str">
        <f t="shared" si="171"/>
        <v/>
      </c>
      <c r="T1573" s="317" t="str">
        <f>GLOBAL_DER_FEV_2023!S1573</f>
        <v/>
      </c>
      <c r="W1573" s="582">
        <v>0</v>
      </c>
      <c r="X1573" s="580"/>
      <c r="Y1573" s="583">
        <f>IF(GLOBAL_DER_FEV_2023!W1573=0,0,IF(GLOBAL_DER_FEV_2023!W1573&gt;0,"c","b"))</f>
        <v>0</v>
      </c>
    </row>
    <row r="1574" spans="1:25" ht="22.5" x14ac:dyDescent="0.2">
      <c r="A1574" s="317">
        <v>98284</v>
      </c>
      <c r="B1574" s="895">
        <v>98284</v>
      </c>
      <c r="C1574" s="896" t="s">
        <v>596</v>
      </c>
      <c r="D1574" s="906" t="s">
        <v>1499</v>
      </c>
      <c r="E1574" s="907">
        <f>GLOBAL_DER_FEV_2023!E1574</f>
        <v>0</v>
      </c>
      <c r="F1574" s="908">
        <f>GLOBAL_DER_FEV_2023!F1574</f>
        <v>0</v>
      </c>
      <c r="G1574" s="912">
        <f>GLOBAL_DER_FEV_2023!G1574</f>
        <v>0</v>
      </c>
      <c r="H1574" s="901">
        <f>GLOBAL_DER_FEV_2023!H1574</f>
        <v>12.36</v>
      </c>
      <c r="I1574" s="901">
        <f>GLOBAL_DER_FEV_2023!I1574</f>
        <v>12.36</v>
      </c>
      <c r="J1574" s="902">
        <f>GLOBAL_DER_FEV_2023!J1574</f>
        <v>14.84</v>
      </c>
      <c r="K1574" s="903" t="s">
        <v>62</v>
      </c>
      <c r="L1574" s="1137"/>
      <c r="M1574" s="1138">
        <f t="shared" si="168"/>
        <v>0</v>
      </c>
      <c r="N1574" s="893">
        <f t="shared" si="172"/>
        <v>0</v>
      </c>
      <c r="O1574" s="905"/>
      <c r="Q1574" s="317" t="str">
        <f t="shared" si="169"/>
        <v/>
      </c>
      <c r="R1574" s="317" t="str">
        <f t="shared" si="170"/>
        <v/>
      </c>
      <c r="S1574" s="317" t="str">
        <f t="shared" si="171"/>
        <v/>
      </c>
      <c r="T1574" s="317" t="str">
        <f>GLOBAL_DER_FEV_2023!S1574</f>
        <v/>
      </c>
      <c r="W1574" s="582">
        <v>0</v>
      </c>
      <c r="X1574" s="580"/>
      <c r="Y1574" s="583">
        <f>IF(GLOBAL_DER_FEV_2023!W1574=0,0,IF(GLOBAL_DER_FEV_2023!W1574&gt;0,"c","b"))</f>
        <v>0</v>
      </c>
    </row>
    <row r="1575" spans="1:25" ht="22.5" x14ac:dyDescent="0.2">
      <c r="A1575" s="317">
        <v>98285</v>
      </c>
      <c r="B1575" s="895">
        <v>98285</v>
      </c>
      <c r="C1575" s="896" t="s">
        <v>596</v>
      </c>
      <c r="D1575" s="906" t="s">
        <v>1500</v>
      </c>
      <c r="E1575" s="907">
        <f>GLOBAL_DER_FEV_2023!E1575</f>
        <v>0</v>
      </c>
      <c r="F1575" s="908">
        <f>GLOBAL_DER_FEV_2023!F1575</f>
        <v>0</v>
      </c>
      <c r="G1575" s="912">
        <f>GLOBAL_DER_FEV_2023!G1575</f>
        <v>0</v>
      </c>
      <c r="H1575" s="901">
        <f>GLOBAL_DER_FEV_2023!H1575</f>
        <v>13.38</v>
      </c>
      <c r="I1575" s="901">
        <f>GLOBAL_DER_FEV_2023!I1575</f>
        <v>13.38</v>
      </c>
      <c r="J1575" s="902">
        <f>GLOBAL_DER_FEV_2023!J1575</f>
        <v>16.07</v>
      </c>
      <c r="K1575" s="903" t="s">
        <v>62</v>
      </c>
      <c r="L1575" s="1137"/>
      <c r="M1575" s="1138">
        <f t="shared" si="168"/>
        <v>0</v>
      </c>
      <c r="N1575" s="893">
        <f t="shared" si="172"/>
        <v>0</v>
      </c>
      <c r="O1575" s="905"/>
      <c r="Q1575" s="317" t="str">
        <f t="shared" si="169"/>
        <v/>
      </c>
      <c r="R1575" s="317" t="str">
        <f t="shared" si="170"/>
        <v/>
      </c>
      <c r="S1575" s="317" t="str">
        <f t="shared" si="171"/>
        <v/>
      </c>
      <c r="T1575" s="317" t="str">
        <f>GLOBAL_DER_FEV_2023!S1575</f>
        <v/>
      </c>
      <c r="W1575" s="582">
        <v>0</v>
      </c>
      <c r="X1575" s="580"/>
      <c r="Y1575" s="583">
        <f>IF(GLOBAL_DER_FEV_2023!W1575=0,0,IF(GLOBAL_DER_FEV_2023!W1575&gt;0,"c","b"))</f>
        <v>0</v>
      </c>
    </row>
    <row r="1576" spans="1:25" ht="22.5" x14ac:dyDescent="0.2">
      <c r="A1576" s="317">
        <v>98287</v>
      </c>
      <c r="B1576" s="895">
        <v>98287</v>
      </c>
      <c r="C1576" s="896" t="s">
        <v>596</v>
      </c>
      <c r="D1576" s="906" t="s">
        <v>1501</v>
      </c>
      <c r="E1576" s="907">
        <f>GLOBAL_DER_FEV_2023!E1576</f>
        <v>0</v>
      </c>
      <c r="F1576" s="908">
        <f>GLOBAL_DER_FEV_2023!F1576</f>
        <v>0</v>
      </c>
      <c r="G1576" s="912">
        <f>GLOBAL_DER_FEV_2023!G1576</f>
        <v>0</v>
      </c>
      <c r="H1576" s="901">
        <f>GLOBAL_DER_FEV_2023!H1576</f>
        <v>1.81</v>
      </c>
      <c r="I1576" s="901">
        <f>GLOBAL_DER_FEV_2023!I1576</f>
        <v>1.81</v>
      </c>
      <c r="J1576" s="902">
        <f>GLOBAL_DER_FEV_2023!J1576</f>
        <v>2.17</v>
      </c>
      <c r="K1576" s="903" t="s">
        <v>62</v>
      </c>
      <c r="L1576" s="1137"/>
      <c r="M1576" s="1138">
        <f t="shared" si="168"/>
        <v>0</v>
      </c>
      <c r="N1576" s="893">
        <f t="shared" si="172"/>
        <v>0</v>
      </c>
      <c r="O1576" s="905"/>
      <c r="Q1576" s="317" t="str">
        <f t="shared" si="169"/>
        <v/>
      </c>
      <c r="R1576" s="317" t="str">
        <f t="shared" si="170"/>
        <v/>
      </c>
      <c r="S1576" s="317" t="str">
        <f t="shared" si="171"/>
        <v/>
      </c>
      <c r="T1576" s="317" t="str">
        <f>GLOBAL_DER_FEV_2023!S1576</f>
        <v/>
      </c>
      <c r="W1576" s="582">
        <v>0</v>
      </c>
      <c r="X1576" s="580"/>
      <c r="Y1576" s="583">
        <f>IF(GLOBAL_DER_FEV_2023!W1576=0,0,IF(GLOBAL_DER_FEV_2023!W1576&gt;0,"c","b"))</f>
        <v>0</v>
      </c>
    </row>
    <row r="1577" spans="1:25" ht="22.5" x14ac:dyDescent="0.2">
      <c r="A1577" s="317">
        <v>98288</v>
      </c>
      <c r="B1577" s="895">
        <v>98288</v>
      </c>
      <c r="C1577" s="896" t="s">
        <v>596</v>
      </c>
      <c r="D1577" s="906" t="s">
        <v>1502</v>
      </c>
      <c r="E1577" s="907">
        <f>GLOBAL_DER_FEV_2023!E1577</f>
        <v>0</v>
      </c>
      <c r="F1577" s="908">
        <f>GLOBAL_DER_FEV_2023!F1577</f>
        <v>0</v>
      </c>
      <c r="G1577" s="912">
        <f>GLOBAL_DER_FEV_2023!G1577</f>
        <v>0</v>
      </c>
      <c r="H1577" s="901">
        <f>GLOBAL_DER_FEV_2023!H1577</f>
        <v>2.83</v>
      </c>
      <c r="I1577" s="901">
        <f>GLOBAL_DER_FEV_2023!I1577</f>
        <v>2.83</v>
      </c>
      <c r="J1577" s="902">
        <f>GLOBAL_DER_FEV_2023!J1577</f>
        <v>3.4</v>
      </c>
      <c r="K1577" s="903" t="s">
        <v>62</v>
      </c>
      <c r="L1577" s="1137"/>
      <c r="M1577" s="1138">
        <f t="shared" si="168"/>
        <v>0</v>
      </c>
      <c r="N1577" s="893">
        <f t="shared" si="172"/>
        <v>0</v>
      </c>
      <c r="O1577" s="905"/>
      <c r="Q1577" s="317" t="str">
        <f t="shared" si="169"/>
        <v/>
      </c>
      <c r="R1577" s="317" t="str">
        <f t="shared" si="170"/>
        <v/>
      </c>
      <c r="S1577" s="317" t="str">
        <f t="shared" si="171"/>
        <v/>
      </c>
      <c r="T1577" s="317" t="str">
        <f>GLOBAL_DER_FEV_2023!S1577</f>
        <v/>
      </c>
      <c r="W1577" s="582">
        <v>0</v>
      </c>
      <c r="X1577" s="580"/>
      <c r="Y1577" s="583">
        <f>IF(GLOBAL_DER_FEV_2023!W1577=0,0,IF(GLOBAL_DER_FEV_2023!W1577&gt;0,"c","b"))</f>
        <v>0</v>
      </c>
    </row>
    <row r="1578" spans="1:25" ht="22.5" x14ac:dyDescent="0.2">
      <c r="A1578" s="317">
        <v>98289</v>
      </c>
      <c r="B1578" s="895">
        <v>98289</v>
      </c>
      <c r="C1578" s="896" t="s">
        <v>596</v>
      </c>
      <c r="D1578" s="906" t="s">
        <v>1503</v>
      </c>
      <c r="E1578" s="907">
        <f>GLOBAL_DER_FEV_2023!E1578</f>
        <v>0</v>
      </c>
      <c r="F1578" s="908">
        <f>GLOBAL_DER_FEV_2023!F1578</f>
        <v>0</v>
      </c>
      <c r="G1578" s="912">
        <f>GLOBAL_DER_FEV_2023!G1578</f>
        <v>0</v>
      </c>
      <c r="H1578" s="901">
        <f>GLOBAL_DER_FEV_2023!H1578</f>
        <v>3.1</v>
      </c>
      <c r="I1578" s="901">
        <f>GLOBAL_DER_FEV_2023!I1578</f>
        <v>3.1</v>
      </c>
      <c r="J1578" s="902">
        <f>GLOBAL_DER_FEV_2023!J1578</f>
        <v>3.72</v>
      </c>
      <c r="K1578" s="903" t="s">
        <v>62</v>
      </c>
      <c r="L1578" s="1137"/>
      <c r="M1578" s="1138">
        <f t="shared" si="168"/>
        <v>0</v>
      </c>
      <c r="N1578" s="893">
        <f t="shared" si="172"/>
        <v>0</v>
      </c>
      <c r="O1578" s="905"/>
      <c r="Q1578" s="317" t="str">
        <f t="shared" si="169"/>
        <v/>
      </c>
      <c r="R1578" s="317" t="str">
        <f t="shared" si="170"/>
        <v/>
      </c>
      <c r="S1578" s="317" t="str">
        <f t="shared" si="171"/>
        <v/>
      </c>
      <c r="T1578" s="317" t="str">
        <f>GLOBAL_DER_FEV_2023!S1578</f>
        <v/>
      </c>
      <c r="W1578" s="582">
        <v>0</v>
      </c>
      <c r="X1578" s="580"/>
      <c r="Y1578" s="583">
        <f>IF(GLOBAL_DER_FEV_2023!W1578=0,0,IF(GLOBAL_DER_FEV_2023!W1578&gt;0,"c","b"))</f>
        <v>0</v>
      </c>
    </row>
    <row r="1579" spans="1:25" ht="22.5" x14ac:dyDescent="0.2">
      <c r="A1579" s="317">
        <v>98290</v>
      </c>
      <c r="B1579" s="895">
        <v>98290</v>
      </c>
      <c r="C1579" s="896" t="s">
        <v>596</v>
      </c>
      <c r="D1579" s="906" t="s">
        <v>1504</v>
      </c>
      <c r="E1579" s="907">
        <f>GLOBAL_DER_FEV_2023!E1579</f>
        <v>0</v>
      </c>
      <c r="F1579" s="908">
        <f>GLOBAL_DER_FEV_2023!F1579</f>
        <v>0</v>
      </c>
      <c r="G1579" s="912">
        <f>GLOBAL_DER_FEV_2023!G1579</f>
        <v>0</v>
      </c>
      <c r="H1579" s="901">
        <f>GLOBAL_DER_FEV_2023!H1579</f>
        <v>4.1900000000000004</v>
      </c>
      <c r="I1579" s="901">
        <f>GLOBAL_DER_FEV_2023!I1579</f>
        <v>4.1900000000000004</v>
      </c>
      <c r="J1579" s="902">
        <f>GLOBAL_DER_FEV_2023!J1579</f>
        <v>5.03</v>
      </c>
      <c r="K1579" s="903" t="s">
        <v>62</v>
      </c>
      <c r="L1579" s="1137"/>
      <c r="M1579" s="1138">
        <f t="shared" si="168"/>
        <v>0</v>
      </c>
      <c r="N1579" s="893">
        <f t="shared" si="172"/>
        <v>0</v>
      </c>
      <c r="O1579" s="905"/>
      <c r="Q1579" s="317" t="str">
        <f t="shared" si="169"/>
        <v/>
      </c>
      <c r="R1579" s="317" t="str">
        <f t="shared" si="170"/>
        <v/>
      </c>
      <c r="S1579" s="317" t="str">
        <f t="shared" si="171"/>
        <v/>
      </c>
      <c r="T1579" s="317" t="str">
        <f>GLOBAL_DER_FEV_2023!S1579</f>
        <v/>
      </c>
      <c r="W1579" s="582">
        <v>0</v>
      </c>
      <c r="X1579" s="580"/>
      <c r="Y1579" s="583">
        <f>IF(GLOBAL_DER_FEV_2023!W1579=0,0,IF(GLOBAL_DER_FEV_2023!W1579&gt;0,"c","b"))</f>
        <v>0</v>
      </c>
    </row>
    <row r="1580" spans="1:25" ht="22.5" x14ac:dyDescent="0.2">
      <c r="A1580" s="317">
        <v>98291</v>
      </c>
      <c r="B1580" s="895">
        <v>98291</v>
      </c>
      <c r="C1580" s="896" t="s">
        <v>596</v>
      </c>
      <c r="D1580" s="906" t="s">
        <v>1505</v>
      </c>
      <c r="E1580" s="907">
        <f>GLOBAL_DER_FEV_2023!E1580</f>
        <v>0</v>
      </c>
      <c r="F1580" s="908">
        <f>GLOBAL_DER_FEV_2023!F1580</f>
        <v>0</v>
      </c>
      <c r="G1580" s="912">
        <f>GLOBAL_DER_FEV_2023!G1580</f>
        <v>0</v>
      </c>
      <c r="H1580" s="901">
        <f>GLOBAL_DER_FEV_2023!H1580</f>
        <v>4.93</v>
      </c>
      <c r="I1580" s="901">
        <f>GLOBAL_DER_FEV_2023!I1580</f>
        <v>4.93</v>
      </c>
      <c r="J1580" s="902">
        <f>GLOBAL_DER_FEV_2023!J1580</f>
        <v>5.92</v>
      </c>
      <c r="K1580" s="903" t="s">
        <v>62</v>
      </c>
      <c r="L1580" s="1137"/>
      <c r="M1580" s="1138">
        <f t="shared" si="168"/>
        <v>0</v>
      </c>
      <c r="N1580" s="893">
        <f t="shared" si="172"/>
        <v>0</v>
      </c>
      <c r="O1580" s="905"/>
      <c r="Q1580" s="317" t="str">
        <f t="shared" si="169"/>
        <v/>
      </c>
      <c r="R1580" s="317" t="str">
        <f t="shared" si="170"/>
        <v/>
      </c>
      <c r="S1580" s="317" t="str">
        <f t="shared" si="171"/>
        <v/>
      </c>
      <c r="T1580" s="317" t="str">
        <f>GLOBAL_DER_FEV_2023!S1580</f>
        <v/>
      </c>
      <c r="W1580" s="582">
        <v>0</v>
      </c>
      <c r="X1580" s="580"/>
      <c r="Y1580" s="583">
        <f>IF(GLOBAL_DER_FEV_2023!W1580=0,0,IF(GLOBAL_DER_FEV_2023!W1580&gt;0,"c","b"))</f>
        <v>0</v>
      </c>
    </row>
    <row r="1581" spans="1:25" ht="22.5" x14ac:dyDescent="0.2">
      <c r="A1581" s="317">
        <v>98292</v>
      </c>
      <c r="B1581" s="895">
        <v>98292</v>
      </c>
      <c r="C1581" s="896" t="s">
        <v>596</v>
      </c>
      <c r="D1581" s="906" t="s">
        <v>1506</v>
      </c>
      <c r="E1581" s="907">
        <f>GLOBAL_DER_FEV_2023!E1581</f>
        <v>0</v>
      </c>
      <c r="F1581" s="908">
        <f>GLOBAL_DER_FEV_2023!F1581</f>
        <v>0</v>
      </c>
      <c r="G1581" s="912">
        <f>GLOBAL_DER_FEV_2023!G1581</f>
        <v>0</v>
      </c>
      <c r="H1581" s="901">
        <f>GLOBAL_DER_FEV_2023!H1581</f>
        <v>5.94</v>
      </c>
      <c r="I1581" s="901">
        <f>GLOBAL_DER_FEV_2023!I1581</f>
        <v>5.94</v>
      </c>
      <c r="J1581" s="902">
        <f>GLOBAL_DER_FEV_2023!J1581</f>
        <v>7.13</v>
      </c>
      <c r="K1581" s="903" t="s">
        <v>62</v>
      </c>
      <c r="L1581" s="1137"/>
      <c r="M1581" s="1138">
        <f t="shared" si="168"/>
        <v>0</v>
      </c>
      <c r="N1581" s="893">
        <f t="shared" si="172"/>
        <v>0</v>
      </c>
      <c r="O1581" s="905"/>
      <c r="Q1581" s="317" t="str">
        <f t="shared" si="169"/>
        <v/>
      </c>
      <c r="R1581" s="317" t="str">
        <f t="shared" si="170"/>
        <v/>
      </c>
      <c r="S1581" s="317" t="str">
        <f t="shared" si="171"/>
        <v/>
      </c>
      <c r="T1581" s="317" t="str">
        <f>GLOBAL_DER_FEV_2023!S1581</f>
        <v/>
      </c>
      <c r="W1581" s="582">
        <v>0</v>
      </c>
      <c r="X1581" s="580"/>
      <c r="Y1581" s="583">
        <f>IF(GLOBAL_DER_FEV_2023!W1581=0,0,IF(GLOBAL_DER_FEV_2023!W1581&gt;0,"c","b"))</f>
        <v>0</v>
      </c>
    </row>
    <row r="1582" spans="1:25" x14ac:dyDescent="0.2">
      <c r="A1582" s="317">
        <v>98397</v>
      </c>
      <c r="B1582" s="895">
        <v>98397</v>
      </c>
      <c r="C1582" s="896" t="s">
        <v>596</v>
      </c>
      <c r="D1582" s="906" t="s">
        <v>1507</v>
      </c>
      <c r="E1582" s="907">
        <f>GLOBAL_DER_FEV_2023!E1582</f>
        <v>0</v>
      </c>
      <c r="F1582" s="908">
        <f>GLOBAL_DER_FEV_2023!F1582</f>
        <v>0</v>
      </c>
      <c r="G1582" s="912">
        <f>GLOBAL_DER_FEV_2023!G1582</f>
        <v>0</v>
      </c>
      <c r="H1582" s="901">
        <f>GLOBAL_DER_FEV_2023!H1582</f>
        <v>13.82</v>
      </c>
      <c r="I1582" s="901">
        <f>GLOBAL_DER_FEV_2023!I1582</f>
        <v>13.82</v>
      </c>
      <c r="J1582" s="902">
        <f>GLOBAL_DER_FEV_2023!J1582</f>
        <v>16.59</v>
      </c>
      <c r="K1582" s="903" t="s">
        <v>1517</v>
      </c>
      <c r="L1582" s="1137"/>
      <c r="M1582" s="1138">
        <f t="shared" si="168"/>
        <v>0</v>
      </c>
      <c r="N1582" s="893">
        <f t="shared" si="172"/>
        <v>0</v>
      </c>
      <c r="O1582" s="905"/>
      <c r="Q1582" s="317" t="str">
        <f t="shared" si="169"/>
        <v/>
      </c>
      <c r="R1582" s="317" t="str">
        <f t="shared" si="170"/>
        <v/>
      </c>
      <c r="S1582" s="317" t="str">
        <f t="shared" si="171"/>
        <v/>
      </c>
      <c r="T1582" s="317" t="str">
        <f>GLOBAL_DER_FEV_2023!S1582</f>
        <v/>
      </c>
      <c r="W1582" s="582">
        <v>0</v>
      </c>
      <c r="X1582" s="580"/>
      <c r="Y1582" s="583">
        <f>IF(GLOBAL_DER_FEV_2023!W1582=0,0,IF(GLOBAL_DER_FEV_2023!W1582&gt;0,"c","b"))</f>
        <v>0</v>
      </c>
    </row>
    <row r="1583" spans="1:25" ht="33.75" x14ac:dyDescent="0.2">
      <c r="A1583" s="317">
        <v>97327</v>
      </c>
      <c r="B1583" s="895">
        <v>97327</v>
      </c>
      <c r="C1583" s="896" t="s">
        <v>596</v>
      </c>
      <c r="D1583" s="906" t="s">
        <v>1508</v>
      </c>
      <c r="E1583" s="907">
        <f>GLOBAL_DER_FEV_2023!E1583</f>
        <v>0</v>
      </c>
      <c r="F1583" s="908">
        <f>GLOBAL_DER_FEV_2023!F1583</f>
        <v>0</v>
      </c>
      <c r="G1583" s="912">
        <f>GLOBAL_DER_FEV_2023!G1583</f>
        <v>0</v>
      </c>
      <c r="H1583" s="901">
        <f>GLOBAL_DER_FEV_2023!H1583</f>
        <v>30.58</v>
      </c>
      <c r="I1583" s="901">
        <f>GLOBAL_DER_FEV_2023!I1583</f>
        <v>30.58</v>
      </c>
      <c r="J1583" s="902">
        <f>GLOBAL_DER_FEV_2023!J1583</f>
        <v>36.72</v>
      </c>
      <c r="K1583" s="903" t="s">
        <v>62</v>
      </c>
      <c r="L1583" s="1137"/>
      <c r="M1583" s="1138">
        <f t="shared" si="168"/>
        <v>0</v>
      </c>
      <c r="N1583" s="893">
        <f t="shared" si="172"/>
        <v>0</v>
      </c>
      <c r="O1583" s="905"/>
      <c r="Q1583" s="317" t="str">
        <f t="shared" si="169"/>
        <v/>
      </c>
      <c r="R1583" s="317" t="str">
        <f t="shared" si="170"/>
        <v/>
      </c>
      <c r="S1583" s="317" t="str">
        <f t="shared" si="171"/>
        <v/>
      </c>
      <c r="T1583" s="317" t="str">
        <f>GLOBAL_DER_FEV_2023!S1583</f>
        <v/>
      </c>
      <c r="W1583" s="582">
        <v>0</v>
      </c>
      <c r="X1583" s="580"/>
      <c r="Y1583" s="583">
        <f>IF(GLOBAL_DER_FEV_2023!W1583=0,0,IF(GLOBAL_DER_FEV_2023!W1583&gt;0,"c","b"))</f>
        <v>0</v>
      </c>
    </row>
    <row r="1584" spans="1:25" ht="33.75" x14ac:dyDescent="0.2">
      <c r="A1584" s="317">
        <v>97328</v>
      </c>
      <c r="B1584" s="895">
        <v>97328</v>
      </c>
      <c r="C1584" s="896" t="s">
        <v>596</v>
      </c>
      <c r="D1584" s="906" t="s">
        <v>1509</v>
      </c>
      <c r="E1584" s="907">
        <f>GLOBAL_DER_FEV_2023!E1584</f>
        <v>0</v>
      </c>
      <c r="F1584" s="908">
        <f>GLOBAL_DER_FEV_2023!F1584</f>
        <v>0</v>
      </c>
      <c r="G1584" s="912">
        <f>GLOBAL_DER_FEV_2023!G1584</f>
        <v>0</v>
      </c>
      <c r="H1584" s="901">
        <f>GLOBAL_DER_FEV_2023!H1584</f>
        <v>53.95</v>
      </c>
      <c r="I1584" s="901">
        <f>GLOBAL_DER_FEV_2023!I1584</f>
        <v>53.95</v>
      </c>
      <c r="J1584" s="902">
        <f>GLOBAL_DER_FEV_2023!J1584</f>
        <v>64.78</v>
      </c>
      <c r="K1584" s="903" t="s">
        <v>62</v>
      </c>
      <c r="L1584" s="1137"/>
      <c r="M1584" s="1138">
        <f t="shared" si="168"/>
        <v>0</v>
      </c>
      <c r="N1584" s="893">
        <f t="shared" si="172"/>
        <v>0</v>
      </c>
      <c r="O1584" s="905"/>
      <c r="Q1584" s="317" t="str">
        <f t="shared" si="169"/>
        <v/>
      </c>
      <c r="R1584" s="317" t="str">
        <f t="shared" si="170"/>
        <v/>
      </c>
      <c r="S1584" s="317" t="str">
        <f t="shared" si="171"/>
        <v/>
      </c>
      <c r="T1584" s="317" t="str">
        <f>GLOBAL_DER_FEV_2023!S1584</f>
        <v/>
      </c>
      <c r="W1584" s="582">
        <v>0</v>
      </c>
      <c r="X1584" s="580"/>
      <c r="Y1584" s="583">
        <f>IF(GLOBAL_DER_FEV_2023!W1584=0,0,IF(GLOBAL_DER_FEV_2023!W1584&gt;0,"c","b"))</f>
        <v>0</v>
      </c>
    </row>
    <row r="1585" spans="1:25" ht="33.75" x14ac:dyDescent="0.2">
      <c r="A1585" s="317">
        <v>97329</v>
      </c>
      <c r="B1585" s="895">
        <v>97329</v>
      </c>
      <c r="C1585" s="896" t="s">
        <v>596</v>
      </c>
      <c r="D1585" s="906" t="s">
        <v>1510</v>
      </c>
      <c r="E1585" s="907">
        <f>GLOBAL_DER_FEV_2023!E1585</f>
        <v>0</v>
      </c>
      <c r="F1585" s="908">
        <f>GLOBAL_DER_FEV_2023!F1585</f>
        <v>0</v>
      </c>
      <c r="G1585" s="912">
        <f>GLOBAL_DER_FEV_2023!G1585</f>
        <v>0</v>
      </c>
      <c r="H1585" s="901">
        <f>GLOBAL_DER_FEV_2023!H1585</f>
        <v>66.78</v>
      </c>
      <c r="I1585" s="901">
        <f>GLOBAL_DER_FEV_2023!I1585</f>
        <v>66.78</v>
      </c>
      <c r="J1585" s="902">
        <f>GLOBAL_DER_FEV_2023!J1585</f>
        <v>80.180000000000007</v>
      </c>
      <c r="K1585" s="903" t="s">
        <v>62</v>
      </c>
      <c r="L1585" s="1137"/>
      <c r="M1585" s="1138">
        <f t="shared" si="168"/>
        <v>0</v>
      </c>
      <c r="N1585" s="893">
        <f t="shared" si="172"/>
        <v>0</v>
      </c>
      <c r="O1585" s="905"/>
      <c r="Q1585" s="317" t="str">
        <f t="shared" si="169"/>
        <v/>
      </c>
      <c r="R1585" s="317" t="str">
        <f t="shared" si="170"/>
        <v/>
      </c>
      <c r="S1585" s="317" t="str">
        <f t="shared" si="171"/>
        <v/>
      </c>
      <c r="T1585" s="317" t="str">
        <f>GLOBAL_DER_FEV_2023!S1585</f>
        <v/>
      </c>
      <c r="W1585" s="582">
        <v>0</v>
      </c>
      <c r="X1585" s="580"/>
      <c r="Y1585" s="583">
        <f>IF(GLOBAL_DER_FEV_2023!W1585=0,0,IF(GLOBAL_DER_FEV_2023!W1585&gt;0,"c","b"))</f>
        <v>0</v>
      </c>
    </row>
    <row r="1586" spans="1:25" ht="33.75" x14ac:dyDescent="0.2">
      <c r="A1586" s="317">
        <v>97330</v>
      </c>
      <c r="B1586" s="895">
        <v>97330</v>
      </c>
      <c r="C1586" s="896" t="s">
        <v>596</v>
      </c>
      <c r="D1586" s="906" t="s">
        <v>1511</v>
      </c>
      <c r="E1586" s="907">
        <f>GLOBAL_DER_FEV_2023!E1586</f>
        <v>0</v>
      </c>
      <c r="F1586" s="908">
        <f>GLOBAL_DER_FEV_2023!F1586</f>
        <v>0</v>
      </c>
      <c r="G1586" s="912">
        <f>GLOBAL_DER_FEV_2023!G1586</f>
        <v>0</v>
      </c>
      <c r="H1586" s="901">
        <f>GLOBAL_DER_FEV_2023!H1586</f>
        <v>81.25</v>
      </c>
      <c r="I1586" s="901">
        <f>GLOBAL_DER_FEV_2023!I1586</f>
        <v>81.25</v>
      </c>
      <c r="J1586" s="902">
        <f>GLOBAL_DER_FEV_2023!J1586</f>
        <v>97.56</v>
      </c>
      <c r="K1586" s="903" t="s">
        <v>62</v>
      </c>
      <c r="L1586" s="1137"/>
      <c r="M1586" s="1138">
        <f t="shared" si="168"/>
        <v>0</v>
      </c>
      <c r="N1586" s="893">
        <f t="shared" si="172"/>
        <v>0</v>
      </c>
      <c r="O1586" s="905"/>
      <c r="Q1586" s="317" t="str">
        <f t="shared" si="169"/>
        <v/>
      </c>
      <c r="R1586" s="317" t="str">
        <f t="shared" si="170"/>
        <v/>
      </c>
      <c r="S1586" s="317" t="str">
        <f t="shared" si="171"/>
        <v/>
      </c>
      <c r="T1586" s="317" t="str">
        <f>GLOBAL_DER_FEV_2023!S1586</f>
        <v/>
      </c>
      <c r="W1586" s="582">
        <v>0</v>
      </c>
      <c r="X1586" s="580"/>
      <c r="Y1586" s="583">
        <f>IF(GLOBAL_DER_FEV_2023!W1586=0,0,IF(GLOBAL_DER_FEV_2023!W1586&gt;0,"c","b"))</f>
        <v>0</v>
      </c>
    </row>
    <row r="1587" spans="1:25" ht="33.75" x14ac:dyDescent="0.2">
      <c r="A1587" s="317">
        <v>97331</v>
      </c>
      <c r="B1587" s="895">
        <v>97331</v>
      </c>
      <c r="C1587" s="896" t="s">
        <v>596</v>
      </c>
      <c r="D1587" s="906" t="s">
        <v>1512</v>
      </c>
      <c r="E1587" s="907">
        <f>GLOBAL_DER_FEV_2023!E1587</f>
        <v>0</v>
      </c>
      <c r="F1587" s="908">
        <f>GLOBAL_DER_FEV_2023!F1587</f>
        <v>0</v>
      </c>
      <c r="G1587" s="912">
        <f>GLOBAL_DER_FEV_2023!G1587</f>
        <v>0</v>
      </c>
      <c r="H1587" s="901">
        <f>GLOBAL_DER_FEV_2023!H1587</f>
        <v>30.98</v>
      </c>
      <c r="I1587" s="901">
        <f>GLOBAL_DER_FEV_2023!I1587</f>
        <v>30.98</v>
      </c>
      <c r="J1587" s="902">
        <f>GLOBAL_DER_FEV_2023!J1587</f>
        <v>37.200000000000003</v>
      </c>
      <c r="K1587" s="903" t="s">
        <v>62</v>
      </c>
      <c r="L1587" s="1137"/>
      <c r="M1587" s="1138">
        <f t="shared" si="168"/>
        <v>0</v>
      </c>
      <c r="N1587" s="893">
        <f t="shared" si="172"/>
        <v>0</v>
      </c>
      <c r="O1587" s="905"/>
      <c r="Q1587" s="317" t="str">
        <f t="shared" si="169"/>
        <v/>
      </c>
      <c r="R1587" s="317" t="str">
        <f t="shared" si="170"/>
        <v/>
      </c>
      <c r="S1587" s="317" t="str">
        <f t="shared" si="171"/>
        <v/>
      </c>
      <c r="T1587" s="317" t="str">
        <f>GLOBAL_DER_FEV_2023!S1587</f>
        <v/>
      </c>
      <c r="W1587" s="582">
        <v>0</v>
      </c>
      <c r="X1587" s="580"/>
      <c r="Y1587" s="583">
        <f>IF(GLOBAL_DER_FEV_2023!W1587=0,0,IF(GLOBAL_DER_FEV_2023!W1587&gt;0,"c","b"))</f>
        <v>0</v>
      </c>
    </row>
    <row r="1588" spans="1:25" ht="33.75" x14ac:dyDescent="0.2">
      <c r="A1588" s="317">
        <v>97332</v>
      </c>
      <c r="B1588" s="895">
        <v>97332</v>
      </c>
      <c r="C1588" s="896" t="s">
        <v>596</v>
      </c>
      <c r="D1588" s="906" t="s">
        <v>1513</v>
      </c>
      <c r="E1588" s="907">
        <f>GLOBAL_DER_FEV_2023!E1588</f>
        <v>0</v>
      </c>
      <c r="F1588" s="908">
        <f>GLOBAL_DER_FEV_2023!F1588</f>
        <v>0</v>
      </c>
      <c r="G1588" s="912">
        <f>GLOBAL_DER_FEV_2023!G1588</f>
        <v>0</v>
      </c>
      <c r="H1588" s="901">
        <f>GLOBAL_DER_FEV_2023!H1588</f>
        <v>54.41</v>
      </c>
      <c r="I1588" s="901">
        <f>GLOBAL_DER_FEV_2023!I1588</f>
        <v>54.41</v>
      </c>
      <c r="J1588" s="902">
        <f>GLOBAL_DER_FEV_2023!J1588</f>
        <v>65.33</v>
      </c>
      <c r="K1588" s="903" t="s">
        <v>62</v>
      </c>
      <c r="L1588" s="1137"/>
      <c r="M1588" s="1138">
        <f t="shared" si="168"/>
        <v>0</v>
      </c>
      <c r="N1588" s="893">
        <f t="shared" si="172"/>
        <v>0</v>
      </c>
      <c r="O1588" s="905"/>
      <c r="Q1588" s="317" t="str">
        <f t="shared" si="169"/>
        <v/>
      </c>
      <c r="R1588" s="317" t="str">
        <f t="shared" si="170"/>
        <v/>
      </c>
      <c r="S1588" s="317" t="str">
        <f t="shared" si="171"/>
        <v/>
      </c>
      <c r="T1588" s="317" t="str">
        <f>GLOBAL_DER_FEV_2023!S1588</f>
        <v/>
      </c>
      <c r="W1588" s="582">
        <v>0</v>
      </c>
      <c r="X1588" s="580"/>
      <c r="Y1588" s="583">
        <f>IF(GLOBAL_DER_FEV_2023!W1588=0,0,IF(GLOBAL_DER_FEV_2023!W1588&gt;0,"c","b"))</f>
        <v>0</v>
      </c>
    </row>
    <row r="1589" spans="1:25" ht="33.75" x14ac:dyDescent="0.2">
      <c r="A1589" s="317">
        <v>97333</v>
      </c>
      <c r="B1589" s="895">
        <v>97333</v>
      </c>
      <c r="C1589" s="896" t="s">
        <v>596</v>
      </c>
      <c r="D1589" s="906" t="s">
        <v>1514</v>
      </c>
      <c r="E1589" s="907">
        <f>GLOBAL_DER_FEV_2023!E1589</f>
        <v>0</v>
      </c>
      <c r="F1589" s="908">
        <f>GLOBAL_DER_FEV_2023!F1589</f>
        <v>0</v>
      </c>
      <c r="G1589" s="912">
        <f>GLOBAL_DER_FEV_2023!G1589</f>
        <v>0</v>
      </c>
      <c r="H1589" s="901">
        <f>GLOBAL_DER_FEV_2023!H1589</f>
        <v>67.36</v>
      </c>
      <c r="I1589" s="901">
        <f>GLOBAL_DER_FEV_2023!I1589</f>
        <v>67.36</v>
      </c>
      <c r="J1589" s="902">
        <f>GLOBAL_DER_FEV_2023!J1589</f>
        <v>80.88</v>
      </c>
      <c r="K1589" s="903" t="s">
        <v>62</v>
      </c>
      <c r="L1589" s="1137"/>
      <c r="M1589" s="1138">
        <f t="shared" si="168"/>
        <v>0</v>
      </c>
      <c r="N1589" s="893">
        <f t="shared" si="172"/>
        <v>0</v>
      </c>
      <c r="O1589" s="905"/>
      <c r="Q1589" s="317" t="str">
        <f t="shared" si="169"/>
        <v/>
      </c>
      <c r="R1589" s="317" t="str">
        <f t="shared" si="170"/>
        <v/>
      </c>
      <c r="S1589" s="317" t="str">
        <f t="shared" si="171"/>
        <v/>
      </c>
      <c r="T1589" s="317" t="str">
        <f>GLOBAL_DER_FEV_2023!S1589</f>
        <v/>
      </c>
      <c r="W1589" s="582">
        <v>0</v>
      </c>
      <c r="X1589" s="580"/>
      <c r="Y1589" s="583">
        <f>IF(GLOBAL_DER_FEV_2023!W1589=0,0,IF(GLOBAL_DER_FEV_2023!W1589&gt;0,"c","b"))</f>
        <v>0</v>
      </c>
    </row>
    <row r="1590" spans="1:25" ht="33.75" x14ac:dyDescent="0.2">
      <c r="A1590" s="317">
        <v>97334</v>
      </c>
      <c r="B1590" s="895">
        <v>97334</v>
      </c>
      <c r="C1590" s="896" t="s">
        <v>596</v>
      </c>
      <c r="D1590" s="906" t="s">
        <v>1515</v>
      </c>
      <c r="E1590" s="907">
        <f>GLOBAL_DER_FEV_2023!E1590</f>
        <v>0</v>
      </c>
      <c r="F1590" s="908">
        <f>GLOBAL_DER_FEV_2023!F1590</f>
        <v>0</v>
      </c>
      <c r="G1590" s="912">
        <f>GLOBAL_DER_FEV_2023!G1590</f>
        <v>0</v>
      </c>
      <c r="H1590" s="901">
        <f>GLOBAL_DER_FEV_2023!H1590</f>
        <v>81.89</v>
      </c>
      <c r="I1590" s="901">
        <f>GLOBAL_DER_FEV_2023!I1590</f>
        <v>81.89</v>
      </c>
      <c r="J1590" s="902">
        <f>GLOBAL_DER_FEV_2023!J1590</f>
        <v>98.33</v>
      </c>
      <c r="K1590" s="903" t="s">
        <v>62</v>
      </c>
      <c r="L1590" s="1137"/>
      <c r="M1590" s="1138">
        <f t="shared" si="168"/>
        <v>0</v>
      </c>
      <c r="N1590" s="893">
        <f t="shared" si="172"/>
        <v>0</v>
      </c>
      <c r="O1590" s="905"/>
      <c r="Q1590" s="317" t="str">
        <f t="shared" si="169"/>
        <v/>
      </c>
      <c r="R1590" s="317" t="str">
        <f t="shared" si="170"/>
        <v/>
      </c>
      <c r="S1590" s="317" t="str">
        <f t="shared" si="171"/>
        <v/>
      </c>
      <c r="T1590" s="317" t="str">
        <f>GLOBAL_DER_FEV_2023!S1590</f>
        <v/>
      </c>
      <c r="W1590" s="582">
        <v>0</v>
      </c>
      <c r="X1590" s="580"/>
      <c r="Y1590" s="583">
        <f>IF(GLOBAL_DER_FEV_2023!W1590=0,0,IF(GLOBAL_DER_FEV_2023!W1590&gt;0,"c","b"))</f>
        <v>0</v>
      </c>
    </row>
    <row r="1591" spans="1:25" ht="15" customHeight="1" x14ac:dyDescent="0.2">
      <c r="A1591" s="317">
        <v>844000</v>
      </c>
      <c r="B1591" s="895">
        <v>844000</v>
      </c>
      <c r="C1591" s="896" t="s">
        <v>184</v>
      </c>
      <c r="D1591" s="906" t="s">
        <v>486</v>
      </c>
      <c r="E1591" s="907">
        <f>GLOBAL_DER_FEV_2023!E1591</f>
        <v>0</v>
      </c>
      <c r="F1591" s="908">
        <f>GLOBAL_DER_FEV_2023!F1591</f>
        <v>0</v>
      </c>
      <c r="G1591" s="912">
        <f>GLOBAL_DER_FEV_2023!G1591</f>
        <v>0</v>
      </c>
      <c r="H1591" s="901">
        <f>GLOBAL_DER_FEV_2023!H1591</f>
        <v>5276</v>
      </c>
      <c r="I1591" s="901">
        <f>GLOBAL_DER_FEV_2023!I1591</f>
        <v>5276</v>
      </c>
      <c r="J1591" s="902">
        <f>GLOBAL_DER_FEV_2023!J1591</f>
        <v>6334.89</v>
      </c>
      <c r="K1591" s="903" t="s">
        <v>15</v>
      </c>
      <c r="L1591" s="1137"/>
      <c r="M1591" s="1138">
        <f t="shared" si="168"/>
        <v>0</v>
      </c>
      <c r="N1591" s="893">
        <f t="shared" si="172"/>
        <v>0</v>
      </c>
      <c r="O1591" s="905"/>
      <c r="Q1591" s="317" t="str">
        <f t="shared" si="169"/>
        <v/>
      </c>
      <c r="R1591" s="317" t="str">
        <f t="shared" si="170"/>
        <v/>
      </c>
      <c r="S1591" s="317" t="str">
        <f t="shared" si="171"/>
        <v/>
      </c>
      <c r="T1591" s="317" t="str">
        <f>GLOBAL_DER_FEV_2023!S1591</f>
        <v/>
      </c>
      <c r="W1591" s="582">
        <v>0</v>
      </c>
      <c r="X1591" s="580"/>
      <c r="Y1591" s="583">
        <f>IF(GLOBAL_DER_FEV_2023!W1591=0,0,IF(GLOBAL_DER_FEV_2023!W1591&gt;0,"c","b"))</f>
        <v>0</v>
      </c>
    </row>
    <row r="1592" spans="1:25" ht="15" customHeight="1" x14ac:dyDescent="0.2">
      <c r="A1592" s="640" t="s">
        <v>165</v>
      </c>
      <c r="B1592" s="913" t="s">
        <v>165</v>
      </c>
      <c r="C1592" s="914"/>
      <c r="D1592" s="915" t="s">
        <v>475</v>
      </c>
      <c r="E1592" s="916">
        <f>GLOBAL_DER_FEV_2023!E1592</f>
        <v>0</v>
      </c>
      <c r="F1592" s="917">
        <f>GLOBAL_DER_FEV_2023!F1592</f>
        <v>0</v>
      </c>
      <c r="G1592" s="918">
        <f>GLOBAL_DER_FEV_2023!G1592</f>
        <v>0</v>
      </c>
      <c r="H1592" s="919">
        <f>GLOBAL_DER_FEV_2023!H1592</f>
        <v>0</v>
      </c>
      <c r="I1592" s="919">
        <f>GLOBAL_DER_FEV_2023!I1592</f>
        <v>0</v>
      </c>
      <c r="J1592" s="919">
        <f>GLOBAL_DER_FEV_2023!J1592</f>
        <v>0</v>
      </c>
      <c r="K1592" s="920" t="s">
        <v>507</v>
      </c>
      <c r="L1592" s="1162"/>
      <c r="M1592" s="1138">
        <f t="shared" si="168"/>
        <v>0</v>
      </c>
      <c r="N1592" s="1164">
        <f t="shared" si="172"/>
        <v>0</v>
      </c>
      <c r="O1592" s="1165"/>
      <c r="P1592" s="58" t="str">
        <f>IF(OR(SUM(N1593:N1624)&gt;0,SUM(N1593:N1624)&gt;0),"y","")</f>
        <v/>
      </c>
      <c r="Q1592" s="317" t="str">
        <f t="shared" si="169"/>
        <v/>
      </c>
      <c r="R1592" s="317" t="str">
        <f t="shared" si="170"/>
        <v/>
      </c>
      <c r="S1592" s="317" t="str">
        <f t="shared" si="171"/>
        <v/>
      </c>
      <c r="T1592" s="317" t="str">
        <f>GLOBAL_DER_FEV_2023!S1592</f>
        <v/>
      </c>
      <c r="W1592" s="582">
        <v>0</v>
      </c>
      <c r="X1592" s="580"/>
      <c r="Y1592" s="583">
        <f>IF(GLOBAL_DER_FEV_2023!W1592=0,0,IF(GLOBAL_DER_FEV_2023!W1592&gt;0,"c","b"))</f>
        <v>0</v>
      </c>
    </row>
    <row r="1593" spans="1:25" ht="15" customHeight="1" x14ac:dyDescent="0.2">
      <c r="A1593" s="640" t="s">
        <v>165</v>
      </c>
      <c r="B1593" s="1036" t="str">
        <f>GLOBAL_DER_FEV_2023!B1593</f>
        <v/>
      </c>
      <c r="C1593" s="1072" t="str">
        <f>GLOBAL_DER_FEV_2023!C1593</f>
        <v/>
      </c>
      <c r="D1593" s="1141">
        <f>GLOBAL_DER_FEV_2023!D1593</f>
        <v>0</v>
      </c>
      <c r="E1593" s="907">
        <f>GLOBAL_DER_FEV_2023!E1593</f>
        <v>0</v>
      </c>
      <c r="F1593" s="908">
        <f>GLOBAL_DER_FEV_2023!F1593</f>
        <v>0</v>
      </c>
      <c r="G1593" s="912">
        <f>GLOBAL_DER_FEV_2023!G1593</f>
        <v>0</v>
      </c>
      <c r="H1593" s="901">
        <f>GLOBAL_DER_FEV_2023!H1593</f>
        <v>0</v>
      </c>
      <c r="I1593" s="901" t="str">
        <f>GLOBAL_DER_FEV_2023!I1593</f>
        <v/>
      </c>
      <c r="J1593" s="890">
        <f>GLOBAL_DER_FEV_2023!J1593</f>
        <v>0</v>
      </c>
      <c r="K1593" s="903" t="str">
        <f>GLOBAL_DER_FEV_2023!K1593</f>
        <v xml:space="preserve">     </v>
      </c>
      <c r="L1593" s="1137"/>
      <c r="M1593" s="1138">
        <f t="shared" si="168"/>
        <v>0</v>
      </c>
      <c r="N1593" s="1167">
        <f t="shared" si="172"/>
        <v>0</v>
      </c>
      <c r="O1593" s="1165"/>
      <c r="Q1593" s="317" t="str">
        <f t="shared" si="169"/>
        <v/>
      </c>
      <c r="R1593" s="317" t="str">
        <f t="shared" si="170"/>
        <v/>
      </c>
      <c r="S1593" s="317" t="str">
        <f t="shared" si="171"/>
        <v/>
      </c>
      <c r="T1593" s="317" t="str">
        <f>GLOBAL_DER_FEV_2023!S1593</f>
        <v/>
      </c>
      <c r="W1593" s="582">
        <v>0</v>
      </c>
      <c r="X1593" s="580"/>
      <c r="Y1593" s="583">
        <f>IF(GLOBAL_DER_FEV_2023!W1593=0,0,IF(GLOBAL_DER_FEV_2023!W1593&gt;0,"c","b"))</f>
        <v>0</v>
      </c>
    </row>
    <row r="1594" spans="1:25" ht="15" customHeight="1" x14ac:dyDescent="0.2">
      <c r="A1594" s="640" t="s">
        <v>165</v>
      </c>
      <c r="B1594" s="1036" t="str">
        <f>GLOBAL_DER_FEV_2023!B1594</f>
        <v/>
      </c>
      <c r="C1594" s="1072" t="str">
        <f>GLOBAL_DER_FEV_2023!C1594</f>
        <v/>
      </c>
      <c r="D1594" s="1141">
        <f>GLOBAL_DER_FEV_2023!D1594</f>
        <v>0</v>
      </c>
      <c r="E1594" s="907">
        <f>GLOBAL_DER_FEV_2023!E1594</f>
        <v>0</v>
      </c>
      <c r="F1594" s="908">
        <f>GLOBAL_DER_FEV_2023!F1594</f>
        <v>0</v>
      </c>
      <c r="G1594" s="912">
        <f>GLOBAL_DER_FEV_2023!G1594</f>
        <v>0</v>
      </c>
      <c r="H1594" s="901">
        <f>GLOBAL_DER_FEV_2023!H1594</f>
        <v>0</v>
      </c>
      <c r="I1594" s="901" t="str">
        <f>GLOBAL_DER_FEV_2023!I1594</f>
        <v/>
      </c>
      <c r="J1594" s="890">
        <f>GLOBAL_DER_FEV_2023!J1594</f>
        <v>0</v>
      </c>
      <c r="K1594" s="903" t="str">
        <f>GLOBAL_DER_FEV_2023!K1594</f>
        <v xml:space="preserve">     </v>
      </c>
      <c r="L1594" s="1137"/>
      <c r="M1594" s="1138">
        <f t="shared" si="168"/>
        <v>0</v>
      </c>
      <c r="N1594" s="1167">
        <f t="shared" si="172"/>
        <v>0</v>
      </c>
      <c r="O1594" s="1165"/>
      <c r="Q1594" s="317" t="str">
        <f t="shared" si="169"/>
        <v/>
      </c>
      <c r="R1594" s="317" t="str">
        <f t="shared" si="170"/>
        <v/>
      </c>
      <c r="S1594" s="317" t="str">
        <f t="shared" si="171"/>
        <v/>
      </c>
      <c r="T1594" s="317" t="str">
        <f>GLOBAL_DER_FEV_2023!S1594</f>
        <v/>
      </c>
      <c r="W1594" s="582">
        <v>0</v>
      </c>
      <c r="X1594" s="580"/>
      <c r="Y1594" s="583">
        <f>IF(GLOBAL_DER_FEV_2023!W1594=0,0,IF(GLOBAL_DER_FEV_2023!W1594&gt;0,"c","b"))</f>
        <v>0</v>
      </c>
    </row>
    <row r="1595" spans="1:25" ht="15" customHeight="1" x14ac:dyDescent="0.2">
      <c r="A1595" s="640" t="s">
        <v>165</v>
      </c>
      <c r="B1595" s="1036" t="str">
        <f>GLOBAL_DER_FEV_2023!B1595</f>
        <v/>
      </c>
      <c r="C1595" s="1072" t="str">
        <f>GLOBAL_DER_FEV_2023!C1595</f>
        <v/>
      </c>
      <c r="D1595" s="1141">
        <f>GLOBAL_DER_FEV_2023!D1595</f>
        <v>0</v>
      </c>
      <c r="E1595" s="907">
        <f>GLOBAL_DER_FEV_2023!E1595</f>
        <v>0</v>
      </c>
      <c r="F1595" s="908">
        <f>GLOBAL_DER_FEV_2023!F1595</f>
        <v>0</v>
      </c>
      <c r="G1595" s="912">
        <f>GLOBAL_DER_FEV_2023!G1595</f>
        <v>0</v>
      </c>
      <c r="H1595" s="901">
        <f>GLOBAL_DER_FEV_2023!H1595</f>
        <v>0</v>
      </c>
      <c r="I1595" s="901" t="str">
        <f>GLOBAL_DER_FEV_2023!I1595</f>
        <v/>
      </c>
      <c r="J1595" s="890">
        <f>GLOBAL_DER_FEV_2023!J1595</f>
        <v>0</v>
      </c>
      <c r="K1595" s="903" t="str">
        <f>GLOBAL_DER_FEV_2023!K1595</f>
        <v xml:space="preserve">     </v>
      </c>
      <c r="L1595" s="1137"/>
      <c r="M1595" s="1138">
        <f t="shared" si="168"/>
        <v>0</v>
      </c>
      <c r="N1595" s="1167">
        <f t="shared" si="172"/>
        <v>0</v>
      </c>
      <c r="O1595" s="1165"/>
      <c r="Q1595" s="317" t="str">
        <f t="shared" si="169"/>
        <v/>
      </c>
      <c r="R1595" s="317" t="str">
        <f t="shared" si="170"/>
        <v/>
      </c>
      <c r="S1595" s="317" t="str">
        <f t="shared" si="171"/>
        <v/>
      </c>
      <c r="T1595" s="317" t="str">
        <f>GLOBAL_DER_FEV_2023!S1595</f>
        <v/>
      </c>
      <c r="W1595" s="582">
        <v>0</v>
      </c>
      <c r="X1595" s="580"/>
      <c r="Y1595" s="583">
        <f>IF(GLOBAL_DER_FEV_2023!W1595=0,0,IF(GLOBAL_DER_FEV_2023!W1595&gt;0,"c","b"))</f>
        <v>0</v>
      </c>
    </row>
    <row r="1596" spans="1:25" ht="15" customHeight="1" x14ac:dyDescent="0.2">
      <c r="A1596" s="640" t="s">
        <v>165</v>
      </c>
      <c r="B1596" s="1036" t="str">
        <f>GLOBAL_DER_FEV_2023!B1596</f>
        <v/>
      </c>
      <c r="C1596" s="1072" t="str">
        <f>GLOBAL_DER_FEV_2023!C1596</f>
        <v/>
      </c>
      <c r="D1596" s="1141">
        <f>GLOBAL_DER_FEV_2023!D1596</f>
        <v>0</v>
      </c>
      <c r="E1596" s="907">
        <f>GLOBAL_DER_FEV_2023!E1596</f>
        <v>0</v>
      </c>
      <c r="F1596" s="908">
        <f>GLOBAL_DER_FEV_2023!F1596</f>
        <v>0</v>
      </c>
      <c r="G1596" s="912">
        <f>GLOBAL_DER_FEV_2023!G1596</f>
        <v>0</v>
      </c>
      <c r="H1596" s="901">
        <f>GLOBAL_DER_FEV_2023!H1596</f>
        <v>0</v>
      </c>
      <c r="I1596" s="901" t="str">
        <f>GLOBAL_DER_FEV_2023!I1596</f>
        <v/>
      </c>
      <c r="J1596" s="890">
        <f>GLOBAL_DER_FEV_2023!J1596</f>
        <v>0</v>
      </c>
      <c r="K1596" s="903" t="str">
        <f>GLOBAL_DER_FEV_2023!K1596</f>
        <v xml:space="preserve">     </v>
      </c>
      <c r="L1596" s="1137"/>
      <c r="M1596" s="1138">
        <f t="shared" si="168"/>
        <v>0</v>
      </c>
      <c r="N1596" s="1167">
        <f t="shared" si="172"/>
        <v>0</v>
      </c>
      <c r="O1596" s="1165"/>
      <c r="Q1596" s="317" t="str">
        <f t="shared" si="169"/>
        <v/>
      </c>
      <c r="R1596" s="317" t="str">
        <f t="shared" si="170"/>
        <v/>
      </c>
      <c r="S1596" s="317" t="str">
        <f t="shared" si="171"/>
        <v/>
      </c>
      <c r="T1596" s="317" t="str">
        <f>GLOBAL_DER_FEV_2023!S1596</f>
        <v/>
      </c>
      <c r="W1596" s="582">
        <v>0</v>
      </c>
      <c r="X1596" s="580"/>
      <c r="Y1596" s="583">
        <f>IF(GLOBAL_DER_FEV_2023!W1596=0,0,IF(GLOBAL_DER_FEV_2023!W1596&gt;0,"c","b"))</f>
        <v>0</v>
      </c>
    </row>
    <row r="1597" spans="1:25" ht="15" customHeight="1" x14ac:dyDescent="0.2">
      <c r="A1597" s="640" t="s">
        <v>165</v>
      </c>
      <c r="B1597" s="1036" t="str">
        <f>GLOBAL_DER_FEV_2023!B1597</f>
        <v/>
      </c>
      <c r="C1597" s="1072" t="str">
        <f>GLOBAL_DER_FEV_2023!C1597</f>
        <v/>
      </c>
      <c r="D1597" s="1141">
        <f>GLOBAL_DER_FEV_2023!D1597</f>
        <v>0</v>
      </c>
      <c r="E1597" s="907">
        <f>GLOBAL_DER_FEV_2023!E1597</f>
        <v>0</v>
      </c>
      <c r="F1597" s="908">
        <f>GLOBAL_DER_FEV_2023!F1597</f>
        <v>0</v>
      </c>
      <c r="G1597" s="912">
        <f>GLOBAL_DER_FEV_2023!G1597</f>
        <v>0</v>
      </c>
      <c r="H1597" s="901">
        <f>GLOBAL_DER_FEV_2023!H1597</f>
        <v>0</v>
      </c>
      <c r="I1597" s="901" t="str">
        <f>GLOBAL_DER_FEV_2023!I1597</f>
        <v/>
      </c>
      <c r="J1597" s="890">
        <f>GLOBAL_DER_FEV_2023!J1597</f>
        <v>0</v>
      </c>
      <c r="K1597" s="903" t="str">
        <f>GLOBAL_DER_FEV_2023!K1597</f>
        <v xml:space="preserve">     </v>
      </c>
      <c r="L1597" s="1137"/>
      <c r="M1597" s="1138">
        <f t="shared" si="168"/>
        <v>0</v>
      </c>
      <c r="N1597" s="1167">
        <f t="shared" si="172"/>
        <v>0</v>
      </c>
      <c r="O1597" s="1165"/>
      <c r="Q1597" s="317" t="str">
        <f t="shared" si="169"/>
        <v/>
      </c>
      <c r="R1597" s="317" t="str">
        <f t="shared" si="170"/>
        <v/>
      </c>
      <c r="S1597" s="317" t="str">
        <f t="shared" si="171"/>
        <v/>
      </c>
      <c r="T1597" s="317" t="str">
        <f>GLOBAL_DER_FEV_2023!S1597</f>
        <v/>
      </c>
      <c r="W1597" s="582">
        <v>0</v>
      </c>
      <c r="X1597" s="580"/>
      <c r="Y1597" s="583">
        <f>IF(GLOBAL_DER_FEV_2023!W1597=0,0,IF(GLOBAL_DER_FEV_2023!W1597&gt;0,"c","b"))</f>
        <v>0</v>
      </c>
    </row>
    <row r="1598" spans="1:25" ht="15" customHeight="1" x14ac:dyDescent="0.2">
      <c r="A1598" s="640" t="s">
        <v>165</v>
      </c>
      <c r="B1598" s="1036" t="str">
        <f>GLOBAL_DER_FEV_2023!B1598</f>
        <v/>
      </c>
      <c r="C1598" s="1072" t="str">
        <f>GLOBAL_DER_FEV_2023!C1598</f>
        <v/>
      </c>
      <c r="D1598" s="1141">
        <f>GLOBAL_DER_FEV_2023!D1598</f>
        <v>0</v>
      </c>
      <c r="E1598" s="907">
        <f>GLOBAL_DER_FEV_2023!E1598</f>
        <v>0</v>
      </c>
      <c r="F1598" s="908">
        <f>GLOBAL_DER_FEV_2023!F1598</f>
        <v>0</v>
      </c>
      <c r="G1598" s="912">
        <f>GLOBAL_DER_FEV_2023!G1598</f>
        <v>0</v>
      </c>
      <c r="H1598" s="901">
        <f>GLOBAL_DER_FEV_2023!H1598</f>
        <v>0</v>
      </c>
      <c r="I1598" s="901" t="str">
        <f>GLOBAL_DER_FEV_2023!I1598</f>
        <v/>
      </c>
      <c r="J1598" s="890">
        <f>GLOBAL_DER_FEV_2023!J1598</f>
        <v>0</v>
      </c>
      <c r="K1598" s="903" t="str">
        <f>GLOBAL_DER_FEV_2023!K1598</f>
        <v xml:space="preserve">     </v>
      </c>
      <c r="L1598" s="1137"/>
      <c r="M1598" s="1138">
        <f t="shared" si="168"/>
        <v>0</v>
      </c>
      <c r="N1598" s="1167">
        <f t="shared" si="172"/>
        <v>0</v>
      </c>
      <c r="O1598" s="1165"/>
      <c r="Q1598" s="317" t="str">
        <f t="shared" si="169"/>
        <v/>
      </c>
      <c r="R1598" s="317" t="str">
        <f t="shared" si="170"/>
        <v/>
      </c>
      <c r="S1598" s="317" t="str">
        <f t="shared" si="171"/>
        <v/>
      </c>
      <c r="T1598" s="317" t="str">
        <f>GLOBAL_DER_FEV_2023!S1598</f>
        <v/>
      </c>
      <c r="W1598" s="582">
        <v>0</v>
      </c>
      <c r="X1598" s="580"/>
      <c r="Y1598" s="583">
        <f>IF(GLOBAL_DER_FEV_2023!W1598=0,0,IF(GLOBAL_DER_FEV_2023!W1598&gt;0,"c","b"))</f>
        <v>0</v>
      </c>
    </row>
    <row r="1599" spans="1:25" ht="15" customHeight="1" x14ac:dyDescent="0.2">
      <c r="A1599" s="640" t="s">
        <v>165</v>
      </c>
      <c r="B1599" s="1036" t="str">
        <f>GLOBAL_DER_FEV_2023!B1599</f>
        <v/>
      </c>
      <c r="C1599" s="1072" t="str">
        <f>GLOBAL_DER_FEV_2023!C1599</f>
        <v/>
      </c>
      <c r="D1599" s="1141">
        <f>GLOBAL_DER_FEV_2023!D1599</f>
        <v>0</v>
      </c>
      <c r="E1599" s="907">
        <f>GLOBAL_DER_FEV_2023!E1599</f>
        <v>0</v>
      </c>
      <c r="F1599" s="908">
        <f>GLOBAL_DER_FEV_2023!F1599</f>
        <v>0</v>
      </c>
      <c r="G1599" s="912">
        <f>GLOBAL_DER_FEV_2023!G1599</f>
        <v>0</v>
      </c>
      <c r="H1599" s="901">
        <f>GLOBAL_DER_FEV_2023!H1599</f>
        <v>0</v>
      </c>
      <c r="I1599" s="901" t="str">
        <f>GLOBAL_DER_FEV_2023!I1599</f>
        <v/>
      </c>
      <c r="J1599" s="890">
        <f>GLOBAL_DER_FEV_2023!J1599</f>
        <v>0</v>
      </c>
      <c r="K1599" s="903" t="str">
        <f>GLOBAL_DER_FEV_2023!K1599</f>
        <v xml:space="preserve">     </v>
      </c>
      <c r="L1599" s="1137"/>
      <c r="M1599" s="1138">
        <f t="shared" si="168"/>
        <v>0</v>
      </c>
      <c r="N1599" s="1167">
        <f t="shared" si="172"/>
        <v>0</v>
      </c>
      <c r="O1599" s="1165"/>
      <c r="Q1599" s="317" t="str">
        <f t="shared" si="169"/>
        <v/>
      </c>
      <c r="R1599" s="317" t="str">
        <f t="shared" si="170"/>
        <v/>
      </c>
      <c r="S1599" s="317" t="str">
        <f t="shared" si="171"/>
        <v/>
      </c>
      <c r="T1599" s="317" t="str">
        <f>GLOBAL_DER_FEV_2023!S1599</f>
        <v/>
      </c>
      <c r="W1599" s="582">
        <v>0</v>
      </c>
      <c r="X1599" s="580"/>
      <c r="Y1599" s="583">
        <f>IF(GLOBAL_DER_FEV_2023!W1599=0,0,IF(GLOBAL_DER_FEV_2023!W1599&gt;0,"c","b"))</f>
        <v>0</v>
      </c>
    </row>
    <row r="1600" spans="1:25" ht="15" customHeight="1" x14ac:dyDescent="0.2">
      <c r="A1600" s="640" t="s">
        <v>165</v>
      </c>
      <c r="B1600" s="1036" t="str">
        <f>GLOBAL_DER_FEV_2023!B1600</f>
        <v/>
      </c>
      <c r="C1600" s="1072" t="str">
        <f>GLOBAL_DER_FEV_2023!C1600</f>
        <v/>
      </c>
      <c r="D1600" s="1141">
        <f>GLOBAL_DER_FEV_2023!D1600</f>
        <v>0</v>
      </c>
      <c r="E1600" s="907">
        <f>GLOBAL_DER_FEV_2023!E1600</f>
        <v>0</v>
      </c>
      <c r="F1600" s="908">
        <f>GLOBAL_DER_FEV_2023!F1600</f>
        <v>0</v>
      </c>
      <c r="G1600" s="912">
        <f>GLOBAL_DER_FEV_2023!G1600</f>
        <v>0</v>
      </c>
      <c r="H1600" s="901">
        <f>GLOBAL_DER_FEV_2023!H1600</f>
        <v>0</v>
      </c>
      <c r="I1600" s="901" t="str">
        <f>GLOBAL_DER_FEV_2023!I1600</f>
        <v/>
      </c>
      <c r="J1600" s="890">
        <f>GLOBAL_DER_FEV_2023!J1600</f>
        <v>0</v>
      </c>
      <c r="K1600" s="903" t="str">
        <f>GLOBAL_DER_FEV_2023!K1600</f>
        <v xml:space="preserve">     </v>
      </c>
      <c r="L1600" s="1137"/>
      <c r="M1600" s="1138">
        <f t="shared" si="168"/>
        <v>0</v>
      </c>
      <c r="N1600" s="1167">
        <f t="shared" si="172"/>
        <v>0</v>
      </c>
      <c r="O1600" s="1165"/>
      <c r="Q1600" s="317" t="str">
        <f t="shared" si="169"/>
        <v/>
      </c>
      <c r="R1600" s="317" t="str">
        <f t="shared" si="170"/>
        <v/>
      </c>
      <c r="S1600" s="317" t="str">
        <f t="shared" si="171"/>
        <v/>
      </c>
      <c r="T1600" s="317" t="str">
        <f>GLOBAL_DER_FEV_2023!S1600</f>
        <v/>
      </c>
      <c r="W1600" s="582">
        <v>0</v>
      </c>
      <c r="X1600" s="580"/>
      <c r="Y1600" s="583">
        <f>IF(GLOBAL_DER_FEV_2023!W1600=0,0,IF(GLOBAL_DER_FEV_2023!W1600&gt;0,"c","b"))</f>
        <v>0</v>
      </c>
    </row>
    <row r="1601" spans="1:25" ht="15" customHeight="1" x14ac:dyDescent="0.2">
      <c r="A1601" s="640" t="s">
        <v>165</v>
      </c>
      <c r="B1601" s="1036" t="str">
        <f>GLOBAL_DER_FEV_2023!B1601</f>
        <v/>
      </c>
      <c r="C1601" s="1072" t="str">
        <f>GLOBAL_DER_FEV_2023!C1601</f>
        <v/>
      </c>
      <c r="D1601" s="1141">
        <f>GLOBAL_DER_FEV_2023!D1601</f>
        <v>0</v>
      </c>
      <c r="E1601" s="907">
        <f>GLOBAL_DER_FEV_2023!E1601</f>
        <v>0</v>
      </c>
      <c r="F1601" s="908">
        <f>GLOBAL_DER_FEV_2023!F1601</f>
        <v>0</v>
      </c>
      <c r="G1601" s="912">
        <f>GLOBAL_DER_FEV_2023!G1601</f>
        <v>0</v>
      </c>
      <c r="H1601" s="901">
        <f>GLOBAL_DER_FEV_2023!H1601</f>
        <v>0</v>
      </c>
      <c r="I1601" s="901" t="str">
        <f>GLOBAL_DER_FEV_2023!I1601</f>
        <v/>
      </c>
      <c r="J1601" s="890">
        <f>GLOBAL_DER_FEV_2023!J1601</f>
        <v>0</v>
      </c>
      <c r="K1601" s="903" t="str">
        <f>GLOBAL_DER_FEV_2023!K1601</f>
        <v xml:space="preserve">     </v>
      </c>
      <c r="L1601" s="1137"/>
      <c r="M1601" s="1138">
        <f t="shared" si="168"/>
        <v>0</v>
      </c>
      <c r="N1601" s="1167">
        <f t="shared" si="172"/>
        <v>0</v>
      </c>
      <c r="O1601" s="1165"/>
      <c r="Q1601" s="317" t="str">
        <f t="shared" si="169"/>
        <v/>
      </c>
      <c r="R1601" s="317" t="str">
        <f t="shared" si="170"/>
        <v/>
      </c>
      <c r="S1601" s="317" t="str">
        <f t="shared" si="171"/>
        <v/>
      </c>
      <c r="T1601" s="317" t="str">
        <f>GLOBAL_DER_FEV_2023!S1601</f>
        <v/>
      </c>
      <c r="W1601" s="582">
        <v>0</v>
      </c>
      <c r="X1601" s="580"/>
      <c r="Y1601" s="583">
        <f>IF(GLOBAL_DER_FEV_2023!W1601=0,0,IF(GLOBAL_DER_FEV_2023!W1601&gt;0,"c","b"))</f>
        <v>0</v>
      </c>
    </row>
    <row r="1602" spans="1:25" ht="15" customHeight="1" x14ac:dyDescent="0.2">
      <c r="A1602" s="640" t="s">
        <v>165</v>
      </c>
      <c r="B1602" s="1036" t="str">
        <f>GLOBAL_DER_FEV_2023!B1602</f>
        <v/>
      </c>
      <c r="C1602" s="1072" t="str">
        <f>GLOBAL_DER_FEV_2023!C1602</f>
        <v/>
      </c>
      <c r="D1602" s="1141">
        <f>GLOBAL_DER_FEV_2023!D1602</f>
        <v>0</v>
      </c>
      <c r="E1602" s="907">
        <f>GLOBAL_DER_FEV_2023!E1602</f>
        <v>0</v>
      </c>
      <c r="F1602" s="908">
        <f>GLOBAL_DER_FEV_2023!F1602</f>
        <v>0</v>
      </c>
      <c r="G1602" s="912">
        <f>GLOBAL_DER_FEV_2023!G1602</f>
        <v>0</v>
      </c>
      <c r="H1602" s="901">
        <f>GLOBAL_DER_FEV_2023!H1602</f>
        <v>0</v>
      </c>
      <c r="I1602" s="901" t="str">
        <f>GLOBAL_DER_FEV_2023!I1602</f>
        <v/>
      </c>
      <c r="J1602" s="890">
        <f>GLOBAL_DER_FEV_2023!J1602</f>
        <v>0</v>
      </c>
      <c r="K1602" s="903" t="str">
        <f>GLOBAL_DER_FEV_2023!K1602</f>
        <v xml:space="preserve">     </v>
      </c>
      <c r="L1602" s="1137"/>
      <c r="M1602" s="1138">
        <f t="shared" si="168"/>
        <v>0</v>
      </c>
      <c r="N1602" s="1167">
        <f t="shared" si="172"/>
        <v>0</v>
      </c>
      <c r="O1602" s="1165"/>
      <c r="Q1602" s="317" t="str">
        <f t="shared" si="169"/>
        <v/>
      </c>
      <c r="R1602" s="317" t="str">
        <f t="shared" si="170"/>
        <v/>
      </c>
      <c r="S1602" s="317" t="str">
        <f t="shared" si="171"/>
        <v/>
      </c>
      <c r="T1602" s="317" t="str">
        <f>GLOBAL_DER_FEV_2023!S1602</f>
        <v/>
      </c>
      <c r="W1602" s="582">
        <v>0</v>
      </c>
      <c r="X1602" s="580"/>
      <c r="Y1602" s="583">
        <f>IF(GLOBAL_DER_FEV_2023!W1602=0,0,IF(GLOBAL_DER_FEV_2023!W1602&gt;0,"c","b"))</f>
        <v>0</v>
      </c>
    </row>
    <row r="1603" spans="1:25" ht="15" customHeight="1" x14ac:dyDescent="0.2">
      <c r="A1603" s="640" t="s">
        <v>165</v>
      </c>
      <c r="B1603" s="1036" t="str">
        <f>GLOBAL_DER_FEV_2023!B1603</f>
        <v/>
      </c>
      <c r="C1603" s="1072" t="str">
        <f>GLOBAL_DER_FEV_2023!C1603</f>
        <v/>
      </c>
      <c r="D1603" s="1141">
        <f>GLOBAL_DER_FEV_2023!D1603</f>
        <v>0</v>
      </c>
      <c r="E1603" s="907">
        <f>GLOBAL_DER_FEV_2023!E1603</f>
        <v>0</v>
      </c>
      <c r="F1603" s="908">
        <f>GLOBAL_DER_FEV_2023!F1603</f>
        <v>0</v>
      </c>
      <c r="G1603" s="912">
        <f>GLOBAL_DER_FEV_2023!G1603</f>
        <v>0</v>
      </c>
      <c r="H1603" s="901">
        <f>GLOBAL_DER_FEV_2023!H1603</f>
        <v>0</v>
      </c>
      <c r="I1603" s="901" t="str">
        <f>GLOBAL_DER_FEV_2023!I1603</f>
        <v/>
      </c>
      <c r="J1603" s="890">
        <f>GLOBAL_DER_FEV_2023!J1603</f>
        <v>0</v>
      </c>
      <c r="K1603" s="903" t="str">
        <f>GLOBAL_DER_FEV_2023!K1603</f>
        <v xml:space="preserve">     </v>
      </c>
      <c r="L1603" s="1137"/>
      <c r="M1603" s="1138">
        <f t="shared" si="168"/>
        <v>0</v>
      </c>
      <c r="N1603" s="1167">
        <f t="shared" si="172"/>
        <v>0</v>
      </c>
      <c r="O1603" s="1165"/>
      <c r="Q1603" s="317" t="str">
        <f t="shared" si="169"/>
        <v/>
      </c>
      <c r="R1603" s="317" t="str">
        <f t="shared" si="170"/>
        <v/>
      </c>
      <c r="S1603" s="317" t="str">
        <f t="shared" si="171"/>
        <v/>
      </c>
      <c r="T1603" s="317" t="str">
        <f>GLOBAL_DER_FEV_2023!S1603</f>
        <v/>
      </c>
      <c r="W1603" s="582">
        <v>0</v>
      </c>
      <c r="X1603" s="580"/>
      <c r="Y1603" s="583">
        <f>IF(GLOBAL_DER_FEV_2023!W1603=0,0,IF(GLOBAL_DER_FEV_2023!W1603&gt;0,"c","b"))</f>
        <v>0</v>
      </c>
    </row>
    <row r="1604" spans="1:25" ht="15" customHeight="1" x14ac:dyDescent="0.2">
      <c r="A1604" s="640" t="s">
        <v>165</v>
      </c>
      <c r="B1604" s="1036" t="str">
        <f>GLOBAL_DER_FEV_2023!B1604</f>
        <v/>
      </c>
      <c r="C1604" s="1072" t="str">
        <f>GLOBAL_DER_FEV_2023!C1604</f>
        <v/>
      </c>
      <c r="D1604" s="1141">
        <f>GLOBAL_DER_FEV_2023!D1604</f>
        <v>0</v>
      </c>
      <c r="E1604" s="907">
        <f>GLOBAL_DER_FEV_2023!E1604</f>
        <v>0</v>
      </c>
      <c r="F1604" s="908">
        <f>GLOBAL_DER_FEV_2023!F1604</f>
        <v>0</v>
      </c>
      <c r="G1604" s="912">
        <f>GLOBAL_DER_FEV_2023!G1604</f>
        <v>0</v>
      </c>
      <c r="H1604" s="901">
        <f>GLOBAL_DER_FEV_2023!H1604</f>
        <v>0</v>
      </c>
      <c r="I1604" s="901" t="str">
        <f>GLOBAL_DER_FEV_2023!I1604</f>
        <v/>
      </c>
      <c r="J1604" s="890">
        <f>GLOBAL_DER_FEV_2023!J1604</f>
        <v>0</v>
      </c>
      <c r="K1604" s="903" t="str">
        <f>GLOBAL_DER_FEV_2023!K1604</f>
        <v xml:space="preserve">     </v>
      </c>
      <c r="L1604" s="1137"/>
      <c r="M1604" s="1138">
        <f t="shared" si="168"/>
        <v>0</v>
      </c>
      <c r="N1604" s="1167">
        <f t="shared" si="172"/>
        <v>0</v>
      </c>
      <c r="O1604" s="1165"/>
      <c r="Q1604" s="317" t="str">
        <f t="shared" si="169"/>
        <v/>
      </c>
      <c r="R1604" s="317" t="str">
        <f t="shared" si="170"/>
        <v/>
      </c>
      <c r="S1604" s="317" t="str">
        <f t="shared" si="171"/>
        <v/>
      </c>
      <c r="T1604" s="317" t="str">
        <f>GLOBAL_DER_FEV_2023!S1604</f>
        <v/>
      </c>
      <c r="W1604" s="582">
        <v>0</v>
      </c>
      <c r="X1604" s="580"/>
      <c r="Y1604" s="583">
        <f>IF(GLOBAL_DER_FEV_2023!W1604=0,0,IF(GLOBAL_DER_FEV_2023!W1604&gt;0,"c","b"))</f>
        <v>0</v>
      </c>
    </row>
    <row r="1605" spans="1:25" ht="15" customHeight="1" x14ac:dyDescent="0.2">
      <c r="A1605" s="640" t="s">
        <v>165</v>
      </c>
      <c r="B1605" s="1036" t="str">
        <f>GLOBAL_DER_FEV_2023!B1605</f>
        <v/>
      </c>
      <c r="C1605" s="1072" t="str">
        <f>GLOBAL_DER_FEV_2023!C1605</f>
        <v/>
      </c>
      <c r="D1605" s="1141">
        <f>GLOBAL_DER_FEV_2023!D1605</f>
        <v>0</v>
      </c>
      <c r="E1605" s="907">
        <f>GLOBAL_DER_FEV_2023!E1605</f>
        <v>0</v>
      </c>
      <c r="F1605" s="908">
        <f>GLOBAL_DER_FEV_2023!F1605</f>
        <v>0</v>
      </c>
      <c r="G1605" s="912">
        <f>GLOBAL_DER_FEV_2023!G1605</f>
        <v>0</v>
      </c>
      <c r="H1605" s="901">
        <f>GLOBAL_DER_FEV_2023!H1605</f>
        <v>0</v>
      </c>
      <c r="I1605" s="901" t="str">
        <f>GLOBAL_DER_FEV_2023!I1605</f>
        <v/>
      </c>
      <c r="J1605" s="890">
        <f>GLOBAL_DER_FEV_2023!J1605</f>
        <v>0</v>
      </c>
      <c r="K1605" s="903" t="str">
        <f>GLOBAL_DER_FEV_2023!K1605</f>
        <v xml:space="preserve">     </v>
      </c>
      <c r="L1605" s="1137"/>
      <c r="M1605" s="1138">
        <f t="shared" si="168"/>
        <v>0</v>
      </c>
      <c r="N1605" s="1167">
        <f t="shared" si="172"/>
        <v>0</v>
      </c>
      <c r="O1605" s="1165"/>
      <c r="Q1605" s="317" t="str">
        <f t="shared" si="169"/>
        <v/>
      </c>
      <c r="R1605" s="317" t="str">
        <f t="shared" si="170"/>
        <v/>
      </c>
      <c r="S1605" s="317" t="str">
        <f t="shared" si="171"/>
        <v/>
      </c>
      <c r="T1605" s="317" t="str">
        <f>GLOBAL_DER_FEV_2023!S1605</f>
        <v/>
      </c>
      <c r="W1605" s="582">
        <v>0</v>
      </c>
      <c r="X1605" s="580"/>
      <c r="Y1605" s="583">
        <f>IF(GLOBAL_DER_FEV_2023!W1605=0,0,IF(GLOBAL_DER_FEV_2023!W1605&gt;0,"c","b"))</f>
        <v>0</v>
      </c>
    </row>
    <row r="1606" spans="1:25" ht="15" customHeight="1" x14ac:dyDescent="0.2">
      <c r="A1606" s="640" t="s">
        <v>165</v>
      </c>
      <c r="B1606" s="1036" t="str">
        <f>GLOBAL_DER_FEV_2023!B1606</f>
        <v/>
      </c>
      <c r="C1606" s="1072" t="str">
        <f>GLOBAL_DER_FEV_2023!C1606</f>
        <v/>
      </c>
      <c r="D1606" s="1141">
        <f>GLOBAL_DER_FEV_2023!D1606</f>
        <v>0</v>
      </c>
      <c r="E1606" s="907">
        <f>GLOBAL_DER_FEV_2023!E1606</f>
        <v>0</v>
      </c>
      <c r="F1606" s="908">
        <f>GLOBAL_DER_FEV_2023!F1606</f>
        <v>0</v>
      </c>
      <c r="G1606" s="912">
        <f>GLOBAL_DER_FEV_2023!G1606</f>
        <v>0</v>
      </c>
      <c r="H1606" s="901">
        <f>GLOBAL_DER_FEV_2023!H1606</f>
        <v>0</v>
      </c>
      <c r="I1606" s="901" t="str">
        <f>GLOBAL_DER_FEV_2023!I1606</f>
        <v/>
      </c>
      <c r="J1606" s="890">
        <f>GLOBAL_DER_FEV_2023!J1606</f>
        <v>0</v>
      </c>
      <c r="K1606" s="903" t="str">
        <f>GLOBAL_DER_FEV_2023!K1606</f>
        <v xml:space="preserve">     </v>
      </c>
      <c r="L1606" s="1137"/>
      <c r="M1606" s="1138">
        <f t="shared" ref="M1606:M1624" si="173">IF(L1606=0,0,ROUND(J1606,2))</f>
        <v>0</v>
      </c>
      <c r="N1606" s="1167">
        <f t="shared" si="172"/>
        <v>0</v>
      </c>
      <c r="O1606" s="1165"/>
      <c r="Q1606" s="317" t="str">
        <f t="shared" si="169"/>
        <v/>
      </c>
      <c r="R1606" s="317" t="str">
        <f t="shared" si="170"/>
        <v/>
      </c>
      <c r="S1606" s="317" t="str">
        <f t="shared" si="171"/>
        <v/>
      </c>
      <c r="T1606" s="317" t="str">
        <f>GLOBAL_DER_FEV_2023!S1606</f>
        <v/>
      </c>
      <c r="W1606" s="582">
        <v>0</v>
      </c>
      <c r="X1606" s="580"/>
      <c r="Y1606" s="583">
        <f>IF(GLOBAL_DER_FEV_2023!W1606=0,0,IF(GLOBAL_DER_FEV_2023!W1606&gt;0,"c","b"))</f>
        <v>0</v>
      </c>
    </row>
    <row r="1607" spans="1:25" ht="15" customHeight="1" x14ac:dyDescent="0.2">
      <c r="A1607" s="640" t="s">
        <v>165</v>
      </c>
      <c r="B1607" s="1036" t="str">
        <f>GLOBAL_DER_FEV_2023!B1607</f>
        <v/>
      </c>
      <c r="C1607" s="1072" t="str">
        <f>GLOBAL_DER_FEV_2023!C1607</f>
        <v/>
      </c>
      <c r="D1607" s="1141">
        <f>GLOBAL_DER_FEV_2023!D1607</f>
        <v>0</v>
      </c>
      <c r="E1607" s="907">
        <f>GLOBAL_DER_FEV_2023!E1607</f>
        <v>0</v>
      </c>
      <c r="F1607" s="908">
        <f>GLOBAL_DER_FEV_2023!F1607</f>
        <v>0</v>
      </c>
      <c r="G1607" s="912">
        <f>GLOBAL_DER_FEV_2023!G1607</f>
        <v>0</v>
      </c>
      <c r="H1607" s="901">
        <f>GLOBAL_DER_FEV_2023!H1607</f>
        <v>0</v>
      </c>
      <c r="I1607" s="901" t="str">
        <f>GLOBAL_DER_FEV_2023!I1607</f>
        <v/>
      </c>
      <c r="J1607" s="890">
        <f>GLOBAL_DER_FEV_2023!J1607</f>
        <v>0</v>
      </c>
      <c r="K1607" s="903" t="str">
        <f>GLOBAL_DER_FEV_2023!K1607</f>
        <v xml:space="preserve">     </v>
      </c>
      <c r="L1607" s="1137"/>
      <c r="M1607" s="1138">
        <f t="shared" si="173"/>
        <v>0</v>
      </c>
      <c r="N1607" s="1167">
        <f t="shared" si="172"/>
        <v>0</v>
      </c>
      <c r="O1607" s="1165"/>
      <c r="Q1607" s="317" t="str">
        <f t="shared" si="169"/>
        <v/>
      </c>
      <c r="R1607" s="317" t="str">
        <f t="shared" si="170"/>
        <v/>
      </c>
      <c r="S1607" s="317" t="str">
        <f t="shared" si="171"/>
        <v/>
      </c>
      <c r="T1607" s="317" t="str">
        <f>GLOBAL_DER_FEV_2023!S1607</f>
        <v/>
      </c>
      <c r="W1607" s="582">
        <v>0</v>
      </c>
      <c r="X1607" s="580"/>
      <c r="Y1607" s="583">
        <f>IF(GLOBAL_DER_FEV_2023!W1607=0,0,IF(GLOBAL_DER_FEV_2023!W1607&gt;0,"c","b"))</f>
        <v>0</v>
      </c>
    </row>
    <row r="1608" spans="1:25" ht="15" customHeight="1" x14ac:dyDescent="0.2">
      <c r="A1608" s="640" t="s">
        <v>165</v>
      </c>
      <c r="B1608" s="1036" t="str">
        <f>GLOBAL_DER_FEV_2023!B1608</f>
        <v/>
      </c>
      <c r="C1608" s="1072" t="str">
        <f>GLOBAL_DER_FEV_2023!C1608</f>
        <v/>
      </c>
      <c r="D1608" s="1141">
        <f>GLOBAL_DER_FEV_2023!D1608</f>
        <v>0</v>
      </c>
      <c r="E1608" s="907">
        <f>GLOBAL_DER_FEV_2023!E1608</f>
        <v>0</v>
      </c>
      <c r="F1608" s="908">
        <f>GLOBAL_DER_FEV_2023!F1608</f>
        <v>0</v>
      </c>
      <c r="G1608" s="912">
        <f>GLOBAL_DER_FEV_2023!G1608</f>
        <v>0</v>
      </c>
      <c r="H1608" s="901">
        <f>GLOBAL_DER_FEV_2023!H1608</f>
        <v>0</v>
      </c>
      <c r="I1608" s="901" t="str">
        <f>GLOBAL_DER_FEV_2023!I1608</f>
        <v/>
      </c>
      <c r="J1608" s="890">
        <f>GLOBAL_DER_FEV_2023!J1608</f>
        <v>0</v>
      </c>
      <c r="K1608" s="903" t="str">
        <f>GLOBAL_DER_FEV_2023!K1608</f>
        <v xml:space="preserve">     </v>
      </c>
      <c r="L1608" s="1137"/>
      <c r="M1608" s="1138">
        <f t="shared" si="173"/>
        <v>0</v>
      </c>
      <c r="N1608" s="1167">
        <f t="shared" si="172"/>
        <v>0</v>
      </c>
      <c r="O1608" s="1165"/>
      <c r="Q1608" s="317" t="str">
        <f t="shared" si="169"/>
        <v/>
      </c>
      <c r="R1608" s="317" t="str">
        <f t="shared" si="170"/>
        <v/>
      </c>
      <c r="S1608" s="317" t="str">
        <f t="shared" si="171"/>
        <v/>
      </c>
      <c r="T1608" s="317" t="str">
        <f>GLOBAL_DER_FEV_2023!S1608</f>
        <v/>
      </c>
      <c r="W1608" s="582">
        <v>0</v>
      </c>
      <c r="X1608" s="580"/>
      <c r="Y1608" s="583">
        <f>IF(GLOBAL_DER_FEV_2023!W1608=0,0,IF(GLOBAL_DER_FEV_2023!W1608&gt;0,"c","b"))</f>
        <v>0</v>
      </c>
    </row>
    <row r="1609" spans="1:25" ht="15" customHeight="1" x14ac:dyDescent="0.2">
      <c r="A1609" s="640" t="s">
        <v>165</v>
      </c>
      <c r="B1609" s="1036" t="str">
        <f>GLOBAL_DER_FEV_2023!B1609</f>
        <v/>
      </c>
      <c r="C1609" s="1072" t="str">
        <f>GLOBAL_DER_FEV_2023!C1609</f>
        <v/>
      </c>
      <c r="D1609" s="1141">
        <f>GLOBAL_DER_FEV_2023!D1609</f>
        <v>0</v>
      </c>
      <c r="E1609" s="907">
        <f>GLOBAL_DER_FEV_2023!E1609</f>
        <v>0</v>
      </c>
      <c r="F1609" s="908">
        <f>GLOBAL_DER_FEV_2023!F1609</f>
        <v>0</v>
      </c>
      <c r="G1609" s="912">
        <f>GLOBAL_DER_FEV_2023!G1609</f>
        <v>0</v>
      </c>
      <c r="H1609" s="901">
        <f>GLOBAL_DER_FEV_2023!H1609</f>
        <v>0</v>
      </c>
      <c r="I1609" s="901" t="str">
        <f>GLOBAL_DER_FEV_2023!I1609</f>
        <v/>
      </c>
      <c r="J1609" s="890">
        <f>GLOBAL_DER_FEV_2023!J1609</f>
        <v>0</v>
      </c>
      <c r="K1609" s="903" t="str">
        <f>GLOBAL_DER_FEV_2023!K1609</f>
        <v xml:space="preserve">     </v>
      </c>
      <c r="L1609" s="1137"/>
      <c r="M1609" s="1138">
        <f t="shared" si="173"/>
        <v>0</v>
      </c>
      <c r="N1609" s="1167">
        <f t="shared" si="172"/>
        <v>0</v>
      </c>
      <c r="O1609" s="1165"/>
      <c r="Q1609" s="317" t="str">
        <f t="shared" si="169"/>
        <v/>
      </c>
      <c r="R1609" s="317" t="str">
        <f t="shared" si="170"/>
        <v/>
      </c>
      <c r="S1609" s="317" t="str">
        <f t="shared" si="171"/>
        <v/>
      </c>
      <c r="T1609" s="317" t="str">
        <f>GLOBAL_DER_FEV_2023!S1609</f>
        <v/>
      </c>
      <c r="W1609" s="582">
        <v>0</v>
      </c>
      <c r="X1609" s="580"/>
      <c r="Y1609" s="583">
        <f>IF(GLOBAL_DER_FEV_2023!W1609=0,0,IF(GLOBAL_DER_FEV_2023!W1609&gt;0,"c","b"))</f>
        <v>0</v>
      </c>
    </row>
    <row r="1610" spans="1:25" ht="15" customHeight="1" x14ac:dyDescent="0.2">
      <c r="A1610" s="640" t="s">
        <v>165</v>
      </c>
      <c r="B1610" s="1036" t="str">
        <f>GLOBAL_DER_FEV_2023!B1610</f>
        <v/>
      </c>
      <c r="C1610" s="1072" t="str">
        <f>GLOBAL_DER_FEV_2023!C1610</f>
        <v/>
      </c>
      <c r="D1610" s="1141">
        <f>GLOBAL_DER_FEV_2023!D1610</f>
        <v>0</v>
      </c>
      <c r="E1610" s="907">
        <f>GLOBAL_DER_FEV_2023!E1610</f>
        <v>0</v>
      </c>
      <c r="F1610" s="908">
        <f>GLOBAL_DER_FEV_2023!F1610</f>
        <v>0</v>
      </c>
      <c r="G1610" s="912">
        <f>GLOBAL_DER_FEV_2023!G1610</f>
        <v>0</v>
      </c>
      <c r="H1610" s="901">
        <f>GLOBAL_DER_FEV_2023!H1610</f>
        <v>0</v>
      </c>
      <c r="I1610" s="901" t="str">
        <f>GLOBAL_DER_FEV_2023!I1610</f>
        <v/>
      </c>
      <c r="J1610" s="890">
        <f>GLOBAL_DER_FEV_2023!J1610</f>
        <v>0</v>
      </c>
      <c r="K1610" s="903" t="str">
        <f>GLOBAL_DER_FEV_2023!K1610</f>
        <v xml:space="preserve">     </v>
      </c>
      <c r="L1610" s="1137"/>
      <c r="M1610" s="1138">
        <f t="shared" si="173"/>
        <v>0</v>
      </c>
      <c r="N1610" s="1167">
        <f t="shared" si="172"/>
        <v>0</v>
      </c>
      <c r="O1610" s="1165"/>
      <c r="Q1610" s="317" t="str">
        <f t="shared" si="169"/>
        <v/>
      </c>
      <c r="R1610" s="317" t="str">
        <f t="shared" si="170"/>
        <v/>
      </c>
      <c r="S1610" s="317" t="str">
        <f t="shared" si="171"/>
        <v/>
      </c>
      <c r="T1610" s="317" t="str">
        <f>GLOBAL_DER_FEV_2023!S1610</f>
        <v/>
      </c>
      <c r="W1610" s="582">
        <v>0</v>
      </c>
      <c r="X1610" s="580"/>
      <c r="Y1610" s="583">
        <f>IF(GLOBAL_DER_FEV_2023!W1610=0,0,IF(GLOBAL_DER_FEV_2023!W1610&gt;0,"c","b"))</f>
        <v>0</v>
      </c>
    </row>
    <row r="1611" spans="1:25" ht="15" customHeight="1" x14ac:dyDescent="0.2">
      <c r="A1611" s="640" t="s">
        <v>165</v>
      </c>
      <c r="B1611" s="1036" t="str">
        <f>GLOBAL_DER_FEV_2023!B1611</f>
        <v/>
      </c>
      <c r="C1611" s="1072" t="str">
        <f>GLOBAL_DER_FEV_2023!C1611</f>
        <v/>
      </c>
      <c r="D1611" s="1141">
        <f>GLOBAL_DER_FEV_2023!D1611</f>
        <v>0</v>
      </c>
      <c r="E1611" s="907">
        <f>GLOBAL_DER_FEV_2023!E1611</f>
        <v>0</v>
      </c>
      <c r="F1611" s="908">
        <f>GLOBAL_DER_FEV_2023!F1611</f>
        <v>0</v>
      </c>
      <c r="G1611" s="912">
        <f>GLOBAL_DER_FEV_2023!G1611</f>
        <v>0</v>
      </c>
      <c r="H1611" s="901">
        <f>GLOBAL_DER_FEV_2023!H1611</f>
        <v>0</v>
      </c>
      <c r="I1611" s="901" t="str">
        <f>GLOBAL_DER_FEV_2023!I1611</f>
        <v/>
      </c>
      <c r="J1611" s="890">
        <f>GLOBAL_DER_FEV_2023!J1611</f>
        <v>0</v>
      </c>
      <c r="K1611" s="903" t="str">
        <f>GLOBAL_DER_FEV_2023!K1611</f>
        <v xml:space="preserve">     </v>
      </c>
      <c r="L1611" s="1137"/>
      <c r="M1611" s="1138">
        <f t="shared" si="173"/>
        <v>0</v>
      </c>
      <c r="N1611" s="1167">
        <f t="shared" si="172"/>
        <v>0</v>
      </c>
      <c r="O1611" s="1165"/>
      <c r="Q1611" s="317" t="str">
        <f t="shared" si="169"/>
        <v/>
      </c>
      <c r="R1611" s="317" t="str">
        <f t="shared" si="170"/>
        <v/>
      </c>
      <c r="S1611" s="317" t="str">
        <f t="shared" si="171"/>
        <v/>
      </c>
      <c r="T1611" s="317" t="str">
        <f>GLOBAL_DER_FEV_2023!S1611</f>
        <v/>
      </c>
      <c r="W1611" s="582">
        <v>0</v>
      </c>
      <c r="X1611" s="580"/>
      <c r="Y1611" s="583">
        <f>IF(GLOBAL_DER_FEV_2023!W1611=0,0,IF(GLOBAL_DER_FEV_2023!W1611&gt;0,"c","b"))</f>
        <v>0</v>
      </c>
    </row>
    <row r="1612" spans="1:25" ht="15" customHeight="1" x14ac:dyDescent="0.2">
      <c r="A1612" s="640" t="s">
        <v>165</v>
      </c>
      <c r="B1612" s="1036" t="str">
        <f>GLOBAL_DER_FEV_2023!B1612</f>
        <v/>
      </c>
      <c r="C1612" s="1072" t="str">
        <f>GLOBAL_DER_FEV_2023!C1612</f>
        <v/>
      </c>
      <c r="D1612" s="1141">
        <f>GLOBAL_DER_FEV_2023!D1612</f>
        <v>0</v>
      </c>
      <c r="E1612" s="907">
        <f>GLOBAL_DER_FEV_2023!E1612</f>
        <v>0</v>
      </c>
      <c r="F1612" s="908">
        <f>GLOBAL_DER_FEV_2023!F1612</f>
        <v>0</v>
      </c>
      <c r="G1612" s="912">
        <f>GLOBAL_DER_FEV_2023!G1612</f>
        <v>0</v>
      </c>
      <c r="H1612" s="901">
        <f>GLOBAL_DER_FEV_2023!H1612</f>
        <v>0</v>
      </c>
      <c r="I1612" s="901" t="str">
        <f>GLOBAL_DER_FEV_2023!I1612</f>
        <v/>
      </c>
      <c r="J1612" s="890">
        <f>GLOBAL_DER_FEV_2023!J1612</f>
        <v>0</v>
      </c>
      <c r="K1612" s="903" t="str">
        <f>GLOBAL_DER_FEV_2023!K1612</f>
        <v xml:space="preserve">     </v>
      </c>
      <c r="L1612" s="1137"/>
      <c r="M1612" s="1138">
        <f t="shared" si="173"/>
        <v>0</v>
      </c>
      <c r="N1612" s="1167">
        <f t="shared" si="172"/>
        <v>0</v>
      </c>
      <c r="O1612" s="1165"/>
      <c r="Q1612" s="317" t="str">
        <f t="shared" si="169"/>
        <v/>
      </c>
      <c r="R1612" s="317" t="str">
        <f t="shared" si="170"/>
        <v/>
      </c>
      <c r="S1612" s="317" t="str">
        <f t="shared" si="171"/>
        <v/>
      </c>
      <c r="T1612" s="317" t="str">
        <f>GLOBAL_DER_FEV_2023!S1612</f>
        <v/>
      </c>
      <c r="W1612" s="582">
        <v>0</v>
      </c>
      <c r="X1612" s="580"/>
      <c r="Y1612" s="583">
        <f>IF(GLOBAL_DER_FEV_2023!W1612=0,0,IF(GLOBAL_DER_FEV_2023!W1612&gt;0,"c","b"))</f>
        <v>0</v>
      </c>
    </row>
    <row r="1613" spans="1:25" ht="15" customHeight="1" x14ac:dyDescent="0.2">
      <c r="A1613" s="640" t="s">
        <v>165</v>
      </c>
      <c r="B1613" s="1036" t="str">
        <f>GLOBAL_DER_FEV_2023!B1613</f>
        <v/>
      </c>
      <c r="C1613" s="1072" t="str">
        <f>GLOBAL_DER_FEV_2023!C1613</f>
        <v/>
      </c>
      <c r="D1613" s="1141">
        <f>GLOBAL_DER_FEV_2023!D1613</f>
        <v>0</v>
      </c>
      <c r="E1613" s="907">
        <f>GLOBAL_DER_FEV_2023!E1613</f>
        <v>0</v>
      </c>
      <c r="F1613" s="908">
        <f>GLOBAL_DER_FEV_2023!F1613</f>
        <v>0</v>
      </c>
      <c r="G1613" s="912">
        <f>GLOBAL_DER_FEV_2023!G1613</f>
        <v>0</v>
      </c>
      <c r="H1613" s="901">
        <f>GLOBAL_DER_FEV_2023!H1613</f>
        <v>0</v>
      </c>
      <c r="I1613" s="901" t="str">
        <f>GLOBAL_DER_FEV_2023!I1613</f>
        <v/>
      </c>
      <c r="J1613" s="890">
        <f>GLOBAL_DER_FEV_2023!J1613</f>
        <v>0</v>
      </c>
      <c r="K1613" s="903" t="str">
        <f>GLOBAL_DER_FEV_2023!K1613</f>
        <v xml:space="preserve">     </v>
      </c>
      <c r="L1613" s="1137"/>
      <c r="M1613" s="1138">
        <f t="shared" si="173"/>
        <v>0</v>
      </c>
      <c r="N1613" s="1167">
        <f t="shared" si="172"/>
        <v>0</v>
      </c>
      <c r="O1613" s="1165"/>
      <c r="Q1613" s="317" t="str">
        <f t="shared" si="169"/>
        <v/>
      </c>
      <c r="R1613" s="317" t="str">
        <f t="shared" si="170"/>
        <v/>
      </c>
      <c r="S1613" s="317" t="str">
        <f t="shared" si="171"/>
        <v/>
      </c>
      <c r="T1613" s="317" t="str">
        <f>GLOBAL_DER_FEV_2023!S1613</f>
        <v/>
      </c>
      <c r="W1613" s="582">
        <v>0</v>
      </c>
      <c r="X1613" s="580"/>
      <c r="Y1613" s="583">
        <f>IF(GLOBAL_DER_FEV_2023!W1613=0,0,IF(GLOBAL_DER_FEV_2023!W1613&gt;0,"c","b"))</f>
        <v>0</v>
      </c>
    </row>
    <row r="1614" spans="1:25" ht="15" customHeight="1" x14ac:dyDescent="0.2">
      <c r="A1614" s="640" t="s">
        <v>165</v>
      </c>
      <c r="B1614" s="1036" t="str">
        <f>GLOBAL_DER_FEV_2023!B1614</f>
        <v/>
      </c>
      <c r="C1614" s="1072" t="str">
        <f>GLOBAL_DER_FEV_2023!C1614</f>
        <v/>
      </c>
      <c r="D1614" s="1141">
        <f>GLOBAL_DER_FEV_2023!D1614</f>
        <v>0</v>
      </c>
      <c r="E1614" s="907">
        <f>GLOBAL_DER_FEV_2023!E1614</f>
        <v>0</v>
      </c>
      <c r="F1614" s="908">
        <f>GLOBAL_DER_FEV_2023!F1614</f>
        <v>0</v>
      </c>
      <c r="G1614" s="912">
        <f>GLOBAL_DER_FEV_2023!G1614</f>
        <v>0</v>
      </c>
      <c r="H1614" s="901">
        <f>GLOBAL_DER_FEV_2023!H1614</f>
        <v>0</v>
      </c>
      <c r="I1614" s="901" t="str">
        <f>GLOBAL_DER_FEV_2023!I1614</f>
        <v/>
      </c>
      <c r="J1614" s="890">
        <f>GLOBAL_DER_FEV_2023!J1614</f>
        <v>0</v>
      </c>
      <c r="K1614" s="903" t="str">
        <f>GLOBAL_DER_FEV_2023!K1614</f>
        <v xml:space="preserve">     </v>
      </c>
      <c r="L1614" s="1137"/>
      <c r="M1614" s="1138">
        <f t="shared" si="173"/>
        <v>0</v>
      </c>
      <c r="N1614" s="1167">
        <f t="shared" si="172"/>
        <v>0</v>
      </c>
      <c r="O1614" s="1165"/>
      <c r="Q1614" s="317" t="str">
        <f t="shared" si="169"/>
        <v/>
      </c>
      <c r="R1614" s="317" t="str">
        <f t="shared" si="170"/>
        <v/>
      </c>
      <c r="S1614" s="317" t="str">
        <f t="shared" si="171"/>
        <v/>
      </c>
      <c r="T1614" s="317" t="str">
        <f>GLOBAL_DER_FEV_2023!S1614</f>
        <v/>
      </c>
      <c r="W1614" s="582">
        <v>0</v>
      </c>
      <c r="X1614" s="580"/>
      <c r="Y1614" s="583">
        <f>IF(GLOBAL_DER_FEV_2023!W1614=0,0,IF(GLOBAL_DER_FEV_2023!W1614&gt;0,"c","b"))</f>
        <v>0</v>
      </c>
    </row>
    <row r="1615" spans="1:25" ht="15" customHeight="1" x14ac:dyDescent="0.2">
      <c r="A1615" s="640" t="s">
        <v>165</v>
      </c>
      <c r="B1615" s="1036" t="str">
        <f>GLOBAL_DER_FEV_2023!B1615</f>
        <v/>
      </c>
      <c r="C1615" s="1072" t="str">
        <f>GLOBAL_DER_FEV_2023!C1615</f>
        <v/>
      </c>
      <c r="D1615" s="1141">
        <f>GLOBAL_DER_FEV_2023!D1615</f>
        <v>0</v>
      </c>
      <c r="E1615" s="907">
        <f>GLOBAL_DER_FEV_2023!E1615</f>
        <v>0</v>
      </c>
      <c r="F1615" s="908">
        <f>GLOBAL_DER_FEV_2023!F1615</f>
        <v>0</v>
      </c>
      <c r="G1615" s="912">
        <f>GLOBAL_DER_FEV_2023!G1615</f>
        <v>0</v>
      </c>
      <c r="H1615" s="901">
        <f>GLOBAL_DER_FEV_2023!H1615</f>
        <v>0</v>
      </c>
      <c r="I1615" s="901" t="str">
        <f>GLOBAL_DER_FEV_2023!I1615</f>
        <v/>
      </c>
      <c r="J1615" s="890">
        <f>GLOBAL_DER_FEV_2023!J1615</f>
        <v>0</v>
      </c>
      <c r="K1615" s="903" t="str">
        <f>GLOBAL_DER_FEV_2023!K1615</f>
        <v xml:space="preserve">     </v>
      </c>
      <c r="L1615" s="1137"/>
      <c r="M1615" s="1138">
        <f t="shared" si="173"/>
        <v>0</v>
      </c>
      <c r="N1615" s="1167">
        <f t="shared" si="172"/>
        <v>0</v>
      </c>
      <c r="O1615" s="1165"/>
      <c r="Q1615" s="317" t="str">
        <f t="shared" si="169"/>
        <v/>
      </c>
      <c r="R1615" s="317" t="str">
        <f t="shared" si="170"/>
        <v/>
      </c>
      <c r="S1615" s="317" t="str">
        <f t="shared" si="171"/>
        <v/>
      </c>
      <c r="T1615" s="317" t="str">
        <f>GLOBAL_DER_FEV_2023!S1615</f>
        <v/>
      </c>
      <c r="W1615" s="582">
        <v>0</v>
      </c>
      <c r="X1615" s="580"/>
      <c r="Y1615" s="583">
        <f>IF(GLOBAL_DER_FEV_2023!W1615=0,0,IF(GLOBAL_DER_FEV_2023!W1615&gt;0,"c","b"))</f>
        <v>0</v>
      </c>
    </row>
    <row r="1616" spans="1:25" ht="15" customHeight="1" x14ac:dyDescent="0.2">
      <c r="A1616" s="640" t="s">
        <v>165</v>
      </c>
      <c r="B1616" s="1036" t="str">
        <f>GLOBAL_DER_FEV_2023!B1616</f>
        <v/>
      </c>
      <c r="C1616" s="1072" t="str">
        <f>GLOBAL_DER_FEV_2023!C1616</f>
        <v/>
      </c>
      <c r="D1616" s="1141">
        <f>GLOBAL_DER_FEV_2023!D1616</f>
        <v>0</v>
      </c>
      <c r="E1616" s="907">
        <f>GLOBAL_DER_FEV_2023!E1616</f>
        <v>0</v>
      </c>
      <c r="F1616" s="908">
        <f>GLOBAL_DER_FEV_2023!F1616</f>
        <v>0</v>
      </c>
      <c r="G1616" s="912">
        <f>GLOBAL_DER_FEV_2023!G1616</f>
        <v>0</v>
      </c>
      <c r="H1616" s="901">
        <f>GLOBAL_DER_FEV_2023!H1616</f>
        <v>0</v>
      </c>
      <c r="I1616" s="901" t="str">
        <f>GLOBAL_DER_FEV_2023!I1616</f>
        <v/>
      </c>
      <c r="J1616" s="890">
        <f>GLOBAL_DER_FEV_2023!J1616</f>
        <v>0</v>
      </c>
      <c r="K1616" s="903" t="str">
        <f>GLOBAL_DER_FEV_2023!K1616</f>
        <v xml:space="preserve">     </v>
      </c>
      <c r="L1616" s="1137"/>
      <c r="M1616" s="1138">
        <f t="shared" si="173"/>
        <v>0</v>
      </c>
      <c r="N1616" s="1167">
        <f t="shared" si="172"/>
        <v>0</v>
      </c>
      <c r="O1616" s="1165"/>
      <c r="Q1616" s="317" t="str">
        <f t="shared" si="169"/>
        <v/>
      </c>
      <c r="R1616" s="317" t="str">
        <f t="shared" si="170"/>
        <v/>
      </c>
      <c r="S1616" s="317" t="str">
        <f t="shared" si="171"/>
        <v/>
      </c>
      <c r="T1616" s="317" t="str">
        <f>GLOBAL_DER_FEV_2023!S1616</f>
        <v/>
      </c>
      <c r="W1616" s="582">
        <v>0</v>
      </c>
      <c r="X1616" s="580"/>
      <c r="Y1616" s="583">
        <f>IF(GLOBAL_DER_FEV_2023!W1616=0,0,IF(GLOBAL_DER_FEV_2023!W1616&gt;0,"c","b"))</f>
        <v>0</v>
      </c>
    </row>
    <row r="1617" spans="1:25" ht="15" customHeight="1" x14ac:dyDescent="0.2">
      <c r="A1617" s="640" t="s">
        <v>165</v>
      </c>
      <c r="B1617" s="1036" t="str">
        <f>GLOBAL_DER_FEV_2023!B1617</f>
        <v/>
      </c>
      <c r="C1617" s="1072" t="str">
        <f>GLOBAL_DER_FEV_2023!C1617</f>
        <v/>
      </c>
      <c r="D1617" s="1141">
        <f>GLOBAL_DER_FEV_2023!D1617</f>
        <v>0</v>
      </c>
      <c r="E1617" s="907">
        <f>GLOBAL_DER_FEV_2023!E1617</f>
        <v>0</v>
      </c>
      <c r="F1617" s="908">
        <f>GLOBAL_DER_FEV_2023!F1617</f>
        <v>0</v>
      </c>
      <c r="G1617" s="912">
        <f>GLOBAL_DER_FEV_2023!G1617</f>
        <v>0</v>
      </c>
      <c r="H1617" s="901">
        <f>GLOBAL_DER_FEV_2023!H1617</f>
        <v>0</v>
      </c>
      <c r="I1617" s="901" t="str">
        <f>GLOBAL_DER_FEV_2023!I1617</f>
        <v/>
      </c>
      <c r="J1617" s="890">
        <f>GLOBAL_DER_FEV_2023!J1617</f>
        <v>0</v>
      </c>
      <c r="K1617" s="903" t="str">
        <f>GLOBAL_DER_FEV_2023!K1617</f>
        <v xml:space="preserve">     </v>
      </c>
      <c r="L1617" s="1137"/>
      <c r="M1617" s="1138">
        <f t="shared" si="173"/>
        <v>0</v>
      </c>
      <c r="N1617" s="1167">
        <f t="shared" si="172"/>
        <v>0</v>
      </c>
      <c r="O1617" s="1165"/>
      <c r="Q1617" s="317" t="str">
        <f t="shared" ref="Q1617:Q1680" si="174">IF(P1617="X","x",IF(P1617="xx","x",IF(P1617="xy","x",IF(P1617="y","x",IF(OR(N1617&gt;0,N1617&gt;0),"x","")))))</f>
        <v/>
      </c>
      <c r="R1617" s="317" t="str">
        <f t="shared" si="170"/>
        <v/>
      </c>
      <c r="S1617" s="317" t="str">
        <f t="shared" si="171"/>
        <v/>
      </c>
      <c r="T1617" s="317" t="str">
        <f>GLOBAL_DER_FEV_2023!S1617</f>
        <v/>
      </c>
      <c r="W1617" s="582">
        <v>0</v>
      </c>
      <c r="X1617" s="580"/>
      <c r="Y1617" s="583">
        <f>IF(GLOBAL_DER_FEV_2023!W1617=0,0,IF(GLOBAL_DER_FEV_2023!W1617&gt;0,"c","b"))</f>
        <v>0</v>
      </c>
    </row>
    <row r="1618" spans="1:25" ht="15" customHeight="1" x14ac:dyDescent="0.2">
      <c r="A1618" s="640" t="s">
        <v>165</v>
      </c>
      <c r="B1618" s="1036" t="str">
        <f>GLOBAL_DER_FEV_2023!B1618</f>
        <v/>
      </c>
      <c r="C1618" s="1072" t="str">
        <f>GLOBAL_DER_FEV_2023!C1618</f>
        <v/>
      </c>
      <c r="D1618" s="1141">
        <f>GLOBAL_DER_FEV_2023!D1618</f>
        <v>0</v>
      </c>
      <c r="E1618" s="907">
        <f>GLOBAL_DER_FEV_2023!E1618</f>
        <v>0</v>
      </c>
      <c r="F1618" s="908">
        <f>GLOBAL_DER_FEV_2023!F1618</f>
        <v>0</v>
      </c>
      <c r="G1618" s="912">
        <f>GLOBAL_DER_FEV_2023!G1618</f>
        <v>0</v>
      </c>
      <c r="H1618" s="901">
        <f>GLOBAL_DER_FEV_2023!H1618</f>
        <v>0</v>
      </c>
      <c r="I1618" s="901" t="str">
        <f>GLOBAL_DER_FEV_2023!I1618</f>
        <v/>
      </c>
      <c r="J1618" s="890">
        <f>GLOBAL_DER_FEV_2023!J1618</f>
        <v>0</v>
      </c>
      <c r="K1618" s="903" t="str">
        <f>GLOBAL_DER_FEV_2023!K1618</f>
        <v xml:space="preserve">     </v>
      </c>
      <c r="L1618" s="1137"/>
      <c r="M1618" s="1138">
        <f t="shared" si="173"/>
        <v>0</v>
      </c>
      <c r="N1618" s="1167">
        <f t="shared" si="172"/>
        <v>0</v>
      </c>
      <c r="O1618" s="1165"/>
      <c r="Q1618" s="317" t="str">
        <f t="shared" si="174"/>
        <v/>
      </c>
      <c r="R1618" s="317" t="str">
        <f t="shared" si="170"/>
        <v/>
      </c>
      <c r="S1618" s="317" t="str">
        <f t="shared" si="171"/>
        <v/>
      </c>
      <c r="T1618" s="317" t="str">
        <f>GLOBAL_DER_FEV_2023!S1618</f>
        <v/>
      </c>
      <c r="W1618" s="582">
        <v>0</v>
      </c>
      <c r="X1618" s="580"/>
      <c r="Y1618" s="583">
        <f>IF(GLOBAL_DER_FEV_2023!W1618=0,0,IF(GLOBAL_DER_FEV_2023!W1618&gt;0,"c","b"))</f>
        <v>0</v>
      </c>
    </row>
    <row r="1619" spans="1:25" ht="15" customHeight="1" x14ac:dyDescent="0.2">
      <c r="A1619" s="640" t="s">
        <v>165</v>
      </c>
      <c r="B1619" s="1036" t="str">
        <f>GLOBAL_DER_FEV_2023!B1619</f>
        <v/>
      </c>
      <c r="C1619" s="1072" t="str">
        <f>GLOBAL_DER_FEV_2023!C1619</f>
        <v/>
      </c>
      <c r="D1619" s="1141">
        <f>GLOBAL_DER_FEV_2023!D1619</f>
        <v>0</v>
      </c>
      <c r="E1619" s="907">
        <f>GLOBAL_DER_FEV_2023!E1619</f>
        <v>0</v>
      </c>
      <c r="F1619" s="908">
        <f>GLOBAL_DER_FEV_2023!F1619</f>
        <v>0</v>
      </c>
      <c r="G1619" s="912">
        <f>GLOBAL_DER_FEV_2023!G1619</f>
        <v>0</v>
      </c>
      <c r="H1619" s="901">
        <f>GLOBAL_DER_FEV_2023!H1619</f>
        <v>0</v>
      </c>
      <c r="I1619" s="901" t="str">
        <f>GLOBAL_DER_FEV_2023!I1619</f>
        <v/>
      </c>
      <c r="J1619" s="890">
        <f>GLOBAL_DER_FEV_2023!J1619</f>
        <v>0</v>
      </c>
      <c r="K1619" s="903" t="str">
        <f>GLOBAL_DER_FEV_2023!K1619</f>
        <v xml:space="preserve">     </v>
      </c>
      <c r="L1619" s="1137"/>
      <c r="M1619" s="1138">
        <f t="shared" si="173"/>
        <v>0</v>
      </c>
      <c r="N1619" s="1167">
        <f t="shared" si="172"/>
        <v>0</v>
      </c>
      <c r="O1619" s="1165"/>
      <c r="Q1619" s="317" t="str">
        <f t="shared" si="174"/>
        <v/>
      </c>
      <c r="R1619" s="317" t="str">
        <f t="shared" ref="R1619:R1682" si="175">IF(P1619="X","x",IF(P1619="y","x",IF(P1619="xx","x",IF(N1619&gt;0,"x",""))))</f>
        <v/>
      </c>
      <c r="S1619" s="317" t="str">
        <f t="shared" ref="S1619:S1682" si="176">IF(P1619="X","x",IF(N1619&gt;0,"x",""))</f>
        <v/>
      </c>
      <c r="T1619" s="317" t="str">
        <f>GLOBAL_DER_FEV_2023!S1619</f>
        <v/>
      </c>
      <c r="W1619" s="582">
        <v>0</v>
      </c>
      <c r="X1619" s="580"/>
      <c r="Y1619" s="583">
        <f>IF(GLOBAL_DER_FEV_2023!W1619=0,0,IF(GLOBAL_DER_FEV_2023!W1619&gt;0,"c","b"))</f>
        <v>0</v>
      </c>
    </row>
    <row r="1620" spans="1:25" ht="15" customHeight="1" x14ac:dyDescent="0.2">
      <c r="A1620" s="640" t="s">
        <v>165</v>
      </c>
      <c r="B1620" s="1036" t="str">
        <f>GLOBAL_DER_FEV_2023!B1620</f>
        <v/>
      </c>
      <c r="C1620" s="1072" t="str">
        <f>GLOBAL_DER_FEV_2023!C1620</f>
        <v/>
      </c>
      <c r="D1620" s="1141">
        <f>GLOBAL_DER_FEV_2023!D1620</f>
        <v>0</v>
      </c>
      <c r="E1620" s="907">
        <f>GLOBAL_DER_FEV_2023!E1620</f>
        <v>0</v>
      </c>
      <c r="F1620" s="908">
        <f>GLOBAL_DER_FEV_2023!F1620</f>
        <v>0</v>
      </c>
      <c r="G1620" s="912">
        <f>GLOBAL_DER_FEV_2023!G1620</f>
        <v>0</v>
      </c>
      <c r="H1620" s="901">
        <f>GLOBAL_DER_FEV_2023!H1620</f>
        <v>0</v>
      </c>
      <c r="I1620" s="901" t="str">
        <f>GLOBAL_DER_FEV_2023!I1620</f>
        <v/>
      </c>
      <c r="J1620" s="890">
        <f>GLOBAL_DER_FEV_2023!J1620</f>
        <v>0</v>
      </c>
      <c r="K1620" s="903" t="str">
        <f>GLOBAL_DER_FEV_2023!K1620</f>
        <v xml:space="preserve">     </v>
      </c>
      <c r="L1620" s="1137"/>
      <c r="M1620" s="1138">
        <f t="shared" si="173"/>
        <v>0</v>
      </c>
      <c r="N1620" s="1167">
        <f t="shared" si="172"/>
        <v>0</v>
      </c>
      <c r="O1620" s="1165"/>
      <c r="Q1620" s="317" t="str">
        <f t="shared" si="174"/>
        <v/>
      </c>
      <c r="R1620" s="317" t="str">
        <f t="shared" si="175"/>
        <v/>
      </c>
      <c r="S1620" s="317" t="str">
        <f t="shared" si="176"/>
        <v/>
      </c>
      <c r="T1620" s="317" t="str">
        <f>GLOBAL_DER_FEV_2023!S1620</f>
        <v/>
      </c>
      <c r="W1620" s="582">
        <v>0</v>
      </c>
      <c r="X1620" s="580"/>
      <c r="Y1620" s="583">
        <f>IF(GLOBAL_DER_FEV_2023!W1620=0,0,IF(GLOBAL_DER_FEV_2023!W1620&gt;0,"c","b"))</f>
        <v>0</v>
      </c>
    </row>
    <row r="1621" spans="1:25" ht="15" customHeight="1" x14ac:dyDescent="0.2">
      <c r="A1621" s="640" t="s">
        <v>165</v>
      </c>
      <c r="B1621" s="1036" t="str">
        <f>GLOBAL_DER_FEV_2023!B1621</f>
        <v/>
      </c>
      <c r="C1621" s="1072" t="str">
        <f>GLOBAL_DER_FEV_2023!C1621</f>
        <v/>
      </c>
      <c r="D1621" s="1141">
        <f>GLOBAL_DER_FEV_2023!D1621</f>
        <v>0</v>
      </c>
      <c r="E1621" s="907">
        <f>GLOBAL_DER_FEV_2023!E1621</f>
        <v>0</v>
      </c>
      <c r="F1621" s="908">
        <f>GLOBAL_DER_FEV_2023!F1621</f>
        <v>0</v>
      </c>
      <c r="G1621" s="912">
        <f>GLOBAL_DER_FEV_2023!G1621</f>
        <v>0</v>
      </c>
      <c r="H1621" s="901">
        <f>GLOBAL_DER_FEV_2023!H1621</f>
        <v>0</v>
      </c>
      <c r="I1621" s="901" t="str">
        <f>GLOBAL_DER_FEV_2023!I1621</f>
        <v/>
      </c>
      <c r="J1621" s="890">
        <f>GLOBAL_DER_FEV_2023!J1621</f>
        <v>0</v>
      </c>
      <c r="K1621" s="903" t="str">
        <f>GLOBAL_DER_FEV_2023!K1621</f>
        <v xml:space="preserve">     </v>
      </c>
      <c r="L1621" s="1137"/>
      <c r="M1621" s="1138">
        <f t="shared" si="173"/>
        <v>0</v>
      </c>
      <c r="N1621" s="1167">
        <f t="shared" si="172"/>
        <v>0</v>
      </c>
      <c r="O1621" s="1165"/>
      <c r="Q1621" s="317" t="str">
        <f t="shared" si="174"/>
        <v/>
      </c>
      <c r="R1621" s="317" t="str">
        <f t="shared" si="175"/>
        <v/>
      </c>
      <c r="S1621" s="317" t="str">
        <f t="shared" si="176"/>
        <v/>
      </c>
      <c r="T1621" s="317" t="str">
        <f>GLOBAL_DER_FEV_2023!S1621</f>
        <v/>
      </c>
      <c r="W1621" s="582">
        <v>0</v>
      </c>
      <c r="X1621" s="580"/>
      <c r="Y1621" s="583">
        <f>IF(GLOBAL_DER_FEV_2023!W1621=0,0,IF(GLOBAL_DER_FEV_2023!W1621&gt;0,"c","b"))</f>
        <v>0</v>
      </c>
    </row>
    <row r="1622" spans="1:25" ht="15" customHeight="1" x14ac:dyDescent="0.2">
      <c r="A1622" s="640" t="s">
        <v>165</v>
      </c>
      <c r="B1622" s="1036" t="str">
        <f>GLOBAL_DER_FEV_2023!B1622</f>
        <v/>
      </c>
      <c r="C1622" s="1072" t="str">
        <f>GLOBAL_DER_FEV_2023!C1622</f>
        <v/>
      </c>
      <c r="D1622" s="1141">
        <f>GLOBAL_DER_FEV_2023!D1622</f>
        <v>0</v>
      </c>
      <c r="E1622" s="907">
        <f>GLOBAL_DER_FEV_2023!E1622</f>
        <v>0</v>
      </c>
      <c r="F1622" s="908">
        <f>GLOBAL_DER_FEV_2023!F1622</f>
        <v>0</v>
      </c>
      <c r="G1622" s="912">
        <f>GLOBAL_DER_FEV_2023!G1622</f>
        <v>0</v>
      </c>
      <c r="H1622" s="901">
        <f>GLOBAL_DER_FEV_2023!H1622</f>
        <v>0</v>
      </c>
      <c r="I1622" s="901" t="str">
        <f>GLOBAL_DER_FEV_2023!I1622</f>
        <v/>
      </c>
      <c r="J1622" s="890">
        <f>GLOBAL_DER_FEV_2023!J1622</f>
        <v>0</v>
      </c>
      <c r="K1622" s="903" t="str">
        <f>GLOBAL_DER_FEV_2023!K1622</f>
        <v xml:space="preserve">     </v>
      </c>
      <c r="L1622" s="1137"/>
      <c r="M1622" s="1138">
        <f t="shared" si="173"/>
        <v>0</v>
      </c>
      <c r="N1622" s="1167">
        <f t="shared" si="172"/>
        <v>0</v>
      </c>
      <c r="O1622" s="1165"/>
      <c r="Q1622" s="317" t="str">
        <f t="shared" si="174"/>
        <v/>
      </c>
      <c r="R1622" s="317" t="str">
        <f t="shared" si="175"/>
        <v/>
      </c>
      <c r="S1622" s="317" t="str">
        <f t="shared" si="176"/>
        <v/>
      </c>
      <c r="T1622" s="317" t="str">
        <f>GLOBAL_DER_FEV_2023!S1622</f>
        <v/>
      </c>
      <c r="W1622" s="582">
        <v>0</v>
      </c>
      <c r="X1622" s="580"/>
      <c r="Y1622" s="583">
        <f>IF(GLOBAL_DER_FEV_2023!W1622=0,0,IF(GLOBAL_DER_FEV_2023!W1622&gt;0,"c","b"))</f>
        <v>0</v>
      </c>
    </row>
    <row r="1623" spans="1:25" ht="15" customHeight="1" x14ac:dyDescent="0.2">
      <c r="A1623" s="640" t="s">
        <v>165</v>
      </c>
      <c r="B1623" s="1036" t="str">
        <f>GLOBAL_DER_FEV_2023!B1623</f>
        <v/>
      </c>
      <c r="C1623" s="1072" t="str">
        <f>GLOBAL_DER_FEV_2023!C1623</f>
        <v/>
      </c>
      <c r="D1623" s="1141">
        <f>GLOBAL_DER_FEV_2023!D1623</f>
        <v>0</v>
      </c>
      <c r="E1623" s="907">
        <f>GLOBAL_DER_FEV_2023!E1623</f>
        <v>0</v>
      </c>
      <c r="F1623" s="908">
        <f>GLOBAL_DER_FEV_2023!F1623</f>
        <v>0</v>
      </c>
      <c r="G1623" s="912">
        <f>GLOBAL_DER_FEV_2023!G1623</f>
        <v>0</v>
      </c>
      <c r="H1623" s="901">
        <f>GLOBAL_DER_FEV_2023!H1623</f>
        <v>0</v>
      </c>
      <c r="I1623" s="901" t="str">
        <f>GLOBAL_DER_FEV_2023!I1623</f>
        <v/>
      </c>
      <c r="J1623" s="890">
        <f>GLOBAL_DER_FEV_2023!J1623</f>
        <v>0</v>
      </c>
      <c r="K1623" s="903" t="str">
        <f>GLOBAL_DER_FEV_2023!K1623</f>
        <v xml:space="preserve">     </v>
      </c>
      <c r="L1623" s="1137"/>
      <c r="M1623" s="1138">
        <f t="shared" si="173"/>
        <v>0</v>
      </c>
      <c r="N1623" s="1167">
        <f t="shared" ref="N1623:N1686" si="177">IF(ISBLANK(L1623),0,IF(W1623=0,ROUND(L1623*M1623,2),IF(W1623="b",ROUNDDOWN(L1623*M1623,2),ROUNDUP(L1623*M1623,2))))</f>
        <v>0</v>
      </c>
      <c r="O1623" s="1165"/>
      <c r="Q1623" s="317" t="str">
        <f t="shared" si="174"/>
        <v/>
      </c>
      <c r="R1623" s="317" t="str">
        <f t="shared" si="175"/>
        <v/>
      </c>
      <c r="S1623" s="317" t="str">
        <f t="shared" si="176"/>
        <v/>
      </c>
      <c r="T1623" s="317" t="str">
        <f>GLOBAL_DER_FEV_2023!S1623</f>
        <v/>
      </c>
      <c r="W1623" s="582">
        <v>0</v>
      </c>
      <c r="X1623" s="580"/>
      <c r="Y1623" s="583">
        <f>IF(GLOBAL_DER_FEV_2023!W1623=0,0,IF(GLOBAL_DER_FEV_2023!W1623&gt;0,"c","b"))</f>
        <v>0</v>
      </c>
    </row>
    <row r="1624" spans="1:25" ht="15" customHeight="1" thickBot="1" x14ac:dyDescent="0.25">
      <c r="A1624" s="640" t="s">
        <v>165</v>
      </c>
      <c r="B1624" s="1036" t="str">
        <f>GLOBAL_DER_FEV_2023!B1624</f>
        <v/>
      </c>
      <c r="C1624" s="1072" t="str">
        <f>GLOBAL_DER_FEV_2023!C1624</f>
        <v/>
      </c>
      <c r="D1624" s="1141">
        <f>GLOBAL_DER_FEV_2023!D1624</f>
        <v>0</v>
      </c>
      <c r="E1624" s="907">
        <f>GLOBAL_DER_FEV_2023!E1624</f>
        <v>0</v>
      </c>
      <c r="F1624" s="908">
        <f>GLOBAL_DER_FEV_2023!F1624</f>
        <v>0</v>
      </c>
      <c r="G1624" s="912">
        <f>GLOBAL_DER_FEV_2023!G1624</f>
        <v>0</v>
      </c>
      <c r="H1624" s="901">
        <f>GLOBAL_DER_FEV_2023!H1624</f>
        <v>0</v>
      </c>
      <c r="I1624" s="901" t="str">
        <f>GLOBAL_DER_FEV_2023!I1624</f>
        <v/>
      </c>
      <c r="J1624" s="890">
        <f>GLOBAL_DER_FEV_2023!J1624</f>
        <v>0</v>
      </c>
      <c r="K1624" s="903" t="str">
        <f>GLOBAL_DER_FEV_2023!K1624</f>
        <v xml:space="preserve">     </v>
      </c>
      <c r="L1624" s="1137"/>
      <c r="M1624" s="1138">
        <f t="shared" si="173"/>
        <v>0</v>
      </c>
      <c r="N1624" s="1167">
        <f t="shared" si="177"/>
        <v>0</v>
      </c>
      <c r="O1624" s="1165"/>
      <c r="Q1624" s="317" t="str">
        <f t="shared" si="174"/>
        <v/>
      </c>
      <c r="R1624" s="317" t="str">
        <f t="shared" si="175"/>
        <v/>
      </c>
      <c r="S1624" s="317" t="str">
        <f t="shared" si="176"/>
        <v/>
      </c>
      <c r="T1624" s="317" t="str">
        <f>GLOBAL_DER_FEV_2023!S1624</f>
        <v/>
      </c>
      <c r="W1624" s="582">
        <v>0</v>
      </c>
      <c r="X1624" s="580"/>
      <c r="Y1624" s="583">
        <f>IF(GLOBAL_DER_FEV_2023!W1624=0,0,IF(GLOBAL_DER_FEV_2023!W1624&gt;0,"c","b"))</f>
        <v>0</v>
      </c>
    </row>
    <row r="1625" spans="1:25" ht="15" customHeight="1" thickBot="1" x14ac:dyDescent="0.25">
      <c r="A1625" s="317" t="s">
        <v>441</v>
      </c>
      <c r="B1625" s="950" t="s">
        <v>439</v>
      </c>
      <c r="C1625" s="951"/>
      <c r="D1625" s="952" t="s">
        <v>440</v>
      </c>
      <c r="E1625" s="943">
        <f>GLOBAL_DER_FEV_2023!E1625</f>
        <v>0</v>
      </c>
      <c r="F1625" s="876"/>
      <c r="G1625" s="944"/>
      <c r="H1625" s="945">
        <f>GLOBAL_DER_FEV_2023!H1625</f>
        <v>0</v>
      </c>
      <c r="I1625" s="945">
        <f>GLOBAL_DER_FEV_2023!I1625</f>
        <v>0</v>
      </c>
      <c r="J1625" s="945">
        <f>GLOBAL_DER_FEV_2023!J1625</f>
        <v>0</v>
      </c>
      <c r="K1625" s="878" t="s">
        <v>507</v>
      </c>
      <c r="L1625" s="1171"/>
      <c r="M1625" s="1172">
        <f t="shared" ref="M1625:M1669" si="178">IF(L1625=0,0,ROUND(J1625,2))</f>
        <v>0</v>
      </c>
      <c r="N1625" s="1173">
        <f t="shared" si="177"/>
        <v>0</v>
      </c>
      <c r="O1625" s="1174">
        <f>SUM(N1626:N1719)</f>
        <v>0</v>
      </c>
      <c r="P1625" s="58" t="str">
        <f>IF(OR(O1625&gt;0,O1625&gt;0),"X","")</f>
        <v/>
      </c>
      <c r="Q1625" s="317" t="str">
        <f t="shared" si="174"/>
        <v/>
      </c>
      <c r="R1625" s="317" t="str">
        <f t="shared" si="175"/>
        <v/>
      </c>
      <c r="S1625" s="317" t="str">
        <f t="shared" si="176"/>
        <v/>
      </c>
      <c r="T1625" s="317" t="str">
        <f>GLOBAL_DER_FEV_2023!S1625</f>
        <v/>
      </c>
      <c r="W1625" s="582">
        <v>0</v>
      </c>
      <c r="X1625" s="580"/>
      <c r="Y1625" s="583">
        <f>IF(GLOBAL_DER_FEV_2023!W1625=0,0,IF(GLOBAL_DER_FEV_2023!W1625&gt;0,"c","b"))</f>
        <v>0</v>
      </c>
    </row>
    <row r="1626" spans="1:25" ht="15" customHeight="1" x14ac:dyDescent="0.2">
      <c r="A1626" s="317">
        <v>850000</v>
      </c>
      <c r="B1626" s="895">
        <v>850000</v>
      </c>
      <c r="C1626" s="896" t="s">
        <v>184</v>
      </c>
      <c r="D1626" s="906" t="s">
        <v>279</v>
      </c>
      <c r="E1626" s="898">
        <f>GLOBAL_DER_FEV_2023!E1626</f>
        <v>0</v>
      </c>
      <c r="F1626" s="908">
        <f>GLOBAL_DER_FEV_2023!F1626</f>
        <v>1.73</v>
      </c>
      <c r="G1626" s="909">
        <f>GLOBAL_DER_FEV_2023!G1626</f>
        <v>4.6364000000000001</v>
      </c>
      <c r="H1626" s="901">
        <f>GLOBAL_DER_FEV_2023!H1626</f>
        <v>7254.91</v>
      </c>
      <c r="I1626" s="901">
        <f>GLOBAL_DER_FEV_2023!I1626</f>
        <v>7259.5464000000002</v>
      </c>
      <c r="J1626" s="902">
        <f>GLOBAL_DER_FEV_2023!J1626</f>
        <v>8716.5400000000009</v>
      </c>
      <c r="K1626" s="903" t="s">
        <v>15</v>
      </c>
      <c r="L1626" s="1137"/>
      <c r="M1626" s="1138">
        <f t="shared" si="178"/>
        <v>0</v>
      </c>
      <c r="N1626" s="893">
        <f t="shared" si="177"/>
        <v>0</v>
      </c>
      <c r="O1626" s="905"/>
      <c r="Q1626" s="317" t="str">
        <f t="shared" si="174"/>
        <v/>
      </c>
      <c r="R1626" s="317" t="str">
        <f t="shared" si="175"/>
        <v/>
      </c>
      <c r="S1626" s="317" t="str">
        <f t="shared" si="176"/>
        <v/>
      </c>
      <c r="T1626" s="317" t="str">
        <f>GLOBAL_DER_FEV_2023!S1626</f>
        <v/>
      </c>
      <c r="W1626" s="582">
        <v>0</v>
      </c>
      <c r="X1626" s="580"/>
      <c r="Y1626" s="583">
        <f>IF(GLOBAL_DER_FEV_2023!W1626=0,0,IF(GLOBAL_DER_FEV_2023!W1626&gt;0,"c","b"))</f>
        <v>0</v>
      </c>
    </row>
    <row r="1627" spans="1:25" ht="15" customHeight="1" x14ac:dyDescent="0.2">
      <c r="A1627" s="317">
        <v>603000</v>
      </c>
      <c r="B1627" s="895" t="s">
        <v>1769</v>
      </c>
      <c r="C1627" s="896" t="s">
        <v>184</v>
      </c>
      <c r="D1627" s="906" t="s">
        <v>261</v>
      </c>
      <c r="E1627" s="907">
        <f>GLOBAL_DER_FEV_2023!E1627</f>
        <v>0</v>
      </c>
      <c r="F1627" s="908">
        <f>GLOBAL_DER_FEV_2023!F1627</f>
        <v>0</v>
      </c>
      <c r="G1627" s="949">
        <f>GLOBAL_DER_FEV_2023!G1627</f>
        <v>0</v>
      </c>
      <c r="H1627" s="901">
        <f>GLOBAL_DER_FEV_2023!H1627</f>
        <v>18.34</v>
      </c>
      <c r="I1627" s="901">
        <f>GLOBAL_DER_FEV_2023!I1627</f>
        <v>18.34</v>
      </c>
      <c r="J1627" s="902">
        <f>GLOBAL_DER_FEV_2023!J1627</f>
        <v>22.02</v>
      </c>
      <c r="K1627" s="903" t="s">
        <v>16</v>
      </c>
      <c r="L1627" s="1137"/>
      <c r="M1627" s="1138">
        <f t="shared" si="178"/>
        <v>0</v>
      </c>
      <c r="N1627" s="893">
        <f t="shared" si="177"/>
        <v>0</v>
      </c>
      <c r="O1627" s="905"/>
      <c r="Q1627" s="317" t="str">
        <f t="shared" si="174"/>
        <v/>
      </c>
      <c r="R1627" s="317" t="str">
        <f t="shared" si="175"/>
        <v/>
      </c>
      <c r="S1627" s="317" t="str">
        <f t="shared" si="176"/>
        <v/>
      </c>
      <c r="T1627" s="317" t="str">
        <f>GLOBAL_DER_FEV_2023!S1627</f>
        <v/>
      </c>
      <c r="W1627" s="582">
        <v>0</v>
      </c>
      <c r="X1627" s="580"/>
      <c r="Y1627" s="583">
        <f>IF(GLOBAL_DER_FEV_2023!W1627=0,0,IF(GLOBAL_DER_FEV_2023!W1627&gt;0,"c","b"))</f>
        <v>0</v>
      </c>
    </row>
    <row r="1628" spans="1:25" ht="15" customHeight="1" x14ac:dyDescent="0.2">
      <c r="A1628" s="317">
        <v>603300</v>
      </c>
      <c r="B1628" s="895" t="s">
        <v>1772</v>
      </c>
      <c r="C1628" s="896" t="s">
        <v>184</v>
      </c>
      <c r="D1628" s="906" t="s">
        <v>262</v>
      </c>
      <c r="E1628" s="907">
        <f>GLOBAL_DER_FEV_2023!E1628</f>
        <v>0</v>
      </c>
      <c r="F1628" s="908">
        <f>GLOBAL_DER_FEV_2023!F1628</f>
        <v>0</v>
      </c>
      <c r="G1628" s="949">
        <f>GLOBAL_DER_FEV_2023!G1628</f>
        <v>0</v>
      </c>
      <c r="H1628" s="901">
        <f>GLOBAL_DER_FEV_2023!H1628</f>
        <v>20.91</v>
      </c>
      <c r="I1628" s="901">
        <f>GLOBAL_DER_FEV_2023!I1628</f>
        <v>20.91</v>
      </c>
      <c r="J1628" s="902">
        <f>GLOBAL_DER_FEV_2023!J1628</f>
        <v>25.11</v>
      </c>
      <c r="K1628" s="903" t="s">
        <v>16</v>
      </c>
      <c r="L1628" s="1137"/>
      <c r="M1628" s="1138">
        <f t="shared" si="178"/>
        <v>0</v>
      </c>
      <c r="N1628" s="893">
        <f t="shared" si="177"/>
        <v>0</v>
      </c>
      <c r="O1628" s="905"/>
      <c r="Q1628" s="317" t="str">
        <f t="shared" si="174"/>
        <v/>
      </c>
      <c r="R1628" s="317" t="str">
        <f t="shared" si="175"/>
        <v/>
      </c>
      <c r="S1628" s="317" t="str">
        <f t="shared" si="176"/>
        <v/>
      </c>
      <c r="T1628" s="317" t="str">
        <f>GLOBAL_DER_FEV_2023!S1628</f>
        <v/>
      </c>
      <c r="W1628" s="582">
        <v>0</v>
      </c>
      <c r="X1628" s="580"/>
      <c r="Y1628" s="583">
        <f>IF(GLOBAL_DER_FEV_2023!W1628=0,0,IF(GLOBAL_DER_FEV_2023!W1628&gt;0,"c","b"))</f>
        <v>0</v>
      </c>
    </row>
    <row r="1629" spans="1:25" ht="15" customHeight="1" x14ac:dyDescent="0.2">
      <c r="A1629" s="317">
        <v>601100</v>
      </c>
      <c r="B1629" s="895" t="s">
        <v>1767</v>
      </c>
      <c r="C1629" s="896" t="s">
        <v>184</v>
      </c>
      <c r="D1629" s="906" t="s">
        <v>324</v>
      </c>
      <c r="E1629" s="907">
        <f>GLOBAL_DER_FEV_2023!E1629</f>
        <v>0</v>
      </c>
      <c r="F1629" s="908">
        <f>GLOBAL_DER_FEV_2023!F1629</f>
        <v>0</v>
      </c>
      <c r="G1629" s="912">
        <f>GLOBAL_DER_FEV_2023!G1629</f>
        <v>0</v>
      </c>
      <c r="H1629" s="901">
        <f>GLOBAL_DER_FEV_2023!H1629</f>
        <v>54.05</v>
      </c>
      <c r="I1629" s="901">
        <f>GLOBAL_DER_FEV_2023!I1629</f>
        <v>54.05</v>
      </c>
      <c r="J1629" s="902">
        <f>GLOBAL_DER_FEV_2023!J1629</f>
        <v>64.900000000000006</v>
      </c>
      <c r="K1629" s="903" t="s">
        <v>10</v>
      </c>
      <c r="L1629" s="1137"/>
      <c r="M1629" s="1138">
        <f t="shared" si="178"/>
        <v>0</v>
      </c>
      <c r="N1629" s="893">
        <f t="shared" si="177"/>
        <v>0</v>
      </c>
      <c r="O1629" s="905"/>
      <c r="Q1629" s="317" t="str">
        <f t="shared" si="174"/>
        <v/>
      </c>
      <c r="R1629" s="317" t="str">
        <f t="shared" si="175"/>
        <v/>
      </c>
      <c r="S1629" s="317" t="str">
        <f t="shared" si="176"/>
        <v/>
      </c>
      <c r="T1629" s="317" t="str">
        <f>GLOBAL_DER_FEV_2023!S1629</f>
        <v/>
      </c>
      <c r="W1629" s="582">
        <v>0</v>
      </c>
      <c r="X1629" s="580"/>
      <c r="Y1629" s="583">
        <f>IF(GLOBAL_DER_FEV_2023!W1629=0,0,IF(GLOBAL_DER_FEV_2023!W1629&gt;0,"c","b"))</f>
        <v>0</v>
      </c>
    </row>
    <row r="1630" spans="1:25" ht="15" customHeight="1" x14ac:dyDescent="0.2">
      <c r="A1630" s="317">
        <v>520100</v>
      </c>
      <c r="B1630" s="895" t="s">
        <v>1562</v>
      </c>
      <c r="C1630" s="896" t="s">
        <v>184</v>
      </c>
      <c r="D1630" s="906" t="s">
        <v>270</v>
      </c>
      <c r="E1630" s="898">
        <f>GLOBAL_DER_FEV_2023!E1630</f>
        <v>1</v>
      </c>
      <c r="F1630" s="899">
        <f>GLOBAL_DER_FEV_2023!F1630</f>
        <v>2.0999999999999996</v>
      </c>
      <c r="G1630" s="909">
        <f>GLOBAL_DER_FEV_2023!G1630</f>
        <v>7.8749999999999982</v>
      </c>
      <c r="H1630" s="954">
        <f>GLOBAL_DER_FEV_2023!H1630</f>
        <v>5.45</v>
      </c>
      <c r="I1630" s="901">
        <f>GLOBAL_DER_FEV_2023!I1630</f>
        <v>13.324999999999999</v>
      </c>
      <c r="J1630" s="902">
        <f>GLOBAL_DER_FEV_2023!J1630</f>
        <v>16</v>
      </c>
      <c r="K1630" s="903" t="s">
        <v>10</v>
      </c>
      <c r="L1630" s="1137"/>
      <c r="M1630" s="1138">
        <f t="shared" si="178"/>
        <v>0</v>
      </c>
      <c r="N1630" s="893">
        <f t="shared" si="177"/>
        <v>0</v>
      </c>
      <c r="O1630" s="905"/>
      <c r="Q1630" s="317" t="str">
        <f t="shared" si="174"/>
        <v/>
      </c>
      <c r="R1630" s="317" t="str">
        <f t="shared" si="175"/>
        <v/>
      </c>
      <c r="S1630" s="317" t="str">
        <f t="shared" si="176"/>
        <v/>
      </c>
      <c r="T1630" s="317" t="str">
        <f>GLOBAL_DER_FEV_2023!S1630</f>
        <v/>
      </c>
      <c r="W1630" s="582">
        <v>0</v>
      </c>
      <c r="X1630" s="580"/>
      <c r="Y1630" s="583">
        <f>IF(GLOBAL_DER_FEV_2023!W1630=0,0,IF(GLOBAL_DER_FEV_2023!W1630&gt;0,"c","b"))</f>
        <v>0</v>
      </c>
    </row>
    <row r="1631" spans="1:25" ht="15" customHeight="1" x14ac:dyDescent="0.2">
      <c r="A1631" s="317">
        <v>520100</v>
      </c>
      <c r="B1631" s="895" t="s">
        <v>1563</v>
      </c>
      <c r="C1631" s="896" t="s">
        <v>184</v>
      </c>
      <c r="D1631" s="906" t="s">
        <v>271</v>
      </c>
      <c r="E1631" s="898">
        <f>GLOBAL_DER_FEV_2023!E1631</f>
        <v>10</v>
      </c>
      <c r="F1631" s="899">
        <f>GLOBAL_DER_FEV_2023!F1631</f>
        <v>2.0999999999999996</v>
      </c>
      <c r="G1631" s="909">
        <f>GLOBAL_DER_FEV_2023!G1631</f>
        <v>28.097999999999995</v>
      </c>
      <c r="H1631" s="954">
        <f>GLOBAL_DER_FEV_2023!H1631</f>
        <v>5.45</v>
      </c>
      <c r="I1631" s="901">
        <f>GLOBAL_DER_FEV_2023!I1631</f>
        <v>33.547999999999995</v>
      </c>
      <c r="J1631" s="902">
        <f>GLOBAL_DER_FEV_2023!J1631</f>
        <v>40.28</v>
      </c>
      <c r="K1631" s="903" t="s">
        <v>10</v>
      </c>
      <c r="L1631" s="1137"/>
      <c r="M1631" s="1138">
        <f t="shared" si="178"/>
        <v>0</v>
      </c>
      <c r="N1631" s="893">
        <f t="shared" si="177"/>
        <v>0</v>
      </c>
      <c r="O1631" s="905"/>
      <c r="Q1631" s="317" t="str">
        <f t="shared" si="174"/>
        <v/>
      </c>
      <c r="R1631" s="317" t="str">
        <f t="shared" si="175"/>
        <v/>
      </c>
      <c r="S1631" s="317" t="str">
        <f t="shared" si="176"/>
        <v/>
      </c>
      <c r="T1631" s="317" t="str">
        <f>GLOBAL_DER_FEV_2023!S1631</f>
        <v/>
      </c>
      <c r="W1631" s="582">
        <v>0</v>
      </c>
      <c r="X1631" s="580"/>
      <c r="Y1631" s="583">
        <f>IF(GLOBAL_DER_FEV_2023!W1631=0,0,IF(GLOBAL_DER_FEV_2023!W1631&gt;0,"c","b"))</f>
        <v>0</v>
      </c>
    </row>
    <row r="1632" spans="1:25" ht="15" customHeight="1" x14ac:dyDescent="0.2">
      <c r="A1632" s="317">
        <v>532500</v>
      </c>
      <c r="B1632" s="895" t="s">
        <v>1737</v>
      </c>
      <c r="C1632" s="896" t="s">
        <v>184</v>
      </c>
      <c r="D1632" s="957" t="s">
        <v>329</v>
      </c>
      <c r="E1632" s="907">
        <f>GLOBAL_DER_FEV_2023!E1632</f>
        <v>150</v>
      </c>
      <c r="F1632" s="908">
        <f>GLOBAL_DER_FEV_2023!F1632</f>
        <v>1.7250000000000001</v>
      </c>
      <c r="G1632" s="909">
        <f>GLOBAL_DER_FEV_2023!G1632</f>
        <v>281.4855</v>
      </c>
      <c r="H1632" s="901">
        <f>GLOBAL_DER_FEV_2023!H1632</f>
        <v>102.38</v>
      </c>
      <c r="I1632" s="901">
        <f>GLOBAL_DER_FEV_2023!I1632</f>
        <v>383.8655</v>
      </c>
      <c r="J1632" s="902">
        <f>GLOBAL_DER_FEV_2023!J1632</f>
        <v>460.91</v>
      </c>
      <c r="K1632" s="903" t="s">
        <v>10</v>
      </c>
      <c r="L1632" s="1137"/>
      <c r="M1632" s="1138">
        <f t="shared" si="178"/>
        <v>0</v>
      </c>
      <c r="N1632" s="893">
        <f t="shared" si="177"/>
        <v>0</v>
      </c>
      <c r="O1632" s="905"/>
      <c r="Q1632" s="317" t="str">
        <f t="shared" si="174"/>
        <v/>
      </c>
      <c r="R1632" s="317" t="str">
        <f t="shared" si="175"/>
        <v/>
      </c>
      <c r="S1632" s="317" t="str">
        <f t="shared" si="176"/>
        <v/>
      </c>
      <c r="T1632" s="317" t="str">
        <f>GLOBAL_DER_FEV_2023!S1632</f>
        <v/>
      </c>
      <c r="W1632" s="582">
        <v>0</v>
      </c>
      <c r="X1632" s="580"/>
      <c r="Y1632" s="583">
        <f>IF(GLOBAL_DER_FEV_2023!W1632=0,0,IF(GLOBAL_DER_FEV_2023!W1632&gt;0,"c","b"))</f>
        <v>0</v>
      </c>
    </row>
    <row r="1633" spans="1:25" ht="15" customHeight="1" x14ac:dyDescent="0.2">
      <c r="A1633" s="317">
        <v>603900</v>
      </c>
      <c r="B1633" s="895" t="s">
        <v>1742</v>
      </c>
      <c r="C1633" s="896" t="s">
        <v>184</v>
      </c>
      <c r="D1633" s="957" t="s">
        <v>330</v>
      </c>
      <c r="E1633" s="907">
        <f>GLOBAL_DER_FEV_2023!E1633</f>
        <v>0.2</v>
      </c>
      <c r="F1633" s="908">
        <f>GLOBAL_DER_FEV_2023!F1633</f>
        <v>1.5</v>
      </c>
      <c r="G1633" s="909">
        <f>GLOBAL_DER_FEV_2023!G1633</f>
        <v>4.3410000000000002</v>
      </c>
      <c r="H1633" s="901">
        <f>GLOBAL_DER_FEV_2023!H1633</f>
        <v>131.84</v>
      </c>
      <c r="I1633" s="901">
        <f>GLOBAL_DER_FEV_2023!I1633</f>
        <v>136.18100000000001</v>
      </c>
      <c r="J1633" s="902">
        <f>GLOBAL_DER_FEV_2023!J1633</f>
        <v>163.51</v>
      </c>
      <c r="K1633" s="903" t="s">
        <v>10</v>
      </c>
      <c r="L1633" s="1137"/>
      <c r="M1633" s="1138">
        <f t="shared" si="178"/>
        <v>0</v>
      </c>
      <c r="N1633" s="893">
        <f t="shared" si="177"/>
        <v>0</v>
      </c>
      <c r="O1633" s="905"/>
      <c r="Q1633" s="317" t="str">
        <f t="shared" si="174"/>
        <v/>
      </c>
      <c r="R1633" s="317" t="str">
        <f t="shared" si="175"/>
        <v/>
      </c>
      <c r="S1633" s="317" t="str">
        <f t="shared" si="176"/>
        <v/>
      </c>
      <c r="T1633" s="317" t="str">
        <f>GLOBAL_DER_FEV_2023!S1633</f>
        <v/>
      </c>
      <c r="W1633" s="582">
        <v>0</v>
      </c>
      <c r="X1633" s="580"/>
      <c r="Y1633" s="583">
        <f>IF(GLOBAL_DER_FEV_2023!W1633=0,0,IF(GLOBAL_DER_FEV_2023!W1633&gt;0,"c","b"))</f>
        <v>0</v>
      </c>
    </row>
    <row r="1634" spans="1:25" ht="15" customHeight="1" x14ac:dyDescent="0.2">
      <c r="A1634" s="317">
        <v>605000</v>
      </c>
      <c r="B1634" s="895" t="s">
        <v>1781</v>
      </c>
      <c r="C1634" s="896" t="s">
        <v>184</v>
      </c>
      <c r="D1634" s="906" t="s">
        <v>259</v>
      </c>
      <c r="E1634" s="907">
        <f>GLOBAL_DER_FEV_2023!E1634</f>
        <v>0</v>
      </c>
      <c r="F1634" s="908">
        <f>GLOBAL_DER_FEV_2023!F1634</f>
        <v>0</v>
      </c>
      <c r="G1634" s="912">
        <f>GLOBAL_DER_FEV_2023!G1634</f>
        <v>220.83394000000004</v>
      </c>
      <c r="H1634" s="901">
        <f>GLOBAL_DER_FEV_2023!H1634</f>
        <v>425.25</v>
      </c>
      <c r="I1634" s="901">
        <f>GLOBAL_DER_FEV_2023!I1634</f>
        <v>646.08393999999998</v>
      </c>
      <c r="J1634" s="902">
        <f>GLOBAL_DER_FEV_2023!J1634</f>
        <v>775.75</v>
      </c>
      <c r="K1634" s="903" t="s">
        <v>10</v>
      </c>
      <c r="L1634" s="1137"/>
      <c r="M1634" s="1138">
        <f t="shared" si="178"/>
        <v>0</v>
      </c>
      <c r="N1634" s="893">
        <f t="shared" si="177"/>
        <v>0</v>
      </c>
      <c r="O1634" s="905"/>
      <c r="Q1634" s="317" t="str">
        <f t="shared" si="174"/>
        <v/>
      </c>
      <c r="R1634" s="317" t="str">
        <f t="shared" si="175"/>
        <v/>
      </c>
      <c r="S1634" s="317" t="str">
        <f t="shared" si="176"/>
        <v/>
      </c>
      <c r="T1634" s="317" t="str">
        <f>GLOBAL_DER_FEV_2023!S1634</f>
        <v/>
      </c>
      <c r="W1634" s="582">
        <v>0</v>
      </c>
      <c r="X1634" s="580"/>
      <c r="Y1634" s="583">
        <f>IF(GLOBAL_DER_FEV_2023!W1634=0,0,IF(GLOBAL_DER_FEV_2023!W1634&gt;0,"c","b"))</f>
        <v>0</v>
      </c>
    </row>
    <row r="1635" spans="1:25" ht="15" customHeight="1" x14ac:dyDescent="0.2">
      <c r="A1635" s="317" t="s">
        <v>147</v>
      </c>
      <c r="B1635" s="895" t="s">
        <v>147</v>
      </c>
      <c r="C1635" s="896"/>
      <c r="D1635" s="957" t="s">
        <v>190</v>
      </c>
      <c r="E1635" s="907">
        <f>GLOBAL_DER_FEV_2023!E1635</f>
        <v>308</v>
      </c>
      <c r="F1635" s="908">
        <f>GLOBAL_DER_FEV_2023!F1635</f>
        <v>0.18</v>
      </c>
      <c r="G1635" s="909">
        <f>GLOBAL_DER_FEV_2023!G1635</f>
        <v>44.650799999999997</v>
      </c>
      <c r="H1635" s="901">
        <f>GLOBAL_DER_FEV_2023!H1635</f>
        <v>0</v>
      </c>
      <c r="I1635" s="901">
        <f>GLOBAL_DER_FEV_2023!I1635</f>
        <v>0</v>
      </c>
      <c r="J1635" s="902">
        <f>GLOBAL_DER_FEV_2023!J1635</f>
        <v>0</v>
      </c>
      <c r="K1635" s="958" t="s">
        <v>507</v>
      </c>
      <c r="L1635" s="959"/>
      <c r="M1635" s="1157">
        <f t="shared" si="178"/>
        <v>0</v>
      </c>
      <c r="N1635" s="893">
        <f t="shared" si="177"/>
        <v>0</v>
      </c>
      <c r="O1635" s="905"/>
      <c r="P1635" s="58" t="str">
        <f>IF(N1634&gt;0,"xx",IF(N1634&gt;0,"xy",""))</f>
        <v/>
      </c>
      <c r="Q1635" s="317" t="str">
        <f t="shared" si="174"/>
        <v/>
      </c>
      <c r="R1635" s="317" t="str">
        <f t="shared" si="175"/>
        <v/>
      </c>
      <c r="S1635" s="317" t="str">
        <f t="shared" si="176"/>
        <v/>
      </c>
      <c r="T1635" s="317" t="str">
        <f>GLOBAL_DER_FEV_2023!S1635</f>
        <v/>
      </c>
      <c r="W1635" s="582">
        <v>0</v>
      </c>
      <c r="X1635" s="580"/>
      <c r="Y1635" s="583">
        <f>IF(GLOBAL_DER_FEV_2023!W1635=0,0,IF(GLOBAL_DER_FEV_2023!W1635&gt;0,"c","b"))</f>
        <v>0</v>
      </c>
    </row>
    <row r="1636" spans="1:25" ht="15" customHeight="1" x14ac:dyDescent="0.2">
      <c r="A1636" s="317" t="s">
        <v>147</v>
      </c>
      <c r="B1636" s="895" t="s">
        <v>147</v>
      </c>
      <c r="C1636" s="896"/>
      <c r="D1636" s="957" t="s">
        <v>229</v>
      </c>
      <c r="E1636" s="907">
        <f>GLOBAL_DER_FEV_2023!E1636</f>
        <v>150</v>
      </c>
      <c r="F1636" s="908">
        <f>GLOBAL_DER_FEV_2023!F1636</f>
        <v>1.06</v>
      </c>
      <c r="G1636" s="949">
        <f>GLOBAL_DER_FEV_2023!G1636</f>
        <v>172.97080000000003</v>
      </c>
      <c r="H1636" s="901">
        <f>GLOBAL_DER_FEV_2023!H1636</f>
        <v>0</v>
      </c>
      <c r="I1636" s="901">
        <f>GLOBAL_DER_FEV_2023!I1636</f>
        <v>0</v>
      </c>
      <c r="J1636" s="902">
        <f>GLOBAL_DER_FEV_2023!J1636</f>
        <v>0</v>
      </c>
      <c r="K1636" s="958" t="s">
        <v>507</v>
      </c>
      <c r="L1636" s="959"/>
      <c r="M1636" s="1157">
        <f t="shared" si="178"/>
        <v>0</v>
      </c>
      <c r="N1636" s="893">
        <f t="shared" si="177"/>
        <v>0</v>
      </c>
      <c r="O1636" s="905"/>
      <c r="P1636" s="58" t="str">
        <f>IF(N1634&gt;0,"xx",IF(N1634&gt;0,"xy",""))</f>
        <v/>
      </c>
      <c r="Q1636" s="317" t="str">
        <f t="shared" si="174"/>
        <v/>
      </c>
      <c r="R1636" s="317" t="str">
        <f t="shared" si="175"/>
        <v/>
      </c>
      <c r="S1636" s="317" t="str">
        <f t="shared" si="176"/>
        <v/>
      </c>
      <c r="T1636" s="317" t="str">
        <f>GLOBAL_DER_FEV_2023!S1636</f>
        <v/>
      </c>
      <c r="W1636" s="582">
        <v>0</v>
      </c>
      <c r="X1636" s="580"/>
      <c r="Y1636" s="583">
        <f>IF(GLOBAL_DER_FEV_2023!W1636=0,0,IF(GLOBAL_DER_FEV_2023!W1636&gt;0,"c","b"))</f>
        <v>0</v>
      </c>
    </row>
    <row r="1637" spans="1:25" ht="15" customHeight="1" x14ac:dyDescent="0.2">
      <c r="A1637" s="317" t="s">
        <v>147</v>
      </c>
      <c r="B1637" s="895" t="s">
        <v>147</v>
      </c>
      <c r="C1637" s="896"/>
      <c r="D1637" s="957" t="s">
        <v>233</v>
      </c>
      <c r="E1637" s="907">
        <f>GLOBAL_DER_FEV_2023!E1637</f>
        <v>0.2</v>
      </c>
      <c r="F1637" s="908">
        <f>GLOBAL_DER_FEV_2023!F1637</f>
        <v>1.1100000000000001</v>
      </c>
      <c r="G1637" s="949">
        <f>GLOBAL_DER_FEV_2023!G1637</f>
        <v>3.2123400000000006</v>
      </c>
      <c r="H1637" s="901">
        <f>GLOBAL_DER_FEV_2023!H1637</f>
        <v>0</v>
      </c>
      <c r="I1637" s="901">
        <f>GLOBAL_DER_FEV_2023!I1637</f>
        <v>0</v>
      </c>
      <c r="J1637" s="902">
        <f>GLOBAL_DER_FEV_2023!J1637</f>
        <v>0</v>
      </c>
      <c r="K1637" s="958" t="s">
        <v>507</v>
      </c>
      <c r="L1637" s="959"/>
      <c r="M1637" s="1157">
        <f t="shared" si="178"/>
        <v>0</v>
      </c>
      <c r="N1637" s="893">
        <f t="shared" si="177"/>
        <v>0</v>
      </c>
      <c r="O1637" s="905"/>
      <c r="P1637" s="58" t="str">
        <f>IF(N1634&gt;0,"xx",IF(N1634&gt;0,"xy",""))</f>
        <v/>
      </c>
      <c r="Q1637" s="317" t="str">
        <f t="shared" si="174"/>
        <v/>
      </c>
      <c r="R1637" s="317" t="str">
        <f t="shared" si="175"/>
        <v/>
      </c>
      <c r="S1637" s="317" t="str">
        <f t="shared" si="176"/>
        <v/>
      </c>
      <c r="T1637" s="317" t="str">
        <f>GLOBAL_DER_FEV_2023!S1637</f>
        <v/>
      </c>
      <c r="W1637" s="582">
        <v>0</v>
      </c>
      <c r="X1637" s="580"/>
      <c r="Y1637" s="583">
        <f>IF(GLOBAL_DER_FEV_2023!W1637=0,0,IF(GLOBAL_DER_FEV_2023!W1637&gt;0,"c","b"))</f>
        <v>0</v>
      </c>
    </row>
    <row r="1638" spans="1:25" ht="15" customHeight="1" x14ac:dyDescent="0.2">
      <c r="A1638" s="317">
        <v>400500</v>
      </c>
      <c r="B1638" s="895" t="s">
        <v>1736</v>
      </c>
      <c r="C1638" s="896" t="s">
        <v>184</v>
      </c>
      <c r="D1638" s="906" t="s">
        <v>1732</v>
      </c>
      <c r="E1638" s="907">
        <f>GLOBAL_DER_FEV_2023!E1638</f>
        <v>150</v>
      </c>
      <c r="F1638" s="908">
        <f>GLOBAL_DER_FEV_2023!F1638</f>
        <v>1.73</v>
      </c>
      <c r="G1638" s="949">
        <f>GLOBAL_DER_FEV_2023!G1638</f>
        <v>282.3014</v>
      </c>
      <c r="H1638" s="901">
        <f>GLOBAL_DER_FEV_2023!H1638</f>
        <v>83.83</v>
      </c>
      <c r="I1638" s="901">
        <f>GLOBAL_DER_FEV_2023!I1638</f>
        <v>366.13139999999999</v>
      </c>
      <c r="J1638" s="902">
        <f>GLOBAL_DER_FEV_2023!J1638</f>
        <v>439.61</v>
      </c>
      <c r="K1638" s="903" t="s">
        <v>10</v>
      </c>
      <c r="L1638" s="1137"/>
      <c r="M1638" s="1138">
        <f t="shared" si="178"/>
        <v>0</v>
      </c>
      <c r="N1638" s="893">
        <f t="shared" si="177"/>
        <v>0</v>
      </c>
      <c r="O1638" s="905"/>
      <c r="Q1638" s="317" t="str">
        <f t="shared" si="174"/>
        <v/>
      </c>
      <c r="R1638" s="317" t="str">
        <f t="shared" si="175"/>
        <v/>
      </c>
      <c r="S1638" s="317" t="str">
        <f t="shared" si="176"/>
        <v/>
      </c>
      <c r="T1638" s="317" t="str">
        <f>GLOBAL_DER_FEV_2023!S1638</f>
        <v/>
      </c>
      <c r="W1638" s="582">
        <v>0</v>
      </c>
      <c r="X1638" s="580"/>
      <c r="Y1638" s="583">
        <f>IF(GLOBAL_DER_FEV_2023!W1638=0,0,IF(GLOBAL_DER_FEV_2023!W1638&gt;0,"c","b"))</f>
        <v>0</v>
      </c>
    </row>
    <row r="1639" spans="1:25" ht="15" customHeight="1" x14ac:dyDescent="0.2">
      <c r="A1639" s="317">
        <v>532500</v>
      </c>
      <c r="B1639" s="895" t="s">
        <v>1738</v>
      </c>
      <c r="C1639" s="896" t="s">
        <v>184</v>
      </c>
      <c r="D1639" s="906" t="s">
        <v>1735</v>
      </c>
      <c r="E1639" s="907">
        <f>GLOBAL_DER_FEV_2023!E1639</f>
        <v>150</v>
      </c>
      <c r="F1639" s="908">
        <f>GLOBAL_DER_FEV_2023!F1639</f>
        <v>1.7250000000000001</v>
      </c>
      <c r="G1639" s="949">
        <f>GLOBAL_DER_FEV_2023!G1639</f>
        <v>281.4855</v>
      </c>
      <c r="H1639" s="901">
        <f>GLOBAL_DER_FEV_2023!H1639</f>
        <v>102.38</v>
      </c>
      <c r="I1639" s="901">
        <f>GLOBAL_DER_FEV_2023!I1639</f>
        <v>383.8655</v>
      </c>
      <c r="J1639" s="902">
        <f>GLOBAL_DER_FEV_2023!J1639</f>
        <v>460.91</v>
      </c>
      <c r="K1639" s="903" t="s">
        <v>10</v>
      </c>
      <c r="L1639" s="1137"/>
      <c r="M1639" s="1138">
        <f t="shared" si="178"/>
        <v>0</v>
      </c>
      <c r="N1639" s="893">
        <f t="shared" si="177"/>
        <v>0</v>
      </c>
      <c r="O1639" s="905"/>
      <c r="Q1639" s="317" t="str">
        <f t="shared" si="174"/>
        <v/>
      </c>
      <c r="R1639" s="317" t="str">
        <f t="shared" si="175"/>
        <v/>
      </c>
      <c r="S1639" s="317" t="str">
        <f t="shared" si="176"/>
        <v/>
      </c>
      <c r="T1639" s="317" t="str">
        <f>GLOBAL_DER_FEV_2023!S1639</f>
        <v/>
      </c>
      <c r="W1639" s="582">
        <v>0</v>
      </c>
      <c r="X1639" s="580"/>
      <c r="Y1639" s="583">
        <f>IF(GLOBAL_DER_FEV_2023!W1639=0,0,IF(GLOBAL_DER_FEV_2023!W1639&gt;0,"c","b"))</f>
        <v>0</v>
      </c>
    </row>
    <row r="1640" spans="1:25" ht="15" customHeight="1" x14ac:dyDescent="0.2">
      <c r="A1640" s="317">
        <v>532600</v>
      </c>
      <c r="B1640" s="895" t="s">
        <v>1567</v>
      </c>
      <c r="C1640" s="896" t="s">
        <v>184</v>
      </c>
      <c r="D1640" s="906" t="s">
        <v>1733</v>
      </c>
      <c r="E1640" s="898">
        <f>GLOBAL_DER_FEV_2023!E1640</f>
        <v>0</v>
      </c>
      <c r="F1640" s="908">
        <f>GLOBAL_DER_FEV_2023!F1640</f>
        <v>2.25</v>
      </c>
      <c r="G1640" s="949">
        <f>GLOBAL_DER_FEV_2023!G1640</f>
        <v>6.03</v>
      </c>
      <c r="H1640" s="901">
        <f>GLOBAL_DER_FEV_2023!H1640</f>
        <v>16.07</v>
      </c>
      <c r="I1640" s="901">
        <f>GLOBAL_DER_FEV_2023!I1640</f>
        <v>22.1</v>
      </c>
      <c r="J1640" s="902">
        <f>GLOBAL_DER_FEV_2023!J1640</f>
        <v>26.54</v>
      </c>
      <c r="K1640" s="903" t="s">
        <v>10</v>
      </c>
      <c r="L1640" s="1137"/>
      <c r="M1640" s="1138">
        <f t="shared" si="178"/>
        <v>0</v>
      </c>
      <c r="N1640" s="893">
        <f t="shared" si="177"/>
        <v>0</v>
      </c>
      <c r="O1640" s="905"/>
      <c r="Q1640" s="317" t="str">
        <f t="shared" si="174"/>
        <v/>
      </c>
      <c r="R1640" s="317" t="str">
        <f t="shared" si="175"/>
        <v/>
      </c>
      <c r="S1640" s="317" t="str">
        <f t="shared" si="176"/>
        <v/>
      </c>
      <c r="T1640" s="317" t="str">
        <f>GLOBAL_DER_FEV_2023!S1640</f>
        <v/>
      </c>
      <c r="W1640" s="582">
        <v>0</v>
      </c>
      <c r="X1640" s="580"/>
      <c r="Y1640" s="583">
        <f>IF(GLOBAL_DER_FEV_2023!W1640=0,0,IF(GLOBAL_DER_FEV_2023!W1640&gt;0,"c","b"))</f>
        <v>0</v>
      </c>
    </row>
    <row r="1641" spans="1:25" ht="15" customHeight="1" x14ac:dyDescent="0.2">
      <c r="A1641" s="317">
        <v>603900</v>
      </c>
      <c r="B1641" s="895" t="s">
        <v>1743</v>
      </c>
      <c r="C1641" s="896" t="s">
        <v>184</v>
      </c>
      <c r="D1641" s="906" t="s">
        <v>1734</v>
      </c>
      <c r="E1641" s="907">
        <f>GLOBAL_DER_FEV_2023!E1641</f>
        <v>0.2</v>
      </c>
      <c r="F1641" s="908">
        <f>GLOBAL_DER_FEV_2023!F1641</f>
        <v>1.5</v>
      </c>
      <c r="G1641" s="949">
        <f>GLOBAL_DER_FEV_2023!G1641</f>
        <v>4.3410000000000002</v>
      </c>
      <c r="H1641" s="901">
        <f>GLOBAL_DER_FEV_2023!H1641</f>
        <v>131.84</v>
      </c>
      <c r="I1641" s="901">
        <f>GLOBAL_DER_FEV_2023!I1641</f>
        <v>136.18100000000001</v>
      </c>
      <c r="J1641" s="902">
        <f>GLOBAL_DER_FEV_2023!J1641</f>
        <v>163.51</v>
      </c>
      <c r="K1641" s="903" t="s">
        <v>10</v>
      </c>
      <c r="L1641" s="1137"/>
      <c r="M1641" s="1138">
        <f t="shared" si="178"/>
        <v>0</v>
      </c>
      <c r="N1641" s="893">
        <f t="shared" si="177"/>
        <v>0</v>
      </c>
      <c r="O1641" s="905"/>
      <c r="Q1641" s="317" t="str">
        <f t="shared" si="174"/>
        <v/>
      </c>
      <c r="R1641" s="317" t="str">
        <f t="shared" si="175"/>
        <v/>
      </c>
      <c r="S1641" s="317" t="str">
        <f t="shared" si="176"/>
        <v/>
      </c>
      <c r="T1641" s="317" t="str">
        <f>GLOBAL_DER_FEV_2023!S1641</f>
        <v/>
      </c>
      <c r="W1641" s="582">
        <v>0</v>
      </c>
      <c r="X1641" s="580"/>
      <c r="Y1641" s="583">
        <f>IF(GLOBAL_DER_FEV_2023!W1641=0,0,IF(GLOBAL_DER_FEV_2023!W1641&gt;0,"c","b"))</f>
        <v>0</v>
      </c>
    </row>
    <row r="1642" spans="1:25" ht="15" customHeight="1" x14ac:dyDescent="0.2">
      <c r="A1642" s="317">
        <v>605000</v>
      </c>
      <c r="B1642" s="895" t="s">
        <v>1782</v>
      </c>
      <c r="C1642" s="896" t="s">
        <v>184</v>
      </c>
      <c r="D1642" s="906" t="s">
        <v>337</v>
      </c>
      <c r="E1642" s="907">
        <f>GLOBAL_DER_FEV_2023!E1642</f>
        <v>0</v>
      </c>
      <c r="F1642" s="908">
        <f>GLOBAL_DER_FEV_2023!F1642</f>
        <v>0</v>
      </c>
      <c r="G1642" s="912">
        <f>GLOBAL_DER_FEV_2023!G1642</f>
        <v>220.83394000000004</v>
      </c>
      <c r="H1642" s="901">
        <f>GLOBAL_DER_FEV_2023!H1642</f>
        <v>425.25</v>
      </c>
      <c r="I1642" s="901">
        <f>GLOBAL_DER_FEV_2023!I1642</f>
        <v>646.08393999999998</v>
      </c>
      <c r="J1642" s="902">
        <f>GLOBAL_DER_FEV_2023!J1642</f>
        <v>775.75</v>
      </c>
      <c r="K1642" s="903" t="s">
        <v>10</v>
      </c>
      <c r="L1642" s="1137"/>
      <c r="M1642" s="1138">
        <f t="shared" si="178"/>
        <v>0</v>
      </c>
      <c r="N1642" s="893">
        <f t="shared" si="177"/>
        <v>0</v>
      </c>
      <c r="O1642" s="905"/>
      <c r="Q1642" s="317" t="str">
        <f t="shared" si="174"/>
        <v/>
      </c>
      <c r="R1642" s="317" t="str">
        <f t="shared" si="175"/>
        <v/>
      </c>
      <c r="S1642" s="317" t="str">
        <f t="shared" si="176"/>
        <v/>
      </c>
      <c r="T1642" s="317" t="str">
        <f>GLOBAL_DER_FEV_2023!S1642</f>
        <v/>
      </c>
      <c r="W1642" s="582">
        <v>0</v>
      </c>
      <c r="X1642" s="580"/>
      <c r="Y1642" s="583">
        <f>IF(GLOBAL_DER_FEV_2023!W1642=0,0,IF(GLOBAL_DER_FEV_2023!W1642&gt;0,"c","b"))</f>
        <v>0</v>
      </c>
    </row>
    <row r="1643" spans="1:25" ht="15" customHeight="1" x14ac:dyDescent="0.2">
      <c r="A1643" s="317" t="s">
        <v>147</v>
      </c>
      <c r="B1643" s="895" t="s">
        <v>147</v>
      </c>
      <c r="C1643" s="896"/>
      <c r="D1643" s="957" t="s">
        <v>190</v>
      </c>
      <c r="E1643" s="907">
        <f>GLOBAL_DER_FEV_2023!E1643</f>
        <v>308</v>
      </c>
      <c r="F1643" s="908">
        <f>GLOBAL_DER_FEV_2023!F1643</f>
        <v>0.18</v>
      </c>
      <c r="G1643" s="909">
        <f>GLOBAL_DER_FEV_2023!G1643</f>
        <v>44.650799999999997</v>
      </c>
      <c r="H1643" s="901">
        <f>GLOBAL_DER_FEV_2023!H1643</f>
        <v>0</v>
      </c>
      <c r="I1643" s="901">
        <f>GLOBAL_DER_FEV_2023!I1643</f>
        <v>0</v>
      </c>
      <c r="J1643" s="902">
        <f>GLOBAL_DER_FEV_2023!J1643</f>
        <v>0</v>
      </c>
      <c r="K1643" s="958" t="s">
        <v>507</v>
      </c>
      <c r="L1643" s="959"/>
      <c r="M1643" s="1157">
        <f t="shared" si="178"/>
        <v>0</v>
      </c>
      <c r="N1643" s="893">
        <f t="shared" si="177"/>
        <v>0</v>
      </c>
      <c r="O1643" s="905"/>
      <c r="P1643" s="58" t="str">
        <f>IF(N1642&gt;0,"xx",IF(N1642&gt;0,"xy",""))</f>
        <v/>
      </c>
      <c r="Q1643" s="317" t="str">
        <f t="shared" si="174"/>
        <v/>
      </c>
      <c r="R1643" s="317" t="str">
        <f t="shared" si="175"/>
        <v/>
      </c>
      <c r="S1643" s="317" t="str">
        <f t="shared" si="176"/>
        <v/>
      </c>
      <c r="T1643" s="317" t="str">
        <f>GLOBAL_DER_FEV_2023!S1643</f>
        <v/>
      </c>
      <c r="W1643" s="582">
        <v>0</v>
      </c>
      <c r="X1643" s="580"/>
      <c r="Y1643" s="583">
        <f>IF(GLOBAL_DER_FEV_2023!W1643=0,0,IF(GLOBAL_DER_FEV_2023!W1643&gt;0,"c","b"))</f>
        <v>0</v>
      </c>
    </row>
    <row r="1644" spans="1:25" ht="15" customHeight="1" x14ac:dyDescent="0.2">
      <c r="A1644" s="317" t="s">
        <v>147</v>
      </c>
      <c r="B1644" s="895" t="s">
        <v>147</v>
      </c>
      <c r="C1644" s="896"/>
      <c r="D1644" s="957" t="s">
        <v>229</v>
      </c>
      <c r="E1644" s="907">
        <f>GLOBAL_DER_FEV_2023!E1644</f>
        <v>150</v>
      </c>
      <c r="F1644" s="908">
        <f>GLOBAL_DER_FEV_2023!F1644</f>
        <v>1.06</v>
      </c>
      <c r="G1644" s="949">
        <f>GLOBAL_DER_FEV_2023!G1644</f>
        <v>172.97080000000003</v>
      </c>
      <c r="H1644" s="901">
        <f>GLOBAL_DER_FEV_2023!H1644</f>
        <v>0</v>
      </c>
      <c r="I1644" s="901">
        <f>GLOBAL_DER_FEV_2023!I1644</f>
        <v>0</v>
      </c>
      <c r="J1644" s="902">
        <f>GLOBAL_DER_FEV_2023!J1644</f>
        <v>0</v>
      </c>
      <c r="K1644" s="958" t="s">
        <v>507</v>
      </c>
      <c r="L1644" s="959"/>
      <c r="M1644" s="1157">
        <f t="shared" si="178"/>
        <v>0</v>
      </c>
      <c r="N1644" s="893">
        <f t="shared" si="177"/>
        <v>0</v>
      </c>
      <c r="O1644" s="905"/>
      <c r="P1644" s="58" t="str">
        <f>IF(N1642&gt;0,"xx",IF(N1642&gt;0,"xy",""))</f>
        <v/>
      </c>
      <c r="Q1644" s="317" t="str">
        <f t="shared" si="174"/>
        <v/>
      </c>
      <c r="R1644" s="317" t="str">
        <f t="shared" si="175"/>
        <v/>
      </c>
      <c r="S1644" s="317" t="str">
        <f t="shared" si="176"/>
        <v/>
      </c>
      <c r="T1644" s="317" t="str">
        <f>GLOBAL_DER_FEV_2023!S1644</f>
        <v/>
      </c>
      <c r="W1644" s="582">
        <v>0</v>
      </c>
      <c r="X1644" s="580"/>
      <c r="Y1644" s="583">
        <f>IF(GLOBAL_DER_FEV_2023!W1644=0,0,IF(GLOBAL_DER_FEV_2023!W1644&gt;0,"c","b"))</f>
        <v>0</v>
      </c>
    </row>
    <row r="1645" spans="1:25" ht="15" customHeight="1" x14ac:dyDescent="0.2">
      <c r="A1645" s="317" t="s">
        <v>147</v>
      </c>
      <c r="B1645" s="895" t="s">
        <v>147</v>
      </c>
      <c r="C1645" s="896"/>
      <c r="D1645" s="957" t="s">
        <v>233</v>
      </c>
      <c r="E1645" s="907">
        <f>GLOBAL_DER_FEV_2023!E1645</f>
        <v>0.2</v>
      </c>
      <c r="F1645" s="908">
        <f>GLOBAL_DER_FEV_2023!F1645</f>
        <v>1.1100000000000001</v>
      </c>
      <c r="G1645" s="949">
        <f>GLOBAL_DER_FEV_2023!G1645</f>
        <v>3.2123400000000006</v>
      </c>
      <c r="H1645" s="901">
        <f>GLOBAL_DER_FEV_2023!H1645</f>
        <v>0</v>
      </c>
      <c r="I1645" s="901">
        <f>GLOBAL_DER_FEV_2023!I1645</f>
        <v>0</v>
      </c>
      <c r="J1645" s="902">
        <f>GLOBAL_DER_FEV_2023!J1645</f>
        <v>0</v>
      </c>
      <c r="K1645" s="958" t="s">
        <v>507</v>
      </c>
      <c r="L1645" s="959"/>
      <c r="M1645" s="1157">
        <f t="shared" si="178"/>
        <v>0</v>
      </c>
      <c r="N1645" s="893">
        <f t="shared" si="177"/>
        <v>0</v>
      </c>
      <c r="O1645" s="905"/>
      <c r="P1645" s="58" t="str">
        <f>IF(N1642&gt;0,"xx",IF(N1642&gt;0,"xy",""))</f>
        <v/>
      </c>
      <c r="Q1645" s="317" t="str">
        <f t="shared" si="174"/>
        <v/>
      </c>
      <c r="R1645" s="317" t="str">
        <f t="shared" si="175"/>
        <v/>
      </c>
      <c r="S1645" s="317" t="str">
        <f t="shared" si="176"/>
        <v/>
      </c>
      <c r="T1645" s="317" t="str">
        <f>GLOBAL_DER_FEV_2023!S1645</f>
        <v/>
      </c>
      <c r="W1645" s="582">
        <v>0</v>
      </c>
      <c r="X1645" s="580"/>
      <c r="Y1645" s="583">
        <f>IF(GLOBAL_DER_FEV_2023!W1645=0,0,IF(GLOBAL_DER_FEV_2023!W1645&gt;0,"c","b"))</f>
        <v>0</v>
      </c>
    </row>
    <row r="1646" spans="1:25" ht="15" customHeight="1" x14ac:dyDescent="0.2">
      <c r="A1646" s="317">
        <v>606000</v>
      </c>
      <c r="B1646" s="895" t="s">
        <v>1791</v>
      </c>
      <c r="C1646" s="896" t="s">
        <v>184</v>
      </c>
      <c r="D1646" s="906" t="s">
        <v>338</v>
      </c>
      <c r="E1646" s="907">
        <f>GLOBAL_DER_FEV_2023!E1646</f>
        <v>0</v>
      </c>
      <c r="F1646" s="908">
        <f>GLOBAL_DER_FEV_2023!F1646</f>
        <v>0</v>
      </c>
      <c r="G1646" s="912">
        <f>GLOBAL_DER_FEV_2023!G1646</f>
        <v>159.82866000000001</v>
      </c>
      <c r="H1646" s="901">
        <f>GLOBAL_DER_FEV_2023!H1646</f>
        <v>378.9</v>
      </c>
      <c r="I1646" s="901">
        <f>GLOBAL_DER_FEV_2023!I1646</f>
        <v>538.72865999999999</v>
      </c>
      <c r="J1646" s="902">
        <f>GLOBAL_DER_FEV_2023!J1646</f>
        <v>646.85</v>
      </c>
      <c r="K1646" s="903" t="s">
        <v>10</v>
      </c>
      <c r="L1646" s="1137"/>
      <c r="M1646" s="1138">
        <f t="shared" si="178"/>
        <v>0</v>
      </c>
      <c r="N1646" s="893">
        <f t="shared" si="177"/>
        <v>0</v>
      </c>
      <c r="O1646" s="905"/>
      <c r="Q1646" s="317" t="str">
        <f t="shared" si="174"/>
        <v/>
      </c>
      <c r="R1646" s="317" t="str">
        <f t="shared" si="175"/>
        <v/>
      </c>
      <c r="S1646" s="317" t="str">
        <f t="shared" si="176"/>
        <v/>
      </c>
      <c r="T1646" s="317" t="str">
        <f>GLOBAL_DER_FEV_2023!S1646</f>
        <v/>
      </c>
      <c r="W1646" s="582">
        <v>0</v>
      </c>
      <c r="X1646" s="580"/>
      <c r="Y1646" s="583">
        <f>IF(GLOBAL_DER_FEV_2023!W1646=0,0,IF(GLOBAL_DER_FEV_2023!W1646&gt;0,"c","b"))</f>
        <v>0</v>
      </c>
    </row>
    <row r="1647" spans="1:25" ht="15" customHeight="1" x14ac:dyDescent="0.2">
      <c r="A1647" s="317" t="s">
        <v>147</v>
      </c>
      <c r="B1647" s="895" t="s">
        <v>147</v>
      </c>
      <c r="C1647" s="896"/>
      <c r="D1647" s="957" t="s">
        <v>190</v>
      </c>
      <c r="E1647" s="907">
        <f>GLOBAL_DER_FEV_2023!E1647</f>
        <v>308</v>
      </c>
      <c r="F1647" s="908">
        <f>GLOBAL_DER_FEV_2023!F1647</f>
        <v>0.189</v>
      </c>
      <c r="G1647" s="909">
        <f>GLOBAL_DER_FEV_2023!G1647</f>
        <v>46.883340000000004</v>
      </c>
      <c r="H1647" s="901">
        <f>GLOBAL_DER_FEV_2023!H1647</f>
        <v>0</v>
      </c>
      <c r="I1647" s="901">
        <f>GLOBAL_DER_FEV_2023!I1647</f>
        <v>0</v>
      </c>
      <c r="J1647" s="902">
        <f>GLOBAL_DER_FEV_2023!J1647</f>
        <v>0</v>
      </c>
      <c r="K1647" s="958" t="s">
        <v>507</v>
      </c>
      <c r="L1647" s="959"/>
      <c r="M1647" s="1157">
        <f t="shared" si="178"/>
        <v>0</v>
      </c>
      <c r="N1647" s="893">
        <f t="shared" si="177"/>
        <v>0</v>
      </c>
      <c r="O1647" s="905"/>
      <c r="P1647" s="58" t="str">
        <f>IF(N1646&gt;0,"xx",IF(N1646&gt;0,"xy",""))</f>
        <v/>
      </c>
      <c r="Q1647" s="317" t="str">
        <f t="shared" si="174"/>
        <v/>
      </c>
      <c r="R1647" s="317" t="str">
        <f t="shared" si="175"/>
        <v/>
      </c>
      <c r="S1647" s="317" t="str">
        <f t="shared" si="176"/>
        <v/>
      </c>
      <c r="T1647" s="317" t="str">
        <f>GLOBAL_DER_FEV_2023!S1647</f>
        <v/>
      </c>
      <c r="W1647" s="582">
        <v>0</v>
      </c>
      <c r="X1647" s="580"/>
      <c r="Y1647" s="583">
        <f>IF(GLOBAL_DER_FEV_2023!W1647=0,0,IF(GLOBAL_DER_FEV_2023!W1647&gt;0,"c","b"))</f>
        <v>0</v>
      </c>
    </row>
    <row r="1648" spans="1:25" ht="15" customHeight="1" x14ac:dyDescent="0.2">
      <c r="A1648" s="317" t="s">
        <v>147</v>
      </c>
      <c r="B1648" s="895" t="s">
        <v>147</v>
      </c>
      <c r="C1648" s="896"/>
      <c r="D1648" s="957" t="s">
        <v>229</v>
      </c>
      <c r="E1648" s="907">
        <f>GLOBAL_DER_FEV_2023!E1648</f>
        <v>150</v>
      </c>
      <c r="F1648" s="908">
        <f>GLOBAL_DER_FEV_2023!F1648</f>
        <v>0.67200000000000004</v>
      </c>
      <c r="G1648" s="949">
        <f>GLOBAL_DER_FEV_2023!G1648</f>
        <v>109.65696000000001</v>
      </c>
      <c r="H1648" s="901">
        <f>GLOBAL_DER_FEV_2023!H1648</f>
        <v>0</v>
      </c>
      <c r="I1648" s="901">
        <f>GLOBAL_DER_FEV_2023!I1648</f>
        <v>0</v>
      </c>
      <c r="J1648" s="902">
        <f>GLOBAL_DER_FEV_2023!J1648</f>
        <v>0</v>
      </c>
      <c r="K1648" s="958" t="s">
        <v>507</v>
      </c>
      <c r="L1648" s="959"/>
      <c r="M1648" s="1157">
        <f t="shared" si="178"/>
        <v>0</v>
      </c>
      <c r="N1648" s="893">
        <f t="shared" si="177"/>
        <v>0</v>
      </c>
      <c r="O1648" s="905"/>
      <c r="P1648" s="58" t="str">
        <f>IF(N1646&gt;0,"xx",IF(N1646&gt;0,"xy",""))</f>
        <v/>
      </c>
      <c r="Q1648" s="317" t="str">
        <f t="shared" si="174"/>
        <v/>
      </c>
      <c r="R1648" s="317" t="str">
        <f t="shared" si="175"/>
        <v/>
      </c>
      <c r="S1648" s="317" t="str">
        <f t="shared" si="176"/>
        <v/>
      </c>
      <c r="T1648" s="317" t="str">
        <f>GLOBAL_DER_FEV_2023!S1648</f>
        <v/>
      </c>
      <c r="W1648" s="582">
        <v>0</v>
      </c>
      <c r="X1648" s="580"/>
      <c r="Y1648" s="583">
        <f>IF(GLOBAL_DER_FEV_2023!W1648=0,0,IF(GLOBAL_DER_FEV_2023!W1648&gt;0,"c","b"))</f>
        <v>0</v>
      </c>
    </row>
    <row r="1649" spans="1:25" ht="15" customHeight="1" x14ac:dyDescent="0.2">
      <c r="A1649" s="317" t="s">
        <v>147</v>
      </c>
      <c r="B1649" s="895" t="s">
        <v>147</v>
      </c>
      <c r="C1649" s="896"/>
      <c r="D1649" s="957" t="s">
        <v>339</v>
      </c>
      <c r="E1649" s="907">
        <f>GLOBAL_DER_FEV_2023!E1649</f>
        <v>0</v>
      </c>
      <c r="F1649" s="908">
        <f>GLOBAL_DER_FEV_2023!F1649</f>
        <v>1.2270000000000001</v>
      </c>
      <c r="G1649" s="949">
        <f>GLOBAL_DER_FEV_2023!G1649</f>
        <v>3.2883600000000004</v>
      </c>
      <c r="H1649" s="901">
        <f>GLOBAL_DER_FEV_2023!H1649</f>
        <v>0</v>
      </c>
      <c r="I1649" s="901">
        <f>GLOBAL_DER_FEV_2023!I1649</f>
        <v>0</v>
      </c>
      <c r="J1649" s="902">
        <f>GLOBAL_DER_FEV_2023!J1649</f>
        <v>0</v>
      </c>
      <c r="K1649" s="958" t="s">
        <v>507</v>
      </c>
      <c r="L1649" s="959"/>
      <c r="M1649" s="1157">
        <f t="shared" si="178"/>
        <v>0</v>
      </c>
      <c r="N1649" s="893">
        <f t="shared" si="177"/>
        <v>0</v>
      </c>
      <c r="O1649" s="905"/>
      <c r="P1649" s="58" t="str">
        <f>IF(N1646&gt;0,"xx",IF(N1646&gt;0,"xy",""))</f>
        <v/>
      </c>
      <c r="Q1649" s="317" t="str">
        <f t="shared" si="174"/>
        <v/>
      </c>
      <c r="R1649" s="317" t="str">
        <f t="shared" si="175"/>
        <v/>
      </c>
      <c r="S1649" s="317" t="str">
        <f t="shared" si="176"/>
        <v/>
      </c>
      <c r="T1649" s="317" t="str">
        <f>GLOBAL_DER_FEV_2023!S1649</f>
        <v/>
      </c>
      <c r="W1649" s="582">
        <v>0</v>
      </c>
      <c r="X1649" s="580"/>
      <c r="Y1649" s="583">
        <f>IF(GLOBAL_DER_FEV_2023!W1649=0,0,IF(GLOBAL_DER_FEV_2023!W1649&gt;0,"c","b"))</f>
        <v>0</v>
      </c>
    </row>
    <row r="1650" spans="1:25" ht="15" customHeight="1" x14ac:dyDescent="0.2">
      <c r="A1650" s="317">
        <v>605200</v>
      </c>
      <c r="B1650" s="895" t="s">
        <v>1793</v>
      </c>
      <c r="C1650" s="896" t="s">
        <v>184</v>
      </c>
      <c r="D1650" s="906" t="s">
        <v>340</v>
      </c>
      <c r="E1650" s="907">
        <f>GLOBAL_DER_FEV_2023!E1650</f>
        <v>0</v>
      </c>
      <c r="F1650" s="908">
        <f>GLOBAL_DER_FEV_2023!F1650</f>
        <v>0</v>
      </c>
      <c r="G1650" s="912">
        <f>GLOBAL_DER_FEV_2023!G1650</f>
        <v>226.84134000000003</v>
      </c>
      <c r="H1650" s="901">
        <f>GLOBAL_DER_FEV_2023!H1650</f>
        <v>471.16</v>
      </c>
      <c r="I1650" s="901">
        <f>GLOBAL_DER_FEV_2023!I1650</f>
        <v>698.00134000000003</v>
      </c>
      <c r="J1650" s="902">
        <f>GLOBAL_DER_FEV_2023!J1650</f>
        <v>838.09</v>
      </c>
      <c r="K1650" s="903" t="s">
        <v>10</v>
      </c>
      <c r="L1650" s="1137"/>
      <c r="M1650" s="1138">
        <f t="shared" si="178"/>
        <v>0</v>
      </c>
      <c r="N1650" s="893">
        <f t="shared" si="177"/>
        <v>0</v>
      </c>
      <c r="O1650" s="905"/>
      <c r="Q1650" s="317" t="str">
        <f t="shared" si="174"/>
        <v/>
      </c>
      <c r="R1650" s="317" t="str">
        <f t="shared" si="175"/>
        <v/>
      </c>
      <c r="S1650" s="317" t="str">
        <f t="shared" si="176"/>
        <v/>
      </c>
      <c r="T1650" s="317" t="str">
        <f>GLOBAL_DER_FEV_2023!S1650</f>
        <v/>
      </c>
      <c r="W1650" s="582">
        <v>0</v>
      </c>
      <c r="X1650" s="580"/>
      <c r="Y1650" s="583">
        <f>IF(GLOBAL_DER_FEV_2023!W1650=0,0,IF(GLOBAL_DER_FEV_2023!W1650&gt;0,"c","b"))</f>
        <v>0</v>
      </c>
    </row>
    <row r="1651" spans="1:25" ht="15" customHeight="1" x14ac:dyDescent="0.2">
      <c r="A1651" s="317" t="s">
        <v>147</v>
      </c>
      <c r="B1651" s="895" t="s">
        <v>147</v>
      </c>
      <c r="C1651" s="896"/>
      <c r="D1651" s="957" t="s">
        <v>190</v>
      </c>
      <c r="E1651" s="907">
        <f>GLOBAL_DER_FEV_2023!E1651</f>
        <v>308</v>
      </c>
      <c r="F1651" s="908">
        <f>GLOBAL_DER_FEV_2023!F1651</f>
        <v>0.27</v>
      </c>
      <c r="G1651" s="909">
        <f>GLOBAL_DER_FEV_2023!G1651</f>
        <v>66.976200000000006</v>
      </c>
      <c r="H1651" s="901">
        <f>GLOBAL_DER_FEV_2023!H1651</f>
        <v>0</v>
      </c>
      <c r="I1651" s="901">
        <f>GLOBAL_DER_FEV_2023!I1651</f>
        <v>0</v>
      </c>
      <c r="J1651" s="902">
        <f>GLOBAL_DER_FEV_2023!J1651</f>
        <v>0</v>
      </c>
      <c r="K1651" s="958" t="s">
        <v>507</v>
      </c>
      <c r="L1651" s="959"/>
      <c r="M1651" s="1157">
        <f t="shared" si="178"/>
        <v>0</v>
      </c>
      <c r="N1651" s="893">
        <f t="shared" si="177"/>
        <v>0</v>
      </c>
      <c r="O1651" s="905"/>
      <c r="P1651" s="58" t="str">
        <f>IF(N1650&gt;0,"xx",IF(N1650&gt;0,"xy",""))</f>
        <v/>
      </c>
      <c r="Q1651" s="317" t="str">
        <f t="shared" si="174"/>
        <v/>
      </c>
      <c r="R1651" s="317" t="str">
        <f t="shared" si="175"/>
        <v/>
      </c>
      <c r="S1651" s="317" t="str">
        <f t="shared" si="176"/>
        <v/>
      </c>
      <c r="T1651" s="317" t="str">
        <f>GLOBAL_DER_FEV_2023!S1651</f>
        <v/>
      </c>
      <c r="W1651" s="582">
        <v>0</v>
      </c>
      <c r="X1651" s="580"/>
      <c r="Y1651" s="583">
        <f>IF(GLOBAL_DER_FEV_2023!W1651=0,0,IF(GLOBAL_DER_FEV_2023!W1651&gt;0,"c","b"))</f>
        <v>0</v>
      </c>
    </row>
    <row r="1652" spans="1:25" ht="15" customHeight="1" x14ac:dyDescent="0.2">
      <c r="A1652" s="317" t="s">
        <v>147</v>
      </c>
      <c r="B1652" s="895" t="s">
        <v>147</v>
      </c>
      <c r="C1652" s="896"/>
      <c r="D1652" s="957" t="s">
        <v>229</v>
      </c>
      <c r="E1652" s="907">
        <f>GLOBAL_DER_FEV_2023!E1652</f>
        <v>150</v>
      </c>
      <c r="F1652" s="908">
        <f>GLOBAL_DER_FEV_2023!F1652</f>
        <v>0.96</v>
      </c>
      <c r="G1652" s="949">
        <f>GLOBAL_DER_FEV_2023!G1652</f>
        <v>156.65280000000001</v>
      </c>
      <c r="H1652" s="901">
        <f>GLOBAL_DER_FEV_2023!H1652</f>
        <v>0</v>
      </c>
      <c r="I1652" s="901">
        <f>GLOBAL_DER_FEV_2023!I1652</f>
        <v>0</v>
      </c>
      <c r="J1652" s="902">
        <f>GLOBAL_DER_FEV_2023!J1652</f>
        <v>0</v>
      </c>
      <c r="K1652" s="958" t="s">
        <v>507</v>
      </c>
      <c r="L1652" s="959"/>
      <c r="M1652" s="1157">
        <f t="shared" si="178"/>
        <v>0</v>
      </c>
      <c r="N1652" s="893">
        <f t="shared" si="177"/>
        <v>0</v>
      </c>
      <c r="O1652" s="905"/>
      <c r="P1652" s="58" t="str">
        <f>IF(N1650&gt;0,"xx",IF(N1650&gt;0,"xy",""))</f>
        <v/>
      </c>
      <c r="Q1652" s="317" t="str">
        <f t="shared" si="174"/>
        <v/>
      </c>
      <c r="R1652" s="317" t="str">
        <f t="shared" si="175"/>
        <v/>
      </c>
      <c r="S1652" s="317" t="str">
        <f t="shared" si="176"/>
        <v/>
      </c>
      <c r="T1652" s="317" t="str">
        <f>GLOBAL_DER_FEV_2023!S1652</f>
        <v/>
      </c>
      <c r="W1652" s="582">
        <v>0</v>
      </c>
      <c r="X1652" s="580"/>
      <c r="Y1652" s="583">
        <f>IF(GLOBAL_DER_FEV_2023!W1652=0,0,IF(GLOBAL_DER_FEV_2023!W1652&gt;0,"c","b"))</f>
        <v>0</v>
      </c>
    </row>
    <row r="1653" spans="1:25" ht="15" customHeight="1" x14ac:dyDescent="0.2">
      <c r="A1653" s="317" t="s">
        <v>147</v>
      </c>
      <c r="B1653" s="895" t="s">
        <v>147</v>
      </c>
      <c r="C1653" s="896"/>
      <c r="D1653" s="957" t="s">
        <v>233</v>
      </c>
      <c r="E1653" s="907">
        <f>GLOBAL_DER_FEV_2023!E1653</f>
        <v>0.2</v>
      </c>
      <c r="F1653" s="908">
        <f>GLOBAL_DER_FEV_2023!F1653</f>
        <v>1.1100000000000001</v>
      </c>
      <c r="G1653" s="949">
        <f>GLOBAL_DER_FEV_2023!G1653</f>
        <v>3.2123400000000006</v>
      </c>
      <c r="H1653" s="901">
        <f>GLOBAL_DER_FEV_2023!H1653</f>
        <v>0</v>
      </c>
      <c r="I1653" s="901">
        <f>GLOBAL_DER_FEV_2023!I1653</f>
        <v>0</v>
      </c>
      <c r="J1653" s="902">
        <f>GLOBAL_DER_FEV_2023!J1653</f>
        <v>0</v>
      </c>
      <c r="K1653" s="958" t="s">
        <v>507</v>
      </c>
      <c r="L1653" s="959"/>
      <c r="M1653" s="1157">
        <f t="shared" si="178"/>
        <v>0</v>
      </c>
      <c r="N1653" s="893">
        <f t="shared" si="177"/>
        <v>0</v>
      </c>
      <c r="O1653" s="905"/>
      <c r="P1653" s="58" t="str">
        <f>IF(N1650&gt;0,"xx",IF(N1650&gt;0,"xy",""))</f>
        <v/>
      </c>
      <c r="Q1653" s="317" t="str">
        <f t="shared" si="174"/>
        <v/>
      </c>
      <c r="R1653" s="317" t="str">
        <f t="shared" si="175"/>
        <v/>
      </c>
      <c r="S1653" s="317" t="str">
        <f t="shared" si="176"/>
        <v/>
      </c>
      <c r="T1653" s="317" t="str">
        <f>GLOBAL_DER_FEV_2023!S1653</f>
        <v/>
      </c>
      <c r="W1653" s="582">
        <v>0</v>
      </c>
      <c r="X1653" s="580"/>
      <c r="Y1653" s="583">
        <f>IF(GLOBAL_DER_FEV_2023!W1653=0,0,IF(GLOBAL_DER_FEV_2023!W1653&gt;0,"c","b"))</f>
        <v>0</v>
      </c>
    </row>
    <row r="1654" spans="1:25" ht="15" customHeight="1" x14ac:dyDescent="0.2">
      <c r="A1654" s="317">
        <v>605300</v>
      </c>
      <c r="B1654" s="895" t="s">
        <v>1795</v>
      </c>
      <c r="C1654" s="896" t="s">
        <v>184</v>
      </c>
      <c r="D1654" s="906" t="s">
        <v>341</v>
      </c>
      <c r="E1654" s="907">
        <f>GLOBAL_DER_FEV_2023!E1654</f>
        <v>0</v>
      </c>
      <c r="F1654" s="908">
        <f>GLOBAL_DER_FEV_2023!F1654</f>
        <v>0</v>
      </c>
      <c r="G1654" s="912">
        <f>GLOBAL_DER_FEV_2023!G1654</f>
        <v>235.36092000000002</v>
      </c>
      <c r="H1654" s="901">
        <f>GLOBAL_DER_FEV_2023!H1654</f>
        <v>503.25</v>
      </c>
      <c r="I1654" s="901">
        <f>GLOBAL_DER_FEV_2023!I1654</f>
        <v>738.61092000000008</v>
      </c>
      <c r="J1654" s="902">
        <f>GLOBAL_DER_FEV_2023!J1654</f>
        <v>886.85</v>
      </c>
      <c r="K1654" s="903" t="s">
        <v>10</v>
      </c>
      <c r="L1654" s="1137"/>
      <c r="M1654" s="1138">
        <f t="shared" si="178"/>
        <v>0</v>
      </c>
      <c r="N1654" s="893">
        <f t="shared" si="177"/>
        <v>0</v>
      </c>
      <c r="O1654" s="905"/>
      <c r="Q1654" s="317" t="str">
        <f t="shared" si="174"/>
        <v/>
      </c>
      <c r="R1654" s="317" t="str">
        <f t="shared" si="175"/>
        <v/>
      </c>
      <c r="S1654" s="317" t="str">
        <f t="shared" si="176"/>
        <v/>
      </c>
      <c r="T1654" s="317" t="str">
        <f>GLOBAL_DER_FEV_2023!S1654</f>
        <v/>
      </c>
      <c r="W1654" s="582">
        <v>0</v>
      </c>
      <c r="X1654" s="580"/>
      <c r="Y1654" s="583">
        <f>IF(GLOBAL_DER_FEV_2023!W1654=0,0,IF(GLOBAL_DER_FEV_2023!W1654&gt;0,"c","b"))</f>
        <v>0</v>
      </c>
    </row>
    <row r="1655" spans="1:25" ht="15" customHeight="1" x14ac:dyDescent="0.2">
      <c r="A1655" s="317" t="s">
        <v>147</v>
      </c>
      <c r="B1655" s="895" t="s">
        <v>147</v>
      </c>
      <c r="C1655" s="896"/>
      <c r="D1655" s="957" t="s">
        <v>190</v>
      </c>
      <c r="E1655" s="907">
        <f>GLOBAL_DER_FEV_2023!E1655</f>
        <v>308</v>
      </c>
      <c r="F1655" s="908">
        <f>GLOBAL_DER_FEV_2023!F1655</f>
        <v>0.33</v>
      </c>
      <c r="G1655" s="909">
        <f>GLOBAL_DER_FEV_2023!G1655</f>
        <v>81.859800000000007</v>
      </c>
      <c r="H1655" s="901">
        <f>GLOBAL_DER_FEV_2023!H1655</f>
        <v>0</v>
      </c>
      <c r="I1655" s="901">
        <f>GLOBAL_DER_FEV_2023!I1655</f>
        <v>0</v>
      </c>
      <c r="J1655" s="902">
        <f>GLOBAL_DER_FEV_2023!J1655</f>
        <v>0</v>
      </c>
      <c r="K1655" s="958" t="s">
        <v>507</v>
      </c>
      <c r="L1655" s="959"/>
      <c r="M1655" s="1157">
        <f t="shared" si="178"/>
        <v>0</v>
      </c>
      <c r="N1655" s="893">
        <f t="shared" si="177"/>
        <v>0</v>
      </c>
      <c r="O1655" s="905"/>
      <c r="P1655" s="58" t="str">
        <f>IF(N1654&gt;0,"xx",IF(N1654&gt;0,"xy",""))</f>
        <v/>
      </c>
      <c r="Q1655" s="317" t="str">
        <f t="shared" si="174"/>
        <v/>
      </c>
      <c r="R1655" s="317" t="str">
        <f t="shared" si="175"/>
        <v/>
      </c>
      <c r="S1655" s="317" t="str">
        <f t="shared" si="176"/>
        <v/>
      </c>
      <c r="T1655" s="317" t="str">
        <f>GLOBAL_DER_FEV_2023!S1655</f>
        <v/>
      </c>
      <c r="W1655" s="582">
        <v>0</v>
      </c>
      <c r="X1655" s="580"/>
      <c r="Y1655" s="583">
        <f>IF(GLOBAL_DER_FEV_2023!W1655=0,0,IF(GLOBAL_DER_FEV_2023!W1655&gt;0,"c","b"))</f>
        <v>0</v>
      </c>
    </row>
    <row r="1656" spans="1:25" ht="15" customHeight="1" x14ac:dyDescent="0.2">
      <c r="A1656" s="317" t="s">
        <v>147</v>
      </c>
      <c r="B1656" s="895" t="s">
        <v>147</v>
      </c>
      <c r="C1656" s="896"/>
      <c r="D1656" s="957" t="s">
        <v>229</v>
      </c>
      <c r="E1656" s="907">
        <f>GLOBAL_DER_FEV_2023!E1656</f>
        <v>150</v>
      </c>
      <c r="F1656" s="908">
        <f>GLOBAL_DER_FEV_2023!F1656</f>
        <v>0.92100000000000004</v>
      </c>
      <c r="G1656" s="949">
        <f>GLOBAL_DER_FEV_2023!G1656</f>
        <v>150.28878</v>
      </c>
      <c r="H1656" s="901">
        <f>GLOBAL_DER_FEV_2023!H1656</f>
        <v>0</v>
      </c>
      <c r="I1656" s="901">
        <f>GLOBAL_DER_FEV_2023!I1656</f>
        <v>0</v>
      </c>
      <c r="J1656" s="902">
        <f>GLOBAL_DER_FEV_2023!J1656</f>
        <v>0</v>
      </c>
      <c r="K1656" s="958" t="s">
        <v>507</v>
      </c>
      <c r="L1656" s="959"/>
      <c r="M1656" s="1157">
        <f t="shared" si="178"/>
        <v>0</v>
      </c>
      <c r="N1656" s="893">
        <f t="shared" si="177"/>
        <v>0</v>
      </c>
      <c r="O1656" s="905"/>
      <c r="P1656" s="58" t="str">
        <f>IF(N1654&gt;0,"xx",IF(N1654&gt;0,"xy",""))</f>
        <v/>
      </c>
      <c r="Q1656" s="317" t="str">
        <f t="shared" si="174"/>
        <v/>
      </c>
      <c r="R1656" s="317" t="str">
        <f t="shared" si="175"/>
        <v/>
      </c>
      <c r="S1656" s="317" t="str">
        <f t="shared" si="176"/>
        <v/>
      </c>
      <c r="T1656" s="317" t="str">
        <f>GLOBAL_DER_FEV_2023!S1656</f>
        <v/>
      </c>
      <c r="W1656" s="582">
        <v>0</v>
      </c>
      <c r="X1656" s="580"/>
      <c r="Y1656" s="583">
        <f>IF(GLOBAL_DER_FEV_2023!W1656=0,0,IF(GLOBAL_DER_FEV_2023!W1656&gt;0,"c","b"))</f>
        <v>0</v>
      </c>
    </row>
    <row r="1657" spans="1:25" ht="15" customHeight="1" x14ac:dyDescent="0.2">
      <c r="A1657" s="317" t="s">
        <v>147</v>
      </c>
      <c r="B1657" s="895" t="s">
        <v>147</v>
      </c>
      <c r="C1657" s="896"/>
      <c r="D1657" s="957" t="s">
        <v>233</v>
      </c>
      <c r="E1657" s="907">
        <f>GLOBAL_DER_FEV_2023!E1657</f>
        <v>0.2</v>
      </c>
      <c r="F1657" s="908">
        <f>GLOBAL_DER_FEV_2023!F1657</f>
        <v>1.1100000000000001</v>
      </c>
      <c r="G1657" s="949">
        <f>GLOBAL_DER_FEV_2023!G1657</f>
        <v>3.2123400000000006</v>
      </c>
      <c r="H1657" s="901">
        <f>GLOBAL_DER_FEV_2023!H1657</f>
        <v>0</v>
      </c>
      <c r="I1657" s="901">
        <f>GLOBAL_DER_FEV_2023!I1657</f>
        <v>0</v>
      </c>
      <c r="J1657" s="902">
        <f>GLOBAL_DER_FEV_2023!J1657</f>
        <v>0</v>
      </c>
      <c r="K1657" s="958" t="s">
        <v>507</v>
      </c>
      <c r="L1657" s="959"/>
      <c r="M1657" s="1157">
        <f t="shared" si="178"/>
        <v>0</v>
      </c>
      <c r="N1657" s="893">
        <f t="shared" si="177"/>
        <v>0</v>
      </c>
      <c r="O1657" s="905"/>
      <c r="P1657" s="58" t="str">
        <f>IF(N1654&gt;0,"xx",IF(N1654&gt;0,"xy",""))</f>
        <v/>
      </c>
      <c r="Q1657" s="317" t="str">
        <f t="shared" si="174"/>
        <v/>
      </c>
      <c r="R1657" s="317" t="str">
        <f t="shared" si="175"/>
        <v/>
      </c>
      <c r="S1657" s="317" t="str">
        <f t="shared" si="176"/>
        <v/>
      </c>
      <c r="T1657" s="317" t="str">
        <f>GLOBAL_DER_FEV_2023!S1657</f>
        <v/>
      </c>
      <c r="W1657" s="582">
        <v>0</v>
      </c>
      <c r="X1657" s="580"/>
      <c r="Y1657" s="583">
        <f>IF(GLOBAL_DER_FEV_2023!W1657=0,0,IF(GLOBAL_DER_FEV_2023!W1657&gt;0,"c","b"))</f>
        <v>0</v>
      </c>
    </row>
    <row r="1658" spans="1:25" ht="15" customHeight="1" x14ac:dyDescent="0.2">
      <c r="A1658" s="317">
        <v>605400</v>
      </c>
      <c r="B1658" s="895" t="s">
        <v>1797</v>
      </c>
      <c r="C1658" s="896" t="s">
        <v>184</v>
      </c>
      <c r="D1658" s="906" t="s">
        <v>342</v>
      </c>
      <c r="E1658" s="907">
        <f>GLOBAL_DER_FEV_2023!E1658</f>
        <v>0</v>
      </c>
      <c r="F1658" s="908">
        <f>GLOBAL_DER_FEV_2023!F1658</f>
        <v>0</v>
      </c>
      <c r="G1658" s="912">
        <f>GLOBAL_DER_FEV_2023!G1658</f>
        <v>254.98858000000001</v>
      </c>
      <c r="H1658" s="901">
        <f>GLOBAL_DER_FEV_2023!H1658</f>
        <v>510.89</v>
      </c>
      <c r="I1658" s="901">
        <f>GLOBAL_DER_FEV_2023!I1658</f>
        <v>765.87858000000006</v>
      </c>
      <c r="J1658" s="902">
        <f>GLOBAL_DER_FEV_2023!J1658</f>
        <v>919.59</v>
      </c>
      <c r="K1658" s="903" t="s">
        <v>10</v>
      </c>
      <c r="L1658" s="1137"/>
      <c r="M1658" s="1138">
        <f t="shared" si="178"/>
        <v>0</v>
      </c>
      <c r="N1658" s="893">
        <f t="shared" si="177"/>
        <v>0</v>
      </c>
      <c r="O1658" s="905"/>
      <c r="Q1658" s="317" t="str">
        <f t="shared" si="174"/>
        <v/>
      </c>
      <c r="R1658" s="317" t="str">
        <f t="shared" si="175"/>
        <v/>
      </c>
      <c r="S1658" s="317" t="str">
        <f t="shared" si="176"/>
        <v/>
      </c>
      <c r="T1658" s="317" t="str">
        <f>GLOBAL_DER_FEV_2023!S1658</f>
        <v/>
      </c>
      <c r="W1658" s="582">
        <v>0</v>
      </c>
      <c r="X1658" s="580"/>
      <c r="Y1658" s="583">
        <f>IF(GLOBAL_DER_FEV_2023!W1658=0,0,IF(GLOBAL_DER_FEV_2023!W1658&gt;0,"c","b"))</f>
        <v>0</v>
      </c>
    </row>
    <row r="1659" spans="1:25" ht="15" customHeight="1" x14ac:dyDescent="0.2">
      <c r="A1659" s="317" t="s">
        <v>147</v>
      </c>
      <c r="B1659" s="895" t="s">
        <v>147</v>
      </c>
      <c r="C1659" s="896"/>
      <c r="D1659" s="957" t="s">
        <v>190</v>
      </c>
      <c r="E1659" s="907">
        <f>GLOBAL_DER_FEV_2023!E1659</f>
        <v>308</v>
      </c>
      <c r="F1659" s="908">
        <f>GLOBAL_DER_FEV_2023!F1659</f>
        <v>0.34399999999999997</v>
      </c>
      <c r="G1659" s="909">
        <f>GLOBAL_DER_FEV_2023!G1659</f>
        <v>85.332639999999998</v>
      </c>
      <c r="H1659" s="901">
        <f>GLOBAL_DER_FEV_2023!H1659</f>
        <v>0</v>
      </c>
      <c r="I1659" s="901">
        <f>GLOBAL_DER_FEV_2023!I1659</f>
        <v>0</v>
      </c>
      <c r="J1659" s="902">
        <f>GLOBAL_DER_FEV_2023!J1659</f>
        <v>0</v>
      </c>
      <c r="K1659" s="958" t="s">
        <v>507</v>
      </c>
      <c r="L1659" s="959"/>
      <c r="M1659" s="1157">
        <f t="shared" si="178"/>
        <v>0</v>
      </c>
      <c r="N1659" s="893">
        <f t="shared" si="177"/>
        <v>0</v>
      </c>
      <c r="O1659" s="905"/>
      <c r="P1659" s="58" t="str">
        <f>IF(N1658&gt;0,"xx",IF(N1658&gt;0,"xy",""))</f>
        <v/>
      </c>
      <c r="Q1659" s="317" t="str">
        <f t="shared" si="174"/>
        <v/>
      </c>
      <c r="R1659" s="317" t="str">
        <f t="shared" si="175"/>
        <v/>
      </c>
      <c r="S1659" s="317" t="str">
        <f t="shared" si="176"/>
        <v/>
      </c>
      <c r="T1659" s="317" t="str">
        <f>GLOBAL_DER_FEV_2023!S1659</f>
        <v/>
      </c>
      <c r="W1659" s="582">
        <v>0</v>
      </c>
      <c r="X1659" s="580"/>
      <c r="Y1659" s="583">
        <f>IF(GLOBAL_DER_FEV_2023!W1659=0,0,IF(GLOBAL_DER_FEV_2023!W1659&gt;0,"c","b"))</f>
        <v>0</v>
      </c>
    </row>
    <row r="1660" spans="1:25" ht="15" customHeight="1" x14ac:dyDescent="0.2">
      <c r="A1660" s="317" t="s">
        <v>147</v>
      </c>
      <c r="B1660" s="895" t="s">
        <v>147</v>
      </c>
      <c r="C1660" s="896"/>
      <c r="D1660" s="957" t="s">
        <v>229</v>
      </c>
      <c r="E1660" s="907">
        <f>GLOBAL_DER_FEV_2023!E1660</f>
        <v>150</v>
      </c>
      <c r="F1660" s="908">
        <f>GLOBAL_DER_FEV_2023!F1660</f>
        <v>1.02</v>
      </c>
      <c r="G1660" s="949">
        <f>GLOBAL_DER_FEV_2023!G1660</f>
        <v>166.4436</v>
      </c>
      <c r="H1660" s="901">
        <f>GLOBAL_DER_FEV_2023!H1660</f>
        <v>0</v>
      </c>
      <c r="I1660" s="901">
        <f>GLOBAL_DER_FEV_2023!I1660</f>
        <v>0</v>
      </c>
      <c r="J1660" s="902">
        <f>GLOBAL_DER_FEV_2023!J1660</f>
        <v>0</v>
      </c>
      <c r="K1660" s="958" t="s">
        <v>507</v>
      </c>
      <c r="L1660" s="959"/>
      <c r="M1660" s="1157">
        <f t="shared" si="178"/>
        <v>0</v>
      </c>
      <c r="N1660" s="893">
        <f t="shared" si="177"/>
        <v>0</v>
      </c>
      <c r="O1660" s="905"/>
      <c r="P1660" s="58" t="str">
        <f>IF(N1658&gt;0,"xx",IF(N1658&gt;0,"xy",""))</f>
        <v/>
      </c>
      <c r="Q1660" s="317" t="str">
        <f t="shared" si="174"/>
        <v/>
      </c>
      <c r="R1660" s="317" t="str">
        <f t="shared" si="175"/>
        <v/>
      </c>
      <c r="S1660" s="317" t="str">
        <f t="shared" si="176"/>
        <v/>
      </c>
      <c r="T1660" s="317" t="str">
        <f>GLOBAL_DER_FEV_2023!S1660</f>
        <v/>
      </c>
      <c r="W1660" s="582">
        <v>0</v>
      </c>
      <c r="X1660" s="580"/>
      <c r="Y1660" s="583">
        <f>IF(GLOBAL_DER_FEV_2023!W1660=0,0,IF(GLOBAL_DER_FEV_2023!W1660&gt;0,"c","b"))</f>
        <v>0</v>
      </c>
    </row>
    <row r="1661" spans="1:25" ht="15" customHeight="1" x14ac:dyDescent="0.2">
      <c r="A1661" s="317" t="s">
        <v>147</v>
      </c>
      <c r="B1661" s="895" t="s">
        <v>147</v>
      </c>
      <c r="C1661" s="896"/>
      <c r="D1661" s="957" t="s">
        <v>233</v>
      </c>
      <c r="E1661" s="907">
        <f>GLOBAL_DER_FEV_2023!E1661</f>
        <v>0.2</v>
      </c>
      <c r="F1661" s="908">
        <f>GLOBAL_DER_FEV_2023!F1661</f>
        <v>1.1100000000000001</v>
      </c>
      <c r="G1661" s="949">
        <f>GLOBAL_DER_FEV_2023!G1661</f>
        <v>3.2123400000000006</v>
      </c>
      <c r="H1661" s="901">
        <f>GLOBAL_DER_FEV_2023!H1661</f>
        <v>0</v>
      </c>
      <c r="I1661" s="901">
        <f>GLOBAL_DER_FEV_2023!I1661</f>
        <v>0</v>
      </c>
      <c r="J1661" s="902">
        <f>GLOBAL_DER_FEV_2023!J1661</f>
        <v>0</v>
      </c>
      <c r="K1661" s="958" t="s">
        <v>507</v>
      </c>
      <c r="L1661" s="959"/>
      <c r="M1661" s="1157">
        <f t="shared" si="178"/>
        <v>0</v>
      </c>
      <c r="N1661" s="893">
        <f t="shared" si="177"/>
        <v>0</v>
      </c>
      <c r="O1661" s="905"/>
      <c r="P1661" s="58" t="str">
        <f>IF(N1658&gt;0,"xx",IF(N1658&gt;0,"xy",""))</f>
        <v/>
      </c>
      <c r="Q1661" s="317" t="str">
        <f t="shared" si="174"/>
        <v/>
      </c>
      <c r="R1661" s="317" t="str">
        <f t="shared" si="175"/>
        <v/>
      </c>
      <c r="S1661" s="317" t="str">
        <f t="shared" si="176"/>
        <v/>
      </c>
      <c r="T1661" s="317" t="str">
        <f>GLOBAL_DER_FEV_2023!S1661</f>
        <v/>
      </c>
      <c r="W1661" s="582">
        <v>0</v>
      </c>
      <c r="X1661" s="580"/>
      <c r="Y1661" s="583">
        <f>IF(GLOBAL_DER_FEV_2023!W1661=0,0,IF(GLOBAL_DER_FEV_2023!W1661&gt;0,"c","b"))</f>
        <v>0</v>
      </c>
    </row>
    <row r="1662" spans="1:25" ht="15" customHeight="1" x14ac:dyDescent="0.2">
      <c r="A1662" s="317">
        <v>831000</v>
      </c>
      <c r="B1662" s="895" t="s">
        <v>1699</v>
      </c>
      <c r="C1662" s="896" t="s">
        <v>184</v>
      </c>
      <c r="D1662" s="906" t="s">
        <v>265</v>
      </c>
      <c r="E1662" s="907">
        <f>GLOBAL_DER_FEV_2023!E1662</f>
        <v>0</v>
      </c>
      <c r="F1662" s="908">
        <f>GLOBAL_DER_FEV_2023!F1662</f>
        <v>0</v>
      </c>
      <c r="G1662" s="912">
        <f>GLOBAL_DER_FEV_2023!G1662</f>
        <v>0</v>
      </c>
      <c r="H1662" s="901">
        <f>GLOBAL_DER_FEV_2023!H1662</f>
        <v>41.45</v>
      </c>
      <c r="I1662" s="901">
        <f>GLOBAL_DER_FEV_2023!I1662</f>
        <v>41.45</v>
      </c>
      <c r="J1662" s="902">
        <f>GLOBAL_DER_FEV_2023!J1662</f>
        <v>49.77</v>
      </c>
      <c r="K1662" s="903" t="s">
        <v>13</v>
      </c>
      <c r="L1662" s="1137"/>
      <c r="M1662" s="1138">
        <f t="shared" si="178"/>
        <v>0</v>
      </c>
      <c r="N1662" s="893">
        <f t="shared" si="177"/>
        <v>0</v>
      </c>
      <c r="O1662" s="905"/>
      <c r="Q1662" s="317" t="str">
        <f t="shared" si="174"/>
        <v/>
      </c>
      <c r="R1662" s="317" t="str">
        <f t="shared" si="175"/>
        <v/>
      </c>
      <c r="S1662" s="317" t="str">
        <f t="shared" si="176"/>
        <v/>
      </c>
      <c r="T1662" s="317" t="str">
        <f>GLOBAL_DER_FEV_2023!S1662</f>
        <v/>
      </c>
      <c r="W1662" s="582">
        <v>0</v>
      </c>
      <c r="X1662" s="580"/>
      <c r="Y1662" s="583">
        <f>IF(GLOBAL_DER_FEV_2023!W1662=0,0,IF(GLOBAL_DER_FEV_2023!W1662&gt;0,"c","b"))</f>
        <v>0</v>
      </c>
    </row>
    <row r="1663" spans="1:25" ht="15" customHeight="1" x14ac:dyDescent="0.2">
      <c r="A1663" s="317">
        <v>830000</v>
      </c>
      <c r="B1663" s="895" t="s">
        <v>1700</v>
      </c>
      <c r="C1663" s="896" t="s">
        <v>184</v>
      </c>
      <c r="D1663" s="906" t="s">
        <v>266</v>
      </c>
      <c r="E1663" s="907">
        <f>GLOBAL_DER_FEV_2023!E1663</f>
        <v>0</v>
      </c>
      <c r="F1663" s="908">
        <f>GLOBAL_DER_FEV_2023!F1663</f>
        <v>0</v>
      </c>
      <c r="G1663" s="912">
        <f>GLOBAL_DER_FEV_2023!G1663</f>
        <v>0</v>
      </c>
      <c r="H1663" s="901">
        <f>GLOBAL_DER_FEV_2023!H1663</f>
        <v>36.44</v>
      </c>
      <c r="I1663" s="901">
        <f>GLOBAL_DER_FEV_2023!I1663</f>
        <v>36.44</v>
      </c>
      <c r="J1663" s="902">
        <f>GLOBAL_DER_FEV_2023!J1663</f>
        <v>43.75</v>
      </c>
      <c r="K1663" s="903" t="s">
        <v>13</v>
      </c>
      <c r="L1663" s="1137"/>
      <c r="M1663" s="1138">
        <f t="shared" si="178"/>
        <v>0</v>
      </c>
      <c r="N1663" s="893">
        <f t="shared" si="177"/>
        <v>0</v>
      </c>
      <c r="O1663" s="905"/>
      <c r="Q1663" s="317" t="str">
        <f t="shared" si="174"/>
        <v/>
      </c>
      <c r="R1663" s="317" t="str">
        <f t="shared" si="175"/>
        <v/>
      </c>
      <c r="S1663" s="317" t="str">
        <f t="shared" si="176"/>
        <v/>
      </c>
      <c r="T1663" s="317" t="str">
        <f>GLOBAL_DER_FEV_2023!S1663</f>
        <v/>
      </c>
      <c r="W1663" s="582">
        <v>0</v>
      </c>
      <c r="X1663" s="580"/>
      <c r="Y1663" s="583">
        <f>IF(GLOBAL_DER_FEV_2023!W1663=0,0,IF(GLOBAL_DER_FEV_2023!W1663&gt;0,"c","b"))</f>
        <v>0</v>
      </c>
    </row>
    <row r="1664" spans="1:25" ht="15" customHeight="1" x14ac:dyDescent="0.2">
      <c r="A1664" s="317">
        <v>823000</v>
      </c>
      <c r="B1664" s="895" t="s">
        <v>1789</v>
      </c>
      <c r="C1664" s="896" t="s">
        <v>184</v>
      </c>
      <c r="D1664" s="906" t="s">
        <v>267</v>
      </c>
      <c r="E1664" s="907">
        <f>GLOBAL_DER_FEV_2023!E1664</f>
        <v>0</v>
      </c>
      <c r="F1664" s="908">
        <f>GLOBAL_DER_FEV_2023!F1664</f>
        <v>0</v>
      </c>
      <c r="G1664" s="912">
        <f>GLOBAL_DER_FEV_2023!G1664</f>
        <v>0</v>
      </c>
      <c r="H1664" s="901">
        <f>GLOBAL_DER_FEV_2023!H1664</f>
        <v>490.71</v>
      </c>
      <c r="I1664" s="901">
        <f>GLOBAL_DER_FEV_2023!I1664</f>
        <v>490.71</v>
      </c>
      <c r="J1664" s="902">
        <f>GLOBAL_DER_FEV_2023!J1664</f>
        <v>589.20000000000005</v>
      </c>
      <c r="K1664" s="903" t="s">
        <v>13</v>
      </c>
      <c r="L1664" s="1137"/>
      <c r="M1664" s="1138">
        <f t="shared" si="178"/>
        <v>0</v>
      </c>
      <c r="N1664" s="893">
        <f t="shared" si="177"/>
        <v>0</v>
      </c>
      <c r="O1664" s="905"/>
      <c r="Q1664" s="317" t="str">
        <f t="shared" si="174"/>
        <v/>
      </c>
      <c r="R1664" s="317" t="str">
        <f t="shared" si="175"/>
        <v/>
      </c>
      <c r="S1664" s="317" t="str">
        <f t="shared" si="176"/>
        <v/>
      </c>
      <c r="T1664" s="317" t="str">
        <f>GLOBAL_DER_FEV_2023!S1664</f>
        <v/>
      </c>
      <c r="W1664" s="582">
        <v>0</v>
      </c>
      <c r="X1664" s="580"/>
      <c r="Y1664" s="583">
        <f>IF(GLOBAL_DER_FEV_2023!W1664=0,0,IF(GLOBAL_DER_FEV_2023!W1664&gt;0,"c","b"))</f>
        <v>0</v>
      </c>
    </row>
    <row r="1665" spans="1:25" ht="15" customHeight="1" x14ac:dyDescent="0.2">
      <c r="A1665" s="317">
        <v>97623</v>
      </c>
      <c r="B1665" s="895" t="s">
        <v>1723</v>
      </c>
      <c r="C1665" s="896" t="s">
        <v>596</v>
      </c>
      <c r="D1665" s="897" t="s">
        <v>1724</v>
      </c>
      <c r="E1665" s="898">
        <f>GLOBAL_DER_FEV_2023!E1665</f>
        <v>0</v>
      </c>
      <c r="F1665" s="899">
        <f>GLOBAL_DER_FEV_2023!F1665</f>
        <v>0</v>
      </c>
      <c r="G1665" s="900">
        <f>GLOBAL_DER_FEV_2023!G1665</f>
        <v>0</v>
      </c>
      <c r="H1665" s="901">
        <f>GLOBAL_DER_FEV_2023!H1665</f>
        <v>201.31</v>
      </c>
      <c r="I1665" s="901">
        <f>GLOBAL_DER_FEV_2023!I1665</f>
        <v>201.31</v>
      </c>
      <c r="J1665" s="902">
        <f>GLOBAL_DER_FEV_2023!J1665</f>
        <v>241.71</v>
      </c>
      <c r="K1665" s="903" t="s">
        <v>10</v>
      </c>
      <c r="L1665" s="1139"/>
      <c r="M1665" s="1140">
        <f t="shared" si="178"/>
        <v>0</v>
      </c>
      <c r="N1665" s="893">
        <f t="shared" si="177"/>
        <v>0</v>
      </c>
      <c r="O1665" s="905"/>
      <c r="Q1665" s="317" t="str">
        <f t="shared" si="174"/>
        <v/>
      </c>
      <c r="R1665" s="317" t="str">
        <f t="shared" si="175"/>
        <v/>
      </c>
      <c r="S1665" s="317" t="str">
        <f t="shared" si="176"/>
        <v/>
      </c>
      <c r="T1665" s="317" t="str">
        <f>GLOBAL_DER_FEV_2023!S1665</f>
        <v/>
      </c>
      <c r="W1665" s="582">
        <v>0</v>
      </c>
      <c r="X1665" s="580"/>
      <c r="Y1665" s="583">
        <f>IF(GLOBAL_DER_FEV_2023!W1665=0,0,IF(GLOBAL_DER_FEV_2023!W1665&gt;0,"c","b"))</f>
        <v>0</v>
      </c>
    </row>
    <row r="1666" spans="1:25" ht="15" customHeight="1" x14ac:dyDescent="0.2">
      <c r="A1666" s="317">
        <v>97624</v>
      </c>
      <c r="B1666" s="895" t="s">
        <v>1720</v>
      </c>
      <c r="C1666" s="896" t="s">
        <v>596</v>
      </c>
      <c r="D1666" s="897" t="s">
        <v>1721</v>
      </c>
      <c r="E1666" s="898">
        <f>GLOBAL_DER_FEV_2023!E1666</f>
        <v>0</v>
      </c>
      <c r="F1666" s="899">
        <f>GLOBAL_DER_FEV_2023!F1666</f>
        <v>0</v>
      </c>
      <c r="G1666" s="900">
        <f>GLOBAL_DER_FEV_2023!G1666</f>
        <v>0</v>
      </c>
      <c r="H1666" s="901">
        <f>GLOBAL_DER_FEV_2023!H1666</f>
        <v>123.54</v>
      </c>
      <c r="I1666" s="901">
        <f>GLOBAL_DER_FEV_2023!I1666</f>
        <v>123.54</v>
      </c>
      <c r="J1666" s="902">
        <f>GLOBAL_DER_FEV_2023!J1666</f>
        <v>148.33000000000001</v>
      </c>
      <c r="K1666" s="903" t="s">
        <v>10</v>
      </c>
      <c r="L1666" s="1139"/>
      <c r="M1666" s="1140">
        <f t="shared" si="178"/>
        <v>0</v>
      </c>
      <c r="N1666" s="893">
        <f t="shared" si="177"/>
        <v>0</v>
      </c>
      <c r="O1666" s="905"/>
      <c r="Q1666" s="317" t="str">
        <f t="shared" si="174"/>
        <v/>
      </c>
      <c r="R1666" s="317" t="str">
        <f t="shared" si="175"/>
        <v/>
      </c>
      <c r="S1666" s="317" t="str">
        <f t="shared" si="176"/>
        <v/>
      </c>
      <c r="T1666" s="317" t="str">
        <f>GLOBAL_DER_FEV_2023!S1666</f>
        <v/>
      </c>
      <c r="W1666" s="582">
        <v>0</v>
      </c>
      <c r="X1666" s="580"/>
      <c r="Y1666" s="583">
        <f>IF(GLOBAL_DER_FEV_2023!W1666=0,0,IF(GLOBAL_DER_FEV_2023!W1666&gt;0,"c","b"))</f>
        <v>0</v>
      </c>
    </row>
    <row r="1667" spans="1:25" ht="15" customHeight="1" x14ac:dyDescent="0.2">
      <c r="A1667" s="317">
        <v>606500</v>
      </c>
      <c r="B1667" s="895" t="s">
        <v>1726</v>
      </c>
      <c r="C1667" s="896" t="s">
        <v>184</v>
      </c>
      <c r="D1667" s="897" t="s">
        <v>466</v>
      </c>
      <c r="E1667" s="898">
        <f>GLOBAL_DER_FEV_2023!E1667</f>
        <v>0</v>
      </c>
      <c r="F1667" s="899">
        <f>GLOBAL_DER_FEV_2023!F1667</f>
        <v>0</v>
      </c>
      <c r="G1667" s="900">
        <f>GLOBAL_DER_FEV_2023!G1667</f>
        <v>0</v>
      </c>
      <c r="H1667" s="901">
        <f>GLOBAL_DER_FEV_2023!H1667</f>
        <v>182.46</v>
      </c>
      <c r="I1667" s="901">
        <f>GLOBAL_DER_FEV_2023!I1667</f>
        <v>182.46</v>
      </c>
      <c r="J1667" s="902">
        <f>GLOBAL_DER_FEV_2023!J1667</f>
        <v>219.08</v>
      </c>
      <c r="K1667" s="903" t="s">
        <v>10</v>
      </c>
      <c r="L1667" s="1139"/>
      <c r="M1667" s="1140">
        <f t="shared" si="178"/>
        <v>0</v>
      </c>
      <c r="N1667" s="893">
        <f t="shared" si="177"/>
        <v>0</v>
      </c>
      <c r="O1667" s="905"/>
      <c r="Q1667" s="317" t="str">
        <f t="shared" si="174"/>
        <v/>
      </c>
      <c r="R1667" s="317" t="str">
        <f t="shared" si="175"/>
        <v/>
      </c>
      <c r="S1667" s="317" t="str">
        <f t="shared" si="176"/>
        <v/>
      </c>
      <c r="T1667" s="317" t="str">
        <f>GLOBAL_DER_FEV_2023!S1667</f>
        <v/>
      </c>
      <c r="W1667" s="582">
        <v>0</v>
      </c>
      <c r="X1667" s="580"/>
      <c r="Y1667" s="583">
        <f>IF(GLOBAL_DER_FEV_2023!W1667=0,0,IF(GLOBAL_DER_FEV_2023!W1667&gt;0,"c","b"))</f>
        <v>0</v>
      </c>
    </row>
    <row r="1668" spans="1:25" ht="15" customHeight="1" x14ac:dyDescent="0.2">
      <c r="A1668" s="317">
        <v>841000</v>
      </c>
      <c r="B1668" s="895" t="s">
        <v>1716</v>
      </c>
      <c r="C1668" s="896" t="s">
        <v>184</v>
      </c>
      <c r="D1668" s="906" t="s">
        <v>445</v>
      </c>
      <c r="E1668" s="907">
        <f>GLOBAL_DER_FEV_2023!E1668</f>
        <v>0</v>
      </c>
      <c r="F1668" s="908">
        <f>GLOBAL_DER_FEV_2023!F1668</f>
        <v>0</v>
      </c>
      <c r="G1668" s="912">
        <f>GLOBAL_DER_FEV_2023!G1668</f>
        <v>0</v>
      </c>
      <c r="H1668" s="901">
        <f>GLOBAL_DER_FEV_2023!H1668</f>
        <v>12.51</v>
      </c>
      <c r="I1668" s="901">
        <f>GLOBAL_DER_FEV_2023!I1668</f>
        <v>12.51</v>
      </c>
      <c r="J1668" s="902">
        <f>GLOBAL_DER_FEV_2023!J1668</f>
        <v>15.02</v>
      </c>
      <c r="K1668" s="903" t="s">
        <v>13</v>
      </c>
      <c r="L1668" s="1137"/>
      <c r="M1668" s="1138">
        <f t="shared" si="178"/>
        <v>0</v>
      </c>
      <c r="N1668" s="893">
        <f t="shared" si="177"/>
        <v>0</v>
      </c>
      <c r="O1668" s="905"/>
      <c r="Q1668" s="317" t="str">
        <f t="shared" si="174"/>
        <v/>
      </c>
      <c r="R1668" s="317" t="str">
        <f t="shared" si="175"/>
        <v/>
      </c>
      <c r="S1668" s="317" t="str">
        <f t="shared" si="176"/>
        <v/>
      </c>
      <c r="T1668" s="317" t="str">
        <f>GLOBAL_DER_FEV_2023!S1668</f>
        <v/>
      </c>
      <c r="W1668" s="582">
        <v>0</v>
      </c>
      <c r="X1668" s="580"/>
      <c r="Y1668" s="583">
        <f>IF(GLOBAL_DER_FEV_2023!W1668=0,0,IF(GLOBAL_DER_FEV_2023!W1668&gt;0,"c","b"))</f>
        <v>0</v>
      </c>
    </row>
    <row r="1669" spans="1:25" ht="15" customHeight="1" x14ac:dyDescent="0.2">
      <c r="A1669" s="317">
        <v>840000</v>
      </c>
      <c r="B1669" s="895" t="s">
        <v>1718</v>
      </c>
      <c r="C1669" s="896" t="s">
        <v>184</v>
      </c>
      <c r="D1669" s="906" t="s">
        <v>264</v>
      </c>
      <c r="E1669" s="907">
        <f>GLOBAL_DER_FEV_2023!E1669</f>
        <v>0</v>
      </c>
      <c r="F1669" s="908">
        <f>GLOBAL_DER_FEV_2023!F1669</f>
        <v>0</v>
      </c>
      <c r="G1669" s="912">
        <f>GLOBAL_DER_FEV_2023!G1669</f>
        <v>0</v>
      </c>
      <c r="H1669" s="901">
        <f>GLOBAL_DER_FEV_2023!H1669</f>
        <v>34.53</v>
      </c>
      <c r="I1669" s="901">
        <f>GLOBAL_DER_FEV_2023!I1669</f>
        <v>34.53</v>
      </c>
      <c r="J1669" s="902">
        <f>GLOBAL_DER_FEV_2023!J1669</f>
        <v>41.46</v>
      </c>
      <c r="K1669" s="903" t="s">
        <v>13</v>
      </c>
      <c r="L1669" s="1137"/>
      <c r="M1669" s="1138">
        <f t="shared" si="178"/>
        <v>0</v>
      </c>
      <c r="N1669" s="893">
        <f t="shared" si="177"/>
        <v>0</v>
      </c>
      <c r="O1669" s="905"/>
      <c r="Q1669" s="317" t="str">
        <f t="shared" si="174"/>
        <v/>
      </c>
      <c r="R1669" s="317" t="str">
        <f t="shared" si="175"/>
        <v/>
      </c>
      <c r="S1669" s="317" t="str">
        <f t="shared" si="176"/>
        <v/>
      </c>
      <c r="T1669" s="317" t="str">
        <f>GLOBAL_DER_FEV_2023!S1669</f>
        <v/>
      </c>
      <c r="W1669" s="582">
        <v>0</v>
      </c>
      <c r="X1669" s="580"/>
      <c r="Y1669" s="583">
        <f>IF(GLOBAL_DER_FEV_2023!W1669=0,0,IF(GLOBAL_DER_FEV_2023!W1669&gt;0,"c","b"))</f>
        <v>0</v>
      </c>
    </row>
    <row r="1670" spans="1:25" ht="15" customHeight="1" x14ac:dyDescent="0.2">
      <c r="A1670" s="317">
        <v>606600</v>
      </c>
      <c r="B1670" s="895" t="s">
        <v>1702</v>
      </c>
      <c r="C1670" s="896" t="s">
        <v>184</v>
      </c>
      <c r="D1670" s="906" t="s">
        <v>178</v>
      </c>
      <c r="E1670" s="907">
        <f>GLOBAL_DER_FEV_2023!E1670</f>
        <v>0</v>
      </c>
      <c r="F1670" s="908">
        <f>GLOBAL_DER_FEV_2023!F1670</f>
        <v>0</v>
      </c>
      <c r="G1670" s="912">
        <f>GLOBAL_DER_FEV_2023!G1670</f>
        <v>0</v>
      </c>
      <c r="H1670" s="901">
        <f>GLOBAL_DER_FEV_2023!H1670</f>
        <v>309.52999999999997</v>
      </c>
      <c r="I1670" s="901">
        <f>GLOBAL_DER_FEV_2023!I1670</f>
        <v>309.52999999999997</v>
      </c>
      <c r="J1670" s="902">
        <f>GLOBAL_DER_FEV_2023!J1670</f>
        <v>371.65</v>
      </c>
      <c r="K1670" s="903" t="s">
        <v>10</v>
      </c>
      <c r="L1670" s="1137"/>
      <c r="M1670" s="1138">
        <f t="shared" ref="M1670:M1733" si="179">IF(L1670=0,0,ROUND(J1670,2))</f>
        <v>0</v>
      </c>
      <c r="N1670" s="893">
        <f t="shared" si="177"/>
        <v>0</v>
      </c>
      <c r="O1670" s="905"/>
      <c r="Q1670" s="317" t="str">
        <f t="shared" si="174"/>
        <v/>
      </c>
      <c r="R1670" s="317" t="str">
        <f t="shared" si="175"/>
        <v/>
      </c>
      <c r="S1670" s="317" t="str">
        <f t="shared" si="176"/>
        <v/>
      </c>
      <c r="T1670" s="317" t="str">
        <f>GLOBAL_DER_FEV_2023!S1670</f>
        <v/>
      </c>
      <c r="W1670" s="582">
        <v>0</v>
      </c>
      <c r="X1670" s="580"/>
      <c r="Y1670" s="583">
        <f>IF(GLOBAL_DER_FEV_2023!W1670=0,0,IF(GLOBAL_DER_FEV_2023!W1670&gt;0,"c","b"))</f>
        <v>0</v>
      </c>
    </row>
    <row r="1671" spans="1:25" ht="15" customHeight="1" x14ac:dyDescent="0.2">
      <c r="A1671" s="317">
        <v>606700</v>
      </c>
      <c r="B1671" s="895" t="s">
        <v>1705</v>
      </c>
      <c r="C1671" s="896" t="s">
        <v>184</v>
      </c>
      <c r="D1671" s="906" t="s">
        <v>258</v>
      </c>
      <c r="E1671" s="907">
        <f>GLOBAL_DER_FEV_2023!E1671</f>
        <v>0</v>
      </c>
      <c r="F1671" s="908">
        <f>GLOBAL_DER_FEV_2023!F1671</f>
        <v>0</v>
      </c>
      <c r="G1671" s="912">
        <f>GLOBAL_DER_FEV_2023!G1671</f>
        <v>0</v>
      </c>
      <c r="H1671" s="901">
        <f>GLOBAL_DER_FEV_2023!H1671</f>
        <v>148.04</v>
      </c>
      <c r="I1671" s="901">
        <f>GLOBAL_DER_FEV_2023!I1671</f>
        <v>148.04</v>
      </c>
      <c r="J1671" s="902">
        <f>GLOBAL_DER_FEV_2023!J1671</f>
        <v>177.75</v>
      </c>
      <c r="K1671" s="903" t="s">
        <v>10</v>
      </c>
      <c r="L1671" s="1137"/>
      <c r="M1671" s="1138">
        <f t="shared" si="179"/>
        <v>0</v>
      </c>
      <c r="N1671" s="893">
        <f t="shared" si="177"/>
        <v>0</v>
      </c>
      <c r="O1671" s="905"/>
      <c r="Q1671" s="317" t="str">
        <f t="shared" si="174"/>
        <v/>
      </c>
      <c r="R1671" s="317" t="str">
        <f t="shared" si="175"/>
        <v/>
      </c>
      <c r="S1671" s="317" t="str">
        <f t="shared" si="176"/>
        <v/>
      </c>
      <c r="T1671" s="317" t="str">
        <f>GLOBAL_DER_FEV_2023!S1671</f>
        <v/>
      </c>
      <c r="W1671" s="582">
        <v>0</v>
      </c>
      <c r="X1671" s="580"/>
      <c r="Y1671" s="583">
        <f>IF(GLOBAL_DER_FEV_2023!W1671=0,0,IF(GLOBAL_DER_FEV_2023!W1671&gt;0,"c","b"))</f>
        <v>0</v>
      </c>
    </row>
    <row r="1672" spans="1:25" ht="15" customHeight="1" x14ac:dyDescent="0.2">
      <c r="A1672" s="317">
        <v>603700</v>
      </c>
      <c r="B1672" s="895" t="s">
        <v>1799</v>
      </c>
      <c r="C1672" s="896" t="s">
        <v>184</v>
      </c>
      <c r="D1672" s="906" t="s">
        <v>327</v>
      </c>
      <c r="E1672" s="907">
        <f>GLOBAL_DER_FEV_2023!E1672</f>
        <v>0</v>
      </c>
      <c r="F1672" s="908">
        <f>GLOBAL_DER_FEV_2023!F1672</f>
        <v>1.8</v>
      </c>
      <c r="G1672" s="949">
        <f>GLOBAL_DER_FEV_2023!G1672</f>
        <v>4.8240000000000007</v>
      </c>
      <c r="H1672" s="901">
        <f>GLOBAL_DER_FEV_2023!H1672</f>
        <v>213.87</v>
      </c>
      <c r="I1672" s="901">
        <f>GLOBAL_DER_FEV_2023!I1672</f>
        <v>218.69400000000002</v>
      </c>
      <c r="J1672" s="902">
        <f>GLOBAL_DER_FEV_2023!J1672</f>
        <v>262.58999999999997</v>
      </c>
      <c r="K1672" s="903" t="s">
        <v>10</v>
      </c>
      <c r="L1672" s="1137"/>
      <c r="M1672" s="1138">
        <f t="shared" si="179"/>
        <v>0</v>
      </c>
      <c r="N1672" s="893">
        <f t="shared" si="177"/>
        <v>0</v>
      </c>
      <c r="O1672" s="905"/>
      <c r="P1672" s="58"/>
      <c r="Q1672" s="317" t="str">
        <f t="shared" si="174"/>
        <v/>
      </c>
      <c r="R1672" s="317" t="str">
        <f t="shared" si="175"/>
        <v/>
      </c>
      <c r="S1672" s="317" t="str">
        <f t="shared" si="176"/>
        <v/>
      </c>
      <c r="T1672" s="317" t="str">
        <f>GLOBAL_DER_FEV_2023!S1672</f>
        <v/>
      </c>
      <c r="W1672" s="582">
        <v>0</v>
      </c>
      <c r="X1672" s="580"/>
      <c r="Y1672" s="583">
        <f>IF(GLOBAL_DER_FEV_2023!W1672=0,0,IF(GLOBAL_DER_FEV_2023!W1672&gt;0,"c","b"))</f>
        <v>0</v>
      </c>
    </row>
    <row r="1673" spans="1:25" ht="15" customHeight="1" x14ac:dyDescent="0.2">
      <c r="A1673" s="317">
        <v>603800</v>
      </c>
      <c r="B1673" s="895" t="s">
        <v>1800</v>
      </c>
      <c r="C1673" s="896" t="s">
        <v>184</v>
      </c>
      <c r="D1673" s="906" t="s">
        <v>328</v>
      </c>
      <c r="E1673" s="907">
        <f>GLOBAL_DER_FEV_2023!E1673</f>
        <v>0</v>
      </c>
      <c r="F1673" s="908">
        <f>GLOBAL_DER_FEV_2023!F1673</f>
        <v>1.5</v>
      </c>
      <c r="G1673" s="949">
        <f>GLOBAL_DER_FEV_2023!G1673</f>
        <v>4.0200000000000005</v>
      </c>
      <c r="H1673" s="901">
        <f>GLOBAL_DER_FEV_2023!H1673</f>
        <v>126.05</v>
      </c>
      <c r="I1673" s="901">
        <f>GLOBAL_DER_FEV_2023!I1673</f>
        <v>130.07</v>
      </c>
      <c r="J1673" s="902">
        <f>GLOBAL_DER_FEV_2023!J1673</f>
        <v>156.18</v>
      </c>
      <c r="K1673" s="903" t="s">
        <v>10</v>
      </c>
      <c r="L1673" s="1137"/>
      <c r="M1673" s="1138">
        <f t="shared" si="179"/>
        <v>0</v>
      </c>
      <c r="N1673" s="893">
        <f t="shared" si="177"/>
        <v>0</v>
      </c>
      <c r="O1673" s="905"/>
      <c r="Q1673" s="317" t="str">
        <f t="shared" si="174"/>
        <v/>
      </c>
      <c r="R1673" s="317" t="str">
        <f t="shared" si="175"/>
        <v/>
      </c>
      <c r="S1673" s="317" t="str">
        <f t="shared" si="176"/>
        <v/>
      </c>
      <c r="T1673" s="317" t="str">
        <f>GLOBAL_DER_FEV_2023!S1673</f>
        <v/>
      </c>
      <c r="W1673" s="582">
        <v>0</v>
      </c>
      <c r="X1673" s="580"/>
      <c r="Y1673" s="583">
        <f>IF(GLOBAL_DER_FEV_2023!W1673=0,0,IF(GLOBAL_DER_FEV_2023!W1673&gt;0,"c","b"))</f>
        <v>0</v>
      </c>
    </row>
    <row r="1674" spans="1:25" ht="15" customHeight="1" x14ac:dyDescent="0.2">
      <c r="A1674" s="317">
        <v>600000</v>
      </c>
      <c r="B1674" s="895" t="s">
        <v>1803</v>
      </c>
      <c r="C1674" s="896" t="s">
        <v>184</v>
      </c>
      <c r="D1674" s="906" t="s">
        <v>311</v>
      </c>
      <c r="E1674" s="907">
        <f>GLOBAL_DER_FEV_2023!E1674</f>
        <v>0</v>
      </c>
      <c r="F1674" s="908">
        <f>GLOBAL_DER_FEV_2023!F1674</f>
        <v>0</v>
      </c>
      <c r="G1674" s="912">
        <f>GLOBAL_DER_FEV_2023!G1674</f>
        <v>0</v>
      </c>
      <c r="H1674" s="901">
        <f>GLOBAL_DER_FEV_2023!H1674</f>
        <v>49.54</v>
      </c>
      <c r="I1674" s="901">
        <f>GLOBAL_DER_FEV_2023!I1674</f>
        <v>49.54</v>
      </c>
      <c r="J1674" s="902">
        <f>GLOBAL_DER_FEV_2023!J1674</f>
        <v>59.48</v>
      </c>
      <c r="K1674" s="903" t="s">
        <v>10</v>
      </c>
      <c r="L1674" s="1137"/>
      <c r="M1674" s="1138">
        <f t="shared" si="179"/>
        <v>0</v>
      </c>
      <c r="N1674" s="893">
        <f t="shared" si="177"/>
        <v>0</v>
      </c>
      <c r="O1674" s="905"/>
      <c r="Q1674" s="317" t="str">
        <f t="shared" si="174"/>
        <v/>
      </c>
      <c r="R1674" s="317" t="str">
        <f t="shared" si="175"/>
        <v/>
      </c>
      <c r="S1674" s="317" t="str">
        <f t="shared" si="176"/>
        <v/>
      </c>
      <c r="T1674" s="317" t="str">
        <f>GLOBAL_DER_FEV_2023!S1674</f>
        <v/>
      </c>
      <c r="W1674" s="582">
        <v>0</v>
      </c>
      <c r="X1674" s="580"/>
      <c r="Y1674" s="583">
        <f>IF(GLOBAL_DER_FEV_2023!W1674=0,0,IF(GLOBAL_DER_FEV_2023!W1674&gt;0,"c","b"))</f>
        <v>0</v>
      </c>
    </row>
    <row r="1675" spans="1:25" ht="15" customHeight="1" x14ac:dyDescent="0.2">
      <c r="A1675" s="317">
        <v>602000</v>
      </c>
      <c r="B1675" s="895" t="s">
        <v>1995</v>
      </c>
      <c r="C1675" s="896" t="s">
        <v>184</v>
      </c>
      <c r="D1675" s="906" t="s">
        <v>1994</v>
      </c>
      <c r="E1675" s="907">
        <f>GLOBAL_DER_FEV_2023!E1675</f>
        <v>0</v>
      </c>
      <c r="F1675" s="908">
        <f>GLOBAL_DER_FEV_2023!F1675</f>
        <v>0</v>
      </c>
      <c r="G1675" s="912">
        <f>GLOBAL_DER_FEV_2023!G1675</f>
        <v>0</v>
      </c>
      <c r="H1675" s="901">
        <f>GLOBAL_DER_FEV_2023!H1675</f>
        <v>62.53</v>
      </c>
      <c r="I1675" s="901">
        <f>GLOBAL_DER_FEV_2023!I1675</f>
        <v>62.53</v>
      </c>
      <c r="J1675" s="902">
        <f>GLOBAL_DER_FEV_2023!J1675</f>
        <v>75.08</v>
      </c>
      <c r="K1675" s="903" t="s">
        <v>12</v>
      </c>
      <c r="L1675" s="1137"/>
      <c r="M1675" s="1138">
        <f t="shared" si="179"/>
        <v>0</v>
      </c>
      <c r="N1675" s="893">
        <f t="shared" si="177"/>
        <v>0</v>
      </c>
      <c r="O1675" s="905"/>
      <c r="Q1675" s="317" t="str">
        <f t="shared" si="174"/>
        <v/>
      </c>
      <c r="R1675" s="317" t="str">
        <f t="shared" si="175"/>
        <v/>
      </c>
      <c r="S1675" s="317" t="str">
        <f t="shared" si="176"/>
        <v/>
      </c>
      <c r="T1675" s="317" t="str">
        <f>GLOBAL_DER_FEV_2023!S1675</f>
        <v/>
      </c>
      <c r="W1675" s="582">
        <v>0</v>
      </c>
      <c r="X1675" s="580"/>
      <c r="Y1675" s="583">
        <f>IF(GLOBAL_DER_FEV_2023!W1675=0,0,IF(GLOBAL_DER_FEV_2023!W1675&gt;0,"c","b"))</f>
        <v>0</v>
      </c>
    </row>
    <row r="1676" spans="1:25" ht="15" customHeight="1" x14ac:dyDescent="0.2">
      <c r="A1676" s="317">
        <v>600310</v>
      </c>
      <c r="B1676" s="895" t="s">
        <v>1711</v>
      </c>
      <c r="C1676" s="896" t="s">
        <v>184</v>
      </c>
      <c r="D1676" s="897" t="s">
        <v>442</v>
      </c>
      <c r="E1676" s="898">
        <f>GLOBAL_DER_FEV_2023!E1676</f>
        <v>0</v>
      </c>
      <c r="F1676" s="899">
        <f>GLOBAL_DER_FEV_2023!F1676</f>
        <v>0</v>
      </c>
      <c r="G1676" s="900">
        <f>GLOBAL_DER_FEV_2023!G1676</f>
        <v>0</v>
      </c>
      <c r="H1676" s="901">
        <f>GLOBAL_DER_FEV_2023!H1676</f>
        <v>142.88</v>
      </c>
      <c r="I1676" s="901">
        <f>GLOBAL_DER_FEV_2023!I1676</f>
        <v>142.88</v>
      </c>
      <c r="J1676" s="902">
        <f>GLOBAL_DER_FEV_2023!J1676</f>
        <v>171.56</v>
      </c>
      <c r="K1676" s="903" t="s">
        <v>15</v>
      </c>
      <c r="L1676" s="1137"/>
      <c r="M1676" s="1138">
        <f t="shared" si="179"/>
        <v>0</v>
      </c>
      <c r="N1676" s="893">
        <f t="shared" si="177"/>
        <v>0</v>
      </c>
      <c r="O1676" s="905"/>
      <c r="Q1676" s="317" t="str">
        <f t="shared" si="174"/>
        <v/>
      </c>
      <c r="R1676" s="317" t="str">
        <f t="shared" si="175"/>
        <v/>
      </c>
      <c r="S1676" s="317" t="str">
        <f t="shared" si="176"/>
        <v/>
      </c>
      <c r="T1676" s="317" t="str">
        <f>GLOBAL_DER_FEV_2023!S1676</f>
        <v/>
      </c>
      <c r="W1676" s="582">
        <v>0</v>
      </c>
      <c r="X1676" s="580"/>
      <c r="Y1676" s="583">
        <f>IF(GLOBAL_DER_FEV_2023!W1676=0,0,IF(GLOBAL_DER_FEV_2023!W1676&gt;0,"c","b"))</f>
        <v>0</v>
      </c>
    </row>
    <row r="1677" spans="1:25" ht="15" customHeight="1" x14ac:dyDescent="0.2">
      <c r="A1677" s="317">
        <v>633000</v>
      </c>
      <c r="B1677" s="895" t="s">
        <v>1805</v>
      </c>
      <c r="C1677" s="896" t="s">
        <v>184</v>
      </c>
      <c r="D1677" s="897" t="s">
        <v>518</v>
      </c>
      <c r="E1677" s="898">
        <f>GLOBAL_DER_FEV_2023!E1677</f>
        <v>0</v>
      </c>
      <c r="F1677" s="899">
        <f>GLOBAL_DER_FEV_2023!F1677</f>
        <v>0</v>
      </c>
      <c r="G1677" s="900">
        <f>GLOBAL_DER_FEV_2023!G1677</f>
        <v>0</v>
      </c>
      <c r="H1677" s="901">
        <f>GLOBAL_DER_FEV_2023!H1677</f>
        <v>82.58</v>
      </c>
      <c r="I1677" s="901">
        <f>GLOBAL_DER_FEV_2023!I1677</f>
        <v>82.58</v>
      </c>
      <c r="J1677" s="902">
        <f>GLOBAL_DER_FEV_2023!J1677</f>
        <v>99.15</v>
      </c>
      <c r="K1677" s="903" t="s">
        <v>13</v>
      </c>
      <c r="L1677" s="1137"/>
      <c r="M1677" s="1138">
        <f t="shared" si="179"/>
        <v>0</v>
      </c>
      <c r="N1677" s="893">
        <f t="shared" si="177"/>
        <v>0</v>
      </c>
      <c r="O1677" s="905"/>
      <c r="Q1677" s="317" t="str">
        <f t="shared" si="174"/>
        <v/>
      </c>
      <c r="R1677" s="317" t="str">
        <f t="shared" si="175"/>
        <v/>
      </c>
      <c r="S1677" s="317" t="str">
        <f t="shared" si="176"/>
        <v/>
      </c>
      <c r="T1677" s="317" t="str">
        <f>GLOBAL_DER_FEV_2023!S1677</f>
        <v/>
      </c>
      <c r="W1677" s="582">
        <v>0</v>
      </c>
      <c r="X1677" s="580"/>
      <c r="Y1677" s="583">
        <f>IF(GLOBAL_DER_FEV_2023!W1677=0,0,IF(GLOBAL_DER_FEV_2023!W1677&gt;0,"c","b"))</f>
        <v>0</v>
      </c>
    </row>
    <row r="1678" spans="1:25" ht="15" customHeight="1" x14ac:dyDescent="0.2">
      <c r="A1678" s="317">
        <v>633100</v>
      </c>
      <c r="B1678" s="895" t="s">
        <v>1807</v>
      </c>
      <c r="C1678" s="896" t="s">
        <v>184</v>
      </c>
      <c r="D1678" s="897" t="s">
        <v>519</v>
      </c>
      <c r="E1678" s="898">
        <f>GLOBAL_DER_FEV_2023!E1678</f>
        <v>0</v>
      </c>
      <c r="F1678" s="899">
        <f>GLOBAL_DER_FEV_2023!F1678</f>
        <v>0</v>
      </c>
      <c r="G1678" s="900">
        <f>GLOBAL_DER_FEV_2023!G1678</f>
        <v>0</v>
      </c>
      <c r="H1678" s="901">
        <f>GLOBAL_DER_FEV_2023!H1678</f>
        <v>165.16</v>
      </c>
      <c r="I1678" s="901">
        <f>GLOBAL_DER_FEV_2023!I1678</f>
        <v>165.16</v>
      </c>
      <c r="J1678" s="902">
        <f>GLOBAL_DER_FEV_2023!J1678</f>
        <v>198.31</v>
      </c>
      <c r="K1678" s="903" t="s">
        <v>13</v>
      </c>
      <c r="L1678" s="1137"/>
      <c r="M1678" s="1138">
        <f t="shared" si="179"/>
        <v>0</v>
      </c>
      <c r="N1678" s="893">
        <f t="shared" si="177"/>
        <v>0</v>
      </c>
      <c r="O1678" s="905"/>
      <c r="Q1678" s="317" t="str">
        <f t="shared" si="174"/>
        <v/>
      </c>
      <c r="R1678" s="317" t="str">
        <f t="shared" si="175"/>
        <v/>
      </c>
      <c r="S1678" s="317" t="str">
        <f t="shared" si="176"/>
        <v/>
      </c>
      <c r="T1678" s="317" t="str">
        <f>GLOBAL_DER_FEV_2023!S1678</f>
        <v/>
      </c>
      <c r="W1678" s="582">
        <v>0</v>
      </c>
      <c r="X1678" s="580"/>
      <c r="Y1678" s="583">
        <f>IF(GLOBAL_DER_FEV_2023!W1678=0,0,IF(GLOBAL_DER_FEV_2023!W1678&gt;0,"c","b"))</f>
        <v>0</v>
      </c>
    </row>
    <row r="1679" spans="1:25" ht="15" customHeight="1" x14ac:dyDescent="0.2">
      <c r="A1679" s="317">
        <v>633200</v>
      </c>
      <c r="B1679" s="895" t="s">
        <v>1808</v>
      </c>
      <c r="C1679" s="896" t="s">
        <v>184</v>
      </c>
      <c r="D1679" s="897" t="s">
        <v>520</v>
      </c>
      <c r="E1679" s="898">
        <f>GLOBAL_DER_FEV_2023!E1679</f>
        <v>0</v>
      </c>
      <c r="F1679" s="899">
        <f>GLOBAL_DER_FEV_2023!F1679</f>
        <v>0</v>
      </c>
      <c r="G1679" s="900">
        <f>GLOBAL_DER_FEV_2023!G1679</f>
        <v>0</v>
      </c>
      <c r="H1679" s="901">
        <f>GLOBAL_DER_FEV_2023!H1679</f>
        <v>247.74</v>
      </c>
      <c r="I1679" s="901">
        <f>GLOBAL_DER_FEV_2023!I1679</f>
        <v>247.74</v>
      </c>
      <c r="J1679" s="902">
        <f>GLOBAL_DER_FEV_2023!J1679</f>
        <v>297.45999999999998</v>
      </c>
      <c r="K1679" s="903" t="s">
        <v>13</v>
      </c>
      <c r="L1679" s="1137"/>
      <c r="M1679" s="1138">
        <f t="shared" si="179"/>
        <v>0</v>
      </c>
      <c r="N1679" s="893">
        <f t="shared" si="177"/>
        <v>0</v>
      </c>
      <c r="O1679" s="905"/>
      <c r="Q1679" s="317" t="str">
        <f t="shared" si="174"/>
        <v/>
      </c>
      <c r="R1679" s="317" t="str">
        <f t="shared" si="175"/>
        <v/>
      </c>
      <c r="S1679" s="317" t="str">
        <f t="shared" si="176"/>
        <v/>
      </c>
      <c r="T1679" s="317" t="str">
        <f>GLOBAL_DER_FEV_2023!S1679</f>
        <v/>
      </c>
      <c r="W1679" s="582">
        <v>0</v>
      </c>
      <c r="X1679" s="580"/>
      <c r="Y1679" s="583">
        <f>IF(GLOBAL_DER_FEV_2023!W1679=0,0,IF(GLOBAL_DER_FEV_2023!W1679&gt;0,"c","b"))</f>
        <v>0</v>
      </c>
    </row>
    <row r="1680" spans="1:25" ht="15" customHeight="1" x14ac:dyDescent="0.2">
      <c r="A1680" s="317">
        <v>800900</v>
      </c>
      <c r="B1680" s="895" t="s">
        <v>1713</v>
      </c>
      <c r="C1680" s="896" t="s">
        <v>184</v>
      </c>
      <c r="D1680" s="897" t="s">
        <v>443</v>
      </c>
      <c r="E1680" s="898">
        <f>GLOBAL_DER_FEV_2023!E1680</f>
        <v>0</v>
      </c>
      <c r="F1680" s="899">
        <f>GLOBAL_DER_FEV_2023!F1680</f>
        <v>0</v>
      </c>
      <c r="G1680" s="900">
        <f>GLOBAL_DER_FEV_2023!G1680</f>
        <v>0</v>
      </c>
      <c r="H1680" s="901">
        <f>GLOBAL_DER_FEV_2023!H1680</f>
        <v>13.25</v>
      </c>
      <c r="I1680" s="901">
        <f>GLOBAL_DER_FEV_2023!I1680</f>
        <v>13.25</v>
      </c>
      <c r="J1680" s="902">
        <f>GLOBAL_DER_FEV_2023!J1680</f>
        <v>15.91</v>
      </c>
      <c r="K1680" s="903" t="s">
        <v>12</v>
      </c>
      <c r="L1680" s="1137"/>
      <c r="M1680" s="1138">
        <f t="shared" si="179"/>
        <v>0</v>
      </c>
      <c r="N1680" s="893">
        <f t="shared" si="177"/>
        <v>0</v>
      </c>
      <c r="O1680" s="905"/>
      <c r="Q1680" s="317" t="str">
        <f t="shared" si="174"/>
        <v/>
      </c>
      <c r="R1680" s="317" t="str">
        <f t="shared" si="175"/>
        <v/>
      </c>
      <c r="S1680" s="317" t="str">
        <f t="shared" si="176"/>
        <v/>
      </c>
      <c r="T1680" s="317" t="str">
        <f>GLOBAL_DER_FEV_2023!S1680</f>
        <v/>
      </c>
      <c r="W1680" s="582">
        <v>0</v>
      </c>
      <c r="X1680" s="580"/>
      <c r="Y1680" s="583">
        <f>IF(GLOBAL_DER_FEV_2023!W1680=0,0,IF(GLOBAL_DER_FEV_2023!W1680&gt;0,"c","b"))</f>
        <v>0</v>
      </c>
    </row>
    <row r="1681" spans="1:25" ht="15" customHeight="1" x14ac:dyDescent="0.2">
      <c r="A1681" s="317">
        <v>801100</v>
      </c>
      <c r="B1681" s="895" t="s">
        <v>1714</v>
      </c>
      <c r="C1681" s="896" t="s">
        <v>184</v>
      </c>
      <c r="D1681" s="897" t="s">
        <v>278</v>
      </c>
      <c r="E1681" s="898">
        <f>GLOBAL_DER_FEV_2023!E1681</f>
        <v>0</v>
      </c>
      <c r="F1681" s="899">
        <f>GLOBAL_DER_FEV_2023!F1681</f>
        <v>0</v>
      </c>
      <c r="G1681" s="900">
        <f>GLOBAL_DER_FEV_2023!G1681</f>
        <v>0</v>
      </c>
      <c r="H1681" s="901">
        <f>GLOBAL_DER_FEV_2023!H1681</f>
        <v>19.149999999999999</v>
      </c>
      <c r="I1681" s="901">
        <f>GLOBAL_DER_FEV_2023!I1681</f>
        <v>19.149999999999999</v>
      </c>
      <c r="J1681" s="902">
        <f>GLOBAL_DER_FEV_2023!J1681</f>
        <v>22.99</v>
      </c>
      <c r="K1681" s="903" t="s">
        <v>12</v>
      </c>
      <c r="L1681" s="1139"/>
      <c r="M1681" s="1140">
        <f t="shared" si="179"/>
        <v>0</v>
      </c>
      <c r="N1681" s="893">
        <f t="shared" si="177"/>
        <v>0</v>
      </c>
      <c r="O1681" s="905"/>
      <c r="Q1681" s="317" t="str">
        <f t="shared" ref="Q1681:Q1744" si="180">IF(P1681="X","x",IF(P1681="xx","x",IF(P1681="xy","x",IF(P1681="y","x",IF(OR(N1681&gt;0,N1681&gt;0),"x","")))))</f>
        <v/>
      </c>
      <c r="R1681" s="317" t="str">
        <f t="shared" si="175"/>
        <v/>
      </c>
      <c r="S1681" s="317" t="str">
        <f t="shared" si="176"/>
        <v/>
      </c>
      <c r="T1681" s="317" t="str">
        <f>GLOBAL_DER_FEV_2023!S1681</f>
        <v/>
      </c>
      <c r="W1681" s="582">
        <v>0</v>
      </c>
      <c r="X1681" s="580"/>
      <c r="Y1681" s="583">
        <f>IF(GLOBAL_DER_FEV_2023!W1681=0,0,IF(GLOBAL_DER_FEV_2023!W1681&gt;0,"c","b"))</f>
        <v>0</v>
      </c>
    </row>
    <row r="1682" spans="1:25" ht="15" customHeight="1" x14ac:dyDescent="0.2">
      <c r="A1682" s="317">
        <v>600510</v>
      </c>
      <c r="B1682" s="895" t="s">
        <v>1715</v>
      </c>
      <c r="C1682" s="896" t="s">
        <v>184</v>
      </c>
      <c r="D1682" s="897" t="s">
        <v>444</v>
      </c>
      <c r="E1682" s="898">
        <f>GLOBAL_DER_FEV_2023!E1682</f>
        <v>0</v>
      </c>
      <c r="F1682" s="899">
        <f>GLOBAL_DER_FEV_2023!F1682</f>
        <v>0</v>
      </c>
      <c r="G1682" s="900">
        <f>GLOBAL_DER_FEV_2023!G1682</f>
        <v>0</v>
      </c>
      <c r="H1682" s="901">
        <f>GLOBAL_DER_FEV_2023!H1682</f>
        <v>2.52</v>
      </c>
      <c r="I1682" s="901">
        <f>GLOBAL_DER_FEV_2023!I1682</f>
        <v>2.52</v>
      </c>
      <c r="J1682" s="902">
        <f>GLOBAL_DER_FEV_2023!J1682</f>
        <v>3.03</v>
      </c>
      <c r="K1682" s="903" t="s">
        <v>13</v>
      </c>
      <c r="L1682" s="1139"/>
      <c r="M1682" s="1140">
        <f t="shared" si="179"/>
        <v>0</v>
      </c>
      <c r="N1682" s="893">
        <f t="shared" si="177"/>
        <v>0</v>
      </c>
      <c r="O1682" s="905"/>
      <c r="Q1682" s="317" t="str">
        <f t="shared" si="180"/>
        <v/>
      </c>
      <c r="R1682" s="317" t="str">
        <f t="shared" si="175"/>
        <v/>
      </c>
      <c r="S1682" s="317" t="str">
        <f t="shared" si="176"/>
        <v/>
      </c>
      <c r="T1682" s="317" t="str">
        <f>GLOBAL_DER_FEV_2023!S1682</f>
        <v/>
      </c>
      <c r="W1682" s="582">
        <v>0</v>
      </c>
      <c r="X1682" s="580"/>
      <c r="Y1682" s="583">
        <f>IF(GLOBAL_DER_FEV_2023!W1682=0,0,IF(GLOBAL_DER_FEV_2023!W1682&gt;0,"c","b"))</f>
        <v>0</v>
      </c>
    </row>
    <row r="1683" spans="1:25" ht="15" customHeight="1" x14ac:dyDescent="0.2">
      <c r="A1683" s="317">
        <v>521450</v>
      </c>
      <c r="B1683" s="955" t="s">
        <v>1616</v>
      </c>
      <c r="C1683" s="956" t="s">
        <v>184</v>
      </c>
      <c r="D1683" s="906" t="s">
        <v>219</v>
      </c>
      <c r="E1683" s="907">
        <f>GLOBAL_DER_FEV_2023!E1683</f>
        <v>0</v>
      </c>
      <c r="F1683" s="899">
        <f>GLOBAL_DER_FEV_2023!F1683</f>
        <v>0.3</v>
      </c>
      <c r="G1683" s="949">
        <f>GLOBAL_DER_FEV_2023!G1683</f>
        <v>0.80400000000000005</v>
      </c>
      <c r="H1683" s="901">
        <f>GLOBAL_DER_FEV_2023!H1683</f>
        <v>25.31</v>
      </c>
      <c r="I1683" s="901">
        <f>GLOBAL_DER_FEV_2023!I1683</f>
        <v>26.113999999999997</v>
      </c>
      <c r="J1683" s="902">
        <f>GLOBAL_DER_FEV_2023!J1683</f>
        <v>31.36</v>
      </c>
      <c r="K1683" s="903" t="s">
        <v>12</v>
      </c>
      <c r="L1683" s="1137"/>
      <c r="M1683" s="1138">
        <f t="shared" si="179"/>
        <v>0</v>
      </c>
      <c r="N1683" s="893">
        <f t="shared" si="177"/>
        <v>0</v>
      </c>
      <c r="O1683" s="905"/>
      <c r="Q1683" s="317" t="str">
        <f t="shared" si="180"/>
        <v/>
      </c>
      <c r="R1683" s="317" t="str">
        <f t="shared" ref="R1683:R1746" si="181">IF(P1683="X","x",IF(P1683="y","x",IF(P1683="xx","x",IF(N1683&gt;0,"x",""))))</f>
        <v/>
      </c>
      <c r="S1683" s="317" t="str">
        <f t="shared" ref="S1683:S1746" si="182">IF(P1683="X","x",IF(N1683&gt;0,"x",""))</f>
        <v/>
      </c>
      <c r="T1683" s="317" t="str">
        <f>GLOBAL_DER_FEV_2023!S1683</f>
        <v/>
      </c>
      <c r="W1683" s="582">
        <v>0</v>
      </c>
      <c r="X1683" s="580"/>
      <c r="Y1683" s="583">
        <f>IF(GLOBAL_DER_FEV_2023!W1683=0,0,IF(GLOBAL_DER_FEV_2023!W1683&gt;0,"c","b"))</f>
        <v>0</v>
      </c>
    </row>
    <row r="1684" spans="1:25" ht="15" customHeight="1" x14ac:dyDescent="0.2">
      <c r="A1684" s="317">
        <v>511300</v>
      </c>
      <c r="B1684" s="895" t="s">
        <v>1571</v>
      </c>
      <c r="C1684" s="896" t="s">
        <v>184</v>
      </c>
      <c r="D1684" s="906" t="s">
        <v>180</v>
      </c>
      <c r="E1684" s="907">
        <f>GLOBAL_DER_FEV_2023!E1684</f>
        <v>0</v>
      </c>
      <c r="F1684" s="908">
        <f>GLOBAL_DER_FEV_2023!F1684</f>
        <v>0</v>
      </c>
      <c r="G1684" s="912">
        <f>GLOBAL_DER_FEV_2023!G1684</f>
        <v>0</v>
      </c>
      <c r="H1684" s="901">
        <f>GLOBAL_DER_FEV_2023!H1684</f>
        <v>0.28999999999999998</v>
      </c>
      <c r="I1684" s="901">
        <f>GLOBAL_DER_FEV_2023!I1684</f>
        <v>0.28999999999999998</v>
      </c>
      <c r="J1684" s="902">
        <f>GLOBAL_DER_FEV_2023!J1684</f>
        <v>0.35</v>
      </c>
      <c r="K1684" s="903" t="s">
        <v>12</v>
      </c>
      <c r="L1684" s="1137"/>
      <c r="M1684" s="1138">
        <f t="shared" si="179"/>
        <v>0</v>
      </c>
      <c r="N1684" s="893">
        <f t="shared" si="177"/>
        <v>0</v>
      </c>
      <c r="O1684" s="905"/>
      <c r="Q1684" s="317" t="str">
        <f t="shared" si="180"/>
        <v/>
      </c>
      <c r="R1684" s="317" t="str">
        <f t="shared" si="181"/>
        <v/>
      </c>
      <c r="S1684" s="317" t="str">
        <f t="shared" si="182"/>
        <v/>
      </c>
      <c r="T1684" s="317" t="str">
        <f>GLOBAL_DER_FEV_2023!S1684</f>
        <v/>
      </c>
      <c r="W1684" s="582">
        <v>0</v>
      </c>
      <c r="X1684" s="580"/>
      <c r="Y1684" s="583">
        <f>IF(GLOBAL_DER_FEV_2023!W1684=0,0,IF(GLOBAL_DER_FEV_2023!W1684&gt;0,"c","b"))</f>
        <v>0</v>
      </c>
    </row>
    <row r="1685" spans="1:25" ht="15" customHeight="1" x14ac:dyDescent="0.2">
      <c r="A1685" s="317">
        <v>521450</v>
      </c>
      <c r="B1685" s="895" t="s">
        <v>1617</v>
      </c>
      <c r="C1685" s="896" t="s">
        <v>184</v>
      </c>
      <c r="D1685" s="906" t="s">
        <v>454</v>
      </c>
      <c r="E1685" s="907">
        <f>GLOBAL_DER_FEV_2023!E1685</f>
        <v>0</v>
      </c>
      <c r="F1685" s="899">
        <f>GLOBAL_DER_FEV_2023!F1685</f>
        <v>0</v>
      </c>
      <c r="G1685" s="912">
        <f>GLOBAL_DER_FEV_2023!G1685</f>
        <v>0</v>
      </c>
      <c r="H1685" s="901">
        <f>GLOBAL_DER_FEV_2023!H1685</f>
        <v>25.31</v>
      </c>
      <c r="I1685" s="901">
        <f>GLOBAL_DER_FEV_2023!I1685</f>
        <v>25.31</v>
      </c>
      <c r="J1685" s="902">
        <f>GLOBAL_DER_FEV_2023!J1685</f>
        <v>30.39</v>
      </c>
      <c r="K1685" s="903" t="s">
        <v>12</v>
      </c>
      <c r="L1685" s="1137"/>
      <c r="M1685" s="1138">
        <f t="shared" si="179"/>
        <v>0</v>
      </c>
      <c r="N1685" s="893">
        <f t="shared" si="177"/>
        <v>0</v>
      </c>
      <c r="O1685" s="905"/>
      <c r="Q1685" s="317" t="str">
        <f t="shared" si="180"/>
        <v/>
      </c>
      <c r="R1685" s="317" t="str">
        <f t="shared" si="181"/>
        <v/>
      </c>
      <c r="S1685" s="317" t="str">
        <f t="shared" si="182"/>
        <v/>
      </c>
      <c r="T1685" s="317" t="str">
        <f>GLOBAL_DER_FEV_2023!S1685</f>
        <v/>
      </c>
      <c r="W1685" s="582">
        <v>0</v>
      </c>
      <c r="X1685" s="580"/>
      <c r="Y1685" s="583">
        <f>IF(GLOBAL_DER_FEV_2023!W1685=0,0,IF(GLOBAL_DER_FEV_2023!W1685&gt;0,"c","b"))</f>
        <v>0</v>
      </c>
    </row>
    <row r="1686" spans="1:25" ht="15" customHeight="1" x14ac:dyDescent="0.2">
      <c r="A1686" s="317">
        <v>521450</v>
      </c>
      <c r="B1686" s="895" t="s">
        <v>1619</v>
      </c>
      <c r="C1686" s="896" t="s">
        <v>184</v>
      </c>
      <c r="D1686" s="906" t="s">
        <v>221</v>
      </c>
      <c r="E1686" s="907">
        <f>GLOBAL_DER_FEV_2023!E1686</f>
        <v>0</v>
      </c>
      <c r="F1686" s="899">
        <f>GLOBAL_DER_FEV_2023!F1686</f>
        <v>0</v>
      </c>
      <c r="G1686" s="912">
        <f>GLOBAL_DER_FEV_2023!G1686</f>
        <v>0</v>
      </c>
      <c r="H1686" s="901">
        <f>GLOBAL_DER_FEV_2023!H1686</f>
        <v>25.31</v>
      </c>
      <c r="I1686" s="901">
        <f>GLOBAL_DER_FEV_2023!I1686</f>
        <v>25.31</v>
      </c>
      <c r="J1686" s="902">
        <f>GLOBAL_DER_FEV_2023!J1686</f>
        <v>30.39</v>
      </c>
      <c r="K1686" s="903" t="s">
        <v>12</v>
      </c>
      <c r="L1686" s="1137"/>
      <c r="M1686" s="1138">
        <f t="shared" si="179"/>
        <v>0</v>
      </c>
      <c r="N1686" s="893">
        <f t="shared" si="177"/>
        <v>0</v>
      </c>
      <c r="O1686" s="905"/>
      <c r="Q1686" s="317" t="str">
        <f t="shared" si="180"/>
        <v/>
      </c>
      <c r="R1686" s="317" t="str">
        <f t="shared" si="181"/>
        <v/>
      </c>
      <c r="S1686" s="317" t="str">
        <f t="shared" si="182"/>
        <v/>
      </c>
      <c r="T1686" s="317" t="str">
        <f>GLOBAL_DER_FEV_2023!S1686</f>
        <v/>
      </c>
      <c r="W1686" s="582">
        <v>0</v>
      </c>
      <c r="X1686" s="580"/>
      <c r="Y1686" s="583">
        <f>IF(GLOBAL_DER_FEV_2023!W1686=0,0,IF(GLOBAL_DER_FEV_2023!W1686&gt;0,"c","b"))</f>
        <v>0</v>
      </c>
    </row>
    <row r="1687" spans="1:25" ht="15" customHeight="1" x14ac:dyDescent="0.2">
      <c r="A1687" s="640" t="s">
        <v>165</v>
      </c>
      <c r="B1687" s="913" t="s">
        <v>165</v>
      </c>
      <c r="C1687" s="914"/>
      <c r="D1687" s="915" t="s">
        <v>485</v>
      </c>
      <c r="E1687" s="916">
        <f>GLOBAL_DER_FEV_2023!E1687</f>
        <v>0</v>
      </c>
      <c r="F1687" s="917">
        <f>GLOBAL_DER_FEV_2023!F1687</f>
        <v>0</v>
      </c>
      <c r="G1687" s="918">
        <f>GLOBAL_DER_FEV_2023!G1687</f>
        <v>0</v>
      </c>
      <c r="H1687" s="919">
        <f>GLOBAL_DER_FEV_2023!H1687</f>
        <v>0</v>
      </c>
      <c r="I1687" s="919">
        <f>GLOBAL_DER_FEV_2023!I1687</f>
        <v>0</v>
      </c>
      <c r="J1687" s="919">
        <f>GLOBAL_DER_FEV_2023!J1687</f>
        <v>0</v>
      </c>
      <c r="K1687" s="920" t="s">
        <v>507</v>
      </c>
      <c r="L1687" s="921"/>
      <c r="M1687" s="1175">
        <f t="shared" si="179"/>
        <v>0</v>
      </c>
      <c r="N1687" s="923">
        <f t="shared" ref="N1687:N1750" si="183">IF(ISBLANK(L1687),0,IF(W1687=0,ROUND(L1687*M1687,2),IF(W1687="b",ROUNDDOWN(L1687*M1687,2),ROUNDUP(L1687*M1687,2))))</f>
        <v>0</v>
      </c>
      <c r="O1687" s="905"/>
      <c r="P1687" s="58" t="str">
        <f>IF(OR(SUM(N1688:N1719)&gt;0,SUM(N1688:N1719)&gt;0),"y","")</f>
        <v/>
      </c>
      <c r="Q1687" s="317" t="str">
        <f t="shared" si="180"/>
        <v/>
      </c>
      <c r="R1687" s="317" t="str">
        <f t="shared" si="181"/>
        <v/>
      </c>
      <c r="S1687" s="317" t="str">
        <f t="shared" si="182"/>
        <v/>
      </c>
      <c r="T1687" s="317" t="str">
        <f>GLOBAL_DER_FEV_2023!S1687</f>
        <v/>
      </c>
      <c r="W1687" s="582">
        <v>0</v>
      </c>
      <c r="X1687" s="580"/>
      <c r="Y1687" s="583">
        <f>IF(GLOBAL_DER_FEV_2023!W1687=0,0,IF(GLOBAL_DER_FEV_2023!W1687&gt;0,"c","b"))</f>
        <v>0</v>
      </c>
    </row>
    <row r="1688" spans="1:25" ht="15" customHeight="1" x14ac:dyDescent="0.2">
      <c r="A1688" s="640" t="s">
        <v>165</v>
      </c>
      <c r="B1688" s="1036" t="str">
        <f>GLOBAL_DER_FEV_2023!B1688</f>
        <v>101173</v>
      </c>
      <c r="C1688" s="1072" t="str">
        <f>GLOBAL_DER_FEV_2023!C1688</f>
        <v>SINAPI</v>
      </c>
      <c r="D1688" s="1141" t="str">
        <f>GLOBAL_DER_FEV_2023!D1688</f>
        <v>ESTACA BROCA DE CONCRETO, DIÂMETRO DE 20 CM, ESCAVAÇÃO MANUAL COM TRADO CONCHA, COM ARMADURA DE ARRANQUE. AF_05/2020</v>
      </c>
      <c r="E1688" s="907">
        <f>GLOBAL_DER_FEV_2023!E1688</f>
        <v>62.91</v>
      </c>
      <c r="F1688" s="908">
        <f>GLOBAL_DER_FEV_2023!F1688</f>
        <v>62.91</v>
      </c>
      <c r="G1688" s="912">
        <f>GLOBAL_DER_FEV_2023!G1688</f>
        <v>75.540000000000006</v>
      </c>
      <c r="H1688" s="901">
        <f>GLOBAL_DER_FEV_2023!H1688</f>
        <v>0</v>
      </c>
      <c r="I1688" s="901">
        <f>GLOBAL_DER_FEV_2023!I1688</f>
        <v>75.540000000000006</v>
      </c>
      <c r="J1688" s="890">
        <f>GLOBAL_DER_FEV_2023!J1688</f>
        <v>90.7</v>
      </c>
      <c r="K1688" s="903" t="str">
        <f>GLOBAL_DER_FEV_2023!K1688</f>
        <v>m</v>
      </c>
      <c r="L1688" s="1137"/>
      <c r="M1688" s="1175">
        <f t="shared" si="179"/>
        <v>0</v>
      </c>
      <c r="N1688" s="1167">
        <f t="shared" si="183"/>
        <v>0</v>
      </c>
      <c r="O1688" s="1165"/>
      <c r="Q1688" s="317" t="str">
        <f t="shared" si="180"/>
        <v/>
      </c>
      <c r="R1688" s="317" t="str">
        <f t="shared" si="181"/>
        <v/>
      </c>
      <c r="S1688" s="317" t="str">
        <f t="shared" si="182"/>
        <v/>
      </c>
      <c r="T1688" s="317" t="str">
        <f>GLOBAL_DER_FEV_2023!S1688</f>
        <v/>
      </c>
      <c r="W1688" s="582">
        <v>0</v>
      </c>
      <c r="X1688" s="580"/>
      <c r="Y1688" s="583">
        <f>IF(GLOBAL_DER_FEV_2023!W1688=0,0,IF(GLOBAL_DER_FEV_2023!W1688&gt;0,"c","b"))</f>
        <v>0</v>
      </c>
    </row>
    <row r="1689" spans="1:25" ht="15" customHeight="1" x14ac:dyDescent="0.2">
      <c r="A1689" s="640" t="s">
        <v>165</v>
      </c>
      <c r="B1689" s="1036" t="str">
        <f>GLOBAL_DER_FEV_2023!B1689</f>
        <v>9557</v>
      </c>
      <c r="C1689" s="1072" t="str">
        <f>GLOBAL_DER_FEV_2023!C1689</f>
        <v>SINAPI</v>
      </c>
      <c r="D1689" s="1141" t="str">
        <f>GLOBAL_DER_FEV_2023!D1689</f>
        <v>MONTAGEM DE ARMADURA DE ESTACA DIÂMETRO = 10,0 MM. AF_09/2021</v>
      </c>
      <c r="E1689" s="907">
        <f>GLOBAL_DER_FEV_2023!E1689</f>
        <v>11.5</v>
      </c>
      <c r="F1689" s="908">
        <f>GLOBAL_DER_FEV_2023!F1689</f>
        <v>11.5</v>
      </c>
      <c r="G1689" s="912">
        <f>GLOBAL_DER_FEV_2023!G1689</f>
        <v>13.81</v>
      </c>
      <c r="H1689" s="901">
        <f>GLOBAL_DER_FEV_2023!H1689</f>
        <v>0</v>
      </c>
      <c r="I1689" s="901">
        <f>GLOBAL_DER_FEV_2023!I1689</f>
        <v>13.81</v>
      </c>
      <c r="J1689" s="890">
        <f>GLOBAL_DER_FEV_2023!J1689</f>
        <v>16.579999999999998</v>
      </c>
      <c r="K1689" s="903" t="str">
        <f>GLOBAL_DER_FEV_2023!K1689</f>
        <v>m</v>
      </c>
      <c r="L1689" s="1137"/>
      <c r="M1689" s="1175">
        <f t="shared" si="179"/>
        <v>0</v>
      </c>
      <c r="N1689" s="1167">
        <f t="shared" si="183"/>
        <v>0</v>
      </c>
      <c r="O1689" s="1165"/>
      <c r="Q1689" s="317" t="str">
        <f t="shared" si="180"/>
        <v/>
      </c>
      <c r="R1689" s="317" t="str">
        <f t="shared" si="181"/>
        <v/>
      </c>
      <c r="S1689" s="317" t="str">
        <f t="shared" si="182"/>
        <v/>
      </c>
      <c r="T1689" s="317" t="str">
        <f>GLOBAL_DER_FEV_2023!S1689</f>
        <v/>
      </c>
      <c r="W1689" s="582">
        <v>0</v>
      </c>
      <c r="X1689" s="580"/>
      <c r="Y1689" s="583">
        <f>IF(GLOBAL_DER_FEV_2023!W1689=0,0,IF(GLOBAL_DER_FEV_2023!W1689&gt;0,"c","b"))</f>
        <v>0</v>
      </c>
    </row>
    <row r="1690" spans="1:25" ht="15" customHeight="1" x14ac:dyDescent="0.2">
      <c r="A1690" s="640" t="s">
        <v>165</v>
      </c>
      <c r="B1690" s="1036" t="str">
        <f>GLOBAL_DER_FEV_2023!B1690</f>
        <v>95583</v>
      </c>
      <c r="C1690" s="1072" t="str">
        <f>GLOBAL_DER_FEV_2023!C1690</f>
        <v>SINAPI</v>
      </c>
      <c r="D1690" s="1141" t="str">
        <f>GLOBAL_DER_FEV_2023!D1690</f>
        <v>MONTAGEM DE ARMADURA TRANSVERSAL DE ESTACAS DE SEÇÃO CIRCULAR, DIÂMETRO = 5,00 MM. AF_09/2021</v>
      </c>
      <c r="E1690" s="907">
        <f>GLOBAL_DER_FEV_2023!E1690</f>
        <v>17.59</v>
      </c>
      <c r="F1690" s="908">
        <f>GLOBAL_DER_FEV_2023!F1690</f>
        <v>17.59</v>
      </c>
      <c r="G1690" s="912">
        <f>GLOBAL_DER_FEV_2023!G1690</f>
        <v>21.12</v>
      </c>
      <c r="H1690" s="901">
        <f>GLOBAL_DER_FEV_2023!H1690</f>
        <v>0</v>
      </c>
      <c r="I1690" s="901">
        <f>GLOBAL_DER_FEV_2023!I1690</f>
        <v>21.12</v>
      </c>
      <c r="J1690" s="890">
        <f>GLOBAL_DER_FEV_2023!J1690</f>
        <v>25.36</v>
      </c>
      <c r="K1690" s="903" t="str">
        <f>GLOBAL_DER_FEV_2023!K1690</f>
        <v>kg</v>
      </c>
      <c r="L1690" s="1137"/>
      <c r="M1690" s="1175">
        <f t="shared" si="179"/>
        <v>0</v>
      </c>
      <c r="N1690" s="1167">
        <f t="shared" si="183"/>
        <v>0</v>
      </c>
      <c r="O1690" s="1165"/>
      <c r="Q1690" s="317" t="str">
        <f t="shared" si="180"/>
        <v/>
      </c>
      <c r="R1690" s="317" t="str">
        <f t="shared" si="181"/>
        <v/>
      </c>
      <c r="S1690" s="317" t="str">
        <f t="shared" si="182"/>
        <v/>
      </c>
      <c r="T1690" s="317" t="str">
        <f>GLOBAL_DER_FEV_2023!S1690</f>
        <v/>
      </c>
      <c r="W1690" s="582">
        <v>0</v>
      </c>
      <c r="X1690" s="580"/>
      <c r="Y1690" s="583">
        <f>IF(GLOBAL_DER_FEV_2023!W1690=0,0,IF(GLOBAL_DER_FEV_2023!W1690&gt;0,"c","b"))</f>
        <v>0</v>
      </c>
    </row>
    <row r="1691" spans="1:25" ht="15" customHeight="1" x14ac:dyDescent="0.2">
      <c r="A1691" s="640" t="s">
        <v>165</v>
      </c>
      <c r="B1691" s="1036" t="str">
        <f>GLOBAL_DER_FEV_2023!B1691</f>
        <v>34</v>
      </c>
      <c r="C1691" s="1072" t="str">
        <f>GLOBAL_DER_FEV_2023!C1691</f>
        <v>SINAPI</v>
      </c>
      <c r="D1691" s="1141" t="str">
        <f>GLOBAL_DER_FEV_2023!D1691</f>
        <v>AÇO CA-50, 10,0 MM, VERGALHÃO</v>
      </c>
      <c r="E1691" s="907">
        <f>GLOBAL_DER_FEV_2023!E1691</f>
        <v>8.52</v>
      </c>
      <c r="F1691" s="908">
        <f>GLOBAL_DER_FEV_2023!F1691</f>
        <v>8.52</v>
      </c>
      <c r="G1691" s="912">
        <f>GLOBAL_DER_FEV_2023!G1691</f>
        <v>10.23</v>
      </c>
      <c r="H1691" s="901">
        <f>GLOBAL_DER_FEV_2023!H1691</f>
        <v>0</v>
      </c>
      <c r="I1691" s="901">
        <f>GLOBAL_DER_FEV_2023!I1691</f>
        <v>10.23</v>
      </c>
      <c r="J1691" s="890">
        <f>GLOBAL_DER_FEV_2023!J1691</f>
        <v>12.28</v>
      </c>
      <c r="K1691" s="903" t="str">
        <f>GLOBAL_DER_FEV_2023!K1691</f>
        <v>kg</v>
      </c>
      <c r="L1691" s="1137"/>
      <c r="M1691" s="1175">
        <f t="shared" si="179"/>
        <v>0</v>
      </c>
      <c r="N1691" s="1167">
        <f t="shared" si="183"/>
        <v>0</v>
      </c>
      <c r="O1691" s="1165"/>
      <c r="Q1691" s="317" t="str">
        <f t="shared" si="180"/>
        <v/>
      </c>
      <c r="R1691" s="317" t="str">
        <f t="shared" si="181"/>
        <v/>
      </c>
      <c r="S1691" s="317" t="str">
        <f t="shared" si="182"/>
        <v/>
      </c>
      <c r="T1691" s="317" t="str">
        <f>GLOBAL_DER_FEV_2023!S1691</f>
        <v/>
      </c>
      <c r="W1691" s="582">
        <v>0</v>
      </c>
      <c r="X1691" s="580"/>
      <c r="Y1691" s="583">
        <f>IF(GLOBAL_DER_FEV_2023!W1691=0,0,IF(GLOBAL_DER_FEV_2023!W1691&gt;0,"c","b"))</f>
        <v>0</v>
      </c>
    </row>
    <row r="1692" spans="1:25" ht="15" customHeight="1" x14ac:dyDescent="0.2">
      <c r="A1692" s="640" t="s">
        <v>165</v>
      </c>
      <c r="B1692" s="1036" t="str">
        <f>GLOBAL_DER_FEV_2023!B1692</f>
        <v>96555</v>
      </c>
      <c r="C1692" s="1072" t="str">
        <f>GLOBAL_DER_FEV_2023!C1692</f>
        <v>SINAPI</v>
      </c>
      <c r="D1692" s="1141" t="str">
        <f>GLOBAL_DER_FEV_2023!D1692</f>
        <v>CONCRETAGEM DE BLOCOS DE COROAMENTO E VIGAS BALDRAME, FCK 30 MPA, COM USO DE JERICA LANÇAMENTO, ADENSAMENTO E ACABAMENTO. AF_06/2017</v>
      </c>
      <c r="E1692" s="907">
        <f>GLOBAL_DER_FEV_2023!E1692</f>
        <v>560.14</v>
      </c>
      <c r="F1692" s="908">
        <f>GLOBAL_DER_FEV_2023!F1692</f>
        <v>560.14</v>
      </c>
      <c r="G1692" s="912">
        <f>GLOBAL_DER_FEV_2023!G1692</f>
        <v>672.56</v>
      </c>
      <c r="H1692" s="901">
        <f>GLOBAL_DER_FEV_2023!H1692</f>
        <v>0</v>
      </c>
      <c r="I1692" s="901">
        <f>GLOBAL_DER_FEV_2023!I1692</f>
        <v>672.56</v>
      </c>
      <c r="J1692" s="890">
        <f>GLOBAL_DER_FEV_2023!J1692</f>
        <v>807.54</v>
      </c>
      <c r="K1692" s="903" t="str">
        <f>GLOBAL_DER_FEV_2023!K1692</f>
        <v>m3</v>
      </c>
      <c r="L1692" s="1137"/>
      <c r="M1692" s="1175">
        <f t="shared" si="179"/>
        <v>0</v>
      </c>
      <c r="N1692" s="1167">
        <f t="shared" si="183"/>
        <v>0</v>
      </c>
      <c r="O1692" s="1165"/>
      <c r="Q1692" s="317" t="str">
        <f t="shared" si="180"/>
        <v/>
      </c>
      <c r="R1692" s="317" t="str">
        <f t="shared" si="181"/>
        <v/>
      </c>
      <c r="S1692" s="317" t="str">
        <f t="shared" si="182"/>
        <v/>
      </c>
      <c r="T1692" s="317" t="str">
        <f>GLOBAL_DER_FEV_2023!S1692</f>
        <v/>
      </c>
      <c r="W1692" s="582">
        <v>0</v>
      </c>
      <c r="X1692" s="580"/>
      <c r="Y1692" s="583">
        <f>IF(GLOBAL_DER_FEV_2023!W1692=0,0,IF(GLOBAL_DER_FEV_2023!W1692&gt;0,"c","b"))</f>
        <v>0</v>
      </c>
    </row>
    <row r="1693" spans="1:25" ht="15" customHeight="1" x14ac:dyDescent="0.2">
      <c r="A1693" s="640" t="s">
        <v>165</v>
      </c>
      <c r="B1693" s="1036" t="str">
        <f>GLOBAL_DER_FEV_2023!B1693</f>
        <v/>
      </c>
      <c r="C1693" s="1072" t="str">
        <f>GLOBAL_DER_FEV_2023!C1693</f>
        <v/>
      </c>
      <c r="D1693" s="1141">
        <f>GLOBAL_DER_FEV_2023!D1693</f>
        <v>0</v>
      </c>
      <c r="E1693" s="907">
        <f>GLOBAL_DER_FEV_2023!E1693</f>
        <v>0</v>
      </c>
      <c r="F1693" s="908">
        <f>GLOBAL_DER_FEV_2023!F1693</f>
        <v>0</v>
      </c>
      <c r="G1693" s="912">
        <f>GLOBAL_DER_FEV_2023!G1693</f>
        <v>0</v>
      </c>
      <c r="H1693" s="901">
        <f>GLOBAL_DER_FEV_2023!H1693</f>
        <v>0</v>
      </c>
      <c r="I1693" s="901">
        <f>GLOBAL_DER_FEV_2023!I1693</f>
        <v>0</v>
      </c>
      <c r="J1693" s="890">
        <f>GLOBAL_DER_FEV_2023!J1693</f>
        <v>0</v>
      </c>
      <c r="K1693" s="903" t="str">
        <f>GLOBAL_DER_FEV_2023!K1693</f>
        <v xml:space="preserve">     </v>
      </c>
      <c r="L1693" s="1137"/>
      <c r="M1693" s="1175">
        <f t="shared" si="179"/>
        <v>0</v>
      </c>
      <c r="N1693" s="1167">
        <f t="shared" si="183"/>
        <v>0</v>
      </c>
      <c r="O1693" s="1165"/>
      <c r="Q1693" s="317" t="str">
        <f t="shared" si="180"/>
        <v/>
      </c>
      <c r="R1693" s="317" t="str">
        <f t="shared" si="181"/>
        <v/>
      </c>
      <c r="S1693" s="317" t="str">
        <f t="shared" si="182"/>
        <v/>
      </c>
      <c r="T1693" s="317" t="str">
        <f>GLOBAL_DER_FEV_2023!S1693</f>
        <v/>
      </c>
      <c r="W1693" s="582">
        <v>0</v>
      </c>
      <c r="X1693" s="580"/>
      <c r="Y1693" s="583">
        <f>IF(GLOBAL_DER_FEV_2023!W1693=0,0,IF(GLOBAL_DER_FEV_2023!W1693&gt;0,"c","b"))</f>
        <v>0</v>
      </c>
    </row>
    <row r="1694" spans="1:25" ht="15" customHeight="1" x14ac:dyDescent="0.2">
      <c r="A1694" s="640" t="s">
        <v>165</v>
      </c>
      <c r="B1694" s="1036" t="str">
        <f>GLOBAL_DER_FEV_2023!B1694</f>
        <v/>
      </c>
      <c r="C1694" s="1072" t="str">
        <f>GLOBAL_DER_FEV_2023!C1694</f>
        <v/>
      </c>
      <c r="D1694" s="1141">
        <f>GLOBAL_DER_FEV_2023!D1694</f>
        <v>0</v>
      </c>
      <c r="E1694" s="907">
        <f>GLOBAL_DER_FEV_2023!E1694</f>
        <v>0</v>
      </c>
      <c r="F1694" s="908">
        <f>GLOBAL_DER_FEV_2023!F1694</f>
        <v>0</v>
      </c>
      <c r="G1694" s="912">
        <f>GLOBAL_DER_FEV_2023!G1694</f>
        <v>0</v>
      </c>
      <c r="H1694" s="901">
        <f>GLOBAL_DER_FEV_2023!H1694</f>
        <v>0</v>
      </c>
      <c r="I1694" s="901">
        <f>GLOBAL_DER_FEV_2023!I1694</f>
        <v>0</v>
      </c>
      <c r="J1694" s="890">
        <f>GLOBAL_DER_FEV_2023!J1694</f>
        <v>0</v>
      </c>
      <c r="K1694" s="903" t="str">
        <f>GLOBAL_DER_FEV_2023!K1694</f>
        <v xml:space="preserve">     </v>
      </c>
      <c r="L1694" s="1137"/>
      <c r="M1694" s="1175">
        <f t="shared" si="179"/>
        <v>0</v>
      </c>
      <c r="N1694" s="1167">
        <f t="shared" si="183"/>
        <v>0</v>
      </c>
      <c r="O1694" s="1165"/>
      <c r="Q1694" s="317" t="str">
        <f t="shared" si="180"/>
        <v/>
      </c>
      <c r="R1694" s="317" t="str">
        <f t="shared" si="181"/>
        <v/>
      </c>
      <c r="S1694" s="317" t="str">
        <f t="shared" si="182"/>
        <v/>
      </c>
      <c r="T1694" s="317" t="str">
        <f>GLOBAL_DER_FEV_2023!S1694</f>
        <v/>
      </c>
      <c r="W1694" s="582">
        <v>0</v>
      </c>
      <c r="X1694" s="580"/>
      <c r="Y1694" s="583">
        <f>IF(GLOBAL_DER_FEV_2023!W1694=0,0,IF(GLOBAL_DER_FEV_2023!W1694&gt;0,"c","b"))</f>
        <v>0</v>
      </c>
    </row>
    <row r="1695" spans="1:25" ht="15" customHeight="1" x14ac:dyDescent="0.2">
      <c r="A1695" s="640" t="s">
        <v>165</v>
      </c>
      <c r="B1695" s="1036" t="str">
        <f>GLOBAL_DER_FEV_2023!B1695</f>
        <v/>
      </c>
      <c r="C1695" s="1072" t="str">
        <f>GLOBAL_DER_FEV_2023!C1695</f>
        <v/>
      </c>
      <c r="D1695" s="1141">
        <f>GLOBAL_DER_FEV_2023!D1695</f>
        <v>0</v>
      </c>
      <c r="E1695" s="907">
        <f>GLOBAL_DER_FEV_2023!E1695</f>
        <v>0</v>
      </c>
      <c r="F1695" s="908">
        <f>GLOBAL_DER_FEV_2023!F1695</f>
        <v>0</v>
      </c>
      <c r="G1695" s="912">
        <f>GLOBAL_DER_FEV_2023!G1695</f>
        <v>0</v>
      </c>
      <c r="H1695" s="901">
        <f>GLOBAL_DER_FEV_2023!H1695</f>
        <v>0</v>
      </c>
      <c r="I1695" s="901">
        <f>GLOBAL_DER_FEV_2023!I1695</f>
        <v>0</v>
      </c>
      <c r="J1695" s="890">
        <f>GLOBAL_DER_FEV_2023!J1695</f>
        <v>0</v>
      </c>
      <c r="K1695" s="903" t="str">
        <f>GLOBAL_DER_FEV_2023!K1695</f>
        <v xml:space="preserve">     </v>
      </c>
      <c r="L1695" s="1137"/>
      <c r="M1695" s="1175">
        <f t="shared" si="179"/>
        <v>0</v>
      </c>
      <c r="N1695" s="1167">
        <f t="shared" si="183"/>
        <v>0</v>
      </c>
      <c r="O1695" s="1165"/>
      <c r="Q1695" s="317" t="str">
        <f t="shared" si="180"/>
        <v/>
      </c>
      <c r="R1695" s="317" t="str">
        <f t="shared" si="181"/>
        <v/>
      </c>
      <c r="S1695" s="317" t="str">
        <f t="shared" si="182"/>
        <v/>
      </c>
      <c r="T1695" s="317" t="str">
        <f>GLOBAL_DER_FEV_2023!S1695</f>
        <v/>
      </c>
      <c r="W1695" s="582">
        <v>0</v>
      </c>
      <c r="X1695" s="580"/>
      <c r="Y1695" s="583">
        <f>IF(GLOBAL_DER_FEV_2023!W1695=0,0,IF(GLOBAL_DER_FEV_2023!W1695&gt;0,"c","b"))</f>
        <v>0</v>
      </c>
    </row>
    <row r="1696" spans="1:25" ht="15" customHeight="1" x14ac:dyDescent="0.2">
      <c r="A1696" s="640" t="s">
        <v>165</v>
      </c>
      <c r="B1696" s="1036" t="str">
        <f>GLOBAL_DER_FEV_2023!B1696</f>
        <v/>
      </c>
      <c r="C1696" s="1072" t="str">
        <f>GLOBAL_DER_FEV_2023!C1696</f>
        <v/>
      </c>
      <c r="D1696" s="1141">
        <f>GLOBAL_DER_FEV_2023!D1696</f>
        <v>0</v>
      </c>
      <c r="E1696" s="907">
        <f>GLOBAL_DER_FEV_2023!E1696</f>
        <v>0</v>
      </c>
      <c r="F1696" s="908">
        <f>GLOBAL_DER_FEV_2023!F1696</f>
        <v>0</v>
      </c>
      <c r="G1696" s="912">
        <f>GLOBAL_DER_FEV_2023!G1696</f>
        <v>0</v>
      </c>
      <c r="H1696" s="901">
        <f>GLOBAL_DER_FEV_2023!H1696</f>
        <v>0</v>
      </c>
      <c r="I1696" s="901">
        <f>GLOBAL_DER_FEV_2023!I1696</f>
        <v>0</v>
      </c>
      <c r="J1696" s="890">
        <f>GLOBAL_DER_FEV_2023!J1696</f>
        <v>0</v>
      </c>
      <c r="K1696" s="903" t="str">
        <f>GLOBAL_DER_FEV_2023!K1696</f>
        <v xml:space="preserve">     </v>
      </c>
      <c r="L1696" s="1137"/>
      <c r="M1696" s="1175">
        <f t="shared" si="179"/>
        <v>0</v>
      </c>
      <c r="N1696" s="1167">
        <f t="shared" si="183"/>
        <v>0</v>
      </c>
      <c r="O1696" s="905"/>
      <c r="Q1696" s="317" t="str">
        <f t="shared" si="180"/>
        <v/>
      </c>
      <c r="R1696" s="317" t="str">
        <f t="shared" si="181"/>
        <v/>
      </c>
      <c r="S1696" s="317" t="str">
        <f t="shared" si="182"/>
        <v/>
      </c>
      <c r="T1696" s="317" t="str">
        <f>GLOBAL_DER_FEV_2023!S1696</f>
        <v/>
      </c>
      <c r="W1696" s="582">
        <v>0</v>
      </c>
      <c r="X1696" s="580"/>
      <c r="Y1696" s="583">
        <f>IF(GLOBAL_DER_FEV_2023!W1696=0,0,IF(GLOBAL_DER_FEV_2023!W1696&gt;0,"c","b"))</f>
        <v>0</v>
      </c>
    </row>
    <row r="1697" spans="1:25" ht="15" customHeight="1" x14ac:dyDescent="0.2">
      <c r="A1697" s="640" t="s">
        <v>165</v>
      </c>
      <c r="B1697" s="1036" t="str">
        <f>GLOBAL_DER_FEV_2023!B1697</f>
        <v/>
      </c>
      <c r="C1697" s="1072" t="str">
        <f>GLOBAL_DER_FEV_2023!C1697</f>
        <v/>
      </c>
      <c r="D1697" s="1141">
        <f>GLOBAL_DER_FEV_2023!D1697</f>
        <v>0</v>
      </c>
      <c r="E1697" s="907">
        <f>GLOBAL_DER_FEV_2023!E1697</f>
        <v>0</v>
      </c>
      <c r="F1697" s="908">
        <f>GLOBAL_DER_FEV_2023!F1697</f>
        <v>0</v>
      </c>
      <c r="G1697" s="912">
        <f>GLOBAL_DER_FEV_2023!G1697</f>
        <v>0</v>
      </c>
      <c r="H1697" s="901">
        <f>GLOBAL_DER_FEV_2023!H1697</f>
        <v>0</v>
      </c>
      <c r="I1697" s="901">
        <f>GLOBAL_DER_FEV_2023!I1697</f>
        <v>0</v>
      </c>
      <c r="J1697" s="890">
        <f>GLOBAL_DER_FEV_2023!J1697</f>
        <v>0</v>
      </c>
      <c r="K1697" s="903" t="str">
        <f>GLOBAL_DER_FEV_2023!K1697</f>
        <v xml:space="preserve">     </v>
      </c>
      <c r="L1697" s="1137"/>
      <c r="M1697" s="1175">
        <f t="shared" si="179"/>
        <v>0</v>
      </c>
      <c r="N1697" s="1167">
        <f t="shared" si="183"/>
        <v>0</v>
      </c>
      <c r="O1697" s="905"/>
      <c r="Q1697" s="317" t="str">
        <f t="shared" si="180"/>
        <v/>
      </c>
      <c r="R1697" s="317" t="str">
        <f t="shared" si="181"/>
        <v/>
      </c>
      <c r="S1697" s="317" t="str">
        <f t="shared" si="182"/>
        <v/>
      </c>
      <c r="T1697" s="317" t="str">
        <f>GLOBAL_DER_FEV_2023!S1697</f>
        <v/>
      </c>
      <c r="W1697" s="582">
        <v>0</v>
      </c>
      <c r="X1697" s="580"/>
      <c r="Y1697" s="583">
        <f>IF(GLOBAL_DER_FEV_2023!W1697=0,0,IF(GLOBAL_DER_FEV_2023!W1697&gt;0,"c","b"))</f>
        <v>0</v>
      </c>
    </row>
    <row r="1698" spans="1:25" ht="15" customHeight="1" x14ac:dyDescent="0.2">
      <c r="A1698" s="640" t="s">
        <v>165</v>
      </c>
      <c r="B1698" s="1036" t="str">
        <f>GLOBAL_DER_FEV_2023!B1698</f>
        <v/>
      </c>
      <c r="C1698" s="1072" t="str">
        <f>GLOBAL_DER_FEV_2023!C1698</f>
        <v/>
      </c>
      <c r="D1698" s="1141">
        <f>GLOBAL_DER_FEV_2023!D1698</f>
        <v>0</v>
      </c>
      <c r="E1698" s="907">
        <f>GLOBAL_DER_FEV_2023!E1698</f>
        <v>0</v>
      </c>
      <c r="F1698" s="908">
        <f>GLOBAL_DER_FEV_2023!F1698</f>
        <v>0</v>
      </c>
      <c r="G1698" s="912">
        <f>GLOBAL_DER_FEV_2023!G1698</f>
        <v>0</v>
      </c>
      <c r="H1698" s="901">
        <f>GLOBAL_DER_FEV_2023!H1698</f>
        <v>0</v>
      </c>
      <c r="I1698" s="901">
        <f>GLOBAL_DER_FEV_2023!I1698</f>
        <v>0</v>
      </c>
      <c r="J1698" s="890">
        <f>GLOBAL_DER_FEV_2023!J1698</f>
        <v>0</v>
      </c>
      <c r="K1698" s="903" t="str">
        <f>GLOBAL_DER_FEV_2023!K1698</f>
        <v xml:space="preserve">     </v>
      </c>
      <c r="L1698" s="1137"/>
      <c r="M1698" s="1175">
        <f t="shared" si="179"/>
        <v>0</v>
      </c>
      <c r="N1698" s="1167">
        <f t="shared" si="183"/>
        <v>0</v>
      </c>
      <c r="O1698" s="905"/>
      <c r="Q1698" s="317" t="str">
        <f t="shared" si="180"/>
        <v/>
      </c>
      <c r="R1698" s="317" t="str">
        <f t="shared" si="181"/>
        <v/>
      </c>
      <c r="S1698" s="317" t="str">
        <f t="shared" si="182"/>
        <v/>
      </c>
      <c r="T1698" s="317" t="str">
        <f>GLOBAL_DER_FEV_2023!S1698</f>
        <v/>
      </c>
      <c r="W1698" s="582">
        <v>0</v>
      </c>
      <c r="X1698" s="580"/>
      <c r="Y1698" s="583">
        <f>IF(GLOBAL_DER_FEV_2023!W1698=0,0,IF(GLOBAL_DER_FEV_2023!W1698&gt;0,"c","b"))</f>
        <v>0</v>
      </c>
    </row>
    <row r="1699" spans="1:25" ht="15" customHeight="1" x14ac:dyDescent="0.2">
      <c r="A1699" s="640" t="s">
        <v>165</v>
      </c>
      <c r="B1699" s="1036" t="str">
        <f>GLOBAL_DER_FEV_2023!B1699</f>
        <v/>
      </c>
      <c r="C1699" s="1072" t="str">
        <f>GLOBAL_DER_FEV_2023!C1699</f>
        <v/>
      </c>
      <c r="D1699" s="1141">
        <f>GLOBAL_DER_FEV_2023!D1699</f>
        <v>0</v>
      </c>
      <c r="E1699" s="907">
        <f>GLOBAL_DER_FEV_2023!E1699</f>
        <v>0</v>
      </c>
      <c r="F1699" s="908">
        <f>GLOBAL_DER_FEV_2023!F1699</f>
        <v>0</v>
      </c>
      <c r="G1699" s="912">
        <f>GLOBAL_DER_FEV_2023!G1699</f>
        <v>0</v>
      </c>
      <c r="H1699" s="901">
        <f>GLOBAL_DER_FEV_2023!H1699</f>
        <v>0</v>
      </c>
      <c r="I1699" s="901">
        <f>GLOBAL_DER_FEV_2023!I1699</f>
        <v>0</v>
      </c>
      <c r="J1699" s="890">
        <f>GLOBAL_DER_FEV_2023!J1699</f>
        <v>0</v>
      </c>
      <c r="K1699" s="903" t="str">
        <f>GLOBAL_DER_FEV_2023!K1699</f>
        <v xml:space="preserve">     </v>
      </c>
      <c r="L1699" s="1137"/>
      <c r="M1699" s="1175">
        <f t="shared" si="179"/>
        <v>0</v>
      </c>
      <c r="N1699" s="1167">
        <f t="shared" si="183"/>
        <v>0</v>
      </c>
      <c r="O1699" s="905"/>
      <c r="Q1699" s="317" t="str">
        <f t="shared" si="180"/>
        <v/>
      </c>
      <c r="R1699" s="317" t="str">
        <f t="shared" si="181"/>
        <v/>
      </c>
      <c r="S1699" s="317" t="str">
        <f t="shared" si="182"/>
        <v/>
      </c>
      <c r="T1699" s="317" t="str">
        <f>GLOBAL_DER_FEV_2023!S1699</f>
        <v/>
      </c>
      <c r="W1699" s="582">
        <v>0</v>
      </c>
      <c r="X1699" s="580"/>
      <c r="Y1699" s="583">
        <f>IF(GLOBAL_DER_FEV_2023!W1699=0,0,IF(GLOBAL_DER_FEV_2023!W1699&gt;0,"c","b"))</f>
        <v>0</v>
      </c>
    </row>
    <row r="1700" spans="1:25" ht="15" customHeight="1" x14ac:dyDescent="0.2">
      <c r="A1700" s="640" t="s">
        <v>165</v>
      </c>
      <c r="B1700" s="1036" t="str">
        <f>GLOBAL_DER_FEV_2023!B1700</f>
        <v/>
      </c>
      <c r="C1700" s="1072" t="str">
        <f>GLOBAL_DER_FEV_2023!C1700</f>
        <v/>
      </c>
      <c r="D1700" s="1141">
        <f>GLOBAL_DER_FEV_2023!D1700</f>
        <v>0</v>
      </c>
      <c r="E1700" s="907">
        <f>GLOBAL_DER_FEV_2023!E1700</f>
        <v>0</v>
      </c>
      <c r="F1700" s="908">
        <f>GLOBAL_DER_FEV_2023!F1700</f>
        <v>0</v>
      </c>
      <c r="G1700" s="912">
        <f>GLOBAL_DER_FEV_2023!G1700</f>
        <v>0</v>
      </c>
      <c r="H1700" s="901">
        <f>GLOBAL_DER_FEV_2023!H1700</f>
        <v>0</v>
      </c>
      <c r="I1700" s="901">
        <f>GLOBAL_DER_FEV_2023!I1700</f>
        <v>0</v>
      </c>
      <c r="J1700" s="890">
        <f>GLOBAL_DER_FEV_2023!J1700</f>
        <v>0</v>
      </c>
      <c r="K1700" s="903" t="str">
        <f>GLOBAL_DER_FEV_2023!K1700</f>
        <v xml:space="preserve">     </v>
      </c>
      <c r="L1700" s="1137"/>
      <c r="M1700" s="1175">
        <f t="shared" si="179"/>
        <v>0</v>
      </c>
      <c r="N1700" s="1167">
        <f t="shared" si="183"/>
        <v>0</v>
      </c>
      <c r="O1700" s="905"/>
      <c r="Q1700" s="317" t="str">
        <f t="shared" si="180"/>
        <v/>
      </c>
      <c r="R1700" s="317" t="str">
        <f t="shared" si="181"/>
        <v/>
      </c>
      <c r="S1700" s="317" t="str">
        <f t="shared" si="182"/>
        <v/>
      </c>
      <c r="T1700" s="317" t="str">
        <f>GLOBAL_DER_FEV_2023!S1700</f>
        <v/>
      </c>
      <c r="W1700" s="582">
        <v>0</v>
      </c>
      <c r="X1700" s="580"/>
      <c r="Y1700" s="583">
        <f>IF(GLOBAL_DER_FEV_2023!W1700=0,0,IF(GLOBAL_DER_FEV_2023!W1700&gt;0,"c","b"))</f>
        <v>0</v>
      </c>
    </row>
    <row r="1701" spans="1:25" ht="15" customHeight="1" x14ac:dyDescent="0.2">
      <c r="A1701" s="640" t="s">
        <v>165</v>
      </c>
      <c r="B1701" s="1036" t="str">
        <f>GLOBAL_DER_FEV_2023!B1701</f>
        <v/>
      </c>
      <c r="C1701" s="1072" t="str">
        <f>GLOBAL_DER_FEV_2023!C1701</f>
        <v/>
      </c>
      <c r="D1701" s="1141">
        <f>GLOBAL_DER_FEV_2023!D1701</f>
        <v>0</v>
      </c>
      <c r="E1701" s="907">
        <f>GLOBAL_DER_FEV_2023!E1701</f>
        <v>0</v>
      </c>
      <c r="F1701" s="908">
        <f>GLOBAL_DER_FEV_2023!F1701</f>
        <v>0</v>
      </c>
      <c r="G1701" s="912">
        <f>GLOBAL_DER_FEV_2023!G1701</f>
        <v>0</v>
      </c>
      <c r="H1701" s="901">
        <f>GLOBAL_DER_FEV_2023!H1701</f>
        <v>0</v>
      </c>
      <c r="I1701" s="901">
        <f>GLOBAL_DER_FEV_2023!I1701</f>
        <v>0</v>
      </c>
      <c r="J1701" s="890">
        <f>GLOBAL_DER_FEV_2023!J1701</f>
        <v>0</v>
      </c>
      <c r="K1701" s="903" t="str">
        <f>GLOBAL_DER_FEV_2023!K1701</f>
        <v xml:space="preserve">     </v>
      </c>
      <c r="L1701" s="1137"/>
      <c r="M1701" s="1175">
        <f t="shared" si="179"/>
        <v>0</v>
      </c>
      <c r="N1701" s="1167">
        <f t="shared" si="183"/>
        <v>0</v>
      </c>
      <c r="O1701" s="905"/>
      <c r="Q1701" s="317" t="str">
        <f t="shared" si="180"/>
        <v/>
      </c>
      <c r="R1701" s="317" t="str">
        <f t="shared" si="181"/>
        <v/>
      </c>
      <c r="S1701" s="317" t="str">
        <f t="shared" si="182"/>
        <v/>
      </c>
      <c r="T1701" s="317" t="str">
        <f>GLOBAL_DER_FEV_2023!S1701</f>
        <v/>
      </c>
      <c r="W1701" s="582">
        <v>0</v>
      </c>
      <c r="X1701" s="580"/>
      <c r="Y1701" s="583">
        <f>IF(GLOBAL_DER_FEV_2023!W1701=0,0,IF(GLOBAL_DER_FEV_2023!W1701&gt;0,"c","b"))</f>
        <v>0</v>
      </c>
    </row>
    <row r="1702" spans="1:25" ht="15" customHeight="1" x14ac:dyDescent="0.2">
      <c r="A1702" s="640" t="s">
        <v>165</v>
      </c>
      <c r="B1702" s="1036" t="str">
        <f>GLOBAL_DER_FEV_2023!B1702</f>
        <v/>
      </c>
      <c r="C1702" s="1072" t="str">
        <f>GLOBAL_DER_FEV_2023!C1702</f>
        <v/>
      </c>
      <c r="D1702" s="1141">
        <f>GLOBAL_DER_FEV_2023!D1702</f>
        <v>0</v>
      </c>
      <c r="E1702" s="907">
        <f>GLOBAL_DER_FEV_2023!E1702</f>
        <v>0</v>
      </c>
      <c r="F1702" s="908">
        <f>GLOBAL_DER_FEV_2023!F1702</f>
        <v>0</v>
      </c>
      <c r="G1702" s="912">
        <f>GLOBAL_DER_FEV_2023!G1702</f>
        <v>0</v>
      </c>
      <c r="H1702" s="901">
        <f>GLOBAL_DER_FEV_2023!H1702</f>
        <v>0</v>
      </c>
      <c r="I1702" s="901">
        <f>GLOBAL_DER_FEV_2023!I1702</f>
        <v>0</v>
      </c>
      <c r="J1702" s="890">
        <f>GLOBAL_DER_FEV_2023!J1702</f>
        <v>0</v>
      </c>
      <c r="K1702" s="903" t="str">
        <f>GLOBAL_DER_FEV_2023!K1702</f>
        <v xml:space="preserve">     </v>
      </c>
      <c r="L1702" s="1137"/>
      <c r="M1702" s="1175">
        <f t="shared" si="179"/>
        <v>0</v>
      </c>
      <c r="N1702" s="1167">
        <f t="shared" si="183"/>
        <v>0</v>
      </c>
      <c r="O1702" s="905"/>
      <c r="Q1702" s="317" t="str">
        <f t="shared" si="180"/>
        <v/>
      </c>
      <c r="R1702" s="317" t="str">
        <f t="shared" si="181"/>
        <v/>
      </c>
      <c r="S1702" s="317" t="str">
        <f t="shared" si="182"/>
        <v/>
      </c>
      <c r="T1702" s="317" t="str">
        <f>GLOBAL_DER_FEV_2023!S1702</f>
        <v/>
      </c>
      <c r="W1702" s="582">
        <v>0</v>
      </c>
      <c r="X1702" s="580"/>
      <c r="Y1702" s="583">
        <f>IF(GLOBAL_DER_FEV_2023!W1702=0,0,IF(GLOBAL_DER_FEV_2023!W1702&gt;0,"c","b"))</f>
        <v>0</v>
      </c>
    </row>
    <row r="1703" spans="1:25" ht="15" customHeight="1" x14ac:dyDescent="0.2">
      <c r="A1703" s="640" t="s">
        <v>165</v>
      </c>
      <c r="B1703" s="1036" t="str">
        <f>GLOBAL_DER_FEV_2023!B1703</f>
        <v/>
      </c>
      <c r="C1703" s="1072" t="str">
        <f>GLOBAL_DER_FEV_2023!C1703</f>
        <v/>
      </c>
      <c r="D1703" s="1141">
        <f>GLOBAL_DER_FEV_2023!D1703</f>
        <v>0</v>
      </c>
      <c r="E1703" s="907">
        <f>GLOBAL_DER_FEV_2023!E1703</f>
        <v>0</v>
      </c>
      <c r="F1703" s="908">
        <f>GLOBAL_DER_FEV_2023!F1703</f>
        <v>0</v>
      </c>
      <c r="G1703" s="912">
        <f>GLOBAL_DER_FEV_2023!G1703</f>
        <v>0</v>
      </c>
      <c r="H1703" s="901">
        <f>GLOBAL_DER_FEV_2023!H1703</f>
        <v>0</v>
      </c>
      <c r="I1703" s="901">
        <f>GLOBAL_DER_FEV_2023!I1703</f>
        <v>0</v>
      </c>
      <c r="J1703" s="890">
        <f>GLOBAL_DER_FEV_2023!J1703</f>
        <v>0</v>
      </c>
      <c r="K1703" s="903" t="str">
        <f>GLOBAL_DER_FEV_2023!K1703</f>
        <v xml:space="preserve">     </v>
      </c>
      <c r="L1703" s="1137"/>
      <c r="M1703" s="1175">
        <f t="shared" si="179"/>
        <v>0</v>
      </c>
      <c r="N1703" s="1167">
        <f t="shared" si="183"/>
        <v>0</v>
      </c>
      <c r="O1703" s="905"/>
      <c r="Q1703" s="317" t="str">
        <f t="shared" si="180"/>
        <v/>
      </c>
      <c r="R1703" s="317" t="str">
        <f t="shared" si="181"/>
        <v/>
      </c>
      <c r="S1703" s="317" t="str">
        <f t="shared" si="182"/>
        <v/>
      </c>
      <c r="T1703" s="317" t="str">
        <f>GLOBAL_DER_FEV_2023!S1703</f>
        <v/>
      </c>
      <c r="W1703" s="582">
        <v>0</v>
      </c>
      <c r="X1703" s="580"/>
      <c r="Y1703" s="583">
        <f>IF(GLOBAL_DER_FEV_2023!W1703=0,0,IF(GLOBAL_DER_FEV_2023!W1703&gt;0,"c","b"))</f>
        <v>0</v>
      </c>
    </row>
    <row r="1704" spans="1:25" ht="15" customHeight="1" x14ac:dyDescent="0.2">
      <c r="A1704" s="640" t="s">
        <v>165</v>
      </c>
      <c r="B1704" s="1036" t="str">
        <f>GLOBAL_DER_FEV_2023!B1704</f>
        <v/>
      </c>
      <c r="C1704" s="1072" t="str">
        <f>GLOBAL_DER_FEV_2023!C1704</f>
        <v/>
      </c>
      <c r="D1704" s="1141">
        <f>GLOBAL_DER_FEV_2023!D1704</f>
        <v>0</v>
      </c>
      <c r="E1704" s="907">
        <f>GLOBAL_DER_FEV_2023!E1704</f>
        <v>0</v>
      </c>
      <c r="F1704" s="908">
        <f>GLOBAL_DER_FEV_2023!F1704</f>
        <v>0</v>
      </c>
      <c r="G1704" s="912">
        <f>GLOBAL_DER_FEV_2023!G1704</f>
        <v>0</v>
      </c>
      <c r="H1704" s="901">
        <f>GLOBAL_DER_FEV_2023!H1704</f>
        <v>0</v>
      </c>
      <c r="I1704" s="901">
        <f>GLOBAL_DER_FEV_2023!I1704</f>
        <v>0</v>
      </c>
      <c r="J1704" s="890">
        <f>GLOBAL_DER_FEV_2023!J1704</f>
        <v>0</v>
      </c>
      <c r="K1704" s="903" t="str">
        <f>GLOBAL_DER_FEV_2023!K1704</f>
        <v xml:space="preserve">     </v>
      </c>
      <c r="L1704" s="1137"/>
      <c r="M1704" s="1175">
        <f t="shared" si="179"/>
        <v>0</v>
      </c>
      <c r="N1704" s="1167">
        <f t="shared" si="183"/>
        <v>0</v>
      </c>
      <c r="O1704" s="905"/>
      <c r="Q1704" s="317" t="str">
        <f t="shared" si="180"/>
        <v/>
      </c>
      <c r="R1704" s="317" t="str">
        <f t="shared" si="181"/>
        <v/>
      </c>
      <c r="S1704" s="317" t="str">
        <f t="shared" si="182"/>
        <v/>
      </c>
      <c r="T1704" s="317" t="str">
        <f>GLOBAL_DER_FEV_2023!S1704</f>
        <v/>
      </c>
      <c r="W1704" s="582">
        <v>0</v>
      </c>
      <c r="X1704" s="580"/>
      <c r="Y1704" s="583">
        <f>IF(GLOBAL_DER_FEV_2023!W1704=0,0,IF(GLOBAL_DER_FEV_2023!W1704&gt;0,"c","b"))</f>
        <v>0</v>
      </c>
    </row>
    <row r="1705" spans="1:25" ht="15" customHeight="1" x14ac:dyDescent="0.2">
      <c r="A1705" s="640" t="s">
        <v>165</v>
      </c>
      <c r="B1705" s="1036" t="str">
        <f>GLOBAL_DER_FEV_2023!B1705</f>
        <v/>
      </c>
      <c r="C1705" s="1072" t="str">
        <f>GLOBAL_DER_FEV_2023!C1705</f>
        <v/>
      </c>
      <c r="D1705" s="1141">
        <f>GLOBAL_DER_FEV_2023!D1705</f>
        <v>0</v>
      </c>
      <c r="E1705" s="907">
        <f>GLOBAL_DER_FEV_2023!E1705</f>
        <v>0</v>
      </c>
      <c r="F1705" s="908">
        <f>GLOBAL_DER_FEV_2023!F1705</f>
        <v>0</v>
      </c>
      <c r="G1705" s="912">
        <f>GLOBAL_DER_FEV_2023!G1705</f>
        <v>0</v>
      </c>
      <c r="H1705" s="901">
        <f>GLOBAL_DER_FEV_2023!H1705</f>
        <v>0</v>
      </c>
      <c r="I1705" s="901">
        <f>GLOBAL_DER_FEV_2023!I1705</f>
        <v>0</v>
      </c>
      <c r="J1705" s="890">
        <f>GLOBAL_DER_FEV_2023!J1705</f>
        <v>0</v>
      </c>
      <c r="K1705" s="903" t="str">
        <f>GLOBAL_DER_FEV_2023!K1705</f>
        <v xml:space="preserve">     </v>
      </c>
      <c r="L1705" s="1137"/>
      <c r="M1705" s="1175">
        <f t="shared" si="179"/>
        <v>0</v>
      </c>
      <c r="N1705" s="1167">
        <f t="shared" si="183"/>
        <v>0</v>
      </c>
      <c r="O1705" s="905"/>
      <c r="Q1705" s="317" t="str">
        <f t="shared" si="180"/>
        <v/>
      </c>
      <c r="R1705" s="317" t="str">
        <f t="shared" si="181"/>
        <v/>
      </c>
      <c r="S1705" s="317" t="str">
        <f t="shared" si="182"/>
        <v/>
      </c>
      <c r="T1705" s="317" t="str">
        <f>GLOBAL_DER_FEV_2023!S1705</f>
        <v/>
      </c>
      <c r="W1705" s="582">
        <v>0</v>
      </c>
      <c r="X1705" s="580"/>
      <c r="Y1705" s="583">
        <f>IF(GLOBAL_DER_FEV_2023!W1705=0,0,IF(GLOBAL_DER_FEV_2023!W1705&gt;0,"c","b"))</f>
        <v>0</v>
      </c>
    </row>
    <row r="1706" spans="1:25" ht="15" customHeight="1" x14ac:dyDescent="0.2">
      <c r="A1706" s="640" t="s">
        <v>165</v>
      </c>
      <c r="B1706" s="1036" t="str">
        <f>GLOBAL_DER_FEV_2023!B1706</f>
        <v/>
      </c>
      <c r="C1706" s="1072" t="str">
        <f>GLOBAL_DER_FEV_2023!C1706</f>
        <v/>
      </c>
      <c r="D1706" s="1141">
        <f>GLOBAL_DER_FEV_2023!D1706</f>
        <v>0</v>
      </c>
      <c r="E1706" s="907">
        <f>GLOBAL_DER_FEV_2023!E1706</f>
        <v>0</v>
      </c>
      <c r="F1706" s="908">
        <f>GLOBAL_DER_FEV_2023!F1706</f>
        <v>0</v>
      </c>
      <c r="G1706" s="912">
        <f>GLOBAL_DER_FEV_2023!G1706</f>
        <v>0</v>
      </c>
      <c r="H1706" s="901">
        <f>GLOBAL_DER_FEV_2023!H1706</f>
        <v>0</v>
      </c>
      <c r="I1706" s="901">
        <f>GLOBAL_DER_FEV_2023!I1706</f>
        <v>0</v>
      </c>
      <c r="J1706" s="890">
        <f>GLOBAL_DER_FEV_2023!J1706</f>
        <v>0</v>
      </c>
      <c r="K1706" s="903" t="str">
        <f>GLOBAL_DER_FEV_2023!K1706</f>
        <v xml:space="preserve">     </v>
      </c>
      <c r="L1706" s="1137"/>
      <c r="M1706" s="1175">
        <f t="shared" si="179"/>
        <v>0</v>
      </c>
      <c r="N1706" s="1167">
        <f t="shared" si="183"/>
        <v>0</v>
      </c>
      <c r="O1706" s="905"/>
      <c r="Q1706" s="317" t="str">
        <f t="shared" si="180"/>
        <v/>
      </c>
      <c r="R1706" s="317" t="str">
        <f t="shared" si="181"/>
        <v/>
      </c>
      <c r="S1706" s="317" t="str">
        <f t="shared" si="182"/>
        <v/>
      </c>
      <c r="T1706" s="317" t="str">
        <f>GLOBAL_DER_FEV_2023!S1706</f>
        <v/>
      </c>
      <c r="W1706" s="582">
        <v>0</v>
      </c>
      <c r="X1706" s="580"/>
      <c r="Y1706" s="583">
        <f>IF(GLOBAL_DER_FEV_2023!W1706=0,0,IF(GLOBAL_DER_FEV_2023!W1706&gt;0,"c","b"))</f>
        <v>0</v>
      </c>
    </row>
    <row r="1707" spans="1:25" ht="15" customHeight="1" x14ac:dyDescent="0.2">
      <c r="A1707" s="640" t="s">
        <v>165</v>
      </c>
      <c r="B1707" s="1036" t="str">
        <f>GLOBAL_DER_FEV_2023!B1707</f>
        <v/>
      </c>
      <c r="C1707" s="1072" t="str">
        <f>GLOBAL_DER_FEV_2023!C1707</f>
        <v/>
      </c>
      <c r="D1707" s="1141">
        <f>GLOBAL_DER_FEV_2023!D1707</f>
        <v>0</v>
      </c>
      <c r="E1707" s="907">
        <f>GLOBAL_DER_FEV_2023!E1707</f>
        <v>0</v>
      </c>
      <c r="F1707" s="908">
        <f>GLOBAL_DER_FEV_2023!F1707</f>
        <v>0</v>
      </c>
      <c r="G1707" s="912">
        <f>GLOBAL_DER_FEV_2023!G1707</f>
        <v>0</v>
      </c>
      <c r="H1707" s="901">
        <f>GLOBAL_DER_FEV_2023!H1707</f>
        <v>0</v>
      </c>
      <c r="I1707" s="901">
        <f>GLOBAL_DER_FEV_2023!I1707</f>
        <v>0</v>
      </c>
      <c r="J1707" s="890">
        <f>GLOBAL_DER_FEV_2023!J1707</f>
        <v>0</v>
      </c>
      <c r="K1707" s="903" t="str">
        <f>GLOBAL_DER_FEV_2023!K1707</f>
        <v xml:space="preserve">     </v>
      </c>
      <c r="L1707" s="1137"/>
      <c r="M1707" s="1175">
        <f t="shared" si="179"/>
        <v>0</v>
      </c>
      <c r="N1707" s="1167">
        <f t="shared" si="183"/>
        <v>0</v>
      </c>
      <c r="O1707" s="905"/>
      <c r="Q1707" s="317" t="str">
        <f t="shared" si="180"/>
        <v/>
      </c>
      <c r="R1707" s="317" t="str">
        <f t="shared" si="181"/>
        <v/>
      </c>
      <c r="S1707" s="317" t="str">
        <f t="shared" si="182"/>
        <v/>
      </c>
      <c r="T1707" s="317" t="str">
        <f>GLOBAL_DER_FEV_2023!S1707</f>
        <v/>
      </c>
      <c r="W1707" s="582">
        <v>0</v>
      </c>
      <c r="X1707" s="580"/>
      <c r="Y1707" s="583">
        <f>IF(GLOBAL_DER_FEV_2023!W1707=0,0,IF(GLOBAL_DER_FEV_2023!W1707&gt;0,"c","b"))</f>
        <v>0</v>
      </c>
    </row>
    <row r="1708" spans="1:25" ht="15" customHeight="1" x14ac:dyDescent="0.2">
      <c r="A1708" s="640" t="s">
        <v>165</v>
      </c>
      <c r="B1708" s="1036" t="str">
        <f>GLOBAL_DER_FEV_2023!B1708</f>
        <v/>
      </c>
      <c r="C1708" s="1072" t="str">
        <f>GLOBAL_DER_FEV_2023!C1708</f>
        <v/>
      </c>
      <c r="D1708" s="1141">
        <f>GLOBAL_DER_FEV_2023!D1708</f>
        <v>0</v>
      </c>
      <c r="E1708" s="907">
        <f>GLOBAL_DER_FEV_2023!E1708</f>
        <v>0</v>
      </c>
      <c r="F1708" s="908">
        <f>GLOBAL_DER_FEV_2023!F1708</f>
        <v>0</v>
      </c>
      <c r="G1708" s="912">
        <f>GLOBAL_DER_FEV_2023!G1708</f>
        <v>0</v>
      </c>
      <c r="H1708" s="901">
        <f>GLOBAL_DER_FEV_2023!H1708</f>
        <v>0</v>
      </c>
      <c r="I1708" s="901">
        <f>GLOBAL_DER_FEV_2023!I1708</f>
        <v>0</v>
      </c>
      <c r="J1708" s="890">
        <f>GLOBAL_DER_FEV_2023!J1708</f>
        <v>0</v>
      </c>
      <c r="K1708" s="903" t="str">
        <f>GLOBAL_DER_FEV_2023!K1708</f>
        <v xml:space="preserve">     </v>
      </c>
      <c r="L1708" s="1137"/>
      <c r="M1708" s="1175">
        <f t="shared" si="179"/>
        <v>0</v>
      </c>
      <c r="N1708" s="1167">
        <f t="shared" si="183"/>
        <v>0</v>
      </c>
      <c r="O1708" s="905"/>
      <c r="Q1708" s="317" t="str">
        <f t="shared" si="180"/>
        <v/>
      </c>
      <c r="R1708" s="317" t="str">
        <f t="shared" si="181"/>
        <v/>
      </c>
      <c r="S1708" s="317" t="str">
        <f t="shared" si="182"/>
        <v/>
      </c>
      <c r="T1708" s="317" t="str">
        <f>GLOBAL_DER_FEV_2023!S1708</f>
        <v/>
      </c>
      <c r="W1708" s="582">
        <v>0</v>
      </c>
      <c r="X1708" s="580"/>
      <c r="Y1708" s="583">
        <f>IF(GLOBAL_DER_FEV_2023!W1708=0,0,IF(GLOBAL_DER_FEV_2023!W1708&gt;0,"c","b"))</f>
        <v>0</v>
      </c>
    </row>
    <row r="1709" spans="1:25" ht="15" customHeight="1" x14ac:dyDescent="0.2">
      <c r="A1709" s="640" t="s">
        <v>165</v>
      </c>
      <c r="B1709" s="1036" t="str">
        <f>GLOBAL_DER_FEV_2023!B1709</f>
        <v/>
      </c>
      <c r="C1709" s="1072" t="str">
        <f>GLOBAL_DER_FEV_2023!C1709</f>
        <v/>
      </c>
      <c r="D1709" s="1141">
        <f>GLOBAL_DER_FEV_2023!D1709</f>
        <v>0</v>
      </c>
      <c r="E1709" s="907">
        <f>GLOBAL_DER_FEV_2023!E1709</f>
        <v>0</v>
      </c>
      <c r="F1709" s="908">
        <f>GLOBAL_DER_FEV_2023!F1709</f>
        <v>0</v>
      </c>
      <c r="G1709" s="912">
        <f>GLOBAL_DER_FEV_2023!G1709</f>
        <v>0</v>
      </c>
      <c r="H1709" s="901">
        <f>GLOBAL_DER_FEV_2023!H1709</f>
        <v>0</v>
      </c>
      <c r="I1709" s="901">
        <f>GLOBAL_DER_FEV_2023!I1709</f>
        <v>0</v>
      </c>
      <c r="J1709" s="890">
        <f>GLOBAL_DER_FEV_2023!J1709</f>
        <v>0</v>
      </c>
      <c r="K1709" s="903" t="str">
        <f>GLOBAL_DER_FEV_2023!K1709</f>
        <v xml:space="preserve">     </v>
      </c>
      <c r="L1709" s="1137"/>
      <c r="M1709" s="1175">
        <f t="shared" si="179"/>
        <v>0</v>
      </c>
      <c r="N1709" s="1167">
        <f t="shared" si="183"/>
        <v>0</v>
      </c>
      <c r="O1709" s="905"/>
      <c r="Q1709" s="317" t="str">
        <f t="shared" si="180"/>
        <v/>
      </c>
      <c r="R1709" s="317" t="str">
        <f t="shared" si="181"/>
        <v/>
      </c>
      <c r="S1709" s="317" t="str">
        <f t="shared" si="182"/>
        <v/>
      </c>
      <c r="T1709" s="317" t="str">
        <f>GLOBAL_DER_FEV_2023!S1709</f>
        <v/>
      </c>
      <c r="W1709" s="582">
        <v>0</v>
      </c>
      <c r="X1709" s="580"/>
      <c r="Y1709" s="583">
        <f>IF(GLOBAL_DER_FEV_2023!W1709=0,0,IF(GLOBAL_DER_FEV_2023!W1709&gt;0,"c","b"))</f>
        <v>0</v>
      </c>
    </row>
    <row r="1710" spans="1:25" ht="15" customHeight="1" x14ac:dyDescent="0.2">
      <c r="A1710" s="640" t="s">
        <v>165</v>
      </c>
      <c r="B1710" s="1036" t="str">
        <f>GLOBAL_DER_FEV_2023!B1710</f>
        <v/>
      </c>
      <c r="C1710" s="1072" t="str">
        <f>GLOBAL_DER_FEV_2023!C1710</f>
        <v/>
      </c>
      <c r="D1710" s="1141">
        <f>GLOBAL_DER_FEV_2023!D1710</f>
        <v>0</v>
      </c>
      <c r="E1710" s="907">
        <f>GLOBAL_DER_FEV_2023!E1710</f>
        <v>0</v>
      </c>
      <c r="F1710" s="908">
        <f>GLOBAL_DER_FEV_2023!F1710</f>
        <v>0</v>
      </c>
      <c r="G1710" s="912">
        <f>GLOBAL_DER_FEV_2023!G1710</f>
        <v>0</v>
      </c>
      <c r="H1710" s="901">
        <f>GLOBAL_DER_FEV_2023!H1710</f>
        <v>0</v>
      </c>
      <c r="I1710" s="901">
        <f>GLOBAL_DER_FEV_2023!I1710</f>
        <v>0</v>
      </c>
      <c r="J1710" s="890">
        <f>GLOBAL_DER_FEV_2023!J1710</f>
        <v>0</v>
      </c>
      <c r="K1710" s="903" t="str">
        <f>GLOBAL_DER_FEV_2023!K1710</f>
        <v xml:space="preserve">     </v>
      </c>
      <c r="L1710" s="1137"/>
      <c r="M1710" s="1175">
        <f t="shared" si="179"/>
        <v>0</v>
      </c>
      <c r="N1710" s="1167">
        <f t="shared" si="183"/>
        <v>0</v>
      </c>
      <c r="O1710" s="905"/>
      <c r="Q1710" s="317" t="str">
        <f t="shared" si="180"/>
        <v/>
      </c>
      <c r="R1710" s="317" t="str">
        <f t="shared" si="181"/>
        <v/>
      </c>
      <c r="S1710" s="317" t="str">
        <f t="shared" si="182"/>
        <v/>
      </c>
      <c r="T1710" s="317" t="str">
        <f>GLOBAL_DER_FEV_2023!S1710</f>
        <v/>
      </c>
      <c r="W1710" s="582">
        <v>0</v>
      </c>
      <c r="X1710" s="580"/>
      <c r="Y1710" s="583">
        <f>IF(GLOBAL_DER_FEV_2023!W1710=0,0,IF(GLOBAL_DER_FEV_2023!W1710&gt;0,"c","b"))</f>
        <v>0</v>
      </c>
    </row>
    <row r="1711" spans="1:25" ht="15" customHeight="1" x14ac:dyDescent="0.2">
      <c r="A1711" s="640" t="s">
        <v>165</v>
      </c>
      <c r="B1711" s="1036" t="str">
        <f>GLOBAL_DER_FEV_2023!B1711</f>
        <v/>
      </c>
      <c r="C1711" s="1072" t="str">
        <f>GLOBAL_DER_FEV_2023!C1711</f>
        <v/>
      </c>
      <c r="D1711" s="1141">
        <f>GLOBAL_DER_FEV_2023!D1711</f>
        <v>0</v>
      </c>
      <c r="E1711" s="907">
        <f>GLOBAL_DER_FEV_2023!E1711</f>
        <v>0</v>
      </c>
      <c r="F1711" s="908">
        <f>GLOBAL_DER_FEV_2023!F1711</f>
        <v>0</v>
      </c>
      <c r="G1711" s="912">
        <f>GLOBAL_DER_FEV_2023!G1711</f>
        <v>0</v>
      </c>
      <c r="H1711" s="901">
        <f>GLOBAL_DER_FEV_2023!H1711</f>
        <v>0</v>
      </c>
      <c r="I1711" s="901">
        <f>GLOBAL_DER_FEV_2023!I1711</f>
        <v>0</v>
      </c>
      <c r="J1711" s="890">
        <f>GLOBAL_DER_FEV_2023!J1711</f>
        <v>0</v>
      </c>
      <c r="K1711" s="903" t="str">
        <f>GLOBAL_DER_FEV_2023!K1711</f>
        <v xml:space="preserve">     </v>
      </c>
      <c r="L1711" s="1137"/>
      <c r="M1711" s="1175">
        <f t="shared" si="179"/>
        <v>0</v>
      </c>
      <c r="N1711" s="1167">
        <f t="shared" si="183"/>
        <v>0</v>
      </c>
      <c r="O1711" s="905"/>
      <c r="Q1711" s="317" t="str">
        <f t="shared" si="180"/>
        <v/>
      </c>
      <c r="R1711" s="317" t="str">
        <f t="shared" si="181"/>
        <v/>
      </c>
      <c r="S1711" s="317" t="str">
        <f t="shared" si="182"/>
        <v/>
      </c>
      <c r="T1711" s="317" t="str">
        <f>GLOBAL_DER_FEV_2023!S1711</f>
        <v/>
      </c>
      <c r="W1711" s="582">
        <v>0</v>
      </c>
      <c r="X1711" s="580"/>
      <c r="Y1711" s="583">
        <f>IF(GLOBAL_DER_FEV_2023!W1711=0,0,IF(GLOBAL_DER_FEV_2023!W1711&gt;0,"c","b"))</f>
        <v>0</v>
      </c>
    </row>
    <row r="1712" spans="1:25" ht="15" customHeight="1" x14ac:dyDescent="0.2">
      <c r="A1712" s="640" t="s">
        <v>165</v>
      </c>
      <c r="B1712" s="1036" t="str">
        <f>GLOBAL_DER_FEV_2023!B1712</f>
        <v/>
      </c>
      <c r="C1712" s="1072" t="str">
        <f>GLOBAL_DER_FEV_2023!C1712</f>
        <v/>
      </c>
      <c r="D1712" s="1141">
        <f>GLOBAL_DER_FEV_2023!D1712</f>
        <v>0</v>
      </c>
      <c r="E1712" s="907">
        <f>GLOBAL_DER_FEV_2023!E1712</f>
        <v>0</v>
      </c>
      <c r="F1712" s="908">
        <f>GLOBAL_DER_FEV_2023!F1712</f>
        <v>0</v>
      </c>
      <c r="G1712" s="912">
        <f>GLOBAL_DER_FEV_2023!G1712</f>
        <v>0</v>
      </c>
      <c r="H1712" s="901">
        <f>GLOBAL_DER_FEV_2023!H1712</f>
        <v>0</v>
      </c>
      <c r="I1712" s="901">
        <f>GLOBAL_DER_FEV_2023!I1712</f>
        <v>0</v>
      </c>
      <c r="J1712" s="890">
        <f>GLOBAL_DER_FEV_2023!J1712</f>
        <v>0</v>
      </c>
      <c r="K1712" s="903" t="str">
        <f>GLOBAL_DER_FEV_2023!K1712</f>
        <v xml:space="preserve">     </v>
      </c>
      <c r="L1712" s="1137"/>
      <c r="M1712" s="1175">
        <f t="shared" si="179"/>
        <v>0</v>
      </c>
      <c r="N1712" s="1167">
        <f t="shared" si="183"/>
        <v>0</v>
      </c>
      <c r="O1712" s="905"/>
      <c r="Q1712" s="317" t="str">
        <f t="shared" si="180"/>
        <v/>
      </c>
      <c r="R1712" s="317" t="str">
        <f t="shared" si="181"/>
        <v/>
      </c>
      <c r="S1712" s="317" t="str">
        <f t="shared" si="182"/>
        <v/>
      </c>
      <c r="T1712" s="317" t="str">
        <f>GLOBAL_DER_FEV_2023!S1712</f>
        <v/>
      </c>
      <c r="W1712" s="582">
        <v>0</v>
      </c>
      <c r="X1712" s="580"/>
      <c r="Y1712" s="583">
        <f>IF(GLOBAL_DER_FEV_2023!W1712=0,0,IF(GLOBAL_DER_FEV_2023!W1712&gt;0,"c","b"))</f>
        <v>0</v>
      </c>
    </row>
    <row r="1713" spans="1:25" ht="15" customHeight="1" x14ac:dyDescent="0.2">
      <c r="A1713" s="640" t="s">
        <v>165</v>
      </c>
      <c r="B1713" s="1036" t="str">
        <f>GLOBAL_DER_FEV_2023!B1713</f>
        <v/>
      </c>
      <c r="C1713" s="1072" t="str">
        <f>GLOBAL_DER_FEV_2023!C1713</f>
        <v/>
      </c>
      <c r="D1713" s="1141">
        <f>GLOBAL_DER_FEV_2023!D1713</f>
        <v>0</v>
      </c>
      <c r="E1713" s="907">
        <f>GLOBAL_DER_FEV_2023!E1713</f>
        <v>0</v>
      </c>
      <c r="F1713" s="908">
        <f>GLOBAL_DER_FEV_2023!F1713</f>
        <v>0</v>
      </c>
      <c r="G1713" s="912">
        <f>GLOBAL_DER_FEV_2023!G1713</f>
        <v>0</v>
      </c>
      <c r="H1713" s="901">
        <f>GLOBAL_DER_FEV_2023!H1713</f>
        <v>0</v>
      </c>
      <c r="I1713" s="901">
        <f>GLOBAL_DER_FEV_2023!I1713</f>
        <v>0</v>
      </c>
      <c r="J1713" s="890">
        <f>GLOBAL_DER_FEV_2023!J1713</f>
        <v>0</v>
      </c>
      <c r="K1713" s="903" t="str">
        <f>GLOBAL_DER_FEV_2023!K1713</f>
        <v xml:space="preserve">     </v>
      </c>
      <c r="L1713" s="1137"/>
      <c r="M1713" s="1175">
        <f t="shared" si="179"/>
        <v>0</v>
      </c>
      <c r="N1713" s="1167">
        <f t="shared" si="183"/>
        <v>0</v>
      </c>
      <c r="O1713" s="905"/>
      <c r="Q1713" s="317" t="str">
        <f t="shared" si="180"/>
        <v/>
      </c>
      <c r="R1713" s="317" t="str">
        <f t="shared" si="181"/>
        <v/>
      </c>
      <c r="S1713" s="317" t="str">
        <f t="shared" si="182"/>
        <v/>
      </c>
      <c r="T1713" s="317" t="str">
        <f>GLOBAL_DER_FEV_2023!S1713</f>
        <v/>
      </c>
      <c r="W1713" s="582">
        <v>0</v>
      </c>
      <c r="X1713" s="580"/>
      <c r="Y1713" s="583">
        <f>IF(GLOBAL_DER_FEV_2023!W1713=0,0,IF(GLOBAL_DER_FEV_2023!W1713&gt;0,"c","b"))</f>
        <v>0</v>
      </c>
    </row>
    <row r="1714" spans="1:25" ht="15" customHeight="1" x14ac:dyDescent="0.2">
      <c r="A1714" s="640" t="s">
        <v>165</v>
      </c>
      <c r="B1714" s="1036" t="str">
        <f>GLOBAL_DER_FEV_2023!B1714</f>
        <v/>
      </c>
      <c r="C1714" s="1072" t="str">
        <f>GLOBAL_DER_FEV_2023!C1714</f>
        <v/>
      </c>
      <c r="D1714" s="1141">
        <f>GLOBAL_DER_FEV_2023!D1714</f>
        <v>0</v>
      </c>
      <c r="E1714" s="907">
        <f>GLOBAL_DER_FEV_2023!E1714</f>
        <v>0</v>
      </c>
      <c r="F1714" s="908">
        <f>GLOBAL_DER_FEV_2023!F1714</f>
        <v>0</v>
      </c>
      <c r="G1714" s="912">
        <f>GLOBAL_DER_FEV_2023!G1714</f>
        <v>0</v>
      </c>
      <c r="H1714" s="901">
        <f>GLOBAL_DER_FEV_2023!H1714</f>
        <v>0</v>
      </c>
      <c r="I1714" s="901">
        <f>GLOBAL_DER_FEV_2023!I1714</f>
        <v>0</v>
      </c>
      <c r="J1714" s="890">
        <f>GLOBAL_DER_FEV_2023!J1714</f>
        <v>0</v>
      </c>
      <c r="K1714" s="903" t="str">
        <f>GLOBAL_DER_FEV_2023!K1714</f>
        <v xml:space="preserve">     </v>
      </c>
      <c r="L1714" s="1137"/>
      <c r="M1714" s="1175">
        <f t="shared" si="179"/>
        <v>0</v>
      </c>
      <c r="N1714" s="1167">
        <f t="shared" si="183"/>
        <v>0</v>
      </c>
      <c r="O1714" s="905"/>
      <c r="Q1714" s="317" t="str">
        <f t="shared" si="180"/>
        <v/>
      </c>
      <c r="R1714" s="317" t="str">
        <f t="shared" si="181"/>
        <v/>
      </c>
      <c r="S1714" s="317" t="str">
        <f t="shared" si="182"/>
        <v/>
      </c>
      <c r="T1714" s="317" t="str">
        <f>GLOBAL_DER_FEV_2023!S1714</f>
        <v/>
      </c>
      <c r="W1714" s="582">
        <v>0</v>
      </c>
      <c r="X1714" s="580"/>
      <c r="Y1714" s="583">
        <f>IF(GLOBAL_DER_FEV_2023!W1714=0,0,IF(GLOBAL_DER_FEV_2023!W1714&gt;0,"c","b"))</f>
        <v>0</v>
      </c>
    </row>
    <row r="1715" spans="1:25" ht="15" customHeight="1" x14ac:dyDescent="0.2">
      <c r="A1715" s="640" t="s">
        <v>165</v>
      </c>
      <c r="B1715" s="1036" t="str">
        <f>GLOBAL_DER_FEV_2023!B1715</f>
        <v/>
      </c>
      <c r="C1715" s="1072" t="str">
        <f>GLOBAL_DER_FEV_2023!C1715</f>
        <v/>
      </c>
      <c r="D1715" s="1141">
        <f>GLOBAL_DER_FEV_2023!D1715</f>
        <v>0</v>
      </c>
      <c r="E1715" s="907">
        <f>GLOBAL_DER_FEV_2023!E1715</f>
        <v>0</v>
      </c>
      <c r="F1715" s="908">
        <f>GLOBAL_DER_FEV_2023!F1715</f>
        <v>0</v>
      </c>
      <c r="G1715" s="912">
        <f>GLOBAL_DER_FEV_2023!G1715</f>
        <v>0</v>
      </c>
      <c r="H1715" s="901">
        <f>GLOBAL_DER_FEV_2023!H1715</f>
        <v>0</v>
      </c>
      <c r="I1715" s="901">
        <f>GLOBAL_DER_FEV_2023!I1715</f>
        <v>0</v>
      </c>
      <c r="J1715" s="890">
        <f>GLOBAL_DER_FEV_2023!J1715</f>
        <v>0</v>
      </c>
      <c r="K1715" s="903" t="str">
        <f>GLOBAL_DER_FEV_2023!K1715</f>
        <v xml:space="preserve">     </v>
      </c>
      <c r="L1715" s="1137"/>
      <c r="M1715" s="1175">
        <f t="shared" si="179"/>
        <v>0</v>
      </c>
      <c r="N1715" s="1167">
        <f t="shared" si="183"/>
        <v>0</v>
      </c>
      <c r="O1715" s="905"/>
      <c r="Q1715" s="317" t="str">
        <f t="shared" si="180"/>
        <v/>
      </c>
      <c r="R1715" s="317" t="str">
        <f t="shared" si="181"/>
        <v/>
      </c>
      <c r="S1715" s="317" t="str">
        <f t="shared" si="182"/>
        <v/>
      </c>
      <c r="T1715" s="317" t="str">
        <f>GLOBAL_DER_FEV_2023!S1715</f>
        <v/>
      </c>
      <c r="W1715" s="582">
        <v>0</v>
      </c>
      <c r="X1715" s="580"/>
      <c r="Y1715" s="583">
        <f>IF(GLOBAL_DER_FEV_2023!W1715=0,0,IF(GLOBAL_DER_FEV_2023!W1715&gt;0,"c","b"))</f>
        <v>0</v>
      </c>
    </row>
    <row r="1716" spans="1:25" ht="15" customHeight="1" x14ac:dyDescent="0.2">
      <c r="A1716" s="640" t="s">
        <v>165</v>
      </c>
      <c r="B1716" s="1036" t="str">
        <f>GLOBAL_DER_FEV_2023!B1716</f>
        <v/>
      </c>
      <c r="C1716" s="1072" t="str">
        <f>GLOBAL_DER_FEV_2023!C1716</f>
        <v/>
      </c>
      <c r="D1716" s="1141">
        <f>GLOBAL_DER_FEV_2023!D1716</f>
        <v>0</v>
      </c>
      <c r="E1716" s="907">
        <f>GLOBAL_DER_FEV_2023!E1716</f>
        <v>0</v>
      </c>
      <c r="F1716" s="908">
        <f>GLOBAL_DER_FEV_2023!F1716</f>
        <v>0</v>
      </c>
      <c r="G1716" s="912">
        <f>GLOBAL_DER_FEV_2023!G1716</f>
        <v>0</v>
      </c>
      <c r="H1716" s="901">
        <f>GLOBAL_DER_FEV_2023!H1716</f>
        <v>0</v>
      </c>
      <c r="I1716" s="901">
        <f>GLOBAL_DER_FEV_2023!I1716</f>
        <v>0</v>
      </c>
      <c r="J1716" s="890">
        <f>GLOBAL_DER_FEV_2023!J1716</f>
        <v>0</v>
      </c>
      <c r="K1716" s="903" t="str">
        <f>GLOBAL_DER_FEV_2023!K1716</f>
        <v xml:space="preserve">     </v>
      </c>
      <c r="L1716" s="1137"/>
      <c r="M1716" s="1175">
        <f t="shared" si="179"/>
        <v>0</v>
      </c>
      <c r="N1716" s="1167">
        <f t="shared" si="183"/>
        <v>0</v>
      </c>
      <c r="O1716" s="905"/>
      <c r="Q1716" s="317" t="str">
        <f t="shared" si="180"/>
        <v/>
      </c>
      <c r="R1716" s="317" t="str">
        <f t="shared" si="181"/>
        <v/>
      </c>
      <c r="S1716" s="317" t="str">
        <f t="shared" si="182"/>
        <v/>
      </c>
      <c r="T1716" s="317" t="str">
        <f>GLOBAL_DER_FEV_2023!S1716</f>
        <v/>
      </c>
      <c r="W1716" s="582">
        <v>0</v>
      </c>
      <c r="X1716" s="580"/>
      <c r="Y1716" s="583">
        <f>IF(GLOBAL_DER_FEV_2023!W1716=0,0,IF(GLOBAL_DER_FEV_2023!W1716&gt;0,"c","b"))</f>
        <v>0</v>
      </c>
    </row>
    <row r="1717" spans="1:25" ht="15" customHeight="1" x14ac:dyDescent="0.2">
      <c r="A1717" s="640" t="s">
        <v>165</v>
      </c>
      <c r="B1717" s="1036" t="str">
        <f>GLOBAL_DER_FEV_2023!B1717</f>
        <v/>
      </c>
      <c r="C1717" s="1072" t="str">
        <f>GLOBAL_DER_FEV_2023!C1717</f>
        <v/>
      </c>
      <c r="D1717" s="1141">
        <f>GLOBAL_DER_FEV_2023!D1717</f>
        <v>0</v>
      </c>
      <c r="E1717" s="907">
        <f>GLOBAL_DER_FEV_2023!E1717</f>
        <v>0</v>
      </c>
      <c r="F1717" s="908">
        <f>GLOBAL_DER_FEV_2023!F1717</f>
        <v>0</v>
      </c>
      <c r="G1717" s="912">
        <f>GLOBAL_DER_FEV_2023!G1717</f>
        <v>0</v>
      </c>
      <c r="H1717" s="901">
        <f>GLOBAL_DER_FEV_2023!H1717</f>
        <v>0</v>
      </c>
      <c r="I1717" s="901">
        <f>GLOBAL_DER_FEV_2023!I1717</f>
        <v>0</v>
      </c>
      <c r="J1717" s="890">
        <f>GLOBAL_DER_FEV_2023!J1717</f>
        <v>0</v>
      </c>
      <c r="K1717" s="903" t="str">
        <f>GLOBAL_DER_FEV_2023!K1717</f>
        <v xml:space="preserve">     </v>
      </c>
      <c r="L1717" s="1137"/>
      <c r="M1717" s="1175">
        <f t="shared" si="179"/>
        <v>0</v>
      </c>
      <c r="N1717" s="1167">
        <f t="shared" si="183"/>
        <v>0</v>
      </c>
      <c r="O1717" s="905"/>
      <c r="Q1717" s="317" t="str">
        <f t="shared" si="180"/>
        <v/>
      </c>
      <c r="R1717" s="317" t="str">
        <f t="shared" si="181"/>
        <v/>
      </c>
      <c r="S1717" s="317" t="str">
        <f t="shared" si="182"/>
        <v/>
      </c>
      <c r="T1717" s="317" t="str">
        <f>GLOBAL_DER_FEV_2023!S1717</f>
        <v/>
      </c>
      <c r="W1717" s="582">
        <v>0</v>
      </c>
      <c r="X1717" s="580"/>
      <c r="Y1717" s="583">
        <f>IF(GLOBAL_DER_FEV_2023!W1717=0,0,IF(GLOBAL_DER_FEV_2023!W1717&gt;0,"c","b"))</f>
        <v>0</v>
      </c>
    </row>
    <row r="1718" spans="1:25" ht="15" customHeight="1" x14ac:dyDescent="0.2">
      <c r="A1718" s="640" t="s">
        <v>165</v>
      </c>
      <c r="B1718" s="1036" t="str">
        <f>GLOBAL_DER_FEV_2023!B1718</f>
        <v/>
      </c>
      <c r="C1718" s="1072" t="str">
        <f>GLOBAL_DER_FEV_2023!C1718</f>
        <v/>
      </c>
      <c r="D1718" s="1141">
        <f>GLOBAL_DER_FEV_2023!D1718</f>
        <v>0</v>
      </c>
      <c r="E1718" s="907">
        <f>GLOBAL_DER_FEV_2023!E1718</f>
        <v>0</v>
      </c>
      <c r="F1718" s="908">
        <f>GLOBAL_DER_FEV_2023!F1718</f>
        <v>0</v>
      </c>
      <c r="G1718" s="912">
        <f>GLOBAL_DER_FEV_2023!G1718</f>
        <v>0</v>
      </c>
      <c r="H1718" s="901">
        <f>GLOBAL_DER_FEV_2023!H1718</f>
        <v>0</v>
      </c>
      <c r="I1718" s="901">
        <f>GLOBAL_DER_FEV_2023!I1718</f>
        <v>0</v>
      </c>
      <c r="J1718" s="890">
        <f>GLOBAL_DER_FEV_2023!J1718</f>
        <v>0</v>
      </c>
      <c r="K1718" s="903" t="str">
        <f>GLOBAL_DER_FEV_2023!K1718</f>
        <v xml:space="preserve">     </v>
      </c>
      <c r="L1718" s="1137"/>
      <c r="M1718" s="1175">
        <f t="shared" si="179"/>
        <v>0</v>
      </c>
      <c r="N1718" s="1167">
        <f t="shared" si="183"/>
        <v>0</v>
      </c>
      <c r="O1718" s="905"/>
      <c r="Q1718" s="317" t="str">
        <f t="shared" si="180"/>
        <v/>
      </c>
      <c r="R1718" s="317" t="str">
        <f t="shared" si="181"/>
        <v/>
      </c>
      <c r="S1718" s="317" t="str">
        <f t="shared" si="182"/>
        <v/>
      </c>
      <c r="T1718" s="317" t="str">
        <f>GLOBAL_DER_FEV_2023!S1718</f>
        <v/>
      </c>
      <c r="W1718" s="582">
        <v>0</v>
      </c>
      <c r="X1718" s="580"/>
      <c r="Y1718" s="583">
        <f>IF(GLOBAL_DER_FEV_2023!W1718=0,0,IF(GLOBAL_DER_FEV_2023!W1718&gt;0,"c","b"))</f>
        <v>0</v>
      </c>
    </row>
    <row r="1719" spans="1:25" ht="15" customHeight="1" thickBot="1" x14ac:dyDescent="0.25">
      <c r="A1719" s="640" t="s">
        <v>165</v>
      </c>
      <c r="B1719" s="1036" t="str">
        <f>GLOBAL_DER_FEV_2023!B1719</f>
        <v/>
      </c>
      <c r="C1719" s="1072" t="str">
        <f>GLOBAL_DER_FEV_2023!C1719</f>
        <v/>
      </c>
      <c r="D1719" s="1141">
        <f>GLOBAL_DER_FEV_2023!D1719</f>
        <v>0</v>
      </c>
      <c r="E1719" s="907">
        <f>GLOBAL_DER_FEV_2023!E1719</f>
        <v>0</v>
      </c>
      <c r="F1719" s="908">
        <f>GLOBAL_DER_FEV_2023!F1719</f>
        <v>0</v>
      </c>
      <c r="G1719" s="912">
        <f>GLOBAL_DER_FEV_2023!G1719</f>
        <v>0</v>
      </c>
      <c r="H1719" s="901">
        <f>GLOBAL_DER_FEV_2023!H1719</f>
        <v>0</v>
      </c>
      <c r="I1719" s="901">
        <f>GLOBAL_DER_FEV_2023!I1719</f>
        <v>0</v>
      </c>
      <c r="J1719" s="890">
        <f>GLOBAL_DER_FEV_2023!J1719</f>
        <v>0</v>
      </c>
      <c r="K1719" s="903" t="str">
        <f>GLOBAL_DER_FEV_2023!K1719</f>
        <v xml:space="preserve">     </v>
      </c>
      <c r="L1719" s="1137"/>
      <c r="M1719" s="1175">
        <f t="shared" si="179"/>
        <v>0</v>
      </c>
      <c r="N1719" s="1167">
        <f t="shared" si="183"/>
        <v>0</v>
      </c>
      <c r="O1719" s="905"/>
      <c r="Q1719" s="317" t="str">
        <f t="shared" si="180"/>
        <v/>
      </c>
      <c r="R1719" s="317" t="str">
        <f t="shared" si="181"/>
        <v/>
      </c>
      <c r="S1719" s="317" t="str">
        <f t="shared" si="182"/>
        <v/>
      </c>
      <c r="T1719" s="317" t="str">
        <f>GLOBAL_DER_FEV_2023!S1719</f>
        <v/>
      </c>
      <c r="W1719" s="582">
        <v>0</v>
      </c>
      <c r="X1719" s="580"/>
      <c r="Y1719" s="583">
        <f>IF(GLOBAL_DER_FEV_2023!W1719=0,0,IF(GLOBAL_DER_FEV_2023!W1719&gt;0,"c","b"))</f>
        <v>0</v>
      </c>
    </row>
    <row r="1720" spans="1:25" ht="15" customHeight="1" thickBot="1" x14ac:dyDescent="0.25">
      <c r="A1720" s="640" t="s">
        <v>165</v>
      </c>
      <c r="B1720" s="950" t="s">
        <v>441</v>
      </c>
      <c r="C1720" s="951"/>
      <c r="D1720" s="952" t="s">
        <v>431</v>
      </c>
      <c r="E1720" s="943">
        <f>GLOBAL_DER_FEV_2023!E1720</f>
        <v>0</v>
      </c>
      <c r="F1720" s="876"/>
      <c r="G1720" s="944"/>
      <c r="H1720" s="945">
        <f>GLOBAL_DER_FEV_2023!H1720</f>
        <v>0</v>
      </c>
      <c r="I1720" s="945">
        <f>GLOBAL_DER_FEV_2023!I1720</f>
        <v>0</v>
      </c>
      <c r="J1720" s="945">
        <f>GLOBAL_DER_FEV_2023!J1720</f>
        <v>0</v>
      </c>
      <c r="K1720" s="878" t="s">
        <v>507</v>
      </c>
      <c r="L1720" s="879"/>
      <c r="M1720" s="880">
        <f t="shared" si="179"/>
        <v>0</v>
      </c>
      <c r="N1720" s="881">
        <f t="shared" si="183"/>
        <v>0</v>
      </c>
      <c r="O1720" s="882">
        <f>SUM(N1721:N2499)</f>
        <v>0</v>
      </c>
      <c r="P1720" s="58" t="str">
        <f>IF(OR(O1720&gt;0,O1720&gt;0),"X","")</f>
        <v/>
      </c>
      <c r="Q1720" s="317" t="str">
        <f t="shared" si="180"/>
        <v/>
      </c>
      <c r="R1720" s="317" t="str">
        <f t="shared" si="181"/>
        <v/>
      </c>
      <c r="S1720" s="317" t="str">
        <f t="shared" si="182"/>
        <v/>
      </c>
      <c r="T1720" s="317" t="str">
        <f>GLOBAL_DER_FEV_2023!S1720</f>
        <v/>
      </c>
      <c r="W1720" s="582">
        <v>0</v>
      </c>
      <c r="X1720" s="580"/>
      <c r="Y1720" s="583">
        <f>IF(GLOBAL_DER_FEV_2023!W1720=0,0,IF(GLOBAL_DER_FEV_2023!W1720&gt;0,"c","b"))</f>
        <v>0</v>
      </c>
    </row>
    <row r="1721" spans="1:25" ht="15" customHeight="1" x14ac:dyDescent="0.2">
      <c r="A1721" s="317">
        <v>600000</v>
      </c>
      <c r="B1721" s="895" t="s">
        <v>1804</v>
      </c>
      <c r="C1721" s="896" t="s">
        <v>184</v>
      </c>
      <c r="D1721" s="906" t="s">
        <v>311</v>
      </c>
      <c r="E1721" s="907">
        <f>GLOBAL_DER_FEV_2023!E1721</f>
        <v>0</v>
      </c>
      <c r="F1721" s="908">
        <f>GLOBAL_DER_FEV_2023!F1721</f>
        <v>0</v>
      </c>
      <c r="G1721" s="912">
        <f>GLOBAL_DER_FEV_2023!G1721</f>
        <v>0</v>
      </c>
      <c r="H1721" s="901">
        <f>GLOBAL_DER_FEV_2023!H1721</f>
        <v>49.54</v>
      </c>
      <c r="I1721" s="901">
        <f>GLOBAL_DER_FEV_2023!I1721</f>
        <v>49.54</v>
      </c>
      <c r="J1721" s="902">
        <f>GLOBAL_DER_FEV_2023!J1721</f>
        <v>59.48</v>
      </c>
      <c r="K1721" s="903" t="s">
        <v>10</v>
      </c>
      <c r="L1721" s="1137"/>
      <c r="M1721" s="1138">
        <f t="shared" si="179"/>
        <v>0</v>
      </c>
      <c r="N1721" s="1176">
        <f t="shared" si="183"/>
        <v>0</v>
      </c>
      <c r="O1721" s="905"/>
      <c r="Q1721" s="317" t="str">
        <f t="shared" si="180"/>
        <v/>
      </c>
      <c r="R1721" s="317" t="str">
        <f t="shared" si="181"/>
        <v/>
      </c>
      <c r="S1721" s="317" t="str">
        <f t="shared" si="182"/>
        <v/>
      </c>
      <c r="T1721" s="317" t="str">
        <f>GLOBAL_DER_FEV_2023!S1721</f>
        <v/>
      </c>
      <c r="W1721" s="582">
        <v>0</v>
      </c>
      <c r="X1721" s="580"/>
      <c r="Y1721" s="583">
        <f>IF(GLOBAL_DER_FEV_2023!W1721=0,0,IF(GLOBAL_DER_FEV_2023!W1721&gt;0,"c","b"))</f>
        <v>0</v>
      </c>
    </row>
    <row r="1722" spans="1:25" ht="15" customHeight="1" x14ac:dyDescent="0.2">
      <c r="A1722" s="317">
        <v>600300</v>
      </c>
      <c r="B1722" s="895">
        <v>600300</v>
      </c>
      <c r="C1722" s="896" t="s">
        <v>184</v>
      </c>
      <c r="D1722" s="906" t="s">
        <v>312</v>
      </c>
      <c r="E1722" s="907">
        <f>GLOBAL_DER_FEV_2023!E1722</f>
        <v>0</v>
      </c>
      <c r="F1722" s="908">
        <f>GLOBAL_DER_FEV_2023!F1722</f>
        <v>0</v>
      </c>
      <c r="G1722" s="912">
        <f>GLOBAL_DER_FEV_2023!G1722</f>
        <v>0</v>
      </c>
      <c r="H1722" s="901">
        <f>GLOBAL_DER_FEV_2023!H1722</f>
        <v>11.83</v>
      </c>
      <c r="I1722" s="901">
        <f>GLOBAL_DER_FEV_2023!I1722</f>
        <v>11.83</v>
      </c>
      <c r="J1722" s="902">
        <f>GLOBAL_DER_FEV_2023!J1722</f>
        <v>14.2</v>
      </c>
      <c r="K1722" s="903" t="s">
        <v>10</v>
      </c>
      <c r="L1722" s="1137"/>
      <c r="M1722" s="1138">
        <f t="shared" si="179"/>
        <v>0</v>
      </c>
      <c r="N1722" s="1176">
        <f t="shared" si="183"/>
        <v>0</v>
      </c>
      <c r="O1722" s="905"/>
      <c r="Q1722" s="317" t="str">
        <f t="shared" si="180"/>
        <v/>
      </c>
      <c r="R1722" s="317" t="str">
        <f t="shared" si="181"/>
        <v/>
      </c>
      <c r="S1722" s="317" t="str">
        <f t="shared" si="182"/>
        <v/>
      </c>
      <c r="T1722" s="317" t="str">
        <f>GLOBAL_DER_FEV_2023!S1722</f>
        <v/>
      </c>
      <c r="W1722" s="582">
        <v>0</v>
      </c>
      <c r="X1722" s="580"/>
      <c r="Y1722" s="583">
        <f>IF(GLOBAL_DER_FEV_2023!W1722=0,0,IF(GLOBAL_DER_FEV_2023!W1722&gt;0,"c","b"))</f>
        <v>0</v>
      </c>
    </row>
    <row r="1723" spans="1:25" ht="15" customHeight="1" x14ac:dyDescent="0.2">
      <c r="A1723" s="317">
        <v>600400</v>
      </c>
      <c r="B1723" s="895">
        <v>600400</v>
      </c>
      <c r="C1723" s="896" t="s">
        <v>184</v>
      </c>
      <c r="D1723" s="906" t="s">
        <v>313</v>
      </c>
      <c r="E1723" s="907">
        <f>GLOBAL_DER_FEV_2023!E1723</f>
        <v>0</v>
      </c>
      <c r="F1723" s="908">
        <f>GLOBAL_DER_FEV_2023!F1723</f>
        <v>0</v>
      </c>
      <c r="G1723" s="912">
        <f>GLOBAL_DER_FEV_2023!G1723</f>
        <v>0</v>
      </c>
      <c r="H1723" s="901">
        <f>GLOBAL_DER_FEV_2023!H1723</f>
        <v>12.15</v>
      </c>
      <c r="I1723" s="901">
        <f>GLOBAL_DER_FEV_2023!I1723</f>
        <v>12.15</v>
      </c>
      <c r="J1723" s="902">
        <f>GLOBAL_DER_FEV_2023!J1723</f>
        <v>14.59</v>
      </c>
      <c r="K1723" s="903" t="s">
        <v>10</v>
      </c>
      <c r="L1723" s="1137"/>
      <c r="M1723" s="1138">
        <f t="shared" si="179"/>
        <v>0</v>
      </c>
      <c r="N1723" s="1176">
        <f t="shared" si="183"/>
        <v>0</v>
      </c>
      <c r="O1723" s="905"/>
      <c r="Q1723" s="317" t="str">
        <f t="shared" si="180"/>
        <v/>
      </c>
      <c r="R1723" s="317" t="str">
        <f t="shared" si="181"/>
        <v/>
      </c>
      <c r="S1723" s="317" t="str">
        <f t="shared" si="182"/>
        <v/>
      </c>
      <c r="T1723" s="317" t="str">
        <f>GLOBAL_DER_FEV_2023!S1723</f>
        <v/>
      </c>
      <c r="W1723" s="582">
        <v>0</v>
      </c>
      <c r="X1723" s="580"/>
      <c r="Y1723" s="583">
        <f>IF(GLOBAL_DER_FEV_2023!W1723=0,0,IF(GLOBAL_DER_FEV_2023!W1723&gt;0,"c","b"))</f>
        <v>0</v>
      </c>
    </row>
    <row r="1724" spans="1:25" ht="15" customHeight="1" x14ac:dyDescent="0.2">
      <c r="A1724" s="317">
        <v>600500</v>
      </c>
      <c r="B1724" s="895">
        <v>600500</v>
      </c>
      <c r="C1724" s="896" t="s">
        <v>184</v>
      </c>
      <c r="D1724" s="906" t="s">
        <v>314</v>
      </c>
      <c r="E1724" s="907">
        <f>GLOBAL_DER_FEV_2023!E1724</f>
        <v>0</v>
      </c>
      <c r="F1724" s="908">
        <f>GLOBAL_DER_FEV_2023!F1724</f>
        <v>0</v>
      </c>
      <c r="G1724" s="912">
        <f>GLOBAL_DER_FEV_2023!G1724</f>
        <v>0</v>
      </c>
      <c r="H1724" s="901">
        <f>GLOBAL_DER_FEV_2023!H1724</f>
        <v>123.95</v>
      </c>
      <c r="I1724" s="901">
        <f>GLOBAL_DER_FEV_2023!I1724</f>
        <v>123.95</v>
      </c>
      <c r="J1724" s="902">
        <f>GLOBAL_DER_FEV_2023!J1724</f>
        <v>148.83000000000001</v>
      </c>
      <c r="K1724" s="903" t="s">
        <v>10</v>
      </c>
      <c r="L1724" s="1137"/>
      <c r="M1724" s="1138">
        <f t="shared" si="179"/>
        <v>0</v>
      </c>
      <c r="N1724" s="1176">
        <f t="shared" si="183"/>
        <v>0</v>
      </c>
      <c r="O1724" s="905"/>
      <c r="Q1724" s="317" t="str">
        <f t="shared" si="180"/>
        <v/>
      </c>
      <c r="R1724" s="317" t="str">
        <f t="shared" si="181"/>
        <v/>
      </c>
      <c r="S1724" s="317" t="str">
        <f t="shared" si="182"/>
        <v/>
      </c>
      <c r="T1724" s="317" t="str">
        <f>GLOBAL_DER_FEV_2023!S1724</f>
        <v/>
      </c>
      <c r="W1724" s="582">
        <v>0</v>
      </c>
      <c r="X1724" s="580"/>
      <c r="Y1724" s="583">
        <f>IF(GLOBAL_DER_FEV_2023!W1724=0,0,IF(GLOBAL_DER_FEV_2023!W1724&gt;0,"c","b"))</f>
        <v>0</v>
      </c>
    </row>
    <row r="1725" spans="1:25" ht="15" customHeight="1" x14ac:dyDescent="0.2">
      <c r="A1725" s="317">
        <v>600310</v>
      </c>
      <c r="B1725" s="895" t="s">
        <v>1712</v>
      </c>
      <c r="C1725" s="896" t="s">
        <v>184</v>
      </c>
      <c r="D1725" s="897" t="s">
        <v>442</v>
      </c>
      <c r="E1725" s="898">
        <f>GLOBAL_DER_FEV_2023!E1725</f>
        <v>0</v>
      </c>
      <c r="F1725" s="899">
        <f>GLOBAL_DER_FEV_2023!F1725</f>
        <v>0</v>
      </c>
      <c r="G1725" s="900">
        <f>GLOBAL_DER_FEV_2023!G1725</f>
        <v>0</v>
      </c>
      <c r="H1725" s="901">
        <f>GLOBAL_DER_FEV_2023!H1725</f>
        <v>142.88</v>
      </c>
      <c r="I1725" s="901">
        <f>GLOBAL_DER_FEV_2023!I1725</f>
        <v>142.88</v>
      </c>
      <c r="J1725" s="902">
        <f>GLOBAL_DER_FEV_2023!J1725</f>
        <v>171.56</v>
      </c>
      <c r="K1725" s="903" t="s">
        <v>15</v>
      </c>
      <c r="L1725" s="1137"/>
      <c r="M1725" s="1138">
        <f t="shared" si="179"/>
        <v>0</v>
      </c>
      <c r="N1725" s="1176">
        <f t="shared" si="183"/>
        <v>0</v>
      </c>
      <c r="O1725" s="905"/>
      <c r="Q1725" s="317" t="str">
        <f t="shared" si="180"/>
        <v/>
      </c>
      <c r="R1725" s="317" t="str">
        <f t="shared" si="181"/>
        <v/>
      </c>
      <c r="S1725" s="317" t="str">
        <f t="shared" si="182"/>
        <v/>
      </c>
      <c r="T1725" s="317" t="str">
        <f>GLOBAL_DER_FEV_2023!S1725</f>
        <v/>
      </c>
      <c r="W1725" s="582">
        <v>0</v>
      </c>
      <c r="X1725" s="580"/>
      <c r="Y1725" s="583">
        <f>IF(GLOBAL_DER_FEV_2023!W1725=0,0,IF(GLOBAL_DER_FEV_2023!W1725&gt;0,"c","b"))</f>
        <v>0</v>
      </c>
    </row>
    <row r="1726" spans="1:25" ht="15" customHeight="1" x14ac:dyDescent="0.2">
      <c r="A1726" s="317">
        <v>633000</v>
      </c>
      <c r="B1726" s="895" t="s">
        <v>1806</v>
      </c>
      <c r="C1726" s="896" t="s">
        <v>184</v>
      </c>
      <c r="D1726" s="897" t="s">
        <v>518</v>
      </c>
      <c r="E1726" s="898">
        <f>GLOBAL_DER_FEV_2023!E1726</f>
        <v>0</v>
      </c>
      <c r="F1726" s="899">
        <f>GLOBAL_DER_FEV_2023!F1726</f>
        <v>0</v>
      </c>
      <c r="G1726" s="900">
        <f>GLOBAL_DER_FEV_2023!G1726</f>
        <v>0</v>
      </c>
      <c r="H1726" s="901">
        <f>GLOBAL_DER_FEV_2023!H1726</f>
        <v>82.58</v>
      </c>
      <c r="I1726" s="901">
        <f>GLOBAL_DER_FEV_2023!I1726</f>
        <v>82.58</v>
      </c>
      <c r="J1726" s="902">
        <f>GLOBAL_DER_FEV_2023!J1726</f>
        <v>99.15</v>
      </c>
      <c r="K1726" s="903" t="s">
        <v>13</v>
      </c>
      <c r="L1726" s="1137"/>
      <c r="M1726" s="1138">
        <f t="shared" si="179"/>
        <v>0</v>
      </c>
      <c r="N1726" s="1176">
        <f t="shared" si="183"/>
        <v>0</v>
      </c>
      <c r="O1726" s="905"/>
      <c r="Q1726" s="317" t="str">
        <f t="shared" si="180"/>
        <v/>
      </c>
      <c r="R1726" s="317" t="str">
        <f t="shared" si="181"/>
        <v/>
      </c>
      <c r="S1726" s="317" t="str">
        <f t="shared" si="182"/>
        <v/>
      </c>
      <c r="T1726" s="317" t="str">
        <f>GLOBAL_DER_FEV_2023!S1726</f>
        <v/>
      </c>
      <c r="W1726" s="582">
        <v>0</v>
      </c>
      <c r="X1726" s="580"/>
      <c r="Y1726" s="583">
        <f>IF(GLOBAL_DER_FEV_2023!W1726=0,0,IF(GLOBAL_DER_FEV_2023!W1726&gt;0,"c","b"))</f>
        <v>0</v>
      </c>
    </row>
    <row r="1727" spans="1:25" ht="15" customHeight="1" x14ac:dyDescent="0.2">
      <c r="A1727" s="317">
        <v>633100</v>
      </c>
      <c r="B1727" s="895" t="s">
        <v>1809</v>
      </c>
      <c r="C1727" s="896" t="s">
        <v>184</v>
      </c>
      <c r="D1727" s="897" t="s">
        <v>519</v>
      </c>
      <c r="E1727" s="898">
        <f>GLOBAL_DER_FEV_2023!E1727</f>
        <v>0</v>
      </c>
      <c r="F1727" s="899">
        <f>GLOBAL_DER_FEV_2023!F1727</f>
        <v>0</v>
      </c>
      <c r="G1727" s="900">
        <f>GLOBAL_DER_FEV_2023!G1727</f>
        <v>0</v>
      </c>
      <c r="H1727" s="901">
        <f>GLOBAL_DER_FEV_2023!H1727</f>
        <v>165.16</v>
      </c>
      <c r="I1727" s="901">
        <f>GLOBAL_DER_FEV_2023!I1727</f>
        <v>165.16</v>
      </c>
      <c r="J1727" s="902">
        <f>GLOBAL_DER_FEV_2023!J1727</f>
        <v>198.31</v>
      </c>
      <c r="K1727" s="903" t="s">
        <v>13</v>
      </c>
      <c r="L1727" s="1137"/>
      <c r="M1727" s="1138">
        <f t="shared" si="179"/>
        <v>0</v>
      </c>
      <c r="N1727" s="1176">
        <f t="shared" si="183"/>
        <v>0</v>
      </c>
      <c r="O1727" s="905"/>
      <c r="Q1727" s="317" t="str">
        <f t="shared" si="180"/>
        <v/>
      </c>
      <c r="R1727" s="317" t="str">
        <f t="shared" si="181"/>
        <v/>
      </c>
      <c r="S1727" s="317" t="str">
        <f t="shared" si="182"/>
        <v/>
      </c>
      <c r="T1727" s="317" t="str">
        <f>GLOBAL_DER_FEV_2023!S1727</f>
        <v/>
      </c>
      <c r="W1727" s="582">
        <v>0</v>
      </c>
      <c r="X1727" s="580"/>
      <c r="Y1727" s="583">
        <f>IF(GLOBAL_DER_FEV_2023!W1727=0,0,IF(GLOBAL_DER_FEV_2023!W1727&gt;0,"c","b"))</f>
        <v>0</v>
      </c>
    </row>
    <row r="1728" spans="1:25" ht="15" customHeight="1" x14ac:dyDescent="0.2">
      <c r="A1728" s="317">
        <v>633200</v>
      </c>
      <c r="B1728" s="895" t="s">
        <v>1810</v>
      </c>
      <c r="C1728" s="896" t="s">
        <v>184</v>
      </c>
      <c r="D1728" s="897" t="s">
        <v>520</v>
      </c>
      <c r="E1728" s="898">
        <f>GLOBAL_DER_FEV_2023!E1728</f>
        <v>0</v>
      </c>
      <c r="F1728" s="899">
        <f>GLOBAL_DER_FEV_2023!F1728</f>
        <v>0</v>
      </c>
      <c r="G1728" s="900">
        <f>GLOBAL_DER_FEV_2023!G1728</f>
        <v>0</v>
      </c>
      <c r="H1728" s="901">
        <f>GLOBAL_DER_FEV_2023!H1728</f>
        <v>247.74</v>
      </c>
      <c r="I1728" s="901">
        <f>GLOBAL_DER_FEV_2023!I1728</f>
        <v>247.74</v>
      </c>
      <c r="J1728" s="902">
        <f>GLOBAL_DER_FEV_2023!J1728</f>
        <v>297.45999999999998</v>
      </c>
      <c r="K1728" s="903" t="s">
        <v>13</v>
      </c>
      <c r="L1728" s="1137"/>
      <c r="M1728" s="1138">
        <f t="shared" si="179"/>
        <v>0</v>
      </c>
      <c r="N1728" s="1176">
        <f t="shared" si="183"/>
        <v>0</v>
      </c>
      <c r="O1728" s="905"/>
      <c r="Q1728" s="317" t="str">
        <f t="shared" si="180"/>
        <v/>
      </c>
      <c r="R1728" s="317" t="str">
        <f t="shared" si="181"/>
        <v/>
      </c>
      <c r="S1728" s="317" t="str">
        <f t="shared" si="182"/>
        <v/>
      </c>
      <c r="T1728" s="317" t="str">
        <f>GLOBAL_DER_FEV_2023!S1728</f>
        <v/>
      </c>
      <c r="W1728" s="582">
        <v>0</v>
      </c>
      <c r="X1728" s="580"/>
      <c r="Y1728" s="583">
        <f>IF(GLOBAL_DER_FEV_2023!W1728=0,0,IF(GLOBAL_DER_FEV_2023!W1728&gt;0,"c","b"))</f>
        <v>0</v>
      </c>
    </row>
    <row r="1729" spans="1:25" ht="15" customHeight="1" x14ac:dyDescent="0.2">
      <c r="A1729" s="317">
        <v>630300</v>
      </c>
      <c r="B1729" s="895">
        <v>630300</v>
      </c>
      <c r="C1729" s="896" t="s">
        <v>184</v>
      </c>
      <c r="D1729" s="906" t="s">
        <v>315</v>
      </c>
      <c r="E1729" s="907">
        <f>GLOBAL_DER_FEV_2023!E1729</f>
        <v>0</v>
      </c>
      <c r="F1729" s="908">
        <f>GLOBAL_DER_FEV_2023!F1729</f>
        <v>0</v>
      </c>
      <c r="G1729" s="900">
        <f>GLOBAL_DER_FEV_2023!G1729</f>
        <v>0</v>
      </c>
      <c r="H1729" s="901">
        <f>GLOBAL_DER_FEV_2023!H1729</f>
        <v>15.85</v>
      </c>
      <c r="I1729" s="901">
        <f>GLOBAL_DER_FEV_2023!I1729</f>
        <v>15.85</v>
      </c>
      <c r="J1729" s="902">
        <f>GLOBAL_DER_FEV_2023!J1729</f>
        <v>19.03</v>
      </c>
      <c r="K1729" s="903" t="s">
        <v>13</v>
      </c>
      <c r="L1729" s="1137"/>
      <c r="M1729" s="1138">
        <f t="shared" si="179"/>
        <v>0</v>
      </c>
      <c r="N1729" s="1176">
        <f t="shared" si="183"/>
        <v>0</v>
      </c>
      <c r="O1729" s="905"/>
      <c r="Q1729" s="317" t="str">
        <f t="shared" si="180"/>
        <v/>
      </c>
      <c r="R1729" s="317" t="str">
        <f t="shared" si="181"/>
        <v/>
      </c>
      <c r="S1729" s="317" t="str">
        <f t="shared" si="182"/>
        <v/>
      </c>
      <c r="T1729" s="317" t="str">
        <f>GLOBAL_DER_FEV_2023!S1729</f>
        <v/>
      </c>
      <c r="W1729" s="582">
        <v>0</v>
      </c>
      <c r="X1729" s="580"/>
      <c r="Y1729" s="583">
        <f>IF(GLOBAL_DER_FEV_2023!W1729=0,0,IF(GLOBAL_DER_FEV_2023!W1729&gt;0,"c","b"))</f>
        <v>0</v>
      </c>
    </row>
    <row r="1730" spans="1:25" ht="15" customHeight="1" x14ac:dyDescent="0.2">
      <c r="A1730" s="317">
        <v>630400</v>
      </c>
      <c r="B1730" s="895">
        <v>630400</v>
      </c>
      <c r="C1730" s="896" t="s">
        <v>184</v>
      </c>
      <c r="D1730" s="957" t="s">
        <v>316</v>
      </c>
      <c r="E1730" s="907">
        <f>GLOBAL_DER_FEV_2023!E1730</f>
        <v>0</v>
      </c>
      <c r="F1730" s="908">
        <f>GLOBAL_DER_FEV_2023!F1730</f>
        <v>0</v>
      </c>
      <c r="G1730" s="900">
        <f>GLOBAL_DER_FEV_2023!G1730</f>
        <v>0</v>
      </c>
      <c r="H1730" s="901">
        <f>GLOBAL_DER_FEV_2023!H1730</f>
        <v>19.809999999999999</v>
      </c>
      <c r="I1730" s="901">
        <f>GLOBAL_DER_FEV_2023!I1730</f>
        <v>19.809999999999999</v>
      </c>
      <c r="J1730" s="902">
        <f>GLOBAL_DER_FEV_2023!J1730</f>
        <v>23.79</v>
      </c>
      <c r="K1730" s="903" t="s">
        <v>13</v>
      </c>
      <c r="L1730" s="1137"/>
      <c r="M1730" s="1138">
        <f t="shared" si="179"/>
        <v>0</v>
      </c>
      <c r="N1730" s="1176">
        <f t="shared" si="183"/>
        <v>0</v>
      </c>
      <c r="O1730" s="905"/>
      <c r="Q1730" s="317" t="str">
        <f t="shared" si="180"/>
        <v/>
      </c>
      <c r="R1730" s="317" t="str">
        <f t="shared" si="181"/>
        <v/>
      </c>
      <c r="S1730" s="317" t="str">
        <f t="shared" si="182"/>
        <v/>
      </c>
      <c r="T1730" s="317" t="str">
        <f>GLOBAL_DER_FEV_2023!S1730</f>
        <v/>
      </c>
      <c r="W1730" s="582">
        <v>0</v>
      </c>
      <c r="X1730" s="580"/>
      <c r="Y1730" s="583">
        <f>IF(GLOBAL_DER_FEV_2023!W1730=0,0,IF(GLOBAL_DER_FEV_2023!W1730&gt;0,"c","b"))</f>
        <v>0</v>
      </c>
    </row>
    <row r="1731" spans="1:25" ht="15" customHeight="1" x14ac:dyDescent="0.2">
      <c r="A1731" s="317">
        <v>630500</v>
      </c>
      <c r="B1731" s="895">
        <v>630500</v>
      </c>
      <c r="C1731" s="896" t="s">
        <v>184</v>
      </c>
      <c r="D1731" s="957" t="s">
        <v>317</v>
      </c>
      <c r="E1731" s="907">
        <f>GLOBAL_DER_FEV_2023!E1731</f>
        <v>0</v>
      </c>
      <c r="F1731" s="908">
        <f>GLOBAL_DER_FEV_2023!F1731</f>
        <v>0</v>
      </c>
      <c r="G1731" s="912">
        <f>GLOBAL_DER_FEV_2023!G1731</f>
        <v>0</v>
      </c>
      <c r="H1731" s="901">
        <f>GLOBAL_DER_FEV_2023!H1731</f>
        <v>21.61</v>
      </c>
      <c r="I1731" s="901">
        <f>GLOBAL_DER_FEV_2023!I1731</f>
        <v>21.61</v>
      </c>
      <c r="J1731" s="902">
        <f>GLOBAL_DER_FEV_2023!J1731</f>
        <v>25.95</v>
      </c>
      <c r="K1731" s="903" t="s">
        <v>13</v>
      </c>
      <c r="L1731" s="1137"/>
      <c r="M1731" s="1138">
        <f t="shared" si="179"/>
        <v>0</v>
      </c>
      <c r="N1731" s="1176">
        <f t="shared" si="183"/>
        <v>0</v>
      </c>
      <c r="O1731" s="905"/>
      <c r="Q1731" s="317" t="str">
        <f t="shared" si="180"/>
        <v/>
      </c>
      <c r="R1731" s="317" t="str">
        <f t="shared" si="181"/>
        <v/>
      </c>
      <c r="S1731" s="317" t="str">
        <f t="shared" si="182"/>
        <v/>
      </c>
      <c r="T1731" s="317" t="str">
        <f>GLOBAL_DER_FEV_2023!S1731</f>
        <v/>
      </c>
      <c r="W1731" s="582">
        <v>0</v>
      </c>
      <c r="X1731" s="580"/>
      <c r="Y1731" s="583">
        <f>IF(GLOBAL_DER_FEV_2023!W1731=0,0,IF(GLOBAL_DER_FEV_2023!W1731&gt;0,"c","b"))</f>
        <v>0</v>
      </c>
    </row>
    <row r="1732" spans="1:25" ht="15" customHeight="1" x14ac:dyDescent="0.2">
      <c r="A1732" s="317">
        <v>630600</v>
      </c>
      <c r="B1732" s="895">
        <v>630600</v>
      </c>
      <c r="C1732" s="896" t="s">
        <v>184</v>
      </c>
      <c r="D1732" s="957" t="s">
        <v>318</v>
      </c>
      <c r="E1732" s="907">
        <f>GLOBAL_DER_FEV_2023!E1732</f>
        <v>0</v>
      </c>
      <c r="F1732" s="908">
        <f>GLOBAL_DER_FEV_2023!F1732</f>
        <v>0</v>
      </c>
      <c r="G1732" s="912">
        <f>GLOBAL_DER_FEV_2023!G1732</f>
        <v>0</v>
      </c>
      <c r="H1732" s="901">
        <f>GLOBAL_DER_FEV_2023!H1732</f>
        <v>23.77</v>
      </c>
      <c r="I1732" s="901">
        <f>GLOBAL_DER_FEV_2023!I1732</f>
        <v>23.77</v>
      </c>
      <c r="J1732" s="902">
        <f>GLOBAL_DER_FEV_2023!J1732</f>
        <v>28.54</v>
      </c>
      <c r="K1732" s="903" t="s">
        <v>13</v>
      </c>
      <c r="L1732" s="1137"/>
      <c r="M1732" s="1138">
        <f t="shared" si="179"/>
        <v>0</v>
      </c>
      <c r="N1732" s="1176">
        <f t="shared" si="183"/>
        <v>0</v>
      </c>
      <c r="O1732" s="905"/>
      <c r="Q1732" s="317" t="str">
        <f t="shared" si="180"/>
        <v/>
      </c>
      <c r="R1732" s="317" t="str">
        <f t="shared" si="181"/>
        <v/>
      </c>
      <c r="S1732" s="317" t="str">
        <f t="shared" si="182"/>
        <v/>
      </c>
      <c r="T1732" s="317" t="str">
        <f>GLOBAL_DER_FEV_2023!S1732</f>
        <v/>
      </c>
      <c r="W1732" s="582">
        <v>0</v>
      </c>
      <c r="X1732" s="580"/>
      <c r="Y1732" s="583">
        <f>IF(GLOBAL_DER_FEV_2023!W1732=0,0,IF(GLOBAL_DER_FEV_2023!W1732&gt;0,"c","b"))</f>
        <v>0</v>
      </c>
    </row>
    <row r="1733" spans="1:25" ht="15" customHeight="1" x14ac:dyDescent="0.2">
      <c r="A1733" s="317">
        <v>630800</v>
      </c>
      <c r="B1733" s="895">
        <v>630800</v>
      </c>
      <c r="C1733" s="896" t="s">
        <v>184</v>
      </c>
      <c r="D1733" s="906" t="s">
        <v>319</v>
      </c>
      <c r="E1733" s="907">
        <f>GLOBAL_DER_FEV_2023!E1733</f>
        <v>0</v>
      </c>
      <c r="F1733" s="908">
        <f>GLOBAL_DER_FEV_2023!F1733</f>
        <v>0</v>
      </c>
      <c r="G1733" s="912">
        <f>GLOBAL_DER_FEV_2023!G1733</f>
        <v>0</v>
      </c>
      <c r="H1733" s="901">
        <f>GLOBAL_DER_FEV_2023!H1733</f>
        <v>47.55</v>
      </c>
      <c r="I1733" s="901">
        <f>GLOBAL_DER_FEV_2023!I1733</f>
        <v>47.55</v>
      </c>
      <c r="J1733" s="902">
        <f>GLOBAL_DER_FEV_2023!J1733</f>
        <v>57.09</v>
      </c>
      <c r="K1733" s="903" t="s">
        <v>13</v>
      </c>
      <c r="L1733" s="1137"/>
      <c r="M1733" s="1138">
        <f t="shared" si="179"/>
        <v>0</v>
      </c>
      <c r="N1733" s="1176">
        <f t="shared" si="183"/>
        <v>0</v>
      </c>
      <c r="O1733" s="905"/>
      <c r="Q1733" s="317" t="str">
        <f t="shared" si="180"/>
        <v/>
      </c>
      <c r="R1733" s="317" t="str">
        <f t="shared" si="181"/>
        <v/>
      </c>
      <c r="S1733" s="317" t="str">
        <f t="shared" si="182"/>
        <v/>
      </c>
      <c r="T1733" s="317" t="str">
        <f>GLOBAL_DER_FEV_2023!S1733</f>
        <v/>
      </c>
      <c r="W1733" s="582">
        <v>0</v>
      </c>
      <c r="X1733" s="580"/>
      <c r="Y1733" s="583">
        <f>IF(GLOBAL_DER_FEV_2023!W1733=0,0,IF(GLOBAL_DER_FEV_2023!W1733&gt;0,"c","b"))</f>
        <v>0</v>
      </c>
    </row>
    <row r="1734" spans="1:25" ht="15" customHeight="1" x14ac:dyDescent="0.2">
      <c r="A1734" s="317">
        <v>631000</v>
      </c>
      <c r="B1734" s="895">
        <v>631000</v>
      </c>
      <c r="C1734" s="896" t="s">
        <v>184</v>
      </c>
      <c r="D1734" s="906" t="s">
        <v>320</v>
      </c>
      <c r="E1734" s="907">
        <f>GLOBAL_DER_FEV_2023!E1734</f>
        <v>0</v>
      </c>
      <c r="F1734" s="908">
        <f>GLOBAL_DER_FEV_2023!F1734</f>
        <v>0</v>
      </c>
      <c r="G1734" s="912">
        <f>GLOBAL_DER_FEV_2023!G1734</f>
        <v>0</v>
      </c>
      <c r="H1734" s="901">
        <f>GLOBAL_DER_FEV_2023!H1734</f>
        <v>47.7</v>
      </c>
      <c r="I1734" s="901">
        <f>GLOBAL_DER_FEV_2023!I1734</f>
        <v>47.7</v>
      </c>
      <c r="J1734" s="902">
        <f>GLOBAL_DER_FEV_2023!J1734</f>
        <v>57.27</v>
      </c>
      <c r="K1734" s="903" t="s">
        <v>13</v>
      </c>
      <c r="L1734" s="1137"/>
      <c r="M1734" s="1138">
        <f t="shared" ref="M1734:M1797" si="184">IF(L1734=0,0,ROUND(J1734,2))</f>
        <v>0</v>
      </c>
      <c r="N1734" s="1176">
        <f t="shared" si="183"/>
        <v>0</v>
      </c>
      <c r="O1734" s="905"/>
      <c r="Q1734" s="317" t="str">
        <f t="shared" si="180"/>
        <v/>
      </c>
      <c r="R1734" s="317" t="str">
        <f t="shared" si="181"/>
        <v/>
      </c>
      <c r="S1734" s="317" t="str">
        <f t="shared" si="182"/>
        <v/>
      </c>
      <c r="T1734" s="317" t="str">
        <f>GLOBAL_DER_FEV_2023!S1734</f>
        <v/>
      </c>
      <c r="W1734" s="582">
        <v>0</v>
      </c>
      <c r="X1734" s="580"/>
      <c r="Y1734" s="583">
        <f>IF(GLOBAL_DER_FEV_2023!W1734=0,0,IF(GLOBAL_DER_FEV_2023!W1734&gt;0,"c","b"))</f>
        <v>0</v>
      </c>
    </row>
    <row r="1735" spans="1:25" ht="15" customHeight="1" x14ac:dyDescent="0.2">
      <c r="A1735" s="317">
        <v>631200</v>
      </c>
      <c r="B1735" s="895">
        <v>631200</v>
      </c>
      <c r="C1735" s="896" t="s">
        <v>184</v>
      </c>
      <c r="D1735" s="906" t="s">
        <v>321</v>
      </c>
      <c r="E1735" s="907">
        <f>GLOBAL_DER_FEV_2023!E1735</f>
        <v>0</v>
      </c>
      <c r="F1735" s="908">
        <f>GLOBAL_DER_FEV_2023!F1735</f>
        <v>0</v>
      </c>
      <c r="G1735" s="912">
        <f>GLOBAL_DER_FEV_2023!G1735</f>
        <v>0</v>
      </c>
      <c r="H1735" s="901">
        <f>GLOBAL_DER_FEV_2023!H1735</f>
        <v>57.25</v>
      </c>
      <c r="I1735" s="901">
        <f>GLOBAL_DER_FEV_2023!I1735</f>
        <v>57.25</v>
      </c>
      <c r="J1735" s="902">
        <f>GLOBAL_DER_FEV_2023!J1735</f>
        <v>68.739999999999995</v>
      </c>
      <c r="K1735" s="903" t="s">
        <v>13</v>
      </c>
      <c r="L1735" s="1137"/>
      <c r="M1735" s="1138">
        <f t="shared" si="184"/>
        <v>0</v>
      </c>
      <c r="N1735" s="1176">
        <f t="shared" si="183"/>
        <v>0</v>
      </c>
      <c r="O1735" s="905"/>
      <c r="Q1735" s="317" t="str">
        <f t="shared" si="180"/>
        <v/>
      </c>
      <c r="R1735" s="317" t="str">
        <f t="shared" si="181"/>
        <v/>
      </c>
      <c r="S1735" s="317" t="str">
        <f t="shared" si="182"/>
        <v/>
      </c>
      <c r="T1735" s="317" t="str">
        <f>GLOBAL_DER_FEV_2023!S1735</f>
        <v/>
      </c>
      <c r="W1735" s="582">
        <v>0</v>
      </c>
      <c r="X1735" s="580"/>
      <c r="Y1735" s="583">
        <f>IF(GLOBAL_DER_FEV_2023!W1735=0,0,IF(GLOBAL_DER_FEV_2023!W1735&gt;0,"c","b"))</f>
        <v>0</v>
      </c>
    </row>
    <row r="1736" spans="1:25" ht="15" customHeight="1" x14ac:dyDescent="0.2">
      <c r="A1736" s="317">
        <v>631500</v>
      </c>
      <c r="B1736" s="895">
        <v>631500</v>
      </c>
      <c r="C1736" s="896" t="s">
        <v>184</v>
      </c>
      <c r="D1736" s="906" t="s">
        <v>322</v>
      </c>
      <c r="E1736" s="907">
        <f>GLOBAL_DER_FEV_2023!E1736</f>
        <v>0</v>
      </c>
      <c r="F1736" s="908">
        <f>GLOBAL_DER_FEV_2023!F1736</f>
        <v>0</v>
      </c>
      <c r="G1736" s="912">
        <f>GLOBAL_DER_FEV_2023!G1736</f>
        <v>0</v>
      </c>
      <c r="H1736" s="901">
        <f>GLOBAL_DER_FEV_2023!H1736</f>
        <v>71.56</v>
      </c>
      <c r="I1736" s="901">
        <f>GLOBAL_DER_FEV_2023!I1736</f>
        <v>71.56</v>
      </c>
      <c r="J1736" s="902">
        <f>GLOBAL_DER_FEV_2023!J1736</f>
        <v>85.92</v>
      </c>
      <c r="K1736" s="903" t="s">
        <v>13</v>
      </c>
      <c r="L1736" s="1137"/>
      <c r="M1736" s="1138">
        <f t="shared" si="184"/>
        <v>0</v>
      </c>
      <c r="N1736" s="1176">
        <f t="shared" si="183"/>
        <v>0</v>
      </c>
      <c r="O1736" s="905"/>
      <c r="Q1736" s="317" t="str">
        <f t="shared" si="180"/>
        <v/>
      </c>
      <c r="R1736" s="317" t="str">
        <f t="shared" si="181"/>
        <v/>
      </c>
      <c r="S1736" s="317" t="str">
        <f t="shared" si="182"/>
        <v/>
      </c>
      <c r="T1736" s="317" t="str">
        <f>GLOBAL_DER_FEV_2023!S1736</f>
        <v/>
      </c>
      <c r="W1736" s="582">
        <v>0</v>
      </c>
      <c r="X1736" s="580"/>
      <c r="Y1736" s="583">
        <f>IF(GLOBAL_DER_FEV_2023!W1736=0,0,IF(GLOBAL_DER_FEV_2023!W1736&gt;0,"c","b"))</f>
        <v>0</v>
      </c>
    </row>
    <row r="1737" spans="1:25" ht="15" customHeight="1" x14ac:dyDescent="0.2">
      <c r="A1737" s="317">
        <v>860200</v>
      </c>
      <c r="B1737" s="895">
        <v>860200</v>
      </c>
      <c r="C1737" s="896" t="s">
        <v>184</v>
      </c>
      <c r="D1737" s="906" t="s">
        <v>817</v>
      </c>
      <c r="E1737" s="907">
        <f>GLOBAL_DER_FEV_2023!E1737</f>
        <v>0</v>
      </c>
      <c r="F1737" s="908">
        <f>GLOBAL_DER_FEV_2023!F1737</f>
        <v>0</v>
      </c>
      <c r="G1737" s="912">
        <f>GLOBAL_DER_FEV_2023!G1737</f>
        <v>5.2482090000000001</v>
      </c>
      <c r="H1737" s="901">
        <f>GLOBAL_DER_FEV_2023!H1737</f>
        <v>858.72</v>
      </c>
      <c r="I1737" s="901">
        <f>GLOBAL_DER_FEV_2023!I1737</f>
        <v>863.968209</v>
      </c>
      <c r="J1737" s="902">
        <f>GLOBAL_DER_FEV_2023!J1737</f>
        <v>1037.3699999999999</v>
      </c>
      <c r="K1737" s="903" t="s">
        <v>10</v>
      </c>
      <c r="L1737" s="1137"/>
      <c r="M1737" s="1138">
        <f t="shared" si="184"/>
        <v>0</v>
      </c>
      <c r="N1737" s="1176">
        <f t="shared" si="183"/>
        <v>0</v>
      </c>
      <c r="O1737" s="905"/>
      <c r="Q1737" s="317" t="str">
        <f t="shared" si="180"/>
        <v/>
      </c>
      <c r="R1737" s="317" t="str">
        <f t="shared" si="181"/>
        <v/>
      </c>
      <c r="S1737" s="317" t="str">
        <f t="shared" si="182"/>
        <v/>
      </c>
      <c r="T1737" s="317" t="str">
        <f>GLOBAL_DER_FEV_2023!S1737</f>
        <v/>
      </c>
      <c r="W1737" s="582">
        <v>0</v>
      </c>
      <c r="X1737" s="580"/>
      <c r="Y1737" s="583">
        <f>IF(GLOBAL_DER_FEV_2023!W1737=0,0,IF(GLOBAL_DER_FEV_2023!W1737&gt;0,"c","b"))</f>
        <v>0</v>
      </c>
    </row>
    <row r="1738" spans="1:25" ht="15" customHeight="1" x14ac:dyDescent="0.2">
      <c r="A1738" s="317" t="s">
        <v>147</v>
      </c>
      <c r="B1738" s="895" t="s">
        <v>147</v>
      </c>
      <c r="C1738" s="896"/>
      <c r="D1738" s="957" t="s">
        <v>818</v>
      </c>
      <c r="E1738" s="907">
        <f>GLOBAL_DER_FEV_2023!E1738</f>
        <v>0</v>
      </c>
      <c r="F1738" s="908">
        <f>GLOBAL_DER_FEV_2023!F1738</f>
        <v>1.7250000000000001</v>
      </c>
      <c r="G1738" s="949">
        <f>GLOBAL_DER_FEV_2023!G1738</f>
        <v>4.6230000000000002</v>
      </c>
      <c r="H1738" s="901">
        <f>GLOBAL_DER_FEV_2023!H1738</f>
        <v>0</v>
      </c>
      <c r="I1738" s="901">
        <f>GLOBAL_DER_FEV_2023!I1738</f>
        <v>0</v>
      </c>
      <c r="J1738" s="902">
        <f>GLOBAL_DER_FEV_2023!J1738</f>
        <v>0</v>
      </c>
      <c r="K1738" s="958" t="s">
        <v>507</v>
      </c>
      <c r="L1738" s="959"/>
      <c r="M1738" s="1157">
        <f t="shared" si="184"/>
        <v>0</v>
      </c>
      <c r="N1738" s="1176">
        <f t="shared" si="183"/>
        <v>0</v>
      </c>
      <c r="O1738" s="905"/>
      <c r="P1738" s="58" t="str">
        <f>IF(N1737&gt;0,"xx",IF(N1737&gt;0,"xy",""))</f>
        <v/>
      </c>
      <c r="Q1738" s="317" t="str">
        <f t="shared" si="180"/>
        <v/>
      </c>
      <c r="R1738" s="317" t="str">
        <f t="shared" si="181"/>
        <v/>
      </c>
      <c r="S1738" s="317" t="str">
        <f t="shared" si="182"/>
        <v/>
      </c>
      <c r="T1738" s="317" t="str">
        <f>GLOBAL_DER_FEV_2023!S1738</f>
        <v/>
      </c>
      <c r="W1738" s="582">
        <v>0</v>
      </c>
      <c r="X1738" s="580"/>
      <c r="Y1738" s="583">
        <f>IF(GLOBAL_DER_FEV_2023!W1738=0,0,IF(GLOBAL_DER_FEV_2023!W1738&gt;0,"c","b"))</f>
        <v>0</v>
      </c>
    </row>
    <row r="1739" spans="1:25" ht="15" customHeight="1" x14ac:dyDescent="0.2">
      <c r="A1739" s="317" t="s">
        <v>147</v>
      </c>
      <c r="B1739" s="895" t="s">
        <v>147</v>
      </c>
      <c r="C1739" s="896"/>
      <c r="D1739" s="957" t="s">
        <v>323</v>
      </c>
      <c r="E1739" s="907">
        <f>GLOBAL_DER_FEV_2023!E1739</f>
        <v>45</v>
      </c>
      <c r="F1739" s="908">
        <f>GLOBAL_DER_FEV_2023!F1739</f>
        <v>1.23E-2</v>
      </c>
      <c r="G1739" s="949">
        <f>GLOBAL_DER_FEV_2023!G1739</f>
        <v>0.62520900000000001</v>
      </c>
      <c r="H1739" s="901">
        <f>GLOBAL_DER_FEV_2023!H1739</f>
        <v>0</v>
      </c>
      <c r="I1739" s="901">
        <f>GLOBAL_DER_FEV_2023!I1739</f>
        <v>0</v>
      </c>
      <c r="J1739" s="902">
        <f>GLOBAL_DER_FEV_2023!J1739</f>
        <v>0</v>
      </c>
      <c r="K1739" s="958" t="s">
        <v>507</v>
      </c>
      <c r="L1739" s="959"/>
      <c r="M1739" s="1157">
        <f t="shared" si="184"/>
        <v>0</v>
      </c>
      <c r="N1739" s="1176">
        <f t="shared" si="183"/>
        <v>0</v>
      </c>
      <c r="O1739" s="905"/>
      <c r="P1739" s="58" t="str">
        <f>IF(N1737&gt;0,"xx",IF(N1737&gt;0,"xy",""))</f>
        <v/>
      </c>
      <c r="Q1739" s="317" t="str">
        <f t="shared" si="180"/>
        <v/>
      </c>
      <c r="R1739" s="317" t="str">
        <f t="shared" si="181"/>
        <v/>
      </c>
      <c r="S1739" s="317" t="str">
        <f t="shared" si="182"/>
        <v/>
      </c>
      <c r="T1739" s="317" t="str">
        <f>GLOBAL_DER_FEV_2023!S1739</f>
        <v/>
      </c>
      <c r="W1739" s="582">
        <v>0</v>
      </c>
      <c r="X1739" s="580"/>
      <c r="Y1739" s="583">
        <f>IF(GLOBAL_DER_FEV_2023!W1739=0,0,IF(GLOBAL_DER_FEV_2023!W1739&gt;0,"c","b"))</f>
        <v>0</v>
      </c>
    </row>
    <row r="1740" spans="1:25" ht="15" customHeight="1" x14ac:dyDescent="0.2">
      <c r="A1740" s="317">
        <v>860100</v>
      </c>
      <c r="B1740" s="895">
        <v>860100</v>
      </c>
      <c r="C1740" s="896" t="s">
        <v>184</v>
      </c>
      <c r="D1740" s="906" t="s">
        <v>819</v>
      </c>
      <c r="E1740" s="907">
        <f>GLOBAL_DER_FEV_2023!E1740</f>
        <v>0</v>
      </c>
      <c r="F1740" s="908">
        <f>GLOBAL_DER_FEV_2023!F1740</f>
        <v>0</v>
      </c>
      <c r="G1740" s="912">
        <f>GLOBAL_DER_FEV_2023!G1740</f>
        <v>5.2787069999999998</v>
      </c>
      <c r="H1740" s="901">
        <f>GLOBAL_DER_FEV_2023!H1740</f>
        <v>769.37</v>
      </c>
      <c r="I1740" s="901">
        <f>GLOBAL_DER_FEV_2023!I1740</f>
        <v>774.64870700000006</v>
      </c>
      <c r="J1740" s="902">
        <f>GLOBAL_DER_FEV_2023!J1740</f>
        <v>930.12</v>
      </c>
      <c r="K1740" s="903" t="s">
        <v>10</v>
      </c>
      <c r="L1740" s="1137"/>
      <c r="M1740" s="1138">
        <f t="shared" si="184"/>
        <v>0</v>
      </c>
      <c r="N1740" s="1176">
        <f t="shared" si="183"/>
        <v>0</v>
      </c>
      <c r="O1740" s="905"/>
      <c r="Q1740" s="317" t="str">
        <f t="shared" si="180"/>
        <v/>
      </c>
      <c r="R1740" s="317" t="str">
        <f t="shared" si="181"/>
        <v/>
      </c>
      <c r="S1740" s="317" t="str">
        <f t="shared" si="182"/>
        <v/>
      </c>
      <c r="T1740" s="317" t="str">
        <f>GLOBAL_DER_FEV_2023!S1740</f>
        <v/>
      </c>
      <c r="W1740" s="582">
        <v>0</v>
      </c>
      <c r="X1740" s="580"/>
      <c r="Y1740" s="583">
        <f>IF(GLOBAL_DER_FEV_2023!W1740=0,0,IF(GLOBAL_DER_FEV_2023!W1740&gt;0,"c","b"))</f>
        <v>0</v>
      </c>
    </row>
    <row r="1741" spans="1:25" ht="15" customHeight="1" x14ac:dyDescent="0.2">
      <c r="A1741" s="317" t="s">
        <v>147</v>
      </c>
      <c r="B1741" s="895" t="s">
        <v>147</v>
      </c>
      <c r="C1741" s="896"/>
      <c r="D1741" s="957" t="s">
        <v>818</v>
      </c>
      <c r="E1741" s="907">
        <f>GLOBAL_DER_FEV_2023!E1741</f>
        <v>0</v>
      </c>
      <c r="F1741" s="908">
        <f>GLOBAL_DER_FEV_2023!F1741</f>
        <v>1.7250000000000001</v>
      </c>
      <c r="G1741" s="949">
        <f>GLOBAL_DER_FEV_2023!G1741</f>
        <v>4.6230000000000002</v>
      </c>
      <c r="H1741" s="901">
        <f>GLOBAL_DER_FEV_2023!H1741</f>
        <v>0</v>
      </c>
      <c r="I1741" s="901">
        <f>GLOBAL_DER_FEV_2023!I1741</f>
        <v>0</v>
      </c>
      <c r="J1741" s="902">
        <f>GLOBAL_DER_FEV_2023!J1741</f>
        <v>0</v>
      </c>
      <c r="K1741" s="958" t="s">
        <v>507</v>
      </c>
      <c r="L1741" s="959"/>
      <c r="M1741" s="1157">
        <f t="shared" si="184"/>
        <v>0</v>
      </c>
      <c r="N1741" s="1176">
        <f t="shared" si="183"/>
        <v>0</v>
      </c>
      <c r="O1741" s="905"/>
      <c r="P1741" s="58" t="str">
        <f>IF(N1740&gt;0,"xx",IF(N1740&gt;0,"xy",""))</f>
        <v/>
      </c>
      <c r="Q1741" s="317" t="str">
        <f t="shared" si="180"/>
        <v/>
      </c>
      <c r="R1741" s="317" t="str">
        <f t="shared" si="181"/>
        <v/>
      </c>
      <c r="S1741" s="317" t="str">
        <f t="shared" si="182"/>
        <v/>
      </c>
      <c r="T1741" s="317" t="str">
        <f>GLOBAL_DER_FEV_2023!S1741</f>
        <v/>
      </c>
      <c r="W1741" s="582">
        <v>0</v>
      </c>
      <c r="X1741" s="580"/>
      <c r="Y1741" s="583">
        <f>IF(GLOBAL_DER_FEV_2023!W1741=0,0,IF(GLOBAL_DER_FEV_2023!W1741&gt;0,"c","b"))</f>
        <v>0</v>
      </c>
    </row>
    <row r="1742" spans="1:25" ht="15" customHeight="1" x14ac:dyDescent="0.2">
      <c r="A1742" s="317" t="s">
        <v>147</v>
      </c>
      <c r="B1742" s="895" t="s">
        <v>147</v>
      </c>
      <c r="C1742" s="896"/>
      <c r="D1742" s="957" t="s">
        <v>323</v>
      </c>
      <c r="E1742" s="907">
        <f>GLOBAL_DER_FEV_2023!E1742</f>
        <v>45</v>
      </c>
      <c r="F1742" s="908">
        <f>GLOBAL_DER_FEV_2023!F1742</f>
        <v>1.29E-2</v>
      </c>
      <c r="G1742" s="949">
        <f>GLOBAL_DER_FEV_2023!G1742</f>
        <v>0.65570699999999993</v>
      </c>
      <c r="H1742" s="901">
        <f>GLOBAL_DER_FEV_2023!H1742</f>
        <v>0</v>
      </c>
      <c r="I1742" s="901">
        <f>GLOBAL_DER_FEV_2023!I1742</f>
        <v>0</v>
      </c>
      <c r="J1742" s="902">
        <f>GLOBAL_DER_FEV_2023!J1742</f>
        <v>0</v>
      </c>
      <c r="K1742" s="958" t="s">
        <v>507</v>
      </c>
      <c r="L1742" s="959"/>
      <c r="M1742" s="1157">
        <f t="shared" si="184"/>
        <v>0</v>
      </c>
      <c r="N1742" s="1176">
        <f t="shared" si="183"/>
        <v>0</v>
      </c>
      <c r="O1742" s="905"/>
      <c r="P1742" s="58" t="str">
        <f>IF(N1740&gt;0,"xx",IF(N1740&gt;0,"xy",""))</f>
        <v/>
      </c>
      <c r="Q1742" s="317" t="str">
        <f t="shared" si="180"/>
        <v/>
      </c>
      <c r="R1742" s="317" t="str">
        <f t="shared" si="181"/>
        <v/>
      </c>
      <c r="S1742" s="317" t="str">
        <f t="shared" si="182"/>
        <v/>
      </c>
      <c r="T1742" s="317" t="str">
        <f>GLOBAL_DER_FEV_2023!S1742</f>
        <v/>
      </c>
      <c r="W1742" s="582">
        <v>0</v>
      </c>
      <c r="X1742" s="580"/>
      <c r="Y1742" s="583">
        <f>IF(GLOBAL_DER_FEV_2023!W1742=0,0,IF(GLOBAL_DER_FEV_2023!W1742&gt;0,"c","b"))</f>
        <v>0</v>
      </c>
    </row>
    <row r="1743" spans="1:25" ht="15" customHeight="1" x14ac:dyDescent="0.2">
      <c r="A1743" s="317">
        <v>860150</v>
      </c>
      <c r="B1743" s="895">
        <v>860150</v>
      </c>
      <c r="C1743" s="896" t="s">
        <v>184</v>
      </c>
      <c r="D1743" s="906" t="s">
        <v>820</v>
      </c>
      <c r="E1743" s="907">
        <f>GLOBAL_DER_FEV_2023!E1743</f>
        <v>0</v>
      </c>
      <c r="F1743" s="908">
        <f>GLOBAL_DER_FEV_2023!F1743</f>
        <v>0</v>
      </c>
      <c r="G1743" s="912">
        <f>GLOBAL_DER_FEV_2023!G1743</f>
        <v>5.0550550000000003</v>
      </c>
      <c r="H1743" s="901">
        <f>GLOBAL_DER_FEV_2023!H1743</f>
        <v>688.53</v>
      </c>
      <c r="I1743" s="901">
        <f>GLOBAL_DER_FEV_2023!I1743</f>
        <v>693.58505500000001</v>
      </c>
      <c r="J1743" s="902">
        <f>GLOBAL_DER_FEV_2023!J1743</f>
        <v>832.79</v>
      </c>
      <c r="K1743" s="903" t="s">
        <v>10</v>
      </c>
      <c r="L1743" s="1137"/>
      <c r="M1743" s="1138">
        <f t="shared" si="184"/>
        <v>0</v>
      </c>
      <c r="N1743" s="1176">
        <f t="shared" si="183"/>
        <v>0</v>
      </c>
      <c r="O1743" s="905"/>
      <c r="Q1743" s="317" t="str">
        <f t="shared" si="180"/>
        <v/>
      </c>
      <c r="R1743" s="317" t="str">
        <f t="shared" si="181"/>
        <v/>
      </c>
      <c r="S1743" s="317" t="str">
        <f t="shared" si="182"/>
        <v/>
      </c>
      <c r="T1743" s="317" t="str">
        <f>GLOBAL_DER_FEV_2023!S1743</f>
        <v/>
      </c>
      <c r="W1743" s="582">
        <v>0</v>
      </c>
      <c r="X1743" s="580"/>
      <c r="Y1743" s="583">
        <f>IF(GLOBAL_DER_FEV_2023!W1743=0,0,IF(GLOBAL_DER_FEV_2023!W1743&gt;0,"c","b"))</f>
        <v>0</v>
      </c>
    </row>
    <row r="1744" spans="1:25" ht="15" customHeight="1" x14ac:dyDescent="0.2">
      <c r="A1744" s="317" t="s">
        <v>147</v>
      </c>
      <c r="B1744" s="895" t="s">
        <v>147</v>
      </c>
      <c r="C1744" s="896"/>
      <c r="D1744" s="957" t="s">
        <v>818</v>
      </c>
      <c r="E1744" s="907">
        <f>GLOBAL_DER_FEV_2023!E1744</f>
        <v>0</v>
      </c>
      <c r="F1744" s="908">
        <f>GLOBAL_DER_FEV_2023!F1744</f>
        <v>1.7250000000000001</v>
      </c>
      <c r="G1744" s="949">
        <f>GLOBAL_DER_FEV_2023!G1744</f>
        <v>4.6230000000000002</v>
      </c>
      <c r="H1744" s="901">
        <f>GLOBAL_DER_FEV_2023!H1744</f>
        <v>0</v>
      </c>
      <c r="I1744" s="901">
        <f>GLOBAL_DER_FEV_2023!I1744</f>
        <v>0</v>
      </c>
      <c r="J1744" s="902">
        <f>GLOBAL_DER_FEV_2023!J1744</f>
        <v>0</v>
      </c>
      <c r="K1744" s="958" t="s">
        <v>507</v>
      </c>
      <c r="L1744" s="959"/>
      <c r="M1744" s="1157">
        <f t="shared" si="184"/>
        <v>0</v>
      </c>
      <c r="N1744" s="1176">
        <f t="shared" si="183"/>
        <v>0</v>
      </c>
      <c r="O1744" s="905"/>
      <c r="P1744" s="58" t="str">
        <f>IF(N1743&gt;0,"xx",IF(N1743&gt;0,"xy",""))</f>
        <v/>
      </c>
      <c r="Q1744" s="317" t="str">
        <f t="shared" si="180"/>
        <v/>
      </c>
      <c r="R1744" s="317" t="str">
        <f t="shared" si="181"/>
        <v/>
      </c>
      <c r="S1744" s="317" t="str">
        <f t="shared" si="182"/>
        <v/>
      </c>
      <c r="T1744" s="317" t="str">
        <f>GLOBAL_DER_FEV_2023!S1744</f>
        <v/>
      </c>
      <c r="W1744" s="582">
        <v>0</v>
      </c>
      <c r="X1744" s="580"/>
      <c r="Y1744" s="583">
        <f>IF(GLOBAL_DER_FEV_2023!W1744=0,0,IF(GLOBAL_DER_FEV_2023!W1744&gt;0,"c","b"))</f>
        <v>0</v>
      </c>
    </row>
    <row r="1745" spans="1:25" ht="15" customHeight="1" x14ac:dyDescent="0.2">
      <c r="A1745" s="317" t="s">
        <v>147</v>
      </c>
      <c r="B1745" s="895" t="s">
        <v>147</v>
      </c>
      <c r="C1745" s="896"/>
      <c r="D1745" s="957" t="s">
        <v>323</v>
      </c>
      <c r="E1745" s="907">
        <f>GLOBAL_DER_FEV_2023!E1745</f>
        <v>45</v>
      </c>
      <c r="F1745" s="908">
        <f>GLOBAL_DER_FEV_2023!F1745</f>
        <v>8.5000000000000006E-3</v>
      </c>
      <c r="G1745" s="949">
        <f>GLOBAL_DER_FEV_2023!G1745</f>
        <v>0.43205500000000002</v>
      </c>
      <c r="H1745" s="901">
        <f>GLOBAL_DER_FEV_2023!H1745</f>
        <v>0</v>
      </c>
      <c r="I1745" s="901">
        <f>GLOBAL_DER_FEV_2023!I1745</f>
        <v>0</v>
      </c>
      <c r="J1745" s="902">
        <f>GLOBAL_DER_FEV_2023!J1745</f>
        <v>0</v>
      </c>
      <c r="K1745" s="958" t="s">
        <v>507</v>
      </c>
      <c r="L1745" s="959"/>
      <c r="M1745" s="1157">
        <f t="shared" si="184"/>
        <v>0</v>
      </c>
      <c r="N1745" s="1176">
        <f t="shared" si="183"/>
        <v>0</v>
      </c>
      <c r="O1745" s="905"/>
      <c r="P1745" s="58" t="str">
        <f>IF(N1743&gt;0,"xx",IF(N1743&gt;0,"xy",""))</f>
        <v/>
      </c>
      <c r="Q1745" s="317" t="str">
        <f t="shared" ref="Q1745:Q1808" si="185">IF(P1745="X","x",IF(P1745="xx","x",IF(P1745="xy","x",IF(P1745="y","x",IF(OR(N1745&gt;0,N1745&gt;0),"x","")))))</f>
        <v/>
      </c>
      <c r="R1745" s="317" t="str">
        <f t="shared" si="181"/>
        <v/>
      </c>
      <c r="S1745" s="317" t="str">
        <f t="shared" si="182"/>
        <v/>
      </c>
      <c r="T1745" s="317" t="str">
        <f>GLOBAL_DER_FEV_2023!S1745</f>
        <v/>
      </c>
      <c r="W1745" s="582">
        <v>0</v>
      </c>
      <c r="X1745" s="580"/>
      <c r="Y1745" s="583">
        <f>IF(GLOBAL_DER_FEV_2023!W1745=0,0,IF(GLOBAL_DER_FEV_2023!W1745&gt;0,"c","b"))</f>
        <v>0</v>
      </c>
    </row>
    <row r="1746" spans="1:25" ht="15" customHeight="1" x14ac:dyDescent="0.2">
      <c r="A1746" s="317">
        <v>860000</v>
      </c>
      <c r="B1746" s="895">
        <v>860000</v>
      </c>
      <c r="C1746" s="896" t="s">
        <v>184</v>
      </c>
      <c r="D1746" s="906" t="s">
        <v>821</v>
      </c>
      <c r="E1746" s="907">
        <f>GLOBAL_DER_FEV_2023!E1746</f>
        <v>0</v>
      </c>
      <c r="F1746" s="908">
        <f>GLOBAL_DER_FEV_2023!F1746</f>
        <v>0</v>
      </c>
      <c r="G1746" s="912">
        <f>GLOBAL_DER_FEV_2023!G1746</f>
        <v>5.085553</v>
      </c>
      <c r="H1746" s="901">
        <f>GLOBAL_DER_FEV_2023!H1746</f>
        <v>622.92999999999995</v>
      </c>
      <c r="I1746" s="901">
        <f>GLOBAL_DER_FEV_2023!I1746</f>
        <v>628.01555299999995</v>
      </c>
      <c r="J1746" s="902">
        <f>GLOBAL_DER_FEV_2023!J1746</f>
        <v>754.06</v>
      </c>
      <c r="K1746" s="903" t="s">
        <v>10</v>
      </c>
      <c r="L1746" s="1137"/>
      <c r="M1746" s="1138">
        <f t="shared" si="184"/>
        <v>0</v>
      </c>
      <c r="N1746" s="1176">
        <f t="shared" si="183"/>
        <v>0</v>
      </c>
      <c r="O1746" s="905"/>
      <c r="Q1746" s="317" t="str">
        <f t="shared" si="185"/>
        <v/>
      </c>
      <c r="R1746" s="317" t="str">
        <f t="shared" si="181"/>
        <v/>
      </c>
      <c r="S1746" s="317" t="str">
        <f t="shared" si="182"/>
        <v/>
      </c>
      <c r="T1746" s="317" t="str">
        <f>GLOBAL_DER_FEV_2023!S1746</f>
        <v/>
      </c>
      <c r="W1746" s="582">
        <v>0</v>
      </c>
      <c r="X1746" s="580"/>
      <c r="Y1746" s="583">
        <f>IF(GLOBAL_DER_FEV_2023!W1746=0,0,IF(GLOBAL_DER_FEV_2023!W1746&gt;0,"c","b"))</f>
        <v>0</v>
      </c>
    </row>
    <row r="1747" spans="1:25" ht="15" customHeight="1" x14ac:dyDescent="0.2">
      <c r="A1747" s="317" t="s">
        <v>147</v>
      </c>
      <c r="B1747" s="895" t="s">
        <v>147</v>
      </c>
      <c r="C1747" s="896"/>
      <c r="D1747" s="957" t="s">
        <v>818</v>
      </c>
      <c r="E1747" s="907">
        <f>GLOBAL_DER_FEV_2023!E1747</f>
        <v>0</v>
      </c>
      <c r="F1747" s="908">
        <f>GLOBAL_DER_FEV_2023!F1747</f>
        <v>1.7250000000000001</v>
      </c>
      <c r="G1747" s="949">
        <f>GLOBAL_DER_FEV_2023!G1747</f>
        <v>4.6230000000000002</v>
      </c>
      <c r="H1747" s="901">
        <f>GLOBAL_DER_FEV_2023!H1747</f>
        <v>0</v>
      </c>
      <c r="I1747" s="901">
        <f>GLOBAL_DER_FEV_2023!I1747</f>
        <v>0</v>
      </c>
      <c r="J1747" s="902">
        <f>GLOBAL_DER_FEV_2023!J1747</f>
        <v>0</v>
      </c>
      <c r="K1747" s="958" t="s">
        <v>507</v>
      </c>
      <c r="L1747" s="959"/>
      <c r="M1747" s="1157">
        <f t="shared" si="184"/>
        <v>0</v>
      </c>
      <c r="N1747" s="1176">
        <f t="shared" si="183"/>
        <v>0</v>
      </c>
      <c r="O1747" s="905"/>
      <c r="P1747" s="58" t="str">
        <f>IF(N1746&gt;0,"xx",IF(N1746&gt;0,"xy",""))</f>
        <v/>
      </c>
      <c r="Q1747" s="317" t="str">
        <f t="shared" si="185"/>
        <v/>
      </c>
      <c r="R1747" s="317" t="str">
        <f t="shared" ref="R1747:R1810" si="186">IF(P1747="X","x",IF(P1747="y","x",IF(P1747="xx","x",IF(N1747&gt;0,"x",""))))</f>
        <v/>
      </c>
      <c r="S1747" s="317" t="str">
        <f t="shared" ref="S1747:S1810" si="187">IF(P1747="X","x",IF(N1747&gt;0,"x",""))</f>
        <v/>
      </c>
      <c r="T1747" s="317" t="str">
        <f>GLOBAL_DER_FEV_2023!S1747</f>
        <v/>
      </c>
      <c r="W1747" s="582">
        <v>0</v>
      </c>
      <c r="X1747" s="580"/>
      <c r="Y1747" s="583">
        <f>IF(GLOBAL_DER_FEV_2023!W1747=0,0,IF(GLOBAL_DER_FEV_2023!W1747&gt;0,"c","b"))</f>
        <v>0</v>
      </c>
    </row>
    <row r="1748" spans="1:25" ht="15" customHeight="1" x14ac:dyDescent="0.2">
      <c r="A1748" s="317" t="s">
        <v>147</v>
      </c>
      <c r="B1748" s="895" t="s">
        <v>147</v>
      </c>
      <c r="C1748" s="896"/>
      <c r="D1748" s="957" t="s">
        <v>323</v>
      </c>
      <c r="E1748" s="907">
        <f>GLOBAL_DER_FEV_2023!E1748</f>
        <v>45</v>
      </c>
      <c r="F1748" s="908">
        <f>GLOBAL_DER_FEV_2023!F1748</f>
        <v>9.1000000000000004E-3</v>
      </c>
      <c r="G1748" s="949">
        <f>GLOBAL_DER_FEV_2023!G1748</f>
        <v>0.46255299999999999</v>
      </c>
      <c r="H1748" s="901">
        <f>GLOBAL_DER_FEV_2023!H1748</f>
        <v>0</v>
      </c>
      <c r="I1748" s="901">
        <f>GLOBAL_DER_FEV_2023!I1748</f>
        <v>0</v>
      </c>
      <c r="J1748" s="902">
        <f>GLOBAL_DER_FEV_2023!J1748</f>
        <v>0</v>
      </c>
      <c r="K1748" s="958" t="s">
        <v>507</v>
      </c>
      <c r="L1748" s="959"/>
      <c r="M1748" s="1157">
        <f t="shared" si="184"/>
        <v>0</v>
      </c>
      <c r="N1748" s="1176">
        <f t="shared" si="183"/>
        <v>0</v>
      </c>
      <c r="O1748" s="905"/>
      <c r="P1748" s="58" t="str">
        <f>IF(N1746&gt;0,"xx",IF(N1746&gt;0,"xy",""))</f>
        <v/>
      </c>
      <c r="Q1748" s="317" t="str">
        <f t="shared" si="185"/>
        <v/>
      </c>
      <c r="R1748" s="317" t="str">
        <f t="shared" si="186"/>
        <v/>
      </c>
      <c r="S1748" s="317" t="str">
        <f t="shared" si="187"/>
        <v/>
      </c>
      <c r="T1748" s="317" t="str">
        <f>GLOBAL_DER_FEV_2023!S1748</f>
        <v/>
      </c>
      <c r="W1748" s="582">
        <v>0</v>
      </c>
      <c r="X1748" s="580"/>
      <c r="Y1748" s="583">
        <f>IF(GLOBAL_DER_FEV_2023!W1748=0,0,IF(GLOBAL_DER_FEV_2023!W1748&gt;0,"c","b"))</f>
        <v>0</v>
      </c>
    </row>
    <row r="1749" spans="1:25" ht="15" customHeight="1" x14ac:dyDescent="0.2">
      <c r="A1749" s="317">
        <v>860017</v>
      </c>
      <c r="B1749" s="895">
        <v>860017</v>
      </c>
      <c r="C1749" s="896" t="s">
        <v>184</v>
      </c>
      <c r="D1749" s="906" t="s">
        <v>822</v>
      </c>
      <c r="E1749" s="907">
        <f>GLOBAL_DER_FEV_2023!E1749</f>
        <v>0</v>
      </c>
      <c r="F1749" s="908">
        <f>GLOBAL_DER_FEV_2023!F1749</f>
        <v>0</v>
      </c>
      <c r="G1749" s="912">
        <f>GLOBAL_DER_FEV_2023!G1749</f>
        <v>0.98190500000000003</v>
      </c>
      <c r="H1749" s="901">
        <f>GLOBAL_DER_FEV_2023!H1749</f>
        <v>213.32</v>
      </c>
      <c r="I1749" s="901">
        <f>GLOBAL_DER_FEV_2023!I1749</f>
        <v>214.301905</v>
      </c>
      <c r="J1749" s="902">
        <f>GLOBAL_DER_FEV_2023!J1749</f>
        <v>257.31</v>
      </c>
      <c r="K1749" s="903" t="s">
        <v>10</v>
      </c>
      <c r="L1749" s="1137"/>
      <c r="M1749" s="1138">
        <f t="shared" si="184"/>
        <v>0</v>
      </c>
      <c r="N1749" s="1176">
        <f t="shared" si="183"/>
        <v>0</v>
      </c>
      <c r="O1749" s="905"/>
      <c r="Q1749" s="317" t="str">
        <f t="shared" si="185"/>
        <v/>
      </c>
      <c r="R1749" s="317" t="str">
        <f t="shared" si="186"/>
        <v/>
      </c>
      <c r="S1749" s="317" t="str">
        <f t="shared" si="187"/>
        <v/>
      </c>
      <c r="T1749" s="317" t="str">
        <f>GLOBAL_DER_FEV_2023!S1749</f>
        <v/>
      </c>
      <c r="W1749" s="582">
        <v>0</v>
      </c>
      <c r="X1749" s="580"/>
      <c r="Y1749" s="583">
        <f>IF(GLOBAL_DER_FEV_2023!W1749=0,0,IF(GLOBAL_DER_FEV_2023!W1749&gt;0,"c","b"))</f>
        <v>0</v>
      </c>
    </row>
    <row r="1750" spans="1:25" ht="15" customHeight="1" x14ac:dyDescent="0.2">
      <c r="A1750" s="317" t="s">
        <v>147</v>
      </c>
      <c r="B1750" s="895" t="s">
        <v>147</v>
      </c>
      <c r="C1750" s="896"/>
      <c r="D1750" s="957" t="s">
        <v>818</v>
      </c>
      <c r="E1750" s="907">
        <f>GLOBAL_DER_FEV_2023!E1750</f>
        <v>0</v>
      </c>
      <c r="F1750" s="908">
        <f>GLOBAL_DER_FEV_2023!F1750</f>
        <v>0.3</v>
      </c>
      <c r="G1750" s="949">
        <f>GLOBAL_DER_FEV_2023!G1750</f>
        <v>0.80400000000000005</v>
      </c>
      <c r="H1750" s="901">
        <f>GLOBAL_DER_FEV_2023!H1750</f>
        <v>0</v>
      </c>
      <c r="I1750" s="901">
        <f>GLOBAL_DER_FEV_2023!I1750</f>
        <v>0</v>
      </c>
      <c r="J1750" s="902">
        <f>GLOBAL_DER_FEV_2023!J1750</f>
        <v>0</v>
      </c>
      <c r="K1750" s="958" t="s">
        <v>507</v>
      </c>
      <c r="L1750" s="959"/>
      <c r="M1750" s="1157">
        <f t="shared" si="184"/>
        <v>0</v>
      </c>
      <c r="N1750" s="1176">
        <f t="shared" si="183"/>
        <v>0</v>
      </c>
      <c r="O1750" s="905"/>
      <c r="P1750" s="58" t="str">
        <f>IF(N1749&gt;0,"xx",IF(N1749&gt;0,"xy",""))</f>
        <v/>
      </c>
      <c r="Q1750" s="317" t="str">
        <f t="shared" si="185"/>
        <v/>
      </c>
      <c r="R1750" s="317" t="str">
        <f t="shared" si="186"/>
        <v/>
      </c>
      <c r="S1750" s="317" t="str">
        <f t="shared" si="187"/>
        <v/>
      </c>
      <c r="T1750" s="317" t="str">
        <f>GLOBAL_DER_FEV_2023!S1750</f>
        <v/>
      </c>
      <c r="W1750" s="582">
        <v>0</v>
      </c>
      <c r="X1750" s="580"/>
      <c r="Y1750" s="583">
        <f>IF(GLOBAL_DER_FEV_2023!W1750=0,0,IF(GLOBAL_DER_FEV_2023!W1750&gt;0,"c","b"))</f>
        <v>0</v>
      </c>
    </row>
    <row r="1751" spans="1:25" ht="15" customHeight="1" x14ac:dyDescent="0.2">
      <c r="A1751" s="317" t="s">
        <v>147</v>
      </c>
      <c r="B1751" s="895" t="s">
        <v>147</v>
      </c>
      <c r="C1751" s="896"/>
      <c r="D1751" s="957" t="s">
        <v>323</v>
      </c>
      <c r="E1751" s="907">
        <f>GLOBAL_DER_FEV_2023!E1751</f>
        <v>45</v>
      </c>
      <c r="F1751" s="908">
        <f>GLOBAL_DER_FEV_2023!F1751</f>
        <v>3.5000000000000001E-3</v>
      </c>
      <c r="G1751" s="949">
        <f>GLOBAL_DER_FEV_2023!G1751</f>
        <v>0.17790500000000001</v>
      </c>
      <c r="H1751" s="901">
        <f>GLOBAL_DER_FEV_2023!H1751</f>
        <v>0</v>
      </c>
      <c r="I1751" s="901">
        <f>GLOBAL_DER_FEV_2023!I1751</f>
        <v>0</v>
      </c>
      <c r="J1751" s="902">
        <f>GLOBAL_DER_FEV_2023!J1751</f>
        <v>0</v>
      </c>
      <c r="K1751" s="958" t="s">
        <v>507</v>
      </c>
      <c r="L1751" s="959"/>
      <c r="M1751" s="1157">
        <f t="shared" si="184"/>
        <v>0</v>
      </c>
      <c r="N1751" s="1176">
        <f t="shared" ref="N1751:N1814" si="188">IF(ISBLANK(L1751),0,IF(W1751=0,ROUND(L1751*M1751,2),IF(W1751="b",ROUNDDOWN(L1751*M1751,2),ROUNDUP(L1751*M1751,2))))</f>
        <v>0</v>
      </c>
      <c r="O1751" s="905"/>
      <c r="P1751" s="58" t="str">
        <f>IF(N1749&gt;0,"xx",IF(N1749&gt;0,"xy",""))</f>
        <v/>
      </c>
      <c r="Q1751" s="317" t="str">
        <f t="shared" si="185"/>
        <v/>
      </c>
      <c r="R1751" s="317" t="str">
        <f t="shared" si="186"/>
        <v/>
      </c>
      <c r="S1751" s="317" t="str">
        <f t="shared" si="187"/>
        <v/>
      </c>
      <c r="T1751" s="317" t="str">
        <f>GLOBAL_DER_FEV_2023!S1751</f>
        <v/>
      </c>
      <c r="W1751" s="582">
        <v>0</v>
      </c>
      <c r="X1751" s="580"/>
      <c r="Y1751" s="583">
        <f>IF(GLOBAL_DER_FEV_2023!W1751=0,0,IF(GLOBAL_DER_FEV_2023!W1751&gt;0,"c","b"))</f>
        <v>0</v>
      </c>
    </row>
    <row r="1752" spans="1:25" ht="15" customHeight="1" x14ac:dyDescent="0.2">
      <c r="A1752" s="317">
        <v>860023</v>
      </c>
      <c r="B1752" s="895">
        <v>860023</v>
      </c>
      <c r="C1752" s="896" t="s">
        <v>184</v>
      </c>
      <c r="D1752" s="906" t="s">
        <v>823</v>
      </c>
      <c r="E1752" s="907">
        <f>GLOBAL_DER_FEV_2023!E1752</f>
        <v>0</v>
      </c>
      <c r="F1752" s="908">
        <f>GLOBAL_DER_FEV_2023!F1752</f>
        <v>0</v>
      </c>
      <c r="G1752" s="912">
        <f>GLOBAL_DER_FEV_2023!G1752</f>
        <v>1.6003860000000001</v>
      </c>
      <c r="H1752" s="901">
        <f>GLOBAL_DER_FEV_2023!H1752</f>
        <v>257.19</v>
      </c>
      <c r="I1752" s="901">
        <f>GLOBAL_DER_FEV_2023!I1752</f>
        <v>258.79038600000001</v>
      </c>
      <c r="J1752" s="902">
        <f>GLOBAL_DER_FEV_2023!J1752</f>
        <v>310.73</v>
      </c>
      <c r="K1752" s="903" t="s">
        <v>10</v>
      </c>
      <c r="L1752" s="1137"/>
      <c r="M1752" s="1138">
        <f t="shared" si="184"/>
        <v>0</v>
      </c>
      <c r="N1752" s="1176">
        <f t="shared" si="188"/>
        <v>0</v>
      </c>
      <c r="O1752" s="905"/>
      <c r="Q1752" s="317" t="str">
        <f t="shared" si="185"/>
        <v/>
      </c>
      <c r="R1752" s="317" t="str">
        <f t="shared" si="186"/>
        <v/>
      </c>
      <c r="S1752" s="317" t="str">
        <f t="shared" si="187"/>
        <v/>
      </c>
      <c r="T1752" s="317" t="str">
        <f>GLOBAL_DER_FEV_2023!S1752</f>
        <v/>
      </c>
      <c r="W1752" s="582">
        <v>0</v>
      </c>
      <c r="X1752" s="580"/>
      <c r="Y1752" s="583">
        <f>IF(GLOBAL_DER_FEV_2023!W1752=0,0,IF(GLOBAL_DER_FEV_2023!W1752&gt;0,"c","b"))</f>
        <v>0</v>
      </c>
    </row>
    <row r="1753" spans="1:25" ht="15" customHeight="1" x14ac:dyDescent="0.2">
      <c r="A1753" s="317" t="s">
        <v>147</v>
      </c>
      <c r="B1753" s="895" t="s">
        <v>147</v>
      </c>
      <c r="C1753" s="896"/>
      <c r="D1753" s="957" t="s">
        <v>818</v>
      </c>
      <c r="E1753" s="907">
        <f>GLOBAL_DER_FEV_2023!E1753</f>
        <v>0</v>
      </c>
      <c r="F1753" s="908">
        <f>GLOBAL_DER_FEV_2023!F1753</f>
        <v>0.51749999999999996</v>
      </c>
      <c r="G1753" s="949">
        <f>GLOBAL_DER_FEV_2023!G1753</f>
        <v>1.3869</v>
      </c>
      <c r="H1753" s="901">
        <f>GLOBAL_DER_FEV_2023!H1753</f>
        <v>0</v>
      </c>
      <c r="I1753" s="901">
        <f>GLOBAL_DER_FEV_2023!I1753</f>
        <v>0</v>
      </c>
      <c r="J1753" s="902">
        <f>GLOBAL_DER_FEV_2023!J1753</f>
        <v>0</v>
      </c>
      <c r="K1753" s="958" t="s">
        <v>507</v>
      </c>
      <c r="L1753" s="959"/>
      <c r="M1753" s="1157">
        <f t="shared" si="184"/>
        <v>0</v>
      </c>
      <c r="N1753" s="1176">
        <f t="shared" si="188"/>
        <v>0</v>
      </c>
      <c r="O1753" s="905"/>
      <c r="P1753" s="58" t="str">
        <f>IF(N1752&gt;0,"xx",IF(N1752&gt;0,"xy",""))</f>
        <v/>
      </c>
      <c r="Q1753" s="317" t="str">
        <f t="shared" si="185"/>
        <v/>
      </c>
      <c r="R1753" s="317" t="str">
        <f t="shared" si="186"/>
        <v/>
      </c>
      <c r="S1753" s="317" t="str">
        <f t="shared" si="187"/>
        <v/>
      </c>
      <c r="T1753" s="317" t="str">
        <f>GLOBAL_DER_FEV_2023!S1753</f>
        <v/>
      </c>
      <c r="W1753" s="582">
        <v>0</v>
      </c>
      <c r="X1753" s="580"/>
      <c r="Y1753" s="583">
        <f>IF(GLOBAL_DER_FEV_2023!W1753=0,0,IF(GLOBAL_DER_FEV_2023!W1753&gt;0,"c","b"))</f>
        <v>0</v>
      </c>
    </row>
    <row r="1754" spans="1:25" ht="15" customHeight="1" x14ac:dyDescent="0.2">
      <c r="A1754" s="317" t="s">
        <v>147</v>
      </c>
      <c r="B1754" s="895" t="s">
        <v>147</v>
      </c>
      <c r="C1754" s="896"/>
      <c r="D1754" s="957" t="s">
        <v>323</v>
      </c>
      <c r="E1754" s="907">
        <f>GLOBAL_DER_FEV_2023!E1754</f>
        <v>45</v>
      </c>
      <c r="F1754" s="908">
        <f>GLOBAL_DER_FEV_2023!F1754</f>
        <v>4.1999999999999997E-3</v>
      </c>
      <c r="G1754" s="949">
        <f>GLOBAL_DER_FEV_2023!G1754</f>
        <v>0.21348599999999998</v>
      </c>
      <c r="H1754" s="901">
        <f>GLOBAL_DER_FEV_2023!H1754</f>
        <v>0</v>
      </c>
      <c r="I1754" s="901">
        <f>GLOBAL_DER_FEV_2023!I1754</f>
        <v>0</v>
      </c>
      <c r="J1754" s="902">
        <f>GLOBAL_DER_FEV_2023!J1754</f>
        <v>0</v>
      </c>
      <c r="K1754" s="958" t="s">
        <v>507</v>
      </c>
      <c r="L1754" s="959"/>
      <c r="M1754" s="1157">
        <f t="shared" si="184"/>
        <v>0</v>
      </c>
      <c r="N1754" s="1176">
        <f t="shared" si="188"/>
        <v>0</v>
      </c>
      <c r="O1754" s="905"/>
      <c r="P1754" s="58" t="str">
        <f>IF(N1752&gt;0,"xx",IF(N1752&gt;0,"xy",""))</f>
        <v/>
      </c>
      <c r="Q1754" s="317" t="str">
        <f t="shared" si="185"/>
        <v/>
      </c>
      <c r="R1754" s="317" t="str">
        <f t="shared" si="186"/>
        <v/>
      </c>
      <c r="S1754" s="317" t="str">
        <f t="shared" si="187"/>
        <v/>
      </c>
      <c r="T1754" s="317" t="str">
        <f>GLOBAL_DER_FEV_2023!S1754</f>
        <v/>
      </c>
      <c r="W1754" s="582">
        <v>0</v>
      </c>
      <c r="X1754" s="580"/>
      <c r="Y1754" s="583">
        <f>IF(GLOBAL_DER_FEV_2023!W1754=0,0,IF(GLOBAL_DER_FEV_2023!W1754&gt;0,"c","b"))</f>
        <v>0</v>
      </c>
    </row>
    <row r="1755" spans="1:25" ht="15" customHeight="1" x14ac:dyDescent="0.2">
      <c r="A1755" s="317">
        <v>861030</v>
      </c>
      <c r="B1755" s="895">
        <v>861030</v>
      </c>
      <c r="C1755" s="896" t="s">
        <v>184</v>
      </c>
      <c r="D1755" s="906" t="s">
        <v>824</v>
      </c>
      <c r="E1755" s="907">
        <f>GLOBAL_DER_FEV_2023!E1755</f>
        <v>0</v>
      </c>
      <c r="F1755" s="908">
        <f>GLOBAL_DER_FEV_2023!F1755</f>
        <v>0</v>
      </c>
      <c r="G1755" s="912">
        <f>GLOBAL_DER_FEV_2023!G1755</f>
        <v>5.2482090000000001</v>
      </c>
      <c r="H1755" s="901">
        <f>GLOBAL_DER_FEV_2023!H1755</f>
        <v>286.49</v>
      </c>
      <c r="I1755" s="901">
        <f>GLOBAL_DER_FEV_2023!I1755</f>
        <v>291.73820899999998</v>
      </c>
      <c r="J1755" s="902">
        <f>GLOBAL_DER_FEV_2023!J1755</f>
        <v>350.29</v>
      </c>
      <c r="K1755" s="903" t="s">
        <v>10</v>
      </c>
      <c r="L1755" s="1137"/>
      <c r="M1755" s="1138">
        <f t="shared" si="184"/>
        <v>0</v>
      </c>
      <c r="N1755" s="1176">
        <f t="shared" si="188"/>
        <v>0</v>
      </c>
      <c r="O1755" s="905"/>
      <c r="Q1755" s="317" t="str">
        <f t="shared" si="185"/>
        <v/>
      </c>
      <c r="R1755" s="317" t="str">
        <f t="shared" si="186"/>
        <v/>
      </c>
      <c r="S1755" s="317" t="str">
        <f t="shared" si="187"/>
        <v/>
      </c>
      <c r="T1755" s="317" t="str">
        <f>GLOBAL_DER_FEV_2023!S1755</f>
        <v/>
      </c>
      <c r="W1755" s="582">
        <v>0</v>
      </c>
      <c r="X1755" s="580"/>
      <c r="Y1755" s="583">
        <f>IF(GLOBAL_DER_FEV_2023!W1755=0,0,IF(GLOBAL_DER_FEV_2023!W1755&gt;0,"c","b"))</f>
        <v>0</v>
      </c>
    </row>
    <row r="1756" spans="1:25" ht="15" customHeight="1" x14ac:dyDescent="0.2">
      <c r="A1756" s="317" t="s">
        <v>147</v>
      </c>
      <c r="B1756" s="895" t="s">
        <v>147</v>
      </c>
      <c r="C1756" s="896"/>
      <c r="D1756" s="957" t="s">
        <v>818</v>
      </c>
      <c r="E1756" s="907">
        <f>GLOBAL_DER_FEV_2023!E1756</f>
        <v>0</v>
      </c>
      <c r="F1756" s="908">
        <f>GLOBAL_DER_FEV_2023!F1756</f>
        <v>1.7250000000000001</v>
      </c>
      <c r="G1756" s="949">
        <f>GLOBAL_DER_FEV_2023!G1756</f>
        <v>4.6230000000000002</v>
      </c>
      <c r="H1756" s="901">
        <f>GLOBAL_DER_FEV_2023!H1756</f>
        <v>0</v>
      </c>
      <c r="I1756" s="901">
        <f>GLOBAL_DER_FEV_2023!I1756</f>
        <v>0</v>
      </c>
      <c r="J1756" s="902">
        <f>GLOBAL_DER_FEV_2023!J1756</f>
        <v>0</v>
      </c>
      <c r="K1756" s="958" t="s">
        <v>507</v>
      </c>
      <c r="L1756" s="959"/>
      <c r="M1756" s="1157">
        <f t="shared" si="184"/>
        <v>0</v>
      </c>
      <c r="N1756" s="1176">
        <f t="shared" si="188"/>
        <v>0</v>
      </c>
      <c r="O1756" s="905"/>
      <c r="P1756" s="58" t="str">
        <f>IF(N1755&gt;0,"xx",IF(N1755&gt;0,"xy",""))</f>
        <v/>
      </c>
      <c r="Q1756" s="317" t="str">
        <f t="shared" si="185"/>
        <v/>
      </c>
      <c r="R1756" s="317" t="str">
        <f t="shared" si="186"/>
        <v/>
      </c>
      <c r="S1756" s="317" t="str">
        <f t="shared" si="187"/>
        <v/>
      </c>
      <c r="T1756" s="317" t="str">
        <f>GLOBAL_DER_FEV_2023!S1756</f>
        <v/>
      </c>
      <c r="W1756" s="582">
        <v>0</v>
      </c>
      <c r="X1756" s="580"/>
      <c r="Y1756" s="583">
        <f>IF(GLOBAL_DER_FEV_2023!W1756=0,0,IF(GLOBAL_DER_FEV_2023!W1756&gt;0,"c","b"))</f>
        <v>0</v>
      </c>
    </row>
    <row r="1757" spans="1:25" ht="15" customHeight="1" x14ac:dyDescent="0.2">
      <c r="A1757" s="317" t="s">
        <v>147</v>
      </c>
      <c r="B1757" s="895" t="s">
        <v>147</v>
      </c>
      <c r="C1757" s="896"/>
      <c r="D1757" s="957" t="s">
        <v>323</v>
      </c>
      <c r="E1757" s="907">
        <f>GLOBAL_DER_FEV_2023!E1757</f>
        <v>45</v>
      </c>
      <c r="F1757" s="908">
        <f>GLOBAL_DER_FEV_2023!F1757</f>
        <v>1.23E-2</v>
      </c>
      <c r="G1757" s="949">
        <f>GLOBAL_DER_FEV_2023!G1757</f>
        <v>0.62520900000000001</v>
      </c>
      <c r="H1757" s="901">
        <f>GLOBAL_DER_FEV_2023!H1757</f>
        <v>0</v>
      </c>
      <c r="I1757" s="901">
        <f>GLOBAL_DER_FEV_2023!I1757</f>
        <v>0</v>
      </c>
      <c r="J1757" s="902">
        <f>GLOBAL_DER_FEV_2023!J1757</f>
        <v>0</v>
      </c>
      <c r="K1757" s="958" t="s">
        <v>507</v>
      </c>
      <c r="L1757" s="959"/>
      <c r="M1757" s="1157">
        <f t="shared" si="184"/>
        <v>0</v>
      </c>
      <c r="N1757" s="1176">
        <f t="shared" si="188"/>
        <v>0</v>
      </c>
      <c r="O1757" s="905"/>
      <c r="P1757" s="58" t="str">
        <f>IF(N1755&gt;0,"xx",IF(N1755&gt;0,"xy",""))</f>
        <v/>
      </c>
      <c r="Q1757" s="317" t="str">
        <f t="shared" si="185"/>
        <v/>
      </c>
      <c r="R1757" s="317" t="str">
        <f t="shared" si="186"/>
        <v/>
      </c>
      <c r="S1757" s="317" t="str">
        <f t="shared" si="187"/>
        <v/>
      </c>
      <c r="T1757" s="317" t="str">
        <f>GLOBAL_DER_FEV_2023!S1757</f>
        <v/>
      </c>
      <c r="W1757" s="582">
        <v>0</v>
      </c>
      <c r="X1757" s="580"/>
      <c r="Y1757" s="583">
        <f>IF(GLOBAL_DER_FEV_2023!W1757=0,0,IF(GLOBAL_DER_FEV_2023!W1757&gt;0,"c","b"))</f>
        <v>0</v>
      </c>
    </row>
    <row r="1758" spans="1:25" ht="15" customHeight="1" x14ac:dyDescent="0.2">
      <c r="A1758" s="317">
        <v>601200</v>
      </c>
      <c r="B1758" s="895" t="s">
        <v>1811</v>
      </c>
      <c r="C1758" s="896" t="s">
        <v>184</v>
      </c>
      <c r="D1758" s="906" t="s">
        <v>1519</v>
      </c>
      <c r="E1758" s="907">
        <f>GLOBAL_DER_FEV_2023!E1758</f>
        <v>0</v>
      </c>
      <c r="F1758" s="908">
        <f>GLOBAL_DER_FEV_2023!F1758</f>
        <v>0</v>
      </c>
      <c r="G1758" s="912">
        <f>GLOBAL_DER_FEV_2023!G1758</f>
        <v>0</v>
      </c>
      <c r="H1758" s="901">
        <f>GLOBAL_DER_FEV_2023!H1758</f>
        <v>34.119999999999997</v>
      </c>
      <c r="I1758" s="901">
        <f>GLOBAL_DER_FEV_2023!I1758</f>
        <v>30.707999999999998</v>
      </c>
      <c r="J1758" s="902">
        <f>GLOBAL_DER_FEV_2023!J1758</f>
        <v>36.869999999999997</v>
      </c>
      <c r="K1758" s="903" t="s">
        <v>10</v>
      </c>
      <c r="L1758" s="1137"/>
      <c r="M1758" s="1138">
        <f t="shared" si="184"/>
        <v>0</v>
      </c>
      <c r="N1758" s="1176">
        <f t="shared" si="188"/>
        <v>0</v>
      </c>
      <c r="O1758" s="905"/>
      <c r="Q1758" s="317" t="str">
        <f t="shared" si="185"/>
        <v/>
      </c>
      <c r="R1758" s="317" t="str">
        <f t="shared" si="186"/>
        <v/>
      </c>
      <c r="S1758" s="317" t="str">
        <f t="shared" si="187"/>
        <v/>
      </c>
      <c r="T1758" s="317" t="str">
        <f>GLOBAL_DER_FEV_2023!S1758</f>
        <v/>
      </c>
      <c r="W1758" s="582">
        <v>0</v>
      </c>
      <c r="X1758" s="580"/>
      <c r="Y1758" s="583">
        <f>IF(GLOBAL_DER_FEV_2023!W1758=0,0,IF(GLOBAL_DER_FEV_2023!W1758&gt;0,"c","b"))</f>
        <v>0</v>
      </c>
    </row>
    <row r="1759" spans="1:25" ht="15" customHeight="1" x14ac:dyDescent="0.2">
      <c r="A1759" s="317">
        <v>601200</v>
      </c>
      <c r="B1759" s="895" t="s">
        <v>1812</v>
      </c>
      <c r="C1759" s="896" t="s">
        <v>184</v>
      </c>
      <c r="D1759" s="906" t="s">
        <v>325</v>
      </c>
      <c r="E1759" s="907">
        <f>GLOBAL_DER_FEV_2023!E1759</f>
        <v>0</v>
      </c>
      <c r="F1759" s="908">
        <f>GLOBAL_DER_FEV_2023!F1759</f>
        <v>0</v>
      </c>
      <c r="G1759" s="912">
        <f>GLOBAL_DER_FEV_2023!G1759</f>
        <v>0</v>
      </c>
      <c r="H1759" s="901">
        <f>GLOBAL_DER_FEV_2023!H1759</f>
        <v>34.119999999999997</v>
      </c>
      <c r="I1759" s="901">
        <f>GLOBAL_DER_FEV_2023!I1759</f>
        <v>30.707999999999998</v>
      </c>
      <c r="J1759" s="902">
        <f>GLOBAL_DER_FEV_2023!J1759</f>
        <v>36.869999999999997</v>
      </c>
      <c r="K1759" s="903" t="s">
        <v>1520</v>
      </c>
      <c r="L1759" s="1137"/>
      <c r="M1759" s="1138">
        <f t="shared" si="184"/>
        <v>0</v>
      </c>
      <c r="N1759" s="1176">
        <f t="shared" si="188"/>
        <v>0</v>
      </c>
      <c r="O1759" s="905"/>
      <c r="Q1759" s="317" t="str">
        <f t="shared" si="185"/>
        <v/>
      </c>
      <c r="R1759" s="317" t="str">
        <f t="shared" si="186"/>
        <v/>
      </c>
      <c r="S1759" s="317" t="str">
        <f t="shared" si="187"/>
        <v/>
      </c>
      <c r="T1759" s="317" t="str">
        <f>GLOBAL_DER_FEV_2023!S1759</f>
        <v/>
      </c>
      <c r="W1759" s="582">
        <v>0</v>
      </c>
      <c r="X1759" s="580"/>
      <c r="Y1759" s="583">
        <f>IF(GLOBAL_DER_FEV_2023!W1759=0,0,IF(GLOBAL_DER_FEV_2023!W1759&gt;0,"c","b"))</f>
        <v>0</v>
      </c>
    </row>
    <row r="1760" spans="1:25" ht="15" customHeight="1" x14ac:dyDescent="0.2">
      <c r="A1760" s="317">
        <v>97623</v>
      </c>
      <c r="B1760" s="895" t="s">
        <v>1728</v>
      </c>
      <c r="C1760" s="896" t="s">
        <v>596</v>
      </c>
      <c r="D1760" s="897" t="s">
        <v>1724</v>
      </c>
      <c r="E1760" s="898">
        <f>GLOBAL_DER_FEV_2023!E1760</f>
        <v>0</v>
      </c>
      <c r="F1760" s="899">
        <f>GLOBAL_DER_FEV_2023!F1760</f>
        <v>0</v>
      </c>
      <c r="G1760" s="900">
        <f>GLOBAL_DER_FEV_2023!G1760</f>
        <v>0</v>
      </c>
      <c r="H1760" s="901">
        <f>GLOBAL_DER_FEV_2023!H1760</f>
        <v>201.31</v>
      </c>
      <c r="I1760" s="901">
        <f>GLOBAL_DER_FEV_2023!I1760</f>
        <v>201.31</v>
      </c>
      <c r="J1760" s="902">
        <f>GLOBAL_DER_FEV_2023!J1760</f>
        <v>241.71</v>
      </c>
      <c r="K1760" s="903" t="s">
        <v>10</v>
      </c>
      <c r="L1760" s="1139"/>
      <c r="M1760" s="1140">
        <f t="shared" si="184"/>
        <v>0</v>
      </c>
      <c r="N1760" s="1176">
        <f t="shared" si="188"/>
        <v>0</v>
      </c>
      <c r="O1760" s="905"/>
      <c r="Q1760" s="317" t="str">
        <f t="shared" si="185"/>
        <v/>
      </c>
      <c r="R1760" s="317" t="str">
        <f t="shared" si="186"/>
        <v/>
      </c>
      <c r="S1760" s="317" t="str">
        <f t="shared" si="187"/>
        <v/>
      </c>
      <c r="T1760" s="317" t="str">
        <f>GLOBAL_DER_FEV_2023!S1760</f>
        <v/>
      </c>
      <c r="W1760" s="582">
        <v>0</v>
      </c>
      <c r="X1760" s="580"/>
      <c r="Y1760" s="583">
        <f>IF(GLOBAL_DER_FEV_2023!W1760=0,0,IF(GLOBAL_DER_FEV_2023!W1760&gt;0,"c","b"))</f>
        <v>0</v>
      </c>
    </row>
    <row r="1761" spans="1:25" ht="15" customHeight="1" x14ac:dyDescent="0.2">
      <c r="A1761" s="317">
        <v>97624</v>
      </c>
      <c r="B1761" s="895" t="s">
        <v>1727</v>
      </c>
      <c r="C1761" s="896" t="s">
        <v>596</v>
      </c>
      <c r="D1761" s="897" t="s">
        <v>1721</v>
      </c>
      <c r="E1761" s="898">
        <f>GLOBAL_DER_FEV_2023!E1761</f>
        <v>0</v>
      </c>
      <c r="F1761" s="899">
        <f>GLOBAL_DER_FEV_2023!F1761</f>
        <v>0</v>
      </c>
      <c r="G1761" s="900">
        <f>GLOBAL_DER_FEV_2023!G1761</f>
        <v>0</v>
      </c>
      <c r="H1761" s="901">
        <f>GLOBAL_DER_FEV_2023!H1761</f>
        <v>123.54</v>
      </c>
      <c r="I1761" s="901">
        <f>GLOBAL_DER_FEV_2023!I1761</f>
        <v>123.54</v>
      </c>
      <c r="J1761" s="902">
        <f>GLOBAL_DER_FEV_2023!J1761</f>
        <v>148.33000000000001</v>
      </c>
      <c r="K1761" s="903" t="s">
        <v>10</v>
      </c>
      <c r="L1761" s="1139"/>
      <c r="M1761" s="1140">
        <f t="shared" si="184"/>
        <v>0</v>
      </c>
      <c r="N1761" s="1176">
        <f t="shared" si="188"/>
        <v>0</v>
      </c>
      <c r="O1761" s="905"/>
      <c r="Q1761" s="317" t="str">
        <f t="shared" si="185"/>
        <v/>
      </c>
      <c r="R1761" s="317" t="str">
        <f t="shared" si="186"/>
        <v/>
      </c>
      <c r="S1761" s="317" t="str">
        <f t="shared" si="187"/>
        <v/>
      </c>
      <c r="T1761" s="317" t="str">
        <f>GLOBAL_DER_FEV_2023!S1761</f>
        <v/>
      </c>
      <c r="W1761" s="582">
        <v>0</v>
      </c>
      <c r="X1761" s="580"/>
      <c r="Y1761" s="583">
        <f>IF(GLOBAL_DER_FEV_2023!W1761=0,0,IF(GLOBAL_DER_FEV_2023!W1761&gt;0,"c","b"))</f>
        <v>0</v>
      </c>
    </row>
    <row r="1762" spans="1:25" ht="15" customHeight="1" x14ac:dyDescent="0.2">
      <c r="A1762" s="317">
        <v>606500</v>
      </c>
      <c r="B1762" s="895" t="s">
        <v>1729</v>
      </c>
      <c r="C1762" s="896" t="s">
        <v>184</v>
      </c>
      <c r="D1762" s="906" t="s">
        <v>466</v>
      </c>
      <c r="E1762" s="907">
        <f>GLOBAL_DER_FEV_2023!E1762</f>
        <v>0</v>
      </c>
      <c r="F1762" s="908">
        <f>GLOBAL_DER_FEV_2023!F1762</f>
        <v>0</v>
      </c>
      <c r="G1762" s="912">
        <f>GLOBAL_DER_FEV_2023!G1762</f>
        <v>0</v>
      </c>
      <c r="H1762" s="901">
        <f>GLOBAL_DER_FEV_2023!H1762</f>
        <v>182.46</v>
      </c>
      <c r="I1762" s="901">
        <f>GLOBAL_DER_FEV_2023!I1762</f>
        <v>182.46</v>
      </c>
      <c r="J1762" s="902">
        <f>GLOBAL_DER_FEV_2023!J1762</f>
        <v>219.08</v>
      </c>
      <c r="K1762" s="903" t="s">
        <v>10</v>
      </c>
      <c r="L1762" s="1137"/>
      <c r="M1762" s="1138">
        <f t="shared" si="184"/>
        <v>0</v>
      </c>
      <c r="N1762" s="1176">
        <f t="shared" si="188"/>
        <v>0</v>
      </c>
      <c r="O1762" s="905"/>
      <c r="Q1762" s="317" t="str">
        <f t="shared" si="185"/>
        <v/>
      </c>
      <c r="R1762" s="317" t="str">
        <f t="shared" si="186"/>
        <v/>
      </c>
      <c r="S1762" s="317" t="str">
        <f t="shared" si="187"/>
        <v/>
      </c>
      <c r="T1762" s="317" t="str">
        <f>GLOBAL_DER_FEV_2023!S1762</f>
        <v/>
      </c>
      <c r="W1762" s="582">
        <v>0</v>
      </c>
      <c r="X1762" s="580"/>
      <c r="Y1762" s="583">
        <f>IF(GLOBAL_DER_FEV_2023!W1762=0,0,IF(GLOBAL_DER_FEV_2023!W1762&gt;0,"c","b"))</f>
        <v>0</v>
      </c>
    </row>
    <row r="1763" spans="1:25" ht="15" customHeight="1" x14ac:dyDescent="0.2">
      <c r="A1763" s="317">
        <v>606700</v>
      </c>
      <c r="B1763" s="895" t="s">
        <v>1706</v>
      </c>
      <c r="C1763" s="896" t="s">
        <v>184</v>
      </c>
      <c r="D1763" s="906" t="s">
        <v>177</v>
      </c>
      <c r="E1763" s="907">
        <f>GLOBAL_DER_FEV_2023!E1763</f>
        <v>0</v>
      </c>
      <c r="F1763" s="908">
        <f>GLOBAL_DER_FEV_2023!F1763</f>
        <v>0</v>
      </c>
      <c r="G1763" s="912">
        <f>GLOBAL_DER_FEV_2023!G1763</f>
        <v>0</v>
      </c>
      <c r="H1763" s="901">
        <f>GLOBAL_DER_FEV_2023!H1763</f>
        <v>148.04</v>
      </c>
      <c r="I1763" s="901">
        <f>GLOBAL_DER_FEV_2023!I1763</f>
        <v>148.04</v>
      </c>
      <c r="J1763" s="902">
        <f>GLOBAL_DER_FEV_2023!J1763</f>
        <v>177.75</v>
      </c>
      <c r="K1763" s="903" t="s">
        <v>10</v>
      </c>
      <c r="L1763" s="1137"/>
      <c r="M1763" s="1138">
        <f t="shared" si="184"/>
        <v>0</v>
      </c>
      <c r="N1763" s="1176">
        <f t="shared" si="188"/>
        <v>0</v>
      </c>
      <c r="O1763" s="905"/>
      <c r="Q1763" s="317" t="str">
        <f t="shared" si="185"/>
        <v/>
      </c>
      <c r="R1763" s="317" t="str">
        <f t="shared" si="186"/>
        <v/>
      </c>
      <c r="S1763" s="317" t="str">
        <f t="shared" si="187"/>
        <v/>
      </c>
      <c r="T1763" s="317" t="str">
        <f>GLOBAL_DER_FEV_2023!S1763</f>
        <v/>
      </c>
      <c r="W1763" s="582">
        <v>0</v>
      </c>
      <c r="X1763" s="580"/>
      <c r="Y1763" s="583">
        <f>IF(GLOBAL_DER_FEV_2023!W1763=0,0,IF(GLOBAL_DER_FEV_2023!W1763&gt;0,"c","b"))</f>
        <v>0</v>
      </c>
    </row>
    <row r="1764" spans="1:25" ht="15" customHeight="1" x14ac:dyDescent="0.2">
      <c r="A1764" s="317">
        <v>606600</v>
      </c>
      <c r="B1764" s="895" t="s">
        <v>1703</v>
      </c>
      <c r="C1764" s="896" t="s">
        <v>184</v>
      </c>
      <c r="D1764" s="906" t="s">
        <v>178</v>
      </c>
      <c r="E1764" s="907">
        <f>GLOBAL_DER_FEV_2023!E1764</f>
        <v>0</v>
      </c>
      <c r="F1764" s="908">
        <f>GLOBAL_DER_FEV_2023!F1764</f>
        <v>0</v>
      </c>
      <c r="G1764" s="912">
        <f>GLOBAL_DER_FEV_2023!G1764</f>
        <v>0</v>
      </c>
      <c r="H1764" s="901">
        <f>GLOBAL_DER_FEV_2023!H1764</f>
        <v>309.52999999999997</v>
      </c>
      <c r="I1764" s="901">
        <f>GLOBAL_DER_FEV_2023!I1764</f>
        <v>309.52999999999997</v>
      </c>
      <c r="J1764" s="902">
        <f>GLOBAL_DER_FEV_2023!J1764</f>
        <v>371.65</v>
      </c>
      <c r="K1764" s="903" t="s">
        <v>10</v>
      </c>
      <c r="L1764" s="1137"/>
      <c r="M1764" s="1138">
        <f t="shared" si="184"/>
        <v>0</v>
      </c>
      <c r="N1764" s="1176">
        <f t="shared" si="188"/>
        <v>0</v>
      </c>
      <c r="O1764" s="905"/>
      <c r="Q1764" s="317" t="str">
        <f t="shared" si="185"/>
        <v/>
      </c>
      <c r="R1764" s="317" t="str">
        <f t="shared" si="186"/>
        <v/>
      </c>
      <c r="S1764" s="317" t="str">
        <f t="shared" si="187"/>
        <v/>
      </c>
      <c r="T1764" s="317" t="str">
        <f>GLOBAL_DER_FEV_2023!S1764</f>
        <v/>
      </c>
      <c r="W1764" s="582">
        <v>0</v>
      </c>
      <c r="X1764" s="580"/>
      <c r="Y1764" s="583">
        <f>IF(GLOBAL_DER_FEV_2023!W1764=0,0,IF(GLOBAL_DER_FEV_2023!W1764&gt;0,"c","b"))</f>
        <v>0</v>
      </c>
    </row>
    <row r="1765" spans="1:25" ht="15" customHeight="1" x14ac:dyDescent="0.2">
      <c r="A1765" s="317">
        <v>602000</v>
      </c>
      <c r="B1765" s="895" t="s">
        <v>1997</v>
      </c>
      <c r="C1765" s="896" t="s">
        <v>184</v>
      </c>
      <c r="D1765" s="906" t="s">
        <v>1994</v>
      </c>
      <c r="E1765" s="907">
        <f>GLOBAL_DER_FEV_2023!E1765</f>
        <v>0</v>
      </c>
      <c r="F1765" s="908">
        <f>GLOBAL_DER_FEV_2023!F1765</f>
        <v>0</v>
      </c>
      <c r="G1765" s="912">
        <f>GLOBAL_DER_FEV_2023!G1765</f>
        <v>0</v>
      </c>
      <c r="H1765" s="901">
        <f>GLOBAL_DER_FEV_2023!H1765</f>
        <v>62.53</v>
      </c>
      <c r="I1765" s="901">
        <f>GLOBAL_DER_FEV_2023!I1765</f>
        <v>62.53</v>
      </c>
      <c r="J1765" s="902">
        <f>GLOBAL_DER_FEV_2023!J1765</f>
        <v>75.08</v>
      </c>
      <c r="K1765" s="903" t="s">
        <v>12</v>
      </c>
      <c r="L1765" s="1137"/>
      <c r="M1765" s="1138">
        <f t="shared" si="184"/>
        <v>0</v>
      </c>
      <c r="N1765" s="1176">
        <f t="shared" si="188"/>
        <v>0</v>
      </c>
      <c r="O1765" s="905"/>
      <c r="Q1765" s="317" t="str">
        <f t="shared" si="185"/>
        <v/>
      </c>
      <c r="R1765" s="317" t="str">
        <f t="shared" si="186"/>
        <v/>
      </c>
      <c r="S1765" s="317" t="str">
        <f t="shared" si="187"/>
        <v/>
      </c>
      <c r="T1765" s="317" t="str">
        <f>GLOBAL_DER_FEV_2023!S1765</f>
        <v/>
      </c>
      <c r="W1765" s="582">
        <v>0</v>
      </c>
      <c r="X1765" s="580"/>
      <c r="Y1765" s="583">
        <f>IF(GLOBAL_DER_FEV_2023!W1765=0,0,IF(GLOBAL_DER_FEV_2023!W1765&gt;0,"c","b"))</f>
        <v>0</v>
      </c>
    </row>
    <row r="1766" spans="1:25" ht="15" customHeight="1" x14ac:dyDescent="0.2">
      <c r="A1766" s="317">
        <v>603000</v>
      </c>
      <c r="B1766" s="895" t="s">
        <v>1770</v>
      </c>
      <c r="C1766" s="896" t="s">
        <v>184</v>
      </c>
      <c r="D1766" s="906" t="s">
        <v>261</v>
      </c>
      <c r="E1766" s="907">
        <f>GLOBAL_DER_FEV_2023!E1766</f>
        <v>0</v>
      </c>
      <c r="F1766" s="908">
        <f>GLOBAL_DER_FEV_2023!F1766</f>
        <v>0</v>
      </c>
      <c r="G1766" s="912">
        <f>GLOBAL_DER_FEV_2023!G1766</f>
        <v>0</v>
      </c>
      <c r="H1766" s="901">
        <f>GLOBAL_DER_FEV_2023!H1766</f>
        <v>18.34</v>
      </c>
      <c r="I1766" s="901">
        <f>GLOBAL_DER_FEV_2023!I1766</f>
        <v>18.34</v>
      </c>
      <c r="J1766" s="902">
        <f>GLOBAL_DER_FEV_2023!J1766</f>
        <v>22.02</v>
      </c>
      <c r="K1766" s="903" t="s">
        <v>16</v>
      </c>
      <c r="L1766" s="1137"/>
      <c r="M1766" s="1138">
        <f t="shared" si="184"/>
        <v>0</v>
      </c>
      <c r="N1766" s="1176">
        <f t="shared" si="188"/>
        <v>0</v>
      </c>
      <c r="O1766" s="905"/>
      <c r="Q1766" s="317" t="str">
        <f t="shared" si="185"/>
        <v/>
      </c>
      <c r="R1766" s="317" t="str">
        <f t="shared" si="186"/>
        <v/>
      </c>
      <c r="S1766" s="317" t="str">
        <f t="shared" si="187"/>
        <v/>
      </c>
      <c r="T1766" s="317" t="str">
        <f>GLOBAL_DER_FEV_2023!S1766</f>
        <v/>
      </c>
      <c r="W1766" s="582">
        <v>0</v>
      </c>
      <c r="X1766" s="580"/>
      <c r="Y1766" s="583">
        <f>IF(GLOBAL_DER_FEV_2023!W1766=0,0,IF(GLOBAL_DER_FEV_2023!W1766&gt;0,"c","b"))</f>
        <v>0</v>
      </c>
    </row>
    <row r="1767" spans="1:25" ht="15" customHeight="1" x14ac:dyDescent="0.2">
      <c r="A1767" s="317">
        <v>603300</v>
      </c>
      <c r="B1767" s="895" t="s">
        <v>1773</v>
      </c>
      <c r="C1767" s="896" t="s">
        <v>184</v>
      </c>
      <c r="D1767" s="906" t="s">
        <v>262</v>
      </c>
      <c r="E1767" s="907">
        <f>GLOBAL_DER_FEV_2023!E1767</f>
        <v>0</v>
      </c>
      <c r="F1767" s="908">
        <f>GLOBAL_DER_FEV_2023!F1767</f>
        <v>0</v>
      </c>
      <c r="G1767" s="912">
        <f>GLOBAL_DER_FEV_2023!G1767</f>
        <v>0</v>
      </c>
      <c r="H1767" s="901">
        <f>GLOBAL_DER_FEV_2023!H1767</f>
        <v>20.91</v>
      </c>
      <c r="I1767" s="901">
        <f>GLOBAL_DER_FEV_2023!I1767</f>
        <v>20.91</v>
      </c>
      <c r="J1767" s="902">
        <f>GLOBAL_DER_FEV_2023!J1767</f>
        <v>25.11</v>
      </c>
      <c r="K1767" s="903" t="s">
        <v>16</v>
      </c>
      <c r="L1767" s="1137"/>
      <c r="M1767" s="1138">
        <f t="shared" si="184"/>
        <v>0</v>
      </c>
      <c r="N1767" s="1176">
        <f t="shared" si="188"/>
        <v>0</v>
      </c>
      <c r="O1767" s="905"/>
      <c r="Q1767" s="317" t="str">
        <f t="shared" si="185"/>
        <v/>
      </c>
      <c r="R1767" s="317" t="str">
        <f t="shared" si="186"/>
        <v/>
      </c>
      <c r="S1767" s="317" t="str">
        <f t="shared" si="187"/>
        <v/>
      </c>
      <c r="T1767" s="317" t="str">
        <f>GLOBAL_DER_FEV_2023!S1767</f>
        <v/>
      </c>
      <c r="W1767" s="582">
        <v>0</v>
      </c>
      <c r="X1767" s="580"/>
      <c r="Y1767" s="583">
        <f>IF(GLOBAL_DER_FEV_2023!W1767=0,0,IF(GLOBAL_DER_FEV_2023!W1767&gt;0,"c","b"))</f>
        <v>0</v>
      </c>
    </row>
    <row r="1768" spans="1:25" ht="15" customHeight="1" x14ac:dyDescent="0.2">
      <c r="A1768" s="317">
        <v>603600</v>
      </c>
      <c r="B1768" s="895">
        <v>603600</v>
      </c>
      <c r="C1768" s="896" t="s">
        <v>184</v>
      </c>
      <c r="D1768" s="906" t="s">
        <v>326</v>
      </c>
      <c r="E1768" s="907">
        <f>GLOBAL_DER_FEV_2023!E1768</f>
        <v>0</v>
      </c>
      <c r="F1768" s="908">
        <f>GLOBAL_DER_FEV_2023!F1768</f>
        <v>0</v>
      </c>
      <c r="G1768" s="912">
        <f>GLOBAL_DER_FEV_2023!G1768</f>
        <v>112.0478</v>
      </c>
      <c r="H1768" s="901">
        <f>GLOBAL_DER_FEV_2023!H1768</f>
        <v>291.92</v>
      </c>
      <c r="I1768" s="901">
        <f>GLOBAL_DER_FEV_2023!I1768</f>
        <v>403.96780000000001</v>
      </c>
      <c r="J1768" s="902">
        <f>GLOBAL_DER_FEV_2023!J1768</f>
        <v>485.04</v>
      </c>
      <c r="K1768" s="903" t="s">
        <v>10</v>
      </c>
      <c r="L1768" s="1137"/>
      <c r="M1768" s="1138">
        <f t="shared" si="184"/>
        <v>0</v>
      </c>
      <c r="N1768" s="1176">
        <f t="shared" si="188"/>
        <v>0</v>
      </c>
      <c r="O1768" s="905"/>
      <c r="Q1768" s="317" t="str">
        <f t="shared" si="185"/>
        <v/>
      </c>
      <c r="R1768" s="317" t="str">
        <f t="shared" si="186"/>
        <v/>
      </c>
      <c r="S1768" s="317" t="str">
        <f t="shared" si="187"/>
        <v/>
      </c>
      <c r="T1768" s="317" t="str">
        <f>GLOBAL_DER_FEV_2023!S1768</f>
        <v/>
      </c>
      <c r="W1768" s="582">
        <v>0</v>
      </c>
      <c r="X1768" s="580"/>
      <c r="Y1768" s="583">
        <f>IF(GLOBAL_DER_FEV_2023!W1768=0,0,IF(GLOBAL_DER_FEV_2023!W1768&gt;0,"c","b"))</f>
        <v>0</v>
      </c>
    </row>
    <row r="1769" spans="1:25" ht="15" customHeight="1" x14ac:dyDescent="0.2">
      <c r="A1769" s="317" t="s">
        <v>147</v>
      </c>
      <c r="B1769" s="895" t="s">
        <v>147</v>
      </c>
      <c r="C1769" s="896"/>
      <c r="D1769" s="906" t="s">
        <v>190</v>
      </c>
      <c r="E1769" s="907">
        <f>GLOBAL_DER_FEV_2023!E1769</f>
        <v>308</v>
      </c>
      <c r="F1769" s="908">
        <f>GLOBAL_DER_FEV_2023!F1769</f>
        <v>0.1</v>
      </c>
      <c r="G1769" s="909">
        <f>GLOBAL_DER_FEV_2023!G1769</f>
        <v>24.806000000000001</v>
      </c>
      <c r="H1769" s="901">
        <f>GLOBAL_DER_FEV_2023!H1769</f>
        <v>0</v>
      </c>
      <c r="I1769" s="901">
        <f>GLOBAL_DER_FEV_2023!I1769</f>
        <v>0</v>
      </c>
      <c r="J1769" s="902">
        <f>GLOBAL_DER_FEV_2023!J1769</f>
        <v>0</v>
      </c>
      <c r="K1769" s="903"/>
      <c r="L1769" s="1177"/>
      <c r="M1769" s="1138">
        <f t="shared" si="184"/>
        <v>0</v>
      </c>
      <c r="N1769" s="1176">
        <f t="shared" si="188"/>
        <v>0</v>
      </c>
      <c r="O1769" s="905"/>
      <c r="P1769" s="36" t="str">
        <f>IF(N1768&gt;0,"xx",IF(N1768&gt;0,"xy",""))</f>
        <v/>
      </c>
      <c r="Q1769" s="317" t="str">
        <f t="shared" si="185"/>
        <v/>
      </c>
      <c r="R1769" s="317" t="str">
        <f t="shared" si="186"/>
        <v/>
      </c>
      <c r="S1769" s="317" t="str">
        <f t="shared" si="187"/>
        <v/>
      </c>
      <c r="T1769" s="317" t="str">
        <f>GLOBAL_DER_FEV_2023!S1769</f>
        <v/>
      </c>
      <c r="W1769" s="582">
        <v>0</v>
      </c>
      <c r="X1769" s="580"/>
      <c r="Y1769" s="583">
        <f>IF(GLOBAL_DER_FEV_2023!W1769=0,0,IF(GLOBAL_DER_FEV_2023!W1769&gt;0,"c","b"))</f>
        <v>0</v>
      </c>
    </row>
    <row r="1770" spans="1:25" ht="15" customHeight="1" x14ac:dyDescent="0.2">
      <c r="A1770" s="317" t="s">
        <v>147</v>
      </c>
      <c r="B1770" s="895" t="s">
        <v>147</v>
      </c>
      <c r="C1770" s="896"/>
      <c r="D1770" s="906" t="s">
        <v>229</v>
      </c>
      <c r="E1770" s="907">
        <f>GLOBAL_DER_FEV_2023!E1770</f>
        <v>150</v>
      </c>
      <c r="F1770" s="908">
        <f>GLOBAL_DER_FEV_2023!F1770</f>
        <v>0.51</v>
      </c>
      <c r="G1770" s="949">
        <f>GLOBAL_DER_FEV_2023!G1770</f>
        <v>83.221800000000002</v>
      </c>
      <c r="H1770" s="901">
        <f>GLOBAL_DER_FEV_2023!H1770</f>
        <v>0</v>
      </c>
      <c r="I1770" s="901">
        <f>GLOBAL_DER_FEV_2023!I1770</f>
        <v>0</v>
      </c>
      <c r="J1770" s="902">
        <f>GLOBAL_DER_FEV_2023!J1770</f>
        <v>0</v>
      </c>
      <c r="K1770" s="903"/>
      <c r="L1770" s="1177"/>
      <c r="M1770" s="1138">
        <f t="shared" si="184"/>
        <v>0</v>
      </c>
      <c r="N1770" s="1176">
        <f t="shared" si="188"/>
        <v>0</v>
      </c>
      <c r="O1770" s="905"/>
      <c r="P1770" s="36" t="str">
        <f>IF(N1768&gt;0,"xx",IF(N1768&gt;0,"xy",""))</f>
        <v/>
      </c>
      <c r="Q1770" s="317" t="str">
        <f t="shared" si="185"/>
        <v/>
      </c>
      <c r="R1770" s="317" t="str">
        <f t="shared" si="186"/>
        <v/>
      </c>
      <c r="S1770" s="317" t="str">
        <f t="shared" si="187"/>
        <v/>
      </c>
      <c r="T1770" s="317" t="str">
        <f>GLOBAL_DER_FEV_2023!S1770</f>
        <v/>
      </c>
      <c r="W1770" s="582">
        <v>0</v>
      </c>
      <c r="X1770" s="580"/>
      <c r="Y1770" s="583">
        <f>IF(GLOBAL_DER_FEV_2023!W1770=0,0,IF(GLOBAL_DER_FEV_2023!W1770&gt;0,"c","b"))</f>
        <v>0</v>
      </c>
    </row>
    <row r="1771" spans="1:25" ht="15" customHeight="1" x14ac:dyDescent="0.2">
      <c r="A1771" s="317" t="s">
        <v>147</v>
      </c>
      <c r="B1771" s="895" t="s">
        <v>147</v>
      </c>
      <c r="C1771" s="896"/>
      <c r="D1771" s="906" t="s">
        <v>233</v>
      </c>
      <c r="E1771" s="907">
        <f>GLOBAL_DER_FEV_2023!E1771</f>
        <v>0</v>
      </c>
      <c r="F1771" s="908">
        <f>GLOBAL_DER_FEV_2023!F1771</f>
        <v>1.5</v>
      </c>
      <c r="G1771" s="949">
        <f>GLOBAL_DER_FEV_2023!G1771</f>
        <v>4.0200000000000005</v>
      </c>
      <c r="H1771" s="901">
        <f>GLOBAL_DER_FEV_2023!H1771</f>
        <v>0</v>
      </c>
      <c r="I1771" s="901">
        <f>GLOBAL_DER_FEV_2023!I1771</f>
        <v>0</v>
      </c>
      <c r="J1771" s="902">
        <f>GLOBAL_DER_FEV_2023!J1771</f>
        <v>0</v>
      </c>
      <c r="K1771" s="903"/>
      <c r="L1771" s="1177"/>
      <c r="M1771" s="1138">
        <f t="shared" si="184"/>
        <v>0</v>
      </c>
      <c r="N1771" s="1176">
        <f t="shared" si="188"/>
        <v>0</v>
      </c>
      <c r="O1771" s="905"/>
      <c r="P1771" s="36" t="str">
        <f>IF(N1768&gt;0,"xx",IF(N1768&gt;0,"xy",""))</f>
        <v/>
      </c>
      <c r="Q1771" s="317" t="str">
        <f t="shared" si="185"/>
        <v/>
      </c>
      <c r="R1771" s="317" t="str">
        <f t="shared" si="186"/>
        <v/>
      </c>
      <c r="S1771" s="317" t="str">
        <f t="shared" si="187"/>
        <v/>
      </c>
      <c r="T1771" s="317" t="str">
        <f>GLOBAL_DER_FEV_2023!S1771</f>
        <v/>
      </c>
      <c r="W1771" s="582">
        <v>0</v>
      </c>
      <c r="X1771" s="580"/>
      <c r="Y1771" s="583">
        <f>IF(GLOBAL_DER_FEV_2023!W1771=0,0,IF(GLOBAL_DER_FEV_2023!W1771&gt;0,"c","b"))</f>
        <v>0</v>
      </c>
    </row>
    <row r="1772" spans="1:25" ht="15" customHeight="1" x14ac:dyDescent="0.2">
      <c r="A1772" s="317">
        <v>603700</v>
      </c>
      <c r="B1772" s="895" t="s">
        <v>1801</v>
      </c>
      <c r="C1772" s="896" t="s">
        <v>184</v>
      </c>
      <c r="D1772" s="906" t="s">
        <v>327</v>
      </c>
      <c r="E1772" s="907">
        <f>GLOBAL_DER_FEV_2023!E1772</f>
        <v>0</v>
      </c>
      <c r="F1772" s="908">
        <f>GLOBAL_DER_FEV_2023!F1772</f>
        <v>1.8</v>
      </c>
      <c r="G1772" s="949">
        <f>GLOBAL_DER_FEV_2023!G1772</f>
        <v>4.8240000000000007</v>
      </c>
      <c r="H1772" s="901">
        <f>GLOBAL_DER_FEV_2023!H1772</f>
        <v>213.87</v>
      </c>
      <c r="I1772" s="901">
        <f>GLOBAL_DER_FEV_2023!I1772</f>
        <v>218.69400000000002</v>
      </c>
      <c r="J1772" s="902">
        <f>GLOBAL_DER_FEV_2023!J1772</f>
        <v>262.58999999999997</v>
      </c>
      <c r="K1772" s="903" t="s">
        <v>10</v>
      </c>
      <c r="L1772" s="1137"/>
      <c r="M1772" s="1138">
        <f t="shared" si="184"/>
        <v>0</v>
      </c>
      <c r="N1772" s="1176">
        <f t="shared" si="188"/>
        <v>0</v>
      </c>
      <c r="O1772" s="905"/>
      <c r="Q1772" s="317" t="str">
        <f t="shared" si="185"/>
        <v/>
      </c>
      <c r="R1772" s="317" t="str">
        <f t="shared" si="186"/>
        <v/>
      </c>
      <c r="S1772" s="317" t="str">
        <f t="shared" si="187"/>
        <v/>
      </c>
      <c r="T1772" s="317" t="str">
        <f>GLOBAL_DER_FEV_2023!S1772</f>
        <v/>
      </c>
      <c r="W1772" s="582">
        <v>0</v>
      </c>
      <c r="X1772" s="580"/>
      <c r="Y1772" s="583">
        <f>IF(GLOBAL_DER_FEV_2023!W1772=0,0,IF(GLOBAL_DER_FEV_2023!W1772&gt;0,"c","b"))</f>
        <v>0</v>
      </c>
    </row>
    <row r="1773" spans="1:25" ht="15" customHeight="1" x14ac:dyDescent="0.2">
      <c r="A1773" s="317">
        <v>603800</v>
      </c>
      <c r="B1773" s="895" t="s">
        <v>1802</v>
      </c>
      <c r="C1773" s="896" t="s">
        <v>184</v>
      </c>
      <c r="D1773" s="906" t="s">
        <v>328</v>
      </c>
      <c r="E1773" s="907">
        <f>GLOBAL_DER_FEV_2023!E1773</f>
        <v>0</v>
      </c>
      <c r="F1773" s="908">
        <f>GLOBAL_DER_FEV_2023!F1773</f>
        <v>1.5</v>
      </c>
      <c r="G1773" s="949">
        <f>GLOBAL_DER_FEV_2023!G1773</f>
        <v>4.0200000000000005</v>
      </c>
      <c r="H1773" s="901">
        <f>GLOBAL_DER_FEV_2023!H1773</f>
        <v>126.05</v>
      </c>
      <c r="I1773" s="901">
        <f>GLOBAL_DER_FEV_2023!I1773</f>
        <v>130.07</v>
      </c>
      <c r="J1773" s="902">
        <f>GLOBAL_DER_FEV_2023!J1773</f>
        <v>156.18</v>
      </c>
      <c r="K1773" s="903" t="s">
        <v>10</v>
      </c>
      <c r="L1773" s="1137"/>
      <c r="M1773" s="1138">
        <f t="shared" si="184"/>
        <v>0</v>
      </c>
      <c r="N1773" s="1176">
        <f t="shared" si="188"/>
        <v>0</v>
      </c>
      <c r="O1773" s="905"/>
      <c r="Q1773" s="317" t="str">
        <f t="shared" si="185"/>
        <v/>
      </c>
      <c r="R1773" s="317" t="str">
        <f t="shared" si="186"/>
        <v/>
      </c>
      <c r="S1773" s="317" t="str">
        <f t="shared" si="187"/>
        <v/>
      </c>
      <c r="T1773" s="317" t="str">
        <f>GLOBAL_DER_FEV_2023!S1773</f>
        <v/>
      </c>
      <c r="W1773" s="582">
        <v>0</v>
      </c>
      <c r="X1773" s="580"/>
      <c r="Y1773" s="583">
        <f>IF(GLOBAL_DER_FEV_2023!W1773=0,0,IF(GLOBAL_DER_FEV_2023!W1773&gt;0,"c","b"))</f>
        <v>0</v>
      </c>
    </row>
    <row r="1774" spans="1:25" ht="15" customHeight="1" x14ac:dyDescent="0.2">
      <c r="A1774" s="317">
        <v>532500</v>
      </c>
      <c r="B1774" s="895" t="s">
        <v>1739</v>
      </c>
      <c r="C1774" s="896" t="s">
        <v>184</v>
      </c>
      <c r="D1774" s="957" t="s">
        <v>329</v>
      </c>
      <c r="E1774" s="907">
        <f>GLOBAL_DER_FEV_2023!E1774</f>
        <v>150</v>
      </c>
      <c r="F1774" s="908">
        <f>GLOBAL_DER_FEV_2023!F1774</f>
        <v>1.7250000000000001</v>
      </c>
      <c r="G1774" s="949">
        <f>GLOBAL_DER_FEV_2023!G1774</f>
        <v>281.4855</v>
      </c>
      <c r="H1774" s="901">
        <f>GLOBAL_DER_FEV_2023!H1774</f>
        <v>102.38</v>
      </c>
      <c r="I1774" s="901">
        <f>GLOBAL_DER_FEV_2023!I1774</f>
        <v>383.8655</v>
      </c>
      <c r="J1774" s="902">
        <f>GLOBAL_DER_FEV_2023!J1774</f>
        <v>460.91</v>
      </c>
      <c r="K1774" s="903" t="s">
        <v>10</v>
      </c>
      <c r="L1774" s="1137"/>
      <c r="M1774" s="1138">
        <f t="shared" si="184"/>
        <v>0</v>
      </c>
      <c r="N1774" s="1176">
        <f t="shared" si="188"/>
        <v>0</v>
      </c>
      <c r="O1774" s="905"/>
      <c r="Q1774" s="317" t="str">
        <f t="shared" si="185"/>
        <v/>
      </c>
      <c r="R1774" s="317" t="str">
        <f t="shared" si="186"/>
        <v/>
      </c>
      <c r="S1774" s="317" t="str">
        <f t="shared" si="187"/>
        <v/>
      </c>
      <c r="T1774" s="317" t="str">
        <f>GLOBAL_DER_FEV_2023!S1774</f>
        <v/>
      </c>
      <c r="W1774" s="582">
        <v>0</v>
      </c>
      <c r="X1774" s="580"/>
      <c r="Y1774" s="583">
        <f>IF(GLOBAL_DER_FEV_2023!W1774=0,0,IF(GLOBAL_DER_FEV_2023!W1774&gt;0,"c","b"))</f>
        <v>0</v>
      </c>
    </row>
    <row r="1775" spans="1:25" ht="15" customHeight="1" x14ac:dyDescent="0.2">
      <c r="A1775" s="317">
        <v>603900</v>
      </c>
      <c r="B1775" s="895" t="s">
        <v>1774</v>
      </c>
      <c r="C1775" s="896" t="s">
        <v>184</v>
      </c>
      <c r="D1775" s="906" t="s">
        <v>330</v>
      </c>
      <c r="E1775" s="907">
        <f>GLOBAL_DER_FEV_2023!E1775</f>
        <v>0.2</v>
      </c>
      <c r="F1775" s="908">
        <f>GLOBAL_DER_FEV_2023!F1775</f>
        <v>1.5</v>
      </c>
      <c r="G1775" s="949">
        <f>GLOBAL_DER_FEV_2023!G1775</f>
        <v>4.3410000000000002</v>
      </c>
      <c r="H1775" s="901">
        <f>GLOBAL_DER_FEV_2023!H1775</f>
        <v>131.84</v>
      </c>
      <c r="I1775" s="901">
        <f>GLOBAL_DER_FEV_2023!I1775</f>
        <v>136.18100000000001</v>
      </c>
      <c r="J1775" s="902">
        <f>GLOBAL_DER_FEV_2023!J1775</f>
        <v>163.51</v>
      </c>
      <c r="K1775" s="903" t="s">
        <v>10</v>
      </c>
      <c r="L1775" s="1137"/>
      <c r="M1775" s="1138">
        <f t="shared" si="184"/>
        <v>0</v>
      </c>
      <c r="N1775" s="1176">
        <f t="shared" si="188"/>
        <v>0</v>
      </c>
      <c r="O1775" s="905"/>
      <c r="Q1775" s="317" t="str">
        <f t="shared" si="185"/>
        <v/>
      </c>
      <c r="R1775" s="317" t="str">
        <f t="shared" si="186"/>
        <v/>
      </c>
      <c r="S1775" s="317" t="str">
        <f t="shared" si="187"/>
        <v/>
      </c>
      <c r="T1775" s="317" t="str">
        <f>GLOBAL_DER_FEV_2023!S1775</f>
        <v/>
      </c>
      <c r="W1775" s="582">
        <v>0</v>
      </c>
      <c r="X1775" s="580"/>
      <c r="Y1775" s="583">
        <f>IF(GLOBAL_DER_FEV_2023!W1775=0,0,IF(GLOBAL_DER_FEV_2023!W1775&gt;0,"c","b"))</f>
        <v>0</v>
      </c>
    </row>
    <row r="1776" spans="1:25" ht="15" customHeight="1" x14ac:dyDescent="0.2">
      <c r="A1776" s="317">
        <v>605000</v>
      </c>
      <c r="B1776" s="895" t="s">
        <v>1783</v>
      </c>
      <c r="C1776" s="896" t="s">
        <v>184</v>
      </c>
      <c r="D1776" s="906" t="s">
        <v>259</v>
      </c>
      <c r="E1776" s="907">
        <f>GLOBAL_DER_FEV_2023!E1776</f>
        <v>0</v>
      </c>
      <c r="F1776" s="908">
        <f>GLOBAL_DER_FEV_2023!F1776</f>
        <v>0</v>
      </c>
      <c r="G1776" s="912">
        <f>GLOBAL_DER_FEV_2023!G1776</f>
        <v>220.83394000000004</v>
      </c>
      <c r="H1776" s="901">
        <f>GLOBAL_DER_FEV_2023!H1776</f>
        <v>425.25</v>
      </c>
      <c r="I1776" s="901">
        <f>GLOBAL_DER_FEV_2023!I1776</f>
        <v>646.08393999999998</v>
      </c>
      <c r="J1776" s="902">
        <f>GLOBAL_DER_FEV_2023!J1776</f>
        <v>775.75</v>
      </c>
      <c r="K1776" s="903" t="s">
        <v>10</v>
      </c>
      <c r="L1776" s="1137"/>
      <c r="M1776" s="1138">
        <f t="shared" si="184"/>
        <v>0</v>
      </c>
      <c r="N1776" s="1176">
        <f t="shared" si="188"/>
        <v>0</v>
      </c>
      <c r="O1776" s="905"/>
      <c r="Q1776" s="317" t="str">
        <f t="shared" si="185"/>
        <v/>
      </c>
      <c r="R1776" s="317" t="str">
        <f t="shared" si="186"/>
        <v/>
      </c>
      <c r="S1776" s="317" t="str">
        <f t="shared" si="187"/>
        <v/>
      </c>
      <c r="T1776" s="317" t="str">
        <f>GLOBAL_DER_FEV_2023!S1776</f>
        <v/>
      </c>
      <c r="W1776" s="582">
        <v>0</v>
      </c>
      <c r="X1776" s="580"/>
      <c r="Y1776" s="583">
        <f>IF(GLOBAL_DER_FEV_2023!W1776=0,0,IF(GLOBAL_DER_FEV_2023!W1776&gt;0,"c","b"))</f>
        <v>0</v>
      </c>
    </row>
    <row r="1777" spans="1:25" ht="15" customHeight="1" x14ac:dyDescent="0.2">
      <c r="A1777" s="317" t="s">
        <v>147</v>
      </c>
      <c r="B1777" s="895" t="s">
        <v>147</v>
      </c>
      <c r="C1777" s="896"/>
      <c r="D1777" s="957" t="s">
        <v>190</v>
      </c>
      <c r="E1777" s="907">
        <f>GLOBAL_DER_FEV_2023!E1777</f>
        <v>308</v>
      </c>
      <c r="F1777" s="908">
        <f>GLOBAL_DER_FEV_2023!F1777</f>
        <v>0.18</v>
      </c>
      <c r="G1777" s="909">
        <f>GLOBAL_DER_FEV_2023!G1777</f>
        <v>44.650799999999997</v>
      </c>
      <c r="H1777" s="901">
        <f>GLOBAL_DER_FEV_2023!H1777</f>
        <v>0</v>
      </c>
      <c r="I1777" s="901">
        <f>GLOBAL_DER_FEV_2023!I1777</f>
        <v>0</v>
      </c>
      <c r="J1777" s="902">
        <f>GLOBAL_DER_FEV_2023!J1777</f>
        <v>0</v>
      </c>
      <c r="K1777" s="958" t="s">
        <v>507</v>
      </c>
      <c r="L1777" s="959"/>
      <c r="M1777" s="1157">
        <f t="shared" si="184"/>
        <v>0</v>
      </c>
      <c r="N1777" s="1176">
        <f t="shared" si="188"/>
        <v>0</v>
      </c>
      <c r="O1777" s="905"/>
      <c r="P1777" s="58" t="str">
        <f>IF(N1776&gt;0,"xx",IF(N1776&gt;0,"xy",""))</f>
        <v/>
      </c>
      <c r="Q1777" s="317" t="str">
        <f t="shared" si="185"/>
        <v/>
      </c>
      <c r="R1777" s="317" t="str">
        <f t="shared" si="186"/>
        <v/>
      </c>
      <c r="S1777" s="317" t="str">
        <f t="shared" si="187"/>
        <v/>
      </c>
      <c r="T1777" s="317" t="str">
        <f>GLOBAL_DER_FEV_2023!S1777</f>
        <v/>
      </c>
      <c r="W1777" s="582">
        <v>0</v>
      </c>
      <c r="X1777" s="580"/>
      <c r="Y1777" s="583">
        <f>IF(GLOBAL_DER_FEV_2023!W1777=0,0,IF(GLOBAL_DER_FEV_2023!W1777&gt;0,"c","b"))</f>
        <v>0</v>
      </c>
    </row>
    <row r="1778" spans="1:25" ht="15" customHeight="1" x14ac:dyDescent="0.2">
      <c r="A1778" s="317" t="s">
        <v>147</v>
      </c>
      <c r="B1778" s="895" t="s">
        <v>147</v>
      </c>
      <c r="C1778" s="896"/>
      <c r="D1778" s="957" t="s">
        <v>229</v>
      </c>
      <c r="E1778" s="907">
        <f>GLOBAL_DER_FEV_2023!E1778</f>
        <v>150</v>
      </c>
      <c r="F1778" s="908">
        <f>GLOBAL_DER_FEV_2023!F1778</f>
        <v>1.06</v>
      </c>
      <c r="G1778" s="949">
        <f>GLOBAL_DER_FEV_2023!G1778</f>
        <v>172.97080000000003</v>
      </c>
      <c r="H1778" s="901">
        <f>GLOBAL_DER_FEV_2023!H1778</f>
        <v>0</v>
      </c>
      <c r="I1778" s="901">
        <f>GLOBAL_DER_FEV_2023!I1778</f>
        <v>0</v>
      </c>
      <c r="J1778" s="902">
        <f>GLOBAL_DER_FEV_2023!J1778</f>
        <v>0</v>
      </c>
      <c r="K1778" s="958" t="s">
        <v>507</v>
      </c>
      <c r="L1778" s="959"/>
      <c r="M1778" s="1157">
        <f t="shared" si="184"/>
        <v>0</v>
      </c>
      <c r="N1778" s="1176">
        <f t="shared" si="188"/>
        <v>0</v>
      </c>
      <c r="O1778" s="905"/>
      <c r="P1778" s="58" t="str">
        <f>IF(N1776&gt;0,"xx",IF(N1776&gt;0,"xy",""))</f>
        <v/>
      </c>
      <c r="Q1778" s="317" t="str">
        <f t="shared" si="185"/>
        <v/>
      </c>
      <c r="R1778" s="317" t="str">
        <f t="shared" si="186"/>
        <v/>
      </c>
      <c r="S1778" s="317" t="str">
        <f t="shared" si="187"/>
        <v/>
      </c>
      <c r="T1778" s="317" t="str">
        <f>GLOBAL_DER_FEV_2023!S1778</f>
        <v/>
      </c>
      <c r="W1778" s="582">
        <v>0</v>
      </c>
      <c r="X1778" s="580"/>
      <c r="Y1778" s="583">
        <f>IF(GLOBAL_DER_FEV_2023!W1778=0,0,IF(GLOBAL_DER_FEV_2023!W1778&gt;0,"c","b"))</f>
        <v>0</v>
      </c>
    </row>
    <row r="1779" spans="1:25" ht="15" customHeight="1" x14ac:dyDescent="0.2">
      <c r="A1779" s="317" t="s">
        <v>147</v>
      </c>
      <c r="B1779" s="895" t="s">
        <v>147</v>
      </c>
      <c r="C1779" s="896"/>
      <c r="D1779" s="957" t="s">
        <v>233</v>
      </c>
      <c r="E1779" s="907">
        <f>GLOBAL_DER_FEV_2023!E1779</f>
        <v>0.2</v>
      </c>
      <c r="F1779" s="908">
        <f>GLOBAL_DER_FEV_2023!F1779</f>
        <v>1.1100000000000001</v>
      </c>
      <c r="G1779" s="949">
        <f>GLOBAL_DER_FEV_2023!G1779</f>
        <v>3.2123400000000006</v>
      </c>
      <c r="H1779" s="901">
        <f>GLOBAL_DER_FEV_2023!H1779</f>
        <v>0</v>
      </c>
      <c r="I1779" s="901">
        <f>GLOBAL_DER_FEV_2023!I1779</f>
        <v>0</v>
      </c>
      <c r="J1779" s="902">
        <f>GLOBAL_DER_FEV_2023!J1779</f>
        <v>0</v>
      </c>
      <c r="K1779" s="958" t="s">
        <v>507</v>
      </c>
      <c r="L1779" s="959"/>
      <c r="M1779" s="1157">
        <f t="shared" si="184"/>
        <v>0</v>
      </c>
      <c r="N1779" s="1176">
        <f t="shared" si="188"/>
        <v>0</v>
      </c>
      <c r="O1779" s="905"/>
      <c r="P1779" s="58" t="str">
        <f>IF(N1776&gt;0,"xx",IF(N1776&gt;0,"xy",""))</f>
        <v/>
      </c>
      <c r="Q1779" s="317" t="str">
        <f t="shared" si="185"/>
        <v/>
      </c>
      <c r="R1779" s="317" t="str">
        <f t="shared" si="186"/>
        <v/>
      </c>
      <c r="S1779" s="317" t="str">
        <f t="shared" si="187"/>
        <v/>
      </c>
      <c r="T1779" s="317" t="str">
        <f>GLOBAL_DER_FEV_2023!S1779</f>
        <v/>
      </c>
      <c r="W1779" s="582">
        <v>0</v>
      </c>
      <c r="X1779" s="580"/>
      <c r="Y1779" s="583">
        <f>IF(GLOBAL_DER_FEV_2023!W1779=0,0,IF(GLOBAL_DER_FEV_2023!W1779&gt;0,"c","b"))</f>
        <v>0</v>
      </c>
    </row>
    <row r="1780" spans="1:25" ht="15" customHeight="1" x14ac:dyDescent="0.2">
      <c r="A1780" s="317">
        <v>603500</v>
      </c>
      <c r="B1780" s="895">
        <v>603500</v>
      </c>
      <c r="C1780" s="896" t="s">
        <v>184</v>
      </c>
      <c r="D1780" s="906" t="s">
        <v>331</v>
      </c>
      <c r="E1780" s="907">
        <f>GLOBAL_DER_FEV_2023!E1780</f>
        <v>0</v>
      </c>
      <c r="F1780" s="908">
        <f>GLOBAL_DER_FEV_2023!F1780</f>
        <v>0</v>
      </c>
      <c r="G1780" s="912">
        <f>GLOBAL_DER_FEV_2023!G1780</f>
        <v>0</v>
      </c>
      <c r="H1780" s="901">
        <f>GLOBAL_DER_FEV_2023!H1780</f>
        <v>1378.26</v>
      </c>
      <c r="I1780" s="901">
        <f>GLOBAL_DER_FEV_2023!I1780</f>
        <v>1378.26</v>
      </c>
      <c r="J1780" s="902">
        <f>GLOBAL_DER_FEV_2023!J1780</f>
        <v>1654.88</v>
      </c>
      <c r="K1780" s="903" t="s">
        <v>10</v>
      </c>
      <c r="L1780" s="1137"/>
      <c r="M1780" s="1138">
        <f t="shared" si="184"/>
        <v>0</v>
      </c>
      <c r="N1780" s="1176">
        <f t="shared" si="188"/>
        <v>0</v>
      </c>
      <c r="O1780" s="905"/>
      <c r="Q1780" s="317" t="str">
        <f t="shared" si="185"/>
        <v/>
      </c>
      <c r="R1780" s="317" t="str">
        <f t="shared" si="186"/>
        <v/>
      </c>
      <c r="S1780" s="317" t="str">
        <f t="shared" si="187"/>
        <v/>
      </c>
      <c r="T1780" s="317" t="str">
        <f>GLOBAL_DER_FEV_2023!S1780</f>
        <v/>
      </c>
      <c r="W1780" s="582">
        <v>0</v>
      </c>
      <c r="X1780" s="580"/>
      <c r="Y1780" s="583">
        <f>IF(GLOBAL_DER_FEV_2023!W1780=0,0,IF(GLOBAL_DER_FEV_2023!W1780&gt;0,"c","b"))</f>
        <v>0</v>
      </c>
    </row>
    <row r="1781" spans="1:25" ht="15" customHeight="1" x14ac:dyDescent="0.2">
      <c r="A1781" s="317">
        <v>603500</v>
      </c>
      <c r="B1781" s="895" t="s">
        <v>1898</v>
      </c>
      <c r="C1781" s="896" t="s">
        <v>184</v>
      </c>
      <c r="D1781" s="906" t="s">
        <v>332</v>
      </c>
      <c r="E1781" s="907">
        <f>GLOBAL_DER_FEV_2023!E1781</f>
        <v>0</v>
      </c>
      <c r="F1781" s="908">
        <f>GLOBAL_DER_FEV_2023!F1781</f>
        <v>0</v>
      </c>
      <c r="G1781" s="912">
        <f>GLOBAL_DER_FEV_2023!G1781</f>
        <v>0</v>
      </c>
      <c r="H1781" s="901">
        <f>GLOBAL_DER_FEV_2023!H1781</f>
        <v>1378.26</v>
      </c>
      <c r="I1781" s="901">
        <f>GLOBAL_DER_FEV_2023!I1781</f>
        <v>1185.3036</v>
      </c>
      <c r="J1781" s="902">
        <f>GLOBAL_DER_FEV_2023!J1781</f>
        <v>1423.19</v>
      </c>
      <c r="K1781" s="903" t="s">
        <v>10</v>
      </c>
      <c r="L1781" s="1137"/>
      <c r="M1781" s="1138">
        <f t="shared" si="184"/>
        <v>0</v>
      </c>
      <c r="N1781" s="1176">
        <f t="shared" si="188"/>
        <v>0</v>
      </c>
      <c r="O1781" s="905"/>
      <c r="Q1781" s="317" t="str">
        <f t="shared" si="185"/>
        <v/>
      </c>
      <c r="R1781" s="317" t="str">
        <f t="shared" si="186"/>
        <v/>
      </c>
      <c r="S1781" s="317" t="str">
        <f t="shared" si="187"/>
        <v/>
      </c>
      <c r="T1781" s="317" t="str">
        <f>GLOBAL_DER_FEV_2023!S1781</f>
        <v/>
      </c>
      <c r="W1781" s="582">
        <v>0</v>
      </c>
      <c r="X1781" s="580"/>
      <c r="Y1781" s="583">
        <f>IF(GLOBAL_DER_FEV_2023!W1781=0,0,IF(GLOBAL_DER_FEV_2023!W1781&gt;0,"c","b"))</f>
        <v>0</v>
      </c>
    </row>
    <row r="1782" spans="1:25" ht="15" customHeight="1" x14ac:dyDescent="0.2">
      <c r="A1782" s="317">
        <v>604000</v>
      </c>
      <c r="B1782" s="895">
        <v>604000</v>
      </c>
      <c r="C1782" s="896" t="s">
        <v>184</v>
      </c>
      <c r="D1782" s="906" t="s">
        <v>333</v>
      </c>
      <c r="E1782" s="907">
        <f>GLOBAL_DER_FEV_2023!E1782</f>
        <v>0</v>
      </c>
      <c r="F1782" s="908">
        <f>GLOBAL_DER_FEV_2023!F1782</f>
        <v>0</v>
      </c>
      <c r="G1782" s="912">
        <f>GLOBAL_DER_FEV_2023!G1782</f>
        <v>364.66654000000005</v>
      </c>
      <c r="H1782" s="901">
        <f>GLOBAL_DER_FEV_2023!H1782</f>
        <v>523.20000000000005</v>
      </c>
      <c r="I1782" s="901">
        <f>GLOBAL_DER_FEV_2023!I1782</f>
        <v>887.8665400000001</v>
      </c>
      <c r="J1782" s="902">
        <f>GLOBAL_DER_FEV_2023!J1782</f>
        <v>1066.06</v>
      </c>
      <c r="K1782" s="903" t="s">
        <v>10</v>
      </c>
      <c r="L1782" s="1137"/>
      <c r="M1782" s="1138">
        <f t="shared" si="184"/>
        <v>0</v>
      </c>
      <c r="N1782" s="1176">
        <f t="shared" si="188"/>
        <v>0</v>
      </c>
      <c r="O1782" s="905"/>
      <c r="Q1782" s="317" t="str">
        <f t="shared" si="185"/>
        <v/>
      </c>
      <c r="R1782" s="317" t="str">
        <f t="shared" si="186"/>
        <v/>
      </c>
      <c r="S1782" s="317" t="str">
        <f t="shared" si="187"/>
        <v/>
      </c>
      <c r="T1782" s="317" t="str">
        <f>GLOBAL_DER_FEV_2023!S1782</f>
        <v/>
      </c>
      <c r="W1782" s="582">
        <v>0</v>
      </c>
      <c r="X1782" s="580"/>
      <c r="Y1782" s="583">
        <f>IF(GLOBAL_DER_FEV_2023!W1782=0,0,IF(GLOBAL_DER_FEV_2023!W1782&gt;0,"c","b"))</f>
        <v>0</v>
      </c>
    </row>
    <row r="1783" spans="1:25" ht="15" customHeight="1" x14ac:dyDescent="0.2">
      <c r="A1783" s="317" t="s">
        <v>147</v>
      </c>
      <c r="B1783" s="895" t="s">
        <v>147</v>
      </c>
      <c r="C1783" s="896"/>
      <c r="D1783" s="906" t="s">
        <v>190</v>
      </c>
      <c r="E1783" s="907">
        <f>GLOBAL_DER_FEV_2023!E1783</f>
        <v>308</v>
      </c>
      <c r="F1783" s="908">
        <f>GLOBAL_DER_FEV_2023!F1783</f>
        <v>0.434</v>
      </c>
      <c r="G1783" s="909">
        <f>GLOBAL_DER_FEV_2023!G1783</f>
        <v>107.65804</v>
      </c>
      <c r="H1783" s="901">
        <f>GLOBAL_DER_FEV_2023!H1783</f>
        <v>0</v>
      </c>
      <c r="I1783" s="901">
        <f>GLOBAL_DER_FEV_2023!I1783</f>
        <v>0</v>
      </c>
      <c r="J1783" s="902">
        <f>GLOBAL_DER_FEV_2023!J1783</f>
        <v>0</v>
      </c>
      <c r="K1783" s="903"/>
      <c r="L1783" s="1177"/>
      <c r="M1783" s="1138">
        <f t="shared" si="184"/>
        <v>0</v>
      </c>
      <c r="N1783" s="1176">
        <f t="shared" si="188"/>
        <v>0</v>
      </c>
      <c r="O1783" s="905"/>
      <c r="P1783" s="36" t="str">
        <f>IF(N1782&gt;0,"xx",IF(N1782&gt;0,"xy",""))</f>
        <v/>
      </c>
      <c r="Q1783" s="317" t="str">
        <f t="shared" si="185"/>
        <v/>
      </c>
      <c r="R1783" s="317" t="str">
        <f t="shared" si="186"/>
        <v/>
      </c>
      <c r="S1783" s="317" t="str">
        <f t="shared" si="187"/>
        <v/>
      </c>
      <c r="T1783" s="317" t="str">
        <f>GLOBAL_DER_FEV_2023!S1783</f>
        <v/>
      </c>
      <c r="W1783" s="582">
        <v>0</v>
      </c>
      <c r="X1783" s="580"/>
      <c r="Y1783" s="583">
        <f>IF(GLOBAL_DER_FEV_2023!W1783=0,0,IF(GLOBAL_DER_FEV_2023!W1783&gt;0,"c","b"))</f>
        <v>0</v>
      </c>
    </row>
    <row r="1784" spans="1:25" ht="15" customHeight="1" x14ac:dyDescent="0.2">
      <c r="A1784" s="317" t="s">
        <v>147</v>
      </c>
      <c r="B1784" s="895" t="s">
        <v>147</v>
      </c>
      <c r="C1784" s="896"/>
      <c r="D1784" s="906" t="s">
        <v>229</v>
      </c>
      <c r="E1784" s="907">
        <f>GLOBAL_DER_FEV_2023!E1784</f>
        <v>150</v>
      </c>
      <c r="F1784" s="908">
        <f>GLOBAL_DER_FEV_2023!F1784</f>
        <v>1.575</v>
      </c>
      <c r="G1784" s="949">
        <f>GLOBAL_DER_FEV_2023!G1784</f>
        <v>257.00850000000003</v>
      </c>
      <c r="H1784" s="901">
        <f>GLOBAL_DER_FEV_2023!H1784</f>
        <v>0</v>
      </c>
      <c r="I1784" s="901">
        <f>GLOBAL_DER_FEV_2023!I1784</f>
        <v>0</v>
      </c>
      <c r="J1784" s="902">
        <f>GLOBAL_DER_FEV_2023!J1784</f>
        <v>0</v>
      </c>
      <c r="K1784" s="903"/>
      <c r="L1784" s="1177"/>
      <c r="M1784" s="1138">
        <f t="shared" si="184"/>
        <v>0</v>
      </c>
      <c r="N1784" s="1176">
        <f t="shared" si="188"/>
        <v>0</v>
      </c>
      <c r="O1784" s="905"/>
      <c r="P1784" s="36" t="str">
        <f>IF(N1782&gt;0,"xx",IF(N1782&gt;0,"xy",""))</f>
        <v/>
      </c>
      <c r="Q1784" s="317" t="str">
        <f t="shared" si="185"/>
        <v/>
      </c>
      <c r="R1784" s="317" t="str">
        <f t="shared" si="186"/>
        <v/>
      </c>
      <c r="S1784" s="317" t="str">
        <f t="shared" si="187"/>
        <v/>
      </c>
      <c r="T1784" s="317" t="str">
        <f>GLOBAL_DER_FEV_2023!S1784</f>
        <v/>
      </c>
      <c r="W1784" s="582">
        <v>0</v>
      </c>
      <c r="X1784" s="580"/>
      <c r="Y1784" s="583">
        <f>IF(GLOBAL_DER_FEV_2023!W1784=0,0,IF(GLOBAL_DER_FEV_2023!W1784&gt;0,"c","b"))</f>
        <v>0</v>
      </c>
    </row>
    <row r="1785" spans="1:25" ht="15" customHeight="1" x14ac:dyDescent="0.2">
      <c r="A1785" s="317">
        <v>604100</v>
      </c>
      <c r="B1785" s="895">
        <v>604100</v>
      </c>
      <c r="C1785" s="896" t="s">
        <v>184</v>
      </c>
      <c r="D1785" s="906" t="s">
        <v>334</v>
      </c>
      <c r="E1785" s="907">
        <f>GLOBAL_DER_FEV_2023!E1785</f>
        <v>0</v>
      </c>
      <c r="F1785" s="908">
        <f>GLOBAL_DER_FEV_2023!F1785</f>
        <v>0</v>
      </c>
      <c r="G1785" s="912">
        <f>GLOBAL_DER_FEV_2023!G1785</f>
        <v>379.56790000000001</v>
      </c>
      <c r="H1785" s="901">
        <f>GLOBAL_DER_FEV_2023!H1785</f>
        <v>466.54</v>
      </c>
      <c r="I1785" s="901">
        <f>GLOBAL_DER_FEV_2023!I1785</f>
        <v>846.10789999999997</v>
      </c>
      <c r="J1785" s="902">
        <f>GLOBAL_DER_FEV_2023!J1785</f>
        <v>1015.92</v>
      </c>
      <c r="K1785" s="903" t="s">
        <v>10</v>
      </c>
      <c r="L1785" s="1137"/>
      <c r="M1785" s="1138">
        <f t="shared" si="184"/>
        <v>0</v>
      </c>
      <c r="N1785" s="1176">
        <f t="shared" si="188"/>
        <v>0</v>
      </c>
      <c r="O1785" s="905"/>
      <c r="Q1785" s="317" t="str">
        <f t="shared" si="185"/>
        <v/>
      </c>
      <c r="R1785" s="317" t="str">
        <f t="shared" si="186"/>
        <v/>
      </c>
      <c r="S1785" s="317" t="str">
        <f t="shared" si="187"/>
        <v/>
      </c>
      <c r="T1785" s="317" t="str">
        <f>GLOBAL_DER_FEV_2023!S1785</f>
        <v/>
      </c>
      <c r="W1785" s="582">
        <v>0</v>
      </c>
      <c r="X1785" s="580"/>
      <c r="Y1785" s="583">
        <f>IF(GLOBAL_DER_FEV_2023!W1785=0,0,IF(GLOBAL_DER_FEV_2023!W1785&gt;0,"c","b"))</f>
        <v>0</v>
      </c>
    </row>
    <row r="1786" spans="1:25" ht="15" customHeight="1" x14ac:dyDescent="0.2">
      <c r="A1786" s="317" t="s">
        <v>147</v>
      </c>
      <c r="B1786" s="895" t="s">
        <v>147</v>
      </c>
      <c r="C1786" s="896"/>
      <c r="D1786" s="906" t="s">
        <v>190</v>
      </c>
      <c r="E1786" s="907">
        <f>GLOBAL_DER_FEV_2023!E1786</f>
        <v>308</v>
      </c>
      <c r="F1786" s="908">
        <f>GLOBAL_DER_FEV_2023!F1786</f>
        <v>0.42499999999999999</v>
      </c>
      <c r="G1786" s="909">
        <f>GLOBAL_DER_FEV_2023!G1786</f>
        <v>105.4255</v>
      </c>
      <c r="H1786" s="901">
        <f>GLOBAL_DER_FEV_2023!H1786</f>
        <v>0</v>
      </c>
      <c r="I1786" s="901">
        <f>GLOBAL_DER_FEV_2023!I1786</f>
        <v>0</v>
      </c>
      <c r="J1786" s="902">
        <f>GLOBAL_DER_FEV_2023!J1786</f>
        <v>0</v>
      </c>
      <c r="K1786" s="903"/>
      <c r="L1786" s="1177"/>
      <c r="M1786" s="1138">
        <f t="shared" si="184"/>
        <v>0</v>
      </c>
      <c r="N1786" s="1176">
        <f t="shared" si="188"/>
        <v>0</v>
      </c>
      <c r="O1786" s="905"/>
      <c r="P1786" s="36" t="str">
        <f>IF(N1785&gt;0,"xx",IF(N1785&gt;0,"xy",""))</f>
        <v/>
      </c>
      <c r="Q1786" s="317" t="str">
        <f t="shared" si="185"/>
        <v/>
      </c>
      <c r="R1786" s="317" t="str">
        <f t="shared" si="186"/>
        <v/>
      </c>
      <c r="S1786" s="317" t="str">
        <f t="shared" si="187"/>
        <v/>
      </c>
      <c r="T1786" s="317" t="str">
        <f>GLOBAL_DER_FEV_2023!S1786</f>
        <v/>
      </c>
      <c r="W1786" s="582">
        <v>0</v>
      </c>
      <c r="X1786" s="580"/>
      <c r="Y1786" s="583">
        <f>IF(GLOBAL_DER_FEV_2023!W1786=0,0,IF(GLOBAL_DER_FEV_2023!W1786&gt;0,"c","b"))</f>
        <v>0</v>
      </c>
    </row>
    <row r="1787" spans="1:25" ht="15" customHeight="1" x14ac:dyDescent="0.2">
      <c r="A1787" s="317" t="s">
        <v>147</v>
      </c>
      <c r="B1787" s="895" t="s">
        <v>147</v>
      </c>
      <c r="C1787" s="896"/>
      <c r="D1787" s="906" t="s">
        <v>229</v>
      </c>
      <c r="E1787" s="907">
        <f>GLOBAL_DER_FEV_2023!E1787</f>
        <v>150</v>
      </c>
      <c r="F1787" s="908">
        <f>GLOBAL_DER_FEV_2023!F1787</f>
        <v>1.68</v>
      </c>
      <c r="G1787" s="949">
        <f>GLOBAL_DER_FEV_2023!G1787</f>
        <v>274.14240000000001</v>
      </c>
      <c r="H1787" s="901">
        <f>GLOBAL_DER_FEV_2023!H1787</f>
        <v>0</v>
      </c>
      <c r="I1787" s="901">
        <f>GLOBAL_DER_FEV_2023!I1787</f>
        <v>0</v>
      </c>
      <c r="J1787" s="902">
        <f>GLOBAL_DER_FEV_2023!J1787</f>
        <v>0</v>
      </c>
      <c r="K1787" s="903"/>
      <c r="L1787" s="1177"/>
      <c r="M1787" s="1138">
        <f t="shared" si="184"/>
        <v>0</v>
      </c>
      <c r="N1787" s="1176">
        <f t="shared" si="188"/>
        <v>0</v>
      </c>
      <c r="O1787" s="905"/>
      <c r="P1787" s="36" t="str">
        <f>IF(N1785&gt;0,"xx",IF(N1785&gt;0,"xy",""))</f>
        <v/>
      </c>
      <c r="Q1787" s="317" t="str">
        <f t="shared" si="185"/>
        <v/>
      </c>
      <c r="R1787" s="317" t="str">
        <f t="shared" si="186"/>
        <v/>
      </c>
      <c r="S1787" s="317" t="str">
        <f t="shared" si="187"/>
        <v/>
      </c>
      <c r="T1787" s="317" t="str">
        <f>GLOBAL_DER_FEV_2023!S1787</f>
        <v/>
      </c>
      <c r="W1787" s="582">
        <v>0</v>
      </c>
      <c r="X1787" s="580"/>
      <c r="Y1787" s="583">
        <f>IF(GLOBAL_DER_FEV_2023!W1787=0,0,IF(GLOBAL_DER_FEV_2023!W1787&gt;0,"c","b"))</f>
        <v>0</v>
      </c>
    </row>
    <row r="1788" spans="1:25" ht="15" customHeight="1" x14ac:dyDescent="0.2">
      <c r="A1788" s="317">
        <v>640000</v>
      </c>
      <c r="B1788" s="895">
        <v>640000</v>
      </c>
      <c r="C1788" s="896" t="s">
        <v>184</v>
      </c>
      <c r="D1788" s="906" t="s">
        <v>335</v>
      </c>
      <c r="E1788" s="907">
        <f>GLOBAL_DER_FEV_2023!E1788</f>
        <v>0</v>
      </c>
      <c r="F1788" s="908">
        <f>GLOBAL_DER_FEV_2023!F1788</f>
        <v>0</v>
      </c>
      <c r="G1788" s="912">
        <f>GLOBAL_DER_FEV_2023!G1788</f>
        <v>85.097220000000007</v>
      </c>
      <c r="H1788" s="901">
        <f>GLOBAL_DER_FEV_2023!H1788</f>
        <v>104.04</v>
      </c>
      <c r="I1788" s="901">
        <f>GLOBAL_DER_FEV_2023!I1788</f>
        <v>189.13722000000001</v>
      </c>
      <c r="J1788" s="902">
        <f>GLOBAL_DER_FEV_2023!J1788</f>
        <v>227.1</v>
      </c>
      <c r="K1788" s="903" t="s">
        <v>13</v>
      </c>
      <c r="L1788" s="1137"/>
      <c r="M1788" s="1138">
        <f t="shared" si="184"/>
        <v>0</v>
      </c>
      <c r="N1788" s="1176">
        <f t="shared" si="188"/>
        <v>0</v>
      </c>
      <c r="O1788" s="905"/>
      <c r="Q1788" s="317" t="str">
        <f t="shared" si="185"/>
        <v/>
      </c>
      <c r="R1788" s="317" t="str">
        <f t="shared" si="186"/>
        <v/>
      </c>
      <c r="S1788" s="317" t="str">
        <f t="shared" si="187"/>
        <v/>
      </c>
      <c r="T1788" s="317" t="str">
        <f>GLOBAL_DER_FEV_2023!S1788</f>
        <v/>
      </c>
      <c r="W1788" s="582">
        <v>0</v>
      </c>
      <c r="X1788" s="580"/>
      <c r="Y1788" s="583">
        <f>IF(GLOBAL_DER_FEV_2023!W1788=0,0,IF(GLOBAL_DER_FEV_2023!W1788&gt;0,"c","b"))</f>
        <v>0</v>
      </c>
    </row>
    <row r="1789" spans="1:25" ht="15" customHeight="1" x14ac:dyDescent="0.2">
      <c r="A1789" s="317" t="s">
        <v>147</v>
      </c>
      <c r="B1789" s="895" t="s">
        <v>147</v>
      </c>
      <c r="C1789" s="896"/>
      <c r="D1789" s="906" t="s">
        <v>229</v>
      </c>
      <c r="E1789" s="907">
        <f>GLOBAL_DER_FEV_2023!E1789</f>
        <v>150</v>
      </c>
      <c r="F1789" s="908">
        <f>GLOBAL_DER_FEV_2023!F1789</f>
        <v>0.50700000000000001</v>
      </c>
      <c r="G1789" s="949">
        <f>GLOBAL_DER_FEV_2023!G1789</f>
        <v>82.732260000000011</v>
      </c>
      <c r="H1789" s="901">
        <f>GLOBAL_DER_FEV_2023!H1789</f>
        <v>0</v>
      </c>
      <c r="I1789" s="901">
        <f>GLOBAL_DER_FEV_2023!I1789</f>
        <v>0</v>
      </c>
      <c r="J1789" s="902">
        <f>GLOBAL_DER_FEV_2023!J1789</f>
        <v>0</v>
      </c>
      <c r="K1789" s="903"/>
      <c r="L1789" s="1177"/>
      <c r="M1789" s="1138">
        <f t="shared" si="184"/>
        <v>0</v>
      </c>
      <c r="N1789" s="1176">
        <f t="shared" si="188"/>
        <v>0</v>
      </c>
      <c r="O1789" s="905"/>
      <c r="P1789" s="36" t="str">
        <f>IF(N1788&gt;0,"xx",IF(N1788&gt;0,"xy",""))</f>
        <v/>
      </c>
      <c r="Q1789" s="317" t="str">
        <f t="shared" si="185"/>
        <v/>
      </c>
      <c r="R1789" s="317" t="str">
        <f t="shared" si="186"/>
        <v/>
      </c>
      <c r="S1789" s="317" t="str">
        <f t="shared" si="187"/>
        <v/>
      </c>
      <c r="T1789" s="317" t="str">
        <f>GLOBAL_DER_FEV_2023!S1789</f>
        <v/>
      </c>
      <c r="W1789" s="582">
        <v>0</v>
      </c>
      <c r="X1789" s="580"/>
      <c r="Y1789" s="583">
        <f>IF(GLOBAL_DER_FEV_2023!W1789=0,0,IF(GLOBAL_DER_FEV_2023!W1789&gt;0,"c","b"))</f>
        <v>0</v>
      </c>
    </row>
    <row r="1790" spans="1:25" ht="15" customHeight="1" x14ac:dyDescent="0.2">
      <c r="A1790" s="317" t="s">
        <v>147</v>
      </c>
      <c r="B1790" s="895" t="s">
        <v>147</v>
      </c>
      <c r="C1790" s="896"/>
      <c r="D1790" s="906" t="s">
        <v>336</v>
      </c>
      <c r="E1790" s="907">
        <f>GLOBAL_DER_FEV_2023!E1790</f>
        <v>40</v>
      </c>
      <c r="F1790" s="908">
        <f>GLOBAL_DER_FEV_2023!F1790</f>
        <v>5.1999999999999998E-2</v>
      </c>
      <c r="G1790" s="949">
        <f>GLOBAL_DER_FEV_2023!G1790</f>
        <v>2.36496</v>
      </c>
      <c r="H1790" s="901">
        <f>GLOBAL_DER_FEV_2023!H1790</f>
        <v>0</v>
      </c>
      <c r="I1790" s="901">
        <f>GLOBAL_DER_FEV_2023!I1790</f>
        <v>0</v>
      </c>
      <c r="J1790" s="902">
        <f>GLOBAL_DER_FEV_2023!J1790</f>
        <v>0</v>
      </c>
      <c r="K1790" s="903"/>
      <c r="L1790" s="1177"/>
      <c r="M1790" s="1138">
        <f t="shared" si="184"/>
        <v>0</v>
      </c>
      <c r="N1790" s="1176">
        <f t="shared" si="188"/>
        <v>0</v>
      </c>
      <c r="O1790" s="905"/>
      <c r="P1790" s="36" t="str">
        <f>IF(N1788&gt;0,"xx",IF(N1788&gt;0,"xy",""))</f>
        <v/>
      </c>
      <c r="Q1790" s="317" t="str">
        <f t="shared" si="185"/>
        <v/>
      </c>
      <c r="R1790" s="317" t="str">
        <f t="shared" si="186"/>
        <v/>
      </c>
      <c r="S1790" s="317" t="str">
        <f t="shared" si="187"/>
        <v/>
      </c>
      <c r="T1790" s="317" t="str">
        <f>GLOBAL_DER_FEV_2023!S1790</f>
        <v/>
      </c>
      <c r="W1790" s="582">
        <v>0</v>
      </c>
      <c r="X1790" s="580"/>
      <c r="Y1790" s="583">
        <f>IF(GLOBAL_DER_FEV_2023!W1790=0,0,IF(GLOBAL_DER_FEV_2023!W1790&gt;0,"c","b"))</f>
        <v>0</v>
      </c>
    </row>
    <row r="1791" spans="1:25" ht="15" customHeight="1" x14ac:dyDescent="0.2">
      <c r="A1791" s="317">
        <v>605000</v>
      </c>
      <c r="B1791" s="895" t="s">
        <v>1784</v>
      </c>
      <c r="C1791" s="896" t="s">
        <v>184</v>
      </c>
      <c r="D1791" s="906" t="s">
        <v>337</v>
      </c>
      <c r="E1791" s="907">
        <f>GLOBAL_DER_FEV_2023!E1791</f>
        <v>0</v>
      </c>
      <c r="F1791" s="908">
        <f>GLOBAL_DER_FEV_2023!F1791</f>
        <v>0</v>
      </c>
      <c r="G1791" s="912">
        <f>GLOBAL_DER_FEV_2023!G1791</f>
        <v>220.83394000000004</v>
      </c>
      <c r="H1791" s="901">
        <f>GLOBAL_DER_FEV_2023!H1791</f>
        <v>425.25</v>
      </c>
      <c r="I1791" s="901">
        <f>GLOBAL_DER_FEV_2023!I1791</f>
        <v>646.08393999999998</v>
      </c>
      <c r="J1791" s="902">
        <f>GLOBAL_DER_FEV_2023!J1791</f>
        <v>775.75</v>
      </c>
      <c r="K1791" s="903" t="s">
        <v>10</v>
      </c>
      <c r="L1791" s="1137"/>
      <c r="M1791" s="1138">
        <f t="shared" si="184"/>
        <v>0</v>
      </c>
      <c r="N1791" s="1176">
        <f t="shared" si="188"/>
        <v>0</v>
      </c>
      <c r="O1791" s="905"/>
      <c r="Q1791" s="317" t="str">
        <f t="shared" si="185"/>
        <v/>
      </c>
      <c r="R1791" s="317" t="str">
        <f t="shared" si="186"/>
        <v/>
      </c>
      <c r="S1791" s="317" t="str">
        <f t="shared" si="187"/>
        <v/>
      </c>
      <c r="T1791" s="317" t="str">
        <f>GLOBAL_DER_FEV_2023!S1791</f>
        <v/>
      </c>
      <c r="W1791" s="582">
        <v>0</v>
      </c>
      <c r="X1791" s="580"/>
      <c r="Y1791" s="583">
        <f>IF(GLOBAL_DER_FEV_2023!W1791=0,0,IF(GLOBAL_DER_FEV_2023!W1791&gt;0,"c","b"))</f>
        <v>0</v>
      </c>
    </row>
    <row r="1792" spans="1:25" ht="15" customHeight="1" x14ac:dyDescent="0.2">
      <c r="A1792" s="317" t="s">
        <v>147</v>
      </c>
      <c r="B1792" s="895" t="s">
        <v>147</v>
      </c>
      <c r="C1792" s="896"/>
      <c r="D1792" s="906" t="s">
        <v>190</v>
      </c>
      <c r="E1792" s="907">
        <f>GLOBAL_DER_FEV_2023!E1792</f>
        <v>308</v>
      </c>
      <c r="F1792" s="908">
        <f>GLOBAL_DER_FEV_2023!F1792</f>
        <v>0.18</v>
      </c>
      <c r="G1792" s="909">
        <f>GLOBAL_DER_FEV_2023!G1792</f>
        <v>44.650799999999997</v>
      </c>
      <c r="H1792" s="901">
        <f>GLOBAL_DER_FEV_2023!H1792</f>
        <v>0</v>
      </c>
      <c r="I1792" s="901">
        <f>GLOBAL_DER_FEV_2023!I1792</f>
        <v>0</v>
      </c>
      <c r="J1792" s="902">
        <f>GLOBAL_DER_FEV_2023!J1792</f>
        <v>0</v>
      </c>
      <c r="K1792" s="903"/>
      <c r="L1792" s="1177"/>
      <c r="M1792" s="1138">
        <f t="shared" si="184"/>
        <v>0</v>
      </c>
      <c r="N1792" s="1176">
        <f t="shared" si="188"/>
        <v>0</v>
      </c>
      <c r="O1792" s="905"/>
      <c r="P1792" s="36" t="str">
        <f>IF(N1791&gt;0,"xx",IF(N1791&gt;0,"xy",""))</f>
        <v/>
      </c>
      <c r="Q1792" s="317" t="str">
        <f t="shared" si="185"/>
        <v/>
      </c>
      <c r="R1792" s="317" t="str">
        <f t="shared" si="186"/>
        <v/>
      </c>
      <c r="S1792" s="317" t="str">
        <f t="shared" si="187"/>
        <v/>
      </c>
      <c r="T1792" s="317" t="str">
        <f>GLOBAL_DER_FEV_2023!S1792</f>
        <v/>
      </c>
      <c r="W1792" s="582">
        <v>0</v>
      </c>
      <c r="X1792" s="580"/>
      <c r="Y1792" s="583">
        <f>IF(GLOBAL_DER_FEV_2023!W1792=0,0,IF(GLOBAL_DER_FEV_2023!W1792&gt;0,"c","b"))</f>
        <v>0</v>
      </c>
    </row>
    <row r="1793" spans="1:25" ht="15" customHeight="1" x14ac:dyDescent="0.2">
      <c r="A1793" s="317" t="s">
        <v>147</v>
      </c>
      <c r="B1793" s="895" t="s">
        <v>147</v>
      </c>
      <c r="C1793" s="896"/>
      <c r="D1793" s="906" t="s">
        <v>229</v>
      </c>
      <c r="E1793" s="907">
        <f>GLOBAL_DER_FEV_2023!E1793</f>
        <v>150</v>
      </c>
      <c r="F1793" s="908">
        <f>GLOBAL_DER_FEV_2023!F1793</f>
        <v>1.06</v>
      </c>
      <c r="G1793" s="949">
        <f>GLOBAL_DER_FEV_2023!G1793</f>
        <v>172.97080000000003</v>
      </c>
      <c r="H1793" s="901">
        <f>GLOBAL_DER_FEV_2023!H1793</f>
        <v>0</v>
      </c>
      <c r="I1793" s="901">
        <f>GLOBAL_DER_FEV_2023!I1793</f>
        <v>0</v>
      </c>
      <c r="J1793" s="902">
        <f>GLOBAL_DER_FEV_2023!J1793</f>
        <v>0</v>
      </c>
      <c r="K1793" s="903"/>
      <c r="L1793" s="1177"/>
      <c r="M1793" s="1138">
        <f t="shared" si="184"/>
        <v>0</v>
      </c>
      <c r="N1793" s="1176">
        <f t="shared" si="188"/>
        <v>0</v>
      </c>
      <c r="O1793" s="905"/>
      <c r="P1793" s="36" t="str">
        <f>IF(N1791&gt;0,"xx",IF(N1791&gt;0,"xy",""))</f>
        <v/>
      </c>
      <c r="Q1793" s="317" t="str">
        <f t="shared" si="185"/>
        <v/>
      </c>
      <c r="R1793" s="317" t="str">
        <f t="shared" si="186"/>
        <v/>
      </c>
      <c r="S1793" s="317" t="str">
        <f t="shared" si="187"/>
        <v/>
      </c>
      <c r="T1793" s="317" t="str">
        <f>GLOBAL_DER_FEV_2023!S1793</f>
        <v/>
      </c>
      <c r="W1793" s="582">
        <v>0</v>
      </c>
      <c r="X1793" s="580"/>
      <c r="Y1793" s="583">
        <f>IF(GLOBAL_DER_FEV_2023!W1793=0,0,IF(GLOBAL_DER_FEV_2023!W1793&gt;0,"c","b"))</f>
        <v>0</v>
      </c>
    </row>
    <row r="1794" spans="1:25" ht="15" customHeight="1" x14ac:dyDescent="0.2">
      <c r="A1794" s="317" t="s">
        <v>147</v>
      </c>
      <c r="B1794" s="895" t="s">
        <v>147</v>
      </c>
      <c r="C1794" s="896"/>
      <c r="D1794" s="906" t="s">
        <v>233</v>
      </c>
      <c r="E1794" s="907">
        <f>GLOBAL_DER_FEV_2023!E1794</f>
        <v>0.2</v>
      </c>
      <c r="F1794" s="908">
        <f>GLOBAL_DER_FEV_2023!F1794</f>
        <v>1.1100000000000001</v>
      </c>
      <c r="G1794" s="949">
        <f>GLOBAL_DER_FEV_2023!G1794</f>
        <v>3.2123400000000006</v>
      </c>
      <c r="H1794" s="901">
        <f>GLOBAL_DER_FEV_2023!H1794</f>
        <v>0</v>
      </c>
      <c r="I1794" s="901">
        <f>GLOBAL_DER_FEV_2023!I1794</f>
        <v>0</v>
      </c>
      <c r="J1794" s="902">
        <f>GLOBAL_DER_FEV_2023!J1794</f>
        <v>0</v>
      </c>
      <c r="K1794" s="903"/>
      <c r="L1794" s="1177"/>
      <c r="M1794" s="1138">
        <f t="shared" si="184"/>
        <v>0</v>
      </c>
      <c r="N1794" s="1176">
        <f t="shared" si="188"/>
        <v>0</v>
      </c>
      <c r="O1794" s="905"/>
      <c r="P1794" s="36" t="str">
        <f>IF(N1791&gt;0,"xx",IF(N1791&gt;0,"xy",""))</f>
        <v/>
      </c>
      <c r="Q1794" s="317" t="str">
        <f t="shared" si="185"/>
        <v/>
      </c>
      <c r="R1794" s="317" t="str">
        <f t="shared" si="186"/>
        <v/>
      </c>
      <c r="S1794" s="317" t="str">
        <f t="shared" si="187"/>
        <v/>
      </c>
      <c r="T1794" s="317" t="str">
        <f>GLOBAL_DER_FEV_2023!S1794</f>
        <v/>
      </c>
      <c r="W1794" s="582">
        <v>0</v>
      </c>
      <c r="X1794" s="580"/>
      <c r="Y1794" s="583">
        <f>IF(GLOBAL_DER_FEV_2023!W1794=0,0,IF(GLOBAL_DER_FEV_2023!W1794&gt;0,"c","b"))</f>
        <v>0</v>
      </c>
    </row>
    <row r="1795" spans="1:25" ht="15" customHeight="1" x14ac:dyDescent="0.2">
      <c r="A1795" s="317">
        <v>606000</v>
      </c>
      <c r="B1795" s="895" t="s">
        <v>1792</v>
      </c>
      <c r="C1795" s="896" t="s">
        <v>184</v>
      </c>
      <c r="D1795" s="906" t="s">
        <v>530</v>
      </c>
      <c r="E1795" s="907">
        <f>GLOBAL_DER_FEV_2023!E1795</f>
        <v>0</v>
      </c>
      <c r="F1795" s="908">
        <f>GLOBAL_DER_FEV_2023!F1795</f>
        <v>0</v>
      </c>
      <c r="G1795" s="912">
        <f>GLOBAL_DER_FEV_2023!G1795</f>
        <v>159.82866000000001</v>
      </c>
      <c r="H1795" s="901">
        <f>GLOBAL_DER_FEV_2023!H1795</f>
        <v>378.9</v>
      </c>
      <c r="I1795" s="901">
        <f>GLOBAL_DER_FEV_2023!I1795</f>
        <v>538.72865999999999</v>
      </c>
      <c r="J1795" s="902">
        <f>GLOBAL_DER_FEV_2023!J1795</f>
        <v>646.85</v>
      </c>
      <c r="K1795" s="903" t="s">
        <v>10</v>
      </c>
      <c r="L1795" s="1137"/>
      <c r="M1795" s="1138">
        <f t="shared" si="184"/>
        <v>0</v>
      </c>
      <c r="N1795" s="1176">
        <f t="shared" si="188"/>
        <v>0</v>
      </c>
      <c r="O1795" s="905"/>
      <c r="Q1795" s="317" t="str">
        <f t="shared" si="185"/>
        <v/>
      </c>
      <c r="R1795" s="317" t="str">
        <f t="shared" si="186"/>
        <v/>
      </c>
      <c r="S1795" s="317" t="str">
        <f t="shared" si="187"/>
        <v/>
      </c>
      <c r="T1795" s="317" t="str">
        <f>GLOBAL_DER_FEV_2023!S1795</f>
        <v/>
      </c>
      <c r="W1795" s="582">
        <v>0</v>
      </c>
      <c r="X1795" s="580"/>
      <c r="Y1795" s="583">
        <f>IF(GLOBAL_DER_FEV_2023!W1795=0,0,IF(GLOBAL_DER_FEV_2023!W1795&gt;0,"c","b"))</f>
        <v>0</v>
      </c>
    </row>
    <row r="1796" spans="1:25" ht="15" customHeight="1" x14ac:dyDescent="0.2">
      <c r="A1796" s="317" t="s">
        <v>147</v>
      </c>
      <c r="B1796" s="895" t="s">
        <v>147</v>
      </c>
      <c r="C1796" s="896"/>
      <c r="D1796" s="906" t="s">
        <v>190</v>
      </c>
      <c r="E1796" s="907">
        <f>GLOBAL_DER_FEV_2023!E1796</f>
        <v>308</v>
      </c>
      <c r="F1796" s="908">
        <f>GLOBAL_DER_FEV_2023!F1796</f>
        <v>0.189</v>
      </c>
      <c r="G1796" s="909">
        <f>GLOBAL_DER_FEV_2023!G1796</f>
        <v>46.883340000000004</v>
      </c>
      <c r="H1796" s="901">
        <f>GLOBAL_DER_FEV_2023!H1796</f>
        <v>0</v>
      </c>
      <c r="I1796" s="901">
        <f>GLOBAL_DER_FEV_2023!I1796</f>
        <v>0</v>
      </c>
      <c r="J1796" s="902">
        <f>GLOBAL_DER_FEV_2023!J1796</f>
        <v>0</v>
      </c>
      <c r="K1796" s="903"/>
      <c r="L1796" s="1177"/>
      <c r="M1796" s="1138">
        <f t="shared" si="184"/>
        <v>0</v>
      </c>
      <c r="N1796" s="1176">
        <f t="shared" si="188"/>
        <v>0</v>
      </c>
      <c r="O1796" s="905"/>
      <c r="P1796" s="36" t="str">
        <f>IF(N1795&gt;0,"xx",IF(N1795&gt;0,"xy",""))</f>
        <v/>
      </c>
      <c r="Q1796" s="317" t="str">
        <f t="shared" si="185"/>
        <v/>
      </c>
      <c r="R1796" s="317" t="str">
        <f t="shared" si="186"/>
        <v/>
      </c>
      <c r="S1796" s="317" t="str">
        <f t="shared" si="187"/>
        <v/>
      </c>
      <c r="T1796" s="317" t="str">
        <f>GLOBAL_DER_FEV_2023!S1796</f>
        <v/>
      </c>
      <c r="W1796" s="582">
        <v>0</v>
      </c>
      <c r="X1796" s="580"/>
      <c r="Y1796" s="583">
        <f>IF(GLOBAL_DER_FEV_2023!W1796=0,0,IF(GLOBAL_DER_FEV_2023!W1796&gt;0,"c","b"))</f>
        <v>0</v>
      </c>
    </row>
    <row r="1797" spans="1:25" ht="15" customHeight="1" x14ac:dyDescent="0.2">
      <c r="A1797" s="317" t="s">
        <v>147</v>
      </c>
      <c r="B1797" s="895" t="s">
        <v>147</v>
      </c>
      <c r="C1797" s="896"/>
      <c r="D1797" s="906" t="s">
        <v>229</v>
      </c>
      <c r="E1797" s="907">
        <f>GLOBAL_DER_FEV_2023!E1797</f>
        <v>150</v>
      </c>
      <c r="F1797" s="908">
        <f>GLOBAL_DER_FEV_2023!F1797</f>
        <v>0.67200000000000004</v>
      </c>
      <c r="G1797" s="949">
        <f>GLOBAL_DER_FEV_2023!G1797</f>
        <v>109.65696000000001</v>
      </c>
      <c r="H1797" s="901">
        <f>GLOBAL_DER_FEV_2023!H1797</f>
        <v>0</v>
      </c>
      <c r="I1797" s="901">
        <f>GLOBAL_DER_FEV_2023!I1797</f>
        <v>0</v>
      </c>
      <c r="J1797" s="902">
        <f>GLOBAL_DER_FEV_2023!J1797</f>
        <v>0</v>
      </c>
      <c r="K1797" s="903"/>
      <c r="L1797" s="1177"/>
      <c r="M1797" s="1138">
        <f t="shared" si="184"/>
        <v>0</v>
      </c>
      <c r="N1797" s="1176">
        <f t="shared" si="188"/>
        <v>0</v>
      </c>
      <c r="O1797" s="905"/>
      <c r="P1797" s="36" t="str">
        <f>IF(N1795&gt;0,"xx",IF(N1795&gt;0,"xy",""))</f>
        <v/>
      </c>
      <c r="Q1797" s="317" t="str">
        <f t="shared" si="185"/>
        <v/>
      </c>
      <c r="R1797" s="317" t="str">
        <f t="shared" si="186"/>
        <v/>
      </c>
      <c r="S1797" s="317" t="str">
        <f t="shared" si="187"/>
        <v/>
      </c>
      <c r="T1797" s="317" t="str">
        <f>GLOBAL_DER_FEV_2023!S1797</f>
        <v/>
      </c>
      <c r="W1797" s="582">
        <v>0</v>
      </c>
      <c r="X1797" s="580"/>
      <c r="Y1797" s="583">
        <f>IF(GLOBAL_DER_FEV_2023!W1797=0,0,IF(GLOBAL_DER_FEV_2023!W1797&gt;0,"c","b"))</f>
        <v>0</v>
      </c>
    </row>
    <row r="1798" spans="1:25" ht="15" customHeight="1" x14ac:dyDescent="0.2">
      <c r="A1798" s="317" t="s">
        <v>147</v>
      </c>
      <c r="B1798" s="895" t="s">
        <v>147</v>
      </c>
      <c r="C1798" s="896"/>
      <c r="D1798" s="906" t="s">
        <v>339</v>
      </c>
      <c r="E1798" s="907">
        <f>GLOBAL_DER_FEV_2023!E1798</f>
        <v>0</v>
      </c>
      <c r="F1798" s="908">
        <f>GLOBAL_DER_FEV_2023!F1798</f>
        <v>1.2270000000000001</v>
      </c>
      <c r="G1798" s="949">
        <f>GLOBAL_DER_FEV_2023!G1798</f>
        <v>3.2883600000000004</v>
      </c>
      <c r="H1798" s="901">
        <f>GLOBAL_DER_FEV_2023!H1798</f>
        <v>0</v>
      </c>
      <c r="I1798" s="901">
        <f>GLOBAL_DER_FEV_2023!I1798</f>
        <v>0</v>
      </c>
      <c r="J1798" s="902">
        <f>GLOBAL_DER_FEV_2023!J1798</f>
        <v>0</v>
      </c>
      <c r="K1798" s="903"/>
      <c r="L1798" s="1177"/>
      <c r="M1798" s="1138">
        <f t="shared" ref="M1798:M1861" si="189">IF(L1798=0,0,ROUND(J1798,2))</f>
        <v>0</v>
      </c>
      <c r="N1798" s="1176">
        <f t="shared" si="188"/>
        <v>0</v>
      </c>
      <c r="O1798" s="905"/>
      <c r="P1798" s="36" t="str">
        <f>IF(N1795&gt;0,"xx",IF(N1795&gt;0,"xy",""))</f>
        <v/>
      </c>
      <c r="Q1798" s="317" t="str">
        <f t="shared" si="185"/>
        <v/>
      </c>
      <c r="R1798" s="317" t="str">
        <f t="shared" si="186"/>
        <v/>
      </c>
      <c r="S1798" s="317" t="str">
        <f t="shared" si="187"/>
        <v/>
      </c>
      <c r="T1798" s="317" t="str">
        <f>GLOBAL_DER_FEV_2023!S1798</f>
        <v/>
      </c>
      <c r="W1798" s="582">
        <v>0</v>
      </c>
      <c r="X1798" s="580"/>
      <c r="Y1798" s="583">
        <f>IF(GLOBAL_DER_FEV_2023!W1798=0,0,IF(GLOBAL_DER_FEV_2023!W1798&gt;0,"c","b"))</f>
        <v>0</v>
      </c>
    </row>
    <row r="1799" spans="1:25" ht="15" customHeight="1" x14ac:dyDescent="0.2">
      <c r="A1799" s="317">
        <v>605100</v>
      </c>
      <c r="B1799" s="895">
        <v>605100</v>
      </c>
      <c r="C1799" s="896" t="s">
        <v>184</v>
      </c>
      <c r="D1799" s="906" t="s">
        <v>810</v>
      </c>
      <c r="E1799" s="907">
        <f>GLOBAL_DER_FEV_2023!E1799</f>
        <v>0</v>
      </c>
      <c r="F1799" s="908">
        <f>GLOBAL_DER_FEV_2023!F1799</f>
        <v>0</v>
      </c>
      <c r="G1799" s="912">
        <f>GLOBAL_DER_FEV_2023!G1799</f>
        <v>225.79514000000003</v>
      </c>
      <c r="H1799" s="901">
        <f>GLOBAL_DER_FEV_2023!H1799</f>
        <v>436.57</v>
      </c>
      <c r="I1799" s="901">
        <f>GLOBAL_DER_FEV_2023!I1799</f>
        <v>662.36514</v>
      </c>
      <c r="J1799" s="902">
        <f>GLOBAL_DER_FEV_2023!J1799</f>
        <v>795.3</v>
      </c>
      <c r="K1799" s="903" t="s">
        <v>10</v>
      </c>
      <c r="L1799" s="1137"/>
      <c r="M1799" s="1138">
        <f t="shared" si="189"/>
        <v>0</v>
      </c>
      <c r="N1799" s="1176">
        <f t="shared" si="188"/>
        <v>0</v>
      </c>
      <c r="O1799" s="905"/>
      <c r="Q1799" s="317" t="str">
        <f t="shared" si="185"/>
        <v/>
      </c>
      <c r="R1799" s="317" t="str">
        <f t="shared" si="186"/>
        <v/>
      </c>
      <c r="S1799" s="317" t="str">
        <f t="shared" si="187"/>
        <v/>
      </c>
      <c r="T1799" s="317" t="str">
        <f>GLOBAL_DER_FEV_2023!S1799</f>
        <v/>
      </c>
      <c r="W1799" s="582">
        <v>0</v>
      </c>
      <c r="X1799" s="580"/>
      <c r="Y1799" s="583">
        <f>IF(GLOBAL_DER_FEV_2023!W1799=0,0,IF(GLOBAL_DER_FEV_2023!W1799&gt;0,"c","b"))</f>
        <v>0</v>
      </c>
    </row>
    <row r="1800" spans="1:25" ht="15" customHeight="1" x14ac:dyDescent="0.2">
      <c r="A1800" s="317" t="s">
        <v>147</v>
      </c>
      <c r="B1800" s="895" t="s">
        <v>147</v>
      </c>
      <c r="C1800" s="896"/>
      <c r="D1800" s="906" t="s">
        <v>190</v>
      </c>
      <c r="E1800" s="907">
        <f>GLOBAL_DER_FEV_2023!E1800</f>
        <v>308</v>
      </c>
      <c r="F1800" s="908">
        <f>GLOBAL_DER_FEV_2023!F1800</f>
        <v>0.2</v>
      </c>
      <c r="G1800" s="909">
        <f>GLOBAL_DER_FEV_2023!G1800</f>
        <v>49.612000000000002</v>
      </c>
      <c r="H1800" s="901">
        <f>GLOBAL_DER_FEV_2023!H1800</f>
        <v>0</v>
      </c>
      <c r="I1800" s="901">
        <f>GLOBAL_DER_FEV_2023!I1800</f>
        <v>0</v>
      </c>
      <c r="J1800" s="902">
        <f>GLOBAL_DER_FEV_2023!J1800</f>
        <v>0</v>
      </c>
      <c r="K1800" s="903"/>
      <c r="L1800" s="1177"/>
      <c r="M1800" s="1138">
        <f t="shared" si="189"/>
        <v>0</v>
      </c>
      <c r="N1800" s="1176">
        <f t="shared" si="188"/>
        <v>0</v>
      </c>
      <c r="O1800" s="905"/>
      <c r="P1800" s="36" t="str">
        <f>IF(N1799&gt;0,"xx",IF(N1799&gt;0,"xy",""))</f>
        <v/>
      </c>
      <c r="Q1800" s="317" t="str">
        <f t="shared" si="185"/>
        <v/>
      </c>
      <c r="R1800" s="317" t="str">
        <f t="shared" si="186"/>
        <v/>
      </c>
      <c r="S1800" s="317" t="str">
        <f t="shared" si="187"/>
        <v/>
      </c>
      <c r="T1800" s="317" t="str">
        <f>GLOBAL_DER_FEV_2023!S1800</f>
        <v/>
      </c>
      <c r="W1800" s="582">
        <v>0</v>
      </c>
      <c r="X1800" s="580"/>
      <c r="Y1800" s="583">
        <f>IF(GLOBAL_DER_FEV_2023!W1800=0,0,IF(GLOBAL_DER_FEV_2023!W1800&gt;0,"c","b"))</f>
        <v>0</v>
      </c>
    </row>
    <row r="1801" spans="1:25" ht="15" customHeight="1" x14ac:dyDescent="0.2">
      <c r="A1801" s="317" t="s">
        <v>147</v>
      </c>
      <c r="B1801" s="895" t="s">
        <v>147</v>
      </c>
      <c r="C1801" s="896"/>
      <c r="D1801" s="906" t="s">
        <v>229</v>
      </c>
      <c r="E1801" s="907">
        <f>GLOBAL_DER_FEV_2023!E1801</f>
        <v>150</v>
      </c>
      <c r="F1801" s="908">
        <f>GLOBAL_DER_FEV_2023!F1801</f>
        <v>1.06</v>
      </c>
      <c r="G1801" s="949">
        <f>GLOBAL_DER_FEV_2023!G1801</f>
        <v>172.97080000000003</v>
      </c>
      <c r="H1801" s="901">
        <f>GLOBAL_DER_FEV_2023!H1801</f>
        <v>0</v>
      </c>
      <c r="I1801" s="901">
        <f>GLOBAL_DER_FEV_2023!I1801</f>
        <v>0</v>
      </c>
      <c r="J1801" s="902">
        <f>GLOBAL_DER_FEV_2023!J1801</f>
        <v>0</v>
      </c>
      <c r="K1801" s="903"/>
      <c r="L1801" s="1177"/>
      <c r="M1801" s="1138">
        <f t="shared" si="189"/>
        <v>0</v>
      </c>
      <c r="N1801" s="1176">
        <f t="shared" si="188"/>
        <v>0</v>
      </c>
      <c r="O1801" s="905"/>
      <c r="P1801" s="36" t="str">
        <f>IF(N1799&gt;0,"xx",IF(N1799&gt;0,"xy",""))</f>
        <v/>
      </c>
      <c r="Q1801" s="317" t="str">
        <f t="shared" si="185"/>
        <v/>
      </c>
      <c r="R1801" s="317" t="str">
        <f t="shared" si="186"/>
        <v/>
      </c>
      <c r="S1801" s="317" t="str">
        <f t="shared" si="187"/>
        <v/>
      </c>
      <c r="T1801" s="317" t="str">
        <f>GLOBAL_DER_FEV_2023!S1801</f>
        <v/>
      </c>
      <c r="W1801" s="582">
        <v>0</v>
      </c>
      <c r="X1801" s="580"/>
      <c r="Y1801" s="583">
        <f>IF(GLOBAL_DER_FEV_2023!W1801=0,0,IF(GLOBAL_DER_FEV_2023!W1801&gt;0,"c","b"))</f>
        <v>0</v>
      </c>
    </row>
    <row r="1802" spans="1:25" ht="15" customHeight="1" x14ac:dyDescent="0.2">
      <c r="A1802" s="317" t="s">
        <v>147</v>
      </c>
      <c r="B1802" s="895" t="s">
        <v>147</v>
      </c>
      <c r="C1802" s="896"/>
      <c r="D1802" s="906" t="s">
        <v>233</v>
      </c>
      <c r="E1802" s="907">
        <f>GLOBAL_DER_FEV_2023!E1802</f>
        <v>0.2</v>
      </c>
      <c r="F1802" s="908">
        <f>GLOBAL_DER_FEV_2023!F1802</f>
        <v>1.1100000000000001</v>
      </c>
      <c r="G1802" s="949">
        <f>GLOBAL_DER_FEV_2023!G1802</f>
        <v>3.2123400000000006</v>
      </c>
      <c r="H1802" s="901">
        <f>GLOBAL_DER_FEV_2023!H1802</f>
        <v>0</v>
      </c>
      <c r="I1802" s="901">
        <f>GLOBAL_DER_FEV_2023!I1802</f>
        <v>0</v>
      </c>
      <c r="J1802" s="902">
        <f>GLOBAL_DER_FEV_2023!J1802</f>
        <v>0</v>
      </c>
      <c r="K1802" s="903"/>
      <c r="L1802" s="1177"/>
      <c r="M1802" s="1138">
        <f t="shared" si="189"/>
        <v>0</v>
      </c>
      <c r="N1802" s="1176">
        <f t="shared" si="188"/>
        <v>0</v>
      </c>
      <c r="O1802" s="905"/>
      <c r="P1802" s="36" t="str">
        <f>IF(N1799&gt;0,"xx",IF(N1799&gt;0,"xy",""))</f>
        <v/>
      </c>
      <c r="Q1802" s="317" t="str">
        <f t="shared" si="185"/>
        <v/>
      </c>
      <c r="R1802" s="317" t="str">
        <f t="shared" si="186"/>
        <v/>
      </c>
      <c r="S1802" s="317" t="str">
        <f t="shared" si="187"/>
        <v/>
      </c>
      <c r="T1802" s="317" t="str">
        <f>GLOBAL_DER_FEV_2023!S1802</f>
        <v/>
      </c>
      <c r="W1802" s="582">
        <v>0</v>
      </c>
      <c r="X1802" s="580"/>
      <c r="Y1802" s="583">
        <f>IF(GLOBAL_DER_FEV_2023!W1802=0,0,IF(GLOBAL_DER_FEV_2023!W1802&gt;0,"c","b"))</f>
        <v>0</v>
      </c>
    </row>
    <row r="1803" spans="1:25" ht="15" customHeight="1" x14ac:dyDescent="0.2">
      <c r="A1803" s="317">
        <v>605200</v>
      </c>
      <c r="B1803" s="895" t="s">
        <v>1794</v>
      </c>
      <c r="C1803" s="896" t="s">
        <v>184</v>
      </c>
      <c r="D1803" s="906" t="s">
        <v>340</v>
      </c>
      <c r="E1803" s="907">
        <f>GLOBAL_DER_FEV_2023!E1803</f>
        <v>0</v>
      </c>
      <c r="F1803" s="908">
        <f>GLOBAL_DER_FEV_2023!F1803</f>
        <v>0</v>
      </c>
      <c r="G1803" s="912">
        <f>GLOBAL_DER_FEV_2023!G1803</f>
        <v>226.84134000000003</v>
      </c>
      <c r="H1803" s="901">
        <f>GLOBAL_DER_FEV_2023!H1803</f>
        <v>471.16</v>
      </c>
      <c r="I1803" s="901">
        <f>GLOBAL_DER_FEV_2023!I1803</f>
        <v>698.00134000000003</v>
      </c>
      <c r="J1803" s="902">
        <f>GLOBAL_DER_FEV_2023!J1803</f>
        <v>838.09</v>
      </c>
      <c r="K1803" s="903" t="s">
        <v>10</v>
      </c>
      <c r="L1803" s="1137"/>
      <c r="M1803" s="1138">
        <f t="shared" si="189"/>
        <v>0</v>
      </c>
      <c r="N1803" s="1176">
        <f t="shared" si="188"/>
        <v>0</v>
      </c>
      <c r="O1803" s="905"/>
      <c r="Q1803" s="317" t="str">
        <f t="shared" si="185"/>
        <v/>
      </c>
      <c r="R1803" s="317" t="str">
        <f t="shared" si="186"/>
        <v/>
      </c>
      <c r="S1803" s="317" t="str">
        <f t="shared" si="187"/>
        <v/>
      </c>
      <c r="T1803" s="317" t="str">
        <f>GLOBAL_DER_FEV_2023!S1803</f>
        <v/>
      </c>
      <c r="W1803" s="582">
        <v>0</v>
      </c>
      <c r="X1803" s="580"/>
      <c r="Y1803" s="583">
        <f>IF(GLOBAL_DER_FEV_2023!W1803=0,0,IF(GLOBAL_DER_FEV_2023!W1803&gt;0,"c","b"))</f>
        <v>0</v>
      </c>
    </row>
    <row r="1804" spans="1:25" ht="15" customHeight="1" x14ac:dyDescent="0.2">
      <c r="A1804" s="317" t="s">
        <v>147</v>
      </c>
      <c r="B1804" s="895" t="s">
        <v>147</v>
      </c>
      <c r="C1804" s="896"/>
      <c r="D1804" s="906" t="s">
        <v>190</v>
      </c>
      <c r="E1804" s="907">
        <f>GLOBAL_DER_FEV_2023!E1804</f>
        <v>308</v>
      </c>
      <c r="F1804" s="908">
        <f>GLOBAL_DER_FEV_2023!F1804</f>
        <v>0.27</v>
      </c>
      <c r="G1804" s="909">
        <f>GLOBAL_DER_FEV_2023!G1804</f>
        <v>66.976200000000006</v>
      </c>
      <c r="H1804" s="901">
        <f>GLOBAL_DER_FEV_2023!H1804</f>
        <v>0</v>
      </c>
      <c r="I1804" s="901">
        <f>GLOBAL_DER_FEV_2023!I1804</f>
        <v>0</v>
      </c>
      <c r="J1804" s="902">
        <f>GLOBAL_DER_FEV_2023!J1804</f>
        <v>0</v>
      </c>
      <c r="K1804" s="903"/>
      <c r="L1804" s="1177"/>
      <c r="M1804" s="1138">
        <f t="shared" si="189"/>
        <v>0</v>
      </c>
      <c r="N1804" s="1176">
        <f t="shared" si="188"/>
        <v>0</v>
      </c>
      <c r="O1804" s="905"/>
      <c r="P1804" s="36" t="str">
        <f>IF(N1803&gt;0,"xx",IF(N1803&gt;0,"xy",""))</f>
        <v/>
      </c>
      <c r="Q1804" s="317" t="str">
        <f t="shared" si="185"/>
        <v/>
      </c>
      <c r="R1804" s="317" t="str">
        <f t="shared" si="186"/>
        <v/>
      </c>
      <c r="S1804" s="317" t="str">
        <f t="shared" si="187"/>
        <v/>
      </c>
      <c r="T1804" s="317" t="str">
        <f>GLOBAL_DER_FEV_2023!S1804</f>
        <v/>
      </c>
      <c r="W1804" s="582">
        <v>0</v>
      </c>
      <c r="X1804" s="580"/>
      <c r="Y1804" s="583">
        <f>IF(GLOBAL_DER_FEV_2023!W1804=0,0,IF(GLOBAL_DER_FEV_2023!W1804&gt;0,"c","b"))</f>
        <v>0</v>
      </c>
    </row>
    <row r="1805" spans="1:25" ht="15" customHeight="1" x14ac:dyDescent="0.2">
      <c r="A1805" s="317" t="s">
        <v>147</v>
      </c>
      <c r="B1805" s="895" t="s">
        <v>147</v>
      </c>
      <c r="C1805" s="896"/>
      <c r="D1805" s="906" t="s">
        <v>229</v>
      </c>
      <c r="E1805" s="907">
        <f>GLOBAL_DER_FEV_2023!E1805</f>
        <v>150</v>
      </c>
      <c r="F1805" s="908">
        <f>GLOBAL_DER_FEV_2023!F1805</f>
        <v>0.96</v>
      </c>
      <c r="G1805" s="949">
        <f>GLOBAL_DER_FEV_2023!G1805</f>
        <v>156.65280000000001</v>
      </c>
      <c r="H1805" s="901">
        <f>GLOBAL_DER_FEV_2023!H1805</f>
        <v>0</v>
      </c>
      <c r="I1805" s="901">
        <f>GLOBAL_DER_FEV_2023!I1805</f>
        <v>0</v>
      </c>
      <c r="J1805" s="902">
        <f>GLOBAL_DER_FEV_2023!J1805</f>
        <v>0</v>
      </c>
      <c r="K1805" s="903"/>
      <c r="L1805" s="1177"/>
      <c r="M1805" s="1138">
        <f t="shared" si="189"/>
        <v>0</v>
      </c>
      <c r="N1805" s="1176">
        <f t="shared" si="188"/>
        <v>0</v>
      </c>
      <c r="O1805" s="905"/>
      <c r="P1805" s="36" t="str">
        <f>IF(N1803&gt;0,"xx",IF(N1803&gt;0,"xy",""))</f>
        <v/>
      </c>
      <c r="Q1805" s="317" t="str">
        <f t="shared" si="185"/>
        <v/>
      </c>
      <c r="R1805" s="317" t="str">
        <f t="shared" si="186"/>
        <v/>
      </c>
      <c r="S1805" s="317" t="str">
        <f t="shared" si="187"/>
        <v/>
      </c>
      <c r="T1805" s="317" t="str">
        <f>GLOBAL_DER_FEV_2023!S1805</f>
        <v/>
      </c>
      <c r="W1805" s="582">
        <v>0</v>
      </c>
      <c r="X1805" s="580"/>
      <c r="Y1805" s="583">
        <f>IF(GLOBAL_DER_FEV_2023!W1805=0,0,IF(GLOBAL_DER_FEV_2023!W1805&gt;0,"c","b"))</f>
        <v>0</v>
      </c>
    </row>
    <row r="1806" spans="1:25" ht="15" customHeight="1" x14ac:dyDescent="0.2">
      <c r="A1806" s="317" t="s">
        <v>147</v>
      </c>
      <c r="B1806" s="895" t="s">
        <v>147</v>
      </c>
      <c r="C1806" s="896"/>
      <c r="D1806" s="906" t="s">
        <v>233</v>
      </c>
      <c r="E1806" s="907">
        <f>GLOBAL_DER_FEV_2023!E1806</f>
        <v>0.2</v>
      </c>
      <c r="F1806" s="908">
        <f>GLOBAL_DER_FEV_2023!F1806</f>
        <v>1.1100000000000001</v>
      </c>
      <c r="G1806" s="949">
        <f>GLOBAL_DER_FEV_2023!G1806</f>
        <v>3.2123400000000006</v>
      </c>
      <c r="H1806" s="901">
        <f>GLOBAL_DER_FEV_2023!H1806</f>
        <v>0</v>
      </c>
      <c r="I1806" s="901">
        <f>GLOBAL_DER_FEV_2023!I1806</f>
        <v>0</v>
      </c>
      <c r="J1806" s="902">
        <f>GLOBAL_DER_FEV_2023!J1806</f>
        <v>0</v>
      </c>
      <c r="K1806" s="903"/>
      <c r="L1806" s="1177"/>
      <c r="M1806" s="1138">
        <f t="shared" si="189"/>
        <v>0</v>
      </c>
      <c r="N1806" s="1176">
        <f t="shared" si="188"/>
        <v>0</v>
      </c>
      <c r="O1806" s="905"/>
      <c r="P1806" s="36" t="str">
        <f>IF(N1803&gt;0,"xx",IF(N1803&gt;0,"xy",""))</f>
        <v/>
      </c>
      <c r="Q1806" s="317" t="str">
        <f t="shared" si="185"/>
        <v/>
      </c>
      <c r="R1806" s="317" t="str">
        <f t="shared" si="186"/>
        <v/>
      </c>
      <c r="S1806" s="317" t="str">
        <f t="shared" si="187"/>
        <v/>
      </c>
      <c r="T1806" s="317" t="str">
        <f>GLOBAL_DER_FEV_2023!S1806</f>
        <v/>
      </c>
      <c r="W1806" s="582">
        <v>0</v>
      </c>
      <c r="X1806" s="580"/>
      <c r="Y1806" s="583">
        <f>IF(GLOBAL_DER_FEV_2023!W1806=0,0,IF(GLOBAL_DER_FEV_2023!W1806&gt;0,"c","b"))</f>
        <v>0</v>
      </c>
    </row>
    <row r="1807" spans="1:25" ht="15" customHeight="1" x14ac:dyDescent="0.2">
      <c r="A1807" s="317">
        <v>605300</v>
      </c>
      <c r="B1807" s="895" t="s">
        <v>1796</v>
      </c>
      <c r="C1807" s="896" t="s">
        <v>184</v>
      </c>
      <c r="D1807" s="906" t="s">
        <v>341</v>
      </c>
      <c r="E1807" s="907">
        <f>GLOBAL_DER_FEV_2023!E1807</f>
        <v>0</v>
      </c>
      <c r="F1807" s="908">
        <f>GLOBAL_DER_FEV_2023!F1807</f>
        <v>0</v>
      </c>
      <c r="G1807" s="912">
        <f>GLOBAL_DER_FEV_2023!G1807</f>
        <v>235.36092000000002</v>
      </c>
      <c r="H1807" s="901">
        <f>GLOBAL_DER_FEV_2023!H1807</f>
        <v>503.25</v>
      </c>
      <c r="I1807" s="901">
        <f>GLOBAL_DER_FEV_2023!I1807</f>
        <v>738.61092000000008</v>
      </c>
      <c r="J1807" s="902">
        <f>GLOBAL_DER_FEV_2023!J1807</f>
        <v>886.85</v>
      </c>
      <c r="K1807" s="903" t="s">
        <v>10</v>
      </c>
      <c r="L1807" s="1137"/>
      <c r="M1807" s="1138">
        <f t="shared" si="189"/>
        <v>0</v>
      </c>
      <c r="N1807" s="1176">
        <f t="shared" si="188"/>
        <v>0</v>
      </c>
      <c r="O1807" s="905"/>
      <c r="Q1807" s="317" t="str">
        <f t="shared" si="185"/>
        <v/>
      </c>
      <c r="R1807" s="317" t="str">
        <f t="shared" si="186"/>
        <v/>
      </c>
      <c r="S1807" s="317" t="str">
        <f t="shared" si="187"/>
        <v/>
      </c>
      <c r="T1807" s="317" t="str">
        <f>GLOBAL_DER_FEV_2023!S1807</f>
        <v/>
      </c>
      <c r="W1807" s="582">
        <v>0</v>
      </c>
      <c r="X1807" s="580"/>
      <c r="Y1807" s="583">
        <f>IF(GLOBAL_DER_FEV_2023!W1807=0,0,IF(GLOBAL_DER_FEV_2023!W1807&gt;0,"c","b"))</f>
        <v>0</v>
      </c>
    </row>
    <row r="1808" spans="1:25" ht="15" customHeight="1" x14ac:dyDescent="0.2">
      <c r="A1808" s="317" t="s">
        <v>147</v>
      </c>
      <c r="B1808" s="895" t="s">
        <v>147</v>
      </c>
      <c r="C1808" s="896"/>
      <c r="D1808" s="906" t="s">
        <v>190</v>
      </c>
      <c r="E1808" s="907">
        <f>GLOBAL_DER_FEV_2023!E1808</f>
        <v>308</v>
      </c>
      <c r="F1808" s="908">
        <f>GLOBAL_DER_FEV_2023!F1808</f>
        <v>0.33</v>
      </c>
      <c r="G1808" s="909">
        <f>GLOBAL_DER_FEV_2023!G1808</f>
        <v>81.859800000000007</v>
      </c>
      <c r="H1808" s="901">
        <f>GLOBAL_DER_FEV_2023!H1808</f>
        <v>0</v>
      </c>
      <c r="I1808" s="901">
        <f>GLOBAL_DER_FEV_2023!I1808</f>
        <v>0</v>
      </c>
      <c r="J1808" s="902">
        <f>GLOBAL_DER_FEV_2023!J1808</f>
        <v>0</v>
      </c>
      <c r="K1808" s="903"/>
      <c r="L1808" s="1177"/>
      <c r="M1808" s="1138">
        <f t="shared" si="189"/>
        <v>0</v>
      </c>
      <c r="N1808" s="1176">
        <f t="shared" si="188"/>
        <v>0</v>
      </c>
      <c r="O1808" s="905"/>
      <c r="P1808" s="36" t="str">
        <f>IF(N1807&gt;0,"xx",IF(N1807&gt;0,"xy",""))</f>
        <v/>
      </c>
      <c r="Q1808" s="317" t="str">
        <f t="shared" si="185"/>
        <v/>
      </c>
      <c r="R1808" s="317" t="str">
        <f t="shared" si="186"/>
        <v/>
      </c>
      <c r="S1808" s="317" t="str">
        <f t="shared" si="187"/>
        <v/>
      </c>
      <c r="T1808" s="317" t="str">
        <f>GLOBAL_DER_FEV_2023!S1808</f>
        <v/>
      </c>
      <c r="W1808" s="582">
        <v>0</v>
      </c>
      <c r="X1808" s="580"/>
      <c r="Y1808" s="583">
        <f>IF(GLOBAL_DER_FEV_2023!W1808=0,0,IF(GLOBAL_DER_FEV_2023!W1808&gt;0,"c","b"))</f>
        <v>0</v>
      </c>
    </row>
    <row r="1809" spans="1:25" ht="15" customHeight="1" x14ac:dyDescent="0.2">
      <c r="A1809" s="317" t="s">
        <v>147</v>
      </c>
      <c r="B1809" s="895" t="s">
        <v>147</v>
      </c>
      <c r="C1809" s="896"/>
      <c r="D1809" s="906" t="s">
        <v>229</v>
      </c>
      <c r="E1809" s="907">
        <f>GLOBAL_DER_FEV_2023!E1809</f>
        <v>150</v>
      </c>
      <c r="F1809" s="908">
        <f>GLOBAL_DER_FEV_2023!F1809</f>
        <v>0.92100000000000004</v>
      </c>
      <c r="G1809" s="949">
        <f>GLOBAL_DER_FEV_2023!G1809</f>
        <v>150.28878</v>
      </c>
      <c r="H1809" s="901">
        <f>GLOBAL_DER_FEV_2023!H1809</f>
        <v>0</v>
      </c>
      <c r="I1809" s="901">
        <f>GLOBAL_DER_FEV_2023!I1809</f>
        <v>0</v>
      </c>
      <c r="J1809" s="902">
        <f>GLOBAL_DER_FEV_2023!J1809</f>
        <v>0</v>
      </c>
      <c r="K1809" s="903"/>
      <c r="L1809" s="1177"/>
      <c r="M1809" s="1138">
        <f t="shared" si="189"/>
        <v>0</v>
      </c>
      <c r="N1809" s="1176">
        <f t="shared" si="188"/>
        <v>0</v>
      </c>
      <c r="O1809" s="905"/>
      <c r="P1809" s="36" t="str">
        <f>IF(N1807&gt;0,"xx",IF(N1807&gt;0,"xy",""))</f>
        <v/>
      </c>
      <c r="Q1809" s="317" t="str">
        <f t="shared" ref="Q1809:Q1872" si="190">IF(P1809="X","x",IF(P1809="xx","x",IF(P1809="xy","x",IF(P1809="y","x",IF(OR(N1809&gt;0,N1809&gt;0),"x","")))))</f>
        <v/>
      </c>
      <c r="R1809" s="317" t="str">
        <f t="shared" si="186"/>
        <v/>
      </c>
      <c r="S1809" s="317" t="str">
        <f t="shared" si="187"/>
        <v/>
      </c>
      <c r="T1809" s="317" t="str">
        <f>GLOBAL_DER_FEV_2023!S1809</f>
        <v/>
      </c>
      <c r="W1809" s="582">
        <v>0</v>
      </c>
      <c r="X1809" s="580"/>
      <c r="Y1809" s="583">
        <f>IF(GLOBAL_DER_FEV_2023!W1809=0,0,IF(GLOBAL_DER_FEV_2023!W1809&gt;0,"c","b"))</f>
        <v>0</v>
      </c>
    </row>
    <row r="1810" spans="1:25" ht="15" customHeight="1" x14ac:dyDescent="0.2">
      <c r="A1810" s="317" t="s">
        <v>147</v>
      </c>
      <c r="B1810" s="895" t="s">
        <v>147</v>
      </c>
      <c r="C1810" s="896"/>
      <c r="D1810" s="906" t="s">
        <v>233</v>
      </c>
      <c r="E1810" s="907">
        <f>GLOBAL_DER_FEV_2023!E1810</f>
        <v>0.2</v>
      </c>
      <c r="F1810" s="908">
        <f>GLOBAL_DER_FEV_2023!F1810</f>
        <v>1.1100000000000001</v>
      </c>
      <c r="G1810" s="949">
        <f>GLOBAL_DER_FEV_2023!G1810</f>
        <v>3.2123400000000006</v>
      </c>
      <c r="H1810" s="901">
        <f>GLOBAL_DER_FEV_2023!H1810</f>
        <v>0</v>
      </c>
      <c r="I1810" s="901">
        <f>GLOBAL_DER_FEV_2023!I1810</f>
        <v>0</v>
      </c>
      <c r="J1810" s="902">
        <f>GLOBAL_DER_FEV_2023!J1810</f>
        <v>0</v>
      </c>
      <c r="K1810" s="903"/>
      <c r="L1810" s="1177"/>
      <c r="M1810" s="1138">
        <f t="shared" si="189"/>
        <v>0</v>
      </c>
      <c r="N1810" s="1176">
        <f t="shared" si="188"/>
        <v>0</v>
      </c>
      <c r="O1810" s="905"/>
      <c r="P1810" s="36" t="str">
        <f>IF(N1807&gt;0,"xx",IF(N1807&gt;0,"xy",""))</f>
        <v/>
      </c>
      <c r="Q1810" s="317" t="str">
        <f t="shared" si="190"/>
        <v/>
      </c>
      <c r="R1810" s="317" t="str">
        <f t="shared" si="186"/>
        <v/>
      </c>
      <c r="S1810" s="317" t="str">
        <f t="shared" si="187"/>
        <v/>
      </c>
      <c r="T1810" s="317" t="str">
        <f>GLOBAL_DER_FEV_2023!S1810</f>
        <v/>
      </c>
      <c r="W1810" s="582">
        <v>0</v>
      </c>
      <c r="X1810" s="580"/>
      <c r="Y1810" s="583">
        <f>IF(GLOBAL_DER_FEV_2023!W1810=0,0,IF(GLOBAL_DER_FEV_2023!W1810&gt;0,"c","b"))</f>
        <v>0</v>
      </c>
    </row>
    <row r="1811" spans="1:25" ht="15" customHeight="1" x14ac:dyDescent="0.2">
      <c r="A1811" s="317">
        <v>605400</v>
      </c>
      <c r="B1811" s="895" t="s">
        <v>1798</v>
      </c>
      <c r="C1811" s="896" t="s">
        <v>184</v>
      </c>
      <c r="D1811" s="906" t="s">
        <v>342</v>
      </c>
      <c r="E1811" s="907">
        <f>GLOBAL_DER_FEV_2023!E1811</f>
        <v>0</v>
      </c>
      <c r="F1811" s="908">
        <f>GLOBAL_DER_FEV_2023!F1811</f>
        <v>0</v>
      </c>
      <c r="G1811" s="912">
        <f>GLOBAL_DER_FEV_2023!G1811</f>
        <v>254.98858000000001</v>
      </c>
      <c r="H1811" s="901">
        <f>GLOBAL_DER_FEV_2023!H1811</f>
        <v>510.89</v>
      </c>
      <c r="I1811" s="901">
        <f>GLOBAL_DER_FEV_2023!I1811</f>
        <v>765.87858000000006</v>
      </c>
      <c r="J1811" s="902">
        <f>GLOBAL_DER_FEV_2023!J1811</f>
        <v>919.59</v>
      </c>
      <c r="K1811" s="903" t="s">
        <v>10</v>
      </c>
      <c r="L1811" s="1137"/>
      <c r="M1811" s="1138">
        <f t="shared" si="189"/>
        <v>0</v>
      </c>
      <c r="N1811" s="1176">
        <f t="shared" si="188"/>
        <v>0</v>
      </c>
      <c r="O1811" s="905"/>
      <c r="Q1811" s="317" t="str">
        <f t="shared" si="190"/>
        <v/>
      </c>
      <c r="R1811" s="317" t="str">
        <f t="shared" ref="R1811:R1874" si="191">IF(P1811="X","x",IF(P1811="y","x",IF(P1811="xx","x",IF(N1811&gt;0,"x",""))))</f>
        <v/>
      </c>
      <c r="S1811" s="317" t="str">
        <f t="shared" ref="S1811:S1874" si="192">IF(P1811="X","x",IF(N1811&gt;0,"x",""))</f>
        <v/>
      </c>
      <c r="T1811" s="317" t="str">
        <f>GLOBAL_DER_FEV_2023!S1811</f>
        <v/>
      </c>
      <c r="W1811" s="582">
        <v>0</v>
      </c>
      <c r="X1811" s="580"/>
      <c r="Y1811" s="583">
        <f>IF(GLOBAL_DER_FEV_2023!W1811=0,0,IF(GLOBAL_DER_FEV_2023!W1811&gt;0,"c","b"))</f>
        <v>0</v>
      </c>
    </row>
    <row r="1812" spans="1:25" ht="15" customHeight="1" x14ac:dyDescent="0.2">
      <c r="A1812" s="317" t="s">
        <v>147</v>
      </c>
      <c r="B1812" s="895" t="s">
        <v>147</v>
      </c>
      <c r="C1812" s="896"/>
      <c r="D1812" s="906" t="s">
        <v>190</v>
      </c>
      <c r="E1812" s="907">
        <f>GLOBAL_DER_FEV_2023!E1812</f>
        <v>308</v>
      </c>
      <c r="F1812" s="908">
        <f>GLOBAL_DER_FEV_2023!F1812</f>
        <v>0.34399999999999997</v>
      </c>
      <c r="G1812" s="909">
        <f>GLOBAL_DER_FEV_2023!G1812</f>
        <v>85.332639999999998</v>
      </c>
      <c r="H1812" s="901">
        <f>GLOBAL_DER_FEV_2023!H1812</f>
        <v>0</v>
      </c>
      <c r="I1812" s="901">
        <f>GLOBAL_DER_FEV_2023!I1812</f>
        <v>0</v>
      </c>
      <c r="J1812" s="902">
        <f>GLOBAL_DER_FEV_2023!J1812</f>
        <v>0</v>
      </c>
      <c r="K1812" s="903"/>
      <c r="L1812" s="1177"/>
      <c r="M1812" s="1138">
        <f t="shared" si="189"/>
        <v>0</v>
      </c>
      <c r="N1812" s="1176">
        <f t="shared" si="188"/>
        <v>0</v>
      </c>
      <c r="O1812" s="905"/>
      <c r="P1812" s="36" t="str">
        <f>IF(N1811&gt;0,"xx",IF(N1811&gt;0,"xy",""))</f>
        <v/>
      </c>
      <c r="Q1812" s="317" t="str">
        <f t="shared" si="190"/>
        <v/>
      </c>
      <c r="R1812" s="317" t="str">
        <f t="shared" si="191"/>
        <v/>
      </c>
      <c r="S1812" s="317" t="str">
        <f t="shared" si="192"/>
        <v/>
      </c>
      <c r="T1812" s="317" t="str">
        <f>GLOBAL_DER_FEV_2023!S1812</f>
        <v/>
      </c>
      <c r="W1812" s="582">
        <v>0</v>
      </c>
      <c r="X1812" s="580"/>
      <c r="Y1812" s="583">
        <f>IF(GLOBAL_DER_FEV_2023!W1812=0,0,IF(GLOBAL_DER_FEV_2023!W1812&gt;0,"c","b"))</f>
        <v>0</v>
      </c>
    </row>
    <row r="1813" spans="1:25" ht="15" customHeight="1" x14ac:dyDescent="0.2">
      <c r="A1813" s="317" t="s">
        <v>147</v>
      </c>
      <c r="B1813" s="895" t="s">
        <v>147</v>
      </c>
      <c r="C1813" s="896"/>
      <c r="D1813" s="906" t="s">
        <v>229</v>
      </c>
      <c r="E1813" s="907">
        <f>GLOBAL_DER_FEV_2023!E1813</f>
        <v>150</v>
      </c>
      <c r="F1813" s="908">
        <f>GLOBAL_DER_FEV_2023!F1813</f>
        <v>1.02</v>
      </c>
      <c r="G1813" s="949">
        <f>GLOBAL_DER_FEV_2023!G1813</f>
        <v>166.4436</v>
      </c>
      <c r="H1813" s="901">
        <f>GLOBAL_DER_FEV_2023!H1813</f>
        <v>0</v>
      </c>
      <c r="I1813" s="901">
        <f>GLOBAL_DER_FEV_2023!I1813</f>
        <v>0</v>
      </c>
      <c r="J1813" s="902">
        <f>GLOBAL_DER_FEV_2023!J1813</f>
        <v>0</v>
      </c>
      <c r="K1813" s="903"/>
      <c r="L1813" s="1177"/>
      <c r="M1813" s="1138">
        <f t="shared" si="189"/>
        <v>0</v>
      </c>
      <c r="N1813" s="1176">
        <f t="shared" si="188"/>
        <v>0</v>
      </c>
      <c r="O1813" s="905"/>
      <c r="P1813" s="36" t="str">
        <f>IF(N1811&gt;0,"xx",IF(N1811&gt;0,"xy",""))</f>
        <v/>
      </c>
      <c r="Q1813" s="317" t="str">
        <f t="shared" si="190"/>
        <v/>
      </c>
      <c r="R1813" s="317" t="str">
        <f t="shared" si="191"/>
        <v/>
      </c>
      <c r="S1813" s="317" t="str">
        <f t="shared" si="192"/>
        <v/>
      </c>
      <c r="T1813" s="317" t="str">
        <f>GLOBAL_DER_FEV_2023!S1813</f>
        <v/>
      </c>
      <c r="W1813" s="582">
        <v>0</v>
      </c>
      <c r="X1813" s="580"/>
      <c r="Y1813" s="583">
        <f>IF(GLOBAL_DER_FEV_2023!W1813=0,0,IF(GLOBAL_DER_FEV_2023!W1813&gt;0,"c","b"))</f>
        <v>0</v>
      </c>
    </row>
    <row r="1814" spans="1:25" ht="15" customHeight="1" x14ac:dyDescent="0.2">
      <c r="A1814" s="317" t="s">
        <v>147</v>
      </c>
      <c r="B1814" s="895" t="s">
        <v>147</v>
      </c>
      <c r="C1814" s="896"/>
      <c r="D1814" s="906" t="s">
        <v>233</v>
      </c>
      <c r="E1814" s="907">
        <f>GLOBAL_DER_FEV_2023!E1814</f>
        <v>0.2</v>
      </c>
      <c r="F1814" s="908">
        <f>GLOBAL_DER_FEV_2023!F1814</f>
        <v>1.1100000000000001</v>
      </c>
      <c r="G1814" s="949">
        <f>GLOBAL_DER_FEV_2023!G1814</f>
        <v>3.2123400000000006</v>
      </c>
      <c r="H1814" s="901">
        <f>GLOBAL_DER_FEV_2023!H1814</f>
        <v>0</v>
      </c>
      <c r="I1814" s="901">
        <f>GLOBAL_DER_FEV_2023!I1814</f>
        <v>0</v>
      </c>
      <c r="J1814" s="902">
        <f>GLOBAL_DER_FEV_2023!J1814</f>
        <v>0</v>
      </c>
      <c r="K1814" s="903"/>
      <c r="L1814" s="1177"/>
      <c r="M1814" s="1138">
        <f t="shared" si="189"/>
        <v>0</v>
      </c>
      <c r="N1814" s="1176">
        <f t="shared" si="188"/>
        <v>0</v>
      </c>
      <c r="O1814" s="905"/>
      <c r="P1814" s="36" t="str">
        <f>IF(N1811&gt;0,"xx",IF(N1811&gt;0,"xy",""))</f>
        <v/>
      </c>
      <c r="Q1814" s="317" t="str">
        <f t="shared" si="190"/>
        <v/>
      </c>
      <c r="R1814" s="317" t="str">
        <f t="shared" si="191"/>
        <v/>
      </c>
      <c r="S1814" s="317" t="str">
        <f t="shared" si="192"/>
        <v/>
      </c>
      <c r="T1814" s="317" t="str">
        <f>GLOBAL_DER_FEV_2023!S1814</f>
        <v/>
      </c>
      <c r="W1814" s="582">
        <v>0</v>
      </c>
      <c r="X1814" s="580"/>
      <c r="Y1814" s="583">
        <f>IF(GLOBAL_DER_FEV_2023!W1814=0,0,IF(GLOBAL_DER_FEV_2023!W1814&gt;0,"c","b"))</f>
        <v>0</v>
      </c>
    </row>
    <row r="1815" spans="1:25" ht="15" customHeight="1" x14ac:dyDescent="0.2">
      <c r="A1815" s="317">
        <v>605500</v>
      </c>
      <c r="B1815" s="895">
        <v>605500</v>
      </c>
      <c r="C1815" s="896" t="s">
        <v>184</v>
      </c>
      <c r="D1815" s="906" t="s">
        <v>811</v>
      </c>
      <c r="E1815" s="907">
        <f>GLOBAL_DER_FEV_2023!E1815</f>
        <v>0</v>
      </c>
      <c r="F1815" s="908">
        <f>GLOBAL_DER_FEV_2023!F1815</f>
        <v>0</v>
      </c>
      <c r="G1815" s="912">
        <f>GLOBAL_DER_FEV_2023!G1815</f>
        <v>241.41964000000002</v>
      </c>
      <c r="H1815" s="901">
        <f>GLOBAL_DER_FEV_2023!H1815</f>
        <v>532.64</v>
      </c>
      <c r="I1815" s="901">
        <f>GLOBAL_DER_FEV_2023!I1815</f>
        <v>774.05963999999994</v>
      </c>
      <c r="J1815" s="902">
        <f>GLOBAL_DER_FEV_2023!J1815</f>
        <v>929.41</v>
      </c>
      <c r="K1815" s="903" t="s">
        <v>10</v>
      </c>
      <c r="L1815" s="1137"/>
      <c r="M1815" s="1138">
        <f t="shared" si="189"/>
        <v>0</v>
      </c>
      <c r="N1815" s="1176">
        <f t="shared" ref="N1815:N1878" si="193">IF(ISBLANK(L1815),0,IF(W1815=0,ROUND(L1815*M1815,2),IF(W1815="b",ROUNDDOWN(L1815*M1815,2),ROUNDUP(L1815*M1815,2))))</f>
        <v>0</v>
      </c>
      <c r="O1815" s="905"/>
      <c r="Q1815" s="317" t="str">
        <f t="shared" si="190"/>
        <v/>
      </c>
      <c r="R1815" s="317" t="str">
        <f t="shared" si="191"/>
        <v/>
      </c>
      <c r="S1815" s="317" t="str">
        <f t="shared" si="192"/>
        <v/>
      </c>
      <c r="T1815" s="317" t="str">
        <f>GLOBAL_DER_FEV_2023!S1815</f>
        <v/>
      </c>
      <c r="W1815" s="582">
        <v>0</v>
      </c>
      <c r="X1815" s="580"/>
      <c r="Y1815" s="583">
        <f>IF(GLOBAL_DER_FEV_2023!W1815=0,0,IF(GLOBAL_DER_FEV_2023!W1815&gt;0,"c","b"))</f>
        <v>0</v>
      </c>
    </row>
    <row r="1816" spans="1:25" ht="15" customHeight="1" x14ac:dyDescent="0.2">
      <c r="A1816" s="317" t="s">
        <v>147</v>
      </c>
      <c r="B1816" s="895" t="s">
        <v>147</v>
      </c>
      <c r="C1816" s="896"/>
      <c r="D1816" s="906" t="s">
        <v>190</v>
      </c>
      <c r="E1816" s="907">
        <f>GLOBAL_DER_FEV_2023!E1816</f>
        <v>308</v>
      </c>
      <c r="F1816" s="908">
        <f>GLOBAL_DER_FEV_2023!F1816</f>
        <v>0.38600000000000001</v>
      </c>
      <c r="G1816" s="909">
        <f>GLOBAL_DER_FEV_2023!G1816</f>
        <v>95.751159999999999</v>
      </c>
      <c r="H1816" s="901">
        <f>GLOBAL_DER_FEV_2023!H1816</f>
        <v>0</v>
      </c>
      <c r="I1816" s="901">
        <f>GLOBAL_DER_FEV_2023!I1816</f>
        <v>0</v>
      </c>
      <c r="J1816" s="902">
        <f>GLOBAL_DER_FEV_2023!J1816</f>
        <v>0</v>
      </c>
      <c r="K1816" s="903"/>
      <c r="L1816" s="1177"/>
      <c r="M1816" s="1138">
        <f t="shared" si="189"/>
        <v>0</v>
      </c>
      <c r="N1816" s="1176">
        <f t="shared" si="193"/>
        <v>0</v>
      </c>
      <c r="O1816" s="905"/>
      <c r="P1816" s="36" t="str">
        <f>IF(N1815&gt;0,"xx",IF(N1815&gt;0,"xy",""))</f>
        <v/>
      </c>
      <c r="Q1816" s="317" t="str">
        <f t="shared" si="190"/>
        <v/>
      </c>
      <c r="R1816" s="317" t="str">
        <f t="shared" si="191"/>
        <v/>
      </c>
      <c r="S1816" s="317" t="str">
        <f t="shared" si="192"/>
        <v/>
      </c>
      <c r="T1816" s="317" t="str">
        <f>GLOBAL_DER_FEV_2023!S1816</f>
        <v/>
      </c>
      <c r="W1816" s="582">
        <v>0</v>
      </c>
      <c r="X1816" s="580"/>
      <c r="Y1816" s="583">
        <f>IF(GLOBAL_DER_FEV_2023!W1816=0,0,IF(GLOBAL_DER_FEV_2023!W1816&gt;0,"c","b"))</f>
        <v>0</v>
      </c>
    </row>
    <row r="1817" spans="1:25" ht="15" customHeight="1" x14ac:dyDescent="0.2">
      <c r="A1817" s="317" t="s">
        <v>147</v>
      </c>
      <c r="B1817" s="895" t="s">
        <v>147</v>
      </c>
      <c r="C1817" s="896"/>
      <c r="D1817" s="906" t="s">
        <v>229</v>
      </c>
      <c r="E1817" s="907">
        <f>GLOBAL_DER_FEV_2023!E1817</f>
        <v>150</v>
      </c>
      <c r="F1817" s="908">
        <f>GLOBAL_DER_FEV_2023!F1817</f>
        <v>0.873</v>
      </c>
      <c r="G1817" s="949">
        <f>GLOBAL_DER_FEV_2023!G1817</f>
        <v>142.45614</v>
      </c>
      <c r="H1817" s="901">
        <f>GLOBAL_DER_FEV_2023!H1817</f>
        <v>0</v>
      </c>
      <c r="I1817" s="901">
        <f>GLOBAL_DER_FEV_2023!I1817</f>
        <v>0</v>
      </c>
      <c r="J1817" s="902">
        <f>GLOBAL_DER_FEV_2023!J1817</f>
        <v>0</v>
      </c>
      <c r="K1817" s="903"/>
      <c r="L1817" s="1177"/>
      <c r="M1817" s="1138">
        <f t="shared" si="189"/>
        <v>0</v>
      </c>
      <c r="N1817" s="1176">
        <f t="shared" si="193"/>
        <v>0</v>
      </c>
      <c r="O1817" s="905"/>
      <c r="P1817" s="36" t="str">
        <f>IF(N1815&gt;0,"xx",IF(N1815&gt;0,"xy",""))</f>
        <v/>
      </c>
      <c r="Q1817" s="317" t="str">
        <f t="shared" si="190"/>
        <v/>
      </c>
      <c r="R1817" s="317" t="str">
        <f t="shared" si="191"/>
        <v/>
      </c>
      <c r="S1817" s="317" t="str">
        <f t="shared" si="192"/>
        <v/>
      </c>
      <c r="T1817" s="317" t="str">
        <f>GLOBAL_DER_FEV_2023!S1817</f>
        <v/>
      </c>
      <c r="W1817" s="582">
        <v>0</v>
      </c>
      <c r="X1817" s="580"/>
      <c r="Y1817" s="583">
        <f>IF(GLOBAL_DER_FEV_2023!W1817=0,0,IF(GLOBAL_DER_FEV_2023!W1817&gt;0,"c","b"))</f>
        <v>0</v>
      </c>
    </row>
    <row r="1818" spans="1:25" ht="15" customHeight="1" x14ac:dyDescent="0.2">
      <c r="A1818" s="317" t="s">
        <v>147</v>
      </c>
      <c r="B1818" s="895" t="s">
        <v>147</v>
      </c>
      <c r="C1818" s="896"/>
      <c r="D1818" s="906" t="s">
        <v>233</v>
      </c>
      <c r="E1818" s="907">
        <f>GLOBAL_DER_FEV_2023!E1818</f>
        <v>0.2</v>
      </c>
      <c r="F1818" s="908">
        <f>GLOBAL_DER_FEV_2023!F1818</f>
        <v>1.1100000000000001</v>
      </c>
      <c r="G1818" s="949">
        <f>GLOBAL_DER_FEV_2023!G1818</f>
        <v>3.2123400000000006</v>
      </c>
      <c r="H1818" s="901">
        <f>GLOBAL_DER_FEV_2023!H1818</f>
        <v>0</v>
      </c>
      <c r="I1818" s="901">
        <f>GLOBAL_DER_FEV_2023!I1818</f>
        <v>0</v>
      </c>
      <c r="J1818" s="902">
        <f>GLOBAL_DER_FEV_2023!J1818</f>
        <v>0</v>
      </c>
      <c r="K1818" s="903"/>
      <c r="L1818" s="1177"/>
      <c r="M1818" s="1138">
        <f t="shared" si="189"/>
        <v>0</v>
      </c>
      <c r="N1818" s="1176">
        <f t="shared" si="193"/>
        <v>0</v>
      </c>
      <c r="O1818" s="905"/>
      <c r="P1818" s="36" t="str">
        <f>IF(N1815&gt;0,"xx",IF(N1815&gt;0,"xy",""))</f>
        <v/>
      </c>
      <c r="Q1818" s="317" t="str">
        <f t="shared" si="190"/>
        <v/>
      </c>
      <c r="R1818" s="317" t="str">
        <f t="shared" si="191"/>
        <v/>
      </c>
      <c r="S1818" s="317" t="str">
        <f t="shared" si="192"/>
        <v/>
      </c>
      <c r="T1818" s="317" t="str">
        <f>GLOBAL_DER_FEV_2023!S1818</f>
        <v/>
      </c>
      <c r="W1818" s="582">
        <v>0</v>
      </c>
      <c r="X1818" s="580"/>
      <c r="Y1818" s="583">
        <f>IF(GLOBAL_DER_FEV_2023!W1818=0,0,IF(GLOBAL_DER_FEV_2023!W1818&gt;0,"c","b"))</f>
        <v>0</v>
      </c>
    </row>
    <row r="1819" spans="1:25" ht="15" customHeight="1" x14ac:dyDescent="0.2">
      <c r="A1819" s="317">
        <v>605600</v>
      </c>
      <c r="B1819" s="895">
        <v>605600</v>
      </c>
      <c r="C1819" s="896" t="s">
        <v>184</v>
      </c>
      <c r="D1819" s="906" t="s">
        <v>812</v>
      </c>
      <c r="E1819" s="907">
        <f>GLOBAL_DER_FEV_2023!E1819</f>
        <v>0</v>
      </c>
      <c r="F1819" s="908">
        <f>GLOBAL_DER_FEV_2023!F1819</f>
        <v>0</v>
      </c>
      <c r="G1819" s="912">
        <f>GLOBAL_DER_FEV_2023!G1819</f>
        <v>241.98814000000002</v>
      </c>
      <c r="H1819" s="901">
        <f>GLOBAL_DER_FEV_2023!H1819</f>
        <v>544.65</v>
      </c>
      <c r="I1819" s="901">
        <f>GLOBAL_DER_FEV_2023!I1819</f>
        <v>786.63814000000002</v>
      </c>
      <c r="J1819" s="902">
        <f>GLOBAL_DER_FEV_2023!J1819</f>
        <v>944.52</v>
      </c>
      <c r="K1819" s="903" t="s">
        <v>10</v>
      </c>
      <c r="L1819" s="1137"/>
      <c r="M1819" s="1138">
        <f t="shared" si="189"/>
        <v>0</v>
      </c>
      <c r="N1819" s="1176">
        <f t="shared" si="193"/>
        <v>0</v>
      </c>
      <c r="O1819" s="905"/>
      <c r="Q1819" s="317" t="str">
        <f t="shared" si="190"/>
        <v/>
      </c>
      <c r="R1819" s="317" t="str">
        <f t="shared" si="191"/>
        <v/>
      </c>
      <c r="S1819" s="317" t="str">
        <f t="shared" si="192"/>
        <v/>
      </c>
      <c r="T1819" s="317" t="str">
        <f>GLOBAL_DER_FEV_2023!S1819</f>
        <v/>
      </c>
      <c r="W1819" s="582">
        <v>0</v>
      </c>
      <c r="X1819" s="580"/>
      <c r="Y1819" s="583">
        <f>IF(GLOBAL_DER_FEV_2023!W1819=0,0,IF(GLOBAL_DER_FEV_2023!W1819&gt;0,"c","b"))</f>
        <v>0</v>
      </c>
    </row>
    <row r="1820" spans="1:25" ht="15" customHeight="1" x14ac:dyDescent="0.2">
      <c r="A1820" s="317" t="s">
        <v>147</v>
      </c>
      <c r="B1820" s="895" t="s">
        <v>147</v>
      </c>
      <c r="C1820" s="896"/>
      <c r="D1820" s="906" t="s">
        <v>190</v>
      </c>
      <c r="E1820" s="907">
        <f>GLOBAL_DER_FEV_2023!E1820</f>
        <v>308</v>
      </c>
      <c r="F1820" s="908">
        <f>GLOBAL_DER_FEV_2023!F1820</f>
        <v>0.41</v>
      </c>
      <c r="G1820" s="909">
        <f>GLOBAL_DER_FEV_2023!G1820</f>
        <v>101.7046</v>
      </c>
      <c r="H1820" s="901">
        <f>GLOBAL_DER_FEV_2023!H1820</f>
        <v>0</v>
      </c>
      <c r="I1820" s="901">
        <f>GLOBAL_DER_FEV_2023!I1820</f>
        <v>0</v>
      </c>
      <c r="J1820" s="902">
        <f>GLOBAL_DER_FEV_2023!J1820</f>
        <v>0</v>
      </c>
      <c r="K1820" s="903"/>
      <c r="L1820" s="1177"/>
      <c r="M1820" s="1138">
        <f t="shared" si="189"/>
        <v>0</v>
      </c>
      <c r="N1820" s="1176">
        <f t="shared" si="193"/>
        <v>0</v>
      </c>
      <c r="O1820" s="905"/>
      <c r="P1820" s="36" t="str">
        <f>IF(N1819&gt;0,"xx",IF(N1819&gt;0,"xy",""))</f>
        <v/>
      </c>
      <c r="Q1820" s="317" t="str">
        <f t="shared" si="190"/>
        <v/>
      </c>
      <c r="R1820" s="317" t="str">
        <f t="shared" si="191"/>
        <v/>
      </c>
      <c r="S1820" s="317" t="str">
        <f t="shared" si="192"/>
        <v/>
      </c>
      <c r="T1820" s="317" t="str">
        <f>GLOBAL_DER_FEV_2023!S1820</f>
        <v/>
      </c>
      <c r="W1820" s="582">
        <v>0</v>
      </c>
      <c r="X1820" s="580"/>
      <c r="Y1820" s="583">
        <f>IF(GLOBAL_DER_FEV_2023!W1820=0,0,IF(GLOBAL_DER_FEV_2023!W1820&gt;0,"c","b"))</f>
        <v>0</v>
      </c>
    </row>
    <row r="1821" spans="1:25" ht="15" customHeight="1" x14ac:dyDescent="0.2">
      <c r="A1821" s="317" t="s">
        <v>147</v>
      </c>
      <c r="B1821" s="895" t="s">
        <v>147</v>
      </c>
      <c r="C1821" s="896"/>
      <c r="D1821" s="906" t="s">
        <v>229</v>
      </c>
      <c r="E1821" s="907">
        <f>GLOBAL_DER_FEV_2023!E1821</f>
        <v>150</v>
      </c>
      <c r="F1821" s="908">
        <f>GLOBAL_DER_FEV_2023!F1821</f>
        <v>0.84</v>
      </c>
      <c r="G1821" s="949">
        <f>GLOBAL_DER_FEV_2023!G1821</f>
        <v>137.0712</v>
      </c>
      <c r="H1821" s="901">
        <f>GLOBAL_DER_FEV_2023!H1821</f>
        <v>0</v>
      </c>
      <c r="I1821" s="901">
        <f>GLOBAL_DER_FEV_2023!I1821</f>
        <v>0</v>
      </c>
      <c r="J1821" s="902">
        <f>GLOBAL_DER_FEV_2023!J1821</f>
        <v>0</v>
      </c>
      <c r="K1821" s="903"/>
      <c r="L1821" s="1177"/>
      <c r="M1821" s="1138">
        <f t="shared" si="189"/>
        <v>0</v>
      </c>
      <c r="N1821" s="1176">
        <f t="shared" si="193"/>
        <v>0</v>
      </c>
      <c r="O1821" s="905"/>
      <c r="P1821" s="36" t="str">
        <f>IF(N1819&gt;0,"xx",IF(N1819&gt;0,"xy",""))</f>
        <v/>
      </c>
      <c r="Q1821" s="317" t="str">
        <f t="shared" si="190"/>
        <v/>
      </c>
      <c r="R1821" s="317" t="str">
        <f t="shared" si="191"/>
        <v/>
      </c>
      <c r="S1821" s="317" t="str">
        <f t="shared" si="192"/>
        <v/>
      </c>
      <c r="T1821" s="317" t="str">
        <f>GLOBAL_DER_FEV_2023!S1821</f>
        <v/>
      </c>
      <c r="W1821" s="582">
        <v>0</v>
      </c>
      <c r="X1821" s="580"/>
      <c r="Y1821" s="583">
        <f>IF(GLOBAL_DER_FEV_2023!W1821=0,0,IF(GLOBAL_DER_FEV_2023!W1821&gt;0,"c","b"))</f>
        <v>0</v>
      </c>
    </row>
    <row r="1822" spans="1:25" ht="15" customHeight="1" x14ac:dyDescent="0.2">
      <c r="A1822" s="317" t="s">
        <v>147</v>
      </c>
      <c r="B1822" s="895" t="s">
        <v>147</v>
      </c>
      <c r="C1822" s="896"/>
      <c r="D1822" s="906" t="s">
        <v>233</v>
      </c>
      <c r="E1822" s="907">
        <f>GLOBAL_DER_FEV_2023!E1822</f>
        <v>0.2</v>
      </c>
      <c r="F1822" s="908">
        <f>GLOBAL_DER_FEV_2023!F1822</f>
        <v>1.1100000000000001</v>
      </c>
      <c r="G1822" s="949">
        <f>GLOBAL_DER_FEV_2023!G1822</f>
        <v>3.2123400000000006</v>
      </c>
      <c r="H1822" s="901">
        <f>GLOBAL_DER_FEV_2023!H1822</f>
        <v>0</v>
      </c>
      <c r="I1822" s="901">
        <f>GLOBAL_DER_FEV_2023!I1822</f>
        <v>0</v>
      </c>
      <c r="J1822" s="902">
        <f>GLOBAL_DER_FEV_2023!J1822</f>
        <v>0</v>
      </c>
      <c r="K1822" s="903"/>
      <c r="L1822" s="1177"/>
      <c r="M1822" s="1138">
        <f t="shared" si="189"/>
        <v>0</v>
      </c>
      <c r="N1822" s="1176">
        <f t="shared" si="193"/>
        <v>0</v>
      </c>
      <c r="O1822" s="905"/>
      <c r="P1822" s="36" t="str">
        <f>IF(N1819&gt;0,"xx",IF(N1819&gt;0,"xy",""))</f>
        <v/>
      </c>
      <c r="Q1822" s="317" t="str">
        <f t="shared" si="190"/>
        <v/>
      </c>
      <c r="R1822" s="317" t="str">
        <f t="shared" si="191"/>
        <v/>
      </c>
      <c r="S1822" s="317" t="str">
        <f t="shared" si="192"/>
        <v/>
      </c>
      <c r="T1822" s="317" t="str">
        <f>GLOBAL_DER_FEV_2023!S1822</f>
        <v/>
      </c>
      <c r="W1822" s="582">
        <v>0</v>
      </c>
      <c r="X1822" s="580"/>
      <c r="Y1822" s="583">
        <f>IF(GLOBAL_DER_FEV_2023!W1822=0,0,IF(GLOBAL_DER_FEV_2023!W1822&gt;0,"c","b"))</f>
        <v>0</v>
      </c>
    </row>
    <row r="1823" spans="1:25" ht="15" customHeight="1" x14ac:dyDescent="0.2">
      <c r="A1823" s="317">
        <v>605700</v>
      </c>
      <c r="B1823" s="895">
        <v>605700</v>
      </c>
      <c r="C1823" s="896" t="s">
        <v>184</v>
      </c>
      <c r="D1823" s="906" t="s">
        <v>813</v>
      </c>
      <c r="E1823" s="907">
        <f>GLOBAL_DER_FEV_2023!E1823</f>
        <v>0</v>
      </c>
      <c r="F1823" s="908">
        <f>GLOBAL_DER_FEV_2023!F1823</f>
        <v>0</v>
      </c>
      <c r="G1823" s="912">
        <f>GLOBAL_DER_FEV_2023!G1823</f>
        <v>244.50164000000004</v>
      </c>
      <c r="H1823" s="901">
        <f>GLOBAL_DER_FEV_2023!H1823</f>
        <v>555.25</v>
      </c>
      <c r="I1823" s="901">
        <f>GLOBAL_DER_FEV_2023!I1823</f>
        <v>799.75164000000007</v>
      </c>
      <c r="J1823" s="902">
        <f>GLOBAL_DER_FEV_2023!J1823</f>
        <v>960.26</v>
      </c>
      <c r="K1823" s="903" t="s">
        <v>10</v>
      </c>
      <c r="L1823" s="1137"/>
      <c r="M1823" s="1138">
        <f t="shared" si="189"/>
        <v>0</v>
      </c>
      <c r="N1823" s="1176">
        <f t="shared" si="193"/>
        <v>0</v>
      </c>
      <c r="O1823" s="905"/>
      <c r="Q1823" s="317" t="str">
        <f t="shared" si="190"/>
        <v/>
      </c>
      <c r="R1823" s="317" t="str">
        <f t="shared" si="191"/>
        <v/>
      </c>
      <c r="S1823" s="317" t="str">
        <f t="shared" si="192"/>
        <v/>
      </c>
      <c r="T1823" s="317" t="str">
        <f>GLOBAL_DER_FEV_2023!S1823</f>
        <v/>
      </c>
      <c r="W1823" s="582">
        <v>0</v>
      </c>
      <c r="X1823" s="580"/>
      <c r="Y1823" s="583">
        <f>IF(GLOBAL_DER_FEV_2023!W1823=0,0,IF(GLOBAL_DER_FEV_2023!W1823&gt;0,"c","b"))</f>
        <v>0</v>
      </c>
    </row>
    <row r="1824" spans="1:25" ht="15" customHeight="1" x14ac:dyDescent="0.2">
      <c r="A1824" s="317" t="s">
        <v>147</v>
      </c>
      <c r="B1824" s="895" t="s">
        <v>147</v>
      </c>
      <c r="C1824" s="896"/>
      <c r="D1824" s="906" t="s">
        <v>190</v>
      </c>
      <c r="E1824" s="907">
        <f>GLOBAL_DER_FEV_2023!E1824</f>
        <v>308</v>
      </c>
      <c r="F1824" s="908">
        <f>GLOBAL_DER_FEV_2023!F1824</f>
        <v>0.43</v>
      </c>
      <c r="G1824" s="909">
        <f>GLOBAL_DER_FEV_2023!G1824</f>
        <v>106.6658</v>
      </c>
      <c r="H1824" s="901">
        <f>GLOBAL_DER_FEV_2023!H1824</f>
        <v>0</v>
      </c>
      <c r="I1824" s="901">
        <f>GLOBAL_DER_FEV_2023!I1824</f>
        <v>0</v>
      </c>
      <c r="J1824" s="902">
        <f>GLOBAL_DER_FEV_2023!J1824</f>
        <v>0</v>
      </c>
      <c r="K1824" s="903"/>
      <c r="L1824" s="1177"/>
      <c r="M1824" s="1138">
        <f t="shared" si="189"/>
        <v>0</v>
      </c>
      <c r="N1824" s="1176">
        <f t="shared" si="193"/>
        <v>0</v>
      </c>
      <c r="O1824" s="905"/>
      <c r="P1824" s="36" t="str">
        <f>IF(N1823&gt;0,"xx",IF(N1823&gt;0,"xy",""))</f>
        <v/>
      </c>
      <c r="Q1824" s="317" t="str">
        <f t="shared" si="190"/>
        <v/>
      </c>
      <c r="R1824" s="317" t="str">
        <f t="shared" si="191"/>
        <v/>
      </c>
      <c r="S1824" s="317" t="str">
        <f t="shared" si="192"/>
        <v/>
      </c>
      <c r="T1824" s="317" t="str">
        <f>GLOBAL_DER_FEV_2023!S1824</f>
        <v/>
      </c>
      <c r="W1824" s="582">
        <v>0</v>
      </c>
      <c r="X1824" s="580"/>
      <c r="Y1824" s="583">
        <f>IF(GLOBAL_DER_FEV_2023!W1824=0,0,IF(GLOBAL_DER_FEV_2023!W1824&gt;0,"c","b"))</f>
        <v>0</v>
      </c>
    </row>
    <row r="1825" spans="1:25" ht="15" customHeight="1" x14ac:dyDescent="0.2">
      <c r="A1825" s="317" t="s">
        <v>147</v>
      </c>
      <c r="B1825" s="895" t="s">
        <v>147</v>
      </c>
      <c r="C1825" s="896"/>
      <c r="D1825" s="906" t="s">
        <v>229</v>
      </c>
      <c r="E1825" s="907">
        <f>GLOBAL_DER_FEV_2023!E1825</f>
        <v>150</v>
      </c>
      <c r="F1825" s="908">
        <f>GLOBAL_DER_FEV_2023!F1825</f>
        <v>0.82499999999999996</v>
      </c>
      <c r="G1825" s="949">
        <f>GLOBAL_DER_FEV_2023!G1825</f>
        <v>134.62350000000001</v>
      </c>
      <c r="H1825" s="901">
        <f>GLOBAL_DER_FEV_2023!H1825</f>
        <v>0</v>
      </c>
      <c r="I1825" s="901">
        <f>GLOBAL_DER_FEV_2023!I1825</f>
        <v>0</v>
      </c>
      <c r="J1825" s="902">
        <f>GLOBAL_DER_FEV_2023!J1825</f>
        <v>0</v>
      </c>
      <c r="K1825" s="903"/>
      <c r="L1825" s="1177"/>
      <c r="M1825" s="1138">
        <f t="shared" si="189"/>
        <v>0</v>
      </c>
      <c r="N1825" s="1176">
        <f t="shared" si="193"/>
        <v>0</v>
      </c>
      <c r="O1825" s="905"/>
      <c r="P1825" s="36" t="str">
        <f>IF(N1823&gt;0,"xx",IF(N1823&gt;0,"xy",""))</f>
        <v/>
      </c>
      <c r="Q1825" s="317" t="str">
        <f t="shared" si="190"/>
        <v/>
      </c>
      <c r="R1825" s="317" t="str">
        <f t="shared" si="191"/>
        <v/>
      </c>
      <c r="S1825" s="317" t="str">
        <f t="shared" si="192"/>
        <v/>
      </c>
      <c r="T1825" s="317" t="str">
        <f>GLOBAL_DER_FEV_2023!S1825</f>
        <v/>
      </c>
      <c r="W1825" s="582">
        <v>0</v>
      </c>
      <c r="X1825" s="580"/>
      <c r="Y1825" s="583">
        <f>IF(GLOBAL_DER_FEV_2023!W1825=0,0,IF(GLOBAL_DER_FEV_2023!W1825&gt;0,"c","b"))</f>
        <v>0</v>
      </c>
    </row>
    <row r="1826" spans="1:25" ht="15" customHeight="1" x14ac:dyDescent="0.2">
      <c r="A1826" s="317" t="s">
        <v>147</v>
      </c>
      <c r="B1826" s="895" t="s">
        <v>147</v>
      </c>
      <c r="C1826" s="896"/>
      <c r="D1826" s="906" t="s">
        <v>233</v>
      </c>
      <c r="E1826" s="907">
        <f>GLOBAL_DER_FEV_2023!E1826</f>
        <v>0.2</v>
      </c>
      <c r="F1826" s="908">
        <f>GLOBAL_DER_FEV_2023!F1826</f>
        <v>1.1100000000000001</v>
      </c>
      <c r="G1826" s="949">
        <f>GLOBAL_DER_FEV_2023!G1826</f>
        <v>3.2123400000000006</v>
      </c>
      <c r="H1826" s="901">
        <f>GLOBAL_DER_FEV_2023!H1826</f>
        <v>0</v>
      </c>
      <c r="I1826" s="901">
        <f>GLOBAL_DER_FEV_2023!I1826</f>
        <v>0</v>
      </c>
      <c r="J1826" s="902">
        <f>GLOBAL_DER_FEV_2023!J1826</f>
        <v>0</v>
      </c>
      <c r="K1826" s="903"/>
      <c r="L1826" s="1177"/>
      <c r="M1826" s="1138">
        <f t="shared" si="189"/>
        <v>0</v>
      </c>
      <c r="N1826" s="1176">
        <f t="shared" si="193"/>
        <v>0</v>
      </c>
      <c r="O1826" s="905"/>
      <c r="P1826" s="36" t="str">
        <f>IF(N1823&gt;0,"xx",IF(N1823&gt;0,"xy",""))</f>
        <v/>
      </c>
      <c r="Q1826" s="317" t="str">
        <f t="shared" si="190"/>
        <v/>
      </c>
      <c r="R1826" s="317" t="str">
        <f t="shared" si="191"/>
        <v/>
      </c>
      <c r="S1826" s="317" t="str">
        <f t="shared" si="192"/>
        <v/>
      </c>
      <c r="T1826" s="317" t="str">
        <f>GLOBAL_DER_FEV_2023!S1826</f>
        <v/>
      </c>
      <c r="W1826" s="582">
        <v>0</v>
      </c>
      <c r="X1826" s="580"/>
      <c r="Y1826" s="583">
        <f>IF(GLOBAL_DER_FEV_2023!W1826=0,0,IF(GLOBAL_DER_FEV_2023!W1826&gt;0,"c","b"))</f>
        <v>0</v>
      </c>
    </row>
    <row r="1827" spans="1:25" ht="15" customHeight="1" x14ac:dyDescent="0.2">
      <c r="A1827" s="317">
        <v>605800</v>
      </c>
      <c r="B1827" s="895">
        <v>605800</v>
      </c>
      <c r="C1827" s="896" t="s">
        <v>184</v>
      </c>
      <c r="D1827" s="906" t="s">
        <v>814</v>
      </c>
      <c r="E1827" s="907">
        <f>GLOBAL_DER_FEV_2023!E1827</f>
        <v>0</v>
      </c>
      <c r="F1827" s="908">
        <f>GLOBAL_DER_FEV_2023!F1827</f>
        <v>0</v>
      </c>
      <c r="G1827" s="912">
        <f>GLOBAL_DER_FEV_2023!G1827</f>
        <v>245.74194000000003</v>
      </c>
      <c r="H1827" s="901">
        <f>GLOBAL_DER_FEV_2023!H1827</f>
        <v>558.08000000000004</v>
      </c>
      <c r="I1827" s="901">
        <f>GLOBAL_DER_FEV_2023!I1827</f>
        <v>803.82194000000004</v>
      </c>
      <c r="J1827" s="902">
        <f>GLOBAL_DER_FEV_2023!J1827</f>
        <v>965.15</v>
      </c>
      <c r="K1827" s="903" t="s">
        <v>10</v>
      </c>
      <c r="L1827" s="1137"/>
      <c r="M1827" s="1138">
        <f t="shared" si="189"/>
        <v>0</v>
      </c>
      <c r="N1827" s="1176">
        <f t="shared" si="193"/>
        <v>0</v>
      </c>
      <c r="O1827" s="905"/>
      <c r="Q1827" s="317" t="str">
        <f t="shared" si="190"/>
        <v/>
      </c>
      <c r="R1827" s="317" t="str">
        <f t="shared" si="191"/>
        <v/>
      </c>
      <c r="S1827" s="317" t="str">
        <f t="shared" si="192"/>
        <v/>
      </c>
      <c r="T1827" s="317" t="str">
        <f>GLOBAL_DER_FEV_2023!S1827</f>
        <v/>
      </c>
      <c r="W1827" s="582">
        <v>0</v>
      </c>
      <c r="X1827" s="580"/>
      <c r="Y1827" s="583">
        <f>IF(GLOBAL_DER_FEV_2023!W1827=0,0,IF(GLOBAL_DER_FEV_2023!W1827&gt;0,"c","b"))</f>
        <v>0</v>
      </c>
    </row>
    <row r="1828" spans="1:25" ht="15" customHeight="1" x14ac:dyDescent="0.2">
      <c r="A1828" s="317" t="s">
        <v>147</v>
      </c>
      <c r="B1828" s="895" t="s">
        <v>147</v>
      </c>
      <c r="C1828" s="896"/>
      <c r="D1828" s="906" t="s">
        <v>190</v>
      </c>
      <c r="E1828" s="907">
        <f>GLOBAL_DER_FEV_2023!E1828</f>
        <v>308</v>
      </c>
      <c r="F1828" s="908">
        <f>GLOBAL_DER_FEV_2023!F1828</f>
        <v>0.435</v>
      </c>
      <c r="G1828" s="909">
        <f>GLOBAL_DER_FEV_2023!G1828</f>
        <v>107.9061</v>
      </c>
      <c r="H1828" s="901">
        <f>GLOBAL_DER_FEV_2023!H1828</f>
        <v>0</v>
      </c>
      <c r="I1828" s="901">
        <f>GLOBAL_DER_FEV_2023!I1828</f>
        <v>0</v>
      </c>
      <c r="J1828" s="902">
        <f>GLOBAL_DER_FEV_2023!J1828</f>
        <v>0</v>
      </c>
      <c r="K1828" s="903"/>
      <c r="L1828" s="1177"/>
      <c r="M1828" s="1138">
        <f t="shared" si="189"/>
        <v>0</v>
      </c>
      <c r="N1828" s="1176">
        <f t="shared" si="193"/>
        <v>0</v>
      </c>
      <c r="O1828" s="905"/>
      <c r="P1828" s="36" t="str">
        <f>IF(N1827&gt;0,"xx",IF(N1827&gt;0,"xy",""))</f>
        <v/>
      </c>
      <c r="Q1828" s="317" t="str">
        <f t="shared" si="190"/>
        <v/>
      </c>
      <c r="R1828" s="317" t="str">
        <f t="shared" si="191"/>
        <v/>
      </c>
      <c r="S1828" s="317" t="str">
        <f t="shared" si="192"/>
        <v/>
      </c>
      <c r="T1828" s="317" t="str">
        <f>GLOBAL_DER_FEV_2023!S1828</f>
        <v/>
      </c>
      <c r="W1828" s="582">
        <v>0</v>
      </c>
      <c r="X1828" s="580"/>
      <c r="Y1828" s="583">
        <f>IF(GLOBAL_DER_FEV_2023!W1828=0,0,IF(GLOBAL_DER_FEV_2023!W1828&gt;0,"c","b"))</f>
        <v>0</v>
      </c>
    </row>
    <row r="1829" spans="1:25" ht="15" customHeight="1" x14ac:dyDescent="0.2">
      <c r="A1829" s="317" t="s">
        <v>147</v>
      </c>
      <c r="B1829" s="895" t="s">
        <v>147</v>
      </c>
      <c r="C1829" s="896"/>
      <c r="D1829" s="906" t="s">
        <v>229</v>
      </c>
      <c r="E1829" s="907">
        <f>GLOBAL_DER_FEV_2023!E1829</f>
        <v>150</v>
      </c>
      <c r="F1829" s="908">
        <f>GLOBAL_DER_FEV_2023!F1829</f>
        <v>0.82499999999999996</v>
      </c>
      <c r="G1829" s="949">
        <f>GLOBAL_DER_FEV_2023!G1829</f>
        <v>134.62350000000001</v>
      </c>
      <c r="H1829" s="901">
        <f>GLOBAL_DER_FEV_2023!H1829</f>
        <v>0</v>
      </c>
      <c r="I1829" s="901">
        <f>GLOBAL_DER_FEV_2023!I1829</f>
        <v>0</v>
      </c>
      <c r="J1829" s="902">
        <f>GLOBAL_DER_FEV_2023!J1829</f>
        <v>0</v>
      </c>
      <c r="K1829" s="903"/>
      <c r="L1829" s="1177"/>
      <c r="M1829" s="1138">
        <f t="shared" si="189"/>
        <v>0</v>
      </c>
      <c r="N1829" s="1176">
        <f t="shared" si="193"/>
        <v>0</v>
      </c>
      <c r="O1829" s="905"/>
      <c r="P1829" s="36" t="str">
        <f>IF(N1827&gt;0,"xx",IF(N1827&gt;0,"xy",""))</f>
        <v/>
      </c>
      <c r="Q1829" s="317" t="str">
        <f t="shared" si="190"/>
        <v/>
      </c>
      <c r="R1829" s="317" t="str">
        <f t="shared" si="191"/>
        <v/>
      </c>
      <c r="S1829" s="317" t="str">
        <f t="shared" si="192"/>
        <v/>
      </c>
      <c r="T1829" s="317" t="str">
        <f>GLOBAL_DER_FEV_2023!S1829</f>
        <v/>
      </c>
      <c r="W1829" s="582">
        <v>0</v>
      </c>
      <c r="X1829" s="580"/>
      <c r="Y1829" s="583">
        <f>IF(GLOBAL_DER_FEV_2023!W1829=0,0,IF(GLOBAL_DER_FEV_2023!W1829&gt;0,"c","b"))</f>
        <v>0</v>
      </c>
    </row>
    <row r="1830" spans="1:25" ht="15" customHeight="1" x14ac:dyDescent="0.2">
      <c r="A1830" s="317" t="s">
        <v>147</v>
      </c>
      <c r="B1830" s="895" t="s">
        <v>147</v>
      </c>
      <c r="C1830" s="896"/>
      <c r="D1830" s="906" t="s">
        <v>233</v>
      </c>
      <c r="E1830" s="907">
        <f>GLOBAL_DER_FEV_2023!E1830</f>
        <v>0.2</v>
      </c>
      <c r="F1830" s="908">
        <f>GLOBAL_DER_FEV_2023!F1830</f>
        <v>1.1100000000000001</v>
      </c>
      <c r="G1830" s="949">
        <f>GLOBAL_DER_FEV_2023!G1830</f>
        <v>3.2123400000000006</v>
      </c>
      <c r="H1830" s="901">
        <f>GLOBAL_DER_FEV_2023!H1830</f>
        <v>0</v>
      </c>
      <c r="I1830" s="901">
        <f>GLOBAL_DER_FEV_2023!I1830</f>
        <v>0</v>
      </c>
      <c r="J1830" s="902">
        <f>GLOBAL_DER_FEV_2023!J1830</f>
        <v>0</v>
      </c>
      <c r="K1830" s="903"/>
      <c r="L1830" s="1177"/>
      <c r="M1830" s="1138">
        <f t="shared" si="189"/>
        <v>0</v>
      </c>
      <c r="N1830" s="1176">
        <f t="shared" si="193"/>
        <v>0</v>
      </c>
      <c r="O1830" s="905"/>
      <c r="P1830" s="36" t="str">
        <f>IF(N1827&gt;0,"xx",IF(N1827&gt;0,"xy",""))</f>
        <v/>
      </c>
      <c r="Q1830" s="317" t="str">
        <f t="shared" si="190"/>
        <v/>
      </c>
      <c r="R1830" s="317" t="str">
        <f t="shared" si="191"/>
        <v/>
      </c>
      <c r="S1830" s="317" t="str">
        <f t="shared" si="192"/>
        <v/>
      </c>
      <c r="T1830" s="317" t="str">
        <f>GLOBAL_DER_FEV_2023!S1830</f>
        <v/>
      </c>
      <c r="W1830" s="582">
        <v>0</v>
      </c>
      <c r="X1830" s="580"/>
      <c r="Y1830" s="583">
        <f>IF(GLOBAL_DER_FEV_2023!W1830=0,0,IF(GLOBAL_DER_FEV_2023!W1830&gt;0,"c","b"))</f>
        <v>0</v>
      </c>
    </row>
    <row r="1831" spans="1:25" ht="15" customHeight="1" x14ac:dyDescent="0.2">
      <c r="A1831" s="317">
        <v>605900</v>
      </c>
      <c r="B1831" s="895">
        <v>605900</v>
      </c>
      <c r="C1831" s="896" t="s">
        <v>184</v>
      </c>
      <c r="D1831" s="906" t="s">
        <v>815</v>
      </c>
      <c r="E1831" s="907">
        <f>GLOBAL_DER_FEV_2023!E1831</f>
        <v>0</v>
      </c>
      <c r="F1831" s="908">
        <f>GLOBAL_DER_FEV_2023!F1831</f>
        <v>0</v>
      </c>
      <c r="G1831" s="912">
        <f>GLOBAL_DER_FEV_2023!G1831</f>
        <v>249.56154000000001</v>
      </c>
      <c r="H1831" s="901">
        <f>GLOBAL_DER_FEV_2023!H1831</f>
        <v>581.4</v>
      </c>
      <c r="I1831" s="901">
        <f>GLOBAL_DER_FEV_2023!I1831</f>
        <v>830.96154000000001</v>
      </c>
      <c r="J1831" s="902">
        <f>GLOBAL_DER_FEV_2023!J1831</f>
        <v>997.74</v>
      </c>
      <c r="K1831" s="903" t="s">
        <v>10</v>
      </c>
      <c r="L1831" s="1137"/>
      <c r="M1831" s="1138">
        <f t="shared" si="189"/>
        <v>0</v>
      </c>
      <c r="N1831" s="1176">
        <f t="shared" si="193"/>
        <v>0</v>
      </c>
      <c r="O1831" s="905"/>
      <c r="Q1831" s="317" t="str">
        <f t="shared" si="190"/>
        <v/>
      </c>
      <c r="R1831" s="317" t="str">
        <f t="shared" si="191"/>
        <v/>
      </c>
      <c r="S1831" s="317" t="str">
        <f t="shared" si="192"/>
        <v/>
      </c>
      <c r="T1831" s="317" t="str">
        <f>GLOBAL_DER_FEV_2023!S1831</f>
        <v/>
      </c>
      <c r="W1831" s="582">
        <v>0</v>
      </c>
      <c r="X1831" s="580"/>
      <c r="Y1831" s="583">
        <f>IF(GLOBAL_DER_FEV_2023!W1831=0,0,IF(GLOBAL_DER_FEV_2023!W1831&gt;0,"c","b"))</f>
        <v>0</v>
      </c>
    </row>
    <row r="1832" spans="1:25" ht="15" customHeight="1" x14ac:dyDescent="0.2">
      <c r="A1832" s="317" t="s">
        <v>147</v>
      </c>
      <c r="B1832" s="895" t="s">
        <v>147</v>
      </c>
      <c r="C1832" s="896"/>
      <c r="D1832" s="906" t="s">
        <v>190</v>
      </c>
      <c r="E1832" s="907">
        <f>GLOBAL_DER_FEV_2023!E1832</f>
        <v>308</v>
      </c>
      <c r="F1832" s="908">
        <f>GLOBAL_DER_FEV_2023!F1832</f>
        <v>0.48</v>
      </c>
      <c r="G1832" s="909">
        <f>GLOBAL_DER_FEV_2023!G1832</f>
        <v>119.0688</v>
      </c>
      <c r="H1832" s="901">
        <f>GLOBAL_DER_FEV_2023!H1832</f>
        <v>0</v>
      </c>
      <c r="I1832" s="901">
        <f>GLOBAL_DER_FEV_2023!I1832</f>
        <v>0</v>
      </c>
      <c r="J1832" s="902">
        <f>GLOBAL_DER_FEV_2023!J1832</f>
        <v>0</v>
      </c>
      <c r="K1832" s="903"/>
      <c r="L1832" s="1177"/>
      <c r="M1832" s="1138">
        <f t="shared" si="189"/>
        <v>0</v>
      </c>
      <c r="N1832" s="1176">
        <f t="shared" si="193"/>
        <v>0</v>
      </c>
      <c r="O1832" s="905"/>
      <c r="P1832" s="36" t="str">
        <f>IF(N1831&gt;0,"xx",IF(N1831&gt;0,"xy",""))</f>
        <v/>
      </c>
      <c r="Q1832" s="317" t="str">
        <f t="shared" si="190"/>
        <v/>
      </c>
      <c r="R1832" s="317" t="str">
        <f t="shared" si="191"/>
        <v/>
      </c>
      <c r="S1832" s="317" t="str">
        <f t="shared" si="192"/>
        <v/>
      </c>
      <c r="T1832" s="317" t="str">
        <f>GLOBAL_DER_FEV_2023!S1832</f>
        <v/>
      </c>
      <c r="W1832" s="582">
        <v>0</v>
      </c>
      <c r="X1832" s="580"/>
      <c r="Y1832" s="583">
        <f>IF(GLOBAL_DER_FEV_2023!W1832=0,0,IF(GLOBAL_DER_FEV_2023!W1832&gt;0,"c","b"))</f>
        <v>0</v>
      </c>
    </row>
    <row r="1833" spans="1:25" ht="15" customHeight="1" x14ac:dyDescent="0.2">
      <c r="A1833" s="317" t="s">
        <v>147</v>
      </c>
      <c r="B1833" s="895" t="s">
        <v>147</v>
      </c>
      <c r="C1833" s="896"/>
      <c r="D1833" s="906" t="s">
        <v>229</v>
      </c>
      <c r="E1833" s="907">
        <f>GLOBAL_DER_FEV_2023!E1833</f>
        <v>150</v>
      </c>
      <c r="F1833" s="908">
        <f>GLOBAL_DER_FEV_2023!F1833</f>
        <v>0.78</v>
      </c>
      <c r="G1833" s="949">
        <f>GLOBAL_DER_FEV_2023!G1833</f>
        <v>127.28040000000001</v>
      </c>
      <c r="H1833" s="901">
        <f>GLOBAL_DER_FEV_2023!H1833</f>
        <v>0</v>
      </c>
      <c r="I1833" s="901">
        <f>GLOBAL_DER_FEV_2023!I1833</f>
        <v>0</v>
      </c>
      <c r="J1833" s="902">
        <f>GLOBAL_DER_FEV_2023!J1833</f>
        <v>0</v>
      </c>
      <c r="K1833" s="903"/>
      <c r="L1833" s="1177"/>
      <c r="M1833" s="1138">
        <f t="shared" si="189"/>
        <v>0</v>
      </c>
      <c r="N1833" s="1176">
        <f t="shared" si="193"/>
        <v>0</v>
      </c>
      <c r="O1833" s="905"/>
      <c r="P1833" s="36" t="str">
        <f>IF(N1831&gt;0,"xx",IF(N1831&gt;0,"xy",""))</f>
        <v/>
      </c>
      <c r="Q1833" s="317" t="str">
        <f t="shared" si="190"/>
        <v/>
      </c>
      <c r="R1833" s="317" t="str">
        <f t="shared" si="191"/>
        <v/>
      </c>
      <c r="S1833" s="317" t="str">
        <f t="shared" si="192"/>
        <v/>
      </c>
      <c r="T1833" s="317" t="str">
        <f>GLOBAL_DER_FEV_2023!S1833</f>
        <v/>
      </c>
      <c r="W1833" s="582">
        <v>0</v>
      </c>
      <c r="X1833" s="580"/>
      <c r="Y1833" s="583">
        <f>IF(GLOBAL_DER_FEV_2023!W1833=0,0,IF(GLOBAL_DER_FEV_2023!W1833&gt;0,"c","b"))</f>
        <v>0</v>
      </c>
    </row>
    <row r="1834" spans="1:25" ht="15" customHeight="1" x14ac:dyDescent="0.2">
      <c r="A1834" s="317" t="s">
        <v>147</v>
      </c>
      <c r="B1834" s="895" t="s">
        <v>147</v>
      </c>
      <c r="C1834" s="896"/>
      <c r="D1834" s="906" t="s">
        <v>233</v>
      </c>
      <c r="E1834" s="907">
        <f>GLOBAL_DER_FEV_2023!E1834</f>
        <v>0.2</v>
      </c>
      <c r="F1834" s="908">
        <f>GLOBAL_DER_FEV_2023!F1834</f>
        <v>1.1100000000000001</v>
      </c>
      <c r="G1834" s="949">
        <f>GLOBAL_DER_FEV_2023!G1834</f>
        <v>3.2123400000000006</v>
      </c>
      <c r="H1834" s="901">
        <f>GLOBAL_DER_FEV_2023!H1834</f>
        <v>0</v>
      </c>
      <c r="I1834" s="901">
        <f>GLOBAL_DER_FEV_2023!I1834</f>
        <v>0</v>
      </c>
      <c r="J1834" s="902">
        <f>GLOBAL_DER_FEV_2023!J1834</f>
        <v>0</v>
      </c>
      <c r="K1834" s="903"/>
      <c r="L1834" s="1177"/>
      <c r="M1834" s="1138">
        <f t="shared" si="189"/>
        <v>0</v>
      </c>
      <c r="N1834" s="1176">
        <f t="shared" si="193"/>
        <v>0</v>
      </c>
      <c r="O1834" s="905"/>
      <c r="P1834" s="36" t="str">
        <f>IF(N1831&gt;0,"xx",IF(N1831&gt;0,"xy",""))</f>
        <v/>
      </c>
      <c r="Q1834" s="317" t="str">
        <f t="shared" si="190"/>
        <v/>
      </c>
      <c r="R1834" s="317" t="str">
        <f t="shared" si="191"/>
        <v/>
      </c>
      <c r="S1834" s="317" t="str">
        <f t="shared" si="192"/>
        <v/>
      </c>
      <c r="T1834" s="317" t="str">
        <f>GLOBAL_DER_FEV_2023!S1834</f>
        <v/>
      </c>
      <c r="W1834" s="582">
        <v>0</v>
      </c>
      <c r="X1834" s="580"/>
      <c r="Y1834" s="583">
        <f>IF(GLOBAL_DER_FEV_2023!W1834=0,0,IF(GLOBAL_DER_FEV_2023!W1834&gt;0,"c","b"))</f>
        <v>0</v>
      </c>
    </row>
    <row r="1835" spans="1:25" ht="15" customHeight="1" x14ac:dyDescent="0.2">
      <c r="A1835" s="317">
        <v>606200</v>
      </c>
      <c r="B1835" s="895">
        <v>606200</v>
      </c>
      <c r="C1835" s="896" t="s">
        <v>184</v>
      </c>
      <c r="D1835" s="906" t="s">
        <v>816</v>
      </c>
      <c r="E1835" s="907">
        <f>GLOBAL_DER_FEV_2023!E1835</f>
        <v>0</v>
      </c>
      <c r="F1835" s="908">
        <f>GLOBAL_DER_FEV_2023!F1835</f>
        <v>0</v>
      </c>
      <c r="G1835" s="912">
        <f>GLOBAL_DER_FEV_2023!G1835</f>
        <v>252.60406000000003</v>
      </c>
      <c r="H1835" s="901">
        <f>GLOBAL_DER_FEV_2023!H1835</f>
        <v>598.07000000000005</v>
      </c>
      <c r="I1835" s="901">
        <f>GLOBAL_DER_FEV_2023!I1835</f>
        <v>850.67406000000005</v>
      </c>
      <c r="J1835" s="902">
        <f>GLOBAL_DER_FEV_2023!J1835</f>
        <v>1021.4</v>
      </c>
      <c r="K1835" s="903" t="s">
        <v>10</v>
      </c>
      <c r="L1835" s="1137"/>
      <c r="M1835" s="1138">
        <f t="shared" si="189"/>
        <v>0</v>
      </c>
      <c r="N1835" s="1176">
        <f t="shared" si="193"/>
        <v>0</v>
      </c>
      <c r="O1835" s="905"/>
      <c r="Q1835" s="317" t="str">
        <f t="shared" si="190"/>
        <v/>
      </c>
      <c r="R1835" s="317" t="str">
        <f t="shared" si="191"/>
        <v/>
      </c>
      <c r="S1835" s="317" t="str">
        <f t="shared" si="192"/>
        <v/>
      </c>
      <c r="T1835" s="317" t="str">
        <f>GLOBAL_DER_FEV_2023!S1835</f>
        <v/>
      </c>
      <c r="W1835" s="582">
        <v>0</v>
      </c>
      <c r="X1835" s="580"/>
      <c r="Y1835" s="583">
        <f>IF(GLOBAL_DER_FEV_2023!W1835=0,0,IF(GLOBAL_DER_FEV_2023!W1835&gt;0,"c","b"))</f>
        <v>0</v>
      </c>
    </row>
    <row r="1836" spans="1:25" ht="15" customHeight="1" x14ac:dyDescent="0.2">
      <c r="A1836" s="317" t="s">
        <v>147</v>
      </c>
      <c r="B1836" s="895" t="s">
        <v>147</v>
      </c>
      <c r="C1836" s="896"/>
      <c r="D1836" s="906" t="s">
        <v>190</v>
      </c>
      <c r="E1836" s="907">
        <f>GLOBAL_DER_FEV_2023!E1836</f>
        <v>308</v>
      </c>
      <c r="F1836" s="908">
        <f>GLOBAL_DER_FEV_2023!F1836</f>
        <v>0.51200000000000001</v>
      </c>
      <c r="G1836" s="909">
        <f>GLOBAL_DER_FEV_2023!G1836</f>
        <v>127.00672</v>
      </c>
      <c r="H1836" s="901">
        <f>GLOBAL_DER_FEV_2023!H1836</f>
        <v>0</v>
      </c>
      <c r="I1836" s="901">
        <f>GLOBAL_DER_FEV_2023!I1836</f>
        <v>0</v>
      </c>
      <c r="J1836" s="902">
        <f>GLOBAL_DER_FEV_2023!J1836</f>
        <v>0</v>
      </c>
      <c r="K1836" s="903"/>
      <c r="L1836" s="1177"/>
      <c r="M1836" s="1138">
        <f t="shared" si="189"/>
        <v>0</v>
      </c>
      <c r="N1836" s="1176">
        <f t="shared" si="193"/>
        <v>0</v>
      </c>
      <c r="O1836" s="905"/>
      <c r="P1836" s="36" t="str">
        <f>IF(N1835&gt;0,"xx",IF(N1835&gt;0,"xy",""))</f>
        <v/>
      </c>
      <c r="Q1836" s="317" t="str">
        <f t="shared" si="190"/>
        <v/>
      </c>
      <c r="R1836" s="317" t="str">
        <f t="shared" si="191"/>
        <v/>
      </c>
      <c r="S1836" s="317" t="str">
        <f t="shared" si="192"/>
        <v/>
      </c>
      <c r="T1836" s="317" t="str">
        <f>GLOBAL_DER_FEV_2023!S1836</f>
        <v/>
      </c>
      <c r="W1836" s="582">
        <v>0</v>
      </c>
      <c r="X1836" s="580"/>
      <c r="Y1836" s="583">
        <f>IF(GLOBAL_DER_FEV_2023!W1836=0,0,IF(GLOBAL_DER_FEV_2023!W1836&gt;0,"c","b"))</f>
        <v>0</v>
      </c>
    </row>
    <row r="1837" spans="1:25" ht="15" customHeight="1" x14ac:dyDescent="0.2">
      <c r="A1837" s="317" t="s">
        <v>147</v>
      </c>
      <c r="B1837" s="895" t="s">
        <v>147</v>
      </c>
      <c r="C1837" s="896"/>
      <c r="D1837" s="906" t="s">
        <v>229</v>
      </c>
      <c r="E1837" s="907">
        <f>GLOBAL_DER_FEV_2023!E1837</f>
        <v>150</v>
      </c>
      <c r="F1837" s="908">
        <f>GLOBAL_DER_FEV_2023!F1837</f>
        <v>0.75</v>
      </c>
      <c r="G1837" s="949">
        <f>GLOBAL_DER_FEV_2023!G1837</f>
        <v>122.38500000000001</v>
      </c>
      <c r="H1837" s="901">
        <f>GLOBAL_DER_FEV_2023!H1837</f>
        <v>0</v>
      </c>
      <c r="I1837" s="901">
        <f>GLOBAL_DER_FEV_2023!I1837</f>
        <v>0</v>
      </c>
      <c r="J1837" s="902">
        <f>GLOBAL_DER_FEV_2023!J1837</f>
        <v>0</v>
      </c>
      <c r="K1837" s="903"/>
      <c r="L1837" s="1177"/>
      <c r="M1837" s="1138">
        <f t="shared" si="189"/>
        <v>0</v>
      </c>
      <c r="N1837" s="1176">
        <f t="shared" si="193"/>
        <v>0</v>
      </c>
      <c r="O1837" s="905"/>
      <c r="P1837" s="36" t="str">
        <f>IF(N1835&gt;0,"xx",IF(N1835&gt;0,"xy",""))</f>
        <v/>
      </c>
      <c r="Q1837" s="317" t="str">
        <f t="shared" si="190"/>
        <v/>
      </c>
      <c r="R1837" s="317" t="str">
        <f t="shared" si="191"/>
        <v/>
      </c>
      <c r="S1837" s="317" t="str">
        <f t="shared" si="192"/>
        <v/>
      </c>
      <c r="T1837" s="317" t="str">
        <f>GLOBAL_DER_FEV_2023!S1837</f>
        <v/>
      </c>
      <c r="W1837" s="582">
        <v>0</v>
      </c>
      <c r="X1837" s="580"/>
      <c r="Y1837" s="583">
        <f>IF(GLOBAL_DER_FEV_2023!W1837=0,0,IF(GLOBAL_DER_FEV_2023!W1837&gt;0,"c","b"))</f>
        <v>0</v>
      </c>
    </row>
    <row r="1838" spans="1:25" ht="15" customHeight="1" x14ac:dyDescent="0.2">
      <c r="A1838" s="317" t="s">
        <v>147</v>
      </c>
      <c r="B1838" s="895" t="s">
        <v>147</v>
      </c>
      <c r="C1838" s="896"/>
      <c r="D1838" s="906" t="s">
        <v>233</v>
      </c>
      <c r="E1838" s="907">
        <f>GLOBAL_DER_FEV_2023!E1838</f>
        <v>0.2</v>
      </c>
      <c r="F1838" s="908">
        <f>GLOBAL_DER_FEV_2023!F1838</f>
        <v>1.1100000000000001</v>
      </c>
      <c r="G1838" s="949">
        <f>GLOBAL_DER_FEV_2023!G1838</f>
        <v>3.2123400000000006</v>
      </c>
      <c r="H1838" s="901">
        <f>GLOBAL_DER_FEV_2023!H1838</f>
        <v>0</v>
      </c>
      <c r="I1838" s="901">
        <f>GLOBAL_DER_FEV_2023!I1838</f>
        <v>0</v>
      </c>
      <c r="J1838" s="902">
        <f>GLOBAL_DER_FEV_2023!J1838</f>
        <v>0</v>
      </c>
      <c r="K1838" s="903"/>
      <c r="L1838" s="1177"/>
      <c r="M1838" s="1138">
        <f t="shared" si="189"/>
        <v>0</v>
      </c>
      <c r="N1838" s="1176">
        <f t="shared" si="193"/>
        <v>0</v>
      </c>
      <c r="O1838" s="905"/>
      <c r="P1838" s="36" t="str">
        <f>IF(N1835&gt;0,"xx",IF(N1835&gt;0,"xy",""))</f>
        <v/>
      </c>
      <c r="Q1838" s="317" t="str">
        <f t="shared" si="190"/>
        <v/>
      </c>
      <c r="R1838" s="317" t="str">
        <f t="shared" si="191"/>
        <v/>
      </c>
      <c r="S1838" s="317" t="str">
        <f t="shared" si="192"/>
        <v/>
      </c>
      <c r="T1838" s="317" t="str">
        <f>GLOBAL_DER_FEV_2023!S1838</f>
        <v/>
      </c>
      <c r="W1838" s="582">
        <v>0</v>
      </c>
      <c r="X1838" s="580"/>
      <c r="Y1838" s="583">
        <f>IF(GLOBAL_DER_FEV_2023!W1838=0,0,IF(GLOBAL_DER_FEV_2023!W1838&gt;0,"c","b"))</f>
        <v>0</v>
      </c>
    </row>
    <row r="1839" spans="1:25" ht="15" customHeight="1" x14ac:dyDescent="0.2">
      <c r="A1839" s="317">
        <v>622000</v>
      </c>
      <c r="B1839" s="895">
        <v>622000</v>
      </c>
      <c r="C1839" s="896" t="s">
        <v>184</v>
      </c>
      <c r="D1839" s="906" t="s">
        <v>521</v>
      </c>
      <c r="E1839" s="907">
        <f>GLOBAL_DER_FEV_2023!E1839</f>
        <v>0</v>
      </c>
      <c r="F1839" s="908">
        <f>GLOBAL_DER_FEV_2023!F1839</f>
        <v>0</v>
      </c>
      <c r="G1839" s="912">
        <f>GLOBAL_DER_FEV_2023!G1839</f>
        <v>37.478794200000003</v>
      </c>
      <c r="H1839" s="901">
        <f>GLOBAL_DER_FEV_2023!H1839</f>
        <v>240.43</v>
      </c>
      <c r="I1839" s="901">
        <f>GLOBAL_DER_FEV_2023!I1839</f>
        <v>277.90879419999999</v>
      </c>
      <c r="J1839" s="902">
        <f>GLOBAL_DER_FEV_2023!J1839</f>
        <v>333.69</v>
      </c>
      <c r="K1839" s="903" t="s">
        <v>15</v>
      </c>
      <c r="L1839" s="1137"/>
      <c r="M1839" s="1138">
        <f t="shared" si="189"/>
        <v>0</v>
      </c>
      <c r="N1839" s="1176">
        <f t="shared" si="193"/>
        <v>0</v>
      </c>
      <c r="O1839" s="905"/>
      <c r="Q1839" s="317" t="str">
        <f t="shared" si="190"/>
        <v/>
      </c>
      <c r="R1839" s="317" t="str">
        <f t="shared" si="191"/>
        <v/>
      </c>
      <c r="S1839" s="317" t="str">
        <f t="shared" si="192"/>
        <v/>
      </c>
      <c r="T1839" s="317" t="str">
        <f>GLOBAL_DER_FEV_2023!S1839</f>
        <v/>
      </c>
      <c r="W1839" s="582">
        <v>0</v>
      </c>
      <c r="X1839" s="580"/>
      <c r="Y1839" s="583">
        <f>IF(GLOBAL_DER_FEV_2023!W1839=0,0,IF(GLOBAL_DER_FEV_2023!W1839&gt;0,"c","b"))</f>
        <v>0</v>
      </c>
    </row>
    <row r="1840" spans="1:25" ht="15" customHeight="1" x14ac:dyDescent="0.2">
      <c r="A1840" s="317" t="s">
        <v>147</v>
      </c>
      <c r="B1840" s="895" t="s">
        <v>147</v>
      </c>
      <c r="C1840" s="896"/>
      <c r="D1840" s="906" t="s">
        <v>190</v>
      </c>
      <c r="E1840" s="907">
        <f>GLOBAL_DER_FEV_2023!E1840</f>
        <v>308</v>
      </c>
      <c r="F1840" s="908">
        <f>GLOBAL_DER_FEV_2023!F1840</f>
        <v>4.24E-2</v>
      </c>
      <c r="G1840" s="909">
        <f>GLOBAL_DER_FEV_2023!G1840</f>
        <v>10.517744</v>
      </c>
      <c r="H1840" s="901">
        <f>GLOBAL_DER_FEV_2023!H1840</f>
        <v>0</v>
      </c>
      <c r="I1840" s="901">
        <f>GLOBAL_DER_FEV_2023!I1840</f>
        <v>0</v>
      </c>
      <c r="J1840" s="902">
        <f>GLOBAL_DER_FEV_2023!J1840</f>
        <v>0</v>
      </c>
      <c r="K1840" s="903"/>
      <c r="L1840" s="1177"/>
      <c r="M1840" s="1138">
        <f t="shared" si="189"/>
        <v>0</v>
      </c>
      <c r="N1840" s="1176">
        <f t="shared" si="193"/>
        <v>0</v>
      </c>
      <c r="O1840" s="905"/>
      <c r="P1840" s="36" t="str">
        <f>IF(N1839&gt;0,"xx",IF(N1839&gt;0,"xy",""))</f>
        <v/>
      </c>
      <c r="Q1840" s="317" t="str">
        <f t="shared" si="190"/>
        <v/>
      </c>
      <c r="R1840" s="317" t="str">
        <f t="shared" si="191"/>
        <v/>
      </c>
      <c r="S1840" s="317" t="str">
        <f t="shared" si="192"/>
        <v/>
      </c>
      <c r="T1840" s="317" t="str">
        <f>GLOBAL_DER_FEV_2023!S1840</f>
        <v/>
      </c>
      <c r="W1840" s="582">
        <v>0</v>
      </c>
      <c r="X1840" s="580"/>
      <c r="Y1840" s="583">
        <f>IF(GLOBAL_DER_FEV_2023!W1840=0,0,IF(GLOBAL_DER_FEV_2023!W1840&gt;0,"c","b"))</f>
        <v>0</v>
      </c>
    </row>
    <row r="1841" spans="1:25" ht="15" customHeight="1" x14ac:dyDescent="0.2">
      <c r="A1841" s="317" t="s">
        <v>147</v>
      </c>
      <c r="B1841" s="895" t="s">
        <v>147</v>
      </c>
      <c r="C1841" s="896"/>
      <c r="D1841" s="906" t="s">
        <v>229</v>
      </c>
      <c r="E1841" s="907">
        <f>GLOBAL_DER_FEV_2023!E1841</f>
        <v>150</v>
      </c>
      <c r="F1841" s="908">
        <f>GLOBAL_DER_FEV_2023!F1841</f>
        <v>0.1507</v>
      </c>
      <c r="G1841" s="949">
        <f>GLOBAL_DER_FEV_2023!G1841</f>
        <v>24.591226000000002</v>
      </c>
      <c r="H1841" s="901">
        <f>GLOBAL_DER_FEV_2023!H1841</f>
        <v>0</v>
      </c>
      <c r="I1841" s="901">
        <f>GLOBAL_DER_FEV_2023!I1841</f>
        <v>0</v>
      </c>
      <c r="J1841" s="902">
        <f>GLOBAL_DER_FEV_2023!J1841</f>
        <v>0</v>
      </c>
      <c r="K1841" s="903"/>
      <c r="L1841" s="1177"/>
      <c r="M1841" s="1138">
        <f t="shared" si="189"/>
        <v>0</v>
      </c>
      <c r="N1841" s="1176">
        <f t="shared" si="193"/>
        <v>0</v>
      </c>
      <c r="O1841" s="905"/>
      <c r="P1841" s="36" t="str">
        <f>IF(N1839&gt;0,"xx",IF(N1839&gt;0,"xy",""))</f>
        <v/>
      </c>
      <c r="Q1841" s="317" t="str">
        <f t="shared" si="190"/>
        <v/>
      </c>
      <c r="R1841" s="317" t="str">
        <f t="shared" si="191"/>
        <v/>
      </c>
      <c r="S1841" s="317" t="str">
        <f t="shared" si="192"/>
        <v/>
      </c>
      <c r="T1841" s="317" t="str">
        <f>GLOBAL_DER_FEV_2023!S1841</f>
        <v/>
      </c>
      <c r="W1841" s="582">
        <v>0</v>
      </c>
      <c r="X1841" s="580"/>
      <c r="Y1841" s="583">
        <f>IF(GLOBAL_DER_FEV_2023!W1841=0,0,IF(GLOBAL_DER_FEV_2023!W1841&gt;0,"c","b"))</f>
        <v>0</v>
      </c>
    </row>
    <row r="1842" spans="1:25" ht="15" customHeight="1" x14ac:dyDescent="0.2">
      <c r="A1842" s="317" t="s">
        <v>147</v>
      </c>
      <c r="B1842" s="895" t="s">
        <v>147</v>
      </c>
      <c r="C1842" s="896"/>
      <c r="D1842" s="906" t="s">
        <v>233</v>
      </c>
      <c r="E1842" s="907">
        <f>GLOBAL_DER_FEV_2023!E1842</f>
        <v>0.2</v>
      </c>
      <c r="F1842" s="908">
        <f>GLOBAL_DER_FEV_2023!F1842</f>
        <v>0.17430000000000001</v>
      </c>
      <c r="G1842" s="949">
        <f>GLOBAL_DER_FEV_2023!G1842</f>
        <v>0.5044242000000001</v>
      </c>
      <c r="H1842" s="901">
        <f>GLOBAL_DER_FEV_2023!H1842</f>
        <v>0</v>
      </c>
      <c r="I1842" s="901">
        <f>GLOBAL_DER_FEV_2023!I1842</f>
        <v>0</v>
      </c>
      <c r="J1842" s="902">
        <f>GLOBAL_DER_FEV_2023!J1842</f>
        <v>0</v>
      </c>
      <c r="K1842" s="903"/>
      <c r="L1842" s="1177"/>
      <c r="M1842" s="1138">
        <f t="shared" si="189"/>
        <v>0</v>
      </c>
      <c r="N1842" s="1176">
        <f t="shared" si="193"/>
        <v>0</v>
      </c>
      <c r="O1842" s="905"/>
      <c r="P1842" s="36" t="str">
        <f>IF(N1839&gt;0,"xx",IF(N1839&gt;0,"xy",""))</f>
        <v/>
      </c>
      <c r="Q1842" s="317" t="str">
        <f t="shared" si="190"/>
        <v/>
      </c>
      <c r="R1842" s="317" t="str">
        <f t="shared" si="191"/>
        <v/>
      </c>
      <c r="S1842" s="317" t="str">
        <f t="shared" si="192"/>
        <v/>
      </c>
      <c r="T1842" s="317" t="str">
        <f>GLOBAL_DER_FEV_2023!S1842</f>
        <v/>
      </c>
      <c r="W1842" s="582">
        <v>0</v>
      </c>
      <c r="X1842" s="580"/>
      <c r="Y1842" s="583">
        <f>IF(GLOBAL_DER_FEV_2023!W1842=0,0,IF(GLOBAL_DER_FEV_2023!W1842&gt;0,"c","b"))</f>
        <v>0</v>
      </c>
    </row>
    <row r="1843" spans="1:25" ht="15" customHeight="1" x14ac:dyDescent="0.2">
      <c r="A1843" s="317" t="s">
        <v>147</v>
      </c>
      <c r="B1843" s="895" t="s">
        <v>147</v>
      </c>
      <c r="C1843" s="896"/>
      <c r="D1843" s="906" t="s">
        <v>336</v>
      </c>
      <c r="E1843" s="907">
        <f>GLOBAL_DER_FEV_2023!E1843</f>
        <v>40</v>
      </c>
      <c r="F1843" s="908">
        <f>GLOBAL_DER_FEV_2023!F1843</f>
        <v>0.06</v>
      </c>
      <c r="G1843" s="949">
        <f>GLOBAL_DER_FEV_2023!G1843</f>
        <v>1.8653999999999999</v>
      </c>
      <c r="H1843" s="901">
        <f>GLOBAL_DER_FEV_2023!H1843</f>
        <v>0</v>
      </c>
      <c r="I1843" s="901">
        <f>GLOBAL_DER_FEV_2023!I1843</f>
        <v>0</v>
      </c>
      <c r="J1843" s="902">
        <f>GLOBAL_DER_FEV_2023!J1843</f>
        <v>0</v>
      </c>
      <c r="K1843" s="903"/>
      <c r="L1843" s="1177"/>
      <c r="M1843" s="1138">
        <f t="shared" si="189"/>
        <v>0</v>
      </c>
      <c r="N1843" s="1176">
        <f t="shared" si="193"/>
        <v>0</v>
      </c>
      <c r="O1843" s="905"/>
      <c r="P1843" s="36" t="str">
        <f>IF(N1839&gt;0,"xx",IF(N1839&gt;0,"xy",""))</f>
        <v/>
      </c>
      <c r="Q1843" s="317" t="str">
        <f t="shared" si="190"/>
        <v/>
      </c>
      <c r="R1843" s="317" t="str">
        <f t="shared" si="191"/>
        <v/>
      </c>
      <c r="S1843" s="317" t="str">
        <f t="shared" si="192"/>
        <v/>
      </c>
      <c r="T1843" s="317" t="str">
        <f>GLOBAL_DER_FEV_2023!S1843</f>
        <v/>
      </c>
      <c r="W1843" s="582">
        <v>0</v>
      </c>
      <c r="X1843" s="580"/>
      <c r="Y1843" s="583">
        <f>IF(GLOBAL_DER_FEV_2023!W1843=0,0,IF(GLOBAL_DER_FEV_2023!W1843&gt;0,"c","b"))</f>
        <v>0</v>
      </c>
    </row>
    <row r="1844" spans="1:25" ht="15" customHeight="1" x14ac:dyDescent="0.2">
      <c r="A1844" s="317">
        <v>620000</v>
      </c>
      <c r="B1844" s="895" t="s">
        <v>1813</v>
      </c>
      <c r="C1844" s="896" t="s">
        <v>184</v>
      </c>
      <c r="D1844" s="906" t="s">
        <v>522</v>
      </c>
      <c r="E1844" s="907">
        <f>GLOBAL_DER_FEV_2023!E1844</f>
        <v>0</v>
      </c>
      <c r="F1844" s="908">
        <f>GLOBAL_DER_FEV_2023!F1844</f>
        <v>0</v>
      </c>
      <c r="G1844" s="912">
        <f>GLOBAL_DER_FEV_2023!G1844</f>
        <v>53.428395000000002</v>
      </c>
      <c r="H1844" s="901">
        <f>GLOBAL_DER_FEV_2023!H1844</f>
        <v>643.26</v>
      </c>
      <c r="I1844" s="901">
        <f>GLOBAL_DER_FEV_2023!I1844</f>
        <v>696.68839500000001</v>
      </c>
      <c r="J1844" s="902">
        <f>GLOBAL_DER_FEV_2023!J1844</f>
        <v>836.51</v>
      </c>
      <c r="K1844" s="903" t="s">
        <v>15</v>
      </c>
      <c r="L1844" s="1137"/>
      <c r="M1844" s="1138">
        <f t="shared" si="189"/>
        <v>0</v>
      </c>
      <c r="N1844" s="1176">
        <f t="shared" si="193"/>
        <v>0</v>
      </c>
      <c r="O1844" s="905"/>
      <c r="Q1844" s="317" t="str">
        <f t="shared" si="190"/>
        <v/>
      </c>
      <c r="R1844" s="317" t="str">
        <f t="shared" si="191"/>
        <v/>
      </c>
      <c r="S1844" s="317" t="str">
        <f t="shared" si="192"/>
        <v/>
      </c>
      <c r="T1844" s="317" t="str">
        <f>GLOBAL_DER_FEV_2023!S1844</f>
        <v/>
      </c>
      <c r="W1844" s="582">
        <v>0</v>
      </c>
      <c r="X1844" s="580"/>
      <c r="Y1844" s="583">
        <f>IF(GLOBAL_DER_FEV_2023!W1844=0,0,IF(GLOBAL_DER_FEV_2023!W1844&gt;0,"c","b"))</f>
        <v>0</v>
      </c>
    </row>
    <row r="1845" spans="1:25" ht="15" customHeight="1" x14ac:dyDescent="0.2">
      <c r="A1845" s="317" t="s">
        <v>147</v>
      </c>
      <c r="B1845" s="895" t="s">
        <v>147</v>
      </c>
      <c r="C1845" s="896"/>
      <c r="D1845" s="906" t="s">
        <v>190</v>
      </c>
      <c r="E1845" s="907">
        <f>GLOBAL_DER_FEV_2023!E1845</f>
        <v>308</v>
      </c>
      <c r="F1845" s="908">
        <f>GLOBAL_DER_FEV_2023!F1845</f>
        <v>6.3600000000000004E-2</v>
      </c>
      <c r="G1845" s="909">
        <f>GLOBAL_DER_FEV_2023!G1845</f>
        <v>15.776616000000001</v>
      </c>
      <c r="H1845" s="901">
        <f>GLOBAL_DER_FEV_2023!H1845</f>
        <v>0</v>
      </c>
      <c r="I1845" s="901">
        <f>GLOBAL_DER_FEV_2023!I1845</f>
        <v>0</v>
      </c>
      <c r="J1845" s="902">
        <f>GLOBAL_DER_FEV_2023!J1845</f>
        <v>0</v>
      </c>
      <c r="K1845" s="903"/>
      <c r="L1845" s="1177"/>
      <c r="M1845" s="1138">
        <f t="shared" si="189"/>
        <v>0</v>
      </c>
      <c r="N1845" s="1176">
        <f t="shared" si="193"/>
        <v>0</v>
      </c>
      <c r="O1845" s="905"/>
      <c r="P1845" s="36" t="str">
        <f>IF(N1844&gt;0,"xx",IF(N1844&gt;0,"xy",""))</f>
        <v/>
      </c>
      <c r="Q1845" s="317" t="str">
        <f t="shared" si="190"/>
        <v/>
      </c>
      <c r="R1845" s="317" t="str">
        <f t="shared" si="191"/>
        <v/>
      </c>
      <c r="S1845" s="317" t="str">
        <f t="shared" si="192"/>
        <v/>
      </c>
      <c r="T1845" s="317" t="str">
        <f>GLOBAL_DER_FEV_2023!S1845</f>
        <v/>
      </c>
      <c r="W1845" s="582">
        <v>0</v>
      </c>
      <c r="X1845" s="580"/>
      <c r="Y1845" s="583">
        <f>IF(GLOBAL_DER_FEV_2023!W1845=0,0,IF(GLOBAL_DER_FEV_2023!W1845&gt;0,"c","b"))</f>
        <v>0</v>
      </c>
    </row>
    <row r="1846" spans="1:25" ht="15" customHeight="1" x14ac:dyDescent="0.2">
      <c r="A1846" s="317" t="s">
        <v>147</v>
      </c>
      <c r="B1846" s="895" t="s">
        <v>147</v>
      </c>
      <c r="C1846" s="896"/>
      <c r="D1846" s="906" t="s">
        <v>229</v>
      </c>
      <c r="E1846" s="907">
        <f>GLOBAL_DER_FEV_2023!E1846</f>
        <v>150</v>
      </c>
      <c r="F1846" s="908">
        <f>GLOBAL_DER_FEV_2023!F1846</f>
        <v>0.2261</v>
      </c>
      <c r="G1846" s="949">
        <f>GLOBAL_DER_FEV_2023!G1846</f>
        <v>36.894998000000001</v>
      </c>
      <c r="H1846" s="901">
        <f>GLOBAL_DER_FEV_2023!H1846</f>
        <v>0</v>
      </c>
      <c r="I1846" s="901">
        <f>GLOBAL_DER_FEV_2023!I1846</f>
        <v>0</v>
      </c>
      <c r="J1846" s="902">
        <f>GLOBAL_DER_FEV_2023!J1846</f>
        <v>0</v>
      </c>
      <c r="K1846" s="903"/>
      <c r="L1846" s="1177"/>
      <c r="M1846" s="1138">
        <f t="shared" si="189"/>
        <v>0</v>
      </c>
      <c r="N1846" s="1176">
        <f t="shared" si="193"/>
        <v>0</v>
      </c>
      <c r="O1846" s="905"/>
      <c r="P1846" s="36" t="str">
        <f>IF(N1844&gt;0,"xx",IF(N1844&gt;0,"xy",""))</f>
        <v/>
      </c>
      <c r="Q1846" s="317" t="str">
        <f t="shared" si="190"/>
        <v/>
      </c>
      <c r="R1846" s="317" t="str">
        <f t="shared" si="191"/>
        <v/>
      </c>
      <c r="S1846" s="317" t="str">
        <f t="shared" si="192"/>
        <v/>
      </c>
      <c r="T1846" s="317" t="str">
        <f>GLOBAL_DER_FEV_2023!S1846</f>
        <v/>
      </c>
      <c r="W1846" s="582">
        <v>0</v>
      </c>
      <c r="X1846" s="580"/>
      <c r="Y1846" s="583">
        <f>IF(GLOBAL_DER_FEV_2023!W1846=0,0,IF(GLOBAL_DER_FEV_2023!W1846&gt;0,"c","b"))</f>
        <v>0</v>
      </c>
    </row>
    <row r="1847" spans="1:25" ht="15" customHeight="1" x14ac:dyDescent="0.2">
      <c r="A1847" s="317" t="s">
        <v>147</v>
      </c>
      <c r="B1847" s="895" t="s">
        <v>147</v>
      </c>
      <c r="C1847" s="896"/>
      <c r="D1847" s="906" t="s">
        <v>233</v>
      </c>
      <c r="E1847" s="907">
        <f>GLOBAL_DER_FEV_2023!E1847</f>
        <v>0.2</v>
      </c>
      <c r="F1847" s="908">
        <f>GLOBAL_DER_FEV_2023!F1847</f>
        <v>0.26150000000000001</v>
      </c>
      <c r="G1847" s="949">
        <f>GLOBAL_DER_FEV_2023!G1847</f>
        <v>0.75678100000000004</v>
      </c>
      <c r="H1847" s="901">
        <f>GLOBAL_DER_FEV_2023!H1847</f>
        <v>0</v>
      </c>
      <c r="I1847" s="901">
        <f>GLOBAL_DER_FEV_2023!I1847</f>
        <v>0</v>
      </c>
      <c r="J1847" s="902">
        <f>GLOBAL_DER_FEV_2023!J1847</f>
        <v>0</v>
      </c>
      <c r="K1847" s="903"/>
      <c r="L1847" s="1177"/>
      <c r="M1847" s="1138">
        <f t="shared" si="189"/>
        <v>0</v>
      </c>
      <c r="N1847" s="1176">
        <f t="shared" si="193"/>
        <v>0</v>
      </c>
      <c r="O1847" s="905"/>
      <c r="P1847" s="36" t="str">
        <f>IF(N1844&gt;0,"xx",IF(N1844&gt;0,"xy",""))</f>
        <v/>
      </c>
      <c r="Q1847" s="317" t="str">
        <f t="shared" si="190"/>
        <v/>
      </c>
      <c r="R1847" s="317" t="str">
        <f t="shared" si="191"/>
        <v/>
      </c>
      <c r="S1847" s="317" t="str">
        <f t="shared" si="192"/>
        <v/>
      </c>
      <c r="T1847" s="317" t="str">
        <f>GLOBAL_DER_FEV_2023!S1847</f>
        <v/>
      </c>
      <c r="W1847" s="582">
        <v>0</v>
      </c>
      <c r="X1847" s="580"/>
      <c r="Y1847" s="583">
        <f>IF(GLOBAL_DER_FEV_2023!W1847=0,0,IF(GLOBAL_DER_FEV_2023!W1847&gt;0,"c","b"))</f>
        <v>0</v>
      </c>
    </row>
    <row r="1848" spans="1:25" ht="15" customHeight="1" x14ac:dyDescent="0.2">
      <c r="A1848" s="317">
        <v>620000</v>
      </c>
      <c r="B1848" s="895" t="s">
        <v>1814</v>
      </c>
      <c r="C1848" s="896" t="s">
        <v>184</v>
      </c>
      <c r="D1848" s="906" t="s">
        <v>343</v>
      </c>
      <c r="E1848" s="907">
        <f>GLOBAL_DER_FEV_2023!E1848</f>
        <v>0</v>
      </c>
      <c r="F1848" s="908">
        <f>GLOBAL_DER_FEV_2023!F1848</f>
        <v>0</v>
      </c>
      <c r="G1848" s="912">
        <f>GLOBAL_DER_FEV_2023!G1848</f>
        <v>97.780856400000005</v>
      </c>
      <c r="H1848" s="901">
        <f>GLOBAL_DER_FEV_2023!H1848</f>
        <v>643.26</v>
      </c>
      <c r="I1848" s="901">
        <f>GLOBAL_DER_FEV_2023!I1848</f>
        <v>741.04085639999994</v>
      </c>
      <c r="J1848" s="902">
        <f>GLOBAL_DER_FEV_2023!J1848</f>
        <v>889.77</v>
      </c>
      <c r="K1848" s="903" t="s">
        <v>15</v>
      </c>
      <c r="L1848" s="1137"/>
      <c r="M1848" s="1138">
        <f t="shared" si="189"/>
        <v>0</v>
      </c>
      <c r="N1848" s="1176">
        <f t="shared" si="193"/>
        <v>0</v>
      </c>
      <c r="O1848" s="905"/>
      <c r="Q1848" s="317" t="str">
        <f t="shared" si="190"/>
        <v/>
      </c>
      <c r="R1848" s="317" t="str">
        <f t="shared" si="191"/>
        <v/>
      </c>
      <c r="S1848" s="317" t="str">
        <f t="shared" si="192"/>
        <v/>
      </c>
      <c r="T1848" s="317" t="str">
        <f>GLOBAL_DER_FEV_2023!S1848</f>
        <v/>
      </c>
      <c r="W1848" s="582">
        <v>0</v>
      </c>
      <c r="X1848" s="580"/>
      <c r="Y1848" s="583">
        <f>IF(GLOBAL_DER_FEV_2023!W1848=0,0,IF(GLOBAL_DER_FEV_2023!W1848&gt;0,"c","b"))</f>
        <v>0</v>
      </c>
    </row>
    <row r="1849" spans="1:25" ht="15" customHeight="1" x14ac:dyDescent="0.2">
      <c r="A1849" s="317" t="s">
        <v>147</v>
      </c>
      <c r="B1849" s="895" t="s">
        <v>147</v>
      </c>
      <c r="C1849" s="896"/>
      <c r="D1849" s="906" t="s">
        <v>190</v>
      </c>
      <c r="E1849" s="907">
        <f>GLOBAL_DER_FEV_2023!E1849</f>
        <v>308</v>
      </c>
      <c r="F1849" s="908">
        <f>GLOBAL_DER_FEV_2023!F1849</f>
        <v>0.1154</v>
      </c>
      <c r="G1849" s="909">
        <f>GLOBAL_DER_FEV_2023!G1849</f>
        <v>28.626124000000001</v>
      </c>
      <c r="H1849" s="901">
        <f>GLOBAL_DER_FEV_2023!H1849</f>
        <v>0</v>
      </c>
      <c r="I1849" s="901">
        <f>GLOBAL_DER_FEV_2023!I1849</f>
        <v>0</v>
      </c>
      <c r="J1849" s="902">
        <f>GLOBAL_DER_FEV_2023!J1849</f>
        <v>0</v>
      </c>
      <c r="K1849" s="903"/>
      <c r="L1849" s="1177"/>
      <c r="M1849" s="1138">
        <f t="shared" si="189"/>
        <v>0</v>
      </c>
      <c r="N1849" s="1176">
        <f t="shared" si="193"/>
        <v>0</v>
      </c>
      <c r="O1849" s="905"/>
      <c r="P1849" s="36" t="str">
        <f>IF(N1848&gt;0,"xx",IF(N1848&gt;0,"xy",""))</f>
        <v/>
      </c>
      <c r="Q1849" s="317" t="str">
        <f t="shared" si="190"/>
        <v/>
      </c>
      <c r="R1849" s="317" t="str">
        <f t="shared" si="191"/>
        <v/>
      </c>
      <c r="S1849" s="317" t="str">
        <f t="shared" si="192"/>
        <v/>
      </c>
      <c r="T1849" s="317" t="str">
        <f>GLOBAL_DER_FEV_2023!S1849</f>
        <v/>
      </c>
      <c r="W1849" s="582">
        <v>0</v>
      </c>
      <c r="X1849" s="580"/>
      <c r="Y1849" s="583">
        <f>IF(GLOBAL_DER_FEV_2023!W1849=0,0,IF(GLOBAL_DER_FEV_2023!W1849&gt;0,"c","b"))</f>
        <v>0</v>
      </c>
    </row>
    <row r="1850" spans="1:25" ht="15" customHeight="1" x14ac:dyDescent="0.2">
      <c r="A1850" s="317" t="s">
        <v>147</v>
      </c>
      <c r="B1850" s="895" t="s">
        <v>147</v>
      </c>
      <c r="C1850" s="896"/>
      <c r="D1850" s="906" t="s">
        <v>229</v>
      </c>
      <c r="E1850" s="907">
        <f>GLOBAL_DER_FEV_2023!E1850</f>
        <v>150</v>
      </c>
      <c r="F1850" s="908">
        <f>GLOBAL_DER_FEV_2023!F1850</f>
        <v>0.41049999999999998</v>
      </c>
      <c r="G1850" s="949">
        <f>GLOBAL_DER_FEV_2023!G1850</f>
        <v>66.985389999999995</v>
      </c>
      <c r="H1850" s="901">
        <f>GLOBAL_DER_FEV_2023!H1850</f>
        <v>0</v>
      </c>
      <c r="I1850" s="901">
        <f>GLOBAL_DER_FEV_2023!I1850</f>
        <v>0</v>
      </c>
      <c r="J1850" s="902">
        <f>GLOBAL_DER_FEV_2023!J1850</f>
        <v>0</v>
      </c>
      <c r="K1850" s="903"/>
      <c r="L1850" s="1177"/>
      <c r="M1850" s="1138">
        <f t="shared" si="189"/>
        <v>0</v>
      </c>
      <c r="N1850" s="1176">
        <f t="shared" si="193"/>
        <v>0</v>
      </c>
      <c r="O1850" s="905"/>
      <c r="P1850" s="36" t="str">
        <f>IF(N1848&gt;0,"xx",IF(N1848&gt;0,"xy",""))</f>
        <v/>
      </c>
      <c r="Q1850" s="317" t="str">
        <f t="shared" si="190"/>
        <v/>
      </c>
      <c r="R1850" s="317" t="str">
        <f t="shared" si="191"/>
        <v/>
      </c>
      <c r="S1850" s="317" t="str">
        <f t="shared" si="192"/>
        <v/>
      </c>
      <c r="T1850" s="317" t="str">
        <f>GLOBAL_DER_FEV_2023!S1850</f>
        <v/>
      </c>
      <c r="W1850" s="582">
        <v>0</v>
      </c>
      <c r="X1850" s="580"/>
      <c r="Y1850" s="583">
        <f>IF(GLOBAL_DER_FEV_2023!W1850=0,0,IF(GLOBAL_DER_FEV_2023!W1850&gt;0,"c","b"))</f>
        <v>0</v>
      </c>
    </row>
    <row r="1851" spans="1:25" ht="15" customHeight="1" x14ac:dyDescent="0.2">
      <c r="A1851" s="317" t="s">
        <v>147</v>
      </c>
      <c r="B1851" s="895" t="s">
        <v>147</v>
      </c>
      <c r="C1851" s="896"/>
      <c r="D1851" s="906" t="s">
        <v>233</v>
      </c>
      <c r="E1851" s="907">
        <f>GLOBAL_DER_FEV_2023!E1851</f>
        <v>0.2</v>
      </c>
      <c r="F1851" s="908">
        <f>GLOBAL_DER_FEV_2023!F1851</f>
        <v>0.74960000000000004</v>
      </c>
      <c r="G1851" s="949">
        <f>GLOBAL_DER_FEV_2023!G1851</f>
        <v>2.1693424000000001</v>
      </c>
      <c r="H1851" s="901">
        <f>GLOBAL_DER_FEV_2023!H1851</f>
        <v>0</v>
      </c>
      <c r="I1851" s="901">
        <f>GLOBAL_DER_FEV_2023!I1851</f>
        <v>0</v>
      </c>
      <c r="J1851" s="902">
        <f>GLOBAL_DER_FEV_2023!J1851</f>
        <v>0</v>
      </c>
      <c r="K1851" s="903"/>
      <c r="L1851" s="1177"/>
      <c r="M1851" s="1138">
        <f t="shared" si="189"/>
        <v>0</v>
      </c>
      <c r="N1851" s="1176">
        <f t="shared" si="193"/>
        <v>0</v>
      </c>
      <c r="O1851" s="905"/>
      <c r="P1851" s="36" t="str">
        <f>IF(N1848&gt;0,"xx",IF(N1848&gt;0,"xy",""))</f>
        <v/>
      </c>
      <c r="Q1851" s="317" t="str">
        <f t="shared" si="190"/>
        <v/>
      </c>
      <c r="R1851" s="317" t="str">
        <f t="shared" si="191"/>
        <v/>
      </c>
      <c r="S1851" s="317" t="str">
        <f t="shared" si="192"/>
        <v/>
      </c>
      <c r="T1851" s="317" t="str">
        <f>GLOBAL_DER_FEV_2023!S1851</f>
        <v/>
      </c>
      <c r="W1851" s="582">
        <v>0</v>
      </c>
      <c r="X1851" s="580"/>
      <c r="Y1851" s="583">
        <f>IF(GLOBAL_DER_FEV_2023!W1851=0,0,IF(GLOBAL_DER_FEV_2023!W1851&gt;0,"c","b"))</f>
        <v>0</v>
      </c>
    </row>
    <row r="1852" spans="1:25" ht="15" customHeight="1" x14ac:dyDescent="0.2">
      <c r="A1852" s="317">
        <v>620000</v>
      </c>
      <c r="B1852" s="895" t="s">
        <v>1815</v>
      </c>
      <c r="C1852" s="896" t="s">
        <v>184</v>
      </c>
      <c r="D1852" s="906" t="s">
        <v>523</v>
      </c>
      <c r="E1852" s="907">
        <f>GLOBAL_DER_FEV_2023!E1852</f>
        <v>0</v>
      </c>
      <c r="F1852" s="908">
        <f>GLOBAL_DER_FEV_2023!F1852</f>
        <v>0</v>
      </c>
      <c r="G1852" s="912">
        <f>GLOBAL_DER_FEV_2023!G1852</f>
        <v>132.68094340000002</v>
      </c>
      <c r="H1852" s="901">
        <f>GLOBAL_DER_FEV_2023!H1852</f>
        <v>643.26</v>
      </c>
      <c r="I1852" s="901">
        <f>GLOBAL_DER_FEV_2023!I1852</f>
        <v>775.94094340000004</v>
      </c>
      <c r="J1852" s="902">
        <f>GLOBAL_DER_FEV_2023!J1852</f>
        <v>931.67</v>
      </c>
      <c r="K1852" s="903" t="s">
        <v>15</v>
      </c>
      <c r="L1852" s="1137"/>
      <c r="M1852" s="1138">
        <f t="shared" si="189"/>
        <v>0</v>
      </c>
      <c r="N1852" s="1176">
        <f t="shared" si="193"/>
        <v>0</v>
      </c>
      <c r="O1852" s="905"/>
      <c r="Q1852" s="317" t="str">
        <f t="shared" si="190"/>
        <v/>
      </c>
      <c r="R1852" s="317" t="str">
        <f t="shared" si="191"/>
        <v/>
      </c>
      <c r="S1852" s="317" t="str">
        <f t="shared" si="192"/>
        <v/>
      </c>
      <c r="T1852" s="317" t="str">
        <f>GLOBAL_DER_FEV_2023!S1852</f>
        <v/>
      </c>
      <c r="W1852" s="582">
        <v>0</v>
      </c>
      <c r="X1852" s="580"/>
      <c r="Y1852" s="583">
        <f>IF(GLOBAL_DER_FEV_2023!W1852=0,0,IF(GLOBAL_DER_FEV_2023!W1852&gt;0,"c","b"))</f>
        <v>0</v>
      </c>
    </row>
    <row r="1853" spans="1:25" ht="15" customHeight="1" x14ac:dyDescent="0.2">
      <c r="A1853" s="317" t="s">
        <v>147</v>
      </c>
      <c r="B1853" s="895" t="s">
        <v>147</v>
      </c>
      <c r="C1853" s="896"/>
      <c r="D1853" s="906" t="s">
        <v>190</v>
      </c>
      <c r="E1853" s="907">
        <f>GLOBAL_DER_FEV_2023!E1853</f>
        <v>308</v>
      </c>
      <c r="F1853" s="908">
        <f>GLOBAL_DER_FEV_2023!F1853</f>
        <v>0.15659999999999999</v>
      </c>
      <c r="G1853" s="909">
        <f>GLOBAL_DER_FEV_2023!G1853</f>
        <v>38.846195999999999</v>
      </c>
      <c r="H1853" s="901">
        <f>GLOBAL_DER_FEV_2023!H1853</f>
        <v>0</v>
      </c>
      <c r="I1853" s="901">
        <f>GLOBAL_DER_FEV_2023!I1853</f>
        <v>0</v>
      </c>
      <c r="J1853" s="902">
        <f>GLOBAL_DER_FEV_2023!J1853</f>
        <v>0</v>
      </c>
      <c r="K1853" s="903"/>
      <c r="L1853" s="1177"/>
      <c r="M1853" s="1138">
        <f t="shared" si="189"/>
        <v>0</v>
      </c>
      <c r="N1853" s="1176">
        <f t="shared" si="193"/>
        <v>0</v>
      </c>
      <c r="O1853" s="905"/>
      <c r="P1853" s="36" t="str">
        <f>IF(N1852&gt;0,"xx",IF(N1852&gt;0,"xy",""))</f>
        <v/>
      </c>
      <c r="Q1853" s="317" t="str">
        <f t="shared" si="190"/>
        <v/>
      </c>
      <c r="R1853" s="317" t="str">
        <f t="shared" si="191"/>
        <v/>
      </c>
      <c r="S1853" s="317" t="str">
        <f t="shared" si="192"/>
        <v/>
      </c>
      <c r="T1853" s="317" t="str">
        <f>GLOBAL_DER_FEV_2023!S1853</f>
        <v/>
      </c>
      <c r="W1853" s="582">
        <v>0</v>
      </c>
      <c r="X1853" s="580"/>
      <c r="Y1853" s="583">
        <f>IF(GLOBAL_DER_FEV_2023!W1853=0,0,IF(GLOBAL_DER_FEV_2023!W1853&gt;0,"c","b"))</f>
        <v>0</v>
      </c>
    </row>
    <row r="1854" spans="1:25" ht="15" customHeight="1" x14ac:dyDescent="0.2">
      <c r="A1854" s="317" t="s">
        <v>147</v>
      </c>
      <c r="B1854" s="895" t="s">
        <v>147</v>
      </c>
      <c r="C1854" s="896"/>
      <c r="D1854" s="906" t="s">
        <v>229</v>
      </c>
      <c r="E1854" s="907">
        <f>GLOBAL_DER_FEV_2023!E1854</f>
        <v>150</v>
      </c>
      <c r="F1854" s="908">
        <f>GLOBAL_DER_FEV_2023!F1854</f>
        <v>0.55700000000000005</v>
      </c>
      <c r="G1854" s="949">
        <f>GLOBAL_DER_FEV_2023!G1854</f>
        <v>90.891260000000017</v>
      </c>
      <c r="H1854" s="901">
        <f>GLOBAL_DER_FEV_2023!H1854</f>
        <v>0</v>
      </c>
      <c r="I1854" s="901">
        <f>GLOBAL_DER_FEV_2023!I1854</f>
        <v>0</v>
      </c>
      <c r="J1854" s="902">
        <f>GLOBAL_DER_FEV_2023!J1854</f>
        <v>0</v>
      </c>
      <c r="K1854" s="903"/>
      <c r="L1854" s="1177"/>
      <c r="M1854" s="1138">
        <f t="shared" si="189"/>
        <v>0</v>
      </c>
      <c r="N1854" s="1176">
        <f t="shared" si="193"/>
        <v>0</v>
      </c>
      <c r="O1854" s="905"/>
      <c r="P1854" s="36" t="str">
        <f>IF(N1852&gt;0,"xx",IF(N1852&gt;0,"xy",""))</f>
        <v/>
      </c>
      <c r="Q1854" s="317" t="str">
        <f t="shared" si="190"/>
        <v/>
      </c>
      <c r="R1854" s="317" t="str">
        <f t="shared" si="191"/>
        <v/>
      </c>
      <c r="S1854" s="317" t="str">
        <f t="shared" si="192"/>
        <v/>
      </c>
      <c r="T1854" s="317" t="str">
        <f>GLOBAL_DER_FEV_2023!S1854</f>
        <v/>
      </c>
      <c r="W1854" s="582">
        <v>0</v>
      </c>
      <c r="X1854" s="580"/>
      <c r="Y1854" s="583">
        <f>IF(GLOBAL_DER_FEV_2023!W1854=0,0,IF(GLOBAL_DER_FEV_2023!W1854&gt;0,"c","b"))</f>
        <v>0</v>
      </c>
    </row>
    <row r="1855" spans="1:25" ht="15" customHeight="1" x14ac:dyDescent="0.2">
      <c r="A1855" s="317" t="s">
        <v>147</v>
      </c>
      <c r="B1855" s="895" t="s">
        <v>147</v>
      </c>
      <c r="C1855" s="896"/>
      <c r="D1855" s="906" t="s">
        <v>233</v>
      </c>
      <c r="E1855" s="907">
        <f>GLOBAL_DER_FEV_2023!E1855</f>
        <v>0.2</v>
      </c>
      <c r="F1855" s="908">
        <f>GLOBAL_DER_FEV_2023!F1855</f>
        <v>1.0170999999999999</v>
      </c>
      <c r="G1855" s="949">
        <f>GLOBAL_DER_FEV_2023!G1855</f>
        <v>2.9434874</v>
      </c>
      <c r="H1855" s="901">
        <f>GLOBAL_DER_FEV_2023!H1855</f>
        <v>0</v>
      </c>
      <c r="I1855" s="901">
        <f>GLOBAL_DER_FEV_2023!I1855</f>
        <v>0</v>
      </c>
      <c r="J1855" s="902">
        <f>GLOBAL_DER_FEV_2023!J1855</f>
        <v>0</v>
      </c>
      <c r="K1855" s="903"/>
      <c r="L1855" s="1177"/>
      <c r="M1855" s="1138">
        <f t="shared" si="189"/>
        <v>0</v>
      </c>
      <c r="N1855" s="1176">
        <f t="shared" si="193"/>
        <v>0</v>
      </c>
      <c r="O1855" s="905"/>
      <c r="P1855" s="36" t="str">
        <f>IF(N1852&gt;0,"xx",IF(N1852&gt;0,"xy",""))</f>
        <v/>
      </c>
      <c r="Q1855" s="317" t="str">
        <f t="shared" si="190"/>
        <v/>
      </c>
      <c r="R1855" s="317" t="str">
        <f t="shared" si="191"/>
        <v/>
      </c>
      <c r="S1855" s="317" t="str">
        <f t="shared" si="192"/>
        <v/>
      </c>
      <c r="T1855" s="317" t="str">
        <f>GLOBAL_DER_FEV_2023!S1855</f>
        <v/>
      </c>
      <c r="W1855" s="582">
        <v>0</v>
      </c>
      <c r="X1855" s="580"/>
      <c r="Y1855" s="583">
        <f>IF(GLOBAL_DER_FEV_2023!W1855=0,0,IF(GLOBAL_DER_FEV_2023!W1855&gt;0,"c","b"))</f>
        <v>0</v>
      </c>
    </row>
    <row r="1856" spans="1:25" ht="15" customHeight="1" x14ac:dyDescent="0.2">
      <c r="A1856" s="317">
        <v>620100</v>
      </c>
      <c r="B1856" s="895" t="s">
        <v>1816</v>
      </c>
      <c r="C1856" s="896" t="s">
        <v>184</v>
      </c>
      <c r="D1856" s="906" t="s">
        <v>344</v>
      </c>
      <c r="E1856" s="907">
        <f>GLOBAL_DER_FEV_2023!E1856</f>
        <v>0</v>
      </c>
      <c r="F1856" s="908">
        <f>GLOBAL_DER_FEV_2023!F1856</f>
        <v>0</v>
      </c>
      <c r="G1856" s="912">
        <f>GLOBAL_DER_FEV_2023!G1856</f>
        <v>167.58103040000003</v>
      </c>
      <c r="H1856" s="901">
        <f>GLOBAL_DER_FEV_2023!H1856</f>
        <v>954.15</v>
      </c>
      <c r="I1856" s="901">
        <f>GLOBAL_DER_FEV_2023!I1856</f>
        <v>1121.7310304</v>
      </c>
      <c r="J1856" s="902">
        <f>GLOBAL_DER_FEV_2023!J1856</f>
        <v>1346.86</v>
      </c>
      <c r="K1856" s="903" t="s">
        <v>15</v>
      </c>
      <c r="L1856" s="1137"/>
      <c r="M1856" s="1138">
        <f t="shared" si="189"/>
        <v>0</v>
      </c>
      <c r="N1856" s="1176">
        <f t="shared" si="193"/>
        <v>0</v>
      </c>
      <c r="O1856" s="905"/>
      <c r="Q1856" s="317" t="str">
        <f t="shared" si="190"/>
        <v/>
      </c>
      <c r="R1856" s="317" t="str">
        <f t="shared" si="191"/>
        <v/>
      </c>
      <c r="S1856" s="317" t="str">
        <f t="shared" si="192"/>
        <v/>
      </c>
      <c r="T1856" s="317" t="str">
        <f>GLOBAL_DER_FEV_2023!S1856</f>
        <v/>
      </c>
      <c r="W1856" s="582">
        <v>0</v>
      </c>
      <c r="X1856" s="580"/>
      <c r="Y1856" s="583">
        <f>IF(GLOBAL_DER_FEV_2023!W1856=0,0,IF(GLOBAL_DER_FEV_2023!W1856&gt;0,"c","b"))</f>
        <v>0</v>
      </c>
    </row>
    <row r="1857" spans="1:25" ht="15" customHeight="1" x14ac:dyDescent="0.2">
      <c r="A1857" s="317" t="s">
        <v>147</v>
      </c>
      <c r="B1857" s="895" t="s">
        <v>147</v>
      </c>
      <c r="C1857" s="896"/>
      <c r="D1857" s="906" t="s">
        <v>190</v>
      </c>
      <c r="E1857" s="907">
        <f>GLOBAL_DER_FEV_2023!E1857</f>
        <v>308</v>
      </c>
      <c r="F1857" s="908">
        <f>GLOBAL_DER_FEV_2023!F1857</f>
        <v>0.1978</v>
      </c>
      <c r="G1857" s="909">
        <f>GLOBAL_DER_FEV_2023!G1857</f>
        <v>49.066268000000001</v>
      </c>
      <c r="H1857" s="901">
        <f>GLOBAL_DER_FEV_2023!H1857</f>
        <v>0</v>
      </c>
      <c r="I1857" s="901">
        <f>GLOBAL_DER_FEV_2023!I1857</f>
        <v>0</v>
      </c>
      <c r="J1857" s="902">
        <f>GLOBAL_DER_FEV_2023!J1857</f>
        <v>0</v>
      </c>
      <c r="K1857" s="903"/>
      <c r="L1857" s="1177"/>
      <c r="M1857" s="1138">
        <f t="shared" si="189"/>
        <v>0</v>
      </c>
      <c r="N1857" s="1176">
        <f t="shared" si="193"/>
        <v>0</v>
      </c>
      <c r="O1857" s="905"/>
      <c r="P1857" s="36" t="str">
        <f>IF(N1856&gt;0,"xx",IF(N1856&gt;0,"xy",""))</f>
        <v/>
      </c>
      <c r="Q1857" s="317" t="str">
        <f t="shared" si="190"/>
        <v/>
      </c>
      <c r="R1857" s="317" t="str">
        <f t="shared" si="191"/>
        <v/>
      </c>
      <c r="S1857" s="317" t="str">
        <f t="shared" si="192"/>
        <v/>
      </c>
      <c r="T1857" s="317" t="str">
        <f>GLOBAL_DER_FEV_2023!S1857</f>
        <v/>
      </c>
      <c r="W1857" s="582">
        <v>0</v>
      </c>
      <c r="X1857" s="580"/>
      <c r="Y1857" s="583">
        <f>IF(GLOBAL_DER_FEV_2023!W1857=0,0,IF(GLOBAL_DER_FEV_2023!W1857&gt;0,"c","b"))</f>
        <v>0</v>
      </c>
    </row>
    <row r="1858" spans="1:25" ht="15" customHeight="1" x14ac:dyDescent="0.2">
      <c r="A1858" s="317" t="s">
        <v>147</v>
      </c>
      <c r="B1858" s="895" t="s">
        <v>147</v>
      </c>
      <c r="C1858" s="896"/>
      <c r="D1858" s="906" t="s">
        <v>229</v>
      </c>
      <c r="E1858" s="907">
        <f>GLOBAL_DER_FEV_2023!E1858</f>
        <v>150</v>
      </c>
      <c r="F1858" s="908">
        <f>GLOBAL_DER_FEV_2023!F1858</f>
        <v>0.70350000000000001</v>
      </c>
      <c r="G1858" s="949">
        <f>GLOBAL_DER_FEV_2023!G1858</f>
        <v>114.79713000000001</v>
      </c>
      <c r="H1858" s="901">
        <f>GLOBAL_DER_FEV_2023!H1858</f>
        <v>0</v>
      </c>
      <c r="I1858" s="901">
        <f>GLOBAL_DER_FEV_2023!I1858</f>
        <v>0</v>
      </c>
      <c r="J1858" s="902">
        <f>GLOBAL_DER_FEV_2023!J1858</f>
        <v>0</v>
      </c>
      <c r="K1858" s="903"/>
      <c r="L1858" s="1177"/>
      <c r="M1858" s="1138">
        <f t="shared" si="189"/>
        <v>0</v>
      </c>
      <c r="N1858" s="1176">
        <f t="shared" si="193"/>
        <v>0</v>
      </c>
      <c r="O1858" s="905"/>
      <c r="P1858" s="36" t="str">
        <f>IF(N1856&gt;0,"xx",IF(N1856&gt;0,"xy",""))</f>
        <v/>
      </c>
      <c r="Q1858" s="317" t="str">
        <f t="shared" si="190"/>
        <v/>
      </c>
      <c r="R1858" s="317" t="str">
        <f t="shared" si="191"/>
        <v/>
      </c>
      <c r="S1858" s="317" t="str">
        <f t="shared" si="192"/>
        <v/>
      </c>
      <c r="T1858" s="317" t="str">
        <f>GLOBAL_DER_FEV_2023!S1858</f>
        <v/>
      </c>
      <c r="W1858" s="582">
        <v>0</v>
      </c>
      <c r="X1858" s="580"/>
      <c r="Y1858" s="583">
        <f>IF(GLOBAL_DER_FEV_2023!W1858=0,0,IF(GLOBAL_DER_FEV_2023!W1858&gt;0,"c","b"))</f>
        <v>0</v>
      </c>
    </row>
    <row r="1859" spans="1:25" ht="15" customHeight="1" x14ac:dyDescent="0.2">
      <c r="A1859" s="317" t="s">
        <v>147</v>
      </c>
      <c r="B1859" s="895" t="s">
        <v>147</v>
      </c>
      <c r="C1859" s="896"/>
      <c r="D1859" s="906" t="s">
        <v>233</v>
      </c>
      <c r="E1859" s="907">
        <f>GLOBAL_DER_FEV_2023!E1859</f>
        <v>0.2</v>
      </c>
      <c r="F1859" s="908">
        <f>GLOBAL_DER_FEV_2023!F1859</f>
        <v>1.2846</v>
      </c>
      <c r="G1859" s="949">
        <f>GLOBAL_DER_FEV_2023!G1859</f>
        <v>3.7176324000000003</v>
      </c>
      <c r="H1859" s="901">
        <f>GLOBAL_DER_FEV_2023!H1859</f>
        <v>0</v>
      </c>
      <c r="I1859" s="901">
        <f>GLOBAL_DER_FEV_2023!I1859</f>
        <v>0</v>
      </c>
      <c r="J1859" s="902">
        <f>GLOBAL_DER_FEV_2023!J1859</f>
        <v>0</v>
      </c>
      <c r="K1859" s="903"/>
      <c r="L1859" s="1177"/>
      <c r="M1859" s="1138">
        <f t="shared" si="189"/>
        <v>0</v>
      </c>
      <c r="N1859" s="1176">
        <f t="shared" si="193"/>
        <v>0</v>
      </c>
      <c r="O1859" s="905"/>
      <c r="P1859" s="36" t="str">
        <f>IF(N1856&gt;0,"xx",IF(N1856&gt;0,"xy",""))</f>
        <v/>
      </c>
      <c r="Q1859" s="317" t="str">
        <f t="shared" si="190"/>
        <v/>
      </c>
      <c r="R1859" s="317" t="str">
        <f t="shared" si="191"/>
        <v/>
      </c>
      <c r="S1859" s="317" t="str">
        <f t="shared" si="192"/>
        <v/>
      </c>
      <c r="T1859" s="317" t="str">
        <f>GLOBAL_DER_FEV_2023!S1859</f>
        <v/>
      </c>
      <c r="W1859" s="582">
        <v>0</v>
      </c>
      <c r="X1859" s="580"/>
      <c r="Y1859" s="583">
        <f>IF(GLOBAL_DER_FEV_2023!W1859=0,0,IF(GLOBAL_DER_FEV_2023!W1859&gt;0,"c","b"))</f>
        <v>0</v>
      </c>
    </row>
    <row r="1860" spans="1:25" ht="15" customHeight="1" x14ac:dyDescent="0.2">
      <c r="A1860" s="317">
        <v>620100</v>
      </c>
      <c r="B1860" s="895" t="s">
        <v>1817</v>
      </c>
      <c r="C1860" s="896" t="s">
        <v>184</v>
      </c>
      <c r="D1860" s="906" t="s">
        <v>524</v>
      </c>
      <c r="E1860" s="907">
        <f>GLOBAL_DER_FEV_2023!E1860</f>
        <v>0</v>
      </c>
      <c r="F1860" s="908">
        <f>GLOBAL_DER_FEV_2023!F1860</f>
        <v>0</v>
      </c>
      <c r="G1860" s="912">
        <f>GLOBAL_DER_FEV_2023!G1860</f>
        <v>202.41826639999999</v>
      </c>
      <c r="H1860" s="901">
        <f>GLOBAL_DER_FEV_2023!H1860</f>
        <v>954.15</v>
      </c>
      <c r="I1860" s="901">
        <f>GLOBAL_DER_FEV_2023!I1860</f>
        <v>1156.5682664000001</v>
      </c>
      <c r="J1860" s="902">
        <f>GLOBAL_DER_FEV_2023!J1860</f>
        <v>1388.69</v>
      </c>
      <c r="K1860" s="903" t="s">
        <v>15</v>
      </c>
      <c r="L1860" s="1137"/>
      <c r="M1860" s="1138">
        <f t="shared" si="189"/>
        <v>0</v>
      </c>
      <c r="N1860" s="1176">
        <f t="shared" si="193"/>
        <v>0</v>
      </c>
      <c r="O1860" s="905"/>
      <c r="Q1860" s="317" t="str">
        <f t="shared" si="190"/>
        <v/>
      </c>
      <c r="R1860" s="317" t="str">
        <f t="shared" si="191"/>
        <v/>
      </c>
      <c r="S1860" s="317" t="str">
        <f t="shared" si="192"/>
        <v/>
      </c>
      <c r="T1860" s="317" t="str">
        <f>GLOBAL_DER_FEV_2023!S1860</f>
        <v/>
      </c>
      <c r="W1860" s="582">
        <v>0</v>
      </c>
      <c r="X1860" s="580"/>
      <c r="Y1860" s="583">
        <f>IF(GLOBAL_DER_FEV_2023!W1860=0,0,IF(GLOBAL_DER_FEV_2023!W1860&gt;0,"c","b"))</f>
        <v>0</v>
      </c>
    </row>
    <row r="1861" spans="1:25" ht="15" customHeight="1" x14ac:dyDescent="0.2">
      <c r="A1861" s="317" t="s">
        <v>147</v>
      </c>
      <c r="B1861" s="895" t="s">
        <v>147</v>
      </c>
      <c r="C1861" s="896"/>
      <c r="D1861" s="906" t="s">
        <v>190</v>
      </c>
      <c r="E1861" s="907">
        <f>GLOBAL_DER_FEV_2023!E1861</f>
        <v>308</v>
      </c>
      <c r="F1861" s="908">
        <f>GLOBAL_DER_FEV_2023!F1861</f>
        <v>0.2424</v>
      </c>
      <c r="G1861" s="909">
        <f>GLOBAL_DER_FEV_2023!G1861</f>
        <v>60.129744000000002</v>
      </c>
      <c r="H1861" s="901">
        <f>GLOBAL_DER_FEV_2023!H1861</f>
        <v>0</v>
      </c>
      <c r="I1861" s="901">
        <f>GLOBAL_DER_FEV_2023!I1861</f>
        <v>0</v>
      </c>
      <c r="J1861" s="902">
        <f>GLOBAL_DER_FEV_2023!J1861</f>
        <v>0</v>
      </c>
      <c r="K1861" s="903"/>
      <c r="L1861" s="1177"/>
      <c r="M1861" s="1138">
        <f t="shared" si="189"/>
        <v>0</v>
      </c>
      <c r="N1861" s="1176">
        <f t="shared" si="193"/>
        <v>0</v>
      </c>
      <c r="O1861" s="905"/>
      <c r="P1861" s="36" t="str">
        <f>IF(N1860&gt;0,"xx",IF(N1860&gt;0,"xy",""))</f>
        <v/>
      </c>
      <c r="Q1861" s="317" t="str">
        <f t="shared" si="190"/>
        <v/>
      </c>
      <c r="R1861" s="317" t="str">
        <f t="shared" si="191"/>
        <v/>
      </c>
      <c r="S1861" s="317" t="str">
        <f t="shared" si="192"/>
        <v/>
      </c>
      <c r="T1861" s="317" t="str">
        <f>GLOBAL_DER_FEV_2023!S1861</f>
        <v/>
      </c>
      <c r="W1861" s="582">
        <v>0</v>
      </c>
      <c r="X1861" s="580"/>
      <c r="Y1861" s="583">
        <f>IF(GLOBAL_DER_FEV_2023!W1861=0,0,IF(GLOBAL_DER_FEV_2023!W1861&gt;0,"c","b"))</f>
        <v>0</v>
      </c>
    </row>
    <row r="1862" spans="1:25" ht="15" customHeight="1" x14ac:dyDescent="0.2">
      <c r="A1862" s="317" t="s">
        <v>147</v>
      </c>
      <c r="B1862" s="895" t="s">
        <v>147</v>
      </c>
      <c r="C1862" s="896"/>
      <c r="D1862" s="906" t="s">
        <v>229</v>
      </c>
      <c r="E1862" s="907">
        <f>GLOBAL_DER_FEV_2023!E1862</f>
        <v>150</v>
      </c>
      <c r="F1862" s="908">
        <f>GLOBAL_DER_FEV_2023!F1862</f>
        <v>0.86180000000000001</v>
      </c>
      <c r="G1862" s="949">
        <f>GLOBAL_DER_FEV_2023!G1862</f>
        <v>140.628524</v>
      </c>
      <c r="H1862" s="901">
        <f>GLOBAL_DER_FEV_2023!H1862</f>
        <v>0</v>
      </c>
      <c r="I1862" s="901">
        <f>GLOBAL_DER_FEV_2023!I1862</f>
        <v>0</v>
      </c>
      <c r="J1862" s="902">
        <f>GLOBAL_DER_FEV_2023!J1862</f>
        <v>0</v>
      </c>
      <c r="K1862" s="903"/>
      <c r="L1862" s="1177"/>
      <c r="M1862" s="1138">
        <f t="shared" ref="M1862:M1925" si="194">IF(L1862=0,0,ROUND(J1862,2))</f>
        <v>0</v>
      </c>
      <c r="N1862" s="1176">
        <f t="shared" si="193"/>
        <v>0</v>
      </c>
      <c r="O1862" s="905"/>
      <c r="P1862" s="36" t="str">
        <f>IF(N1860&gt;0,"xx",IF(N1860&gt;0,"xy",""))</f>
        <v/>
      </c>
      <c r="Q1862" s="317" t="str">
        <f t="shared" si="190"/>
        <v/>
      </c>
      <c r="R1862" s="317" t="str">
        <f t="shared" si="191"/>
        <v/>
      </c>
      <c r="S1862" s="317" t="str">
        <f t="shared" si="192"/>
        <v/>
      </c>
      <c r="T1862" s="317" t="str">
        <f>GLOBAL_DER_FEV_2023!S1862</f>
        <v/>
      </c>
      <c r="W1862" s="582">
        <v>0</v>
      </c>
      <c r="X1862" s="580"/>
      <c r="Y1862" s="583">
        <f>IF(GLOBAL_DER_FEV_2023!W1862=0,0,IF(GLOBAL_DER_FEV_2023!W1862&gt;0,"c","b"))</f>
        <v>0</v>
      </c>
    </row>
    <row r="1863" spans="1:25" ht="15" customHeight="1" x14ac:dyDescent="0.2">
      <c r="A1863" s="317" t="s">
        <v>147</v>
      </c>
      <c r="B1863" s="895" t="s">
        <v>147</v>
      </c>
      <c r="C1863" s="896"/>
      <c r="D1863" s="906" t="s">
        <v>233</v>
      </c>
      <c r="E1863" s="907">
        <f>GLOBAL_DER_FEV_2023!E1863</f>
        <v>0.2</v>
      </c>
      <c r="F1863" s="908">
        <f>GLOBAL_DER_FEV_2023!F1863</f>
        <v>0.5736</v>
      </c>
      <c r="G1863" s="949">
        <f>GLOBAL_DER_FEV_2023!G1863</f>
        <v>1.6599984000000001</v>
      </c>
      <c r="H1863" s="901">
        <f>GLOBAL_DER_FEV_2023!H1863</f>
        <v>0</v>
      </c>
      <c r="I1863" s="901">
        <f>GLOBAL_DER_FEV_2023!I1863</f>
        <v>0</v>
      </c>
      <c r="J1863" s="902">
        <f>GLOBAL_DER_FEV_2023!J1863</f>
        <v>0</v>
      </c>
      <c r="K1863" s="903"/>
      <c r="L1863" s="1177"/>
      <c r="M1863" s="1138">
        <f t="shared" si="194"/>
        <v>0</v>
      </c>
      <c r="N1863" s="1176">
        <f t="shared" si="193"/>
        <v>0</v>
      </c>
      <c r="O1863" s="905"/>
      <c r="P1863" s="36" t="str">
        <f>IF(N1860&gt;0,"xx",IF(N1860&gt;0,"xy",""))</f>
        <v/>
      </c>
      <c r="Q1863" s="317" t="str">
        <f t="shared" si="190"/>
        <v/>
      </c>
      <c r="R1863" s="317" t="str">
        <f t="shared" si="191"/>
        <v/>
      </c>
      <c r="S1863" s="317" t="str">
        <f t="shared" si="192"/>
        <v/>
      </c>
      <c r="T1863" s="317" t="str">
        <f>GLOBAL_DER_FEV_2023!S1863</f>
        <v/>
      </c>
      <c r="W1863" s="582">
        <v>0</v>
      </c>
      <c r="X1863" s="580"/>
      <c r="Y1863" s="583">
        <f>IF(GLOBAL_DER_FEV_2023!W1863=0,0,IF(GLOBAL_DER_FEV_2023!W1863&gt;0,"c","b"))</f>
        <v>0</v>
      </c>
    </row>
    <row r="1864" spans="1:25" ht="15" customHeight="1" x14ac:dyDescent="0.2">
      <c r="A1864" s="317">
        <v>620200</v>
      </c>
      <c r="B1864" s="895" t="s">
        <v>1820</v>
      </c>
      <c r="C1864" s="896" t="s">
        <v>184</v>
      </c>
      <c r="D1864" s="906" t="s">
        <v>345</v>
      </c>
      <c r="E1864" s="907">
        <f>GLOBAL_DER_FEV_2023!E1864</f>
        <v>0</v>
      </c>
      <c r="F1864" s="908">
        <f>GLOBAL_DER_FEV_2023!F1864</f>
        <v>0</v>
      </c>
      <c r="G1864" s="912">
        <f>GLOBAL_DER_FEV_2023!G1864</f>
        <v>243.00208899999998</v>
      </c>
      <c r="H1864" s="901">
        <f>GLOBAL_DER_FEV_2023!H1864</f>
        <v>1321.46</v>
      </c>
      <c r="I1864" s="901">
        <f>GLOBAL_DER_FEV_2023!I1864</f>
        <v>1564.4620890000001</v>
      </c>
      <c r="J1864" s="902">
        <f>GLOBAL_DER_FEV_2023!J1864</f>
        <v>1878.45</v>
      </c>
      <c r="K1864" s="903" t="s">
        <v>15</v>
      </c>
      <c r="L1864" s="1137"/>
      <c r="M1864" s="1138">
        <f t="shared" si="194"/>
        <v>0</v>
      </c>
      <c r="N1864" s="1176">
        <f t="shared" si="193"/>
        <v>0</v>
      </c>
      <c r="O1864" s="905"/>
      <c r="Q1864" s="317" t="str">
        <f t="shared" si="190"/>
        <v/>
      </c>
      <c r="R1864" s="317" t="str">
        <f t="shared" si="191"/>
        <v/>
      </c>
      <c r="S1864" s="317" t="str">
        <f t="shared" si="192"/>
        <v/>
      </c>
      <c r="T1864" s="317" t="str">
        <f>GLOBAL_DER_FEV_2023!S1864</f>
        <v/>
      </c>
      <c r="W1864" s="582">
        <v>0</v>
      </c>
      <c r="X1864" s="580"/>
      <c r="Y1864" s="583">
        <f>IF(GLOBAL_DER_FEV_2023!W1864=0,0,IF(GLOBAL_DER_FEV_2023!W1864&gt;0,"c","b"))</f>
        <v>0</v>
      </c>
    </row>
    <row r="1865" spans="1:25" ht="15" customHeight="1" x14ac:dyDescent="0.2">
      <c r="A1865" s="317" t="s">
        <v>147</v>
      </c>
      <c r="B1865" s="895" t="s">
        <v>147</v>
      </c>
      <c r="C1865" s="896"/>
      <c r="D1865" s="906" t="s">
        <v>190</v>
      </c>
      <c r="E1865" s="907">
        <f>GLOBAL_DER_FEV_2023!E1865</f>
        <v>308</v>
      </c>
      <c r="F1865" s="908">
        <f>GLOBAL_DER_FEV_2023!F1865</f>
        <v>0.28689999999999999</v>
      </c>
      <c r="G1865" s="909">
        <f>GLOBAL_DER_FEV_2023!G1865</f>
        <v>71.168413999999999</v>
      </c>
      <c r="H1865" s="901">
        <f>GLOBAL_DER_FEV_2023!H1865</f>
        <v>0</v>
      </c>
      <c r="I1865" s="901">
        <f>GLOBAL_DER_FEV_2023!I1865</f>
        <v>0</v>
      </c>
      <c r="J1865" s="902">
        <f>GLOBAL_DER_FEV_2023!J1865</f>
        <v>0</v>
      </c>
      <c r="K1865" s="903"/>
      <c r="L1865" s="1177"/>
      <c r="M1865" s="1138">
        <f t="shared" si="194"/>
        <v>0</v>
      </c>
      <c r="N1865" s="1176">
        <f t="shared" si="193"/>
        <v>0</v>
      </c>
      <c r="O1865" s="905"/>
      <c r="P1865" s="36" t="str">
        <f>IF(N1864&gt;0,"xx",IF(N1864&gt;0,"xy",""))</f>
        <v/>
      </c>
      <c r="Q1865" s="317" t="str">
        <f t="shared" si="190"/>
        <v/>
      </c>
      <c r="R1865" s="317" t="str">
        <f t="shared" si="191"/>
        <v/>
      </c>
      <c r="S1865" s="317" t="str">
        <f t="shared" si="192"/>
        <v/>
      </c>
      <c r="T1865" s="317" t="str">
        <f>GLOBAL_DER_FEV_2023!S1865</f>
        <v/>
      </c>
      <c r="W1865" s="582">
        <v>0</v>
      </c>
      <c r="X1865" s="580"/>
      <c r="Y1865" s="583">
        <f>IF(GLOBAL_DER_FEV_2023!W1865=0,0,IF(GLOBAL_DER_FEV_2023!W1865&gt;0,"c","b"))</f>
        <v>0</v>
      </c>
    </row>
    <row r="1866" spans="1:25" ht="15" customHeight="1" x14ac:dyDescent="0.2">
      <c r="A1866" s="317" t="s">
        <v>147</v>
      </c>
      <c r="B1866" s="895" t="s">
        <v>147</v>
      </c>
      <c r="C1866" s="896"/>
      <c r="D1866" s="906" t="s">
        <v>229</v>
      </c>
      <c r="E1866" s="907">
        <f>GLOBAL_DER_FEV_2023!E1866</f>
        <v>150</v>
      </c>
      <c r="F1866" s="908">
        <f>GLOBAL_DER_FEV_2023!F1866</f>
        <v>1.02</v>
      </c>
      <c r="G1866" s="949">
        <f>GLOBAL_DER_FEV_2023!G1866</f>
        <v>166.4436</v>
      </c>
      <c r="H1866" s="901">
        <f>GLOBAL_DER_FEV_2023!H1866</f>
        <v>0</v>
      </c>
      <c r="I1866" s="901">
        <f>GLOBAL_DER_FEV_2023!I1866</f>
        <v>0</v>
      </c>
      <c r="J1866" s="902">
        <f>GLOBAL_DER_FEV_2023!J1866</f>
        <v>0</v>
      </c>
      <c r="K1866" s="903"/>
      <c r="L1866" s="1177"/>
      <c r="M1866" s="1138">
        <f t="shared" si="194"/>
        <v>0</v>
      </c>
      <c r="N1866" s="1176">
        <f t="shared" si="193"/>
        <v>0</v>
      </c>
      <c r="O1866" s="905"/>
      <c r="P1866" s="36" t="str">
        <f>IF(N1864&gt;0,"xx",IF(N1864&gt;0,"xy",""))</f>
        <v/>
      </c>
      <c r="Q1866" s="317" t="str">
        <f t="shared" si="190"/>
        <v/>
      </c>
      <c r="R1866" s="317" t="str">
        <f t="shared" si="191"/>
        <v/>
      </c>
      <c r="S1866" s="317" t="str">
        <f t="shared" si="192"/>
        <v/>
      </c>
      <c r="T1866" s="317" t="str">
        <f>GLOBAL_DER_FEV_2023!S1866</f>
        <v/>
      </c>
      <c r="W1866" s="582">
        <v>0</v>
      </c>
      <c r="X1866" s="580"/>
      <c r="Y1866" s="583">
        <f>IF(GLOBAL_DER_FEV_2023!W1866=0,0,IF(GLOBAL_DER_FEV_2023!W1866&gt;0,"c","b"))</f>
        <v>0</v>
      </c>
    </row>
    <row r="1867" spans="1:25" ht="15" customHeight="1" x14ac:dyDescent="0.2">
      <c r="A1867" s="317" t="s">
        <v>147</v>
      </c>
      <c r="B1867" s="895" t="s">
        <v>147</v>
      </c>
      <c r="C1867" s="896"/>
      <c r="D1867" s="906" t="s">
        <v>233</v>
      </c>
      <c r="E1867" s="907">
        <f>GLOBAL_DER_FEV_2023!E1867</f>
        <v>0.2</v>
      </c>
      <c r="F1867" s="908">
        <f>GLOBAL_DER_FEV_2023!F1867</f>
        <v>1.8625</v>
      </c>
      <c r="G1867" s="949">
        <f>GLOBAL_DER_FEV_2023!G1867</f>
        <v>5.3900750000000004</v>
      </c>
      <c r="H1867" s="901">
        <f>GLOBAL_DER_FEV_2023!H1867</f>
        <v>0</v>
      </c>
      <c r="I1867" s="901">
        <f>GLOBAL_DER_FEV_2023!I1867</f>
        <v>0</v>
      </c>
      <c r="J1867" s="902">
        <f>GLOBAL_DER_FEV_2023!J1867</f>
        <v>0</v>
      </c>
      <c r="K1867" s="903"/>
      <c r="L1867" s="1177"/>
      <c r="M1867" s="1138">
        <f t="shared" si="194"/>
        <v>0</v>
      </c>
      <c r="N1867" s="1176">
        <f t="shared" si="193"/>
        <v>0</v>
      </c>
      <c r="O1867" s="905"/>
      <c r="P1867" s="36" t="str">
        <f>IF(N1864&gt;0,"xx",IF(N1864&gt;0,"xy",""))</f>
        <v/>
      </c>
      <c r="Q1867" s="317" t="str">
        <f t="shared" si="190"/>
        <v/>
      </c>
      <c r="R1867" s="317" t="str">
        <f t="shared" si="191"/>
        <v/>
      </c>
      <c r="S1867" s="317" t="str">
        <f t="shared" si="192"/>
        <v/>
      </c>
      <c r="T1867" s="317" t="str">
        <f>GLOBAL_DER_FEV_2023!S1867</f>
        <v/>
      </c>
      <c r="W1867" s="582">
        <v>0</v>
      </c>
      <c r="X1867" s="580"/>
      <c r="Y1867" s="583">
        <f>IF(GLOBAL_DER_FEV_2023!W1867=0,0,IF(GLOBAL_DER_FEV_2023!W1867&gt;0,"c","b"))</f>
        <v>0</v>
      </c>
    </row>
    <row r="1868" spans="1:25" ht="15" customHeight="1" x14ac:dyDescent="0.2">
      <c r="A1868" s="317">
        <v>620300</v>
      </c>
      <c r="B1868" s="895">
        <v>620300</v>
      </c>
      <c r="C1868" s="896" t="s">
        <v>184</v>
      </c>
      <c r="D1868" s="906" t="s">
        <v>346</v>
      </c>
      <c r="E1868" s="907">
        <f>GLOBAL_DER_FEV_2023!E1868</f>
        <v>0</v>
      </c>
      <c r="F1868" s="908">
        <f>GLOBAL_DER_FEV_2023!F1868</f>
        <v>0</v>
      </c>
      <c r="G1868" s="912">
        <f>GLOBAL_DER_FEV_2023!G1868</f>
        <v>364.6747934</v>
      </c>
      <c r="H1868" s="901">
        <f>GLOBAL_DER_FEV_2023!H1868</f>
        <v>1880.07</v>
      </c>
      <c r="I1868" s="901">
        <f>GLOBAL_DER_FEV_2023!I1868</f>
        <v>2244.7447934000002</v>
      </c>
      <c r="J1868" s="902">
        <f>GLOBAL_DER_FEV_2023!J1868</f>
        <v>2695.27</v>
      </c>
      <c r="K1868" s="903" t="s">
        <v>15</v>
      </c>
      <c r="L1868" s="1137"/>
      <c r="M1868" s="1138">
        <f t="shared" si="194"/>
        <v>0</v>
      </c>
      <c r="N1868" s="1176">
        <f t="shared" si="193"/>
        <v>0</v>
      </c>
      <c r="O1868" s="905"/>
      <c r="Q1868" s="317" t="str">
        <f t="shared" si="190"/>
        <v/>
      </c>
      <c r="R1868" s="317" t="str">
        <f t="shared" si="191"/>
        <v/>
      </c>
      <c r="S1868" s="317" t="str">
        <f t="shared" si="192"/>
        <v/>
      </c>
      <c r="T1868" s="317" t="str">
        <f>GLOBAL_DER_FEV_2023!S1868</f>
        <v/>
      </c>
      <c r="W1868" s="582">
        <v>0</v>
      </c>
      <c r="X1868" s="580"/>
      <c r="Y1868" s="583">
        <f>IF(GLOBAL_DER_FEV_2023!W1868=0,0,IF(GLOBAL_DER_FEV_2023!W1868&gt;0,"c","b"))</f>
        <v>0</v>
      </c>
    </row>
    <row r="1869" spans="1:25" ht="15" customHeight="1" x14ac:dyDescent="0.2">
      <c r="A1869" s="317" t="s">
        <v>147</v>
      </c>
      <c r="B1869" s="895" t="s">
        <v>147</v>
      </c>
      <c r="C1869" s="896"/>
      <c r="D1869" s="906" t="s">
        <v>190</v>
      </c>
      <c r="E1869" s="907">
        <f>GLOBAL_DER_FEV_2023!E1869</f>
        <v>308</v>
      </c>
      <c r="F1869" s="908">
        <f>GLOBAL_DER_FEV_2023!F1869</f>
        <v>0.43049999999999999</v>
      </c>
      <c r="G1869" s="909">
        <f>GLOBAL_DER_FEV_2023!G1869</f>
        <v>106.78982999999999</v>
      </c>
      <c r="H1869" s="901">
        <f>GLOBAL_DER_FEV_2023!H1869</f>
        <v>0</v>
      </c>
      <c r="I1869" s="901">
        <f>GLOBAL_DER_FEV_2023!I1869</f>
        <v>0</v>
      </c>
      <c r="J1869" s="902">
        <f>GLOBAL_DER_FEV_2023!J1869</f>
        <v>0</v>
      </c>
      <c r="K1869" s="903"/>
      <c r="L1869" s="1177"/>
      <c r="M1869" s="1138">
        <f t="shared" si="194"/>
        <v>0</v>
      </c>
      <c r="N1869" s="1176">
        <f t="shared" si="193"/>
        <v>0</v>
      </c>
      <c r="O1869" s="905"/>
      <c r="P1869" s="36" t="str">
        <f>IF(N1868&gt;0,"xx",IF(N1868&gt;0,"xy",""))</f>
        <v/>
      </c>
      <c r="Q1869" s="317" t="str">
        <f t="shared" si="190"/>
        <v/>
      </c>
      <c r="R1869" s="317" t="str">
        <f t="shared" si="191"/>
        <v/>
      </c>
      <c r="S1869" s="317" t="str">
        <f t="shared" si="192"/>
        <v/>
      </c>
      <c r="T1869" s="317" t="str">
        <f>GLOBAL_DER_FEV_2023!S1869</f>
        <v/>
      </c>
      <c r="W1869" s="582">
        <v>0</v>
      </c>
      <c r="X1869" s="580"/>
      <c r="Y1869" s="583">
        <f>IF(GLOBAL_DER_FEV_2023!W1869=0,0,IF(GLOBAL_DER_FEV_2023!W1869&gt;0,"c","b"))</f>
        <v>0</v>
      </c>
    </row>
    <row r="1870" spans="1:25" ht="15" customHeight="1" x14ac:dyDescent="0.2">
      <c r="A1870" s="317" t="s">
        <v>147</v>
      </c>
      <c r="B1870" s="895" t="s">
        <v>147</v>
      </c>
      <c r="C1870" s="896"/>
      <c r="D1870" s="906" t="s">
        <v>229</v>
      </c>
      <c r="E1870" s="907">
        <f>GLOBAL_DER_FEV_2023!E1870</f>
        <v>150</v>
      </c>
      <c r="F1870" s="908">
        <f>GLOBAL_DER_FEV_2023!F1870</f>
        <v>1.5307999999999999</v>
      </c>
      <c r="G1870" s="949">
        <f>GLOBAL_DER_FEV_2023!G1870</f>
        <v>249.79594399999999</v>
      </c>
      <c r="H1870" s="901">
        <f>GLOBAL_DER_FEV_2023!H1870</f>
        <v>0</v>
      </c>
      <c r="I1870" s="901">
        <f>GLOBAL_DER_FEV_2023!I1870</f>
        <v>0</v>
      </c>
      <c r="J1870" s="902">
        <f>GLOBAL_DER_FEV_2023!J1870</f>
        <v>0</v>
      </c>
      <c r="K1870" s="903"/>
      <c r="L1870" s="1177"/>
      <c r="M1870" s="1138">
        <f t="shared" si="194"/>
        <v>0</v>
      </c>
      <c r="N1870" s="1176">
        <f t="shared" si="193"/>
        <v>0</v>
      </c>
      <c r="O1870" s="905"/>
      <c r="P1870" s="36" t="str">
        <f>IF(N1868&gt;0,"xx",IF(N1868&gt;0,"xy",""))</f>
        <v/>
      </c>
      <c r="Q1870" s="317" t="str">
        <f t="shared" si="190"/>
        <v/>
      </c>
      <c r="R1870" s="317" t="str">
        <f t="shared" si="191"/>
        <v/>
      </c>
      <c r="S1870" s="317" t="str">
        <f t="shared" si="192"/>
        <v/>
      </c>
      <c r="T1870" s="317" t="str">
        <f>GLOBAL_DER_FEV_2023!S1870</f>
        <v/>
      </c>
      <c r="W1870" s="582">
        <v>0</v>
      </c>
      <c r="X1870" s="580"/>
      <c r="Y1870" s="583">
        <f>IF(GLOBAL_DER_FEV_2023!W1870=0,0,IF(GLOBAL_DER_FEV_2023!W1870&gt;0,"c","b"))</f>
        <v>0</v>
      </c>
    </row>
    <row r="1871" spans="1:25" ht="15" customHeight="1" x14ac:dyDescent="0.2">
      <c r="A1871" s="317" t="s">
        <v>147</v>
      </c>
      <c r="B1871" s="895" t="s">
        <v>147</v>
      </c>
      <c r="C1871" s="896"/>
      <c r="D1871" s="906" t="s">
        <v>233</v>
      </c>
      <c r="E1871" s="907">
        <f>GLOBAL_DER_FEV_2023!E1871</f>
        <v>0.2</v>
      </c>
      <c r="F1871" s="908">
        <f>GLOBAL_DER_FEV_2023!F1871</f>
        <v>2.7951000000000001</v>
      </c>
      <c r="G1871" s="949">
        <f>GLOBAL_DER_FEV_2023!G1871</f>
        <v>8.0890194000000015</v>
      </c>
      <c r="H1871" s="901">
        <f>GLOBAL_DER_FEV_2023!H1871</f>
        <v>0</v>
      </c>
      <c r="I1871" s="901">
        <f>GLOBAL_DER_FEV_2023!I1871</f>
        <v>0</v>
      </c>
      <c r="J1871" s="902">
        <f>GLOBAL_DER_FEV_2023!J1871</f>
        <v>0</v>
      </c>
      <c r="K1871" s="903"/>
      <c r="L1871" s="1177"/>
      <c r="M1871" s="1138">
        <f t="shared" si="194"/>
        <v>0</v>
      </c>
      <c r="N1871" s="1176">
        <f t="shared" si="193"/>
        <v>0</v>
      </c>
      <c r="O1871" s="905"/>
      <c r="P1871" s="36" t="str">
        <f>IF(N1868&gt;0,"xx",IF(N1868&gt;0,"xy",""))</f>
        <v/>
      </c>
      <c r="Q1871" s="317" t="str">
        <f t="shared" si="190"/>
        <v/>
      </c>
      <c r="R1871" s="317" t="str">
        <f t="shared" si="191"/>
        <v/>
      </c>
      <c r="S1871" s="317" t="str">
        <f t="shared" si="192"/>
        <v/>
      </c>
      <c r="T1871" s="317" t="str">
        <f>GLOBAL_DER_FEV_2023!S1871</f>
        <v/>
      </c>
      <c r="W1871" s="582">
        <v>0</v>
      </c>
      <c r="X1871" s="580"/>
      <c r="Y1871" s="583">
        <f>IF(GLOBAL_DER_FEV_2023!W1871=0,0,IF(GLOBAL_DER_FEV_2023!W1871&gt;0,"c","b"))</f>
        <v>0</v>
      </c>
    </row>
    <row r="1872" spans="1:25" ht="15" customHeight="1" x14ac:dyDescent="0.2">
      <c r="A1872" s="317">
        <v>620400</v>
      </c>
      <c r="B1872" s="895">
        <v>620400</v>
      </c>
      <c r="C1872" s="896" t="s">
        <v>184</v>
      </c>
      <c r="D1872" s="906" t="s">
        <v>347</v>
      </c>
      <c r="E1872" s="907">
        <f>GLOBAL_DER_FEV_2023!E1872</f>
        <v>0</v>
      </c>
      <c r="F1872" s="908">
        <f>GLOBAL_DER_FEV_2023!F1872</f>
        <v>0</v>
      </c>
      <c r="G1872" s="912">
        <f>GLOBAL_DER_FEV_2023!G1872</f>
        <v>492.41287280000006</v>
      </c>
      <c r="H1872" s="901">
        <f>GLOBAL_DER_FEV_2023!H1872</f>
        <v>2407.5300000000002</v>
      </c>
      <c r="I1872" s="901">
        <f>GLOBAL_DER_FEV_2023!I1872</f>
        <v>2899.9428728000003</v>
      </c>
      <c r="J1872" s="902">
        <f>GLOBAL_DER_FEV_2023!J1872</f>
        <v>3481.96</v>
      </c>
      <c r="K1872" s="903" t="s">
        <v>15</v>
      </c>
      <c r="L1872" s="1137"/>
      <c r="M1872" s="1138">
        <f t="shared" si="194"/>
        <v>0</v>
      </c>
      <c r="N1872" s="1176">
        <f t="shared" si="193"/>
        <v>0</v>
      </c>
      <c r="O1872" s="905"/>
      <c r="Q1872" s="317" t="str">
        <f t="shared" si="190"/>
        <v/>
      </c>
      <c r="R1872" s="317" t="str">
        <f t="shared" si="191"/>
        <v/>
      </c>
      <c r="S1872" s="317" t="str">
        <f t="shared" si="192"/>
        <v/>
      </c>
      <c r="T1872" s="317" t="str">
        <f>GLOBAL_DER_FEV_2023!S1872</f>
        <v/>
      </c>
      <c r="W1872" s="582">
        <v>0</v>
      </c>
      <c r="X1872" s="580"/>
      <c r="Y1872" s="583">
        <f>IF(GLOBAL_DER_FEV_2023!W1872=0,0,IF(GLOBAL_DER_FEV_2023!W1872&gt;0,"c","b"))</f>
        <v>0</v>
      </c>
    </row>
    <row r="1873" spans="1:25" ht="15" customHeight="1" x14ac:dyDescent="0.2">
      <c r="A1873" s="317" t="s">
        <v>147</v>
      </c>
      <c r="B1873" s="895" t="s">
        <v>147</v>
      </c>
      <c r="C1873" s="896"/>
      <c r="D1873" s="906" t="s">
        <v>190</v>
      </c>
      <c r="E1873" s="907">
        <f>GLOBAL_DER_FEV_2023!E1873</f>
        <v>308</v>
      </c>
      <c r="F1873" s="908">
        <f>GLOBAL_DER_FEV_2023!F1873</f>
        <v>0.58130000000000004</v>
      </c>
      <c r="G1873" s="909">
        <f>GLOBAL_DER_FEV_2023!G1873</f>
        <v>144.19727800000001</v>
      </c>
      <c r="H1873" s="901">
        <f>GLOBAL_DER_FEV_2023!H1873</f>
        <v>0</v>
      </c>
      <c r="I1873" s="901">
        <f>GLOBAL_DER_FEV_2023!I1873</f>
        <v>0</v>
      </c>
      <c r="J1873" s="902">
        <f>GLOBAL_DER_FEV_2023!J1873</f>
        <v>0</v>
      </c>
      <c r="K1873" s="903"/>
      <c r="L1873" s="1177"/>
      <c r="M1873" s="1138">
        <f t="shared" si="194"/>
        <v>0</v>
      </c>
      <c r="N1873" s="1176">
        <f t="shared" si="193"/>
        <v>0</v>
      </c>
      <c r="O1873" s="905"/>
      <c r="P1873" s="36" t="str">
        <f>IF(N1872&gt;0,"xx",IF(N1872&gt;0,"xy",""))</f>
        <v/>
      </c>
      <c r="Q1873" s="317" t="str">
        <f t="shared" ref="Q1873:Q1936" si="195">IF(P1873="X","x",IF(P1873="xx","x",IF(P1873="xy","x",IF(P1873="y","x",IF(OR(N1873&gt;0,N1873&gt;0),"x","")))))</f>
        <v/>
      </c>
      <c r="R1873" s="317" t="str">
        <f t="shared" si="191"/>
        <v/>
      </c>
      <c r="S1873" s="317" t="str">
        <f t="shared" si="192"/>
        <v/>
      </c>
      <c r="T1873" s="317" t="str">
        <f>GLOBAL_DER_FEV_2023!S1873</f>
        <v/>
      </c>
      <c r="W1873" s="582">
        <v>0</v>
      </c>
      <c r="X1873" s="580"/>
      <c r="Y1873" s="583">
        <f>IF(GLOBAL_DER_FEV_2023!W1873=0,0,IF(GLOBAL_DER_FEV_2023!W1873&gt;0,"c","b"))</f>
        <v>0</v>
      </c>
    </row>
    <row r="1874" spans="1:25" ht="15" customHeight="1" x14ac:dyDescent="0.2">
      <c r="A1874" s="317" t="s">
        <v>147</v>
      </c>
      <c r="B1874" s="895" t="s">
        <v>147</v>
      </c>
      <c r="C1874" s="896"/>
      <c r="D1874" s="906" t="s">
        <v>229</v>
      </c>
      <c r="E1874" s="907">
        <f>GLOBAL_DER_FEV_2023!E1874</f>
        <v>150</v>
      </c>
      <c r="F1874" s="908">
        <f>GLOBAL_DER_FEV_2023!F1874</f>
        <v>2.0670000000000002</v>
      </c>
      <c r="G1874" s="949">
        <f>GLOBAL_DER_FEV_2023!G1874</f>
        <v>337.29306000000003</v>
      </c>
      <c r="H1874" s="901">
        <f>GLOBAL_DER_FEV_2023!H1874</f>
        <v>0</v>
      </c>
      <c r="I1874" s="901">
        <f>GLOBAL_DER_FEV_2023!I1874</f>
        <v>0</v>
      </c>
      <c r="J1874" s="902">
        <f>GLOBAL_DER_FEV_2023!J1874</f>
        <v>0</v>
      </c>
      <c r="K1874" s="903"/>
      <c r="L1874" s="1177"/>
      <c r="M1874" s="1138">
        <f t="shared" si="194"/>
        <v>0</v>
      </c>
      <c r="N1874" s="1176">
        <f t="shared" si="193"/>
        <v>0</v>
      </c>
      <c r="O1874" s="905"/>
      <c r="P1874" s="36" t="str">
        <f>IF(N1872&gt;0,"xx",IF(N1872&gt;0,"xy",""))</f>
        <v/>
      </c>
      <c r="Q1874" s="317" t="str">
        <f t="shared" si="195"/>
        <v/>
      </c>
      <c r="R1874" s="317" t="str">
        <f t="shared" si="191"/>
        <v/>
      </c>
      <c r="S1874" s="317" t="str">
        <f t="shared" si="192"/>
        <v/>
      </c>
      <c r="T1874" s="317" t="str">
        <f>GLOBAL_DER_FEV_2023!S1874</f>
        <v/>
      </c>
      <c r="W1874" s="582">
        <v>0</v>
      </c>
      <c r="X1874" s="580"/>
      <c r="Y1874" s="583">
        <f>IF(GLOBAL_DER_FEV_2023!W1874=0,0,IF(GLOBAL_DER_FEV_2023!W1874&gt;0,"c","b"))</f>
        <v>0</v>
      </c>
    </row>
    <row r="1875" spans="1:25" ht="15" customHeight="1" x14ac:dyDescent="0.2">
      <c r="A1875" s="317" t="s">
        <v>147</v>
      </c>
      <c r="B1875" s="895" t="s">
        <v>147</v>
      </c>
      <c r="C1875" s="896"/>
      <c r="D1875" s="906" t="s">
        <v>233</v>
      </c>
      <c r="E1875" s="907">
        <f>GLOBAL_DER_FEV_2023!E1875</f>
        <v>0.2</v>
      </c>
      <c r="F1875" s="908">
        <f>GLOBAL_DER_FEV_2023!F1875</f>
        <v>3.7742</v>
      </c>
      <c r="G1875" s="949">
        <f>GLOBAL_DER_FEV_2023!G1875</f>
        <v>10.922534800000001</v>
      </c>
      <c r="H1875" s="901">
        <f>GLOBAL_DER_FEV_2023!H1875</f>
        <v>0</v>
      </c>
      <c r="I1875" s="901">
        <f>GLOBAL_DER_FEV_2023!I1875</f>
        <v>0</v>
      </c>
      <c r="J1875" s="902">
        <f>GLOBAL_DER_FEV_2023!J1875</f>
        <v>0</v>
      </c>
      <c r="K1875" s="903"/>
      <c r="L1875" s="1177"/>
      <c r="M1875" s="1138">
        <f t="shared" si="194"/>
        <v>0</v>
      </c>
      <c r="N1875" s="1176">
        <f t="shared" si="193"/>
        <v>0</v>
      </c>
      <c r="O1875" s="905"/>
      <c r="P1875" s="36" t="str">
        <f>IF(N1872&gt;0,"xx",IF(N1872&gt;0,"xy",""))</f>
        <v/>
      </c>
      <c r="Q1875" s="317" t="str">
        <f t="shared" si="195"/>
        <v/>
      </c>
      <c r="R1875" s="317" t="str">
        <f t="shared" ref="R1875:R1938" si="196">IF(P1875="X","x",IF(P1875="y","x",IF(P1875="xx","x",IF(N1875&gt;0,"x",""))))</f>
        <v/>
      </c>
      <c r="S1875" s="317" t="str">
        <f t="shared" ref="S1875:S1938" si="197">IF(P1875="X","x",IF(N1875&gt;0,"x",""))</f>
        <v/>
      </c>
      <c r="T1875" s="317" t="str">
        <f>GLOBAL_DER_FEV_2023!S1875</f>
        <v/>
      </c>
      <c r="W1875" s="582">
        <v>0</v>
      </c>
      <c r="X1875" s="580"/>
      <c r="Y1875" s="583">
        <f>IF(GLOBAL_DER_FEV_2023!W1875=0,0,IF(GLOBAL_DER_FEV_2023!W1875&gt;0,"c","b"))</f>
        <v>0</v>
      </c>
    </row>
    <row r="1876" spans="1:25" ht="15" customHeight="1" x14ac:dyDescent="0.2">
      <c r="A1876" s="317">
        <v>620500</v>
      </c>
      <c r="B1876" s="895">
        <v>620500</v>
      </c>
      <c r="C1876" s="896" t="s">
        <v>184</v>
      </c>
      <c r="D1876" s="906" t="s">
        <v>348</v>
      </c>
      <c r="E1876" s="907">
        <f>GLOBAL_DER_FEV_2023!E1876</f>
        <v>0</v>
      </c>
      <c r="F1876" s="908">
        <f>GLOBAL_DER_FEV_2023!F1876</f>
        <v>0</v>
      </c>
      <c r="G1876" s="912">
        <f>GLOBAL_DER_FEV_2023!G1876</f>
        <v>988.6957106000001</v>
      </c>
      <c r="H1876" s="901">
        <f>GLOBAL_DER_FEV_2023!H1876</f>
        <v>4302.26</v>
      </c>
      <c r="I1876" s="901">
        <f>GLOBAL_DER_FEV_2023!I1876</f>
        <v>5290.9557106000002</v>
      </c>
      <c r="J1876" s="902">
        <f>GLOBAL_DER_FEV_2023!J1876</f>
        <v>6352.85</v>
      </c>
      <c r="K1876" s="903" t="s">
        <v>15</v>
      </c>
      <c r="L1876" s="1137"/>
      <c r="M1876" s="1138">
        <f t="shared" si="194"/>
        <v>0</v>
      </c>
      <c r="N1876" s="1176">
        <f t="shared" si="193"/>
        <v>0</v>
      </c>
      <c r="O1876" s="905"/>
      <c r="Q1876" s="317" t="str">
        <f t="shared" si="195"/>
        <v/>
      </c>
      <c r="R1876" s="317" t="str">
        <f t="shared" si="196"/>
        <v/>
      </c>
      <c r="S1876" s="317" t="str">
        <f t="shared" si="197"/>
        <v/>
      </c>
      <c r="T1876" s="317" t="str">
        <f>GLOBAL_DER_FEV_2023!S1876</f>
        <v/>
      </c>
      <c r="W1876" s="582">
        <v>0</v>
      </c>
      <c r="X1876" s="580"/>
      <c r="Y1876" s="583">
        <f>IF(GLOBAL_DER_FEV_2023!W1876=0,0,IF(GLOBAL_DER_FEV_2023!W1876&gt;0,"c","b"))</f>
        <v>0</v>
      </c>
    </row>
    <row r="1877" spans="1:25" ht="15" customHeight="1" x14ac:dyDescent="0.2">
      <c r="A1877" s="317" t="s">
        <v>147</v>
      </c>
      <c r="B1877" s="895" t="s">
        <v>147</v>
      </c>
      <c r="C1877" s="896"/>
      <c r="D1877" s="906" t="s">
        <v>190</v>
      </c>
      <c r="E1877" s="907">
        <f>GLOBAL_DER_FEV_2023!E1877</f>
        <v>308</v>
      </c>
      <c r="F1877" s="908">
        <f>GLOBAL_DER_FEV_2023!F1877</f>
        <v>1.1672</v>
      </c>
      <c r="G1877" s="909">
        <f>GLOBAL_DER_FEV_2023!G1877</f>
        <v>289.53563200000002</v>
      </c>
      <c r="H1877" s="901">
        <f>GLOBAL_DER_FEV_2023!H1877</f>
        <v>0</v>
      </c>
      <c r="I1877" s="901">
        <f>GLOBAL_DER_FEV_2023!I1877</f>
        <v>0</v>
      </c>
      <c r="J1877" s="902">
        <f>GLOBAL_DER_FEV_2023!J1877</f>
        <v>0</v>
      </c>
      <c r="K1877" s="903"/>
      <c r="L1877" s="1177"/>
      <c r="M1877" s="1138">
        <f t="shared" si="194"/>
        <v>0</v>
      </c>
      <c r="N1877" s="1176">
        <f t="shared" si="193"/>
        <v>0</v>
      </c>
      <c r="O1877" s="905"/>
      <c r="P1877" s="36" t="str">
        <f>IF(N1876&gt;0,"xx",IF(N1876&gt;0,"xy",""))</f>
        <v/>
      </c>
      <c r="Q1877" s="317" t="str">
        <f t="shared" si="195"/>
        <v/>
      </c>
      <c r="R1877" s="317" t="str">
        <f t="shared" si="196"/>
        <v/>
      </c>
      <c r="S1877" s="317" t="str">
        <f t="shared" si="197"/>
        <v/>
      </c>
      <c r="T1877" s="317" t="str">
        <f>GLOBAL_DER_FEV_2023!S1877</f>
        <v/>
      </c>
      <c r="W1877" s="582">
        <v>0</v>
      </c>
      <c r="X1877" s="580"/>
      <c r="Y1877" s="583">
        <f>IF(GLOBAL_DER_FEV_2023!W1877=0,0,IF(GLOBAL_DER_FEV_2023!W1877&gt;0,"c","b"))</f>
        <v>0</v>
      </c>
    </row>
    <row r="1878" spans="1:25" ht="15" customHeight="1" x14ac:dyDescent="0.2">
      <c r="A1878" s="317" t="s">
        <v>147</v>
      </c>
      <c r="B1878" s="895" t="s">
        <v>147</v>
      </c>
      <c r="C1878" s="896"/>
      <c r="D1878" s="906" t="s">
        <v>229</v>
      </c>
      <c r="E1878" s="907">
        <f>GLOBAL_DER_FEV_2023!E1878</f>
        <v>150</v>
      </c>
      <c r="F1878" s="908">
        <f>GLOBAL_DER_FEV_2023!F1878</f>
        <v>4.1501999999999999</v>
      </c>
      <c r="G1878" s="949">
        <f>GLOBAL_DER_FEV_2023!G1878</f>
        <v>677.22963600000003</v>
      </c>
      <c r="H1878" s="901">
        <f>GLOBAL_DER_FEV_2023!H1878</f>
        <v>0</v>
      </c>
      <c r="I1878" s="901">
        <f>GLOBAL_DER_FEV_2023!I1878</f>
        <v>0</v>
      </c>
      <c r="J1878" s="902">
        <f>GLOBAL_DER_FEV_2023!J1878</f>
        <v>0</v>
      </c>
      <c r="K1878" s="903"/>
      <c r="L1878" s="1177"/>
      <c r="M1878" s="1138">
        <f t="shared" si="194"/>
        <v>0</v>
      </c>
      <c r="N1878" s="1176">
        <f t="shared" si="193"/>
        <v>0</v>
      </c>
      <c r="O1878" s="905"/>
      <c r="P1878" s="36" t="str">
        <f>IF(N1876&gt;0,"xx",IF(N1876&gt;0,"xy",""))</f>
        <v/>
      </c>
      <c r="Q1878" s="317" t="str">
        <f t="shared" si="195"/>
        <v/>
      </c>
      <c r="R1878" s="317" t="str">
        <f t="shared" si="196"/>
        <v/>
      </c>
      <c r="S1878" s="317" t="str">
        <f t="shared" si="197"/>
        <v/>
      </c>
      <c r="T1878" s="317" t="str">
        <f>GLOBAL_DER_FEV_2023!S1878</f>
        <v/>
      </c>
      <c r="W1878" s="582">
        <v>0</v>
      </c>
      <c r="X1878" s="580"/>
      <c r="Y1878" s="583">
        <f>IF(GLOBAL_DER_FEV_2023!W1878=0,0,IF(GLOBAL_DER_FEV_2023!W1878&gt;0,"c","b"))</f>
        <v>0</v>
      </c>
    </row>
    <row r="1879" spans="1:25" ht="15" customHeight="1" x14ac:dyDescent="0.2">
      <c r="A1879" s="317" t="s">
        <v>147</v>
      </c>
      <c r="B1879" s="895" t="s">
        <v>147</v>
      </c>
      <c r="C1879" s="896"/>
      <c r="D1879" s="906" t="s">
        <v>233</v>
      </c>
      <c r="E1879" s="907">
        <f>GLOBAL_DER_FEV_2023!E1879</f>
        <v>0.2</v>
      </c>
      <c r="F1879" s="908">
        <f>GLOBAL_DER_FEV_2023!F1879</f>
        <v>7.5778999999999996</v>
      </c>
      <c r="G1879" s="949">
        <f>GLOBAL_DER_FEV_2023!G1879</f>
        <v>21.930442599999999</v>
      </c>
      <c r="H1879" s="901">
        <f>GLOBAL_DER_FEV_2023!H1879</f>
        <v>0</v>
      </c>
      <c r="I1879" s="901">
        <f>GLOBAL_DER_FEV_2023!I1879</f>
        <v>0</v>
      </c>
      <c r="J1879" s="902">
        <f>GLOBAL_DER_FEV_2023!J1879</f>
        <v>0</v>
      </c>
      <c r="K1879" s="903"/>
      <c r="L1879" s="1177"/>
      <c r="M1879" s="1138">
        <f t="shared" si="194"/>
        <v>0</v>
      </c>
      <c r="N1879" s="1176">
        <f t="shared" ref="N1879:N1942" si="198">IF(ISBLANK(L1879),0,IF(W1879=0,ROUND(L1879*M1879,2),IF(W1879="b",ROUNDDOWN(L1879*M1879,2),ROUNDUP(L1879*M1879,2))))</f>
        <v>0</v>
      </c>
      <c r="O1879" s="905"/>
      <c r="P1879" s="36" t="str">
        <f>IF(N1876&gt;0,"xx",IF(N1876&gt;0,"xy",""))</f>
        <v/>
      </c>
      <c r="Q1879" s="317" t="str">
        <f t="shared" si="195"/>
        <v/>
      </c>
      <c r="R1879" s="317" t="str">
        <f t="shared" si="196"/>
        <v/>
      </c>
      <c r="S1879" s="317" t="str">
        <f t="shared" si="197"/>
        <v/>
      </c>
      <c r="T1879" s="317" t="str">
        <f>GLOBAL_DER_FEV_2023!S1879</f>
        <v/>
      </c>
      <c r="W1879" s="582">
        <v>0</v>
      </c>
      <c r="X1879" s="580"/>
      <c r="Y1879" s="583">
        <f>IF(GLOBAL_DER_FEV_2023!W1879=0,0,IF(GLOBAL_DER_FEV_2023!W1879&gt;0,"c","b"))</f>
        <v>0</v>
      </c>
    </row>
    <row r="1880" spans="1:25" ht="15" customHeight="1" x14ac:dyDescent="0.2">
      <c r="A1880" s="317">
        <v>620600</v>
      </c>
      <c r="B1880" s="895">
        <v>620600</v>
      </c>
      <c r="C1880" s="896" t="s">
        <v>184</v>
      </c>
      <c r="D1880" s="906" t="s">
        <v>349</v>
      </c>
      <c r="E1880" s="907">
        <f>GLOBAL_DER_FEV_2023!E1880</f>
        <v>0</v>
      </c>
      <c r="F1880" s="908">
        <f>GLOBAL_DER_FEV_2023!F1880</f>
        <v>0</v>
      </c>
      <c r="G1880" s="912">
        <f>GLOBAL_DER_FEV_2023!G1880</f>
        <v>1900.7298634000001</v>
      </c>
      <c r="H1880" s="901">
        <f>GLOBAL_DER_FEV_2023!H1880</f>
        <v>7668.6</v>
      </c>
      <c r="I1880" s="901">
        <f>GLOBAL_DER_FEV_2023!I1880</f>
        <v>9569.3298634000002</v>
      </c>
      <c r="J1880" s="902">
        <f>GLOBAL_DER_FEV_2023!J1880</f>
        <v>11489.89</v>
      </c>
      <c r="K1880" s="903" t="s">
        <v>15</v>
      </c>
      <c r="L1880" s="1137"/>
      <c r="M1880" s="1138">
        <f t="shared" si="194"/>
        <v>0</v>
      </c>
      <c r="N1880" s="1176">
        <f t="shared" si="198"/>
        <v>0</v>
      </c>
      <c r="O1880" s="905"/>
      <c r="Q1880" s="317" t="str">
        <f t="shared" si="195"/>
        <v/>
      </c>
      <c r="R1880" s="317" t="str">
        <f t="shared" si="196"/>
        <v/>
      </c>
      <c r="S1880" s="317" t="str">
        <f t="shared" si="197"/>
        <v/>
      </c>
      <c r="T1880" s="317" t="str">
        <f>GLOBAL_DER_FEV_2023!S1880</f>
        <v/>
      </c>
      <c r="W1880" s="582">
        <v>0</v>
      </c>
      <c r="X1880" s="580"/>
      <c r="Y1880" s="583">
        <f>IF(GLOBAL_DER_FEV_2023!W1880=0,0,IF(GLOBAL_DER_FEV_2023!W1880&gt;0,"c","b"))</f>
        <v>0</v>
      </c>
    </row>
    <row r="1881" spans="1:25" ht="15" customHeight="1" x14ac:dyDescent="0.2">
      <c r="A1881" s="317" t="s">
        <v>147</v>
      </c>
      <c r="B1881" s="895" t="s">
        <v>147</v>
      </c>
      <c r="C1881" s="896"/>
      <c r="D1881" s="906" t="s">
        <v>190</v>
      </c>
      <c r="E1881" s="907">
        <f>GLOBAL_DER_FEV_2023!E1881</f>
        <v>308</v>
      </c>
      <c r="F1881" s="908">
        <f>GLOBAL_DER_FEV_2023!F1881</f>
        <v>2.2439</v>
      </c>
      <c r="G1881" s="909">
        <f>GLOBAL_DER_FEV_2023!G1881</f>
        <v>556.62183400000004</v>
      </c>
      <c r="H1881" s="901">
        <f>GLOBAL_DER_FEV_2023!H1881</f>
        <v>0</v>
      </c>
      <c r="I1881" s="901">
        <f>GLOBAL_DER_FEV_2023!I1881</f>
        <v>0</v>
      </c>
      <c r="J1881" s="902">
        <f>GLOBAL_DER_FEV_2023!J1881</f>
        <v>0</v>
      </c>
      <c r="K1881" s="903"/>
      <c r="L1881" s="1177"/>
      <c r="M1881" s="1138">
        <f t="shared" si="194"/>
        <v>0</v>
      </c>
      <c r="N1881" s="1176">
        <f t="shared" si="198"/>
        <v>0</v>
      </c>
      <c r="O1881" s="905"/>
      <c r="P1881" s="36" t="str">
        <f>IF(N1880&gt;0,"xx",IF(N1880&gt;0,"xy",""))</f>
        <v/>
      </c>
      <c r="Q1881" s="317" t="str">
        <f t="shared" si="195"/>
        <v/>
      </c>
      <c r="R1881" s="317" t="str">
        <f t="shared" si="196"/>
        <v/>
      </c>
      <c r="S1881" s="317" t="str">
        <f t="shared" si="197"/>
        <v/>
      </c>
      <c r="T1881" s="317" t="str">
        <f>GLOBAL_DER_FEV_2023!S1881</f>
        <v/>
      </c>
      <c r="W1881" s="582">
        <v>0</v>
      </c>
      <c r="X1881" s="580"/>
      <c r="Y1881" s="583">
        <f>IF(GLOBAL_DER_FEV_2023!W1881=0,0,IF(GLOBAL_DER_FEV_2023!W1881&gt;0,"c","b"))</f>
        <v>0</v>
      </c>
    </row>
    <row r="1882" spans="1:25" ht="15" customHeight="1" x14ac:dyDescent="0.2">
      <c r="A1882" s="317" t="s">
        <v>147</v>
      </c>
      <c r="B1882" s="895" t="s">
        <v>147</v>
      </c>
      <c r="C1882" s="896"/>
      <c r="D1882" s="906" t="s">
        <v>229</v>
      </c>
      <c r="E1882" s="907">
        <f>GLOBAL_DER_FEV_2023!E1882</f>
        <v>150</v>
      </c>
      <c r="F1882" s="908">
        <f>GLOBAL_DER_FEV_2023!F1882</f>
        <v>7.9786000000000001</v>
      </c>
      <c r="G1882" s="949">
        <f>GLOBAL_DER_FEV_2023!G1882</f>
        <v>1301.947948</v>
      </c>
      <c r="H1882" s="901">
        <f>GLOBAL_DER_FEV_2023!H1882</f>
        <v>0</v>
      </c>
      <c r="I1882" s="901">
        <f>GLOBAL_DER_FEV_2023!I1882</f>
        <v>0</v>
      </c>
      <c r="J1882" s="902">
        <f>GLOBAL_DER_FEV_2023!J1882</f>
        <v>0</v>
      </c>
      <c r="K1882" s="903"/>
      <c r="L1882" s="1177"/>
      <c r="M1882" s="1138">
        <f t="shared" si="194"/>
        <v>0</v>
      </c>
      <c r="N1882" s="1176">
        <f t="shared" si="198"/>
        <v>0</v>
      </c>
      <c r="O1882" s="905"/>
      <c r="P1882" s="36" t="str">
        <f>IF(N1880&gt;0,"xx",IF(N1880&gt;0,"xy",""))</f>
        <v/>
      </c>
      <c r="Q1882" s="317" t="str">
        <f t="shared" si="195"/>
        <v/>
      </c>
      <c r="R1882" s="317" t="str">
        <f t="shared" si="196"/>
        <v/>
      </c>
      <c r="S1882" s="317" t="str">
        <f t="shared" si="197"/>
        <v/>
      </c>
      <c r="T1882" s="317" t="str">
        <f>GLOBAL_DER_FEV_2023!S1882</f>
        <v/>
      </c>
      <c r="W1882" s="582">
        <v>0</v>
      </c>
      <c r="X1882" s="580"/>
      <c r="Y1882" s="583">
        <f>IF(GLOBAL_DER_FEV_2023!W1882=0,0,IF(GLOBAL_DER_FEV_2023!W1882&gt;0,"c","b"))</f>
        <v>0</v>
      </c>
    </row>
    <row r="1883" spans="1:25" ht="15" customHeight="1" x14ac:dyDescent="0.2">
      <c r="A1883" s="317" t="s">
        <v>147</v>
      </c>
      <c r="B1883" s="895" t="s">
        <v>147</v>
      </c>
      <c r="C1883" s="896"/>
      <c r="D1883" s="906" t="s">
        <v>233</v>
      </c>
      <c r="E1883" s="907">
        <f>GLOBAL_DER_FEV_2023!E1883</f>
        <v>0.2</v>
      </c>
      <c r="F1883" s="908">
        <f>GLOBAL_DER_FEV_2023!F1883</f>
        <v>14.568099999999999</v>
      </c>
      <c r="G1883" s="949">
        <f>GLOBAL_DER_FEV_2023!G1883</f>
        <v>42.160081400000003</v>
      </c>
      <c r="H1883" s="901">
        <f>GLOBAL_DER_FEV_2023!H1883</f>
        <v>0</v>
      </c>
      <c r="I1883" s="901">
        <f>GLOBAL_DER_FEV_2023!I1883</f>
        <v>0</v>
      </c>
      <c r="J1883" s="902">
        <f>GLOBAL_DER_FEV_2023!J1883</f>
        <v>0</v>
      </c>
      <c r="K1883" s="903"/>
      <c r="L1883" s="1177"/>
      <c r="M1883" s="1138">
        <f t="shared" si="194"/>
        <v>0</v>
      </c>
      <c r="N1883" s="1176">
        <f t="shared" si="198"/>
        <v>0</v>
      </c>
      <c r="O1883" s="905"/>
      <c r="P1883" s="36" t="str">
        <f>IF(N1880&gt;0,"xx",IF(N1880&gt;0,"xy",""))</f>
        <v/>
      </c>
      <c r="Q1883" s="317" t="str">
        <f t="shared" si="195"/>
        <v/>
      </c>
      <c r="R1883" s="317" t="str">
        <f t="shared" si="196"/>
        <v/>
      </c>
      <c r="S1883" s="317" t="str">
        <f t="shared" si="197"/>
        <v/>
      </c>
      <c r="T1883" s="317" t="str">
        <f>GLOBAL_DER_FEV_2023!S1883</f>
        <v/>
      </c>
      <c r="W1883" s="582">
        <v>0</v>
      </c>
      <c r="X1883" s="580"/>
      <c r="Y1883" s="583">
        <f>IF(GLOBAL_DER_FEV_2023!W1883=0,0,IF(GLOBAL_DER_FEV_2023!W1883&gt;0,"c","b"))</f>
        <v>0</v>
      </c>
    </row>
    <row r="1884" spans="1:25" ht="15" customHeight="1" x14ac:dyDescent="0.2">
      <c r="A1884" s="317">
        <v>620100</v>
      </c>
      <c r="B1884" s="895" t="s">
        <v>1818</v>
      </c>
      <c r="C1884" s="896" t="s">
        <v>184</v>
      </c>
      <c r="D1884" s="906" t="s">
        <v>350</v>
      </c>
      <c r="E1884" s="907">
        <f>GLOBAL_DER_FEV_2023!E1884</f>
        <v>0</v>
      </c>
      <c r="F1884" s="908">
        <f>GLOBAL_DER_FEV_2023!F1884</f>
        <v>0</v>
      </c>
      <c r="G1884" s="912">
        <f>GLOBAL_DER_FEV_2023!G1884</f>
        <v>242.5502682</v>
      </c>
      <c r="H1884" s="901">
        <f>GLOBAL_DER_FEV_2023!H1884</f>
        <v>954.15</v>
      </c>
      <c r="I1884" s="901">
        <f>GLOBAL_DER_FEV_2023!I1884</f>
        <v>1196.7002682</v>
      </c>
      <c r="J1884" s="902">
        <f>GLOBAL_DER_FEV_2023!J1884</f>
        <v>1436.88</v>
      </c>
      <c r="K1884" s="903" t="s">
        <v>15</v>
      </c>
      <c r="L1884" s="1137"/>
      <c r="M1884" s="1138">
        <f t="shared" si="194"/>
        <v>0</v>
      </c>
      <c r="N1884" s="1176">
        <f t="shared" si="198"/>
        <v>0</v>
      </c>
      <c r="O1884" s="905"/>
      <c r="Q1884" s="317" t="str">
        <f t="shared" si="195"/>
        <v/>
      </c>
      <c r="R1884" s="317" t="str">
        <f t="shared" si="196"/>
        <v/>
      </c>
      <c r="S1884" s="317" t="str">
        <f t="shared" si="197"/>
        <v/>
      </c>
      <c r="T1884" s="317" t="str">
        <f>GLOBAL_DER_FEV_2023!S1884</f>
        <v/>
      </c>
      <c r="W1884" s="582">
        <v>0</v>
      </c>
      <c r="X1884" s="580"/>
      <c r="Y1884" s="583">
        <f>IF(GLOBAL_DER_FEV_2023!W1884=0,0,IF(GLOBAL_DER_FEV_2023!W1884&gt;0,"c","b"))</f>
        <v>0</v>
      </c>
    </row>
    <row r="1885" spans="1:25" ht="15" customHeight="1" x14ac:dyDescent="0.2">
      <c r="A1885" s="317" t="s">
        <v>147</v>
      </c>
      <c r="B1885" s="895" t="s">
        <v>147</v>
      </c>
      <c r="C1885" s="896"/>
      <c r="D1885" s="906" t="s">
        <v>190</v>
      </c>
      <c r="E1885" s="907">
        <f>GLOBAL_DER_FEV_2023!E1885</f>
        <v>308</v>
      </c>
      <c r="F1885" s="908">
        <f>GLOBAL_DER_FEV_2023!F1885</f>
        <v>0.2863</v>
      </c>
      <c r="G1885" s="909">
        <f>GLOBAL_DER_FEV_2023!G1885</f>
        <v>71.019577999999996</v>
      </c>
      <c r="H1885" s="901">
        <f>GLOBAL_DER_FEV_2023!H1885</f>
        <v>0</v>
      </c>
      <c r="I1885" s="901">
        <f>GLOBAL_DER_FEV_2023!I1885</f>
        <v>0</v>
      </c>
      <c r="J1885" s="902">
        <f>GLOBAL_DER_FEV_2023!J1885</f>
        <v>0</v>
      </c>
      <c r="K1885" s="903"/>
      <c r="L1885" s="1177"/>
      <c r="M1885" s="1138">
        <f t="shared" si="194"/>
        <v>0</v>
      </c>
      <c r="N1885" s="1176">
        <f t="shared" si="198"/>
        <v>0</v>
      </c>
      <c r="O1885" s="905"/>
      <c r="P1885" s="36" t="str">
        <f>IF(N1884&gt;0,"xx",IF(N1884&gt;0,"xy",""))</f>
        <v/>
      </c>
      <c r="Q1885" s="317" t="str">
        <f t="shared" si="195"/>
        <v/>
      </c>
      <c r="R1885" s="317" t="str">
        <f t="shared" si="196"/>
        <v/>
      </c>
      <c r="S1885" s="317" t="str">
        <f t="shared" si="197"/>
        <v/>
      </c>
      <c r="T1885" s="317" t="str">
        <f>GLOBAL_DER_FEV_2023!S1885</f>
        <v/>
      </c>
      <c r="W1885" s="582">
        <v>0</v>
      </c>
      <c r="X1885" s="580"/>
      <c r="Y1885" s="583">
        <f>IF(GLOBAL_DER_FEV_2023!W1885=0,0,IF(GLOBAL_DER_FEV_2023!W1885&gt;0,"c","b"))</f>
        <v>0</v>
      </c>
    </row>
    <row r="1886" spans="1:25" ht="15" customHeight="1" x14ac:dyDescent="0.2">
      <c r="A1886" s="317" t="s">
        <v>147</v>
      </c>
      <c r="B1886" s="895" t="s">
        <v>147</v>
      </c>
      <c r="C1886" s="896"/>
      <c r="D1886" s="906" t="s">
        <v>229</v>
      </c>
      <c r="E1886" s="907">
        <f>GLOBAL_DER_FEV_2023!E1886</f>
        <v>150</v>
      </c>
      <c r="F1886" s="908">
        <f>GLOBAL_DER_FEV_2023!F1886</f>
        <v>1.0182</v>
      </c>
      <c r="G1886" s="949">
        <f>GLOBAL_DER_FEV_2023!G1886</f>
        <v>166.14987600000001</v>
      </c>
      <c r="H1886" s="901">
        <f>GLOBAL_DER_FEV_2023!H1886</f>
        <v>0</v>
      </c>
      <c r="I1886" s="901">
        <f>GLOBAL_DER_FEV_2023!I1886</f>
        <v>0</v>
      </c>
      <c r="J1886" s="902">
        <f>GLOBAL_DER_FEV_2023!J1886</f>
        <v>0</v>
      </c>
      <c r="K1886" s="903"/>
      <c r="L1886" s="1177"/>
      <c r="M1886" s="1138">
        <f t="shared" si="194"/>
        <v>0</v>
      </c>
      <c r="N1886" s="1176">
        <f t="shared" si="198"/>
        <v>0</v>
      </c>
      <c r="O1886" s="905"/>
      <c r="P1886" s="36" t="str">
        <f>IF(N1884&gt;0,"xx",IF(N1884&gt;0,"xy",""))</f>
        <v/>
      </c>
      <c r="Q1886" s="317" t="str">
        <f t="shared" si="195"/>
        <v/>
      </c>
      <c r="R1886" s="317" t="str">
        <f t="shared" si="196"/>
        <v/>
      </c>
      <c r="S1886" s="317" t="str">
        <f t="shared" si="197"/>
        <v/>
      </c>
      <c r="T1886" s="317" t="str">
        <f>GLOBAL_DER_FEV_2023!S1886</f>
        <v/>
      </c>
      <c r="W1886" s="582">
        <v>0</v>
      </c>
      <c r="X1886" s="580"/>
      <c r="Y1886" s="583">
        <f>IF(GLOBAL_DER_FEV_2023!W1886=0,0,IF(GLOBAL_DER_FEV_2023!W1886&gt;0,"c","b"))</f>
        <v>0</v>
      </c>
    </row>
    <row r="1887" spans="1:25" ht="15" customHeight="1" x14ac:dyDescent="0.2">
      <c r="A1887" s="317" t="s">
        <v>147</v>
      </c>
      <c r="B1887" s="895" t="s">
        <v>147</v>
      </c>
      <c r="C1887" s="896"/>
      <c r="D1887" s="906" t="s">
        <v>233</v>
      </c>
      <c r="E1887" s="907">
        <f>GLOBAL_DER_FEV_2023!E1887</f>
        <v>0.2</v>
      </c>
      <c r="F1887" s="908">
        <f>GLOBAL_DER_FEV_2023!F1887</f>
        <v>1.8593</v>
      </c>
      <c r="G1887" s="949">
        <f>GLOBAL_DER_FEV_2023!G1887</f>
        <v>5.3808141999999997</v>
      </c>
      <c r="H1887" s="901">
        <f>GLOBAL_DER_FEV_2023!H1887</f>
        <v>0</v>
      </c>
      <c r="I1887" s="901">
        <f>GLOBAL_DER_FEV_2023!I1887</f>
        <v>0</v>
      </c>
      <c r="J1887" s="902">
        <f>GLOBAL_DER_FEV_2023!J1887</f>
        <v>0</v>
      </c>
      <c r="K1887" s="903"/>
      <c r="L1887" s="1177"/>
      <c r="M1887" s="1138">
        <f t="shared" si="194"/>
        <v>0</v>
      </c>
      <c r="N1887" s="1176">
        <f t="shared" si="198"/>
        <v>0</v>
      </c>
      <c r="O1887" s="905"/>
      <c r="P1887" s="36" t="str">
        <f>IF(N1884&gt;0,"xx",IF(N1884&gt;0,"xy",""))</f>
        <v/>
      </c>
      <c r="Q1887" s="317" t="str">
        <f t="shared" si="195"/>
        <v/>
      </c>
      <c r="R1887" s="317" t="str">
        <f t="shared" si="196"/>
        <v/>
      </c>
      <c r="S1887" s="317" t="str">
        <f t="shared" si="197"/>
        <v/>
      </c>
      <c r="T1887" s="317" t="str">
        <f>GLOBAL_DER_FEV_2023!S1887</f>
        <v/>
      </c>
      <c r="W1887" s="582">
        <v>0</v>
      </c>
      <c r="X1887" s="580"/>
      <c r="Y1887" s="583">
        <f>IF(GLOBAL_DER_FEV_2023!W1887=0,0,IF(GLOBAL_DER_FEV_2023!W1887&gt;0,"c","b"))</f>
        <v>0</v>
      </c>
    </row>
    <row r="1888" spans="1:25" ht="15" customHeight="1" x14ac:dyDescent="0.2">
      <c r="A1888" s="317">
        <v>620200</v>
      </c>
      <c r="B1888" s="895" t="s">
        <v>1821</v>
      </c>
      <c r="C1888" s="896" t="s">
        <v>184</v>
      </c>
      <c r="D1888" s="906" t="s">
        <v>351</v>
      </c>
      <c r="E1888" s="907">
        <f>GLOBAL_DER_FEV_2023!E1888</f>
        <v>0</v>
      </c>
      <c r="F1888" s="908">
        <f>GLOBAL_DER_FEV_2023!F1888</f>
        <v>0</v>
      </c>
      <c r="G1888" s="912">
        <f>GLOBAL_DER_FEV_2023!G1888</f>
        <v>351.72359720000003</v>
      </c>
      <c r="H1888" s="901">
        <f>GLOBAL_DER_FEV_2023!H1888</f>
        <v>1321.46</v>
      </c>
      <c r="I1888" s="901">
        <f>GLOBAL_DER_FEV_2023!I1888</f>
        <v>1673.1835972000001</v>
      </c>
      <c r="J1888" s="902">
        <f>GLOBAL_DER_FEV_2023!J1888</f>
        <v>2008.99</v>
      </c>
      <c r="K1888" s="903" t="s">
        <v>15</v>
      </c>
      <c r="L1888" s="1137"/>
      <c r="M1888" s="1138">
        <f t="shared" si="194"/>
        <v>0</v>
      </c>
      <c r="N1888" s="1176">
        <f t="shared" si="198"/>
        <v>0</v>
      </c>
      <c r="O1888" s="905"/>
      <c r="Q1888" s="317" t="str">
        <f t="shared" si="195"/>
        <v/>
      </c>
      <c r="R1888" s="317" t="str">
        <f t="shared" si="196"/>
        <v/>
      </c>
      <c r="S1888" s="317" t="str">
        <f t="shared" si="197"/>
        <v/>
      </c>
      <c r="T1888" s="317" t="str">
        <f>GLOBAL_DER_FEV_2023!S1888</f>
        <v/>
      </c>
      <c r="W1888" s="582">
        <v>0</v>
      </c>
      <c r="X1888" s="580"/>
      <c r="Y1888" s="583">
        <f>IF(GLOBAL_DER_FEV_2023!W1888=0,0,IF(GLOBAL_DER_FEV_2023!W1888&gt;0,"c","b"))</f>
        <v>0</v>
      </c>
    </row>
    <row r="1889" spans="1:25" ht="15" customHeight="1" x14ac:dyDescent="0.2">
      <c r="A1889" s="317" t="s">
        <v>147</v>
      </c>
      <c r="B1889" s="895" t="s">
        <v>147</v>
      </c>
      <c r="C1889" s="896"/>
      <c r="D1889" s="906" t="s">
        <v>190</v>
      </c>
      <c r="E1889" s="907">
        <f>GLOBAL_DER_FEV_2023!E1889</f>
        <v>308</v>
      </c>
      <c r="F1889" s="908">
        <f>GLOBAL_DER_FEV_2023!F1889</f>
        <v>0.4153</v>
      </c>
      <c r="G1889" s="909">
        <f>GLOBAL_DER_FEV_2023!G1889</f>
        <v>103.019318</v>
      </c>
      <c r="H1889" s="901">
        <f>GLOBAL_DER_FEV_2023!H1889</f>
        <v>0</v>
      </c>
      <c r="I1889" s="901">
        <f>GLOBAL_DER_FEV_2023!I1889</f>
        <v>0</v>
      </c>
      <c r="J1889" s="902">
        <f>GLOBAL_DER_FEV_2023!J1889</f>
        <v>0</v>
      </c>
      <c r="K1889" s="903"/>
      <c r="L1889" s="1177"/>
      <c r="M1889" s="1138">
        <f t="shared" si="194"/>
        <v>0</v>
      </c>
      <c r="N1889" s="1176">
        <f t="shared" si="198"/>
        <v>0</v>
      </c>
      <c r="O1889" s="905"/>
      <c r="P1889" s="36" t="str">
        <f>IF(N1888&gt;0,"xx",IF(N1888&gt;0,"xy",""))</f>
        <v/>
      </c>
      <c r="Q1889" s="317" t="str">
        <f t="shared" si="195"/>
        <v/>
      </c>
      <c r="R1889" s="317" t="str">
        <f t="shared" si="196"/>
        <v/>
      </c>
      <c r="S1889" s="317" t="str">
        <f t="shared" si="197"/>
        <v/>
      </c>
      <c r="T1889" s="317" t="str">
        <f>GLOBAL_DER_FEV_2023!S1889</f>
        <v/>
      </c>
      <c r="W1889" s="582">
        <v>0</v>
      </c>
      <c r="X1889" s="580"/>
      <c r="Y1889" s="583">
        <f>IF(GLOBAL_DER_FEV_2023!W1889=0,0,IF(GLOBAL_DER_FEV_2023!W1889&gt;0,"c","b"))</f>
        <v>0</v>
      </c>
    </row>
    <row r="1890" spans="1:25" ht="15" customHeight="1" x14ac:dyDescent="0.2">
      <c r="A1890" s="317" t="s">
        <v>147</v>
      </c>
      <c r="B1890" s="895" t="s">
        <v>147</v>
      </c>
      <c r="C1890" s="896"/>
      <c r="D1890" s="906" t="s">
        <v>229</v>
      </c>
      <c r="E1890" s="907">
        <f>GLOBAL_DER_FEV_2023!E1890</f>
        <v>150</v>
      </c>
      <c r="F1890" s="908">
        <f>GLOBAL_DER_FEV_2023!F1890</f>
        <v>1.4762999999999999</v>
      </c>
      <c r="G1890" s="949">
        <f>GLOBAL_DER_FEV_2023!G1890</f>
        <v>240.90263400000001</v>
      </c>
      <c r="H1890" s="901">
        <f>GLOBAL_DER_FEV_2023!H1890</f>
        <v>0</v>
      </c>
      <c r="I1890" s="901">
        <f>GLOBAL_DER_FEV_2023!I1890</f>
        <v>0</v>
      </c>
      <c r="J1890" s="902">
        <f>GLOBAL_DER_FEV_2023!J1890</f>
        <v>0</v>
      </c>
      <c r="K1890" s="903"/>
      <c r="L1890" s="1177"/>
      <c r="M1890" s="1138">
        <f t="shared" si="194"/>
        <v>0</v>
      </c>
      <c r="N1890" s="1176">
        <f t="shared" si="198"/>
        <v>0</v>
      </c>
      <c r="O1890" s="905"/>
      <c r="P1890" s="36" t="str">
        <f>IF(N1888&gt;0,"xx",IF(N1888&gt;0,"xy",""))</f>
        <v/>
      </c>
      <c r="Q1890" s="317" t="str">
        <f t="shared" si="195"/>
        <v/>
      </c>
      <c r="R1890" s="317" t="str">
        <f t="shared" si="196"/>
        <v/>
      </c>
      <c r="S1890" s="317" t="str">
        <f t="shared" si="197"/>
        <v/>
      </c>
      <c r="T1890" s="317" t="str">
        <f>GLOBAL_DER_FEV_2023!S1890</f>
        <v/>
      </c>
      <c r="W1890" s="582">
        <v>0</v>
      </c>
      <c r="X1890" s="580"/>
      <c r="Y1890" s="583">
        <f>IF(GLOBAL_DER_FEV_2023!W1890=0,0,IF(GLOBAL_DER_FEV_2023!W1890&gt;0,"c","b"))</f>
        <v>0</v>
      </c>
    </row>
    <row r="1891" spans="1:25" ht="15" customHeight="1" x14ac:dyDescent="0.2">
      <c r="A1891" s="317" t="s">
        <v>147</v>
      </c>
      <c r="B1891" s="895" t="s">
        <v>147</v>
      </c>
      <c r="C1891" s="896"/>
      <c r="D1891" s="906" t="s">
        <v>233</v>
      </c>
      <c r="E1891" s="907">
        <f>GLOBAL_DER_FEV_2023!E1891</f>
        <v>0.2</v>
      </c>
      <c r="F1891" s="908">
        <f>GLOBAL_DER_FEV_2023!F1891</f>
        <v>2.6958000000000002</v>
      </c>
      <c r="G1891" s="949">
        <f>GLOBAL_DER_FEV_2023!G1891</f>
        <v>7.8016452000000012</v>
      </c>
      <c r="H1891" s="901">
        <f>GLOBAL_DER_FEV_2023!H1891</f>
        <v>0</v>
      </c>
      <c r="I1891" s="901">
        <f>GLOBAL_DER_FEV_2023!I1891</f>
        <v>0</v>
      </c>
      <c r="J1891" s="902">
        <f>GLOBAL_DER_FEV_2023!J1891</f>
        <v>0</v>
      </c>
      <c r="K1891" s="903"/>
      <c r="L1891" s="1177"/>
      <c r="M1891" s="1138">
        <f t="shared" si="194"/>
        <v>0</v>
      </c>
      <c r="N1891" s="1176">
        <f t="shared" si="198"/>
        <v>0</v>
      </c>
      <c r="O1891" s="905"/>
      <c r="P1891" s="36" t="str">
        <f>IF(N1888&gt;0,"xx",IF(N1888&gt;0,"xy",""))</f>
        <v/>
      </c>
      <c r="Q1891" s="317" t="str">
        <f t="shared" si="195"/>
        <v/>
      </c>
      <c r="R1891" s="317" t="str">
        <f t="shared" si="196"/>
        <v/>
      </c>
      <c r="S1891" s="317" t="str">
        <f t="shared" si="197"/>
        <v/>
      </c>
      <c r="T1891" s="317" t="str">
        <f>GLOBAL_DER_FEV_2023!S1891</f>
        <v/>
      </c>
      <c r="W1891" s="582">
        <v>0</v>
      </c>
      <c r="X1891" s="580"/>
      <c r="Y1891" s="583">
        <f>IF(GLOBAL_DER_FEV_2023!W1891=0,0,IF(GLOBAL_DER_FEV_2023!W1891&gt;0,"c","b"))</f>
        <v>0</v>
      </c>
    </row>
    <row r="1892" spans="1:25" ht="15" customHeight="1" x14ac:dyDescent="0.2">
      <c r="A1892" s="317">
        <v>620700</v>
      </c>
      <c r="B1892" s="895">
        <v>620700</v>
      </c>
      <c r="C1892" s="896" t="s">
        <v>184</v>
      </c>
      <c r="D1892" s="906" t="s">
        <v>352</v>
      </c>
      <c r="E1892" s="907">
        <f>GLOBAL_DER_FEV_2023!E1892</f>
        <v>0</v>
      </c>
      <c r="F1892" s="908">
        <f>GLOBAL_DER_FEV_2023!F1892</f>
        <v>0</v>
      </c>
      <c r="G1892" s="912">
        <f>GLOBAL_DER_FEV_2023!G1892</f>
        <v>527.79857420000008</v>
      </c>
      <c r="H1892" s="901">
        <f>GLOBAL_DER_FEV_2023!H1892</f>
        <v>2601.2199999999998</v>
      </c>
      <c r="I1892" s="901">
        <f>GLOBAL_DER_FEV_2023!I1892</f>
        <v>3129.0185741999999</v>
      </c>
      <c r="J1892" s="902">
        <f>GLOBAL_DER_FEV_2023!J1892</f>
        <v>3757.01</v>
      </c>
      <c r="K1892" s="903" t="s">
        <v>15</v>
      </c>
      <c r="L1892" s="1137"/>
      <c r="M1892" s="1138">
        <f t="shared" si="194"/>
        <v>0</v>
      </c>
      <c r="N1892" s="1176">
        <f t="shared" si="198"/>
        <v>0</v>
      </c>
      <c r="O1892" s="905"/>
      <c r="Q1892" s="317" t="str">
        <f t="shared" si="195"/>
        <v/>
      </c>
      <c r="R1892" s="317" t="str">
        <f t="shared" si="196"/>
        <v/>
      </c>
      <c r="S1892" s="317" t="str">
        <f t="shared" si="197"/>
        <v/>
      </c>
      <c r="T1892" s="317" t="str">
        <f>GLOBAL_DER_FEV_2023!S1892</f>
        <v/>
      </c>
      <c r="W1892" s="582">
        <v>0</v>
      </c>
      <c r="X1892" s="580"/>
      <c r="Y1892" s="583">
        <f>IF(GLOBAL_DER_FEV_2023!W1892=0,0,IF(GLOBAL_DER_FEV_2023!W1892&gt;0,"c","b"))</f>
        <v>0</v>
      </c>
    </row>
    <row r="1893" spans="1:25" ht="15" customHeight="1" x14ac:dyDescent="0.2">
      <c r="A1893" s="317" t="s">
        <v>147</v>
      </c>
      <c r="B1893" s="895" t="s">
        <v>147</v>
      </c>
      <c r="C1893" s="896"/>
      <c r="D1893" s="906" t="s">
        <v>190</v>
      </c>
      <c r="E1893" s="907">
        <f>GLOBAL_DER_FEV_2023!E1893</f>
        <v>308</v>
      </c>
      <c r="F1893" s="908" t="str">
        <f>GLOBAL_DER_FEV_2023!F1893</f>
        <v>0,6231</v>
      </c>
      <c r="G1893" s="909">
        <f>GLOBAL_DER_FEV_2023!G1893</f>
        <v>154.56618599999999</v>
      </c>
      <c r="H1893" s="901">
        <f>GLOBAL_DER_FEV_2023!H1893</f>
        <v>0</v>
      </c>
      <c r="I1893" s="901">
        <f>GLOBAL_DER_FEV_2023!I1893</f>
        <v>0</v>
      </c>
      <c r="J1893" s="902">
        <f>GLOBAL_DER_FEV_2023!J1893</f>
        <v>0</v>
      </c>
      <c r="K1893" s="903"/>
      <c r="L1893" s="1177"/>
      <c r="M1893" s="1138">
        <f t="shared" si="194"/>
        <v>0</v>
      </c>
      <c r="N1893" s="1176">
        <f t="shared" si="198"/>
        <v>0</v>
      </c>
      <c r="O1893" s="905"/>
      <c r="P1893" s="36" t="str">
        <f>IF(N1892&gt;0,"xx",IF(N1892&gt;0,"xy",""))</f>
        <v/>
      </c>
      <c r="Q1893" s="317" t="str">
        <f t="shared" si="195"/>
        <v/>
      </c>
      <c r="R1893" s="317" t="str">
        <f t="shared" si="196"/>
        <v/>
      </c>
      <c r="S1893" s="317" t="str">
        <f t="shared" si="197"/>
        <v/>
      </c>
      <c r="T1893" s="317" t="str">
        <f>GLOBAL_DER_FEV_2023!S1893</f>
        <v/>
      </c>
      <c r="W1893" s="582">
        <v>0</v>
      </c>
      <c r="X1893" s="580"/>
      <c r="Y1893" s="583">
        <f>IF(GLOBAL_DER_FEV_2023!W1893=0,0,IF(GLOBAL_DER_FEV_2023!W1893&gt;0,"c","b"))</f>
        <v>0</v>
      </c>
    </row>
    <row r="1894" spans="1:25" ht="15" customHeight="1" x14ac:dyDescent="0.2">
      <c r="A1894" s="317" t="s">
        <v>147</v>
      </c>
      <c r="B1894" s="895" t="s">
        <v>147</v>
      </c>
      <c r="C1894" s="896"/>
      <c r="D1894" s="906" t="s">
        <v>229</v>
      </c>
      <c r="E1894" s="907">
        <f>GLOBAL_DER_FEV_2023!E1894</f>
        <v>150</v>
      </c>
      <c r="F1894" s="908" t="str">
        <f>GLOBAL_DER_FEV_2023!F1894</f>
        <v>2,2155</v>
      </c>
      <c r="G1894" s="949">
        <f>GLOBAL_DER_FEV_2023!G1894</f>
        <v>361.52529000000004</v>
      </c>
      <c r="H1894" s="901">
        <f>GLOBAL_DER_FEV_2023!H1894</f>
        <v>0</v>
      </c>
      <c r="I1894" s="901">
        <f>GLOBAL_DER_FEV_2023!I1894</f>
        <v>0</v>
      </c>
      <c r="J1894" s="902">
        <f>GLOBAL_DER_FEV_2023!J1894</f>
        <v>0</v>
      </c>
      <c r="K1894" s="903"/>
      <c r="L1894" s="1177"/>
      <c r="M1894" s="1138">
        <f t="shared" si="194"/>
        <v>0</v>
      </c>
      <c r="N1894" s="1176">
        <f t="shared" si="198"/>
        <v>0</v>
      </c>
      <c r="O1894" s="905"/>
      <c r="P1894" s="36" t="str">
        <f>IF(N1892&gt;0,"xx",IF(N1892&gt;0,"xy",""))</f>
        <v/>
      </c>
      <c r="Q1894" s="317" t="str">
        <f t="shared" si="195"/>
        <v/>
      </c>
      <c r="R1894" s="317" t="str">
        <f t="shared" si="196"/>
        <v/>
      </c>
      <c r="S1894" s="317" t="str">
        <f t="shared" si="197"/>
        <v/>
      </c>
      <c r="T1894" s="317" t="str">
        <f>GLOBAL_DER_FEV_2023!S1894</f>
        <v/>
      </c>
      <c r="W1894" s="582">
        <v>0</v>
      </c>
      <c r="X1894" s="580"/>
      <c r="Y1894" s="583">
        <f>IF(GLOBAL_DER_FEV_2023!W1894=0,0,IF(GLOBAL_DER_FEV_2023!W1894&gt;0,"c","b"))</f>
        <v>0</v>
      </c>
    </row>
    <row r="1895" spans="1:25" ht="15" customHeight="1" x14ac:dyDescent="0.2">
      <c r="A1895" s="317" t="s">
        <v>147</v>
      </c>
      <c r="B1895" s="895" t="s">
        <v>147</v>
      </c>
      <c r="C1895" s="896"/>
      <c r="D1895" s="906" t="s">
        <v>233</v>
      </c>
      <c r="E1895" s="907">
        <f>GLOBAL_DER_FEV_2023!E1895</f>
        <v>0.2</v>
      </c>
      <c r="F1895" s="908">
        <f>GLOBAL_DER_FEV_2023!F1895</f>
        <v>4.0453000000000001</v>
      </c>
      <c r="G1895" s="949">
        <f>GLOBAL_DER_FEV_2023!G1895</f>
        <v>11.707098200000001</v>
      </c>
      <c r="H1895" s="901">
        <f>GLOBAL_DER_FEV_2023!H1895</f>
        <v>0</v>
      </c>
      <c r="I1895" s="901">
        <f>GLOBAL_DER_FEV_2023!I1895</f>
        <v>0</v>
      </c>
      <c r="J1895" s="902">
        <f>GLOBAL_DER_FEV_2023!J1895</f>
        <v>0</v>
      </c>
      <c r="K1895" s="903"/>
      <c r="L1895" s="1177"/>
      <c r="M1895" s="1138">
        <f t="shared" si="194"/>
        <v>0</v>
      </c>
      <c r="N1895" s="1176">
        <f t="shared" si="198"/>
        <v>0</v>
      </c>
      <c r="O1895" s="905"/>
      <c r="P1895" s="36" t="str">
        <f>IF(N1892&gt;0,"xx",IF(N1892&gt;0,"xy",""))</f>
        <v/>
      </c>
      <c r="Q1895" s="317" t="str">
        <f t="shared" si="195"/>
        <v/>
      </c>
      <c r="R1895" s="317" t="str">
        <f t="shared" si="196"/>
        <v/>
      </c>
      <c r="S1895" s="317" t="str">
        <f t="shared" si="197"/>
        <v/>
      </c>
      <c r="T1895" s="317" t="str">
        <f>GLOBAL_DER_FEV_2023!S1895</f>
        <v/>
      </c>
      <c r="W1895" s="582">
        <v>0</v>
      </c>
      <c r="X1895" s="580"/>
      <c r="Y1895" s="583">
        <f>IF(GLOBAL_DER_FEV_2023!W1895=0,0,IF(GLOBAL_DER_FEV_2023!W1895&gt;0,"c","b"))</f>
        <v>0</v>
      </c>
    </row>
    <row r="1896" spans="1:25" ht="15" customHeight="1" x14ac:dyDescent="0.2">
      <c r="A1896" s="317">
        <v>620800</v>
      </c>
      <c r="B1896" s="895">
        <v>620800</v>
      </c>
      <c r="C1896" s="896" t="s">
        <v>184</v>
      </c>
      <c r="D1896" s="906" t="s">
        <v>353</v>
      </c>
      <c r="E1896" s="907">
        <f>GLOBAL_DER_FEV_2023!E1896</f>
        <v>0</v>
      </c>
      <c r="F1896" s="908">
        <f>GLOBAL_DER_FEV_2023!F1896</f>
        <v>0</v>
      </c>
      <c r="G1896" s="912">
        <f>GLOBAL_DER_FEV_2023!G1896</f>
        <v>693.98811260000002</v>
      </c>
      <c r="H1896" s="901">
        <f>GLOBAL_DER_FEV_2023!H1896</f>
        <v>3307.79</v>
      </c>
      <c r="I1896" s="901">
        <f>GLOBAL_DER_FEV_2023!I1896</f>
        <v>4001.7781126</v>
      </c>
      <c r="J1896" s="902">
        <f>GLOBAL_DER_FEV_2023!J1896</f>
        <v>4804.93</v>
      </c>
      <c r="K1896" s="903" t="s">
        <v>15</v>
      </c>
      <c r="L1896" s="1137"/>
      <c r="M1896" s="1138">
        <f t="shared" si="194"/>
        <v>0</v>
      </c>
      <c r="N1896" s="1176">
        <f t="shared" si="198"/>
        <v>0</v>
      </c>
      <c r="O1896" s="905"/>
      <c r="Q1896" s="317" t="str">
        <f t="shared" si="195"/>
        <v/>
      </c>
      <c r="R1896" s="317" t="str">
        <f t="shared" si="196"/>
        <v/>
      </c>
      <c r="S1896" s="317" t="str">
        <f t="shared" si="197"/>
        <v/>
      </c>
      <c r="T1896" s="317" t="str">
        <f>GLOBAL_DER_FEV_2023!S1896</f>
        <v/>
      </c>
      <c r="W1896" s="582">
        <v>0</v>
      </c>
      <c r="X1896" s="580"/>
      <c r="Y1896" s="583">
        <f>IF(GLOBAL_DER_FEV_2023!W1896=0,0,IF(GLOBAL_DER_FEV_2023!W1896&gt;0,"c","b"))</f>
        <v>0</v>
      </c>
    </row>
    <row r="1897" spans="1:25" ht="15" customHeight="1" x14ac:dyDescent="0.2">
      <c r="A1897" s="317" t="s">
        <v>147</v>
      </c>
      <c r="B1897" s="895" t="s">
        <v>147</v>
      </c>
      <c r="C1897" s="896"/>
      <c r="D1897" s="906" t="s">
        <v>190</v>
      </c>
      <c r="E1897" s="907">
        <f>GLOBAL_DER_FEV_2023!E1897</f>
        <v>308</v>
      </c>
      <c r="F1897" s="908">
        <f>GLOBAL_DER_FEV_2023!F1897</f>
        <v>0.81930000000000003</v>
      </c>
      <c r="G1897" s="909">
        <f>GLOBAL_DER_FEV_2023!G1897</f>
        <v>203.235558</v>
      </c>
      <c r="H1897" s="901">
        <f>GLOBAL_DER_FEV_2023!H1897</f>
        <v>0</v>
      </c>
      <c r="I1897" s="901">
        <f>GLOBAL_DER_FEV_2023!I1897</f>
        <v>0</v>
      </c>
      <c r="J1897" s="902">
        <f>GLOBAL_DER_FEV_2023!J1897</f>
        <v>0</v>
      </c>
      <c r="K1897" s="903"/>
      <c r="L1897" s="1177"/>
      <c r="M1897" s="1138">
        <f t="shared" si="194"/>
        <v>0</v>
      </c>
      <c r="N1897" s="1176">
        <f t="shared" si="198"/>
        <v>0</v>
      </c>
      <c r="O1897" s="905"/>
      <c r="P1897" s="36" t="str">
        <f>IF(N1896&gt;0,"xx",IF(N1896&gt;0,"xy",""))</f>
        <v/>
      </c>
      <c r="Q1897" s="317" t="str">
        <f t="shared" si="195"/>
        <v/>
      </c>
      <c r="R1897" s="317" t="str">
        <f t="shared" si="196"/>
        <v/>
      </c>
      <c r="S1897" s="317" t="str">
        <f t="shared" si="197"/>
        <v/>
      </c>
      <c r="T1897" s="317" t="str">
        <f>GLOBAL_DER_FEV_2023!S1897</f>
        <v/>
      </c>
      <c r="W1897" s="582">
        <v>0</v>
      </c>
      <c r="X1897" s="580"/>
      <c r="Y1897" s="583">
        <f>IF(GLOBAL_DER_FEV_2023!W1897=0,0,IF(GLOBAL_DER_FEV_2023!W1897&gt;0,"c","b"))</f>
        <v>0</v>
      </c>
    </row>
    <row r="1898" spans="1:25" ht="15" customHeight="1" x14ac:dyDescent="0.2">
      <c r="A1898" s="317" t="s">
        <v>147</v>
      </c>
      <c r="B1898" s="895" t="s">
        <v>147</v>
      </c>
      <c r="C1898" s="896"/>
      <c r="D1898" s="906" t="s">
        <v>229</v>
      </c>
      <c r="E1898" s="907">
        <f>GLOBAL_DER_FEV_2023!E1898</f>
        <v>150</v>
      </c>
      <c r="F1898" s="908">
        <f>GLOBAL_DER_FEV_2023!F1898</f>
        <v>2.9131</v>
      </c>
      <c r="G1898" s="949">
        <f>GLOBAL_DER_FEV_2023!G1898</f>
        <v>475.35965800000002</v>
      </c>
      <c r="H1898" s="901">
        <f>GLOBAL_DER_FEV_2023!H1898</f>
        <v>0</v>
      </c>
      <c r="I1898" s="901">
        <f>GLOBAL_DER_FEV_2023!I1898</f>
        <v>0</v>
      </c>
      <c r="J1898" s="902">
        <f>GLOBAL_DER_FEV_2023!J1898</f>
        <v>0</v>
      </c>
      <c r="K1898" s="903"/>
      <c r="L1898" s="1177"/>
      <c r="M1898" s="1138">
        <f t="shared" si="194"/>
        <v>0</v>
      </c>
      <c r="N1898" s="1176">
        <f t="shared" si="198"/>
        <v>0</v>
      </c>
      <c r="O1898" s="905"/>
      <c r="P1898" s="36" t="str">
        <f>IF(N1896&gt;0,"xx",IF(N1896&gt;0,"xy",""))</f>
        <v/>
      </c>
      <c r="Q1898" s="317" t="str">
        <f t="shared" si="195"/>
        <v/>
      </c>
      <c r="R1898" s="317" t="str">
        <f t="shared" si="196"/>
        <v/>
      </c>
      <c r="S1898" s="317" t="str">
        <f t="shared" si="197"/>
        <v/>
      </c>
      <c r="T1898" s="317" t="str">
        <f>GLOBAL_DER_FEV_2023!S1898</f>
        <v/>
      </c>
      <c r="W1898" s="582">
        <v>0</v>
      </c>
      <c r="X1898" s="580"/>
      <c r="Y1898" s="583">
        <f>IF(GLOBAL_DER_FEV_2023!W1898=0,0,IF(GLOBAL_DER_FEV_2023!W1898&gt;0,"c","b"))</f>
        <v>0</v>
      </c>
    </row>
    <row r="1899" spans="1:25" ht="15" customHeight="1" x14ac:dyDescent="0.2">
      <c r="A1899" s="317" t="s">
        <v>147</v>
      </c>
      <c r="B1899" s="895" t="s">
        <v>147</v>
      </c>
      <c r="C1899" s="896"/>
      <c r="D1899" s="906" t="s">
        <v>233</v>
      </c>
      <c r="E1899" s="907">
        <f>GLOBAL_DER_FEV_2023!E1899</f>
        <v>0.2</v>
      </c>
      <c r="F1899" s="908">
        <f>GLOBAL_DER_FEV_2023!F1899</f>
        <v>5.3189000000000002</v>
      </c>
      <c r="G1899" s="949">
        <f>GLOBAL_DER_FEV_2023!G1899</f>
        <v>15.392896600000002</v>
      </c>
      <c r="H1899" s="901">
        <f>GLOBAL_DER_FEV_2023!H1899</f>
        <v>0</v>
      </c>
      <c r="I1899" s="901">
        <f>GLOBAL_DER_FEV_2023!I1899</f>
        <v>0</v>
      </c>
      <c r="J1899" s="902">
        <f>GLOBAL_DER_FEV_2023!J1899</f>
        <v>0</v>
      </c>
      <c r="K1899" s="903"/>
      <c r="L1899" s="1177"/>
      <c r="M1899" s="1138">
        <f t="shared" si="194"/>
        <v>0</v>
      </c>
      <c r="N1899" s="1176">
        <f t="shared" si="198"/>
        <v>0</v>
      </c>
      <c r="O1899" s="905"/>
      <c r="P1899" s="36" t="str">
        <f>IF(N1896&gt;0,"xx",IF(N1896&gt;0,"xy",""))</f>
        <v/>
      </c>
      <c r="Q1899" s="317" t="str">
        <f t="shared" si="195"/>
        <v/>
      </c>
      <c r="R1899" s="317" t="str">
        <f t="shared" si="196"/>
        <v/>
      </c>
      <c r="S1899" s="317" t="str">
        <f t="shared" si="197"/>
        <v/>
      </c>
      <c r="T1899" s="317" t="str">
        <f>GLOBAL_DER_FEV_2023!S1899</f>
        <v/>
      </c>
      <c r="W1899" s="582">
        <v>0</v>
      </c>
      <c r="X1899" s="580"/>
      <c r="Y1899" s="583">
        <f>IF(GLOBAL_DER_FEV_2023!W1899=0,0,IF(GLOBAL_DER_FEV_2023!W1899&gt;0,"c","b"))</f>
        <v>0</v>
      </c>
    </row>
    <row r="1900" spans="1:25" ht="15" customHeight="1" x14ac:dyDescent="0.2">
      <c r="A1900" s="317">
        <v>620900</v>
      </c>
      <c r="B1900" s="895">
        <v>620900</v>
      </c>
      <c r="C1900" s="896" t="s">
        <v>184</v>
      </c>
      <c r="D1900" s="906" t="s">
        <v>354</v>
      </c>
      <c r="E1900" s="907">
        <f>GLOBAL_DER_FEV_2023!E1900</f>
        <v>0</v>
      </c>
      <c r="F1900" s="908">
        <f>GLOBAL_DER_FEV_2023!F1900</f>
        <v>0</v>
      </c>
      <c r="G1900" s="912">
        <f>GLOBAL_DER_FEV_2023!G1900</f>
        <v>1364.1181708000001</v>
      </c>
      <c r="H1900" s="901">
        <f>GLOBAL_DER_FEV_2023!H1900</f>
        <v>5805.6</v>
      </c>
      <c r="I1900" s="901">
        <f>GLOBAL_DER_FEV_2023!I1900</f>
        <v>7169.7181708000007</v>
      </c>
      <c r="J1900" s="902">
        <f>GLOBAL_DER_FEV_2023!J1900</f>
        <v>8608.68</v>
      </c>
      <c r="K1900" s="903" t="s">
        <v>15</v>
      </c>
      <c r="L1900" s="1137"/>
      <c r="M1900" s="1138">
        <f t="shared" si="194"/>
        <v>0</v>
      </c>
      <c r="N1900" s="1176">
        <f t="shared" si="198"/>
        <v>0</v>
      </c>
      <c r="O1900" s="905"/>
      <c r="Q1900" s="317" t="str">
        <f t="shared" si="195"/>
        <v/>
      </c>
      <c r="R1900" s="317" t="str">
        <f t="shared" si="196"/>
        <v/>
      </c>
      <c r="S1900" s="317" t="str">
        <f t="shared" si="197"/>
        <v/>
      </c>
      <c r="T1900" s="317" t="str">
        <f>GLOBAL_DER_FEV_2023!S1900</f>
        <v/>
      </c>
      <c r="W1900" s="582">
        <v>0</v>
      </c>
      <c r="X1900" s="580"/>
      <c r="Y1900" s="583">
        <f>IF(GLOBAL_DER_FEV_2023!W1900=0,0,IF(GLOBAL_DER_FEV_2023!W1900&gt;0,"c","b"))</f>
        <v>0</v>
      </c>
    </row>
    <row r="1901" spans="1:25" ht="15" customHeight="1" x14ac:dyDescent="0.2">
      <c r="A1901" s="317" t="s">
        <v>147</v>
      </c>
      <c r="B1901" s="895" t="s">
        <v>147</v>
      </c>
      <c r="C1901" s="896"/>
      <c r="D1901" s="906" t="s">
        <v>190</v>
      </c>
      <c r="E1901" s="907">
        <f>GLOBAL_DER_FEV_2023!E1901</f>
        <v>308</v>
      </c>
      <c r="F1901" s="908">
        <f>GLOBAL_DER_FEV_2023!F1901</f>
        <v>1.6104000000000001</v>
      </c>
      <c r="G1901" s="909">
        <f>GLOBAL_DER_FEV_2023!G1901</f>
        <v>399.47582399999999</v>
      </c>
      <c r="H1901" s="901">
        <f>GLOBAL_DER_FEV_2023!H1901</f>
        <v>0</v>
      </c>
      <c r="I1901" s="901">
        <f>GLOBAL_DER_FEV_2023!I1901</f>
        <v>0</v>
      </c>
      <c r="J1901" s="902">
        <f>GLOBAL_DER_FEV_2023!J1901</f>
        <v>0</v>
      </c>
      <c r="K1901" s="903"/>
      <c r="L1901" s="1177"/>
      <c r="M1901" s="1138">
        <f t="shared" si="194"/>
        <v>0</v>
      </c>
      <c r="N1901" s="1176">
        <f t="shared" si="198"/>
        <v>0</v>
      </c>
      <c r="O1901" s="905"/>
      <c r="P1901" s="36" t="str">
        <f>IF(N1900&gt;0,"xx",IF(N1900&gt;0,"xy",""))</f>
        <v/>
      </c>
      <c r="Q1901" s="317" t="str">
        <f t="shared" si="195"/>
        <v/>
      </c>
      <c r="R1901" s="317" t="str">
        <f t="shared" si="196"/>
        <v/>
      </c>
      <c r="S1901" s="317" t="str">
        <f t="shared" si="197"/>
        <v/>
      </c>
      <c r="T1901" s="317" t="str">
        <f>GLOBAL_DER_FEV_2023!S1901</f>
        <v/>
      </c>
      <c r="W1901" s="582">
        <v>0</v>
      </c>
      <c r="X1901" s="580"/>
      <c r="Y1901" s="583">
        <f>IF(GLOBAL_DER_FEV_2023!W1901=0,0,IF(GLOBAL_DER_FEV_2023!W1901&gt;0,"c","b"))</f>
        <v>0</v>
      </c>
    </row>
    <row r="1902" spans="1:25" ht="15" customHeight="1" x14ac:dyDescent="0.2">
      <c r="A1902" s="317" t="s">
        <v>147</v>
      </c>
      <c r="B1902" s="895" t="s">
        <v>147</v>
      </c>
      <c r="C1902" s="896"/>
      <c r="D1902" s="906" t="s">
        <v>229</v>
      </c>
      <c r="E1902" s="907">
        <f>GLOBAL_DER_FEV_2023!E1902</f>
        <v>150</v>
      </c>
      <c r="F1902" s="908">
        <f>GLOBAL_DER_FEV_2023!F1902</f>
        <v>5.7260999999999997</v>
      </c>
      <c r="G1902" s="949">
        <f>GLOBAL_DER_FEV_2023!G1902</f>
        <v>934.384998</v>
      </c>
      <c r="H1902" s="901">
        <f>GLOBAL_DER_FEV_2023!H1902</f>
        <v>0</v>
      </c>
      <c r="I1902" s="901">
        <f>GLOBAL_DER_FEV_2023!I1902</f>
        <v>0</v>
      </c>
      <c r="J1902" s="902">
        <f>GLOBAL_DER_FEV_2023!J1902</f>
        <v>0</v>
      </c>
      <c r="K1902" s="903"/>
      <c r="L1902" s="1177"/>
      <c r="M1902" s="1138">
        <f t="shared" si="194"/>
        <v>0</v>
      </c>
      <c r="N1902" s="1176">
        <f t="shared" si="198"/>
        <v>0</v>
      </c>
      <c r="O1902" s="905"/>
      <c r="P1902" s="36" t="str">
        <f>IF(N1900&gt;0,"xx",IF(N1900&gt;0,"xy",""))</f>
        <v/>
      </c>
      <c r="Q1902" s="317" t="str">
        <f t="shared" si="195"/>
        <v/>
      </c>
      <c r="R1902" s="317" t="str">
        <f t="shared" si="196"/>
        <v/>
      </c>
      <c r="S1902" s="317" t="str">
        <f t="shared" si="197"/>
        <v/>
      </c>
      <c r="T1902" s="317" t="str">
        <f>GLOBAL_DER_FEV_2023!S1902</f>
        <v/>
      </c>
      <c r="W1902" s="582">
        <v>0</v>
      </c>
      <c r="X1902" s="580"/>
      <c r="Y1902" s="583">
        <f>IF(GLOBAL_DER_FEV_2023!W1902=0,0,IF(GLOBAL_DER_FEV_2023!W1902&gt;0,"c","b"))</f>
        <v>0</v>
      </c>
    </row>
    <row r="1903" spans="1:25" ht="15" customHeight="1" x14ac:dyDescent="0.2">
      <c r="A1903" s="317" t="s">
        <v>147</v>
      </c>
      <c r="B1903" s="895" t="s">
        <v>147</v>
      </c>
      <c r="C1903" s="896"/>
      <c r="D1903" s="906" t="s">
        <v>233</v>
      </c>
      <c r="E1903" s="907">
        <f>GLOBAL_DER_FEV_2023!E1903</f>
        <v>0.2</v>
      </c>
      <c r="F1903" s="908">
        <f>GLOBAL_DER_FEV_2023!F1903</f>
        <v>10.4552</v>
      </c>
      <c r="G1903" s="949">
        <f>GLOBAL_DER_FEV_2023!G1903</f>
        <v>30.257348799999999</v>
      </c>
      <c r="H1903" s="901">
        <f>GLOBAL_DER_FEV_2023!H1903</f>
        <v>0</v>
      </c>
      <c r="I1903" s="901">
        <f>GLOBAL_DER_FEV_2023!I1903</f>
        <v>0</v>
      </c>
      <c r="J1903" s="902">
        <f>GLOBAL_DER_FEV_2023!J1903</f>
        <v>0</v>
      </c>
      <c r="K1903" s="903"/>
      <c r="L1903" s="1177"/>
      <c r="M1903" s="1138">
        <f t="shared" si="194"/>
        <v>0</v>
      </c>
      <c r="N1903" s="1176">
        <f t="shared" si="198"/>
        <v>0</v>
      </c>
      <c r="O1903" s="905"/>
      <c r="P1903" s="36" t="str">
        <f>IF(N1900&gt;0,"xx",IF(N1900&gt;0,"xy",""))</f>
        <v/>
      </c>
      <c r="Q1903" s="317" t="str">
        <f t="shared" si="195"/>
        <v/>
      </c>
      <c r="R1903" s="317" t="str">
        <f t="shared" si="196"/>
        <v/>
      </c>
      <c r="S1903" s="317" t="str">
        <f t="shared" si="197"/>
        <v/>
      </c>
      <c r="T1903" s="317" t="str">
        <f>GLOBAL_DER_FEV_2023!S1903</f>
        <v/>
      </c>
      <c r="W1903" s="582">
        <v>0</v>
      </c>
      <c r="X1903" s="580"/>
      <c r="Y1903" s="583">
        <f>IF(GLOBAL_DER_FEV_2023!W1903=0,0,IF(GLOBAL_DER_FEV_2023!W1903&gt;0,"c","b"))</f>
        <v>0</v>
      </c>
    </row>
    <row r="1904" spans="1:25" ht="15" customHeight="1" x14ac:dyDescent="0.2">
      <c r="A1904" s="317">
        <v>621000</v>
      </c>
      <c r="B1904" s="895">
        <v>621000</v>
      </c>
      <c r="C1904" s="896" t="s">
        <v>184</v>
      </c>
      <c r="D1904" s="906" t="s">
        <v>355</v>
      </c>
      <c r="E1904" s="907">
        <f>GLOBAL_DER_FEV_2023!E1904</f>
        <v>0</v>
      </c>
      <c r="F1904" s="908">
        <f>GLOBAL_DER_FEV_2023!F1904</f>
        <v>0</v>
      </c>
      <c r="G1904" s="912">
        <f>GLOBAL_DER_FEV_2023!G1904</f>
        <v>2609.7806770000002</v>
      </c>
      <c r="H1904" s="901">
        <f>GLOBAL_DER_FEV_2023!H1904</f>
        <v>10293.86</v>
      </c>
      <c r="I1904" s="901">
        <f>GLOBAL_DER_FEV_2023!I1904</f>
        <v>12903.640677000001</v>
      </c>
      <c r="J1904" s="902">
        <f>GLOBAL_DER_FEV_2023!J1904</f>
        <v>15493.4</v>
      </c>
      <c r="K1904" s="903" t="s">
        <v>15</v>
      </c>
      <c r="L1904" s="1137"/>
      <c r="M1904" s="1138">
        <f t="shared" si="194"/>
        <v>0</v>
      </c>
      <c r="N1904" s="1176">
        <f t="shared" si="198"/>
        <v>0</v>
      </c>
      <c r="O1904" s="905"/>
      <c r="Q1904" s="317" t="str">
        <f t="shared" si="195"/>
        <v/>
      </c>
      <c r="R1904" s="317" t="str">
        <f t="shared" si="196"/>
        <v/>
      </c>
      <c r="S1904" s="317" t="str">
        <f t="shared" si="197"/>
        <v/>
      </c>
      <c r="T1904" s="317" t="str">
        <f>GLOBAL_DER_FEV_2023!S1904</f>
        <v/>
      </c>
      <c r="W1904" s="582">
        <v>0</v>
      </c>
      <c r="X1904" s="580"/>
      <c r="Y1904" s="583">
        <f>IF(GLOBAL_DER_FEV_2023!W1904=0,0,IF(GLOBAL_DER_FEV_2023!W1904&gt;0,"c","b"))</f>
        <v>0</v>
      </c>
    </row>
    <row r="1905" spans="1:25" ht="15" customHeight="1" x14ac:dyDescent="0.2">
      <c r="A1905" s="317" t="s">
        <v>147</v>
      </c>
      <c r="B1905" s="895" t="s">
        <v>147</v>
      </c>
      <c r="C1905" s="896"/>
      <c r="D1905" s="906" t="s">
        <v>190</v>
      </c>
      <c r="E1905" s="907">
        <f>GLOBAL_DER_FEV_2023!E1905</f>
        <v>308</v>
      </c>
      <c r="F1905" s="908">
        <f>GLOBAL_DER_FEV_2023!F1905</f>
        <v>3.081</v>
      </c>
      <c r="G1905" s="909">
        <f>GLOBAL_DER_FEV_2023!G1905</f>
        <v>764.27286000000004</v>
      </c>
      <c r="H1905" s="901">
        <f>GLOBAL_DER_FEV_2023!H1905</f>
        <v>0</v>
      </c>
      <c r="I1905" s="901">
        <f>GLOBAL_DER_FEV_2023!I1905</f>
        <v>0</v>
      </c>
      <c r="J1905" s="902">
        <f>GLOBAL_DER_FEV_2023!J1905</f>
        <v>0</v>
      </c>
      <c r="K1905" s="903"/>
      <c r="L1905" s="1177"/>
      <c r="M1905" s="1138">
        <f t="shared" si="194"/>
        <v>0</v>
      </c>
      <c r="N1905" s="1176">
        <f t="shared" si="198"/>
        <v>0</v>
      </c>
      <c r="O1905" s="905"/>
      <c r="P1905" s="36" t="str">
        <f>IF(N1904&gt;0,"xx",IF(N1904&gt;0,"xy",""))</f>
        <v/>
      </c>
      <c r="Q1905" s="317" t="str">
        <f t="shared" si="195"/>
        <v/>
      </c>
      <c r="R1905" s="317" t="str">
        <f t="shared" si="196"/>
        <v/>
      </c>
      <c r="S1905" s="317" t="str">
        <f t="shared" si="197"/>
        <v/>
      </c>
      <c r="T1905" s="317" t="str">
        <f>GLOBAL_DER_FEV_2023!S1905</f>
        <v/>
      </c>
      <c r="W1905" s="582">
        <v>0</v>
      </c>
      <c r="X1905" s="580"/>
      <c r="Y1905" s="583">
        <f>IF(GLOBAL_DER_FEV_2023!W1905=0,0,IF(GLOBAL_DER_FEV_2023!W1905&gt;0,"c","b"))</f>
        <v>0</v>
      </c>
    </row>
    <row r="1906" spans="1:25" ht="15" customHeight="1" x14ac:dyDescent="0.2">
      <c r="A1906" s="317" t="s">
        <v>147</v>
      </c>
      <c r="B1906" s="895" t="s">
        <v>147</v>
      </c>
      <c r="C1906" s="896"/>
      <c r="D1906" s="906" t="s">
        <v>229</v>
      </c>
      <c r="E1906" s="907">
        <f>GLOBAL_DER_FEV_2023!E1906</f>
        <v>150</v>
      </c>
      <c r="F1906" s="908">
        <f>GLOBAL_DER_FEV_2023!F1906</f>
        <v>10.9549</v>
      </c>
      <c r="G1906" s="949">
        <f>GLOBAL_DER_FEV_2023!G1906</f>
        <v>1787.620582</v>
      </c>
      <c r="H1906" s="901">
        <f>GLOBAL_DER_FEV_2023!H1906</f>
        <v>0</v>
      </c>
      <c r="I1906" s="901">
        <f>GLOBAL_DER_FEV_2023!I1906</f>
        <v>0</v>
      </c>
      <c r="J1906" s="902">
        <f>GLOBAL_DER_FEV_2023!J1906</f>
        <v>0</v>
      </c>
      <c r="K1906" s="903"/>
      <c r="L1906" s="1177"/>
      <c r="M1906" s="1138">
        <f t="shared" si="194"/>
        <v>0</v>
      </c>
      <c r="N1906" s="1176">
        <f t="shared" si="198"/>
        <v>0</v>
      </c>
      <c r="O1906" s="905"/>
      <c r="P1906" s="36" t="str">
        <f>IF(N1904&gt;0,"xx",IF(N1904&gt;0,"xy",""))</f>
        <v/>
      </c>
      <c r="Q1906" s="317" t="str">
        <f t="shared" si="195"/>
        <v/>
      </c>
      <c r="R1906" s="317" t="str">
        <f t="shared" si="196"/>
        <v/>
      </c>
      <c r="S1906" s="317" t="str">
        <f t="shared" si="197"/>
        <v/>
      </c>
      <c r="T1906" s="317" t="str">
        <f>GLOBAL_DER_FEV_2023!S1906</f>
        <v/>
      </c>
      <c r="W1906" s="582">
        <v>0</v>
      </c>
      <c r="X1906" s="580"/>
      <c r="Y1906" s="583">
        <f>IF(GLOBAL_DER_FEV_2023!W1906=0,0,IF(GLOBAL_DER_FEV_2023!W1906&gt;0,"c","b"))</f>
        <v>0</v>
      </c>
    </row>
    <row r="1907" spans="1:25" ht="15" customHeight="1" x14ac:dyDescent="0.2">
      <c r="A1907" s="317" t="s">
        <v>147</v>
      </c>
      <c r="B1907" s="895" t="s">
        <v>147</v>
      </c>
      <c r="C1907" s="896"/>
      <c r="D1907" s="906" t="s">
        <v>233</v>
      </c>
      <c r="E1907" s="907">
        <f>GLOBAL_DER_FEV_2023!E1907</f>
        <v>0.2</v>
      </c>
      <c r="F1907" s="908">
        <f>GLOBAL_DER_FEV_2023!F1907</f>
        <v>20.002500000000001</v>
      </c>
      <c r="G1907" s="949">
        <f>GLOBAL_DER_FEV_2023!G1907</f>
        <v>57.887235000000004</v>
      </c>
      <c r="H1907" s="901">
        <f>GLOBAL_DER_FEV_2023!H1907</f>
        <v>0</v>
      </c>
      <c r="I1907" s="901">
        <f>GLOBAL_DER_FEV_2023!I1907</f>
        <v>0</v>
      </c>
      <c r="J1907" s="902">
        <f>GLOBAL_DER_FEV_2023!J1907</f>
        <v>0</v>
      </c>
      <c r="K1907" s="903"/>
      <c r="L1907" s="1177"/>
      <c r="M1907" s="1138">
        <f t="shared" si="194"/>
        <v>0</v>
      </c>
      <c r="N1907" s="1176">
        <f t="shared" si="198"/>
        <v>0</v>
      </c>
      <c r="O1907" s="905"/>
      <c r="P1907" s="36" t="str">
        <f>IF(N1904&gt;0,"xx",IF(N1904&gt;0,"xy",""))</f>
        <v/>
      </c>
      <c r="Q1907" s="317" t="str">
        <f t="shared" si="195"/>
        <v/>
      </c>
      <c r="R1907" s="317" t="str">
        <f t="shared" si="196"/>
        <v/>
      </c>
      <c r="S1907" s="317" t="str">
        <f t="shared" si="197"/>
        <v/>
      </c>
      <c r="T1907" s="317" t="str">
        <f>GLOBAL_DER_FEV_2023!S1907</f>
        <v/>
      </c>
      <c r="W1907" s="582">
        <v>0</v>
      </c>
      <c r="X1907" s="580"/>
      <c r="Y1907" s="583">
        <f>IF(GLOBAL_DER_FEV_2023!W1907=0,0,IF(GLOBAL_DER_FEV_2023!W1907&gt;0,"c","b"))</f>
        <v>0</v>
      </c>
    </row>
    <row r="1908" spans="1:25" ht="15" customHeight="1" x14ac:dyDescent="0.2">
      <c r="A1908" s="317">
        <v>620100</v>
      </c>
      <c r="B1908" s="895" t="s">
        <v>1819</v>
      </c>
      <c r="C1908" s="896" t="s">
        <v>184</v>
      </c>
      <c r="D1908" s="906" t="s">
        <v>356</v>
      </c>
      <c r="E1908" s="907">
        <f>GLOBAL_DER_FEV_2023!E1908</f>
        <v>0</v>
      </c>
      <c r="F1908" s="908">
        <f>GLOBAL_DER_FEV_2023!F1908</f>
        <v>0</v>
      </c>
      <c r="G1908" s="912">
        <f>GLOBAL_DER_FEV_2023!G1908</f>
        <v>317.53582400000005</v>
      </c>
      <c r="H1908" s="901">
        <f>GLOBAL_DER_FEV_2023!H1908</f>
        <v>954.15</v>
      </c>
      <c r="I1908" s="901">
        <f>GLOBAL_DER_FEV_2023!I1908</f>
        <v>1271.6858240000001</v>
      </c>
      <c r="J1908" s="902">
        <f>GLOBAL_DER_FEV_2023!J1908</f>
        <v>1526.91</v>
      </c>
      <c r="K1908" s="903" t="s">
        <v>15</v>
      </c>
      <c r="L1908" s="1137"/>
      <c r="M1908" s="1138">
        <f t="shared" si="194"/>
        <v>0</v>
      </c>
      <c r="N1908" s="1176">
        <f t="shared" si="198"/>
        <v>0</v>
      </c>
      <c r="O1908" s="905"/>
      <c r="Q1908" s="317" t="str">
        <f t="shared" si="195"/>
        <v/>
      </c>
      <c r="R1908" s="317" t="str">
        <f t="shared" si="196"/>
        <v/>
      </c>
      <c r="S1908" s="317" t="str">
        <f t="shared" si="197"/>
        <v/>
      </c>
      <c r="T1908" s="317" t="str">
        <f>GLOBAL_DER_FEV_2023!S1908</f>
        <v/>
      </c>
      <c r="W1908" s="582">
        <v>0</v>
      </c>
      <c r="X1908" s="580"/>
      <c r="Y1908" s="583">
        <f>IF(GLOBAL_DER_FEV_2023!W1908=0,0,IF(GLOBAL_DER_FEV_2023!W1908&gt;0,"c","b"))</f>
        <v>0</v>
      </c>
    </row>
    <row r="1909" spans="1:25" ht="15" customHeight="1" x14ac:dyDescent="0.2">
      <c r="A1909" s="317" t="s">
        <v>147</v>
      </c>
      <c r="B1909" s="895" t="s">
        <v>147</v>
      </c>
      <c r="C1909" s="896"/>
      <c r="D1909" s="906" t="s">
        <v>190</v>
      </c>
      <c r="E1909" s="907">
        <f>GLOBAL_DER_FEV_2023!E1909</f>
        <v>308</v>
      </c>
      <c r="F1909" s="908">
        <f>GLOBAL_DER_FEV_2023!F1909</f>
        <v>0.37480000000000002</v>
      </c>
      <c r="G1909" s="909">
        <f>GLOBAL_DER_FEV_2023!G1909</f>
        <v>92.972888000000012</v>
      </c>
      <c r="H1909" s="901">
        <f>GLOBAL_DER_FEV_2023!H1909</f>
        <v>0</v>
      </c>
      <c r="I1909" s="901">
        <f>GLOBAL_DER_FEV_2023!I1909</f>
        <v>0</v>
      </c>
      <c r="J1909" s="902">
        <f>GLOBAL_DER_FEV_2023!J1909</f>
        <v>0</v>
      </c>
      <c r="K1909" s="903"/>
      <c r="L1909" s="1177"/>
      <c r="M1909" s="1138">
        <f t="shared" si="194"/>
        <v>0</v>
      </c>
      <c r="N1909" s="1176">
        <f t="shared" si="198"/>
        <v>0</v>
      </c>
      <c r="O1909" s="905"/>
      <c r="P1909" s="36" t="str">
        <f>IF(N1908&gt;0,"xx",IF(N1908&gt;0,"xy",""))</f>
        <v/>
      </c>
      <c r="Q1909" s="317" t="str">
        <f t="shared" si="195"/>
        <v/>
      </c>
      <c r="R1909" s="317" t="str">
        <f t="shared" si="196"/>
        <v/>
      </c>
      <c r="S1909" s="317" t="str">
        <f t="shared" si="197"/>
        <v/>
      </c>
      <c r="T1909" s="317" t="str">
        <f>GLOBAL_DER_FEV_2023!S1909</f>
        <v/>
      </c>
      <c r="W1909" s="582">
        <v>0</v>
      </c>
      <c r="X1909" s="580"/>
      <c r="Y1909" s="583">
        <f>IF(GLOBAL_DER_FEV_2023!W1909=0,0,IF(GLOBAL_DER_FEV_2023!W1909&gt;0,"c","b"))</f>
        <v>0</v>
      </c>
    </row>
    <row r="1910" spans="1:25" ht="15" customHeight="1" x14ac:dyDescent="0.2">
      <c r="A1910" s="317" t="s">
        <v>147</v>
      </c>
      <c r="B1910" s="895" t="s">
        <v>147</v>
      </c>
      <c r="C1910" s="896"/>
      <c r="D1910" s="906" t="s">
        <v>229</v>
      </c>
      <c r="E1910" s="907">
        <f>GLOBAL_DER_FEV_2023!E1910</f>
        <v>150</v>
      </c>
      <c r="F1910" s="908">
        <f>GLOBAL_DER_FEV_2023!F1910</f>
        <v>1.333</v>
      </c>
      <c r="G1910" s="949">
        <f>GLOBAL_DER_FEV_2023!G1910</f>
        <v>217.51894000000001</v>
      </c>
      <c r="H1910" s="901">
        <f>GLOBAL_DER_FEV_2023!H1910</f>
        <v>0</v>
      </c>
      <c r="I1910" s="901">
        <f>GLOBAL_DER_FEV_2023!I1910</f>
        <v>0</v>
      </c>
      <c r="J1910" s="902">
        <f>GLOBAL_DER_FEV_2023!J1910</f>
        <v>0</v>
      </c>
      <c r="K1910" s="903"/>
      <c r="L1910" s="1177"/>
      <c r="M1910" s="1138">
        <f t="shared" si="194"/>
        <v>0</v>
      </c>
      <c r="N1910" s="1176">
        <f t="shared" si="198"/>
        <v>0</v>
      </c>
      <c r="O1910" s="905"/>
      <c r="P1910" s="36" t="str">
        <f>IF(N1908&gt;0,"xx",IF(N1908&gt;0,"xy",""))</f>
        <v/>
      </c>
      <c r="Q1910" s="317" t="str">
        <f t="shared" si="195"/>
        <v/>
      </c>
      <c r="R1910" s="317" t="str">
        <f t="shared" si="196"/>
        <v/>
      </c>
      <c r="S1910" s="317" t="str">
        <f t="shared" si="197"/>
        <v/>
      </c>
      <c r="T1910" s="317" t="str">
        <f>GLOBAL_DER_FEV_2023!S1910</f>
        <v/>
      </c>
      <c r="W1910" s="582">
        <v>0</v>
      </c>
      <c r="X1910" s="580"/>
      <c r="Y1910" s="583">
        <f>IF(GLOBAL_DER_FEV_2023!W1910=0,0,IF(GLOBAL_DER_FEV_2023!W1910&gt;0,"c","b"))</f>
        <v>0</v>
      </c>
    </row>
    <row r="1911" spans="1:25" ht="15" customHeight="1" x14ac:dyDescent="0.2">
      <c r="A1911" s="317" t="s">
        <v>147</v>
      </c>
      <c r="B1911" s="895" t="s">
        <v>147</v>
      </c>
      <c r="C1911" s="896"/>
      <c r="D1911" s="906" t="s">
        <v>233</v>
      </c>
      <c r="E1911" s="907">
        <f>GLOBAL_DER_FEV_2023!E1911</f>
        <v>0.2</v>
      </c>
      <c r="F1911" s="908">
        <f>GLOBAL_DER_FEV_2023!F1911</f>
        <v>2.4340000000000002</v>
      </c>
      <c r="G1911" s="949">
        <f>GLOBAL_DER_FEV_2023!G1911</f>
        <v>7.0439960000000008</v>
      </c>
      <c r="H1911" s="901">
        <f>GLOBAL_DER_FEV_2023!H1911</f>
        <v>0</v>
      </c>
      <c r="I1911" s="901">
        <f>GLOBAL_DER_FEV_2023!I1911</f>
        <v>0</v>
      </c>
      <c r="J1911" s="902">
        <f>GLOBAL_DER_FEV_2023!J1911</f>
        <v>0</v>
      </c>
      <c r="K1911" s="903"/>
      <c r="L1911" s="1177"/>
      <c r="M1911" s="1138">
        <f t="shared" si="194"/>
        <v>0</v>
      </c>
      <c r="N1911" s="1176">
        <f t="shared" si="198"/>
        <v>0</v>
      </c>
      <c r="O1911" s="905"/>
      <c r="P1911" s="36" t="str">
        <f>IF(N1908&gt;0,"xx",IF(N1908&gt;0,"xy",""))</f>
        <v/>
      </c>
      <c r="Q1911" s="317" t="str">
        <f t="shared" si="195"/>
        <v/>
      </c>
      <c r="R1911" s="317" t="str">
        <f t="shared" si="196"/>
        <v/>
      </c>
      <c r="S1911" s="317" t="str">
        <f t="shared" si="197"/>
        <v/>
      </c>
      <c r="T1911" s="317" t="str">
        <f>GLOBAL_DER_FEV_2023!S1911</f>
        <v/>
      </c>
      <c r="W1911" s="582">
        <v>0</v>
      </c>
      <c r="X1911" s="580"/>
      <c r="Y1911" s="583">
        <f>IF(GLOBAL_DER_FEV_2023!W1911=0,0,IF(GLOBAL_DER_FEV_2023!W1911&gt;0,"c","b"))</f>
        <v>0</v>
      </c>
    </row>
    <row r="1912" spans="1:25" ht="15" customHeight="1" x14ac:dyDescent="0.2">
      <c r="A1912" s="317">
        <v>620200</v>
      </c>
      <c r="B1912" s="895" t="s">
        <v>1822</v>
      </c>
      <c r="C1912" s="896" t="s">
        <v>184</v>
      </c>
      <c r="D1912" s="906" t="s">
        <v>357</v>
      </c>
      <c r="E1912" s="907">
        <f>GLOBAL_DER_FEV_2023!E1912</f>
        <v>0</v>
      </c>
      <c r="F1912" s="908">
        <f>GLOBAL_DER_FEV_2023!F1912</f>
        <v>0</v>
      </c>
      <c r="G1912" s="912">
        <f>GLOBAL_DER_FEV_2023!G1912</f>
        <v>460.436328</v>
      </c>
      <c r="H1912" s="901">
        <f>GLOBAL_DER_FEV_2023!H1912</f>
        <v>1321.46</v>
      </c>
      <c r="I1912" s="901">
        <f>GLOBAL_DER_FEV_2023!I1912</f>
        <v>1781.896328</v>
      </c>
      <c r="J1912" s="902">
        <f>GLOBAL_DER_FEV_2023!J1912</f>
        <v>2139.52</v>
      </c>
      <c r="K1912" s="903" t="s">
        <v>15</v>
      </c>
      <c r="L1912" s="1137"/>
      <c r="M1912" s="1138">
        <f t="shared" si="194"/>
        <v>0</v>
      </c>
      <c r="N1912" s="1176">
        <f t="shared" si="198"/>
        <v>0</v>
      </c>
      <c r="O1912" s="905"/>
      <c r="Q1912" s="317" t="str">
        <f t="shared" si="195"/>
        <v/>
      </c>
      <c r="R1912" s="317" t="str">
        <f t="shared" si="196"/>
        <v/>
      </c>
      <c r="S1912" s="317" t="str">
        <f t="shared" si="197"/>
        <v/>
      </c>
      <c r="T1912" s="317" t="str">
        <f>GLOBAL_DER_FEV_2023!S1912</f>
        <v/>
      </c>
      <c r="W1912" s="582">
        <v>0</v>
      </c>
      <c r="X1912" s="580"/>
      <c r="Y1912" s="583">
        <f>IF(GLOBAL_DER_FEV_2023!W1912=0,0,IF(GLOBAL_DER_FEV_2023!W1912&gt;0,"c","b"))</f>
        <v>0</v>
      </c>
    </row>
    <row r="1913" spans="1:25" ht="15" customHeight="1" x14ac:dyDescent="0.2">
      <c r="A1913" s="317" t="s">
        <v>147</v>
      </c>
      <c r="B1913" s="895" t="s">
        <v>147</v>
      </c>
      <c r="C1913" s="896"/>
      <c r="D1913" s="906" t="s">
        <v>190</v>
      </c>
      <c r="E1913" s="907">
        <f>GLOBAL_DER_FEV_2023!E1913</f>
        <v>308</v>
      </c>
      <c r="F1913" s="908">
        <f>GLOBAL_DER_FEV_2023!F1913</f>
        <v>0.54359999999999997</v>
      </c>
      <c r="G1913" s="909">
        <f>GLOBAL_DER_FEV_2023!G1913</f>
        <v>134.845416</v>
      </c>
      <c r="H1913" s="901">
        <f>GLOBAL_DER_FEV_2023!H1913</f>
        <v>0</v>
      </c>
      <c r="I1913" s="901">
        <f>GLOBAL_DER_FEV_2023!I1913</f>
        <v>0</v>
      </c>
      <c r="J1913" s="902">
        <f>GLOBAL_DER_FEV_2023!J1913</f>
        <v>0</v>
      </c>
      <c r="K1913" s="903"/>
      <c r="L1913" s="1177"/>
      <c r="M1913" s="1138">
        <f t="shared" si="194"/>
        <v>0</v>
      </c>
      <c r="N1913" s="1176">
        <f t="shared" si="198"/>
        <v>0</v>
      </c>
      <c r="O1913" s="905"/>
      <c r="P1913" s="36" t="str">
        <f>IF(N1912&gt;0,"xx",IF(N1912&gt;0,"xy",""))</f>
        <v/>
      </c>
      <c r="Q1913" s="317" t="str">
        <f t="shared" si="195"/>
        <v/>
      </c>
      <c r="R1913" s="317" t="str">
        <f t="shared" si="196"/>
        <v/>
      </c>
      <c r="S1913" s="317" t="str">
        <f t="shared" si="197"/>
        <v/>
      </c>
      <c r="T1913" s="317" t="str">
        <f>GLOBAL_DER_FEV_2023!S1913</f>
        <v/>
      </c>
      <c r="W1913" s="582">
        <v>0</v>
      </c>
      <c r="X1913" s="580"/>
      <c r="Y1913" s="583">
        <f>IF(GLOBAL_DER_FEV_2023!W1913=0,0,IF(GLOBAL_DER_FEV_2023!W1913&gt;0,"c","b"))</f>
        <v>0</v>
      </c>
    </row>
    <row r="1914" spans="1:25" ht="15" customHeight="1" x14ac:dyDescent="0.2">
      <c r="A1914" s="317" t="s">
        <v>147</v>
      </c>
      <c r="B1914" s="895" t="s">
        <v>147</v>
      </c>
      <c r="C1914" s="896"/>
      <c r="D1914" s="906" t="s">
        <v>229</v>
      </c>
      <c r="E1914" s="907">
        <f>GLOBAL_DER_FEV_2023!E1914</f>
        <v>150</v>
      </c>
      <c r="F1914" s="908">
        <f>GLOBAL_DER_FEV_2023!F1914</f>
        <v>1.9327000000000001</v>
      </c>
      <c r="G1914" s="949">
        <f>GLOBAL_DER_FEV_2023!G1914</f>
        <v>315.37798600000002</v>
      </c>
      <c r="H1914" s="901">
        <f>GLOBAL_DER_FEV_2023!H1914</f>
        <v>0</v>
      </c>
      <c r="I1914" s="901">
        <f>GLOBAL_DER_FEV_2023!I1914</f>
        <v>0</v>
      </c>
      <c r="J1914" s="902">
        <f>GLOBAL_DER_FEV_2023!J1914</f>
        <v>0</v>
      </c>
      <c r="K1914" s="903"/>
      <c r="L1914" s="1177"/>
      <c r="M1914" s="1138">
        <f t="shared" si="194"/>
        <v>0</v>
      </c>
      <c r="N1914" s="1176">
        <f t="shared" si="198"/>
        <v>0</v>
      </c>
      <c r="O1914" s="905"/>
      <c r="P1914" s="36" t="str">
        <f>IF(N1912&gt;0,"xx",IF(N1912&gt;0,"xy",""))</f>
        <v/>
      </c>
      <c r="Q1914" s="317" t="str">
        <f t="shared" si="195"/>
        <v/>
      </c>
      <c r="R1914" s="317" t="str">
        <f t="shared" si="196"/>
        <v/>
      </c>
      <c r="S1914" s="317" t="str">
        <f t="shared" si="197"/>
        <v/>
      </c>
      <c r="T1914" s="317" t="str">
        <f>GLOBAL_DER_FEV_2023!S1914</f>
        <v/>
      </c>
      <c r="W1914" s="582">
        <v>0</v>
      </c>
      <c r="X1914" s="580"/>
      <c r="Y1914" s="583">
        <f>IF(GLOBAL_DER_FEV_2023!W1914=0,0,IF(GLOBAL_DER_FEV_2023!W1914&gt;0,"c","b"))</f>
        <v>0</v>
      </c>
    </row>
    <row r="1915" spans="1:25" ht="15" customHeight="1" x14ac:dyDescent="0.2">
      <c r="A1915" s="317" t="s">
        <v>147</v>
      </c>
      <c r="B1915" s="895" t="s">
        <v>147</v>
      </c>
      <c r="C1915" s="896"/>
      <c r="D1915" s="906" t="s">
        <v>233</v>
      </c>
      <c r="E1915" s="907">
        <f>GLOBAL_DER_FEV_2023!E1915</f>
        <v>0.2</v>
      </c>
      <c r="F1915" s="908">
        <f>GLOBAL_DER_FEV_2023!F1915</f>
        <v>3.5289999999999999</v>
      </c>
      <c r="G1915" s="949">
        <f>GLOBAL_DER_FEV_2023!G1915</f>
        <v>10.212926</v>
      </c>
      <c r="H1915" s="901">
        <f>GLOBAL_DER_FEV_2023!H1915</f>
        <v>0</v>
      </c>
      <c r="I1915" s="901">
        <f>GLOBAL_DER_FEV_2023!I1915</f>
        <v>0</v>
      </c>
      <c r="J1915" s="902">
        <f>GLOBAL_DER_FEV_2023!J1915</f>
        <v>0</v>
      </c>
      <c r="K1915" s="903"/>
      <c r="L1915" s="1177"/>
      <c r="M1915" s="1138">
        <f t="shared" si="194"/>
        <v>0</v>
      </c>
      <c r="N1915" s="1176">
        <f t="shared" si="198"/>
        <v>0</v>
      </c>
      <c r="O1915" s="905"/>
      <c r="P1915" s="36" t="str">
        <f>IF(N1912&gt;0,"xx",IF(N1912&gt;0,"xy",""))</f>
        <v/>
      </c>
      <c r="Q1915" s="317" t="str">
        <f t="shared" si="195"/>
        <v/>
      </c>
      <c r="R1915" s="317" t="str">
        <f t="shared" si="196"/>
        <v/>
      </c>
      <c r="S1915" s="317" t="str">
        <f t="shared" si="197"/>
        <v/>
      </c>
      <c r="T1915" s="317" t="str">
        <f>GLOBAL_DER_FEV_2023!S1915</f>
        <v/>
      </c>
      <c r="W1915" s="582">
        <v>0</v>
      </c>
      <c r="X1915" s="580"/>
      <c r="Y1915" s="583">
        <f>IF(GLOBAL_DER_FEV_2023!W1915=0,0,IF(GLOBAL_DER_FEV_2023!W1915&gt;0,"c","b"))</f>
        <v>0</v>
      </c>
    </row>
    <row r="1916" spans="1:25" ht="15" customHeight="1" x14ac:dyDescent="0.2">
      <c r="A1916" s="317">
        <v>621100</v>
      </c>
      <c r="B1916" s="895">
        <v>621100</v>
      </c>
      <c r="C1916" s="896" t="s">
        <v>184</v>
      </c>
      <c r="D1916" s="906" t="s">
        <v>358</v>
      </c>
      <c r="E1916" s="907">
        <f>GLOBAL_DER_FEV_2023!E1916</f>
        <v>0</v>
      </c>
      <c r="F1916" s="908">
        <f>GLOBAL_DER_FEV_2023!F1916</f>
        <v>0</v>
      </c>
      <c r="G1916" s="912">
        <f>GLOBAL_DER_FEV_2023!G1916</f>
        <v>690.93925180000008</v>
      </c>
      <c r="H1916" s="901">
        <f>GLOBAL_DER_FEV_2023!H1916</f>
        <v>3322.38</v>
      </c>
      <c r="I1916" s="901">
        <f>GLOBAL_DER_FEV_2023!I1916</f>
        <v>4013.3192518000001</v>
      </c>
      <c r="J1916" s="902">
        <f>GLOBAL_DER_FEV_2023!J1916</f>
        <v>4818.79</v>
      </c>
      <c r="K1916" s="903" t="s">
        <v>15</v>
      </c>
      <c r="L1916" s="1137"/>
      <c r="M1916" s="1138">
        <f t="shared" si="194"/>
        <v>0</v>
      </c>
      <c r="N1916" s="1176">
        <f t="shared" si="198"/>
        <v>0</v>
      </c>
      <c r="O1916" s="905"/>
      <c r="Q1916" s="317" t="str">
        <f t="shared" si="195"/>
        <v/>
      </c>
      <c r="R1916" s="317" t="str">
        <f t="shared" si="196"/>
        <v/>
      </c>
      <c r="S1916" s="317" t="str">
        <f t="shared" si="197"/>
        <v/>
      </c>
      <c r="T1916" s="317" t="str">
        <f>GLOBAL_DER_FEV_2023!S1916</f>
        <v/>
      </c>
      <c r="W1916" s="582">
        <v>0</v>
      </c>
      <c r="X1916" s="580"/>
      <c r="Y1916" s="583">
        <f>IF(GLOBAL_DER_FEV_2023!W1916=0,0,IF(GLOBAL_DER_FEV_2023!W1916&gt;0,"c","b"))</f>
        <v>0</v>
      </c>
    </row>
    <row r="1917" spans="1:25" ht="15" customHeight="1" x14ac:dyDescent="0.2">
      <c r="A1917" s="317" t="s">
        <v>147</v>
      </c>
      <c r="B1917" s="895" t="s">
        <v>147</v>
      </c>
      <c r="C1917" s="896"/>
      <c r="D1917" s="906" t="s">
        <v>190</v>
      </c>
      <c r="E1917" s="907">
        <f>GLOBAL_DER_FEV_2023!E1917</f>
        <v>308</v>
      </c>
      <c r="F1917" s="908">
        <f>GLOBAL_DER_FEV_2023!F1917</f>
        <v>0.81569999999999998</v>
      </c>
      <c r="G1917" s="909">
        <f>GLOBAL_DER_FEV_2023!G1917</f>
        <v>202.34254200000001</v>
      </c>
      <c r="H1917" s="901">
        <f>GLOBAL_DER_FEV_2023!H1917</f>
        <v>0</v>
      </c>
      <c r="I1917" s="901">
        <f>GLOBAL_DER_FEV_2023!I1917</f>
        <v>0</v>
      </c>
      <c r="J1917" s="902">
        <f>GLOBAL_DER_FEV_2023!J1917</f>
        <v>0</v>
      </c>
      <c r="K1917" s="903"/>
      <c r="L1917" s="1177"/>
      <c r="M1917" s="1138">
        <f t="shared" si="194"/>
        <v>0</v>
      </c>
      <c r="N1917" s="1176">
        <f t="shared" si="198"/>
        <v>0</v>
      </c>
      <c r="O1917" s="905"/>
      <c r="P1917" s="36" t="str">
        <f>IF(N1916&gt;0,"xx",IF(N1916&gt;0,"xy",""))</f>
        <v/>
      </c>
      <c r="Q1917" s="317" t="str">
        <f t="shared" si="195"/>
        <v/>
      </c>
      <c r="R1917" s="317" t="str">
        <f t="shared" si="196"/>
        <v/>
      </c>
      <c r="S1917" s="317" t="str">
        <f t="shared" si="197"/>
        <v/>
      </c>
      <c r="T1917" s="317" t="str">
        <f>GLOBAL_DER_FEV_2023!S1917</f>
        <v/>
      </c>
      <c r="W1917" s="582">
        <v>0</v>
      </c>
      <c r="X1917" s="580"/>
      <c r="Y1917" s="583">
        <f>IF(GLOBAL_DER_FEV_2023!W1917=0,0,IF(GLOBAL_DER_FEV_2023!W1917&gt;0,"c","b"))</f>
        <v>0</v>
      </c>
    </row>
    <row r="1918" spans="1:25" ht="15" customHeight="1" x14ac:dyDescent="0.2">
      <c r="A1918" s="317" t="s">
        <v>147</v>
      </c>
      <c r="B1918" s="895" t="s">
        <v>147</v>
      </c>
      <c r="C1918" s="896"/>
      <c r="D1918" s="906" t="s">
        <v>229</v>
      </c>
      <c r="E1918" s="907">
        <f>GLOBAL_DER_FEV_2023!E1918</f>
        <v>150</v>
      </c>
      <c r="F1918" s="908">
        <f>GLOBAL_DER_FEV_2023!F1918</f>
        <v>2.9003000000000001</v>
      </c>
      <c r="G1918" s="949">
        <f>GLOBAL_DER_FEV_2023!G1918</f>
        <v>473.27095400000002</v>
      </c>
      <c r="H1918" s="901">
        <f>GLOBAL_DER_FEV_2023!H1918</f>
        <v>0</v>
      </c>
      <c r="I1918" s="901">
        <f>GLOBAL_DER_FEV_2023!I1918</f>
        <v>0</v>
      </c>
      <c r="J1918" s="902">
        <f>GLOBAL_DER_FEV_2023!J1918</f>
        <v>0</v>
      </c>
      <c r="K1918" s="903"/>
      <c r="L1918" s="1177"/>
      <c r="M1918" s="1138">
        <f t="shared" si="194"/>
        <v>0</v>
      </c>
      <c r="N1918" s="1176">
        <f t="shared" si="198"/>
        <v>0</v>
      </c>
      <c r="O1918" s="905"/>
      <c r="P1918" s="36" t="str">
        <f>IF(N1916&gt;0,"xx",IF(N1916&gt;0,"xy",""))</f>
        <v/>
      </c>
      <c r="Q1918" s="317" t="str">
        <f t="shared" si="195"/>
        <v/>
      </c>
      <c r="R1918" s="317" t="str">
        <f t="shared" si="196"/>
        <v/>
      </c>
      <c r="S1918" s="317" t="str">
        <f t="shared" si="197"/>
        <v/>
      </c>
      <c r="T1918" s="317" t="str">
        <f>GLOBAL_DER_FEV_2023!S1918</f>
        <v/>
      </c>
      <c r="W1918" s="582">
        <v>0</v>
      </c>
      <c r="X1918" s="580"/>
      <c r="Y1918" s="583">
        <f>IF(GLOBAL_DER_FEV_2023!W1918=0,0,IF(GLOBAL_DER_FEV_2023!W1918&gt;0,"c","b"))</f>
        <v>0</v>
      </c>
    </row>
    <row r="1919" spans="1:25" ht="15" customHeight="1" x14ac:dyDescent="0.2">
      <c r="A1919" s="317" t="s">
        <v>147</v>
      </c>
      <c r="B1919" s="895" t="s">
        <v>147</v>
      </c>
      <c r="C1919" s="896"/>
      <c r="D1919" s="906" t="s">
        <v>233</v>
      </c>
      <c r="E1919" s="907">
        <f>GLOBAL_DER_FEV_2023!E1919</f>
        <v>0.2</v>
      </c>
      <c r="F1919" s="908">
        <f>GLOBAL_DER_FEV_2023!F1919</f>
        <v>5.2957000000000001</v>
      </c>
      <c r="G1919" s="949">
        <f>GLOBAL_DER_FEV_2023!G1919</f>
        <v>15.325755800000001</v>
      </c>
      <c r="H1919" s="901">
        <f>GLOBAL_DER_FEV_2023!H1919</f>
        <v>0</v>
      </c>
      <c r="I1919" s="901">
        <f>GLOBAL_DER_FEV_2023!I1919</f>
        <v>0</v>
      </c>
      <c r="J1919" s="902">
        <f>GLOBAL_DER_FEV_2023!J1919</f>
        <v>0</v>
      </c>
      <c r="K1919" s="903"/>
      <c r="L1919" s="1177"/>
      <c r="M1919" s="1138">
        <f t="shared" si="194"/>
        <v>0</v>
      </c>
      <c r="N1919" s="1176">
        <f t="shared" si="198"/>
        <v>0</v>
      </c>
      <c r="O1919" s="905"/>
      <c r="P1919" s="36" t="str">
        <f>IF(N1916&gt;0,"xx",IF(N1916&gt;0,"xy",""))</f>
        <v/>
      </c>
      <c r="Q1919" s="317" t="str">
        <f t="shared" si="195"/>
        <v/>
      </c>
      <c r="R1919" s="317" t="str">
        <f t="shared" si="196"/>
        <v/>
      </c>
      <c r="S1919" s="317" t="str">
        <f t="shared" si="197"/>
        <v/>
      </c>
      <c r="T1919" s="317" t="str">
        <f>GLOBAL_DER_FEV_2023!S1919</f>
        <v/>
      </c>
      <c r="W1919" s="582">
        <v>0</v>
      </c>
      <c r="X1919" s="580"/>
      <c r="Y1919" s="583">
        <f>IF(GLOBAL_DER_FEV_2023!W1919=0,0,IF(GLOBAL_DER_FEV_2023!W1919&gt;0,"c","b"))</f>
        <v>0</v>
      </c>
    </row>
    <row r="1920" spans="1:25" ht="15" customHeight="1" x14ac:dyDescent="0.2">
      <c r="A1920" s="317">
        <v>621200</v>
      </c>
      <c r="B1920" s="895">
        <v>621200</v>
      </c>
      <c r="C1920" s="896" t="s">
        <v>184</v>
      </c>
      <c r="D1920" s="906" t="s">
        <v>359</v>
      </c>
      <c r="E1920" s="907">
        <f>GLOBAL_DER_FEV_2023!E1920</f>
        <v>0</v>
      </c>
      <c r="F1920" s="908">
        <f>GLOBAL_DER_FEV_2023!F1920</f>
        <v>0</v>
      </c>
      <c r="G1920" s="912">
        <f>GLOBAL_DER_FEV_2023!G1920</f>
        <v>895.69011799999998</v>
      </c>
      <c r="H1920" s="901">
        <f>GLOBAL_DER_FEV_2023!H1920</f>
        <v>4208.43</v>
      </c>
      <c r="I1920" s="901">
        <f>GLOBAL_DER_FEV_2023!I1920</f>
        <v>5104.1201180000007</v>
      </c>
      <c r="J1920" s="902">
        <f>GLOBAL_DER_FEV_2023!J1920</f>
        <v>6128.52</v>
      </c>
      <c r="K1920" s="903" t="s">
        <v>15</v>
      </c>
      <c r="L1920" s="1137"/>
      <c r="M1920" s="1138">
        <f t="shared" si="194"/>
        <v>0</v>
      </c>
      <c r="N1920" s="1176">
        <f t="shared" si="198"/>
        <v>0</v>
      </c>
      <c r="O1920" s="905"/>
      <c r="Q1920" s="317" t="str">
        <f t="shared" si="195"/>
        <v/>
      </c>
      <c r="R1920" s="317" t="str">
        <f t="shared" si="196"/>
        <v/>
      </c>
      <c r="S1920" s="317" t="str">
        <f t="shared" si="197"/>
        <v/>
      </c>
      <c r="T1920" s="317" t="str">
        <f>GLOBAL_DER_FEV_2023!S1920</f>
        <v/>
      </c>
      <c r="W1920" s="582">
        <v>0</v>
      </c>
      <c r="X1920" s="580"/>
      <c r="Y1920" s="583">
        <f>IF(GLOBAL_DER_FEV_2023!W1920=0,0,IF(GLOBAL_DER_FEV_2023!W1920&gt;0,"c","b"))</f>
        <v>0</v>
      </c>
    </row>
    <row r="1921" spans="1:25" ht="15" customHeight="1" x14ac:dyDescent="0.2">
      <c r="A1921" s="317" t="s">
        <v>147</v>
      </c>
      <c r="B1921" s="895" t="s">
        <v>147</v>
      </c>
      <c r="C1921" s="896"/>
      <c r="D1921" s="906" t="s">
        <v>190</v>
      </c>
      <c r="E1921" s="907">
        <f>GLOBAL_DER_FEV_2023!E1921</f>
        <v>308</v>
      </c>
      <c r="F1921" s="908">
        <f>GLOBAL_DER_FEV_2023!F1921</f>
        <v>1.0573999999999999</v>
      </c>
      <c r="G1921" s="909">
        <f>GLOBAL_DER_FEV_2023!G1921</f>
        <v>262.29864399999997</v>
      </c>
      <c r="H1921" s="901">
        <f>GLOBAL_DER_FEV_2023!H1921</f>
        <v>0</v>
      </c>
      <c r="I1921" s="901">
        <f>GLOBAL_DER_FEV_2023!I1921</f>
        <v>0</v>
      </c>
      <c r="J1921" s="902">
        <f>GLOBAL_DER_FEV_2023!J1921</f>
        <v>0</v>
      </c>
      <c r="K1921" s="903"/>
      <c r="L1921" s="1177"/>
      <c r="M1921" s="1138">
        <f t="shared" si="194"/>
        <v>0</v>
      </c>
      <c r="N1921" s="1176">
        <f t="shared" si="198"/>
        <v>0</v>
      </c>
      <c r="O1921" s="905"/>
      <c r="P1921" s="36" t="str">
        <f>IF(N1920&gt;0,"xx",IF(N1920&gt;0,"xy",""))</f>
        <v/>
      </c>
      <c r="Q1921" s="317" t="str">
        <f t="shared" si="195"/>
        <v/>
      </c>
      <c r="R1921" s="317" t="str">
        <f t="shared" si="196"/>
        <v/>
      </c>
      <c r="S1921" s="317" t="str">
        <f t="shared" si="197"/>
        <v/>
      </c>
      <c r="T1921" s="317" t="str">
        <f>GLOBAL_DER_FEV_2023!S1921</f>
        <v/>
      </c>
      <c r="W1921" s="582">
        <v>0</v>
      </c>
      <c r="X1921" s="580"/>
      <c r="Y1921" s="583">
        <f>IF(GLOBAL_DER_FEV_2023!W1921=0,0,IF(GLOBAL_DER_FEV_2023!W1921&gt;0,"c","b"))</f>
        <v>0</v>
      </c>
    </row>
    <row r="1922" spans="1:25" ht="15" customHeight="1" x14ac:dyDescent="0.2">
      <c r="A1922" s="317" t="s">
        <v>147</v>
      </c>
      <c r="B1922" s="895" t="s">
        <v>147</v>
      </c>
      <c r="C1922" s="896"/>
      <c r="D1922" s="906" t="s">
        <v>229</v>
      </c>
      <c r="E1922" s="907">
        <f>GLOBAL_DER_FEV_2023!E1922</f>
        <v>150</v>
      </c>
      <c r="F1922" s="908">
        <f>GLOBAL_DER_FEV_2023!F1922</f>
        <v>3.7597999999999998</v>
      </c>
      <c r="G1922" s="949">
        <f>GLOBAL_DER_FEV_2023!G1922</f>
        <v>613.52416400000004</v>
      </c>
      <c r="H1922" s="901">
        <f>GLOBAL_DER_FEV_2023!H1922</f>
        <v>0</v>
      </c>
      <c r="I1922" s="901">
        <f>GLOBAL_DER_FEV_2023!I1922</f>
        <v>0</v>
      </c>
      <c r="J1922" s="902">
        <f>GLOBAL_DER_FEV_2023!J1922</f>
        <v>0</v>
      </c>
      <c r="K1922" s="903"/>
      <c r="L1922" s="1177"/>
      <c r="M1922" s="1138">
        <f t="shared" si="194"/>
        <v>0</v>
      </c>
      <c r="N1922" s="1176">
        <f t="shared" si="198"/>
        <v>0</v>
      </c>
      <c r="O1922" s="905"/>
      <c r="P1922" s="36" t="str">
        <f>IF(N1920&gt;0,"xx",IF(N1920&gt;0,"xy",""))</f>
        <v/>
      </c>
      <c r="Q1922" s="317" t="str">
        <f t="shared" si="195"/>
        <v/>
      </c>
      <c r="R1922" s="317" t="str">
        <f t="shared" si="196"/>
        <v/>
      </c>
      <c r="S1922" s="317" t="str">
        <f t="shared" si="197"/>
        <v/>
      </c>
      <c r="T1922" s="317" t="str">
        <f>GLOBAL_DER_FEV_2023!S1922</f>
        <v/>
      </c>
      <c r="W1922" s="582">
        <v>0</v>
      </c>
      <c r="X1922" s="580"/>
      <c r="Y1922" s="583">
        <f>IF(GLOBAL_DER_FEV_2023!W1922=0,0,IF(GLOBAL_DER_FEV_2023!W1922&gt;0,"c","b"))</f>
        <v>0</v>
      </c>
    </row>
    <row r="1923" spans="1:25" ht="15" customHeight="1" x14ac:dyDescent="0.2">
      <c r="A1923" s="317" t="s">
        <v>147</v>
      </c>
      <c r="B1923" s="895" t="s">
        <v>147</v>
      </c>
      <c r="C1923" s="896"/>
      <c r="D1923" s="906" t="s">
        <v>233</v>
      </c>
      <c r="E1923" s="907">
        <f>GLOBAL_DER_FEV_2023!E1923</f>
        <v>0.2</v>
      </c>
      <c r="F1923" s="908">
        <f>GLOBAL_DER_FEV_2023!F1923</f>
        <v>6.8650000000000002</v>
      </c>
      <c r="G1923" s="949">
        <f>GLOBAL_DER_FEV_2023!G1923</f>
        <v>19.86731</v>
      </c>
      <c r="H1923" s="901">
        <f>GLOBAL_DER_FEV_2023!H1923</f>
        <v>0</v>
      </c>
      <c r="I1923" s="901">
        <f>GLOBAL_DER_FEV_2023!I1923</f>
        <v>0</v>
      </c>
      <c r="J1923" s="902">
        <f>GLOBAL_DER_FEV_2023!J1923</f>
        <v>0</v>
      </c>
      <c r="K1923" s="903"/>
      <c r="L1923" s="1177"/>
      <c r="M1923" s="1138">
        <f t="shared" si="194"/>
        <v>0</v>
      </c>
      <c r="N1923" s="1176">
        <f t="shared" si="198"/>
        <v>0</v>
      </c>
      <c r="O1923" s="905"/>
      <c r="P1923" s="36" t="str">
        <f>IF(N1920&gt;0,"xx",IF(N1920&gt;0,"xy",""))</f>
        <v/>
      </c>
      <c r="Q1923" s="317" t="str">
        <f t="shared" si="195"/>
        <v/>
      </c>
      <c r="R1923" s="317" t="str">
        <f t="shared" si="196"/>
        <v/>
      </c>
      <c r="S1923" s="317" t="str">
        <f t="shared" si="197"/>
        <v/>
      </c>
      <c r="T1923" s="317" t="str">
        <f>GLOBAL_DER_FEV_2023!S1923</f>
        <v/>
      </c>
      <c r="W1923" s="582">
        <v>0</v>
      </c>
      <c r="X1923" s="580"/>
      <c r="Y1923" s="583">
        <f>IF(GLOBAL_DER_FEV_2023!W1923=0,0,IF(GLOBAL_DER_FEV_2023!W1923&gt;0,"c","b"))</f>
        <v>0</v>
      </c>
    </row>
    <row r="1924" spans="1:25" ht="15" customHeight="1" x14ac:dyDescent="0.2">
      <c r="A1924" s="317">
        <v>621300</v>
      </c>
      <c r="B1924" s="895">
        <v>621300</v>
      </c>
      <c r="C1924" s="896" t="s">
        <v>184</v>
      </c>
      <c r="D1924" s="906" t="s">
        <v>360</v>
      </c>
      <c r="E1924" s="907">
        <f>GLOBAL_DER_FEV_2023!E1924</f>
        <v>0</v>
      </c>
      <c r="F1924" s="908">
        <f>GLOBAL_DER_FEV_2023!F1924</f>
        <v>0</v>
      </c>
      <c r="G1924" s="912">
        <f>GLOBAL_DER_FEV_2023!G1924</f>
        <v>1740.3448384000001</v>
      </c>
      <c r="H1924" s="901">
        <f>GLOBAL_DER_FEV_2023!H1924</f>
        <v>7311.47</v>
      </c>
      <c r="I1924" s="901">
        <f>GLOBAL_DER_FEV_2023!I1924</f>
        <v>9051.8148383999996</v>
      </c>
      <c r="J1924" s="902">
        <f>GLOBAL_DER_FEV_2023!J1924</f>
        <v>10868.51</v>
      </c>
      <c r="K1924" s="903" t="s">
        <v>15</v>
      </c>
      <c r="L1924" s="1137"/>
      <c r="M1924" s="1138">
        <f t="shared" si="194"/>
        <v>0</v>
      </c>
      <c r="N1924" s="1176">
        <f t="shared" si="198"/>
        <v>0</v>
      </c>
      <c r="O1924" s="905"/>
      <c r="Q1924" s="317" t="str">
        <f t="shared" si="195"/>
        <v/>
      </c>
      <c r="R1924" s="317" t="str">
        <f t="shared" si="196"/>
        <v/>
      </c>
      <c r="S1924" s="317" t="str">
        <f t="shared" si="197"/>
        <v/>
      </c>
      <c r="T1924" s="317" t="str">
        <f>GLOBAL_DER_FEV_2023!S1924</f>
        <v/>
      </c>
      <c r="W1924" s="582">
        <v>0</v>
      </c>
      <c r="X1924" s="580"/>
      <c r="Y1924" s="583">
        <f>IF(GLOBAL_DER_FEV_2023!W1924=0,0,IF(GLOBAL_DER_FEV_2023!W1924&gt;0,"c","b"))</f>
        <v>0</v>
      </c>
    </row>
    <row r="1925" spans="1:25" ht="15" customHeight="1" x14ac:dyDescent="0.2">
      <c r="A1925" s="317" t="s">
        <v>147</v>
      </c>
      <c r="B1925" s="895" t="s">
        <v>147</v>
      </c>
      <c r="C1925" s="896"/>
      <c r="D1925" s="906" t="s">
        <v>190</v>
      </c>
      <c r="E1925" s="907">
        <f>GLOBAL_DER_FEV_2023!E1925</f>
        <v>308</v>
      </c>
      <c r="F1925" s="908">
        <f>GLOBAL_DER_FEV_2023!F1925</f>
        <v>2.0546000000000002</v>
      </c>
      <c r="G1925" s="909">
        <f>GLOBAL_DER_FEV_2023!G1925</f>
        <v>509.66407600000008</v>
      </c>
      <c r="H1925" s="901">
        <f>GLOBAL_DER_FEV_2023!H1925</f>
        <v>0</v>
      </c>
      <c r="I1925" s="901">
        <f>GLOBAL_DER_FEV_2023!I1925</f>
        <v>0</v>
      </c>
      <c r="J1925" s="902">
        <f>GLOBAL_DER_FEV_2023!J1925</f>
        <v>0</v>
      </c>
      <c r="K1925" s="903"/>
      <c r="L1925" s="1177"/>
      <c r="M1925" s="1138">
        <f t="shared" si="194"/>
        <v>0</v>
      </c>
      <c r="N1925" s="1176">
        <f t="shared" si="198"/>
        <v>0</v>
      </c>
      <c r="O1925" s="905"/>
      <c r="P1925" s="36" t="str">
        <f>IF(N1924&gt;0,"xx",IF(N1924&gt;0,"xy",""))</f>
        <v/>
      </c>
      <c r="Q1925" s="317" t="str">
        <f t="shared" si="195"/>
        <v/>
      </c>
      <c r="R1925" s="317" t="str">
        <f t="shared" si="196"/>
        <v/>
      </c>
      <c r="S1925" s="317" t="str">
        <f t="shared" si="197"/>
        <v/>
      </c>
      <c r="T1925" s="317" t="str">
        <f>GLOBAL_DER_FEV_2023!S1925</f>
        <v/>
      </c>
      <c r="W1925" s="582">
        <v>0</v>
      </c>
      <c r="X1925" s="580"/>
      <c r="Y1925" s="583">
        <f>IF(GLOBAL_DER_FEV_2023!W1925=0,0,IF(GLOBAL_DER_FEV_2023!W1925&gt;0,"c","b"))</f>
        <v>0</v>
      </c>
    </row>
    <row r="1926" spans="1:25" ht="15" customHeight="1" x14ac:dyDescent="0.2">
      <c r="A1926" s="317" t="s">
        <v>147</v>
      </c>
      <c r="B1926" s="895" t="s">
        <v>147</v>
      </c>
      <c r="C1926" s="896"/>
      <c r="D1926" s="906" t="s">
        <v>229</v>
      </c>
      <c r="E1926" s="907">
        <f>GLOBAL_DER_FEV_2023!E1926</f>
        <v>150</v>
      </c>
      <c r="F1926" s="908">
        <f>GLOBAL_DER_FEV_2023!F1926</f>
        <v>7.3052999999999999</v>
      </c>
      <c r="G1926" s="949">
        <f>GLOBAL_DER_FEV_2023!G1926</f>
        <v>1192.0788540000001</v>
      </c>
      <c r="H1926" s="901">
        <f>GLOBAL_DER_FEV_2023!H1926</f>
        <v>0</v>
      </c>
      <c r="I1926" s="901">
        <f>GLOBAL_DER_FEV_2023!I1926</f>
        <v>0</v>
      </c>
      <c r="J1926" s="902">
        <f>GLOBAL_DER_FEV_2023!J1926</f>
        <v>0</v>
      </c>
      <c r="K1926" s="903"/>
      <c r="L1926" s="1177"/>
      <c r="M1926" s="1138">
        <f t="shared" ref="M1926:M1989" si="199">IF(L1926=0,0,ROUND(J1926,2))</f>
        <v>0</v>
      </c>
      <c r="N1926" s="1176">
        <f t="shared" si="198"/>
        <v>0</v>
      </c>
      <c r="O1926" s="905"/>
      <c r="P1926" s="36" t="str">
        <f>IF(N1924&gt;0,"xx",IF(N1924&gt;0,"xy",""))</f>
        <v/>
      </c>
      <c r="Q1926" s="317" t="str">
        <f t="shared" si="195"/>
        <v/>
      </c>
      <c r="R1926" s="317" t="str">
        <f t="shared" si="196"/>
        <v/>
      </c>
      <c r="S1926" s="317" t="str">
        <f t="shared" si="197"/>
        <v/>
      </c>
      <c r="T1926" s="317" t="str">
        <f>GLOBAL_DER_FEV_2023!S1926</f>
        <v/>
      </c>
      <c r="W1926" s="582">
        <v>0</v>
      </c>
      <c r="X1926" s="580"/>
      <c r="Y1926" s="583">
        <f>IF(GLOBAL_DER_FEV_2023!W1926=0,0,IF(GLOBAL_DER_FEV_2023!W1926&gt;0,"c","b"))</f>
        <v>0</v>
      </c>
    </row>
    <row r="1927" spans="1:25" ht="15" customHeight="1" x14ac:dyDescent="0.2">
      <c r="A1927" s="317" t="s">
        <v>147</v>
      </c>
      <c r="B1927" s="895" t="s">
        <v>147</v>
      </c>
      <c r="C1927" s="896"/>
      <c r="D1927" s="906" t="s">
        <v>233</v>
      </c>
      <c r="E1927" s="907">
        <f>GLOBAL_DER_FEV_2023!E1927</f>
        <v>0.2</v>
      </c>
      <c r="F1927" s="908">
        <f>GLOBAL_DER_FEV_2023!F1927</f>
        <v>13.3386</v>
      </c>
      <c r="G1927" s="949">
        <f>GLOBAL_DER_FEV_2023!G1927</f>
        <v>38.601908399999999</v>
      </c>
      <c r="H1927" s="901">
        <f>GLOBAL_DER_FEV_2023!H1927</f>
        <v>0</v>
      </c>
      <c r="I1927" s="901">
        <f>GLOBAL_DER_FEV_2023!I1927</f>
        <v>0</v>
      </c>
      <c r="J1927" s="902">
        <f>GLOBAL_DER_FEV_2023!J1927</f>
        <v>0</v>
      </c>
      <c r="K1927" s="903"/>
      <c r="L1927" s="1177"/>
      <c r="M1927" s="1138">
        <f t="shared" si="199"/>
        <v>0</v>
      </c>
      <c r="N1927" s="1176">
        <f t="shared" si="198"/>
        <v>0</v>
      </c>
      <c r="O1927" s="905"/>
      <c r="P1927" s="36" t="str">
        <f>IF(N1924&gt;0,"xx",IF(N1924&gt;0,"xy",""))</f>
        <v/>
      </c>
      <c r="Q1927" s="317" t="str">
        <f t="shared" si="195"/>
        <v/>
      </c>
      <c r="R1927" s="317" t="str">
        <f t="shared" si="196"/>
        <v/>
      </c>
      <c r="S1927" s="317" t="str">
        <f t="shared" si="197"/>
        <v/>
      </c>
      <c r="T1927" s="317" t="str">
        <f>GLOBAL_DER_FEV_2023!S1927</f>
        <v/>
      </c>
      <c r="W1927" s="582">
        <v>0</v>
      </c>
      <c r="X1927" s="580"/>
      <c r="Y1927" s="583">
        <f>IF(GLOBAL_DER_FEV_2023!W1927=0,0,IF(GLOBAL_DER_FEV_2023!W1927&gt;0,"c","b"))</f>
        <v>0</v>
      </c>
    </row>
    <row r="1928" spans="1:25" ht="15" customHeight="1" x14ac:dyDescent="0.2">
      <c r="A1928" s="317">
        <v>621400</v>
      </c>
      <c r="B1928" s="895">
        <v>621400</v>
      </c>
      <c r="C1928" s="896" t="s">
        <v>184</v>
      </c>
      <c r="D1928" s="906" t="s">
        <v>361</v>
      </c>
      <c r="E1928" s="907">
        <f>GLOBAL_DER_FEV_2023!E1928</f>
        <v>0</v>
      </c>
      <c r="F1928" s="908">
        <f>GLOBAL_DER_FEV_2023!F1928</f>
        <v>0</v>
      </c>
      <c r="G1928" s="912">
        <f>GLOBAL_DER_FEV_2023!G1928</f>
        <v>3318.6641798000001</v>
      </c>
      <c r="H1928" s="901">
        <f>GLOBAL_DER_FEV_2023!H1928</f>
        <v>12918.12</v>
      </c>
      <c r="I1928" s="901">
        <f>GLOBAL_DER_FEV_2023!I1928</f>
        <v>16236.784179800001</v>
      </c>
      <c r="J1928" s="902">
        <f>GLOBAL_DER_FEV_2023!J1928</f>
        <v>19495.509999999998</v>
      </c>
      <c r="K1928" s="903" t="s">
        <v>15</v>
      </c>
      <c r="L1928" s="1137"/>
      <c r="M1928" s="1138">
        <f t="shared" si="199"/>
        <v>0</v>
      </c>
      <c r="N1928" s="1176">
        <f t="shared" si="198"/>
        <v>0</v>
      </c>
      <c r="O1928" s="905"/>
      <c r="Q1928" s="317" t="str">
        <f t="shared" si="195"/>
        <v/>
      </c>
      <c r="R1928" s="317" t="str">
        <f t="shared" si="196"/>
        <v/>
      </c>
      <c r="S1928" s="317" t="str">
        <f t="shared" si="197"/>
        <v/>
      </c>
      <c r="T1928" s="317" t="str">
        <f>GLOBAL_DER_FEV_2023!S1928</f>
        <v/>
      </c>
      <c r="W1928" s="582">
        <v>0</v>
      </c>
      <c r="X1928" s="580"/>
      <c r="Y1928" s="583">
        <f>IF(GLOBAL_DER_FEV_2023!W1928=0,0,IF(GLOBAL_DER_FEV_2023!W1928&gt;0,"c","b"))</f>
        <v>0</v>
      </c>
    </row>
    <row r="1929" spans="1:25" ht="15" customHeight="1" x14ac:dyDescent="0.2">
      <c r="A1929" s="317" t="s">
        <v>147</v>
      </c>
      <c r="B1929" s="895" t="s">
        <v>147</v>
      </c>
      <c r="C1929" s="896"/>
      <c r="D1929" s="906" t="s">
        <v>190</v>
      </c>
      <c r="E1929" s="907">
        <f>GLOBAL_DER_FEV_2023!E1929</f>
        <v>308</v>
      </c>
      <c r="F1929" s="908">
        <f>GLOBAL_DER_FEV_2023!F1929</f>
        <v>3.9178999999999999</v>
      </c>
      <c r="G1929" s="909">
        <f>GLOBAL_DER_FEV_2023!G1929</f>
        <v>971.87427400000001</v>
      </c>
      <c r="H1929" s="901">
        <f>GLOBAL_DER_FEV_2023!H1929</f>
        <v>0</v>
      </c>
      <c r="I1929" s="901">
        <f>GLOBAL_DER_FEV_2023!I1929</f>
        <v>0</v>
      </c>
      <c r="J1929" s="902">
        <f>GLOBAL_DER_FEV_2023!J1929</f>
        <v>0</v>
      </c>
      <c r="K1929" s="903"/>
      <c r="L1929" s="1177"/>
      <c r="M1929" s="1138">
        <f t="shared" si="199"/>
        <v>0</v>
      </c>
      <c r="N1929" s="1176">
        <f t="shared" si="198"/>
        <v>0</v>
      </c>
      <c r="O1929" s="905"/>
      <c r="P1929" s="36" t="str">
        <f>IF(N1928&gt;0,"xx",IF(N1928&gt;0,"xy",""))</f>
        <v/>
      </c>
      <c r="Q1929" s="317" t="str">
        <f t="shared" si="195"/>
        <v/>
      </c>
      <c r="R1929" s="317" t="str">
        <f t="shared" si="196"/>
        <v/>
      </c>
      <c r="S1929" s="317" t="str">
        <f t="shared" si="197"/>
        <v/>
      </c>
      <c r="T1929" s="317" t="str">
        <f>GLOBAL_DER_FEV_2023!S1929</f>
        <v/>
      </c>
      <c r="W1929" s="582">
        <v>0</v>
      </c>
      <c r="X1929" s="580"/>
      <c r="Y1929" s="583">
        <f>IF(GLOBAL_DER_FEV_2023!W1929=0,0,IF(GLOBAL_DER_FEV_2023!W1929&gt;0,"c","b"))</f>
        <v>0</v>
      </c>
    </row>
    <row r="1930" spans="1:25" ht="15" customHeight="1" x14ac:dyDescent="0.2">
      <c r="A1930" s="317" t="s">
        <v>147</v>
      </c>
      <c r="B1930" s="895" t="s">
        <v>147</v>
      </c>
      <c r="C1930" s="896"/>
      <c r="D1930" s="906" t="s">
        <v>229</v>
      </c>
      <c r="E1930" s="907">
        <f>GLOBAL_DER_FEV_2023!E1930</f>
        <v>150</v>
      </c>
      <c r="F1930" s="908">
        <f>GLOBAL_DER_FEV_2023!F1930</f>
        <v>13.9305</v>
      </c>
      <c r="G1930" s="949">
        <f>GLOBAL_DER_FEV_2023!G1930</f>
        <v>2273.1789900000003</v>
      </c>
      <c r="H1930" s="901">
        <f>GLOBAL_DER_FEV_2023!H1930</f>
        <v>0</v>
      </c>
      <c r="I1930" s="901">
        <f>GLOBAL_DER_FEV_2023!I1930</f>
        <v>0</v>
      </c>
      <c r="J1930" s="902">
        <f>GLOBAL_DER_FEV_2023!J1930</f>
        <v>0</v>
      </c>
      <c r="K1930" s="903"/>
      <c r="L1930" s="1177"/>
      <c r="M1930" s="1138">
        <f t="shared" si="199"/>
        <v>0</v>
      </c>
      <c r="N1930" s="1176">
        <f t="shared" si="198"/>
        <v>0</v>
      </c>
      <c r="O1930" s="905"/>
      <c r="P1930" s="36" t="str">
        <f>IF(N1928&gt;0,"xx",IF(N1928&gt;0,"xy",""))</f>
        <v/>
      </c>
      <c r="Q1930" s="317" t="str">
        <f t="shared" si="195"/>
        <v/>
      </c>
      <c r="R1930" s="317" t="str">
        <f t="shared" si="196"/>
        <v/>
      </c>
      <c r="S1930" s="317" t="str">
        <f t="shared" si="197"/>
        <v/>
      </c>
      <c r="T1930" s="317" t="str">
        <f>GLOBAL_DER_FEV_2023!S1930</f>
        <v/>
      </c>
      <c r="W1930" s="582">
        <v>0</v>
      </c>
      <c r="X1930" s="580"/>
      <c r="Y1930" s="583">
        <f>IF(GLOBAL_DER_FEV_2023!W1930=0,0,IF(GLOBAL_DER_FEV_2023!W1930&gt;0,"c","b"))</f>
        <v>0</v>
      </c>
    </row>
    <row r="1931" spans="1:25" ht="15" customHeight="1" x14ac:dyDescent="0.2">
      <c r="A1931" s="317" t="s">
        <v>147</v>
      </c>
      <c r="B1931" s="895" t="s">
        <v>147</v>
      </c>
      <c r="C1931" s="896"/>
      <c r="D1931" s="906" t="s">
        <v>233</v>
      </c>
      <c r="E1931" s="907">
        <f>GLOBAL_DER_FEV_2023!E1931</f>
        <v>0.2</v>
      </c>
      <c r="F1931" s="908">
        <f>GLOBAL_DER_FEV_2023!F1931</f>
        <v>25.435699999999997</v>
      </c>
      <c r="G1931" s="949">
        <f>GLOBAL_DER_FEV_2023!G1931</f>
        <v>73.610915800000001</v>
      </c>
      <c r="H1931" s="901">
        <f>GLOBAL_DER_FEV_2023!H1931</f>
        <v>0</v>
      </c>
      <c r="I1931" s="901">
        <f>GLOBAL_DER_FEV_2023!I1931</f>
        <v>0</v>
      </c>
      <c r="J1931" s="902">
        <f>GLOBAL_DER_FEV_2023!J1931</f>
        <v>0</v>
      </c>
      <c r="K1931" s="903"/>
      <c r="L1931" s="1177"/>
      <c r="M1931" s="1138">
        <f t="shared" si="199"/>
        <v>0</v>
      </c>
      <c r="N1931" s="1176">
        <f t="shared" si="198"/>
        <v>0</v>
      </c>
      <c r="O1931" s="905"/>
      <c r="P1931" s="36" t="str">
        <f>IF(N1928&gt;0,"xx",IF(N1928&gt;0,"xy",""))</f>
        <v/>
      </c>
      <c r="Q1931" s="317" t="str">
        <f t="shared" si="195"/>
        <v/>
      </c>
      <c r="R1931" s="317" t="str">
        <f t="shared" si="196"/>
        <v/>
      </c>
      <c r="S1931" s="317" t="str">
        <f t="shared" si="197"/>
        <v/>
      </c>
      <c r="T1931" s="317" t="str">
        <f>GLOBAL_DER_FEV_2023!S1931</f>
        <v/>
      </c>
      <c r="W1931" s="582">
        <v>0</v>
      </c>
      <c r="X1931" s="580"/>
      <c r="Y1931" s="583">
        <f>IF(GLOBAL_DER_FEV_2023!W1931=0,0,IF(GLOBAL_DER_FEV_2023!W1931&gt;0,"c","b"))</f>
        <v>0</v>
      </c>
    </row>
    <row r="1932" spans="1:25" ht="15" customHeight="1" x14ac:dyDescent="0.2">
      <c r="A1932" s="317">
        <v>607500</v>
      </c>
      <c r="B1932" s="895">
        <v>607500</v>
      </c>
      <c r="C1932" s="896" t="s">
        <v>184</v>
      </c>
      <c r="D1932" s="906" t="s">
        <v>470</v>
      </c>
      <c r="E1932" s="907">
        <f>GLOBAL_DER_FEV_2023!E1932</f>
        <v>0</v>
      </c>
      <c r="F1932" s="908">
        <f>GLOBAL_DER_FEV_2023!F1932</f>
        <v>0</v>
      </c>
      <c r="G1932" s="912">
        <f>GLOBAL_DER_FEV_2023!G1932</f>
        <v>3.015352</v>
      </c>
      <c r="H1932" s="901">
        <f>GLOBAL_DER_FEV_2023!H1932</f>
        <v>48.74</v>
      </c>
      <c r="I1932" s="901">
        <f>GLOBAL_DER_FEV_2023!I1932</f>
        <v>51.755352000000002</v>
      </c>
      <c r="J1932" s="902">
        <f>GLOBAL_DER_FEV_2023!J1932</f>
        <v>62.14</v>
      </c>
      <c r="K1932" s="903" t="s">
        <v>13</v>
      </c>
      <c r="L1932" s="1137"/>
      <c r="M1932" s="1138">
        <f t="shared" si="199"/>
        <v>0</v>
      </c>
      <c r="N1932" s="1176">
        <f t="shared" si="198"/>
        <v>0</v>
      </c>
      <c r="O1932" s="905"/>
      <c r="Q1932" s="317" t="str">
        <f t="shared" si="195"/>
        <v/>
      </c>
      <c r="R1932" s="317" t="str">
        <f t="shared" si="196"/>
        <v/>
      </c>
      <c r="S1932" s="317" t="str">
        <f t="shared" si="197"/>
        <v/>
      </c>
      <c r="T1932" s="317" t="str">
        <f>GLOBAL_DER_FEV_2023!S1932</f>
        <v/>
      </c>
      <c r="W1932" s="582">
        <v>0</v>
      </c>
      <c r="X1932" s="580"/>
      <c r="Y1932" s="583">
        <f>IF(GLOBAL_DER_FEV_2023!W1932=0,0,IF(GLOBAL_DER_FEV_2023!W1932&gt;0,"c","b"))</f>
        <v>0</v>
      </c>
    </row>
    <row r="1933" spans="1:25" ht="15" customHeight="1" x14ac:dyDescent="0.2">
      <c r="A1933" s="317" t="s">
        <v>147</v>
      </c>
      <c r="B1933" s="895" t="s">
        <v>147</v>
      </c>
      <c r="C1933" s="896"/>
      <c r="D1933" s="906" t="s">
        <v>190</v>
      </c>
      <c r="E1933" s="907">
        <f>GLOBAL_DER_FEV_2023!E1933</f>
        <v>308</v>
      </c>
      <c r="F1933" s="908">
        <f>GLOBAL_DER_FEV_2023!F1933</f>
        <v>2.9999999999999997E-4</v>
      </c>
      <c r="G1933" s="909">
        <f>GLOBAL_DER_FEV_2023!G1933</f>
        <v>7.4417999999999998E-2</v>
      </c>
      <c r="H1933" s="901">
        <f>GLOBAL_DER_FEV_2023!H1933</f>
        <v>0</v>
      </c>
      <c r="I1933" s="901">
        <f>GLOBAL_DER_FEV_2023!I1933</f>
        <v>0</v>
      </c>
      <c r="J1933" s="902">
        <f>GLOBAL_DER_FEV_2023!J1933</f>
        <v>0</v>
      </c>
      <c r="K1933" s="903"/>
      <c r="L1933" s="1177"/>
      <c r="M1933" s="1138">
        <f t="shared" si="199"/>
        <v>0</v>
      </c>
      <c r="N1933" s="1176">
        <f t="shared" si="198"/>
        <v>0</v>
      </c>
      <c r="O1933" s="905"/>
      <c r="P1933" s="36" t="str">
        <f>IF(N1932&gt;0,"xx",IF(N1932&gt;0,"xy",""))</f>
        <v/>
      </c>
      <c r="Q1933" s="317" t="str">
        <f t="shared" si="195"/>
        <v/>
      </c>
      <c r="R1933" s="317" t="str">
        <f t="shared" si="196"/>
        <v/>
      </c>
      <c r="S1933" s="317" t="str">
        <f t="shared" si="197"/>
        <v/>
      </c>
      <c r="T1933" s="317" t="str">
        <f>GLOBAL_DER_FEV_2023!S1933</f>
        <v/>
      </c>
      <c r="W1933" s="582">
        <v>0</v>
      </c>
      <c r="X1933" s="580"/>
      <c r="Y1933" s="583">
        <f>IF(GLOBAL_DER_FEV_2023!W1933=0,0,IF(GLOBAL_DER_FEV_2023!W1933&gt;0,"c","b"))</f>
        <v>0</v>
      </c>
    </row>
    <row r="1934" spans="1:25" ht="15" customHeight="1" x14ac:dyDescent="0.2">
      <c r="A1934" s="317" t="s">
        <v>147</v>
      </c>
      <c r="B1934" s="895" t="s">
        <v>147</v>
      </c>
      <c r="C1934" s="896"/>
      <c r="D1934" s="906" t="s">
        <v>229</v>
      </c>
      <c r="E1934" s="907">
        <f>GLOBAL_DER_FEV_2023!E1934</f>
        <v>150</v>
      </c>
      <c r="F1934" s="908">
        <f>GLOBAL_DER_FEV_2023!F1934</f>
        <v>1.2999999999999999E-3</v>
      </c>
      <c r="G1934" s="949">
        <f>GLOBAL_DER_FEV_2023!G1934</f>
        <v>0.21213399999999999</v>
      </c>
      <c r="H1934" s="901">
        <f>GLOBAL_DER_FEV_2023!H1934</f>
        <v>0</v>
      </c>
      <c r="I1934" s="901">
        <f>GLOBAL_DER_FEV_2023!I1934</f>
        <v>0</v>
      </c>
      <c r="J1934" s="902">
        <f>GLOBAL_DER_FEV_2023!J1934</f>
        <v>0</v>
      </c>
      <c r="K1934" s="903"/>
      <c r="L1934" s="1177"/>
      <c r="M1934" s="1138">
        <f t="shared" si="199"/>
        <v>0</v>
      </c>
      <c r="N1934" s="1176">
        <f t="shared" si="198"/>
        <v>0</v>
      </c>
      <c r="O1934" s="905"/>
      <c r="P1934" s="36" t="str">
        <f>IF(N1932&gt;0,"xx",IF(N1932&gt;0,"xy",""))</f>
        <v/>
      </c>
      <c r="Q1934" s="317" t="str">
        <f t="shared" si="195"/>
        <v/>
      </c>
      <c r="R1934" s="317" t="str">
        <f t="shared" si="196"/>
        <v/>
      </c>
      <c r="S1934" s="317" t="str">
        <f t="shared" si="197"/>
        <v/>
      </c>
      <c r="T1934" s="317" t="str">
        <f>GLOBAL_DER_FEV_2023!S1934</f>
        <v/>
      </c>
      <c r="W1934" s="582">
        <v>0</v>
      </c>
      <c r="X1934" s="580"/>
      <c r="Y1934" s="583">
        <f>IF(GLOBAL_DER_FEV_2023!W1934=0,0,IF(GLOBAL_DER_FEV_2023!W1934&gt;0,"c","b"))</f>
        <v>0</v>
      </c>
    </row>
    <row r="1935" spans="1:25" ht="15" customHeight="1" x14ac:dyDescent="0.2">
      <c r="A1935" s="317" t="s">
        <v>147</v>
      </c>
      <c r="B1935" s="895" t="s">
        <v>147</v>
      </c>
      <c r="C1935" s="896"/>
      <c r="D1935" s="906" t="s">
        <v>336</v>
      </c>
      <c r="E1935" s="907">
        <f>GLOBAL_DER_FEV_2023!E1935</f>
        <v>40</v>
      </c>
      <c r="F1935" s="908">
        <f>GLOBAL_DER_FEV_2023!F1935</f>
        <v>0.06</v>
      </c>
      <c r="G1935" s="949">
        <f>GLOBAL_DER_FEV_2023!G1935</f>
        <v>2.7288000000000001</v>
      </c>
      <c r="H1935" s="901">
        <f>GLOBAL_DER_FEV_2023!H1935</f>
        <v>0</v>
      </c>
      <c r="I1935" s="901">
        <f>GLOBAL_DER_FEV_2023!I1935</f>
        <v>0</v>
      </c>
      <c r="J1935" s="902">
        <f>GLOBAL_DER_FEV_2023!J1935</f>
        <v>0</v>
      </c>
      <c r="K1935" s="903"/>
      <c r="L1935" s="1177"/>
      <c r="M1935" s="1138">
        <f t="shared" si="199"/>
        <v>0</v>
      </c>
      <c r="N1935" s="1176">
        <f t="shared" si="198"/>
        <v>0</v>
      </c>
      <c r="O1935" s="905"/>
      <c r="P1935" s="36" t="str">
        <f>IF(N1932&gt;0,"xx",IF(N1932&gt;0,"xy",""))</f>
        <v/>
      </c>
      <c r="Q1935" s="317" t="str">
        <f t="shared" si="195"/>
        <v/>
      </c>
      <c r="R1935" s="317" t="str">
        <f t="shared" si="196"/>
        <v/>
      </c>
      <c r="S1935" s="317" t="str">
        <f t="shared" si="197"/>
        <v/>
      </c>
      <c r="T1935" s="317" t="str">
        <f>GLOBAL_DER_FEV_2023!S1935</f>
        <v/>
      </c>
      <c r="W1935" s="582">
        <v>0</v>
      </c>
      <c r="X1935" s="580"/>
      <c r="Y1935" s="583">
        <f>IF(GLOBAL_DER_FEV_2023!W1935=0,0,IF(GLOBAL_DER_FEV_2023!W1935&gt;0,"c","b"))</f>
        <v>0</v>
      </c>
    </row>
    <row r="1936" spans="1:25" ht="15" customHeight="1" x14ac:dyDescent="0.2">
      <c r="A1936" s="317">
        <v>607600</v>
      </c>
      <c r="B1936" s="895">
        <v>607600</v>
      </c>
      <c r="C1936" s="896" t="s">
        <v>184</v>
      </c>
      <c r="D1936" s="906" t="s">
        <v>471</v>
      </c>
      <c r="E1936" s="907">
        <f>GLOBAL_DER_FEV_2023!E1936</f>
        <v>0</v>
      </c>
      <c r="F1936" s="908">
        <f>GLOBAL_DER_FEV_2023!F1936</f>
        <v>0</v>
      </c>
      <c r="G1936" s="912">
        <f>GLOBAL_DER_FEV_2023!G1936</f>
        <v>4.8371440000000003</v>
      </c>
      <c r="H1936" s="901">
        <f>GLOBAL_DER_FEV_2023!H1936</f>
        <v>65.040000000000006</v>
      </c>
      <c r="I1936" s="901">
        <f>GLOBAL_DER_FEV_2023!I1936</f>
        <v>69.877144000000001</v>
      </c>
      <c r="J1936" s="902">
        <f>GLOBAL_DER_FEV_2023!J1936</f>
        <v>83.9</v>
      </c>
      <c r="K1936" s="903" t="s">
        <v>13</v>
      </c>
      <c r="L1936" s="1137"/>
      <c r="M1936" s="1138">
        <f t="shared" si="199"/>
        <v>0</v>
      </c>
      <c r="N1936" s="1176">
        <f t="shared" si="198"/>
        <v>0</v>
      </c>
      <c r="O1936" s="905"/>
      <c r="Q1936" s="317" t="str">
        <f t="shared" si="195"/>
        <v/>
      </c>
      <c r="R1936" s="317" t="str">
        <f t="shared" si="196"/>
        <v/>
      </c>
      <c r="S1936" s="317" t="str">
        <f t="shared" si="197"/>
        <v/>
      </c>
      <c r="T1936" s="317" t="str">
        <f>GLOBAL_DER_FEV_2023!S1936</f>
        <v/>
      </c>
      <c r="W1936" s="582">
        <v>0</v>
      </c>
      <c r="X1936" s="580"/>
      <c r="Y1936" s="583">
        <f>IF(GLOBAL_DER_FEV_2023!W1936=0,0,IF(GLOBAL_DER_FEV_2023!W1936&gt;0,"c","b"))</f>
        <v>0</v>
      </c>
    </row>
    <row r="1937" spans="1:25" ht="15" customHeight="1" x14ac:dyDescent="0.2">
      <c r="A1937" s="317" t="s">
        <v>147</v>
      </c>
      <c r="B1937" s="895" t="s">
        <v>147</v>
      </c>
      <c r="C1937" s="896"/>
      <c r="D1937" s="906" t="s">
        <v>190</v>
      </c>
      <c r="E1937" s="907">
        <f>GLOBAL_DER_FEV_2023!E1937</f>
        <v>308</v>
      </c>
      <c r="F1937" s="908">
        <f>GLOBAL_DER_FEV_2023!F1937</f>
        <v>4.0000000000000002E-4</v>
      </c>
      <c r="G1937" s="909">
        <f>GLOBAL_DER_FEV_2023!G1937</f>
        <v>9.9224000000000007E-2</v>
      </c>
      <c r="H1937" s="901">
        <f>GLOBAL_DER_FEV_2023!H1937</f>
        <v>0</v>
      </c>
      <c r="I1937" s="901">
        <f>GLOBAL_DER_FEV_2023!I1937</f>
        <v>0</v>
      </c>
      <c r="J1937" s="902">
        <f>GLOBAL_DER_FEV_2023!J1937</f>
        <v>0</v>
      </c>
      <c r="K1937" s="903"/>
      <c r="L1937" s="1177"/>
      <c r="M1937" s="1138">
        <f t="shared" si="199"/>
        <v>0</v>
      </c>
      <c r="N1937" s="1176">
        <f t="shared" si="198"/>
        <v>0</v>
      </c>
      <c r="O1937" s="905"/>
      <c r="P1937" s="36" t="str">
        <f>IF(N1936&gt;0,"xx",IF(N1936&gt;0,"xy",""))</f>
        <v/>
      </c>
      <c r="Q1937" s="317" t="str">
        <f t="shared" ref="Q1937:Q2000" si="200">IF(P1937="X","x",IF(P1937="xx","x",IF(P1937="xy","x",IF(P1937="y","x",IF(OR(N1937&gt;0,N1937&gt;0),"x","")))))</f>
        <v/>
      </c>
      <c r="R1937" s="317" t="str">
        <f t="shared" si="196"/>
        <v/>
      </c>
      <c r="S1937" s="317" t="str">
        <f t="shared" si="197"/>
        <v/>
      </c>
      <c r="T1937" s="317" t="str">
        <f>GLOBAL_DER_FEV_2023!S1937</f>
        <v/>
      </c>
      <c r="W1937" s="582">
        <v>0</v>
      </c>
      <c r="X1937" s="580"/>
      <c r="Y1937" s="583">
        <f>IF(GLOBAL_DER_FEV_2023!W1937=0,0,IF(GLOBAL_DER_FEV_2023!W1937&gt;0,"c","b"))</f>
        <v>0</v>
      </c>
    </row>
    <row r="1938" spans="1:25" ht="15" customHeight="1" x14ac:dyDescent="0.2">
      <c r="A1938" s="317" t="s">
        <v>147</v>
      </c>
      <c r="B1938" s="895" t="s">
        <v>147</v>
      </c>
      <c r="C1938" s="896"/>
      <c r="D1938" s="906" t="s">
        <v>229</v>
      </c>
      <c r="E1938" s="907">
        <f>GLOBAL_DER_FEV_2023!E1938</f>
        <v>150</v>
      </c>
      <c r="F1938" s="908">
        <f>GLOBAL_DER_FEV_2023!F1938</f>
        <v>2E-3</v>
      </c>
      <c r="G1938" s="949">
        <f>GLOBAL_DER_FEV_2023!G1938</f>
        <v>0.32636000000000004</v>
      </c>
      <c r="H1938" s="901">
        <f>GLOBAL_DER_FEV_2023!H1938</f>
        <v>0</v>
      </c>
      <c r="I1938" s="901">
        <f>GLOBAL_DER_FEV_2023!I1938</f>
        <v>0</v>
      </c>
      <c r="J1938" s="902">
        <f>GLOBAL_DER_FEV_2023!J1938</f>
        <v>0</v>
      </c>
      <c r="K1938" s="903"/>
      <c r="L1938" s="1177"/>
      <c r="M1938" s="1138">
        <f t="shared" si="199"/>
        <v>0</v>
      </c>
      <c r="N1938" s="1176">
        <f t="shared" si="198"/>
        <v>0</v>
      </c>
      <c r="O1938" s="905"/>
      <c r="P1938" s="36" t="str">
        <f>IF(N1936&gt;0,"xx",IF(N1936&gt;0,"xy",""))</f>
        <v/>
      </c>
      <c r="Q1938" s="317" t="str">
        <f t="shared" si="200"/>
        <v/>
      </c>
      <c r="R1938" s="317" t="str">
        <f t="shared" si="196"/>
        <v/>
      </c>
      <c r="S1938" s="317" t="str">
        <f t="shared" si="197"/>
        <v/>
      </c>
      <c r="T1938" s="317" t="str">
        <f>GLOBAL_DER_FEV_2023!S1938</f>
        <v/>
      </c>
      <c r="W1938" s="582">
        <v>0</v>
      </c>
      <c r="X1938" s="580"/>
      <c r="Y1938" s="583">
        <f>IF(GLOBAL_DER_FEV_2023!W1938=0,0,IF(GLOBAL_DER_FEV_2023!W1938&gt;0,"c","b"))</f>
        <v>0</v>
      </c>
    </row>
    <row r="1939" spans="1:25" ht="15" customHeight="1" x14ac:dyDescent="0.2">
      <c r="A1939" s="317" t="s">
        <v>147</v>
      </c>
      <c r="B1939" s="895" t="s">
        <v>147</v>
      </c>
      <c r="C1939" s="896"/>
      <c r="D1939" s="906" t="s">
        <v>336</v>
      </c>
      <c r="E1939" s="907">
        <f>GLOBAL_DER_FEV_2023!E1939</f>
        <v>40</v>
      </c>
      <c r="F1939" s="908">
        <f>GLOBAL_DER_FEV_2023!F1939</f>
        <v>9.7000000000000003E-2</v>
      </c>
      <c r="G1939" s="949">
        <f>GLOBAL_DER_FEV_2023!G1939</f>
        <v>4.4115600000000006</v>
      </c>
      <c r="H1939" s="901">
        <f>GLOBAL_DER_FEV_2023!H1939</f>
        <v>0</v>
      </c>
      <c r="I1939" s="901">
        <f>GLOBAL_DER_FEV_2023!I1939</f>
        <v>0</v>
      </c>
      <c r="J1939" s="902">
        <f>GLOBAL_DER_FEV_2023!J1939</f>
        <v>0</v>
      </c>
      <c r="K1939" s="903"/>
      <c r="L1939" s="1177"/>
      <c r="M1939" s="1138">
        <f t="shared" si="199"/>
        <v>0</v>
      </c>
      <c r="N1939" s="1176">
        <f t="shared" si="198"/>
        <v>0</v>
      </c>
      <c r="O1939" s="905"/>
      <c r="P1939" s="36" t="str">
        <f>IF(N1936&gt;0,"xx",IF(N1936&gt;0,"xy",""))</f>
        <v/>
      </c>
      <c r="Q1939" s="317" t="str">
        <f t="shared" si="200"/>
        <v/>
      </c>
      <c r="R1939" s="317" t="str">
        <f t="shared" ref="R1939:R2002" si="201">IF(P1939="X","x",IF(P1939="y","x",IF(P1939="xx","x",IF(N1939&gt;0,"x",""))))</f>
        <v/>
      </c>
      <c r="S1939" s="317" t="str">
        <f t="shared" ref="S1939:S2002" si="202">IF(P1939="X","x",IF(N1939&gt;0,"x",""))</f>
        <v/>
      </c>
      <c r="T1939" s="317" t="str">
        <f>GLOBAL_DER_FEV_2023!S1939</f>
        <v/>
      </c>
      <c r="W1939" s="582">
        <v>0</v>
      </c>
      <c r="X1939" s="580"/>
      <c r="Y1939" s="583">
        <f>IF(GLOBAL_DER_FEV_2023!W1939=0,0,IF(GLOBAL_DER_FEV_2023!W1939&gt;0,"c","b"))</f>
        <v>0</v>
      </c>
    </row>
    <row r="1940" spans="1:25" ht="15" customHeight="1" x14ac:dyDescent="0.2">
      <c r="A1940" s="317">
        <v>610400</v>
      </c>
      <c r="B1940" s="895" t="s">
        <v>1823</v>
      </c>
      <c r="C1940" s="896" t="s">
        <v>184</v>
      </c>
      <c r="D1940" s="906" t="s">
        <v>362</v>
      </c>
      <c r="E1940" s="907">
        <f>GLOBAL_DER_FEV_2023!E1940</f>
        <v>0</v>
      </c>
      <c r="F1940" s="908">
        <f>GLOBAL_DER_FEV_2023!F1940</f>
        <v>0</v>
      </c>
      <c r="G1940" s="912">
        <f>GLOBAL_DER_FEV_2023!G1940</f>
        <v>7.1059140000000003</v>
      </c>
      <c r="H1940" s="901">
        <f>GLOBAL_DER_FEV_2023!H1940</f>
        <v>137.47</v>
      </c>
      <c r="I1940" s="901">
        <f>GLOBAL_DER_FEV_2023!I1940</f>
        <v>144.57591400000001</v>
      </c>
      <c r="J1940" s="902">
        <f>GLOBAL_DER_FEV_2023!J1940</f>
        <v>173.59</v>
      </c>
      <c r="K1940" s="903" t="s">
        <v>13</v>
      </c>
      <c r="L1940" s="1137"/>
      <c r="M1940" s="1138">
        <f t="shared" si="199"/>
        <v>0</v>
      </c>
      <c r="N1940" s="1176">
        <f t="shared" si="198"/>
        <v>0</v>
      </c>
      <c r="O1940" s="905"/>
      <c r="Q1940" s="317" t="str">
        <f t="shared" si="200"/>
        <v/>
      </c>
      <c r="R1940" s="317" t="str">
        <f t="shared" si="201"/>
        <v/>
      </c>
      <c r="S1940" s="317" t="str">
        <f t="shared" si="202"/>
        <v/>
      </c>
      <c r="T1940" s="317" t="str">
        <f>GLOBAL_DER_FEV_2023!S1940</f>
        <v/>
      </c>
      <c r="W1940" s="582">
        <v>0</v>
      </c>
      <c r="X1940" s="580"/>
      <c r="Y1940" s="583">
        <f>IF(GLOBAL_DER_FEV_2023!W1940=0,0,IF(GLOBAL_DER_FEV_2023!W1940&gt;0,"c","b"))</f>
        <v>0</v>
      </c>
    </row>
    <row r="1941" spans="1:25" ht="15" customHeight="1" x14ac:dyDescent="0.2">
      <c r="A1941" s="317" t="s">
        <v>147</v>
      </c>
      <c r="B1941" s="895" t="s">
        <v>147</v>
      </c>
      <c r="C1941" s="896"/>
      <c r="D1941" s="906" t="s">
        <v>190</v>
      </c>
      <c r="E1941" s="907">
        <f>GLOBAL_DER_FEV_2023!E1941</f>
        <v>308</v>
      </c>
      <c r="F1941" s="908">
        <f>GLOBAL_DER_FEV_2023!F1941</f>
        <v>1.9E-3</v>
      </c>
      <c r="G1941" s="909">
        <f>GLOBAL_DER_FEV_2023!G1941</f>
        <v>0.47131400000000001</v>
      </c>
      <c r="H1941" s="901">
        <f>GLOBAL_DER_FEV_2023!H1941</f>
        <v>0</v>
      </c>
      <c r="I1941" s="901">
        <f>GLOBAL_DER_FEV_2023!I1941</f>
        <v>0</v>
      </c>
      <c r="J1941" s="902">
        <f>GLOBAL_DER_FEV_2023!J1941</f>
        <v>0</v>
      </c>
      <c r="K1941" s="903"/>
      <c r="L1941" s="1177"/>
      <c r="M1941" s="1138">
        <f t="shared" si="199"/>
        <v>0</v>
      </c>
      <c r="N1941" s="1176">
        <f t="shared" si="198"/>
        <v>0</v>
      </c>
      <c r="O1941" s="905"/>
      <c r="P1941" s="36" t="str">
        <f>IF(N1940&gt;0,"xx",IF(N1940&gt;0,"xy",""))</f>
        <v/>
      </c>
      <c r="Q1941" s="317" t="str">
        <f t="shared" si="200"/>
        <v/>
      </c>
      <c r="R1941" s="317" t="str">
        <f t="shared" si="201"/>
        <v/>
      </c>
      <c r="S1941" s="317" t="str">
        <f t="shared" si="202"/>
        <v/>
      </c>
      <c r="T1941" s="317" t="str">
        <f>GLOBAL_DER_FEV_2023!S1941</f>
        <v/>
      </c>
      <c r="W1941" s="582">
        <v>0</v>
      </c>
      <c r="X1941" s="580"/>
      <c r="Y1941" s="583">
        <f>IF(GLOBAL_DER_FEV_2023!W1941=0,0,IF(GLOBAL_DER_FEV_2023!W1941&gt;0,"c","b"))</f>
        <v>0</v>
      </c>
    </row>
    <row r="1942" spans="1:25" ht="15" customHeight="1" x14ac:dyDescent="0.2">
      <c r="A1942" s="317" t="s">
        <v>147</v>
      </c>
      <c r="B1942" s="895" t="s">
        <v>147</v>
      </c>
      <c r="C1942" s="896"/>
      <c r="D1942" s="906" t="s">
        <v>229</v>
      </c>
      <c r="E1942" s="907">
        <f>GLOBAL_DER_FEV_2023!E1942</f>
        <v>150</v>
      </c>
      <c r="F1942" s="908">
        <f>GLOBAL_DER_FEV_2023!F1942</f>
        <v>0.01</v>
      </c>
      <c r="G1942" s="949">
        <f>GLOBAL_DER_FEV_2023!G1942</f>
        <v>1.6318000000000001</v>
      </c>
      <c r="H1942" s="901">
        <f>GLOBAL_DER_FEV_2023!H1942</f>
        <v>0</v>
      </c>
      <c r="I1942" s="901">
        <f>GLOBAL_DER_FEV_2023!I1942</f>
        <v>0</v>
      </c>
      <c r="J1942" s="902">
        <f>GLOBAL_DER_FEV_2023!J1942</f>
        <v>0</v>
      </c>
      <c r="K1942" s="903"/>
      <c r="L1942" s="1177"/>
      <c r="M1942" s="1138">
        <f t="shared" si="199"/>
        <v>0</v>
      </c>
      <c r="N1942" s="1176">
        <f t="shared" si="198"/>
        <v>0</v>
      </c>
      <c r="O1942" s="905"/>
      <c r="P1942" s="36" t="str">
        <f>IF(N1940&gt;0,"xx",IF(N1940&gt;0,"xy",""))</f>
        <v/>
      </c>
      <c r="Q1942" s="317" t="str">
        <f t="shared" si="200"/>
        <v/>
      </c>
      <c r="R1942" s="317" t="str">
        <f t="shared" si="201"/>
        <v/>
      </c>
      <c r="S1942" s="317" t="str">
        <f t="shared" si="202"/>
        <v/>
      </c>
      <c r="T1942" s="317" t="str">
        <f>GLOBAL_DER_FEV_2023!S1942</f>
        <v/>
      </c>
      <c r="W1942" s="582">
        <v>0</v>
      </c>
      <c r="X1942" s="580"/>
      <c r="Y1942" s="583">
        <f>IF(GLOBAL_DER_FEV_2023!W1942=0,0,IF(GLOBAL_DER_FEV_2023!W1942&gt;0,"c","b"))</f>
        <v>0</v>
      </c>
    </row>
    <row r="1943" spans="1:25" ht="15" customHeight="1" x14ac:dyDescent="0.2">
      <c r="A1943" s="317" t="s">
        <v>147</v>
      </c>
      <c r="B1943" s="895" t="s">
        <v>147</v>
      </c>
      <c r="C1943" s="896"/>
      <c r="D1943" s="906" t="s">
        <v>336</v>
      </c>
      <c r="E1943" s="907">
        <f>GLOBAL_DER_FEV_2023!E1943</f>
        <v>40</v>
      </c>
      <c r="F1943" s="908">
        <f>GLOBAL_DER_FEV_2023!F1943</f>
        <v>0.11</v>
      </c>
      <c r="G1943" s="949">
        <f>GLOBAL_DER_FEV_2023!G1943</f>
        <v>5.0028000000000006</v>
      </c>
      <c r="H1943" s="901">
        <f>GLOBAL_DER_FEV_2023!H1943</f>
        <v>0</v>
      </c>
      <c r="I1943" s="901">
        <f>GLOBAL_DER_FEV_2023!I1943</f>
        <v>0</v>
      </c>
      <c r="J1943" s="902">
        <f>GLOBAL_DER_FEV_2023!J1943</f>
        <v>0</v>
      </c>
      <c r="K1943" s="903"/>
      <c r="L1943" s="1177"/>
      <c r="M1943" s="1138">
        <f t="shared" si="199"/>
        <v>0</v>
      </c>
      <c r="N1943" s="1176">
        <f t="shared" ref="N1943:N2006" si="203">IF(ISBLANK(L1943),0,IF(W1943=0,ROUND(L1943*M1943,2),IF(W1943="b",ROUNDDOWN(L1943*M1943,2),ROUNDUP(L1943*M1943,2))))</f>
        <v>0</v>
      </c>
      <c r="O1943" s="905"/>
      <c r="P1943" s="36" t="str">
        <f>IF(N1940&gt;0,"xx",IF(N1940&gt;0,"xy",""))</f>
        <v/>
      </c>
      <c r="Q1943" s="317" t="str">
        <f t="shared" si="200"/>
        <v/>
      </c>
      <c r="R1943" s="317" t="str">
        <f t="shared" si="201"/>
        <v/>
      </c>
      <c r="S1943" s="317" t="str">
        <f t="shared" si="202"/>
        <v/>
      </c>
      <c r="T1943" s="317" t="str">
        <f>GLOBAL_DER_FEV_2023!S1943</f>
        <v/>
      </c>
      <c r="W1943" s="582">
        <v>0</v>
      </c>
      <c r="X1943" s="580"/>
      <c r="Y1943" s="583">
        <f>IF(GLOBAL_DER_FEV_2023!W1943=0,0,IF(GLOBAL_DER_FEV_2023!W1943&gt;0,"c","b"))</f>
        <v>0</v>
      </c>
    </row>
    <row r="1944" spans="1:25" ht="15" customHeight="1" x14ac:dyDescent="0.2">
      <c r="A1944" s="317">
        <v>610400</v>
      </c>
      <c r="B1944" s="895" t="s">
        <v>1824</v>
      </c>
      <c r="C1944" s="896" t="s">
        <v>184</v>
      </c>
      <c r="D1944" s="906" t="s">
        <v>472</v>
      </c>
      <c r="E1944" s="907">
        <f>GLOBAL_DER_FEV_2023!E1944</f>
        <v>0</v>
      </c>
      <c r="F1944" s="908">
        <f>GLOBAL_DER_FEV_2023!F1944</f>
        <v>0</v>
      </c>
      <c r="G1944" s="912">
        <f>GLOBAL_DER_FEV_2023!G1944</f>
        <v>13.849744000000001</v>
      </c>
      <c r="H1944" s="901">
        <f>GLOBAL_DER_FEV_2023!H1944</f>
        <v>137.47</v>
      </c>
      <c r="I1944" s="901">
        <f>GLOBAL_DER_FEV_2023!I1944</f>
        <v>151.31974400000001</v>
      </c>
      <c r="J1944" s="902">
        <f>GLOBAL_DER_FEV_2023!J1944</f>
        <v>181.69</v>
      </c>
      <c r="K1944" s="903" t="s">
        <v>13</v>
      </c>
      <c r="L1944" s="1137"/>
      <c r="M1944" s="1138">
        <f t="shared" si="199"/>
        <v>0</v>
      </c>
      <c r="N1944" s="1176">
        <f t="shared" si="203"/>
        <v>0</v>
      </c>
      <c r="O1944" s="905"/>
      <c r="Q1944" s="317" t="str">
        <f t="shared" si="200"/>
        <v/>
      </c>
      <c r="R1944" s="317" t="str">
        <f t="shared" si="201"/>
        <v/>
      </c>
      <c r="S1944" s="317" t="str">
        <f t="shared" si="202"/>
        <v/>
      </c>
      <c r="T1944" s="317" t="str">
        <f>GLOBAL_DER_FEV_2023!S1944</f>
        <v/>
      </c>
      <c r="W1944" s="582">
        <v>0</v>
      </c>
      <c r="X1944" s="580"/>
      <c r="Y1944" s="583">
        <f>IF(GLOBAL_DER_FEV_2023!W1944=0,0,IF(GLOBAL_DER_FEV_2023!W1944&gt;0,"c","b"))</f>
        <v>0</v>
      </c>
    </row>
    <row r="1945" spans="1:25" ht="15" customHeight="1" x14ac:dyDescent="0.2">
      <c r="A1945" s="317" t="s">
        <v>147</v>
      </c>
      <c r="B1945" s="895" t="s">
        <v>147</v>
      </c>
      <c r="C1945" s="896"/>
      <c r="D1945" s="906" t="s">
        <v>190</v>
      </c>
      <c r="E1945" s="907">
        <f>GLOBAL_DER_FEV_2023!E1945</f>
        <v>308</v>
      </c>
      <c r="F1945" s="908">
        <f>GLOBAL_DER_FEV_2023!F1945</f>
        <v>2.3E-3</v>
      </c>
      <c r="G1945" s="909">
        <f>GLOBAL_DER_FEV_2023!G1945</f>
        <v>0.57053799999999999</v>
      </c>
      <c r="H1945" s="901">
        <f>GLOBAL_DER_FEV_2023!H1945</f>
        <v>0</v>
      </c>
      <c r="I1945" s="901">
        <f>GLOBAL_DER_FEV_2023!I1945</f>
        <v>0</v>
      </c>
      <c r="J1945" s="902">
        <f>GLOBAL_DER_FEV_2023!J1945</f>
        <v>0</v>
      </c>
      <c r="K1945" s="903"/>
      <c r="L1945" s="1177"/>
      <c r="M1945" s="1138">
        <f t="shared" si="199"/>
        <v>0</v>
      </c>
      <c r="N1945" s="1176">
        <f t="shared" si="203"/>
        <v>0</v>
      </c>
      <c r="O1945" s="905"/>
      <c r="P1945" s="36" t="str">
        <f>IF(N1944&gt;0,"xx",IF(N1944&gt;0,"xy",""))</f>
        <v/>
      </c>
      <c r="Q1945" s="317" t="str">
        <f t="shared" si="200"/>
        <v/>
      </c>
      <c r="R1945" s="317" t="str">
        <f t="shared" si="201"/>
        <v/>
      </c>
      <c r="S1945" s="317" t="str">
        <f t="shared" si="202"/>
        <v/>
      </c>
      <c r="T1945" s="317" t="str">
        <f>GLOBAL_DER_FEV_2023!S1945</f>
        <v/>
      </c>
      <c r="W1945" s="582">
        <v>0</v>
      </c>
      <c r="X1945" s="580"/>
      <c r="Y1945" s="583">
        <f>IF(GLOBAL_DER_FEV_2023!W1945=0,0,IF(GLOBAL_DER_FEV_2023!W1945&gt;0,"c","b"))</f>
        <v>0</v>
      </c>
    </row>
    <row r="1946" spans="1:25" ht="15" customHeight="1" x14ac:dyDescent="0.2">
      <c r="A1946" s="317" t="s">
        <v>147</v>
      </c>
      <c r="B1946" s="895" t="s">
        <v>147</v>
      </c>
      <c r="C1946" s="896"/>
      <c r="D1946" s="906" t="s">
        <v>229</v>
      </c>
      <c r="E1946" s="907">
        <f>GLOBAL_DER_FEV_2023!E1946</f>
        <v>150</v>
      </c>
      <c r="F1946" s="908">
        <f>GLOBAL_DER_FEV_2023!F1946</f>
        <v>1.17E-2</v>
      </c>
      <c r="G1946" s="949">
        <f>GLOBAL_DER_FEV_2023!G1946</f>
        <v>1.9092060000000002</v>
      </c>
      <c r="H1946" s="901">
        <f>GLOBAL_DER_FEV_2023!H1946</f>
        <v>0</v>
      </c>
      <c r="I1946" s="901">
        <f>GLOBAL_DER_FEV_2023!I1946</f>
        <v>0</v>
      </c>
      <c r="J1946" s="902">
        <f>GLOBAL_DER_FEV_2023!J1946</f>
        <v>0</v>
      </c>
      <c r="K1946" s="903"/>
      <c r="L1946" s="1177"/>
      <c r="M1946" s="1138">
        <f t="shared" si="199"/>
        <v>0</v>
      </c>
      <c r="N1946" s="1176">
        <f t="shared" si="203"/>
        <v>0</v>
      </c>
      <c r="O1946" s="905"/>
      <c r="P1946" s="36" t="str">
        <f>IF(N1944&gt;0,"xx",IF(N1944&gt;0,"xy",""))</f>
        <v/>
      </c>
      <c r="Q1946" s="317" t="str">
        <f t="shared" si="200"/>
        <v/>
      </c>
      <c r="R1946" s="317" t="str">
        <f t="shared" si="201"/>
        <v/>
      </c>
      <c r="S1946" s="317" t="str">
        <f t="shared" si="202"/>
        <v/>
      </c>
      <c r="T1946" s="317" t="str">
        <f>GLOBAL_DER_FEV_2023!S1946</f>
        <v/>
      </c>
      <c r="W1946" s="582">
        <v>0</v>
      </c>
      <c r="X1946" s="580"/>
      <c r="Y1946" s="583">
        <f>IF(GLOBAL_DER_FEV_2023!W1946=0,0,IF(GLOBAL_DER_FEV_2023!W1946&gt;0,"c","b"))</f>
        <v>0</v>
      </c>
    </row>
    <row r="1947" spans="1:25" ht="15" customHeight="1" x14ac:dyDescent="0.2">
      <c r="A1947" s="317" t="s">
        <v>147</v>
      </c>
      <c r="B1947" s="895" t="s">
        <v>147</v>
      </c>
      <c r="C1947" s="896"/>
      <c r="D1947" s="906" t="s">
        <v>336</v>
      </c>
      <c r="E1947" s="907">
        <f>GLOBAL_DER_FEV_2023!E1947</f>
        <v>40</v>
      </c>
      <c r="F1947" s="908">
        <f>GLOBAL_DER_FEV_2023!F1947</f>
        <v>0.25</v>
      </c>
      <c r="G1947" s="949">
        <f>GLOBAL_DER_FEV_2023!G1947</f>
        <v>11.370000000000001</v>
      </c>
      <c r="H1947" s="901">
        <f>GLOBAL_DER_FEV_2023!H1947</f>
        <v>0</v>
      </c>
      <c r="I1947" s="901">
        <f>GLOBAL_DER_FEV_2023!I1947</f>
        <v>0</v>
      </c>
      <c r="J1947" s="902">
        <f>GLOBAL_DER_FEV_2023!J1947</f>
        <v>0</v>
      </c>
      <c r="K1947" s="903"/>
      <c r="L1947" s="1177"/>
      <c r="M1947" s="1138">
        <f t="shared" si="199"/>
        <v>0</v>
      </c>
      <c r="N1947" s="1176">
        <f t="shared" si="203"/>
        <v>0</v>
      </c>
      <c r="O1947" s="905"/>
      <c r="P1947" s="36" t="str">
        <f>IF(N1944&gt;0,"xx",IF(N1944&gt;0,"xy",""))</f>
        <v/>
      </c>
      <c r="Q1947" s="317" t="str">
        <f t="shared" si="200"/>
        <v/>
      </c>
      <c r="R1947" s="317" t="str">
        <f t="shared" si="201"/>
        <v/>
      </c>
      <c r="S1947" s="317" t="str">
        <f t="shared" si="202"/>
        <v/>
      </c>
      <c r="T1947" s="317" t="str">
        <f>GLOBAL_DER_FEV_2023!S1947</f>
        <v/>
      </c>
      <c r="W1947" s="582">
        <v>0</v>
      </c>
      <c r="X1947" s="580"/>
      <c r="Y1947" s="583">
        <f>IF(GLOBAL_DER_FEV_2023!W1947=0,0,IF(GLOBAL_DER_FEV_2023!W1947&gt;0,"c","b"))</f>
        <v>0</v>
      </c>
    </row>
    <row r="1948" spans="1:25" ht="15" customHeight="1" x14ac:dyDescent="0.2">
      <c r="A1948" s="317">
        <v>610600</v>
      </c>
      <c r="B1948" s="895" t="s">
        <v>1827</v>
      </c>
      <c r="C1948" s="896" t="s">
        <v>184</v>
      </c>
      <c r="D1948" s="906" t="s">
        <v>363</v>
      </c>
      <c r="E1948" s="907">
        <f>GLOBAL_DER_FEV_2023!E1948</f>
        <v>0</v>
      </c>
      <c r="F1948" s="908">
        <f>GLOBAL_DER_FEV_2023!F1948</f>
        <v>0</v>
      </c>
      <c r="G1948" s="912">
        <f>GLOBAL_DER_FEV_2023!G1948</f>
        <v>20.568768000000002</v>
      </c>
      <c r="H1948" s="901">
        <f>GLOBAL_DER_FEV_2023!H1948</f>
        <v>313.26</v>
      </c>
      <c r="I1948" s="901">
        <f>GLOBAL_DER_FEV_2023!I1948</f>
        <v>333.82876799999997</v>
      </c>
      <c r="J1948" s="902">
        <f>GLOBAL_DER_FEV_2023!J1948</f>
        <v>400.83</v>
      </c>
      <c r="K1948" s="903" t="s">
        <v>13</v>
      </c>
      <c r="L1948" s="1137"/>
      <c r="M1948" s="1138">
        <f t="shared" si="199"/>
        <v>0</v>
      </c>
      <c r="N1948" s="1176">
        <f t="shared" si="203"/>
        <v>0</v>
      </c>
      <c r="O1948" s="905"/>
      <c r="Q1948" s="317" t="str">
        <f t="shared" si="200"/>
        <v/>
      </c>
      <c r="R1948" s="317" t="str">
        <f t="shared" si="201"/>
        <v/>
      </c>
      <c r="S1948" s="317" t="str">
        <f t="shared" si="202"/>
        <v/>
      </c>
      <c r="T1948" s="317" t="str">
        <f>GLOBAL_DER_FEV_2023!S1948</f>
        <v/>
      </c>
      <c r="W1948" s="582">
        <v>0</v>
      </c>
      <c r="X1948" s="580"/>
      <c r="Y1948" s="583">
        <f>IF(GLOBAL_DER_FEV_2023!W1948=0,0,IF(GLOBAL_DER_FEV_2023!W1948&gt;0,"c","b"))</f>
        <v>0</v>
      </c>
    </row>
    <row r="1949" spans="1:25" ht="15" customHeight="1" x14ac:dyDescent="0.2">
      <c r="A1949" s="317" t="s">
        <v>147</v>
      </c>
      <c r="B1949" s="895" t="s">
        <v>147</v>
      </c>
      <c r="C1949" s="896"/>
      <c r="D1949" s="906" t="s">
        <v>190</v>
      </c>
      <c r="E1949" s="907">
        <f>GLOBAL_DER_FEV_2023!E1949</f>
        <v>308</v>
      </c>
      <c r="F1949" s="908">
        <f>GLOBAL_DER_FEV_2023!F1949</f>
        <v>2.5999999999999999E-3</v>
      </c>
      <c r="G1949" s="909">
        <f>GLOBAL_DER_FEV_2023!G1949</f>
        <v>0.64495599999999997</v>
      </c>
      <c r="H1949" s="901">
        <f>GLOBAL_DER_FEV_2023!H1949</f>
        <v>0</v>
      </c>
      <c r="I1949" s="901">
        <f>GLOBAL_DER_FEV_2023!I1949</f>
        <v>0</v>
      </c>
      <c r="J1949" s="902">
        <f>GLOBAL_DER_FEV_2023!J1949</f>
        <v>0</v>
      </c>
      <c r="K1949" s="903"/>
      <c r="L1949" s="1177"/>
      <c r="M1949" s="1138">
        <f t="shared" si="199"/>
        <v>0</v>
      </c>
      <c r="N1949" s="1176">
        <f t="shared" si="203"/>
        <v>0</v>
      </c>
      <c r="O1949" s="905"/>
      <c r="P1949" s="36" t="str">
        <f>IF(N1948&gt;0,"xx",IF(N1948&gt;0,"xy",""))</f>
        <v/>
      </c>
      <c r="Q1949" s="317" t="str">
        <f t="shared" si="200"/>
        <v/>
      </c>
      <c r="R1949" s="317" t="str">
        <f t="shared" si="201"/>
        <v/>
      </c>
      <c r="S1949" s="317" t="str">
        <f t="shared" si="202"/>
        <v/>
      </c>
      <c r="T1949" s="317" t="str">
        <f>GLOBAL_DER_FEV_2023!S1949</f>
        <v/>
      </c>
      <c r="W1949" s="582">
        <v>0</v>
      </c>
      <c r="X1949" s="580"/>
      <c r="Y1949" s="583">
        <f>IF(GLOBAL_DER_FEV_2023!W1949=0,0,IF(GLOBAL_DER_FEV_2023!W1949&gt;0,"c","b"))</f>
        <v>0</v>
      </c>
    </row>
    <row r="1950" spans="1:25" ht="15" customHeight="1" x14ac:dyDescent="0.2">
      <c r="A1950" s="317" t="s">
        <v>147</v>
      </c>
      <c r="B1950" s="895" t="s">
        <v>147</v>
      </c>
      <c r="C1950" s="896"/>
      <c r="D1950" s="906" t="s">
        <v>229</v>
      </c>
      <c r="E1950" s="907">
        <f>GLOBAL_DER_FEV_2023!E1950</f>
        <v>150</v>
      </c>
      <c r="F1950" s="908">
        <f>GLOBAL_DER_FEV_2023!F1950</f>
        <v>1.34E-2</v>
      </c>
      <c r="G1950" s="949">
        <f>GLOBAL_DER_FEV_2023!G1950</f>
        <v>2.1866120000000002</v>
      </c>
      <c r="H1950" s="901">
        <f>GLOBAL_DER_FEV_2023!H1950</f>
        <v>0</v>
      </c>
      <c r="I1950" s="901">
        <f>GLOBAL_DER_FEV_2023!I1950</f>
        <v>0</v>
      </c>
      <c r="J1950" s="902">
        <f>GLOBAL_DER_FEV_2023!J1950</f>
        <v>0</v>
      </c>
      <c r="K1950" s="903"/>
      <c r="L1950" s="1177"/>
      <c r="M1950" s="1138">
        <f t="shared" si="199"/>
        <v>0</v>
      </c>
      <c r="N1950" s="1176">
        <f t="shared" si="203"/>
        <v>0</v>
      </c>
      <c r="O1950" s="905"/>
      <c r="P1950" s="36" t="str">
        <f>IF(N1948&gt;0,"xx",IF(N1948&gt;0,"xy",""))</f>
        <v/>
      </c>
      <c r="Q1950" s="317" t="str">
        <f t="shared" si="200"/>
        <v/>
      </c>
      <c r="R1950" s="317" t="str">
        <f t="shared" si="201"/>
        <v/>
      </c>
      <c r="S1950" s="317" t="str">
        <f t="shared" si="202"/>
        <v/>
      </c>
      <c r="T1950" s="317" t="str">
        <f>GLOBAL_DER_FEV_2023!S1950</f>
        <v/>
      </c>
      <c r="W1950" s="582">
        <v>0</v>
      </c>
      <c r="X1950" s="580"/>
      <c r="Y1950" s="583">
        <f>IF(GLOBAL_DER_FEV_2023!W1950=0,0,IF(GLOBAL_DER_FEV_2023!W1950&gt;0,"c","b"))</f>
        <v>0</v>
      </c>
    </row>
    <row r="1951" spans="1:25" ht="15" customHeight="1" x14ac:dyDescent="0.2">
      <c r="A1951" s="317" t="s">
        <v>147</v>
      </c>
      <c r="B1951" s="895" t="s">
        <v>147</v>
      </c>
      <c r="C1951" s="896"/>
      <c r="D1951" s="906" t="s">
        <v>336</v>
      </c>
      <c r="E1951" s="907">
        <f>GLOBAL_DER_FEV_2023!E1951</f>
        <v>40</v>
      </c>
      <c r="F1951" s="908">
        <f>GLOBAL_DER_FEV_2023!F1951</f>
        <v>0.39</v>
      </c>
      <c r="G1951" s="949">
        <f>GLOBAL_DER_FEV_2023!G1951</f>
        <v>17.737200000000001</v>
      </c>
      <c r="H1951" s="901">
        <f>GLOBAL_DER_FEV_2023!H1951</f>
        <v>0</v>
      </c>
      <c r="I1951" s="901">
        <f>GLOBAL_DER_FEV_2023!I1951</f>
        <v>0</v>
      </c>
      <c r="J1951" s="902">
        <f>GLOBAL_DER_FEV_2023!J1951</f>
        <v>0</v>
      </c>
      <c r="K1951" s="903"/>
      <c r="L1951" s="1177"/>
      <c r="M1951" s="1138">
        <f t="shared" si="199"/>
        <v>0</v>
      </c>
      <c r="N1951" s="1176">
        <f t="shared" si="203"/>
        <v>0</v>
      </c>
      <c r="O1951" s="905"/>
      <c r="P1951" s="36" t="str">
        <f>IF(N1948&gt;0,"xx",IF(N1948&gt;0,"xy",""))</f>
        <v/>
      </c>
      <c r="Q1951" s="317" t="str">
        <f t="shared" si="200"/>
        <v/>
      </c>
      <c r="R1951" s="317" t="str">
        <f t="shared" si="201"/>
        <v/>
      </c>
      <c r="S1951" s="317" t="str">
        <f t="shared" si="202"/>
        <v/>
      </c>
      <c r="T1951" s="317" t="str">
        <f>GLOBAL_DER_FEV_2023!S1951</f>
        <v/>
      </c>
      <c r="W1951" s="582">
        <v>0</v>
      </c>
      <c r="X1951" s="580"/>
      <c r="Y1951" s="583">
        <f>IF(GLOBAL_DER_FEV_2023!W1951=0,0,IF(GLOBAL_DER_FEV_2023!W1951&gt;0,"c","b"))</f>
        <v>0</v>
      </c>
    </row>
    <row r="1952" spans="1:25" ht="15" customHeight="1" x14ac:dyDescent="0.2">
      <c r="A1952" s="317">
        <v>610600</v>
      </c>
      <c r="B1952" s="895" t="s">
        <v>1828</v>
      </c>
      <c r="C1952" s="896" t="s">
        <v>184</v>
      </c>
      <c r="D1952" s="906" t="s">
        <v>473</v>
      </c>
      <c r="E1952" s="907">
        <f>GLOBAL_DER_FEV_2023!E1952</f>
        <v>0</v>
      </c>
      <c r="F1952" s="908">
        <f>GLOBAL_DER_FEV_2023!F1952</f>
        <v>0</v>
      </c>
      <c r="G1952" s="912">
        <f>GLOBAL_DER_FEV_2023!G1952</f>
        <v>27.287792000000003</v>
      </c>
      <c r="H1952" s="901">
        <f>GLOBAL_DER_FEV_2023!H1952</f>
        <v>313.26</v>
      </c>
      <c r="I1952" s="901">
        <f>GLOBAL_DER_FEV_2023!I1952</f>
        <v>340.54779200000002</v>
      </c>
      <c r="J1952" s="902">
        <f>GLOBAL_DER_FEV_2023!J1952</f>
        <v>408.9</v>
      </c>
      <c r="K1952" s="903" t="s">
        <v>13</v>
      </c>
      <c r="L1952" s="1137"/>
      <c r="M1952" s="1138">
        <f t="shared" si="199"/>
        <v>0</v>
      </c>
      <c r="N1952" s="1176">
        <f t="shared" si="203"/>
        <v>0</v>
      </c>
      <c r="O1952" s="905"/>
      <c r="Q1952" s="317" t="str">
        <f t="shared" si="200"/>
        <v/>
      </c>
      <c r="R1952" s="317" t="str">
        <f t="shared" si="201"/>
        <v/>
      </c>
      <c r="S1952" s="317" t="str">
        <f t="shared" si="202"/>
        <v/>
      </c>
      <c r="T1952" s="317" t="str">
        <f>GLOBAL_DER_FEV_2023!S1952</f>
        <v/>
      </c>
      <c r="W1952" s="582">
        <v>0</v>
      </c>
      <c r="X1952" s="580"/>
      <c r="Y1952" s="583">
        <f>IF(GLOBAL_DER_FEV_2023!W1952=0,0,IF(GLOBAL_DER_FEV_2023!W1952&gt;0,"c","b"))</f>
        <v>0</v>
      </c>
    </row>
    <row r="1953" spans="1:25" ht="15" customHeight="1" x14ac:dyDescent="0.2">
      <c r="A1953" s="317" t="s">
        <v>147</v>
      </c>
      <c r="B1953" s="895" t="s">
        <v>147</v>
      </c>
      <c r="C1953" s="896"/>
      <c r="D1953" s="906" t="s">
        <v>190</v>
      </c>
      <c r="E1953" s="907">
        <f>GLOBAL_DER_FEV_2023!E1953</f>
        <v>308</v>
      </c>
      <c r="F1953" s="908">
        <f>GLOBAL_DER_FEV_2023!F1953</f>
        <v>2.8999999999999998E-3</v>
      </c>
      <c r="G1953" s="909">
        <f>GLOBAL_DER_FEV_2023!G1953</f>
        <v>0.71937399999999996</v>
      </c>
      <c r="H1953" s="901">
        <f>GLOBAL_DER_FEV_2023!H1953</f>
        <v>0</v>
      </c>
      <c r="I1953" s="901">
        <f>GLOBAL_DER_FEV_2023!I1953</f>
        <v>0</v>
      </c>
      <c r="J1953" s="902">
        <f>GLOBAL_DER_FEV_2023!J1953</f>
        <v>0</v>
      </c>
      <c r="K1953" s="903"/>
      <c r="L1953" s="1177"/>
      <c r="M1953" s="1138">
        <f t="shared" si="199"/>
        <v>0</v>
      </c>
      <c r="N1953" s="1176">
        <f t="shared" si="203"/>
        <v>0</v>
      </c>
      <c r="O1953" s="905"/>
      <c r="P1953" s="36" t="str">
        <f>IF(N1952&gt;0,"xx",IF(N1952&gt;0,"xy",""))</f>
        <v/>
      </c>
      <c r="Q1953" s="317" t="str">
        <f t="shared" si="200"/>
        <v/>
      </c>
      <c r="R1953" s="317" t="str">
        <f t="shared" si="201"/>
        <v/>
      </c>
      <c r="S1953" s="317" t="str">
        <f t="shared" si="202"/>
        <v/>
      </c>
      <c r="T1953" s="317" t="str">
        <f>GLOBAL_DER_FEV_2023!S1953</f>
        <v/>
      </c>
      <c r="W1953" s="582">
        <v>0</v>
      </c>
      <c r="X1953" s="580"/>
      <c r="Y1953" s="583">
        <f>IF(GLOBAL_DER_FEV_2023!W1953=0,0,IF(GLOBAL_DER_FEV_2023!W1953&gt;0,"c","b"))</f>
        <v>0</v>
      </c>
    </row>
    <row r="1954" spans="1:25" ht="15" customHeight="1" x14ac:dyDescent="0.2">
      <c r="A1954" s="317" t="s">
        <v>147</v>
      </c>
      <c r="B1954" s="895" t="s">
        <v>147</v>
      </c>
      <c r="C1954" s="896"/>
      <c r="D1954" s="906" t="s">
        <v>229</v>
      </c>
      <c r="E1954" s="907">
        <f>GLOBAL_DER_FEV_2023!E1954</f>
        <v>150</v>
      </c>
      <c r="F1954" s="908">
        <f>GLOBAL_DER_FEV_2023!F1954</f>
        <v>1.5100000000000001E-2</v>
      </c>
      <c r="G1954" s="949">
        <f>GLOBAL_DER_FEV_2023!G1954</f>
        <v>2.4640180000000003</v>
      </c>
      <c r="H1954" s="901">
        <f>GLOBAL_DER_FEV_2023!H1954</f>
        <v>0</v>
      </c>
      <c r="I1954" s="901">
        <f>GLOBAL_DER_FEV_2023!I1954</f>
        <v>0</v>
      </c>
      <c r="J1954" s="902">
        <f>GLOBAL_DER_FEV_2023!J1954</f>
        <v>0</v>
      </c>
      <c r="K1954" s="903"/>
      <c r="L1954" s="1177"/>
      <c r="M1954" s="1138">
        <f t="shared" si="199"/>
        <v>0</v>
      </c>
      <c r="N1954" s="1176">
        <f t="shared" si="203"/>
        <v>0</v>
      </c>
      <c r="O1954" s="905"/>
      <c r="P1954" s="36" t="str">
        <f>IF(N1952&gt;0,"xx",IF(N1952&gt;0,"xy",""))</f>
        <v/>
      </c>
      <c r="Q1954" s="317" t="str">
        <f t="shared" si="200"/>
        <v/>
      </c>
      <c r="R1954" s="317" t="str">
        <f t="shared" si="201"/>
        <v/>
      </c>
      <c r="S1954" s="317" t="str">
        <f t="shared" si="202"/>
        <v/>
      </c>
      <c r="T1954" s="317" t="str">
        <f>GLOBAL_DER_FEV_2023!S1954</f>
        <v/>
      </c>
      <c r="W1954" s="582">
        <v>0</v>
      </c>
      <c r="X1954" s="580"/>
      <c r="Y1954" s="583">
        <f>IF(GLOBAL_DER_FEV_2023!W1954=0,0,IF(GLOBAL_DER_FEV_2023!W1954&gt;0,"c","b"))</f>
        <v>0</v>
      </c>
    </row>
    <row r="1955" spans="1:25" ht="15" customHeight="1" x14ac:dyDescent="0.2">
      <c r="A1955" s="317" t="s">
        <v>147</v>
      </c>
      <c r="B1955" s="895" t="s">
        <v>147</v>
      </c>
      <c r="C1955" s="896"/>
      <c r="D1955" s="906" t="s">
        <v>336</v>
      </c>
      <c r="E1955" s="907">
        <f>GLOBAL_DER_FEV_2023!E1955</f>
        <v>40</v>
      </c>
      <c r="F1955" s="908">
        <f>GLOBAL_DER_FEV_2023!F1955</f>
        <v>0.53</v>
      </c>
      <c r="G1955" s="949">
        <f>GLOBAL_DER_FEV_2023!G1955</f>
        <v>24.104400000000002</v>
      </c>
      <c r="H1955" s="901">
        <f>GLOBAL_DER_FEV_2023!H1955</f>
        <v>0</v>
      </c>
      <c r="I1955" s="901">
        <f>GLOBAL_DER_FEV_2023!I1955</f>
        <v>0</v>
      </c>
      <c r="J1955" s="902">
        <f>GLOBAL_DER_FEV_2023!J1955</f>
        <v>0</v>
      </c>
      <c r="K1955" s="903"/>
      <c r="L1955" s="1177"/>
      <c r="M1955" s="1138">
        <f t="shared" si="199"/>
        <v>0</v>
      </c>
      <c r="N1955" s="1176">
        <f t="shared" si="203"/>
        <v>0</v>
      </c>
      <c r="O1955" s="905"/>
      <c r="P1955" s="36" t="str">
        <f>IF(N1952&gt;0,"xx",IF(N1952&gt;0,"xy",""))</f>
        <v/>
      </c>
      <c r="Q1955" s="317" t="str">
        <f t="shared" si="200"/>
        <v/>
      </c>
      <c r="R1955" s="317" t="str">
        <f t="shared" si="201"/>
        <v/>
      </c>
      <c r="S1955" s="317" t="str">
        <f t="shared" si="202"/>
        <v/>
      </c>
      <c r="T1955" s="317" t="str">
        <f>GLOBAL_DER_FEV_2023!S1955</f>
        <v/>
      </c>
      <c r="W1955" s="582">
        <v>0</v>
      </c>
      <c r="X1955" s="580"/>
      <c r="Y1955" s="583">
        <f>IF(GLOBAL_DER_FEV_2023!W1955=0,0,IF(GLOBAL_DER_FEV_2023!W1955&gt;0,"c","b"))</f>
        <v>0</v>
      </c>
    </row>
    <row r="1956" spans="1:25" ht="15" customHeight="1" x14ac:dyDescent="0.2">
      <c r="A1956" s="317">
        <v>610800</v>
      </c>
      <c r="B1956" s="895" t="s">
        <v>1833</v>
      </c>
      <c r="C1956" s="896" t="s">
        <v>184</v>
      </c>
      <c r="D1956" s="906" t="s">
        <v>364</v>
      </c>
      <c r="E1956" s="907">
        <f>GLOBAL_DER_FEV_2023!E1956</f>
        <v>0</v>
      </c>
      <c r="F1956" s="908">
        <f>GLOBAL_DER_FEV_2023!F1956</f>
        <v>0</v>
      </c>
      <c r="G1956" s="912">
        <f>GLOBAL_DER_FEV_2023!G1956</f>
        <v>34.006816000000008</v>
      </c>
      <c r="H1956" s="901">
        <f>GLOBAL_DER_FEV_2023!H1956</f>
        <v>514.41999999999996</v>
      </c>
      <c r="I1956" s="901">
        <f>GLOBAL_DER_FEV_2023!I1956</f>
        <v>548.42681599999992</v>
      </c>
      <c r="J1956" s="902">
        <f>GLOBAL_DER_FEV_2023!J1956</f>
        <v>658.5</v>
      </c>
      <c r="K1956" s="903" t="s">
        <v>13</v>
      </c>
      <c r="L1956" s="1137"/>
      <c r="M1956" s="1138">
        <f t="shared" si="199"/>
        <v>0</v>
      </c>
      <c r="N1956" s="1176">
        <f t="shared" si="203"/>
        <v>0</v>
      </c>
      <c r="O1956" s="905"/>
      <c r="Q1956" s="317" t="str">
        <f t="shared" si="200"/>
        <v/>
      </c>
      <c r="R1956" s="317" t="str">
        <f t="shared" si="201"/>
        <v/>
      </c>
      <c r="S1956" s="317" t="str">
        <f t="shared" si="202"/>
        <v/>
      </c>
      <c r="T1956" s="317" t="str">
        <f>GLOBAL_DER_FEV_2023!S1956</f>
        <v/>
      </c>
      <c r="W1956" s="582">
        <v>0</v>
      </c>
      <c r="X1956" s="580"/>
      <c r="Y1956" s="583">
        <f>IF(GLOBAL_DER_FEV_2023!W1956=0,0,IF(GLOBAL_DER_FEV_2023!W1956&gt;0,"c","b"))</f>
        <v>0</v>
      </c>
    </row>
    <row r="1957" spans="1:25" ht="15" customHeight="1" x14ac:dyDescent="0.2">
      <c r="A1957" s="317" t="s">
        <v>147</v>
      </c>
      <c r="B1957" s="895" t="s">
        <v>147</v>
      </c>
      <c r="C1957" s="896"/>
      <c r="D1957" s="906" t="s">
        <v>190</v>
      </c>
      <c r="E1957" s="907">
        <f>GLOBAL_DER_FEV_2023!E1957</f>
        <v>308</v>
      </c>
      <c r="F1957" s="908">
        <f>GLOBAL_DER_FEV_2023!F1957</f>
        <v>3.2000000000000002E-3</v>
      </c>
      <c r="G1957" s="909">
        <f>GLOBAL_DER_FEV_2023!G1957</f>
        <v>0.79379200000000005</v>
      </c>
      <c r="H1957" s="901">
        <f>GLOBAL_DER_FEV_2023!H1957</f>
        <v>0</v>
      </c>
      <c r="I1957" s="901">
        <f>GLOBAL_DER_FEV_2023!I1957</f>
        <v>0</v>
      </c>
      <c r="J1957" s="902">
        <f>GLOBAL_DER_FEV_2023!J1957</f>
        <v>0</v>
      </c>
      <c r="K1957" s="903"/>
      <c r="L1957" s="1177"/>
      <c r="M1957" s="1138">
        <f t="shared" si="199"/>
        <v>0</v>
      </c>
      <c r="N1957" s="1176">
        <f t="shared" si="203"/>
        <v>0</v>
      </c>
      <c r="O1957" s="905"/>
      <c r="P1957" s="36" t="str">
        <f>IF(N1956&gt;0,"xx",IF(N1956&gt;0,"xy",""))</f>
        <v/>
      </c>
      <c r="Q1957" s="317" t="str">
        <f t="shared" si="200"/>
        <v/>
      </c>
      <c r="R1957" s="317" t="str">
        <f t="shared" si="201"/>
        <v/>
      </c>
      <c r="S1957" s="317" t="str">
        <f t="shared" si="202"/>
        <v/>
      </c>
      <c r="T1957" s="317" t="str">
        <f>GLOBAL_DER_FEV_2023!S1957</f>
        <v/>
      </c>
      <c r="W1957" s="582">
        <v>0</v>
      </c>
      <c r="X1957" s="580"/>
      <c r="Y1957" s="583">
        <f>IF(GLOBAL_DER_FEV_2023!W1957=0,0,IF(GLOBAL_DER_FEV_2023!W1957&gt;0,"c","b"))</f>
        <v>0</v>
      </c>
    </row>
    <row r="1958" spans="1:25" ht="15" customHeight="1" x14ac:dyDescent="0.2">
      <c r="A1958" s="317" t="s">
        <v>147</v>
      </c>
      <c r="B1958" s="895" t="s">
        <v>147</v>
      </c>
      <c r="C1958" s="896"/>
      <c r="D1958" s="906" t="s">
        <v>229</v>
      </c>
      <c r="E1958" s="907">
        <f>GLOBAL_DER_FEV_2023!E1958</f>
        <v>150</v>
      </c>
      <c r="F1958" s="908">
        <f>GLOBAL_DER_FEV_2023!F1958</f>
        <v>1.6799999999999999E-2</v>
      </c>
      <c r="G1958" s="949">
        <f>GLOBAL_DER_FEV_2023!G1958</f>
        <v>2.7414239999999999</v>
      </c>
      <c r="H1958" s="901">
        <f>GLOBAL_DER_FEV_2023!H1958</f>
        <v>0</v>
      </c>
      <c r="I1958" s="901">
        <f>GLOBAL_DER_FEV_2023!I1958</f>
        <v>0</v>
      </c>
      <c r="J1958" s="902">
        <f>GLOBAL_DER_FEV_2023!J1958</f>
        <v>0</v>
      </c>
      <c r="K1958" s="903"/>
      <c r="L1958" s="1177"/>
      <c r="M1958" s="1138">
        <f t="shared" si="199"/>
        <v>0</v>
      </c>
      <c r="N1958" s="1176">
        <f t="shared" si="203"/>
        <v>0</v>
      </c>
      <c r="O1958" s="905"/>
      <c r="P1958" s="36" t="str">
        <f>IF(N1956&gt;0,"xx",IF(N1956&gt;0,"xy",""))</f>
        <v/>
      </c>
      <c r="Q1958" s="317" t="str">
        <f t="shared" si="200"/>
        <v/>
      </c>
      <c r="R1958" s="317" t="str">
        <f t="shared" si="201"/>
        <v/>
      </c>
      <c r="S1958" s="317" t="str">
        <f t="shared" si="202"/>
        <v/>
      </c>
      <c r="T1958" s="317" t="str">
        <f>GLOBAL_DER_FEV_2023!S1958</f>
        <v/>
      </c>
      <c r="W1958" s="582">
        <v>0</v>
      </c>
      <c r="X1958" s="580"/>
      <c r="Y1958" s="583">
        <f>IF(GLOBAL_DER_FEV_2023!W1958=0,0,IF(GLOBAL_DER_FEV_2023!W1958&gt;0,"c","b"))</f>
        <v>0</v>
      </c>
    </row>
    <row r="1959" spans="1:25" ht="15" customHeight="1" x14ac:dyDescent="0.2">
      <c r="A1959" s="317" t="s">
        <v>147</v>
      </c>
      <c r="B1959" s="895" t="s">
        <v>147</v>
      </c>
      <c r="C1959" s="896"/>
      <c r="D1959" s="906" t="s">
        <v>336</v>
      </c>
      <c r="E1959" s="907">
        <f>GLOBAL_DER_FEV_2023!E1959</f>
        <v>40</v>
      </c>
      <c r="F1959" s="908">
        <f>GLOBAL_DER_FEV_2023!F1959</f>
        <v>0.67</v>
      </c>
      <c r="G1959" s="949">
        <f>GLOBAL_DER_FEV_2023!G1959</f>
        <v>30.471600000000006</v>
      </c>
      <c r="H1959" s="901">
        <f>GLOBAL_DER_FEV_2023!H1959</f>
        <v>0</v>
      </c>
      <c r="I1959" s="901">
        <f>GLOBAL_DER_FEV_2023!I1959</f>
        <v>0</v>
      </c>
      <c r="J1959" s="902">
        <f>GLOBAL_DER_FEV_2023!J1959</f>
        <v>0</v>
      </c>
      <c r="K1959" s="903"/>
      <c r="L1959" s="1177"/>
      <c r="M1959" s="1138">
        <f t="shared" si="199"/>
        <v>0</v>
      </c>
      <c r="N1959" s="1176">
        <f t="shared" si="203"/>
        <v>0</v>
      </c>
      <c r="O1959" s="905"/>
      <c r="P1959" s="36" t="str">
        <f>IF(N1956&gt;0,"xx",IF(N1956&gt;0,"xy",""))</f>
        <v/>
      </c>
      <c r="Q1959" s="317" t="str">
        <f t="shared" si="200"/>
        <v/>
      </c>
      <c r="R1959" s="317" t="str">
        <f t="shared" si="201"/>
        <v/>
      </c>
      <c r="S1959" s="317" t="str">
        <f t="shared" si="202"/>
        <v/>
      </c>
      <c r="T1959" s="317" t="str">
        <f>GLOBAL_DER_FEV_2023!S1959</f>
        <v/>
      </c>
      <c r="W1959" s="582">
        <v>0</v>
      </c>
      <c r="X1959" s="580"/>
      <c r="Y1959" s="583">
        <f>IF(GLOBAL_DER_FEV_2023!W1959=0,0,IF(GLOBAL_DER_FEV_2023!W1959&gt;0,"c","b"))</f>
        <v>0</v>
      </c>
    </row>
    <row r="1960" spans="1:25" ht="15" customHeight="1" x14ac:dyDescent="0.2">
      <c r="A1960" s="317">
        <v>610400</v>
      </c>
      <c r="B1960" s="895" t="s">
        <v>1825</v>
      </c>
      <c r="C1960" s="896" t="s">
        <v>184</v>
      </c>
      <c r="D1960" s="906" t="s">
        <v>2014</v>
      </c>
      <c r="E1960" s="907">
        <f>GLOBAL_DER_FEV_2023!E1960</f>
        <v>0</v>
      </c>
      <c r="F1960" s="908">
        <f>GLOBAL_DER_FEV_2023!F1960</f>
        <v>0</v>
      </c>
      <c r="G1960" s="912">
        <f>GLOBAL_DER_FEV_2023!G1960</f>
        <v>7.1059140000000003</v>
      </c>
      <c r="H1960" s="901">
        <f>GLOBAL_DER_FEV_2023!H1960</f>
        <v>137.47</v>
      </c>
      <c r="I1960" s="901">
        <f>GLOBAL_DER_FEV_2023!I1960</f>
        <v>144.57591400000001</v>
      </c>
      <c r="J1960" s="902">
        <f>GLOBAL_DER_FEV_2023!J1960</f>
        <v>173.59</v>
      </c>
      <c r="K1960" s="903" t="s">
        <v>13</v>
      </c>
      <c r="L1960" s="1137"/>
      <c r="M1960" s="1138">
        <f t="shared" si="199"/>
        <v>0</v>
      </c>
      <c r="N1960" s="1176">
        <f t="shared" si="203"/>
        <v>0</v>
      </c>
      <c r="O1960" s="905"/>
      <c r="Q1960" s="317" t="str">
        <f t="shared" si="200"/>
        <v/>
      </c>
      <c r="R1960" s="317" t="str">
        <f t="shared" si="201"/>
        <v/>
      </c>
      <c r="S1960" s="317" t="str">
        <f t="shared" si="202"/>
        <v/>
      </c>
      <c r="T1960" s="317" t="str">
        <f>GLOBAL_DER_FEV_2023!S1960</f>
        <v/>
      </c>
      <c r="W1960" s="582">
        <v>0</v>
      </c>
      <c r="X1960" s="580"/>
      <c r="Y1960" s="583">
        <f>IF(GLOBAL_DER_FEV_2023!W1960=0,0,IF(GLOBAL_DER_FEV_2023!W1960&gt;0,"c","b"))</f>
        <v>0</v>
      </c>
    </row>
    <row r="1961" spans="1:25" ht="15" customHeight="1" x14ac:dyDescent="0.2">
      <c r="A1961" s="317" t="s">
        <v>147</v>
      </c>
      <c r="B1961" s="895" t="s">
        <v>147</v>
      </c>
      <c r="C1961" s="896"/>
      <c r="D1961" s="906" t="s">
        <v>190</v>
      </c>
      <c r="E1961" s="907">
        <f>GLOBAL_DER_FEV_2023!E1961</f>
        <v>308</v>
      </c>
      <c r="F1961" s="908">
        <f>GLOBAL_DER_FEV_2023!F1961</f>
        <v>1.9E-3</v>
      </c>
      <c r="G1961" s="909">
        <f>GLOBAL_DER_FEV_2023!G1961</f>
        <v>0.47131400000000001</v>
      </c>
      <c r="H1961" s="901">
        <f>GLOBAL_DER_FEV_2023!H1961</f>
        <v>0</v>
      </c>
      <c r="I1961" s="901">
        <f>GLOBAL_DER_FEV_2023!I1961</f>
        <v>0</v>
      </c>
      <c r="J1961" s="902">
        <f>GLOBAL_DER_FEV_2023!J1961</f>
        <v>0</v>
      </c>
      <c r="K1961" s="903"/>
      <c r="L1961" s="1177"/>
      <c r="M1961" s="1138">
        <f t="shared" si="199"/>
        <v>0</v>
      </c>
      <c r="N1961" s="1176">
        <f t="shared" si="203"/>
        <v>0</v>
      </c>
      <c r="O1961" s="905"/>
      <c r="P1961" s="36" t="str">
        <f>IF(N1960&gt;0,"xx",IF(N1960&gt;0,"xy",""))</f>
        <v/>
      </c>
      <c r="Q1961" s="317" t="str">
        <f t="shared" si="200"/>
        <v/>
      </c>
      <c r="R1961" s="317" t="str">
        <f t="shared" si="201"/>
        <v/>
      </c>
      <c r="S1961" s="317" t="str">
        <f t="shared" si="202"/>
        <v/>
      </c>
      <c r="T1961" s="317" t="str">
        <f>GLOBAL_DER_FEV_2023!S1961</f>
        <v/>
      </c>
      <c r="W1961" s="582">
        <v>0</v>
      </c>
      <c r="X1961" s="580"/>
      <c r="Y1961" s="583">
        <f>IF(GLOBAL_DER_FEV_2023!W1961=0,0,IF(GLOBAL_DER_FEV_2023!W1961&gt;0,"c","b"))</f>
        <v>0</v>
      </c>
    </row>
    <row r="1962" spans="1:25" ht="15" customHeight="1" x14ac:dyDescent="0.2">
      <c r="A1962" s="317" t="s">
        <v>147</v>
      </c>
      <c r="B1962" s="895" t="s">
        <v>147</v>
      </c>
      <c r="C1962" s="896"/>
      <c r="D1962" s="906" t="s">
        <v>229</v>
      </c>
      <c r="E1962" s="907">
        <f>GLOBAL_DER_FEV_2023!E1962</f>
        <v>150</v>
      </c>
      <c r="F1962" s="908">
        <f>GLOBAL_DER_FEV_2023!F1962</f>
        <v>0.01</v>
      </c>
      <c r="G1962" s="949">
        <f>GLOBAL_DER_FEV_2023!G1962</f>
        <v>1.6318000000000001</v>
      </c>
      <c r="H1962" s="901">
        <f>GLOBAL_DER_FEV_2023!H1962</f>
        <v>0</v>
      </c>
      <c r="I1962" s="901">
        <f>GLOBAL_DER_FEV_2023!I1962</f>
        <v>0</v>
      </c>
      <c r="J1962" s="902">
        <f>GLOBAL_DER_FEV_2023!J1962</f>
        <v>0</v>
      </c>
      <c r="K1962" s="903"/>
      <c r="L1962" s="1177"/>
      <c r="M1962" s="1138">
        <f t="shared" si="199"/>
        <v>0</v>
      </c>
      <c r="N1962" s="1176">
        <f t="shared" si="203"/>
        <v>0</v>
      </c>
      <c r="O1962" s="905"/>
      <c r="P1962" s="36" t="str">
        <f>IF(N1960&gt;0,"xx",IF(N1960&gt;0,"xy",""))</f>
        <v/>
      </c>
      <c r="Q1962" s="317" t="str">
        <f t="shared" si="200"/>
        <v/>
      </c>
      <c r="R1962" s="317" t="str">
        <f t="shared" si="201"/>
        <v/>
      </c>
      <c r="S1962" s="317" t="str">
        <f t="shared" si="202"/>
        <v/>
      </c>
      <c r="T1962" s="317" t="str">
        <f>GLOBAL_DER_FEV_2023!S1962</f>
        <v/>
      </c>
      <c r="W1962" s="582">
        <v>0</v>
      </c>
      <c r="X1962" s="580"/>
      <c r="Y1962" s="583">
        <f>IF(GLOBAL_DER_FEV_2023!W1962=0,0,IF(GLOBAL_DER_FEV_2023!W1962&gt;0,"c","b"))</f>
        <v>0</v>
      </c>
    </row>
    <row r="1963" spans="1:25" ht="15" customHeight="1" x14ac:dyDescent="0.2">
      <c r="A1963" s="317" t="s">
        <v>147</v>
      </c>
      <c r="B1963" s="895" t="s">
        <v>147</v>
      </c>
      <c r="C1963" s="896"/>
      <c r="D1963" s="906" t="s">
        <v>336</v>
      </c>
      <c r="E1963" s="907">
        <f>GLOBAL_DER_FEV_2023!E1963</f>
        <v>40</v>
      </c>
      <c r="F1963" s="908">
        <f>GLOBAL_DER_FEV_2023!F1963</f>
        <v>0.11</v>
      </c>
      <c r="G1963" s="949">
        <f>GLOBAL_DER_FEV_2023!G1963</f>
        <v>5.0028000000000006</v>
      </c>
      <c r="H1963" s="901">
        <f>GLOBAL_DER_FEV_2023!H1963</f>
        <v>0</v>
      </c>
      <c r="I1963" s="901">
        <f>GLOBAL_DER_FEV_2023!I1963</f>
        <v>0</v>
      </c>
      <c r="J1963" s="902">
        <f>GLOBAL_DER_FEV_2023!J1963</f>
        <v>0</v>
      </c>
      <c r="K1963" s="903"/>
      <c r="L1963" s="1177"/>
      <c r="M1963" s="1138">
        <f t="shared" si="199"/>
        <v>0</v>
      </c>
      <c r="N1963" s="1176">
        <f t="shared" si="203"/>
        <v>0</v>
      </c>
      <c r="O1963" s="905"/>
      <c r="P1963" s="36" t="str">
        <f>IF(N1960&gt;0,"xx",IF(N1960&gt;0,"xy",""))</f>
        <v/>
      </c>
      <c r="Q1963" s="317" t="str">
        <f t="shared" si="200"/>
        <v/>
      </c>
      <c r="R1963" s="317" t="str">
        <f t="shared" si="201"/>
        <v/>
      </c>
      <c r="S1963" s="317" t="str">
        <f t="shared" si="202"/>
        <v/>
      </c>
      <c r="T1963" s="317" t="str">
        <f>GLOBAL_DER_FEV_2023!S1963</f>
        <v/>
      </c>
      <c r="W1963" s="582">
        <v>0</v>
      </c>
      <c r="X1963" s="580"/>
      <c r="Y1963" s="583">
        <f>IF(GLOBAL_DER_FEV_2023!W1963=0,0,IF(GLOBAL_DER_FEV_2023!W1963&gt;0,"c","b"))</f>
        <v>0</v>
      </c>
    </row>
    <row r="1964" spans="1:25" ht="15" customHeight="1" x14ac:dyDescent="0.2">
      <c r="A1964" s="317">
        <v>610600</v>
      </c>
      <c r="B1964" s="895" t="s">
        <v>1829</v>
      </c>
      <c r="C1964" s="896" t="s">
        <v>184</v>
      </c>
      <c r="D1964" s="906" t="s">
        <v>2015</v>
      </c>
      <c r="E1964" s="907">
        <f>GLOBAL_DER_FEV_2023!E1964</f>
        <v>0</v>
      </c>
      <c r="F1964" s="908">
        <f>GLOBAL_DER_FEV_2023!F1964</f>
        <v>0</v>
      </c>
      <c r="G1964" s="912">
        <f>GLOBAL_DER_FEV_2023!G1964</f>
        <v>13.849744000000001</v>
      </c>
      <c r="H1964" s="901">
        <f>GLOBAL_DER_FEV_2023!H1964</f>
        <v>313.26</v>
      </c>
      <c r="I1964" s="901">
        <f>GLOBAL_DER_FEV_2023!I1964</f>
        <v>327.10974399999998</v>
      </c>
      <c r="J1964" s="902">
        <f>GLOBAL_DER_FEV_2023!J1964</f>
        <v>392.76</v>
      </c>
      <c r="K1964" s="903" t="s">
        <v>13</v>
      </c>
      <c r="L1964" s="1137"/>
      <c r="M1964" s="1138">
        <f t="shared" si="199"/>
        <v>0</v>
      </c>
      <c r="N1964" s="1176">
        <f t="shared" si="203"/>
        <v>0</v>
      </c>
      <c r="O1964" s="905"/>
      <c r="Q1964" s="317" t="str">
        <f t="shared" si="200"/>
        <v/>
      </c>
      <c r="R1964" s="317" t="str">
        <f t="shared" si="201"/>
        <v/>
      </c>
      <c r="S1964" s="317" t="str">
        <f t="shared" si="202"/>
        <v/>
      </c>
      <c r="T1964" s="317" t="str">
        <f>GLOBAL_DER_FEV_2023!S1964</f>
        <v/>
      </c>
      <c r="W1964" s="582">
        <v>0</v>
      </c>
      <c r="X1964" s="580"/>
      <c r="Y1964" s="583">
        <f>IF(GLOBAL_DER_FEV_2023!W1964=0,0,IF(GLOBAL_DER_FEV_2023!W1964&gt;0,"c","b"))</f>
        <v>0</v>
      </c>
    </row>
    <row r="1965" spans="1:25" ht="15" customHeight="1" x14ac:dyDescent="0.2">
      <c r="A1965" s="317" t="s">
        <v>147</v>
      </c>
      <c r="B1965" s="895" t="s">
        <v>147</v>
      </c>
      <c r="C1965" s="896"/>
      <c r="D1965" s="906" t="s">
        <v>190</v>
      </c>
      <c r="E1965" s="907">
        <f>GLOBAL_DER_FEV_2023!E1965</f>
        <v>308</v>
      </c>
      <c r="F1965" s="908">
        <f>GLOBAL_DER_FEV_2023!F1965</f>
        <v>2.3E-3</v>
      </c>
      <c r="G1965" s="909">
        <f>GLOBAL_DER_FEV_2023!G1965</f>
        <v>0.57053799999999999</v>
      </c>
      <c r="H1965" s="901">
        <f>GLOBAL_DER_FEV_2023!H1965</f>
        <v>0</v>
      </c>
      <c r="I1965" s="901">
        <f>GLOBAL_DER_FEV_2023!I1965</f>
        <v>0</v>
      </c>
      <c r="J1965" s="902">
        <f>GLOBAL_DER_FEV_2023!J1965</f>
        <v>0</v>
      </c>
      <c r="K1965" s="903"/>
      <c r="L1965" s="1177"/>
      <c r="M1965" s="1138">
        <f t="shared" si="199"/>
        <v>0</v>
      </c>
      <c r="N1965" s="1176">
        <f t="shared" si="203"/>
        <v>0</v>
      </c>
      <c r="O1965" s="905"/>
      <c r="P1965" s="36" t="str">
        <f>IF(N1964&gt;0,"xx",IF(N1964&gt;0,"xy",""))</f>
        <v/>
      </c>
      <c r="Q1965" s="317" t="str">
        <f t="shared" si="200"/>
        <v/>
      </c>
      <c r="R1965" s="317" t="str">
        <f t="shared" si="201"/>
        <v/>
      </c>
      <c r="S1965" s="317" t="str">
        <f t="shared" si="202"/>
        <v/>
      </c>
      <c r="T1965" s="317" t="str">
        <f>GLOBAL_DER_FEV_2023!S1965</f>
        <v/>
      </c>
      <c r="W1965" s="582">
        <v>0</v>
      </c>
      <c r="X1965" s="580"/>
      <c r="Y1965" s="583">
        <f>IF(GLOBAL_DER_FEV_2023!W1965=0,0,IF(GLOBAL_DER_FEV_2023!W1965&gt;0,"c","b"))</f>
        <v>0</v>
      </c>
    </row>
    <row r="1966" spans="1:25" ht="15" customHeight="1" x14ac:dyDescent="0.2">
      <c r="A1966" s="317" t="s">
        <v>147</v>
      </c>
      <c r="B1966" s="895" t="s">
        <v>147</v>
      </c>
      <c r="C1966" s="896"/>
      <c r="D1966" s="906" t="s">
        <v>229</v>
      </c>
      <c r="E1966" s="907">
        <f>GLOBAL_DER_FEV_2023!E1966</f>
        <v>150</v>
      </c>
      <c r="F1966" s="908">
        <f>GLOBAL_DER_FEV_2023!F1966</f>
        <v>1.17E-2</v>
      </c>
      <c r="G1966" s="949">
        <f>GLOBAL_DER_FEV_2023!G1966</f>
        <v>1.9092060000000002</v>
      </c>
      <c r="H1966" s="901">
        <f>GLOBAL_DER_FEV_2023!H1966</f>
        <v>0</v>
      </c>
      <c r="I1966" s="901">
        <f>GLOBAL_DER_FEV_2023!I1966</f>
        <v>0</v>
      </c>
      <c r="J1966" s="902">
        <f>GLOBAL_DER_FEV_2023!J1966</f>
        <v>0</v>
      </c>
      <c r="K1966" s="903"/>
      <c r="L1966" s="1177"/>
      <c r="M1966" s="1138">
        <f t="shared" si="199"/>
        <v>0</v>
      </c>
      <c r="N1966" s="1176">
        <f t="shared" si="203"/>
        <v>0</v>
      </c>
      <c r="O1966" s="905"/>
      <c r="P1966" s="36" t="str">
        <f>IF(N1964&gt;0,"xx",IF(N1964&gt;0,"xy",""))</f>
        <v/>
      </c>
      <c r="Q1966" s="317" t="str">
        <f t="shared" si="200"/>
        <v/>
      </c>
      <c r="R1966" s="317" t="str">
        <f t="shared" si="201"/>
        <v/>
      </c>
      <c r="S1966" s="317" t="str">
        <f t="shared" si="202"/>
        <v/>
      </c>
      <c r="T1966" s="317" t="str">
        <f>GLOBAL_DER_FEV_2023!S1966</f>
        <v/>
      </c>
      <c r="W1966" s="582">
        <v>0</v>
      </c>
      <c r="X1966" s="580"/>
      <c r="Y1966" s="583">
        <f>IF(GLOBAL_DER_FEV_2023!W1966=0,0,IF(GLOBAL_DER_FEV_2023!W1966&gt;0,"c","b"))</f>
        <v>0</v>
      </c>
    </row>
    <row r="1967" spans="1:25" ht="15" customHeight="1" x14ac:dyDescent="0.2">
      <c r="A1967" s="317" t="s">
        <v>147</v>
      </c>
      <c r="B1967" s="895" t="s">
        <v>147</v>
      </c>
      <c r="C1967" s="896"/>
      <c r="D1967" s="906" t="s">
        <v>336</v>
      </c>
      <c r="E1967" s="907">
        <f>GLOBAL_DER_FEV_2023!E1967</f>
        <v>40</v>
      </c>
      <c r="F1967" s="908">
        <f>GLOBAL_DER_FEV_2023!F1967</f>
        <v>0.25</v>
      </c>
      <c r="G1967" s="949">
        <f>GLOBAL_DER_FEV_2023!G1967</f>
        <v>11.370000000000001</v>
      </c>
      <c r="H1967" s="901">
        <f>GLOBAL_DER_FEV_2023!H1967</f>
        <v>0</v>
      </c>
      <c r="I1967" s="901">
        <f>GLOBAL_DER_FEV_2023!I1967</f>
        <v>0</v>
      </c>
      <c r="J1967" s="902">
        <f>GLOBAL_DER_FEV_2023!J1967</f>
        <v>0</v>
      </c>
      <c r="K1967" s="903"/>
      <c r="L1967" s="1177"/>
      <c r="M1967" s="1138">
        <f t="shared" si="199"/>
        <v>0</v>
      </c>
      <c r="N1967" s="1176">
        <f t="shared" si="203"/>
        <v>0</v>
      </c>
      <c r="O1967" s="905"/>
      <c r="P1967" s="36" t="str">
        <f>IF(N1964&gt;0,"xx",IF(N1964&gt;0,"xy",""))</f>
        <v/>
      </c>
      <c r="Q1967" s="317" t="str">
        <f t="shared" si="200"/>
        <v/>
      </c>
      <c r="R1967" s="317" t="str">
        <f t="shared" si="201"/>
        <v/>
      </c>
      <c r="S1967" s="317" t="str">
        <f t="shared" si="202"/>
        <v/>
      </c>
      <c r="T1967" s="317" t="str">
        <f>GLOBAL_DER_FEV_2023!S1967</f>
        <v/>
      </c>
      <c r="W1967" s="582">
        <v>0</v>
      </c>
      <c r="X1967" s="580"/>
      <c r="Y1967" s="583">
        <f>IF(GLOBAL_DER_FEV_2023!W1967=0,0,IF(GLOBAL_DER_FEV_2023!W1967&gt;0,"c","b"))</f>
        <v>0</v>
      </c>
    </row>
    <row r="1968" spans="1:25" ht="15" customHeight="1" x14ac:dyDescent="0.2">
      <c r="A1968" s="317">
        <v>610600</v>
      </c>
      <c r="B1968" s="895" t="s">
        <v>1830</v>
      </c>
      <c r="C1968" s="896" t="s">
        <v>184</v>
      </c>
      <c r="D1968" s="906" t="s">
        <v>2016</v>
      </c>
      <c r="E1968" s="907">
        <f>GLOBAL_DER_FEV_2023!E1968</f>
        <v>0</v>
      </c>
      <c r="F1968" s="908">
        <f>GLOBAL_DER_FEV_2023!F1968</f>
        <v>0</v>
      </c>
      <c r="G1968" s="912">
        <f>GLOBAL_DER_FEV_2023!G1968</f>
        <v>20.568768000000002</v>
      </c>
      <c r="H1968" s="901">
        <f>GLOBAL_DER_FEV_2023!H1968</f>
        <v>313.26</v>
      </c>
      <c r="I1968" s="901">
        <f>GLOBAL_DER_FEV_2023!I1968</f>
        <v>333.82876799999997</v>
      </c>
      <c r="J1968" s="902">
        <f>GLOBAL_DER_FEV_2023!J1968</f>
        <v>400.83</v>
      </c>
      <c r="K1968" s="903" t="s">
        <v>13</v>
      </c>
      <c r="L1968" s="1137"/>
      <c r="M1968" s="1138">
        <f t="shared" si="199"/>
        <v>0</v>
      </c>
      <c r="N1968" s="1176">
        <f t="shared" si="203"/>
        <v>0</v>
      </c>
      <c r="O1968" s="905"/>
      <c r="Q1968" s="317" t="str">
        <f t="shared" si="200"/>
        <v/>
      </c>
      <c r="R1968" s="317" t="str">
        <f t="shared" si="201"/>
        <v/>
      </c>
      <c r="S1968" s="317" t="str">
        <f t="shared" si="202"/>
        <v/>
      </c>
      <c r="T1968" s="317" t="str">
        <f>GLOBAL_DER_FEV_2023!S1968</f>
        <v/>
      </c>
      <c r="W1968" s="582">
        <v>0</v>
      </c>
      <c r="X1968" s="580"/>
      <c r="Y1968" s="583">
        <f>IF(GLOBAL_DER_FEV_2023!W1968=0,0,IF(GLOBAL_DER_FEV_2023!W1968&gt;0,"c","b"))</f>
        <v>0</v>
      </c>
    </row>
    <row r="1969" spans="1:25" ht="15" customHeight="1" x14ac:dyDescent="0.2">
      <c r="A1969" s="317" t="s">
        <v>147</v>
      </c>
      <c r="B1969" s="895" t="s">
        <v>147</v>
      </c>
      <c r="C1969" s="896"/>
      <c r="D1969" s="906" t="s">
        <v>190</v>
      </c>
      <c r="E1969" s="907">
        <f>GLOBAL_DER_FEV_2023!E1969</f>
        <v>308</v>
      </c>
      <c r="F1969" s="908">
        <f>GLOBAL_DER_FEV_2023!F1969</f>
        <v>2.5999999999999999E-3</v>
      </c>
      <c r="G1969" s="909">
        <f>GLOBAL_DER_FEV_2023!G1969</f>
        <v>0.64495599999999997</v>
      </c>
      <c r="H1969" s="901">
        <f>GLOBAL_DER_FEV_2023!H1969</f>
        <v>0</v>
      </c>
      <c r="I1969" s="901">
        <f>GLOBAL_DER_FEV_2023!I1969</f>
        <v>0</v>
      </c>
      <c r="J1969" s="902">
        <f>GLOBAL_DER_FEV_2023!J1969</f>
        <v>0</v>
      </c>
      <c r="K1969" s="903"/>
      <c r="L1969" s="1177"/>
      <c r="M1969" s="1138">
        <f t="shared" si="199"/>
        <v>0</v>
      </c>
      <c r="N1969" s="1176">
        <f t="shared" si="203"/>
        <v>0</v>
      </c>
      <c r="O1969" s="905"/>
      <c r="P1969" s="36" t="str">
        <f>IF(N1968&gt;0,"xx",IF(N1968&gt;0,"xy",""))</f>
        <v/>
      </c>
      <c r="Q1969" s="317" t="str">
        <f t="shared" si="200"/>
        <v/>
      </c>
      <c r="R1969" s="317" t="str">
        <f t="shared" si="201"/>
        <v/>
      </c>
      <c r="S1969" s="317" t="str">
        <f t="shared" si="202"/>
        <v/>
      </c>
      <c r="T1969" s="317" t="str">
        <f>GLOBAL_DER_FEV_2023!S1969</f>
        <v/>
      </c>
      <c r="W1969" s="582">
        <v>0</v>
      </c>
      <c r="X1969" s="580"/>
      <c r="Y1969" s="583">
        <f>IF(GLOBAL_DER_FEV_2023!W1969=0,0,IF(GLOBAL_DER_FEV_2023!W1969&gt;0,"c","b"))</f>
        <v>0</v>
      </c>
    </row>
    <row r="1970" spans="1:25" ht="15" customHeight="1" x14ac:dyDescent="0.2">
      <c r="A1970" s="317" t="s">
        <v>147</v>
      </c>
      <c r="B1970" s="895" t="s">
        <v>147</v>
      </c>
      <c r="C1970" s="896"/>
      <c r="D1970" s="906" t="s">
        <v>229</v>
      </c>
      <c r="E1970" s="907">
        <f>GLOBAL_DER_FEV_2023!E1970</f>
        <v>150</v>
      </c>
      <c r="F1970" s="908">
        <f>GLOBAL_DER_FEV_2023!F1970</f>
        <v>1.34E-2</v>
      </c>
      <c r="G1970" s="949">
        <f>GLOBAL_DER_FEV_2023!G1970</f>
        <v>2.1866120000000002</v>
      </c>
      <c r="H1970" s="901">
        <f>GLOBAL_DER_FEV_2023!H1970</f>
        <v>0</v>
      </c>
      <c r="I1970" s="901">
        <f>GLOBAL_DER_FEV_2023!I1970</f>
        <v>0</v>
      </c>
      <c r="J1970" s="902">
        <f>GLOBAL_DER_FEV_2023!J1970</f>
        <v>0</v>
      </c>
      <c r="K1970" s="903"/>
      <c r="L1970" s="1177"/>
      <c r="M1970" s="1138">
        <f t="shared" si="199"/>
        <v>0</v>
      </c>
      <c r="N1970" s="1176">
        <f t="shared" si="203"/>
        <v>0</v>
      </c>
      <c r="O1970" s="905"/>
      <c r="P1970" s="36" t="str">
        <f>IF(N1968&gt;0,"xx",IF(N1968&gt;0,"xy",""))</f>
        <v/>
      </c>
      <c r="Q1970" s="317" t="str">
        <f t="shared" si="200"/>
        <v/>
      </c>
      <c r="R1970" s="317" t="str">
        <f t="shared" si="201"/>
        <v/>
      </c>
      <c r="S1970" s="317" t="str">
        <f t="shared" si="202"/>
        <v/>
      </c>
      <c r="T1970" s="317" t="str">
        <f>GLOBAL_DER_FEV_2023!S1970</f>
        <v/>
      </c>
      <c r="W1970" s="582">
        <v>0</v>
      </c>
      <c r="X1970" s="580"/>
      <c r="Y1970" s="583">
        <f>IF(GLOBAL_DER_FEV_2023!W1970=0,0,IF(GLOBAL_DER_FEV_2023!W1970&gt;0,"c","b"))</f>
        <v>0</v>
      </c>
    </row>
    <row r="1971" spans="1:25" ht="15" customHeight="1" x14ac:dyDescent="0.2">
      <c r="A1971" s="317" t="s">
        <v>147</v>
      </c>
      <c r="B1971" s="895" t="s">
        <v>147</v>
      </c>
      <c r="C1971" s="896"/>
      <c r="D1971" s="906" t="s">
        <v>336</v>
      </c>
      <c r="E1971" s="907">
        <f>GLOBAL_DER_FEV_2023!E1971</f>
        <v>40</v>
      </c>
      <c r="F1971" s="908">
        <f>GLOBAL_DER_FEV_2023!F1971</f>
        <v>0.39</v>
      </c>
      <c r="G1971" s="949">
        <f>GLOBAL_DER_FEV_2023!G1971</f>
        <v>17.737200000000001</v>
      </c>
      <c r="H1971" s="901">
        <f>GLOBAL_DER_FEV_2023!H1971</f>
        <v>0</v>
      </c>
      <c r="I1971" s="901">
        <f>GLOBAL_DER_FEV_2023!I1971</f>
        <v>0</v>
      </c>
      <c r="J1971" s="902">
        <f>GLOBAL_DER_FEV_2023!J1971</f>
        <v>0</v>
      </c>
      <c r="K1971" s="903"/>
      <c r="L1971" s="1177"/>
      <c r="M1971" s="1138">
        <f t="shared" si="199"/>
        <v>0</v>
      </c>
      <c r="N1971" s="1176">
        <f t="shared" si="203"/>
        <v>0</v>
      </c>
      <c r="O1971" s="905"/>
      <c r="P1971" s="36" t="str">
        <f>IF(N1968&gt;0,"xx",IF(N1968&gt;0,"xy",""))</f>
        <v/>
      </c>
      <c r="Q1971" s="317" t="str">
        <f t="shared" si="200"/>
        <v/>
      </c>
      <c r="R1971" s="317" t="str">
        <f t="shared" si="201"/>
        <v/>
      </c>
      <c r="S1971" s="317" t="str">
        <f t="shared" si="202"/>
        <v/>
      </c>
      <c r="T1971" s="317" t="str">
        <f>GLOBAL_DER_FEV_2023!S1971</f>
        <v/>
      </c>
      <c r="W1971" s="582">
        <v>0</v>
      </c>
      <c r="X1971" s="580"/>
      <c r="Y1971" s="583">
        <f>IF(GLOBAL_DER_FEV_2023!W1971=0,0,IF(GLOBAL_DER_FEV_2023!W1971&gt;0,"c","b"))</f>
        <v>0</v>
      </c>
    </row>
    <row r="1972" spans="1:25" ht="15" customHeight="1" x14ac:dyDescent="0.2">
      <c r="A1972" s="317">
        <v>610800</v>
      </c>
      <c r="B1972" s="895" t="s">
        <v>1834</v>
      </c>
      <c r="C1972" s="896" t="s">
        <v>184</v>
      </c>
      <c r="D1972" s="906" t="s">
        <v>2017</v>
      </c>
      <c r="E1972" s="907">
        <f>GLOBAL_DER_FEV_2023!E1972</f>
        <v>0</v>
      </c>
      <c r="F1972" s="908">
        <f>GLOBAL_DER_FEV_2023!F1972</f>
        <v>0</v>
      </c>
      <c r="G1972" s="912">
        <f>GLOBAL_DER_FEV_2023!G1972</f>
        <v>27.287792000000003</v>
      </c>
      <c r="H1972" s="901">
        <f>GLOBAL_DER_FEV_2023!H1972</f>
        <v>514.41999999999996</v>
      </c>
      <c r="I1972" s="901">
        <f>GLOBAL_DER_FEV_2023!I1972</f>
        <v>541.70779199999993</v>
      </c>
      <c r="J1972" s="902">
        <f>GLOBAL_DER_FEV_2023!J1972</f>
        <v>650.42999999999995</v>
      </c>
      <c r="K1972" s="903" t="s">
        <v>13</v>
      </c>
      <c r="L1972" s="1137"/>
      <c r="M1972" s="1138">
        <f t="shared" si="199"/>
        <v>0</v>
      </c>
      <c r="N1972" s="1176">
        <f t="shared" si="203"/>
        <v>0</v>
      </c>
      <c r="O1972" s="905"/>
      <c r="Q1972" s="317" t="str">
        <f t="shared" si="200"/>
        <v/>
      </c>
      <c r="R1972" s="317" t="str">
        <f t="shared" si="201"/>
        <v/>
      </c>
      <c r="S1972" s="317" t="str">
        <f t="shared" si="202"/>
        <v/>
      </c>
      <c r="T1972" s="317" t="str">
        <f>GLOBAL_DER_FEV_2023!S1972</f>
        <v/>
      </c>
      <c r="W1972" s="582">
        <v>0</v>
      </c>
      <c r="X1972" s="580"/>
      <c r="Y1972" s="583">
        <f>IF(GLOBAL_DER_FEV_2023!W1972=0,0,IF(GLOBAL_DER_FEV_2023!W1972&gt;0,"c","b"))</f>
        <v>0</v>
      </c>
    </row>
    <row r="1973" spans="1:25" ht="15" customHeight="1" x14ac:dyDescent="0.2">
      <c r="A1973" s="317" t="s">
        <v>147</v>
      </c>
      <c r="B1973" s="895" t="s">
        <v>147</v>
      </c>
      <c r="C1973" s="896"/>
      <c r="D1973" s="906" t="s">
        <v>190</v>
      </c>
      <c r="E1973" s="907">
        <f>GLOBAL_DER_FEV_2023!E1973</f>
        <v>308</v>
      </c>
      <c r="F1973" s="908">
        <f>GLOBAL_DER_FEV_2023!F1973</f>
        <v>2.8999999999999998E-3</v>
      </c>
      <c r="G1973" s="909">
        <f>GLOBAL_DER_FEV_2023!G1973</f>
        <v>0.71937399999999996</v>
      </c>
      <c r="H1973" s="901">
        <f>GLOBAL_DER_FEV_2023!H1973</f>
        <v>0</v>
      </c>
      <c r="I1973" s="901">
        <f>GLOBAL_DER_FEV_2023!I1973</f>
        <v>0</v>
      </c>
      <c r="J1973" s="902">
        <f>GLOBAL_DER_FEV_2023!J1973</f>
        <v>0</v>
      </c>
      <c r="K1973" s="903"/>
      <c r="L1973" s="1177"/>
      <c r="M1973" s="1138">
        <f t="shared" si="199"/>
        <v>0</v>
      </c>
      <c r="N1973" s="1176">
        <f t="shared" si="203"/>
        <v>0</v>
      </c>
      <c r="O1973" s="905"/>
      <c r="P1973" s="36" t="str">
        <f>IF(N1972&gt;0,"xx",IF(N1972&gt;0,"xy",""))</f>
        <v/>
      </c>
      <c r="Q1973" s="317" t="str">
        <f t="shared" si="200"/>
        <v/>
      </c>
      <c r="R1973" s="317" t="str">
        <f t="shared" si="201"/>
        <v/>
      </c>
      <c r="S1973" s="317" t="str">
        <f t="shared" si="202"/>
        <v/>
      </c>
      <c r="T1973" s="317" t="str">
        <f>GLOBAL_DER_FEV_2023!S1973</f>
        <v/>
      </c>
      <c r="W1973" s="582">
        <v>0</v>
      </c>
      <c r="X1973" s="580"/>
      <c r="Y1973" s="583">
        <f>IF(GLOBAL_DER_FEV_2023!W1973=0,0,IF(GLOBAL_DER_FEV_2023!W1973&gt;0,"c","b"))</f>
        <v>0</v>
      </c>
    </row>
    <row r="1974" spans="1:25" ht="15" customHeight="1" x14ac:dyDescent="0.2">
      <c r="A1974" s="317" t="s">
        <v>147</v>
      </c>
      <c r="B1974" s="895" t="s">
        <v>147</v>
      </c>
      <c r="C1974" s="896"/>
      <c r="D1974" s="906" t="s">
        <v>229</v>
      </c>
      <c r="E1974" s="907">
        <f>GLOBAL_DER_FEV_2023!E1974</f>
        <v>150</v>
      </c>
      <c r="F1974" s="908">
        <f>GLOBAL_DER_FEV_2023!F1974</f>
        <v>1.5100000000000001E-2</v>
      </c>
      <c r="G1974" s="949">
        <f>GLOBAL_DER_FEV_2023!G1974</f>
        <v>2.4640180000000003</v>
      </c>
      <c r="H1974" s="901">
        <f>GLOBAL_DER_FEV_2023!H1974</f>
        <v>0</v>
      </c>
      <c r="I1974" s="901">
        <f>GLOBAL_DER_FEV_2023!I1974</f>
        <v>0</v>
      </c>
      <c r="J1974" s="902">
        <f>GLOBAL_DER_FEV_2023!J1974</f>
        <v>0</v>
      </c>
      <c r="K1974" s="903"/>
      <c r="L1974" s="1177"/>
      <c r="M1974" s="1138">
        <f t="shared" si="199"/>
        <v>0</v>
      </c>
      <c r="N1974" s="1176">
        <f t="shared" si="203"/>
        <v>0</v>
      </c>
      <c r="O1974" s="905"/>
      <c r="P1974" s="36" t="str">
        <f>IF(N1972&gt;0,"xx",IF(N1972&gt;0,"xy",""))</f>
        <v/>
      </c>
      <c r="Q1974" s="317" t="str">
        <f t="shared" si="200"/>
        <v/>
      </c>
      <c r="R1974" s="317" t="str">
        <f t="shared" si="201"/>
        <v/>
      </c>
      <c r="S1974" s="317" t="str">
        <f t="shared" si="202"/>
        <v/>
      </c>
      <c r="T1974" s="317" t="str">
        <f>GLOBAL_DER_FEV_2023!S1974</f>
        <v/>
      </c>
      <c r="W1974" s="582">
        <v>0</v>
      </c>
      <c r="X1974" s="580"/>
      <c r="Y1974" s="583">
        <f>IF(GLOBAL_DER_FEV_2023!W1974=0,0,IF(GLOBAL_DER_FEV_2023!W1974&gt;0,"c","b"))</f>
        <v>0</v>
      </c>
    </row>
    <row r="1975" spans="1:25" ht="15" customHeight="1" x14ac:dyDescent="0.2">
      <c r="A1975" s="317" t="s">
        <v>147</v>
      </c>
      <c r="B1975" s="895" t="s">
        <v>147</v>
      </c>
      <c r="C1975" s="896"/>
      <c r="D1975" s="906" t="s">
        <v>336</v>
      </c>
      <c r="E1975" s="907">
        <f>GLOBAL_DER_FEV_2023!E1975</f>
        <v>40</v>
      </c>
      <c r="F1975" s="908">
        <f>GLOBAL_DER_FEV_2023!F1975</f>
        <v>0.53</v>
      </c>
      <c r="G1975" s="949">
        <f>GLOBAL_DER_FEV_2023!G1975</f>
        <v>24.104400000000002</v>
      </c>
      <c r="H1975" s="901">
        <f>GLOBAL_DER_FEV_2023!H1975</f>
        <v>0</v>
      </c>
      <c r="I1975" s="901">
        <f>GLOBAL_DER_FEV_2023!I1975</f>
        <v>0</v>
      </c>
      <c r="J1975" s="902">
        <f>GLOBAL_DER_FEV_2023!J1975</f>
        <v>0</v>
      </c>
      <c r="K1975" s="903"/>
      <c r="L1975" s="1177"/>
      <c r="M1975" s="1138">
        <f t="shared" si="199"/>
        <v>0</v>
      </c>
      <c r="N1975" s="1176">
        <f t="shared" si="203"/>
        <v>0</v>
      </c>
      <c r="O1975" s="905"/>
      <c r="P1975" s="36" t="str">
        <f>IF(N1972&gt;0,"xx",IF(N1972&gt;0,"xy",""))</f>
        <v/>
      </c>
      <c r="Q1975" s="317" t="str">
        <f t="shared" si="200"/>
        <v/>
      </c>
      <c r="R1975" s="317" t="str">
        <f t="shared" si="201"/>
        <v/>
      </c>
      <c r="S1975" s="317" t="str">
        <f t="shared" si="202"/>
        <v/>
      </c>
      <c r="T1975" s="317" t="str">
        <f>GLOBAL_DER_FEV_2023!S1975</f>
        <v/>
      </c>
      <c r="W1975" s="582">
        <v>0</v>
      </c>
      <c r="X1975" s="580"/>
      <c r="Y1975" s="583">
        <f>IF(GLOBAL_DER_FEV_2023!W1975=0,0,IF(GLOBAL_DER_FEV_2023!W1975&gt;0,"c","b"))</f>
        <v>0</v>
      </c>
    </row>
    <row r="1976" spans="1:25" ht="15" customHeight="1" x14ac:dyDescent="0.2">
      <c r="A1976" s="317">
        <v>610800</v>
      </c>
      <c r="B1976" s="895" t="s">
        <v>1835</v>
      </c>
      <c r="C1976" s="896" t="s">
        <v>184</v>
      </c>
      <c r="D1976" s="906" t="s">
        <v>2018</v>
      </c>
      <c r="E1976" s="907">
        <f>GLOBAL_DER_FEV_2023!E1976</f>
        <v>0</v>
      </c>
      <c r="F1976" s="908">
        <f>GLOBAL_DER_FEV_2023!F1976</f>
        <v>0</v>
      </c>
      <c r="G1976" s="912">
        <f>GLOBAL_DER_FEV_2023!G1976</f>
        <v>34.006816000000008</v>
      </c>
      <c r="H1976" s="901">
        <f>GLOBAL_DER_FEV_2023!H1976</f>
        <v>514.41999999999996</v>
      </c>
      <c r="I1976" s="901">
        <f>GLOBAL_DER_FEV_2023!I1976</f>
        <v>548.42681599999992</v>
      </c>
      <c r="J1976" s="902">
        <f>GLOBAL_DER_FEV_2023!J1976</f>
        <v>658.5</v>
      </c>
      <c r="K1976" s="903" t="s">
        <v>13</v>
      </c>
      <c r="L1976" s="1137"/>
      <c r="M1976" s="1138">
        <f t="shared" si="199"/>
        <v>0</v>
      </c>
      <c r="N1976" s="1176">
        <f t="shared" si="203"/>
        <v>0</v>
      </c>
      <c r="O1976" s="905"/>
      <c r="Q1976" s="317" t="str">
        <f t="shared" si="200"/>
        <v/>
      </c>
      <c r="R1976" s="317" t="str">
        <f t="shared" si="201"/>
        <v/>
      </c>
      <c r="S1976" s="317" t="str">
        <f t="shared" si="202"/>
        <v/>
      </c>
      <c r="T1976" s="317" t="str">
        <f>GLOBAL_DER_FEV_2023!S1976</f>
        <v/>
      </c>
      <c r="W1976" s="582">
        <v>0</v>
      </c>
      <c r="X1976" s="580"/>
      <c r="Y1976" s="583">
        <f>IF(GLOBAL_DER_FEV_2023!W1976=0,0,IF(GLOBAL_DER_FEV_2023!W1976&gt;0,"c","b"))</f>
        <v>0</v>
      </c>
    </row>
    <row r="1977" spans="1:25" ht="15" customHeight="1" x14ac:dyDescent="0.2">
      <c r="A1977" s="317" t="s">
        <v>147</v>
      </c>
      <c r="B1977" s="895" t="s">
        <v>147</v>
      </c>
      <c r="C1977" s="896"/>
      <c r="D1977" s="906" t="s">
        <v>190</v>
      </c>
      <c r="E1977" s="907">
        <f>GLOBAL_DER_FEV_2023!E1977</f>
        <v>308</v>
      </c>
      <c r="F1977" s="908">
        <f>GLOBAL_DER_FEV_2023!F1977</f>
        <v>3.2000000000000002E-3</v>
      </c>
      <c r="G1977" s="909">
        <f>GLOBAL_DER_FEV_2023!G1977</f>
        <v>0.79379200000000005</v>
      </c>
      <c r="H1977" s="901">
        <f>GLOBAL_DER_FEV_2023!H1977</f>
        <v>0</v>
      </c>
      <c r="I1977" s="901">
        <f>GLOBAL_DER_FEV_2023!I1977</f>
        <v>0</v>
      </c>
      <c r="J1977" s="902">
        <f>GLOBAL_DER_FEV_2023!J1977</f>
        <v>0</v>
      </c>
      <c r="K1977" s="903"/>
      <c r="L1977" s="1177"/>
      <c r="M1977" s="1138">
        <f t="shared" si="199"/>
        <v>0</v>
      </c>
      <c r="N1977" s="1176">
        <f t="shared" si="203"/>
        <v>0</v>
      </c>
      <c r="O1977" s="905"/>
      <c r="P1977" s="36" t="str">
        <f>IF(N1976&gt;0,"xx",IF(N1976&gt;0,"xy",""))</f>
        <v/>
      </c>
      <c r="Q1977" s="317" t="str">
        <f t="shared" si="200"/>
        <v/>
      </c>
      <c r="R1977" s="317" t="str">
        <f t="shared" si="201"/>
        <v/>
      </c>
      <c r="S1977" s="317" t="str">
        <f t="shared" si="202"/>
        <v/>
      </c>
      <c r="T1977" s="317" t="str">
        <f>GLOBAL_DER_FEV_2023!S1977</f>
        <v/>
      </c>
      <c r="W1977" s="582">
        <v>0</v>
      </c>
      <c r="X1977" s="580"/>
      <c r="Y1977" s="583">
        <f>IF(GLOBAL_DER_FEV_2023!W1977=0,0,IF(GLOBAL_DER_FEV_2023!W1977&gt;0,"c","b"))</f>
        <v>0</v>
      </c>
    </row>
    <row r="1978" spans="1:25" ht="15" customHeight="1" x14ac:dyDescent="0.2">
      <c r="A1978" s="317" t="s">
        <v>147</v>
      </c>
      <c r="B1978" s="895" t="s">
        <v>147</v>
      </c>
      <c r="C1978" s="896"/>
      <c r="D1978" s="906" t="s">
        <v>229</v>
      </c>
      <c r="E1978" s="907">
        <f>GLOBAL_DER_FEV_2023!E1978</f>
        <v>150</v>
      </c>
      <c r="F1978" s="908">
        <f>GLOBAL_DER_FEV_2023!F1978</f>
        <v>1.6799999999999999E-2</v>
      </c>
      <c r="G1978" s="949">
        <f>GLOBAL_DER_FEV_2023!G1978</f>
        <v>2.7414239999999999</v>
      </c>
      <c r="H1978" s="901">
        <f>GLOBAL_DER_FEV_2023!H1978</f>
        <v>0</v>
      </c>
      <c r="I1978" s="901">
        <f>GLOBAL_DER_FEV_2023!I1978</f>
        <v>0</v>
      </c>
      <c r="J1978" s="902">
        <f>GLOBAL_DER_FEV_2023!J1978</f>
        <v>0</v>
      </c>
      <c r="K1978" s="903"/>
      <c r="L1978" s="1177"/>
      <c r="M1978" s="1138">
        <f t="shared" si="199"/>
        <v>0</v>
      </c>
      <c r="N1978" s="1176">
        <f t="shared" si="203"/>
        <v>0</v>
      </c>
      <c r="O1978" s="905"/>
      <c r="P1978" s="36" t="str">
        <f>IF(N1976&gt;0,"xx",IF(N1976&gt;0,"xy",""))</f>
        <v/>
      </c>
      <c r="Q1978" s="317" t="str">
        <f t="shared" si="200"/>
        <v/>
      </c>
      <c r="R1978" s="317" t="str">
        <f t="shared" si="201"/>
        <v/>
      </c>
      <c r="S1978" s="317" t="str">
        <f t="shared" si="202"/>
        <v/>
      </c>
      <c r="T1978" s="317" t="str">
        <f>GLOBAL_DER_FEV_2023!S1978</f>
        <v/>
      </c>
      <c r="W1978" s="582">
        <v>0</v>
      </c>
      <c r="X1978" s="580"/>
      <c r="Y1978" s="583">
        <f>IF(GLOBAL_DER_FEV_2023!W1978=0,0,IF(GLOBAL_DER_FEV_2023!W1978&gt;0,"c","b"))</f>
        <v>0</v>
      </c>
    </row>
    <row r="1979" spans="1:25" ht="15" customHeight="1" x14ac:dyDescent="0.2">
      <c r="A1979" s="317" t="s">
        <v>147</v>
      </c>
      <c r="B1979" s="895" t="s">
        <v>147</v>
      </c>
      <c r="C1979" s="896"/>
      <c r="D1979" s="906" t="s">
        <v>336</v>
      </c>
      <c r="E1979" s="907">
        <f>GLOBAL_DER_FEV_2023!E1979</f>
        <v>40</v>
      </c>
      <c r="F1979" s="908">
        <f>GLOBAL_DER_FEV_2023!F1979</f>
        <v>0.67</v>
      </c>
      <c r="G1979" s="949">
        <f>GLOBAL_DER_FEV_2023!G1979</f>
        <v>30.471600000000006</v>
      </c>
      <c r="H1979" s="901">
        <f>GLOBAL_DER_FEV_2023!H1979</f>
        <v>0</v>
      </c>
      <c r="I1979" s="901">
        <f>GLOBAL_DER_FEV_2023!I1979</f>
        <v>0</v>
      </c>
      <c r="J1979" s="902">
        <f>GLOBAL_DER_FEV_2023!J1979</f>
        <v>0</v>
      </c>
      <c r="K1979" s="903"/>
      <c r="L1979" s="1177"/>
      <c r="M1979" s="1138">
        <f t="shared" si="199"/>
        <v>0</v>
      </c>
      <c r="N1979" s="1176">
        <f t="shared" si="203"/>
        <v>0</v>
      </c>
      <c r="O1979" s="905"/>
      <c r="P1979" s="36" t="str">
        <f>IF(N1976&gt;0,"xx",IF(N1976&gt;0,"xy",""))</f>
        <v/>
      </c>
      <c r="Q1979" s="317" t="str">
        <f t="shared" si="200"/>
        <v/>
      </c>
      <c r="R1979" s="317" t="str">
        <f t="shared" si="201"/>
        <v/>
      </c>
      <c r="S1979" s="317" t="str">
        <f t="shared" si="202"/>
        <v/>
      </c>
      <c r="T1979" s="317" t="str">
        <f>GLOBAL_DER_FEV_2023!S1979</f>
        <v/>
      </c>
      <c r="W1979" s="582">
        <v>0</v>
      </c>
      <c r="X1979" s="580"/>
      <c r="Y1979" s="583">
        <f>IF(GLOBAL_DER_FEV_2023!W1979=0,0,IF(GLOBAL_DER_FEV_2023!W1979&gt;0,"c","b"))</f>
        <v>0</v>
      </c>
    </row>
    <row r="1980" spans="1:25" ht="15" customHeight="1" x14ac:dyDescent="0.2">
      <c r="A1980" s="317">
        <v>611000</v>
      </c>
      <c r="B1980" s="895" t="s">
        <v>1842</v>
      </c>
      <c r="C1980" s="896" t="s">
        <v>184</v>
      </c>
      <c r="D1980" s="906" t="s">
        <v>2019</v>
      </c>
      <c r="E1980" s="907">
        <f>GLOBAL_DER_FEV_2023!E1980</f>
        <v>0</v>
      </c>
      <c r="F1980" s="908">
        <f>GLOBAL_DER_FEV_2023!F1980</f>
        <v>0</v>
      </c>
      <c r="G1980" s="912">
        <f>GLOBAL_DER_FEV_2023!G1980</f>
        <v>42.394820000000003</v>
      </c>
      <c r="H1980" s="901">
        <f>GLOBAL_DER_FEV_2023!H1980</f>
        <v>803.98</v>
      </c>
      <c r="I1980" s="901">
        <f>GLOBAL_DER_FEV_2023!I1980</f>
        <v>846.37482</v>
      </c>
      <c r="J1980" s="902">
        <f>GLOBAL_DER_FEV_2023!J1980</f>
        <v>1016.24</v>
      </c>
      <c r="K1980" s="903" t="s">
        <v>13</v>
      </c>
      <c r="L1980" s="1137"/>
      <c r="M1980" s="1138">
        <f t="shared" si="199"/>
        <v>0</v>
      </c>
      <c r="N1980" s="1176">
        <f t="shared" si="203"/>
        <v>0</v>
      </c>
      <c r="O1980" s="905"/>
      <c r="Q1980" s="317" t="str">
        <f t="shared" si="200"/>
        <v/>
      </c>
      <c r="R1980" s="317" t="str">
        <f t="shared" si="201"/>
        <v/>
      </c>
      <c r="S1980" s="317" t="str">
        <f t="shared" si="202"/>
        <v/>
      </c>
      <c r="T1980" s="317" t="str">
        <f>GLOBAL_DER_FEV_2023!S1980</f>
        <v/>
      </c>
      <c r="W1980" s="582">
        <v>0</v>
      </c>
      <c r="X1980" s="580"/>
      <c r="Y1980" s="583">
        <f>IF(GLOBAL_DER_FEV_2023!W1980=0,0,IF(GLOBAL_DER_FEV_2023!W1980&gt;0,"c","b"))</f>
        <v>0</v>
      </c>
    </row>
    <row r="1981" spans="1:25" ht="15" customHeight="1" x14ac:dyDescent="0.2">
      <c r="A1981" s="317" t="s">
        <v>147</v>
      </c>
      <c r="B1981" s="895" t="s">
        <v>147</v>
      </c>
      <c r="C1981" s="896"/>
      <c r="D1981" s="906" t="s">
        <v>190</v>
      </c>
      <c r="E1981" s="907">
        <f>GLOBAL_DER_FEV_2023!E1981</f>
        <v>308</v>
      </c>
      <c r="F1981" s="908">
        <f>GLOBAL_DER_FEV_2023!F1981</f>
        <v>4.0000000000000001E-3</v>
      </c>
      <c r="G1981" s="909">
        <f>GLOBAL_DER_FEV_2023!G1981</f>
        <v>0.99224000000000001</v>
      </c>
      <c r="H1981" s="901">
        <f>GLOBAL_DER_FEV_2023!H1981</f>
        <v>0</v>
      </c>
      <c r="I1981" s="901">
        <f>GLOBAL_DER_FEV_2023!I1981</f>
        <v>0</v>
      </c>
      <c r="J1981" s="902">
        <f>GLOBAL_DER_FEV_2023!J1981</f>
        <v>0</v>
      </c>
      <c r="K1981" s="903"/>
      <c r="L1981" s="1177"/>
      <c r="M1981" s="1138">
        <f t="shared" si="199"/>
        <v>0</v>
      </c>
      <c r="N1981" s="1176">
        <f t="shared" si="203"/>
        <v>0</v>
      </c>
      <c r="O1981" s="905"/>
      <c r="P1981" s="36" t="str">
        <f>IF(N1980&gt;0,"xx",IF(N1980&gt;0,"xy",""))</f>
        <v/>
      </c>
      <c r="Q1981" s="317" t="str">
        <f t="shared" si="200"/>
        <v/>
      </c>
      <c r="R1981" s="317" t="str">
        <f t="shared" si="201"/>
        <v/>
      </c>
      <c r="S1981" s="317" t="str">
        <f t="shared" si="202"/>
        <v/>
      </c>
      <c r="T1981" s="317" t="str">
        <f>GLOBAL_DER_FEV_2023!S1981</f>
        <v/>
      </c>
      <c r="W1981" s="582">
        <v>0</v>
      </c>
      <c r="X1981" s="580"/>
      <c r="Y1981" s="583">
        <f>IF(GLOBAL_DER_FEV_2023!W1981=0,0,IF(GLOBAL_DER_FEV_2023!W1981&gt;0,"c","b"))</f>
        <v>0</v>
      </c>
    </row>
    <row r="1982" spans="1:25" ht="15" customHeight="1" x14ac:dyDescent="0.2">
      <c r="A1982" s="317" t="s">
        <v>147</v>
      </c>
      <c r="B1982" s="895" t="s">
        <v>147</v>
      </c>
      <c r="C1982" s="896"/>
      <c r="D1982" s="906" t="s">
        <v>229</v>
      </c>
      <c r="E1982" s="907">
        <f>GLOBAL_DER_FEV_2023!E1982</f>
        <v>150</v>
      </c>
      <c r="F1982" s="908">
        <f>GLOBAL_DER_FEV_2023!F1982</f>
        <v>2.1000000000000001E-2</v>
      </c>
      <c r="G1982" s="949">
        <f>GLOBAL_DER_FEV_2023!G1982</f>
        <v>3.4267800000000004</v>
      </c>
      <c r="H1982" s="901">
        <f>GLOBAL_DER_FEV_2023!H1982</f>
        <v>0</v>
      </c>
      <c r="I1982" s="901">
        <f>GLOBAL_DER_FEV_2023!I1982</f>
        <v>0</v>
      </c>
      <c r="J1982" s="902">
        <f>GLOBAL_DER_FEV_2023!J1982</f>
        <v>0</v>
      </c>
      <c r="K1982" s="903"/>
      <c r="L1982" s="1177"/>
      <c r="M1982" s="1138">
        <f t="shared" si="199"/>
        <v>0</v>
      </c>
      <c r="N1982" s="1176">
        <f t="shared" si="203"/>
        <v>0</v>
      </c>
      <c r="O1982" s="905"/>
      <c r="P1982" s="36" t="str">
        <f>IF(N1980&gt;0,"xx",IF(N1980&gt;0,"xy",""))</f>
        <v/>
      </c>
      <c r="Q1982" s="317" t="str">
        <f t="shared" si="200"/>
        <v/>
      </c>
      <c r="R1982" s="317" t="str">
        <f t="shared" si="201"/>
        <v/>
      </c>
      <c r="S1982" s="317" t="str">
        <f t="shared" si="202"/>
        <v/>
      </c>
      <c r="T1982" s="317" t="str">
        <f>GLOBAL_DER_FEV_2023!S1982</f>
        <v/>
      </c>
      <c r="W1982" s="582">
        <v>0</v>
      </c>
      <c r="X1982" s="580"/>
      <c r="Y1982" s="583">
        <f>IF(GLOBAL_DER_FEV_2023!W1982=0,0,IF(GLOBAL_DER_FEV_2023!W1982&gt;0,"c","b"))</f>
        <v>0</v>
      </c>
    </row>
    <row r="1983" spans="1:25" ht="15" customHeight="1" x14ac:dyDescent="0.2">
      <c r="A1983" s="317" t="s">
        <v>147</v>
      </c>
      <c r="B1983" s="895" t="s">
        <v>147</v>
      </c>
      <c r="C1983" s="896"/>
      <c r="D1983" s="906" t="s">
        <v>336</v>
      </c>
      <c r="E1983" s="907">
        <f>GLOBAL_DER_FEV_2023!E1983</f>
        <v>40</v>
      </c>
      <c r="F1983" s="908">
        <f>GLOBAL_DER_FEV_2023!F1983</f>
        <v>0.83499999999999996</v>
      </c>
      <c r="G1983" s="949">
        <f>GLOBAL_DER_FEV_2023!G1983</f>
        <v>37.9758</v>
      </c>
      <c r="H1983" s="901">
        <f>GLOBAL_DER_FEV_2023!H1983</f>
        <v>0</v>
      </c>
      <c r="I1983" s="901">
        <f>GLOBAL_DER_FEV_2023!I1983</f>
        <v>0</v>
      </c>
      <c r="J1983" s="902">
        <f>GLOBAL_DER_FEV_2023!J1983</f>
        <v>0</v>
      </c>
      <c r="K1983" s="903"/>
      <c r="L1983" s="1177"/>
      <c r="M1983" s="1138">
        <f t="shared" si="199"/>
        <v>0</v>
      </c>
      <c r="N1983" s="1176">
        <f t="shared" si="203"/>
        <v>0</v>
      </c>
      <c r="O1983" s="905"/>
      <c r="P1983" s="36" t="str">
        <f>IF(N1980&gt;0,"xx",IF(N1980&gt;0,"xy",""))</f>
        <v/>
      </c>
      <c r="Q1983" s="317" t="str">
        <f t="shared" si="200"/>
        <v/>
      </c>
      <c r="R1983" s="317" t="str">
        <f t="shared" si="201"/>
        <v/>
      </c>
      <c r="S1983" s="317" t="str">
        <f t="shared" si="202"/>
        <v/>
      </c>
      <c r="T1983" s="317" t="str">
        <f>GLOBAL_DER_FEV_2023!S1983</f>
        <v/>
      </c>
      <c r="W1983" s="582">
        <v>0</v>
      </c>
      <c r="X1983" s="580"/>
      <c r="Y1983" s="583">
        <f>IF(GLOBAL_DER_FEV_2023!W1983=0,0,IF(GLOBAL_DER_FEV_2023!W1983&gt;0,"c","b"))</f>
        <v>0</v>
      </c>
    </row>
    <row r="1984" spans="1:25" ht="15" customHeight="1" x14ac:dyDescent="0.2">
      <c r="A1984" s="317">
        <v>611000</v>
      </c>
      <c r="B1984" s="895" t="s">
        <v>1843</v>
      </c>
      <c r="C1984" s="896" t="s">
        <v>184</v>
      </c>
      <c r="D1984" s="906" t="s">
        <v>2020</v>
      </c>
      <c r="E1984" s="907">
        <f>GLOBAL_DER_FEV_2023!E1984</f>
        <v>0</v>
      </c>
      <c r="F1984" s="908">
        <f>GLOBAL_DER_FEV_2023!F1984</f>
        <v>0</v>
      </c>
      <c r="G1984" s="912">
        <f>GLOBAL_DER_FEV_2023!G1984</f>
        <v>50.782824000000005</v>
      </c>
      <c r="H1984" s="901">
        <f>GLOBAL_DER_FEV_2023!H1984</f>
        <v>803.98</v>
      </c>
      <c r="I1984" s="901">
        <f>GLOBAL_DER_FEV_2023!I1984</f>
        <v>854.76282400000002</v>
      </c>
      <c r="J1984" s="902">
        <f>GLOBAL_DER_FEV_2023!J1984</f>
        <v>1026.31</v>
      </c>
      <c r="K1984" s="903" t="s">
        <v>13</v>
      </c>
      <c r="L1984" s="1137"/>
      <c r="M1984" s="1138">
        <f t="shared" si="199"/>
        <v>0</v>
      </c>
      <c r="N1984" s="1176">
        <f t="shared" si="203"/>
        <v>0</v>
      </c>
      <c r="O1984" s="905"/>
      <c r="Q1984" s="317" t="str">
        <f t="shared" si="200"/>
        <v/>
      </c>
      <c r="R1984" s="317" t="str">
        <f t="shared" si="201"/>
        <v/>
      </c>
      <c r="S1984" s="317" t="str">
        <f t="shared" si="202"/>
        <v/>
      </c>
      <c r="T1984" s="317" t="str">
        <f>GLOBAL_DER_FEV_2023!S1984</f>
        <v/>
      </c>
      <c r="W1984" s="582">
        <v>0</v>
      </c>
      <c r="X1984" s="580"/>
      <c r="Y1984" s="583">
        <f>IF(GLOBAL_DER_FEV_2023!W1984=0,0,IF(GLOBAL_DER_FEV_2023!W1984&gt;0,"c","b"))</f>
        <v>0</v>
      </c>
    </row>
    <row r="1985" spans="1:25" ht="15" customHeight="1" x14ac:dyDescent="0.2">
      <c r="A1985" s="317" t="s">
        <v>147</v>
      </c>
      <c r="B1985" s="895" t="s">
        <v>147</v>
      </c>
      <c r="C1985" s="896"/>
      <c r="D1985" s="906" t="s">
        <v>190</v>
      </c>
      <c r="E1985" s="907">
        <f>GLOBAL_DER_FEV_2023!E1985</f>
        <v>308</v>
      </c>
      <c r="F1985" s="908">
        <f>GLOBAL_DER_FEV_2023!F1985</f>
        <v>4.7999999999999996E-3</v>
      </c>
      <c r="G1985" s="909">
        <f>GLOBAL_DER_FEV_2023!G1985</f>
        <v>1.190688</v>
      </c>
      <c r="H1985" s="901">
        <f>GLOBAL_DER_FEV_2023!H1985</f>
        <v>0</v>
      </c>
      <c r="I1985" s="901">
        <f>GLOBAL_DER_FEV_2023!I1985</f>
        <v>0</v>
      </c>
      <c r="J1985" s="902">
        <f>GLOBAL_DER_FEV_2023!J1985</f>
        <v>0</v>
      </c>
      <c r="K1985" s="903"/>
      <c r="L1985" s="1177"/>
      <c r="M1985" s="1138">
        <f t="shared" si="199"/>
        <v>0</v>
      </c>
      <c r="N1985" s="1176">
        <f t="shared" si="203"/>
        <v>0</v>
      </c>
      <c r="O1985" s="905"/>
      <c r="P1985" s="36" t="str">
        <f>IF(N1984&gt;0,"xx",IF(N1984&gt;0,"xy",""))</f>
        <v/>
      </c>
      <c r="Q1985" s="317" t="str">
        <f t="shared" si="200"/>
        <v/>
      </c>
      <c r="R1985" s="317" t="str">
        <f t="shared" si="201"/>
        <v/>
      </c>
      <c r="S1985" s="317" t="str">
        <f t="shared" si="202"/>
        <v/>
      </c>
      <c r="T1985" s="317" t="str">
        <f>GLOBAL_DER_FEV_2023!S1985</f>
        <v/>
      </c>
      <c r="W1985" s="582">
        <v>0</v>
      </c>
      <c r="X1985" s="580"/>
      <c r="Y1985" s="583">
        <f>IF(GLOBAL_DER_FEV_2023!W1985=0,0,IF(GLOBAL_DER_FEV_2023!W1985&gt;0,"c","b"))</f>
        <v>0</v>
      </c>
    </row>
    <row r="1986" spans="1:25" ht="15" customHeight="1" x14ac:dyDescent="0.2">
      <c r="A1986" s="317" t="s">
        <v>147</v>
      </c>
      <c r="B1986" s="895" t="s">
        <v>147</v>
      </c>
      <c r="C1986" s="896"/>
      <c r="D1986" s="906" t="s">
        <v>229</v>
      </c>
      <c r="E1986" s="907">
        <f>GLOBAL_DER_FEV_2023!E1986</f>
        <v>150</v>
      </c>
      <c r="F1986" s="908">
        <f>GLOBAL_DER_FEV_2023!F1986</f>
        <v>2.52E-2</v>
      </c>
      <c r="G1986" s="949">
        <f>GLOBAL_DER_FEV_2023!G1986</f>
        <v>4.1121360000000005</v>
      </c>
      <c r="H1986" s="901">
        <f>GLOBAL_DER_FEV_2023!H1986</f>
        <v>0</v>
      </c>
      <c r="I1986" s="901">
        <f>GLOBAL_DER_FEV_2023!I1986</f>
        <v>0</v>
      </c>
      <c r="J1986" s="902">
        <f>GLOBAL_DER_FEV_2023!J1986</f>
        <v>0</v>
      </c>
      <c r="K1986" s="903"/>
      <c r="L1986" s="1177"/>
      <c r="M1986" s="1138">
        <f t="shared" si="199"/>
        <v>0</v>
      </c>
      <c r="N1986" s="1176">
        <f t="shared" si="203"/>
        <v>0</v>
      </c>
      <c r="O1986" s="905"/>
      <c r="P1986" s="36" t="str">
        <f>IF(N1984&gt;0,"xx",IF(N1984&gt;0,"xy",""))</f>
        <v/>
      </c>
      <c r="Q1986" s="317" t="str">
        <f t="shared" si="200"/>
        <v/>
      </c>
      <c r="R1986" s="317" t="str">
        <f t="shared" si="201"/>
        <v/>
      </c>
      <c r="S1986" s="317" t="str">
        <f t="shared" si="202"/>
        <v/>
      </c>
      <c r="T1986" s="317" t="str">
        <f>GLOBAL_DER_FEV_2023!S1986</f>
        <v/>
      </c>
      <c r="W1986" s="582">
        <v>0</v>
      </c>
      <c r="X1986" s="580"/>
      <c r="Y1986" s="583">
        <f>IF(GLOBAL_DER_FEV_2023!W1986=0,0,IF(GLOBAL_DER_FEV_2023!W1986&gt;0,"c","b"))</f>
        <v>0</v>
      </c>
    </row>
    <row r="1987" spans="1:25" ht="15" customHeight="1" x14ac:dyDescent="0.2">
      <c r="A1987" s="317" t="s">
        <v>147</v>
      </c>
      <c r="B1987" s="895" t="s">
        <v>147</v>
      </c>
      <c r="C1987" s="896"/>
      <c r="D1987" s="906" t="s">
        <v>336</v>
      </c>
      <c r="E1987" s="907">
        <f>GLOBAL_DER_FEV_2023!E1987</f>
        <v>40</v>
      </c>
      <c r="F1987" s="908">
        <f>GLOBAL_DER_FEV_2023!F1987</f>
        <v>1</v>
      </c>
      <c r="G1987" s="949">
        <f>GLOBAL_DER_FEV_2023!G1987</f>
        <v>45.480000000000004</v>
      </c>
      <c r="H1987" s="901">
        <f>GLOBAL_DER_FEV_2023!H1987</f>
        <v>0</v>
      </c>
      <c r="I1987" s="901">
        <f>GLOBAL_DER_FEV_2023!I1987</f>
        <v>0</v>
      </c>
      <c r="J1987" s="902">
        <f>GLOBAL_DER_FEV_2023!J1987</f>
        <v>0</v>
      </c>
      <c r="K1987" s="903"/>
      <c r="L1987" s="1177"/>
      <c r="M1987" s="1138">
        <f t="shared" si="199"/>
        <v>0</v>
      </c>
      <c r="N1987" s="1176">
        <f t="shared" si="203"/>
        <v>0</v>
      </c>
      <c r="O1987" s="905"/>
      <c r="P1987" s="36" t="str">
        <f>IF(N1984&gt;0,"xx",IF(N1984&gt;0,"xy",""))</f>
        <v/>
      </c>
      <c r="Q1987" s="317" t="str">
        <f t="shared" si="200"/>
        <v/>
      </c>
      <c r="R1987" s="317" t="str">
        <f t="shared" si="201"/>
        <v/>
      </c>
      <c r="S1987" s="317" t="str">
        <f t="shared" si="202"/>
        <v/>
      </c>
      <c r="T1987" s="317" t="str">
        <f>GLOBAL_DER_FEV_2023!S1987</f>
        <v/>
      </c>
      <c r="W1987" s="582">
        <v>0</v>
      </c>
      <c r="X1987" s="580"/>
      <c r="Y1987" s="583">
        <f>IF(GLOBAL_DER_FEV_2023!W1987=0,0,IF(GLOBAL_DER_FEV_2023!W1987&gt;0,"c","b"))</f>
        <v>0</v>
      </c>
    </row>
    <row r="1988" spans="1:25" ht="15" customHeight="1" x14ac:dyDescent="0.2">
      <c r="A1988" s="317">
        <v>611200</v>
      </c>
      <c r="B1988" s="895" t="s">
        <v>1846</v>
      </c>
      <c r="C1988" s="896" t="s">
        <v>184</v>
      </c>
      <c r="D1988" s="906" t="s">
        <v>2021</v>
      </c>
      <c r="E1988" s="907">
        <f>GLOBAL_DER_FEV_2023!E1988</f>
        <v>0</v>
      </c>
      <c r="F1988" s="908">
        <f>GLOBAL_DER_FEV_2023!F1988</f>
        <v>0</v>
      </c>
      <c r="G1988" s="912">
        <f>GLOBAL_DER_FEV_2023!G1988</f>
        <v>72.586438000000001</v>
      </c>
      <c r="H1988" s="901">
        <f>GLOBAL_DER_FEV_2023!H1988</f>
        <v>1026.27</v>
      </c>
      <c r="I1988" s="901">
        <f>GLOBAL_DER_FEV_2023!I1988</f>
        <v>1098.856438</v>
      </c>
      <c r="J1988" s="902">
        <f>GLOBAL_DER_FEV_2023!J1988</f>
        <v>1319.4</v>
      </c>
      <c r="K1988" s="903" t="s">
        <v>13</v>
      </c>
      <c r="L1988" s="1137"/>
      <c r="M1988" s="1138">
        <f t="shared" si="199"/>
        <v>0</v>
      </c>
      <c r="N1988" s="1176">
        <f t="shared" si="203"/>
        <v>0</v>
      </c>
      <c r="O1988" s="905"/>
      <c r="Q1988" s="317" t="str">
        <f t="shared" si="200"/>
        <v/>
      </c>
      <c r="R1988" s="317" t="str">
        <f t="shared" si="201"/>
        <v/>
      </c>
      <c r="S1988" s="317" t="str">
        <f t="shared" si="202"/>
        <v/>
      </c>
      <c r="T1988" s="317" t="str">
        <f>GLOBAL_DER_FEV_2023!S1988</f>
        <v/>
      </c>
      <c r="W1988" s="582">
        <v>0</v>
      </c>
      <c r="X1988" s="580"/>
      <c r="Y1988" s="583">
        <f>IF(GLOBAL_DER_FEV_2023!W1988=0,0,IF(GLOBAL_DER_FEV_2023!W1988&gt;0,"c","b"))</f>
        <v>0</v>
      </c>
    </row>
    <row r="1989" spans="1:25" ht="15" customHeight="1" x14ac:dyDescent="0.2">
      <c r="A1989" s="317" t="s">
        <v>147</v>
      </c>
      <c r="B1989" s="895" t="s">
        <v>147</v>
      </c>
      <c r="C1989" s="896"/>
      <c r="D1989" s="906" t="s">
        <v>190</v>
      </c>
      <c r="E1989" s="907">
        <f>GLOBAL_DER_FEV_2023!E1989</f>
        <v>308</v>
      </c>
      <c r="F1989" s="908">
        <f>GLOBAL_DER_FEV_2023!F1989</f>
        <v>6.4999999999999997E-3</v>
      </c>
      <c r="G1989" s="909">
        <f>GLOBAL_DER_FEV_2023!G1989</f>
        <v>1.61239</v>
      </c>
      <c r="H1989" s="901">
        <f>GLOBAL_DER_FEV_2023!H1989</f>
        <v>0</v>
      </c>
      <c r="I1989" s="901">
        <f>GLOBAL_DER_FEV_2023!I1989</f>
        <v>0</v>
      </c>
      <c r="J1989" s="902">
        <f>GLOBAL_DER_FEV_2023!J1989</f>
        <v>0</v>
      </c>
      <c r="K1989" s="903"/>
      <c r="L1989" s="1177"/>
      <c r="M1989" s="1138">
        <f t="shared" si="199"/>
        <v>0</v>
      </c>
      <c r="N1989" s="1176">
        <f t="shared" si="203"/>
        <v>0</v>
      </c>
      <c r="O1989" s="905"/>
      <c r="P1989" s="36" t="str">
        <f>IF(N1988&gt;0,"xx",IF(N1988&gt;0,"xy",""))</f>
        <v/>
      </c>
      <c r="Q1989" s="317" t="str">
        <f t="shared" si="200"/>
        <v/>
      </c>
      <c r="R1989" s="317" t="str">
        <f t="shared" si="201"/>
        <v/>
      </c>
      <c r="S1989" s="317" t="str">
        <f t="shared" si="202"/>
        <v/>
      </c>
      <c r="T1989" s="317" t="str">
        <f>GLOBAL_DER_FEV_2023!S1989</f>
        <v/>
      </c>
      <c r="W1989" s="582">
        <v>0</v>
      </c>
      <c r="X1989" s="580"/>
      <c r="Y1989" s="583">
        <f>IF(GLOBAL_DER_FEV_2023!W1989=0,0,IF(GLOBAL_DER_FEV_2023!W1989&gt;0,"c","b"))</f>
        <v>0</v>
      </c>
    </row>
    <row r="1990" spans="1:25" ht="15" customHeight="1" x14ac:dyDescent="0.2">
      <c r="A1990" s="317" t="s">
        <v>147</v>
      </c>
      <c r="B1990" s="895" t="s">
        <v>147</v>
      </c>
      <c r="C1990" s="896"/>
      <c r="D1990" s="906" t="s">
        <v>229</v>
      </c>
      <c r="E1990" s="907">
        <f>GLOBAL_DER_FEV_2023!E1990</f>
        <v>150</v>
      </c>
      <c r="F1990" s="908">
        <f>GLOBAL_DER_FEV_2023!F1990</f>
        <v>3.3599999999999998E-2</v>
      </c>
      <c r="G1990" s="949">
        <f>GLOBAL_DER_FEV_2023!G1990</f>
        <v>5.4828479999999997</v>
      </c>
      <c r="H1990" s="901">
        <f>GLOBAL_DER_FEV_2023!H1990</f>
        <v>0</v>
      </c>
      <c r="I1990" s="901">
        <f>GLOBAL_DER_FEV_2023!I1990</f>
        <v>0</v>
      </c>
      <c r="J1990" s="902">
        <f>GLOBAL_DER_FEV_2023!J1990</f>
        <v>0</v>
      </c>
      <c r="K1990" s="903"/>
      <c r="L1990" s="1177"/>
      <c r="M1990" s="1138">
        <f t="shared" ref="M1990:M2053" si="204">IF(L1990=0,0,ROUND(J1990,2))</f>
        <v>0</v>
      </c>
      <c r="N1990" s="1176">
        <f t="shared" si="203"/>
        <v>0</v>
      </c>
      <c r="O1990" s="905"/>
      <c r="P1990" s="36" t="str">
        <f>IF(N1988&gt;0,"xx",IF(N1988&gt;0,"xy",""))</f>
        <v/>
      </c>
      <c r="Q1990" s="317" t="str">
        <f t="shared" si="200"/>
        <v/>
      </c>
      <c r="R1990" s="317" t="str">
        <f t="shared" si="201"/>
        <v/>
      </c>
      <c r="S1990" s="317" t="str">
        <f t="shared" si="202"/>
        <v/>
      </c>
      <c r="T1990" s="317" t="str">
        <f>GLOBAL_DER_FEV_2023!S1990</f>
        <v/>
      </c>
      <c r="W1990" s="582">
        <v>0</v>
      </c>
      <c r="X1990" s="580"/>
      <c r="Y1990" s="583">
        <f>IF(GLOBAL_DER_FEV_2023!W1990=0,0,IF(GLOBAL_DER_FEV_2023!W1990&gt;0,"c","b"))</f>
        <v>0</v>
      </c>
    </row>
    <row r="1991" spans="1:25" ht="15" customHeight="1" x14ac:dyDescent="0.2">
      <c r="A1991" s="317" t="s">
        <v>147</v>
      </c>
      <c r="B1991" s="895" t="s">
        <v>147</v>
      </c>
      <c r="C1991" s="896"/>
      <c r="D1991" s="906" t="s">
        <v>336</v>
      </c>
      <c r="E1991" s="907">
        <f>GLOBAL_DER_FEV_2023!E1991</f>
        <v>40</v>
      </c>
      <c r="F1991" s="908">
        <f>GLOBAL_DER_FEV_2023!F1991</f>
        <v>1.44</v>
      </c>
      <c r="G1991" s="949">
        <f>GLOBAL_DER_FEV_2023!G1991</f>
        <v>65.491200000000006</v>
      </c>
      <c r="H1991" s="901">
        <f>GLOBAL_DER_FEV_2023!H1991</f>
        <v>0</v>
      </c>
      <c r="I1991" s="901">
        <f>GLOBAL_DER_FEV_2023!I1991</f>
        <v>0</v>
      </c>
      <c r="J1991" s="902">
        <f>GLOBAL_DER_FEV_2023!J1991</f>
        <v>0</v>
      </c>
      <c r="K1991" s="903"/>
      <c r="L1991" s="1177"/>
      <c r="M1991" s="1138">
        <f t="shared" si="204"/>
        <v>0</v>
      </c>
      <c r="N1991" s="1176">
        <f t="shared" si="203"/>
        <v>0</v>
      </c>
      <c r="O1991" s="905"/>
      <c r="P1991" s="36" t="str">
        <f>IF(N1988&gt;0,"xx",IF(N1988&gt;0,"xy",""))</f>
        <v/>
      </c>
      <c r="Q1991" s="317" t="str">
        <f t="shared" si="200"/>
        <v/>
      </c>
      <c r="R1991" s="317" t="str">
        <f t="shared" si="201"/>
        <v/>
      </c>
      <c r="S1991" s="317" t="str">
        <f t="shared" si="202"/>
        <v/>
      </c>
      <c r="T1991" s="317" t="str">
        <f>GLOBAL_DER_FEV_2023!S1991</f>
        <v/>
      </c>
      <c r="W1991" s="582">
        <v>0</v>
      </c>
      <c r="X1991" s="580"/>
      <c r="Y1991" s="583">
        <f>IF(GLOBAL_DER_FEV_2023!W1991=0,0,IF(GLOBAL_DER_FEV_2023!W1991&gt;0,"c","b"))</f>
        <v>0</v>
      </c>
    </row>
    <row r="1992" spans="1:25" ht="15" customHeight="1" x14ac:dyDescent="0.2">
      <c r="A1992" s="317">
        <v>611400</v>
      </c>
      <c r="B1992" s="895" t="s">
        <v>1848</v>
      </c>
      <c r="C1992" s="896" t="s">
        <v>184</v>
      </c>
      <c r="D1992" s="906" t="s">
        <v>2022</v>
      </c>
      <c r="E1992" s="907">
        <f>GLOBAL_DER_FEV_2023!E1992</f>
        <v>0</v>
      </c>
      <c r="F1992" s="908">
        <f>GLOBAL_DER_FEV_2023!F1992</f>
        <v>0</v>
      </c>
      <c r="G1992" s="912">
        <f>GLOBAL_DER_FEV_2023!G1992</f>
        <v>83.904846000000006</v>
      </c>
      <c r="H1992" s="901">
        <f>GLOBAL_DER_FEV_2023!H1992</f>
        <v>1267.57</v>
      </c>
      <c r="I1992" s="901">
        <f>GLOBAL_DER_FEV_2023!I1992</f>
        <v>1351.4748459999998</v>
      </c>
      <c r="J1992" s="902">
        <f>GLOBAL_DER_FEV_2023!J1992</f>
        <v>1622.72</v>
      </c>
      <c r="K1992" s="903" t="s">
        <v>13</v>
      </c>
      <c r="L1992" s="1137"/>
      <c r="M1992" s="1138">
        <f t="shared" si="204"/>
        <v>0</v>
      </c>
      <c r="N1992" s="1176">
        <f t="shared" si="203"/>
        <v>0</v>
      </c>
      <c r="O1992" s="905"/>
      <c r="Q1992" s="317" t="str">
        <f t="shared" si="200"/>
        <v/>
      </c>
      <c r="R1992" s="317" t="str">
        <f t="shared" si="201"/>
        <v/>
      </c>
      <c r="S1992" s="317" t="str">
        <f t="shared" si="202"/>
        <v/>
      </c>
      <c r="T1992" s="317" t="str">
        <f>GLOBAL_DER_FEV_2023!S1992</f>
        <v/>
      </c>
      <c r="W1992" s="582">
        <v>0</v>
      </c>
      <c r="X1992" s="580"/>
      <c r="Y1992" s="583">
        <f>IF(GLOBAL_DER_FEV_2023!W1992=0,0,IF(GLOBAL_DER_FEV_2023!W1992&gt;0,"c","b"))</f>
        <v>0</v>
      </c>
    </row>
    <row r="1993" spans="1:25" ht="15" customHeight="1" x14ac:dyDescent="0.2">
      <c r="A1993" s="317" t="s">
        <v>147</v>
      </c>
      <c r="B1993" s="895" t="s">
        <v>147</v>
      </c>
      <c r="C1993" s="896"/>
      <c r="D1993" s="906" t="s">
        <v>190</v>
      </c>
      <c r="E1993" s="907">
        <f>GLOBAL_DER_FEV_2023!E1993</f>
        <v>308</v>
      </c>
      <c r="F1993" s="908">
        <f>GLOBAL_DER_FEV_2023!F1993</f>
        <v>8.0999999999999996E-3</v>
      </c>
      <c r="G1993" s="909">
        <f>GLOBAL_DER_FEV_2023!G1993</f>
        <v>2.0092859999999999</v>
      </c>
      <c r="H1993" s="901">
        <f>GLOBAL_DER_FEV_2023!H1993</f>
        <v>0</v>
      </c>
      <c r="I1993" s="901">
        <f>GLOBAL_DER_FEV_2023!I1993</f>
        <v>0</v>
      </c>
      <c r="J1993" s="902">
        <f>GLOBAL_DER_FEV_2023!J1993</f>
        <v>0</v>
      </c>
      <c r="K1993" s="903"/>
      <c r="L1993" s="1177"/>
      <c r="M1993" s="1138">
        <f t="shared" si="204"/>
        <v>0</v>
      </c>
      <c r="N1993" s="1176">
        <f t="shared" si="203"/>
        <v>0</v>
      </c>
      <c r="O1993" s="905"/>
      <c r="P1993" s="36" t="str">
        <f>IF(N1992&gt;0,"xx",IF(N1992&gt;0,"xy",""))</f>
        <v/>
      </c>
      <c r="Q1993" s="317" t="str">
        <f t="shared" si="200"/>
        <v/>
      </c>
      <c r="R1993" s="317" t="str">
        <f t="shared" si="201"/>
        <v/>
      </c>
      <c r="S1993" s="317" t="str">
        <f t="shared" si="202"/>
        <v/>
      </c>
      <c r="T1993" s="317" t="str">
        <f>GLOBAL_DER_FEV_2023!S1993</f>
        <v/>
      </c>
      <c r="W1993" s="582">
        <v>0</v>
      </c>
      <c r="X1993" s="580"/>
      <c r="Y1993" s="583">
        <f>IF(GLOBAL_DER_FEV_2023!W1993=0,0,IF(GLOBAL_DER_FEV_2023!W1993&gt;0,"c","b"))</f>
        <v>0</v>
      </c>
    </row>
    <row r="1994" spans="1:25" ht="15" customHeight="1" x14ac:dyDescent="0.2">
      <c r="A1994" s="317" t="s">
        <v>147</v>
      </c>
      <c r="B1994" s="895" t="s">
        <v>147</v>
      </c>
      <c r="C1994" s="896"/>
      <c r="D1994" s="906" t="s">
        <v>229</v>
      </c>
      <c r="E1994" s="907">
        <f>GLOBAL_DER_FEV_2023!E1994</f>
        <v>150</v>
      </c>
      <c r="F1994" s="908">
        <f>GLOBAL_DER_FEV_2023!F1994</f>
        <v>4.2000000000000003E-2</v>
      </c>
      <c r="G1994" s="949">
        <f>GLOBAL_DER_FEV_2023!G1994</f>
        <v>6.8535600000000008</v>
      </c>
      <c r="H1994" s="901">
        <f>GLOBAL_DER_FEV_2023!H1994</f>
        <v>0</v>
      </c>
      <c r="I1994" s="901">
        <f>GLOBAL_DER_FEV_2023!I1994</f>
        <v>0</v>
      </c>
      <c r="J1994" s="902">
        <f>GLOBAL_DER_FEV_2023!J1994</f>
        <v>0</v>
      </c>
      <c r="K1994" s="903"/>
      <c r="L1994" s="1177"/>
      <c r="M1994" s="1138">
        <f t="shared" si="204"/>
        <v>0</v>
      </c>
      <c r="N1994" s="1176">
        <f t="shared" si="203"/>
        <v>0</v>
      </c>
      <c r="O1994" s="905"/>
      <c r="P1994" s="36" t="str">
        <f>IF(N1992&gt;0,"xx",IF(N1992&gt;0,"xy",""))</f>
        <v/>
      </c>
      <c r="Q1994" s="317" t="str">
        <f t="shared" si="200"/>
        <v/>
      </c>
      <c r="R1994" s="317" t="str">
        <f t="shared" si="201"/>
        <v/>
      </c>
      <c r="S1994" s="317" t="str">
        <f t="shared" si="202"/>
        <v/>
      </c>
      <c r="T1994" s="317" t="str">
        <f>GLOBAL_DER_FEV_2023!S1994</f>
        <v/>
      </c>
      <c r="W1994" s="582">
        <v>0</v>
      </c>
      <c r="X1994" s="580"/>
      <c r="Y1994" s="583">
        <f>IF(GLOBAL_DER_FEV_2023!W1994=0,0,IF(GLOBAL_DER_FEV_2023!W1994&gt;0,"c","b"))</f>
        <v>0</v>
      </c>
    </row>
    <row r="1995" spans="1:25" ht="15" customHeight="1" x14ac:dyDescent="0.2">
      <c r="A1995" s="317" t="s">
        <v>147</v>
      </c>
      <c r="B1995" s="895" t="s">
        <v>147</v>
      </c>
      <c r="C1995" s="896"/>
      <c r="D1995" s="906" t="s">
        <v>336</v>
      </c>
      <c r="E1995" s="907">
        <f>GLOBAL_DER_FEV_2023!E1995</f>
        <v>40</v>
      </c>
      <c r="F1995" s="908">
        <f>GLOBAL_DER_FEV_2023!F1995</f>
        <v>1.65</v>
      </c>
      <c r="G1995" s="949">
        <f>GLOBAL_DER_FEV_2023!G1995</f>
        <v>75.042000000000002</v>
      </c>
      <c r="H1995" s="901">
        <f>GLOBAL_DER_FEV_2023!H1995</f>
        <v>0</v>
      </c>
      <c r="I1995" s="901">
        <f>GLOBAL_DER_FEV_2023!I1995</f>
        <v>0</v>
      </c>
      <c r="J1995" s="902">
        <f>GLOBAL_DER_FEV_2023!J1995</f>
        <v>0</v>
      </c>
      <c r="K1995" s="903"/>
      <c r="L1995" s="1177"/>
      <c r="M1995" s="1138">
        <f t="shared" si="204"/>
        <v>0</v>
      </c>
      <c r="N1995" s="1176">
        <f t="shared" si="203"/>
        <v>0</v>
      </c>
      <c r="O1995" s="905"/>
      <c r="P1995" s="36" t="str">
        <f>IF(N1992&gt;0,"xx",IF(N1992&gt;0,"xy",""))</f>
        <v/>
      </c>
      <c r="Q1995" s="317" t="str">
        <f t="shared" si="200"/>
        <v/>
      </c>
      <c r="R1995" s="317" t="str">
        <f t="shared" si="201"/>
        <v/>
      </c>
      <c r="S1995" s="317" t="str">
        <f t="shared" si="202"/>
        <v/>
      </c>
      <c r="T1995" s="317" t="str">
        <f>GLOBAL_DER_FEV_2023!S1995</f>
        <v/>
      </c>
      <c r="W1995" s="582">
        <v>0</v>
      </c>
      <c r="X1995" s="580"/>
      <c r="Y1995" s="583">
        <f>IF(GLOBAL_DER_FEV_2023!W1995=0,0,IF(GLOBAL_DER_FEV_2023!W1995&gt;0,"c","b"))</f>
        <v>0</v>
      </c>
    </row>
    <row r="1996" spans="1:25" ht="15" customHeight="1" x14ac:dyDescent="0.2">
      <c r="A1996" s="317">
        <v>611400</v>
      </c>
      <c r="B1996" s="895" t="s">
        <v>1849</v>
      </c>
      <c r="C1996" s="896" t="s">
        <v>184</v>
      </c>
      <c r="D1996" s="906" t="s">
        <v>2023</v>
      </c>
      <c r="E1996" s="907">
        <f>GLOBAL_DER_FEV_2023!E1996</f>
        <v>0</v>
      </c>
      <c r="F1996" s="908">
        <f>GLOBAL_DER_FEV_2023!F1996</f>
        <v>0</v>
      </c>
      <c r="G1996" s="912">
        <f>GLOBAL_DER_FEV_2023!G1996</f>
        <v>101.90895</v>
      </c>
      <c r="H1996" s="901">
        <f>GLOBAL_DER_FEV_2023!H1996</f>
        <v>1267.57</v>
      </c>
      <c r="I1996" s="901">
        <f>GLOBAL_DER_FEV_2023!I1996</f>
        <v>1369.4789499999999</v>
      </c>
      <c r="J1996" s="902">
        <f>GLOBAL_DER_FEV_2023!J1996</f>
        <v>1644.33</v>
      </c>
      <c r="K1996" s="903" t="s">
        <v>13</v>
      </c>
      <c r="L1996" s="1137"/>
      <c r="M1996" s="1138">
        <f t="shared" si="204"/>
        <v>0</v>
      </c>
      <c r="N1996" s="1176">
        <f t="shared" si="203"/>
        <v>0</v>
      </c>
      <c r="O1996" s="905"/>
      <c r="Q1996" s="317" t="str">
        <f t="shared" si="200"/>
        <v/>
      </c>
      <c r="R1996" s="317" t="str">
        <f t="shared" si="201"/>
        <v/>
      </c>
      <c r="S1996" s="317" t="str">
        <f t="shared" si="202"/>
        <v/>
      </c>
      <c r="T1996" s="317" t="str">
        <f>GLOBAL_DER_FEV_2023!S1996</f>
        <v/>
      </c>
      <c r="W1996" s="582">
        <v>0</v>
      </c>
      <c r="X1996" s="580"/>
      <c r="Y1996" s="583">
        <f>IF(GLOBAL_DER_FEV_2023!W1996=0,0,IF(GLOBAL_DER_FEV_2023!W1996&gt;0,"c","b"))</f>
        <v>0</v>
      </c>
    </row>
    <row r="1997" spans="1:25" ht="15" customHeight="1" x14ac:dyDescent="0.2">
      <c r="A1997" s="317" t="s">
        <v>147</v>
      </c>
      <c r="B1997" s="895" t="s">
        <v>147</v>
      </c>
      <c r="C1997" s="896"/>
      <c r="D1997" s="906" t="s">
        <v>190</v>
      </c>
      <c r="E1997" s="907">
        <f>GLOBAL_DER_FEV_2023!E1997</f>
        <v>308</v>
      </c>
      <c r="F1997" s="908">
        <f>GLOBAL_DER_FEV_2023!F1997</f>
        <v>9.1999999999999998E-3</v>
      </c>
      <c r="G1997" s="909">
        <f>GLOBAL_DER_FEV_2023!G1997</f>
        <v>2.282152</v>
      </c>
      <c r="H1997" s="901">
        <f>GLOBAL_DER_FEV_2023!H1997</f>
        <v>0</v>
      </c>
      <c r="I1997" s="901">
        <f>GLOBAL_DER_FEV_2023!I1997</f>
        <v>0</v>
      </c>
      <c r="J1997" s="902">
        <f>GLOBAL_DER_FEV_2023!J1997</f>
        <v>0</v>
      </c>
      <c r="K1997" s="903"/>
      <c r="L1997" s="1177"/>
      <c r="M1997" s="1138">
        <f t="shared" si="204"/>
        <v>0</v>
      </c>
      <c r="N1997" s="1176">
        <f t="shared" si="203"/>
        <v>0</v>
      </c>
      <c r="O1997" s="905"/>
      <c r="P1997" s="36" t="str">
        <f>IF(N1996&gt;0,"xx",IF(N1996&gt;0,"xy",""))</f>
        <v/>
      </c>
      <c r="Q1997" s="317" t="str">
        <f t="shared" si="200"/>
        <v/>
      </c>
      <c r="R1997" s="317" t="str">
        <f t="shared" si="201"/>
        <v/>
      </c>
      <c r="S1997" s="317" t="str">
        <f t="shared" si="202"/>
        <v/>
      </c>
      <c r="T1997" s="317" t="str">
        <f>GLOBAL_DER_FEV_2023!S1997</f>
        <v/>
      </c>
      <c r="W1997" s="582">
        <v>0</v>
      </c>
      <c r="X1997" s="580"/>
      <c r="Y1997" s="583">
        <f>IF(GLOBAL_DER_FEV_2023!W1997=0,0,IF(GLOBAL_DER_FEV_2023!W1997&gt;0,"c","b"))</f>
        <v>0</v>
      </c>
    </row>
    <row r="1998" spans="1:25" ht="15" customHeight="1" x14ac:dyDescent="0.2">
      <c r="A1998" s="317" t="s">
        <v>147</v>
      </c>
      <c r="B1998" s="895" t="s">
        <v>147</v>
      </c>
      <c r="C1998" s="896"/>
      <c r="D1998" s="906" t="s">
        <v>229</v>
      </c>
      <c r="E1998" s="907">
        <f>GLOBAL_DER_FEV_2023!E1998</f>
        <v>150</v>
      </c>
      <c r="F1998" s="908">
        <f>GLOBAL_DER_FEV_2023!F1998</f>
        <v>4.7899999999999998E-2</v>
      </c>
      <c r="G1998" s="949">
        <f>GLOBAL_DER_FEV_2023!G1998</f>
        <v>7.8163220000000004</v>
      </c>
      <c r="H1998" s="901">
        <f>GLOBAL_DER_FEV_2023!H1998</f>
        <v>0</v>
      </c>
      <c r="I1998" s="901">
        <f>GLOBAL_DER_FEV_2023!I1998</f>
        <v>0</v>
      </c>
      <c r="J1998" s="902">
        <f>GLOBAL_DER_FEV_2023!J1998</f>
        <v>0</v>
      </c>
      <c r="K1998" s="903"/>
      <c r="L1998" s="1177"/>
      <c r="M1998" s="1138">
        <f t="shared" si="204"/>
        <v>0</v>
      </c>
      <c r="N1998" s="1176">
        <f t="shared" si="203"/>
        <v>0</v>
      </c>
      <c r="O1998" s="905"/>
      <c r="P1998" s="36" t="str">
        <f>IF(N1996&gt;0,"xx",IF(N1996&gt;0,"xy",""))</f>
        <v/>
      </c>
      <c r="Q1998" s="317" t="str">
        <f t="shared" si="200"/>
        <v/>
      </c>
      <c r="R1998" s="317" t="str">
        <f t="shared" si="201"/>
        <v/>
      </c>
      <c r="S1998" s="317" t="str">
        <f t="shared" si="202"/>
        <v/>
      </c>
      <c r="T1998" s="317" t="str">
        <f>GLOBAL_DER_FEV_2023!S1998</f>
        <v/>
      </c>
      <c r="W1998" s="582">
        <v>0</v>
      </c>
      <c r="X1998" s="580"/>
      <c r="Y1998" s="583">
        <f>IF(GLOBAL_DER_FEV_2023!W1998=0,0,IF(GLOBAL_DER_FEV_2023!W1998&gt;0,"c","b"))</f>
        <v>0</v>
      </c>
    </row>
    <row r="1999" spans="1:25" ht="15" customHeight="1" x14ac:dyDescent="0.2">
      <c r="A1999" s="317" t="s">
        <v>147</v>
      </c>
      <c r="B1999" s="895" t="s">
        <v>147</v>
      </c>
      <c r="C1999" s="896"/>
      <c r="D1999" s="906" t="s">
        <v>336</v>
      </c>
      <c r="E1999" s="907">
        <f>GLOBAL_DER_FEV_2023!E1999</f>
        <v>40</v>
      </c>
      <c r="F1999" s="908">
        <f>GLOBAL_DER_FEV_2023!F1999</f>
        <v>2.0186999999999999</v>
      </c>
      <c r="G1999" s="949">
        <f>GLOBAL_DER_FEV_2023!G1999</f>
        <v>91.810476000000008</v>
      </c>
      <c r="H1999" s="901">
        <f>GLOBAL_DER_FEV_2023!H1999</f>
        <v>0</v>
      </c>
      <c r="I1999" s="901">
        <f>GLOBAL_DER_FEV_2023!I1999</f>
        <v>0</v>
      </c>
      <c r="J1999" s="902">
        <f>GLOBAL_DER_FEV_2023!J1999</f>
        <v>0</v>
      </c>
      <c r="K1999" s="903"/>
      <c r="L1999" s="1177"/>
      <c r="M1999" s="1138">
        <f t="shared" si="204"/>
        <v>0</v>
      </c>
      <c r="N1999" s="1176">
        <f t="shared" si="203"/>
        <v>0</v>
      </c>
      <c r="O1999" s="905"/>
      <c r="P1999" s="36" t="str">
        <f>IF(N1996&gt;0,"xx",IF(N1996&gt;0,"xy",""))</f>
        <v/>
      </c>
      <c r="Q1999" s="317" t="str">
        <f t="shared" si="200"/>
        <v/>
      </c>
      <c r="R1999" s="317" t="str">
        <f t="shared" si="201"/>
        <v/>
      </c>
      <c r="S1999" s="317" t="str">
        <f t="shared" si="202"/>
        <v/>
      </c>
      <c r="T1999" s="317" t="str">
        <f>GLOBAL_DER_FEV_2023!S1999</f>
        <v/>
      </c>
      <c r="W1999" s="582">
        <v>0</v>
      </c>
      <c r="X1999" s="580"/>
      <c r="Y1999" s="583">
        <f>IF(GLOBAL_DER_FEV_2023!W1999=0,0,IF(GLOBAL_DER_FEV_2023!W1999&gt;0,"c","b"))</f>
        <v>0</v>
      </c>
    </row>
    <row r="2000" spans="1:25" ht="15" customHeight="1" x14ac:dyDescent="0.2">
      <c r="A2000" s="317">
        <v>611600</v>
      </c>
      <c r="B2000" s="895" t="s">
        <v>1852</v>
      </c>
      <c r="C2000" s="896" t="s">
        <v>184</v>
      </c>
      <c r="D2000" s="906" t="s">
        <v>2024</v>
      </c>
      <c r="E2000" s="907">
        <f>GLOBAL_DER_FEV_2023!E2000</f>
        <v>0</v>
      </c>
      <c r="F2000" s="908">
        <f>GLOBAL_DER_FEV_2023!F2000</f>
        <v>0</v>
      </c>
      <c r="G2000" s="912">
        <f>GLOBAL_DER_FEV_2023!G2000</f>
        <v>108.41245400000001</v>
      </c>
      <c r="H2000" s="901">
        <f>GLOBAL_DER_FEV_2023!H2000</f>
        <v>3058.31</v>
      </c>
      <c r="I2000" s="901">
        <f>GLOBAL_DER_FEV_2023!I2000</f>
        <v>3166.7224539999997</v>
      </c>
      <c r="J2000" s="902">
        <f>GLOBAL_DER_FEV_2023!J2000</f>
        <v>3802.28</v>
      </c>
      <c r="K2000" s="903" t="s">
        <v>13</v>
      </c>
      <c r="L2000" s="1137"/>
      <c r="M2000" s="1138">
        <f t="shared" si="204"/>
        <v>0</v>
      </c>
      <c r="N2000" s="1176">
        <f t="shared" si="203"/>
        <v>0</v>
      </c>
      <c r="O2000" s="905"/>
      <c r="Q2000" s="317" t="str">
        <f t="shared" si="200"/>
        <v/>
      </c>
      <c r="R2000" s="317" t="str">
        <f t="shared" si="201"/>
        <v/>
      </c>
      <c r="S2000" s="317" t="str">
        <f t="shared" si="202"/>
        <v/>
      </c>
      <c r="T2000" s="317" t="str">
        <f>GLOBAL_DER_FEV_2023!S2000</f>
        <v/>
      </c>
      <c r="W2000" s="582">
        <v>0</v>
      </c>
      <c r="X2000" s="580"/>
      <c r="Y2000" s="583">
        <f>IF(GLOBAL_DER_FEV_2023!W2000=0,0,IF(GLOBAL_DER_FEV_2023!W2000&gt;0,"c","b"))</f>
        <v>0</v>
      </c>
    </row>
    <row r="2001" spans="1:25" ht="15" customHeight="1" x14ac:dyDescent="0.2">
      <c r="A2001" s="317" t="s">
        <v>147</v>
      </c>
      <c r="B2001" s="895" t="s">
        <v>147</v>
      </c>
      <c r="C2001" s="896"/>
      <c r="D2001" s="906" t="s">
        <v>190</v>
      </c>
      <c r="E2001" s="907">
        <f>GLOBAL_DER_FEV_2023!E2001</f>
        <v>308</v>
      </c>
      <c r="F2001" s="908">
        <f>GLOBAL_DER_FEV_2023!F2001</f>
        <v>9.7000000000000003E-3</v>
      </c>
      <c r="G2001" s="909">
        <f>GLOBAL_DER_FEV_2023!G2001</f>
        <v>2.4061820000000003</v>
      </c>
      <c r="H2001" s="901">
        <f>GLOBAL_DER_FEV_2023!H2001</f>
        <v>0</v>
      </c>
      <c r="I2001" s="901">
        <f>GLOBAL_DER_FEV_2023!I2001</f>
        <v>0</v>
      </c>
      <c r="J2001" s="902">
        <f>GLOBAL_DER_FEV_2023!J2001</f>
        <v>0</v>
      </c>
      <c r="K2001" s="903"/>
      <c r="L2001" s="1177"/>
      <c r="M2001" s="1138">
        <f t="shared" si="204"/>
        <v>0</v>
      </c>
      <c r="N2001" s="1176">
        <f t="shared" si="203"/>
        <v>0</v>
      </c>
      <c r="O2001" s="905"/>
      <c r="P2001" s="36" t="str">
        <f>IF(N2000&gt;0,"xx",IF(N2000&gt;0,"xy",""))</f>
        <v/>
      </c>
      <c r="Q2001" s="317" t="str">
        <f t="shared" ref="Q2001:Q2064" si="205">IF(P2001="X","x",IF(P2001="xx","x",IF(P2001="xy","x",IF(P2001="y","x",IF(OR(N2001&gt;0,N2001&gt;0),"x","")))))</f>
        <v/>
      </c>
      <c r="R2001" s="317" t="str">
        <f t="shared" si="201"/>
        <v/>
      </c>
      <c r="S2001" s="317" t="str">
        <f t="shared" si="202"/>
        <v/>
      </c>
      <c r="T2001" s="317" t="str">
        <f>GLOBAL_DER_FEV_2023!S2001</f>
        <v/>
      </c>
      <c r="W2001" s="582">
        <v>0</v>
      </c>
      <c r="X2001" s="580"/>
      <c r="Y2001" s="583">
        <f>IF(GLOBAL_DER_FEV_2023!W2001=0,0,IF(GLOBAL_DER_FEV_2023!W2001&gt;0,"c","b"))</f>
        <v>0</v>
      </c>
    </row>
    <row r="2002" spans="1:25" ht="15" customHeight="1" x14ac:dyDescent="0.2">
      <c r="A2002" s="317" t="s">
        <v>147</v>
      </c>
      <c r="B2002" s="895" t="s">
        <v>147</v>
      </c>
      <c r="C2002" s="896"/>
      <c r="D2002" s="906" t="s">
        <v>229</v>
      </c>
      <c r="E2002" s="907">
        <f>GLOBAL_DER_FEV_2023!E2002</f>
        <v>150</v>
      </c>
      <c r="F2002" s="908">
        <f>GLOBAL_DER_FEV_2023!F2002</f>
        <v>5.04E-2</v>
      </c>
      <c r="G2002" s="949">
        <f>GLOBAL_DER_FEV_2023!G2002</f>
        <v>8.2242720000000009</v>
      </c>
      <c r="H2002" s="901">
        <f>GLOBAL_DER_FEV_2023!H2002</f>
        <v>0</v>
      </c>
      <c r="I2002" s="901">
        <f>GLOBAL_DER_FEV_2023!I2002</f>
        <v>0</v>
      </c>
      <c r="J2002" s="902">
        <f>GLOBAL_DER_FEV_2023!J2002</f>
        <v>0</v>
      </c>
      <c r="K2002" s="903"/>
      <c r="L2002" s="1177"/>
      <c r="M2002" s="1138">
        <f t="shared" si="204"/>
        <v>0</v>
      </c>
      <c r="N2002" s="1176">
        <f t="shared" si="203"/>
        <v>0</v>
      </c>
      <c r="O2002" s="905"/>
      <c r="P2002" s="36" t="str">
        <f>IF(N2000&gt;0,"xx",IF(N2000&gt;0,"xy",""))</f>
        <v/>
      </c>
      <c r="Q2002" s="317" t="str">
        <f t="shared" si="205"/>
        <v/>
      </c>
      <c r="R2002" s="317" t="str">
        <f t="shared" si="201"/>
        <v/>
      </c>
      <c r="S2002" s="317" t="str">
        <f t="shared" si="202"/>
        <v/>
      </c>
      <c r="T2002" s="317" t="str">
        <f>GLOBAL_DER_FEV_2023!S2002</f>
        <v/>
      </c>
      <c r="W2002" s="582">
        <v>0</v>
      </c>
      <c r="X2002" s="580"/>
      <c r="Y2002" s="583">
        <f>IF(GLOBAL_DER_FEV_2023!W2002=0,0,IF(GLOBAL_DER_FEV_2023!W2002&gt;0,"c","b"))</f>
        <v>0</v>
      </c>
    </row>
    <row r="2003" spans="1:25" ht="15" customHeight="1" x14ac:dyDescent="0.2">
      <c r="A2003" s="317" t="s">
        <v>147</v>
      </c>
      <c r="B2003" s="895" t="s">
        <v>147</v>
      </c>
      <c r="C2003" s="896"/>
      <c r="D2003" s="906" t="s">
        <v>336</v>
      </c>
      <c r="E2003" s="907">
        <f>GLOBAL_DER_FEV_2023!E2003</f>
        <v>40</v>
      </c>
      <c r="F2003" s="908">
        <f>GLOBAL_DER_FEV_2023!F2003</f>
        <v>2.15</v>
      </c>
      <c r="G2003" s="949">
        <f>GLOBAL_DER_FEV_2023!G2003</f>
        <v>97.782000000000011</v>
      </c>
      <c r="H2003" s="901">
        <f>GLOBAL_DER_FEV_2023!H2003</f>
        <v>0</v>
      </c>
      <c r="I2003" s="901">
        <f>GLOBAL_DER_FEV_2023!I2003</f>
        <v>0</v>
      </c>
      <c r="J2003" s="902">
        <f>GLOBAL_DER_FEV_2023!J2003</f>
        <v>0</v>
      </c>
      <c r="K2003" s="903"/>
      <c r="L2003" s="1177"/>
      <c r="M2003" s="1138">
        <f t="shared" si="204"/>
        <v>0</v>
      </c>
      <c r="N2003" s="1176">
        <f t="shared" si="203"/>
        <v>0</v>
      </c>
      <c r="O2003" s="905"/>
      <c r="P2003" s="36" t="str">
        <f>IF(N2000&gt;0,"xx",IF(N2000&gt;0,"xy",""))</f>
        <v/>
      </c>
      <c r="Q2003" s="317" t="str">
        <f t="shared" si="205"/>
        <v/>
      </c>
      <c r="R2003" s="317" t="str">
        <f t="shared" ref="R2003:R2066" si="206">IF(P2003="X","x",IF(P2003="y","x",IF(P2003="xx","x",IF(N2003&gt;0,"x",""))))</f>
        <v/>
      </c>
      <c r="S2003" s="317" t="str">
        <f t="shared" ref="S2003:S2066" si="207">IF(P2003="X","x",IF(N2003&gt;0,"x",""))</f>
        <v/>
      </c>
      <c r="T2003" s="317" t="str">
        <f>GLOBAL_DER_FEV_2023!S2003</f>
        <v/>
      </c>
      <c r="W2003" s="582">
        <v>0</v>
      </c>
      <c r="X2003" s="580"/>
      <c r="Y2003" s="583">
        <f>IF(GLOBAL_DER_FEV_2023!W2003=0,0,IF(GLOBAL_DER_FEV_2023!W2003&gt;0,"c","b"))</f>
        <v>0</v>
      </c>
    </row>
    <row r="2004" spans="1:25" ht="15" customHeight="1" x14ac:dyDescent="0.2">
      <c r="A2004" s="317">
        <v>610400</v>
      </c>
      <c r="B2004" s="895" t="s">
        <v>1826</v>
      </c>
      <c r="C2004" s="896" t="s">
        <v>184</v>
      </c>
      <c r="D2004" s="906" t="s">
        <v>2025</v>
      </c>
      <c r="E2004" s="907">
        <f>GLOBAL_DER_FEV_2023!E2004</f>
        <v>0</v>
      </c>
      <c r="F2004" s="908">
        <f>GLOBAL_DER_FEV_2023!F2004</f>
        <v>0</v>
      </c>
      <c r="G2004" s="912">
        <f>GLOBAL_DER_FEV_2023!G2004</f>
        <v>9.2434740000000009</v>
      </c>
      <c r="H2004" s="901">
        <f>GLOBAL_DER_FEV_2023!H2004</f>
        <v>137.47</v>
      </c>
      <c r="I2004" s="901">
        <f>GLOBAL_DER_FEV_2023!I2004</f>
        <v>146.71347399999999</v>
      </c>
      <c r="J2004" s="902">
        <f>GLOBAL_DER_FEV_2023!J2004</f>
        <v>176.16</v>
      </c>
      <c r="K2004" s="903" t="s">
        <v>13</v>
      </c>
      <c r="L2004" s="1137"/>
      <c r="M2004" s="1138">
        <f t="shared" si="204"/>
        <v>0</v>
      </c>
      <c r="N2004" s="1176">
        <f t="shared" si="203"/>
        <v>0</v>
      </c>
      <c r="O2004" s="905"/>
      <c r="Q2004" s="317" t="str">
        <f t="shared" si="205"/>
        <v/>
      </c>
      <c r="R2004" s="317" t="str">
        <f t="shared" si="206"/>
        <v/>
      </c>
      <c r="S2004" s="317" t="str">
        <f t="shared" si="207"/>
        <v/>
      </c>
      <c r="T2004" s="317" t="str">
        <f>GLOBAL_DER_FEV_2023!S2004</f>
        <v/>
      </c>
      <c r="W2004" s="582">
        <v>0</v>
      </c>
      <c r="X2004" s="580"/>
      <c r="Y2004" s="583">
        <f>IF(GLOBAL_DER_FEV_2023!W2004=0,0,IF(GLOBAL_DER_FEV_2023!W2004&gt;0,"c","b"))</f>
        <v>0</v>
      </c>
    </row>
    <row r="2005" spans="1:25" ht="15" customHeight="1" x14ac:dyDescent="0.2">
      <c r="A2005" s="317" t="s">
        <v>147</v>
      </c>
      <c r="B2005" s="895" t="s">
        <v>147</v>
      </c>
      <c r="C2005" s="896"/>
      <c r="D2005" s="906" t="s">
        <v>190</v>
      </c>
      <c r="E2005" s="907">
        <f>GLOBAL_DER_FEV_2023!E2005</f>
        <v>308</v>
      </c>
      <c r="F2005" s="908">
        <f>GLOBAL_DER_FEV_2023!F2005</f>
        <v>1.9E-3</v>
      </c>
      <c r="G2005" s="909">
        <f>GLOBAL_DER_FEV_2023!G2005</f>
        <v>0.47131400000000001</v>
      </c>
      <c r="H2005" s="901">
        <f>GLOBAL_DER_FEV_2023!H2005</f>
        <v>0</v>
      </c>
      <c r="I2005" s="901">
        <f>GLOBAL_DER_FEV_2023!I2005</f>
        <v>0</v>
      </c>
      <c r="J2005" s="902">
        <f>GLOBAL_DER_FEV_2023!J2005</f>
        <v>0</v>
      </c>
      <c r="K2005" s="903"/>
      <c r="L2005" s="1177"/>
      <c r="M2005" s="1138">
        <f t="shared" si="204"/>
        <v>0</v>
      </c>
      <c r="N2005" s="1176">
        <f t="shared" si="203"/>
        <v>0</v>
      </c>
      <c r="O2005" s="905"/>
      <c r="P2005" s="36" t="str">
        <f>IF(N2004&gt;0,"xx",IF(N2004&gt;0,"xy",""))</f>
        <v/>
      </c>
      <c r="Q2005" s="317" t="str">
        <f t="shared" si="205"/>
        <v/>
      </c>
      <c r="R2005" s="317" t="str">
        <f t="shared" si="206"/>
        <v/>
      </c>
      <c r="S2005" s="317" t="str">
        <f t="shared" si="207"/>
        <v/>
      </c>
      <c r="T2005" s="317" t="str">
        <f>GLOBAL_DER_FEV_2023!S2005</f>
        <v/>
      </c>
      <c r="W2005" s="582">
        <v>0</v>
      </c>
      <c r="X2005" s="580"/>
      <c r="Y2005" s="583">
        <f>IF(GLOBAL_DER_FEV_2023!W2005=0,0,IF(GLOBAL_DER_FEV_2023!W2005&gt;0,"c","b"))</f>
        <v>0</v>
      </c>
    </row>
    <row r="2006" spans="1:25" ht="15" customHeight="1" x14ac:dyDescent="0.2">
      <c r="A2006" s="317" t="s">
        <v>147</v>
      </c>
      <c r="B2006" s="895" t="s">
        <v>147</v>
      </c>
      <c r="C2006" s="896"/>
      <c r="D2006" s="906" t="s">
        <v>229</v>
      </c>
      <c r="E2006" s="907">
        <f>GLOBAL_DER_FEV_2023!E2006</f>
        <v>150</v>
      </c>
      <c r="F2006" s="908">
        <f>GLOBAL_DER_FEV_2023!F2006</f>
        <v>0.01</v>
      </c>
      <c r="G2006" s="949">
        <f>GLOBAL_DER_FEV_2023!G2006</f>
        <v>1.6318000000000001</v>
      </c>
      <c r="H2006" s="901">
        <f>GLOBAL_DER_FEV_2023!H2006</f>
        <v>0</v>
      </c>
      <c r="I2006" s="901">
        <f>GLOBAL_DER_FEV_2023!I2006</f>
        <v>0</v>
      </c>
      <c r="J2006" s="902">
        <f>GLOBAL_DER_FEV_2023!J2006</f>
        <v>0</v>
      </c>
      <c r="K2006" s="903"/>
      <c r="L2006" s="1177"/>
      <c r="M2006" s="1138">
        <f t="shared" si="204"/>
        <v>0</v>
      </c>
      <c r="N2006" s="1176">
        <f t="shared" si="203"/>
        <v>0</v>
      </c>
      <c r="O2006" s="905"/>
      <c r="P2006" s="36" t="str">
        <f>IF(N2004&gt;0,"xx",IF(N2004&gt;0,"xy",""))</f>
        <v/>
      </c>
      <c r="Q2006" s="317" t="str">
        <f t="shared" si="205"/>
        <v/>
      </c>
      <c r="R2006" s="317" t="str">
        <f t="shared" si="206"/>
        <v/>
      </c>
      <c r="S2006" s="317" t="str">
        <f t="shared" si="207"/>
        <v/>
      </c>
      <c r="T2006" s="317" t="str">
        <f>GLOBAL_DER_FEV_2023!S2006</f>
        <v/>
      </c>
      <c r="W2006" s="582">
        <v>0</v>
      </c>
      <c r="X2006" s="580"/>
      <c r="Y2006" s="583">
        <f>IF(GLOBAL_DER_FEV_2023!W2006=0,0,IF(GLOBAL_DER_FEV_2023!W2006&gt;0,"c","b"))</f>
        <v>0</v>
      </c>
    </row>
    <row r="2007" spans="1:25" ht="15" customHeight="1" x14ac:dyDescent="0.2">
      <c r="A2007" s="317" t="s">
        <v>147</v>
      </c>
      <c r="B2007" s="895" t="s">
        <v>147</v>
      </c>
      <c r="C2007" s="896"/>
      <c r="D2007" s="906" t="s">
        <v>336</v>
      </c>
      <c r="E2007" s="907">
        <f>GLOBAL_DER_FEV_2023!E2007</f>
        <v>40</v>
      </c>
      <c r="F2007" s="908">
        <f>GLOBAL_DER_FEV_2023!F2007</f>
        <v>0.157</v>
      </c>
      <c r="G2007" s="949">
        <f>GLOBAL_DER_FEV_2023!G2007</f>
        <v>7.1403600000000003</v>
      </c>
      <c r="H2007" s="901">
        <f>GLOBAL_DER_FEV_2023!H2007</f>
        <v>0</v>
      </c>
      <c r="I2007" s="901">
        <f>GLOBAL_DER_FEV_2023!I2007</f>
        <v>0</v>
      </c>
      <c r="J2007" s="902">
        <f>GLOBAL_DER_FEV_2023!J2007</f>
        <v>0</v>
      </c>
      <c r="K2007" s="903"/>
      <c r="L2007" s="1177"/>
      <c r="M2007" s="1138">
        <f t="shared" si="204"/>
        <v>0</v>
      </c>
      <c r="N2007" s="1176">
        <f t="shared" ref="N2007:N2070" si="208">IF(ISBLANK(L2007),0,IF(W2007=0,ROUND(L2007*M2007,2),IF(W2007="b",ROUNDDOWN(L2007*M2007,2),ROUNDUP(L2007*M2007,2))))</f>
        <v>0</v>
      </c>
      <c r="O2007" s="905"/>
      <c r="P2007" s="36" t="str">
        <f>IF(N2004&gt;0,"xx",IF(N2004&gt;0,"xy",""))</f>
        <v/>
      </c>
      <c r="Q2007" s="317" t="str">
        <f t="shared" si="205"/>
        <v/>
      </c>
      <c r="R2007" s="317" t="str">
        <f t="shared" si="206"/>
        <v/>
      </c>
      <c r="S2007" s="317" t="str">
        <f t="shared" si="207"/>
        <v/>
      </c>
      <c r="T2007" s="317" t="str">
        <f>GLOBAL_DER_FEV_2023!S2007</f>
        <v/>
      </c>
      <c r="W2007" s="582">
        <v>0</v>
      </c>
      <c r="X2007" s="580"/>
      <c r="Y2007" s="583">
        <f>IF(GLOBAL_DER_FEV_2023!W2007=0,0,IF(GLOBAL_DER_FEV_2023!W2007&gt;0,"c","b"))</f>
        <v>0</v>
      </c>
    </row>
    <row r="2008" spans="1:25" ht="15" customHeight="1" x14ac:dyDescent="0.2">
      <c r="A2008" s="317">
        <v>610600</v>
      </c>
      <c r="B2008" s="895" t="s">
        <v>1831</v>
      </c>
      <c r="C2008" s="896" t="s">
        <v>184</v>
      </c>
      <c r="D2008" s="906" t="s">
        <v>2026</v>
      </c>
      <c r="E2008" s="907">
        <f>GLOBAL_DER_FEV_2023!E2008</f>
        <v>0</v>
      </c>
      <c r="F2008" s="908">
        <f>GLOBAL_DER_FEV_2023!F2008</f>
        <v>0</v>
      </c>
      <c r="G2008" s="912">
        <f>GLOBAL_DER_FEV_2023!G2008</f>
        <v>13.849744000000001</v>
      </c>
      <c r="H2008" s="901">
        <f>GLOBAL_DER_FEV_2023!H2008</f>
        <v>313.26</v>
      </c>
      <c r="I2008" s="901">
        <f>GLOBAL_DER_FEV_2023!I2008</f>
        <v>327.10974399999998</v>
      </c>
      <c r="J2008" s="902">
        <f>GLOBAL_DER_FEV_2023!J2008</f>
        <v>392.76</v>
      </c>
      <c r="K2008" s="903" t="s">
        <v>13</v>
      </c>
      <c r="L2008" s="1137"/>
      <c r="M2008" s="1138">
        <f t="shared" si="204"/>
        <v>0</v>
      </c>
      <c r="N2008" s="1176">
        <f t="shared" si="208"/>
        <v>0</v>
      </c>
      <c r="O2008" s="905"/>
      <c r="Q2008" s="317" t="str">
        <f t="shared" si="205"/>
        <v/>
      </c>
      <c r="R2008" s="317" t="str">
        <f t="shared" si="206"/>
        <v/>
      </c>
      <c r="S2008" s="317" t="str">
        <f t="shared" si="207"/>
        <v/>
      </c>
      <c r="T2008" s="317" t="str">
        <f>GLOBAL_DER_FEV_2023!S2008</f>
        <v/>
      </c>
      <c r="W2008" s="582">
        <v>0</v>
      </c>
      <c r="X2008" s="580"/>
      <c r="Y2008" s="583">
        <f>IF(GLOBAL_DER_FEV_2023!W2008=0,0,IF(GLOBAL_DER_FEV_2023!W2008&gt;0,"c","b"))</f>
        <v>0</v>
      </c>
    </row>
    <row r="2009" spans="1:25" ht="15" customHeight="1" x14ac:dyDescent="0.2">
      <c r="A2009" s="317" t="s">
        <v>147</v>
      </c>
      <c r="B2009" s="895" t="s">
        <v>147</v>
      </c>
      <c r="C2009" s="896"/>
      <c r="D2009" s="906" t="s">
        <v>190</v>
      </c>
      <c r="E2009" s="907">
        <f>GLOBAL_DER_FEV_2023!E2009</f>
        <v>308</v>
      </c>
      <c r="F2009" s="908">
        <f>GLOBAL_DER_FEV_2023!F2009</f>
        <v>2.3E-3</v>
      </c>
      <c r="G2009" s="909">
        <f>GLOBAL_DER_FEV_2023!G2009</f>
        <v>0.57053799999999999</v>
      </c>
      <c r="H2009" s="901">
        <f>GLOBAL_DER_FEV_2023!H2009</f>
        <v>0</v>
      </c>
      <c r="I2009" s="901">
        <f>GLOBAL_DER_FEV_2023!I2009</f>
        <v>0</v>
      </c>
      <c r="J2009" s="902">
        <f>GLOBAL_DER_FEV_2023!J2009</f>
        <v>0</v>
      </c>
      <c r="K2009" s="903"/>
      <c r="L2009" s="1177"/>
      <c r="M2009" s="1138">
        <f t="shared" si="204"/>
        <v>0</v>
      </c>
      <c r="N2009" s="1176">
        <f t="shared" si="208"/>
        <v>0</v>
      </c>
      <c r="O2009" s="905"/>
      <c r="P2009" s="36" t="str">
        <f>IF(N2008&gt;0,"xx",IF(N2008&gt;0,"xy",""))</f>
        <v/>
      </c>
      <c r="Q2009" s="317" t="str">
        <f t="shared" si="205"/>
        <v/>
      </c>
      <c r="R2009" s="317" t="str">
        <f t="shared" si="206"/>
        <v/>
      </c>
      <c r="S2009" s="317" t="str">
        <f t="shared" si="207"/>
        <v/>
      </c>
      <c r="T2009" s="317" t="str">
        <f>GLOBAL_DER_FEV_2023!S2009</f>
        <v/>
      </c>
      <c r="W2009" s="582">
        <v>0</v>
      </c>
      <c r="X2009" s="580"/>
      <c r="Y2009" s="583">
        <f>IF(GLOBAL_DER_FEV_2023!W2009=0,0,IF(GLOBAL_DER_FEV_2023!W2009&gt;0,"c","b"))</f>
        <v>0</v>
      </c>
    </row>
    <row r="2010" spans="1:25" ht="15" customHeight="1" x14ac:dyDescent="0.2">
      <c r="A2010" s="317" t="s">
        <v>147</v>
      </c>
      <c r="B2010" s="895" t="s">
        <v>147</v>
      </c>
      <c r="C2010" s="896"/>
      <c r="D2010" s="906" t="s">
        <v>229</v>
      </c>
      <c r="E2010" s="907">
        <f>GLOBAL_DER_FEV_2023!E2010</f>
        <v>150</v>
      </c>
      <c r="F2010" s="908">
        <f>GLOBAL_DER_FEV_2023!F2010</f>
        <v>1.17E-2</v>
      </c>
      <c r="G2010" s="949">
        <f>GLOBAL_DER_FEV_2023!G2010</f>
        <v>1.9092060000000002</v>
      </c>
      <c r="H2010" s="901">
        <f>GLOBAL_DER_FEV_2023!H2010</f>
        <v>0</v>
      </c>
      <c r="I2010" s="901">
        <f>GLOBAL_DER_FEV_2023!I2010</f>
        <v>0</v>
      </c>
      <c r="J2010" s="902">
        <f>GLOBAL_DER_FEV_2023!J2010</f>
        <v>0</v>
      </c>
      <c r="K2010" s="903"/>
      <c r="L2010" s="1177"/>
      <c r="M2010" s="1138">
        <f t="shared" si="204"/>
        <v>0</v>
      </c>
      <c r="N2010" s="1176">
        <f t="shared" si="208"/>
        <v>0</v>
      </c>
      <c r="O2010" s="905"/>
      <c r="P2010" s="36" t="str">
        <f>IF(N2008&gt;0,"xx",IF(N2008&gt;0,"xy",""))</f>
        <v/>
      </c>
      <c r="Q2010" s="317" t="str">
        <f t="shared" si="205"/>
        <v/>
      </c>
      <c r="R2010" s="317" t="str">
        <f t="shared" si="206"/>
        <v/>
      </c>
      <c r="S2010" s="317" t="str">
        <f t="shared" si="207"/>
        <v/>
      </c>
      <c r="T2010" s="317" t="str">
        <f>GLOBAL_DER_FEV_2023!S2010</f>
        <v/>
      </c>
      <c r="W2010" s="582">
        <v>0</v>
      </c>
      <c r="X2010" s="580"/>
      <c r="Y2010" s="583">
        <f>IF(GLOBAL_DER_FEV_2023!W2010=0,0,IF(GLOBAL_DER_FEV_2023!W2010&gt;0,"c","b"))</f>
        <v>0</v>
      </c>
    </row>
    <row r="2011" spans="1:25" ht="15" customHeight="1" x14ac:dyDescent="0.2">
      <c r="A2011" s="317" t="s">
        <v>147</v>
      </c>
      <c r="B2011" s="895" t="s">
        <v>147</v>
      </c>
      <c r="C2011" s="896"/>
      <c r="D2011" s="906" t="s">
        <v>336</v>
      </c>
      <c r="E2011" s="907">
        <f>GLOBAL_DER_FEV_2023!E2011</f>
        <v>40</v>
      </c>
      <c r="F2011" s="908">
        <f>GLOBAL_DER_FEV_2023!F2011</f>
        <v>0.25</v>
      </c>
      <c r="G2011" s="949">
        <f>GLOBAL_DER_FEV_2023!G2011</f>
        <v>11.370000000000001</v>
      </c>
      <c r="H2011" s="901">
        <f>GLOBAL_DER_FEV_2023!H2011</f>
        <v>0</v>
      </c>
      <c r="I2011" s="901">
        <f>GLOBAL_DER_FEV_2023!I2011</f>
        <v>0</v>
      </c>
      <c r="J2011" s="902">
        <f>GLOBAL_DER_FEV_2023!J2011</f>
        <v>0</v>
      </c>
      <c r="K2011" s="903"/>
      <c r="L2011" s="1177"/>
      <c r="M2011" s="1138">
        <f t="shared" si="204"/>
        <v>0</v>
      </c>
      <c r="N2011" s="1176">
        <f t="shared" si="208"/>
        <v>0</v>
      </c>
      <c r="O2011" s="905"/>
      <c r="P2011" s="36" t="str">
        <f>IF(N2008&gt;0,"xx",IF(N2008&gt;0,"xy",""))</f>
        <v/>
      </c>
      <c r="Q2011" s="317" t="str">
        <f t="shared" si="205"/>
        <v/>
      </c>
      <c r="R2011" s="317" t="str">
        <f t="shared" si="206"/>
        <v/>
      </c>
      <c r="S2011" s="317" t="str">
        <f t="shared" si="207"/>
        <v/>
      </c>
      <c r="T2011" s="317" t="str">
        <f>GLOBAL_DER_FEV_2023!S2011</f>
        <v/>
      </c>
      <c r="W2011" s="582">
        <v>0</v>
      </c>
      <c r="X2011" s="580"/>
      <c r="Y2011" s="583">
        <f>IF(GLOBAL_DER_FEV_2023!W2011=0,0,IF(GLOBAL_DER_FEV_2023!W2011&gt;0,"c","b"))</f>
        <v>0</v>
      </c>
    </row>
    <row r="2012" spans="1:25" ht="15" customHeight="1" x14ac:dyDescent="0.2">
      <c r="A2012" s="317">
        <v>610600</v>
      </c>
      <c r="B2012" s="895" t="s">
        <v>1832</v>
      </c>
      <c r="C2012" s="896" t="s">
        <v>184</v>
      </c>
      <c r="D2012" s="906" t="s">
        <v>2027</v>
      </c>
      <c r="E2012" s="907">
        <f>GLOBAL_DER_FEV_2023!E2012</f>
        <v>0</v>
      </c>
      <c r="F2012" s="908">
        <f>GLOBAL_DER_FEV_2023!F2012</f>
        <v>0</v>
      </c>
      <c r="G2012" s="912">
        <f>GLOBAL_DER_FEV_2023!G2012</f>
        <v>20.568768000000002</v>
      </c>
      <c r="H2012" s="901">
        <f>GLOBAL_DER_FEV_2023!H2012</f>
        <v>313.26</v>
      </c>
      <c r="I2012" s="901">
        <f>GLOBAL_DER_FEV_2023!I2012</f>
        <v>333.82876799999997</v>
      </c>
      <c r="J2012" s="902">
        <f>GLOBAL_DER_FEV_2023!J2012</f>
        <v>400.83</v>
      </c>
      <c r="K2012" s="903" t="s">
        <v>13</v>
      </c>
      <c r="L2012" s="1137"/>
      <c r="M2012" s="1138">
        <f t="shared" si="204"/>
        <v>0</v>
      </c>
      <c r="N2012" s="1176">
        <f t="shared" si="208"/>
        <v>0</v>
      </c>
      <c r="O2012" s="905"/>
      <c r="Q2012" s="317" t="str">
        <f t="shared" si="205"/>
        <v/>
      </c>
      <c r="R2012" s="317" t="str">
        <f t="shared" si="206"/>
        <v/>
      </c>
      <c r="S2012" s="317" t="str">
        <f t="shared" si="207"/>
        <v/>
      </c>
      <c r="T2012" s="317" t="str">
        <f>GLOBAL_DER_FEV_2023!S2012</f>
        <v/>
      </c>
      <c r="W2012" s="582">
        <v>0</v>
      </c>
      <c r="X2012" s="580"/>
      <c r="Y2012" s="583">
        <f>IF(GLOBAL_DER_FEV_2023!W2012=0,0,IF(GLOBAL_DER_FEV_2023!W2012&gt;0,"c","b"))</f>
        <v>0</v>
      </c>
    </row>
    <row r="2013" spans="1:25" ht="15" customHeight="1" x14ac:dyDescent="0.2">
      <c r="A2013" s="317" t="s">
        <v>147</v>
      </c>
      <c r="B2013" s="895" t="s">
        <v>147</v>
      </c>
      <c r="C2013" s="896"/>
      <c r="D2013" s="906" t="s">
        <v>190</v>
      </c>
      <c r="E2013" s="907">
        <f>GLOBAL_DER_FEV_2023!E2013</f>
        <v>308</v>
      </c>
      <c r="F2013" s="908">
        <f>GLOBAL_DER_FEV_2023!F2013</f>
        <v>2.5999999999999999E-3</v>
      </c>
      <c r="G2013" s="909">
        <f>GLOBAL_DER_FEV_2023!G2013</f>
        <v>0.64495599999999997</v>
      </c>
      <c r="H2013" s="901">
        <f>GLOBAL_DER_FEV_2023!H2013</f>
        <v>0</v>
      </c>
      <c r="I2013" s="901">
        <f>GLOBAL_DER_FEV_2023!I2013</f>
        <v>0</v>
      </c>
      <c r="J2013" s="902">
        <f>GLOBAL_DER_FEV_2023!J2013</f>
        <v>0</v>
      </c>
      <c r="K2013" s="903"/>
      <c r="L2013" s="1177"/>
      <c r="M2013" s="1138">
        <f t="shared" si="204"/>
        <v>0</v>
      </c>
      <c r="N2013" s="1176">
        <f t="shared" si="208"/>
        <v>0</v>
      </c>
      <c r="O2013" s="905"/>
      <c r="P2013" s="36" t="str">
        <f>IF(N2012&gt;0,"xx",IF(N2012&gt;0,"xy",""))</f>
        <v/>
      </c>
      <c r="Q2013" s="317" t="str">
        <f t="shared" si="205"/>
        <v/>
      </c>
      <c r="R2013" s="317" t="str">
        <f t="shared" si="206"/>
        <v/>
      </c>
      <c r="S2013" s="317" t="str">
        <f t="shared" si="207"/>
        <v/>
      </c>
      <c r="T2013" s="317" t="str">
        <f>GLOBAL_DER_FEV_2023!S2013</f>
        <v/>
      </c>
      <c r="W2013" s="582">
        <v>0</v>
      </c>
      <c r="X2013" s="580"/>
      <c r="Y2013" s="583">
        <f>IF(GLOBAL_DER_FEV_2023!W2013=0,0,IF(GLOBAL_DER_FEV_2023!W2013&gt;0,"c","b"))</f>
        <v>0</v>
      </c>
    </row>
    <row r="2014" spans="1:25" ht="15" customHeight="1" x14ac:dyDescent="0.2">
      <c r="A2014" s="317" t="s">
        <v>147</v>
      </c>
      <c r="B2014" s="895" t="s">
        <v>147</v>
      </c>
      <c r="C2014" s="896"/>
      <c r="D2014" s="906" t="s">
        <v>229</v>
      </c>
      <c r="E2014" s="907">
        <f>GLOBAL_DER_FEV_2023!E2014</f>
        <v>150</v>
      </c>
      <c r="F2014" s="908">
        <f>GLOBAL_DER_FEV_2023!F2014</f>
        <v>1.34E-2</v>
      </c>
      <c r="G2014" s="949">
        <f>GLOBAL_DER_FEV_2023!G2014</f>
        <v>2.1866120000000002</v>
      </c>
      <c r="H2014" s="901">
        <f>GLOBAL_DER_FEV_2023!H2014</f>
        <v>0</v>
      </c>
      <c r="I2014" s="901">
        <f>GLOBAL_DER_FEV_2023!I2014</f>
        <v>0</v>
      </c>
      <c r="J2014" s="902">
        <f>GLOBAL_DER_FEV_2023!J2014</f>
        <v>0</v>
      </c>
      <c r="K2014" s="903"/>
      <c r="L2014" s="1177"/>
      <c r="M2014" s="1138">
        <f t="shared" si="204"/>
        <v>0</v>
      </c>
      <c r="N2014" s="1176">
        <f t="shared" si="208"/>
        <v>0</v>
      </c>
      <c r="O2014" s="905"/>
      <c r="P2014" s="36" t="str">
        <f>IF(N2012&gt;0,"xx",IF(N2012&gt;0,"xy",""))</f>
        <v/>
      </c>
      <c r="Q2014" s="317" t="str">
        <f t="shared" si="205"/>
        <v/>
      </c>
      <c r="R2014" s="317" t="str">
        <f t="shared" si="206"/>
        <v/>
      </c>
      <c r="S2014" s="317" t="str">
        <f t="shared" si="207"/>
        <v/>
      </c>
      <c r="T2014" s="317" t="str">
        <f>GLOBAL_DER_FEV_2023!S2014</f>
        <v/>
      </c>
      <c r="W2014" s="582">
        <v>0</v>
      </c>
      <c r="X2014" s="580"/>
      <c r="Y2014" s="583">
        <f>IF(GLOBAL_DER_FEV_2023!W2014=0,0,IF(GLOBAL_DER_FEV_2023!W2014&gt;0,"c","b"))</f>
        <v>0</v>
      </c>
    </row>
    <row r="2015" spans="1:25" ht="15" customHeight="1" x14ac:dyDescent="0.2">
      <c r="A2015" s="317" t="s">
        <v>147</v>
      </c>
      <c r="B2015" s="895" t="s">
        <v>147</v>
      </c>
      <c r="C2015" s="896"/>
      <c r="D2015" s="906" t="s">
        <v>336</v>
      </c>
      <c r="E2015" s="907">
        <f>GLOBAL_DER_FEV_2023!E2015</f>
        <v>40</v>
      </c>
      <c r="F2015" s="908">
        <f>GLOBAL_DER_FEV_2023!F2015</f>
        <v>0.39</v>
      </c>
      <c r="G2015" s="949">
        <f>GLOBAL_DER_FEV_2023!G2015</f>
        <v>17.737200000000001</v>
      </c>
      <c r="H2015" s="901">
        <f>GLOBAL_DER_FEV_2023!H2015</f>
        <v>0</v>
      </c>
      <c r="I2015" s="901">
        <f>GLOBAL_DER_FEV_2023!I2015</f>
        <v>0</v>
      </c>
      <c r="J2015" s="902">
        <f>GLOBAL_DER_FEV_2023!J2015</f>
        <v>0</v>
      </c>
      <c r="K2015" s="903"/>
      <c r="L2015" s="1177"/>
      <c r="M2015" s="1138">
        <f t="shared" si="204"/>
        <v>0</v>
      </c>
      <c r="N2015" s="1176">
        <f t="shared" si="208"/>
        <v>0</v>
      </c>
      <c r="O2015" s="905"/>
      <c r="P2015" s="36" t="str">
        <f>IF(N2012&gt;0,"xx",IF(N2012&gt;0,"xy",""))</f>
        <v/>
      </c>
      <c r="Q2015" s="317" t="str">
        <f t="shared" si="205"/>
        <v/>
      </c>
      <c r="R2015" s="317" t="str">
        <f t="shared" si="206"/>
        <v/>
      </c>
      <c r="S2015" s="317" t="str">
        <f t="shared" si="207"/>
        <v/>
      </c>
      <c r="T2015" s="317" t="str">
        <f>GLOBAL_DER_FEV_2023!S2015</f>
        <v/>
      </c>
      <c r="W2015" s="582">
        <v>0</v>
      </c>
      <c r="X2015" s="580"/>
      <c r="Y2015" s="583">
        <f>IF(GLOBAL_DER_FEV_2023!W2015=0,0,IF(GLOBAL_DER_FEV_2023!W2015&gt;0,"c","b"))</f>
        <v>0</v>
      </c>
    </row>
    <row r="2016" spans="1:25" ht="15" customHeight="1" x14ac:dyDescent="0.2">
      <c r="A2016" s="317">
        <v>610800</v>
      </c>
      <c r="B2016" s="895" t="s">
        <v>1836</v>
      </c>
      <c r="C2016" s="896" t="s">
        <v>184</v>
      </c>
      <c r="D2016" s="906" t="s">
        <v>2028</v>
      </c>
      <c r="E2016" s="907">
        <f>GLOBAL_DER_FEV_2023!E2016</f>
        <v>0</v>
      </c>
      <c r="F2016" s="908">
        <f>GLOBAL_DER_FEV_2023!F2016</f>
        <v>0</v>
      </c>
      <c r="G2016" s="912">
        <f>GLOBAL_DER_FEV_2023!G2016</f>
        <v>27.287792000000003</v>
      </c>
      <c r="H2016" s="901">
        <f>GLOBAL_DER_FEV_2023!H2016</f>
        <v>514.41999999999996</v>
      </c>
      <c r="I2016" s="901">
        <f>GLOBAL_DER_FEV_2023!I2016</f>
        <v>541.70779199999993</v>
      </c>
      <c r="J2016" s="902">
        <f>GLOBAL_DER_FEV_2023!J2016</f>
        <v>650.42999999999995</v>
      </c>
      <c r="K2016" s="903" t="s">
        <v>13</v>
      </c>
      <c r="L2016" s="1137"/>
      <c r="M2016" s="1138">
        <f t="shared" si="204"/>
        <v>0</v>
      </c>
      <c r="N2016" s="1176">
        <f t="shared" si="208"/>
        <v>0</v>
      </c>
      <c r="O2016" s="905"/>
      <c r="Q2016" s="317" t="str">
        <f t="shared" si="205"/>
        <v/>
      </c>
      <c r="R2016" s="317" t="str">
        <f t="shared" si="206"/>
        <v/>
      </c>
      <c r="S2016" s="317" t="str">
        <f t="shared" si="207"/>
        <v/>
      </c>
      <c r="T2016" s="317" t="str">
        <f>GLOBAL_DER_FEV_2023!S2016</f>
        <v/>
      </c>
      <c r="W2016" s="582">
        <v>0</v>
      </c>
      <c r="X2016" s="580"/>
      <c r="Y2016" s="583">
        <f>IF(GLOBAL_DER_FEV_2023!W2016=0,0,IF(GLOBAL_DER_FEV_2023!W2016&gt;0,"c","b"))</f>
        <v>0</v>
      </c>
    </row>
    <row r="2017" spans="1:25" ht="15" customHeight="1" x14ac:dyDescent="0.2">
      <c r="A2017" s="317" t="s">
        <v>147</v>
      </c>
      <c r="B2017" s="895" t="s">
        <v>147</v>
      </c>
      <c r="C2017" s="896"/>
      <c r="D2017" s="906" t="s">
        <v>190</v>
      </c>
      <c r="E2017" s="907">
        <f>GLOBAL_DER_FEV_2023!E2017</f>
        <v>308</v>
      </c>
      <c r="F2017" s="908">
        <f>GLOBAL_DER_FEV_2023!F2017</f>
        <v>2.8999999999999998E-3</v>
      </c>
      <c r="G2017" s="909">
        <f>GLOBAL_DER_FEV_2023!G2017</f>
        <v>0.71937399999999996</v>
      </c>
      <c r="H2017" s="901">
        <f>GLOBAL_DER_FEV_2023!H2017</f>
        <v>0</v>
      </c>
      <c r="I2017" s="901">
        <f>GLOBAL_DER_FEV_2023!I2017</f>
        <v>0</v>
      </c>
      <c r="J2017" s="902">
        <f>GLOBAL_DER_FEV_2023!J2017</f>
        <v>0</v>
      </c>
      <c r="K2017" s="903"/>
      <c r="L2017" s="1177"/>
      <c r="M2017" s="1138">
        <f t="shared" si="204"/>
        <v>0</v>
      </c>
      <c r="N2017" s="1176">
        <f t="shared" si="208"/>
        <v>0</v>
      </c>
      <c r="O2017" s="905"/>
      <c r="P2017" s="36" t="str">
        <f>IF(N2016&gt;0,"xx",IF(N2016&gt;0,"xy",""))</f>
        <v/>
      </c>
      <c r="Q2017" s="317" t="str">
        <f t="shared" si="205"/>
        <v/>
      </c>
      <c r="R2017" s="317" t="str">
        <f t="shared" si="206"/>
        <v/>
      </c>
      <c r="S2017" s="317" t="str">
        <f t="shared" si="207"/>
        <v/>
      </c>
      <c r="T2017" s="317" t="str">
        <f>GLOBAL_DER_FEV_2023!S2017</f>
        <v/>
      </c>
      <c r="W2017" s="582">
        <v>0</v>
      </c>
      <c r="X2017" s="580"/>
      <c r="Y2017" s="583">
        <f>IF(GLOBAL_DER_FEV_2023!W2017=0,0,IF(GLOBAL_DER_FEV_2023!W2017&gt;0,"c","b"))</f>
        <v>0</v>
      </c>
    </row>
    <row r="2018" spans="1:25" ht="15" customHeight="1" x14ac:dyDescent="0.2">
      <c r="A2018" s="317" t="s">
        <v>147</v>
      </c>
      <c r="B2018" s="895" t="s">
        <v>147</v>
      </c>
      <c r="C2018" s="896"/>
      <c r="D2018" s="906" t="s">
        <v>229</v>
      </c>
      <c r="E2018" s="907">
        <f>GLOBAL_DER_FEV_2023!E2018</f>
        <v>150</v>
      </c>
      <c r="F2018" s="908">
        <f>GLOBAL_DER_FEV_2023!F2018</f>
        <v>1.5100000000000001E-2</v>
      </c>
      <c r="G2018" s="949">
        <f>GLOBAL_DER_FEV_2023!G2018</f>
        <v>2.4640180000000003</v>
      </c>
      <c r="H2018" s="901">
        <f>GLOBAL_DER_FEV_2023!H2018</f>
        <v>0</v>
      </c>
      <c r="I2018" s="901">
        <f>GLOBAL_DER_FEV_2023!I2018</f>
        <v>0</v>
      </c>
      <c r="J2018" s="902">
        <f>GLOBAL_DER_FEV_2023!J2018</f>
        <v>0</v>
      </c>
      <c r="K2018" s="903"/>
      <c r="L2018" s="1177"/>
      <c r="M2018" s="1138">
        <f t="shared" si="204"/>
        <v>0</v>
      </c>
      <c r="N2018" s="1176">
        <f t="shared" si="208"/>
        <v>0</v>
      </c>
      <c r="O2018" s="905"/>
      <c r="P2018" s="36" t="str">
        <f>IF(N2016&gt;0,"xx",IF(N2016&gt;0,"xy",""))</f>
        <v/>
      </c>
      <c r="Q2018" s="317" t="str">
        <f t="shared" si="205"/>
        <v/>
      </c>
      <c r="R2018" s="317" t="str">
        <f t="shared" si="206"/>
        <v/>
      </c>
      <c r="S2018" s="317" t="str">
        <f t="shared" si="207"/>
        <v/>
      </c>
      <c r="T2018" s="317" t="str">
        <f>GLOBAL_DER_FEV_2023!S2018</f>
        <v/>
      </c>
      <c r="W2018" s="582">
        <v>0</v>
      </c>
      <c r="X2018" s="580"/>
      <c r="Y2018" s="583">
        <f>IF(GLOBAL_DER_FEV_2023!W2018=0,0,IF(GLOBAL_DER_FEV_2023!W2018&gt;0,"c","b"))</f>
        <v>0</v>
      </c>
    </row>
    <row r="2019" spans="1:25" ht="15" customHeight="1" x14ac:dyDescent="0.2">
      <c r="A2019" s="317" t="s">
        <v>147</v>
      </c>
      <c r="B2019" s="895" t="s">
        <v>147</v>
      </c>
      <c r="C2019" s="896"/>
      <c r="D2019" s="906" t="s">
        <v>336</v>
      </c>
      <c r="E2019" s="907">
        <f>GLOBAL_DER_FEV_2023!E2019</f>
        <v>40</v>
      </c>
      <c r="F2019" s="908">
        <f>GLOBAL_DER_FEV_2023!F2019</f>
        <v>0.53</v>
      </c>
      <c r="G2019" s="949">
        <f>GLOBAL_DER_FEV_2023!G2019</f>
        <v>24.104400000000002</v>
      </c>
      <c r="H2019" s="901">
        <f>GLOBAL_DER_FEV_2023!H2019</f>
        <v>0</v>
      </c>
      <c r="I2019" s="901">
        <f>GLOBAL_DER_FEV_2023!I2019</f>
        <v>0</v>
      </c>
      <c r="J2019" s="902">
        <f>GLOBAL_DER_FEV_2023!J2019</f>
        <v>0</v>
      </c>
      <c r="K2019" s="903"/>
      <c r="L2019" s="1177"/>
      <c r="M2019" s="1138">
        <f t="shared" si="204"/>
        <v>0</v>
      </c>
      <c r="N2019" s="1176">
        <f t="shared" si="208"/>
        <v>0</v>
      </c>
      <c r="O2019" s="905"/>
      <c r="P2019" s="36" t="str">
        <f>IF(N2016&gt;0,"xx",IF(N2016&gt;0,"xy",""))</f>
        <v/>
      </c>
      <c r="Q2019" s="317" t="str">
        <f t="shared" si="205"/>
        <v/>
      </c>
      <c r="R2019" s="317" t="str">
        <f t="shared" si="206"/>
        <v/>
      </c>
      <c r="S2019" s="317" t="str">
        <f t="shared" si="207"/>
        <v/>
      </c>
      <c r="T2019" s="317" t="str">
        <f>GLOBAL_DER_FEV_2023!S2019</f>
        <v/>
      </c>
      <c r="W2019" s="582">
        <v>0</v>
      </c>
      <c r="X2019" s="580"/>
      <c r="Y2019" s="583">
        <f>IF(GLOBAL_DER_FEV_2023!W2019=0,0,IF(GLOBAL_DER_FEV_2023!W2019&gt;0,"c","b"))</f>
        <v>0</v>
      </c>
    </row>
    <row r="2020" spans="1:25" ht="15" customHeight="1" x14ac:dyDescent="0.2">
      <c r="A2020" s="317">
        <v>610800</v>
      </c>
      <c r="B2020" s="895" t="s">
        <v>1837</v>
      </c>
      <c r="C2020" s="896" t="s">
        <v>184</v>
      </c>
      <c r="D2020" s="906" t="s">
        <v>2029</v>
      </c>
      <c r="E2020" s="907">
        <f>GLOBAL_DER_FEV_2023!E2020</f>
        <v>0</v>
      </c>
      <c r="F2020" s="908">
        <f>GLOBAL_DER_FEV_2023!F2020</f>
        <v>0</v>
      </c>
      <c r="G2020" s="912">
        <f>GLOBAL_DER_FEV_2023!G2020</f>
        <v>34.006816000000008</v>
      </c>
      <c r="H2020" s="901">
        <f>GLOBAL_DER_FEV_2023!H2020</f>
        <v>514.41999999999996</v>
      </c>
      <c r="I2020" s="901">
        <f>GLOBAL_DER_FEV_2023!I2020</f>
        <v>548.42681599999992</v>
      </c>
      <c r="J2020" s="902">
        <f>GLOBAL_DER_FEV_2023!J2020</f>
        <v>658.5</v>
      </c>
      <c r="K2020" s="903" t="s">
        <v>13</v>
      </c>
      <c r="L2020" s="1137"/>
      <c r="M2020" s="1138">
        <f t="shared" si="204"/>
        <v>0</v>
      </c>
      <c r="N2020" s="1176">
        <f t="shared" si="208"/>
        <v>0</v>
      </c>
      <c r="O2020" s="905"/>
      <c r="Q2020" s="317" t="str">
        <f t="shared" si="205"/>
        <v/>
      </c>
      <c r="R2020" s="317" t="str">
        <f t="shared" si="206"/>
        <v/>
      </c>
      <c r="S2020" s="317" t="str">
        <f t="shared" si="207"/>
        <v/>
      </c>
      <c r="T2020" s="317" t="str">
        <f>GLOBAL_DER_FEV_2023!S2020</f>
        <v/>
      </c>
      <c r="W2020" s="582">
        <v>0</v>
      </c>
      <c r="X2020" s="580"/>
      <c r="Y2020" s="583">
        <f>IF(GLOBAL_DER_FEV_2023!W2020=0,0,IF(GLOBAL_DER_FEV_2023!W2020&gt;0,"c","b"))</f>
        <v>0</v>
      </c>
    </row>
    <row r="2021" spans="1:25" ht="15" customHeight="1" x14ac:dyDescent="0.2">
      <c r="A2021" s="317" t="s">
        <v>147</v>
      </c>
      <c r="B2021" s="895" t="s">
        <v>147</v>
      </c>
      <c r="C2021" s="896"/>
      <c r="D2021" s="906" t="s">
        <v>190</v>
      </c>
      <c r="E2021" s="907">
        <f>GLOBAL_DER_FEV_2023!E2021</f>
        <v>308</v>
      </c>
      <c r="F2021" s="908">
        <f>GLOBAL_DER_FEV_2023!F2021</f>
        <v>3.2000000000000002E-3</v>
      </c>
      <c r="G2021" s="909">
        <f>GLOBAL_DER_FEV_2023!G2021</f>
        <v>0.79379200000000005</v>
      </c>
      <c r="H2021" s="901">
        <f>GLOBAL_DER_FEV_2023!H2021</f>
        <v>0</v>
      </c>
      <c r="I2021" s="901">
        <f>GLOBAL_DER_FEV_2023!I2021</f>
        <v>0</v>
      </c>
      <c r="J2021" s="902">
        <f>GLOBAL_DER_FEV_2023!J2021</f>
        <v>0</v>
      </c>
      <c r="K2021" s="903"/>
      <c r="L2021" s="1177"/>
      <c r="M2021" s="1138">
        <f t="shared" si="204"/>
        <v>0</v>
      </c>
      <c r="N2021" s="1176">
        <f t="shared" si="208"/>
        <v>0</v>
      </c>
      <c r="O2021" s="905"/>
      <c r="P2021" s="36" t="str">
        <f>IF(N2020&gt;0,"xx",IF(N2020&gt;0,"xy",""))</f>
        <v/>
      </c>
      <c r="Q2021" s="317" t="str">
        <f t="shared" si="205"/>
        <v/>
      </c>
      <c r="R2021" s="317" t="str">
        <f t="shared" si="206"/>
        <v/>
      </c>
      <c r="S2021" s="317" t="str">
        <f t="shared" si="207"/>
        <v/>
      </c>
      <c r="T2021" s="317" t="str">
        <f>GLOBAL_DER_FEV_2023!S2021</f>
        <v/>
      </c>
      <c r="W2021" s="582">
        <v>0</v>
      </c>
      <c r="X2021" s="580"/>
      <c r="Y2021" s="583">
        <f>IF(GLOBAL_DER_FEV_2023!W2021=0,0,IF(GLOBAL_DER_FEV_2023!W2021&gt;0,"c","b"))</f>
        <v>0</v>
      </c>
    </row>
    <row r="2022" spans="1:25" ht="15" customHeight="1" x14ac:dyDescent="0.2">
      <c r="A2022" s="317" t="s">
        <v>147</v>
      </c>
      <c r="B2022" s="895" t="s">
        <v>147</v>
      </c>
      <c r="C2022" s="896"/>
      <c r="D2022" s="906" t="s">
        <v>229</v>
      </c>
      <c r="E2022" s="907">
        <f>GLOBAL_DER_FEV_2023!E2022</f>
        <v>150</v>
      </c>
      <c r="F2022" s="908">
        <f>GLOBAL_DER_FEV_2023!F2022</f>
        <v>1.6799999999999999E-2</v>
      </c>
      <c r="G2022" s="949">
        <f>GLOBAL_DER_FEV_2023!G2022</f>
        <v>2.7414239999999999</v>
      </c>
      <c r="H2022" s="901">
        <f>GLOBAL_DER_FEV_2023!H2022</f>
        <v>0</v>
      </c>
      <c r="I2022" s="901">
        <f>GLOBAL_DER_FEV_2023!I2022</f>
        <v>0</v>
      </c>
      <c r="J2022" s="902">
        <f>GLOBAL_DER_FEV_2023!J2022</f>
        <v>0</v>
      </c>
      <c r="K2022" s="903"/>
      <c r="L2022" s="1177"/>
      <c r="M2022" s="1138">
        <f t="shared" si="204"/>
        <v>0</v>
      </c>
      <c r="N2022" s="1176">
        <f t="shared" si="208"/>
        <v>0</v>
      </c>
      <c r="O2022" s="905"/>
      <c r="P2022" s="36" t="str">
        <f>IF(N2020&gt;0,"xx",IF(N2020&gt;0,"xy",""))</f>
        <v/>
      </c>
      <c r="Q2022" s="317" t="str">
        <f t="shared" si="205"/>
        <v/>
      </c>
      <c r="R2022" s="317" t="str">
        <f t="shared" si="206"/>
        <v/>
      </c>
      <c r="S2022" s="317" t="str">
        <f t="shared" si="207"/>
        <v/>
      </c>
      <c r="T2022" s="317" t="str">
        <f>GLOBAL_DER_FEV_2023!S2022</f>
        <v/>
      </c>
      <c r="W2022" s="582">
        <v>0</v>
      </c>
      <c r="X2022" s="580"/>
      <c r="Y2022" s="583">
        <f>IF(GLOBAL_DER_FEV_2023!W2022=0,0,IF(GLOBAL_DER_FEV_2023!W2022&gt;0,"c","b"))</f>
        <v>0</v>
      </c>
    </row>
    <row r="2023" spans="1:25" ht="15" customHeight="1" x14ac:dyDescent="0.2">
      <c r="A2023" s="317" t="s">
        <v>147</v>
      </c>
      <c r="B2023" s="895" t="s">
        <v>147</v>
      </c>
      <c r="C2023" s="896"/>
      <c r="D2023" s="906" t="s">
        <v>336</v>
      </c>
      <c r="E2023" s="907">
        <f>GLOBAL_DER_FEV_2023!E2023</f>
        <v>40</v>
      </c>
      <c r="F2023" s="908">
        <f>GLOBAL_DER_FEV_2023!F2023</f>
        <v>0.67</v>
      </c>
      <c r="G2023" s="949">
        <f>GLOBAL_DER_FEV_2023!G2023</f>
        <v>30.471600000000006</v>
      </c>
      <c r="H2023" s="901">
        <f>GLOBAL_DER_FEV_2023!H2023</f>
        <v>0</v>
      </c>
      <c r="I2023" s="901">
        <f>GLOBAL_DER_FEV_2023!I2023</f>
        <v>0</v>
      </c>
      <c r="J2023" s="902">
        <f>GLOBAL_DER_FEV_2023!J2023</f>
        <v>0</v>
      </c>
      <c r="K2023" s="903"/>
      <c r="L2023" s="1177"/>
      <c r="M2023" s="1138">
        <f t="shared" si="204"/>
        <v>0</v>
      </c>
      <c r="N2023" s="1176">
        <f t="shared" si="208"/>
        <v>0</v>
      </c>
      <c r="O2023" s="905"/>
      <c r="P2023" s="36" t="str">
        <f>IF(N2020&gt;0,"xx",IF(N2020&gt;0,"xy",""))</f>
        <v/>
      </c>
      <c r="Q2023" s="317" t="str">
        <f t="shared" si="205"/>
        <v/>
      </c>
      <c r="R2023" s="317" t="str">
        <f t="shared" si="206"/>
        <v/>
      </c>
      <c r="S2023" s="317" t="str">
        <f t="shared" si="207"/>
        <v/>
      </c>
      <c r="T2023" s="317" t="str">
        <f>GLOBAL_DER_FEV_2023!S2023</f>
        <v/>
      </c>
      <c r="W2023" s="582">
        <v>0</v>
      </c>
      <c r="X2023" s="580"/>
      <c r="Y2023" s="583">
        <f>IF(GLOBAL_DER_FEV_2023!W2023=0,0,IF(GLOBAL_DER_FEV_2023!W2023&gt;0,"c","b"))</f>
        <v>0</v>
      </c>
    </row>
    <row r="2024" spans="1:25" ht="15" customHeight="1" x14ac:dyDescent="0.2">
      <c r="A2024" s="317">
        <v>611000</v>
      </c>
      <c r="B2024" s="895" t="s">
        <v>1844</v>
      </c>
      <c r="C2024" s="896" t="s">
        <v>184</v>
      </c>
      <c r="D2024" s="906" t="s">
        <v>2030</v>
      </c>
      <c r="E2024" s="907">
        <f>GLOBAL_DER_FEV_2023!E2024</f>
        <v>0</v>
      </c>
      <c r="F2024" s="908">
        <f>GLOBAL_DER_FEV_2023!F2024</f>
        <v>0</v>
      </c>
      <c r="G2024" s="912">
        <f>GLOBAL_DER_FEV_2023!G2024</f>
        <v>42.394820000000003</v>
      </c>
      <c r="H2024" s="901">
        <f>GLOBAL_DER_FEV_2023!H2024</f>
        <v>803.98</v>
      </c>
      <c r="I2024" s="901">
        <f>GLOBAL_DER_FEV_2023!I2024</f>
        <v>846.37482</v>
      </c>
      <c r="J2024" s="902">
        <f>GLOBAL_DER_FEV_2023!J2024</f>
        <v>1016.24</v>
      </c>
      <c r="K2024" s="903" t="s">
        <v>13</v>
      </c>
      <c r="L2024" s="1137"/>
      <c r="M2024" s="1138">
        <f t="shared" si="204"/>
        <v>0</v>
      </c>
      <c r="N2024" s="1176">
        <f t="shared" si="208"/>
        <v>0</v>
      </c>
      <c r="O2024" s="905"/>
      <c r="Q2024" s="317" t="str">
        <f t="shared" si="205"/>
        <v/>
      </c>
      <c r="R2024" s="317" t="str">
        <f t="shared" si="206"/>
        <v/>
      </c>
      <c r="S2024" s="317" t="str">
        <f t="shared" si="207"/>
        <v/>
      </c>
      <c r="T2024" s="317" t="str">
        <f>GLOBAL_DER_FEV_2023!S2024</f>
        <v/>
      </c>
      <c r="W2024" s="582">
        <v>0</v>
      </c>
      <c r="X2024" s="580"/>
      <c r="Y2024" s="583">
        <f>IF(GLOBAL_DER_FEV_2023!W2024=0,0,IF(GLOBAL_DER_FEV_2023!W2024&gt;0,"c","b"))</f>
        <v>0</v>
      </c>
    </row>
    <row r="2025" spans="1:25" ht="15" customHeight="1" x14ac:dyDescent="0.2">
      <c r="A2025" s="317" t="s">
        <v>147</v>
      </c>
      <c r="B2025" s="895" t="s">
        <v>147</v>
      </c>
      <c r="C2025" s="896"/>
      <c r="D2025" s="906" t="s">
        <v>190</v>
      </c>
      <c r="E2025" s="907">
        <f>GLOBAL_DER_FEV_2023!E2025</f>
        <v>308</v>
      </c>
      <c r="F2025" s="908">
        <f>GLOBAL_DER_FEV_2023!F2025</f>
        <v>4.0000000000000001E-3</v>
      </c>
      <c r="G2025" s="909">
        <f>GLOBAL_DER_FEV_2023!G2025</f>
        <v>0.99224000000000001</v>
      </c>
      <c r="H2025" s="901">
        <f>GLOBAL_DER_FEV_2023!H2025</f>
        <v>0</v>
      </c>
      <c r="I2025" s="901">
        <f>GLOBAL_DER_FEV_2023!I2025</f>
        <v>0</v>
      </c>
      <c r="J2025" s="902">
        <f>GLOBAL_DER_FEV_2023!J2025</f>
        <v>0</v>
      </c>
      <c r="K2025" s="903"/>
      <c r="L2025" s="1177"/>
      <c r="M2025" s="1138">
        <f t="shared" si="204"/>
        <v>0</v>
      </c>
      <c r="N2025" s="1176">
        <f t="shared" si="208"/>
        <v>0</v>
      </c>
      <c r="O2025" s="905"/>
      <c r="P2025" s="36" t="str">
        <f>IF(N2024&gt;0,"xx",IF(N2024&gt;0,"xy",""))</f>
        <v/>
      </c>
      <c r="Q2025" s="317" t="str">
        <f t="shared" si="205"/>
        <v/>
      </c>
      <c r="R2025" s="317" t="str">
        <f t="shared" si="206"/>
        <v/>
      </c>
      <c r="S2025" s="317" t="str">
        <f t="shared" si="207"/>
        <v/>
      </c>
      <c r="T2025" s="317" t="str">
        <f>GLOBAL_DER_FEV_2023!S2025</f>
        <v/>
      </c>
      <c r="W2025" s="582">
        <v>0</v>
      </c>
      <c r="X2025" s="580"/>
      <c r="Y2025" s="583">
        <f>IF(GLOBAL_DER_FEV_2023!W2025=0,0,IF(GLOBAL_DER_FEV_2023!W2025&gt;0,"c","b"))</f>
        <v>0</v>
      </c>
    </row>
    <row r="2026" spans="1:25" ht="15" customHeight="1" x14ac:dyDescent="0.2">
      <c r="A2026" s="317" t="s">
        <v>147</v>
      </c>
      <c r="B2026" s="895" t="s">
        <v>147</v>
      </c>
      <c r="C2026" s="896"/>
      <c r="D2026" s="906" t="s">
        <v>229</v>
      </c>
      <c r="E2026" s="907">
        <f>GLOBAL_DER_FEV_2023!E2026</f>
        <v>150</v>
      </c>
      <c r="F2026" s="908">
        <f>GLOBAL_DER_FEV_2023!F2026</f>
        <v>2.1000000000000001E-2</v>
      </c>
      <c r="G2026" s="949">
        <f>GLOBAL_DER_FEV_2023!G2026</f>
        <v>3.4267800000000004</v>
      </c>
      <c r="H2026" s="901">
        <f>GLOBAL_DER_FEV_2023!H2026</f>
        <v>0</v>
      </c>
      <c r="I2026" s="901">
        <f>GLOBAL_DER_FEV_2023!I2026</f>
        <v>0</v>
      </c>
      <c r="J2026" s="902">
        <f>GLOBAL_DER_FEV_2023!J2026</f>
        <v>0</v>
      </c>
      <c r="K2026" s="903"/>
      <c r="L2026" s="1177"/>
      <c r="M2026" s="1138">
        <f t="shared" si="204"/>
        <v>0</v>
      </c>
      <c r="N2026" s="1176">
        <f t="shared" si="208"/>
        <v>0</v>
      </c>
      <c r="O2026" s="905"/>
      <c r="P2026" s="36" t="str">
        <f>IF(N2024&gt;0,"xx",IF(N2024&gt;0,"xy",""))</f>
        <v/>
      </c>
      <c r="Q2026" s="317" t="str">
        <f t="shared" si="205"/>
        <v/>
      </c>
      <c r="R2026" s="317" t="str">
        <f t="shared" si="206"/>
        <v/>
      </c>
      <c r="S2026" s="317" t="str">
        <f t="shared" si="207"/>
        <v/>
      </c>
      <c r="T2026" s="317" t="str">
        <f>GLOBAL_DER_FEV_2023!S2026</f>
        <v/>
      </c>
      <c r="W2026" s="582">
        <v>0</v>
      </c>
      <c r="X2026" s="580"/>
      <c r="Y2026" s="583">
        <f>IF(GLOBAL_DER_FEV_2023!W2026=0,0,IF(GLOBAL_DER_FEV_2023!W2026&gt;0,"c","b"))</f>
        <v>0</v>
      </c>
    </row>
    <row r="2027" spans="1:25" ht="15" customHeight="1" x14ac:dyDescent="0.2">
      <c r="A2027" s="317" t="s">
        <v>147</v>
      </c>
      <c r="B2027" s="895" t="s">
        <v>147</v>
      </c>
      <c r="C2027" s="896"/>
      <c r="D2027" s="906" t="s">
        <v>336</v>
      </c>
      <c r="E2027" s="907">
        <f>GLOBAL_DER_FEV_2023!E2027</f>
        <v>40</v>
      </c>
      <c r="F2027" s="908">
        <f>GLOBAL_DER_FEV_2023!F2027</f>
        <v>0.83499999999999996</v>
      </c>
      <c r="G2027" s="949">
        <f>GLOBAL_DER_FEV_2023!G2027</f>
        <v>37.9758</v>
      </c>
      <c r="H2027" s="901">
        <f>GLOBAL_DER_FEV_2023!H2027</f>
        <v>0</v>
      </c>
      <c r="I2027" s="901">
        <f>GLOBAL_DER_FEV_2023!I2027</f>
        <v>0</v>
      </c>
      <c r="J2027" s="902">
        <f>GLOBAL_DER_FEV_2023!J2027</f>
        <v>0</v>
      </c>
      <c r="K2027" s="903"/>
      <c r="L2027" s="1177"/>
      <c r="M2027" s="1138">
        <f t="shared" si="204"/>
        <v>0</v>
      </c>
      <c r="N2027" s="1176">
        <f t="shared" si="208"/>
        <v>0</v>
      </c>
      <c r="O2027" s="905"/>
      <c r="P2027" s="36" t="str">
        <f>IF(N2024&gt;0,"xx",IF(N2024&gt;0,"xy",""))</f>
        <v/>
      </c>
      <c r="Q2027" s="317" t="str">
        <f t="shared" si="205"/>
        <v/>
      </c>
      <c r="R2027" s="317" t="str">
        <f t="shared" si="206"/>
        <v/>
      </c>
      <c r="S2027" s="317" t="str">
        <f t="shared" si="207"/>
        <v/>
      </c>
      <c r="T2027" s="317" t="str">
        <f>GLOBAL_DER_FEV_2023!S2027</f>
        <v/>
      </c>
      <c r="W2027" s="582">
        <v>0</v>
      </c>
      <c r="X2027" s="580"/>
      <c r="Y2027" s="583">
        <f>IF(GLOBAL_DER_FEV_2023!W2027=0,0,IF(GLOBAL_DER_FEV_2023!W2027&gt;0,"c","b"))</f>
        <v>0</v>
      </c>
    </row>
    <row r="2028" spans="1:25" ht="15" customHeight="1" x14ac:dyDescent="0.2">
      <c r="A2028" s="317">
        <v>611000</v>
      </c>
      <c r="B2028" s="895" t="s">
        <v>1845</v>
      </c>
      <c r="C2028" s="896" t="s">
        <v>184</v>
      </c>
      <c r="D2028" s="906" t="s">
        <v>2031</v>
      </c>
      <c r="E2028" s="907">
        <f>GLOBAL_DER_FEV_2023!E2028</f>
        <v>0</v>
      </c>
      <c r="F2028" s="908">
        <f>GLOBAL_DER_FEV_2023!F2028</f>
        <v>0</v>
      </c>
      <c r="G2028" s="912">
        <f>GLOBAL_DER_FEV_2023!G2028</f>
        <v>50.782824000000005</v>
      </c>
      <c r="H2028" s="901">
        <f>GLOBAL_DER_FEV_2023!H2028</f>
        <v>803.98</v>
      </c>
      <c r="I2028" s="901">
        <f>GLOBAL_DER_FEV_2023!I2028</f>
        <v>854.76282400000002</v>
      </c>
      <c r="J2028" s="902">
        <f>GLOBAL_DER_FEV_2023!J2028</f>
        <v>1026.31</v>
      </c>
      <c r="K2028" s="903" t="s">
        <v>13</v>
      </c>
      <c r="L2028" s="1137"/>
      <c r="M2028" s="1138">
        <f t="shared" si="204"/>
        <v>0</v>
      </c>
      <c r="N2028" s="1176">
        <f t="shared" si="208"/>
        <v>0</v>
      </c>
      <c r="O2028" s="905"/>
      <c r="Q2028" s="317" t="str">
        <f t="shared" si="205"/>
        <v/>
      </c>
      <c r="R2028" s="317" t="str">
        <f t="shared" si="206"/>
        <v/>
      </c>
      <c r="S2028" s="317" t="str">
        <f t="shared" si="207"/>
        <v/>
      </c>
      <c r="T2028" s="317" t="str">
        <f>GLOBAL_DER_FEV_2023!S2028</f>
        <v/>
      </c>
      <c r="W2028" s="582">
        <v>0</v>
      </c>
      <c r="X2028" s="580"/>
      <c r="Y2028" s="583">
        <f>IF(GLOBAL_DER_FEV_2023!W2028=0,0,IF(GLOBAL_DER_FEV_2023!W2028&gt;0,"c","b"))</f>
        <v>0</v>
      </c>
    </row>
    <row r="2029" spans="1:25" ht="15" customHeight="1" x14ac:dyDescent="0.2">
      <c r="A2029" s="317" t="s">
        <v>147</v>
      </c>
      <c r="B2029" s="895" t="s">
        <v>147</v>
      </c>
      <c r="C2029" s="896"/>
      <c r="D2029" s="906" t="s">
        <v>190</v>
      </c>
      <c r="E2029" s="907">
        <f>GLOBAL_DER_FEV_2023!E2029</f>
        <v>308</v>
      </c>
      <c r="F2029" s="908">
        <f>GLOBAL_DER_FEV_2023!F2029</f>
        <v>4.7999999999999996E-3</v>
      </c>
      <c r="G2029" s="909">
        <f>GLOBAL_DER_FEV_2023!G2029</f>
        <v>1.190688</v>
      </c>
      <c r="H2029" s="901">
        <f>GLOBAL_DER_FEV_2023!H2029</f>
        <v>0</v>
      </c>
      <c r="I2029" s="901">
        <f>GLOBAL_DER_FEV_2023!I2029</f>
        <v>0</v>
      </c>
      <c r="J2029" s="902">
        <f>GLOBAL_DER_FEV_2023!J2029</f>
        <v>0</v>
      </c>
      <c r="K2029" s="903"/>
      <c r="L2029" s="1177"/>
      <c r="M2029" s="1138">
        <f t="shared" si="204"/>
        <v>0</v>
      </c>
      <c r="N2029" s="1176">
        <f t="shared" si="208"/>
        <v>0</v>
      </c>
      <c r="O2029" s="905"/>
      <c r="P2029" s="36" t="str">
        <f>IF(N2028&gt;0,"xx",IF(N2028&gt;0,"xy",""))</f>
        <v/>
      </c>
      <c r="Q2029" s="317" t="str">
        <f t="shared" si="205"/>
        <v/>
      </c>
      <c r="R2029" s="317" t="str">
        <f t="shared" si="206"/>
        <v/>
      </c>
      <c r="S2029" s="317" t="str">
        <f t="shared" si="207"/>
        <v/>
      </c>
      <c r="T2029" s="317" t="str">
        <f>GLOBAL_DER_FEV_2023!S2029</f>
        <v/>
      </c>
      <c r="W2029" s="582">
        <v>0</v>
      </c>
      <c r="X2029" s="580"/>
      <c r="Y2029" s="583">
        <f>IF(GLOBAL_DER_FEV_2023!W2029=0,0,IF(GLOBAL_DER_FEV_2023!W2029&gt;0,"c","b"))</f>
        <v>0</v>
      </c>
    </row>
    <row r="2030" spans="1:25" ht="15" customHeight="1" x14ac:dyDescent="0.2">
      <c r="A2030" s="317" t="s">
        <v>147</v>
      </c>
      <c r="B2030" s="895" t="s">
        <v>147</v>
      </c>
      <c r="C2030" s="896"/>
      <c r="D2030" s="906" t="s">
        <v>229</v>
      </c>
      <c r="E2030" s="907">
        <f>GLOBAL_DER_FEV_2023!E2030</f>
        <v>150</v>
      </c>
      <c r="F2030" s="908">
        <f>GLOBAL_DER_FEV_2023!F2030</f>
        <v>2.52E-2</v>
      </c>
      <c r="G2030" s="949">
        <f>GLOBAL_DER_FEV_2023!G2030</f>
        <v>4.1121360000000005</v>
      </c>
      <c r="H2030" s="901">
        <f>GLOBAL_DER_FEV_2023!H2030</f>
        <v>0</v>
      </c>
      <c r="I2030" s="901">
        <f>GLOBAL_DER_FEV_2023!I2030</f>
        <v>0</v>
      </c>
      <c r="J2030" s="902">
        <f>GLOBAL_DER_FEV_2023!J2030</f>
        <v>0</v>
      </c>
      <c r="K2030" s="903"/>
      <c r="L2030" s="1177"/>
      <c r="M2030" s="1138">
        <f t="shared" si="204"/>
        <v>0</v>
      </c>
      <c r="N2030" s="1176">
        <f t="shared" si="208"/>
        <v>0</v>
      </c>
      <c r="O2030" s="905"/>
      <c r="P2030" s="36" t="str">
        <f>IF(N2028&gt;0,"xx",IF(N2028&gt;0,"xy",""))</f>
        <v/>
      </c>
      <c r="Q2030" s="317" t="str">
        <f t="shared" si="205"/>
        <v/>
      </c>
      <c r="R2030" s="317" t="str">
        <f t="shared" si="206"/>
        <v/>
      </c>
      <c r="S2030" s="317" t="str">
        <f t="shared" si="207"/>
        <v/>
      </c>
      <c r="T2030" s="317" t="str">
        <f>GLOBAL_DER_FEV_2023!S2030</f>
        <v/>
      </c>
      <c r="W2030" s="582">
        <v>0</v>
      </c>
      <c r="X2030" s="580"/>
      <c r="Y2030" s="583">
        <f>IF(GLOBAL_DER_FEV_2023!W2030=0,0,IF(GLOBAL_DER_FEV_2023!W2030&gt;0,"c","b"))</f>
        <v>0</v>
      </c>
    </row>
    <row r="2031" spans="1:25" ht="15" customHeight="1" x14ac:dyDescent="0.2">
      <c r="A2031" s="317" t="s">
        <v>147</v>
      </c>
      <c r="B2031" s="895" t="s">
        <v>147</v>
      </c>
      <c r="C2031" s="896"/>
      <c r="D2031" s="906" t="s">
        <v>336</v>
      </c>
      <c r="E2031" s="907">
        <f>GLOBAL_DER_FEV_2023!E2031</f>
        <v>40</v>
      </c>
      <c r="F2031" s="908">
        <f>GLOBAL_DER_FEV_2023!F2031</f>
        <v>1</v>
      </c>
      <c r="G2031" s="949">
        <f>GLOBAL_DER_FEV_2023!G2031</f>
        <v>45.480000000000004</v>
      </c>
      <c r="H2031" s="901">
        <f>GLOBAL_DER_FEV_2023!H2031</f>
        <v>0</v>
      </c>
      <c r="I2031" s="901">
        <f>GLOBAL_DER_FEV_2023!I2031</f>
        <v>0</v>
      </c>
      <c r="J2031" s="902">
        <f>GLOBAL_DER_FEV_2023!J2031</f>
        <v>0</v>
      </c>
      <c r="K2031" s="903"/>
      <c r="L2031" s="1177"/>
      <c r="M2031" s="1138">
        <f t="shared" si="204"/>
        <v>0</v>
      </c>
      <c r="N2031" s="1176">
        <f t="shared" si="208"/>
        <v>0</v>
      </c>
      <c r="O2031" s="905"/>
      <c r="P2031" s="36" t="str">
        <f>IF(N2028&gt;0,"xx",IF(N2028&gt;0,"xy",""))</f>
        <v/>
      </c>
      <c r="Q2031" s="317" t="str">
        <f t="shared" si="205"/>
        <v/>
      </c>
      <c r="R2031" s="317" t="str">
        <f t="shared" si="206"/>
        <v/>
      </c>
      <c r="S2031" s="317" t="str">
        <f t="shared" si="207"/>
        <v/>
      </c>
      <c r="T2031" s="317" t="str">
        <f>GLOBAL_DER_FEV_2023!S2031</f>
        <v/>
      </c>
      <c r="W2031" s="582">
        <v>0</v>
      </c>
      <c r="X2031" s="580"/>
      <c r="Y2031" s="583">
        <f>IF(GLOBAL_DER_FEV_2023!W2031=0,0,IF(GLOBAL_DER_FEV_2023!W2031&gt;0,"c","b"))</f>
        <v>0</v>
      </c>
    </row>
    <row r="2032" spans="1:25" ht="15" customHeight="1" x14ac:dyDescent="0.2">
      <c r="A2032" s="317">
        <v>611200</v>
      </c>
      <c r="B2032" s="895" t="s">
        <v>1847</v>
      </c>
      <c r="C2032" s="896" t="s">
        <v>184</v>
      </c>
      <c r="D2032" s="906" t="s">
        <v>2032</v>
      </c>
      <c r="E2032" s="907">
        <f>GLOBAL_DER_FEV_2023!E2032</f>
        <v>0</v>
      </c>
      <c r="F2032" s="908">
        <f>GLOBAL_DER_FEV_2023!F2032</f>
        <v>0</v>
      </c>
      <c r="G2032" s="912">
        <f>GLOBAL_DER_FEV_2023!G2032</f>
        <v>72.586438000000001</v>
      </c>
      <c r="H2032" s="901">
        <f>GLOBAL_DER_FEV_2023!H2032</f>
        <v>1026.27</v>
      </c>
      <c r="I2032" s="901">
        <f>GLOBAL_DER_FEV_2023!I2032</f>
        <v>1098.856438</v>
      </c>
      <c r="J2032" s="902">
        <f>GLOBAL_DER_FEV_2023!J2032</f>
        <v>1319.4</v>
      </c>
      <c r="K2032" s="903" t="s">
        <v>13</v>
      </c>
      <c r="L2032" s="1137"/>
      <c r="M2032" s="1138">
        <f t="shared" si="204"/>
        <v>0</v>
      </c>
      <c r="N2032" s="1176">
        <f t="shared" si="208"/>
        <v>0</v>
      </c>
      <c r="O2032" s="905"/>
      <c r="Q2032" s="317" t="str">
        <f t="shared" si="205"/>
        <v/>
      </c>
      <c r="R2032" s="317" t="str">
        <f t="shared" si="206"/>
        <v/>
      </c>
      <c r="S2032" s="317" t="str">
        <f t="shared" si="207"/>
        <v/>
      </c>
      <c r="T2032" s="317" t="str">
        <f>GLOBAL_DER_FEV_2023!S2032</f>
        <v/>
      </c>
      <c r="W2032" s="582">
        <v>0</v>
      </c>
      <c r="X2032" s="580"/>
      <c r="Y2032" s="583">
        <f>IF(GLOBAL_DER_FEV_2023!W2032=0,0,IF(GLOBAL_DER_FEV_2023!W2032&gt;0,"c","b"))</f>
        <v>0</v>
      </c>
    </row>
    <row r="2033" spans="1:25" ht="15" customHeight="1" x14ac:dyDescent="0.2">
      <c r="A2033" s="317" t="s">
        <v>147</v>
      </c>
      <c r="B2033" s="895" t="s">
        <v>147</v>
      </c>
      <c r="C2033" s="896"/>
      <c r="D2033" s="906" t="s">
        <v>190</v>
      </c>
      <c r="E2033" s="907">
        <f>GLOBAL_DER_FEV_2023!E2033</f>
        <v>308</v>
      </c>
      <c r="F2033" s="908">
        <f>GLOBAL_DER_FEV_2023!F2033</f>
        <v>6.4999999999999997E-3</v>
      </c>
      <c r="G2033" s="909">
        <f>GLOBAL_DER_FEV_2023!G2033</f>
        <v>1.61239</v>
      </c>
      <c r="H2033" s="901">
        <f>GLOBAL_DER_FEV_2023!H2033</f>
        <v>0</v>
      </c>
      <c r="I2033" s="901">
        <f>GLOBAL_DER_FEV_2023!I2033</f>
        <v>0</v>
      </c>
      <c r="J2033" s="902">
        <f>GLOBAL_DER_FEV_2023!J2033</f>
        <v>0</v>
      </c>
      <c r="K2033" s="903"/>
      <c r="L2033" s="1177"/>
      <c r="M2033" s="1138">
        <f t="shared" si="204"/>
        <v>0</v>
      </c>
      <c r="N2033" s="1176">
        <f t="shared" si="208"/>
        <v>0</v>
      </c>
      <c r="O2033" s="905"/>
      <c r="P2033" s="36" t="str">
        <f>IF(N2032&gt;0,"xx",IF(N2032&gt;0,"xy",""))</f>
        <v/>
      </c>
      <c r="Q2033" s="317" t="str">
        <f t="shared" si="205"/>
        <v/>
      </c>
      <c r="R2033" s="317" t="str">
        <f t="shared" si="206"/>
        <v/>
      </c>
      <c r="S2033" s="317" t="str">
        <f t="shared" si="207"/>
        <v/>
      </c>
      <c r="T2033" s="317" t="str">
        <f>GLOBAL_DER_FEV_2023!S2033</f>
        <v/>
      </c>
      <c r="W2033" s="582">
        <v>0</v>
      </c>
      <c r="X2033" s="580"/>
      <c r="Y2033" s="583">
        <f>IF(GLOBAL_DER_FEV_2023!W2033=0,0,IF(GLOBAL_DER_FEV_2023!W2033&gt;0,"c","b"))</f>
        <v>0</v>
      </c>
    </row>
    <row r="2034" spans="1:25" ht="15" customHeight="1" x14ac:dyDescent="0.2">
      <c r="A2034" s="317" t="s">
        <v>147</v>
      </c>
      <c r="B2034" s="895" t="s">
        <v>147</v>
      </c>
      <c r="C2034" s="896"/>
      <c r="D2034" s="906" t="s">
        <v>229</v>
      </c>
      <c r="E2034" s="907">
        <f>GLOBAL_DER_FEV_2023!E2034</f>
        <v>150</v>
      </c>
      <c r="F2034" s="908">
        <f>GLOBAL_DER_FEV_2023!F2034</f>
        <v>3.3599999999999998E-2</v>
      </c>
      <c r="G2034" s="949">
        <f>GLOBAL_DER_FEV_2023!G2034</f>
        <v>5.4828479999999997</v>
      </c>
      <c r="H2034" s="901">
        <f>GLOBAL_DER_FEV_2023!H2034</f>
        <v>0</v>
      </c>
      <c r="I2034" s="901">
        <f>GLOBAL_DER_FEV_2023!I2034</f>
        <v>0</v>
      </c>
      <c r="J2034" s="902">
        <f>GLOBAL_DER_FEV_2023!J2034</f>
        <v>0</v>
      </c>
      <c r="K2034" s="903"/>
      <c r="L2034" s="1177"/>
      <c r="M2034" s="1138">
        <f t="shared" si="204"/>
        <v>0</v>
      </c>
      <c r="N2034" s="1176">
        <f t="shared" si="208"/>
        <v>0</v>
      </c>
      <c r="O2034" s="905"/>
      <c r="P2034" s="36" t="str">
        <f>IF(N2032&gt;0,"xx",IF(N2032&gt;0,"xy",""))</f>
        <v/>
      </c>
      <c r="Q2034" s="317" t="str">
        <f t="shared" si="205"/>
        <v/>
      </c>
      <c r="R2034" s="317" t="str">
        <f t="shared" si="206"/>
        <v/>
      </c>
      <c r="S2034" s="317" t="str">
        <f t="shared" si="207"/>
        <v/>
      </c>
      <c r="T2034" s="317" t="str">
        <f>GLOBAL_DER_FEV_2023!S2034</f>
        <v/>
      </c>
      <c r="W2034" s="582">
        <v>0</v>
      </c>
      <c r="X2034" s="580"/>
      <c r="Y2034" s="583">
        <f>IF(GLOBAL_DER_FEV_2023!W2034=0,0,IF(GLOBAL_DER_FEV_2023!W2034&gt;0,"c","b"))</f>
        <v>0</v>
      </c>
    </row>
    <row r="2035" spans="1:25" ht="15" customHeight="1" x14ac:dyDescent="0.2">
      <c r="A2035" s="317" t="s">
        <v>147</v>
      </c>
      <c r="B2035" s="895" t="s">
        <v>147</v>
      </c>
      <c r="C2035" s="896"/>
      <c r="D2035" s="906" t="s">
        <v>336</v>
      </c>
      <c r="E2035" s="907">
        <f>GLOBAL_DER_FEV_2023!E2035</f>
        <v>40</v>
      </c>
      <c r="F2035" s="908">
        <f>GLOBAL_DER_FEV_2023!F2035</f>
        <v>1.44</v>
      </c>
      <c r="G2035" s="949">
        <f>GLOBAL_DER_FEV_2023!G2035</f>
        <v>65.491200000000006</v>
      </c>
      <c r="H2035" s="901">
        <f>GLOBAL_DER_FEV_2023!H2035</f>
        <v>0</v>
      </c>
      <c r="I2035" s="901">
        <f>GLOBAL_DER_FEV_2023!I2035</f>
        <v>0</v>
      </c>
      <c r="J2035" s="902">
        <f>GLOBAL_DER_FEV_2023!J2035</f>
        <v>0</v>
      </c>
      <c r="K2035" s="903"/>
      <c r="L2035" s="1177"/>
      <c r="M2035" s="1138">
        <f t="shared" si="204"/>
        <v>0</v>
      </c>
      <c r="N2035" s="1176">
        <f t="shared" si="208"/>
        <v>0</v>
      </c>
      <c r="O2035" s="905"/>
      <c r="P2035" s="36" t="str">
        <f>IF(N2032&gt;0,"xx",IF(N2032&gt;0,"xy",""))</f>
        <v/>
      </c>
      <c r="Q2035" s="317" t="str">
        <f t="shared" si="205"/>
        <v/>
      </c>
      <c r="R2035" s="317" t="str">
        <f t="shared" si="206"/>
        <v/>
      </c>
      <c r="S2035" s="317" t="str">
        <f t="shared" si="207"/>
        <v/>
      </c>
      <c r="T2035" s="317" t="str">
        <f>GLOBAL_DER_FEV_2023!S2035</f>
        <v/>
      </c>
      <c r="W2035" s="582">
        <v>0</v>
      </c>
      <c r="X2035" s="580"/>
      <c r="Y2035" s="583">
        <f>IF(GLOBAL_DER_FEV_2023!W2035=0,0,IF(GLOBAL_DER_FEV_2023!W2035&gt;0,"c","b"))</f>
        <v>0</v>
      </c>
    </row>
    <row r="2036" spans="1:25" ht="15" customHeight="1" x14ac:dyDescent="0.2">
      <c r="A2036" s="317">
        <v>611400</v>
      </c>
      <c r="B2036" s="895" t="s">
        <v>1850</v>
      </c>
      <c r="C2036" s="896" t="s">
        <v>184</v>
      </c>
      <c r="D2036" s="906" t="s">
        <v>2033</v>
      </c>
      <c r="E2036" s="907">
        <f>GLOBAL_DER_FEV_2023!E2036</f>
        <v>0</v>
      </c>
      <c r="F2036" s="908">
        <f>GLOBAL_DER_FEV_2023!F2036</f>
        <v>0</v>
      </c>
      <c r="G2036" s="912">
        <f>GLOBAL_DER_FEV_2023!G2036</f>
        <v>83.904846000000006</v>
      </c>
      <c r="H2036" s="901">
        <f>GLOBAL_DER_FEV_2023!H2036</f>
        <v>1267.57</v>
      </c>
      <c r="I2036" s="901">
        <f>GLOBAL_DER_FEV_2023!I2036</f>
        <v>1351.4748459999998</v>
      </c>
      <c r="J2036" s="902">
        <f>GLOBAL_DER_FEV_2023!J2036</f>
        <v>1622.72</v>
      </c>
      <c r="K2036" s="903" t="s">
        <v>13</v>
      </c>
      <c r="L2036" s="1137"/>
      <c r="M2036" s="1138">
        <f t="shared" si="204"/>
        <v>0</v>
      </c>
      <c r="N2036" s="1176">
        <f t="shared" si="208"/>
        <v>0</v>
      </c>
      <c r="O2036" s="905"/>
      <c r="Q2036" s="317" t="str">
        <f t="shared" si="205"/>
        <v/>
      </c>
      <c r="R2036" s="317" t="str">
        <f t="shared" si="206"/>
        <v/>
      </c>
      <c r="S2036" s="317" t="str">
        <f t="shared" si="207"/>
        <v/>
      </c>
      <c r="T2036" s="317" t="str">
        <f>GLOBAL_DER_FEV_2023!S2036</f>
        <v/>
      </c>
      <c r="W2036" s="582">
        <v>0</v>
      </c>
      <c r="X2036" s="580"/>
      <c r="Y2036" s="583">
        <f>IF(GLOBAL_DER_FEV_2023!W2036=0,0,IF(GLOBAL_DER_FEV_2023!W2036&gt;0,"c","b"))</f>
        <v>0</v>
      </c>
    </row>
    <row r="2037" spans="1:25" ht="15" customHeight="1" x14ac:dyDescent="0.2">
      <c r="A2037" s="317" t="s">
        <v>147</v>
      </c>
      <c r="B2037" s="895" t="s">
        <v>147</v>
      </c>
      <c r="C2037" s="896"/>
      <c r="D2037" s="906" t="s">
        <v>190</v>
      </c>
      <c r="E2037" s="907">
        <f>GLOBAL_DER_FEV_2023!E2037</f>
        <v>308</v>
      </c>
      <c r="F2037" s="908">
        <f>GLOBAL_DER_FEV_2023!F2037</f>
        <v>8.0999999999999996E-3</v>
      </c>
      <c r="G2037" s="909">
        <f>GLOBAL_DER_FEV_2023!G2037</f>
        <v>2.0092859999999999</v>
      </c>
      <c r="H2037" s="901">
        <f>GLOBAL_DER_FEV_2023!H2037</f>
        <v>0</v>
      </c>
      <c r="I2037" s="901" t="str">
        <f>GLOBAL_DER_FEV_2023!I2037</f>
        <v/>
      </c>
      <c r="J2037" s="902">
        <f>GLOBAL_DER_FEV_2023!J2037</f>
        <v>0</v>
      </c>
      <c r="K2037" s="903"/>
      <c r="L2037" s="1177"/>
      <c r="M2037" s="1138">
        <f t="shared" si="204"/>
        <v>0</v>
      </c>
      <c r="N2037" s="1176">
        <f t="shared" si="208"/>
        <v>0</v>
      </c>
      <c r="O2037" s="905"/>
      <c r="P2037" s="36" t="str">
        <f>IF(N2036&gt;0,"xx",IF(N2036&gt;0,"xy",""))</f>
        <v/>
      </c>
      <c r="Q2037" s="317" t="str">
        <f t="shared" si="205"/>
        <v/>
      </c>
      <c r="R2037" s="317" t="str">
        <f t="shared" si="206"/>
        <v/>
      </c>
      <c r="S2037" s="317" t="str">
        <f t="shared" si="207"/>
        <v/>
      </c>
      <c r="T2037" s="317" t="str">
        <f>GLOBAL_DER_FEV_2023!S2037</f>
        <v/>
      </c>
      <c r="W2037" s="582">
        <v>0</v>
      </c>
      <c r="X2037" s="580"/>
      <c r="Y2037" s="583">
        <f>IF(GLOBAL_DER_FEV_2023!W2037=0,0,IF(GLOBAL_DER_FEV_2023!W2037&gt;0,"c","b"))</f>
        <v>0</v>
      </c>
    </row>
    <row r="2038" spans="1:25" ht="15" customHeight="1" x14ac:dyDescent="0.2">
      <c r="A2038" s="317" t="s">
        <v>147</v>
      </c>
      <c r="B2038" s="895" t="s">
        <v>147</v>
      </c>
      <c r="C2038" s="896"/>
      <c r="D2038" s="906" t="s">
        <v>229</v>
      </c>
      <c r="E2038" s="907">
        <f>GLOBAL_DER_FEV_2023!E2038</f>
        <v>150</v>
      </c>
      <c r="F2038" s="908">
        <f>GLOBAL_DER_FEV_2023!F2038</f>
        <v>4.2000000000000003E-2</v>
      </c>
      <c r="G2038" s="949">
        <f>GLOBAL_DER_FEV_2023!G2038</f>
        <v>6.8535600000000008</v>
      </c>
      <c r="H2038" s="901">
        <f>GLOBAL_DER_FEV_2023!H2038</f>
        <v>0</v>
      </c>
      <c r="I2038" s="901" t="str">
        <f>GLOBAL_DER_FEV_2023!I2038</f>
        <v/>
      </c>
      <c r="J2038" s="902">
        <f>GLOBAL_DER_FEV_2023!J2038</f>
        <v>0</v>
      </c>
      <c r="K2038" s="903"/>
      <c r="L2038" s="1177"/>
      <c r="M2038" s="1138">
        <f t="shared" si="204"/>
        <v>0</v>
      </c>
      <c r="N2038" s="1176">
        <f t="shared" si="208"/>
        <v>0</v>
      </c>
      <c r="O2038" s="905"/>
      <c r="P2038" s="36" t="str">
        <f>IF(N2036&gt;0,"xx",IF(N2036&gt;0,"xy",""))</f>
        <v/>
      </c>
      <c r="Q2038" s="317" t="str">
        <f t="shared" si="205"/>
        <v/>
      </c>
      <c r="R2038" s="317" t="str">
        <f t="shared" si="206"/>
        <v/>
      </c>
      <c r="S2038" s="317" t="str">
        <f t="shared" si="207"/>
        <v/>
      </c>
      <c r="T2038" s="317" t="str">
        <f>GLOBAL_DER_FEV_2023!S2038</f>
        <v/>
      </c>
      <c r="W2038" s="582">
        <v>0</v>
      </c>
      <c r="X2038" s="580"/>
      <c r="Y2038" s="583">
        <f>IF(GLOBAL_DER_FEV_2023!W2038=0,0,IF(GLOBAL_DER_FEV_2023!W2038&gt;0,"c","b"))</f>
        <v>0</v>
      </c>
    </row>
    <row r="2039" spans="1:25" ht="15" customHeight="1" x14ac:dyDescent="0.2">
      <c r="A2039" s="317" t="s">
        <v>147</v>
      </c>
      <c r="B2039" s="895" t="s">
        <v>147</v>
      </c>
      <c r="C2039" s="896"/>
      <c r="D2039" s="906" t="s">
        <v>336</v>
      </c>
      <c r="E2039" s="907">
        <f>GLOBAL_DER_FEV_2023!E2039</f>
        <v>40</v>
      </c>
      <c r="F2039" s="908">
        <f>GLOBAL_DER_FEV_2023!F2039</f>
        <v>1.65</v>
      </c>
      <c r="G2039" s="949">
        <f>GLOBAL_DER_FEV_2023!G2039</f>
        <v>75.042000000000002</v>
      </c>
      <c r="H2039" s="901">
        <f>GLOBAL_DER_FEV_2023!H2039</f>
        <v>0</v>
      </c>
      <c r="I2039" s="901" t="str">
        <f>GLOBAL_DER_FEV_2023!I2039</f>
        <v/>
      </c>
      <c r="J2039" s="902">
        <f>GLOBAL_DER_FEV_2023!J2039</f>
        <v>0</v>
      </c>
      <c r="K2039" s="903"/>
      <c r="L2039" s="1177"/>
      <c r="M2039" s="1138">
        <f t="shared" si="204"/>
        <v>0</v>
      </c>
      <c r="N2039" s="1176">
        <f t="shared" si="208"/>
        <v>0</v>
      </c>
      <c r="O2039" s="905"/>
      <c r="P2039" s="36" t="str">
        <f>IF(N2036&gt;0,"xx",IF(N2036&gt;0,"xy",""))</f>
        <v/>
      </c>
      <c r="Q2039" s="317" t="str">
        <f t="shared" si="205"/>
        <v/>
      </c>
      <c r="R2039" s="317" t="str">
        <f t="shared" si="206"/>
        <v/>
      </c>
      <c r="S2039" s="317" t="str">
        <f t="shared" si="207"/>
        <v/>
      </c>
      <c r="T2039" s="317" t="str">
        <f>GLOBAL_DER_FEV_2023!S2039</f>
        <v/>
      </c>
      <c r="W2039" s="582">
        <v>0</v>
      </c>
      <c r="X2039" s="580"/>
      <c r="Y2039" s="583">
        <f>IF(GLOBAL_DER_FEV_2023!W2039=0,0,IF(GLOBAL_DER_FEV_2023!W2039&gt;0,"c","b"))</f>
        <v>0</v>
      </c>
    </row>
    <row r="2040" spans="1:25" ht="15" customHeight="1" x14ac:dyDescent="0.2">
      <c r="A2040" s="317">
        <v>611400</v>
      </c>
      <c r="B2040" s="895" t="s">
        <v>1851</v>
      </c>
      <c r="C2040" s="896" t="s">
        <v>184</v>
      </c>
      <c r="D2040" s="906" t="s">
        <v>2034</v>
      </c>
      <c r="E2040" s="907">
        <f>GLOBAL_DER_FEV_2023!E2040</f>
        <v>0</v>
      </c>
      <c r="F2040" s="908">
        <f>GLOBAL_DER_FEV_2023!F2040</f>
        <v>0</v>
      </c>
      <c r="G2040" s="912">
        <f>GLOBAL_DER_FEV_2023!G2040</f>
        <v>101.90895</v>
      </c>
      <c r="H2040" s="901">
        <f>GLOBAL_DER_FEV_2023!H2040</f>
        <v>1267.57</v>
      </c>
      <c r="I2040" s="901">
        <f>GLOBAL_DER_FEV_2023!I2040</f>
        <v>1369.4789499999999</v>
      </c>
      <c r="J2040" s="902">
        <f>GLOBAL_DER_FEV_2023!J2040</f>
        <v>1644.33</v>
      </c>
      <c r="K2040" s="903" t="s">
        <v>13</v>
      </c>
      <c r="L2040" s="1137"/>
      <c r="M2040" s="1138">
        <f t="shared" si="204"/>
        <v>0</v>
      </c>
      <c r="N2040" s="1176">
        <f t="shared" si="208"/>
        <v>0</v>
      </c>
      <c r="O2040" s="905"/>
      <c r="Q2040" s="317" t="str">
        <f t="shared" si="205"/>
        <v/>
      </c>
      <c r="R2040" s="317" t="str">
        <f t="shared" si="206"/>
        <v/>
      </c>
      <c r="S2040" s="317" t="str">
        <f t="shared" si="207"/>
        <v/>
      </c>
      <c r="T2040" s="317" t="str">
        <f>GLOBAL_DER_FEV_2023!S2040</f>
        <v/>
      </c>
      <c r="W2040" s="582">
        <v>0</v>
      </c>
      <c r="X2040" s="580"/>
      <c r="Y2040" s="583">
        <f>IF(GLOBAL_DER_FEV_2023!W2040=0,0,IF(GLOBAL_DER_FEV_2023!W2040&gt;0,"c","b"))</f>
        <v>0</v>
      </c>
    </row>
    <row r="2041" spans="1:25" ht="15" customHeight="1" x14ac:dyDescent="0.2">
      <c r="A2041" s="317" t="s">
        <v>147</v>
      </c>
      <c r="B2041" s="895" t="s">
        <v>147</v>
      </c>
      <c r="C2041" s="896"/>
      <c r="D2041" s="906" t="s">
        <v>190</v>
      </c>
      <c r="E2041" s="907">
        <f>GLOBAL_DER_FEV_2023!E2041</f>
        <v>308</v>
      </c>
      <c r="F2041" s="908">
        <f>GLOBAL_DER_FEV_2023!F2041</f>
        <v>9.1999999999999998E-3</v>
      </c>
      <c r="G2041" s="909">
        <f>GLOBAL_DER_FEV_2023!G2041</f>
        <v>2.282152</v>
      </c>
      <c r="H2041" s="901">
        <f>GLOBAL_DER_FEV_2023!H2041</f>
        <v>0</v>
      </c>
      <c r="I2041" s="901">
        <f>GLOBAL_DER_FEV_2023!I2041</f>
        <v>0</v>
      </c>
      <c r="J2041" s="902">
        <f>GLOBAL_DER_FEV_2023!J2041</f>
        <v>0</v>
      </c>
      <c r="K2041" s="903"/>
      <c r="L2041" s="1177"/>
      <c r="M2041" s="1138">
        <f t="shared" si="204"/>
        <v>0</v>
      </c>
      <c r="N2041" s="1176">
        <f t="shared" si="208"/>
        <v>0</v>
      </c>
      <c r="O2041" s="905"/>
      <c r="P2041" s="36" t="str">
        <f>IF(N2040&gt;0,"xx",IF(N2040&gt;0,"xy",""))</f>
        <v/>
      </c>
      <c r="Q2041" s="317" t="str">
        <f t="shared" si="205"/>
        <v/>
      </c>
      <c r="R2041" s="317" t="str">
        <f t="shared" si="206"/>
        <v/>
      </c>
      <c r="S2041" s="317" t="str">
        <f t="shared" si="207"/>
        <v/>
      </c>
      <c r="T2041" s="317" t="str">
        <f>GLOBAL_DER_FEV_2023!S2041</f>
        <v/>
      </c>
      <c r="W2041" s="582">
        <v>0</v>
      </c>
      <c r="X2041" s="580"/>
      <c r="Y2041" s="583">
        <f>IF(GLOBAL_DER_FEV_2023!W2041=0,0,IF(GLOBAL_DER_FEV_2023!W2041&gt;0,"c","b"))</f>
        <v>0</v>
      </c>
    </row>
    <row r="2042" spans="1:25" ht="15" customHeight="1" x14ac:dyDescent="0.2">
      <c r="A2042" s="317" t="s">
        <v>147</v>
      </c>
      <c r="B2042" s="895" t="s">
        <v>147</v>
      </c>
      <c r="C2042" s="896"/>
      <c r="D2042" s="906" t="s">
        <v>229</v>
      </c>
      <c r="E2042" s="907">
        <f>GLOBAL_DER_FEV_2023!E2042</f>
        <v>150</v>
      </c>
      <c r="F2042" s="908">
        <f>GLOBAL_DER_FEV_2023!F2042</f>
        <v>4.7899999999999998E-2</v>
      </c>
      <c r="G2042" s="949">
        <f>GLOBAL_DER_FEV_2023!G2042</f>
        <v>7.8163220000000004</v>
      </c>
      <c r="H2042" s="901">
        <f>GLOBAL_DER_FEV_2023!H2042</f>
        <v>0</v>
      </c>
      <c r="I2042" s="901">
        <f>GLOBAL_DER_FEV_2023!I2042</f>
        <v>0</v>
      </c>
      <c r="J2042" s="902">
        <f>GLOBAL_DER_FEV_2023!J2042</f>
        <v>0</v>
      </c>
      <c r="K2042" s="903"/>
      <c r="L2042" s="1177"/>
      <c r="M2042" s="1138">
        <f t="shared" si="204"/>
        <v>0</v>
      </c>
      <c r="N2042" s="1176">
        <f t="shared" si="208"/>
        <v>0</v>
      </c>
      <c r="O2042" s="905"/>
      <c r="P2042" s="36" t="str">
        <f>IF(N2040&gt;0,"xx",IF(N2040&gt;0,"xy",""))</f>
        <v/>
      </c>
      <c r="Q2042" s="317" t="str">
        <f t="shared" si="205"/>
        <v/>
      </c>
      <c r="R2042" s="317" t="str">
        <f t="shared" si="206"/>
        <v/>
      </c>
      <c r="S2042" s="317" t="str">
        <f t="shared" si="207"/>
        <v/>
      </c>
      <c r="T2042" s="317" t="str">
        <f>GLOBAL_DER_FEV_2023!S2042</f>
        <v/>
      </c>
      <c r="W2042" s="582">
        <v>0</v>
      </c>
      <c r="X2042" s="580"/>
      <c r="Y2042" s="583">
        <f>IF(GLOBAL_DER_FEV_2023!W2042=0,0,IF(GLOBAL_DER_FEV_2023!W2042&gt;0,"c","b"))</f>
        <v>0</v>
      </c>
    </row>
    <row r="2043" spans="1:25" ht="15" customHeight="1" x14ac:dyDescent="0.2">
      <c r="A2043" s="317" t="s">
        <v>147</v>
      </c>
      <c r="B2043" s="895" t="s">
        <v>147</v>
      </c>
      <c r="C2043" s="896"/>
      <c r="D2043" s="906" t="s">
        <v>336</v>
      </c>
      <c r="E2043" s="907">
        <f>GLOBAL_DER_FEV_2023!E2043</f>
        <v>40</v>
      </c>
      <c r="F2043" s="908">
        <f>GLOBAL_DER_FEV_2023!F2043</f>
        <v>2.0186999999999999</v>
      </c>
      <c r="G2043" s="949">
        <f>GLOBAL_DER_FEV_2023!G2043</f>
        <v>91.810476000000008</v>
      </c>
      <c r="H2043" s="901">
        <f>GLOBAL_DER_FEV_2023!H2043</f>
        <v>0</v>
      </c>
      <c r="I2043" s="901">
        <f>GLOBAL_DER_FEV_2023!I2043</f>
        <v>0</v>
      </c>
      <c r="J2043" s="902">
        <f>GLOBAL_DER_FEV_2023!J2043</f>
        <v>0</v>
      </c>
      <c r="K2043" s="903"/>
      <c r="L2043" s="1177"/>
      <c r="M2043" s="1138">
        <f t="shared" si="204"/>
        <v>0</v>
      </c>
      <c r="N2043" s="1176">
        <f t="shared" si="208"/>
        <v>0</v>
      </c>
      <c r="O2043" s="905"/>
      <c r="P2043" s="36" t="str">
        <f>IF(N2040&gt;0,"xx",IF(N2040&gt;0,"xy",""))</f>
        <v/>
      </c>
      <c r="Q2043" s="317" t="str">
        <f t="shared" si="205"/>
        <v/>
      </c>
      <c r="R2043" s="317" t="str">
        <f t="shared" si="206"/>
        <v/>
      </c>
      <c r="S2043" s="317" t="str">
        <f t="shared" si="207"/>
        <v/>
      </c>
      <c r="T2043" s="317" t="str">
        <f>GLOBAL_DER_FEV_2023!S2043</f>
        <v/>
      </c>
      <c r="W2043" s="582">
        <v>0</v>
      </c>
      <c r="X2043" s="580"/>
      <c r="Y2043" s="583">
        <f>IF(GLOBAL_DER_FEV_2023!W2043=0,0,IF(GLOBAL_DER_FEV_2023!W2043&gt;0,"c","b"))</f>
        <v>0</v>
      </c>
    </row>
    <row r="2044" spans="1:25" ht="15" customHeight="1" x14ac:dyDescent="0.2">
      <c r="A2044" s="317">
        <v>611600</v>
      </c>
      <c r="B2044" s="895" t="s">
        <v>1853</v>
      </c>
      <c r="C2044" s="896" t="s">
        <v>184</v>
      </c>
      <c r="D2044" s="906" t="s">
        <v>2035</v>
      </c>
      <c r="E2044" s="907">
        <f>GLOBAL_DER_FEV_2023!E2044</f>
        <v>0</v>
      </c>
      <c r="F2044" s="908">
        <f>GLOBAL_DER_FEV_2023!F2044</f>
        <v>0</v>
      </c>
      <c r="G2044" s="912">
        <f>GLOBAL_DER_FEV_2023!G2044</f>
        <v>108.41245400000001</v>
      </c>
      <c r="H2044" s="901">
        <f>GLOBAL_DER_FEV_2023!H2044</f>
        <v>3058.31</v>
      </c>
      <c r="I2044" s="901">
        <f>GLOBAL_DER_FEV_2023!I2044</f>
        <v>3166.7224539999997</v>
      </c>
      <c r="J2044" s="902">
        <f>GLOBAL_DER_FEV_2023!J2044</f>
        <v>3802.28</v>
      </c>
      <c r="K2044" s="903" t="s">
        <v>13</v>
      </c>
      <c r="L2044" s="1137"/>
      <c r="M2044" s="1138">
        <f t="shared" si="204"/>
        <v>0</v>
      </c>
      <c r="N2044" s="1176">
        <f t="shared" si="208"/>
        <v>0</v>
      </c>
      <c r="O2044" s="905"/>
      <c r="Q2044" s="317" t="str">
        <f t="shared" si="205"/>
        <v/>
      </c>
      <c r="R2044" s="317" t="str">
        <f t="shared" si="206"/>
        <v/>
      </c>
      <c r="S2044" s="317" t="str">
        <f t="shared" si="207"/>
        <v/>
      </c>
      <c r="T2044" s="317" t="str">
        <f>GLOBAL_DER_FEV_2023!S2044</f>
        <v/>
      </c>
      <c r="W2044" s="582">
        <v>0</v>
      </c>
      <c r="X2044" s="580"/>
      <c r="Y2044" s="583">
        <f>IF(GLOBAL_DER_FEV_2023!W2044=0,0,IF(GLOBAL_DER_FEV_2023!W2044&gt;0,"c","b"))</f>
        <v>0</v>
      </c>
    </row>
    <row r="2045" spans="1:25" ht="15" customHeight="1" x14ac:dyDescent="0.2">
      <c r="A2045" s="317" t="s">
        <v>147</v>
      </c>
      <c r="B2045" s="895" t="s">
        <v>147</v>
      </c>
      <c r="C2045" s="896"/>
      <c r="D2045" s="906" t="s">
        <v>190</v>
      </c>
      <c r="E2045" s="907">
        <f>GLOBAL_DER_FEV_2023!E2045</f>
        <v>308</v>
      </c>
      <c r="F2045" s="908">
        <f>GLOBAL_DER_FEV_2023!F2045</f>
        <v>9.7000000000000003E-3</v>
      </c>
      <c r="G2045" s="909">
        <f>GLOBAL_DER_FEV_2023!G2045</f>
        <v>2.4061820000000003</v>
      </c>
      <c r="H2045" s="901">
        <f>GLOBAL_DER_FEV_2023!H2045</f>
        <v>0</v>
      </c>
      <c r="I2045" s="901">
        <f>GLOBAL_DER_FEV_2023!I2045</f>
        <v>0</v>
      </c>
      <c r="J2045" s="902">
        <f>GLOBAL_DER_FEV_2023!J2045</f>
        <v>0</v>
      </c>
      <c r="K2045" s="903"/>
      <c r="L2045" s="1177"/>
      <c r="M2045" s="1138">
        <f t="shared" si="204"/>
        <v>0</v>
      </c>
      <c r="N2045" s="1176">
        <f t="shared" si="208"/>
        <v>0</v>
      </c>
      <c r="O2045" s="905"/>
      <c r="P2045" s="36" t="str">
        <f>IF(N2044&gt;0,"xx",IF(N2044&gt;0,"xy",""))</f>
        <v/>
      </c>
      <c r="Q2045" s="317" t="str">
        <f t="shared" si="205"/>
        <v/>
      </c>
      <c r="R2045" s="317" t="str">
        <f t="shared" si="206"/>
        <v/>
      </c>
      <c r="S2045" s="317" t="str">
        <f t="shared" si="207"/>
        <v/>
      </c>
      <c r="T2045" s="317" t="str">
        <f>GLOBAL_DER_FEV_2023!S2045</f>
        <v/>
      </c>
      <c r="W2045" s="582">
        <v>0</v>
      </c>
      <c r="X2045" s="580"/>
      <c r="Y2045" s="583">
        <f>IF(GLOBAL_DER_FEV_2023!W2045=0,0,IF(GLOBAL_DER_FEV_2023!W2045&gt;0,"c","b"))</f>
        <v>0</v>
      </c>
    </row>
    <row r="2046" spans="1:25" ht="15" customHeight="1" x14ac:dyDescent="0.2">
      <c r="A2046" s="317" t="s">
        <v>147</v>
      </c>
      <c r="B2046" s="895" t="s">
        <v>147</v>
      </c>
      <c r="C2046" s="896"/>
      <c r="D2046" s="906" t="s">
        <v>229</v>
      </c>
      <c r="E2046" s="907">
        <f>GLOBAL_DER_FEV_2023!E2046</f>
        <v>150</v>
      </c>
      <c r="F2046" s="908">
        <f>GLOBAL_DER_FEV_2023!F2046</f>
        <v>5.04E-2</v>
      </c>
      <c r="G2046" s="949">
        <f>GLOBAL_DER_FEV_2023!G2046</f>
        <v>8.2242720000000009</v>
      </c>
      <c r="H2046" s="901">
        <f>GLOBAL_DER_FEV_2023!H2046</f>
        <v>0</v>
      </c>
      <c r="I2046" s="901">
        <f>GLOBAL_DER_FEV_2023!I2046</f>
        <v>0</v>
      </c>
      <c r="J2046" s="902">
        <f>GLOBAL_DER_FEV_2023!J2046</f>
        <v>0</v>
      </c>
      <c r="K2046" s="903"/>
      <c r="L2046" s="1177"/>
      <c r="M2046" s="1138">
        <f t="shared" si="204"/>
        <v>0</v>
      </c>
      <c r="N2046" s="1176">
        <f t="shared" si="208"/>
        <v>0</v>
      </c>
      <c r="O2046" s="905"/>
      <c r="P2046" s="36" t="str">
        <f>IF(N2044&gt;0,"xx",IF(N2044&gt;0,"xy",""))</f>
        <v/>
      </c>
      <c r="Q2046" s="317" t="str">
        <f t="shared" si="205"/>
        <v/>
      </c>
      <c r="R2046" s="317" t="str">
        <f t="shared" si="206"/>
        <v/>
      </c>
      <c r="S2046" s="317" t="str">
        <f t="shared" si="207"/>
        <v/>
      </c>
      <c r="T2046" s="317" t="str">
        <f>GLOBAL_DER_FEV_2023!S2046</f>
        <v/>
      </c>
      <c r="W2046" s="582">
        <v>0</v>
      </c>
      <c r="X2046" s="580"/>
      <c r="Y2046" s="583">
        <f>IF(GLOBAL_DER_FEV_2023!W2046=0,0,IF(GLOBAL_DER_FEV_2023!W2046&gt;0,"c","b"))</f>
        <v>0</v>
      </c>
    </row>
    <row r="2047" spans="1:25" ht="15" customHeight="1" x14ac:dyDescent="0.2">
      <c r="A2047" s="317" t="s">
        <v>147</v>
      </c>
      <c r="B2047" s="895" t="s">
        <v>147</v>
      </c>
      <c r="C2047" s="896"/>
      <c r="D2047" s="906" t="s">
        <v>336</v>
      </c>
      <c r="E2047" s="907">
        <f>GLOBAL_DER_FEV_2023!E2047</f>
        <v>40</v>
      </c>
      <c r="F2047" s="908">
        <f>GLOBAL_DER_FEV_2023!F2047</f>
        <v>2.15</v>
      </c>
      <c r="G2047" s="949">
        <f>GLOBAL_DER_FEV_2023!G2047</f>
        <v>97.782000000000011</v>
      </c>
      <c r="H2047" s="901">
        <f>GLOBAL_DER_FEV_2023!H2047</f>
        <v>0</v>
      </c>
      <c r="I2047" s="901">
        <f>GLOBAL_DER_FEV_2023!I2047</f>
        <v>0</v>
      </c>
      <c r="J2047" s="902">
        <f>GLOBAL_DER_FEV_2023!J2047</f>
        <v>0</v>
      </c>
      <c r="K2047" s="903"/>
      <c r="L2047" s="1177"/>
      <c r="M2047" s="1138">
        <f t="shared" si="204"/>
        <v>0</v>
      </c>
      <c r="N2047" s="1176">
        <f t="shared" si="208"/>
        <v>0</v>
      </c>
      <c r="O2047" s="905"/>
      <c r="P2047" s="36" t="str">
        <f>IF(N2044&gt;0,"xx",IF(N2044&gt;0,"xy",""))</f>
        <v/>
      </c>
      <c r="Q2047" s="317" t="str">
        <f t="shared" si="205"/>
        <v/>
      </c>
      <c r="R2047" s="317" t="str">
        <f t="shared" si="206"/>
        <v/>
      </c>
      <c r="S2047" s="317" t="str">
        <f t="shared" si="207"/>
        <v/>
      </c>
      <c r="T2047" s="317" t="str">
        <f>GLOBAL_DER_FEV_2023!S2047</f>
        <v/>
      </c>
      <c r="W2047" s="582">
        <v>0</v>
      </c>
      <c r="X2047" s="580"/>
      <c r="Y2047" s="583">
        <f>IF(GLOBAL_DER_FEV_2023!W2047=0,0,IF(GLOBAL_DER_FEV_2023!W2047&gt;0,"c","b"))</f>
        <v>0</v>
      </c>
    </row>
    <row r="2048" spans="1:25" ht="15" customHeight="1" x14ac:dyDescent="0.2">
      <c r="A2048" s="317">
        <v>610500</v>
      </c>
      <c r="B2048" s="895">
        <v>610500</v>
      </c>
      <c r="C2048" s="896" t="s">
        <v>184</v>
      </c>
      <c r="D2048" s="906" t="s">
        <v>2036</v>
      </c>
      <c r="E2048" s="907">
        <f>GLOBAL_DER_FEV_2023!E2048</f>
        <v>0</v>
      </c>
      <c r="F2048" s="908">
        <f>GLOBAL_DER_FEV_2023!F2048</f>
        <v>0</v>
      </c>
      <c r="G2048" s="912">
        <f>GLOBAL_DER_FEV_2023!G2048</f>
        <v>26.827718600000001</v>
      </c>
      <c r="H2048" s="901">
        <f>GLOBAL_DER_FEV_2023!H2048</f>
        <v>206.29</v>
      </c>
      <c r="I2048" s="901">
        <f>GLOBAL_DER_FEV_2023!I2048</f>
        <v>233.11771859999999</v>
      </c>
      <c r="J2048" s="902">
        <f>GLOBAL_DER_FEV_2023!J2048</f>
        <v>279.89999999999998</v>
      </c>
      <c r="K2048" s="903" t="s">
        <v>13</v>
      </c>
      <c r="L2048" s="1137"/>
      <c r="M2048" s="1138">
        <f t="shared" si="204"/>
        <v>0</v>
      </c>
      <c r="N2048" s="1176">
        <f t="shared" si="208"/>
        <v>0</v>
      </c>
      <c r="O2048" s="905"/>
      <c r="Q2048" s="317" t="str">
        <f t="shared" si="205"/>
        <v/>
      </c>
      <c r="R2048" s="317" t="str">
        <f t="shared" si="206"/>
        <v/>
      </c>
      <c r="S2048" s="317" t="str">
        <f t="shared" si="207"/>
        <v/>
      </c>
      <c r="T2048" s="317" t="str">
        <f>GLOBAL_DER_FEV_2023!S2048</f>
        <v/>
      </c>
      <c r="W2048" s="582">
        <v>0</v>
      </c>
      <c r="X2048" s="580"/>
      <c r="Y2048" s="583">
        <f>IF(GLOBAL_DER_FEV_2023!W2048=0,0,IF(GLOBAL_DER_FEV_2023!W2048&gt;0,"c","b"))</f>
        <v>0</v>
      </c>
    </row>
    <row r="2049" spans="1:25" ht="15" customHeight="1" x14ac:dyDescent="0.2">
      <c r="A2049" s="317" t="s">
        <v>147</v>
      </c>
      <c r="B2049" s="895" t="s">
        <v>147</v>
      </c>
      <c r="C2049" s="896"/>
      <c r="D2049" s="906" t="s">
        <v>190</v>
      </c>
      <c r="E2049" s="907">
        <f>GLOBAL_DER_FEV_2023!E2049</f>
        <v>308</v>
      </c>
      <c r="F2049" s="908">
        <f>GLOBAL_DER_FEV_2023!F2049</f>
        <v>2.2599999999999999E-2</v>
      </c>
      <c r="G2049" s="909">
        <f>GLOBAL_DER_FEV_2023!G2049</f>
        <v>5.6061559999999995</v>
      </c>
      <c r="H2049" s="901">
        <f>GLOBAL_DER_FEV_2023!H2049</f>
        <v>0</v>
      </c>
      <c r="I2049" s="901">
        <f>GLOBAL_DER_FEV_2023!I2049</f>
        <v>0</v>
      </c>
      <c r="J2049" s="902">
        <f>GLOBAL_DER_FEV_2023!J2049</f>
        <v>0</v>
      </c>
      <c r="K2049" s="903"/>
      <c r="L2049" s="1177"/>
      <c r="M2049" s="1138">
        <f t="shared" si="204"/>
        <v>0</v>
      </c>
      <c r="N2049" s="1176">
        <f t="shared" si="208"/>
        <v>0</v>
      </c>
      <c r="O2049" s="905"/>
      <c r="P2049" s="36" t="str">
        <f>IF(N2048&gt;0,"xx",IF(N2048&gt;0,"xy",""))</f>
        <v/>
      </c>
      <c r="Q2049" s="317" t="str">
        <f t="shared" si="205"/>
        <v/>
      </c>
      <c r="R2049" s="317" t="str">
        <f t="shared" si="206"/>
        <v/>
      </c>
      <c r="S2049" s="317" t="str">
        <f t="shared" si="207"/>
        <v/>
      </c>
      <c r="T2049" s="317" t="str">
        <f>GLOBAL_DER_FEV_2023!S2049</f>
        <v/>
      </c>
      <c r="W2049" s="582">
        <v>0</v>
      </c>
      <c r="X2049" s="580"/>
      <c r="Y2049" s="583">
        <f>IF(GLOBAL_DER_FEV_2023!W2049=0,0,IF(GLOBAL_DER_FEV_2023!W2049&gt;0,"c","b"))</f>
        <v>0</v>
      </c>
    </row>
    <row r="2050" spans="1:25" ht="15" customHeight="1" x14ac:dyDescent="0.2">
      <c r="A2050" s="317" t="s">
        <v>147</v>
      </c>
      <c r="B2050" s="895" t="s">
        <v>147</v>
      </c>
      <c r="C2050" s="896"/>
      <c r="D2050" s="906" t="s">
        <v>229</v>
      </c>
      <c r="E2050" s="907">
        <f>GLOBAL_DER_FEV_2023!E2050</f>
        <v>150</v>
      </c>
      <c r="F2050" s="908">
        <f>GLOBAL_DER_FEV_2023!F2050</f>
        <v>8.3900000000000002E-2</v>
      </c>
      <c r="G2050" s="949">
        <f>GLOBAL_DER_FEV_2023!G2050</f>
        <v>13.690802000000001</v>
      </c>
      <c r="H2050" s="901">
        <f>GLOBAL_DER_FEV_2023!H2050</f>
        <v>0</v>
      </c>
      <c r="I2050" s="901">
        <f>GLOBAL_DER_FEV_2023!I2050</f>
        <v>0</v>
      </c>
      <c r="J2050" s="902">
        <f>GLOBAL_DER_FEV_2023!J2050</f>
        <v>0</v>
      </c>
      <c r="K2050" s="903"/>
      <c r="L2050" s="1177"/>
      <c r="M2050" s="1138">
        <f t="shared" si="204"/>
        <v>0</v>
      </c>
      <c r="N2050" s="1176">
        <f t="shared" si="208"/>
        <v>0</v>
      </c>
      <c r="O2050" s="905"/>
      <c r="P2050" s="36" t="str">
        <f>IF(N2048&gt;0,"xx",IF(N2048&gt;0,"xy",""))</f>
        <v/>
      </c>
      <c r="Q2050" s="317" t="str">
        <f t="shared" si="205"/>
        <v/>
      </c>
      <c r="R2050" s="317" t="str">
        <f t="shared" si="206"/>
        <v/>
      </c>
      <c r="S2050" s="317" t="str">
        <f t="shared" si="207"/>
        <v/>
      </c>
      <c r="T2050" s="317" t="str">
        <f>GLOBAL_DER_FEV_2023!S2050</f>
        <v/>
      </c>
      <c r="W2050" s="582">
        <v>0</v>
      </c>
      <c r="X2050" s="580"/>
      <c r="Y2050" s="583">
        <f>IF(GLOBAL_DER_FEV_2023!W2050=0,0,IF(GLOBAL_DER_FEV_2023!W2050&gt;0,"c","b"))</f>
        <v>0</v>
      </c>
    </row>
    <row r="2051" spans="1:25" ht="15" customHeight="1" x14ac:dyDescent="0.2">
      <c r="A2051" s="317" t="s">
        <v>147</v>
      </c>
      <c r="B2051" s="895" t="s">
        <v>147</v>
      </c>
      <c r="C2051" s="896"/>
      <c r="D2051" s="906" t="s">
        <v>233</v>
      </c>
      <c r="E2051" s="907">
        <f>GLOBAL_DER_FEV_2023!E2051</f>
        <v>0.2</v>
      </c>
      <c r="F2051" s="908">
        <f>GLOBAL_DER_FEV_2023!F2051</f>
        <v>0.13490000000000002</v>
      </c>
      <c r="G2051" s="949">
        <f>GLOBAL_DER_FEV_2023!G2051</f>
        <v>0.3904006000000001</v>
      </c>
      <c r="H2051" s="901">
        <f>GLOBAL_DER_FEV_2023!H2051</f>
        <v>0</v>
      </c>
      <c r="I2051" s="901">
        <f>GLOBAL_DER_FEV_2023!I2051</f>
        <v>0</v>
      </c>
      <c r="J2051" s="902">
        <f>GLOBAL_DER_FEV_2023!J2051</f>
        <v>0</v>
      </c>
      <c r="K2051" s="903"/>
      <c r="L2051" s="1177"/>
      <c r="M2051" s="1138">
        <f t="shared" si="204"/>
        <v>0</v>
      </c>
      <c r="N2051" s="1176">
        <f t="shared" si="208"/>
        <v>0</v>
      </c>
      <c r="O2051" s="905"/>
      <c r="P2051" s="36" t="str">
        <f>IF(N2048&gt;0,"xx",IF(N2048&gt;0,"xy",""))</f>
        <v/>
      </c>
      <c r="Q2051" s="317" t="str">
        <f t="shared" si="205"/>
        <v/>
      </c>
      <c r="R2051" s="317" t="str">
        <f t="shared" si="206"/>
        <v/>
      </c>
      <c r="S2051" s="317" t="str">
        <f t="shared" si="207"/>
        <v/>
      </c>
      <c r="T2051" s="317" t="str">
        <f>GLOBAL_DER_FEV_2023!S2051</f>
        <v/>
      </c>
      <c r="W2051" s="582">
        <v>0</v>
      </c>
      <c r="X2051" s="580"/>
      <c r="Y2051" s="583">
        <f>IF(GLOBAL_DER_FEV_2023!W2051=0,0,IF(GLOBAL_DER_FEV_2023!W2051&gt;0,"c","b"))</f>
        <v>0</v>
      </c>
    </row>
    <row r="2052" spans="1:25" ht="15" customHeight="1" x14ac:dyDescent="0.2">
      <c r="A2052" s="317" t="s">
        <v>147</v>
      </c>
      <c r="B2052" s="895" t="s">
        <v>147</v>
      </c>
      <c r="C2052" s="896"/>
      <c r="D2052" s="906" t="s">
        <v>336</v>
      </c>
      <c r="E2052" s="907">
        <f>GLOBAL_DER_FEV_2023!E2052</f>
        <v>40</v>
      </c>
      <c r="F2052" s="908">
        <f>GLOBAL_DER_FEV_2023!F2052</f>
        <v>0.157</v>
      </c>
      <c r="G2052" s="949">
        <f>GLOBAL_DER_FEV_2023!G2052</f>
        <v>7.1403600000000003</v>
      </c>
      <c r="H2052" s="901">
        <f>GLOBAL_DER_FEV_2023!H2052</f>
        <v>0</v>
      </c>
      <c r="I2052" s="901">
        <f>GLOBAL_DER_FEV_2023!I2052</f>
        <v>0</v>
      </c>
      <c r="J2052" s="902">
        <f>GLOBAL_DER_FEV_2023!J2052</f>
        <v>0</v>
      </c>
      <c r="K2052" s="903"/>
      <c r="L2052" s="1177"/>
      <c r="M2052" s="1138">
        <f t="shared" si="204"/>
        <v>0</v>
      </c>
      <c r="N2052" s="1176">
        <f t="shared" si="208"/>
        <v>0</v>
      </c>
      <c r="O2052" s="905"/>
      <c r="P2052" s="36" t="str">
        <f>IF(N2048&gt;0,"xx",IF(N2048&gt;0,"xy",""))</f>
        <v/>
      </c>
      <c r="Q2052" s="317" t="str">
        <f t="shared" si="205"/>
        <v/>
      </c>
      <c r="R2052" s="317" t="str">
        <f t="shared" si="206"/>
        <v/>
      </c>
      <c r="S2052" s="317" t="str">
        <f t="shared" si="207"/>
        <v/>
      </c>
      <c r="T2052" s="317" t="str">
        <f>GLOBAL_DER_FEV_2023!S2052</f>
        <v/>
      </c>
      <c r="W2052" s="582">
        <v>0</v>
      </c>
      <c r="X2052" s="580"/>
      <c r="Y2052" s="583">
        <f>IF(GLOBAL_DER_FEV_2023!W2052=0,0,IF(GLOBAL_DER_FEV_2023!W2052&gt;0,"c","b"))</f>
        <v>0</v>
      </c>
    </row>
    <row r="2053" spans="1:25" ht="15" customHeight="1" x14ac:dyDescent="0.2">
      <c r="A2053" s="317">
        <v>610700</v>
      </c>
      <c r="B2053" s="895" t="s">
        <v>1838</v>
      </c>
      <c r="C2053" s="896" t="s">
        <v>184</v>
      </c>
      <c r="D2053" s="906" t="s">
        <v>2037</v>
      </c>
      <c r="E2053" s="907">
        <f>GLOBAL_DER_FEV_2023!E2053</f>
        <v>0</v>
      </c>
      <c r="F2053" s="908">
        <f>GLOBAL_DER_FEV_2023!F2053</f>
        <v>0</v>
      </c>
      <c r="G2053" s="912">
        <f>GLOBAL_DER_FEV_2023!G2053</f>
        <v>36.158851400000003</v>
      </c>
      <c r="H2053" s="901">
        <f>GLOBAL_DER_FEV_2023!H2053</f>
        <v>412.12</v>
      </c>
      <c r="I2053" s="901">
        <f>GLOBAL_DER_FEV_2023!I2053</f>
        <v>448.27885140000001</v>
      </c>
      <c r="J2053" s="902">
        <f>GLOBAL_DER_FEV_2023!J2053</f>
        <v>538.25</v>
      </c>
      <c r="K2053" s="903" t="s">
        <v>13</v>
      </c>
      <c r="L2053" s="1137"/>
      <c r="M2053" s="1138">
        <f t="shared" si="204"/>
        <v>0</v>
      </c>
      <c r="N2053" s="1176">
        <f t="shared" si="208"/>
        <v>0</v>
      </c>
      <c r="O2053" s="905"/>
      <c r="Q2053" s="317" t="str">
        <f t="shared" si="205"/>
        <v/>
      </c>
      <c r="R2053" s="317" t="str">
        <f t="shared" si="206"/>
        <v/>
      </c>
      <c r="S2053" s="317" t="str">
        <f t="shared" si="207"/>
        <v/>
      </c>
      <c r="T2053" s="317" t="str">
        <f>GLOBAL_DER_FEV_2023!S2053</f>
        <v/>
      </c>
      <c r="W2053" s="582">
        <v>0</v>
      </c>
      <c r="X2053" s="580"/>
      <c r="Y2053" s="583">
        <f>IF(GLOBAL_DER_FEV_2023!W2053=0,0,IF(GLOBAL_DER_FEV_2023!W2053&gt;0,"c","b"))</f>
        <v>0</v>
      </c>
    </row>
    <row r="2054" spans="1:25" ht="15" customHeight="1" x14ac:dyDescent="0.2">
      <c r="A2054" s="317" t="s">
        <v>147</v>
      </c>
      <c r="B2054" s="895" t="s">
        <v>147</v>
      </c>
      <c r="C2054" s="896"/>
      <c r="D2054" s="906" t="s">
        <v>190</v>
      </c>
      <c r="E2054" s="907">
        <f>GLOBAL_DER_FEV_2023!E2054</f>
        <v>308</v>
      </c>
      <c r="F2054" s="908">
        <f>GLOBAL_DER_FEV_2023!F2054</f>
        <v>2.86E-2</v>
      </c>
      <c r="G2054" s="909">
        <f>GLOBAL_DER_FEV_2023!G2054</f>
        <v>7.0945160000000005</v>
      </c>
      <c r="H2054" s="901">
        <f>GLOBAL_DER_FEV_2023!H2054</f>
        <v>0</v>
      </c>
      <c r="I2054" s="901">
        <f>GLOBAL_DER_FEV_2023!I2054</f>
        <v>0</v>
      </c>
      <c r="J2054" s="902">
        <f>GLOBAL_DER_FEV_2023!J2054</f>
        <v>0</v>
      </c>
      <c r="K2054" s="903"/>
      <c r="L2054" s="1177"/>
      <c r="M2054" s="1138">
        <f t="shared" ref="M2054:M2117" si="209">IF(L2054=0,0,ROUND(J2054,2))</f>
        <v>0</v>
      </c>
      <c r="N2054" s="1176">
        <f t="shared" si="208"/>
        <v>0</v>
      </c>
      <c r="O2054" s="905"/>
      <c r="P2054" s="36" t="str">
        <f>IF(N2053&gt;0,"xx",IF(N2053&gt;0,"xy",""))</f>
        <v/>
      </c>
      <c r="Q2054" s="317" t="str">
        <f t="shared" si="205"/>
        <v/>
      </c>
      <c r="R2054" s="317" t="str">
        <f t="shared" si="206"/>
        <v/>
      </c>
      <c r="S2054" s="317" t="str">
        <f t="shared" si="207"/>
        <v/>
      </c>
      <c r="T2054" s="317" t="str">
        <f>GLOBAL_DER_FEV_2023!S2054</f>
        <v/>
      </c>
      <c r="W2054" s="582">
        <v>0</v>
      </c>
      <c r="X2054" s="580"/>
      <c r="Y2054" s="583">
        <f>IF(GLOBAL_DER_FEV_2023!W2054=0,0,IF(GLOBAL_DER_FEV_2023!W2054&gt;0,"c","b"))</f>
        <v>0</v>
      </c>
    </row>
    <row r="2055" spans="1:25" ht="15" customHeight="1" x14ac:dyDescent="0.2">
      <c r="A2055" s="317" t="s">
        <v>147</v>
      </c>
      <c r="B2055" s="895" t="s">
        <v>147</v>
      </c>
      <c r="C2055" s="896"/>
      <c r="D2055" s="906" t="s">
        <v>229</v>
      </c>
      <c r="E2055" s="907">
        <f>GLOBAL_DER_FEV_2023!E2055</f>
        <v>150</v>
      </c>
      <c r="F2055" s="908">
        <f>GLOBAL_DER_FEV_2023!F2055</f>
        <v>0.10539999999999999</v>
      </c>
      <c r="G2055" s="949">
        <f>GLOBAL_DER_FEV_2023!G2055</f>
        <v>17.199172000000001</v>
      </c>
      <c r="H2055" s="901">
        <f>GLOBAL_DER_FEV_2023!H2055</f>
        <v>0</v>
      </c>
      <c r="I2055" s="901">
        <f>GLOBAL_DER_FEV_2023!I2055</f>
        <v>0</v>
      </c>
      <c r="J2055" s="902">
        <f>GLOBAL_DER_FEV_2023!J2055</f>
        <v>0</v>
      </c>
      <c r="K2055" s="903"/>
      <c r="L2055" s="1177"/>
      <c r="M2055" s="1138">
        <f t="shared" si="209"/>
        <v>0</v>
      </c>
      <c r="N2055" s="1176">
        <f t="shared" si="208"/>
        <v>0</v>
      </c>
      <c r="O2055" s="905"/>
      <c r="P2055" s="36" t="str">
        <f>IF(N2053&gt;0,"xx",IF(N2053&gt;0,"xy",""))</f>
        <v/>
      </c>
      <c r="Q2055" s="317" t="str">
        <f t="shared" si="205"/>
        <v/>
      </c>
      <c r="R2055" s="317" t="str">
        <f t="shared" si="206"/>
        <v/>
      </c>
      <c r="S2055" s="317" t="str">
        <f t="shared" si="207"/>
        <v/>
      </c>
      <c r="T2055" s="317" t="str">
        <f>GLOBAL_DER_FEV_2023!S2055</f>
        <v/>
      </c>
      <c r="W2055" s="582">
        <v>0</v>
      </c>
      <c r="X2055" s="580"/>
      <c r="Y2055" s="583">
        <f>IF(GLOBAL_DER_FEV_2023!W2055=0,0,IF(GLOBAL_DER_FEV_2023!W2055&gt;0,"c","b"))</f>
        <v>0</v>
      </c>
    </row>
    <row r="2056" spans="1:25" ht="15" customHeight="1" x14ac:dyDescent="0.2">
      <c r="A2056" s="317" t="s">
        <v>147</v>
      </c>
      <c r="B2056" s="895" t="s">
        <v>147</v>
      </c>
      <c r="C2056" s="896"/>
      <c r="D2056" s="906" t="s">
        <v>233</v>
      </c>
      <c r="E2056" s="907">
        <f>GLOBAL_DER_FEV_2023!E2056</f>
        <v>0.2</v>
      </c>
      <c r="F2056" s="908">
        <f>GLOBAL_DER_FEV_2023!F2056</f>
        <v>0.1711</v>
      </c>
      <c r="G2056" s="949">
        <f>GLOBAL_DER_FEV_2023!G2056</f>
        <v>0.49516340000000003</v>
      </c>
      <c r="H2056" s="901">
        <f>GLOBAL_DER_FEV_2023!H2056</f>
        <v>0</v>
      </c>
      <c r="I2056" s="901">
        <f>GLOBAL_DER_FEV_2023!I2056</f>
        <v>0</v>
      </c>
      <c r="J2056" s="902">
        <f>GLOBAL_DER_FEV_2023!J2056</f>
        <v>0</v>
      </c>
      <c r="K2056" s="903"/>
      <c r="L2056" s="1177"/>
      <c r="M2056" s="1138">
        <f t="shared" si="209"/>
        <v>0</v>
      </c>
      <c r="N2056" s="1176">
        <f t="shared" si="208"/>
        <v>0</v>
      </c>
      <c r="O2056" s="905"/>
      <c r="P2056" s="36" t="str">
        <f>IF(N2053&gt;0,"xx",IF(N2053&gt;0,"xy",""))</f>
        <v/>
      </c>
      <c r="Q2056" s="317" t="str">
        <f t="shared" si="205"/>
        <v/>
      </c>
      <c r="R2056" s="317" t="str">
        <f t="shared" si="206"/>
        <v/>
      </c>
      <c r="S2056" s="317" t="str">
        <f t="shared" si="207"/>
        <v/>
      </c>
      <c r="T2056" s="317" t="str">
        <f>GLOBAL_DER_FEV_2023!S2056</f>
        <v/>
      </c>
      <c r="W2056" s="582">
        <v>0</v>
      </c>
      <c r="X2056" s="580"/>
      <c r="Y2056" s="583">
        <f>IF(GLOBAL_DER_FEV_2023!W2056=0,0,IF(GLOBAL_DER_FEV_2023!W2056&gt;0,"c","b"))</f>
        <v>0</v>
      </c>
    </row>
    <row r="2057" spans="1:25" ht="15" customHeight="1" x14ac:dyDescent="0.2">
      <c r="A2057" s="317" t="s">
        <v>147</v>
      </c>
      <c r="B2057" s="895" t="s">
        <v>147</v>
      </c>
      <c r="C2057" s="896"/>
      <c r="D2057" s="906" t="s">
        <v>336</v>
      </c>
      <c r="E2057" s="907">
        <f>GLOBAL_DER_FEV_2023!E2057</f>
        <v>40</v>
      </c>
      <c r="F2057" s="908">
        <f>GLOBAL_DER_FEV_2023!F2057</f>
        <v>0.25</v>
      </c>
      <c r="G2057" s="949">
        <f>GLOBAL_DER_FEV_2023!G2057</f>
        <v>11.370000000000001</v>
      </c>
      <c r="H2057" s="901">
        <f>GLOBAL_DER_FEV_2023!H2057</f>
        <v>0</v>
      </c>
      <c r="I2057" s="901">
        <f>GLOBAL_DER_FEV_2023!I2057</f>
        <v>0</v>
      </c>
      <c r="J2057" s="902">
        <f>GLOBAL_DER_FEV_2023!J2057</f>
        <v>0</v>
      </c>
      <c r="K2057" s="903"/>
      <c r="L2057" s="1177"/>
      <c r="M2057" s="1138">
        <f t="shared" si="209"/>
        <v>0</v>
      </c>
      <c r="N2057" s="1176">
        <f t="shared" si="208"/>
        <v>0</v>
      </c>
      <c r="O2057" s="905"/>
      <c r="P2057" s="36" t="str">
        <f>IF(N2053&gt;0,"xx",IF(N2053&gt;0,"xy",""))</f>
        <v/>
      </c>
      <c r="Q2057" s="317" t="str">
        <f t="shared" si="205"/>
        <v/>
      </c>
      <c r="R2057" s="317" t="str">
        <f t="shared" si="206"/>
        <v/>
      </c>
      <c r="S2057" s="317" t="str">
        <f t="shared" si="207"/>
        <v/>
      </c>
      <c r="T2057" s="317" t="str">
        <f>GLOBAL_DER_FEV_2023!S2057</f>
        <v/>
      </c>
      <c r="W2057" s="582">
        <v>0</v>
      </c>
      <c r="X2057" s="580"/>
      <c r="Y2057" s="583">
        <f>IF(GLOBAL_DER_FEV_2023!W2057=0,0,IF(GLOBAL_DER_FEV_2023!W2057&gt;0,"c","b"))</f>
        <v>0</v>
      </c>
    </row>
    <row r="2058" spans="1:25" ht="15" customHeight="1" x14ac:dyDescent="0.2">
      <c r="A2058" s="317">
        <v>610700</v>
      </c>
      <c r="B2058" s="895" t="s">
        <v>1839</v>
      </c>
      <c r="C2058" s="896" t="s">
        <v>184</v>
      </c>
      <c r="D2058" s="906" t="s">
        <v>2038</v>
      </c>
      <c r="E2058" s="907">
        <f>GLOBAL_DER_FEV_2023!E2058</f>
        <v>0</v>
      </c>
      <c r="F2058" s="908">
        <f>GLOBAL_DER_FEV_2023!F2058</f>
        <v>0</v>
      </c>
      <c r="G2058" s="912">
        <f>GLOBAL_DER_FEV_2023!G2058</f>
        <v>42.690898200000007</v>
      </c>
      <c r="H2058" s="901">
        <f>GLOBAL_DER_FEV_2023!H2058</f>
        <v>412.12</v>
      </c>
      <c r="I2058" s="901">
        <f>GLOBAL_DER_FEV_2023!I2058</f>
        <v>454.8108982</v>
      </c>
      <c r="J2058" s="902">
        <f>GLOBAL_DER_FEV_2023!J2058</f>
        <v>546.09</v>
      </c>
      <c r="K2058" s="903" t="s">
        <v>13</v>
      </c>
      <c r="L2058" s="1137"/>
      <c r="M2058" s="1138">
        <f t="shared" si="209"/>
        <v>0</v>
      </c>
      <c r="N2058" s="1176">
        <f t="shared" si="208"/>
        <v>0</v>
      </c>
      <c r="O2058" s="905"/>
      <c r="Q2058" s="317" t="str">
        <f t="shared" si="205"/>
        <v/>
      </c>
      <c r="R2058" s="317" t="str">
        <f t="shared" si="206"/>
        <v/>
      </c>
      <c r="S2058" s="317" t="str">
        <f t="shared" si="207"/>
        <v/>
      </c>
      <c r="T2058" s="317" t="str">
        <f>GLOBAL_DER_FEV_2023!S2058</f>
        <v/>
      </c>
      <c r="W2058" s="582">
        <v>0</v>
      </c>
      <c r="X2058" s="580"/>
      <c r="Y2058" s="583">
        <f>IF(GLOBAL_DER_FEV_2023!W2058=0,0,IF(GLOBAL_DER_FEV_2023!W2058&gt;0,"c","b"))</f>
        <v>0</v>
      </c>
    </row>
    <row r="2059" spans="1:25" ht="15" customHeight="1" x14ac:dyDescent="0.2">
      <c r="A2059" s="317" t="s">
        <v>147</v>
      </c>
      <c r="B2059" s="895" t="s">
        <v>147</v>
      </c>
      <c r="C2059" s="896"/>
      <c r="D2059" s="906" t="s">
        <v>190</v>
      </c>
      <c r="E2059" s="907">
        <f>GLOBAL_DER_FEV_2023!E2059</f>
        <v>308</v>
      </c>
      <c r="F2059" s="908">
        <f>GLOBAL_DER_FEV_2023!F2059</f>
        <v>3.4500000000000003E-2</v>
      </c>
      <c r="G2059" s="909">
        <f>GLOBAL_DER_FEV_2023!G2059</f>
        <v>8.5580700000000007</v>
      </c>
      <c r="H2059" s="901">
        <f>GLOBAL_DER_FEV_2023!H2059</f>
        <v>0</v>
      </c>
      <c r="I2059" s="901">
        <f>GLOBAL_DER_FEV_2023!I2059</f>
        <v>0</v>
      </c>
      <c r="J2059" s="902">
        <f>GLOBAL_DER_FEV_2023!J2059</f>
        <v>0</v>
      </c>
      <c r="K2059" s="903"/>
      <c r="L2059" s="1177"/>
      <c r="M2059" s="1138">
        <f t="shared" si="209"/>
        <v>0</v>
      </c>
      <c r="N2059" s="1176">
        <f t="shared" si="208"/>
        <v>0</v>
      </c>
      <c r="O2059" s="905"/>
      <c r="P2059" s="36" t="str">
        <f>IF(N2058&gt;0,"xx",IF(N2058&gt;0,"xy",""))</f>
        <v/>
      </c>
      <c r="Q2059" s="317" t="str">
        <f t="shared" si="205"/>
        <v/>
      </c>
      <c r="R2059" s="317" t="str">
        <f t="shared" si="206"/>
        <v/>
      </c>
      <c r="S2059" s="317" t="str">
        <f t="shared" si="207"/>
        <v/>
      </c>
      <c r="T2059" s="317" t="str">
        <f>GLOBAL_DER_FEV_2023!S2059</f>
        <v/>
      </c>
      <c r="W2059" s="582">
        <v>0</v>
      </c>
      <c r="X2059" s="580"/>
      <c r="Y2059" s="583">
        <f>IF(GLOBAL_DER_FEV_2023!W2059=0,0,IF(GLOBAL_DER_FEV_2023!W2059&gt;0,"c","b"))</f>
        <v>0</v>
      </c>
    </row>
    <row r="2060" spans="1:25" ht="15" customHeight="1" x14ac:dyDescent="0.2">
      <c r="A2060" s="317" t="s">
        <v>147</v>
      </c>
      <c r="B2060" s="895" t="s">
        <v>147</v>
      </c>
      <c r="C2060" s="896"/>
      <c r="D2060" s="906" t="s">
        <v>229</v>
      </c>
      <c r="E2060" s="907">
        <f>GLOBAL_DER_FEV_2023!E2060</f>
        <v>150</v>
      </c>
      <c r="F2060" s="908">
        <f>GLOBAL_DER_FEV_2023!F2060</f>
        <v>0.12690000000000001</v>
      </c>
      <c r="G2060" s="949">
        <f>GLOBAL_DER_FEV_2023!G2060</f>
        <v>20.707542000000004</v>
      </c>
      <c r="H2060" s="901">
        <f>GLOBAL_DER_FEV_2023!H2060</f>
        <v>0</v>
      </c>
      <c r="I2060" s="901">
        <f>GLOBAL_DER_FEV_2023!I2060</f>
        <v>0</v>
      </c>
      <c r="J2060" s="902">
        <f>GLOBAL_DER_FEV_2023!J2060</f>
        <v>0</v>
      </c>
      <c r="K2060" s="903"/>
      <c r="L2060" s="1177"/>
      <c r="M2060" s="1138">
        <f t="shared" si="209"/>
        <v>0</v>
      </c>
      <c r="N2060" s="1176">
        <f t="shared" si="208"/>
        <v>0</v>
      </c>
      <c r="O2060" s="905"/>
      <c r="P2060" s="36" t="str">
        <f>IF(N2058&gt;0,"xx",IF(N2058&gt;0,"xy",""))</f>
        <v/>
      </c>
      <c r="Q2060" s="317" t="str">
        <f t="shared" si="205"/>
        <v/>
      </c>
      <c r="R2060" s="317" t="str">
        <f t="shared" si="206"/>
        <v/>
      </c>
      <c r="S2060" s="317" t="str">
        <f t="shared" si="207"/>
        <v/>
      </c>
      <c r="T2060" s="317" t="str">
        <f>GLOBAL_DER_FEV_2023!S2060</f>
        <v/>
      </c>
      <c r="W2060" s="582">
        <v>0</v>
      </c>
      <c r="X2060" s="580"/>
      <c r="Y2060" s="583">
        <f>IF(GLOBAL_DER_FEV_2023!W2060=0,0,IF(GLOBAL_DER_FEV_2023!W2060&gt;0,"c","b"))</f>
        <v>0</v>
      </c>
    </row>
    <row r="2061" spans="1:25" ht="15" customHeight="1" x14ac:dyDescent="0.2">
      <c r="A2061" s="317" t="s">
        <v>147</v>
      </c>
      <c r="B2061" s="895" t="s">
        <v>147</v>
      </c>
      <c r="C2061" s="896"/>
      <c r="D2061" s="906" t="s">
        <v>233</v>
      </c>
      <c r="E2061" s="907">
        <f>GLOBAL_DER_FEV_2023!E2061</f>
        <v>0.2</v>
      </c>
      <c r="F2061" s="908">
        <f>GLOBAL_DER_FEV_2023!F2061</f>
        <v>0.20729999999999998</v>
      </c>
      <c r="G2061" s="949">
        <f>GLOBAL_DER_FEV_2023!G2061</f>
        <v>0.59992619999999997</v>
      </c>
      <c r="H2061" s="901">
        <f>GLOBAL_DER_FEV_2023!H2061</f>
        <v>0</v>
      </c>
      <c r="I2061" s="901">
        <f>GLOBAL_DER_FEV_2023!I2061</f>
        <v>0</v>
      </c>
      <c r="J2061" s="902">
        <f>GLOBAL_DER_FEV_2023!J2061</f>
        <v>0</v>
      </c>
      <c r="K2061" s="903"/>
      <c r="L2061" s="1177"/>
      <c r="M2061" s="1138">
        <f t="shared" si="209"/>
        <v>0</v>
      </c>
      <c r="N2061" s="1176">
        <f t="shared" si="208"/>
        <v>0</v>
      </c>
      <c r="O2061" s="905"/>
      <c r="P2061" s="36" t="str">
        <f>IF(N2058&gt;0,"xx",IF(N2058&gt;0,"xy",""))</f>
        <v/>
      </c>
      <c r="Q2061" s="317" t="str">
        <f t="shared" si="205"/>
        <v/>
      </c>
      <c r="R2061" s="317" t="str">
        <f t="shared" si="206"/>
        <v/>
      </c>
      <c r="S2061" s="317" t="str">
        <f t="shared" si="207"/>
        <v/>
      </c>
      <c r="T2061" s="317" t="str">
        <f>GLOBAL_DER_FEV_2023!S2061</f>
        <v/>
      </c>
      <c r="W2061" s="582">
        <v>0</v>
      </c>
      <c r="X2061" s="580"/>
      <c r="Y2061" s="583">
        <f>IF(GLOBAL_DER_FEV_2023!W2061=0,0,IF(GLOBAL_DER_FEV_2023!W2061&gt;0,"c","b"))</f>
        <v>0</v>
      </c>
    </row>
    <row r="2062" spans="1:25" ht="15" customHeight="1" x14ac:dyDescent="0.2">
      <c r="A2062" s="317" t="s">
        <v>147</v>
      </c>
      <c r="B2062" s="895" t="s">
        <v>147</v>
      </c>
      <c r="C2062" s="896"/>
      <c r="D2062" s="906" t="s">
        <v>336</v>
      </c>
      <c r="E2062" s="907">
        <f>GLOBAL_DER_FEV_2023!E2062</f>
        <v>40</v>
      </c>
      <c r="F2062" s="908">
        <f>GLOBAL_DER_FEV_2023!F2062</f>
        <v>0.28199999999999997</v>
      </c>
      <c r="G2062" s="949">
        <f>GLOBAL_DER_FEV_2023!G2062</f>
        <v>12.82536</v>
      </c>
      <c r="H2062" s="901">
        <f>GLOBAL_DER_FEV_2023!H2062</f>
        <v>0</v>
      </c>
      <c r="I2062" s="901">
        <f>GLOBAL_DER_FEV_2023!I2062</f>
        <v>0</v>
      </c>
      <c r="J2062" s="902">
        <f>GLOBAL_DER_FEV_2023!J2062</f>
        <v>0</v>
      </c>
      <c r="K2062" s="903"/>
      <c r="L2062" s="1177"/>
      <c r="M2062" s="1138">
        <f t="shared" si="209"/>
        <v>0</v>
      </c>
      <c r="N2062" s="1176">
        <f t="shared" si="208"/>
        <v>0</v>
      </c>
      <c r="O2062" s="905"/>
      <c r="P2062" s="36" t="str">
        <f>IF(N2058&gt;0,"xx",IF(N2058&gt;0,"xy",""))</f>
        <v/>
      </c>
      <c r="Q2062" s="317" t="str">
        <f t="shared" si="205"/>
        <v/>
      </c>
      <c r="R2062" s="317" t="str">
        <f t="shared" si="206"/>
        <v/>
      </c>
      <c r="S2062" s="317" t="str">
        <f t="shared" si="207"/>
        <v/>
      </c>
      <c r="T2062" s="317" t="str">
        <f>GLOBAL_DER_FEV_2023!S2062</f>
        <v/>
      </c>
      <c r="W2062" s="582">
        <v>0</v>
      </c>
      <c r="X2062" s="580"/>
      <c r="Y2062" s="583">
        <f>IF(GLOBAL_DER_FEV_2023!W2062=0,0,IF(GLOBAL_DER_FEV_2023!W2062&gt;0,"c","b"))</f>
        <v>0</v>
      </c>
    </row>
    <row r="2063" spans="1:25" ht="15" customHeight="1" x14ac:dyDescent="0.2">
      <c r="A2063" s="317">
        <v>610900</v>
      </c>
      <c r="B2063" s="895" t="s">
        <v>1840</v>
      </c>
      <c r="C2063" s="896" t="s">
        <v>184</v>
      </c>
      <c r="D2063" s="906" t="s">
        <v>2039</v>
      </c>
      <c r="E2063" s="907">
        <f>GLOBAL_DER_FEV_2023!E2063</f>
        <v>0</v>
      </c>
      <c r="F2063" s="908">
        <f>GLOBAL_DER_FEV_2023!F2063</f>
        <v>0</v>
      </c>
      <c r="G2063" s="912">
        <f>GLOBAL_DER_FEV_2023!G2063</f>
        <v>64.826621799999998</v>
      </c>
      <c r="H2063" s="901">
        <f>GLOBAL_DER_FEV_2023!H2063</f>
        <v>677.21</v>
      </c>
      <c r="I2063" s="901">
        <f>GLOBAL_DER_FEV_2023!I2063</f>
        <v>742.03662180000003</v>
      </c>
      <c r="J2063" s="902">
        <f>GLOBAL_DER_FEV_2023!J2063</f>
        <v>890.96</v>
      </c>
      <c r="K2063" s="903" t="s">
        <v>13</v>
      </c>
      <c r="L2063" s="1137"/>
      <c r="M2063" s="1138">
        <f t="shared" si="209"/>
        <v>0</v>
      </c>
      <c r="N2063" s="1176">
        <f t="shared" si="208"/>
        <v>0</v>
      </c>
      <c r="O2063" s="905"/>
      <c r="Q2063" s="317" t="str">
        <f t="shared" si="205"/>
        <v/>
      </c>
      <c r="R2063" s="317" t="str">
        <f t="shared" si="206"/>
        <v/>
      </c>
      <c r="S2063" s="317" t="str">
        <f t="shared" si="207"/>
        <v/>
      </c>
      <c r="T2063" s="317" t="str">
        <f>GLOBAL_DER_FEV_2023!S2063</f>
        <v/>
      </c>
      <c r="W2063" s="582">
        <v>0</v>
      </c>
      <c r="X2063" s="580"/>
      <c r="Y2063" s="583">
        <f>IF(GLOBAL_DER_FEV_2023!W2063=0,0,IF(GLOBAL_DER_FEV_2023!W2063&gt;0,"c","b"))</f>
        <v>0</v>
      </c>
    </row>
    <row r="2064" spans="1:25" ht="15" customHeight="1" x14ac:dyDescent="0.2">
      <c r="A2064" s="317" t="s">
        <v>147</v>
      </c>
      <c r="B2064" s="895" t="s">
        <v>147</v>
      </c>
      <c r="C2064" s="896"/>
      <c r="D2064" s="906" t="s">
        <v>190</v>
      </c>
      <c r="E2064" s="907">
        <f>GLOBAL_DER_FEV_2023!E2064</f>
        <v>308</v>
      </c>
      <c r="F2064" s="908">
        <f>GLOBAL_DER_FEV_2023!F2064</f>
        <v>4.7199999999999999E-2</v>
      </c>
      <c r="G2064" s="909">
        <f>GLOBAL_DER_FEV_2023!G2064</f>
        <v>11.708432</v>
      </c>
      <c r="H2064" s="901">
        <f>GLOBAL_DER_FEV_2023!H2064</f>
        <v>0</v>
      </c>
      <c r="I2064" s="901">
        <f>GLOBAL_DER_FEV_2023!I2064</f>
        <v>0</v>
      </c>
      <c r="J2064" s="902">
        <f>GLOBAL_DER_FEV_2023!J2064</f>
        <v>0</v>
      </c>
      <c r="K2064" s="903"/>
      <c r="L2064" s="1177"/>
      <c r="M2064" s="1138">
        <f t="shared" si="209"/>
        <v>0</v>
      </c>
      <c r="N2064" s="1176">
        <f t="shared" si="208"/>
        <v>0</v>
      </c>
      <c r="O2064" s="905"/>
      <c r="P2064" s="36" t="str">
        <f>IF(N2063&gt;0,"xx",IF(N2063&gt;0,"xy",""))</f>
        <v/>
      </c>
      <c r="Q2064" s="317" t="str">
        <f t="shared" si="205"/>
        <v/>
      </c>
      <c r="R2064" s="317" t="str">
        <f t="shared" si="206"/>
        <v/>
      </c>
      <c r="S2064" s="317" t="str">
        <f t="shared" si="207"/>
        <v/>
      </c>
      <c r="T2064" s="317" t="str">
        <f>GLOBAL_DER_FEV_2023!S2064</f>
        <v/>
      </c>
      <c r="W2064" s="582">
        <v>0</v>
      </c>
      <c r="X2064" s="580"/>
      <c r="Y2064" s="583">
        <f>IF(GLOBAL_DER_FEV_2023!W2064=0,0,IF(GLOBAL_DER_FEV_2023!W2064&gt;0,"c","b"))</f>
        <v>0</v>
      </c>
    </row>
    <row r="2065" spans="1:25" ht="15" customHeight="1" x14ac:dyDescent="0.2">
      <c r="A2065" s="317" t="s">
        <v>147</v>
      </c>
      <c r="B2065" s="895" t="s">
        <v>147</v>
      </c>
      <c r="C2065" s="896"/>
      <c r="D2065" s="906" t="s">
        <v>229</v>
      </c>
      <c r="E2065" s="907">
        <f>GLOBAL_DER_FEV_2023!E2065</f>
        <v>150</v>
      </c>
      <c r="F2065" s="908">
        <f>GLOBAL_DER_FEV_2023!F2065</f>
        <v>0.17269999999999999</v>
      </c>
      <c r="G2065" s="949">
        <f>GLOBAL_DER_FEV_2023!G2065</f>
        <v>28.181186</v>
      </c>
      <c r="H2065" s="901">
        <f>GLOBAL_DER_FEV_2023!H2065</f>
        <v>0</v>
      </c>
      <c r="I2065" s="901">
        <f>GLOBAL_DER_FEV_2023!I2065</f>
        <v>0</v>
      </c>
      <c r="J2065" s="902">
        <f>GLOBAL_DER_FEV_2023!J2065</f>
        <v>0</v>
      </c>
      <c r="K2065" s="903"/>
      <c r="L2065" s="1177"/>
      <c r="M2065" s="1138">
        <f t="shared" si="209"/>
        <v>0</v>
      </c>
      <c r="N2065" s="1176">
        <f t="shared" si="208"/>
        <v>0</v>
      </c>
      <c r="O2065" s="905"/>
      <c r="P2065" s="36" t="str">
        <f>IF(N2063&gt;0,"xx",IF(N2063&gt;0,"xy",""))</f>
        <v/>
      </c>
      <c r="Q2065" s="317" t="str">
        <f t="shared" ref="Q2065:Q2128" si="210">IF(P2065="X","x",IF(P2065="xx","x",IF(P2065="xy","x",IF(P2065="y","x",IF(OR(N2065&gt;0,N2065&gt;0),"x","")))))</f>
        <v/>
      </c>
      <c r="R2065" s="317" t="str">
        <f t="shared" si="206"/>
        <v/>
      </c>
      <c r="S2065" s="317" t="str">
        <f t="shared" si="207"/>
        <v/>
      </c>
      <c r="T2065" s="317" t="str">
        <f>GLOBAL_DER_FEV_2023!S2065</f>
        <v/>
      </c>
      <c r="W2065" s="582">
        <v>0</v>
      </c>
      <c r="X2065" s="580"/>
      <c r="Y2065" s="583">
        <f>IF(GLOBAL_DER_FEV_2023!W2065=0,0,IF(GLOBAL_DER_FEV_2023!W2065&gt;0,"c","b"))</f>
        <v>0</v>
      </c>
    </row>
    <row r="2066" spans="1:25" ht="15" customHeight="1" x14ac:dyDescent="0.2">
      <c r="A2066" s="317" t="s">
        <v>147</v>
      </c>
      <c r="B2066" s="895" t="s">
        <v>147</v>
      </c>
      <c r="C2066" s="896"/>
      <c r="D2066" s="906" t="s">
        <v>233</v>
      </c>
      <c r="E2066" s="907">
        <f>GLOBAL_DER_FEV_2023!E2066</f>
        <v>0.2</v>
      </c>
      <c r="F2066" s="908">
        <f>GLOBAL_DER_FEV_2023!F2066</f>
        <v>0.28770000000000001</v>
      </c>
      <c r="G2066" s="949">
        <f>GLOBAL_DER_FEV_2023!G2066</f>
        <v>0.83260380000000012</v>
      </c>
      <c r="H2066" s="901">
        <f>GLOBAL_DER_FEV_2023!H2066</f>
        <v>0</v>
      </c>
      <c r="I2066" s="901">
        <f>GLOBAL_DER_FEV_2023!I2066</f>
        <v>0</v>
      </c>
      <c r="J2066" s="902">
        <f>GLOBAL_DER_FEV_2023!J2066</f>
        <v>0</v>
      </c>
      <c r="K2066" s="903"/>
      <c r="L2066" s="1177"/>
      <c r="M2066" s="1138">
        <f t="shared" si="209"/>
        <v>0</v>
      </c>
      <c r="N2066" s="1176">
        <f t="shared" si="208"/>
        <v>0</v>
      </c>
      <c r="O2066" s="905"/>
      <c r="P2066" s="36" t="str">
        <f>IF(N2063&gt;0,"xx",IF(N2063&gt;0,"xy",""))</f>
        <v/>
      </c>
      <c r="Q2066" s="317" t="str">
        <f t="shared" si="210"/>
        <v/>
      </c>
      <c r="R2066" s="317" t="str">
        <f t="shared" si="206"/>
        <v/>
      </c>
      <c r="S2066" s="317" t="str">
        <f t="shared" si="207"/>
        <v/>
      </c>
      <c r="T2066" s="317" t="str">
        <f>GLOBAL_DER_FEV_2023!S2066</f>
        <v/>
      </c>
      <c r="W2066" s="582">
        <v>0</v>
      </c>
      <c r="X2066" s="580"/>
      <c r="Y2066" s="583">
        <f>IF(GLOBAL_DER_FEV_2023!W2066=0,0,IF(GLOBAL_DER_FEV_2023!W2066&gt;0,"c","b"))</f>
        <v>0</v>
      </c>
    </row>
    <row r="2067" spans="1:25" ht="15" customHeight="1" x14ac:dyDescent="0.2">
      <c r="A2067" s="317" t="s">
        <v>147</v>
      </c>
      <c r="B2067" s="895" t="s">
        <v>147</v>
      </c>
      <c r="C2067" s="896"/>
      <c r="D2067" s="906" t="s">
        <v>336</v>
      </c>
      <c r="E2067" s="907">
        <f>GLOBAL_DER_FEV_2023!E2067</f>
        <v>40</v>
      </c>
      <c r="F2067" s="908">
        <f>GLOBAL_DER_FEV_2023!F2067</f>
        <v>0.53</v>
      </c>
      <c r="G2067" s="949">
        <f>GLOBAL_DER_FEV_2023!G2067</f>
        <v>24.104400000000002</v>
      </c>
      <c r="H2067" s="901">
        <f>GLOBAL_DER_FEV_2023!H2067</f>
        <v>0</v>
      </c>
      <c r="I2067" s="901">
        <f>GLOBAL_DER_FEV_2023!I2067</f>
        <v>0</v>
      </c>
      <c r="J2067" s="902">
        <f>GLOBAL_DER_FEV_2023!J2067</f>
        <v>0</v>
      </c>
      <c r="K2067" s="903"/>
      <c r="L2067" s="1177"/>
      <c r="M2067" s="1138">
        <f t="shared" si="209"/>
        <v>0</v>
      </c>
      <c r="N2067" s="1176">
        <f t="shared" si="208"/>
        <v>0</v>
      </c>
      <c r="O2067" s="905"/>
      <c r="P2067" s="36" t="str">
        <f>IF(N2063&gt;0,"xx",IF(N2063&gt;0,"xy",""))</f>
        <v/>
      </c>
      <c r="Q2067" s="317" t="str">
        <f t="shared" si="210"/>
        <v/>
      </c>
      <c r="R2067" s="317" t="str">
        <f t="shared" ref="R2067:R2130" si="211">IF(P2067="X","x",IF(P2067="y","x",IF(P2067="xx","x",IF(N2067&gt;0,"x",""))))</f>
        <v/>
      </c>
      <c r="S2067" s="317" t="str">
        <f t="shared" ref="S2067:S2130" si="212">IF(P2067="X","x",IF(N2067&gt;0,"x",""))</f>
        <v/>
      </c>
      <c r="T2067" s="317" t="str">
        <f>GLOBAL_DER_FEV_2023!S2067</f>
        <v/>
      </c>
      <c r="W2067" s="582">
        <v>0</v>
      </c>
      <c r="X2067" s="580"/>
      <c r="Y2067" s="583">
        <f>IF(GLOBAL_DER_FEV_2023!W2067=0,0,IF(GLOBAL_DER_FEV_2023!W2067&gt;0,"c","b"))</f>
        <v>0</v>
      </c>
    </row>
    <row r="2068" spans="1:25" ht="15" customHeight="1" x14ac:dyDescent="0.2">
      <c r="A2068" s="317">
        <v>610900</v>
      </c>
      <c r="B2068" s="895" t="s">
        <v>1841</v>
      </c>
      <c r="C2068" s="896" t="s">
        <v>184</v>
      </c>
      <c r="D2068" s="906" t="s">
        <v>2040</v>
      </c>
      <c r="E2068" s="907">
        <f>GLOBAL_DER_FEV_2023!E2068</f>
        <v>0</v>
      </c>
      <c r="F2068" s="908">
        <f>GLOBAL_DER_FEV_2023!F2068</f>
        <v>0</v>
      </c>
      <c r="G2068" s="912">
        <f>GLOBAL_DER_FEV_2023!G2068</f>
        <v>82.943787400000019</v>
      </c>
      <c r="H2068" s="901">
        <f>GLOBAL_DER_FEV_2023!H2068</f>
        <v>677.21</v>
      </c>
      <c r="I2068" s="901">
        <f>GLOBAL_DER_FEV_2023!I2068</f>
        <v>760.15378740000006</v>
      </c>
      <c r="J2068" s="902">
        <f>GLOBAL_DER_FEV_2023!J2068</f>
        <v>912.72</v>
      </c>
      <c r="K2068" s="903" t="s">
        <v>13</v>
      </c>
      <c r="L2068" s="1137"/>
      <c r="M2068" s="1138">
        <f t="shared" si="209"/>
        <v>0</v>
      </c>
      <c r="N2068" s="1176">
        <f t="shared" si="208"/>
        <v>0</v>
      </c>
      <c r="O2068" s="905"/>
      <c r="Q2068" s="317" t="str">
        <f t="shared" si="210"/>
        <v/>
      </c>
      <c r="R2068" s="317" t="str">
        <f t="shared" si="211"/>
        <v/>
      </c>
      <c r="S2068" s="317" t="str">
        <f t="shared" si="212"/>
        <v/>
      </c>
      <c r="T2068" s="317" t="str">
        <f>GLOBAL_DER_FEV_2023!S2068</f>
        <v/>
      </c>
      <c r="W2068" s="582">
        <v>0</v>
      </c>
      <c r="X2068" s="580"/>
      <c r="Y2068" s="583">
        <f>IF(GLOBAL_DER_FEV_2023!W2068=0,0,IF(GLOBAL_DER_FEV_2023!W2068&gt;0,"c","b"))</f>
        <v>0</v>
      </c>
    </row>
    <row r="2069" spans="1:25" ht="15" customHeight="1" x14ac:dyDescent="0.2">
      <c r="A2069" s="317" t="s">
        <v>147</v>
      </c>
      <c r="B2069" s="895" t="s">
        <v>147</v>
      </c>
      <c r="C2069" s="896"/>
      <c r="D2069" s="906" t="s">
        <v>190</v>
      </c>
      <c r="E2069" s="907">
        <f>GLOBAL_DER_FEV_2023!E2069</f>
        <v>308</v>
      </c>
      <c r="F2069" s="908">
        <f>GLOBAL_DER_FEV_2023!F2069</f>
        <v>5.9900000000000002E-2</v>
      </c>
      <c r="G2069" s="909">
        <f>GLOBAL_DER_FEV_2023!G2069</f>
        <v>14.858794000000001</v>
      </c>
      <c r="H2069" s="901">
        <f>GLOBAL_DER_FEV_2023!H2069</f>
        <v>0</v>
      </c>
      <c r="I2069" s="901">
        <f>GLOBAL_DER_FEV_2023!I2069</f>
        <v>0</v>
      </c>
      <c r="J2069" s="902">
        <f>GLOBAL_DER_FEV_2023!J2069</f>
        <v>0</v>
      </c>
      <c r="K2069" s="903"/>
      <c r="L2069" s="1177"/>
      <c r="M2069" s="1138">
        <f t="shared" si="209"/>
        <v>0</v>
      </c>
      <c r="N2069" s="1176">
        <f t="shared" si="208"/>
        <v>0</v>
      </c>
      <c r="O2069" s="905"/>
      <c r="P2069" s="36" t="str">
        <f>IF(N2068&gt;0,"xx",IF(N2068&gt;0,"xy",""))</f>
        <v/>
      </c>
      <c r="Q2069" s="317" t="str">
        <f t="shared" si="210"/>
        <v/>
      </c>
      <c r="R2069" s="317" t="str">
        <f t="shared" si="211"/>
        <v/>
      </c>
      <c r="S2069" s="317" t="str">
        <f t="shared" si="212"/>
        <v/>
      </c>
      <c r="T2069" s="317" t="str">
        <f>GLOBAL_DER_FEV_2023!S2069</f>
        <v/>
      </c>
      <c r="W2069" s="582">
        <v>0</v>
      </c>
      <c r="X2069" s="580"/>
      <c r="Y2069" s="583">
        <f>IF(GLOBAL_DER_FEV_2023!W2069=0,0,IF(GLOBAL_DER_FEV_2023!W2069&gt;0,"c","b"))</f>
        <v>0</v>
      </c>
    </row>
    <row r="2070" spans="1:25" ht="15" customHeight="1" x14ac:dyDescent="0.2">
      <c r="A2070" s="317" t="s">
        <v>147</v>
      </c>
      <c r="B2070" s="895" t="s">
        <v>147</v>
      </c>
      <c r="C2070" s="896"/>
      <c r="D2070" s="906" t="s">
        <v>229</v>
      </c>
      <c r="E2070" s="907">
        <f>GLOBAL_DER_FEV_2023!E2070</f>
        <v>150</v>
      </c>
      <c r="F2070" s="908">
        <f>GLOBAL_DER_FEV_2023!F2070</f>
        <v>0.21840000000000001</v>
      </c>
      <c r="G2070" s="949">
        <f>GLOBAL_DER_FEV_2023!G2070</f>
        <v>35.638512000000006</v>
      </c>
      <c r="H2070" s="901">
        <f>GLOBAL_DER_FEV_2023!H2070</f>
        <v>0</v>
      </c>
      <c r="I2070" s="901">
        <f>GLOBAL_DER_FEV_2023!I2070</f>
        <v>0</v>
      </c>
      <c r="J2070" s="902">
        <f>GLOBAL_DER_FEV_2023!J2070</f>
        <v>0</v>
      </c>
      <c r="K2070" s="903"/>
      <c r="L2070" s="1177"/>
      <c r="M2070" s="1138">
        <f t="shared" si="209"/>
        <v>0</v>
      </c>
      <c r="N2070" s="1176">
        <f t="shared" si="208"/>
        <v>0</v>
      </c>
      <c r="O2070" s="905"/>
      <c r="P2070" s="36" t="str">
        <f>IF(N2068&gt;0,"xx",IF(N2068&gt;0,"xy",""))</f>
        <v/>
      </c>
      <c r="Q2070" s="317" t="str">
        <f t="shared" si="210"/>
        <v/>
      </c>
      <c r="R2070" s="317" t="str">
        <f t="shared" si="211"/>
        <v/>
      </c>
      <c r="S2070" s="317" t="str">
        <f t="shared" si="212"/>
        <v/>
      </c>
      <c r="T2070" s="317" t="str">
        <f>GLOBAL_DER_FEV_2023!S2070</f>
        <v/>
      </c>
      <c r="W2070" s="582">
        <v>0</v>
      </c>
      <c r="X2070" s="580"/>
      <c r="Y2070" s="583">
        <f>IF(GLOBAL_DER_FEV_2023!W2070=0,0,IF(GLOBAL_DER_FEV_2023!W2070&gt;0,"c","b"))</f>
        <v>0</v>
      </c>
    </row>
    <row r="2071" spans="1:25" ht="15" customHeight="1" x14ac:dyDescent="0.2">
      <c r="A2071" s="317" t="s">
        <v>147</v>
      </c>
      <c r="B2071" s="895" t="s">
        <v>147</v>
      </c>
      <c r="C2071" s="896"/>
      <c r="D2071" s="906" t="s">
        <v>233</v>
      </c>
      <c r="E2071" s="907">
        <f>GLOBAL_DER_FEV_2023!E2071</f>
        <v>0.2</v>
      </c>
      <c r="F2071" s="908">
        <f>GLOBAL_DER_FEV_2023!F2071</f>
        <v>0.36809999999999998</v>
      </c>
      <c r="G2071" s="949">
        <f>GLOBAL_DER_FEV_2023!G2071</f>
        <v>1.0652813999999999</v>
      </c>
      <c r="H2071" s="901">
        <f>GLOBAL_DER_FEV_2023!H2071</f>
        <v>0</v>
      </c>
      <c r="I2071" s="901">
        <f>GLOBAL_DER_FEV_2023!I2071</f>
        <v>0</v>
      </c>
      <c r="J2071" s="902">
        <f>GLOBAL_DER_FEV_2023!J2071</f>
        <v>0</v>
      </c>
      <c r="K2071" s="903"/>
      <c r="L2071" s="1177"/>
      <c r="M2071" s="1138">
        <f t="shared" si="209"/>
        <v>0</v>
      </c>
      <c r="N2071" s="1176">
        <f t="shared" ref="N2071:N2134" si="213">IF(ISBLANK(L2071),0,IF(W2071=0,ROUND(L2071*M2071,2),IF(W2071="b",ROUNDDOWN(L2071*M2071,2),ROUNDUP(L2071*M2071,2))))</f>
        <v>0</v>
      </c>
      <c r="O2071" s="905"/>
      <c r="P2071" s="36" t="str">
        <f>IF(N2068&gt;0,"xx",IF(N2068&gt;0,"xy",""))</f>
        <v/>
      </c>
      <c r="Q2071" s="317" t="str">
        <f t="shared" si="210"/>
        <v/>
      </c>
      <c r="R2071" s="317" t="str">
        <f t="shared" si="211"/>
        <v/>
      </c>
      <c r="S2071" s="317" t="str">
        <f t="shared" si="212"/>
        <v/>
      </c>
      <c r="T2071" s="317" t="str">
        <f>GLOBAL_DER_FEV_2023!S2071</f>
        <v/>
      </c>
      <c r="W2071" s="582">
        <v>0</v>
      </c>
      <c r="X2071" s="580"/>
      <c r="Y2071" s="583">
        <f>IF(GLOBAL_DER_FEV_2023!W2071=0,0,IF(GLOBAL_DER_FEV_2023!W2071&gt;0,"c","b"))</f>
        <v>0</v>
      </c>
    </row>
    <row r="2072" spans="1:25" ht="15" customHeight="1" x14ac:dyDescent="0.2">
      <c r="A2072" s="317" t="s">
        <v>147</v>
      </c>
      <c r="B2072" s="895" t="s">
        <v>147</v>
      </c>
      <c r="C2072" s="896"/>
      <c r="D2072" s="906" t="s">
        <v>336</v>
      </c>
      <c r="E2072" s="907">
        <f>GLOBAL_DER_FEV_2023!E2072</f>
        <v>40</v>
      </c>
      <c r="F2072" s="908">
        <f>GLOBAL_DER_FEV_2023!F2072</f>
        <v>0.69</v>
      </c>
      <c r="G2072" s="949">
        <f>GLOBAL_DER_FEV_2023!G2072</f>
        <v>31.3812</v>
      </c>
      <c r="H2072" s="901">
        <f>GLOBAL_DER_FEV_2023!H2072</f>
        <v>0</v>
      </c>
      <c r="I2072" s="901">
        <f>GLOBAL_DER_FEV_2023!I2072</f>
        <v>0</v>
      </c>
      <c r="J2072" s="902">
        <f>GLOBAL_DER_FEV_2023!J2072</f>
        <v>0</v>
      </c>
      <c r="K2072" s="903"/>
      <c r="L2072" s="1177"/>
      <c r="M2072" s="1138">
        <f t="shared" si="209"/>
        <v>0</v>
      </c>
      <c r="N2072" s="1176">
        <f t="shared" si="213"/>
        <v>0</v>
      </c>
      <c r="O2072" s="905"/>
      <c r="P2072" s="36" t="str">
        <f>IF(N2068&gt;0,"xx",IF(N2068&gt;0,"xy",""))</f>
        <v/>
      </c>
      <c r="Q2072" s="317" t="str">
        <f t="shared" si="210"/>
        <v/>
      </c>
      <c r="R2072" s="317" t="str">
        <f t="shared" si="211"/>
        <v/>
      </c>
      <c r="S2072" s="317" t="str">
        <f t="shared" si="212"/>
        <v/>
      </c>
      <c r="T2072" s="317" t="str">
        <f>GLOBAL_DER_FEV_2023!S2072</f>
        <v/>
      </c>
      <c r="W2072" s="582">
        <v>0</v>
      </c>
      <c r="X2072" s="580"/>
      <c r="Y2072" s="583">
        <f>IF(GLOBAL_DER_FEV_2023!W2072=0,0,IF(GLOBAL_DER_FEV_2023!W2072&gt;0,"c","b"))</f>
        <v>0</v>
      </c>
    </row>
    <row r="2073" spans="1:25" ht="15" customHeight="1" x14ac:dyDescent="0.2">
      <c r="A2073" s="317">
        <v>611100</v>
      </c>
      <c r="B2073" s="895" t="s">
        <v>1854</v>
      </c>
      <c r="C2073" s="896" t="s">
        <v>184</v>
      </c>
      <c r="D2073" s="906" t="s">
        <v>2041</v>
      </c>
      <c r="E2073" s="907">
        <f>GLOBAL_DER_FEV_2023!E2073</f>
        <v>0</v>
      </c>
      <c r="F2073" s="908">
        <f>GLOBAL_DER_FEV_2023!F2073</f>
        <v>0</v>
      </c>
      <c r="G2073" s="912">
        <f>GLOBAL_DER_FEV_2023!G2073</f>
        <v>103.2311722</v>
      </c>
      <c r="H2073" s="901">
        <f>GLOBAL_DER_FEV_2023!H2073</f>
        <v>1053.49</v>
      </c>
      <c r="I2073" s="901">
        <f>GLOBAL_DER_FEV_2023!I2073</f>
        <v>1156.7211722</v>
      </c>
      <c r="J2073" s="902">
        <f>GLOBAL_DER_FEV_2023!J2073</f>
        <v>1388.88</v>
      </c>
      <c r="K2073" s="903" t="s">
        <v>13</v>
      </c>
      <c r="L2073" s="1137"/>
      <c r="M2073" s="1138">
        <f t="shared" si="209"/>
        <v>0</v>
      </c>
      <c r="N2073" s="1176">
        <f t="shared" si="213"/>
        <v>0</v>
      </c>
      <c r="O2073" s="905"/>
      <c r="Q2073" s="317" t="str">
        <f t="shared" si="210"/>
        <v/>
      </c>
      <c r="R2073" s="317" t="str">
        <f t="shared" si="211"/>
        <v/>
      </c>
      <c r="S2073" s="317" t="str">
        <f t="shared" si="212"/>
        <v/>
      </c>
      <c r="T2073" s="317" t="str">
        <f>GLOBAL_DER_FEV_2023!S2073</f>
        <v/>
      </c>
      <c r="W2073" s="582">
        <v>0</v>
      </c>
      <c r="X2073" s="580"/>
      <c r="Y2073" s="583">
        <f>IF(GLOBAL_DER_FEV_2023!W2073=0,0,IF(GLOBAL_DER_FEV_2023!W2073&gt;0,"c","b"))</f>
        <v>0</v>
      </c>
    </row>
    <row r="2074" spans="1:25" ht="15" customHeight="1" x14ac:dyDescent="0.2">
      <c r="A2074" s="317" t="s">
        <v>147</v>
      </c>
      <c r="B2074" s="895" t="s">
        <v>147</v>
      </c>
      <c r="C2074" s="896"/>
      <c r="D2074" s="906" t="s">
        <v>190</v>
      </c>
      <c r="E2074" s="907">
        <f>GLOBAL_DER_FEV_2023!E2074</f>
        <v>308</v>
      </c>
      <c r="F2074" s="908">
        <f>GLOBAL_DER_FEV_2023!F2074</f>
        <v>7.5800000000000006E-2</v>
      </c>
      <c r="G2074" s="909">
        <f>GLOBAL_DER_FEV_2023!G2074</f>
        <v>18.802948000000001</v>
      </c>
      <c r="H2074" s="901">
        <f>GLOBAL_DER_FEV_2023!H2074</f>
        <v>0</v>
      </c>
      <c r="I2074" s="901">
        <f>GLOBAL_DER_FEV_2023!I2074</f>
        <v>0</v>
      </c>
      <c r="J2074" s="902">
        <f>GLOBAL_DER_FEV_2023!J2074</f>
        <v>0</v>
      </c>
      <c r="K2074" s="903"/>
      <c r="L2074" s="1177"/>
      <c r="M2074" s="1138">
        <f t="shared" si="209"/>
        <v>0</v>
      </c>
      <c r="N2074" s="1176">
        <f t="shared" si="213"/>
        <v>0</v>
      </c>
      <c r="O2074" s="905"/>
      <c r="P2074" s="36" t="str">
        <f>IF(N2073&gt;0,"xx",IF(N2073&gt;0,"xy",""))</f>
        <v/>
      </c>
      <c r="Q2074" s="317" t="str">
        <f t="shared" si="210"/>
        <v/>
      </c>
      <c r="R2074" s="317" t="str">
        <f t="shared" si="211"/>
        <v/>
      </c>
      <c r="S2074" s="317" t="str">
        <f t="shared" si="212"/>
        <v/>
      </c>
      <c r="T2074" s="317" t="str">
        <f>GLOBAL_DER_FEV_2023!S2074</f>
        <v/>
      </c>
      <c r="W2074" s="582">
        <v>0</v>
      </c>
      <c r="X2074" s="580"/>
      <c r="Y2074" s="583">
        <f>IF(GLOBAL_DER_FEV_2023!W2074=0,0,IF(GLOBAL_DER_FEV_2023!W2074&gt;0,"c","b"))</f>
        <v>0</v>
      </c>
    </row>
    <row r="2075" spans="1:25" ht="15" customHeight="1" x14ac:dyDescent="0.2">
      <c r="A2075" s="317" t="s">
        <v>147</v>
      </c>
      <c r="B2075" s="895" t="s">
        <v>147</v>
      </c>
      <c r="C2075" s="896"/>
      <c r="D2075" s="906" t="s">
        <v>229</v>
      </c>
      <c r="E2075" s="907">
        <f>GLOBAL_DER_FEV_2023!E2075</f>
        <v>150</v>
      </c>
      <c r="F2075" s="908">
        <f>GLOBAL_DER_FEV_2023!F2075</f>
        <v>0.27639999999999998</v>
      </c>
      <c r="G2075" s="949">
        <f>GLOBAL_DER_FEV_2023!G2075</f>
        <v>45.102952000000002</v>
      </c>
      <c r="H2075" s="901">
        <f>GLOBAL_DER_FEV_2023!H2075</f>
        <v>0</v>
      </c>
      <c r="I2075" s="901">
        <f>GLOBAL_DER_FEV_2023!I2075</f>
        <v>0</v>
      </c>
      <c r="J2075" s="902">
        <f>GLOBAL_DER_FEV_2023!J2075</f>
        <v>0</v>
      </c>
      <c r="K2075" s="903"/>
      <c r="L2075" s="1177"/>
      <c r="M2075" s="1138">
        <f t="shared" si="209"/>
        <v>0</v>
      </c>
      <c r="N2075" s="1176">
        <f t="shared" si="213"/>
        <v>0</v>
      </c>
      <c r="O2075" s="905"/>
      <c r="P2075" s="36" t="str">
        <f>IF(N2073&gt;0,"xx",IF(N2073&gt;0,"xy",""))</f>
        <v/>
      </c>
      <c r="Q2075" s="317" t="str">
        <f t="shared" si="210"/>
        <v/>
      </c>
      <c r="R2075" s="317" t="str">
        <f t="shared" si="211"/>
        <v/>
      </c>
      <c r="S2075" s="317" t="str">
        <f t="shared" si="212"/>
        <v/>
      </c>
      <c r="T2075" s="317" t="str">
        <f>GLOBAL_DER_FEV_2023!S2075</f>
        <v/>
      </c>
      <c r="W2075" s="582">
        <v>0</v>
      </c>
      <c r="X2075" s="580"/>
      <c r="Y2075" s="583">
        <f>IF(GLOBAL_DER_FEV_2023!W2075=0,0,IF(GLOBAL_DER_FEV_2023!W2075&gt;0,"c","b"))</f>
        <v>0</v>
      </c>
    </row>
    <row r="2076" spans="1:25" ht="15" customHeight="1" x14ac:dyDescent="0.2">
      <c r="A2076" s="317" t="s">
        <v>147</v>
      </c>
      <c r="B2076" s="895" t="s">
        <v>147</v>
      </c>
      <c r="C2076" s="896"/>
      <c r="D2076" s="906" t="s">
        <v>233</v>
      </c>
      <c r="E2076" s="907">
        <f>GLOBAL_DER_FEV_2023!E2076</f>
        <v>0.2</v>
      </c>
      <c r="F2076" s="908">
        <f>GLOBAL_DER_FEV_2023!F2076</f>
        <v>0.46629999999999999</v>
      </c>
      <c r="G2076" s="949">
        <f>GLOBAL_DER_FEV_2023!G2076</f>
        <v>1.3494722000000001</v>
      </c>
      <c r="H2076" s="901">
        <f>GLOBAL_DER_FEV_2023!H2076</f>
        <v>0</v>
      </c>
      <c r="I2076" s="901">
        <f>GLOBAL_DER_FEV_2023!I2076</f>
        <v>0</v>
      </c>
      <c r="J2076" s="902">
        <f>GLOBAL_DER_FEV_2023!J2076</f>
        <v>0</v>
      </c>
      <c r="K2076" s="903"/>
      <c r="L2076" s="1177"/>
      <c r="M2076" s="1138">
        <f t="shared" si="209"/>
        <v>0</v>
      </c>
      <c r="N2076" s="1176">
        <f t="shared" si="213"/>
        <v>0</v>
      </c>
      <c r="O2076" s="905"/>
      <c r="P2076" s="36" t="str">
        <f>IF(N2073&gt;0,"xx",IF(N2073&gt;0,"xy",""))</f>
        <v/>
      </c>
      <c r="Q2076" s="317" t="str">
        <f t="shared" si="210"/>
        <v/>
      </c>
      <c r="R2076" s="317" t="str">
        <f t="shared" si="211"/>
        <v/>
      </c>
      <c r="S2076" s="317" t="str">
        <f t="shared" si="212"/>
        <v/>
      </c>
      <c r="T2076" s="317" t="str">
        <f>GLOBAL_DER_FEV_2023!S2076</f>
        <v/>
      </c>
      <c r="W2076" s="582">
        <v>0</v>
      </c>
      <c r="X2076" s="580"/>
      <c r="Y2076" s="583">
        <f>IF(GLOBAL_DER_FEV_2023!W2076=0,0,IF(GLOBAL_DER_FEV_2023!W2076&gt;0,"c","b"))</f>
        <v>0</v>
      </c>
    </row>
    <row r="2077" spans="1:25" ht="15" customHeight="1" x14ac:dyDescent="0.2">
      <c r="A2077" s="317" t="s">
        <v>147</v>
      </c>
      <c r="B2077" s="895" t="s">
        <v>147</v>
      </c>
      <c r="C2077" s="896"/>
      <c r="D2077" s="906" t="s">
        <v>336</v>
      </c>
      <c r="E2077" s="907">
        <f>GLOBAL_DER_FEV_2023!E2077</f>
        <v>40</v>
      </c>
      <c r="F2077" s="908">
        <f>GLOBAL_DER_FEV_2023!F2077</f>
        <v>0.83499999999999996</v>
      </c>
      <c r="G2077" s="949">
        <f>GLOBAL_DER_FEV_2023!G2077</f>
        <v>37.9758</v>
      </c>
      <c r="H2077" s="901">
        <f>GLOBAL_DER_FEV_2023!H2077</f>
        <v>0</v>
      </c>
      <c r="I2077" s="901">
        <f>GLOBAL_DER_FEV_2023!I2077</f>
        <v>0</v>
      </c>
      <c r="J2077" s="902">
        <f>GLOBAL_DER_FEV_2023!J2077</f>
        <v>0</v>
      </c>
      <c r="K2077" s="903"/>
      <c r="L2077" s="1177"/>
      <c r="M2077" s="1138">
        <f t="shared" si="209"/>
        <v>0</v>
      </c>
      <c r="N2077" s="1176">
        <f t="shared" si="213"/>
        <v>0</v>
      </c>
      <c r="O2077" s="905"/>
      <c r="P2077" s="36" t="str">
        <f>IF(N2073&gt;0,"xx",IF(N2073&gt;0,"xy",""))</f>
        <v/>
      </c>
      <c r="Q2077" s="317" t="str">
        <f t="shared" si="210"/>
        <v/>
      </c>
      <c r="R2077" s="317" t="str">
        <f t="shared" si="211"/>
        <v/>
      </c>
      <c r="S2077" s="317" t="str">
        <f t="shared" si="212"/>
        <v/>
      </c>
      <c r="T2077" s="317" t="str">
        <f>GLOBAL_DER_FEV_2023!S2077</f>
        <v/>
      </c>
      <c r="W2077" s="582">
        <v>0</v>
      </c>
      <c r="X2077" s="580"/>
      <c r="Y2077" s="583">
        <f>IF(GLOBAL_DER_FEV_2023!W2077=0,0,IF(GLOBAL_DER_FEV_2023!W2077&gt;0,"c","b"))</f>
        <v>0</v>
      </c>
    </row>
    <row r="2078" spans="1:25" ht="15" customHeight="1" x14ac:dyDescent="0.2">
      <c r="A2078" s="317">
        <v>611100</v>
      </c>
      <c r="B2078" s="895" t="s">
        <v>1855</v>
      </c>
      <c r="C2078" s="896" t="s">
        <v>184</v>
      </c>
      <c r="D2078" s="906" t="s">
        <v>2042</v>
      </c>
      <c r="E2078" s="907">
        <f>GLOBAL_DER_FEV_2023!E2078</f>
        <v>0</v>
      </c>
      <c r="F2078" s="908">
        <f>GLOBAL_DER_FEV_2023!F2078</f>
        <v>0</v>
      </c>
      <c r="G2078" s="912">
        <f>GLOBAL_DER_FEV_2023!G2078</f>
        <v>124.4115496</v>
      </c>
      <c r="H2078" s="901">
        <f>GLOBAL_DER_FEV_2023!H2078</f>
        <v>1053.49</v>
      </c>
      <c r="I2078" s="901">
        <f>GLOBAL_DER_FEV_2023!I2078</f>
        <v>1177.9015496</v>
      </c>
      <c r="J2078" s="902">
        <f>GLOBAL_DER_FEV_2023!J2078</f>
        <v>1414.31</v>
      </c>
      <c r="K2078" s="903" t="s">
        <v>13</v>
      </c>
      <c r="L2078" s="1137"/>
      <c r="M2078" s="1138">
        <f t="shared" si="209"/>
        <v>0</v>
      </c>
      <c r="N2078" s="1176">
        <f t="shared" si="213"/>
        <v>0</v>
      </c>
      <c r="O2078" s="905"/>
      <c r="Q2078" s="317" t="str">
        <f t="shared" si="210"/>
        <v/>
      </c>
      <c r="R2078" s="317" t="str">
        <f t="shared" si="211"/>
        <v/>
      </c>
      <c r="S2078" s="317" t="str">
        <f t="shared" si="212"/>
        <v/>
      </c>
      <c r="T2078" s="317" t="str">
        <f>GLOBAL_DER_FEV_2023!S2078</f>
        <v/>
      </c>
      <c r="W2078" s="582">
        <v>0</v>
      </c>
      <c r="X2078" s="580"/>
      <c r="Y2078" s="583">
        <f>IF(GLOBAL_DER_FEV_2023!W2078=0,0,IF(GLOBAL_DER_FEV_2023!W2078&gt;0,"c","b"))</f>
        <v>0</v>
      </c>
    </row>
    <row r="2079" spans="1:25" ht="15" customHeight="1" x14ac:dyDescent="0.2">
      <c r="A2079" s="317" t="s">
        <v>147</v>
      </c>
      <c r="B2079" s="895" t="s">
        <v>147</v>
      </c>
      <c r="C2079" s="896"/>
      <c r="D2079" s="906" t="s">
        <v>190</v>
      </c>
      <c r="E2079" s="907">
        <f>GLOBAL_DER_FEV_2023!E2079</f>
        <v>308</v>
      </c>
      <c r="F2079" s="908">
        <f>GLOBAL_DER_FEV_2023!F2079</f>
        <v>9.1700000000000004E-2</v>
      </c>
      <c r="G2079" s="909">
        <f>GLOBAL_DER_FEV_2023!G2079</f>
        <v>22.747102000000002</v>
      </c>
      <c r="H2079" s="901">
        <f>GLOBAL_DER_FEV_2023!H2079</f>
        <v>0</v>
      </c>
      <c r="I2079" s="901">
        <f>GLOBAL_DER_FEV_2023!I2079</f>
        <v>0</v>
      </c>
      <c r="J2079" s="902">
        <f>GLOBAL_DER_FEV_2023!J2079</f>
        <v>0</v>
      </c>
      <c r="K2079" s="903"/>
      <c r="L2079" s="1177"/>
      <c r="M2079" s="1138">
        <f t="shared" si="209"/>
        <v>0</v>
      </c>
      <c r="N2079" s="1176">
        <f t="shared" si="213"/>
        <v>0</v>
      </c>
      <c r="O2079" s="905"/>
      <c r="P2079" s="36" t="str">
        <f>IF(N2078&gt;0,"xx",IF(N2078&gt;0,"xy",""))</f>
        <v/>
      </c>
      <c r="Q2079" s="317" t="str">
        <f t="shared" si="210"/>
        <v/>
      </c>
      <c r="R2079" s="317" t="str">
        <f t="shared" si="211"/>
        <v/>
      </c>
      <c r="S2079" s="317" t="str">
        <f t="shared" si="212"/>
        <v/>
      </c>
      <c r="T2079" s="317" t="str">
        <f>GLOBAL_DER_FEV_2023!S2079</f>
        <v/>
      </c>
      <c r="W2079" s="582">
        <v>0</v>
      </c>
      <c r="X2079" s="580"/>
      <c r="Y2079" s="583">
        <f>IF(GLOBAL_DER_FEV_2023!W2079=0,0,IF(GLOBAL_DER_FEV_2023!W2079&gt;0,"c","b"))</f>
        <v>0</v>
      </c>
    </row>
    <row r="2080" spans="1:25" ht="15" customHeight="1" x14ac:dyDescent="0.2">
      <c r="A2080" s="317" t="s">
        <v>147</v>
      </c>
      <c r="B2080" s="895" t="s">
        <v>147</v>
      </c>
      <c r="C2080" s="896"/>
      <c r="D2080" s="906" t="s">
        <v>229</v>
      </c>
      <c r="E2080" s="907">
        <f>GLOBAL_DER_FEV_2023!E2080</f>
        <v>150</v>
      </c>
      <c r="F2080" s="908">
        <f>GLOBAL_DER_FEV_2023!F2080</f>
        <v>0.33429999999999999</v>
      </c>
      <c r="G2080" s="949">
        <f>GLOBAL_DER_FEV_2023!G2080</f>
        <v>54.551074</v>
      </c>
      <c r="H2080" s="901">
        <f>GLOBAL_DER_FEV_2023!H2080</f>
        <v>0</v>
      </c>
      <c r="I2080" s="901">
        <f>GLOBAL_DER_FEV_2023!I2080</f>
        <v>0</v>
      </c>
      <c r="J2080" s="902">
        <f>GLOBAL_DER_FEV_2023!J2080</f>
        <v>0</v>
      </c>
      <c r="K2080" s="903"/>
      <c r="L2080" s="1177"/>
      <c r="M2080" s="1138">
        <f t="shared" si="209"/>
        <v>0</v>
      </c>
      <c r="N2080" s="1176">
        <f t="shared" si="213"/>
        <v>0</v>
      </c>
      <c r="O2080" s="905"/>
      <c r="P2080" s="36" t="str">
        <f>IF(N2078&gt;0,"xx",IF(N2078&gt;0,"xy",""))</f>
        <v/>
      </c>
      <c r="Q2080" s="317" t="str">
        <f t="shared" si="210"/>
        <v/>
      </c>
      <c r="R2080" s="317" t="str">
        <f t="shared" si="211"/>
        <v/>
      </c>
      <c r="S2080" s="317" t="str">
        <f t="shared" si="212"/>
        <v/>
      </c>
      <c r="T2080" s="317" t="str">
        <f>GLOBAL_DER_FEV_2023!S2080</f>
        <v/>
      </c>
      <c r="W2080" s="582">
        <v>0</v>
      </c>
      <c r="X2080" s="580"/>
      <c r="Y2080" s="583">
        <f>IF(GLOBAL_DER_FEV_2023!W2080=0,0,IF(GLOBAL_DER_FEV_2023!W2080&gt;0,"c","b"))</f>
        <v>0</v>
      </c>
    </row>
    <row r="2081" spans="1:25" ht="15" customHeight="1" x14ac:dyDescent="0.2">
      <c r="A2081" s="317" t="s">
        <v>147</v>
      </c>
      <c r="B2081" s="895" t="s">
        <v>147</v>
      </c>
      <c r="C2081" s="896"/>
      <c r="D2081" s="906" t="s">
        <v>233</v>
      </c>
      <c r="E2081" s="907">
        <f>GLOBAL_DER_FEV_2023!E2081</f>
        <v>0.2</v>
      </c>
      <c r="F2081" s="908">
        <f>GLOBAL_DER_FEV_2023!F2081</f>
        <v>0.56440000000000001</v>
      </c>
      <c r="G2081" s="949">
        <f>GLOBAL_DER_FEV_2023!G2081</f>
        <v>1.6333736000000001</v>
      </c>
      <c r="H2081" s="901">
        <f>GLOBAL_DER_FEV_2023!H2081</f>
        <v>0</v>
      </c>
      <c r="I2081" s="901">
        <f>GLOBAL_DER_FEV_2023!I2081</f>
        <v>0</v>
      </c>
      <c r="J2081" s="902">
        <f>GLOBAL_DER_FEV_2023!J2081</f>
        <v>0</v>
      </c>
      <c r="K2081" s="903"/>
      <c r="L2081" s="1177"/>
      <c r="M2081" s="1138">
        <f t="shared" si="209"/>
        <v>0</v>
      </c>
      <c r="N2081" s="1176">
        <f t="shared" si="213"/>
        <v>0</v>
      </c>
      <c r="O2081" s="905"/>
      <c r="P2081" s="36" t="str">
        <f>IF(N2078&gt;0,"xx",IF(N2078&gt;0,"xy",""))</f>
        <v/>
      </c>
      <c r="Q2081" s="317" t="str">
        <f t="shared" si="210"/>
        <v/>
      </c>
      <c r="R2081" s="317" t="str">
        <f t="shared" si="211"/>
        <v/>
      </c>
      <c r="S2081" s="317" t="str">
        <f t="shared" si="212"/>
        <v/>
      </c>
      <c r="T2081" s="317" t="str">
        <f>GLOBAL_DER_FEV_2023!S2081</f>
        <v/>
      </c>
      <c r="W2081" s="582">
        <v>0</v>
      </c>
      <c r="X2081" s="580"/>
      <c r="Y2081" s="583">
        <f>IF(GLOBAL_DER_FEV_2023!W2081=0,0,IF(GLOBAL_DER_FEV_2023!W2081&gt;0,"c","b"))</f>
        <v>0</v>
      </c>
    </row>
    <row r="2082" spans="1:25" ht="15" customHeight="1" x14ac:dyDescent="0.2">
      <c r="A2082" s="317" t="s">
        <v>147</v>
      </c>
      <c r="B2082" s="895" t="s">
        <v>147</v>
      </c>
      <c r="C2082" s="896"/>
      <c r="D2082" s="906" t="s">
        <v>336</v>
      </c>
      <c r="E2082" s="907">
        <f>GLOBAL_DER_FEV_2023!E2082</f>
        <v>40</v>
      </c>
      <c r="F2082" s="908">
        <f>GLOBAL_DER_FEV_2023!F2082</f>
        <v>1</v>
      </c>
      <c r="G2082" s="949">
        <f>GLOBAL_DER_FEV_2023!G2082</f>
        <v>45.480000000000004</v>
      </c>
      <c r="H2082" s="901">
        <f>GLOBAL_DER_FEV_2023!H2082</f>
        <v>0</v>
      </c>
      <c r="I2082" s="901">
        <f>GLOBAL_DER_FEV_2023!I2082</f>
        <v>0</v>
      </c>
      <c r="J2082" s="902">
        <f>GLOBAL_DER_FEV_2023!J2082</f>
        <v>0</v>
      </c>
      <c r="K2082" s="903"/>
      <c r="L2082" s="1177"/>
      <c r="M2082" s="1138">
        <f t="shared" si="209"/>
        <v>0</v>
      </c>
      <c r="N2082" s="1176">
        <f t="shared" si="213"/>
        <v>0</v>
      </c>
      <c r="O2082" s="905"/>
      <c r="P2082" s="36" t="str">
        <f>IF(N2078&gt;0,"xx",IF(N2078&gt;0,"xy",""))</f>
        <v/>
      </c>
      <c r="Q2082" s="317" t="str">
        <f t="shared" si="210"/>
        <v/>
      </c>
      <c r="R2082" s="317" t="str">
        <f t="shared" si="211"/>
        <v/>
      </c>
      <c r="S2082" s="317" t="str">
        <f t="shared" si="212"/>
        <v/>
      </c>
      <c r="T2082" s="317" t="str">
        <f>GLOBAL_DER_FEV_2023!S2082</f>
        <v/>
      </c>
      <c r="W2082" s="582">
        <v>0</v>
      </c>
      <c r="X2082" s="580"/>
      <c r="Y2082" s="583">
        <f>IF(GLOBAL_DER_FEV_2023!W2082=0,0,IF(GLOBAL_DER_FEV_2023!W2082&gt;0,"c","b"))</f>
        <v>0</v>
      </c>
    </row>
    <row r="2083" spans="1:25" ht="15" customHeight="1" x14ac:dyDescent="0.2">
      <c r="A2083" s="317">
        <v>611300</v>
      </c>
      <c r="B2083" s="895">
        <v>611300</v>
      </c>
      <c r="C2083" s="896" t="s">
        <v>184</v>
      </c>
      <c r="D2083" s="906" t="s">
        <v>2043</v>
      </c>
      <c r="E2083" s="907">
        <f>GLOBAL_DER_FEV_2023!E2083</f>
        <v>0</v>
      </c>
      <c r="F2083" s="908">
        <f>GLOBAL_DER_FEV_2023!F2083</f>
        <v>0</v>
      </c>
      <c r="G2083" s="912">
        <f>GLOBAL_DER_FEV_2023!G2083</f>
        <v>174.865668</v>
      </c>
      <c r="H2083" s="901">
        <f>GLOBAL_DER_FEV_2023!H2083</f>
        <v>1362.43</v>
      </c>
      <c r="I2083" s="901">
        <f>GLOBAL_DER_FEV_2023!I2083</f>
        <v>1537.295668</v>
      </c>
      <c r="J2083" s="902">
        <f>GLOBAL_DER_FEV_2023!J2083</f>
        <v>1845.83</v>
      </c>
      <c r="K2083" s="903" t="s">
        <v>13</v>
      </c>
      <c r="L2083" s="1137"/>
      <c r="M2083" s="1138">
        <f t="shared" si="209"/>
        <v>0</v>
      </c>
      <c r="N2083" s="1176">
        <f t="shared" si="213"/>
        <v>0</v>
      </c>
      <c r="O2083" s="905"/>
      <c r="Q2083" s="317" t="str">
        <f t="shared" si="210"/>
        <v/>
      </c>
      <c r="R2083" s="317" t="str">
        <f t="shared" si="211"/>
        <v/>
      </c>
      <c r="S2083" s="317" t="str">
        <f t="shared" si="212"/>
        <v/>
      </c>
      <c r="T2083" s="317" t="str">
        <f>GLOBAL_DER_FEV_2023!S2083</f>
        <v/>
      </c>
      <c r="W2083" s="582">
        <v>0</v>
      </c>
      <c r="X2083" s="580"/>
      <c r="Y2083" s="583">
        <f>IF(GLOBAL_DER_FEV_2023!W2083=0,0,IF(GLOBAL_DER_FEV_2023!W2083&gt;0,"c","b"))</f>
        <v>0</v>
      </c>
    </row>
    <row r="2084" spans="1:25" ht="15" customHeight="1" x14ac:dyDescent="0.2">
      <c r="A2084" s="317" t="s">
        <v>147</v>
      </c>
      <c r="B2084" s="895" t="s">
        <v>147</v>
      </c>
      <c r="C2084" s="896"/>
      <c r="D2084" s="906" t="s">
        <v>190</v>
      </c>
      <c r="E2084" s="907">
        <f>GLOBAL_DER_FEV_2023!E2084</f>
        <v>308</v>
      </c>
      <c r="F2084" s="908">
        <f>GLOBAL_DER_FEV_2023!F2084</f>
        <v>0.12720000000000001</v>
      </c>
      <c r="G2084" s="909">
        <f>GLOBAL_DER_FEV_2023!G2084</f>
        <v>31.553232000000001</v>
      </c>
      <c r="H2084" s="901">
        <f>GLOBAL_DER_FEV_2023!H2084</f>
        <v>0</v>
      </c>
      <c r="I2084" s="901">
        <f>GLOBAL_DER_FEV_2023!I2084</f>
        <v>0</v>
      </c>
      <c r="J2084" s="902">
        <f>GLOBAL_DER_FEV_2023!J2084</f>
        <v>0</v>
      </c>
      <c r="K2084" s="903"/>
      <c r="L2084" s="1177"/>
      <c r="M2084" s="1138">
        <f t="shared" si="209"/>
        <v>0</v>
      </c>
      <c r="N2084" s="1176">
        <f t="shared" si="213"/>
        <v>0</v>
      </c>
      <c r="O2084" s="905"/>
      <c r="P2084" s="36" t="str">
        <f>IF(N2083&gt;0,"xx",IF(N2083&gt;0,"xy",""))</f>
        <v/>
      </c>
      <c r="Q2084" s="317" t="str">
        <f t="shared" si="210"/>
        <v/>
      </c>
      <c r="R2084" s="317" t="str">
        <f t="shared" si="211"/>
        <v/>
      </c>
      <c r="S2084" s="317" t="str">
        <f t="shared" si="212"/>
        <v/>
      </c>
      <c r="T2084" s="317" t="str">
        <f>GLOBAL_DER_FEV_2023!S2084</f>
        <v/>
      </c>
      <c r="W2084" s="582">
        <v>0</v>
      </c>
      <c r="X2084" s="580"/>
      <c r="Y2084" s="583">
        <f>IF(GLOBAL_DER_FEV_2023!W2084=0,0,IF(GLOBAL_DER_FEV_2023!W2084&gt;0,"c","b"))</f>
        <v>0</v>
      </c>
    </row>
    <row r="2085" spans="1:25" ht="15" customHeight="1" x14ac:dyDescent="0.2">
      <c r="A2085" s="317" t="s">
        <v>147</v>
      </c>
      <c r="B2085" s="895" t="s">
        <v>147</v>
      </c>
      <c r="C2085" s="896"/>
      <c r="D2085" s="906" t="s">
        <v>229</v>
      </c>
      <c r="E2085" s="907">
        <f>GLOBAL_DER_FEV_2023!E2085</f>
        <v>150</v>
      </c>
      <c r="F2085" s="908">
        <f>GLOBAL_DER_FEV_2023!F2085</f>
        <v>0.46300000000000002</v>
      </c>
      <c r="G2085" s="949">
        <f>GLOBAL_DER_FEV_2023!G2085</f>
        <v>75.552340000000001</v>
      </c>
      <c r="H2085" s="901">
        <f>GLOBAL_DER_FEV_2023!H2085</f>
        <v>0</v>
      </c>
      <c r="I2085" s="901">
        <f>GLOBAL_DER_FEV_2023!I2085</f>
        <v>0</v>
      </c>
      <c r="J2085" s="902">
        <f>GLOBAL_DER_FEV_2023!J2085</f>
        <v>0</v>
      </c>
      <c r="K2085" s="903"/>
      <c r="L2085" s="1177"/>
      <c r="M2085" s="1138">
        <f t="shared" si="209"/>
        <v>0</v>
      </c>
      <c r="N2085" s="1176">
        <f t="shared" si="213"/>
        <v>0</v>
      </c>
      <c r="O2085" s="905"/>
      <c r="P2085" s="36" t="str">
        <f>IF(N2083&gt;0,"xx",IF(N2083&gt;0,"xy",""))</f>
        <v/>
      </c>
      <c r="Q2085" s="317" t="str">
        <f t="shared" si="210"/>
        <v/>
      </c>
      <c r="R2085" s="317" t="str">
        <f t="shared" si="211"/>
        <v/>
      </c>
      <c r="S2085" s="317" t="str">
        <f t="shared" si="212"/>
        <v/>
      </c>
      <c r="T2085" s="317" t="str">
        <f>GLOBAL_DER_FEV_2023!S2085</f>
        <v/>
      </c>
      <c r="W2085" s="582">
        <v>0</v>
      </c>
      <c r="X2085" s="580"/>
      <c r="Y2085" s="583">
        <f>IF(GLOBAL_DER_FEV_2023!W2085=0,0,IF(GLOBAL_DER_FEV_2023!W2085&gt;0,"c","b"))</f>
        <v>0</v>
      </c>
    </row>
    <row r="2086" spans="1:25" ht="15" customHeight="1" x14ac:dyDescent="0.2">
      <c r="A2086" s="317" t="s">
        <v>147</v>
      </c>
      <c r="B2086" s="895" t="s">
        <v>147</v>
      </c>
      <c r="C2086" s="896"/>
      <c r="D2086" s="906" t="s">
        <v>233</v>
      </c>
      <c r="E2086" s="907">
        <f>GLOBAL_DER_FEV_2023!E2086</f>
        <v>0.2</v>
      </c>
      <c r="F2086" s="908">
        <f>GLOBAL_DER_FEV_2023!F2086</f>
        <v>0.78400000000000003</v>
      </c>
      <c r="G2086" s="949">
        <f>GLOBAL_DER_FEV_2023!G2086</f>
        <v>2.2688960000000002</v>
      </c>
      <c r="H2086" s="901">
        <f>GLOBAL_DER_FEV_2023!H2086</f>
        <v>0</v>
      </c>
      <c r="I2086" s="901">
        <f>GLOBAL_DER_FEV_2023!I2086</f>
        <v>0</v>
      </c>
      <c r="J2086" s="902">
        <f>GLOBAL_DER_FEV_2023!J2086</f>
        <v>0</v>
      </c>
      <c r="K2086" s="903"/>
      <c r="L2086" s="1177"/>
      <c r="M2086" s="1138">
        <f t="shared" si="209"/>
        <v>0</v>
      </c>
      <c r="N2086" s="1176">
        <f t="shared" si="213"/>
        <v>0</v>
      </c>
      <c r="O2086" s="905"/>
      <c r="P2086" s="36" t="str">
        <f>IF(N2083&gt;0,"xx",IF(N2083&gt;0,"xy",""))</f>
        <v/>
      </c>
      <c r="Q2086" s="317" t="str">
        <f t="shared" si="210"/>
        <v/>
      </c>
      <c r="R2086" s="317" t="str">
        <f t="shared" si="211"/>
        <v/>
      </c>
      <c r="S2086" s="317" t="str">
        <f t="shared" si="212"/>
        <v/>
      </c>
      <c r="T2086" s="317" t="str">
        <f>GLOBAL_DER_FEV_2023!S2086</f>
        <v/>
      </c>
      <c r="W2086" s="582">
        <v>0</v>
      </c>
      <c r="X2086" s="580"/>
      <c r="Y2086" s="583">
        <f>IF(GLOBAL_DER_FEV_2023!W2086=0,0,IF(GLOBAL_DER_FEV_2023!W2086&gt;0,"c","b"))</f>
        <v>0</v>
      </c>
    </row>
    <row r="2087" spans="1:25" ht="15" customHeight="1" x14ac:dyDescent="0.2">
      <c r="A2087" s="317" t="s">
        <v>147</v>
      </c>
      <c r="B2087" s="895" t="s">
        <v>147</v>
      </c>
      <c r="C2087" s="896"/>
      <c r="D2087" s="906" t="s">
        <v>336</v>
      </c>
      <c r="E2087" s="907">
        <f>GLOBAL_DER_FEV_2023!E2087</f>
        <v>40</v>
      </c>
      <c r="F2087" s="908">
        <f>GLOBAL_DER_FEV_2023!F2087</f>
        <v>1.44</v>
      </c>
      <c r="G2087" s="949">
        <f>GLOBAL_DER_FEV_2023!G2087</f>
        <v>65.491200000000006</v>
      </c>
      <c r="H2087" s="901">
        <f>GLOBAL_DER_FEV_2023!H2087</f>
        <v>0</v>
      </c>
      <c r="I2087" s="901">
        <f>GLOBAL_DER_FEV_2023!I2087</f>
        <v>0</v>
      </c>
      <c r="J2087" s="902">
        <f>GLOBAL_DER_FEV_2023!J2087</f>
        <v>0</v>
      </c>
      <c r="K2087" s="903"/>
      <c r="L2087" s="1177"/>
      <c r="M2087" s="1138">
        <f t="shared" si="209"/>
        <v>0</v>
      </c>
      <c r="N2087" s="1176">
        <f t="shared" si="213"/>
        <v>0</v>
      </c>
      <c r="O2087" s="905"/>
      <c r="P2087" s="36" t="str">
        <f>IF(N2083&gt;0,"xx",IF(N2083&gt;0,"xy",""))</f>
        <v/>
      </c>
      <c r="Q2087" s="317" t="str">
        <f t="shared" si="210"/>
        <v/>
      </c>
      <c r="R2087" s="317" t="str">
        <f t="shared" si="211"/>
        <v/>
      </c>
      <c r="S2087" s="317" t="str">
        <f t="shared" si="212"/>
        <v/>
      </c>
      <c r="T2087" s="317" t="str">
        <f>GLOBAL_DER_FEV_2023!S2087</f>
        <v/>
      </c>
      <c r="W2087" s="582">
        <v>0</v>
      </c>
      <c r="X2087" s="580"/>
      <c r="Y2087" s="583">
        <f>IF(GLOBAL_DER_FEV_2023!W2087=0,0,IF(GLOBAL_DER_FEV_2023!W2087&gt;0,"c","b"))</f>
        <v>0</v>
      </c>
    </row>
    <row r="2088" spans="1:25" ht="15" customHeight="1" x14ac:dyDescent="0.2">
      <c r="A2088" s="317">
        <v>611500</v>
      </c>
      <c r="B2088" s="895" t="s">
        <v>1856</v>
      </c>
      <c r="C2088" s="896" t="s">
        <v>184</v>
      </c>
      <c r="D2088" s="906" t="s">
        <v>2044</v>
      </c>
      <c r="E2088" s="907">
        <f>GLOBAL_DER_FEV_2023!E2088</f>
        <v>0</v>
      </c>
      <c r="F2088" s="908">
        <f>GLOBAL_DER_FEV_2023!F2088</f>
        <v>0</v>
      </c>
      <c r="G2088" s="912">
        <f>GLOBAL_DER_FEV_2023!G2088</f>
        <v>235.4767526</v>
      </c>
      <c r="H2088" s="901">
        <f>GLOBAL_DER_FEV_2023!H2088</f>
        <v>1749.33</v>
      </c>
      <c r="I2088" s="901">
        <f>GLOBAL_DER_FEV_2023!I2088</f>
        <v>1984.8067526</v>
      </c>
      <c r="J2088" s="902">
        <f>GLOBAL_DER_FEV_2023!J2088</f>
        <v>2383.16</v>
      </c>
      <c r="K2088" s="903" t="s">
        <v>13</v>
      </c>
      <c r="L2088" s="1137"/>
      <c r="M2088" s="1138">
        <f t="shared" si="209"/>
        <v>0</v>
      </c>
      <c r="N2088" s="1176">
        <f t="shared" si="213"/>
        <v>0</v>
      </c>
      <c r="O2088" s="905"/>
      <c r="Q2088" s="317" t="str">
        <f t="shared" si="210"/>
        <v/>
      </c>
      <c r="R2088" s="317" t="str">
        <f t="shared" si="211"/>
        <v/>
      </c>
      <c r="S2088" s="317" t="str">
        <f t="shared" si="212"/>
        <v/>
      </c>
      <c r="T2088" s="317" t="str">
        <f>GLOBAL_DER_FEV_2023!S2088</f>
        <v/>
      </c>
      <c r="W2088" s="582">
        <v>0</v>
      </c>
      <c r="X2088" s="580"/>
      <c r="Y2088" s="583">
        <f>IF(GLOBAL_DER_FEV_2023!W2088=0,0,IF(GLOBAL_DER_FEV_2023!W2088&gt;0,"c","b"))</f>
        <v>0</v>
      </c>
    </row>
    <row r="2089" spans="1:25" ht="15" customHeight="1" x14ac:dyDescent="0.2">
      <c r="A2089" s="317" t="s">
        <v>147</v>
      </c>
      <c r="B2089" s="895" t="s">
        <v>147</v>
      </c>
      <c r="C2089" s="896"/>
      <c r="D2089" s="906" t="s">
        <v>190</v>
      </c>
      <c r="E2089" s="907">
        <f>GLOBAL_DER_FEV_2023!E2089</f>
        <v>308</v>
      </c>
      <c r="F2089" s="908">
        <f>GLOBAL_DER_FEV_2023!F2089</f>
        <v>0.187</v>
      </c>
      <c r="G2089" s="909">
        <f>GLOBAL_DER_FEV_2023!G2089</f>
        <v>46.387219999999999</v>
      </c>
      <c r="H2089" s="901">
        <f>GLOBAL_DER_FEV_2023!H2089</f>
        <v>0</v>
      </c>
      <c r="I2089" s="901">
        <f>GLOBAL_DER_FEV_2023!I2089</f>
        <v>0</v>
      </c>
      <c r="J2089" s="902">
        <f>GLOBAL_DER_FEV_2023!J2089</f>
        <v>0</v>
      </c>
      <c r="K2089" s="903"/>
      <c r="L2089" s="1177"/>
      <c r="M2089" s="1138">
        <f t="shared" si="209"/>
        <v>0</v>
      </c>
      <c r="N2089" s="1176">
        <f t="shared" si="213"/>
        <v>0</v>
      </c>
      <c r="O2089" s="905"/>
      <c r="P2089" s="36" t="str">
        <f>IF(N2088&gt;0,"xx",IF(N2088&gt;0,"xy",""))</f>
        <v/>
      </c>
      <c r="Q2089" s="317" t="str">
        <f t="shared" si="210"/>
        <v/>
      </c>
      <c r="R2089" s="317" t="str">
        <f t="shared" si="211"/>
        <v/>
      </c>
      <c r="S2089" s="317" t="str">
        <f t="shared" si="212"/>
        <v/>
      </c>
      <c r="T2089" s="317" t="str">
        <f>GLOBAL_DER_FEV_2023!S2089</f>
        <v/>
      </c>
      <c r="W2089" s="582">
        <v>0</v>
      </c>
      <c r="X2089" s="580"/>
      <c r="Y2089" s="583">
        <f>IF(GLOBAL_DER_FEV_2023!W2089=0,0,IF(GLOBAL_DER_FEV_2023!W2089&gt;0,"c","b"))</f>
        <v>0</v>
      </c>
    </row>
    <row r="2090" spans="1:25" ht="15" customHeight="1" x14ac:dyDescent="0.2">
      <c r="A2090" s="317" t="s">
        <v>147</v>
      </c>
      <c r="B2090" s="895" t="s">
        <v>147</v>
      </c>
      <c r="C2090" s="896"/>
      <c r="D2090" s="906" t="s">
        <v>229</v>
      </c>
      <c r="E2090" s="907">
        <f>GLOBAL_DER_FEV_2023!E2090</f>
        <v>150</v>
      </c>
      <c r="F2090" s="908">
        <f>GLOBAL_DER_FEV_2023!F2090</f>
        <v>0.67830000000000001</v>
      </c>
      <c r="G2090" s="949">
        <f>GLOBAL_DER_FEV_2023!G2090</f>
        <v>110.684994</v>
      </c>
      <c r="H2090" s="901">
        <f>GLOBAL_DER_FEV_2023!H2090</f>
        <v>0</v>
      </c>
      <c r="I2090" s="901">
        <f>GLOBAL_DER_FEV_2023!I2090</f>
        <v>0</v>
      </c>
      <c r="J2090" s="902">
        <f>GLOBAL_DER_FEV_2023!J2090</f>
        <v>0</v>
      </c>
      <c r="K2090" s="903"/>
      <c r="L2090" s="1177"/>
      <c r="M2090" s="1138">
        <f t="shared" si="209"/>
        <v>0</v>
      </c>
      <c r="N2090" s="1176">
        <f t="shared" si="213"/>
        <v>0</v>
      </c>
      <c r="O2090" s="905"/>
      <c r="P2090" s="36" t="str">
        <f>IF(N2088&gt;0,"xx",IF(N2088&gt;0,"xy",""))</f>
        <v/>
      </c>
      <c r="Q2090" s="317" t="str">
        <f t="shared" si="210"/>
        <v/>
      </c>
      <c r="R2090" s="317" t="str">
        <f t="shared" si="211"/>
        <v/>
      </c>
      <c r="S2090" s="317" t="str">
        <f t="shared" si="212"/>
        <v/>
      </c>
      <c r="T2090" s="317" t="str">
        <f>GLOBAL_DER_FEV_2023!S2090</f>
        <v/>
      </c>
      <c r="W2090" s="582">
        <v>0</v>
      </c>
      <c r="X2090" s="580"/>
      <c r="Y2090" s="583">
        <f>IF(GLOBAL_DER_FEV_2023!W2090=0,0,IF(GLOBAL_DER_FEV_2023!W2090&gt;0,"c","b"))</f>
        <v>0</v>
      </c>
    </row>
    <row r="2091" spans="1:25" ht="15" customHeight="1" x14ac:dyDescent="0.2">
      <c r="A2091" s="317" t="s">
        <v>147</v>
      </c>
      <c r="B2091" s="895" t="s">
        <v>147</v>
      </c>
      <c r="C2091" s="896"/>
      <c r="D2091" s="906" t="s">
        <v>233</v>
      </c>
      <c r="E2091" s="907">
        <f>GLOBAL_DER_FEV_2023!E2091</f>
        <v>0.2</v>
      </c>
      <c r="F2091" s="908">
        <f>GLOBAL_DER_FEV_2023!F2091</f>
        <v>1.1618999999999999</v>
      </c>
      <c r="G2091" s="949">
        <f>GLOBAL_DER_FEV_2023!G2091</f>
        <v>3.3625386000000002</v>
      </c>
      <c r="H2091" s="901">
        <f>GLOBAL_DER_FEV_2023!H2091</f>
        <v>0</v>
      </c>
      <c r="I2091" s="901">
        <f>GLOBAL_DER_FEV_2023!I2091</f>
        <v>0</v>
      </c>
      <c r="J2091" s="902">
        <f>GLOBAL_DER_FEV_2023!J2091</f>
        <v>0</v>
      </c>
      <c r="K2091" s="903"/>
      <c r="L2091" s="1177"/>
      <c r="M2091" s="1138">
        <f t="shared" si="209"/>
        <v>0</v>
      </c>
      <c r="N2091" s="1176">
        <f t="shared" si="213"/>
        <v>0</v>
      </c>
      <c r="O2091" s="905"/>
      <c r="P2091" s="36" t="str">
        <f>IF(N2088&gt;0,"xx",IF(N2088&gt;0,"xy",""))</f>
        <v/>
      </c>
      <c r="Q2091" s="317" t="str">
        <f t="shared" si="210"/>
        <v/>
      </c>
      <c r="R2091" s="317" t="str">
        <f t="shared" si="211"/>
        <v/>
      </c>
      <c r="S2091" s="317" t="str">
        <f t="shared" si="212"/>
        <v/>
      </c>
      <c r="T2091" s="317" t="str">
        <f>GLOBAL_DER_FEV_2023!S2091</f>
        <v/>
      </c>
      <c r="W2091" s="582">
        <v>0</v>
      </c>
      <c r="X2091" s="580"/>
      <c r="Y2091" s="583">
        <f>IF(GLOBAL_DER_FEV_2023!W2091=0,0,IF(GLOBAL_DER_FEV_2023!W2091&gt;0,"c","b"))</f>
        <v>0</v>
      </c>
    </row>
    <row r="2092" spans="1:25" ht="15" customHeight="1" x14ac:dyDescent="0.2">
      <c r="A2092" s="317" t="s">
        <v>147</v>
      </c>
      <c r="B2092" s="895" t="s">
        <v>147</v>
      </c>
      <c r="C2092" s="896"/>
      <c r="D2092" s="906" t="s">
        <v>336</v>
      </c>
      <c r="E2092" s="907">
        <f>GLOBAL_DER_FEV_2023!E2092</f>
        <v>40</v>
      </c>
      <c r="F2092" s="908">
        <f>GLOBAL_DER_FEV_2023!F2092</f>
        <v>1.65</v>
      </c>
      <c r="G2092" s="949">
        <f>GLOBAL_DER_FEV_2023!G2092</f>
        <v>75.042000000000002</v>
      </c>
      <c r="H2092" s="901">
        <f>GLOBAL_DER_FEV_2023!H2092</f>
        <v>0</v>
      </c>
      <c r="I2092" s="901">
        <f>GLOBAL_DER_FEV_2023!I2092</f>
        <v>0</v>
      </c>
      <c r="J2092" s="902">
        <f>GLOBAL_DER_FEV_2023!J2092</f>
        <v>0</v>
      </c>
      <c r="K2092" s="903"/>
      <c r="L2092" s="1177"/>
      <c r="M2092" s="1138">
        <f t="shared" si="209"/>
        <v>0</v>
      </c>
      <c r="N2092" s="1176">
        <f t="shared" si="213"/>
        <v>0</v>
      </c>
      <c r="O2092" s="905"/>
      <c r="P2092" s="36" t="str">
        <f>IF(N2088&gt;0,"xx",IF(N2088&gt;0,"xy",""))</f>
        <v/>
      </c>
      <c r="Q2092" s="317" t="str">
        <f t="shared" si="210"/>
        <v/>
      </c>
      <c r="R2092" s="317" t="str">
        <f t="shared" si="211"/>
        <v/>
      </c>
      <c r="S2092" s="317" t="str">
        <f t="shared" si="212"/>
        <v/>
      </c>
      <c r="T2092" s="317" t="str">
        <f>GLOBAL_DER_FEV_2023!S2092</f>
        <v/>
      </c>
      <c r="W2092" s="582">
        <v>0</v>
      </c>
      <c r="X2092" s="580"/>
      <c r="Y2092" s="583">
        <f>IF(GLOBAL_DER_FEV_2023!W2092=0,0,IF(GLOBAL_DER_FEV_2023!W2092&gt;0,"c","b"))</f>
        <v>0</v>
      </c>
    </row>
    <row r="2093" spans="1:25" ht="15" customHeight="1" x14ac:dyDescent="0.2">
      <c r="A2093" s="317">
        <v>611500</v>
      </c>
      <c r="B2093" s="895" t="s">
        <v>1857</v>
      </c>
      <c r="C2093" s="896" t="s">
        <v>184</v>
      </c>
      <c r="D2093" s="906" t="s">
        <v>2045</v>
      </c>
      <c r="E2093" s="907">
        <f>GLOBAL_DER_FEV_2023!E2093</f>
        <v>0</v>
      </c>
      <c r="F2093" s="908">
        <f>GLOBAL_DER_FEV_2023!F2093</f>
        <v>0</v>
      </c>
      <c r="G2093" s="912">
        <f>GLOBAL_DER_FEV_2023!G2093</f>
        <v>279.06360720000004</v>
      </c>
      <c r="H2093" s="901">
        <f>GLOBAL_DER_FEV_2023!H2093</f>
        <v>1749.33</v>
      </c>
      <c r="I2093" s="901">
        <f>GLOBAL_DER_FEV_2023!I2093</f>
        <v>2028.3936071999999</v>
      </c>
      <c r="J2093" s="902">
        <f>GLOBAL_DER_FEV_2023!J2093</f>
        <v>2435.4899999999998</v>
      </c>
      <c r="K2093" s="903" t="s">
        <v>13</v>
      </c>
      <c r="L2093" s="1137"/>
      <c r="M2093" s="1138">
        <f t="shared" si="209"/>
        <v>0</v>
      </c>
      <c r="N2093" s="1176">
        <f t="shared" si="213"/>
        <v>0</v>
      </c>
      <c r="O2093" s="905"/>
      <c r="Q2093" s="317" t="str">
        <f t="shared" si="210"/>
        <v/>
      </c>
      <c r="R2093" s="317" t="str">
        <f t="shared" si="211"/>
        <v/>
      </c>
      <c r="S2093" s="317" t="str">
        <f t="shared" si="212"/>
        <v/>
      </c>
      <c r="T2093" s="317" t="str">
        <f>GLOBAL_DER_FEV_2023!S2093</f>
        <v/>
      </c>
      <c r="W2093" s="582">
        <v>0</v>
      </c>
      <c r="X2093" s="580"/>
      <c r="Y2093" s="583">
        <f>IF(GLOBAL_DER_FEV_2023!W2093=0,0,IF(GLOBAL_DER_FEV_2023!W2093&gt;0,"c","b"))</f>
        <v>0</v>
      </c>
    </row>
    <row r="2094" spans="1:25" ht="15" customHeight="1" x14ac:dyDescent="0.2">
      <c r="A2094" s="317" t="s">
        <v>147</v>
      </c>
      <c r="B2094" s="895" t="s">
        <v>147</v>
      </c>
      <c r="C2094" s="896"/>
      <c r="D2094" s="906" t="s">
        <v>190</v>
      </c>
      <c r="E2094" s="907">
        <f>GLOBAL_DER_FEV_2023!E2094</f>
        <v>308</v>
      </c>
      <c r="F2094" s="908">
        <f>GLOBAL_DER_FEV_2023!F2094</f>
        <v>0.27410000000000001</v>
      </c>
      <c r="G2094" s="909">
        <f>GLOBAL_DER_FEV_2023!G2094</f>
        <v>67.993245999999999</v>
      </c>
      <c r="H2094" s="901">
        <f>GLOBAL_DER_FEV_2023!H2094</f>
        <v>0</v>
      </c>
      <c r="I2094" s="901">
        <f>GLOBAL_DER_FEV_2023!I2094</f>
        <v>0</v>
      </c>
      <c r="J2094" s="902">
        <f>GLOBAL_DER_FEV_2023!J2094</f>
        <v>0</v>
      </c>
      <c r="K2094" s="903"/>
      <c r="L2094" s="1177"/>
      <c r="M2094" s="1138">
        <f t="shared" si="209"/>
        <v>0</v>
      </c>
      <c r="N2094" s="1176">
        <f t="shared" si="213"/>
        <v>0</v>
      </c>
      <c r="O2094" s="905"/>
      <c r="P2094" s="36" t="str">
        <f>IF(N2093&gt;0,"xx",IF(N2093&gt;0,"xy",""))</f>
        <v/>
      </c>
      <c r="Q2094" s="317" t="str">
        <f t="shared" si="210"/>
        <v/>
      </c>
      <c r="R2094" s="317" t="str">
        <f t="shared" si="211"/>
        <v/>
      </c>
      <c r="S2094" s="317" t="str">
        <f t="shared" si="212"/>
        <v/>
      </c>
      <c r="T2094" s="317" t="str">
        <f>GLOBAL_DER_FEV_2023!S2094</f>
        <v/>
      </c>
      <c r="W2094" s="582">
        <v>0</v>
      </c>
      <c r="X2094" s="580"/>
      <c r="Y2094" s="583">
        <f>IF(GLOBAL_DER_FEV_2023!W2094=0,0,IF(GLOBAL_DER_FEV_2023!W2094&gt;0,"c","b"))</f>
        <v>0</v>
      </c>
    </row>
    <row r="2095" spans="1:25" ht="15" customHeight="1" x14ac:dyDescent="0.2">
      <c r="A2095" s="317" t="s">
        <v>147</v>
      </c>
      <c r="B2095" s="895" t="s">
        <v>147</v>
      </c>
      <c r="C2095" s="896"/>
      <c r="D2095" s="906" t="s">
        <v>229</v>
      </c>
      <c r="E2095" s="907">
        <f>GLOBAL_DER_FEV_2023!E2095</f>
        <v>150</v>
      </c>
      <c r="F2095" s="908">
        <f>GLOBAL_DER_FEV_2023!F2095</f>
        <v>0.9748</v>
      </c>
      <c r="G2095" s="949">
        <f>GLOBAL_DER_FEV_2023!G2095</f>
        <v>159.06786400000001</v>
      </c>
      <c r="H2095" s="901">
        <f>GLOBAL_DER_FEV_2023!H2095</f>
        <v>0</v>
      </c>
      <c r="I2095" s="901">
        <f>GLOBAL_DER_FEV_2023!I2095</f>
        <v>0</v>
      </c>
      <c r="J2095" s="902">
        <f>GLOBAL_DER_FEV_2023!J2095</f>
        <v>0</v>
      </c>
      <c r="K2095" s="903"/>
      <c r="L2095" s="1177"/>
      <c r="M2095" s="1138">
        <f t="shared" si="209"/>
        <v>0</v>
      </c>
      <c r="N2095" s="1176">
        <f t="shared" si="213"/>
        <v>0</v>
      </c>
      <c r="O2095" s="905"/>
      <c r="P2095" s="36" t="str">
        <f>IF(N2093&gt;0,"xx",IF(N2093&gt;0,"xy",""))</f>
        <v/>
      </c>
      <c r="Q2095" s="317" t="str">
        <f t="shared" si="210"/>
        <v/>
      </c>
      <c r="R2095" s="317" t="str">
        <f t="shared" si="211"/>
        <v/>
      </c>
      <c r="S2095" s="317" t="str">
        <f t="shared" si="212"/>
        <v/>
      </c>
      <c r="T2095" s="317" t="str">
        <f>GLOBAL_DER_FEV_2023!S2095</f>
        <v/>
      </c>
      <c r="W2095" s="582">
        <v>0</v>
      </c>
      <c r="X2095" s="580"/>
      <c r="Y2095" s="583">
        <f>IF(GLOBAL_DER_FEV_2023!W2095=0,0,IF(GLOBAL_DER_FEV_2023!W2095&gt;0,"c","b"))</f>
        <v>0</v>
      </c>
    </row>
    <row r="2096" spans="1:25" ht="15" customHeight="1" x14ac:dyDescent="0.2">
      <c r="A2096" s="317" t="s">
        <v>147</v>
      </c>
      <c r="B2096" s="895" t="s">
        <v>147</v>
      </c>
      <c r="C2096" s="896"/>
      <c r="D2096" s="906" t="s">
        <v>233</v>
      </c>
      <c r="E2096" s="907">
        <f>GLOBAL_DER_FEV_2023!E2096</f>
        <v>0.2</v>
      </c>
      <c r="F2096" s="908">
        <f>GLOBAL_DER_FEV_2023!F2096</f>
        <v>2.2538</v>
      </c>
      <c r="G2096" s="949">
        <f>GLOBAL_DER_FEV_2023!G2096</f>
        <v>6.5224972000000001</v>
      </c>
      <c r="H2096" s="901">
        <f>GLOBAL_DER_FEV_2023!H2096</f>
        <v>0</v>
      </c>
      <c r="I2096" s="901">
        <f>GLOBAL_DER_FEV_2023!I2096</f>
        <v>0</v>
      </c>
      <c r="J2096" s="902">
        <f>GLOBAL_DER_FEV_2023!J2096</f>
        <v>0</v>
      </c>
      <c r="K2096" s="903"/>
      <c r="L2096" s="1177"/>
      <c r="M2096" s="1138">
        <f t="shared" si="209"/>
        <v>0</v>
      </c>
      <c r="N2096" s="1176">
        <f t="shared" si="213"/>
        <v>0</v>
      </c>
      <c r="O2096" s="905"/>
      <c r="P2096" s="36" t="str">
        <f>IF(N2093&gt;0,"xx",IF(N2093&gt;0,"xy",""))</f>
        <v/>
      </c>
      <c r="Q2096" s="317" t="str">
        <f t="shared" si="210"/>
        <v/>
      </c>
      <c r="R2096" s="317" t="str">
        <f t="shared" si="211"/>
        <v/>
      </c>
      <c r="S2096" s="317" t="str">
        <f t="shared" si="212"/>
        <v/>
      </c>
      <c r="T2096" s="317" t="str">
        <f>GLOBAL_DER_FEV_2023!S2096</f>
        <v/>
      </c>
      <c r="W2096" s="582">
        <v>0</v>
      </c>
      <c r="X2096" s="580"/>
      <c r="Y2096" s="583">
        <f>IF(GLOBAL_DER_FEV_2023!W2096=0,0,IF(GLOBAL_DER_FEV_2023!W2096&gt;0,"c","b"))</f>
        <v>0</v>
      </c>
    </row>
    <row r="2097" spans="1:25" ht="15" customHeight="1" x14ac:dyDescent="0.2">
      <c r="A2097" s="317" t="s">
        <v>147</v>
      </c>
      <c r="B2097" s="895" t="s">
        <v>147</v>
      </c>
      <c r="C2097" s="896"/>
      <c r="D2097" s="906" t="s">
        <v>336</v>
      </c>
      <c r="E2097" s="907">
        <f>GLOBAL_DER_FEV_2023!E2097</f>
        <v>40</v>
      </c>
      <c r="F2097" s="908">
        <f>GLOBAL_DER_FEV_2023!F2097</f>
        <v>1</v>
      </c>
      <c r="G2097" s="949">
        <f>GLOBAL_DER_FEV_2023!G2097</f>
        <v>45.480000000000004</v>
      </c>
      <c r="H2097" s="901">
        <f>GLOBAL_DER_FEV_2023!H2097</f>
        <v>0</v>
      </c>
      <c r="I2097" s="901">
        <f>GLOBAL_DER_FEV_2023!I2097</f>
        <v>0</v>
      </c>
      <c r="J2097" s="902">
        <f>GLOBAL_DER_FEV_2023!J2097</f>
        <v>0</v>
      </c>
      <c r="K2097" s="903"/>
      <c r="L2097" s="1177"/>
      <c r="M2097" s="1138">
        <f t="shared" si="209"/>
        <v>0</v>
      </c>
      <c r="N2097" s="1176">
        <f t="shared" si="213"/>
        <v>0</v>
      </c>
      <c r="O2097" s="905"/>
      <c r="P2097" s="36" t="str">
        <f>IF(N2093&gt;0,"xx",IF(N2093&gt;0,"xy",""))</f>
        <v/>
      </c>
      <c r="Q2097" s="317" t="str">
        <f t="shared" si="210"/>
        <v/>
      </c>
      <c r="R2097" s="317" t="str">
        <f t="shared" si="211"/>
        <v/>
      </c>
      <c r="S2097" s="317" t="str">
        <f t="shared" si="212"/>
        <v/>
      </c>
      <c r="T2097" s="317" t="str">
        <f>GLOBAL_DER_FEV_2023!S2097</f>
        <v/>
      </c>
      <c r="W2097" s="582">
        <v>0</v>
      </c>
      <c r="X2097" s="580"/>
      <c r="Y2097" s="583">
        <f>IF(GLOBAL_DER_FEV_2023!W2097=0,0,IF(GLOBAL_DER_FEV_2023!W2097&gt;0,"c","b"))</f>
        <v>0</v>
      </c>
    </row>
    <row r="2098" spans="1:25" ht="15" customHeight="1" x14ac:dyDescent="0.2">
      <c r="A2098" s="317">
        <v>611700</v>
      </c>
      <c r="B2098" s="895">
        <v>611700</v>
      </c>
      <c r="C2098" s="896" t="s">
        <v>184</v>
      </c>
      <c r="D2098" s="906" t="s">
        <v>2046</v>
      </c>
      <c r="E2098" s="907">
        <f>GLOBAL_DER_FEV_2023!E2098</f>
        <v>0</v>
      </c>
      <c r="F2098" s="908">
        <f>GLOBAL_DER_FEV_2023!F2098</f>
        <v>0</v>
      </c>
      <c r="G2098" s="912">
        <f>GLOBAL_DER_FEV_2023!G2098</f>
        <v>359.57415739999999</v>
      </c>
      <c r="H2098" s="901">
        <f>GLOBAL_DER_FEV_2023!H2098</f>
        <v>3874.21</v>
      </c>
      <c r="I2098" s="901">
        <f>GLOBAL_DER_FEV_2023!I2098</f>
        <v>4233.7841574000004</v>
      </c>
      <c r="J2098" s="902">
        <f>GLOBAL_DER_FEV_2023!J2098</f>
        <v>5083.5</v>
      </c>
      <c r="K2098" s="903" t="s">
        <v>13</v>
      </c>
      <c r="L2098" s="1137"/>
      <c r="M2098" s="1138">
        <f t="shared" si="209"/>
        <v>0</v>
      </c>
      <c r="N2098" s="1176">
        <f t="shared" si="213"/>
        <v>0</v>
      </c>
      <c r="O2098" s="905"/>
      <c r="Q2098" s="317" t="str">
        <f t="shared" si="210"/>
        <v/>
      </c>
      <c r="R2098" s="317" t="str">
        <f t="shared" si="211"/>
        <v/>
      </c>
      <c r="S2098" s="317" t="str">
        <f t="shared" si="212"/>
        <v/>
      </c>
      <c r="T2098" s="317" t="str">
        <f>GLOBAL_DER_FEV_2023!S2098</f>
        <v/>
      </c>
      <c r="W2098" s="582">
        <v>0</v>
      </c>
      <c r="X2098" s="580"/>
      <c r="Y2098" s="583">
        <f>IF(GLOBAL_DER_FEV_2023!W2098=0,0,IF(GLOBAL_DER_FEV_2023!W2098&gt;0,"c","b"))</f>
        <v>0</v>
      </c>
    </row>
    <row r="2099" spans="1:25" ht="15" customHeight="1" x14ac:dyDescent="0.2">
      <c r="A2099" s="317" t="s">
        <v>147</v>
      </c>
      <c r="B2099" s="895" t="s">
        <v>147</v>
      </c>
      <c r="C2099" s="896"/>
      <c r="D2099" s="906" t="s">
        <v>190</v>
      </c>
      <c r="E2099" s="907">
        <f>GLOBAL_DER_FEV_2023!E2099</f>
        <v>308</v>
      </c>
      <c r="F2099" s="908">
        <f>GLOBAL_DER_FEV_2023!F2099</f>
        <v>0.30620000000000003</v>
      </c>
      <c r="G2099" s="909">
        <f>GLOBAL_DER_FEV_2023!G2099</f>
        <v>75.955972000000003</v>
      </c>
      <c r="H2099" s="901">
        <f>GLOBAL_DER_FEV_2023!H2099</f>
        <v>0</v>
      </c>
      <c r="I2099" s="901">
        <f>GLOBAL_DER_FEV_2023!I2099</f>
        <v>0</v>
      </c>
      <c r="J2099" s="902">
        <f>GLOBAL_DER_FEV_2023!J2099</f>
        <v>0</v>
      </c>
      <c r="K2099" s="903"/>
      <c r="L2099" s="1177"/>
      <c r="M2099" s="1138">
        <f t="shared" si="209"/>
        <v>0</v>
      </c>
      <c r="N2099" s="1176">
        <f t="shared" si="213"/>
        <v>0</v>
      </c>
      <c r="O2099" s="905"/>
      <c r="P2099" s="36" t="str">
        <f>IF(N2098&gt;0,"xx",IF(N2098&gt;0,"xy",""))</f>
        <v/>
      </c>
      <c r="Q2099" s="317" t="str">
        <f t="shared" si="210"/>
        <v/>
      </c>
      <c r="R2099" s="317" t="str">
        <f t="shared" si="211"/>
        <v/>
      </c>
      <c r="S2099" s="317" t="str">
        <f t="shared" si="212"/>
        <v/>
      </c>
      <c r="T2099" s="317" t="str">
        <f>GLOBAL_DER_FEV_2023!S2099</f>
        <v/>
      </c>
      <c r="W2099" s="582">
        <v>0</v>
      </c>
      <c r="X2099" s="580"/>
      <c r="Y2099" s="583">
        <f>IF(GLOBAL_DER_FEV_2023!W2099=0,0,IF(GLOBAL_DER_FEV_2023!W2099&gt;0,"c","b"))</f>
        <v>0</v>
      </c>
    </row>
    <row r="2100" spans="1:25" ht="15" customHeight="1" x14ac:dyDescent="0.2">
      <c r="A2100" s="317" t="s">
        <v>147</v>
      </c>
      <c r="B2100" s="895" t="s">
        <v>147</v>
      </c>
      <c r="C2100" s="896"/>
      <c r="D2100" s="906" t="s">
        <v>229</v>
      </c>
      <c r="E2100" s="907">
        <f>GLOBAL_DER_FEV_2023!E2100</f>
        <v>150</v>
      </c>
      <c r="F2100" s="908">
        <f>GLOBAL_DER_FEV_2023!F2100</f>
        <v>1.1047</v>
      </c>
      <c r="G2100" s="949">
        <f>GLOBAL_DER_FEV_2023!G2100</f>
        <v>180.26494600000001</v>
      </c>
      <c r="H2100" s="901">
        <f>GLOBAL_DER_FEV_2023!H2100</f>
        <v>0</v>
      </c>
      <c r="I2100" s="901">
        <f>GLOBAL_DER_FEV_2023!I2100</f>
        <v>0</v>
      </c>
      <c r="J2100" s="902">
        <f>GLOBAL_DER_FEV_2023!J2100</f>
        <v>0</v>
      </c>
      <c r="K2100" s="903"/>
      <c r="L2100" s="1177"/>
      <c r="M2100" s="1138">
        <f t="shared" si="209"/>
        <v>0</v>
      </c>
      <c r="N2100" s="1176">
        <f t="shared" si="213"/>
        <v>0</v>
      </c>
      <c r="O2100" s="905"/>
      <c r="P2100" s="36" t="str">
        <f>IF(N2098&gt;0,"xx",IF(N2098&gt;0,"xy",""))</f>
        <v/>
      </c>
      <c r="Q2100" s="317" t="str">
        <f t="shared" si="210"/>
        <v/>
      </c>
      <c r="R2100" s="317" t="str">
        <f t="shared" si="211"/>
        <v/>
      </c>
      <c r="S2100" s="317" t="str">
        <f t="shared" si="212"/>
        <v/>
      </c>
      <c r="T2100" s="317" t="str">
        <f>GLOBAL_DER_FEV_2023!S2100</f>
        <v/>
      </c>
      <c r="W2100" s="582">
        <v>0</v>
      </c>
      <c r="X2100" s="580"/>
      <c r="Y2100" s="583">
        <f>IF(GLOBAL_DER_FEV_2023!W2100=0,0,IF(GLOBAL_DER_FEV_2023!W2100&gt;0,"c","b"))</f>
        <v>0</v>
      </c>
    </row>
    <row r="2101" spans="1:25" ht="15" customHeight="1" x14ac:dyDescent="0.2">
      <c r="A2101" s="317" t="s">
        <v>147</v>
      </c>
      <c r="B2101" s="895" t="s">
        <v>147</v>
      </c>
      <c r="C2101" s="896"/>
      <c r="D2101" s="906" t="s">
        <v>233</v>
      </c>
      <c r="E2101" s="907">
        <f>GLOBAL_DER_FEV_2023!E2101</f>
        <v>0.2</v>
      </c>
      <c r="F2101" s="908">
        <f>GLOBAL_DER_FEV_2023!F2101</f>
        <v>1.9251</v>
      </c>
      <c r="G2101" s="949">
        <f>GLOBAL_DER_FEV_2023!G2101</f>
        <v>5.5712394000000005</v>
      </c>
      <c r="H2101" s="901">
        <f>GLOBAL_DER_FEV_2023!H2101</f>
        <v>0</v>
      </c>
      <c r="I2101" s="901">
        <f>GLOBAL_DER_FEV_2023!I2101</f>
        <v>0</v>
      </c>
      <c r="J2101" s="902">
        <f>GLOBAL_DER_FEV_2023!J2101</f>
        <v>0</v>
      </c>
      <c r="K2101" s="903"/>
      <c r="L2101" s="1177"/>
      <c r="M2101" s="1138">
        <f t="shared" si="209"/>
        <v>0</v>
      </c>
      <c r="N2101" s="1176">
        <f t="shared" si="213"/>
        <v>0</v>
      </c>
      <c r="O2101" s="905"/>
      <c r="P2101" s="36" t="str">
        <f>IF(N2098&gt;0,"xx",IF(N2098&gt;0,"xy",""))</f>
        <v/>
      </c>
      <c r="Q2101" s="317" t="str">
        <f t="shared" si="210"/>
        <v/>
      </c>
      <c r="R2101" s="317" t="str">
        <f t="shared" si="211"/>
        <v/>
      </c>
      <c r="S2101" s="317" t="str">
        <f t="shared" si="212"/>
        <v/>
      </c>
      <c r="T2101" s="317" t="str">
        <f>GLOBAL_DER_FEV_2023!S2101</f>
        <v/>
      </c>
      <c r="W2101" s="582">
        <v>0</v>
      </c>
      <c r="X2101" s="580"/>
      <c r="Y2101" s="583">
        <f>IF(GLOBAL_DER_FEV_2023!W2101=0,0,IF(GLOBAL_DER_FEV_2023!W2101&gt;0,"c","b"))</f>
        <v>0</v>
      </c>
    </row>
    <row r="2102" spans="1:25" ht="15" customHeight="1" x14ac:dyDescent="0.2">
      <c r="A2102" s="317" t="s">
        <v>147</v>
      </c>
      <c r="B2102" s="895" t="s">
        <v>147</v>
      </c>
      <c r="C2102" s="896"/>
      <c r="D2102" s="906" t="s">
        <v>336</v>
      </c>
      <c r="E2102" s="907">
        <f>GLOBAL_DER_FEV_2023!E2102</f>
        <v>40</v>
      </c>
      <c r="F2102" s="908">
        <f>GLOBAL_DER_FEV_2023!F2102</f>
        <v>2.15</v>
      </c>
      <c r="G2102" s="949">
        <f>GLOBAL_DER_FEV_2023!G2102</f>
        <v>97.782000000000011</v>
      </c>
      <c r="H2102" s="901">
        <f>GLOBAL_DER_FEV_2023!H2102</f>
        <v>0</v>
      </c>
      <c r="I2102" s="901">
        <f>GLOBAL_DER_FEV_2023!I2102</f>
        <v>0</v>
      </c>
      <c r="J2102" s="902">
        <f>GLOBAL_DER_FEV_2023!J2102</f>
        <v>0</v>
      </c>
      <c r="K2102" s="903"/>
      <c r="L2102" s="1177"/>
      <c r="M2102" s="1138">
        <f t="shared" si="209"/>
        <v>0</v>
      </c>
      <c r="N2102" s="1176">
        <f t="shared" si="213"/>
        <v>0</v>
      </c>
      <c r="O2102" s="905"/>
      <c r="P2102" s="36" t="str">
        <f>IF(N2098&gt;0,"xx",IF(N2098&gt;0,"xy",""))</f>
        <v/>
      </c>
      <c r="Q2102" s="317" t="str">
        <f t="shared" si="210"/>
        <v/>
      </c>
      <c r="R2102" s="317" t="str">
        <f t="shared" si="211"/>
        <v/>
      </c>
      <c r="S2102" s="317" t="str">
        <f t="shared" si="212"/>
        <v/>
      </c>
      <c r="T2102" s="317" t="str">
        <f>GLOBAL_DER_FEV_2023!S2102</f>
        <v/>
      </c>
      <c r="W2102" s="582">
        <v>0</v>
      </c>
      <c r="X2102" s="580"/>
      <c r="Y2102" s="583">
        <f>IF(GLOBAL_DER_FEV_2023!W2102=0,0,IF(GLOBAL_DER_FEV_2023!W2102&gt;0,"c","b"))</f>
        <v>0</v>
      </c>
    </row>
    <row r="2103" spans="1:25" ht="15" customHeight="1" x14ac:dyDescent="0.2">
      <c r="A2103" s="317" t="s">
        <v>17</v>
      </c>
      <c r="B2103" s="895" t="s">
        <v>17</v>
      </c>
      <c r="C2103" s="896" t="s">
        <v>184</v>
      </c>
      <c r="D2103" s="906" t="s">
        <v>54</v>
      </c>
      <c r="E2103" s="907">
        <f>GLOBAL_DER_FEV_2023!E2103</f>
        <v>0</v>
      </c>
      <c r="F2103" s="908">
        <f>GLOBAL_DER_FEV_2023!F2103</f>
        <v>0</v>
      </c>
      <c r="G2103" s="912">
        <f>GLOBAL_DER_FEV_2023!G2103</f>
        <v>150.80919626400001</v>
      </c>
      <c r="H2103" s="901">
        <f>GLOBAL_DER_FEV_2023!H2103</f>
        <v>1441.24</v>
      </c>
      <c r="I2103" s="901">
        <f>GLOBAL_DER_FEV_2023!I2103</f>
        <v>1592.0491962640001</v>
      </c>
      <c r="J2103" s="902">
        <f>GLOBAL_DER_FEV_2023!J2103</f>
        <v>1911.57</v>
      </c>
      <c r="K2103" s="903" t="s">
        <v>15</v>
      </c>
      <c r="L2103" s="1137"/>
      <c r="M2103" s="1138">
        <f t="shared" si="209"/>
        <v>0</v>
      </c>
      <c r="N2103" s="1176">
        <f t="shared" si="213"/>
        <v>0</v>
      </c>
      <c r="O2103" s="905"/>
      <c r="Q2103" s="317" t="str">
        <f t="shared" si="210"/>
        <v/>
      </c>
      <c r="R2103" s="317" t="str">
        <f t="shared" si="211"/>
        <v/>
      </c>
      <c r="S2103" s="317" t="str">
        <f t="shared" si="212"/>
        <v/>
      </c>
      <c r="T2103" s="317" t="str">
        <f>GLOBAL_DER_FEV_2023!S2103</f>
        <v/>
      </c>
      <c r="W2103" s="582">
        <v>0</v>
      </c>
      <c r="X2103" s="580"/>
      <c r="Y2103" s="583">
        <f>IF(GLOBAL_DER_FEV_2023!W2103=0,0,IF(GLOBAL_DER_FEV_2023!W2103&gt;0,"c","b"))</f>
        <v>0</v>
      </c>
    </row>
    <row r="2104" spans="1:25" ht="15" customHeight="1" x14ac:dyDescent="0.2">
      <c r="A2104" s="317" t="s">
        <v>147</v>
      </c>
      <c r="B2104" s="895" t="s">
        <v>147</v>
      </c>
      <c r="C2104" s="896"/>
      <c r="D2104" s="906" t="s">
        <v>190</v>
      </c>
      <c r="E2104" s="907">
        <f>GLOBAL_DER_FEV_2023!E2104</f>
        <v>308</v>
      </c>
      <c r="F2104" s="908">
        <f>GLOBAL_DER_FEV_2023!F2104</f>
        <v>0.11541040000000001</v>
      </c>
      <c r="G2104" s="909">
        <f>GLOBAL_DER_FEV_2023!G2104</f>
        <v>28.628703824000002</v>
      </c>
      <c r="H2104" s="901">
        <f>GLOBAL_DER_FEV_2023!H2104</f>
        <v>0</v>
      </c>
      <c r="I2104" s="901">
        <f>GLOBAL_DER_FEV_2023!I2104</f>
        <v>0</v>
      </c>
      <c r="J2104" s="902">
        <f>GLOBAL_DER_FEV_2023!J2104</f>
        <v>0</v>
      </c>
      <c r="K2104" s="903"/>
      <c r="L2104" s="1177"/>
      <c r="M2104" s="1138">
        <f t="shared" si="209"/>
        <v>0</v>
      </c>
      <c r="N2104" s="1176">
        <f t="shared" si="213"/>
        <v>0</v>
      </c>
      <c r="O2104" s="905"/>
      <c r="P2104" s="36" t="str">
        <f>IF(N2103&gt;0,"xx",IF(N2103&gt;0,"xy",""))</f>
        <v/>
      </c>
      <c r="Q2104" s="317" t="str">
        <f t="shared" si="210"/>
        <v/>
      </c>
      <c r="R2104" s="317" t="str">
        <f t="shared" si="211"/>
        <v/>
      </c>
      <c r="S2104" s="317" t="str">
        <f t="shared" si="212"/>
        <v/>
      </c>
      <c r="T2104" s="317" t="str">
        <f>GLOBAL_DER_FEV_2023!S2104</f>
        <v/>
      </c>
      <c r="W2104" s="582">
        <v>0</v>
      </c>
      <c r="X2104" s="580"/>
      <c r="Y2104" s="583">
        <f>IF(GLOBAL_DER_FEV_2023!W2104=0,0,IF(GLOBAL_DER_FEV_2023!W2104&gt;0,"c","b"))</f>
        <v>0</v>
      </c>
    </row>
    <row r="2105" spans="1:25" ht="15" customHeight="1" x14ac:dyDescent="0.2">
      <c r="A2105" s="317" t="s">
        <v>147</v>
      </c>
      <c r="B2105" s="895" t="s">
        <v>147</v>
      </c>
      <c r="C2105" s="896"/>
      <c r="D2105" s="906" t="s">
        <v>229</v>
      </c>
      <c r="E2105" s="907">
        <f>GLOBAL_DER_FEV_2023!E2105</f>
        <v>150</v>
      </c>
      <c r="F2105" s="908">
        <f>GLOBAL_DER_FEV_2023!F2105</f>
        <v>0.62209000000000003</v>
      </c>
      <c r="G2105" s="949">
        <f>GLOBAL_DER_FEV_2023!G2105</f>
        <v>101.51264620000001</v>
      </c>
      <c r="H2105" s="901">
        <f>GLOBAL_DER_FEV_2023!H2105</f>
        <v>0</v>
      </c>
      <c r="I2105" s="901">
        <f>GLOBAL_DER_FEV_2023!I2105</f>
        <v>0</v>
      </c>
      <c r="J2105" s="902">
        <f>GLOBAL_DER_FEV_2023!J2105</f>
        <v>0</v>
      </c>
      <c r="K2105" s="903"/>
      <c r="L2105" s="1177"/>
      <c r="M2105" s="1138">
        <f t="shared" si="209"/>
        <v>0</v>
      </c>
      <c r="N2105" s="1176">
        <f t="shared" si="213"/>
        <v>0</v>
      </c>
      <c r="O2105" s="905"/>
      <c r="P2105" s="36" t="str">
        <f>IF(N2103&gt;0,"xx",IF(N2103&gt;0,"xy",""))</f>
        <v/>
      </c>
      <c r="Q2105" s="317" t="str">
        <f t="shared" si="210"/>
        <v/>
      </c>
      <c r="R2105" s="317" t="str">
        <f t="shared" si="211"/>
        <v/>
      </c>
      <c r="S2105" s="317" t="str">
        <f t="shared" si="212"/>
        <v/>
      </c>
      <c r="T2105" s="317" t="str">
        <f>GLOBAL_DER_FEV_2023!S2105</f>
        <v/>
      </c>
      <c r="W2105" s="582">
        <v>0</v>
      </c>
      <c r="X2105" s="580"/>
      <c r="Y2105" s="583">
        <f>IF(GLOBAL_DER_FEV_2023!W2105=0,0,IF(GLOBAL_DER_FEV_2023!W2105&gt;0,"c","b"))</f>
        <v>0</v>
      </c>
    </row>
    <row r="2106" spans="1:25" ht="15" customHeight="1" x14ac:dyDescent="0.2">
      <c r="A2106" s="317" t="s">
        <v>147</v>
      </c>
      <c r="B2106" s="895" t="s">
        <v>147</v>
      </c>
      <c r="C2106" s="896"/>
      <c r="D2106" s="906" t="s">
        <v>233</v>
      </c>
      <c r="E2106" s="907">
        <f>GLOBAL_DER_FEV_2023!E2106</f>
        <v>0.2</v>
      </c>
      <c r="F2106" s="908">
        <f>GLOBAL_DER_FEV_2023!F2106</f>
        <v>0.20424000000000003</v>
      </c>
      <c r="G2106" s="949">
        <f>GLOBAL_DER_FEV_2023!G2106</f>
        <v>0.59107056000000013</v>
      </c>
      <c r="H2106" s="901">
        <f>GLOBAL_DER_FEV_2023!H2106</f>
        <v>0</v>
      </c>
      <c r="I2106" s="901">
        <f>GLOBAL_DER_FEV_2023!I2106</f>
        <v>0</v>
      </c>
      <c r="J2106" s="902">
        <f>GLOBAL_DER_FEV_2023!J2106</f>
        <v>0</v>
      </c>
      <c r="K2106" s="903"/>
      <c r="L2106" s="1177"/>
      <c r="M2106" s="1138">
        <f t="shared" si="209"/>
        <v>0</v>
      </c>
      <c r="N2106" s="1176">
        <f t="shared" si="213"/>
        <v>0</v>
      </c>
      <c r="O2106" s="905"/>
      <c r="P2106" s="36" t="str">
        <f>IF(N2103&gt;0,"xx",IF(N2103&gt;0,"xy",""))</f>
        <v/>
      </c>
      <c r="Q2106" s="317" t="str">
        <f t="shared" si="210"/>
        <v/>
      </c>
      <c r="R2106" s="317" t="str">
        <f t="shared" si="211"/>
        <v/>
      </c>
      <c r="S2106" s="317" t="str">
        <f t="shared" si="212"/>
        <v/>
      </c>
      <c r="T2106" s="317" t="str">
        <f>GLOBAL_DER_FEV_2023!S2106</f>
        <v/>
      </c>
      <c r="W2106" s="582">
        <v>0</v>
      </c>
      <c r="X2106" s="580"/>
      <c r="Y2106" s="583">
        <f>IF(GLOBAL_DER_FEV_2023!W2106=0,0,IF(GLOBAL_DER_FEV_2023!W2106&gt;0,"c","b"))</f>
        <v>0</v>
      </c>
    </row>
    <row r="2107" spans="1:25" ht="15" customHeight="1" x14ac:dyDescent="0.2">
      <c r="A2107" s="317" t="s">
        <v>147</v>
      </c>
      <c r="B2107" s="895" t="s">
        <v>147</v>
      </c>
      <c r="C2107" s="896"/>
      <c r="D2107" s="906" t="s">
        <v>365</v>
      </c>
      <c r="E2107" s="907">
        <f>GLOBAL_DER_FEV_2023!E2107</f>
        <v>10</v>
      </c>
      <c r="F2107" s="908">
        <f>GLOBAL_DER_FEV_2023!F2107</f>
        <v>0.87983999999999996</v>
      </c>
      <c r="G2107" s="949">
        <f>GLOBAL_DER_FEV_2023!G2107</f>
        <v>11.772259200000001</v>
      </c>
      <c r="H2107" s="901">
        <f>GLOBAL_DER_FEV_2023!H2107</f>
        <v>0</v>
      </c>
      <c r="I2107" s="901">
        <f>GLOBAL_DER_FEV_2023!I2107</f>
        <v>0</v>
      </c>
      <c r="J2107" s="902">
        <f>GLOBAL_DER_FEV_2023!J2107</f>
        <v>0</v>
      </c>
      <c r="K2107" s="903"/>
      <c r="L2107" s="1177"/>
      <c r="M2107" s="1138">
        <f t="shared" si="209"/>
        <v>0</v>
      </c>
      <c r="N2107" s="1176">
        <f t="shared" si="213"/>
        <v>0</v>
      </c>
      <c r="O2107" s="905"/>
      <c r="P2107" s="36" t="str">
        <f>IF(N2103&gt;0,"xx",IF(N2103&gt;0,"xy",""))</f>
        <v/>
      </c>
      <c r="Q2107" s="317" t="str">
        <f t="shared" si="210"/>
        <v/>
      </c>
      <c r="R2107" s="317" t="str">
        <f t="shared" si="211"/>
        <v/>
      </c>
      <c r="S2107" s="317" t="str">
        <f t="shared" si="212"/>
        <v/>
      </c>
      <c r="T2107" s="317" t="str">
        <f>GLOBAL_DER_FEV_2023!S2107</f>
        <v/>
      </c>
      <c r="W2107" s="582">
        <v>0</v>
      </c>
      <c r="X2107" s="580"/>
      <c r="Y2107" s="583">
        <f>IF(GLOBAL_DER_FEV_2023!W2107=0,0,IF(GLOBAL_DER_FEV_2023!W2107&gt;0,"c","b"))</f>
        <v>0</v>
      </c>
    </row>
    <row r="2108" spans="1:25" ht="15" customHeight="1" x14ac:dyDescent="0.2">
      <c r="A2108" s="317" t="s">
        <v>147</v>
      </c>
      <c r="B2108" s="895" t="s">
        <v>147</v>
      </c>
      <c r="C2108" s="896"/>
      <c r="D2108" s="906" t="s">
        <v>366</v>
      </c>
      <c r="E2108" s="907">
        <f>GLOBAL_DER_FEV_2023!E2108</f>
        <v>353</v>
      </c>
      <c r="F2108" s="908">
        <f>GLOBAL_DER_FEV_2023!F2108</f>
        <v>2.9328E-2</v>
      </c>
      <c r="G2108" s="909">
        <f>GLOBAL_DER_FEV_2023!G2108</f>
        <v>8.3045164800000002</v>
      </c>
      <c r="H2108" s="901">
        <f>GLOBAL_DER_FEV_2023!H2108</f>
        <v>0</v>
      </c>
      <c r="I2108" s="901">
        <f>GLOBAL_DER_FEV_2023!I2108</f>
        <v>0</v>
      </c>
      <c r="J2108" s="902">
        <f>GLOBAL_DER_FEV_2023!J2108</f>
        <v>0</v>
      </c>
      <c r="K2108" s="903"/>
      <c r="L2108" s="1177"/>
      <c r="M2108" s="1138">
        <f t="shared" si="209"/>
        <v>0</v>
      </c>
      <c r="N2108" s="1176">
        <f t="shared" si="213"/>
        <v>0</v>
      </c>
      <c r="O2108" s="905"/>
      <c r="P2108" s="36" t="str">
        <f>IF(N2103&gt;0,"xx",IF(N2103&gt;0,"xy",""))</f>
        <v/>
      </c>
      <c r="Q2108" s="317" t="str">
        <f t="shared" si="210"/>
        <v/>
      </c>
      <c r="R2108" s="317" t="str">
        <f t="shared" si="211"/>
        <v/>
      </c>
      <c r="S2108" s="317" t="str">
        <f t="shared" si="212"/>
        <v/>
      </c>
      <c r="T2108" s="317" t="str">
        <f>GLOBAL_DER_FEV_2023!S2108</f>
        <v/>
      </c>
      <c r="W2108" s="582">
        <v>0</v>
      </c>
      <c r="X2108" s="580"/>
      <c r="Y2108" s="583">
        <f>IF(GLOBAL_DER_FEV_2023!W2108=0,0,IF(GLOBAL_DER_FEV_2023!W2108&gt;0,"c","b"))</f>
        <v>0</v>
      </c>
    </row>
    <row r="2109" spans="1:25" ht="15" customHeight="1" x14ac:dyDescent="0.2">
      <c r="A2109" s="317" t="s">
        <v>18</v>
      </c>
      <c r="B2109" s="895" t="s">
        <v>18</v>
      </c>
      <c r="C2109" s="896" t="s">
        <v>184</v>
      </c>
      <c r="D2109" s="906" t="s">
        <v>55</v>
      </c>
      <c r="E2109" s="907">
        <f>GLOBAL_DER_FEV_2023!E2109</f>
        <v>0</v>
      </c>
      <c r="F2109" s="908">
        <f>GLOBAL_DER_FEV_2023!F2109</f>
        <v>0</v>
      </c>
      <c r="G2109" s="912">
        <f>GLOBAL_DER_FEV_2023!G2109</f>
        <v>178.02627704000002</v>
      </c>
      <c r="H2109" s="901">
        <f>GLOBAL_DER_FEV_2023!H2109</f>
        <v>1595.65</v>
      </c>
      <c r="I2109" s="901">
        <f>GLOBAL_DER_FEV_2023!I2109</f>
        <v>1773.6762770400001</v>
      </c>
      <c r="J2109" s="902">
        <f>GLOBAL_DER_FEV_2023!J2109</f>
        <v>2129.65</v>
      </c>
      <c r="K2109" s="903" t="s">
        <v>15</v>
      </c>
      <c r="L2109" s="1137"/>
      <c r="M2109" s="1138">
        <f t="shared" si="209"/>
        <v>0</v>
      </c>
      <c r="N2109" s="1176">
        <f t="shared" si="213"/>
        <v>0</v>
      </c>
      <c r="O2109" s="905"/>
      <c r="Q2109" s="317" t="str">
        <f t="shared" si="210"/>
        <v/>
      </c>
      <c r="R2109" s="317" t="str">
        <f t="shared" si="211"/>
        <v/>
      </c>
      <c r="S2109" s="317" t="str">
        <f t="shared" si="212"/>
        <v/>
      </c>
      <c r="T2109" s="317" t="str">
        <f>GLOBAL_DER_FEV_2023!S2109</f>
        <v/>
      </c>
      <c r="W2109" s="582">
        <v>0</v>
      </c>
      <c r="X2109" s="580"/>
      <c r="Y2109" s="583">
        <f>IF(GLOBAL_DER_FEV_2023!W2109=0,0,IF(GLOBAL_DER_FEV_2023!W2109&gt;0,"c","b"))</f>
        <v>0</v>
      </c>
    </row>
    <row r="2110" spans="1:25" ht="15" customHeight="1" x14ac:dyDescent="0.2">
      <c r="A2110" s="317" t="s">
        <v>147</v>
      </c>
      <c r="B2110" s="895" t="s">
        <v>147</v>
      </c>
      <c r="C2110" s="896"/>
      <c r="D2110" s="906" t="s">
        <v>190</v>
      </c>
      <c r="E2110" s="907">
        <f>GLOBAL_DER_FEV_2023!E2110</f>
        <v>308</v>
      </c>
      <c r="F2110" s="908">
        <f>GLOBAL_DER_FEV_2023!F2110</f>
        <v>0.132608</v>
      </c>
      <c r="G2110" s="909">
        <f>GLOBAL_DER_FEV_2023!G2110</f>
        <v>32.894740480000003</v>
      </c>
      <c r="H2110" s="901">
        <f>GLOBAL_DER_FEV_2023!H2110</f>
        <v>0</v>
      </c>
      <c r="I2110" s="901">
        <f>GLOBAL_DER_FEV_2023!I2110</f>
        <v>0</v>
      </c>
      <c r="J2110" s="902">
        <f>GLOBAL_DER_FEV_2023!J2110</f>
        <v>0</v>
      </c>
      <c r="K2110" s="903"/>
      <c r="L2110" s="1177"/>
      <c r="M2110" s="1138">
        <f t="shared" si="209"/>
        <v>0</v>
      </c>
      <c r="N2110" s="1176">
        <f t="shared" si="213"/>
        <v>0</v>
      </c>
      <c r="O2110" s="905"/>
      <c r="P2110" s="36" t="str">
        <f>IF(N2109&gt;0,"xx",IF(N2109&gt;0,"xy",""))</f>
        <v/>
      </c>
      <c r="Q2110" s="317" t="str">
        <f t="shared" si="210"/>
        <v/>
      </c>
      <c r="R2110" s="317" t="str">
        <f t="shared" si="211"/>
        <v/>
      </c>
      <c r="S2110" s="317" t="str">
        <f t="shared" si="212"/>
        <v/>
      </c>
      <c r="T2110" s="317" t="str">
        <f>GLOBAL_DER_FEV_2023!S2110</f>
        <v/>
      </c>
      <c r="W2110" s="582">
        <v>0</v>
      </c>
      <c r="X2110" s="580"/>
      <c r="Y2110" s="583">
        <f>IF(GLOBAL_DER_FEV_2023!W2110=0,0,IF(GLOBAL_DER_FEV_2023!W2110&gt;0,"c","b"))</f>
        <v>0</v>
      </c>
    </row>
    <row r="2111" spans="1:25" ht="15" customHeight="1" x14ac:dyDescent="0.2">
      <c r="A2111" s="317" t="s">
        <v>147</v>
      </c>
      <c r="B2111" s="895" t="s">
        <v>147</v>
      </c>
      <c r="C2111" s="896"/>
      <c r="D2111" s="906" t="s">
        <v>229</v>
      </c>
      <c r="E2111" s="907">
        <f>GLOBAL_DER_FEV_2023!E2111</f>
        <v>150</v>
      </c>
      <c r="F2111" s="908">
        <f>GLOBAL_DER_FEV_2023!F2111</f>
        <v>0.73198000000000008</v>
      </c>
      <c r="G2111" s="949">
        <f>GLOBAL_DER_FEV_2023!G2111</f>
        <v>119.44449640000002</v>
      </c>
      <c r="H2111" s="901">
        <f>GLOBAL_DER_FEV_2023!H2111</f>
        <v>0</v>
      </c>
      <c r="I2111" s="901">
        <f>GLOBAL_DER_FEV_2023!I2111</f>
        <v>0</v>
      </c>
      <c r="J2111" s="902">
        <f>GLOBAL_DER_FEV_2023!J2111</f>
        <v>0</v>
      </c>
      <c r="K2111" s="903"/>
      <c r="L2111" s="1177"/>
      <c r="M2111" s="1138">
        <f t="shared" si="209"/>
        <v>0</v>
      </c>
      <c r="N2111" s="1176">
        <f t="shared" si="213"/>
        <v>0</v>
      </c>
      <c r="O2111" s="905"/>
      <c r="P2111" s="36" t="str">
        <f>IF(N2109&gt;0,"xx",IF(N2109&gt;0,"xy",""))</f>
        <v/>
      </c>
      <c r="Q2111" s="317" t="str">
        <f t="shared" si="210"/>
        <v/>
      </c>
      <c r="R2111" s="317" t="str">
        <f t="shared" si="211"/>
        <v/>
      </c>
      <c r="S2111" s="317" t="str">
        <f t="shared" si="212"/>
        <v/>
      </c>
      <c r="T2111" s="317" t="str">
        <f>GLOBAL_DER_FEV_2023!S2111</f>
        <v/>
      </c>
      <c r="W2111" s="582">
        <v>0</v>
      </c>
      <c r="X2111" s="580"/>
      <c r="Y2111" s="583">
        <f>IF(GLOBAL_DER_FEV_2023!W2111=0,0,IF(GLOBAL_DER_FEV_2023!W2111&gt;0,"c","b"))</f>
        <v>0</v>
      </c>
    </row>
    <row r="2112" spans="1:25" ht="15" customHeight="1" x14ac:dyDescent="0.2">
      <c r="A2112" s="317" t="s">
        <v>147</v>
      </c>
      <c r="B2112" s="895" t="s">
        <v>147</v>
      </c>
      <c r="C2112" s="896"/>
      <c r="D2112" s="906" t="s">
        <v>233</v>
      </c>
      <c r="E2112" s="907">
        <f>GLOBAL_DER_FEV_2023!E2112</f>
        <v>0.2</v>
      </c>
      <c r="F2112" s="908">
        <f>GLOBAL_DER_FEV_2023!F2112</f>
        <v>0.20424000000000003</v>
      </c>
      <c r="G2112" s="949">
        <f>GLOBAL_DER_FEV_2023!G2112</f>
        <v>0.59107056000000013</v>
      </c>
      <c r="H2112" s="901">
        <f>GLOBAL_DER_FEV_2023!H2112</f>
        <v>0</v>
      </c>
      <c r="I2112" s="901">
        <f>GLOBAL_DER_FEV_2023!I2112</f>
        <v>0</v>
      </c>
      <c r="J2112" s="902">
        <f>GLOBAL_DER_FEV_2023!J2112</f>
        <v>0</v>
      </c>
      <c r="K2112" s="903"/>
      <c r="L2112" s="1177"/>
      <c r="M2112" s="1138">
        <f t="shared" si="209"/>
        <v>0</v>
      </c>
      <c r="N2112" s="1176">
        <f t="shared" si="213"/>
        <v>0</v>
      </c>
      <c r="O2112" s="905"/>
      <c r="P2112" s="36" t="str">
        <f>IF(N2109&gt;0,"xx",IF(N2109&gt;0,"xy",""))</f>
        <v/>
      </c>
      <c r="Q2112" s="317" t="str">
        <f t="shared" si="210"/>
        <v/>
      </c>
      <c r="R2112" s="317" t="str">
        <f t="shared" si="211"/>
        <v/>
      </c>
      <c r="S2112" s="317" t="str">
        <f t="shared" si="212"/>
        <v/>
      </c>
      <c r="T2112" s="317" t="str">
        <f>GLOBAL_DER_FEV_2023!S2112</f>
        <v/>
      </c>
      <c r="W2112" s="582">
        <v>0</v>
      </c>
      <c r="X2112" s="580"/>
      <c r="Y2112" s="583">
        <f>IF(GLOBAL_DER_FEV_2023!W2112=0,0,IF(GLOBAL_DER_FEV_2023!W2112&gt;0,"c","b"))</f>
        <v>0</v>
      </c>
    </row>
    <row r="2113" spans="1:25" ht="15" customHeight="1" x14ac:dyDescent="0.2">
      <c r="A2113" s="317" t="s">
        <v>147</v>
      </c>
      <c r="B2113" s="895" t="s">
        <v>147</v>
      </c>
      <c r="C2113" s="896"/>
      <c r="D2113" s="906" t="s">
        <v>365</v>
      </c>
      <c r="E2113" s="907">
        <f>GLOBAL_DER_FEV_2023!E2113</f>
        <v>10</v>
      </c>
      <c r="F2113" s="908">
        <f>GLOBAL_DER_FEV_2023!F2113</f>
        <v>1.0998000000000001</v>
      </c>
      <c r="G2113" s="949">
        <f>GLOBAL_DER_FEV_2023!G2113</f>
        <v>14.715324000000003</v>
      </c>
      <c r="H2113" s="901">
        <f>GLOBAL_DER_FEV_2023!H2113</f>
        <v>0</v>
      </c>
      <c r="I2113" s="901">
        <f>GLOBAL_DER_FEV_2023!I2113</f>
        <v>0</v>
      </c>
      <c r="J2113" s="902">
        <f>GLOBAL_DER_FEV_2023!J2113</f>
        <v>0</v>
      </c>
      <c r="K2113" s="903"/>
      <c r="L2113" s="1177"/>
      <c r="M2113" s="1138">
        <f t="shared" si="209"/>
        <v>0</v>
      </c>
      <c r="N2113" s="1176">
        <f t="shared" si="213"/>
        <v>0</v>
      </c>
      <c r="O2113" s="905"/>
      <c r="P2113" s="36" t="str">
        <f>IF(N2109&gt;0,"xx",IF(N2109&gt;0,"xy",""))</f>
        <v/>
      </c>
      <c r="Q2113" s="317" t="str">
        <f t="shared" si="210"/>
        <v/>
      </c>
      <c r="R2113" s="317" t="str">
        <f t="shared" si="211"/>
        <v/>
      </c>
      <c r="S2113" s="317" t="str">
        <f t="shared" si="212"/>
        <v/>
      </c>
      <c r="T2113" s="317" t="str">
        <f>GLOBAL_DER_FEV_2023!S2113</f>
        <v/>
      </c>
      <c r="W2113" s="582">
        <v>0</v>
      </c>
      <c r="X2113" s="580"/>
      <c r="Y2113" s="583">
        <f>IF(GLOBAL_DER_FEV_2023!W2113=0,0,IF(GLOBAL_DER_FEV_2023!W2113&gt;0,"c","b"))</f>
        <v>0</v>
      </c>
    </row>
    <row r="2114" spans="1:25" ht="15" customHeight="1" x14ac:dyDescent="0.2">
      <c r="A2114" s="317" t="s">
        <v>147</v>
      </c>
      <c r="B2114" s="895" t="s">
        <v>147</v>
      </c>
      <c r="C2114" s="896"/>
      <c r="D2114" s="906" t="s">
        <v>366</v>
      </c>
      <c r="E2114" s="907">
        <f>GLOBAL_DER_FEV_2023!E2114</f>
        <v>353</v>
      </c>
      <c r="F2114" s="908">
        <f>GLOBAL_DER_FEV_2023!F2114</f>
        <v>3.6659999999999998E-2</v>
      </c>
      <c r="G2114" s="909">
        <f>GLOBAL_DER_FEV_2023!G2114</f>
        <v>10.380645600000001</v>
      </c>
      <c r="H2114" s="901">
        <f>GLOBAL_DER_FEV_2023!H2114</f>
        <v>0</v>
      </c>
      <c r="I2114" s="901">
        <f>GLOBAL_DER_FEV_2023!I2114</f>
        <v>0</v>
      </c>
      <c r="J2114" s="902">
        <f>GLOBAL_DER_FEV_2023!J2114</f>
        <v>0</v>
      </c>
      <c r="K2114" s="903"/>
      <c r="L2114" s="1177"/>
      <c r="M2114" s="1138">
        <f t="shared" si="209"/>
        <v>0</v>
      </c>
      <c r="N2114" s="1176">
        <f t="shared" si="213"/>
        <v>0</v>
      </c>
      <c r="O2114" s="905"/>
      <c r="P2114" s="36" t="str">
        <f>IF(N2109&gt;0,"xx",IF(N2109&gt;0,"xy",""))</f>
        <v/>
      </c>
      <c r="Q2114" s="317" t="str">
        <f t="shared" si="210"/>
        <v/>
      </c>
      <c r="R2114" s="317" t="str">
        <f t="shared" si="211"/>
        <v/>
      </c>
      <c r="S2114" s="317" t="str">
        <f t="shared" si="212"/>
        <v/>
      </c>
      <c r="T2114" s="317" t="str">
        <f>GLOBAL_DER_FEV_2023!S2114</f>
        <v/>
      </c>
      <c r="W2114" s="582">
        <v>0</v>
      </c>
      <c r="X2114" s="580"/>
      <c r="Y2114" s="583">
        <f>IF(GLOBAL_DER_FEV_2023!W2114=0,0,IF(GLOBAL_DER_FEV_2023!W2114&gt;0,"c","b"))</f>
        <v>0</v>
      </c>
    </row>
    <row r="2115" spans="1:25" ht="15" customHeight="1" x14ac:dyDescent="0.2">
      <c r="A2115" s="317" t="s">
        <v>19</v>
      </c>
      <c r="B2115" s="895" t="s">
        <v>19</v>
      </c>
      <c r="C2115" s="896" t="s">
        <v>184</v>
      </c>
      <c r="D2115" s="906" t="s">
        <v>56</v>
      </c>
      <c r="E2115" s="907">
        <f>GLOBAL_DER_FEV_2023!E2115</f>
        <v>0</v>
      </c>
      <c r="F2115" s="908">
        <f>GLOBAL_DER_FEV_2023!F2115</f>
        <v>0</v>
      </c>
      <c r="G2115" s="912">
        <f>GLOBAL_DER_FEV_2023!G2115</f>
        <v>223.06579010900001</v>
      </c>
      <c r="H2115" s="901">
        <f>GLOBAL_DER_FEV_2023!H2115</f>
        <v>1851.05</v>
      </c>
      <c r="I2115" s="901">
        <f>GLOBAL_DER_FEV_2023!I2115</f>
        <v>2074.115790109</v>
      </c>
      <c r="J2115" s="902">
        <f>GLOBAL_DER_FEV_2023!J2115</f>
        <v>2490.39</v>
      </c>
      <c r="K2115" s="903" t="s">
        <v>15</v>
      </c>
      <c r="L2115" s="1137"/>
      <c r="M2115" s="1138">
        <f t="shared" si="209"/>
        <v>0</v>
      </c>
      <c r="N2115" s="1176">
        <f t="shared" si="213"/>
        <v>0</v>
      </c>
      <c r="O2115" s="905"/>
      <c r="Q2115" s="317" t="str">
        <f t="shared" si="210"/>
        <v/>
      </c>
      <c r="R2115" s="317" t="str">
        <f t="shared" si="211"/>
        <v/>
      </c>
      <c r="S2115" s="317" t="str">
        <f t="shared" si="212"/>
        <v/>
      </c>
      <c r="T2115" s="317" t="str">
        <f>GLOBAL_DER_FEV_2023!S2115</f>
        <v/>
      </c>
      <c r="W2115" s="582">
        <v>0</v>
      </c>
      <c r="X2115" s="580"/>
      <c r="Y2115" s="583">
        <f>IF(GLOBAL_DER_FEV_2023!W2115=0,0,IF(GLOBAL_DER_FEV_2023!W2115&gt;0,"c","b"))</f>
        <v>0</v>
      </c>
    </row>
    <row r="2116" spans="1:25" ht="15" customHeight="1" x14ac:dyDescent="0.2">
      <c r="A2116" s="317" t="s">
        <v>147</v>
      </c>
      <c r="B2116" s="895" t="s">
        <v>147</v>
      </c>
      <c r="C2116" s="896"/>
      <c r="D2116" s="906" t="s">
        <v>190</v>
      </c>
      <c r="E2116" s="907">
        <f>GLOBAL_DER_FEV_2023!E2116</f>
        <v>308</v>
      </c>
      <c r="F2116" s="908">
        <f>GLOBAL_DER_FEV_2023!F2116</f>
        <v>0.1610819</v>
      </c>
      <c r="G2116" s="909">
        <f>GLOBAL_DER_FEV_2023!G2116</f>
        <v>39.957976113999997</v>
      </c>
      <c r="H2116" s="901">
        <f>GLOBAL_DER_FEV_2023!H2116</f>
        <v>0</v>
      </c>
      <c r="I2116" s="901">
        <f>GLOBAL_DER_FEV_2023!I2116</f>
        <v>0</v>
      </c>
      <c r="J2116" s="902">
        <f>GLOBAL_DER_FEV_2023!J2116</f>
        <v>0</v>
      </c>
      <c r="K2116" s="903"/>
      <c r="L2116" s="1177"/>
      <c r="M2116" s="1138">
        <f t="shared" si="209"/>
        <v>0</v>
      </c>
      <c r="N2116" s="1176">
        <f t="shared" si="213"/>
        <v>0</v>
      </c>
      <c r="O2116" s="905"/>
      <c r="P2116" s="36" t="str">
        <f>IF(N2115&gt;0,"xx",IF(N2115&gt;0,"xy",""))</f>
        <v/>
      </c>
      <c r="Q2116" s="317" t="str">
        <f t="shared" si="210"/>
        <v/>
      </c>
      <c r="R2116" s="317" t="str">
        <f t="shared" si="211"/>
        <v/>
      </c>
      <c r="S2116" s="317" t="str">
        <f t="shared" si="212"/>
        <v/>
      </c>
      <c r="T2116" s="317" t="str">
        <f>GLOBAL_DER_FEV_2023!S2116</f>
        <v/>
      </c>
      <c r="W2116" s="582">
        <v>0</v>
      </c>
      <c r="X2116" s="580"/>
      <c r="Y2116" s="583">
        <f>IF(GLOBAL_DER_FEV_2023!W2116=0,0,IF(GLOBAL_DER_FEV_2023!W2116&gt;0,"c","b"))</f>
        <v>0</v>
      </c>
    </row>
    <row r="2117" spans="1:25" ht="15" customHeight="1" x14ac:dyDescent="0.2">
      <c r="A2117" s="317" t="s">
        <v>147</v>
      </c>
      <c r="B2117" s="895" t="s">
        <v>147</v>
      </c>
      <c r="C2117" s="896"/>
      <c r="D2117" s="906" t="s">
        <v>229</v>
      </c>
      <c r="E2117" s="907">
        <f>GLOBAL_DER_FEV_2023!E2117</f>
        <v>150</v>
      </c>
      <c r="F2117" s="908">
        <f>GLOBAL_DER_FEV_2023!F2117</f>
        <v>0.91383625000000013</v>
      </c>
      <c r="G2117" s="949">
        <f>GLOBAL_DER_FEV_2023!G2117</f>
        <v>149.11979927500002</v>
      </c>
      <c r="H2117" s="901">
        <f>GLOBAL_DER_FEV_2023!H2117</f>
        <v>0</v>
      </c>
      <c r="I2117" s="901">
        <f>GLOBAL_DER_FEV_2023!I2117</f>
        <v>0</v>
      </c>
      <c r="J2117" s="902">
        <f>GLOBAL_DER_FEV_2023!J2117</f>
        <v>0</v>
      </c>
      <c r="K2117" s="903"/>
      <c r="L2117" s="1177"/>
      <c r="M2117" s="1138">
        <f t="shared" si="209"/>
        <v>0</v>
      </c>
      <c r="N2117" s="1176">
        <f t="shared" si="213"/>
        <v>0</v>
      </c>
      <c r="O2117" s="905"/>
      <c r="P2117" s="36" t="str">
        <f>IF(N2115&gt;0,"xx",IF(N2115&gt;0,"xy",""))</f>
        <v/>
      </c>
      <c r="Q2117" s="317" t="str">
        <f t="shared" si="210"/>
        <v/>
      </c>
      <c r="R2117" s="317" t="str">
        <f t="shared" si="211"/>
        <v/>
      </c>
      <c r="S2117" s="317" t="str">
        <f t="shared" si="212"/>
        <v/>
      </c>
      <c r="T2117" s="317" t="str">
        <f>GLOBAL_DER_FEV_2023!S2117</f>
        <v/>
      </c>
      <c r="W2117" s="582">
        <v>0</v>
      </c>
      <c r="X2117" s="580"/>
      <c r="Y2117" s="583">
        <f>IF(GLOBAL_DER_FEV_2023!W2117=0,0,IF(GLOBAL_DER_FEV_2023!W2117&gt;0,"c","b"))</f>
        <v>0</v>
      </c>
    </row>
    <row r="2118" spans="1:25" ht="15" customHeight="1" x14ac:dyDescent="0.2">
      <c r="A2118" s="317" t="s">
        <v>147</v>
      </c>
      <c r="B2118" s="895" t="s">
        <v>147</v>
      </c>
      <c r="C2118" s="896"/>
      <c r="D2118" s="906" t="s">
        <v>233</v>
      </c>
      <c r="E2118" s="907">
        <f>GLOBAL_DER_FEV_2023!E2118</f>
        <v>0.2</v>
      </c>
      <c r="F2118" s="908">
        <f>GLOBAL_DER_FEV_2023!F2118</f>
        <v>0.20424000000000003</v>
      </c>
      <c r="G2118" s="949">
        <f>GLOBAL_DER_FEV_2023!G2118</f>
        <v>0.59107056000000013</v>
      </c>
      <c r="H2118" s="901">
        <f>GLOBAL_DER_FEV_2023!H2118</f>
        <v>0</v>
      </c>
      <c r="I2118" s="901">
        <f>GLOBAL_DER_FEV_2023!I2118</f>
        <v>0</v>
      </c>
      <c r="J2118" s="902">
        <f>GLOBAL_DER_FEV_2023!J2118</f>
        <v>0</v>
      </c>
      <c r="K2118" s="903"/>
      <c r="L2118" s="1177"/>
      <c r="M2118" s="1138">
        <f t="shared" ref="M2118:M2181" si="214">IF(L2118=0,0,ROUND(J2118,2))</f>
        <v>0</v>
      </c>
      <c r="N2118" s="1176">
        <f t="shared" si="213"/>
        <v>0</v>
      </c>
      <c r="O2118" s="905"/>
      <c r="P2118" s="36" t="str">
        <f>IF(N2115&gt;0,"xx",IF(N2115&gt;0,"xy",""))</f>
        <v/>
      </c>
      <c r="Q2118" s="317" t="str">
        <f t="shared" si="210"/>
        <v/>
      </c>
      <c r="R2118" s="317" t="str">
        <f t="shared" si="211"/>
        <v/>
      </c>
      <c r="S2118" s="317" t="str">
        <f t="shared" si="212"/>
        <v/>
      </c>
      <c r="T2118" s="317" t="str">
        <f>GLOBAL_DER_FEV_2023!S2118</f>
        <v/>
      </c>
      <c r="W2118" s="582">
        <v>0</v>
      </c>
      <c r="X2118" s="580"/>
      <c r="Y2118" s="583">
        <f>IF(GLOBAL_DER_FEV_2023!W2118=0,0,IF(GLOBAL_DER_FEV_2023!W2118&gt;0,"c","b"))</f>
        <v>0</v>
      </c>
    </row>
    <row r="2119" spans="1:25" ht="15" customHeight="1" x14ac:dyDescent="0.2">
      <c r="A2119" s="317" t="s">
        <v>147</v>
      </c>
      <c r="B2119" s="895" t="s">
        <v>147</v>
      </c>
      <c r="C2119" s="896"/>
      <c r="D2119" s="906" t="s">
        <v>365</v>
      </c>
      <c r="E2119" s="907">
        <f>GLOBAL_DER_FEV_2023!E2119</f>
        <v>10</v>
      </c>
      <c r="F2119" s="908">
        <f>GLOBAL_DER_FEV_2023!F2119</f>
        <v>1.4635799999999999</v>
      </c>
      <c r="G2119" s="949">
        <f>GLOBAL_DER_FEV_2023!G2119</f>
        <v>19.5827004</v>
      </c>
      <c r="H2119" s="901">
        <f>GLOBAL_DER_FEV_2023!H2119</f>
        <v>0</v>
      </c>
      <c r="I2119" s="901">
        <f>GLOBAL_DER_FEV_2023!I2119</f>
        <v>0</v>
      </c>
      <c r="J2119" s="902">
        <f>GLOBAL_DER_FEV_2023!J2119</f>
        <v>0</v>
      </c>
      <c r="K2119" s="903"/>
      <c r="L2119" s="1177"/>
      <c r="M2119" s="1138">
        <f t="shared" si="214"/>
        <v>0</v>
      </c>
      <c r="N2119" s="1176">
        <f t="shared" si="213"/>
        <v>0</v>
      </c>
      <c r="O2119" s="905"/>
      <c r="P2119" s="36" t="str">
        <f>IF(N2115&gt;0,"xx",IF(N2115&gt;0,"xy",""))</f>
        <v/>
      </c>
      <c r="Q2119" s="317" t="str">
        <f t="shared" si="210"/>
        <v/>
      </c>
      <c r="R2119" s="317" t="str">
        <f t="shared" si="211"/>
        <v/>
      </c>
      <c r="S2119" s="317" t="str">
        <f t="shared" si="212"/>
        <v/>
      </c>
      <c r="T2119" s="317" t="str">
        <f>GLOBAL_DER_FEV_2023!S2119</f>
        <v/>
      </c>
      <c r="W2119" s="582">
        <v>0</v>
      </c>
      <c r="X2119" s="580"/>
      <c r="Y2119" s="583">
        <f>IF(GLOBAL_DER_FEV_2023!W2119=0,0,IF(GLOBAL_DER_FEV_2023!W2119&gt;0,"c","b"))</f>
        <v>0</v>
      </c>
    </row>
    <row r="2120" spans="1:25" ht="15" customHeight="1" x14ac:dyDescent="0.2">
      <c r="A2120" s="317" t="s">
        <v>147</v>
      </c>
      <c r="B2120" s="895" t="s">
        <v>147</v>
      </c>
      <c r="C2120" s="896"/>
      <c r="D2120" s="906" t="s">
        <v>366</v>
      </c>
      <c r="E2120" s="907">
        <f>GLOBAL_DER_FEV_2023!E2120</f>
        <v>353</v>
      </c>
      <c r="F2120" s="908">
        <f>GLOBAL_DER_FEV_2023!F2120</f>
        <v>4.8785999999999996E-2</v>
      </c>
      <c r="G2120" s="909">
        <f>GLOBAL_DER_FEV_2023!G2120</f>
        <v>13.81424376</v>
      </c>
      <c r="H2120" s="901">
        <f>GLOBAL_DER_FEV_2023!H2120</f>
        <v>0</v>
      </c>
      <c r="I2120" s="901">
        <f>GLOBAL_DER_FEV_2023!I2120</f>
        <v>0</v>
      </c>
      <c r="J2120" s="902">
        <f>GLOBAL_DER_FEV_2023!J2120</f>
        <v>0</v>
      </c>
      <c r="K2120" s="903"/>
      <c r="L2120" s="1177"/>
      <c r="M2120" s="1138">
        <f t="shared" si="214"/>
        <v>0</v>
      </c>
      <c r="N2120" s="1176">
        <f t="shared" si="213"/>
        <v>0</v>
      </c>
      <c r="O2120" s="905"/>
      <c r="P2120" s="36" t="str">
        <f>IF(N2115&gt;0,"xx",IF(N2115&gt;0,"xy",""))</f>
        <v/>
      </c>
      <c r="Q2120" s="317" t="str">
        <f t="shared" si="210"/>
        <v/>
      </c>
      <c r="R2120" s="317" t="str">
        <f t="shared" si="211"/>
        <v/>
      </c>
      <c r="S2120" s="317" t="str">
        <f t="shared" si="212"/>
        <v/>
      </c>
      <c r="T2120" s="317" t="str">
        <f>GLOBAL_DER_FEV_2023!S2120</f>
        <v/>
      </c>
      <c r="W2120" s="582">
        <v>0</v>
      </c>
      <c r="X2120" s="580"/>
      <c r="Y2120" s="583">
        <f>IF(GLOBAL_DER_FEV_2023!W2120=0,0,IF(GLOBAL_DER_FEV_2023!W2120&gt;0,"c","b"))</f>
        <v>0</v>
      </c>
    </row>
    <row r="2121" spans="1:25" ht="15" customHeight="1" x14ac:dyDescent="0.2">
      <c r="A2121" s="317" t="s">
        <v>20</v>
      </c>
      <c r="B2121" s="895" t="s">
        <v>20</v>
      </c>
      <c r="C2121" s="896" t="s">
        <v>184</v>
      </c>
      <c r="D2121" s="906" t="s">
        <v>57</v>
      </c>
      <c r="E2121" s="907">
        <f>GLOBAL_DER_FEV_2023!E2121</f>
        <v>0</v>
      </c>
      <c r="F2121" s="908">
        <f>GLOBAL_DER_FEV_2023!F2121</f>
        <v>0</v>
      </c>
      <c r="G2121" s="912">
        <f>GLOBAL_DER_FEV_2023!G2121</f>
        <v>269.07216785100002</v>
      </c>
      <c r="H2121" s="901">
        <f>GLOBAL_DER_FEV_2023!H2121</f>
        <v>2112.3000000000002</v>
      </c>
      <c r="I2121" s="901">
        <f>GLOBAL_DER_FEV_2023!I2121</f>
        <v>2381.3721678510001</v>
      </c>
      <c r="J2121" s="902">
        <f>GLOBAL_DER_FEV_2023!J2121</f>
        <v>2859.31</v>
      </c>
      <c r="K2121" s="903" t="s">
        <v>15</v>
      </c>
      <c r="L2121" s="1137"/>
      <c r="M2121" s="1138">
        <f t="shared" si="214"/>
        <v>0</v>
      </c>
      <c r="N2121" s="1176">
        <f t="shared" si="213"/>
        <v>0</v>
      </c>
      <c r="O2121" s="905"/>
      <c r="Q2121" s="317" t="str">
        <f t="shared" si="210"/>
        <v/>
      </c>
      <c r="R2121" s="317" t="str">
        <f t="shared" si="211"/>
        <v/>
      </c>
      <c r="S2121" s="317" t="str">
        <f t="shared" si="212"/>
        <v/>
      </c>
      <c r="T2121" s="317" t="str">
        <f>GLOBAL_DER_FEV_2023!S2121</f>
        <v/>
      </c>
      <c r="W2121" s="582">
        <v>0</v>
      </c>
      <c r="X2121" s="580"/>
      <c r="Y2121" s="583">
        <f>IF(GLOBAL_DER_FEV_2023!W2121=0,0,IF(GLOBAL_DER_FEV_2023!W2121&gt;0,"c","b"))</f>
        <v>0</v>
      </c>
    </row>
    <row r="2122" spans="1:25" ht="15" customHeight="1" x14ac:dyDescent="0.2">
      <c r="A2122" s="317" t="s">
        <v>147</v>
      </c>
      <c r="B2122" s="895" t="s">
        <v>147</v>
      </c>
      <c r="C2122" s="896"/>
      <c r="D2122" s="906" t="s">
        <v>190</v>
      </c>
      <c r="E2122" s="907">
        <f>GLOBAL_DER_FEV_2023!E2122</f>
        <v>308</v>
      </c>
      <c r="F2122" s="908">
        <f>GLOBAL_DER_FEV_2023!F2122</f>
        <v>0.19012209999999999</v>
      </c>
      <c r="G2122" s="909">
        <f>GLOBAL_DER_FEV_2023!G2122</f>
        <v>47.161688125999994</v>
      </c>
      <c r="H2122" s="901">
        <f>GLOBAL_DER_FEV_2023!H2122</f>
        <v>0</v>
      </c>
      <c r="I2122" s="901">
        <f>GLOBAL_DER_FEV_2023!I2122</f>
        <v>0</v>
      </c>
      <c r="J2122" s="902">
        <f>GLOBAL_DER_FEV_2023!J2122</f>
        <v>0</v>
      </c>
      <c r="K2122" s="903"/>
      <c r="L2122" s="1177"/>
      <c r="M2122" s="1138">
        <f t="shared" si="214"/>
        <v>0</v>
      </c>
      <c r="N2122" s="1176">
        <f t="shared" si="213"/>
        <v>0</v>
      </c>
      <c r="O2122" s="905"/>
      <c r="P2122" s="36" t="str">
        <f>IF(N2121&gt;0,"xx",IF(N2121&gt;0,"xy",""))</f>
        <v/>
      </c>
      <c r="Q2122" s="317" t="str">
        <f t="shared" si="210"/>
        <v/>
      </c>
      <c r="R2122" s="317" t="str">
        <f t="shared" si="211"/>
        <v/>
      </c>
      <c r="S2122" s="317" t="str">
        <f t="shared" si="212"/>
        <v/>
      </c>
      <c r="T2122" s="317" t="str">
        <f>GLOBAL_DER_FEV_2023!S2122</f>
        <v/>
      </c>
      <c r="W2122" s="582">
        <v>0</v>
      </c>
      <c r="X2122" s="580"/>
      <c r="Y2122" s="583">
        <f>IF(GLOBAL_DER_FEV_2023!W2122=0,0,IF(GLOBAL_DER_FEV_2023!W2122&gt;0,"c","b"))</f>
        <v>0</v>
      </c>
    </row>
    <row r="2123" spans="1:25" ht="15" customHeight="1" x14ac:dyDescent="0.2">
      <c r="A2123" s="317" t="s">
        <v>147</v>
      </c>
      <c r="B2123" s="895" t="s">
        <v>147</v>
      </c>
      <c r="C2123" s="896"/>
      <c r="D2123" s="906" t="s">
        <v>229</v>
      </c>
      <c r="E2123" s="907">
        <f>GLOBAL_DER_FEV_2023!E2123</f>
        <v>150</v>
      </c>
      <c r="F2123" s="908">
        <f>GLOBAL_DER_FEV_2023!F2123</f>
        <v>1.09957375</v>
      </c>
      <c r="G2123" s="949">
        <f>GLOBAL_DER_FEV_2023!G2123</f>
        <v>179.428444525</v>
      </c>
      <c r="H2123" s="901">
        <f>GLOBAL_DER_FEV_2023!H2123</f>
        <v>0</v>
      </c>
      <c r="I2123" s="901">
        <f>GLOBAL_DER_FEV_2023!I2123</f>
        <v>0</v>
      </c>
      <c r="J2123" s="902">
        <f>GLOBAL_DER_FEV_2023!J2123</f>
        <v>0</v>
      </c>
      <c r="K2123" s="903"/>
      <c r="L2123" s="1177"/>
      <c r="M2123" s="1138">
        <f t="shared" si="214"/>
        <v>0</v>
      </c>
      <c r="N2123" s="1176">
        <f t="shared" si="213"/>
        <v>0</v>
      </c>
      <c r="O2123" s="905"/>
      <c r="P2123" s="36" t="str">
        <f>IF(N2121&gt;0,"xx",IF(N2121&gt;0,"xy",""))</f>
        <v/>
      </c>
      <c r="Q2123" s="317" t="str">
        <f t="shared" si="210"/>
        <v/>
      </c>
      <c r="R2123" s="317" t="str">
        <f t="shared" si="211"/>
        <v/>
      </c>
      <c r="S2123" s="317" t="str">
        <f t="shared" si="212"/>
        <v/>
      </c>
      <c r="T2123" s="317" t="str">
        <f>GLOBAL_DER_FEV_2023!S2123</f>
        <v/>
      </c>
      <c r="W2123" s="582">
        <v>0</v>
      </c>
      <c r="X2123" s="580"/>
      <c r="Y2123" s="583">
        <f>IF(GLOBAL_DER_FEV_2023!W2123=0,0,IF(GLOBAL_DER_FEV_2023!W2123&gt;0,"c","b"))</f>
        <v>0</v>
      </c>
    </row>
    <row r="2124" spans="1:25" ht="15" customHeight="1" x14ac:dyDescent="0.2">
      <c r="A2124" s="317" t="s">
        <v>147</v>
      </c>
      <c r="B2124" s="895" t="s">
        <v>147</v>
      </c>
      <c r="C2124" s="896"/>
      <c r="D2124" s="906" t="s">
        <v>233</v>
      </c>
      <c r="E2124" s="907">
        <f>GLOBAL_DER_FEV_2023!E2124</f>
        <v>0.2</v>
      </c>
      <c r="F2124" s="908">
        <f>GLOBAL_DER_FEV_2023!F2124</f>
        <v>0.20424000000000003</v>
      </c>
      <c r="G2124" s="949">
        <f>GLOBAL_DER_FEV_2023!G2124</f>
        <v>0.59107056000000013</v>
      </c>
      <c r="H2124" s="901">
        <f>GLOBAL_DER_FEV_2023!H2124</f>
        <v>0</v>
      </c>
      <c r="I2124" s="901">
        <f>GLOBAL_DER_FEV_2023!I2124</f>
        <v>0</v>
      </c>
      <c r="J2124" s="902">
        <f>GLOBAL_DER_FEV_2023!J2124</f>
        <v>0</v>
      </c>
      <c r="K2124" s="903"/>
      <c r="L2124" s="1177"/>
      <c r="M2124" s="1138">
        <f t="shared" si="214"/>
        <v>0</v>
      </c>
      <c r="N2124" s="1176">
        <f t="shared" si="213"/>
        <v>0</v>
      </c>
      <c r="O2124" s="905"/>
      <c r="P2124" s="36" t="str">
        <f>IF(N2121&gt;0,"xx",IF(N2121&gt;0,"xy",""))</f>
        <v/>
      </c>
      <c r="Q2124" s="317" t="str">
        <f t="shared" si="210"/>
        <v/>
      </c>
      <c r="R2124" s="317" t="str">
        <f t="shared" si="211"/>
        <v/>
      </c>
      <c r="S2124" s="317" t="str">
        <f t="shared" si="212"/>
        <v/>
      </c>
      <c r="T2124" s="317" t="str">
        <f>GLOBAL_DER_FEV_2023!S2124</f>
        <v/>
      </c>
      <c r="W2124" s="582">
        <v>0</v>
      </c>
      <c r="X2124" s="580"/>
      <c r="Y2124" s="583">
        <f>IF(GLOBAL_DER_FEV_2023!W2124=0,0,IF(GLOBAL_DER_FEV_2023!W2124&gt;0,"c","b"))</f>
        <v>0</v>
      </c>
    </row>
    <row r="2125" spans="1:25" ht="15" customHeight="1" x14ac:dyDescent="0.2">
      <c r="A2125" s="317" t="s">
        <v>147</v>
      </c>
      <c r="B2125" s="895" t="s">
        <v>147</v>
      </c>
      <c r="C2125" s="896"/>
      <c r="D2125" s="906" t="s">
        <v>365</v>
      </c>
      <c r="E2125" s="907">
        <f>GLOBAL_DER_FEV_2023!E2125</f>
        <v>10</v>
      </c>
      <c r="F2125" s="908">
        <f>GLOBAL_DER_FEV_2023!F2125</f>
        <v>1.8358199999999998</v>
      </c>
      <c r="G2125" s="949">
        <f>GLOBAL_DER_FEV_2023!G2125</f>
        <v>24.5632716</v>
      </c>
      <c r="H2125" s="901">
        <f>GLOBAL_DER_FEV_2023!H2125</f>
        <v>0</v>
      </c>
      <c r="I2125" s="901">
        <f>GLOBAL_DER_FEV_2023!I2125</f>
        <v>0</v>
      </c>
      <c r="J2125" s="902">
        <f>GLOBAL_DER_FEV_2023!J2125</f>
        <v>0</v>
      </c>
      <c r="K2125" s="903"/>
      <c r="L2125" s="1177"/>
      <c r="M2125" s="1138">
        <f t="shared" si="214"/>
        <v>0</v>
      </c>
      <c r="N2125" s="1176">
        <f t="shared" si="213"/>
        <v>0</v>
      </c>
      <c r="O2125" s="905"/>
      <c r="P2125" s="36" t="str">
        <f>IF(N2121&gt;0,"xx",IF(N2121&gt;0,"xy",""))</f>
        <v/>
      </c>
      <c r="Q2125" s="317" t="str">
        <f t="shared" si="210"/>
        <v/>
      </c>
      <c r="R2125" s="317" t="str">
        <f t="shared" si="211"/>
        <v/>
      </c>
      <c r="S2125" s="317" t="str">
        <f t="shared" si="212"/>
        <v/>
      </c>
      <c r="T2125" s="317" t="str">
        <f>GLOBAL_DER_FEV_2023!S2125</f>
        <v/>
      </c>
      <c r="W2125" s="582">
        <v>0</v>
      </c>
      <c r="X2125" s="580"/>
      <c r="Y2125" s="583">
        <f>IF(GLOBAL_DER_FEV_2023!W2125=0,0,IF(GLOBAL_DER_FEV_2023!W2125&gt;0,"c","b"))</f>
        <v>0</v>
      </c>
    </row>
    <row r="2126" spans="1:25" ht="15" customHeight="1" x14ac:dyDescent="0.2">
      <c r="A2126" s="317" t="s">
        <v>147</v>
      </c>
      <c r="B2126" s="895" t="s">
        <v>147</v>
      </c>
      <c r="C2126" s="896"/>
      <c r="D2126" s="906" t="s">
        <v>366</v>
      </c>
      <c r="E2126" s="907">
        <f>GLOBAL_DER_FEV_2023!E2126</f>
        <v>353</v>
      </c>
      <c r="F2126" s="908">
        <f>GLOBAL_DER_FEV_2023!F2126</f>
        <v>6.1193999999999998E-2</v>
      </c>
      <c r="G2126" s="909">
        <f>GLOBAL_DER_FEV_2023!G2126</f>
        <v>17.32769304</v>
      </c>
      <c r="H2126" s="901">
        <f>GLOBAL_DER_FEV_2023!H2126</f>
        <v>0</v>
      </c>
      <c r="I2126" s="901">
        <f>GLOBAL_DER_FEV_2023!I2126</f>
        <v>0</v>
      </c>
      <c r="J2126" s="902">
        <f>GLOBAL_DER_FEV_2023!J2126</f>
        <v>0</v>
      </c>
      <c r="K2126" s="903"/>
      <c r="L2126" s="1177"/>
      <c r="M2126" s="1138">
        <f t="shared" si="214"/>
        <v>0</v>
      </c>
      <c r="N2126" s="1176">
        <f t="shared" si="213"/>
        <v>0</v>
      </c>
      <c r="O2126" s="905"/>
      <c r="P2126" s="36" t="str">
        <f>IF(N2121&gt;0,"xx",IF(N2121&gt;0,"xy",""))</f>
        <v/>
      </c>
      <c r="Q2126" s="317" t="str">
        <f t="shared" si="210"/>
        <v/>
      </c>
      <c r="R2126" s="317" t="str">
        <f t="shared" si="211"/>
        <v/>
      </c>
      <c r="S2126" s="317" t="str">
        <f t="shared" si="212"/>
        <v/>
      </c>
      <c r="T2126" s="317" t="str">
        <f>GLOBAL_DER_FEV_2023!S2126</f>
        <v/>
      </c>
      <c r="W2126" s="582">
        <v>0</v>
      </c>
      <c r="X2126" s="580"/>
      <c r="Y2126" s="583">
        <f>IF(GLOBAL_DER_FEV_2023!W2126=0,0,IF(GLOBAL_DER_FEV_2023!W2126&gt;0,"c","b"))</f>
        <v>0</v>
      </c>
    </row>
    <row r="2127" spans="1:25" ht="15" customHeight="1" x14ac:dyDescent="0.2">
      <c r="A2127" s="317" t="s">
        <v>95</v>
      </c>
      <c r="B2127" s="895" t="s">
        <v>95</v>
      </c>
      <c r="C2127" s="896" t="s">
        <v>184</v>
      </c>
      <c r="D2127" s="906" t="s">
        <v>367</v>
      </c>
      <c r="E2127" s="907">
        <f>GLOBAL_DER_FEV_2023!E2127</f>
        <v>0</v>
      </c>
      <c r="F2127" s="908">
        <f>GLOBAL_DER_FEV_2023!F2127</f>
        <v>0</v>
      </c>
      <c r="G2127" s="912">
        <f>GLOBAL_DER_FEV_2023!G2127</f>
        <v>318.93455128000005</v>
      </c>
      <c r="H2127" s="901">
        <f>GLOBAL_DER_FEV_2023!H2127</f>
        <v>1144.18</v>
      </c>
      <c r="I2127" s="901">
        <f>GLOBAL_DER_FEV_2023!I2127</f>
        <v>1463.1145512800001</v>
      </c>
      <c r="J2127" s="902">
        <f>GLOBAL_DER_FEV_2023!J2127</f>
        <v>1756.76</v>
      </c>
      <c r="K2127" s="903" t="s">
        <v>15</v>
      </c>
      <c r="L2127" s="1137"/>
      <c r="M2127" s="1138">
        <f t="shared" si="214"/>
        <v>0</v>
      </c>
      <c r="N2127" s="1176">
        <f t="shared" si="213"/>
        <v>0</v>
      </c>
      <c r="O2127" s="905"/>
      <c r="Q2127" s="317" t="str">
        <f t="shared" si="210"/>
        <v/>
      </c>
      <c r="R2127" s="317" t="str">
        <f t="shared" si="211"/>
        <v/>
      </c>
      <c r="S2127" s="317" t="str">
        <f t="shared" si="212"/>
        <v/>
      </c>
      <c r="T2127" s="317" t="str">
        <f>GLOBAL_DER_FEV_2023!S2127</f>
        <v/>
      </c>
      <c r="W2127" s="582">
        <v>0</v>
      </c>
      <c r="X2127" s="580"/>
      <c r="Y2127" s="583">
        <f>IF(GLOBAL_DER_FEV_2023!W2127=0,0,IF(GLOBAL_DER_FEV_2023!W2127&gt;0,"c","b"))</f>
        <v>0</v>
      </c>
    </row>
    <row r="2128" spans="1:25" ht="15" customHeight="1" x14ac:dyDescent="0.2">
      <c r="A2128" s="317" t="s">
        <v>147</v>
      </c>
      <c r="B2128" s="895" t="s">
        <v>147</v>
      </c>
      <c r="C2128" s="896"/>
      <c r="D2128" s="906" t="s">
        <v>190</v>
      </c>
      <c r="E2128" s="907">
        <f>GLOBAL_DER_FEV_2023!E2128</f>
        <v>308</v>
      </c>
      <c r="F2128" s="908">
        <f>GLOBAL_DER_FEV_2023!F2128</f>
        <v>0.43266000000000004</v>
      </c>
      <c r="G2128" s="909">
        <f>GLOBAL_DER_FEV_2023!G2128</f>
        <v>107.32563960000002</v>
      </c>
      <c r="H2128" s="901">
        <f>GLOBAL_DER_FEV_2023!H2128</f>
        <v>0</v>
      </c>
      <c r="I2128" s="901">
        <f>GLOBAL_DER_FEV_2023!I2128</f>
        <v>0</v>
      </c>
      <c r="J2128" s="902">
        <f>GLOBAL_DER_FEV_2023!J2128</f>
        <v>0</v>
      </c>
      <c r="K2128" s="903"/>
      <c r="L2128" s="1177"/>
      <c r="M2128" s="1138">
        <f t="shared" si="214"/>
        <v>0</v>
      </c>
      <c r="N2128" s="1176">
        <f t="shared" si="213"/>
        <v>0</v>
      </c>
      <c r="O2128" s="905"/>
      <c r="P2128" s="36" t="str">
        <f>IF(N2127&gt;0,"xx",IF(N2127&gt;0,"xy",""))</f>
        <v/>
      </c>
      <c r="Q2128" s="317" t="str">
        <f t="shared" si="210"/>
        <v/>
      </c>
      <c r="R2128" s="317" t="str">
        <f t="shared" si="211"/>
        <v/>
      </c>
      <c r="S2128" s="317" t="str">
        <f t="shared" si="212"/>
        <v/>
      </c>
      <c r="T2128" s="317" t="str">
        <f>GLOBAL_DER_FEV_2023!S2128</f>
        <v/>
      </c>
      <c r="W2128" s="582">
        <v>0</v>
      </c>
      <c r="X2128" s="580"/>
      <c r="Y2128" s="583">
        <f>IF(GLOBAL_DER_FEV_2023!W2128=0,0,IF(GLOBAL_DER_FEV_2023!W2128&gt;0,"c","b"))</f>
        <v>0</v>
      </c>
    </row>
    <row r="2129" spans="1:25" ht="15" customHeight="1" x14ac:dyDescent="0.2">
      <c r="A2129" s="317" t="s">
        <v>147</v>
      </c>
      <c r="B2129" s="895" t="s">
        <v>147</v>
      </c>
      <c r="C2129" s="896"/>
      <c r="D2129" s="906" t="s">
        <v>229</v>
      </c>
      <c r="E2129" s="907">
        <f>GLOBAL_DER_FEV_2023!E2129</f>
        <v>150</v>
      </c>
      <c r="F2129" s="908">
        <f>GLOBAL_DER_FEV_2023!F2129</f>
        <v>1.26997</v>
      </c>
      <c r="G2129" s="949">
        <f>GLOBAL_DER_FEV_2023!G2129</f>
        <v>207.23370460000001</v>
      </c>
      <c r="H2129" s="901">
        <f>GLOBAL_DER_FEV_2023!H2129</f>
        <v>0</v>
      </c>
      <c r="I2129" s="901">
        <f>GLOBAL_DER_FEV_2023!I2129</f>
        <v>0</v>
      </c>
      <c r="J2129" s="902">
        <f>GLOBAL_DER_FEV_2023!J2129</f>
        <v>0</v>
      </c>
      <c r="K2129" s="903"/>
      <c r="L2129" s="1177"/>
      <c r="M2129" s="1138">
        <f t="shared" si="214"/>
        <v>0</v>
      </c>
      <c r="N2129" s="1176">
        <f t="shared" si="213"/>
        <v>0</v>
      </c>
      <c r="O2129" s="905"/>
      <c r="P2129" s="36" t="str">
        <f>IF(N2127&gt;0,"xx",IF(N2127&gt;0,"xy",""))</f>
        <v/>
      </c>
      <c r="Q2129" s="317" t="str">
        <f t="shared" ref="Q2129:Q2176" si="215">IF(P2129="X","x",IF(P2129="xx","x",IF(P2129="xy","x",IF(P2129="y","x",IF(OR(N2129&gt;0,N2129&gt;0),"x","")))))</f>
        <v/>
      </c>
      <c r="R2129" s="317" t="str">
        <f t="shared" si="211"/>
        <v/>
      </c>
      <c r="S2129" s="317" t="str">
        <f t="shared" si="212"/>
        <v/>
      </c>
      <c r="T2129" s="317" t="str">
        <f>GLOBAL_DER_FEV_2023!S2129</f>
        <v/>
      </c>
      <c r="W2129" s="582">
        <v>0</v>
      </c>
      <c r="X2129" s="580"/>
      <c r="Y2129" s="583">
        <f>IF(GLOBAL_DER_FEV_2023!W2129=0,0,IF(GLOBAL_DER_FEV_2023!W2129&gt;0,"c","b"))</f>
        <v>0</v>
      </c>
    </row>
    <row r="2130" spans="1:25" ht="15" customHeight="1" x14ac:dyDescent="0.2">
      <c r="A2130" s="317" t="s">
        <v>147</v>
      </c>
      <c r="B2130" s="895" t="s">
        <v>147</v>
      </c>
      <c r="C2130" s="896"/>
      <c r="D2130" s="906" t="s">
        <v>233</v>
      </c>
      <c r="E2130" s="907">
        <f>GLOBAL_DER_FEV_2023!E2130</f>
        <v>0.2</v>
      </c>
      <c r="F2130" s="908">
        <f>GLOBAL_DER_FEV_2023!F2130</f>
        <v>1.5118200000000002</v>
      </c>
      <c r="G2130" s="949">
        <f>GLOBAL_DER_FEV_2023!G2130</f>
        <v>4.3752070800000009</v>
      </c>
      <c r="H2130" s="901">
        <f>GLOBAL_DER_FEV_2023!H2130</f>
        <v>0</v>
      </c>
      <c r="I2130" s="901">
        <f>GLOBAL_DER_FEV_2023!I2130</f>
        <v>0</v>
      </c>
      <c r="J2130" s="902">
        <f>GLOBAL_DER_FEV_2023!J2130</f>
        <v>0</v>
      </c>
      <c r="K2130" s="903"/>
      <c r="L2130" s="1177"/>
      <c r="M2130" s="1138">
        <f t="shared" si="214"/>
        <v>0</v>
      </c>
      <c r="N2130" s="1176">
        <f t="shared" si="213"/>
        <v>0</v>
      </c>
      <c r="O2130" s="905"/>
      <c r="P2130" s="36" t="str">
        <f>IF(N2127&gt;0,"xx",IF(N2127&gt;0,"xy",""))</f>
        <v/>
      </c>
      <c r="Q2130" s="317" t="str">
        <f t="shared" si="215"/>
        <v/>
      </c>
      <c r="R2130" s="317" t="str">
        <f t="shared" si="211"/>
        <v/>
      </c>
      <c r="S2130" s="317" t="str">
        <f t="shared" si="212"/>
        <v/>
      </c>
      <c r="T2130" s="317" t="str">
        <f>GLOBAL_DER_FEV_2023!S2130</f>
        <v/>
      </c>
      <c r="W2130" s="582">
        <v>0</v>
      </c>
      <c r="X2130" s="580"/>
      <c r="Y2130" s="583">
        <f>IF(GLOBAL_DER_FEV_2023!W2130=0,0,IF(GLOBAL_DER_FEV_2023!W2130&gt;0,"c","b"))</f>
        <v>0</v>
      </c>
    </row>
    <row r="2131" spans="1:25" ht="15" customHeight="1" x14ac:dyDescent="0.2">
      <c r="A2131" s="317" t="s">
        <v>96</v>
      </c>
      <c r="B2131" s="895" t="s">
        <v>96</v>
      </c>
      <c r="C2131" s="896" t="s">
        <v>184</v>
      </c>
      <c r="D2131" s="906" t="s">
        <v>368</v>
      </c>
      <c r="E2131" s="907">
        <f>GLOBAL_DER_FEV_2023!E2131</f>
        <v>0</v>
      </c>
      <c r="F2131" s="908">
        <f>GLOBAL_DER_FEV_2023!F2131</f>
        <v>0</v>
      </c>
      <c r="G2131" s="912">
        <f>GLOBAL_DER_FEV_2023!G2131</f>
        <v>396.60365487999997</v>
      </c>
      <c r="H2131" s="901">
        <f>GLOBAL_DER_FEV_2023!H2131</f>
        <v>1331.51</v>
      </c>
      <c r="I2131" s="901">
        <f>GLOBAL_DER_FEV_2023!I2131</f>
        <v>1728.11365488</v>
      </c>
      <c r="J2131" s="902">
        <f>GLOBAL_DER_FEV_2023!J2131</f>
        <v>2074.9499999999998</v>
      </c>
      <c r="K2131" s="903" t="s">
        <v>15</v>
      </c>
      <c r="L2131" s="1137"/>
      <c r="M2131" s="1138">
        <f t="shared" si="214"/>
        <v>0</v>
      </c>
      <c r="N2131" s="1176">
        <f t="shared" si="213"/>
        <v>0</v>
      </c>
      <c r="O2131" s="905"/>
      <c r="Q2131" s="317" t="str">
        <f t="shared" si="215"/>
        <v/>
      </c>
      <c r="R2131" s="317" t="str">
        <f t="shared" ref="R2131:R2178" si="216">IF(P2131="X","x",IF(P2131="y","x",IF(P2131="xx","x",IF(N2131&gt;0,"x",""))))</f>
        <v/>
      </c>
      <c r="S2131" s="317" t="str">
        <f t="shared" ref="S2131:S2178" si="217">IF(P2131="X","x",IF(N2131&gt;0,"x",""))</f>
        <v/>
      </c>
      <c r="T2131" s="317" t="str">
        <f>GLOBAL_DER_FEV_2023!S2131</f>
        <v/>
      </c>
      <c r="W2131" s="582">
        <v>0</v>
      </c>
      <c r="X2131" s="580"/>
      <c r="Y2131" s="583">
        <f>IF(GLOBAL_DER_FEV_2023!W2131=0,0,IF(GLOBAL_DER_FEV_2023!W2131&gt;0,"c","b"))</f>
        <v>0</v>
      </c>
    </row>
    <row r="2132" spans="1:25" ht="15" customHeight="1" x14ac:dyDescent="0.2">
      <c r="A2132" s="317" t="s">
        <v>147</v>
      </c>
      <c r="B2132" s="895" t="s">
        <v>147</v>
      </c>
      <c r="C2132" s="896"/>
      <c r="D2132" s="906" t="s">
        <v>190</v>
      </c>
      <c r="E2132" s="907">
        <f>GLOBAL_DER_FEV_2023!E2132</f>
        <v>308</v>
      </c>
      <c r="F2132" s="908">
        <f>GLOBAL_DER_FEV_2023!F2132</f>
        <v>0.54156000000000004</v>
      </c>
      <c r="G2132" s="909">
        <f>GLOBAL_DER_FEV_2023!G2132</f>
        <v>134.33937360000002</v>
      </c>
      <c r="H2132" s="901">
        <f>GLOBAL_DER_FEV_2023!H2132</f>
        <v>0</v>
      </c>
      <c r="I2132" s="901">
        <f>GLOBAL_DER_FEV_2023!I2132</f>
        <v>0</v>
      </c>
      <c r="J2132" s="902">
        <f>GLOBAL_DER_FEV_2023!J2132</f>
        <v>0</v>
      </c>
      <c r="K2132" s="903"/>
      <c r="L2132" s="1177"/>
      <c r="M2132" s="1138">
        <f t="shared" si="214"/>
        <v>0</v>
      </c>
      <c r="N2132" s="1176">
        <f t="shared" si="213"/>
        <v>0</v>
      </c>
      <c r="O2132" s="905"/>
      <c r="P2132" s="36" t="str">
        <f>IF(N2131&gt;0,"xx",IF(N2131&gt;0,"xy",""))</f>
        <v/>
      </c>
      <c r="Q2132" s="317" t="str">
        <f t="shared" si="215"/>
        <v/>
      </c>
      <c r="R2132" s="317" t="str">
        <f t="shared" si="216"/>
        <v/>
      </c>
      <c r="S2132" s="317" t="str">
        <f t="shared" si="217"/>
        <v/>
      </c>
      <c r="T2132" s="317" t="str">
        <f>GLOBAL_DER_FEV_2023!S2132</f>
        <v/>
      </c>
      <c r="W2132" s="582">
        <v>0</v>
      </c>
      <c r="X2132" s="580"/>
      <c r="Y2132" s="583">
        <f>IF(GLOBAL_DER_FEV_2023!W2132=0,0,IF(GLOBAL_DER_FEV_2023!W2132&gt;0,"c","b"))</f>
        <v>0</v>
      </c>
    </row>
    <row r="2133" spans="1:25" ht="15" customHeight="1" x14ac:dyDescent="0.2">
      <c r="A2133" s="317" t="s">
        <v>147</v>
      </c>
      <c r="B2133" s="895" t="s">
        <v>147</v>
      </c>
      <c r="C2133" s="896"/>
      <c r="D2133" s="906" t="s">
        <v>229</v>
      </c>
      <c r="E2133" s="907">
        <f>GLOBAL_DER_FEV_2023!E2133</f>
        <v>150</v>
      </c>
      <c r="F2133" s="908">
        <f>GLOBAL_DER_FEV_2023!F2133</f>
        <v>1.5739000000000001</v>
      </c>
      <c r="G2133" s="949">
        <f>GLOBAL_DER_FEV_2023!G2133</f>
        <v>256.829002</v>
      </c>
      <c r="H2133" s="901">
        <f>GLOBAL_DER_FEV_2023!H2133</f>
        <v>0</v>
      </c>
      <c r="I2133" s="901">
        <f>GLOBAL_DER_FEV_2023!I2133</f>
        <v>0</v>
      </c>
      <c r="J2133" s="902">
        <f>GLOBAL_DER_FEV_2023!J2133</f>
        <v>0</v>
      </c>
      <c r="K2133" s="903"/>
      <c r="L2133" s="1177"/>
      <c r="M2133" s="1138">
        <f t="shared" si="214"/>
        <v>0</v>
      </c>
      <c r="N2133" s="1176">
        <f t="shared" si="213"/>
        <v>0</v>
      </c>
      <c r="O2133" s="905"/>
      <c r="P2133" s="36" t="str">
        <f>IF(N2131&gt;0,"xx",IF(N2131&gt;0,"xy",""))</f>
        <v/>
      </c>
      <c r="Q2133" s="317" t="str">
        <f t="shared" si="215"/>
        <v/>
      </c>
      <c r="R2133" s="317" t="str">
        <f t="shared" si="216"/>
        <v/>
      </c>
      <c r="S2133" s="317" t="str">
        <f t="shared" si="217"/>
        <v/>
      </c>
      <c r="T2133" s="317" t="str">
        <f>GLOBAL_DER_FEV_2023!S2133</f>
        <v/>
      </c>
      <c r="W2133" s="582">
        <v>0</v>
      </c>
      <c r="X2133" s="580"/>
      <c r="Y2133" s="583">
        <f>IF(GLOBAL_DER_FEV_2023!W2133=0,0,IF(GLOBAL_DER_FEV_2023!W2133&gt;0,"c","b"))</f>
        <v>0</v>
      </c>
    </row>
    <row r="2134" spans="1:25" ht="15" customHeight="1" x14ac:dyDescent="0.2">
      <c r="A2134" s="317" t="s">
        <v>147</v>
      </c>
      <c r="B2134" s="895" t="s">
        <v>147</v>
      </c>
      <c r="C2134" s="896"/>
      <c r="D2134" s="906" t="s">
        <v>233</v>
      </c>
      <c r="E2134" s="907">
        <f>GLOBAL_DER_FEV_2023!E2134</f>
        <v>0.2</v>
      </c>
      <c r="F2134" s="908">
        <f>GLOBAL_DER_FEV_2023!F2134</f>
        <v>1.8781200000000002</v>
      </c>
      <c r="G2134" s="949">
        <f>GLOBAL_DER_FEV_2023!G2134</f>
        <v>5.4352792800000005</v>
      </c>
      <c r="H2134" s="901">
        <f>GLOBAL_DER_FEV_2023!H2134</f>
        <v>0</v>
      </c>
      <c r="I2134" s="901">
        <f>GLOBAL_DER_FEV_2023!I2134</f>
        <v>0</v>
      </c>
      <c r="J2134" s="902">
        <f>GLOBAL_DER_FEV_2023!J2134</f>
        <v>0</v>
      </c>
      <c r="K2134" s="903"/>
      <c r="L2134" s="1177"/>
      <c r="M2134" s="1138">
        <f t="shared" si="214"/>
        <v>0</v>
      </c>
      <c r="N2134" s="1176">
        <f t="shared" si="213"/>
        <v>0</v>
      </c>
      <c r="O2134" s="905"/>
      <c r="P2134" s="36" t="str">
        <f>IF(N2131&gt;0,"xx",IF(N2131&gt;0,"xy",""))</f>
        <v/>
      </c>
      <c r="Q2134" s="317" t="str">
        <f t="shared" si="215"/>
        <v/>
      </c>
      <c r="R2134" s="317" t="str">
        <f t="shared" si="216"/>
        <v/>
      </c>
      <c r="S2134" s="317" t="str">
        <f t="shared" si="217"/>
        <v/>
      </c>
      <c r="T2134" s="317" t="str">
        <f>GLOBAL_DER_FEV_2023!S2134</f>
        <v/>
      </c>
      <c r="W2134" s="582">
        <v>0</v>
      </c>
      <c r="X2134" s="580"/>
      <c r="Y2134" s="583">
        <f>IF(GLOBAL_DER_FEV_2023!W2134=0,0,IF(GLOBAL_DER_FEV_2023!W2134&gt;0,"c","b"))</f>
        <v>0</v>
      </c>
    </row>
    <row r="2135" spans="1:25" ht="15" customHeight="1" x14ac:dyDescent="0.2">
      <c r="A2135" s="317" t="s">
        <v>97</v>
      </c>
      <c r="B2135" s="895" t="s">
        <v>97</v>
      </c>
      <c r="C2135" s="896" t="s">
        <v>184</v>
      </c>
      <c r="D2135" s="906" t="s">
        <v>369</v>
      </c>
      <c r="E2135" s="907">
        <f>GLOBAL_DER_FEV_2023!E2135</f>
        <v>0</v>
      </c>
      <c r="F2135" s="908">
        <f>GLOBAL_DER_FEV_2023!F2135</f>
        <v>0</v>
      </c>
      <c r="G2135" s="912">
        <f>GLOBAL_DER_FEV_2023!G2135</f>
        <v>523.69855168000015</v>
      </c>
      <c r="H2135" s="901">
        <f>GLOBAL_DER_FEV_2023!H2135</f>
        <v>1638.59</v>
      </c>
      <c r="I2135" s="901">
        <f>GLOBAL_DER_FEV_2023!I2135</f>
        <v>2162.2885516800002</v>
      </c>
      <c r="J2135" s="902">
        <f>GLOBAL_DER_FEV_2023!J2135</f>
        <v>2596.2600000000002</v>
      </c>
      <c r="K2135" s="903" t="s">
        <v>15</v>
      </c>
      <c r="L2135" s="1137"/>
      <c r="M2135" s="1138">
        <f t="shared" si="214"/>
        <v>0</v>
      </c>
      <c r="N2135" s="1176">
        <f t="shared" ref="N2135:N2198" si="218">IF(ISBLANK(L2135),0,IF(W2135=0,ROUND(L2135*M2135,2),IF(W2135="b",ROUNDDOWN(L2135*M2135,2),ROUNDUP(L2135*M2135,2))))</f>
        <v>0</v>
      </c>
      <c r="O2135" s="905"/>
      <c r="Q2135" s="317" t="str">
        <f t="shared" si="215"/>
        <v/>
      </c>
      <c r="R2135" s="317" t="str">
        <f t="shared" si="216"/>
        <v/>
      </c>
      <c r="S2135" s="317" t="str">
        <f t="shared" si="217"/>
        <v/>
      </c>
      <c r="T2135" s="317" t="str">
        <f>GLOBAL_DER_FEV_2023!S2135</f>
        <v/>
      </c>
      <c r="W2135" s="582">
        <v>0</v>
      </c>
      <c r="X2135" s="580"/>
      <c r="Y2135" s="583">
        <f>IF(GLOBAL_DER_FEV_2023!W2135=0,0,IF(GLOBAL_DER_FEV_2023!W2135&gt;0,"c","b"))</f>
        <v>0</v>
      </c>
    </row>
    <row r="2136" spans="1:25" ht="15" customHeight="1" x14ac:dyDescent="0.2">
      <c r="A2136" s="317" t="s">
        <v>147</v>
      </c>
      <c r="B2136" s="895" t="s">
        <v>147</v>
      </c>
      <c r="C2136" s="896"/>
      <c r="D2136" s="906" t="s">
        <v>190</v>
      </c>
      <c r="E2136" s="907">
        <f>GLOBAL_DER_FEV_2023!E2136</f>
        <v>308</v>
      </c>
      <c r="F2136" s="908">
        <f>GLOBAL_DER_FEV_2023!F2136</f>
        <v>0.71976000000000007</v>
      </c>
      <c r="G2136" s="909">
        <f>GLOBAL_DER_FEV_2023!G2136</f>
        <v>178.54366560000003</v>
      </c>
      <c r="H2136" s="901">
        <f>GLOBAL_DER_FEV_2023!H2136</f>
        <v>0</v>
      </c>
      <c r="I2136" s="901">
        <f>GLOBAL_DER_FEV_2023!I2136</f>
        <v>0</v>
      </c>
      <c r="J2136" s="902">
        <f>GLOBAL_DER_FEV_2023!J2136</f>
        <v>0</v>
      </c>
      <c r="K2136" s="903"/>
      <c r="L2136" s="1177"/>
      <c r="M2136" s="1138">
        <f t="shared" si="214"/>
        <v>0</v>
      </c>
      <c r="N2136" s="1176">
        <f t="shared" si="218"/>
        <v>0</v>
      </c>
      <c r="O2136" s="905"/>
      <c r="P2136" s="36" t="str">
        <f>IF(N2135&gt;0,"xx",IF(N2135&gt;0,"xy",""))</f>
        <v/>
      </c>
      <c r="Q2136" s="317" t="str">
        <f t="shared" si="215"/>
        <v/>
      </c>
      <c r="R2136" s="317" t="str">
        <f t="shared" si="216"/>
        <v/>
      </c>
      <c r="S2136" s="317" t="str">
        <f t="shared" si="217"/>
        <v/>
      </c>
      <c r="T2136" s="317" t="str">
        <f>GLOBAL_DER_FEV_2023!S2136</f>
        <v/>
      </c>
      <c r="W2136" s="582">
        <v>0</v>
      </c>
      <c r="X2136" s="580"/>
      <c r="Y2136" s="583">
        <f>IF(GLOBAL_DER_FEV_2023!W2136=0,0,IF(GLOBAL_DER_FEV_2023!W2136&gt;0,"c","b"))</f>
        <v>0</v>
      </c>
    </row>
    <row r="2137" spans="1:25" ht="15" customHeight="1" x14ac:dyDescent="0.2">
      <c r="A2137" s="317" t="s">
        <v>147</v>
      </c>
      <c r="B2137" s="895" t="s">
        <v>147</v>
      </c>
      <c r="C2137" s="896"/>
      <c r="D2137" s="906" t="s">
        <v>229</v>
      </c>
      <c r="E2137" s="907">
        <f>GLOBAL_DER_FEV_2023!E2137</f>
        <v>150</v>
      </c>
      <c r="F2137" s="908">
        <f>GLOBAL_DER_FEV_2023!F2137</f>
        <v>2.0712400000000004</v>
      </c>
      <c r="G2137" s="949">
        <f>GLOBAL_DER_FEV_2023!G2137</f>
        <v>337.98494320000009</v>
      </c>
      <c r="H2137" s="901">
        <f>GLOBAL_DER_FEV_2023!H2137</f>
        <v>0</v>
      </c>
      <c r="I2137" s="901">
        <f>GLOBAL_DER_FEV_2023!I2137</f>
        <v>0</v>
      </c>
      <c r="J2137" s="902">
        <f>GLOBAL_DER_FEV_2023!J2137</f>
        <v>0</v>
      </c>
      <c r="K2137" s="903"/>
      <c r="L2137" s="1177"/>
      <c r="M2137" s="1138">
        <f t="shared" si="214"/>
        <v>0</v>
      </c>
      <c r="N2137" s="1176">
        <f t="shared" si="218"/>
        <v>0</v>
      </c>
      <c r="O2137" s="905"/>
      <c r="P2137" s="36" t="str">
        <f>IF(N2135&gt;0,"xx",IF(N2135&gt;0,"xy",""))</f>
        <v/>
      </c>
      <c r="Q2137" s="317" t="str">
        <f t="shared" si="215"/>
        <v/>
      </c>
      <c r="R2137" s="317" t="str">
        <f t="shared" si="216"/>
        <v/>
      </c>
      <c r="S2137" s="317" t="str">
        <f t="shared" si="217"/>
        <v/>
      </c>
      <c r="T2137" s="317" t="str">
        <f>GLOBAL_DER_FEV_2023!S2137</f>
        <v/>
      </c>
      <c r="W2137" s="582">
        <v>0</v>
      </c>
      <c r="X2137" s="580"/>
      <c r="Y2137" s="583">
        <f>IF(GLOBAL_DER_FEV_2023!W2137=0,0,IF(GLOBAL_DER_FEV_2023!W2137&gt;0,"c","b"))</f>
        <v>0</v>
      </c>
    </row>
    <row r="2138" spans="1:25" ht="15" customHeight="1" x14ac:dyDescent="0.2">
      <c r="A2138" s="317" t="s">
        <v>147</v>
      </c>
      <c r="B2138" s="895" t="s">
        <v>147</v>
      </c>
      <c r="C2138" s="896"/>
      <c r="D2138" s="906" t="s">
        <v>233</v>
      </c>
      <c r="E2138" s="907">
        <f>GLOBAL_DER_FEV_2023!E2138</f>
        <v>0.2</v>
      </c>
      <c r="F2138" s="908">
        <f>GLOBAL_DER_FEV_2023!F2138</f>
        <v>2.4775200000000002</v>
      </c>
      <c r="G2138" s="949">
        <f>GLOBAL_DER_FEV_2023!G2138</f>
        <v>7.1699428800000007</v>
      </c>
      <c r="H2138" s="901">
        <f>GLOBAL_DER_FEV_2023!H2138</f>
        <v>0</v>
      </c>
      <c r="I2138" s="901">
        <f>GLOBAL_DER_FEV_2023!I2138</f>
        <v>0</v>
      </c>
      <c r="J2138" s="902">
        <f>GLOBAL_DER_FEV_2023!J2138</f>
        <v>0</v>
      </c>
      <c r="K2138" s="903"/>
      <c r="L2138" s="1177"/>
      <c r="M2138" s="1138">
        <f t="shared" si="214"/>
        <v>0</v>
      </c>
      <c r="N2138" s="1176">
        <f t="shared" si="218"/>
        <v>0</v>
      </c>
      <c r="O2138" s="905"/>
      <c r="P2138" s="36" t="str">
        <f>IF(N2135&gt;0,"xx",IF(N2135&gt;0,"xy",""))</f>
        <v/>
      </c>
      <c r="Q2138" s="317" t="str">
        <f t="shared" si="215"/>
        <v/>
      </c>
      <c r="R2138" s="317" t="str">
        <f t="shared" si="216"/>
        <v/>
      </c>
      <c r="S2138" s="317" t="str">
        <f t="shared" si="217"/>
        <v/>
      </c>
      <c r="T2138" s="317" t="str">
        <f>GLOBAL_DER_FEV_2023!S2138</f>
        <v/>
      </c>
      <c r="W2138" s="582">
        <v>0</v>
      </c>
      <c r="X2138" s="580"/>
      <c r="Y2138" s="583">
        <f>IF(GLOBAL_DER_FEV_2023!W2138=0,0,IF(GLOBAL_DER_FEV_2023!W2138&gt;0,"c","b"))</f>
        <v>0</v>
      </c>
    </row>
    <row r="2139" spans="1:25" ht="15" customHeight="1" x14ac:dyDescent="0.2">
      <c r="A2139" s="317" t="s">
        <v>98</v>
      </c>
      <c r="B2139" s="895" t="s">
        <v>98</v>
      </c>
      <c r="C2139" s="896" t="s">
        <v>184</v>
      </c>
      <c r="D2139" s="906" t="s">
        <v>370</v>
      </c>
      <c r="E2139" s="907">
        <f>GLOBAL_DER_FEV_2023!E2139</f>
        <v>0</v>
      </c>
      <c r="F2139" s="908">
        <f>GLOBAL_DER_FEV_2023!F2139</f>
        <v>0</v>
      </c>
      <c r="G2139" s="912">
        <f>GLOBAL_DER_FEV_2023!G2139</f>
        <v>0</v>
      </c>
      <c r="H2139" s="901">
        <f>GLOBAL_DER_FEV_2023!H2139</f>
        <v>1950.71</v>
      </c>
      <c r="I2139" s="901">
        <f>GLOBAL_DER_FEV_2023!I2139</f>
        <v>1950.71</v>
      </c>
      <c r="J2139" s="902">
        <f>GLOBAL_DER_FEV_2023!J2139</f>
        <v>2342.2199999999998</v>
      </c>
      <c r="K2139" s="903" t="s">
        <v>15</v>
      </c>
      <c r="L2139" s="1137"/>
      <c r="M2139" s="1138">
        <f t="shared" si="214"/>
        <v>0</v>
      </c>
      <c r="N2139" s="1176">
        <f t="shared" si="218"/>
        <v>0</v>
      </c>
      <c r="O2139" s="905"/>
      <c r="Q2139" s="317" t="str">
        <f t="shared" si="215"/>
        <v/>
      </c>
      <c r="R2139" s="317" t="str">
        <f t="shared" si="216"/>
        <v/>
      </c>
      <c r="S2139" s="317" t="str">
        <f t="shared" si="217"/>
        <v/>
      </c>
      <c r="T2139" s="317" t="str">
        <f>GLOBAL_DER_FEV_2023!S2139</f>
        <v/>
      </c>
      <c r="W2139" s="582">
        <v>0</v>
      </c>
      <c r="X2139" s="580"/>
      <c r="Y2139" s="583">
        <f>IF(GLOBAL_DER_FEV_2023!W2139=0,0,IF(GLOBAL_DER_FEV_2023!W2139&gt;0,"c","b"))</f>
        <v>0</v>
      </c>
    </row>
    <row r="2140" spans="1:25" ht="15" customHeight="1" x14ac:dyDescent="0.2">
      <c r="A2140" s="317" t="s">
        <v>147</v>
      </c>
      <c r="B2140" s="895" t="s">
        <v>147</v>
      </c>
      <c r="C2140" s="896"/>
      <c r="D2140" s="906" t="s">
        <v>190</v>
      </c>
      <c r="E2140" s="907">
        <f>GLOBAL_DER_FEV_2023!E2140</f>
        <v>308</v>
      </c>
      <c r="F2140" s="908">
        <f>GLOBAL_DER_FEV_2023!F2140</f>
        <v>0.90125999999999995</v>
      </c>
      <c r="G2140" s="909">
        <f>GLOBAL_DER_FEV_2023!G2140</f>
        <v>223.56655559999999</v>
      </c>
      <c r="H2140" s="901">
        <f>GLOBAL_DER_FEV_2023!H2140</f>
        <v>0</v>
      </c>
      <c r="I2140" s="901">
        <f>GLOBAL_DER_FEV_2023!I2140</f>
        <v>0</v>
      </c>
      <c r="J2140" s="902">
        <f>GLOBAL_DER_FEV_2023!J2140</f>
        <v>0</v>
      </c>
      <c r="K2140" s="903"/>
      <c r="L2140" s="1177"/>
      <c r="M2140" s="1138">
        <f t="shared" si="214"/>
        <v>0</v>
      </c>
      <c r="N2140" s="1176">
        <f t="shared" si="218"/>
        <v>0</v>
      </c>
      <c r="O2140" s="905"/>
      <c r="P2140" s="36" t="str">
        <f>IF(N2139&gt;0,"xx",IF(N2139&gt;0,"xy",""))</f>
        <v/>
      </c>
      <c r="Q2140" s="317" t="str">
        <f t="shared" si="215"/>
        <v/>
      </c>
      <c r="R2140" s="317" t="str">
        <f t="shared" si="216"/>
        <v/>
      </c>
      <c r="S2140" s="317" t="str">
        <f t="shared" si="217"/>
        <v/>
      </c>
      <c r="T2140" s="317" t="str">
        <f>GLOBAL_DER_FEV_2023!S2140</f>
        <v/>
      </c>
      <c r="W2140" s="582">
        <v>0</v>
      </c>
      <c r="X2140" s="580"/>
      <c r="Y2140" s="583">
        <f>IF(GLOBAL_DER_FEV_2023!W2140=0,0,IF(GLOBAL_DER_FEV_2023!W2140&gt;0,"c","b"))</f>
        <v>0</v>
      </c>
    </row>
    <row r="2141" spans="1:25" ht="15" customHeight="1" x14ac:dyDescent="0.2">
      <c r="A2141" s="317" t="s">
        <v>147</v>
      </c>
      <c r="B2141" s="895" t="s">
        <v>147</v>
      </c>
      <c r="C2141" s="896"/>
      <c r="D2141" s="906" t="s">
        <v>229</v>
      </c>
      <c r="E2141" s="907">
        <f>GLOBAL_DER_FEV_2023!E2141</f>
        <v>150</v>
      </c>
      <c r="F2141" s="908">
        <f>GLOBAL_DER_FEV_2023!F2141</f>
        <v>2.5777900000000002</v>
      </c>
      <c r="G2141" s="949">
        <f>GLOBAL_DER_FEV_2023!G2141</f>
        <v>420.64377220000006</v>
      </c>
      <c r="H2141" s="901">
        <f>GLOBAL_DER_FEV_2023!H2141</f>
        <v>0</v>
      </c>
      <c r="I2141" s="901">
        <f>GLOBAL_DER_FEV_2023!I2141</f>
        <v>0</v>
      </c>
      <c r="J2141" s="902">
        <f>GLOBAL_DER_FEV_2023!J2141</f>
        <v>0</v>
      </c>
      <c r="K2141" s="903"/>
      <c r="L2141" s="1177"/>
      <c r="M2141" s="1138">
        <f t="shared" si="214"/>
        <v>0</v>
      </c>
      <c r="N2141" s="1176">
        <f t="shared" si="218"/>
        <v>0</v>
      </c>
      <c r="O2141" s="905"/>
      <c r="P2141" s="36" t="str">
        <f>IF(N2139&gt;0,"xx",IF(N2139&gt;0,"xy",""))</f>
        <v/>
      </c>
      <c r="Q2141" s="317" t="str">
        <f t="shared" si="215"/>
        <v/>
      </c>
      <c r="R2141" s="317" t="str">
        <f t="shared" si="216"/>
        <v/>
      </c>
      <c r="S2141" s="317" t="str">
        <f t="shared" si="217"/>
        <v/>
      </c>
      <c r="T2141" s="317" t="str">
        <f>GLOBAL_DER_FEV_2023!S2141</f>
        <v/>
      </c>
      <c r="W2141" s="582">
        <v>0</v>
      </c>
      <c r="X2141" s="580"/>
      <c r="Y2141" s="583">
        <f>IF(GLOBAL_DER_FEV_2023!W2141=0,0,IF(GLOBAL_DER_FEV_2023!W2141&gt;0,"c","b"))</f>
        <v>0</v>
      </c>
    </row>
    <row r="2142" spans="1:25" ht="15" customHeight="1" x14ac:dyDescent="0.2">
      <c r="A2142" s="317" t="s">
        <v>147</v>
      </c>
      <c r="B2142" s="895" t="s">
        <v>147</v>
      </c>
      <c r="C2142" s="896"/>
      <c r="D2142" s="906" t="s">
        <v>233</v>
      </c>
      <c r="E2142" s="907">
        <f>GLOBAL_DER_FEV_2023!E2142</f>
        <v>0.2</v>
      </c>
      <c r="F2142" s="908">
        <f>GLOBAL_DER_FEV_2023!F2142</f>
        <v>3.0880200000000002</v>
      </c>
      <c r="G2142" s="949">
        <f>GLOBAL_DER_FEV_2023!G2142</f>
        <v>8.9367298800000015</v>
      </c>
      <c r="H2142" s="901">
        <f>GLOBAL_DER_FEV_2023!H2142</f>
        <v>0</v>
      </c>
      <c r="I2142" s="901">
        <f>GLOBAL_DER_FEV_2023!I2142</f>
        <v>0</v>
      </c>
      <c r="J2142" s="902">
        <f>GLOBAL_DER_FEV_2023!J2142</f>
        <v>0</v>
      </c>
      <c r="K2142" s="903"/>
      <c r="L2142" s="1177"/>
      <c r="M2142" s="1138">
        <f t="shared" si="214"/>
        <v>0</v>
      </c>
      <c r="N2142" s="1176">
        <f t="shared" si="218"/>
        <v>0</v>
      </c>
      <c r="O2142" s="905"/>
      <c r="P2142" s="36" t="str">
        <f>IF(N2139&gt;0,"xx",IF(N2139&gt;0,"xy",""))</f>
        <v/>
      </c>
      <c r="Q2142" s="317" t="str">
        <f t="shared" si="215"/>
        <v/>
      </c>
      <c r="R2142" s="317" t="str">
        <f t="shared" si="216"/>
        <v/>
      </c>
      <c r="S2142" s="317" t="str">
        <f t="shared" si="217"/>
        <v/>
      </c>
      <c r="T2142" s="317" t="str">
        <f>GLOBAL_DER_FEV_2023!S2142</f>
        <v/>
      </c>
      <c r="W2142" s="582">
        <v>0</v>
      </c>
      <c r="X2142" s="580"/>
      <c r="Y2142" s="583">
        <f>IF(GLOBAL_DER_FEV_2023!W2142=0,0,IF(GLOBAL_DER_FEV_2023!W2142&gt;0,"c","b"))</f>
        <v>0</v>
      </c>
    </row>
    <row r="2143" spans="1:25" ht="15" customHeight="1" x14ac:dyDescent="0.2">
      <c r="A2143" s="317" t="s">
        <v>21</v>
      </c>
      <c r="B2143" s="895" t="s">
        <v>21</v>
      </c>
      <c r="C2143" s="896" t="s">
        <v>184</v>
      </c>
      <c r="D2143" s="906" t="s">
        <v>90</v>
      </c>
      <c r="E2143" s="907">
        <f>GLOBAL_DER_FEV_2023!E2143</f>
        <v>0</v>
      </c>
      <c r="F2143" s="908">
        <f>GLOBAL_DER_FEV_2023!F2143</f>
        <v>0</v>
      </c>
      <c r="G2143" s="912">
        <f>GLOBAL_DER_FEV_2023!G2143</f>
        <v>151.22964344000002</v>
      </c>
      <c r="H2143" s="901">
        <f>GLOBAL_DER_FEV_2023!H2143</f>
        <v>1946.06</v>
      </c>
      <c r="I2143" s="901">
        <f>GLOBAL_DER_FEV_2023!I2143</f>
        <v>2097.28964344</v>
      </c>
      <c r="J2143" s="902">
        <f>GLOBAL_DER_FEV_2023!J2143</f>
        <v>2518.2199999999998</v>
      </c>
      <c r="K2143" s="903" t="s">
        <v>15</v>
      </c>
      <c r="L2143" s="1137"/>
      <c r="M2143" s="1138">
        <f t="shared" si="214"/>
        <v>0</v>
      </c>
      <c r="N2143" s="1176">
        <f t="shared" si="218"/>
        <v>0</v>
      </c>
      <c r="O2143" s="905"/>
      <c r="Q2143" s="317" t="str">
        <f t="shared" si="215"/>
        <v/>
      </c>
      <c r="R2143" s="317" t="str">
        <f t="shared" si="216"/>
        <v/>
      </c>
      <c r="S2143" s="317" t="str">
        <f t="shared" si="217"/>
        <v/>
      </c>
      <c r="T2143" s="317" t="str">
        <f>GLOBAL_DER_FEV_2023!S2143</f>
        <v/>
      </c>
      <c r="W2143" s="582">
        <v>0</v>
      </c>
      <c r="X2143" s="580"/>
      <c r="Y2143" s="583">
        <f>IF(GLOBAL_DER_FEV_2023!W2143=0,0,IF(GLOBAL_DER_FEV_2023!W2143&gt;0,"c","b"))</f>
        <v>0</v>
      </c>
    </row>
    <row r="2144" spans="1:25" ht="15" customHeight="1" x14ac:dyDescent="0.2">
      <c r="A2144" s="317" t="s">
        <v>147</v>
      </c>
      <c r="B2144" s="895" t="s">
        <v>147</v>
      </c>
      <c r="C2144" s="896"/>
      <c r="D2144" s="906" t="s">
        <v>190</v>
      </c>
      <c r="E2144" s="907">
        <f>GLOBAL_DER_FEV_2023!E2144</f>
        <v>308</v>
      </c>
      <c r="F2144" s="908">
        <f>GLOBAL_DER_FEV_2023!F2144</f>
        <v>0.20478000000000002</v>
      </c>
      <c r="G2144" s="909">
        <f>GLOBAL_DER_FEV_2023!G2144</f>
        <v>50.797726800000007</v>
      </c>
      <c r="H2144" s="901">
        <f>GLOBAL_DER_FEV_2023!H2144</f>
        <v>0</v>
      </c>
      <c r="I2144" s="901">
        <f>GLOBAL_DER_FEV_2023!I2144</f>
        <v>0</v>
      </c>
      <c r="J2144" s="902">
        <f>GLOBAL_DER_FEV_2023!J2144</f>
        <v>0</v>
      </c>
      <c r="K2144" s="903"/>
      <c r="L2144" s="1177"/>
      <c r="M2144" s="1138">
        <f t="shared" si="214"/>
        <v>0</v>
      </c>
      <c r="N2144" s="1176">
        <f t="shared" si="218"/>
        <v>0</v>
      </c>
      <c r="O2144" s="905"/>
      <c r="P2144" s="36" t="str">
        <f>IF(N2143&gt;0,"xx",IF(N2143&gt;0,"xy",""))</f>
        <v/>
      </c>
      <c r="Q2144" s="317" t="str">
        <f t="shared" si="215"/>
        <v/>
      </c>
      <c r="R2144" s="317" t="str">
        <f t="shared" si="216"/>
        <v/>
      </c>
      <c r="S2144" s="317" t="str">
        <f t="shared" si="217"/>
        <v/>
      </c>
      <c r="T2144" s="317" t="str">
        <f>GLOBAL_DER_FEV_2023!S2144</f>
        <v/>
      </c>
      <c r="W2144" s="582">
        <v>0</v>
      </c>
      <c r="X2144" s="580"/>
      <c r="Y2144" s="583">
        <f>IF(GLOBAL_DER_FEV_2023!W2144=0,0,IF(GLOBAL_DER_FEV_2023!W2144&gt;0,"c","b"))</f>
        <v>0</v>
      </c>
    </row>
    <row r="2145" spans="1:25" ht="15" customHeight="1" x14ac:dyDescent="0.2">
      <c r="A2145" s="317" t="s">
        <v>147</v>
      </c>
      <c r="B2145" s="895" t="s">
        <v>147</v>
      </c>
      <c r="C2145" s="896"/>
      <c r="D2145" s="906" t="s">
        <v>229</v>
      </c>
      <c r="E2145" s="907">
        <f>GLOBAL_DER_FEV_2023!E2145</f>
        <v>150</v>
      </c>
      <c r="F2145" s="908">
        <f>GLOBAL_DER_FEV_2023!F2145</f>
        <v>0.60275000000000001</v>
      </c>
      <c r="G2145" s="949">
        <f>GLOBAL_DER_FEV_2023!G2145</f>
        <v>98.356745000000004</v>
      </c>
      <c r="H2145" s="901">
        <f>GLOBAL_DER_FEV_2023!H2145</f>
        <v>0</v>
      </c>
      <c r="I2145" s="901">
        <f>GLOBAL_DER_FEV_2023!I2145</f>
        <v>0</v>
      </c>
      <c r="J2145" s="902">
        <f>GLOBAL_DER_FEV_2023!J2145</f>
        <v>0</v>
      </c>
      <c r="K2145" s="903"/>
      <c r="L2145" s="1177"/>
      <c r="M2145" s="1138">
        <f t="shared" si="214"/>
        <v>0</v>
      </c>
      <c r="N2145" s="1176">
        <f t="shared" si="218"/>
        <v>0</v>
      </c>
      <c r="O2145" s="905"/>
      <c r="P2145" s="36" t="str">
        <f>IF(N2143&gt;0,"xx",IF(N2143&gt;0,"xy",""))</f>
        <v/>
      </c>
      <c r="Q2145" s="317" t="str">
        <f t="shared" si="215"/>
        <v/>
      </c>
      <c r="R2145" s="317" t="str">
        <f t="shared" si="216"/>
        <v/>
      </c>
      <c r="S2145" s="317" t="str">
        <f t="shared" si="217"/>
        <v/>
      </c>
      <c r="T2145" s="317" t="str">
        <f>GLOBAL_DER_FEV_2023!S2145</f>
        <v/>
      </c>
      <c r="W2145" s="582">
        <v>0</v>
      </c>
      <c r="X2145" s="580"/>
      <c r="Y2145" s="583">
        <f>IF(GLOBAL_DER_FEV_2023!W2145=0,0,IF(GLOBAL_DER_FEV_2023!W2145&gt;0,"c","b"))</f>
        <v>0</v>
      </c>
    </row>
    <row r="2146" spans="1:25" ht="15" customHeight="1" x14ac:dyDescent="0.2">
      <c r="A2146" s="317" t="s">
        <v>147</v>
      </c>
      <c r="B2146" s="895" t="s">
        <v>147</v>
      </c>
      <c r="C2146" s="896"/>
      <c r="D2146" s="906" t="s">
        <v>233</v>
      </c>
      <c r="E2146" s="907">
        <f>GLOBAL_DER_FEV_2023!E2146</f>
        <v>0.2</v>
      </c>
      <c r="F2146" s="908">
        <f>GLOBAL_DER_FEV_2023!F2146</f>
        <v>0.71706000000000003</v>
      </c>
      <c r="G2146" s="949">
        <f>GLOBAL_DER_FEV_2023!G2146</f>
        <v>2.0751716400000002</v>
      </c>
      <c r="H2146" s="901">
        <f>GLOBAL_DER_FEV_2023!H2146</f>
        <v>0</v>
      </c>
      <c r="I2146" s="901">
        <f>GLOBAL_DER_FEV_2023!I2146</f>
        <v>0</v>
      </c>
      <c r="J2146" s="902">
        <f>GLOBAL_DER_FEV_2023!J2146</f>
        <v>0</v>
      </c>
      <c r="K2146" s="903"/>
      <c r="L2146" s="1177"/>
      <c r="M2146" s="1138">
        <f t="shared" si="214"/>
        <v>0</v>
      </c>
      <c r="N2146" s="1176">
        <f t="shared" si="218"/>
        <v>0</v>
      </c>
      <c r="O2146" s="905"/>
      <c r="P2146" s="36" t="str">
        <f>IF(N2143&gt;0,"xx",IF(N2143&gt;0,"xy",""))</f>
        <v/>
      </c>
      <c r="Q2146" s="317" t="str">
        <f t="shared" si="215"/>
        <v/>
      </c>
      <c r="R2146" s="317" t="str">
        <f t="shared" si="216"/>
        <v/>
      </c>
      <c r="S2146" s="317" t="str">
        <f t="shared" si="217"/>
        <v/>
      </c>
      <c r="T2146" s="317" t="str">
        <f>GLOBAL_DER_FEV_2023!S2146</f>
        <v/>
      </c>
      <c r="W2146" s="582">
        <v>0</v>
      </c>
      <c r="X2146" s="580"/>
      <c r="Y2146" s="583">
        <f>IF(GLOBAL_DER_FEV_2023!W2146=0,0,IF(GLOBAL_DER_FEV_2023!W2146&gt;0,"c","b"))</f>
        <v>0</v>
      </c>
    </row>
    <row r="2147" spans="1:25" ht="15" customHeight="1" x14ac:dyDescent="0.2">
      <c r="A2147" s="317" t="s">
        <v>22</v>
      </c>
      <c r="B2147" s="895" t="s">
        <v>22</v>
      </c>
      <c r="C2147" s="896" t="s">
        <v>184</v>
      </c>
      <c r="D2147" s="906" t="s">
        <v>87</v>
      </c>
      <c r="E2147" s="907">
        <f>GLOBAL_DER_FEV_2023!E2147</f>
        <v>0</v>
      </c>
      <c r="F2147" s="908">
        <f>GLOBAL_DER_FEV_2023!F2147</f>
        <v>0</v>
      </c>
      <c r="G2147" s="912">
        <f>GLOBAL_DER_FEV_2023!G2147</f>
        <v>188.88739064000001</v>
      </c>
      <c r="H2147" s="901">
        <f>GLOBAL_DER_FEV_2023!H2147</f>
        <v>2350.13</v>
      </c>
      <c r="I2147" s="901">
        <f>GLOBAL_DER_FEV_2023!I2147</f>
        <v>2539.01739064</v>
      </c>
      <c r="J2147" s="902">
        <f>GLOBAL_DER_FEV_2023!J2147</f>
        <v>3048.6</v>
      </c>
      <c r="K2147" s="903" t="s">
        <v>15</v>
      </c>
      <c r="L2147" s="1137"/>
      <c r="M2147" s="1138">
        <f t="shared" si="214"/>
        <v>0</v>
      </c>
      <c r="N2147" s="1176">
        <f t="shared" si="218"/>
        <v>0</v>
      </c>
      <c r="O2147" s="905"/>
      <c r="Q2147" s="317" t="str">
        <f t="shared" si="215"/>
        <v/>
      </c>
      <c r="R2147" s="317" t="str">
        <f t="shared" si="216"/>
        <v/>
      </c>
      <c r="S2147" s="317" t="str">
        <f t="shared" si="217"/>
        <v/>
      </c>
      <c r="T2147" s="317" t="str">
        <f>GLOBAL_DER_FEV_2023!S2147</f>
        <v/>
      </c>
      <c r="W2147" s="582">
        <v>0</v>
      </c>
      <c r="X2147" s="580"/>
      <c r="Y2147" s="583">
        <f>IF(GLOBAL_DER_FEV_2023!W2147=0,0,IF(GLOBAL_DER_FEV_2023!W2147&gt;0,"c","b"))</f>
        <v>0</v>
      </c>
    </row>
    <row r="2148" spans="1:25" ht="15" customHeight="1" x14ac:dyDescent="0.2">
      <c r="A2148" s="317" t="s">
        <v>147</v>
      </c>
      <c r="B2148" s="895" t="s">
        <v>147</v>
      </c>
      <c r="C2148" s="896"/>
      <c r="D2148" s="906" t="s">
        <v>190</v>
      </c>
      <c r="E2148" s="907">
        <f>GLOBAL_DER_FEV_2023!E2148</f>
        <v>308</v>
      </c>
      <c r="F2148" s="908">
        <f>GLOBAL_DER_FEV_2023!F2148</f>
        <v>0.25757999999999998</v>
      </c>
      <c r="G2148" s="909">
        <f>GLOBAL_DER_FEV_2023!G2148</f>
        <v>63.895294799999995</v>
      </c>
      <c r="H2148" s="901">
        <f>GLOBAL_DER_FEV_2023!H2148</f>
        <v>0</v>
      </c>
      <c r="I2148" s="901">
        <f>GLOBAL_DER_FEV_2023!I2148</f>
        <v>0</v>
      </c>
      <c r="J2148" s="902">
        <f>GLOBAL_DER_FEV_2023!J2148</f>
        <v>0</v>
      </c>
      <c r="K2148" s="903"/>
      <c r="L2148" s="1177"/>
      <c r="M2148" s="1138">
        <f t="shared" si="214"/>
        <v>0</v>
      </c>
      <c r="N2148" s="1176">
        <f t="shared" si="218"/>
        <v>0</v>
      </c>
      <c r="O2148" s="905"/>
      <c r="P2148" s="36" t="str">
        <f>IF(N2147&gt;0,"xx",IF(N2147&gt;0,"xy",""))</f>
        <v/>
      </c>
      <c r="Q2148" s="317" t="str">
        <f t="shared" si="215"/>
        <v/>
      </c>
      <c r="R2148" s="317" t="str">
        <f t="shared" si="216"/>
        <v/>
      </c>
      <c r="S2148" s="317" t="str">
        <f t="shared" si="217"/>
        <v/>
      </c>
      <c r="T2148" s="317" t="str">
        <f>GLOBAL_DER_FEV_2023!S2148</f>
        <v/>
      </c>
      <c r="W2148" s="582">
        <v>0</v>
      </c>
      <c r="X2148" s="580"/>
      <c r="Y2148" s="583">
        <f>IF(GLOBAL_DER_FEV_2023!W2148=0,0,IF(GLOBAL_DER_FEV_2023!W2148&gt;0,"c","b"))</f>
        <v>0</v>
      </c>
    </row>
    <row r="2149" spans="1:25" ht="15" customHeight="1" x14ac:dyDescent="0.2">
      <c r="A2149" s="317" t="s">
        <v>147</v>
      </c>
      <c r="B2149" s="895" t="s">
        <v>147</v>
      </c>
      <c r="C2149" s="896"/>
      <c r="D2149" s="906" t="s">
        <v>229</v>
      </c>
      <c r="E2149" s="907">
        <f>GLOBAL_DER_FEV_2023!E2149</f>
        <v>150</v>
      </c>
      <c r="F2149" s="908">
        <f>GLOBAL_DER_FEV_2023!F2149</f>
        <v>0.75010999999999994</v>
      </c>
      <c r="G2149" s="949">
        <f>GLOBAL_DER_FEV_2023!G2149</f>
        <v>122.4029498</v>
      </c>
      <c r="H2149" s="901">
        <f>GLOBAL_DER_FEV_2023!H2149</f>
        <v>0</v>
      </c>
      <c r="I2149" s="901">
        <f>GLOBAL_DER_FEV_2023!I2149</f>
        <v>0</v>
      </c>
      <c r="J2149" s="902">
        <f>GLOBAL_DER_FEV_2023!J2149</f>
        <v>0</v>
      </c>
      <c r="K2149" s="903"/>
      <c r="L2149" s="1177"/>
      <c r="M2149" s="1138">
        <f t="shared" si="214"/>
        <v>0</v>
      </c>
      <c r="N2149" s="1176">
        <f t="shared" si="218"/>
        <v>0</v>
      </c>
      <c r="O2149" s="905"/>
      <c r="P2149" s="36" t="str">
        <f>IF(N2147&gt;0,"xx",IF(N2147&gt;0,"xy",""))</f>
        <v/>
      </c>
      <c r="Q2149" s="317" t="str">
        <f t="shared" si="215"/>
        <v/>
      </c>
      <c r="R2149" s="317" t="str">
        <f t="shared" si="216"/>
        <v/>
      </c>
      <c r="S2149" s="317" t="str">
        <f t="shared" si="217"/>
        <v/>
      </c>
      <c r="T2149" s="317" t="str">
        <f>GLOBAL_DER_FEV_2023!S2149</f>
        <v/>
      </c>
      <c r="W2149" s="582">
        <v>0</v>
      </c>
      <c r="X2149" s="580"/>
      <c r="Y2149" s="583">
        <f>IF(GLOBAL_DER_FEV_2023!W2149=0,0,IF(GLOBAL_DER_FEV_2023!W2149&gt;0,"c","b"))</f>
        <v>0</v>
      </c>
    </row>
    <row r="2150" spans="1:25" ht="15" customHeight="1" x14ac:dyDescent="0.2">
      <c r="A2150" s="317" t="s">
        <v>147</v>
      </c>
      <c r="B2150" s="895" t="s">
        <v>147</v>
      </c>
      <c r="C2150" s="896"/>
      <c r="D2150" s="906" t="s">
        <v>233</v>
      </c>
      <c r="E2150" s="907">
        <f>GLOBAL_DER_FEV_2023!E2150</f>
        <v>0.2</v>
      </c>
      <c r="F2150" s="908">
        <f>GLOBAL_DER_FEV_2023!F2150</f>
        <v>0.89466000000000001</v>
      </c>
      <c r="G2150" s="949">
        <f>GLOBAL_DER_FEV_2023!G2150</f>
        <v>2.5891460400000001</v>
      </c>
      <c r="H2150" s="901">
        <f>GLOBAL_DER_FEV_2023!H2150</f>
        <v>0</v>
      </c>
      <c r="I2150" s="901">
        <f>GLOBAL_DER_FEV_2023!I2150</f>
        <v>0</v>
      </c>
      <c r="J2150" s="902">
        <f>GLOBAL_DER_FEV_2023!J2150</f>
        <v>0</v>
      </c>
      <c r="K2150" s="903"/>
      <c r="L2150" s="1177"/>
      <c r="M2150" s="1138">
        <f t="shared" si="214"/>
        <v>0</v>
      </c>
      <c r="N2150" s="1176">
        <f t="shared" si="218"/>
        <v>0</v>
      </c>
      <c r="O2150" s="905"/>
      <c r="P2150" s="36" t="str">
        <f>IF(N2147&gt;0,"xx",IF(N2147&gt;0,"xy",""))</f>
        <v/>
      </c>
      <c r="Q2150" s="317" t="str">
        <f t="shared" si="215"/>
        <v/>
      </c>
      <c r="R2150" s="317" t="str">
        <f t="shared" si="216"/>
        <v/>
      </c>
      <c r="S2150" s="317" t="str">
        <f t="shared" si="217"/>
        <v/>
      </c>
      <c r="T2150" s="317" t="str">
        <f>GLOBAL_DER_FEV_2023!S2150</f>
        <v/>
      </c>
      <c r="W2150" s="582">
        <v>0</v>
      </c>
      <c r="X2150" s="580"/>
      <c r="Y2150" s="583">
        <f>IF(GLOBAL_DER_FEV_2023!W2150=0,0,IF(GLOBAL_DER_FEV_2023!W2150&gt;0,"c","b"))</f>
        <v>0</v>
      </c>
    </row>
    <row r="2151" spans="1:25" ht="15" customHeight="1" x14ac:dyDescent="0.2">
      <c r="A2151" s="317" t="s">
        <v>23</v>
      </c>
      <c r="B2151" s="895" t="s">
        <v>23</v>
      </c>
      <c r="C2151" s="896" t="s">
        <v>184</v>
      </c>
      <c r="D2151" s="906" t="s">
        <v>88</v>
      </c>
      <c r="E2151" s="907">
        <f>GLOBAL_DER_FEV_2023!E2151</f>
        <v>0</v>
      </c>
      <c r="F2151" s="908">
        <f>GLOBAL_DER_FEV_2023!F2151</f>
        <v>0</v>
      </c>
      <c r="G2151" s="912">
        <f>GLOBAL_DER_FEV_2023!G2151</f>
        <v>250.08122984000002</v>
      </c>
      <c r="H2151" s="901">
        <f>GLOBAL_DER_FEV_2023!H2151</f>
        <v>2551.63</v>
      </c>
      <c r="I2151" s="901">
        <f>GLOBAL_DER_FEV_2023!I2151</f>
        <v>2801.7112298400002</v>
      </c>
      <c r="J2151" s="902">
        <f>GLOBAL_DER_FEV_2023!J2151</f>
        <v>3364.01</v>
      </c>
      <c r="K2151" s="903" t="s">
        <v>15</v>
      </c>
      <c r="L2151" s="1137"/>
      <c r="M2151" s="1138">
        <f t="shared" si="214"/>
        <v>0</v>
      </c>
      <c r="N2151" s="1176">
        <f t="shared" si="218"/>
        <v>0</v>
      </c>
      <c r="O2151" s="905"/>
      <c r="Q2151" s="317" t="str">
        <f t="shared" si="215"/>
        <v/>
      </c>
      <c r="R2151" s="317" t="str">
        <f t="shared" si="216"/>
        <v/>
      </c>
      <c r="S2151" s="317" t="str">
        <f t="shared" si="217"/>
        <v/>
      </c>
      <c r="T2151" s="317" t="str">
        <f>GLOBAL_DER_FEV_2023!S2151</f>
        <v/>
      </c>
      <c r="W2151" s="582">
        <v>0</v>
      </c>
      <c r="X2151" s="580"/>
      <c r="Y2151" s="583">
        <f>IF(GLOBAL_DER_FEV_2023!W2151=0,0,IF(GLOBAL_DER_FEV_2023!W2151&gt;0,"c","b"))</f>
        <v>0</v>
      </c>
    </row>
    <row r="2152" spans="1:25" ht="15" customHeight="1" x14ac:dyDescent="0.2">
      <c r="A2152" s="317" t="s">
        <v>147</v>
      </c>
      <c r="B2152" s="895" t="s">
        <v>147</v>
      </c>
      <c r="C2152" s="896"/>
      <c r="D2152" s="906" t="s">
        <v>190</v>
      </c>
      <c r="E2152" s="907">
        <f>GLOBAL_DER_FEV_2023!E2152</f>
        <v>308</v>
      </c>
      <c r="F2152" s="908">
        <f>GLOBAL_DER_FEV_2023!F2152</f>
        <v>0.34338000000000002</v>
      </c>
      <c r="G2152" s="909">
        <f>GLOBAL_DER_FEV_2023!G2152</f>
        <v>85.178842800000012</v>
      </c>
      <c r="H2152" s="901">
        <f>GLOBAL_DER_FEV_2023!H2152</f>
        <v>0</v>
      </c>
      <c r="I2152" s="901">
        <f>GLOBAL_DER_FEV_2023!I2152</f>
        <v>0</v>
      </c>
      <c r="J2152" s="902">
        <f>GLOBAL_DER_FEV_2023!J2152</f>
        <v>0</v>
      </c>
      <c r="K2152" s="903"/>
      <c r="L2152" s="1177"/>
      <c r="M2152" s="1138">
        <f t="shared" si="214"/>
        <v>0</v>
      </c>
      <c r="N2152" s="1176">
        <f t="shared" si="218"/>
        <v>0</v>
      </c>
      <c r="O2152" s="905"/>
      <c r="P2152" s="36" t="str">
        <f>IF(N2151&gt;0,"xx",IF(N2151&gt;0,"xy",""))</f>
        <v/>
      </c>
      <c r="Q2152" s="317" t="str">
        <f t="shared" si="215"/>
        <v/>
      </c>
      <c r="R2152" s="317" t="str">
        <f t="shared" si="216"/>
        <v/>
      </c>
      <c r="S2152" s="317" t="str">
        <f t="shared" si="217"/>
        <v/>
      </c>
      <c r="T2152" s="317" t="str">
        <f>GLOBAL_DER_FEV_2023!S2152</f>
        <v/>
      </c>
      <c r="W2152" s="582">
        <v>0</v>
      </c>
      <c r="X2152" s="580"/>
      <c r="Y2152" s="583">
        <f>IF(GLOBAL_DER_FEV_2023!W2152=0,0,IF(GLOBAL_DER_FEV_2023!W2152&gt;0,"c","b"))</f>
        <v>0</v>
      </c>
    </row>
    <row r="2153" spans="1:25" ht="15" customHeight="1" x14ac:dyDescent="0.2">
      <c r="A2153" s="317" t="s">
        <v>147</v>
      </c>
      <c r="B2153" s="895" t="s">
        <v>147</v>
      </c>
      <c r="C2153" s="896"/>
      <c r="D2153" s="906" t="s">
        <v>229</v>
      </c>
      <c r="E2153" s="907">
        <f>GLOBAL_DER_FEV_2023!E2153</f>
        <v>150</v>
      </c>
      <c r="F2153" s="908">
        <f>GLOBAL_DER_FEV_2023!F2153</f>
        <v>0.98957000000000006</v>
      </c>
      <c r="G2153" s="949">
        <f>GLOBAL_DER_FEV_2023!G2153</f>
        <v>161.47803260000001</v>
      </c>
      <c r="H2153" s="901">
        <f>GLOBAL_DER_FEV_2023!H2153</f>
        <v>0</v>
      </c>
      <c r="I2153" s="901">
        <f>GLOBAL_DER_FEV_2023!I2153</f>
        <v>0</v>
      </c>
      <c r="J2153" s="902">
        <f>GLOBAL_DER_FEV_2023!J2153</f>
        <v>0</v>
      </c>
      <c r="K2153" s="903"/>
      <c r="L2153" s="1177"/>
      <c r="M2153" s="1138">
        <f t="shared" si="214"/>
        <v>0</v>
      </c>
      <c r="N2153" s="1176">
        <f t="shared" si="218"/>
        <v>0</v>
      </c>
      <c r="O2153" s="905"/>
      <c r="P2153" s="36" t="str">
        <f>IF(N2151&gt;0,"xx",IF(N2151&gt;0,"xy",""))</f>
        <v/>
      </c>
      <c r="Q2153" s="317" t="str">
        <f t="shared" si="215"/>
        <v/>
      </c>
      <c r="R2153" s="317" t="str">
        <f t="shared" si="216"/>
        <v/>
      </c>
      <c r="S2153" s="317" t="str">
        <f t="shared" si="217"/>
        <v/>
      </c>
      <c r="T2153" s="317" t="str">
        <f>GLOBAL_DER_FEV_2023!S2153</f>
        <v/>
      </c>
      <c r="W2153" s="582">
        <v>0</v>
      </c>
      <c r="X2153" s="580"/>
      <c r="Y2153" s="583">
        <f>IF(GLOBAL_DER_FEV_2023!W2153=0,0,IF(GLOBAL_DER_FEV_2023!W2153&gt;0,"c","b"))</f>
        <v>0</v>
      </c>
    </row>
    <row r="2154" spans="1:25" ht="15" customHeight="1" x14ac:dyDescent="0.2">
      <c r="A2154" s="317" t="s">
        <v>147</v>
      </c>
      <c r="B2154" s="895" t="s">
        <v>147</v>
      </c>
      <c r="C2154" s="896"/>
      <c r="D2154" s="906" t="s">
        <v>233</v>
      </c>
      <c r="E2154" s="907">
        <f>GLOBAL_DER_FEV_2023!E2154</f>
        <v>0.2</v>
      </c>
      <c r="F2154" s="908">
        <f>GLOBAL_DER_FEV_2023!F2154</f>
        <v>1.1832600000000002</v>
      </c>
      <c r="G2154" s="949">
        <f>GLOBAL_DER_FEV_2023!G2154</f>
        <v>3.4243544400000006</v>
      </c>
      <c r="H2154" s="901">
        <f>GLOBAL_DER_FEV_2023!H2154</f>
        <v>0</v>
      </c>
      <c r="I2154" s="901">
        <f>GLOBAL_DER_FEV_2023!I2154</f>
        <v>0</v>
      </c>
      <c r="J2154" s="902">
        <f>GLOBAL_DER_FEV_2023!J2154</f>
        <v>0</v>
      </c>
      <c r="K2154" s="903"/>
      <c r="L2154" s="1177"/>
      <c r="M2154" s="1138">
        <f t="shared" si="214"/>
        <v>0</v>
      </c>
      <c r="N2154" s="1176">
        <f t="shared" si="218"/>
        <v>0</v>
      </c>
      <c r="O2154" s="905"/>
      <c r="P2154" s="36" t="str">
        <f>IF(N2151&gt;0,"xx",IF(N2151&gt;0,"xy",""))</f>
        <v/>
      </c>
      <c r="Q2154" s="317" t="str">
        <f t="shared" si="215"/>
        <v/>
      </c>
      <c r="R2154" s="317" t="str">
        <f t="shared" si="216"/>
        <v/>
      </c>
      <c r="S2154" s="317" t="str">
        <f t="shared" si="217"/>
        <v/>
      </c>
      <c r="T2154" s="317" t="str">
        <f>GLOBAL_DER_FEV_2023!S2154</f>
        <v/>
      </c>
      <c r="W2154" s="582">
        <v>0</v>
      </c>
      <c r="X2154" s="580"/>
      <c r="Y2154" s="583">
        <f>IF(GLOBAL_DER_FEV_2023!W2154=0,0,IF(GLOBAL_DER_FEV_2023!W2154&gt;0,"c","b"))</f>
        <v>0</v>
      </c>
    </row>
    <row r="2155" spans="1:25" ht="15" customHeight="1" x14ac:dyDescent="0.2">
      <c r="A2155" s="317" t="s">
        <v>24</v>
      </c>
      <c r="B2155" s="895" t="s">
        <v>24</v>
      </c>
      <c r="C2155" s="896" t="s">
        <v>184</v>
      </c>
      <c r="D2155" s="906" t="s">
        <v>89</v>
      </c>
      <c r="E2155" s="907">
        <f>GLOBAL_DER_FEV_2023!E2155</f>
        <v>0</v>
      </c>
      <c r="F2155" s="908">
        <f>GLOBAL_DER_FEV_2023!F2155</f>
        <v>0</v>
      </c>
      <c r="G2155" s="912">
        <f>GLOBAL_DER_FEV_2023!G2155</f>
        <v>311.27506904000001</v>
      </c>
      <c r="H2155" s="901">
        <f>GLOBAL_DER_FEV_2023!H2155</f>
        <v>3101.29</v>
      </c>
      <c r="I2155" s="901">
        <f>GLOBAL_DER_FEV_2023!I2155</f>
        <v>3412.5650690399998</v>
      </c>
      <c r="J2155" s="902">
        <f>GLOBAL_DER_FEV_2023!J2155</f>
        <v>4097.47</v>
      </c>
      <c r="K2155" s="903" t="s">
        <v>15</v>
      </c>
      <c r="L2155" s="1137"/>
      <c r="M2155" s="1138">
        <f t="shared" si="214"/>
        <v>0</v>
      </c>
      <c r="N2155" s="1176">
        <f t="shared" si="218"/>
        <v>0</v>
      </c>
      <c r="O2155" s="905"/>
      <c r="Q2155" s="317" t="str">
        <f t="shared" si="215"/>
        <v/>
      </c>
      <c r="R2155" s="317" t="str">
        <f t="shared" si="216"/>
        <v/>
      </c>
      <c r="S2155" s="317" t="str">
        <f t="shared" si="217"/>
        <v/>
      </c>
      <c r="T2155" s="317" t="str">
        <f>GLOBAL_DER_FEV_2023!S2155</f>
        <v/>
      </c>
      <c r="W2155" s="582">
        <v>0</v>
      </c>
      <c r="X2155" s="580"/>
      <c r="Y2155" s="583">
        <f>IF(GLOBAL_DER_FEV_2023!W2155=0,0,IF(GLOBAL_DER_FEV_2023!W2155&gt;0,"c","b"))</f>
        <v>0</v>
      </c>
    </row>
    <row r="2156" spans="1:25" ht="15" customHeight="1" x14ac:dyDescent="0.2">
      <c r="A2156" s="317" t="s">
        <v>147</v>
      </c>
      <c r="B2156" s="895" t="s">
        <v>147</v>
      </c>
      <c r="C2156" s="896"/>
      <c r="D2156" s="906" t="s">
        <v>190</v>
      </c>
      <c r="E2156" s="907">
        <f>GLOBAL_DER_FEV_2023!E2156</f>
        <v>308</v>
      </c>
      <c r="F2156" s="908">
        <f>GLOBAL_DER_FEV_2023!F2156</f>
        <v>0.42918000000000001</v>
      </c>
      <c r="G2156" s="909">
        <f>GLOBAL_DER_FEV_2023!G2156</f>
        <v>106.46239080000001</v>
      </c>
      <c r="H2156" s="901">
        <f>GLOBAL_DER_FEV_2023!H2156</f>
        <v>0</v>
      </c>
      <c r="I2156" s="901">
        <f>GLOBAL_DER_FEV_2023!I2156</f>
        <v>0</v>
      </c>
      <c r="J2156" s="902">
        <f>GLOBAL_DER_FEV_2023!J2156</f>
        <v>0</v>
      </c>
      <c r="K2156" s="903"/>
      <c r="L2156" s="1177"/>
      <c r="M2156" s="1138">
        <f t="shared" si="214"/>
        <v>0</v>
      </c>
      <c r="N2156" s="1176">
        <f t="shared" si="218"/>
        <v>0</v>
      </c>
      <c r="O2156" s="905"/>
      <c r="P2156" s="36" t="str">
        <f>IF(N2155&gt;0,"xx",IF(N2155&gt;0,"xy",""))</f>
        <v/>
      </c>
      <c r="Q2156" s="317" t="str">
        <f t="shared" si="215"/>
        <v/>
      </c>
      <c r="R2156" s="317" t="str">
        <f t="shared" si="216"/>
        <v/>
      </c>
      <c r="S2156" s="317" t="str">
        <f t="shared" si="217"/>
        <v/>
      </c>
      <c r="T2156" s="317" t="str">
        <f>GLOBAL_DER_FEV_2023!S2156</f>
        <v/>
      </c>
      <c r="W2156" s="582">
        <v>0</v>
      </c>
      <c r="X2156" s="580"/>
      <c r="Y2156" s="583">
        <f>IF(GLOBAL_DER_FEV_2023!W2156=0,0,IF(GLOBAL_DER_FEV_2023!W2156&gt;0,"c","b"))</f>
        <v>0</v>
      </c>
    </row>
    <row r="2157" spans="1:25" ht="15" customHeight="1" x14ac:dyDescent="0.2">
      <c r="A2157" s="317" t="s">
        <v>147</v>
      </c>
      <c r="B2157" s="895" t="s">
        <v>147</v>
      </c>
      <c r="C2157" s="896"/>
      <c r="D2157" s="906" t="s">
        <v>229</v>
      </c>
      <c r="E2157" s="907">
        <f>GLOBAL_DER_FEV_2023!E2157</f>
        <v>150</v>
      </c>
      <c r="F2157" s="908">
        <f>GLOBAL_DER_FEV_2023!F2157</f>
        <v>1.2290300000000001</v>
      </c>
      <c r="G2157" s="949">
        <f>GLOBAL_DER_FEV_2023!G2157</f>
        <v>200.55311540000002</v>
      </c>
      <c r="H2157" s="901">
        <f>GLOBAL_DER_FEV_2023!H2157</f>
        <v>0</v>
      </c>
      <c r="I2157" s="901">
        <f>GLOBAL_DER_FEV_2023!I2157</f>
        <v>0</v>
      </c>
      <c r="J2157" s="902">
        <f>GLOBAL_DER_FEV_2023!J2157</f>
        <v>0</v>
      </c>
      <c r="K2157" s="903"/>
      <c r="L2157" s="1177"/>
      <c r="M2157" s="1138">
        <f t="shared" si="214"/>
        <v>0</v>
      </c>
      <c r="N2157" s="1176">
        <f t="shared" si="218"/>
        <v>0</v>
      </c>
      <c r="O2157" s="905"/>
      <c r="P2157" s="36" t="str">
        <f>IF(N2155&gt;0,"xx",IF(N2155&gt;0,"xy",""))</f>
        <v/>
      </c>
      <c r="Q2157" s="317" t="str">
        <f t="shared" si="215"/>
        <v/>
      </c>
      <c r="R2157" s="317" t="str">
        <f t="shared" si="216"/>
        <v/>
      </c>
      <c r="S2157" s="317" t="str">
        <f t="shared" si="217"/>
        <v/>
      </c>
      <c r="T2157" s="317" t="str">
        <f>GLOBAL_DER_FEV_2023!S2157</f>
        <v/>
      </c>
      <c r="W2157" s="582">
        <v>0</v>
      </c>
      <c r="X2157" s="580"/>
      <c r="Y2157" s="583">
        <f>IF(GLOBAL_DER_FEV_2023!W2157=0,0,IF(GLOBAL_DER_FEV_2023!W2157&gt;0,"c","b"))</f>
        <v>0</v>
      </c>
    </row>
    <row r="2158" spans="1:25" ht="15" customHeight="1" x14ac:dyDescent="0.2">
      <c r="A2158" s="317" t="s">
        <v>147</v>
      </c>
      <c r="B2158" s="895" t="s">
        <v>147</v>
      </c>
      <c r="C2158" s="896"/>
      <c r="D2158" s="906" t="s">
        <v>233</v>
      </c>
      <c r="E2158" s="907">
        <f>GLOBAL_DER_FEV_2023!E2158</f>
        <v>0.2</v>
      </c>
      <c r="F2158" s="908">
        <f>GLOBAL_DER_FEV_2023!F2158</f>
        <v>1.4718600000000002</v>
      </c>
      <c r="G2158" s="949">
        <f>GLOBAL_DER_FEV_2023!G2158</f>
        <v>4.259562840000001</v>
      </c>
      <c r="H2158" s="901">
        <f>GLOBAL_DER_FEV_2023!H2158</f>
        <v>0</v>
      </c>
      <c r="I2158" s="901">
        <f>GLOBAL_DER_FEV_2023!I2158</f>
        <v>0</v>
      </c>
      <c r="J2158" s="902">
        <f>GLOBAL_DER_FEV_2023!J2158</f>
        <v>0</v>
      </c>
      <c r="K2158" s="903"/>
      <c r="L2158" s="1177"/>
      <c r="M2158" s="1138">
        <f t="shared" si="214"/>
        <v>0</v>
      </c>
      <c r="N2158" s="1176">
        <f t="shared" si="218"/>
        <v>0</v>
      </c>
      <c r="O2158" s="905"/>
      <c r="P2158" s="36" t="str">
        <f>IF(N2155&gt;0,"xx",IF(N2155&gt;0,"xy",""))</f>
        <v/>
      </c>
      <c r="Q2158" s="317" t="str">
        <f t="shared" si="215"/>
        <v/>
      </c>
      <c r="R2158" s="317" t="str">
        <f t="shared" si="216"/>
        <v/>
      </c>
      <c r="S2158" s="317" t="str">
        <f t="shared" si="217"/>
        <v/>
      </c>
      <c r="T2158" s="317" t="str">
        <f>GLOBAL_DER_FEV_2023!S2158</f>
        <v/>
      </c>
      <c r="W2158" s="582">
        <v>0</v>
      </c>
      <c r="X2158" s="580"/>
      <c r="Y2158" s="583">
        <f>IF(GLOBAL_DER_FEV_2023!W2158=0,0,IF(GLOBAL_DER_FEV_2023!W2158&gt;0,"c","b"))</f>
        <v>0</v>
      </c>
    </row>
    <row r="2159" spans="1:25" ht="15" customHeight="1" x14ac:dyDescent="0.2">
      <c r="A2159" s="317" t="s">
        <v>25</v>
      </c>
      <c r="B2159" s="895" t="s">
        <v>25</v>
      </c>
      <c r="C2159" s="896" t="s">
        <v>184</v>
      </c>
      <c r="D2159" s="906" t="s">
        <v>83</v>
      </c>
      <c r="E2159" s="907">
        <f>GLOBAL_DER_FEV_2023!E2159</f>
        <v>0</v>
      </c>
      <c r="F2159" s="908">
        <f>GLOBAL_DER_FEV_2023!F2159</f>
        <v>0</v>
      </c>
      <c r="G2159" s="912">
        <f>GLOBAL_DER_FEV_2023!G2159</f>
        <v>274.34302380400004</v>
      </c>
      <c r="H2159" s="901">
        <f>GLOBAL_DER_FEV_2023!H2159</f>
        <v>2761.42</v>
      </c>
      <c r="I2159" s="901">
        <f>GLOBAL_DER_FEV_2023!I2159</f>
        <v>3035.7630238040001</v>
      </c>
      <c r="J2159" s="902">
        <f>GLOBAL_DER_FEV_2023!J2159</f>
        <v>3645.04</v>
      </c>
      <c r="K2159" s="903" t="s">
        <v>15</v>
      </c>
      <c r="L2159" s="1137"/>
      <c r="M2159" s="1138">
        <f t="shared" si="214"/>
        <v>0</v>
      </c>
      <c r="N2159" s="1176">
        <f t="shared" si="218"/>
        <v>0</v>
      </c>
      <c r="O2159" s="905"/>
      <c r="Q2159" s="317" t="str">
        <f t="shared" si="215"/>
        <v/>
      </c>
      <c r="R2159" s="317" t="str">
        <f t="shared" si="216"/>
        <v/>
      </c>
      <c r="S2159" s="317" t="str">
        <f t="shared" si="217"/>
        <v/>
      </c>
      <c r="T2159" s="317" t="str">
        <f>GLOBAL_DER_FEV_2023!S2159</f>
        <v/>
      </c>
      <c r="W2159" s="582">
        <v>0</v>
      </c>
      <c r="X2159" s="580"/>
      <c r="Y2159" s="583">
        <f>IF(GLOBAL_DER_FEV_2023!W2159=0,0,IF(GLOBAL_DER_FEV_2023!W2159&gt;0,"c","b"))</f>
        <v>0</v>
      </c>
    </row>
    <row r="2160" spans="1:25" ht="15" customHeight="1" x14ac:dyDescent="0.2">
      <c r="A2160" s="317" t="s">
        <v>147</v>
      </c>
      <c r="B2160" s="895" t="s">
        <v>147</v>
      </c>
      <c r="C2160" s="896"/>
      <c r="D2160" s="906" t="s">
        <v>190</v>
      </c>
      <c r="E2160" s="907">
        <f>GLOBAL_DER_FEV_2023!E2160</f>
        <v>308</v>
      </c>
      <c r="F2160" s="908">
        <f>GLOBAL_DER_FEV_2023!F2160</f>
        <v>0.2047668</v>
      </c>
      <c r="G2160" s="909">
        <f>GLOBAL_DER_FEV_2023!G2160</f>
        <v>50.794452407999998</v>
      </c>
      <c r="H2160" s="901">
        <f>GLOBAL_DER_FEV_2023!H2160</f>
        <v>0</v>
      </c>
      <c r="I2160" s="901">
        <f>GLOBAL_DER_FEV_2023!I2160</f>
        <v>0</v>
      </c>
      <c r="J2160" s="902">
        <f>GLOBAL_DER_FEV_2023!J2160</f>
        <v>0</v>
      </c>
      <c r="K2160" s="903"/>
      <c r="L2160" s="1177"/>
      <c r="M2160" s="1138">
        <f t="shared" si="214"/>
        <v>0</v>
      </c>
      <c r="N2160" s="1176">
        <f t="shared" si="218"/>
        <v>0</v>
      </c>
      <c r="O2160" s="905"/>
      <c r="P2160" s="36" t="str">
        <f>IF(N2159&gt;0,"xx",IF(N2159&gt;0,"xy",""))</f>
        <v/>
      </c>
      <c r="Q2160" s="317" t="str">
        <f t="shared" si="215"/>
        <v/>
      </c>
      <c r="R2160" s="317" t="str">
        <f t="shared" si="216"/>
        <v/>
      </c>
      <c r="S2160" s="317" t="str">
        <f t="shared" si="217"/>
        <v/>
      </c>
      <c r="T2160" s="317" t="str">
        <f>GLOBAL_DER_FEV_2023!S2160</f>
        <v/>
      </c>
      <c r="W2160" s="582">
        <v>0</v>
      </c>
      <c r="X2160" s="580"/>
      <c r="Y2160" s="583">
        <f>IF(GLOBAL_DER_FEV_2023!W2160=0,0,IF(GLOBAL_DER_FEV_2023!W2160&gt;0,"c","b"))</f>
        <v>0</v>
      </c>
    </row>
    <row r="2161" spans="1:25" ht="15" customHeight="1" x14ac:dyDescent="0.2">
      <c r="A2161" s="317" t="s">
        <v>147</v>
      </c>
      <c r="B2161" s="895" t="s">
        <v>147</v>
      </c>
      <c r="C2161" s="896"/>
      <c r="D2161" s="906" t="s">
        <v>229</v>
      </c>
      <c r="E2161" s="907">
        <f>GLOBAL_DER_FEV_2023!E2161</f>
        <v>150</v>
      </c>
      <c r="F2161" s="908">
        <f>GLOBAL_DER_FEV_2023!F2161</f>
        <v>1.1293030000000002</v>
      </c>
      <c r="G2161" s="949">
        <f>GLOBAL_DER_FEV_2023!G2161</f>
        <v>184.27966354000003</v>
      </c>
      <c r="H2161" s="901">
        <f>GLOBAL_DER_FEV_2023!H2161</f>
        <v>0</v>
      </c>
      <c r="I2161" s="901">
        <f>GLOBAL_DER_FEV_2023!I2161</f>
        <v>0</v>
      </c>
      <c r="J2161" s="902">
        <f>GLOBAL_DER_FEV_2023!J2161</f>
        <v>0</v>
      </c>
      <c r="K2161" s="903"/>
      <c r="L2161" s="1177"/>
      <c r="M2161" s="1138">
        <f t="shared" si="214"/>
        <v>0</v>
      </c>
      <c r="N2161" s="1176">
        <f t="shared" si="218"/>
        <v>0</v>
      </c>
      <c r="O2161" s="905"/>
      <c r="P2161" s="36" t="str">
        <f>IF(N2159&gt;0,"xx",IF(N2159&gt;0,"xy",""))</f>
        <v/>
      </c>
      <c r="Q2161" s="317" t="str">
        <f t="shared" si="215"/>
        <v/>
      </c>
      <c r="R2161" s="317" t="str">
        <f t="shared" si="216"/>
        <v/>
      </c>
      <c r="S2161" s="317" t="str">
        <f t="shared" si="217"/>
        <v/>
      </c>
      <c r="T2161" s="317" t="str">
        <f>GLOBAL_DER_FEV_2023!S2161</f>
        <v/>
      </c>
      <c r="W2161" s="582">
        <v>0</v>
      </c>
      <c r="X2161" s="580"/>
      <c r="Y2161" s="583">
        <f>IF(GLOBAL_DER_FEV_2023!W2161=0,0,IF(GLOBAL_DER_FEV_2023!W2161&gt;0,"c","b"))</f>
        <v>0</v>
      </c>
    </row>
    <row r="2162" spans="1:25" ht="15" customHeight="1" x14ac:dyDescent="0.2">
      <c r="A2162" s="317" t="s">
        <v>147</v>
      </c>
      <c r="B2162" s="895" t="s">
        <v>147</v>
      </c>
      <c r="C2162" s="896"/>
      <c r="D2162" s="906" t="s">
        <v>233</v>
      </c>
      <c r="E2162" s="907">
        <f>GLOBAL_DER_FEV_2023!E2162</f>
        <v>0.2</v>
      </c>
      <c r="F2162" s="908">
        <f>GLOBAL_DER_FEV_2023!F2162</f>
        <v>0.38805600000000001</v>
      </c>
      <c r="G2162" s="949">
        <f>GLOBAL_DER_FEV_2023!G2162</f>
        <v>1.1230340640000001</v>
      </c>
      <c r="H2162" s="901">
        <f>GLOBAL_DER_FEV_2023!H2162</f>
        <v>0</v>
      </c>
      <c r="I2162" s="901">
        <f>GLOBAL_DER_FEV_2023!I2162</f>
        <v>0</v>
      </c>
      <c r="J2162" s="902">
        <f>GLOBAL_DER_FEV_2023!J2162</f>
        <v>0</v>
      </c>
      <c r="K2162" s="903"/>
      <c r="L2162" s="1177"/>
      <c r="M2162" s="1138">
        <f t="shared" si="214"/>
        <v>0</v>
      </c>
      <c r="N2162" s="1176">
        <f t="shared" si="218"/>
        <v>0</v>
      </c>
      <c r="O2162" s="905"/>
      <c r="P2162" s="36" t="str">
        <f>IF(N2159&gt;0,"xx",IF(N2159&gt;0,"xy",""))</f>
        <v/>
      </c>
      <c r="Q2162" s="317" t="str">
        <f t="shared" si="215"/>
        <v/>
      </c>
      <c r="R2162" s="317" t="str">
        <f t="shared" si="216"/>
        <v/>
      </c>
      <c r="S2162" s="317" t="str">
        <f t="shared" si="217"/>
        <v/>
      </c>
      <c r="T2162" s="317" t="str">
        <f>GLOBAL_DER_FEV_2023!S2162</f>
        <v/>
      </c>
      <c r="W2162" s="582">
        <v>0</v>
      </c>
      <c r="X2162" s="580"/>
      <c r="Y2162" s="583">
        <f>IF(GLOBAL_DER_FEV_2023!W2162=0,0,IF(GLOBAL_DER_FEV_2023!W2162&gt;0,"c","b"))</f>
        <v>0</v>
      </c>
    </row>
    <row r="2163" spans="1:25" ht="15" customHeight="1" x14ac:dyDescent="0.2">
      <c r="A2163" s="317" t="s">
        <v>147</v>
      </c>
      <c r="B2163" s="895" t="s">
        <v>147</v>
      </c>
      <c r="C2163" s="896"/>
      <c r="D2163" s="906" t="s">
        <v>365</v>
      </c>
      <c r="E2163" s="907">
        <f>GLOBAL_DER_FEV_2023!E2163</f>
        <v>10</v>
      </c>
      <c r="F2163" s="908">
        <f>GLOBAL_DER_FEV_2023!F2163</f>
        <v>1.6716959999999998</v>
      </c>
      <c r="G2163" s="949">
        <f>GLOBAL_DER_FEV_2023!G2163</f>
        <v>22.36729248</v>
      </c>
      <c r="H2163" s="901">
        <f>GLOBAL_DER_FEV_2023!H2163</f>
        <v>0</v>
      </c>
      <c r="I2163" s="901">
        <f>GLOBAL_DER_FEV_2023!I2163</f>
        <v>0</v>
      </c>
      <c r="J2163" s="902">
        <f>GLOBAL_DER_FEV_2023!J2163</f>
        <v>0</v>
      </c>
      <c r="K2163" s="903"/>
      <c r="L2163" s="1177"/>
      <c r="M2163" s="1138">
        <f t="shared" si="214"/>
        <v>0</v>
      </c>
      <c r="N2163" s="1176">
        <f t="shared" si="218"/>
        <v>0</v>
      </c>
      <c r="O2163" s="905"/>
      <c r="P2163" s="36" t="str">
        <f>IF(N2159&gt;0,"xx",IF(N2159&gt;0,"xy",""))</f>
        <v/>
      </c>
      <c r="Q2163" s="317" t="str">
        <f t="shared" si="215"/>
        <v/>
      </c>
      <c r="R2163" s="317" t="str">
        <f t="shared" si="216"/>
        <v/>
      </c>
      <c r="S2163" s="317" t="str">
        <f t="shared" si="217"/>
        <v/>
      </c>
      <c r="T2163" s="317" t="str">
        <f>GLOBAL_DER_FEV_2023!S2163</f>
        <v/>
      </c>
      <c r="W2163" s="582">
        <v>0</v>
      </c>
      <c r="X2163" s="580"/>
      <c r="Y2163" s="583">
        <f>IF(GLOBAL_DER_FEV_2023!W2163=0,0,IF(GLOBAL_DER_FEV_2023!W2163&gt;0,"c","b"))</f>
        <v>0</v>
      </c>
    </row>
    <row r="2164" spans="1:25" ht="15" customHeight="1" x14ac:dyDescent="0.2">
      <c r="A2164" s="317" t="s">
        <v>147</v>
      </c>
      <c r="B2164" s="895" t="s">
        <v>147</v>
      </c>
      <c r="C2164" s="896"/>
      <c r="D2164" s="906" t="s">
        <v>366</v>
      </c>
      <c r="E2164" s="907">
        <f>GLOBAL_DER_FEV_2023!E2164</f>
        <v>353</v>
      </c>
      <c r="F2164" s="908">
        <f>GLOBAL_DER_FEV_2023!F2164</f>
        <v>5.5723200000000001E-2</v>
      </c>
      <c r="G2164" s="909">
        <f>GLOBAL_DER_FEV_2023!G2164</f>
        <v>15.778581312000002</v>
      </c>
      <c r="H2164" s="901">
        <f>GLOBAL_DER_FEV_2023!H2164</f>
        <v>0</v>
      </c>
      <c r="I2164" s="901">
        <f>GLOBAL_DER_FEV_2023!I2164</f>
        <v>0</v>
      </c>
      <c r="J2164" s="902">
        <f>GLOBAL_DER_FEV_2023!J2164</f>
        <v>0</v>
      </c>
      <c r="K2164" s="903"/>
      <c r="L2164" s="1177"/>
      <c r="M2164" s="1138">
        <f t="shared" si="214"/>
        <v>0</v>
      </c>
      <c r="N2164" s="1176">
        <f t="shared" si="218"/>
        <v>0</v>
      </c>
      <c r="O2164" s="905"/>
      <c r="P2164" s="36" t="str">
        <f>IF(N2159&gt;0,"xx",IF(N2159&gt;0,"xy",""))</f>
        <v/>
      </c>
      <c r="Q2164" s="317" t="str">
        <f t="shared" si="215"/>
        <v/>
      </c>
      <c r="R2164" s="317" t="str">
        <f t="shared" si="216"/>
        <v/>
      </c>
      <c r="S2164" s="317" t="str">
        <f t="shared" si="217"/>
        <v/>
      </c>
      <c r="T2164" s="317" t="str">
        <f>GLOBAL_DER_FEV_2023!S2164</f>
        <v/>
      </c>
      <c r="W2164" s="582">
        <v>0</v>
      </c>
      <c r="X2164" s="580"/>
      <c r="Y2164" s="583">
        <f>IF(GLOBAL_DER_FEV_2023!W2164=0,0,IF(GLOBAL_DER_FEV_2023!W2164&gt;0,"c","b"))</f>
        <v>0</v>
      </c>
    </row>
    <row r="2165" spans="1:25" ht="15" customHeight="1" x14ac:dyDescent="0.2">
      <c r="A2165" s="317" t="s">
        <v>26</v>
      </c>
      <c r="B2165" s="895" t="s">
        <v>26</v>
      </c>
      <c r="C2165" s="896" t="s">
        <v>184</v>
      </c>
      <c r="D2165" s="906" t="s">
        <v>84</v>
      </c>
      <c r="E2165" s="907">
        <f>GLOBAL_DER_FEV_2023!E2165</f>
        <v>0</v>
      </c>
      <c r="F2165" s="908">
        <f>GLOBAL_DER_FEV_2023!F2165</f>
        <v>0</v>
      </c>
      <c r="G2165" s="912">
        <f>GLOBAL_DER_FEV_2023!G2165</f>
        <v>323.00686500400002</v>
      </c>
      <c r="H2165" s="901">
        <f>GLOBAL_DER_FEV_2023!H2165</f>
        <v>3050.91</v>
      </c>
      <c r="I2165" s="901">
        <f>GLOBAL_DER_FEV_2023!I2165</f>
        <v>3373.9168650040001</v>
      </c>
      <c r="J2165" s="902">
        <f>GLOBAL_DER_FEV_2023!J2165</f>
        <v>4051.06</v>
      </c>
      <c r="K2165" s="903" t="s">
        <v>15</v>
      </c>
      <c r="L2165" s="1137"/>
      <c r="M2165" s="1138">
        <f t="shared" si="214"/>
        <v>0</v>
      </c>
      <c r="N2165" s="1176">
        <f t="shared" si="218"/>
        <v>0</v>
      </c>
      <c r="O2165" s="905"/>
      <c r="Q2165" s="317" t="str">
        <f t="shared" si="215"/>
        <v/>
      </c>
      <c r="R2165" s="317" t="str">
        <f t="shared" si="216"/>
        <v/>
      </c>
      <c r="S2165" s="317" t="str">
        <f t="shared" si="217"/>
        <v/>
      </c>
      <c r="T2165" s="317" t="str">
        <f>GLOBAL_DER_FEV_2023!S2165</f>
        <v/>
      </c>
      <c r="W2165" s="582">
        <v>0</v>
      </c>
      <c r="X2165" s="580"/>
      <c r="Y2165" s="583">
        <f>IF(GLOBAL_DER_FEV_2023!W2165=0,0,IF(GLOBAL_DER_FEV_2023!W2165&gt;0,"c","b"))</f>
        <v>0</v>
      </c>
    </row>
    <row r="2166" spans="1:25" ht="15" customHeight="1" x14ac:dyDescent="0.2">
      <c r="A2166" s="317" t="s">
        <v>147</v>
      </c>
      <c r="B2166" s="895" t="s">
        <v>147</v>
      </c>
      <c r="C2166" s="896"/>
      <c r="D2166" s="906" t="s">
        <v>190</v>
      </c>
      <c r="E2166" s="907">
        <f>GLOBAL_DER_FEV_2023!E2166</f>
        <v>308</v>
      </c>
      <c r="F2166" s="908">
        <f>GLOBAL_DER_FEV_2023!F2166</f>
        <v>0.23381399999999999</v>
      </c>
      <c r="G2166" s="909">
        <f>GLOBAL_DER_FEV_2023!G2166</f>
        <v>57.999900840000002</v>
      </c>
      <c r="H2166" s="901">
        <f>GLOBAL_DER_FEV_2023!H2166</f>
        <v>0</v>
      </c>
      <c r="I2166" s="901">
        <f>GLOBAL_DER_FEV_2023!I2166</f>
        <v>0</v>
      </c>
      <c r="J2166" s="902">
        <f>GLOBAL_DER_FEV_2023!J2166</f>
        <v>0</v>
      </c>
      <c r="K2166" s="903"/>
      <c r="L2166" s="1177"/>
      <c r="M2166" s="1138">
        <f t="shared" si="214"/>
        <v>0</v>
      </c>
      <c r="N2166" s="1176">
        <f t="shared" si="218"/>
        <v>0</v>
      </c>
      <c r="O2166" s="905"/>
      <c r="P2166" s="36" t="str">
        <f>IF(N2165&gt;0,"xx",IF(N2165&gt;0,"xy",""))</f>
        <v/>
      </c>
      <c r="Q2166" s="317" t="str">
        <f t="shared" si="215"/>
        <v/>
      </c>
      <c r="R2166" s="317" t="str">
        <f t="shared" si="216"/>
        <v/>
      </c>
      <c r="S2166" s="317" t="str">
        <f t="shared" si="217"/>
        <v/>
      </c>
      <c r="T2166" s="317" t="str">
        <f>GLOBAL_DER_FEV_2023!S2166</f>
        <v/>
      </c>
      <c r="W2166" s="582">
        <v>0</v>
      </c>
      <c r="X2166" s="580"/>
      <c r="Y2166" s="583">
        <f>IF(GLOBAL_DER_FEV_2023!W2166=0,0,IF(GLOBAL_DER_FEV_2023!W2166&gt;0,"c","b"))</f>
        <v>0</v>
      </c>
    </row>
    <row r="2167" spans="1:25" ht="15" customHeight="1" x14ac:dyDescent="0.2">
      <c r="A2167" s="317" t="s">
        <v>147</v>
      </c>
      <c r="B2167" s="895" t="s">
        <v>147</v>
      </c>
      <c r="C2167" s="896"/>
      <c r="D2167" s="906" t="s">
        <v>229</v>
      </c>
      <c r="E2167" s="907">
        <f>GLOBAL_DER_FEV_2023!E2167</f>
        <v>150</v>
      </c>
      <c r="F2167" s="908">
        <f>GLOBAL_DER_FEV_2023!F2167</f>
        <v>1.324927</v>
      </c>
      <c r="G2167" s="949">
        <f>GLOBAL_DER_FEV_2023!G2167</f>
        <v>216.20158785999999</v>
      </c>
      <c r="H2167" s="901">
        <f>GLOBAL_DER_FEV_2023!H2167</f>
        <v>0</v>
      </c>
      <c r="I2167" s="901">
        <f>GLOBAL_DER_FEV_2023!I2167</f>
        <v>0</v>
      </c>
      <c r="J2167" s="902">
        <f>GLOBAL_DER_FEV_2023!J2167</f>
        <v>0</v>
      </c>
      <c r="K2167" s="903"/>
      <c r="L2167" s="1177"/>
      <c r="M2167" s="1138">
        <f t="shared" si="214"/>
        <v>0</v>
      </c>
      <c r="N2167" s="1176">
        <f t="shared" si="218"/>
        <v>0</v>
      </c>
      <c r="O2167" s="905"/>
      <c r="P2167" s="36" t="str">
        <f>IF(N2165&gt;0,"xx",IF(N2165&gt;0,"xy",""))</f>
        <v/>
      </c>
      <c r="Q2167" s="317" t="str">
        <f t="shared" si="215"/>
        <v/>
      </c>
      <c r="R2167" s="317" t="str">
        <f t="shared" si="216"/>
        <v/>
      </c>
      <c r="S2167" s="317" t="str">
        <f t="shared" si="217"/>
        <v/>
      </c>
      <c r="T2167" s="317" t="str">
        <f>GLOBAL_DER_FEV_2023!S2167</f>
        <v/>
      </c>
      <c r="W2167" s="582">
        <v>0</v>
      </c>
      <c r="X2167" s="580"/>
      <c r="Y2167" s="583">
        <f>IF(GLOBAL_DER_FEV_2023!W2167=0,0,IF(GLOBAL_DER_FEV_2023!W2167&gt;0,"c","b"))</f>
        <v>0</v>
      </c>
    </row>
    <row r="2168" spans="1:25" ht="15" customHeight="1" x14ac:dyDescent="0.2">
      <c r="A2168" s="317" t="s">
        <v>147</v>
      </c>
      <c r="B2168" s="895" t="s">
        <v>147</v>
      </c>
      <c r="C2168" s="896"/>
      <c r="D2168" s="906" t="s">
        <v>233</v>
      </c>
      <c r="E2168" s="907">
        <f>GLOBAL_DER_FEV_2023!E2168</f>
        <v>0.2</v>
      </c>
      <c r="F2168" s="908">
        <f>GLOBAL_DER_FEV_2023!F2168</f>
        <v>0.38805600000000001</v>
      </c>
      <c r="G2168" s="949">
        <f>GLOBAL_DER_FEV_2023!G2168</f>
        <v>1.1230340640000001</v>
      </c>
      <c r="H2168" s="901">
        <f>GLOBAL_DER_FEV_2023!H2168</f>
        <v>0</v>
      </c>
      <c r="I2168" s="901">
        <f>GLOBAL_DER_FEV_2023!I2168</f>
        <v>0</v>
      </c>
      <c r="J2168" s="902">
        <f>GLOBAL_DER_FEV_2023!J2168</f>
        <v>0</v>
      </c>
      <c r="K2168" s="903"/>
      <c r="L2168" s="1177"/>
      <c r="M2168" s="1138">
        <f t="shared" si="214"/>
        <v>0</v>
      </c>
      <c r="N2168" s="1176">
        <f t="shared" si="218"/>
        <v>0</v>
      </c>
      <c r="O2168" s="905"/>
      <c r="P2168" s="36" t="str">
        <f>IF(N2165&gt;0,"xx",IF(N2165&gt;0,"xy",""))</f>
        <v/>
      </c>
      <c r="Q2168" s="317" t="str">
        <f t="shared" si="215"/>
        <v/>
      </c>
      <c r="R2168" s="317" t="str">
        <f t="shared" si="216"/>
        <v/>
      </c>
      <c r="S2168" s="317" t="str">
        <f t="shared" si="217"/>
        <v/>
      </c>
      <c r="T2168" s="317" t="str">
        <f>GLOBAL_DER_FEV_2023!S2168</f>
        <v/>
      </c>
      <c r="W2168" s="582">
        <v>0</v>
      </c>
      <c r="X2168" s="580"/>
      <c r="Y2168" s="583">
        <f>IF(GLOBAL_DER_FEV_2023!W2168=0,0,IF(GLOBAL_DER_FEV_2023!W2168&gt;0,"c","b"))</f>
        <v>0</v>
      </c>
    </row>
    <row r="2169" spans="1:25" ht="15" customHeight="1" x14ac:dyDescent="0.2">
      <c r="A2169" s="317" t="s">
        <v>147</v>
      </c>
      <c r="B2169" s="895" t="s">
        <v>147</v>
      </c>
      <c r="C2169" s="896"/>
      <c r="D2169" s="906" t="s">
        <v>365</v>
      </c>
      <c r="E2169" s="907">
        <f>GLOBAL_DER_FEV_2023!E2169</f>
        <v>10</v>
      </c>
      <c r="F2169" s="908">
        <f>GLOBAL_DER_FEV_2023!F2169</f>
        <v>2.0896199999999996</v>
      </c>
      <c r="G2169" s="949">
        <f>GLOBAL_DER_FEV_2023!G2169</f>
        <v>27.959115599999997</v>
      </c>
      <c r="H2169" s="901">
        <f>GLOBAL_DER_FEV_2023!H2169</f>
        <v>0</v>
      </c>
      <c r="I2169" s="901">
        <f>GLOBAL_DER_FEV_2023!I2169</f>
        <v>0</v>
      </c>
      <c r="J2169" s="902">
        <f>GLOBAL_DER_FEV_2023!J2169</f>
        <v>0</v>
      </c>
      <c r="K2169" s="903"/>
      <c r="L2169" s="1177"/>
      <c r="M2169" s="1138">
        <f t="shared" si="214"/>
        <v>0</v>
      </c>
      <c r="N2169" s="1176">
        <f t="shared" si="218"/>
        <v>0</v>
      </c>
      <c r="O2169" s="905"/>
      <c r="P2169" s="36" t="str">
        <f>IF(N2165&gt;0,"xx",IF(N2165&gt;0,"xy",""))</f>
        <v/>
      </c>
      <c r="Q2169" s="317" t="str">
        <f t="shared" si="215"/>
        <v/>
      </c>
      <c r="R2169" s="317" t="str">
        <f t="shared" si="216"/>
        <v/>
      </c>
      <c r="S2169" s="317" t="str">
        <f t="shared" si="217"/>
        <v/>
      </c>
      <c r="T2169" s="317" t="str">
        <f>GLOBAL_DER_FEV_2023!S2169</f>
        <v/>
      </c>
      <c r="W2169" s="582">
        <v>0</v>
      </c>
      <c r="X2169" s="580"/>
      <c r="Y2169" s="583">
        <f>IF(GLOBAL_DER_FEV_2023!W2169=0,0,IF(GLOBAL_DER_FEV_2023!W2169&gt;0,"c","b"))</f>
        <v>0</v>
      </c>
    </row>
    <row r="2170" spans="1:25" ht="15" customHeight="1" x14ac:dyDescent="0.2">
      <c r="A2170" s="317" t="s">
        <v>147</v>
      </c>
      <c r="B2170" s="895" t="s">
        <v>147</v>
      </c>
      <c r="C2170" s="896"/>
      <c r="D2170" s="906" t="s">
        <v>366</v>
      </c>
      <c r="E2170" s="907">
        <f>GLOBAL_DER_FEV_2023!E2170</f>
        <v>353</v>
      </c>
      <c r="F2170" s="908">
        <f>GLOBAL_DER_FEV_2023!F2170</f>
        <v>6.9653999999999994E-2</v>
      </c>
      <c r="G2170" s="909">
        <f>GLOBAL_DER_FEV_2023!G2170</f>
        <v>19.72322664</v>
      </c>
      <c r="H2170" s="901">
        <f>GLOBAL_DER_FEV_2023!H2170</f>
        <v>0</v>
      </c>
      <c r="I2170" s="901">
        <f>GLOBAL_DER_FEV_2023!I2170</f>
        <v>0</v>
      </c>
      <c r="J2170" s="902">
        <f>GLOBAL_DER_FEV_2023!J2170</f>
        <v>0</v>
      </c>
      <c r="K2170" s="903"/>
      <c r="L2170" s="1177"/>
      <c r="M2170" s="1138">
        <f t="shared" si="214"/>
        <v>0</v>
      </c>
      <c r="N2170" s="1176">
        <f t="shared" si="218"/>
        <v>0</v>
      </c>
      <c r="O2170" s="905"/>
      <c r="P2170" s="36" t="str">
        <f>IF(N2165&gt;0,"xx",IF(N2165&gt;0,"xy",""))</f>
        <v/>
      </c>
      <c r="Q2170" s="317" t="str">
        <f t="shared" si="215"/>
        <v/>
      </c>
      <c r="R2170" s="317" t="str">
        <f t="shared" si="216"/>
        <v/>
      </c>
      <c r="S2170" s="317" t="str">
        <f t="shared" si="217"/>
        <v/>
      </c>
      <c r="T2170" s="317" t="str">
        <f>GLOBAL_DER_FEV_2023!S2170</f>
        <v/>
      </c>
      <c r="W2170" s="582">
        <v>0</v>
      </c>
      <c r="X2170" s="580"/>
      <c r="Y2170" s="583">
        <f>IF(GLOBAL_DER_FEV_2023!W2170=0,0,IF(GLOBAL_DER_FEV_2023!W2170&gt;0,"c","b"))</f>
        <v>0</v>
      </c>
    </row>
    <row r="2171" spans="1:25" ht="15" customHeight="1" x14ac:dyDescent="0.2">
      <c r="A2171" s="317" t="s">
        <v>99</v>
      </c>
      <c r="B2171" s="895" t="s">
        <v>99</v>
      </c>
      <c r="C2171" s="896" t="s">
        <v>184</v>
      </c>
      <c r="D2171" s="906" t="s">
        <v>85</v>
      </c>
      <c r="E2171" s="907">
        <f>GLOBAL_DER_FEV_2023!E2171</f>
        <v>0</v>
      </c>
      <c r="F2171" s="908">
        <f>GLOBAL_DER_FEV_2023!F2171</f>
        <v>0</v>
      </c>
      <c r="G2171" s="912">
        <f>GLOBAL_DER_FEV_2023!G2171</f>
        <v>403.48937160400004</v>
      </c>
      <c r="H2171" s="901">
        <f>GLOBAL_DER_FEV_2023!H2171</f>
        <v>3529.67</v>
      </c>
      <c r="I2171" s="901">
        <f>GLOBAL_DER_FEV_2023!I2171</f>
        <v>3933.1593716040002</v>
      </c>
      <c r="J2171" s="902">
        <f>GLOBAL_DER_FEV_2023!J2171</f>
        <v>4722.54</v>
      </c>
      <c r="K2171" s="903" t="s">
        <v>15</v>
      </c>
      <c r="L2171" s="1137"/>
      <c r="M2171" s="1138">
        <f t="shared" si="214"/>
        <v>0</v>
      </c>
      <c r="N2171" s="1176">
        <f t="shared" si="218"/>
        <v>0</v>
      </c>
      <c r="O2171" s="905"/>
      <c r="Q2171" s="317" t="str">
        <f t="shared" si="215"/>
        <v/>
      </c>
      <c r="R2171" s="317" t="str">
        <f t="shared" si="216"/>
        <v/>
      </c>
      <c r="S2171" s="317" t="str">
        <f t="shared" si="217"/>
        <v/>
      </c>
      <c r="T2171" s="317" t="str">
        <f>GLOBAL_DER_FEV_2023!S2171</f>
        <v/>
      </c>
      <c r="W2171" s="582">
        <v>0</v>
      </c>
      <c r="X2171" s="580"/>
      <c r="Y2171" s="583">
        <f>IF(GLOBAL_DER_FEV_2023!W2171=0,0,IF(GLOBAL_DER_FEV_2023!W2171&gt;0,"c","b"))</f>
        <v>0</v>
      </c>
    </row>
    <row r="2172" spans="1:25" ht="15" customHeight="1" x14ac:dyDescent="0.2">
      <c r="A2172" s="317" t="s">
        <v>147</v>
      </c>
      <c r="B2172" s="895" t="s">
        <v>147</v>
      </c>
      <c r="C2172" s="896"/>
      <c r="D2172" s="906" t="s">
        <v>190</v>
      </c>
      <c r="E2172" s="907">
        <f>GLOBAL_DER_FEV_2023!E2172</f>
        <v>308</v>
      </c>
      <c r="F2172" s="908">
        <f>GLOBAL_DER_FEV_2023!F2172</f>
        <v>0.28185359999999998</v>
      </c>
      <c r="G2172" s="909">
        <f>GLOBAL_DER_FEV_2023!G2172</f>
        <v>69.916604015999994</v>
      </c>
      <c r="H2172" s="901">
        <f>GLOBAL_DER_FEV_2023!H2172</f>
        <v>0</v>
      </c>
      <c r="I2172" s="901">
        <f>GLOBAL_DER_FEV_2023!I2172</f>
        <v>0</v>
      </c>
      <c r="J2172" s="902">
        <f>GLOBAL_DER_FEV_2023!J2172</f>
        <v>0</v>
      </c>
      <c r="K2172" s="903"/>
      <c r="L2172" s="1177"/>
      <c r="M2172" s="1138">
        <f t="shared" si="214"/>
        <v>0</v>
      </c>
      <c r="N2172" s="1176">
        <f t="shared" si="218"/>
        <v>0</v>
      </c>
      <c r="O2172" s="905"/>
      <c r="P2172" s="36" t="str">
        <f>IF(N2171&gt;0,"xx",IF(N2171&gt;0,"xy",""))</f>
        <v/>
      </c>
      <c r="Q2172" s="317" t="str">
        <f t="shared" si="215"/>
        <v/>
      </c>
      <c r="R2172" s="317" t="str">
        <f t="shared" si="216"/>
        <v/>
      </c>
      <c r="S2172" s="317" t="str">
        <f t="shared" si="217"/>
        <v/>
      </c>
      <c r="T2172" s="317" t="str">
        <f>GLOBAL_DER_FEV_2023!S2172</f>
        <v/>
      </c>
      <c r="W2172" s="582">
        <v>0</v>
      </c>
      <c r="X2172" s="580"/>
      <c r="Y2172" s="583">
        <f>IF(GLOBAL_DER_FEV_2023!W2172=0,0,IF(GLOBAL_DER_FEV_2023!W2172&gt;0,"c","b"))</f>
        <v>0</v>
      </c>
    </row>
    <row r="2173" spans="1:25" ht="15" customHeight="1" x14ac:dyDescent="0.2">
      <c r="A2173" s="317" t="s">
        <v>147</v>
      </c>
      <c r="B2173" s="895" t="s">
        <v>147</v>
      </c>
      <c r="C2173" s="896"/>
      <c r="D2173" s="906" t="s">
        <v>229</v>
      </c>
      <c r="E2173" s="907">
        <f>GLOBAL_DER_FEV_2023!E2173</f>
        <v>150</v>
      </c>
      <c r="F2173" s="908">
        <f>GLOBAL_DER_FEV_2023!F2173</f>
        <v>1.6484590000000001</v>
      </c>
      <c r="G2173" s="949">
        <f>GLOBAL_DER_FEV_2023!G2173</f>
        <v>268.99553962000005</v>
      </c>
      <c r="H2173" s="901">
        <f>GLOBAL_DER_FEV_2023!H2173</f>
        <v>0</v>
      </c>
      <c r="I2173" s="901">
        <f>GLOBAL_DER_FEV_2023!I2173</f>
        <v>0</v>
      </c>
      <c r="J2173" s="902">
        <f>GLOBAL_DER_FEV_2023!J2173</f>
        <v>0</v>
      </c>
      <c r="K2173" s="903"/>
      <c r="L2173" s="1177"/>
      <c r="M2173" s="1138">
        <f t="shared" si="214"/>
        <v>0</v>
      </c>
      <c r="N2173" s="1176">
        <f t="shared" si="218"/>
        <v>0</v>
      </c>
      <c r="O2173" s="905"/>
      <c r="P2173" s="36" t="str">
        <f>IF(N2171&gt;0,"xx",IF(N2171&gt;0,"xy",""))</f>
        <v/>
      </c>
      <c r="Q2173" s="317" t="str">
        <f t="shared" si="215"/>
        <v/>
      </c>
      <c r="R2173" s="317" t="str">
        <f t="shared" si="216"/>
        <v/>
      </c>
      <c r="S2173" s="317" t="str">
        <f t="shared" si="217"/>
        <v/>
      </c>
      <c r="T2173" s="317" t="str">
        <f>GLOBAL_DER_FEV_2023!S2173</f>
        <v/>
      </c>
      <c r="W2173" s="582">
        <v>0</v>
      </c>
      <c r="X2173" s="580"/>
      <c r="Y2173" s="583">
        <f>IF(GLOBAL_DER_FEV_2023!W2173=0,0,IF(GLOBAL_DER_FEV_2023!W2173&gt;0,"c","b"))</f>
        <v>0</v>
      </c>
    </row>
    <row r="2174" spans="1:25" ht="15" customHeight="1" x14ac:dyDescent="0.2">
      <c r="A2174" s="317" t="s">
        <v>147</v>
      </c>
      <c r="B2174" s="895" t="s">
        <v>147</v>
      </c>
      <c r="C2174" s="896"/>
      <c r="D2174" s="906" t="s">
        <v>233</v>
      </c>
      <c r="E2174" s="907">
        <f>GLOBAL_DER_FEV_2023!E2174</f>
        <v>0.2</v>
      </c>
      <c r="F2174" s="908">
        <f>GLOBAL_DER_FEV_2023!F2174</f>
        <v>0.38805600000000001</v>
      </c>
      <c r="G2174" s="949">
        <f>GLOBAL_DER_FEV_2023!G2174</f>
        <v>1.1230340640000001</v>
      </c>
      <c r="H2174" s="901">
        <f>GLOBAL_DER_FEV_2023!H2174</f>
        <v>0</v>
      </c>
      <c r="I2174" s="901">
        <f>GLOBAL_DER_FEV_2023!I2174</f>
        <v>0</v>
      </c>
      <c r="J2174" s="902">
        <f>GLOBAL_DER_FEV_2023!J2174</f>
        <v>0</v>
      </c>
      <c r="K2174" s="903"/>
      <c r="L2174" s="1177"/>
      <c r="M2174" s="1138">
        <f t="shared" si="214"/>
        <v>0</v>
      </c>
      <c r="N2174" s="1176">
        <f t="shared" si="218"/>
        <v>0</v>
      </c>
      <c r="O2174" s="905"/>
      <c r="P2174" s="36" t="str">
        <f>IF(N2171&gt;0,"xx",IF(N2171&gt;0,"xy",""))</f>
        <v/>
      </c>
      <c r="Q2174" s="317" t="str">
        <f t="shared" si="215"/>
        <v/>
      </c>
      <c r="R2174" s="317" t="str">
        <f t="shared" si="216"/>
        <v/>
      </c>
      <c r="S2174" s="317" t="str">
        <f t="shared" si="217"/>
        <v/>
      </c>
      <c r="T2174" s="317" t="str">
        <f>GLOBAL_DER_FEV_2023!S2174</f>
        <v/>
      </c>
      <c r="W2174" s="582">
        <v>0</v>
      </c>
      <c r="X2174" s="580"/>
      <c r="Y2174" s="583">
        <f>IF(GLOBAL_DER_FEV_2023!W2174=0,0,IF(GLOBAL_DER_FEV_2023!W2174&gt;0,"c","b"))</f>
        <v>0</v>
      </c>
    </row>
    <row r="2175" spans="1:25" ht="15" customHeight="1" x14ac:dyDescent="0.2">
      <c r="A2175" s="317" t="s">
        <v>147</v>
      </c>
      <c r="B2175" s="895" t="s">
        <v>147</v>
      </c>
      <c r="C2175" s="896"/>
      <c r="D2175" s="906" t="s">
        <v>365</v>
      </c>
      <c r="E2175" s="907">
        <f>GLOBAL_DER_FEV_2023!E2175</f>
        <v>10</v>
      </c>
      <c r="F2175" s="908">
        <f>GLOBAL_DER_FEV_2023!F2175</f>
        <v>2.780802</v>
      </c>
      <c r="G2175" s="949">
        <f>GLOBAL_DER_FEV_2023!G2175</f>
        <v>37.207130760000005</v>
      </c>
      <c r="H2175" s="901">
        <f>GLOBAL_DER_FEV_2023!H2175</f>
        <v>0</v>
      </c>
      <c r="I2175" s="901">
        <f>GLOBAL_DER_FEV_2023!I2175</f>
        <v>0</v>
      </c>
      <c r="J2175" s="902">
        <f>GLOBAL_DER_FEV_2023!J2175</f>
        <v>0</v>
      </c>
      <c r="K2175" s="903"/>
      <c r="L2175" s="1177"/>
      <c r="M2175" s="1138">
        <f t="shared" si="214"/>
        <v>0</v>
      </c>
      <c r="N2175" s="1176">
        <f t="shared" si="218"/>
        <v>0</v>
      </c>
      <c r="O2175" s="905"/>
      <c r="P2175" s="36" t="str">
        <f>IF(N2171&gt;0,"xx",IF(N2171&gt;0,"xy",""))</f>
        <v/>
      </c>
      <c r="Q2175" s="317" t="str">
        <f t="shared" si="215"/>
        <v/>
      </c>
      <c r="R2175" s="317" t="str">
        <f t="shared" si="216"/>
        <v/>
      </c>
      <c r="S2175" s="317" t="str">
        <f t="shared" si="217"/>
        <v/>
      </c>
      <c r="T2175" s="317" t="str">
        <f>GLOBAL_DER_FEV_2023!S2175</f>
        <v/>
      </c>
      <c r="W2175" s="582">
        <v>0</v>
      </c>
      <c r="X2175" s="580"/>
      <c r="Y2175" s="583">
        <f>IF(GLOBAL_DER_FEV_2023!W2175=0,0,IF(GLOBAL_DER_FEV_2023!W2175&gt;0,"c","b"))</f>
        <v>0</v>
      </c>
    </row>
    <row r="2176" spans="1:25" ht="15" customHeight="1" x14ac:dyDescent="0.2">
      <c r="A2176" s="317" t="s">
        <v>147</v>
      </c>
      <c r="B2176" s="895" t="s">
        <v>147</v>
      </c>
      <c r="C2176" s="896"/>
      <c r="D2176" s="906" t="s">
        <v>366</v>
      </c>
      <c r="E2176" s="907">
        <f>GLOBAL_DER_FEV_2023!E2176</f>
        <v>353</v>
      </c>
      <c r="F2176" s="908">
        <f>GLOBAL_DER_FEV_2023!F2176</f>
        <v>9.2693399999999995E-2</v>
      </c>
      <c r="G2176" s="909">
        <f>GLOBAL_DER_FEV_2023!G2176</f>
        <v>26.247063144000002</v>
      </c>
      <c r="H2176" s="901">
        <f>GLOBAL_DER_FEV_2023!H2176</f>
        <v>0</v>
      </c>
      <c r="I2176" s="901">
        <f>GLOBAL_DER_FEV_2023!I2176</f>
        <v>0</v>
      </c>
      <c r="J2176" s="902">
        <f>GLOBAL_DER_FEV_2023!J2176</f>
        <v>0</v>
      </c>
      <c r="K2176" s="903"/>
      <c r="L2176" s="1177"/>
      <c r="M2176" s="1138">
        <f t="shared" si="214"/>
        <v>0</v>
      </c>
      <c r="N2176" s="1176">
        <f t="shared" si="218"/>
        <v>0</v>
      </c>
      <c r="O2176" s="905"/>
      <c r="P2176" s="36" t="str">
        <f>IF(N2171&gt;0,"xx",IF(N2171&gt;0,"xy",""))</f>
        <v/>
      </c>
      <c r="Q2176" s="317" t="str">
        <f t="shared" si="215"/>
        <v/>
      </c>
      <c r="R2176" s="317" t="str">
        <f t="shared" si="216"/>
        <v/>
      </c>
      <c r="S2176" s="317" t="str">
        <f t="shared" si="217"/>
        <v/>
      </c>
      <c r="T2176" s="317" t="str">
        <f>GLOBAL_DER_FEV_2023!S2176</f>
        <v/>
      </c>
      <c r="W2176" s="582">
        <v>0</v>
      </c>
      <c r="X2176" s="580"/>
      <c r="Y2176" s="583">
        <f>IF(GLOBAL_DER_FEV_2023!W2176=0,0,IF(GLOBAL_DER_FEV_2023!W2176&gt;0,"c","b"))</f>
        <v>0</v>
      </c>
    </row>
    <row r="2177" spans="1:25" ht="15" customHeight="1" x14ac:dyDescent="0.2">
      <c r="A2177" s="317" t="s">
        <v>100</v>
      </c>
      <c r="B2177" s="895" t="s">
        <v>100</v>
      </c>
      <c r="C2177" s="896" t="s">
        <v>184</v>
      </c>
      <c r="D2177" s="906" t="s">
        <v>86</v>
      </c>
      <c r="E2177" s="907">
        <f>GLOBAL_DER_FEV_2023!E2177</f>
        <v>0</v>
      </c>
      <c r="F2177" s="908">
        <f>GLOBAL_DER_FEV_2023!F2177</f>
        <v>0</v>
      </c>
      <c r="G2177" s="912">
        <f>GLOBAL_DER_FEV_2023!G2177</f>
        <v>485.84356440400001</v>
      </c>
      <c r="H2177" s="901">
        <f>GLOBAL_DER_FEV_2023!H2177</f>
        <v>4019.56</v>
      </c>
      <c r="I2177" s="901">
        <f>GLOBAL_DER_FEV_2023!I2177</f>
        <v>4505.4035644039996</v>
      </c>
      <c r="J2177" s="902">
        <f>GLOBAL_DER_FEV_2023!J2177</f>
        <v>5409.64</v>
      </c>
      <c r="K2177" s="903" t="s">
        <v>15</v>
      </c>
      <c r="L2177" s="1137"/>
      <c r="M2177" s="1138">
        <f t="shared" si="214"/>
        <v>0</v>
      </c>
      <c r="N2177" s="1176">
        <f t="shared" si="218"/>
        <v>0</v>
      </c>
      <c r="O2177" s="905"/>
      <c r="Q2177" s="317" t="str">
        <f t="shared" ref="Q2177:Q2224" si="219">IF(P2177="X","x",IF(P2177="xx","x",IF(P2177="xy","x",IF(P2177="y","x",IF(OR(N2177&gt;0,N2177&gt;0),"x","")))))</f>
        <v/>
      </c>
      <c r="R2177" s="317" t="str">
        <f t="shared" si="216"/>
        <v/>
      </c>
      <c r="S2177" s="317" t="str">
        <f t="shared" si="217"/>
        <v/>
      </c>
      <c r="T2177" s="317" t="str">
        <f>GLOBAL_DER_FEV_2023!S2177</f>
        <v/>
      </c>
      <c r="W2177" s="582">
        <v>0</v>
      </c>
      <c r="X2177" s="580"/>
      <c r="Y2177" s="583">
        <f>IF(GLOBAL_DER_FEV_2023!W2177=0,0,IF(GLOBAL_DER_FEV_2023!W2177&gt;0,"c","b"))</f>
        <v>0</v>
      </c>
    </row>
    <row r="2178" spans="1:25" ht="15" customHeight="1" x14ac:dyDescent="0.2">
      <c r="A2178" s="317" t="s">
        <v>147</v>
      </c>
      <c r="B2178" s="895" t="s">
        <v>147</v>
      </c>
      <c r="C2178" s="896"/>
      <c r="D2178" s="906" t="s">
        <v>190</v>
      </c>
      <c r="E2178" s="907">
        <f>GLOBAL_DER_FEV_2023!E2178</f>
        <v>308</v>
      </c>
      <c r="F2178" s="908">
        <f>GLOBAL_DER_FEV_2023!F2178</f>
        <v>0.33101039999999993</v>
      </c>
      <c r="G2178" s="909">
        <f>GLOBAL_DER_FEV_2023!G2178</f>
        <v>82.110439823999982</v>
      </c>
      <c r="H2178" s="901">
        <f>GLOBAL_DER_FEV_2023!H2178</f>
        <v>0</v>
      </c>
      <c r="I2178" s="901">
        <f>GLOBAL_DER_FEV_2023!I2178</f>
        <v>0</v>
      </c>
      <c r="J2178" s="902">
        <f>GLOBAL_DER_FEV_2023!J2178</f>
        <v>0</v>
      </c>
      <c r="K2178" s="903"/>
      <c r="L2178" s="1177"/>
      <c r="M2178" s="1138">
        <f t="shared" si="214"/>
        <v>0</v>
      </c>
      <c r="N2178" s="1176">
        <f t="shared" si="218"/>
        <v>0</v>
      </c>
      <c r="O2178" s="905"/>
      <c r="P2178" s="36" t="str">
        <f>IF(N2177&gt;0,"xx",IF(N2177&gt;0,"xy",""))</f>
        <v/>
      </c>
      <c r="Q2178" s="317" t="str">
        <f t="shared" si="219"/>
        <v/>
      </c>
      <c r="R2178" s="317" t="str">
        <f t="shared" si="216"/>
        <v/>
      </c>
      <c r="S2178" s="317" t="str">
        <f t="shared" si="217"/>
        <v/>
      </c>
      <c r="T2178" s="317" t="str">
        <f>GLOBAL_DER_FEV_2023!S2178</f>
        <v/>
      </c>
      <c r="W2178" s="582">
        <v>0</v>
      </c>
      <c r="X2178" s="580"/>
      <c r="Y2178" s="583">
        <f>IF(GLOBAL_DER_FEV_2023!W2178=0,0,IF(GLOBAL_DER_FEV_2023!W2178&gt;0,"c","b"))</f>
        <v>0</v>
      </c>
    </row>
    <row r="2179" spans="1:25" ht="15" customHeight="1" x14ac:dyDescent="0.2">
      <c r="A2179" s="317" t="s">
        <v>147</v>
      </c>
      <c r="B2179" s="895" t="s">
        <v>147</v>
      </c>
      <c r="C2179" s="896"/>
      <c r="D2179" s="906" t="s">
        <v>229</v>
      </c>
      <c r="E2179" s="907">
        <f>GLOBAL_DER_FEV_2023!E2179</f>
        <v>150</v>
      </c>
      <c r="F2179" s="908">
        <f>GLOBAL_DER_FEV_2023!F2179</f>
        <v>1.9795149999999999</v>
      </c>
      <c r="G2179" s="949">
        <f>GLOBAL_DER_FEV_2023!G2179</f>
        <v>323.01725770000002</v>
      </c>
      <c r="H2179" s="901">
        <f>GLOBAL_DER_FEV_2023!H2179</f>
        <v>0</v>
      </c>
      <c r="I2179" s="901">
        <f>GLOBAL_DER_FEV_2023!I2179</f>
        <v>0</v>
      </c>
      <c r="J2179" s="902">
        <f>GLOBAL_DER_FEV_2023!J2179</f>
        <v>0</v>
      </c>
      <c r="K2179" s="903"/>
      <c r="L2179" s="1177"/>
      <c r="M2179" s="1138">
        <f t="shared" si="214"/>
        <v>0</v>
      </c>
      <c r="N2179" s="1176">
        <f t="shared" si="218"/>
        <v>0</v>
      </c>
      <c r="O2179" s="905"/>
      <c r="P2179" s="36" t="str">
        <f>IF(N2177&gt;0,"xx",IF(N2177&gt;0,"xy",""))</f>
        <v/>
      </c>
      <c r="Q2179" s="317" t="str">
        <f t="shared" si="219"/>
        <v/>
      </c>
      <c r="R2179" s="317" t="str">
        <f t="shared" ref="R2179:R2226" si="220">IF(P2179="X","x",IF(P2179="y","x",IF(P2179="xx","x",IF(N2179&gt;0,"x",""))))</f>
        <v/>
      </c>
      <c r="S2179" s="317" t="str">
        <f t="shared" ref="S2179:S2226" si="221">IF(P2179="X","x",IF(N2179&gt;0,"x",""))</f>
        <v/>
      </c>
      <c r="T2179" s="317" t="str">
        <f>GLOBAL_DER_FEV_2023!S2179</f>
        <v/>
      </c>
      <c r="W2179" s="582">
        <v>0</v>
      </c>
      <c r="X2179" s="580"/>
      <c r="Y2179" s="583">
        <f>IF(GLOBAL_DER_FEV_2023!W2179=0,0,IF(GLOBAL_DER_FEV_2023!W2179&gt;0,"c","b"))</f>
        <v>0</v>
      </c>
    </row>
    <row r="2180" spans="1:25" ht="15" customHeight="1" x14ac:dyDescent="0.2">
      <c r="A2180" s="317" t="s">
        <v>147</v>
      </c>
      <c r="B2180" s="895" t="s">
        <v>147</v>
      </c>
      <c r="C2180" s="896"/>
      <c r="D2180" s="906" t="s">
        <v>233</v>
      </c>
      <c r="E2180" s="907">
        <f>GLOBAL_DER_FEV_2023!E2180</f>
        <v>0.2</v>
      </c>
      <c r="F2180" s="908">
        <f>GLOBAL_DER_FEV_2023!F2180</f>
        <v>0.38805600000000001</v>
      </c>
      <c r="G2180" s="949">
        <f>GLOBAL_DER_FEV_2023!G2180</f>
        <v>1.1230340640000001</v>
      </c>
      <c r="H2180" s="901">
        <f>GLOBAL_DER_FEV_2023!H2180</f>
        <v>0</v>
      </c>
      <c r="I2180" s="901">
        <f>GLOBAL_DER_FEV_2023!I2180</f>
        <v>0</v>
      </c>
      <c r="J2180" s="902">
        <f>GLOBAL_DER_FEV_2023!J2180</f>
        <v>0</v>
      </c>
      <c r="K2180" s="903"/>
      <c r="L2180" s="1177"/>
      <c r="M2180" s="1138">
        <f t="shared" si="214"/>
        <v>0</v>
      </c>
      <c r="N2180" s="1176">
        <f t="shared" si="218"/>
        <v>0</v>
      </c>
      <c r="O2180" s="905"/>
      <c r="P2180" s="36" t="str">
        <f>IF(N2177&gt;0,"xx",IF(N2177&gt;0,"xy",""))</f>
        <v/>
      </c>
      <c r="Q2180" s="317" t="str">
        <f t="shared" si="219"/>
        <v/>
      </c>
      <c r="R2180" s="317" t="str">
        <f t="shared" si="220"/>
        <v/>
      </c>
      <c r="S2180" s="317" t="str">
        <f t="shared" si="221"/>
        <v/>
      </c>
      <c r="T2180" s="317" t="str">
        <f>GLOBAL_DER_FEV_2023!S2180</f>
        <v/>
      </c>
      <c r="W2180" s="582">
        <v>0</v>
      </c>
      <c r="X2180" s="580"/>
      <c r="Y2180" s="583">
        <f>IF(GLOBAL_DER_FEV_2023!W2180=0,0,IF(GLOBAL_DER_FEV_2023!W2180&gt;0,"c","b"))</f>
        <v>0</v>
      </c>
    </row>
    <row r="2181" spans="1:25" ht="15" customHeight="1" x14ac:dyDescent="0.2">
      <c r="A2181" s="317" t="s">
        <v>147</v>
      </c>
      <c r="B2181" s="895" t="s">
        <v>147</v>
      </c>
      <c r="C2181" s="896"/>
      <c r="D2181" s="906" t="s">
        <v>365</v>
      </c>
      <c r="E2181" s="907">
        <f>GLOBAL_DER_FEV_2023!E2181</f>
        <v>10</v>
      </c>
      <c r="F2181" s="908">
        <f>GLOBAL_DER_FEV_2023!F2181</f>
        <v>3.4880579999999992</v>
      </c>
      <c r="G2181" s="949">
        <f>GLOBAL_DER_FEV_2023!G2181</f>
        <v>46.670216039999993</v>
      </c>
      <c r="H2181" s="901">
        <f>GLOBAL_DER_FEV_2023!H2181</f>
        <v>0</v>
      </c>
      <c r="I2181" s="901">
        <f>GLOBAL_DER_FEV_2023!I2181</f>
        <v>0</v>
      </c>
      <c r="J2181" s="902">
        <f>GLOBAL_DER_FEV_2023!J2181</f>
        <v>0</v>
      </c>
      <c r="K2181" s="903"/>
      <c r="L2181" s="1177"/>
      <c r="M2181" s="1138">
        <f t="shared" si="214"/>
        <v>0</v>
      </c>
      <c r="N2181" s="1176">
        <f t="shared" si="218"/>
        <v>0</v>
      </c>
      <c r="O2181" s="905"/>
      <c r="P2181" s="36" t="str">
        <f>IF(N2177&gt;0,"xx",IF(N2177&gt;0,"xy",""))</f>
        <v/>
      </c>
      <c r="Q2181" s="317" t="str">
        <f t="shared" si="219"/>
        <v/>
      </c>
      <c r="R2181" s="317" t="str">
        <f t="shared" si="220"/>
        <v/>
      </c>
      <c r="S2181" s="317" t="str">
        <f t="shared" si="221"/>
        <v/>
      </c>
      <c r="T2181" s="317" t="str">
        <f>GLOBAL_DER_FEV_2023!S2181</f>
        <v/>
      </c>
      <c r="W2181" s="582">
        <v>0</v>
      </c>
      <c r="X2181" s="580"/>
      <c r="Y2181" s="583">
        <f>IF(GLOBAL_DER_FEV_2023!W2181=0,0,IF(GLOBAL_DER_FEV_2023!W2181&gt;0,"c","b"))</f>
        <v>0</v>
      </c>
    </row>
    <row r="2182" spans="1:25" ht="15" customHeight="1" x14ac:dyDescent="0.2">
      <c r="A2182" s="317" t="s">
        <v>147</v>
      </c>
      <c r="B2182" s="895" t="s">
        <v>147</v>
      </c>
      <c r="C2182" s="896"/>
      <c r="D2182" s="906" t="s">
        <v>366</v>
      </c>
      <c r="E2182" s="907">
        <f>GLOBAL_DER_FEV_2023!E2182</f>
        <v>353</v>
      </c>
      <c r="F2182" s="908">
        <f>GLOBAL_DER_FEV_2023!F2182</f>
        <v>0.11626859999999997</v>
      </c>
      <c r="G2182" s="909">
        <f>GLOBAL_DER_FEV_2023!G2182</f>
        <v>32.922616775999998</v>
      </c>
      <c r="H2182" s="901">
        <f>GLOBAL_DER_FEV_2023!H2182</f>
        <v>0</v>
      </c>
      <c r="I2182" s="901">
        <f>GLOBAL_DER_FEV_2023!I2182</f>
        <v>0</v>
      </c>
      <c r="J2182" s="902">
        <f>GLOBAL_DER_FEV_2023!J2182</f>
        <v>0</v>
      </c>
      <c r="K2182" s="903"/>
      <c r="L2182" s="1177"/>
      <c r="M2182" s="1138">
        <f t="shared" ref="M2182:M2245" si="222">IF(L2182=0,0,ROUND(J2182,2))</f>
        <v>0</v>
      </c>
      <c r="N2182" s="1176">
        <f t="shared" si="218"/>
        <v>0</v>
      </c>
      <c r="O2182" s="905"/>
      <c r="P2182" s="36" t="str">
        <f>IF(N2177&gt;0,"xx",IF(N2177&gt;0,"xy",""))</f>
        <v/>
      </c>
      <c r="Q2182" s="317" t="str">
        <f t="shared" si="219"/>
        <v/>
      </c>
      <c r="R2182" s="317" t="str">
        <f t="shared" si="220"/>
        <v/>
      </c>
      <c r="S2182" s="317" t="str">
        <f t="shared" si="221"/>
        <v/>
      </c>
      <c r="T2182" s="317" t="str">
        <f>GLOBAL_DER_FEV_2023!S2182</f>
        <v/>
      </c>
      <c r="W2182" s="582">
        <v>0</v>
      </c>
      <c r="X2182" s="580"/>
      <c r="Y2182" s="583">
        <f>IF(GLOBAL_DER_FEV_2023!W2182=0,0,IF(GLOBAL_DER_FEV_2023!W2182&gt;0,"c","b"))</f>
        <v>0</v>
      </c>
    </row>
    <row r="2183" spans="1:25" ht="15" customHeight="1" x14ac:dyDescent="0.2">
      <c r="A2183" s="317" t="s">
        <v>101</v>
      </c>
      <c r="B2183" s="895" t="s">
        <v>101</v>
      </c>
      <c r="C2183" s="896" t="s">
        <v>184</v>
      </c>
      <c r="D2183" s="906" t="s">
        <v>371</v>
      </c>
      <c r="E2183" s="907">
        <f>GLOBAL_DER_FEV_2023!E2183</f>
        <v>0</v>
      </c>
      <c r="F2183" s="908">
        <f>GLOBAL_DER_FEV_2023!F2183</f>
        <v>0</v>
      </c>
      <c r="G2183" s="912">
        <f>GLOBAL_DER_FEV_2023!G2183</f>
        <v>605.97564743200007</v>
      </c>
      <c r="H2183" s="901">
        <f>GLOBAL_DER_FEV_2023!H2183</f>
        <v>2212.59</v>
      </c>
      <c r="I2183" s="901">
        <f>GLOBAL_DER_FEV_2023!I2183</f>
        <v>2818.5656474320003</v>
      </c>
      <c r="J2183" s="902">
        <f>GLOBAL_DER_FEV_2023!J2183</f>
        <v>3384.25</v>
      </c>
      <c r="K2183" s="903" t="s">
        <v>15</v>
      </c>
      <c r="L2183" s="1137"/>
      <c r="M2183" s="1138">
        <f t="shared" si="222"/>
        <v>0</v>
      </c>
      <c r="N2183" s="1176">
        <f t="shared" si="218"/>
        <v>0</v>
      </c>
      <c r="O2183" s="905"/>
      <c r="Q2183" s="317" t="str">
        <f t="shared" si="219"/>
        <v/>
      </c>
      <c r="R2183" s="317" t="str">
        <f t="shared" si="220"/>
        <v/>
      </c>
      <c r="S2183" s="317" t="str">
        <f t="shared" si="221"/>
        <v/>
      </c>
      <c r="T2183" s="317" t="str">
        <f>GLOBAL_DER_FEV_2023!S2183</f>
        <v/>
      </c>
      <c r="W2183" s="582">
        <v>0</v>
      </c>
      <c r="X2183" s="580"/>
      <c r="Y2183" s="583">
        <f>IF(GLOBAL_DER_FEV_2023!W2183=0,0,IF(GLOBAL_DER_FEV_2023!W2183&gt;0,"c","b"))</f>
        <v>0</v>
      </c>
    </row>
    <row r="2184" spans="1:25" ht="15" customHeight="1" x14ac:dyDescent="0.2">
      <c r="A2184" s="317" t="s">
        <v>147</v>
      </c>
      <c r="B2184" s="895" t="s">
        <v>147</v>
      </c>
      <c r="C2184" s="896"/>
      <c r="D2184" s="906" t="s">
        <v>190</v>
      </c>
      <c r="E2184" s="907">
        <f>GLOBAL_DER_FEV_2023!E2184</f>
        <v>308</v>
      </c>
      <c r="F2184" s="908">
        <f>GLOBAL_DER_FEV_2023!F2184</f>
        <v>0.82205400000000006</v>
      </c>
      <c r="G2184" s="909">
        <f>GLOBAL_DER_FEV_2023!G2184</f>
        <v>203.91871524000001</v>
      </c>
      <c r="H2184" s="901">
        <f>GLOBAL_DER_FEV_2023!H2184</f>
        <v>0</v>
      </c>
      <c r="I2184" s="901">
        <f>GLOBAL_DER_FEV_2023!I2184</f>
        <v>0</v>
      </c>
      <c r="J2184" s="902">
        <f>GLOBAL_DER_FEV_2023!J2184</f>
        <v>0</v>
      </c>
      <c r="K2184" s="903"/>
      <c r="L2184" s="1177"/>
      <c r="M2184" s="1138">
        <f t="shared" si="222"/>
        <v>0</v>
      </c>
      <c r="N2184" s="1176">
        <f t="shared" si="218"/>
        <v>0</v>
      </c>
      <c r="O2184" s="905"/>
      <c r="P2184" s="36" t="str">
        <f>IF(N2183&gt;0,"xx",IF(N2183&gt;0,"xy",""))</f>
        <v/>
      </c>
      <c r="Q2184" s="317" t="str">
        <f t="shared" si="219"/>
        <v/>
      </c>
      <c r="R2184" s="317" t="str">
        <f t="shared" si="220"/>
        <v/>
      </c>
      <c r="S2184" s="317" t="str">
        <f t="shared" si="221"/>
        <v/>
      </c>
      <c r="T2184" s="317" t="str">
        <f>GLOBAL_DER_FEV_2023!S2184</f>
        <v/>
      </c>
      <c r="W2184" s="582">
        <v>0</v>
      </c>
      <c r="X2184" s="580"/>
      <c r="Y2184" s="583">
        <f>IF(GLOBAL_DER_FEV_2023!W2184=0,0,IF(GLOBAL_DER_FEV_2023!W2184&gt;0,"c","b"))</f>
        <v>0</v>
      </c>
    </row>
    <row r="2185" spans="1:25" ht="15" customHeight="1" x14ac:dyDescent="0.2">
      <c r="A2185" s="317" t="s">
        <v>147</v>
      </c>
      <c r="B2185" s="895" t="s">
        <v>147</v>
      </c>
      <c r="C2185" s="896"/>
      <c r="D2185" s="906" t="s">
        <v>229</v>
      </c>
      <c r="E2185" s="907">
        <f>GLOBAL_DER_FEV_2023!E2185</f>
        <v>150</v>
      </c>
      <c r="F2185" s="908">
        <f>GLOBAL_DER_FEV_2023!F2185</f>
        <v>2.4129430000000003</v>
      </c>
      <c r="G2185" s="949">
        <f>GLOBAL_DER_FEV_2023!G2185</f>
        <v>393.74403874000006</v>
      </c>
      <c r="H2185" s="901">
        <f>GLOBAL_DER_FEV_2023!H2185</f>
        <v>0</v>
      </c>
      <c r="I2185" s="901">
        <f>GLOBAL_DER_FEV_2023!I2185</f>
        <v>0</v>
      </c>
      <c r="J2185" s="902">
        <f>GLOBAL_DER_FEV_2023!J2185</f>
        <v>0</v>
      </c>
      <c r="K2185" s="903"/>
      <c r="L2185" s="1177"/>
      <c r="M2185" s="1138">
        <f t="shared" si="222"/>
        <v>0</v>
      </c>
      <c r="N2185" s="1176">
        <f t="shared" si="218"/>
        <v>0</v>
      </c>
      <c r="O2185" s="905"/>
      <c r="P2185" s="36" t="str">
        <f>IF(N2183&gt;0,"xx",IF(N2183&gt;0,"xy",""))</f>
        <v/>
      </c>
      <c r="Q2185" s="317" t="str">
        <f t="shared" si="219"/>
        <v/>
      </c>
      <c r="R2185" s="317" t="str">
        <f t="shared" si="220"/>
        <v/>
      </c>
      <c r="S2185" s="317" t="str">
        <f t="shared" si="221"/>
        <v/>
      </c>
      <c r="T2185" s="317" t="str">
        <f>GLOBAL_DER_FEV_2023!S2185</f>
        <v/>
      </c>
      <c r="W2185" s="582">
        <v>0</v>
      </c>
      <c r="X2185" s="580"/>
      <c r="Y2185" s="583">
        <f>IF(GLOBAL_DER_FEV_2023!W2185=0,0,IF(GLOBAL_DER_FEV_2023!W2185&gt;0,"c","b"))</f>
        <v>0</v>
      </c>
    </row>
    <row r="2186" spans="1:25" ht="15" customHeight="1" x14ac:dyDescent="0.2">
      <c r="A2186" s="317" t="s">
        <v>147</v>
      </c>
      <c r="B2186" s="895" t="s">
        <v>147</v>
      </c>
      <c r="C2186" s="896"/>
      <c r="D2186" s="906" t="s">
        <v>233</v>
      </c>
      <c r="E2186" s="907">
        <f>GLOBAL_DER_FEV_2023!E2186</f>
        <v>0.2</v>
      </c>
      <c r="F2186" s="908">
        <f>GLOBAL_DER_FEV_2023!F2186</f>
        <v>2.8724580000000004</v>
      </c>
      <c r="G2186" s="949">
        <f>GLOBAL_DER_FEV_2023!G2186</f>
        <v>8.3128934520000008</v>
      </c>
      <c r="H2186" s="901">
        <f>GLOBAL_DER_FEV_2023!H2186</f>
        <v>0</v>
      </c>
      <c r="I2186" s="901">
        <f>GLOBAL_DER_FEV_2023!I2186</f>
        <v>0</v>
      </c>
      <c r="J2186" s="902">
        <f>GLOBAL_DER_FEV_2023!J2186</f>
        <v>0</v>
      </c>
      <c r="K2186" s="903"/>
      <c r="L2186" s="1177"/>
      <c r="M2186" s="1138">
        <f t="shared" si="222"/>
        <v>0</v>
      </c>
      <c r="N2186" s="1176">
        <f t="shared" si="218"/>
        <v>0</v>
      </c>
      <c r="O2186" s="905"/>
      <c r="P2186" s="36" t="str">
        <f>IF(N2183&gt;0,"xx",IF(N2183&gt;0,"xy",""))</f>
        <v/>
      </c>
      <c r="Q2186" s="317" t="str">
        <f t="shared" si="219"/>
        <v/>
      </c>
      <c r="R2186" s="317" t="str">
        <f t="shared" si="220"/>
        <v/>
      </c>
      <c r="S2186" s="317" t="str">
        <f t="shared" si="221"/>
        <v/>
      </c>
      <c r="T2186" s="317" t="str">
        <f>GLOBAL_DER_FEV_2023!S2186</f>
        <v/>
      </c>
      <c r="W2186" s="582">
        <v>0</v>
      </c>
      <c r="X2186" s="580"/>
      <c r="Y2186" s="583">
        <f>IF(GLOBAL_DER_FEV_2023!W2186=0,0,IF(GLOBAL_DER_FEV_2023!W2186&gt;0,"c","b"))</f>
        <v>0</v>
      </c>
    </row>
    <row r="2187" spans="1:25" ht="15" customHeight="1" x14ac:dyDescent="0.2">
      <c r="A2187" s="317" t="s">
        <v>102</v>
      </c>
      <c r="B2187" s="895" t="s">
        <v>102</v>
      </c>
      <c r="C2187" s="896" t="s">
        <v>184</v>
      </c>
      <c r="D2187" s="906" t="s">
        <v>372</v>
      </c>
      <c r="E2187" s="907">
        <f>GLOBAL_DER_FEV_2023!E2187</f>
        <v>0</v>
      </c>
      <c r="F2187" s="908">
        <f>GLOBAL_DER_FEV_2023!F2187</f>
        <v>0</v>
      </c>
      <c r="G2187" s="912">
        <f>GLOBAL_DER_FEV_2023!G2187</f>
        <v>753.54694427199991</v>
      </c>
      <c r="H2187" s="901">
        <f>GLOBAL_DER_FEV_2023!H2187</f>
        <v>2568.52</v>
      </c>
      <c r="I2187" s="901">
        <f>GLOBAL_DER_FEV_2023!I2187</f>
        <v>3322.066944272</v>
      </c>
      <c r="J2187" s="902">
        <f>GLOBAL_DER_FEV_2023!J2187</f>
        <v>3988.81</v>
      </c>
      <c r="K2187" s="903" t="s">
        <v>15</v>
      </c>
      <c r="L2187" s="1137"/>
      <c r="M2187" s="1138">
        <f t="shared" si="222"/>
        <v>0</v>
      </c>
      <c r="N2187" s="1176">
        <f t="shared" si="218"/>
        <v>0</v>
      </c>
      <c r="O2187" s="905"/>
      <c r="Q2187" s="317" t="str">
        <f t="shared" si="219"/>
        <v/>
      </c>
      <c r="R2187" s="317" t="str">
        <f t="shared" si="220"/>
        <v/>
      </c>
      <c r="S2187" s="317" t="str">
        <f t="shared" si="221"/>
        <v/>
      </c>
      <c r="T2187" s="317" t="str">
        <f>GLOBAL_DER_FEV_2023!S2187</f>
        <v/>
      </c>
      <c r="W2187" s="582">
        <v>0</v>
      </c>
      <c r="X2187" s="580"/>
      <c r="Y2187" s="583">
        <f>IF(GLOBAL_DER_FEV_2023!W2187=0,0,IF(GLOBAL_DER_FEV_2023!W2187&gt;0,"c","b"))</f>
        <v>0</v>
      </c>
    </row>
    <row r="2188" spans="1:25" ht="15" customHeight="1" x14ac:dyDescent="0.2">
      <c r="A2188" s="317" t="s">
        <v>147</v>
      </c>
      <c r="B2188" s="895" t="s">
        <v>147</v>
      </c>
      <c r="C2188" s="896"/>
      <c r="D2188" s="906" t="s">
        <v>190</v>
      </c>
      <c r="E2188" s="907">
        <f>GLOBAL_DER_FEV_2023!E2188</f>
        <v>308</v>
      </c>
      <c r="F2188" s="908">
        <f>GLOBAL_DER_FEV_2023!F2188</f>
        <v>1.028964</v>
      </c>
      <c r="G2188" s="909">
        <f>GLOBAL_DER_FEV_2023!G2188</f>
        <v>255.24480983999999</v>
      </c>
      <c r="H2188" s="901">
        <f>GLOBAL_DER_FEV_2023!H2188</f>
        <v>0</v>
      </c>
      <c r="I2188" s="901">
        <f>GLOBAL_DER_FEV_2023!I2188</f>
        <v>0</v>
      </c>
      <c r="J2188" s="902">
        <f>GLOBAL_DER_FEV_2023!J2188</f>
        <v>0</v>
      </c>
      <c r="K2188" s="903"/>
      <c r="L2188" s="1177"/>
      <c r="M2188" s="1138">
        <f t="shared" si="222"/>
        <v>0</v>
      </c>
      <c r="N2188" s="1176">
        <f t="shared" si="218"/>
        <v>0</v>
      </c>
      <c r="O2188" s="905"/>
      <c r="P2188" s="36" t="str">
        <f>IF(N2187&gt;0,"xx",IF(N2187&gt;0,"xy",""))</f>
        <v/>
      </c>
      <c r="Q2188" s="317" t="str">
        <f t="shared" si="219"/>
        <v/>
      </c>
      <c r="R2188" s="317" t="str">
        <f t="shared" si="220"/>
        <v/>
      </c>
      <c r="S2188" s="317" t="str">
        <f t="shared" si="221"/>
        <v/>
      </c>
      <c r="T2188" s="317" t="str">
        <f>GLOBAL_DER_FEV_2023!S2188</f>
        <v/>
      </c>
      <c r="W2188" s="582">
        <v>0</v>
      </c>
      <c r="X2188" s="580"/>
      <c r="Y2188" s="583">
        <f>IF(GLOBAL_DER_FEV_2023!W2188=0,0,IF(GLOBAL_DER_FEV_2023!W2188&gt;0,"c","b"))</f>
        <v>0</v>
      </c>
    </row>
    <row r="2189" spans="1:25" ht="15" customHeight="1" x14ac:dyDescent="0.2">
      <c r="A2189" s="317" t="s">
        <v>147</v>
      </c>
      <c r="B2189" s="895" t="s">
        <v>147</v>
      </c>
      <c r="C2189" s="896"/>
      <c r="D2189" s="906" t="s">
        <v>229</v>
      </c>
      <c r="E2189" s="907">
        <f>GLOBAL_DER_FEV_2023!E2189</f>
        <v>150</v>
      </c>
      <c r="F2189" s="908">
        <f>GLOBAL_DER_FEV_2023!F2189</f>
        <v>2.9904099999999998</v>
      </c>
      <c r="G2189" s="949">
        <f>GLOBAL_DER_FEV_2023!G2189</f>
        <v>487.9751038</v>
      </c>
      <c r="H2189" s="901">
        <f>GLOBAL_DER_FEV_2023!H2189</f>
        <v>0</v>
      </c>
      <c r="I2189" s="901">
        <f>GLOBAL_DER_FEV_2023!I2189</f>
        <v>0</v>
      </c>
      <c r="J2189" s="902">
        <f>GLOBAL_DER_FEV_2023!J2189</f>
        <v>0</v>
      </c>
      <c r="K2189" s="903"/>
      <c r="L2189" s="1177"/>
      <c r="M2189" s="1138">
        <f t="shared" si="222"/>
        <v>0</v>
      </c>
      <c r="N2189" s="1176">
        <f t="shared" si="218"/>
        <v>0</v>
      </c>
      <c r="O2189" s="905"/>
      <c r="P2189" s="36" t="str">
        <f>IF(N2187&gt;0,"xx",IF(N2187&gt;0,"xy",""))</f>
        <v/>
      </c>
      <c r="Q2189" s="317" t="str">
        <f t="shared" si="219"/>
        <v/>
      </c>
      <c r="R2189" s="317" t="str">
        <f t="shared" si="220"/>
        <v/>
      </c>
      <c r="S2189" s="317" t="str">
        <f t="shared" si="221"/>
        <v/>
      </c>
      <c r="T2189" s="317" t="str">
        <f>GLOBAL_DER_FEV_2023!S2189</f>
        <v/>
      </c>
      <c r="W2189" s="582">
        <v>0</v>
      </c>
      <c r="X2189" s="580"/>
      <c r="Y2189" s="583">
        <f>IF(GLOBAL_DER_FEV_2023!W2189=0,0,IF(GLOBAL_DER_FEV_2023!W2189&gt;0,"c","b"))</f>
        <v>0</v>
      </c>
    </row>
    <row r="2190" spans="1:25" ht="15" customHeight="1" x14ac:dyDescent="0.2">
      <c r="A2190" s="317" t="s">
        <v>147</v>
      </c>
      <c r="B2190" s="895" t="s">
        <v>147</v>
      </c>
      <c r="C2190" s="896"/>
      <c r="D2190" s="906" t="s">
        <v>233</v>
      </c>
      <c r="E2190" s="907">
        <f>GLOBAL_DER_FEV_2023!E2190</f>
        <v>0.2</v>
      </c>
      <c r="F2190" s="908">
        <f>GLOBAL_DER_FEV_2023!F2190</f>
        <v>3.5684279999999999</v>
      </c>
      <c r="G2190" s="949">
        <f>GLOBAL_DER_FEV_2023!G2190</f>
        <v>10.327030632</v>
      </c>
      <c r="H2190" s="901">
        <f>GLOBAL_DER_FEV_2023!H2190</f>
        <v>0</v>
      </c>
      <c r="I2190" s="901">
        <f>GLOBAL_DER_FEV_2023!I2190</f>
        <v>0</v>
      </c>
      <c r="J2190" s="902">
        <f>GLOBAL_DER_FEV_2023!J2190</f>
        <v>0</v>
      </c>
      <c r="K2190" s="903"/>
      <c r="L2190" s="1177"/>
      <c r="M2190" s="1138">
        <f t="shared" si="222"/>
        <v>0</v>
      </c>
      <c r="N2190" s="1176">
        <f t="shared" si="218"/>
        <v>0</v>
      </c>
      <c r="O2190" s="905"/>
      <c r="P2190" s="36" t="str">
        <f>IF(N2187&gt;0,"xx",IF(N2187&gt;0,"xy",""))</f>
        <v/>
      </c>
      <c r="Q2190" s="317" t="str">
        <f t="shared" si="219"/>
        <v/>
      </c>
      <c r="R2190" s="317" t="str">
        <f t="shared" si="220"/>
        <v/>
      </c>
      <c r="S2190" s="317" t="str">
        <f t="shared" si="221"/>
        <v/>
      </c>
      <c r="T2190" s="317" t="str">
        <f>GLOBAL_DER_FEV_2023!S2190</f>
        <v/>
      </c>
      <c r="W2190" s="582">
        <v>0</v>
      </c>
      <c r="X2190" s="580"/>
      <c r="Y2190" s="583">
        <f>IF(GLOBAL_DER_FEV_2023!W2190=0,0,IF(GLOBAL_DER_FEV_2023!W2190&gt;0,"c","b"))</f>
        <v>0</v>
      </c>
    </row>
    <row r="2191" spans="1:25" ht="15" customHeight="1" x14ac:dyDescent="0.2">
      <c r="A2191" s="317" t="s">
        <v>103</v>
      </c>
      <c r="B2191" s="895" t="s">
        <v>103</v>
      </c>
      <c r="C2191" s="896" t="s">
        <v>184</v>
      </c>
      <c r="D2191" s="906" t="s">
        <v>373</v>
      </c>
      <c r="E2191" s="907">
        <f>GLOBAL_DER_FEV_2023!E2191</f>
        <v>0</v>
      </c>
      <c r="F2191" s="908">
        <f>GLOBAL_DER_FEV_2023!F2191</f>
        <v>0</v>
      </c>
      <c r="G2191" s="912">
        <f>GLOBAL_DER_FEV_2023!G2191</f>
        <v>995.02724819199989</v>
      </c>
      <c r="H2191" s="901">
        <f>GLOBAL_DER_FEV_2023!H2191</f>
        <v>3151.98</v>
      </c>
      <c r="I2191" s="901">
        <f>GLOBAL_DER_FEV_2023!I2191</f>
        <v>4147.0072481919997</v>
      </c>
      <c r="J2191" s="902">
        <f>GLOBAL_DER_FEV_2023!J2191</f>
        <v>4979.3100000000004</v>
      </c>
      <c r="K2191" s="903" t="s">
        <v>15</v>
      </c>
      <c r="L2191" s="1137"/>
      <c r="M2191" s="1138">
        <f t="shared" si="222"/>
        <v>0</v>
      </c>
      <c r="N2191" s="1176">
        <f t="shared" si="218"/>
        <v>0</v>
      </c>
      <c r="O2191" s="905"/>
      <c r="Q2191" s="317" t="str">
        <f t="shared" si="219"/>
        <v/>
      </c>
      <c r="R2191" s="317" t="str">
        <f t="shared" si="220"/>
        <v/>
      </c>
      <c r="S2191" s="317" t="str">
        <f t="shared" si="221"/>
        <v/>
      </c>
      <c r="T2191" s="317" t="str">
        <f>GLOBAL_DER_FEV_2023!S2191</f>
        <v/>
      </c>
      <c r="W2191" s="582">
        <v>0</v>
      </c>
      <c r="X2191" s="580"/>
      <c r="Y2191" s="583">
        <f>IF(GLOBAL_DER_FEV_2023!W2191=0,0,IF(GLOBAL_DER_FEV_2023!W2191&gt;0,"c","b"))</f>
        <v>0</v>
      </c>
    </row>
    <row r="2192" spans="1:25" ht="15" customHeight="1" x14ac:dyDescent="0.2">
      <c r="A2192" s="317" t="s">
        <v>147</v>
      </c>
      <c r="B2192" s="895" t="s">
        <v>147</v>
      </c>
      <c r="C2192" s="896"/>
      <c r="D2192" s="906" t="s">
        <v>190</v>
      </c>
      <c r="E2192" s="907">
        <f>GLOBAL_DER_FEV_2023!E2192</f>
        <v>308</v>
      </c>
      <c r="F2192" s="908">
        <f>GLOBAL_DER_FEV_2023!F2192</f>
        <v>1.3675439999999999</v>
      </c>
      <c r="G2192" s="909">
        <f>GLOBAL_DER_FEV_2023!G2192</f>
        <v>339.23296463999998</v>
      </c>
      <c r="H2192" s="901">
        <f>GLOBAL_DER_FEV_2023!H2192</f>
        <v>0</v>
      </c>
      <c r="I2192" s="901">
        <f>GLOBAL_DER_FEV_2023!I2192</f>
        <v>0</v>
      </c>
      <c r="J2192" s="902">
        <f>GLOBAL_DER_FEV_2023!J2192</f>
        <v>0</v>
      </c>
      <c r="K2192" s="903"/>
      <c r="L2192" s="1177"/>
      <c r="M2192" s="1138">
        <f t="shared" si="222"/>
        <v>0</v>
      </c>
      <c r="N2192" s="1176">
        <f t="shared" si="218"/>
        <v>0</v>
      </c>
      <c r="O2192" s="905"/>
      <c r="P2192" s="36" t="str">
        <f>IF(N2191&gt;0,"xx",IF(N2191&gt;0,"xy",""))</f>
        <v/>
      </c>
      <c r="Q2192" s="317" t="str">
        <f t="shared" si="219"/>
        <v/>
      </c>
      <c r="R2192" s="317" t="str">
        <f t="shared" si="220"/>
        <v/>
      </c>
      <c r="S2192" s="317" t="str">
        <f t="shared" si="221"/>
        <v/>
      </c>
      <c r="T2192" s="317" t="str">
        <f>GLOBAL_DER_FEV_2023!S2192</f>
        <v/>
      </c>
      <c r="W2192" s="582">
        <v>0</v>
      </c>
      <c r="X2192" s="580"/>
      <c r="Y2192" s="583">
        <f>IF(GLOBAL_DER_FEV_2023!W2192=0,0,IF(GLOBAL_DER_FEV_2023!W2192&gt;0,"c","b"))</f>
        <v>0</v>
      </c>
    </row>
    <row r="2193" spans="1:25" ht="15" customHeight="1" x14ac:dyDescent="0.2">
      <c r="A2193" s="317" t="s">
        <v>147</v>
      </c>
      <c r="B2193" s="895" t="s">
        <v>147</v>
      </c>
      <c r="C2193" s="896"/>
      <c r="D2193" s="906" t="s">
        <v>229</v>
      </c>
      <c r="E2193" s="907">
        <f>GLOBAL_DER_FEV_2023!E2193</f>
        <v>150</v>
      </c>
      <c r="F2193" s="908">
        <f>GLOBAL_DER_FEV_2023!F2193</f>
        <v>3.9353559999999996</v>
      </c>
      <c r="G2193" s="949">
        <f>GLOBAL_DER_FEV_2023!G2193</f>
        <v>642.17139207999992</v>
      </c>
      <c r="H2193" s="901">
        <f>GLOBAL_DER_FEV_2023!H2193</f>
        <v>0</v>
      </c>
      <c r="I2193" s="901">
        <f>GLOBAL_DER_FEV_2023!I2193</f>
        <v>0</v>
      </c>
      <c r="J2193" s="902">
        <f>GLOBAL_DER_FEV_2023!J2193</f>
        <v>0</v>
      </c>
      <c r="K2193" s="903"/>
      <c r="L2193" s="1177"/>
      <c r="M2193" s="1138">
        <f t="shared" si="222"/>
        <v>0</v>
      </c>
      <c r="N2193" s="1176">
        <f t="shared" si="218"/>
        <v>0</v>
      </c>
      <c r="O2193" s="905"/>
      <c r="P2193" s="36" t="str">
        <f>IF(N2191&gt;0,"xx",IF(N2191&gt;0,"xy",""))</f>
        <v/>
      </c>
      <c r="Q2193" s="317" t="str">
        <f t="shared" si="219"/>
        <v/>
      </c>
      <c r="R2193" s="317" t="str">
        <f t="shared" si="220"/>
        <v/>
      </c>
      <c r="S2193" s="317" t="str">
        <f t="shared" si="221"/>
        <v/>
      </c>
      <c r="T2193" s="317" t="str">
        <f>GLOBAL_DER_FEV_2023!S2193</f>
        <v/>
      </c>
      <c r="W2193" s="582">
        <v>0</v>
      </c>
      <c r="X2193" s="580"/>
      <c r="Y2193" s="583">
        <f>IF(GLOBAL_DER_FEV_2023!W2193=0,0,IF(GLOBAL_DER_FEV_2023!W2193&gt;0,"c","b"))</f>
        <v>0</v>
      </c>
    </row>
    <row r="2194" spans="1:25" ht="15" customHeight="1" x14ac:dyDescent="0.2">
      <c r="A2194" s="317" t="s">
        <v>147</v>
      </c>
      <c r="B2194" s="895" t="s">
        <v>147</v>
      </c>
      <c r="C2194" s="896"/>
      <c r="D2194" s="906" t="s">
        <v>233</v>
      </c>
      <c r="E2194" s="907">
        <f>GLOBAL_DER_FEV_2023!E2194</f>
        <v>0.2</v>
      </c>
      <c r="F2194" s="908">
        <f>GLOBAL_DER_FEV_2023!F2194</f>
        <v>4.7072880000000001</v>
      </c>
      <c r="G2194" s="949">
        <f>GLOBAL_DER_FEV_2023!G2194</f>
        <v>13.622891472000001</v>
      </c>
      <c r="H2194" s="901">
        <f>GLOBAL_DER_FEV_2023!H2194</f>
        <v>0</v>
      </c>
      <c r="I2194" s="901">
        <f>GLOBAL_DER_FEV_2023!I2194</f>
        <v>0</v>
      </c>
      <c r="J2194" s="902">
        <f>GLOBAL_DER_FEV_2023!J2194</f>
        <v>0</v>
      </c>
      <c r="K2194" s="903"/>
      <c r="L2194" s="1177"/>
      <c r="M2194" s="1138">
        <f t="shared" si="222"/>
        <v>0</v>
      </c>
      <c r="N2194" s="1176">
        <f t="shared" si="218"/>
        <v>0</v>
      </c>
      <c r="O2194" s="905"/>
      <c r="P2194" s="36" t="str">
        <f>IF(N2191&gt;0,"xx",IF(N2191&gt;0,"xy",""))</f>
        <v/>
      </c>
      <c r="Q2194" s="317" t="str">
        <f t="shared" si="219"/>
        <v/>
      </c>
      <c r="R2194" s="317" t="str">
        <f t="shared" si="220"/>
        <v/>
      </c>
      <c r="S2194" s="317" t="str">
        <f t="shared" si="221"/>
        <v/>
      </c>
      <c r="T2194" s="317" t="str">
        <f>GLOBAL_DER_FEV_2023!S2194</f>
        <v/>
      </c>
      <c r="W2194" s="582">
        <v>0</v>
      </c>
      <c r="X2194" s="580"/>
      <c r="Y2194" s="583">
        <f>IF(GLOBAL_DER_FEV_2023!W2194=0,0,IF(GLOBAL_DER_FEV_2023!W2194&gt;0,"c","b"))</f>
        <v>0</v>
      </c>
    </row>
    <row r="2195" spans="1:25" ht="15" customHeight="1" x14ac:dyDescent="0.2">
      <c r="A2195" s="317" t="s">
        <v>104</v>
      </c>
      <c r="B2195" s="895" t="s">
        <v>104</v>
      </c>
      <c r="C2195" s="896" t="s">
        <v>184</v>
      </c>
      <c r="D2195" s="906" t="s">
        <v>374</v>
      </c>
      <c r="E2195" s="907">
        <f>GLOBAL_DER_FEV_2023!E2195</f>
        <v>0</v>
      </c>
      <c r="F2195" s="908">
        <f>GLOBAL_DER_FEV_2023!F2195</f>
        <v>0</v>
      </c>
      <c r="G2195" s="912">
        <f>GLOBAL_DER_FEV_2023!G2195</f>
        <v>1240.9794095919997</v>
      </c>
      <c r="H2195" s="901">
        <f>GLOBAL_DER_FEV_2023!H2195</f>
        <v>3745</v>
      </c>
      <c r="I2195" s="901">
        <f>GLOBAL_DER_FEV_2023!I2195</f>
        <v>4985.9794095919997</v>
      </c>
      <c r="J2195" s="902">
        <f>GLOBAL_DER_FEV_2023!J2195</f>
        <v>5986.67</v>
      </c>
      <c r="K2195" s="903" t="s">
        <v>15</v>
      </c>
      <c r="L2195" s="1137"/>
      <c r="M2195" s="1138">
        <f t="shared" si="222"/>
        <v>0</v>
      </c>
      <c r="N2195" s="1176">
        <f t="shared" si="218"/>
        <v>0</v>
      </c>
      <c r="O2195" s="905"/>
      <c r="Q2195" s="317" t="str">
        <f t="shared" si="219"/>
        <v/>
      </c>
      <c r="R2195" s="317" t="str">
        <f t="shared" si="220"/>
        <v/>
      </c>
      <c r="S2195" s="317" t="str">
        <f t="shared" si="221"/>
        <v/>
      </c>
      <c r="T2195" s="317" t="str">
        <f>GLOBAL_DER_FEV_2023!S2195</f>
        <v/>
      </c>
      <c r="W2195" s="582">
        <v>0</v>
      </c>
      <c r="X2195" s="580"/>
      <c r="Y2195" s="583">
        <f>IF(GLOBAL_DER_FEV_2023!W2195=0,0,IF(GLOBAL_DER_FEV_2023!W2195&gt;0,"c","b"))</f>
        <v>0</v>
      </c>
    </row>
    <row r="2196" spans="1:25" ht="15" customHeight="1" x14ac:dyDescent="0.2">
      <c r="A2196" s="317" t="s">
        <v>147</v>
      </c>
      <c r="B2196" s="895" t="s">
        <v>147</v>
      </c>
      <c r="C2196" s="896"/>
      <c r="D2196" s="906" t="s">
        <v>190</v>
      </c>
      <c r="E2196" s="907">
        <f>GLOBAL_DER_FEV_2023!E2196</f>
        <v>308</v>
      </c>
      <c r="F2196" s="908">
        <f>GLOBAL_DER_FEV_2023!F2196</f>
        <v>1.7123939999999997</v>
      </c>
      <c r="G2196" s="909">
        <f>GLOBAL_DER_FEV_2023!G2196</f>
        <v>424.77645563999994</v>
      </c>
      <c r="H2196" s="901">
        <f>GLOBAL_DER_FEV_2023!H2196</f>
        <v>0</v>
      </c>
      <c r="I2196" s="901">
        <f>GLOBAL_DER_FEV_2023!I2196</f>
        <v>0</v>
      </c>
      <c r="J2196" s="902">
        <f>GLOBAL_DER_FEV_2023!J2196</f>
        <v>0</v>
      </c>
      <c r="K2196" s="903"/>
      <c r="L2196" s="1177"/>
      <c r="M2196" s="1138">
        <f t="shared" si="222"/>
        <v>0</v>
      </c>
      <c r="N2196" s="1176">
        <f t="shared" si="218"/>
        <v>0</v>
      </c>
      <c r="O2196" s="905"/>
      <c r="P2196" s="36" t="str">
        <f>IF(N2195&gt;0,"xx",IF(N2195&gt;0,"xy",""))</f>
        <v/>
      </c>
      <c r="Q2196" s="317" t="str">
        <f t="shared" si="219"/>
        <v/>
      </c>
      <c r="R2196" s="317" t="str">
        <f t="shared" si="220"/>
        <v/>
      </c>
      <c r="S2196" s="317" t="str">
        <f t="shared" si="221"/>
        <v/>
      </c>
      <c r="T2196" s="317" t="str">
        <f>GLOBAL_DER_FEV_2023!S2196</f>
        <v/>
      </c>
      <c r="W2196" s="582">
        <v>0</v>
      </c>
      <c r="X2196" s="580"/>
      <c r="Y2196" s="583">
        <f>IF(GLOBAL_DER_FEV_2023!W2196=0,0,IF(GLOBAL_DER_FEV_2023!W2196&gt;0,"c","b"))</f>
        <v>0</v>
      </c>
    </row>
    <row r="2197" spans="1:25" ht="15" customHeight="1" x14ac:dyDescent="0.2">
      <c r="A2197" s="317" t="s">
        <v>147</v>
      </c>
      <c r="B2197" s="895" t="s">
        <v>147</v>
      </c>
      <c r="C2197" s="896"/>
      <c r="D2197" s="906" t="s">
        <v>229</v>
      </c>
      <c r="E2197" s="907">
        <f>GLOBAL_DER_FEV_2023!E2197</f>
        <v>150</v>
      </c>
      <c r="F2197" s="908">
        <f>GLOBAL_DER_FEV_2023!F2197</f>
        <v>4.8978009999999994</v>
      </c>
      <c r="G2197" s="949">
        <f>GLOBAL_DER_FEV_2023!G2197</f>
        <v>799.2231671799999</v>
      </c>
      <c r="H2197" s="901">
        <f>GLOBAL_DER_FEV_2023!H2197</f>
        <v>0</v>
      </c>
      <c r="I2197" s="901">
        <f>GLOBAL_DER_FEV_2023!I2197</f>
        <v>0</v>
      </c>
      <c r="J2197" s="902">
        <f>GLOBAL_DER_FEV_2023!J2197</f>
        <v>0</v>
      </c>
      <c r="K2197" s="903"/>
      <c r="L2197" s="1177"/>
      <c r="M2197" s="1138">
        <f t="shared" si="222"/>
        <v>0</v>
      </c>
      <c r="N2197" s="1176">
        <f t="shared" si="218"/>
        <v>0</v>
      </c>
      <c r="O2197" s="905"/>
      <c r="P2197" s="36" t="str">
        <f>IF(N2195&gt;0,"xx",IF(N2195&gt;0,"xy",""))</f>
        <v/>
      </c>
      <c r="Q2197" s="317" t="str">
        <f t="shared" si="219"/>
        <v/>
      </c>
      <c r="R2197" s="317" t="str">
        <f t="shared" si="220"/>
        <v/>
      </c>
      <c r="S2197" s="317" t="str">
        <f t="shared" si="221"/>
        <v/>
      </c>
      <c r="T2197" s="317" t="str">
        <f>GLOBAL_DER_FEV_2023!S2197</f>
        <v/>
      </c>
      <c r="W2197" s="582">
        <v>0</v>
      </c>
      <c r="X2197" s="580"/>
      <c r="Y2197" s="583">
        <f>IF(GLOBAL_DER_FEV_2023!W2197=0,0,IF(GLOBAL_DER_FEV_2023!W2197&gt;0,"c","b"))</f>
        <v>0</v>
      </c>
    </row>
    <row r="2198" spans="1:25" ht="15" customHeight="1" x14ac:dyDescent="0.2">
      <c r="A2198" s="317" t="s">
        <v>147</v>
      </c>
      <c r="B2198" s="895" t="s">
        <v>147</v>
      </c>
      <c r="C2198" s="896"/>
      <c r="D2198" s="906" t="s">
        <v>233</v>
      </c>
      <c r="E2198" s="907">
        <f>GLOBAL_DER_FEV_2023!E2198</f>
        <v>0.2</v>
      </c>
      <c r="F2198" s="908">
        <f>GLOBAL_DER_FEV_2023!F2198</f>
        <v>5.8672380000000004</v>
      </c>
      <c r="G2198" s="949">
        <f>GLOBAL_DER_FEV_2023!G2198</f>
        <v>16.979786772000001</v>
      </c>
      <c r="H2198" s="901">
        <f>GLOBAL_DER_FEV_2023!H2198</f>
        <v>0</v>
      </c>
      <c r="I2198" s="901">
        <f>GLOBAL_DER_FEV_2023!I2198</f>
        <v>0</v>
      </c>
      <c r="J2198" s="902">
        <f>GLOBAL_DER_FEV_2023!J2198</f>
        <v>0</v>
      </c>
      <c r="K2198" s="903"/>
      <c r="L2198" s="1177"/>
      <c r="M2198" s="1138">
        <f t="shared" si="222"/>
        <v>0</v>
      </c>
      <c r="N2198" s="1176">
        <f t="shared" si="218"/>
        <v>0</v>
      </c>
      <c r="O2198" s="905"/>
      <c r="P2198" s="36" t="str">
        <f>IF(N2195&gt;0,"xx",IF(N2195&gt;0,"xy",""))</f>
        <v/>
      </c>
      <c r="Q2198" s="317" t="str">
        <f t="shared" si="219"/>
        <v/>
      </c>
      <c r="R2198" s="317" t="str">
        <f t="shared" si="220"/>
        <v/>
      </c>
      <c r="S2198" s="317" t="str">
        <f t="shared" si="221"/>
        <v/>
      </c>
      <c r="T2198" s="317" t="str">
        <f>GLOBAL_DER_FEV_2023!S2198</f>
        <v/>
      </c>
      <c r="W2198" s="582">
        <v>0</v>
      </c>
      <c r="X2198" s="580"/>
      <c r="Y2198" s="583">
        <f>IF(GLOBAL_DER_FEV_2023!W2198=0,0,IF(GLOBAL_DER_FEV_2023!W2198&gt;0,"c","b"))</f>
        <v>0</v>
      </c>
    </row>
    <row r="2199" spans="1:25" ht="15" customHeight="1" x14ac:dyDescent="0.2">
      <c r="A2199" s="317" t="s">
        <v>27</v>
      </c>
      <c r="B2199" s="895" t="s">
        <v>27</v>
      </c>
      <c r="C2199" s="896" t="s">
        <v>184</v>
      </c>
      <c r="D2199" s="906" t="s">
        <v>94</v>
      </c>
      <c r="E2199" s="907">
        <f>GLOBAL_DER_FEV_2023!E2199</f>
        <v>0</v>
      </c>
      <c r="F2199" s="908">
        <f>GLOBAL_DER_FEV_2023!F2199</f>
        <v>0</v>
      </c>
      <c r="G2199" s="912">
        <f>GLOBAL_DER_FEV_2023!G2199</f>
        <v>287.33632253600001</v>
      </c>
      <c r="H2199" s="901">
        <f>GLOBAL_DER_FEV_2023!H2199</f>
        <v>3736.16</v>
      </c>
      <c r="I2199" s="901">
        <f>GLOBAL_DER_FEV_2023!I2199</f>
        <v>4023.4963225359998</v>
      </c>
      <c r="J2199" s="902">
        <f>GLOBAL_DER_FEV_2023!J2199</f>
        <v>4831.01</v>
      </c>
      <c r="K2199" s="903" t="s">
        <v>15</v>
      </c>
      <c r="L2199" s="1137"/>
      <c r="M2199" s="1138">
        <f t="shared" si="222"/>
        <v>0</v>
      </c>
      <c r="N2199" s="1176">
        <f t="shared" ref="N2199:N2262" si="223">IF(ISBLANK(L2199),0,IF(W2199=0,ROUND(L2199*M2199,2),IF(W2199="b",ROUNDDOWN(L2199*M2199,2),ROUNDUP(L2199*M2199,2))))</f>
        <v>0</v>
      </c>
      <c r="O2199" s="905"/>
      <c r="Q2199" s="317" t="str">
        <f t="shared" si="219"/>
        <v/>
      </c>
      <c r="R2199" s="317" t="str">
        <f t="shared" si="220"/>
        <v/>
      </c>
      <c r="S2199" s="317" t="str">
        <f t="shared" si="221"/>
        <v/>
      </c>
      <c r="T2199" s="317" t="str">
        <f>GLOBAL_DER_FEV_2023!S2199</f>
        <v/>
      </c>
      <c r="W2199" s="582">
        <v>0</v>
      </c>
      <c r="X2199" s="580"/>
      <c r="Y2199" s="583">
        <f>IF(GLOBAL_DER_FEV_2023!W2199=0,0,IF(GLOBAL_DER_FEV_2023!W2199&gt;0,"c","b"))</f>
        <v>0</v>
      </c>
    </row>
    <row r="2200" spans="1:25" ht="15" customHeight="1" x14ac:dyDescent="0.2">
      <c r="A2200" s="317" t="s">
        <v>147</v>
      </c>
      <c r="B2200" s="895" t="s">
        <v>147</v>
      </c>
      <c r="C2200" s="896"/>
      <c r="D2200" s="906" t="s">
        <v>190</v>
      </c>
      <c r="E2200" s="907">
        <f>GLOBAL_DER_FEV_2023!E2200</f>
        <v>308</v>
      </c>
      <c r="F2200" s="908">
        <f>GLOBAL_DER_FEV_2023!F2200</f>
        <v>0.38908200000000004</v>
      </c>
      <c r="G2200" s="909">
        <f>GLOBAL_DER_FEV_2023!G2200</f>
        <v>96.515680920000008</v>
      </c>
      <c r="H2200" s="901">
        <f>GLOBAL_DER_FEV_2023!H2200</f>
        <v>0</v>
      </c>
      <c r="I2200" s="901">
        <f>GLOBAL_DER_FEV_2023!I2200</f>
        <v>0</v>
      </c>
      <c r="J2200" s="902">
        <f>GLOBAL_DER_FEV_2023!J2200</f>
        <v>0</v>
      </c>
      <c r="K2200" s="903"/>
      <c r="L2200" s="1177"/>
      <c r="M2200" s="1138">
        <f t="shared" si="222"/>
        <v>0</v>
      </c>
      <c r="N2200" s="1176">
        <f t="shared" si="223"/>
        <v>0</v>
      </c>
      <c r="O2200" s="905"/>
      <c r="P2200" s="36" t="str">
        <f>IF(N2199&gt;0,"xx",IF(N2199&gt;0,"xy",""))</f>
        <v/>
      </c>
      <c r="Q2200" s="317" t="str">
        <f t="shared" si="219"/>
        <v/>
      </c>
      <c r="R2200" s="317" t="str">
        <f t="shared" si="220"/>
        <v/>
      </c>
      <c r="S2200" s="317" t="str">
        <f t="shared" si="221"/>
        <v/>
      </c>
      <c r="T2200" s="317" t="str">
        <f>GLOBAL_DER_FEV_2023!S2200</f>
        <v/>
      </c>
      <c r="W2200" s="582">
        <v>0</v>
      </c>
      <c r="X2200" s="580"/>
      <c r="Y2200" s="583">
        <f>IF(GLOBAL_DER_FEV_2023!W2200=0,0,IF(GLOBAL_DER_FEV_2023!W2200&gt;0,"c","b"))</f>
        <v>0</v>
      </c>
    </row>
    <row r="2201" spans="1:25" ht="15" customHeight="1" x14ac:dyDescent="0.2">
      <c r="A2201" s="317" t="s">
        <v>147</v>
      </c>
      <c r="B2201" s="895" t="s">
        <v>147</v>
      </c>
      <c r="C2201" s="896"/>
      <c r="D2201" s="906" t="s">
        <v>229</v>
      </c>
      <c r="E2201" s="907">
        <f>GLOBAL_DER_FEV_2023!E2201</f>
        <v>150</v>
      </c>
      <c r="F2201" s="908">
        <f>GLOBAL_DER_FEV_2023!F2201</f>
        <v>1.1452249999999999</v>
      </c>
      <c r="G2201" s="949">
        <f>GLOBAL_DER_FEV_2023!G2201</f>
        <v>186.8778155</v>
      </c>
      <c r="H2201" s="901">
        <f>GLOBAL_DER_FEV_2023!H2201</f>
        <v>0</v>
      </c>
      <c r="I2201" s="901">
        <f>GLOBAL_DER_FEV_2023!I2201</f>
        <v>0</v>
      </c>
      <c r="J2201" s="902">
        <f>GLOBAL_DER_FEV_2023!J2201</f>
        <v>0</v>
      </c>
      <c r="K2201" s="903"/>
      <c r="L2201" s="1177"/>
      <c r="M2201" s="1138">
        <f t="shared" si="222"/>
        <v>0</v>
      </c>
      <c r="N2201" s="1176">
        <f t="shared" si="223"/>
        <v>0</v>
      </c>
      <c r="O2201" s="905"/>
      <c r="P2201" s="36" t="str">
        <f>IF(N2199&gt;0,"xx",IF(N2199&gt;0,"xy",""))</f>
        <v/>
      </c>
      <c r="Q2201" s="317" t="str">
        <f t="shared" si="219"/>
        <v/>
      </c>
      <c r="R2201" s="317" t="str">
        <f t="shared" si="220"/>
        <v/>
      </c>
      <c r="S2201" s="317" t="str">
        <f t="shared" si="221"/>
        <v/>
      </c>
      <c r="T2201" s="317" t="str">
        <f>GLOBAL_DER_FEV_2023!S2201</f>
        <v/>
      </c>
      <c r="W2201" s="582">
        <v>0</v>
      </c>
      <c r="X2201" s="580"/>
      <c r="Y2201" s="583">
        <f>IF(GLOBAL_DER_FEV_2023!W2201=0,0,IF(GLOBAL_DER_FEV_2023!W2201&gt;0,"c","b"))</f>
        <v>0</v>
      </c>
    </row>
    <row r="2202" spans="1:25" ht="15" customHeight="1" x14ac:dyDescent="0.2">
      <c r="A2202" s="317" t="s">
        <v>147</v>
      </c>
      <c r="B2202" s="895" t="s">
        <v>147</v>
      </c>
      <c r="C2202" s="896"/>
      <c r="D2202" s="906" t="s">
        <v>233</v>
      </c>
      <c r="E2202" s="907">
        <f>GLOBAL_DER_FEV_2023!E2202</f>
        <v>0.2</v>
      </c>
      <c r="F2202" s="908">
        <f>GLOBAL_DER_FEV_2023!F2202</f>
        <v>1.362414</v>
      </c>
      <c r="G2202" s="949">
        <f>GLOBAL_DER_FEV_2023!G2202</f>
        <v>3.9428261160000004</v>
      </c>
      <c r="H2202" s="901">
        <f>GLOBAL_DER_FEV_2023!H2202</f>
        <v>0</v>
      </c>
      <c r="I2202" s="901">
        <f>GLOBAL_DER_FEV_2023!I2202</f>
        <v>0</v>
      </c>
      <c r="J2202" s="902">
        <f>GLOBAL_DER_FEV_2023!J2202</f>
        <v>0</v>
      </c>
      <c r="K2202" s="903"/>
      <c r="L2202" s="1177"/>
      <c r="M2202" s="1138">
        <f t="shared" si="222"/>
        <v>0</v>
      </c>
      <c r="N2202" s="1176">
        <f t="shared" si="223"/>
        <v>0</v>
      </c>
      <c r="O2202" s="905"/>
      <c r="P2202" s="36" t="str">
        <f>IF(N2199&gt;0,"xx",IF(N2199&gt;0,"xy",""))</f>
        <v/>
      </c>
      <c r="Q2202" s="317" t="str">
        <f t="shared" si="219"/>
        <v/>
      </c>
      <c r="R2202" s="317" t="str">
        <f t="shared" si="220"/>
        <v/>
      </c>
      <c r="S2202" s="317" t="str">
        <f t="shared" si="221"/>
        <v/>
      </c>
      <c r="T2202" s="317" t="str">
        <f>GLOBAL_DER_FEV_2023!S2202</f>
        <v/>
      </c>
      <c r="W2202" s="582">
        <v>0</v>
      </c>
      <c r="X2202" s="580"/>
      <c r="Y2202" s="583">
        <f>IF(GLOBAL_DER_FEV_2023!W2202=0,0,IF(GLOBAL_DER_FEV_2023!W2202&gt;0,"c","b"))</f>
        <v>0</v>
      </c>
    </row>
    <row r="2203" spans="1:25" ht="15" customHeight="1" x14ac:dyDescent="0.2">
      <c r="A2203" s="317" t="s">
        <v>28</v>
      </c>
      <c r="B2203" s="895" t="s">
        <v>28</v>
      </c>
      <c r="C2203" s="896" t="s">
        <v>184</v>
      </c>
      <c r="D2203" s="906" t="s">
        <v>91</v>
      </c>
      <c r="E2203" s="907">
        <f>GLOBAL_DER_FEV_2023!E2203</f>
        <v>0</v>
      </c>
      <c r="F2203" s="908">
        <f>GLOBAL_DER_FEV_2023!F2203</f>
        <v>0</v>
      </c>
      <c r="G2203" s="912">
        <f>GLOBAL_DER_FEV_2023!G2203</f>
        <v>358.88604221599996</v>
      </c>
      <c r="H2203" s="901">
        <f>GLOBAL_DER_FEV_2023!H2203</f>
        <v>4503.8999999999996</v>
      </c>
      <c r="I2203" s="901">
        <f>GLOBAL_DER_FEV_2023!I2203</f>
        <v>4862.7860422159993</v>
      </c>
      <c r="J2203" s="902">
        <f>GLOBAL_DER_FEV_2023!J2203</f>
        <v>5838.75</v>
      </c>
      <c r="K2203" s="903" t="s">
        <v>15</v>
      </c>
      <c r="L2203" s="1137"/>
      <c r="M2203" s="1138">
        <f t="shared" si="222"/>
        <v>0</v>
      </c>
      <c r="N2203" s="1176">
        <f t="shared" si="223"/>
        <v>0</v>
      </c>
      <c r="O2203" s="905"/>
      <c r="Q2203" s="317" t="str">
        <f t="shared" si="219"/>
        <v/>
      </c>
      <c r="R2203" s="317" t="str">
        <f t="shared" si="220"/>
        <v/>
      </c>
      <c r="S2203" s="317" t="str">
        <f t="shared" si="221"/>
        <v/>
      </c>
      <c r="T2203" s="317" t="str">
        <f>GLOBAL_DER_FEV_2023!S2203</f>
        <v/>
      </c>
      <c r="W2203" s="582">
        <v>0</v>
      </c>
      <c r="X2203" s="580"/>
      <c r="Y2203" s="583">
        <f>IF(GLOBAL_DER_FEV_2023!W2203=0,0,IF(GLOBAL_DER_FEV_2023!W2203&gt;0,"c","b"))</f>
        <v>0</v>
      </c>
    </row>
    <row r="2204" spans="1:25" ht="15" customHeight="1" x14ac:dyDescent="0.2">
      <c r="A2204" s="317" t="s">
        <v>147</v>
      </c>
      <c r="B2204" s="895" t="s">
        <v>147</v>
      </c>
      <c r="C2204" s="896"/>
      <c r="D2204" s="906" t="s">
        <v>190</v>
      </c>
      <c r="E2204" s="907">
        <f>GLOBAL_DER_FEV_2023!E2204</f>
        <v>308</v>
      </c>
      <c r="F2204" s="908">
        <f>GLOBAL_DER_FEV_2023!F2204</f>
        <v>0.48940199999999995</v>
      </c>
      <c r="G2204" s="909">
        <f>GLOBAL_DER_FEV_2023!G2204</f>
        <v>121.40106011999998</v>
      </c>
      <c r="H2204" s="901">
        <f>GLOBAL_DER_FEV_2023!H2204</f>
        <v>0</v>
      </c>
      <c r="I2204" s="901">
        <f>GLOBAL_DER_FEV_2023!I2204</f>
        <v>0</v>
      </c>
      <c r="J2204" s="902">
        <f>GLOBAL_DER_FEV_2023!J2204</f>
        <v>0</v>
      </c>
      <c r="K2204" s="903"/>
      <c r="L2204" s="1177"/>
      <c r="M2204" s="1138">
        <f t="shared" si="222"/>
        <v>0</v>
      </c>
      <c r="N2204" s="1176">
        <f t="shared" si="223"/>
        <v>0</v>
      </c>
      <c r="O2204" s="905"/>
      <c r="P2204" s="36" t="str">
        <f>IF(N2203&gt;0,"xx",IF(N2203&gt;0,"xy",""))</f>
        <v/>
      </c>
      <c r="Q2204" s="317" t="str">
        <f t="shared" si="219"/>
        <v/>
      </c>
      <c r="R2204" s="317" t="str">
        <f t="shared" si="220"/>
        <v/>
      </c>
      <c r="S2204" s="317" t="str">
        <f t="shared" si="221"/>
        <v/>
      </c>
      <c r="T2204" s="317" t="str">
        <f>GLOBAL_DER_FEV_2023!S2204</f>
        <v/>
      </c>
      <c r="W2204" s="582">
        <v>0</v>
      </c>
      <c r="X2204" s="580"/>
      <c r="Y2204" s="583">
        <f>IF(GLOBAL_DER_FEV_2023!W2204=0,0,IF(GLOBAL_DER_FEV_2023!W2204&gt;0,"c","b"))</f>
        <v>0</v>
      </c>
    </row>
    <row r="2205" spans="1:25" ht="15" customHeight="1" x14ac:dyDescent="0.2">
      <c r="A2205" s="317" t="s">
        <v>147</v>
      </c>
      <c r="B2205" s="895" t="s">
        <v>147</v>
      </c>
      <c r="C2205" s="896"/>
      <c r="D2205" s="906" t="s">
        <v>229</v>
      </c>
      <c r="E2205" s="907">
        <f>GLOBAL_DER_FEV_2023!E2205</f>
        <v>150</v>
      </c>
      <c r="F2205" s="908">
        <f>GLOBAL_DER_FEV_2023!F2205</f>
        <v>1.4252089999999999</v>
      </c>
      <c r="G2205" s="949">
        <f>GLOBAL_DER_FEV_2023!G2205</f>
        <v>232.56560461999999</v>
      </c>
      <c r="H2205" s="901">
        <f>GLOBAL_DER_FEV_2023!H2205</f>
        <v>0</v>
      </c>
      <c r="I2205" s="901">
        <f>GLOBAL_DER_FEV_2023!I2205</f>
        <v>0</v>
      </c>
      <c r="J2205" s="902">
        <f>GLOBAL_DER_FEV_2023!J2205</f>
        <v>0</v>
      </c>
      <c r="K2205" s="903"/>
      <c r="L2205" s="1177"/>
      <c r="M2205" s="1138">
        <f t="shared" si="222"/>
        <v>0</v>
      </c>
      <c r="N2205" s="1176">
        <f t="shared" si="223"/>
        <v>0</v>
      </c>
      <c r="O2205" s="905"/>
      <c r="P2205" s="36" t="str">
        <f>IF(N2203&gt;0,"xx",IF(N2203&gt;0,"xy",""))</f>
        <v/>
      </c>
      <c r="Q2205" s="317" t="str">
        <f t="shared" si="219"/>
        <v/>
      </c>
      <c r="R2205" s="317" t="str">
        <f t="shared" si="220"/>
        <v/>
      </c>
      <c r="S2205" s="317" t="str">
        <f t="shared" si="221"/>
        <v/>
      </c>
      <c r="T2205" s="317" t="str">
        <f>GLOBAL_DER_FEV_2023!S2205</f>
        <v/>
      </c>
      <c r="W2205" s="582">
        <v>0</v>
      </c>
      <c r="X2205" s="580"/>
      <c r="Y2205" s="583">
        <f>IF(GLOBAL_DER_FEV_2023!W2205=0,0,IF(GLOBAL_DER_FEV_2023!W2205&gt;0,"c","b"))</f>
        <v>0</v>
      </c>
    </row>
    <row r="2206" spans="1:25" ht="15" customHeight="1" x14ac:dyDescent="0.2">
      <c r="A2206" s="317" t="s">
        <v>147</v>
      </c>
      <c r="B2206" s="895" t="s">
        <v>147</v>
      </c>
      <c r="C2206" s="896"/>
      <c r="D2206" s="906" t="s">
        <v>233</v>
      </c>
      <c r="E2206" s="907">
        <f>GLOBAL_DER_FEV_2023!E2206</f>
        <v>0.2</v>
      </c>
      <c r="F2206" s="908">
        <f>GLOBAL_DER_FEV_2023!F2206</f>
        <v>1.699854</v>
      </c>
      <c r="G2206" s="949">
        <f>GLOBAL_DER_FEV_2023!G2206</f>
        <v>4.9193774760000002</v>
      </c>
      <c r="H2206" s="901">
        <f>GLOBAL_DER_FEV_2023!H2206</f>
        <v>0</v>
      </c>
      <c r="I2206" s="901">
        <f>GLOBAL_DER_FEV_2023!I2206</f>
        <v>0</v>
      </c>
      <c r="J2206" s="902">
        <f>GLOBAL_DER_FEV_2023!J2206</f>
        <v>0</v>
      </c>
      <c r="K2206" s="903"/>
      <c r="L2206" s="1177"/>
      <c r="M2206" s="1138">
        <f t="shared" si="222"/>
        <v>0</v>
      </c>
      <c r="N2206" s="1176">
        <f t="shared" si="223"/>
        <v>0</v>
      </c>
      <c r="O2206" s="905"/>
      <c r="P2206" s="36" t="str">
        <f>IF(N2203&gt;0,"xx",IF(N2203&gt;0,"xy",""))</f>
        <v/>
      </c>
      <c r="Q2206" s="317" t="str">
        <f t="shared" si="219"/>
        <v/>
      </c>
      <c r="R2206" s="317" t="str">
        <f t="shared" si="220"/>
        <v/>
      </c>
      <c r="S2206" s="317" t="str">
        <f t="shared" si="221"/>
        <v/>
      </c>
      <c r="T2206" s="317" t="str">
        <f>GLOBAL_DER_FEV_2023!S2206</f>
        <v/>
      </c>
      <c r="W2206" s="582">
        <v>0</v>
      </c>
      <c r="X2206" s="580"/>
      <c r="Y2206" s="583">
        <f>IF(GLOBAL_DER_FEV_2023!W2206=0,0,IF(GLOBAL_DER_FEV_2023!W2206&gt;0,"c","b"))</f>
        <v>0</v>
      </c>
    </row>
    <row r="2207" spans="1:25" ht="15" customHeight="1" x14ac:dyDescent="0.2">
      <c r="A2207" s="317" t="s">
        <v>105</v>
      </c>
      <c r="B2207" s="895" t="s">
        <v>105</v>
      </c>
      <c r="C2207" s="896" t="s">
        <v>184</v>
      </c>
      <c r="D2207" s="906" t="s">
        <v>92</v>
      </c>
      <c r="E2207" s="907">
        <f>GLOBAL_DER_FEV_2023!E2207</f>
        <v>0</v>
      </c>
      <c r="F2207" s="908">
        <f>GLOBAL_DER_FEV_2023!F2207</f>
        <v>0</v>
      </c>
      <c r="G2207" s="912">
        <f>GLOBAL_DER_FEV_2023!G2207</f>
        <v>475.15433669600003</v>
      </c>
      <c r="H2207" s="901">
        <f>GLOBAL_DER_FEV_2023!H2207</f>
        <v>4886.76</v>
      </c>
      <c r="I2207" s="901">
        <f>GLOBAL_DER_FEV_2023!I2207</f>
        <v>5361.9143366960006</v>
      </c>
      <c r="J2207" s="902">
        <f>GLOBAL_DER_FEV_2023!J2207</f>
        <v>6438.05</v>
      </c>
      <c r="K2207" s="903" t="s">
        <v>15</v>
      </c>
      <c r="L2207" s="1137"/>
      <c r="M2207" s="1138">
        <f t="shared" si="222"/>
        <v>0</v>
      </c>
      <c r="N2207" s="1176">
        <f t="shared" si="223"/>
        <v>0</v>
      </c>
      <c r="O2207" s="905"/>
      <c r="Q2207" s="317" t="str">
        <f t="shared" si="219"/>
        <v/>
      </c>
      <c r="R2207" s="317" t="str">
        <f t="shared" si="220"/>
        <v/>
      </c>
      <c r="S2207" s="317" t="str">
        <f t="shared" si="221"/>
        <v/>
      </c>
      <c r="T2207" s="317" t="str">
        <f>GLOBAL_DER_FEV_2023!S2207</f>
        <v/>
      </c>
      <c r="W2207" s="582">
        <v>0</v>
      </c>
      <c r="X2207" s="580"/>
      <c r="Y2207" s="583">
        <f>IF(GLOBAL_DER_FEV_2023!W2207=0,0,IF(GLOBAL_DER_FEV_2023!W2207&gt;0,"c","b"))</f>
        <v>0</v>
      </c>
    </row>
    <row r="2208" spans="1:25" ht="15" customHeight="1" x14ac:dyDescent="0.2">
      <c r="A2208" s="317" t="s">
        <v>147</v>
      </c>
      <c r="B2208" s="895" t="s">
        <v>147</v>
      </c>
      <c r="C2208" s="896"/>
      <c r="D2208" s="906" t="s">
        <v>190</v>
      </c>
      <c r="E2208" s="907">
        <f>GLOBAL_DER_FEV_2023!E2208</f>
        <v>308</v>
      </c>
      <c r="F2208" s="908">
        <f>GLOBAL_DER_FEV_2023!F2208</f>
        <v>0.65242199999999995</v>
      </c>
      <c r="G2208" s="909">
        <f>GLOBAL_DER_FEV_2023!G2208</f>
        <v>161.83980131999999</v>
      </c>
      <c r="H2208" s="901">
        <f>GLOBAL_DER_FEV_2023!H2208</f>
        <v>0</v>
      </c>
      <c r="I2208" s="901">
        <f>GLOBAL_DER_FEV_2023!I2208</f>
        <v>0</v>
      </c>
      <c r="J2208" s="902">
        <f>GLOBAL_DER_FEV_2023!J2208</f>
        <v>0</v>
      </c>
      <c r="K2208" s="903"/>
      <c r="L2208" s="1177"/>
      <c r="M2208" s="1138">
        <f t="shared" si="222"/>
        <v>0</v>
      </c>
      <c r="N2208" s="1176">
        <f t="shared" si="223"/>
        <v>0</v>
      </c>
      <c r="O2208" s="905"/>
      <c r="P2208" s="36" t="str">
        <f>IF(N2207&gt;0,"xx",IF(N2207&gt;0,"xy",""))</f>
        <v/>
      </c>
      <c r="Q2208" s="317" t="str">
        <f t="shared" si="219"/>
        <v/>
      </c>
      <c r="R2208" s="317" t="str">
        <f t="shared" si="220"/>
        <v/>
      </c>
      <c r="S2208" s="317" t="str">
        <f t="shared" si="221"/>
        <v/>
      </c>
      <c r="T2208" s="317" t="str">
        <f>GLOBAL_DER_FEV_2023!S2208</f>
        <v/>
      </c>
      <c r="W2208" s="582">
        <v>0</v>
      </c>
      <c r="X2208" s="580"/>
      <c r="Y2208" s="583">
        <f>IF(GLOBAL_DER_FEV_2023!W2208=0,0,IF(GLOBAL_DER_FEV_2023!W2208&gt;0,"c","b"))</f>
        <v>0</v>
      </c>
    </row>
    <row r="2209" spans="1:25" ht="15" customHeight="1" x14ac:dyDescent="0.2">
      <c r="A2209" s="317" t="s">
        <v>147</v>
      </c>
      <c r="B2209" s="895" t="s">
        <v>147</v>
      </c>
      <c r="C2209" s="896"/>
      <c r="D2209" s="906" t="s">
        <v>229</v>
      </c>
      <c r="E2209" s="907">
        <f>GLOBAL_DER_FEV_2023!E2209</f>
        <v>150</v>
      </c>
      <c r="F2209" s="908">
        <f>GLOBAL_DER_FEV_2023!F2209</f>
        <v>1.8801829999999999</v>
      </c>
      <c r="G2209" s="949">
        <f>GLOBAL_DER_FEV_2023!G2209</f>
        <v>306.80826194000002</v>
      </c>
      <c r="H2209" s="901">
        <f>GLOBAL_DER_FEV_2023!H2209</f>
        <v>0</v>
      </c>
      <c r="I2209" s="901">
        <f>GLOBAL_DER_FEV_2023!I2209</f>
        <v>0</v>
      </c>
      <c r="J2209" s="902">
        <f>GLOBAL_DER_FEV_2023!J2209</f>
        <v>0</v>
      </c>
      <c r="K2209" s="903"/>
      <c r="L2209" s="1177"/>
      <c r="M2209" s="1138">
        <f t="shared" si="222"/>
        <v>0</v>
      </c>
      <c r="N2209" s="1176">
        <f t="shared" si="223"/>
        <v>0</v>
      </c>
      <c r="O2209" s="905"/>
      <c r="P2209" s="36" t="str">
        <f>IF(N2207&gt;0,"xx",IF(N2207&gt;0,"xy",""))</f>
        <v/>
      </c>
      <c r="Q2209" s="317" t="str">
        <f t="shared" si="219"/>
        <v/>
      </c>
      <c r="R2209" s="317" t="str">
        <f t="shared" si="220"/>
        <v/>
      </c>
      <c r="S2209" s="317" t="str">
        <f t="shared" si="221"/>
        <v/>
      </c>
      <c r="T2209" s="317" t="str">
        <f>GLOBAL_DER_FEV_2023!S2209</f>
        <v/>
      </c>
      <c r="W2209" s="582">
        <v>0</v>
      </c>
      <c r="X2209" s="580"/>
      <c r="Y2209" s="583">
        <f>IF(GLOBAL_DER_FEV_2023!W2209=0,0,IF(GLOBAL_DER_FEV_2023!W2209&gt;0,"c","b"))</f>
        <v>0</v>
      </c>
    </row>
    <row r="2210" spans="1:25" ht="15" customHeight="1" x14ac:dyDescent="0.2">
      <c r="A2210" s="317" t="s">
        <v>147</v>
      </c>
      <c r="B2210" s="895" t="s">
        <v>147</v>
      </c>
      <c r="C2210" s="896"/>
      <c r="D2210" s="906" t="s">
        <v>233</v>
      </c>
      <c r="E2210" s="907">
        <f>GLOBAL_DER_FEV_2023!E2210</f>
        <v>0.2</v>
      </c>
      <c r="F2210" s="908">
        <f>GLOBAL_DER_FEV_2023!F2210</f>
        <v>2.2481940000000002</v>
      </c>
      <c r="G2210" s="949">
        <f>GLOBAL_DER_FEV_2023!G2210</f>
        <v>6.5062734360000007</v>
      </c>
      <c r="H2210" s="901">
        <f>GLOBAL_DER_FEV_2023!H2210</f>
        <v>0</v>
      </c>
      <c r="I2210" s="901">
        <f>GLOBAL_DER_FEV_2023!I2210</f>
        <v>0</v>
      </c>
      <c r="J2210" s="902">
        <f>GLOBAL_DER_FEV_2023!J2210</f>
        <v>0</v>
      </c>
      <c r="K2210" s="903"/>
      <c r="L2210" s="1177"/>
      <c r="M2210" s="1138">
        <f t="shared" si="222"/>
        <v>0</v>
      </c>
      <c r="N2210" s="1176">
        <f t="shared" si="223"/>
        <v>0</v>
      </c>
      <c r="O2210" s="905"/>
      <c r="P2210" s="36" t="str">
        <f>IF(N2207&gt;0,"xx",IF(N2207&gt;0,"xy",""))</f>
        <v/>
      </c>
      <c r="Q2210" s="317" t="str">
        <f t="shared" si="219"/>
        <v/>
      </c>
      <c r="R2210" s="317" t="str">
        <f t="shared" si="220"/>
        <v/>
      </c>
      <c r="S2210" s="317" t="str">
        <f t="shared" si="221"/>
        <v/>
      </c>
      <c r="T2210" s="317" t="str">
        <f>GLOBAL_DER_FEV_2023!S2210</f>
        <v/>
      </c>
      <c r="W2210" s="582">
        <v>0</v>
      </c>
      <c r="X2210" s="580"/>
      <c r="Y2210" s="583">
        <f>IF(GLOBAL_DER_FEV_2023!W2210=0,0,IF(GLOBAL_DER_FEV_2023!W2210&gt;0,"c","b"))</f>
        <v>0</v>
      </c>
    </row>
    <row r="2211" spans="1:25" ht="15" customHeight="1" x14ac:dyDescent="0.2">
      <c r="A2211" s="317" t="s">
        <v>106</v>
      </c>
      <c r="B2211" s="895" t="s">
        <v>106</v>
      </c>
      <c r="C2211" s="896" t="s">
        <v>184</v>
      </c>
      <c r="D2211" s="906" t="s">
        <v>93</v>
      </c>
      <c r="E2211" s="907">
        <f>GLOBAL_DER_FEV_2023!E2211</f>
        <v>0</v>
      </c>
      <c r="F2211" s="908">
        <f>GLOBAL_DER_FEV_2023!F2211</f>
        <v>0</v>
      </c>
      <c r="G2211" s="912">
        <f>GLOBAL_DER_FEV_2023!G2211</f>
        <v>591.42263117599998</v>
      </c>
      <c r="H2211" s="901">
        <f>GLOBAL_DER_FEV_2023!H2211</f>
        <v>5931.1</v>
      </c>
      <c r="I2211" s="901">
        <f>GLOBAL_DER_FEV_2023!I2211</f>
        <v>6522.5226311760007</v>
      </c>
      <c r="J2211" s="902">
        <f>GLOBAL_DER_FEV_2023!J2211</f>
        <v>7831.59</v>
      </c>
      <c r="K2211" s="903" t="s">
        <v>15</v>
      </c>
      <c r="L2211" s="1137"/>
      <c r="M2211" s="1138">
        <f t="shared" si="222"/>
        <v>0</v>
      </c>
      <c r="N2211" s="1176">
        <f t="shared" si="223"/>
        <v>0</v>
      </c>
      <c r="O2211" s="905"/>
      <c r="Q2211" s="317" t="str">
        <f t="shared" si="219"/>
        <v/>
      </c>
      <c r="R2211" s="317" t="str">
        <f t="shared" si="220"/>
        <v/>
      </c>
      <c r="S2211" s="317" t="str">
        <f t="shared" si="221"/>
        <v/>
      </c>
      <c r="T2211" s="317" t="str">
        <f>GLOBAL_DER_FEV_2023!S2211</f>
        <v/>
      </c>
      <c r="W2211" s="582">
        <v>0</v>
      </c>
      <c r="X2211" s="580"/>
      <c r="Y2211" s="583">
        <f>IF(GLOBAL_DER_FEV_2023!W2211=0,0,IF(GLOBAL_DER_FEV_2023!W2211&gt;0,"c","b"))</f>
        <v>0</v>
      </c>
    </row>
    <row r="2212" spans="1:25" ht="15" customHeight="1" x14ac:dyDescent="0.2">
      <c r="A2212" s="317" t="s">
        <v>147</v>
      </c>
      <c r="B2212" s="895" t="s">
        <v>147</v>
      </c>
      <c r="C2212" s="896"/>
      <c r="D2212" s="906" t="s">
        <v>190</v>
      </c>
      <c r="E2212" s="907">
        <f>GLOBAL_DER_FEV_2023!E2212</f>
        <v>308</v>
      </c>
      <c r="F2212" s="908">
        <f>GLOBAL_DER_FEV_2023!F2212</f>
        <v>0.81544199999999989</v>
      </c>
      <c r="G2212" s="909">
        <f>GLOBAL_DER_FEV_2023!G2212</f>
        <v>202.27854251999997</v>
      </c>
      <c r="H2212" s="901">
        <f>GLOBAL_DER_FEV_2023!H2212</f>
        <v>0</v>
      </c>
      <c r="I2212" s="901">
        <f>GLOBAL_DER_FEV_2023!I2212</f>
        <v>0</v>
      </c>
      <c r="J2212" s="902">
        <f>GLOBAL_DER_FEV_2023!J2212</f>
        <v>0</v>
      </c>
      <c r="K2212" s="903"/>
      <c r="L2212" s="1177"/>
      <c r="M2212" s="1138">
        <f t="shared" si="222"/>
        <v>0</v>
      </c>
      <c r="N2212" s="1176">
        <f t="shared" si="223"/>
        <v>0</v>
      </c>
      <c r="O2212" s="905"/>
      <c r="P2212" s="36" t="str">
        <f>IF(N2211&gt;0,"xx",IF(N2211&gt;0,"xy",""))</f>
        <v/>
      </c>
      <c r="Q2212" s="317" t="str">
        <f t="shared" si="219"/>
        <v/>
      </c>
      <c r="R2212" s="317" t="str">
        <f t="shared" si="220"/>
        <v/>
      </c>
      <c r="S2212" s="317" t="str">
        <f t="shared" si="221"/>
        <v/>
      </c>
      <c r="T2212" s="317" t="str">
        <f>GLOBAL_DER_FEV_2023!S2212</f>
        <v/>
      </c>
      <c r="W2212" s="582">
        <v>0</v>
      </c>
      <c r="X2212" s="580"/>
      <c r="Y2212" s="583">
        <f>IF(GLOBAL_DER_FEV_2023!W2212=0,0,IF(GLOBAL_DER_FEV_2023!W2212&gt;0,"c","b"))</f>
        <v>0</v>
      </c>
    </row>
    <row r="2213" spans="1:25" ht="15" customHeight="1" x14ac:dyDescent="0.2">
      <c r="A2213" s="317" t="s">
        <v>147</v>
      </c>
      <c r="B2213" s="895" t="s">
        <v>147</v>
      </c>
      <c r="C2213" s="896"/>
      <c r="D2213" s="906" t="s">
        <v>229</v>
      </c>
      <c r="E2213" s="907">
        <f>GLOBAL_DER_FEV_2023!E2213</f>
        <v>150</v>
      </c>
      <c r="F2213" s="908">
        <f>GLOBAL_DER_FEV_2023!F2213</f>
        <v>2.3351569999999997</v>
      </c>
      <c r="G2213" s="949">
        <f>GLOBAL_DER_FEV_2023!G2213</f>
        <v>381.05091925999994</v>
      </c>
      <c r="H2213" s="901">
        <f>GLOBAL_DER_FEV_2023!H2213</f>
        <v>0</v>
      </c>
      <c r="I2213" s="901">
        <f>GLOBAL_DER_FEV_2023!I2213</f>
        <v>0</v>
      </c>
      <c r="J2213" s="902">
        <f>GLOBAL_DER_FEV_2023!J2213</f>
        <v>0</v>
      </c>
      <c r="K2213" s="903"/>
      <c r="L2213" s="1177"/>
      <c r="M2213" s="1138">
        <f t="shared" si="222"/>
        <v>0</v>
      </c>
      <c r="N2213" s="1176">
        <f t="shared" si="223"/>
        <v>0</v>
      </c>
      <c r="O2213" s="905"/>
      <c r="P2213" s="36" t="str">
        <f>IF(N2211&gt;0,"xx",IF(N2211&gt;0,"xy",""))</f>
        <v/>
      </c>
      <c r="Q2213" s="317" t="str">
        <f t="shared" si="219"/>
        <v/>
      </c>
      <c r="R2213" s="317" t="str">
        <f t="shared" si="220"/>
        <v/>
      </c>
      <c r="S2213" s="317" t="str">
        <f t="shared" si="221"/>
        <v/>
      </c>
      <c r="T2213" s="317" t="str">
        <f>GLOBAL_DER_FEV_2023!S2213</f>
        <v/>
      </c>
      <c r="W2213" s="582">
        <v>0</v>
      </c>
      <c r="X2213" s="580"/>
      <c r="Y2213" s="583">
        <f>IF(GLOBAL_DER_FEV_2023!W2213=0,0,IF(GLOBAL_DER_FEV_2023!W2213&gt;0,"c","b"))</f>
        <v>0</v>
      </c>
    </row>
    <row r="2214" spans="1:25" ht="15" customHeight="1" x14ac:dyDescent="0.2">
      <c r="A2214" s="317" t="s">
        <v>147</v>
      </c>
      <c r="B2214" s="895" t="s">
        <v>147</v>
      </c>
      <c r="C2214" s="896"/>
      <c r="D2214" s="906" t="s">
        <v>233</v>
      </c>
      <c r="E2214" s="907">
        <f>GLOBAL_DER_FEV_2023!E2214</f>
        <v>0.2</v>
      </c>
      <c r="F2214" s="908">
        <f>GLOBAL_DER_FEV_2023!F2214</f>
        <v>2.7965340000000003</v>
      </c>
      <c r="G2214" s="949">
        <f>GLOBAL_DER_FEV_2023!G2214</f>
        <v>8.0931693960000004</v>
      </c>
      <c r="H2214" s="901">
        <f>GLOBAL_DER_FEV_2023!H2214</f>
        <v>0</v>
      </c>
      <c r="I2214" s="901">
        <f>GLOBAL_DER_FEV_2023!I2214</f>
        <v>0</v>
      </c>
      <c r="J2214" s="902">
        <f>GLOBAL_DER_FEV_2023!J2214</f>
        <v>0</v>
      </c>
      <c r="K2214" s="903"/>
      <c r="L2214" s="1177"/>
      <c r="M2214" s="1138">
        <f t="shared" si="222"/>
        <v>0</v>
      </c>
      <c r="N2214" s="1176">
        <f t="shared" si="223"/>
        <v>0</v>
      </c>
      <c r="O2214" s="905"/>
      <c r="P2214" s="36" t="str">
        <f>IF(N2211&gt;0,"xx",IF(N2211&gt;0,"xy",""))</f>
        <v/>
      </c>
      <c r="Q2214" s="317" t="str">
        <f t="shared" si="219"/>
        <v/>
      </c>
      <c r="R2214" s="317" t="str">
        <f t="shared" si="220"/>
        <v/>
      </c>
      <c r="S2214" s="317" t="str">
        <f t="shared" si="221"/>
        <v/>
      </c>
      <c r="T2214" s="317" t="str">
        <f>GLOBAL_DER_FEV_2023!S2214</f>
        <v/>
      </c>
      <c r="W2214" s="582">
        <v>0</v>
      </c>
      <c r="X2214" s="580"/>
      <c r="Y2214" s="583">
        <f>IF(GLOBAL_DER_FEV_2023!W2214=0,0,IF(GLOBAL_DER_FEV_2023!W2214&gt;0,"c","b"))</f>
        <v>0</v>
      </c>
    </row>
    <row r="2215" spans="1:25" ht="15" customHeight="1" x14ac:dyDescent="0.2">
      <c r="A2215" s="317" t="s">
        <v>107</v>
      </c>
      <c r="B2215" s="895" t="s">
        <v>107</v>
      </c>
      <c r="C2215" s="896" t="s">
        <v>184</v>
      </c>
      <c r="D2215" s="906" t="s">
        <v>81</v>
      </c>
      <c r="E2215" s="907">
        <f>GLOBAL_DER_FEV_2023!E2215</f>
        <v>0</v>
      </c>
      <c r="F2215" s="908">
        <f>GLOBAL_DER_FEV_2023!F2215</f>
        <v>0</v>
      </c>
      <c r="G2215" s="912">
        <f>GLOBAL_DER_FEV_2023!G2215</f>
        <v>88.501804733055991</v>
      </c>
      <c r="H2215" s="901">
        <f>GLOBAL_DER_FEV_2023!H2215</f>
        <v>460.93</v>
      </c>
      <c r="I2215" s="901">
        <f>GLOBAL_DER_FEV_2023!I2215</f>
        <v>549.43180473305597</v>
      </c>
      <c r="J2215" s="902">
        <f>GLOBAL_DER_FEV_2023!J2215</f>
        <v>659.7</v>
      </c>
      <c r="K2215" s="903" t="s">
        <v>15</v>
      </c>
      <c r="L2215" s="1137"/>
      <c r="M2215" s="1138">
        <f t="shared" si="222"/>
        <v>0</v>
      </c>
      <c r="N2215" s="1176">
        <f t="shared" si="223"/>
        <v>0</v>
      </c>
      <c r="O2215" s="905"/>
      <c r="Q2215" s="317" t="str">
        <f t="shared" si="219"/>
        <v/>
      </c>
      <c r="R2215" s="317" t="str">
        <f t="shared" si="220"/>
        <v/>
      </c>
      <c r="S2215" s="317" t="str">
        <f t="shared" si="221"/>
        <v/>
      </c>
      <c r="T2215" s="317" t="str">
        <f>GLOBAL_DER_FEV_2023!S2215</f>
        <v/>
      </c>
      <c r="W2215" s="582">
        <v>0</v>
      </c>
      <c r="X2215" s="580"/>
      <c r="Y2215" s="583">
        <f>IF(GLOBAL_DER_FEV_2023!W2215=0,0,IF(GLOBAL_DER_FEV_2023!W2215&gt;0,"c","b"))</f>
        <v>0</v>
      </c>
    </row>
    <row r="2216" spans="1:25" ht="15" customHeight="1" x14ac:dyDescent="0.2">
      <c r="A2216" s="317" t="s">
        <v>147</v>
      </c>
      <c r="B2216" s="895" t="s">
        <v>147</v>
      </c>
      <c r="C2216" s="896"/>
      <c r="D2216" s="906" t="s">
        <v>190</v>
      </c>
      <c r="E2216" s="907">
        <f>GLOBAL_DER_FEV_2023!E2216</f>
        <v>308</v>
      </c>
      <c r="F2216" s="908">
        <f>GLOBAL_DER_FEV_2023!F2216</f>
        <v>9.9453823999999996E-2</v>
      </c>
      <c r="G2216" s="909">
        <f>GLOBAL_DER_FEV_2023!G2216</f>
        <v>24.67051558144</v>
      </c>
      <c r="H2216" s="901">
        <f>GLOBAL_DER_FEV_2023!H2216</f>
        <v>0</v>
      </c>
      <c r="I2216" s="901">
        <f>GLOBAL_DER_FEV_2023!I2216</f>
        <v>0</v>
      </c>
      <c r="J2216" s="902">
        <f>GLOBAL_DER_FEV_2023!J2216</f>
        <v>0</v>
      </c>
      <c r="K2216" s="903"/>
      <c r="L2216" s="1177"/>
      <c r="M2216" s="1138">
        <f t="shared" si="222"/>
        <v>0</v>
      </c>
      <c r="N2216" s="1176">
        <f t="shared" si="223"/>
        <v>0</v>
      </c>
      <c r="O2216" s="905"/>
      <c r="P2216" s="36" t="str">
        <f>IF(N2215&gt;0,"xx",IF(N2215&gt;0,"xy",""))</f>
        <v/>
      </c>
      <c r="Q2216" s="317" t="str">
        <f t="shared" si="219"/>
        <v/>
      </c>
      <c r="R2216" s="317" t="str">
        <f t="shared" si="220"/>
        <v/>
      </c>
      <c r="S2216" s="317" t="str">
        <f t="shared" si="221"/>
        <v/>
      </c>
      <c r="T2216" s="317" t="str">
        <f>GLOBAL_DER_FEV_2023!S2216</f>
        <v/>
      </c>
      <c r="W2216" s="582">
        <v>0</v>
      </c>
      <c r="X2216" s="580"/>
      <c r="Y2216" s="583">
        <f>IF(GLOBAL_DER_FEV_2023!W2216=0,0,IF(GLOBAL_DER_FEV_2023!W2216&gt;0,"c","b"))</f>
        <v>0</v>
      </c>
    </row>
    <row r="2217" spans="1:25" ht="15" customHeight="1" x14ac:dyDescent="0.2">
      <c r="A2217" s="317" t="s">
        <v>147</v>
      </c>
      <c r="B2217" s="895" t="s">
        <v>147</v>
      </c>
      <c r="C2217" s="896"/>
      <c r="D2217" s="906" t="s">
        <v>229</v>
      </c>
      <c r="E2217" s="907">
        <f>GLOBAL_DER_FEV_2023!E2217</f>
        <v>150</v>
      </c>
      <c r="F2217" s="908">
        <f>GLOBAL_DER_FEV_2023!F2217</f>
        <v>0.3618486528</v>
      </c>
      <c r="G2217" s="949">
        <f>GLOBAL_DER_FEV_2023!G2217</f>
        <v>59.046463163904001</v>
      </c>
      <c r="H2217" s="901">
        <f>GLOBAL_DER_FEV_2023!H2217</f>
        <v>0</v>
      </c>
      <c r="I2217" s="901">
        <f>GLOBAL_DER_FEV_2023!I2217</f>
        <v>0</v>
      </c>
      <c r="J2217" s="902">
        <f>GLOBAL_DER_FEV_2023!J2217</f>
        <v>0</v>
      </c>
      <c r="K2217" s="903"/>
      <c r="L2217" s="1177"/>
      <c r="M2217" s="1138">
        <f t="shared" si="222"/>
        <v>0</v>
      </c>
      <c r="N2217" s="1176">
        <f t="shared" si="223"/>
        <v>0</v>
      </c>
      <c r="O2217" s="905"/>
      <c r="P2217" s="36" t="str">
        <f>IF(N2215&gt;0,"xx",IF(N2215&gt;0,"xy",""))</f>
        <v/>
      </c>
      <c r="Q2217" s="317" t="str">
        <f t="shared" si="219"/>
        <v/>
      </c>
      <c r="R2217" s="317" t="str">
        <f t="shared" si="220"/>
        <v/>
      </c>
      <c r="S2217" s="317" t="str">
        <f t="shared" si="221"/>
        <v/>
      </c>
      <c r="T2217" s="317" t="str">
        <f>GLOBAL_DER_FEV_2023!S2217</f>
        <v/>
      </c>
      <c r="W2217" s="582">
        <v>0</v>
      </c>
      <c r="X2217" s="580"/>
      <c r="Y2217" s="583">
        <f>IF(GLOBAL_DER_FEV_2023!W2217=0,0,IF(GLOBAL_DER_FEV_2023!W2217&gt;0,"c","b"))</f>
        <v>0</v>
      </c>
    </row>
    <row r="2218" spans="1:25" ht="15" customHeight="1" x14ac:dyDescent="0.2">
      <c r="A2218" s="317" t="s">
        <v>147</v>
      </c>
      <c r="B2218" s="895" t="s">
        <v>147</v>
      </c>
      <c r="C2218" s="896"/>
      <c r="D2218" s="906" t="s">
        <v>233</v>
      </c>
      <c r="E2218" s="907">
        <f>GLOBAL_DER_FEV_2023!E2218</f>
        <v>0.2</v>
      </c>
      <c r="F2218" s="908">
        <f>GLOBAL_DER_FEV_2023!F2218</f>
        <v>0.308576448</v>
      </c>
      <c r="G2218" s="949">
        <f>GLOBAL_DER_FEV_2023!G2218</f>
        <v>0.89302024051200002</v>
      </c>
      <c r="H2218" s="901">
        <f>GLOBAL_DER_FEV_2023!H2218</f>
        <v>0</v>
      </c>
      <c r="I2218" s="901">
        <f>GLOBAL_DER_FEV_2023!I2218</f>
        <v>0</v>
      </c>
      <c r="J2218" s="902">
        <f>GLOBAL_DER_FEV_2023!J2218</f>
        <v>0</v>
      </c>
      <c r="K2218" s="903"/>
      <c r="L2218" s="1177"/>
      <c r="M2218" s="1138">
        <f t="shared" si="222"/>
        <v>0</v>
      </c>
      <c r="N2218" s="1176">
        <f t="shared" si="223"/>
        <v>0</v>
      </c>
      <c r="O2218" s="905"/>
      <c r="P2218" s="36" t="str">
        <f>IF(N2215&gt;0,"xx",IF(N2215&gt;0,"xy",""))</f>
        <v/>
      </c>
      <c r="Q2218" s="317" t="str">
        <f t="shared" si="219"/>
        <v/>
      </c>
      <c r="R2218" s="317" t="str">
        <f t="shared" si="220"/>
        <v/>
      </c>
      <c r="S2218" s="317" t="str">
        <f t="shared" si="221"/>
        <v/>
      </c>
      <c r="T2218" s="317" t="str">
        <f>GLOBAL_DER_FEV_2023!S2218</f>
        <v/>
      </c>
      <c r="W2218" s="582">
        <v>0</v>
      </c>
      <c r="X2218" s="580"/>
      <c r="Y2218" s="583">
        <f>IF(GLOBAL_DER_FEV_2023!W2218=0,0,IF(GLOBAL_DER_FEV_2023!W2218&gt;0,"c","b"))</f>
        <v>0</v>
      </c>
    </row>
    <row r="2219" spans="1:25" ht="15" customHeight="1" x14ac:dyDescent="0.2">
      <c r="A2219" s="317" t="s">
        <v>147</v>
      </c>
      <c r="B2219" s="895" t="s">
        <v>147</v>
      </c>
      <c r="C2219" s="896"/>
      <c r="D2219" s="906" t="s">
        <v>365</v>
      </c>
      <c r="E2219" s="907">
        <f>GLOBAL_DER_FEV_2023!E2219</f>
        <v>10</v>
      </c>
      <c r="F2219" s="908">
        <f>GLOBAL_DER_FEV_2023!F2219</f>
        <v>0.17055359999999997</v>
      </c>
      <c r="G2219" s="949">
        <f>GLOBAL_DER_FEV_2023!G2219</f>
        <v>2.2820071679999998</v>
      </c>
      <c r="H2219" s="901">
        <f>GLOBAL_DER_FEV_2023!H2219</f>
        <v>0</v>
      </c>
      <c r="I2219" s="901">
        <f>GLOBAL_DER_FEV_2023!I2219</f>
        <v>0</v>
      </c>
      <c r="J2219" s="902">
        <f>GLOBAL_DER_FEV_2023!J2219</f>
        <v>0</v>
      </c>
      <c r="K2219" s="903"/>
      <c r="L2219" s="1177"/>
      <c r="M2219" s="1138">
        <f t="shared" si="222"/>
        <v>0</v>
      </c>
      <c r="N2219" s="1176">
        <f t="shared" si="223"/>
        <v>0</v>
      </c>
      <c r="O2219" s="905"/>
      <c r="P2219" s="36" t="str">
        <f>IF(N2215&gt;0,"xx",IF(N2215&gt;0,"xy",""))</f>
        <v/>
      </c>
      <c r="Q2219" s="317" t="str">
        <f t="shared" si="219"/>
        <v/>
      </c>
      <c r="R2219" s="317" t="str">
        <f t="shared" si="220"/>
        <v/>
      </c>
      <c r="S2219" s="317" t="str">
        <f t="shared" si="221"/>
        <v/>
      </c>
      <c r="T2219" s="317" t="str">
        <f>GLOBAL_DER_FEV_2023!S2219</f>
        <v/>
      </c>
      <c r="W2219" s="582">
        <v>0</v>
      </c>
      <c r="X2219" s="580"/>
      <c r="Y2219" s="583">
        <f>IF(GLOBAL_DER_FEV_2023!W2219=0,0,IF(GLOBAL_DER_FEV_2023!W2219&gt;0,"c","b"))</f>
        <v>0</v>
      </c>
    </row>
    <row r="2220" spans="1:25" ht="15" customHeight="1" x14ac:dyDescent="0.2">
      <c r="A2220" s="317" t="s">
        <v>147</v>
      </c>
      <c r="B2220" s="895" t="s">
        <v>147</v>
      </c>
      <c r="C2220" s="896"/>
      <c r="D2220" s="906" t="s">
        <v>366</v>
      </c>
      <c r="E2220" s="907">
        <f>GLOBAL_DER_FEV_2023!E2220</f>
        <v>353</v>
      </c>
      <c r="F2220" s="908">
        <f>GLOBAL_DER_FEV_2023!F2220</f>
        <v>5.6851199999999992E-3</v>
      </c>
      <c r="G2220" s="909">
        <f>GLOBAL_DER_FEV_2023!G2220</f>
        <v>1.6097985792</v>
      </c>
      <c r="H2220" s="901">
        <f>GLOBAL_DER_FEV_2023!H2220</f>
        <v>0</v>
      </c>
      <c r="I2220" s="901">
        <f>GLOBAL_DER_FEV_2023!I2220</f>
        <v>0</v>
      </c>
      <c r="J2220" s="902">
        <f>GLOBAL_DER_FEV_2023!J2220</f>
        <v>0</v>
      </c>
      <c r="K2220" s="903"/>
      <c r="L2220" s="1177"/>
      <c r="M2220" s="1138">
        <f t="shared" si="222"/>
        <v>0</v>
      </c>
      <c r="N2220" s="1176">
        <f t="shared" si="223"/>
        <v>0</v>
      </c>
      <c r="O2220" s="905"/>
      <c r="P2220" s="36" t="str">
        <f>IF(N2215&gt;0,"xx",IF(N2215&gt;0,"xy",""))</f>
        <v/>
      </c>
      <c r="Q2220" s="317" t="str">
        <f t="shared" si="219"/>
        <v/>
      </c>
      <c r="R2220" s="317" t="str">
        <f t="shared" si="220"/>
        <v/>
      </c>
      <c r="S2220" s="317" t="str">
        <f t="shared" si="221"/>
        <v/>
      </c>
      <c r="T2220" s="317" t="str">
        <f>GLOBAL_DER_FEV_2023!S2220</f>
        <v/>
      </c>
      <c r="W2220" s="582">
        <v>0</v>
      </c>
      <c r="X2220" s="580"/>
      <c r="Y2220" s="583">
        <f>IF(GLOBAL_DER_FEV_2023!W2220=0,0,IF(GLOBAL_DER_FEV_2023!W2220&gt;0,"c","b"))</f>
        <v>0</v>
      </c>
    </row>
    <row r="2221" spans="1:25" ht="15" customHeight="1" x14ac:dyDescent="0.2">
      <c r="A2221" s="317" t="s">
        <v>29</v>
      </c>
      <c r="B2221" s="895" t="s">
        <v>29</v>
      </c>
      <c r="C2221" s="896" t="s">
        <v>184</v>
      </c>
      <c r="D2221" s="906" t="s">
        <v>82</v>
      </c>
      <c r="E2221" s="907">
        <f>GLOBAL_DER_FEV_2023!E2221</f>
        <v>0</v>
      </c>
      <c r="F2221" s="908">
        <f>GLOBAL_DER_FEV_2023!F2221</f>
        <v>0</v>
      </c>
      <c r="G2221" s="912">
        <f>GLOBAL_DER_FEV_2023!G2221</f>
        <v>130.39101798592</v>
      </c>
      <c r="H2221" s="901">
        <f>GLOBAL_DER_FEV_2023!H2221</f>
        <v>702.1</v>
      </c>
      <c r="I2221" s="901">
        <f>GLOBAL_DER_FEV_2023!I2221</f>
        <v>832.49101798592005</v>
      </c>
      <c r="J2221" s="902">
        <f>GLOBAL_DER_FEV_2023!J2221</f>
        <v>999.57</v>
      </c>
      <c r="K2221" s="903" t="s">
        <v>15</v>
      </c>
      <c r="L2221" s="1137"/>
      <c r="M2221" s="1138">
        <f t="shared" si="222"/>
        <v>0</v>
      </c>
      <c r="N2221" s="1176">
        <f t="shared" si="223"/>
        <v>0</v>
      </c>
      <c r="O2221" s="905"/>
      <c r="Q2221" s="317" t="str">
        <f t="shared" si="219"/>
        <v/>
      </c>
      <c r="R2221" s="317" t="str">
        <f t="shared" si="220"/>
        <v/>
      </c>
      <c r="S2221" s="317" t="str">
        <f t="shared" si="221"/>
        <v/>
      </c>
      <c r="T2221" s="317" t="str">
        <f>GLOBAL_DER_FEV_2023!S2221</f>
        <v/>
      </c>
      <c r="W2221" s="582">
        <v>0</v>
      </c>
      <c r="X2221" s="580"/>
      <c r="Y2221" s="583">
        <f>IF(GLOBAL_DER_FEV_2023!W2221=0,0,IF(GLOBAL_DER_FEV_2023!W2221&gt;0,"c","b"))</f>
        <v>0</v>
      </c>
    </row>
    <row r="2222" spans="1:25" ht="15" customHeight="1" x14ac:dyDescent="0.2">
      <c r="A2222" s="317" t="s">
        <v>147</v>
      </c>
      <c r="B2222" s="895" t="s">
        <v>147</v>
      </c>
      <c r="C2222" s="896"/>
      <c r="D2222" s="906" t="s">
        <v>190</v>
      </c>
      <c r="E2222" s="907">
        <f>GLOBAL_DER_FEV_2023!E2222</f>
        <v>308</v>
      </c>
      <c r="F2222" s="908">
        <f>GLOBAL_DER_FEV_2023!F2222</f>
        <v>0.14735024000000002</v>
      </c>
      <c r="G2222" s="909">
        <f>GLOBAL_DER_FEV_2023!G2222</f>
        <v>36.551700534400005</v>
      </c>
      <c r="H2222" s="901">
        <f>GLOBAL_DER_FEV_2023!H2222</f>
        <v>0</v>
      </c>
      <c r="I2222" s="901">
        <f>GLOBAL_DER_FEV_2023!I2222</f>
        <v>0</v>
      </c>
      <c r="J2222" s="902">
        <f>GLOBAL_DER_FEV_2023!J2222</f>
        <v>0</v>
      </c>
      <c r="K2222" s="903"/>
      <c r="L2222" s="1177"/>
      <c r="M2222" s="1138">
        <f t="shared" si="222"/>
        <v>0</v>
      </c>
      <c r="N2222" s="1176">
        <f t="shared" si="223"/>
        <v>0</v>
      </c>
      <c r="O2222" s="905"/>
      <c r="P2222" s="36" t="str">
        <f>IF(N2221&gt;0,"xx",IF(N2221&gt;0,"xy",""))</f>
        <v/>
      </c>
      <c r="Q2222" s="317" t="str">
        <f t="shared" si="219"/>
        <v/>
      </c>
      <c r="R2222" s="317" t="str">
        <f t="shared" si="220"/>
        <v/>
      </c>
      <c r="S2222" s="317" t="str">
        <f t="shared" si="221"/>
        <v/>
      </c>
      <c r="T2222" s="317" t="str">
        <f>GLOBAL_DER_FEV_2023!S2222</f>
        <v/>
      </c>
      <c r="W2222" s="582">
        <v>0</v>
      </c>
      <c r="X2222" s="580"/>
      <c r="Y2222" s="583">
        <f>IF(GLOBAL_DER_FEV_2023!W2222=0,0,IF(GLOBAL_DER_FEV_2023!W2222&gt;0,"c","b"))</f>
        <v>0</v>
      </c>
    </row>
    <row r="2223" spans="1:25" ht="15" customHeight="1" x14ac:dyDescent="0.2">
      <c r="A2223" s="317" t="s">
        <v>147</v>
      </c>
      <c r="B2223" s="895" t="s">
        <v>147</v>
      </c>
      <c r="C2223" s="896"/>
      <c r="D2223" s="906" t="s">
        <v>229</v>
      </c>
      <c r="E2223" s="907">
        <f>GLOBAL_DER_FEV_2023!E2223</f>
        <v>150</v>
      </c>
      <c r="F2223" s="908">
        <f>GLOBAL_DER_FEV_2023!F2223</f>
        <v>0.52819569600000005</v>
      </c>
      <c r="G2223" s="949">
        <f>GLOBAL_DER_FEV_2023!G2223</f>
        <v>86.190973673280013</v>
      </c>
      <c r="H2223" s="901">
        <f>GLOBAL_DER_FEV_2023!H2223</f>
        <v>0</v>
      </c>
      <c r="I2223" s="901">
        <f>GLOBAL_DER_FEV_2023!I2223</f>
        <v>0</v>
      </c>
      <c r="J2223" s="902">
        <f>GLOBAL_DER_FEV_2023!J2223</f>
        <v>0</v>
      </c>
      <c r="K2223" s="903"/>
      <c r="L2223" s="1177"/>
      <c r="M2223" s="1138">
        <f t="shared" si="222"/>
        <v>0</v>
      </c>
      <c r="N2223" s="1176">
        <f t="shared" si="223"/>
        <v>0</v>
      </c>
      <c r="O2223" s="905"/>
      <c r="P2223" s="36" t="str">
        <f>IF(N2221&gt;0,"xx",IF(N2221&gt;0,"xy",""))</f>
        <v/>
      </c>
      <c r="Q2223" s="317" t="str">
        <f t="shared" si="219"/>
        <v/>
      </c>
      <c r="R2223" s="317" t="str">
        <f t="shared" si="220"/>
        <v/>
      </c>
      <c r="S2223" s="317" t="str">
        <f t="shared" si="221"/>
        <v/>
      </c>
      <c r="T2223" s="317" t="str">
        <f>GLOBAL_DER_FEV_2023!S2223</f>
        <v/>
      </c>
      <c r="W2223" s="582">
        <v>0</v>
      </c>
      <c r="X2223" s="580"/>
      <c r="Y2223" s="583">
        <f>IF(GLOBAL_DER_FEV_2023!W2223=0,0,IF(GLOBAL_DER_FEV_2023!W2223&gt;0,"c","b"))</f>
        <v>0</v>
      </c>
    </row>
    <row r="2224" spans="1:25" ht="15" customHeight="1" x14ac:dyDescent="0.2">
      <c r="A2224" s="317" t="s">
        <v>147</v>
      </c>
      <c r="B2224" s="895" t="s">
        <v>147</v>
      </c>
      <c r="C2224" s="896"/>
      <c r="D2224" s="906" t="s">
        <v>233</v>
      </c>
      <c r="E2224" s="907">
        <f>GLOBAL_DER_FEV_2023!E2224</f>
        <v>0.2</v>
      </c>
      <c r="F2224" s="908">
        <f>GLOBAL_DER_FEV_2023!F2224</f>
        <v>0.43353936000000004</v>
      </c>
      <c r="G2224" s="949">
        <f>GLOBAL_DER_FEV_2023!G2224</f>
        <v>1.2546629078400002</v>
      </c>
      <c r="H2224" s="901">
        <f>GLOBAL_DER_FEV_2023!H2224</f>
        <v>0</v>
      </c>
      <c r="I2224" s="901">
        <f>GLOBAL_DER_FEV_2023!I2224</f>
        <v>0</v>
      </c>
      <c r="J2224" s="902">
        <f>GLOBAL_DER_FEV_2023!J2224</f>
        <v>0</v>
      </c>
      <c r="K2224" s="903"/>
      <c r="L2224" s="1177"/>
      <c r="M2224" s="1138">
        <f t="shared" si="222"/>
        <v>0</v>
      </c>
      <c r="N2224" s="1176">
        <f t="shared" si="223"/>
        <v>0</v>
      </c>
      <c r="O2224" s="905"/>
      <c r="P2224" s="36" t="str">
        <f>IF(N2221&gt;0,"xx",IF(N2221&gt;0,"xy",""))</f>
        <v/>
      </c>
      <c r="Q2224" s="317" t="str">
        <f t="shared" si="219"/>
        <v/>
      </c>
      <c r="R2224" s="317" t="str">
        <f t="shared" si="220"/>
        <v/>
      </c>
      <c r="S2224" s="317" t="str">
        <f t="shared" si="221"/>
        <v/>
      </c>
      <c r="T2224" s="317" t="str">
        <f>GLOBAL_DER_FEV_2023!S2224</f>
        <v/>
      </c>
      <c r="W2224" s="582">
        <v>0</v>
      </c>
      <c r="X2224" s="580"/>
      <c r="Y2224" s="583">
        <f>IF(GLOBAL_DER_FEV_2023!W2224=0,0,IF(GLOBAL_DER_FEV_2023!W2224&gt;0,"c","b"))</f>
        <v>0</v>
      </c>
    </row>
    <row r="2225" spans="1:25" ht="15" customHeight="1" x14ac:dyDescent="0.2">
      <c r="A2225" s="317" t="s">
        <v>147</v>
      </c>
      <c r="B2225" s="895" t="s">
        <v>147</v>
      </c>
      <c r="C2225" s="896"/>
      <c r="D2225" s="906" t="s">
        <v>365</v>
      </c>
      <c r="E2225" s="907">
        <f>GLOBAL_DER_FEV_2023!E2225</f>
        <v>10</v>
      </c>
      <c r="F2225" s="908">
        <f>GLOBAL_DER_FEV_2023!F2225</f>
        <v>0.28019519999999998</v>
      </c>
      <c r="G2225" s="949">
        <f>GLOBAL_DER_FEV_2023!G2225</f>
        <v>3.7490117760000001</v>
      </c>
      <c r="H2225" s="901">
        <f>GLOBAL_DER_FEV_2023!H2225</f>
        <v>0</v>
      </c>
      <c r="I2225" s="901">
        <f>GLOBAL_DER_FEV_2023!I2225</f>
        <v>0</v>
      </c>
      <c r="J2225" s="902">
        <f>GLOBAL_DER_FEV_2023!J2225</f>
        <v>0</v>
      </c>
      <c r="K2225" s="903"/>
      <c r="L2225" s="1177"/>
      <c r="M2225" s="1138">
        <f t="shared" si="222"/>
        <v>0</v>
      </c>
      <c r="N2225" s="1176">
        <f t="shared" si="223"/>
        <v>0</v>
      </c>
      <c r="O2225" s="905"/>
      <c r="P2225" s="36" t="str">
        <f>IF(N2221&gt;0,"xx",IF(N2221&gt;0,"xy",""))</f>
        <v/>
      </c>
      <c r="Q2225" s="317" t="str">
        <f t="shared" ref="Q2225:Q2274" si="224">IF(P2225="X","x",IF(P2225="xx","x",IF(P2225="xy","x",IF(P2225="y","x",IF(OR(N2225&gt;0,N2225&gt;0),"x","")))))</f>
        <v/>
      </c>
      <c r="R2225" s="317" t="str">
        <f t="shared" si="220"/>
        <v/>
      </c>
      <c r="S2225" s="317" t="str">
        <f t="shared" si="221"/>
        <v/>
      </c>
      <c r="T2225" s="317" t="str">
        <f>GLOBAL_DER_FEV_2023!S2225</f>
        <v/>
      </c>
      <c r="W2225" s="582">
        <v>0</v>
      </c>
      <c r="X2225" s="580"/>
      <c r="Y2225" s="583">
        <f>IF(GLOBAL_DER_FEV_2023!W2225=0,0,IF(GLOBAL_DER_FEV_2023!W2225&gt;0,"c","b"))</f>
        <v>0</v>
      </c>
    </row>
    <row r="2226" spans="1:25" ht="15" customHeight="1" x14ac:dyDescent="0.2">
      <c r="A2226" s="317" t="s">
        <v>147</v>
      </c>
      <c r="B2226" s="895" t="s">
        <v>147</v>
      </c>
      <c r="C2226" s="896"/>
      <c r="D2226" s="906" t="s">
        <v>366</v>
      </c>
      <c r="E2226" s="907">
        <f>GLOBAL_DER_FEV_2023!E2226</f>
        <v>353</v>
      </c>
      <c r="F2226" s="908">
        <f>GLOBAL_DER_FEV_2023!F2226</f>
        <v>9.3398400000000003E-3</v>
      </c>
      <c r="G2226" s="909">
        <f>GLOBAL_DER_FEV_2023!G2226</f>
        <v>2.6446690944000002</v>
      </c>
      <c r="H2226" s="901">
        <f>GLOBAL_DER_FEV_2023!H2226</f>
        <v>0</v>
      </c>
      <c r="I2226" s="901">
        <f>GLOBAL_DER_FEV_2023!I2226</f>
        <v>0</v>
      </c>
      <c r="J2226" s="902">
        <f>GLOBAL_DER_FEV_2023!J2226</f>
        <v>0</v>
      </c>
      <c r="K2226" s="903"/>
      <c r="L2226" s="1177"/>
      <c r="M2226" s="1138">
        <f t="shared" si="222"/>
        <v>0</v>
      </c>
      <c r="N2226" s="1176">
        <f t="shared" si="223"/>
        <v>0</v>
      </c>
      <c r="O2226" s="905"/>
      <c r="P2226" s="36" t="str">
        <f>IF(N2221&gt;0,"xx",IF(N2221&gt;0,"xy",""))</f>
        <v/>
      </c>
      <c r="Q2226" s="317" t="str">
        <f t="shared" si="224"/>
        <v/>
      </c>
      <c r="R2226" s="317" t="str">
        <f t="shared" si="220"/>
        <v/>
      </c>
      <c r="S2226" s="317" t="str">
        <f t="shared" si="221"/>
        <v/>
      </c>
      <c r="T2226" s="317" t="str">
        <f>GLOBAL_DER_FEV_2023!S2226</f>
        <v/>
      </c>
      <c r="W2226" s="582">
        <v>0</v>
      </c>
      <c r="X2226" s="580"/>
      <c r="Y2226" s="583">
        <f>IF(GLOBAL_DER_FEV_2023!W2226=0,0,IF(GLOBAL_DER_FEV_2023!W2226&gt;0,"c","b"))</f>
        <v>0</v>
      </c>
    </row>
    <row r="2227" spans="1:25" ht="15" customHeight="1" x14ac:dyDescent="0.2">
      <c r="A2227" s="317" t="s">
        <v>30</v>
      </c>
      <c r="B2227" s="895" t="s">
        <v>30</v>
      </c>
      <c r="C2227" s="896" t="s">
        <v>184</v>
      </c>
      <c r="D2227" s="906" t="s">
        <v>58</v>
      </c>
      <c r="E2227" s="907">
        <f>GLOBAL_DER_FEV_2023!E2227</f>
        <v>0</v>
      </c>
      <c r="F2227" s="908">
        <f>GLOBAL_DER_FEV_2023!F2227</f>
        <v>0</v>
      </c>
      <c r="G2227" s="912">
        <f>GLOBAL_DER_FEV_2023!G2227</f>
        <v>237.28563252992004</v>
      </c>
      <c r="H2227" s="901">
        <f>GLOBAL_DER_FEV_2023!H2227</f>
        <v>1305.72</v>
      </c>
      <c r="I2227" s="901">
        <f>GLOBAL_DER_FEV_2023!I2227</f>
        <v>1543.0056325299201</v>
      </c>
      <c r="J2227" s="902">
        <f>GLOBAL_DER_FEV_2023!J2227</f>
        <v>1852.69</v>
      </c>
      <c r="K2227" s="903" t="s">
        <v>15</v>
      </c>
      <c r="L2227" s="1137"/>
      <c r="M2227" s="1138">
        <f t="shared" si="222"/>
        <v>0</v>
      </c>
      <c r="N2227" s="1176">
        <f t="shared" si="223"/>
        <v>0</v>
      </c>
      <c r="O2227" s="905"/>
      <c r="Q2227" s="317" t="str">
        <f t="shared" si="224"/>
        <v/>
      </c>
      <c r="R2227" s="317" t="str">
        <f t="shared" ref="R2227:R2276" si="225">IF(P2227="X","x",IF(P2227="y","x",IF(P2227="xx","x",IF(N2227&gt;0,"x",""))))</f>
        <v/>
      </c>
      <c r="S2227" s="317" t="str">
        <f t="shared" ref="S2227:S2276" si="226">IF(P2227="X","x",IF(N2227&gt;0,"x",""))</f>
        <v/>
      </c>
      <c r="T2227" s="317" t="str">
        <f>GLOBAL_DER_FEV_2023!S2227</f>
        <v/>
      </c>
      <c r="W2227" s="582">
        <v>0</v>
      </c>
      <c r="X2227" s="580"/>
      <c r="Y2227" s="583">
        <f>IF(GLOBAL_DER_FEV_2023!W2227=0,0,IF(GLOBAL_DER_FEV_2023!W2227&gt;0,"c","b"))</f>
        <v>0</v>
      </c>
    </row>
    <row r="2228" spans="1:25" ht="15" customHeight="1" x14ac:dyDescent="0.2">
      <c r="A2228" s="317" t="s">
        <v>147</v>
      </c>
      <c r="B2228" s="895" t="s">
        <v>147</v>
      </c>
      <c r="C2228" s="896"/>
      <c r="D2228" s="906" t="s">
        <v>190</v>
      </c>
      <c r="E2228" s="907">
        <f>GLOBAL_DER_FEV_2023!E2228</f>
        <v>308</v>
      </c>
      <c r="F2228" s="908">
        <f>GLOBAL_DER_FEV_2023!F2228</f>
        <v>0.25613760000000002</v>
      </c>
      <c r="G2228" s="909">
        <f>GLOBAL_DER_FEV_2023!G2228</f>
        <v>63.537493056000002</v>
      </c>
      <c r="H2228" s="901">
        <f>GLOBAL_DER_FEV_2023!H2228</f>
        <v>0</v>
      </c>
      <c r="I2228" s="901">
        <f>GLOBAL_DER_FEV_2023!I2228</f>
        <v>0</v>
      </c>
      <c r="J2228" s="902">
        <f>GLOBAL_DER_FEV_2023!J2228</f>
        <v>0</v>
      </c>
      <c r="K2228" s="903"/>
      <c r="L2228" s="1177"/>
      <c r="M2228" s="1138">
        <f t="shared" si="222"/>
        <v>0</v>
      </c>
      <c r="N2228" s="1176">
        <f t="shared" si="223"/>
        <v>0</v>
      </c>
      <c r="O2228" s="905"/>
      <c r="P2228" s="36" t="str">
        <f>IF(N2227&gt;0,"xx",IF(N2227&gt;0,"xy",""))</f>
        <v/>
      </c>
      <c r="Q2228" s="317" t="str">
        <f t="shared" si="224"/>
        <v/>
      </c>
      <c r="R2228" s="317" t="str">
        <f t="shared" si="225"/>
        <v/>
      </c>
      <c r="S2228" s="317" t="str">
        <f t="shared" si="226"/>
        <v/>
      </c>
      <c r="T2228" s="317" t="str">
        <f>GLOBAL_DER_FEV_2023!S2228</f>
        <v/>
      </c>
      <c r="W2228" s="582">
        <v>0</v>
      </c>
      <c r="X2228" s="580"/>
      <c r="Y2228" s="583">
        <f>IF(GLOBAL_DER_FEV_2023!W2228=0,0,IF(GLOBAL_DER_FEV_2023!W2228&gt;0,"c","b"))</f>
        <v>0</v>
      </c>
    </row>
    <row r="2229" spans="1:25" ht="15" customHeight="1" x14ac:dyDescent="0.2">
      <c r="A2229" s="317" t="s">
        <v>147</v>
      </c>
      <c r="B2229" s="895" t="s">
        <v>147</v>
      </c>
      <c r="C2229" s="896"/>
      <c r="D2229" s="906" t="s">
        <v>229</v>
      </c>
      <c r="E2229" s="907">
        <f>GLOBAL_DER_FEV_2023!E2229</f>
        <v>150</v>
      </c>
      <c r="F2229" s="908">
        <f>GLOBAL_DER_FEV_2023!F2229</f>
        <v>0.95694329600000005</v>
      </c>
      <c r="G2229" s="949">
        <f>GLOBAL_DER_FEV_2023!G2229</f>
        <v>156.15400704128001</v>
      </c>
      <c r="H2229" s="901">
        <f>GLOBAL_DER_FEV_2023!H2229</f>
        <v>0</v>
      </c>
      <c r="I2229" s="901">
        <f>GLOBAL_DER_FEV_2023!I2229</f>
        <v>0</v>
      </c>
      <c r="J2229" s="902">
        <f>GLOBAL_DER_FEV_2023!J2229</f>
        <v>0</v>
      </c>
      <c r="K2229" s="903"/>
      <c r="L2229" s="1177"/>
      <c r="M2229" s="1138">
        <f t="shared" si="222"/>
        <v>0</v>
      </c>
      <c r="N2229" s="1176">
        <f t="shared" si="223"/>
        <v>0</v>
      </c>
      <c r="O2229" s="905"/>
      <c r="P2229" s="36" t="str">
        <f>IF(N2227&gt;0,"xx",IF(N2227&gt;0,"xy",""))</f>
        <v/>
      </c>
      <c r="Q2229" s="317" t="str">
        <f t="shared" si="224"/>
        <v/>
      </c>
      <c r="R2229" s="317" t="str">
        <f t="shared" si="225"/>
        <v/>
      </c>
      <c r="S2229" s="317" t="str">
        <f t="shared" si="226"/>
        <v/>
      </c>
      <c r="T2229" s="317" t="str">
        <f>GLOBAL_DER_FEV_2023!S2229</f>
        <v/>
      </c>
      <c r="W2229" s="582">
        <v>0</v>
      </c>
      <c r="X2229" s="580"/>
      <c r="Y2229" s="583">
        <f>IF(GLOBAL_DER_FEV_2023!W2229=0,0,IF(GLOBAL_DER_FEV_2023!W2229&gt;0,"c","b"))</f>
        <v>0</v>
      </c>
    </row>
    <row r="2230" spans="1:25" ht="15" customHeight="1" x14ac:dyDescent="0.2">
      <c r="A2230" s="317" t="s">
        <v>147</v>
      </c>
      <c r="B2230" s="895" t="s">
        <v>147</v>
      </c>
      <c r="C2230" s="896"/>
      <c r="D2230" s="906" t="s">
        <v>233</v>
      </c>
      <c r="E2230" s="907">
        <f>GLOBAL_DER_FEV_2023!E2230</f>
        <v>0.2</v>
      </c>
      <c r="F2230" s="908">
        <f>GLOBAL_DER_FEV_2023!F2230</f>
        <v>0.70038336000000012</v>
      </c>
      <c r="G2230" s="949">
        <f>GLOBAL_DER_FEV_2023!G2230</f>
        <v>2.0269094438400006</v>
      </c>
      <c r="H2230" s="901">
        <f>GLOBAL_DER_FEV_2023!H2230</f>
        <v>0</v>
      </c>
      <c r="I2230" s="901">
        <f>GLOBAL_DER_FEV_2023!I2230</f>
        <v>0</v>
      </c>
      <c r="J2230" s="902">
        <f>GLOBAL_DER_FEV_2023!J2230</f>
        <v>0</v>
      </c>
      <c r="K2230" s="903"/>
      <c r="L2230" s="1177"/>
      <c r="M2230" s="1138">
        <f t="shared" si="222"/>
        <v>0</v>
      </c>
      <c r="N2230" s="1176">
        <f t="shared" si="223"/>
        <v>0</v>
      </c>
      <c r="O2230" s="905"/>
      <c r="P2230" s="36" t="str">
        <f>IF(N2227&gt;0,"xx",IF(N2227&gt;0,"xy",""))</f>
        <v/>
      </c>
      <c r="Q2230" s="317" t="str">
        <f t="shared" si="224"/>
        <v/>
      </c>
      <c r="R2230" s="317" t="str">
        <f t="shared" si="225"/>
        <v/>
      </c>
      <c r="S2230" s="317" t="str">
        <f t="shared" si="226"/>
        <v/>
      </c>
      <c r="T2230" s="317" t="str">
        <f>GLOBAL_DER_FEV_2023!S2230</f>
        <v/>
      </c>
      <c r="W2230" s="582">
        <v>0</v>
      </c>
      <c r="X2230" s="580"/>
      <c r="Y2230" s="583">
        <f>IF(GLOBAL_DER_FEV_2023!W2230=0,0,IF(GLOBAL_DER_FEV_2023!W2230&gt;0,"c","b"))</f>
        <v>0</v>
      </c>
    </row>
    <row r="2231" spans="1:25" ht="15" customHeight="1" x14ac:dyDescent="0.2">
      <c r="A2231" s="317" t="s">
        <v>147</v>
      </c>
      <c r="B2231" s="895" t="s">
        <v>147</v>
      </c>
      <c r="C2231" s="896"/>
      <c r="D2231" s="906" t="s">
        <v>365</v>
      </c>
      <c r="E2231" s="907">
        <f>GLOBAL_DER_FEV_2023!E2231</f>
        <v>10</v>
      </c>
      <c r="F2231" s="908">
        <f>GLOBAL_DER_FEV_2023!F2231</f>
        <v>0.6822144</v>
      </c>
      <c r="G2231" s="949">
        <f>GLOBAL_DER_FEV_2023!G2231</f>
        <v>9.128028672000001</v>
      </c>
      <c r="H2231" s="901">
        <f>GLOBAL_DER_FEV_2023!H2231</f>
        <v>0</v>
      </c>
      <c r="I2231" s="901">
        <f>GLOBAL_DER_FEV_2023!I2231</f>
        <v>0</v>
      </c>
      <c r="J2231" s="902">
        <f>GLOBAL_DER_FEV_2023!J2231</f>
        <v>0</v>
      </c>
      <c r="K2231" s="903"/>
      <c r="L2231" s="1177"/>
      <c r="M2231" s="1138">
        <f t="shared" si="222"/>
        <v>0</v>
      </c>
      <c r="N2231" s="1176">
        <f t="shared" si="223"/>
        <v>0</v>
      </c>
      <c r="O2231" s="905"/>
      <c r="P2231" s="36" t="str">
        <f>IF(N2227&gt;0,"xx",IF(N2227&gt;0,"xy",""))</f>
        <v/>
      </c>
      <c r="Q2231" s="317" t="str">
        <f t="shared" si="224"/>
        <v/>
      </c>
      <c r="R2231" s="317" t="str">
        <f t="shared" si="225"/>
        <v/>
      </c>
      <c r="S2231" s="317" t="str">
        <f t="shared" si="226"/>
        <v/>
      </c>
      <c r="T2231" s="317" t="str">
        <f>GLOBAL_DER_FEV_2023!S2231</f>
        <v/>
      </c>
      <c r="W2231" s="582">
        <v>0</v>
      </c>
      <c r="X2231" s="580"/>
      <c r="Y2231" s="583">
        <f>IF(GLOBAL_DER_FEV_2023!W2231=0,0,IF(GLOBAL_DER_FEV_2023!W2231&gt;0,"c","b"))</f>
        <v>0</v>
      </c>
    </row>
    <row r="2232" spans="1:25" ht="15" customHeight="1" x14ac:dyDescent="0.2">
      <c r="A2232" s="317" t="s">
        <v>147</v>
      </c>
      <c r="B2232" s="895" t="s">
        <v>147</v>
      </c>
      <c r="C2232" s="896"/>
      <c r="D2232" s="906" t="s">
        <v>366</v>
      </c>
      <c r="E2232" s="907">
        <f>GLOBAL_DER_FEV_2023!E2232</f>
        <v>353</v>
      </c>
      <c r="F2232" s="908">
        <f>GLOBAL_DER_FEV_2023!F2232</f>
        <v>2.274048E-2</v>
      </c>
      <c r="G2232" s="909">
        <f>GLOBAL_DER_FEV_2023!G2232</f>
        <v>6.439194316800001</v>
      </c>
      <c r="H2232" s="901">
        <f>GLOBAL_DER_FEV_2023!H2232</f>
        <v>0</v>
      </c>
      <c r="I2232" s="901">
        <f>GLOBAL_DER_FEV_2023!I2232</f>
        <v>0</v>
      </c>
      <c r="J2232" s="902">
        <f>GLOBAL_DER_FEV_2023!J2232</f>
        <v>0</v>
      </c>
      <c r="K2232" s="903"/>
      <c r="L2232" s="1177"/>
      <c r="M2232" s="1138">
        <f t="shared" si="222"/>
        <v>0</v>
      </c>
      <c r="N2232" s="1176">
        <f t="shared" si="223"/>
        <v>0</v>
      </c>
      <c r="O2232" s="905"/>
      <c r="P2232" s="36" t="str">
        <f>IF(N2227&gt;0,"xx",IF(N2227&gt;0,"xy",""))</f>
        <v/>
      </c>
      <c r="Q2232" s="317" t="str">
        <f t="shared" si="224"/>
        <v/>
      </c>
      <c r="R2232" s="317" t="str">
        <f t="shared" si="225"/>
        <v/>
      </c>
      <c r="S2232" s="317" t="str">
        <f t="shared" si="226"/>
        <v/>
      </c>
      <c r="T2232" s="317" t="str">
        <f>GLOBAL_DER_FEV_2023!S2232</f>
        <v/>
      </c>
      <c r="W2232" s="582">
        <v>0</v>
      </c>
      <c r="X2232" s="580"/>
      <c r="Y2232" s="583">
        <f>IF(GLOBAL_DER_FEV_2023!W2232=0,0,IF(GLOBAL_DER_FEV_2023!W2232&gt;0,"c","b"))</f>
        <v>0</v>
      </c>
    </row>
    <row r="2233" spans="1:25" ht="15" customHeight="1" x14ac:dyDescent="0.2">
      <c r="A2233" s="317" t="s">
        <v>31</v>
      </c>
      <c r="B2233" s="895" t="s">
        <v>31</v>
      </c>
      <c r="C2233" s="896" t="s">
        <v>184</v>
      </c>
      <c r="D2233" s="906" t="s">
        <v>59</v>
      </c>
      <c r="E2233" s="907">
        <f>GLOBAL_DER_FEV_2023!E2233</f>
        <v>0</v>
      </c>
      <c r="F2233" s="908">
        <f>GLOBAL_DER_FEV_2023!F2233</f>
        <v>0</v>
      </c>
      <c r="G2233" s="912">
        <f>GLOBAL_DER_FEV_2023!G2233</f>
        <v>310.56740786463996</v>
      </c>
      <c r="H2233" s="901">
        <f>GLOBAL_DER_FEV_2023!H2233</f>
        <v>1702.01</v>
      </c>
      <c r="I2233" s="901">
        <f>GLOBAL_DER_FEV_2023!I2233</f>
        <v>2012.57740786464</v>
      </c>
      <c r="J2233" s="902">
        <f>GLOBAL_DER_FEV_2023!J2233</f>
        <v>2416.5</v>
      </c>
      <c r="K2233" s="903" t="s">
        <v>15</v>
      </c>
      <c r="L2233" s="1137"/>
      <c r="M2233" s="1138">
        <f t="shared" si="222"/>
        <v>0</v>
      </c>
      <c r="N2233" s="1176">
        <f t="shared" si="223"/>
        <v>0</v>
      </c>
      <c r="O2233" s="905"/>
      <c r="Q2233" s="317" t="str">
        <f t="shared" si="224"/>
        <v/>
      </c>
      <c r="R2233" s="317" t="str">
        <f t="shared" si="225"/>
        <v/>
      </c>
      <c r="S2233" s="317" t="str">
        <f t="shared" si="226"/>
        <v/>
      </c>
      <c r="T2233" s="317" t="str">
        <f>GLOBAL_DER_FEV_2023!S2233</f>
        <v/>
      </c>
      <c r="W2233" s="582">
        <v>0</v>
      </c>
      <c r="X2233" s="580"/>
      <c r="Y2233" s="583">
        <f>IF(GLOBAL_DER_FEV_2023!W2233=0,0,IF(GLOBAL_DER_FEV_2023!W2233&gt;0,"c","b"))</f>
        <v>0</v>
      </c>
    </row>
    <row r="2234" spans="1:25" ht="15" customHeight="1" x14ac:dyDescent="0.2">
      <c r="A2234" s="317" t="s">
        <v>147</v>
      </c>
      <c r="B2234" s="895" t="s">
        <v>147</v>
      </c>
      <c r="C2234" s="896"/>
      <c r="D2234" s="906" t="s">
        <v>190</v>
      </c>
      <c r="E2234" s="907">
        <f>GLOBAL_DER_FEV_2023!E2234</f>
        <v>308</v>
      </c>
      <c r="F2234" s="908">
        <f>GLOBAL_DER_FEV_2023!F2234</f>
        <v>0.33109503999999995</v>
      </c>
      <c r="G2234" s="909">
        <f>GLOBAL_DER_FEV_2023!G2234</f>
        <v>82.131435622399991</v>
      </c>
      <c r="H2234" s="901">
        <f>GLOBAL_DER_FEV_2023!H2234</f>
        <v>0</v>
      </c>
      <c r="I2234" s="901">
        <f>GLOBAL_DER_FEV_2023!I2234</f>
        <v>0</v>
      </c>
      <c r="J2234" s="902">
        <f>GLOBAL_DER_FEV_2023!J2234</f>
        <v>0</v>
      </c>
      <c r="K2234" s="903"/>
      <c r="L2234" s="1177"/>
      <c r="M2234" s="1138">
        <f t="shared" si="222"/>
        <v>0</v>
      </c>
      <c r="N2234" s="1176">
        <f t="shared" si="223"/>
        <v>0</v>
      </c>
      <c r="O2234" s="905"/>
      <c r="P2234" s="36" t="str">
        <f>IF(N2233&gt;0,"xx",IF(N2233&gt;0,"xy",""))</f>
        <v/>
      </c>
      <c r="Q2234" s="317" t="str">
        <f t="shared" si="224"/>
        <v/>
      </c>
      <c r="R2234" s="317" t="str">
        <f t="shared" si="225"/>
        <v/>
      </c>
      <c r="S2234" s="317" t="str">
        <f t="shared" si="226"/>
        <v/>
      </c>
      <c r="T2234" s="317" t="str">
        <f>GLOBAL_DER_FEV_2023!S2234</f>
        <v/>
      </c>
      <c r="W2234" s="582">
        <v>0</v>
      </c>
      <c r="X2234" s="580"/>
      <c r="Y2234" s="583">
        <f>IF(GLOBAL_DER_FEV_2023!W2234=0,0,IF(GLOBAL_DER_FEV_2023!W2234&gt;0,"c","b"))</f>
        <v>0</v>
      </c>
    </row>
    <row r="2235" spans="1:25" ht="15" customHeight="1" x14ac:dyDescent="0.2">
      <c r="A2235" s="317" t="s">
        <v>147</v>
      </c>
      <c r="B2235" s="895" t="s">
        <v>147</v>
      </c>
      <c r="C2235" s="896"/>
      <c r="D2235" s="906" t="s">
        <v>229</v>
      </c>
      <c r="E2235" s="907">
        <f>GLOBAL_DER_FEV_2023!E2235</f>
        <v>150</v>
      </c>
      <c r="F2235" s="908">
        <f>GLOBAL_DER_FEV_2023!F2235</f>
        <v>1.2541824319999999</v>
      </c>
      <c r="G2235" s="949">
        <f>GLOBAL_DER_FEV_2023!G2235</f>
        <v>204.65748925375999</v>
      </c>
      <c r="H2235" s="901">
        <f>GLOBAL_DER_FEV_2023!H2235</f>
        <v>0</v>
      </c>
      <c r="I2235" s="901">
        <f>GLOBAL_DER_FEV_2023!I2235</f>
        <v>0</v>
      </c>
      <c r="J2235" s="902">
        <f>GLOBAL_DER_FEV_2023!J2235</f>
        <v>0</v>
      </c>
      <c r="K2235" s="903"/>
      <c r="L2235" s="1177"/>
      <c r="M2235" s="1138">
        <f t="shared" si="222"/>
        <v>0</v>
      </c>
      <c r="N2235" s="1176">
        <f t="shared" si="223"/>
        <v>0</v>
      </c>
      <c r="O2235" s="905"/>
      <c r="P2235" s="36" t="str">
        <f>IF(N2233&gt;0,"xx",IF(N2233&gt;0,"xy",""))</f>
        <v/>
      </c>
      <c r="Q2235" s="317" t="str">
        <f t="shared" si="224"/>
        <v/>
      </c>
      <c r="R2235" s="317" t="str">
        <f t="shared" si="225"/>
        <v/>
      </c>
      <c r="S2235" s="317" t="str">
        <f t="shared" si="226"/>
        <v/>
      </c>
      <c r="T2235" s="317" t="str">
        <f>GLOBAL_DER_FEV_2023!S2235</f>
        <v/>
      </c>
      <c r="W2235" s="582">
        <v>0</v>
      </c>
      <c r="X2235" s="580"/>
      <c r="Y2235" s="583">
        <f>IF(GLOBAL_DER_FEV_2023!W2235=0,0,IF(GLOBAL_DER_FEV_2023!W2235&gt;0,"c","b"))</f>
        <v>0</v>
      </c>
    </row>
    <row r="2236" spans="1:25" ht="15" customHeight="1" x14ac:dyDescent="0.2">
      <c r="A2236" s="317" t="s">
        <v>147</v>
      </c>
      <c r="B2236" s="895" t="s">
        <v>147</v>
      </c>
      <c r="C2236" s="896"/>
      <c r="D2236" s="906" t="s">
        <v>233</v>
      </c>
      <c r="E2236" s="907">
        <f>GLOBAL_DER_FEV_2023!E2236</f>
        <v>0.2</v>
      </c>
      <c r="F2236" s="908">
        <f>GLOBAL_DER_FEV_2023!F2236</f>
        <v>0.89487311999999997</v>
      </c>
      <c r="G2236" s="949">
        <f>GLOBAL_DER_FEV_2023!G2236</f>
        <v>2.5897628092799998</v>
      </c>
      <c r="H2236" s="901">
        <f>GLOBAL_DER_FEV_2023!H2236</f>
        <v>0</v>
      </c>
      <c r="I2236" s="901">
        <f>GLOBAL_DER_FEV_2023!I2236</f>
        <v>0</v>
      </c>
      <c r="J2236" s="902">
        <f>GLOBAL_DER_FEV_2023!J2236</f>
        <v>0</v>
      </c>
      <c r="K2236" s="903"/>
      <c r="L2236" s="1177"/>
      <c r="M2236" s="1138">
        <f t="shared" si="222"/>
        <v>0</v>
      </c>
      <c r="N2236" s="1176">
        <f t="shared" si="223"/>
        <v>0</v>
      </c>
      <c r="O2236" s="905"/>
      <c r="P2236" s="36" t="str">
        <f>IF(N2233&gt;0,"xx",IF(N2233&gt;0,"xy",""))</f>
        <v/>
      </c>
      <c r="Q2236" s="317" t="str">
        <f t="shared" si="224"/>
        <v/>
      </c>
      <c r="R2236" s="317" t="str">
        <f t="shared" si="225"/>
        <v/>
      </c>
      <c r="S2236" s="317" t="str">
        <f t="shared" si="226"/>
        <v/>
      </c>
      <c r="T2236" s="317" t="str">
        <f>GLOBAL_DER_FEV_2023!S2236</f>
        <v/>
      </c>
      <c r="W2236" s="582">
        <v>0</v>
      </c>
      <c r="X2236" s="580"/>
      <c r="Y2236" s="583">
        <f>IF(GLOBAL_DER_FEV_2023!W2236=0,0,IF(GLOBAL_DER_FEV_2023!W2236&gt;0,"c","b"))</f>
        <v>0</v>
      </c>
    </row>
    <row r="2237" spans="1:25" ht="15" customHeight="1" x14ac:dyDescent="0.2">
      <c r="A2237" s="317" t="s">
        <v>147</v>
      </c>
      <c r="B2237" s="895" t="s">
        <v>147</v>
      </c>
      <c r="C2237" s="896"/>
      <c r="D2237" s="906" t="s">
        <v>365</v>
      </c>
      <c r="E2237" s="907">
        <f>GLOBAL_DER_FEV_2023!E2237</f>
        <v>10</v>
      </c>
      <c r="F2237" s="908">
        <f>GLOBAL_DER_FEV_2023!F2237</f>
        <v>0.92856959999999988</v>
      </c>
      <c r="G2237" s="949">
        <f>GLOBAL_DER_FEV_2023!G2237</f>
        <v>12.424261247999999</v>
      </c>
      <c r="H2237" s="901">
        <f>GLOBAL_DER_FEV_2023!H2237</f>
        <v>0</v>
      </c>
      <c r="I2237" s="901">
        <f>GLOBAL_DER_FEV_2023!I2237</f>
        <v>0</v>
      </c>
      <c r="J2237" s="902">
        <f>GLOBAL_DER_FEV_2023!J2237</f>
        <v>0</v>
      </c>
      <c r="K2237" s="903"/>
      <c r="L2237" s="1177"/>
      <c r="M2237" s="1138">
        <f t="shared" si="222"/>
        <v>0</v>
      </c>
      <c r="N2237" s="1176">
        <f t="shared" si="223"/>
        <v>0</v>
      </c>
      <c r="O2237" s="905"/>
      <c r="P2237" s="36" t="str">
        <f>IF(N2233&gt;0,"xx",IF(N2233&gt;0,"xy",""))</f>
        <v/>
      </c>
      <c r="Q2237" s="317" t="str">
        <f t="shared" si="224"/>
        <v/>
      </c>
      <c r="R2237" s="317" t="str">
        <f t="shared" si="225"/>
        <v/>
      </c>
      <c r="S2237" s="317" t="str">
        <f t="shared" si="226"/>
        <v/>
      </c>
      <c r="T2237" s="317" t="str">
        <f>GLOBAL_DER_FEV_2023!S2237</f>
        <v/>
      </c>
      <c r="W2237" s="582">
        <v>0</v>
      </c>
      <c r="X2237" s="580"/>
      <c r="Y2237" s="583">
        <f>IF(GLOBAL_DER_FEV_2023!W2237=0,0,IF(GLOBAL_DER_FEV_2023!W2237&gt;0,"c","b"))</f>
        <v>0</v>
      </c>
    </row>
    <row r="2238" spans="1:25" ht="15" customHeight="1" x14ac:dyDescent="0.2">
      <c r="A2238" s="317" t="s">
        <v>147</v>
      </c>
      <c r="B2238" s="895" t="s">
        <v>147</v>
      </c>
      <c r="C2238" s="896"/>
      <c r="D2238" s="906" t="s">
        <v>366</v>
      </c>
      <c r="E2238" s="907">
        <f>GLOBAL_DER_FEV_2023!E2238</f>
        <v>353</v>
      </c>
      <c r="F2238" s="908">
        <f>GLOBAL_DER_FEV_2023!F2238</f>
        <v>3.0952319999999998E-2</v>
      </c>
      <c r="G2238" s="909">
        <f>GLOBAL_DER_FEV_2023!G2238</f>
        <v>8.7644589312000001</v>
      </c>
      <c r="H2238" s="901">
        <f>GLOBAL_DER_FEV_2023!H2238</f>
        <v>0</v>
      </c>
      <c r="I2238" s="901">
        <f>GLOBAL_DER_FEV_2023!I2238</f>
        <v>0</v>
      </c>
      <c r="J2238" s="902">
        <f>GLOBAL_DER_FEV_2023!J2238</f>
        <v>0</v>
      </c>
      <c r="K2238" s="903"/>
      <c r="L2238" s="1177"/>
      <c r="M2238" s="1138">
        <f t="shared" si="222"/>
        <v>0</v>
      </c>
      <c r="N2238" s="1176">
        <f t="shared" si="223"/>
        <v>0</v>
      </c>
      <c r="O2238" s="905"/>
      <c r="P2238" s="36" t="str">
        <f>IF(N2233&gt;0,"xx",IF(N2233&gt;0,"xy",""))</f>
        <v/>
      </c>
      <c r="Q2238" s="317" t="str">
        <f t="shared" si="224"/>
        <v/>
      </c>
      <c r="R2238" s="317" t="str">
        <f t="shared" si="225"/>
        <v/>
      </c>
      <c r="S2238" s="317" t="str">
        <f t="shared" si="226"/>
        <v/>
      </c>
      <c r="T2238" s="317" t="str">
        <f>GLOBAL_DER_FEV_2023!S2238</f>
        <v/>
      </c>
      <c r="W2238" s="582">
        <v>0</v>
      </c>
      <c r="X2238" s="580"/>
      <c r="Y2238" s="583">
        <f>IF(GLOBAL_DER_FEV_2023!W2238=0,0,IF(GLOBAL_DER_FEV_2023!W2238&gt;0,"c","b"))</f>
        <v>0</v>
      </c>
    </row>
    <row r="2239" spans="1:25" ht="15" customHeight="1" x14ac:dyDescent="0.2">
      <c r="A2239" s="317" t="s">
        <v>32</v>
      </c>
      <c r="B2239" s="895" t="s">
        <v>32</v>
      </c>
      <c r="C2239" s="896" t="s">
        <v>184</v>
      </c>
      <c r="D2239" s="906" t="s">
        <v>60</v>
      </c>
      <c r="E2239" s="907">
        <f>GLOBAL_DER_FEV_2023!E2239</f>
        <v>0</v>
      </c>
      <c r="F2239" s="908">
        <f>GLOBAL_DER_FEV_2023!F2239</f>
        <v>0</v>
      </c>
      <c r="G2239" s="912">
        <f>GLOBAL_DER_FEV_2023!G2239</f>
        <v>428.72220748736009</v>
      </c>
      <c r="H2239" s="901">
        <f>GLOBAL_DER_FEV_2023!H2239</f>
        <v>2343.36</v>
      </c>
      <c r="I2239" s="901">
        <f>GLOBAL_DER_FEV_2023!I2239</f>
        <v>2772.0822074873604</v>
      </c>
      <c r="J2239" s="902">
        <f>GLOBAL_DER_FEV_2023!J2239</f>
        <v>3328.44</v>
      </c>
      <c r="K2239" s="903" t="s">
        <v>15</v>
      </c>
      <c r="L2239" s="1137"/>
      <c r="M2239" s="1138">
        <f t="shared" si="222"/>
        <v>0</v>
      </c>
      <c r="N2239" s="1176">
        <f t="shared" si="223"/>
        <v>0</v>
      </c>
      <c r="O2239" s="905"/>
      <c r="Q2239" s="317" t="str">
        <f t="shared" si="224"/>
        <v/>
      </c>
      <c r="R2239" s="317" t="str">
        <f t="shared" si="225"/>
        <v/>
      </c>
      <c r="S2239" s="317" t="str">
        <f t="shared" si="226"/>
        <v/>
      </c>
      <c r="T2239" s="317" t="str">
        <f>GLOBAL_DER_FEV_2023!S2239</f>
        <v/>
      </c>
      <c r="W2239" s="582">
        <v>0</v>
      </c>
      <c r="X2239" s="580"/>
      <c r="Y2239" s="583">
        <f>IF(GLOBAL_DER_FEV_2023!W2239=0,0,IF(GLOBAL_DER_FEV_2023!W2239&gt;0,"c","b"))</f>
        <v>0</v>
      </c>
    </row>
    <row r="2240" spans="1:25" ht="15" customHeight="1" x14ac:dyDescent="0.2">
      <c r="A2240" s="317" t="s">
        <v>147</v>
      </c>
      <c r="B2240" s="895" t="s">
        <v>147</v>
      </c>
      <c r="C2240" s="896"/>
      <c r="D2240" s="906" t="s">
        <v>190</v>
      </c>
      <c r="E2240" s="907">
        <f>GLOBAL_DER_FEV_2023!E2240</f>
        <v>308</v>
      </c>
      <c r="F2240" s="908">
        <f>GLOBAL_DER_FEV_2023!F2240</f>
        <v>0.45250179200000007</v>
      </c>
      <c r="G2240" s="909">
        <f>GLOBAL_DER_FEV_2023!G2240</f>
        <v>112.24759452352002</v>
      </c>
      <c r="H2240" s="901">
        <f>GLOBAL_DER_FEV_2023!H2240</f>
        <v>0</v>
      </c>
      <c r="I2240" s="901">
        <f>GLOBAL_DER_FEV_2023!I2240</f>
        <v>0</v>
      </c>
      <c r="J2240" s="902">
        <f>GLOBAL_DER_FEV_2023!J2240</f>
        <v>0</v>
      </c>
      <c r="K2240" s="903"/>
      <c r="L2240" s="1177"/>
      <c r="M2240" s="1138">
        <f t="shared" si="222"/>
        <v>0</v>
      </c>
      <c r="N2240" s="1176">
        <f t="shared" si="223"/>
        <v>0</v>
      </c>
      <c r="O2240" s="905"/>
      <c r="P2240" s="36" t="str">
        <f>IF(N2239&gt;0,"xx",IF(N2239&gt;0,"xy",""))</f>
        <v/>
      </c>
      <c r="Q2240" s="317" t="str">
        <f t="shared" si="224"/>
        <v/>
      </c>
      <c r="R2240" s="317" t="str">
        <f t="shared" si="225"/>
        <v/>
      </c>
      <c r="S2240" s="317" t="str">
        <f t="shared" si="226"/>
        <v/>
      </c>
      <c r="T2240" s="317" t="str">
        <f>GLOBAL_DER_FEV_2023!S2240</f>
        <v/>
      </c>
      <c r="W2240" s="582">
        <v>0</v>
      </c>
      <c r="X2240" s="580"/>
      <c r="Y2240" s="583">
        <f>IF(GLOBAL_DER_FEV_2023!W2240=0,0,IF(GLOBAL_DER_FEV_2023!W2240&gt;0,"c","b"))</f>
        <v>0</v>
      </c>
    </row>
    <row r="2241" spans="1:25" ht="15" customHeight="1" x14ac:dyDescent="0.2">
      <c r="A2241" s="317" t="s">
        <v>147</v>
      </c>
      <c r="B2241" s="895" t="s">
        <v>147</v>
      </c>
      <c r="C2241" s="896"/>
      <c r="D2241" s="906" t="s">
        <v>229</v>
      </c>
      <c r="E2241" s="907">
        <f>GLOBAL_DER_FEV_2023!E2241</f>
        <v>150</v>
      </c>
      <c r="F2241" s="908">
        <f>GLOBAL_DER_FEV_2023!F2241</f>
        <v>1.7334338080000002</v>
      </c>
      <c r="G2241" s="949">
        <f>GLOBAL_DER_FEV_2023!G2241</f>
        <v>282.86172878944006</v>
      </c>
      <c r="H2241" s="901">
        <f>GLOBAL_DER_FEV_2023!H2241</f>
        <v>0</v>
      </c>
      <c r="I2241" s="901">
        <f>GLOBAL_DER_FEV_2023!I2241</f>
        <v>0</v>
      </c>
      <c r="J2241" s="902">
        <f>GLOBAL_DER_FEV_2023!J2241</f>
        <v>0</v>
      </c>
      <c r="K2241" s="903"/>
      <c r="L2241" s="1177"/>
      <c r="M2241" s="1138">
        <f t="shared" si="222"/>
        <v>0</v>
      </c>
      <c r="N2241" s="1176">
        <f t="shared" si="223"/>
        <v>0</v>
      </c>
      <c r="O2241" s="905"/>
      <c r="P2241" s="36" t="str">
        <f>IF(N2239&gt;0,"xx",IF(N2239&gt;0,"xy",""))</f>
        <v/>
      </c>
      <c r="Q2241" s="317" t="str">
        <f t="shared" si="224"/>
        <v/>
      </c>
      <c r="R2241" s="317" t="str">
        <f t="shared" si="225"/>
        <v/>
      </c>
      <c r="S2241" s="317" t="str">
        <f t="shared" si="226"/>
        <v/>
      </c>
      <c r="T2241" s="317" t="str">
        <f>GLOBAL_DER_FEV_2023!S2241</f>
        <v/>
      </c>
      <c r="W2241" s="582">
        <v>0</v>
      </c>
      <c r="X2241" s="580"/>
      <c r="Y2241" s="583">
        <f>IF(GLOBAL_DER_FEV_2023!W2241=0,0,IF(GLOBAL_DER_FEV_2023!W2241&gt;0,"c","b"))</f>
        <v>0</v>
      </c>
    </row>
    <row r="2242" spans="1:25" ht="15" customHeight="1" x14ac:dyDescent="0.2">
      <c r="A2242" s="317" t="s">
        <v>147</v>
      </c>
      <c r="B2242" s="895" t="s">
        <v>147</v>
      </c>
      <c r="C2242" s="896"/>
      <c r="D2242" s="906" t="s">
        <v>233</v>
      </c>
      <c r="E2242" s="907">
        <f>GLOBAL_DER_FEV_2023!E2242</f>
        <v>0.2</v>
      </c>
      <c r="F2242" s="908">
        <f>GLOBAL_DER_FEV_2023!F2242</f>
        <v>1.2150148800000002</v>
      </c>
      <c r="G2242" s="949">
        <f>GLOBAL_DER_FEV_2023!G2242</f>
        <v>3.516253062720001</v>
      </c>
      <c r="H2242" s="901">
        <f>GLOBAL_DER_FEV_2023!H2242</f>
        <v>0</v>
      </c>
      <c r="I2242" s="901">
        <f>GLOBAL_DER_FEV_2023!I2242</f>
        <v>0</v>
      </c>
      <c r="J2242" s="902">
        <f>GLOBAL_DER_FEV_2023!J2242</f>
        <v>0</v>
      </c>
      <c r="K2242" s="903"/>
      <c r="L2242" s="1177"/>
      <c r="M2242" s="1138">
        <f t="shared" si="222"/>
        <v>0</v>
      </c>
      <c r="N2242" s="1176">
        <f t="shared" si="223"/>
        <v>0</v>
      </c>
      <c r="O2242" s="905"/>
      <c r="P2242" s="36" t="str">
        <f>IF(N2239&gt;0,"xx",IF(N2239&gt;0,"xy",""))</f>
        <v/>
      </c>
      <c r="Q2242" s="317" t="str">
        <f t="shared" si="224"/>
        <v/>
      </c>
      <c r="R2242" s="317" t="str">
        <f t="shared" si="225"/>
        <v/>
      </c>
      <c r="S2242" s="317" t="str">
        <f t="shared" si="226"/>
        <v/>
      </c>
      <c r="T2242" s="317" t="str">
        <f>GLOBAL_DER_FEV_2023!S2242</f>
        <v/>
      </c>
      <c r="W2242" s="582">
        <v>0</v>
      </c>
      <c r="X2242" s="580"/>
      <c r="Y2242" s="583">
        <f>IF(GLOBAL_DER_FEV_2023!W2242=0,0,IF(GLOBAL_DER_FEV_2023!W2242&gt;0,"c","b"))</f>
        <v>0</v>
      </c>
    </row>
    <row r="2243" spans="1:25" ht="15" customHeight="1" x14ac:dyDescent="0.2">
      <c r="A2243" s="317" t="s">
        <v>147</v>
      </c>
      <c r="B2243" s="895" t="s">
        <v>147</v>
      </c>
      <c r="C2243" s="896"/>
      <c r="D2243" s="906" t="s">
        <v>365</v>
      </c>
      <c r="E2243" s="907">
        <f>GLOBAL_DER_FEV_2023!E2243</f>
        <v>10</v>
      </c>
      <c r="F2243" s="908">
        <f>GLOBAL_DER_FEV_2023!F2243</f>
        <v>1.3189478400000001</v>
      </c>
      <c r="G2243" s="949">
        <f>GLOBAL_DER_FEV_2023!G2243</f>
        <v>17.647522099200003</v>
      </c>
      <c r="H2243" s="901">
        <f>GLOBAL_DER_FEV_2023!H2243</f>
        <v>0</v>
      </c>
      <c r="I2243" s="901">
        <f>GLOBAL_DER_FEV_2023!I2243</f>
        <v>0</v>
      </c>
      <c r="J2243" s="902">
        <f>GLOBAL_DER_FEV_2023!J2243</f>
        <v>0</v>
      </c>
      <c r="K2243" s="903"/>
      <c r="L2243" s="1177"/>
      <c r="M2243" s="1138">
        <f t="shared" si="222"/>
        <v>0</v>
      </c>
      <c r="N2243" s="1176">
        <f t="shared" si="223"/>
        <v>0</v>
      </c>
      <c r="O2243" s="905"/>
      <c r="P2243" s="36" t="str">
        <f>IF(N2239&gt;0,"xx",IF(N2239&gt;0,"xy",""))</f>
        <v/>
      </c>
      <c r="Q2243" s="317" t="str">
        <f t="shared" si="224"/>
        <v/>
      </c>
      <c r="R2243" s="317" t="str">
        <f t="shared" si="225"/>
        <v/>
      </c>
      <c r="S2243" s="317" t="str">
        <f t="shared" si="226"/>
        <v/>
      </c>
      <c r="T2243" s="317" t="str">
        <f>GLOBAL_DER_FEV_2023!S2243</f>
        <v/>
      </c>
      <c r="W2243" s="582">
        <v>0</v>
      </c>
      <c r="X2243" s="580"/>
      <c r="Y2243" s="583">
        <f>IF(GLOBAL_DER_FEV_2023!W2243=0,0,IF(GLOBAL_DER_FEV_2023!W2243&gt;0,"c","b"))</f>
        <v>0</v>
      </c>
    </row>
    <row r="2244" spans="1:25" ht="15" customHeight="1" x14ac:dyDescent="0.2">
      <c r="A2244" s="317" t="s">
        <v>147</v>
      </c>
      <c r="B2244" s="895" t="s">
        <v>147</v>
      </c>
      <c r="C2244" s="896"/>
      <c r="D2244" s="906" t="s">
        <v>366</v>
      </c>
      <c r="E2244" s="907">
        <f>GLOBAL_DER_FEV_2023!E2244</f>
        <v>353</v>
      </c>
      <c r="F2244" s="908">
        <f>GLOBAL_DER_FEV_2023!F2244</f>
        <v>4.3964928000000007E-2</v>
      </c>
      <c r="G2244" s="909">
        <f>GLOBAL_DER_FEV_2023!G2244</f>
        <v>12.449109012480003</v>
      </c>
      <c r="H2244" s="901">
        <f>GLOBAL_DER_FEV_2023!H2244</f>
        <v>0</v>
      </c>
      <c r="I2244" s="901">
        <f>GLOBAL_DER_FEV_2023!I2244</f>
        <v>0</v>
      </c>
      <c r="J2244" s="902">
        <f>GLOBAL_DER_FEV_2023!J2244</f>
        <v>0</v>
      </c>
      <c r="K2244" s="903"/>
      <c r="L2244" s="1177"/>
      <c r="M2244" s="1138">
        <f t="shared" si="222"/>
        <v>0</v>
      </c>
      <c r="N2244" s="1176">
        <f t="shared" si="223"/>
        <v>0</v>
      </c>
      <c r="O2244" s="905"/>
      <c r="P2244" s="36" t="str">
        <f>IF(N2239&gt;0,"xx",IF(N2239&gt;0,"xy",""))</f>
        <v/>
      </c>
      <c r="Q2244" s="317" t="str">
        <f t="shared" si="224"/>
        <v/>
      </c>
      <c r="R2244" s="317" t="str">
        <f t="shared" si="225"/>
        <v/>
      </c>
      <c r="S2244" s="317" t="str">
        <f t="shared" si="226"/>
        <v/>
      </c>
      <c r="T2244" s="317" t="str">
        <f>GLOBAL_DER_FEV_2023!S2244</f>
        <v/>
      </c>
      <c r="W2244" s="582">
        <v>0</v>
      </c>
      <c r="X2244" s="580"/>
      <c r="Y2244" s="583">
        <f>IF(GLOBAL_DER_FEV_2023!W2244=0,0,IF(GLOBAL_DER_FEV_2023!W2244&gt;0,"c","b"))</f>
        <v>0</v>
      </c>
    </row>
    <row r="2245" spans="1:25" ht="15" customHeight="1" x14ac:dyDescent="0.2">
      <c r="A2245" s="317" t="s">
        <v>108</v>
      </c>
      <c r="B2245" s="895" t="s">
        <v>108</v>
      </c>
      <c r="C2245" s="896" t="s">
        <v>184</v>
      </c>
      <c r="D2245" s="906" t="s">
        <v>375</v>
      </c>
      <c r="E2245" s="907">
        <f>GLOBAL_DER_FEV_2023!E2245</f>
        <v>0</v>
      </c>
      <c r="F2245" s="908">
        <f>GLOBAL_DER_FEV_2023!F2245</f>
        <v>0</v>
      </c>
      <c r="G2245" s="912">
        <f>GLOBAL_DER_FEV_2023!G2245</f>
        <v>99.712223971200018</v>
      </c>
      <c r="H2245" s="901">
        <f>GLOBAL_DER_FEV_2023!H2245</f>
        <v>452.08</v>
      </c>
      <c r="I2245" s="901">
        <f>GLOBAL_DER_FEV_2023!I2245</f>
        <v>551.79222397119997</v>
      </c>
      <c r="J2245" s="902">
        <f>GLOBAL_DER_FEV_2023!J2245</f>
        <v>662.54</v>
      </c>
      <c r="K2245" s="903" t="s">
        <v>15</v>
      </c>
      <c r="L2245" s="1137"/>
      <c r="M2245" s="1138">
        <f t="shared" si="222"/>
        <v>0</v>
      </c>
      <c r="N2245" s="1176">
        <f t="shared" si="223"/>
        <v>0</v>
      </c>
      <c r="O2245" s="905"/>
      <c r="Q2245" s="317" t="str">
        <f t="shared" si="224"/>
        <v/>
      </c>
      <c r="R2245" s="317" t="str">
        <f t="shared" si="225"/>
        <v/>
      </c>
      <c r="S2245" s="317" t="str">
        <f t="shared" si="226"/>
        <v/>
      </c>
      <c r="T2245" s="317" t="str">
        <f>GLOBAL_DER_FEV_2023!S2245</f>
        <v/>
      </c>
      <c r="W2245" s="582">
        <v>0</v>
      </c>
      <c r="X2245" s="580"/>
      <c r="Y2245" s="583">
        <f>IF(GLOBAL_DER_FEV_2023!W2245=0,0,IF(GLOBAL_DER_FEV_2023!W2245&gt;0,"c","b"))</f>
        <v>0</v>
      </c>
    </row>
    <row r="2246" spans="1:25" ht="15" customHeight="1" x14ac:dyDescent="0.2">
      <c r="A2246" s="317" t="s">
        <v>147</v>
      </c>
      <c r="B2246" s="895" t="s">
        <v>147</v>
      </c>
      <c r="C2246" s="896"/>
      <c r="D2246" s="906" t="s">
        <v>190</v>
      </c>
      <c r="E2246" s="907">
        <f>GLOBAL_DER_FEV_2023!E2246</f>
        <v>308</v>
      </c>
      <c r="F2246" s="908">
        <f>GLOBAL_DER_FEV_2023!F2246</f>
        <v>0.1320288</v>
      </c>
      <c r="G2246" s="909">
        <f>GLOBAL_DER_FEV_2023!G2246</f>
        <v>32.751064128000003</v>
      </c>
      <c r="H2246" s="901">
        <f>GLOBAL_DER_FEV_2023!H2246</f>
        <v>0</v>
      </c>
      <c r="I2246" s="901">
        <f>GLOBAL_DER_FEV_2023!I2246</f>
        <v>0</v>
      </c>
      <c r="J2246" s="902">
        <f>GLOBAL_DER_FEV_2023!J2246</f>
        <v>0</v>
      </c>
      <c r="K2246" s="903"/>
      <c r="L2246" s="1177"/>
      <c r="M2246" s="1138">
        <f t="shared" ref="M2246:M2309" si="227">IF(L2246=0,0,ROUND(J2246,2))</f>
        <v>0</v>
      </c>
      <c r="N2246" s="1176">
        <f t="shared" si="223"/>
        <v>0</v>
      </c>
      <c r="O2246" s="905"/>
      <c r="P2246" s="36" t="str">
        <f>IF(N2245&gt;0,"xx",IF(N2245&gt;0,"xy",""))</f>
        <v/>
      </c>
      <c r="Q2246" s="317" t="str">
        <f t="shared" si="224"/>
        <v/>
      </c>
      <c r="R2246" s="317" t="str">
        <f t="shared" si="225"/>
        <v/>
      </c>
      <c r="S2246" s="317" t="str">
        <f t="shared" si="226"/>
        <v/>
      </c>
      <c r="T2246" s="317" t="str">
        <f>GLOBAL_DER_FEV_2023!S2246</f>
        <v/>
      </c>
      <c r="W2246" s="582">
        <v>0</v>
      </c>
      <c r="X2246" s="580"/>
      <c r="Y2246" s="583">
        <f>IF(GLOBAL_DER_FEV_2023!W2246=0,0,IF(GLOBAL_DER_FEV_2023!W2246&gt;0,"c","b"))</f>
        <v>0</v>
      </c>
    </row>
    <row r="2247" spans="1:25" ht="15" customHeight="1" x14ac:dyDescent="0.2">
      <c r="A2247" s="317" t="s">
        <v>147</v>
      </c>
      <c r="B2247" s="895" t="s">
        <v>147</v>
      </c>
      <c r="C2247" s="896"/>
      <c r="D2247" s="906" t="s">
        <v>229</v>
      </c>
      <c r="E2247" s="907">
        <f>GLOBAL_DER_FEV_2023!E2247</f>
        <v>150</v>
      </c>
      <c r="F2247" s="908">
        <f>GLOBAL_DER_FEV_2023!F2247</f>
        <v>0.40193856</v>
      </c>
      <c r="G2247" s="949">
        <f>GLOBAL_DER_FEV_2023!G2247</f>
        <v>65.588334220800007</v>
      </c>
      <c r="H2247" s="901">
        <f>GLOBAL_DER_FEV_2023!H2247</f>
        <v>0</v>
      </c>
      <c r="I2247" s="901">
        <f>GLOBAL_DER_FEV_2023!I2247</f>
        <v>0</v>
      </c>
      <c r="J2247" s="902">
        <f>GLOBAL_DER_FEV_2023!J2247</f>
        <v>0</v>
      </c>
      <c r="K2247" s="903"/>
      <c r="L2247" s="1177"/>
      <c r="M2247" s="1138">
        <f t="shared" si="227"/>
        <v>0</v>
      </c>
      <c r="N2247" s="1176">
        <f t="shared" si="223"/>
        <v>0</v>
      </c>
      <c r="O2247" s="905"/>
      <c r="P2247" s="36" t="str">
        <f>IF(N2245&gt;0,"xx",IF(N2245&gt;0,"xy",""))</f>
        <v/>
      </c>
      <c r="Q2247" s="317" t="str">
        <f t="shared" si="224"/>
        <v/>
      </c>
      <c r="R2247" s="317" t="str">
        <f t="shared" si="225"/>
        <v/>
      </c>
      <c r="S2247" s="317" t="str">
        <f t="shared" si="226"/>
        <v/>
      </c>
      <c r="T2247" s="317" t="str">
        <f>GLOBAL_DER_FEV_2023!S2247</f>
        <v/>
      </c>
      <c r="W2247" s="582">
        <v>0</v>
      </c>
      <c r="X2247" s="580"/>
      <c r="Y2247" s="583">
        <f>IF(GLOBAL_DER_FEV_2023!W2247=0,0,IF(GLOBAL_DER_FEV_2023!W2247&gt;0,"c","b"))</f>
        <v>0</v>
      </c>
    </row>
    <row r="2248" spans="1:25" ht="15" customHeight="1" x14ac:dyDescent="0.2">
      <c r="A2248" s="317" t="s">
        <v>147</v>
      </c>
      <c r="B2248" s="895" t="s">
        <v>147</v>
      </c>
      <c r="C2248" s="896"/>
      <c r="D2248" s="906" t="s">
        <v>233</v>
      </c>
      <c r="E2248" s="907">
        <f>GLOBAL_DER_FEV_2023!E2248</f>
        <v>0.2</v>
      </c>
      <c r="F2248" s="908">
        <f>GLOBAL_DER_FEV_2023!F2248</f>
        <v>0.47436960000000006</v>
      </c>
      <c r="G2248" s="949">
        <f>GLOBAL_DER_FEV_2023!G2248</f>
        <v>1.3728256224000002</v>
      </c>
      <c r="H2248" s="901">
        <f>GLOBAL_DER_FEV_2023!H2248</f>
        <v>0</v>
      </c>
      <c r="I2248" s="901">
        <f>GLOBAL_DER_FEV_2023!I2248</f>
        <v>0</v>
      </c>
      <c r="J2248" s="902">
        <f>GLOBAL_DER_FEV_2023!J2248</f>
        <v>0</v>
      </c>
      <c r="K2248" s="903"/>
      <c r="L2248" s="1177"/>
      <c r="M2248" s="1138">
        <f t="shared" si="227"/>
        <v>0</v>
      </c>
      <c r="N2248" s="1176">
        <f t="shared" si="223"/>
        <v>0</v>
      </c>
      <c r="O2248" s="905"/>
      <c r="P2248" s="36" t="str">
        <f>IF(N2245&gt;0,"xx",IF(N2245&gt;0,"xy",""))</f>
        <v/>
      </c>
      <c r="Q2248" s="317" t="str">
        <f t="shared" si="224"/>
        <v/>
      </c>
      <c r="R2248" s="317" t="str">
        <f t="shared" si="225"/>
        <v/>
      </c>
      <c r="S2248" s="317" t="str">
        <f t="shared" si="226"/>
        <v/>
      </c>
      <c r="T2248" s="317" t="str">
        <f>GLOBAL_DER_FEV_2023!S2248</f>
        <v/>
      </c>
      <c r="W2248" s="582">
        <v>0</v>
      </c>
      <c r="X2248" s="580"/>
      <c r="Y2248" s="583">
        <f>IF(GLOBAL_DER_FEV_2023!W2248=0,0,IF(GLOBAL_DER_FEV_2023!W2248&gt;0,"c","b"))</f>
        <v>0</v>
      </c>
    </row>
    <row r="2249" spans="1:25" ht="15" customHeight="1" x14ac:dyDescent="0.2">
      <c r="A2249" s="317" t="s">
        <v>109</v>
      </c>
      <c r="B2249" s="895" t="s">
        <v>109</v>
      </c>
      <c r="C2249" s="896" t="s">
        <v>184</v>
      </c>
      <c r="D2249" s="906" t="s">
        <v>376</v>
      </c>
      <c r="E2249" s="907">
        <f>GLOBAL_DER_FEV_2023!E2249</f>
        <v>0</v>
      </c>
      <c r="F2249" s="908">
        <f>GLOBAL_DER_FEV_2023!F2249</f>
        <v>0</v>
      </c>
      <c r="G2249" s="912">
        <f>GLOBAL_DER_FEV_2023!G2249</f>
        <v>151.36217786520004</v>
      </c>
      <c r="H2249" s="901">
        <f>GLOBAL_DER_FEV_2023!H2249</f>
        <v>692.16</v>
      </c>
      <c r="I2249" s="901">
        <f>GLOBAL_DER_FEV_2023!I2249</f>
        <v>843.52217786519998</v>
      </c>
      <c r="J2249" s="902">
        <f>GLOBAL_DER_FEV_2023!J2249</f>
        <v>1012.82</v>
      </c>
      <c r="K2249" s="903" t="s">
        <v>15</v>
      </c>
      <c r="L2249" s="1137"/>
      <c r="M2249" s="1138">
        <f t="shared" si="227"/>
        <v>0</v>
      </c>
      <c r="N2249" s="1176">
        <f t="shared" si="223"/>
        <v>0</v>
      </c>
      <c r="O2249" s="905"/>
      <c r="Q2249" s="317" t="str">
        <f t="shared" si="224"/>
        <v/>
      </c>
      <c r="R2249" s="317" t="str">
        <f t="shared" si="225"/>
        <v/>
      </c>
      <c r="S2249" s="317" t="str">
        <f t="shared" si="226"/>
        <v/>
      </c>
      <c r="T2249" s="317" t="str">
        <f>GLOBAL_DER_FEV_2023!S2249</f>
        <v/>
      </c>
      <c r="W2249" s="582">
        <v>0</v>
      </c>
      <c r="X2249" s="580"/>
      <c r="Y2249" s="583">
        <f>IF(GLOBAL_DER_FEV_2023!W2249=0,0,IF(GLOBAL_DER_FEV_2023!W2249&gt;0,"c","b"))</f>
        <v>0</v>
      </c>
    </row>
    <row r="2250" spans="1:25" ht="15" customHeight="1" x14ac:dyDescent="0.2">
      <c r="A2250" s="317" t="s">
        <v>147</v>
      </c>
      <c r="B2250" s="895" t="s">
        <v>147</v>
      </c>
      <c r="C2250" s="896"/>
      <c r="D2250" s="906" t="s">
        <v>190</v>
      </c>
      <c r="E2250" s="907">
        <f>GLOBAL_DER_FEV_2023!E2250</f>
        <v>308</v>
      </c>
      <c r="F2250" s="908">
        <f>GLOBAL_DER_FEV_2023!F2250</f>
        <v>0.20444730000000003</v>
      </c>
      <c r="G2250" s="909">
        <f>GLOBAL_DER_FEV_2023!G2250</f>
        <v>50.715197238000009</v>
      </c>
      <c r="H2250" s="901">
        <f>GLOBAL_DER_FEV_2023!H2250</f>
        <v>0</v>
      </c>
      <c r="I2250" s="901">
        <f>GLOBAL_DER_FEV_2023!I2250</f>
        <v>0</v>
      </c>
      <c r="J2250" s="902">
        <f>GLOBAL_DER_FEV_2023!J2250</f>
        <v>0</v>
      </c>
      <c r="K2250" s="903"/>
      <c r="L2250" s="1177"/>
      <c r="M2250" s="1138">
        <f t="shared" si="227"/>
        <v>0</v>
      </c>
      <c r="N2250" s="1176">
        <f t="shared" si="223"/>
        <v>0</v>
      </c>
      <c r="O2250" s="905"/>
      <c r="P2250" s="36" t="str">
        <f>IF(N2249&gt;0,"xx",IF(N2249&gt;0,"xy",""))</f>
        <v/>
      </c>
      <c r="Q2250" s="317" t="str">
        <f t="shared" si="224"/>
        <v/>
      </c>
      <c r="R2250" s="317" t="str">
        <f t="shared" si="225"/>
        <v/>
      </c>
      <c r="S2250" s="317" t="str">
        <f t="shared" si="226"/>
        <v/>
      </c>
      <c r="T2250" s="317" t="str">
        <f>GLOBAL_DER_FEV_2023!S2250</f>
        <v/>
      </c>
      <c r="W2250" s="582">
        <v>0</v>
      </c>
      <c r="X2250" s="580"/>
      <c r="Y2250" s="583">
        <f>IF(GLOBAL_DER_FEV_2023!W2250=0,0,IF(GLOBAL_DER_FEV_2023!W2250&gt;0,"c","b"))</f>
        <v>0</v>
      </c>
    </row>
    <row r="2251" spans="1:25" ht="15" customHeight="1" x14ac:dyDescent="0.2">
      <c r="A2251" s="317" t="s">
        <v>147</v>
      </c>
      <c r="B2251" s="895" t="s">
        <v>147</v>
      </c>
      <c r="C2251" s="896"/>
      <c r="D2251" s="906" t="s">
        <v>229</v>
      </c>
      <c r="E2251" s="907">
        <f>GLOBAL_DER_FEV_2023!E2251</f>
        <v>150</v>
      </c>
      <c r="F2251" s="908">
        <f>GLOBAL_DER_FEV_2023!F2251</f>
        <v>0.60405201000000008</v>
      </c>
      <c r="G2251" s="949">
        <f>GLOBAL_DER_FEV_2023!G2251</f>
        <v>98.569206991800016</v>
      </c>
      <c r="H2251" s="901">
        <f>GLOBAL_DER_FEV_2023!H2251</f>
        <v>0</v>
      </c>
      <c r="I2251" s="901">
        <f>GLOBAL_DER_FEV_2023!I2251</f>
        <v>0</v>
      </c>
      <c r="J2251" s="902">
        <f>GLOBAL_DER_FEV_2023!J2251</f>
        <v>0</v>
      </c>
      <c r="K2251" s="903"/>
      <c r="L2251" s="1177"/>
      <c r="M2251" s="1138">
        <f t="shared" si="227"/>
        <v>0</v>
      </c>
      <c r="N2251" s="1176">
        <f t="shared" si="223"/>
        <v>0</v>
      </c>
      <c r="O2251" s="905"/>
      <c r="P2251" s="36" t="str">
        <f>IF(N2249&gt;0,"xx",IF(N2249&gt;0,"xy",""))</f>
        <v/>
      </c>
      <c r="Q2251" s="317" t="str">
        <f t="shared" si="224"/>
        <v/>
      </c>
      <c r="R2251" s="317" t="str">
        <f t="shared" si="225"/>
        <v/>
      </c>
      <c r="S2251" s="317" t="str">
        <f t="shared" si="226"/>
        <v/>
      </c>
      <c r="T2251" s="317" t="str">
        <f>GLOBAL_DER_FEV_2023!S2251</f>
        <v/>
      </c>
      <c r="W2251" s="582">
        <v>0</v>
      </c>
      <c r="X2251" s="580"/>
      <c r="Y2251" s="583">
        <f>IF(GLOBAL_DER_FEV_2023!W2251=0,0,IF(GLOBAL_DER_FEV_2023!W2251&gt;0,"c","b"))</f>
        <v>0</v>
      </c>
    </row>
    <row r="2252" spans="1:25" ht="15" customHeight="1" x14ac:dyDescent="0.2">
      <c r="A2252" s="317" t="s">
        <v>147</v>
      </c>
      <c r="B2252" s="895" t="s">
        <v>147</v>
      </c>
      <c r="C2252" s="896"/>
      <c r="D2252" s="906" t="s">
        <v>233</v>
      </c>
      <c r="E2252" s="907">
        <f>GLOBAL_DER_FEV_2023!E2252</f>
        <v>0.2</v>
      </c>
      <c r="F2252" s="908">
        <f>GLOBAL_DER_FEV_2023!F2252</f>
        <v>0.71795910000000007</v>
      </c>
      <c r="G2252" s="949">
        <f>GLOBAL_DER_FEV_2023!G2252</f>
        <v>2.0777736354000003</v>
      </c>
      <c r="H2252" s="901">
        <f>GLOBAL_DER_FEV_2023!H2252</f>
        <v>0</v>
      </c>
      <c r="I2252" s="901">
        <f>GLOBAL_DER_FEV_2023!I2252</f>
        <v>0</v>
      </c>
      <c r="J2252" s="902">
        <f>GLOBAL_DER_FEV_2023!J2252</f>
        <v>0</v>
      </c>
      <c r="K2252" s="903"/>
      <c r="L2252" s="1177"/>
      <c r="M2252" s="1138">
        <f t="shared" si="227"/>
        <v>0</v>
      </c>
      <c r="N2252" s="1176">
        <f t="shared" si="223"/>
        <v>0</v>
      </c>
      <c r="O2252" s="905"/>
      <c r="P2252" s="36" t="str">
        <f>IF(N2249&gt;0,"xx",IF(N2249&gt;0,"xy",""))</f>
        <v/>
      </c>
      <c r="Q2252" s="317" t="str">
        <f t="shared" si="224"/>
        <v/>
      </c>
      <c r="R2252" s="317" t="str">
        <f t="shared" si="225"/>
        <v/>
      </c>
      <c r="S2252" s="317" t="str">
        <f t="shared" si="226"/>
        <v/>
      </c>
      <c r="T2252" s="317" t="str">
        <f>GLOBAL_DER_FEV_2023!S2252</f>
        <v/>
      </c>
      <c r="W2252" s="582">
        <v>0</v>
      </c>
      <c r="X2252" s="580"/>
      <c r="Y2252" s="583">
        <f>IF(GLOBAL_DER_FEV_2023!W2252=0,0,IF(GLOBAL_DER_FEV_2023!W2252&gt;0,"c","b"))</f>
        <v>0</v>
      </c>
    </row>
    <row r="2253" spans="1:25" ht="15" customHeight="1" x14ac:dyDescent="0.2">
      <c r="A2253" s="317" t="s">
        <v>110</v>
      </c>
      <c r="B2253" s="895" t="s">
        <v>110</v>
      </c>
      <c r="C2253" s="896" t="s">
        <v>184</v>
      </c>
      <c r="D2253" s="906" t="s">
        <v>377</v>
      </c>
      <c r="E2253" s="907">
        <f>GLOBAL_DER_FEV_2023!E2253</f>
        <v>0</v>
      </c>
      <c r="F2253" s="908">
        <f>GLOBAL_DER_FEV_2023!F2253</f>
        <v>0</v>
      </c>
      <c r="G2253" s="912">
        <f>GLOBAL_DER_FEV_2023!G2253</f>
        <v>280.75668198979992</v>
      </c>
      <c r="H2253" s="901">
        <f>GLOBAL_DER_FEV_2023!H2253</f>
        <v>1210.17</v>
      </c>
      <c r="I2253" s="901">
        <f>GLOBAL_DER_FEV_2023!I2253</f>
        <v>1490.9266819898</v>
      </c>
      <c r="J2253" s="902">
        <f>GLOBAL_DER_FEV_2023!J2253</f>
        <v>1790.16</v>
      </c>
      <c r="K2253" s="903" t="s">
        <v>15</v>
      </c>
      <c r="L2253" s="1137"/>
      <c r="M2253" s="1138">
        <f t="shared" si="227"/>
        <v>0</v>
      </c>
      <c r="N2253" s="1176">
        <f t="shared" si="223"/>
        <v>0</v>
      </c>
      <c r="O2253" s="905"/>
      <c r="Q2253" s="317" t="str">
        <f t="shared" si="224"/>
        <v/>
      </c>
      <c r="R2253" s="317" t="str">
        <f t="shared" si="225"/>
        <v/>
      </c>
      <c r="S2253" s="317" t="str">
        <f t="shared" si="226"/>
        <v/>
      </c>
      <c r="T2253" s="317" t="str">
        <f>GLOBAL_DER_FEV_2023!S2253</f>
        <v/>
      </c>
      <c r="W2253" s="582">
        <v>0</v>
      </c>
      <c r="X2253" s="580"/>
      <c r="Y2253" s="583">
        <f>IF(GLOBAL_DER_FEV_2023!W2253=0,0,IF(GLOBAL_DER_FEV_2023!W2253&gt;0,"c","b"))</f>
        <v>0</v>
      </c>
    </row>
    <row r="2254" spans="1:25" ht="15" customHeight="1" x14ac:dyDescent="0.2">
      <c r="A2254" s="317" t="s">
        <v>147</v>
      </c>
      <c r="B2254" s="895" t="s">
        <v>147</v>
      </c>
      <c r="C2254" s="896"/>
      <c r="D2254" s="906" t="s">
        <v>190</v>
      </c>
      <c r="E2254" s="907">
        <f>GLOBAL_DER_FEV_2023!E2254</f>
        <v>308</v>
      </c>
      <c r="F2254" s="908">
        <f>GLOBAL_DER_FEV_2023!F2254</f>
        <v>0.38327894999999995</v>
      </c>
      <c r="G2254" s="909">
        <f>GLOBAL_DER_FEV_2023!G2254</f>
        <v>95.076176336999993</v>
      </c>
      <c r="H2254" s="901">
        <f>GLOBAL_DER_FEV_2023!H2254</f>
        <v>0</v>
      </c>
      <c r="I2254" s="901">
        <f>GLOBAL_DER_FEV_2023!I2254</f>
        <v>0</v>
      </c>
      <c r="J2254" s="902">
        <f>GLOBAL_DER_FEV_2023!J2254</f>
        <v>0</v>
      </c>
      <c r="K2254" s="903"/>
      <c r="L2254" s="1177"/>
      <c r="M2254" s="1138">
        <f t="shared" si="227"/>
        <v>0</v>
      </c>
      <c r="N2254" s="1176">
        <f t="shared" si="223"/>
        <v>0</v>
      </c>
      <c r="O2254" s="905"/>
      <c r="P2254" s="36" t="str">
        <f>IF(N2253&gt;0,"xx",IF(N2253&gt;0,"xy",""))</f>
        <v/>
      </c>
      <c r="Q2254" s="317" t="str">
        <f t="shared" si="224"/>
        <v/>
      </c>
      <c r="R2254" s="317" t="str">
        <f t="shared" si="225"/>
        <v/>
      </c>
      <c r="S2254" s="317" t="str">
        <f t="shared" si="226"/>
        <v/>
      </c>
      <c r="T2254" s="317" t="str">
        <f>GLOBAL_DER_FEV_2023!S2254</f>
        <v/>
      </c>
      <c r="W2254" s="582">
        <v>0</v>
      </c>
      <c r="X2254" s="580"/>
      <c r="Y2254" s="583">
        <f>IF(GLOBAL_DER_FEV_2023!W2254=0,0,IF(GLOBAL_DER_FEV_2023!W2254&gt;0,"c","b"))</f>
        <v>0</v>
      </c>
    </row>
    <row r="2255" spans="1:25" ht="15" customHeight="1" x14ac:dyDescent="0.2">
      <c r="A2255" s="317" t="s">
        <v>147</v>
      </c>
      <c r="B2255" s="895" t="s">
        <v>147</v>
      </c>
      <c r="C2255" s="896"/>
      <c r="D2255" s="906" t="s">
        <v>229</v>
      </c>
      <c r="E2255" s="907">
        <f>GLOBAL_DER_FEV_2023!E2255</f>
        <v>150</v>
      </c>
      <c r="F2255" s="908">
        <f>GLOBAL_DER_FEV_2023!F2255</f>
        <v>1.1143076149999998</v>
      </c>
      <c r="G2255" s="949">
        <f>GLOBAL_DER_FEV_2023!G2255</f>
        <v>181.83271661569998</v>
      </c>
      <c r="H2255" s="901">
        <f>GLOBAL_DER_FEV_2023!H2255</f>
        <v>0</v>
      </c>
      <c r="I2255" s="901">
        <f>GLOBAL_DER_FEV_2023!I2255</f>
        <v>0</v>
      </c>
      <c r="J2255" s="902">
        <f>GLOBAL_DER_FEV_2023!J2255</f>
        <v>0</v>
      </c>
      <c r="K2255" s="903"/>
      <c r="L2255" s="1177"/>
      <c r="M2255" s="1138">
        <f t="shared" si="227"/>
        <v>0</v>
      </c>
      <c r="N2255" s="1176">
        <f t="shared" si="223"/>
        <v>0</v>
      </c>
      <c r="O2255" s="905"/>
      <c r="P2255" s="36" t="str">
        <f>IF(N2253&gt;0,"xx",IF(N2253&gt;0,"xy",""))</f>
        <v/>
      </c>
      <c r="Q2255" s="317" t="str">
        <f t="shared" si="224"/>
        <v/>
      </c>
      <c r="R2255" s="317" t="str">
        <f t="shared" si="225"/>
        <v/>
      </c>
      <c r="S2255" s="317" t="str">
        <f t="shared" si="226"/>
        <v/>
      </c>
      <c r="T2255" s="317" t="str">
        <f>GLOBAL_DER_FEV_2023!S2255</f>
        <v/>
      </c>
      <c r="W2255" s="582">
        <v>0</v>
      </c>
      <c r="X2255" s="580"/>
      <c r="Y2255" s="583">
        <f>IF(GLOBAL_DER_FEV_2023!W2255=0,0,IF(GLOBAL_DER_FEV_2023!W2255&gt;0,"c","b"))</f>
        <v>0</v>
      </c>
    </row>
    <row r="2256" spans="1:25" ht="15" customHeight="1" x14ac:dyDescent="0.2">
      <c r="A2256" s="317" t="s">
        <v>147</v>
      </c>
      <c r="B2256" s="895" t="s">
        <v>147</v>
      </c>
      <c r="C2256" s="896"/>
      <c r="D2256" s="906" t="s">
        <v>233</v>
      </c>
      <c r="E2256" s="907">
        <f>GLOBAL_DER_FEV_2023!E2256</f>
        <v>0.2</v>
      </c>
      <c r="F2256" s="908">
        <f>GLOBAL_DER_FEV_2023!F2256</f>
        <v>1.3295746499999999</v>
      </c>
      <c r="G2256" s="949">
        <f>GLOBAL_DER_FEV_2023!G2256</f>
        <v>3.8477890370999996</v>
      </c>
      <c r="H2256" s="901">
        <f>GLOBAL_DER_FEV_2023!H2256</f>
        <v>0</v>
      </c>
      <c r="I2256" s="901">
        <f>GLOBAL_DER_FEV_2023!I2256</f>
        <v>0</v>
      </c>
      <c r="J2256" s="902">
        <f>GLOBAL_DER_FEV_2023!J2256</f>
        <v>0</v>
      </c>
      <c r="K2256" s="903"/>
      <c r="L2256" s="1177"/>
      <c r="M2256" s="1138">
        <f t="shared" si="227"/>
        <v>0</v>
      </c>
      <c r="N2256" s="1176">
        <f t="shared" si="223"/>
        <v>0</v>
      </c>
      <c r="O2256" s="905"/>
      <c r="P2256" s="36" t="str">
        <f>IF(N2253&gt;0,"xx",IF(N2253&gt;0,"xy",""))</f>
        <v/>
      </c>
      <c r="Q2256" s="317" t="str">
        <f t="shared" si="224"/>
        <v/>
      </c>
      <c r="R2256" s="317" t="str">
        <f t="shared" si="225"/>
        <v/>
      </c>
      <c r="S2256" s="317" t="str">
        <f t="shared" si="226"/>
        <v/>
      </c>
      <c r="T2256" s="317" t="str">
        <f>GLOBAL_DER_FEV_2023!S2256</f>
        <v/>
      </c>
      <c r="W2256" s="582">
        <v>0</v>
      </c>
      <c r="X2256" s="580"/>
      <c r="Y2256" s="583">
        <f>IF(GLOBAL_DER_FEV_2023!W2256=0,0,IF(GLOBAL_DER_FEV_2023!W2256&gt;0,"c","b"))</f>
        <v>0</v>
      </c>
    </row>
    <row r="2257" spans="1:25" ht="15" customHeight="1" x14ac:dyDescent="0.2">
      <c r="A2257" s="317" t="s">
        <v>111</v>
      </c>
      <c r="B2257" s="895" t="s">
        <v>111</v>
      </c>
      <c r="C2257" s="896" t="s">
        <v>184</v>
      </c>
      <c r="D2257" s="906" t="s">
        <v>378</v>
      </c>
      <c r="E2257" s="907">
        <f>GLOBAL_DER_FEV_2023!E2257</f>
        <v>0</v>
      </c>
      <c r="F2257" s="908">
        <f>GLOBAL_DER_FEV_2023!F2257</f>
        <v>0</v>
      </c>
      <c r="G2257" s="912">
        <f>GLOBAL_DER_FEV_2023!G2257</f>
        <v>412.48191319280005</v>
      </c>
      <c r="H2257" s="901">
        <f>GLOBAL_DER_FEV_2023!H2257</f>
        <v>1663.57</v>
      </c>
      <c r="I2257" s="901">
        <f>GLOBAL_DER_FEV_2023!I2257</f>
        <v>2076.0519131927999</v>
      </c>
      <c r="J2257" s="902">
        <f>GLOBAL_DER_FEV_2023!J2257</f>
        <v>2492.7199999999998</v>
      </c>
      <c r="K2257" s="903" t="s">
        <v>15</v>
      </c>
      <c r="L2257" s="1137"/>
      <c r="M2257" s="1138">
        <f t="shared" si="227"/>
        <v>0</v>
      </c>
      <c r="N2257" s="1176">
        <f t="shared" si="223"/>
        <v>0</v>
      </c>
      <c r="O2257" s="905"/>
      <c r="Q2257" s="317" t="str">
        <f t="shared" si="224"/>
        <v/>
      </c>
      <c r="R2257" s="317" t="str">
        <f t="shared" si="225"/>
        <v/>
      </c>
      <c r="S2257" s="317" t="str">
        <f t="shared" si="226"/>
        <v/>
      </c>
      <c r="T2257" s="317" t="str">
        <f>GLOBAL_DER_FEV_2023!S2257</f>
        <v/>
      </c>
      <c r="W2257" s="582">
        <v>0</v>
      </c>
      <c r="X2257" s="580"/>
      <c r="Y2257" s="583">
        <f>IF(GLOBAL_DER_FEV_2023!W2257=0,0,IF(GLOBAL_DER_FEV_2023!W2257&gt;0,"c","b"))</f>
        <v>0</v>
      </c>
    </row>
    <row r="2258" spans="1:25" ht="15" customHeight="1" x14ac:dyDescent="0.2">
      <c r="A2258" s="317" t="s">
        <v>147</v>
      </c>
      <c r="B2258" s="895" t="s">
        <v>147</v>
      </c>
      <c r="C2258" s="896"/>
      <c r="D2258" s="906" t="s">
        <v>190</v>
      </c>
      <c r="E2258" s="907">
        <f>GLOBAL_DER_FEV_2023!E2258</f>
        <v>308</v>
      </c>
      <c r="F2258" s="908">
        <f>GLOBAL_DER_FEV_2023!F2258</f>
        <v>0.56408220000000009</v>
      </c>
      <c r="G2258" s="909">
        <f>GLOBAL_DER_FEV_2023!G2258</f>
        <v>139.92623053200003</v>
      </c>
      <c r="H2258" s="901">
        <f>GLOBAL_DER_FEV_2023!H2258</f>
        <v>0</v>
      </c>
      <c r="I2258" s="901">
        <f>GLOBAL_DER_FEV_2023!I2258</f>
        <v>0</v>
      </c>
      <c r="J2258" s="902">
        <f>GLOBAL_DER_FEV_2023!J2258</f>
        <v>0</v>
      </c>
      <c r="K2258" s="903"/>
      <c r="L2258" s="1177"/>
      <c r="M2258" s="1138">
        <f t="shared" si="227"/>
        <v>0</v>
      </c>
      <c r="N2258" s="1176">
        <f t="shared" si="223"/>
        <v>0</v>
      </c>
      <c r="O2258" s="905"/>
      <c r="P2258" s="36" t="str">
        <f>IF(N2257&gt;0,"xx",IF(N2257&gt;0,"xy",""))</f>
        <v/>
      </c>
      <c r="Q2258" s="317" t="str">
        <f t="shared" si="224"/>
        <v/>
      </c>
      <c r="R2258" s="317" t="str">
        <f t="shared" si="225"/>
        <v/>
      </c>
      <c r="S2258" s="317" t="str">
        <f t="shared" si="226"/>
        <v/>
      </c>
      <c r="T2258" s="317" t="str">
        <f>GLOBAL_DER_FEV_2023!S2258</f>
        <v/>
      </c>
      <c r="W2258" s="582">
        <v>0</v>
      </c>
      <c r="X2258" s="580"/>
      <c r="Y2258" s="583">
        <f>IF(GLOBAL_DER_FEV_2023!W2258=0,0,IF(GLOBAL_DER_FEV_2023!W2258&gt;0,"c","b"))</f>
        <v>0</v>
      </c>
    </row>
    <row r="2259" spans="1:25" ht="15" customHeight="1" x14ac:dyDescent="0.2">
      <c r="A2259" s="317" t="s">
        <v>147</v>
      </c>
      <c r="B2259" s="895" t="s">
        <v>147</v>
      </c>
      <c r="C2259" s="896"/>
      <c r="D2259" s="906" t="s">
        <v>229</v>
      </c>
      <c r="E2259" s="907">
        <f>GLOBAL_DER_FEV_2023!E2259</f>
        <v>150</v>
      </c>
      <c r="F2259" s="908">
        <f>GLOBAL_DER_FEV_2023!F2259</f>
        <v>1.6356421400000001</v>
      </c>
      <c r="G2259" s="949">
        <f>GLOBAL_DER_FEV_2023!G2259</f>
        <v>266.90408440520002</v>
      </c>
      <c r="H2259" s="901">
        <f>GLOBAL_DER_FEV_2023!H2259</f>
        <v>0</v>
      </c>
      <c r="I2259" s="901">
        <f>GLOBAL_DER_FEV_2023!I2259</f>
        <v>0</v>
      </c>
      <c r="J2259" s="902">
        <f>GLOBAL_DER_FEV_2023!J2259</f>
        <v>0</v>
      </c>
      <c r="K2259" s="903"/>
      <c r="L2259" s="1177"/>
      <c r="M2259" s="1138">
        <f t="shared" si="227"/>
        <v>0</v>
      </c>
      <c r="N2259" s="1176">
        <f t="shared" si="223"/>
        <v>0</v>
      </c>
      <c r="O2259" s="905"/>
      <c r="P2259" s="36" t="str">
        <f>IF(N2257&gt;0,"xx",IF(N2257&gt;0,"xy",""))</f>
        <v/>
      </c>
      <c r="Q2259" s="317" t="str">
        <f t="shared" si="224"/>
        <v/>
      </c>
      <c r="R2259" s="317" t="str">
        <f t="shared" si="225"/>
        <v/>
      </c>
      <c r="S2259" s="317" t="str">
        <f t="shared" si="226"/>
        <v/>
      </c>
      <c r="T2259" s="317" t="str">
        <f>GLOBAL_DER_FEV_2023!S2259</f>
        <v/>
      </c>
      <c r="W2259" s="582">
        <v>0</v>
      </c>
      <c r="X2259" s="580"/>
      <c r="Y2259" s="583">
        <f>IF(GLOBAL_DER_FEV_2023!W2259=0,0,IF(GLOBAL_DER_FEV_2023!W2259&gt;0,"c","b"))</f>
        <v>0</v>
      </c>
    </row>
    <row r="2260" spans="1:25" ht="15" customHeight="1" x14ac:dyDescent="0.2">
      <c r="A2260" s="317" t="s">
        <v>147</v>
      </c>
      <c r="B2260" s="895" t="s">
        <v>147</v>
      </c>
      <c r="C2260" s="896"/>
      <c r="D2260" s="906" t="s">
        <v>233</v>
      </c>
      <c r="E2260" s="907">
        <f>GLOBAL_DER_FEV_2023!E2260</f>
        <v>0.2</v>
      </c>
      <c r="F2260" s="908">
        <f>GLOBAL_DER_FEV_2023!F2260</f>
        <v>1.9528674000000004</v>
      </c>
      <c r="G2260" s="949">
        <f>GLOBAL_DER_FEV_2023!G2260</f>
        <v>5.6515982556000015</v>
      </c>
      <c r="H2260" s="901">
        <f>GLOBAL_DER_FEV_2023!H2260</f>
        <v>0</v>
      </c>
      <c r="I2260" s="901">
        <f>GLOBAL_DER_FEV_2023!I2260</f>
        <v>0</v>
      </c>
      <c r="J2260" s="902">
        <f>GLOBAL_DER_FEV_2023!J2260</f>
        <v>0</v>
      </c>
      <c r="K2260" s="903"/>
      <c r="L2260" s="1177"/>
      <c r="M2260" s="1138">
        <f t="shared" si="227"/>
        <v>0</v>
      </c>
      <c r="N2260" s="1176">
        <f t="shared" si="223"/>
        <v>0</v>
      </c>
      <c r="O2260" s="905"/>
      <c r="P2260" s="36" t="str">
        <f>IF(N2257&gt;0,"xx",IF(N2257&gt;0,"xy",""))</f>
        <v/>
      </c>
      <c r="Q2260" s="317" t="str">
        <f t="shared" si="224"/>
        <v/>
      </c>
      <c r="R2260" s="317" t="str">
        <f t="shared" si="225"/>
        <v/>
      </c>
      <c r="S2260" s="317" t="str">
        <f t="shared" si="226"/>
        <v/>
      </c>
      <c r="T2260" s="317" t="str">
        <f>GLOBAL_DER_FEV_2023!S2260</f>
        <v/>
      </c>
      <c r="W2260" s="582">
        <v>0</v>
      </c>
      <c r="X2260" s="580"/>
      <c r="Y2260" s="583">
        <f>IF(GLOBAL_DER_FEV_2023!W2260=0,0,IF(GLOBAL_DER_FEV_2023!W2260&gt;0,"c","b"))</f>
        <v>0</v>
      </c>
    </row>
    <row r="2261" spans="1:25" ht="15" customHeight="1" x14ac:dyDescent="0.2">
      <c r="A2261" s="317" t="s">
        <v>112</v>
      </c>
      <c r="B2261" s="895" t="s">
        <v>112</v>
      </c>
      <c r="C2261" s="896" t="s">
        <v>184</v>
      </c>
      <c r="D2261" s="906" t="s">
        <v>379</v>
      </c>
      <c r="E2261" s="907">
        <f>GLOBAL_DER_FEV_2023!E2261</f>
        <v>0</v>
      </c>
      <c r="F2261" s="908">
        <f>GLOBAL_DER_FEV_2023!F2261</f>
        <v>0</v>
      </c>
      <c r="G2261" s="912">
        <f>GLOBAL_DER_FEV_2023!G2261</f>
        <v>570.60064910079996</v>
      </c>
      <c r="H2261" s="901">
        <f>GLOBAL_DER_FEV_2023!H2261</f>
        <v>2274.9899999999998</v>
      </c>
      <c r="I2261" s="901">
        <f>GLOBAL_DER_FEV_2023!I2261</f>
        <v>2845.5906491008</v>
      </c>
      <c r="J2261" s="902">
        <f>GLOBAL_DER_FEV_2023!J2261</f>
        <v>3416.7</v>
      </c>
      <c r="K2261" s="903" t="s">
        <v>15</v>
      </c>
      <c r="L2261" s="1137"/>
      <c r="M2261" s="1138">
        <f t="shared" si="227"/>
        <v>0</v>
      </c>
      <c r="N2261" s="1176">
        <f t="shared" si="223"/>
        <v>0</v>
      </c>
      <c r="O2261" s="905"/>
      <c r="Q2261" s="317" t="str">
        <f t="shared" si="224"/>
        <v/>
      </c>
      <c r="R2261" s="317" t="str">
        <f t="shared" si="225"/>
        <v/>
      </c>
      <c r="S2261" s="317" t="str">
        <f t="shared" si="226"/>
        <v/>
      </c>
      <c r="T2261" s="317" t="str">
        <f>GLOBAL_DER_FEV_2023!S2261</f>
        <v/>
      </c>
      <c r="W2261" s="582">
        <v>0</v>
      </c>
      <c r="X2261" s="580"/>
      <c r="Y2261" s="583">
        <f>IF(GLOBAL_DER_FEV_2023!W2261=0,0,IF(GLOBAL_DER_FEV_2023!W2261&gt;0,"c","b"))</f>
        <v>0</v>
      </c>
    </row>
    <row r="2262" spans="1:25" ht="15" customHeight="1" x14ac:dyDescent="0.2">
      <c r="A2262" s="317" t="s">
        <v>147</v>
      </c>
      <c r="B2262" s="895" t="s">
        <v>147</v>
      </c>
      <c r="C2262" s="896"/>
      <c r="D2262" s="906" t="s">
        <v>190</v>
      </c>
      <c r="E2262" s="907">
        <f>GLOBAL_DER_FEV_2023!E2262</f>
        <v>308</v>
      </c>
      <c r="F2262" s="908">
        <f>GLOBAL_DER_FEV_2023!F2262</f>
        <v>0.77929919999999997</v>
      </c>
      <c r="G2262" s="909">
        <f>GLOBAL_DER_FEV_2023!G2262</f>
        <v>193.312959552</v>
      </c>
      <c r="H2262" s="901">
        <f>GLOBAL_DER_FEV_2023!H2262</f>
        <v>0</v>
      </c>
      <c r="I2262" s="901">
        <f>GLOBAL_DER_FEV_2023!I2262</f>
        <v>0</v>
      </c>
      <c r="J2262" s="902">
        <f>GLOBAL_DER_FEV_2023!J2262</f>
        <v>0</v>
      </c>
      <c r="K2262" s="903"/>
      <c r="L2262" s="1177"/>
      <c r="M2262" s="1138">
        <f t="shared" si="227"/>
        <v>0</v>
      </c>
      <c r="N2262" s="1176">
        <f t="shared" si="223"/>
        <v>0</v>
      </c>
      <c r="O2262" s="905"/>
      <c r="P2262" s="36" t="str">
        <f>IF(N2261&gt;0,"xx",IF(N2261&gt;0,"xy",""))</f>
        <v/>
      </c>
      <c r="Q2262" s="317" t="str">
        <f t="shared" si="224"/>
        <v/>
      </c>
      <c r="R2262" s="317" t="str">
        <f t="shared" si="225"/>
        <v/>
      </c>
      <c r="S2262" s="317" t="str">
        <f t="shared" si="226"/>
        <v/>
      </c>
      <c r="T2262" s="317" t="str">
        <f>GLOBAL_DER_FEV_2023!S2262</f>
        <v/>
      </c>
      <c r="W2262" s="582">
        <v>0</v>
      </c>
      <c r="X2262" s="580"/>
      <c r="Y2262" s="583">
        <f>IF(GLOBAL_DER_FEV_2023!W2262=0,0,IF(GLOBAL_DER_FEV_2023!W2262&gt;0,"c","b"))</f>
        <v>0</v>
      </c>
    </row>
    <row r="2263" spans="1:25" ht="15" customHeight="1" x14ac:dyDescent="0.2">
      <c r="A2263" s="317" t="s">
        <v>147</v>
      </c>
      <c r="B2263" s="895" t="s">
        <v>147</v>
      </c>
      <c r="C2263" s="896"/>
      <c r="D2263" s="906" t="s">
        <v>229</v>
      </c>
      <c r="E2263" s="907">
        <f>GLOBAL_DER_FEV_2023!E2263</f>
        <v>150</v>
      </c>
      <c r="F2263" s="908">
        <f>GLOBAL_DER_FEV_2023!F2263</f>
        <v>2.26417504</v>
      </c>
      <c r="G2263" s="949">
        <f>GLOBAL_DER_FEV_2023!G2263</f>
        <v>369.46808302720001</v>
      </c>
      <c r="H2263" s="901">
        <f>GLOBAL_DER_FEV_2023!H2263</f>
        <v>0</v>
      </c>
      <c r="I2263" s="901">
        <f>GLOBAL_DER_FEV_2023!I2263</f>
        <v>0</v>
      </c>
      <c r="J2263" s="902">
        <f>GLOBAL_DER_FEV_2023!J2263</f>
        <v>0</v>
      </c>
      <c r="K2263" s="903"/>
      <c r="L2263" s="1177"/>
      <c r="M2263" s="1138">
        <f t="shared" si="227"/>
        <v>0</v>
      </c>
      <c r="N2263" s="1176">
        <f t="shared" ref="N2263:N2326" si="228">IF(ISBLANK(L2263),0,IF(W2263=0,ROUND(L2263*M2263,2),IF(W2263="b",ROUNDDOWN(L2263*M2263,2),ROUNDUP(L2263*M2263,2))))</f>
        <v>0</v>
      </c>
      <c r="O2263" s="905"/>
      <c r="P2263" s="36" t="str">
        <f>IF(N2261&gt;0,"xx",IF(N2261&gt;0,"xy",""))</f>
        <v/>
      </c>
      <c r="Q2263" s="317" t="str">
        <f t="shared" si="224"/>
        <v/>
      </c>
      <c r="R2263" s="317" t="str">
        <f t="shared" si="225"/>
        <v/>
      </c>
      <c r="S2263" s="317" t="str">
        <f t="shared" si="226"/>
        <v/>
      </c>
      <c r="T2263" s="317" t="str">
        <f>GLOBAL_DER_FEV_2023!S2263</f>
        <v/>
      </c>
      <c r="W2263" s="582">
        <v>0</v>
      </c>
      <c r="X2263" s="580"/>
      <c r="Y2263" s="583">
        <f>IF(GLOBAL_DER_FEV_2023!W2263=0,0,IF(GLOBAL_DER_FEV_2023!W2263&gt;0,"c","b"))</f>
        <v>0</v>
      </c>
    </row>
    <row r="2264" spans="1:25" ht="15" customHeight="1" x14ac:dyDescent="0.2">
      <c r="A2264" s="317" t="s">
        <v>147</v>
      </c>
      <c r="B2264" s="895" t="s">
        <v>147</v>
      </c>
      <c r="C2264" s="896"/>
      <c r="D2264" s="906" t="s">
        <v>233</v>
      </c>
      <c r="E2264" s="907">
        <f>GLOBAL_DER_FEV_2023!E2264</f>
        <v>0.2</v>
      </c>
      <c r="F2264" s="908">
        <f>GLOBAL_DER_FEV_2023!F2264</f>
        <v>2.7020064000000001</v>
      </c>
      <c r="G2264" s="949">
        <f>GLOBAL_DER_FEV_2023!G2264</f>
        <v>7.8196065216000008</v>
      </c>
      <c r="H2264" s="901">
        <f>GLOBAL_DER_FEV_2023!H2264</f>
        <v>0</v>
      </c>
      <c r="I2264" s="901">
        <f>GLOBAL_DER_FEV_2023!I2264</f>
        <v>0</v>
      </c>
      <c r="J2264" s="902">
        <f>GLOBAL_DER_FEV_2023!J2264</f>
        <v>0</v>
      </c>
      <c r="K2264" s="903"/>
      <c r="L2264" s="1177"/>
      <c r="M2264" s="1138">
        <f t="shared" si="227"/>
        <v>0</v>
      </c>
      <c r="N2264" s="1176">
        <f t="shared" si="228"/>
        <v>0</v>
      </c>
      <c r="O2264" s="905"/>
      <c r="P2264" s="36" t="str">
        <f>IF(N2261&gt;0,"xx",IF(N2261&gt;0,"xy",""))</f>
        <v/>
      </c>
      <c r="Q2264" s="317" t="str">
        <f t="shared" si="224"/>
        <v/>
      </c>
      <c r="R2264" s="317" t="str">
        <f t="shared" si="225"/>
        <v/>
      </c>
      <c r="S2264" s="317" t="str">
        <f t="shared" si="226"/>
        <v/>
      </c>
      <c r="T2264" s="317" t="str">
        <f>GLOBAL_DER_FEV_2023!S2264</f>
        <v/>
      </c>
      <c r="W2264" s="582">
        <v>0</v>
      </c>
      <c r="X2264" s="580"/>
      <c r="Y2264" s="583">
        <f>IF(GLOBAL_DER_FEV_2023!W2264=0,0,IF(GLOBAL_DER_FEV_2023!W2264&gt;0,"c","b"))</f>
        <v>0</v>
      </c>
    </row>
    <row r="2265" spans="1:25" ht="15" customHeight="1" x14ac:dyDescent="0.2">
      <c r="A2265" s="317" t="s">
        <v>113</v>
      </c>
      <c r="B2265" s="895" t="s">
        <v>113</v>
      </c>
      <c r="C2265" s="896" t="s">
        <v>184</v>
      </c>
      <c r="D2265" s="906" t="s">
        <v>380</v>
      </c>
      <c r="E2265" s="907">
        <f>GLOBAL_DER_FEV_2023!E2265</f>
        <v>0</v>
      </c>
      <c r="F2265" s="908">
        <f>GLOBAL_DER_FEV_2023!F2265</f>
        <v>0</v>
      </c>
      <c r="G2265" s="912">
        <f>GLOBAL_DER_FEV_2023!G2265</f>
        <v>102.72484374720001</v>
      </c>
      <c r="H2265" s="901">
        <f>GLOBAL_DER_FEV_2023!H2265</f>
        <v>931.7</v>
      </c>
      <c r="I2265" s="901">
        <f>GLOBAL_DER_FEV_2023!I2265</f>
        <v>1034.4248437472002</v>
      </c>
      <c r="J2265" s="902">
        <f>GLOBAL_DER_FEV_2023!J2265</f>
        <v>1242.03</v>
      </c>
      <c r="K2265" s="903" t="s">
        <v>15</v>
      </c>
      <c r="L2265" s="1137"/>
      <c r="M2265" s="1138">
        <f t="shared" si="227"/>
        <v>0</v>
      </c>
      <c r="N2265" s="1176">
        <f t="shared" si="228"/>
        <v>0</v>
      </c>
      <c r="O2265" s="905"/>
      <c r="Q2265" s="317" t="str">
        <f t="shared" si="224"/>
        <v/>
      </c>
      <c r="R2265" s="317" t="str">
        <f t="shared" si="225"/>
        <v/>
      </c>
      <c r="S2265" s="317" t="str">
        <f t="shared" si="226"/>
        <v/>
      </c>
      <c r="T2265" s="317" t="str">
        <f>GLOBAL_DER_FEV_2023!S2265</f>
        <v/>
      </c>
      <c r="W2265" s="582">
        <v>0</v>
      </c>
      <c r="X2265" s="580"/>
      <c r="Y2265" s="583">
        <f>IF(GLOBAL_DER_FEV_2023!W2265=0,0,IF(GLOBAL_DER_FEV_2023!W2265&gt;0,"c","b"))</f>
        <v>0</v>
      </c>
    </row>
    <row r="2266" spans="1:25" ht="15" customHeight="1" x14ac:dyDescent="0.2">
      <c r="A2266" s="317" t="s">
        <v>147</v>
      </c>
      <c r="B2266" s="895" t="s">
        <v>147</v>
      </c>
      <c r="C2266" s="896"/>
      <c r="D2266" s="906" t="s">
        <v>190</v>
      </c>
      <c r="E2266" s="907">
        <f>GLOBAL_DER_FEV_2023!E2266</f>
        <v>308</v>
      </c>
      <c r="F2266" s="908">
        <f>GLOBAL_DER_FEV_2023!F2266</f>
        <v>0.13625280000000003</v>
      </c>
      <c r="G2266" s="909">
        <f>GLOBAL_DER_FEV_2023!G2266</f>
        <v>33.798869568000008</v>
      </c>
      <c r="H2266" s="901">
        <f>GLOBAL_DER_FEV_2023!H2266</f>
        <v>0</v>
      </c>
      <c r="I2266" s="901">
        <f>GLOBAL_DER_FEV_2023!I2266</f>
        <v>0</v>
      </c>
      <c r="J2266" s="902">
        <f>GLOBAL_DER_FEV_2023!J2266</f>
        <v>0</v>
      </c>
      <c r="K2266" s="903"/>
      <c r="L2266" s="1177"/>
      <c r="M2266" s="1138">
        <f t="shared" si="227"/>
        <v>0</v>
      </c>
      <c r="N2266" s="1176">
        <f t="shared" si="228"/>
        <v>0</v>
      </c>
      <c r="O2266" s="905"/>
      <c r="P2266" s="36" t="str">
        <f>IF(N2265&gt;0,"xx",IF(N2265&gt;0,"xy",""))</f>
        <v/>
      </c>
      <c r="Q2266" s="317" t="str">
        <f t="shared" si="224"/>
        <v/>
      </c>
      <c r="R2266" s="317" t="str">
        <f t="shared" si="225"/>
        <v/>
      </c>
      <c r="S2266" s="317" t="str">
        <f t="shared" si="226"/>
        <v/>
      </c>
      <c r="T2266" s="317" t="str">
        <f>GLOBAL_DER_FEV_2023!S2266</f>
        <v/>
      </c>
      <c r="W2266" s="582">
        <v>0</v>
      </c>
      <c r="X2266" s="580"/>
      <c r="Y2266" s="583">
        <f>IF(GLOBAL_DER_FEV_2023!W2266=0,0,IF(GLOBAL_DER_FEV_2023!W2266&gt;0,"c","b"))</f>
        <v>0</v>
      </c>
    </row>
    <row r="2267" spans="1:25" ht="15" customHeight="1" x14ac:dyDescent="0.2">
      <c r="A2267" s="317" t="s">
        <v>147</v>
      </c>
      <c r="B2267" s="895" t="s">
        <v>147</v>
      </c>
      <c r="C2267" s="896"/>
      <c r="D2267" s="906" t="s">
        <v>229</v>
      </c>
      <c r="E2267" s="907">
        <f>GLOBAL_DER_FEV_2023!E2267</f>
        <v>150</v>
      </c>
      <c r="F2267" s="908">
        <f>GLOBAL_DER_FEV_2023!F2267</f>
        <v>0.41372736000000004</v>
      </c>
      <c r="G2267" s="949">
        <f>GLOBAL_DER_FEV_2023!G2267</f>
        <v>67.512030604800003</v>
      </c>
      <c r="H2267" s="901">
        <f>GLOBAL_DER_FEV_2023!H2267</f>
        <v>0</v>
      </c>
      <c r="I2267" s="901">
        <f>GLOBAL_DER_FEV_2023!I2267</f>
        <v>0</v>
      </c>
      <c r="J2267" s="902">
        <f>GLOBAL_DER_FEV_2023!J2267</f>
        <v>0</v>
      </c>
      <c r="K2267" s="903"/>
      <c r="L2267" s="1177"/>
      <c r="M2267" s="1138">
        <f t="shared" si="227"/>
        <v>0</v>
      </c>
      <c r="N2267" s="1176">
        <f t="shared" si="228"/>
        <v>0</v>
      </c>
      <c r="O2267" s="905"/>
      <c r="P2267" s="36" t="str">
        <f>IF(N2265&gt;0,"xx",IF(N2265&gt;0,"xy",""))</f>
        <v/>
      </c>
      <c r="Q2267" s="317" t="str">
        <f t="shared" si="224"/>
        <v/>
      </c>
      <c r="R2267" s="317" t="str">
        <f t="shared" si="225"/>
        <v/>
      </c>
      <c r="S2267" s="317" t="str">
        <f t="shared" si="226"/>
        <v/>
      </c>
      <c r="T2267" s="317" t="str">
        <f>GLOBAL_DER_FEV_2023!S2267</f>
        <v/>
      </c>
      <c r="W2267" s="582">
        <v>0</v>
      </c>
      <c r="X2267" s="580"/>
      <c r="Y2267" s="583">
        <f>IF(GLOBAL_DER_FEV_2023!W2267=0,0,IF(GLOBAL_DER_FEV_2023!W2267&gt;0,"c","b"))</f>
        <v>0</v>
      </c>
    </row>
    <row r="2268" spans="1:25" ht="15" customHeight="1" x14ac:dyDescent="0.2">
      <c r="A2268" s="317" t="s">
        <v>147</v>
      </c>
      <c r="B2268" s="895" t="s">
        <v>147</v>
      </c>
      <c r="C2268" s="896"/>
      <c r="D2268" s="906" t="s">
        <v>233</v>
      </c>
      <c r="E2268" s="907">
        <f>GLOBAL_DER_FEV_2023!E2268</f>
        <v>0.2</v>
      </c>
      <c r="F2268" s="908">
        <f>GLOBAL_DER_FEV_2023!F2268</f>
        <v>0.48857760000000011</v>
      </c>
      <c r="G2268" s="949">
        <f>GLOBAL_DER_FEV_2023!G2268</f>
        <v>1.4139435744000004</v>
      </c>
      <c r="H2268" s="901">
        <f>GLOBAL_DER_FEV_2023!H2268</f>
        <v>0</v>
      </c>
      <c r="I2268" s="901">
        <f>GLOBAL_DER_FEV_2023!I2268</f>
        <v>0</v>
      </c>
      <c r="J2268" s="902">
        <f>GLOBAL_DER_FEV_2023!J2268</f>
        <v>0</v>
      </c>
      <c r="K2268" s="903"/>
      <c r="L2268" s="1177"/>
      <c r="M2268" s="1138">
        <f t="shared" si="227"/>
        <v>0</v>
      </c>
      <c r="N2268" s="1176">
        <f t="shared" si="228"/>
        <v>0</v>
      </c>
      <c r="O2268" s="905"/>
      <c r="P2268" s="36" t="str">
        <f>IF(N2265&gt;0,"xx",IF(N2265&gt;0,"xy",""))</f>
        <v/>
      </c>
      <c r="Q2268" s="317" t="str">
        <f t="shared" si="224"/>
        <v/>
      </c>
      <c r="R2268" s="317" t="str">
        <f t="shared" si="225"/>
        <v/>
      </c>
      <c r="S2268" s="317" t="str">
        <f t="shared" si="226"/>
        <v/>
      </c>
      <c r="T2268" s="317" t="str">
        <f>GLOBAL_DER_FEV_2023!S2268</f>
        <v/>
      </c>
      <c r="W2268" s="582">
        <v>0</v>
      </c>
      <c r="X2268" s="580"/>
      <c r="Y2268" s="583">
        <f>IF(GLOBAL_DER_FEV_2023!W2268=0,0,IF(GLOBAL_DER_FEV_2023!W2268&gt;0,"c","b"))</f>
        <v>0</v>
      </c>
    </row>
    <row r="2269" spans="1:25" ht="15" customHeight="1" x14ac:dyDescent="0.2">
      <c r="A2269" s="317" t="s">
        <v>33</v>
      </c>
      <c r="B2269" s="895" t="s">
        <v>33</v>
      </c>
      <c r="C2269" s="896" t="s">
        <v>184</v>
      </c>
      <c r="D2269" s="906" t="s">
        <v>381</v>
      </c>
      <c r="E2269" s="907">
        <f>GLOBAL_DER_FEV_2023!E2269</f>
        <v>0</v>
      </c>
      <c r="F2269" s="908">
        <f>GLOBAL_DER_FEV_2023!F2269</f>
        <v>0</v>
      </c>
      <c r="G2269" s="912">
        <f>GLOBAL_DER_FEV_2023!G2269</f>
        <v>156.16401135504003</v>
      </c>
      <c r="H2269" s="901">
        <f>GLOBAL_DER_FEV_2023!H2269</f>
        <v>1473.01</v>
      </c>
      <c r="I2269" s="901">
        <f>GLOBAL_DER_FEV_2023!I2269</f>
        <v>1629.17401135504</v>
      </c>
      <c r="J2269" s="902">
        <f>GLOBAL_DER_FEV_2023!J2269</f>
        <v>1956.15</v>
      </c>
      <c r="K2269" s="903" t="s">
        <v>15</v>
      </c>
      <c r="L2269" s="1137"/>
      <c r="M2269" s="1138">
        <f t="shared" si="227"/>
        <v>0</v>
      </c>
      <c r="N2269" s="1176">
        <f t="shared" si="228"/>
        <v>0</v>
      </c>
      <c r="O2269" s="905"/>
      <c r="Q2269" s="317" t="str">
        <f t="shared" si="224"/>
        <v/>
      </c>
      <c r="R2269" s="317" t="str">
        <f t="shared" si="225"/>
        <v/>
      </c>
      <c r="S2269" s="317" t="str">
        <f t="shared" si="226"/>
        <v/>
      </c>
      <c r="T2269" s="317" t="str">
        <f>GLOBAL_DER_FEV_2023!S2269</f>
        <v/>
      </c>
      <c r="W2269" s="582">
        <v>0</v>
      </c>
      <c r="X2269" s="580"/>
      <c r="Y2269" s="583">
        <f>IF(GLOBAL_DER_FEV_2023!W2269=0,0,IF(GLOBAL_DER_FEV_2023!W2269&gt;0,"c","b"))</f>
        <v>0</v>
      </c>
    </row>
    <row r="2270" spans="1:25" ht="15" customHeight="1" x14ac:dyDescent="0.2">
      <c r="A2270" s="317" t="s">
        <v>147</v>
      </c>
      <c r="B2270" s="895" t="s">
        <v>147</v>
      </c>
      <c r="C2270" s="896"/>
      <c r="D2270" s="906" t="s">
        <v>190</v>
      </c>
      <c r="E2270" s="907">
        <f>GLOBAL_DER_FEV_2023!E2270</f>
        <v>308</v>
      </c>
      <c r="F2270" s="908">
        <f>GLOBAL_DER_FEV_2023!F2270</f>
        <v>0.21117996</v>
      </c>
      <c r="G2270" s="909">
        <f>GLOBAL_DER_FEV_2023!G2270</f>
        <v>52.385300877600002</v>
      </c>
      <c r="H2270" s="901">
        <f>GLOBAL_DER_FEV_2023!H2270</f>
        <v>0</v>
      </c>
      <c r="I2270" s="901">
        <f>GLOBAL_DER_FEV_2023!I2270</f>
        <v>0</v>
      </c>
      <c r="J2270" s="902">
        <f>GLOBAL_DER_FEV_2023!J2270</f>
        <v>0</v>
      </c>
      <c r="K2270" s="903"/>
      <c r="L2270" s="1177"/>
      <c r="M2270" s="1138">
        <f t="shared" si="227"/>
        <v>0</v>
      </c>
      <c r="N2270" s="1176">
        <f t="shared" si="228"/>
        <v>0</v>
      </c>
      <c r="O2270" s="905"/>
      <c r="P2270" s="36" t="str">
        <f>IF(N2269&gt;0,"xx",IF(N2269&gt;0,"xy",""))</f>
        <v/>
      </c>
      <c r="Q2270" s="317" t="str">
        <f t="shared" si="224"/>
        <v/>
      </c>
      <c r="R2270" s="317" t="str">
        <f t="shared" si="225"/>
        <v/>
      </c>
      <c r="S2270" s="317" t="str">
        <f t="shared" si="226"/>
        <v/>
      </c>
      <c r="T2270" s="317" t="str">
        <f>GLOBAL_DER_FEV_2023!S2270</f>
        <v/>
      </c>
      <c r="W2270" s="582">
        <v>0</v>
      </c>
      <c r="X2270" s="580"/>
      <c r="Y2270" s="583">
        <f>IF(GLOBAL_DER_FEV_2023!W2270=0,0,IF(GLOBAL_DER_FEV_2023!W2270&gt;0,"c","b"))</f>
        <v>0</v>
      </c>
    </row>
    <row r="2271" spans="1:25" ht="15" customHeight="1" x14ac:dyDescent="0.2">
      <c r="A2271" s="317" t="s">
        <v>147</v>
      </c>
      <c r="B2271" s="895" t="s">
        <v>147</v>
      </c>
      <c r="C2271" s="896"/>
      <c r="D2271" s="906" t="s">
        <v>229</v>
      </c>
      <c r="E2271" s="907">
        <f>GLOBAL_DER_FEV_2023!E2271</f>
        <v>150</v>
      </c>
      <c r="F2271" s="908">
        <f>GLOBAL_DER_FEV_2023!F2271</f>
        <v>0.62284225199999999</v>
      </c>
      <c r="G2271" s="949">
        <f>GLOBAL_DER_FEV_2023!G2271</f>
        <v>101.63539868136</v>
      </c>
      <c r="H2271" s="901">
        <f>GLOBAL_DER_FEV_2023!H2271</f>
        <v>0</v>
      </c>
      <c r="I2271" s="901">
        <f>GLOBAL_DER_FEV_2023!I2271</f>
        <v>0</v>
      </c>
      <c r="J2271" s="902">
        <f>GLOBAL_DER_FEV_2023!J2271</f>
        <v>0</v>
      </c>
      <c r="K2271" s="903"/>
      <c r="L2271" s="1177"/>
      <c r="M2271" s="1138">
        <f t="shared" si="227"/>
        <v>0</v>
      </c>
      <c r="N2271" s="1176">
        <f t="shared" si="228"/>
        <v>0</v>
      </c>
      <c r="O2271" s="905"/>
      <c r="P2271" s="36" t="str">
        <f>IF(N2269&gt;0,"xx",IF(N2269&gt;0,"xy",""))</f>
        <v/>
      </c>
      <c r="Q2271" s="317" t="str">
        <f t="shared" si="224"/>
        <v/>
      </c>
      <c r="R2271" s="317" t="str">
        <f t="shared" si="225"/>
        <v/>
      </c>
      <c r="S2271" s="317" t="str">
        <f t="shared" si="226"/>
        <v/>
      </c>
      <c r="T2271" s="317" t="str">
        <f>GLOBAL_DER_FEV_2023!S2271</f>
        <v/>
      </c>
      <c r="W2271" s="582">
        <v>0</v>
      </c>
      <c r="X2271" s="580"/>
      <c r="Y2271" s="583">
        <f>IF(GLOBAL_DER_FEV_2023!W2271=0,0,IF(GLOBAL_DER_FEV_2023!W2271&gt;0,"c","b"))</f>
        <v>0</v>
      </c>
    </row>
    <row r="2272" spans="1:25" ht="15" customHeight="1" x14ac:dyDescent="0.2">
      <c r="A2272" s="317" t="s">
        <v>147</v>
      </c>
      <c r="B2272" s="895" t="s">
        <v>147</v>
      </c>
      <c r="C2272" s="896"/>
      <c r="D2272" s="906" t="s">
        <v>233</v>
      </c>
      <c r="E2272" s="907">
        <f>GLOBAL_DER_FEV_2023!E2272</f>
        <v>0.2</v>
      </c>
      <c r="F2272" s="908">
        <f>GLOBAL_DER_FEV_2023!F2272</f>
        <v>0.74060532000000001</v>
      </c>
      <c r="G2272" s="949">
        <f>GLOBAL_DER_FEV_2023!G2272</f>
        <v>2.1433117960800003</v>
      </c>
      <c r="H2272" s="901">
        <f>GLOBAL_DER_FEV_2023!H2272</f>
        <v>0</v>
      </c>
      <c r="I2272" s="901">
        <f>GLOBAL_DER_FEV_2023!I2272</f>
        <v>0</v>
      </c>
      <c r="J2272" s="902">
        <f>GLOBAL_DER_FEV_2023!J2272</f>
        <v>0</v>
      </c>
      <c r="K2272" s="903"/>
      <c r="L2272" s="1177"/>
      <c r="M2272" s="1138">
        <f t="shared" si="227"/>
        <v>0</v>
      </c>
      <c r="N2272" s="1176">
        <f t="shared" si="228"/>
        <v>0</v>
      </c>
      <c r="O2272" s="905"/>
      <c r="P2272" s="36" t="str">
        <f>IF(N2269&gt;0,"xx",IF(N2269&gt;0,"xy",""))</f>
        <v/>
      </c>
      <c r="Q2272" s="317" t="str">
        <f t="shared" si="224"/>
        <v/>
      </c>
      <c r="R2272" s="317" t="str">
        <f t="shared" si="225"/>
        <v/>
      </c>
      <c r="S2272" s="317" t="str">
        <f t="shared" si="226"/>
        <v/>
      </c>
      <c r="T2272" s="317" t="str">
        <f>GLOBAL_DER_FEV_2023!S2272</f>
        <v/>
      </c>
      <c r="W2272" s="582">
        <v>0</v>
      </c>
      <c r="X2272" s="580"/>
      <c r="Y2272" s="583">
        <f>IF(GLOBAL_DER_FEV_2023!W2272=0,0,IF(GLOBAL_DER_FEV_2023!W2272&gt;0,"c","b"))</f>
        <v>0</v>
      </c>
    </row>
    <row r="2273" spans="1:25" ht="15" customHeight="1" x14ac:dyDescent="0.2">
      <c r="A2273" s="317" t="s">
        <v>34</v>
      </c>
      <c r="B2273" s="895" t="s">
        <v>34</v>
      </c>
      <c r="C2273" s="896" t="s">
        <v>184</v>
      </c>
      <c r="D2273" s="906" t="s">
        <v>382</v>
      </c>
      <c r="E2273" s="907">
        <f>GLOBAL_DER_FEV_2023!E2273</f>
        <v>0</v>
      </c>
      <c r="F2273" s="908">
        <f>GLOBAL_DER_FEV_2023!F2273</f>
        <v>0</v>
      </c>
      <c r="G2273" s="912">
        <f>GLOBAL_DER_FEV_2023!G2273</f>
        <v>280.75668198979992</v>
      </c>
      <c r="H2273" s="901">
        <f>GLOBAL_DER_FEV_2023!H2273</f>
        <v>2538.3200000000002</v>
      </c>
      <c r="I2273" s="901">
        <f>GLOBAL_DER_FEV_2023!I2273</f>
        <v>2819.0766819897999</v>
      </c>
      <c r="J2273" s="902">
        <f>GLOBAL_DER_FEV_2023!J2273</f>
        <v>3384.87</v>
      </c>
      <c r="K2273" s="903" t="s">
        <v>15</v>
      </c>
      <c r="L2273" s="1137"/>
      <c r="M2273" s="1138">
        <f t="shared" si="227"/>
        <v>0</v>
      </c>
      <c r="N2273" s="1176">
        <f t="shared" si="228"/>
        <v>0</v>
      </c>
      <c r="O2273" s="905"/>
      <c r="Q2273" s="317" t="str">
        <f t="shared" si="224"/>
        <v/>
      </c>
      <c r="R2273" s="317" t="str">
        <f t="shared" si="225"/>
        <v/>
      </c>
      <c r="S2273" s="317" t="str">
        <f t="shared" si="226"/>
        <v/>
      </c>
      <c r="T2273" s="317" t="str">
        <f>GLOBAL_DER_FEV_2023!S2273</f>
        <v/>
      </c>
      <c r="W2273" s="582">
        <v>0</v>
      </c>
      <c r="X2273" s="580"/>
      <c r="Y2273" s="583">
        <f>IF(GLOBAL_DER_FEV_2023!W2273=0,0,IF(GLOBAL_DER_FEV_2023!W2273&gt;0,"c","b"))</f>
        <v>0</v>
      </c>
    </row>
    <row r="2274" spans="1:25" ht="15" customHeight="1" x14ac:dyDescent="0.2">
      <c r="A2274" s="317" t="s">
        <v>147</v>
      </c>
      <c r="B2274" s="895" t="s">
        <v>147</v>
      </c>
      <c r="C2274" s="896"/>
      <c r="D2274" s="906" t="s">
        <v>190</v>
      </c>
      <c r="E2274" s="907">
        <f>GLOBAL_DER_FEV_2023!E2274</f>
        <v>308</v>
      </c>
      <c r="F2274" s="908">
        <f>GLOBAL_DER_FEV_2023!F2274</f>
        <v>0.38327894999999995</v>
      </c>
      <c r="G2274" s="909">
        <f>GLOBAL_DER_FEV_2023!G2274</f>
        <v>95.076176336999993</v>
      </c>
      <c r="H2274" s="901">
        <f>GLOBAL_DER_FEV_2023!H2274</f>
        <v>0</v>
      </c>
      <c r="I2274" s="901">
        <f>GLOBAL_DER_FEV_2023!I2274</f>
        <v>0</v>
      </c>
      <c r="J2274" s="902">
        <f>GLOBAL_DER_FEV_2023!J2274</f>
        <v>0</v>
      </c>
      <c r="K2274" s="903"/>
      <c r="L2274" s="1177"/>
      <c r="M2274" s="1138">
        <f t="shared" si="227"/>
        <v>0</v>
      </c>
      <c r="N2274" s="1176">
        <f t="shared" si="228"/>
        <v>0</v>
      </c>
      <c r="O2274" s="905"/>
      <c r="P2274" s="36" t="str">
        <f>IF(N2273&gt;0,"xx",IF(N2273&gt;0,"xy",""))</f>
        <v/>
      </c>
      <c r="Q2274" s="317" t="str">
        <f t="shared" si="224"/>
        <v/>
      </c>
      <c r="R2274" s="317" t="str">
        <f t="shared" si="225"/>
        <v/>
      </c>
      <c r="S2274" s="317" t="str">
        <f t="shared" si="226"/>
        <v/>
      </c>
      <c r="T2274" s="317" t="str">
        <f>GLOBAL_DER_FEV_2023!S2274</f>
        <v/>
      </c>
      <c r="W2274" s="582">
        <v>0</v>
      </c>
      <c r="X2274" s="580"/>
      <c r="Y2274" s="583">
        <f>IF(GLOBAL_DER_FEV_2023!W2274=0,0,IF(GLOBAL_DER_FEV_2023!W2274&gt;0,"c","b"))</f>
        <v>0</v>
      </c>
    </row>
    <row r="2275" spans="1:25" ht="15" customHeight="1" x14ac:dyDescent="0.2">
      <c r="A2275" s="317" t="s">
        <v>147</v>
      </c>
      <c r="B2275" s="895" t="s">
        <v>147</v>
      </c>
      <c r="C2275" s="896"/>
      <c r="D2275" s="906" t="s">
        <v>229</v>
      </c>
      <c r="E2275" s="907">
        <f>GLOBAL_DER_FEV_2023!E2275</f>
        <v>150</v>
      </c>
      <c r="F2275" s="908">
        <f>GLOBAL_DER_FEV_2023!F2275</f>
        <v>1.1143076149999998</v>
      </c>
      <c r="G2275" s="949">
        <f>GLOBAL_DER_FEV_2023!G2275</f>
        <v>181.83271661569998</v>
      </c>
      <c r="H2275" s="901">
        <f>GLOBAL_DER_FEV_2023!H2275</f>
        <v>0</v>
      </c>
      <c r="I2275" s="901">
        <f>GLOBAL_DER_FEV_2023!I2275</f>
        <v>0</v>
      </c>
      <c r="J2275" s="902">
        <f>GLOBAL_DER_FEV_2023!J2275</f>
        <v>0</v>
      </c>
      <c r="K2275" s="903"/>
      <c r="L2275" s="1177"/>
      <c r="M2275" s="1138">
        <f t="shared" si="227"/>
        <v>0</v>
      </c>
      <c r="N2275" s="1176">
        <f t="shared" si="228"/>
        <v>0</v>
      </c>
      <c r="O2275" s="905"/>
      <c r="P2275" s="36" t="str">
        <f>IF(N2273&gt;0,"xx",IF(N2273&gt;0,"xy",""))</f>
        <v/>
      </c>
      <c r="Q2275" s="317" t="str">
        <f t="shared" ref="Q2275:Q2326" si="229">IF(P2275="X","x",IF(P2275="xx","x",IF(P2275="xy","x",IF(P2275="y","x",IF(OR(N2275&gt;0,N2275&gt;0),"x","")))))</f>
        <v/>
      </c>
      <c r="R2275" s="317" t="str">
        <f t="shared" si="225"/>
        <v/>
      </c>
      <c r="S2275" s="317" t="str">
        <f t="shared" si="226"/>
        <v/>
      </c>
      <c r="T2275" s="317" t="str">
        <f>GLOBAL_DER_FEV_2023!S2275</f>
        <v/>
      </c>
      <c r="W2275" s="582">
        <v>0</v>
      </c>
      <c r="X2275" s="580"/>
      <c r="Y2275" s="583">
        <f>IF(GLOBAL_DER_FEV_2023!W2275=0,0,IF(GLOBAL_DER_FEV_2023!W2275&gt;0,"c","b"))</f>
        <v>0</v>
      </c>
    </row>
    <row r="2276" spans="1:25" ht="15" customHeight="1" x14ac:dyDescent="0.2">
      <c r="A2276" s="317" t="s">
        <v>147</v>
      </c>
      <c r="B2276" s="895" t="s">
        <v>147</v>
      </c>
      <c r="C2276" s="896"/>
      <c r="D2276" s="906" t="s">
        <v>233</v>
      </c>
      <c r="E2276" s="907">
        <f>GLOBAL_DER_FEV_2023!E2276</f>
        <v>0.2</v>
      </c>
      <c r="F2276" s="908">
        <f>GLOBAL_DER_FEV_2023!F2276</f>
        <v>1.3295746499999999</v>
      </c>
      <c r="G2276" s="949">
        <f>GLOBAL_DER_FEV_2023!G2276</f>
        <v>3.8477890370999996</v>
      </c>
      <c r="H2276" s="901">
        <f>GLOBAL_DER_FEV_2023!H2276</f>
        <v>0</v>
      </c>
      <c r="I2276" s="901">
        <f>GLOBAL_DER_FEV_2023!I2276</f>
        <v>0</v>
      </c>
      <c r="J2276" s="902">
        <f>GLOBAL_DER_FEV_2023!J2276</f>
        <v>0</v>
      </c>
      <c r="K2276" s="903"/>
      <c r="L2276" s="1177"/>
      <c r="M2276" s="1138">
        <f t="shared" si="227"/>
        <v>0</v>
      </c>
      <c r="N2276" s="1176">
        <f t="shared" si="228"/>
        <v>0</v>
      </c>
      <c r="O2276" s="905"/>
      <c r="P2276" s="36" t="str">
        <f>IF(N2273&gt;0,"xx",IF(N2273&gt;0,"xy",""))</f>
        <v/>
      </c>
      <c r="Q2276" s="317" t="str">
        <f t="shared" si="229"/>
        <v/>
      </c>
      <c r="R2276" s="317" t="str">
        <f t="shared" si="225"/>
        <v/>
      </c>
      <c r="S2276" s="317" t="str">
        <f t="shared" si="226"/>
        <v/>
      </c>
      <c r="T2276" s="317" t="str">
        <f>GLOBAL_DER_FEV_2023!S2276</f>
        <v/>
      </c>
      <c r="W2276" s="582">
        <v>0</v>
      </c>
      <c r="X2276" s="580"/>
      <c r="Y2276" s="583">
        <f>IF(GLOBAL_DER_FEV_2023!W2276=0,0,IF(GLOBAL_DER_FEV_2023!W2276&gt;0,"c","b"))</f>
        <v>0</v>
      </c>
    </row>
    <row r="2277" spans="1:25" ht="15" customHeight="1" x14ac:dyDescent="0.2">
      <c r="A2277" s="317" t="s">
        <v>35</v>
      </c>
      <c r="B2277" s="895" t="s">
        <v>35</v>
      </c>
      <c r="C2277" s="896" t="s">
        <v>184</v>
      </c>
      <c r="D2277" s="906" t="s">
        <v>383</v>
      </c>
      <c r="E2277" s="907">
        <f>GLOBAL_DER_FEV_2023!E2277</f>
        <v>0</v>
      </c>
      <c r="F2277" s="908">
        <f>GLOBAL_DER_FEV_2023!F2277</f>
        <v>0</v>
      </c>
      <c r="G2277" s="912">
        <f>GLOBAL_DER_FEV_2023!G2277</f>
        <v>412.48191319280005</v>
      </c>
      <c r="H2277" s="901">
        <f>GLOBAL_DER_FEV_2023!H2277</f>
        <v>3699.81</v>
      </c>
      <c r="I2277" s="901">
        <f>GLOBAL_DER_FEV_2023!I2277</f>
        <v>4112.2919131928002</v>
      </c>
      <c r="J2277" s="902">
        <f>GLOBAL_DER_FEV_2023!J2277</f>
        <v>4937.63</v>
      </c>
      <c r="K2277" s="903" t="s">
        <v>15</v>
      </c>
      <c r="L2277" s="1137"/>
      <c r="M2277" s="1138">
        <f t="shared" si="227"/>
        <v>0</v>
      </c>
      <c r="N2277" s="1176">
        <f t="shared" si="228"/>
        <v>0</v>
      </c>
      <c r="O2277" s="905"/>
      <c r="Q2277" s="317" t="str">
        <f t="shared" si="229"/>
        <v/>
      </c>
      <c r="R2277" s="317" t="str">
        <f t="shared" ref="R2277:R2328" si="230">IF(P2277="X","x",IF(P2277="y","x",IF(P2277="xx","x",IF(N2277&gt;0,"x",""))))</f>
        <v/>
      </c>
      <c r="S2277" s="317" t="str">
        <f t="shared" ref="S2277:S2328" si="231">IF(P2277="X","x",IF(N2277&gt;0,"x",""))</f>
        <v/>
      </c>
      <c r="T2277" s="317" t="str">
        <f>GLOBAL_DER_FEV_2023!S2277</f>
        <v/>
      </c>
      <c r="W2277" s="582">
        <v>0</v>
      </c>
      <c r="X2277" s="580"/>
      <c r="Y2277" s="583">
        <f>IF(GLOBAL_DER_FEV_2023!W2277=0,0,IF(GLOBAL_DER_FEV_2023!W2277&gt;0,"c","b"))</f>
        <v>0</v>
      </c>
    </row>
    <row r="2278" spans="1:25" ht="15" customHeight="1" x14ac:dyDescent="0.2">
      <c r="A2278" s="317" t="s">
        <v>147</v>
      </c>
      <c r="B2278" s="895" t="s">
        <v>147</v>
      </c>
      <c r="C2278" s="896"/>
      <c r="D2278" s="906" t="s">
        <v>190</v>
      </c>
      <c r="E2278" s="907">
        <f>GLOBAL_DER_FEV_2023!E2278</f>
        <v>308</v>
      </c>
      <c r="F2278" s="908">
        <f>GLOBAL_DER_FEV_2023!F2278</f>
        <v>0.56408220000000009</v>
      </c>
      <c r="G2278" s="909">
        <f>GLOBAL_DER_FEV_2023!G2278</f>
        <v>139.92623053200003</v>
      </c>
      <c r="H2278" s="901">
        <f>GLOBAL_DER_FEV_2023!H2278</f>
        <v>0</v>
      </c>
      <c r="I2278" s="901">
        <f>GLOBAL_DER_FEV_2023!I2278</f>
        <v>0</v>
      </c>
      <c r="J2278" s="902">
        <f>GLOBAL_DER_FEV_2023!J2278</f>
        <v>0</v>
      </c>
      <c r="K2278" s="903"/>
      <c r="L2278" s="1177"/>
      <c r="M2278" s="1138">
        <f t="shared" si="227"/>
        <v>0</v>
      </c>
      <c r="N2278" s="1176">
        <f t="shared" si="228"/>
        <v>0</v>
      </c>
      <c r="O2278" s="905"/>
      <c r="P2278" s="36" t="str">
        <f>IF(N2277&gt;0,"xx",IF(N2277&gt;0,"xy",""))</f>
        <v/>
      </c>
      <c r="Q2278" s="317" t="str">
        <f t="shared" si="229"/>
        <v/>
      </c>
      <c r="R2278" s="317" t="str">
        <f t="shared" si="230"/>
        <v/>
      </c>
      <c r="S2278" s="317" t="str">
        <f t="shared" si="231"/>
        <v/>
      </c>
      <c r="T2278" s="317" t="str">
        <f>GLOBAL_DER_FEV_2023!S2278</f>
        <v/>
      </c>
      <c r="W2278" s="582">
        <v>0</v>
      </c>
      <c r="X2278" s="580"/>
      <c r="Y2278" s="583">
        <f>IF(GLOBAL_DER_FEV_2023!W2278=0,0,IF(GLOBAL_DER_FEV_2023!W2278&gt;0,"c","b"))</f>
        <v>0</v>
      </c>
    </row>
    <row r="2279" spans="1:25" ht="15" customHeight="1" x14ac:dyDescent="0.2">
      <c r="A2279" s="317" t="s">
        <v>147</v>
      </c>
      <c r="B2279" s="895" t="s">
        <v>147</v>
      </c>
      <c r="C2279" s="896"/>
      <c r="D2279" s="906" t="s">
        <v>229</v>
      </c>
      <c r="E2279" s="907">
        <f>GLOBAL_DER_FEV_2023!E2279</f>
        <v>150</v>
      </c>
      <c r="F2279" s="908">
        <f>GLOBAL_DER_FEV_2023!F2279</f>
        <v>1.6356421400000001</v>
      </c>
      <c r="G2279" s="949">
        <f>GLOBAL_DER_FEV_2023!G2279</f>
        <v>266.90408440520002</v>
      </c>
      <c r="H2279" s="901">
        <f>GLOBAL_DER_FEV_2023!H2279</f>
        <v>0</v>
      </c>
      <c r="I2279" s="901">
        <f>GLOBAL_DER_FEV_2023!I2279</f>
        <v>0</v>
      </c>
      <c r="J2279" s="902">
        <f>GLOBAL_DER_FEV_2023!J2279</f>
        <v>0</v>
      </c>
      <c r="K2279" s="903"/>
      <c r="L2279" s="1177"/>
      <c r="M2279" s="1138">
        <f t="shared" si="227"/>
        <v>0</v>
      </c>
      <c r="N2279" s="1176">
        <f t="shared" si="228"/>
        <v>0</v>
      </c>
      <c r="O2279" s="905"/>
      <c r="P2279" s="36" t="str">
        <f>IF(N2277&gt;0,"xx",IF(N2277&gt;0,"xy",""))</f>
        <v/>
      </c>
      <c r="Q2279" s="317" t="str">
        <f t="shared" si="229"/>
        <v/>
      </c>
      <c r="R2279" s="317" t="str">
        <f t="shared" si="230"/>
        <v/>
      </c>
      <c r="S2279" s="317" t="str">
        <f t="shared" si="231"/>
        <v/>
      </c>
      <c r="T2279" s="317" t="str">
        <f>GLOBAL_DER_FEV_2023!S2279</f>
        <v/>
      </c>
      <c r="W2279" s="582">
        <v>0</v>
      </c>
      <c r="X2279" s="580"/>
      <c r="Y2279" s="583">
        <f>IF(GLOBAL_DER_FEV_2023!W2279=0,0,IF(GLOBAL_DER_FEV_2023!W2279&gt;0,"c","b"))</f>
        <v>0</v>
      </c>
    </row>
    <row r="2280" spans="1:25" ht="15" customHeight="1" x14ac:dyDescent="0.2">
      <c r="A2280" s="317" t="s">
        <v>147</v>
      </c>
      <c r="B2280" s="895" t="s">
        <v>147</v>
      </c>
      <c r="C2280" s="896"/>
      <c r="D2280" s="906" t="s">
        <v>233</v>
      </c>
      <c r="E2280" s="907">
        <f>GLOBAL_DER_FEV_2023!E2280</f>
        <v>0.2</v>
      </c>
      <c r="F2280" s="908">
        <f>GLOBAL_DER_FEV_2023!F2280</f>
        <v>1.9528674000000004</v>
      </c>
      <c r="G2280" s="949">
        <f>GLOBAL_DER_FEV_2023!G2280</f>
        <v>5.6515982556000015</v>
      </c>
      <c r="H2280" s="901">
        <f>GLOBAL_DER_FEV_2023!H2280</f>
        <v>0</v>
      </c>
      <c r="I2280" s="901">
        <f>GLOBAL_DER_FEV_2023!I2280</f>
        <v>0</v>
      </c>
      <c r="J2280" s="902">
        <f>GLOBAL_DER_FEV_2023!J2280</f>
        <v>0</v>
      </c>
      <c r="K2280" s="903"/>
      <c r="L2280" s="1177"/>
      <c r="M2280" s="1138">
        <f t="shared" si="227"/>
        <v>0</v>
      </c>
      <c r="N2280" s="1176">
        <f t="shared" si="228"/>
        <v>0</v>
      </c>
      <c r="O2280" s="905"/>
      <c r="P2280" s="36" t="str">
        <f>IF(N2277&gt;0,"xx",IF(N2277&gt;0,"xy",""))</f>
        <v/>
      </c>
      <c r="Q2280" s="317" t="str">
        <f t="shared" si="229"/>
        <v/>
      </c>
      <c r="R2280" s="317" t="str">
        <f t="shared" si="230"/>
        <v/>
      </c>
      <c r="S2280" s="317" t="str">
        <f t="shared" si="231"/>
        <v/>
      </c>
      <c r="T2280" s="317" t="str">
        <f>GLOBAL_DER_FEV_2023!S2280</f>
        <v/>
      </c>
      <c r="W2280" s="582">
        <v>0</v>
      </c>
      <c r="X2280" s="580"/>
      <c r="Y2280" s="583">
        <f>IF(GLOBAL_DER_FEV_2023!W2280=0,0,IF(GLOBAL_DER_FEV_2023!W2280&gt;0,"c","b"))</f>
        <v>0</v>
      </c>
    </row>
    <row r="2281" spans="1:25" ht="15" customHeight="1" x14ac:dyDescent="0.2">
      <c r="A2281" s="317" t="s">
        <v>36</v>
      </c>
      <c r="B2281" s="895" t="s">
        <v>36</v>
      </c>
      <c r="C2281" s="896" t="s">
        <v>184</v>
      </c>
      <c r="D2281" s="906" t="s">
        <v>384</v>
      </c>
      <c r="E2281" s="907">
        <f>GLOBAL_DER_FEV_2023!E2281</f>
        <v>0</v>
      </c>
      <c r="F2281" s="908">
        <f>GLOBAL_DER_FEV_2023!F2281</f>
        <v>0</v>
      </c>
      <c r="G2281" s="912">
        <f>GLOBAL_DER_FEV_2023!G2281</f>
        <v>570.60064910079996</v>
      </c>
      <c r="H2281" s="901">
        <f>GLOBAL_DER_FEV_2023!H2281</f>
        <v>5102.8900000000003</v>
      </c>
      <c r="I2281" s="901">
        <f>GLOBAL_DER_FEV_2023!I2281</f>
        <v>5673.4906491008005</v>
      </c>
      <c r="J2281" s="902">
        <f>GLOBAL_DER_FEV_2023!J2281</f>
        <v>6812.16</v>
      </c>
      <c r="K2281" s="903" t="s">
        <v>15</v>
      </c>
      <c r="L2281" s="1137"/>
      <c r="M2281" s="1138">
        <f t="shared" si="227"/>
        <v>0</v>
      </c>
      <c r="N2281" s="1176">
        <f t="shared" si="228"/>
        <v>0</v>
      </c>
      <c r="O2281" s="905"/>
      <c r="Q2281" s="317" t="str">
        <f t="shared" si="229"/>
        <v/>
      </c>
      <c r="R2281" s="317" t="str">
        <f t="shared" si="230"/>
        <v/>
      </c>
      <c r="S2281" s="317" t="str">
        <f t="shared" si="231"/>
        <v/>
      </c>
      <c r="T2281" s="317" t="str">
        <f>GLOBAL_DER_FEV_2023!S2281</f>
        <v/>
      </c>
      <c r="W2281" s="582">
        <v>0</v>
      </c>
      <c r="X2281" s="580"/>
      <c r="Y2281" s="583">
        <f>IF(GLOBAL_DER_FEV_2023!W2281=0,0,IF(GLOBAL_DER_FEV_2023!W2281&gt;0,"c","b"))</f>
        <v>0</v>
      </c>
    </row>
    <row r="2282" spans="1:25" ht="15" customHeight="1" x14ac:dyDescent="0.2">
      <c r="A2282" s="317" t="s">
        <v>147</v>
      </c>
      <c r="B2282" s="895" t="s">
        <v>147</v>
      </c>
      <c r="C2282" s="896"/>
      <c r="D2282" s="906" t="s">
        <v>190</v>
      </c>
      <c r="E2282" s="907">
        <f>GLOBAL_DER_FEV_2023!E2282</f>
        <v>308</v>
      </c>
      <c r="F2282" s="908">
        <f>GLOBAL_DER_FEV_2023!F2282</f>
        <v>0.77929919999999997</v>
      </c>
      <c r="G2282" s="909">
        <f>GLOBAL_DER_FEV_2023!G2282</f>
        <v>193.312959552</v>
      </c>
      <c r="H2282" s="901">
        <f>GLOBAL_DER_FEV_2023!H2282</f>
        <v>0</v>
      </c>
      <c r="I2282" s="901">
        <f>GLOBAL_DER_FEV_2023!I2282</f>
        <v>0</v>
      </c>
      <c r="J2282" s="902">
        <f>GLOBAL_DER_FEV_2023!J2282</f>
        <v>0</v>
      </c>
      <c r="K2282" s="903"/>
      <c r="L2282" s="1177"/>
      <c r="M2282" s="1138">
        <f t="shared" si="227"/>
        <v>0</v>
      </c>
      <c r="N2282" s="1176">
        <f t="shared" si="228"/>
        <v>0</v>
      </c>
      <c r="O2282" s="905"/>
      <c r="P2282" s="36" t="str">
        <f>IF(N2281&gt;0,"xx",IF(N2281&gt;0,"xy",""))</f>
        <v/>
      </c>
      <c r="Q2282" s="317" t="str">
        <f t="shared" si="229"/>
        <v/>
      </c>
      <c r="R2282" s="317" t="str">
        <f t="shared" si="230"/>
        <v/>
      </c>
      <c r="S2282" s="317" t="str">
        <f t="shared" si="231"/>
        <v/>
      </c>
      <c r="T2282" s="317" t="str">
        <f>GLOBAL_DER_FEV_2023!S2282</f>
        <v/>
      </c>
      <c r="W2282" s="582">
        <v>0</v>
      </c>
      <c r="X2282" s="580"/>
      <c r="Y2282" s="583">
        <f>IF(GLOBAL_DER_FEV_2023!W2282=0,0,IF(GLOBAL_DER_FEV_2023!W2282&gt;0,"c","b"))</f>
        <v>0</v>
      </c>
    </row>
    <row r="2283" spans="1:25" ht="15" customHeight="1" x14ac:dyDescent="0.2">
      <c r="A2283" s="317" t="s">
        <v>147</v>
      </c>
      <c r="B2283" s="895" t="s">
        <v>147</v>
      </c>
      <c r="C2283" s="896"/>
      <c r="D2283" s="906" t="s">
        <v>229</v>
      </c>
      <c r="E2283" s="907">
        <f>GLOBAL_DER_FEV_2023!E2283</f>
        <v>150</v>
      </c>
      <c r="F2283" s="908">
        <f>GLOBAL_DER_FEV_2023!F2283</f>
        <v>2.26417504</v>
      </c>
      <c r="G2283" s="949">
        <f>GLOBAL_DER_FEV_2023!G2283</f>
        <v>369.46808302720001</v>
      </c>
      <c r="H2283" s="901">
        <f>GLOBAL_DER_FEV_2023!H2283</f>
        <v>0</v>
      </c>
      <c r="I2283" s="901">
        <f>GLOBAL_DER_FEV_2023!I2283</f>
        <v>0</v>
      </c>
      <c r="J2283" s="902">
        <f>GLOBAL_DER_FEV_2023!J2283</f>
        <v>0</v>
      </c>
      <c r="K2283" s="903"/>
      <c r="L2283" s="1177"/>
      <c r="M2283" s="1138">
        <f t="shared" si="227"/>
        <v>0</v>
      </c>
      <c r="N2283" s="1176">
        <f t="shared" si="228"/>
        <v>0</v>
      </c>
      <c r="O2283" s="905"/>
      <c r="P2283" s="36" t="str">
        <f>IF(N2281&gt;0,"xx",IF(N2281&gt;0,"xy",""))</f>
        <v/>
      </c>
      <c r="Q2283" s="317" t="str">
        <f t="shared" si="229"/>
        <v/>
      </c>
      <c r="R2283" s="317" t="str">
        <f t="shared" si="230"/>
        <v/>
      </c>
      <c r="S2283" s="317" t="str">
        <f t="shared" si="231"/>
        <v/>
      </c>
      <c r="T2283" s="317" t="str">
        <f>GLOBAL_DER_FEV_2023!S2283</f>
        <v/>
      </c>
      <c r="W2283" s="582">
        <v>0</v>
      </c>
      <c r="X2283" s="580"/>
      <c r="Y2283" s="583">
        <f>IF(GLOBAL_DER_FEV_2023!W2283=0,0,IF(GLOBAL_DER_FEV_2023!W2283&gt;0,"c","b"))</f>
        <v>0</v>
      </c>
    </row>
    <row r="2284" spans="1:25" ht="15" customHeight="1" x14ac:dyDescent="0.2">
      <c r="A2284" s="317" t="s">
        <v>147</v>
      </c>
      <c r="B2284" s="895" t="s">
        <v>147</v>
      </c>
      <c r="C2284" s="896"/>
      <c r="D2284" s="906" t="s">
        <v>233</v>
      </c>
      <c r="E2284" s="907">
        <f>GLOBAL_DER_FEV_2023!E2284</f>
        <v>0.2</v>
      </c>
      <c r="F2284" s="908">
        <f>GLOBAL_DER_FEV_2023!F2284</f>
        <v>2.7020064000000001</v>
      </c>
      <c r="G2284" s="949">
        <f>GLOBAL_DER_FEV_2023!G2284</f>
        <v>7.8196065216000008</v>
      </c>
      <c r="H2284" s="901">
        <f>GLOBAL_DER_FEV_2023!H2284</f>
        <v>0</v>
      </c>
      <c r="I2284" s="901">
        <f>GLOBAL_DER_FEV_2023!I2284</f>
        <v>0</v>
      </c>
      <c r="J2284" s="902">
        <f>GLOBAL_DER_FEV_2023!J2284</f>
        <v>0</v>
      </c>
      <c r="K2284" s="903"/>
      <c r="L2284" s="1177"/>
      <c r="M2284" s="1138">
        <f t="shared" si="227"/>
        <v>0</v>
      </c>
      <c r="N2284" s="1176">
        <f t="shared" si="228"/>
        <v>0</v>
      </c>
      <c r="O2284" s="905"/>
      <c r="P2284" s="36" t="str">
        <f>IF(N2281&gt;0,"xx",IF(N2281&gt;0,"xy",""))</f>
        <v/>
      </c>
      <c r="Q2284" s="317" t="str">
        <f t="shared" si="229"/>
        <v/>
      </c>
      <c r="R2284" s="317" t="str">
        <f t="shared" si="230"/>
        <v/>
      </c>
      <c r="S2284" s="317" t="str">
        <f t="shared" si="231"/>
        <v/>
      </c>
      <c r="T2284" s="317" t="str">
        <f>GLOBAL_DER_FEV_2023!S2284</f>
        <v/>
      </c>
      <c r="W2284" s="582">
        <v>0</v>
      </c>
      <c r="X2284" s="580"/>
      <c r="Y2284" s="583">
        <f>IF(GLOBAL_DER_FEV_2023!W2284=0,0,IF(GLOBAL_DER_FEV_2023!W2284&gt;0,"c","b"))</f>
        <v>0</v>
      </c>
    </row>
    <row r="2285" spans="1:25" ht="15" customHeight="1" x14ac:dyDescent="0.2">
      <c r="A2285" s="317" t="s">
        <v>37</v>
      </c>
      <c r="B2285" s="895" t="s">
        <v>37</v>
      </c>
      <c r="C2285" s="896" t="s">
        <v>184</v>
      </c>
      <c r="D2285" s="906" t="s">
        <v>385</v>
      </c>
      <c r="E2285" s="907">
        <f>GLOBAL_DER_FEV_2023!E2285</f>
        <v>0</v>
      </c>
      <c r="F2285" s="908">
        <f>GLOBAL_DER_FEV_2023!F2285</f>
        <v>0</v>
      </c>
      <c r="G2285" s="912">
        <f>GLOBAL_DER_FEV_2023!G2285</f>
        <v>884.91038384579997</v>
      </c>
      <c r="H2285" s="901">
        <f>GLOBAL_DER_FEV_2023!H2285</f>
        <v>7709.16</v>
      </c>
      <c r="I2285" s="901">
        <f>GLOBAL_DER_FEV_2023!I2285</f>
        <v>8594.0703838457994</v>
      </c>
      <c r="J2285" s="902">
        <f>GLOBAL_DER_FEV_2023!J2285</f>
        <v>10318.9</v>
      </c>
      <c r="K2285" s="903" t="s">
        <v>15</v>
      </c>
      <c r="L2285" s="1137"/>
      <c r="M2285" s="1138">
        <f t="shared" si="227"/>
        <v>0</v>
      </c>
      <c r="N2285" s="1176">
        <f t="shared" si="228"/>
        <v>0</v>
      </c>
      <c r="O2285" s="905"/>
      <c r="Q2285" s="317" t="str">
        <f t="shared" si="229"/>
        <v/>
      </c>
      <c r="R2285" s="317" t="str">
        <f t="shared" si="230"/>
        <v/>
      </c>
      <c r="S2285" s="317" t="str">
        <f t="shared" si="231"/>
        <v/>
      </c>
      <c r="T2285" s="317" t="str">
        <f>GLOBAL_DER_FEV_2023!S2285</f>
        <v/>
      </c>
      <c r="W2285" s="582">
        <v>0</v>
      </c>
      <c r="X2285" s="580"/>
      <c r="Y2285" s="583">
        <f>IF(GLOBAL_DER_FEV_2023!W2285=0,0,IF(GLOBAL_DER_FEV_2023!W2285&gt;0,"c","b"))</f>
        <v>0</v>
      </c>
    </row>
    <row r="2286" spans="1:25" ht="15" customHeight="1" x14ac:dyDescent="0.2">
      <c r="A2286" s="317" t="s">
        <v>147</v>
      </c>
      <c r="B2286" s="895" t="s">
        <v>147</v>
      </c>
      <c r="C2286" s="896"/>
      <c r="D2286" s="906" t="s">
        <v>190</v>
      </c>
      <c r="E2286" s="907">
        <f>GLOBAL_DER_FEV_2023!E2286</f>
        <v>308</v>
      </c>
      <c r="F2286" s="908">
        <f>GLOBAL_DER_FEV_2023!F2286</f>
        <v>1.2096229499999998</v>
      </c>
      <c r="G2286" s="909">
        <f>GLOBAL_DER_FEV_2023!G2286</f>
        <v>300.05906897699992</v>
      </c>
      <c r="H2286" s="901">
        <f>GLOBAL_DER_FEV_2023!H2286</f>
        <v>0</v>
      </c>
      <c r="I2286" s="901">
        <f>GLOBAL_DER_FEV_2023!I2286</f>
        <v>0</v>
      </c>
      <c r="J2286" s="902">
        <f>GLOBAL_DER_FEV_2023!J2286</f>
        <v>0</v>
      </c>
      <c r="K2286" s="903"/>
      <c r="L2286" s="1177"/>
      <c r="M2286" s="1138">
        <f t="shared" si="227"/>
        <v>0</v>
      </c>
      <c r="N2286" s="1176">
        <f t="shared" si="228"/>
        <v>0</v>
      </c>
      <c r="O2286" s="905"/>
      <c r="P2286" s="36" t="str">
        <f>IF(N2285&gt;0,"xx",IF(N2285&gt;0,"xy",""))</f>
        <v/>
      </c>
      <c r="Q2286" s="317" t="str">
        <f t="shared" si="229"/>
        <v/>
      </c>
      <c r="R2286" s="317" t="str">
        <f t="shared" si="230"/>
        <v/>
      </c>
      <c r="S2286" s="317" t="str">
        <f t="shared" si="231"/>
        <v/>
      </c>
      <c r="T2286" s="317" t="str">
        <f>GLOBAL_DER_FEV_2023!S2286</f>
        <v/>
      </c>
      <c r="W2286" s="582">
        <v>0</v>
      </c>
      <c r="X2286" s="580"/>
      <c r="Y2286" s="583">
        <f>IF(GLOBAL_DER_FEV_2023!W2286=0,0,IF(GLOBAL_DER_FEV_2023!W2286&gt;0,"c","b"))</f>
        <v>0</v>
      </c>
    </row>
    <row r="2287" spans="1:25" ht="15" customHeight="1" x14ac:dyDescent="0.2">
      <c r="A2287" s="317" t="s">
        <v>147</v>
      </c>
      <c r="B2287" s="895" t="s">
        <v>147</v>
      </c>
      <c r="C2287" s="896"/>
      <c r="D2287" s="906" t="s">
        <v>229</v>
      </c>
      <c r="E2287" s="907">
        <f>GLOBAL_DER_FEV_2023!E2287</f>
        <v>150</v>
      </c>
      <c r="F2287" s="908">
        <f>GLOBAL_DER_FEV_2023!F2287</f>
        <v>3.5097804149999998</v>
      </c>
      <c r="G2287" s="949">
        <f>GLOBAL_DER_FEV_2023!G2287</f>
        <v>572.72596811970004</v>
      </c>
      <c r="H2287" s="901">
        <f>GLOBAL_DER_FEV_2023!H2287</f>
        <v>0</v>
      </c>
      <c r="I2287" s="901">
        <f>GLOBAL_DER_FEV_2023!I2287</f>
        <v>0</v>
      </c>
      <c r="J2287" s="902">
        <f>GLOBAL_DER_FEV_2023!J2287</f>
        <v>0</v>
      </c>
      <c r="K2287" s="903"/>
      <c r="L2287" s="1177"/>
      <c r="M2287" s="1138">
        <f t="shared" si="227"/>
        <v>0</v>
      </c>
      <c r="N2287" s="1176">
        <f t="shared" si="228"/>
        <v>0</v>
      </c>
      <c r="O2287" s="905"/>
      <c r="P2287" s="36" t="str">
        <f>IF(N2285&gt;0,"xx",IF(N2285&gt;0,"xy",""))</f>
        <v/>
      </c>
      <c r="Q2287" s="317" t="str">
        <f t="shared" si="229"/>
        <v/>
      </c>
      <c r="R2287" s="317" t="str">
        <f t="shared" si="230"/>
        <v/>
      </c>
      <c r="S2287" s="317" t="str">
        <f t="shared" si="231"/>
        <v/>
      </c>
      <c r="T2287" s="317" t="str">
        <f>GLOBAL_DER_FEV_2023!S2287</f>
        <v/>
      </c>
      <c r="W2287" s="582">
        <v>0</v>
      </c>
      <c r="X2287" s="580"/>
      <c r="Y2287" s="583">
        <f>IF(GLOBAL_DER_FEV_2023!W2287=0,0,IF(GLOBAL_DER_FEV_2023!W2287&gt;0,"c","b"))</f>
        <v>0</v>
      </c>
    </row>
    <row r="2288" spans="1:25" ht="15" customHeight="1" x14ac:dyDescent="0.2">
      <c r="A2288" s="317" t="s">
        <v>147</v>
      </c>
      <c r="B2288" s="895" t="s">
        <v>147</v>
      </c>
      <c r="C2288" s="896"/>
      <c r="D2288" s="906" t="s">
        <v>233</v>
      </c>
      <c r="E2288" s="907">
        <f>GLOBAL_DER_FEV_2023!E2288</f>
        <v>0.2</v>
      </c>
      <c r="F2288" s="908">
        <f>GLOBAL_DER_FEV_2023!F2288</f>
        <v>4.18982265</v>
      </c>
      <c r="G2288" s="949">
        <f>GLOBAL_DER_FEV_2023!G2288</f>
        <v>12.1253467491</v>
      </c>
      <c r="H2288" s="901">
        <f>GLOBAL_DER_FEV_2023!H2288</f>
        <v>0</v>
      </c>
      <c r="I2288" s="901">
        <f>GLOBAL_DER_FEV_2023!I2288</f>
        <v>0</v>
      </c>
      <c r="J2288" s="902">
        <f>GLOBAL_DER_FEV_2023!J2288</f>
        <v>0</v>
      </c>
      <c r="K2288" s="903"/>
      <c r="L2288" s="1177"/>
      <c r="M2288" s="1138">
        <f t="shared" si="227"/>
        <v>0</v>
      </c>
      <c r="N2288" s="1176">
        <f t="shared" si="228"/>
        <v>0</v>
      </c>
      <c r="O2288" s="905"/>
      <c r="P2288" s="36" t="str">
        <f>IF(N2285&gt;0,"xx",IF(N2285&gt;0,"xy",""))</f>
        <v/>
      </c>
      <c r="Q2288" s="317" t="str">
        <f t="shared" si="229"/>
        <v/>
      </c>
      <c r="R2288" s="317" t="str">
        <f t="shared" si="230"/>
        <v/>
      </c>
      <c r="S2288" s="317" t="str">
        <f t="shared" si="231"/>
        <v/>
      </c>
      <c r="T2288" s="317" t="str">
        <f>GLOBAL_DER_FEV_2023!S2288</f>
        <v/>
      </c>
      <c r="W2288" s="582">
        <v>0</v>
      </c>
      <c r="X2288" s="580"/>
      <c r="Y2288" s="583">
        <f>IF(GLOBAL_DER_FEV_2023!W2288=0,0,IF(GLOBAL_DER_FEV_2023!W2288&gt;0,"c","b"))</f>
        <v>0</v>
      </c>
    </row>
    <row r="2289" spans="1:25" ht="15" customHeight="1" x14ac:dyDescent="0.2">
      <c r="A2289" s="317" t="s">
        <v>38</v>
      </c>
      <c r="B2289" s="895" t="s">
        <v>38</v>
      </c>
      <c r="C2289" s="896" t="s">
        <v>184</v>
      </c>
      <c r="D2289" s="906" t="s">
        <v>386</v>
      </c>
      <c r="E2289" s="907">
        <f>GLOBAL_DER_FEV_2023!E2289</f>
        <v>0</v>
      </c>
      <c r="F2289" s="908">
        <f>GLOBAL_DER_FEV_2023!F2289</f>
        <v>0</v>
      </c>
      <c r="G2289" s="912">
        <f>GLOBAL_DER_FEV_2023!G2289</f>
        <v>1394.6534975898001</v>
      </c>
      <c r="H2289" s="901">
        <f>GLOBAL_DER_FEV_2023!H2289</f>
        <v>12178.23</v>
      </c>
      <c r="I2289" s="901">
        <f>GLOBAL_DER_FEV_2023!I2289</f>
        <v>13572.883497589799</v>
      </c>
      <c r="J2289" s="902">
        <f>GLOBAL_DER_FEV_2023!J2289</f>
        <v>16296.96</v>
      </c>
      <c r="K2289" s="903" t="s">
        <v>15</v>
      </c>
      <c r="L2289" s="1137"/>
      <c r="M2289" s="1138">
        <f t="shared" si="227"/>
        <v>0</v>
      </c>
      <c r="N2289" s="1176">
        <f t="shared" si="228"/>
        <v>0</v>
      </c>
      <c r="O2289" s="905"/>
      <c r="Q2289" s="317" t="str">
        <f t="shared" si="229"/>
        <v/>
      </c>
      <c r="R2289" s="317" t="str">
        <f t="shared" si="230"/>
        <v/>
      </c>
      <c r="S2289" s="317" t="str">
        <f t="shared" si="231"/>
        <v/>
      </c>
      <c r="T2289" s="317" t="str">
        <f>GLOBAL_DER_FEV_2023!S2289</f>
        <v/>
      </c>
      <c r="W2289" s="582">
        <v>0</v>
      </c>
      <c r="X2289" s="580"/>
      <c r="Y2289" s="583">
        <f>IF(GLOBAL_DER_FEV_2023!W2289=0,0,IF(GLOBAL_DER_FEV_2023!W2289&gt;0,"c","b"))</f>
        <v>0</v>
      </c>
    </row>
    <row r="2290" spans="1:25" ht="15" customHeight="1" x14ac:dyDescent="0.2">
      <c r="A2290" s="317" t="s">
        <v>147</v>
      </c>
      <c r="B2290" s="895" t="s">
        <v>147</v>
      </c>
      <c r="C2290" s="896"/>
      <c r="D2290" s="906" t="s">
        <v>190</v>
      </c>
      <c r="E2290" s="907">
        <f>GLOBAL_DER_FEV_2023!E2290</f>
        <v>308</v>
      </c>
      <c r="F2290" s="908">
        <f>GLOBAL_DER_FEV_2023!F2290</f>
        <v>1.9087789500000001</v>
      </c>
      <c r="G2290" s="909">
        <f>GLOBAL_DER_FEV_2023!G2290</f>
        <v>473.49170633700004</v>
      </c>
      <c r="H2290" s="901">
        <f>GLOBAL_DER_FEV_2023!H2290</f>
        <v>0</v>
      </c>
      <c r="I2290" s="901">
        <f>GLOBAL_DER_FEV_2023!I2290</f>
        <v>0</v>
      </c>
      <c r="J2290" s="902">
        <f>GLOBAL_DER_FEV_2023!J2290</f>
        <v>0</v>
      </c>
      <c r="K2290" s="903"/>
      <c r="L2290" s="1177"/>
      <c r="M2290" s="1138">
        <f t="shared" si="227"/>
        <v>0</v>
      </c>
      <c r="N2290" s="1176">
        <f t="shared" si="228"/>
        <v>0</v>
      </c>
      <c r="O2290" s="905"/>
      <c r="P2290" s="36" t="str">
        <f>IF(N2289&gt;0,"xx",IF(N2289&gt;0,"xy",""))</f>
        <v/>
      </c>
      <c r="Q2290" s="317" t="str">
        <f t="shared" si="229"/>
        <v/>
      </c>
      <c r="R2290" s="317" t="str">
        <f t="shared" si="230"/>
        <v/>
      </c>
      <c r="S2290" s="317" t="str">
        <f t="shared" si="231"/>
        <v/>
      </c>
      <c r="T2290" s="317" t="str">
        <f>GLOBAL_DER_FEV_2023!S2290</f>
        <v/>
      </c>
      <c r="W2290" s="582">
        <v>0</v>
      </c>
      <c r="X2290" s="580"/>
      <c r="Y2290" s="583">
        <f>IF(GLOBAL_DER_FEV_2023!W2290=0,0,IF(GLOBAL_DER_FEV_2023!W2290&gt;0,"c","b"))</f>
        <v>0</v>
      </c>
    </row>
    <row r="2291" spans="1:25" ht="15" customHeight="1" x14ac:dyDescent="0.2">
      <c r="A2291" s="317" t="s">
        <v>147</v>
      </c>
      <c r="B2291" s="895" t="s">
        <v>147</v>
      </c>
      <c r="C2291" s="896"/>
      <c r="D2291" s="906" t="s">
        <v>229</v>
      </c>
      <c r="E2291" s="907">
        <f>GLOBAL_DER_FEV_2023!E2291</f>
        <v>150</v>
      </c>
      <c r="F2291" s="908">
        <f>GLOBAL_DER_FEV_2023!F2291</f>
        <v>5.5279776150000002</v>
      </c>
      <c r="G2291" s="949">
        <f>GLOBAL_DER_FEV_2023!G2291</f>
        <v>902.05538721570008</v>
      </c>
      <c r="H2291" s="901">
        <f>GLOBAL_DER_FEV_2023!H2291</f>
        <v>0</v>
      </c>
      <c r="I2291" s="901">
        <f>GLOBAL_DER_FEV_2023!I2291</f>
        <v>0</v>
      </c>
      <c r="J2291" s="902">
        <f>GLOBAL_DER_FEV_2023!J2291</f>
        <v>0</v>
      </c>
      <c r="K2291" s="903"/>
      <c r="L2291" s="1177"/>
      <c r="M2291" s="1138">
        <f t="shared" si="227"/>
        <v>0</v>
      </c>
      <c r="N2291" s="1176">
        <f t="shared" si="228"/>
        <v>0</v>
      </c>
      <c r="O2291" s="905"/>
      <c r="P2291" s="36" t="str">
        <f>IF(N2289&gt;0,"xx",IF(N2289&gt;0,"xy",""))</f>
        <v/>
      </c>
      <c r="Q2291" s="317" t="str">
        <f t="shared" si="229"/>
        <v/>
      </c>
      <c r="R2291" s="317" t="str">
        <f t="shared" si="230"/>
        <v/>
      </c>
      <c r="S2291" s="317" t="str">
        <f t="shared" si="231"/>
        <v/>
      </c>
      <c r="T2291" s="317" t="str">
        <f>GLOBAL_DER_FEV_2023!S2291</f>
        <v/>
      </c>
      <c r="W2291" s="582">
        <v>0</v>
      </c>
      <c r="X2291" s="580"/>
      <c r="Y2291" s="583">
        <f>IF(GLOBAL_DER_FEV_2023!W2291=0,0,IF(GLOBAL_DER_FEV_2023!W2291&gt;0,"c","b"))</f>
        <v>0</v>
      </c>
    </row>
    <row r="2292" spans="1:25" ht="15" customHeight="1" x14ac:dyDescent="0.2">
      <c r="A2292" s="317" t="s">
        <v>147</v>
      </c>
      <c r="B2292" s="895" t="s">
        <v>147</v>
      </c>
      <c r="C2292" s="896"/>
      <c r="D2292" s="906" t="s">
        <v>233</v>
      </c>
      <c r="E2292" s="907">
        <f>GLOBAL_DER_FEV_2023!E2292</f>
        <v>0.2</v>
      </c>
      <c r="F2292" s="908">
        <f>GLOBAL_DER_FEV_2023!F2292</f>
        <v>6.6020746500000005</v>
      </c>
      <c r="G2292" s="949">
        <f>GLOBAL_DER_FEV_2023!G2292</f>
        <v>19.106404037100003</v>
      </c>
      <c r="H2292" s="901">
        <f>GLOBAL_DER_FEV_2023!H2292</f>
        <v>0</v>
      </c>
      <c r="I2292" s="901">
        <f>GLOBAL_DER_FEV_2023!I2292</f>
        <v>0</v>
      </c>
      <c r="J2292" s="902">
        <f>GLOBAL_DER_FEV_2023!J2292</f>
        <v>0</v>
      </c>
      <c r="K2292" s="903"/>
      <c r="L2292" s="1177"/>
      <c r="M2292" s="1138">
        <f t="shared" si="227"/>
        <v>0</v>
      </c>
      <c r="N2292" s="1176">
        <f t="shared" si="228"/>
        <v>0</v>
      </c>
      <c r="O2292" s="905"/>
      <c r="P2292" s="36" t="str">
        <f>IF(N2289&gt;0,"xx",IF(N2289&gt;0,"xy",""))</f>
        <v/>
      </c>
      <c r="Q2292" s="317" t="str">
        <f t="shared" si="229"/>
        <v/>
      </c>
      <c r="R2292" s="317" t="str">
        <f t="shared" si="230"/>
        <v/>
      </c>
      <c r="S2292" s="317" t="str">
        <f t="shared" si="231"/>
        <v/>
      </c>
      <c r="T2292" s="317" t="str">
        <f>GLOBAL_DER_FEV_2023!S2292</f>
        <v/>
      </c>
      <c r="W2292" s="582">
        <v>0</v>
      </c>
      <c r="X2292" s="580"/>
      <c r="Y2292" s="583">
        <f>IF(GLOBAL_DER_FEV_2023!W2292=0,0,IF(GLOBAL_DER_FEV_2023!W2292&gt;0,"c","b"))</f>
        <v>0</v>
      </c>
    </row>
    <row r="2293" spans="1:25" ht="15" customHeight="1" x14ac:dyDescent="0.2">
      <c r="A2293" s="317" t="s">
        <v>115</v>
      </c>
      <c r="B2293" s="895" t="s">
        <v>115</v>
      </c>
      <c r="C2293" s="896" t="s">
        <v>184</v>
      </c>
      <c r="D2293" s="906" t="s">
        <v>127</v>
      </c>
      <c r="E2293" s="907">
        <f>GLOBAL_DER_FEV_2023!E2293</f>
        <v>0</v>
      </c>
      <c r="F2293" s="908">
        <f>GLOBAL_DER_FEV_2023!F2293</f>
        <v>0</v>
      </c>
      <c r="G2293" s="912">
        <f>GLOBAL_DER_FEV_2023!G2293</f>
        <v>297.06389396200001</v>
      </c>
      <c r="H2293" s="901">
        <f>GLOBAL_DER_FEV_2023!H2293</f>
        <v>2203.7800000000002</v>
      </c>
      <c r="I2293" s="901">
        <f>GLOBAL_DER_FEV_2023!I2293</f>
        <v>2500.843893962</v>
      </c>
      <c r="J2293" s="902">
        <f>GLOBAL_DER_FEV_2023!J2293</f>
        <v>3002.76</v>
      </c>
      <c r="K2293" s="903" t="s">
        <v>15</v>
      </c>
      <c r="L2293" s="1137"/>
      <c r="M2293" s="1138">
        <f t="shared" si="227"/>
        <v>0</v>
      </c>
      <c r="N2293" s="1176">
        <f t="shared" si="228"/>
        <v>0</v>
      </c>
      <c r="O2293" s="905"/>
      <c r="Q2293" s="317" t="str">
        <f t="shared" si="229"/>
        <v/>
      </c>
      <c r="R2293" s="317" t="str">
        <f t="shared" si="230"/>
        <v/>
      </c>
      <c r="S2293" s="317" t="str">
        <f t="shared" si="231"/>
        <v/>
      </c>
      <c r="T2293" s="317" t="str">
        <f>GLOBAL_DER_FEV_2023!S2293</f>
        <v/>
      </c>
      <c r="W2293" s="582">
        <v>0</v>
      </c>
      <c r="X2293" s="580"/>
      <c r="Y2293" s="583">
        <f>IF(GLOBAL_DER_FEV_2023!W2293=0,0,IF(GLOBAL_DER_FEV_2023!W2293&gt;0,"c","b"))</f>
        <v>0</v>
      </c>
    </row>
    <row r="2294" spans="1:25" ht="15" customHeight="1" x14ac:dyDescent="0.2">
      <c r="A2294" s="317" t="s">
        <v>147</v>
      </c>
      <c r="B2294" s="895" t="s">
        <v>147</v>
      </c>
      <c r="C2294" s="896"/>
      <c r="D2294" s="906" t="s">
        <v>190</v>
      </c>
      <c r="E2294" s="907">
        <f>GLOBAL_DER_FEV_2023!E2294</f>
        <v>308</v>
      </c>
      <c r="F2294" s="908">
        <f>GLOBAL_DER_FEV_2023!F2294</f>
        <v>0.35276220000000008</v>
      </c>
      <c r="G2294" s="909">
        <f>GLOBAL_DER_FEV_2023!G2294</f>
        <v>87.506191332000014</v>
      </c>
      <c r="H2294" s="901">
        <f>GLOBAL_DER_FEV_2023!H2294</f>
        <v>0</v>
      </c>
      <c r="I2294" s="901">
        <f>GLOBAL_DER_FEV_2023!I2294</f>
        <v>0</v>
      </c>
      <c r="J2294" s="902">
        <f>GLOBAL_DER_FEV_2023!J2294</f>
        <v>0</v>
      </c>
      <c r="K2294" s="903"/>
      <c r="L2294" s="1177"/>
      <c r="M2294" s="1138">
        <f t="shared" si="227"/>
        <v>0</v>
      </c>
      <c r="N2294" s="1176">
        <f t="shared" si="228"/>
        <v>0</v>
      </c>
      <c r="O2294" s="905"/>
      <c r="P2294" s="36" t="str">
        <f>IF(N2293&gt;0,"xx",IF(N2293&gt;0,"xy",""))</f>
        <v/>
      </c>
      <c r="Q2294" s="317" t="str">
        <f t="shared" si="229"/>
        <v/>
      </c>
      <c r="R2294" s="317" t="str">
        <f t="shared" si="230"/>
        <v/>
      </c>
      <c r="S2294" s="317" t="str">
        <f t="shared" si="231"/>
        <v/>
      </c>
      <c r="T2294" s="317" t="str">
        <f>GLOBAL_DER_FEV_2023!S2294</f>
        <v/>
      </c>
      <c r="W2294" s="582">
        <v>0</v>
      </c>
      <c r="X2294" s="580"/>
      <c r="Y2294" s="583">
        <f>IF(GLOBAL_DER_FEV_2023!W2294=0,0,IF(GLOBAL_DER_FEV_2023!W2294&gt;0,"c","b"))</f>
        <v>0</v>
      </c>
    </row>
    <row r="2295" spans="1:25" ht="15" customHeight="1" x14ac:dyDescent="0.2">
      <c r="A2295" s="317" t="s">
        <v>147</v>
      </c>
      <c r="B2295" s="895" t="s">
        <v>147</v>
      </c>
      <c r="C2295" s="896"/>
      <c r="D2295" s="906" t="s">
        <v>229</v>
      </c>
      <c r="E2295" s="907">
        <f>GLOBAL_DER_FEV_2023!E2295</f>
        <v>150</v>
      </c>
      <c r="F2295" s="908">
        <f>GLOBAL_DER_FEV_2023!F2295</f>
        <v>1.1888125000000003</v>
      </c>
      <c r="G2295" s="949">
        <f>GLOBAL_DER_FEV_2023!G2295</f>
        <v>193.99042375000005</v>
      </c>
      <c r="H2295" s="901">
        <f>GLOBAL_DER_FEV_2023!H2295</f>
        <v>0</v>
      </c>
      <c r="I2295" s="901">
        <f>GLOBAL_DER_FEV_2023!I2295</f>
        <v>0</v>
      </c>
      <c r="J2295" s="902">
        <f>GLOBAL_DER_FEV_2023!J2295</f>
        <v>0</v>
      </c>
      <c r="K2295" s="903"/>
      <c r="L2295" s="1177"/>
      <c r="M2295" s="1138">
        <f t="shared" si="227"/>
        <v>0</v>
      </c>
      <c r="N2295" s="1176">
        <f t="shared" si="228"/>
        <v>0</v>
      </c>
      <c r="O2295" s="905"/>
      <c r="P2295" s="36" t="str">
        <f>IF(N2293&gt;0,"xx",IF(N2293&gt;0,"xy",""))</f>
        <v/>
      </c>
      <c r="Q2295" s="317" t="str">
        <f t="shared" si="229"/>
        <v/>
      </c>
      <c r="R2295" s="317" t="str">
        <f t="shared" si="230"/>
        <v/>
      </c>
      <c r="S2295" s="317" t="str">
        <f t="shared" si="231"/>
        <v/>
      </c>
      <c r="T2295" s="317" t="str">
        <f>GLOBAL_DER_FEV_2023!S2295</f>
        <v/>
      </c>
      <c r="W2295" s="582">
        <v>0</v>
      </c>
      <c r="X2295" s="580"/>
      <c r="Y2295" s="583">
        <f>IF(GLOBAL_DER_FEV_2023!W2295=0,0,IF(GLOBAL_DER_FEV_2023!W2295&gt;0,"c","b"))</f>
        <v>0</v>
      </c>
    </row>
    <row r="2296" spans="1:25" ht="15" customHeight="1" x14ac:dyDescent="0.2">
      <c r="A2296" s="317" t="s">
        <v>147</v>
      </c>
      <c r="B2296" s="895" t="s">
        <v>147</v>
      </c>
      <c r="C2296" s="896"/>
      <c r="D2296" s="906" t="s">
        <v>233</v>
      </c>
      <c r="E2296" s="907">
        <f>GLOBAL_DER_FEV_2023!E2296</f>
        <v>0.2</v>
      </c>
      <c r="F2296" s="908">
        <f>GLOBAL_DER_FEV_2023!F2296</f>
        <v>1.1100000000000001</v>
      </c>
      <c r="G2296" s="949">
        <f>GLOBAL_DER_FEV_2023!G2296</f>
        <v>3.2123400000000006</v>
      </c>
      <c r="H2296" s="901">
        <f>GLOBAL_DER_FEV_2023!H2296</f>
        <v>0</v>
      </c>
      <c r="I2296" s="901">
        <f>GLOBAL_DER_FEV_2023!I2296</f>
        <v>0</v>
      </c>
      <c r="J2296" s="902">
        <f>GLOBAL_DER_FEV_2023!J2296</f>
        <v>0</v>
      </c>
      <c r="K2296" s="903"/>
      <c r="L2296" s="1177"/>
      <c r="M2296" s="1138">
        <f t="shared" si="227"/>
        <v>0</v>
      </c>
      <c r="N2296" s="1176">
        <f t="shared" si="228"/>
        <v>0</v>
      </c>
      <c r="O2296" s="905"/>
      <c r="P2296" s="36" t="str">
        <f>IF(N2293&gt;0,"xx",IF(N2293&gt;0,"xy",""))</f>
        <v/>
      </c>
      <c r="Q2296" s="317" t="str">
        <f t="shared" si="229"/>
        <v/>
      </c>
      <c r="R2296" s="317" t="str">
        <f t="shared" si="230"/>
        <v/>
      </c>
      <c r="S2296" s="317" t="str">
        <f t="shared" si="231"/>
        <v/>
      </c>
      <c r="T2296" s="317" t="str">
        <f>GLOBAL_DER_FEV_2023!S2296</f>
        <v/>
      </c>
      <c r="W2296" s="582">
        <v>0</v>
      </c>
      <c r="X2296" s="580"/>
      <c r="Y2296" s="583">
        <f>IF(GLOBAL_DER_FEV_2023!W2296=0,0,IF(GLOBAL_DER_FEV_2023!W2296&gt;0,"c","b"))</f>
        <v>0</v>
      </c>
    </row>
    <row r="2297" spans="1:25" ht="15" customHeight="1" x14ac:dyDescent="0.2">
      <c r="A2297" s="317" t="s">
        <v>147</v>
      </c>
      <c r="B2297" s="895" t="s">
        <v>147</v>
      </c>
      <c r="C2297" s="896"/>
      <c r="D2297" s="906" t="s">
        <v>365</v>
      </c>
      <c r="E2297" s="907">
        <f>GLOBAL_DER_FEV_2023!E2297</f>
        <v>10</v>
      </c>
      <c r="F2297" s="908">
        <f>GLOBAL_DER_FEV_2023!F2297</f>
        <v>0.54144000000000003</v>
      </c>
      <c r="G2297" s="949">
        <f>GLOBAL_DER_FEV_2023!G2297</f>
        <v>7.2444672000000008</v>
      </c>
      <c r="H2297" s="901">
        <f>GLOBAL_DER_FEV_2023!H2297</f>
        <v>0</v>
      </c>
      <c r="I2297" s="901">
        <f>GLOBAL_DER_FEV_2023!I2297</f>
        <v>0</v>
      </c>
      <c r="J2297" s="902">
        <f>GLOBAL_DER_FEV_2023!J2297</f>
        <v>0</v>
      </c>
      <c r="K2297" s="903"/>
      <c r="L2297" s="1177"/>
      <c r="M2297" s="1138">
        <f t="shared" si="227"/>
        <v>0</v>
      </c>
      <c r="N2297" s="1176">
        <f t="shared" si="228"/>
        <v>0</v>
      </c>
      <c r="O2297" s="905"/>
      <c r="P2297" s="36" t="str">
        <f>IF(N2293&gt;0,"xx",IF(N2293&gt;0,"xy",""))</f>
        <v/>
      </c>
      <c r="Q2297" s="317" t="str">
        <f t="shared" si="229"/>
        <v/>
      </c>
      <c r="R2297" s="317" t="str">
        <f t="shared" si="230"/>
        <v/>
      </c>
      <c r="S2297" s="317" t="str">
        <f t="shared" si="231"/>
        <v/>
      </c>
      <c r="T2297" s="317" t="str">
        <f>GLOBAL_DER_FEV_2023!S2297</f>
        <v/>
      </c>
      <c r="W2297" s="582">
        <v>0</v>
      </c>
      <c r="X2297" s="580"/>
      <c r="Y2297" s="583">
        <f>IF(GLOBAL_DER_FEV_2023!W2297=0,0,IF(GLOBAL_DER_FEV_2023!W2297&gt;0,"c","b"))</f>
        <v>0</v>
      </c>
    </row>
    <row r="2298" spans="1:25" ht="15" customHeight="1" x14ac:dyDescent="0.2">
      <c r="A2298" s="317" t="s">
        <v>147</v>
      </c>
      <c r="B2298" s="895" t="s">
        <v>147</v>
      </c>
      <c r="C2298" s="896"/>
      <c r="D2298" s="906" t="s">
        <v>366</v>
      </c>
      <c r="E2298" s="907">
        <f>GLOBAL_DER_FEV_2023!E2298</f>
        <v>353</v>
      </c>
      <c r="F2298" s="908">
        <f>GLOBAL_DER_FEV_2023!F2298</f>
        <v>1.8048000000000002E-2</v>
      </c>
      <c r="G2298" s="909">
        <f>GLOBAL_DER_FEV_2023!G2298</f>
        <v>5.1104716800000007</v>
      </c>
      <c r="H2298" s="901">
        <f>GLOBAL_DER_FEV_2023!H2298</f>
        <v>0</v>
      </c>
      <c r="I2298" s="901">
        <f>GLOBAL_DER_FEV_2023!I2298</f>
        <v>0</v>
      </c>
      <c r="J2298" s="902">
        <f>GLOBAL_DER_FEV_2023!J2298</f>
        <v>0</v>
      </c>
      <c r="K2298" s="903"/>
      <c r="L2298" s="1177"/>
      <c r="M2298" s="1138">
        <f t="shared" si="227"/>
        <v>0</v>
      </c>
      <c r="N2298" s="1176">
        <f t="shared" si="228"/>
        <v>0</v>
      </c>
      <c r="O2298" s="905"/>
      <c r="P2298" s="36" t="str">
        <f>IF(N2293&gt;0,"xx",IF(N2293&gt;0,"xy",""))</f>
        <v/>
      </c>
      <c r="Q2298" s="317" t="str">
        <f t="shared" si="229"/>
        <v/>
      </c>
      <c r="R2298" s="317" t="str">
        <f t="shared" si="230"/>
        <v/>
      </c>
      <c r="S2298" s="317" t="str">
        <f t="shared" si="231"/>
        <v/>
      </c>
      <c r="T2298" s="317" t="str">
        <f>GLOBAL_DER_FEV_2023!S2298</f>
        <v/>
      </c>
      <c r="W2298" s="582">
        <v>0</v>
      </c>
      <c r="X2298" s="580"/>
      <c r="Y2298" s="583">
        <f>IF(GLOBAL_DER_FEV_2023!W2298=0,0,IF(GLOBAL_DER_FEV_2023!W2298&gt;0,"c","b"))</f>
        <v>0</v>
      </c>
    </row>
    <row r="2299" spans="1:25" ht="15" customHeight="1" x14ac:dyDescent="0.2">
      <c r="A2299" s="317" t="s">
        <v>116</v>
      </c>
      <c r="B2299" s="895" t="s">
        <v>116</v>
      </c>
      <c r="C2299" s="896" t="s">
        <v>184</v>
      </c>
      <c r="D2299" s="906" t="s">
        <v>128</v>
      </c>
      <c r="E2299" s="907">
        <f>GLOBAL_DER_FEV_2023!E2299</f>
        <v>0</v>
      </c>
      <c r="F2299" s="908">
        <f>GLOBAL_DER_FEV_2023!F2299</f>
        <v>0</v>
      </c>
      <c r="G2299" s="912">
        <f>GLOBAL_DER_FEV_2023!G2299</f>
        <v>336.54402421599991</v>
      </c>
      <c r="H2299" s="901">
        <f>GLOBAL_DER_FEV_2023!H2299</f>
        <v>2425.58</v>
      </c>
      <c r="I2299" s="901">
        <f>GLOBAL_DER_FEV_2023!I2299</f>
        <v>2762.1240242159997</v>
      </c>
      <c r="J2299" s="902">
        <f>GLOBAL_DER_FEV_2023!J2299</f>
        <v>3316.48</v>
      </c>
      <c r="K2299" s="903" t="s">
        <v>15</v>
      </c>
      <c r="L2299" s="1137"/>
      <c r="M2299" s="1138">
        <f t="shared" si="227"/>
        <v>0</v>
      </c>
      <c r="N2299" s="1176">
        <f t="shared" si="228"/>
        <v>0</v>
      </c>
      <c r="O2299" s="905"/>
      <c r="Q2299" s="317" t="str">
        <f t="shared" si="229"/>
        <v/>
      </c>
      <c r="R2299" s="317" t="str">
        <f t="shared" si="230"/>
        <v/>
      </c>
      <c r="S2299" s="317" t="str">
        <f t="shared" si="231"/>
        <v/>
      </c>
      <c r="T2299" s="317" t="str">
        <f>GLOBAL_DER_FEV_2023!S2299</f>
        <v/>
      </c>
      <c r="W2299" s="582">
        <v>0</v>
      </c>
      <c r="X2299" s="580"/>
      <c r="Y2299" s="583">
        <f>IF(GLOBAL_DER_FEV_2023!W2299=0,0,IF(GLOBAL_DER_FEV_2023!W2299&gt;0,"c","b"))</f>
        <v>0</v>
      </c>
    </row>
    <row r="2300" spans="1:25" ht="15" customHeight="1" x14ac:dyDescent="0.2">
      <c r="A2300" s="317" t="s">
        <v>147</v>
      </c>
      <c r="B2300" s="895" t="s">
        <v>147</v>
      </c>
      <c r="C2300" s="896"/>
      <c r="D2300" s="906" t="s">
        <v>190</v>
      </c>
      <c r="E2300" s="907">
        <f>GLOBAL_DER_FEV_2023!E2300</f>
        <v>308</v>
      </c>
      <c r="F2300" s="908">
        <f>GLOBAL_DER_FEV_2023!F2300</f>
        <v>0.38489359999999995</v>
      </c>
      <c r="G2300" s="909">
        <f>GLOBAL_DER_FEV_2023!G2300</f>
        <v>95.476706415999985</v>
      </c>
      <c r="H2300" s="901">
        <f>GLOBAL_DER_FEV_2023!H2300</f>
        <v>0</v>
      </c>
      <c r="I2300" s="901">
        <f>GLOBAL_DER_FEV_2023!I2300</f>
        <v>0</v>
      </c>
      <c r="J2300" s="902">
        <f>GLOBAL_DER_FEV_2023!J2300</f>
        <v>0</v>
      </c>
      <c r="K2300" s="903"/>
      <c r="L2300" s="1177"/>
      <c r="M2300" s="1138">
        <f t="shared" si="227"/>
        <v>0</v>
      </c>
      <c r="N2300" s="1176">
        <f t="shared" si="228"/>
        <v>0</v>
      </c>
      <c r="O2300" s="905"/>
      <c r="P2300" s="36" t="str">
        <f>IF(N2299&gt;0,"xx",IF(N2299&gt;0,"xy",""))</f>
        <v/>
      </c>
      <c r="Q2300" s="317" t="str">
        <f t="shared" si="229"/>
        <v/>
      </c>
      <c r="R2300" s="317" t="str">
        <f t="shared" si="230"/>
        <v/>
      </c>
      <c r="S2300" s="317" t="str">
        <f t="shared" si="231"/>
        <v/>
      </c>
      <c r="T2300" s="317" t="str">
        <f>GLOBAL_DER_FEV_2023!S2300</f>
        <v/>
      </c>
      <c r="W2300" s="582">
        <v>0</v>
      </c>
      <c r="X2300" s="580"/>
      <c r="Y2300" s="583">
        <f>IF(GLOBAL_DER_FEV_2023!W2300=0,0,IF(GLOBAL_DER_FEV_2023!W2300&gt;0,"c","b"))</f>
        <v>0</v>
      </c>
    </row>
    <row r="2301" spans="1:25" ht="15" customHeight="1" x14ac:dyDescent="0.2">
      <c r="A2301" s="317" t="s">
        <v>147</v>
      </c>
      <c r="B2301" s="895" t="s">
        <v>147</v>
      </c>
      <c r="C2301" s="896"/>
      <c r="D2301" s="906" t="s">
        <v>229</v>
      </c>
      <c r="E2301" s="907">
        <f>GLOBAL_DER_FEV_2023!E2301</f>
        <v>150</v>
      </c>
      <c r="F2301" s="908">
        <f>GLOBAL_DER_FEV_2023!F2301</f>
        <v>1.3499699999999999</v>
      </c>
      <c r="G2301" s="949">
        <f>GLOBAL_DER_FEV_2023!G2301</f>
        <v>220.2881046</v>
      </c>
      <c r="H2301" s="901">
        <f>GLOBAL_DER_FEV_2023!H2301</f>
        <v>0</v>
      </c>
      <c r="I2301" s="901">
        <f>GLOBAL_DER_FEV_2023!I2301</f>
        <v>0</v>
      </c>
      <c r="J2301" s="902">
        <f>GLOBAL_DER_FEV_2023!J2301</f>
        <v>0</v>
      </c>
      <c r="K2301" s="903"/>
      <c r="L2301" s="1177"/>
      <c r="M2301" s="1138">
        <f t="shared" si="227"/>
        <v>0</v>
      </c>
      <c r="N2301" s="1176">
        <f t="shared" si="228"/>
        <v>0</v>
      </c>
      <c r="O2301" s="905"/>
      <c r="P2301" s="36" t="str">
        <f>IF(N2299&gt;0,"xx",IF(N2299&gt;0,"xy",""))</f>
        <v/>
      </c>
      <c r="Q2301" s="317" t="str">
        <f t="shared" si="229"/>
        <v/>
      </c>
      <c r="R2301" s="317" t="str">
        <f t="shared" si="230"/>
        <v/>
      </c>
      <c r="S2301" s="317" t="str">
        <f t="shared" si="231"/>
        <v/>
      </c>
      <c r="T2301" s="317" t="str">
        <f>GLOBAL_DER_FEV_2023!S2301</f>
        <v/>
      </c>
      <c r="W2301" s="582">
        <v>0</v>
      </c>
      <c r="X2301" s="580"/>
      <c r="Y2301" s="583">
        <f>IF(GLOBAL_DER_FEV_2023!W2301=0,0,IF(GLOBAL_DER_FEV_2023!W2301&gt;0,"c","b"))</f>
        <v>0</v>
      </c>
    </row>
    <row r="2302" spans="1:25" ht="15" customHeight="1" x14ac:dyDescent="0.2">
      <c r="A2302" s="317" t="s">
        <v>147</v>
      </c>
      <c r="B2302" s="895" t="s">
        <v>147</v>
      </c>
      <c r="C2302" s="896"/>
      <c r="D2302" s="906" t="s">
        <v>233</v>
      </c>
      <c r="E2302" s="907">
        <f>GLOBAL_DER_FEV_2023!E2302</f>
        <v>0.2</v>
      </c>
      <c r="F2302" s="908">
        <f>GLOBAL_DER_FEV_2023!F2302</f>
        <v>1.1766000000000001</v>
      </c>
      <c r="G2302" s="949">
        <f>GLOBAL_DER_FEV_2023!G2302</f>
        <v>3.4050804000000006</v>
      </c>
      <c r="H2302" s="901">
        <f>GLOBAL_DER_FEV_2023!H2302</f>
        <v>0</v>
      </c>
      <c r="I2302" s="901">
        <f>GLOBAL_DER_FEV_2023!I2302</f>
        <v>0</v>
      </c>
      <c r="J2302" s="902">
        <f>GLOBAL_DER_FEV_2023!J2302</f>
        <v>0</v>
      </c>
      <c r="K2302" s="903"/>
      <c r="L2302" s="1177"/>
      <c r="M2302" s="1138">
        <f t="shared" si="227"/>
        <v>0</v>
      </c>
      <c r="N2302" s="1176">
        <f t="shared" si="228"/>
        <v>0</v>
      </c>
      <c r="O2302" s="905"/>
      <c r="P2302" s="36" t="str">
        <f>IF(N2299&gt;0,"xx",IF(N2299&gt;0,"xy",""))</f>
        <v/>
      </c>
      <c r="Q2302" s="317" t="str">
        <f t="shared" si="229"/>
        <v/>
      </c>
      <c r="R2302" s="317" t="str">
        <f t="shared" si="230"/>
        <v/>
      </c>
      <c r="S2302" s="317" t="str">
        <f t="shared" si="231"/>
        <v/>
      </c>
      <c r="T2302" s="317" t="str">
        <f>GLOBAL_DER_FEV_2023!S2302</f>
        <v/>
      </c>
      <c r="W2302" s="582">
        <v>0</v>
      </c>
      <c r="X2302" s="580"/>
      <c r="Y2302" s="583">
        <f>IF(GLOBAL_DER_FEV_2023!W2302=0,0,IF(GLOBAL_DER_FEV_2023!W2302&gt;0,"c","b"))</f>
        <v>0</v>
      </c>
    </row>
    <row r="2303" spans="1:25" ht="15" customHeight="1" x14ac:dyDescent="0.2">
      <c r="A2303" s="317" t="s">
        <v>147</v>
      </c>
      <c r="B2303" s="895" t="s">
        <v>147</v>
      </c>
      <c r="C2303" s="896"/>
      <c r="D2303" s="906" t="s">
        <v>365</v>
      </c>
      <c r="E2303" s="907">
        <f>GLOBAL_DER_FEV_2023!E2303</f>
        <v>10</v>
      </c>
      <c r="F2303" s="908">
        <f>GLOBAL_DER_FEV_2023!F2303</f>
        <v>0.76139999999999997</v>
      </c>
      <c r="G2303" s="949">
        <f>GLOBAL_DER_FEV_2023!G2303</f>
        <v>10.187532000000001</v>
      </c>
      <c r="H2303" s="901">
        <f>GLOBAL_DER_FEV_2023!H2303</f>
        <v>0</v>
      </c>
      <c r="I2303" s="901">
        <f>GLOBAL_DER_FEV_2023!I2303</f>
        <v>0</v>
      </c>
      <c r="J2303" s="902">
        <f>GLOBAL_DER_FEV_2023!J2303</f>
        <v>0</v>
      </c>
      <c r="K2303" s="903"/>
      <c r="L2303" s="1177"/>
      <c r="M2303" s="1138">
        <f t="shared" si="227"/>
        <v>0</v>
      </c>
      <c r="N2303" s="1176">
        <f t="shared" si="228"/>
        <v>0</v>
      </c>
      <c r="O2303" s="905"/>
      <c r="P2303" s="36" t="str">
        <f>IF(N2299&gt;0,"xx",IF(N2299&gt;0,"xy",""))</f>
        <v/>
      </c>
      <c r="Q2303" s="317" t="str">
        <f t="shared" si="229"/>
        <v/>
      </c>
      <c r="R2303" s="317" t="str">
        <f t="shared" si="230"/>
        <v/>
      </c>
      <c r="S2303" s="317" t="str">
        <f t="shared" si="231"/>
        <v/>
      </c>
      <c r="T2303" s="317" t="str">
        <f>GLOBAL_DER_FEV_2023!S2303</f>
        <v/>
      </c>
      <c r="W2303" s="582">
        <v>0</v>
      </c>
      <c r="X2303" s="580"/>
      <c r="Y2303" s="583">
        <f>IF(GLOBAL_DER_FEV_2023!W2303=0,0,IF(GLOBAL_DER_FEV_2023!W2303&gt;0,"c","b"))</f>
        <v>0</v>
      </c>
    </row>
    <row r="2304" spans="1:25" ht="15" customHeight="1" x14ac:dyDescent="0.2">
      <c r="A2304" s="317" t="s">
        <v>147</v>
      </c>
      <c r="B2304" s="895" t="s">
        <v>147</v>
      </c>
      <c r="C2304" s="896"/>
      <c r="D2304" s="906" t="s">
        <v>366</v>
      </c>
      <c r="E2304" s="907">
        <f>GLOBAL_DER_FEV_2023!E2304</f>
        <v>353</v>
      </c>
      <c r="F2304" s="908">
        <f>GLOBAL_DER_FEV_2023!F2304</f>
        <v>2.538E-2</v>
      </c>
      <c r="G2304" s="909">
        <f>GLOBAL_DER_FEV_2023!G2304</f>
        <v>7.1866008000000008</v>
      </c>
      <c r="H2304" s="901">
        <f>GLOBAL_DER_FEV_2023!H2304</f>
        <v>0</v>
      </c>
      <c r="I2304" s="901">
        <f>GLOBAL_DER_FEV_2023!I2304</f>
        <v>0</v>
      </c>
      <c r="J2304" s="902">
        <f>GLOBAL_DER_FEV_2023!J2304</f>
        <v>0</v>
      </c>
      <c r="K2304" s="903"/>
      <c r="L2304" s="1177"/>
      <c r="M2304" s="1138">
        <f t="shared" si="227"/>
        <v>0</v>
      </c>
      <c r="N2304" s="1176">
        <f t="shared" si="228"/>
        <v>0</v>
      </c>
      <c r="O2304" s="905"/>
      <c r="P2304" s="36" t="str">
        <f>IF(N2299&gt;0,"xx",IF(N2299&gt;0,"xy",""))</f>
        <v/>
      </c>
      <c r="Q2304" s="317" t="str">
        <f t="shared" si="229"/>
        <v/>
      </c>
      <c r="R2304" s="317" t="str">
        <f t="shared" si="230"/>
        <v/>
      </c>
      <c r="S2304" s="317" t="str">
        <f t="shared" si="231"/>
        <v/>
      </c>
      <c r="T2304" s="317" t="str">
        <f>GLOBAL_DER_FEV_2023!S2304</f>
        <v/>
      </c>
      <c r="W2304" s="582">
        <v>0</v>
      </c>
      <c r="X2304" s="580"/>
      <c r="Y2304" s="583">
        <f>IF(GLOBAL_DER_FEV_2023!W2304=0,0,IF(GLOBAL_DER_FEV_2023!W2304&gt;0,"c","b"))</f>
        <v>0</v>
      </c>
    </row>
    <row r="2305" spans="1:25" ht="15" customHeight="1" x14ac:dyDescent="0.2">
      <c r="A2305" s="317" t="s">
        <v>117</v>
      </c>
      <c r="B2305" s="895" t="s">
        <v>117</v>
      </c>
      <c r="C2305" s="896" t="s">
        <v>184</v>
      </c>
      <c r="D2305" s="906" t="s">
        <v>129</v>
      </c>
      <c r="E2305" s="907">
        <f>GLOBAL_DER_FEV_2023!E2305</f>
        <v>0</v>
      </c>
      <c r="F2305" s="908">
        <f>GLOBAL_DER_FEV_2023!F2305</f>
        <v>0</v>
      </c>
      <c r="G2305" s="912">
        <f>GLOBAL_DER_FEV_2023!G2305</f>
        <v>393.71938332399998</v>
      </c>
      <c r="H2305" s="901">
        <f>GLOBAL_DER_FEV_2023!H2305</f>
        <v>2754.73</v>
      </c>
      <c r="I2305" s="901">
        <f>GLOBAL_DER_FEV_2023!I2305</f>
        <v>3148.4493833239999</v>
      </c>
      <c r="J2305" s="902">
        <f>GLOBAL_DER_FEV_2023!J2305</f>
        <v>3780.34</v>
      </c>
      <c r="K2305" s="903" t="s">
        <v>15</v>
      </c>
      <c r="L2305" s="1137"/>
      <c r="M2305" s="1138">
        <f t="shared" si="227"/>
        <v>0</v>
      </c>
      <c r="N2305" s="1176">
        <f t="shared" si="228"/>
        <v>0</v>
      </c>
      <c r="O2305" s="905"/>
      <c r="Q2305" s="317" t="str">
        <f t="shared" si="229"/>
        <v/>
      </c>
      <c r="R2305" s="317" t="str">
        <f t="shared" si="230"/>
        <v/>
      </c>
      <c r="S2305" s="317" t="str">
        <f t="shared" si="231"/>
        <v/>
      </c>
      <c r="T2305" s="317" t="str">
        <f>GLOBAL_DER_FEV_2023!S2305</f>
        <v/>
      </c>
      <c r="W2305" s="582">
        <v>0</v>
      </c>
      <c r="X2305" s="580"/>
      <c r="Y2305" s="583">
        <f>IF(GLOBAL_DER_FEV_2023!W2305=0,0,IF(GLOBAL_DER_FEV_2023!W2305&gt;0,"c","b"))</f>
        <v>0</v>
      </c>
    </row>
    <row r="2306" spans="1:25" ht="15" customHeight="1" x14ac:dyDescent="0.2">
      <c r="A2306" s="317" t="s">
        <v>147</v>
      </c>
      <c r="B2306" s="895" t="s">
        <v>147</v>
      </c>
      <c r="C2306" s="896"/>
      <c r="D2306" s="906" t="s">
        <v>190</v>
      </c>
      <c r="E2306" s="907">
        <f>GLOBAL_DER_FEV_2023!E2306</f>
        <v>308</v>
      </c>
      <c r="F2306" s="908">
        <f>GLOBAL_DER_FEV_2023!F2306</f>
        <v>0.43281240000000004</v>
      </c>
      <c r="G2306" s="909">
        <f>GLOBAL_DER_FEV_2023!G2306</f>
        <v>107.36344394400001</v>
      </c>
      <c r="H2306" s="901">
        <f>GLOBAL_DER_FEV_2023!H2306</f>
        <v>0</v>
      </c>
      <c r="I2306" s="901">
        <f>GLOBAL_DER_FEV_2023!I2306</f>
        <v>0</v>
      </c>
      <c r="J2306" s="902">
        <f>GLOBAL_DER_FEV_2023!J2306</f>
        <v>0</v>
      </c>
      <c r="K2306" s="903"/>
      <c r="L2306" s="1177"/>
      <c r="M2306" s="1138">
        <f t="shared" si="227"/>
        <v>0</v>
      </c>
      <c r="N2306" s="1176">
        <f t="shared" si="228"/>
        <v>0</v>
      </c>
      <c r="O2306" s="905"/>
      <c r="P2306" s="36" t="str">
        <f>IF(N2305&gt;0,"xx",IF(N2305&gt;0,"xy",""))</f>
        <v/>
      </c>
      <c r="Q2306" s="317" t="str">
        <f t="shared" si="229"/>
        <v/>
      </c>
      <c r="R2306" s="317" t="str">
        <f t="shared" si="230"/>
        <v/>
      </c>
      <c r="S2306" s="317" t="str">
        <f t="shared" si="231"/>
        <v/>
      </c>
      <c r="T2306" s="317" t="str">
        <f>GLOBAL_DER_FEV_2023!S2306</f>
        <v/>
      </c>
      <c r="W2306" s="582">
        <v>0</v>
      </c>
      <c r="X2306" s="580"/>
      <c r="Y2306" s="583">
        <f>IF(GLOBAL_DER_FEV_2023!W2306=0,0,IF(GLOBAL_DER_FEV_2023!W2306&gt;0,"c","b"))</f>
        <v>0</v>
      </c>
    </row>
    <row r="2307" spans="1:25" ht="15" customHeight="1" x14ac:dyDescent="0.2">
      <c r="A2307" s="317" t="s">
        <v>147</v>
      </c>
      <c r="B2307" s="895" t="s">
        <v>147</v>
      </c>
      <c r="C2307" s="896"/>
      <c r="D2307" s="906" t="s">
        <v>229</v>
      </c>
      <c r="E2307" s="907">
        <f>GLOBAL_DER_FEV_2023!E2307</f>
        <v>150</v>
      </c>
      <c r="F2307" s="908">
        <f>GLOBAL_DER_FEV_2023!F2307</f>
        <v>1.5797950000000001</v>
      </c>
      <c r="G2307" s="949">
        <f>GLOBAL_DER_FEV_2023!G2307</f>
        <v>257.79094810000004</v>
      </c>
      <c r="H2307" s="901">
        <f>GLOBAL_DER_FEV_2023!H2307</f>
        <v>0</v>
      </c>
      <c r="I2307" s="901">
        <f>GLOBAL_DER_FEV_2023!I2307</f>
        <v>0</v>
      </c>
      <c r="J2307" s="902">
        <f>GLOBAL_DER_FEV_2023!J2307</f>
        <v>0</v>
      </c>
      <c r="K2307" s="903"/>
      <c r="L2307" s="1177"/>
      <c r="M2307" s="1138">
        <f t="shared" si="227"/>
        <v>0</v>
      </c>
      <c r="N2307" s="1176">
        <f t="shared" si="228"/>
        <v>0</v>
      </c>
      <c r="O2307" s="905"/>
      <c r="P2307" s="36" t="str">
        <f>IF(N2305&gt;0,"xx",IF(N2305&gt;0,"xy",""))</f>
        <v/>
      </c>
      <c r="Q2307" s="317" t="str">
        <f t="shared" si="229"/>
        <v/>
      </c>
      <c r="R2307" s="317" t="str">
        <f t="shared" si="230"/>
        <v/>
      </c>
      <c r="S2307" s="317" t="str">
        <f t="shared" si="231"/>
        <v/>
      </c>
      <c r="T2307" s="317" t="str">
        <f>GLOBAL_DER_FEV_2023!S2307</f>
        <v/>
      </c>
      <c r="W2307" s="582">
        <v>0</v>
      </c>
      <c r="X2307" s="580"/>
      <c r="Y2307" s="583">
        <f>IF(GLOBAL_DER_FEV_2023!W2307=0,0,IF(GLOBAL_DER_FEV_2023!W2307&gt;0,"c","b"))</f>
        <v>0</v>
      </c>
    </row>
    <row r="2308" spans="1:25" ht="15" customHeight="1" x14ac:dyDescent="0.2">
      <c r="A2308" s="317" t="s">
        <v>147</v>
      </c>
      <c r="B2308" s="895" t="s">
        <v>147</v>
      </c>
      <c r="C2308" s="896"/>
      <c r="D2308" s="906" t="s">
        <v>233</v>
      </c>
      <c r="E2308" s="907">
        <f>GLOBAL_DER_FEV_2023!E2308</f>
        <v>0.2</v>
      </c>
      <c r="F2308" s="908">
        <f>GLOBAL_DER_FEV_2023!F2308</f>
        <v>1.2654000000000003</v>
      </c>
      <c r="G2308" s="949">
        <f>GLOBAL_DER_FEV_2023!G2308</f>
        <v>3.6620676000000012</v>
      </c>
      <c r="H2308" s="901">
        <f>GLOBAL_DER_FEV_2023!H2308</f>
        <v>0</v>
      </c>
      <c r="I2308" s="901">
        <f>GLOBAL_DER_FEV_2023!I2308</f>
        <v>0</v>
      </c>
      <c r="J2308" s="902">
        <f>GLOBAL_DER_FEV_2023!J2308</f>
        <v>0</v>
      </c>
      <c r="K2308" s="903"/>
      <c r="L2308" s="1177"/>
      <c r="M2308" s="1138">
        <f t="shared" si="227"/>
        <v>0</v>
      </c>
      <c r="N2308" s="1176">
        <f t="shared" si="228"/>
        <v>0</v>
      </c>
      <c r="O2308" s="905"/>
      <c r="P2308" s="36" t="str">
        <f>IF(N2305&gt;0,"xx",IF(N2305&gt;0,"xy",""))</f>
        <v/>
      </c>
      <c r="Q2308" s="317" t="str">
        <f t="shared" si="229"/>
        <v/>
      </c>
      <c r="R2308" s="317" t="str">
        <f t="shared" si="230"/>
        <v/>
      </c>
      <c r="S2308" s="317" t="str">
        <f t="shared" si="231"/>
        <v/>
      </c>
      <c r="T2308" s="317" t="str">
        <f>GLOBAL_DER_FEV_2023!S2308</f>
        <v/>
      </c>
      <c r="W2308" s="582">
        <v>0</v>
      </c>
      <c r="X2308" s="580"/>
      <c r="Y2308" s="583">
        <f>IF(GLOBAL_DER_FEV_2023!W2308=0,0,IF(GLOBAL_DER_FEV_2023!W2308&gt;0,"c","b"))</f>
        <v>0</v>
      </c>
    </row>
    <row r="2309" spans="1:25" ht="15" customHeight="1" x14ac:dyDescent="0.2">
      <c r="A2309" s="317" t="s">
        <v>147</v>
      </c>
      <c r="B2309" s="895" t="s">
        <v>147</v>
      </c>
      <c r="C2309" s="896"/>
      <c r="D2309" s="906" t="s">
        <v>365</v>
      </c>
      <c r="E2309" s="907">
        <f>GLOBAL_DER_FEV_2023!E2309</f>
        <v>10</v>
      </c>
      <c r="F2309" s="908">
        <f>GLOBAL_DER_FEV_2023!F2309</f>
        <v>1.09134</v>
      </c>
      <c r="G2309" s="949">
        <f>GLOBAL_DER_FEV_2023!G2309</f>
        <v>14.6021292</v>
      </c>
      <c r="H2309" s="901">
        <f>GLOBAL_DER_FEV_2023!H2309</f>
        <v>0</v>
      </c>
      <c r="I2309" s="901">
        <f>GLOBAL_DER_FEV_2023!I2309</f>
        <v>0</v>
      </c>
      <c r="J2309" s="902">
        <f>GLOBAL_DER_FEV_2023!J2309</f>
        <v>0</v>
      </c>
      <c r="K2309" s="903"/>
      <c r="L2309" s="1177"/>
      <c r="M2309" s="1138">
        <f t="shared" si="227"/>
        <v>0</v>
      </c>
      <c r="N2309" s="1176">
        <f t="shared" si="228"/>
        <v>0</v>
      </c>
      <c r="O2309" s="905"/>
      <c r="P2309" s="36" t="str">
        <f>IF(N2305&gt;0,"xx",IF(N2305&gt;0,"xy",""))</f>
        <v/>
      </c>
      <c r="Q2309" s="317" t="str">
        <f t="shared" si="229"/>
        <v/>
      </c>
      <c r="R2309" s="317" t="str">
        <f t="shared" si="230"/>
        <v/>
      </c>
      <c r="S2309" s="317" t="str">
        <f t="shared" si="231"/>
        <v/>
      </c>
      <c r="T2309" s="317" t="str">
        <f>GLOBAL_DER_FEV_2023!S2309</f>
        <v/>
      </c>
      <c r="W2309" s="582">
        <v>0</v>
      </c>
      <c r="X2309" s="580"/>
      <c r="Y2309" s="583">
        <f>IF(GLOBAL_DER_FEV_2023!W2309=0,0,IF(GLOBAL_DER_FEV_2023!W2309&gt;0,"c","b"))</f>
        <v>0</v>
      </c>
    </row>
    <row r="2310" spans="1:25" ht="15" customHeight="1" x14ac:dyDescent="0.2">
      <c r="A2310" s="317" t="s">
        <v>147</v>
      </c>
      <c r="B2310" s="895" t="s">
        <v>147</v>
      </c>
      <c r="C2310" s="896"/>
      <c r="D2310" s="906" t="s">
        <v>366</v>
      </c>
      <c r="E2310" s="907">
        <f>GLOBAL_DER_FEV_2023!E2310</f>
        <v>353</v>
      </c>
      <c r="F2310" s="908">
        <f>GLOBAL_DER_FEV_2023!F2310</f>
        <v>3.6378000000000001E-2</v>
      </c>
      <c r="G2310" s="909">
        <f>GLOBAL_DER_FEV_2023!G2310</f>
        <v>10.30079448</v>
      </c>
      <c r="H2310" s="901">
        <f>GLOBAL_DER_FEV_2023!H2310</f>
        <v>0</v>
      </c>
      <c r="I2310" s="901">
        <f>GLOBAL_DER_FEV_2023!I2310</f>
        <v>0</v>
      </c>
      <c r="J2310" s="902">
        <f>GLOBAL_DER_FEV_2023!J2310</f>
        <v>0</v>
      </c>
      <c r="K2310" s="903"/>
      <c r="L2310" s="1177"/>
      <c r="M2310" s="1138">
        <f t="shared" ref="M2310:M2373" si="232">IF(L2310=0,0,ROUND(J2310,2))</f>
        <v>0</v>
      </c>
      <c r="N2310" s="1176">
        <f t="shared" si="228"/>
        <v>0</v>
      </c>
      <c r="O2310" s="905"/>
      <c r="P2310" s="36" t="str">
        <f>IF(N2305&gt;0,"xx",IF(N2305&gt;0,"xy",""))</f>
        <v/>
      </c>
      <c r="Q2310" s="317" t="str">
        <f t="shared" si="229"/>
        <v/>
      </c>
      <c r="R2310" s="317" t="str">
        <f t="shared" si="230"/>
        <v/>
      </c>
      <c r="S2310" s="317" t="str">
        <f t="shared" si="231"/>
        <v/>
      </c>
      <c r="T2310" s="317" t="str">
        <f>GLOBAL_DER_FEV_2023!S2310</f>
        <v/>
      </c>
      <c r="W2310" s="582">
        <v>0</v>
      </c>
      <c r="X2310" s="580"/>
      <c r="Y2310" s="583">
        <f>IF(GLOBAL_DER_FEV_2023!W2310=0,0,IF(GLOBAL_DER_FEV_2023!W2310&gt;0,"c","b"))</f>
        <v>0</v>
      </c>
    </row>
    <row r="2311" spans="1:25" ht="15" customHeight="1" x14ac:dyDescent="0.2">
      <c r="A2311" s="317" t="s">
        <v>39</v>
      </c>
      <c r="B2311" s="895" t="s">
        <v>39</v>
      </c>
      <c r="C2311" s="896" t="s">
        <v>184</v>
      </c>
      <c r="D2311" s="906" t="s">
        <v>130</v>
      </c>
      <c r="E2311" s="907">
        <f>GLOBAL_DER_FEV_2023!E2311</f>
        <v>0</v>
      </c>
      <c r="F2311" s="908">
        <f>GLOBAL_DER_FEV_2023!F2311</f>
        <v>0</v>
      </c>
      <c r="G2311" s="912">
        <f>GLOBAL_DER_FEV_2023!G2311</f>
        <v>430.00607617800006</v>
      </c>
      <c r="H2311" s="901">
        <f>GLOBAL_DER_FEV_2023!H2311</f>
        <v>2966.42</v>
      </c>
      <c r="I2311" s="901">
        <f>GLOBAL_DER_FEV_2023!I2311</f>
        <v>3396.4260761780001</v>
      </c>
      <c r="J2311" s="902">
        <f>GLOBAL_DER_FEV_2023!J2311</f>
        <v>4078.09</v>
      </c>
      <c r="K2311" s="903" t="s">
        <v>15</v>
      </c>
      <c r="L2311" s="1137"/>
      <c r="M2311" s="1138">
        <f t="shared" si="232"/>
        <v>0</v>
      </c>
      <c r="N2311" s="1176">
        <f t="shared" si="228"/>
        <v>0</v>
      </c>
      <c r="O2311" s="905"/>
      <c r="Q2311" s="317" t="str">
        <f t="shared" si="229"/>
        <v/>
      </c>
      <c r="R2311" s="317" t="str">
        <f t="shared" si="230"/>
        <v/>
      </c>
      <c r="S2311" s="317" t="str">
        <f t="shared" si="231"/>
        <v/>
      </c>
      <c r="T2311" s="317" t="str">
        <f>GLOBAL_DER_FEV_2023!S2311</f>
        <v/>
      </c>
      <c r="W2311" s="582">
        <v>0</v>
      </c>
      <c r="X2311" s="580"/>
      <c r="Y2311" s="583">
        <f>IF(GLOBAL_DER_FEV_2023!W2311=0,0,IF(GLOBAL_DER_FEV_2023!W2311&gt;0,"c","b"))</f>
        <v>0</v>
      </c>
    </row>
    <row r="2312" spans="1:25" ht="15" customHeight="1" x14ac:dyDescent="0.2">
      <c r="A2312" s="317" t="s">
        <v>147</v>
      </c>
      <c r="B2312" s="895" t="s">
        <v>147</v>
      </c>
      <c r="C2312" s="896"/>
      <c r="D2312" s="906" t="s">
        <v>190</v>
      </c>
      <c r="E2312" s="907">
        <f>GLOBAL_DER_FEV_2023!E2312</f>
        <v>308</v>
      </c>
      <c r="F2312" s="908">
        <f>GLOBAL_DER_FEV_2023!F2312</f>
        <v>0.46255580000000002</v>
      </c>
      <c r="G2312" s="909">
        <f>GLOBAL_DER_FEV_2023!G2312</f>
        <v>114.741591748</v>
      </c>
      <c r="H2312" s="901">
        <f>GLOBAL_DER_FEV_2023!H2312</f>
        <v>0</v>
      </c>
      <c r="I2312" s="901">
        <f>GLOBAL_DER_FEV_2023!I2312</f>
        <v>0</v>
      </c>
      <c r="J2312" s="902">
        <f>GLOBAL_DER_FEV_2023!J2312</f>
        <v>0</v>
      </c>
      <c r="K2312" s="903"/>
      <c r="L2312" s="1177"/>
      <c r="M2312" s="1138">
        <f t="shared" si="232"/>
        <v>0</v>
      </c>
      <c r="N2312" s="1176">
        <f t="shared" si="228"/>
        <v>0</v>
      </c>
      <c r="O2312" s="905"/>
      <c r="P2312" s="36" t="str">
        <f>IF(N2311&gt;0,"xx",IF(N2311&gt;0,"xy",""))</f>
        <v/>
      </c>
      <c r="Q2312" s="317" t="str">
        <f t="shared" si="229"/>
        <v/>
      </c>
      <c r="R2312" s="317" t="str">
        <f t="shared" si="230"/>
        <v/>
      </c>
      <c r="S2312" s="317" t="str">
        <f t="shared" si="231"/>
        <v/>
      </c>
      <c r="T2312" s="317" t="str">
        <f>GLOBAL_DER_FEV_2023!S2312</f>
        <v/>
      </c>
      <c r="W2312" s="582">
        <v>0</v>
      </c>
      <c r="X2312" s="580"/>
      <c r="Y2312" s="583">
        <f>IF(GLOBAL_DER_FEV_2023!W2312=0,0,IF(GLOBAL_DER_FEV_2023!W2312&gt;0,"c","b"))</f>
        <v>0</v>
      </c>
    </row>
    <row r="2313" spans="1:25" ht="15" customHeight="1" x14ac:dyDescent="0.2">
      <c r="A2313" s="317" t="s">
        <v>147</v>
      </c>
      <c r="B2313" s="895" t="s">
        <v>147</v>
      </c>
      <c r="C2313" s="896"/>
      <c r="D2313" s="906" t="s">
        <v>229</v>
      </c>
      <c r="E2313" s="907">
        <f>GLOBAL_DER_FEV_2023!E2313</f>
        <v>150</v>
      </c>
      <c r="F2313" s="908">
        <f>GLOBAL_DER_FEV_2023!F2313</f>
        <v>1.7263925000000002</v>
      </c>
      <c r="G2313" s="949">
        <f>GLOBAL_DER_FEV_2023!G2313</f>
        <v>281.71272815000003</v>
      </c>
      <c r="H2313" s="901">
        <f>GLOBAL_DER_FEV_2023!H2313</f>
        <v>0</v>
      </c>
      <c r="I2313" s="901">
        <f>GLOBAL_DER_FEV_2023!I2313</f>
        <v>0</v>
      </c>
      <c r="J2313" s="902">
        <f>GLOBAL_DER_FEV_2023!J2313</f>
        <v>0</v>
      </c>
      <c r="K2313" s="903"/>
      <c r="L2313" s="1177"/>
      <c r="M2313" s="1138">
        <f t="shared" si="232"/>
        <v>0</v>
      </c>
      <c r="N2313" s="1176">
        <f t="shared" si="228"/>
        <v>0</v>
      </c>
      <c r="O2313" s="905"/>
      <c r="P2313" s="36" t="str">
        <f>IF(N2311&gt;0,"xx",IF(N2311&gt;0,"xy",""))</f>
        <v/>
      </c>
      <c r="Q2313" s="317" t="str">
        <f t="shared" si="229"/>
        <v/>
      </c>
      <c r="R2313" s="317" t="str">
        <f t="shared" si="230"/>
        <v/>
      </c>
      <c r="S2313" s="317" t="str">
        <f t="shared" si="231"/>
        <v/>
      </c>
      <c r="T2313" s="317" t="str">
        <f>GLOBAL_DER_FEV_2023!S2313</f>
        <v/>
      </c>
      <c r="W2313" s="582">
        <v>0</v>
      </c>
      <c r="X2313" s="580"/>
      <c r="Y2313" s="583">
        <f>IF(GLOBAL_DER_FEV_2023!W2313=0,0,IF(GLOBAL_DER_FEV_2023!W2313&gt;0,"c","b"))</f>
        <v>0</v>
      </c>
    </row>
    <row r="2314" spans="1:25" ht="15" customHeight="1" x14ac:dyDescent="0.2">
      <c r="A2314" s="317" t="s">
        <v>147</v>
      </c>
      <c r="B2314" s="895" t="s">
        <v>147</v>
      </c>
      <c r="C2314" s="896"/>
      <c r="D2314" s="906" t="s">
        <v>233</v>
      </c>
      <c r="E2314" s="907">
        <f>GLOBAL_DER_FEV_2023!E2314</f>
        <v>0.2</v>
      </c>
      <c r="F2314" s="908">
        <f>GLOBAL_DER_FEV_2023!F2314</f>
        <v>1.3209000000000002</v>
      </c>
      <c r="G2314" s="949">
        <f>GLOBAL_DER_FEV_2023!G2314</f>
        <v>3.8226846000000005</v>
      </c>
      <c r="H2314" s="901">
        <f>GLOBAL_DER_FEV_2023!H2314</f>
        <v>0</v>
      </c>
      <c r="I2314" s="901">
        <f>GLOBAL_DER_FEV_2023!I2314</f>
        <v>0</v>
      </c>
      <c r="J2314" s="902">
        <f>GLOBAL_DER_FEV_2023!J2314</f>
        <v>0</v>
      </c>
      <c r="K2314" s="903"/>
      <c r="L2314" s="1177"/>
      <c r="M2314" s="1138">
        <f t="shared" si="232"/>
        <v>0</v>
      </c>
      <c r="N2314" s="1176">
        <f t="shared" si="228"/>
        <v>0</v>
      </c>
      <c r="O2314" s="905"/>
      <c r="P2314" s="36" t="str">
        <f>IF(N2311&gt;0,"xx",IF(N2311&gt;0,"xy",""))</f>
        <v/>
      </c>
      <c r="Q2314" s="317" t="str">
        <f t="shared" si="229"/>
        <v/>
      </c>
      <c r="R2314" s="317" t="str">
        <f t="shared" si="230"/>
        <v/>
      </c>
      <c r="S2314" s="317" t="str">
        <f t="shared" si="231"/>
        <v/>
      </c>
      <c r="T2314" s="317" t="str">
        <f>GLOBAL_DER_FEV_2023!S2314</f>
        <v/>
      </c>
      <c r="W2314" s="582">
        <v>0</v>
      </c>
      <c r="X2314" s="580"/>
      <c r="Y2314" s="583">
        <f>IF(GLOBAL_DER_FEV_2023!W2314=0,0,IF(GLOBAL_DER_FEV_2023!W2314&gt;0,"c","b"))</f>
        <v>0</v>
      </c>
    </row>
    <row r="2315" spans="1:25" ht="15" customHeight="1" x14ac:dyDescent="0.2">
      <c r="A2315" s="317" t="s">
        <v>147</v>
      </c>
      <c r="B2315" s="895" t="s">
        <v>147</v>
      </c>
      <c r="C2315" s="896"/>
      <c r="D2315" s="906" t="s">
        <v>365</v>
      </c>
      <c r="E2315" s="907">
        <f>GLOBAL_DER_FEV_2023!E2315</f>
        <v>10</v>
      </c>
      <c r="F2315" s="908">
        <f>GLOBAL_DER_FEV_2023!F2315</f>
        <v>1.30284</v>
      </c>
      <c r="G2315" s="949">
        <f>GLOBAL_DER_FEV_2023!G2315</f>
        <v>17.4319992</v>
      </c>
      <c r="H2315" s="901">
        <f>GLOBAL_DER_FEV_2023!H2315</f>
        <v>0</v>
      </c>
      <c r="I2315" s="901">
        <f>GLOBAL_DER_FEV_2023!I2315</f>
        <v>0</v>
      </c>
      <c r="J2315" s="902">
        <f>GLOBAL_DER_FEV_2023!J2315</f>
        <v>0</v>
      </c>
      <c r="K2315" s="903"/>
      <c r="L2315" s="1177"/>
      <c r="M2315" s="1138">
        <f t="shared" si="232"/>
        <v>0</v>
      </c>
      <c r="N2315" s="1176">
        <f t="shared" si="228"/>
        <v>0</v>
      </c>
      <c r="O2315" s="905"/>
      <c r="P2315" s="36" t="str">
        <f>IF(N2311&gt;0,"xx",IF(N2311&gt;0,"xy",""))</f>
        <v/>
      </c>
      <c r="Q2315" s="317" t="str">
        <f t="shared" si="229"/>
        <v/>
      </c>
      <c r="R2315" s="317" t="str">
        <f t="shared" si="230"/>
        <v/>
      </c>
      <c r="S2315" s="317" t="str">
        <f t="shared" si="231"/>
        <v/>
      </c>
      <c r="T2315" s="317" t="str">
        <f>GLOBAL_DER_FEV_2023!S2315</f>
        <v/>
      </c>
      <c r="W2315" s="582">
        <v>0</v>
      </c>
      <c r="X2315" s="580"/>
      <c r="Y2315" s="583">
        <f>IF(GLOBAL_DER_FEV_2023!W2315=0,0,IF(GLOBAL_DER_FEV_2023!W2315&gt;0,"c","b"))</f>
        <v>0</v>
      </c>
    </row>
    <row r="2316" spans="1:25" ht="15" customHeight="1" x14ac:dyDescent="0.2">
      <c r="A2316" s="317" t="s">
        <v>147</v>
      </c>
      <c r="B2316" s="895" t="s">
        <v>147</v>
      </c>
      <c r="C2316" s="896"/>
      <c r="D2316" s="906" t="s">
        <v>366</v>
      </c>
      <c r="E2316" s="907">
        <f>GLOBAL_DER_FEV_2023!E2316</f>
        <v>353</v>
      </c>
      <c r="F2316" s="908">
        <f>GLOBAL_DER_FEV_2023!F2316</f>
        <v>4.3428000000000001E-2</v>
      </c>
      <c r="G2316" s="909">
        <f>GLOBAL_DER_FEV_2023!G2316</f>
        <v>12.297072480000001</v>
      </c>
      <c r="H2316" s="901">
        <f>GLOBAL_DER_FEV_2023!H2316</f>
        <v>0</v>
      </c>
      <c r="I2316" s="901">
        <f>GLOBAL_DER_FEV_2023!I2316</f>
        <v>0</v>
      </c>
      <c r="J2316" s="902">
        <f>GLOBAL_DER_FEV_2023!J2316</f>
        <v>0</v>
      </c>
      <c r="K2316" s="903"/>
      <c r="L2316" s="1177"/>
      <c r="M2316" s="1138">
        <f t="shared" si="232"/>
        <v>0</v>
      </c>
      <c r="N2316" s="1176">
        <f t="shared" si="228"/>
        <v>0</v>
      </c>
      <c r="O2316" s="905"/>
      <c r="P2316" s="36" t="str">
        <f>IF(N2311&gt;0,"xx",IF(N2311&gt;0,"xy",""))</f>
        <v/>
      </c>
      <c r="Q2316" s="317" t="str">
        <f t="shared" si="229"/>
        <v/>
      </c>
      <c r="R2316" s="317" t="str">
        <f t="shared" si="230"/>
        <v/>
      </c>
      <c r="S2316" s="317" t="str">
        <f t="shared" si="231"/>
        <v/>
      </c>
      <c r="T2316" s="317" t="str">
        <f>GLOBAL_DER_FEV_2023!S2316</f>
        <v/>
      </c>
      <c r="W2316" s="582">
        <v>0</v>
      </c>
      <c r="X2316" s="580"/>
      <c r="Y2316" s="583">
        <f>IF(GLOBAL_DER_FEV_2023!W2316=0,0,IF(GLOBAL_DER_FEV_2023!W2316&gt;0,"c","b"))</f>
        <v>0</v>
      </c>
    </row>
    <row r="2317" spans="1:25" ht="15" customHeight="1" x14ac:dyDescent="0.2">
      <c r="A2317" s="317" t="s">
        <v>114</v>
      </c>
      <c r="B2317" s="895" t="s">
        <v>114</v>
      </c>
      <c r="C2317" s="896" t="s">
        <v>184</v>
      </c>
      <c r="D2317" s="906" t="s">
        <v>131</v>
      </c>
      <c r="E2317" s="907">
        <f>GLOBAL_DER_FEV_2023!E2317</f>
        <v>0</v>
      </c>
      <c r="F2317" s="908">
        <f>GLOBAL_DER_FEV_2023!F2317</f>
        <v>0</v>
      </c>
      <c r="G2317" s="912">
        <f>GLOBAL_DER_FEV_2023!G2317</f>
        <v>482.61948668600007</v>
      </c>
      <c r="H2317" s="901">
        <f>GLOBAL_DER_FEV_2023!H2317</f>
        <v>3286.28</v>
      </c>
      <c r="I2317" s="901">
        <f>GLOBAL_DER_FEV_2023!I2317</f>
        <v>3768.8994866860003</v>
      </c>
      <c r="J2317" s="902">
        <f>GLOBAL_DER_FEV_2023!J2317</f>
        <v>4525.32</v>
      </c>
      <c r="K2317" s="903" t="s">
        <v>15</v>
      </c>
      <c r="L2317" s="1137"/>
      <c r="M2317" s="1138">
        <f t="shared" si="232"/>
        <v>0</v>
      </c>
      <c r="N2317" s="1176">
        <f t="shared" si="228"/>
        <v>0</v>
      </c>
      <c r="O2317" s="905"/>
      <c r="Q2317" s="317" t="str">
        <f t="shared" si="229"/>
        <v/>
      </c>
      <c r="R2317" s="317" t="str">
        <f t="shared" si="230"/>
        <v/>
      </c>
      <c r="S2317" s="317" t="str">
        <f t="shared" si="231"/>
        <v/>
      </c>
      <c r="T2317" s="317" t="str">
        <f>GLOBAL_DER_FEV_2023!S2317</f>
        <v/>
      </c>
      <c r="W2317" s="582">
        <v>0</v>
      </c>
      <c r="X2317" s="580"/>
      <c r="Y2317" s="583">
        <f>IF(GLOBAL_DER_FEV_2023!W2317=0,0,IF(GLOBAL_DER_FEV_2023!W2317&gt;0,"c","b"))</f>
        <v>0</v>
      </c>
    </row>
    <row r="2318" spans="1:25" ht="15" customHeight="1" x14ac:dyDescent="0.2">
      <c r="A2318" s="317" t="s">
        <v>147</v>
      </c>
      <c r="B2318" s="895" t="s">
        <v>147</v>
      </c>
      <c r="C2318" s="896"/>
      <c r="D2318" s="906" t="s">
        <v>190</v>
      </c>
      <c r="E2318" s="907">
        <f>GLOBAL_DER_FEV_2023!E2318</f>
        <v>308</v>
      </c>
      <c r="F2318" s="908">
        <f>GLOBAL_DER_FEV_2023!F2318</f>
        <v>0.50537460000000012</v>
      </c>
      <c r="G2318" s="909">
        <f>GLOBAL_DER_FEV_2023!G2318</f>
        <v>125.36322327600003</v>
      </c>
      <c r="H2318" s="901">
        <f>GLOBAL_DER_FEV_2023!H2318</f>
        <v>0</v>
      </c>
      <c r="I2318" s="901">
        <f>GLOBAL_DER_FEV_2023!I2318</f>
        <v>0</v>
      </c>
      <c r="J2318" s="902">
        <f>GLOBAL_DER_FEV_2023!J2318</f>
        <v>0</v>
      </c>
      <c r="K2318" s="903"/>
      <c r="L2318" s="1177"/>
      <c r="M2318" s="1138">
        <f t="shared" si="232"/>
        <v>0</v>
      </c>
      <c r="N2318" s="1176">
        <f t="shared" si="228"/>
        <v>0</v>
      </c>
      <c r="O2318" s="905"/>
      <c r="P2318" s="36" t="str">
        <f>IF(N2317&gt;0,"xx",IF(N2317&gt;0,"xy",""))</f>
        <v/>
      </c>
      <c r="Q2318" s="317" t="str">
        <f t="shared" si="229"/>
        <v/>
      </c>
      <c r="R2318" s="317" t="str">
        <f t="shared" si="230"/>
        <v/>
      </c>
      <c r="S2318" s="317" t="str">
        <f t="shared" si="231"/>
        <v/>
      </c>
      <c r="T2318" s="317" t="str">
        <f>GLOBAL_DER_FEV_2023!S2318</f>
        <v/>
      </c>
      <c r="W2318" s="582">
        <v>0</v>
      </c>
      <c r="X2318" s="580"/>
      <c r="Y2318" s="583">
        <f>IF(GLOBAL_DER_FEV_2023!W2318=0,0,IF(GLOBAL_DER_FEV_2023!W2318&gt;0,"c","b"))</f>
        <v>0</v>
      </c>
    </row>
    <row r="2319" spans="1:25" ht="15" customHeight="1" x14ac:dyDescent="0.2">
      <c r="A2319" s="317" t="s">
        <v>147</v>
      </c>
      <c r="B2319" s="895" t="s">
        <v>147</v>
      </c>
      <c r="C2319" s="896"/>
      <c r="D2319" s="906" t="s">
        <v>229</v>
      </c>
      <c r="E2319" s="907">
        <f>GLOBAL_DER_FEV_2023!E2319</f>
        <v>150</v>
      </c>
      <c r="F2319" s="908">
        <f>GLOBAL_DER_FEV_2023!F2319</f>
        <v>1.9364075000000001</v>
      </c>
      <c r="G2319" s="949">
        <f>GLOBAL_DER_FEV_2023!G2319</f>
        <v>315.98297585</v>
      </c>
      <c r="H2319" s="901">
        <f>GLOBAL_DER_FEV_2023!H2319</f>
        <v>0</v>
      </c>
      <c r="I2319" s="901">
        <f>GLOBAL_DER_FEV_2023!I2319</f>
        <v>0</v>
      </c>
      <c r="J2319" s="902">
        <f>GLOBAL_DER_FEV_2023!J2319</f>
        <v>0</v>
      </c>
      <c r="K2319" s="903"/>
      <c r="L2319" s="1177"/>
      <c r="M2319" s="1138">
        <f t="shared" si="232"/>
        <v>0</v>
      </c>
      <c r="N2319" s="1176">
        <f t="shared" si="228"/>
        <v>0</v>
      </c>
      <c r="O2319" s="905"/>
      <c r="P2319" s="36" t="str">
        <f>IF(N2317&gt;0,"xx",IF(N2317&gt;0,"xy",""))</f>
        <v/>
      </c>
      <c r="Q2319" s="317" t="str">
        <f t="shared" si="229"/>
        <v/>
      </c>
      <c r="R2319" s="317" t="str">
        <f t="shared" si="230"/>
        <v/>
      </c>
      <c r="S2319" s="317" t="str">
        <f t="shared" si="231"/>
        <v/>
      </c>
      <c r="T2319" s="317" t="str">
        <f>GLOBAL_DER_FEV_2023!S2319</f>
        <v/>
      </c>
      <c r="W2319" s="582">
        <v>0</v>
      </c>
      <c r="X2319" s="580"/>
      <c r="Y2319" s="583">
        <f>IF(GLOBAL_DER_FEV_2023!W2319=0,0,IF(GLOBAL_DER_FEV_2023!W2319&gt;0,"c","b"))</f>
        <v>0</v>
      </c>
    </row>
    <row r="2320" spans="1:25" ht="15" customHeight="1" x14ac:dyDescent="0.2">
      <c r="A2320" s="317" t="s">
        <v>147</v>
      </c>
      <c r="B2320" s="895" t="s">
        <v>147</v>
      </c>
      <c r="C2320" s="896"/>
      <c r="D2320" s="906" t="s">
        <v>233</v>
      </c>
      <c r="E2320" s="907">
        <f>GLOBAL_DER_FEV_2023!E2320</f>
        <v>0.2</v>
      </c>
      <c r="F2320" s="908">
        <f>GLOBAL_DER_FEV_2023!F2320</f>
        <v>1.3875000000000002</v>
      </c>
      <c r="G2320" s="949">
        <f>GLOBAL_DER_FEV_2023!G2320</f>
        <v>4.0154250000000005</v>
      </c>
      <c r="H2320" s="901">
        <f>GLOBAL_DER_FEV_2023!H2320</f>
        <v>0</v>
      </c>
      <c r="I2320" s="901">
        <f>GLOBAL_DER_FEV_2023!I2320</f>
        <v>0</v>
      </c>
      <c r="J2320" s="902">
        <f>GLOBAL_DER_FEV_2023!J2320</f>
        <v>0</v>
      </c>
      <c r="K2320" s="903"/>
      <c r="L2320" s="1177"/>
      <c r="M2320" s="1138">
        <f t="shared" si="232"/>
        <v>0</v>
      </c>
      <c r="N2320" s="1176">
        <f t="shared" si="228"/>
        <v>0</v>
      </c>
      <c r="O2320" s="905"/>
      <c r="P2320" s="36" t="str">
        <f>IF(N2317&gt;0,"xx",IF(N2317&gt;0,"xy",""))</f>
        <v/>
      </c>
      <c r="Q2320" s="317" t="str">
        <f t="shared" si="229"/>
        <v/>
      </c>
      <c r="R2320" s="317" t="str">
        <f t="shared" si="230"/>
        <v/>
      </c>
      <c r="S2320" s="317" t="str">
        <f t="shared" si="231"/>
        <v/>
      </c>
      <c r="T2320" s="317" t="str">
        <f>GLOBAL_DER_FEV_2023!S2320</f>
        <v/>
      </c>
      <c r="W2320" s="582">
        <v>0</v>
      </c>
      <c r="X2320" s="580"/>
      <c r="Y2320" s="583">
        <f>IF(GLOBAL_DER_FEV_2023!W2320=0,0,IF(GLOBAL_DER_FEV_2023!W2320&gt;0,"c","b"))</f>
        <v>0</v>
      </c>
    </row>
    <row r="2321" spans="1:25" ht="15" customHeight="1" x14ac:dyDescent="0.2">
      <c r="A2321" s="317" t="s">
        <v>147</v>
      </c>
      <c r="B2321" s="895" t="s">
        <v>147</v>
      </c>
      <c r="C2321" s="896"/>
      <c r="D2321" s="906" t="s">
        <v>365</v>
      </c>
      <c r="E2321" s="907">
        <f>GLOBAL_DER_FEV_2023!E2321</f>
        <v>10</v>
      </c>
      <c r="F2321" s="908">
        <f>GLOBAL_DER_FEV_2023!F2321</f>
        <v>1.6327799999999999</v>
      </c>
      <c r="G2321" s="949">
        <f>GLOBAL_DER_FEV_2023!G2321</f>
        <v>21.846596399999999</v>
      </c>
      <c r="H2321" s="901">
        <f>GLOBAL_DER_FEV_2023!H2321</f>
        <v>0</v>
      </c>
      <c r="I2321" s="901">
        <f>GLOBAL_DER_FEV_2023!I2321</f>
        <v>0</v>
      </c>
      <c r="J2321" s="902">
        <f>GLOBAL_DER_FEV_2023!J2321</f>
        <v>0</v>
      </c>
      <c r="K2321" s="903"/>
      <c r="L2321" s="1177"/>
      <c r="M2321" s="1138">
        <f t="shared" si="232"/>
        <v>0</v>
      </c>
      <c r="N2321" s="1176">
        <f t="shared" si="228"/>
        <v>0</v>
      </c>
      <c r="O2321" s="905"/>
      <c r="P2321" s="36" t="str">
        <f>IF(N2317&gt;0,"xx",IF(N2317&gt;0,"xy",""))</f>
        <v/>
      </c>
      <c r="Q2321" s="317" t="str">
        <f t="shared" si="229"/>
        <v/>
      </c>
      <c r="R2321" s="317" t="str">
        <f t="shared" si="230"/>
        <v/>
      </c>
      <c r="S2321" s="317" t="str">
        <f t="shared" si="231"/>
        <v/>
      </c>
      <c r="T2321" s="317" t="str">
        <f>GLOBAL_DER_FEV_2023!S2321</f>
        <v/>
      </c>
      <c r="W2321" s="582">
        <v>0</v>
      </c>
      <c r="X2321" s="580"/>
      <c r="Y2321" s="583">
        <f>IF(GLOBAL_DER_FEV_2023!W2321=0,0,IF(GLOBAL_DER_FEV_2023!W2321&gt;0,"c","b"))</f>
        <v>0</v>
      </c>
    </row>
    <row r="2322" spans="1:25" ht="15" customHeight="1" x14ac:dyDescent="0.2">
      <c r="A2322" s="317" t="s">
        <v>147</v>
      </c>
      <c r="B2322" s="895" t="s">
        <v>147</v>
      </c>
      <c r="C2322" s="896"/>
      <c r="D2322" s="906" t="s">
        <v>366</v>
      </c>
      <c r="E2322" s="907">
        <f>GLOBAL_DER_FEV_2023!E2322</f>
        <v>353</v>
      </c>
      <c r="F2322" s="908">
        <f>GLOBAL_DER_FEV_2023!F2322</f>
        <v>5.4425999999999995E-2</v>
      </c>
      <c r="G2322" s="909">
        <f>GLOBAL_DER_FEV_2023!G2322</f>
        <v>15.41126616</v>
      </c>
      <c r="H2322" s="901">
        <f>GLOBAL_DER_FEV_2023!H2322</f>
        <v>0</v>
      </c>
      <c r="I2322" s="901">
        <f>GLOBAL_DER_FEV_2023!I2322</f>
        <v>0</v>
      </c>
      <c r="J2322" s="902">
        <f>GLOBAL_DER_FEV_2023!J2322</f>
        <v>0</v>
      </c>
      <c r="K2322" s="903"/>
      <c r="L2322" s="1177"/>
      <c r="M2322" s="1138">
        <f t="shared" si="232"/>
        <v>0</v>
      </c>
      <c r="N2322" s="1176">
        <f t="shared" si="228"/>
        <v>0</v>
      </c>
      <c r="O2322" s="905"/>
      <c r="P2322" s="36" t="str">
        <f>IF(N2317&gt;0,"xx",IF(N2317&gt;0,"xy",""))</f>
        <v/>
      </c>
      <c r="Q2322" s="317" t="str">
        <f t="shared" si="229"/>
        <v/>
      </c>
      <c r="R2322" s="317" t="str">
        <f t="shared" si="230"/>
        <v/>
      </c>
      <c r="S2322" s="317" t="str">
        <f t="shared" si="231"/>
        <v/>
      </c>
      <c r="T2322" s="317" t="str">
        <f>GLOBAL_DER_FEV_2023!S2322</f>
        <v/>
      </c>
      <c r="W2322" s="582">
        <v>0</v>
      </c>
      <c r="X2322" s="580"/>
      <c r="Y2322" s="583">
        <f>IF(GLOBAL_DER_FEV_2023!W2322=0,0,IF(GLOBAL_DER_FEV_2023!W2322&gt;0,"c","b"))</f>
        <v>0</v>
      </c>
    </row>
    <row r="2323" spans="1:25" ht="15" customHeight="1" x14ac:dyDescent="0.2">
      <c r="A2323" s="317" t="s">
        <v>118</v>
      </c>
      <c r="B2323" s="895" t="s">
        <v>118</v>
      </c>
      <c r="C2323" s="896" t="s">
        <v>184</v>
      </c>
      <c r="D2323" s="906" t="s">
        <v>132</v>
      </c>
      <c r="E2323" s="907">
        <f>GLOBAL_DER_FEV_2023!E2323</f>
        <v>0</v>
      </c>
      <c r="F2323" s="908">
        <f>GLOBAL_DER_FEV_2023!F2323</f>
        <v>0</v>
      </c>
      <c r="G2323" s="912">
        <f>GLOBAL_DER_FEV_2023!G2323</f>
        <v>286.21071490000003</v>
      </c>
      <c r="H2323" s="901">
        <f>GLOBAL_DER_FEV_2023!H2323</f>
        <v>1401.9</v>
      </c>
      <c r="I2323" s="901">
        <f>GLOBAL_DER_FEV_2023!I2323</f>
        <v>1688.1107149000002</v>
      </c>
      <c r="J2323" s="902">
        <f>GLOBAL_DER_FEV_2023!J2323</f>
        <v>2026.91</v>
      </c>
      <c r="K2323" s="903" t="s">
        <v>15</v>
      </c>
      <c r="L2323" s="1137"/>
      <c r="M2323" s="1138">
        <f t="shared" si="232"/>
        <v>0</v>
      </c>
      <c r="N2323" s="1176">
        <f t="shared" si="228"/>
        <v>0</v>
      </c>
      <c r="O2323" s="905"/>
      <c r="Q2323" s="317" t="str">
        <f t="shared" si="229"/>
        <v/>
      </c>
      <c r="R2323" s="317" t="str">
        <f t="shared" si="230"/>
        <v/>
      </c>
      <c r="S2323" s="317" t="str">
        <f t="shared" si="231"/>
        <v/>
      </c>
      <c r="T2323" s="317" t="str">
        <f>GLOBAL_DER_FEV_2023!S2323</f>
        <v/>
      </c>
      <c r="W2323" s="582">
        <v>0</v>
      </c>
      <c r="X2323" s="580"/>
      <c r="Y2323" s="583">
        <f>IF(GLOBAL_DER_FEV_2023!W2323=0,0,IF(GLOBAL_DER_FEV_2023!W2323&gt;0,"c","b"))</f>
        <v>0</v>
      </c>
    </row>
    <row r="2324" spans="1:25" ht="15" customHeight="1" x14ac:dyDescent="0.2">
      <c r="A2324" s="317" t="s">
        <v>147</v>
      </c>
      <c r="B2324" s="895" t="s">
        <v>147</v>
      </c>
      <c r="C2324" s="896"/>
      <c r="D2324" s="906" t="s">
        <v>190</v>
      </c>
      <c r="E2324" s="907">
        <f>GLOBAL_DER_FEV_2023!E2324</f>
        <v>308</v>
      </c>
      <c r="F2324" s="908">
        <f>GLOBAL_DER_FEV_2023!F2324</f>
        <v>0.38250000000000006</v>
      </c>
      <c r="G2324" s="909">
        <f>GLOBAL_DER_FEV_2023!G2324</f>
        <v>94.882950000000022</v>
      </c>
      <c r="H2324" s="901">
        <f>GLOBAL_DER_FEV_2023!H2324</f>
        <v>0</v>
      </c>
      <c r="I2324" s="901">
        <f>GLOBAL_DER_FEV_2023!I2324</f>
        <v>0</v>
      </c>
      <c r="J2324" s="902">
        <f>GLOBAL_DER_FEV_2023!J2324</f>
        <v>0</v>
      </c>
      <c r="K2324" s="903"/>
      <c r="L2324" s="1177"/>
      <c r="M2324" s="1138">
        <f t="shared" si="232"/>
        <v>0</v>
      </c>
      <c r="N2324" s="1176">
        <f t="shared" si="228"/>
        <v>0</v>
      </c>
      <c r="O2324" s="905"/>
      <c r="P2324" s="36" t="str">
        <f>IF(N2323&gt;0,"xx",IF(N2323&gt;0,"xy",""))</f>
        <v/>
      </c>
      <c r="Q2324" s="317" t="str">
        <f t="shared" si="229"/>
        <v/>
      </c>
      <c r="R2324" s="317" t="str">
        <f t="shared" si="230"/>
        <v/>
      </c>
      <c r="S2324" s="317" t="str">
        <f t="shared" si="231"/>
        <v/>
      </c>
      <c r="T2324" s="317" t="str">
        <f>GLOBAL_DER_FEV_2023!S2324</f>
        <v/>
      </c>
      <c r="W2324" s="582">
        <v>0</v>
      </c>
      <c r="X2324" s="580"/>
      <c r="Y2324" s="583">
        <f>IF(GLOBAL_DER_FEV_2023!W2324=0,0,IF(GLOBAL_DER_FEV_2023!W2324&gt;0,"c","b"))</f>
        <v>0</v>
      </c>
    </row>
    <row r="2325" spans="1:25" ht="15" customHeight="1" x14ac:dyDescent="0.2">
      <c r="A2325" s="317" t="s">
        <v>147</v>
      </c>
      <c r="B2325" s="895" t="s">
        <v>147</v>
      </c>
      <c r="C2325" s="896"/>
      <c r="D2325" s="906" t="s">
        <v>229</v>
      </c>
      <c r="E2325" s="907">
        <f>GLOBAL_DER_FEV_2023!E2325</f>
        <v>150</v>
      </c>
      <c r="F2325" s="908">
        <f>GLOBAL_DER_FEV_2023!F2325</f>
        <v>1.1483800000000002</v>
      </c>
      <c r="G2325" s="949">
        <f>GLOBAL_DER_FEV_2023!G2325</f>
        <v>187.39264840000004</v>
      </c>
      <c r="H2325" s="901">
        <f>GLOBAL_DER_FEV_2023!H2325</f>
        <v>0</v>
      </c>
      <c r="I2325" s="901">
        <f>GLOBAL_DER_FEV_2023!I2325</f>
        <v>0</v>
      </c>
      <c r="J2325" s="902">
        <f>GLOBAL_DER_FEV_2023!J2325</f>
        <v>0</v>
      </c>
      <c r="K2325" s="903"/>
      <c r="L2325" s="1177"/>
      <c r="M2325" s="1138">
        <f t="shared" si="232"/>
        <v>0</v>
      </c>
      <c r="N2325" s="1176">
        <f t="shared" si="228"/>
        <v>0</v>
      </c>
      <c r="O2325" s="905"/>
      <c r="P2325" s="36" t="str">
        <f>IF(N2323&gt;0,"xx",IF(N2323&gt;0,"xy",""))</f>
        <v/>
      </c>
      <c r="Q2325" s="317" t="str">
        <f t="shared" si="229"/>
        <v/>
      </c>
      <c r="R2325" s="317" t="str">
        <f t="shared" si="230"/>
        <v/>
      </c>
      <c r="S2325" s="317" t="str">
        <f t="shared" si="231"/>
        <v/>
      </c>
      <c r="T2325" s="317" t="str">
        <f>GLOBAL_DER_FEV_2023!S2325</f>
        <v/>
      </c>
      <c r="W2325" s="582">
        <v>0</v>
      </c>
      <c r="X2325" s="580"/>
      <c r="Y2325" s="583">
        <f>IF(GLOBAL_DER_FEV_2023!W2325=0,0,IF(GLOBAL_DER_FEV_2023!W2325&gt;0,"c","b"))</f>
        <v>0</v>
      </c>
    </row>
    <row r="2326" spans="1:25" ht="15" customHeight="1" x14ac:dyDescent="0.2">
      <c r="A2326" s="317" t="s">
        <v>147</v>
      </c>
      <c r="B2326" s="895" t="s">
        <v>147</v>
      </c>
      <c r="C2326" s="896"/>
      <c r="D2326" s="906" t="s">
        <v>233</v>
      </c>
      <c r="E2326" s="907">
        <f>GLOBAL_DER_FEV_2023!E2326</f>
        <v>0.2</v>
      </c>
      <c r="F2326" s="908">
        <f>GLOBAL_DER_FEV_2023!F2326</f>
        <v>1.35975</v>
      </c>
      <c r="G2326" s="949">
        <f>GLOBAL_DER_FEV_2023!G2326</f>
        <v>3.9351165000000004</v>
      </c>
      <c r="H2326" s="901">
        <f>GLOBAL_DER_FEV_2023!H2326</f>
        <v>0</v>
      </c>
      <c r="I2326" s="901">
        <f>GLOBAL_DER_FEV_2023!I2326</f>
        <v>0</v>
      </c>
      <c r="J2326" s="902">
        <f>GLOBAL_DER_FEV_2023!J2326</f>
        <v>0</v>
      </c>
      <c r="K2326" s="903"/>
      <c r="L2326" s="1177"/>
      <c r="M2326" s="1138">
        <f t="shared" si="232"/>
        <v>0</v>
      </c>
      <c r="N2326" s="1176">
        <f t="shared" si="228"/>
        <v>0</v>
      </c>
      <c r="O2326" s="905"/>
      <c r="P2326" s="36" t="str">
        <f>IF(N2323&gt;0,"xx",IF(N2323&gt;0,"xy",""))</f>
        <v/>
      </c>
      <c r="Q2326" s="317" t="str">
        <f t="shared" si="229"/>
        <v/>
      </c>
      <c r="R2326" s="317" t="str">
        <f t="shared" si="230"/>
        <v/>
      </c>
      <c r="S2326" s="317" t="str">
        <f t="shared" si="231"/>
        <v/>
      </c>
      <c r="T2326" s="317" t="str">
        <f>GLOBAL_DER_FEV_2023!S2326</f>
        <v/>
      </c>
      <c r="W2326" s="582">
        <v>0</v>
      </c>
      <c r="X2326" s="580"/>
      <c r="Y2326" s="583">
        <f>IF(GLOBAL_DER_FEV_2023!W2326=0,0,IF(GLOBAL_DER_FEV_2023!W2326&gt;0,"c","b"))</f>
        <v>0</v>
      </c>
    </row>
    <row r="2327" spans="1:25" ht="15" customHeight="1" x14ac:dyDescent="0.2">
      <c r="A2327" s="317" t="s">
        <v>119</v>
      </c>
      <c r="B2327" s="895" t="s">
        <v>119</v>
      </c>
      <c r="C2327" s="896" t="s">
        <v>184</v>
      </c>
      <c r="D2327" s="906" t="s">
        <v>133</v>
      </c>
      <c r="E2327" s="907">
        <f>GLOBAL_DER_FEV_2023!E2327</f>
        <v>0</v>
      </c>
      <c r="F2327" s="908">
        <f>GLOBAL_DER_FEV_2023!F2327</f>
        <v>0</v>
      </c>
      <c r="G2327" s="912">
        <f>GLOBAL_DER_FEV_2023!G2327</f>
        <v>321.51485289999999</v>
      </c>
      <c r="H2327" s="901">
        <f>GLOBAL_DER_FEV_2023!H2327</f>
        <v>1493.02</v>
      </c>
      <c r="I2327" s="901">
        <f>GLOBAL_DER_FEV_2023!I2327</f>
        <v>1814.5348529</v>
      </c>
      <c r="J2327" s="902">
        <f>GLOBAL_DER_FEV_2023!J2327</f>
        <v>2178.71</v>
      </c>
      <c r="K2327" s="903" t="s">
        <v>15</v>
      </c>
      <c r="L2327" s="1137"/>
      <c r="M2327" s="1138">
        <f t="shared" si="232"/>
        <v>0</v>
      </c>
      <c r="N2327" s="1176">
        <f t="shared" ref="N2327:N2390" si="233">IF(ISBLANK(L2327),0,IF(W2327=0,ROUND(L2327*M2327,2),IF(W2327="b",ROUNDDOWN(L2327*M2327,2),ROUNDUP(L2327*M2327,2))))</f>
        <v>0</v>
      </c>
      <c r="O2327" s="905"/>
      <c r="Q2327" s="317" t="str">
        <f t="shared" ref="Q2327:Q2370" si="234">IF(P2327="X","x",IF(P2327="xx","x",IF(P2327="xy","x",IF(P2327="y","x",IF(OR(N2327&gt;0,N2327&gt;0),"x","")))))</f>
        <v/>
      </c>
      <c r="R2327" s="317" t="str">
        <f t="shared" si="230"/>
        <v/>
      </c>
      <c r="S2327" s="317" t="str">
        <f t="shared" si="231"/>
        <v/>
      </c>
      <c r="T2327" s="317" t="str">
        <f>GLOBAL_DER_FEV_2023!S2327</f>
        <v/>
      </c>
      <c r="W2327" s="582">
        <v>0</v>
      </c>
      <c r="X2327" s="580"/>
      <c r="Y2327" s="583">
        <f>IF(GLOBAL_DER_FEV_2023!W2327=0,0,IF(GLOBAL_DER_FEV_2023!W2327&gt;0,"c","b"))</f>
        <v>0</v>
      </c>
    </row>
    <row r="2328" spans="1:25" ht="15" customHeight="1" x14ac:dyDescent="0.2">
      <c r="A2328" s="317" t="s">
        <v>147</v>
      </c>
      <c r="B2328" s="895" t="s">
        <v>147</v>
      </c>
      <c r="C2328" s="896"/>
      <c r="D2328" s="906" t="s">
        <v>190</v>
      </c>
      <c r="E2328" s="907">
        <f>GLOBAL_DER_FEV_2023!E2328</f>
        <v>308</v>
      </c>
      <c r="F2328" s="908">
        <f>GLOBAL_DER_FEV_2023!F2328</f>
        <v>0.43200000000000005</v>
      </c>
      <c r="G2328" s="909">
        <f>GLOBAL_DER_FEV_2023!G2328</f>
        <v>107.16192000000001</v>
      </c>
      <c r="H2328" s="901">
        <f>GLOBAL_DER_FEV_2023!H2328</f>
        <v>0</v>
      </c>
      <c r="I2328" s="901">
        <f>GLOBAL_DER_FEV_2023!I2328</f>
        <v>0</v>
      </c>
      <c r="J2328" s="902">
        <f>GLOBAL_DER_FEV_2023!J2328</f>
        <v>0</v>
      </c>
      <c r="K2328" s="903"/>
      <c r="L2328" s="1177"/>
      <c r="M2328" s="1138">
        <f t="shared" si="232"/>
        <v>0</v>
      </c>
      <c r="N2328" s="1176">
        <f t="shared" si="233"/>
        <v>0</v>
      </c>
      <c r="O2328" s="905"/>
      <c r="P2328" s="36" t="str">
        <f>IF(N2327&gt;0,"xx",IF(N2327&gt;0,"xy",""))</f>
        <v/>
      </c>
      <c r="Q2328" s="317" t="str">
        <f t="shared" si="234"/>
        <v/>
      </c>
      <c r="R2328" s="317" t="str">
        <f t="shared" si="230"/>
        <v/>
      </c>
      <c r="S2328" s="317" t="str">
        <f t="shared" si="231"/>
        <v/>
      </c>
      <c r="T2328" s="317" t="str">
        <f>GLOBAL_DER_FEV_2023!S2328</f>
        <v/>
      </c>
      <c r="W2328" s="582">
        <v>0</v>
      </c>
      <c r="X2328" s="580"/>
      <c r="Y2328" s="583">
        <f>IF(GLOBAL_DER_FEV_2023!W2328=0,0,IF(GLOBAL_DER_FEV_2023!W2328&gt;0,"c","b"))</f>
        <v>0</v>
      </c>
    </row>
    <row r="2329" spans="1:25" ht="15" customHeight="1" x14ac:dyDescent="0.2">
      <c r="A2329" s="317" t="s">
        <v>147</v>
      </c>
      <c r="B2329" s="895" t="s">
        <v>147</v>
      </c>
      <c r="C2329" s="896"/>
      <c r="D2329" s="906" t="s">
        <v>229</v>
      </c>
      <c r="E2329" s="907">
        <f>GLOBAL_DER_FEV_2023!E2329</f>
        <v>150</v>
      </c>
      <c r="F2329" s="908">
        <f>GLOBAL_DER_FEV_2023!F2329</f>
        <v>1.28653</v>
      </c>
      <c r="G2329" s="949">
        <f>GLOBAL_DER_FEV_2023!G2329</f>
        <v>209.93596540000001</v>
      </c>
      <c r="H2329" s="901">
        <f>GLOBAL_DER_FEV_2023!H2329</f>
        <v>0</v>
      </c>
      <c r="I2329" s="901">
        <f>GLOBAL_DER_FEV_2023!I2329</f>
        <v>0</v>
      </c>
      <c r="J2329" s="902">
        <f>GLOBAL_DER_FEV_2023!J2329</f>
        <v>0</v>
      </c>
      <c r="K2329" s="903"/>
      <c r="L2329" s="1177"/>
      <c r="M2329" s="1138">
        <f t="shared" si="232"/>
        <v>0</v>
      </c>
      <c r="N2329" s="1176">
        <f t="shared" si="233"/>
        <v>0</v>
      </c>
      <c r="O2329" s="905"/>
      <c r="P2329" s="36" t="str">
        <f>IF(N2327&gt;0,"xx",IF(N2327&gt;0,"xy",""))</f>
        <v/>
      </c>
      <c r="Q2329" s="317" t="str">
        <f t="shared" si="234"/>
        <v/>
      </c>
      <c r="R2329" s="317" t="str">
        <f t="shared" ref="R2329:R2370" si="235">IF(P2329="X","x",IF(P2329="y","x",IF(P2329="xx","x",IF(N2329&gt;0,"x",""))))</f>
        <v/>
      </c>
      <c r="S2329" s="317" t="str">
        <f t="shared" ref="S2329:S2370" si="236">IF(P2329="X","x",IF(N2329&gt;0,"x",""))</f>
        <v/>
      </c>
      <c r="T2329" s="317" t="str">
        <f>GLOBAL_DER_FEV_2023!S2329</f>
        <v/>
      </c>
      <c r="W2329" s="582">
        <v>0</v>
      </c>
      <c r="X2329" s="580"/>
      <c r="Y2329" s="583">
        <f>IF(GLOBAL_DER_FEV_2023!W2329=0,0,IF(GLOBAL_DER_FEV_2023!W2329&gt;0,"c","b"))</f>
        <v>0</v>
      </c>
    </row>
    <row r="2330" spans="1:25" ht="15" customHeight="1" x14ac:dyDescent="0.2">
      <c r="A2330" s="317" t="s">
        <v>147</v>
      </c>
      <c r="B2330" s="895" t="s">
        <v>147</v>
      </c>
      <c r="C2330" s="896"/>
      <c r="D2330" s="906" t="s">
        <v>233</v>
      </c>
      <c r="E2330" s="907">
        <f>GLOBAL_DER_FEV_2023!E2330</f>
        <v>0.2</v>
      </c>
      <c r="F2330" s="908">
        <f>GLOBAL_DER_FEV_2023!F2330</f>
        <v>1.5262500000000001</v>
      </c>
      <c r="G2330" s="949">
        <f>GLOBAL_DER_FEV_2023!G2330</f>
        <v>4.4169675000000002</v>
      </c>
      <c r="H2330" s="901">
        <f>GLOBAL_DER_FEV_2023!H2330</f>
        <v>0</v>
      </c>
      <c r="I2330" s="901">
        <f>GLOBAL_DER_FEV_2023!I2330</f>
        <v>0</v>
      </c>
      <c r="J2330" s="902">
        <f>GLOBAL_DER_FEV_2023!J2330</f>
        <v>0</v>
      </c>
      <c r="K2330" s="903"/>
      <c r="L2330" s="1177"/>
      <c r="M2330" s="1138">
        <f t="shared" si="232"/>
        <v>0</v>
      </c>
      <c r="N2330" s="1176">
        <f t="shared" si="233"/>
        <v>0</v>
      </c>
      <c r="O2330" s="905"/>
      <c r="P2330" s="36" t="str">
        <f>IF(N2327&gt;0,"xx",IF(N2327&gt;0,"xy",""))</f>
        <v/>
      </c>
      <c r="Q2330" s="317" t="str">
        <f t="shared" si="234"/>
        <v/>
      </c>
      <c r="R2330" s="317" t="str">
        <f t="shared" si="235"/>
        <v/>
      </c>
      <c r="S2330" s="317" t="str">
        <f t="shared" si="236"/>
        <v/>
      </c>
      <c r="T2330" s="317" t="str">
        <f>GLOBAL_DER_FEV_2023!S2330</f>
        <v/>
      </c>
      <c r="W2330" s="582">
        <v>0</v>
      </c>
      <c r="X2330" s="580"/>
      <c r="Y2330" s="583">
        <f>IF(GLOBAL_DER_FEV_2023!W2330=0,0,IF(GLOBAL_DER_FEV_2023!W2330&gt;0,"c","b"))</f>
        <v>0</v>
      </c>
    </row>
    <row r="2331" spans="1:25" ht="15" customHeight="1" x14ac:dyDescent="0.2">
      <c r="A2331" s="317" t="s">
        <v>120</v>
      </c>
      <c r="B2331" s="895" t="s">
        <v>120</v>
      </c>
      <c r="C2331" s="896" t="s">
        <v>184</v>
      </c>
      <c r="D2331" s="906" t="s">
        <v>134</v>
      </c>
      <c r="E2331" s="907">
        <f>GLOBAL_DER_FEV_2023!E2331</f>
        <v>0</v>
      </c>
      <c r="F2331" s="908">
        <f>GLOBAL_DER_FEV_2023!F2331</f>
        <v>0</v>
      </c>
      <c r="G2331" s="912">
        <f>GLOBAL_DER_FEV_2023!G2331</f>
        <v>373.29425529999997</v>
      </c>
      <c r="H2331" s="901">
        <f>GLOBAL_DER_FEV_2023!H2331</f>
        <v>1627.18</v>
      </c>
      <c r="I2331" s="901">
        <f>GLOBAL_DER_FEV_2023!I2331</f>
        <v>2000.4742553000001</v>
      </c>
      <c r="J2331" s="902">
        <f>GLOBAL_DER_FEV_2023!J2331</f>
        <v>2401.9699999999998</v>
      </c>
      <c r="K2331" s="903" t="s">
        <v>15</v>
      </c>
      <c r="L2331" s="1137"/>
      <c r="M2331" s="1138">
        <f t="shared" si="232"/>
        <v>0</v>
      </c>
      <c r="N2331" s="1176">
        <f t="shared" si="233"/>
        <v>0</v>
      </c>
      <c r="O2331" s="905"/>
      <c r="Q2331" s="317" t="str">
        <f t="shared" si="234"/>
        <v/>
      </c>
      <c r="R2331" s="317" t="str">
        <f t="shared" si="235"/>
        <v/>
      </c>
      <c r="S2331" s="317" t="str">
        <f t="shared" si="236"/>
        <v/>
      </c>
      <c r="T2331" s="317" t="str">
        <f>GLOBAL_DER_FEV_2023!S2331</f>
        <v/>
      </c>
      <c r="W2331" s="582">
        <v>0</v>
      </c>
      <c r="X2331" s="580"/>
      <c r="Y2331" s="583">
        <f>IF(GLOBAL_DER_FEV_2023!W2331=0,0,IF(GLOBAL_DER_FEV_2023!W2331&gt;0,"c","b"))</f>
        <v>0</v>
      </c>
    </row>
    <row r="2332" spans="1:25" ht="15" customHeight="1" x14ac:dyDescent="0.2">
      <c r="A2332" s="317" t="s">
        <v>147</v>
      </c>
      <c r="B2332" s="895" t="s">
        <v>147</v>
      </c>
      <c r="C2332" s="896"/>
      <c r="D2332" s="906" t="s">
        <v>190</v>
      </c>
      <c r="E2332" s="907">
        <f>GLOBAL_DER_FEV_2023!E2332</f>
        <v>308</v>
      </c>
      <c r="F2332" s="908">
        <f>GLOBAL_DER_FEV_2023!F2332</f>
        <v>0.50459999999999994</v>
      </c>
      <c r="G2332" s="909">
        <f>GLOBAL_DER_FEV_2023!G2332</f>
        <v>125.17107599999999</v>
      </c>
      <c r="H2332" s="901">
        <f>GLOBAL_DER_FEV_2023!H2332</f>
        <v>0</v>
      </c>
      <c r="I2332" s="901">
        <f>GLOBAL_DER_FEV_2023!I2332</f>
        <v>0</v>
      </c>
      <c r="J2332" s="902">
        <f>GLOBAL_DER_FEV_2023!J2332</f>
        <v>0</v>
      </c>
      <c r="K2332" s="903"/>
      <c r="L2332" s="1177"/>
      <c r="M2332" s="1138">
        <f t="shared" si="232"/>
        <v>0</v>
      </c>
      <c r="N2332" s="1176">
        <f t="shared" si="233"/>
        <v>0</v>
      </c>
      <c r="O2332" s="905"/>
      <c r="P2332" s="36" t="str">
        <f>IF(N2331&gt;0,"xx",IF(N2331&gt;0,"xy",""))</f>
        <v/>
      </c>
      <c r="Q2332" s="317" t="str">
        <f t="shared" si="234"/>
        <v/>
      </c>
      <c r="R2332" s="317" t="str">
        <f t="shared" si="235"/>
        <v/>
      </c>
      <c r="S2332" s="317" t="str">
        <f t="shared" si="236"/>
        <v/>
      </c>
      <c r="T2332" s="317" t="str">
        <f>GLOBAL_DER_FEV_2023!S2332</f>
        <v/>
      </c>
      <c r="W2332" s="582">
        <v>0</v>
      </c>
      <c r="X2332" s="580"/>
      <c r="Y2332" s="583">
        <f>IF(GLOBAL_DER_FEV_2023!W2332=0,0,IF(GLOBAL_DER_FEV_2023!W2332&gt;0,"c","b"))</f>
        <v>0</v>
      </c>
    </row>
    <row r="2333" spans="1:25" ht="15" customHeight="1" x14ac:dyDescent="0.2">
      <c r="A2333" s="317" t="s">
        <v>147</v>
      </c>
      <c r="B2333" s="895" t="s">
        <v>147</v>
      </c>
      <c r="C2333" s="896"/>
      <c r="D2333" s="906" t="s">
        <v>229</v>
      </c>
      <c r="E2333" s="907">
        <f>GLOBAL_DER_FEV_2023!E2333</f>
        <v>150</v>
      </c>
      <c r="F2333" s="908">
        <f>GLOBAL_DER_FEV_2023!F2333</f>
        <v>1.48915</v>
      </c>
      <c r="G2333" s="949">
        <f>GLOBAL_DER_FEV_2023!G2333</f>
        <v>242.99949700000002</v>
      </c>
      <c r="H2333" s="901">
        <f>GLOBAL_DER_FEV_2023!H2333</f>
        <v>0</v>
      </c>
      <c r="I2333" s="901">
        <f>GLOBAL_DER_FEV_2023!I2333</f>
        <v>0</v>
      </c>
      <c r="J2333" s="902">
        <f>GLOBAL_DER_FEV_2023!J2333</f>
        <v>0</v>
      </c>
      <c r="K2333" s="903"/>
      <c r="L2333" s="1177"/>
      <c r="M2333" s="1138">
        <f t="shared" si="232"/>
        <v>0</v>
      </c>
      <c r="N2333" s="1176">
        <f t="shared" si="233"/>
        <v>0</v>
      </c>
      <c r="O2333" s="905"/>
      <c r="P2333" s="36" t="str">
        <f>IF(N2331&gt;0,"xx",IF(N2331&gt;0,"xy",""))</f>
        <v/>
      </c>
      <c r="Q2333" s="317" t="str">
        <f t="shared" si="234"/>
        <v/>
      </c>
      <c r="R2333" s="317" t="str">
        <f t="shared" si="235"/>
        <v/>
      </c>
      <c r="S2333" s="317" t="str">
        <f t="shared" si="236"/>
        <v/>
      </c>
      <c r="T2333" s="317" t="str">
        <f>GLOBAL_DER_FEV_2023!S2333</f>
        <v/>
      </c>
      <c r="W2333" s="582">
        <v>0</v>
      </c>
      <c r="X2333" s="580"/>
      <c r="Y2333" s="583">
        <f>IF(GLOBAL_DER_FEV_2023!W2333=0,0,IF(GLOBAL_DER_FEV_2023!W2333&gt;0,"c","b"))</f>
        <v>0</v>
      </c>
    </row>
    <row r="2334" spans="1:25" ht="15" customHeight="1" x14ac:dyDescent="0.2">
      <c r="A2334" s="317" t="s">
        <v>147</v>
      </c>
      <c r="B2334" s="895" t="s">
        <v>147</v>
      </c>
      <c r="C2334" s="896"/>
      <c r="D2334" s="906" t="s">
        <v>233</v>
      </c>
      <c r="E2334" s="907">
        <f>GLOBAL_DER_FEV_2023!E2334</f>
        <v>0.2</v>
      </c>
      <c r="F2334" s="908">
        <f>GLOBAL_DER_FEV_2023!F2334</f>
        <v>1.7704500000000001</v>
      </c>
      <c r="G2334" s="949">
        <f>GLOBAL_DER_FEV_2023!G2334</f>
        <v>5.1236823000000005</v>
      </c>
      <c r="H2334" s="901">
        <f>GLOBAL_DER_FEV_2023!H2334</f>
        <v>0</v>
      </c>
      <c r="I2334" s="901">
        <f>GLOBAL_DER_FEV_2023!I2334</f>
        <v>0</v>
      </c>
      <c r="J2334" s="902">
        <f>GLOBAL_DER_FEV_2023!J2334</f>
        <v>0</v>
      </c>
      <c r="K2334" s="903"/>
      <c r="L2334" s="1177"/>
      <c r="M2334" s="1138">
        <f t="shared" si="232"/>
        <v>0</v>
      </c>
      <c r="N2334" s="1176">
        <f t="shared" si="233"/>
        <v>0</v>
      </c>
      <c r="O2334" s="905"/>
      <c r="P2334" s="36" t="str">
        <f>IF(N2331&gt;0,"xx",IF(N2331&gt;0,"xy",""))</f>
        <v/>
      </c>
      <c r="Q2334" s="317" t="str">
        <f t="shared" si="234"/>
        <v/>
      </c>
      <c r="R2334" s="317" t="str">
        <f t="shared" si="235"/>
        <v/>
      </c>
      <c r="S2334" s="317" t="str">
        <f t="shared" si="236"/>
        <v/>
      </c>
      <c r="T2334" s="317" t="str">
        <f>GLOBAL_DER_FEV_2023!S2334</f>
        <v/>
      </c>
      <c r="W2334" s="582">
        <v>0</v>
      </c>
      <c r="X2334" s="580"/>
      <c r="Y2334" s="583">
        <f>IF(GLOBAL_DER_FEV_2023!W2334=0,0,IF(GLOBAL_DER_FEV_2023!W2334&gt;0,"c","b"))</f>
        <v>0</v>
      </c>
    </row>
    <row r="2335" spans="1:25" ht="15" customHeight="1" x14ac:dyDescent="0.2">
      <c r="A2335" s="317" t="s">
        <v>121</v>
      </c>
      <c r="B2335" s="895" t="s">
        <v>121</v>
      </c>
      <c r="C2335" s="896" t="s">
        <v>184</v>
      </c>
      <c r="D2335" s="906" t="s">
        <v>135</v>
      </c>
      <c r="E2335" s="907">
        <f>GLOBAL_DER_FEV_2023!E2335</f>
        <v>0</v>
      </c>
      <c r="F2335" s="908">
        <f>GLOBAL_DER_FEV_2023!F2335</f>
        <v>0</v>
      </c>
      <c r="G2335" s="912">
        <f>GLOBAL_DER_FEV_2023!G2335</f>
        <v>472.95947180000007</v>
      </c>
      <c r="H2335" s="901">
        <f>GLOBAL_DER_FEV_2023!H2335</f>
        <v>1851.62</v>
      </c>
      <c r="I2335" s="901">
        <f>GLOBAL_DER_FEV_2023!I2335</f>
        <v>2324.5794717999997</v>
      </c>
      <c r="J2335" s="902">
        <f>GLOBAL_DER_FEV_2023!J2335</f>
        <v>2791.12</v>
      </c>
      <c r="K2335" s="903" t="s">
        <v>15</v>
      </c>
      <c r="L2335" s="1137"/>
      <c r="M2335" s="1138">
        <f t="shared" si="232"/>
        <v>0</v>
      </c>
      <c r="N2335" s="1176">
        <f t="shared" si="233"/>
        <v>0</v>
      </c>
      <c r="O2335" s="905"/>
      <c r="Q2335" s="317" t="str">
        <f t="shared" si="234"/>
        <v/>
      </c>
      <c r="R2335" s="317" t="str">
        <f t="shared" si="235"/>
        <v/>
      </c>
      <c r="S2335" s="317" t="str">
        <f t="shared" si="236"/>
        <v/>
      </c>
      <c r="T2335" s="317" t="str">
        <f>GLOBAL_DER_FEV_2023!S2335</f>
        <v/>
      </c>
      <c r="W2335" s="582">
        <v>0</v>
      </c>
      <c r="X2335" s="580"/>
      <c r="Y2335" s="583">
        <f>IF(GLOBAL_DER_FEV_2023!W2335=0,0,IF(GLOBAL_DER_FEV_2023!W2335&gt;0,"c","b"))</f>
        <v>0</v>
      </c>
    </row>
    <row r="2336" spans="1:25" ht="15" customHeight="1" x14ac:dyDescent="0.2">
      <c r="A2336" s="317" t="s">
        <v>147</v>
      </c>
      <c r="B2336" s="895" t="s">
        <v>147</v>
      </c>
      <c r="C2336" s="896"/>
      <c r="D2336" s="906" t="s">
        <v>190</v>
      </c>
      <c r="E2336" s="907">
        <f>GLOBAL_DER_FEV_2023!E2336</f>
        <v>308</v>
      </c>
      <c r="F2336" s="908">
        <f>GLOBAL_DER_FEV_2023!F2336</f>
        <v>0.6411</v>
      </c>
      <c r="G2336" s="909">
        <f>GLOBAL_DER_FEV_2023!G2336</f>
        <v>159.03126600000002</v>
      </c>
      <c r="H2336" s="901">
        <f>GLOBAL_DER_FEV_2023!H2336</f>
        <v>0</v>
      </c>
      <c r="I2336" s="901">
        <f>GLOBAL_DER_FEV_2023!I2336</f>
        <v>0</v>
      </c>
      <c r="J2336" s="902">
        <f>GLOBAL_DER_FEV_2023!J2336</f>
        <v>0</v>
      </c>
      <c r="K2336" s="903"/>
      <c r="L2336" s="1177"/>
      <c r="M2336" s="1138">
        <f t="shared" si="232"/>
        <v>0</v>
      </c>
      <c r="N2336" s="1176">
        <f t="shared" si="233"/>
        <v>0</v>
      </c>
      <c r="O2336" s="905"/>
      <c r="P2336" s="36" t="str">
        <f>IF(N2335&gt;0,"xx",IF(N2335&gt;0,"xy",""))</f>
        <v/>
      </c>
      <c r="Q2336" s="317" t="str">
        <f t="shared" si="234"/>
        <v/>
      </c>
      <c r="R2336" s="317" t="str">
        <f t="shared" si="235"/>
        <v/>
      </c>
      <c r="S2336" s="317" t="str">
        <f t="shared" si="236"/>
        <v/>
      </c>
      <c r="T2336" s="317" t="str">
        <f>GLOBAL_DER_FEV_2023!S2336</f>
        <v/>
      </c>
      <c r="W2336" s="582">
        <v>0</v>
      </c>
      <c r="X2336" s="580"/>
      <c r="Y2336" s="583">
        <f>IF(GLOBAL_DER_FEV_2023!W2336=0,0,IF(GLOBAL_DER_FEV_2023!W2336&gt;0,"c","b"))</f>
        <v>0</v>
      </c>
    </row>
    <row r="2337" spans="1:25" ht="15" customHeight="1" x14ac:dyDescent="0.2">
      <c r="A2337" s="317" t="s">
        <v>147</v>
      </c>
      <c r="B2337" s="895" t="s">
        <v>147</v>
      </c>
      <c r="C2337" s="896"/>
      <c r="D2337" s="906" t="s">
        <v>229</v>
      </c>
      <c r="E2337" s="907">
        <f>GLOBAL_DER_FEV_2023!E2337</f>
        <v>150</v>
      </c>
      <c r="F2337" s="908">
        <f>GLOBAL_DER_FEV_2023!F2337</f>
        <v>1.8840500000000002</v>
      </c>
      <c r="G2337" s="949">
        <f>GLOBAL_DER_FEV_2023!G2337</f>
        <v>307.43927900000006</v>
      </c>
      <c r="H2337" s="901">
        <f>GLOBAL_DER_FEV_2023!H2337</f>
        <v>0</v>
      </c>
      <c r="I2337" s="901">
        <f>GLOBAL_DER_FEV_2023!I2337</f>
        <v>0</v>
      </c>
      <c r="J2337" s="902">
        <f>GLOBAL_DER_FEV_2023!J2337</f>
        <v>0</v>
      </c>
      <c r="K2337" s="903"/>
      <c r="L2337" s="1177"/>
      <c r="M2337" s="1138">
        <f t="shared" si="232"/>
        <v>0</v>
      </c>
      <c r="N2337" s="1176">
        <f t="shared" si="233"/>
        <v>0</v>
      </c>
      <c r="O2337" s="905"/>
      <c r="P2337" s="36" t="str">
        <f>IF(N2335&gt;0,"xx",IF(N2335&gt;0,"xy",""))</f>
        <v/>
      </c>
      <c r="Q2337" s="317" t="str">
        <f t="shared" si="234"/>
        <v/>
      </c>
      <c r="R2337" s="317" t="str">
        <f t="shared" si="235"/>
        <v/>
      </c>
      <c r="S2337" s="317" t="str">
        <f t="shared" si="236"/>
        <v/>
      </c>
      <c r="T2337" s="317" t="str">
        <f>GLOBAL_DER_FEV_2023!S2337</f>
        <v/>
      </c>
      <c r="W2337" s="582">
        <v>0</v>
      </c>
      <c r="X2337" s="580"/>
      <c r="Y2337" s="583">
        <f>IF(GLOBAL_DER_FEV_2023!W2337=0,0,IF(GLOBAL_DER_FEV_2023!W2337&gt;0,"c","b"))</f>
        <v>0</v>
      </c>
    </row>
    <row r="2338" spans="1:25" ht="15" customHeight="1" x14ac:dyDescent="0.2">
      <c r="A2338" s="317" t="s">
        <v>147</v>
      </c>
      <c r="B2338" s="895" t="s">
        <v>147</v>
      </c>
      <c r="C2338" s="896"/>
      <c r="D2338" s="906" t="s">
        <v>233</v>
      </c>
      <c r="E2338" s="907">
        <f>GLOBAL_DER_FEV_2023!E2338</f>
        <v>0.2</v>
      </c>
      <c r="F2338" s="908">
        <f>GLOBAL_DER_FEV_2023!F2338</f>
        <v>2.2422</v>
      </c>
      <c r="G2338" s="949">
        <f>GLOBAL_DER_FEV_2023!G2338</f>
        <v>6.4889267999999998</v>
      </c>
      <c r="H2338" s="901">
        <f>GLOBAL_DER_FEV_2023!H2338</f>
        <v>0</v>
      </c>
      <c r="I2338" s="901">
        <f>GLOBAL_DER_FEV_2023!I2338</f>
        <v>0</v>
      </c>
      <c r="J2338" s="902">
        <f>GLOBAL_DER_FEV_2023!J2338</f>
        <v>0</v>
      </c>
      <c r="K2338" s="903"/>
      <c r="L2338" s="1177"/>
      <c r="M2338" s="1138">
        <f t="shared" si="232"/>
        <v>0</v>
      </c>
      <c r="N2338" s="1176">
        <f t="shared" si="233"/>
        <v>0</v>
      </c>
      <c r="O2338" s="905"/>
      <c r="P2338" s="36" t="str">
        <f>IF(N2335&gt;0,"xx",IF(N2335&gt;0,"xy",""))</f>
        <v/>
      </c>
      <c r="Q2338" s="317" t="str">
        <f t="shared" si="234"/>
        <v/>
      </c>
      <c r="R2338" s="317" t="str">
        <f t="shared" si="235"/>
        <v/>
      </c>
      <c r="S2338" s="317" t="str">
        <f t="shared" si="236"/>
        <v/>
      </c>
      <c r="T2338" s="317" t="str">
        <f>GLOBAL_DER_FEV_2023!S2338</f>
        <v/>
      </c>
      <c r="W2338" s="582">
        <v>0</v>
      </c>
      <c r="X2338" s="580"/>
      <c r="Y2338" s="583">
        <f>IF(GLOBAL_DER_FEV_2023!W2338=0,0,IF(GLOBAL_DER_FEV_2023!W2338&gt;0,"c","b"))</f>
        <v>0</v>
      </c>
    </row>
    <row r="2339" spans="1:25" ht="15" customHeight="1" x14ac:dyDescent="0.2">
      <c r="A2339" s="317" t="s">
        <v>122</v>
      </c>
      <c r="B2339" s="895" t="s">
        <v>122</v>
      </c>
      <c r="C2339" s="896" t="s">
        <v>184</v>
      </c>
      <c r="D2339" s="906" t="s">
        <v>136</v>
      </c>
      <c r="E2339" s="907">
        <f>GLOBAL_DER_FEV_2023!E2339</f>
        <v>0</v>
      </c>
      <c r="F2339" s="908">
        <f>GLOBAL_DER_FEV_2023!F2339</f>
        <v>0</v>
      </c>
      <c r="G2339" s="912">
        <f>GLOBAL_DER_FEV_2023!G2339</f>
        <v>592.92383533999998</v>
      </c>
      <c r="H2339" s="901">
        <f>GLOBAL_DER_FEV_2023!H2339</f>
        <v>2119.0300000000002</v>
      </c>
      <c r="I2339" s="901">
        <f>GLOBAL_DER_FEV_2023!I2339</f>
        <v>2711.9538353400003</v>
      </c>
      <c r="J2339" s="902">
        <f>GLOBAL_DER_FEV_2023!J2339</f>
        <v>3256.24</v>
      </c>
      <c r="K2339" s="903" t="s">
        <v>15</v>
      </c>
      <c r="L2339" s="1137"/>
      <c r="M2339" s="1138">
        <f t="shared" si="232"/>
        <v>0</v>
      </c>
      <c r="N2339" s="1176">
        <f t="shared" si="233"/>
        <v>0</v>
      </c>
      <c r="O2339" s="905"/>
      <c r="Q2339" s="317" t="str">
        <f t="shared" si="234"/>
        <v/>
      </c>
      <c r="R2339" s="317" t="str">
        <f t="shared" si="235"/>
        <v/>
      </c>
      <c r="S2339" s="317" t="str">
        <f t="shared" si="236"/>
        <v/>
      </c>
      <c r="T2339" s="317" t="str">
        <f>GLOBAL_DER_FEV_2023!S2339</f>
        <v/>
      </c>
      <c r="W2339" s="582">
        <v>0</v>
      </c>
      <c r="X2339" s="580"/>
      <c r="Y2339" s="583">
        <f>IF(GLOBAL_DER_FEV_2023!W2339=0,0,IF(GLOBAL_DER_FEV_2023!W2339&gt;0,"c","b"))</f>
        <v>0</v>
      </c>
    </row>
    <row r="2340" spans="1:25" ht="15" customHeight="1" x14ac:dyDescent="0.2">
      <c r="A2340" s="317" t="s">
        <v>147</v>
      </c>
      <c r="B2340" s="895" t="s">
        <v>147</v>
      </c>
      <c r="C2340" s="896"/>
      <c r="D2340" s="906" t="s">
        <v>190</v>
      </c>
      <c r="E2340" s="907">
        <f>GLOBAL_DER_FEV_2023!E2340</f>
        <v>308</v>
      </c>
      <c r="F2340" s="908">
        <f>GLOBAL_DER_FEV_2023!F2340</f>
        <v>0.80657999999999996</v>
      </c>
      <c r="G2340" s="909">
        <f>GLOBAL_DER_FEV_2023!G2340</f>
        <v>200.0802348</v>
      </c>
      <c r="H2340" s="901">
        <f>GLOBAL_DER_FEV_2023!H2340</f>
        <v>0</v>
      </c>
      <c r="I2340" s="901">
        <f>GLOBAL_DER_FEV_2023!I2340</f>
        <v>0</v>
      </c>
      <c r="J2340" s="902">
        <f>GLOBAL_DER_FEV_2023!J2340</f>
        <v>0</v>
      </c>
      <c r="K2340" s="903"/>
      <c r="L2340" s="1177"/>
      <c r="M2340" s="1138">
        <f t="shared" si="232"/>
        <v>0</v>
      </c>
      <c r="N2340" s="1176">
        <f t="shared" si="233"/>
        <v>0</v>
      </c>
      <c r="O2340" s="905"/>
      <c r="P2340" s="36" t="str">
        <f>IF(N2339&gt;0,"xx",IF(N2339&gt;0,"xy",""))</f>
        <v/>
      </c>
      <c r="Q2340" s="317" t="str">
        <f t="shared" si="234"/>
        <v/>
      </c>
      <c r="R2340" s="317" t="str">
        <f t="shared" si="235"/>
        <v/>
      </c>
      <c r="S2340" s="317" t="str">
        <f t="shared" si="236"/>
        <v/>
      </c>
      <c r="T2340" s="317" t="str">
        <f>GLOBAL_DER_FEV_2023!S2340</f>
        <v/>
      </c>
      <c r="W2340" s="582">
        <v>0</v>
      </c>
      <c r="X2340" s="580"/>
      <c r="Y2340" s="583">
        <f>IF(GLOBAL_DER_FEV_2023!W2340=0,0,IF(GLOBAL_DER_FEV_2023!W2340&gt;0,"c","b"))</f>
        <v>0</v>
      </c>
    </row>
    <row r="2341" spans="1:25" ht="15" customHeight="1" x14ac:dyDescent="0.2">
      <c r="A2341" s="317" t="s">
        <v>147</v>
      </c>
      <c r="B2341" s="895" t="s">
        <v>147</v>
      </c>
      <c r="C2341" s="896"/>
      <c r="D2341" s="906" t="s">
        <v>229</v>
      </c>
      <c r="E2341" s="907">
        <f>GLOBAL_DER_FEV_2023!E2341</f>
        <v>150</v>
      </c>
      <c r="F2341" s="908">
        <f>GLOBAL_DER_FEV_2023!F2341</f>
        <v>2.3575999999999997</v>
      </c>
      <c r="G2341" s="949">
        <f>GLOBAL_DER_FEV_2023!G2341</f>
        <v>384.71316799999994</v>
      </c>
      <c r="H2341" s="901">
        <f>GLOBAL_DER_FEV_2023!H2341</f>
        <v>0</v>
      </c>
      <c r="I2341" s="901">
        <f>GLOBAL_DER_FEV_2023!I2341</f>
        <v>0</v>
      </c>
      <c r="J2341" s="902">
        <f>GLOBAL_DER_FEV_2023!J2341</f>
        <v>0</v>
      </c>
      <c r="K2341" s="903"/>
      <c r="L2341" s="1177"/>
      <c r="M2341" s="1138">
        <f t="shared" si="232"/>
        <v>0</v>
      </c>
      <c r="N2341" s="1176">
        <f t="shared" si="233"/>
        <v>0</v>
      </c>
      <c r="O2341" s="905"/>
      <c r="P2341" s="36" t="str">
        <f>IF(N2339&gt;0,"xx",IF(N2339&gt;0,"xy",""))</f>
        <v/>
      </c>
      <c r="Q2341" s="317" t="str">
        <f t="shared" si="234"/>
        <v/>
      </c>
      <c r="R2341" s="317" t="str">
        <f t="shared" si="235"/>
        <v/>
      </c>
      <c r="S2341" s="317" t="str">
        <f t="shared" si="236"/>
        <v/>
      </c>
      <c r="T2341" s="317" t="str">
        <f>GLOBAL_DER_FEV_2023!S2341</f>
        <v/>
      </c>
      <c r="W2341" s="582">
        <v>0</v>
      </c>
      <c r="X2341" s="580"/>
      <c r="Y2341" s="583">
        <f>IF(GLOBAL_DER_FEV_2023!W2341=0,0,IF(GLOBAL_DER_FEV_2023!W2341&gt;0,"c","b"))</f>
        <v>0</v>
      </c>
    </row>
    <row r="2342" spans="1:25" ht="15" customHeight="1" x14ac:dyDescent="0.2">
      <c r="A2342" s="317" t="s">
        <v>147</v>
      </c>
      <c r="B2342" s="895" t="s">
        <v>147</v>
      </c>
      <c r="C2342" s="896"/>
      <c r="D2342" s="906" t="s">
        <v>233</v>
      </c>
      <c r="E2342" s="907">
        <f>GLOBAL_DER_FEV_2023!E2342</f>
        <v>0.2</v>
      </c>
      <c r="F2342" s="908">
        <f>GLOBAL_DER_FEV_2023!F2342</f>
        <v>2.8094099999999997</v>
      </c>
      <c r="G2342" s="949">
        <f>GLOBAL_DER_FEV_2023!G2342</f>
        <v>8.1304325399999993</v>
      </c>
      <c r="H2342" s="901">
        <f>GLOBAL_DER_FEV_2023!H2342</f>
        <v>0</v>
      </c>
      <c r="I2342" s="901">
        <f>GLOBAL_DER_FEV_2023!I2342</f>
        <v>0</v>
      </c>
      <c r="J2342" s="902">
        <f>GLOBAL_DER_FEV_2023!J2342</f>
        <v>0</v>
      </c>
      <c r="K2342" s="903"/>
      <c r="L2342" s="1177"/>
      <c r="M2342" s="1138">
        <f t="shared" si="232"/>
        <v>0</v>
      </c>
      <c r="N2342" s="1176">
        <f t="shared" si="233"/>
        <v>0</v>
      </c>
      <c r="O2342" s="905"/>
      <c r="P2342" s="36" t="str">
        <f>IF(N2339&gt;0,"xx",IF(N2339&gt;0,"xy",""))</f>
        <v/>
      </c>
      <c r="Q2342" s="317" t="str">
        <f t="shared" si="234"/>
        <v/>
      </c>
      <c r="R2342" s="317" t="str">
        <f t="shared" si="235"/>
        <v/>
      </c>
      <c r="S2342" s="317" t="str">
        <f t="shared" si="236"/>
        <v/>
      </c>
      <c r="T2342" s="317" t="str">
        <f>GLOBAL_DER_FEV_2023!S2342</f>
        <v/>
      </c>
      <c r="W2342" s="582">
        <v>0</v>
      </c>
      <c r="X2342" s="580"/>
      <c r="Y2342" s="583">
        <f>IF(GLOBAL_DER_FEV_2023!W2342=0,0,IF(GLOBAL_DER_FEV_2023!W2342&gt;0,"c","b"))</f>
        <v>0</v>
      </c>
    </row>
    <row r="2343" spans="1:25" ht="15" customHeight="1" x14ac:dyDescent="0.2">
      <c r="A2343" s="317" t="s">
        <v>123</v>
      </c>
      <c r="B2343" s="895" t="s">
        <v>123</v>
      </c>
      <c r="C2343" s="896" t="s">
        <v>184</v>
      </c>
      <c r="D2343" s="906" t="s">
        <v>137</v>
      </c>
      <c r="E2343" s="907">
        <f>GLOBAL_DER_FEV_2023!E2343</f>
        <v>0</v>
      </c>
      <c r="F2343" s="908">
        <f>GLOBAL_DER_FEV_2023!F2343</f>
        <v>0</v>
      </c>
      <c r="G2343" s="912">
        <f>GLOBAL_DER_FEV_2023!G2343</f>
        <v>286.21071490000003</v>
      </c>
      <c r="H2343" s="901">
        <f>GLOBAL_DER_FEV_2023!H2343</f>
        <v>3215.9</v>
      </c>
      <c r="I2343" s="901">
        <f>GLOBAL_DER_FEV_2023!I2343</f>
        <v>3502.1107148999999</v>
      </c>
      <c r="J2343" s="902">
        <f>GLOBAL_DER_FEV_2023!J2343</f>
        <v>4204.9799999999996</v>
      </c>
      <c r="K2343" s="903" t="s">
        <v>15</v>
      </c>
      <c r="L2343" s="1137"/>
      <c r="M2343" s="1138">
        <f t="shared" si="232"/>
        <v>0</v>
      </c>
      <c r="N2343" s="1176">
        <f t="shared" si="233"/>
        <v>0</v>
      </c>
      <c r="O2343" s="905"/>
      <c r="Q2343" s="317" t="str">
        <f t="shared" si="234"/>
        <v/>
      </c>
      <c r="R2343" s="317" t="str">
        <f t="shared" si="235"/>
        <v/>
      </c>
      <c r="S2343" s="317" t="str">
        <f t="shared" si="236"/>
        <v/>
      </c>
      <c r="T2343" s="317" t="str">
        <f>GLOBAL_DER_FEV_2023!S2343</f>
        <v/>
      </c>
      <c r="W2343" s="582">
        <v>0</v>
      </c>
      <c r="X2343" s="580"/>
      <c r="Y2343" s="583">
        <f>IF(GLOBAL_DER_FEV_2023!W2343=0,0,IF(GLOBAL_DER_FEV_2023!W2343&gt;0,"c","b"))</f>
        <v>0</v>
      </c>
    </row>
    <row r="2344" spans="1:25" ht="15" customHeight="1" x14ac:dyDescent="0.2">
      <c r="A2344" s="317" t="s">
        <v>147</v>
      </c>
      <c r="B2344" s="895" t="s">
        <v>147</v>
      </c>
      <c r="C2344" s="896"/>
      <c r="D2344" s="906" t="s">
        <v>190</v>
      </c>
      <c r="E2344" s="907">
        <f>GLOBAL_DER_FEV_2023!E2344</f>
        <v>308</v>
      </c>
      <c r="F2344" s="908">
        <f>GLOBAL_DER_FEV_2023!F2344</f>
        <v>0.38250000000000006</v>
      </c>
      <c r="G2344" s="909">
        <f>GLOBAL_DER_FEV_2023!G2344</f>
        <v>94.882950000000022</v>
      </c>
      <c r="H2344" s="901">
        <f>GLOBAL_DER_FEV_2023!H2344</f>
        <v>0</v>
      </c>
      <c r="I2344" s="901">
        <f>GLOBAL_DER_FEV_2023!I2344</f>
        <v>0</v>
      </c>
      <c r="J2344" s="902">
        <f>GLOBAL_DER_FEV_2023!J2344</f>
        <v>0</v>
      </c>
      <c r="K2344" s="903"/>
      <c r="L2344" s="1177"/>
      <c r="M2344" s="1138">
        <f t="shared" si="232"/>
        <v>0</v>
      </c>
      <c r="N2344" s="1176">
        <f t="shared" si="233"/>
        <v>0</v>
      </c>
      <c r="O2344" s="905"/>
      <c r="P2344" s="36" t="str">
        <f>IF(N2343&gt;0,"xx",IF(N2343&gt;0,"xy",""))</f>
        <v/>
      </c>
      <c r="Q2344" s="317" t="str">
        <f t="shared" si="234"/>
        <v/>
      </c>
      <c r="R2344" s="317" t="str">
        <f t="shared" si="235"/>
        <v/>
      </c>
      <c r="S2344" s="317" t="str">
        <f t="shared" si="236"/>
        <v/>
      </c>
      <c r="T2344" s="317" t="str">
        <f>GLOBAL_DER_FEV_2023!S2344</f>
        <v/>
      </c>
      <c r="W2344" s="582">
        <v>0</v>
      </c>
      <c r="X2344" s="580"/>
      <c r="Y2344" s="583">
        <f>IF(GLOBAL_DER_FEV_2023!W2344=0,0,IF(GLOBAL_DER_FEV_2023!W2344&gt;0,"c","b"))</f>
        <v>0</v>
      </c>
    </row>
    <row r="2345" spans="1:25" ht="15" customHeight="1" x14ac:dyDescent="0.2">
      <c r="A2345" s="317" t="s">
        <v>147</v>
      </c>
      <c r="B2345" s="895" t="s">
        <v>147</v>
      </c>
      <c r="C2345" s="896"/>
      <c r="D2345" s="906" t="s">
        <v>229</v>
      </c>
      <c r="E2345" s="907">
        <f>GLOBAL_DER_FEV_2023!E2345</f>
        <v>150</v>
      </c>
      <c r="F2345" s="908">
        <f>GLOBAL_DER_FEV_2023!F2345</f>
        <v>1.1483800000000002</v>
      </c>
      <c r="G2345" s="949">
        <f>GLOBAL_DER_FEV_2023!G2345</f>
        <v>187.39264840000004</v>
      </c>
      <c r="H2345" s="901">
        <f>GLOBAL_DER_FEV_2023!H2345</f>
        <v>0</v>
      </c>
      <c r="I2345" s="901">
        <f>GLOBAL_DER_FEV_2023!I2345</f>
        <v>0</v>
      </c>
      <c r="J2345" s="902">
        <f>GLOBAL_DER_FEV_2023!J2345</f>
        <v>0</v>
      </c>
      <c r="K2345" s="903"/>
      <c r="L2345" s="1177"/>
      <c r="M2345" s="1138">
        <f t="shared" si="232"/>
        <v>0</v>
      </c>
      <c r="N2345" s="1176">
        <f t="shared" si="233"/>
        <v>0</v>
      </c>
      <c r="O2345" s="905"/>
      <c r="P2345" s="36" t="str">
        <f>IF(N2343&gt;0,"xx",IF(N2343&gt;0,"xy",""))</f>
        <v/>
      </c>
      <c r="Q2345" s="317" t="str">
        <f t="shared" si="234"/>
        <v/>
      </c>
      <c r="R2345" s="317" t="str">
        <f t="shared" si="235"/>
        <v/>
      </c>
      <c r="S2345" s="317" t="str">
        <f t="shared" si="236"/>
        <v/>
      </c>
      <c r="T2345" s="317" t="str">
        <f>GLOBAL_DER_FEV_2023!S2345</f>
        <v/>
      </c>
      <c r="W2345" s="582">
        <v>0</v>
      </c>
      <c r="X2345" s="580"/>
      <c r="Y2345" s="583">
        <f>IF(GLOBAL_DER_FEV_2023!W2345=0,0,IF(GLOBAL_DER_FEV_2023!W2345&gt;0,"c","b"))</f>
        <v>0</v>
      </c>
    </row>
    <row r="2346" spans="1:25" ht="15" customHeight="1" x14ac:dyDescent="0.2">
      <c r="A2346" s="317" t="s">
        <v>147</v>
      </c>
      <c r="B2346" s="895" t="s">
        <v>147</v>
      </c>
      <c r="C2346" s="896"/>
      <c r="D2346" s="906" t="s">
        <v>233</v>
      </c>
      <c r="E2346" s="907">
        <f>GLOBAL_DER_FEV_2023!E2346</f>
        <v>0.2</v>
      </c>
      <c r="F2346" s="908">
        <f>GLOBAL_DER_FEV_2023!F2346</f>
        <v>1.35975</v>
      </c>
      <c r="G2346" s="949">
        <f>GLOBAL_DER_FEV_2023!G2346</f>
        <v>3.9351165000000004</v>
      </c>
      <c r="H2346" s="901">
        <f>GLOBAL_DER_FEV_2023!H2346</f>
        <v>0</v>
      </c>
      <c r="I2346" s="901">
        <f>GLOBAL_DER_FEV_2023!I2346</f>
        <v>0</v>
      </c>
      <c r="J2346" s="902">
        <f>GLOBAL_DER_FEV_2023!J2346</f>
        <v>0</v>
      </c>
      <c r="K2346" s="903"/>
      <c r="L2346" s="1177"/>
      <c r="M2346" s="1138">
        <f t="shared" si="232"/>
        <v>0</v>
      </c>
      <c r="N2346" s="1176">
        <f t="shared" si="233"/>
        <v>0</v>
      </c>
      <c r="O2346" s="905"/>
      <c r="P2346" s="36" t="str">
        <f>IF(N2343&gt;0,"xx",IF(N2343&gt;0,"xy",""))</f>
        <v/>
      </c>
      <c r="Q2346" s="317" t="str">
        <f t="shared" si="234"/>
        <v/>
      </c>
      <c r="R2346" s="317" t="str">
        <f t="shared" si="235"/>
        <v/>
      </c>
      <c r="S2346" s="317" t="str">
        <f t="shared" si="236"/>
        <v/>
      </c>
      <c r="T2346" s="317" t="str">
        <f>GLOBAL_DER_FEV_2023!S2346</f>
        <v/>
      </c>
      <c r="W2346" s="582">
        <v>0</v>
      </c>
      <c r="X2346" s="580"/>
      <c r="Y2346" s="583">
        <f>IF(GLOBAL_DER_FEV_2023!W2346=0,0,IF(GLOBAL_DER_FEV_2023!W2346&gt;0,"c","b"))</f>
        <v>0</v>
      </c>
    </row>
    <row r="2347" spans="1:25" ht="15" customHeight="1" x14ac:dyDescent="0.2">
      <c r="A2347" s="317" t="s">
        <v>124</v>
      </c>
      <c r="B2347" s="895" t="s">
        <v>124</v>
      </c>
      <c r="C2347" s="896" t="s">
        <v>184</v>
      </c>
      <c r="D2347" s="906" t="s">
        <v>138</v>
      </c>
      <c r="E2347" s="907">
        <f>GLOBAL_DER_FEV_2023!E2347</f>
        <v>0</v>
      </c>
      <c r="F2347" s="908">
        <f>GLOBAL_DER_FEV_2023!F2347</f>
        <v>0</v>
      </c>
      <c r="G2347" s="912">
        <f>GLOBAL_DER_FEV_2023!G2347</f>
        <v>321.51485289999999</v>
      </c>
      <c r="H2347" s="901">
        <f>GLOBAL_DER_FEV_2023!H2347</f>
        <v>3565.26</v>
      </c>
      <c r="I2347" s="901">
        <f>GLOBAL_DER_FEV_2023!I2347</f>
        <v>3886.7748529</v>
      </c>
      <c r="J2347" s="902">
        <f>GLOBAL_DER_FEV_2023!J2347</f>
        <v>4666.8500000000004</v>
      </c>
      <c r="K2347" s="903" t="s">
        <v>15</v>
      </c>
      <c r="L2347" s="1137"/>
      <c r="M2347" s="1138">
        <f t="shared" si="232"/>
        <v>0</v>
      </c>
      <c r="N2347" s="1176">
        <f t="shared" si="233"/>
        <v>0</v>
      </c>
      <c r="O2347" s="905"/>
      <c r="Q2347" s="317" t="str">
        <f t="shared" si="234"/>
        <v/>
      </c>
      <c r="R2347" s="317" t="str">
        <f t="shared" si="235"/>
        <v/>
      </c>
      <c r="S2347" s="317" t="str">
        <f t="shared" si="236"/>
        <v/>
      </c>
      <c r="T2347" s="317" t="str">
        <f>GLOBAL_DER_FEV_2023!S2347</f>
        <v/>
      </c>
      <c r="W2347" s="582">
        <v>0</v>
      </c>
      <c r="X2347" s="580"/>
      <c r="Y2347" s="583">
        <f>IF(GLOBAL_DER_FEV_2023!W2347=0,0,IF(GLOBAL_DER_FEV_2023!W2347&gt;0,"c","b"))</f>
        <v>0</v>
      </c>
    </row>
    <row r="2348" spans="1:25" ht="15" customHeight="1" x14ac:dyDescent="0.2">
      <c r="A2348" s="317" t="s">
        <v>147</v>
      </c>
      <c r="B2348" s="895" t="s">
        <v>147</v>
      </c>
      <c r="C2348" s="896"/>
      <c r="D2348" s="906" t="s">
        <v>190</v>
      </c>
      <c r="E2348" s="907">
        <f>GLOBAL_DER_FEV_2023!E2348</f>
        <v>308</v>
      </c>
      <c r="F2348" s="908">
        <f>GLOBAL_DER_FEV_2023!F2348</f>
        <v>0.43200000000000005</v>
      </c>
      <c r="G2348" s="909">
        <f>GLOBAL_DER_FEV_2023!G2348</f>
        <v>107.16192000000001</v>
      </c>
      <c r="H2348" s="901">
        <f>GLOBAL_DER_FEV_2023!H2348</f>
        <v>0</v>
      </c>
      <c r="I2348" s="901">
        <f>GLOBAL_DER_FEV_2023!I2348</f>
        <v>0</v>
      </c>
      <c r="J2348" s="902">
        <f>GLOBAL_DER_FEV_2023!J2348</f>
        <v>0</v>
      </c>
      <c r="K2348" s="903"/>
      <c r="L2348" s="1177"/>
      <c r="M2348" s="1138">
        <f t="shared" si="232"/>
        <v>0</v>
      </c>
      <c r="N2348" s="1176">
        <f t="shared" si="233"/>
        <v>0</v>
      </c>
      <c r="O2348" s="905"/>
      <c r="P2348" s="36" t="str">
        <f>IF(N2347&gt;0,"xx",IF(N2347&gt;0,"xy",""))</f>
        <v/>
      </c>
      <c r="Q2348" s="317" t="str">
        <f t="shared" si="234"/>
        <v/>
      </c>
      <c r="R2348" s="317" t="str">
        <f t="shared" si="235"/>
        <v/>
      </c>
      <c r="S2348" s="317" t="str">
        <f t="shared" si="236"/>
        <v/>
      </c>
      <c r="T2348" s="317" t="str">
        <f>GLOBAL_DER_FEV_2023!S2348</f>
        <v/>
      </c>
      <c r="W2348" s="582">
        <v>0</v>
      </c>
      <c r="X2348" s="580"/>
      <c r="Y2348" s="583">
        <f>IF(GLOBAL_DER_FEV_2023!W2348=0,0,IF(GLOBAL_DER_FEV_2023!W2348&gt;0,"c","b"))</f>
        <v>0</v>
      </c>
    </row>
    <row r="2349" spans="1:25" ht="15" customHeight="1" x14ac:dyDescent="0.2">
      <c r="A2349" s="317" t="s">
        <v>147</v>
      </c>
      <c r="B2349" s="895" t="s">
        <v>147</v>
      </c>
      <c r="C2349" s="896"/>
      <c r="D2349" s="906" t="s">
        <v>229</v>
      </c>
      <c r="E2349" s="907">
        <f>GLOBAL_DER_FEV_2023!E2349</f>
        <v>150</v>
      </c>
      <c r="F2349" s="908">
        <f>GLOBAL_DER_FEV_2023!F2349</f>
        <v>1.28653</v>
      </c>
      <c r="G2349" s="949">
        <f>GLOBAL_DER_FEV_2023!G2349</f>
        <v>209.93596540000001</v>
      </c>
      <c r="H2349" s="901">
        <f>GLOBAL_DER_FEV_2023!H2349</f>
        <v>0</v>
      </c>
      <c r="I2349" s="901">
        <f>GLOBAL_DER_FEV_2023!I2349</f>
        <v>0</v>
      </c>
      <c r="J2349" s="902">
        <f>GLOBAL_DER_FEV_2023!J2349</f>
        <v>0</v>
      </c>
      <c r="K2349" s="903"/>
      <c r="L2349" s="1177"/>
      <c r="M2349" s="1138">
        <f t="shared" si="232"/>
        <v>0</v>
      </c>
      <c r="N2349" s="1176">
        <f t="shared" si="233"/>
        <v>0</v>
      </c>
      <c r="O2349" s="905"/>
      <c r="P2349" s="36" t="str">
        <f>IF(N2347&gt;0,"xx",IF(N2347&gt;0,"xy",""))</f>
        <v/>
      </c>
      <c r="Q2349" s="317" t="str">
        <f t="shared" si="234"/>
        <v/>
      </c>
      <c r="R2349" s="317" t="str">
        <f t="shared" si="235"/>
        <v/>
      </c>
      <c r="S2349" s="317" t="str">
        <f t="shared" si="236"/>
        <v/>
      </c>
      <c r="T2349" s="317" t="str">
        <f>GLOBAL_DER_FEV_2023!S2349</f>
        <v/>
      </c>
      <c r="W2349" s="582">
        <v>0</v>
      </c>
      <c r="X2349" s="580"/>
      <c r="Y2349" s="583">
        <f>IF(GLOBAL_DER_FEV_2023!W2349=0,0,IF(GLOBAL_DER_FEV_2023!W2349&gt;0,"c","b"))</f>
        <v>0</v>
      </c>
    </row>
    <row r="2350" spans="1:25" ht="15" customHeight="1" x14ac:dyDescent="0.2">
      <c r="A2350" s="317" t="s">
        <v>147</v>
      </c>
      <c r="B2350" s="895" t="s">
        <v>147</v>
      </c>
      <c r="C2350" s="896"/>
      <c r="D2350" s="906" t="s">
        <v>233</v>
      </c>
      <c r="E2350" s="907">
        <f>GLOBAL_DER_FEV_2023!E2350</f>
        <v>0.2</v>
      </c>
      <c r="F2350" s="908">
        <f>GLOBAL_DER_FEV_2023!F2350</f>
        <v>1.5262500000000001</v>
      </c>
      <c r="G2350" s="949">
        <f>GLOBAL_DER_FEV_2023!G2350</f>
        <v>4.4169675000000002</v>
      </c>
      <c r="H2350" s="901">
        <f>GLOBAL_DER_FEV_2023!H2350</f>
        <v>0</v>
      </c>
      <c r="I2350" s="901">
        <f>GLOBAL_DER_FEV_2023!I2350</f>
        <v>0</v>
      </c>
      <c r="J2350" s="902">
        <f>GLOBAL_DER_FEV_2023!J2350</f>
        <v>0</v>
      </c>
      <c r="K2350" s="903"/>
      <c r="L2350" s="1177"/>
      <c r="M2350" s="1138">
        <f t="shared" si="232"/>
        <v>0</v>
      </c>
      <c r="N2350" s="1176">
        <f t="shared" si="233"/>
        <v>0</v>
      </c>
      <c r="O2350" s="905"/>
      <c r="P2350" s="36" t="str">
        <f>IF(N2347&gt;0,"xx",IF(N2347&gt;0,"xy",""))</f>
        <v/>
      </c>
      <c r="Q2350" s="317" t="str">
        <f t="shared" si="234"/>
        <v/>
      </c>
      <c r="R2350" s="317" t="str">
        <f t="shared" si="235"/>
        <v/>
      </c>
      <c r="S2350" s="317" t="str">
        <f t="shared" si="236"/>
        <v/>
      </c>
      <c r="T2350" s="317" t="str">
        <f>GLOBAL_DER_FEV_2023!S2350</f>
        <v/>
      </c>
      <c r="W2350" s="582">
        <v>0</v>
      </c>
      <c r="X2350" s="580"/>
      <c r="Y2350" s="583">
        <f>IF(GLOBAL_DER_FEV_2023!W2350=0,0,IF(GLOBAL_DER_FEV_2023!W2350&gt;0,"c","b"))</f>
        <v>0</v>
      </c>
    </row>
    <row r="2351" spans="1:25" ht="15" customHeight="1" x14ac:dyDescent="0.2">
      <c r="A2351" s="317" t="s">
        <v>125</v>
      </c>
      <c r="B2351" s="895" t="s">
        <v>125</v>
      </c>
      <c r="C2351" s="896" t="s">
        <v>184</v>
      </c>
      <c r="D2351" s="906" t="s">
        <v>139</v>
      </c>
      <c r="E2351" s="907">
        <f>GLOBAL_DER_FEV_2023!E2351</f>
        <v>0</v>
      </c>
      <c r="F2351" s="908">
        <f>GLOBAL_DER_FEV_2023!F2351</f>
        <v>0</v>
      </c>
      <c r="G2351" s="912">
        <f>GLOBAL_DER_FEV_2023!G2351</f>
        <v>373.29425529999997</v>
      </c>
      <c r="H2351" s="901">
        <f>GLOBAL_DER_FEV_2023!H2351</f>
        <v>4078.7</v>
      </c>
      <c r="I2351" s="901">
        <f>GLOBAL_DER_FEV_2023!I2351</f>
        <v>4451.9942553000001</v>
      </c>
      <c r="J2351" s="902">
        <f>GLOBAL_DER_FEV_2023!J2351</f>
        <v>5345.51</v>
      </c>
      <c r="K2351" s="903" t="s">
        <v>15</v>
      </c>
      <c r="L2351" s="1137"/>
      <c r="M2351" s="1138">
        <f t="shared" si="232"/>
        <v>0</v>
      </c>
      <c r="N2351" s="1176">
        <f t="shared" si="233"/>
        <v>0</v>
      </c>
      <c r="O2351" s="905"/>
      <c r="Q2351" s="317" t="str">
        <f t="shared" si="234"/>
        <v/>
      </c>
      <c r="R2351" s="317" t="str">
        <f t="shared" si="235"/>
        <v/>
      </c>
      <c r="S2351" s="317" t="str">
        <f t="shared" si="236"/>
        <v/>
      </c>
      <c r="T2351" s="317" t="str">
        <f>GLOBAL_DER_FEV_2023!S2351</f>
        <v/>
      </c>
      <c r="W2351" s="582">
        <v>0</v>
      </c>
      <c r="X2351" s="580"/>
      <c r="Y2351" s="583">
        <f>IF(GLOBAL_DER_FEV_2023!W2351=0,0,IF(GLOBAL_DER_FEV_2023!W2351&gt;0,"c","b"))</f>
        <v>0</v>
      </c>
    </row>
    <row r="2352" spans="1:25" ht="15" customHeight="1" x14ac:dyDescent="0.2">
      <c r="A2352" s="317" t="s">
        <v>147</v>
      </c>
      <c r="B2352" s="895" t="s">
        <v>147</v>
      </c>
      <c r="C2352" s="896"/>
      <c r="D2352" s="906" t="s">
        <v>190</v>
      </c>
      <c r="E2352" s="907">
        <f>GLOBAL_DER_FEV_2023!E2352</f>
        <v>308</v>
      </c>
      <c r="F2352" s="908">
        <f>GLOBAL_DER_FEV_2023!F2352</f>
        <v>0.50459999999999994</v>
      </c>
      <c r="G2352" s="909">
        <f>GLOBAL_DER_FEV_2023!G2352</f>
        <v>125.17107599999999</v>
      </c>
      <c r="H2352" s="901">
        <f>GLOBAL_DER_FEV_2023!H2352</f>
        <v>0</v>
      </c>
      <c r="I2352" s="901">
        <f>GLOBAL_DER_FEV_2023!I2352</f>
        <v>0</v>
      </c>
      <c r="J2352" s="902">
        <f>GLOBAL_DER_FEV_2023!J2352</f>
        <v>0</v>
      </c>
      <c r="K2352" s="903"/>
      <c r="L2352" s="1177"/>
      <c r="M2352" s="1138">
        <f t="shared" si="232"/>
        <v>0</v>
      </c>
      <c r="N2352" s="1176">
        <f t="shared" si="233"/>
        <v>0</v>
      </c>
      <c r="O2352" s="905"/>
      <c r="P2352" s="36" t="str">
        <f>IF(N2351&gt;0,"xx",IF(N2351&gt;0,"xy",""))</f>
        <v/>
      </c>
      <c r="Q2352" s="317" t="str">
        <f t="shared" si="234"/>
        <v/>
      </c>
      <c r="R2352" s="317" t="str">
        <f t="shared" si="235"/>
        <v/>
      </c>
      <c r="S2352" s="317" t="str">
        <f t="shared" si="236"/>
        <v/>
      </c>
      <c r="T2352" s="317" t="str">
        <f>GLOBAL_DER_FEV_2023!S2352</f>
        <v/>
      </c>
      <c r="W2352" s="582">
        <v>0</v>
      </c>
      <c r="X2352" s="580"/>
      <c r="Y2352" s="583">
        <f>IF(GLOBAL_DER_FEV_2023!W2352=0,0,IF(GLOBAL_DER_FEV_2023!W2352&gt;0,"c","b"))</f>
        <v>0</v>
      </c>
    </row>
    <row r="2353" spans="1:25" ht="15" customHeight="1" x14ac:dyDescent="0.2">
      <c r="A2353" s="317" t="s">
        <v>147</v>
      </c>
      <c r="B2353" s="895" t="s">
        <v>147</v>
      </c>
      <c r="C2353" s="896"/>
      <c r="D2353" s="906" t="s">
        <v>229</v>
      </c>
      <c r="E2353" s="907">
        <f>GLOBAL_DER_FEV_2023!E2353</f>
        <v>150</v>
      </c>
      <c r="F2353" s="908">
        <f>GLOBAL_DER_FEV_2023!F2353</f>
        <v>1.48915</v>
      </c>
      <c r="G2353" s="949">
        <f>GLOBAL_DER_FEV_2023!G2353</f>
        <v>242.99949700000002</v>
      </c>
      <c r="H2353" s="901">
        <f>GLOBAL_DER_FEV_2023!H2353</f>
        <v>0</v>
      </c>
      <c r="I2353" s="901">
        <f>GLOBAL_DER_FEV_2023!I2353</f>
        <v>0</v>
      </c>
      <c r="J2353" s="902">
        <f>GLOBAL_DER_FEV_2023!J2353</f>
        <v>0</v>
      </c>
      <c r="K2353" s="903"/>
      <c r="L2353" s="1177"/>
      <c r="M2353" s="1138">
        <f t="shared" si="232"/>
        <v>0</v>
      </c>
      <c r="N2353" s="1176">
        <f t="shared" si="233"/>
        <v>0</v>
      </c>
      <c r="O2353" s="905"/>
      <c r="P2353" s="36" t="str">
        <f>IF(N2351&gt;0,"xx",IF(N2351&gt;0,"xy",""))</f>
        <v/>
      </c>
      <c r="Q2353" s="317" t="str">
        <f t="shared" si="234"/>
        <v/>
      </c>
      <c r="R2353" s="317" t="str">
        <f t="shared" si="235"/>
        <v/>
      </c>
      <c r="S2353" s="317" t="str">
        <f t="shared" si="236"/>
        <v/>
      </c>
      <c r="T2353" s="317" t="str">
        <f>GLOBAL_DER_FEV_2023!S2353</f>
        <v/>
      </c>
      <c r="W2353" s="582">
        <v>0</v>
      </c>
      <c r="X2353" s="580"/>
      <c r="Y2353" s="583">
        <f>IF(GLOBAL_DER_FEV_2023!W2353=0,0,IF(GLOBAL_DER_FEV_2023!W2353&gt;0,"c","b"))</f>
        <v>0</v>
      </c>
    </row>
    <row r="2354" spans="1:25" ht="15" customHeight="1" x14ac:dyDescent="0.2">
      <c r="A2354" s="317" t="s">
        <v>147</v>
      </c>
      <c r="B2354" s="895" t="s">
        <v>147</v>
      </c>
      <c r="C2354" s="896"/>
      <c r="D2354" s="906" t="s">
        <v>233</v>
      </c>
      <c r="E2354" s="907">
        <f>GLOBAL_DER_FEV_2023!E2354</f>
        <v>0.2</v>
      </c>
      <c r="F2354" s="908">
        <f>GLOBAL_DER_FEV_2023!F2354</f>
        <v>1.7704500000000001</v>
      </c>
      <c r="G2354" s="949">
        <f>GLOBAL_DER_FEV_2023!G2354</f>
        <v>5.1236823000000005</v>
      </c>
      <c r="H2354" s="901">
        <f>GLOBAL_DER_FEV_2023!H2354</f>
        <v>0</v>
      </c>
      <c r="I2354" s="901">
        <f>GLOBAL_DER_FEV_2023!I2354</f>
        <v>0</v>
      </c>
      <c r="J2354" s="902">
        <f>GLOBAL_DER_FEV_2023!J2354</f>
        <v>0</v>
      </c>
      <c r="K2354" s="903"/>
      <c r="L2354" s="1177"/>
      <c r="M2354" s="1138">
        <f t="shared" si="232"/>
        <v>0</v>
      </c>
      <c r="N2354" s="1176">
        <f t="shared" si="233"/>
        <v>0</v>
      </c>
      <c r="O2354" s="905"/>
      <c r="P2354" s="36" t="str">
        <f>IF(N2351&gt;0,"xx",IF(N2351&gt;0,"xy",""))</f>
        <v/>
      </c>
      <c r="Q2354" s="317" t="str">
        <f t="shared" si="234"/>
        <v/>
      </c>
      <c r="R2354" s="317" t="str">
        <f t="shared" si="235"/>
        <v/>
      </c>
      <c r="S2354" s="317" t="str">
        <f t="shared" si="236"/>
        <v/>
      </c>
      <c r="T2354" s="317" t="str">
        <f>GLOBAL_DER_FEV_2023!S2354</f>
        <v/>
      </c>
      <c r="W2354" s="582">
        <v>0</v>
      </c>
      <c r="X2354" s="580"/>
      <c r="Y2354" s="583">
        <f>IF(GLOBAL_DER_FEV_2023!W2354=0,0,IF(GLOBAL_DER_FEV_2023!W2354&gt;0,"c","b"))</f>
        <v>0</v>
      </c>
    </row>
    <row r="2355" spans="1:25" ht="15" customHeight="1" x14ac:dyDescent="0.2">
      <c r="A2355" s="317" t="s">
        <v>40</v>
      </c>
      <c r="B2355" s="895" t="s">
        <v>40</v>
      </c>
      <c r="C2355" s="896" t="s">
        <v>184</v>
      </c>
      <c r="D2355" s="906" t="s">
        <v>140</v>
      </c>
      <c r="E2355" s="907">
        <f>GLOBAL_DER_FEV_2023!E2355</f>
        <v>0</v>
      </c>
      <c r="F2355" s="908">
        <f>GLOBAL_DER_FEV_2023!F2355</f>
        <v>0</v>
      </c>
      <c r="G2355" s="912">
        <f>GLOBAL_DER_FEV_2023!G2355</f>
        <v>472.95947180000007</v>
      </c>
      <c r="H2355" s="901">
        <f>GLOBAL_DER_FEV_2023!H2355</f>
        <v>4962.6000000000004</v>
      </c>
      <c r="I2355" s="901">
        <f>GLOBAL_DER_FEV_2023!I2355</f>
        <v>5435.5594718000002</v>
      </c>
      <c r="J2355" s="902">
        <f>GLOBAL_DER_FEV_2023!J2355</f>
        <v>6526.48</v>
      </c>
      <c r="K2355" s="903" t="s">
        <v>15</v>
      </c>
      <c r="L2355" s="1137"/>
      <c r="M2355" s="1138">
        <f t="shared" si="232"/>
        <v>0</v>
      </c>
      <c r="N2355" s="1176">
        <f t="shared" si="233"/>
        <v>0</v>
      </c>
      <c r="O2355" s="905"/>
      <c r="Q2355" s="317" t="str">
        <f t="shared" si="234"/>
        <v/>
      </c>
      <c r="R2355" s="317" t="str">
        <f t="shared" si="235"/>
        <v/>
      </c>
      <c r="S2355" s="317" t="str">
        <f t="shared" si="236"/>
        <v/>
      </c>
      <c r="T2355" s="317" t="str">
        <f>GLOBAL_DER_FEV_2023!S2355</f>
        <v/>
      </c>
      <c r="W2355" s="582">
        <v>0</v>
      </c>
      <c r="X2355" s="580"/>
      <c r="Y2355" s="583">
        <f>IF(GLOBAL_DER_FEV_2023!W2355=0,0,IF(GLOBAL_DER_FEV_2023!W2355&gt;0,"c","b"))</f>
        <v>0</v>
      </c>
    </row>
    <row r="2356" spans="1:25" ht="15" customHeight="1" x14ac:dyDescent="0.2">
      <c r="A2356" s="317" t="s">
        <v>147</v>
      </c>
      <c r="B2356" s="895" t="s">
        <v>147</v>
      </c>
      <c r="C2356" s="896"/>
      <c r="D2356" s="906" t="s">
        <v>190</v>
      </c>
      <c r="E2356" s="907">
        <f>GLOBAL_DER_FEV_2023!E2356</f>
        <v>308</v>
      </c>
      <c r="F2356" s="908">
        <f>GLOBAL_DER_FEV_2023!F2356</f>
        <v>0.6411</v>
      </c>
      <c r="G2356" s="909">
        <f>GLOBAL_DER_FEV_2023!G2356</f>
        <v>159.03126600000002</v>
      </c>
      <c r="H2356" s="901">
        <f>GLOBAL_DER_FEV_2023!H2356</f>
        <v>0</v>
      </c>
      <c r="I2356" s="901">
        <f>GLOBAL_DER_FEV_2023!I2356</f>
        <v>0</v>
      </c>
      <c r="J2356" s="902">
        <f>GLOBAL_DER_FEV_2023!J2356</f>
        <v>0</v>
      </c>
      <c r="K2356" s="903"/>
      <c r="L2356" s="1177"/>
      <c r="M2356" s="1138">
        <f t="shared" si="232"/>
        <v>0</v>
      </c>
      <c r="N2356" s="1176">
        <f t="shared" si="233"/>
        <v>0</v>
      </c>
      <c r="O2356" s="905"/>
      <c r="P2356" s="36" t="str">
        <f>IF(N2355&gt;0,"xx",IF(N2355&gt;0,"xy",""))</f>
        <v/>
      </c>
      <c r="Q2356" s="317" t="str">
        <f t="shared" si="234"/>
        <v/>
      </c>
      <c r="R2356" s="317" t="str">
        <f t="shared" si="235"/>
        <v/>
      </c>
      <c r="S2356" s="317" t="str">
        <f t="shared" si="236"/>
        <v/>
      </c>
      <c r="T2356" s="317" t="str">
        <f>GLOBAL_DER_FEV_2023!S2356</f>
        <v/>
      </c>
      <c r="W2356" s="582">
        <v>0</v>
      </c>
      <c r="X2356" s="580"/>
      <c r="Y2356" s="583">
        <f>IF(GLOBAL_DER_FEV_2023!W2356=0,0,IF(GLOBAL_DER_FEV_2023!W2356&gt;0,"c","b"))</f>
        <v>0</v>
      </c>
    </row>
    <row r="2357" spans="1:25" ht="15" customHeight="1" x14ac:dyDescent="0.2">
      <c r="A2357" s="317" t="s">
        <v>147</v>
      </c>
      <c r="B2357" s="895" t="s">
        <v>147</v>
      </c>
      <c r="C2357" s="896"/>
      <c r="D2357" s="906" t="s">
        <v>229</v>
      </c>
      <c r="E2357" s="907">
        <f>GLOBAL_DER_FEV_2023!E2357</f>
        <v>150</v>
      </c>
      <c r="F2357" s="908">
        <f>GLOBAL_DER_FEV_2023!F2357</f>
        <v>1.8840500000000002</v>
      </c>
      <c r="G2357" s="949">
        <f>GLOBAL_DER_FEV_2023!G2357</f>
        <v>307.43927900000006</v>
      </c>
      <c r="H2357" s="901">
        <f>GLOBAL_DER_FEV_2023!H2357</f>
        <v>0</v>
      </c>
      <c r="I2357" s="901">
        <f>GLOBAL_DER_FEV_2023!I2357</f>
        <v>0</v>
      </c>
      <c r="J2357" s="902">
        <f>GLOBAL_DER_FEV_2023!J2357</f>
        <v>0</v>
      </c>
      <c r="K2357" s="903"/>
      <c r="L2357" s="1177"/>
      <c r="M2357" s="1138">
        <f t="shared" si="232"/>
        <v>0</v>
      </c>
      <c r="N2357" s="1176">
        <f t="shared" si="233"/>
        <v>0</v>
      </c>
      <c r="O2357" s="905"/>
      <c r="P2357" s="36" t="str">
        <f>IF(N2355&gt;0,"xx",IF(N2355&gt;0,"xy",""))</f>
        <v/>
      </c>
      <c r="Q2357" s="317" t="str">
        <f t="shared" si="234"/>
        <v/>
      </c>
      <c r="R2357" s="317" t="str">
        <f t="shared" si="235"/>
        <v/>
      </c>
      <c r="S2357" s="317" t="str">
        <f t="shared" si="236"/>
        <v/>
      </c>
      <c r="T2357" s="317" t="str">
        <f>GLOBAL_DER_FEV_2023!S2357</f>
        <v/>
      </c>
      <c r="W2357" s="582">
        <v>0</v>
      </c>
      <c r="X2357" s="580"/>
      <c r="Y2357" s="583">
        <f>IF(GLOBAL_DER_FEV_2023!W2357=0,0,IF(GLOBAL_DER_FEV_2023!W2357&gt;0,"c","b"))</f>
        <v>0</v>
      </c>
    </row>
    <row r="2358" spans="1:25" ht="15" customHeight="1" x14ac:dyDescent="0.2">
      <c r="A2358" s="317" t="s">
        <v>147</v>
      </c>
      <c r="B2358" s="895" t="s">
        <v>147</v>
      </c>
      <c r="C2358" s="896"/>
      <c r="D2358" s="906" t="s">
        <v>233</v>
      </c>
      <c r="E2358" s="907">
        <f>GLOBAL_DER_FEV_2023!E2358</f>
        <v>0.2</v>
      </c>
      <c r="F2358" s="908">
        <f>GLOBAL_DER_FEV_2023!F2358</f>
        <v>2.2422</v>
      </c>
      <c r="G2358" s="949">
        <f>GLOBAL_DER_FEV_2023!G2358</f>
        <v>6.4889267999999998</v>
      </c>
      <c r="H2358" s="901">
        <f>GLOBAL_DER_FEV_2023!H2358</f>
        <v>0</v>
      </c>
      <c r="I2358" s="901">
        <f>GLOBAL_DER_FEV_2023!I2358</f>
        <v>0</v>
      </c>
      <c r="J2358" s="902">
        <f>GLOBAL_DER_FEV_2023!J2358</f>
        <v>0</v>
      </c>
      <c r="K2358" s="903"/>
      <c r="L2358" s="1177"/>
      <c r="M2358" s="1138">
        <f t="shared" si="232"/>
        <v>0</v>
      </c>
      <c r="N2358" s="1176">
        <f t="shared" si="233"/>
        <v>0</v>
      </c>
      <c r="O2358" s="905"/>
      <c r="P2358" s="36" t="str">
        <f>IF(N2355&gt;0,"xx",IF(N2355&gt;0,"xy",""))</f>
        <v/>
      </c>
      <c r="Q2358" s="317" t="str">
        <f t="shared" si="234"/>
        <v/>
      </c>
      <c r="R2358" s="317" t="str">
        <f t="shared" si="235"/>
        <v/>
      </c>
      <c r="S2358" s="317" t="str">
        <f t="shared" si="236"/>
        <v/>
      </c>
      <c r="T2358" s="317" t="str">
        <f>GLOBAL_DER_FEV_2023!S2358</f>
        <v/>
      </c>
      <c r="W2358" s="582">
        <v>0</v>
      </c>
      <c r="X2358" s="580"/>
      <c r="Y2358" s="583">
        <f>IF(GLOBAL_DER_FEV_2023!W2358=0,0,IF(GLOBAL_DER_FEV_2023!W2358&gt;0,"c","b"))</f>
        <v>0</v>
      </c>
    </row>
    <row r="2359" spans="1:25" ht="15" customHeight="1" x14ac:dyDescent="0.2">
      <c r="A2359" s="317" t="s">
        <v>126</v>
      </c>
      <c r="B2359" s="895" t="s">
        <v>126</v>
      </c>
      <c r="C2359" s="896" t="s">
        <v>184</v>
      </c>
      <c r="D2359" s="906" t="s">
        <v>141</v>
      </c>
      <c r="E2359" s="907">
        <f>GLOBAL_DER_FEV_2023!E2359</f>
        <v>0</v>
      </c>
      <c r="F2359" s="908">
        <f>GLOBAL_DER_FEV_2023!F2359</f>
        <v>0</v>
      </c>
      <c r="G2359" s="912">
        <f>GLOBAL_DER_FEV_2023!G2359</f>
        <v>592.92383533999998</v>
      </c>
      <c r="H2359" s="901">
        <f>GLOBAL_DER_FEV_2023!H2359</f>
        <v>6034.4</v>
      </c>
      <c r="I2359" s="901">
        <f>GLOBAL_DER_FEV_2023!I2359</f>
        <v>6627.3238353399993</v>
      </c>
      <c r="J2359" s="902">
        <f>GLOBAL_DER_FEV_2023!J2359</f>
        <v>7957.43</v>
      </c>
      <c r="K2359" s="903" t="s">
        <v>15</v>
      </c>
      <c r="L2359" s="1137"/>
      <c r="M2359" s="1138">
        <f t="shared" si="232"/>
        <v>0</v>
      </c>
      <c r="N2359" s="1176">
        <f t="shared" si="233"/>
        <v>0</v>
      </c>
      <c r="O2359" s="905"/>
      <c r="Q2359" s="317" t="str">
        <f t="shared" si="234"/>
        <v/>
      </c>
      <c r="R2359" s="317" t="str">
        <f t="shared" si="235"/>
        <v/>
      </c>
      <c r="S2359" s="317" t="str">
        <f t="shared" si="236"/>
        <v/>
      </c>
      <c r="T2359" s="317" t="str">
        <f>GLOBAL_DER_FEV_2023!S2359</f>
        <v/>
      </c>
      <c r="W2359" s="582">
        <v>0</v>
      </c>
      <c r="X2359" s="580"/>
      <c r="Y2359" s="583">
        <f>IF(GLOBAL_DER_FEV_2023!W2359=0,0,IF(GLOBAL_DER_FEV_2023!W2359&gt;0,"c","b"))</f>
        <v>0</v>
      </c>
    </row>
    <row r="2360" spans="1:25" ht="15" customHeight="1" x14ac:dyDescent="0.2">
      <c r="A2360" s="317" t="s">
        <v>147</v>
      </c>
      <c r="B2360" s="895" t="s">
        <v>147</v>
      </c>
      <c r="C2360" s="896"/>
      <c r="D2360" s="906" t="s">
        <v>190</v>
      </c>
      <c r="E2360" s="907">
        <f>GLOBAL_DER_FEV_2023!E2360</f>
        <v>308</v>
      </c>
      <c r="F2360" s="908">
        <f>GLOBAL_DER_FEV_2023!F2360</f>
        <v>0.80657999999999996</v>
      </c>
      <c r="G2360" s="909">
        <f>GLOBAL_DER_FEV_2023!G2360</f>
        <v>200.0802348</v>
      </c>
      <c r="H2360" s="901">
        <f>GLOBAL_DER_FEV_2023!H2360</f>
        <v>0</v>
      </c>
      <c r="I2360" s="901">
        <f>GLOBAL_DER_FEV_2023!I2360</f>
        <v>0</v>
      </c>
      <c r="J2360" s="902">
        <f>GLOBAL_DER_FEV_2023!J2360</f>
        <v>0</v>
      </c>
      <c r="K2360" s="903"/>
      <c r="L2360" s="1177"/>
      <c r="M2360" s="1138">
        <f t="shared" si="232"/>
        <v>0</v>
      </c>
      <c r="N2360" s="1176">
        <f t="shared" si="233"/>
        <v>0</v>
      </c>
      <c r="O2360" s="905"/>
      <c r="P2360" s="36" t="str">
        <f>IF(N2359&gt;0,"xx",IF(N2359&gt;0,"xy",""))</f>
        <v/>
      </c>
      <c r="Q2360" s="317" t="str">
        <f t="shared" si="234"/>
        <v/>
      </c>
      <c r="R2360" s="317" t="str">
        <f t="shared" si="235"/>
        <v/>
      </c>
      <c r="S2360" s="317" t="str">
        <f t="shared" si="236"/>
        <v/>
      </c>
      <c r="T2360" s="317" t="str">
        <f>GLOBAL_DER_FEV_2023!S2360</f>
        <v/>
      </c>
      <c r="W2360" s="582">
        <v>0</v>
      </c>
      <c r="X2360" s="580"/>
      <c r="Y2360" s="583">
        <f>IF(GLOBAL_DER_FEV_2023!W2360=0,0,IF(GLOBAL_DER_FEV_2023!W2360&gt;0,"c","b"))</f>
        <v>0</v>
      </c>
    </row>
    <row r="2361" spans="1:25" ht="15" customHeight="1" x14ac:dyDescent="0.2">
      <c r="A2361" s="317" t="s">
        <v>147</v>
      </c>
      <c r="B2361" s="895" t="s">
        <v>147</v>
      </c>
      <c r="C2361" s="896"/>
      <c r="D2361" s="906" t="s">
        <v>229</v>
      </c>
      <c r="E2361" s="907">
        <f>GLOBAL_DER_FEV_2023!E2361</f>
        <v>150</v>
      </c>
      <c r="F2361" s="908">
        <f>GLOBAL_DER_FEV_2023!F2361</f>
        <v>2.3575999999999997</v>
      </c>
      <c r="G2361" s="949">
        <f>GLOBAL_DER_FEV_2023!G2361</f>
        <v>384.71316799999994</v>
      </c>
      <c r="H2361" s="901">
        <f>GLOBAL_DER_FEV_2023!H2361</f>
        <v>0</v>
      </c>
      <c r="I2361" s="901">
        <f>GLOBAL_DER_FEV_2023!I2361</f>
        <v>0</v>
      </c>
      <c r="J2361" s="902">
        <f>GLOBAL_DER_FEV_2023!J2361</f>
        <v>0</v>
      </c>
      <c r="K2361" s="903"/>
      <c r="L2361" s="1177"/>
      <c r="M2361" s="1138">
        <f t="shared" si="232"/>
        <v>0</v>
      </c>
      <c r="N2361" s="1176">
        <f t="shared" si="233"/>
        <v>0</v>
      </c>
      <c r="O2361" s="905"/>
      <c r="P2361" s="36" t="str">
        <f>IF(N2359&gt;0,"xx",IF(N2359&gt;0,"xy",""))</f>
        <v/>
      </c>
      <c r="Q2361" s="317" t="str">
        <f t="shared" si="234"/>
        <v/>
      </c>
      <c r="R2361" s="317" t="str">
        <f t="shared" si="235"/>
        <v/>
      </c>
      <c r="S2361" s="317" t="str">
        <f t="shared" si="236"/>
        <v/>
      </c>
      <c r="T2361" s="317" t="str">
        <f>GLOBAL_DER_FEV_2023!S2361</f>
        <v/>
      </c>
      <c r="W2361" s="582">
        <v>0</v>
      </c>
      <c r="X2361" s="580"/>
      <c r="Y2361" s="583">
        <f>IF(GLOBAL_DER_FEV_2023!W2361=0,0,IF(GLOBAL_DER_FEV_2023!W2361&gt;0,"c","b"))</f>
        <v>0</v>
      </c>
    </row>
    <row r="2362" spans="1:25" ht="15" customHeight="1" x14ac:dyDescent="0.2">
      <c r="A2362" s="317" t="s">
        <v>147</v>
      </c>
      <c r="B2362" s="895" t="s">
        <v>147</v>
      </c>
      <c r="C2362" s="896"/>
      <c r="D2362" s="906" t="s">
        <v>233</v>
      </c>
      <c r="E2362" s="907">
        <f>GLOBAL_DER_FEV_2023!E2362</f>
        <v>0.2</v>
      </c>
      <c r="F2362" s="908">
        <f>GLOBAL_DER_FEV_2023!F2362</f>
        <v>2.8094099999999997</v>
      </c>
      <c r="G2362" s="949">
        <f>GLOBAL_DER_FEV_2023!G2362</f>
        <v>8.1304325399999993</v>
      </c>
      <c r="H2362" s="901">
        <f>GLOBAL_DER_FEV_2023!H2362</f>
        <v>0</v>
      </c>
      <c r="I2362" s="901">
        <f>GLOBAL_DER_FEV_2023!I2362</f>
        <v>0</v>
      </c>
      <c r="J2362" s="902">
        <f>GLOBAL_DER_FEV_2023!J2362</f>
        <v>0</v>
      </c>
      <c r="K2362" s="903"/>
      <c r="L2362" s="1177"/>
      <c r="M2362" s="1138">
        <f t="shared" si="232"/>
        <v>0</v>
      </c>
      <c r="N2362" s="1176">
        <f t="shared" si="233"/>
        <v>0</v>
      </c>
      <c r="O2362" s="905"/>
      <c r="P2362" s="36" t="str">
        <f>IF(N2359&gt;0,"xx",IF(N2359&gt;0,"xy",""))</f>
        <v/>
      </c>
      <c r="Q2362" s="317" t="str">
        <f t="shared" si="234"/>
        <v/>
      </c>
      <c r="R2362" s="317" t="str">
        <f t="shared" si="235"/>
        <v/>
      </c>
      <c r="S2362" s="317" t="str">
        <f t="shared" si="236"/>
        <v/>
      </c>
      <c r="T2362" s="317" t="str">
        <f>GLOBAL_DER_FEV_2023!S2362</f>
        <v/>
      </c>
      <c r="W2362" s="582">
        <v>0</v>
      </c>
      <c r="X2362" s="580"/>
      <c r="Y2362" s="583">
        <f>IF(GLOBAL_DER_FEV_2023!W2362=0,0,IF(GLOBAL_DER_FEV_2023!W2362&gt;0,"c","b"))</f>
        <v>0</v>
      </c>
    </row>
    <row r="2363" spans="1:25" ht="15" customHeight="1" x14ac:dyDescent="0.2">
      <c r="A2363" s="317" t="s">
        <v>41</v>
      </c>
      <c r="B2363" s="895" t="s">
        <v>41</v>
      </c>
      <c r="C2363" s="896" t="s">
        <v>184</v>
      </c>
      <c r="D2363" s="906" t="s">
        <v>142</v>
      </c>
      <c r="E2363" s="907">
        <f>GLOBAL_DER_FEV_2023!E2363</f>
        <v>0</v>
      </c>
      <c r="F2363" s="908">
        <f>GLOBAL_DER_FEV_2023!F2363</f>
        <v>0</v>
      </c>
      <c r="G2363" s="912">
        <f>GLOBAL_DER_FEV_2023!G2363</f>
        <v>660.44456692100005</v>
      </c>
      <c r="H2363" s="901">
        <f>GLOBAL_DER_FEV_2023!H2363</f>
        <v>6626.99</v>
      </c>
      <c r="I2363" s="901">
        <f>GLOBAL_DER_FEV_2023!I2363</f>
        <v>7287.4345669209997</v>
      </c>
      <c r="J2363" s="902">
        <f>GLOBAL_DER_FEV_2023!J2363</f>
        <v>8750.02</v>
      </c>
      <c r="K2363" s="903" t="s">
        <v>15</v>
      </c>
      <c r="L2363" s="1137"/>
      <c r="M2363" s="1138">
        <f t="shared" si="232"/>
        <v>0</v>
      </c>
      <c r="N2363" s="1176">
        <f t="shared" si="233"/>
        <v>0</v>
      </c>
      <c r="O2363" s="905"/>
      <c r="Q2363" s="317" t="str">
        <f t="shared" si="234"/>
        <v/>
      </c>
      <c r="R2363" s="317" t="str">
        <f t="shared" si="235"/>
        <v/>
      </c>
      <c r="S2363" s="317" t="str">
        <f t="shared" si="236"/>
        <v/>
      </c>
      <c r="T2363" s="317" t="str">
        <f>GLOBAL_DER_FEV_2023!S2363</f>
        <v/>
      </c>
      <c r="W2363" s="582">
        <v>0</v>
      </c>
      <c r="X2363" s="580"/>
      <c r="Y2363" s="583">
        <f>IF(GLOBAL_DER_FEV_2023!W2363=0,0,IF(GLOBAL_DER_FEV_2023!W2363&gt;0,"c","b"))</f>
        <v>0</v>
      </c>
    </row>
    <row r="2364" spans="1:25" ht="15" customHeight="1" x14ac:dyDescent="0.2">
      <c r="A2364" s="317" t="s">
        <v>147</v>
      </c>
      <c r="B2364" s="895" t="s">
        <v>147</v>
      </c>
      <c r="C2364" s="896"/>
      <c r="D2364" s="906" t="s">
        <v>190</v>
      </c>
      <c r="E2364" s="907">
        <f>GLOBAL_DER_FEV_2023!E2364</f>
        <v>308</v>
      </c>
      <c r="F2364" s="908">
        <f>GLOBAL_DER_FEV_2023!F2364</f>
        <v>0.89753699999999992</v>
      </c>
      <c r="G2364" s="909">
        <f>GLOBAL_DER_FEV_2023!G2364</f>
        <v>222.64302821999999</v>
      </c>
      <c r="H2364" s="901">
        <f>GLOBAL_DER_FEV_2023!H2364</f>
        <v>0</v>
      </c>
      <c r="I2364" s="901">
        <f>GLOBAL_DER_FEV_2023!I2364</f>
        <v>0</v>
      </c>
      <c r="J2364" s="902">
        <f>GLOBAL_DER_FEV_2023!J2364</f>
        <v>0</v>
      </c>
      <c r="K2364" s="903"/>
      <c r="L2364" s="1177"/>
      <c r="M2364" s="1138">
        <f t="shared" si="232"/>
        <v>0</v>
      </c>
      <c r="N2364" s="1176">
        <f t="shared" si="233"/>
        <v>0</v>
      </c>
      <c r="O2364" s="905"/>
      <c r="P2364" s="36" t="str">
        <f>IF(N2363&gt;0,"xx",IF(N2363&gt;0,"xy",""))</f>
        <v/>
      </c>
      <c r="Q2364" s="317" t="str">
        <f t="shared" si="234"/>
        <v/>
      </c>
      <c r="R2364" s="317" t="str">
        <f t="shared" si="235"/>
        <v/>
      </c>
      <c r="S2364" s="317" t="str">
        <f t="shared" si="236"/>
        <v/>
      </c>
      <c r="T2364" s="317" t="str">
        <f>GLOBAL_DER_FEV_2023!S2364</f>
        <v/>
      </c>
      <c r="W2364" s="582">
        <v>0</v>
      </c>
      <c r="X2364" s="580"/>
      <c r="Y2364" s="583">
        <f>IF(GLOBAL_DER_FEV_2023!W2364=0,0,IF(GLOBAL_DER_FEV_2023!W2364&gt;0,"c","b"))</f>
        <v>0</v>
      </c>
    </row>
    <row r="2365" spans="1:25" ht="15" customHeight="1" x14ac:dyDescent="0.2">
      <c r="A2365" s="317" t="s">
        <v>147</v>
      </c>
      <c r="B2365" s="895" t="s">
        <v>147</v>
      </c>
      <c r="C2365" s="896"/>
      <c r="D2365" s="906" t="s">
        <v>229</v>
      </c>
      <c r="E2365" s="907">
        <f>GLOBAL_DER_FEV_2023!E2365</f>
        <v>150</v>
      </c>
      <c r="F2365" s="908">
        <f>GLOBAL_DER_FEV_2023!F2365</f>
        <v>2.6274289999999998</v>
      </c>
      <c r="G2365" s="949">
        <f>GLOBAL_DER_FEV_2023!G2365</f>
        <v>428.74386421999998</v>
      </c>
      <c r="H2365" s="901">
        <f>GLOBAL_DER_FEV_2023!H2365</f>
        <v>0</v>
      </c>
      <c r="I2365" s="901">
        <f>GLOBAL_DER_FEV_2023!I2365</f>
        <v>0</v>
      </c>
      <c r="J2365" s="902">
        <f>GLOBAL_DER_FEV_2023!J2365</f>
        <v>0</v>
      </c>
      <c r="K2365" s="903"/>
      <c r="L2365" s="1177"/>
      <c r="M2365" s="1138">
        <f t="shared" si="232"/>
        <v>0</v>
      </c>
      <c r="N2365" s="1176">
        <f t="shared" si="233"/>
        <v>0</v>
      </c>
      <c r="O2365" s="905"/>
      <c r="P2365" s="36" t="str">
        <f>IF(N2363&gt;0,"xx",IF(N2363&gt;0,"xy",""))</f>
        <v/>
      </c>
      <c r="Q2365" s="317" t="str">
        <f t="shared" si="234"/>
        <v/>
      </c>
      <c r="R2365" s="317" t="str">
        <f t="shared" si="235"/>
        <v/>
      </c>
      <c r="S2365" s="317" t="str">
        <f t="shared" si="236"/>
        <v/>
      </c>
      <c r="T2365" s="317" t="str">
        <f>GLOBAL_DER_FEV_2023!S2365</f>
        <v/>
      </c>
      <c r="W2365" s="582">
        <v>0</v>
      </c>
      <c r="X2365" s="580"/>
      <c r="Y2365" s="583">
        <f>IF(GLOBAL_DER_FEV_2023!W2365=0,0,IF(GLOBAL_DER_FEV_2023!W2365&gt;0,"c","b"))</f>
        <v>0</v>
      </c>
    </row>
    <row r="2366" spans="1:25" ht="15" customHeight="1" x14ac:dyDescent="0.2">
      <c r="A2366" s="317" t="s">
        <v>147</v>
      </c>
      <c r="B2366" s="895" t="s">
        <v>147</v>
      </c>
      <c r="C2366" s="896"/>
      <c r="D2366" s="906" t="s">
        <v>233</v>
      </c>
      <c r="E2366" s="907">
        <f>GLOBAL_DER_FEV_2023!E2366</f>
        <v>0.2</v>
      </c>
      <c r="F2366" s="908">
        <f>GLOBAL_DER_FEV_2023!F2366</f>
        <v>3.1298114999999997</v>
      </c>
      <c r="G2366" s="949">
        <f>GLOBAL_DER_FEV_2023!G2366</f>
        <v>9.0576744809999994</v>
      </c>
      <c r="H2366" s="901">
        <f>GLOBAL_DER_FEV_2023!H2366</f>
        <v>0</v>
      </c>
      <c r="I2366" s="901">
        <f>GLOBAL_DER_FEV_2023!I2366</f>
        <v>0</v>
      </c>
      <c r="J2366" s="902">
        <f>GLOBAL_DER_FEV_2023!J2366</f>
        <v>0</v>
      </c>
      <c r="K2366" s="903"/>
      <c r="L2366" s="1177"/>
      <c r="M2366" s="1138">
        <f t="shared" si="232"/>
        <v>0</v>
      </c>
      <c r="N2366" s="1176">
        <f t="shared" si="233"/>
        <v>0</v>
      </c>
      <c r="O2366" s="905"/>
      <c r="P2366" s="36" t="str">
        <f>IF(N2363&gt;0,"xx",IF(N2363&gt;0,"xy",""))</f>
        <v/>
      </c>
      <c r="Q2366" s="317" t="str">
        <f t="shared" si="234"/>
        <v/>
      </c>
      <c r="R2366" s="317" t="str">
        <f t="shared" si="235"/>
        <v/>
      </c>
      <c r="S2366" s="317" t="str">
        <f t="shared" si="236"/>
        <v/>
      </c>
      <c r="T2366" s="317" t="str">
        <f>GLOBAL_DER_FEV_2023!S2366</f>
        <v/>
      </c>
      <c r="W2366" s="582">
        <v>0</v>
      </c>
      <c r="X2366" s="580"/>
      <c r="Y2366" s="583">
        <f>IF(GLOBAL_DER_FEV_2023!W2366=0,0,IF(GLOBAL_DER_FEV_2023!W2366&gt;0,"c","b"))</f>
        <v>0</v>
      </c>
    </row>
    <row r="2367" spans="1:25" ht="15" customHeight="1" x14ac:dyDescent="0.2">
      <c r="A2367" s="317" t="s">
        <v>42</v>
      </c>
      <c r="B2367" s="895" t="s">
        <v>42</v>
      </c>
      <c r="C2367" s="896" t="s">
        <v>184</v>
      </c>
      <c r="D2367" s="906" t="s">
        <v>143</v>
      </c>
      <c r="E2367" s="907">
        <f>GLOBAL_DER_FEV_2023!E2367</f>
        <v>0</v>
      </c>
      <c r="F2367" s="908">
        <f>GLOBAL_DER_FEV_2023!F2367</f>
        <v>0</v>
      </c>
      <c r="G2367" s="912">
        <f>GLOBAL_DER_FEV_2023!G2367</f>
        <v>820.7050911591499</v>
      </c>
      <c r="H2367" s="901">
        <f>GLOBAL_DER_FEV_2023!H2367</f>
        <v>8092.02</v>
      </c>
      <c r="I2367" s="901">
        <f>GLOBAL_DER_FEV_2023!I2367</f>
        <v>8912.7250911591509</v>
      </c>
      <c r="J2367" s="902">
        <f>GLOBAL_DER_FEV_2023!J2367</f>
        <v>10701.51</v>
      </c>
      <c r="K2367" s="903" t="s">
        <v>15</v>
      </c>
      <c r="L2367" s="1137"/>
      <c r="M2367" s="1138">
        <f t="shared" si="232"/>
        <v>0</v>
      </c>
      <c r="N2367" s="1176">
        <f t="shared" si="233"/>
        <v>0</v>
      </c>
      <c r="O2367" s="905"/>
      <c r="Q2367" s="317" t="str">
        <f t="shared" si="234"/>
        <v/>
      </c>
      <c r="R2367" s="317" t="str">
        <f t="shared" si="235"/>
        <v/>
      </c>
      <c r="S2367" s="317" t="str">
        <f t="shared" si="236"/>
        <v/>
      </c>
      <c r="T2367" s="317" t="str">
        <f>GLOBAL_DER_FEV_2023!S2367</f>
        <v/>
      </c>
      <c r="W2367" s="582">
        <v>0</v>
      </c>
      <c r="X2367" s="580"/>
      <c r="Y2367" s="583">
        <f>IF(GLOBAL_DER_FEV_2023!W2367=0,0,IF(GLOBAL_DER_FEV_2023!W2367&gt;0,"c","b"))</f>
        <v>0</v>
      </c>
    </row>
    <row r="2368" spans="1:25" ht="15" customHeight="1" x14ac:dyDescent="0.2">
      <c r="A2368" s="317" t="s">
        <v>147</v>
      </c>
      <c r="B2368" s="895" t="s">
        <v>147</v>
      </c>
      <c r="C2368" s="896"/>
      <c r="D2368" s="906" t="s">
        <v>190</v>
      </c>
      <c r="E2368" s="907">
        <f>GLOBAL_DER_FEV_2023!E2368</f>
        <v>308</v>
      </c>
      <c r="F2368" s="908">
        <f>GLOBAL_DER_FEV_2023!F2368</f>
        <v>1.1179675499999999</v>
      </c>
      <c r="G2368" s="909">
        <f>GLOBAL_DER_FEV_2023!G2368</f>
        <v>277.323030453</v>
      </c>
      <c r="H2368" s="901">
        <f>GLOBAL_DER_FEV_2023!H2368</f>
        <v>0</v>
      </c>
      <c r="I2368" s="901">
        <f>GLOBAL_DER_FEV_2023!I2368</f>
        <v>0</v>
      </c>
      <c r="J2368" s="902">
        <f>GLOBAL_DER_FEV_2023!J2368</f>
        <v>0</v>
      </c>
      <c r="K2368" s="903"/>
      <c r="L2368" s="1177"/>
      <c r="M2368" s="1138">
        <f t="shared" si="232"/>
        <v>0</v>
      </c>
      <c r="N2368" s="1176">
        <f t="shared" si="233"/>
        <v>0</v>
      </c>
      <c r="O2368" s="905"/>
      <c r="P2368" s="36" t="str">
        <f>IF(N2367&gt;0,"xx",IF(N2367&gt;0,"xy",""))</f>
        <v/>
      </c>
      <c r="Q2368" s="317" t="str">
        <f t="shared" si="234"/>
        <v/>
      </c>
      <c r="R2368" s="317" t="str">
        <f t="shared" si="235"/>
        <v/>
      </c>
      <c r="S2368" s="317" t="str">
        <f t="shared" si="236"/>
        <v/>
      </c>
      <c r="T2368" s="317" t="str">
        <f>GLOBAL_DER_FEV_2023!S2368</f>
        <v/>
      </c>
      <c r="W2368" s="582">
        <v>0</v>
      </c>
      <c r="X2368" s="580"/>
      <c r="Y2368" s="583">
        <f>IF(GLOBAL_DER_FEV_2023!W2368=0,0,IF(GLOBAL_DER_FEV_2023!W2368&gt;0,"c","b"))</f>
        <v>0</v>
      </c>
    </row>
    <row r="2369" spans="1:25" ht="15" customHeight="1" x14ac:dyDescent="0.2">
      <c r="A2369" s="317" t="s">
        <v>147</v>
      </c>
      <c r="B2369" s="895" t="s">
        <v>147</v>
      </c>
      <c r="C2369" s="896"/>
      <c r="D2369" s="906" t="s">
        <v>229</v>
      </c>
      <c r="E2369" s="907">
        <f>GLOBAL_DER_FEV_2023!E2369</f>
        <v>150</v>
      </c>
      <c r="F2369" s="908">
        <f>GLOBAL_DER_FEV_2023!F2369</f>
        <v>3.2610033499999997</v>
      </c>
      <c r="G2369" s="949">
        <f>GLOBAL_DER_FEV_2023!G2369</f>
        <v>532.13052665299995</v>
      </c>
      <c r="H2369" s="901">
        <f>GLOBAL_DER_FEV_2023!H2369</f>
        <v>0</v>
      </c>
      <c r="I2369" s="901">
        <f>GLOBAL_DER_FEV_2023!I2369</f>
        <v>0</v>
      </c>
      <c r="J2369" s="902">
        <f>GLOBAL_DER_FEV_2023!J2369</f>
        <v>0</v>
      </c>
      <c r="K2369" s="903"/>
      <c r="L2369" s="1177"/>
      <c r="M2369" s="1138">
        <f t="shared" si="232"/>
        <v>0</v>
      </c>
      <c r="N2369" s="1176">
        <f t="shared" si="233"/>
        <v>0</v>
      </c>
      <c r="O2369" s="905"/>
      <c r="P2369" s="36" t="str">
        <f>IF(N2367&gt;0,"xx",IF(N2367&gt;0,"xy",""))</f>
        <v/>
      </c>
      <c r="Q2369" s="317" t="str">
        <f t="shared" si="234"/>
        <v/>
      </c>
      <c r="R2369" s="317" t="str">
        <f t="shared" si="235"/>
        <v/>
      </c>
      <c r="S2369" s="317" t="str">
        <f t="shared" si="236"/>
        <v/>
      </c>
      <c r="T2369" s="317" t="str">
        <f>GLOBAL_DER_FEV_2023!S2369</f>
        <v/>
      </c>
      <c r="W2369" s="582">
        <v>0</v>
      </c>
      <c r="X2369" s="580"/>
      <c r="Y2369" s="583">
        <f>IF(GLOBAL_DER_FEV_2023!W2369=0,0,IF(GLOBAL_DER_FEV_2023!W2369&gt;0,"c","b"))</f>
        <v>0</v>
      </c>
    </row>
    <row r="2370" spans="1:25" ht="15" customHeight="1" x14ac:dyDescent="0.2">
      <c r="A2370" s="317" t="s">
        <v>147</v>
      </c>
      <c r="B2370" s="895" t="s">
        <v>147</v>
      </c>
      <c r="C2370" s="896"/>
      <c r="D2370" s="906" t="s">
        <v>233</v>
      </c>
      <c r="E2370" s="907">
        <f>GLOBAL_DER_FEV_2023!E2370</f>
        <v>0.2</v>
      </c>
      <c r="F2370" s="908">
        <f>GLOBAL_DER_FEV_2023!F2370</f>
        <v>3.8878832249999999</v>
      </c>
      <c r="G2370" s="949">
        <f>GLOBAL_DER_FEV_2023!G2370</f>
        <v>11.251534053150001</v>
      </c>
      <c r="H2370" s="901">
        <f>GLOBAL_DER_FEV_2023!H2370</f>
        <v>0</v>
      </c>
      <c r="I2370" s="901">
        <f>GLOBAL_DER_FEV_2023!I2370</f>
        <v>0</v>
      </c>
      <c r="J2370" s="902">
        <f>GLOBAL_DER_FEV_2023!J2370</f>
        <v>0</v>
      </c>
      <c r="K2370" s="903"/>
      <c r="L2370" s="1177"/>
      <c r="M2370" s="1138">
        <f t="shared" si="232"/>
        <v>0</v>
      </c>
      <c r="N2370" s="1176">
        <f t="shared" si="233"/>
        <v>0</v>
      </c>
      <c r="O2370" s="905"/>
      <c r="P2370" s="36" t="str">
        <f>IF(N2367&gt;0,"xx",IF(N2367&gt;0,"xy",""))</f>
        <v/>
      </c>
      <c r="Q2370" s="317" t="str">
        <f t="shared" si="234"/>
        <v/>
      </c>
      <c r="R2370" s="317" t="str">
        <f t="shared" si="235"/>
        <v/>
      </c>
      <c r="S2370" s="317" t="str">
        <f t="shared" si="236"/>
        <v/>
      </c>
      <c r="T2370" s="317" t="str">
        <f>GLOBAL_DER_FEV_2023!S2370</f>
        <v/>
      </c>
      <c r="W2370" s="582">
        <v>0</v>
      </c>
      <c r="X2370" s="580"/>
      <c r="Y2370" s="583">
        <f>IF(GLOBAL_DER_FEV_2023!W2370=0,0,IF(GLOBAL_DER_FEV_2023!W2370&gt;0,"c","b"))</f>
        <v>0</v>
      </c>
    </row>
    <row r="2371" spans="1:25" ht="15" customHeight="1" x14ac:dyDescent="0.2">
      <c r="A2371" s="317" t="s">
        <v>43</v>
      </c>
      <c r="B2371" s="895" t="s">
        <v>43</v>
      </c>
      <c r="C2371" s="896" t="s">
        <v>184</v>
      </c>
      <c r="D2371" s="906" t="s">
        <v>387</v>
      </c>
      <c r="E2371" s="907">
        <f>GLOBAL_DER_FEV_2023!E2371</f>
        <v>0</v>
      </c>
      <c r="F2371" s="908">
        <f>GLOBAL_DER_FEV_2023!F2371</f>
        <v>0</v>
      </c>
      <c r="G2371" s="912">
        <f>GLOBAL_DER_FEV_2023!G2371</f>
        <v>80.258073720000013</v>
      </c>
      <c r="H2371" s="901">
        <f>GLOBAL_DER_FEV_2023!H2371</f>
        <v>749.96</v>
      </c>
      <c r="I2371" s="901">
        <f>GLOBAL_DER_FEV_2023!I2371</f>
        <v>830.21807372000001</v>
      </c>
      <c r="J2371" s="902">
        <f>GLOBAL_DER_FEV_2023!J2371</f>
        <v>996.84</v>
      </c>
      <c r="K2371" s="903" t="s">
        <v>15</v>
      </c>
      <c r="L2371" s="1137"/>
      <c r="M2371" s="1138">
        <f t="shared" si="232"/>
        <v>0</v>
      </c>
      <c r="N2371" s="1176">
        <f t="shared" si="233"/>
        <v>0</v>
      </c>
      <c r="O2371" s="905"/>
      <c r="Q2371" s="317" t="str">
        <f t="shared" ref="Q2371:Q2414" si="237">IF(P2371="X","x",IF(P2371="xx","x",IF(P2371="xy","x",IF(P2371="y","x",IF(OR(N2371&gt;0,N2371&gt;0),"x","")))))</f>
        <v/>
      </c>
      <c r="R2371" s="317" t="str">
        <f t="shared" ref="R2371:R2416" si="238">IF(P2371="X","x",IF(P2371="y","x",IF(P2371="xx","x",IF(N2371&gt;0,"x",""))))</f>
        <v/>
      </c>
      <c r="S2371" s="317" t="str">
        <f t="shared" ref="S2371:S2416" si="239">IF(P2371="X","x",IF(N2371&gt;0,"x",""))</f>
        <v/>
      </c>
      <c r="T2371" s="317" t="str">
        <f>GLOBAL_DER_FEV_2023!S2371</f>
        <v/>
      </c>
      <c r="W2371" s="582">
        <v>0</v>
      </c>
      <c r="X2371" s="580"/>
      <c r="Y2371" s="583">
        <f>IF(GLOBAL_DER_FEV_2023!W2371=0,0,IF(GLOBAL_DER_FEV_2023!W2371&gt;0,"c","b"))</f>
        <v>0</v>
      </c>
    </row>
    <row r="2372" spans="1:25" ht="15" customHeight="1" x14ac:dyDescent="0.2">
      <c r="A2372" s="317" t="s">
        <v>147</v>
      </c>
      <c r="B2372" s="895" t="s">
        <v>147</v>
      </c>
      <c r="C2372" s="896"/>
      <c r="D2372" s="906" t="s">
        <v>190</v>
      </c>
      <c r="E2372" s="907">
        <f>GLOBAL_DER_FEV_2023!E2372</f>
        <v>308</v>
      </c>
      <c r="F2372" s="908">
        <f>GLOBAL_DER_FEV_2023!F2372</f>
        <v>0.11253000000000002</v>
      </c>
      <c r="G2372" s="909">
        <f>GLOBAL_DER_FEV_2023!G2372</f>
        <v>27.914191800000005</v>
      </c>
      <c r="H2372" s="901">
        <f>GLOBAL_DER_FEV_2023!H2372</f>
        <v>0</v>
      </c>
      <c r="I2372" s="901">
        <f>GLOBAL_DER_FEV_2023!I2372</f>
        <v>0</v>
      </c>
      <c r="J2372" s="902">
        <f>GLOBAL_DER_FEV_2023!J2372</f>
        <v>0</v>
      </c>
      <c r="K2372" s="903"/>
      <c r="L2372" s="1177"/>
      <c r="M2372" s="1138">
        <f t="shared" si="232"/>
        <v>0</v>
      </c>
      <c r="N2372" s="1176">
        <f t="shared" si="233"/>
        <v>0</v>
      </c>
      <c r="O2372" s="905"/>
      <c r="P2372" s="36" t="str">
        <f>IF(N2371&gt;0,"xx",IF(N2371&gt;0,"xy",""))</f>
        <v/>
      </c>
      <c r="Q2372" s="317" t="str">
        <f t="shared" si="237"/>
        <v/>
      </c>
      <c r="R2372" s="317" t="str">
        <f t="shared" si="238"/>
        <v/>
      </c>
      <c r="S2372" s="317" t="str">
        <f t="shared" si="239"/>
        <v/>
      </c>
      <c r="T2372" s="317" t="str">
        <f>GLOBAL_DER_FEV_2023!S2372</f>
        <v/>
      </c>
      <c r="W2372" s="582">
        <v>0</v>
      </c>
      <c r="X2372" s="580"/>
      <c r="Y2372" s="583">
        <f>IF(GLOBAL_DER_FEV_2023!W2372=0,0,IF(GLOBAL_DER_FEV_2023!W2372&gt;0,"c","b"))</f>
        <v>0</v>
      </c>
    </row>
    <row r="2373" spans="1:25" ht="15" customHeight="1" x14ac:dyDescent="0.2">
      <c r="A2373" s="317" t="s">
        <v>147</v>
      </c>
      <c r="B2373" s="895" t="s">
        <v>147</v>
      </c>
      <c r="C2373" s="896"/>
      <c r="D2373" s="906" t="s">
        <v>229</v>
      </c>
      <c r="E2373" s="907">
        <f>GLOBAL_DER_FEV_2023!E2373</f>
        <v>150</v>
      </c>
      <c r="F2373" s="908">
        <f>GLOBAL_DER_FEV_2023!F2373</f>
        <v>0.31406100000000003</v>
      </c>
      <c r="G2373" s="949">
        <f>GLOBAL_DER_FEV_2023!G2373</f>
        <v>51.248473980000007</v>
      </c>
      <c r="H2373" s="901">
        <f>GLOBAL_DER_FEV_2023!H2373</f>
        <v>0</v>
      </c>
      <c r="I2373" s="901">
        <f>GLOBAL_DER_FEV_2023!I2373</f>
        <v>0</v>
      </c>
      <c r="J2373" s="902">
        <f>GLOBAL_DER_FEV_2023!J2373</f>
        <v>0</v>
      </c>
      <c r="K2373" s="903"/>
      <c r="L2373" s="1177"/>
      <c r="M2373" s="1138">
        <f t="shared" si="232"/>
        <v>0</v>
      </c>
      <c r="N2373" s="1176">
        <f t="shared" si="233"/>
        <v>0</v>
      </c>
      <c r="O2373" s="905"/>
      <c r="P2373" s="36" t="str">
        <f>IF(N2371&gt;0,"xx",IF(N2371&gt;0,"xy",""))</f>
        <v/>
      </c>
      <c r="Q2373" s="317" t="str">
        <f t="shared" si="237"/>
        <v/>
      </c>
      <c r="R2373" s="317" t="str">
        <f t="shared" si="238"/>
        <v/>
      </c>
      <c r="S2373" s="317" t="str">
        <f t="shared" si="239"/>
        <v/>
      </c>
      <c r="T2373" s="317" t="str">
        <f>GLOBAL_DER_FEV_2023!S2373</f>
        <v/>
      </c>
      <c r="W2373" s="582">
        <v>0</v>
      </c>
      <c r="X2373" s="580"/>
      <c r="Y2373" s="583">
        <f>IF(GLOBAL_DER_FEV_2023!W2373=0,0,IF(GLOBAL_DER_FEV_2023!W2373&gt;0,"c","b"))</f>
        <v>0</v>
      </c>
    </row>
    <row r="2374" spans="1:25" ht="15" customHeight="1" x14ac:dyDescent="0.2">
      <c r="A2374" s="317" t="s">
        <v>147</v>
      </c>
      <c r="B2374" s="895" t="s">
        <v>147</v>
      </c>
      <c r="C2374" s="896"/>
      <c r="D2374" s="906" t="s">
        <v>233</v>
      </c>
      <c r="E2374" s="907">
        <f>GLOBAL_DER_FEV_2023!E2374</f>
        <v>0.2</v>
      </c>
      <c r="F2374" s="908">
        <f>GLOBAL_DER_FEV_2023!F2374</f>
        <v>0.37851000000000007</v>
      </c>
      <c r="G2374" s="949">
        <f>GLOBAL_DER_FEV_2023!G2374</f>
        <v>1.0954079400000003</v>
      </c>
      <c r="H2374" s="901">
        <f>GLOBAL_DER_FEV_2023!H2374</f>
        <v>0</v>
      </c>
      <c r="I2374" s="901">
        <f>GLOBAL_DER_FEV_2023!I2374</f>
        <v>0</v>
      </c>
      <c r="J2374" s="902">
        <f>GLOBAL_DER_FEV_2023!J2374</f>
        <v>0</v>
      </c>
      <c r="K2374" s="903"/>
      <c r="L2374" s="1177"/>
      <c r="M2374" s="1138">
        <f t="shared" ref="M2374:M2437" si="240">IF(L2374=0,0,ROUND(J2374,2))</f>
        <v>0</v>
      </c>
      <c r="N2374" s="1176">
        <f t="shared" si="233"/>
        <v>0</v>
      </c>
      <c r="O2374" s="905"/>
      <c r="P2374" s="36" t="str">
        <f>IF(N2371&gt;0,"xx",IF(N2371&gt;0,"xy",""))</f>
        <v/>
      </c>
      <c r="Q2374" s="317" t="str">
        <f t="shared" si="237"/>
        <v/>
      </c>
      <c r="R2374" s="317" t="str">
        <f t="shared" si="238"/>
        <v/>
      </c>
      <c r="S2374" s="317" t="str">
        <f t="shared" si="239"/>
        <v/>
      </c>
      <c r="T2374" s="317" t="str">
        <f>GLOBAL_DER_FEV_2023!S2374</f>
        <v/>
      </c>
      <c r="W2374" s="582">
        <v>0</v>
      </c>
      <c r="X2374" s="580"/>
      <c r="Y2374" s="583">
        <f>IF(GLOBAL_DER_FEV_2023!W2374=0,0,IF(GLOBAL_DER_FEV_2023!W2374&gt;0,"c","b"))</f>
        <v>0</v>
      </c>
    </row>
    <row r="2375" spans="1:25" ht="15" customHeight="1" x14ac:dyDescent="0.2">
      <c r="A2375" s="317" t="s">
        <v>44</v>
      </c>
      <c r="B2375" s="895" t="s">
        <v>44</v>
      </c>
      <c r="C2375" s="896" t="s">
        <v>184</v>
      </c>
      <c r="D2375" s="906" t="s">
        <v>388</v>
      </c>
      <c r="E2375" s="907">
        <f>GLOBAL_DER_FEV_2023!E2375</f>
        <v>0</v>
      </c>
      <c r="F2375" s="908">
        <f>GLOBAL_DER_FEV_2023!F2375</f>
        <v>0</v>
      </c>
      <c r="G2375" s="912">
        <f>GLOBAL_DER_FEV_2023!G2375</f>
        <v>87.318901320000023</v>
      </c>
      <c r="H2375" s="901">
        <f>GLOBAL_DER_FEV_2023!H2375</f>
        <v>850.96</v>
      </c>
      <c r="I2375" s="901">
        <f>GLOBAL_DER_FEV_2023!I2375</f>
        <v>938.27890132000005</v>
      </c>
      <c r="J2375" s="902">
        <f>GLOBAL_DER_FEV_2023!J2375</f>
        <v>1126.5899999999999</v>
      </c>
      <c r="K2375" s="903" t="s">
        <v>15</v>
      </c>
      <c r="L2375" s="1137"/>
      <c r="M2375" s="1138">
        <f t="shared" si="240"/>
        <v>0</v>
      </c>
      <c r="N2375" s="1176">
        <f t="shared" si="233"/>
        <v>0</v>
      </c>
      <c r="O2375" s="905"/>
      <c r="Q2375" s="317" t="str">
        <f t="shared" si="237"/>
        <v/>
      </c>
      <c r="R2375" s="317" t="str">
        <f t="shared" si="238"/>
        <v/>
      </c>
      <c r="S2375" s="317" t="str">
        <f t="shared" si="239"/>
        <v/>
      </c>
      <c r="T2375" s="317" t="str">
        <f>GLOBAL_DER_FEV_2023!S2375</f>
        <v/>
      </c>
      <c r="W2375" s="582">
        <v>0</v>
      </c>
      <c r="X2375" s="580"/>
      <c r="Y2375" s="583">
        <f>IF(GLOBAL_DER_FEV_2023!W2375=0,0,IF(GLOBAL_DER_FEV_2023!W2375&gt;0,"c","b"))</f>
        <v>0</v>
      </c>
    </row>
    <row r="2376" spans="1:25" ht="15" customHeight="1" x14ac:dyDescent="0.2">
      <c r="A2376" s="317" t="s">
        <v>147</v>
      </c>
      <c r="B2376" s="895" t="s">
        <v>147</v>
      </c>
      <c r="C2376" s="896"/>
      <c r="D2376" s="906" t="s">
        <v>190</v>
      </c>
      <c r="E2376" s="907">
        <f>GLOBAL_DER_FEV_2023!E2376</f>
        <v>308</v>
      </c>
      <c r="F2376" s="908">
        <f>GLOBAL_DER_FEV_2023!F2376</f>
        <v>0.12243000000000002</v>
      </c>
      <c r="G2376" s="909">
        <f>GLOBAL_DER_FEV_2023!G2376</f>
        <v>30.369985800000006</v>
      </c>
      <c r="H2376" s="901">
        <f>GLOBAL_DER_FEV_2023!H2376</f>
        <v>0</v>
      </c>
      <c r="I2376" s="901">
        <f>GLOBAL_DER_FEV_2023!I2376</f>
        <v>0</v>
      </c>
      <c r="J2376" s="902">
        <f>GLOBAL_DER_FEV_2023!J2376</f>
        <v>0</v>
      </c>
      <c r="K2376" s="903"/>
      <c r="L2376" s="1177"/>
      <c r="M2376" s="1138">
        <f t="shared" si="240"/>
        <v>0</v>
      </c>
      <c r="N2376" s="1176">
        <f t="shared" si="233"/>
        <v>0</v>
      </c>
      <c r="O2376" s="905"/>
      <c r="P2376" s="36" t="str">
        <f>IF(N2375&gt;0,"xx",IF(N2375&gt;0,"xy",""))</f>
        <v/>
      </c>
      <c r="Q2376" s="317" t="str">
        <f t="shared" si="237"/>
        <v/>
      </c>
      <c r="R2376" s="317" t="str">
        <f t="shared" si="238"/>
        <v/>
      </c>
      <c r="S2376" s="317" t="str">
        <f t="shared" si="239"/>
        <v/>
      </c>
      <c r="T2376" s="317" t="str">
        <f>GLOBAL_DER_FEV_2023!S2376</f>
        <v/>
      </c>
      <c r="W2376" s="582">
        <v>0</v>
      </c>
      <c r="X2376" s="580"/>
      <c r="Y2376" s="583">
        <f>IF(GLOBAL_DER_FEV_2023!W2376=0,0,IF(GLOBAL_DER_FEV_2023!W2376&gt;0,"c","b"))</f>
        <v>0</v>
      </c>
    </row>
    <row r="2377" spans="1:25" ht="15" customHeight="1" x14ac:dyDescent="0.2">
      <c r="A2377" s="317" t="s">
        <v>147</v>
      </c>
      <c r="B2377" s="895" t="s">
        <v>147</v>
      </c>
      <c r="C2377" s="896"/>
      <c r="D2377" s="906" t="s">
        <v>229</v>
      </c>
      <c r="E2377" s="907">
        <f>GLOBAL_DER_FEV_2023!E2377</f>
        <v>150</v>
      </c>
      <c r="F2377" s="908">
        <f>GLOBAL_DER_FEV_2023!F2377</f>
        <v>0.34169100000000008</v>
      </c>
      <c r="G2377" s="949">
        <f>GLOBAL_DER_FEV_2023!G2377</f>
        <v>55.757137380000017</v>
      </c>
      <c r="H2377" s="901">
        <f>GLOBAL_DER_FEV_2023!H2377</f>
        <v>0</v>
      </c>
      <c r="I2377" s="901">
        <f>GLOBAL_DER_FEV_2023!I2377</f>
        <v>0</v>
      </c>
      <c r="J2377" s="902">
        <f>GLOBAL_DER_FEV_2023!J2377</f>
        <v>0</v>
      </c>
      <c r="K2377" s="903"/>
      <c r="L2377" s="1177"/>
      <c r="M2377" s="1138">
        <f t="shared" si="240"/>
        <v>0</v>
      </c>
      <c r="N2377" s="1176">
        <f t="shared" si="233"/>
        <v>0</v>
      </c>
      <c r="O2377" s="905"/>
      <c r="P2377" s="36" t="str">
        <f>IF(N2375&gt;0,"xx",IF(N2375&gt;0,"xy",""))</f>
        <v/>
      </c>
      <c r="Q2377" s="317" t="str">
        <f t="shared" si="237"/>
        <v/>
      </c>
      <c r="R2377" s="317" t="str">
        <f t="shared" si="238"/>
        <v/>
      </c>
      <c r="S2377" s="317" t="str">
        <f t="shared" si="239"/>
        <v/>
      </c>
      <c r="T2377" s="317" t="str">
        <f>GLOBAL_DER_FEV_2023!S2377</f>
        <v/>
      </c>
      <c r="W2377" s="582">
        <v>0</v>
      </c>
      <c r="X2377" s="580"/>
      <c r="Y2377" s="583">
        <f>IF(GLOBAL_DER_FEV_2023!W2377=0,0,IF(GLOBAL_DER_FEV_2023!W2377&gt;0,"c","b"))</f>
        <v>0</v>
      </c>
    </row>
    <row r="2378" spans="1:25" ht="15" customHeight="1" x14ac:dyDescent="0.2">
      <c r="A2378" s="317" t="s">
        <v>147</v>
      </c>
      <c r="B2378" s="895" t="s">
        <v>147</v>
      </c>
      <c r="C2378" s="896"/>
      <c r="D2378" s="906" t="s">
        <v>233</v>
      </c>
      <c r="E2378" s="907">
        <f>GLOBAL_DER_FEV_2023!E2378</f>
        <v>0.2</v>
      </c>
      <c r="F2378" s="908">
        <f>GLOBAL_DER_FEV_2023!F2378</f>
        <v>0.41181000000000012</v>
      </c>
      <c r="G2378" s="949">
        <f>GLOBAL_DER_FEV_2023!G2378</f>
        <v>1.1917781400000005</v>
      </c>
      <c r="H2378" s="901">
        <f>GLOBAL_DER_FEV_2023!H2378</f>
        <v>0</v>
      </c>
      <c r="I2378" s="901">
        <f>GLOBAL_DER_FEV_2023!I2378</f>
        <v>0</v>
      </c>
      <c r="J2378" s="902">
        <f>GLOBAL_DER_FEV_2023!J2378</f>
        <v>0</v>
      </c>
      <c r="K2378" s="903"/>
      <c r="L2378" s="1177"/>
      <c r="M2378" s="1138">
        <f t="shared" si="240"/>
        <v>0</v>
      </c>
      <c r="N2378" s="1176">
        <f t="shared" si="233"/>
        <v>0</v>
      </c>
      <c r="O2378" s="905"/>
      <c r="P2378" s="36" t="str">
        <f>IF(N2375&gt;0,"xx",IF(N2375&gt;0,"xy",""))</f>
        <v/>
      </c>
      <c r="Q2378" s="317" t="str">
        <f t="shared" si="237"/>
        <v/>
      </c>
      <c r="R2378" s="317" t="str">
        <f t="shared" si="238"/>
        <v/>
      </c>
      <c r="S2378" s="317" t="str">
        <f t="shared" si="239"/>
        <v/>
      </c>
      <c r="T2378" s="317" t="str">
        <f>GLOBAL_DER_FEV_2023!S2378</f>
        <v/>
      </c>
      <c r="W2378" s="582">
        <v>0</v>
      </c>
      <c r="X2378" s="580"/>
      <c r="Y2378" s="583">
        <f>IF(GLOBAL_DER_FEV_2023!W2378=0,0,IF(GLOBAL_DER_FEV_2023!W2378&gt;0,"c","b"))</f>
        <v>0</v>
      </c>
    </row>
    <row r="2379" spans="1:25" ht="15" customHeight="1" x14ac:dyDescent="0.2">
      <c r="A2379" s="317" t="s">
        <v>45</v>
      </c>
      <c r="B2379" s="895" t="s">
        <v>45</v>
      </c>
      <c r="C2379" s="896" t="s">
        <v>184</v>
      </c>
      <c r="D2379" s="906" t="s">
        <v>389</v>
      </c>
      <c r="E2379" s="907">
        <f>GLOBAL_DER_FEV_2023!E2379</f>
        <v>0</v>
      </c>
      <c r="F2379" s="908">
        <f>GLOBAL_DER_FEV_2023!F2379</f>
        <v>0</v>
      </c>
      <c r="G2379" s="912">
        <f>GLOBAL_DER_FEV_2023!G2379</f>
        <v>94.379728920000005</v>
      </c>
      <c r="H2379" s="901">
        <f>GLOBAL_DER_FEV_2023!H2379</f>
        <v>971.4</v>
      </c>
      <c r="I2379" s="901">
        <f>GLOBAL_DER_FEV_2023!I2379</f>
        <v>1065.77972892</v>
      </c>
      <c r="J2379" s="902">
        <f>GLOBAL_DER_FEV_2023!J2379</f>
        <v>1279.68</v>
      </c>
      <c r="K2379" s="903" t="s">
        <v>15</v>
      </c>
      <c r="L2379" s="1137"/>
      <c r="M2379" s="1138">
        <f t="shared" si="240"/>
        <v>0</v>
      </c>
      <c r="N2379" s="1176">
        <f t="shared" si="233"/>
        <v>0</v>
      </c>
      <c r="O2379" s="905"/>
      <c r="Q2379" s="317" t="str">
        <f t="shared" si="237"/>
        <v/>
      </c>
      <c r="R2379" s="317" t="str">
        <f t="shared" si="238"/>
        <v/>
      </c>
      <c r="S2379" s="317" t="str">
        <f t="shared" si="239"/>
        <v/>
      </c>
      <c r="T2379" s="317" t="str">
        <f>GLOBAL_DER_FEV_2023!S2379</f>
        <v/>
      </c>
      <c r="W2379" s="582">
        <v>0</v>
      </c>
      <c r="X2379" s="580"/>
      <c r="Y2379" s="583">
        <f>IF(GLOBAL_DER_FEV_2023!W2379=0,0,IF(GLOBAL_DER_FEV_2023!W2379&gt;0,"c","b"))</f>
        <v>0</v>
      </c>
    </row>
    <row r="2380" spans="1:25" ht="15" customHeight="1" x14ac:dyDescent="0.2">
      <c r="A2380" s="317" t="s">
        <v>147</v>
      </c>
      <c r="B2380" s="895" t="s">
        <v>147</v>
      </c>
      <c r="C2380" s="896"/>
      <c r="D2380" s="906" t="s">
        <v>190</v>
      </c>
      <c r="E2380" s="907">
        <f>GLOBAL_DER_FEV_2023!E2380</f>
        <v>308</v>
      </c>
      <c r="F2380" s="908">
        <f>GLOBAL_DER_FEV_2023!F2380</f>
        <v>0.13233</v>
      </c>
      <c r="G2380" s="909">
        <f>GLOBAL_DER_FEV_2023!G2380</f>
        <v>32.825779799999999</v>
      </c>
      <c r="H2380" s="901">
        <f>GLOBAL_DER_FEV_2023!H2380</f>
        <v>0</v>
      </c>
      <c r="I2380" s="901">
        <f>GLOBAL_DER_FEV_2023!I2380</f>
        <v>0</v>
      </c>
      <c r="J2380" s="902">
        <f>GLOBAL_DER_FEV_2023!J2380</f>
        <v>0</v>
      </c>
      <c r="K2380" s="903"/>
      <c r="L2380" s="1177"/>
      <c r="M2380" s="1138">
        <f t="shared" si="240"/>
        <v>0</v>
      </c>
      <c r="N2380" s="1176">
        <f t="shared" si="233"/>
        <v>0</v>
      </c>
      <c r="O2380" s="905"/>
      <c r="P2380" s="36" t="str">
        <f>IF(N2379&gt;0,"xx",IF(N2379&gt;0,"xy",""))</f>
        <v/>
      </c>
      <c r="Q2380" s="317" t="str">
        <f t="shared" si="237"/>
        <v/>
      </c>
      <c r="R2380" s="317" t="str">
        <f t="shared" si="238"/>
        <v/>
      </c>
      <c r="S2380" s="317" t="str">
        <f t="shared" si="239"/>
        <v/>
      </c>
      <c r="T2380" s="317" t="str">
        <f>GLOBAL_DER_FEV_2023!S2380</f>
        <v/>
      </c>
      <c r="W2380" s="582">
        <v>0</v>
      </c>
      <c r="X2380" s="580"/>
      <c r="Y2380" s="583">
        <f>IF(GLOBAL_DER_FEV_2023!W2380=0,0,IF(GLOBAL_DER_FEV_2023!W2380&gt;0,"c","b"))</f>
        <v>0</v>
      </c>
    </row>
    <row r="2381" spans="1:25" ht="15" customHeight="1" x14ac:dyDescent="0.2">
      <c r="A2381" s="317" t="s">
        <v>147</v>
      </c>
      <c r="B2381" s="895" t="s">
        <v>147</v>
      </c>
      <c r="C2381" s="896"/>
      <c r="D2381" s="906" t="s">
        <v>229</v>
      </c>
      <c r="E2381" s="907">
        <f>GLOBAL_DER_FEV_2023!E2381</f>
        <v>150</v>
      </c>
      <c r="F2381" s="908">
        <f>GLOBAL_DER_FEV_2023!F2381</f>
        <v>0.36932100000000001</v>
      </c>
      <c r="G2381" s="949">
        <f>GLOBAL_DER_FEV_2023!G2381</f>
        <v>60.265800780000006</v>
      </c>
      <c r="H2381" s="901">
        <f>GLOBAL_DER_FEV_2023!H2381</f>
        <v>0</v>
      </c>
      <c r="I2381" s="901">
        <f>GLOBAL_DER_FEV_2023!I2381</f>
        <v>0</v>
      </c>
      <c r="J2381" s="902">
        <f>GLOBAL_DER_FEV_2023!J2381</f>
        <v>0</v>
      </c>
      <c r="K2381" s="903"/>
      <c r="L2381" s="1177"/>
      <c r="M2381" s="1138">
        <f t="shared" si="240"/>
        <v>0</v>
      </c>
      <c r="N2381" s="1176">
        <f t="shared" si="233"/>
        <v>0</v>
      </c>
      <c r="O2381" s="905"/>
      <c r="P2381" s="36" t="str">
        <f>IF(N2379&gt;0,"xx",IF(N2379&gt;0,"xy",""))</f>
        <v/>
      </c>
      <c r="Q2381" s="317" t="str">
        <f t="shared" si="237"/>
        <v/>
      </c>
      <c r="R2381" s="317" t="str">
        <f t="shared" si="238"/>
        <v/>
      </c>
      <c r="S2381" s="317" t="str">
        <f t="shared" si="239"/>
        <v/>
      </c>
      <c r="T2381" s="317" t="str">
        <f>GLOBAL_DER_FEV_2023!S2381</f>
        <v/>
      </c>
      <c r="W2381" s="582">
        <v>0</v>
      </c>
      <c r="X2381" s="580"/>
      <c r="Y2381" s="583">
        <f>IF(GLOBAL_DER_FEV_2023!W2381=0,0,IF(GLOBAL_DER_FEV_2023!W2381&gt;0,"c","b"))</f>
        <v>0</v>
      </c>
    </row>
    <row r="2382" spans="1:25" ht="15" customHeight="1" x14ac:dyDescent="0.2">
      <c r="A2382" s="317" t="s">
        <v>147</v>
      </c>
      <c r="B2382" s="895" t="s">
        <v>147</v>
      </c>
      <c r="C2382" s="896"/>
      <c r="D2382" s="906" t="s">
        <v>233</v>
      </c>
      <c r="E2382" s="907">
        <f>GLOBAL_DER_FEV_2023!E2382</f>
        <v>0.2</v>
      </c>
      <c r="F2382" s="908">
        <f>GLOBAL_DER_FEV_2023!F2382</f>
        <v>0.44511000000000006</v>
      </c>
      <c r="G2382" s="949">
        <f>GLOBAL_DER_FEV_2023!G2382</f>
        <v>1.2881483400000002</v>
      </c>
      <c r="H2382" s="901">
        <f>GLOBAL_DER_FEV_2023!H2382</f>
        <v>0</v>
      </c>
      <c r="I2382" s="901">
        <f>GLOBAL_DER_FEV_2023!I2382</f>
        <v>0</v>
      </c>
      <c r="J2382" s="902">
        <f>GLOBAL_DER_FEV_2023!J2382</f>
        <v>0</v>
      </c>
      <c r="K2382" s="903"/>
      <c r="L2382" s="1177"/>
      <c r="M2382" s="1138">
        <f t="shared" si="240"/>
        <v>0</v>
      </c>
      <c r="N2382" s="1176">
        <f t="shared" si="233"/>
        <v>0</v>
      </c>
      <c r="O2382" s="905"/>
      <c r="P2382" s="36" t="str">
        <f>IF(N2379&gt;0,"xx",IF(N2379&gt;0,"xy",""))</f>
        <v/>
      </c>
      <c r="Q2382" s="317" t="str">
        <f t="shared" si="237"/>
        <v/>
      </c>
      <c r="R2382" s="317" t="str">
        <f t="shared" si="238"/>
        <v/>
      </c>
      <c r="S2382" s="317" t="str">
        <f t="shared" si="239"/>
        <v/>
      </c>
      <c r="T2382" s="317" t="str">
        <f>GLOBAL_DER_FEV_2023!S2382</f>
        <v/>
      </c>
      <c r="W2382" s="582">
        <v>0</v>
      </c>
      <c r="X2382" s="580"/>
      <c r="Y2382" s="583">
        <f>IF(GLOBAL_DER_FEV_2023!W2382=0,0,IF(GLOBAL_DER_FEV_2023!W2382&gt;0,"c","b"))</f>
        <v>0</v>
      </c>
    </row>
    <row r="2383" spans="1:25" ht="15" customHeight="1" x14ac:dyDescent="0.2">
      <c r="A2383" s="317" t="s">
        <v>46</v>
      </c>
      <c r="B2383" s="895" t="s">
        <v>46</v>
      </c>
      <c r="C2383" s="896" t="s">
        <v>184</v>
      </c>
      <c r="D2383" s="906" t="s">
        <v>390</v>
      </c>
      <c r="E2383" s="907">
        <f>GLOBAL_DER_FEV_2023!E2383</f>
        <v>0</v>
      </c>
      <c r="F2383" s="908">
        <f>GLOBAL_DER_FEV_2023!F2383</f>
        <v>0</v>
      </c>
      <c r="G2383" s="912">
        <f>GLOBAL_DER_FEV_2023!G2383</f>
        <v>357.35287714000003</v>
      </c>
      <c r="H2383" s="901">
        <f>GLOBAL_DER_FEV_2023!H2383</f>
        <v>968.15</v>
      </c>
      <c r="I2383" s="901">
        <f>GLOBAL_DER_FEV_2023!I2383</f>
        <v>1325.50287714</v>
      </c>
      <c r="J2383" s="902">
        <f>GLOBAL_DER_FEV_2023!J2383</f>
        <v>1591.53</v>
      </c>
      <c r="K2383" s="903" t="s">
        <v>15</v>
      </c>
      <c r="L2383" s="1137"/>
      <c r="M2383" s="1138">
        <f t="shared" si="240"/>
        <v>0</v>
      </c>
      <c r="N2383" s="1176">
        <f t="shared" si="233"/>
        <v>0</v>
      </c>
      <c r="O2383" s="905"/>
      <c r="Q2383" s="317" t="str">
        <f t="shared" si="237"/>
        <v/>
      </c>
      <c r="R2383" s="317" t="str">
        <f t="shared" si="238"/>
        <v/>
      </c>
      <c r="S2383" s="317" t="str">
        <f t="shared" si="239"/>
        <v/>
      </c>
      <c r="T2383" s="317" t="str">
        <f>GLOBAL_DER_FEV_2023!S2383</f>
        <v/>
      </c>
      <c r="W2383" s="582">
        <v>0</v>
      </c>
      <c r="X2383" s="580"/>
      <c r="Y2383" s="583">
        <f>IF(GLOBAL_DER_FEV_2023!W2383=0,0,IF(GLOBAL_DER_FEV_2023!W2383&gt;0,"c","b"))</f>
        <v>0</v>
      </c>
    </row>
    <row r="2384" spans="1:25" ht="15" customHeight="1" x14ac:dyDescent="0.2">
      <c r="A2384" s="317" t="s">
        <v>147</v>
      </c>
      <c r="B2384" s="895" t="s">
        <v>147</v>
      </c>
      <c r="C2384" s="896"/>
      <c r="D2384" s="906" t="s">
        <v>190</v>
      </c>
      <c r="E2384" s="907">
        <f>GLOBAL_DER_FEV_2023!E2384</f>
        <v>308</v>
      </c>
      <c r="F2384" s="908">
        <f>GLOBAL_DER_FEV_2023!F2384</f>
        <v>0.38417000000000001</v>
      </c>
      <c r="G2384" s="909">
        <f>GLOBAL_DER_FEV_2023!G2384</f>
        <v>95.297210200000009</v>
      </c>
      <c r="H2384" s="901">
        <f>GLOBAL_DER_FEV_2023!H2384</f>
        <v>0</v>
      </c>
      <c r="I2384" s="901">
        <f>GLOBAL_DER_FEV_2023!I2384</f>
        <v>0</v>
      </c>
      <c r="J2384" s="902">
        <f>GLOBAL_DER_FEV_2023!J2384</f>
        <v>0</v>
      </c>
      <c r="K2384" s="903"/>
      <c r="L2384" s="1177"/>
      <c r="M2384" s="1138">
        <f t="shared" si="240"/>
        <v>0</v>
      </c>
      <c r="N2384" s="1176">
        <f t="shared" si="233"/>
        <v>0</v>
      </c>
      <c r="O2384" s="905"/>
      <c r="P2384" s="36" t="str">
        <f>IF(N2383&gt;0,"xx",IF(N2383&gt;0,"xy",""))</f>
        <v/>
      </c>
      <c r="Q2384" s="317" t="str">
        <f t="shared" si="237"/>
        <v/>
      </c>
      <c r="R2384" s="317" t="str">
        <f t="shared" si="238"/>
        <v/>
      </c>
      <c r="S2384" s="317" t="str">
        <f t="shared" si="239"/>
        <v/>
      </c>
      <c r="T2384" s="317" t="str">
        <f>GLOBAL_DER_FEV_2023!S2384</f>
        <v/>
      </c>
      <c r="W2384" s="582">
        <v>0</v>
      </c>
      <c r="X2384" s="580"/>
      <c r="Y2384" s="583">
        <f>IF(GLOBAL_DER_FEV_2023!W2384=0,0,IF(GLOBAL_DER_FEV_2023!W2384&gt;0,"c","b"))</f>
        <v>0</v>
      </c>
    </row>
    <row r="2385" spans="1:25" ht="15" customHeight="1" x14ac:dyDescent="0.2">
      <c r="A2385" s="317" t="s">
        <v>147</v>
      </c>
      <c r="B2385" s="895" t="s">
        <v>147</v>
      </c>
      <c r="C2385" s="896"/>
      <c r="D2385" s="906" t="s">
        <v>229</v>
      </c>
      <c r="E2385" s="907">
        <f>GLOBAL_DER_FEV_2023!E2385</f>
        <v>150</v>
      </c>
      <c r="F2385" s="908">
        <f>GLOBAL_DER_FEV_2023!F2385</f>
        <v>1.55436</v>
      </c>
      <c r="G2385" s="949">
        <f>GLOBAL_DER_FEV_2023!G2385</f>
        <v>253.64046480000002</v>
      </c>
      <c r="H2385" s="901">
        <f>GLOBAL_DER_FEV_2023!H2385</f>
        <v>0</v>
      </c>
      <c r="I2385" s="901">
        <f>GLOBAL_DER_FEV_2023!I2385</f>
        <v>0</v>
      </c>
      <c r="J2385" s="902">
        <f>GLOBAL_DER_FEV_2023!J2385</f>
        <v>0</v>
      </c>
      <c r="K2385" s="903"/>
      <c r="L2385" s="1177"/>
      <c r="M2385" s="1138">
        <f t="shared" si="240"/>
        <v>0</v>
      </c>
      <c r="N2385" s="1176">
        <f t="shared" si="233"/>
        <v>0</v>
      </c>
      <c r="O2385" s="905"/>
      <c r="P2385" s="36" t="str">
        <f>IF(N2383&gt;0,"xx",IF(N2383&gt;0,"xy",""))</f>
        <v/>
      </c>
      <c r="Q2385" s="317" t="str">
        <f t="shared" si="237"/>
        <v/>
      </c>
      <c r="R2385" s="317" t="str">
        <f t="shared" si="238"/>
        <v/>
      </c>
      <c r="S2385" s="317" t="str">
        <f t="shared" si="239"/>
        <v/>
      </c>
      <c r="T2385" s="317" t="str">
        <f>GLOBAL_DER_FEV_2023!S2385</f>
        <v/>
      </c>
      <c r="W2385" s="582">
        <v>0</v>
      </c>
      <c r="X2385" s="580"/>
      <c r="Y2385" s="583">
        <f>IF(GLOBAL_DER_FEV_2023!W2385=0,0,IF(GLOBAL_DER_FEV_2023!W2385&gt;0,"c","b"))</f>
        <v>0</v>
      </c>
    </row>
    <row r="2386" spans="1:25" ht="15" customHeight="1" x14ac:dyDescent="0.2">
      <c r="A2386" s="317" t="s">
        <v>147</v>
      </c>
      <c r="B2386" s="895" t="s">
        <v>147</v>
      </c>
      <c r="C2386" s="896"/>
      <c r="D2386" s="906" t="s">
        <v>233</v>
      </c>
      <c r="E2386" s="907">
        <f>GLOBAL_DER_FEV_2023!E2386</f>
        <v>0.2</v>
      </c>
      <c r="F2386" s="908">
        <f>GLOBAL_DER_FEV_2023!F2386</f>
        <v>2.9078100000000004</v>
      </c>
      <c r="G2386" s="949">
        <f>GLOBAL_DER_FEV_2023!G2386</f>
        <v>8.4152021400000017</v>
      </c>
      <c r="H2386" s="901">
        <f>GLOBAL_DER_FEV_2023!H2386</f>
        <v>0</v>
      </c>
      <c r="I2386" s="901">
        <f>GLOBAL_DER_FEV_2023!I2386</f>
        <v>0</v>
      </c>
      <c r="J2386" s="902">
        <f>GLOBAL_DER_FEV_2023!J2386</f>
        <v>0</v>
      </c>
      <c r="K2386" s="903"/>
      <c r="L2386" s="1177"/>
      <c r="M2386" s="1138">
        <f t="shared" si="240"/>
        <v>0</v>
      </c>
      <c r="N2386" s="1176">
        <f t="shared" si="233"/>
        <v>0</v>
      </c>
      <c r="O2386" s="905"/>
      <c r="P2386" s="36" t="str">
        <f>IF(N2383&gt;0,"xx",IF(N2383&gt;0,"xy",""))</f>
        <v/>
      </c>
      <c r="Q2386" s="317" t="str">
        <f t="shared" si="237"/>
        <v/>
      </c>
      <c r="R2386" s="317" t="str">
        <f t="shared" si="238"/>
        <v/>
      </c>
      <c r="S2386" s="317" t="str">
        <f t="shared" si="239"/>
        <v/>
      </c>
      <c r="T2386" s="317" t="str">
        <f>GLOBAL_DER_FEV_2023!S2386</f>
        <v/>
      </c>
      <c r="W2386" s="582">
        <v>0</v>
      </c>
      <c r="X2386" s="580"/>
      <c r="Y2386" s="583">
        <f>IF(GLOBAL_DER_FEV_2023!W2386=0,0,IF(GLOBAL_DER_FEV_2023!W2386&gt;0,"c","b"))</f>
        <v>0</v>
      </c>
    </row>
    <row r="2387" spans="1:25" ht="15" customHeight="1" x14ac:dyDescent="0.2">
      <c r="A2387" s="317" t="s">
        <v>46</v>
      </c>
      <c r="B2387" s="895" t="s">
        <v>46</v>
      </c>
      <c r="C2387" s="896" t="s">
        <v>184</v>
      </c>
      <c r="D2387" s="906" t="s">
        <v>391</v>
      </c>
      <c r="E2387" s="907">
        <f>GLOBAL_DER_FEV_2023!E2387</f>
        <v>0</v>
      </c>
      <c r="F2387" s="908">
        <f>GLOBAL_DER_FEV_2023!F2387</f>
        <v>0</v>
      </c>
      <c r="G2387" s="912">
        <f>GLOBAL_DER_FEV_2023!G2387</f>
        <v>440.73125189999996</v>
      </c>
      <c r="H2387" s="901">
        <f>GLOBAL_DER_FEV_2023!H2387</f>
        <v>1174.8399999999999</v>
      </c>
      <c r="I2387" s="901">
        <f>GLOBAL_DER_FEV_2023!I2387</f>
        <v>1615.5712518999999</v>
      </c>
      <c r="J2387" s="902">
        <f>GLOBAL_DER_FEV_2023!J2387</f>
        <v>1939.82</v>
      </c>
      <c r="K2387" s="903" t="s">
        <v>15</v>
      </c>
      <c r="L2387" s="1137"/>
      <c r="M2387" s="1138">
        <f t="shared" si="240"/>
        <v>0</v>
      </c>
      <c r="N2387" s="1176">
        <f t="shared" si="233"/>
        <v>0</v>
      </c>
      <c r="O2387" s="905"/>
      <c r="Q2387" s="317" t="str">
        <f t="shared" si="237"/>
        <v/>
      </c>
      <c r="R2387" s="317" t="str">
        <f t="shared" si="238"/>
        <v/>
      </c>
      <c r="S2387" s="317" t="str">
        <f t="shared" si="239"/>
        <v/>
      </c>
      <c r="T2387" s="317" t="str">
        <f>GLOBAL_DER_FEV_2023!S2387</f>
        <v/>
      </c>
      <c r="W2387" s="582">
        <v>0</v>
      </c>
      <c r="X2387" s="580"/>
      <c r="Y2387" s="583">
        <f>IF(GLOBAL_DER_FEV_2023!W2387=0,0,IF(GLOBAL_DER_FEV_2023!W2387&gt;0,"c","b"))</f>
        <v>0</v>
      </c>
    </row>
    <row r="2388" spans="1:25" ht="15" customHeight="1" x14ac:dyDescent="0.2">
      <c r="A2388" s="317" t="s">
        <v>147</v>
      </c>
      <c r="B2388" s="895" t="s">
        <v>147</v>
      </c>
      <c r="C2388" s="896"/>
      <c r="D2388" s="906" t="s">
        <v>190</v>
      </c>
      <c r="E2388" s="907">
        <f>GLOBAL_DER_FEV_2023!E2388</f>
        <v>308</v>
      </c>
      <c r="F2388" s="908">
        <f>GLOBAL_DER_FEV_2023!F2388</f>
        <v>0.47295000000000004</v>
      </c>
      <c r="G2388" s="909">
        <f>GLOBAL_DER_FEV_2023!G2388</f>
        <v>117.31997700000001</v>
      </c>
      <c r="H2388" s="901">
        <f>GLOBAL_DER_FEV_2023!H2388</f>
        <v>0</v>
      </c>
      <c r="I2388" s="901">
        <f>GLOBAL_DER_FEV_2023!I2388</f>
        <v>0</v>
      </c>
      <c r="J2388" s="902">
        <f>GLOBAL_DER_FEV_2023!J2388</f>
        <v>0</v>
      </c>
      <c r="K2388" s="903"/>
      <c r="L2388" s="1177"/>
      <c r="M2388" s="1138">
        <f t="shared" si="240"/>
        <v>0</v>
      </c>
      <c r="N2388" s="1176">
        <f t="shared" si="233"/>
        <v>0</v>
      </c>
      <c r="O2388" s="905"/>
      <c r="P2388" s="36" t="str">
        <f>IF(N2387&gt;0,"xx",IF(N2387&gt;0,"xy",""))</f>
        <v/>
      </c>
      <c r="Q2388" s="317" t="str">
        <f t="shared" si="237"/>
        <v/>
      </c>
      <c r="R2388" s="317" t="str">
        <f t="shared" si="238"/>
        <v/>
      </c>
      <c r="S2388" s="317" t="str">
        <f t="shared" si="239"/>
        <v/>
      </c>
      <c r="T2388" s="317" t="str">
        <f>GLOBAL_DER_FEV_2023!S2388</f>
        <v/>
      </c>
      <c r="W2388" s="582">
        <v>0</v>
      </c>
      <c r="X2388" s="580"/>
      <c r="Y2388" s="583">
        <f>IF(GLOBAL_DER_FEV_2023!W2388=0,0,IF(GLOBAL_DER_FEV_2023!W2388&gt;0,"c","b"))</f>
        <v>0</v>
      </c>
    </row>
    <row r="2389" spans="1:25" ht="15" customHeight="1" x14ac:dyDescent="0.2">
      <c r="A2389" s="317" t="s">
        <v>147</v>
      </c>
      <c r="B2389" s="895" t="s">
        <v>147</v>
      </c>
      <c r="C2389" s="896"/>
      <c r="D2389" s="906" t="s">
        <v>229</v>
      </c>
      <c r="E2389" s="907">
        <f>GLOBAL_DER_FEV_2023!E2389</f>
        <v>150</v>
      </c>
      <c r="F2389" s="908">
        <f>GLOBAL_DER_FEV_2023!F2389</f>
        <v>1.9178999999999999</v>
      </c>
      <c r="G2389" s="949">
        <f>GLOBAL_DER_FEV_2023!G2389</f>
        <v>312.96292199999999</v>
      </c>
      <c r="H2389" s="901">
        <f>GLOBAL_DER_FEV_2023!H2389</f>
        <v>0</v>
      </c>
      <c r="I2389" s="901">
        <f>GLOBAL_DER_FEV_2023!I2389</f>
        <v>0</v>
      </c>
      <c r="J2389" s="902">
        <f>GLOBAL_DER_FEV_2023!J2389</f>
        <v>0</v>
      </c>
      <c r="K2389" s="903"/>
      <c r="L2389" s="1177"/>
      <c r="M2389" s="1138">
        <f t="shared" si="240"/>
        <v>0</v>
      </c>
      <c r="N2389" s="1176">
        <f t="shared" si="233"/>
        <v>0</v>
      </c>
      <c r="O2389" s="905"/>
      <c r="P2389" s="36" t="str">
        <f>IF(N2387&gt;0,"xx",IF(N2387&gt;0,"xy",""))</f>
        <v/>
      </c>
      <c r="Q2389" s="317" t="str">
        <f t="shared" si="237"/>
        <v/>
      </c>
      <c r="R2389" s="317" t="str">
        <f t="shared" si="238"/>
        <v/>
      </c>
      <c r="S2389" s="317" t="str">
        <f t="shared" si="239"/>
        <v/>
      </c>
      <c r="T2389" s="317" t="str">
        <f>GLOBAL_DER_FEV_2023!S2389</f>
        <v/>
      </c>
      <c r="W2389" s="582">
        <v>0</v>
      </c>
      <c r="X2389" s="580"/>
      <c r="Y2389" s="583">
        <f>IF(GLOBAL_DER_FEV_2023!W2389=0,0,IF(GLOBAL_DER_FEV_2023!W2389&gt;0,"c","b"))</f>
        <v>0</v>
      </c>
    </row>
    <row r="2390" spans="1:25" ht="15" customHeight="1" x14ac:dyDescent="0.2">
      <c r="A2390" s="317" t="s">
        <v>147</v>
      </c>
      <c r="B2390" s="895" t="s">
        <v>147</v>
      </c>
      <c r="C2390" s="896"/>
      <c r="D2390" s="906" t="s">
        <v>233</v>
      </c>
      <c r="E2390" s="907">
        <f>GLOBAL_DER_FEV_2023!E2390</f>
        <v>0.2</v>
      </c>
      <c r="F2390" s="908">
        <f>GLOBAL_DER_FEV_2023!F2390</f>
        <v>3.6103500000000004</v>
      </c>
      <c r="G2390" s="949">
        <f>GLOBAL_DER_FEV_2023!G2390</f>
        <v>10.448352900000001</v>
      </c>
      <c r="H2390" s="901">
        <f>GLOBAL_DER_FEV_2023!H2390</f>
        <v>0</v>
      </c>
      <c r="I2390" s="901">
        <f>GLOBAL_DER_FEV_2023!I2390</f>
        <v>0</v>
      </c>
      <c r="J2390" s="902">
        <f>GLOBAL_DER_FEV_2023!J2390</f>
        <v>0</v>
      </c>
      <c r="K2390" s="903"/>
      <c r="L2390" s="1177"/>
      <c r="M2390" s="1138">
        <f t="shared" si="240"/>
        <v>0</v>
      </c>
      <c r="N2390" s="1176">
        <f t="shared" si="233"/>
        <v>0</v>
      </c>
      <c r="O2390" s="905"/>
      <c r="P2390" s="36" t="str">
        <f>IF(N2387&gt;0,"xx",IF(N2387&gt;0,"xy",""))</f>
        <v/>
      </c>
      <c r="Q2390" s="317" t="str">
        <f t="shared" si="237"/>
        <v/>
      </c>
      <c r="R2390" s="317" t="str">
        <f t="shared" si="238"/>
        <v/>
      </c>
      <c r="S2390" s="317" t="str">
        <f t="shared" si="239"/>
        <v/>
      </c>
      <c r="T2390" s="317" t="str">
        <f>GLOBAL_DER_FEV_2023!S2390</f>
        <v/>
      </c>
      <c r="W2390" s="582">
        <v>0</v>
      </c>
      <c r="X2390" s="580"/>
      <c r="Y2390" s="583">
        <f>IF(GLOBAL_DER_FEV_2023!W2390=0,0,IF(GLOBAL_DER_FEV_2023!W2390&gt;0,"c","b"))</f>
        <v>0</v>
      </c>
    </row>
    <row r="2391" spans="1:25" ht="15" customHeight="1" x14ac:dyDescent="0.2">
      <c r="A2391" s="317" t="s">
        <v>46</v>
      </c>
      <c r="B2391" s="895" t="s">
        <v>46</v>
      </c>
      <c r="C2391" s="896" t="s">
        <v>184</v>
      </c>
      <c r="D2391" s="906" t="s">
        <v>392</v>
      </c>
      <c r="E2391" s="907">
        <f>GLOBAL_DER_FEV_2023!E2391</f>
        <v>0</v>
      </c>
      <c r="F2391" s="908">
        <f>GLOBAL_DER_FEV_2023!F2391</f>
        <v>0</v>
      </c>
      <c r="G2391" s="912">
        <f>GLOBAL_DER_FEV_2023!G2391</f>
        <v>703.49586032000002</v>
      </c>
      <c r="H2391" s="901">
        <f>GLOBAL_DER_FEV_2023!H2391</f>
        <v>1839.37</v>
      </c>
      <c r="I2391" s="901">
        <f>GLOBAL_DER_FEV_2023!I2391</f>
        <v>2542.8658603200001</v>
      </c>
      <c r="J2391" s="902">
        <f>GLOBAL_DER_FEV_2023!J2391</f>
        <v>3053.22</v>
      </c>
      <c r="K2391" s="903" t="s">
        <v>15</v>
      </c>
      <c r="L2391" s="1137"/>
      <c r="M2391" s="1138">
        <f t="shared" si="240"/>
        <v>0</v>
      </c>
      <c r="N2391" s="1176">
        <f t="shared" ref="N2391:N2454" si="241">IF(ISBLANK(L2391),0,IF(W2391=0,ROUND(L2391*M2391,2),IF(W2391="b",ROUNDDOWN(L2391*M2391,2),ROUNDUP(L2391*M2391,2))))</f>
        <v>0</v>
      </c>
      <c r="O2391" s="905"/>
      <c r="Q2391" s="317" t="str">
        <f t="shared" si="237"/>
        <v/>
      </c>
      <c r="R2391" s="317" t="str">
        <f t="shared" si="238"/>
        <v/>
      </c>
      <c r="S2391" s="317" t="str">
        <f t="shared" si="239"/>
        <v/>
      </c>
      <c r="T2391" s="317" t="str">
        <f>GLOBAL_DER_FEV_2023!S2391</f>
        <v/>
      </c>
      <c r="W2391" s="582">
        <v>0</v>
      </c>
      <c r="X2391" s="580"/>
      <c r="Y2391" s="583">
        <f>IF(GLOBAL_DER_FEV_2023!W2391=0,0,IF(GLOBAL_DER_FEV_2023!W2391&gt;0,"c","b"))</f>
        <v>0</v>
      </c>
    </row>
    <row r="2392" spans="1:25" ht="15" customHeight="1" x14ac:dyDescent="0.2">
      <c r="A2392" s="317" t="s">
        <v>147</v>
      </c>
      <c r="B2392" s="895" t="s">
        <v>147</v>
      </c>
      <c r="C2392" s="896"/>
      <c r="D2392" s="906" t="s">
        <v>190</v>
      </c>
      <c r="E2392" s="907">
        <f>GLOBAL_DER_FEV_2023!E2392</f>
        <v>308</v>
      </c>
      <c r="F2392" s="908">
        <f>GLOBAL_DER_FEV_2023!F2392</f>
        <v>0.75196000000000007</v>
      </c>
      <c r="G2392" s="909">
        <f>GLOBAL_DER_FEV_2023!G2392</f>
        <v>186.53119760000001</v>
      </c>
      <c r="H2392" s="901">
        <f>GLOBAL_DER_FEV_2023!H2392</f>
        <v>0</v>
      </c>
      <c r="I2392" s="901">
        <f>GLOBAL_DER_FEV_2023!I2392</f>
        <v>0</v>
      </c>
      <c r="J2392" s="902">
        <f>GLOBAL_DER_FEV_2023!J2392</f>
        <v>0</v>
      </c>
      <c r="K2392" s="903"/>
      <c r="L2392" s="1177"/>
      <c r="M2392" s="1138">
        <f t="shared" si="240"/>
        <v>0</v>
      </c>
      <c r="N2392" s="1176">
        <f t="shared" si="241"/>
        <v>0</v>
      </c>
      <c r="O2392" s="905"/>
      <c r="P2392" s="36" t="str">
        <f>IF(N2391&gt;0,"xx",IF(N2391&gt;0,"xy",""))</f>
        <v/>
      </c>
      <c r="Q2392" s="317" t="str">
        <f t="shared" si="237"/>
        <v/>
      </c>
      <c r="R2392" s="317" t="str">
        <f t="shared" si="238"/>
        <v/>
      </c>
      <c r="S2392" s="317" t="str">
        <f t="shared" si="239"/>
        <v/>
      </c>
      <c r="T2392" s="317" t="str">
        <f>GLOBAL_DER_FEV_2023!S2392</f>
        <v/>
      </c>
      <c r="W2392" s="582">
        <v>0</v>
      </c>
      <c r="X2392" s="580"/>
      <c r="Y2392" s="583">
        <f>IF(GLOBAL_DER_FEV_2023!W2392=0,0,IF(GLOBAL_DER_FEV_2023!W2392&gt;0,"c","b"))</f>
        <v>0</v>
      </c>
    </row>
    <row r="2393" spans="1:25" ht="15" customHeight="1" x14ac:dyDescent="0.2">
      <c r="A2393" s="317" t="s">
        <v>147</v>
      </c>
      <c r="B2393" s="895" t="s">
        <v>147</v>
      </c>
      <c r="C2393" s="896"/>
      <c r="D2393" s="906" t="s">
        <v>229</v>
      </c>
      <c r="E2393" s="907">
        <f>GLOBAL_DER_FEV_2023!E2393</f>
        <v>150</v>
      </c>
      <c r="F2393" s="908">
        <f>GLOBAL_DER_FEV_2023!F2393</f>
        <v>3.0643799999999999</v>
      </c>
      <c r="G2393" s="949">
        <f>GLOBAL_DER_FEV_2023!G2393</f>
        <v>500.04552840000002</v>
      </c>
      <c r="H2393" s="901">
        <f>GLOBAL_DER_FEV_2023!H2393</f>
        <v>0</v>
      </c>
      <c r="I2393" s="901">
        <f>GLOBAL_DER_FEV_2023!I2393</f>
        <v>0</v>
      </c>
      <c r="J2393" s="902">
        <f>GLOBAL_DER_FEV_2023!J2393</f>
        <v>0</v>
      </c>
      <c r="K2393" s="903"/>
      <c r="L2393" s="1177"/>
      <c r="M2393" s="1138">
        <f t="shared" si="240"/>
        <v>0</v>
      </c>
      <c r="N2393" s="1176">
        <f t="shared" si="241"/>
        <v>0</v>
      </c>
      <c r="O2393" s="905"/>
      <c r="P2393" s="36" t="str">
        <f>IF(N2391&gt;0,"xx",IF(N2391&gt;0,"xy",""))</f>
        <v/>
      </c>
      <c r="Q2393" s="317" t="str">
        <f t="shared" si="237"/>
        <v/>
      </c>
      <c r="R2393" s="317" t="str">
        <f t="shared" si="238"/>
        <v/>
      </c>
      <c r="S2393" s="317" t="str">
        <f t="shared" si="239"/>
        <v/>
      </c>
      <c r="T2393" s="317" t="str">
        <f>GLOBAL_DER_FEV_2023!S2393</f>
        <v/>
      </c>
      <c r="W2393" s="582">
        <v>0</v>
      </c>
      <c r="X2393" s="580"/>
      <c r="Y2393" s="583">
        <f>IF(GLOBAL_DER_FEV_2023!W2393=0,0,IF(GLOBAL_DER_FEV_2023!W2393&gt;0,"c","b"))</f>
        <v>0</v>
      </c>
    </row>
    <row r="2394" spans="1:25" ht="15" customHeight="1" x14ac:dyDescent="0.2">
      <c r="A2394" s="317" t="s">
        <v>147</v>
      </c>
      <c r="B2394" s="895" t="s">
        <v>147</v>
      </c>
      <c r="C2394" s="896"/>
      <c r="D2394" s="906" t="s">
        <v>233</v>
      </c>
      <c r="E2394" s="907">
        <f>GLOBAL_DER_FEV_2023!E2394</f>
        <v>0.2</v>
      </c>
      <c r="F2394" s="908">
        <f>GLOBAL_DER_FEV_2023!F2394</f>
        <v>5.8462800000000001</v>
      </c>
      <c r="G2394" s="949">
        <f>GLOBAL_DER_FEV_2023!G2394</f>
        <v>16.919134320000001</v>
      </c>
      <c r="H2394" s="901">
        <f>GLOBAL_DER_FEV_2023!H2394</f>
        <v>0</v>
      </c>
      <c r="I2394" s="901">
        <f>GLOBAL_DER_FEV_2023!I2394</f>
        <v>0</v>
      </c>
      <c r="J2394" s="902">
        <f>GLOBAL_DER_FEV_2023!J2394</f>
        <v>0</v>
      </c>
      <c r="K2394" s="903"/>
      <c r="L2394" s="1177"/>
      <c r="M2394" s="1138">
        <f t="shared" si="240"/>
        <v>0</v>
      </c>
      <c r="N2394" s="1176">
        <f t="shared" si="241"/>
        <v>0</v>
      </c>
      <c r="O2394" s="905"/>
      <c r="P2394" s="36" t="str">
        <f>IF(N2391&gt;0,"xx",IF(N2391&gt;0,"xy",""))</f>
        <v/>
      </c>
      <c r="Q2394" s="317" t="str">
        <f t="shared" si="237"/>
        <v/>
      </c>
      <c r="R2394" s="317" t="str">
        <f t="shared" si="238"/>
        <v/>
      </c>
      <c r="S2394" s="317" t="str">
        <f t="shared" si="239"/>
        <v/>
      </c>
      <c r="T2394" s="317" t="str">
        <f>GLOBAL_DER_FEV_2023!S2394</f>
        <v/>
      </c>
      <c r="W2394" s="582">
        <v>0</v>
      </c>
      <c r="X2394" s="580"/>
      <c r="Y2394" s="583">
        <f>IF(GLOBAL_DER_FEV_2023!W2394=0,0,IF(GLOBAL_DER_FEV_2023!W2394&gt;0,"c","b"))</f>
        <v>0</v>
      </c>
    </row>
    <row r="2395" spans="1:25" ht="15" customHeight="1" x14ac:dyDescent="0.2">
      <c r="A2395" s="317" t="s">
        <v>46</v>
      </c>
      <c r="B2395" s="895" t="s">
        <v>46</v>
      </c>
      <c r="C2395" s="896" t="s">
        <v>184</v>
      </c>
      <c r="D2395" s="906" t="s">
        <v>144</v>
      </c>
      <c r="E2395" s="907">
        <f>GLOBAL_DER_FEV_2023!E2395</f>
        <v>0</v>
      </c>
      <c r="F2395" s="908">
        <f>GLOBAL_DER_FEV_2023!F2395</f>
        <v>0</v>
      </c>
      <c r="G2395" s="912">
        <f>GLOBAL_DER_FEV_2023!G2395</f>
        <v>1019.8430484200001</v>
      </c>
      <c r="H2395" s="901">
        <f>GLOBAL_DER_FEV_2023!H2395</f>
        <v>2627.65</v>
      </c>
      <c r="I2395" s="901">
        <f>GLOBAL_DER_FEV_2023!I2395</f>
        <v>3647.4930484200004</v>
      </c>
      <c r="J2395" s="902">
        <f>GLOBAL_DER_FEV_2023!J2395</f>
        <v>4379.54</v>
      </c>
      <c r="K2395" s="903" t="s">
        <v>15</v>
      </c>
      <c r="L2395" s="1137"/>
      <c r="M2395" s="1138">
        <f t="shared" si="240"/>
        <v>0</v>
      </c>
      <c r="N2395" s="1176">
        <f t="shared" si="241"/>
        <v>0</v>
      </c>
      <c r="O2395" s="905"/>
      <c r="Q2395" s="317" t="str">
        <f t="shared" si="237"/>
        <v/>
      </c>
      <c r="R2395" s="317" t="str">
        <f t="shared" si="238"/>
        <v/>
      </c>
      <c r="S2395" s="317" t="str">
        <f t="shared" si="239"/>
        <v/>
      </c>
      <c r="T2395" s="317" t="str">
        <f>GLOBAL_DER_FEV_2023!S2395</f>
        <v/>
      </c>
      <c r="W2395" s="582">
        <v>0</v>
      </c>
      <c r="X2395" s="580"/>
      <c r="Y2395" s="583">
        <f>IF(GLOBAL_DER_FEV_2023!W2395=0,0,IF(GLOBAL_DER_FEV_2023!W2395&gt;0,"c","b"))</f>
        <v>0</v>
      </c>
    </row>
    <row r="2396" spans="1:25" ht="15" customHeight="1" x14ac:dyDescent="0.2">
      <c r="A2396" s="317" t="s">
        <v>147</v>
      </c>
      <c r="B2396" s="895" t="s">
        <v>147</v>
      </c>
      <c r="C2396" s="896"/>
      <c r="D2396" s="906" t="s">
        <v>190</v>
      </c>
      <c r="E2396" s="907">
        <f>GLOBAL_DER_FEV_2023!E2396</f>
        <v>308</v>
      </c>
      <c r="F2396" s="908">
        <f>GLOBAL_DER_FEV_2023!F2396</f>
        <v>1.08901</v>
      </c>
      <c r="G2396" s="909">
        <f>GLOBAL_DER_FEV_2023!G2396</f>
        <v>270.13982060000001</v>
      </c>
      <c r="H2396" s="901">
        <f>GLOBAL_DER_FEV_2023!H2396</f>
        <v>0</v>
      </c>
      <c r="I2396" s="901">
        <f>GLOBAL_DER_FEV_2023!I2396</f>
        <v>0</v>
      </c>
      <c r="J2396" s="902">
        <f>GLOBAL_DER_FEV_2023!J2396</f>
        <v>0</v>
      </c>
      <c r="K2396" s="903"/>
      <c r="L2396" s="1177"/>
      <c r="M2396" s="1138">
        <f t="shared" si="240"/>
        <v>0</v>
      </c>
      <c r="N2396" s="1176">
        <f t="shared" si="241"/>
        <v>0</v>
      </c>
      <c r="O2396" s="905"/>
      <c r="P2396" s="36" t="str">
        <f>IF(N2395&gt;0,"xx",IF(N2395&gt;0,"xy",""))</f>
        <v/>
      </c>
      <c r="Q2396" s="317" t="str">
        <f t="shared" si="237"/>
        <v/>
      </c>
      <c r="R2396" s="317" t="str">
        <f t="shared" si="238"/>
        <v/>
      </c>
      <c r="S2396" s="317" t="str">
        <f t="shared" si="239"/>
        <v/>
      </c>
      <c r="T2396" s="317" t="str">
        <f>GLOBAL_DER_FEV_2023!S2396</f>
        <v/>
      </c>
      <c r="W2396" s="582">
        <v>0</v>
      </c>
      <c r="X2396" s="580"/>
      <c r="Y2396" s="583">
        <f>IF(GLOBAL_DER_FEV_2023!W2396=0,0,IF(GLOBAL_DER_FEV_2023!W2396&gt;0,"c","b"))</f>
        <v>0</v>
      </c>
    </row>
    <row r="2397" spans="1:25" ht="15" customHeight="1" x14ac:dyDescent="0.2">
      <c r="A2397" s="317" t="s">
        <v>147</v>
      </c>
      <c r="B2397" s="895" t="s">
        <v>147</v>
      </c>
      <c r="C2397" s="896"/>
      <c r="D2397" s="906" t="s">
        <v>229</v>
      </c>
      <c r="E2397" s="907">
        <f>GLOBAL_DER_FEV_2023!E2397</f>
        <v>150</v>
      </c>
      <c r="F2397" s="908">
        <f>GLOBAL_DER_FEV_2023!F2397</f>
        <v>4.4434800000000001</v>
      </c>
      <c r="G2397" s="949">
        <f>GLOBAL_DER_FEV_2023!G2397</f>
        <v>725.08706640000003</v>
      </c>
      <c r="H2397" s="901">
        <f>GLOBAL_DER_FEV_2023!H2397</f>
        <v>0</v>
      </c>
      <c r="I2397" s="901">
        <f>GLOBAL_DER_FEV_2023!I2397</f>
        <v>0</v>
      </c>
      <c r="J2397" s="902">
        <f>GLOBAL_DER_FEV_2023!J2397</f>
        <v>0</v>
      </c>
      <c r="K2397" s="903"/>
      <c r="L2397" s="1177"/>
      <c r="M2397" s="1138">
        <f t="shared" si="240"/>
        <v>0</v>
      </c>
      <c r="N2397" s="1176">
        <f t="shared" si="241"/>
        <v>0</v>
      </c>
      <c r="O2397" s="905"/>
      <c r="P2397" s="36" t="str">
        <f>IF(N2395&gt;0,"xx",IF(N2395&gt;0,"xy",""))</f>
        <v/>
      </c>
      <c r="Q2397" s="317" t="str">
        <f t="shared" si="237"/>
        <v/>
      </c>
      <c r="R2397" s="317" t="str">
        <f t="shared" si="238"/>
        <v/>
      </c>
      <c r="S2397" s="317" t="str">
        <f t="shared" si="239"/>
        <v/>
      </c>
      <c r="T2397" s="317" t="str">
        <f>GLOBAL_DER_FEV_2023!S2397</f>
        <v/>
      </c>
      <c r="W2397" s="582">
        <v>0</v>
      </c>
      <c r="X2397" s="580"/>
      <c r="Y2397" s="583">
        <f>IF(GLOBAL_DER_FEV_2023!W2397=0,0,IF(GLOBAL_DER_FEV_2023!W2397&gt;0,"c","b"))</f>
        <v>0</v>
      </c>
    </row>
    <row r="2398" spans="1:25" ht="15" customHeight="1" x14ac:dyDescent="0.2">
      <c r="A2398" s="317" t="s">
        <v>147</v>
      </c>
      <c r="B2398" s="895" t="s">
        <v>147</v>
      </c>
      <c r="C2398" s="896"/>
      <c r="D2398" s="906" t="s">
        <v>233</v>
      </c>
      <c r="E2398" s="907">
        <f>GLOBAL_DER_FEV_2023!E2398</f>
        <v>0.2</v>
      </c>
      <c r="F2398" s="908">
        <f>GLOBAL_DER_FEV_2023!F2398</f>
        <v>8.5059300000000011</v>
      </c>
      <c r="G2398" s="949">
        <f>GLOBAL_DER_FEV_2023!G2398</f>
        <v>24.616161420000005</v>
      </c>
      <c r="H2398" s="901">
        <f>GLOBAL_DER_FEV_2023!H2398</f>
        <v>0</v>
      </c>
      <c r="I2398" s="901">
        <f>GLOBAL_DER_FEV_2023!I2398</f>
        <v>0</v>
      </c>
      <c r="J2398" s="902">
        <f>GLOBAL_DER_FEV_2023!J2398</f>
        <v>0</v>
      </c>
      <c r="K2398" s="903"/>
      <c r="L2398" s="1177"/>
      <c r="M2398" s="1138">
        <f t="shared" si="240"/>
        <v>0</v>
      </c>
      <c r="N2398" s="1176">
        <f t="shared" si="241"/>
        <v>0</v>
      </c>
      <c r="O2398" s="905"/>
      <c r="P2398" s="36" t="str">
        <f>IF(N2395&gt;0,"xx",IF(N2395&gt;0,"xy",""))</f>
        <v/>
      </c>
      <c r="Q2398" s="317" t="str">
        <f t="shared" si="237"/>
        <v/>
      </c>
      <c r="R2398" s="317" t="str">
        <f t="shared" si="238"/>
        <v/>
      </c>
      <c r="S2398" s="317" t="str">
        <f t="shared" si="239"/>
        <v/>
      </c>
      <c r="T2398" s="317" t="str">
        <f>GLOBAL_DER_FEV_2023!S2398</f>
        <v/>
      </c>
      <c r="W2398" s="582">
        <v>0</v>
      </c>
      <c r="X2398" s="580"/>
      <c r="Y2398" s="583">
        <f>IF(GLOBAL_DER_FEV_2023!W2398=0,0,IF(GLOBAL_DER_FEV_2023!W2398&gt;0,"c","b"))</f>
        <v>0</v>
      </c>
    </row>
    <row r="2399" spans="1:25" ht="15" customHeight="1" x14ac:dyDescent="0.2">
      <c r="A2399" s="317" t="s">
        <v>46</v>
      </c>
      <c r="B2399" s="895" t="s">
        <v>46</v>
      </c>
      <c r="C2399" s="896" t="s">
        <v>184</v>
      </c>
      <c r="D2399" s="906" t="s">
        <v>145</v>
      </c>
      <c r="E2399" s="907">
        <f>GLOBAL_DER_FEV_2023!E2399</f>
        <v>0</v>
      </c>
      <c r="F2399" s="908">
        <f>GLOBAL_DER_FEV_2023!F2399</f>
        <v>0</v>
      </c>
      <c r="G2399" s="912">
        <f>GLOBAL_DER_FEV_2023!G2399</f>
        <v>1383.5639504200001</v>
      </c>
      <c r="H2399" s="901">
        <f>GLOBAL_DER_FEV_2023!H2399</f>
        <v>3538.55</v>
      </c>
      <c r="I2399" s="901">
        <f>GLOBAL_DER_FEV_2023!I2399</f>
        <v>4922.11395042</v>
      </c>
      <c r="J2399" s="902">
        <f>GLOBAL_DER_FEV_2023!J2399</f>
        <v>5909.98</v>
      </c>
      <c r="K2399" s="903" t="s">
        <v>15</v>
      </c>
      <c r="L2399" s="1137"/>
      <c r="M2399" s="1138">
        <f t="shared" si="240"/>
        <v>0</v>
      </c>
      <c r="N2399" s="1176">
        <f t="shared" si="241"/>
        <v>0</v>
      </c>
      <c r="O2399" s="905"/>
      <c r="Q2399" s="317" t="str">
        <f t="shared" si="237"/>
        <v/>
      </c>
      <c r="R2399" s="317" t="str">
        <f t="shared" si="238"/>
        <v/>
      </c>
      <c r="S2399" s="317" t="str">
        <f t="shared" si="239"/>
        <v/>
      </c>
      <c r="T2399" s="317" t="str">
        <f>GLOBAL_DER_FEV_2023!S2399</f>
        <v/>
      </c>
      <c r="W2399" s="582">
        <v>0</v>
      </c>
      <c r="X2399" s="580"/>
      <c r="Y2399" s="583">
        <f>IF(GLOBAL_DER_FEV_2023!W2399=0,0,IF(GLOBAL_DER_FEV_2023!W2399&gt;0,"c","b"))</f>
        <v>0</v>
      </c>
    </row>
    <row r="2400" spans="1:25" ht="15" customHeight="1" x14ac:dyDescent="0.2">
      <c r="A2400" s="317" t="s">
        <v>147</v>
      </c>
      <c r="B2400" s="895" t="s">
        <v>147</v>
      </c>
      <c r="C2400" s="896"/>
      <c r="D2400" s="906" t="s">
        <v>190</v>
      </c>
      <c r="E2400" s="907">
        <f>GLOBAL_DER_FEV_2023!E2400</f>
        <v>308</v>
      </c>
      <c r="F2400" s="908">
        <f>GLOBAL_DER_FEV_2023!F2400</f>
        <v>1.4740100000000003</v>
      </c>
      <c r="G2400" s="909">
        <f>GLOBAL_DER_FEV_2023!G2400</f>
        <v>365.64292060000008</v>
      </c>
      <c r="H2400" s="901">
        <f>GLOBAL_DER_FEV_2023!H2400</f>
        <v>0</v>
      </c>
      <c r="I2400" s="901">
        <f>GLOBAL_DER_FEV_2023!I2400</f>
        <v>0</v>
      </c>
      <c r="J2400" s="902">
        <f>GLOBAL_DER_FEV_2023!J2400</f>
        <v>0</v>
      </c>
      <c r="K2400" s="903"/>
      <c r="L2400" s="1177"/>
      <c r="M2400" s="1138">
        <f t="shared" si="240"/>
        <v>0</v>
      </c>
      <c r="N2400" s="1176">
        <f t="shared" si="241"/>
        <v>0</v>
      </c>
      <c r="O2400" s="905"/>
      <c r="P2400" s="36" t="str">
        <f>IF(N2399&gt;0,"xx",IF(N2399&gt;0,"xy",""))</f>
        <v/>
      </c>
      <c r="Q2400" s="317" t="str">
        <f t="shared" si="237"/>
        <v/>
      </c>
      <c r="R2400" s="317" t="str">
        <f t="shared" si="238"/>
        <v/>
      </c>
      <c r="S2400" s="317" t="str">
        <f t="shared" si="239"/>
        <v/>
      </c>
      <c r="T2400" s="317" t="str">
        <f>GLOBAL_DER_FEV_2023!S2400</f>
        <v/>
      </c>
      <c r="W2400" s="582">
        <v>0</v>
      </c>
      <c r="X2400" s="580"/>
      <c r="Y2400" s="583">
        <f>IF(GLOBAL_DER_FEV_2023!W2400=0,0,IF(GLOBAL_DER_FEV_2023!W2400&gt;0,"c","b"))</f>
        <v>0</v>
      </c>
    </row>
    <row r="2401" spans="1:25" ht="15" customHeight="1" x14ac:dyDescent="0.2">
      <c r="A2401" s="317" t="s">
        <v>147</v>
      </c>
      <c r="B2401" s="895" t="s">
        <v>147</v>
      </c>
      <c r="C2401" s="896"/>
      <c r="D2401" s="906" t="s">
        <v>229</v>
      </c>
      <c r="E2401" s="907">
        <f>GLOBAL_DER_FEV_2023!E2401</f>
        <v>150</v>
      </c>
      <c r="F2401" s="908">
        <f>GLOBAL_DER_FEV_2023!F2401</f>
        <v>6.0316799999999997</v>
      </c>
      <c r="G2401" s="949">
        <f>GLOBAL_DER_FEV_2023!G2401</f>
        <v>984.2495424</v>
      </c>
      <c r="H2401" s="901">
        <f>GLOBAL_DER_FEV_2023!H2401</f>
        <v>0</v>
      </c>
      <c r="I2401" s="901">
        <f>GLOBAL_DER_FEV_2023!I2401</f>
        <v>0</v>
      </c>
      <c r="J2401" s="902">
        <f>GLOBAL_DER_FEV_2023!J2401</f>
        <v>0</v>
      </c>
      <c r="K2401" s="903"/>
      <c r="L2401" s="1177"/>
      <c r="M2401" s="1138">
        <f t="shared" si="240"/>
        <v>0</v>
      </c>
      <c r="N2401" s="1176">
        <f t="shared" si="241"/>
        <v>0</v>
      </c>
      <c r="O2401" s="905"/>
      <c r="P2401" s="36" t="str">
        <f>IF(N2399&gt;0,"xx",IF(N2399&gt;0,"xy",""))</f>
        <v/>
      </c>
      <c r="Q2401" s="317" t="str">
        <f t="shared" si="237"/>
        <v/>
      </c>
      <c r="R2401" s="317" t="str">
        <f t="shared" si="238"/>
        <v/>
      </c>
      <c r="S2401" s="317" t="str">
        <f t="shared" si="239"/>
        <v/>
      </c>
      <c r="T2401" s="317" t="str">
        <f>GLOBAL_DER_FEV_2023!S2401</f>
        <v/>
      </c>
      <c r="W2401" s="582">
        <v>0</v>
      </c>
      <c r="X2401" s="580"/>
      <c r="Y2401" s="583">
        <f>IF(GLOBAL_DER_FEV_2023!W2401=0,0,IF(GLOBAL_DER_FEV_2023!W2401&gt;0,"c","b"))</f>
        <v>0</v>
      </c>
    </row>
    <row r="2402" spans="1:25" ht="15" customHeight="1" x14ac:dyDescent="0.2">
      <c r="A2402" s="317" t="s">
        <v>147</v>
      </c>
      <c r="B2402" s="895" t="s">
        <v>147</v>
      </c>
      <c r="C2402" s="896"/>
      <c r="D2402" s="906" t="s">
        <v>233</v>
      </c>
      <c r="E2402" s="907">
        <f>GLOBAL_DER_FEV_2023!E2402</f>
        <v>0.2</v>
      </c>
      <c r="F2402" s="908">
        <f>GLOBAL_DER_FEV_2023!F2402</f>
        <v>11.634930000000001</v>
      </c>
      <c r="G2402" s="949">
        <f>GLOBAL_DER_FEV_2023!G2402</f>
        <v>33.671487420000005</v>
      </c>
      <c r="H2402" s="901">
        <f>GLOBAL_DER_FEV_2023!H2402</f>
        <v>0</v>
      </c>
      <c r="I2402" s="901">
        <f>GLOBAL_DER_FEV_2023!I2402</f>
        <v>0</v>
      </c>
      <c r="J2402" s="902">
        <f>GLOBAL_DER_FEV_2023!J2402</f>
        <v>0</v>
      </c>
      <c r="K2402" s="903"/>
      <c r="L2402" s="1177"/>
      <c r="M2402" s="1138">
        <f t="shared" si="240"/>
        <v>0</v>
      </c>
      <c r="N2402" s="1176">
        <f t="shared" si="241"/>
        <v>0</v>
      </c>
      <c r="O2402" s="905"/>
      <c r="P2402" s="36" t="str">
        <f>IF(N2399&gt;0,"xx",IF(N2399&gt;0,"xy",""))</f>
        <v/>
      </c>
      <c r="Q2402" s="317" t="str">
        <f t="shared" si="237"/>
        <v/>
      </c>
      <c r="R2402" s="317" t="str">
        <f t="shared" si="238"/>
        <v/>
      </c>
      <c r="S2402" s="317" t="str">
        <f t="shared" si="239"/>
        <v/>
      </c>
      <c r="T2402" s="317" t="str">
        <f>GLOBAL_DER_FEV_2023!S2402</f>
        <v/>
      </c>
      <c r="W2402" s="582">
        <v>0</v>
      </c>
      <c r="X2402" s="580"/>
      <c r="Y2402" s="583">
        <f>IF(GLOBAL_DER_FEV_2023!W2402=0,0,IF(GLOBAL_DER_FEV_2023!W2402&gt;0,"c","b"))</f>
        <v>0</v>
      </c>
    </row>
    <row r="2403" spans="1:25" ht="15" customHeight="1" x14ac:dyDescent="0.2">
      <c r="A2403" s="317" t="s">
        <v>46</v>
      </c>
      <c r="B2403" s="895" t="s">
        <v>46</v>
      </c>
      <c r="C2403" s="896" t="s">
        <v>184</v>
      </c>
      <c r="D2403" s="906" t="s">
        <v>146</v>
      </c>
      <c r="E2403" s="907">
        <f>GLOBAL_DER_FEV_2023!E2403</f>
        <v>0</v>
      </c>
      <c r="F2403" s="908">
        <f>GLOBAL_DER_FEV_2023!F2403</f>
        <v>0</v>
      </c>
      <c r="G2403" s="912">
        <f>GLOBAL_DER_FEV_2023!G2403</f>
        <v>2280.9863061400001</v>
      </c>
      <c r="H2403" s="901">
        <f>GLOBAL_DER_FEV_2023!H2403</f>
        <v>5739.62</v>
      </c>
      <c r="I2403" s="901">
        <f>GLOBAL_DER_FEV_2023!I2403</f>
        <v>8020.60630614</v>
      </c>
      <c r="J2403" s="902">
        <f>GLOBAL_DER_FEV_2023!J2403</f>
        <v>9630.34</v>
      </c>
      <c r="K2403" s="903" t="s">
        <v>15</v>
      </c>
      <c r="L2403" s="1137"/>
      <c r="M2403" s="1138">
        <f t="shared" si="240"/>
        <v>0</v>
      </c>
      <c r="N2403" s="1176">
        <f t="shared" si="241"/>
        <v>0</v>
      </c>
      <c r="O2403" s="905"/>
      <c r="Q2403" s="317" t="str">
        <f t="shared" si="237"/>
        <v/>
      </c>
      <c r="R2403" s="317" t="str">
        <f t="shared" si="238"/>
        <v/>
      </c>
      <c r="S2403" s="317" t="str">
        <f t="shared" si="239"/>
        <v/>
      </c>
      <c r="T2403" s="317" t="str">
        <f>GLOBAL_DER_FEV_2023!S2403</f>
        <v/>
      </c>
      <c r="W2403" s="582">
        <v>0</v>
      </c>
      <c r="X2403" s="580"/>
      <c r="Y2403" s="583">
        <f>IF(GLOBAL_DER_FEV_2023!W2403=0,0,IF(GLOBAL_DER_FEV_2023!W2403&gt;0,"c","b"))</f>
        <v>0</v>
      </c>
    </row>
    <row r="2404" spans="1:25" ht="15" customHeight="1" x14ac:dyDescent="0.2">
      <c r="A2404" s="317" t="s">
        <v>147</v>
      </c>
      <c r="B2404" s="895" t="s">
        <v>147</v>
      </c>
      <c r="C2404" s="896"/>
      <c r="D2404" s="906" t="s">
        <v>190</v>
      </c>
      <c r="E2404" s="907">
        <f>GLOBAL_DER_FEV_2023!E2404</f>
        <v>308</v>
      </c>
      <c r="F2404" s="908">
        <f>GLOBAL_DER_FEV_2023!F2404</f>
        <v>2.41967</v>
      </c>
      <c r="G2404" s="909">
        <f>GLOBAL_DER_FEV_2023!G2404</f>
        <v>600.22334020000005</v>
      </c>
      <c r="H2404" s="901">
        <f>GLOBAL_DER_FEV_2023!H2404</f>
        <v>0</v>
      </c>
      <c r="I2404" s="901">
        <f>GLOBAL_DER_FEV_2023!I2404</f>
        <v>0</v>
      </c>
      <c r="J2404" s="902">
        <f>GLOBAL_DER_FEV_2023!J2404</f>
        <v>0</v>
      </c>
      <c r="K2404" s="903"/>
      <c r="L2404" s="1177"/>
      <c r="M2404" s="1138">
        <f t="shared" si="240"/>
        <v>0</v>
      </c>
      <c r="N2404" s="1176">
        <f t="shared" si="241"/>
        <v>0</v>
      </c>
      <c r="O2404" s="905"/>
      <c r="P2404" s="36" t="str">
        <f>IF(N2403&gt;0,"xx",IF(N2403&gt;0,"xy",""))</f>
        <v/>
      </c>
      <c r="Q2404" s="317" t="str">
        <f t="shared" si="237"/>
        <v/>
      </c>
      <c r="R2404" s="317" t="str">
        <f t="shared" si="238"/>
        <v/>
      </c>
      <c r="S2404" s="317" t="str">
        <f t="shared" si="239"/>
        <v/>
      </c>
      <c r="T2404" s="317" t="str">
        <f>GLOBAL_DER_FEV_2023!S2404</f>
        <v/>
      </c>
      <c r="W2404" s="582">
        <v>0</v>
      </c>
      <c r="X2404" s="580"/>
      <c r="Y2404" s="583">
        <f>IF(GLOBAL_DER_FEV_2023!W2404=0,0,IF(GLOBAL_DER_FEV_2023!W2404&gt;0,"c","b"))</f>
        <v>0</v>
      </c>
    </row>
    <row r="2405" spans="1:25" ht="15" customHeight="1" x14ac:dyDescent="0.2">
      <c r="A2405" s="317" t="s">
        <v>147</v>
      </c>
      <c r="B2405" s="895" t="s">
        <v>147</v>
      </c>
      <c r="C2405" s="896"/>
      <c r="D2405" s="906" t="s">
        <v>229</v>
      </c>
      <c r="E2405" s="907">
        <f>GLOBAL_DER_FEV_2023!E2405</f>
        <v>150</v>
      </c>
      <c r="F2405" s="908">
        <f>GLOBAL_DER_FEV_2023!F2405</f>
        <v>9.9546600000000005</v>
      </c>
      <c r="G2405" s="949">
        <f>GLOBAL_DER_FEV_2023!G2405</f>
        <v>1624.4014188000001</v>
      </c>
      <c r="H2405" s="901">
        <f>GLOBAL_DER_FEV_2023!H2405</f>
        <v>0</v>
      </c>
      <c r="I2405" s="901">
        <f>GLOBAL_DER_FEV_2023!I2405</f>
        <v>0</v>
      </c>
      <c r="J2405" s="902">
        <f>GLOBAL_DER_FEV_2023!J2405</f>
        <v>0</v>
      </c>
      <c r="K2405" s="903"/>
      <c r="L2405" s="1177"/>
      <c r="M2405" s="1138">
        <f t="shared" si="240"/>
        <v>0</v>
      </c>
      <c r="N2405" s="1176">
        <f t="shared" si="241"/>
        <v>0</v>
      </c>
      <c r="O2405" s="905"/>
      <c r="P2405" s="36" t="str">
        <f>IF(N2403&gt;0,"xx",IF(N2403&gt;0,"xy",""))</f>
        <v/>
      </c>
      <c r="Q2405" s="317" t="str">
        <f t="shared" si="237"/>
        <v/>
      </c>
      <c r="R2405" s="317" t="str">
        <f t="shared" si="238"/>
        <v/>
      </c>
      <c r="S2405" s="317" t="str">
        <f t="shared" si="239"/>
        <v/>
      </c>
      <c r="T2405" s="317" t="str">
        <f>GLOBAL_DER_FEV_2023!S2405</f>
        <v/>
      </c>
      <c r="W2405" s="582">
        <v>0</v>
      </c>
      <c r="X2405" s="580"/>
      <c r="Y2405" s="583">
        <f>IF(GLOBAL_DER_FEV_2023!W2405=0,0,IF(GLOBAL_DER_FEV_2023!W2405&gt;0,"c","b"))</f>
        <v>0</v>
      </c>
    </row>
    <row r="2406" spans="1:25" ht="15" customHeight="1" x14ac:dyDescent="0.2">
      <c r="A2406" s="317" t="s">
        <v>147</v>
      </c>
      <c r="B2406" s="895" t="s">
        <v>147</v>
      </c>
      <c r="C2406" s="896"/>
      <c r="D2406" s="906" t="s">
        <v>233</v>
      </c>
      <c r="E2406" s="907">
        <f>GLOBAL_DER_FEV_2023!E2406</f>
        <v>0.2</v>
      </c>
      <c r="F2406" s="908">
        <f>GLOBAL_DER_FEV_2023!F2406</f>
        <v>19.47531</v>
      </c>
      <c r="G2406" s="949">
        <f>GLOBAL_DER_FEV_2023!G2406</f>
        <v>56.361547140000006</v>
      </c>
      <c r="H2406" s="901">
        <f>GLOBAL_DER_FEV_2023!H2406</f>
        <v>0</v>
      </c>
      <c r="I2406" s="901">
        <f>GLOBAL_DER_FEV_2023!I2406</f>
        <v>0</v>
      </c>
      <c r="J2406" s="902">
        <f>GLOBAL_DER_FEV_2023!J2406</f>
        <v>0</v>
      </c>
      <c r="K2406" s="903"/>
      <c r="L2406" s="1177"/>
      <c r="M2406" s="1138">
        <f t="shared" si="240"/>
        <v>0</v>
      </c>
      <c r="N2406" s="1176">
        <f t="shared" si="241"/>
        <v>0</v>
      </c>
      <c r="O2406" s="905"/>
      <c r="P2406" s="36" t="str">
        <f>IF(N2403&gt;0,"xx",IF(N2403&gt;0,"xy",""))</f>
        <v/>
      </c>
      <c r="Q2406" s="317" t="str">
        <f t="shared" si="237"/>
        <v/>
      </c>
      <c r="R2406" s="317" t="str">
        <f t="shared" si="238"/>
        <v/>
      </c>
      <c r="S2406" s="317" t="str">
        <f t="shared" si="239"/>
        <v/>
      </c>
      <c r="T2406" s="317" t="str">
        <f>GLOBAL_DER_FEV_2023!S2406</f>
        <v/>
      </c>
      <c r="W2406" s="582">
        <v>0</v>
      </c>
      <c r="X2406" s="580"/>
      <c r="Y2406" s="583">
        <f>IF(GLOBAL_DER_FEV_2023!W2406=0,0,IF(GLOBAL_DER_FEV_2023!W2406&gt;0,"c","b"))</f>
        <v>0</v>
      </c>
    </row>
    <row r="2407" spans="1:25" ht="15" customHeight="1" x14ac:dyDescent="0.2">
      <c r="A2407" s="317" t="s">
        <v>393</v>
      </c>
      <c r="B2407" s="895" t="s">
        <v>393</v>
      </c>
      <c r="C2407" s="896" t="s">
        <v>184</v>
      </c>
      <c r="D2407" s="906" t="str">
        <f>'ENSAIOS DE ORÇAMENTO'!C72</f>
        <v>ENSAIO DE ORÇAMENTO 1</v>
      </c>
      <c r="E2407" s="907">
        <f>GLOBAL_DER_FEV_2023!E2407</f>
        <v>0</v>
      </c>
      <c r="F2407" s="908">
        <f>GLOBAL_DER_FEV_2023!F2407</f>
        <v>0</v>
      </c>
      <c r="G2407" s="912">
        <f>GLOBAL_DER_FEV_2023!G2407</f>
        <v>0</v>
      </c>
      <c r="H2407" s="901">
        <f>GLOBAL_DER_FEV_2023!H2407</f>
        <v>0</v>
      </c>
      <c r="I2407" s="901">
        <f>GLOBAL_DER_FEV_2023!I2407</f>
        <v>0</v>
      </c>
      <c r="J2407" s="902">
        <f>GLOBAL_DER_FEV_2023!J2407</f>
        <v>0</v>
      </c>
      <c r="K2407" s="903" t="s">
        <v>15</v>
      </c>
      <c r="L2407" s="1137"/>
      <c r="M2407" s="1138">
        <f t="shared" si="240"/>
        <v>0</v>
      </c>
      <c r="N2407" s="1176">
        <f t="shared" si="241"/>
        <v>0</v>
      </c>
      <c r="O2407" s="905"/>
      <c r="Q2407" s="317" t="str">
        <f t="shared" si="237"/>
        <v/>
      </c>
      <c r="R2407" s="317" t="str">
        <f t="shared" si="238"/>
        <v/>
      </c>
      <c r="S2407" s="317" t="str">
        <f t="shared" si="239"/>
        <v/>
      </c>
      <c r="T2407" s="317" t="str">
        <f>GLOBAL_DER_FEV_2023!S2407</f>
        <v/>
      </c>
      <c r="W2407" s="582">
        <v>0</v>
      </c>
      <c r="X2407" s="580"/>
      <c r="Y2407" s="583">
        <f>IF(GLOBAL_DER_FEV_2023!W2407=0,0,IF(GLOBAL_DER_FEV_2023!W2407&gt;0,"c","b"))</f>
        <v>0</v>
      </c>
    </row>
    <row r="2408" spans="1:25" ht="15" customHeight="1" x14ac:dyDescent="0.2">
      <c r="A2408" s="317" t="s">
        <v>147</v>
      </c>
      <c r="B2408" s="895" t="s">
        <v>147</v>
      </c>
      <c r="C2408" s="896"/>
      <c r="D2408" s="957" t="s">
        <v>190</v>
      </c>
      <c r="E2408" s="907">
        <f>GLOBAL_DER_FEV_2023!E2408</f>
        <v>308</v>
      </c>
      <c r="F2408" s="908">
        <f>GLOBAL_DER_FEV_2023!F2408</f>
        <v>0</v>
      </c>
      <c r="G2408" s="909">
        <f>GLOBAL_DER_FEV_2023!G2408</f>
        <v>0</v>
      </c>
      <c r="H2408" s="901">
        <f>GLOBAL_DER_FEV_2023!H2408</f>
        <v>0</v>
      </c>
      <c r="I2408" s="901" t="str">
        <f>GLOBAL_DER_FEV_2023!I2408</f>
        <v/>
      </c>
      <c r="J2408" s="902">
        <f>GLOBAL_DER_FEV_2023!J2408</f>
        <v>0</v>
      </c>
      <c r="K2408" s="958" t="s">
        <v>507</v>
      </c>
      <c r="L2408" s="959"/>
      <c r="M2408" s="1157">
        <f t="shared" si="240"/>
        <v>0</v>
      </c>
      <c r="N2408" s="1176">
        <f t="shared" si="241"/>
        <v>0</v>
      </c>
      <c r="O2408" s="905"/>
      <c r="P2408" s="58" t="str">
        <f>IF(N2407&gt;0,"xx",IF(N2407&gt;0,"xy",""))</f>
        <v/>
      </c>
      <c r="Q2408" s="317" t="str">
        <f t="shared" si="237"/>
        <v/>
      </c>
      <c r="R2408" s="317" t="str">
        <f t="shared" si="238"/>
        <v/>
      </c>
      <c r="S2408" s="317" t="str">
        <f t="shared" si="239"/>
        <v/>
      </c>
      <c r="T2408" s="317" t="str">
        <f>GLOBAL_DER_FEV_2023!S2408</f>
        <v/>
      </c>
      <c r="W2408" s="582">
        <v>0</v>
      </c>
      <c r="X2408" s="580"/>
      <c r="Y2408" s="583">
        <f>IF(GLOBAL_DER_FEV_2023!W2408=0,0,IF(GLOBAL_DER_FEV_2023!W2408&gt;0,"c","b"))</f>
        <v>0</v>
      </c>
    </row>
    <row r="2409" spans="1:25" ht="15" customHeight="1" x14ac:dyDescent="0.2">
      <c r="A2409" s="317" t="s">
        <v>147</v>
      </c>
      <c r="B2409" s="895" t="s">
        <v>147</v>
      </c>
      <c r="C2409" s="896"/>
      <c r="D2409" s="957" t="s">
        <v>229</v>
      </c>
      <c r="E2409" s="907">
        <f>GLOBAL_DER_FEV_2023!E2409</f>
        <v>150</v>
      </c>
      <c r="F2409" s="908">
        <f>GLOBAL_DER_FEV_2023!F2409</f>
        <v>0</v>
      </c>
      <c r="G2409" s="949">
        <f>GLOBAL_DER_FEV_2023!G2409</f>
        <v>0</v>
      </c>
      <c r="H2409" s="901">
        <f>GLOBAL_DER_FEV_2023!H2409</f>
        <v>0</v>
      </c>
      <c r="I2409" s="901" t="str">
        <f>GLOBAL_DER_FEV_2023!I2409</f>
        <v/>
      </c>
      <c r="J2409" s="902">
        <f>GLOBAL_DER_FEV_2023!J2409</f>
        <v>0</v>
      </c>
      <c r="K2409" s="958" t="s">
        <v>507</v>
      </c>
      <c r="L2409" s="959"/>
      <c r="M2409" s="1157">
        <f t="shared" si="240"/>
        <v>0</v>
      </c>
      <c r="N2409" s="1176">
        <f t="shared" si="241"/>
        <v>0</v>
      </c>
      <c r="O2409" s="905"/>
      <c r="P2409" s="58" t="str">
        <f>IF(N2407&gt;0,"xx",IF(N2407&gt;0,"xy",""))</f>
        <v/>
      </c>
      <c r="Q2409" s="317" t="str">
        <f t="shared" si="237"/>
        <v/>
      </c>
      <c r="R2409" s="317" t="str">
        <f t="shared" si="238"/>
        <v/>
      </c>
      <c r="S2409" s="317" t="str">
        <f t="shared" si="239"/>
        <v/>
      </c>
      <c r="T2409" s="317" t="str">
        <f>GLOBAL_DER_FEV_2023!S2409</f>
        <v/>
      </c>
      <c r="W2409" s="582">
        <v>0</v>
      </c>
      <c r="X2409" s="580"/>
      <c r="Y2409" s="583">
        <f>IF(GLOBAL_DER_FEV_2023!W2409=0,0,IF(GLOBAL_DER_FEV_2023!W2409&gt;0,"c","b"))</f>
        <v>0</v>
      </c>
    </row>
    <row r="2410" spans="1:25" ht="15" customHeight="1" x14ac:dyDescent="0.2">
      <c r="A2410" s="317" t="s">
        <v>147</v>
      </c>
      <c r="B2410" s="895" t="s">
        <v>147</v>
      </c>
      <c r="C2410" s="896"/>
      <c r="D2410" s="957" t="s">
        <v>233</v>
      </c>
      <c r="E2410" s="907">
        <f>GLOBAL_DER_FEV_2023!E2410</f>
        <v>0.2</v>
      </c>
      <c r="F2410" s="908">
        <f>GLOBAL_DER_FEV_2023!F2410</f>
        <v>0</v>
      </c>
      <c r="G2410" s="949">
        <f>GLOBAL_DER_FEV_2023!G2410</f>
        <v>0</v>
      </c>
      <c r="H2410" s="901">
        <f>GLOBAL_DER_FEV_2023!H2410</f>
        <v>0</v>
      </c>
      <c r="I2410" s="901" t="str">
        <f>GLOBAL_DER_FEV_2023!I2410</f>
        <v/>
      </c>
      <c r="J2410" s="902">
        <f>GLOBAL_DER_FEV_2023!J2410</f>
        <v>0</v>
      </c>
      <c r="K2410" s="958" t="s">
        <v>507</v>
      </c>
      <c r="L2410" s="959"/>
      <c r="M2410" s="1157">
        <f t="shared" si="240"/>
        <v>0</v>
      </c>
      <c r="N2410" s="1176">
        <f t="shared" si="241"/>
        <v>0</v>
      </c>
      <c r="O2410" s="905"/>
      <c r="P2410" s="58" t="str">
        <f>IF(N2407&gt;0,"xx",IF(N2407&gt;0,"xy",""))</f>
        <v/>
      </c>
      <c r="Q2410" s="317" t="str">
        <f t="shared" si="237"/>
        <v/>
      </c>
      <c r="R2410" s="317" t="str">
        <f t="shared" si="238"/>
        <v/>
      </c>
      <c r="S2410" s="317" t="str">
        <f t="shared" si="239"/>
        <v/>
      </c>
      <c r="T2410" s="317" t="str">
        <f>GLOBAL_DER_FEV_2023!S2410</f>
        <v/>
      </c>
      <c r="W2410" s="582">
        <v>0</v>
      </c>
      <c r="X2410" s="580"/>
      <c r="Y2410" s="583">
        <f>IF(GLOBAL_DER_FEV_2023!W2410=0,0,IF(GLOBAL_DER_FEV_2023!W2410&gt;0,"c","b"))</f>
        <v>0</v>
      </c>
    </row>
    <row r="2411" spans="1:25" ht="15" customHeight="1" x14ac:dyDescent="0.2">
      <c r="A2411" s="317" t="s">
        <v>147</v>
      </c>
      <c r="B2411" s="895" t="s">
        <v>147</v>
      </c>
      <c r="C2411" s="896"/>
      <c r="D2411" s="957" t="s">
        <v>365</v>
      </c>
      <c r="E2411" s="907">
        <f>GLOBAL_DER_FEV_2023!E2411</f>
        <v>10</v>
      </c>
      <c r="F2411" s="908">
        <f>GLOBAL_DER_FEV_2023!F2411</f>
        <v>0</v>
      </c>
      <c r="G2411" s="949">
        <f>GLOBAL_DER_FEV_2023!G2411</f>
        <v>0</v>
      </c>
      <c r="H2411" s="901">
        <f>GLOBAL_DER_FEV_2023!H2411</f>
        <v>0</v>
      </c>
      <c r="I2411" s="901" t="str">
        <f>GLOBAL_DER_FEV_2023!I2411</f>
        <v/>
      </c>
      <c r="J2411" s="902">
        <f>GLOBAL_DER_FEV_2023!J2411</f>
        <v>0</v>
      </c>
      <c r="K2411" s="958" t="s">
        <v>507</v>
      </c>
      <c r="L2411" s="959"/>
      <c r="M2411" s="1157">
        <f t="shared" si="240"/>
        <v>0</v>
      </c>
      <c r="N2411" s="1176">
        <f t="shared" si="241"/>
        <v>0</v>
      </c>
      <c r="O2411" s="905"/>
      <c r="P2411" s="58" t="str">
        <f>IF(N2407&gt;0,"xx",IF(N2407&gt;0,"xy",""))</f>
        <v/>
      </c>
      <c r="Q2411" s="317" t="str">
        <f t="shared" si="237"/>
        <v/>
      </c>
      <c r="R2411" s="317" t="str">
        <f t="shared" si="238"/>
        <v/>
      </c>
      <c r="S2411" s="317" t="str">
        <f t="shared" si="239"/>
        <v/>
      </c>
      <c r="T2411" s="317" t="str">
        <f>GLOBAL_DER_FEV_2023!S2411</f>
        <v/>
      </c>
      <c r="W2411" s="582">
        <v>0</v>
      </c>
      <c r="X2411" s="580"/>
      <c r="Y2411" s="583">
        <f>IF(GLOBAL_DER_FEV_2023!W2411=0,0,IF(GLOBAL_DER_FEV_2023!W2411&gt;0,"c","b"))</f>
        <v>0</v>
      </c>
    </row>
    <row r="2412" spans="1:25" ht="15" customHeight="1" x14ac:dyDescent="0.2">
      <c r="A2412" s="317" t="s">
        <v>147</v>
      </c>
      <c r="B2412" s="895" t="s">
        <v>147</v>
      </c>
      <c r="C2412" s="896"/>
      <c r="D2412" s="957" t="s">
        <v>366</v>
      </c>
      <c r="E2412" s="907">
        <f>GLOBAL_DER_FEV_2023!E2412</f>
        <v>353</v>
      </c>
      <c r="F2412" s="908">
        <f>GLOBAL_DER_FEV_2023!F2412</f>
        <v>0</v>
      </c>
      <c r="G2412" s="909">
        <f>GLOBAL_DER_FEV_2023!G2412</f>
        <v>0</v>
      </c>
      <c r="H2412" s="901">
        <f>GLOBAL_DER_FEV_2023!H2412</f>
        <v>0</v>
      </c>
      <c r="I2412" s="901" t="str">
        <f>GLOBAL_DER_FEV_2023!I2412</f>
        <v/>
      </c>
      <c r="J2412" s="902">
        <f>GLOBAL_DER_FEV_2023!J2412</f>
        <v>0</v>
      </c>
      <c r="K2412" s="958" t="s">
        <v>507</v>
      </c>
      <c r="L2412" s="959"/>
      <c r="M2412" s="1157">
        <f t="shared" si="240"/>
        <v>0</v>
      </c>
      <c r="N2412" s="1176">
        <f t="shared" si="241"/>
        <v>0</v>
      </c>
      <c r="O2412" s="905"/>
      <c r="P2412" s="58" t="str">
        <f>IF(N2407&gt;0,"xx",IF(N2407&gt;0,"xy",""))</f>
        <v/>
      </c>
      <c r="Q2412" s="317" t="str">
        <f t="shared" si="237"/>
        <v/>
      </c>
      <c r="R2412" s="317" t="str">
        <f t="shared" si="238"/>
        <v/>
      </c>
      <c r="S2412" s="317" t="str">
        <f t="shared" si="239"/>
        <v/>
      </c>
      <c r="T2412" s="317" t="str">
        <f>GLOBAL_DER_FEV_2023!S2412</f>
        <v/>
      </c>
      <c r="W2412" s="582">
        <v>0</v>
      </c>
      <c r="X2412" s="580"/>
      <c r="Y2412" s="583">
        <f>IF(GLOBAL_DER_FEV_2023!W2412=0,0,IF(GLOBAL_DER_FEV_2023!W2412&gt;0,"c","b"))</f>
        <v>0</v>
      </c>
    </row>
    <row r="2413" spans="1:25" ht="15" customHeight="1" x14ac:dyDescent="0.2">
      <c r="A2413" s="317" t="s">
        <v>394</v>
      </c>
      <c r="B2413" s="895" t="s">
        <v>394</v>
      </c>
      <c r="C2413" s="896" t="s">
        <v>184</v>
      </c>
      <c r="D2413" s="906" t="str">
        <f>'ENSAIOS DE ORÇAMENTO'!C73</f>
        <v>ENSAIO DE ORÇAMENTO 2</v>
      </c>
      <c r="E2413" s="907">
        <f>GLOBAL_DER_FEV_2023!E2413</f>
        <v>0</v>
      </c>
      <c r="F2413" s="908">
        <f>GLOBAL_DER_FEV_2023!F2413</f>
        <v>0</v>
      </c>
      <c r="G2413" s="912">
        <f>GLOBAL_DER_FEV_2023!G2413</f>
        <v>0</v>
      </c>
      <c r="H2413" s="901">
        <f>GLOBAL_DER_FEV_2023!H2413</f>
        <v>0</v>
      </c>
      <c r="I2413" s="901">
        <f>GLOBAL_DER_FEV_2023!I2413</f>
        <v>0</v>
      </c>
      <c r="J2413" s="902">
        <f>GLOBAL_DER_FEV_2023!J2413</f>
        <v>0</v>
      </c>
      <c r="K2413" s="903" t="s">
        <v>15</v>
      </c>
      <c r="L2413" s="1137"/>
      <c r="M2413" s="1138">
        <f t="shared" si="240"/>
        <v>0</v>
      </c>
      <c r="N2413" s="1176">
        <f t="shared" si="241"/>
        <v>0</v>
      </c>
      <c r="O2413" s="905"/>
      <c r="Q2413" s="317" t="str">
        <f t="shared" si="237"/>
        <v/>
      </c>
      <c r="R2413" s="317" t="str">
        <f t="shared" si="238"/>
        <v/>
      </c>
      <c r="S2413" s="317" t="str">
        <f t="shared" si="239"/>
        <v/>
      </c>
      <c r="T2413" s="317" t="str">
        <f>GLOBAL_DER_FEV_2023!S2413</f>
        <v/>
      </c>
      <c r="W2413" s="582">
        <v>0</v>
      </c>
      <c r="X2413" s="580"/>
      <c r="Y2413" s="583">
        <f>IF(GLOBAL_DER_FEV_2023!W2413=0,0,IF(GLOBAL_DER_FEV_2023!W2413&gt;0,"c","b"))</f>
        <v>0</v>
      </c>
    </row>
    <row r="2414" spans="1:25" ht="15" customHeight="1" x14ac:dyDescent="0.2">
      <c r="A2414" s="317" t="s">
        <v>147</v>
      </c>
      <c r="B2414" s="895" t="s">
        <v>147</v>
      </c>
      <c r="C2414" s="896"/>
      <c r="D2414" s="957" t="s">
        <v>190</v>
      </c>
      <c r="E2414" s="907">
        <f>GLOBAL_DER_FEV_2023!E2414</f>
        <v>308</v>
      </c>
      <c r="F2414" s="908">
        <f>GLOBAL_DER_FEV_2023!F2414</f>
        <v>0</v>
      </c>
      <c r="G2414" s="909">
        <f>GLOBAL_DER_FEV_2023!G2414</f>
        <v>0</v>
      </c>
      <c r="H2414" s="901">
        <f>GLOBAL_DER_FEV_2023!H2414</f>
        <v>0</v>
      </c>
      <c r="I2414" s="901" t="str">
        <f>GLOBAL_DER_FEV_2023!I2414</f>
        <v/>
      </c>
      <c r="J2414" s="902">
        <f>GLOBAL_DER_FEV_2023!J2414</f>
        <v>0</v>
      </c>
      <c r="K2414" s="958" t="s">
        <v>507</v>
      </c>
      <c r="L2414" s="959"/>
      <c r="M2414" s="1157">
        <f t="shared" si="240"/>
        <v>0</v>
      </c>
      <c r="N2414" s="1176">
        <f t="shared" si="241"/>
        <v>0</v>
      </c>
      <c r="O2414" s="905"/>
      <c r="P2414" s="58" t="str">
        <f>IF(N2413&gt;0,"xx",IF(N2413&gt;0,"xy",""))</f>
        <v/>
      </c>
      <c r="Q2414" s="317" t="str">
        <f t="shared" si="237"/>
        <v/>
      </c>
      <c r="R2414" s="317" t="str">
        <f t="shared" si="238"/>
        <v/>
      </c>
      <c r="S2414" s="317" t="str">
        <f t="shared" si="239"/>
        <v/>
      </c>
      <c r="T2414" s="317" t="str">
        <f>GLOBAL_DER_FEV_2023!S2414</f>
        <v/>
      </c>
      <c r="W2414" s="582">
        <v>0</v>
      </c>
      <c r="X2414" s="580"/>
      <c r="Y2414" s="583">
        <f>IF(GLOBAL_DER_FEV_2023!W2414=0,0,IF(GLOBAL_DER_FEV_2023!W2414&gt;0,"c","b"))</f>
        <v>0</v>
      </c>
    </row>
    <row r="2415" spans="1:25" ht="15" customHeight="1" x14ac:dyDescent="0.2">
      <c r="A2415" s="317" t="s">
        <v>147</v>
      </c>
      <c r="B2415" s="895" t="s">
        <v>147</v>
      </c>
      <c r="C2415" s="896"/>
      <c r="D2415" s="957" t="s">
        <v>229</v>
      </c>
      <c r="E2415" s="907">
        <f>GLOBAL_DER_FEV_2023!E2415</f>
        <v>150</v>
      </c>
      <c r="F2415" s="908">
        <f>GLOBAL_DER_FEV_2023!F2415</f>
        <v>0</v>
      </c>
      <c r="G2415" s="949">
        <f>GLOBAL_DER_FEV_2023!G2415</f>
        <v>0</v>
      </c>
      <c r="H2415" s="901">
        <f>GLOBAL_DER_FEV_2023!H2415</f>
        <v>0</v>
      </c>
      <c r="I2415" s="901" t="str">
        <f>GLOBAL_DER_FEV_2023!I2415</f>
        <v/>
      </c>
      <c r="J2415" s="902">
        <f>GLOBAL_DER_FEV_2023!J2415</f>
        <v>0</v>
      </c>
      <c r="K2415" s="958" t="s">
        <v>507</v>
      </c>
      <c r="L2415" s="959"/>
      <c r="M2415" s="1157">
        <f t="shared" si="240"/>
        <v>0</v>
      </c>
      <c r="N2415" s="1176">
        <f t="shared" si="241"/>
        <v>0</v>
      </c>
      <c r="O2415" s="905"/>
      <c r="P2415" s="58" t="str">
        <f>IF(N2413&gt;0,"xx",IF(N2413&gt;0,"xy",""))</f>
        <v/>
      </c>
      <c r="Q2415" s="317" t="str">
        <f t="shared" ref="Q2415:Q2478" si="242">IF(P2415="X","x",IF(P2415="xx","x",IF(P2415="xy","x",IF(P2415="y","x",IF(OR(N2415&gt;0,N2415&gt;0),"x","")))))</f>
        <v/>
      </c>
      <c r="R2415" s="317" t="str">
        <f t="shared" si="238"/>
        <v/>
      </c>
      <c r="S2415" s="317" t="str">
        <f t="shared" si="239"/>
        <v/>
      </c>
      <c r="T2415" s="317" t="str">
        <f>GLOBAL_DER_FEV_2023!S2415</f>
        <v/>
      </c>
      <c r="W2415" s="582">
        <v>0</v>
      </c>
      <c r="X2415" s="580"/>
      <c r="Y2415" s="583">
        <f>IF(GLOBAL_DER_FEV_2023!W2415=0,0,IF(GLOBAL_DER_FEV_2023!W2415&gt;0,"c","b"))</f>
        <v>0</v>
      </c>
    </row>
    <row r="2416" spans="1:25" ht="15" customHeight="1" x14ac:dyDescent="0.2">
      <c r="A2416" s="317" t="s">
        <v>147</v>
      </c>
      <c r="B2416" s="895" t="s">
        <v>147</v>
      </c>
      <c r="C2416" s="896"/>
      <c r="D2416" s="957" t="s">
        <v>233</v>
      </c>
      <c r="E2416" s="907">
        <f>GLOBAL_DER_FEV_2023!E2416</f>
        <v>0.2</v>
      </c>
      <c r="F2416" s="908">
        <f>GLOBAL_DER_FEV_2023!F2416</f>
        <v>0</v>
      </c>
      <c r="G2416" s="949">
        <f>GLOBAL_DER_FEV_2023!G2416</f>
        <v>0</v>
      </c>
      <c r="H2416" s="901">
        <f>GLOBAL_DER_FEV_2023!H2416</f>
        <v>0</v>
      </c>
      <c r="I2416" s="901" t="str">
        <f>GLOBAL_DER_FEV_2023!I2416</f>
        <v/>
      </c>
      <c r="J2416" s="902">
        <f>GLOBAL_DER_FEV_2023!J2416</f>
        <v>0</v>
      </c>
      <c r="K2416" s="958" t="s">
        <v>507</v>
      </c>
      <c r="L2416" s="959"/>
      <c r="M2416" s="1157">
        <f t="shared" si="240"/>
        <v>0</v>
      </c>
      <c r="N2416" s="1176">
        <f t="shared" si="241"/>
        <v>0</v>
      </c>
      <c r="O2416" s="905"/>
      <c r="P2416" s="58" t="str">
        <f>IF(N2413&gt;0,"xx",IF(N2413&gt;0,"xy",""))</f>
        <v/>
      </c>
      <c r="Q2416" s="317" t="str">
        <f t="shared" si="242"/>
        <v/>
      </c>
      <c r="R2416" s="317" t="str">
        <f t="shared" si="238"/>
        <v/>
      </c>
      <c r="S2416" s="317" t="str">
        <f t="shared" si="239"/>
        <v/>
      </c>
      <c r="T2416" s="317" t="str">
        <f>GLOBAL_DER_FEV_2023!S2416</f>
        <v/>
      </c>
      <c r="W2416" s="582">
        <v>0</v>
      </c>
      <c r="X2416" s="580"/>
      <c r="Y2416" s="583">
        <f>IF(GLOBAL_DER_FEV_2023!W2416=0,0,IF(GLOBAL_DER_FEV_2023!W2416&gt;0,"c","b"))</f>
        <v>0</v>
      </c>
    </row>
    <row r="2417" spans="1:25" ht="15" customHeight="1" x14ac:dyDescent="0.2">
      <c r="A2417" s="317" t="s">
        <v>147</v>
      </c>
      <c r="B2417" s="895" t="s">
        <v>147</v>
      </c>
      <c r="C2417" s="896"/>
      <c r="D2417" s="957" t="s">
        <v>365</v>
      </c>
      <c r="E2417" s="907">
        <f>GLOBAL_DER_FEV_2023!E2417</f>
        <v>10</v>
      </c>
      <c r="F2417" s="908">
        <f>GLOBAL_DER_FEV_2023!F2417</f>
        <v>0</v>
      </c>
      <c r="G2417" s="949">
        <f>GLOBAL_DER_FEV_2023!G2417</f>
        <v>0</v>
      </c>
      <c r="H2417" s="901">
        <f>GLOBAL_DER_FEV_2023!H2417</f>
        <v>0</v>
      </c>
      <c r="I2417" s="901" t="str">
        <f>GLOBAL_DER_FEV_2023!I2417</f>
        <v/>
      </c>
      <c r="J2417" s="902">
        <f>GLOBAL_DER_FEV_2023!J2417</f>
        <v>0</v>
      </c>
      <c r="K2417" s="958" t="s">
        <v>507</v>
      </c>
      <c r="L2417" s="959"/>
      <c r="M2417" s="1157">
        <f t="shared" si="240"/>
        <v>0</v>
      </c>
      <c r="N2417" s="1176">
        <f t="shared" si="241"/>
        <v>0</v>
      </c>
      <c r="O2417" s="905"/>
      <c r="P2417" s="58" t="str">
        <f>IF(N2413&gt;0,"xx",IF(N2413&gt;0,"xy",""))</f>
        <v/>
      </c>
      <c r="Q2417" s="317" t="str">
        <f t="shared" si="242"/>
        <v/>
      </c>
      <c r="R2417" s="317" t="str">
        <f t="shared" ref="R2417:R2480" si="243">IF(P2417="X","x",IF(P2417="y","x",IF(P2417="xx","x",IF(N2417&gt;0,"x",""))))</f>
        <v/>
      </c>
      <c r="S2417" s="317" t="str">
        <f t="shared" ref="S2417:S2480" si="244">IF(P2417="X","x",IF(N2417&gt;0,"x",""))</f>
        <v/>
      </c>
      <c r="T2417" s="317" t="str">
        <f>GLOBAL_DER_FEV_2023!S2417</f>
        <v/>
      </c>
      <c r="W2417" s="582">
        <v>0</v>
      </c>
      <c r="X2417" s="580"/>
      <c r="Y2417" s="583">
        <f>IF(GLOBAL_DER_FEV_2023!W2417=0,0,IF(GLOBAL_DER_FEV_2023!W2417&gt;0,"c","b"))</f>
        <v>0</v>
      </c>
    </row>
    <row r="2418" spans="1:25" ht="15" customHeight="1" x14ac:dyDescent="0.2">
      <c r="A2418" s="317" t="s">
        <v>147</v>
      </c>
      <c r="B2418" s="895" t="s">
        <v>147</v>
      </c>
      <c r="C2418" s="896"/>
      <c r="D2418" s="957" t="s">
        <v>366</v>
      </c>
      <c r="E2418" s="907">
        <f>GLOBAL_DER_FEV_2023!E2418</f>
        <v>353</v>
      </c>
      <c r="F2418" s="908">
        <f>GLOBAL_DER_FEV_2023!F2418</f>
        <v>0</v>
      </c>
      <c r="G2418" s="909">
        <f>GLOBAL_DER_FEV_2023!G2418</f>
        <v>0</v>
      </c>
      <c r="H2418" s="901">
        <f>GLOBAL_DER_FEV_2023!H2418</f>
        <v>0</v>
      </c>
      <c r="I2418" s="901" t="str">
        <f>GLOBAL_DER_FEV_2023!I2418</f>
        <v/>
      </c>
      <c r="J2418" s="902">
        <f>GLOBAL_DER_FEV_2023!J2418</f>
        <v>0</v>
      </c>
      <c r="K2418" s="958" t="s">
        <v>507</v>
      </c>
      <c r="L2418" s="959"/>
      <c r="M2418" s="1157">
        <f t="shared" si="240"/>
        <v>0</v>
      </c>
      <c r="N2418" s="1176">
        <f t="shared" si="241"/>
        <v>0</v>
      </c>
      <c r="O2418" s="905"/>
      <c r="P2418" s="58" t="str">
        <f>IF(N2413&gt;0,"xx",IF(N2413&gt;0,"xy",""))</f>
        <v/>
      </c>
      <c r="Q2418" s="317" t="str">
        <f t="shared" si="242"/>
        <v/>
      </c>
      <c r="R2418" s="317" t="str">
        <f t="shared" si="243"/>
        <v/>
      </c>
      <c r="S2418" s="317" t="str">
        <f t="shared" si="244"/>
        <v/>
      </c>
      <c r="T2418" s="317" t="str">
        <f>GLOBAL_DER_FEV_2023!S2418</f>
        <v/>
      </c>
      <c r="W2418" s="582">
        <v>0</v>
      </c>
      <c r="X2418" s="580"/>
      <c r="Y2418" s="583">
        <f>IF(GLOBAL_DER_FEV_2023!W2418=0,0,IF(GLOBAL_DER_FEV_2023!W2418&gt;0,"c","b"))</f>
        <v>0</v>
      </c>
    </row>
    <row r="2419" spans="1:25" ht="15" customHeight="1" x14ac:dyDescent="0.2">
      <c r="A2419" s="317" t="s">
        <v>395</v>
      </c>
      <c r="B2419" s="895" t="s">
        <v>395</v>
      </c>
      <c r="C2419" s="896" t="s">
        <v>184</v>
      </c>
      <c r="D2419" s="906" t="str">
        <f>'ENSAIOS DE ORÇAMENTO'!C74</f>
        <v>ENSAIO DE ORÇAMENTO 3</v>
      </c>
      <c r="E2419" s="907">
        <f>GLOBAL_DER_FEV_2023!E2419</f>
        <v>0</v>
      </c>
      <c r="F2419" s="908">
        <f>GLOBAL_DER_FEV_2023!F2419</f>
        <v>0</v>
      </c>
      <c r="G2419" s="912">
        <f>GLOBAL_DER_FEV_2023!G2419</f>
        <v>0</v>
      </c>
      <c r="H2419" s="901">
        <f>GLOBAL_DER_FEV_2023!H2419</f>
        <v>0</v>
      </c>
      <c r="I2419" s="901">
        <f>GLOBAL_DER_FEV_2023!I2419</f>
        <v>0</v>
      </c>
      <c r="J2419" s="902">
        <f>GLOBAL_DER_FEV_2023!J2419</f>
        <v>0</v>
      </c>
      <c r="K2419" s="903" t="s">
        <v>15</v>
      </c>
      <c r="L2419" s="1137"/>
      <c r="M2419" s="1138">
        <f t="shared" si="240"/>
        <v>0</v>
      </c>
      <c r="N2419" s="1176">
        <f t="shared" si="241"/>
        <v>0</v>
      </c>
      <c r="O2419" s="905"/>
      <c r="Q2419" s="317" t="str">
        <f t="shared" si="242"/>
        <v/>
      </c>
      <c r="R2419" s="317" t="str">
        <f t="shared" si="243"/>
        <v/>
      </c>
      <c r="S2419" s="317" t="str">
        <f t="shared" si="244"/>
        <v/>
      </c>
      <c r="T2419" s="317" t="str">
        <f>GLOBAL_DER_FEV_2023!S2419</f>
        <v/>
      </c>
      <c r="W2419" s="582">
        <v>0</v>
      </c>
      <c r="X2419" s="580"/>
      <c r="Y2419" s="583">
        <f>IF(GLOBAL_DER_FEV_2023!W2419=0,0,IF(GLOBAL_DER_FEV_2023!W2419&gt;0,"c","b"))</f>
        <v>0</v>
      </c>
    </row>
    <row r="2420" spans="1:25" ht="15" customHeight="1" x14ac:dyDescent="0.2">
      <c r="A2420" s="317" t="s">
        <v>147</v>
      </c>
      <c r="B2420" s="895" t="s">
        <v>147</v>
      </c>
      <c r="C2420" s="896"/>
      <c r="D2420" s="957" t="s">
        <v>190</v>
      </c>
      <c r="E2420" s="907">
        <f>GLOBAL_DER_FEV_2023!E2420</f>
        <v>308</v>
      </c>
      <c r="F2420" s="908">
        <f>GLOBAL_DER_FEV_2023!F2420</f>
        <v>0</v>
      </c>
      <c r="G2420" s="909">
        <f>GLOBAL_DER_FEV_2023!G2420</f>
        <v>0</v>
      </c>
      <c r="H2420" s="901">
        <f>GLOBAL_DER_FEV_2023!H2420</f>
        <v>0</v>
      </c>
      <c r="I2420" s="901" t="str">
        <f>GLOBAL_DER_FEV_2023!I2420</f>
        <v/>
      </c>
      <c r="J2420" s="902">
        <f>GLOBAL_DER_FEV_2023!J2420</f>
        <v>0</v>
      </c>
      <c r="K2420" s="958" t="s">
        <v>507</v>
      </c>
      <c r="L2420" s="959"/>
      <c r="M2420" s="1157">
        <f t="shared" si="240"/>
        <v>0</v>
      </c>
      <c r="N2420" s="1176">
        <f t="shared" si="241"/>
        <v>0</v>
      </c>
      <c r="O2420" s="905"/>
      <c r="P2420" s="58" t="str">
        <f>IF(N2419&gt;0,"xx",IF(N2419&gt;0,"xy",""))</f>
        <v/>
      </c>
      <c r="Q2420" s="317" t="str">
        <f t="shared" si="242"/>
        <v/>
      </c>
      <c r="R2420" s="317" t="str">
        <f t="shared" si="243"/>
        <v/>
      </c>
      <c r="S2420" s="317" t="str">
        <f t="shared" si="244"/>
        <v/>
      </c>
      <c r="T2420" s="317" t="str">
        <f>GLOBAL_DER_FEV_2023!S2420</f>
        <v/>
      </c>
      <c r="W2420" s="582">
        <v>0</v>
      </c>
      <c r="X2420" s="580"/>
      <c r="Y2420" s="583">
        <f>IF(GLOBAL_DER_FEV_2023!W2420=0,0,IF(GLOBAL_DER_FEV_2023!W2420&gt;0,"c","b"))</f>
        <v>0</v>
      </c>
    </row>
    <row r="2421" spans="1:25" ht="15" customHeight="1" x14ac:dyDescent="0.2">
      <c r="A2421" s="317" t="s">
        <v>147</v>
      </c>
      <c r="B2421" s="895" t="s">
        <v>147</v>
      </c>
      <c r="C2421" s="896"/>
      <c r="D2421" s="957" t="s">
        <v>229</v>
      </c>
      <c r="E2421" s="907">
        <f>GLOBAL_DER_FEV_2023!E2421</f>
        <v>150</v>
      </c>
      <c r="F2421" s="908">
        <f>GLOBAL_DER_FEV_2023!F2421</f>
        <v>0</v>
      </c>
      <c r="G2421" s="949">
        <f>GLOBAL_DER_FEV_2023!G2421</f>
        <v>0</v>
      </c>
      <c r="H2421" s="901">
        <f>GLOBAL_DER_FEV_2023!H2421</f>
        <v>0</v>
      </c>
      <c r="I2421" s="901" t="str">
        <f>GLOBAL_DER_FEV_2023!I2421</f>
        <v/>
      </c>
      <c r="J2421" s="902">
        <f>GLOBAL_DER_FEV_2023!J2421</f>
        <v>0</v>
      </c>
      <c r="K2421" s="958" t="s">
        <v>507</v>
      </c>
      <c r="L2421" s="959"/>
      <c r="M2421" s="1157">
        <f t="shared" si="240"/>
        <v>0</v>
      </c>
      <c r="N2421" s="1176">
        <f t="shared" si="241"/>
        <v>0</v>
      </c>
      <c r="O2421" s="905"/>
      <c r="P2421" s="58" t="str">
        <f>IF(N2419&gt;0,"xx",IF(N2419&gt;0,"xy",""))</f>
        <v/>
      </c>
      <c r="Q2421" s="317" t="str">
        <f t="shared" si="242"/>
        <v/>
      </c>
      <c r="R2421" s="317" t="str">
        <f t="shared" si="243"/>
        <v/>
      </c>
      <c r="S2421" s="317" t="str">
        <f t="shared" si="244"/>
        <v/>
      </c>
      <c r="T2421" s="317" t="str">
        <f>GLOBAL_DER_FEV_2023!S2421</f>
        <v/>
      </c>
      <c r="W2421" s="582">
        <v>0</v>
      </c>
      <c r="X2421" s="580"/>
      <c r="Y2421" s="583">
        <f>IF(GLOBAL_DER_FEV_2023!W2421=0,0,IF(GLOBAL_DER_FEV_2023!W2421&gt;0,"c","b"))</f>
        <v>0</v>
      </c>
    </row>
    <row r="2422" spans="1:25" ht="15" customHeight="1" x14ac:dyDescent="0.2">
      <c r="A2422" s="317" t="s">
        <v>147</v>
      </c>
      <c r="B2422" s="895" t="s">
        <v>147</v>
      </c>
      <c r="C2422" s="896"/>
      <c r="D2422" s="957" t="s">
        <v>233</v>
      </c>
      <c r="E2422" s="907">
        <f>GLOBAL_DER_FEV_2023!E2422</f>
        <v>0.2</v>
      </c>
      <c r="F2422" s="908">
        <f>GLOBAL_DER_FEV_2023!F2422</f>
        <v>0</v>
      </c>
      <c r="G2422" s="949">
        <f>GLOBAL_DER_FEV_2023!G2422</f>
        <v>0</v>
      </c>
      <c r="H2422" s="901">
        <f>GLOBAL_DER_FEV_2023!H2422</f>
        <v>0</v>
      </c>
      <c r="I2422" s="901" t="str">
        <f>GLOBAL_DER_FEV_2023!I2422</f>
        <v/>
      </c>
      <c r="J2422" s="902">
        <f>GLOBAL_DER_FEV_2023!J2422</f>
        <v>0</v>
      </c>
      <c r="K2422" s="958" t="s">
        <v>507</v>
      </c>
      <c r="L2422" s="959"/>
      <c r="M2422" s="1157">
        <f t="shared" si="240"/>
        <v>0</v>
      </c>
      <c r="N2422" s="1176">
        <f t="shared" si="241"/>
        <v>0</v>
      </c>
      <c r="O2422" s="905"/>
      <c r="P2422" s="58" t="str">
        <f>IF(N2419&gt;0,"xx",IF(N2419&gt;0,"xy",""))</f>
        <v/>
      </c>
      <c r="Q2422" s="317" t="str">
        <f t="shared" si="242"/>
        <v/>
      </c>
      <c r="R2422" s="317" t="str">
        <f t="shared" si="243"/>
        <v/>
      </c>
      <c r="S2422" s="317" t="str">
        <f t="shared" si="244"/>
        <v/>
      </c>
      <c r="T2422" s="317" t="str">
        <f>GLOBAL_DER_FEV_2023!S2422</f>
        <v/>
      </c>
      <c r="W2422" s="582">
        <v>0</v>
      </c>
      <c r="X2422" s="580"/>
      <c r="Y2422" s="583">
        <f>IF(GLOBAL_DER_FEV_2023!W2422=0,0,IF(GLOBAL_DER_FEV_2023!W2422&gt;0,"c","b"))</f>
        <v>0</v>
      </c>
    </row>
    <row r="2423" spans="1:25" ht="15" customHeight="1" x14ac:dyDescent="0.2">
      <c r="A2423" s="317" t="s">
        <v>147</v>
      </c>
      <c r="B2423" s="895" t="s">
        <v>147</v>
      </c>
      <c r="C2423" s="896"/>
      <c r="D2423" s="957" t="s">
        <v>365</v>
      </c>
      <c r="E2423" s="907">
        <f>GLOBAL_DER_FEV_2023!E2423</f>
        <v>10</v>
      </c>
      <c r="F2423" s="908">
        <f>GLOBAL_DER_FEV_2023!F2423</f>
        <v>0</v>
      </c>
      <c r="G2423" s="949">
        <f>GLOBAL_DER_FEV_2023!G2423</f>
        <v>0</v>
      </c>
      <c r="H2423" s="901">
        <f>GLOBAL_DER_FEV_2023!H2423</f>
        <v>0</v>
      </c>
      <c r="I2423" s="901" t="str">
        <f>GLOBAL_DER_FEV_2023!I2423</f>
        <v/>
      </c>
      <c r="J2423" s="902">
        <f>GLOBAL_DER_FEV_2023!J2423</f>
        <v>0</v>
      </c>
      <c r="K2423" s="958" t="s">
        <v>507</v>
      </c>
      <c r="L2423" s="959"/>
      <c r="M2423" s="1157">
        <f t="shared" si="240"/>
        <v>0</v>
      </c>
      <c r="N2423" s="1176">
        <f t="shared" si="241"/>
        <v>0</v>
      </c>
      <c r="O2423" s="905"/>
      <c r="P2423" s="58" t="str">
        <f>IF(N2419&gt;0,"xx",IF(N2419&gt;0,"xy",""))</f>
        <v/>
      </c>
      <c r="Q2423" s="317" t="str">
        <f t="shared" si="242"/>
        <v/>
      </c>
      <c r="R2423" s="317" t="str">
        <f t="shared" si="243"/>
        <v/>
      </c>
      <c r="S2423" s="317" t="str">
        <f t="shared" si="244"/>
        <v/>
      </c>
      <c r="T2423" s="317" t="str">
        <f>GLOBAL_DER_FEV_2023!S2423</f>
        <v/>
      </c>
      <c r="W2423" s="582">
        <v>0</v>
      </c>
      <c r="X2423" s="580"/>
      <c r="Y2423" s="583">
        <f>IF(GLOBAL_DER_FEV_2023!W2423=0,0,IF(GLOBAL_DER_FEV_2023!W2423&gt;0,"c","b"))</f>
        <v>0</v>
      </c>
    </row>
    <row r="2424" spans="1:25" ht="15" customHeight="1" x14ac:dyDescent="0.2">
      <c r="A2424" s="317" t="s">
        <v>147</v>
      </c>
      <c r="B2424" s="895" t="s">
        <v>147</v>
      </c>
      <c r="C2424" s="896"/>
      <c r="D2424" s="957" t="s">
        <v>366</v>
      </c>
      <c r="E2424" s="907">
        <f>GLOBAL_DER_FEV_2023!E2424</f>
        <v>353</v>
      </c>
      <c r="F2424" s="908">
        <f>GLOBAL_DER_FEV_2023!F2424</f>
        <v>0</v>
      </c>
      <c r="G2424" s="909">
        <f>GLOBAL_DER_FEV_2023!G2424</f>
        <v>0</v>
      </c>
      <c r="H2424" s="901">
        <f>GLOBAL_DER_FEV_2023!H2424</f>
        <v>0</v>
      </c>
      <c r="I2424" s="901" t="str">
        <f>GLOBAL_DER_FEV_2023!I2424</f>
        <v/>
      </c>
      <c r="J2424" s="902">
        <f>GLOBAL_DER_FEV_2023!J2424</f>
        <v>0</v>
      </c>
      <c r="K2424" s="958" t="s">
        <v>507</v>
      </c>
      <c r="L2424" s="959"/>
      <c r="M2424" s="1157">
        <f t="shared" si="240"/>
        <v>0</v>
      </c>
      <c r="N2424" s="1176">
        <f t="shared" si="241"/>
        <v>0</v>
      </c>
      <c r="O2424" s="905"/>
      <c r="P2424" s="58" t="str">
        <f>IF(N2419&gt;0,"xx",IF(N2419&gt;0,"xy",""))</f>
        <v/>
      </c>
      <c r="Q2424" s="317" t="str">
        <f t="shared" si="242"/>
        <v/>
      </c>
      <c r="R2424" s="317" t="str">
        <f t="shared" si="243"/>
        <v/>
      </c>
      <c r="S2424" s="317" t="str">
        <f t="shared" si="244"/>
        <v/>
      </c>
      <c r="T2424" s="317" t="str">
        <f>GLOBAL_DER_FEV_2023!S2424</f>
        <v/>
      </c>
      <c r="W2424" s="582">
        <v>0</v>
      </c>
      <c r="X2424" s="580"/>
      <c r="Y2424" s="583">
        <f>IF(GLOBAL_DER_FEV_2023!W2424=0,0,IF(GLOBAL_DER_FEV_2023!W2424&gt;0,"c","b"))</f>
        <v>0</v>
      </c>
    </row>
    <row r="2425" spans="1:25" ht="15" customHeight="1" x14ac:dyDescent="0.2">
      <c r="A2425" s="317" t="s">
        <v>396</v>
      </c>
      <c r="B2425" s="895" t="s">
        <v>396</v>
      </c>
      <c r="C2425" s="896" t="s">
        <v>184</v>
      </c>
      <c r="D2425" s="906" t="str">
        <f>'ENSAIOS DE ORÇAMENTO'!C75</f>
        <v>ENSAIO DE ORÇAMENTO 4</v>
      </c>
      <c r="E2425" s="907">
        <f>GLOBAL_DER_FEV_2023!E2425</f>
        <v>0</v>
      </c>
      <c r="F2425" s="908">
        <f>GLOBAL_DER_FEV_2023!F2425</f>
        <v>0</v>
      </c>
      <c r="G2425" s="912">
        <f>GLOBAL_DER_FEV_2023!G2425</f>
        <v>0</v>
      </c>
      <c r="H2425" s="901">
        <f>GLOBAL_DER_FEV_2023!H2425</f>
        <v>0</v>
      </c>
      <c r="I2425" s="901">
        <f>GLOBAL_DER_FEV_2023!I2425</f>
        <v>0</v>
      </c>
      <c r="J2425" s="902">
        <f>GLOBAL_DER_FEV_2023!J2425</f>
        <v>0</v>
      </c>
      <c r="K2425" s="903" t="s">
        <v>15</v>
      </c>
      <c r="L2425" s="1137"/>
      <c r="M2425" s="1138">
        <f t="shared" si="240"/>
        <v>0</v>
      </c>
      <c r="N2425" s="1176">
        <f t="shared" si="241"/>
        <v>0</v>
      </c>
      <c r="O2425" s="905"/>
      <c r="Q2425" s="317" t="str">
        <f t="shared" si="242"/>
        <v/>
      </c>
      <c r="R2425" s="317" t="str">
        <f t="shared" si="243"/>
        <v/>
      </c>
      <c r="S2425" s="317" t="str">
        <f t="shared" si="244"/>
        <v/>
      </c>
      <c r="T2425" s="317" t="str">
        <f>GLOBAL_DER_FEV_2023!S2425</f>
        <v/>
      </c>
      <c r="W2425" s="582">
        <v>0</v>
      </c>
      <c r="X2425" s="580"/>
      <c r="Y2425" s="583">
        <f>IF(GLOBAL_DER_FEV_2023!W2425=0,0,IF(GLOBAL_DER_FEV_2023!W2425&gt;0,"c","b"))</f>
        <v>0</v>
      </c>
    </row>
    <row r="2426" spans="1:25" ht="15" customHeight="1" x14ac:dyDescent="0.2">
      <c r="A2426" s="317" t="s">
        <v>147</v>
      </c>
      <c r="B2426" s="895" t="s">
        <v>147</v>
      </c>
      <c r="C2426" s="896"/>
      <c r="D2426" s="957" t="s">
        <v>190</v>
      </c>
      <c r="E2426" s="907">
        <f>GLOBAL_DER_FEV_2023!E2426</f>
        <v>308</v>
      </c>
      <c r="F2426" s="908">
        <f>GLOBAL_DER_FEV_2023!F2426</f>
        <v>0</v>
      </c>
      <c r="G2426" s="909">
        <f>GLOBAL_DER_FEV_2023!G2426</f>
        <v>0</v>
      </c>
      <c r="H2426" s="901">
        <f>GLOBAL_DER_FEV_2023!H2426</f>
        <v>0</v>
      </c>
      <c r="I2426" s="901" t="str">
        <f>GLOBAL_DER_FEV_2023!I2426</f>
        <v/>
      </c>
      <c r="J2426" s="902">
        <f>GLOBAL_DER_FEV_2023!J2426</f>
        <v>0</v>
      </c>
      <c r="K2426" s="958" t="s">
        <v>507</v>
      </c>
      <c r="L2426" s="959"/>
      <c r="M2426" s="1157">
        <f t="shared" si="240"/>
        <v>0</v>
      </c>
      <c r="N2426" s="1176">
        <f t="shared" si="241"/>
        <v>0</v>
      </c>
      <c r="O2426" s="905"/>
      <c r="P2426" s="58" t="str">
        <f>IF(N2425&gt;0,"xx",IF(N2425&gt;0,"xy",""))</f>
        <v/>
      </c>
      <c r="Q2426" s="317" t="str">
        <f t="shared" si="242"/>
        <v/>
      </c>
      <c r="R2426" s="317" t="str">
        <f t="shared" si="243"/>
        <v/>
      </c>
      <c r="S2426" s="317" t="str">
        <f t="shared" si="244"/>
        <v/>
      </c>
      <c r="T2426" s="317" t="str">
        <f>GLOBAL_DER_FEV_2023!S2426</f>
        <v/>
      </c>
      <c r="W2426" s="582">
        <v>0</v>
      </c>
      <c r="X2426" s="580"/>
      <c r="Y2426" s="583">
        <f>IF(GLOBAL_DER_FEV_2023!W2426=0,0,IF(GLOBAL_DER_FEV_2023!W2426&gt;0,"c","b"))</f>
        <v>0</v>
      </c>
    </row>
    <row r="2427" spans="1:25" ht="15" customHeight="1" x14ac:dyDescent="0.2">
      <c r="A2427" s="317" t="s">
        <v>147</v>
      </c>
      <c r="B2427" s="895" t="s">
        <v>147</v>
      </c>
      <c r="C2427" s="896"/>
      <c r="D2427" s="957" t="s">
        <v>229</v>
      </c>
      <c r="E2427" s="907">
        <f>GLOBAL_DER_FEV_2023!E2427</f>
        <v>150</v>
      </c>
      <c r="F2427" s="908">
        <f>GLOBAL_DER_FEV_2023!F2427</f>
        <v>0</v>
      </c>
      <c r="G2427" s="949">
        <f>GLOBAL_DER_FEV_2023!G2427</f>
        <v>0</v>
      </c>
      <c r="H2427" s="901">
        <f>GLOBAL_DER_FEV_2023!H2427</f>
        <v>0</v>
      </c>
      <c r="I2427" s="901" t="str">
        <f>GLOBAL_DER_FEV_2023!I2427</f>
        <v/>
      </c>
      <c r="J2427" s="902">
        <f>GLOBAL_DER_FEV_2023!J2427</f>
        <v>0</v>
      </c>
      <c r="K2427" s="958" t="s">
        <v>507</v>
      </c>
      <c r="L2427" s="959"/>
      <c r="M2427" s="1157">
        <f t="shared" si="240"/>
        <v>0</v>
      </c>
      <c r="N2427" s="1176">
        <f t="shared" si="241"/>
        <v>0</v>
      </c>
      <c r="O2427" s="905"/>
      <c r="P2427" s="58" t="str">
        <f>IF(N2425&gt;0,"xx",IF(N2425&gt;0,"xy",""))</f>
        <v/>
      </c>
      <c r="Q2427" s="317" t="str">
        <f t="shared" si="242"/>
        <v/>
      </c>
      <c r="R2427" s="317" t="str">
        <f t="shared" si="243"/>
        <v/>
      </c>
      <c r="S2427" s="317" t="str">
        <f t="shared" si="244"/>
        <v/>
      </c>
      <c r="T2427" s="317" t="str">
        <f>GLOBAL_DER_FEV_2023!S2427</f>
        <v/>
      </c>
      <c r="W2427" s="582">
        <v>0</v>
      </c>
      <c r="X2427" s="580"/>
      <c r="Y2427" s="583">
        <f>IF(GLOBAL_DER_FEV_2023!W2427=0,0,IF(GLOBAL_DER_FEV_2023!W2427&gt;0,"c","b"))</f>
        <v>0</v>
      </c>
    </row>
    <row r="2428" spans="1:25" ht="15" customHeight="1" x14ac:dyDescent="0.2">
      <c r="A2428" s="317" t="s">
        <v>147</v>
      </c>
      <c r="B2428" s="895" t="s">
        <v>147</v>
      </c>
      <c r="C2428" s="896"/>
      <c r="D2428" s="957" t="s">
        <v>233</v>
      </c>
      <c r="E2428" s="907">
        <f>GLOBAL_DER_FEV_2023!E2428</f>
        <v>0.2</v>
      </c>
      <c r="F2428" s="908">
        <f>GLOBAL_DER_FEV_2023!F2428</f>
        <v>0</v>
      </c>
      <c r="G2428" s="949">
        <f>GLOBAL_DER_FEV_2023!G2428</f>
        <v>0</v>
      </c>
      <c r="H2428" s="901">
        <f>GLOBAL_DER_FEV_2023!H2428</f>
        <v>0</v>
      </c>
      <c r="I2428" s="901" t="str">
        <f>GLOBAL_DER_FEV_2023!I2428</f>
        <v/>
      </c>
      <c r="J2428" s="902">
        <f>GLOBAL_DER_FEV_2023!J2428</f>
        <v>0</v>
      </c>
      <c r="K2428" s="958" t="s">
        <v>507</v>
      </c>
      <c r="L2428" s="959"/>
      <c r="M2428" s="1157">
        <f t="shared" si="240"/>
        <v>0</v>
      </c>
      <c r="N2428" s="1176">
        <f t="shared" si="241"/>
        <v>0</v>
      </c>
      <c r="O2428" s="905"/>
      <c r="P2428" s="58" t="str">
        <f>IF(N2425&gt;0,"xx",IF(N2425&gt;0,"xy",""))</f>
        <v/>
      </c>
      <c r="Q2428" s="317" t="str">
        <f t="shared" si="242"/>
        <v/>
      </c>
      <c r="R2428" s="317" t="str">
        <f t="shared" si="243"/>
        <v/>
      </c>
      <c r="S2428" s="317" t="str">
        <f t="shared" si="244"/>
        <v/>
      </c>
      <c r="T2428" s="317" t="str">
        <f>GLOBAL_DER_FEV_2023!S2428</f>
        <v/>
      </c>
      <c r="W2428" s="582">
        <v>0</v>
      </c>
      <c r="X2428" s="580"/>
      <c r="Y2428" s="583">
        <f>IF(GLOBAL_DER_FEV_2023!W2428=0,0,IF(GLOBAL_DER_FEV_2023!W2428&gt;0,"c","b"))</f>
        <v>0</v>
      </c>
    </row>
    <row r="2429" spans="1:25" ht="15" customHeight="1" x14ac:dyDescent="0.2">
      <c r="A2429" s="317" t="s">
        <v>147</v>
      </c>
      <c r="B2429" s="895" t="s">
        <v>147</v>
      </c>
      <c r="C2429" s="896"/>
      <c r="D2429" s="957" t="s">
        <v>365</v>
      </c>
      <c r="E2429" s="907">
        <f>GLOBAL_DER_FEV_2023!E2429</f>
        <v>10</v>
      </c>
      <c r="F2429" s="908">
        <f>GLOBAL_DER_FEV_2023!F2429</f>
        <v>0</v>
      </c>
      <c r="G2429" s="949">
        <f>GLOBAL_DER_FEV_2023!G2429</f>
        <v>0</v>
      </c>
      <c r="H2429" s="901">
        <f>GLOBAL_DER_FEV_2023!H2429</f>
        <v>0</v>
      </c>
      <c r="I2429" s="901" t="str">
        <f>GLOBAL_DER_FEV_2023!I2429</f>
        <v/>
      </c>
      <c r="J2429" s="902">
        <f>GLOBAL_DER_FEV_2023!J2429</f>
        <v>0</v>
      </c>
      <c r="K2429" s="958" t="s">
        <v>507</v>
      </c>
      <c r="L2429" s="959"/>
      <c r="M2429" s="1157">
        <f t="shared" si="240"/>
        <v>0</v>
      </c>
      <c r="N2429" s="1176">
        <f t="shared" si="241"/>
        <v>0</v>
      </c>
      <c r="O2429" s="905"/>
      <c r="P2429" s="58" t="str">
        <f>IF(N2425&gt;0,"xx",IF(N2425&gt;0,"xy",""))</f>
        <v/>
      </c>
      <c r="Q2429" s="317" t="str">
        <f t="shared" si="242"/>
        <v/>
      </c>
      <c r="R2429" s="317" t="str">
        <f t="shared" si="243"/>
        <v/>
      </c>
      <c r="S2429" s="317" t="str">
        <f t="shared" si="244"/>
        <v/>
      </c>
      <c r="T2429" s="317" t="str">
        <f>GLOBAL_DER_FEV_2023!S2429</f>
        <v/>
      </c>
      <c r="W2429" s="582">
        <v>0</v>
      </c>
      <c r="X2429" s="580"/>
      <c r="Y2429" s="583">
        <f>IF(GLOBAL_DER_FEV_2023!W2429=0,0,IF(GLOBAL_DER_FEV_2023!W2429&gt;0,"c","b"))</f>
        <v>0</v>
      </c>
    </row>
    <row r="2430" spans="1:25" ht="15" customHeight="1" x14ac:dyDescent="0.2">
      <c r="A2430" s="317" t="s">
        <v>147</v>
      </c>
      <c r="B2430" s="895" t="s">
        <v>147</v>
      </c>
      <c r="C2430" s="896"/>
      <c r="D2430" s="957" t="s">
        <v>366</v>
      </c>
      <c r="E2430" s="907">
        <f>GLOBAL_DER_FEV_2023!E2430</f>
        <v>353</v>
      </c>
      <c r="F2430" s="908">
        <f>GLOBAL_DER_FEV_2023!F2430</f>
        <v>0</v>
      </c>
      <c r="G2430" s="909">
        <f>GLOBAL_DER_FEV_2023!G2430</f>
        <v>0</v>
      </c>
      <c r="H2430" s="901">
        <f>GLOBAL_DER_FEV_2023!H2430</f>
        <v>0</v>
      </c>
      <c r="I2430" s="901" t="str">
        <f>GLOBAL_DER_FEV_2023!I2430</f>
        <v/>
      </c>
      <c r="J2430" s="902">
        <f>GLOBAL_DER_FEV_2023!J2430</f>
        <v>0</v>
      </c>
      <c r="K2430" s="958" t="s">
        <v>507</v>
      </c>
      <c r="L2430" s="959"/>
      <c r="M2430" s="1157">
        <f t="shared" si="240"/>
        <v>0</v>
      </c>
      <c r="N2430" s="1176">
        <f t="shared" si="241"/>
        <v>0</v>
      </c>
      <c r="O2430" s="905"/>
      <c r="P2430" s="58" t="str">
        <f>IF(N2425&gt;0,"xx",IF(N2425&gt;0,"xy",""))</f>
        <v/>
      </c>
      <c r="Q2430" s="317" t="str">
        <f t="shared" si="242"/>
        <v/>
      </c>
      <c r="R2430" s="317" t="str">
        <f t="shared" si="243"/>
        <v/>
      </c>
      <c r="S2430" s="317" t="str">
        <f t="shared" si="244"/>
        <v/>
      </c>
      <c r="T2430" s="317" t="str">
        <f>GLOBAL_DER_FEV_2023!S2430</f>
        <v/>
      </c>
      <c r="W2430" s="582">
        <v>0</v>
      </c>
      <c r="X2430" s="580"/>
      <c r="Y2430" s="583">
        <f>IF(GLOBAL_DER_FEV_2023!W2430=0,0,IF(GLOBAL_DER_FEV_2023!W2430&gt;0,"c","b"))</f>
        <v>0</v>
      </c>
    </row>
    <row r="2431" spans="1:25" ht="15" customHeight="1" x14ac:dyDescent="0.2">
      <c r="A2431" s="317" t="s">
        <v>397</v>
      </c>
      <c r="B2431" s="895" t="s">
        <v>397</v>
      </c>
      <c r="C2431" s="896" t="s">
        <v>184</v>
      </c>
      <c r="D2431" s="906" t="str">
        <f>'ENSAIOS DE ORÇAMENTO'!C76</f>
        <v>ENSAIO DE ORÇAMENTO 5</v>
      </c>
      <c r="E2431" s="907">
        <f>GLOBAL_DER_FEV_2023!E2431</f>
        <v>0</v>
      </c>
      <c r="F2431" s="908">
        <f>GLOBAL_DER_FEV_2023!F2431</f>
        <v>0</v>
      </c>
      <c r="G2431" s="912">
        <f>GLOBAL_DER_FEV_2023!G2431</f>
        <v>0</v>
      </c>
      <c r="H2431" s="901">
        <f>GLOBAL_DER_FEV_2023!H2431</f>
        <v>0</v>
      </c>
      <c r="I2431" s="901">
        <f>GLOBAL_DER_FEV_2023!I2431</f>
        <v>0</v>
      </c>
      <c r="J2431" s="902">
        <f>GLOBAL_DER_FEV_2023!J2431</f>
        <v>0</v>
      </c>
      <c r="K2431" s="903" t="s">
        <v>15</v>
      </c>
      <c r="L2431" s="1137"/>
      <c r="M2431" s="1138">
        <f t="shared" si="240"/>
        <v>0</v>
      </c>
      <c r="N2431" s="1176">
        <f t="shared" si="241"/>
        <v>0</v>
      </c>
      <c r="O2431" s="905"/>
      <c r="Q2431" s="317" t="str">
        <f t="shared" si="242"/>
        <v/>
      </c>
      <c r="R2431" s="317" t="str">
        <f t="shared" si="243"/>
        <v/>
      </c>
      <c r="S2431" s="317" t="str">
        <f t="shared" si="244"/>
        <v/>
      </c>
      <c r="T2431" s="317" t="str">
        <f>GLOBAL_DER_FEV_2023!S2431</f>
        <v/>
      </c>
      <c r="W2431" s="582">
        <v>0</v>
      </c>
      <c r="X2431" s="580"/>
      <c r="Y2431" s="583">
        <f>IF(GLOBAL_DER_FEV_2023!W2431=0,0,IF(GLOBAL_DER_FEV_2023!W2431&gt;0,"c","b"))</f>
        <v>0</v>
      </c>
    </row>
    <row r="2432" spans="1:25" ht="15" customHeight="1" x14ac:dyDescent="0.2">
      <c r="A2432" s="317" t="s">
        <v>147</v>
      </c>
      <c r="B2432" s="895" t="s">
        <v>147</v>
      </c>
      <c r="C2432" s="896"/>
      <c r="D2432" s="957" t="s">
        <v>190</v>
      </c>
      <c r="E2432" s="907">
        <f>GLOBAL_DER_FEV_2023!E2432</f>
        <v>308</v>
      </c>
      <c r="F2432" s="908">
        <f>GLOBAL_DER_FEV_2023!F2432</f>
        <v>0</v>
      </c>
      <c r="G2432" s="909">
        <f>GLOBAL_DER_FEV_2023!G2432</f>
        <v>0</v>
      </c>
      <c r="H2432" s="901">
        <f>GLOBAL_DER_FEV_2023!H2432</f>
        <v>0</v>
      </c>
      <c r="I2432" s="901" t="str">
        <f>GLOBAL_DER_FEV_2023!I2432</f>
        <v/>
      </c>
      <c r="J2432" s="902">
        <f>GLOBAL_DER_FEV_2023!J2432</f>
        <v>0</v>
      </c>
      <c r="K2432" s="958" t="s">
        <v>507</v>
      </c>
      <c r="L2432" s="959"/>
      <c r="M2432" s="1157">
        <f t="shared" si="240"/>
        <v>0</v>
      </c>
      <c r="N2432" s="1176">
        <f t="shared" si="241"/>
        <v>0</v>
      </c>
      <c r="O2432" s="905"/>
      <c r="P2432" s="58" t="str">
        <f>IF(N2431&gt;0,"xx",IF(N2431&gt;0,"xy",""))</f>
        <v/>
      </c>
      <c r="Q2432" s="317" t="str">
        <f t="shared" si="242"/>
        <v/>
      </c>
      <c r="R2432" s="317" t="str">
        <f t="shared" si="243"/>
        <v/>
      </c>
      <c r="S2432" s="317" t="str">
        <f t="shared" si="244"/>
        <v/>
      </c>
      <c r="T2432" s="317" t="str">
        <f>GLOBAL_DER_FEV_2023!S2432</f>
        <v/>
      </c>
      <c r="W2432" s="582">
        <v>0</v>
      </c>
      <c r="X2432" s="580"/>
      <c r="Y2432" s="583">
        <f>IF(GLOBAL_DER_FEV_2023!W2432=0,0,IF(GLOBAL_DER_FEV_2023!W2432&gt;0,"c","b"))</f>
        <v>0</v>
      </c>
    </row>
    <row r="2433" spans="1:25" ht="15" customHeight="1" x14ac:dyDescent="0.2">
      <c r="A2433" s="317" t="s">
        <v>147</v>
      </c>
      <c r="B2433" s="895" t="s">
        <v>147</v>
      </c>
      <c r="C2433" s="896"/>
      <c r="D2433" s="957" t="s">
        <v>229</v>
      </c>
      <c r="E2433" s="907">
        <f>GLOBAL_DER_FEV_2023!E2433</f>
        <v>150</v>
      </c>
      <c r="F2433" s="908">
        <f>GLOBAL_DER_FEV_2023!F2433</f>
        <v>0</v>
      </c>
      <c r="G2433" s="949">
        <f>GLOBAL_DER_FEV_2023!G2433</f>
        <v>0</v>
      </c>
      <c r="H2433" s="901">
        <f>GLOBAL_DER_FEV_2023!H2433</f>
        <v>0</v>
      </c>
      <c r="I2433" s="901" t="str">
        <f>GLOBAL_DER_FEV_2023!I2433</f>
        <v/>
      </c>
      <c r="J2433" s="902">
        <f>GLOBAL_DER_FEV_2023!J2433</f>
        <v>0</v>
      </c>
      <c r="K2433" s="958" t="s">
        <v>507</v>
      </c>
      <c r="L2433" s="959"/>
      <c r="M2433" s="1157">
        <f t="shared" si="240"/>
        <v>0</v>
      </c>
      <c r="N2433" s="1176">
        <f t="shared" si="241"/>
        <v>0</v>
      </c>
      <c r="O2433" s="905"/>
      <c r="P2433" s="58" t="str">
        <f>IF(N2431&gt;0,"xx",IF(N2431&gt;0,"xy",""))</f>
        <v/>
      </c>
      <c r="Q2433" s="317" t="str">
        <f t="shared" si="242"/>
        <v/>
      </c>
      <c r="R2433" s="317" t="str">
        <f t="shared" si="243"/>
        <v/>
      </c>
      <c r="S2433" s="317" t="str">
        <f t="shared" si="244"/>
        <v/>
      </c>
      <c r="T2433" s="317" t="str">
        <f>GLOBAL_DER_FEV_2023!S2433</f>
        <v/>
      </c>
      <c r="W2433" s="582">
        <v>0</v>
      </c>
      <c r="X2433" s="580"/>
      <c r="Y2433" s="583">
        <f>IF(GLOBAL_DER_FEV_2023!W2433=0,0,IF(GLOBAL_DER_FEV_2023!W2433&gt;0,"c","b"))</f>
        <v>0</v>
      </c>
    </row>
    <row r="2434" spans="1:25" ht="15" customHeight="1" x14ac:dyDescent="0.2">
      <c r="A2434" s="317" t="s">
        <v>147</v>
      </c>
      <c r="B2434" s="895" t="s">
        <v>147</v>
      </c>
      <c r="C2434" s="896"/>
      <c r="D2434" s="957" t="s">
        <v>233</v>
      </c>
      <c r="E2434" s="907">
        <f>GLOBAL_DER_FEV_2023!E2434</f>
        <v>0.2</v>
      </c>
      <c r="F2434" s="908">
        <f>GLOBAL_DER_FEV_2023!F2434</f>
        <v>0</v>
      </c>
      <c r="G2434" s="949">
        <f>GLOBAL_DER_FEV_2023!G2434</f>
        <v>0</v>
      </c>
      <c r="H2434" s="901">
        <f>GLOBAL_DER_FEV_2023!H2434</f>
        <v>0</v>
      </c>
      <c r="I2434" s="901" t="str">
        <f>GLOBAL_DER_FEV_2023!I2434</f>
        <v/>
      </c>
      <c r="J2434" s="902">
        <f>GLOBAL_DER_FEV_2023!J2434</f>
        <v>0</v>
      </c>
      <c r="K2434" s="958" t="s">
        <v>507</v>
      </c>
      <c r="L2434" s="959"/>
      <c r="M2434" s="1157">
        <f t="shared" si="240"/>
        <v>0</v>
      </c>
      <c r="N2434" s="1176">
        <f t="shared" si="241"/>
        <v>0</v>
      </c>
      <c r="O2434" s="905"/>
      <c r="P2434" s="58" t="str">
        <f>IF(N2431&gt;0,"xx",IF(N2431&gt;0,"xy",""))</f>
        <v/>
      </c>
      <c r="Q2434" s="317" t="str">
        <f t="shared" si="242"/>
        <v/>
      </c>
      <c r="R2434" s="317" t="str">
        <f t="shared" si="243"/>
        <v/>
      </c>
      <c r="S2434" s="317" t="str">
        <f t="shared" si="244"/>
        <v/>
      </c>
      <c r="T2434" s="317" t="str">
        <f>GLOBAL_DER_FEV_2023!S2434</f>
        <v/>
      </c>
      <c r="W2434" s="582">
        <v>0</v>
      </c>
      <c r="X2434" s="580"/>
      <c r="Y2434" s="583">
        <f>IF(GLOBAL_DER_FEV_2023!W2434=0,0,IF(GLOBAL_DER_FEV_2023!W2434&gt;0,"c","b"))</f>
        <v>0</v>
      </c>
    </row>
    <row r="2435" spans="1:25" ht="15" customHeight="1" x14ac:dyDescent="0.2">
      <c r="A2435" s="317" t="s">
        <v>147</v>
      </c>
      <c r="B2435" s="895" t="s">
        <v>147</v>
      </c>
      <c r="C2435" s="896"/>
      <c r="D2435" s="957" t="s">
        <v>365</v>
      </c>
      <c r="E2435" s="907">
        <f>GLOBAL_DER_FEV_2023!E2435</f>
        <v>10</v>
      </c>
      <c r="F2435" s="908">
        <f>GLOBAL_DER_FEV_2023!F2435</f>
        <v>0</v>
      </c>
      <c r="G2435" s="949">
        <f>GLOBAL_DER_FEV_2023!G2435</f>
        <v>0</v>
      </c>
      <c r="H2435" s="901">
        <f>GLOBAL_DER_FEV_2023!H2435</f>
        <v>0</v>
      </c>
      <c r="I2435" s="901" t="str">
        <f>GLOBAL_DER_FEV_2023!I2435</f>
        <v/>
      </c>
      <c r="J2435" s="902">
        <f>GLOBAL_DER_FEV_2023!J2435</f>
        <v>0</v>
      </c>
      <c r="K2435" s="903" t="s">
        <v>507</v>
      </c>
      <c r="L2435" s="959"/>
      <c r="M2435" s="1157">
        <f t="shared" si="240"/>
        <v>0</v>
      </c>
      <c r="N2435" s="1176">
        <f t="shared" si="241"/>
        <v>0</v>
      </c>
      <c r="O2435" s="905"/>
      <c r="P2435" s="36" t="str">
        <f>IF(N2431&gt;0,"xx",IF(N2431&gt;0,"xy",""))</f>
        <v/>
      </c>
      <c r="Q2435" s="317" t="str">
        <f t="shared" si="242"/>
        <v/>
      </c>
      <c r="R2435" s="317" t="str">
        <f t="shared" si="243"/>
        <v/>
      </c>
      <c r="S2435" s="317" t="str">
        <f t="shared" si="244"/>
        <v/>
      </c>
      <c r="T2435" s="317" t="str">
        <f>GLOBAL_DER_FEV_2023!S2435</f>
        <v/>
      </c>
      <c r="W2435" s="582">
        <v>0</v>
      </c>
      <c r="X2435" s="580"/>
      <c r="Y2435" s="583">
        <f>IF(GLOBAL_DER_FEV_2023!W2435=0,0,IF(GLOBAL_DER_FEV_2023!W2435&gt;0,"c","b"))</f>
        <v>0</v>
      </c>
    </row>
    <row r="2436" spans="1:25" ht="15" customHeight="1" x14ac:dyDescent="0.2">
      <c r="A2436" s="317" t="s">
        <v>147</v>
      </c>
      <c r="B2436" s="895" t="s">
        <v>147</v>
      </c>
      <c r="C2436" s="896"/>
      <c r="D2436" s="957" t="s">
        <v>366</v>
      </c>
      <c r="E2436" s="907">
        <f>GLOBAL_DER_FEV_2023!E2436</f>
        <v>353</v>
      </c>
      <c r="F2436" s="908">
        <f>GLOBAL_DER_FEV_2023!F2436</f>
        <v>0</v>
      </c>
      <c r="G2436" s="909">
        <f>GLOBAL_DER_FEV_2023!G2436</f>
        <v>0</v>
      </c>
      <c r="H2436" s="901">
        <f>GLOBAL_DER_FEV_2023!H2436</f>
        <v>0</v>
      </c>
      <c r="I2436" s="901" t="str">
        <f>GLOBAL_DER_FEV_2023!I2436</f>
        <v/>
      </c>
      <c r="J2436" s="902">
        <f>GLOBAL_DER_FEV_2023!J2436</f>
        <v>0</v>
      </c>
      <c r="K2436" s="958" t="s">
        <v>507</v>
      </c>
      <c r="L2436" s="959"/>
      <c r="M2436" s="1157">
        <f t="shared" si="240"/>
        <v>0</v>
      </c>
      <c r="N2436" s="1176">
        <f t="shared" si="241"/>
        <v>0</v>
      </c>
      <c r="O2436" s="905"/>
      <c r="P2436" s="58" t="str">
        <f>IF(N2431&gt;0,"xx",IF(N2431&gt;0,"xy",""))</f>
        <v/>
      </c>
      <c r="Q2436" s="317" t="str">
        <f t="shared" si="242"/>
        <v/>
      </c>
      <c r="R2436" s="317" t="str">
        <f t="shared" si="243"/>
        <v/>
      </c>
      <c r="S2436" s="317" t="str">
        <f t="shared" si="244"/>
        <v/>
      </c>
      <c r="T2436" s="317" t="str">
        <f>GLOBAL_DER_FEV_2023!S2436</f>
        <v/>
      </c>
      <c r="W2436" s="582">
        <v>0</v>
      </c>
      <c r="X2436" s="580"/>
      <c r="Y2436" s="583">
        <f>IF(GLOBAL_DER_FEV_2023!W2436=0,0,IF(GLOBAL_DER_FEV_2023!W2436&gt;0,"c","b"))</f>
        <v>0</v>
      </c>
    </row>
    <row r="2437" spans="1:25" ht="15" customHeight="1" x14ac:dyDescent="0.2">
      <c r="A2437" s="317" t="s">
        <v>398</v>
      </c>
      <c r="B2437" s="895" t="s">
        <v>398</v>
      </c>
      <c r="C2437" s="896" t="s">
        <v>184</v>
      </c>
      <c r="D2437" s="906" t="str">
        <f>'ENSAIOS DE ORÇAMENTO'!C77</f>
        <v>ENSAIO DE ORÇAMENTO 6</v>
      </c>
      <c r="E2437" s="907">
        <f>GLOBAL_DER_FEV_2023!E2437</f>
        <v>0</v>
      </c>
      <c r="F2437" s="908">
        <f>GLOBAL_DER_FEV_2023!F2437</f>
        <v>0</v>
      </c>
      <c r="G2437" s="912">
        <f>GLOBAL_DER_FEV_2023!G2437</f>
        <v>0</v>
      </c>
      <c r="H2437" s="901">
        <f>GLOBAL_DER_FEV_2023!H2437</f>
        <v>0</v>
      </c>
      <c r="I2437" s="901">
        <f>GLOBAL_DER_FEV_2023!I2437</f>
        <v>0</v>
      </c>
      <c r="J2437" s="902">
        <f>GLOBAL_DER_FEV_2023!J2437</f>
        <v>0</v>
      </c>
      <c r="K2437" s="903" t="s">
        <v>15</v>
      </c>
      <c r="L2437" s="1137"/>
      <c r="M2437" s="1138">
        <f t="shared" si="240"/>
        <v>0</v>
      </c>
      <c r="N2437" s="1176">
        <f t="shared" si="241"/>
        <v>0</v>
      </c>
      <c r="O2437" s="905"/>
      <c r="Q2437" s="317" t="str">
        <f t="shared" si="242"/>
        <v/>
      </c>
      <c r="R2437" s="317" t="str">
        <f t="shared" si="243"/>
        <v/>
      </c>
      <c r="S2437" s="317" t="str">
        <f t="shared" si="244"/>
        <v/>
      </c>
      <c r="T2437" s="317" t="str">
        <f>GLOBAL_DER_FEV_2023!S2437</f>
        <v/>
      </c>
      <c r="W2437" s="582">
        <v>0</v>
      </c>
      <c r="X2437" s="580"/>
      <c r="Y2437" s="583">
        <f>IF(GLOBAL_DER_FEV_2023!W2437=0,0,IF(GLOBAL_DER_FEV_2023!W2437&gt;0,"c","b"))</f>
        <v>0</v>
      </c>
    </row>
    <row r="2438" spans="1:25" ht="15" customHeight="1" x14ac:dyDescent="0.2">
      <c r="A2438" s="317" t="s">
        <v>147</v>
      </c>
      <c r="B2438" s="895" t="s">
        <v>147</v>
      </c>
      <c r="C2438" s="896"/>
      <c r="D2438" s="957" t="s">
        <v>190</v>
      </c>
      <c r="E2438" s="907">
        <f>GLOBAL_DER_FEV_2023!E2438</f>
        <v>308</v>
      </c>
      <c r="F2438" s="908">
        <f>GLOBAL_DER_FEV_2023!F2438</f>
        <v>0</v>
      </c>
      <c r="G2438" s="909">
        <f>GLOBAL_DER_FEV_2023!G2438</f>
        <v>0</v>
      </c>
      <c r="H2438" s="901">
        <f>GLOBAL_DER_FEV_2023!H2438</f>
        <v>0</v>
      </c>
      <c r="I2438" s="901" t="str">
        <f>GLOBAL_DER_FEV_2023!I2438</f>
        <v/>
      </c>
      <c r="J2438" s="902">
        <f>GLOBAL_DER_FEV_2023!J2438</f>
        <v>0</v>
      </c>
      <c r="K2438" s="958" t="s">
        <v>507</v>
      </c>
      <c r="L2438" s="959"/>
      <c r="M2438" s="1157">
        <f t="shared" ref="M2438:M2501" si="245">IF(L2438=0,0,ROUND(J2438,2))</f>
        <v>0</v>
      </c>
      <c r="N2438" s="1176">
        <f t="shared" si="241"/>
        <v>0</v>
      </c>
      <c r="O2438" s="905"/>
      <c r="P2438" s="58" t="str">
        <f>IF(N2437&gt;0,"xx",IF(N2437&gt;0,"xy",""))</f>
        <v/>
      </c>
      <c r="Q2438" s="317" t="str">
        <f t="shared" si="242"/>
        <v/>
      </c>
      <c r="R2438" s="317" t="str">
        <f t="shared" si="243"/>
        <v/>
      </c>
      <c r="S2438" s="317" t="str">
        <f t="shared" si="244"/>
        <v/>
      </c>
      <c r="T2438" s="317" t="str">
        <f>GLOBAL_DER_FEV_2023!S2438</f>
        <v/>
      </c>
      <c r="W2438" s="582">
        <v>0</v>
      </c>
      <c r="X2438" s="580"/>
      <c r="Y2438" s="583">
        <f>IF(GLOBAL_DER_FEV_2023!W2438=0,0,IF(GLOBAL_DER_FEV_2023!W2438&gt;0,"c","b"))</f>
        <v>0</v>
      </c>
    </row>
    <row r="2439" spans="1:25" ht="15" customHeight="1" x14ac:dyDescent="0.2">
      <c r="A2439" s="317" t="s">
        <v>147</v>
      </c>
      <c r="B2439" s="895" t="s">
        <v>147</v>
      </c>
      <c r="C2439" s="896"/>
      <c r="D2439" s="957" t="s">
        <v>229</v>
      </c>
      <c r="E2439" s="907">
        <f>GLOBAL_DER_FEV_2023!E2439</f>
        <v>150</v>
      </c>
      <c r="F2439" s="908">
        <f>GLOBAL_DER_FEV_2023!F2439</f>
        <v>0</v>
      </c>
      <c r="G2439" s="949">
        <f>GLOBAL_DER_FEV_2023!G2439</f>
        <v>0</v>
      </c>
      <c r="H2439" s="901">
        <f>GLOBAL_DER_FEV_2023!H2439</f>
        <v>0</v>
      </c>
      <c r="I2439" s="901" t="str">
        <f>GLOBAL_DER_FEV_2023!I2439</f>
        <v/>
      </c>
      <c r="J2439" s="902">
        <f>GLOBAL_DER_FEV_2023!J2439</f>
        <v>0</v>
      </c>
      <c r="K2439" s="958" t="s">
        <v>507</v>
      </c>
      <c r="L2439" s="959"/>
      <c r="M2439" s="1157">
        <f t="shared" si="245"/>
        <v>0</v>
      </c>
      <c r="N2439" s="1176">
        <f t="shared" si="241"/>
        <v>0</v>
      </c>
      <c r="O2439" s="905"/>
      <c r="P2439" s="58" t="str">
        <f>IF(N2437&gt;0,"xx",IF(N2437&gt;0,"xy",""))</f>
        <v/>
      </c>
      <c r="Q2439" s="317" t="str">
        <f t="shared" si="242"/>
        <v/>
      </c>
      <c r="R2439" s="317" t="str">
        <f t="shared" si="243"/>
        <v/>
      </c>
      <c r="S2439" s="317" t="str">
        <f t="shared" si="244"/>
        <v/>
      </c>
      <c r="T2439" s="317" t="str">
        <f>GLOBAL_DER_FEV_2023!S2439</f>
        <v/>
      </c>
      <c r="W2439" s="582">
        <v>0</v>
      </c>
      <c r="X2439" s="580"/>
      <c r="Y2439" s="583">
        <f>IF(GLOBAL_DER_FEV_2023!W2439=0,0,IF(GLOBAL_DER_FEV_2023!W2439&gt;0,"c","b"))</f>
        <v>0</v>
      </c>
    </row>
    <row r="2440" spans="1:25" ht="15" customHeight="1" x14ac:dyDescent="0.2">
      <c r="A2440" s="317" t="s">
        <v>147</v>
      </c>
      <c r="B2440" s="895" t="s">
        <v>147</v>
      </c>
      <c r="C2440" s="896"/>
      <c r="D2440" s="957" t="s">
        <v>233</v>
      </c>
      <c r="E2440" s="907">
        <f>GLOBAL_DER_FEV_2023!E2440</f>
        <v>0.2</v>
      </c>
      <c r="F2440" s="908">
        <f>GLOBAL_DER_FEV_2023!F2440</f>
        <v>0</v>
      </c>
      <c r="G2440" s="949">
        <f>GLOBAL_DER_FEV_2023!G2440</f>
        <v>0</v>
      </c>
      <c r="H2440" s="901">
        <f>GLOBAL_DER_FEV_2023!H2440</f>
        <v>0</v>
      </c>
      <c r="I2440" s="901" t="str">
        <f>GLOBAL_DER_FEV_2023!I2440</f>
        <v/>
      </c>
      <c r="J2440" s="902">
        <f>GLOBAL_DER_FEV_2023!J2440</f>
        <v>0</v>
      </c>
      <c r="K2440" s="958" t="s">
        <v>507</v>
      </c>
      <c r="L2440" s="959"/>
      <c r="M2440" s="1157">
        <f t="shared" si="245"/>
        <v>0</v>
      </c>
      <c r="N2440" s="1176">
        <f t="shared" si="241"/>
        <v>0</v>
      </c>
      <c r="O2440" s="905"/>
      <c r="P2440" s="58" t="str">
        <f>IF(N2437&gt;0,"xx",IF(N2437&gt;0,"xy",""))</f>
        <v/>
      </c>
      <c r="Q2440" s="317" t="str">
        <f t="shared" si="242"/>
        <v/>
      </c>
      <c r="R2440" s="317" t="str">
        <f t="shared" si="243"/>
        <v/>
      </c>
      <c r="S2440" s="317" t="str">
        <f t="shared" si="244"/>
        <v/>
      </c>
      <c r="T2440" s="317" t="str">
        <f>GLOBAL_DER_FEV_2023!S2440</f>
        <v/>
      </c>
      <c r="W2440" s="582">
        <v>0</v>
      </c>
      <c r="X2440" s="580"/>
      <c r="Y2440" s="583">
        <f>IF(GLOBAL_DER_FEV_2023!W2440=0,0,IF(GLOBAL_DER_FEV_2023!W2440&gt;0,"c","b"))</f>
        <v>0</v>
      </c>
    </row>
    <row r="2441" spans="1:25" ht="15" customHeight="1" x14ac:dyDescent="0.2">
      <c r="A2441" s="317" t="s">
        <v>147</v>
      </c>
      <c r="B2441" s="895" t="s">
        <v>147</v>
      </c>
      <c r="C2441" s="896"/>
      <c r="D2441" s="957" t="s">
        <v>365</v>
      </c>
      <c r="E2441" s="907">
        <f>GLOBAL_DER_FEV_2023!E2441</f>
        <v>10</v>
      </c>
      <c r="F2441" s="908">
        <f>GLOBAL_DER_FEV_2023!F2441</f>
        <v>0</v>
      </c>
      <c r="G2441" s="949">
        <f>GLOBAL_DER_FEV_2023!G2441</f>
        <v>0</v>
      </c>
      <c r="H2441" s="901">
        <f>GLOBAL_DER_FEV_2023!H2441</f>
        <v>0</v>
      </c>
      <c r="I2441" s="901" t="str">
        <f>GLOBAL_DER_FEV_2023!I2441</f>
        <v/>
      </c>
      <c r="J2441" s="902">
        <f>GLOBAL_DER_FEV_2023!J2441</f>
        <v>0</v>
      </c>
      <c r="K2441" s="958" t="s">
        <v>507</v>
      </c>
      <c r="L2441" s="959"/>
      <c r="M2441" s="1157">
        <f t="shared" si="245"/>
        <v>0</v>
      </c>
      <c r="N2441" s="1176">
        <f t="shared" si="241"/>
        <v>0</v>
      </c>
      <c r="O2441" s="905"/>
      <c r="P2441" s="58" t="str">
        <f>IF(N2437&gt;0,"xx",IF(N2437&gt;0,"xy",""))</f>
        <v/>
      </c>
      <c r="Q2441" s="317" t="str">
        <f t="shared" si="242"/>
        <v/>
      </c>
      <c r="R2441" s="317" t="str">
        <f t="shared" si="243"/>
        <v/>
      </c>
      <c r="S2441" s="317" t="str">
        <f t="shared" si="244"/>
        <v/>
      </c>
      <c r="T2441" s="317" t="str">
        <f>GLOBAL_DER_FEV_2023!S2441</f>
        <v/>
      </c>
      <c r="W2441" s="582">
        <v>0</v>
      </c>
      <c r="X2441" s="580"/>
      <c r="Y2441" s="583">
        <f>IF(GLOBAL_DER_FEV_2023!W2441=0,0,IF(GLOBAL_DER_FEV_2023!W2441&gt;0,"c","b"))</f>
        <v>0</v>
      </c>
    </row>
    <row r="2442" spans="1:25" ht="15" customHeight="1" x14ac:dyDescent="0.2">
      <c r="A2442" s="317" t="s">
        <v>147</v>
      </c>
      <c r="B2442" s="895" t="s">
        <v>147</v>
      </c>
      <c r="C2442" s="896"/>
      <c r="D2442" s="957" t="s">
        <v>366</v>
      </c>
      <c r="E2442" s="907">
        <f>GLOBAL_DER_FEV_2023!E2442</f>
        <v>353</v>
      </c>
      <c r="F2442" s="908">
        <f>GLOBAL_DER_FEV_2023!F2442</f>
        <v>0</v>
      </c>
      <c r="G2442" s="909">
        <f>GLOBAL_DER_FEV_2023!G2442</f>
        <v>0</v>
      </c>
      <c r="H2442" s="901">
        <f>GLOBAL_DER_FEV_2023!H2442</f>
        <v>0</v>
      </c>
      <c r="I2442" s="901" t="str">
        <f>GLOBAL_DER_FEV_2023!I2442</f>
        <v/>
      </c>
      <c r="J2442" s="902">
        <f>GLOBAL_DER_FEV_2023!J2442</f>
        <v>0</v>
      </c>
      <c r="K2442" s="958" t="s">
        <v>507</v>
      </c>
      <c r="L2442" s="959"/>
      <c r="M2442" s="1157">
        <f t="shared" si="245"/>
        <v>0</v>
      </c>
      <c r="N2442" s="1176">
        <f t="shared" si="241"/>
        <v>0</v>
      </c>
      <c r="O2442" s="905"/>
      <c r="P2442" s="58" t="str">
        <f>IF(N2437&gt;0,"xx",IF(N2437&gt;0,"xy",""))</f>
        <v/>
      </c>
      <c r="Q2442" s="317" t="str">
        <f t="shared" si="242"/>
        <v/>
      </c>
      <c r="R2442" s="317" t="str">
        <f t="shared" si="243"/>
        <v/>
      </c>
      <c r="S2442" s="317" t="str">
        <f t="shared" si="244"/>
        <v/>
      </c>
      <c r="T2442" s="317" t="str">
        <f>GLOBAL_DER_FEV_2023!S2442</f>
        <v/>
      </c>
      <c r="W2442" s="582">
        <v>0</v>
      </c>
      <c r="X2442" s="580"/>
      <c r="Y2442" s="583">
        <f>IF(GLOBAL_DER_FEV_2023!W2442=0,0,IF(GLOBAL_DER_FEV_2023!W2442&gt;0,"c","b"))</f>
        <v>0</v>
      </c>
    </row>
    <row r="2443" spans="1:25" ht="15" customHeight="1" x14ac:dyDescent="0.2">
      <c r="A2443" s="317" t="s">
        <v>399</v>
      </c>
      <c r="B2443" s="895" t="s">
        <v>399</v>
      </c>
      <c r="C2443" s="896" t="s">
        <v>184</v>
      </c>
      <c r="D2443" s="906" t="str">
        <f>'ENSAIOS DE ORÇAMENTO'!C78</f>
        <v>ENSAIO DE ORÇAMENTO 7</v>
      </c>
      <c r="E2443" s="907">
        <f>GLOBAL_DER_FEV_2023!E2443</f>
        <v>0</v>
      </c>
      <c r="F2443" s="908">
        <f>GLOBAL_DER_FEV_2023!F2443</f>
        <v>0</v>
      </c>
      <c r="G2443" s="912">
        <f>GLOBAL_DER_FEV_2023!G2443</f>
        <v>0</v>
      </c>
      <c r="H2443" s="901">
        <f>GLOBAL_DER_FEV_2023!H2443</f>
        <v>0</v>
      </c>
      <c r="I2443" s="901">
        <f>GLOBAL_DER_FEV_2023!I2443</f>
        <v>0</v>
      </c>
      <c r="J2443" s="902">
        <f>GLOBAL_DER_FEV_2023!J2443</f>
        <v>0</v>
      </c>
      <c r="K2443" s="903" t="s">
        <v>15</v>
      </c>
      <c r="L2443" s="1137"/>
      <c r="M2443" s="1138">
        <f t="shared" si="245"/>
        <v>0</v>
      </c>
      <c r="N2443" s="1176">
        <f t="shared" si="241"/>
        <v>0</v>
      </c>
      <c r="O2443" s="905"/>
      <c r="Q2443" s="317" t="str">
        <f t="shared" si="242"/>
        <v/>
      </c>
      <c r="R2443" s="317" t="str">
        <f t="shared" si="243"/>
        <v/>
      </c>
      <c r="S2443" s="317" t="str">
        <f t="shared" si="244"/>
        <v/>
      </c>
      <c r="T2443" s="317" t="str">
        <f>GLOBAL_DER_FEV_2023!S2443</f>
        <v/>
      </c>
      <c r="W2443" s="582">
        <v>0</v>
      </c>
      <c r="X2443" s="580"/>
      <c r="Y2443" s="583">
        <f>IF(GLOBAL_DER_FEV_2023!W2443=0,0,IF(GLOBAL_DER_FEV_2023!W2443&gt;0,"c","b"))</f>
        <v>0</v>
      </c>
    </row>
    <row r="2444" spans="1:25" ht="15" customHeight="1" x14ac:dyDescent="0.2">
      <c r="A2444" s="317" t="s">
        <v>147</v>
      </c>
      <c r="B2444" s="895" t="s">
        <v>147</v>
      </c>
      <c r="C2444" s="896"/>
      <c r="D2444" s="957" t="s">
        <v>190</v>
      </c>
      <c r="E2444" s="907">
        <f>GLOBAL_DER_FEV_2023!E2444</f>
        <v>308</v>
      </c>
      <c r="F2444" s="908">
        <f>GLOBAL_DER_FEV_2023!F2444</f>
        <v>0</v>
      </c>
      <c r="G2444" s="909">
        <f>GLOBAL_DER_FEV_2023!G2444</f>
        <v>0</v>
      </c>
      <c r="H2444" s="901">
        <f>GLOBAL_DER_FEV_2023!H2444</f>
        <v>0</v>
      </c>
      <c r="I2444" s="901" t="str">
        <f>GLOBAL_DER_FEV_2023!I2444</f>
        <v/>
      </c>
      <c r="J2444" s="902">
        <f>GLOBAL_DER_FEV_2023!J2444</f>
        <v>0</v>
      </c>
      <c r="K2444" s="958" t="s">
        <v>507</v>
      </c>
      <c r="L2444" s="959"/>
      <c r="M2444" s="1157">
        <f t="shared" si="245"/>
        <v>0</v>
      </c>
      <c r="N2444" s="1176">
        <f t="shared" si="241"/>
        <v>0</v>
      </c>
      <c r="O2444" s="905"/>
      <c r="P2444" s="58" t="str">
        <f>IF(N2443&gt;0,"xx",IF(N2443&gt;0,"xy",""))</f>
        <v/>
      </c>
      <c r="Q2444" s="317" t="str">
        <f t="shared" si="242"/>
        <v/>
      </c>
      <c r="R2444" s="317" t="str">
        <f t="shared" si="243"/>
        <v/>
      </c>
      <c r="S2444" s="317" t="str">
        <f t="shared" si="244"/>
        <v/>
      </c>
      <c r="T2444" s="317" t="str">
        <f>GLOBAL_DER_FEV_2023!S2444</f>
        <v/>
      </c>
      <c r="W2444" s="582">
        <v>0</v>
      </c>
      <c r="X2444" s="580"/>
      <c r="Y2444" s="583">
        <f>IF(GLOBAL_DER_FEV_2023!W2444=0,0,IF(GLOBAL_DER_FEV_2023!W2444&gt;0,"c","b"))</f>
        <v>0</v>
      </c>
    </row>
    <row r="2445" spans="1:25" ht="15" customHeight="1" x14ac:dyDescent="0.2">
      <c r="A2445" s="317" t="s">
        <v>147</v>
      </c>
      <c r="B2445" s="895" t="s">
        <v>147</v>
      </c>
      <c r="C2445" s="896"/>
      <c r="D2445" s="957" t="s">
        <v>229</v>
      </c>
      <c r="E2445" s="907">
        <f>GLOBAL_DER_FEV_2023!E2445</f>
        <v>150</v>
      </c>
      <c r="F2445" s="908">
        <f>GLOBAL_DER_FEV_2023!F2445</f>
        <v>0</v>
      </c>
      <c r="G2445" s="949">
        <f>GLOBAL_DER_FEV_2023!G2445</f>
        <v>0</v>
      </c>
      <c r="H2445" s="901">
        <f>GLOBAL_DER_FEV_2023!H2445</f>
        <v>0</v>
      </c>
      <c r="I2445" s="901" t="str">
        <f>GLOBAL_DER_FEV_2023!I2445</f>
        <v/>
      </c>
      <c r="J2445" s="902">
        <f>GLOBAL_DER_FEV_2023!J2445</f>
        <v>0</v>
      </c>
      <c r="K2445" s="958" t="s">
        <v>507</v>
      </c>
      <c r="L2445" s="959"/>
      <c r="M2445" s="1157">
        <f t="shared" si="245"/>
        <v>0</v>
      </c>
      <c r="N2445" s="1176">
        <f t="shared" si="241"/>
        <v>0</v>
      </c>
      <c r="O2445" s="905"/>
      <c r="P2445" s="58" t="str">
        <f>IF(N2443&gt;0,"xx",IF(N2443&gt;0,"xy",""))</f>
        <v/>
      </c>
      <c r="Q2445" s="317" t="str">
        <f t="shared" si="242"/>
        <v/>
      </c>
      <c r="R2445" s="317" t="str">
        <f t="shared" si="243"/>
        <v/>
      </c>
      <c r="S2445" s="317" t="str">
        <f t="shared" si="244"/>
        <v/>
      </c>
      <c r="T2445" s="317" t="str">
        <f>GLOBAL_DER_FEV_2023!S2445</f>
        <v/>
      </c>
      <c r="W2445" s="582">
        <v>0</v>
      </c>
      <c r="X2445" s="580"/>
      <c r="Y2445" s="583">
        <f>IF(GLOBAL_DER_FEV_2023!W2445=0,0,IF(GLOBAL_DER_FEV_2023!W2445&gt;0,"c","b"))</f>
        <v>0</v>
      </c>
    </row>
    <row r="2446" spans="1:25" ht="15" customHeight="1" x14ac:dyDescent="0.2">
      <c r="A2446" s="317" t="s">
        <v>147</v>
      </c>
      <c r="B2446" s="895" t="s">
        <v>147</v>
      </c>
      <c r="C2446" s="896"/>
      <c r="D2446" s="957" t="s">
        <v>233</v>
      </c>
      <c r="E2446" s="907">
        <f>GLOBAL_DER_FEV_2023!E2446</f>
        <v>0.2</v>
      </c>
      <c r="F2446" s="908">
        <f>GLOBAL_DER_FEV_2023!F2446</f>
        <v>0</v>
      </c>
      <c r="G2446" s="949">
        <f>GLOBAL_DER_FEV_2023!G2446</f>
        <v>0</v>
      </c>
      <c r="H2446" s="901">
        <f>GLOBAL_DER_FEV_2023!H2446</f>
        <v>0</v>
      </c>
      <c r="I2446" s="901" t="str">
        <f>GLOBAL_DER_FEV_2023!I2446</f>
        <v/>
      </c>
      <c r="J2446" s="902">
        <f>GLOBAL_DER_FEV_2023!J2446</f>
        <v>0</v>
      </c>
      <c r="K2446" s="958" t="s">
        <v>507</v>
      </c>
      <c r="L2446" s="959"/>
      <c r="M2446" s="1157">
        <f t="shared" si="245"/>
        <v>0</v>
      </c>
      <c r="N2446" s="1176">
        <f t="shared" si="241"/>
        <v>0</v>
      </c>
      <c r="O2446" s="905"/>
      <c r="P2446" s="58" t="str">
        <f>IF(N2443&gt;0,"xx",IF(N2443&gt;0,"xy",""))</f>
        <v/>
      </c>
      <c r="Q2446" s="317" t="str">
        <f t="shared" si="242"/>
        <v/>
      </c>
      <c r="R2446" s="317" t="str">
        <f t="shared" si="243"/>
        <v/>
      </c>
      <c r="S2446" s="317" t="str">
        <f t="shared" si="244"/>
        <v/>
      </c>
      <c r="T2446" s="317" t="str">
        <f>GLOBAL_DER_FEV_2023!S2446</f>
        <v/>
      </c>
      <c r="W2446" s="582">
        <v>0</v>
      </c>
      <c r="X2446" s="580"/>
      <c r="Y2446" s="583">
        <f>IF(GLOBAL_DER_FEV_2023!W2446=0,0,IF(GLOBAL_DER_FEV_2023!W2446&gt;0,"c","b"))</f>
        <v>0</v>
      </c>
    </row>
    <row r="2447" spans="1:25" ht="15" customHeight="1" x14ac:dyDescent="0.2">
      <c r="A2447" s="317" t="s">
        <v>147</v>
      </c>
      <c r="B2447" s="895" t="s">
        <v>147</v>
      </c>
      <c r="C2447" s="896"/>
      <c r="D2447" s="957" t="s">
        <v>365</v>
      </c>
      <c r="E2447" s="907">
        <f>GLOBAL_DER_FEV_2023!E2447</f>
        <v>10</v>
      </c>
      <c r="F2447" s="908">
        <f>GLOBAL_DER_FEV_2023!F2447</f>
        <v>0</v>
      </c>
      <c r="G2447" s="949">
        <f>GLOBAL_DER_FEV_2023!G2447</f>
        <v>0</v>
      </c>
      <c r="H2447" s="901">
        <f>GLOBAL_DER_FEV_2023!H2447</f>
        <v>0</v>
      </c>
      <c r="I2447" s="901" t="str">
        <f>GLOBAL_DER_FEV_2023!I2447</f>
        <v/>
      </c>
      <c r="J2447" s="902">
        <f>GLOBAL_DER_FEV_2023!J2447</f>
        <v>0</v>
      </c>
      <c r="K2447" s="958" t="s">
        <v>507</v>
      </c>
      <c r="L2447" s="959"/>
      <c r="M2447" s="1157">
        <f t="shared" si="245"/>
        <v>0</v>
      </c>
      <c r="N2447" s="1176">
        <f t="shared" si="241"/>
        <v>0</v>
      </c>
      <c r="O2447" s="905"/>
      <c r="P2447" s="58" t="str">
        <f>IF(N2443&gt;0,"xx",IF(N2443&gt;0,"xy",""))</f>
        <v/>
      </c>
      <c r="Q2447" s="317" t="str">
        <f t="shared" si="242"/>
        <v/>
      </c>
      <c r="R2447" s="317" t="str">
        <f t="shared" si="243"/>
        <v/>
      </c>
      <c r="S2447" s="317" t="str">
        <f t="shared" si="244"/>
        <v/>
      </c>
      <c r="T2447" s="317" t="str">
        <f>GLOBAL_DER_FEV_2023!S2447</f>
        <v/>
      </c>
      <c r="W2447" s="582">
        <v>0</v>
      </c>
      <c r="X2447" s="580"/>
      <c r="Y2447" s="583">
        <f>IF(GLOBAL_DER_FEV_2023!W2447=0,0,IF(GLOBAL_DER_FEV_2023!W2447&gt;0,"c","b"))</f>
        <v>0</v>
      </c>
    </row>
    <row r="2448" spans="1:25" ht="15" customHeight="1" x14ac:dyDescent="0.2">
      <c r="A2448" s="317" t="s">
        <v>147</v>
      </c>
      <c r="B2448" s="895" t="s">
        <v>147</v>
      </c>
      <c r="C2448" s="896"/>
      <c r="D2448" s="957" t="s">
        <v>366</v>
      </c>
      <c r="E2448" s="907">
        <f>GLOBAL_DER_FEV_2023!E2448</f>
        <v>353</v>
      </c>
      <c r="F2448" s="908">
        <f>GLOBAL_DER_FEV_2023!F2448</f>
        <v>0</v>
      </c>
      <c r="G2448" s="909">
        <f>GLOBAL_DER_FEV_2023!G2448</f>
        <v>0</v>
      </c>
      <c r="H2448" s="901">
        <f>GLOBAL_DER_FEV_2023!H2448</f>
        <v>0</v>
      </c>
      <c r="I2448" s="901" t="str">
        <f>GLOBAL_DER_FEV_2023!I2448</f>
        <v/>
      </c>
      <c r="J2448" s="902">
        <f>GLOBAL_DER_FEV_2023!J2448</f>
        <v>0</v>
      </c>
      <c r="K2448" s="958" t="s">
        <v>507</v>
      </c>
      <c r="L2448" s="959"/>
      <c r="M2448" s="1157">
        <f t="shared" si="245"/>
        <v>0</v>
      </c>
      <c r="N2448" s="1176">
        <f t="shared" si="241"/>
        <v>0</v>
      </c>
      <c r="O2448" s="905"/>
      <c r="P2448" s="58" t="str">
        <f>IF(N2443&gt;0,"xx",IF(N2443&gt;0,"xy",""))</f>
        <v/>
      </c>
      <c r="Q2448" s="317" t="str">
        <f t="shared" si="242"/>
        <v/>
      </c>
      <c r="R2448" s="317" t="str">
        <f t="shared" si="243"/>
        <v/>
      </c>
      <c r="S2448" s="317" t="str">
        <f t="shared" si="244"/>
        <v/>
      </c>
      <c r="T2448" s="317" t="str">
        <f>GLOBAL_DER_FEV_2023!S2448</f>
        <v/>
      </c>
      <c r="W2448" s="582">
        <v>0</v>
      </c>
      <c r="X2448" s="580"/>
      <c r="Y2448" s="583">
        <f>IF(GLOBAL_DER_FEV_2023!W2448=0,0,IF(GLOBAL_DER_FEV_2023!W2448&gt;0,"c","b"))</f>
        <v>0</v>
      </c>
    </row>
    <row r="2449" spans="1:25" ht="15" customHeight="1" x14ac:dyDescent="0.2">
      <c r="A2449" s="317" t="s">
        <v>400</v>
      </c>
      <c r="B2449" s="895" t="s">
        <v>400</v>
      </c>
      <c r="C2449" s="896" t="s">
        <v>184</v>
      </c>
      <c r="D2449" s="906" t="str">
        <f>'ENSAIOS DE ORÇAMENTO'!C79</f>
        <v>ENSAIO DE ORÇAMENTO 8</v>
      </c>
      <c r="E2449" s="907">
        <f>GLOBAL_DER_FEV_2023!E2449</f>
        <v>0</v>
      </c>
      <c r="F2449" s="908">
        <f>GLOBAL_DER_FEV_2023!F2449</f>
        <v>0</v>
      </c>
      <c r="G2449" s="912">
        <f>GLOBAL_DER_FEV_2023!G2449</f>
        <v>0</v>
      </c>
      <c r="H2449" s="901">
        <f>GLOBAL_DER_FEV_2023!H2449</f>
        <v>0</v>
      </c>
      <c r="I2449" s="901">
        <f>GLOBAL_DER_FEV_2023!I2449</f>
        <v>0</v>
      </c>
      <c r="J2449" s="902">
        <f>GLOBAL_DER_FEV_2023!J2449</f>
        <v>0</v>
      </c>
      <c r="K2449" s="903" t="s">
        <v>15</v>
      </c>
      <c r="L2449" s="1137"/>
      <c r="M2449" s="1138">
        <f t="shared" si="245"/>
        <v>0</v>
      </c>
      <c r="N2449" s="1176">
        <f t="shared" si="241"/>
        <v>0</v>
      </c>
      <c r="O2449" s="905"/>
      <c r="Q2449" s="317" t="str">
        <f t="shared" si="242"/>
        <v/>
      </c>
      <c r="R2449" s="317" t="str">
        <f t="shared" si="243"/>
        <v/>
      </c>
      <c r="S2449" s="317" t="str">
        <f t="shared" si="244"/>
        <v/>
      </c>
      <c r="T2449" s="317" t="str">
        <f>GLOBAL_DER_FEV_2023!S2449</f>
        <v/>
      </c>
      <c r="W2449" s="582">
        <v>0</v>
      </c>
      <c r="X2449" s="580"/>
      <c r="Y2449" s="583">
        <f>IF(GLOBAL_DER_FEV_2023!W2449=0,0,IF(GLOBAL_DER_FEV_2023!W2449&gt;0,"c","b"))</f>
        <v>0</v>
      </c>
    </row>
    <row r="2450" spans="1:25" ht="15" customHeight="1" x14ac:dyDescent="0.2">
      <c r="A2450" s="317" t="s">
        <v>147</v>
      </c>
      <c r="B2450" s="895" t="s">
        <v>147</v>
      </c>
      <c r="C2450" s="896"/>
      <c r="D2450" s="957" t="s">
        <v>190</v>
      </c>
      <c r="E2450" s="907">
        <f>GLOBAL_DER_FEV_2023!E2450</f>
        <v>308</v>
      </c>
      <c r="F2450" s="908">
        <f>GLOBAL_DER_FEV_2023!F2450</f>
        <v>0</v>
      </c>
      <c r="G2450" s="909">
        <f>GLOBAL_DER_FEV_2023!G2450</f>
        <v>0</v>
      </c>
      <c r="H2450" s="901">
        <f>GLOBAL_DER_FEV_2023!H2450</f>
        <v>0</v>
      </c>
      <c r="I2450" s="901" t="str">
        <f>GLOBAL_DER_FEV_2023!I2450</f>
        <v/>
      </c>
      <c r="J2450" s="902">
        <f>GLOBAL_DER_FEV_2023!J2450</f>
        <v>0</v>
      </c>
      <c r="K2450" s="958" t="s">
        <v>507</v>
      </c>
      <c r="L2450" s="959"/>
      <c r="M2450" s="1157">
        <f t="shared" si="245"/>
        <v>0</v>
      </c>
      <c r="N2450" s="1176">
        <f t="shared" si="241"/>
        <v>0</v>
      </c>
      <c r="O2450" s="905"/>
      <c r="P2450" s="58" t="str">
        <f>IF(N2449&gt;0,"xx",IF(N2449&gt;0,"xy",""))</f>
        <v/>
      </c>
      <c r="Q2450" s="317" t="str">
        <f t="shared" si="242"/>
        <v/>
      </c>
      <c r="R2450" s="317" t="str">
        <f t="shared" si="243"/>
        <v/>
      </c>
      <c r="S2450" s="317" t="str">
        <f t="shared" si="244"/>
        <v/>
      </c>
      <c r="T2450" s="317" t="str">
        <f>GLOBAL_DER_FEV_2023!S2450</f>
        <v/>
      </c>
      <c r="W2450" s="582">
        <v>0</v>
      </c>
      <c r="X2450" s="580"/>
      <c r="Y2450" s="583">
        <f>IF(GLOBAL_DER_FEV_2023!W2450=0,0,IF(GLOBAL_DER_FEV_2023!W2450&gt;0,"c","b"))</f>
        <v>0</v>
      </c>
    </row>
    <row r="2451" spans="1:25" ht="15" customHeight="1" x14ac:dyDescent="0.2">
      <c r="A2451" s="317" t="s">
        <v>147</v>
      </c>
      <c r="B2451" s="895" t="s">
        <v>147</v>
      </c>
      <c r="C2451" s="896"/>
      <c r="D2451" s="957" t="s">
        <v>229</v>
      </c>
      <c r="E2451" s="907">
        <f>GLOBAL_DER_FEV_2023!E2451</f>
        <v>150</v>
      </c>
      <c r="F2451" s="908">
        <f>GLOBAL_DER_FEV_2023!F2451</f>
        <v>0</v>
      </c>
      <c r="G2451" s="949">
        <f>GLOBAL_DER_FEV_2023!G2451</f>
        <v>0</v>
      </c>
      <c r="H2451" s="901">
        <f>GLOBAL_DER_FEV_2023!H2451</f>
        <v>0</v>
      </c>
      <c r="I2451" s="901" t="str">
        <f>GLOBAL_DER_FEV_2023!I2451</f>
        <v/>
      </c>
      <c r="J2451" s="902">
        <f>GLOBAL_DER_FEV_2023!J2451</f>
        <v>0</v>
      </c>
      <c r="K2451" s="958" t="s">
        <v>507</v>
      </c>
      <c r="L2451" s="959"/>
      <c r="M2451" s="1157">
        <f t="shared" si="245"/>
        <v>0</v>
      </c>
      <c r="N2451" s="1176">
        <f t="shared" si="241"/>
        <v>0</v>
      </c>
      <c r="O2451" s="905"/>
      <c r="P2451" s="58" t="str">
        <f>IF(N2449&gt;0,"xx",IF(N2449&gt;0,"xy",""))</f>
        <v/>
      </c>
      <c r="Q2451" s="317" t="str">
        <f t="shared" si="242"/>
        <v/>
      </c>
      <c r="R2451" s="317" t="str">
        <f t="shared" si="243"/>
        <v/>
      </c>
      <c r="S2451" s="317" t="str">
        <f t="shared" si="244"/>
        <v/>
      </c>
      <c r="T2451" s="317" t="str">
        <f>GLOBAL_DER_FEV_2023!S2451</f>
        <v/>
      </c>
      <c r="W2451" s="582">
        <v>0</v>
      </c>
      <c r="X2451" s="580"/>
      <c r="Y2451" s="583">
        <f>IF(GLOBAL_DER_FEV_2023!W2451=0,0,IF(GLOBAL_DER_FEV_2023!W2451&gt;0,"c","b"))</f>
        <v>0</v>
      </c>
    </row>
    <row r="2452" spans="1:25" ht="15" customHeight="1" x14ac:dyDescent="0.2">
      <c r="A2452" s="317" t="s">
        <v>147</v>
      </c>
      <c r="B2452" s="895" t="s">
        <v>147</v>
      </c>
      <c r="C2452" s="896"/>
      <c r="D2452" s="957" t="s">
        <v>233</v>
      </c>
      <c r="E2452" s="907">
        <f>GLOBAL_DER_FEV_2023!E2452</f>
        <v>0.2</v>
      </c>
      <c r="F2452" s="908">
        <f>GLOBAL_DER_FEV_2023!F2452</f>
        <v>0</v>
      </c>
      <c r="G2452" s="949">
        <f>GLOBAL_DER_FEV_2023!G2452</f>
        <v>0</v>
      </c>
      <c r="H2452" s="901">
        <f>GLOBAL_DER_FEV_2023!H2452</f>
        <v>0</v>
      </c>
      <c r="I2452" s="901" t="str">
        <f>GLOBAL_DER_FEV_2023!I2452</f>
        <v/>
      </c>
      <c r="J2452" s="902">
        <f>GLOBAL_DER_FEV_2023!J2452</f>
        <v>0</v>
      </c>
      <c r="K2452" s="958" t="s">
        <v>507</v>
      </c>
      <c r="L2452" s="959"/>
      <c r="M2452" s="1157">
        <f t="shared" si="245"/>
        <v>0</v>
      </c>
      <c r="N2452" s="1176">
        <f t="shared" si="241"/>
        <v>0</v>
      </c>
      <c r="O2452" s="905"/>
      <c r="P2452" s="58" t="str">
        <f>IF(N2449&gt;0,"xx",IF(N2449&gt;0,"xy",""))</f>
        <v/>
      </c>
      <c r="Q2452" s="317" t="str">
        <f t="shared" si="242"/>
        <v/>
      </c>
      <c r="R2452" s="317" t="str">
        <f t="shared" si="243"/>
        <v/>
      </c>
      <c r="S2452" s="317" t="str">
        <f t="shared" si="244"/>
        <v/>
      </c>
      <c r="T2452" s="317" t="str">
        <f>GLOBAL_DER_FEV_2023!S2452</f>
        <v/>
      </c>
      <c r="W2452" s="582">
        <v>0</v>
      </c>
      <c r="X2452" s="580"/>
      <c r="Y2452" s="583">
        <f>IF(GLOBAL_DER_FEV_2023!W2452=0,0,IF(GLOBAL_DER_FEV_2023!W2452&gt;0,"c","b"))</f>
        <v>0</v>
      </c>
    </row>
    <row r="2453" spans="1:25" ht="15" customHeight="1" x14ac:dyDescent="0.2">
      <c r="A2453" s="317" t="s">
        <v>147</v>
      </c>
      <c r="B2453" s="895" t="s">
        <v>147</v>
      </c>
      <c r="C2453" s="896"/>
      <c r="D2453" s="957" t="s">
        <v>365</v>
      </c>
      <c r="E2453" s="907">
        <f>GLOBAL_DER_FEV_2023!E2453</f>
        <v>10</v>
      </c>
      <c r="F2453" s="908">
        <f>GLOBAL_DER_FEV_2023!F2453</f>
        <v>0</v>
      </c>
      <c r="G2453" s="949">
        <f>GLOBAL_DER_FEV_2023!G2453</f>
        <v>0</v>
      </c>
      <c r="H2453" s="901">
        <f>GLOBAL_DER_FEV_2023!H2453</f>
        <v>0</v>
      </c>
      <c r="I2453" s="901" t="str">
        <f>GLOBAL_DER_FEV_2023!I2453</f>
        <v/>
      </c>
      <c r="J2453" s="902">
        <f>GLOBAL_DER_FEV_2023!J2453</f>
        <v>0</v>
      </c>
      <c r="K2453" s="958" t="s">
        <v>507</v>
      </c>
      <c r="L2453" s="959"/>
      <c r="M2453" s="1157">
        <f t="shared" si="245"/>
        <v>0</v>
      </c>
      <c r="N2453" s="1176">
        <f t="shared" si="241"/>
        <v>0</v>
      </c>
      <c r="O2453" s="905"/>
      <c r="P2453" s="58" t="str">
        <f>IF(N2449&gt;0,"xx",IF(N2449&gt;0,"xy",""))</f>
        <v/>
      </c>
      <c r="Q2453" s="317" t="str">
        <f t="shared" si="242"/>
        <v/>
      </c>
      <c r="R2453" s="317" t="str">
        <f t="shared" si="243"/>
        <v/>
      </c>
      <c r="S2453" s="317" t="str">
        <f t="shared" si="244"/>
        <v/>
      </c>
      <c r="T2453" s="317" t="str">
        <f>GLOBAL_DER_FEV_2023!S2453</f>
        <v/>
      </c>
      <c r="W2453" s="582">
        <v>0</v>
      </c>
      <c r="X2453" s="580"/>
      <c r="Y2453" s="583">
        <f>IF(GLOBAL_DER_FEV_2023!W2453=0,0,IF(GLOBAL_DER_FEV_2023!W2453&gt;0,"c","b"))</f>
        <v>0</v>
      </c>
    </row>
    <row r="2454" spans="1:25" ht="15" customHeight="1" x14ac:dyDescent="0.2">
      <c r="A2454" s="317" t="s">
        <v>147</v>
      </c>
      <c r="B2454" s="895" t="s">
        <v>147</v>
      </c>
      <c r="C2454" s="896"/>
      <c r="D2454" s="957" t="s">
        <v>366</v>
      </c>
      <c r="E2454" s="907">
        <f>GLOBAL_DER_FEV_2023!E2454</f>
        <v>353</v>
      </c>
      <c r="F2454" s="908">
        <f>GLOBAL_DER_FEV_2023!F2454</f>
        <v>0</v>
      </c>
      <c r="G2454" s="909">
        <f>GLOBAL_DER_FEV_2023!G2454</f>
        <v>0</v>
      </c>
      <c r="H2454" s="901">
        <f>GLOBAL_DER_FEV_2023!H2454</f>
        <v>0</v>
      </c>
      <c r="I2454" s="901" t="str">
        <f>GLOBAL_DER_FEV_2023!I2454</f>
        <v/>
      </c>
      <c r="J2454" s="902">
        <f>GLOBAL_DER_FEV_2023!J2454</f>
        <v>0</v>
      </c>
      <c r="K2454" s="958" t="s">
        <v>507</v>
      </c>
      <c r="L2454" s="959"/>
      <c r="M2454" s="1157">
        <f t="shared" si="245"/>
        <v>0</v>
      </c>
      <c r="N2454" s="1176">
        <f t="shared" si="241"/>
        <v>0</v>
      </c>
      <c r="O2454" s="905"/>
      <c r="P2454" s="58" t="str">
        <f>IF(N2449&gt;0,"xx",IF(N2449&gt;0,"xy",""))</f>
        <v/>
      </c>
      <c r="Q2454" s="317" t="str">
        <f t="shared" si="242"/>
        <v/>
      </c>
      <c r="R2454" s="317" t="str">
        <f t="shared" si="243"/>
        <v/>
      </c>
      <c r="S2454" s="317" t="str">
        <f t="shared" si="244"/>
        <v/>
      </c>
      <c r="T2454" s="317" t="str">
        <f>GLOBAL_DER_FEV_2023!S2454</f>
        <v/>
      </c>
      <c r="W2454" s="582">
        <v>0</v>
      </c>
      <c r="X2454" s="580"/>
      <c r="Y2454" s="583">
        <f>IF(GLOBAL_DER_FEV_2023!W2454=0,0,IF(GLOBAL_DER_FEV_2023!W2454&gt;0,"c","b"))</f>
        <v>0</v>
      </c>
    </row>
    <row r="2455" spans="1:25" ht="15" customHeight="1" x14ac:dyDescent="0.2">
      <c r="A2455" s="317" t="s">
        <v>401</v>
      </c>
      <c r="B2455" s="895" t="s">
        <v>401</v>
      </c>
      <c r="C2455" s="896" t="s">
        <v>184</v>
      </c>
      <c r="D2455" s="906" t="str">
        <f>'ENSAIOS DE ORÇAMENTO'!C80</f>
        <v>ENSAIO DE ORÇAMENTO 9</v>
      </c>
      <c r="E2455" s="907">
        <f>GLOBAL_DER_FEV_2023!E2455</f>
        <v>0</v>
      </c>
      <c r="F2455" s="908">
        <f>GLOBAL_DER_FEV_2023!F2455</f>
        <v>0</v>
      </c>
      <c r="G2455" s="912">
        <f>GLOBAL_DER_FEV_2023!G2455</f>
        <v>0</v>
      </c>
      <c r="H2455" s="901">
        <f>GLOBAL_DER_FEV_2023!H2455</f>
        <v>0</v>
      </c>
      <c r="I2455" s="901">
        <f>GLOBAL_DER_FEV_2023!I2455</f>
        <v>0</v>
      </c>
      <c r="J2455" s="902">
        <f>GLOBAL_DER_FEV_2023!J2455</f>
        <v>0</v>
      </c>
      <c r="K2455" s="903" t="s">
        <v>15</v>
      </c>
      <c r="L2455" s="1137"/>
      <c r="M2455" s="1138">
        <f t="shared" si="245"/>
        <v>0</v>
      </c>
      <c r="N2455" s="1176">
        <f t="shared" ref="N2455:N2518" si="246">IF(ISBLANK(L2455),0,IF(W2455=0,ROUND(L2455*M2455,2),IF(W2455="b",ROUNDDOWN(L2455*M2455,2),ROUNDUP(L2455*M2455,2))))</f>
        <v>0</v>
      </c>
      <c r="O2455" s="905"/>
      <c r="Q2455" s="317" t="str">
        <f t="shared" si="242"/>
        <v/>
      </c>
      <c r="R2455" s="317" t="str">
        <f t="shared" si="243"/>
        <v/>
      </c>
      <c r="S2455" s="317" t="str">
        <f t="shared" si="244"/>
        <v/>
      </c>
      <c r="T2455" s="317" t="str">
        <f>GLOBAL_DER_FEV_2023!S2455</f>
        <v/>
      </c>
      <c r="W2455" s="582">
        <v>0</v>
      </c>
      <c r="X2455" s="580"/>
      <c r="Y2455" s="583">
        <f>IF(GLOBAL_DER_FEV_2023!W2455=0,0,IF(GLOBAL_DER_FEV_2023!W2455&gt;0,"c","b"))</f>
        <v>0</v>
      </c>
    </row>
    <row r="2456" spans="1:25" ht="15" customHeight="1" x14ac:dyDescent="0.2">
      <c r="A2456" s="317" t="s">
        <v>147</v>
      </c>
      <c r="B2456" s="895" t="s">
        <v>147</v>
      </c>
      <c r="C2456" s="896"/>
      <c r="D2456" s="957" t="s">
        <v>190</v>
      </c>
      <c r="E2456" s="907">
        <f>GLOBAL_DER_FEV_2023!E2456</f>
        <v>308</v>
      </c>
      <c r="F2456" s="908">
        <f>GLOBAL_DER_FEV_2023!F2456</f>
        <v>0</v>
      </c>
      <c r="G2456" s="909">
        <f>GLOBAL_DER_FEV_2023!G2456</f>
        <v>0</v>
      </c>
      <c r="H2456" s="901">
        <f>GLOBAL_DER_FEV_2023!H2456</f>
        <v>0</v>
      </c>
      <c r="I2456" s="901" t="str">
        <f>GLOBAL_DER_FEV_2023!I2456</f>
        <v/>
      </c>
      <c r="J2456" s="902">
        <f>GLOBAL_DER_FEV_2023!J2456</f>
        <v>0</v>
      </c>
      <c r="K2456" s="958" t="s">
        <v>507</v>
      </c>
      <c r="L2456" s="959"/>
      <c r="M2456" s="1157">
        <f t="shared" si="245"/>
        <v>0</v>
      </c>
      <c r="N2456" s="1176">
        <f t="shared" si="246"/>
        <v>0</v>
      </c>
      <c r="O2456" s="905"/>
      <c r="P2456" s="58" t="str">
        <f>IF(N2455&gt;0,"xx",IF(N2455&gt;0,"xy",""))</f>
        <v/>
      </c>
      <c r="Q2456" s="317" t="str">
        <f t="shared" si="242"/>
        <v/>
      </c>
      <c r="R2456" s="317" t="str">
        <f t="shared" si="243"/>
        <v/>
      </c>
      <c r="S2456" s="317" t="str">
        <f t="shared" si="244"/>
        <v/>
      </c>
      <c r="T2456" s="317" t="str">
        <f>GLOBAL_DER_FEV_2023!S2456</f>
        <v/>
      </c>
      <c r="W2456" s="582">
        <v>0</v>
      </c>
      <c r="X2456" s="580"/>
      <c r="Y2456" s="583">
        <f>IF(GLOBAL_DER_FEV_2023!W2456=0,0,IF(GLOBAL_DER_FEV_2023!W2456&gt;0,"c","b"))</f>
        <v>0</v>
      </c>
    </row>
    <row r="2457" spans="1:25" ht="15" customHeight="1" x14ac:dyDescent="0.2">
      <c r="A2457" s="317" t="s">
        <v>147</v>
      </c>
      <c r="B2457" s="895" t="s">
        <v>147</v>
      </c>
      <c r="C2457" s="896"/>
      <c r="D2457" s="957" t="s">
        <v>229</v>
      </c>
      <c r="E2457" s="907">
        <f>GLOBAL_DER_FEV_2023!E2457</f>
        <v>150</v>
      </c>
      <c r="F2457" s="908">
        <f>GLOBAL_DER_FEV_2023!F2457</f>
        <v>0</v>
      </c>
      <c r="G2457" s="949">
        <f>GLOBAL_DER_FEV_2023!G2457</f>
        <v>0</v>
      </c>
      <c r="H2457" s="901">
        <f>GLOBAL_DER_FEV_2023!H2457</f>
        <v>0</v>
      </c>
      <c r="I2457" s="901" t="str">
        <f>GLOBAL_DER_FEV_2023!I2457</f>
        <v/>
      </c>
      <c r="J2457" s="902">
        <f>GLOBAL_DER_FEV_2023!J2457</f>
        <v>0</v>
      </c>
      <c r="K2457" s="958" t="s">
        <v>507</v>
      </c>
      <c r="L2457" s="959"/>
      <c r="M2457" s="1157">
        <f t="shared" si="245"/>
        <v>0</v>
      </c>
      <c r="N2457" s="1176">
        <f t="shared" si="246"/>
        <v>0</v>
      </c>
      <c r="O2457" s="905"/>
      <c r="P2457" s="58" t="str">
        <f>IF(N2455&gt;0,"xx",IF(N2455&gt;0,"xy",""))</f>
        <v/>
      </c>
      <c r="Q2457" s="317" t="str">
        <f t="shared" si="242"/>
        <v/>
      </c>
      <c r="R2457" s="317" t="str">
        <f t="shared" si="243"/>
        <v/>
      </c>
      <c r="S2457" s="317" t="str">
        <f t="shared" si="244"/>
        <v/>
      </c>
      <c r="T2457" s="317" t="str">
        <f>GLOBAL_DER_FEV_2023!S2457</f>
        <v/>
      </c>
      <c r="W2457" s="582">
        <v>0</v>
      </c>
      <c r="X2457" s="580"/>
      <c r="Y2457" s="583">
        <f>IF(GLOBAL_DER_FEV_2023!W2457=0,0,IF(GLOBAL_DER_FEV_2023!W2457&gt;0,"c","b"))</f>
        <v>0</v>
      </c>
    </row>
    <row r="2458" spans="1:25" ht="15" customHeight="1" x14ac:dyDescent="0.2">
      <c r="A2458" s="317" t="s">
        <v>147</v>
      </c>
      <c r="B2458" s="895" t="s">
        <v>147</v>
      </c>
      <c r="C2458" s="896"/>
      <c r="D2458" s="957" t="s">
        <v>233</v>
      </c>
      <c r="E2458" s="907">
        <f>GLOBAL_DER_FEV_2023!E2458</f>
        <v>0.2</v>
      </c>
      <c r="F2458" s="908">
        <f>GLOBAL_DER_FEV_2023!F2458</f>
        <v>0</v>
      </c>
      <c r="G2458" s="949">
        <f>GLOBAL_DER_FEV_2023!G2458</f>
        <v>0</v>
      </c>
      <c r="H2458" s="901">
        <f>GLOBAL_DER_FEV_2023!H2458</f>
        <v>0</v>
      </c>
      <c r="I2458" s="901" t="str">
        <f>GLOBAL_DER_FEV_2023!I2458</f>
        <v/>
      </c>
      <c r="J2458" s="902">
        <f>GLOBAL_DER_FEV_2023!J2458</f>
        <v>0</v>
      </c>
      <c r="K2458" s="958" t="s">
        <v>507</v>
      </c>
      <c r="L2458" s="959"/>
      <c r="M2458" s="1157">
        <f t="shared" si="245"/>
        <v>0</v>
      </c>
      <c r="N2458" s="1176">
        <f t="shared" si="246"/>
        <v>0</v>
      </c>
      <c r="O2458" s="905"/>
      <c r="P2458" s="58" t="str">
        <f>IF(N2455&gt;0,"xx",IF(N2455&gt;0,"xy",""))</f>
        <v/>
      </c>
      <c r="Q2458" s="317" t="str">
        <f t="shared" si="242"/>
        <v/>
      </c>
      <c r="R2458" s="317" t="str">
        <f t="shared" si="243"/>
        <v/>
      </c>
      <c r="S2458" s="317" t="str">
        <f t="shared" si="244"/>
        <v/>
      </c>
      <c r="T2458" s="317" t="str">
        <f>GLOBAL_DER_FEV_2023!S2458</f>
        <v/>
      </c>
      <c r="W2458" s="582">
        <v>0</v>
      </c>
      <c r="X2458" s="580"/>
      <c r="Y2458" s="583">
        <f>IF(GLOBAL_DER_FEV_2023!W2458=0,0,IF(GLOBAL_DER_FEV_2023!W2458&gt;0,"c","b"))</f>
        <v>0</v>
      </c>
    </row>
    <row r="2459" spans="1:25" ht="15" customHeight="1" x14ac:dyDescent="0.2">
      <c r="A2459" s="317" t="s">
        <v>147</v>
      </c>
      <c r="B2459" s="895" t="s">
        <v>147</v>
      </c>
      <c r="C2459" s="896"/>
      <c r="D2459" s="957" t="s">
        <v>365</v>
      </c>
      <c r="E2459" s="907">
        <f>GLOBAL_DER_FEV_2023!E2459</f>
        <v>10</v>
      </c>
      <c r="F2459" s="908">
        <f>GLOBAL_DER_FEV_2023!F2459</f>
        <v>0</v>
      </c>
      <c r="G2459" s="949">
        <f>GLOBAL_DER_FEV_2023!G2459</f>
        <v>0</v>
      </c>
      <c r="H2459" s="901">
        <f>GLOBAL_DER_FEV_2023!H2459</f>
        <v>0</v>
      </c>
      <c r="I2459" s="901" t="str">
        <f>GLOBAL_DER_FEV_2023!I2459</f>
        <v/>
      </c>
      <c r="J2459" s="902">
        <f>GLOBAL_DER_FEV_2023!J2459</f>
        <v>0</v>
      </c>
      <c r="K2459" s="958" t="s">
        <v>507</v>
      </c>
      <c r="L2459" s="959"/>
      <c r="M2459" s="1157">
        <f t="shared" si="245"/>
        <v>0</v>
      </c>
      <c r="N2459" s="1176">
        <f t="shared" si="246"/>
        <v>0</v>
      </c>
      <c r="O2459" s="905"/>
      <c r="P2459" s="58" t="str">
        <f>IF(N2455&gt;0,"xx",IF(N2455&gt;0,"xy",""))</f>
        <v/>
      </c>
      <c r="Q2459" s="317" t="str">
        <f t="shared" si="242"/>
        <v/>
      </c>
      <c r="R2459" s="317" t="str">
        <f t="shared" si="243"/>
        <v/>
      </c>
      <c r="S2459" s="317" t="str">
        <f t="shared" si="244"/>
        <v/>
      </c>
      <c r="T2459" s="317" t="str">
        <f>GLOBAL_DER_FEV_2023!S2459</f>
        <v/>
      </c>
      <c r="W2459" s="582">
        <v>0</v>
      </c>
      <c r="X2459" s="580"/>
      <c r="Y2459" s="583">
        <f>IF(GLOBAL_DER_FEV_2023!W2459=0,0,IF(GLOBAL_DER_FEV_2023!W2459&gt;0,"c","b"))</f>
        <v>0</v>
      </c>
    </row>
    <row r="2460" spans="1:25" ht="15" customHeight="1" x14ac:dyDescent="0.2">
      <c r="A2460" s="317" t="s">
        <v>147</v>
      </c>
      <c r="B2460" s="895" t="s">
        <v>147</v>
      </c>
      <c r="C2460" s="896"/>
      <c r="D2460" s="957" t="s">
        <v>366</v>
      </c>
      <c r="E2460" s="907">
        <f>GLOBAL_DER_FEV_2023!E2460</f>
        <v>353</v>
      </c>
      <c r="F2460" s="908">
        <f>GLOBAL_DER_FEV_2023!F2460</f>
        <v>0</v>
      </c>
      <c r="G2460" s="909">
        <f>GLOBAL_DER_FEV_2023!G2460</f>
        <v>0</v>
      </c>
      <c r="H2460" s="901">
        <f>GLOBAL_DER_FEV_2023!H2460</f>
        <v>0</v>
      </c>
      <c r="I2460" s="901" t="str">
        <f>GLOBAL_DER_FEV_2023!I2460</f>
        <v/>
      </c>
      <c r="J2460" s="902">
        <f>GLOBAL_DER_FEV_2023!J2460</f>
        <v>0</v>
      </c>
      <c r="K2460" s="958" t="s">
        <v>507</v>
      </c>
      <c r="L2460" s="959"/>
      <c r="M2460" s="1157">
        <f t="shared" si="245"/>
        <v>0</v>
      </c>
      <c r="N2460" s="1176">
        <f t="shared" si="246"/>
        <v>0</v>
      </c>
      <c r="O2460" s="905"/>
      <c r="P2460" s="58" t="str">
        <f>IF(N2455&gt;0,"xx",IF(N2455&gt;0,"xy",""))</f>
        <v/>
      </c>
      <c r="Q2460" s="317" t="str">
        <f t="shared" si="242"/>
        <v/>
      </c>
      <c r="R2460" s="317" t="str">
        <f t="shared" si="243"/>
        <v/>
      </c>
      <c r="S2460" s="317" t="str">
        <f t="shared" si="244"/>
        <v/>
      </c>
      <c r="T2460" s="317" t="str">
        <f>GLOBAL_DER_FEV_2023!S2460</f>
        <v/>
      </c>
      <c r="W2460" s="582">
        <v>0</v>
      </c>
      <c r="X2460" s="580"/>
      <c r="Y2460" s="583">
        <f>IF(GLOBAL_DER_FEV_2023!W2460=0,0,IF(GLOBAL_DER_FEV_2023!W2460&gt;0,"c","b"))</f>
        <v>0</v>
      </c>
    </row>
    <row r="2461" spans="1:25" ht="15" customHeight="1" x14ac:dyDescent="0.2">
      <c r="A2461" s="317" t="s">
        <v>402</v>
      </c>
      <c r="B2461" s="895" t="s">
        <v>402</v>
      </c>
      <c r="C2461" s="896" t="s">
        <v>184</v>
      </c>
      <c r="D2461" s="906" t="str">
        <f>'ENSAIOS DE ORÇAMENTO'!C81</f>
        <v>ENSAIO DE ORÇAMENTO 10</v>
      </c>
      <c r="E2461" s="907">
        <f>GLOBAL_DER_FEV_2023!E2461</f>
        <v>0</v>
      </c>
      <c r="F2461" s="908">
        <f>GLOBAL_DER_FEV_2023!F2461</f>
        <v>0</v>
      </c>
      <c r="G2461" s="912">
        <f>GLOBAL_DER_FEV_2023!G2461</f>
        <v>0</v>
      </c>
      <c r="H2461" s="901">
        <f>GLOBAL_DER_FEV_2023!H2461</f>
        <v>0</v>
      </c>
      <c r="I2461" s="901">
        <f>GLOBAL_DER_FEV_2023!I2461</f>
        <v>0</v>
      </c>
      <c r="J2461" s="902">
        <f>GLOBAL_DER_FEV_2023!J2461</f>
        <v>0</v>
      </c>
      <c r="K2461" s="903" t="s">
        <v>15</v>
      </c>
      <c r="L2461" s="1137"/>
      <c r="M2461" s="1138">
        <f t="shared" si="245"/>
        <v>0</v>
      </c>
      <c r="N2461" s="1176">
        <f t="shared" si="246"/>
        <v>0</v>
      </c>
      <c r="O2461" s="905"/>
      <c r="Q2461" s="317" t="str">
        <f t="shared" si="242"/>
        <v/>
      </c>
      <c r="R2461" s="317" t="str">
        <f t="shared" si="243"/>
        <v/>
      </c>
      <c r="S2461" s="317" t="str">
        <f t="shared" si="244"/>
        <v/>
      </c>
      <c r="T2461" s="317" t="str">
        <f>GLOBAL_DER_FEV_2023!S2461</f>
        <v/>
      </c>
      <c r="W2461" s="582">
        <v>0</v>
      </c>
      <c r="X2461" s="580"/>
      <c r="Y2461" s="583">
        <f>IF(GLOBAL_DER_FEV_2023!W2461=0,0,IF(GLOBAL_DER_FEV_2023!W2461&gt;0,"c","b"))</f>
        <v>0</v>
      </c>
    </row>
    <row r="2462" spans="1:25" ht="15" customHeight="1" x14ac:dyDescent="0.2">
      <c r="A2462" s="317" t="s">
        <v>147</v>
      </c>
      <c r="B2462" s="895" t="s">
        <v>147</v>
      </c>
      <c r="C2462" s="896"/>
      <c r="D2462" s="957" t="s">
        <v>190</v>
      </c>
      <c r="E2462" s="907">
        <f>GLOBAL_DER_FEV_2023!E2462</f>
        <v>308</v>
      </c>
      <c r="F2462" s="908">
        <f>GLOBAL_DER_FEV_2023!F2462</f>
        <v>0</v>
      </c>
      <c r="G2462" s="909">
        <f>GLOBAL_DER_FEV_2023!G2462</f>
        <v>0</v>
      </c>
      <c r="H2462" s="901">
        <f>GLOBAL_DER_FEV_2023!H2462</f>
        <v>0</v>
      </c>
      <c r="I2462" s="901" t="str">
        <f>GLOBAL_DER_FEV_2023!I2462</f>
        <v/>
      </c>
      <c r="J2462" s="902">
        <f>GLOBAL_DER_FEV_2023!J2462</f>
        <v>0</v>
      </c>
      <c r="K2462" s="958" t="s">
        <v>507</v>
      </c>
      <c r="L2462" s="959"/>
      <c r="M2462" s="1157">
        <f t="shared" si="245"/>
        <v>0</v>
      </c>
      <c r="N2462" s="1176">
        <f t="shared" si="246"/>
        <v>0</v>
      </c>
      <c r="O2462" s="905"/>
      <c r="P2462" s="58" t="str">
        <f>IF(N2461&gt;0,"xx",IF(N2461&gt;0,"xy",""))</f>
        <v/>
      </c>
      <c r="Q2462" s="317" t="str">
        <f t="shared" si="242"/>
        <v/>
      </c>
      <c r="R2462" s="317" t="str">
        <f t="shared" si="243"/>
        <v/>
      </c>
      <c r="S2462" s="317" t="str">
        <f t="shared" si="244"/>
        <v/>
      </c>
      <c r="T2462" s="317" t="str">
        <f>GLOBAL_DER_FEV_2023!S2462</f>
        <v/>
      </c>
      <c r="W2462" s="582">
        <v>0</v>
      </c>
      <c r="X2462" s="580"/>
      <c r="Y2462" s="583">
        <f>IF(GLOBAL_DER_FEV_2023!W2462=0,0,IF(GLOBAL_DER_FEV_2023!W2462&gt;0,"c","b"))</f>
        <v>0</v>
      </c>
    </row>
    <row r="2463" spans="1:25" ht="15" customHeight="1" x14ac:dyDescent="0.2">
      <c r="A2463" s="317" t="s">
        <v>147</v>
      </c>
      <c r="B2463" s="895" t="s">
        <v>147</v>
      </c>
      <c r="C2463" s="896"/>
      <c r="D2463" s="957" t="s">
        <v>229</v>
      </c>
      <c r="E2463" s="907">
        <f>GLOBAL_DER_FEV_2023!E2463</f>
        <v>150</v>
      </c>
      <c r="F2463" s="908">
        <f>GLOBAL_DER_FEV_2023!F2463</f>
        <v>0</v>
      </c>
      <c r="G2463" s="949">
        <f>GLOBAL_DER_FEV_2023!G2463</f>
        <v>0</v>
      </c>
      <c r="H2463" s="901">
        <f>GLOBAL_DER_FEV_2023!H2463</f>
        <v>0</v>
      </c>
      <c r="I2463" s="901" t="str">
        <f>GLOBAL_DER_FEV_2023!I2463</f>
        <v/>
      </c>
      <c r="J2463" s="902">
        <f>GLOBAL_DER_FEV_2023!J2463</f>
        <v>0</v>
      </c>
      <c r="K2463" s="958" t="s">
        <v>507</v>
      </c>
      <c r="L2463" s="959"/>
      <c r="M2463" s="1157">
        <f t="shared" si="245"/>
        <v>0</v>
      </c>
      <c r="N2463" s="1176">
        <f t="shared" si="246"/>
        <v>0</v>
      </c>
      <c r="O2463" s="905"/>
      <c r="P2463" s="58" t="str">
        <f>IF(N2461&gt;0,"xx",IF(N2461&gt;0,"xy",""))</f>
        <v/>
      </c>
      <c r="Q2463" s="317" t="str">
        <f t="shared" si="242"/>
        <v/>
      </c>
      <c r="R2463" s="317" t="str">
        <f t="shared" si="243"/>
        <v/>
      </c>
      <c r="S2463" s="317" t="str">
        <f t="shared" si="244"/>
        <v/>
      </c>
      <c r="T2463" s="317" t="str">
        <f>GLOBAL_DER_FEV_2023!S2463</f>
        <v/>
      </c>
      <c r="W2463" s="582">
        <v>0</v>
      </c>
      <c r="X2463" s="580"/>
      <c r="Y2463" s="583">
        <f>IF(GLOBAL_DER_FEV_2023!W2463=0,0,IF(GLOBAL_DER_FEV_2023!W2463&gt;0,"c","b"))</f>
        <v>0</v>
      </c>
    </row>
    <row r="2464" spans="1:25" ht="15" customHeight="1" x14ac:dyDescent="0.2">
      <c r="A2464" s="317" t="s">
        <v>147</v>
      </c>
      <c r="B2464" s="895" t="s">
        <v>147</v>
      </c>
      <c r="C2464" s="896"/>
      <c r="D2464" s="957" t="s">
        <v>233</v>
      </c>
      <c r="E2464" s="907">
        <f>GLOBAL_DER_FEV_2023!E2464</f>
        <v>0.2</v>
      </c>
      <c r="F2464" s="908">
        <f>GLOBAL_DER_FEV_2023!F2464</f>
        <v>0</v>
      </c>
      <c r="G2464" s="949">
        <f>GLOBAL_DER_FEV_2023!G2464</f>
        <v>0</v>
      </c>
      <c r="H2464" s="901">
        <f>GLOBAL_DER_FEV_2023!H2464</f>
        <v>0</v>
      </c>
      <c r="I2464" s="901" t="str">
        <f>GLOBAL_DER_FEV_2023!I2464</f>
        <v/>
      </c>
      <c r="J2464" s="902">
        <f>GLOBAL_DER_FEV_2023!J2464</f>
        <v>0</v>
      </c>
      <c r="K2464" s="958" t="s">
        <v>507</v>
      </c>
      <c r="L2464" s="959"/>
      <c r="M2464" s="1157">
        <f t="shared" si="245"/>
        <v>0</v>
      </c>
      <c r="N2464" s="1176">
        <f t="shared" si="246"/>
        <v>0</v>
      </c>
      <c r="O2464" s="905"/>
      <c r="P2464" s="58" t="str">
        <f>IF(N2461&gt;0,"xx",IF(N2461&gt;0,"xy",""))</f>
        <v/>
      </c>
      <c r="Q2464" s="317" t="str">
        <f t="shared" si="242"/>
        <v/>
      </c>
      <c r="R2464" s="317" t="str">
        <f t="shared" si="243"/>
        <v/>
      </c>
      <c r="S2464" s="317" t="str">
        <f t="shared" si="244"/>
        <v/>
      </c>
      <c r="T2464" s="317" t="str">
        <f>GLOBAL_DER_FEV_2023!S2464</f>
        <v/>
      </c>
      <c r="W2464" s="582">
        <v>0</v>
      </c>
      <c r="X2464" s="580"/>
      <c r="Y2464" s="583">
        <f>IF(GLOBAL_DER_FEV_2023!W2464=0,0,IF(GLOBAL_DER_FEV_2023!W2464&gt;0,"c","b"))</f>
        <v>0</v>
      </c>
    </row>
    <row r="2465" spans="1:25" ht="15" customHeight="1" x14ac:dyDescent="0.2">
      <c r="A2465" s="317" t="s">
        <v>147</v>
      </c>
      <c r="B2465" s="895" t="s">
        <v>147</v>
      </c>
      <c r="C2465" s="896"/>
      <c r="D2465" s="957" t="s">
        <v>365</v>
      </c>
      <c r="E2465" s="907">
        <f>GLOBAL_DER_FEV_2023!E2465</f>
        <v>10</v>
      </c>
      <c r="F2465" s="908">
        <f>GLOBAL_DER_FEV_2023!F2465</f>
        <v>0</v>
      </c>
      <c r="G2465" s="949">
        <f>GLOBAL_DER_FEV_2023!G2465</f>
        <v>0</v>
      </c>
      <c r="H2465" s="901">
        <f>GLOBAL_DER_FEV_2023!H2465</f>
        <v>0</v>
      </c>
      <c r="I2465" s="901" t="str">
        <f>GLOBAL_DER_FEV_2023!I2465</f>
        <v/>
      </c>
      <c r="J2465" s="902">
        <f>GLOBAL_DER_FEV_2023!J2465</f>
        <v>0</v>
      </c>
      <c r="K2465" s="958" t="s">
        <v>507</v>
      </c>
      <c r="L2465" s="959"/>
      <c r="M2465" s="1157">
        <f t="shared" si="245"/>
        <v>0</v>
      </c>
      <c r="N2465" s="1176">
        <f t="shared" si="246"/>
        <v>0</v>
      </c>
      <c r="O2465" s="905"/>
      <c r="P2465" s="58" t="str">
        <f>IF(N2461&gt;0,"xx",IF(N2461&gt;0,"xy",""))</f>
        <v/>
      </c>
      <c r="Q2465" s="317" t="str">
        <f t="shared" si="242"/>
        <v/>
      </c>
      <c r="R2465" s="317" t="str">
        <f t="shared" si="243"/>
        <v/>
      </c>
      <c r="S2465" s="317" t="str">
        <f t="shared" si="244"/>
        <v/>
      </c>
      <c r="T2465" s="317" t="str">
        <f>GLOBAL_DER_FEV_2023!S2465</f>
        <v/>
      </c>
      <c r="W2465" s="582">
        <v>0</v>
      </c>
      <c r="X2465" s="580"/>
      <c r="Y2465" s="583">
        <f>IF(GLOBAL_DER_FEV_2023!W2465=0,0,IF(GLOBAL_DER_FEV_2023!W2465&gt;0,"c","b"))</f>
        <v>0</v>
      </c>
    </row>
    <row r="2466" spans="1:25" ht="15" customHeight="1" x14ac:dyDescent="0.2">
      <c r="A2466" s="317" t="s">
        <v>147</v>
      </c>
      <c r="B2466" s="895" t="s">
        <v>147</v>
      </c>
      <c r="C2466" s="896"/>
      <c r="D2466" s="957" t="s">
        <v>366</v>
      </c>
      <c r="E2466" s="907">
        <f>GLOBAL_DER_FEV_2023!E2466</f>
        <v>353</v>
      </c>
      <c r="F2466" s="908">
        <f>GLOBAL_DER_FEV_2023!F2466</f>
        <v>0</v>
      </c>
      <c r="G2466" s="909">
        <f>GLOBAL_DER_FEV_2023!G2466</f>
        <v>0</v>
      </c>
      <c r="H2466" s="901">
        <f>GLOBAL_DER_FEV_2023!H2466</f>
        <v>0</v>
      </c>
      <c r="I2466" s="901" t="str">
        <f>GLOBAL_DER_FEV_2023!I2466</f>
        <v/>
      </c>
      <c r="J2466" s="902">
        <f>GLOBAL_DER_FEV_2023!J2466</f>
        <v>0</v>
      </c>
      <c r="K2466" s="958" t="s">
        <v>507</v>
      </c>
      <c r="L2466" s="959"/>
      <c r="M2466" s="1157">
        <f t="shared" si="245"/>
        <v>0</v>
      </c>
      <c r="N2466" s="1176">
        <f t="shared" si="246"/>
        <v>0</v>
      </c>
      <c r="O2466" s="905"/>
      <c r="P2466" s="58" t="str">
        <f>IF(N2461&gt;0,"xx",IF(N2461&gt;0,"xy",""))</f>
        <v/>
      </c>
      <c r="Q2466" s="317" t="str">
        <f t="shared" si="242"/>
        <v/>
      </c>
      <c r="R2466" s="317" t="str">
        <f t="shared" si="243"/>
        <v/>
      </c>
      <c r="S2466" s="317" t="str">
        <f t="shared" si="244"/>
        <v/>
      </c>
      <c r="T2466" s="317" t="str">
        <f>GLOBAL_DER_FEV_2023!S2466</f>
        <v/>
      </c>
      <c r="W2466" s="582">
        <v>0</v>
      </c>
      <c r="X2466" s="580"/>
      <c r="Y2466" s="583">
        <f>IF(GLOBAL_DER_FEV_2023!W2466=0,0,IF(GLOBAL_DER_FEV_2023!W2466&gt;0,"c","b"))</f>
        <v>0</v>
      </c>
    </row>
    <row r="2467" spans="1:25" ht="15" customHeight="1" x14ac:dyDescent="0.2">
      <c r="A2467" s="640" t="s">
        <v>165</v>
      </c>
      <c r="B2467" s="913" t="s">
        <v>165</v>
      </c>
      <c r="C2467" s="914"/>
      <c r="D2467" s="915" t="s">
        <v>413</v>
      </c>
      <c r="E2467" s="916">
        <f>GLOBAL_DER_FEV_2023!E2467</f>
        <v>0</v>
      </c>
      <c r="F2467" s="917">
        <f>GLOBAL_DER_FEV_2023!F2467</f>
        <v>0</v>
      </c>
      <c r="G2467" s="918">
        <f>GLOBAL_DER_FEV_2023!G2467</f>
        <v>0</v>
      </c>
      <c r="H2467" s="919">
        <f>GLOBAL_DER_FEV_2023!H2467</f>
        <v>0</v>
      </c>
      <c r="I2467" s="919">
        <f>GLOBAL_DER_FEV_2023!I2467</f>
        <v>0</v>
      </c>
      <c r="J2467" s="919">
        <f>GLOBAL_DER_FEV_2023!J2467</f>
        <v>0</v>
      </c>
      <c r="K2467" s="920" t="s">
        <v>507</v>
      </c>
      <c r="L2467" s="921"/>
      <c r="M2467" s="1175">
        <f t="shared" si="245"/>
        <v>0</v>
      </c>
      <c r="N2467" s="1178">
        <f t="shared" si="246"/>
        <v>0</v>
      </c>
      <c r="O2467" s="905"/>
      <c r="P2467" s="58" t="str">
        <f>IF(OR(SUM(N2468:N2498)&gt;0,SUM(N2468:N2498)&gt;0),"y","")</f>
        <v/>
      </c>
      <c r="Q2467" s="317" t="str">
        <f t="shared" si="242"/>
        <v/>
      </c>
      <c r="R2467" s="317" t="str">
        <f t="shared" si="243"/>
        <v/>
      </c>
      <c r="S2467" s="317" t="str">
        <f t="shared" si="244"/>
        <v/>
      </c>
      <c r="T2467" s="317" t="str">
        <f>GLOBAL_DER_FEV_2023!S2467</f>
        <v/>
      </c>
      <c r="W2467" s="582">
        <v>0</v>
      </c>
      <c r="X2467" s="580"/>
      <c r="Y2467" s="583">
        <f>IF(GLOBAL_DER_FEV_2023!W2467=0,0,IF(GLOBAL_DER_FEV_2023!W2467&gt;0,"c","b"))</f>
        <v>0</v>
      </c>
    </row>
    <row r="2468" spans="1:25" ht="15" customHeight="1" x14ac:dyDescent="0.2">
      <c r="A2468" s="640" t="s">
        <v>165</v>
      </c>
      <c r="B2468" s="1036" t="str">
        <f>GLOBAL_DER_FEV_2023!B2468</f>
        <v>102308</v>
      </c>
      <c r="C2468" s="1072" t="str">
        <f>GLOBAL_DER_FEV_2023!C2468</f>
        <v>SINAPI</v>
      </c>
      <c r="D2468" s="1141" t="str">
        <f>GLOBAL_DER_FEV_2023!D2468</f>
        <v xml:space="preserve">ESCAVAÇÃO MECANIZADA DE VALA COM PROF MAIOR QUE 1,5 M ATÉ 3,0 M </v>
      </c>
      <c r="E2468" s="907">
        <f>GLOBAL_DER_FEV_2023!E2468</f>
        <v>0</v>
      </c>
      <c r="F2468" s="908">
        <f>GLOBAL_DER_FEV_2023!F2468</f>
        <v>0</v>
      </c>
      <c r="G2468" s="912">
        <f>GLOBAL_DER_FEV_2023!G2468</f>
        <v>0</v>
      </c>
      <c r="H2468" s="901">
        <f>GLOBAL_DER_FEV_2023!H2468</f>
        <v>13.05</v>
      </c>
      <c r="I2468" s="901">
        <f>GLOBAL_DER_FEV_2023!I2468</f>
        <v>13.05</v>
      </c>
      <c r="J2468" s="890">
        <f>GLOBAL_DER_FEV_2023!J2468</f>
        <v>15.67</v>
      </c>
      <c r="K2468" s="903" t="str">
        <f>GLOBAL_DER_FEV_2023!K2468</f>
        <v>M3</v>
      </c>
      <c r="L2468" s="1137"/>
      <c r="M2468" s="1175">
        <f t="shared" si="245"/>
        <v>0</v>
      </c>
      <c r="N2468" s="1167">
        <f t="shared" si="246"/>
        <v>0</v>
      </c>
      <c r="O2468" s="1165"/>
      <c r="Q2468" s="317" t="str">
        <f t="shared" si="242"/>
        <v/>
      </c>
      <c r="R2468" s="317" t="str">
        <f t="shared" si="243"/>
        <v/>
      </c>
      <c r="S2468" s="317" t="str">
        <f t="shared" si="244"/>
        <v/>
      </c>
      <c r="T2468" s="317" t="str">
        <f>GLOBAL_DER_FEV_2023!S2468</f>
        <v/>
      </c>
      <c r="W2468" s="582">
        <v>0</v>
      </c>
      <c r="X2468" s="580"/>
      <c r="Y2468" s="583">
        <f>IF(GLOBAL_DER_FEV_2023!W2468=0,0,IF(GLOBAL_DER_FEV_2023!W2468&gt;0,"c","b"))</f>
        <v>0</v>
      </c>
    </row>
    <row r="2469" spans="1:25" ht="15" customHeight="1" x14ac:dyDescent="0.2">
      <c r="A2469" s="640" t="s">
        <v>165</v>
      </c>
      <c r="B2469" s="1036" t="str">
        <f>GLOBAL_DER_FEV_2023!B2469</f>
        <v>102298</v>
      </c>
      <c r="C2469" s="1072" t="str">
        <f>GLOBAL_DER_FEV_2023!C2469</f>
        <v>SINAPI</v>
      </c>
      <c r="D2469" s="1141" t="str">
        <f>GLOBAL_DER_FEV_2023!D2469</f>
        <v xml:space="preserve">ESCAVAÇÃO MECANIZADA DE VALA COM PROF. ATÉ 1,5 M </v>
      </c>
      <c r="E2469" s="907">
        <f>GLOBAL_DER_FEV_2023!E2469</f>
        <v>0</v>
      </c>
      <c r="F2469" s="908">
        <f>GLOBAL_DER_FEV_2023!F2469</f>
        <v>0</v>
      </c>
      <c r="G2469" s="912">
        <f>GLOBAL_DER_FEV_2023!G2469</f>
        <v>0</v>
      </c>
      <c r="H2469" s="901">
        <f>GLOBAL_DER_FEV_2023!H2469</f>
        <v>16.329999999999998</v>
      </c>
      <c r="I2469" s="901">
        <f>GLOBAL_DER_FEV_2023!I2469</f>
        <v>16.329999999999998</v>
      </c>
      <c r="J2469" s="890">
        <f>GLOBAL_DER_FEV_2023!J2469</f>
        <v>19.61</v>
      </c>
      <c r="K2469" s="903" t="str">
        <f>GLOBAL_DER_FEV_2023!K2469</f>
        <v>M3</v>
      </c>
      <c r="L2469" s="1137"/>
      <c r="M2469" s="1175">
        <f t="shared" si="245"/>
        <v>0</v>
      </c>
      <c r="N2469" s="1167">
        <f t="shared" si="246"/>
        <v>0</v>
      </c>
      <c r="O2469" s="1165"/>
      <c r="Q2469" s="317" t="str">
        <f t="shared" si="242"/>
        <v/>
      </c>
      <c r="R2469" s="317" t="str">
        <f t="shared" si="243"/>
        <v/>
      </c>
      <c r="S2469" s="317" t="str">
        <f t="shared" si="244"/>
        <v/>
      </c>
      <c r="T2469" s="317" t="str">
        <f>GLOBAL_DER_FEV_2023!S2469</f>
        <v/>
      </c>
      <c r="W2469" s="582">
        <v>0</v>
      </c>
      <c r="X2469" s="580"/>
      <c r="Y2469" s="583">
        <f>IF(GLOBAL_DER_FEV_2023!W2469=0,0,IF(GLOBAL_DER_FEV_2023!W2469&gt;0,"c","b"))</f>
        <v>0</v>
      </c>
    </row>
    <row r="2470" spans="1:25" ht="15" customHeight="1" x14ac:dyDescent="0.2">
      <c r="A2470" s="640" t="s">
        <v>165</v>
      </c>
      <c r="B2470" s="1036" t="str">
        <f>GLOBAL_DER_FEV_2023!B2470</f>
        <v/>
      </c>
      <c r="C2470" s="1072" t="str">
        <f>GLOBAL_DER_FEV_2023!C2470</f>
        <v/>
      </c>
      <c r="D2470" s="1141">
        <f>GLOBAL_DER_FEV_2023!D2470</f>
        <v>0</v>
      </c>
      <c r="E2470" s="907">
        <f>GLOBAL_DER_FEV_2023!E2470</f>
        <v>0</v>
      </c>
      <c r="F2470" s="908">
        <f>GLOBAL_DER_FEV_2023!F2470</f>
        <v>0</v>
      </c>
      <c r="G2470" s="912">
        <f>GLOBAL_DER_FEV_2023!G2470</f>
        <v>0</v>
      </c>
      <c r="H2470" s="901">
        <f>GLOBAL_DER_FEV_2023!H2470</f>
        <v>0</v>
      </c>
      <c r="I2470" s="901" t="str">
        <f>GLOBAL_DER_FEV_2023!I2470</f>
        <v/>
      </c>
      <c r="J2470" s="890">
        <f>GLOBAL_DER_FEV_2023!J2470</f>
        <v>0</v>
      </c>
      <c r="K2470" s="903" t="str">
        <f>GLOBAL_DER_FEV_2023!K2470</f>
        <v xml:space="preserve">     </v>
      </c>
      <c r="L2470" s="1137"/>
      <c r="M2470" s="1175">
        <f t="shared" si="245"/>
        <v>0</v>
      </c>
      <c r="N2470" s="1167">
        <f t="shared" si="246"/>
        <v>0</v>
      </c>
      <c r="O2470" s="1165"/>
      <c r="Q2470" s="317" t="str">
        <f t="shared" si="242"/>
        <v/>
      </c>
      <c r="R2470" s="317" t="str">
        <f t="shared" si="243"/>
        <v/>
      </c>
      <c r="S2470" s="317" t="str">
        <f t="shared" si="244"/>
        <v/>
      </c>
      <c r="T2470" s="317" t="str">
        <f>GLOBAL_DER_FEV_2023!S2470</f>
        <v/>
      </c>
      <c r="W2470" s="582">
        <v>0</v>
      </c>
      <c r="X2470" s="580"/>
      <c r="Y2470" s="583">
        <f>IF(GLOBAL_DER_FEV_2023!W2470=0,0,IF(GLOBAL_DER_FEV_2023!W2470&gt;0,"c","b"))</f>
        <v>0</v>
      </c>
    </row>
    <row r="2471" spans="1:25" ht="15" customHeight="1" x14ac:dyDescent="0.2">
      <c r="A2471" s="640" t="s">
        <v>165</v>
      </c>
      <c r="B2471" s="1036" t="str">
        <f>GLOBAL_DER_FEV_2023!B2471</f>
        <v/>
      </c>
      <c r="C2471" s="1072" t="str">
        <f>GLOBAL_DER_FEV_2023!C2471</f>
        <v/>
      </c>
      <c r="D2471" s="1141">
        <f>GLOBAL_DER_FEV_2023!D2471</f>
        <v>0</v>
      </c>
      <c r="E2471" s="907">
        <f>GLOBAL_DER_FEV_2023!E2471</f>
        <v>0</v>
      </c>
      <c r="F2471" s="908">
        <f>GLOBAL_DER_FEV_2023!F2471</f>
        <v>0</v>
      </c>
      <c r="G2471" s="912">
        <f>GLOBAL_DER_FEV_2023!G2471</f>
        <v>0</v>
      </c>
      <c r="H2471" s="901">
        <f>GLOBAL_DER_FEV_2023!H2471</f>
        <v>0</v>
      </c>
      <c r="I2471" s="901" t="str">
        <f>GLOBAL_DER_FEV_2023!I2471</f>
        <v/>
      </c>
      <c r="J2471" s="890">
        <f>GLOBAL_DER_FEV_2023!J2471</f>
        <v>0</v>
      </c>
      <c r="K2471" s="903" t="str">
        <f>GLOBAL_DER_FEV_2023!K2471</f>
        <v xml:space="preserve">     </v>
      </c>
      <c r="L2471" s="1137"/>
      <c r="M2471" s="1175">
        <f t="shared" si="245"/>
        <v>0</v>
      </c>
      <c r="N2471" s="1167">
        <f t="shared" si="246"/>
        <v>0</v>
      </c>
      <c r="O2471" s="1165"/>
      <c r="Q2471" s="317" t="str">
        <f t="shared" si="242"/>
        <v/>
      </c>
      <c r="R2471" s="317" t="str">
        <f t="shared" si="243"/>
        <v/>
      </c>
      <c r="S2471" s="317" t="str">
        <f t="shared" si="244"/>
        <v/>
      </c>
      <c r="T2471" s="317" t="str">
        <f>GLOBAL_DER_FEV_2023!S2471</f>
        <v/>
      </c>
      <c r="W2471" s="582">
        <v>0</v>
      </c>
      <c r="X2471" s="580"/>
      <c r="Y2471" s="583">
        <f>IF(GLOBAL_DER_FEV_2023!W2471=0,0,IF(GLOBAL_DER_FEV_2023!W2471&gt;0,"c","b"))</f>
        <v>0</v>
      </c>
    </row>
    <row r="2472" spans="1:25" ht="15" customHeight="1" x14ac:dyDescent="0.2">
      <c r="A2472" s="640" t="s">
        <v>165</v>
      </c>
      <c r="B2472" s="1036" t="str">
        <f>GLOBAL_DER_FEV_2023!B2472</f>
        <v/>
      </c>
      <c r="C2472" s="1072" t="str">
        <f>GLOBAL_DER_FEV_2023!C2472</f>
        <v/>
      </c>
      <c r="D2472" s="1141">
        <f>GLOBAL_DER_FEV_2023!D2472</f>
        <v>0</v>
      </c>
      <c r="E2472" s="907">
        <f>GLOBAL_DER_FEV_2023!E2472</f>
        <v>0</v>
      </c>
      <c r="F2472" s="908">
        <f>GLOBAL_DER_FEV_2023!F2472</f>
        <v>0</v>
      </c>
      <c r="G2472" s="912">
        <f>GLOBAL_DER_FEV_2023!G2472</f>
        <v>0</v>
      </c>
      <c r="H2472" s="901">
        <f>GLOBAL_DER_FEV_2023!H2472</f>
        <v>0</v>
      </c>
      <c r="I2472" s="901" t="str">
        <f>GLOBAL_DER_FEV_2023!I2472</f>
        <v/>
      </c>
      <c r="J2472" s="890">
        <f>GLOBAL_DER_FEV_2023!J2472</f>
        <v>0</v>
      </c>
      <c r="K2472" s="903" t="str">
        <f>GLOBAL_DER_FEV_2023!K2472</f>
        <v xml:space="preserve">     </v>
      </c>
      <c r="L2472" s="1137"/>
      <c r="M2472" s="1175">
        <f t="shared" si="245"/>
        <v>0</v>
      </c>
      <c r="N2472" s="1167">
        <f t="shared" si="246"/>
        <v>0</v>
      </c>
      <c r="O2472" s="1165"/>
      <c r="Q2472" s="317" t="str">
        <f t="shared" si="242"/>
        <v/>
      </c>
      <c r="R2472" s="317" t="str">
        <f t="shared" si="243"/>
        <v/>
      </c>
      <c r="S2472" s="317" t="str">
        <f t="shared" si="244"/>
        <v/>
      </c>
      <c r="T2472" s="317" t="str">
        <f>GLOBAL_DER_FEV_2023!S2472</f>
        <v/>
      </c>
      <c r="W2472" s="582">
        <v>0</v>
      </c>
      <c r="X2472" s="580"/>
      <c r="Y2472" s="583">
        <f>IF(GLOBAL_DER_FEV_2023!W2472=0,0,IF(GLOBAL_DER_FEV_2023!W2472&gt;0,"c","b"))</f>
        <v>0</v>
      </c>
    </row>
    <row r="2473" spans="1:25" ht="15" customHeight="1" x14ac:dyDescent="0.2">
      <c r="A2473" s="640" t="s">
        <v>165</v>
      </c>
      <c r="B2473" s="1036" t="str">
        <f>GLOBAL_DER_FEV_2023!B2473</f>
        <v/>
      </c>
      <c r="C2473" s="1072" t="str">
        <f>GLOBAL_DER_FEV_2023!C2473</f>
        <v/>
      </c>
      <c r="D2473" s="1141">
        <f>GLOBAL_DER_FEV_2023!D2473</f>
        <v>0</v>
      </c>
      <c r="E2473" s="907">
        <f>GLOBAL_DER_FEV_2023!E2473</f>
        <v>0</v>
      </c>
      <c r="F2473" s="908">
        <f>GLOBAL_DER_FEV_2023!F2473</f>
        <v>0</v>
      </c>
      <c r="G2473" s="912">
        <f>GLOBAL_DER_FEV_2023!G2473</f>
        <v>0</v>
      </c>
      <c r="H2473" s="901">
        <f>GLOBAL_DER_FEV_2023!H2473</f>
        <v>0</v>
      </c>
      <c r="I2473" s="901" t="str">
        <f>GLOBAL_DER_FEV_2023!I2473</f>
        <v/>
      </c>
      <c r="J2473" s="890">
        <f>GLOBAL_DER_FEV_2023!J2473</f>
        <v>0</v>
      </c>
      <c r="K2473" s="903" t="str">
        <f>GLOBAL_DER_FEV_2023!K2473</f>
        <v xml:space="preserve">     </v>
      </c>
      <c r="L2473" s="1137"/>
      <c r="M2473" s="1175">
        <f t="shared" si="245"/>
        <v>0</v>
      </c>
      <c r="N2473" s="1167">
        <f t="shared" si="246"/>
        <v>0</v>
      </c>
      <c r="O2473" s="1165"/>
      <c r="Q2473" s="317" t="str">
        <f t="shared" si="242"/>
        <v/>
      </c>
      <c r="R2473" s="317" t="str">
        <f t="shared" si="243"/>
        <v/>
      </c>
      <c r="S2473" s="317" t="str">
        <f t="shared" si="244"/>
        <v/>
      </c>
      <c r="T2473" s="317" t="str">
        <f>GLOBAL_DER_FEV_2023!S2473</f>
        <v/>
      </c>
      <c r="W2473" s="582">
        <v>0</v>
      </c>
      <c r="X2473" s="580"/>
      <c r="Y2473" s="583">
        <f>IF(GLOBAL_DER_FEV_2023!W2473=0,0,IF(GLOBAL_DER_FEV_2023!W2473&gt;0,"c","b"))</f>
        <v>0</v>
      </c>
    </row>
    <row r="2474" spans="1:25" ht="15" customHeight="1" x14ac:dyDescent="0.2">
      <c r="A2474" s="640" t="s">
        <v>165</v>
      </c>
      <c r="B2474" s="1036" t="str">
        <f>GLOBAL_DER_FEV_2023!B2474</f>
        <v/>
      </c>
      <c r="C2474" s="1072" t="str">
        <f>GLOBAL_DER_FEV_2023!C2474</f>
        <v/>
      </c>
      <c r="D2474" s="1141">
        <f>GLOBAL_DER_FEV_2023!D2474</f>
        <v>0</v>
      </c>
      <c r="E2474" s="907">
        <f>GLOBAL_DER_FEV_2023!E2474</f>
        <v>0</v>
      </c>
      <c r="F2474" s="908">
        <f>GLOBAL_DER_FEV_2023!F2474</f>
        <v>0</v>
      </c>
      <c r="G2474" s="912">
        <f>GLOBAL_DER_FEV_2023!G2474</f>
        <v>0</v>
      </c>
      <c r="H2474" s="901">
        <f>GLOBAL_DER_FEV_2023!H2474</f>
        <v>0</v>
      </c>
      <c r="I2474" s="901" t="str">
        <f>GLOBAL_DER_FEV_2023!I2474</f>
        <v/>
      </c>
      <c r="J2474" s="890">
        <f>GLOBAL_DER_FEV_2023!J2474</f>
        <v>0</v>
      </c>
      <c r="K2474" s="903" t="str">
        <f>GLOBAL_DER_FEV_2023!K2474</f>
        <v xml:space="preserve">     </v>
      </c>
      <c r="L2474" s="1137"/>
      <c r="M2474" s="1175">
        <f t="shared" si="245"/>
        <v>0</v>
      </c>
      <c r="N2474" s="1167">
        <f t="shared" si="246"/>
        <v>0</v>
      </c>
      <c r="O2474" s="1165"/>
      <c r="Q2474" s="317" t="str">
        <f t="shared" si="242"/>
        <v/>
      </c>
      <c r="R2474" s="317" t="str">
        <f t="shared" si="243"/>
        <v/>
      </c>
      <c r="S2474" s="317" t="str">
        <f t="shared" si="244"/>
        <v/>
      </c>
      <c r="T2474" s="317" t="str">
        <f>GLOBAL_DER_FEV_2023!S2474</f>
        <v/>
      </c>
      <c r="W2474" s="582">
        <v>0</v>
      </c>
      <c r="X2474" s="580"/>
      <c r="Y2474" s="583">
        <f>IF(GLOBAL_DER_FEV_2023!W2474=0,0,IF(GLOBAL_DER_FEV_2023!W2474&gt;0,"c","b"))</f>
        <v>0</v>
      </c>
    </row>
    <row r="2475" spans="1:25" ht="15" customHeight="1" x14ac:dyDescent="0.2">
      <c r="A2475" s="640" t="s">
        <v>165</v>
      </c>
      <c r="B2475" s="1036" t="str">
        <f>GLOBAL_DER_FEV_2023!B2475</f>
        <v/>
      </c>
      <c r="C2475" s="1072" t="str">
        <f>GLOBAL_DER_FEV_2023!C2475</f>
        <v/>
      </c>
      <c r="D2475" s="1141">
        <f>GLOBAL_DER_FEV_2023!D2475</f>
        <v>0</v>
      </c>
      <c r="E2475" s="907">
        <f>GLOBAL_DER_FEV_2023!E2475</f>
        <v>0</v>
      </c>
      <c r="F2475" s="908">
        <f>GLOBAL_DER_FEV_2023!F2475</f>
        <v>0</v>
      </c>
      <c r="G2475" s="912">
        <f>GLOBAL_DER_FEV_2023!G2475</f>
        <v>0</v>
      </c>
      <c r="H2475" s="901">
        <f>GLOBAL_DER_FEV_2023!H2475</f>
        <v>0</v>
      </c>
      <c r="I2475" s="901" t="str">
        <f>GLOBAL_DER_FEV_2023!I2475</f>
        <v/>
      </c>
      <c r="J2475" s="890">
        <f>GLOBAL_DER_FEV_2023!J2475</f>
        <v>0</v>
      </c>
      <c r="K2475" s="903" t="str">
        <f>GLOBAL_DER_FEV_2023!K2475</f>
        <v xml:space="preserve">     </v>
      </c>
      <c r="L2475" s="1137"/>
      <c r="M2475" s="1175">
        <f t="shared" si="245"/>
        <v>0</v>
      </c>
      <c r="N2475" s="1167">
        <f t="shared" si="246"/>
        <v>0</v>
      </c>
      <c r="O2475" s="1165"/>
      <c r="Q2475" s="317" t="str">
        <f t="shared" si="242"/>
        <v/>
      </c>
      <c r="R2475" s="317" t="str">
        <f t="shared" si="243"/>
        <v/>
      </c>
      <c r="S2475" s="317" t="str">
        <f t="shared" si="244"/>
        <v/>
      </c>
      <c r="T2475" s="317" t="str">
        <f>GLOBAL_DER_FEV_2023!S2475</f>
        <v/>
      </c>
      <c r="W2475" s="582">
        <v>0</v>
      </c>
      <c r="X2475" s="580"/>
      <c r="Y2475" s="583">
        <f>IF(GLOBAL_DER_FEV_2023!W2475=0,0,IF(GLOBAL_DER_FEV_2023!W2475&gt;0,"c","b"))</f>
        <v>0</v>
      </c>
    </row>
    <row r="2476" spans="1:25" ht="15" customHeight="1" x14ac:dyDescent="0.2">
      <c r="A2476" s="640" t="s">
        <v>165</v>
      </c>
      <c r="B2476" s="1036" t="str">
        <f>GLOBAL_DER_FEV_2023!B2476</f>
        <v/>
      </c>
      <c r="C2476" s="1072" t="str">
        <f>GLOBAL_DER_FEV_2023!C2476</f>
        <v/>
      </c>
      <c r="D2476" s="1141">
        <f>GLOBAL_DER_FEV_2023!D2476</f>
        <v>0</v>
      </c>
      <c r="E2476" s="907">
        <f>GLOBAL_DER_FEV_2023!E2476</f>
        <v>0</v>
      </c>
      <c r="F2476" s="908">
        <f>GLOBAL_DER_FEV_2023!F2476</f>
        <v>0</v>
      </c>
      <c r="G2476" s="912">
        <f>GLOBAL_DER_FEV_2023!G2476</f>
        <v>0</v>
      </c>
      <c r="H2476" s="901">
        <f>GLOBAL_DER_FEV_2023!H2476</f>
        <v>0</v>
      </c>
      <c r="I2476" s="901" t="str">
        <f>GLOBAL_DER_FEV_2023!I2476</f>
        <v/>
      </c>
      <c r="J2476" s="890">
        <f>GLOBAL_DER_FEV_2023!J2476</f>
        <v>0</v>
      </c>
      <c r="K2476" s="903" t="str">
        <f>GLOBAL_DER_FEV_2023!K2476</f>
        <v xml:space="preserve">     </v>
      </c>
      <c r="L2476" s="1137"/>
      <c r="M2476" s="1175">
        <f t="shared" si="245"/>
        <v>0</v>
      </c>
      <c r="N2476" s="1167">
        <f t="shared" si="246"/>
        <v>0</v>
      </c>
      <c r="O2476" s="1165"/>
      <c r="Q2476" s="317" t="str">
        <f t="shared" si="242"/>
        <v/>
      </c>
      <c r="R2476" s="317" t="str">
        <f t="shared" si="243"/>
        <v/>
      </c>
      <c r="S2476" s="317" t="str">
        <f t="shared" si="244"/>
        <v/>
      </c>
      <c r="T2476" s="317" t="str">
        <f>GLOBAL_DER_FEV_2023!S2476</f>
        <v/>
      </c>
      <c r="W2476" s="582">
        <v>0</v>
      </c>
      <c r="X2476" s="580"/>
      <c r="Y2476" s="583">
        <f>IF(GLOBAL_DER_FEV_2023!W2476=0,0,IF(GLOBAL_DER_FEV_2023!W2476&gt;0,"c","b"))</f>
        <v>0</v>
      </c>
    </row>
    <row r="2477" spans="1:25" ht="15" customHeight="1" x14ac:dyDescent="0.2">
      <c r="A2477" s="640" t="s">
        <v>165</v>
      </c>
      <c r="B2477" s="1036" t="str">
        <f>GLOBAL_DER_FEV_2023!B2477</f>
        <v/>
      </c>
      <c r="C2477" s="1072" t="str">
        <f>GLOBAL_DER_FEV_2023!C2477</f>
        <v/>
      </c>
      <c r="D2477" s="1141">
        <f>GLOBAL_DER_FEV_2023!D2477</f>
        <v>0</v>
      </c>
      <c r="E2477" s="907">
        <f>GLOBAL_DER_FEV_2023!E2477</f>
        <v>0</v>
      </c>
      <c r="F2477" s="908">
        <f>GLOBAL_DER_FEV_2023!F2477</f>
        <v>0</v>
      </c>
      <c r="G2477" s="912">
        <f>GLOBAL_DER_FEV_2023!G2477</f>
        <v>0</v>
      </c>
      <c r="H2477" s="901">
        <f>GLOBAL_DER_FEV_2023!H2477</f>
        <v>0</v>
      </c>
      <c r="I2477" s="901" t="str">
        <f>GLOBAL_DER_FEV_2023!I2477</f>
        <v/>
      </c>
      <c r="J2477" s="890">
        <f>GLOBAL_DER_FEV_2023!J2477</f>
        <v>0</v>
      </c>
      <c r="K2477" s="903" t="str">
        <f>GLOBAL_DER_FEV_2023!K2477</f>
        <v xml:space="preserve">     </v>
      </c>
      <c r="L2477" s="1137"/>
      <c r="M2477" s="1175">
        <f t="shared" si="245"/>
        <v>0</v>
      </c>
      <c r="N2477" s="1167">
        <f t="shared" si="246"/>
        <v>0</v>
      </c>
      <c r="O2477" s="1165"/>
      <c r="Q2477" s="317" t="str">
        <f t="shared" si="242"/>
        <v/>
      </c>
      <c r="R2477" s="317" t="str">
        <f t="shared" si="243"/>
        <v/>
      </c>
      <c r="S2477" s="317" t="str">
        <f t="shared" si="244"/>
        <v/>
      </c>
      <c r="T2477" s="317" t="str">
        <f>GLOBAL_DER_FEV_2023!S2477</f>
        <v/>
      </c>
      <c r="W2477" s="582">
        <v>0</v>
      </c>
      <c r="X2477" s="580"/>
      <c r="Y2477" s="583">
        <f>IF(GLOBAL_DER_FEV_2023!W2477=0,0,IF(GLOBAL_DER_FEV_2023!W2477&gt;0,"c","b"))</f>
        <v>0</v>
      </c>
    </row>
    <row r="2478" spans="1:25" ht="15" customHeight="1" x14ac:dyDescent="0.2">
      <c r="A2478" s="640" t="s">
        <v>165</v>
      </c>
      <c r="B2478" s="1036" t="str">
        <f>GLOBAL_DER_FEV_2023!B2478</f>
        <v/>
      </c>
      <c r="C2478" s="1072" t="str">
        <f>GLOBAL_DER_FEV_2023!C2478</f>
        <v/>
      </c>
      <c r="D2478" s="1141">
        <f>GLOBAL_DER_FEV_2023!D2478</f>
        <v>0</v>
      </c>
      <c r="E2478" s="907">
        <f>GLOBAL_DER_FEV_2023!E2478</f>
        <v>0</v>
      </c>
      <c r="F2478" s="908">
        <f>GLOBAL_DER_FEV_2023!F2478</f>
        <v>0</v>
      </c>
      <c r="G2478" s="912">
        <f>GLOBAL_DER_FEV_2023!G2478</f>
        <v>0</v>
      </c>
      <c r="H2478" s="901">
        <f>GLOBAL_DER_FEV_2023!H2478</f>
        <v>0</v>
      </c>
      <c r="I2478" s="901" t="str">
        <f>GLOBAL_DER_FEV_2023!I2478</f>
        <v/>
      </c>
      <c r="J2478" s="890">
        <f>GLOBAL_DER_FEV_2023!J2478</f>
        <v>0</v>
      </c>
      <c r="K2478" s="903" t="str">
        <f>GLOBAL_DER_FEV_2023!K2478</f>
        <v xml:space="preserve">     </v>
      </c>
      <c r="L2478" s="1137"/>
      <c r="M2478" s="1175">
        <f t="shared" si="245"/>
        <v>0</v>
      </c>
      <c r="N2478" s="1167">
        <f t="shared" si="246"/>
        <v>0</v>
      </c>
      <c r="O2478" s="1165"/>
      <c r="Q2478" s="317" t="str">
        <f t="shared" si="242"/>
        <v/>
      </c>
      <c r="R2478" s="317" t="str">
        <f t="shared" si="243"/>
        <v/>
      </c>
      <c r="S2478" s="317" t="str">
        <f t="shared" si="244"/>
        <v/>
      </c>
      <c r="T2478" s="317" t="str">
        <f>GLOBAL_DER_FEV_2023!S2478</f>
        <v/>
      </c>
      <c r="W2478" s="582">
        <v>0</v>
      </c>
      <c r="X2478" s="580"/>
      <c r="Y2478" s="583">
        <f>IF(GLOBAL_DER_FEV_2023!W2478=0,0,IF(GLOBAL_DER_FEV_2023!W2478&gt;0,"c","b"))</f>
        <v>0</v>
      </c>
    </row>
    <row r="2479" spans="1:25" ht="15" customHeight="1" x14ac:dyDescent="0.2">
      <c r="A2479" s="640" t="s">
        <v>165</v>
      </c>
      <c r="B2479" s="1036" t="str">
        <f>GLOBAL_DER_FEV_2023!B2479</f>
        <v/>
      </c>
      <c r="C2479" s="1072" t="str">
        <f>GLOBAL_DER_FEV_2023!C2479</f>
        <v/>
      </c>
      <c r="D2479" s="1141">
        <f>GLOBAL_DER_FEV_2023!D2479</f>
        <v>0</v>
      </c>
      <c r="E2479" s="907">
        <f>GLOBAL_DER_FEV_2023!E2479</f>
        <v>0</v>
      </c>
      <c r="F2479" s="908">
        <f>GLOBAL_DER_FEV_2023!F2479</f>
        <v>0</v>
      </c>
      <c r="G2479" s="912">
        <f>GLOBAL_DER_FEV_2023!G2479</f>
        <v>0</v>
      </c>
      <c r="H2479" s="901">
        <f>GLOBAL_DER_FEV_2023!H2479</f>
        <v>0</v>
      </c>
      <c r="I2479" s="901" t="str">
        <f>GLOBAL_DER_FEV_2023!I2479</f>
        <v/>
      </c>
      <c r="J2479" s="890">
        <f>GLOBAL_DER_FEV_2023!J2479</f>
        <v>0</v>
      </c>
      <c r="K2479" s="903" t="str">
        <f>GLOBAL_DER_FEV_2023!K2479</f>
        <v xml:space="preserve">     </v>
      </c>
      <c r="L2479" s="1137"/>
      <c r="M2479" s="1175">
        <f t="shared" si="245"/>
        <v>0</v>
      </c>
      <c r="N2479" s="1167">
        <f t="shared" si="246"/>
        <v>0</v>
      </c>
      <c r="O2479" s="1165"/>
      <c r="Q2479" s="317" t="str">
        <f t="shared" ref="Q2479:Q2542" si="247">IF(P2479="X","x",IF(P2479="xx","x",IF(P2479="xy","x",IF(P2479="y","x",IF(OR(N2479&gt;0,N2479&gt;0),"x","")))))</f>
        <v/>
      </c>
      <c r="R2479" s="317" t="str">
        <f t="shared" si="243"/>
        <v/>
      </c>
      <c r="S2479" s="317" t="str">
        <f t="shared" si="244"/>
        <v/>
      </c>
      <c r="T2479" s="317" t="str">
        <f>GLOBAL_DER_FEV_2023!S2479</f>
        <v/>
      </c>
      <c r="W2479" s="582">
        <v>0</v>
      </c>
      <c r="X2479" s="580"/>
      <c r="Y2479" s="583">
        <f>IF(GLOBAL_DER_FEV_2023!W2479=0,0,IF(GLOBAL_DER_FEV_2023!W2479&gt;0,"c","b"))</f>
        <v>0</v>
      </c>
    </row>
    <row r="2480" spans="1:25" ht="15" customHeight="1" x14ac:dyDescent="0.2">
      <c r="A2480" s="640" t="s">
        <v>165</v>
      </c>
      <c r="B2480" s="1036" t="str">
        <f>GLOBAL_DER_FEV_2023!B2480</f>
        <v/>
      </c>
      <c r="C2480" s="1072" t="str">
        <f>GLOBAL_DER_FEV_2023!C2480</f>
        <v/>
      </c>
      <c r="D2480" s="1141">
        <f>GLOBAL_DER_FEV_2023!D2480</f>
        <v>0</v>
      </c>
      <c r="E2480" s="907">
        <f>GLOBAL_DER_FEV_2023!E2480</f>
        <v>0</v>
      </c>
      <c r="F2480" s="908">
        <f>GLOBAL_DER_FEV_2023!F2480</f>
        <v>0</v>
      </c>
      <c r="G2480" s="912">
        <f>GLOBAL_DER_FEV_2023!G2480</f>
        <v>0</v>
      </c>
      <c r="H2480" s="901">
        <f>GLOBAL_DER_FEV_2023!H2480</f>
        <v>0</v>
      </c>
      <c r="I2480" s="901" t="str">
        <f>GLOBAL_DER_FEV_2023!I2480</f>
        <v/>
      </c>
      <c r="J2480" s="890">
        <f>GLOBAL_DER_FEV_2023!J2480</f>
        <v>0</v>
      </c>
      <c r="K2480" s="903" t="str">
        <f>GLOBAL_DER_FEV_2023!K2480</f>
        <v xml:space="preserve">     </v>
      </c>
      <c r="L2480" s="1137"/>
      <c r="M2480" s="1175">
        <f t="shared" si="245"/>
        <v>0</v>
      </c>
      <c r="N2480" s="1167">
        <f t="shared" si="246"/>
        <v>0</v>
      </c>
      <c r="O2480" s="1165"/>
      <c r="Q2480" s="317" t="str">
        <f t="shared" si="247"/>
        <v/>
      </c>
      <c r="R2480" s="317" t="str">
        <f t="shared" si="243"/>
        <v/>
      </c>
      <c r="S2480" s="317" t="str">
        <f t="shared" si="244"/>
        <v/>
      </c>
      <c r="T2480" s="317" t="str">
        <f>GLOBAL_DER_FEV_2023!S2480</f>
        <v/>
      </c>
      <c r="W2480" s="582">
        <v>0</v>
      </c>
      <c r="X2480" s="580"/>
      <c r="Y2480" s="583">
        <f>IF(GLOBAL_DER_FEV_2023!W2480=0,0,IF(GLOBAL_DER_FEV_2023!W2480&gt;0,"c","b"))</f>
        <v>0</v>
      </c>
    </row>
    <row r="2481" spans="1:25" ht="15" customHeight="1" x14ac:dyDescent="0.2">
      <c r="A2481" s="640" t="s">
        <v>165</v>
      </c>
      <c r="B2481" s="1036" t="str">
        <f>GLOBAL_DER_FEV_2023!B2481</f>
        <v/>
      </c>
      <c r="C2481" s="1072" t="str">
        <f>GLOBAL_DER_FEV_2023!C2481</f>
        <v/>
      </c>
      <c r="D2481" s="1141">
        <f>GLOBAL_DER_FEV_2023!D2481</f>
        <v>0</v>
      </c>
      <c r="E2481" s="907">
        <f>GLOBAL_DER_FEV_2023!E2481</f>
        <v>0</v>
      </c>
      <c r="F2481" s="908">
        <f>GLOBAL_DER_FEV_2023!F2481</f>
        <v>0</v>
      </c>
      <c r="G2481" s="912">
        <f>GLOBAL_DER_FEV_2023!G2481</f>
        <v>0</v>
      </c>
      <c r="H2481" s="901">
        <f>GLOBAL_DER_FEV_2023!H2481</f>
        <v>0</v>
      </c>
      <c r="I2481" s="901" t="str">
        <f>GLOBAL_DER_FEV_2023!I2481</f>
        <v/>
      </c>
      <c r="J2481" s="890">
        <f>GLOBAL_DER_FEV_2023!J2481</f>
        <v>0</v>
      </c>
      <c r="K2481" s="903" t="str">
        <f>GLOBAL_DER_FEV_2023!K2481</f>
        <v xml:space="preserve">     </v>
      </c>
      <c r="L2481" s="1137"/>
      <c r="M2481" s="1175">
        <f t="shared" si="245"/>
        <v>0</v>
      </c>
      <c r="N2481" s="1167">
        <f t="shared" si="246"/>
        <v>0</v>
      </c>
      <c r="O2481" s="1165"/>
      <c r="Q2481" s="317" t="str">
        <f t="shared" si="247"/>
        <v/>
      </c>
      <c r="R2481" s="317" t="str">
        <f t="shared" ref="R2481:R2544" si="248">IF(P2481="X","x",IF(P2481="y","x",IF(P2481="xx","x",IF(N2481&gt;0,"x",""))))</f>
        <v/>
      </c>
      <c r="S2481" s="317" t="str">
        <f t="shared" ref="S2481:S2544" si="249">IF(P2481="X","x",IF(N2481&gt;0,"x",""))</f>
        <v/>
      </c>
      <c r="T2481" s="317" t="str">
        <f>GLOBAL_DER_FEV_2023!S2481</f>
        <v/>
      </c>
      <c r="W2481" s="582">
        <v>0</v>
      </c>
      <c r="X2481" s="580"/>
      <c r="Y2481" s="583">
        <f>IF(GLOBAL_DER_FEV_2023!W2481=0,0,IF(GLOBAL_DER_FEV_2023!W2481&gt;0,"c","b"))</f>
        <v>0</v>
      </c>
    </row>
    <row r="2482" spans="1:25" ht="15" customHeight="1" x14ac:dyDescent="0.2">
      <c r="A2482" s="640" t="s">
        <v>165</v>
      </c>
      <c r="B2482" s="1036" t="str">
        <f>GLOBAL_DER_FEV_2023!B2482</f>
        <v/>
      </c>
      <c r="C2482" s="1072" t="str">
        <f>GLOBAL_DER_FEV_2023!C2482</f>
        <v/>
      </c>
      <c r="D2482" s="1141">
        <f>GLOBAL_DER_FEV_2023!D2482</f>
        <v>0</v>
      </c>
      <c r="E2482" s="907">
        <f>GLOBAL_DER_FEV_2023!E2482</f>
        <v>0</v>
      </c>
      <c r="F2482" s="908">
        <f>GLOBAL_DER_FEV_2023!F2482</f>
        <v>0</v>
      </c>
      <c r="G2482" s="912">
        <f>GLOBAL_DER_FEV_2023!G2482</f>
        <v>0</v>
      </c>
      <c r="H2482" s="901">
        <f>GLOBAL_DER_FEV_2023!H2482</f>
        <v>0</v>
      </c>
      <c r="I2482" s="901" t="str">
        <f>GLOBAL_DER_FEV_2023!I2482</f>
        <v/>
      </c>
      <c r="J2482" s="890">
        <f>GLOBAL_DER_FEV_2023!J2482</f>
        <v>0</v>
      </c>
      <c r="K2482" s="903" t="str">
        <f>GLOBAL_DER_FEV_2023!K2482</f>
        <v xml:space="preserve">     </v>
      </c>
      <c r="L2482" s="1137"/>
      <c r="M2482" s="1175">
        <f t="shared" si="245"/>
        <v>0</v>
      </c>
      <c r="N2482" s="1167">
        <f t="shared" si="246"/>
        <v>0</v>
      </c>
      <c r="O2482" s="1165"/>
      <c r="Q2482" s="317" t="str">
        <f t="shared" si="247"/>
        <v/>
      </c>
      <c r="R2482" s="317" t="str">
        <f t="shared" si="248"/>
        <v/>
      </c>
      <c r="S2482" s="317" t="str">
        <f t="shared" si="249"/>
        <v/>
      </c>
      <c r="T2482" s="317" t="str">
        <f>GLOBAL_DER_FEV_2023!S2482</f>
        <v/>
      </c>
      <c r="W2482" s="582">
        <v>0</v>
      </c>
      <c r="X2482" s="580"/>
      <c r="Y2482" s="583">
        <f>IF(GLOBAL_DER_FEV_2023!W2482=0,0,IF(GLOBAL_DER_FEV_2023!W2482&gt;0,"c","b"))</f>
        <v>0</v>
      </c>
    </row>
    <row r="2483" spans="1:25" ht="15" customHeight="1" x14ac:dyDescent="0.2">
      <c r="A2483" s="640" t="s">
        <v>165</v>
      </c>
      <c r="B2483" s="1036" t="str">
        <f>GLOBAL_DER_FEV_2023!B2483</f>
        <v/>
      </c>
      <c r="C2483" s="1072" t="str">
        <f>GLOBAL_DER_FEV_2023!C2483</f>
        <v/>
      </c>
      <c r="D2483" s="1141">
        <f>GLOBAL_DER_FEV_2023!D2483</f>
        <v>0</v>
      </c>
      <c r="E2483" s="907">
        <f>GLOBAL_DER_FEV_2023!E2483</f>
        <v>0</v>
      </c>
      <c r="F2483" s="908">
        <f>GLOBAL_DER_FEV_2023!F2483</f>
        <v>0</v>
      </c>
      <c r="G2483" s="912">
        <f>GLOBAL_DER_FEV_2023!G2483</f>
        <v>0</v>
      </c>
      <c r="H2483" s="901">
        <f>GLOBAL_DER_FEV_2023!H2483</f>
        <v>0</v>
      </c>
      <c r="I2483" s="901" t="str">
        <f>GLOBAL_DER_FEV_2023!I2483</f>
        <v/>
      </c>
      <c r="J2483" s="890">
        <f>GLOBAL_DER_FEV_2023!J2483</f>
        <v>0</v>
      </c>
      <c r="K2483" s="903" t="str">
        <f>GLOBAL_DER_FEV_2023!K2483</f>
        <v xml:space="preserve">     </v>
      </c>
      <c r="L2483" s="1137"/>
      <c r="M2483" s="1175">
        <f t="shared" si="245"/>
        <v>0</v>
      </c>
      <c r="N2483" s="1167">
        <f t="shared" si="246"/>
        <v>0</v>
      </c>
      <c r="O2483" s="1165"/>
      <c r="Q2483" s="317" t="str">
        <f t="shared" si="247"/>
        <v/>
      </c>
      <c r="R2483" s="317" t="str">
        <f t="shared" si="248"/>
        <v/>
      </c>
      <c r="S2483" s="317" t="str">
        <f t="shared" si="249"/>
        <v/>
      </c>
      <c r="T2483" s="317" t="str">
        <f>GLOBAL_DER_FEV_2023!S2483</f>
        <v/>
      </c>
      <c r="W2483" s="582">
        <v>0</v>
      </c>
      <c r="X2483" s="580"/>
      <c r="Y2483" s="583">
        <f>IF(GLOBAL_DER_FEV_2023!W2483=0,0,IF(GLOBAL_DER_FEV_2023!W2483&gt;0,"c","b"))</f>
        <v>0</v>
      </c>
    </row>
    <row r="2484" spans="1:25" ht="15" customHeight="1" x14ac:dyDescent="0.2">
      <c r="A2484" s="640" t="s">
        <v>165</v>
      </c>
      <c r="B2484" s="1036" t="str">
        <f>GLOBAL_DER_FEV_2023!B2484</f>
        <v/>
      </c>
      <c r="C2484" s="1072" t="str">
        <f>GLOBAL_DER_FEV_2023!C2484</f>
        <v/>
      </c>
      <c r="D2484" s="1141">
        <f>GLOBAL_DER_FEV_2023!D2484</f>
        <v>0</v>
      </c>
      <c r="E2484" s="907">
        <f>GLOBAL_DER_FEV_2023!E2484</f>
        <v>0</v>
      </c>
      <c r="F2484" s="908">
        <f>GLOBAL_DER_FEV_2023!F2484</f>
        <v>0</v>
      </c>
      <c r="G2484" s="912">
        <f>GLOBAL_DER_FEV_2023!G2484</f>
        <v>0</v>
      </c>
      <c r="H2484" s="901">
        <f>GLOBAL_DER_FEV_2023!H2484</f>
        <v>0</v>
      </c>
      <c r="I2484" s="901" t="str">
        <f>GLOBAL_DER_FEV_2023!I2484</f>
        <v/>
      </c>
      <c r="J2484" s="890">
        <f>GLOBAL_DER_FEV_2023!J2484</f>
        <v>0</v>
      </c>
      <c r="K2484" s="903" t="str">
        <f>GLOBAL_DER_FEV_2023!K2484</f>
        <v xml:space="preserve">     </v>
      </c>
      <c r="L2484" s="1137"/>
      <c r="M2484" s="1175">
        <f t="shared" si="245"/>
        <v>0</v>
      </c>
      <c r="N2484" s="1167">
        <f t="shared" si="246"/>
        <v>0</v>
      </c>
      <c r="O2484" s="1165"/>
      <c r="Q2484" s="317" t="str">
        <f t="shared" si="247"/>
        <v/>
      </c>
      <c r="R2484" s="317" t="str">
        <f t="shared" si="248"/>
        <v/>
      </c>
      <c r="S2484" s="317" t="str">
        <f t="shared" si="249"/>
        <v/>
      </c>
      <c r="T2484" s="317" t="str">
        <f>GLOBAL_DER_FEV_2023!S2484</f>
        <v/>
      </c>
      <c r="W2484" s="582">
        <v>0</v>
      </c>
      <c r="X2484" s="580"/>
      <c r="Y2484" s="583">
        <f>IF(GLOBAL_DER_FEV_2023!W2484=0,0,IF(GLOBAL_DER_FEV_2023!W2484&gt;0,"c","b"))</f>
        <v>0</v>
      </c>
    </row>
    <row r="2485" spans="1:25" ht="15" customHeight="1" x14ac:dyDescent="0.2">
      <c r="A2485" s="640" t="s">
        <v>165</v>
      </c>
      <c r="B2485" s="1036" t="str">
        <f>GLOBAL_DER_FEV_2023!B2485</f>
        <v/>
      </c>
      <c r="C2485" s="1072" t="str">
        <f>GLOBAL_DER_FEV_2023!C2485</f>
        <v/>
      </c>
      <c r="D2485" s="1141">
        <f>GLOBAL_DER_FEV_2023!D2485</f>
        <v>0</v>
      </c>
      <c r="E2485" s="907">
        <f>GLOBAL_DER_FEV_2023!E2485</f>
        <v>0</v>
      </c>
      <c r="F2485" s="908">
        <f>GLOBAL_DER_FEV_2023!F2485</f>
        <v>0</v>
      </c>
      <c r="G2485" s="912">
        <f>GLOBAL_DER_FEV_2023!G2485</f>
        <v>0</v>
      </c>
      <c r="H2485" s="901">
        <f>GLOBAL_DER_FEV_2023!H2485</f>
        <v>0</v>
      </c>
      <c r="I2485" s="901" t="str">
        <f>GLOBAL_DER_FEV_2023!I2485</f>
        <v/>
      </c>
      <c r="J2485" s="890">
        <f>GLOBAL_DER_FEV_2023!J2485</f>
        <v>0</v>
      </c>
      <c r="K2485" s="903" t="str">
        <f>GLOBAL_DER_FEV_2023!K2485</f>
        <v xml:space="preserve">     </v>
      </c>
      <c r="L2485" s="1137"/>
      <c r="M2485" s="1175">
        <f t="shared" si="245"/>
        <v>0</v>
      </c>
      <c r="N2485" s="1167">
        <f t="shared" si="246"/>
        <v>0</v>
      </c>
      <c r="O2485" s="1165"/>
      <c r="Q2485" s="317" t="str">
        <f t="shared" si="247"/>
        <v/>
      </c>
      <c r="R2485" s="317" t="str">
        <f t="shared" si="248"/>
        <v/>
      </c>
      <c r="S2485" s="317" t="str">
        <f t="shared" si="249"/>
        <v/>
      </c>
      <c r="T2485" s="317" t="str">
        <f>GLOBAL_DER_FEV_2023!S2485</f>
        <v/>
      </c>
      <c r="W2485" s="582">
        <v>0</v>
      </c>
      <c r="X2485" s="580"/>
      <c r="Y2485" s="583">
        <f>IF(GLOBAL_DER_FEV_2023!W2485=0,0,IF(GLOBAL_DER_FEV_2023!W2485&gt;0,"c","b"))</f>
        <v>0</v>
      </c>
    </row>
    <row r="2486" spans="1:25" ht="15" customHeight="1" x14ac:dyDescent="0.2">
      <c r="A2486" s="640" t="s">
        <v>165</v>
      </c>
      <c r="B2486" s="1036" t="str">
        <f>GLOBAL_DER_FEV_2023!B2486</f>
        <v/>
      </c>
      <c r="C2486" s="1072" t="str">
        <f>GLOBAL_DER_FEV_2023!C2486</f>
        <v/>
      </c>
      <c r="D2486" s="1141">
        <f>GLOBAL_DER_FEV_2023!D2486</f>
        <v>0</v>
      </c>
      <c r="E2486" s="907">
        <f>GLOBAL_DER_FEV_2023!E2486</f>
        <v>0</v>
      </c>
      <c r="F2486" s="908">
        <f>GLOBAL_DER_FEV_2023!F2486</f>
        <v>0</v>
      </c>
      <c r="G2486" s="912">
        <f>GLOBAL_DER_FEV_2023!G2486</f>
        <v>0</v>
      </c>
      <c r="H2486" s="901">
        <f>GLOBAL_DER_FEV_2023!H2486</f>
        <v>0</v>
      </c>
      <c r="I2486" s="901" t="str">
        <f>GLOBAL_DER_FEV_2023!I2486</f>
        <v/>
      </c>
      <c r="J2486" s="890">
        <f>GLOBAL_DER_FEV_2023!J2486</f>
        <v>0</v>
      </c>
      <c r="K2486" s="903" t="str">
        <f>GLOBAL_DER_FEV_2023!K2486</f>
        <v xml:space="preserve">     </v>
      </c>
      <c r="L2486" s="1137"/>
      <c r="M2486" s="1175">
        <f t="shared" si="245"/>
        <v>0</v>
      </c>
      <c r="N2486" s="1167">
        <f t="shared" si="246"/>
        <v>0</v>
      </c>
      <c r="O2486" s="1165"/>
      <c r="Q2486" s="317" t="str">
        <f t="shared" si="247"/>
        <v/>
      </c>
      <c r="R2486" s="317" t="str">
        <f t="shared" si="248"/>
        <v/>
      </c>
      <c r="S2486" s="317" t="str">
        <f t="shared" si="249"/>
        <v/>
      </c>
      <c r="T2486" s="317" t="str">
        <f>GLOBAL_DER_FEV_2023!S2486</f>
        <v/>
      </c>
      <c r="W2486" s="582">
        <v>0</v>
      </c>
      <c r="X2486" s="580"/>
      <c r="Y2486" s="583">
        <f>IF(GLOBAL_DER_FEV_2023!W2486=0,0,IF(GLOBAL_DER_FEV_2023!W2486&gt;0,"c","b"))</f>
        <v>0</v>
      </c>
    </row>
    <row r="2487" spans="1:25" ht="15" customHeight="1" x14ac:dyDescent="0.2">
      <c r="A2487" s="640" t="s">
        <v>165</v>
      </c>
      <c r="B2487" s="1036" t="str">
        <f>GLOBAL_DER_FEV_2023!B2487</f>
        <v/>
      </c>
      <c r="C2487" s="1072" t="str">
        <f>GLOBAL_DER_FEV_2023!C2487</f>
        <v/>
      </c>
      <c r="D2487" s="1141">
        <f>GLOBAL_DER_FEV_2023!D2487</f>
        <v>0</v>
      </c>
      <c r="E2487" s="907">
        <f>GLOBAL_DER_FEV_2023!E2487</f>
        <v>0</v>
      </c>
      <c r="F2487" s="908">
        <f>GLOBAL_DER_FEV_2023!F2487</f>
        <v>0</v>
      </c>
      <c r="G2487" s="912">
        <f>GLOBAL_DER_FEV_2023!G2487</f>
        <v>0</v>
      </c>
      <c r="H2487" s="901">
        <f>GLOBAL_DER_FEV_2023!H2487</f>
        <v>0</v>
      </c>
      <c r="I2487" s="901" t="str">
        <f>GLOBAL_DER_FEV_2023!I2487</f>
        <v/>
      </c>
      <c r="J2487" s="890">
        <f>GLOBAL_DER_FEV_2023!J2487</f>
        <v>0</v>
      </c>
      <c r="K2487" s="903" t="str">
        <f>GLOBAL_DER_FEV_2023!K2487</f>
        <v xml:space="preserve">     </v>
      </c>
      <c r="L2487" s="1137"/>
      <c r="M2487" s="1175">
        <f t="shared" si="245"/>
        <v>0</v>
      </c>
      <c r="N2487" s="1167">
        <f t="shared" si="246"/>
        <v>0</v>
      </c>
      <c r="O2487" s="1165"/>
      <c r="Q2487" s="317" t="str">
        <f t="shared" si="247"/>
        <v/>
      </c>
      <c r="R2487" s="317" t="str">
        <f t="shared" si="248"/>
        <v/>
      </c>
      <c r="S2487" s="317" t="str">
        <f t="shared" si="249"/>
        <v/>
      </c>
      <c r="T2487" s="317" t="str">
        <f>GLOBAL_DER_FEV_2023!S2487</f>
        <v/>
      </c>
      <c r="W2487" s="582">
        <v>0</v>
      </c>
      <c r="X2487" s="580"/>
      <c r="Y2487" s="583">
        <f>IF(GLOBAL_DER_FEV_2023!W2487=0,0,IF(GLOBAL_DER_FEV_2023!W2487&gt;0,"c","b"))</f>
        <v>0</v>
      </c>
    </row>
    <row r="2488" spans="1:25" ht="15" customHeight="1" x14ac:dyDescent="0.2">
      <c r="A2488" s="640" t="s">
        <v>165</v>
      </c>
      <c r="B2488" s="1036" t="str">
        <f>GLOBAL_DER_FEV_2023!B2488</f>
        <v/>
      </c>
      <c r="C2488" s="1072" t="str">
        <f>GLOBAL_DER_FEV_2023!C2488</f>
        <v/>
      </c>
      <c r="D2488" s="1141">
        <f>GLOBAL_DER_FEV_2023!D2488</f>
        <v>0</v>
      </c>
      <c r="E2488" s="907">
        <f>GLOBAL_DER_FEV_2023!E2488</f>
        <v>0</v>
      </c>
      <c r="F2488" s="908">
        <f>GLOBAL_DER_FEV_2023!F2488</f>
        <v>0</v>
      </c>
      <c r="G2488" s="912">
        <f>GLOBAL_DER_FEV_2023!G2488</f>
        <v>0</v>
      </c>
      <c r="H2488" s="901">
        <f>GLOBAL_DER_FEV_2023!H2488</f>
        <v>0</v>
      </c>
      <c r="I2488" s="901" t="str">
        <f>GLOBAL_DER_FEV_2023!I2488</f>
        <v/>
      </c>
      <c r="J2488" s="890">
        <f>GLOBAL_DER_FEV_2023!J2488</f>
        <v>0</v>
      </c>
      <c r="K2488" s="903" t="str">
        <f>GLOBAL_DER_FEV_2023!K2488</f>
        <v xml:space="preserve">     </v>
      </c>
      <c r="L2488" s="1137"/>
      <c r="M2488" s="1175">
        <f t="shared" si="245"/>
        <v>0</v>
      </c>
      <c r="N2488" s="1167">
        <f t="shared" si="246"/>
        <v>0</v>
      </c>
      <c r="O2488" s="1165"/>
      <c r="Q2488" s="317" t="str">
        <f t="shared" si="247"/>
        <v/>
      </c>
      <c r="R2488" s="317" t="str">
        <f t="shared" si="248"/>
        <v/>
      </c>
      <c r="S2488" s="317" t="str">
        <f t="shared" si="249"/>
        <v/>
      </c>
      <c r="T2488" s="317" t="str">
        <f>GLOBAL_DER_FEV_2023!S2488</f>
        <v/>
      </c>
      <c r="W2488" s="582">
        <v>0</v>
      </c>
      <c r="X2488" s="580"/>
      <c r="Y2488" s="583">
        <f>IF(GLOBAL_DER_FEV_2023!W2488=0,0,IF(GLOBAL_DER_FEV_2023!W2488&gt;0,"c","b"))</f>
        <v>0</v>
      </c>
    </row>
    <row r="2489" spans="1:25" ht="15" customHeight="1" x14ac:dyDescent="0.2">
      <c r="A2489" s="640" t="s">
        <v>165</v>
      </c>
      <c r="B2489" s="1036" t="str">
        <f>GLOBAL_DER_FEV_2023!B2489</f>
        <v/>
      </c>
      <c r="C2489" s="1072" t="str">
        <f>GLOBAL_DER_FEV_2023!C2489</f>
        <v/>
      </c>
      <c r="D2489" s="1141">
        <f>GLOBAL_DER_FEV_2023!D2489</f>
        <v>0</v>
      </c>
      <c r="E2489" s="907">
        <f>GLOBAL_DER_FEV_2023!E2489</f>
        <v>0</v>
      </c>
      <c r="F2489" s="908">
        <f>GLOBAL_DER_FEV_2023!F2489</f>
        <v>0</v>
      </c>
      <c r="G2489" s="912">
        <f>GLOBAL_DER_FEV_2023!G2489</f>
        <v>0</v>
      </c>
      <c r="H2489" s="901">
        <f>GLOBAL_DER_FEV_2023!H2489</f>
        <v>0</v>
      </c>
      <c r="I2489" s="901" t="str">
        <f>GLOBAL_DER_FEV_2023!I2489</f>
        <v/>
      </c>
      <c r="J2489" s="890">
        <f>GLOBAL_DER_FEV_2023!J2489</f>
        <v>0</v>
      </c>
      <c r="K2489" s="903" t="str">
        <f>GLOBAL_DER_FEV_2023!K2489</f>
        <v xml:space="preserve">     </v>
      </c>
      <c r="L2489" s="1137"/>
      <c r="M2489" s="1175">
        <f t="shared" si="245"/>
        <v>0</v>
      </c>
      <c r="N2489" s="1167">
        <f t="shared" si="246"/>
        <v>0</v>
      </c>
      <c r="O2489" s="1165"/>
      <c r="Q2489" s="317" t="str">
        <f t="shared" si="247"/>
        <v/>
      </c>
      <c r="R2489" s="317" t="str">
        <f t="shared" si="248"/>
        <v/>
      </c>
      <c r="S2489" s="317" t="str">
        <f t="shared" si="249"/>
        <v/>
      </c>
      <c r="T2489" s="317" t="str">
        <f>GLOBAL_DER_FEV_2023!S2489</f>
        <v/>
      </c>
      <c r="W2489" s="582">
        <v>0</v>
      </c>
      <c r="X2489" s="580"/>
      <c r="Y2489" s="583">
        <f>IF(GLOBAL_DER_FEV_2023!W2489=0,0,IF(GLOBAL_DER_FEV_2023!W2489&gt;0,"c","b"))</f>
        <v>0</v>
      </c>
    </row>
    <row r="2490" spans="1:25" ht="15" customHeight="1" x14ac:dyDescent="0.2">
      <c r="A2490" s="640" t="s">
        <v>165</v>
      </c>
      <c r="B2490" s="1036" t="str">
        <f>GLOBAL_DER_FEV_2023!B2490</f>
        <v/>
      </c>
      <c r="C2490" s="1072" t="str">
        <f>GLOBAL_DER_FEV_2023!C2490</f>
        <v/>
      </c>
      <c r="D2490" s="1141">
        <f>GLOBAL_DER_FEV_2023!D2490</f>
        <v>0</v>
      </c>
      <c r="E2490" s="907">
        <f>GLOBAL_DER_FEV_2023!E2490</f>
        <v>0</v>
      </c>
      <c r="F2490" s="908">
        <f>GLOBAL_DER_FEV_2023!F2490</f>
        <v>0</v>
      </c>
      <c r="G2490" s="912">
        <f>GLOBAL_DER_FEV_2023!G2490</f>
        <v>0</v>
      </c>
      <c r="H2490" s="901">
        <f>GLOBAL_DER_FEV_2023!H2490</f>
        <v>0</v>
      </c>
      <c r="I2490" s="901" t="str">
        <f>GLOBAL_DER_FEV_2023!I2490</f>
        <v/>
      </c>
      <c r="J2490" s="890">
        <f>GLOBAL_DER_FEV_2023!J2490</f>
        <v>0</v>
      </c>
      <c r="K2490" s="903" t="str">
        <f>GLOBAL_DER_FEV_2023!K2490</f>
        <v xml:space="preserve">     </v>
      </c>
      <c r="L2490" s="1137"/>
      <c r="M2490" s="1175">
        <f t="shared" si="245"/>
        <v>0</v>
      </c>
      <c r="N2490" s="1167">
        <f t="shared" si="246"/>
        <v>0</v>
      </c>
      <c r="O2490" s="1165"/>
      <c r="Q2490" s="317" t="str">
        <f t="shared" si="247"/>
        <v/>
      </c>
      <c r="R2490" s="317" t="str">
        <f t="shared" si="248"/>
        <v/>
      </c>
      <c r="S2490" s="317" t="str">
        <f t="shared" si="249"/>
        <v/>
      </c>
      <c r="T2490" s="317" t="str">
        <f>GLOBAL_DER_FEV_2023!S2490</f>
        <v/>
      </c>
      <c r="W2490" s="582">
        <v>0</v>
      </c>
      <c r="X2490" s="580"/>
      <c r="Y2490" s="583">
        <f>IF(GLOBAL_DER_FEV_2023!W2490=0,0,IF(GLOBAL_DER_FEV_2023!W2490&gt;0,"c","b"))</f>
        <v>0</v>
      </c>
    </row>
    <row r="2491" spans="1:25" ht="15" customHeight="1" x14ac:dyDescent="0.2">
      <c r="A2491" s="640" t="s">
        <v>165</v>
      </c>
      <c r="B2491" s="1036" t="str">
        <f>GLOBAL_DER_FEV_2023!B2491</f>
        <v/>
      </c>
      <c r="C2491" s="1072" t="str">
        <f>GLOBAL_DER_FEV_2023!C2491</f>
        <v/>
      </c>
      <c r="D2491" s="1141">
        <f>GLOBAL_DER_FEV_2023!D2491</f>
        <v>0</v>
      </c>
      <c r="E2491" s="907">
        <f>GLOBAL_DER_FEV_2023!E2491</f>
        <v>0</v>
      </c>
      <c r="F2491" s="908">
        <f>GLOBAL_DER_FEV_2023!F2491</f>
        <v>0</v>
      </c>
      <c r="G2491" s="912">
        <f>GLOBAL_DER_FEV_2023!G2491</f>
        <v>0</v>
      </c>
      <c r="H2491" s="901">
        <f>GLOBAL_DER_FEV_2023!H2491</f>
        <v>0</v>
      </c>
      <c r="I2491" s="901" t="str">
        <f>GLOBAL_DER_FEV_2023!I2491</f>
        <v/>
      </c>
      <c r="J2491" s="890">
        <f>GLOBAL_DER_FEV_2023!J2491</f>
        <v>0</v>
      </c>
      <c r="K2491" s="903" t="str">
        <f>GLOBAL_DER_FEV_2023!K2491</f>
        <v xml:space="preserve">     </v>
      </c>
      <c r="L2491" s="1137"/>
      <c r="M2491" s="1175">
        <f t="shared" si="245"/>
        <v>0</v>
      </c>
      <c r="N2491" s="1167">
        <f t="shared" si="246"/>
        <v>0</v>
      </c>
      <c r="O2491" s="1165"/>
      <c r="Q2491" s="317" t="str">
        <f t="shared" si="247"/>
        <v/>
      </c>
      <c r="R2491" s="317" t="str">
        <f t="shared" si="248"/>
        <v/>
      </c>
      <c r="S2491" s="317" t="str">
        <f t="shared" si="249"/>
        <v/>
      </c>
      <c r="T2491" s="317" t="str">
        <f>GLOBAL_DER_FEV_2023!S2491</f>
        <v/>
      </c>
      <c r="W2491" s="582">
        <v>0</v>
      </c>
      <c r="X2491" s="580"/>
      <c r="Y2491" s="583">
        <f>IF(GLOBAL_DER_FEV_2023!W2491=0,0,IF(GLOBAL_DER_FEV_2023!W2491&gt;0,"c","b"))</f>
        <v>0</v>
      </c>
    </row>
    <row r="2492" spans="1:25" ht="15" customHeight="1" x14ac:dyDescent="0.2">
      <c r="A2492" s="640" t="s">
        <v>165</v>
      </c>
      <c r="B2492" s="1036" t="str">
        <f>GLOBAL_DER_FEV_2023!B2492</f>
        <v/>
      </c>
      <c r="C2492" s="1072" t="str">
        <f>GLOBAL_DER_FEV_2023!C2492</f>
        <v/>
      </c>
      <c r="D2492" s="1141">
        <f>GLOBAL_DER_FEV_2023!D2492</f>
        <v>0</v>
      </c>
      <c r="E2492" s="907">
        <f>GLOBAL_DER_FEV_2023!E2492</f>
        <v>0</v>
      </c>
      <c r="F2492" s="908">
        <f>GLOBAL_DER_FEV_2023!F2492</f>
        <v>0</v>
      </c>
      <c r="G2492" s="912">
        <f>GLOBAL_DER_FEV_2023!G2492</f>
        <v>0</v>
      </c>
      <c r="H2492" s="901">
        <f>GLOBAL_DER_FEV_2023!H2492</f>
        <v>0</v>
      </c>
      <c r="I2492" s="901" t="str">
        <f>GLOBAL_DER_FEV_2023!I2492</f>
        <v/>
      </c>
      <c r="J2492" s="890">
        <f>GLOBAL_DER_FEV_2023!J2492</f>
        <v>0</v>
      </c>
      <c r="K2492" s="903" t="str">
        <f>GLOBAL_DER_FEV_2023!K2492</f>
        <v xml:space="preserve">     </v>
      </c>
      <c r="L2492" s="1137"/>
      <c r="M2492" s="1175">
        <f t="shared" si="245"/>
        <v>0</v>
      </c>
      <c r="N2492" s="1167">
        <f t="shared" si="246"/>
        <v>0</v>
      </c>
      <c r="O2492" s="1165"/>
      <c r="Q2492" s="317" t="str">
        <f t="shared" si="247"/>
        <v/>
      </c>
      <c r="R2492" s="317" t="str">
        <f t="shared" si="248"/>
        <v/>
      </c>
      <c r="S2492" s="317" t="str">
        <f t="shared" si="249"/>
        <v/>
      </c>
      <c r="T2492" s="317" t="str">
        <f>GLOBAL_DER_FEV_2023!S2492</f>
        <v/>
      </c>
      <c r="W2492" s="582">
        <v>0</v>
      </c>
      <c r="X2492" s="580"/>
      <c r="Y2492" s="583">
        <f>IF(GLOBAL_DER_FEV_2023!W2492=0,0,IF(GLOBAL_DER_FEV_2023!W2492&gt;0,"c","b"))</f>
        <v>0</v>
      </c>
    </row>
    <row r="2493" spans="1:25" ht="15" customHeight="1" x14ac:dyDescent="0.2">
      <c r="A2493" s="640" t="s">
        <v>165</v>
      </c>
      <c r="B2493" s="1036" t="str">
        <f>GLOBAL_DER_FEV_2023!B2493</f>
        <v/>
      </c>
      <c r="C2493" s="1072" t="str">
        <f>GLOBAL_DER_FEV_2023!C2493</f>
        <v/>
      </c>
      <c r="D2493" s="1141">
        <f>GLOBAL_DER_FEV_2023!D2493</f>
        <v>0</v>
      </c>
      <c r="E2493" s="907">
        <f>GLOBAL_DER_FEV_2023!E2493</f>
        <v>0</v>
      </c>
      <c r="F2493" s="908">
        <f>GLOBAL_DER_FEV_2023!F2493</f>
        <v>0</v>
      </c>
      <c r="G2493" s="912">
        <f>GLOBAL_DER_FEV_2023!G2493</f>
        <v>0</v>
      </c>
      <c r="H2493" s="901">
        <f>GLOBAL_DER_FEV_2023!H2493</f>
        <v>0</v>
      </c>
      <c r="I2493" s="901" t="str">
        <f>GLOBAL_DER_FEV_2023!I2493</f>
        <v/>
      </c>
      <c r="J2493" s="890">
        <f>GLOBAL_DER_FEV_2023!J2493</f>
        <v>0</v>
      </c>
      <c r="K2493" s="903" t="str">
        <f>GLOBAL_DER_FEV_2023!K2493</f>
        <v xml:space="preserve">     </v>
      </c>
      <c r="L2493" s="1137"/>
      <c r="M2493" s="1175">
        <f t="shared" si="245"/>
        <v>0</v>
      </c>
      <c r="N2493" s="1167">
        <f t="shared" si="246"/>
        <v>0</v>
      </c>
      <c r="O2493" s="1165"/>
      <c r="Q2493" s="317" t="str">
        <f t="shared" si="247"/>
        <v/>
      </c>
      <c r="R2493" s="317" t="str">
        <f t="shared" si="248"/>
        <v/>
      </c>
      <c r="S2493" s="317" t="str">
        <f t="shared" si="249"/>
        <v/>
      </c>
      <c r="T2493" s="317" t="str">
        <f>GLOBAL_DER_FEV_2023!S2493</f>
        <v/>
      </c>
      <c r="W2493" s="582">
        <v>0</v>
      </c>
      <c r="X2493" s="580"/>
      <c r="Y2493" s="583">
        <f>IF(GLOBAL_DER_FEV_2023!W2493=0,0,IF(GLOBAL_DER_FEV_2023!W2493&gt;0,"c","b"))</f>
        <v>0</v>
      </c>
    </row>
    <row r="2494" spans="1:25" ht="15" customHeight="1" x14ac:dyDescent="0.2">
      <c r="A2494" s="640" t="s">
        <v>165</v>
      </c>
      <c r="B2494" s="1036" t="str">
        <f>GLOBAL_DER_FEV_2023!B2494</f>
        <v/>
      </c>
      <c r="C2494" s="1072" t="str">
        <f>GLOBAL_DER_FEV_2023!C2494</f>
        <v/>
      </c>
      <c r="D2494" s="1141">
        <f>GLOBAL_DER_FEV_2023!D2494</f>
        <v>0</v>
      </c>
      <c r="E2494" s="907">
        <f>GLOBAL_DER_FEV_2023!E2494</f>
        <v>0</v>
      </c>
      <c r="F2494" s="908">
        <f>GLOBAL_DER_FEV_2023!F2494</f>
        <v>0</v>
      </c>
      <c r="G2494" s="912">
        <f>GLOBAL_DER_FEV_2023!G2494</f>
        <v>0</v>
      </c>
      <c r="H2494" s="901">
        <f>GLOBAL_DER_FEV_2023!H2494</f>
        <v>0</v>
      </c>
      <c r="I2494" s="901" t="str">
        <f>GLOBAL_DER_FEV_2023!I2494</f>
        <v/>
      </c>
      <c r="J2494" s="890">
        <f>GLOBAL_DER_FEV_2023!J2494</f>
        <v>0</v>
      </c>
      <c r="K2494" s="903" t="str">
        <f>GLOBAL_DER_FEV_2023!K2494</f>
        <v xml:space="preserve">     </v>
      </c>
      <c r="L2494" s="1137"/>
      <c r="M2494" s="1175">
        <f t="shared" si="245"/>
        <v>0</v>
      </c>
      <c r="N2494" s="1167">
        <f t="shared" si="246"/>
        <v>0</v>
      </c>
      <c r="O2494" s="1165"/>
      <c r="Q2494" s="317" t="str">
        <f t="shared" si="247"/>
        <v/>
      </c>
      <c r="R2494" s="317" t="str">
        <f t="shared" si="248"/>
        <v/>
      </c>
      <c r="S2494" s="317" t="str">
        <f t="shared" si="249"/>
        <v/>
      </c>
      <c r="T2494" s="317" t="str">
        <f>GLOBAL_DER_FEV_2023!S2494</f>
        <v/>
      </c>
      <c r="W2494" s="582">
        <v>0</v>
      </c>
      <c r="X2494" s="580"/>
      <c r="Y2494" s="583">
        <f>IF(GLOBAL_DER_FEV_2023!W2494=0,0,IF(GLOBAL_DER_FEV_2023!W2494&gt;0,"c","b"))</f>
        <v>0</v>
      </c>
    </row>
    <row r="2495" spans="1:25" ht="15" customHeight="1" x14ac:dyDescent="0.2">
      <c r="A2495" s="640" t="s">
        <v>165</v>
      </c>
      <c r="B2495" s="1036" t="str">
        <f>GLOBAL_DER_FEV_2023!B2495</f>
        <v/>
      </c>
      <c r="C2495" s="1072" t="str">
        <f>GLOBAL_DER_FEV_2023!C2495</f>
        <v/>
      </c>
      <c r="D2495" s="1141">
        <f>GLOBAL_DER_FEV_2023!D2495</f>
        <v>0</v>
      </c>
      <c r="E2495" s="907">
        <f>GLOBAL_DER_FEV_2023!E2495</f>
        <v>0</v>
      </c>
      <c r="F2495" s="908">
        <f>GLOBAL_DER_FEV_2023!F2495</f>
        <v>0</v>
      </c>
      <c r="G2495" s="912">
        <f>GLOBAL_DER_FEV_2023!G2495</f>
        <v>0</v>
      </c>
      <c r="H2495" s="901">
        <f>GLOBAL_DER_FEV_2023!H2495</f>
        <v>0</v>
      </c>
      <c r="I2495" s="901" t="str">
        <f>GLOBAL_DER_FEV_2023!I2495</f>
        <v/>
      </c>
      <c r="J2495" s="890">
        <f>GLOBAL_DER_FEV_2023!J2495</f>
        <v>0</v>
      </c>
      <c r="K2495" s="903" t="str">
        <f>GLOBAL_DER_FEV_2023!K2495</f>
        <v xml:space="preserve">     </v>
      </c>
      <c r="L2495" s="1137"/>
      <c r="M2495" s="1175">
        <f t="shared" si="245"/>
        <v>0</v>
      </c>
      <c r="N2495" s="1167">
        <f t="shared" si="246"/>
        <v>0</v>
      </c>
      <c r="O2495" s="1165"/>
      <c r="Q2495" s="317" t="str">
        <f t="shared" si="247"/>
        <v/>
      </c>
      <c r="R2495" s="317" t="str">
        <f t="shared" si="248"/>
        <v/>
      </c>
      <c r="S2495" s="317" t="str">
        <f t="shared" si="249"/>
        <v/>
      </c>
      <c r="T2495" s="317" t="str">
        <f>GLOBAL_DER_FEV_2023!S2495</f>
        <v/>
      </c>
      <c r="W2495" s="582">
        <v>0</v>
      </c>
      <c r="X2495" s="580"/>
      <c r="Y2495" s="583">
        <f>IF(GLOBAL_DER_FEV_2023!W2495=0,0,IF(GLOBAL_DER_FEV_2023!W2495&gt;0,"c","b"))</f>
        <v>0</v>
      </c>
    </row>
    <row r="2496" spans="1:25" ht="15" customHeight="1" x14ac:dyDescent="0.2">
      <c r="A2496" s="640" t="s">
        <v>165</v>
      </c>
      <c r="B2496" s="1036" t="str">
        <f>GLOBAL_DER_FEV_2023!B2496</f>
        <v/>
      </c>
      <c r="C2496" s="1072" t="str">
        <f>GLOBAL_DER_FEV_2023!C2496</f>
        <v/>
      </c>
      <c r="D2496" s="1141">
        <f>GLOBAL_DER_FEV_2023!D2496</f>
        <v>0</v>
      </c>
      <c r="E2496" s="907">
        <f>GLOBAL_DER_FEV_2023!E2496</f>
        <v>0</v>
      </c>
      <c r="F2496" s="908">
        <f>GLOBAL_DER_FEV_2023!F2496</f>
        <v>0</v>
      </c>
      <c r="G2496" s="912">
        <f>GLOBAL_DER_FEV_2023!G2496</f>
        <v>0</v>
      </c>
      <c r="H2496" s="901">
        <f>GLOBAL_DER_FEV_2023!H2496</f>
        <v>0</v>
      </c>
      <c r="I2496" s="901" t="str">
        <f>GLOBAL_DER_FEV_2023!I2496</f>
        <v/>
      </c>
      <c r="J2496" s="890">
        <f>GLOBAL_DER_FEV_2023!J2496</f>
        <v>0</v>
      </c>
      <c r="K2496" s="903" t="str">
        <f>GLOBAL_DER_FEV_2023!K2496</f>
        <v xml:space="preserve">     </v>
      </c>
      <c r="L2496" s="1137"/>
      <c r="M2496" s="1175">
        <f t="shared" si="245"/>
        <v>0</v>
      </c>
      <c r="N2496" s="1167">
        <f t="shared" si="246"/>
        <v>0</v>
      </c>
      <c r="O2496" s="1165"/>
      <c r="Q2496" s="317" t="str">
        <f t="shared" si="247"/>
        <v/>
      </c>
      <c r="R2496" s="317" t="str">
        <f t="shared" si="248"/>
        <v/>
      </c>
      <c r="S2496" s="317" t="str">
        <f t="shared" si="249"/>
        <v/>
      </c>
      <c r="T2496" s="317" t="str">
        <f>GLOBAL_DER_FEV_2023!S2496</f>
        <v/>
      </c>
      <c r="W2496" s="582">
        <v>0</v>
      </c>
      <c r="X2496" s="580"/>
      <c r="Y2496" s="583">
        <f>IF(GLOBAL_DER_FEV_2023!W2496=0,0,IF(GLOBAL_DER_FEV_2023!W2496&gt;0,"c","b"))</f>
        <v>0</v>
      </c>
    </row>
    <row r="2497" spans="1:25" ht="15" customHeight="1" x14ac:dyDescent="0.2">
      <c r="A2497" s="640" t="s">
        <v>165</v>
      </c>
      <c r="B2497" s="1036" t="str">
        <f>GLOBAL_DER_FEV_2023!B2497</f>
        <v/>
      </c>
      <c r="C2497" s="1072" t="str">
        <f>GLOBAL_DER_FEV_2023!C2497</f>
        <v/>
      </c>
      <c r="D2497" s="1141">
        <f>GLOBAL_DER_FEV_2023!D2497</f>
        <v>0</v>
      </c>
      <c r="E2497" s="907">
        <f>GLOBAL_DER_FEV_2023!E2497</f>
        <v>0</v>
      </c>
      <c r="F2497" s="908">
        <f>GLOBAL_DER_FEV_2023!F2497</f>
        <v>0</v>
      </c>
      <c r="G2497" s="912">
        <f>GLOBAL_DER_FEV_2023!G2497</f>
        <v>0</v>
      </c>
      <c r="H2497" s="901">
        <f>GLOBAL_DER_FEV_2023!H2497</f>
        <v>0</v>
      </c>
      <c r="I2497" s="901" t="str">
        <f>GLOBAL_DER_FEV_2023!I2497</f>
        <v/>
      </c>
      <c r="J2497" s="890">
        <f>GLOBAL_DER_FEV_2023!J2497</f>
        <v>0</v>
      </c>
      <c r="K2497" s="903" t="str">
        <f>GLOBAL_DER_FEV_2023!K2497</f>
        <v xml:space="preserve">     </v>
      </c>
      <c r="L2497" s="1137"/>
      <c r="M2497" s="1175">
        <f t="shared" si="245"/>
        <v>0</v>
      </c>
      <c r="N2497" s="1167">
        <f t="shared" si="246"/>
        <v>0</v>
      </c>
      <c r="O2497" s="1165"/>
      <c r="Q2497" s="317" t="str">
        <f t="shared" si="247"/>
        <v/>
      </c>
      <c r="R2497" s="317" t="str">
        <f t="shared" si="248"/>
        <v/>
      </c>
      <c r="S2497" s="317" t="str">
        <f t="shared" si="249"/>
        <v/>
      </c>
      <c r="T2497" s="317" t="str">
        <f>GLOBAL_DER_FEV_2023!S2497</f>
        <v/>
      </c>
      <c r="W2497" s="582">
        <v>0</v>
      </c>
      <c r="X2497" s="580"/>
      <c r="Y2497" s="583">
        <f>IF(GLOBAL_DER_FEV_2023!W2497=0,0,IF(GLOBAL_DER_FEV_2023!W2497&gt;0,"c","b"))</f>
        <v>0</v>
      </c>
    </row>
    <row r="2498" spans="1:25" ht="15" customHeight="1" thickBot="1" x14ac:dyDescent="0.25">
      <c r="A2498" s="640" t="s">
        <v>165</v>
      </c>
      <c r="B2498" s="1036" t="str">
        <f>GLOBAL_DER_FEV_2023!B2498</f>
        <v/>
      </c>
      <c r="C2498" s="1072" t="str">
        <f>GLOBAL_DER_FEV_2023!C2498</f>
        <v/>
      </c>
      <c r="D2498" s="1141">
        <f>GLOBAL_DER_FEV_2023!D2498</f>
        <v>0</v>
      </c>
      <c r="E2498" s="907">
        <f>GLOBAL_DER_FEV_2023!E2498</f>
        <v>0</v>
      </c>
      <c r="F2498" s="908">
        <f>GLOBAL_DER_FEV_2023!F2498</f>
        <v>0</v>
      </c>
      <c r="G2498" s="912">
        <f>GLOBAL_DER_FEV_2023!G2498</f>
        <v>0</v>
      </c>
      <c r="H2498" s="901">
        <f>GLOBAL_DER_FEV_2023!H2498</f>
        <v>0</v>
      </c>
      <c r="I2498" s="901" t="str">
        <f>GLOBAL_DER_FEV_2023!I2498</f>
        <v/>
      </c>
      <c r="J2498" s="890">
        <f>GLOBAL_DER_FEV_2023!J2498</f>
        <v>0</v>
      </c>
      <c r="K2498" s="903" t="str">
        <f>GLOBAL_DER_FEV_2023!K2498</f>
        <v xml:space="preserve">     </v>
      </c>
      <c r="L2498" s="1137"/>
      <c r="M2498" s="1175">
        <f t="shared" si="245"/>
        <v>0</v>
      </c>
      <c r="N2498" s="1167">
        <f t="shared" si="246"/>
        <v>0</v>
      </c>
      <c r="O2498" s="1165"/>
      <c r="Q2498" s="317" t="str">
        <f t="shared" si="247"/>
        <v/>
      </c>
      <c r="R2498" s="317" t="str">
        <f t="shared" si="248"/>
        <v/>
      </c>
      <c r="S2498" s="317" t="str">
        <f t="shared" si="249"/>
        <v/>
      </c>
      <c r="T2498" s="317" t="str">
        <f>GLOBAL_DER_FEV_2023!S2498</f>
        <v/>
      </c>
      <c r="W2498" s="582">
        <v>0</v>
      </c>
      <c r="X2498" s="580"/>
      <c r="Y2498" s="583">
        <f>IF(GLOBAL_DER_FEV_2023!W2498=0,0,IF(GLOBAL_DER_FEV_2023!W2498&gt;0,"c","b"))</f>
        <v>0</v>
      </c>
    </row>
    <row r="2499" spans="1:25" ht="15" customHeight="1" x14ac:dyDescent="0.2">
      <c r="A2499" s="640" t="s">
        <v>165</v>
      </c>
      <c r="B2499" s="1047" t="s">
        <v>487</v>
      </c>
      <c r="C2499" s="1048"/>
      <c r="D2499" s="1049" t="s">
        <v>525</v>
      </c>
      <c r="E2499" s="1050">
        <f>GLOBAL_DER_FEV_2023!E2499</f>
        <v>0</v>
      </c>
      <c r="F2499" s="1051"/>
      <c r="G2499" s="1052"/>
      <c r="H2499" s="1053">
        <f>GLOBAL_DER_FEV_2023!H2499</f>
        <v>0</v>
      </c>
      <c r="I2499" s="1053">
        <f>GLOBAL_DER_FEV_2023!I2499</f>
        <v>0</v>
      </c>
      <c r="J2499" s="1053">
        <f>GLOBAL_DER_FEV_2023!J2499</f>
        <v>0</v>
      </c>
      <c r="K2499" s="1054" t="s">
        <v>507</v>
      </c>
      <c r="L2499" s="1179"/>
      <c r="M2499" s="1180">
        <f t="shared" si="245"/>
        <v>0</v>
      </c>
      <c r="N2499" s="1057">
        <f t="shared" si="246"/>
        <v>0</v>
      </c>
      <c r="O2499" s="1058">
        <f>SUM(N2501:N2546)</f>
        <v>0</v>
      </c>
      <c r="P2499" s="58" t="str">
        <f>IF(OR(O2499&gt;0,O2499&gt;0),"X","")</f>
        <v/>
      </c>
      <c r="Q2499" s="317" t="str">
        <f t="shared" si="247"/>
        <v/>
      </c>
      <c r="R2499" s="317" t="str">
        <f t="shared" si="248"/>
        <v/>
      </c>
      <c r="S2499" s="317" t="str">
        <f t="shared" si="249"/>
        <v/>
      </c>
      <c r="T2499" s="317" t="str">
        <f>GLOBAL_DER_FEV_2023!S2499</f>
        <v/>
      </c>
      <c r="W2499" s="582">
        <v>0</v>
      </c>
      <c r="X2499" s="580"/>
      <c r="Y2499" s="583">
        <f>IF(GLOBAL_DER_FEV_2023!W2499=0,0,IF(GLOBAL_DER_FEV_2023!W2499&gt;0,"c","b"))</f>
        <v>0</v>
      </c>
    </row>
    <row r="2500" spans="1:25" ht="39.950000000000003" customHeight="1" thickBot="1" x14ac:dyDescent="0.25">
      <c r="A2500" s="640"/>
      <c r="B2500" s="1059"/>
      <c r="C2500" s="1060"/>
      <c r="D2500" s="1061" t="s">
        <v>2013</v>
      </c>
      <c r="E2500" s="1062">
        <f>GLOBAL_DER_FEV_2023!E2500</f>
        <v>0</v>
      </c>
      <c r="F2500" s="1063"/>
      <c r="G2500" s="1064"/>
      <c r="H2500" s="1065">
        <f>GLOBAL_DER_FEV_2023!H2500</f>
        <v>0</v>
      </c>
      <c r="I2500" s="1065">
        <f>GLOBAL_DER_FEV_2023!I2500</f>
        <v>0</v>
      </c>
      <c r="J2500" s="1065">
        <f>GLOBAL_DER_FEV_2023!J2500</f>
        <v>0</v>
      </c>
      <c r="K2500" s="1066"/>
      <c r="L2500" s="1112"/>
      <c r="M2500" s="1112">
        <f t="shared" si="245"/>
        <v>0</v>
      </c>
      <c r="N2500" s="1068">
        <f t="shared" si="246"/>
        <v>0</v>
      </c>
      <c r="O2500" s="1069"/>
      <c r="P2500" s="577" t="str">
        <f>P2499</f>
        <v/>
      </c>
      <c r="Q2500" s="317" t="str">
        <f t="shared" si="247"/>
        <v/>
      </c>
      <c r="R2500" s="317" t="str">
        <f t="shared" si="248"/>
        <v/>
      </c>
      <c r="S2500" s="317" t="str">
        <f t="shared" si="249"/>
        <v/>
      </c>
      <c r="T2500" s="317" t="str">
        <f>GLOBAL_DER_FEV_2023!S2500</f>
        <v/>
      </c>
      <c r="W2500" s="582">
        <v>0</v>
      </c>
      <c r="X2500" s="580"/>
      <c r="Y2500" s="583">
        <f>IF(GLOBAL_DER_FEV_2023!W2500=0,0,IF(GLOBAL_DER_FEV_2023!W2500&gt;0,"c","b"))</f>
        <v>0</v>
      </c>
    </row>
    <row r="2501" spans="1:25" s="77" customFormat="1" ht="22.5" x14ac:dyDescent="0.2">
      <c r="A2501" s="640" t="s">
        <v>165</v>
      </c>
      <c r="B2501" s="883" t="s">
        <v>535</v>
      </c>
      <c r="C2501" s="884" t="s">
        <v>503</v>
      </c>
      <c r="D2501" s="946" t="s">
        <v>488</v>
      </c>
      <c r="E2501" s="1031">
        <f>GLOBAL_DER_FEV_2023!E2501</f>
        <v>0</v>
      </c>
      <c r="F2501" s="947">
        <f>GLOBAL_DER_FEV_2023!F2501</f>
        <v>0</v>
      </c>
      <c r="G2501" s="949">
        <f>GLOBAL_DER_FEV_2023!G2501</f>
        <v>0</v>
      </c>
      <c r="H2501" s="889">
        <f>GLOBAL_DER_FEV_2023!H2501</f>
        <v>163.62</v>
      </c>
      <c r="I2501" s="889">
        <f>GLOBAL_DER_FEV_2023!I2501</f>
        <v>163.62</v>
      </c>
      <c r="J2501" s="890">
        <f>GLOBAL_DER_FEV_2023!J2501</f>
        <v>196.46</v>
      </c>
      <c r="K2501" s="891" t="s">
        <v>15</v>
      </c>
      <c r="L2501" s="1137"/>
      <c r="M2501" s="1138">
        <f t="shared" si="245"/>
        <v>0</v>
      </c>
      <c r="N2501" s="932">
        <f t="shared" si="246"/>
        <v>0</v>
      </c>
      <c r="O2501" s="905"/>
      <c r="P2501" s="76"/>
      <c r="Q2501" s="317" t="str">
        <f t="shared" si="247"/>
        <v/>
      </c>
      <c r="R2501" s="317" t="str">
        <f t="shared" si="248"/>
        <v/>
      </c>
      <c r="S2501" s="317" t="str">
        <f t="shared" si="249"/>
        <v/>
      </c>
      <c r="T2501" s="317" t="str">
        <f>GLOBAL_DER_FEV_2023!S2501</f>
        <v/>
      </c>
      <c r="V2501" s="37"/>
      <c r="W2501" s="582">
        <v>0</v>
      </c>
      <c r="X2501" s="580"/>
      <c r="Y2501" s="583">
        <f>IF(GLOBAL_DER_FEV_2023!W2501=0,0,IF(GLOBAL_DER_FEV_2023!W2501&gt;0,"c","b"))</f>
        <v>0</v>
      </c>
    </row>
    <row r="2502" spans="1:25" s="77" customFormat="1" ht="22.5" x14ac:dyDescent="0.2">
      <c r="A2502" s="640" t="s">
        <v>165</v>
      </c>
      <c r="B2502" s="895" t="s">
        <v>535</v>
      </c>
      <c r="C2502" s="896" t="s">
        <v>503</v>
      </c>
      <c r="D2502" s="906" t="s">
        <v>489</v>
      </c>
      <c r="E2502" s="907">
        <f>GLOBAL_DER_FEV_2023!E2502</f>
        <v>0</v>
      </c>
      <c r="F2502" s="908">
        <f>GLOBAL_DER_FEV_2023!F2502</f>
        <v>0</v>
      </c>
      <c r="G2502" s="912">
        <f>GLOBAL_DER_FEV_2023!G2502</f>
        <v>0</v>
      </c>
      <c r="H2502" s="901">
        <f>GLOBAL_DER_FEV_2023!H2502</f>
        <v>163.62</v>
      </c>
      <c r="I2502" s="901">
        <f>GLOBAL_DER_FEV_2023!I2502</f>
        <v>163.62</v>
      </c>
      <c r="J2502" s="902">
        <f>GLOBAL_DER_FEV_2023!J2502</f>
        <v>196.46</v>
      </c>
      <c r="K2502" s="903" t="s">
        <v>15</v>
      </c>
      <c r="L2502" s="1137"/>
      <c r="M2502" s="1138">
        <f t="shared" ref="M2502:M2546" si="250">IF(L2502=0,0,ROUND(J2502,2))</f>
        <v>0</v>
      </c>
      <c r="N2502" s="893">
        <f t="shared" si="246"/>
        <v>0</v>
      </c>
      <c r="O2502" s="905"/>
      <c r="P2502" s="76"/>
      <c r="Q2502" s="317" t="str">
        <f t="shared" si="247"/>
        <v/>
      </c>
      <c r="R2502" s="317" t="str">
        <f t="shared" si="248"/>
        <v/>
      </c>
      <c r="S2502" s="317" t="str">
        <f t="shared" si="249"/>
        <v/>
      </c>
      <c r="T2502" s="317" t="str">
        <f>GLOBAL_DER_FEV_2023!S2502</f>
        <v/>
      </c>
      <c r="V2502" s="37"/>
      <c r="W2502" s="582">
        <v>0</v>
      </c>
      <c r="X2502" s="580"/>
      <c r="Y2502" s="583">
        <f>IF(GLOBAL_DER_FEV_2023!W2502=0,0,IF(GLOBAL_DER_FEV_2023!W2502&gt;0,"c","b"))</f>
        <v>0</v>
      </c>
    </row>
    <row r="2503" spans="1:25" s="77" customFormat="1" ht="22.5" x14ac:dyDescent="0.2">
      <c r="A2503" s="640" t="s">
        <v>165</v>
      </c>
      <c r="B2503" s="895" t="s">
        <v>535</v>
      </c>
      <c r="C2503" s="896" t="s">
        <v>503</v>
      </c>
      <c r="D2503" s="906" t="s">
        <v>490</v>
      </c>
      <c r="E2503" s="907">
        <f>GLOBAL_DER_FEV_2023!E2503</f>
        <v>0</v>
      </c>
      <c r="F2503" s="908">
        <f>GLOBAL_DER_FEV_2023!F2503</f>
        <v>0</v>
      </c>
      <c r="G2503" s="912">
        <f>GLOBAL_DER_FEV_2023!G2503</f>
        <v>0</v>
      </c>
      <c r="H2503" s="901">
        <f>GLOBAL_DER_FEV_2023!H2503</f>
        <v>163.62</v>
      </c>
      <c r="I2503" s="901">
        <f>GLOBAL_DER_FEV_2023!I2503</f>
        <v>163.62</v>
      </c>
      <c r="J2503" s="902">
        <f>GLOBAL_DER_FEV_2023!J2503</f>
        <v>196.46</v>
      </c>
      <c r="K2503" s="903" t="s">
        <v>15</v>
      </c>
      <c r="L2503" s="1137"/>
      <c r="M2503" s="1138">
        <f t="shared" si="250"/>
        <v>0</v>
      </c>
      <c r="N2503" s="893">
        <f t="shared" si="246"/>
        <v>0</v>
      </c>
      <c r="O2503" s="905"/>
      <c r="P2503" s="76"/>
      <c r="Q2503" s="317" t="str">
        <f t="shared" si="247"/>
        <v/>
      </c>
      <c r="R2503" s="317" t="str">
        <f t="shared" si="248"/>
        <v/>
      </c>
      <c r="S2503" s="317" t="str">
        <f t="shared" si="249"/>
        <v/>
      </c>
      <c r="T2503" s="317" t="str">
        <f>GLOBAL_DER_FEV_2023!S2503</f>
        <v/>
      </c>
      <c r="V2503" s="37"/>
      <c r="W2503" s="582">
        <v>0</v>
      </c>
      <c r="X2503" s="580"/>
      <c r="Y2503" s="583">
        <f>IF(GLOBAL_DER_FEV_2023!W2503=0,0,IF(GLOBAL_DER_FEV_2023!W2503&gt;0,"c","b"))</f>
        <v>0</v>
      </c>
    </row>
    <row r="2504" spans="1:25" s="77" customFormat="1" ht="22.5" x14ac:dyDescent="0.2">
      <c r="A2504" s="640" t="s">
        <v>165</v>
      </c>
      <c r="B2504" s="895" t="s">
        <v>535</v>
      </c>
      <c r="C2504" s="896" t="s">
        <v>503</v>
      </c>
      <c r="D2504" s="906" t="s">
        <v>1999</v>
      </c>
      <c r="E2504" s="907">
        <f>GLOBAL_DER_FEV_2023!E2504</f>
        <v>0</v>
      </c>
      <c r="F2504" s="908">
        <f>GLOBAL_DER_FEV_2023!F2504</f>
        <v>0</v>
      </c>
      <c r="G2504" s="912">
        <f>GLOBAL_DER_FEV_2023!G2504</f>
        <v>0</v>
      </c>
      <c r="H2504" s="901">
        <f>GLOBAL_DER_FEV_2023!H2504</f>
        <v>163.62</v>
      </c>
      <c r="I2504" s="901">
        <f>GLOBAL_DER_FEV_2023!I2504</f>
        <v>163.62</v>
      </c>
      <c r="J2504" s="902">
        <f>GLOBAL_DER_FEV_2023!J2504</f>
        <v>196.46</v>
      </c>
      <c r="K2504" s="903" t="s">
        <v>15</v>
      </c>
      <c r="L2504" s="1137"/>
      <c r="M2504" s="1138">
        <f t="shared" si="250"/>
        <v>0</v>
      </c>
      <c r="N2504" s="893">
        <f t="shared" si="246"/>
        <v>0</v>
      </c>
      <c r="O2504" s="905"/>
      <c r="P2504" s="76"/>
      <c r="Q2504" s="317" t="str">
        <f t="shared" si="247"/>
        <v/>
      </c>
      <c r="R2504" s="317" t="str">
        <f t="shared" si="248"/>
        <v/>
      </c>
      <c r="S2504" s="317" t="str">
        <f t="shared" si="249"/>
        <v/>
      </c>
      <c r="T2504" s="317" t="str">
        <f>GLOBAL_DER_FEV_2023!S2504</f>
        <v/>
      </c>
      <c r="V2504" s="37"/>
      <c r="W2504" s="582">
        <v>0</v>
      </c>
      <c r="X2504" s="580"/>
      <c r="Y2504" s="583">
        <f>IF(GLOBAL_DER_FEV_2023!W2504=0,0,IF(GLOBAL_DER_FEV_2023!W2504&gt;0,"c","b"))</f>
        <v>0</v>
      </c>
    </row>
    <row r="2505" spans="1:25" s="77" customFormat="1" ht="22.5" x14ac:dyDescent="0.2">
      <c r="A2505" s="640" t="s">
        <v>165</v>
      </c>
      <c r="B2505" s="895" t="s">
        <v>535</v>
      </c>
      <c r="C2505" s="896" t="s">
        <v>503</v>
      </c>
      <c r="D2505" s="906" t="s">
        <v>2000</v>
      </c>
      <c r="E2505" s="907">
        <f>GLOBAL_DER_FEV_2023!E2505</f>
        <v>0</v>
      </c>
      <c r="F2505" s="908">
        <f>GLOBAL_DER_FEV_2023!F2505</f>
        <v>0</v>
      </c>
      <c r="G2505" s="912">
        <f>GLOBAL_DER_FEV_2023!G2505</f>
        <v>0</v>
      </c>
      <c r="H2505" s="901">
        <f>GLOBAL_DER_FEV_2023!H2505</f>
        <v>163.62</v>
      </c>
      <c r="I2505" s="901">
        <f>GLOBAL_DER_FEV_2023!I2505</f>
        <v>163.62</v>
      </c>
      <c r="J2505" s="902">
        <f>GLOBAL_DER_FEV_2023!J2505</f>
        <v>196.46</v>
      </c>
      <c r="K2505" s="903" t="s">
        <v>15</v>
      </c>
      <c r="L2505" s="1137"/>
      <c r="M2505" s="1138">
        <f t="shared" si="250"/>
        <v>0</v>
      </c>
      <c r="N2505" s="893">
        <f t="shared" si="246"/>
        <v>0</v>
      </c>
      <c r="O2505" s="905"/>
      <c r="P2505" s="76"/>
      <c r="Q2505" s="317" t="str">
        <f t="shared" si="247"/>
        <v/>
      </c>
      <c r="R2505" s="317" t="str">
        <f t="shared" si="248"/>
        <v/>
      </c>
      <c r="S2505" s="317" t="str">
        <f t="shared" si="249"/>
        <v/>
      </c>
      <c r="T2505" s="317" t="str">
        <f>GLOBAL_DER_FEV_2023!S2505</f>
        <v/>
      </c>
      <c r="V2505" s="37"/>
      <c r="W2505" s="582">
        <v>0</v>
      </c>
      <c r="X2505" s="580"/>
      <c r="Y2505" s="583">
        <f>IF(GLOBAL_DER_FEV_2023!W2505=0,0,IF(GLOBAL_DER_FEV_2023!W2505&gt;0,"c","b"))</f>
        <v>0</v>
      </c>
    </row>
    <row r="2506" spans="1:25" s="77" customFormat="1" x14ac:dyDescent="0.2">
      <c r="A2506" s="640" t="s">
        <v>165</v>
      </c>
      <c r="B2506" s="895" t="s">
        <v>536</v>
      </c>
      <c r="C2506" s="896" t="s">
        <v>503</v>
      </c>
      <c r="D2506" s="906" t="s">
        <v>491</v>
      </c>
      <c r="E2506" s="907">
        <f>GLOBAL_DER_FEV_2023!E2506</f>
        <v>0</v>
      </c>
      <c r="F2506" s="908">
        <f>GLOBAL_DER_FEV_2023!F2506</f>
        <v>0</v>
      </c>
      <c r="G2506" s="912">
        <f>GLOBAL_DER_FEV_2023!G2506</f>
        <v>0</v>
      </c>
      <c r="H2506" s="901">
        <f>GLOBAL_DER_FEV_2023!H2506</f>
        <v>148.02000000000001</v>
      </c>
      <c r="I2506" s="901">
        <f>GLOBAL_DER_FEV_2023!I2506</f>
        <v>148.02000000000001</v>
      </c>
      <c r="J2506" s="902">
        <f>GLOBAL_DER_FEV_2023!J2506</f>
        <v>177.73</v>
      </c>
      <c r="K2506" s="903" t="s">
        <v>15</v>
      </c>
      <c r="L2506" s="1137"/>
      <c r="M2506" s="1138">
        <f t="shared" si="250"/>
        <v>0</v>
      </c>
      <c r="N2506" s="893">
        <f t="shared" si="246"/>
        <v>0</v>
      </c>
      <c r="O2506" s="905"/>
      <c r="P2506" s="76"/>
      <c r="Q2506" s="317" t="str">
        <f t="shared" si="247"/>
        <v/>
      </c>
      <c r="R2506" s="317" t="str">
        <f t="shared" si="248"/>
        <v/>
      </c>
      <c r="S2506" s="317" t="str">
        <f t="shared" si="249"/>
        <v/>
      </c>
      <c r="T2506" s="317" t="str">
        <f>GLOBAL_DER_FEV_2023!S2506</f>
        <v/>
      </c>
      <c r="V2506" s="37"/>
      <c r="W2506" s="582">
        <v>0</v>
      </c>
      <c r="X2506" s="580"/>
      <c r="Y2506" s="583">
        <f>IF(GLOBAL_DER_FEV_2023!W2506=0,0,IF(GLOBAL_DER_FEV_2023!W2506&gt;0,"c","b"))</f>
        <v>0</v>
      </c>
    </row>
    <row r="2507" spans="1:25" s="77" customFormat="1" x14ac:dyDescent="0.2">
      <c r="A2507" s="640" t="s">
        <v>165</v>
      </c>
      <c r="B2507" s="895" t="s">
        <v>492</v>
      </c>
      <c r="C2507" s="896" t="s">
        <v>537</v>
      </c>
      <c r="D2507" s="957" t="s">
        <v>493</v>
      </c>
      <c r="E2507" s="907">
        <f>GLOBAL_DER_FEV_2023!E2507</f>
        <v>0</v>
      </c>
      <c r="F2507" s="908">
        <f>GLOBAL_DER_FEV_2023!F2507</f>
        <v>0</v>
      </c>
      <c r="G2507" s="912">
        <f>GLOBAL_DER_FEV_2023!G2507</f>
        <v>0</v>
      </c>
      <c r="H2507" s="901">
        <f>GLOBAL_DER_FEV_2023!H2507</f>
        <v>79.56</v>
      </c>
      <c r="I2507" s="901">
        <f>GLOBAL_DER_FEV_2023!I2507</f>
        <v>79.56</v>
      </c>
      <c r="J2507" s="902">
        <f>GLOBAL_DER_FEV_2023!J2507</f>
        <v>95.53</v>
      </c>
      <c r="K2507" s="903" t="s">
        <v>15</v>
      </c>
      <c r="L2507" s="1137"/>
      <c r="M2507" s="1138">
        <f t="shared" si="250"/>
        <v>0</v>
      </c>
      <c r="N2507" s="893">
        <f t="shared" si="246"/>
        <v>0</v>
      </c>
      <c r="O2507" s="905"/>
      <c r="P2507" s="76"/>
      <c r="Q2507" s="317" t="str">
        <f t="shared" si="247"/>
        <v/>
      </c>
      <c r="R2507" s="317" t="str">
        <f t="shared" si="248"/>
        <v/>
      </c>
      <c r="S2507" s="317" t="str">
        <f t="shared" si="249"/>
        <v/>
      </c>
      <c r="T2507" s="317" t="str">
        <f>GLOBAL_DER_FEV_2023!S2507</f>
        <v/>
      </c>
      <c r="V2507" s="37"/>
      <c r="W2507" s="582">
        <v>0</v>
      </c>
      <c r="X2507" s="580"/>
      <c r="Y2507" s="583">
        <f>IF(GLOBAL_DER_FEV_2023!W2507=0,0,IF(GLOBAL_DER_FEV_2023!W2507&gt;0,"c","b"))</f>
        <v>0</v>
      </c>
    </row>
    <row r="2508" spans="1:25" s="77" customFormat="1" x14ac:dyDescent="0.2">
      <c r="A2508" s="640" t="s">
        <v>165</v>
      </c>
      <c r="B2508" s="895" t="s">
        <v>494</v>
      </c>
      <c r="C2508" s="896" t="s">
        <v>537</v>
      </c>
      <c r="D2508" s="957" t="s">
        <v>495</v>
      </c>
      <c r="E2508" s="907">
        <f>GLOBAL_DER_FEV_2023!E2508</f>
        <v>0</v>
      </c>
      <c r="F2508" s="908">
        <f>GLOBAL_DER_FEV_2023!F2508</f>
        <v>0</v>
      </c>
      <c r="G2508" s="912">
        <f>GLOBAL_DER_FEV_2023!G2508</f>
        <v>0</v>
      </c>
      <c r="H2508" s="901">
        <f>GLOBAL_DER_FEV_2023!H2508</f>
        <v>46.59</v>
      </c>
      <c r="I2508" s="901">
        <f>GLOBAL_DER_FEV_2023!I2508</f>
        <v>46.59</v>
      </c>
      <c r="J2508" s="902">
        <f>GLOBAL_DER_FEV_2023!J2508</f>
        <v>55.94</v>
      </c>
      <c r="K2508" s="903" t="s">
        <v>15</v>
      </c>
      <c r="L2508" s="1137"/>
      <c r="M2508" s="1138">
        <f t="shared" si="250"/>
        <v>0</v>
      </c>
      <c r="N2508" s="893">
        <f t="shared" si="246"/>
        <v>0</v>
      </c>
      <c r="O2508" s="905"/>
      <c r="P2508" s="76"/>
      <c r="Q2508" s="317" t="str">
        <f t="shared" si="247"/>
        <v/>
      </c>
      <c r="R2508" s="317" t="str">
        <f t="shared" si="248"/>
        <v/>
      </c>
      <c r="S2508" s="317" t="str">
        <f t="shared" si="249"/>
        <v/>
      </c>
      <c r="T2508" s="317" t="str">
        <f>GLOBAL_DER_FEV_2023!S2508</f>
        <v/>
      </c>
      <c r="V2508" s="37"/>
      <c r="W2508" s="582">
        <v>0</v>
      </c>
      <c r="X2508" s="580"/>
      <c r="Y2508" s="583">
        <f>IF(GLOBAL_DER_FEV_2023!W2508=0,0,IF(GLOBAL_DER_FEV_2023!W2508&gt;0,"c","b"))</f>
        <v>0</v>
      </c>
    </row>
    <row r="2509" spans="1:25" s="77" customFormat="1" x14ac:dyDescent="0.2">
      <c r="A2509" s="640" t="s">
        <v>165</v>
      </c>
      <c r="B2509" s="895" t="s">
        <v>601</v>
      </c>
      <c r="C2509" s="896" t="s">
        <v>503</v>
      </c>
      <c r="D2509" s="957" t="s">
        <v>496</v>
      </c>
      <c r="E2509" s="907">
        <f>GLOBAL_DER_FEV_2023!E2509</f>
        <v>0</v>
      </c>
      <c r="F2509" s="908">
        <f>GLOBAL_DER_FEV_2023!F2509</f>
        <v>0</v>
      </c>
      <c r="G2509" s="912">
        <f>GLOBAL_DER_FEV_2023!G2509</f>
        <v>0</v>
      </c>
      <c r="H2509" s="901">
        <f>GLOBAL_DER_FEV_2023!H2509</f>
        <v>175.82</v>
      </c>
      <c r="I2509" s="901">
        <f>GLOBAL_DER_FEV_2023!I2509</f>
        <v>175.82</v>
      </c>
      <c r="J2509" s="902">
        <f>GLOBAL_DER_FEV_2023!J2509</f>
        <v>211.11</v>
      </c>
      <c r="K2509" s="903" t="s">
        <v>15</v>
      </c>
      <c r="L2509" s="1137"/>
      <c r="M2509" s="1138">
        <f t="shared" si="250"/>
        <v>0</v>
      </c>
      <c r="N2509" s="893">
        <f t="shared" si="246"/>
        <v>0</v>
      </c>
      <c r="O2509" s="905"/>
      <c r="P2509" s="76"/>
      <c r="Q2509" s="317" t="str">
        <f t="shared" si="247"/>
        <v/>
      </c>
      <c r="R2509" s="317" t="str">
        <f t="shared" si="248"/>
        <v/>
      </c>
      <c r="S2509" s="317" t="str">
        <f t="shared" si="249"/>
        <v/>
      </c>
      <c r="T2509" s="317" t="str">
        <f>GLOBAL_DER_FEV_2023!S2509</f>
        <v/>
      </c>
      <c r="V2509" s="37"/>
      <c r="W2509" s="582">
        <v>0</v>
      </c>
      <c r="X2509" s="580"/>
      <c r="Y2509" s="583">
        <f>IF(GLOBAL_DER_FEV_2023!W2509=0,0,IF(GLOBAL_DER_FEV_2023!W2509&gt;0,"c","b"))</f>
        <v>0</v>
      </c>
    </row>
    <row r="2510" spans="1:25" s="77" customFormat="1" x14ac:dyDescent="0.2">
      <c r="A2510" s="640" t="s">
        <v>165</v>
      </c>
      <c r="B2510" s="895" t="s">
        <v>497</v>
      </c>
      <c r="C2510" s="896" t="s">
        <v>537</v>
      </c>
      <c r="D2510" s="906" t="s">
        <v>498</v>
      </c>
      <c r="E2510" s="907">
        <f>GLOBAL_DER_FEV_2023!E2510</f>
        <v>0</v>
      </c>
      <c r="F2510" s="908">
        <f>GLOBAL_DER_FEV_2023!F2510</f>
        <v>0</v>
      </c>
      <c r="G2510" s="912">
        <f>GLOBAL_DER_FEV_2023!G2510</f>
        <v>0</v>
      </c>
      <c r="H2510" s="901">
        <f>GLOBAL_DER_FEV_2023!H2510</f>
        <v>83.84</v>
      </c>
      <c r="I2510" s="901">
        <f>GLOBAL_DER_FEV_2023!I2510</f>
        <v>83.84</v>
      </c>
      <c r="J2510" s="902">
        <f>GLOBAL_DER_FEV_2023!J2510</f>
        <v>100.67</v>
      </c>
      <c r="K2510" s="903" t="s">
        <v>15</v>
      </c>
      <c r="L2510" s="1137"/>
      <c r="M2510" s="1138">
        <f t="shared" si="250"/>
        <v>0</v>
      </c>
      <c r="N2510" s="893">
        <f t="shared" si="246"/>
        <v>0</v>
      </c>
      <c r="O2510" s="905"/>
      <c r="P2510" s="76"/>
      <c r="Q2510" s="317" t="str">
        <f t="shared" si="247"/>
        <v/>
      </c>
      <c r="R2510" s="317" t="str">
        <f t="shared" si="248"/>
        <v/>
      </c>
      <c r="S2510" s="317" t="str">
        <f t="shared" si="249"/>
        <v/>
      </c>
      <c r="T2510" s="317" t="str">
        <f>GLOBAL_DER_FEV_2023!S2510</f>
        <v/>
      </c>
      <c r="V2510" s="37"/>
      <c r="W2510" s="582">
        <v>0</v>
      </c>
      <c r="X2510" s="580"/>
      <c r="Y2510" s="583">
        <f>IF(GLOBAL_DER_FEV_2023!W2510=0,0,IF(GLOBAL_DER_FEV_2023!W2510&gt;0,"c","b"))</f>
        <v>0</v>
      </c>
    </row>
    <row r="2511" spans="1:25" s="77" customFormat="1" x14ac:dyDescent="0.2">
      <c r="A2511" s="640" t="s">
        <v>165</v>
      </c>
      <c r="B2511" s="895" t="s">
        <v>499</v>
      </c>
      <c r="C2511" s="896" t="s">
        <v>537</v>
      </c>
      <c r="D2511" s="906" t="s">
        <v>500</v>
      </c>
      <c r="E2511" s="907">
        <f>GLOBAL_DER_FEV_2023!E2511</f>
        <v>0</v>
      </c>
      <c r="F2511" s="908">
        <f>GLOBAL_DER_FEV_2023!F2511</f>
        <v>0</v>
      </c>
      <c r="G2511" s="912">
        <f>GLOBAL_DER_FEV_2023!G2511</f>
        <v>0</v>
      </c>
      <c r="H2511" s="901">
        <f>GLOBAL_DER_FEV_2023!H2511</f>
        <v>48.16</v>
      </c>
      <c r="I2511" s="901">
        <f>GLOBAL_DER_FEV_2023!I2511</f>
        <v>48.16</v>
      </c>
      <c r="J2511" s="902">
        <f>GLOBAL_DER_FEV_2023!J2511</f>
        <v>57.83</v>
      </c>
      <c r="K2511" s="903" t="s">
        <v>15</v>
      </c>
      <c r="L2511" s="1137"/>
      <c r="M2511" s="1138">
        <f t="shared" si="250"/>
        <v>0</v>
      </c>
      <c r="N2511" s="893">
        <f t="shared" si="246"/>
        <v>0</v>
      </c>
      <c r="O2511" s="905"/>
      <c r="P2511" s="76"/>
      <c r="Q2511" s="317" t="str">
        <f t="shared" si="247"/>
        <v/>
      </c>
      <c r="R2511" s="317" t="str">
        <f t="shared" si="248"/>
        <v/>
      </c>
      <c r="S2511" s="317" t="str">
        <f t="shared" si="249"/>
        <v/>
      </c>
      <c r="T2511" s="317" t="str">
        <f>GLOBAL_DER_FEV_2023!S2511</f>
        <v/>
      </c>
      <c r="V2511" s="37"/>
      <c r="W2511" s="582">
        <v>0</v>
      </c>
      <c r="X2511" s="580"/>
      <c r="Y2511" s="583">
        <f>IF(GLOBAL_DER_FEV_2023!W2511=0,0,IF(GLOBAL_DER_FEV_2023!W2511&gt;0,"c","b"))</f>
        <v>0</v>
      </c>
    </row>
    <row r="2512" spans="1:25" s="77" customFormat="1" x14ac:dyDescent="0.2">
      <c r="A2512" s="640" t="s">
        <v>165</v>
      </c>
      <c r="B2512" s="895" t="s">
        <v>801</v>
      </c>
      <c r="C2512" s="896" t="s">
        <v>537</v>
      </c>
      <c r="D2512" s="906" t="s">
        <v>802</v>
      </c>
      <c r="E2512" s="907">
        <f>GLOBAL_DER_FEV_2023!E2512</f>
        <v>0</v>
      </c>
      <c r="F2512" s="908">
        <f>GLOBAL_DER_FEV_2023!F2512</f>
        <v>0</v>
      </c>
      <c r="G2512" s="912">
        <f>GLOBAL_DER_FEV_2023!G2512</f>
        <v>0</v>
      </c>
      <c r="H2512" s="901">
        <f>GLOBAL_DER_FEV_2023!H2512</f>
        <v>99.15</v>
      </c>
      <c r="I2512" s="901">
        <f>GLOBAL_DER_FEV_2023!I2512</f>
        <v>99.15</v>
      </c>
      <c r="J2512" s="902">
        <f>GLOBAL_DER_FEV_2023!J2512</f>
        <v>119.05</v>
      </c>
      <c r="K2512" s="903" t="s">
        <v>15</v>
      </c>
      <c r="L2512" s="1137"/>
      <c r="M2512" s="1138">
        <f t="shared" si="250"/>
        <v>0</v>
      </c>
      <c r="N2512" s="893">
        <f t="shared" si="246"/>
        <v>0</v>
      </c>
      <c r="O2512" s="905"/>
      <c r="P2512" s="76"/>
      <c r="Q2512" s="317" t="str">
        <f t="shared" si="247"/>
        <v/>
      </c>
      <c r="R2512" s="317" t="str">
        <f t="shared" si="248"/>
        <v/>
      </c>
      <c r="S2512" s="317" t="str">
        <f t="shared" si="249"/>
        <v/>
      </c>
      <c r="T2512" s="317" t="str">
        <f>GLOBAL_DER_FEV_2023!S2512</f>
        <v/>
      </c>
      <c r="V2512" s="37"/>
      <c r="W2512" s="582">
        <v>0</v>
      </c>
      <c r="X2512" s="580"/>
      <c r="Y2512" s="583">
        <f>IF(GLOBAL_DER_FEV_2023!W2512=0,0,IF(GLOBAL_DER_FEV_2023!W2512&gt;0,"c","b"))</f>
        <v>0</v>
      </c>
    </row>
    <row r="2513" spans="1:25" s="77" customFormat="1" x14ac:dyDescent="0.2">
      <c r="A2513" s="640" t="s">
        <v>165</v>
      </c>
      <c r="B2513" s="1070" t="s">
        <v>539</v>
      </c>
      <c r="C2513" s="896" t="s">
        <v>503</v>
      </c>
      <c r="D2513" s="906" t="s">
        <v>505</v>
      </c>
      <c r="E2513" s="907">
        <f>GLOBAL_DER_FEV_2023!E2513</f>
        <v>0</v>
      </c>
      <c r="F2513" s="908">
        <f>GLOBAL_DER_FEV_2023!F2513</f>
        <v>0</v>
      </c>
      <c r="G2513" s="912">
        <f>GLOBAL_DER_FEV_2023!G2513</f>
        <v>0</v>
      </c>
      <c r="H2513" s="901">
        <f>GLOBAL_DER_FEV_2023!H2513</f>
        <v>97.91</v>
      </c>
      <c r="I2513" s="901">
        <f>GLOBAL_DER_FEV_2023!I2513</f>
        <v>97.91</v>
      </c>
      <c r="J2513" s="902">
        <f>GLOBAL_DER_FEV_2023!J2513</f>
        <v>117.56</v>
      </c>
      <c r="K2513" s="903" t="s">
        <v>15</v>
      </c>
      <c r="L2513" s="1137"/>
      <c r="M2513" s="1138">
        <f t="shared" si="250"/>
        <v>0</v>
      </c>
      <c r="N2513" s="893">
        <f t="shared" si="246"/>
        <v>0</v>
      </c>
      <c r="O2513" s="905"/>
      <c r="P2513" s="76"/>
      <c r="Q2513" s="317" t="str">
        <f t="shared" si="247"/>
        <v/>
      </c>
      <c r="R2513" s="317" t="str">
        <f t="shared" si="248"/>
        <v/>
      </c>
      <c r="S2513" s="317" t="str">
        <f t="shared" si="249"/>
        <v/>
      </c>
      <c r="T2513" s="317" t="str">
        <f>GLOBAL_DER_FEV_2023!S2513</f>
        <v/>
      </c>
      <c r="V2513" s="37"/>
      <c r="W2513" s="582">
        <v>0</v>
      </c>
      <c r="X2513" s="580"/>
      <c r="Y2513" s="583">
        <f>IF(GLOBAL_DER_FEV_2023!W2513=0,0,IF(GLOBAL_DER_FEV_2023!W2513&gt;0,"c","b"))</f>
        <v>0</v>
      </c>
    </row>
    <row r="2514" spans="1:25" s="77" customFormat="1" ht="22.5" x14ac:dyDescent="0.2">
      <c r="A2514" s="640" t="s">
        <v>165</v>
      </c>
      <c r="B2514" s="895" t="s">
        <v>538</v>
      </c>
      <c r="C2514" s="896" t="s">
        <v>503</v>
      </c>
      <c r="D2514" s="906" t="s">
        <v>506</v>
      </c>
      <c r="E2514" s="907">
        <f>GLOBAL_DER_FEV_2023!E2514</f>
        <v>0</v>
      </c>
      <c r="F2514" s="908">
        <f>GLOBAL_DER_FEV_2023!F2514</f>
        <v>0</v>
      </c>
      <c r="G2514" s="949">
        <f>GLOBAL_DER_FEV_2023!G2514</f>
        <v>0</v>
      </c>
      <c r="H2514" s="901">
        <f>GLOBAL_DER_FEV_2023!H2514</f>
        <v>4850.2</v>
      </c>
      <c r="I2514" s="901">
        <f>GLOBAL_DER_FEV_2023!I2514</f>
        <v>4850.2</v>
      </c>
      <c r="J2514" s="902">
        <f>GLOBAL_DER_FEV_2023!J2514</f>
        <v>5823.64</v>
      </c>
      <c r="K2514" s="903" t="s">
        <v>502</v>
      </c>
      <c r="L2514" s="1137"/>
      <c r="M2514" s="1138">
        <f t="shared" si="250"/>
        <v>0</v>
      </c>
      <c r="N2514" s="893">
        <f t="shared" si="246"/>
        <v>0</v>
      </c>
      <c r="O2514" s="905"/>
      <c r="P2514" s="76"/>
      <c r="Q2514" s="317" t="str">
        <f t="shared" si="247"/>
        <v/>
      </c>
      <c r="R2514" s="317" t="str">
        <f t="shared" si="248"/>
        <v/>
      </c>
      <c r="S2514" s="317" t="str">
        <f t="shared" si="249"/>
        <v/>
      </c>
      <c r="T2514" s="317" t="str">
        <f>GLOBAL_DER_FEV_2023!S2514</f>
        <v/>
      </c>
      <c r="V2514" s="37"/>
      <c r="W2514" s="582">
        <v>0</v>
      </c>
      <c r="X2514" s="580"/>
      <c r="Y2514" s="583">
        <f>IF(GLOBAL_DER_FEV_2023!W2514=0,0,IF(GLOBAL_DER_FEV_2023!W2514&gt;0,"c","b"))</f>
        <v>0</v>
      </c>
    </row>
    <row r="2515" spans="1:25" x14ac:dyDescent="0.2">
      <c r="A2515" s="640" t="s">
        <v>165</v>
      </c>
      <c r="B2515" s="913" t="s">
        <v>165</v>
      </c>
      <c r="C2515" s="914"/>
      <c r="D2515" s="915" t="s">
        <v>501</v>
      </c>
      <c r="E2515" s="916">
        <f>GLOBAL_DER_FEV_2023!E2515</f>
        <v>0</v>
      </c>
      <c r="F2515" s="917">
        <f>GLOBAL_DER_FEV_2023!F2515</f>
        <v>0</v>
      </c>
      <c r="G2515" s="1071">
        <f>GLOBAL_DER_FEV_2023!G2515</f>
        <v>0</v>
      </c>
      <c r="H2515" s="920">
        <f>GLOBAL_DER_FEV_2023!H2515</f>
        <v>0</v>
      </c>
      <c r="I2515" s="920">
        <f>GLOBAL_DER_FEV_2023!I2515</f>
        <v>0</v>
      </c>
      <c r="J2515" s="920">
        <f>GLOBAL_DER_FEV_2023!J2515</f>
        <v>0</v>
      </c>
      <c r="K2515" s="920" t="s">
        <v>507</v>
      </c>
      <c r="L2515" s="921"/>
      <c r="M2515" s="922">
        <f t="shared" si="250"/>
        <v>0</v>
      </c>
      <c r="N2515" s="923">
        <f t="shared" si="246"/>
        <v>0</v>
      </c>
      <c r="O2515" s="905"/>
      <c r="P2515" s="58" t="str">
        <f>IF(OR(SUM(N2516:N2546)&gt;0,SUM(N2516:N2546)&gt;0),"y","")</f>
        <v/>
      </c>
      <c r="Q2515" s="317" t="str">
        <f t="shared" si="247"/>
        <v/>
      </c>
      <c r="R2515" s="317" t="str">
        <f t="shared" si="248"/>
        <v/>
      </c>
      <c r="S2515" s="317" t="str">
        <f t="shared" si="249"/>
        <v/>
      </c>
      <c r="T2515" s="317" t="str">
        <f>GLOBAL_DER_FEV_2023!S2515</f>
        <v/>
      </c>
      <c r="W2515" s="582">
        <v>0</v>
      </c>
      <c r="X2515" s="580"/>
      <c r="Y2515" s="583">
        <f>IF(GLOBAL_DER_FEV_2023!W2515=0,0,IF(GLOBAL_DER_FEV_2023!W2515&gt;0,"c","b"))</f>
        <v>0</v>
      </c>
    </row>
    <row r="2516" spans="1:25" x14ac:dyDescent="0.2">
      <c r="A2516" s="640" t="s">
        <v>165</v>
      </c>
      <c r="B2516" s="1181" t="str">
        <f>GLOBAL_DER_FEV_2023!B2516</f>
        <v>09.03.02</v>
      </c>
      <c r="C2516" s="1182" t="str">
        <f>GLOBAL_DER_FEV_2023!C2516</f>
        <v>DAER/RS</v>
      </c>
      <c r="D2516" s="1141" t="str">
        <f>GLOBAL_DER_FEV_2023!D2516</f>
        <v>Ensaio de Abrasão Los Angeles - Macadame seco com brita graduada</v>
      </c>
      <c r="E2516" s="907">
        <f>GLOBAL_DER_FEV_2023!E2516</f>
        <v>0</v>
      </c>
      <c r="F2516" s="908">
        <f>GLOBAL_DER_FEV_2023!F2516</f>
        <v>0</v>
      </c>
      <c r="G2516" s="912">
        <f>GLOBAL_DER_FEV_2023!G2516</f>
        <v>0</v>
      </c>
      <c r="H2516" s="901">
        <f>GLOBAL_DER_FEV_2023!H2516</f>
        <v>310.23</v>
      </c>
      <c r="I2516" s="901">
        <f>GLOBAL_DER_FEV_2023!I2516</f>
        <v>310.23</v>
      </c>
      <c r="J2516" s="902">
        <f>GLOBAL_DER_FEV_2023!J2516</f>
        <v>372.49</v>
      </c>
      <c r="K2516" s="903" t="str">
        <f>GLOBAL_DER_FEV_2023!K2516</f>
        <v>un</v>
      </c>
      <c r="L2516" s="1137"/>
      <c r="M2516" s="1175">
        <f t="shared" si="250"/>
        <v>0</v>
      </c>
      <c r="N2516" s="1167">
        <f t="shared" si="246"/>
        <v>0</v>
      </c>
      <c r="O2516" s="1165"/>
      <c r="Q2516" s="317" t="str">
        <f t="shared" si="247"/>
        <v/>
      </c>
      <c r="R2516" s="317" t="str">
        <f t="shared" si="248"/>
        <v/>
      </c>
      <c r="S2516" s="317" t="str">
        <f t="shared" si="249"/>
        <v/>
      </c>
      <c r="T2516" s="317" t="str">
        <f>GLOBAL_DER_FEV_2023!S2516</f>
        <v/>
      </c>
      <c r="W2516" s="582">
        <v>0</v>
      </c>
      <c r="X2516" s="580"/>
      <c r="Y2516" s="583">
        <f>IF(GLOBAL_DER_FEV_2023!W2516=0,0,IF(GLOBAL_DER_FEV_2023!W2516&gt;0,"c","b"))</f>
        <v>0</v>
      </c>
    </row>
    <row r="2517" spans="1:25" x14ac:dyDescent="0.2">
      <c r="A2517" s="640" t="s">
        <v>165</v>
      </c>
      <c r="B2517" s="1181" t="str">
        <f>GLOBAL_DER_FEV_2023!B2517</f>
        <v>09.03.02a</v>
      </c>
      <c r="C2517" s="1182" t="str">
        <f>GLOBAL_DER_FEV_2023!C2517</f>
        <v>DAER/RS</v>
      </c>
      <c r="D2517" s="1141" t="str">
        <f>GLOBAL_DER_FEV_2023!D2517</f>
        <v>Ensaio de Abrasão Los Angeles - rachão sem britagem</v>
      </c>
      <c r="E2517" s="907">
        <f>GLOBAL_DER_FEV_2023!E2517</f>
        <v>0</v>
      </c>
      <c r="F2517" s="908">
        <f>GLOBAL_DER_FEV_2023!F2517</f>
        <v>0</v>
      </c>
      <c r="G2517" s="912">
        <f>GLOBAL_DER_FEV_2023!G2517</f>
        <v>0</v>
      </c>
      <c r="H2517" s="901">
        <f>GLOBAL_DER_FEV_2023!H2517</f>
        <v>310.23</v>
      </c>
      <c r="I2517" s="901">
        <f>GLOBAL_DER_FEV_2023!I2517</f>
        <v>310.23</v>
      </c>
      <c r="J2517" s="902">
        <f>GLOBAL_DER_FEV_2023!J2517</f>
        <v>372.49</v>
      </c>
      <c r="K2517" s="903" t="str">
        <f>GLOBAL_DER_FEV_2023!K2517</f>
        <v>un</v>
      </c>
      <c r="L2517" s="1137"/>
      <c r="M2517" s="1175">
        <f t="shared" si="250"/>
        <v>0</v>
      </c>
      <c r="N2517" s="1167">
        <f t="shared" si="246"/>
        <v>0</v>
      </c>
      <c r="O2517" s="1165"/>
      <c r="Q2517" s="317" t="str">
        <f t="shared" si="247"/>
        <v/>
      </c>
      <c r="R2517" s="317" t="str">
        <f t="shared" si="248"/>
        <v/>
      </c>
      <c r="S2517" s="317" t="str">
        <f t="shared" si="249"/>
        <v/>
      </c>
      <c r="T2517" s="317" t="str">
        <f>GLOBAL_DER_FEV_2023!S2517</f>
        <v/>
      </c>
      <c r="W2517" s="582">
        <v>0</v>
      </c>
      <c r="X2517" s="580"/>
      <c r="Y2517" s="583">
        <f>IF(GLOBAL_DER_FEV_2023!W2517=0,0,IF(GLOBAL_DER_FEV_2023!W2517&gt;0,"c","b"))</f>
        <v>0</v>
      </c>
    </row>
    <row r="2518" spans="1:25" x14ac:dyDescent="0.2">
      <c r="A2518" s="640" t="s">
        <v>165</v>
      </c>
      <c r="B2518" s="1181" t="str">
        <f>GLOBAL_DER_FEV_2023!B2518</f>
        <v>09.07.01</v>
      </c>
      <c r="C2518" s="1182" t="str">
        <f>GLOBAL_DER_FEV_2023!C2518</f>
        <v>DAER/RS</v>
      </c>
      <c r="D2518" s="1141" t="str">
        <f>GLOBAL_DER_FEV_2023!D2518</f>
        <v>Viga Benkelman (levantamento por pista de 20m em 20m alternando a faixa) - (km.pista)</v>
      </c>
      <c r="E2518" s="907">
        <f>GLOBAL_DER_FEV_2023!E2518</f>
        <v>0</v>
      </c>
      <c r="F2518" s="908">
        <f>GLOBAL_DER_FEV_2023!F2518</f>
        <v>0</v>
      </c>
      <c r="G2518" s="912">
        <f>GLOBAL_DER_FEV_2023!G2518</f>
        <v>0</v>
      </c>
      <c r="H2518" s="901">
        <f>GLOBAL_DER_FEV_2023!H2518</f>
        <v>82.89</v>
      </c>
      <c r="I2518" s="901">
        <f>GLOBAL_DER_FEV_2023!I2518</f>
        <v>82.89</v>
      </c>
      <c r="J2518" s="902">
        <f>GLOBAL_DER_FEV_2023!J2518</f>
        <v>99.53</v>
      </c>
      <c r="K2518" s="903" t="str">
        <f>GLOBAL_DER_FEV_2023!K2518</f>
        <v>km</v>
      </c>
      <c r="L2518" s="1137"/>
      <c r="M2518" s="1175">
        <f t="shared" si="250"/>
        <v>0</v>
      </c>
      <c r="N2518" s="1167">
        <f t="shared" si="246"/>
        <v>0</v>
      </c>
      <c r="O2518" s="1165"/>
      <c r="Q2518" s="317" t="str">
        <f t="shared" si="247"/>
        <v/>
      </c>
      <c r="R2518" s="317" t="str">
        <f t="shared" si="248"/>
        <v/>
      </c>
      <c r="S2518" s="317" t="str">
        <f t="shared" si="249"/>
        <v/>
      </c>
      <c r="T2518" s="317" t="str">
        <f>GLOBAL_DER_FEV_2023!S2518</f>
        <v/>
      </c>
      <c r="W2518" s="582">
        <v>0</v>
      </c>
      <c r="X2518" s="580"/>
      <c r="Y2518" s="583">
        <f>IF(GLOBAL_DER_FEV_2023!W2518=0,0,IF(GLOBAL_DER_FEV_2023!W2518&gt;0,"c","b"))</f>
        <v>0</v>
      </c>
    </row>
    <row r="2519" spans="1:25" ht="22.5" x14ac:dyDescent="0.2">
      <c r="A2519" s="640" t="s">
        <v>165</v>
      </c>
      <c r="B2519" s="1181" t="str">
        <f>GLOBAL_DER_FEV_2023!B2519</f>
        <v>Fazer Cotação</v>
      </c>
      <c r="C2519" s="1182" t="str">
        <f>GLOBAL_DER_FEV_2023!C2519</f>
        <v>fonte da cotação</v>
      </c>
      <c r="D2519" s="1141" t="str">
        <f>GLOBAL_DER_FEV_2023!D2519</f>
        <v>Determinação do Abatimento (Slump Test) - aproximadamente 1 teste por caminhão betoneira. Considerando caminhão de 8m3</v>
      </c>
      <c r="E2519" s="907">
        <f>GLOBAL_DER_FEV_2023!E2519</f>
        <v>0</v>
      </c>
      <c r="F2519" s="908">
        <f>GLOBAL_DER_FEV_2023!F2519</f>
        <v>0</v>
      </c>
      <c r="G2519" s="912">
        <f>GLOBAL_DER_FEV_2023!G2519</f>
        <v>0</v>
      </c>
      <c r="H2519" s="901">
        <f>GLOBAL_DER_FEV_2023!H2519</f>
        <v>0</v>
      </c>
      <c r="I2519" s="901" t="str">
        <f>GLOBAL_DER_FEV_2023!I2519</f>
        <v/>
      </c>
      <c r="J2519" s="902">
        <f>GLOBAL_DER_FEV_2023!J2519</f>
        <v>0</v>
      </c>
      <c r="K2519" s="903" t="str">
        <f>GLOBAL_DER_FEV_2023!K2519</f>
        <v>un</v>
      </c>
      <c r="L2519" s="1137"/>
      <c r="M2519" s="1175">
        <f t="shared" si="250"/>
        <v>0</v>
      </c>
      <c r="N2519" s="1167">
        <f t="shared" ref="N2519:N2546" si="251">IF(ISBLANK(L2519),0,IF(W2519=0,ROUND(L2519*M2519,2),IF(W2519="b",ROUNDDOWN(L2519*M2519,2),ROUNDUP(L2519*M2519,2))))</f>
        <v>0</v>
      </c>
      <c r="O2519" s="1165"/>
      <c r="Q2519" s="317" t="str">
        <f t="shared" si="247"/>
        <v/>
      </c>
      <c r="R2519" s="317" t="str">
        <f t="shared" si="248"/>
        <v/>
      </c>
      <c r="S2519" s="317" t="str">
        <f t="shared" si="249"/>
        <v/>
      </c>
      <c r="T2519" s="317" t="str">
        <f>GLOBAL_DER_FEV_2023!S2519</f>
        <v/>
      </c>
      <c r="W2519" s="582">
        <v>0</v>
      </c>
      <c r="X2519" s="580"/>
      <c r="Y2519" s="583">
        <f>IF(GLOBAL_DER_FEV_2023!W2519=0,0,IF(GLOBAL_DER_FEV_2023!W2519&gt;0,"c","b"))</f>
        <v>0</v>
      </c>
    </row>
    <row r="2520" spans="1:25" ht="22.5" x14ac:dyDescent="0.2">
      <c r="A2520" s="640" t="s">
        <v>165</v>
      </c>
      <c r="B2520" s="1181" t="str">
        <f>GLOBAL_DER_FEV_2023!B2520</f>
        <v>Fazer Cotação</v>
      </c>
      <c r="C2520" s="1182" t="str">
        <f>GLOBAL_DER_FEV_2023!C2520</f>
        <v>fonte da cotação</v>
      </c>
      <c r="D2520" s="1141" t="str">
        <f>GLOBAL_DER_FEV_2023!D2520</f>
        <v>Determinação de Resistência a Compressão por Moldagem, Cura e Ruptura de Corpos de Provas Cilíndricos. Moldagem de 4 corpos de prova por caminhão.</v>
      </c>
      <c r="E2520" s="907">
        <f>GLOBAL_DER_FEV_2023!E2520</f>
        <v>0</v>
      </c>
      <c r="F2520" s="908">
        <f>GLOBAL_DER_FEV_2023!F2520</f>
        <v>0</v>
      </c>
      <c r="G2520" s="912">
        <f>GLOBAL_DER_FEV_2023!G2520</f>
        <v>0</v>
      </c>
      <c r="H2520" s="901">
        <f>GLOBAL_DER_FEV_2023!H2520</f>
        <v>0</v>
      </c>
      <c r="I2520" s="901" t="str">
        <f>GLOBAL_DER_FEV_2023!I2520</f>
        <v/>
      </c>
      <c r="J2520" s="902">
        <f>GLOBAL_DER_FEV_2023!J2520</f>
        <v>0</v>
      </c>
      <c r="K2520" s="903" t="str">
        <f>GLOBAL_DER_FEV_2023!K2520</f>
        <v>un</v>
      </c>
      <c r="L2520" s="1137"/>
      <c r="M2520" s="1175">
        <f t="shared" si="250"/>
        <v>0</v>
      </c>
      <c r="N2520" s="1167">
        <f t="shared" si="251"/>
        <v>0</v>
      </c>
      <c r="O2520" s="1165"/>
      <c r="Q2520" s="317" t="str">
        <f t="shared" si="247"/>
        <v/>
      </c>
      <c r="R2520" s="317" t="str">
        <f t="shared" si="248"/>
        <v/>
      </c>
      <c r="S2520" s="317" t="str">
        <f t="shared" si="249"/>
        <v/>
      </c>
      <c r="T2520" s="317" t="str">
        <f>GLOBAL_DER_FEV_2023!S2520</f>
        <v/>
      </c>
      <c r="W2520" s="582">
        <v>0</v>
      </c>
      <c r="X2520" s="580"/>
      <c r="Y2520" s="583">
        <f>IF(GLOBAL_DER_FEV_2023!W2520=0,0,IF(GLOBAL_DER_FEV_2023!W2520&gt;0,"c","b"))</f>
        <v>0</v>
      </c>
    </row>
    <row r="2521" spans="1:25" ht="22.5" x14ac:dyDescent="0.2">
      <c r="A2521" s="640" t="s">
        <v>165</v>
      </c>
      <c r="B2521" s="1181" t="str">
        <f>GLOBAL_DER_FEV_2023!B2521</f>
        <v>Fazer Cotação</v>
      </c>
      <c r="C2521" s="1182" t="str">
        <f>GLOBAL_DER_FEV_2023!C2521</f>
        <v>fonte da cotação</v>
      </c>
      <c r="D2521" s="1141" t="str">
        <f>GLOBAL_DER_FEV_2023!D2521</f>
        <v>Determinação de Resistência a Tração na Flexão por Moldagem, Cura e Ruptura de Corpos de Provas Prismáticos (estimativa 2 corpos de prova a cada 50m3)</v>
      </c>
      <c r="E2521" s="907">
        <f>GLOBAL_DER_FEV_2023!E2521</f>
        <v>0</v>
      </c>
      <c r="F2521" s="908">
        <f>GLOBAL_DER_FEV_2023!F2521</f>
        <v>0</v>
      </c>
      <c r="G2521" s="912">
        <f>GLOBAL_DER_FEV_2023!G2521</f>
        <v>0</v>
      </c>
      <c r="H2521" s="901">
        <f>GLOBAL_DER_FEV_2023!H2521</f>
        <v>0</v>
      </c>
      <c r="I2521" s="901" t="str">
        <f>GLOBAL_DER_FEV_2023!I2521</f>
        <v/>
      </c>
      <c r="J2521" s="902">
        <f>GLOBAL_DER_FEV_2023!J2521</f>
        <v>0</v>
      </c>
      <c r="K2521" s="903" t="str">
        <f>GLOBAL_DER_FEV_2023!K2521</f>
        <v>un</v>
      </c>
      <c r="L2521" s="1137"/>
      <c r="M2521" s="1175">
        <f t="shared" si="250"/>
        <v>0</v>
      </c>
      <c r="N2521" s="1167">
        <f t="shared" si="251"/>
        <v>0</v>
      </c>
      <c r="O2521" s="1165"/>
      <c r="Q2521" s="317" t="str">
        <f t="shared" si="247"/>
        <v/>
      </c>
      <c r="R2521" s="317" t="str">
        <f t="shared" si="248"/>
        <v/>
      </c>
      <c r="S2521" s="317" t="str">
        <f t="shared" si="249"/>
        <v/>
      </c>
      <c r="T2521" s="317" t="str">
        <f>GLOBAL_DER_FEV_2023!S2521</f>
        <v/>
      </c>
      <c r="W2521" s="582">
        <v>0</v>
      </c>
      <c r="X2521" s="580"/>
      <c r="Y2521" s="583">
        <f>IF(GLOBAL_DER_FEV_2023!W2521=0,0,IF(GLOBAL_DER_FEV_2023!W2521&gt;0,"c","b"))</f>
        <v>0</v>
      </c>
    </row>
    <row r="2522" spans="1:25" ht="33.75" x14ac:dyDescent="0.2">
      <c r="A2522" s="640" t="s">
        <v>165</v>
      </c>
      <c r="B2522" s="1181" t="str">
        <f>GLOBAL_DER_FEV_2023!B2522</f>
        <v>Fazer Cotação</v>
      </c>
      <c r="C2522" s="1182" t="str">
        <f>GLOBAL_DER_FEV_2023!C2522</f>
        <v>fonte da cotação</v>
      </c>
      <c r="D2522" s="1141" t="str">
        <f>GLOBAL_DER_FEV_2023!D2522</f>
        <v>Mobilização e Desmobilização de Equipamento e Equipe para as concretagens, rompimento dos corpos de prova moldados na obra e coletas de corpos de prova. (sendo considerado 4 diárias)</v>
      </c>
      <c r="E2522" s="907">
        <f>GLOBAL_DER_FEV_2023!E2522</f>
        <v>0</v>
      </c>
      <c r="F2522" s="908">
        <f>GLOBAL_DER_FEV_2023!F2522</f>
        <v>0</v>
      </c>
      <c r="G2522" s="912">
        <f>GLOBAL_DER_FEV_2023!G2522</f>
        <v>0</v>
      </c>
      <c r="H2522" s="901">
        <f>GLOBAL_DER_FEV_2023!H2522</f>
        <v>0</v>
      </c>
      <c r="I2522" s="901" t="str">
        <f>GLOBAL_DER_FEV_2023!I2522</f>
        <v/>
      </c>
      <c r="J2522" s="902">
        <f>GLOBAL_DER_FEV_2023!J2522</f>
        <v>0</v>
      </c>
      <c r="K2522" s="903" t="str">
        <f>GLOBAL_DER_FEV_2023!K2522</f>
        <v>gb</v>
      </c>
      <c r="L2522" s="1137"/>
      <c r="M2522" s="1175">
        <f t="shared" si="250"/>
        <v>0</v>
      </c>
      <c r="N2522" s="1167">
        <f t="shared" si="251"/>
        <v>0</v>
      </c>
      <c r="O2522" s="1165"/>
      <c r="Q2522" s="317" t="str">
        <f t="shared" si="247"/>
        <v/>
      </c>
      <c r="R2522" s="317" t="str">
        <f t="shared" si="248"/>
        <v/>
      </c>
      <c r="S2522" s="317" t="str">
        <f t="shared" si="249"/>
        <v/>
      </c>
      <c r="T2522" s="317" t="str">
        <f>GLOBAL_DER_FEV_2023!S2522</f>
        <v/>
      </c>
      <c r="W2522" s="582">
        <v>0</v>
      </c>
      <c r="X2522" s="580"/>
      <c r="Y2522" s="583">
        <f>IF(GLOBAL_DER_FEV_2023!W2522=0,0,IF(GLOBAL_DER_FEV_2023!W2522&gt;0,"c","b"))</f>
        <v>0</v>
      </c>
    </row>
    <row r="2523" spans="1:25" x14ac:dyDescent="0.2">
      <c r="A2523" s="640" t="s">
        <v>165</v>
      </c>
      <c r="B2523" s="1183">
        <f>GLOBAL_DER_FEV_2023!B2523</f>
        <v>0</v>
      </c>
      <c r="C2523" s="1184">
        <f>GLOBAL_DER_FEV_2023!C2523</f>
        <v>0</v>
      </c>
      <c r="D2523" s="1141">
        <f>GLOBAL_DER_FEV_2023!D2523</f>
        <v>0</v>
      </c>
      <c r="E2523" s="907">
        <f>GLOBAL_DER_FEV_2023!E2523</f>
        <v>0</v>
      </c>
      <c r="F2523" s="908">
        <f>GLOBAL_DER_FEV_2023!F2523</f>
        <v>0</v>
      </c>
      <c r="G2523" s="912">
        <f>GLOBAL_DER_FEV_2023!G2523</f>
        <v>0</v>
      </c>
      <c r="H2523" s="901">
        <f>GLOBAL_DER_FEV_2023!H2523</f>
        <v>0</v>
      </c>
      <c r="I2523" s="901" t="str">
        <f>GLOBAL_DER_FEV_2023!I2523</f>
        <v/>
      </c>
      <c r="J2523" s="902">
        <f>GLOBAL_DER_FEV_2023!J2523</f>
        <v>0</v>
      </c>
      <c r="K2523" s="903">
        <f>GLOBAL_DER_FEV_2023!K2523</f>
        <v>0</v>
      </c>
      <c r="L2523" s="1137"/>
      <c r="M2523" s="1175">
        <f t="shared" si="250"/>
        <v>0</v>
      </c>
      <c r="N2523" s="1167">
        <f t="shared" si="251"/>
        <v>0</v>
      </c>
      <c r="O2523" s="1165"/>
      <c r="Q2523" s="317" t="str">
        <f t="shared" si="247"/>
        <v/>
      </c>
      <c r="R2523" s="317" t="str">
        <f t="shared" si="248"/>
        <v/>
      </c>
      <c r="S2523" s="317" t="str">
        <f t="shared" si="249"/>
        <v/>
      </c>
      <c r="T2523" s="317" t="str">
        <f>GLOBAL_DER_FEV_2023!S2523</f>
        <v/>
      </c>
      <c r="W2523" s="582">
        <v>0</v>
      </c>
      <c r="X2523" s="580"/>
      <c r="Y2523" s="583">
        <f>IF(GLOBAL_DER_FEV_2023!W2523=0,0,IF(GLOBAL_DER_FEV_2023!W2523&gt;0,"c","b"))</f>
        <v>0</v>
      </c>
    </row>
    <row r="2524" spans="1:25" x14ac:dyDescent="0.2">
      <c r="A2524" s="640" t="s">
        <v>165</v>
      </c>
      <c r="B2524" s="1183">
        <f>GLOBAL_DER_FEV_2023!B2524</f>
        <v>0</v>
      </c>
      <c r="C2524" s="1184">
        <f>GLOBAL_DER_FEV_2023!C2524</f>
        <v>0</v>
      </c>
      <c r="D2524" s="1141">
        <f>GLOBAL_DER_FEV_2023!D2524</f>
        <v>0</v>
      </c>
      <c r="E2524" s="907">
        <f>GLOBAL_DER_FEV_2023!E2524</f>
        <v>0</v>
      </c>
      <c r="F2524" s="908">
        <f>GLOBAL_DER_FEV_2023!F2524</f>
        <v>0</v>
      </c>
      <c r="G2524" s="912">
        <f>GLOBAL_DER_FEV_2023!G2524</f>
        <v>0</v>
      </c>
      <c r="H2524" s="901">
        <f>GLOBAL_DER_FEV_2023!H2524</f>
        <v>0</v>
      </c>
      <c r="I2524" s="901" t="str">
        <f>GLOBAL_DER_FEV_2023!I2524</f>
        <v/>
      </c>
      <c r="J2524" s="902">
        <f>GLOBAL_DER_FEV_2023!J2524</f>
        <v>0</v>
      </c>
      <c r="K2524" s="903">
        <f>GLOBAL_DER_FEV_2023!K2524</f>
        <v>0</v>
      </c>
      <c r="L2524" s="1137"/>
      <c r="M2524" s="1175">
        <f t="shared" si="250"/>
        <v>0</v>
      </c>
      <c r="N2524" s="1167">
        <f t="shared" si="251"/>
        <v>0</v>
      </c>
      <c r="O2524" s="1165"/>
      <c r="Q2524" s="317" t="str">
        <f t="shared" si="247"/>
        <v/>
      </c>
      <c r="R2524" s="317" t="str">
        <f t="shared" si="248"/>
        <v/>
      </c>
      <c r="S2524" s="317" t="str">
        <f t="shared" si="249"/>
        <v/>
      </c>
      <c r="T2524" s="317" t="str">
        <f>GLOBAL_DER_FEV_2023!S2524</f>
        <v/>
      </c>
      <c r="W2524" s="582">
        <v>0</v>
      </c>
      <c r="X2524" s="580"/>
      <c r="Y2524" s="583">
        <f>IF(GLOBAL_DER_FEV_2023!W2524=0,0,IF(GLOBAL_DER_FEV_2023!W2524&gt;0,"c","b"))</f>
        <v>0</v>
      </c>
    </row>
    <row r="2525" spans="1:25" x14ac:dyDescent="0.2">
      <c r="A2525" s="640" t="s">
        <v>165</v>
      </c>
      <c r="B2525" s="1183" t="str">
        <f>GLOBAL_DER_FEV_2023!B2525</f>
        <v/>
      </c>
      <c r="C2525" s="1184" t="str">
        <f>GLOBAL_DER_FEV_2023!C2525</f>
        <v/>
      </c>
      <c r="D2525" s="1141">
        <f>GLOBAL_DER_FEV_2023!D2525</f>
        <v>0</v>
      </c>
      <c r="E2525" s="907">
        <f>GLOBAL_DER_FEV_2023!E2525</f>
        <v>0</v>
      </c>
      <c r="F2525" s="908">
        <f>GLOBAL_DER_FEV_2023!F2525</f>
        <v>0</v>
      </c>
      <c r="G2525" s="912">
        <f>GLOBAL_DER_FEV_2023!G2525</f>
        <v>0</v>
      </c>
      <c r="H2525" s="901">
        <f>GLOBAL_DER_FEV_2023!H2525</f>
        <v>0</v>
      </c>
      <c r="I2525" s="901" t="str">
        <f>GLOBAL_DER_FEV_2023!I2525</f>
        <v/>
      </c>
      <c r="J2525" s="902">
        <f>GLOBAL_DER_FEV_2023!J2525</f>
        <v>0</v>
      </c>
      <c r="K2525" s="903" t="str">
        <f>GLOBAL_DER_FEV_2023!K2525</f>
        <v xml:space="preserve">     </v>
      </c>
      <c r="L2525" s="1137"/>
      <c r="M2525" s="1175">
        <f t="shared" si="250"/>
        <v>0</v>
      </c>
      <c r="N2525" s="1167">
        <f t="shared" si="251"/>
        <v>0</v>
      </c>
      <c r="O2525" s="1165"/>
      <c r="Q2525" s="317" t="str">
        <f t="shared" si="247"/>
        <v/>
      </c>
      <c r="R2525" s="317" t="str">
        <f t="shared" si="248"/>
        <v/>
      </c>
      <c r="S2525" s="317" t="str">
        <f t="shared" si="249"/>
        <v/>
      </c>
      <c r="T2525" s="317" t="str">
        <f>GLOBAL_DER_FEV_2023!S2525</f>
        <v/>
      </c>
      <c r="W2525" s="582">
        <v>0</v>
      </c>
      <c r="X2525" s="580"/>
      <c r="Y2525" s="583">
        <f>IF(GLOBAL_DER_FEV_2023!W2525=0,0,IF(GLOBAL_DER_FEV_2023!W2525&gt;0,"c","b"))</f>
        <v>0</v>
      </c>
    </row>
    <row r="2526" spans="1:25" x14ac:dyDescent="0.2">
      <c r="A2526" s="640" t="s">
        <v>165</v>
      </c>
      <c r="B2526" s="1183" t="str">
        <f>GLOBAL_DER_FEV_2023!B2526</f>
        <v/>
      </c>
      <c r="C2526" s="1184" t="str">
        <f>GLOBAL_DER_FEV_2023!C2526</f>
        <v/>
      </c>
      <c r="D2526" s="1141">
        <f>GLOBAL_DER_FEV_2023!D2526</f>
        <v>0</v>
      </c>
      <c r="E2526" s="907">
        <f>GLOBAL_DER_FEV_2023!E2526</f>
        <v>0</v>
      </c>
      <c r="F2526" s="908">
        <f>GLOBAL_DER_FEV_2023!F2526</f>
        <v>0</v>
      </c>
      <c r="G2526" s="912">
        <f>GLOBAL_DER_FEV_2023!G2526</f>
        <v>0</v>
      </c>
      <c r="H2526" s="901">
        <f>GLOBAL_DER_FEV_2023!H2526</f>
        <v>0</v>
      </c>
      <c r="I2526" s="901" t="str">
        <f>GLOBAL_DER_FEV_2023!I2526</f>
        <v/>
      </c>
      <c r="J2526" s="902">
        <f>GLOBAL_DER_FEV_2023!J2526</f>
        <v>0</v>
      </c>
      <c r="K2526" s="903" t="str">
        <f>GLOBAL_DER_FEV_2023!K2526</f>
        <v xml:space="preserve">     </v>
      </c>
      <c r="L2526" s="1137"/>
      <c r="M2526" s="1175">
        <f t="shared" si="250"/>
        <v>0</v>
      </c>
      <c r="N2526" s="1167">
        <f t="shared" si="251"/>
        <v>0</v>
      </c>
      <c r="O2526" s="1165"/>
      <c r="Q2526" s="317" t="str">
        <f t="shared" si="247"/>
        <v/>
      </c>
      <c r="R2526" s="317" t="str">
        <f t="shared" si="248"/>
        <v/>
      </c>
      <c r="S2526" s="317" t="str">
        <f t="shared" si="249"/>
        <v/>
      </c>
      <c r="T2526" s="317" t="str">
        <f>GLOBAL_DER_FEV_2023!S2526</f>
        <v/>
      </c>
      <c r="W2526" s="582">
        <v>0</v>
      </c>
      <c r="X2526" s="580"/>
      <c r="Y2526" s="583">
        <f>IF(GLOBAL_DER_FEV_2023!W2526=0,0,IF(GLOBAL_DER_FEV_2023!W2526&gt;0,"c","b"))</f>
        <v>0</v>
      </c>
    </row>
    <row r="2527" spans="1:25" x14ac:dyDescent="0.2">
      <c r="A2527" s="327" t="s">
        <v>152</v>
      </c>
      <c r="B2527" s="1183" t="str">
        <f>GLOBAL_DER_FEV_2023!B2527</f>
        <v/>
      </c>
      <c r="C2527" s="1184" t="str">
        <f>GLOBAL_DER_FEV_2023!C2527</f>
        <v/>
      </c>
      <c r="D2527" s="1141">
        <f>GLOBAL_DER_FEV_2023!D2527</f>
        <v>0</v>
      </c>
      <c r="E2527" s="907">
        <f>GLOBAL_DER_FEV_2023!E2527</f>
        <v>0</v>
      </c>
      <c r="F2527" s="908">
        <f>GLOBAL_DER_FEV_2023!F2527</f>
        <v>0</v>
      </c>
      <c r="G2527" s="912">
        <f>GLOBAL_DER_FEV_2023!G2527</f>
        <v>0</v>
      </c>
      <c r="H2527" s="901">
        <f>GLOBAL_DER_FEV_2023!H2527</f>
        <v>0</v>
      </c>
      <c r="I2527" s="901" t="str">
        <f>GLOBAL_DER_FEV_2023!I2527</f>
        <v/>
      </c>
      <c r="J2527" s="902">
        <f>GLOBAL_DER_FEV_2023!J2527</f>
        <v>0</v>
      </c>
      <c r="K2527" s="903" t="str">
        <f>GLOBAL_DER_FEV_2023!K2527</f>
        <v xml:space="preserve">     </v>
      </c>
      <c r="L2527" s="1137"/>
      <c r="M2527" s="1175">
        <f t="shared" si="250"/>
        <v>0</v>
      </c>
      <c r="N2527" s="1167">
        <f t="shared" si="251"/>
        <v>0</v>
      </c>
      <c r="O2527" s="1165"/>
      <c r="Q2527" s="317" t="str">
        <f t="shared" si="247"/>
        <v/>
      </c>
      <c r="R2527" s="317" t="str">
        <f t="shared" si="248"/>
        <v/>
      </c>
      <c r="S2527" s="317" t="str">
        <f t="shared" si="249"/>
        <v/>
      </c>
      <c r="T2527" s="317" t="str">
        <f>GLOBAL_DER_FEV_2023!S2527</f>
        <v/>
      </c>
      <c r="W2527" s="582">
        <v>0</v>
      </c>
      <c r="X2527" s="580"/>
      <c r="Y2527" s="583">
        <f>IF(GLOBAL_DER_FEV_2023!W2527=0,0,IF(GLOBAL_DER_FEV_2023!W2527&gt;0,"c","b"))</f>
        <v>0</v>
      </c>
    </row>
    <row r="2528" spans="1:25" x14ac:dyDescent="0.2">
      <c r="A2528" s="327" t="s">
        <v>152</v>
      </c>
      <c r="B2528" s="1183" t="str">
        <f>GLOBAL_DER_FEV_2023!B2528</f>
        <v/>
      </c>
      <c r="C2528" s="1184" t="str">
        <f>GLOBAL_DER_FEV_2023!C2528</f>
        <v/>
      </c>
      <c r="D2528" s="1141">
        <f>GLOBAL_DER_FEV_2023!D2528</f>
        <v>0</v>
      </c>
      <c r="E2528" s="907">
        <f>GLOBAL_DER_FEV_2023!E2528</f>
        <v>0</v>
      </c>
      <c r="F2528" s="908">
        <f>GLOBAL_DER_FEV_2023!F2528</f>
        <v>0</v>
      </c>
      <c r="G2528" s="912">
        <f>GLOBAL_DER_FEV_2023!G2528</f>
        <v>0</v>
      </c>
      <c r="H2528" s="901">
        <f>GLOBAL_DER_FEV_2023!H2528</f>
        <v>0</v>
      </c>
      <c r="I2528" s="901" t="str">
        <f>GLOBAL_DER_FEV_2023!I2528</f>
        <v/>
      </c>
      <c r="J2528" s="902">
        <f>GLOBAL_DER_FEV_2023!J2528</f>
        <v>0</v>
      </c>
      <c r="K2528" s="903" t="str">
        <f>GLOBAL_DER_FEV_2023!K2528</f>
        <v xml:space="preserve">     </v>
      </c>
      <c r="L2528" s="1137"/>
      <c r="M2528" s="1175">
        <f t="shared" si="250"/>
        <v>0</v>
      </c>
      <c r="N2528" s="1167">
        <f t="shared" si="251"/>
        <v>0</v>
      </c>
      <c r="O2528" s="1165"/>
      <c r="Q2528" s="317" t="str">
        <f t="shared" si="247"/>
        <v/>
      </c>
      <c r="R2528" s="317" t="str">
        <f t="shared" si="248"/>
        <v/>
      </c>
      <c r="S2528" s="317" t="str">
        <f t="shared" si="249"/>
        <v/>
      </c>
      <c r="T2528" s="317" t="str">
        <f>GLOBAL_DER_FEV_2023!S2528</f>
        <v/>
      </c>
      <c r="W2528" s="582">
        <v>0</v>
      </c>
      <c r="X2528" s="580"/>
      <c r="Y2528" s="583">
        <f>IF(GLOBAL_DER_FEV_2023!W2528=0,0,IF(GLOBAL_DER_FEV_2023!W2528&gt;0,"c","b"))</f>
        <v>0</v>
      </c>
    </row>
    <row r="2529" spans="1:25" x14ac:dyDescent="0.2">
      <c r="A2529" s="327" t="s">
        <v>152</v>
      </c>
      <c r="B2529" s="1183" t="str">
        <f>GLOBAL_DER_FEV_2023!B2529</f>
        <v/>
      </c>
      <c r="C2529" s="1184" t="str">
        <f>GLOBAL_DER_FEV_2023!C2529</f>
        <v/>
      </c>
      <c r="D2529" s="1141">
        <f>GLOBAL_DER_FEV_2023!D2529</f>
        <v>0</v>
      </c>
      <c r="E2529" s="907">
        <f>GLOBAL_DER_FEV_2023!E2529</f>
        <v>0</v>
      </c>
      <c r="F2529" s="908">
        <f>GLOBAL_DER_FEV_2023!F2529</f>
        <v>0</v>
      </c>
      <c r="G2529" s="912">
        <f>GLOBAL_DER_FEV_2023!G2529</f>
        <v>0</v>
      </c>
      <c r="H2529" s="901">
        <f>GLOBAL_DER_FEV_2023!H2529</f>
        <v>0</v>
      </c>
      <c r="I2529" s="901" t="str">
        <f>GLOBAL_DER_FEV_2023!I2529</f>
        <v/>
      </c>
      <c r="J2529" s="902">
        <f>GLOBAL_DER_FEV_2023!J2529</f>
        <v>0</v>
      </c>
      <c r="K2529" s="903" t="str">
        <f>GLOBAL_DER_FEV_2023!K2529</f>
        <v xml:space="preserve">     </v>
      </c>
      <c r="L2529" s="1137"/>
      <c r="M2529" s="1175">
        <f t="shared" si="250"/>
        <v>0</v>
      </c>
      <c r="N2529" s="1167">
        <f t="shared" si="251"/>
        <v>0</v>
      </c>
      <c r="O2529" s="1165"/>
      <c r="Q2529" s="317" t="str">
        <f t="shared" si="247"/>
        <v/>
      </c>
      <c r="R2529" s="317" t="str">
        <f t="shared" si="248"/>
        <v/>
      </c>
      <c r="S2529" s="317" t="str">
        <f t="shared" si="249"/>
        <v/>
      </c>
      <c r="T2529" s="317" t="str">
        <f>GLOBAL_DER_FEV_2023!S2529</f>
        <v/>
      </c>
      <c r="W2529" s="582">
        <v>0</v>
      </c>
      <c r="X2529" s="580"/>
      <c r="Y2529" s="583">
        <f>IF(GLOBAL_DER_FEV_2023!W2529=0,0,IF(GLOBAL_DER_FEV_2023!W2529&gt;0,"c","b"))</f>
        <v>0</v>
      </c>
    </row>
    <row r="2530" spans="1:25" x14ac:dyDescent="0.2">
      <c r="A2530" s="327" t="s">
        <v>152</v>
      </c>
      <c r="B2530" s="1183" t="str">
        <f>GLOBAL_DER_FEV_2023!B2530</f>
        <v/>
      </c>
      <c r="C2530" s="1184" t="str">
        <f>GLOBAL_DER_FEV_2023!C2530</f>
        <v/>
      </c>
      <c r="D2530" s="1141">
        <f>GLOBAL_DER_FEV_2023!D2530</f>
        <v>0</v>
      </c>
      <c r="E2530" s="907">
        <f>GLOBAL_DER_FEV_2023!E2530</f>
        <v>0</v>
      </c>
      <c r="F2530" s="908">
        <f>GLOBAL_DER_FEV_2023!F2530</f>
        <v>0</v>
      </c>
      <c r="G2530" s="912">
        <f>GLOBAL_DER_FEV_2023!G2530</f>
        <v>0</v>
      </c>
      <c r="H2530" s="901">
        <f>GLOBAL_DER_FEV_2023!H2530</f>
        <v>0</v>
      </c>
      <c r="I2530" s="901" t="str">
        <f>GLOBAL_DER_FEV_2023!I2530</f>
        <v/>
      </c>
      <c r="J2530" s="902">
        <f>GLOBAL_DER_FEV_2023!J2530</f>
        <v>0</v>
      </c>
      <c r="K2530" s="903" t="str">
        <f>GLOBAL_DER_FEV_2023!K2530</f>
        <v xml:space="preserve">     </v>
      </c>
      <c r="L2530" s="1137"/>
      <c r="M2530" s="1175">
        <f t="shared" si="250"/>
        <v>0</v>
      </c>
      <c r="N2530" s="1167">
        <f t="shared" si="251"/>
        <v>0</v>
      </c>
      <c r="O2530" s="1165"/>
      <c r="Q2530" s="317" t="str">
        <f t="shared" si="247"/>
        <v/>
      </c>
      <c r="R2530" s="317" t="str">
        <f t="shared" si="248"/>
        <v/>
      </c>
      <c r="S2530" s="317" t="str">
        <f t="shared" si="249"/>
        <v/>
      </c>
      <c r="T2530" s="317" t="str">
        <f>GLOBAL_DER_FEV_2023!S2530</f>
        <v/>
      </c>
      <c r="W2530" s="582">
        <v>0</v>
      </c>
      <c r="X2530" s="580"/>
      <c r="Y2530" s="583">
        <f>IF(GLOBAL_DER_FEV_2023!W2530=0,0,IF(GLOBAL_DER_FEV_2023!W2530&gt;0,"c","b"))</f>
        <v>0</v>
      </c>
    </row>
    <row r="2531" spans="1:25" x14ac:dyDescent="0.2">
      <c r="A2531" s="327" t="s">
        <v>152</v>
      </c>
      <c r="B2531" s="1183" t="str">
        <f>GLOBAL_DER_FEV_2023!B2531</f>
        <v/>
      </c>
      <c r="C2531" s="1184" t="str">
        <f>GLOBAL_DER_FEV_2023!C2531</f>
        <v/>
      </c>
      <c r="D2531" s="1141">
        <f>GLOBAL_DER_FEV_2023!D2531</f>
        <v>0</v>
      </c>
      <c r="E2531" s="907">
        <f>GLOBAL_DER_FEV_2023!E2531</f>
        <v>0</v>
      </c>
      <c r="F2531" s="908">
        <f>GLOBAL_DER_FEV_2023!F2531</f>
        <v>0</v>
      </c>
      <c r="G2531" s="912">
        <f>GLOBAL_DER_FEV_2023!G2531</f>
        <v>0</v>
      </c>
      <c r="H2531" s="901">
        <f>GLOBAL_DER_FEV_2023!H2531</f>
        <v>0</v>
      </c>
      <c r="I2531" s="901" t="str">
        <f>GLOBAL_DER_FEV_2023!I2531</f>
        <v/>
      </c>
      <c r="J2531" s="902">
        <f>GLOBAL_DER_FEV_2023!J2531</f>
        <v>0</v>
      </c>
      <c r="K2531" s="903" t="str">
        <f>GLOBAL_DER_FEV_2023!K2531</f>
        <v xml:space="preserve">     </v>
      </c>
      <c r="L2531" s="1137"/>
      <c r="M2531" s="1175">
        <f t="shared" si="250"/>
        <v>0</v>
      </c>
      <c r="N2531" s="1167">
        <f t="shared" si="251"/>
        <v>0</v>
      </c>
      <c r="O2531" s="1165"/>
      <c r="Q2531" s="317" t="str">
        <f t="shared" si="247"/>
        <v/>
      </c>
      <c r="R2531" s="317" t="str">
        <f t="shared" si="248"/>
        <v/>
      </c>
      <c r="S2531" s="317" t="str">
        <f t="shared" si="249"/>
        <v/>
      </c>
      <c r="T2531" s="317" t="str">
        <f>GLOBAL_DER_FEV_2023!S2531</f>
        <v/>
      </c>
      <c r="W2531" s="582">
        <v>0</v>
      </c>
      <c r="X2531" s="580"/>
      <c r="Y2531" s="583">
        <f>IF(GLOBAL_DER_FEV_2023!W2531=0,0,IF(GLOBAL_DER_FEV_2023!W2531&gt;0,"c","b"))</f>
        <v>0</v>
      </c>
    </row>
    <row r="2532" spans="1:25" x14ac:dyDescent="0.2">
      <c r="A2532" s="327" t="s">
        <v>152</v>
      </c>
      <c r="B2532" s="1183" t="str">
        <f>GLOBAL_DER_FEV_2023!B2532</f>
        <v/>
      </c>
      <c r="C2532" s="1184" t="str">
        <f>GLOBAL_DER_FEV_2023!C2532</f>
        <v/>
      </c>
      <c r="D2532" s="1141">
        <f>GLOBAL_DER_FEV_2023!D2532</f>
        <v>0</v>
      </c>
      <c r="E2532" s="907">
        <f>GLOBAL_DER_FEV_2023!E2532</f>
        <v>0</v>
      </c>
      <c r="F2532" s="908">
        <f>GLOBAL_DER_FEV_2023!F2532</f>
        <v>0</v>
      </c>
      <c r="G2532" s="912">
        <f>GLOBAL_DER_FEV_2023!G2532</f>
        <v>0</v>
      </c>
      <c r="H2532" s="901">
        <f>GLOBAL_DER_FEV_2023!H2532</f>
        <v>0</v>
      </c>
      <c r="I2532" s="901" t="str">
        <f>GLOBAL_DER_FEV_2023!I2532</f>
        <v/>
      </c>
      <c r="J2532" s="902">
        <f>GLOBAL_DER_FEV_2023!J2532</f>
        <v>0</v>
      </c>
      <c r="K2532" s="903" t="str">
        <f>GLOBAL_DER_FEV_2023!K2532</f>
        <v xml:space="preserve">     </v>
      </c>
      <c r="L2532" s="1137"/>
      <c r="M2532" s="1175">
        <f t="shared" si="250"/>
        <v>0</v>
      </c>
      <c r="N2532" s="1167">
        <f t="shared" si="251"/>
        <v>0</v>
      </c>
      <c r="O2532" s="1165"/>
      <c r="Q2532" s="317" t="str">
        <f t="shared" si="247"/>
        <v/>
      </c>
      <c r="R2532" s="317" t="str">
        <f t="shared" si="248"/>
        <v/>
      </c>
      <c r="S2532" s="317" t="str">
        <f t="shared" si="249"/>
        <v/>
      </c>
      <c r="T2532" s="317" t="str">
        <f>GLOBAL_DER_FEV_2023!S2532</f>
        <v/>
      </c>
      <c r="W2532" s="582">
        <v>0</v>
      </c>
      <c r="X2532" s="580"/>
      <c r="Y2532" s="583">
        <f>IF(GLOBAL_DER_FEV_2023!W2532=0,0,IF(GLOBAL_DER_FEV_2023!W2532&gt;0,"c","b"))</f>
        <v>0</v>
      </c>
    </row>
    <row r="2533" spans="1:25" x14ac:dyDescent="0.2">
      <c r="A2533" s="327" t="s">
        <v>152</v>
      </c>
      <c r="B2533" s="1183" t="str">
        <f>GLOBAL_DER_FEV_2023!B2533</f>
        <v/>
      </c>
      <c r="C2533" s="1184" t="str">
        <f>GLOBAL_DER_FEV_2023!C2533</f>
        <v/>
      </c>
      <c r="D2533" s="1141">
        <f>GLOBAL_DER_FEV_2023!D2533</f>
        <v>0</v>
      </c>
      <c r="E2533" s="907">
        <f>GLOBAL_DER_FEV_2023!E2533</f>
        <v>0</v>
      </c>
      <c r="F2533" s="908">
        <f>GLOBAL_DER_FEV_2023!F2533</f>
        <v>0</v>
      </c>
      <c r="G2533" s="912">
        <f>GLOBAL_DER_FEV_2023!G2533</f>
        <v>0</v>
      </c>
      <c r="H2533" s="901">
        <f>GLOBAL_DER_FEV_2023!H2533</f>
        <v>0</v>
      </c>
      <c r="I2533" s="901" t="str">
        <f>GLOBAL_DER_FEV_2023!I2533</f>
        <v/>
      </c>
      <c r="J2533" s="902">
        <f>GLOBAL_DER_FEV_2023!J2533</f>
        <v>0</v>
      </c>
      <c r="K2533" s="903" t="str">
        <f>GLOBAL_DER_FEV_2023!K2533</f>
        <v xml:space="preserve">     </v>
      </c>
      <c r="L2533" s="1137"/>
      <c r="M2533" s="1175">
        <f t="shared" si="250"/>
        <v>0</v>
      </c>
      <c r="N2533" s="1167">
        <f t="shared" si="251"/>
        <v>0</v>
      </c>
      <c r="O2533" s="1165"/>
      <c r="Q2533" s="317" t="str">
        <f t="shared" si="247"/>
        <v/>
      </c>
      <c r="R2533" s="317" t="str">
        <f t="shared" si="248"/>
        <v/>
      </c>
      <c r="S2533" s="317" t="str">
        <f t="shared" si="249"/>
        <v/>
      </c>
      <c r="T2533" s="317" t="str">
        <f>GLOBAL_DER_FEV_2023!S2533</f>
        <v/>
      </c>
      <c r="W2533" s="582">
        <v>0</v>
      </c>
      <c r="X2533" s="580"/>
      <c r="Y2533" s="583">
        <f>IF(GLOBAL_DER_FEV_2023!W2533=0,0,IF(GLOBAL_DER_FEV_2023!W2533&gt;0,"c","b"))</f>
        <v>0</v>
      </c>
    </row>
    <row r="2534" spans="1:25" x14ac:dyDescent="0.2">
      <c r="A2534" s="327" t="s">
        <v>152</v>
      </c>
      <c r="B2534" s="1183" t="str">
        <f>GLOBAL_DER_FEV_2023!B2534</f>
        <v/>
      </c>
      <c r="C2534" s="1184" t="str">
        <f>GLOBAL_DER_FEV_2023!C2534</f>
        <v/>
      </c>
      <c r="D2534" s="1141">
        <f>GLOBAL_DER_FEV_2023!D2534</f>
        <v>0</v>
      </c>
      <c r="E2534" s="907">
        <f>GLOBAL_DER_FEV_2023!E2534</f>
        <v>0</v>
      </c>
      <c r="F2534" s="908">
        <f>GLOBAL_DER_FEV_2023!F2534</f>
        <v>0</v>
      </c>
      <c r="G2534" s="912">
        <f>GLOBAL_DER_FEV_2023!G2534</f>
        <v>0</v>
      </c>
      <c r="H2534" s="901">
        <f>GLOBAL_DER_FEV_2023!H2534</f>
        <v>0</v>
      </c>
      <c r="I2534" s="901" t="str">
        <f>GLOBAL_DER_FEV_2023!I2534</f>
        <v/>
      </c>
      <c r="J2534" s="902">
        <f>GLOBAL_DER_FEV_2023!J2534</f>
        <v>0</v>
      </c>
      <c r="K2534" s="903" t="str">
        <f>GLOBAL_DER_FEV_2023!K2534</f>
        <v xml:space="preserve">     </v>
      </c>
      <c r="L2534" s="1137"/>
      <c r="M2534" s="1175">
        <f t="shared" si="250"/>
        <v>0</v>
      </c>
      <c r="N2534" s="1167">
        <f t="shared" si="251"/>
        <v>0</v>
      </c>
      <c r="O2534" s="1165"/>
      <c r="Q2534" s="317" t="str">
        <f t="shared" si="247"/>
        <v/>
      </c>
      <c r="R2534" s="317" t="str">
        <f t="shared" si="248"/>
        <v/>
      </c>
      <c r="S2534" s="317" t="str">
        <f t="shared" si="249"/>
        <v/>
      </c>
      <c r="T2534" s="317" t="str">
        <f>GLOBAL_DER_FEV_2023!S2534</f>
        <v/>
      </c>
      <c r="W2534" s="582">
        <v>0</v>
      </c>
      <c r="X2534" s="580"/>
      <c r="Y2534" s="583">
        <f>IF(GLOBAL_DER_FEV_2023!W2534=0,0,IF(GLOBAL_DER_FEV_2023!W2534&gt;0,"c","b"))</f>
        <v>0</v>
      </c>
    </row>
    <row r="2535" spans="1:25" x14ac:dyDescent="0.2">
      <c r="A2535" s="327" t="s">
        <v>152</v>
      </c>
      <c r="B2535" s="1183" t="str">
        <f>GLOBAL_DER_FEV_2023!B2535</f>
        <v/>
      </c>
      <c r="C2535" s="1184" t="str">
        <f>GLOBAL_DER_FEV_2023!C2535</f>
        <v/>
      </c>
      <c r="D2535" s="1141">
        <f>GLOBAL_DER_FEV_2023!D2535</f>
        <v>0</v>
      </c>
      <c r="E2535" s="907">
        <f>GLOBAL_DER_FEV_2023!E2535</f>
        <v>0</v>
      </c>
      <c r="F2535" s="908">
        <f>GLOBAL_DER_FEV_2023!F2535</f>
        <v>0</v>
      </c>
      <c r="G2535" s="912">
        <f>GLOBAL_DER_FEV_2023!G2535</f>
        <v>0</v>
      </c>
      <c r="H2535" s="901">
        <f>GLOBAL_DER_FEV_2023!H2535</f>
        <v>0</v>
      </c>
      <c r="I2535" s="901" t="str">
        <f>GLOBAL_DER_FEV_2023!I2535</f>
        <v/>
      </c>
      <c r="J2535" s="902">
        <f>GLOBAL_DER_FEV_2023!J2535</f>
        <v>0</v>
      </c>
      <c r="K2535" s="903" t="str">
        <f>GLOBAL_DER_FEV_2023!K2535</f>
        <v xml:space="preserve">     </v>
      </c>
      <c r="L2535" s="1137"/>
      <c r="M2535" s="1175">
        <f t="shared" si="250"/>
        <v>0</v>
      </c>
      <c r="N2535" s="1167">
        <f t="shared" si="251"/>
        <v>0</v>
      </c>
      <c r="O2535" s="1165"/>
      <c r="Q2535" s="317" t="str">
        <f t="shared" si="247"/>
        <v/>
      </c>
      <c r="R2535" s="317" t="str">
        <f t="shared" si="248"/>
        <v/>
      </c>
      <c r="S2535" s="317" t="str">
        <f t="shared" si="249"/>
        <v/>
      </c>
      <c r="T2535" s="317" t="str">
        <f>GLOBAL_DER_FEV_2023!S2535</f>
        <v/>
      </c>
      <c r="W2535" s="582">
        <v>0</v>
      </c>
      <c r="X2535" s="580"/>
      <c r="Y2535" s="583">
        <f>IF(GLOBAL_DER_FEV_2023!W2535=0,0,IF(GLOBAL_DER_FEV_2023!W2535&gt;0,"c","b"))</f>
        <v>0</v>
      </c>
    </row>
    <row r="2536" spans="1:25" x14ac:dyDescent="0.2">
      <c r="A2536" s="327" t="s">
        <v>152</v>
      </c>
      <c r="B2536" s="1183" t="str">
        <f>GLOBAL_DER_FEV_2023!B2536</f>
        <v/>
      </c>
      <c r="C2536" s="1184" t="str">
        <f>GLOBAL_DER_FEV_2023!C2536</f>
        <v/>
      </c>
      <c r="D2536" s="1141">
        <f>GLOBAL_DER_FEV_2023!D2536</f>
        <v>0</v>
      </c>
      <c r="E2536" s="907">
        <f>GLOBAL_DER_FEV_2023!E2536</f>
        <v>0</v>
      </c>
      <c r="F2536" s="908">
        <f>GLOBAL_DER_FEV_2023!F2536</f>
        <v>0</v>
      </c>
      <c r="G2536" s="912">
        <f>GLOBAL_DER_FEV_2023!G2536</f>
        <v>0</v>
      </c>
      <c r="H2536" s="901">
        <f>GLOBAL_DER_FEV_2023!H2536</f>
        <v>0</v>
      </c>
      <c r="I2536" s="901" t="str">
        <f>GLOBAL_DER_FEV_2023!I2536</f>
        <v/>
      </c>
      <c r="J2536" s="902">
        <f>GLOBAL_DER_FEV_2023!J2536</f>
        <v>0</v>
      </c>
      <c r="K2536" s="903" t="str">
        <f>GLOBAL_DER_FEV_2023!K2536</f>
        <v xml:space="preserve">     </v>
      </c>
      <c r="L2536" s="1137"/>
      <c r="M2536" s="1175">
        <f t="shared" si="250"/>
        <v>0</v>
      </c>
      <c r="N2536" s="1167">
        <f t="shared" si="251"/>
        <v>0</v>
      </c>
      <c r="O2536" s="1165"/>
      <c r="Q2536" s="317" t="str">
        <f t="shared" si="247"/>
        <v/>
      </c>
      <c r="R2536" s="317" t="str">
        <f t="shared" si="248"/>
        <v/>
      </c>
      <c r="S2536" s="317" t="str">
        <f t="shared" si="249"/>
        <v/>
      </c>
      <c r="T2536" s="317" t="str">
        <f>GLOBAL_DER_FEV_2023!S2536</f>
        <v/>
      </c>
      <c r="W2536" s="582">
        <v>0</v>
      </c>
      <c r="X2536" s="580"/>
      <c r="Y2536" s="583">
        <f>IF(GLOBAL_DER_FEV_2023!W2536=0,0,IF(GLOBAL_DER_FEV_2023!W2536&gt;0,"c","b"))</f>
        <v>0</v>
      </c>
    </row>
    <row r="2537" spans="1:25" x14ac:dyDescent="0.2">
      <c r="A2537" s="327" t="s">
        <v>152</v>
      </c>
      <c r="B2537" s="1183" t="str">
        <f>GLOBAL_DER_FEV_2023!B2537</f>
        <v/>
      </c>
      <c r="C2537" s="1184" t="str">
        <f>GLOBAL_DER_FEV_2023!C2537</f>
        <v/>
      </c>
      <c r="D2537" s="1141">
        <f>GLOBAL_DER_FEV_2023!D2537</f>
        <v>0</v>
      </c>
      <c r="E2537" s="907">
        <f>GLOBAL_DER_FEV_2023!E2537</f>
        <v>0</v>
      </c>
      <c r="F2537" s="908">
        <f>GLOBAL_DER_FEV_2023!F2537</f>
        <v>0</v>
      </c>
      <c r="G2537" s="912">
        <f>GLOBAL_DER_FEV_2023!G2537</f>
        <v>0</v>
      </c>
      <c r="H2537" s="901">
        <f>GLOBAL_DER_FEV_2023!H2537</f>
        <v>0</v>
      </c>
      <c r="I2537" s="901" t="str">
        <f>GLOBAL_DER_FEV_2023!I2537</f>
        <v/>
      </c>
      <c r="J2537" s="902">
        <f>GLOBAL_DER_FEV_2023!J2537</f>
        <v>0</v>
      </c>
      <c r="K2537" s="903" t="str">
        <f>GLOBAL_DER_FEV_2023!K2537</f>
        <v xml:space="preserve">     </v>
      </c>
      <c r="L2537" s="1137"/>
      <c r="M2537" s="1175">
        <f t="shared" si="250"/>
        <v>0</v>
      </c>
      <c r="N2537" s="1167">
        <f t="shared" si="251"/>
        <v>0</v>
      </c>
      <c r="O2537" s="1165"/>
      <c r="Q2537" s="317" t="str">
        <f t="shared" si="247"/>
        <v/>
      </c>
      <c r="R2537" s="317" t="str">
        <f t="shared" si="248"/>
        <v/>
      </c>
      <c r="S2537" s="317" t="str">
        <f t="shared" si="249"/>
        <v/>
      </c>
      <c r="T2537" s="317" t="str">
        <f>GLOBAL_DER_FEV_2023!S2537</f>
        <v/>
      </c>
      <c r="W2537" s="582">
        <v>0</v>
      </c>
      <c r="X2537" s="580"/>
      <c r="Y2537" s="583">
        <f>IF(GLOBAL_DER_FEV_2023!W2537=0,0,IF(GLOBAL_DER_FEV_2023!W2537&gt;0,"c","b"))</f>
        <v>0</v>
      </c>
    </row>
    <row r="2538" spans="1:25" x14ac:dyDescent="0.2">
      <c r="A2538" s="640" t="s">
        <v>165</v>
      </c>
      <c r="B2538" s="1183" t="str">
        <f>GLOBAL_DER_FEV_2023!B2538</f>
        <v/>
      </c>
      <c r="C2538" s="1184" t="str">
        <f>GLOBAL_DER_FEV_2023!C2538</f>
        <v/>
      </c>
      <c r="D2538" s="1141">
        <f>GLOBAL_DER_FEV_2023!D2538</f>
        <v>0</v>
      </c>
      <c r="E2538" s="907">
        <f>GLOBAL_DER_FEV_2023!E2538</f>
        <v>0</v>
      </c>
      <c r="F2538" s="908">
        <f>GLOBAL_DER_FEV_2023!F2538</f>
        <v>0</v>
      </c>
      <c r="G2538" s="912">
        <f>GLOBAL_DER_FEV_2023!G2538</f>
        <v>0</v>
      </c>
      <c r="H2538" s="901">
        <f>GLOBAL_DER_FEV_2023!H2538</f>
        <v>0</v>
      </c>
      <c r="I2538" s="901" t="str">
        <f>GLOBAL_DER_FEV_2023!I2538</f>
        <v/>
      </c>
      <c r="J2538" s="902">
        <f>GLOBAL_DER_FEV_2023!J2538</f>
        <v>0</v>
      </c>
      <c r="K2538" s="903" t="str">
        <f>GLOBAL_DER_FEV_2023!K2538</f>
        <v xml:space="preserve">     </v>
      </c>
      <c r="L2538" s="1137"/>
      <c r="M2538" s="1175">
        <f t="shared" si="250"/>
        <v>0</v>
      </c>
      <c r="N2538" s="1167">
        <f t="shared" si="251"/>
        <v>0</v>
      </c>
      <c r="O2538" s="1165"/>
      <c r="Q2538" s="317" t="str">
        <f t="shared" si="247"/>
        <v/>
      </c>
      <c r="R2538" s="317" t="str">
        <f t="shared" si="248"/>
        <v/>
      </c>
      <c r="S2538" s="317" t="str">
        <f t="shared" si="249"/>
        <v/>
      </c>
      <c r="T2538" s="317" t="str">
        <f>GLOBAL_DER_FEV_2023!S2538</f>
        <v/>
      </c>
      <c r="W2538" s="582">
        <v>0</v>
      </c>
      <c r="X2538" s="580"/>
      <c r="Y2538" s="583">
        <f>IF(GLOBAL_DER_FEV_2023!W2538=0,0,IF(GLOBAL_DER_FEV_2023!W2538&gt;0,"c","b"))</f>
        <v>0</v>
      </c>
    </row>
    <row r="2539" spans="1:25" x14ac:dyDescent="0.2">
      <c r="A2539" s="640" t="s">
        <v>165</v>
      </c>
      <c r="B2539" s="1183" t="str">
        <f>GLOBAL_DER_FEV_2023!B2539</f>
        <v/>
      </c>
      <c r="C2539" s="1184" t="str">
        <f>GLOBAL_DER_FEV_2023!C2539</f>
        <v/>
      </c>
      <c r="D2539" s="1141">
        <f>GLOBAL_DER_FEV_2023!D2539</f>
        <v>0</v>
      </c>
      <c r="E2539" s="907">
        <f>GLOBAL_DER_FEV_2023!E2539</f>
        <v>0</v>
      </c>
      <c r="F2539" s="908">
        <f>GLOBAL_DER_FEV_2023!F2539</f>
        <v>0</v>
      </c>
      <c r="G2539" s="912">
        <f>GLOBAL_DER_FEV_2023!G2539</f>
        <v>0</v>
      </c>
      <c r="H2539" s="901">
        <f>GLOBAL_DER_FEV_2023!H2539</f>
        <v>0</v>
      </c>
      <c r="I2539" s="901" t="str">
        <f>GLOBAL_DER_FEV_2023!I2539</f>
        <v/>
      </c>
      <c r="J2539" s="902">
        <f>GLOBAL_DER_FEV_2023!J2539</f>
        <v>0</v>
      </c>
      <c r="K2539" s="903" t="str">
        <f>GLOBAL_DER_FEV_2023!K2539</f>
        <v xml:space="preserve">     </v>
      </c>
      <c r="L2539" s="1137"/>
      <c r="M2539" s="1175">
        <f t="shared" si="250"/>
        <v>0</v>
      </c>
      <c r="N2539" s="1167">
        <f t="shared" si="251"/>
        <v>0</v>
      </c>
      <c r="O2539" s="1165"/>
      <c r="Q2539" s="317" t="str">
        <f t="shared" si="247"/>
        <v/>
      </c>
      <c r="R2539" s="317" t="str">
        <f t="shared" si="248"/>
        <v/>
      </c>
      <c r="S2539" s="317" t="str">
        <f t="shared" si="249"/>
        <v/>
      </c>
      <c r="T2539" s="317" t="str">
        <f>GLOBAL_DER_FEV_2023!S2539</f>
        <v/>
      </c>
      <c r="W2539" s="582">
        <v>0</v>
      </c>
      <c r="X2539" s="580"/>
      <c r="Y2539" s="583">
        <f>IF(GLOBAL_DER_FEV_2023!W2539=0,0,IF(GLOBAL_DER_FEV_2023!W2539&gt;0,"c","b"))</f>
        <v>0</v>
      </c>
    </row>
    <row r="2540" spans="1:25" x14ac:dyDescent="0.2">
      <c r="A2540" s="640" t="s">
        <v>165</v>
      </c>
      <c r="B2540" s="1183" t="str">
        <f>GLOBAL_DER_FEV_2023!B2540</f>
        <v/>
      </c>
      <c r="C2540" s="1184" t="str">
        <f>GLOBAL_DER_FEV_2023!C2540</f>
        <v/>
      </c>
      <c r="D2540" s="1141">
        <f>GLOBAL_DER_FEV_2023!D2540</f>
        <v>0</v>
      </c>
      <c r="E2540" s="907">
        <f>GLOBAL_DER_FEV_2023!E2540</f>
        <v>0</v>
      </c>
      <c r="F2540" s="908">
        <f>GLOBAL_DER_FEV_2023!F2540</f>
        <v>0</v>
      </c>
      <c r="G2540" s="912">
        <f>GLOBAL_DER_FEV_2023!G2540</f>
        <v>0</v>
      </c>
      <c r="H2540" s="901">
        <f>GLOBAL_DER_FEV_2023!H2540</f>
        <v>0</v>
      </c>
      <c r="I2540" s="901" t="str">
        <f>GLOBAL_DER_FEV_2023!I2540</f>
        <v/>
      </c>
      <c r="J2540" s="902">
        <f>GLOBAL_DER_FEV_2023!J2540</f>
        <v>0</v>
      </c>
      <c r="K2540" s="903" t="str">
        <f>GLOBAL_DER_FEV_2023!K2540</f>
        <v xml:space="preserve">     </v>
      </c>
      <c r="L2540" s="1137"/>
      <c r="M2540" s="1175">
        <f t="shared" si="250"/>
        <v>0</v>
      </c>
      <c r="N2540" s="1167">
        <f t="shared" si="251"/>
        <v>0</v>
      </c>
      <c r="O2540" s="1165"/>
      <c r="Q2540" s="317" t="str">
        <f t="shared" si="247"/>
        <v/>
      </c>
      <c r="R2540" s="317" t="str">
        <f t="shared" si="248"/>
        <v/>
      </c>
      <c r="S2540" s="317" t="str">
        <f t="shared" si="249"/>
        <v/>
      </c>
      <c r="T2540" s="317" t="str">
        <f>GLOBAL_DER_FEV_2023!S2540</f>
        <v/>
      </c>
      <c r="W2540" s="582">
        <v>0</v>
      </c>
      <c r="X2540" s="580"/>
      <c r="Y2540" s="583">
        <f>IF(GLOBAL_DER_FEV_2023!W2540=0,0,IF(GLOBAL_DER_FEV_2023!W2540&gt;0,"c","b"))</f>
        <v>0</v>
      </c>
    </row>
    <row r="2541" spans="1:25" x14ac:dyDescent="0.2">
      <c r="A2541" s="640" t="s">
        <v>165</v>
      </c>
      <c r="B2541" s="1183" t="str">
        <f>GLOBAL_DER_FEV_2023!B2541</f>
        <v/>
      </c>
      <c r="C2541" s="1184" t="str">
        <f>GLOBAL_DER_FEV_2023!C2541</f>
        <v/>
      </c>
      <c r="D2541" s="1141">
        <f>GLOBAL_DER_FEV_2023!D2541</f>
        <v>0</v>
      </c>
      <c r="E2541" s="907">
        <f>GLOBAL_DER_FEV_2023!E2541</f>
        <v>0</v>
      </c>
      <c r="F2541" s="908">
        <f>GLOBAL_DER_FEV_2023!F2541</f>
        <v>0</v>
      </c>
      <c r="G2541" s="912">
        <f>GLOBAL_DER_FEV_2023!G2541</f>
        <v>0</v>
      </c>
      <c r="H2541" s="901">
        <f>GLOBAL_DER_FEV_2023!H2541</f>
        <v>0</v>
      </c>
      <c r="I2541" s="901" t="str">
        <f>GLOBAL_DER_FEV_2023!I2541</f>
        <v/>
      </c>
      <c r="J2541" s="902">
        <f>GLOBAL_DER_FEV_2023!J2541</f>
        <v>0</v>
      </c>
      <c r="K2541" s="903" t="str">
        <f>GLOBAL_DER_FEV_2023!K2541</f>
        <v xml:space="preserve">     </v>
      </c>
      <c r="L2541" s="1137"/>
      <c r="M2541" s="1175">
        <f t="shared" si="250"/>
        <v>0</v>
      </c>
      <c r="N2541" s="1167">
        <f t="shared" si="251"/>
        <v>0</v>
      </c>
      <c r="O2541" s="1165"/>
      <c r="Q2541" s="317" t="str">
        <f t="shared" si="247"/>
        <v/>
      </c>
      <c r="R2541" s="317" t="str">
        <f t="shared" si="248"/>
        <v/>
      </c>
      <c r="S2541" s="317" t="str">
        <f t="shared" si="249"/>
        <v/>
      </c>
      <c r="T2541" s="317" t="str">
        <f>GLOBAL_DER_FEV_2023!S2541</f>
        <v/>
      </c>
      <c r="W2541" s="582">
        <v>0</v>
      </c>
      <c r="X2541" s="580"/>
      <c r="Y2541" s="583">
        <f>IF(GLOBAL_DER_FEV_2023!W2541=0,0,IF(GLOBAL_DER_FEV_2023!W2541&gt;0,"c","b"))</f>
        <v>0</v>
      </c>
    </row>
    <row r="2542" spans="1:25" x14ac:dyDescent="0.2">
      <c r="A2542" s="640" t="s">
        <v>165</v>
      </c>
      <c r="B2542" s="1183" t="str">
        <f>GLOBAL_DER_FEV_2023!B2542</f>
        <v/>
      </c>
      <c r="C2542" s="1184" t="str">
        <f>GLOBAL_DER_FEV_2023!C2542</f>
        <v/>
      </c>
      <c r="D2542" s="1141">
        <f>GLOBAL_DER_FEV_2023!D2542</f>
        <v>0</v>
      </c>
      <c r="E2542" s="907">
        <f>GLOBAL_DER_FEV_2023!E2542</f>
        <v>0</v>
      </c>
      <c r="F2542" s="908">
        <f>GLOBAL_DER_FEV_2023!F2542</f>
        <v>0</v>
      </c>
      <c r="G2542" s="912">
        <f>GLOBAL_DER_FEV_2023!G2542</f>
        <v>0</v>
      </c>
      <c r="H2542" s="901">
        <f>GLOBAL_DER_FEV_2023!H2542</f>
        <v>0</v>
      </c>
      <c r="I2542" s="901" t="str">
        <f>GLOBAL_DER_FEV_2023!I2542</f>
        <v/>
      </c>
      <c r="J2542" s="902">
        <f>GLOBAL_DER_FEV_2023!J2542</f>
        <v>0</v>
      </c>
      <c r="K2542" s="903" t="str">
        <f>GLOBAL_DER_FEV_2023!K2542</f>
        <v xml:space="preserve">     </v>
      </c>
      <c r="L2542" s="1137"/>
      <c r="M2542" s="1175">
        <f t="shared" si="250"/>
        <v>0</v>
      </c>
      <c r="N2542" s="1167">
        <f t="shared" si="251"/>
        <v>0</v>
      </c>
      <c r="O2542" s="1165"/>
      <c r="Q2542" s="317" t="str">
        <f t="shared" si="247"/>
        <v/>
      </c>
      <c r="R2542" s="317" t="str">
        <f t="shared" si="248"/>
        <v/>
      </c>
      <c r="S2542" s="317" t="str">
        <f t="shared" si="249"/>
        <v/>
      </c>
      <c r="T2542" s="317" t="str">
        <f>GLOBAL_DER_FEV_2023!S2542</f>
        <v/>
      </c>
      <c r="W2542" s="582">
        <v>0</v>
      </c>
      <c r="X2542" s="580"/>
      <c r="Y2542" s="583">
        <f>IF(GLOBAL_DER_FEV_2023!W2542=0,0,IF(GLOBAL_DER_FEV_2023!W2542&gt;0,"c","b"))</f>
        <v>0</v>
      </c>
    </row>
    <row r="2543" spans="1:25" x14ac:dyDescent="0.2">
      <c r="A2543" s="640" t="s">
        <v>165</v>
      </c>
      <c r="B2543" s="1183" t="str">
        <f>GLOBAL_DER_FEV_2023!B2543</f>
        <v/>
      </c>
      <c r="C2543" s="1184" t="str">
        <f>GLOBAL_DER_FEV_2023!C2543</f>
        <v/>
      </c>
      <c r="D2543" s="1141">
        <f>GLOBAL_DER_FEV_2023!D2543</f>
        <v>0</v>
      </c>
      <c r="E2543" s="907">
        <f>GLOBAL_DER_FEV_2023!E2543</f>
        <v>0</v>
      </c>
      <c r="F2543" s="908">
        <f>GLOBAL_DER_FEV_2023!F2543</f>
        <v>0</v>
      </c>
      <c r="G2543" s="912">
        <f>GLOBAL_DER_FEV_2023!G2543</f>
        <v>0</v>
      </c>
      <c r="H2543" s="901">
        <f>GLOBAL_DER_FEV_2023!H2543</f>
        <v>0</v>
      </c>
      <c r="I2543" s="901" t="str">
        <f>GLOBAL_DER_FEV_2023!I2543</f>
        <v/>
      </c>
      <c r="J2543" s="902">
        <f>GLOBAL_DER_FEV_2023!J2543</f>
        <v>0</v>
      </c>
      <c r="K2543" s="903" t="str">
        <f>GLOBAL_DER_FEV_2023!K2543</f>
        <v xml:space="preserve">     </v>
      </c>
      <c r="L2543" s="1137"/>
      <c r="M2543" s="1175">
        <f t="shared" si="250"/>
        <v>0</v>
      </c>
      <c r="N2543" s="1167">
        <f t="shared" si="251"/>
        <v>0</v>
      </c>
      <c r="O2543" s="1165"/>
      <c r="Q2543" s="317" t="str">
        <f t="shared" ref="Q2543:Q2547" si="252">IF(P2543="X","x",IF(P2543="xx","x",IF(P2543="xy","x",IF(P2543="y","x",IF(OR(N2543&gt;0,N2543&gt;0),"x","")))))</f>
        <v/>
      </c>
      <c r="R2543" s="317" t="str">
        <f t="shared" si="248"/>
        <v/>
      </c>
      <c r="S2543" s="317" t="str">
        <f t="shared" si="249"/>
        <v/>
      </c>
      <c r="T2543" s="317" t="str">
        <f>GLOBAL_DER_FEV_2023!S2543</f>
        <v/>
      </c>
      <c r="W2543" s="582">
        <v>0</v>
      </c>
      <c r="X2543" s="580"/>
      <c r="Y2543" s="583">
        <f>IF(GLOBAL_DER_FEV_2023!W2543=0,0,IF(GLOBAL_DER_FEV_2023!W2543&gt;0,"c","b"))</f>
        <v>0</v>
      </c>
    </row>
    <row r="2544" spans="1:25" x14ac:dyDescent="0.2">
      <c r="A2544" s="640" t="s">
        <v>165</v>
      </c>
      <c r="B2544" s="1183" t="str">
        <f>GLOBAL_DER_FEV_2023!B2544</f>
        <v/>
      </c>
      <c r="C2544" s="1184" t="str">
        <f>GLOBAL_DER_FEV_2023!C2544</f>
        <v/>
      </c>
      <c r="D2544" s="1141">
        <f>GLOBAL_DER_FEV_2023!D2544</f>
        <v>0</v>
      </c>
      <c r="E2544" s="907">
        <f>GLOBAL_DER_FEV_2023!E2544</f>
        <v>0</v>
      </c>
      <c r="F2544" s="908">
        <f>GLOBAL_DER_FEV_2023!F2544</f>
        <v>0</v>
      </c>
      <c r="G2544" s="912">
        <f>GLOBAL_DER_FEV_2023!G2544</f>
        <v>0</v>
      </c>
      <c r="H2544" s="901">
        <f>GLOBAL_DER_FEV_2023!H2544</f>
        <v>0</v>
      </c>
      <c r="I2544" s="901" t="str">
        <f>GLOBAL_DER_FEV_2023!I2544</f>
        <v/>
      </c>
      <c r="J2544" s="902">
        <f>GLOBAL_DER_FEV_2023!J2544</f>
        <v>0</v>
      </c>
      <c r="K2544" s="903" t="str">
        <f>GLOBAL_DER_FEV_2023!K2544</f>
        <v xml:space="preserve">     </v>
      </c>
      <c r="L2544" s="1137"/>
      <c r="M2544" s="1175">
        <f t="shared" si="250"/>
        <v>0</v>
      </c>
      <c r="N2544" s="1167">
        <f t="shared" si="251"/>
        <v>0</v>
      </c>
      <c r="O2544" s="1165"/>
      <c r="Q2544" s="317" t="str">
        <f t="shared" si="252"/>
        <v/>
      </c>
      <c r="R2544" s="317" t="str">
        <f t="shared" si="248"/>
        <v/>
      </c>
      <c r="S2544" s="317" t="str">
        <f t="shared" si="249"/>
        <v/>
      </c>
      <c r="T2544" s="317" t="str">
        <f>GLOBAL_DER_FEV_2023!S2544</f>
        <v/>
      </c>
      <c r="W2544" s="582">
        <v>0</v>
      </c>
      <c r="X2544" s="580"/>
      <c r="Y2544" s="583">
        <f>IF(GLOBAL_DER_FEV_2023!W2544=0,0,IF(GLOBAL_DER_FEV_2023!W2544&gt;0,"c","b"))</f>
        <v>0</v>
      </c>
    </row>
    <row r="2545" spans="1:25" x14ac:dyDescent="0.2">
      <c r="A2545" s="640" t="s">
        <v>165</v>
      </c>
      <c r="B2545" s="1183" t="str">
        <f>GLOBAL_DER_FEV_2023!B2545</f>
        <v/>
      </c>
      <c r="C2545" s="1184" t="str">
        <f>GLOBAL_DER_FEV_2023!C2545</f>
        <v/>
      </c>
      <c r="D2545" s="1141">
        <f>GLOBAL_DER_FEV_2023!D2545</f>
        <v>0</v>
      </c>
      <c r="E2545" s="907">
        <f>GLOBAL_DER_FEV_2023!E2545</f>
        <v>0</v>
      </c>
      <c r="F2545" s="908">
        <f>GLOBAL_DER_FEV_2023!F2545</f>
        <v>0</v>
      </c>
      <c r="G2545" s="912">
        <f>GLOBAL_DER_FEV_2023!G2545</f>
        <v>0</v>
      </c>
      <c r="H2545" s="901">
        <f>GLOBAL_DER_FEV_2023!H2545</f>
        <v>0</v>
      </c>
      <c r="I2545" s="901" t="str">
        <f>GLOBAL_DER_FEV_2023!I2545</f>
        <v/>
      </c>
      <c r="J2545" s="902">
        <f>GLOBAL_DER_FEV_2023!J2545</f>
        <v>0</v>
      </c>
      <c r="K2545" s="903" t="str">
        <f>GLOBAL_DER_FEV_2023!K2545</f>
        <v xml:space="preserve">     </v>
      </c>
      <c r="L2545" s="1137"/>
      <c r="M2545" s="1175">
        <f t="shared" si="250"/>
        <v>0</v>
      </c>
      <c r="N2545" s="1167">
        <f t="shared" si="251"/>
        <v>0</v>
      </c>
      <c r="O2545" s="1165"/>
      <c r="Q2545" s="317" t="str">
        <f t="shared" si="252"/>
        <v/>
      </c>
      <c r="R2545" s="317" t="str">
        <f t="shared" ref="R2545:R2547" si="253">IF(P2545="X","x",IF(P2545="y","x",IF(P2545="xx","x",IF(N2545&gt;0,"x",""))))</f>
        <v/>
      </c>
      <c r="S2545" s="317" t="str">
        <f t="shared" ref="S2545:S2547" si="254">IF(P2545="X","x",IF(N2545&gt;0,"x",""))</f>
        <v/>
      </c>
      <c r="T2545" s="317" t="str">
        <f>GLOBAL_DER_FEV_2023!S2545</f>
        <v/>
      </c>
      <c r="W2545" s="582">
        <v>0</v>
      </c>
      <c r="X2545" s="580"/>
      <c r="Y2545" s="583">
        <f>IF(GLOBAL_DER_FEV_2023!W2545=0,0,IF(GLOBAL_DER_FEV_2023!W2545&gt;0,"c","b"))</f>
        <v>0</v>
      </c>
    </row>
    <row r="2546" spans="1:25" ht="13.5" thickBot="1" x14ac:dyDescent="0.25">
      <c r="A2546" s="640" t="s">
        <v>165</v>
      </c>
      <c r="B2546" s="1183" t="str">
        <f>GLOBAL_DER_FEV_2023!B2546</f>
        <v/>
      </c>
      <c r="C2546" s="1184" t="str">
        <f>GLOBAL_DER_FEV_2023!C2546</f>
        <v/>
      </c>
      <c r="D2546" s="1141">
        <f>GLOBAL_DER_FEV_2023!D2546</f>
        <v>0</v>
      </c>
      <c r="E2546" s="907">
        <f>GLOBAL_DER_FEV_2023!E2546</f>
        <v>0</v>
      </c>
      <c r="F2546" s="908">
        <f>GLOBAL_DER_FEV_2023!F2546</f>
        <v>0</v>
      </c>
      <c r="G2546" s="912">
        <f>GLOBAL_DER_FEV_2023!G2546</f>
        <v>0</v>
      </c>
      <c r="H2546" s="901">
        <f>GLOBAL_DER_FEV_2023!H2546</f>
        <v>0</v>
      </c>
      <c r="I2546" s="901" t="str">
        <f>GLOBAL_DER_FEV_2023!I2546</f>
        <v/>
      </c>
      <c r="J2546" s="902">
        <f>GLOBAL_DER_FEV_2023!J2546</f>
        <v>0</v>
      </c>
      <c r="K2546" s="903" t="str">
        <f>GLOBAL_DER_FEV_2023!K2546</f>
        <v xml:space="preserve">     </v>
      </c>
      <c r="L2546" s="1137"/>
      <c r="M2546" s="1175">
        <f t="shared" si="250"/>
        <v>0</v>
      </c>
      <c r="N2546" s="1167">
        <f t="shared" si="251"/>
        <v>0</v>
      </c>
      <c r="O2546" s="1165"/>
      <c r="Q2546" s="317" t="str">
        <f t="shared" si="252"/>
        <v/>
      </c>
      <c r="R2546" s="317" t="str">
        <f t="shared" si="253"/>
        <v/>
      </c>
      <c r="S2546" s="317" t="str">
        <f t="shared" si="254"/>
        <v/>
      </c>
      <c r="T2546" s="317" t="str">
        <f>GLOBAL_DER_FEV_2023!S2546</f>
        <v/>
      </c>
      <c r="W2546" s="582">
        <v>0</v>
      </c>
      <c r="X2546" s="580"/>
      <c r="Y2546" s="583">
        <f>IF(GLOBAL_DER_FEV_2023!W2546=0,0,IF(GLOBAL_DER_FEV_2023!W2546&gt;0,"c","b"))</f>
        <v>0</v>
      </c>
    </row>
    <row r="2547" spans="1:25" ht="9.75" customHeight="1" thickBot="1" x14ac:dyDescent="0.25">
      <c r="A2547" s="640" t="s">
        <v>165</v>
      </c>
      <c r="B2547" s="1078" t="s">
        <v>152</v>
      </c>
      <c r="C2547" s="1185"/>
      <c r="D2547" s="1080"/>
      <c r="E2547" s="1081"/>
      <c r="F2547" s="1082"/>
      <c r="G2547" s="1083"/>
      <c r="H2547" s="1083"/>
      <c r="I2547" s="1083"/>
      <c r="J2547" s="1084"/>
      <c r="K2547" s="1081"/>
      <c r="L2547" s="1085"/>
      <c r="M2547" s="1085"/>
      <c r="N2547" s="1086"/>
      <c r="O2547" s="1087"/>
      <c r="P2547" s="60" t="s">
        <v>152</v>
      </c>
      <c r="Q2547" s="317" t="str">
        <f t="shared" si="252"/>
        <v>x</v>
      </c>
      <c r="R2547" s="317" t="str">
        <f t="shared" si="253"/>
        <v>x</v>
      </c>
      <c r="S2547" s="317" t="str">
        <f t="shared" si="254"/>
        <v>x</v>
      </c>
      <c r="T2547" s="317" t="str">
        <f>GLOBAL_DER_FEV_2023!S2547</f>
        <v>x</v>
      </c>
    </row>
    <row r="2548" spans="1:25" ht="21" customHeight="1" thickBot="1" x14ac:dyDescent="0.25">
      <c r="A2548" s="640" t="s">
        <v>165</v>
      </c>
      <c r="B2548" s="1088" t="str">
        <f>GLOBAL_DER_FEV_2023!B2548</f>
        <v>Data Base da aprovação do Orçamento (Decreto 10.086/22 do Paraná, que regulamenta a Lei 14.133/21):  14/4/2023</v>
      </c>
      <c r="C2548" s="1186"/>
      <c r="D2548" s="1090"/>
      <c r="E2548" s="1091"/>
      <c r="F2548" s="1092"/>
      <c r="G2548" s="1093"/>
      <c r="H2548" s="1093"/>
      <c r="I2548" s="1093"/>
      <c r="J2548" s="1093"/>
      <c r="K2548" s="1091"/>
      <c r="L2548" s="880"/>
      <c r="M2548" s="880"/>
      <c r="N2548" s="1094" t="s">
        <v>2145</v>
      </c>
      <c r="O2548" s="882">
        <f>SUBTOTAL(9,O19:O2546)</f>
        <v>0</v>
      </c>
      <c r="P2548" s="60" t="s">
        <v>152</v>
      </c>
      <c r="Q2548" s="317" t="s">
        <v>152</v>
      </c>
      <c r="R2548" s="317" t="s">
        <v>152</v>
      </c>
      <c r="S2548" s="317" t="s">
        <v>152</v>
      </c>
      <c r="T2548" s="317" t="s">
        <v>152</v>
      </c>
    </row>
    <row r="2549" spans="1:25" ht="15" customHeight="1" x14ac:dyDescent="0.2">
      <c r="A2549" s="640" t="s">
        <v>165</v>
      </c>
      <c r="B2549" s="570" t="s">
        <v>152</v>
      </c>
      <c r="C2549" s="575"/>
      <c r="D2549" s="542"/>
      <c r="E2549" s="543"/>
      <c r="F2549" s="544"/>
      <c r="G2549" s="545"/>
      <c r="H2549" s="545"/>
      <c r="I2549" s="545"/>
      <c r="J2549" s="546"/>
      <c r="K2549" s="543"/>
      <c r="L2549" s="547"/>
      <c r="M2549" s="547"/>
      <c r="N2549" s="548"/>
      <c r="O2549" s="548"/>
      <c r="P2549" s="60" t="s">
        <v>152</v>
      </c>
      <c r="Q2549" s="327" t="s">
        <v>152</v>
      </c>
      <c r="R2549" s="317" t="s">
        <v>152</v>
      </c>
      <c r="S2549" s="317" t="s">
        <v>152</v>
      </c>
      <c r="T2549" s="317" t="s">
        <v>152</v>
      </c>
    </row>
    <row r="2550" spans="1:25" ht="15" customHeight="1" thickBot="1" x14ac:dyDescent="0.25">
      <c r="A2550" s="640"/>
      <c r="B2550" s="571"/>
      <c r="C2550" s="576"/>
      <c r="D2550" s="549"/>
      <c r="E2550" s="550"/>
      <c r="F2550" s="551"/>
      <c r="G2550" s="552"/>
      <c r="H2550" s="552"/>
      <c r="I2550" s="552"/>
      <c r="J2550" s="553"/>
      <c r="K2550" s="550"/>
      <c r="L2550" s="540"/>
      <c r="M2550" s="540"/>
      <c r="N2550" s="536">
        <f>SUBTOTAL(9,N19:N2546)</f>
        <v>0</v>
      </c>
      <c r="O2550" s="541"/>
      <c r="P2550" s="60"/>
      <c r="Q2550" s="327"/>
      <c r="R2550" s="317"/>
      <c r="S2550" s="317"/>
      <c r="T2550" s="317"/>
    </row>
    <row r="2551" spans="1:25" ht="18" customHeight="1" thickBot="1" x14ac:dyDescent="0.25">
      <c r="A2551" s="640" t="s">
        <v>165</v>
      </c>
      <c r="B2551" s="569" t="s">
        <v>152</v>
      </c>
      <c r="C2551" s="506"/>
      <c r="D2551" s="75" t="s">
        <v>477</v>
      </c>
      <c r="E2551" s="62"/>
      <c r="F2551" s="70"/>
      <c r="G2551" s="321"/>
      <c r="H2551" s="321"/>
      <c r="I2551" s="321" t="str">
        <f t="shared" ref="I2551:I2556" si="255">IF(ISBLANK(H2551),"",SUM(G2551:H2551))</f>
        <v/>
      </c>
      <c r="J2551" s="321"/>
      <c r="K2551" s="62"/>
      <c r="L2551" s="533"/>
      <c r="M2551" s="536"/>
      <c r="N2551" s="537">
        <f>SUM(N19:N643)</f>
        <v>0</v>
      </c>
      <c r="O2551" s="537">
        <f>SUM(O19:O643)</f>
        <v>0</v>
      </c>
      <c r="P2551" s="60"/>
      <c r="Q2551" s="317" t="s">
        <v>152</v>
      </c>
      <c r="R2551" s="317" t="s">
        <v>152</v>
      </c>
      <c r="S2551" s="317" t="s">
        <v>152</v>
      </c>
      <c r="T2551" s="317" t="s">
        <v>152</v>
      </c>
    </row>
    <row r="2552" spans="1:25" ht="18" customHeight="1" thickBot="1" x14ac:dyDescent="0.25">
      <c r="A2552" s="640" t="s">
        <v>165</v>
      </c>
      <c r="B2552" s="569" t="s">
        <v>152</v>
      </c>
      <c r="C2552" s="506"/>
      <c r="D2552" s="75" t="s">
        <v>481</v>
      </c>
      <c r="E2552" s="62"/>
      <c r="F2552" s="70"/>
      <c r="G2552" s="321"/>
      <c r="H2552" s="321"/>
      <c r="I2552" s="321" t="str">
        <f t="shared" si="255"/>
        <v/>
      </c>
      <c r="J2552" s="321"/>
      <c r="K2552" s="62"/>
      <c r="L2552" s="533"/>
      <c r="M2552" s="534"/>
      <c r="N2552" s="535">
        <f>SUM(N644:N912)</f>
        <v>0</v>
      </c>
      <c r="O2552" s="535">
        <f>SUM(O644:O912)</f>
        <v>0</v>
      </c>
      <c r="P2552" s="60" t="s">
        <v>152</v>
      </c>
      <c r="Q2552" s="317" t="s">
        <v>152</v>
      </c>
      <c r="R2552" s="317" t="s">
        <v>152</v>
      </c>
      <c r="S2552" s="317" t="s">
        <v>152</v>
      </c>
      <c r="T2552" s="317" t="s">
        <v>152</v>
      </c>
    </row>
    <row r="2553" spans="1:25" ht="18" customHeight="1" thickBot="1" x14ac:dyDescent="0.25">
      <c r="A2553" s="640" t="s">
        <v>165</v>
      </c>
      <c r="B2553" s="569" t="s">
        <v>152</v>
      </c>
      <c r="C2553" s="506"/>
      <c r="D2553" s="75" t="s">
        <v>478</v>
      </c>
      <c r="E2553" s="62"/>
      <c r="F2553" s="70"/>
      <c r="G2553" s="321"/>
      <c r="H2553" s="321"/>
      <c r="I2553" s="321" t="str">
        <f t="shared" si="255"/>
        <v/>
      </c>
      <c r="J2553" s="321"/>
      <c r="K2553" s="62"/>
      <c r="L2553" s="533"/>
      <c r="M2553" s="534"/>
      <c r="N2553" s="535">
        <f>SUM(N913:N1624)</f>
        <v>0</v>
      </c>
      <c r="O2553" s="535">
        <f>SUM(O913:O1624)</f>
        <v>0</v>
      </c>
      <c r="P2553" s="60" t="s">
        <v>152</v>
      </c>
      <c r="Q2553" s="317" t="s">
        <v>152</v>
      </c>
      <c r="R2553" s="317" t="s">
        <v>152</v>
      </c>
      <c r="S2553" s="317" t="s">
        <v>152</v>
      </c>
      <c r="T2553" s="317" t="s">
        <v>152</v>
      </c>
    </row>
    <row r="2554" spans="1:25" ht="18" customHeight="1" thickBot="1" x14ac:dyDescent="0.25">
      <c r="A2554" s="640" t="s">
        <v>165</v>
      </c>
      <c r="B2554" s="569" t="s">
        <v>152</v>
      </c>
      <c r="C2554" s="506"/>
      <c r="D2554" s="75" t="s">
        <v>479</v>
      </c>
      <c r="E2554" s="62"/>
      <c r="F2554" s="70"/>
      <c r="G2554" s="321"/>
      <c r="H2554" s="321"/>
      <c r="I2554" s="321" t="str">
        <f t="shared" si="255"/>
        <v/>
      </c>
      <c r="J2554" s="321"/>
      <c r="K2554" s="62"/>
      <c r="L2554" s="533"/>
      <c r="M2554" s="534"/>
      <c r="N2554" s="535">
        <f>SUM(N1625:N1719)</f>
        <v>0</v>
      </c>
      <c r="O2554" s="535">
        <f>SUM(O1625:O1719)</f>
        <v>0</v>
      </c>
      <c r="P2554" s="60" t="s">
        <v>152</v>
      </c>
      <c r="Q2554" s="317" t="s">
        <v>152</v>
      </c>
      <c r="R2554" s="317" t="s">
        <v>152</v>
      </c>
      <c r="S2554" s="317" t="s">
        <v>152</v>
      </c>
      <c r="T2554" s="317" t="s">
        <v>152</v>
      </c>
    </row>
    <row r="2555" spans="1:25" ht="18" customHeight="1" thickBot="1" x14ac:dyDescent="0.25">
      <c r="A2555" s="640" t="s">
        <v>165</v>
      </c>
      <c r="B2555" s="569" t="s">
        <v>152</v>
      </c>
      <c r="C2555" s="506"/>
      <c r="D2555" s="75" t="s">
        <v>480</v>
      </c>
      <c r="E2555" s="62"/>
      <c r="F2555" s="70"/>
      <c r="G2555" s="321"/>
      <c r="H2555" s="321"/>
      <c r="I2555" s="321" t="str">
        <f t="shared" si="255"/>
        <v/>
      </c>
      <c r="J2555" s="321"/>
      <c r="K2555" s="62"/>
      <c r="L2555" s="533"/>
      <c r="M2555" s="534"/>
      <c r="N2555" s="535">
        <f>SUM(N1720:N2498)</f>
        <v>0</v>
      </c>
      <c r="O2555" s="535">
        <f>SUM(O1720:O2498)</f>
        <v>0</v>
      </c>
      <c r="P2555" s="60" t="s">
        <v>152</v>
      </c>
      <c r="Q2555" s="317" t="s">
        <v>152</v>
      </c>
      <c r="R2555" s="317" t="s">
        <v>152</v>
      </c>
      <c r="S2555" s="317" t="s">
        <v>152</v>
      </c>
      <c r="T2555" s="317" t="s">
        <v>152</v>
      </c>
    </row>
    <row r="2556" spans="1:25" ht="18" customHeight="1" thickBot="1" x14ac:dyDescent="0.25">
      <c r="A2556" s="640" t="s">
        <v>165</v>
      </c>
      <c r="B2556" s="569" t="s">
        <v>152</v>
      </c>
      <c r="C2556" s="506"/>
      <c r="D2556" s="75" t="s">
        <v>504</v>
      </c>
      <c r="E2556" s="62"/>
      <c r="F2556" s="70"/>
      <c r="G2556" s="321"/>
      <c r="H2556" s="321"/>
      <c r="I2556" s="321" t="str">
        <f t="shared" si="255"/>
        <v/>
      </c>
      <c r="J2556" s="321"/>
      <c r="K2556" s="62"/>
      <c r="L2556" s="533"/>
      <c r="M2556" s="534"/>
      <c r="N2556" s="535">
        <f>SUM(N2499:N2546)</f>
        <v>0</v>
      </c>
      <c r="O2556" s="535">
        <f>SUM(O2499:O2546)</f>
        <v>0</v>
      </c>
      <c r="P2556" s="60" t="s">
        <v>152</v>
      </c>
      <c r="Q2556" s="317" t="s">
        <v>152</v>
      </c>
      <c r="R2556" s="317" t="s">
        <v>152</v>
      </c>
      <c r="S2556" s="317" t="s">
        <v>152</v>
      </c>
      <c r="T2556" s="317" t="s">
        <v>152</v>
      </c>
    </row>
    <row r="2557" spans="1:25" ht="18" customHeight="1" thickBot="1" x14ac:dyDescent="0.25">
      <c r="A2557" s="640" t="s">
        <v>165</v>
      </c>
      <c r="B2557" s="327" t="s">
        <v>152</v>
      </c>
      <c r="E2557" s="64"/>
      <c r="G2557" s="322"/>
      <c r="H2557" s="322"/>
      <c r="I2557" s="322"/>
      <c r="J2557" s="322"/>
      <c r="L2557" s="1352" t="s">
        <v>2100</v>
      </c>
      <c r="M2557" s="1353"/>
      <c r="N2557" s="66"/>
      <c r="O2557" s="68">
        <f>IF(N2557=0,0,O2548/N2557)</f>
        <v>0</v>
      </c>
      <c r="P2557" s="60" t="s">
        <v>152</v>
      </c>
      <c r="Q2557" s="317" t="s">
        <v>152</v>
      </c>
      <c r="R2557" s="317" t="s">
        <v>152</v>
      </c>
      <c r="S2557" s="317" t="s">
        <v>152</v>
      </c>
      <c r="T2557" s="317" t="s">
        <v>152</v>
      </c>
    </row>
    <row r="2558" spans="1:25" x14ac:dyDescent="0.2">
      <c r="A2558" s="640" t="s">
        <v>165</v>
      </c>
      <c r="B2558" s="327" t="s">
        <v>152</v>
      </c>
      <c r="G2558" s="322"/>
      <c r="H2558" s="322"/>
      <c r="I2558" s="324">
        <f>SUM(I20:I2546)</f>
        <v>1158562.4266376111</v>
      </c>
      <c r="J2558" s="323">
        <f>SUM(J20:J2546)</f>
        <v>1391036.9400000009</v>
      </c>
      <c r="K2558" s="67"/>
      <c r="L2558" s="67"/>
      <c r="M2558" s="67"/>
      <c r="N2558" s="67"/>
      <c r="O2558" s="67"/>
      <c r="P2558" s="319" t="s">
        <v>152</v>
      </c>
      <c r="Q2558" s="317" t="s">
        <v>152</v>
      </c>
      <c r="R2558" s="317" t="s">
        <v>152</v>
      </c>
      <c r="S2558" s="317" t="s">
        <v>152</v>
      </c>
      <c r="T2558" s="317" t="s">
        <v>152</v>
      </c>
    </row>
    <row r="2559" spans="1:25" ht="13.5" thickBot="1" x14ac:dyDescent="0.25">
      <c r="A2559" s="640" t="s">
        <v>165</v>
      </c>
      <c r="B2559" s="327" t="s">
        <v>152</v>
      </c>
      <c r="G2559" s="322"/>
      <c r="H2559" s="322"/>
      <c r="I2559" s="324">
        <v>1169198.714741745</v>
      </c>
      <c r="J2559" s="323">
        <v>1418822.2699999993</v>
      </c>
      <c r="K2559" s="67"/>
      <c r="L2559" s="67"/>
      <c r="M2559" s="67"/>
      <c r="N2559" s="67"/>
      <c r="O2559" s="67"/>
      <c r="P2559" s="319" t="s">
        <v>152</v>
      </c>
      <c r="Q2559" s="317" t="s">
        <v>152</v>
      </c>
      <c r="R2559" s="317" t="s">
        <v>152</v>
      </c>
      <c r="S2559" s="317" t="s">
        <v>152</v>
      </c>
      <c r="T2559" s="317" t="s">
        <v>152</v>
      </c>
    </row>
    <row r="2560" spans="1:25" ht="18" customHeight="1" thickBot="1" x14ac:dyDescent="0.25">
      <c r="A2560" s="640" t="s">
        <v>165</v>
      </c>
      <c r="B2560" s="327" t="s">
        <v>152</v>
      </c>
      <c r="K2560" s="67"/>
      <c r="L2560" s="1352"/>
      <c r="M2560" s="1354"/>
      <c r="N2560" s="61">
        <f>SUM(N19:N2546)</f>
        <v>0</v>
      </c>
      <c r="O2560" s="61">
        <f>SUM(O19:O2546)</f>
        <v>0</v>
      </c>
      <c r="P2560" s="319" t="s">
        <v>152</v>
      </c>
      <c r="Q2560" s="317" t="s">
        <v>152</v>
      </c>
      <c r="R2560" s="317" t="s">
        <v>152</v>
      </c>
      <c r="S2560" s="317" t="s">
        <v>152</v>
      </c>
      <c r="T2560" s="317" t="s">
        <v>152</v>
      </c>
    </row>
    <row r="2561" spans="1:10" x14ac:dyDescent="0.2">
      <c r="A2561" s="640" t="s">
        <v>165</v>
      </c>
    </row>
    <row r="2563" spans="1:10" x14ac:dyDescent="0.2">
      <c r="H2563" s="81"/>
      <c r="I2563" s="249"/>
      <c r="J2563" s="249"/>
    </row>
    <row r="2566" spans="1:10" x14ac:dyDescent="0.2">
      <c r="D2566" s="258"/>
      <c r="J2566" s="65"/>
    </row>
    <row r="2567" spans="1:10" x14ac:dyDescent="0.2">
      <c r="D2567" s="258" t="s">
        <v>165</v>
      </c>
      <c r="J2567" s="65"/>
    </row>
    <row r="2568" spans="1:10" x14ac:dyDescent="0.2">
      <c r="D2568" s="258"/>
      <c r="J2568" s="65"/>
    </row>
    <row r="2569" spans="1:10" x14ac:dyDescent="0.2">
      <c r="J2569" s="65"/>
    </row>
    <row r="2570" spans="1:10" x14ac:dyDescent="0.2">
      <c r="J2570" s="65"/>
    </row>
    <row r="2571" spans="1:10" x14ac:dyDescent="0.2">
      <c r="J2571" s="65"/>
    </row>
    <row r="2572" spans="1:10" x14ac:dyDescent="0.2">
      <c r="J2572" s="65"/>
    </row>
    <row r="2573" spans="1:10" x14ac:dyDescent="0.2">
      <c r="J2573" s="65"/>
    </row>
    <row r="2574" spans="1:10" x14ac:dyDescent="0.2">
      <c r="D2574" s="80" t="s">
        <v>165</v>
      </c>
      <c r="J2574" s="65"/>
    </row>
    <row r="2575" spans="1:10" ht="9" customHeight="1" x14ac:dyDescent="0.2"/>
    <row r="2576" spans="1:10" x14ac:dyDescent="0.2">
      <c r="D2576" s="80" t="s">
        <v>1605</v>
      </c>
    </row>
    <row r="2578" spans="6:6" x14ac:dyDescent="0.2">
      <c r="F2578" s="37" t="s">
        <v>1717</v>
      </c>
    </row>
  </sheetData>
  <sheetProtection algorithmName="SHA-512" hashValue="Su00PB2kbIDg6WOGvlKrb6fo98xMN1Nu0nqT3Cgf5Pyg+Z2wNydFOrPxjQ96sTwOFvtgsEKHEWk8pmG6SZIB2A==" saltValue="EwITo6s5UVXhEtSyvtAugg==" spinCount="100000" sheet="1" objects="1" scenarios="1" formatColumns="0" formatRows="0" autoFilter="0"/>
  <autoFilter ref="A18:AY18" xr:uid="{00000000-0009-0000-0000-00000D000000}">
    <filterColumn colId="22" showButton="0"/>
  </autoFilter>
  <mergeCells count="3">
    <mergeCell ref="L2557:M2557"/>
    <mergeCell ref="L2560:M2560"/>
    <mergeCell ref="W18:X18"/>
  </mergeCells>
  <printOptions horizontalCentered="1" verticalCentered="1"/>
  <pageMargins left="0.39370078740157483" right="0.39370078740157483" top="0.98425196850393704" bottom="0.39370078740157483" header="0.31496062992125984" footer="0.51181102362204722"/>
  <pageSetup paperSize="9" scale="49" fitToHeight="0" orientation="landscape" r:id="rId1"/>
  <headerFooter alignWithMargins="0">
    <oddHeader>&amp;C&amp;"Arial,Negrito"&amp;12&amp;F</oddHeader>
  </headerFooter>
  <ignoredErrors>
    <ignoredError sqref="O13:O14 F13:F14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 tint="0.249977111117893"/>
  </sheetPr>
  <dimension ref="A1:M218"/>
  <sheetViews>
    <sheetView showGridLines="0" topLeftCell="A150" workbookViewId="0">
      <selection activeCell="M185" sqref="M185"/>
    </sheetView>
  </sheetViews>
  <sheetFormatPr defaultColWidth="9.1640625" defaultRowHeight="11.25" x14ac:dyDescent="0.2"/>
  <cols>
    <col min="1" max="1" width="39.5" style="254" customWidth="1"/>
    <col min="2" max="2" width="31" style="254" bestFit="1" customWidth="1"/>
    <col min="3" max="3" width="15.6640625" style="254" customWidth="1"/>
    <col min="4" max="4" width="1.83203125" style="254" customWidth="1"/>
    <col min="5" max="5" width="39.5" style="254" bestFit="1" customWidth="1"/>
    <col min="6" max="6" width="22.83203125" style="254" customWidth="1"/>
    <col min="7" max="7" width="4.83203125" style="254" customWidth="1"/>
    <col min="8" max="8" width="39.5" style="254" customWidth="1"/>
    <col min="9" max="9" width="31" style="254" bestFit="1" customWidth="1"/>
    <col min="10" max="10" width="15.6640625" style="254" customWidth="1"/>
    <col min="11" max="11" width="1.83203125" style="254" customWidth="1"/>
    <col min="12" max="12" width="39.5" style="254" bestFit="1" customWidth="1"/>
    <col min="13" max="13" width="22.83203125" style="254" customWidth="1"/>
    <col min="14" max="16384" width="9.1640625" style="254"/>
  </cols>
  <sheetData>
    <row r="1" spans="1:13" ht="30" x14ac:dyDescent="0.4">
      <c r="A1" s="725" t="s">
        <v>727</v>
      </c>
      <c r="F1" s="726" t="s">
        <v>768</v>
      </c>
      <c r="G1" s="727"/>
      <c r="H1" s="727"/>
      <c r="I1" s="727"/>
    </row>
    <row r="3" spans="1:13" ht="12" thickBot="1" x14ac:dyDescent="0.25"/>
    <row r="4" spans="1:13" ht="18" customHeight="1" x14ac:dyDescent="0.25">
      <c r="A4" s="728" t="s">
        <v>728</v>
      </c>
      <c r="B4" s="729" t="s">
        <v>2169</v>
      </c>
      <c r="C4" s="729"/>
      <c r="D4" s="729"/>
      <c r="E4" s="729"/>
      <c r="F4" s="730"/>
      <c r="H4" s="728" t="s">
        <v>728</v>
      </c>
      <c r="I4" s="729" t="s">
        <v>2169</v>
      </c>
      <c r="J4" s="729"/>
      <c r="K4" s="729"/>
      <c r="L4" s="729"/>
      <c r="M4" s="730"/>
    </row>
    <row r="5" spans="1:13" ht="18" customHeight="1" x14ac:dyDescent="0.25">
      <c r="A5" s="731" t="s">
        <v>729</v>
      </c>
      <c r="B5" s="732" t="s">
        <v>2170</v>
      </c>
      <c r="C5" s="732"/>
      <c r="D5" s="732"/>
      <c r="E5" s="732"/>
      <c r="F5" s="733"/>
      <c r="H5" s="731" t="s">
        <v>729</v>
      </c>
      <c r="I5" s="732" t="s">
        <v>2170</v>
      </c>
      <c r="J5" s="732"/>
      <c r="K5" s="732"/>
      <c r="L5" s="732"/>
      <c r="M5" s="733"/>
    </row>
    <row r="6" spans="1:13" ht="18" customHeight="1" thickBot="1" x14ac:dyDescent="0.3">
      <c r="A6" s="734" t="s">
        <v>730</v>
      </c>
      <c r="B6" s="735" t="s">
        <v>2171</v>
      </c>
      <c r="C6" s="735"/>
      <c r="D6" s="735"/>
      <c r="E6" s="735"/>
      <c r="F6" s="736"/>
      <c r="H6" s="734" t="s">
        <v>730</v>
      </c>
      <c r="I6" s="735" t="s">
        <v>2171</v>
      </c>
      <c r="J6" s="735"/>
      <c r="K6" s="735"/>
      <c r="L6" s="735"/>
      <c r="M6" s="736"/>
    </row>
    <row r="7" spans="1:13" ht="12" thickBot="1" x14ac:dyDescent="0.25"/>
    <row r="8" spans="1:13" ht="20.25" x14ac:dyDescent="0.3">
      <c r="A8" s="737" t="s">
        <v>767</v>
      </c>
      <c r="B8" s="738" t="s">
        <v>744</v>
      </c>
      <c r="C8" s="739" t="s">
        <v>2276</v>
      </c>
      <c r="D8" s="740"/>
      <c r="E8" s="740"/>
      <c r="F8" s="741"/>
      <c r="H8" s="737" t="s">
        <v>2181</v>
      </c>
      <c r="I8" s="738" t="s">
        <v>744</v>
      </c>
      <c r="J8" s="739" t="s">
        <v>2277</v>
      </c>
      <c r="K8" s="740"/>
      <c r="L8" s="740"/>
      <c r="M8" s="741"/>
    </row>
    <row r="9" spans="1:13" ht="16.5" thickBot="1" x14ac:dyDescent="0.3">
      <c r="A9" s="742"/>
      <c r="B9" s="743" t="s">
        <v>733</v>
      </c>
      <c r="C9" s="744" t="s">
        <v>2166</v>
      </c>
      <c r="D9" s="745"/>
      <c r="E9" s="745"/>
      <c r="F9" s="746"/>
      <c r="H9" s="742"/>
      <c r="I9" s="743" t="s">
        <v>733</v>
      </c>
      <c r="J9" s="744" t="s">
        <v>2166</v>
      </c>
      <c r="K9" s="745"/>
      <c r="L9" s="745"/>
      <c r="M9" s="746"/>
    </row>
    <row r="10" spans="1:13" ht="12" thickBot="1" x14ac:dyDescent="0.25">
      <c r="A10" s="747"/>
      <c r="H10" s="747"/>
    </row>
    <row r="11" spans="1:13" ht="20.45" customHeight="1" x14ac:dyDescent="0.3">
      <c r="A11" s="748" t="s">
        <v>743</v>
      </c>
      <c r="B11" s="749"/>
      <c r="C11" s="750"/>
      <c r="D11" s="751"/>
      <c r="E11" s="752" t="s">
        <v>749</v>
      </c>
      <c r="F11" s="753"/>
      <c r="H11" s="748" t="s">
        <v>743</v>
      </c>
      <c r="I11" s="749"/>
      <c r="J11" s="750"/>
      <c r="K11" s="751"/>
      <c r="L11" s="752" t="s">
        <v>749</v>
      </c>
      <c r="M11" s="753"/>
    </row>
    <row r="12" spans="1:13" ht="15.75" x14ac:dyDescent="0.25">
      <c r="A12" s="754" t="s">
        <v>745</v>
      </c>
      <c r="B12" s="755"/>
      <c r="C12" s="706">
        <v>2.4</v>
      </c>
      <c r="E12" s="756"/>
      <c r="F12" s="757"/>
      <c r="H12" s="754" t="s">
        <v>745</v>
      </c>
      <c r="I12" s="755"/>
      <c r="J12" s="706">
        <v>2.4</v>
      </c>
      <c r="L12" s="756"/>
      <c r="M12" s="757"/>
    </row>
    <row r="13" spans="1:13" ht="20.25" x14ac:dyDescent="0.3">
      <c r="A13" s="758" t="s">
        <v>746</v>
      </c>
      <c r="B13" s="759"/>
      <c r="C13" s="760">
        <v>5.1999999999999998E-2</v>
      </c>
      <c r="E13" s="761" t="s">
        <v>766</v>
      </c>
      <c r="F13" s="762"/>
      <c r="H13" s="758" t="s">
        <v>746</v>
      </c>
      <c r="I13" s="759"/>
      <c r="J13" s="760">
        <v>5.0999999999999997E-2</v>
      </c>
      <c r="L13" s="761" t="s">
        <v>766</v>
      </c>
      <c r="M13" s="762"/>
    </row>
    <row r="14" spans="1:13" ht="15.75" x14ac:dyDescent="0.25">
      <c r="A14" s="763" t="s">
        <v>731</v>
      </c>
      <c r="B14" s="764"/>
      <c r="C14" s="765"/>
      <c r="E14" s="766" t="s">
        <v>732</v>
      </c>
      <c r="F14" s="767" t="s">
        <v>748</v>
      </c>
      <c r="H14" s="763" t="s">
        <v>731</v>
      </c>
      <c r="I14" s="764"/>
      <c r="J14" s="765"/>
      <c r="L14" s="766" t="s">
        <v>732</v>
      </c>
      <c r="M14" s="767" t="s">
        <v>748</v>
      </c>
    </row>
    <row r="15" spans="1:13" ht="15" x14ac:dyDescent="0.2">
      <c r="A15" s="768" t="s">
        <v>732</v>
      </c>
      <c r="B15" s="769" t="s">
        <v>747</v>
      </c>
      <c r="C15" s="770"/>
      <c r="E15" s="771"/>
      <c r="F15" s="772" t="s">
        <v>751</v>
      </c>
      <c r="H15" s="768" t="s">
        <v>732</v>
      </c>
      <c r="I15" s="769" t="s">
        <v>747</v>
      </c>
      <c r="J15" s="770"/>
      <c r="L15" s="771"/>
      <c r="M15" s="772" t="s">
        <v>751</v>
      </c>
    </row>
    <row r="16" spans="1:13" ht="15.75" x14ac:dyDescent="0.25">
      <c r="A16" s="773" t="s">
        <v>734</v>
      </c>
      <c r="B16" s="774" t="s">
        <v>737</v>
      </c>
      <c r="C16" s="775"/>
      <c r="E16" s="776"/>
      <c r="F16" s="777"/>
      <c r="H16" s="773" t="s">
        <v>734</v>
      </c>
      <c r="I16" s="774" t="s">
        <v>737</v>
      </c>
      <c r="J16" s="775"/>
      <c r="L16" s="776"/>
      <c r="M16" s="777"/>
    </row>
    <row r="17" spans="1:13" ht="15.75" x14ac:dyDescent="0.25">
      <c r="A17" s="778"/>
      <c r="B17" s="779" t="s">
        <v>738</v>
      </c>
      <c r="C17" s="780">
        <v>0.8841</v>
      </c>
      <c r="E17" s="781" t="s">
        <v>233</v>
      </c>
      <c r="F17" s="782">
        <f>SUM(C16:C18)</f>
        <v>0.8841</v>
      </c>
      <c r="H17" s="778"/>
      <c r="I17" s="779" t="s">
        <v>738</v>
      </c>
      <c r="J17" s="780">
        <v>0.8841</v>
      </c>
      <c r="L17" s="781" t="s">
        <v>233</v>
      </c>
      <c r="M17" s="782">
        <f>SUM(J16:J18)</f>
        <v>0.8841</v>
      </c>
    </row>
    <row r="18" spans="1:13" ht="15.75" x14ac:dyDescent="0.25">
      <c r="A18" s="783" t="s">
        <v>736</v>
      </c>
      <c r="B18" s="784" t="s">
        <v>739</v>
      </c>
      <c r="C18" s="785"/>
      <c r="E18" s="786"/>
      <c r="F18" s="787"/>
      <c r="H18" s="783" t="s">
        <v>736</v>
      </c>
      <c r="I18" s="784" t="s">
        <v>739</v>
      </c>
      <c r="J18" s="785"/>
      <c r="L18" s="786"/>
      <c r="M18" s="787"/>
    </row>
    <row r="19" spans="1:13" ht="15.75" x14ac:dyDescent="0.25">
      <c r="A19" s="788" t="s">
        <v>229</v>
      </c>
      <c r="B19" s="789" t="s">
        <v>229</v>
      </c>
      <c r="C19" s="790">
        <v>0.1007</v>
      </c>
      <c r="E19" s="791" t="s">
        <v>229</v>
      </c>
      <c r="F19" s="792">
        <f>C19</f>
        <v>0.1007</v>
      </c>
      <c r="H19" s="788" t="s">
        <v>229</v>
      </c>
      <c r="I19" s="789" t="s">
        <v>229</v>
      </c>
      <c r="J19" s="790">
        <v>0.1007</v>
      </c>
      <c r="L19" s="791" t="s">
        <v>229</v>
      </c>
      <c r="M19" s="792">
        <f>J19</f>
        <v>0.1007</v>
      </c>
    </row>
    <row r="20" spans="1:13" ht="15.75" x14ac:dyDescent="0.25">
      <c r="A20" s="788" t="s">
        <v>740</v>
      </c>
      <c r="B20" s="789" t="s">
        <v>230</v>
      </c>
      <c r="C20" s="790">
        <v>1.52E-2</v>
      </c>
      <c r="E20" s="793" t="s">
        <v>230</v>
      </c>
      <c r="F20" s="792">
        <f>C20</f>
        <v>1.52E-2</v>
      </c>
      <c r="H20" s="788" t="s">
        <v>740</v>
      </c>
      <c r="I20" s="789" t="s">
        <v>230</v>
      </c>
      <c r="J20" s="790">
        <v>1.52E-2</v>
      </c>
      <c r="L20" s="793" t="s">
        <v>230</v>
      </c>
      <c r="M20" s="792">
        <f>J20</f>
        <v>1.52E-2</v>
      </c>
    </row>
    <row r="21" spans="1:13" ht="15.75" x14ac:dyDescent="0.25">
      <c r="A21" s="794"/>
      <c r="B21" s="791" t="s">
        <v>741</v>
      </c>
      <c r="C21" s="795">
        <f>SUM(C16:C20)</f>
        <v>1</v>
      </c>
      <c r="E21" s="791" t="s">
        <v>741</v>
      </c>
      <c r="F21" s="796">
        <f>SUM(F17:F20)</f>
        <v>1</v>
      </c>
      <c r="H21" s="794"/>
      <c r="I21" s="791" t="s">
        <v>741</v>
      </c>
      <c r="J21" s="795">
        <f>SUM(J16:J20)</f>
        <v>1</v>
      </c>
      <c r="L21" s="791" t="s">
        <v>741</v>
      </c>
      <c r="M21" s="796">
        <f>SUM(M17:M20)</f>
        <v>1</v>
      </c>
    </row>
    <row r="22" spans="1:13" ht="16.5" thickBot="1" x14ac:dyDescent="0.3">
      <c r="A22" s="797"/>
      <c r="B22" s="798" t="s">
        <v>742</v>
      </c>
      <c r="C22" s="799" t="str">
        <f>IF(C21=0,"",IF(C21=100%,"OK","erro"))</f>
        <v>OK</v>
      </c>
      <c r="D22" s="800"/>
      <c r="E22" s="798" t="s">
        <v>742</v>
      </c>
      <c r="F22" s="799" t="str">
        <f>IF(F21=0,"",IF(F21=100%,"OK","erro"))</f>
        <v>OK</v>
      </c>
      <c r="H22" s="797"/>
      <c r="I22" s="798" t="s">
        <v>742</v>
      </c>
      <c r="J22" s="799" t="str">
        <f>IF(J21=0,"",IF(J21=100%,"OK","erro"))</f>
        <v>OK</v>
      </c>
      <c r="K22" s="800"/>
      <c r="L22" s="798" t="s">
        <v>742</v>
      </c>
      <c r="M22" s="799" t="str">
        <f>IF(M21=0,"",IF(M21=100%,"OK","erro"))</f>
        <v>OK</v>
      </c>
    </row>
    <row r="23" spans="1:13" ht="12" thickBot="1" x14ac:dyDescent="0.25"/>
    <row r="24" spans="1:13" ht="20.25" x14ac:dyDescent="0.3">
      <c r="A24" s="801"/>
      <c r="B24" s="802"/>
      <c r="C24" s="803"/>
      <c r="E24" s="748" t="s">
        <v>752</v>
      </c>
      <c r="F24" s="753"/>
      <c r="H24" s="801"/>
      <c r="I24" s="802"/>
      <c r="J24" s="803"/>
      <c r="L24" s="748" t="s">
        <v>752</v>
      </c>
      <c r="M24" s="753"/>
    </row>
    <row r="25" spans="1:13" x14ac:dyDescent="0.2">
      <c r="A25" s="756"/>
      <c r="C25" s="804"/>
      <c r="E25" s="805"/>
      <c r="F25" s="757"/>
      <c r="H25" s="756"/>
      <c r="J25" s="804"/>
      <c r="L25" s="805"/>
      <c r="M25" s="757"/>
    </row>
    <row r="26" spans="1:13" ht="20.25" x14ac:dyDescent="0.3">
      <c r="A26" s="806" t="s">
        <v>2165</v>
      </c>
      <c r="C26" s="804"/>
      <c r="E26" s="807" t="s">
        <v>765</v>
      </c>
      <c r="F26" s="762"/>
      <c r="H26" s="806" t="s">
        <v>2165</v>
      </c>
      <c r="J26" s="804"/>
      <c r="L26" s="807" t="s">
        <v>765</v>
      </c>
      <c r="M26" s="762"/>
    </row>
    <row r="27" spans="1:13" ht="15.75" x14ac:dyDescent="0.25">
      <c r="A27" s="806"/>
      <c r="C27" s="804"/>
      <c r="E27" s="808" t="s">
        <v>732</v>
      </c>
      <c r="F27" s="809" t="s">
        <v>748</v>
      </c>
      <c r="H27" s="806"/>
      <c r="J27" s="804"/>
      <c r="L27" s="808" t="s">
        <v>732</v>
      </c>
      <c r="M27" s="809" t="s">
        <v>748</v>
      </c>
    </row>
    <row r="28" spans="1:13" ht="15.75" x14ac:dyDescent="0.25">
      <c r="A28" s="806" t="s">
        <v>753</v>
      </c>
      <c r="C28" s="804"/>
      <c r="E28" s="810"/>
      <c r="F28" s="811" t="s">
        <v>751</v>
      </c>
      <c r="H28" s="806" t="s">
        <v>753</v>
      </c>
      <c r="J28" s="804"/>
      <c r="L28" s="810"/>
      <c r="M28" s="811" t="s">
        <v>751</v>
      </c>
    </row>
    <row r="29" spans="1:13" ht="15.75" x14ac:dyDescent="0.25">
      <c r="A29" s="806" t="s">
        <v>754</v>
      </c>
      <c r="C29" s="804"/>
      <c r="E29" s="812"/>
      <c r="F29" s="777"/>
      <c r="H29" s="806" t="s">
        <v>754</v>
      </c>
      <c r="J29" s="804"/>
      <c r="L29" s="812"/>
      <c r="M29" s="777"/>
    </row>
    <row r="30" spans="1:13" ht="15.75" x14ac:dyDescent="0.25">
      <c r="A30" s="806" t="s">
        <v>755</v>
      </c>
      <c r="C30" s="804"/>
      <c r="E30" s="813" t="s">
        <v>233</v>
      </c>
      <c r="F30" s="814">
        <f>ROUND($C32*F17,4)</f>
        <v>0.83809999999999996</v>
      </c>
      <c r="H30" s="806" t="s">
        <v>755</v>
      </c>
      <c r="J30" s="804"/>
      <c r="L30" s="813" t="s">
        <v>233</v>
      </c>
      <c r="M30" s="814">
        <f>ROUND($J32*M17,4)</f>
        <v>0.83899999999999997</v>
      </c>
    </row>
    <row r="31" spans="1:13" x14ac:dyDescent="0.2">
      <c r="A31" s="756"/>
      <c r="C31" s="804"/>
      <c r="E31" s="815"/>
      <c r="F31" s="787"/>
      <c r="H31" s="756"/>
      <c r="J31" s="804"/>
      <c r="L31" s="815"/>
      <c r="M31" s="787"/>
    </row>
    <row r="32" spans="1:13" ht="15.75" x14ac:dyDescent="0.25">
      <c r="A32" s="816" t="s">
        <v>756</v>
      </c>
      <c r="B32" s="817"/>
      <c r="C32" s="795">
        <f>100%-C13</f>
        <v>0.94799999999999995</v>
      </c>
      <c r="E32" s="818" t="s">
        <v>229</v>
      </c>
      <c r="F32" s="819">
        <f>ROUND($C32*F19,4)</f>
        <v>9.5500000000000002E-2</v>
      </c>
      <c r="H32" s="816" t="s">
        <v>756</v>
      </c>
      <c r="I32" s="817"/>
      <c r="J32" s="795">
        <f>100%-J13</f>
        <v>0.94899999999999995</v>
      </c>
      <c r="L32" s="818" t="s">
        <v>229</v>
      </c>
      <c r="M32" s="819">
        <f>ROUND($J32*M19,4)</f>
        <v>9.5600000000000004E-2</v>
      </c>
    </row>
    <row r="33" spans="1:13" ht="15.75" x14ac:dyDescent="0.25">
      <c r="B33" s="820"/>
      <c r="C33" s="821"/>
      <c r="D33" s="822">
        <f>SUM(D28:D32)</f>
        <v>0</v>
      </c>
      <c r="E33" s="823" t="s">
        <v>230</v>
      </c>
      <c r="F33" s="819">
        <f>ROUND($C32*F20,4)</f>
        <v>1.44E-2</v>
      </c>
      <c r="I33" s="820"/>
      <c r="J33" s="821"/>
      <c r="K33" s="822">
        <f>SUM(K28:K32)</f>
        <v>0</v>
      </c>
      <c r="L33" s="823" t="s">
        <v>230</v>
      </c>
      <c r="M33" s="819">
        <f>ROUND($J32*M20,4)</f>
        <v>1.44E-2</v>
      </c>
    </row>
    <row r="34" spans="1:13" ht="15.75" x14ac:dyDescent="0.25">
      <c r="B34" s="820"/>
      <c r="C34" s="821"/>
      <c r="D34" s="824"/>
      <c r="E34" s="825" t="s">
        <v>757</v>
      </c>
      <c r="F34" s="819">
        <f>C13</f>
        <v>5.1999999999999998E-2</v>
      </c>
      <c r="I34" s="820"/>
      <c r="J34" s="821"/>
      <c r="K34" s="824"/>
      <c r="L34" s="825" t="s">
        <v>757</v>
      </c>
      <c r="M34" s="819">
        <f>J13</f>
        <v>5.0999999999999997E-2</v>
      </c>
    </row>
    <row r="35" spans="1:13" ht="15.75" x14ac:dyDescent="0.25">
      <c r="B35" s="820"/>
      <c r="C35" s="821"/>
      <c r="E35" s="825" t="s">
        <v>758</v>
      </c>
      <c r="F35" s="819">
        <f>SUM(F30:F34)</f>
        <v>1</v>
      </c>
      <c r="I35" s="820"/>
      <c r="J35" s="821"/>
      <c r="L35" s="825" t="s">
        <v>758</v>
      </c>
      <c r="M35" s="819">
        <f>SUM(M30:M34)</f>
        <v>1</v>
      </c>
    </row>
    <row r="36" spans="1:13" ht="16.5" thickBot="1" x14ac:dyDescent="0.3">
      <c r="B36" s="820"/>
      <c r="C36" s="821"/>
      <c r="E36" s="826" t="s">
        <v>742</v>
      </c>
      <c r="F36" s="827" t="str">
        <f>IF(F35=0,"",IF(F35=100%,"OK","erro"))</f>
        <v>OK</v>
      </c>
      <c r="I36" s="820"/>
      <c r="J36" s="821"/>
      <c r="L36" s="826" t="s">
        <v>742</v>
      </c>
      <c r="M36" s="827" t="str">
        <f>IF(M35=0,"",IF(M35=100%,"OK","erro"))</f>
        <v>OK</v>
      </c>
    </row>
    <row r="38" spans="1:13" ht="12" thickBot="1" x14ac:dyDescent="0.25"/>
    <row r="39" spans="1:13" ht="18" customHeight="1" x14ac:dyDescent="0.25">
      <c r="A39" s="728" t="s">
        <v>728</v>
      </c>
      <c r="B39" s="729" t="s">
        <v>2169</v>
      </c>
      <c r="C39" s="729"/>
      <c r="D39" s="729"/>
      <c r="E39" s="729"/>
      <c r="F39" s="730"/>
      <c r="H39" s="728" t="s">
        <v>728</v>
      </c>
      <c r="I39" s="729" t="s">
        <v>2169</v>
      </c>
      <c r="J39" s="729"/>
      <c r="K39" s="729"/>
      <c r="L39" s="729"/>
      <c r="M39" s="730"/>
    </row>
    <row r="40" spans="1:13" ht="18" customHeight="1" x14ac:dyDescent="0.25">
      <c r="A40" s="731" t="s">
        <v>729</v>
      </c>
      <c r="B40" s="732" t="s">
        <v>2170</v>
      </c>
      <c r="C40" s="732"/>
      <c r="D40" s="732"/>
      <c r="E40" s="732"/>
      <c r="F40" s="733"/>
      <c r="H40" s="731" t="s">
        <v>729</v>
      </c>
      <c r="I40" s="732" t="s">
        <v>2170</v>
      </c>
      <c r="J40" s="732"/>
      <c r="K40" s="732"/>
      <c r="L40" s="732"/>
      <c r="M40" s="733"/>
    </row>
    <row r="41" spans="1:13" ht="18" customHeight="1" thickBot="1" x14ac:dyDescent="0.3">
      <c r="A41" s="734" t="s">
        <v>730</v>
      </c>
      <c r="B41" s="735" t="s">
        <v>2171</v>
      </c>
      <c r="C41" s="735"/>
      <c r="D41" s="735"/>
      <c r="E41" s="735"/>
      <c r="F41" s="736"/>
      <c r="H41" s="734" t="s">
        <v>730</v>
      </c>
      <c r="I41" s="735" t="s">
        <v>2171</v>
      </c>
      <c r="J41" s="735"/>
      <c r="K41" s="735"/>
      <c r="L41" s="735"/>
      <c r="M41" s="736"/>
    </row>
    <row r="42" spans="1:13" ht="12" thickBot="1" x14ac:dyDescent="0.25"/>
    <row r="43" spans="1:13" ht="20.25" x14ac:dyDescent="0.3">
      <c r="A43" s="737" t="s">
        <v>2182</v>
      </c>
      <c r="B43" s="738" t="s">
        <v>744</v>
      </c>
      <c r="C43" s="739" t="s">
        <v>2278</v>
      </c>
      <c r="D43" s="740"/>
      <c r="E43" s="740"/>
      <c r="F43" s="741"/>
      <c r="H43" s="737" t="s">
        <v>2183</v>
      </c>
      <c r="I43" s="738" t="s">
        <v>744</v>
      </c>
      <c r="J43" s="739" t="s">
        <v>2279</v>
      </c>
      <c r="K43" s="740"/>
      <c r="L43" s="740"/>
      <c r="M43" s="741"/>
    </row>
    <row r="44" spans="1:13" ht="16.5" thickBot="1" x14ac:dyDescent="0.3">
      <c r="A44" s="742"/>
      <c r="B44" s="743" t="s">
        <v>733</v>
      </c>
      <c r="C44" s="744" t="s">
        <v>2166</v>
      </c>
      <c r="D44" s="745"/>
      <c r="E44" s="745"/>
      <c r="F44" s="746"/>
      <c r="H44" s="742"/>
      <c r="I44" s="743" t="s">
        <v>733</v>
      </c>
      <c r="J44" s="744" t="s">
        <v>2166</v>
      </c>
      <c r="K44" s="745"/>
      <c r="L44" s="745"/>
      <c r="M44" s="746"/>
    </row>
    <row r="45" spans="1:13" ht="12" thickBot="1" x14ac:dyDescent="0.25">
      <c r="A45" s="747"/>
      <c r="H45" s="747"/>
    </row>
    <row r="46" spans="1:13" ht="20.45" customHeight="1" x14ac:dyDescent="0.3">
      <c r="A46" s="748" t="s">
        <v>743</v>
      </c>
      <c r="B46" s="749"/>
      <c r="C46" s="750"/>
      <c r="D46" s="751"/>
      <c r="E46" s="752" t="s">
        <v>749</v>
      </c>
      <c r="F46" s="753"/>
      <c r="H46" s="748" t="s">
        <v>743</v>
      </c>
      <c r="I46" s="749"/>
      <c r="J46" s="750"/>
      <c r="K46" s="751"/>
      <c r="L46" s="752" t="s">
        <v>749</v>
      </c>
      <c r="M46" s="753"/>
    </row>
    <row r="47" spans="1:13" ht="15.75" x14ac:dyDescent="0.25">
      <c r="A47" s="754" t="s">
        <v>745</v>
      </c>
      <c r="B47" s="755"/>
      <c r="C47" s="706">
        <v>2.4</v>
      </c>
      <c r="E47" s="756"/>
      <c r="F47" s="757"/>
      <c r="H47" s="754" t="s">
        <v>745</v>
      </c>
      <c r="I47" s="755"/>
      <c r="J47" s="706">
        <v>2.4</v>
      </c>
      <c r="L47" s="756"/>
      <c r="M47" s="757"/>
    </row>
    <row r="48" spans="1:13" ht="20.25" x14ac:dyDescent="0.3">
      <c r="A48" s="758" t="s">
        <v>746</v>
      </c>
      <c r="B48" s="759"/>
      <c r="C48" s="760">
        <v>5.2999999999999999E-2</v>
      </c>
      <c r="E48" s="761" t="s">
        <v>766</v>
      </c>
      <c r="F48" s="762"/>
      <c r="H48" s="758" t="s">
        <v>746</v>
      </c>
      <c r="I48" s="759"/>
      <c r="J48" s="760">
        <v>4.9500000000000002E-2</v>
      </c>
      <c r="L48" s="761" t="s">
        <v>766</v>
      </c>
      <c r="M48" s="762"/>
    </row>
    <row r="49" spans="1:13" ht="15.75" x14ac:dyDescent="0.25">
      <c r="A49" s="763" t="s">
        <v>731</v>
      </c>
      <c r="B49" s="764"/>
      <c r="C49" s="765"/>
      <c r="E49" s="766" t="s">
        <v>732</v>
      </c>
      <c r="F49" s="767" t="s">
        <v>748</v>
      </c>
      <c r="H49" s="763" t="s">
        <v>731</v>
      </c>
      <c r="I49" s="764"/>
      <c r="J49" s="765"/>
      <c r="L49" s="766" t="s">
        <v>732</v>
      </c>
      <c r="M49" s="767" t="s">
        <v>748</v>
      </c>
    </row>
    <row r="50" spans="1:13" ht="15" x14ac:dyDescent="0.2">
      <c r="A50" s="768" t="s">
        <v>732</v>
      </c>
      <c r="B50" s="769" t="s">
        <v>747</v>
      </c>
      <c r="C50" s="770"/>
      <c r="E50" s="771"/>
      <c r="F50" s="772" t="s">
        <v>751</v>
      </c>
      <c r="H50" s="768" t="s">
        <v>732</v>
      </c>
      <c r="I50" s="769" t="s">
        <v>747</v>
      </c>
      <c r="J50" s="770"/>
      <c r="L50" s="771"/>
      <c r="M50" s="772" t="s">
        <v>751</v>
      </c>
    </row>
    <row r="51" spans="1:13" ht="15.75" x14ac:dyDescent="0.25">
      <c r="A51" s="773" t="s">
        <v>734</v>
      </c>
      <c r="B51" s="774" t="s">
        <v>737</v>
      </c>
      <c r="C51" s="775"/>
      <c r="E51" s="776"/>
      <c r="F51" s="777"/>
      <c r="H51" s="773" t="s">
        <v>734</v>
      </c>
      <c r="I51" s="774" t="s">
        <v>737</v>
      </c>
      <c r="J51" s="775"/>
      <c r="L51" s="776"/>
      <c r="M51" s="777"/>
    </row>
    <row r="52" spans="1:13" ht="15.75" x14ac:dyDescent="0.25">
      <c r="A52" s="778"/>
      <c r="B52" s="779" t="s">
        <v>738</v>
      </c>
      <c r="C52" s="780">
        <v>0.8841</v>
      </c>
      <c r="E52" s="781" t="s">
        <v>233</v>
      </c>
      <c r="F52" s="782">
        <f>SUM(C51:C53)</f>
        <v>0.8841</v>
      </c>
      <c r="H52" s="778"/>
      <c r="I52" s="779" t="s">
        <v>738</v>
      </c>
      <c r="J52" s="780">
        <v>0.8841</v>
      </c>
      <c r="L52" s="781" t="s">
        <v>233</v>
      </c>
      <c r="M52" s="782">
        <f>SUM(J51:J53)</f>
        <v>0.8841</v>
      </c>
    </row>
    <row r="53" spans="1:13" ht="15.75" x14ac:dyDescent="0.25">
      <c r="A53" s="783" t="s">
        <v>736</v>
      </c>
      <c r="B53" s="784" t="s">
        <v>739</v>
      </c>
      <c r="C53" s="785"/>
      <c r="E53" s="786"/>
      <c r="F53" s="787"/>
      <c r="H53" s="783" t="s">
        <v>736</v>
      </c>
      <c r="I53" s="784" t="s">
        <v>739</v>
      </c>
      <c r="J53" s="785"/>
      <c r="L53" s="786"/>
      <c r="M53" s="787"/>
    </row>
    <row r="54" spans="1:13" ht="15.75" x14ac:dyDescent="0.25">
      <c r="A54" s="788" t="s">
        <v>229</v>
      </c>
      <c r="B54" s="789" t="s">
        <v>229</v>
      </c>
      <c r="C54" s="790">
        <v>0.1007</v>
      </c>
      <c r="E54" s="791" t="s">
        <v>229</v>
      </c>
      <c r="F54" s="792">
        <f>C54</f>
        <v>0.1007</v>
      </c>
      <c r="H54" s="788" t="s">
        <v>229</v>
      </c>
      <c r="I54" s="789" t="s">
        <v>229</v>
      </c>
      <c r="J54" s="790">
        <v>0.1007</v>
      </c>
      <c r="L54" s="791" t="s">
        <v>229</v>
      </c>
      <c r="M54" s="792">
        <f>J54</f>
        <v>0.1007</v>
      </c>
    </row>
    <row r="55" spans="1:13" ht="15.75" x14ac:dyDescent="0.25">
      <c r="A55" s="788" t="s">
        <v>740</v>
      </c>
      <c r="B55" s="789" t="s">
        <v>230</v>
      </c>
      <c r="C55" s="790">
        <v>1.52E-2</v>
      </c>
      <c r="E55" s="793" t="s">
        <v>230</v>
      </c>
      <c r="F55" s="792">
        <f>C55</f>
        <v>1.52E-2</v>
      </c>
      <c r="H55" s="788" t="s">
        <v>740</v>
      </c>
      <c r="I55" s="789" t="s">
        <v>230</v>
      </c>
      <c r="J55" s="790">
        <v>1.52E-2</v>
      </c>
      <c r="L55" s="793" t="s">
        <v>230</v>
      </c>
      <c r="M55" s="792">
        <f>J55</f>
        <v>1.52E-2</v>
      </c>
    </row>
    <row r="56" spans="1:13" ht="15.75" x14ac:dyDescent="0.25">
      <c r="A56" s="794"/>
      <c r="B56" s="791" t="s">
        <v>741</v>
      </c>
      <c r="C56" s="795">
        <f>SUM(C51:C55)</f>
        <v>1</v>
      </c>
      <c r="E56" s="791" t="s">
        <v>741</v>
      </c>
      <c r="F56" s="796">
        <f>SUM(F52:F55)</f>
        <v>1</v>
      </c>
      <c r="H56" s="794"/>
      <c r="I56" s="791" t="s">
        <v>741</v>
      </c>
      <c r="J56" s="795">
        <f>SUM(J51:J55)</f>
        <v>1</v>
      </c>
      <c r="L56" s="791" t="s">
        <v>741</v>
      </c>
      <c r="M56" s="796">
        <f>SUM(M52:M55)</f>
        <v>1</v>
      </c>
    </row>
    <row r="57" spans="1:13" ht="16.5" thickBot="1" x14ac:dyDescent="0.3">
      <c r="A57" s="797"/>
      <c r="B57" s="798" t="s">
        <v>742</v>
      </c>
      <c r="C57" s="799" t="str">
        <f>IF(C56=0,"",IF(C56=100%,"OK","erro"))</f>
        <v>OK</v>
      </c>
      <c r="D57" s="800"/>
      <c r="E57" s="798" t="s">
        <v>742</v>
      </c>
      <c r="F57" s="799" t="str">
        <f>IF(F56=0,"",IF(F56=100%,"OK","erro"))</f>
        <v>OK</v>
      </c>
      <c r="H57" s="797"/>
      <c r="I57" s="798" t="s">
        <v>742</v>
      </c>
      <c r="J57" s="799" t="str">
        <f>IF(J56=0,"",IF(J56=100%,"OK","erro"))</f>
        <v>OK</v>
      </c>
      <c r="K57" s="800"/>
      <c r="L57" s="798" t="s">
        <v>742</v>
      </c>
      <c r="M57" s="799" t="str">
        <f>IF(M56=0,"",IF(M56=100%,"OK","erro"))</f>
        <v>OK</v>
      </c>
    </row>
    <row r="58" spans="1:13" ht="12" thickBot="1" x14ac:dyDescent="0.25"/>
    <row r="59" spans="1:13" ht="20.25" x14ac:dyDescent="0.3">
      <c r="A59" s="801"/>
      <c r="B59" s="802"/>
      <c r="C59" s="803"/>
      <c r="E59" s="748" t="s">
        <v>752</v>
      </c>
      <c r="F59" s="753"/>
      <c r="H59" s="801"/>
      <c r="I59" s="802"/>
      <c r="J59" s="803"/>
      <c r="L59" s="748" t="s">
        <v>752</v>
      </c>
      <c r="M59" s="753"/>
    </row>
    <row r="60" spans="1:13" x14ac:dyDescent="0.2">
      <c r="A60" s="756"/>
      <c r="C60" s="804"/>
      <c r="E60" s="805"/>
      <c r="F60" s="757"/>
      <c r="H60" s="756"/>
      <c r="J60" s="804"/>
      <c r="L60" s="805"/>
      <c r="M60" s="757"/>
    </row>
    <row r="61" spans="1:13" ht="20.25" x14ac:dyDescent="0.3">
      <c r="A61" s="806" t="s">
        <v>2165</v>
      </c>
      <c r="C61" s="804"/>
      <c r="E61" s="807" t="s">
        <v>765</v>
      </c>
      <c r="F61" s="762"/>
      <c r="H61" s="806" t="s">
        <v>2165</v>
      </c>
      <c r="J61" s="804"/>
      <c r="L61" s="807" t="s">
        <v>765</v>
      </c>
      <c r="M61" s="762"/>
    </row>
    <row r="62" spans="1:13" ht="15.75" x14ac:dyDescent="0.25">
      <c r="A62" s="806"/>
      <c r="C62" s="804"/>
      <c r="E62" s="808" t="s">
        <v>732</v>
      </c>
      <c r="F62" s="809" t="s">
        <v>748</v>
      </c>
      <c r="H62" s="806"/>
      <c r="J62" s="804"/>
      <c r="L62" s="808" t="s">
        <v>732</v>
      </c>
      <c r="M62" s="809" t="s">
        <v>748</v>
      </c>
    </row>
    <row r="63" spans="1:13" ht="15.75" x14ac:dyDescent="0.25">
      <c r="A63" s="806" t="s">
        <v>753</v>
      </c>
      <c r="C63" s="804"/>
      <c r="E63" s="810"/>
      <c r="F63" s="811" t="s">
        <v>751</v>
      </c>
      <c r="H63" s="806" t="s">
        <v>753</v>
      </c>
      <c r="J63" s="804"/>
      <c r="L63" s="810"/>
      <c r="M63" s="811" t="s">
        <v>751</v>
      </c>
    </row>
    <row r="64" spans="1:13" ht="15.75" x14ac:dyDescent="0.25">
      <c r="A64" s="806" t="s">
        <v>754</v>
      </c>
      <c r="C64" s="804"/>
      <c r="E64" s="812"/>
      <c r="F64" s="777"/>
      <c r="H64" s="806" t="s">
        <v>754</v>
      </c>
      <c r="J64" s="804"/>
      <c r="L64" s="812"/>
      <c r="M64" s="777"/>
    </row>
    <row r="65" spans="1:13" ht="15.75" x14ac:dyDescent="0.25">
      <c r="A65" s="806" t="s">
        <v>755</v>
      </c>
      <c r="C65" s="804"/>
      <c r="E65" s="813" t="s">
        <v>233</v>
      </c>
      <c r="F65" s="814">
        <f>ROUND($C67*F52,4)</f>
        <v>0.83720000000000006</v>
      </c>
      <c r="H65" s="806" t="s">
        <v>755</v>
      </c>
      <c r="J65" s="804"/>
      <c r="L65" s="813" t="s">
        <v>233</v>
      </c>
      <c r="M65" s="814">
        <f>ROUNDUP($J67*M52,4)</f>
        <v>0.84040000000000004</v>
      </c>
    </row>
    <row r="66" spans="1:13" x14ac:dyDescent="0.2">
      <c r="A66" s="756"/>
      <c r="C66" s="804"/>
      <c r="E66" s="815"/>
      <c r="F66" s="787"/>
      <c r="H66" s="756"/>
      <c r="J66" s="804"/>
      <c r="L66" s="815"/>
      <c r="M66" s="787"/>
    </row>
    <row r="67" spans="1:13" ht="15.75" x14ac:dyDescent="0.25">
      <c r="A67" s="816" t="s">
        <v>756</v>
      </c>
      <c r="B67" s="817"/>
      <c r="C67" s="795">
        <f>100%-C48</f>
        <v>0.94699999999999995</v>
      </c>
      <c r="E67" s="818" t="s">
        <v>229</v>
      </c>
      <c r="F67" s="819">
        <f>ROUND($C67*F54,4)</f>
        <v>9.5399999999999999E-2</v>
      </c>
      <c r="H67" s="816" t="s">
        <v>756</v>
      </c>
      <c r="I67" s="817"/>
      <c r="J67" s="795">
        <f>100%-J48</f>
        <v>0.95050000000000001</v>
      </c>
      <c r="L67" s="818" t="s">
        <v>229</v>
      </c>
      <c r="M67" s="819">
        <f>ROUND($J67*M54,4)</f>
        <v>9.5699999999999993E-2</v>
      </c>
    </row>
    <row r="68" spans="1:13" ht="15.75" x14ac:dyDescent="0.25">
      <c r="B68" s="820"/>
      <c r="C68" s="821"/>
      <c r="D68" s="822">
        <f>SUM(D63:D67)</f>
        <v>0</v>
      </c>
      <c r="E68" s="823" t="s">
        <v>230</v>
      </c>
      <c r="F68" s="819">
        <f>ROUND($C67*F55,4)</f>
        <v>1.44E-2</v>
      </c>
      <c r="I68" s="820"/>
      <c r="J68" s="821"/>
      <c r="K68" s="822">
        <f>SUM(K63:K67)</f>
        <v>0</v>
      </c>
      <c r="L68" s="823" t="s">
        <v>230</v>
      </c>
      <c r="M68" s="819">
        <f>ROUND($J67*M55,4)</f>
        <v>1.44E-2</v>
      </c>
    </row>
    <row r="69" spans="1:13" ht="15.75" x14ac:dyDescent="0.25">
      <c r="B69" s="820"/>
      <c r="C69" s="821"/>
      <c r="D69" s="824"/>
      <c r="E69" s="825" t="s">
        <v>757</v>
      </c>
      <c r="F69" s="819">
        <f>C48</f>
        <v>5.2999999999999999E-2</v>
      </c>
      <c r="I69" s="820"/>
      <c r="J69" s="821"/>
      <c r="K69" s="824"/>
      <c r="L69" s="825" t="s">
        <v>757</v>
      </c>
      <c r="M69" s="819">
        <f>J48</f>
        <v>4.9500000000000002E-2</v>
      </c>
    </row>
    <row r="70" spans="1:13" ht="15.75" x14ac:dyDescent="0.25">
      <c r="B70" s="820"/>
      <c r="C70" s="821"/>
      <c r="E70" s="825" t="s">
        <v>758</v>
      </c>
      <c r="F70" s="819">
        <f>SUM(F65:F69)</f>
        <v>1</v>
      </c>
      <c r="I70" s="820"/>
      <c r="J70" s="821"/>
      <c r="L70" s="825" t="s">
        <v>758</v>
      </c>
      <c r="M70" s="819">
        <f>SUM(M65:M69)</f>
        <v>1</v>
      </c>
    </row>
    <row r="71" spans="1:13" ht="16.5" thickBot="1" x14ac:dyDescent="0.3">
      <c r="B71" s="820"/>
      <c r="C71" s="821"/>
      <c r="E71" s="826" t="s">
        <v>742</v>
      </c>
      <c r="F71" s="827" t="str">
        <f>IF(F70=0,"",IF(F70=100%,"OK","erro"))</f>
        <v>OK</v>
      </c>
      <c r="I71" s="820"/>
      <c r="J71" s="821"/>
      <c r="L71" s="826" t="s">
        <v>742</v>
      </c>
      <c r="M71" s="827" t="str">
        <f>IF(M70=0,"",IF(M70=100%,"OK","erro"))</f>
        <v>OK</v>
      </c>
    </row>
    <row r="74" spans="1:13" ht="12" thickBot="1" x14ac:dyDescent="0.25"/>
    <row r="75" spans="1:13" ht="18" customHeight="1" x14ac:dyDescent="0.25">
      <c r="A75" s="728" t="s">
        <v>728</v>
      </c>
      <c r="B75" s="729" t="s">
        <v>2169</v>
      </c>
      <c r="C75" s="729"/>
      <c r="D75" s="729"/>
      <c r="E75" s="729"/>
      <c r="F75" s="730"/>
      <c r="H75" s="728" t="s">
        <v>728</v>
      </c>
      <c r="I75" s="729" t="s">
        <v>2169</v>
      </c>
      <c r="J75" s="729"/>
      <c r="K75" s="729"/>
      <c r="L75" s="729"/>
      <c r="M75" s="730"/>
    </row>
    <row r="76" spans="1:13" ht="18" customHeight="1" x14ac:dyDescent="0.25">
      <c r="A76" s="731" t="s">
        <v>729</v>
      </c>
      <c r="B76" s="732" t="s">
        <v>2170</v>
      </c>
      <c r="C76" s="732"/>
      <c r="D76" s="732"/>
      <c r="E76" s="732"/>
      <c r="F76" s="733"/>
      <c r="H76" s="731" t="s">
        <v>729</v>
      </c>
      <c r="I76" s="732" t="s">
        <v>2170</v>
      </c>
      <c r="J76" s="732"/>
      <c r="K76" s="732"/>
      <c r="L76" s="732"/>
      <c r="M76" s="733"/>
    </row>
    <row r="77" spans="1:13" ht="18" customHeight="1" thickBot="1" x14ac:dyDescent="0.3">
      <c r="A77" s="734" t="s">
        <v>730</v>
      </c>
      <c r="B77" s="735" t="s">
        <v>2171</v>
      </c>
      <c r="C77" s="735"/>
      <c r="D77" s="735"/>
      <c r="E77" s="735"/>
      <c r="F77" s="736"/>
      <c r="H77" s="734" t="s">
        <v>730</v>
      </c>
      <c r="I77" s="735" t="s">
        <v>2171</v>
      </c>
      <c r="J77" s="735"/>
      <c r="K77" s="735"/>
      <c r="L77" s="735"/>
      <c r="M77" s="736"/>
    </row>
    <row r="78" spans="1:13" ht="12" thickBot="1" x14ac:dyDescent="0.25"/>
    <row r="79" spans="1:13" ht="20.25" x14ac:dyDescent="0.3">
      <c r="A79" s="737" t="s">
        <v>2184</v>
      </c>
      <c r="B79" s="738" t="s">
        <v>744</v>
      </c>
      <c r="C79" s="739" t="s">
        <v>2280</v>
      </c>
      <c r="D79" s="740"/>
      <c r="E79" s="740"/>
      <c r="F79" s="741"/>
      <c r="H79" s="1290" t="s">
        <v>2282</v>
      </c>
      <c r="I79" s="738" t="s">
        <v>744</v>
      </c>
      <c r="J79" s="739" t="s">
        <v>2276</v>
      </c>
      <c r="K79" s="740"/>
      <c r="L79" s="740"/>
      <c r="M79" s="741"/>
    </row>
    <row r="80" spans="1:13" ht="16.5" thickBot="1" x14ac:dyDescent="0.3">
      <c r="A80" s="742"/>
      <c r="B80" s="743" t="s">
        <v>733</v>
      </c>
      <c r="C80" s="744" t="s">
        <v>2166</v>
      </c>
      <c r="D80" s="745"/>
      <c r="E80" s="745"/>
      <c r="F80" s="746"/>
      <c r="H80" s="1289" t="s">
        <v>2281</v>
      </c>
      <c r="I80" s="743" t="s">
        <v>733</v>
      </c>
      <c r="J80" s="744" t="s">
        <v>2166</v>
      </c>
      <c r="K80" s="745"/>
      <c r="L80" s="745"/>
      <c r="M80" s="746"/>
    </row>
    <row r="81" spans="1:13" ht="12" thickBot="1" x14ac:dyDescent="0.25">
      <c r="A81" s="747"/>
      <c r="H81" s="747"/>
    </row>
    <row r="82" spans="1:13" ht="20.45" customHeight="1" x14ac:dyDescent="0.3">
      <c r="A82" s="748" t="s">
        <v>743</v>
      </c>
      <c r="B82" s="749"/>
      <c r="C82" s="750"/>
      <c r="D82" s="751"/>
      <c r="E82" s="752" t="s">
        <v>749</v>
      </c>
      <c r="F82" s="753"/>
      <c r="H82" s="748" t="s">
        <v>743</v>
      </c>
      <c r="I82" s="749"/>
      <c r="J82" s="750"/>
      <c r="K82" s="751"/>
      <c r="L82" s="752" t="s">
        <v>749</v>
      </c>
      <c r="M82" s="753"/>
    </row>
    <row r="83" spans="1:13" ht="15.75" x14ac:dyDescent="0.25">
      <c r="A83" s="754" t="s">
        <v>745</v>
      </c>
      <c r="B83" s="755"/>
      <c r="C83" s="706">
        <v>2.4</v>
      </c>
      <c r="E83" s="756"/>
      <c r="F83" s="757"/>
      <c r="H83" s="754" t="s">
        <v>745</v>
      </c>
      <c r="I83" s="1291"/>
      <c r="J83" s="706">
        <v>2.4</v>
      </c>
      <c r="L83" s="756"/>
      <c r="M83" s="757"/>
    </row>
    <row r="84" spans="1:13" ht="20.25" x14ac:dyDescent="0.3">
      <c r="A84" s="758" t="s">
        <v>746</v>
      </c>
      <c r="B84" s="759"/>
      <c r="C84" s="760">
        <v>4.9000000000000002E-2</v>
      </c>
      <c r="E84" s="761" t="s">
        <v>766</v>
      </c>
      <c r="F84" s="762"/>
      <c r="H84" s="758" t="s">
        <v>746</v>
      </c>
      <c r="I84" s="759"/>
      <c r="J84" s="760">
        <v>0.05</v>
      </c>
      <c r="L84" s="761" t="s">
        <v>766</v>
      </c>
      <c r="M84" s="762"/>
    </row>
    <row r="85" spans="1:13" ht="15.75" x14ac:dyDescent="0.25">
      <c r="A85" s="763" t="s">
        <v>731</v>
      </c>
      <c r="B85" s="764"/>
      <c r="C85" s="765"/>
      <c r="E85" s="766" t="s">
        <v>732</v>
      </c>
      <c r="F85" s="767" t="s">
        <v>748</v>
      </c>
      <c r="H85" s="763" t="s">
        <v>731</v>
      </c>
      <c r="I85" s="764"/>
      <c r="J85" s="765"/>
      <c r="L85" s="766" t="s">
        <v>732</v>
      </c>
      <c r="M85" s="767" t="s">
        <v>748</v>
      </c>
    </row>
    <row r="86" spans="1:13" ht="15" x14ac:dyDescent="0.2">
      <c r="A86" s="768" t="s">
        <v>732</v>
      </c>
      <c r="B86" s="769" t="s">
        <v>747</v>
      </c>
      <c r="C86" s="770"/>
      <c r="E86" s="771"/>
      <c r="F86" s="772" t="s">
        <v>751</v>
      </c>
      <c r="H86" s="768" t="s">
        <v>732</v>
      </c>
      <c r="I86" s="769" t="s">
        <v>747</v>
      </c>
      <c r="J86" s="770"/>
      <c r="L86" s="771"/>
      <c r="M86" s="772" t="s">
        <v>751</v>
      </c>
    </row>
    <row r="87" spans="1:13" ht="15.75" x14ac:dyDescent="0.25">
      <c r="A87" s="773" t="s">
        <v>734</v>
      </c>
      <c r="B87" s="774" t="s">
        <v>737</v>
      </c>
      <c r="C87" s="775"/>
      <c r="E87" s="776"/>
      <c r="F87" s="777"/>
      <c r="H87" s="773" t="s">
        <v>734</v>
      </c>
      <c r="I87" s="774" t="s">
        <v>737</v>
      </c>
      <c r="J87" s="775"/>
      <c r="L87" s="776"/>
      <c r="M87" s="777"/>
    </row>
    <row r="88" spans="1:13" ht="15.75" x14ac:dyDescent="0.25">
      <c r="A88" s="778"/>
      <c r="B88" s="779" t="s">
        <v>738</v>
      </c>
      <c r="C88" s="780">
        <v>0.8841</v>
      </c>
      <c r="E88" s="781" t="s">
        <v>233</v>
      </c>
      <c r="F88" s="782">
        <f>SUM(C87:C89)</f>
        <v>0.8841</v>
      </c>
      <c r="H88" s="778"/>
      <c r="I88" s="779" t="s">
        <v>738</v>
      </c>
      <c r="J88" s="780">
        <v>0.8841</v>
      </c>
      <c r="L88" s="781" t="s">
        <v>233</v>
      </c>
      <c r="M88" s="782">
        <f>SUM(J87:J89)</f>
        <v>0.8841</v>
      </c>
    </row>
    <row r="89" spans="1:13" ht="15.75" x14ac:dyDescent="0.25">
      <c r="A89" s="783" t="s">
        <v>736</v>
      </c>
      <c r="B89" s="784" t="s">
        <v>739</v>
      </c>
      <c r="C89" s="785"/>
      <c r="E89" s="786"/>
      <c r="F89" s="787"/>
      <c r="H89" s="783" t="s">
        <v>736</v>
      </c>
      <c r="I89" s="784" t="s">
        <v>739</v>
      </c>
      <c r="J89" s="785"/>
      <c r="L89" s="786"/>
      <c r="M89" s="787"/>
    </row>
    <row r="90" spans="1:13" ht="15.75" x14ac:dyDescent="0.25">
      <c r="A90" s="788" t="s">
        <v>229</v>
      </c>
      <c r="B90" s="789" t="s">
        <v>229</v>
      </c>
      <c r="C90" s="790">
        <v>0.1007</v>
      </c>
      <c r="E90" s="791" t="s">
        <v>229</v>
      </c>
      <c r="F90" s="792">
        <f>C90</f>
        <v>0.1007</v>
      </c>
      <c r="H90" s="788" t="s">
        <v>229</v>
      </c>
      <c r="I90" s="789" t="s">
        <v>229</v>
      </c>
      <c r="J90" s="790">
        <v>0.1007</v>
      </c>
      <c r="L90" s="791" t="s">
        <v>229</v>
      </c>
      <c r="M90" s="792">
        <f>J90</f>
        <v>0.1007</v>
      </c>
    </row>
    <row r="91" spans="1:13" ht="15.75" x14ac:dyDescent="0.25">
      <c r="A91" s="788" t="s">
        <v>740</v>
      </c>
      <c r="B91" s="789" t="s">
        <v>230</v>
      </c>
      <c r="C91" s="790">
        <v>1.52E-2</v>
      </c>
      <c r="E91" s="793" t="s">
        <v>230</v>
      </c>
      <c r="F91" s="792">
        <f>C91</f>
        <v>1.52E-2</v>
      </c>
      <c r="H91" s="788" t="s">
        <v>740</v>
      </c>
      <c r="I91" s="789" t="s">
        <v>230</v>
      </c>
      <c r="J91" s="790">
        <v>1.52E-2</v>
      </c>
      <c r="L91" s="793" t="s">
        <v>230</v>
      </c>
      <c r="M91" s="792">
        <f>J91</f>
        <v>1.52E-2</v>
      </c>
    </row>
    <row r="92" spans="1:13" ht="15.75" x14ac:dyDescent="0.25">
      <c r="A92" s="794"/>
      <c r="B92" s="791" t="s">
        <v>741</v>
      </c>
      <c r="C92" s="795">
        <f>SUM(C87:C91)</f>
        <v>1</v>
      </c>
      <c r="E92" s="791" t="s">
        <v>741</v>
      </c>
      <c r="F92" s="796">
        <f>SUM(F88:F91)</f>
        <v>1</v>
      </c>
      <c r="H92" s="794"/>
      <c r="I92" s="791" t="s">
        <v>741</v>
      </c>
      <c r="J92" s="795">
        <f>SUM(J87:J91)</f>
        <v>1</v>
      </c>
      <c r="L92" s="791" t="s">
        <v>741</v>
      </c>
      <c r="M92" s="796">
        <f>SUM(M88:M91)</f>
        <v>1</v>
      </c>
    </row>
    <row r="93" spans="1:13" ht="16.5" thickBot="1" x14ac:dyDescent="0.3">
      <c r="A93" s="797"/>
      <c r="B93" s="798" t="s">
        <v>742</v>
      </c>
      <c r="C93" s="799" t="str">
        <f>IF(C92=0,"",IF(C92=100%,"OK","erro"))</f>
        <v>OK</v>
      </c>
      <c r="D93" s="800"/>
      <c r="E93" s="798" t="s">
        <v>742</v>
      </c>
      <c r="F93" s="799" t="str">
        <f>IF(F92=0,"",IF(F92=100%,"OK","erro"))</f>
        <v>OK</v>
      </c>
      <c r="H93" s="797"/>
      <c r="I93" s="798" t="s">
        <v>742</v>
      </c>
      <c r="J93" s="799" t="str">
        <f>IF(J92=0,"",IF(J92=100%,"OK","erro"))</f>
        <v>OK</v>
      </c>
      <c r="K93" s="800"/>
      <c r="L93" s="798" t="s">
        <v>742</v>
      </c>
      <c r="M93" s="799" t="str">
        <f>IF(M92=0,"",IF(M92=100%,"OK","erro"))</f>
        <v>OK</v>
      </c>
    </row>
    <row r="94" spans="1:13" ht="12" thickBot="1" x14ac:dyDescent="0.25"/>
    <row r="95" spans="1:13" ht="20.25" x14ac:dyDescent="0.3">
      <c r="A95" s="801"/>
      <c r="B95" s="802"/>
      <c r="C95" s="803"/>
      <c r="E95" s="748" t="s">
        <v>752</v>
      </c>
      <c r="F95" s="753"/>
      <c r="H95" s="801"/>
      <c r="I95" s="802"/>
      <c r="J95" s="803"/>
      <c r="L95" s="748" t="s">
        <v>752</v>
      </c>
      <c r="M95" s="753"/>
    </row>
    <row r="96" spans="1:13" x14ac:dyDescent="0.2">
      <c r="A96" s="756"/>
      <c r="C96" s="804"/>
      <c r="E96" s="805"/>
      <c r="F96" s="757"/>
      <c r="H96" s="756"/>
      <c r="J96" s="804"/>
      <c r="L96" s="805"/>
      <c r="M96" s="757"/>
    </row>
    <row r="97" spans="1:13" ht="20.25" x14ac:dyDescent="0.3">
      <c r="A97" s="806" t="s">
        <v>2165</v>
      </c>
      <c r="C97" s="804"/>
      <c r="E97" s="807" t="s">
        <v>765</v>
      </c>
      <c r="F97" s="762"/>
      <c r="H97" s="806" t="s">
        <v>2165</v>
      </c>
      <c r="J97" s="804"/>
      <c r="L97" s="807" t="s">
        <v>765</v>
      </c>
      <c r="M97" s="762"/>
    </row>
    <row r="98" spans="1:13" ht="15.75" x14ac:dyDescent="0.25">
      <c r="A98" s="806"/>
      <c r="C98" s="804"/>
      <c r="E98" s="808" t="s">
        <v>732</v>
      </c>
      <c r="F98" s="809" t="s">
        <v>748</v>
      </c>
      <c r="H98" s="806"/>
      <c r="J98" s="804"/>
      <c r="L98" s="808" t="s">
        <v>732</v>
      </c>
      <c r="M98" s="809" t="s">
        <v>748</v>
      </c>
    </row>
    <row r="99" spans="1:13" ht="15.75" x14ac:dyDescent="0.25">
      <c r="A99" s="806" t="s">
        <v>753</v>
      </c>
      <c r="C99" s="804"/>
      <c r="E99" s="810"/>
      <c r="F99" s="811" t="s">
        <v>751</v>
      </c>
      <c r="H99" s="806" t="s">
        <v>753</v>
      </c>
      <c r="J99" s="804"/>
      <c r="L99" s="810"/>
      <c r="M99" s="811" t="s">
        <v>751</v>
      </c>
    </row>
    <row r="100" spans="1:13" ht="15.75" x14ac:dyDescent="0.25">
      <c r="A100" s="806" t="s">
        <v>754</v>
      </c>
      <c r="C100" s="804"/>
      <c r="E100" s="812"/>
      <c r="F100" s="777"/>
      <c r="H100" s="806" t="s">
        <v>754</v>
      </c>
      <c r="J100" s="804"/>
      <c r="L100" s="812"/>
      <c r="M100" s="777"/>
    </row>
    <row r="101" spans="1:13" ht="15.75" x14ac:dyDescent="0.25">
      <c r="A101" s="806" t="s">
        <v>755</v>
      </c>
      <c r="C101" s="804"/>
      <c r="E101" s="813" t="s">
        <v>233</v>
      </c>
      <c r="F101" s="814">
        <f>ROUNDDOWN($C103*F88,4)</f>
        <v>0.8407</v>
      </c>
      <c r="H101" s="806" t="s">
        <v>755</v>
      </c>
      <c r="J101" s="804"/>
      <c r="L101" s="813" t="s">
        <v>233</v>
      </c>
      <c r="M101" s="814">
        <f>ROUND($J103*M88,4)</f>
        <v>0.83989999999999998</v>
      </c>
    </row>
    <row r="102" spans="1:13" x14ac:dyDescent="0.2">
      <c r="A102" s="756"/>
      <c r="C102" s="804"/>
      <c r="E102" s="815"/>
      <c r="F102" s="787"/>
      <c r="H102" s="756"/>
      <c r="J102" s="804"/>
      <c r="L102" s="815"/>
      <c r="M102" s="787"/>
    </row>
    <row r="103" spans="1:13" ht="15.75" x14ac:dyDescent="0.25">
      <c r="A103" s="816" t="s">
        <v>756</v>
      </c>
      <c r="B103" s="817"/>
      <c r="C103" s="795">
        <f>100%-C84</f>
        <v>0.95099999999999996</v>
      </c>
      <c r="E103" s="818" t="s">
        <v>229</v>
      </c>
      <c r="F103" s="819">
        <f>ROUND($C103*F90,4)</f>
        <v>9.5799999999999996E-2</v>
      </c>
      <c r="H103" s="816" t="s">
        <v>756</v>
      </c>
      <c r="I103" s="817"/>
      <c r="J103" s="795">
        <f>100%-J84</f>
        <v>0.95</v>
      </c>
      <c r="L103" s="818" t="s">
        <v>229</v>
      </c>
      <c r="M103" s="819">
        <f>ROUND($J103*M90,4)</f>
        <v>9.5699999999999993E-2</v>
      </c>
    </row>
    <row r="104" spans="1:13" ht="15.75" x14ac:dyDescent="0.25">
      <c r="B104" s="820"/>
      <c r="C104" s="821"/>
      <c r="D104" s="822">
        <f>SUM(D99:D103)</f>
        <v>0</v>
      </c>
      <c r="E104" s="823" t="s">
        <v>230</v>
      </c>
      <c r="F104" s="819">
        <f>ROUND($C103*F91,4)</f>
        <v>1.4500000000000001E-2</v>
      </c>
      <c r="I104" s="820"/>
      <c r="J104" s="821"/>
      <c r="K104" s="822">
        <f>SUM(K99:K103)</f>
        <v>0</v>
      </c>
      <c r="L104" s="823" t="s">
        <v>230</v>
      </c>
      <c r="M104" s="819">
        <f>ROUND($J103*M91,4)</f>
        <v>1.44E-2</v>
      </c>
    </row>
    <row r="105" spans="1:13" ht="15.75" x14ac:dyDescent="0.25">
      <c r="B105" s="820"/>
      <c r="C105" s="821"/>
      <c r="D105" s="824"/>
      <c r="E105" s="825" t="s">
        <v>757</v>
      </c>
      <c r="F105" s="819">
        <f>C84</f>
        <v>4.9000000000000002E-2</v>
      </c>
      <c r="I105" s="820"/>
      <c r="J105" s="821"/>
      <c r="K105" s="824"/>
      <c r="L105" s="825" t="s">
        <v>757</v>
      </c>
      <c r="M105" s="819">
        <f>J84</f>
        <v>0.05</v>
      </c>
    </row>
    <row r="106" spans="1:13" ht="15.75" x14ac:dyDescent="0.25">
      <c r="B106" s="820"/>
      <c r="C106" s="821"/>
      <c r="E106" s="825" t="s">
        <v>758</v>
      </c>
      <c r="F106" s="819">
        <f>SUM(F101:F105)</f>
        <v>1</v>
      </c>
      <c r="I106" s="820"/>
      <c r="J106" s="821"/>
      <c r="L106" s="825" t="s">
        <v>758</v>
      </c>
      <c r="M106" s="819">
        <f>SUM(M101:M105)</f>
        <v>1</v>
      </c>
    </row>
    <row r="107" spans="1:13" ht="16.5" thickBot="1" x14ac:dyDescent="0.3">
      <c r="B107" s="820"/>
      <c r="C107" s="821"/>
      <c r="E107" s="826" t="s">
        <v>742</v>
      </c>
      <c r="F107" s="827" t="str">
        <f>IF(F106=0,"",IF(F106=100%,"OK","erro"))</f>
        <v>OK</v>
      </c>
      <c r="I107" s="820"/>
      <c r="J107" s="821"/>
      <c r="L107" s="826" t="s">
        <v>742</v>
      </c>
      <c r="M107" s="827" t="str">
        <f>IF(M106=0,"",IF(M106=100%,"OK","erro"))</f>
        <v>OK</v>
      </c>
    </row>
    <row r="110" spans="1:13" ht="12" thickBot="1" x14ac:dyDescent="0.25"/>
    <row r="111" spans="1:13" ht="18" customHeight="1" x14ac:dyDescent="0.25">
      <c r="A111" s="728" t="s">
        <v>728</v>
      </c>
      <c r="B111" s="729"/>
      <c r="C111" s="729"/>
      <c r="D111" s="729"/>
      <c r="E111" s="729"/>
      <c r="F111" s="730"/>
      <c r="H111" s="728" t="s">
        <v>728</v>
      </c>
      <c r="I111" s="729"/>
      <c r="J111" s="729"/>
      <c r="K111" s="729"/>
      <c r="L111" s="729"/>
      <c r="M111" s="730"/>
    </row>
    <row r="112" spans="1:13" ht="18" customHeight="1" x14ac:dyDescent="0.25">
      <c r="A112" s="731" t="s">
        <v>729</v>
      </c>
      <c r="B112" s="732"/>
      <c r="C112" s="732"/>
      <c r="D112" s="732"/>
      <c r="E112" s="732"/>
      <c r="F112" s="733"/>
      <c r="H112" s="731" t="s">
        <v>729</v>
      </c>
      <c r="I112" s="732"/>
      <c r="J112" s="732"/>
      <c r="K112" s="732"/>
      <c r="L112" s="732"/>
      <c r="M112" s="733"/>
    </row>
    <row r="113" spans="1:13" ht="18" customHeight="1" thickBot="1" x14ac:dyDescent="0.3">
      <c r="A113" s="734" t="s">
        <v>730</v>
      </c>
      <c r="B113" s="735"/>
      <c r="C113" s="735"/>
      <c r="D113" s="735"/>
      <c r="E113" s="735"/>
      <c r="F113" s="736"/>
      <c r="H113" s="734" t="s">
        <v>730</v>
      </c>
      <c r="I113" s="735"/>
      <c r="J113" s="735"/>
      <c r="K113" s="735"/>
      <c r="L113" s="735"/>
      <c r="M113" s="736"/>
    </row>
    <row r="114" spans="1:13" ht="12" thickBot="1" x14ac:dyDescent="0.25"/>
    <row r="115" spans="1:13" ht="20.25" x14ac:dyDescent="0.3">
      <c r="A115" s="737" t="s">
        <v>2185</v>
      </c>
      <c r="B115" s="738" t="s">
        <v>744</v>
      </c>
      <c r="C115" s="739" t="s">
        <v>2185</v>
      </c>
      <c r="D115" s="740"/>
      <c r="E115" s="740"/>
      <c r="F115" s="741"/>
      <c r="H115" s="737" t="s">
        <v>2186</v>
      </c>
      <c r="I115" s="738" t="s">
        <v>744</v>
      </c>
      <c r="J115" s="739" t="s">
        <v>2186</v>
      </c>
      <c r="K115" s="740"/>
      <c r="L115" s="740"/>
      <c r="M115" s="741"/>
    </row>
    <row r="116" spans="1:13" ht="16.5" thickBot="1" x14ac:dyDescent="0.3">
      <c r="A116" s="828" t="s">
        <v>2190</v>
      </c>
      <c r="B116" s="743" t="s">
        <v>733</v>
      </c>
      <c r="C116" s="744" t="s">
        <v>2176</v>
      </c>
      <c r="D116" s="745"/>
      <c r="E116" s="745"/>
      <c r="F116" s="746"/>
      <c r="H116" s="828" t="s">
        <v>2190</v>
      </c>
      <c r="I116" s="743" t="s">
        <v>733</v>
      </c>
      <c r="J116" s="744" t="s">
        <v>2176</v>
      </c>
      <c r="K116" s="745"/>
      <c r="L116" s="745"/>
      <c r="M116" s="746"/>
    </row>
    <row r="117" spans="1:13" ht="12" thickBot="1" x14ac:dyDescent="0.25">
      <c r="A117" s="747"/>
      <c r="H117" s="747"/>
    </row>
    <row r="118" spans="1:13" ht="20.25" x14ac:dyDescent="0.3">
      <c r="A118" s="748" t="s">
        <v>743</v>
      </c>
      <c r="B118" s="749"/>
      <c r="C118" s="750"/>
      <c r="D118" s="751"/>
      <c r="E118" s="752" t="s">
        <v>749</v>
      </c>
      <c r="F118" s="753"/>
      <c r="H118" s="748" t="s">
        <v>743</v>
      </c>
      <c r="I118" s="749"/>
      <c r="J118" s="750"/>
      <c r="K118" s="751"/>
      <c r="L118" s="752" t="s">
        <v>749</v>
      </c>
      <c r="M118" s="753"/>
    </row>
    <row r="119" spans="1:13" ht="15.75" x14ac:dyDescent="0.25">
      <c r="A119" s="754" t="s">
        <v>745</v>
      </c>
      <c r="B119" s="755"/>
      <c r="C119" s="706">
        <v>2.4</v>
      </c>
      <c r="E119" s="756"/>
      <c r="F119" s="757"/>
      <c r="H119" s="754" t="s">
        <v>745</v>
      </c>
      <c r="I119" s="755"/>
      <c r="J119" s="706">
        <v>2.4</v>
      </c>
      <c r="L119" s="756"/>
      <c r="M119" s="757"/>
    </row>
    <row r="120" spans="1:13" ht="20.25" x14ac:dyDescent="0.3">
      <c r="A120" s="758" t="s">
        <v>746</v>
      </c>
      <c r="B120" s="759"/>
      <c r="C120" s="760">
        <v>4.3999999999999997E-2</v>
      </c>
      <c r="E120" s="761" t="s">
        <v>750</v>
      </c>
      <c r="F120" s="762"/>
      <c r="H120" s="758" t="s">
        <v>746</v>
      </c>
      <c r="I120" s="759"/>
      <c r="J120" s="760">
        <v>4.2999999999999997E-2</v>
      </c>
      <c r="L120" s="761" t="s">
        <v>750</v>
      </c>
      <c r="M120" s="762"/>
    </row>
    <row r="121" spans="1:13" ht="15.75" x14ac:dyDescent="0.25">
      <c r="A121" s="763" t="s">
        <v>731</v>
      </c>
      <c r="B121" s="764"/>
      <c r="C121" s="765"/>
      <c r="E121" s="766" t="s">
        <v>732</v>
      </c>
      <c r="F121" s="767" t="s">
        <v>748</v>
      </c>
      <c r="H121" s="763" t="s">
        <v>731</v>
      </c>
      <c r="I121" s="764"/>
      <c r="J121" s="765"/>
      <c r="L121" s="766" t="s">
        <v>732</v>
      </c>
      <c r="M121" s="767" t="s">
        <v>748</v>
      </c>
    </row>
    <row r="122" spans="1:13" ht="15" x14ac:dyDescent="0.2">
      <c r="A122" s="768" t="s">
        <v>732</v>
      </c>
      <c r="B122" s="769" t="s">
        <v>747</v>
      </c>
      <c r="C122" s="770"/>
      <c r="E122" s="771"/>
      <c r="F122" s="772" t="s">
        <v>751</v>
      </c>
      <c r="H122" s="768" t="s">
        <v>732</v>
      </c>
      <c r="I122" s="769" t="s">
        <v>747</v>
      </c>
      <c r="J122" s="770"/>
      <c r="L122" s="771"/>
      <c r="M122" s="772" t="s">
        <v>751</v>
      </c>
    </row>
    <row r="123" spans="1:13" ht="15.75" x14ac:dyDescent="0.25">
      <c r="A123" s="773" t="s">
        <v>734</v>
      </c>
      <c r="B123" s="774" t="s">
        <v>737</v>
      </c>
      <c r="C123" s="775"/>
      <c r="E123" s="776"/>
      <c r="F123" s="777"/>
      <c r="H123" s="773" t="s">
        <v>734</v>
      </c>
      <c r="I123" s="774" t="s">
        <v>737</v>
      </c>
      <c r="J123" s="775"/>
      <c r="L123" s="776"/>
      <c r="M123" s="777"/>
    </row>
    <row r="124" spans="1:13" ht="15.75" x14ac:dyDescent="0.25">
      <c r="A124" s="778" t="s">
        <v>735</v>
      </c>
      <c r="B124" s="779" t="s">
        <v>738</v>
      </c>
      <c r="C124" s="780">
        <v>0.98499999999999999</v>
      </c>
      <c r="E124" s="781" t="s">
        <v>233</v>
      </c>
      <c r="F124" s="782">
        <f>SUM(C123:C125)</f>
        <v>0.98499999999999999</v>
      </c>
      <c r="H124" s="778" t="s">
        <v>735</v>
      </c>
      <c r="I124" s="779" t="s">
        <v>738</v>
      </c>
      <c r="J124" s="780">
        <v>0.98499999999999999</v>
      </c>
      <c r="L124" s="781" t="s">
        <v>233</v>
      </c>
      <c r="M124" s="782">
        <f>SUM(J123:J125)</f>
        <v>0.98499999999999999</v>
      </c>
    </row>
    <row r="125" spans="1:13" ht="15.75" x14ac:dyDescent="0.25">
      <c r="A125" s="783" t="s">
        <v>736</v>
      </c>
      <c r="B125" s="784" t="s">
        <v>739</v>
      </c>
      <c r="C125" s="785"/>
      <c r="E125" s="786"/>
      <c r="F125" s="787"/>
      <c r="H125" s="783" t="s">
        <v>736</v>
      </c>
      <c r="I125" s="784" t="s">
        <v>739</v>
      </c>
      <c r="J125" s="785"/>
      <c r="L125" s="786"/>
      <c r="M125" s="787"/>
    </row>
    <row r="126" spans="1:13" ht="15.75" x14ac:dyDescent="0.25">
      <c r="A126" s="788" t="s">
        <v>229</v>
      </c>
      <c r="B126" s="789" t="s">
        <v>229</v>
      </c>
      <c r="C126" s="790">
        <v>1.4999999999999999E-2</v>
      </c>
      <c r="E126" s="791" t="s">
        <v>229</v>
      </c>
      <c r="F126" s="792">
        <f>C126</f>
        <v>1.4999999999999999E-2</v>
      </c>
      <c r="H126" s="788" t="s">
        <v>229</v>
      </c>
      <c r="I126" s="789" t="s">
        <v>229</v>
      </c>
      <c r="J126" s="790">
        <v>1.4999999999999999E-2</v>
      </c>
      <c r="L126" s="791" t="s">
        <v>229</v>
      </c>
      <c r="M126" s="792">
        <f>J126</f>
        <v>1.4999999999999999E-2</v>
      </c>
    </row>
    <row r="127" spans="1:13" ht="15.75" x14ac:dyDescent="0.25">
      <c r="A127" s="788" t="s">
        <v>740</v>
      </c>
      <c r="B127" s="789" t="s">
        <v>230</v>
      </c>
      <c r="C127" s="790">
        <v>0</v>
      </c>
      <c r="E127" s="793" t="s">
        <v>230</v>
      </c>
      <c r="F127" s="792">
        <f>C127</f>
        <v>0</v>
      </c>
      <c r="H127" s="788" t="s">
        <v>740</v>
      </c>
      <c r="I127" s="789" t="s">
        <v>230</v>
      </c>
      <c r="J127" s="790">
        <v>0</v>
      </c>
      <c r="L127" s="793" t="s">
        <v>230</v>
      </c>
      <c r="M127" s="792">
        <f>J127</f>
        <v>0</v>
      </c>
    </row>
    <row r="128" spans="1:13" ht="15.75" x14ac:dyDescent="0.25">
      <c r="A128" s="794"/>
      <c r="B128" s="791" t="s">
        <v>741</v>
      </c>
      <c r="C128" s="795">
        <f>SUM(C123:C127)</f>
        <v>1</v>
      </c>
      <c r="E128" s="791" t="s">
        <v>741</v>
      </c>
      <c r="F128" s="796">
        <f>SUM(F124:F127)</f>
        <v>1</v>
      </c>
      <c r="H128" s="794"/>
      <c r="I128" s="791" t="s">
        <v>741</v>
      </c>
      <c r="J128" s="795">
        <f>SUM(J123:J127)</f>
        <v>1</v>
      </c>
      <c r="L128" s="791" t="s">
        <v>741</v>
      </c>
      <c r="M128" s="796">
        <f>SUM(M124:M127)</f>
        <v>1</v>
      </c>
    </row>
    <row r="129" spans="1:13" ht="16.5" thickBot="1" x14ac:dyDescent="0.3">
      <c r="A129" s="797"/>
      <c r="B129" s="798" t="s">
        <v>742</v>
      </c>
      <c r="C129" s="799" t="str">
        <f>IF(C128=100%,"OK","erro")</f>
        <v>OK</v>
      </c>
      <c r="D129" s="800"/>
      <c r="E129" s="798" t="s">
        <v>742</v>
      </c>
      <c r="F129" s="799" t="str">
        <f>IF(F128=0,"",IF(F128=100%,"OK","erro"))</f>
        <v>OK</v>
      </c>
      <c r="H129" s="797"/>
      <c r="I129" s="798" t="s">
        <v>742</v>
      </c>
      <c r="J129" s="799" t="str">
        <f>IF(J128=100%,"OK","erro")</f>
        <v>OK</v>
      </c>
      <c r="K129" s="800"/>
      <c r="L129" s="798" t="s">
        <v>742</v>
      </c>
      <c r="M129" s="799" t="str">
        <f>IF(M128=0,"",IF(M128=100%,"OK","erro"))</f>
        <v>OK</v>
      </c>
    </row>
    <row r="130" spans="1:13" ht="12" thickBot="1" x14ac:dyDescent="0.25"/>
    <row r="131" spans="1:13" ht="20.25" x14ac:dyDescent="0.3">
      <c r="A131" s="801"/>
      <c r="B131" s="802"/>
      <c r="C131" s="803"/>
      <c r="E131" s="748" t="s">
        <v>752</v>
      </c>
      <c r="F131" s="753"/>
      <c r="H131" s="801"/>
      <c r="I131" s="802"/>
      <c r="J131" s="803"/>
      <c r="L131" s="748" t="s">
        <v>752</v>
      </c>
      <c r="M131" s="753"/>
    </row>
    <row r="132" spans="1:13" x14ac:dyDescent="0.2">
      <c r="A132" s="756"/>
      <c r="C132" s="804"/>
      <c r="E132" s="805"/>
      <c r="F132" s="757"/>
      <c r="H132" s="756"/>
      <c r="J132" s="804"/>
      <c r="L132" s="805"/>
      <c r="M132" s="757"/>
    </row>
    <row r="133" spans="1:13" ht="20.25" x14ac:dyDescent="0.3">
      <c r="A133" s="806" t="s">
        <v>2165</v>
      </c>
      <c r="C133" s="804"/>
      <c r="E133" s="807" t="s">
        <v>765</v>
      </c>
      <c r="F133" s="762"/>
      <c r="H133" s="806" t="s">
        <v>2165</v>
      </c>
      <c r="J133" s="804"/>
      <c r="L133" s="807" t="s">
        <v>765</v>
      </c>
      <c r="M133" s="762"/>
    </row>
    <row r="134" spans="1:13" ht="15.75" x14ac:dyDescent="0.25">
      <c r="A134" s="806"/>
      <c r="C134" s="804"/>
      <c r="E134" s="808" t="s">
        <v>732</v>
      </c>
      <c r="F134" s="809" t="s">
        <v>748</v>
      </c>
      <c r="H134" s="806"/>
      <c r="J134" s="804"/>
      <c r="L134" s="808" t="s">
        <v>732</v>
      </c>
      <c r="M134" s="809" t="s">
        <v>748</v>
      </c>
    </row>
    <row r="135" spans="1:13" ht="15.75" x14ac:dyDescent="0.25">
      <c r="A135" s="806" t="s">
        <v>753</v>
      </c>
      <c r="C135" s="804"/>
      <c r="E135" s="810"/>
      <c r="F135" s="811" t="s">
        <v>751</v>
      </c>
      <c r="H135" s="806" t="s">
        <v>753</v>
      </c>
      <c r="J135" s="804"/>
      <c r="L135" s="810"/>
      <c r="M135" s="811" t="s">
        <v>751</v>
      </c>
    </row>
    <row r="136" spans="1:13" ht="15.75" x14ac:dyDescent="0.25">
      <c r="A136" s="806" t="s">
        <v>754</v>
      </c>
      <c r="C136" s="804"/>
      <c r="E136" s="812"/>
      <c r="F136" s="777"/>
      <c r="H136" s="806" t="s">
        <v>754</v>
      </c>
      <c r="J136" s="804"/>
      <c r="L136" s="812"/>
      <c r="M136" s="777"/>
    </row>
    <row r="137" spans="1:13" ht="15.75" x14ac:dyDescent="0.25">
      <c r="A137" s="806" t="s">
        <v>755</v>
      </c>
      <c r="C137" s="804"/>
      <c r="E137" s="813" t="s">
        <v>233</v>
      </c>
      <c r="F137" s="814">
        <f>ROUND($C139*F124,4)</f>
        <v>0.94169999999999998</v>
      </c>
      <c r="H137" s="806" t="s">
        <v>755</v>
      </c>
      <c r="J137" s="804"/>
      <c r="L137" s="813" t="s">
        <v>233</v>
      </c>
      <c r="M137" s="814">
        <f>ROUND($J139*M124,4)</f>
        <v>0.94259999999999999</v>
      </c>
    </row>
    <row r="138" spans="1:13" x14ac:dyDescent="0.2">
      <c r="A138" s="756"/>
      <c r="C138" s="804"/>
      <c r="E138" s="815"/>
      <c r="F138" s="787"/>
      <c r="H138" s="756"/>
      <c r="J138" s="804"/>
      <c r="L138" s="815"/>
      <c r="M138" s="787"/>
    </row>
    <row r="139" spans="1:13" ht="15.75" x14ac:dyDescent="0.25">
      <c r="A139" s="816" t="s">
        <v>756</v>
      </c>
      <c r="B139" s="817"/>
      <c r="C139" s="795">
        <f>100%-C120</f>
        <v>0.95599999999999996</v>
      </c>
      <c r="E139" s="818" t="s">
        <v>229</v>
      </c>
      <c r="F139" s="819">
        <f>ROUND($C139*F126,4)</f>
        <v>1.43E-2</v>
      </c>
      <c r="H139" s="816" t="s">
        <v>756</v>
      </c>
      <c r="I139" s="817"/>
      <c r="J139" s="795">
        <f>100%-J120</f>
        <v>0.95699999999999996</v>
      </c>
      <c r="L139" s="818" t="s">
        <v>229</v>
      </c>
      <c r="M139" s="819">
        <f>ROUND($J139*M126,4)</f>
        <v>1.44E-2</v>
      </c>
    </row>
    <row r="140" spans="1:13" ht="15.75" x14ac:dyDescent="0.25">
      <c r="B140" s="820"/>
      <c r="C140" s="821"/>
      <c r="D140" s="822">
        <f>SUM(D135:D139)</f>
        <v>0</v>
      </c>
      <c r="E140" s="823" t="s">
        <v>230</v>
      </c>
      <c r="F140" s="819">
        <f>ROUND($C139*F127,4)</f>
        <v>0</v>
      </c>
      <c r="I140" s="820"/>
      <c r="J140" s="821"/>
      <c r="K140" s="822">
        <f>SUM(K135:K139)</f>
        <v>0</v>
      </c>
      <c r="L140" s="823" t="s">
        <v>230</v>
      </c>
      <c r="M140" s="819">
        <f>ROUND($J139*M127,4)</f>
        <v>0</v>
      </c>
    </row>
    <row r="141" spans="1:13" ht="15.75" x14ac:dyDescent="0.25">
      <c r="B141" s="820"/>
      <c r="C141" s="821"/>
      <c r="D141" s="824"/>
      <c r="E141" s="825" t="s">
        <v>757</v>
      </c>
      <c r="F141" s="819">
        <f>C120</f>
        <v>4.3999999999999997E-2</v>
      </c>
      <c r="I141" s="820"/>
      <c r="J141" s="821"/>
      <c r="K141" s="824"/>
      <c r="L141" s="825" t="s">
        <v>757</v>
      </c>
      <c r="M141" s="819">
        <f>J120</f>
        <v>4.2999999999999997E-2</v>
      </c>
    </row>
    <row r="142" spans="1:13" ht="15.75" x14ac:dyDescent="0.25">
      <c r="B142" s="820"/>
      <c r="C142" s="821"/>
      <c r="E142" s="825" t="s">
        <v>758</v>
      </c>
      <c r="F142" s="819">
        <f>SUM(F137:F141)</f>
        <v>1</v>
      </c>
      <c r="I142" s="820"/>
      <c r="J142" s="821"/>
      <c r="L142" s="825" t="s">
        <v>758</v>
      </c>
      <c r="M142" s="819">
        <f>SUM(M137:M141)</f>
        <v>1</v>
      </c>
    </row>
    <row r="143" spans="1:13" ht="16.5" thickBot="1" x14ac:dyDescent="0.3">
      <c r="B143" s="820"/>
      <c r="C143" s="821"/>
      <c r="E143" s="826" t="s">
        <v>742</v>
      </c>
      <c r="F143" s="827" t="str">
        <f>IF(F142=0,"",IF(F142=100%,"OK","erro"))</f>
        <v>OK</v>
      </c>
      <c r="I143" s="820"/>
      <c r="J143" s="821"/>
      <c r="L143" s="826" t="s">
        <v>742</v>
      </c>
      <c r="M143" s="827" t="str">
        <f>IF(M142=0,"",IF(M142=100%,"OK","erro"))</f>
        <v>OK</v>
      </c>
    </row>
    <row r="145" spans="1:13" ht="12" thickBot="1" x14ac:dyDescent="0.25"/>
    <row r="146" spans="1:13" ht="18" customHeight="1" x14ac:dyDescent="0.25">
      <c r="A146" s="728" t="s">
        <v>728</v>
      </c>
      <c r="B146" s="729"/>
      <c r="C146" s="729"/>
      <c r="D146" s="729"/>
      <c r="E146" s="729"/>
      <c r="F146" s="730"/>
      <c r="H146" s="728" t="s">
        <v>728</v>
      </c>
      <c r="I146" s="729"/>
      <c r="J146" s="729"/>
      <c r="K146" s="729"/>
      <c r="L146" s="729"/>
      <c r="M146" s="730"/>
    </row>
    <row r="147" spans="1:13" ht="18" customHeight="1" x14ac:dyDescent="0.25">
      <c r="A147" s="731" t="s">
        <v>729</v>
      </c>
      <c r="B147" s="732"/>
      <c r="C147" s="732"/>
      <c r="D147" s="732"/>
      <c r="E147" s="732"/>
      <c r="F147" s="733"/>
      <c r="H147" s="731" t="s">
        <v>729</v>
      </c>
      <c r="I147" s="732"/>
      <c r="J147" s="732"/>
      <c r="K147" s="732"/>
      <c r="L147" s="732"/>
      <c r="M147" s="733"/>
    </row>
    <row r="148" spans="1:13" ht="18" customHeight="1" thickBot="1" x14ac:dyDescent="0.3">
      <c r="A148" s="734" t="s">
        <v>730</v>
      </c>
      <c r="B148" s="735"/>
      <c r="C148" s="735"/>
      <c r="D148" s="735"/>
      <c r="E148" s="735"/>
      <c r="F148" s="736"/>
      <c r="H148" s="734" t="s">
        <v>730</v>
      </c>
      <c r="I148" s="735"/>
      <c r="J148" s="735"/>
      <c r="K148" s="735"/>
      <c r="L148" s="735"/>
      <c r="M148" s="736"/>
    </row>
    <row r="151" spans="1:13" ht="12" thickBot="1" x14ac:dyDescent="0.25"/>
    <row r="152" spans="1:13" ht="20.25" x14ac:dyDescent="0.3">
      <c r="A152" s="737" t="s">
        <v>2187</v>
      </c>
      <c r="B152" s="738" t="s">
        <v>744</v>
      </c>
      <c r="C152" s="739" t="s">
        <v>2274</v>
      </c>
      <c r="D152" s="740"/>
      <c r="E152" s="740"/>
      <c r="F152" s="741"/>
      <c r="H152" s="737" t="s">
        <v>2188</v>
      </c>
      <c r="I152" s="738" t="s">
        <v>744</v>
      </c>
      <c r="J152" s="739" t="s">
        <v>2275</v>
      </c>
      <c r="K152" s="740"/>
      <c r="L152" s="740"/>
      <c r="M152" s="741"/>
    </row>
    <row r="153" spans="1:13" ht="16.5" thickBot="1" x14ac:dyDescent="0.3">
      <c r="A153" s="828" t="s">
        <v>2190</v>
      </c>
      <c r="B153" s="743" t="s">
        <v>733</v>
      </c>
      <c r="C153" s="744" t="s">
        <v>2167</v>
      </c>
      <c r="D153" s="745"/>
      <c r="E153" s="745"/>
      <c r="F153" s="746"/>
      <c r="H153" s="828" t="s">
        <v>2190</v>
      </c>
      <c r="I153" s="743" t="s">
        <v>733</v>
      </c>
      <c r="J153" s="744" t="s">
        <v>2167</v>
      </c>
      <c r="K153" s="745"/>
      <c r="L153" s="745"/>
      <c r="M153" s="746"/>
    </row>
    <row r="154" spans="1:13" ht="12" thickBot="1" x14ac:dyDescent="0.25">
      <c r="A154" s="747"/>
      <c r="H154" s="747"/>
    </row>
    <row r="155" spans="1:13" ht="20.45" customHeight="1" x14ac:dyDescent="0.3">
      <c r="A155" s="748" t="s">
        <v>743</v>
      </c>
      <c r="B155" s="749"/>
      <c r="C155" s="750"/>
      <c r="D155" s="751"/>
      <c r="E155" s="752" t="s">
        <v>749</v>
      </c>
      <c r="F155" s="753"/>
      <c r="H155" s="748" t="s">
        <v>743</v>
      </c>
      <c r="I155" s="749"/>
      <c r="J155" s="750"/>
      <c r="K155" s="751"/>
      <c r="L155" s="752" t="s">
        <v>749</v>
      </c>
      <c r="M155" s="753"/>
    </row>
    <row r="156" spans="1:13" ht="15.75" x14ac:dyDescent="0.25">
      <c r="A156" s="754" t="s">
        <v>745</v>
      </c>
      <c r="B156" s="755"/>
      <c r="C156" s="706">
        <v>2.4</v>
      </c>
      <c r="E156" s="756"/>
      <c r="F156" s="757"/>
      <c r="H156" s="754" t="s">
        <v>745</v>
      </c>
      <c r="I156" s="755"/>
      <c r="J156" s="706">
        <v>2.4</v>
      </c>
      <c r="L156" s="756"/>
      <c r="M156" s="757"/>
    </row>
    <row r="157" spans="1:13" ht="20.25" x14ac:dyDescent="0.3">
      <c r="A157" s="758" t="s">
        <v>746</v>
      </c>
      <c r="B157" s="759"/>
      <c r="C157" s="760">
        <v>5.0999999999999997E-2</v>
      </c>
      <c r="E157" s="761" t="s">
        <v>766</v>
      </c>
      <c r="F157" s="762"/>
      <c r="H157" s="758" t="s">
        <v>746</v>
      </c>
      <c r="I157" s="759"/>
      <c r="J157" s="760">
        <v>0.05</v>
      </c>
      <c r="L157" s="761" t="s">
        <v>766</v>
      </c>
      <c r="M157" s="762"/>
    </row>
    <row r="158" spans="1:13" ht="15.75" x14ac:dyDescent="0.25">
      <c r="A158" s="763" t="s">
        <v>731</v>
      </c>
      <c r="B158" s="764"/>
      <c r="C158" s="765"/>
      <c r="E158" s="766" t="s">
        <v>732</v>
      </c>
      <c r="F158" s="767" t="s">
        <v>748</v>
      </c>
      <c r="H158" s="763" t="s">
        <v>731</v>
      </c>
      <c r="I158" s="764"/>
      <c r="J158" s="765"/>
      <c r="L158" s="766" t="s">
        <v>732</v>
      </c>
      <c r="M158" s="767" t="s">
        <v>748</v>
      </c>
    </row>
    <row r="159" spans="1:13" ht="15" x14ac:dyDescent="0.2">
      <c r="A159" s="768" t="s">
        <v>732</v>
      </c>
      <c r="B159" s="769" t="s">
        <v>747</v>
      </c>
      <c r="C159" s="770"/>
      <c r="E159" s="771"/>
      <c r="F159" s="772" t="s">
        <v>751</v>
      </c>
      <c r="H159" s="768" t="s">
        <v>732</v>
      </c>
      <c r="I159" s="769" t="s">
        <v>747</v>
      </c>
      <c r="J159" s="770"/>
      <c r="L159" s="771"/>
      <c r="M159" s="772" t="s">
        <v>751</v>
      </c>
    </row>
    <row r="160" spans="1:13" ht="15.75" x14ac:dyDescent="0.25">
      <c r="A160" s="773" t="s">
        <v>734</v>
      </c>
      <c r="B160" s="774" t="s">
        <v>737</v>
      </c>
      <c r="C160" s="775"/>
      <c r="E160" s="776"/>
      <c r="F160" s="777"/>
      <c r="H160" s="773" t="s">
        <v>734</v>
      </c>
      <c r="I160" s="774" t="s">
        <v>737</v>
      </c>
      <c r="J160" s="775"/>
      <c r="L160" s="776"/>
      <c r="M160" s="777"/>
    </row>
    <row r="161" spans="1:13" ht="15.75" x14ac:dyDescent="0.25">
      <c r="A161" s="778" t="s">
        <v>735</v>
      </c>
      <c r="B161" s="779" t="s">
        <v>738</v>
      </c>
      <c r="C161" s="780">
        <v>0.88500000000000001</v>
      </c>
      <c r="E161" s="781" t="s">
        <v>233</v>
      </c>
      <c r="F161" s="782">
        <f>SUM(C160:C162)</f>
        <v>0.88500000000000001</v>
      </c>
      <c r="H161" s="778" t="s">
        <v>735</v>
      </c>
      <c r="I161" s="779" t="s">
        <v>738</v>
      </c>
      <c r="J161" s="780">
        <v>0.88500000000000001</v>
      </c>
      <c r="L161" s="781" t="s">
        <v>233</v>
      </c>
      <c r="M161" s="782">
        <f>SUM(J160:J162)</f>
        <v>0.88500000000000001</v>
      </c>
    </row>
    <row r="162" spans="1:13" ht="15.75" x14ac:dyDescent="0.25">
      <c r="A162" s="783" t="s">
        <v>736</v>
      </c>
      <c r="B162" s="784" t="s">
        <v>739</v>
      </c>
      <c r="C162" s="785"/>
      <c r="E162" s="786"/>
      <c r="F162" s="787"/>
      <c r="H162" s="783" t="s">
        <v>736</v>
      </c>
      <c r="I162" s="784" t="s">
        <v>739</v>
      </c>
      <c r="J162" s="785"/>
      <c r="L162" s="786"/>
      <c r="M162" s="787"/>
    </row>
    <row r="163" spans="1:13" ht="15.75" x14ac:dyDescent="0.25">
      <c r="A163" s="788" t="s">
        <v>229</v>
      </c>
      <c r="B163" s="789" t="s">
        <v>229</v>
      </c>
      <c r="C163" s="790">
        <v>0.1</v>
      </c>
      <c r="E163" s="791" t="s">
        <v>229</v>
      </c>
      <c r="F163" s="792">
        <f>C163</f>
        <v>0.1</v>
      </c>
      <c r="H163" s="788" t="s">
        <v>229</v>
      </c>
      <c r="I163" s="789" t="s">
        <v>229</v>
      </c>
      <c r="J163" s="790">
        <v>0.1</v>
      </c>
      <c r="L163" s="791" t="s">
        <v>229</v>
      </c>
      <c r="M163" s="792">
        <f>J163</f>
        <v>0.1</v>
      </c>
    </row>
    <row r="164" spans="1:13" ht="15.75" x14ac:dyDescent="0.25">
      <c r="A164" s="788" t="s">
        <v>740</v>
      </c>
      <c r="B164" s="789" t="s">
        <v>230</v>
      </c>
      <c r="C164" s="790">
        <v>1.4999999999999999E-2</v>
      </c>
      <c r="E164" s="793" t="s">
        <v>230</v>
      </c>
      <c r="F164" s="792">
        <f>C164</f>
        <v>1.4999999999999999E-2</v>
      </c>
      <c r="H164" s="788" t="s">
        <v>740</v>
      </c>
      <c r="I164" s="789" t="s">
        <v>230</v>
      </c>
      <c r="J164" s="790">
        <v>1.4999999999999999E-2</v>
      </c>
      <c r="L164" s="793" t="s">
        <v>230</v>
      </c>
      <c r="M164" s="792">
        <f>J164</f>
        <v>1.4999999999999999E-2</v>
      </c>
    </row>
    <row r="165" spans="1:13" ht="15.75" x14ac:dyDescent="0.25">
      <c r="A165" s="794"/>
      <c r="B165" s="791" t="s">
        <v>741</v>
      </c>
      <c r="C165" s="795">
        <f>SUM(C160:C164)</f>
        <v>1</v>
      </c>
      <c r="E165" s="791" t="s">
        <v>741</v>
      </c>
      <c r="F165" s="796">
        <f>SUM(F161:F164)</f>
        <v>1</v>
      </c>
      <c r="H165" s="794"/>
      <c r="I165" s="791" t="s">
        <v>741</v>
      </c>
      <c r="J165" s="795">
        <f>SUM(J160:J164)</f>
        <v>1</v>
      </c>
      <c r="L165" s="791" t="s">
        <v>741</v>
      </c>
      <c r="M165" s="796">
        <f>SUM(M161:M164)</f>
        <v>1</v>
      </c>
    </row>
    <row r="166" spans="1:13" ht="16.5" thickBot="1" x14ac:dyDescent="0.3">
      <c r="A166" s="797"/>
      <c r="B166" s="798" t="s">
        <v>742</v>
      </c>
      <c r="C166" s="799" t="str">
        <f>IF(C165=0,"",IF(C165=100%,"OK","erro"))</f>
        <v>OK</v>
      </c>
      <c r="D166" s="800"/>
      <c r="E166" s="798" t="s">
        <v>742</v>
      </c>
      <c r="F166" s="799" t="str">
        <f>IF(F165=0,"",IF(F165=100%,"OK","erro"))</f>
        <v>OK</v>
      </c>
      <c r="H166" s="797"/>
      <c r="I166" s="798" t="s">
        <v>742</v>
      </c>
      <c r="J166" s="799" t="str">
        <f>IF(J165=0,"",IF(J165=100%,"OK","erro"))</f>
        <v>OK</v>
      </c>
      <c r="K166" s="800"/>
      <c r="L166" s="798" t="s">
        <v>742</v>
      </c>
      <c r="M166" s="799" t="str">
        <f>IF(M165=0,"",IF(M165=100%,"OK","erro"))</f>
        <v>OK</v>
      </c>
    </row>
    <row r="167" spans="1:13" ht="12" thickBot="1" x14ac:dyDescent="0.25"/>
    <row r="168" spans="1:13" ht="20.25" x14ac:dyDescent="0.3">
      <c r="A168" s="801"/>
      <c r="B168" s="802"/>
      <c r="C168" s="803"/>
      <c r="E168" s="748" t="s">
        <v>752</v>
      </c>
      <c r="F168" s="753"/>
      <c r="H168" s="801"/>
      <c r="I168" s="802"/>
      <c r="J168" s="803"/>
      <c r="L168" s="748" t="s">
        <v>752</v>
      </c>
      <c r="M168" s="753"/>
    </row>
    <row r="169" spans="1:13" x14ac:dyDescent="0.2">
      <c r="A169" s="756"/>
      <c r="C169" s="804"/>
      <c r="E169" s="805"/>
      <c r="F169" s="757"/>
      <c r="H169" s="756"/>
      <c r="J169" s="804"/>
      <c r="L169" s="805"/>
      <c r="M169" s="757"/>
    </row>
    <row r="170" spans="1:13" ht="20.25" x14ac:dyDescent="0.3">
      <c r="A170" s="806" t="s">
        <v>2165</v>
      </c>
      <c r="C170" s="804"/>
      <c r="E170" s="807" t="s">
        <v>765</v>
      </c>
      <c r="F170" s="762"/>
      <c r="H170" s="806" t="s">
        <v>2165</v>
      </c>
      <c r="J170" s="804"/>
      <c r="L170" s="807" t="s">
        <v>765</v>
      </c>
      <c r="M170" s="762"/>
    </row>
    <row r="171" spans="1:13" ht="15.75" x14ac:dyDescent="0.25">
      <c r="A171" s="806"/>
      <c r="C171" s="804"/>
      <c r="E171" s="808" t="s">
        <v>732</v>
      </c>
      <c r="F171" s="809" t="s">
        <v>748</v>
      </c>
      <c r="H171" s="806"/>
      <c r="J171" s="804"/>
      <c r="L171" s="808" t="s">
        <v>732</v>
      </c>
      <c r="M171" s="809" t="s">
        <v>748</v>
      </c>
    </row>
    <row r="172" spans="1:13" ht="15.75" x14ac:dyDescent="0.25">
      <c r="A172" s="806" t="s">
        <v>753</v>
      </c>
      <c r="C172" s="804"/>
      <c r="E172" s="810"/>
      <c r="F172" s="811" t="s">
        <v>751</v>
      </c>
      <c r="H172" s="806" t="s">
        <v>753</v>
      </c>
      <c r="J172" s="804"/>
      <c r="L172" s="810"/>
      <c r="M172" s="811" t="s">
        <v>751</v>
      </c>
    </row>
    <row r="173" spans="1:13" ht="15.75" x14ac:dyDescent="0.25">
      <c r="A173" s="806" t="s">
        <v>754</v>
      </c>
      <c r="C173" s="804"/>
      <c r="E173" s="812"/>
      <c r="F173" s="777"/>
      <c r="H173" s="806" t="s">
        <v>754</v>
      </c>
      <c r="J173" s="804"/>
      <c r="L173" s="812"/>
      <c r="M173" s="777"/>
    </row>
    <row r="174" spans="1:13" ht="15.75" x14ac:dyDescent="0.25">
      <c r="A174" s="806" t="s">
        <v>755</v>
      </c>
      <c r="C174" s="804"/>
      <c r="E174" s="813" t="s">
        <v>233</v>
      </c>
      <c r="F174" s="814">
        <f>ROUND($C176*F161,4)</f>
        <v>0.83989999999999998</v>
      </c>
      <c r="H174" s="806" t="s">
        <v>755</v>
      </c>
      <c r="J174" s="804"/>
      <c r="L174" s="813" t="s">
        <v>233</v>
      </c>
      <c r="M174" s="814">
        <f>ROUNDDOWN($J176*M161,4)</f>
        <v>0.8407</v>
      </c>
    </row>
    <row r="175" spans="1:13" x14ac:dyDescent="0.2">
      <c r="A175" s="756"/>
      <c r="C175" s="804"/>
      <c r="E175" s="815"/>
      <c r="F175" s="787"/>
      <c r="H175" s="756"/>
      <c r="J175" s="804"/>
      <c r="L175" s="815"/>
      <c r="M175" s="787"/>
    </row>
    <row r="176" spans="1:13" ht="15.75" x14ac:dyDescent="0.25">
      <c r="A176" s="816" t="s">
        <v>756</v>
      </c>
      <c r="B176" s="817"/>
      <c r="C176" s="795">
        <f>100%-C157</f>
        <v>0.94899999999999995</v>
      </c>
      <c r="E176" s="818" t="s">
        <v>229</v>
      </c>
      <c r="F176" s="819">
        <f>ROUND($C176*F163,4)</f>
        <v>9.4899999999999998E-2</v>
      </c>
      <c r="H176" s="816" t="s">
        <v>756</v>
      </c>
      <c r="I176" s="817"/>
      <c r="J176" s="795">
        <f>100%-J157</f>
        <v>0.95</v>
      </c>
      <c r="L176" s="818" t="s">
        <v>229</v>
      </c>
      <c r="M176" s="819">
        <f>ROUND($J176*M163,4)</f>
        <v>9.5000000000000001E-2</v>
      </c>
    </row>
    <row r="177" spans="1:13" ht="15.75" x14ac:dyDescent="0.25">
      <c r="B177" s="820"/>
      <c r="C177" s="821"/>
      <c r="D177" s="822">
        <f>SUM(D172:D176)</f>
        <v>0</v>
      </c>
      <c r="E177" s="823" t="s">
        <v>230</v>
      </c>
      <c r="F177" s="819">
        <f>ROUND($C176*F164,4)</f>
        <v>1.4200000000000001E-2</v>
      </c>
      <c r="I177" s="820"/>
      <c r="J177" s="821"/>
      <c r="K177" s="822">
        <f>SUM(K172:K176)</f>
        <v>0</v>
      </c>
      <c r="L177" s="823" t="s">
        <v>230</v>
      </c>
      <c r="M177" s="819">
        <f>ROUND($J176*M164,4)</f>
        <v>1.43E-2</v>
      </c>
    </row>
    <row r="178" spans="1:13" ht="15.75" x14ac:dyDescent="0.25">
      <c r="B178" s="820"/>
      <c r="C178" s="821"/>
      <c r="D178" s="824"/>
      <c r="E178" s="825" t="s">
        <v>757</v>
      </c>
      <c r="F178" s="819">
        <f>C157</f>
        <v>5.0999999999999997E-2</v>
      </c>
      <c r="I178" s="820"/>
      <c r="J178" s="821"/>
      <c r="K178" s="824"/>
      <c r="L178" s="825" t="s">
        <v>757</v>
      </c>
      <c r="M178" s="819">
        <f>J157</f>
        <v>0.05</v>
      </c>
    </row>
    <row r="179" spans="1:13" ht="15.75" x14ac:dyDescent="0.25">
      <c r="B179" s="820"/>
      <c r="C179" s="821"/>
      <c r="E179" s="825" t="s">
        <v>758</v>
      </c>
      <c r="F179" s="819">
        <f>SUM(F174:F178)</f>
        <v>1</v>
      </c>
      <c r="I179" s="820"/>
      <c r="J179" s="821"/>
      <c r="L179" s="825" t="s">
        <v>758</v>
      </c>
      <c r="M179" s="819">
        <f>SUM(M174:M178)</f>
        <v>1</v>
      </c>
    </row>
    <row r="180" spans="1:13" ht="16.5" thickBot="1" x14ac:dyDescent="0.3">
      <c r="B180" s="820"/>
      <c r="C180" s="821"/>
      <c r="E180" s="826" t="s">
        <v>742</v>
      </c>
      <c r="F180" s="827" t="str">
        <f>IF(F179=0,"",IF(F179=100%,"OK","erro"))</f>
        <v>OK</v>
      </c>
      <c r="I180" s="820"/>
      <c r="J180" s="821"/>
      <c r="L180" s="826" t="s">
        <v>742</v>
      </c>
      <c r="M180" s="827" t="str">
        <f>IF(M179=0,"",IF(M179=100%,"OK","erro"))</f>
        <v>OK</v>
      </c>
    </row>
    <row r="183" spans="1:13" ht="12" thickBot="1" x14ac:dyDescent="0.25"/>
    <row r="184" spans="1:13" ht="18" customHeight="1" x14ac:dyDescent="0.25">
      <c r="A184" s="728" t="s">
        <v>728</v>
      </c>
      <c r="B184" s="729"/>
      <c r="C184" s="729"/>
      <c r="D184" s="729"/>
      <c r="E184" s="729"/>
      <c r="F184" s="730"/>
      <c r="H184" s="728" t="s">
        <v>728</v>
      </c>
      <c r="I184" s="729"/>
      <c r="J184" s="729"/>
      <c r="K184" s="729"/>
      <c r="L184" s="729"/>
      <c r="M184" s="730">
        <v>0.05</v>
      </c>
    </row>
    <row r="185" spans="1:13" ht="18" customHeight="1" x14ac:dyDescent="0.25">
      <c r="A185" s="731" t="s">
        <v>729</v>
      </c>
      <c r="B185" s="732"/>
      <c r="C185" s="732"/>
      <c r="D185" s="732"/>
      <c r="E185" s="732"/>
      <c r="F185" s="733"/>
      <c r="H185" s="731" t="s">
        <v>729</v>
      </c>
      <c r="I185" s="732"/>
      <c r="J185" s="732"/>
      <c r="K185" s="732"/>
      <c r="L185" s="732"/>
      <c r="M185" s="733"/>
    </row>
    <row r="186" spans="1:13" ht="18" customHeight="1" thickBot="1" x14ac:dyDescent="0.3">
      <c r="A186" s="734" t="s">
        <v>730</v>
      </c>
      <c r="B186" s="735"/>
      <c r="C186" s="735"/>
      <c r="D186" s="735"/>
      <c r="E186" s="735"/>
      <c r="F186" s="736"/>
      <c r="H186" s="734" t="s">
        <v>730</v>
      </c>
      <c r="I186" s="735"/>
      <c r="J186" s="735"/>
      <c r="K186" s="735"/>
      <c r="L186" s="735"/>
      <c r="M186" s="736"/>
    </row>
    <row r="189" spans="1:13" ht="12" thickBot="1" x14ac:dyDescent="0.25"/>
    <row r="190" spans="1:13" ht="20.25" x14ac:dyDescent="0.3">
      <c r="A190" s="737" t="s">
        <v>2168</v>
      </c>
      <c r="B190" s="738" t="s">
        <v>744</v>
      </c>
      <c r="C190" s="739" t="s">
        <v>2283</v>
      </c>
      <c r="D190" s="740"/>
      <c r="E190" s="740"/>
      <c r="F190" s="741"/>
      <c r="H190" s="737" t="s">
        <v>2189</v>
      </c>
      <c r="I190" s="738" t="s">
        <v>744</v>
      </c>
      <c r="J190" s="739" t="s">
        <v>2284</v>
      </c>
      <c r="K190" s="740"/>
      <c r="L190" s="740"/>
      <c r="M190" s="741"/>
    </row>
    <row r="191" spans="1:13" ht="16.5" thickBot="1" x14ac:dyDescent="0.3">
      <c r="A191" s="828" t="s">
        <v>2190</v>
      </c>
      <c r="B191" s="743" t="s">
        <v>733</v>
      </c>
      <c r="C191" s="744" t="s">
        <v>2166</v>
      </c>
      <c r="D191" s="745"/>
      <c r="E191" s="745"/>
      <c r="F191" s="746"/>
      <c r="H191" s="828" t="s">
        <v>2190</v>
      </c>
      <c r="I191" s="743" t="s">
        <v>733</v>
      </c>
      <c r="J191" s="744" t="s">
        <v>2166</v>
      </c>
      <c r="K191" s="745"/>
      <c r="L191" s="745"/>
      <c r="M191" s="746"/>
    </row>
    <row r="192" spans="1:13" ht="12" thickBot="1" x14ac:dyDescent="0.25">
      <c r="A192" s="747"/>
      <c r="H192" s="747"/>
    </row>
    <row r="193" spans="1:13" ht="20.25" x14ac:dyDescent="0.3">
      <c r="A193" s="748" t="s">
        <v>743</v>
      </c>
      <c r="B193" s="749"/>
      <c r="C193" s="750"/>
      <c r="D193" s="751"/>
      <c r="E193" s="752" t="s">
        <v>749</v>
      </c>
      <c r="F193" s="753"/>
      <c r="H193" s="748" t="s">
        <v>743</v>
      </c>
      <c r="I193" s="749"/>
      <c r="J193" s="750"/>
      <c r="K193" s="751"/>
      <c r="L193" s="752" t="s">
        <v>749</v>
      </c>
      <c r="M193" s="753"/>
    </row>
    <row r="194" spans="1:13" ht="15.75" x14ac:dyDescent="0.25">
      <c r="A194" s="754" t="s">
        <v>745</v>
      </c>
      <c r="B194" s="755"/>
      <c r="C194" s="706">
        <v>2.4</v>
      </c>
      <c r="E194" s="756"/>
      <c r="F194" s="757"/>
      <c r="H194" s="754" t="s">
        <v>745</v>
      </c>
      <c r="I194" s="755"/>
      <c r="J194" s="706">
        <v>2.4</v>
      </c>
      <c r="L194" s="756"/>
      <c r="M194" s="757"/>
    </row>
    <row r="195" spans="1:13" ht="20.25" x14ac:dyDescent="0.3">
      <c r="A195" s="758" t="s">
        <v>746</v>
      </c>
      <c r="B195" s="759"/>
      <c r="C195" s="760">
        <v>5.6000000000000001E-2</v>
      </c>
      <c r="E195" s="761" t="s">
        <v>750</v>
      </c>
      <c r="F195" s="762"/>
      <c r="H195" s="758" t="s">
        <v>746</v>
      </c>
      <c r="I195" s="759"/>
      <c r="J195" s="760">
        <v>5.5E-2</v>
      </c>
      <c r="L195" s="761" t="s">
        <v>750</v>
      </c>
      <c r="M195" s="762"/>
    </row>
    <row r="196" spans="1:13" ht="15.75" x14ac:dyDescent="0.25">
      <c r="A196" s="763" t="s">
        <v>731</v>
      </c>
      <c r="B196" s="764"/>
      <c r="C196" s="765"/>
      <c r="E196" s="766" t="s">
        <v>732</v>
      </c>
      <c r="F196" s="767" t="s">
        <v>748</v>
      </c>
      <c r="H196" s="763" t="s">
        <v>731</v>
      </c>
      <c r="I196" s="764"/>
      <c r="J196" s="765"/>
      <c r="L196" s="766" t="s">
        <v>732</v>
      </c>
      <c r="M196" s="767" t="s">
        <v>748</v>
      </c>
    </row>
    <row r="197" spans="1:13" ht="15" x14ac:dyDescent="0.2">
      <c r="A197" s="768" t="s">
        <v>732</v>
      </c>
      <c r="B197" s="769" t="s">
        <v>747</v>
      </c>
      <c r="C197" s="770"/>
      <c r="E197" s="771"/>
      <c r="F197" s="772" t="s">
        <v>751</v>
      </c>
      <c r="H197" s="768" t="s">
        <v>732</v>
      </c>
      <c r="I197" s="769" t="s">
        <v>747</v>
      </c>
      <c r="J197" s="770"/>
      <c r="L197" s="771"/>
      <c r="M197" s="772" t="s">
        <v>751</v>
      </c>
    </row>
    <row r="198" spans="1:13" ht="15.75" x14ac:dyDescent="0.25">
      <c r="A198" s="773" t="s">
        <v>734</v>
      </c>
      <c r="B198" s="774" t="s">
        <v>737</v>
      </c>
      <c r="C198" s="775"/>
      <c r="E198" s="776"/>
      <c r="F198" s="777"/>
      <c r="H198" s="773" t="s">
        <v>734</v>
      </c>
      <c r="I198" s="774" t="s">
        <v>737</v>
      </c>
      <c r="J198" s="775"/>
      <c r="L198" s="776"/>
      <c r="M198" s="777"/>
    </row>
    <row r="199" spans="1:13" ht="15.75" x14ac:dyDescent="0.25">
      <c r="A199" s="778" t="s">
        <v>735</v>
      </c>
      <c r="B199" s="779" t="s">
        <v>738</v>
      </c>
      <c r="C199" s="780">
        <v>0.88500000000000001</v>
      </c>
      <c r="E199" s="781" t="s">
        <v>233</v>
      </c>
      <c r="F199" s="782">
        <f>SUM(C198:C200)</f>
        <v>0.88500000000000001</v>
      </c>
      <c r="H199" s="778" t="s">
        <v>735</v>
      </c>
      <c r="I199" s="779" t="s">
        <v>738</v>
      </c>
      <c r="J199" s="780">
        <v>0.88500000000000001</v>
      </c>
      <c r="L199" s="781" t="s">
        <v>233</v>
      </c>
      <c r="M199" s="782">
        <f>SUM(J198:J200)</f>
        <v>0.88500000000000001</v>
      </c>
    </row>
    <row r="200" spans="1:13" ht="15.75" x14ac:dyDescent="0.25">
      <c r="A200" s="783" t="s">
        <v>736</v>
      </c>
      <c r="B200" s="784" t="s">
        <v>739</v>
      </c>
      <c r="C200" s="785"/>
      <c r="E200" s="786"/>
      <c r="F200" s="787"/>
      <c r="H200" s="783" t="s">
        <v>736</v>
      </c>
      <c r="I200" s="784" t="s">
        <v>739</v>
      </c>
      <c r="J200" s="785"/>
      <c r="L200" s="786"/>
      <c r="M200" s="787"/>
    </row>
    <row r="201" spans="1:13" ht="15.75" x14ac:dyDescent="0.25">
      <c r="A201" s="788" t="s">
        <v>229</v>
      </c>
      <c r="B201" s="789" t="s">
        <v>229</v>
      </c>
      <c r="C201" s="790">
        <v>0.1</v>
      </c>
      <c r="E201" s="791" t="s">
        <v>229</v>
      </c>
      <c r="F201" s="792">
        <f>C201</f>
        <v>0.1</v>
      </c>
      <c r="H201" s="788" t="s">
        <v>229</v>
      </c>
      <c r="I201" s="789" t="s">
        <v>229</v>
      </c>
      <c r="J201" s="790">
        <v>0.1</v>
      </c>
      <c r="L201" s="791" t="s">
        <v>229</v>
      </c>
      <c r="M201" s="792">
        <f>J201</f>
        <v>0.1</v>
      </c>
    </row>
    <row r="202" spans="1:13" ht="15.75" x14ac:dyDescent="0.25">
      <c r="A202" s="788" t="s">
        <v>740</v>
      </c>
      <c r="B202" s="789" t="s">
        <v>230</v>
      </c>
      <c r="C202" s="790">
        <v>1.4999999999999999E-2</v>
      </c>
      <c r="E202" s="793" t="s">
        <v>230</v>
      </c>
      <c r="F202" s="792">
        <f>C202</f>
        <v>1.4999999999999999E-2</v>
      </c>
      <c r="H202" s="788" t="s">
        <v>740</v>
      </c>
      <c r="I202" s="789" t="s">
        <v>230</v>
      </c>
      <c r="J202" s="790">
        <v>1.4999999999999999E-2</v>
      </c>
      <c r="L202" s="793" t="s">
        <v>230</v>
      </c>
      <c r="M202" s="792">
        <f>J202</f>
        <v>1.4999999999999999E-2</v>
      </c>
    </row>
    <row r="203" spans="1:13" ht="15.75" x14ac:dyDescent="0.25">
      <c r="A203" s="794"/>
      <c r="B203" s="791" t="s">
        <v>741</v>
      </c>
      <c r="C203" s="795">
        <f>SUM(C198:C202)</f>
        <v>1</v>
      </c>
      <c r="E203" s="791" t="s">
        <v>741</v>
      </c>
      <c r="F203" s="796">
        <f>SUM(F199:F202)</f>
        <v>1</v>
      </c>
      <c r="H203" s="794"/>
      <c r="I203" s="791" t="s">
        <v>741</v>
      </c>
      <c r="J203" s="795">
        <f>SUM(J198:J202)</f>
        <v>1</v>
      </c>
      <c r="L203" s="791" t="s">
        <v>741</v>
      </c>
      <c r="M203" s="796">
        <f>SUM(M199:M202)</f>
        <v>1</v>
      </c>
    </row>
    <row r="204" spans="1:13" ht="16.5" thickBot="1" x14ac:dyDescent="0.3">
      <c r="A204" s="797"/>
      <c r="B204" s="798" t="s">
        <v>742</v>
      </c>
      <c r="C204" s="799" t="str">
        <f>IF(C203=100%,"OK","erro")</f>
        <v>OK</v>
      </c>
      <c r="D204" s="800"/>
      <c r="E204" s="798" t="s">
        <v>742</v>
      </c>
      <c r="F204" s="799" t="str">
        <f>IF(F203=0,"",IF(F203=100%,"OK","erro"))</f>
        <v>OK</v>
      </c>
      <c r="H204" s="797"/>
      <c r="I204" s="798" t="s">
        <v>742</v>
      </c>
      <c r="J204" s="799" t="str">
        <f>IF(J203=100%,"OK","erro")</f>
        <v>OK</v>
      </c>
      <c r="K204" s="800"/>
      <c r="L204" s="798" t="s">
        <v>742</v>
      </c>
      <c r="M204" s="799" t="str">
        <f>IF(M203=0,"",IF(M203=100%,"OK","erro"))</f>
        <v>OK</v>
      </c>
    </row>
    <row r="205" spans="1:13" ht="12" thickBot="1" x14ac:dyDescent="0.25"/>
    <row r="206" spans="1:13" ht="20.25" x14ac:dyDescent="0.3">
      <c r="A206" s="801"/>
      <c r="B206" s="802"/>
      <c r="C206" s="803"/>
      <c r="E206" s="748" t="s">
        <v>752</v>
      </c>
      <c r="F206" s="753"/>
      <c r="H206" s="801"/>
      <c r="I206" s="802"/>
      <c r="J206" s="803"/>
      <c r="L206" s="748" t="s">
        <v>752</v>
      </c>
      <c r="M206" s="753"/>
    </row>
    <row r="207" spans="1:13" x14ac:dyDescent="0.2">
      <c r="A207" s="756"/>
      <c r="C207" s="804"/>
      <c r="E207" s="805"/>
      <c r="F207" s="757"/>
      <c r="H207" s="756"/>
      <c r="J207" s="804"/>
      <c r="L207" s="805"/>
      <c r="M207" s="757"/>
    </row>
    <row r="208" spans="1:13" ht="20.25" x14ac:dyDescent="0.3">
      <c r="A208" s="806" t="s">
        <v>2165</v>
      </c>
      <c r="C208" s="804"/>
      <c r="E208" s="807" t="s">
        <v>765</v>
      </c>
      <c r="F208" s="762"/>
      <c r="H208" s="806" t="s">
        <v>2165</v>
      </c>
      <c r="J208" s="804"/>
      <c r="L208" s="807" t="s">
        <v>765</v>
      </c>
      <c r="M208" s="762"/>
    </row>
    <row r="209" spans="1:13" ht="15.75" x14ac:dyDescent="0.25">
      <c r="A209" s="806"/>
      <c r="C209" s="804"/>
      <c r="E209" s="808" t="s">
        <v>732</v>
      </c>
      <c r="F209" s="809" t="s">
        <v>748</v>
      </c>
      <c r="H209" s="806"/>
      <c r="J209" s="804"/>
      <c r="L209" s="808" t="s">
        <v>732</v>
      </c>
      <c r="M209" s="809" t="s">
        <v>748</v>
      </c>
    </row>
    <row r="210" spans="1:13" ht="15.75" x14ac:dyDescent="0.25">
      <c r="A210" s="806" t="s">
        <v>753</v>
      </c>
      <c r="C210" s="804"/>
      <c r="E210" s="810"/>
      <c r="F210" s="811" t="s">
        <v>751</v>
      </c>
      <c r="H210" s="806" t="s">
        <v>753</v>
      </c>
      <c r="J210" s="804"/>
      <c r="L210" s="810"/>
      <c r="M210" s="811" t="s">
        <v>751</v>
      </c>
    </row>
    <row r="211" spans="1:13" ht="15.75" x14ac:dyDescent="0.25">
      <c r="A211" s="806" t="s">
        <v>754</v>
      </c>
      <c r="C211" s="804"/>
      <c r="E211" s="812"/>
      <c r="F211" s="777"/>
      <c r="H211" s="806" t="s">
        <v>754</v>
      </c>
      <c r="J211" s="804"/>
      <c r="L211" s="812"/>
      <c r="M211" s="777"/>
    </row>
    <row r="212" spans="1:13" ht="15.75" x14ac:dyDescent="0.25">
      <c r="A212" s="806" t="s">
        <v>755</v>
      </c>
      <c r="C212" s="804"/>
      <c r="E212" s="813" t="s">
        <v>233</v>
      </c>
      <c r="F212" s="814">
        <f>ROUND($C214*F199,4)</f>
        <v>0.83540000000000003</v>
      </c>
      <c r="H212" s="806" t="s">
        <v>755</v>
      </c>
      <c r="J212" s="804"/>
      <c r="L212" s="813" t="s">
        <v>233</v>
      </c>
      <c r="M212" s="814">
        <f>ROUND($J214*M199,4)</f>
        <v>0.83630000000000004</v>
      </c>
    </row>
    <row r="213" spans="1:13" x14ac:dyDescent="0.2">
      <c r="A213" s="756"/>
      <c r="C213" s="804"/>
      <c r="E213" s="815"/>
      <c r="F213" s="787"/>
      <c r="H213" s="756"/>
      <c r="J213" s="804"/>
      <c r="L213" s="815"/>
      <c r="M213" s="787"/>
    </row>
    <row r="214" spans="1:13" ht="15.75" x14ac:dyDescent="0.25">
      <c r="A214" s="816" t="s">
        <v>756</v>
      </c>
      <c r="B214" s="817"/>
      <c r="C214" s="795">
        <f>100%-C195</f>
        <v>0.94399999999999995</v>
      </c>
      <c r="E214" s="818" t="s">
        <v>229</v>
      </c>
      <c r="F214" s="819">
        <f>ROUND($C214*F201,4)</f>
        <v>9.4399999999999998E-2</v>
      </c>
      <c r="H214" s="816" t="s">
        <v>756</v>
      </c>
      <c r="I214" s="817"/>
      <c r="J214" s="795">
        <f>100%-J195</f>
        <v>0.94499999999999995</v>
      </c>
      <c r="L214" s="818" t="s">
        <v>229</v>
      </c>
      <c r="M214" s="819">
        <f>ROUND($J214*M201,4)</f>
        <v>9.4500000000000001E-2</v>
      </c>
    </row>
    <row r="215" spans="1:13" ht="15.75" x14ac:dyDescent="0.25">
      <c r="B215" s="820"/>
      <c r="C215" s="821"/>
      <c r="D215" s="822">
        <f>SUM(D210:D214)</f>
        <v>0</v>
      </c>
      <c r="E215" s="823" t="s">
        <v>230</v>
      </c>
      <c r="F215" s="819">
        <f>ROUND($C214*F202,4)</f>
        <v>1.4200000000000001E-2</v>
      </c>
      <c r="I215" s="820"/>
      <c r="J215" s="821"/>
      <c r="K215" s="822">
        <f>SUM(K210:K214)</f>
        <v>0</v>
      </c>
      <c r="L215" s="823" t="s">
        <v>230</v>
      </c>
      <c r="M215" s="819">
        <f>ROUND($J214*M202,4)</f>
        <v>1.4200000000000001E-2</v>
      </c>
    </row>
    <row r="216" spans="1:13" ht="15.75" x14ac:dyDescent="0.25">
      <c r="B216" s="820"/>
      <c r="C216" s="821"/>
      <c r="D216" s="824"/>
      <c r="E216" s="825" t="s">
        <v>757</v>
      </c>
      <c r="F216" s="819">
        <f>C195</f>
        <v>5.6000000000000001E-2</v>
      </c>
      <c r="I216" s="820"/>
      <c r="J216" s="821"/>
      <c r="K216" s="824"/>
      <c r="L216" s="825" t="s">
        <v>757</v>
      </c>
      <c r="M216" s="819">
        <f>J195</f>
        <v>5.5E-2</v>
      </c>
    </row>
    <row r="217" spans="1:13" ht="15.75" x14ac:dyDescent="0.25">
      <c r="B217" s="820"/>
      <c r="C217" s="821"/>
      <c r="E217" s="825" t="s">
        <v>758</v>
      </c>
      <c r="F217" s="819">
        <f>SUM(F212:F216)</f>
        <v>1</v>
      </c>
      <c r="I217" s="820"/>
      <c r="J217" s="821"/>
      <c r="L217" s="825" t="s">
        <v>758</v>
      </c>
      <c r="M217" s="819">
        <f>SUM(M212:M216)</f>
        <v>1</v>
      </c>
    </row>
    <row r="218" spans="1:13" ht="16.5" thickBot="1" x14ac:dyDescent="0.3">
      <c r="B218" s="820"/>
      <c r="C218" s="821"/>
      <c r="E218" s="826" t="s">
        <v>742</v>
      </c>
      <c r="F218" s="827" t="str">
        <f>IF(F217=0,"",IF(F217=100%,"OK","erro"))</f>
        <v>OK</v>
      </c>
      <c r="I218" s="820"/>
      <c r="J218" s="821"/>
      <c r="L218" s="826" t="s">
        <v>742</v>
      </c>
      <c r="M218" s="827" t="str">
        <f>IF(M217=0,"",IF(M217=100%,"OK","erro"))</f>
        <v>OK</v>
      </c>
    </row>
  </sheetData>
  <sheetProtection algorithmName="SHA-512" hashValue="TqUNink8eqd0BHQqkOEkvC5UVqTohLDz/WfSFnjkYqBhnqNpAP1Zqzb/NqIEkdMhC+tc7uhDMOd7odnNpQd7vQ==" saltValue="AoQaZ4bPce5i+zZ/4cN41w==" spinCount="100000" sheet="1" objects="1" scenarios="1" formatColumns="0" formatRows="0" autoFilter="0"/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F124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15">
    <tabColor theme="3" tint="0.79998168889431442"/>
  </sheetPr>
  <dimension ref="A1:G43"/>
  <sheetViews>
    <sheetView workbookViewId="0"/>
  </sheetViews>
  <sheetFormatPr defaultColWidth="9.33203125" defaultRowHeight="12.75" x14ac:dyDescent="0.2"/>
  <cols>
    <col min="1" max="1" width="44.5" style="108" customWidth="1"/>
    <col min="2" max="2" width="31.6640625" style="108" customWidth="1"/>
    <col min="3" max="3" width="36" style="108" customWidth="1"/>
    <col min="4" max="4" width="5.1640625" style="108" customWidth="1"/>
    <col min="5" max="5" width="34.5" style="108" customWidth="1"/>
    <col min="6" max="6" width="9.6640625" style="108" customWidth="1"/>
    <col min="7" max="7" width="35.1640625" style="108" customWidth="1"/>
    <col min="8" max="16384" width="9.33203125" style="108"/>
  </cols>
  <sheetData>
    <row r="1" spans="1:7" ht="27" thickBot="1" x14ac:dyDescent="0.45">
      <c r="A1" s="591" t="s">
        <v>576</v>
      </c>
      <c r="B1" s="592"/>
      <c r="C1" s="592"/>
      <c r="D1" s="592"/>
      <c r="E1" s="593"/>
      <c r="G1" s="108" t="s">
        <v>2155</v>
      </c>
    </row>
    <row r="2" spans="1:7" ht="21" thickBot="1" x14ac:dyDescent="0.35">
      <c r="A2" s="594"/>
      <c r="B2" s="595" t="s">
        <v>577</v>
      </c>
      <c r="C2" s="596"/>
      <c r="D2" s="597"/>
      <c r="E2" s="598"/>
      <c r="G2" s="622"/>
    </row>
    <row r="3" spans="1:7" ht="27" thickBot="1" x14ac:dyDescent="0.45">
      <c r="A3" s="599" t="s">
        <v>578</v>
      </c>
      <c r="B3" s="600"/>
      <c r="C3" s="600"/>
      <c r="D3" s="600"/>
      <c r="E3" s="601"/>
      <c r="G3" s="622"/>
    </row>
    <row r="4" spans="1:7" ht="18.75" thickBot="1" x14ac:dyDescent="0.3">
      <c r="A4" s="602" t="s">
        <v>579</v>
      </c>
      <c r="B4" s="603"/>
      <c r="C4" s="603"/>
      <c r="D4" s="603"/>
      <c r="E4" s="604"/>
      <c r="G4" s="622"/>
    </row>
    <row r="5" spans="1:7" ht="21.95" customHeight="1" x14ac:dyDescent="0.2">
      <c r="A5" s="722" t="s">
        <v>580</v>
      </c>
      <c r="B5" s="723"/>
      <c r="C5" s="605"/>
      <c r="D5" s="1360" t="s">
        <v>581</v>
      </c>
      <c r="E5" s="1363">
        <v>0.6</v>
      </c>
      <c r="G5" s="622"/>
    </row>
    <row r="6" spans="1:7" ht="21.95" customHeight="1" thickBot="1" x14ac:dyDescent="0.3">
      <c r="A6" s="718" t="s">
        <v>582</v>
      </c>
      <c r="B6" s="724"/>
      <c r="C6" s="606" t="s">
        <v>583</v>
      </c>
      <c r="D6" s="1361"/>
      <c r="E6" s="1364"/>
      <c r="G6" s="622"/>
    </row>
    <row r="7" spans="1:7" ht="21.95" customHeight="1" x14ac:dyDescent="0.25">
      <c r="A7" s="607" t="s">
        <v>584</v>
      </c>
      <c r="B7" s="1366" t="str">
        <f>IF(B5=0,"",ROUND(B6/B5,4))</f>
        <v/>
      </c>
      <c r="C7" s="608" t="s">
        <v>585</v>
      </c>
      <c r="D7" s="1361"/>
      <c r="E7" s="1364"/>
      <c r="G7" s="622"/>
    </row>
    <row r="8" spans="1:7" ht="21.95" customHeight="1" thickBot="1" x14ac:dyDescent="0.3">
      <c r="A8" s="609" t="s">
        <v>585</v>
      </c>
      <c r="B8" s="1367"/>
      <c r="C8" s="610"/>
      <c r="D8" s="1362"/>
      <c r="E8" s="1365"/>
      <c r="G8" s="622"/>
    </row>
    <row r="9" spans="1:7" s="504" customFormat="1" ht="31.5" customHeight="1" thickBot="1" x14ac:dyDescent="0.25">
      <c r="A9" s="718" t="s">
        <v>586</v>
      </c>
      <c r="B9" s="719" t="str">
        <f>IF(B5=0,"",IF(B7&gt;=E5,"APROVADO","INVIÁVELl"))</f>
        <v/>
      </c>
      <c r="C9" s="720"/>
      <c r="D9" s="720"/>
      <c r="E9" s="721"/>
      <c r="G9" s="715"/>
    </row>
    <row r="10" spans="1:7" x14ac:dyDescent="0.2">
      <c r="A10" s="611"/>
      <c r="B10" s="605"/>
      <c r="C10" s="605"/>
      <c r="D10" s="605"/>
      <c r="E10" s="612"/>
      <c r="G10" s="622"/>
    </row>
    <row r="11" spans="1:7" ht="18.75" thickBot="1" x14ac:dyDescent="0.3">
      <c r="A11" s="613" t="s">
        <v>587</v>
      </c>
      <c r="B11" s="603"/>
      <c r="C11" s="603"/>
      <c r="D11" s="603"/>
      <c r="E11" s="604"/>
      <c r="G11" s="622"/>
    </row>
    <row r="12" spans="1:7" ht="26.1" customHeight="1" thickBot="1" x14ac:dyDescent="0.25">
      <c r="A12" s="714" t="s">
        <v>588</v>
      </c>
      <c r="B12" s="1368">
        <f>Grandes_Itens!F17</f>
        <v>1262521.29</v>
      </c>
      <c r="C12" s="1369"/>
      <c r="D12" s="1369"/>
      <c r="E12" s="1370"/>
      <c r="G12" s="622"/>
    </row>
    <row r="13" spans="1:7" ht="21.95" customHeight="1" x14ac:dyDescent="0.2">
      <c r="A13" s="614"/>
      <c r="B13" s="1371" t="str">
        <f>IF(B5=0,"",IF(B12=0,"",ROUND(B12/B5,4)))</f>
        <v/>
      </c>
      <c r="C13" s="605"/>
      <c r="D13" s="1360" t="s">
        <v>589</v>
      </c>
      <c r="E13" s="1373">
        <v>16075.91</v>
      </c>
      <c r="G13" s="622"/>
    </row>
    <row r="14" spans="1:7" ht="21.95" customHeight="1" x14ac:dyDescent="0.25">
      <c r="A14" s="615" t="s">
        <v>590</v>
      </c>
      <c r="B14" s="1372"/>
      <c r="C14" s="616" t="s">
        <v>583</v>
      </c>
      <c r="D14" s="1361"/>
      <c r="E14" s="1374"/>
      <c r="G14" s="622"/>
    </row>
    <row r="15" spans="1:7" ht="21.95" customHeight="1" x14ac:dyDescent="0.25">
      <c r="A15" s="617" t="s">
        <v>585</v>
      </c>
      <c r="B15" s="1376" t="s">
        <v>2179</v>
      </c>
      <c r="C15" s="618" t="s">
        <v>585</v>
      </c>
      <c r="D15" s="1361"/>
      <c r="E15" s="1374"/>
      <c r="G15" s="622"/>
    </row>
    <row r="16" spans="1:7" ht="10.5" customHeight="1" thickBot="1" x14ac:dyDescent="0.3">
      <c r="A16" s="609"/>
      <c r="B16" s="1377"/>
      <c r="C16" s="610"/>
      <c r="D16" s="1362"/>
      <c r="E16" s="1375"/>
      <c r="G16" s="622"/>
    </row>
    <row r="17" spans="1:7" s="504" customFormat="1" ht="30" customHeight="1" thickBot="1" x14ac:dyDescent="0.25">
      <c r="A17" s="717" t="s">
        <v>586</v>
      </c>
      <c r="B17" s="711" t="str">
        <f>IF(B13=0,"",IF(B12=0,"",IF(B13&lt;=E13,"APROVADO","INVIÁVEL")))</f>
        <v>INVIÁVEL</v>
      </c>
      <c r="C17" s="712"/>
      <c r="D17" s="712"/>
      <c r="E17" s="713"/>
      <c r="G17" s="715"/>
    </row>
    <row r="22" spans="1:7" x14ac:dyDescent="0.2">
      <c r="E22" s="597"/>
    </row>
    <row r="23" spans="1:7" x14ac:dyDescent="0.2">
      <c r="B23" s="620"/>
      <c r="E23" s="597"/>
    </row>
    <row r="24" spans="1:7" x14ac:dyDescent="0.2">
      <c r="B24" s="620"/>
      <c r="E24" s="597"/>
      <c r="F24" s="320"/>
    </row>
    <row r="25" spans="1:7" x14ac:dyDescent="0.2">
      <c r="B25" s="620"/>
      <c r="E25" s="597"/>
      <c r="F25" s="320"/>
    </row>
    <row r="26" spans="1:7" x14ac:dyDescent="0.2">
      <c r="B26" s="620"/>
      <c r="E26" s="597"/>
      <c r="F26" s="320"/>
    </row>
    <row r="28" spans="1:7" x14ac:dyDescent="0.2">
      <c r="B28" s="620"/>
    </row>
    <row r="29" spans="1:7" x14ac:dyDescent="0.2">
      <c r="B29" s="620"/>
    </row>
    <row r="31" spans="1:7" x14ac:dyDescent="0.2">
      <c r="B31" s="620"/>
    </row>
    <row r="32" spans="1:7" x14ac:dyDescent="0.2">
      <c r="B32" s="620"/>
    </row>
    <row r="43" spans="2:2" x14ac:dyDescent="0.2">
      <c r="B43" s="621" t="s">
        <v>2055</v>
      </c>
    </row>
  </sheetData>
  <sheetProtection algorithmName="SHA-512" hashValue="f1R0BX4ZgXyhu7YKHdxhilSkw76dJaKxow48tnPgi+qEyv5gOZ1/n1nOh+2gHGmhjNDktpraeNY+k6e2h5pCfQ==" saltValue="ArS44RUns8sEZJIIdI3OLA==" spinCount="100000" sheet="1" objects="1" scenarios="1" formatColumns="0" formatRows="0"/>
  <mergeCells count="8">
    <mergeCell ref="D5:D8"/>
    <mergeCell ref="E5:E8"/>
    <mergeCell ref="B7:B8"/>
    <mergeCell ref="B12:E12"/>
    <mergeCell ref="B13:B14"/>
    <mergeCell ref="D13:D16"/>
    <mergeCell ref="E13:E16"/>
    <mergeCell ref="B15:B16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16"/>
  <dimension ref="A1:I12"/>
  <sheetViews>
    <sheetView workbookViewId="0"/>
  </sheetViews>
  <sheetFormatPr defaultColWidth="9.33203125" defaultRowHeight="12.75" x14ac:dyDescent="0.2"/>
  <cols>
    <col min="1" max="1" width="48.6640625" style="108" customWidth="1"/>
    <col min="2" max="2" width="27.6640625" style="108" customWidth="1"/>
    <col min="3" max="3" width="41.6640625" style="108" customWidth="1"/>
    <col min="4" max="4" width="5.1640625" style="108" customWidth="1"/>
    <col min="5" max="5" width="34.5" style="108" customWidth="1"/>
    <col min="6" max="6" width="17.1640625" style="108" customWidth="1"/>
    <col min="7" max="7" width="35.1640625" style="108" customWidth="1"/>
    <col min="8" max="16384" width="9.33203125" style="108"/>
  </cols>
  <sheetData>
    <row r="1" spans="1:9" ht="27" thickBot="1" x14ac:dyDescent="0.45">
      <c r="A1" s="591" t="s">
        <v>576</v>
      </c>
      <c r="B1" s="592"/>
      <c r="C1" s="592"/>
      <c r="D1" s="592"/>
      <c r="E1" s="593"/>
      <c r="G1" s="108" t="s">
        <v>2155</v>
      </c>
    </row>
    <row r="2" spans="1:9" ht="21" thickBot="1" x14ac:dyDescent="0.35">
      <c r="A2" s="594"/>
      <c r="B2" s="595" t="s">
        <v>591</v>
      </c>
      <c r="C2" s="596"/>
      <c r="D2" s="597"/>
      <c r="E2" s="598"/>
      <c r="G2" s="622"/>
    </row>
    <row r="3" spans="1:9" ht="27" thickBot="1" x14ac:dyDescent="0.45">
      <c r="A3" s="599" t="s">
        <v>578</v>
      </c>
      <c r="B3" s="600"/>
      <c r="C3" s="600"/>
      <c r="D3" s="600"/>
      <c r="E3" s="601"/>
      <c r="G3" s="622"/>
    </row>
    <row r="4" spans="1:9" x14ac:dyDescent="0.2">
      <c r="A4" s="611"/>
      <c r="B4" s="605"/>
      <c r="C4" s="605"/>
      <c r="D4" s="605"/>
      <c r="E4" s="612"/>
      <c r="G4" s="622"/>
      <c r="H4" s="623"/>
      <c r="I4" s="623"/>
    </row>
    <row r="5" spans="1:9" ht="18.75" thickBot="1" x14ac:dyDescent="0.3">
      <c r="A5" s="613" t="s">
        <v>592</v>
      </c>
      <c r="B5" s="603"/>
      <c r="C5" s="603"/>
      <c r="D5" s="603"/>
      <c r="E5" s="604"/>
      <c r="G5" s="622"/>
      <c r="H5" s="623"/>
      <c r="I5" s="623"/>
    </row>
    <row r="6" spans="1:9" s="504" customFormat="1" ht="26.1" customHeight="1" thickBot="1" x14ac:dyDescent="0.25">
      <c r="A6" s="714" t="s">
        <v>593</v>
      </c>
      <c r="B6" s="1378">
        <f>Grandes_Itens!F17</f>
        <v>1262521.29</v>
      </c>
      <c r="C6" s="1379"/>
      <c r="D6" s="1379"/>
      <c r="E6" s="1380"/>
      <c r="G6" s="715"/>
      <c r="H6" s="716"/>
      <c r="I6" s="716"/>
    </row>
    <row r="7" spans="1:9" s="504" customFormat="1" ht="26.1" customHeight="1" thickBot="1" x14ac:dyDescent="0.25">
      <c r="A7" s="714" t="s">
        <v>594</v>
      </c>
      <c r="B7" s="1381"/>
      <c r="C7" s="1382"/>
      <c r="D7" s="1382"/>
      <c r="E7" s="1383"/>
      <c r="G7" s="715"/>
      <c r="I7" s="716"/>
    </row>
    <row r="8" spans="1:9" ht="12.75" customHeight="1" x14ac:dyDescent="0.2">
      <c r="A8" s="614"/>
      <c r="B8" s="707"/>
      <c r="C8" s="605"/>
      <c r="D8" s="1360" t="s">
        <v>589</v>
      </c>
      <c r="E8" s="1384">
        <v>283.69</v>
      </c>
      <c r="G8" s="622"/>
    </row>
    <row r="9" spans="1:9" ht="18" x14ac:dyDescent="0.25">
      <c r="A9" s="615" t="s">
        <v>590</v>
      </c>
      <c r="B9" s="708"/>
      <c r="C9" s="616" t="s">
        <v>595</v>
      </c>
      <c r="D9" s="1361"/>
      <c r="E9" s="1385"/>
      <c r="G9" s="622"/>
    </row>
    <row r="10" spans="1:9" ht="18" x14ac:dyDescent="0.25">
      <c r="A10" s="617" t="s">
        <v>594</v>
      </c>
      <c r="B10" s="710" t="str">
        <f>'viab-pav'!B15</f>
        <v>atualizado : fev/2023</v>
      </c>
      <c r="C10" s="618" t="s">
        <v>594</v>
      </c>
      <c r="D10" s="1361"/>
      <c r="E10" s="1386"/>
      <c r="G10" s="622"/>
    </row>
    <row r="11" spans="1:9" ht="9.75" customHeight="1" thickBot="1" x14ac:dyDescent="0.3">
      <c r="A11" s="609"/>
      <c r="B11" s="709"/>
      <c r="C11" s="610"/>
      <c r="D11" s="1362"/>
      <c r="E11" s="1387"/>
      <c r="G11" s="622"/>
    </row>
    <row r="12" spans="1:9" ht="31.5" customHeight="1" thickBot="1" x14ac:dyDescent="0.3">
      <c r="A12" s="619" t="s">
        <v>586</v>
      </c>
      <c r="B12" s="711" t="str">
        <f>IF(B7=0,"",IF(B6=0,"",IF(B8&lt;=E8,"APROVADO","INVIÁVEL")))</f>
        <v/>
      </c>
      <c r="C12" s="712"/>
      <c r="D12" s="712"/>
      <c r="E12" s="713"/>
      <c r="G12" s="622"/>
    </row>
  </sheetData>
  <sheetProtection algorithmName="SHA-512" hashValue="O3j8aRMcdkry7fRS4udQCXN5woCsjEUpVA2hfanfDL8iDnNSyFQaXyIJKXoEFzrYLZpk04AzETHAhn3N00lAKQ==" saltValue="XxBOtW3yzP32cJJJ0JuVLg==" spinCount="100000" sheet="1" objects="1" scenarios="1" formatColumns="0" formatRows="0"/>
  <mergeCells count="4">
    <mergeCell ref="B6:E6"/>
    <mergeCell ref="B7:E7"/>
    <mergeCell ref="D8:D11"/>
    <mergeCell ref="E8:E11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18">
    <pageSetUpPr fitToPage="1"/>
  </sheetPr>
  <dimension ref="A1:Z86"/>
  <sheetViews>
    <sheetView workbookViewId="0"/>
  </sheetViews>
  <sheetFormatPr defaultColWidth="12" defaultRowHeight="11.25" x14ac:dyDescent="0.2"/>
  <cols>
    <col min="1" max="1" width="15.83203125" bestFit="1" customWidth="1"/>
    <col min="2" max="2" width="15.83203125" customWidth="1"/>
    <col min="3" max="3" width="149.1640625" customWidth="1"/>
    <col min="4" max="4" width="0.6640625" customWidth="1"/>
    <col min="5" max="5" width="15.1640625" customWidth="1"/>
    <col min="6" max="6" width="15.83203125" customWidth="1"/>
    <col min="7" max="7" width="12.6640625" customWidth="1"/>
    <col min="8" max="8" width="17.83203125" customWidth="1"/>
    <col min="9" max="9" width="14.6640625" customWidth="1"/>
    <col min="10" max="10" width="16.1640625" bestFit="1" customWidth="1"/>
    <col min="11" max="11" width="14.5" customWidth="1"/>
    <col min="12" max="12" width="13.83203125" customWidth="1"/>
    <col min="13" max="13" width="13.5" customWidth="1"/>
    <col min="14" max="14" width="25.1640625" customWidth="1"/>
    <col min="15" max="15" width="21.5" customWidth="1"/>
    <col min="16" max="16" width="14.33203125" customWidth="1"/>
    <col min="17" max="17" width="18" customWidth="1"/>
    <col min="18" max="18" width="15.5" customWidth="1"/>
    <col min="19" max="19" width="14.6640625" customWidth="1"/>
    <col min="20" max="20" width="25.1640625" customWidth="1"/>
    <col min="21" max="23" width="23.1640625" customWidth="1"/>
    <col min="24" max="24" width="14.6640625" customWidth="1"/>
    <col min="25" max="25" width="19.5" customWidth="1"/>
    <col min="26" max="26" width="20.1640625" customWidth="1"/>
  </cols>
  <sheetData>
    <row r="1" spans="1:24" ht="26.25" customHeight="1" x14ac:dyDescent="0.2">
      <c r="A1" s="1267" t="s">
        <v>2253</v>
      </c>
      <c r="C1" s="1266"/>
      <c r="T1" s="253"/>
    </row>
    <row r="2" spans="1:24" ht="26.25" customHeight="1" x14ac:dyDescent="0.25">
      <c r="A2" s="1268">
        <v>345.22</v>
      </c>
      <c r="B2" s="1268"/>
      <c r="C2" s="1269"/>
      <c r="D2" s="1269"/>
      <c r="E2" s="1270"/>
      <c r="F2" s="1268"/>
      <c r="G2" s="1268"/>
      <c r="H2" s="1269" t="s">
        <v>2261</v>
      </c>
      <c r="I2" s="1270">
        <v>301.64999999999998</v>
      </c>
      <c r="J2" s="1270"/>
      <c r="K2" s="1270">
        <v>495.35</v>
      </c>
      <c r="L2" s="1270"/>
      <c r="M2" s="1270">
        <v>278.64</v>
      </c>
      <c r="N2" s="1270">
        <v>58.84</v>
      </c>
      <c r="O2" s="1270">
        <v>578</v>
      </c>
      <c r="P2" s="1270">
        <v>408.95</v>
      </c>
      <c r="Q2" s="1270">
        <v>455.36</v>
      </c>
      <c r="R2" s="1270">
        <v>487.71</v>
      </c>
      <c r="S2" s="1270">
        <v>495.4</v>
      </c>
      <c r="T2" s="1270">
        <f>449.92*0.005</f>
        <v>2.2496</v>
      </c>
      <c r="U2" s="1270">
        <v>20.239999999999998</v>
      </c>
      <c r="V2" s="1270">
        <v>17.84</v>
      </c>
      <c r="W2" s="1270">
        <v>19.489999999999998</v>
      </c>
      <c r="X2" s="1268">
        <v>363.12</v>
      </c>
    </row>
    <row r="3" spans="1:24" ht="17.100000000000001" customHeight="1" thickBot="1" x14ac:dyDescent="0.3">
      <c r="A3" s="1271">
        <v>378.9</v>
      </c>
      <c r="B3" s="1271"/>
      <c r="C3" s="1272"/>
      <c r="D3" s="1272"/>
      <c r="E3" s="1273"/>
      <c r="F3" s="1271"/>
      <c r="G3" s="1271"/>
      <c r="H3" s="1272" t="s">
        <v>2260</v>
      </c>
      <c r="I3" s="1273">
        <v>212.58</v>
      </c>
      <c r="J3" s="1273"/>
      <c r="K3" s="1273">
        <v>516.92999999999995</v>
      </c>
      <c r="L3" s="1273"/>
      <c r="M3" s="1273">
        <v>291.92</v>
      </c>
      <c r="N3" s="1273">
        <v>62.53</v>
      </c>
      <c r="O3" s="1273">
        <v>586</v>
      </c>
      <c r="P3" s="1273">
        <v>425.25</v>
      </c>
      <c r="Q3" s="1273">
        <v>471.16</v>
      </c>
      <c r="R3" s="1273">
        <v>503.25</v>
      </c>
      <c r="S3" s="1273">
        <v>510.89</v>
      </c>
      <c r="T3" s="1273">
        <f>ROUND(466.54*0.005,2)</f>
        <v>2.33</v>
      </c>
      <c r="U3" s="1273">
        <v>18.420000000000002</v>
      </c>
      <c r="V3" s="1273">
        <v>18.34</v>
      </c>
      <c r="W3" s="1273">
        <v>20.91</v>
      </c>
      <c r="X3" s="1271">
        <v>386.51</v>
      </c>
    </row>
    <row r="4" spans="1:24" ht="70.5" customHeight="1" thickBot="1" x14ac:dyDescent="0.3">
      <c r="A4" s="8" t="s">
        <v>2256</v>
      </c>
      <c r="B4" s="27"/>
      <c r="C4" s="9" t="s">
        <v>47</v>
      </c>
      <c r="D4" s="10"/>
      <c r="E4" s="11" t="s">
        <v>48</v>
      </c>
      <c r="F4" s="12" t="s">
        <v>49</v>
      </c>
      <c r="G4" s="12" t="s">
        <v>50</v>
      </c>
      <c r="H4" s="13" t="s">
        <v>51</v>
      </c>
      <c r="I4" s="16" t="s">
        <v>2259</v>
      </c>
      <c r="J4" s="14" t="s">
        <v>52</v>
      </c>
      <c r="K4" s="16" t="s">
        <v>531</v>
      </c>
      <c r="L4" s="15" t="s">
        <v>53</v>
      </c>
      <c r="M4" s="8" t="s">
        <v>2262</v>
      </c>
      <c r="N4" s="8" t="s">
        <v>2257</v>
      </c>
      <c r="O4" s="16" t="s">
        <v>2258</v>
      </c>
      <c r="P4" s="17" t="s">
        <v>2263</v>
      </c>
      <c r="Q4" s="16" t="s">
        <v>2264</v>
      </c>
      <c r="R4" s="16" t="s">
        <v>2265</v>
      </c>
      <c r="S4" s="16" t="s">
        <v>2266</v>
      </c>
      <c r="T4" s="16" t="s">
        <v>2267</v>
      </c>
      <c r="U4" s="16" t="s">
        <v>2268</v>
      </c>
      <c r="V4" s="16" t="s">
        <v>2269</v>
      </c>
      <c r="W4" s="16" t="s">
        <v>2270</v>
      </c>
      <c r="X4" s="16" t="s">
        <v>2271</v>
      </c>
    </row>
    <row r="5" spans="1:24" ht="16.5" thickBot="1" x14ac:dyDescent="0.3">
      <c r="A5" s="3"/>
      <c r="B5" s="3"/>
      <c r="C5" s="2" t="s">
        <v>54</v>
      </c>
      <c r="D5" s="7"/>
      <c r="E5" s="85">
        <f>O5*0.846</f>
        <v>0.87983999999999996</v>
      </c>
      <c r="F5" s="85">
        <f>A5*0.27*0.7+M5*0.1+O5*0.0588+P5*0.18+Q5*0.27+R5*0.33+S5*0.344+T5*0.005*0.434</f>
        <v>0.11541040000000001</v>
      </c>
      <c r="G5" s="85">
        <f>A5*0.921*0.7+M5*0.51+O5*0.396+P5*1.06+Q5*0.96+R5*0.921+S5*1.02+T5*0.005*1.575</f>
        <v>0.62209000000000003</v>
      </c>
      <c r="H5" s="85">
        <f>A5*1.11*0.7+M5*1.5+P5*1.11+Q5*1.11+R5*1.11+S5*1.11</f>
        <v>0.20424000000000003</v>
      </c>
      <c r="I5" s="4"/>
      <c r="J5" s="259">
        <f>ROUND(A5*$A$3+M5*$M$3+N5*$N$3+O5*$O$3+P5*$P$3+Q5*$Q$3+R5*$R$3+S5*$S$3+T5*$T$3+U5*$U$3+V5*$V$3+W5*$W$3+X5*$X$3+K5*$K$3+I5*$I$3,2)</f>
        <v>1441.24</v>
      </c>
      <c r="K5" s="4"/>
      <c r="L5" s="85">
        <f>O5*0.0282</f>
        <v>2.9328E-2</v>
      </c>
      <c r="M5" s="5"/>
      <c r="N5" s="248">
        <f>ROUND(1.5*1.25/4,2)</f>
        <v>0.47</v>
      </c>
      <c r="O5" s="248">
        <f>ROUND(O6/1.5*1.2,2)</f>
        <v>1.04</v>
      </c>
      <c r="P5" s="248">
        <v>9.4E-2</v>
      </c>
      <c r="Q5" s="3"/>
      <c r="R5" s="248">
        <v>0.09</v>
      </c>
      <c r="S5" s="6"/>
      <c r="T5" s="248">
        <f>ROUND(T6/1.5*1.2,2)</f>
        <v>3.52</v>
      </c>
      <c r="U5" s="6"/>
      <c r="V5" s="6"/>
      <c r="W5" s="248">
        <v>15.42</v>
      </c>
      <c r="X5" s="247">
        <v>1</v>
      </c>
    </row>
    <row r="6" spans="1:24" ht="16.5" thickBot="1" x14ac:dyDescent="0.3">
      <c r="A6" s="3"/>
      <c r="B6" s="3"/>
      <c r="C6" s="2" t="s">
        <v>55</v>
      </c>
      <c r="D6" s="7"/>
      <c r="E6" s="1">
        <f t="shared" ref="E6:E69" si="0">O6*0.846</f>
        <v>1.0998000000000001</v>
      </c>
      <c r="F6" s="1">
        <f t="shared" ref="F6:F69" si="1">A6*0.27*0.7+M6*0.1+O6*0.0588+P6*0.18+Q6*0.27+R6*0.33+S6*0.344+T6*0.005*0.434</f>
        <v>0.132608</v>
      </c>
      <c r="G6" s="1">
        <f t="shared" ref="G6:G69" si="2">A6*0.921*0.7+M6*0.51+O6*0.396+P6*1.06+Q6*0.96+R6*0.921+S6*1.02+T6*0.005*1.575</f>
        <v>0.73198000000000008</v>
      </c>
      <c r="H6" s="1">
        <f t="shared" ref="H6:H69" si="3">A6*1.11*0.7+M6*1.5+P6*1.11+Q6*1.11+R6*1.11+S6*1.11</f>
        <v>0.20424000000000003</v>
      </c>
      <c r="I6" s="4"/>
      <c r="J6" s="259">
        <f t="shared" ref="J6:J69" si="4">ROUND(A6*$A$3+M6*$M$3+N6*$N$3+O6*$O$3+P6*$P$3+Q6*$Q$3+R6*$R$3+S6*$S$3+T6*$T$3+U6*$U$3+V6*$V$3+W6*$W$3+X6*$X$3+K6*$K$3+I6*$I$3,2)</f>
        <v>1595.65</v>
      </c>
      <c r="K6" s="4"/>
      <c r="L6" s="1">
        <f t="shared" ref="L6:L69" si="5">O6*0.0282</f>
        <v>3.6659999999999998E-2</v>
      </c>
      <c r="M6" s="5"/>
      <c r="N6" s="6">
        <f>ROUND(1.5*1.25/4,2)</f>
        <v>0.47</v>
      </c>
      <c r="O6" s="18">
        <f>ROUND(0.89*2*0.25*(1.5+0.75)*1.3,2)</f>
        <v>1.3</v>
      </c>
      <c r="P6" s="6">
        <v>9.4E-2</v>
      </c>
      <c r="Q6" s="3"/>
      <c r="R6" s="6">
        <v>0.09</v>
      </c>
      <c r="S6" s="6"/>
      <c r="T6" s="18">
        <v>4.4000000000000004</v>
      </c>
      <c r="U6" s="6"/>
      <c r="V6" s="6"/>
      <c r="W6" s="6">
        <v>15.42</v>
      </c>
      <c r="X6" s="3">
        <v>1</v>
      </c>
    </row>
    <row r="7" spans="1:24" ht="16.5" thickBot="1" x14ac:dyDescent="0.3">
      <c r="A7" s="3"/>
      <c r="B7" s="3"/>
      <c r="C7" s="2" t="s">
        <v>56</v>
      </c>
      <c r="D7" s="7"/>
      <c r="E7" s="1">
        <f t="shared" si="0"/>
        <v>1.4635799999999999</v>
      </c>
      <c r="F7" s="1">
        <f t="shared" si="1"/>
        <v>0.1610819</v>
      </c>
      <c r="G7" s="1">
        <f t="shared" si="2"/>
        <v>0.91383625000000013</v>
      </c>
      <c r="H7" s="1">
        <f t="shared" si="3"/>
        <v>0.20424000000000003</v>
      </c>
      <c r="I7" s="4"/>
      <c r="J7" s="259">
        <f t="shared" si="4"/>
        <v>1851.05</v>
      </c>
      <c r="K7" s="4"/>
      <c r="L7" s="1">
        <f t="shared" si="5"/>
        <v>4.8785999999999996E-2</v>
      </c>
      <c r="M7" s="5"/>
      <c r="N7" s="6">
        <f>ROUND(1.5*1.25/4,2)</f>
        <v>0.47</v>
      </c>
      <c r="O7" s="6">
        <f>ROUND(O6/1.5*2,2)</f>
        <v>1.73</v>
      </c>
      <c r="P7" s="6">
        <v>9.4E-2</v>
      </c>
      <c r="Q7" s="3"/>
      <c r="R7" s="6">
        <v>0.09</v>
      </c>
      <c r="S7" s="6"/>
      <c r="T7" s="6">
        <f>ROUND(T6/1.5*2,2)</f>
        <v>5.87</v>
      </c>
      <c r="U7" s="6"/>
      <c r="V7" s="6"/>
      <c r="W7" s="6">
        <v>15.42</v>
      </c>
      <c r="X7" s="3">
        <v>1</v>
      </c>
    </row>
    <row r="8" spans="1:24" ht="16.5" thickBot="1" x14ac:dyDescent="0.3">
      <c r="A8" s="3"/>
      <c r="B8" s="3"/>
      <c r="C8" s="2" t="s">
        <v>57</v>
      </c>
      <c r="D8" s="7"/>
      <c r="E8" s="1">
        <f t="shared" si="0"/>
        <v>1.8358199999999998</v>
      </c>
      <c r="F8" s="1">
        <f t="shared" si="1"/>
        <v>0.19012209999999999</v>
      </c>
      <c r="G8" s="1">
        <f t="shared" si="2"/>
        <v>1.09957375</v>
      </c>
      <c r="H8" s="1">
        <f t="shared" si="3"/>
        <v>0.20424000000000003</v>
      </c>
      <c r="I8" s="4"/>
      <c r="J8" s="259">
        <f t="shared" si="4"/>
        <v>2112.3000000000002</v>
      </c>
      <c r="K8" s="4"/>
      <c r="L8" s="1">
        <f t="shared" si="5"/>
        <v>6.1193999999999998E-2</v>
      </c>
      <c r="M8" s="5"/>
      <c r="N8" s="6">
        <f>ROUND(1.5*1.25/4,2)</f>
        <v>0.47</v>
      </c>
      <c r="O8" s="6">
        <f>ROUND(O6/1.5*2.5,2)</f>
        <v>2.17</v>
      </c>
      <c r="P8" s="6">
        <v>9.4E-2</v>
      </c>
      <c r="Q8" s="3"/>
      <c r="R8" s="6">
        <v>0.09</v>
      </c>
      <c r="S8" s="6"/>
      <c r="T8" s="6">
        <f>ROUND(T6/1.5*2.5,2)</f>
        <v>7.33</v>
      </c>
      <c r="U8" s="6"/>
      <c r="V8" s="6"/>
      <c r="W8" s="6">
        <v>15.42</v>
      </c>
      <c r="X8" s="3">
        <v>1</v>
      </c>
    </row>
    <row r="9" spans="1:24" ht="16.5" thickBot="1" x14ac:dyDescent="0.3">
      <c r="A9" s="3"/>
      <c r="B9" s="3"/>
      <c r="C9" s="2" t="s">
        <v>367</v>
      </c>
      <c r="D9" s="7"/>
      <c r="E9" s="1">
        <f t="shared" si="0"/>
        <v>0</v>
      </c>
      <c r="F9" s="1">
        <f t="shared" si="1"/>
        <v>0.43266000000000004</v>
      </c>
      <c r="G9" s="1">
        <f t="shared" si="2"/>
        <v>1.26997</v>
      </c>
      <c r="H9" s="1">
        <f t="shared" si="3"/>
        <v>1.5118200000000002</v>
      </c>
      <c r="I9" s="4"/>
      <c r="J9" s="259">
        <f t="shared" si="4"/>
        <v>1144.18</v>
      </c>
      <c r="K9" s="4"/>
      <c r="L9" s="1">
        <f t="shared" si="5"/>
        <v>0</v>
      </c>
      <c r="M9" s="5"/>
      <c r="N9" s="6">
        <f>N13/2</f>
        <v>1.2949999999999999</v>
      </c>
      <c r="O9" s="6"/>
      <c r="P9" s="6">
        <v>0.112</v>
      </c>
      <c r="Q9" s="3"/>
      <c r="R9" s="6">
        <f>ROUND(1.58/1.45*1.15,2)</f>
        <v>1.25</v>
      </c>
      <c r="S9" s="6"/>
      <c r="T9" s="6"/>
      <c r="U9" s="6"/>
      <c r="V9" s="6"/>
      <c r="W9" s="6"/>
      <c r="X9" s="3">
        <v>1</v>
      </c>
    </row>
    <row r="10" spans="1:24" ht="16.5" thickBot="1" x14ac:dyDescent="0.3">
      <c r="A10" s="3"/>
      <c r="B10" s="3"/>
      <c r="C10" s="2" t="s">
        <v>368</v>
      </c>
      <c r="D10" s="7"/>
      <c r="E10" s="1">
        <f t="shared" si="0"/>
        <v>0</v>
      </c>
      <c r="F10" s="1">
        <f t="shared" si="1"/>
        <v>0.54156000000000004</v>
      </c>
      <c r="G10" s="1">
        <f t="shared" si="2"/>
        <v>1.5739000000000001</v>
      </c>
      <c r="H10" s="1">
        <f t="shared" si="3"/>
        <v>1.8781200000000002</v>
      </c>
      <c r="I10" s="4"/>
      <c r="J10" s="259">
        <f t="shared" si="4"/>
        <v>1331.51</v>
      </c>
      <c r="K10" s="4"/>
      <c r="L10" s="1">
        <f t="shared" si="5"/>
        <v>0</v>
      </c>
      <c r="M10" s="5"/>
      <c r="N10" s="6">
        <f>N14/2</f>
        <v>1.635</v>
      </c>
      <c r="O10" s="6"/>
      <c r="P10" s="6">
        <v>0.112</v>
      </c>
      <c r="Q10" s="3"/>
      <c r="R10" s="6">
        <v>1.58</v>
      </c>
      <c r="S10" s="6"/>
      <c r="T10" s="6"/>
      <c r="U10" s="6"/>
      <c r="V10" s="6"/>
      <c r="W10" s="6"/>
      <c r="X10" s="3">
        <v>1</v>
      </c>
    </row>
    <row r="11" spans="1:24" ht="16.5" thickBot="1" x14ac:dyDescent="0.3">
      <c r="A11" s="3"/>
      <c r="B11" s="3"/>
      <c r="C11" s="2" t="s">
        <v>369</v>
      </c>
      <c r="D11" s="7"/>
      <c r="E11" s="1">
        <f t="shared" si="0"/>
        <v>0</v>
      </c>
      <c r="F11" s="1">
        <f t="shared" si="1"/>
        <v>0.71976000000000007</v>
      </c>
      <c r="G11" s="1">
        <f t="shared" si="2"/>
        <v>2.0712400000000004</v>
      </c>
      <c r="H11" s="1">
        <f t="shared" si="3"/>
        <v>2.4775200000000002</v>
      </c>
      <c r="I11" s="4"/>
      <c r="J11" s="259">
        <f t="shared" si="4"/>
        <v>1638.59</v>
      </c>
      <c r="K11" s="4"/>
      <c r="L11" s="1">
        <f t="shared" si="5"/>
        <v>0</v>
      </c>
      <c r="M11" s="5"/>
      <c r="N11" s="6">
        <f>N15/2</f>
        <v>2.2000000000000002</v>
      </c>
      <c r="O11" s="6"/>
      <c r="P11" s="6">
        <v>0.112</v>
      </c>
      <c r="Q11" s="3"/>
      <c r="R11" s="6">
        <f>ROUND(1.58/1.45*1.95,2)</f>
        <v>2.12</v>
      </c>
      <c r="S11" s="6"/>
      <c r="T11" s="6"/>
      <c r="U11" s="6"/>
      <c r="V11" s="6"/>
      <c r="W11" s="6"/>
      <c r="X11" s="3">
        <v>1</v>
      </c>
    </row>
    <row r="12" spans="1:24" ht="16.5" thickBot="1" x14ac:dyDescent="0.3">
      <c r="A12" s="3"/>
      <c r="B12" s="3"/>
      <c r="C12" s="2" t="s">
        <v>370</v>
      </c>
      <c r="D12" s="7"/>
      <c r="E12" s="1">
        <f t="shared" si="0"/>
        <v>0</v>
      </c>
      <c r="F12" s="1">
        <f t="shared" si="1"/>
        <v>0.90125999999999995</v>
      </c>
      <c r="G12" s="1">
        <f t="shared" si="2"/>
        <v>2.5777900000000002</v>
      </c>
      <c r="H12" s="1">
        <f t="shared" si="3"/>
        <v>3.0880200000000002</v>
      </c>
      <c r="I12" s="4"/>
      <c r="J12" s="259">
        <f t="shared" si="4"/>
        <v>1950.71</v>
      </c>
      <c r="K12" s="4"/>
      <c r="L12" s="1">
        <f t="shared" si="5"/>
        <v>0</v>
      </c>
      <c r="M12" s="5"/>
      <c r="N12" s="6">
        <f>N16/2</f>
        <v>2.7650000000000001</v>
      </c>
      <c r="O12" s="6"/>
      <c r="P12" s="6">
        <v>0.112</v>
      </c>
      <c r="Q12" s="3"/>
      <c r="R12" s="6">
        <f>ROUND(1.58/1.45*2.45,2)</f>
        <v>2.67</v>
      </c>
      <c r="S12" s="6"/>
      <c r="T12" s="6"/>
      <c r="U12" s="6"/>
      <c r="V12" s="6"/>
      <c r="W12" s="6"/>
      <c r="X12" s="3">
        <v>1</v>
      </c>
    </row>
    <row r="13" spans="1:24" ht="16.5" thickBot="1" x14ac:dyDescent="0.3">
      <c r="A13" s="3"/>
      <c r="B13" s="3"/>
      <c r="C13" s="2" t="s">
        <v>90</v>
      </c>
      <c r="D13" s="7"/>
      <c r="E13" s="1">
        <f t="shared" si="0"/>
        <v>0</v>
      </c>
      <c r="F13" s="1">
        <f t="shared" si="1"/>
        <v>0.20478000000000002</v>
      </c>
      <c r="G13" s="1">
        <f t="shared" si="2"/>
        <v>0.60275000000000001</v>
      </c>
      <c r="H13" s="1">
        <f t="shared" si="3"/>
        <v>0.71706000000000003</v>
      </c>
      <c r="I13" s="4"/>
      <c r="J13" s="259">
        <f t="shared" si="4"/>
        <v>1946.06</v>
      </c>
      <c r="K13" s="4"/>
      <c r="L13" s="1">
        <f t="shared" si="5"/>
        <v>0</v>
      </c>
      <c r="M13" s="5"/>
      <c r="N13" s="6">
        <f>ROUND(N14/1.45*1.15,2)</f>
        <v>2.59</v>
      </c>
      <c r="O13" s="6"/>
      <c r="P13" s="6">
        <f>0.112/2</f>
        <v>5.6000000000000001E-2</v>
      </c>
      <c r="Q13" s="3"/>
      <c r="R13" s="6">
        <f>ROUND(R14/1.45*1.15,2)</f>
        <v>0.59</v>
      </c>
      <c r="S13" s="6"/>
      <c r="T13" s="6"/>
      <c r="U13" s="6"/>
      <c r="V13" s="6"/>
      <c r="W13" s="6">
        <f>ROUND(W14/1.45*1.15,2)</f>
        <v>51.5</v>
      </c>
      <c r="X13" s="3">
        <v>1</v>
      </c>
    </row>
    <row r="14" spans="1:24" ht="16.5" thickBot="1" x14ac:dyDescent="0.3">
      <c r="A14" s="3"/>
      <c r="B14" s="3"/>
      <c r="C14" s="2" t="s">
        <v>87</v>
      </c>
      <c r="D14" s="7"/>
      <c r="E14" s="1">
        <f t="shared" si="0"/>
        <v>0</v>
      </c>
      <c r="F14" s="1">
        <f t="shared" si="1"/>
        <v>0.25757999999999998</v>
      </c>
      <c r="G14" s="1">
        <f t="shared" si="2"/>
        <v>0.75010999999999994</v>
      </c>
      <c r="H14" s="1">
        <f t="shared" si="3"/>
        <v>0.89466000000000001</v>
      </c>
      <c r="I14" s="4"/>
      <c r="J14" s="259">
        <f t="shared" si="4"/>
        <v>2350.13</v>
      </c>
      <c r="K14" s="4"/>
      <c r="L14" s="1">
        <f t="shared" si="5"/>
        <v>0</v>
      </c>
      <c r="M14" s="5"/>
      <c r="N14" s="18">
        <f>ROUND(9.8/3,2)</f>
        <v>3.27</v>
      </c>
      <c r="O14" s="6"/>
      <c r="P14" s="6">
        <f>0.112/2</f>
        <v>5.6000000000000001E-2</v>
      </c>
      <c r="Q14" s="3"/>
      <c r="R14" s="18">
        <v>0.75</v>
      </c>
      <c r="S14" s="18"/>
      <c r="T14" s="6"/>
      <c r="U14" s="18"/>
      <c r="V14" s="18"/>
      <c r="W14" s="18">
        <v>64.94</v>
      </c>
      <c r="X14" s="3">
        <v>1</v>
      </c>
    </row>
    <row r="15" spans="1:24" ht="16.5" thickBot="1" x14ac:dyDescent="0.3">
      <c r="A15" s="3"/>
      <c r="B15" s="3"/>
      <c r="C15" s="2" t="s">
        <v>88</v>
      </c>
      <c r="D15" s="7"/>
      <c r="E15" s="1">
        <f t="shared" si="0"/>
        <v>0</v>
      </c>
      <c r="F15" s="1">
        <f t="shared" si="1"/>
        <v>0.34338000000000002</v>
      </c>
      <c r="G15" s="1">
        <f t="shared" si="2"/>
        <v>0.98957000000000006</v>
      </c>
      <c r="H15" s="1">
        <f t="shared" si="3"/>
        <v>1.1832600000000002</v>
      </c>
      <c r="I15" s="4"/>
      <c r="J15" s="259">
        <f t="shared" si="4"/>
        <v>2551.63</v>
      </c>
      <c r="K15" s="4"/>
      <c r="L15" s="1">
        <f t="shared" si="5"/>
        <v>0</v>
      </c>
      <c r="M15" s="5"/>
      <c r="N15" s="6">
        <f>ROUND(N14/1.45*1.95,2)</f>
        <v>4.4000000000000004</v>
      </c>
      <c r="O15" s="6"/>
      <c r="P15" s="6">
        <f>0.112/2</f>
        <v>5.6000000000000001E-2</v>
      </c>
      <c r="Q15" s="3"/>
      <c r="R15" s="6">
        <f>ROUND(R14/1.45*1.95,2)</f>
        <v>1.01</v>
      </c>
      <c r="S15" s="6"/>
      <c r="T15" s="6"/>
      <c r="U15" s="6"/>
      <c r="V15" s="6"/>
      <c r="W15" s="6">
        <f>ROUND(W14/1.95*1.95,2)</f>
        <v>64.94</v>
      </c>
      <c r="X15" s="3">
        <v>1</v>
      </c>
    </row>
    <row r="16" spans="1:24" ht="16.5" thickBot="1" x14ac:dyDescent="0.3">
      <c r="A16" s="3"/>
      <c r="B16" s="3"/>
      <c r="C16" s="2" t="s">
        <v>89</v>
      </c>
      <c r="D16" s="7"/>
      <c r="E16" s="1">
        <f t="shared" si="0"/>
        <v>0</v>
      </c>
      <c r="F16" s="1">
        <f t="shared" si="1"/>
        <v>0.42918000000000001</v>
      </c>
      <c r="G16" s="1">
        <f t="shared" si="2"/>
        <v>1.2290300000000001</v>
      </c>
      <c r="H16" s="1">
        <f t="shared" si="3"/>
        <v>1.4718600000000002</v>
      </c>
      <c r="I16" s="4"/>
      <c r="J16" s="259">
        <f t="shared" si="4"/>
        <v>3101.29</v>
      </c>
      <c r="K16" s="4"/>
      <c r="L16" s="1">
        <f t="shared" si="5"/>
        <v>0</v>
      </c>
      <c r="M16" s="5"/>
      <c r="N16" s="6">
        <f>ROUND(N14/1.45*2.45,2)</f>
        <v>5.53</v>
      </c>
      <c r="O16" s="6"/>
      <c r="P16" s="6">
        <f>0.112/2</f>
        <v>5.6000000000000001E-2</v>
      </c>
      <c r="Q16" s="3"/>
      <c r="R16" s="6">
        <f>ROUND(R14/1.45*2.45,2)</f>
        <v>1.27</v>
      </c>
      <c r="S16" s="6"/>
      <c r="T16" s="6"/>
      <c r="U16" s="6"/>
      <c r="V16" s="6"/>
      <c r="W16" s="6">
        <f>ROUND(W14/1.95*2.45,2)</f>
        <v>81.59</v>
      </c>
      <c r="X16" s="3">
        <v>1</v>
      </c>
    </row>
    <row r="17" spans="1:26" ht="16.5" thickBot="1" x14ac:dyDescent="0.3">
      <c r="A17" s="3"/>
      <c r="B17" s="3"/>
      <c r="C17" s="2" t="s">
        <v>83</v>
      </c>
      <c r="D17" s="7"/>
      <c r="E17" s="1">
        <f t="shared" si="0"/>
        <v>1.6716959999999998</v>
      </c>
      <c r="F17" s="1">
        <f t="shared" si="1"/>
        <v>0.2047668</v>
      </c>
      <c r="G17" s="1">
        <f t="shared" si="2"/>
        <v>1.1293030000000002</v>
      </c>
      <c r="H17" s="1">
        <f t="shared" si="3"/>
        <v>0.38805600000000001</v>
      </c>
      <c r="I17" s="4"/>
      <c r="J17" s="259">
        <f t="shared" si="4"/>
        <v>2761.42</v>
      </c>
      <c r="K17" s="4"/>
      <c r="L17" s="1">
        <f t="shared" si="5"/>
        <v>5.5723200000000001E-2</v>
      </c>
      <c r="M17" s="5"/>
      <c r="N17" s="6">
        <f>N5*1.9</f>
        <v>0.8929999999999999</v>
      </c>
      <c r="O17" s="6">
        <f>O5*1.9</f>
        <v>1.976</v>
      </c>
      <c r="P17" s="6">
        <f>P5*1.9</f>
        <v>0.17859999999999998</v>
      </c>
      <c r="Q17" s="3"/>
      <c r="R17" s="6">
        <f>R5*1.9</f>
        <v>0.17099999999999999</v>
      </c>
      <c r="S17" s="6"/>
      <c r="T17" s="6"/>
      <c r="U17" s="6"/>
      <c r="V17" s="6"/>
      <c r="W17" s="6">
        <f>W5*1.9</f>
        <v>29.297999999999998</v>
      </c>
      <c r="X17" s="3">
        <v>2</v>
      </c>
    </row>
    <row r="18" spans="1:26" ht="16.5" thickBot="1" x14ac:dyDescent="0.3">
      <c r="A18" s="3"/>
      <c r="B18" s="3"/>
      <c r="C18" s="2" t="s">
        <v>84</v>
      </c>
      <c r="D18" s="7"/>
      <c r="E18" s="1">
        <f t="shared" si="0"/>
        <v>2.0896199999999996</v>
      </c>
      <c r="F18" s="1">
        <f t="shared" si="1"/>
        <v>0.23381399999999999</v>
      </c>
      <c r="G18" s="1">
        <f t="shared" si="2"/>
        <v>1.324927</v>
      </c>
      <c r="H18" s="1">
        <f t="shared" si="3"/>
        <v>0.38805600000000001</v>
      </c>
      <c r="I18" s="4"/>
      <c r="J18" s="259">
        <f t="shared" si="4"/>
        <v>3050.91</v>
      </c>
      <c r="K18" s="4"/>
      <c r="L18" s="1">
        <f t="shared" si="5"/>
        <v>6.9653999999999994E-2</v>
      </c>
      <c r="M18" s="5"/>
      <c r="N18" s="6">
        <f t="shared" ref="N18:P20" si="6">N6*1.9</f>
        <v>0.8929999999999999</v>
      </c>
      <c r="O18" s="6">
        <f t="shared" si="6"/>
        <v>2.4699999999999998</v>
      </c>
      <c r="P18" s="6">
        <f t="shared" si="6"/>
        <v>0.17859999999999998</v>
      </c>
      <c r="Q18" s="3"/>
      <c r="R18" s="6">
        <f>R6*1.9</f>
        <v>0.17099999999999999</v>
      </c>
      <c r="S18" s="6"/>
      <c r="T18" s="6"/>
      <c r="U18" s="6"/>
      <c r="V18" s="6"/>
      <c r="W18" s="6">
        <f>W6*1.9</f>
        <v>29.297999999999998</v>
      </c>
      <c r="X18" s="3">
        <v>2</v>
      </c>
    </row>
    <row r="19" spans="1:26" ht="16.5" thickBot="1" x14ac:dyDescent="0.3">
      <c r="A19" s="3"/>
      <c r="B19" s="3"/>
      <c r="C19" s="2" t="s">
        <v>85</v>
      </c>
      <c r="D19" s="7"/>
      <c r="E19" s="1">
        <f t="shared" si="0"/>
        <v>2.780802</v>
      </c>
      <c r="F19" s="1">
        <f t="shared" si="1"/>
        <v>0.28185359999999998</v>
      </c>
      <c r="G19" s="1">
        <f t="shared" si="2"/>
        <v>1.6484590000000001</v>
      </c>
      <c r="H19" s="1">
        <f t="shared" si="3"/>
        <v>0.38805600000000001</v>
      </c>
      <c r="I19" s="4"/>
      <c r="J19" s="259">
        <f t="shared" si="4"/>
        <v>3529.67</v>
      </c>
      <c r="K19" s="4"/>
      <c r="L19" s="1">
        <f t="shared" si="5"/>
        <v>9.2693399999999995E-2</v>
      </c>
      <c r="M19" s="5"/>
      <c r="N19" s="6">
        <f t="shared" si="6"/>
        <v>0.8929999999999999</v>
      </c>
      <c r="O19" s="6">
        <f t="shared" si="6"/>
        <v>3.2869999999999999</v>
      </c>
      <c r="P19" s="6">
        <f t="shared" si="6"/>
        <v>0.17859999999999998</v>
      </c>
      <c r="Q19" s="3"/>
      <c r="R19" s="6">
        <f>R7*1.9</f>
        <v>0.17099999999999999</v>
      </c>
      <c r="S19" s="6"/>
      <c r="T19" s="6"/>
      <c r="U19" s="6"/>
      <c r="V19" s="6"/>
      <c r="W19" s="6">
        <f>W7*1.9</f>
        <v>29.297999999999998</v>
      </c>
      <c r="X19" s="3">
        <v>2</v>
      </c>
    </row>
    <row r="20" spans="1:26" ht="16.5" thickBot="1" x14ac:dyDescent="0.3">
      <c r="A20" s="3"/>
      <c r="B20" s="3"/>
      <c r="C20" s="2" t="s">
        <v>86</v>
      </c>
      <c r="D20" s="7"/>
      <c r="E20" s="1">
        <f t="shared" si="0"/>
        <v>3.4880579999999992</v>
      </c>
      <c r="F20" s="1">
        <f t="shared" si="1"/>
        <v>0.33101039999999993</v>
      </c>
      <c r="G20" s="1">
        <f t="shared" si="2"/>
        <v>1.9795149999999999</v>
      </c>
      <c r="H20" s="1">
        <f t="shared" si="3"/>
        <v>0.38805600000000001</v>
      </c>
      <c r="I20" s="4"/>
      <c r="J20" s="259">
        <f t="shared" si="4"/>
        <v>4019.56</v>
      </c>
      <c r="K20" s="4"/>
      <c r="L20" s="1">
        <f t="shared" si="5"/>
        <v>0.11626859999999997</v>
      </c>
      <c r="M20" s="5"/>
      <c r="N20" s="6">
        <f t="shared" si="6"/>
        <v>0.8929999999999999</v>
      </c>
      <c r="O20" s="6">
        <f t="shared" si="6"/>
        <v>4.1229999999999993</v>
      </c>
      <c r="P20" s="6">
        <f t="shared" si="6"/>
        <v>0.17859999999999998</v>
      </c>
      <c r="Q20" s="3"/>
      <c r="R20" s="6">
        <f>R8*1.9</f>
        <v>0.17099999999999999</v>
      </c>
      <c r="S20" s="6"/>
      <c r="T20" s="6"/>
      <c r="U20" s="6"/>
      <c r="V20" s="6"/>
      <c r="W20" s="6">
        <f>W8*1.9</f>
        <v>29.297999999999998</v>
      </c>
      <c r="X20" s="3">
        <v>2</v>
      </c>
    </row>
    <row r="21" spans="1:26" ht="16.5" thickBot="1" x14ac:dyDescent="0.3">
      <c r="A21" s="3"/>
      <c r="B21" s="3"/>
      <c r="C21" s="2" t="s">
        <v>371</v>
      </c>
      <c r="D21" s="7"/>
      <c r="E21" s="1">
        <f t="shared" si="0"/>
        <v>0</v>
      </c>
      <c r="F21" s="1">
        <f t="shared" si="1"/>
        <v>0.82205400000000006</v>
      </c>
      <c r="G21" s="1">
        <f t="shared" si="2"/>
        <v>2.4129430000000003</v>
      </c>
      <c r="H21" s="1">
        <f t="shared" si="3"/>
        <v>2.8724580000000004</v>
      </c>
      <c r="I21" s="4"/>
      <c r="J21" s="259">
        <f t="shared" si="4"/>
        <v>2212.59</v>
      </c>
      <c r="K21" s="4"/>
      <c r="L21" s="1">
        <f t="shared" si="5"/>
        <v>0</v>
      </c>
      <c r="M21" s="5"/>
      <c r="N21" s="6">
        <f>1.9*N9</f>
        <v>2.4604999999999997</v>
      </c>
      <c r="O21" s="6"/>
      <c r="P21" s="6">
        <f t="shared" ref="P21:P28" si="7">1.9*P9</f>
        <v>0.21279999999999999</v>
      </c>
      <c r="Q21" s="3"/>
      <c r="R21" s="6">
        <f t="shared" ref="R21:R28" si="8">1.9*R9</f>
        <v>2.375</v>
      </c>
      <c r="S21" s="6"/>
      <c r="T21" s="6"/>
      <c r="U21" s="6"/>
      <c r="V21" s="6"/>
      <c r="W21" s="6"/>
      <c r="X21" s="3">
        <v>2</v>
      </c>
    </row>
    <row r="22" spans="1:26" ht="16.5" thickBot="1" x14ac:dyDescent="0.3">
      <c r="A22" s="3"/>
      <c r="B22" s="3"/>
      <c r="C22" s="2" t="s">
        <v>372</v>
      </c>
      <c r="D22" s="7"/>
      <c r="E22" s="1">
        <f t="shared" si="0"/>
        <v>0</v>
      </c>
      <c r="F22" s="1">
        <f t="shared" si="1"/>
        <v>1.028964</v>
      </c>
      <c r="G22" s="1">
        <f t="shared" si="2"/>
        <v>2.9904099999999998</v>
      </c>
      <c r="H22" s="1">
        <f t="shared" si="3"/>
        <v>3.5684279999999999</v>
      </c>
      <c r="I22" s="4"/>
      <c r="J22" s="259">
        <f t="shared" si="4"/>
        <v>2568.52</v>
      </c>
      <c r="K22" s="4"/>
      <c r="L22" s="1">
        <f t="shared" si="5"/>
        <v>0</v>
      </c>
      <c r="M22" s="5"/>
      <c r="N22" s="6">
        <f t="shared" ref="N22:N28" si="9">1.9*N10</f>
        <v>3.1065</v>
      </c>
      <c r="O22" s="6"/>
      <c r="P22" s="6">
        <f t="shared" si="7"/>
        <v>0.21279999999999999</v>
      </c>
      <c r="Q22" s="3"/>
      <c r="R22" s="6">
        <f t="shared" si="8"/>
        <v>3.0019999999999998</v>
      </c>
      <c r="S22" s="6"/>
      <c r="T22" s="6"/>
      <c r="U22" s="6"/>
      <c r="V22" s="6"/>
      <c r="W22" s="6"/>
      <c r="X22" s="3">
        <v>2</v>
      </c>
    </row>
    <row r="23" spans="1:26" ht="16.5" thickBot="1" x14ac:dyDescent="0.3">
      <c r="A23" s="3"/>
      <c r="B23" s="3"/>
      <c r="C23" s="2" t="s">
        <v>373</v>
      </c>
      <c r="D23" s="7"/>
      <c r="E23" s="1">
        <f t="shared" si="0"/>
        <v>0</v>
      </c>
      <c r="F23" s="1">
        <f t="shared" si="1"/>
        <v>1.3675439999999999</v>
      </c>
      <c r="G23" s="1">
        <f t="shared" si="2"/>
        <v>3.9353559999999996</v>
      </c>
      <c r="H23" s="1">
        <f t="shared" si="3"/>
        <v>4.7072880000000001</v>
      </c>
      <c r="I23" s="4"/>
      <c r="J23" s="259">
        <f t="shared" si="4"/>
        <v>3151.98</v>
      </c>
      <c r="K23" s="4"/>
      <c r="L23" s="1">
        <f t="shared" si="5"/>
        <v>0</v>
      </c>
      <c r="M23" s="5"/>
      <c r="N23" s="6">
        <f t="shared" si="9"/>
        <v>4.18</v>
      </c>
      <c r="O23" s="6"/>
      <c r="P23" s="6">
        <f t="shared" si="7"/>
        <v>0.21279999999999999</v>
      </c>
      <c r="Q23" s="3"/>
      <c r="R23" s="6">
        <f t="shared" si="8"/>
        <v>4.0279999999999996</v>
      </c>
      <c r="S23" s="6"/>
      <c r="T23" s="6"/>
      <c r="U23" s="6"/>
      <c r="V23" s="6"/>
      <c r="W23" s="6"/>
      <c r="X23" s="3">
        <v>2</v>
      </c>
    </row>
    <row r="24" spans="1:26" ht="16.5" thickBot="1" x14ac:dyDescent="0.3">
      <c r="A24" s="3"/>
      <c r="B24" s="3"/>
      <c r="C24" s="2" t="s">
        <v>374</v>
      </c>
      <c r="D24" s="7"/>
      <c r="E24" s="1">
        <f t="shared" si="0"/>
        <v>0</v>
      </c>
      <c r="F24" s="1">
        <f t="shared" si="1"/>
        <v>1.7123939999999997</v>
      </c>
      <c r="G24" s="1">
        <f t="shared" si="2"/>
        <v>4.8978009999999994</v>
      </c>
      <c r="H24" s="1">
        <f t="shared" si="3"/>
        <v>5.8672380000000004</v>
      </c>
      <c r="I24" s="4"/>
      <c r="J24" s="259">
        <f t="shared" si="4"/>
        <v>3745</v>
      </c>
      <c r="K24" s="4"/>
      <c r="L24" s="1">
        <f t="shared" si="5"/>
        <v>0</v>
      </c>
      <c r="M24" s="5"/>
      <c r="N24" s="6">
        <f t="shared" si="9"/>
        <v>5.2534999999999998</v>
      </c>
      <c r="O24" s="6"/>
      <c r="P24" s="6">
        <f t="shared" si="7"/>
        <v>0.21279999999999999</v>
      </c>
      <c r="Q24" s="3"/>
      <c r="R24" s="6">
        <f t="shared" si="8"/>
        <v>5.0729999999999995</v>
      </c>
      <c r="S24" s="6"/>
      <c r="T24" s="6"/>
      <c r="U24" s="6"/>
      <c r="V24" s="6"/>
      <c r="W24" s="6"/>
      <c r="X24" s="3">
        <v>2</v>
      </c>
    </row>
    <row r="25" spans="1:26" ht="16.5" thickBot="1" x14ac:dyDescent="0.3">
      <c r="A25" s="3"/>
      <c r="B25" s="3"/>
      <c r="C25" s="2" t="s">
        <v>94</v>
      </c>
      <c r="D25" s="7"/>
      <c r="E25" s="1">
        <f t="shared" si="0"/>
        <v>0</v>
      </c>
      <c r="F25" s="1">
        <f t="shared" si="1"/>
        <v>0.38908200000000004</v>
      </c>
      <c r="G25" s="1">
        <f t="shared" si="2"/>
        <v>1.1452249999999999</v>
      </c>
      <c r="H25" s="1">
        <f t="shared" si="3"/>
        <v>1.362414</v>
      </c>
      <c r="I25" s="4"/>
      <c r="J25" s="259">
        <f t="shared" si="4"/>
        <v>3736.16</v>
      </c>
      <c r="K25" s="4"/>
      <c r="L25" s="1">
        <f t="shared" si="5"/>
        <v>0</v>
      </c>
      <c r="M25" s="5"/>
      <c r="N25" s="6">
        <f>1.9*N13</f>
        <v>4.9209999999999994</v>
      </c>
      <c r="O25" s="6"/>
      <c r="P25" s="6">
        <f t="shared" si="7"/>
        <v>0.10639999999999999</v>
      </c>
      <c r="Q25" s="3"/>
      <c r="R25" s="6">
        <f>1.9*R13</f>
        <v>1.121</v>
      </c>
      <c r="S25" s="6"/>
      <c r="T25" s="6"/>
      <c r="U25" s="6"/>
      <c r="V25" s="6"/>
      <c r="W25" s="6">
        <f>1.9*W13</f>
        <v>97.85</v>
      </c>
      <c r="X25" s="3">
        <v>2</v>
      </c>
    </row>
    <row r="26" spans="1:26" ht="16.5" thickBot="1" x14ac:dyDescent="0.3">
      <c r="A26" s="3"/>
      <c r="B26" s="3"/>
      <c r="C26" s="2" t="s">
        <v>91</v>
      </c>
      <c r="D26" s="7"/>
      <c r="E26" s="1">
        <f t="shared" si="0"/>
        <v>0</v>
      </c>
      <c r="F26" s="1">
        <f t="shared" si="1"/>
        <v>0.48940199999999995</v>
      </c>
      <c r="G26" s="1">
        <f t="shared" si="2"/>
        <v>1.4252089999999999</v>
      </c>
      <c r="H26" s="1">
        <f t="shared" si="3"/>
        <v>1.699854</v>
      </c>
      <c r="I26" s="4"/>
      <c r="J26" s="259">
        <f t="shared" si="4"/>
        <v>4503.8999999999996</v>
      </c>
      <c r="K26" s="4"/>
      <c r="L26" s="1">
        <f t="shared" si="5"/>
        <v>0</v>
      </c>
      <c r="M26" s="5"/>
      <c r="N26" s="6">
        <f t="shared" si="9"/>
        <v>6.2130000000000001</v>
      </c>
      <c r="O26" s="6"/>
      <c r="P26" s="6">
        <f t="shared" si="7"/>
        <v>0.10639999999999999</v>
      </c>
      <c r="Q26" s="3"/>
      <c r="R26" s="6">
        <f t="shared" si="8"/>
        <v>1.4249999999999998</v>
      </c>
      <c r="S26" s="6"/>
      <c r="T26" s="6"/>
      <c r="U26" s="6"/>
      <c r="V26" s="6"/>
      <c r="W26" s="6">
        <f>1.9*W14</f>
        <v>123.386</v>
      </c>
      <c r="X26" s="3">
        <v>2</v>
      </c>
    </row>
    <row r="27" spans="1:26" ht="16.5" thickBot="1" x14ac:dyDescent="0.3">
      <c r="A27" s="3"/>
      <c r="B27" s="3"/>
      <c r="C27" s="2" t="s">
        <v>92</v>
      </c>
      <c r="D27" s="7"/>
      <c r="E27" s="1">
        <f t="shared" si="0"/>
        <v>0</v>
      </c>
      <c r="F27" s="1">
        <f t="shared" si="1"/>
        <v>0.65242199999999995</v>
      </c>
      <c r="G27" s="1">
        <f t="shared" si="2"/>
        <v>1.8801829999999999</v>
      </c>
      <c r="H27" s="1">
        <f t="shared" si="3"/>
        <v>2.2481940000000002</v>
      </c>
      <c r="I27" s="4"/>
      <c r="J27" s="259">
        <f t="shared" si="4"/>
        <v>4886.76</v>
      </c>
      <c r="K27" s="4"/>
      <c r="L27" s="1">
        <f t="shared" si="5"/>
        <v>0</v>
      </c>
      <c r="M27" s="5"/>
      <c r="N27" s="6">
        <f t="shared" si="9"/>
        <v>8.36</v>
      </c>
      <c r="O27" s="6"/>
      <c r="P27" s="6">
        <f t="shared" si="7"/>
        <v>0.10639999999999999</v>
      </c>
      <c r="Q27" s="3"/>
      <c r="R27" s="6">
        <f t="shared" si="8"/>
        <v>1.9189999999999998</v>
      </c>
      <c r="S27" s="6"/>
      <c r="T27" s="6"/>
      <c r="U27" s="6"/>
      <c r="V27" s="6"/>
      <c r="W27" s="6">
        <f>1.9*W15</f>
        <v>123.386</v>
      </c>
      <c r="X27" s="3">
        <v>2</v>
      </c>
    </row>
    <row r="28" spans="1:26" ht="16.5" thickBot="1" x14ac:dyDescent="0.3">
      <c r="A28" s="3"/>
      <c r="B28" s="3"/>
      <c r="C28" s="2" t="s">
        <v>93</v>
      </c>
      <c r="D28" s="7"/>
      <c r="E28" s="1">
        <f t="shared" si="0"/>
        <v>0</v>
      </c>
      <c r="F28" s="1">
        <f t="shared" si="1"/>
        <v>0.81544199999999989</v>
      </c>
      <c r="G28" s="1">
        <f t="shared" si="2"/>
        <v>2.3351569999999997</v>
      </c>
      <c r="H28" s="1">
        <f t="shared" si="3"/>
        <v>2.7965340000000003</v>
      </c>
      <c r="I28" s="4"/>
      <c r="J28" s="259">
        <f t="shared" si="4"/>
        <v>5931.1</v>
      </c>
      <c r="K28" s="4"/>
      <c r="L28" s="1">
        <f t="shared" si="5"/>
        <v>0</v>
      </c>
      <c r="M28" s="5"/>
      <c r="N28" s="6">
        <f t="shared" si="9"/>
        <v>10.507</v>
      </c>
      <c r="O28" s="6"/>
      <c r="P28" s="6">
        <f t="shared" si="7"/>
        <v>0.10639999999999999</v>
      </c>
      <c r="Q28" s="3"/>
      <c r="R28" s="6">
        <f t="shared" si="8"/>
        <v>2.4129999999999998</v>
      </c>
      <c r="S28" s="6"/>
      <c r="T28" s="6"/>
      <c r="U28" s="6"/>
      <c r="V28" s="6"/>
      <c r="W28" s="6">
        <f>1.9*W16</f>
        <v>155.02099999999999</v>
      </c>
      <c r="X28" s="3">
        <v>2</v>
      </c>
    </row>
    <row r="29" spans="1:26" s="86" customFormat="1" ht="16.5" thickBot="1" x14ac:dyDescent="0.3">
      <c r="A29" s="28"/>
      <c r="B29" s="28"/>
      <c r="C29" s="83" t="s">
        <v>81</v>
      </c>
      <c r="D29" s="84"/>
      <c r="E29" s="85">
        <f t="shared" si="0"/>
        <v>0.17055359999999997</v>
      </c>
      <c r="F29" s="85">
        <f t="shared" si="1"/>
        <v>9.9453823999999996E-2</v>
      </c>
      <c r="G29" s="85">
        <f t="shared" si="2"/>
        <v>0.3618486528</v>
      </c>
      <c r="H29" s="1">
        <f t="shared" si="3"/>
        <v>0.308576448</v>
      </c>
      <c r="I29" s="72"/>
      <c r="J29" s="259">
        <f t="shared" si="4"/>
        <v>460.93</v>
      </c>
      <c r="K29" s="72"/>
      <c r="L29" s="85">
        <f t="shared" si="5"/>
        <v>5.6851199999999992E-3</v>
      </c>
      <c r="M29" s="74"/>
      <c r="N29" s="73">
        <f>(0.88*0.88+4*0.09*0.09*0.8)/2.5</f>
        <v>0.32012799999999997</v>
      </c>
      <c r="O29" s="73">
        <f>2*(0.7+0.7)*0.8*0.09</f>
        <v>0.20159999999999997</v>
      </c>
      <c r="P29" s="73">
        <v>0.06</v>
      </c>
      <c r="Q29" s="28"/>
      <c r="R29" s="73">
        <f>3*N29*2*0.1+0.09*0.09*0.8*4</f>
        <v>0.21799679999999999</v>
      </c>
      <c r="S29" s="73"/>
      <c r="T29" s="73">
        <f>4*(0.7+0.7)/2*0.8</f>
        <v>2.2399999999999998</v>
      </c>
      <c r="U29" s="73"/>
      <c r="V29" s="73"/>
      <c r="W29" s="6">
        <f>40*R29</f>
        <v>8.7198719999999987</v>
      </c>
      <c r="X29" s="28"/>
      <c r="Y29"/>
      <c r="Z29"/>
    </row>
    <row r="30" spans="1:26" ht="16.5" thickBot="1" x14ac:dyDescent="0.3">
      <c r="A30" s="3"/>
      <c r="B30" s="3"/>
      <c r="C30" s="2" t="s">
        <v>82</v>
      </c>
      <c r="D30" s="7"/>
      <c r="E30" s="1">
        <f t="shared" si="0"/>
        <v>0.28019519999999998</v>
      </c>
      <c r="F30" s="1">
        <f t="shared" si="1"/>
        <v>0.14735024000000002</v>
      </c>
      <c r="G30" s="1">
        <f t="shared" si="2"/>
        <v>0.52819569600000005</v>
      </c>
      <c r="H30" s="1">
        <f t="shared" si="3"/>
        <v>0.43353936000000004</v>
      </c>
      <c r="I30" s="4"/>
      <c r="J30" s="259">
        <f t="shared" si="4"/>
        <v>702.1</v>
      </c>
      <c r="K30" s="4"/>
      <c r="L30" s="1">
        <f t="shared" si="5"/>
        <v>9.3398400000000003E-3</v>
      </c>
      <c r="M30" s="5"/>
      <c r="N30" s="6">
        <f>(1.1*1.1+4*0.09*0.09*1)/2.5</f>
        <v>0.49696000000000007</v>
      </c>
      <c r="O30" s="6">
        <f>2*(0.92+0.92)*1*0.09</f>
        <v>0.33119999999999999</v>
      </c>
      <c r="P30" s="6">
        <v>0.06</v>
      </c>
      <c r="Q30" s="3"/>
      <c r="R30" s="6">
        <f>3*N30*2*0.1+0.09*0.09*1*4</f>
        <v>0.33057600000000004</v>
      </c>
      <c r="S30" s="6"/>
      <c r="T30" s="6">
        <f>4*(0.92+0.92)/2*1</f>
        <v>3.68</v>
      </c>
      <c r="U30" s="6"/>
      <c r="V30" s="6"/>
      <c r="W30" s="6">
        <f>40*R30</f>
        <v>13.223040000000001</v>
      </c>
      <c r="X30" s="3"/>
    </row>
    <row r="31" spans="1:26" ht="16.5" thickBot="1" x14ac:dyDescent="0.3">
      <c r="A31" s="3"/>
      <c r="B31" s="3"/>
      <c r="C31" s="2" t="s">
        <v>58</v>
      </c>
      <c r="D31" s="7"/>
      <c r="E31" s="1">
        <f t="shared" si="0"/>
        <v>0.6822144</v>
      </c>
      <c r="F31" s="1">
        <f t="shared" si="1"/>
        <v>0.25613760000000002</v>
      </c>
      <c r="G31" s="1">
        <f t="shared" si="2"/>
        <v>0.95694329600000005</v>
      </c>
      <c r="H31" s="1">
        <f t="shared" si="3"/>
        <v>0.70038336000000012</v>
      </c>
      <c r="I31" s="4"/>
      <c r="J31" s="259">
        <f t="shared" si="4"/>
        <v>1305.72</v>
      </c>
      <c r="K31" s="4"/>
      <c r="L31" s="1">
        <f t="shared" si="5"/>
        <v>2.274048E-2</v>
      </c>
      <c r="M31" s="5"/>
      <c r="N31" s="6">
        <f>(1.48*1.48+4*0.14*0.14*1.2)/3</f>
        <v>0.76149333333333324</v>
      </c>
      <c r="O31" s="6">
        <f>2*(1.2+1.2)*1.2*0.14</f>
        <v>0.80640000000000001</v>
      </c>
      <c r="P31" s="6">
        <v>0.08</v>
      </c>
      <c r="Q31" s="3"/>
      <c r="R31" s="6">
        <f>3*N31*2*0.1+0.14*0.14*1.2*4</f>
        <v>0.55097600000000002</v>
      </c>
      <c r="S31" s="6"/>
      <c r="T31" s="6">
        <f>4*(1.2+1.2)/2*1.2</f>
        <v>5.76</v>
      </c>
      <c r="U31" s="6"/>
      <c r="V31" s="6"/>
      <c r="W31" s="6">
        <f>40*R31</f>
        <v>22.03904</v>
      </c>
      <c r="X31" s="3"/>
    </row>
    <row r="32" spans="1:26" ht="16.5" thickBot="1" x14ac:dyDescent="0.3">
      <c r="A32" s="3"/>
      <c r="B32" s="3"/>
      <c r="C32" s="2" t="s">
        <v>59</v>
      </c>
      <c r="D32" s="7"/>
      <c r="E32" s="1">
        <f t="shared" si="0"/>
        <v>0.92856959999999988</v>
      </c>
      <c r="F32" s="1">
        <f t="shared" si="1"/>
        <v>0.33109503999999995</v>
      </c>
      <c r="G32" s="1">
        <f t="shared" si="2"/>
        <v>1.2541824319999999</v>
      </c>
      <c r="H32" s="1">
        <f t="shared" si="3"/>
        <v>0.89487311999999997</v>
      </c>
      <c r="I32" s="4"/>
      <c r="J32" s="259">
        <f t="shared" si="4"/>
        <v>1702.01</v>
      </c>
      <c r="K32" s="4"/>
      <c r="L32" s="1">
        <f t="shared" si="5"/>
        <v>3.0952319999999998E-2</v>
      </c>
      <c r="M32" s="5"/>
      <c r="N32" s="6">
        <f>(1.68*1.68+4*0.14*0.14*1.4)/3</f>
        <v>0.97738666666666651</v>
      </c>
      <c r="O32" s="6">
        <f>2*(1.4+1.4)*1.4*0.14</f>
        <v>1.0975999999999999</v>
      </c>
      <c r="P32" s="6">
        <v>0.11</v>
      </c>
      <c r="Q32" s="3"/>
      <c r="R32" s="6">
        <f>3*N32*2*0.1+0.14*0.14*1.4*4</f>
        <v>0.69619199999999992</v>
      </c>
      <c r="S32" s="6"/>
      <c r="T32" s="6">
        <f>4*(1.4+1.4)/2*1.4</f>
        <v>7.839999999999999</v>
      </c>
      <c r="U32" s="6"/>
      <c r="V32" s="6"/>
      <c r="W32" s="6">
        <f>40*R32</f>
        <v>27.847679999999997</v>
      </c>
      <c r="X32" s="3"/>
    </row>
    <row r="33" spans="1:24" ht="16.5" thickBot="1" x14ac:dyDescent="0.3">
      <c r="A33" s="3"/>
      <c r="B33" s="3"/>
      <c r="C33" s="2" t="s">
        <v>60</v>
      </c>
      <c r="D33" s="7"/>
      <c r="E33" s="1">
        <f t="shared" si="0"/>
        <v>1.3189478400000001</v>
      </c>
      <c r="F33" s="1">
        <f t="shared" si="1"/>
        <v>0.45250179200000007</v>
      </c>
      <c r="G33" s="1">
        <f t="shared" si="2"/>
        <v>1.7334338080000002</v>
      </c>
      <c r="H33" s="1">
        <f t="shared" si="3"/>
        <v>1.2150148800000002</v>
      </c>
      <c r="I33" s="4"/>
      <c r="J33" s="259">
        <f t="shared" si="4"/>
        <v>2343.36</v>
      </c>
      <c r="K33" s="4"/>
      <c r="L33" s="1">
        <f t="shared" si="5"/>
        <v>4.3964928000000007E-2</v>
      </c>
      <c r="M33" s="5"/>
      <c r="N33" s="6">
        <f>(1.98*1.98+4*0.14*0.14*1.6)/3</f>
        <v>1.3486133333333334</v>
      </c>
      <c r="O33" s="6">
        <f>2*(1.7+1.78)*1.6*0.14</f>
        <v>1.5590400000000002</v>
      </c>
      <c r="P33" s="6">
        <v>0.16</v>
      </c>
      <c r="Q33" s="3"/>
      <c r="R33" s="6">
        <f>3*N33*2*0.1+0.14*0.14*1.6*4</f>
        <v>0.93460800000000011</v>
      </c>
      <c r="S33" s="6"/>
      <c r="T33" s="6">
        <f>4*(1.7+1.7)/2*1.6</f>
        <v>10.88</v>
      </c>
      <c r="U33" s="6"/>
      <c r="V33" s="6"/>
      <c r="W33" s="6">
        <f>40*R33</f>
        <v>37.384320000000002</v>
      </c>
      <c r="X33" s="3"/>
    </row>
    <row r="34" spans="1:24" ht="16.5" thickBot="1" x14ac:dyDescent="0.3">
      <c r="A34" s="3"/>
      <c r="B34" s="3"/>
      <c r="C34" s="2" t="s">
        <v>375</v>
      </c>
      <c r="D34" s="7"/>
      <c r="E34" s="1">
        <f t="shared" si="0"/>
        <v>0</v>
      </c>
      <c r="F34" s="1">
        <f t="shared" si="1"/>
        <v>0.1320288</v>
      </c>
      <c r="G34" s="1">
        <f t="shared" si="2"/>
        <v>0.40193856</v>
      </c>
      <c r="H34" s="1">
        <f t="shared" si="3"/>
        <v>0.47436960000000006</v>
      </c>
      <c r="I34" s="4"/>
      <c r="J34" s="259">
        <f t="shared" si="4"/>
        <v>452.08</v>
      </c>
      <c r="K34" s="4"/>
      <c r="L34" s="1">
        <f t="shared" si="5"/>
        <v>0</v>
      </c>
      <c r="M34" s="5"/>
      <c r="N34" s="6">
        <f>N39/2</f>
        <v>0.94933333333333358</v>
      </c>
      <c r="O34" s="6"/>
      <c r="P34" s="6">
        <v>0.06</v>
      </c>
      <c r="Q34" s="3"/>
      <c r="R34" s="6">
        <f>(4*0.8*0.12*(0.7+0.88)/2+(0.8*0.8)*0.1)</f>
        <v>0.36736000000000002</v>
      </c>
      <c r="S34" s="6"/>
      <c r="T34" s="6"/>
      <c r="U34" s="6"/>
      <c r="V34" s="6"/>
      <c r="W34" s="6">
        <f>W29</f>
        <v>8.7198719999999987</v>
      </c>
      <c r="X34" s="3"/>
    </row>
    <row r="35" spans="1:24" ht="16.5" thickBot="1" x14ac:dyDescent="0.3">
      <c r="A35" s="3"/>
      <c r="B35" s="3"/>
      <c r="C35" s="2" t="s">
        <v>376</v>
      </c>
      <c r="D35" s="7"/>
      <c r="E35" s="1">
        <f t="shared" si="0"/>
        <v>0</v>
      </c>
      <c r="F35" s="1">
        <f t="shared" si="1"/>
        <v>0.20444730000000003</v>
      </c>
      <c r="G35" s="1">
        <f t="shared" si="2"/>
        <v>0.60405201000000008</v>
      </c>
      <c r="H35" s="1">
        <f t="shared" si="3"/>
        <v>0.71795910000000007</v>
      </c>
      <c r="I35" s="4"/>
      <c r="J35" s="259">
        <f t="shared" si="4"/>
        <v>692.16</v>
      </c>
      <c r="K35" s="4"/>
      <c r="L35" s="1">
        <f t="shared" si="5"/>
        <v>0</v>
      </c>
      <c r="M35" s="5"/>
      <c r="N35" s="6">
        <f>N40/2</f>
        <v>1.5166833333333332</v>
      </c>
      <c r="O35" s="6"/>
      <c r="P35" s="6">
        <v>0.06</v>
      </c>
      <c r="Q35" s="3"/>
      <c r="R35" s="6">
        <f>(4*1*0.12*(0.92+1.1)/2+(1.01*1.01)*0.1)</f>
        <v>0.58681000000000005</v>
      </c>
      <c r="S35" s="6"/>
      <c r="T35" s="6"/>
      <c r="U35" s="6"/>
      <c r="V35" s="6"/>
      <c r="W35" s="6">
        <f>W30</f>
        <v>13.223040000000001</v>
      </c>
      <c r="X35" s="3"/>
    </row>
    <row r="36" spans="1:24" ht="16.5" thickBot="1" x14ac:dyDescent="0.3">
      <c r="A36" s="3"/>
      <c r="B36" s="3"/>
      <c r="C36" s="2" t="s">
        <v>377</v>
      </c>
      <c r="D36" s="7"/>
      <c r="E36" s="1">
        <f t="shared" si="0"/>
        <v>0</v>
      </c>
      <c r="F36" s="1">
        <f t="shared" si="1"/>
        <v>0.38327894999999995</v>
      </c>
      <c r="G36" s="1">
        <f t="shared" si="2"/>
        <v>1.1143076149999998</v>
      </c>
      <c r="H36" s="1">
        <f t="shared" si="3"/>
        <v>1.3295746499999999</v>
      </c>
      <c r="I36" s="4"/>
      <c r="J36" s="259">
        <f t="shared" si="4"/>
        <v>1210.17</v>
      </c>
      <c r="K36" s="4"/>
      <c r="L36" s="1">
        <f t="shared" si="5"/>
        <v>0</v>
      </c>
      <c r="M36" s="5"/>
      <c r="N36" s="6">
        <f>N41/2</f>
        <v>2.4432666666666667</v>
      </c>
      <c r="O36" s="6"/>
      <c r="P36" s="6">
        <v>0.08</v>
      </c>
      <c r="Q36" s="3"/>
      <c r="R36" s="6">
        <f>(4*1.2*0.15*(1.2+1.48)/2+(1.01*1.01)*0.15)</f>
        <v>1.1178149999999998</v>
      </c>
      <c r="S36" s="6"/>
      <c r="T36" s="6"/>
      <c r="U36" s="6"/>
      <c r="V36" s="6"/>
      <c r="W36" s="6">
        <f>W31</f>
        <v>22.03904</v>
      </c>
      <c r="X36" s="3"/>
    </row>
    <row r="37" spans="1:24" ht="16.5" thickBot="1" x14ac:dyDescent="0.3">
      <c r="A37" s="3"/>
      <c r="B37" s="3"/>
      <c r="C37" s="2" t="s">
        <v>378</v>
      </c>
      <c r="D37" s="7"/>
      <c r="E37" s="1">
        <f t="shared" si="0"/>
        <v>0</v>
      </c>
      <c r="F37" s="1">
        <f t="shared" si="1"/>
        <v>0.56408220000000009</v>
      </c>
      <c r="G37" s="1">
        <f t="shared" si="2"/>
        <v>1.6356421400000001</v>
      </c>
      <c r="H37" s="1">
        <f t="shared" si="3"/>
        <v>1.9528674000000004</v>
      </c>
      <c r="I37" s="4"/>
      <c r="J37" s="259">
        <f t="shared" si="4"/>
        <v>1663.57</v>
      </c>
      <c r="K37" s="4"/>
      <c r="L37" s="1">
        <f t="shared" si="5"/>
        <v>0</v>
      </c>
      <c r="M37" s="5"/>
      <c r="N37" s="6">
        <f>N42/2</f>
        <v>3.2699333333333329</v>
      </c>
      <c r="O37" s="6"/>
      <c r="P37" s="6">
        <v>0.11</v>
      </c>
      <c r="Q37" s="3"/>
      <c r="R37" s="6">
        <f>(4*1.4*0.15*(1.4+1.68)/2+(1.54*1.54)*0.15)</f>
        <v>1.64934</v>
      </c>
      <c r="S37" s="6"/>
      <c r="T37" s="6"/>
      <c r="U37" s="6"/>
      <c r="V37" s="6"/>
      <c r="W37" s="6">
        <f>W32</f>
        <v>27.847679999999997</v>
      </c>
      <c r="X37" s="3"/>
    </row>
    <row r="38" spans="1:24" ht="16.5" thickBot="1" x14ac:dyDescent="0.3">
      <c r="A38" s="3"/>
      <c r="B38" s="3"/>
      <c r="C38" s="2" t="s">
        <v>379</v>
      </c>
      <c r="D38" s="7"/>
      <c r="E38" s="1">
        <f t="shared" si="0"/>
        <v>0</v>
      </c>
      <c r="F38" s="1">
        <f t="shared" si="1"/>
        <v>0.77929919999999997</v>
      </c>
      <c r="G38" s="1">
        <f t="shared" si="2"/>
        <v>2.26417504</v>
      </c>
      <c r="H38" s="1">
        <f t="shared" si="3"/>
        <v>2.7020064000000001</v>
      </c>
      <c r="I38" s="4"/>
      <c r="J38" s="259">
        <f t="shared" si="4"/>
        <v>2274.9899999999998</v>
      </c>
      <c r="K38" s="4"/>
      <c r="L38" s="1">
        <f t="shared" si="5"/>
        <v>0</v>
      </c>
      <c r="M38" s="5"/>
      <c r="N38" s="6">
        <f>N43/2</f>
        <v>4.4896000000000003</v>
      </c>
      <c r="O38" s="6"/>
      <c r="P38" s="6">
        <v>0.16</v>
      </c>
      <c r="Q38" s="3"/>
      <c r="R38" s="6">
        <f>(4*1.6*0.15*(1.7+1.98)/2+(1.84*1.84)*0.15)</f>
        <v>2.2742399999999998</v>
      </c>
      <c r="S38" s="6"/>
      <c r="T38" s="6"/>
      <c r="U38" s="6"/>
      <c r="V38" s="6"/>
      <c r="W38" s="6">
        <f>W33</f>
        <v>37.384320000000002</v>
      </c>
      <c r="X38" s="3"/>
    </row>
    <row r="39" spans="1:24" ht="16.5" thickBot="1" x14ac:dyDescent="0.3">
      <c r="A39" s="3"/>
      <c r="B39" s="3"/>
      <c r="C39" s="2" t="s">
        <v>380</v>
      </c>
      <c r="D39" s="7"/>
      <c r="E39" s="1">
        <f t="shared" si="0"/>
        <v>0</v>
      </c>
      <c r="F39" s="1">
        <f t="shared" si="1"/>
        <v>0.13625280000000003</v>
      </c>
      <c r="G39" s="1">
        <f t="shared" si="2"/>
        <v>0.41372736000000004</v>
      </c>
      <c r="H39" s="1">
        <f t="shared" si="3"/>
        <v>0.48857760000000011</v>
      </c>
      <c r="I39" s="4"/>
      <c r="J39" s="259">
        <f t="shared" si="4"/>
        <v>931.7</v>
      </c>
      <c r="K39" s="4"/>
      <c r="L39" s="1">
        <f t="shared" si="5"/>
        <v>0</v>
      </c>
      <c r="M39" s="5"/>
      <c r="N39" s="6">
        <f>(4*0.8*(0.7+0.88)+(0.8*0.8))/3</f>
        <v>1.8986666666666672</v>
      </c>
      <c r="O39" s="6"/>
      <c r="P39" s="6">
        <v>0.06</v>
      </c>
      <c r="Q39" s="3"/>
      <c r="R39" s="6">
        <f>(4*0.8*0.12*(0.7+0.88)/2+(0.8*0.8)*0.12)</f>
        <v>0.38016000000000005</v>
      </c>
      <c r="S39" s="6"/>
      <c r="T39" s="6"/>
      <c r="U39" s="6"/>
      <c r="V39" s="6"/>
      <c r="W39" s="6">
        <f>ROUND(R39*75,2)</f>
        <v>28.51</v>
      </c>
      <c r="X39" s="3"/>
    </row>
    <row r="40" spans="1:24" ht="16.5" thickBot="1" x14ac:dyDescent="0.3">
      <c r="A40" s="3"/>
      <c r="B40" s="3"/>
      <c r="C40" s="2" t="s">
        <v>381</v>
      </c>
      <c r="D40" s="7"/>
      <c r="E40" s="1">
        <f t="shared" si="0"/>
        <v>0</v>
      </c>
      <c r="F40" s="1">
        <f t="shared" si="1"/>
        <v>0.21117996</v>
      </c>
      <c r="G40" s="1">
        <f t="shared" si="2"/>
        <v>0.62284225199999999</v>
      </c>
      <c r="H40" s="1">
        <f t="shared" si="3"/>
        <v>0.74060532000000001</v>
      </c>
      <c r="I40" s="4"/>
      <c r="J40" s="259">
        <f t="shared" si="4"/>
        <v>1473.01</v>
      </c>
      <c r="K40" s="4"/>
      <c r="L40" s="1">
        <f t="shared" si="5"/>
        <v>0</v>
      </c>
      <c r="M40" s="5"/>
      <c r="N40" s="6">
        <f>(4*1*(0.92+1.1)+(1.01*1.01))/3</f>
        <v>3.0333666666666663</v>
      </c>
      <c r="O40" s="6"/>
      <c r="P40" s="6">
        <v>0.06</v>
      </c>
      <c r="Q40" s="3"/>
      <c r="R40" s="6">
        <f>(4*1*0.12*(0.92+1.1)/2+(1.01*1.01)*0.12)</f>
        <v>0.60721199999999997</v>
      </c>
      <c r="S40" s="6"/>
      <c r="T40" s="6"/>
      <c r="U40" s="6"/>
      <c r="V40" s="6"/>
      <c r="W40" s="6">
        <f>ROUND(R40*75,2)</f>
        <v>45.54</v>
      </c>
      <c r="X40" s="3"/>
    </row>
    <row r="41" spans="1:24" ht="16.5" thickBot="1" x14ac:dyDescent="0.3">
      <c r="A41" s="3"/>
      <c r="B41" s="3"/>
      <c r="C41" s="2" t="s">
        <v>382</v>
      </c>
      <c r="D41" s="7"/>
      <c r="E41" s="1">
        <f t="shared" si="0"/>
        <v>0</v>
      </c>
      <c r="F41" s="1">
        <f t="shared" si="1"/>
        <v>0.38327894999999995</v>
      </c>
      <c r="G41" s="1">
        <f t="shared" si="2"/>
        <v>1.1143076149999998</v>
      </c>
      <c r="H41" s="1">
        <f t="shared" si="3"/>
        <v>1.3295746499999999</v>
      </c>
      <c r="I41" s="4"/>
      <c r="J41" s="259">
        <f t="shared" si="4"/>
        <v>2538.3200000000002</v>
      </c>
      <c r="K41" s="4"/>
      <c r="L41" s="1">
        <f t="shared" si="5"/>
        <v>0</v>
      </c>
      <c r="M41" s="5"/>
      <c r="N41" s="6">
        <f>(4*1.2*(1.2+1.48)+(1.34*1.34))/3</f>
        <v>4.8865333333333334</v>
      </c>
      <c r="O41" s="6"/>
      <c r="P41" s="6">
        <v>0.08</v>
      </c>
      <c r="Q41" s="3"/>
      <c r="R41" s="6">
        <f>(4*1.2*0.15*(1.2+1.48)/2+(1.01*1.01)*0.15)</f>
        <v>1.1178149999999998</v>
      </c>
      <c r="S41" s="6"/>
      <c r="T41" s="6"/>
      <c r="U41" s="6"/>
      <c r="V41" s="6"/>
      <c r="W41" s="6">
        <f>ROUND(R41*70,2)</f>
        <v>78.25</v>
      </c>
      <c r="X41" s="3"/>
    </row>
    <row r="42" spans="1:24" ht="16.5" thickBot="1" x14ac:dyDescent="0.3">
      <c r="A42" s="3"/>
      <c r="B42" s="3"/>
      <c r="C42" s="2" t="s">
        <v>383</v>
      </c>
      <c r="D42" s="7"/>
      <c r="E42" s="1">
        <f t="shared" si="0"/>
        <v>0</v>
      </c>
      <c r="F42" s="1">
        <f t="shared" si="1"/>
        <v>0.56408220000000009</v>
      </c>
      <c r="G42" s="1">
        <f t="shared" si="2"/>
        <v>1.6356421400000001</v>
      </c>
      <c r="H42" s="1">
        <f t="shared" si="3"/>
        <v>1.9528674000000004</v>
      </c>
      <c r="I42" s="4"/>
      <c r="J42" s="259">
        <f t="shared" si="4"/>
        <v>3699.81</v>
      </c>
      <c r="K42" s="4"/>
      <c r="L42" s="1">
        <f t="shared" si="5"/>
        <v>0</v>
      </c>
      <c r="M42" s="5"/>
      <c r="N42" s="6">
        <f>(4*1.4*(1.4+1.68)+(1.54*1.54))/3</f>
        <v>6.5398666666666658</v>
      </c>
      <c r="O42" s="6"/>
      <c r="P42" s="6">
        <v>0.11</v>
      </c>
      <c r="Q42" s="3"/>
      <c r="R42" s="6">
        <f>(4*1.4*0.15*(1.4+1.68)/2+(1.54*1.54)*0.15)</f>
        <v>1.64934</v>
      </c>
      <c r="S42" s="6"/>
      <c r="T42" s="6"/>
      <c r="U42" s="6"/>
      <c r="V42" s="6"/>
      <c r="W42" s="6">
        <f>ROUND(R42*70,2)</f>
        <v>115.45</v>
      </c>
      <c r="X42" s="3"/>
    </row>
    <row r="43" spans="1:24" ht="16.5" thickBot="1" x14ac:dyDescent="0.3">
      <c r="A43" s="3"/>
      <c r="B43" s="3"/>
      <c r="C43" s="2" t="s">
        <v>384</v>
      </c>
      <c r="D43" s="7"/>
      <c r="E43" s="1">
        <f t="shared" si="0"/>
        <v>0</v>
      </c>
      <c r="F43" s="1">
        <f t="shared" si="1"/>
        <v>0.77929919999999997</v>
      </c>
      <c r="G43" s="1">
        <f t="shared" si="2"/>
        <v>2.26417504</v>
      </c>
      <c r="H43" s="1">
        <f t="shared" si="3"/>
        <v>2.7020064000000001</v>
      </c>
      <c r="I43" s="4"/>
      <c r="J43" s="259">
        <f t="shared" si="4"/>
        <v>5102.8900000000003</v>
      </c>
      <c r="K43" s="4"/>
      <c r="L43" s="1">
        <f t="shared" si="5"/>
        <v>0</v>
      </c>
      <c r="M43" s="5"/>
      <c r="N43" s="6">
        <f>(4*1.6*(1.7+1.98)+(1.84*1.84))/3</f>
        <v>8.9792000000000005</v>
      </c>
      <c r="O43" s="6"/>
      <c r="P43" s="6">
        <v>0.16</v>
      </c>
      <c r="Q43" s="3"/>
      <c r="R43" s="6">
        <f>(4*1.6*0.15*(1.7+1.98)/2+(1.84*1.84)*0.15)</f>
        <v>2.2742399999999998</v>
      </c>
      <c r="S43" s="6"/>
      <c r="T43" s="6"/>
      <c r="U43" s="6"/>
      <c r="V43" s="6"/>
      <c r="W43" s="6">
        <f>ROUND(R43*70,2)</f>
        <v>159.19999999999999</v>
      </c>
      <c r="X43" s="3"/>
    </row>
    <row r="44" spans="1:24" ht="16.5" thickBot="1" x14ac:dyDescent="0.3">
      <c r="A44" s="3"/>
      <c r="B44" s="3"/>
      <c r="C44" s="2" t="s">
        <v>385</v>
      </c>
      <c r="D44" s="7"/>
      <c r="E44" s="1">
        <f t="shared" si="0"/>
        <v>0</v>
      </c>
      <c r="F44" s="1">
        <f t="shared" si="1"/>
        <v>1.2096229499999998</v>
      </c>
      <c r="G44" s="1">
        <f t="shared" si="2"/>
        <v>3.5097804149999998</v>
      </c>
      <c r="H44" s="1">
        <f t="shared" si="3"/>
        <v>4.18982265</v>
      </c>
      <c r="I44" s="4"/>
      <c r="J44" s="259">
        <f t="shared" si="4"/>
        <v>7709.16</v>
      </c>
      <c r="K44" s="4"/>
      <c r="L44" s="1">
        <f t="shared" si="5"/>
        <v>0</v>
      </c>
      <c r="M44" s="5"/>
      <c r="N44" s="6">
        <f>(4*2*(2.1+2.48)+(2.29*2.29))/4</f>
        <v>10.471025000000001</v>
      </c>
      <c r="O44" s="6"/>
      <c r="P44" s="6">
        <v>0.24</v>
      </c>
      <c r="Q44" s="3"/>
      <c r="R44" s="6">
        <f>(4*2*0.15*(2.1+2.48)/2+(2.29*2.29)*0.15)</f>
        <v>3.5346149999999996</v>
      </c>
      <c r="S44" s="6"/>
      <c r="T44" s="6"/>
      <c r="U44" s="6"/>
      <c r="V44" s="6"/>
      <c r="W44" s="6">
        <f>ROUND(R44*70,2)</f>
        <v>247.42</v>
      </c>
      <c r="X44" s="3"/>
    </row>
    <row r="45" spans="1:24" ht="16.5" thickBot="1" x14ac:dyDescent="0.3">
      <c r="A45" s="3"/>
      <c r="B45" s="3"/>
      <c r="C45" s="2" t="s">
        <v>386</v>
      </c>
      <c r="D45" s="7"/>
      <c r="E45" s="1">
        <f t="shared" si="0"/>
        <v>0</v>
      </c>
      <c r="F45" s="1">
        <f t="shared" si="1"/>
        <v>1.9087789500000001</v>
      </c>
      <c r="G45" s="1">
        <f t="shared" si="2"/>
        <v>5.5279776150000002</v>
      </c>
      <c r="H45" s="1">
        <f t="shared" si="3"/>
        <v>6.6020746500000005</v>
      </c>
      <c r="I45" s="4"/>
      <c r="J45" s="259">
        <f t="shared" si="4"/>
        <v>12178.23</v>
      </c>
      <c r="K45" s="4"/>
      <c r="L45" s="1">
        <f t="shared" si="5"/>
        <v>0</v>
      </c>
      <c r="M45" s="5"/>
      <c r="N45" s="6">
        <f>(4*2.5*(2.7+3.08)+(2.89*2.89))/4</f>
        <v>16.538025000000001</v>
      </c>
      <c r="O45" s="6"/>
      <c r="P45" s="6">
        <v>0.36</v>
      </c>
      <c r="Q45" s="3"/>
      <c r="R45" s="6">
        <f>(4*2.5*0.15*(2.7+3.08)/2+(2.89*2.89)*0.15)</f>
        <v>5.587815</v>
      </c>
      <c r="S45" s="6"/>
      <c r="T45" s="6"/>
      <c r="U45" s="6"/>
      <c r="V45" s="6"/>
      <c r="W45" s="6">
        <f>ROUND(R45*70,2)</f>
        <v>391.15</v>
      </c>
      <c r="X45" s="3"/>
    </row>
    <row r="46" spans="1:24" ht="16.5" thickBot="1" x14ac:dyDescent="0.3">
      <c r="A46" s="3"/>
      <c r="B46" s="3"/>
      <c r="C46" s="2" t="s">
        <v>127</v>
      </c>
      <c r="D46" s="7"/>
      <c r="E46" s="1">
        <f t="shared" si="0"/>
        <v>0.54144000000000003</v>
      </c>
      <c r="F46" s="1">
        <f t="shared" si="1"/>
        <v>0.35276220000000008</v>
      </c>
      <c r="G46" s="1">
        <f t="shared" si="2"/>
        <v>1.1888125000000003</v>
      </c>
      <c r="H46" s="1">
        <f t="shared" si="3"/>
        <v>1.1100000000000001</v>
      </c>
      <c r="I46" s="4">
        <v>1</v>
      </c>
      <c r="J46" s="259">
        <f t="shared" si="4"/>
        <v>2203.7800000000002</v>
      </c>
      <c r="K46" s="4">
        <v>1</v>
      </c>
      <c r="L46" s="1">
        <f t="shared" si="5"/>
        <v>1.8048000000000002E-2</v>
      </c>
      <c r="M46" s="5"/>
      <c r="N46" s="6">
        <f>ROUND((4.9+2*0.5)/5,2)</f>
        <v>1.18</v>
      </c>
      <c r="O46" s="6">
        <f>ROUND((1.285*0.5),2)</f>
        <v>0.64</v>
      </c>
      <c r="P46" s="6">
        <v>0.1</v>
      </c>
      <c r="Q46" s="3"/>
      <c r="R46" s="6">
        <f>ROUND((0.8 +0.205 *0.5),2)</f>
        <v>0.9</v>
      </c>
      <c r="S46" s="6"/>
      <c r="T46" s="6">
        <f>ROUND((0.12 *0.5),2)</f>
        <v>0.06</v>
      </c>
      <c r="U46" s="6"/>
      <c r="V46" s="6"/>
      <c r="W46" s="6">
        <f>ROUND((21.07 +8.54 *0.5),2)</f>
        <v>25.34</v>
      </c>
      <c r="X46" s="3"/>
    </row>
    <row r="47" spans="1:24" ht="16.5" thickBot="1" x14ac:dyDescent="0.3">
      <c r="A47" s="3"/>
      <c r="B47" s="3"/>
      <c r="C47" s="2" t="s">
        <v>128</v>
      </c>
      <c r="D47" s="7"/>
      <c r="E47" s="1">
        <f t="shared" si="0"/>
        <v>0.76139999999999997</v>
      </c>
      <c r="F47" s="1">
        <f t="shared" si="1"/>
        <v>0.38489359999999995</v>
      </c>
      <c r="G47" s="1">
        <f t="shared" si="2"/>
        <v>1.3499699999999999</v>
      </c>
      <c r="H47" s="1">
        <f t="shared" si="3"/>
        <v>1.1766000000000001</v>
      </c>
      <c r="I47" s="4">
        <v>1</v>
      </c>
      <c r="J47" s="259">
        <f t="shared" si="4"/>
        <v>2425.58</v>
      </c>
      <c r="K47" s="4">
        <v>1</v>
      </c>
      <c r="L47" s="1">
        <f t="shared" si="5"/>
        <v>2.538E-2</v>
      </c>
      <c r="M47" s="5"/>
      <c r="N47" s="6">
        <f>ROUND((4.9+2*0.7)/5,2)</f>
        <v>1.26</v>
      </c>
      <c r="O47" s="6">
        <f>ROUND((1.285*0.7),2)</f>
        <v>0.9</v>
      </c>
      <c r="P47" s="6">
        <v>0.12</v>
      </c>
      <c r="Q47" s="3"/>
      <c r="R47" s="6">
        <f>ROUND((0.8 +0.205 *0.7),2)</f>
        <v>0.94</v>
      </c>
      <c r="S47" s="6"/>
      <c r="T47" s="6">
        <f>ROUND((0.12 *0.7),2)</f>
        <v>0.08</v>
      </c>
      <c r="U47" s="6"/>
      <c r="V47" s="6"/>
      <c r="W47" s="6">
        <f>ROUND((21.07 +8.54 *0.7),2)</f>
        <v>27.05</v>
      </c>
      <c r="X47" s="3"/>
    </row>
    <row r="48" spans="1:24" ht="16.5" thickBot="1" x14ac:dyDescent="0.3">
      <c r="A48" s="3"/>
      <c r="B48" s="3"/>
      <c r="C48" s="2" t="s">
        <v>129</v>
      </c>
      <c r="D48" s="7"/>
      <c r="E48" s="1">
        <f t="shared" si="0"/>
        <v>1.09134</v>
      </c>
      <c r="F48" s="1">
        <f t="shared" si="1"/>
        <v>0.43281240000000004</v>
      </c>
      <c r="G48" s="1">
        <f t="shared" si="2"/>
        <v>1.5797950000000001</v>
      </c>
      <c r="H48" s="1">
        <f t="shared" si="3"/>
        <v>1.2654000000000003</v>
      </c>
      <c r="I48" s="4">
        <v>1</v>
      </c>
      <c r="J48" s="259">
        <f t="shared" si="4"/>
        <v>2754.73</v>
      </c>
      <c r="K48" s="4">
        <v>1</v>
      </c>
      <c r="L48" s="1">
        <f t="shared" si="5"/>
        <v>3.6378000000000001E-2</v>
      </c>
      <c r="M48" s="5"/>
      <c r="N48" s="6">
        <f>ROUND((4.9+2*1)/5,2)</f>
        <v>1.38</v>
      </c>
      <c r="O48" s="6">
        <f>ROUND((1.285*1),2)</f>
        <v>1.29</v>
      </c>
      <c r="P48" s="6">
        <v>0.13</v>
      </c>
      <c r="Q48" s="3">
        <f>(Q47+Q49)/2</f>
        <v>0</v>
      </c>
      <c r="R48" s="6">
        <f>ROUND((0.8 +0.205 *1),2)</f>
        <v>1.01</v>
      </c>
      <c r="S48" s="6"/>
      <c r="T48" s="6">
        <f>ROUND((0.12 *1),2)</f>
        <v>0.12</v>
      </c>
      <c r="U48" s="6"/>
      <c r="V48" s="6"/>
      <c r="W48" s="6">
        <f>ROUND((21.07 +8.54 *1),2)</f>
        <v>29.61</v>
      </c>
      <c r="X48" s="3"/>
    </row>
    <row r="49" spans="1:24" ht="16.5" thickBot="1" x14ac:dyDescent="0.3">
      <c r="A49" s="3"/>
      <c r="B49" s="3"/>
      <c r="C49" s="2" t="s">
        <v>130</v>
      </c>
      <c r="D49" s="7"/>
      <c r="E49" s="1">
        <f t="shared" si="0"/>
        <v>1.30284</v>
      </c>
      <c r="F49" s="1">
        <f t="shared" si="1"/>
        <v>0.46255580000000002</v>
      </c>
      <c r="G49" s="1">
        <f t="shared" si="2"/>
        <v>1.7263925000000002</v>
      </c>
      <c r="H49" s="1">
        <f t="shared" si="3"/>
        <v>1.3209000000000002</v>
      </c>
      <c r="I49" s="4">
        <v>1</v>
      </c>
      <c r="J49" s="259">
        <f t="shared" si="4"/>
        <v>2966.42</v>
      </c>
      <c r="K49" s="4">
        <v>1</v>
      </c>
      <c r="L49" s="1">
        <f t="shared" si="5"/>
        <v>4.3428000000000001E-2</v>
      </c>
      <c r="M49" s="5"/>
      <c r="N49" s="6">
        <f>ROUND((4.9+2*1.2)/5,2)</f>
        <v>1.46</v>
      </c>
      <c r="O49" s="6">
        <f>ROUND((1.285*1.2),2)</f>
        <v>1.54</v>
      </c>
      <c r="P49" s="6">
        <v>0.14000000000000001</v>
      </c>
      <c r="Q49" s="3"/>
      <c r="R49" s="6">
        <f>ROUND((0.8 +0.205 *1.2),2)</f>
        <v>1.05</v>
      </c>
      <c r="S49" s="6"/>
      <c r="T49" s="6">
        <f>ROUND((0.12 *1.2),2)</f>
        <v>0.14000000000000001</v>
      </c>
      <c r="U49" s="6"/>
      <c r="V49" s="6"/>
      <c r="W49" s="6">
        <f>ROUND((21.07 +8.54 *1.2),2)</f>
        <v>31.32</v>
      </c>
      <c r="X49" s="3"/>
    </row>
    <row r="50" spans="1:24" ht="16.5" thickBot="1" x14ac:dyDescent="0.3">
      <c r="A50" s="3"/>
      <c r="B50" s="3"/>
      <c r="C50" s="2" t="s">
        <v>131</v>
      </c>
      <c r="D50" s="7"/>
      <c r="E50" s="1">
        <f t="shared" si="0"/>
        <v>1.6327799999999999</v>
      </c>
      <c r="F50" s="1">
        <f t="shared" si="1"/>
        <v>0.50537460000000012</v>
      </c>
      <c r="G50" s="1">
        <f t="shared" si="2"/>
        <v>1.9364075000000001</v>
      </c>
      <c r="H50" s="1">
        <f t="shared" si="3"/>
        <v>1.3875000000000002</v>
      </c>
      <c r="I50" s="4">
        <v>1</v>
      </c>
      <c r="J50" s="259">
        <f t="shared" si="4"/>
        <v>3286.28</v>
      </c>
      <c r="K50" s="4">
        <v>1</v>
      </c>
      <c r="L50" s="1">
        <f t="shared" si="5"/>
        <v>5.4425999999999995E-2</v>
      </c>
      <c r="M50" s="5"/>
      <c r="N50" s="6">
        <f>ROUND((4.9+2*1.5)/5,2)</f>
        <v>1.58</v>
      </c>
      <c r="O50" s="6">
        <f>ROUND((1.285*1.5),2)</f>
        <v>1.93</v>
      </c>
      <c r="P50" s="6">
        <v>0.14000000000000001</v>
      </c>
      <c r="Q50" s="3"/>
      <c r="R50" s="6">
        <f>ROUND((0.8 +0.205 *1.5),2)</f>
        <v>1.1100000000000001</v>
      </c>
      <c r="S50" s="6"/>
      <c r="T50" s="6">
        <f>ROUND((0.12 *1.5),2)</f>
        <v>0.18</v>
      </c>
      <c r="U50" s="6"/>
      <c r="V50" s="6"/>
      <c r="W50" s="6">
        <f>ROUND((21.07 +8.54 *1.5),2)</f>
        <v>33.880000000000003</v>
      </c>
      <c r="X50" s="3"/>
    </row>
    <row r="51" spans="1:24" ht="16.5" thickBot="1" x14ac:dyDescent="0.3">
      <c r="A51" s="3"/>
      <c r="B51" s="3"/>
      <c r="C51" s="2" t="s">
        <v>132</v>
      </c>
      <c r="D51" s="7"/>
      <c r="E51" s="1">
        <f t="shared" si="0"/>
        <v>0</v>
      </c>
      <c r="F51" s="1">
        <f t="shared" si="1"/>
        <v>0.38250000000000006</v>
      </c>
      <c r="G51" s="1">
        <f t="shared" si="2"/>
        <v>1.1483800000000002</v>
      </c>
      <c r="H51" s="1">
        <f t="shared" si="3"/>
        <v>1.35975</v>
      </c>
      <c r="I51" s="4">
        <v>1</v>
      </c>
      <c r="J51" s="259">
        <f t="shared" si="4"/>
        <v>1401.9</v>
      </c>
      <c r="K51" s="4">
        <v>1</v>
      </c>
      <c r="L51" s="1">
        <f t="shared" si="5"/>
        <v>0</v>
      </c>
      <c r="M51" s="5"/>
      <c r="N51" s="6">
        <f>N56/2</f>
        <v>1.075</v>
      </c>
      <c r="O51" s="6"/>
      <c r="P51" s="6">
        <f>P56</f>
        <v>0.14499999999999999</v>
      </c>
      <c r="Q51" s="3"/>
      <c r="R51" s="6">
        <f>R56</f>
        <v>1.08</v>
      </c>
      <c r="S51" s="6"/>
      <c r="T51" s="6"/>
      <c r="U51" s="6"/>
      <c r="V51" s="6"/>
      <c r="W51" s="6"/>
      <c r="X51" s="3"/>
    </row>
    <row r="52" spans="1:24" ht="16.5" thickBot="1" x14ac:dyDescent="0.3">
      <c r="A52" s="3"/>
      <c r="B52" s="3"/>
      <c r="C52" s="2" t="s">
        <v>133</v>
      </c>
      <c r="D52" s="7"/>
      <c r="E52" s="1">
        <f t="shared" si="0"/>
        <v>0</v>
      </c>
      <c r="F52" s="1">
        <f t="shared" si="1"/>
        <v>0.43200000000000005</v>
      </c>
      <c r="G52" s="1">
        <f t="shared" si="2"/>
        <v>1.28653</v>
      </c>
      <c r="H52" s="1">
        <f t="shared" si="3"/>
        <v>1.5262500000000001</v>
      </c>
      <c r="I52" s="4">
        <v>1</v>
      </c>
      <c r="J52" s="259">
        <f t="shared" si="4"/>
        <v>1493.02</v>
      </c>
      <c r="K52" s="4">
        <v>1</v>
      </c>
      <c r="L52" s="1">
        <f t="shared" si="5"/>
        <v>0</v>
      </c>
      <c r="M52" s="5"/>
      <c r="N52" s="6">
        <f>N57/2</f>
        <v>1.325</v>
      </c>
      <c r="O52" s="6"/>
      <c r="P52" s="6">
        <f>P57</f>
        <v>0.14499999999999999</v>
      </c>
      <c r="Q52" s="3"/>
      <c r="R52" s="6">
        <f>R57</f>
        <v>1.23</v>
      </c>
      <c r="S52" s="6"/>
      <c r="T52" s="6"/>
      <c r="U52" s="6"/>
      <c r="V52" s="6"/>
      <c r="W52" s="6"/>
      <c r="X52" s="3"/>
    </row>
    <row r="53" spans="1:24" ht="16.5" thickBot="1" x14ac:dyDescent="0.3">
      <c r="A53" s="3"/>
      <c r="B53" s="3"/>
      <c r="C53" s="2" t="s">
        <v>134</v>
      </c>
      <c r="D53" s="7"/>
      <c r="E53" s="1">
        <f t="shared" si="0"/>
        <v>0</v>
      </c>
      <c r="F53" s="1">
        <f t="shared" si="1"/>
        <v>0.50459999999999994</v>
      </c>
      <c r="G53" s="1">
        <f t="shared" si="2"/>
        <v>1.48915</v>
      </c>
      <c r="H53" s="1">
        <f t="shared" si="3"/>
        <v>1.7704500000000001</v>
      </c>
      <c r="I53" s="4">
        <v>1</v>
      </c>
      <c r="J53" s="259">
        <f t="shared" si="4"/>
        <v>1627.18</v>
      </c>
      <c r="K53" s="4">
        <v>1</v>
      </c>
      <c r="L53" s="1">
        <f t="shared" si="5"/>
        <v>0</v>
      </c>
      <c r="M53" s="5"/>
      <c r="N53" s="6">
        <f>N58/2</f>
        <v>1.7</v>
      </c>
      <c r="O53" s="6">
        <f>(O52+O54)/2</f>
        <v>0</v>
      </c>
      <c r="P53" s="6">
        <f>P58</f>
        <v>0.14499999999999999</v>
      </c>
      <c r="Q53" s="3">
        <f>(Q52+Q54)/2</f>
        <v>0</v>
      </c>
      <c r="R53" s="6">
        <f>R58</f>
        <v>1.45</v>
      </c>
      <c r="S53" s="6"/>
      <c r="T53" s="6">
        <f>(T52+T54)/2</f>
        <v>0</v>
      </c>
      <c r="U53" s="6"/>
      <c r="V53" s="6"/>
      <c r="W53" s="6"/>
      <c r="X53" s="3"/>
    </row>
    <row r="54" spans="1:24" ht="16.5" thickBot="1" x14ac:dyDescent="0.3">
      <c r="A54" s="3"/>
      <c r="B54" s="3"/>
      <c r="C54" s="2" t="s">
        <v>135</v>
      </c>
      <c r="D54" s="7"/>
      <c r="E54" s="1">
        <f t="shared" si="0"/>
        <v>0</v>
      </c>
      <c r="F54" s="1">
        <f t="shared" si="1"/>
        <v>0.6411</v>
      </c>
      <c r="G54" s="1">
        <f t="shared" si="2"/>
        <v>1.8840500000000002</v>
      </c>
      <c r="H54" s="1">
        <f t="shared" si="3"/>
        <v>2.2422</v>
      </c>
      <c r="I54" s="4">
        <v>1</v>
      </c>
      <c r="J54" s="259">
        <f t="shared" si="4"/>
        <v>1851.62</v>
      </c>
      <c r="K54" s="4">
        <v>1</v>
      </c>
      <c r="L54" s="1">
        <f t="shared" si="5"/>
        <v>0</v>
      </c>
      <c r="M54" s="5"/>
      <c r="N54" s="6">
        <f>N59/2</f>
        <v>1.9</v>
      </c>
      <c r="O54" s="6"/>
      <c r="P54" s="6">
        <f>P59</f>
        <v>0.17</v>
      </c>
      <c r="Q54" s="3"/>
      <c r="R54" s="6">
        <f>R59</f>
        <v>1.85</v>
      </c>
      <c r="S54" s="6"/>
      <c r="T54" s="6"/>
      <c r="U54" s="6"/>
      <c r="V54" s="6"/>
      <c r="W54" s="6"/>
      <c r="X54" s="3"/>
    </row>
    <row r="55" spans="1:24" ht="16.5" thickBot="1" x14ac:dyDescent="0.3">
      <c r="A55" s="3"/>
      <c r="B55" s="3"/>
      <c r="C55" s="2" t="s">
        <v>136</v>
      </c>
      <c r="D55" s="7"/>
      <c r="E55" s="1">
        <f t="shared" si="0"/>
        <v>0</v>
      </c>
      <c r="F55" s="1">
        <f t="shared" si="1"/>
        <v>0.80657999999999996</v>
      </c>
      <c r="G55" s="1">
        <f t="shared" si="2"/>
        <v>2.3575999999999997</v>
      </c>
      <c r="H55" s="1">
        <f t="shared" si="3"/>
        <v>2.8094099999999997</v>
      </c>
      <c r="I55" s="4">
        <v>1</v>
      </c>
      <c r="J55" s="259">
        <f t="shared" si="4"/>
        <v>2119.0300000000002</v>
      </c>
      <c r="K55" s="4">
        <v>1</v>
      </c>
      <c r="L55" s="1">
        <f t="shared" si="5"/>
        <v>0</v>
      </c>
      <c r="M55" s="5"/>
      <c r="N55" s="6">
        <f>N60/2</f>
        <v>2.09</v>
      </c>
      <c r="O55" s="6"/>
      <c r="P55" s="6">
        <f>P60</f>
        <v>0.191</v>
      </c>
      <c r="Q55" s="3"/>
      <c r="R55" s="6">
        <f>R60</f>
        <v>2.34</v>
      </c>
      <c r="S55" s="6"/>
      <c r="T55" s="6"/>
      <c r="U55" s="6"/>
      <c r="V55" s="6"/>
      <c r="W55" s="6"/>
      <c r="X55" s="3"/>
    </row>
    <row r="56" spans="1:24" ht="16.5" thickBot="1" x14ac:dyDescent="0.3">
      <c r="A56" s="3"/>
      <c r="B56" s="3"/>
      <c r="C56" s="2" t="s">
        <v>137</v>
      </c>
      <c r="D56" s="7"/>
      <c r="E56" s="1">
        <f t="shared" si="0"/>
        <v>0</v>
      </c>
      <c r="F56" s="1">
        <f t="shared" si="1"/>
        <v>0.38250000000000006</v>
      </c>
      <c r="G56" s="1">
        <f t="shared" si="2"/>
        <v>1.1483800000000002</v>
      </c>
      <c r="H56" s="1">
        <f t="shared" si="3"/>
        <v>1.35975</v>
      </c>
      <c r="I56" s="4">
        <v>1</v>
      </c>
      <c r="J56" s="259">
        <f t="shared" si="4"/>
        <v>3215.9</v>
      </c>
      <c r="K56" s="4">
        <v>1</v>
      </c>
      <c r="L56" s="1">
        <f t="shared" si="5"/>
        <v>0</v>
      </c>
      <c r="M56" s="5"/>
      <c r="N56" s="6">
        <f>ROUND((3.59+10*0.5)/4,2)</f>
        <v>2.15</v>
      </c>
      <c r="O56" s="6"/>
      <c r="P56" s="6">
        <v>0.14499999999999999</v>
      </c>
      <c r="Q56" s="3"/>
      <c r="R56" s="6">
        <f>ROUND((0.704 +0.75 *0.5),2)</f>
        <v>1.08</v>
      </c>
      <c r="S56" s="6"/>
      <c r="T56" s="6"/>
      <c r="U56" s="6"/>
      <c r="V56" s="6"/>
      <c r="W56" s="6">
        <f t="shared" ref="W56:W62" si="10">R56*77.35</f>
        <v>83.537999999999997</v>
      </c>
      <c r="X56" s="3"/>
    </row>
    <row r="57" spans="1:24" ht="16.5" thickBot="1" x14ac:dyDescent="0.3">
      <c r="A57" s="3"/>
      <c r="B57" s="3"/>
      <c r="C57" s="2" t="s">
        <v>138</v>
      </c>
      <c r="D57" s="7"/>
      <c r="E57" s="1">
        <f t="shared" si="0"/>
        <v>0</v>
      </c>
      <c r="F57" s="1">
        <f t="shared" si="1"/>
        <v>0.43200000000000005</v>
      </c>
      <c r="G57" s="1">
        <f t="shared" si="2"/>
        <v>1.28653</v>
      </c>
      <c r="H57" s="1">
        <f t="shared" si="3"/>
        <v>1.5262500000000001</v>
      </c>
      <c r="I57" s="4">
        <v>1</v>
      </c>
      <c r="J57" s="259">
        <f t="shared" si="4"/>
        <v>3565.26</v>
      </c>
      <c r="K57" s="4">
        <v>1</v>
      </c>
      <c r="L57" s="1">
        <f t="shared" si="5"/>
        <v>0</v>
      </c>
      <c r="M57" s="5"/>
      <c r="N57" s="6">
        <f>ROUND((3.59+10*0.7)/4,2)</f>
        <v>2.65</v>
      </c>
      <c r="O57" s="6"/>
      <c r="P57" s="6">
        <v>0.14499999999999999</v>
      </c>
      <c r="Q57" s="3"/>
      <c r="R57" s="6">
        <f>ROUND((0.704 +0.75 *0.7),2)</f>
        <v>1.23</v>
      </c>
      <c r="S57" s="6"/>
      <c r="T57" s="6"/>
      <c r="U57" s="6"/>
      <c r="V57" s="6"/>
      <c r="W57" s="6">
        <f t="shared" si="10"/>
        <v>95.140499999999989</v>
      </c>
      <c r="X57" s="3"/>
    </row>
    <row r="58" spans="1:24" ht="16.5" thickBot="1" x14ac:dyDescent="0.3">
      <c r="A58" s="3"/>
      <c r="B58" s="3"/>
      <c r="C58" s="2" t="s">
        <v>139</v>
      </c>
      <c r="D58" s="7"/>
      <c r="E58" s="1">
        <f t="shared" si="0"/>
        <v>0</v>
      </c>
      <c r="F58" s="1">
        <f t="shared" si="1"/>
        <v>0.50459999999999994</v>
      </c>
      <c r="G58" s="1">
        <f t="shared" si="2"/>
        <v>1.48915</v>
      </c>
      <c r="H58" s="1">
        <f t="shared" si="3"/>
        <v>1.7704500000000001</v>
      </c>
      <c r="I58" s="4">
        <v>1</v>
      </c>
      <c r="J58" s="259">
        <f t="shared" si="4"/>
        <v>4078.7</v>
      </c>
      <c r="K58" s="4">
        <v>1</v>
      </c>
      <c r="L58" s="1">
        <f t="shared" si="5"/>
        <v>0</v>
      </c>
      <c r="M58" s="5"/>
      <c r="N58" s="6">
        <f>ROUND((3.59+10*1)/4,2)</f>
        <v>3.4</v>
      </c>
      <c r="O58" s="6">
        <f>(O57+O59)/2</f>
        <v>0</v>
      </c>
      <c r="P58" s="6">
        <v>0.14499999999999999</v>
      </c>
      <c r="Q58" s="3">
        <f>(Q57+Q59)/2</f>
        <v>0</v>
      </c>
      <c r="R58" s="6">
        <f>ROUND((0.704 +0.75 *1),2)</f>
        <v>1.45</v>
      </c>
      <c r="S58" s="6"/>
      <c r="T58" s="6"/>
      <c r="U58" s="6"/>
      <c r="V58" s="6"/>
      <c r="W58" s="6">
        <f t="shared" si="10"/>
        <v>112.15749999999998</v>
      </c>
      <c r="X58" s="3"/>
    </row>
    <row r="59" spans="1:24" ht="16.5" thickBot="1" x14ac:dyDescent="0.3">
      <c r="A59" s="3"/>
      <c r="B59" s="3"/>
      <c r="C59" s="2" t="s">
        <v>140</v>
      </c>
      <c r="D59" s="7"/>
      <c r="E59" s="1">
        <f t="shared" si="0"/>
        <v>0</v>
      </c>
      <c r="F59" s="1">
        <f t="shared" si="1"/>
        <v>0.6411</v>
      </c>
      <c r="G59" s="1">
        <f t="shared" si="2"/>
        <v>1.8840500000000002</v>
      </c>
      <c r="H59" s="1">
        <f t="shared" si="3"/>
        <v>2.2422</v>
      </c>
      <c r="I59" s="4">
        <v>1</v>
      </c>
      <c r="J59" s="259">
        <f t="shared" si="4"/>
        <v>4962.6000000000004</v>
      </c>
      <c r="K59" s="4">
        <v>1</v>
      </c>
      <c r="L59" s="1">
        <f t="shared" si="5"/>
        <v>0</v>
      </c>
      <c r="M59" s="5"/>
      <c r="N59" s="6">
        <f>ROUND((4+11.2*1)/4,2)</f>
        <v>3.8</v>
      </c>
      <c r="O59" s="6"/>
      <c r="P59" s="6">
        <v>0.17</v>
      </c>
      <c r="Q59" s="3"/>
      <c r="R59" s="6">
        <f>ROUND((0.843 +0.84*1.2),2)</f>
        <v>1.85</v>
      </c>
      <c r="S59" s="6"/>
      <c r="T59" s="6"/>
      <c r="U59" s="6"/>
      <c r="V59" s="6"/>
      <c r="W59" s="6">
        <f t="shared" si="10"/>
        <v>143.0975</v>
      </c>
      <c r="X59" s="3"/>
    </row>
    <row r="60" spans="1:24" ht="16.5" thickBot="1" x14ac:dyDescent="0.3">
      <c r="A60" s="3"/>
      <c r="B60" s="3"/>
      <c r="C60" s="2" t="s">
        <v>141</v>
      </c>
      <c r="D60" s="7"/>
      <c r="E60" s="1">
        <f t="shared" si="0"/>
        <v>0</v>
      </c>
      <c r="F60" s="1">
        <f t="shared" si="1"/>
        <v>0.80657999999999996</v>
      </c>
      <c r="G60" s="1">
        <f t="shared" si="2"/>
        <v>2.3575999999999997</v>
      </c>
      <c r="H60" s="1">
        <f t="shared" si="3"/>
        <v>2.8094099999999997</v>
      </c>
      <c r="I60" s="4">
        <v>1</v>
      </c>
      <c r="J60" s="259">
        <f t="shared" si="4"/>
        <v>6034.4</v>
      </c>
      <c r="K60" s="4">
        <v>1</v>
      </c>
      <c r="L60" s="1">
        <f t="shared" si="5"/>
        <v>0</v>
      </c>
      <c r="M60" s="5"/>
      <c r="N60" s="6">
        <f>ROUND((4.53+12.2*1)/4,2)</f>
        <v>4.18</v>
      </c>
      <c r="O60" s="6"/>
      <c r="P60" s="6">
        <v>0.191</v>
      </c>
      <c r="Q60" s="3"/>
      <c r="R60" s="6">
        <f>ROUND((0.968 +0.915 *1.5),2)</f>
        <v>2.34</v>
      </c>
      <c r="S60" s="6"/>
      <c r="T60" s="6"/>
      <c r="U60" s="6"/>
      <c r="V60" s="6"/>
      <c r="W60" s="6">
        <f t="shared" si="10"/>
        <v>180.99899999999997</v>
      </c>
      <c r="X60" s="3"/>
    </row>
    <row r="61" spans="1:24" ht="16.5" thickBot="1" x14ac:dyDescent="0.3">
      <c r="A61" s="3"/>
      <c r="B61" s="3"/>
      <c r="C61" s="2" t="s">
        <v>142</v>
      </c>
      <c r="D61" s="7"/>
      <c r="E61" s="1">
        <f t="shared" si="0"/>
        <v>0</v>
      </c>
      <c r="F61" s="1">
        <f t="shared" si="1"/>
        <v>0.89753699999999992</v>
      </c>
      <c r="G61" s="1">
        <f t="shared" si="2"/>
        <v>2.6274289999999998</v>
      </c>
      <c r="H61" s="1">
        <f t="shared" si="3"/>
        <v>3.1298114999999997</v>
      </c>
      <c r="I61" s="4">
        <v>1</v>
      </c>
      <c r="J61" s="259">
        <f t="shared" si="4"/>
        <v>6626.99</v>
      </c>
      <c r="K61" s="4">
        <v>1</v>
      </c>
      <c r="L61" s="1">
        <f t="shared" si="5"/>
        <v>0</v>
      </c>
      <c r="M61" s="5"/>
      <c r="N61" s="6">
        <f>N60/1.8*2</f>
        <v>4.6444444444444439</v>
      </c>
      <c r="O61" s="6"/>
      <c r="P61" s="6">
        <f>P60*1.15</f>
        <v>0.21964999999999998</v>
      </c>
      <c r="Q61" s="3"/>
      <c r="R61" s="6">
        <f>R60/1.8*2</f>
        <v>2.5999999999999996</v>
      </c>
      <c r="S61" s="6"/>
      <c r="T61" s="6"/>
      <c r="U61" s="6"/>
      <c r="V61" s="6"/>
      <c r="W61" s="6">
        <f t="shared" si="10"/>
        <v>201.10999999999996</v>
      </c>
      <c r="X61" s="3"/>
    </row>
    <row r="62" spans="1:24" ht="16.5" thickBot="1" x14ac:dyDescent="0.3">
      <c r="A62" s="3"/>
      <c r="B62" s="3"/>
      <c r="C62" s="2" t="s">
        <v>143</v>
      </c>
      <c r="D62" s="7"/>
      <c r="E62" s="1">
        <f t="shared" si="0"/>
        <v>0</v>
      </c>
      <c r="F62" s="1">
        <f t="shared" si="1"/>
        <v>1.1179675499999999</v>
      </c>
      <c r="G62" s="1">
        <f t="shared" si="2"/>
        <v>3.2610033499999997</v>
      </c>
      <c r="H62" s="1">
        <f t="shared" si="3"/>
        <v>3.8878832249999999</v>
      </c>
      <c r="I62" s="4">
        <v>1</v>
      </c>
      <c r="J62" s="259">
        <f t="shared" si="4"/>
        <v>8092.02</v>
      </c>
      <c r="K62" s="4">
        <v>1</v>
      </c>
      <c r="L62" s="1">
        <f t="shared" si="5"/>
        <v>0</v>
      </c>
      <c r="M62" s="5"/>
      <c r="N62" s="6">
        <f>N61/2*2.5</f>
        <v>5.8055555555555554</v>
      </c>
      <c r="O62" s="6"/>
      <c r="P62" s="6">
        <f>P61*1.15</f>
        <v>0.25259749999999997</v>
      </c>
      <c r="Q62" s="3"/>
      <c r="R62" s="6">
        <f>R61/2*2.5</f>
        <v>3.2499999999999996</v>
      </c>
      <c r="S62" s="6"/>
      <c r="T62" s="6"/>
      <c r="U62" s="6"/>
      <c r="V62" s="6"/>
      <c r="W62" s="6">
        <f t="shared" si="10"/>
        <v>251.38749999999996</v>
      </c>
      <c r="X62" s="3"/>
    </row>
    <row r="63" spans="1:24" ht="16.5" thickBot="1" x14ac:dyDescent="0.3">
      <c r="A63" s="3"/>
      <c r="B63" s="3"/>
      <c r="C63" s="2" t="s">
        <v>387</v>
      </c>
      <c r="D63" s="7"/>
      <c r="E63" s="1">
        <f t="shared" si="0"/>
        <v>0</v>
      </c>
      <c r="F63" s="1">
        <f t="shared" si="1"/>
        <v>0.11253000000000002</v>
      </c>
      <c r="G63" s="1">
        <f t="shared" si="2"/>
        <v>0.31406100000000003</v>
      </c>
      <c r="H63" s="1">
        <f t="shared" si="3"/>
        <v>0.37851000000000007</v>
      </c>
      <c r="I63" s="4"/>
      <c r="J63" s="259">
        <f t="shared" si="4"/>
        <v>749.96</v>
      </c>
      <c r="K63" s="4"/>
      <c r="L63" s="1">
        <f t="shared" si="5"/>
        <v>0</v>
      </c>
      <c r="M63" s="5"/>
      <c r="N63" s="6">
        <f>2+1.56+0.72</f>
        <v>4.28</v>
      </c>
      <c r="O63" s="6"/>
      <c r="P63" s="6"/>
      <c r="Q63" s="3"/>
      <c r="R63" s="6">
        <f>0.1+0.16+0.081</f>
        <v>0.34100000000000003</v>
      </c>
      <c r="S63" s="6"/>
      <c r="T63" s="6"/>
      <c r="U63" s="6"/>
      <c r="V63" s="6"/>
      <c r="W63" s="6">
        <f>1.32+4.11+4.74+1.69+3</f>
        <v>14.860000000000001</v>
      </c>
      <c r="X63" s="3"/>
    </row>
    <row r="64" spans="1:24" ht="16.5" thickBot="1" x14ac:dyDescent="0.3">
      <c r="A64" s="3"/>
      <c r="B64" s="3"/>
      <c r="C64" s="2" t="s">
        <v>388</v>
      </c>
      <c r="D64" s="7"/>
      <c r="E64" s="1">
        <f t="shared" si="0"/>
        <v>0</v>
      </c>
      <c r="F64" s="1">
        <f t="shared" si="1"/>
        <v>0.12243000000000002</v>
      </c>
      <c r="G64" s="1">
        <f t="shared" si="2"/>
        <v>0.34169100000000008</v>
      </c>
      <c r="H64" s="1">
        <f t="shared" si="3"/>
        <v>0.41181000000000012</v>
      </c>
      <c r="I64" s="4"/>
      <c r="J64" s="259">
        <f t="shared" si="4"/>
        <v>850.96</v>
      </c>
      <c r="K64" s="4"/>
      <c r="L64" s="1">
        <f t="shared" si="5"/>
        <v>0</v>
      </c>
      <c r="M64" s="5"/>
      <c r="N64" s="6">
        <f>2+1.76+0.72</f>
        <v>4.4799999999999995</v>
      </c>
      <c r="O64" s="6"/>
      <c r="P64" s="6"/>
      <c r="Q64" s="3"/>
      <c r="R64" s="6">
        <f>0.1+0.19+0.081</f>
        <v>0.37100000000000005</v>
      </c>
      <c r="S64" s="6"/>
      <c r="T64" s="6"/>
      <c r="U64" s="6"/>
      <c r="V64" s="6"/>
      <c r="W64" s="6">
        <f>1.32+4.11+7.42+2.52+3</f>
        <v>18.37</v>
      </c>
      <c r="X64" s="3"/>
    </row>
    <row r="65" spans="1:24" ht="16.5" thickBot="1" x14ac:dyDescent="0.3">
      <c r="A65" s="3"/>
      <c r="B65" s="3"/>
      <c r="C65" s="2" t="s">
        <v>389</v>
      </c>
      <c r="D65" s="7"/>
      <c r="E65" s="1">
        <f t="shared" si="0"/>
        <v>0</v>
      </c>
      <c r="F65" s="1">
        <f t="shared" si="1"/>
        <v>0.13233</v>
      </c>
      <c r="G65" s="1">
        <f t="shared" si="2"/>
        <v>0.36932100000000001</v>
      </c>
      <c r="H65" s="1">
        <f t="shared" si="3"/>
        <v>0.44511000000000006</v>
      </c>
      <c r="I65" s="4"/>
      <c r="J65" s="259">
        <f t="shared" si="4"/>
        <v>971.4</v>
      </c>
      <c r="K65" s="4"/>
      <c r="L65" s="1">
        <f t="shared" si="5"/>
        <v>0</v>
      </c>
      <c r="M65" s="5"/>
      <c r="N65" s="6">
        <f>2+1.96+0.72</f>
        <v>4.68</v>
      </c>
      <c r="O65" s="6"/>
      <c r="P65" s="6"/>
      <c r="Q65" s="3"/>
      <c r="R65" s="6">
        <f>0.1+0.22+0.081</f>
        <v>0.40100000000000002</v>
      </c>
      <c r="S65" s="6"/>
      <c r="T65" s="6"/>
      <c r="U65" s="6"/>
      <c r="V65" s="6"/>
      <c r="W65" s="6">
        <f>1.32+4.11+10.23+3.15+4</f>
        <v>22.81</v>
      </c>
      <c r="X65" s="3"/>
    </row>
    <row r="66" spans="1:24" ht="16.5" thickBot="1" x14ac:dyDescent="0.3">
      <c r="A66" s="3"/>
      <c r="B66" s="3"/>
      <c r="C66" s="2" t="s">
        <v>390</v>
      </c>
      <c r="D66" s="7"/>
      <c r="E66" s="1">
        <f t="shared" si="0"/>
        <v>0</v>
      </c>
      <c r="F66" s="1">
        <f t="shared" si="1"/>
        <v>0.38417000000000001</v>
      </c>
      <c r="G66" s="1">
        <f t="shared" si="2"/>
        <v>1.55436</v>
      </c>
      <c r="H66" s="1">
        <f t="shared" si="3"/>
        <v>2.9078100000000004</v>
      </c>
      <c r="I66" s="4"/>
      <c r="J66" s="259">
        <f t="shared" si="4"/>
        <v>968.15</v>
      </c>
      <c r="K66" s="4"/>
      <c r="L66" s="1">
        <f t="shared" si="5"/>
        <v>0</v>
      </c>
      <c r="M66" s="5">
        <v>1.22</v>
      </c>
      <c r="N66" s="6">
        <f>7.413/3</f>
        <v>2.4710000000000001</v>
      </c>
      <c r="O66" s="6"/>
      <c r="P66" s="6"/>
      <c r="Q66" s="3">
        <v>0.97099999999999997</v>
      </c>
      <c r="R66" s="6"/>
      <c r="S66" s="6"/>
      <c r="T66" s="6"/>
      <c r="U66" s="6"/>
      <c r="V66" s="6"/>
      <c r="W66" s="6"/>
      <c r="X66" s="3"/>
    </row>
    <row r="67" spans="1:24" ht="16.5" thickBot="1" x14ac:dyDescent="0.3">
      <c r="A67" s="3"/>
      <c r="B67" s="3"/>
      <c r="C67" s="2" t="s">
        <v>391</v>
      </c>
      <c r="D67" s="7"/>
      <c r="E67" s="1">
        <f t="shared" si="0"/>
        <v>0</v>
      </c>
      <c r="F67" s="1">
        <f t="shared" si="1"/>
        <v>0.47295000000000004</v>
      </c>
      <c r="G67" s="1">
        <f t="shared" si="2"/>
        <v>1.9178999999999999</v>
      </c>
      <c r="H67" s="1">
        <f t="shared" si="3"/>
        <v>3.6103500000000004</v>
      </c>
      <c r="I67" s="4"/>
      <c r="J67" s="259">
        <f t="shared" si="4"/>
        <v>1174.8399999999999</v>
      </c>
      <c r="K67" s="4"/>
      <c r="L67" s="1">
        <f t="shared" si="5"/>
        <v>0</v>
      </c>
      <c r="M67" s="5">
        <v>1.53</v>
      </c>
      <c r="N67" s="6">
        <f>8.15/3</f>
        <v>2.7166666666666668</v>
      </c>
      <c r="O67" s="6"/>
      <c r="P67" s="6"/>
      <c r="Q67" s="3">
        <v>1.1850000000000001</v>
      </c>
      <c r="R67" s="6"/>
      <c r="S67" s="6"/>
      <c r="T67" s="6"/>
      <c r="U67" s="6"/>
      <c r="V67" s="6"/>
      <c r="W67" s="6"/>
      <c r="X67" s="3"/>
    </row>
    <row r="68" spans="1:24" ht="16.5" thickBot="1" x14ac:dyDescent="0.3">
      <c r="A68" s="3"/>
      <c r="B68" s="3"/>
      <c r="C68" s="2" t="s">
        <v>392</v>
      </c>
      <c r="D68" s="7"/>
      <c r="E68" s="1">
        <f t="shared" si="0"/>
        <v>0</v>
      </c>
      <c r="F68" s="1">
        <f t="shared" si="1"/>
        <v>0.75196000000000007</v>
      </c>
      <c r="G68" s="1">
        <f t="shared" si="2"/>
        <v>3.0643799999999999</v>
      </c>
      <c r="H68" s="1">
        <f t="shared" si="3"/>
        <v>5.8462800000000001</v>
      </c>
      <c r="I68" s="4"/>
      <c r="J68" s="259">
        <f t="shared" si="4"/>
        <v>1839.37</v>
      </c>
      <c r="K68" s="4"/>
      <c r="L68" s="1">
        <f t="shared" si="5"/>
        <v>0</v>
      </c>
      <c r="M68" s="5">
        <v>2.5299999999999998</v>
      </c>
      <c r="N68" s="6">
        <f>11.04/3</f>
        <v>3.6799999999999997</v>
      </c>
      <c r="O68" s="6"/>
      <c r="P68" s="6"/>
      <c r="Q68" s="3">
        <v>1.8480000000000001</v>
      </c>
      <c r="R68" s="6"/>
      <c r="S68" s="6"/>
      <c r="T68" s="6"/>
      <c r="U68" s="6"/>
      <c r="V68" s="6"/>
      <c r="W68" s="6"/>
      <c r="X68" s="3"/>
    </row>
    <row r="69" spans="1:24" ht="16.5" thickBot="1" x14ac:dyDescent="0.3">
      <c r="A69" s="3"/>
      <c r="B69" s="3"/>
      <c r="C69" s="2" t="s">
        <v>144</v>
      </c>
      <c r="D69" s="7"/>
      <c r="E69" s="1">
        <f t="shared" si="0"/>
        <v>0</v>
      </c>
      <c r="F69" s="1">
        <f t="shared" si="1"/>
        <v>1.08901</v>
      </c>
      <c r="G69" s="1">
        <f t="shared" si="2"/>
        <v>4.4434800000000001</v>
      </c>
      <c r="H69" s="1">
        <f t="shared" si="3"/>
        <v>8.5059300000000011</v>
      </c>
      <c r="I69" s="4"/>
      <c r="J69" s="259">
        <f t="shared" si="4"/>
        <v>2627.65</v>
      </c>
      <c r="K69" s="4"/>
      <c r="L69" s="1">
        <f t="shared" si="5"/>
        <v>0</v>
      </c>
      <c r="M69" s="5">
        <v>3.7</v>
      </c>
      <c r="N69" s="6">
        <f>14.05/3</f>
        <v>4.6833333333333336</v>
      </c>
      <c r="O69" s="6"/>
      <c r="P69" s="6"/>
      <c r="Q69" s="3">
        <v>2.6629999999999998</v>
      </c>
      <c r="R69" s="6"/>
      <c r="S69" s="6"/>
      <c r="T69" s="6"/>
      <c r="U69" s="6"/>
      <c r="V69" s="6"/>
      <c r="W69" s="6"/>
      <c r="X69" s="3"/>
    </row>
    <row r="70" spans="1:24" ht="16.5" thickBot="1" x14ac:dyDescent="0.3">
      <c r="A70" s="3"/>
      <c r="B70" s="3"/>
      <c r="C70" s="2" t="s">
        <v>145</v>
      </c>
      <c r="D70" s="7"/>
      <c r="E70" s="1">
        <f t="shared" ref="E70:E84" si="11">O70*0.846</f>
        <v>0</v>
      </c>
      <c r="F70" s="1">
        <f t="shared" ref="F70:F84" si="12">A70*0.27*0.7+M70*0.1+O70*0.0588+P70*0.18+Q70*0.27+R70*0.33+S70*0.344+T70*0.005*0.434</f>
        <v>1.4740100000000003</v>
      </c>
      <c r="G70" s="1">
        <f t="shared" ref="G70:G84" si="13">A70*0.921*0.7+M70*0.51+O70*0.396+P70*1.06+Q70*0.96+R70*0.921+S70*1.02+T70*0.005*1.575</f>
        <v>6.0316799999999997</v>
      </c>
      <c r="H70" s="1">
        <f t="shared" ref="H70:H84" si="14">A70*1.11*0.7+M70*1.5+P70*1.11+Q70*1.11+R70*1.11+S70*1.11</f>
        <v>11.634930000000001</v>
      </c>
      <c r="I70" s="4"/>
      <c r="J70" s="259">
        <f t="shared" ref="J70:J84" si="15">ROUND(A70*$A$3+M70*$M$3+N70*$N$3+O70*$O$3+P70*$P$3+Q70*$Q$3+R70*$R$3+S70*$S$3+T70*$T$3+U70*$U$3+V70*$V$3+W70*$W$3+X70*$X$3+K70*$K$3+I70*$I$3,2)</f>
        <v>3538.55</v>
      </c>
      <c r="K70" s="4"/>
      <c r="L70" s="1">
        <f t="shared" ref="L70:L84" si="16">O70*0.0282</f>
        <v>0</v>
      </c>
      <c r="M70" s="5">
        <v>5.12</v>
      </c>
      <c r="N70" s="6">
        <f>17.52/3</f>
        <v>5.84</v>
      </c>
      <c r="O70" s="6"/>
      <c r="P70" s="6"/>
      <c r="Q70" s="3">
        <v>3.5630000000000002</v>
      </c>
      <c r="R70" s="6"/>
      <c r="S70" s="6"/>
      <c r="T70" s="6"/>
      <c r="U70" s="6"/>
      <c r="V70" s="6"/>
      <c r="W70" s="6"/>
      <c r="X70" s="3"/>
    </row>
    <row r="71" spans="1:24" ht="16.5" thickBot="1" x14ac:dyDescent="0.3">
      <c r="A71" s="3"/>
      <c r="B71" s="3"/>
      <c r="C71" s="2" t="s">
        <v>146</v>
      </c>
      <c r="D71" s="7"/>
      <c r="E71" s="1">
        <f t="shared" si="11"/>
        <v>0</v>
      </c>
      <c r="F71" s="1">
        <f t="shared" si="12"/>
        <v>2.41967</v>
      </c>
      <c r="G71" s="1">
        <f t="shared" si="13"/>
        <v>9.9546600000000005</v>
      </c>
      <c r="H71" s="1">
        <f t="shared" si="14"/>
        <v>19.47531</v>
      </c>
      <c r="I71" s="4"/>
      <c r="J71" s="259">
        <f t="shared" si="15"/>
        <v>5739.62</v>
      </c>
      <c r="K71" s="4"/>
      <c r="L71" s="1">
        <f t="shared" si="16"/>
        <v>0</v>
      </c>
      <c r="M71" s="5">
        <v>8.75</v>
      </c>
      <c r="N71" s="6">
        <f>23.5/3</f>
        <v>7.833333333333333</v>
      </c>
      <c r="O71" s="6"/>
      <c r="P71" s="6"/>
      <c r="Q71" s="3">
        <v>5.7210000000000001</v>
      </c>
      <c r="R71" s="6"/>
      <c r="S71" s="6"/>
      <c r="T71" s="6"/>
      <c r="U71" s="6"/>
      <c r="V71" s="6"/>
      <c r="W71" s="6"/>
      <c r="X71" s="3"/>
    </row>
    <row r="72" spans="1:24" ht="16.5" thickBot="1" x14ac:dyDescent="0.3">
      <c r="A72" s="3"/>
      <c r="B72" s="3"/>
      <c r="C72" s="1296" t="s">
        <v>403</v>
      </c>
      <c r="D72" s="1305"/>
      <c r="E72" s="1297">
        <f t="shared" si="11"/>
        <v>0</v>
      </c>
      <c r="F72" s="1297">
        <f t="shared" si="12"/>
        <v>0</v>
      </c>
      <c r="G72" s="1297">
        <f t="shared" si="13"/>
        <v>0</v>
      </c>
      <c r="H72" s="1297">
        <f t="shared" si="14"/>
        <v>0</v>
      </c>
      <c r="I72" s="1304"/>
      <c r="J72" s="259">
        <f t="shared" si="15"/>
        <v>0</v>
      </c>
      <c r="K72" s="1298"/>
      <c r="L72" s="1297">
        <f t="shared" si="16"/>
        <v>0</v>
      </c>
      <c r="M72" s="1299"/>
      <c r="N72" s="1299"/>
      <c r="O72" s="1300"/>
      <c r="P72" s="1301"/>
      <c r="Q72" s="1302"/>
      <c r="R72" s="1299"/>
      <c r="S72" s="1299"/>
      <c r="T72" s="1299"/>
      <c r="U72" s="1299"/>
      <c r="V72" s="1299"/>
      <c r="W72" s="1299"/>
      <c r="X72" s="1302"/>
    </row>
    <row r="73" spans="1:24" ht="16.5" thickBot="1" x14ac:dyDescent="0.3">
      <c r="A73" s="3"/>
      <c r="B73" s="3"/>
      <c r="C73" s="1296" t="s">
        <v>404</v>
      </c>
      <c r="D73" s="1305"/>
      <c r="E73" s="1297">
        <f t="shared" si="11"/>
        <v>0</v>
      </c>
      <c r="F73" s="1297">
        <f t="shared" si="12"/>
        <v>0</v>
      </c>
      <c r="G73" s="1297">
        <f t="shared" si="13"/>
        <v>0</v>
      </c>
      <c r="H73" s="1297">
        <f t="shared" si="14"/>
        <v>0</v>
      </c>
      <c r="I73" s="1304"/>
      <c r="J73" s="259">
        <f t="shared" si="15"/>
        <v>0</v>
      </c>
      <c r="K73" s="1298"/>
      <c r="L73" s="1297">
        <f t="shared" si="16"/>
        <v>0</v>
      </c>
      <c r="M73" s="1299"/>
      <c r="N73" s="1299"/>
      <c r="O73" s="1300"/>
      <c r="P73" s="1301"/>
      <c r="Q73" s="1302"/>
      <c r="R73" s="1299"/>
      <c r="S73" s="1299"/>
      <c r="T73" s="1299"/>
      <c r="U73" s="1299"/>
      <c r="V73" s="1299"/>
      <c r="W73" s="1299"/>
      <c r="X73" s="1302"/>
    </row>
    <row r="74" spans="1:24" ht="16.5" thickBot="1" x14ac:dyDescent="0.3">
      <c r="A74" s="3"/>
      <c r="B74" s="3"/>
      <c r="C74" s="1296" t="s">
        <v>405</v>
      </c>
      <c r="D74" s="1305"/>
      <c r="E74" s="1297">
        <f t="shared" si="11"/>
        <v>0</v>
      </c>
      <c r="F74" s="1297">
        <f t="shared" si="12"/>
        <v>0</v>
      </c>
      <c r="G74" s="1297">
        <f t="shared" si="13"/>
        <v>0</v>
      </c>
      <c r="H74" s="1297">
        <f t="shared" si="14"/>
        <v>0</v>
      </c>
      <c r="I74" s="1304"/>
      <c r="J74" s="259">
        <f t="shared" si="15"/>
        <v>0</v>
      </c>
      <c r="K74" s="1298"/>
      <c r="L74" s="1297">
        <f t="shared" si="16"/>
        <v>0</v>
      </c>
      <c r="M74" s="1299"/>
      <c r="N74" s="1299"/>
      <c r="O74" s="1300"/>
      <c r="P74" s="1301"/>
      <c r="Q74" s="1302"/>
      <c r="R74" s="1299"/>
      <c r="S74" s="1299"/>
      <c r="T74" s="1299"/>
      <c r="U74" s="1299"/>
      <c r="V74" s="1299"/>
      <c r="W74" s="1299"/>
      <c r="X74" s="1302"/>
    </row>
    <row r="75" spans="1:24" ht="16.5" thickBot="1" x14ac:dyDescent="0.3">
      <c r="A75" s="3"/>
      <c r="B75" s="3"/>
      <c r="C75" s="1296" t="s">
        <v>406</v>
      </c>
      <c r="D75" s="1305"/>
      <c r="E75" s="1297">
        <f t="shared" si="11"/>
        <v>0</v>
      </c>
      <c r="F75" s="1297">
        <f t="shared" si="12"/>
        <v>0</v>
      </c>
      <c r="G75" s="1297">
        <f t="shared" si="13"/>
        <v>0</v>
      </c>
      <c r="H75" s="1297">
        <f t="shared" si="14"/>
        <v>0</v>
      </c>
      <c r="I75" s="1304"/>
      <c r="J75" s="259">
        <f t="shared" si="15"/>
        <v>0</v>
      </c>
      <c r="K75" s="1298"/>
      <c r="L75" s="1297">
        <f t="shared" si="16"/>
        <v>0</v>
      </c>
      <c r="M75" s="1299"/>
      <c r="N75" s="1299"/>
      <c r="O75" s="1300"/>
      <c r="P75" s="1301"/>
      <c r="Q75" s="1302"/>
      <c r="R75" s="1299"/>
      <c r="S75" s="1299"/>
      <c r="T75" s="1299"/>
      <c r="U75" s="1299"/>
      <c r="V75" s="1299"/>
      <c r="W75" s="1299"/>
      <c r="X75" s="1302"/>
    </row>
    <row r="76" spans="1:24" ht="16.5" thickBot="1" x14ac:dyDescent="0.3">
      <c r="A76" s="3"/>
      <c r="B76" s="3"/>
      <c r="C76" s="1296" t="s">
        <v>407</v>
      </c>
      <c r="D76" s="1305"/>
      <c r="E76" s="1297">
        <f t="shared" si="11"/>
        <v>0</v>
      </c>
      <c r="F76" s="1297">
        <f t="shared" si="12"/>
        <v>0</v>
      </c>
      <c r="G76" s="1297">
        <f t="shared" si="13"/>
        <v>0</v>
      </c>
      <c r="H76" s="1297">
        <f t="shared" si="14"/>
        <v>0</v>
      </c>
      <c r="I76" s="1304"/>
      <c r="J76" s="259">
        <f t="shared" si="15"/>
        <v>0</v>
      </c>
      <c r="K76" s="1298"/>
      <c r="L76" s="1297">
        <f t="shared" si="16"/>
        <v>0</v>
      </c>
      <c r="M76" s="1299"/>
      <c r="N76" s="1299"/>
      <c r="O76" s="1300"/>
      <c r="P76" s="1301"/>
      <c r="Q76" s="1302"/>
      <c r="R76" s="1299"/>
      <c r="S76" s="1299"/>
      <c r="T76" s="1299"/>
      <c r="U76" s="1299"/>
      <c r="V76" s="1299"/>
      <c r="W76" s="1299"/>
      <c r="X76" s="1302"/>
    </row>
    <row r="77" spans="1:24" ht="16.5" thickBot="1" x14ac:dyDescent="0.3">
      <c r="A77" s="3"/>
      <c r="B77" s="3"/>
      <c r="C77" s="1296" t="s">
        <v>408</v>
      </c>
      <c r="D77" s="1305"/>
      <c r="E77" s="1297">
        <f t="shared" si="11"/>
        <v>0</v>
      </c>
      <c r="F77" s="1297">
        <f t="shared" si="12"/>
        <v>0</v>
      </c>
      <c r="G77" s="1297">
        <f t="shared" si="13"/>
        <v>0</v>
      </c>
      <c r="H77" s="1297">
        <f t="shared" si="14"/>
        <v>0</v>
      </c>
      <c r="I77" s="1304"/>
      <c r="J77" s="259">
        <f t="shared" si="15"/>
        <v>0</v>
      </c>
      <c r="K77" s="1298"/>
      <c r="L77" s="1297">
        <f t="shared" si="16"/>
        <v>0</v>
      </c>
      <c r="M77" s="1299"/>
      <c r="N77" s="1299"/>
      <c r="O77" s="1300"/>
      <c r="P77" s="1301"/>
      <c r="Q77" s="1302"/>
      <c r="R77" s="1299"/>
      <c r="S77" s="1299"/>
      <c r="T77" s="1299"/>
      <c r="U77" s="1299"/>
      <c r="V77" s="1299"/>
      <c r="W77" s="1299"/>
      <c r="X77" s="1302"/>
    </row>
    <row r="78" spans="1:24" ht="16.5" thickBot="1" x14ac:dyDescent="0.3">
      <c r="A78" s="3"/>
      <c r="B78" s="3"/>
      <c r="C78" s="1296" t="s">
        <v>409</v>
      </c>
      <c r="D78" s="1305"/>
      <c r="E78" s="1297">
        <f t="shared" si="11"/>
        <v>0</v>
      </c>
      <c r="F78" s="1297">
        <f t="shared" si="12"/>
        <v>0</v>
      </c>
      <c r="G78" s="1297">
        <f t="shared" si="13"/>
        <v>0</v>
      </c>
      <c r="H78" s="1297">
        <f t="shared" si="14"/>
        <v>0</v>
      </c>
      <c r="I78" s="1304"/>
      <c r="J78" s="259">
        <f t="shared" si="15"/>
        <v>0</v>
      </c>
      <c r="K78" s="1298"/>
      <c r="L78" s="1297">
        <f t="shared" si="16"/>
        <v>0</v>
      </c>
      <c r="M78" s="1299"/>
      <c r="N78" s="1299"/>
      <c r="O78" s="1300"/>
      <c r="P78" s="1301"/>
      <c r="Q78" s="1302"/>
      <c r="R78" s="1299"/>
      <c r="S78" s="1299"/>
      <c r="T78" s="1299"/>
      <c r="U78" s="1299"/>
      <c r="V78" s="1299"/>
      <c r="W78" s="1299"/>
      <c r="X78" s="1302"/>
    </row>
    <row r="79" spans="1:24" ht="16.5" thickBot="1" x14ac:dyDescent="0.3">
      <c r="A79" s="3"/>
      <c r="B79" s="3"/>
      <c r="C79" s="1296" t="s">
        <v>410</v>
      </c>
      <c r="D79" s="1305"/>
      <c r="E79" s="1297">
        <f t="shared" si="11"/>
        <v>0</v>
      </c>
      <c r="F79" s="1297">
        <f t="shared" si="12"/>
        <v>0</v>
      </c>
      <c r="G79" s="1297">
        <f t="shared" si="13"/>
        <v>0</v>
      </c>
      <c r="H79" s="1297">
        <f t="shared" si="14"/>
        <v>0</v>
      </c>
      <c r="I79" s="1304"/>
      <c r="J79" s="259">
        <f t="shared" si="15"/>
        <v>0</v>
      </c>
      <c r="K79" s="1298"/>
      <c r="L79" s="1297">
        <f t="shared" si="16"/>
        <v>0</v>
      </c>
      <c r="M79" s="1299"/>
      <c r="N79" s="1299"/>
      <c r="O79" s="1300"/>
      <c r="P79" s="1301"/>
      <c r="Q79" s="1302"/>
      <c r="R79" s="1299"/>
      <c r="S79" s="1299"/>
      <c r="T79" s="1299"/>
      <c r="U79" s="1299"/>
      <c r="V79" s="1299"/>
      <c r="W79" s="1299"/>
      <c r="X79" s="1302"/>
    </row>
    <row r="80" spans="1:24" ht="16.5" thickBot="1" x14ac:dyDescent="0.3">
      <c r="A80" s="3"/>
      <c r="B80" s="3"/>
      <c r="C80" s="1296" t="s">
        <v>411</v>
      </c>
      <c r="D80" s="1305"/>
      <c r="E80" s="1297">
        <f t="shared" si="11"/>
        <v>0</v>
      </c>
      <c r="F80" s="1297">
        <f t="shared" si="12"/>
        <v>0</v>
      </c>
      <c r="G80" s="1297">
        <f t="shared" si="13"/>
        <v>0</v>
      </c>
      <c r="H80" s="1297">
        <f t="shared" si="14"/>
        <v>0</v>
      </c>
      <c r="I80" s="1304"/>
      <c r="J80" s="259">
        <f t="shared" si="15"/>
        <v>0</v>
      </c>
      <c r="K80" s="1298"/>
      <c r="L80" s="1297">
        <f t="shared" si="16"/>
        <v>0</v>
      </c>
      <c r="M80" s="1299"/>
      <c r="N80" s="1299"/>
      <c r="O80" s="1300"/>
      <c r="P80" s="1301"/>
      <c r="Q80" s="1302"/>
      <c r="R80" s="1299"/>
      <c r="S80" s="1299"/>
      <c r="T80" s="1299"/>
      <c r="U80" s="1299"/>
      <c r="V80" s="1299"/>
      <c r="W80" s="1299"/>
      <c r="X80" s="1302"/>
    </row>
    <row r="81" spans="1:24" ht="16.5" thickBot="1" x14ac:dyDescent="0.3">
      <c r="A81" s="3"/>
      <c r="B81" s="3"/>
      <c r="C81" s="1296" t="s">
        <v>412</v>
      </c>
      <c r="D81" s="1305"/>
      <c r="E81" s="1297">
        <f t="shared" si="11"/>
        <v>0</v>
      </c>
      <c r="F81" s="1297">
        <f t="shared" si="12"/>
        <v>0</v>
      </c>
      <c r="G81" s="1297">
        <f t="shared" si="13"/>
        <v>0</v>
      </c>
      <c r="H81" s="1297">
        <f t="shared" si="14"/>
        <v>0</v>
      </c>
      <c r="I81" s="1304"/>
      <c r="J81" s="259">
        <f t="shared" si="15"/>
        <v>0</v>
      </c>
      <c r="K81" s="1298"/>
      <c r="L81" s="1297">
        <f t="shared" si="16"/>
        <v>0</v>
      </c>
      <c r="M81" s="1299"/>
      <c r="N81" s="1299"/>
      <c r="O81" s="1300"/>
      <c r="P81" s="1301"/>
      <c r="Q81" s="1302"/>
      <c r="R81" s="1299"/>
      <c r="S81" s="1299"/>
      <c r="T81" s="1299"/>
      <c r="U81" s="1299"/>
      <c r="V81" s="1299"/>
      <c r="W81" s="1299"/>
      <c r="X81" s="1302"/>
    </row>
    <row r="82" spans="1:24" ht="15" customHeight="1" thickBot="1" x14ac:dyDescent="0.3">
      <c r="A82" s="3"/>
      <c r="B82" s="3"/>
      <c r="C82" s="1296"/>
      <c r="D82" s="1305"/>
      <c r="E82" s="1297">
        <f t="shared" si="11"/>
        <v>0</v>
      </c>
      <c r="F82" s="1297">
        <f t="shared" si="12"/>
        <v>0</v>
      </c>
      <c r="G82" s="1297">
        <f t="shared" si="13"/>
        <v>0</v>
      </c>
      <c r="H82" s="1297">
        <f t="shared" si="14"/>
        <v>0</v>
      </c>
      <c r="I82" s="1304"/>
      <c r="J82" s="259">
        <f t="shared" si="15"/>
        <v>0</v>
      </c>
      <c r="K82" s="1298"/>
      <c r="L82" s="1297">
        <f t="shared" si="16"/>
        <v>0</v>
      </c>
      <c r="M82" s="1299"/>
      <c r="N82" s="1303"/>
      <c r="O82" s="1303"/>
      <c r="P82" s="1301"/>
      <c r="Q82" s="1301"/>
      <c r="R82" s="1301"/>
      <c r="S82" s="1301"/>
      <c r="T82" s="1301"/>
      <c r="U82" s="1301"/>
      <c r="V82" s="1301"/>
      <c r="W82" s="1301"/>
      <c r="X82" s="1301"/>
    </row>
    <row r="83" spans="1:24" ht="15" customHeight="1" thickBot="1" x14ac:dyDescent="0.3">
      <c r="A83" s="3"/>
      <c r="B83" s="3"/>
      <c r="C83" s="1296"/>
      <c r="D83" s="1305"/>
      <c r="E83" s="1297">
        <f t="shared" si="11"/>
        <v>0</v>
      </c>
      <c r="F83" s="1297">
        <f t="shared" si="12"/>
        <v>0</v>
      </c>
      <c r="G83" s="1297">
        <f t="shared" si="13"/>
        <v>0</v>
      </c>
      <c r="H83" s="1297">
        <f t="shared" si="14"/>
        <v>0</v>
      </c>
      <c r="I83" s="1304"/>
      <c r="J83" s="259">
        <f t="shared" si="15"/>
        <v>0</v>
      </c>
      <c r="K83" s="1298"/>
      <c r="L83" s="1297">
        <f t="shared" si="16"/>
        <v>0</v>
      </c>
      <c r="M83" s="1299"/>
      <c r="N83" s="1303"/>
      <c r="O83" s="1303"/>
      <c r="P83" s="1301"/>
      <c r="Q83" s="1301"/>
      <c r="R83" s="1301"/>
      <c r="S83" s="1301"/>
      <c r="T83" s="1301"/>
      <c r="U83" s="1301"/>
      <c r="V83" s="1301"/>
      <c r="W83" s="1301"/>
      <c r="X83" s="1301"/>
    </row>
    <row r="84" spans="1:24" ht="15" customHeight="1" thickBot="1" x14ac:dyDescent="0.3">
      <c r="A84" s="3"/>
      <c r="B84" s="3"/>
      <c r="C84" s="1296"/>
      <c r="D84" s="1305"/>
      <c r="E84" s="1297">
        <f t="shared" si="11"/>
        <v>0</v>
      </c>
      <c r="F84" s="1297">
        <f t="shared" si="12"/>
        <v>0</v>
      </c>
      <c r="G84" s="1297">
        <f t="shared" si="13"/>
        <v>0</v>
      </c>
      <c r="H84" s="1297">
        <f t="shared" si="14"/>
        <v>0</v>
      </c>
      <c r="I84" s="1304"/>
      <c r="J84" s="259">
        <f t="shared" si="15"/>
        <v>0</v>
      </c>
      <c r="K84" s="1298"/>
      <c r="L84" s="1297">
        <f t="shared" si="16"/>
        <v>0</v>
      </c>
      <c r="M84" s="1299"/>
      <c r="N84" s="1303"/>
      <c r="O84" s="1303"/>
      <c r="P84" s="1301"/>
      <c r="Q84" s="1301"/>
      <c r="R84" s="1301"/>
      <c r="S84" s="1301"/>
      <c r="T84" s="1301"/>
      <c r="U84" s="1301"/>
      <c r="V84" s="1301"/>
      <c r="W84" s="1301"/>
      <c r="X84" s="1301"/>
    </row>
    <row r="85" spans="1:24" ht="19.5" customHeight="1" x14ac:dyDescent="0.25">
      <c r="A85" s="3"/>
      <c r="B85" s="3"/>
      <c r="C85" s="19"/>
      <c r="D85" s="19"/>
      <c r="E85" s="20"/>
      <c r="F85" s="20"/>
      <c r="G85" s="21"/>
      <c r="H85" s="21"/>
      <c r="I85" s="21"/>
      <c r="J85" s="5"/>
      <c r="K85" s="21" t="s">
        <v>61</v>
      </c>
      <c r="L85" s="21" t="s">
        <v>825</v>
      </c>
      <c r="M85" s="21" t="s">
        <v>62</v>
      </c>
      <c r="N85" s="21" t="s">
        <v>63</v>
      </c>
      <c r="O85" s="21" t="s">
        <v>64</v>
      </c>
      <c r="P85" s="21" t="s">
        <v>65</v>
      </c>
      <c r="Q85" s="21" t="s">
        <v>66</v>
      </c>
      <c r="R85" s="21" t="s">
        <v>67</v>
      </c>
      <c r="S85" s="21" t="s">
        <v>68</v>
      </c>
      <c r="T85" s="21" t="s">
        <v>687</v>
      </c>
      <c r="U85" s="21" t="s">
        <v>826</v>
      </c>
      <c r="V85" s="21" t="s">
        <v>827</v>
      </c>
      <c r="W85" s="21" t="s">
        <v>828</v>
      </c>
      <c r="X85" s="22" t="s">
        <v>829</v>
      </c>
    </row>
    <row r="86" spans="1:24" ht="15" x14ac:dyDescent="0.2">
      <c r="A86" s="22"/>
      <c r="B86" s="22"/>
      <c r="C86" s="23"/>
      <c r="D86" s="23"/>
      <c r="E86" s="23"/>
      <c r="F86" s="24"/>
      <c r="G86" s="23"/>
      <c r="H86" s="23"/>
      <c r="I86" s="23"/>
      <c r="J86" s="25"/>
      <c r="K86" s="26"/>
      <c r="L86" s="23"/>
      <c r="M86" s="24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2"/>
    </row>
  </sheetData>
  <sheetProtection algorithmName="SHA-512" hashValue="e5kMYbAlJjbng6sFXyRWYxWsx3ValefdZR3BPyrpFKF0x6kcVni+Otj1aEEebz7ndVHE2FPkwCdelgNRZ/iHlg==" saltValue="59AGAeNPAeeD93dWEBG4Ug==" spinCount="100000" sheet="1" objects="1" scenarios="1" formatColumns="0" formatRows="0" autoFilter="0"/>
  <autoFilter ref="A4:Z4" xr:uid="{00000000-0009-0000-0000-000011000000}"/>
  <phoneticPr fontId="0" type="noConversion"/>
  <printOptions horizontalCentered="1" verticalCentered="1" gridLines="1" gridLinesSet="0"/>
  <pageMargins left="0.78740157480314965" right="0.6692913385826772" top="1.1811023622047245" bottom="0.98425196850393704" header="0.70866141732283472" footer="0.51181102362204722"/>
  <pageSetup paperSize="9" scale="10" orientation="landscape" horizontalDpi="4294967292" verticalDpi="180" r:id="rId1"/>
  <headerFooter alignWithMargins="0">
    <oddHeader>&amp;C&amp;"Arial,Negrito"&amp;14&amp;A</oddHeader>
    <oddFooter>&amp;C&amp;"Arial,Negrito"&amp;14&amp;F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K23"/>
  <sheetViews>
    <sheetView workbookViewId="0"/>
  </sheetViews>
  <sheetFormatPr defaultColWidth="9.33203125" defaultRowHeight="15" x14ac:dyDescent="0.25"/>
  <cols>
    <col min="1" max="1" width="9.33203125" style="90"/>
    <col min="2" max="2" width="24.1640625" style="90" customWidth="1"/>
    <col min="3" max="4" width="31.1640625" style="90" customWidth="1"/>
    <col min="5" max="10" width="9.33203125" style="90"/>
    <col min="11" max="11" width="12" style="90" customWidth="1"/>
    <col min="12" max="16384" width="9.33203125" style="90"/>
  </cols>
  <sheetData>
    <row r="1" spans="1:11" x14ac:dyDescent="0.25">
      <c r="A1" s="87" t="s">
        <v>602</v>
      </c>
      <c r="B1" s="88" t="s">
        <v>603</v>
      </c>
      <c r="C1" s="88"/>
      <c r="D1" s="88"/>
      <c r="E1" s="88"/>
      <c r="F1" s="88"/>
      <c r="G1" s="88"/>
      <c r="H1" s="88"/>
      <c r="I1" s="88"/>
      <c r="J1" s="88"/>
      <c r="K1" s="89"/>
    </row>
    <row r="2" spans="1:11" ht="21" x14ac:dyDescent="0.35">
      <c r="A2" s="91"/>
      <c r="B2" s="92" t="s">
        <v>604</v>
      </c>
      <c r="C2" s="92"/>
      <c r="D2" s="92"/>
      <c r="E2" s="93"/>
      <c r="F2" s="93"/>
      <c r="G2" s="93"/>
      <c r="H2" s="93"/>
      <c r="I2" s="93"/>
      <c r="J2" s="93"/>
      <c r="K2" s="94"/>
    </row>
    <row r="3" spans="1:11" ht="13.9" customHeight="1" x14ac:dyDescent="0.25">
      <c r="A3" s="91"/>
      <c r="B3" s="95" t="s">
        <v>605</v>
      </c>
      <c r="C3" s="96" t="s">
        <v>606</v>
      </c>
      <c r="D3" s="97"/>
      <c r="E3" s="93"/>
      <c r="F3" s="93"/>
      <c r="G3" s="93"/>
      <c r="H3" s="93"/>
      <c r="I3" s="93"/>
      <c r="J3" s="93"/>
      <c r="K3" s="94"/>
    </row>
    <row r="4" spans="1:11" ht="13.9" customHeight="1" x14ac:dyDescent="0.25">
      <c r="A4" s="91"/>
      <c r="B4" s="98" t="s">
        <v>607</v>
      </c>
      <c r="C4" s="99" t="s">
        <v>608</v>
      </c>
      <c r="D4" s="99" t="s">
        <v>609</v>
      </c>
      <c r="E4" s="93"/>
      <c r="F4" s="93"/>
      <c r="G4" s="93"/>
      <c r="H4" s="93"/>
      <c r="I4" s="93"/>
      <c r="J4" s="93"/>
      <c r="K4" s="94"/>
    </row>
    <row r="5" spans="1:11" ht="13.15" customHeight="1" x14ac:dyDescent="0.25">
      <c r="A5" s="91"/>
      <c r="B5" s="99" t="s">
        <v>610</v>
      </c>
      <c r="C5" s="99" t="s">
        <v>611</v>
      </c>
      <c r="D5" s="99" t="s">
        <v>612</v>
      </c>
      <c r="E5" s="93"/>
      <c r="F5" s="93"/>
      <c r="G5" s="93"/>
      <c r="H5" s="93"/>
      <c r="I5" s="93"/>
      <c r="J5" s="93"/>
      <c r="K5" s="94"/>
    </row>
    <row r="6" spans="1:11" ht="13.15" customHeight="1" x14ac:dyDescent="0.25">
      <c r="A6" s="91"/>
      <c r="B6" s="99" t="s">
        <v>613</v>
      </c>
      <c r="C6" s="99" t="s">
        <v>612</v>
      </c>
      <c r="D6" s="99" t="s">
        <v>614</v>
      </c>
      <c r="E6" s="93"/>
      <c r="F6" s="93"/>
      <c r="G6" s="93"/>
      <c r="H6" s="93"/>
      <c r="I6" s="93"/>
      <c r="J6" s="93"/>
      <c r="K6" s="94"/>
    </row>
    <row r="7" spans="1:11" ht="13.15" customHeight="1" x14ac:dyDescent="0.25">
      <c r="A7" s="91"/>
      <c r="B7" s="99" t="s">
        <v>615</v>
      </c>
      <c r="C7" s="99" t="s">
        <v>614</v>
      </c>
      <c r="D7" s="99" t="s">
        <v>616</v>
      </c>
      <c r="E7" s="100" t="s">
        <v>617</v>
      </c>
      <c r="F7" s="101" t="s">
        <v>618</v>
      </c>
      <c r="G7" s="93"/>
      <c r="H7" s="93"/>
      <c r="I7" s="93"/>
      <c r="J7" s="93"/>
      <c r="K7" s="94"/>
    </row>
    <row r="8" spans="1:11" ht="13.15" customHeight="1" x14ac:dyDescent="0.25">
      <c r="A8" s="91"/>
      <c r="B8" s="99" t="s">
        <v>619</v>
      </c>
      <c r="C8" s="99" t="s">
        <v>616</v>
      </c>
      <c r="D8" s="99" t="s">
        <v>620</v>
      </c>
      <c r="E8" s="93"/>
      <c r="F8" s="93"/>
      <c r="G8" s="93"/>
      <c r="H8" s="93"/>
      <c r="I8" s="93"/>
      <c r="J8" s="93"/>
      <c r="K8" s="94"/>
    </row>
    <row r="9" spans="1:11" ht="13.15" customHeight="1" x14ac:dyDescent="0.25">
      <c r="A9" s="91"/>
      <c r="B9" s="99" t="s">
        <v>621</v>
      </c>
      <c r="C9" s="99" t="s">
        <v>620</v>
      </c>
      <c r="D9" s="99" t="s">
        <v>622</v>
      </c>
      <c r="E9" s="93"/>
      <c r="F9" s="93"/>
      <c r="G9" s="93"/>
      <c r="H9" s="93"/>
      <c r="I9" s="93"/>
      <c r="J9" s="93"/>
      <c r="K9" s="94"/>
    </row>
    <row r="10" spans="1:11" ht="13.15" customHeight="1" x14ac:dyDescent="0.25">
      <c r="A10" s="91"/>
      <c r="B10" s="99" t="s">
        <v>623</v>
      </c>
      <c r="C10" s="99" t="s">
        <v>622</v>
      </c>
      <c r="D10" s="99" t="s">
        <v>624</v>
      </c>
      <c r="E10" s="93"/>
      <c r="F10" s="93"/>
      <c r="G10" s="93"/>
      <c r="H10" s="93"/>
      <c r="I10" s="93"/>
      <c r="J10" s="93"/>
      <c r="K10" s="94"/>
    </row>
    <row r="11" spans="1:11" ht="13.15" customHeight="1" x14ac:dyDescent="0.25">
      <c r="A11" s="91"/>
      <c r="B11" s="99" t="s">
        <v>625</v>
      </c>
      <c r="C11" s="99" t="s">
        <v>624</v>
      </c>
      <c r="D11" s="99" t="s">
        <v>626</v>
      </c>
      <c r="E11" s="93"/>
      <c r="F11" s="93"/>
      <c r="G11" s="93"/>
      <c r="H11" s="93"/>
      <c r="I11" s="93"/>
      <c r="J11" s="93"/>
      <c r="K11" s="94"/>
    </row>
    <row r="12" spans="1:11" ht="9" customHeight="1" x14ac:dyDescent="0.25">
      <c r="A12" s="91"/>
      <c r="B12" s="102"/>
      <c r="C12" s="102"/>
      <c r="D12" s="102"/>
      <c r="E12" s="93"/>
      <c r="F12" s="93"/>
      <c r="G12" s="93"/>
      <c r="H12" s="93"/>
      <c r="I12" s="93"/>
      <c r="J12" s="93"/>
      <c r="K12" s="94"/>
    </row>
    <row r="13" spans="1:11" ht="13.15" customHeight="1" x14ac:dyDescent="0.25">
      <c r="A13" s="103">
        <v>2</v>
      </c>
      <c r="B13" s="102" t="s">
        <v>627</v>
      </c>
      <c r="C13" s="102"/>
      <c r="D13" s="102"/>
      <c r="E13" s="92"/>
      <c r="F13" s="92"/>
      <c r="G13" s="92"/>
      <c r="H13" s="92"/>
      <c r="I13" s="92"/>
      <c r="J13" s="92"/>
      <c r="K13" s="94"/>
    </row>
    <row r="14" spans="1:11" ht="13.15" customHeight="1" x14ac:dyDescent="0.25">
      <c r="A14" s="91"/>
      <c r="B14" s="102" t="s">
        <v>628</v>
      </c>
      <c r="C14" s="102"/>
      <c r="D14" s="102"/>
      <c r="E14" s="93"/>
      <c r="F14" s="93"/>
      <c r="G14" s="93"/>
      <c r="H14" s="93"/>
      <c r="I14" s="93"/>
      <c r="J14" s="93"/>
      <c r="K14" s="94"/>
    </row>
    <row r="15" spans="1:11" ht="13.15" customHeight="1" x14ac:dyDescent="0.25">
      <c r="A15" s="91"/>
      <c r="B15" s="95" t="s">
        <v>605</v>
      </c>
      <c r="C15" s="96" t="s">
        <v>606</v>
      </c>
      <c r="D15" s="97"/>
      <c r="E15" s="93"/>
      <c r="F15" s="93"/>
      <c r="G15" s="93"/>
      <c r="H15" s="93"/>
      <c r="I15" s="93"/>
      <c r="J15" s="93"/>
      <c r="K15" s="94"/>
    </row>
    <row r="16" spans="1:11" ht="13.15" customHeight="1" x14ac:dyDescent="0.25">
      <c r="A16" s="91"/>
      <c r="B16" s="98" t="s">
        <v>607</v>
      </c>
      <c r="C16" s="99" t="s">
        <v>608</v>
      </c>
      <c r="D16" s="99" t="s">
        <v>609</v>
      </c>
      <c r="E16" s="93"/>
      <c r="F16" s="93"/>
      <c r="G16" s="93"/>
      <c r="H16" s="93"/>
      <c r="I16" s="93"/>
      <c r="J16" s="93"/>
      <c r="K16" s="94"/>
    </row>
    <row r="17" spans="1:11" ht="13.15" customHeight="1" x14ac:dyDescent="0.25">
      <c r="A17" s="91"/>
      <c r="B17" s="99" t="s">
        <v>610</v>
      </c>
      <c r="C17" s="99" t="s">
        <v>611</v>
      </c>
      <c r="D17" s="99" t="s">
        <v>629</v>
      </c>
      <c r="E17" s="93"/>
      <c r="F17" s="93"/>
      <c r="G17" s="93"/>
      <c r="H17" s="93"/>
      <c r="I17" s="93"/>
      <c r="J17" s="93"/>
      <c r="K17" s="94"/>
    </row>
    <row r="18" spans="1:11" ht="13.15" customHeight="1" x14ac:dyDescent="0.25">
      <c r="A18" s="91"/>
      <c r="B18" s="99" t="s">
        <v>613</v>
      </c>
      <c r="C18" s="99" t="s">
        <v>629</v>
      </c>
      <c r="D18" s="99" t="s">
        <v>630</v>
      </c>
      <c r="E18" s="100" t="s">
        <v>617</v>
      </c>
      <c r="F18" s="101" t="s">
        <v>631</v>
      </c>
      <c r="G18" s="93"/>
      <c r="H18" s="93"/>
      <c r="I18" s="93"/>
      <c r="J18" s="93"/>
      <c r="K18" s="94"/>
    </row>
    <row r="19" spans="1:11" ht="13.15" customHeight="1" x14ac:dyDescent="0.25">
      <c r="A19" s="91"/>
      <c r="B19" s="99" t="s">
        <v>615</v>
      </c>
      <c r="C19" s="99" t="s">
        <v>630</v>
      </c>
      <c r="D19" s="99" t="s">
        <v>632</v>
      </c>
      <c r="E19" s="93"/>
      <c r="F19" s="93"/>
      <c r="G19" s="93"/>
      <c r="H19" s="93"/>
      <c r="I19" s="93"/>
      <c r="J19" s="93"/>
      <c r="K19" s="94"/>
    </row>
    <row r="20" spans="1:11" ht="13.15" customHeight="1" x14ac:dyDescent="0.25">
      <c r="A20" s="91"/>
      <c r="B20" s="99" t="s">
        <v>619</v>
      </c>
      <c r="C20" s="99" t="s">
        <v>632</v>
      </c>
      <c r="D20" s="99" t="s">
        <v>626</v>
      </c>
      <c r="E20" s="93"/>
      <c r="F20" s="93"/>
      <c r="G20" s="93"/>
      <c r="H20" s="93"/>
      <c r="I20" s="93"/>
      <c r="J20" s="93"/>
      <c r="K20" s="94"/>
    </row>
    <row r="21" spans="1:11" ht="13.15" customHeight="1" x14ac:dyDescent="0.25">
      <c r="A21" s="91"/>
      <c r="B21" s="99" t="s">
        <v>621</v>
      </c>
      <c r="C21" s="99" t="s">
        <v>626</v>
      </c>
      <c r="D21" s="99" t="s">
        <v>633</v>
      </c>
      <c r="E21" s="93"/>
      <c r="F21" s="93"/>
      <c r="G21" s="93"/>
      <c r="H21" s="93"/>
      <c r="I21" s="93"/>
      <c r="J21" s="93"/>
      <c r="K21" s="94"/>
    </row>
    <row r="22" spans="1:11" ht="13.15" customHeight="1" x14ac:dyDescent="0.25">
      <c r="A22" s="91"/>
      <c r="B22" s="99" t="s">
        <v>623</v>
      </c>
      <c r="C22" s="99" t="s">
        <v>633</v>
      </c>
      <c r="D22" s="99" t="s">
        <v>634</v>
      </c>
      <c r="E22" s="93"/>
      <c r="F22" s="93"/>
      <c r="G22" s="93"/>
      <c r="H22" s="93"/>
      <c r="I22" s="93"/>
      <c r="J22" s="93"/>
      <c r="K22" s="94"/>
    </row>
    <row r="23" spans="1:11" ht="13.15" customHeight="1" thickBot="1" x14ac:dyDescent="0.3">
      <c r="A23" s="104"/>
      <c r="B23" s="105" t="s">
        <v>625</v>
      </c>
      <c r="C23" s="105" t="s">
        <v>634</v>
      </c>
      <c r="D23" s="105" t="s">
        <v>635</v>
      </c>
      <c r="E23" s="106"/>
      <c r="F23" s="106"/>
      <c r="G23" s="106"/>
      <c r="H23" s="106"/>
      <c r="I23" s="106"/>
      <c r="J23" s="106"/>
      <c r="K23" s="107"/>
    </row>
  </sheetData>
  <sheetProtection algorithmName="SHA-512" hashValue="KYPy3jQ6/+A2cM5MigQgQBnvmaMQXX1+pJIjKWDd47R6VNfEvRlGVmLO808VVdtT8UBVZoe1rKOvOAkeF14zoQ==" saltValue="5twZnMrgpO8oXf/wuBpZnQ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rgb="FFFFC000"/>
    <pageSetUpPr fitToPage="1"/>
  </sheetPr>
  <dimension ref="A1:X56"/>
  <sheetViews>
    <sheetView topLeftCell="B7" workbookViewId="0"/>
  </sheetViews>
  <sheetFormatPr defaultColWidth="10.6640625" defaultRowHeight="12.75" x14ac:dyDescent="0.2"/>
  <cols>
    <col min="1" max="1" width="5" style="82" hidden="1" customWidth="1"/>
    <col min="2" max="2" width="15.1640625" style="82" customWidth="1"/>
    <col min="3" max="3" width="26.1640625" style="82" customWidth="1"/>
    <col min="4" max="4" width="17.6640625" style="82" customWidth="1"/>
    <col min="5" max="5" width="3.83203125" style="82" customWidth="1"/>
    <col min="6" max="15" width="12.5" style="82" customWidth="1"/>
    <col min="16" max="17" width="13.83203125" style="82" customWidth="1"/>
    <col min="18" max="18" width="8.33203125" style="82" bestFit="1" customWidth="1"/>
    <col min="19" max="19" width="16.83203125" style="82" customWidth="1"/>
    <col min="20" max="20" width="9.83203125" style="82" customWidth="1"/>
    <col min="21" max="21" width="8.1640625" style="82" customWidth="1"/>
    <col min="22" max="22" width="8.83203125" style="82" customWidth="1"/>
    <col min="23" max="259" width="10.6640625" style="82"/>
    <col min="260" max="260" width="13.1640625" style="82" customWidth="1"/>
    <col min="261" max="261" width="79" style="82" customWidth="1"/>
    <col min="262" max="262" width="3.83203125" style="82" customWidth="1"/>
    <col min="263" max="275" width="12.5" style="82" customWidth="1"/>
    <col min="276" max="276" width="8.5" style="82" customWidth="1"/>
    <col min="277" max="515" width="10.6640625" style="82"/>
    <col min="516" max="516" width="13.1640625" style="82" customWidth="1"/>
    <col min="517" max="517" width="79" style="82" customWidth="1"/>
    <col min="518" max="518" width="3.83203125" style="82" customWidth="1"/>
    <col min="519" max="531" width="12.5" style="82" customWidth="1"/>
    <col min="532" max="532" width="8.5" style="82" customWidth="1"/>
    <col min="533" max="771" width="10.6640625" style="82"/>
    <col min="772" max="772" width="13.1640625" style="82" customWidth="1"/>
    <col min="773" max="773" width="79" style="82" customWidth="1"/>
    <col min="774" max="774" width="3.83203125" style="82" customWidth="1"/>
    <col min="775" max="787" width="12.5" style="82" customWidth="1"/>
    <col min="788" max="788" width="8.5" style="82" customWidth="1"/>
    <col min="789" max="1027" width="10.6640625" style="82"/>
    <col min="1028" max="1028" width="13.1640625" style="82" customWidth="1"/>
    <col min="1029" max="1029" width="79" style="82" customWidth="1"/>
    <col min="1030" max="1030" width="3.83203125" style="82" customWidth="1"/>
    <col min="1031" max="1043" width="12.5" style="82" customWidth="1"/>
    <col min="1044" max="1044" width="8.5" style="82" customWidth="1"/>
    <col min="1045" max="1283" width="10.6640625" style="82"/>
    <col min="1284" max="1284" width="13.1640625" style="82" customWidth="1"/>
    <col min="1285" max="1285" width="79" style="82" customWidth="1"/>
    <col min="1286" max="1286" width="3.83203125" style="82" customWidth="1"/>
    <col min="1287" max="1299" width="12.5" style="82" customWidth="1"/>
    <col min="1300" max="1300" width="8.5" style="82" customWidth="1"/>
    <col min="1301" max="1539" width="10.6640625" style="82"/>
    <col min="1540" max="1540" width="13.1640625" style="82" customWidth="1"/>
    <col min="1541" max="1541" width="79" style="82" customWidth="1"/>
    <col min="1542" max="1542" width="3.83203125" style="82" customWidth="1"/>
    <col min="1543" max="1555" width="12.5" style="82" customWidth="1"/>
    <col min="1556" max="1556" width="8.5" style="82" customWidth="1"/>
    <col min="1557" max="1795" width="10.6640625" style="82"/>
    <col min="1796" max="1796" width="13.1640625" style="82" customWidth="1"/>
    <col min="1797" max="1797" width="79" style="82" customWidth="1"/>
    <col min="1798" max="1798" width="3.83203125" style="82" customWidth="1"/>
    <col min="1799" max="1811" width="12.5" style="82" customWidth="1"/>
    <col min="1812" max="1812" width="8.5" style="82" customWidth="1"/>
    <col min="1813" max="2051" width="10.6640625" style="82"/>
    <col min="2052" max="2052" width="13.1640625" style="82" customWidth="1"/>
    <col min="2053" max="2053" width="79" style="82" customWidth="1"/>
    <col min="2054" max="2054" width="3.83203125" style="82" customWidth="1"/>
    <col min="2055" max="2067" width="12.5" style="82" customWidth="1"/>
    <col min="2068" max="2068" width="8.5" style="82" customWidth="1"/>
    <col min="2069" max="2307" width="10.6640625" style="82"/>
    <col min="2308" max="2308" width="13.1640625" style="82" customWidth="1"/>
    <col min="2309" max="2309" width="79" style="82" customWidth="1"/>
    <col min="2310" max="2310" width="3.83203125" style="82" customWidth="1"/>
    <col min="2311" max="2323" width="12.5" style="82" customWidth="1"/>
    <col min="2324" max="2324" width="8.5" style="82" customWidth="1"/>
    <col min="2325" max="2563" width="10.6640625" style="82"/>
    <col min="2564" max="2564" width="13.1640625" style="82" customWidth="1"/>
    <col min="2565" max="2565" width="79" style="82" customWidth="1"/>
    <col min="2566" max="2566" width="3.83203125" style="82" customWidth="1"/>
    <col min="2567" max="2579" width="12.5" style="82" customWidth="1"/>
    <col min="2580" max="2580" width="8.5" style="82" customWidth="1"/>
    <col min="2581" max="2819" width="10.6640625" style="82"/>
    <col min="2820" max="2820" width="13.1640625" style="82" customWidth="1"/>
    <col min="2821" max="2821" width="79" style="82" customWidth="1"/>
    <col min="2822" max="2822" width="3.83203125" style="82" customWidth="1"/>
    <col min="2823" max="2835" width="12.5" style="82" customWidth="1"/>
    <col min="2836" max="2836" width="8.5" style="82" customWidth="1"/>
    <col min="2837" max="3075" width="10.6640625" style="82"/>
    <col min="3076" max="3076" width="13.1640625" style="82" customWidth="1"/>
    <col min="3077" max="3077" width="79" style="82" customWidth="1"/>
    <col min="3078" max="3078" width="3.83203125" style="82" customWidth="1"/>
    <col min="3079" max="3091" width="12.5" style="82" customWidth="1"/>
    <col min="3092" max="3092" width="8.5" style="82" customWidth="1"/>
    <col min="3093" max="3331" width="10.6640625" style="82"/>
    <col min="3332" max="3332" width="13.1640625" style="82" customWidth="1"/>
    <col min="3333" max="3333" width="79" style="82" customWidth="1"/>
    <col min="3334" max="3334" width="3.83203125" style="82" customWidth="1"/>
    <col min="3335" max="3347" width="12.5" style="82" customWidth="1"/>
    <col min="3348" max="3348" width="8.5" style="82" customWidth="1"/>
    <col min="3349" max="3587" width="10.6640625" style="82"/>
    <col min="3588" max="3588" width="13.1640625" style="82" customWidth="1"/>
    <col min="3589" max="3589" width="79" style="82" customWidth="1"/>
    <col min="3590" max="3590" width="3.83203125" style="82" customWidth="1"/>
    <col min="3591" max="3603" width="12.5" style="82" customWidth="1"/>
    <col min="3604" max="3604" width="8.5" style="82" customWidth="1"/>
    <col min="3605" max="3843" width="10.6640625" style="82"/>
    <col min="3844" max="3844" width="13.1640625" style="82" customWidth="1"/>
    <col min="3845" max="3845" width="79" style="82" customWidth="1"/>
    <col min="3846" max="3846" width="3.83203125" style="82" customWidth="1"/>
    <col min="3847" max="3859" width="12.5" style="82" customWidth="1"/>
    <col min="3860" max="3860" width="8.5" style="82" customWidth="1"/>
    <col min="3861" max="4099" width="10.6640625" style="82"/>
    <col min="4100" max="4100" width="13.1640625" style="82" customWidth="1"/>
    <col min="4101" max="4101" width="79" style="82" customWidth="1"/>
    <col min="4102" max="4102" width="3.83203125" style="82" customWidth="1"/>
    <col min="4103" max="4115" width="12.5" style="82" customWidth="1"/>
    <col min="4116" max="4116" width="8.5" style="82" customWidth="1"/>
    <col min="4117" max="4355" width="10.6640625" style="82"/>
    <col min="4356" max="4356" width="13.1640625" style="82" customWidth="1"/>
    <col min="4357" max="4357" width="79" style="82" customWidth="1"/>
    <col min="4358" max="4358" width="3.83203125" style="82" customWidth="1"/>
    <col min="4359" max="4371" width="12.5" style="82" customWidth="1"/>
    <col min="4372" max="4372" width="8.5" style="82" customWidth="1"/>
    <col min="4373" max="4611" width="10.6640625" style="82"/>
    <col min="4612" max="4612" width="13.1640625" style="82" customWidth="1"/>
    <col min="4613" max="4613" width="79" style="82" customWidth="1"/>
    <col min="4614" max="4614" width="3.83203125" style="82" customWidth="1"/>
    <col min="4615" max="4627" width="12.5" style="82" customWidth="1"/>
    <col min="4628" max="4628" width="8.5" style="82" customWidth="1"/>
    <col min="4629" max="4867" width="10.6640625" style="82"/>
    <col min="4868" max="4868" width="13.1640625" style="82" customWidth="1"/>
    <col min="4869" max="4869" width="79" style="82" customWidth="1"/>
    <col min="4870" max="4870" width="3.83203125" style="82" customWidth="1"/>
    <col min="4871" max="4883" width="12.5" style="82" customWidth="1"/>
    <col min="4884" max="4884" width="8.5" style="82" customWidth="1"/>
    <col min="4885" max="5123" width="10.6640625" style="82"/>
    <col min="5124" max="5124" width="13.1640625" style="82" customWidth="1"/>
    <col min="5125" max="5125" width="79" style="82" customWidth="1"/>
    <col min="5126" max="5126" width="3.83203125" style="82" customWidth="1"/>
    <col min="5127" max="5139" width="12.5" style="82" customWidth="1"/>
    <col min="5140" max="5140" width="8.5" style="82" customWidth="1"/>
    <col min="5141" max="5379" width="10.6640625" style="82"/>
    <col min="5380" max="5380" width="13.1640625" style="82" customWidth="1"/>
    <col min="5381" max="5381" width="79" style="82" customWidth="1"/>
    <col min="5382" max="5382" width="3.83203125" style="82" customWidth="1"/>
    <col min="5383" max="5395" width="12.5" style="82" customWidth="1"/>
    <col min="5396" max="5396" width="8.5" style="82" customWidth="1"/>
    <col min="5397" max="5635" width="10.6640625" style="82"/>
    <col min="5636" max="5636" width="13.1640625" style="82" customWidth="1"/>
    <col min="5637" max="5637" width="79" style="82" customWidth="1"/>
    <col min="5638" max="5638" width="3.83203125" style="82" customWidth="1"/>
    <col min="5639" max="5651" width="12.5" style="82" customWidth="1"/>
    <col min="5652" max="5652" width="8.5" style="82" customWidth="1"/>
    <col min="5653" max="5891" width="10.6640625" style="82"/>
    <col min="5892" max="5892" width="13.1640625" style="82" customWidth="1"/>
    <col min="5893" max="5893" width="79" style="82" customWidth="1"/>
    <col min="5894" max="5894" width="3.83203125" style="82" customWidth="1"/>
    <col min="5895" max="5907" width="12.5" style="82" customWidth="1"/>
    <col min="5908" max="5908" width="8.5" style="82" customWidth="1"/>
    <col min="5909" max="6147" width="10.6640625" style="82"/>
    <col min="6148" max="6148" width="13.1640625" style="82" customWidth="1"/>
    <col min="6149" max="6149" width="79" style="82" customWidth="1"/>
    <col min="6150" max="6150" width="3.83203125" style="82" customWidth="1"/>
    <col min="6151" max="6163" width="12.5" style="82" customWidth="1"/>
    <col min="6164" max="6164" width="8.5" style="82" customWidth="1"/>
    <col min="6165" max="6403" width="10.6640625" style="82"/>
    <col min="6404" max="6404" width="13.1640625" style="82" customWidth="1"/>
    <col min="6405" max="6405" width="79" style="82" customWidth="1"/>
    <col min="6406" max="6406" width="3.83203125" style="82" customWidth="1"/>
    <col min="6407" max="6419" width="12.5" style="82" customWidth="1"/>
    <col min="6420" max="6420" width="8.5" style="82" customWidth="1"/>
    <col min="6421" max="6659" width="10.6640625" style="82"/>
    <col min="6660" max="6660" width="13.1640625" style="82" customWidth="1"/>
    <col min="6661" max="6661" width="79" style="82" customWidth="1"/>
    <col min="6662" max="6662" width="3.83203125" style="82" customWidth="1"/>
    <col min="6663" max="6675" width="12.5" style="82" customWidth="1"/>
    <col min="6676" max="6676" width="8.5" style="82" customWidth="1"/>
    <col min="6677" max="6915" width="10.6640625" style="82"/>
    <col min="6916" max="6916" width="13.1640625" style="82" customWidth="1"/>
    <col min="6917" max="6917" width="79" style="82" customWidth="1"/>
    <col min="6918" max="6918" width="3.83203125" style="82" customWidth="1"/>
    <col min="6919" max="6931" width="12.5" style="82" customWidth="1"/>
    <col min="6932" max="6932" width="8.5" style="82" customWidth="1"/>
    <col min="6933" max="7171" width="10.6640625" style="82"/>
    <col min="7172" max="7172" width="13.1640625" style="82" customWidth="1"/>
    <col min="7173" max="7173" width="79" style="82" customWidth="1"/>
    <col min="7174" max="7174" width="3.83203125" style="82" customWidth="1"/>
    <col min="7175" max="7187" width="12.5" style="82" customWidth="1"/>
    <col min="7188" max="7188" width="8.5" style="82" customWidth="1"/>
    <col min="7189" max="7427" width="10.6640625" style="82"/>
    <col min="7428" max="7428" width="13.1640625" style="82" customWidth="1"/>
    <col min="7429" max="7429" width="79" style="82" customWidth="1"/>
    <col min="7430" max="7430" width="3.83203125" style="82" customWidth="1"/>
    <col min="7431" max="7443" width="12.5" style="82" customWidth="1"/>
    <col min="7444" max="7444" width="8.5" style="82" customWidth="1"/>
    <col min="7445" max="7683" width="10.6640625" style="82"/>
    <col min="7684" max="7684" width="13.1640625" style="82" customWidth="1"/>
    <col min="7685" max="7685" width="79" style="82" customWidth="1"/>
    <col min="7686" max="7686" width="3.83203125" style="82" customWidth="1"/>
    <col min="7687" max="7699" width="12.5" style="82" customWidth="1"/>
    <col min="7700" max="7700" width="8.5" style="82" customWidth="1"/>
    <col min="7701" max="7939" width="10.6640625" style="82"/>
    <col min="7940" max="7940" width="13.1640625" style="82" customWidth="1"/>
    <col min="7941" max="7941" width="79" style="82" customWidth="1"/>
    <col min="7942" max="7942" width="3.83203125" style="82" customWidth="1"/>
    <col min="7943" max="7955" width="12.5" style="82" customWidth="1"/>
    <col min="7956" max="7956" width="8.5" style="82" customWidth="1"/>
    <col min="7957" max="8195" width="10.6640625" style="82"/>
    <col min="8196" max="8196" width="13.1640625" style="82" customWidth="1"/>
    <col min="8197" max="8197" width="79" style="82" customWidth="1"/>
    <col min="8198" max="8198" width="3.83203125" style="82" customWidth="1"/>
    <col min="8199" max="8211" width="12.5" style="82" customWidth="1"/>
    <col min="8212" max="8212" width="8.5" style="82" customWidth="1"/>
    <col min="8213" max="8451" width="10.6640625" style="82"/>
    <col min="8452" max="8452" width="13.1640625" style="82" customWidth="1"/>
    <col min="8453" max="8453" width="79" style="82" customWidth="1"/>
    <col min="8454" max="8454" width="3.83203125" style="82" customWidth="1"/>
    <col min="8455" max="8467" width="12.5" style="82" customWidth="1"/>
    <col min="8468" max="8468" width="8.5" style="82" customWidth="1"/>
    <col min="8469" max="8707" width="10.6640625" style="82"/>
    <col min="8708" max="8708" width="13.1640625" style="82" customWidth="1"/>
    <col min="8709" max="8709" width="79" style="82" customWidth="1"/>
    <col min="8710" max="8710" width="3.83203125" style="82" customWidth="1"/>
    <col min="8711" max="8723" width="12.5" style="82" customWidth="1"/>
    <col min="8724" max="8724" width="8.5" style="82" customWidth="1"/>
    <col min="8725" max="8963" width="10.6640625" style="82"/>
    <col min="8964" max="8964" width="13.1640625" style="82" customWidth="1"/>
    <col min="8965" max="8965" width="79" style="82" customWidth="1"/>
    <col min="8966" max="8966" width="3.83203125" style="82" customWidth="1"/>
    <col min="8967" max="8979" width="12.5" style="82" customWidth="1"/>
    <col min="8980" max="8980" width="8.5" style="82" customWidth="1"/>
    <col min="8981" max="9219" width="10.6640625" style="82"/>
    <col min="9220" max="9220" width="13.1640625" style="82" customWidth="1"/>
    <col min="9221" max="9221" width="79" style="82" customWidth="1"/>
    <col min="9222" max="9222" width="3.83203125" style="82" customWidth="1"/>
    <col min="9223" max="9235" width="12.5" style="82" customWidth="1"/>
    <col min="9236" max="9236" width="8.5" style="82" customWidth="1"/>
    <col min="9237" max="9475" width="10.6640625" style="82"/>
    <col min="9476" max="9476" width="13.1640625" style="82" customWidth="1"/>
    <col min="9477" max="9477" width="79" style="82" customWidth="1"/>
    <col min="9478" max="9478" width="3.83203125" style="82" customWidth="1"/>
    <col min="9479" max="9491" width="12.5" style="82" customWidth="1"/>
    <col min="9492" max="9492" width="8.5" style="82" customWidth="1"/>
    <col min="9493" max="9731" width="10.6640625" style="82"/>
    <col min="9732" max="9732" width="13.1640625" style="82" customWidth="1"/>
    <col min="9733" max="9733" width="79" style="82" customWidth="1"/>
    <col min="9734" max="9734" width="3.83203125" style="82" customWidth="1"/>
    <col min="9735" max="9747" width="12.5" style="82" customWidth="1"/>
    <col min="9748" max="9748" width="8.5" style="82" customWidth="1"/>
    <col min="9749" max="9987" width="10.6640625" style="82"/>
    <col min="9988" max="9988" width="13.1640625" style="82" customWidth="1"/>
    <col min="9989" max="9989" width="79" style="82" customWidth="1"/>
    <col min="9990" max="9990" width="3.83203125" style="82" customWidth="1"/>
    <col min="9991" max="10003" width="12.5" style="82" customWidth="1"/>
    <col min="10004" max="10004" width="8.5" style="82" customWidth="1"/>
    <col min="10005" max="10243" width="10.6640625" style="82"/>
    <col min="10244" max="10244" width="13.1640625" style="82" customWidth="1"/>
    <col min="10245" max="10245" width="79" style="82" customWidth="1"/>
    <col min="10246" max="10246" width="3.83203125" style="82" customWidth="1"/>
    <col min="10247" max="10259" width="12.5" style="82" customWidth="1"/>
    <col min="10260" max="10260" width="8.5" style="82" customWidth="1"/>
    <col min="10261" max="10499" width="10.6640625" style="82"/>
    <col min="10500" max="10500" width="13.1640625" style="82" customWidth="1"/>
    <col min="10501" max="10501" width="79" style="82" customWidth="1"/>
    <col min="10502" max="10502" width="3.83203125" style="82" customWidth="1"/>
    <col min="10503" max="10515" width="12.5" style="82" customWidth="1"/>
    <col min="10516" max="10516" width="8.5" style="82" customWidth="1"/>
    <col min="10517" max="10755" width="10.6640625" style="82"/>
    <col min="10756" max="10756" width="13.1640625" style="82" customWidth="1"/>
    <col min="10757" max="10757" width="79" style="82" customWidth="1"/>
    <col min="10758" max="10758" width="3.83203125" style="82" customWidth="1"/>
    <col min="10759" max="10771" width="12.5" style="82" customWidth="1"/>
    <col min="10772" max="10772" width="8.5" style="82" customWidth="1"/>
    <col min="10773" max="11011" width="10.6640625" style="82"/>
    <col min="11012" max="11012" width="13.1640625" style="82" customWidth="1"/>
    <col min="11013" max="11013" width="79" style="82" customWidth="1"/>
    <col min="11014" max="11014" width="3.83203125" style="82" customWidth="1"/>
    <col min="11015" max="11027" width="12.5" style="82" customWidth="1"/>
    <col min="11028" max="11028" width="8.5" style="82" customWidth="1"/>
    <col min="11029" max="11267" width="10.6640625" style="82"/>
    <col min="11268" max="11268" width="13.1640625" style="82" customWidth="1"/>
    <col min="11269" max="11269" width="79" style="82" customWidth="1"/>
    <col min="11270" max="11270" width="3.83203125" style="82" customWidth="1"/>
    <col min="11271" max="11283" width="12.5" style="82" customWidth="1"/>
    <col min="11284" max="11284" width="8.5" style="82" customWidth="1"/>
    <col min="11285" max="11523" width="10.6640625" style="82"/>
    <col min="11524" max="11524" width="13.1640625" style="82" customWidth="1"/>
    <col min="11525" max="11525" width="79" style="82" customWidth="1"/>
    <col min="11526" max="11526" width="3.83203125" style="82" customWidth="1"/>
    <col min="11527" max="11539" width="12.5" style="82" customWidth="1"/>
    <col min="11540" max="11540" width="8.5" style="82" customWidth="1"/>
    <col min="11541" max="11779" width="10.6640625" style="82"/>
    <col min="11780" max="11780" width="13.1640625" style="82" customWidth="1"/>
    <col min="11781" max="11781" width="79" style="82" customWidth="1"/>
    <col min="11782" max="11782" width="3.83203125" style="82" customWidth="1"/>
    <col min="11783" max="11795" width="12.5" style="82" customWidth="1"/>
    <col min="11796" max="11796" width="8.5" style="82" customWidth="1"/>
    <col min="11797" max="12035" width="10.6640625" style="82"/>
    <col min="12036" max="12036" width="13.1640625" style="82" customWidth="1"/>
    <col min="12037" max="12037" width="79" style="82" customWidth="1"/>
    <col min="12038" max="12038" width="3.83203125" style="82" customWidth="1"/>
    <col min="12039" max="12051" width="12.5" style="82" customWidth="1"/>
    <col min="12052" max="12052" width="8.5" style="82" customWidth="1"/>
    <col min="12053" max="12291" width="10.6640625" style="82"/>
    <col min="12292" max="12292" width="13.1640625" style="82" customWidth="1"/>
    <col min="12293" max="12293" width="79" style="82" customWidth="1"/>
    <col min="12294" max="12294" width="3.83203125" style="82" customWidth="1"/>
    <col min="12295" max="12307" width="12.5" style="82" customWidth="1"/>
    <col min="12308" max="12308" width="8.5" style="82" customWidth="1"/>
    <col min="12309" max="12547" width="10.6640625" style="82"/>
    <col min="12548" max="12548" width="13.1640625" style="82" customWidth="1"/>
    <col min="12549" max="12549" width="79" style="82" customWidth="1"/>
    <col min="12550" max="12550" width="3.83203125" style="82" customWidth="1"/>
    <col min="12551" max="12563" width="12.5" style="82" customWidth="1"/>
    <col min="12564" max="12564" width="8.5" style="82" customWidth="1"/>
    <col min="12565" max="12803" width="10.6640625" style="82"/>
    <col min="12804" max="12804" width="13.1640625" style="82" customWidth="1"/>
    <col min="12805" max="12805" width="79" style="82" customWidth="1"/>
    <col min="12806" max="12806" width="3.83203125" style="82" customWidth="1"/>
    <col min="12807" max="12819" width="12.5" style="82" customWidth="1"/>
    <col min="12820" max="12820" width="8.5" style="82" customWidth="1"/>
    <col min="12821" max="13059" width="10.6640625" style="82"/>
    <col min="13060" max="13060" width="13.1640625" style="82" customWidth="1"/>
    <col min="13061" max="13061" width="79" style="82" customWidth="1"/>
    <col min="13062" max="13062" width="3.83203125" style="82" customWidth="1"/>
    <col min="13063" max="13075" width="12.5" style="82" customWidth="1"/>
    <col min="13076" max="13076" width="8.5" style="82" customWidth="1"/>
    <col min="13077" max="13315" width="10.6640625" style="82"/>
    <col min="13316" max="13316" width="13.1640625" style="82" customWidth="1"/>
    <col min="13317" max="13317" width="79" style="82" customWidth="1"/>
    <col min="13318" max="13318" width="3.83203125" style="82" customWidth="1"/>
    <col min="13319" max="13331" width="12.5" style="82" customWidth="1"/>
    <col min="13332" max="13332" width="8.5" style="82" customWidth="1"/>
    <col min="13333" max="13571" width="10.6640625" style="82"/>
    <col min="13572" max="13572" width="13.1640625" style="82" customWidth="1"/>
    <col min="13573" max="13573" width="79" style="82" customWidth="1"/>
    <col min="13574" max="13574" width="3.83203125" style="82" customWidth="1"/>
    <col min="13575" max="13587" width="12.5" style="82" customWidth="1"/>
    <col min="13588" max="13588" width="8.5" style="82" customWidth="1"/>
    <col min="13589" max="13827" width="10.6640625" style="82"/>
    <col min="13828" max="13828" width="13.1640625" style="82" customWidth="1"/>
    <col min="13829" max="13829" width="79" style="82" customWidth="1"/>
    <col min="13830" max="13830" width="3.83203125" style="82" customWidth="1"/>
    <col min="13831" max="13843" width="12.5" style="82" customWidth="1"/>
    <col min="13844" max="13844" width="8.5" style="82" customWidth="1"/>
    <col min="13845" max="14083" width="10.6640625" style="82"/>
    <col min="14084" max="14084" width="13.1640625" style="82" customWidth="1"/>
    <col min="14085" max="14085" width="79" style="82" customWidth="1"/>
    <col min="14086" max="14086" width="3.83203125" style="82" customWidth="1"/>
    <col min="14087" max="14099" width="12.5" style="82" customWidth="1"/>
    <col min="14100" max="14100" width="8.5" style="82" customWidth="1"/>
    <col min="14101" max="14339" width="10.6640625" style="82"/>
    <col min="14340" max="14340" width="13.1640625" style="82" customWidth="1"/>
    <col min="14341" max="14341" width="79" style="82" customWidth="1"/>
    <col min="14342" max="14342" width="3.83203125" style="82" customWidth="1"/>
    <col min="14343" max="14355" width="12.5" style="82" customWidth="1"/>
    <col min="14356" max="14356" width="8.5" style="82" customWidth="1"/>
    <col min="14357" max="14595" width="10.6640625" style="82"/>
    <col min="14596" max="14596" width="13.1640625" style="82" customWidth="1"/>
    <col min="14597" max="14597" width="79" style="82" customWidth="1"/>
    <col min="14598" max="14598" width="3.83203125" style="82" customWidth="1"/>
    <col min="14599" max="14611" width="12.5" style="82" customWidth="1"/>
    <col min="14612" max="14612" width="8.5" style="82" customWidth="1"/>
    <col min="14613" max="14851" width="10.6640625" style="82"/>
    <col min="14852" max="14852" width="13.1640625" style="82" customWidth="1"/>
    <col min="14853" max="14853" width="79" style="82" customWidth="1"/>
    <col min="14854" max="14854" width="3.83203125" style="82" customWidth="1"/>
    <col min="14855" max="14867" width="12.5" style="82" customWidth="1"/>
    <col min="14868" max="14868" width="8.5" style="82" customWidth="1"/>
    <col min="14869" max="15107" width="10.6640625" style="82"/>
    <col min="15108" max="15108" width="13.1640625" style="82" customWidth="1"/>
    <col min="15109" max="15109" width="79" style="82" customWidth="1"/>
    <col min="15110" max="15110" width="3.83203125" style="82" customWidth="1"/>
    <col min="15111" max="15123" width="12.5" style="82" customWidth="1"/>
    <col min="15124" max="15124" width="8.5" style="82" customWidth="1"/>
    <col min="15125" max="15363" width="10.6640625" style="82"/>
    <col min="15364" max="15364" width="13.1640625" style="82" customWidth="1"/>
    <col min="15365" max="15365" width="79" style="82" customWidth="1"/>
    <col min="15366" max="15366" width="3.83203125" style="82" customWidth="1"/>
    <col min="15367" max="15379" width="12.5" style="82" customWidth="1"/>
    <col min="15380" max="15380" width="8.5" style="82" customWidth="1"/>
    <col min="15381" max="15619" width="10.6640625" style="82"/>
    <col min="15620" max="15620" width="13.1640625" style="82" customWidth="1"/>
    <col min="15621" max="15621" width="79" style="82" customWidth="1"/>
    <col min="15622" max="15622" width="3.83203125" style="82" customWidth="1"/>
    <col min="15623" max="15635" width="12.5" style="82" customWidth="1"/>
    <col min="15636" max="15636" width="8.5" style="82" customWidth="1"/>
    <col min="15637" max="15875" width="10.6640625" style="82"/>
    <col min="15876" max="15876" width="13.1640625" style="82" customWidth="1"/>
    <col min="15877" max="15877" width="79" style="82" customWidth="1"/>
    <col min="15878" max="15878" width="3.83203125" style="82" customWidth="1"/>
    <col min="15879" max="15891" width="12.5" style="82" customWidth="1"/>
    <col min="15892" max="15892" width="8.5" style="82" customWidth="1"/>
    <col min="15893" max="16131" width="10.6640625" style="82"/>
    <col min="16132" max="16132" width="13.1640625" style="82" customWidth="1"/>
    <col min="16133" max="16133" width="79" style="82" customWidth="1"/>
    <col min="16134" max="16134" width="3.83203125" style="82" customWidth="1"/>
    <col min="16135" max="16147" width="12.5" style="82" customWidth="1"/>
    <col min="16148" max="16148" width="8.5" style="82" customWidth="1"/>
    <col min="16149" max="16384" width="10.6640625" style="82"/>
  </cols>
  <sheetData>
    <row r="1" spans="1:24" ht="40.5" x14ac:dyDescent="0.3">
      <c r="A1" s="108"/>
      <c r="B1" s="109" t="s">
        <v>2157</v>
      </c>
      <c r="C1" s="643" t="s">
        <v>2158</v>
      </c>
      <c r="D1" s="110"/>
      <c r="E1" s="111"/>
      <c r="F1" s="112"/>
      <c r="G1" s="112"/>
      <c r="H1" s="113"/>
      <c r="I1" s="113"/>
      <c r="J1" s="113"/>
      <c r="K1" s="114" t="s">
        <v>577</v>
      </c>
      <c r="L1" s="113"/>
      <c r="M1" s="113"/>
      <c r="N1" s="115"/>
      <c r="O1" s="115"/>
      <c r="P1" s="113"/>
      <c r="Q1" s="113"/>
      <c r="R1" s="113"/>
      <c r="S1" s="113"/>
      <c r="T1" s="116"/>
    </row>
    <row r="2" spans="1:24" s="651" customFormat="1" ht="18" customHeight="1" x14ac:dyDescent="0.2">
      <c r="A2" s="504"/>
      <c r="B2" s="644" t="s">
        <v>159</v>
      </c>
      <c r="C2" s="663" t="str">
        <f>Grandes_Itens!B2</f>
        <v>RIO BOM</v>
      </c>
      <c r="D2" s="664"/>
      <c r="E2" s="664"/>
      <c r="F2" s="665" t="s">
        <v>160</v>
      </c>
      <c r="G2" s="666" t="str">
        <f>Grandes_Itens!F2</f>
        <v>XX</v>
      </c>
      <c r="H2" s="645" t="s">
        <v>636</v>
      </c>
      <c r="I2" s="646"/>
      <c r="J2" s="645" t="s">
        <v>637</v>
      </c>
      <c r="K2" s="646"/>
      <c r="L2" s="645" t="s">
        <v>638</v>
      </c>
      <c r="M2" s="647"/>
      <c r="N2" s="659"/>
      <c r="O2" s="660"/>
      <c r="P2" s="648" t="s">
        <v>696</v>
      </c>
      <c r="Q2" s="649"/>
      <c r="R2" s="649"/>
      <c r="S2" s="689">
        <v>0</v>
      </c>
      <c r="T2" s="650">
        <f>IF(S21=0,0,ROUND(S2/S21,4))</f>
        <v>0</v>
      </c>
    </row>
    <row r="3" spans="1:24" s="651" customFormat="1" ht="18" customHeight="1" thickBot="1" x14ac:dyDescent="0.25">
      <c r="A3" s="504"/>
      <c r="B3" s="652" t="s">
        <v>161</v>
      </c>
      <c r="C3" s="667" t="str">
        <f>Grandes_Itens!B3</f>
        <v>PAVIMENTAÇÃO DE VIAS URBANAS</v>
      </c>
      <c r="D3" s="668"/>
      <c r="E3" s="669"/>
      <c r="F3" s="670" t="s">
        <v>162</v>
      </c>
      <c r="G3" s="671" t="str">
        <f>Grandes_Itens!F3</f>
        <v>1</v>
      </c>
      <c r="H3" s="653" t="s">
        <v>641</v>
      </c>
      <c r="I3" s="687">
        <f ca="1">TODAY()</f>
        <v>45250</v>
      </c>
      <c r="J3" s="653" t="s">
        <v>642</v>
      </c>
      <c r="K3" s="688">
        <f>80-10</f>
        <v>70</v>
      </c>
      <c r="L3" s="653" t="s">
        <v>641</v>
      </c>
      <c r="M3" s="654">
        <f ca="1">I3+K3+10</f>
        <v>45330</v>
      </c>
      <c r="N3" s="661"/>
      <c r="O3" s="662"/>
      <c r="P3" s="655" t="s">
        <v>644</v>
      </c>
      <c r="Q3" s="656"/>
      <c r="R3" s="657"/>
      <c r="S3" s="685">
        <f>S21-S2</f>
        <v>1262521.29</v>
      </c>
      <c r="T3" s="658">
        <f>IF(S3=0,0,1-T2)</f>
        <v>1</v>
      </c>
    </row>
    <row r="4" spans="1:24" ht="18.75" thickBot="1" x14ac:dyDescent="0.3">
      <c r="A4" s="108"/>
      <c r="B4" s="117" t="s">
        <v>645</v>
      </c>
      <c r="C4" s="686"/>
      <c r="D4" s="118"/>
      <c r="E4" s="119" t="s">
        <v>646</v>
      </c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1" t="s">
        <v>647</v>
      </c>
      <c r="Q4" s="122"/>
      <c r="R4" s="122"/>
      <c r="S4" s="1262">
        <f>SUM(S2:S3)</f>
        <v>1262521.29</v>
      </c>
      <c r="T4" s="123">
        <f>SUM(T2:T3)</f>
        <v>1</v>
      </c>
    </row>
    <row r="5" spans="1:24" ht="12.75" customHeight="1" thickBot="1" x14ac:dyDescent="0.25">
      <c r="A5" s="108"/>
      <c r="B5" s="124" t="s">
        <v>648</v>
      </c>
      <c r="C5" s="125" t="s">
        <v>649</v>
      </c>
      <c r="D5" s="126"/>
      <c r="E5" s="127" t="s">
        <v>63</v>
      </c>
      <c r="F5" s="128" t="s">
        <v>650</v>
      </c>
      <c r="G5" s="129"/>
      <c r="H5" s="129"/>
      <c r="I5" s="129"/>
      <c r="J5" s="129"/>
      <c r="K5" s="129"/>
      <c r="L5" s="129"/>
      <c r="M5" s="130"/>
      <c r="N5" s="130"/>
      <c r="O5" s="130"/>
      <c r="P5" s="131"/>
      <c r="Q5" s="132"/>
      <c r="R5" s="133"/>
      <c r="S5" s="134" t="s">
        <v>468</v>
      </c>
      <c r="T5" s="135" t="s">
        <v>651</v>
      </c>
      <c r="W5" s="82" t="s">
        <v>652</v>
      </c>
      <c r="X5" s="136" t="str">
        <f>IF(S4=S51,"OK","erro")</f>
        <v>erro</v>
      </c>
    </row>
    <row r="6" spans="1:24" ht="13.5" thickBot="1" x14ac:dyDescent="0.25">
      <c r="A6" s="108"/>
      <c r="B6" s="137" t="s">
        <v>653</v>
      </c>
      <c r="C6" s="138"/>
      <c r="D6" s="139"/>
      <c r="E6" s="628">
        <v>6</v>
      </c>
      <c r="F6" s="140">
        <f>IF(E6=0,0,1)</f>
        <v>1</v>
      </c>
      <c r="G6" s="140">
        <f>IF($E$6&lt;2,0,2)</f>
        <v>2</v>
      </c>
      <c r="H6" s="140">
        <f>IF($E$6&lt;3,0,3)</f>
        <v>3</v>
      </c>
      <c r="I6" s="140">
        <f>IF($E$6&lt;4,0,4)</f>
        <v>4</v>
      </c>
      <c r="J6" s="140">
        <f>IF($E$6&lt;5,0,5)</f>
        <v>5</v>
      </c>
      <c r="K6" s="140">
        <f>IF($E$6&lt;6,0,6)</f>
        <v>6</v>
      </c>
      <c r="L6" s="140">
        <f>IF($E$6&lt;7,0,7)</f>
        <v>0</v>
      </c>
      <c r="M6" s="140">
        <f>IF($E$6&lt;8,0,8)</f>
        <v>0</v>
      </c>
      <c r="N6" s="140">
        <f>IF($E$6&lt;9,0,9)</f>
        <v>0</v>
      </c>
      <c r="O6" s="140">
        <f>IF($E$6&lt;10,0,10)</f>
        <v>0</v>
      </c>
      <c r="P6" s="140">
        <f>IF($E$6&lt;11,0,11)</f>
        <v>0</v>
      </c>
      <c r="Q6" s="141">
        <f>IF($E$6&lt;12,0,12)</f>
        <v>0</v>
      </c>
      <c r="R6" s="142"/>
      <c r="S6" s="143" t="s">
        <v>654</v>
      </c>
      <c r="T6" s="144" t="s">
        <v>468</v>
      </c>
    </row>
    <row r="7" spans="1:24" ht="14.25" thickTop="1" thickBot="1" x14ac:dyDescent="0.25">
      <c r="A7" s="108"/>
      <c r="B7" s="137"/>
      <c r="C7" s="138" t="s">
        <v>655</v>
      </c>
      <c r="D7" s="139"/>
      <c r="E7" s="145"/>
      <c r="F7" s="146">
        <f ca="1">IF(E6=0,0,M3)</f>
        <v>45330</v>
      </c>
      <c r="G7" s="146">
        <f ca="1">IF(G6=0,0,F8+1)</f>
        <v>45361</v>
      </c>
      <c r="H7" s="146">
        <f ca="1">IF(H6=0,0,G8+1)</f>
        <v>45392</v>
      </c>
      <c r="I7" s="146">
        <f ca="1">IF(I6=0,0,H8+1)</f>
        <v>45423</v>
      </c>
      <c r="J7" s="146">
        <f ca="1">IF(J6=0,0,I8+1)</f>
        <v>45454</v>
      </c>
      <c r="K7" s="146">
        <f t="shared" ref="K7:Q7" ca="1" si="0">IF(K6=0,0,J8+1)</f>
        <v>45485</v>
      </c>
      <c r="L7" s="146">
        <f t="shared" si="0"/>
        <v>0</v>
      </c>
      <c r="M7" s="146">
        <f t="shared" si="0"/>
        <v>0</v>
      </c>
      <c r="N7" s="146">
        <f t="shared" si="0"/>
        <v>0</v>
      </c>
      <c r="O7" s="146">
        <f t="shared" si="0"/>
        <v>0</v>
      </c>
      <c r="P7" s="146">
        <f t="shared" si="0"/>
        <v>0</v>
      </c>
      <c r="Q7" s="147">
        <f t="shared" si="0"/>
        <v>0</v>
      </c>
      <c r="R7" s="148"/>
      <c r="S7" s="143"/>
      <c r="T7" s="144"/>
    </row>
    <row r="8" spans="1:24" ht="14.25" thickTop="1" thickBot="1" x14ac:dyDescent="0.25">
      <c r="A8" s="108"/>
      <c r="B8" s="137"/>
      <c r="C8" s="138" t="s">
        <v>656</v>
      </c>
      <c r="D8" s="139"/>
      <c r="E8" s="145"/>
      <c r="F8" s="146">
        <f ca="1">IF(E6=0,0,F7+30)</f>
        <v>45360</v>
      </c>
      <c r="G8" s="146">
        <f ca="1">IF(G6=0,0,G7+30)</f>
        <v>45391</v>
      </c>
      <c r="H8" s="146">
        <f ca="1">IF(H6=0,0,H7+30)</f>
        <v>45422</v>
      </c>
      <c r="I8" s="146">
        <f ca="1">IF(I6=0,0,I7+30)</f>
        <v>45453</v>
      </c>
      <c r="J8" s="146">
        <f ca="1">IF(J6=0,0,J7+30)</f>
        <v>45484</v>
      </c>
      <c r="K8" s="146">
        <f t="shared" ref="K8:Q8" ca="1" si="1">IF(K6=0,0,K7+30)</f>
        <v>45515</v>
      </c>
      <c r="L8" s="146">
        <f t="shared" si="1"/>
        <v>0</v>
      </c>
      <c r="M8" s="146">
        <f t="shared" si="1"/>
        <v>0</v>
      </c>
      <c r="N8" s="146">
        <f t="shared" si="1"/>
        <v>0</v>
      </c>
      <c r="O8" s="146">
        <f t="shared" si="1"/>
        <v>0</v>
      </c>
      <c r="P8" s="146">
        <f t="shared" si="1"/>
        <v>0</v>
      </c>
      <c r="Q8" s="147">
        <f t="shared" si="1"/>
        <v>0</v>
      </c>
      <c r="R8" s="148"/>
      <c r="S8" s="143"/>
      <c r="T8" s="144"/>
    </row>
    <row r="9" spans="1:24" ht="13.5" thickTop="1" x14ac:dyDescent="0.2">
      <c r="A9" s="149" t="str">
        <f>CONCATENATE($E$6,"|",B9)</f>
        <v>6|1</v>
      </c>
      <c r="B9" s="150">
        <v>1</v>
      </c>
      <c r="C9" s="151" t="s">
        <v>432</v>
      </c>
      <c r="D9" s="152"/>
      <c r="E9" s="153">
        <v>1</v>
      </c>
      <c r="F9" s="629"/>
      <c r="G9" s="629"/>
      <c r="H9" s="629"/>
      <c r="I9" s="629"/>
      <c r="J9" s="629"/>
      <c r="K9" s="629"/>
      <c r="L9" s="629"/>
      <c r="M9" s="629"/>
      <c r="N9" s="629"/>
      <c r="O9" s="629"/>
      <c r="P9" s="629"/>
      <c r="Q9" s="630"/>
      <c r="R9" s="154"/>
      <c r="S9" s="1256">
        <f>Grandes_Itens!F5</f>
        <v>0</v>
      </c>
      <c r="T9" s="1257">
        <f t="shared" ref="T9:T19" si="2">IF($S$21=0,0,(S9/$S$21)*100)</f>
        <v>0</v>
      </c>
      <c r="W9" s="108">
        <f t="shared" ref="W9:W19" si="3">SUM(F9:Q9)</f>
        <v>0</v>
      </c>
    </row>
    <row r="10" spans="1:24" x14ac:dyDescent="0.2">
      <c r="A10" s="149" t="str">
        <f t="shared" ref="A10:A19" si="4">CONCATENATE($E$6,"|",B10)</f>
        <v>6|2</v>
      </c>
      <c r="B10" s="155" t="s">
        <v>167</v>
      </c>
      <c r="C10" s="151" t="s">
        <v>428</v>
      </c>
      <c r="D10" s="152"/>
      <c r="E10" s="153">
        <v>2</v>
      </c>
      <c r="F10" s="629"/>
      <c r="G10" s="629"/>
      <c r="H10" s="629"/>
      <c r="I10" s="629"/>
      <c r="J10" s="629"/>
      <c r="K10" s="629"/>
      <c r="L10" s="629"/>
      <c r="M10" s="629"/>
      <c r="N10" s="629"/>
      <c r="O10" s="629"/>
      <c r="P10" s="629"/>
      <c r="Q10" s="630"/>
      <c r="R10" s="154"/>
      <c r="S10" s="1256">
        <f>Grandes_Itens!F6</f>
        <v>0</v>
      </c>
      <c r="T10" s="1257">
        <f t="shared" si="2"/>
        <v>0</v>
      </c>
      <c r="W10" s="108">
        <f t="shared" si="3"/>
        <v>0</v>
      </c>
    </row>
    <row r="11" spans="1:24" x14ac:dyDescent="0.2">
      <c r="A11" s="149" t="str">
        <f t="shared" si="4"/>
        <v>6|3</v>
      </c>
      <c r="B11" s="155" t="s">
        <v>185</v>
      </c>
      <c r="C11" s="151" t="s">
        <v>434</v>
      </c>
      <c r="D11" s="152"/>
      <c r="E11" s="153">
        <v>3</v>
      </c>
      <c r="F11" s="629"/>
      <c r="G11" s="629"/>
      <c r="H11" s="629"/>
      <c r="I11" s="629"/>
      <c r="J11" s="629"/>
      <c r="K11" s="629"/>
      <c r="L11" s="629"/>
      <c r="M11" s="629"/>
      <c r="N11" s="629"/>
      <c r="O11" s="629"/>
      <c r="P11" s="629"/>
      <c r="Q11" s="630"/>
      <c r="R11" s="154"/>
      <c r="S11" s="1256">
        <f>Grandes_Itens!F7</f>
        <v>0</v>
      </c>
      <c r="T11" s="1257">
        <f t="shared" si="2"/>
        <v>0</v>
      </c>
      <c r="W11" s="108">
        <f t="shared" si="3"/>
        <v>0</v>
      </c>
    </row>
    <row r="12" spans="1:24" x14ac:dyDescent="0.2">
      <c r="A12" s="149" t="str">
        <f t="shared" si="4"/>
        <v>6|4</v>
      </c>
      <c r="B12" s="155" t="s">
        <v>203</v>
      </c>
      <c r="C12" s="151" t="s">
        <v>429</v>
      </c>
      <c r="D12" s="152"/>
      <c r="E12" s="153">
        <v>4</v>
      </c>
      <c r="F12" s="629"/>
      <c r="G12" s="629"/>
      <c r="H12" s="629"/>
      <c r="I12" s="629"/>
      <c r="J12" s="629"/>
      <c r="K12" s="629"/>
      <c r="L12" s="629"/>
      <c r="M12" s="629"/>
      <c r="N12" s="629"/>
      <c r="O12" s="629"/>
      <c r="P12" s="629"/>
      <c r="Q12" s="630"/>
      <c r="R12" s="154"/>
      <c r="S12" s="1256">
        <f>Grandes_Itens!F8</f>
        <v>1239953.76</v>
      </c>
      <c r="T12" s="1257">
        <f t="shared" si="2"/>
        <v>98.212503014503611</v>
      </c>
      <c r="W12" s="108">
        <f t="shared" si="3"/>
        <v>0</v>
      </c>
    </row>
    <row r="13" spans="1:24" x14ac:dyDescent="0.2">
      <c r="A13" s="149" t="str">
        <f t="shared" si="4"/>
        <v>6|5</v>
      </c>
      <c r="B13" s="155" t="s">
        <v>166</v>
      </c>
      <c r="C13" s="151" t="s">
        <v>430</v>
      </c>
      <c r="D13" s="152"/>
      <c r="E13" s="153">
        <v>5</v>
      </c>
      <c r="F13" s="629"/>
      <c r="G13" s="629"/>
      <c r="H13" s="629"/>
      <c r="I13" s="629"/>
      <c r="J13" s="629"/>
      <c r="K13" s="629"/>
      <c r="L13" s="629"/>
      <c r="M13" s="629"/>
      <c r="N13" s="629"/>
      <c r="O13" s="629"/>
      <c r="P13" s="629"/>
      <c r="Q13" s="630"/>
      <c r="R13" s="154"/>
      <c r="S13" s="1256">
        <f>Grandes_Itens!F9</f>
        <v>0</v>
      </c>
      <c r="T13" s="1257">
        <f t="shared" si="2"/>
        <v>0</v>
      </c>
      <c r="W13" s="108">
        <f t="shared" si="3"/>
        <v>0</v>
      </c>
    </row>
    <row r="14" spans="1:24" x14ac:dyDescent="0.2">
      <c r="A14" s="149" t="str">
        <f t="shared" si="4"/>
        <v>6|6</v>
      </c>
      <c r="B14" s="155" t="s">
        <v>205</v>
      </c>
      <c r="C14" s="151" t="s">
        <v>575</v>
      </c>
      <c r="D14" s="152"/>
      <c r="E14" s="153">
        <v>3</v>
      </c>
      <c r="F14" s="629"/>
      <c r="G14" s="629"/>
      <c r="H14" s="629"/>
      <c r="I14" s="629"/>
      <c r="J14" s="629"/>
      <c r="K14" s="629"/>
      <c r="L14" s="629"/>
      <c r="M14" s="629"/>
      <c r="N14" s="629"/>
      <c r="O14" s="629"/>
      <c r="P14" s="629"/>
      <c r="Q14" s="630"/>
      <c r="R14" s="154"/>
      <c r="S14" s="1256">
        <f>Grandes_Itens!F10</f>
        <v>0</v>
      </c>
      <c r="T14" s="1257">
        <f t="shared" si="2"/>
        <v>0</v>
      </c>
      <c r="W14" s="108">
        <f t="shared" si="3"/>
        <v>0</v>
      </c>
    </row>
    <row r="15" spans="1:24" x14ac:dyDescent="0.2">
      <c r="A15" s="149" t="str">
        <f t="shared" si="4"/>
        <v>6|7</v>
      </c>
      <c r="B15" s="155" t="s">
        <v>417</v>
      </c>
      <c r="C15" s="151" t="s">
        <v>436</v>
      </c>
      <c r="D15" s="152"/>
      <c r="E15" s="153">
        <v>5</v>
      </c>
      <c r="F15" s="629"/>
      <c r="G15" s="629"/>
      <c r="H15" s="629"/>
      <c r="I15" s="629"/>
      <c r="J15" s="629"/>
      <c r="K15" s="629"/>
      <c r="L15" s="629"/>
      <c r="M15" s="629"/>
      <c r="N15" s="629"/>
      <c r="O15" s="629"/>
      <c r="P15" s="629"/>
      <c r="Q15" s="630"/>
      <c r="R15" s="154"/>
      <c r="S15" s="1256">
        <f>Grandes_Itens!F11</f>
        <v>22567.53</v>
      </c>
      <c r="T15" s="1257">
        <f t="shared" si="2"/>
        <v>1.7874969854963791</v>
      </c>
      <c r="W15" s="108">
        <f t="shared" si="3"/>
        <v>0</v>
      </c>
    </row>
    <row r="16" spans="1:24" x14ac:dyDescent="0.2">
      <c r="A16" s="149" t="str">
        <f t="shared" si="4"/>
        <v>6|8</v>
      </c>
      <c r="B16" s="155" t="s">
        <v>310</v>
      </c>
      <c r="C16" s="151" t="s">
        <v>438</v>
      </c>
      <c r="D16" s="152"/>
      <c r="E16" s="153">
        <v>6</v>
      </c>
      <c r="F16" s="629"/>
      <c r="G16" s="629"/>
      <c r="H16" s="629"/>
      <c r="I16" s="629"/>
      <c r="J16" s="629"/>
      <c r="K16" s="629"/>
      <c r="L16" s="629"/>
      <c r="M16" s="629"/>
      <c r="N16" s="629"/>
      <c r="O16" s="629"/>
      <c r="P16" s="629"/>
      <c r="Q16" s="630"/>
      <c r="R16" s="154"/>
      <c r="S16" s="1256">
        <f>Grandes_Itens!F12</f>
        <v>0</v>
      </c>
      <c r="T16" s="1257">
        <f t="shared" si="2"/>
        <v>0</v>
      </c>
      <c r="W16" s="108">
        <f t="shared" si="3"/>
        <v>0</v>
      </c>
    </row>
    <row r="17" spans="1:23" x14ac:dyDescent="0.2">
      <c r="A17" s="149" t="str">
        <f t="shared" si="4"/>
        <v>6|9</v>
      </c>
      <c r="B17" s="155" t="s">
        <v>439</v>
      </c>
      <c r="C17" s="151" t="s">
        <v>440</v>
      </c>
      <c r="D17" s="152"/>
      <c r="E17" s="153">
        <v>6</v>
      </c>
      <c r="F17" s="629"/>
      <c r="G17" s="629"/>
      <c r="H17" s="629"/>
      <c r="I17" s="629"/>
      <c r="J17" s="629"/>
      <c r="K17" s="629"/>
      <c r="L17" s="629"/>
      <c r="M17" s="629"/>
      <c r="N17" s="629"/>
      <c r="O17" s="629"/>
      <c r="P17" s="629"/>
      <c r="Q17" s="630"/>
      <c r="R17" s="154"/>
      <c r="S17" s="1256">
        <f>Grandes_Itens!F13</f>
        <v>0</v>
      </c>
      <c r="T17" s="1257">
        <f t="shared" si="2"/>
        <v>0</v>
      </c>
      <c r="W17" s="108">
        <f t="shared" si="3"/>
        <v>0</v>
      </c>
    </row>
    <row r="18" spans="1:23" x14ac:dyDescent="0.2">
      <c r="A18" s="149" t="str">
        <f t="shared" si="4"/>
        <v>6|10</v>
      </c>
      <c r="B18" s="155" t="s">
        <v>441</v>
      </c>
      <c r="C18" s="151" t="s">
        <v>431</v>
      </c>
      <c r="D18" s="152"/>
      <c r="E18" s="153"/>
      <c r="F18" s="629"/>
      <c r="G18" s="629"/>
      <c r="H18" s="629"/>
      <c r="I18" s="629"/>
      <c r="J18" s="629"/>
      <c r="K18" s="629"/>
      <c r="L18" s="629"/>
      <c r="M18" s="629"/>
      <c r="N18" s="629"/>
      <c r="O18" s="629"/>
      <c r="P18" s="629"/>
      <c r="Q18" s="630"/>
      <c r="R18" s="154"/>
      <c r="S18" s="1256">
        <f>Grandes_Itens!F14</f>
        <v>0</v>
      </c>
      <c r="T18" s="1257">
        <f t="shared" si="2"/>
        <v>0</v>
      </c>
      <c r="W18" s="108">
        <f t="shared" si="3"/>
        <v>0</v>
      </c>
    </row>
    <row r="19" spans="1:23" x14ac:dyDescent="0.2">
      <c r="A19" s="149" t="str">
        <f t="shared" si="4"/>
        <v>6|11</v>
      </c>
      <c r="B19" s="155" t="s">
        <v>487</v>
      </c>
      <c r="C19" s="151" t="s">
        <v>525</v>
      </c>
      <c r="D19" s="152"/>
      <c r="E19" s="153"/>
      <c r="F19" s="629"/>
      <c r="G19" s="629"/>
      <c r="H19" s="629"/>
      <c r="I19" s="629"/>
      <c r="J19" s="629"/>
      <c r="K19" s="629"/>
      <c r="L19" s="629"/>
      <c r="M19" s="629"/>
      <c r="N19" s="629"/>
      <c r="O19" s="629"/>
      <c r="P19" s="629"/>
      <c r="Q19" s="630"/>
      <c r="R19" s="154"/>
      <c r="S19" s="1256">
        <f>Grandes_Itens!F15</f>
        <v>0</v>
      </c>
      <c r="T19" s="1257">
        <f t="shared" si="2"/>
        <v>0</v>
      </c>
      <c r="W19" s="108">
        <f t="shared" si="3"/>
        <v>0</v>
      </c>
    </row>
    <row r="20" spans="1:23" ht="13.5" thickBot="1" x14ac:dyDescent="0.25">
      <c r="A20" s="108"/>
      <c r="B20" s="156"/>
      <c r="C20" s="157"/>
      <c r="D20" s="157"/>
      <c r="E20" s="157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258"/>
      <c r="T20" s="1259"/>
    </row>
    <row r="21" spans="1:23" ht="14.25" thickTop="1" thickBot="1" x14ac:dyDescent="0.25">
      <c r="A21" s="108"/>
      <c r="B21" s="159"/>
      <c r="C21" s="160" t="s">
        <v>657</v>
      </c>
      <c r="D21" s="160" t="s">
        <v>657</v>
      </c>
      <c r="E21" s="161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260">
        <f>SUM(S9:S20)</f>
        <v>1262521.29</v>
      </c>
      <c r="T21" s="1261">
        <f>SUM(T9:T19)</f>
        <v>99.999999999999986</v>
      </c>
    </row>
    <row r="22" spans="1:23" ht="18.75" thickTop="1" x14ac:dyDescent="0.25">
      <c r="A22" s="108"/>
      <c r="B22" s="163" t="s">
        <v>697</v>
      </c>
      <c r="C22" s="164"/>
      <c r="D22" s="164"/>
      <c r="E22" s="164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6"/>
    </row>
    <row r="23" spans="1:23" ht="13.5" thickBot="1" x14ac:dyDescent="0.25">
      <c r="A23" s="108"/>
      <c r="B23" s="167" t="s">
        <v>653</v>
      </c>
      <c r="C23" s="168"/>
      <c r="D23" s="168"/>
      <c r="E23" s="168"/>
      <c r="F23" s="169" t="s">
        <v>659</v>
      </c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70"/>
      <c r="R23" s="133" t="s">
        <v>660</v>
      </c>
      <c r="S23" s="171" t="s">
        <v>468</v>
      </c>
      <c r="T23" s="172" t="s">
        <v>651</v>
      </c>
    </row>
    <row r="24" spans="1:23" ht="13.5" thickTop="1" x14ac:dyDescent="0.2">
      <c r="A24" s="108"/>
      <c r="B24" s="173"/>
      <c r="C24" s="174"/>
      <c r="D24" s="175"/>
      <c r="E24" s="175"/>
      <c r="F24" s="176">
        <f t="shared" ref="F24:Q24" si="5">F6</f>
        <v>1</v>
      </c>
      <c r="G24" s="176">
        <f t="shared" si="5"/>
        <v>2</v>
      </c>
      <c r="H24" s="176">
        <f t="shared" si="5"/>
        <v>3</v>
      </c>
      <c r="I24" s="176">
        <f t="shared" si="5"/>
        <v>4</v>
      </c>
      <c r="J24" s="176">
        <f t="shared" si="5"/>
        <v>5</v>
      </c>
      <c r="K24" s="176">
        <f t="shared" si="5"/>
        <v>6</v>
      </c>
      <c r="L24" s="176">
        <f t="shared" si="5"/>
        <v>0</v>
      </c>
      <c r="M24" s="176">
        <f t="shared" si="5"/>
        <v>0</v>
      </c>
      <c r="N24" s="176">
        <f t="shared" si="5"/>
        <v>0</v>
      </c>
      <c r="O24" s="176">
        <f t="shared" si="5"/>
        <v>0</v>
      </c>
      <c r="P24" s="176">
        <f t="shared" si="5"/>
        <v>0</v>
      </c>
      <c r="Q24" s="177">
        <f t="shared" si="5"/>
        <v>0</v>
      </c>
      <c r="R24" s="178" t="s">
        <v>661</v>
      </c>
      <c r="S24" s="179" t="s">
        <v>653</v>
      </c>
      <c r="T24" s="180" t="s">
        <v>653</v>
      </c>
    </row>
    <row r="25" spans="1:23" x14ac:dyDescent="0.2">
      <c r="A25" s="108"/>
      <c r="B25" s="181" t="s">
        <v>662</v>
      </c>
      <c r="C25" s="182" t="s">
        <v>432</v>
      </c>
      <c r="D25" s="183" t="s">
        <v>698</v>
      </c>
      <c r="E25" s="184" t="s">
        <v>664</v>
      </c>
      <c r="F25" s="1243">
        <f t="shared" ref="F25:Q25" si="6">((F9/100)*$S$9)*$T$2</f>
        <v>0</v>
      </c>
      <c r="G25" s="1243">
        <f t="shared" si="6"/>
        <v>0</v>
      </c>
      <c r="H25" s="1243">
        <f t="shared" si="6"/>
        <v>0</v>
      </c>
      <c r="I25" s="1243">
        <f t="shared" si="6"/>
        <v>0</v>
      </c>
      <c r="J25" s="1243">
        <f t="shared" si="6"/>
        <v>0</v>
      </c>
      <c r="K25" s="1243">
        <f t="shared" si="6"/>
        <v>0</v>
      </c>
      <c r="L25" s="1243">
        <f t="shared" si="6"/>
        <v>0</v>
      </c>
      <c r="M25" s="1243">
        <f t="shared" si="6"/>
        <v>0</v>
      </c>
      <c r="N25" s="1243">
        <f t="shared" si="6"/>
        <v>0</v>
      </c>
      <c r="O25" s="1243">
        <f t="shared" si="6"/>
        <v>0</v>
      </c>
      <c r="P25" s="1243">
        <f t="shared" si="6"/>
        <v>0</v>
      </c>
      <c r="Q25" s="1244">
        <f t="shared" si="6"/>
        <v>0</v>
      </c>
      <c r="R25" s="185">
        <f>COUNTIF(F25:Q25,"&gt;0")</f>
        <v>0</v>
      </c>
      <c r="S25" s="1249">
        <f t="shared" ref="S25:S46" si="7">SUM(F25:Q25)</f>
        <v>0</v>
      </c>
      <c r="T25" s="186">
        <f t="shared" ref="T25:T46" si="8">IF($S$51=0,0,(S25/$S$51))</f>
        <v>0</v>
      </c>
    </row>
    <row r="26" spans="1:23" x14ac:dyDescent="0.2">
      <c r="A26" s="108"/>
      <c r="B26" s="181" t="s">
        <v>665</v>
      </c>
      <c r="C26" s="187"/>
      <c r="D26" s="183" t="s">
        <v>666</v>
      </c>
      <c r="E26" s="184" t="s">
        <v>664</v>
      </c>
      <c r="F26" s="1243">
        <f>((F9/100)*$S$9)*T3</f>
        <v>0</v>
      </c>
      <c r="G26" s="1243">
        <f t="shared" ref="G26:Q26" si="9">((G9/100)*$S$9)*$T$3</f>
        <v>0</v>
      </c>
      <c r="H26" s="1243">
        <f t="shared" si="9"/>
        <v>0</v>
      </c>
      <c r="I26" s="1243">
        <f t="shared" si="9"/>
        <v>0</v>
      </c>
      <c r="J26" s="1243">
        <f t="shared" si="9"/>
        <v>0</v>
      </c>
      <c r="K26" s="1243">
        <f t="shared" si="9"/>
        <v>0</v>
      </c>
      <c r="L26" s="1243">
        <f t="shared" si="9"/>
        <v>0</v>
      </c>
      <c r="M26" s="1243">
        <f t="shared" si="9"/>
        <v>0</v>
      </c>
      <c r="N26" s="1243">
        <f t="shared" si="9"/>
        <v>0</v>
      </c>
      <c r="O26" s="1243">
        <f t="shared" si="9"/>
        <v>0</v>
      </c>
      <c r="P26" s="1243">
        <f t="shared" si="9"/>
        <v>0</v>
      </c>
      <c r="Q26" s="1244">
        <f t="shared" si="9"/>
        <v>0</v>
      </c>
      <c r="R26" s="188">
        <f t="shared" ref="R26:R46" si="10">COUNTIF(F26:Q26,"&gt;0")</f>
        <v>0</v>
      </c>
      <c r="S26" s="1249">
        <f t="shared" si="7"/>
        <v>0</v>
      </c>
      <c r="T26" s="186">
        <f t="shared" si="8"/>
        <v>0</v>
      </c>
      <c r="U26" s="189"/>
    </row>
    <row r="27" spans="1:23" x14ac:dyDescent="0.2">
      <c r="A27" s="108"/>
      <c r="B27" s="181" t="s">
        <v>667</v>
      </c>
      <c r="C27" s="190" t="s">
        <v>428</v>
      </c>
      <c r="D27" s="184" t="s">
        <v>698</v>
      </c>
      <c r="E27" s="184" t="s">
        <v>664</v>
      </c>
      <c r="F27" s="1243">
        <f t="shared" ref="F27:Q27" si="11">((F10/100)*$S$10)*$T$2</f>
        <v>0</v>
      </c>
      <c r="G27" s="1243">
        <f t="shared" si="11"/>
        <v>0</v>
      </c>
      <c r="H27" s="1243">
        <f t="shared" si="11"/>
        <v>0</v>
      </c>
      <c r="I27" s="1243">
        <f t="shared" si="11"/>
        <v>0</v>
      </c>
      <c r="J27" s="1243">
        <f t="shared" si="11"/>
        <v>0</v>
      </c>
      <c r="K27" s="1243">
        <f t="shared" si="11"/>
        <v>0</v>
      </c>
      <c r="L27" s="1243">
        <f t="shared" si="11"/>
        <v>0</v>
      </c>
      <c r="M27" s="1243">
        <f t="shared" si="11"/>
        <v>0</v>
      </c>
      <c r="N27" s="1243">
        <f t="shared" si="11"/>
        <v>0</v>
      </c>
      <c r="O27" s="1243">
        <f t="shared" si="11"/>
        <v>0</v>
      </c>
      <c r="P27" s="1243">
        <f t="shared" si="11"/>
        <v>0</v>
      </c>
      <c r="Q27" s="1244">
        <f t="shared" si="11"/>
        <v>0</v>
      </c>
      <c r="R27" s="188">
        <f t="shared" si="10"/>
        <v>0</v>
      </c>
      <c r="S27" s="1249">
        <f t="shared" si="7"/>
        <v>0</v>
      </c>
      <c r="T27" s="186">
        <f t="shared" si="8"/>
        <v>0</v>
      </c>
    </row>
    <row r="28" spans="1:23" x14ac:dyDescent="0.2">
      <c r="A28" s="108"/>
      <c r="B28" s="181" t="s">
        <v>668</v>
      </c>
      <c r="C28" s="191"/>
      <c r="D28" s="184" t="s">
        <v>666</v>
      </c>
      <c r="E28" s="184" t="s">
        <v>664</v>
      </c>
      <c r="F28" s="1243">
        <f t="shared" ref="F28:Q28" si="12">((F10/100)*$S$10)*$T$3</f>
        <v>0</v>
      </c>
      <c r="G28" s="1243">
        <f t="shared" si="12"/>
        <v>0</v>
      </c>
      <c r="H28" s="1243">
        <f t="shared" si="12"/>
        <v>0</v>
      </c>
      <c r="I28" s="1243">
        <f t="shared" si="12"/>
        <v>0</v>
      </c>
      <c r="J28" s="1243">
        <f t="shared" si="12"/>
        <v>0</v>
      </c>
      <c r="K28" s="1243">
        <f t="shared" si="12"/>
        <v>0</v>
      </c>
      <c r="L28" s="1243">
        <f t="shared" si="12"/>
        <v>0</v>
      </c>
      <c r="M28" s="1243">
        <f t="shared" si="12"/>
        <v>0</v>
      </c>
      <c r="N28" s="1243">
        <f t="shared" si="12"/>
        <v>0</v>
      </c>
      <c r="O28" s="1243">
        <f t="shared" si="12"/>
        <v>0</v>
      </c>
      <c r="P28" s="1243">
        <f t="shared" si="12"/>
        <v>0</v>
      </c>
      <c r="Q28" s="1244">
        <f t="shared" si="12"/>
        <v>0</v>
      </c>
      <c r="R28" s="188">
        <f t="shared" si="10"/>
        <v>0</v>
      </c>
      <c r="S28" s="1249">
        <f t="shared" si="7"/>
        <v>0</v>
      </c>
      <c r="T28" s="186">
        <f t="shared" si="8"/>
        <v>0</v>
      </c>
      <c r="U28" s="189"/>
    </row>
    <row r="29" spans="1:23" x14ac:dyDescent="0.2">
      <c r="A29" s="108"/>
      <c r="B29" s="181" t="s">
        <v>669</v>
      </c>
      <c r="C29" s="190" t="s">
        <v>434</v>
      </c>
      <c r="D29" s="184" t="s">
        <v>698</v>
      </c>
      <c r="E29" s="184" t="s">
        <v>664</v>
      </c>
      <c r="F29" s="1243">
        <f t="shared" ref="F29:Q29" si="13">((F11/100)*$S$11)*$T$2</f>
        <v>0</v>
      </c>
      <c r="G29" s="1243">
        <f t="shared" si="13"/>
        <v>0</v>
      </c>
      <c r="H29" s="1243">
        <f t="shared" si="13"/>
        <v>0</v>
      </c>
      <c r="I29" s="1243">
        <f t="shared" si="13"/>
        <v>0</v>
      </c>
      <c r="J29" s="1243">
        <f t="shared" si="13"/>
        <v>0</v>
      </c>
      <c r="K29" s="1243">
        <f t="shared" si="13"/>
        <v>0</v>
      </c>
      <c r="L29" s="1243">
        <f t="shared" si="13"/>
        <v>0</v>
      </c>
      <c r="M29" s="1243">
        <f t="shared" si="13"/>
        <v>0</v>
      </c>
      <c r="N29" s="1243">
        <f t="shared" si="13"/>
        <v>0</v>
      </c>
      <c r="O29" s="1243">
        <f t="shared" si="13"/>
        <v>0</v>
      </c>
      <c r="P29" s="1243">
        <f t="shared" si="13"/>
        <v>0</v>
      </c>
      <c r="Q29" s="1244">
        <f t="shared" si="13"/>
        <v>0</v>
      </c>
      <c r="R29" s="188">
        <f t="shared" si="10"/>
        <v>0</v>
      </c>
      <c r="S29" s="1249">
        <f t="shared" si="7"/>
        <v>0</v>
      </c>
      <c r="T29" s="186">
        <f t="shared" si="8"/>
        <v>0</v>
      </c>
    </row>
    <row r="30" spans="1:23" x14ac:dyDescent="0.2">
      <c r="A30" s="108"/>
      <c r="B30" s="181" t="s">
        <v>670</v>
      </c>
      <c r="C30" s="191"/>
      <c r="D30" s="184" t="s">
        <v>666</v>
      </c>
      <c r="E30" s="184" t="s">
        <v>664</v>
      </c>
      <c r="F30" s="1243">
        <f t="shared" ref="F30:Q30" si="14">((F11/100)*$S$11)*$T$3</f>
        <v>0</v>
      </c>
      <c r="G30" s="1243">
        <f t="shared" si="14"/>
        <v>0</v>
      </c>
      <c r="H30" s="1243">
        <f t="shared" si="14"/>
        <v>0</v>
      </c>
      <c r="I30" s="1243">
        <f t="shared" si="14"/>
        <v>0</v>
      </c>
      <c r="J30" s="1243">
        <f t="shared" si="14"/>
        <v>0</v>
      </c>
      <c r="K30" s="1243">
        <f t="shared" si="14"/>
        <v>0</v>
      </c>
      <c r="L30" s="1243">
        <f t="shared" si="14"/>
        <v>0</v>
      </c>
      <c r="M30" s="1243">
        <f t="shared" si="14"/>
        <v>0</v>
      </c>
      <c r="N30" s="1243">
        <f t="shared" si="14"/>
        <v>0</v>
      </c>
      <c r="O30" s="1243">
        <f t="shared" si="14"/>
        <v>0</v>
      </c>
      <c r="P30" s="1243">
        <f t="shared" si="14"/>
        <v>0</v>
      </c>
      <c r="Q30" s="1244">
        <f t="shared" si="14"/>
        <v>0</v>
      </c>
      <c r="R30" s="188">
        <f t="shared" si="10"/>
        <v>0</v>
      </c>
      <c r="S30" s="1249">
        <f t="shared" si="7"/>
        <v>0</v>
      </c>
      <c r="T30" s="186">
        <f t="shared" si="8"/>
        <v>0</v>
      </c>
      <c r="U30" s="189"/>
    </row>
    <row r="31" spans="1:23" x14ac:dyDescent="0.2">
      <c r="A31" s="108"/>
      <c r="B31" s="181" t="s">
        <v>671</v>
      </c>
      <c r="C31" s="190" t="s">
        <v>429</v>
      </c>
      <c r="D31" s="184" t="s">
        <v>698</v>
      </c>
      <c r="E31" s="184" t="s">
        <v>664</v>
      </c>
      <c r="F31" s="1243">
        <f>((F12/100)*$S$12)*T2</f>
        <v>0</v>
      </c>
      <c r="G31" s="1243">
        <f t="shared" ref="G31:Q31" si="15">((G12/100)*$S$12)*$T$2</f>
        <v>0</v>
      </c>
      <c r="H31" s="1243">
        <f t="shared" si="15"/>
        <v>0</v>
      </c>
      <c r="I31" s="1243">
        <f t="shared" si="15"/>
        <v>0</v>
      </c>
      <c r="J31" s="1243">
        <f t="shared" si="15"/>
        <v>0</v>
      </c>
      <c r="K31" s="1243">
        <f t="shared" si="15"/>
        <v>0</v>
      </c>
      <c r="L31" s="1243">
        <f t="shared" si="15"/>
        <v>0</v>
      </c>
      <c r="M31" s="1243">
        <f t="shared" si="15"/>
        <v>0</v>
      </c>
      <c r="N31" s="1243">
        <f t="shared" si="15"/>
        <v>0</v>
      </c>
      <c r="O31" s="1243">
        <f t="shared" si="15"/>
        <v>0</v>
      </c>
      <c r="P31" s="1243">
        <f t="shared" si="15"/>
        <v>0</v>
      </c>
      <c r="Q31" s="1244">
        <f t="shared" si="15"/>
        <v>0</v>
      </c>
      <c r="R31" s="188">
        <f t="shared" si="10"/>
        <v>0</v>
      </c>
      <c r="S31" s="1249">
        <f t="shared" si="7"/>
        <v>0</v>
      </c>
      <c r="T31" s="186">
        <f t="shared" si="8"/>
        <v>0</v>
      </c>
    </row>
    <row r="32" spans="1:23" x14ac:dyDescent="0.2">
      <c r="A32" s="108"/>
      <c r="B32" s="181" t="s">
        <v>672</v>
      </c>
      <c r="C32" s="191"/>
      <c r="D32" s="184" t="s">
        <v>666</v>
      </c>
      <c r="E32" s="184" t="s">
        <v>664</v>
      </c>
      <c r="F32" s="1243">
        <f t="shared" ref="F32:Q32" si="16">((F12/100)*$S$12)*$T$3</f>
        <v>0</v>
      </c>
      <c r="G32" s="1243">
        <f t="shared" si="16"/>
        <v>0</v>
      </c>
      <c r="H32" s="1243">
        <f t="shared" si="16"/>
        <v>0</v>
      </c>
      <c r="I32" s="1243">
        <f t="shared" si="16"/>
        <v>0</v>
      </c>
      <c r="J32" s="1243">
        <f t="shared" si="16"/>
        <v>0</v>
      </c>
      <c r="K32" s="1243">
        <f t="shared" si="16"/>
        <v>0</v>
      </c>
      <c r="L32" s="1243">
        <f t="shared" si="16"/>
        <v>0</v>
      </c>
      <c r="M32" s="1243">
        <f t="shared" si="16"/>
        <v>0</v>
      </c>
      <c r="N32" s="1243">
        <f t="shared" si="16"/>
        <v>0</v>
      </c>
      <c r="O32" s="1243">
        <f t="shared" si="16"/>
        <v>0</v>
      </c>
      <c r="P32" s="1243">
        <f t="shared" si="16"/>
        <v>0</v>
      </c>
      <c r="Q32" s="1244">
        <f t="shared" si="16"/>
        <v>0</v>
      </c>
      <c r="R32" s="188">
        <f t="shared" si="10"/>
        <v>0</v>
      </c>
      <c r="S32" s="1249">
        <f t="shared" si="7"/>
        <v>0</v>
      </c>
      <c r="T32" s="186">
        <f t="shared" si="8"/>
        <v>0</v>
      </c>
      <c r="U32" s="189"/>
    </row>
    <row r="33" spans="1:21" x14ac:dyDescent="0.2">
      <c r="A33" s="108"/>
      <c r="B33" s="181" t="s">
        <v>673</v>
      </c>
      <c r="C33" s="190" t="s">
        <v>430</v>
      </c>
      <c r="D33" s="184" t="s">
        <v>698</v>
      </c>
      <c r="E33" s="184" t="s">
        <v>664</v>
      </c>
      <c r="F33" s="1243">
        <f t="shared" ref="F33:Q33" si="17">((F13/100)*$S$13)*$T$2</f>
        <v>0</v>
      </c>
      <c r="G33" s="1243">
        <f t="shared" si="17"/>
        <v>0</v>
      </c>
      <c r="H33" s="1243">
        <f t="shared" si="17"/>
        <v>0</v>
      </c>
      <c r="I33" s="1243">
        <f t="shared" si="17"/>
        <v>0</v>
      </c>
      <c r="J33" s="1243">
        <f t="shared" si="17"/>
        <v>0</v>
      </c>
      <c r="K33" s="1243">
        <f t="shared" si="17"/>
        <v>0</v>
      </c>
      <c r="L33" s="1243">
        <f t="shared" si="17"/>
        <v>0</v>
      </c>
      <c r="M33" s="1243">
        <f t="shared" si="17"/>
        <v>0</v>
      </c>
      <c r="N33" s="1243">
        <f t="shared" si="17"/>
        <v>0</v>
      </c>
      <c r="O33" s="1243">
        <f t="shared" si="17"/>
        <v>0</v>
      </c>
      <c r="P33" s="1243">
        <f t="shared" si="17"/>
        <v>0</v>
      </c>
      <c r="Q33" s="1244">
        <f t="shared" si="17"/>
        <v>0</v>
      </c>
      <c r="R33" s="188">
        <f t="shared" si="10"/>
        <v>0</v>
      </c>
      <c r="S33" s="1249">
        <f t="shared" si="7"/>
        <v>0</v>
      </c>
      <c r="T33" s="186">
        <f t="shared" si="8"/>
        <v>0</v>
      </c>
    </row>
    <row r="34" spans="1:21" x14ac:dyDescent="0.2">
      <c r="A34" s="108"/>
      <c r="B34" s="181" t="s">
        <v>674</v>
      </c>
      <c r="C34" s="191"/>
      <c r="D34" s="184" t="s">
        <v>666</v>
      </c>
      <c r="E34" s="184" t="s">
        <v>664</v>
      </c>
      <c r="F34" s="1243">
        <f t="shared" ref="F34:Q34" si="18">((F13/100)*$S$13)*$T$3</f>
        <v>0</v>
      </c>
      <c r="G34" s="1243">
        <f t="shared" si="18"/>
        <v>0</v>
      </c>
      <c r="H34" s="1243">
        <f t="shared" si="18"/>
        <v>0</v>
      </c>
      <c r="I34" s="1243">
        <f t="shared" si="18"/>
        <v>0</v>
      </c>
      <c r="J34" s="1243">
        <f t="shared" si="18"/>
        <v>0</v>
      </c>
      <c r="K34" s="1243">
        <f t="shared" si="18"/>
        <v>0</v>
      </c>
      <c r="L34" s="1243">
        <f t="shared" si="18"/>
        <v>0</v>
      </c>
      <c r="M34" s="1243">
        <f t="shared" si="18"/>
        <v>0</v>
      </c>
      <c r="N34" s="1243">
        <f t="shared" si="18"/>
        <v>0</v>
      </c>
      <c r="O34" s="1243">
        <f t="shared" si="18"/>
        <v>0</v>
      </c>
      <c r="P34" s="1243">
        <f t="shared" si="18"/>
        <v>0</v>
      </c>
      <c r="Q34" s="1244">
        <f t="shared" si="18"/>
        <v>0</v>
      </c>
      <c r="R34" s="188">
        <f t="shared" si="10"/>
        <v>0</v>
      </c>
      <c r="S34" s="1249">
        <f t="shared" si="7"/>
        <v>0</v>
      </c>
      <c r="T34" s="186">
        <f t="shared" si="8"/>
        <v>0</v>
      </c>
      <c r="U34" s="189"/>
    </row>
    <row r="35" spans="1:21" x14ac:dyDescent="0.2">
      <c r="A35" s="108"/>
      <c r="B35" s="181" t="s">
        <v>675</v>
      </c>
      <c r="C35" s="190" t="s">
        <v>575</v>
      </c>
      <c r="D35" s="184" t="s">
        <v>698</v>
      </c>
      <c r="E35" s="184" t="s">
        <v>664</v>
      </c>
      <c r="F35" s="1243">
        <f t="shared" ref="F35:Q35" si="19">((F14/100)*$S$14)*$T$2</f>
        <v>0</v>
      </c>
      <c r="G35" s="1243">
        <f t="shared" si="19"/>
        <v>0</v>
      </c>
      <c r="H35" s="1243">
        <f t="shared" si="19"/>
        <v>0</v>
      </c>
      <c r="I35" s="1243">
        <f t="shared" si="19"/>
        <v>0</v>
      </c>
      <c r="J35" s="1243">
        <f t="shared" si="19"/>
        <v>0</v>
      </c>
      <c r="K35" s="1243">
        <f t="shared" si="19"/>
        <v>0</v>
      </c>
      <c r="L35" s="1243">
        <f t="shared" si="19"/>
        <v>0</v>
      </c>
      <c r="M35" s="1243">
        <f t="shared" si="19"/>
        <v>0</v>
      </c>
      <c r="N35" s="1243">
        <f t="shared" si="19"/>
        <v>0</v>
      </c>
      <c r="O35" s="1243">
        <f t="shared" si="19"/>
        <v>0</v>
      </c>
      <c r="P35" s="1243">
        <f t="shared" si="19"/>
        <v>0</v>
      </c>
      <c r="Q35" s="1244">
        <f t="shared" si="19"/>
        <v>0</v>
      </c>
      <c r="R35" s="188">
        <f t="shared" si="10"/>
        <v>0</v>
      </c>
      <c r="S35" s="1249">
        <f t="shared" si="7"/>
        <v>0</v>
      </c>
      <c r="T35" s="186">
        <f t="shared" si="8"/>
        <v>0</v>
      </c>
    </row>
    <row r="36" spans="1:21" x14ac:dyDescent="0.2">
      <c r="A36" s="108"/>
      <c r="B36" s="181" t="s">
        <v>676</v>
      </c>
      <c r="C36" s="191"/>
      <c r="D36" s="184" t="s">
        <v>666</v>
      </c>
      <c r="E36" s="184" t="s">
        <v>664</v>
      </c>
      <c r="F36" s="1243">
        <f t="shared" ref="F36:Q36" si="20">((F14/100)*$S$14)*$T$3</f>
        <v>0</v>
      </c>
      <c r="G36" s="1243">
        <f t="shared" si="20"/>
        <v>0</v>
      </c>
      <c r="H36" s="1243">
        <f t="shared" si="20"/>
        <v>0</v>
      </c>
      <c r="I36" s="1243">
        <f t="shared" si="20"/>
        <v>0</v>
      </c>
      <c r="J36" s="1243">
        <f t="shared" si="20"/>
        <v>0</v>
      </c>
      <c r="K36" s="1243">
        <f t="shared" si="20"/>
        <v>0</v>
      </c>
      <c r="L36" s="1243">
        <f t="shared" si="20"/>
        <v>0</v>
      </c>
      <c r="M36" s="1243">
        <f t="shared" si="20"/>
        <v>0</v>
      </c>
      <c r="N36" s="1243">
        <f t="shared" si="20"/>
        <v>0</v>
      </c>
      <c r="O36" s="1243">
        <f t="shared" si="20"/>
        <v>0</v>
      </c>
      <c r="P36" s="1243">
        <f t="shared" si="20"/>
        <v>0</v>
      </c>
      <c r="Q36" s="1244">
        <f t="shared" si="20"/>
        <v>0</v>
      </c>
      <c r="R36" s="188">
        <f t="shared" si="10"/>
        <v>0</v>
      </c>
      <c r="S36" s="1249">
        <f t="shared" si="7"/>
        <v>0</v>
      </c>
      <c r="T36" s="186">
        <f t="shared" si="8"/>
        <v>0</v>
      </c>
      <c r="U36" s="189"/>
    </row>
    <row r="37" spans="1:21" x14ac:dyDescent="0.2">
      <c r="A37" s="108"/>
      <c r="B37" s="181" t="s">
        <v>677</v>
      </c>
      <c r="C37" s="190" t="s">
        <v>436</v>
      </c>
      <c r="D37" s="184" t="s">
        <v>698</v>
      </c>
      <c r="E37" s="184" t="s">
        <v>664</v>
      </c>
      <c r="F37" s="1243">
        <f t="shared" ref="F37:Q37" si="21">((F15/100)*$S$15)*$T$2</f>
        <v>0</v>
      </c>
      <c r="G37" s="1243">
        <f t="shared" si="21"/>
        <v>0</v>
      </c>
      <c r="H37" s="1243">
        <f t="shared" si="21"/>
        <v>0</v>
      </c>
      <c r="I37" s="1243">
        <f t="shared" si="21"/>
        <v>0</v>
      </c>
      <c r="J37" s="1243">
        <f t="shared" si="21"/>
        <v>0</v>
      </c>
      <c r="K37" s="1243">
        <f t="shared" si="21"/>
        <v>0</v>
      </c>
      <c r="L37" s="1243">
        <f t="shared" si="21"/>
        <v>0</v>
      </c>
      <c r="M37" s="1243">
        <f t="shared" si="21"/>
        <v>0</v>
      </c>
      <c r="N37" s="1243">
        <f t="shared" si="21"/>
        <v>0</v>
      </c>
      <c r="O37" s="1243">
        <f t="shared" si="21"/>
        <v>0</v>
      </c>
      <c r="P37" s="1243">
        <f t="shared" si="21"/>
        <v>0</v>
      </c>
      <c r="Q37" s="1244">
        <f t="shared" si="21"/>
        <v>0</v>
      </c>
      <c r="R37" s="188">
        <f t="shared" si="10"/>
        <v>0</v>
      </c>
      <c r="S37" s="1249">
        <f t="shared" si="7"/>
        <v>0</v>
      </c>
      <c r="T37" s="186">
        <f t="shared" si="8"/>
        <v>0</v>
      </c>
    </row>
    <row r="38" spans="1:21" x14ac:dyDescent="0.2">
      <c r="A38" s="108"/>
      <c r="B38" s="181" t="s">
        <v>678</v>
      </c>
      <c r="C38" s="191"/>
      <c r="D38" s="184" t="s">
        <v>666</v>
      </c>
      <c r="E38" s="184" t="s">
        <v>664</v>
      </c>
      <c r="F38" s="1243">
        <f t="shared" ref="F38:Q38" si="22">((F15/100)*$S$15)*$T$3</f>
        <v>0</v>
      </c>
      <c r="G38" s="1243">
        <f t="shared" si="22"/>
        <v>0</v>
      </c>
      <c r="H38" s="1243">
        <f t="shared" si="22"/>
        <v>0</v>
      </c>
      <c r="I38" s="1243">
        <f t="shared" si="22"/>
        <v>0</v>
      </c>
      <c r="J38" s="1243">
        <f t="shared" si="22"/>
        <v>0</v>
      </c>
      <c r="K38" s="1243">
        <f t="shared" si="22"/>
        <v>0</v>
      </c>
      <c r="L38" s="1243">
        <f t="shared" si="22"/>
        <v>0</v>
      </c>
      <c r="M38" s="1243">
        <f t="shared" si="22"/>
        <v>0</v>
      </c>
      <c r="N38" s="1243">
        <f t="shared" si="22"/>
        <v>0</v>
      </c>
      <c r="O38" s="1243">
        <f t="shared" si="22"/>
        <v>0</v>
      </c>
      <c r="P38" s="1243">
        <f t="shared" si="22"/>
        <v>0</v>
      </c>
      <c r="Q38" s="1244">
        <f t="shared" si="22"/>
        <v>0</v>
      </c>
      <c r="R38" s="188">
        <f t="shared" si="10"/>
        <v>0</v>
      </c>
      <c r="S38" s="1249">
        <f t="shared" si="7"/>
        <v>0</v>
      </c>
      <c r="T38" s="186">
        <f t="shared" si="8"/>
        <v>0</v>
      </c>
      <c r="U38" s="189"/>
    </row>
    <row r="39" spans="1:21" x14ac:dyDescent="0.2">
      <c r="A39" s="108"/>
      <c r="B39" s="181" t="s">
        <v>679</v>
      </c>
      <c r="C39" s="190" t="s">
        <v>438</v>
      </c>
      <c r="D39" s="184" t="s">
        <v>698</v>
      </c>
      <c r="E39" s="184" t="s">
        <v>664</v>
      </c>
      <c r="F39" s="1243">
        <f t="shared" ref="F39:Q39" si="23">((F16/100)*$S$16)*$T$2</f>
        <v>0</v>
      </c>
      <c r="G39" s="1243">
        <f t="shared" si="23"/>
        <v>0</v>
      </c>
      <c r="H39" s="1243">
        <f t="shared" si="23"/>
        <v>0</v>
      </c>
      <c r="I39" s="1243">
        <f t="shared" si="23"/>
        <v>0</v>
      </c>
      <c r="J39" s="1243">
        <f t="shared" si="23"/>
        <v>0</v>
      </c>
      <c r="K39" s="1243">
        <f t="shared" si="23"/>
        <v>0</v>
      </c>
      <c r="L39" s="1243">
        <f t="shared" si="23"/>
        <v>0</v>
      </c>
      <c r="M39" s="1243">
        <f t="shared" si="23"/>
        <v>0</v>
      </c>
      <c r="N39" s="1243">
        <f t="shared" si="23"/>
        <v>0</v>
      </c>
      <c r="O39" s="1243">
        <f t="shared" si="23"/>
        <v>0</v>
      </c>
      <c r="P39" s="1243">
        <f t="shared" si="23"/>
        <v>0</v>
      </c>
      <c r="Q39" s="1244">
        <f t="shared" si="23"/>
        <v>0</v>
      </c>
      <c r="R39" s="188">
        <f t="shared" si="10"/>
        <v>0</v>
      </c>
      <c r="S39" s="1249">
        <f t="shared" si="7"/>
        <v>0</v>
      </c>
      <c r="T39" s="186">
        <f t="shared" si="8"/>
        <v>0</v>
      </c>
    </row>
    <row r="40" spans="1:21" x14ac:dyDescent="0.2">
      <c r="A40" s="108"/>
      <c r="B40" s="181" t="s">
        <v>680</v>
      </c>
      <c r="C40" s="191"/>
      <c r="D40" s="184" t="s">
        <v>666</v>
      </c>
      <c r="E40" s="184" t="s">
        <v>664</v>
      </c>
      <c r="F40" s="1243">
        <f t="shared" ref="F40:Q40" si="24">((F16/100)*$S$16)*$T$3</f>
        <v>0</v>
      </c>
      <c r="G40" s="1243">
        <f t="shared" si="24"/>
        <v>0</v>
      </c>
      <c r="H40" s="1243">
        <f t="shared" si="24"/>
        <v>0</v>
      </c>
      <c r="I40" s="1243">
        <f t="shared" si="24"/>
        <v>0</v>
      </c>
      <c r="J40" s="1243">
        <f t="shared" si="24"/>
        <v>0</v>
      </c>
      <c r="K40" s="1243">
        <f t="shared" si="24"/>
        <v>0</v>
      </c>
      <c r="L40" s="1243">
        <f t="shared" si="24"/>
        <v>0</v>
      </c>
      <c r="M40" s="1243">
        <f t="shared" si="24"/>
        <v>0</v>
      </c>
      <c r="N40" s="1243">
        <f t="shared" si="24"/>
        <v>0</v>
      </c>
      <c r="O40" s="1243">
        <f t="shared" si="24"/>
        <v>0</v>
      </c>
      <c r="P40" s="1243">
        <f t="shared" si="24"/>
        <v>0</v>
      </c>
      <c r="Q40" s="1244">
        <f t="shared" si="24"/>
        <v>0</v>
      </c>
      <c r="R40" s="188">
        <f t="shared" si="10"/>
        <v>0</v>
      </c>
      <c r="S40" s="1249">
        <f t="shared" si="7"/>
        <v>0</v>
      </c>
      <c r="T40" s="186">
        <f t="shared" si="8"/>
        <v>0</v>
      </c>
      <c r="U40" s="189"/>
    </row>
    <row r="41" spans="1:21" x14ac:dyDescent="0.2">
      <c r="A41" s="108"/>
      <c r="B41" s="181" t="s">
        <v>681</v>
      </c>
      <c r="C41" s="190" t="s">
        <v>440</v>
      </c>
      <c r="D41" s="184" t="s">
        <v>698</v>
      </c>
      <c r="E41" s="184" t="s">
        <v>664</v>
      </c>
      <c r="F41" s="1243">
        <f t="shared" ref="F41:Q41" si="25">((F17/100)*$S$17)*$T$2</f>
        <v>0</v>
      </c>
      <c r="G41" s="1243">
        <f t="shared" si="25"/>
        <v>0</v>
      </c>
      <c r="H41" s="1243">
        <f t="shared" si="25"/>
        <v>0</v>
      </c>
      <c r="I41" s="1243">
        <f t="shared" si="25"/>
        <v>0</v>
      </c>
      <c r="J41" s="1243">
        <f t="shared" si="25"/>
        <v>0</v>
      </c>
      <c r="K41" s="1243">
        <f t="shared" si="25"/>
        <v>0</v>
      </c>
      <c r="L41" s="1243">
        <f t="shared" si="25"/>
        <v>0</v>
      </c>
      <c r="M41" s="1243">
        <f t="shared" si="25"/>
        <v>0</v>
      </c>
      <c r="N41" s="1243">
        <f t="shared" si="25"/>
        <v>0</v>
      </c>
      <c r="O41" s="1243">
        <f t="shared" si="25"/>
        <v>0</v>
      </c>
      <c r="P41" s="1243">
        <f t="shared" si="25"/>
        <v>0</v>
      </c>
      <c r="Q41" s="1244">
        <f t="shared" si="25"/>
        <v>0</v>
      </c>
      <c r="R41" s="188">
        <f t="shared" si="10"/>
        <v>0</v>
      </c>
      <c r="S41" s="1249">
        <f t="shared" si="7"/>
        <v>0</v>
      </c>
      <c r="T41" s="186">
        <f t="shared" si="8"/>
        <v>0</v>
      </c>
    </row>
    <row r="42" spans="1:21" x14ac:dyDescent="0.2">
      <c r="A42" s="108"/>
      <c r="B42" s="181" t="s">
        <v>682</v>
      </c>
      <c r="C42" s="191"/>
      <c r="D42" s="184" t="s">
        <v>666</v>
      </c>
      <c r="E42" s="184" t="s">
        <v>664</v>
      </c>
      <c r="F42" s="1243">
        <f t="shared" ref="F42:Q42" si="26">((F17/100)*$S$17)*$T$3</f>
        <v>0</v>
      </c>
      <c r="G42" s="1243">
        <f t="shared" si="26"/>
        <v>0</v>
      </c>
      <c r="H42" s="1243">
        <f t="shared" si="26"/>
        <v>0</v>
      </c>
      <c r="I42" s="1243">
        <f t="shared" si="26"/>
        <v>0</v>
      </c>
      <c r="J42" s="1243">
        <f t="shared" si="26"/>
        <v>0</v>
      </c>
      <c r="K42" s="1243">
        <f t="shared" si="26"/>
        <v>0</v>
      </c>
      <c r="L42" s="1243">
        <f t="shared" si="26"/>
        <v>0</v>
      </c>
      <c r="M42" s="1243">
        <f t="shared" si="26"/>
        <v>0</v>
      </c>
      <c r="N42" s="1243">
        <f t="shared" si="26"/>
        <v>0</v>
      </c>
      <c r="O42" s="1243">
        <f t="shared" si="26"/>
        <v>0</v>
      </c>
      <c r="P42" s="1243">
        <f t="shared" si="26"/>
        <v>0</v>
      </c>
      <c r="Q42" s="1244">
        <f t="shared" si="26"/>
        <v>0</v>
      </c>
      <c r="R42" s="188">
        <f t="shared" si="10"/>
        <v>0</v>
      </c>
      <c r="S42" s="1249">
        <f t="shared" si="7"/>
        <v>0</v>
      </c>
      <c r="T42" s="186">
        <f t="shared" si="8"/>
        <v>0</v>
      </c>
      <c r="U42" s="189"/>
    </row>
    <row r="43" spans="1:21" x14ac:dyDescent="0.2">
      <c r="A43" s="108"/>
      <c r="B43" s="181" t="s">
        <v>683</v>
      </c>
      <c r="C43" s="190" t="s">
        <v>431</v>
      </c>
      <c r="D43" s="184" t="s">
        <v>698</v>
      </c>
      <c r="E43" s="184" t="s">
        <v>664</v>
      </c>
      <c r="F43" s="1243">
        <f t="shared" ref="F43:Q43" si="27">((F18/100)*$S$18)*$T$2</f>
        <v>0</v>
      </c>
      <c r="G43" s="1243">
        <f t="shared" si="27"/>
        <v>0</v>
      </c>
      <c r="H43" s="1243">
        <f t="shared" si="27"/>
        <v>0</v>
      </c>
      <c r="I43" s="1243">
        <f t="shared" si="27"/>
        <v>0</v>
      </c>
      <c r="J43" s="1243">
        <f t="shared" si="27"/>
        <v>0</v>
      </c>
      <c r="K43" s="1243">
        <f t="shared" si="27"/>
        <v>0</v>
      </c>
      <c r="L43" s="1243">
        <f t="shared" si="27"/>
        <v>0</v>
      </c>
      <c r="M43" s="1243">
        <f t="shared" si="27"/>
        <v>0</v>
      </c>
      <c r="N43" s="1243">
        <f t="shared" si="27"/>
        <v>0</v>
      </c>
      <c r="O43" s="1243">
        <f t="shared" si="27"/>
        <v>0</v>
      </c>
      <c r="P43" s="1243">
        <f t="shared" si="27"/>
        <v>0</v>
      </c>
      <c r="Q43" s="1244">
        <f t="shared" si="27"/>
        <v>0</v>
      </c>
      <c r="R43" s="188">
        <f t="shared" si="10"/>
        <v>0</v>
      </c>
      <c r="S43" s="1249">
        <f t="shared" si="7"/>
        <v>0</v>
      </c>
      <c r="T43" s="186">
        <f t="shared" si="8"/>
        <v>0</v>
      </c>
    </row>
    <row r="44" spans="1:21" x14ac:dyDescent="0.2">
      <c r="A44" s="108"/>
      <c r="B44" s="181" t="s">
        <v>684</v>
      </c>
      <c r="C44" s="191"/>
      <c r="D44" s="184" t="s">
        <v>666</v>
      </c>
      <c r="E44" s="184" t="s">
        <v>664</v>
      </c>
      <c r="F44" s="1243">
        <f t="shared" ref="F44:Q44" si="28">((F18/100)*$S$18)*$T$3</f>
        <v>0</v>
      </c>
      <c r="G44" s="1243">
        <f t="shared" si="28"/>
        <v>0</v>
      </c>
      <c r="H44" s="1243">
        <f t="shared" si="28"/>
        <v>0</v>
      </c>
      <c r="I44" s="1243">
        <f t="shared" si="28"/>
        <v>0</v>
      </c>
      <c r="J44" s="1243">
        <f t="shared" si="28"/>
        <v>0</v>
      </c>
      <c r="K44" s="1243">
        <f t="shared" si="28"/>
        <v>0</v>
      </c>
      <c r="L44" s="1243">
        <f t="shared" si="28"/>
        <v>0</v>
      </c>
      <c r="M44" s="1243">
        <f t="shared" si="28"/>
        <v>0</v>
      </c>
      <c r="N44" s="1243">
        <f t="shared" si="28"/>
        <v>0</v>
      </c>
      <c r="O44" s="1243">
        <f t="shared" si="28"/>
        <v>0</v>
      </c>
      <c r="P44" s="1243">
        <f t="shared" si="28"/>
        <v>0</v>
      </c>
      <c r="Q44" s="1244">
        <f t="shared" si="28"/>
        <v>0</v>
      </c>
      <c r="R44" s="188">
        <f t="shared" si="10"/>
        <v>0</v>
      </c>
      <c r="S44" s="1249">
        <f t="shared" si="7"/>
        <v>0</v>
      </c>
      <c r="T44" s="186">
        <f t="shared" si="8"/>
        <v>0</v>
      </c>
      <c r="U44" s="189"/>
    </row>
    <row r="45" spans="1:21" x14ac:dyDescent="0.2">
      <c r="A45" s="108"/>
      <c r="B45" s="181" t="s">
        <v>685</v>
      </c>
      <c r="C45" s="190" t="s">
        <v>525</v>
      </c>
      <c r="D45" s="184" t="s">
        <v>698</v>
      </c>
      <c r="E45" s="184" t="s">
        <v>664</v>
      </c>
      <c r="F45" s="1243">
        <f t="shared" ref="F45:Q45" si="29">((F19/100)*$S$19)*$T$2</f>
        <v>0</v>
      </c>
      <c r="G45" s="1243">
        <f t="shared" si="29"/>
        <v>0</v>
      </c>
      <c r="H45" s="1243">
        <f t="shared" si="29"/>
        <v>0</v>
      </c>
      <c r="I45" s="1243">
        <f t="shared" si="29"/>
        <v>0</v>
      </c>
      <c r="J45" s="1243">
        <f t="shared" si="29"/>
        <v>0</v>
      </c>
      <c r="K45" s="1243">
        <f t="shared" si="29"/>
        <v>0</v>
      </c>
      <c r="L45" s="1243">
        <f t="shared" si="29"/>
        <v>0</v>
      </c>
      <c r="M45" s="1243">
        <f t="shared" si="29"/>
        <v>0</v>
      </c>
      <c r="N45" s="1243">
        <f t="shared" si="29"/>
        <v>0</v>
      </c>
      <c r="O45" s="1243">
        <f t="shared" si="29"/>
        <v>0</v>
      </c>
      <c r="P45" s="1243">
        <f t="shared" si="29"/>
        <v>0</v>
      </c>
      <c r="Q45" s="1244">
        <f t="shared" si="29"/>
        <v>0</v>
      </c>
      <c r="R45" s="188">
        <f t="shared" si="10"/>
        <v>0</v>
      </c>
      <c r="S45" s="1249">
        <f t="shared" si="7"/>
        <v>0</v>
      </c>
      <c r="T45" s="186">
        <f t="shared" si="8"/>
        <v>0</v>
      </c>
    </row>
    <row r="46" spans="1:21" x14ac:dyDescent="0.2">
      <c r="A46" s="108"/>
      <c r="B46" s="181" t="s">
        <v>686</v>
      </c>
      <c r="C46" s="191"/>
      <c r="D46" s="184" t="s">
        <v>666</v>
      </c>
      <c r="E46" s="184" t="s">
        <v>664</v>
      </c>
      <c r="F46" s="1243">
        <f t="shared" ref="F46:Q46" si="30">((F19/100)*$S$19)*$T$3</f>
        <v>0</v>
      </c>
      <c r="G46" s="1243">
        <f t="shared" si="30"/>
        <v>0</v>
      </c>
      <c r="H46" s="1243">
        <f t="shared" si="30"/>
        <v>0</v>
      </c>
      <c r="I46" s="1243">
        <f t="shared" si="30"/>
        <v>0</v>
      </c>
      <c r="J46" s="1243">
        <f t="shared" si="30"/>
        <v>0</v>
      </c>
      <c r="K46" s="1243">
        <f t="shared" si="30"/>
        <v>0</v>
      </c>
      <c r="L46" s="1243">
        <f t="shared" si="30"/>
        <v>0</v>
      </c>
      <c r="M46" s="1243">
        <f t="shared" si="30"/>
        <v>0</v>
      </c>
      <c r="N46" s="1243">
        <f t="shared" si="30"/>
        <v>0</v>
      </c>
      <c r="O46" s="1243">
        <f t="shared" si="30"/>
        <v>0</v>
      </c>
      <c r="P46" s="1243">
        <f t="shared" si="30"/>
        <v>0</v>
      </c>
      <c r="Q46" s="1244">
        <f t="shared" si="30"/>
        <v>0</v>
      </c>
      <c r="R46" s="188">
        <f t="shared" si="10"/>
        <v>0</v>
      </c>
      <c r="S46" s="1249">
        <f t="shared" si="7"/>
        <v>0</v>
      </c>
      <c r="T46" s="186">
        <f t="shared" si="8"/>
        <v>0</v>
      </c>
      <c r="U46" s="189"/>
    </row>
    <row r="47" spans="1:21" x14ac:dyDescent="0.2">
      <c r="A47" s="108"/>
      <c r="B47" s="192"/>
      <c r="C47" s="193"/>
      <c r="D47" s="193"/>
      <c r="E47" s="193"/>
      <c r="F47" s="1245"/>
      <c r="G47" s="1245"/>
      <c r="H47" s="1245"/>
      <c r="I47" s="1245"/>
      <c r="J47" s="1245"/>
      <c r="K47" s="1245"/>
      <c r="L47" s="1245"/>
      <c r="M47" s="1245"/>
      <c r="N47" s="1245"/>
      <c r="O47" s="1245"/>
      <c r="P47" s="1245"/>
      <c r="Q47" s="1246"/>
      <c r="R47" s="194"/>
      <c r="S47" s="1245"/>
      <c r="T47" s="196"/>
    </row>
    <row r="48" spans="1:21" x14ac:dyDescent="0.2">
      <c r="A48" s="108"/>
      <c r="B48" s="181" t="s">
        <v>687</v>
      </c>
      <c r="C48" s="190" t="s">
        <v>657</v>
      </c>
      <c r="D48" s="187" t="s">
        <v>698</v>
      </c>
      <c r="E48" s="187" t="s">
        <v>664</v>
      </c>
      <c r="F48" s="1247">
        <f t="shared" ref="F48:Q48" si="31">SUMIF($D$25:$D$46,"FINANCIAMENTO",F$25:F$46)</f>
        <v>0</v>
      </c>
      <c r="G48" s="1247">
        <f t="shared" si="31"/>
        <v>0</v>
      </c>
      <c r="H48" s="1247">
        <f t="shared" si="31"/>
        <v>0</v>
      </c>
      <c r="I48" s="1247">
        <f t="shared" si="31"/>
        <v>0</v>
      </c>
      <c r="J48" s="1247">
        <f t="shared" si="31"/>
        <v>0</v>
      </c>
      <c r="K48" s="1247">
        <f t="shared" si="31"/>
        <v>0</v>
      </c>
      <c r="L48" s="1247">
        <f t="shared" si="31"/>
        <v>0</v>
      </c>
      <c r="M48" s="1247">
        <f t="shared" si="31"/>
        <v>0</v>
      </c>
      <c r="N48" s="1247">
        <f t="shared" si="31"/>
        <v>0</v>
      </c>
      <c r="O48" s="1247">
        <f t="shared" si="31"/>
        <v>0</v>
      </c>
      <c r="P48" s="1247">
        <f t="shared" si="31"/>
        <v>0</v>
      </c>
      <c r="Q48" s="1248">
        <f t="shared" si="31"/>
        <v>0</v>
      </c>
      <c r="R48" s="197"/>
      <c r="S48" s="1250">
        <f>SUMIF($D$25:$D$46,"FINANCIAMENTO",S$25:S$46)</f>
        <v>0</v>
      </c>
      <c r="T48" s="198">
        <f>SUMIF($D$25:$D$46,"FINANCIAMENTO",T$25:T$46)</f>
        <v>0</v>
      </c>
    </row>
    <row r="49" spans="1:20" x14ac:dyDescent="0.2">
      <c r="A49" s="108"/>
      <c r="B49" s="181" t="s">
        <v>688</v>
      </c>
      <c r="C49" s="191"/>
      <c r="D49" s="199" t="s">
        <v>666</v>
      </c>
      <c r="E49" s="199" t="s">
        <v>664</v>
      </c>
      <c r="F49" s="1247">
        <f t="shared" ref="F49:T49" si="32">SUMIF($D$25:$D$46,"CONTRAPARTIDA",F$25:F$46)</f>
        <v>0</v>
      </c>
      <c r="G49" s="1247">
        <f t="shared" si="32"/>
        <v>0</v>
      </c>
      <c r="H49" s="1247">
        <f t="shared" si="32"/>
        <v>0</v>
      </c>
      <c r="I49" s="1247">
        <f t="shared" si="32"/>
        <v>0</v>
      </c>
      <c r="J49" s="1247">
        <f t="shared" si="32"/>
        <v>0</v>
      </c>
      <c r="K49" s="1247">
        <f t="shared" si="32"/>
        <v>0</v>
      </c>
      <c r="L49" s="1247">
        <f t="shared" si="32"/>
        <v>0</v>
      </c>
      <c r="M49" s="1247">
        <f t="shared" si="32"/>
        <v>0</v>
      </c>
      <c r="N49" s="1247">
        <f t="shared" si="32"/>
        <v>0</v>
      </c>
      <c r="O49" s="1247">
        <f t="shared" si="32"/>
        <v>0</v>
      </c>
      <c r="P49" s="1247">
        <f t="shared" si="32"/>
        <v>0</v>
      </c>
      <c r="Q49" s="1248">
        <f t="shared" si="32"/>
        <v>0</v>
      </c>
      <c r="R49" s="200"/>
      <c r="S49" s="1250">
        <f t="shared" si="32"/>
        <v>0</v>
      </c>
      <c r="T49" s="198">
        <f t="shared" si="32"/>
        <v>0</v>
      </c>
    </row>
    <row r="50" spans="1:20" x14ac:dyDescent="0.2">
      <c r="A50" s="108"/>
      <c r="B50" s="201"/>
      <c r="C50" s="193"/>
      <c r="D50" s="193"/>
      <c r="E50" s="193"/>
      <c r="F50" s="1245"/>
      <c r="G50" s="1245"/>
      <c r="H50" s="1245"/>
      <c r="I50" s="1245"/>
      <c r="J50" s="1245"/>
      <c r="K50" s="1245"/>
      <c r="L50" s="1245"/>
      <c r="M50" s="1245"/>
      <c r="N50" s="1245"/>
      <c r="O50" s="1245"/>
      <c r="P50" s="1245"/>
      <c r="Q50" s="1246"/>
      <c r="R50" s="194"/>
      <c r="S50" s="1251"/>
      <c r="T50" s="202"/>
    </row>
    <row r="51" spans="1:20" ht="15" customHeight="1" thickBot="1" x14ac:dyDescent="0.25">
      <c r="A51" s="108"/>
      <c r="B51" s="203" t="s">
        <v>689</v>
      </c>
      <c r="C51" s="204"/>
      <c r="D51" s="204"/>
      <c r="E51" s="205" t="s">
        <v>664</v>
      </c>
      <c r="F51" s="1253">
        <f t="shared" ref="F51:Q51" si="33">SUM(F48:F49)</f>
        <v>0</v>
      </c>
      <c r="G51" s="1253">
        <f t="shared" si="33"/>
        <v>0</v>
      </c>
      <c r="H51" s="1253">
        <f t="shared" si="33"/>
        <v>0</v>
      </c>
      <c r="I51" s="1253">
        <f t="shared" si="33"/>
        <v>0</v>
      </c>
      <c r="J51" s="1253">
        <f t="shared" si="33"/>
        <v>0</v>
      </c>
      <c r="K51" s="1253">
        <f t="shared" si="33"/>
        <v>0</v>
      </c>
      <c r="L51" s="1254">
        <f t="shared" si="33"/>
        <v>0</v>
      </c>
      <c r="M51" s="1254">
        <f t="shared" si="33"/>
        <v>0</v>
      </c>
      <c r="N51" s="1254">
        <f t="shared" si="33"/>
        <v>0</v>
      </c>
      <c r="O51" s="1254">
        <f t="shared" si="33"/>
        <v>0</v>
      </c>
      <c r="P51" s="1254">
        <f t="shared" si="33"/>
        <v>0</v>
      </c>
      <c r="Q51" s="1255">
        <f t="shared" si="33"/>
        <v>0</v>
      </c>
      <c r="R51" s="206"/>
      <c r="S51" s="1252">
        <f>SUM(F51:Q51)</f>
        <v>0</v>
      </c>
      <c r="T51" s="207">
        <f>SUM(T48:T49)</f>
        <v>0</v>
      </c>
    </row>
    <row r="52" spans="1:20" ht="15" customHeight="1" thickTop="1" thickBot="1" x14ac:dyDescent="0.25">
      <c r="A52" s="108"/>
      <c r="B52" s="208" t="s">
        <v>690</v>
      </c>
      <c r="C52" s="209"/>
      <c r="D52" s="209"/>
      <c r="E52" s="210" t="s">
        <v>664</v>
      </c>
      <c r="F52" s="211">
        <f t="shared" ref="F52:Q52" si="34">IF($S$51=0,0,F51/$S$51)</f>
        <v>0</v>
      </c>
      <c r="G52" s="211">
        <f t="shared" si="34"/>
        <v>0</v>
      </c>
      <c r="H52" s="211">
        <f t="shared" si="34"/>
        <v>0</v>
      </c>
      <c r="I52" s="211">
        <f t="shared" si="34"/>
        <v>0</v>
      </c>
      <c r="J52" s="211">
        <f t="shared" si="34"/>
        <v>0</v>
      </c>
      <c r="K52" s="211">
        <f t="shared" si="34"/>
        <v>0</v>
      </c>
      <c r="L52" s="211">
        <f t="shared" si="34"/>
        <v>0</v>
      </c>
      <c r="M52" s="211">
        <f t="shared" si="34"/>
        <v>0</v>
      </c>
      <c r="N52" s="211">
        <f t="shared" si="34"/>
        <v>0</v>
      </c>
      <c r="O52" s="211">
        <f t="shared" si="34"/>
        <v>0</v>
      </c>
      <c r="P52" s="211">
        <f t="shared" si="34"/>
        <v>0</v>
      </c>
      <c r="Q52" s="212">
        <f t="shared" si="34"/>
        <v>0</v>
      </c>
      <c r="R52" s="213"/>
      <c r="S52" s="1252">
        <f>S48+S49</f>
        <v>0</v>
      </c>
      <c r="T52" s="214">
        <f>SUM(F52:Q52)</f>
        <v>0</v>
      </c>
    </row>
    <row r="53" spans="1:20" ht="15" customHeight="1" thickTop="1" thickBot="1" x14ac:dyDescent="0.25">
      <c r="A53" s="108"/>
      <c r="B53" s="215" t="s">
        <v>691</v>
      </c>
      <c r="C53" s="216"/>
      <c r="D53" s="216"/>
      <c r="E53" s="217" t="s">
        <v>664</v>
      </c>
      <c r="F53" s="218">
        <f>F52</f>
        <v>0</v>
      </c>
      <c r="G53" s="218">
        <f>IF(G51=0,0,F53+G52)</f>
        <v>0</v>
      </c>
      <c r="H53" s="218">
        <f>IF(H51=0,0,G53+H52)</f>
        <v>0</v>
      </c>
      <c r="I53" s="218">
        <f>IF(I51=0,0,H53+I52)</f>
        <v>0</v>
      </c>
      <c r="J53" s="218">
        <f t="shared" ref="J53:Q53" si="35">IF(J51=0,0,I53+J52)</f>
        <v>0</v>
      </c>
      <c r="K53" s="218">
        <f t="shared" si="35"/>
        <v>0</v>
      </c>
      <c r="L53" s="218">
        <f t="shared" si="35"/>
        <v>0</v>
      </c>
      <c r="M53" s="218">
        <f t="shared" si="35"/>
        <v>0</v>
      </c>
      <c r="N53" s="218">
        <f t="shared" si="35"/>
        <v>0</v>
      </c>
      <c r="O53" s="218">
        <f t="shared" si="35"/>
        <v>0</v>
      </c>
      <c r="P53" s="218">
        <f t="shared" si="35"/>
        <v>0</v>
      </c>
      <c r="Q53" s="219">
        <f t="shared" si="35"/>
        <v>0</v>
      </c>
      <c r="R53" s="220"/>
      <c r="S53" s="690" t="str">
        <f>IF(S51=S52,"OK","CORRIGIR")</f>
        <v>OK</v>
      </c>
      <c r="T53" s="691" t="str">
        <f>IF(T51=T52,"OK","CORRIGIR")</f>
        <v>OK</v>
      </c>
    </row>
    <row r="54" spans="1:20" ht="15" customHeight="1" x14ac:dyDescent="0.2">
      <c r="A54" s="108"/>
      <c r="B54" s="221" t="s">
        <v>692</v>
      </c>
      <c r="C54" s="222"/>
      <c r="D54" s="223"/>
      <c r="E54" s="224"/>
      <c r="F54" s="222" t="s">
        <v>693</v>
      </c>
      <c r="G54" s="225"/>
      <c r="H54" s="225"/>
      <c r="I54" s="226"/>
      <c r="J54" s="672" t="s">
        <v>694</v>
      </c>
      <c r="K54" s="673"/>
      <c r="L54" s="673"/>
      <c r="M54" s="674"/>
      <c r="N54" s="675" t="s">
        <v>693</v>
      </c>
      <c r="O54" s="676"/>
      <c r="P54" s="677"/>
      <c r="Q54" s="222" t="s">
        <v>695</v>
      </c>
      <c r="R54" s="227"/>
      <c r="S54" s="227"/>
      <c r="T54" s="228"/>
    </row>
    <row r="55" spans="1:20" ht="60" customHeight="1" thickBot="1" x14ac:dyDescent="0.25">
      <c r="A55" s="108"/>
      <c r="B55" s="229"/>
      <c r="C55" s="230"/>
      <c r="D55" s="231"/>
      <c r="E55" s="232"/>
      <c r="F55" s="232"/>
      <c r="G55" s="233"/>
      <c r="H55" s="232"/>
      <c r="I55" s="234"/>
      <c r="J55" s="678"/>
      <c r="K55" s="679"/>
      <c r="L55" s="680"/>
      <c r="M55" s="681"/>
      <c r="N55" s="682"/>
      <c r="O55" s="683"/>
      <c r="P55" s="684"/>
      <c r="Q55" s="235"/>
      <c r="R55" s="236"/>
      <c r="S55" s="236"/>
      <c r="T55" s="237"/>
    </row>
    <row r="56" spans="1:20" ht="18" customHeight="1" thickBot="1" x14ac:dyDescent="0.25">
      <c r="B56" s="1224" t="str">
        <f>GLOBAL_DER_FEV_2023!$O$15</f>
        <v>Tabela Referência: DER/PR de FEVEREIRO/2023 sem desoneração</v>
      </c>
      <c r="C56" s="1225"/>
      <c r="D56" s="1225"/>
      <c r="E56" s="1225"/>
      <c r="F56" s="1225"/>
      <c r="G56" s="1225"/>
      <c r="H56" s="1225"/>
      <c r="I56" s="1225"/>
      <c r="J56" s="1225"/>
      <c r="K56" s="1225"/>
      <c r="L56" s="1225"/>
      <c r="M56" s="1225"/>
      <c r="N56" s="1225"/>
      <c r="O56" s="1225"/>
      <c r="P56" s="1225"/>
      <c r="Q56" s="1225"/>
      <c r="R56" s="1226" t="str">
        <f>GLOBAL_DER_FEV_2023!$N$16</f>
        <v xml:space="preserve">Data Base da aprovação do Orçamento (Decreto 10.086/22 do Paraná, que regulamenta a Lei 14.133/21): </v>
      </c>
      <c r="S56" s="1240">
        <f>GLOBAL_DER_FEV_2023!$O$16</f>
        <v>45030</v>
      </c>
      <c r="T56" s="1239"/>
    </row>
  </sheetData>
  <sheetProtection algorithmName="SHA-512" hashValue="IB1NSHA0ZqYUB+S4GOHFM4xpMU49xbAYuTjLtFGS3qv+uZXnEiESBGAfpcXUgJd9E5zQn0+H+iUygc6aV9MfiA==" saltValue="EEsOgewaJWCkcv4Hgtoxcg==" spinCount="100000" sheet="1" objects="1" scenarios="1" formatColumns="0" formatRows="0" autoFilter="0"/>
  <printOptions horizontalCentered="1"/>
  <pageMargins left="1.1811023622047245" right="0.78740157480314965" top="1.1811023622047245" bottom="1.1811023622047245" header="0.51181102362204722" footer="0.51181102362204722"/>
  <pageSetup paperSize="8" scale="89" orientation="landscape" r:id="rId1"/>
  <headerFooter alignWithMargins="0"/>
  <ignoredErrors>
    <ignoredError sqref="B10:B19" numberStoredAsText="1"/>
    <ignoredError sqref="Q25:Q53 S3:T3 X5 I3 K3 T2" unlockedFormula="1"/>
    <ignoredError sqref="W9 W10:W17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rgb="FF66FFFF"/>
    <pageSetUpPr fitToPage="1"/>
  </sheetPr>
  <dimension ref="A1:X56"/>
  <sheetViews>
    <sheetView topLeftCell="B1" workbookViewId="0">
      <selection activeCell="G42" sqref="G42"/>
    </sheetView>
  </sheetViews>
  <sheetFormatPr defaultColWidth="10.6640625" defaultRowHeight="12.75" x14ac:dyDescent="0.2"/>
  <cols>
    <col min="1" max="1" width="5" style="82" hidden="1" customWidth="1"/>
    <col min="2" max="2" width="15.33203125" style="82" customWidth="1"/>
    <col min="3" max="3" width="26.1640625" style="82" customWidth="1"/>
    <col min="4" max="4" width="17.6640625" style="82" customWidth="1"/>
    <col min="5" max="5" width="3.83203125" style="82" customWidth="1"/>
    <col min="6" max="8" width="12.5" style="82" customWidth="1"/>
    <col min="9" max="9" width="13" style="82" customWidth="1"/>
    <col min="10" max="12" width="12.5" style="82" customWidth="1"/>
    <col min="13" max="13" width="13.6640625" style="82" customWidth="1"/>
    <col min="14" max="15" width="12.5" style="82" customWidth="1"/>
    <col min="16" max="17" width="13.83203125" style="82" customWidth="1"/>
    <col min="18" max="18" width="8.33203125" style="82" bestFit="1" customWidth="1"/>
    <col min="19" max="19" width="18.6640625" style="82" customWidth="1"/>
    <col min="20" max="20" width="11.1640625" style="82" customWidth="1"/>
    <col min="21" max="21" width="10.6640625" style="82" customWidth="1"/>
    <col min="22" max="259" width="10.6640625" style="82"/>
    <col min="260" max="260" width="13.1640625" style="82" customWidth="1"/>
    <col min="261" max="261" width="79" style="82" customWidth="1"/>
    <col min="262" max="262" width="3.83203125" style="82" customWidth="1"/>
    <col min="263" max="275" width="12.5" style="82" customWidth="1"/>
    <col min="276" max="276" width="8.5" style="82" customWidth="1"/>
    <col min="277" max="515" width="10.6640625" style="82"/>
    <col min="516" max="516" width="13.1640625" style="82" customWidth="1"/>
    <col min="517" max="517" width="79" style="82" customWidth="1"/>
    <col min="518" max="518" width="3.83203125" style="82" customWidth="1"/>
    <col min="519" max="531" width="12.5" style="82" customWidth="1"/>
    <col min="532" max="532" width="8.5" style="82" customWidth="1"/>
    <col min="533" max="771" width="10.6640625" style="82"/>
    <col min="772" max="772" width="13.1640625" style="82" customWidth="1"/>
    <col min="773" max="773" width="79" style="82" customWidth="1"/>
    <col min="774" max="774" width="3.83203125" style="82" customWidth="1"/>
    <col min="775" max="787" width="12.5" style="82" customWidth="1"/>
    <col min="788" max="788" width="8.5" style="82" customWidth="1"/>
    <col min="789" max="1027" width="10.6640625" style="82"/>
    <col min="1028" max="1028" width="13.1640625" style="82" customWidth="1"/>
    <col min="1029" max="1029" width="79" style="82" customWidth="1"/>
    <col min="1030" max="1030" width="3.83203125" style="82" customWidth="1"/>
    <col min="1031" max="1043" width="12.5" style="82" customWidth="1"/>
    <col min="1044" max="1044" width="8.5" style="82" customWidth="1"/>
    <col min="1045" max="1283" width="10.6640625" style="82"/>
    <col min="1284" max="1284" width="13.1640625" style="82" customWidth="1"/>
    <col min="1285" max="1285" width="79" style="82" customWidth="1"/>
    <col min="1286" max="1286" width="3.83203125" style="82" customWidth="1"/>
    <col min="1287" max="1299" width="12.5" style="82" customWidth="1"/>
    <col min="1300" max="1300" width="8.5" style="82" customWidth="1"/>
    <col min="1301" max="1539" width="10.6640625" style="82"/>
    <col min="1540" max="1540" width="13.1640625" style="82" customWidth="1"/>
    <col min="1541" max="1541" width="79" style="82" customWidth="1"/>
    <col min="1542" max="1542" width="3.83203125" style="82" customWidth="1"/>
    <col min="1543" max="1555" width="12.5" style="82" customWidth="1"/>
    <col min="1556" max="1556" width="8.5" style="82" customWidth="1"/>
    <col min="1557" max="1795" width="10.6640625" style="82"/>
    <col min="1796" max="1796" width="13.1640625" style="82" customWidth="1"/>
    <col min="1797" max="1797" width="79" style="82" customWidth="1"/>
    <col min="1798" max="1798" width="3.83203125" style="82" customWidth="1"/>
    <col min="1799" max="1811" width="12.5" style="82" customWidth="1"/>
    <col min="1812" max="1812" width="8.5" style="82" customWidth="1"/>
    <col min="1813" max="2051" width="10.6640625" style="82"/>
    <col min="2052" max="2052" width="13.1640625" style="82" customWidth="1"/>
    <col min="2053" max="2053" width="79" style="82" customWidth="1"/>
    <col min="2054" max="2054" width="3.83203125" style="82" customWidth="1"/>
    <col min="2055" max="2067" width="12.5" style="82" customWidth="1"/>
    <col min="2068" max="2068" width="8.5" style="82" customWidth="1"/>
    <col min="2069" max="2307" width="10.6640625" style="82"/>
    <col min="2308" max="2308" width="13.1640625" style="82" customWidth="1"/>
    <col min="2309" max="2309" width="79" style="82" customWidth="1"/>
    <col min="2310" max="2310" width="3.83203125" style="82" customWidth="1"/>
    <col min="2311" max="2323" width="12.5" style="82" customWidth="1"/>
    <col min="2324" max="2324" width="8.5" style="82" customWidth="1"/>
    <col min="2325" max="2563" width="10.6640625" style="82"/>
    <col min="2564" max="2564" width="13.1640625" style="82" customWidth="1"/>
    <col min="2565" max="2565" width="79" style="82" customWidth="1"/>
    <col min="2566" max="2566" width="3.83203125" style="82" customWidth="1"/>
    <col min="2567" max="2579" width="12.5" style="82" customWidth="1"/>
    <col min="2580" max="2580" width="8.5" style="82" customWidth="1"/>
    <col min="2581" max="2819" width="10.6640625" style="82"/>
    <col min="2820" max="2820" width="13.1640625" style="82" customWidth="1"/>
    <col min="2821" max="2821" width="79" style="82" customWidth="1"/>
    <col min="2822" max="2822" width="3.83203125" style="82" customWidth="1"/>
    <col min="2823" max="2835" width="12.5" style="82" customWidth="1"/>
    <col min="2836" max="2836" width="8.5" style="82" customWidth="1"/>
    <col min="2837" max="3075" width="10.6640625" style="82"/>
    <col min="3076" max="3076" width="13.1640625" style="82" customWidth="1"/>
    <col min="3077" max="3077" width="79" style="82" customWidth="1"/>
    <col min="3078" max="3078" width="3.83203125" style="82" customWidth="1"/>
    <col min="3079" max="3091" width="12.5" style="82" customWidth="1"/>
    <col min="3092" max="3092" width="8.5" style="82" customWidth="1"/>
    <col min="3093" max="3331" width="10.6640625" style="82"/>
    <col min="3332" max="3332" width="13.1640625" style="82" customWidth="1"/>
    <col min="3333" max="3333" width="79" style="82" customWidth="1"/>
    <col min="3334" max="3334" width="3.83203125" style="82" customWidth="1"/>
    <col min="3335" max="3347" width="12.5" style="82" customWidth="1"/>
    <col min="3348" max="3348" width="8.5" style="82" customWidth="1"/>
    <col min="3349" max="3587" width="10.6640625" style="82"/>
    <col min="3588" max="3588" width="13.1640625" style="82" customWidth="1"/>
    <col min="3589" max="3589" width="79" style="82" customWidth="1"/>
    <col min="3590" max="3590" width="3.83203125" style="82" customWidth="1"/>
    <col min="3591" max="3603" width="12.5" style="82" customWidth="1"/>
    <col min="3604" max="3604" width="8.5" style="82" customWidth="1"/>
    <col min="3605" max="3843" width="10.6640625" style="82"/>
    <col min="3844" max="3844" width="13.1640625" style="82" customWidth="1"/>
    <col min="3845" max="3845" width="79" style="82" customWidth="1"/>
    <col min="3846" max="3846" width="3.83203125" style="82" customWidth="1"/>
    <col min="3847" max="3859" width="12.5" style="82" customWidth="1"/>
    <col min="3860" max="3860" width="8.5" style="82" customWidth="1"/>
    <col min="3861" max="4099" width="10.6640625" style="82"/>
    <col min="4100" max="4100" width="13.1640625" style="82" customWidth="1"/>
    <col min="4101" max="4101" width="79" style="82" customWidth="1"/>
    <col min="4102" max="4102" width="3.83203125" style="82" customWidth="1"/>
    <col min="4103" max="4115" width="12.5" style="82" customWidth="1"/>
    <col min="4116" max="4116" width="8.5" style="82" customWidth="1"/>
    <col min="4117" max="4355" width="10.6640625" style="82"/>
    <col min="4356" max="4356" width="13.1640625" style="82" customWidth="1"/>
    <col min="4357" max="4357" width="79" style="82" customWidth="1"/>
    <col min="4358" max="4358" width="3.83203125" style="82" customWidth="1"/>
    <col min="4359" max="4371" width="12.5" style="82" customWidth="1"/>
    <col min="4372" max="4372" width="8.5" style="82" customWidth="1"/>
    <col min="4373" max="4611" width="10.6640625" style="82"/>
    <col min="4612" max="4612" width="13.1640625" style="82" customWidth="1"/>
    <col min="4613" max="4613" width="79" style="82" customWidth="1"/>
    <col min="4614" max="4614" width="3.83203125" style="82" customWidth="1"/>
    <col min="4615" max="4627" width="12.5" style="82" customWidth="1"/>
    <col min="4628" max="4628" width="8.5" style="82" customWidth="1"/>
    <col min="4629" max="4867" width="10.6640625" style="82"/>
    <col min="4868" max="4868" width="13.1640625" style="82" customWidth="1"/>
    <col min="4869" max="4869" width="79" style="82" customWidth="1"/>
    <col min="4870" max="4870" width="3.83203125" style="82" customWidth="1"/>
    <col min="4871" max="4883" width="12.5" style="82" customWidth="1"/>
    <col min="4884" max="4884" width="8.5" style="82" customWidth="1"/>
    <col min="4885" max="5123" width="10.6640625" style="82"/>
    <col min="5124" max="5124" width="13.1640625" style="82" customWidth="1"/>
    <col min="5125" max="5125" width="79" style="82" customWidth="1"/>
    <col min="5126" max="5126" width="3.83203125" style="82" customWidth="1"/>
    <col min="5127" max="5139" width="12.5" style="82" customWidth="1"/>
    <col min="5140" max="5140" width="8.5" style="82" customWidth="1"/>
    <col min="5141" max="5379" width="10.6640625" style="82"/>
    <col min="5380" max="5380" width="13.1640625" style="82" customWidth="1"/>
    <col min="5381" max="5381" width="79" style="82" customWidth="1"/>
    <col min="5382" max="5382" width="3.83203125" style="82" customWidth="1"/>
    <col min="5383" max="5395" width="12.5" style="82" customWidth="1"/>
    <col min="5396" max="5396" width="8.5" style="82" customWidth="1"/>
    <col min="5397" max="5635" width="10.6640625" style="82"/>
    <col min="5636" max="5636" width="13.1640625" style="82" customWidth="1"/>
    <col min="5637" max="5637" width="79" style="82" customWidth="1"/>
    <col min="5638" max="5638" width="3.83203125" style="82" customWidth="1"/>
    <col min="5639" max="5651" width="12.5" style="82" customWidth="1"/>
    <col min="5652" max="5652" width="8.5" style="82" customWidth="1"/>
    <col min="5653" max="5891" width="10.6640625" style="82"/>
    <col min="5892" max="5892" width="13.1640625" style="82" customWidth="1"/>
    <col min="5893" max="5893" width="79" style="82" customWidth="1"/>
    <col min="5894" max="5894" width="3.83203125" style="82" customWidth="1"/>
    <col min="5895" max="5907" width="12.5" style="82" customWidth="1"/>
    <col min="5908" max="5908" width="8.5" style="82" customWidth="1"/>
    <col min="5909" max="6147" width="10.6640625" style="82"/>
    <col min="6148" max="6148" width="13.1640625" style="82" customWidth="1"/>
    <col min="6149" max="6149" width="79" style="82" customWidth="1"/>
    <col min="6150" max="6150" width="3.83203125" style="82" customWidth="1"/>
    <col min="6151" max="6163" width="12.5" style="82" customWidth="1"/>
    <col min="6164" max="6164" width="8.5" style="82" customWidth="1"/>
    <col min="6165" max="6403" width="10.6640625" style="82"/>
    <col min="6404" max="6404" width="13.1640625" style="82" customWidth="1"/>
    <col min="6405" max="6405" width="79" style="82" customWidth="1"/>
    <col min="6406" max="6406" width="3.83203125" style="82" customWidth="1"/>
    <col min="6407" max="6419" width="12.5" style="82" customWidth="1"/>
    <col min="6420" max="6420" width="8.5" style="82" customWidth="1"/>
    <col min="6421" max="6659" width="10.6640625" style="82"/>
    <col min="6660" max="6660" width="13.1640625" style="82" customWidth="1"/>
    <col min="6661" max="6661" width="79" style="82" customWidth="1"/>
    <col min="6662" max="6662" width="3.83203125" style="82" customWidth="1"/>
    <col min="6663" max="6675" width="12.5" style="82" customWidth="1"/>
    <col min="6676" max="6676" width="8.5" style="82" customWidth="1"/>
    <col min="6677" max="6915" width="10.6640625" style="82"/>
    <col min="6916" max="6916" width="13.1640625" style="82" customWidth="1"/>
    <col min="6917" max="6917" width="79" style="82" customWidth="1"/>
    <col min="6918" max="6918" width="3.83203125" style="82" customWidth="1"/>
    <col min="6919" max="6931" width="12.5" style="82" customWidth="1"/>
    <col min="6932" max="6932" width="8.5" style="82" customWidth="1"/>
    <col min="6933" max="7171" width="10.6640625" style="82"/>
    <col min="7172" max="7172" width="13.1640625" style="82" customWidth="1"/>
    <col min="7173" max="7173" width="79" style="82" customWidth="1"/>
    <col min="7174" max="7174" width="3.83203125" style="82" customWidth="1"/>
    <col min="7175" max="7187" width="12.5" style="82" customWidth="1"/>
    <col min="7188" max="7188" width="8.5" style="82" customWidth="1"/>
    <col min="7189" max="7427" width="10.6640625" style="82"/>
    <col min="7428" max="7428" width="13.1640625" style="82" customWidth="1"/>
    <col min="7429" max="7429" width="79" style="82" customWidth="1"/>
    <col min="7430" max="7430" width="3.83203125" style="82" customWidth="1"/>
    <col min="7431" max="7443" width="12.5" style="82" customWidth="1"/>
    <col min="7444" max="7444" width="8.5" style="82" customWidth="1"/>
    <col min="7445" max="7683" width="10.6640625" style="82"/>
    <col min="7684" max="7684" width="13.1640625" style="82" customWidth="1"/>
    <col min="7685" max="7685" width="79" style="82" customWidth="1"/>
    <col min="7686" max="7686" width="3.83203125" style="82" customWidth="1"/>
    <col min="7687" max="7699" width="12.5" style="82" customWidth="1"/>
    <col min="7700" max="7700" width="8.5" style="82" customWidth="1"/>
    <col min="7701" max="7939" width="10.6640625" style="82"/>
    <col min="7940" max="7940" width="13.1640625" style="82" customWidth="1"/>
    <col min="7941" max="7941" width="79" style="82" customWidth="1"/>
    <col min="7942" max="7942" width="3.83203125" style="82" customWidth="1"/>
    <col min="7943" max="7955" width="12.5" style="82" customWidth="1"/>
    <col min="7956" max="7956" width="8.5" style="82" customWidth="1"/>
    <col min="7957" max="8195" width="10.6640625" style="82"/>
    <col min="8196" max="8196" width="13.1640625" style="82" customWidth="1"/>
    <col min="8197" max="8197" width="79" style="82" customWidth="1"/>
    <col min="8198" max="8198" width="3.83203125" style="82" customWidth="1"/>
    <col min="8199" max="8211" width="12.5" style="82" customWidth="1"/>
    <col min="8212" max="8212" width="8.5" style="82" customWidth="1"/>
    <col min="8213" max="8451" width="10.6640625" style="82"/>
    <col min="8452" max="8452" width="13.1640625" style="82" customWidth="1"/>
    <col min="8453" max="8453" width="79" style="82" customWidth="1"/>
    <col min="8454" max="8454" width="3.83203125" style="82" customWidth="1"/>
    <col min="8455" max="8467" width="12.5" style="82" customWidth="1"/>
    <col min="8468" max="8468" width="8.5" style="82" customWidth="1"/>
    <col min="8469" max="8707" width="10.6640625" style="82"/>
    <col min="8708" max="8708" width="13.1640625" style="82" customWidth="1"/>
    <col min="8709" max="8709" width="79" style="82" customWidth="1"/>
    <col min="8710" max="8710" width="3.83203125" style="82" customWidth="1"/>
    <col min="8711" max="8723" width="12.5" style="82" customWidth="1"/>
    <col min="8724" max="8724" width="8.5" style="82" customWidth="1"/>
    <col min="8725" max="8963" width="10.6640625" style="82"/>
    <col min="8964" max="8964" width="13.1640625" style="82" customWidth="1"/>
    <col min="8965" max="8965" width="79" style="82" customWidth="1"/>
    <col min="8966" max="8966" width="3.83203125" style="82" customWidth="1"/>
    <col min="8967" max="8979" width="12.5" style="82" customWidth="1"/>
    <col min="8980" max="8980" width="8.5" style="82" customWidth="1"/>
    <col min="8981" max="9219" width="10.6640625" style="82"/>
    <col min="9220" max="9220" width="13.1640625" style="82" customWidth="1"/>
    <col min="9221" max="9221" width="79" style="82" customWidth="1"/>
    <col min="9222" max="9222" width="3.83203125" style="82" customWidth="1"/>
    <col min="9223" max="9235" width="12.5" style="82" customWidth="1"/>
    <col min="9236" max="9236" width="8.5" style="82" customWidth="1"/>
    <col min="9237" max="9475" width="10.6640625" style="82"/>
    <col min="9476" max="9476" width="13.1640625" style="82" customWidth="1"/>
    <col min="9477" max="9477" width="79" style="82" customWidth="1"/>
    <col min="9478" max="9478" width="3.83203125" style="82" customWidth="1"/>
    <col min="9479" max="9491" width="12.5" style="82" customWidth="1"/>
    <col min="9492" max="9492" width="8.5" style="82" customWidth="1"/>
    <col min="9493" max="9731" width="10.6640625" style="82"/>
    <col min="9732" max="9732" width="13.1640625" style="82" customWidth="1"/>
    <col min="9733" max="9733" width="79" style="82" customWidth="1"/>
    <col min="9734" max="9734" width="3.83203125" style="82" customWidth="1"/>
    <col min="9735" max="9747" width="12.5" style="82" customWidth="1"/>
    <col min="9748" max="9748" width="8.5" style="82" customWidth="1"/>
    <col min="9749" max="9987" width="10.6640625" style="82"/>
    <col min="9988" max="9988" width="13.1640625" style="82" customWidth="1"/>
    <col min="9989" max="9989" width="79" style="82" customWidth="1"/>
    <col min="9990" max="9990" width="3.83203125" style="82" customWidth="1"/>
    <col min="9991" max="10003" width="12.5" style="82" customWidth="1"/>
    <col min="10004" max="10004" width="8.5" style="82" customWidth="1"/>
    <col min="10005" max="10243" width="10.6640625" style="82"/>
    <col min="10244" max="10244" width="13.1640625" style="82" customWidth="1"/>
    <col min="10245" max="10245" width="79" style="82" customWidth="1"/>
    <col min="10246" max="10246" width="3.83203125" style="82" customWidth="1"/>
    <col min="10247" max="10259" width="12.5" style="82" customWidth="1"/>
    <col min="10260" max="10260" width="8.5" style="82" customWidth="1"/>
    <col min="10261" max="10499" width="10.6640625" style="82"/>
    <col min="10500" max="10500" width="13.1640625" style="82" customWidth="1"/>
    <col min="10501" max="10501" width="79" style="82" customWidth="1"/>
    <col min="10502" max="10502" width="3.83203125" style="82" customWidth="1"/>
    <col min="10503" max="10515" width="12.5" style="82" customWidth="1"/>
    <col min="10516" max="10516" width="8.5" style="82" customWidth="1"/>
    <col min="10517" max="10755" width="10.6640625" style="82"/>
    <col min="10756" max="10756" width="13.1640625" style="82" customWidth="1"/>
    <col min="10757" max="10757" width="79" style="82" customWidth="1"/>
    <col min="10758" max="10758" width="3.83203125" style="82" customWidth="1"/>
    <col min="10759" max="10771" width="12.5" style="82" customWidth="1"/>
    <col min="10772" max="10772" width="8.5" style="82" customWidth="1"/>
    <col min="10773" max="11011" width="10.6640625" style="82"/>
    <col min="11012" max="11012" width="13.1640625" style="82" customWidth="1"/>
    <col min="11013" max="11013" width="79" style="82" customWidth="1"/>
    <col min="11014" max="11014" width="3.83203125" style="82" customWidth="1"/>
    <col min="11015" max="11027" width="12.5" style="82" customWidth="1"/>
    <col min="11028" max="11028" width="8.5" style="82" customWidth="1"/>
    <col min="11029" max="11267" width="10.6640625" style="82"/>
    <col min="11268" max="11268" width="13.1640625" style="82" customWidth="1"/>
    <col min="11269" max="11269" width="79" style="82" customWidth="1"/>
    <col min="11270" max="11270" width="3.83203125" style="82" customWidth="1"/>
    <col min="11271" max="11283" width="12.5" style="82" customWidth="1"/>
    <col min="11284" max="11284" width="8.5" style="82" customWidth="1"/>
    <col min="11285" max="11523" width="10.6640625" style="82"/>
    <col min="11524" max="11524" width="13.1640625" style="82" customWidth="1"/>
    <col min="11525" max="11525" width="79" style="82" customWidth="1"/>
    <col min="11526" max="11526" width="3.83203125" style="82" customWidth="1"/>
    <col min="11527" max="11539" width="12.5" style="82" customWidth="1"/>
    <col min="11540" max="11540" width="8.5" style="82" customWidth="1"/>
    <col min="11541" max="11779" width="10.6640625" style="82"/>
    <col min="11780" max="11780" width="13.1640625" style="82" customWidth="1"/>
    <col min="11781" max="11781" width="79" style="82" customWidth="1"/>
    <col min="11782" max="11782" width="3.83203125" style="82" customWidth="1"/>
    <col min="11783" max="11795" width="12.5" style="82" customWidth="1"/>
    <col min="11796" max="11796" width="8.5" style="82" customWidth="1"/>
    <col min="11797" max="12035" width="10.6640625" style="82"/>
    <col min="12036" max="12036" width="13.1640625" style="82" customWidth="1"/>
    <col min="12037" max="12037" width="79" style="82" customWidth="1"/>
    <col min="12038" max="12038" width="3.83203125" style="82" customWidth="1"/>
    <col min="12039" max="12051" width="12.5" style="82" customWidth="1"/>
    <col min="12052" max="12052" width="8.5" style="82" customWidth="1"/>
    <col min="12053" max="12291" width="10.6640625" style="82"/>
    <col min="12292" max="12292" width="13.1640625" style="82" customWidth="1"/>
    <col min="12293" max="12293" width="79" style="82" customWidth="1"/>
    <col min="12294" max="12294" width="3.83203125" style="82" customWidth="1"/>
    <col min="12295" max="12307" width="12.5" style="82" customWidth="1"/>
    <col min="12308" max="12308" width="8.5" style="82" customWidth="1"/>
    <col min="12309" max="12547" width="10.6640625" style="82"/>
    <col min="12548" max="12548" width="13.1640625" style="82" customWidth="1"/>
    <col min="12549" max="12549" width="79" style="82" customWidth="1"/>
    <col min="12550" max="12550" width="3.83203125" style="82" customWidth="1"/>
    <col min="12551" max="12563" width="12.5" style="82" customWidth="1"/>
    <col min="12564" max="12564" width="8.5" style="82" customWidth="1"/>
    <col min="12565" max="12803" width="10.6640625" style="82"/>
    <col min="12804" max="12804" width="13.1640625" style="82" customWidth="1"/>
    <col min="12805" max="12805" width="79" style="82" customWidth="1"/>
    <col min="12806" max="12806" width="3.83203125" style="82" customWidth="1"/>
    <col min="12807" max="12819" width="12.5" style="82" customWidth="1"/>
    <col min="12820" max="12820" width="8.5" style="82" customWidth="1"/>
    <col min="12821" max="13059" width="10.6640625" style="82"/>
    <col min="13060" max="13060" width="13.1640625" style="82" customWidth="1"/>
    <col min="13061" max="13061" width="79" style="82" customWidth="1"/>
    <col min="13062" max="13062" width="3.83203125" style="82" customWidth="1"/>
    <col min="13063" max="13075" width="12.5" style="82" customWidth="1"/>
    <col min="13076" max="13076" width="8.5" style="82" customWidth="1"/>
    <col min="13077" max="13315" width="10.6640625" style="82"/>
    <col min="13316" max="13316" width="13.1640625" style="82" customWidth="1"/>
    <col min="13317" max="13317" width="79" style="82" customWidth="1"/>
    <col min="13318" max="13318" width="3.83203125" style="82" customWidth="1"/>
    <col min="13319" max="13331" width="12.5" style="82" customWidth="1"/>
    <col min="13332" max="13332" width="8.5" style="82" customWidth="1"/>
    <col min="13333" max="13571" width="10.6640625" style="82"/>
    <col min="13572" max="13572" width="13.1640625" style="82" customWidth="1"/>
    <col min="13573" max="13573" width="79" style="82" customWidth="1"/>
    <col min="13574" max="13574" width="3.83203125" style="82" customWidth="1"/>
    <col min="13575" max="13587" width="12.5" style="82" customWidth="1"/>
    <col min="13588" max="13588" width="8.5" style="82" customWidth="1"/>
    <col min="13589" max="13827" width="10.6640625" style="82"/>
    <col min="13828" max="13828" width="13.1640625" style="82" customWidth="1"/>
    <col min="13829" max="13829" width="79" style="82" customWidth="1"/>
    <col min="13830" max="13830" width="3.83203125" style="82" customWidth="1"/>
    <col min="13831" max="13843" width="12.5" style="82" customWidth="1"/>
    <col min="13844" max="13844" width="8.5" style="82" customWidth="1"/>
    <col min="13845" max="14083" width="10.6640625" style="82"/>
    <col min="14084" max="14084" width="13.1640625" style="82" customWidth="1"/>
    <col min="14085" max="14085" width="79" style="82" customWidth="1"/>
    <col min="14086" max="14086" width="3.83203125" style="82" customWidth="1"/>
    <col min="14087" max="14099" width="12.5" style="82" customWidth="1"/>
    <col min="14100" max="14100" width="8.5" style="82" customWidth="1"/>
    <col min="14101" max="14339" width="10.6640625" style="82"/>
    <col min="14340" max="14340" width="13.1640625" style="82" customWidth="1"/>
    <col min="14341" max="14341" width="79" style="82" customWidth="1"/>
    <col min="14342" max="14342" width="3.83203125" style="82" customWidth="1"/>
    <col min="14343" max="14355" width="12.5" style="82" customWidth="1"/>
    <col min="14356" max="14356" width="8.5" style="82" customWidth="1"/>
    <col min="14357" max="14595" width="10.6640625" style="82"/>
    <col min="14596" max="14596" width="13.1640625" style="82" customWidth="1"/>
    <col min="14597" max="14597" width="79" style="82" customWidth="1"/>
    <col min="14598" max="14598" width="3.83203125" style="82" customWidth="1"/>
    <col min="14599" max="14611" width="12.5" style="82" customWidth="1"/>
    <col min="14612" max="14612" width="8.5" style="82" customWidth="1"/>
    <col min="14613" max="14851" width="10.6640625" style="82"/>
    <col min="14852" max="14852" width="13.1640625" style="82" customWidth="1"/>
    <col min="14853" max="14853" width="79" style="82" customWidth="1"/>
    <col min="14854" max="14854" width="3.83203125" style="82" customWidth="1"/>
    <col min="14855" max="14867" width="12.5" style="82" customWidth="1"/>
    <col min="14868" max="14868" width="8.5" style="82" customWidth="1"/>
    <col min="14869" max="15107" width="10.6640625" style="82"/>
    <col min="15108" max="15108" width="13.1640625" style="82" customWidth="1"/>
    <col min="15109" max="15109" width="79" style="82" customWidth="1"/>
    <col min="15110" max="15110" width="3.83203125" style="82" customWidth="1"/>
    <col min="15111" max="15123" width="12.5" style="82" customWidth="1"/>
    <col min="15124" max="15124" width="8.5" style="82" customWidth="1"/>
    <col min="15125" max="15363" width="10.6640625" style="82"/>
    <col min="15364" max="15364" width="13.1640625" style="82" customWidth="1"/>
    <col min="15365" max="15365" width="79" style="82" customWidth="1"/>
    <col min="15366" max="15366" width="3.83203125" style="82" customWidth="1"/>
    <col min="15367" max="15379" width="12.5" style="82" customWidth="1"/>
    <col min="15380" max="15380" width="8.5" style="82" customWidth="1"/>
    <col min="15381" max="15619" width="10.6640625" style="82"/>
    <col min="15620" max="15620" width="13.1640625" style="82" customWidth="1"/>
    <col min="15621" max="15621" width="79" style="82" customWidth="1"/>
    <col min="15622" max="15622" width="3.83203125" style="82" customWidth="1"/>
    <col min="15623" max="15635" width="12.5" style="82" customWidth="1"/>
    <col min="15636" max="15636" width="8.5" style="82" customWidth="1"/>
    <col min="15637" max="15875" width="10.6640625" style="82"/>
    <col min="15876" max="15876" width="13.1640625" style="82" customWidth="1"/>
    <col min="15877" max="15877" width="79" style="82" customWidth="1"/>
    <col min="15878" max="15878" width="3.83203125" style="82" customWidth="1"/>
    <col min="15879" max="15891" width="12.5" style="82" customWidth="1"/>
    <col min="15892" max="15892" width="8.5" style="82" customWidth="1"/>
    <col min="15893" max="16131" width="10.6640625" style="82"/>
    <col min="16132" max="16132" width="13.1640625" style="82" customWidth="1"/>
    <col min="16133" max="16133" width="79" style="82" customWidth="1"/>
    <col min="16134" max="16134" width="3.83203125" style="82" customWidth="1"/>
    <col min="16135" max="16147" width="12.5" style="82" customWidth="1"/>
    <col min="16148" max="16148" width="8.5" style="82" customWidth="1"/>
    <col min="16149" max="16384" width="10.6640625" style="82"/>
  </cols>
  <sheetData>
    <row r="1" spans="1:24" ht="40.5" x14ac:dyDescent="0.3">
      <c r="A1" s="108"/>
      <c r="B1" s="109" t="s">
        <v>2159</v>
      </c>
      <c r="C1" s="643" t="s">
        <v>2158</v>
      </c>
      <c r="D1" s="110"/>
      <c r="E1" s="111"/>
      <c r="F1" s="112"/>
      <c r="G1" s="112"/>
      <c r="H1" s="113"/>
      <c r="I1" s="113"/>
      <c r="J1" s="113"/>
      <c r="K1" s="114" t="s">
        <v>577</v>
      </c>
      <c r="L1" s="113"/>
      <c r="M1" s="113"/>
      <c r="N1" s="115"/>
      <c r="O1" s="115"/>
      <c r="P1" s="113"/>
      <c r="Q1" s="113"/>
      <c r="R1" s="113"/>
      <c r="S1" s="113"/>
      <c r="T1" s="116"/>
    </row>
    <row r="2" spans="1:24" s="651" customFormat="1" ht="18" customHeight="1" x14ac:dyDescent="0.2">
      <c r="A2" s="504"/>
      <c r="B2" s="644" t="s">
        <v>159</v>
      </c>
      <c r="C2" s="663" t="str">
        <f>Grandes_Itens!B2</f>
        <v>RIO BOM</v>
      </c>
      <c r="D2" s="664"/>
      <c r="E2" s="664"/>
      <c r="F2" s="665" t="s">
        <v>160</v>
      </c>
      <c r="G2" s="666" t="str">
        <f>Grandes_Itens!F2</f>
        <v>XX</v>
      </c>
      <c r="H2" s="645" t="s">
        <v>636</v>
      </c>
      <c r="I2" s="646"/>
      <c r="J2" s="645" t="s">
        <v>637</v>
      </c>
      <c r="K2" s="646"/>
      <c r="L2" s="645" t="s">
        <v>638</v>
      </c>
      <c r="M2" s="647"/>
      <c r="N2" s="645" t="s">
        <v>639</v>
      </c>
      <c r="O2" s="646"/>
      <c r="P2" s="648" t="s">
        <v>640</v>
      </c>
      <c r="Q2" s="649"/>
      <c r="R2" s="649"/>
      <c r="S2" s="689">
        <v>0</v>
      </c>
      <c r="T2" s="650">
        <f>IF(S21=0,0,ROUND(S2/S21,4))</f>
        <v>0</v>
      </c>
    </row>
    <row r="3" spans="1:24" s="651" customFormat="1" ht="18" customHeight="1" thickBot="1" x14ac:dyDescent="0.25">
      <c r="A3" s="504"/>
      <c r="B3" s="652" t="s">
        <v>161</v>
      </c>
      <c r="C3" s="667" t="str">
        <f>Grandes_Itens!B3</f>
        <v>PAVIMENTAÇÃO DE VIAS URBANAS</v>
      </c>
      <c r="D3" s="668"/>
      <c r="E3" s="669"/>
      <c r="F3" s="670" t="s">
        <v>162</v>
      </c>
      <c r="G3" s="671" t="str">
        <f>Grandes_Itens!F3</f>
        <v>1</v>
      </c>
      <c r="H3" s="653" t="s">
        <v>641</v>
      </c>
      <c r="I3" s="687">
        <f ca="1">TODAY()</f>
        <v>45250</v>
      </c>
      <c r="J3" s="653" t="s">
        <v>642</v>
      </c>
      <c r="K3" s="688">
        <f>80-10</f>
        <v>70</v>
      </c>
      <c r="L3" s="653" t="s">
        <v>641</v>
      </c>
      <c r="M3" s="654">
        <f ca="1">I3+K3+10</f>
        <v>45330</v>
      </c>
      <c r="N3" s="653" t="s">
        <v>643</v>
      </c>
      <c r="O3" s="692"/>
      <c r="P3" s="655" t="s">
        <v>644</v>
      </c>
      <c r="Q3" s="656"/>
      <c r="R3" s="657"/>
      <c r="S3" s="685">
        <f>S21-S2</f>
        <v>1262521.29</v>
      </c>
      <c r="T3" s="658">
        <f>IF(S3=0,0,1-T2)</f>
        <v>1</v>
      </c>
    </row>
    <row r="4" spans="1:24" ht="18.75" thickBot="1" x14ac:dyDescent="0.3">
      <c r="A4" s="108"/>
      <c r="B4" s="117" t="s">
        <v>645</v>
      </c>
      <c r="C4" s="686"/>
      <c r="D4" s="118"/>
      <c r="E4" s="119" t="s">
        <v>646</v>
      </c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1" t="s">
        <v>647</v>
      </c>
      <c r="Q4" s="122"/>
      <c r="R4" s="122"/>
      <c r="S4" s="1262">
        <f>SUM(S2:S3)</f>
        <v>1262521.29</v>
      </c>
      <c r="T4" s="123">
        <f>SUM(T2:T3)</f>
        <v>1</v>
      </c>
    </row>
    <row r="5" spans="1:24" ht="12.75" customHeight="1" thickBot="1" x14ac:dyDescent="0.25">
      <c r="A5" s="108"/>
      <c r="B5" s="124" t="s">
        <v>648</v>
      </c>
      <c r="C5" s="125" t="s">
        <v>649</v>
      </c>
      <c r="D5" s="126"/>
      <c r="E5" s="127" t="s">
        <v>63</v>
      </c>
      <c r="F5" s="128" t="s">
        <v>650</v>
      </c>
      <c r="G5" s="129"/>
      <c r="H5" s="129"/>
      <c r="I5" s="129"/>
      <c r="J5" s="129"/>
      <c r="K5" s="129"/>
      <c r="L5" s="129"/>
      <c r="M5" s="130"/>
      <c r="N5" s="130"/>
      <c r="O5" s="130"/>
      <c r="P5" s="131"/>
      <c r="Q5" s="132"/>
      <c r="R5" s="133"/>
      <c r="S5" s="134" t="s">
        <v>468</v>
      </c>
      <c r="T5" s="135" t="s">
        <v>651</v>
      </c>
      <c r="W5" s="82" t="s">
        <v>652</v>
      </c>
      <c r="X5" s="136" t="str">
        <f>IF(S4=S51,"OK","erro")</f>
        <v>OK</v>
      </c>
    </row>
    <row r="6" spans="1:24" ht="13.5" thickBot="1" x14ac:dyDescent="0.25">
      <c r="A6" s="108"/>
      <c r="B6" s="137" t="s">
        <v>653</v>
      </c>
      <c r="C6" s="138"/>
      <c r="D6" s="139"/>
      <c r="E6" s="628">
        <v>6</v>
      </c>
      <c r="F6" s="140">
        <f>IF(E6=0,0,1)</f>
        <v>1</v>
      </c>
      <c r="G6" s="140">
        <f>IF($E$6&lt;2,0,2)</f>
        <v>2</v>
      </c>
      <c r="H6" s="140">
        <f>IF($E$6&lt;3,0,3)</f>
        <v>3</v>
      </c>
      <c r="I6" s="140">
        <f>IF($E$6&lt;4,0,4)</f>
        <v>4</v>
      </c>
      <c r="J6" s="140">
        <f>IF($E$6&lt;5,0,5)</f>
        <v>5</v>
      </c>
      <c r="K6" s="140">
        <f>IF($E$6&lt;6,0,6)</f>
        <v>6</v>
      </c>
      <c r="L6" s="140">
        <f>IF($E$6&lt;7,0,7)</f>
        <v>0</v>
      </c>
      <c r="M6" s="140">
        <f>IF($E$6&lt;8,0,8)</f>
        <v>0</v>
      </c>
      <c r="N6" s="140">
        <f>IF($E$6&lt;9,0,9)</f>
        <v>0</v>
      </c>
      <c r="O6" s="140">
        <f>IF($E$6&lt;10,0,10)</f>
        <v>0</v>
      </c>
      <c r="P6" s="140">
        <f>IF($E$6&lt;11,0,11)</f>
        <v>0</v>
      </c>
      <c r="Q6" s="141">
        <f>IF($E$6&lt;12,0,12)</f>
        <v>0</v>
      </c>
      <c r="R6" s="142"/>
      <c r="S6" s="143" t="s">
        <v>654</v>
      </c>
      <c r="T6" s="144" t="s">
        <v>468</v>
      </c>
    </row>
    <row r="7" spans="1:24" ht="14.25" thickTop="1" thickBot="1" x14ac:dyDescent="0.25">
      <c r="A7" s="108"/>
      <c r="B7" s="137"/>
      <c r="C7" s="138" t="s">
        <v>655</v>
      </c>
      <c r="D7" s="139"/>
      <c r="E7" s="145"/>
      <c r="F7" s="146">
        <f ca="1">IF(E6=0,0,M3)</f>
        <v>45330</v>
      </c>
      <c r="G7" s="146">
        <f ca="1">IF(G6=0,0,F8+1)</f>
        <v>45361</v>
      </c>
      <c r="H7" s="146">
        <f ca="1">IF(H6=0,0,G8+1)</f>
        <v>45392</v>
      </c>
      <c r="I7" s="146">
        <f ca="1">IF(I6=0,0,H8+1)</f>
        <v>45423</v>
      </c>
      <c r="J7" s="146">
        <f ca="1">IF(J6=0,0,I8+1)</f>
        <v>45454</v>
      </c>
      <c r="K7" s="146">
        <f t="shared" ref="K7:Q7" ca="1" si="0">IF(K6=0,0,J8+1)</f>
        <v>45485</v>
      </c>
      <c r="L7" s="146">
        <f t="shared" si="0"/>
        <v>0</v>
      </c>
      <c r="M7" s="146">
        <f t="shared" si="0"/>
        <v>0</v>
      </c>
      <c r="N7" s="146">
        <f t="shared" si="0"/>
        <v>0</v>
      </c>
      <c r="O7" s="146">
        <f t="shared" si="0"/>
        <v>0</v>
      </c>
      <c r="P7" s="146">
        <f t="shared" si="0"/>
        <v>0</v>
      </c>
      <c r="Q7" s="147">
        <f t="shared" si="0"/>
        <v>0</v>
      </c>
      <c r="R7" s="148"/>
      <c r="S7" s="143"/>
      <c r="T7" s="144"/>
    </row>
    <row r="8" spans="1:24" ht="14.25" thickTop="1" thickBot="1" x14ac:dyDescent="0.25">
      <c r="A8" s="108"/>
      <c r="B8" s="137"/>
      <c r="C8" s="138" t="s">
        <v>656</v>
      </c>
      <c r="D8" s="139"/>
      <c r="E8" s="145"/>
      <c r="F8" s="146">
        <f ca="1">IF(E6=0,0,F7+30)</f>
        <v>45360</v>
      </c>
      <c r="G8" s="146">
        <f ca="1">IF(G6=0,0,G7+30)</f>
        <v>45391</v>
      </c>
      <c r="H8" s="146">
        <f ca="1">IF(H6=0,0,H7+30)</f>
        <v>45422</v>
      </c>
      <c r="I8" s="146">
        <f ca="1">IF(I6=0,0,I7+30)</f>
        <v>45453</v>
      </c>
      <c r="J8" s="146">
        <f ca="1">IF(J6=0,0,J7+30)</f>
        <v>45484</v>
      </c>
      <c r="K8" s="146">
        <f t="shared" ref="K8:Q8" ca="1" si="1">IF(K6=0,0,K7+30)</f>
        <v>45515</v>
      </c>
      <c r="L8" s="146">
        <f t="shared" si="1"/>
        <v>0</v>
      </c>
      <c r="M8" s="146">
        <f t="shared" si="1"/>
        <v>0</v>
      </c>
      <c r="N8" s="146">
        <f t="shared" si="1"/>
        <v>0</v>
      </c>
      <c r="O8" s="146">
        <f t="shared" si="1"/>
        <v>0</v>
      </c>
      <c r="P8" s="146">
        <f t="shared" si="1"/>
        <v>0</v>
      </c>
      <c r="Q8" s="147">
        <f t="shared" si="1"/>
        <v>0</v>
      </c>
      <c r="R8" s="148"/>
      <c r="S8" s="143"/>
      <c r="T8" s="144"/>
    </row>
    <row r="9" spans="1:24" ht="13.5" thickTop="1" x14ac:dyDescent="0.2">
      <c r="A9" s="149" t="str">
        <f>CONCATENATE($E$6,"|",B9)</f>
        <v>6|1</v>
      </c>
      <c r="B9" s="150">
        <v>1</v>
      </c>
      <c r="C9" s="151" t="s">
        <v>432</v>
      </c>
      <c r="D9" s="152"/>
      <c r="E9" s="153">
        <v>1</v>
      </c>
      <c r="F9" s="629"/>
      <c r="G9" s="629"/>
      <c r="H9" s="629"/>
      <c r="I9" s="629"/>
      <c r="J9" s="629"/>
      <c r="K9" s="629"/>
      <c r="L9" s="629"/>
      <c r="M9" s="629"/>
      <c r="N9" s="629"/>
      <c r="O9" s="629"/>
      <c r="P9" s="629"/>
      <c r="Q9" s="630"/>
      <c r="R9" s="154"/>
      <c r="S9" s="1256">
        <f>IF(Grandes_Itens!F5=0,0,Grandes_Itens!F5)</f>
        <v>0</v>
      </c>
      <c r="T9" s="1257">
        <f t="shared" ref="T9:T19" si="2">IF($S$21=0,0,(S9/$S$21)*100)</f>
        <v>0</v>
      </c>
      <c r="W9" s="108">
        <f t="shared" ref="W9:W19" si="3">SUM(F9:Q9)</f>
        <v>0</v>
      </c>
    </row>
    <row r="10" spans="1:24" x14ac:dyDescent="0.2">
      <c r="A10" s="149" t="str">
        <f t="shared" ref="A10:A19" si="4">CONCATENATE($E$6,"|",B10)</f>
        <v>6|2</v>
      </c>
      <c r="B10" s="155" t="s">
        <v>167</v>
      </c>
      <c r="C10" s="151" t="s">
        <v>428</v>
      </c>
      <c r="D10" s="152"/>
      <c r="E10" s="153">
        <v>2</v>
      </c>
      <c r="F10" s="629"/>
      <c r="G10" s="629"/>
      <c r="H10" s="629"/>
      <c r="I10" s="629"/>
      <c r="J10" s="629"/>
      <c r="K10" s="629"/>
      <c r="L10" s="629"/>
      <c r="M10" s="629"/>
      <c r="N10" s="629"/>
      <c r="O10" s="629"/>
      <c r="P10" s="629"/>
      <c r="Q10" s="630"/>
      <c r="R10" s="154"/>
      <c r="S10" s="1256">
        <f>IF(Grandes_Itens!F6=0,0,Grandes_Itens!F6)</f>
        <v>0</v>
      </c>
      <c r="T10" s="1257">
        <f t="shared" si="2"/>
        <v>0</v>
      </c>
      <c r="W10" s="108">
        <f t="shared" si="3"/>
        <v>0</v>
      </c>
    </row>
    <row r="11" spans="1:24" x14ac:dyDescent="0.2">
      <c r="A11" s="149" t="str">
        <f t="shared" si="4"/>
        <v>6|3</v>
      </c>
      <c r="B11" s="155" t="s">
        <v>185</v>
      </c>
      <c r="C11" s="151" t="s">
        <v>434</v>
      </c>
      <c r="D11" s="152"/>
      <c r="E11" s="153">
        <v>3</v>
      </c>
      <c r="F11" s="629"/>
      <c r="G11" s="629"/>
      <c r="H11" s="629"/>
      <c r="I11" s="629"/>
      <c r="J11" s="629"/>
      <c r="K11" s="629"/>
      <c r="L11" s="629"/>
      <c r="M11" s="629"/>
      <c r="N11" s="629"/>
      <c r="O11" s="629"/>
      <c r="P11" s="629"/>
      <c r="Q11" s="630"/>
      <c r="R11" s="154"/>
      <c r="S11" s="1256">
        <f>IF(Grandes_Itens!F7=0,0,Grandes_Itens!F7)</f>
        <v>0</v>
      </c>
      <c r="T11" s="1257">
        <f t="shared" si="2"/>
        <v>0</v>
      </c>
      <c r="W11" s="108">
        <f t="shared" si="3"/>
        <v>0</v>
      </c>
    </row>
    <row r="12" spans="1:24" x14ac:dyDescent="0.2">
      <c r="A12" s="149" t="str">
        <f t="shared" si="4"/>
        <v>6|4</v>
      </c>
      <c r="B12" s="155" t="s">
        <v>203</v>
      </c>
      <c r="C12" s="151" t="s">
        <v>429</v>
      </c>
      <c r="D12" s="152"/>
      <c r="E12" s="153">
        <v>4</v>
      </c>
      <c r="F12" s="1307">
        <v>5</v>
      </c>
      <c r="G12" s="1307">
        <v>10</v>
      </c>
      <c r="H12" s="1307">
        <f>IF(H$6=0,0,VLOOKUP($A12,'[3]base (2)'!$A:$P,H$6+4,FALSE))</f>
        <v>20</v>
      </c>
      <c r="I12" s="1307">
        <v>25</v>
      </c>
      <c r="J12" s="1307">
        <v>20</v>
      </c>
      <c r="K12" s="1307">
        <f>IF(K$6=0,0,VLOOKUP($A12,'[3]base (2)'!$A:$P,K$6+4,FALSE))</f>
        <v>20</v>
      </c>
      <c r="L12" s="629"/>
      <c r="M12" s="629"/>
      <c r="N12" s="629"/>
      <c r="O12" s="629"/>
      <c r="P12" s="629"/>
      <c r="Q12" s="630"/>
      <c r="R12" s="154"/>
      <c r="S12" s="1256">
        <f>IF(Grandes_Itens!F8=0,0,Grandes_Itens!F8)</f>
        <v>1239953.76</v>
      </c>
      <c r="T12" s="1257">
        <f t="shared" si="2"/>
        <v>98.212503014503611</v>
      </c>
      <c r="W12" s="108">
        <f t="shared" si="3"/>
        <v>100</v>
      </c>
    </row>
    <row r="13" spans="1:24" x14ac:dyDescent="0.2">
      <c r="A13" s="149" t="str">
        <f t="shared" si="4"/>
        <v>6|5</v>
      </c>
      <c r="B13" s="155" t="s">
        <v>166</v>
      </c>
      <c r="C13" s="151" t="s">
        <v>430</v>
      </c>
      <c r="D13" s="152"/>
      <c r="E13" s="153">
        <v>5</v>
      </c>
      <c r="F13" s="1307"/>
      <c r="G13" s="1307"/>
      <c r="H13" s="1307"/>
      <c r="I13" s="1307"/>
      <c r="J13" s="1307"/>
      <c r="K13" s="1307"/>
      <c r="L13" s="629"/>
      <c r="M13" s="629"/>
      <c r="N13" s="629"/>
      <c r="O13" s="629"/>
      <c r="P13" s="629"/>
      <c r="Q13" s="630"/>
      <c r="R13" s="154"/>
      <c r="S13" s="1256">
        <f>IF(Grandes_Itens!F9=0,0,Grandes_Itens!F9)</f>
        <v>0</v>
      </c>
      <c r="T13" s="1257">
        <f t="shared" si="2"/>
        <v>0</v>
      </c>
      <c r="W13" s="108">
        <f t="shared" si="3"/>
        <v>0</v>
      </c>
    </row>
    <row r="14" spans="1:24" x14ac:dyDescent="0.2">
      <c r="A14" s="149" t="str">
        <f t="shared" si="4"/>
        <v>6|6</v>
      </c>
      <c r="B14" s="155" t="s">
        <v>205</v>
      </c>
      <c r="C14" s="151" t="s">
        <v>575</v>
      </c>
      <c r="D14" s="152"/>
      <c r="E14" s="153">
        <v>3</v>
      </c>
      <c r="F14" s="1307"/>
      <c r="G14" s="1307"/>
      <c r="H14" s="1307"/>
      <c r="I14" s="1307"/>
      <c r="J14" s="1307"/>
      <c r="K14" s="1307"/>
      <c r="L14" s="629"/>
      <c r="M14" s="629"/>
      <c r="N14" s="629"/>
      <c r="O14" s="629"/>
      <c r="P14" s="629"/>
      <c r="Q14" s="630"/>
      <c r="R14" s="154"/>
      <c r="S14" s="1256">
        <f>IF(Grandes_Itens!F10=0,0,Grandes_Itens!F10)</f>
        <v>0</v>
      </c>
      <c r="T14" s="1257">
        <f t="shared" si="2"/>
        <v>0</v>
      </c>
      <c r="W14" s="108">
        <f t="shared" si="3"/>
        <v>0</v>
      </c>
    </row>
    <row r="15" spans="1:24" x14ac:dyDescent="0.2">
      <c r="A15" s="149" t="str">
        <f t="shared" si="4"/>
        <v>6|7</v>
      </c>
      <c r="B15" s="155" t="s">
        <v>417</v>
      </c>
      <c r="C15" s="151" t="s">
        <v>436</v>
      </c>
      <c r="D15" s="152"/>
      <c r="E15" s="153">
        <v>5</v>
      </c>
      <c r="F15" s="1307">
        <f>IF(E$6&lt;3,0,IF(F$6=0,0,VLOOKUP($A15,'[3]base (2)'!$A:$P,F$6+4,FALSE)))</f>
        <v>0</v>
      </c>
      <c r="G15" s="1307">
        <f>IF(E$6&lt;3,0,IF(G$6=0,0,VLOOKUP($A15,'[3]base (2)'!$A:$P,G$6+4,FALSE)))</f>
        <v>0</v>
      </c>
      <c r="H15" s="1307">
        <f>IF(H$6=0,0,VLOOKUP($A15,'[3]base (2)'!$A:$P,H$6+4,FALSE))</f>
        <v>20</v>
      </c>
      <c r="I15" s="1307">
        <f>IF(I$6=0,0,VLOOKUP($A15,'[3]base (2)'!$A:$P,I$6+4,FALSE))</f>
        <v>20</v>
      </c>
      <c r="J15" s="1307">
        <f>IF(J$6=0,0,VLOOKUP($A15,'[3]base (2)'!$A:$P,J$6+4,FALSE))</f>
        <v>30</v>
      </c>
      <c r="K15" s="1307">
        <f>IF(K$6=0,0,VLOOKUP($A15,'[3]base (2)'!$A:$P,K$6+4,FALSE))</f>
        <v>30</v>
      </c>
      <c r="L15" s="629"/>
      <c r="M15" s="629"/>
      <c r="N15" s="629"/>
      <c r="O15" s="629"/>
      <c r="P15" s="629"/>
      <c r="Q15" s="630"/>
      <c r="R15" s="154"/>
      <c r="S15" s="1256">
        <f>IF(Grandes_Itens!F11=0,0,Grandes_Itens!F11)</f>
        <v>22567.53</v>
      </c>
      <c r="T15" s="1257">
        <f t="shared" si="2"/>
        <v>1.7874969854963791</v>
      </c>
      <c r="W15" s="108">
        <f t="shared" si="3"/>
        <v>100</v>
      </c>
    </row>
    <row r="16" spans="1:24" x14ac:dyDescent="0.2">
      <c r="A16" s="149" t="str">
        <f t="shared" si="4"/>
        <v>6|8</v>
      </c>
      <c r="B16" s="155" t="s">
        <v>310</v>
      </c>
      <c r="C16" s="151" t="s">
        <v>438</v>
      </c>
      <c r="D16" s="152"/>
      <c r="E16" s="153">
        <v>6</v>
      </c>
      <c r="F16" s="1307"/>
      <c r="G16" s="1307"/>
      <c r="H16" s="1307"/>
      <c r="I16" s="1307"/>
      <c r="J16" s="1307"/>
      <c r="K16" s="1307"/>
      <c r="L16" s="629"/>
      <c r="M16" s="629"/>
      <c r="N16" s="629"/>
      <c r="O16" s="629"/>
      <c r="P16" s="629"/>
      <c r="Q16" s="630"/>
      <c r="R16" s="154"/>
      <c r="S16" s="1256">
        <f>IF(Grandes_Itens!F12=0,0,Grandes_Itens!F12)</f>
        <v>0</v>
      </c>
      <c r="T16" s="1257">
        <f t="shared" si="2"/>
        <v>0</v>
      </c>
      <c r="W16" s="108">
        <f t="shared" si="3"/>
        <v>0</v>
      </c>
    </row>
    <row r="17" spans="1:23" x14ac:dyDescent="0.2">
      <c r="A17" s="149" t="str">
        <f t="shared" si="4"/>
        <v>6|9</v>
      </c>
      <c r="B17" s="155" t="s">
        <v>439</v>
      </c>
      <c r="C17" s="151" t="s">
        <v>440</v>
      </c>
      <c r="D17" s="152"/>
      <c r="E17" s="153">
        <v>6</v>
      </c>
      <c r="F17" s="1307"/>
      <c r="G17" s="1307"/>
      <c r="H17" s="1307"/>
      <c r="I17" s="1307"/>
      <c r="J17" s="1307"/>
      <c r="K17" s="1307"/>
      <c r="L17" s="629"/>
      <c r="M17" s="629"/>
      <c r="N17" s="629"/>
      <c r="O17" s="629"/>
      <c r="P17" s="629"/>
      <c r="Q17" s="630"/>
      <c r="R17" s="154"/>
      <c r="S17" s="1256">
        <f>IF(Grandes_Itens!F13=0,0,Grandes_Itens!F13)</f>
        <v>0</v>
      </c>
      <c r="T17" s="1257">
        <f t="shared" si="2"/>
        <v>0</v>
      </c>
      <c r="W17" s="108">
        <f t="shared" si="3"/>
        <v>0</v>
      </c>
    </row>
    <row r="18" spans="1:23" x14ac:dyDescent="0.2">
      <c r="A18" s="149" t="str">
        <f t="shared" si="4"/>
        <v>6|10</v>
      </c>
      <c r="B18" s="155" t="s">
        <v>441</v>
      </c>
      <c r="C18" s="151" t="s">
        <v>431</v>
      </c>
      <c r="D18" s="152"/>
      <c r="E18" s="153"/>
      <c r="F18" s="1307"/>
      <c r="G18" s="1307"/>
      <c r="H18" s="1307"/>
      <c r="I18" s="1307"/>
      <c r="J18" s="1307"/>
      <c r="K18" s="1307"/>
      <c r="L18" s="629"/>
      <c r="M18" s="629"/>
      <c r="N18" s="629"/>
      <c r="O18" s="629"/>
      <c r="P18" s="629"/>
      <c r="Q18" s="630"/>
      <c r="R18" s="154"/>
      <c r="S18" s="1256">
        <f>IF(Grandes_Itens!F14=0,0,Grandes_Itens!F14)</f>
        <v>0</v>
      </c>
      <c r="T18" s="1257">
        <f t="shared" si="2"/>
        <v>0</v>
      </c>
      <c r="W18" s="108">
        <f t="shared" si="3"/>
        <v>0</v>
      </c>
    </row>
    <row r="19" spans="1:23" x14ac:dyDescent="0.2">
      <c r="A19" s="149" t="str">
        <f t="shared" si="4"/>
        <v>6|11</v>
      </c>
      <c r="B19" s="155" t="s">
        <v>487</v>
      </c>
      <c r="C19" s="151" t="s">
        <v>525</v>
      </c>
      <c r="D19" s="152"/>
      <c r="E19" s="153"/>
      <c r="F19" s="1307"/>
      <c r="G19" s="1307"/>
      <c r="H19" s="1307"/>
      <c r="I19" s="1307"/>
      <c r="J19" s="1307"/>
      <c r="K19" s="1307"/>
      <c r="L19" s="629"/>
      <c r="M19" s="629"/>
      <c r="N19" s="629"/>
      <c r="O19" s="629"/>
      <c r="P19" s="629"/>
      <c r="Q19" s="630"/>
      <c r="R19" s="154"/>
      <c r="S19" s="1256">
        <f>IF(Grandes_Itens!F15=0,0,Grandes_Itens!F15)</f>
        <v>0</v>
      </c>
      <c r="T19" s="1257">
        <f t="shared" si="2"/>
        <v>0</v>
      </c>
      <c r="W19" s="108">
        <f t="shared" si="3"/>
        <v>0</v>
      </c>
    </row>
    <row r="20" spans="1:23" ht="13.5" thickBot="1" x14ac:dyDescent="0.25">
      <c r="A20" s="108"/>
      <c r="B20" s="156"/>
      <c r="C20" s="157"/>
      <c r="D20" s="157"/>
      <c r="E20" s="157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258"/>
      <c r="T20" s="1259"/>
    </row>
    <row r="21" spans="1:23" ht="14.25" thickTop="1" thickBot="1" x14ac:dyDescent="0.25">
      <c r="A21" s="108"/>
      <c r="B21" s="159"/>
      <c r="C21" s="160"/>
      <c r="D21" s="160" t="s">
        <v>657</v>
      </c>
      <c r="E21" s="161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260">
        <f>SUM(S9:S20)</f>
        <v>1262521.29</v>
      </c>
      <c r="T21" s="1261">
        <f>SUM(T9:T19)</f>
        <v>99.999999999999986</v>
      </c>
    </row>
    <row r="22" spans="1:23" ht="18.75" thickTop="1" x14ac:dyDescent="0.25">
      <c r="A22" s="108"/>
      <c r="B22" s="163" t="s">
        <v>658</v>
      </c>
      <c r="C22" s="164"/>
      <c r="D22" s="164"/>
      <c r="E22" s="164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6"/>
    </row>
    <row r="23" spans="1:23" ht="13.5" thickBot="1" x14ac:dyDescent="0.25">
      <c r="A23" s="108"/>
      <c r="B23" s="167" t="s">
        <v>653</v>
      </c>
      <c r="C23" s="168"/>
      <c r="D23" s="168"/>
      <c r="E23" s="168"/>
      <c r="F23" s="169" t="s">
        <v>659</v>
      </c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70"/>
      <c r="R23" s="133" t="s">
        <v>660</v>
      </c>
      <c r="S23" s="171" t="s">
        <v>468</v>
      </c>
      <c r="T23" s="172" t="s">
        <v>651</v>
      </c>
    </row>
    <row r="24" spans="1:23" ht="13.5" thickTop="1" x14ac:dyDescent="0.2">
      <c r="A24" s="108"/>
      <c r="B24" s="173"/>
      <c r="C24" s="174"/>
      <c r="D24" s="175"/>
      <c r="E24" s="175"/>
      <c r="F24" s="176">
        <f t="shared" ref="F24:Q24" si="5">F6</f>
        <v>1</v>
      </c>
      <c r="G24" s="176">
        <f t="shared" si="5"/>
        <v>2</v>
      </c>
      <c r="H24" s="176">
        <f t="shared" si="5"/>
        <v>3</v>
      </c>
      <c r="I24" s="176">
        <f t="shared" si="5"/>
        <v>4</v>
      </c>
      <c r="J24" s="176">
        <f t="shared" si="5"/>
        <v>5</v>
      </c>
      <c r="K24" s="176">
        <f t="shared" si="5"/>
        <v>6</v>
      </c>
      <c r="L24" s="176">
        <f t="shared" si="5"/>
        <v>0</v>
      </c>
      <c r="M24" s="176">
        <f t="shared" si="5"/>
        <v>0</v>
      </c>
      <c r="N24" s="176">
        <f t="shared" si="5"/>
        <v>0</v>
      </c>
      <c r="O24" s="176">
        <f t="shared" si="5"/>
        <v>0</v>
      </c>
      <c r="P24" s="176">
        <f t="shared" si="5"/>
        <v>0</v>
      </c>
      <c r="Q24" s="177">
        <f t="shared" si="5"/>
        <v>0</v>
      </c>
      <c r="R24" s="178" t="s">
        <v>661</v>
      </c>
      <c r="S24" s="179" t="s">
        <v>653</v>
      </c>
      <c r="T24" s="180" t="s">
        <v>653</v>
      </c>
    </row>
    <row r="25" spans="1:23" x14ac:dyDescent="0.2">
      <c r="A25" s="108"/>
      <c r="B25" s="181" t="s">
        <v>662</v>
      </c>
      <c r="C25" s="182" t="s">
        <v>432</v>
      </c>
      <c r="D25" s="183" t="s">
        <v>663</v>
      </c>
      <c r="E25" s="184" t="s">
        <v>664</v>
      </c>
      <c r="F25" s="1243">
        <f t="shared" ref="F25:Q25" si="6">((F9/100)*$S$9)*$T$2</f>
        <v>0</v>
      </c>
      <c r="G25" s="1243">
        <f t="shared" si="6"/>
        <v>0</v>
      </c>
      <c r="H25" s="1243">
        <f t="shared" si="6"/>
        <v>0</v>
      </c>
      <c r="I25" s="1243">
        <f t="shared" si="6"/>
        <v>0</v>
      </c>
      <c r="J25" s="1243">
        <f t="shared" si="6"/>
        <v>0</v>
      </c>
      <c r="K25" s="1243">
        <f t="shared" si="6"/>
        <v>0</v>
      </c>
      <c r="L25" s="1243">
        <f t="shared" si="6"/>
        <v>0</v>
      </c>
      <c r="M25" s="1243">
        <f t="shared" si="6"/>
        <v>0</v>
      </c>
      <c r="N25" s="1243">
        <f t="shared" si="6"/>
        <v>0</v>
      </c>
      <c r="O25" s="1243">
        <f t="shared" si="6"/>
        <v>0</v>
      </c>
      <c r="P25" s="1243">
        <f t="shared" si="6"/>
        <v>0</v>
      </c>
      <c r="Q25" s="1244">
        <f t="shared" si="6"/>
        <v>0</v>
      </c>
      <c r="R25" s="185">
        <f>COUNTIF(F25:Q25,"&gt;0")</f>
        <v>0</v>
      </c>
      <c r="S25" s="1249">
        <f t="shared" ref="S25:S46" si="7">SUM(F25:Q25)</f>
        <v>0</v>
      </c>
      <c r="T25" s="186">
        <f t="shared" ref="T25:T46" si="8">IF($S$51=0,0,(S25/$S$51))</f>
        <v>0</v>
      </c>
    </row>
    <row r="26" spans="1:23" x14ac:dyDescent="0.2">
      <c r="A26" s="108"/>
      <c r="B26" s="181" t="s">
        <v>665</v>
      </c>
      <c r="C26" s="187"/>
      <c r="D26" s="183" t="s">
        <v>666</v>
      </c>
      <c r="E26" s="184" t="s">
        <v>664</v>
      </c>
      <c r="F26" s="1243">
        <f>((F9/100)*$S$9)*T3</f>
        <v>0</v>
      </c>
      <c r="G26" s="1243">
        <f t="shared" ref="G26:Q26" si="9">((G9/100)*$S$9)*$T$3</f>
        <v>0</v>
      </c>
      <c r="H26" s="1243">
        <f t="shared" si="9"/>
        <v>0</v>
      </c>
      <c r="I26" s="1243">
        <f t="shared" si="9"/>
        <v>0</v>
      </c>
      <c r="J26" s="1243">
        <f t="shared" si="9"/>
        <v>0</v>
      </c>
      <c r="K26" s="1243">
        <f t="shared" si="9"/>
        <v>0</v>
      </c>
      <c r="L26" s="1243">
        <f t="shared" si="9"/>
        <v>0</v>
      </c>
      <c r="M26" s="1243">
        <f t="shared" si="9"/>
        <v>0</v>
      </c>
      <c r="N26" s="1243">
        <f t="shared" si="9"/>
        <v>0</v>
      </c>
      <c r="O26" s="1243">
        <f t="shared" si="9"/>
        <v>0</v>
      </c>
      <c r="P26" s="1243">
        <f t="shared" si="9"/>
        <v>0</v>
      </c>
      <c r="Q26" s="1244">
        <f t="shared" si="9"/>
        <v>0</v>
      </c>
      <c r="R26" s="188">
        <f t="shared" ref="R26:R46" si="10">COUNTIF(F26:Q26,"&gt;0")</f>
        <v>0</v>
      </c>
      <c r="S26" s="1249">
        <f t="shared" si="7"/>
        <v>0</v>
      </c>
      <c r="T26" s="186">
        <f t="shared" si="8"/>
        <v>0</v>
      </c>
      <c r="U26" s="189"/>
    </row>
    <row r="27" spans="1:23" x14ac:dyDescent="0.2">
      <c r="A27" s="108"/>
      <c r="B27" s="181" t="s">
        <v>667</v>
      </c>
      <c r="C27" s="190" t="s">
        <v>428</v>
      </c>
      <c r="D27" s="184" t="s">
        <v>663</v>
      </c>
      <c r="E27" s="184" t="s">
        <v>664</v>
      </c>
      <c r="F27" s="1243">
        <f t="shared" ref="F27:Q27" si="11">((F10/100)*$S$10)*$T$2</f>
        <v>0</v>
      </c>
      <c r="G27" s="1243">
        <f t="shared" si="11"/>
        <v>0</v>
      </c>
      <c r="H27" s="1243">
        <f t="shared" si="11"/>
        <v>0</v>
      </c>
      <c r="I27" s="1243">
        <f t="shared" si="11"/>
        <v>0</v>
      </c>
      <c r="J27" s="1243">
        <f t="shared" si="11"/>
        <v>0</v>
      </c>
      <c r="K27" s="1243">
        <f t="shared" si="11"/>
        <v>0</v>
      </c>
      <c r="L27" s="1243">
        <f t="shared" si="11"/>
        <v>0</v>
      </c>
      <c r="M27" s="1243">
        <f t="shared" si="11"/>
        <v>0</v>
      </c>
      <c r="N27" s="1243">
        <f t="shared" si="11"/>
        <v>0</v>
      </c>
      <c r="O27" s="1243">
        <f t="shared" si="11"/>
        <v>0</v>
      </c>
      <c r="P27" s="1243">
        <f t="shared" si="11"/>
        <v>0</v>
      </c>
      <c r="Q27" s="1244">
        <f t="shared" si="11"/>
        <v>0</v>
      </c>
      <c r="R27" s="188">
        <f t="shared" si="10"/>
        <v>0</v>
      </c>
      <c r="S27" s="1249">
        <f t="shared" si="7"/>
        <v>0</v>
      </c>
      <c r="T27" s="186">
        <f t="shared" si="8"/>
        <v>0</v>
      </c>
    </row>
    <row r="28" spans="1:23" x14ac:dyDescent="0.2">
      <c r="A28" s="108"/>
      <c r="B28" s="181" t="s">
        <v>668</v>
      </c>
      <c r="C28" s="191"/>
      <c r="D28" s="184" t="s">
        <v>666</v>
      </c>
      <c r="E28" s="184" t="s">
        <v>664</v>
      </c>
      <c r="F28" s="1243">
        <f t="shared" ref="F28:Q28" si="12">((F10/100)*$S$10)*$T$3</f>
        <v>0</v>
      </c>
      <c r="G28" s="1243">
        <f t="shared" si="12"/>
        <v>0</v>
      </c>
      <c r="H28" s="1243">
        <f t="shared" si="12"/>
        <v>0</v>
      </c>
      <c r="I28" s="1243">
        <f t="shared" si="12"/>
        <v>0</v>
      </c>
      <c r="J28" s="1243">
        <f t="shared" si="12"/>
        <v>0</v>
      </c>
      <c r="K28" s="1243">
        <f t="shared" si="12"/>
        <v>0</v>
      </c>
      <c r="L28" s="1243">
        <f t="shared" si="12"/>
        <v>0</v>
      </c>
      <c r="M28" s="1243">
        <f t="shared" si="12"/>
        <v>0</v>
      </c>
      <c r="N28" s="1243">
        <f t="shared" si="12"/>
        <v>0</v>
      </c>
      <c r="O28" s="1243">
        <f t="shared" si="12"/>
        <v>0</v>
      </c>
      <c r="P28" s="1243">
        <f t="shared" si="12"/>
        <v>0</v>
      </c>
      <c r="Q28" s="1244">
        <f t="shared" si="12"/>
        <v>0</v>
      </c>
      <c r="R28" s="188">
        <f t="shared" si="10"/>
        <v>0</v>
      </c>
      <c r="S28" s="1249">
        <f t="shared" si="7"/>
        <v>0</v>
      </c>
      <c r="T28" s="186">
        <f t="shared" si="8"/>
        <v>0</v>
      </c>
      <c r="U28" s="189"/>
    </row>
    <row r="29" spans="1:23" x14ac:dyDescent="0.2">
      <c r="A29" s="108"/>
      <c r="B29" s="181" t="s">
        <v>669</v>
      </c>
      <c r="C29" s="190" t="s">
        <v>434</v>
      </c>
      <c r="D29" s="184" t="s">
        <v>663</v>
      </c>
      <c r="E29" s="184" t="s">
        <v>664</v>
      </c>
      <c r="F29" s="1243">
        <f t="shared" ref="F29:Q29" si="13">((F11/100)*$S$11)*$T$2</f>
        <v>0</v>
      </c>
      <c r="G29" s="1243">
        <f t="shared" si="13"/>
        <v>0</v>
      </c>
      <c r="H29" s="1243">
        <f t="shared" si="13"/>
        <v>0</v>
      </c>
      <c r="I29" s="1243">
        <f t="shared" si="13"/>
        <v>0</v>
      </c>
      <c r="J29" s="1243">
        <f t="shared" si="13"/>
        <v>0</v>
      </c>
      <c r="K29" s="1243">
        <f t="shared" si="13"/>
        <v>0</v>
      </c>
      <c r="L29" s="1243">
        <f t="shared" si="13"/>
        <v>0</v>
      </c>
      <c r="M29" s="1243">
        <f t="shared" si="13"/>
        <v>0</v>
      </c>
      <c r="N29" s="1243">
        <f t="shared" si="13"/>
        <v>0</v>
      </c>
      <c r="O29" s="1243">
        <f t="shared" si="13"/>
        <v>0</v>
      </c>
      <c r="P29" s="1243">
        <f t="shared" si="13"/>
        <v>0</v>
      </c>
      <c r="Q29" s="1244">
        <f t="shared" si="13"/>
        <v>0</v>
      </c>
      <c r="R29" s="188">
        <f t="shared" si="10"/>
        <v>0</v>
      </c>
      <c r="S29" s="1249">
        <f t="shared" si="7"/>
        <v>0</v>
      </c>
      <c r="T29" s="186">
        <f t="shared" si="8"/>
        <v>0</v>
      </c>
    </row>
    <row r="30" spans="1:23" x14ac:dyDescent="0.2">
      <c r="A30" s="108"/>
      <c r="B30" s="181" t="s">
        <v>670</v>
      </c>
      <c r="C30" s="191"/>
      <c r="D30" s="184" t="s">
        <v>666</v>
      </c>
      <c r="E30" s="184" t="s">
        <v>664</v>
      </c>
      <c r="F30" s="1243">
        <f t="shared" ref="F30:Q30" si="14">((F11/100)*$S$11)*$T$3</f>
        <v>0</v>
      </c>
      <c r="G30" s="1243">
        <f t="shared" si="14"/>
        <v>0</v>
      </c>
      <c r="H30" s="1243">
        <f t="shared" si="14"/>
        <v>0</v>
      </c>
      <c r="I30" s="1243">
        <f t="shared" si="14"/>
        <v>0</v>
      </c>
      <c r="J30" s="1243">
        <f t="shared" si="14"/>
        <v>0</v>
      </c>
      <c r="K30" s="1243">
        <f t="shared" si="14"/>
        <v>0</v>
      </c>
      <c r="L30" s="1243">
        <f t="shared" si="14"/>
        <v>0</v>
      </c>
      <c r="M30" s="1243">
        <f t="shared" si="14"/>
        <v>0</v>
      </c>
      <c r="N30" s="1243">
        <f t="shared" si="14"/>
        <v>0</v>
      </c>
      <c r="O30" s="1243">
        <f t="shared" si="14"/>
        <v>0</v>
      </c>
      <c r="P30" s="1243">
        <f t="shared" si="14"/>
        <v>0</v>
      </c>
      <c r="Q30" s="1244">
        <f t="shared" si="14"/>
        <v>0</v>
      </c>
      <c r="R30" s="188">
        <f t="shared" si="10"/>
        <v>0</v>
      </c>
      <c r="S30" s="1249">
        <f t="shared" si="7"/>
        <v>0</v>
      </c>
      <c r="T30" s="186">
        <f t="shared" si="8"/>
        <v>0</v>
      </c>
      <c r="U30" s="189"/>
    </row>
    <row r="31" spans="1:23" x14ac:dyDescent="0.2">
      <c r="A31" s="108"/>
      <c r="B31" s="181" t="s">
        <v>671</v>
      </c>
      <c r="C31" s="190" t="s">
        <v>429</v>
      </c>
      <c r="D31" s="184" t="s">
        <v>663</v>
      </c>
      <c r="E31" s="184" t="s">
        <v>664</v>
      </c>
      <c r="F31" s="1243">
        <f>((F12/100)*$S$12)*T2</f>
        <v>0</v>
      </c>
      <c r="G31" s="1243">
        <f t="shared" ref="G31:Q31" si="15">((G12/100)*$S$12)*$T$2</f>
        <v>0</v>
      </c>
      <c r="H31" s="1243">
        <f t="shared" si="15"/>
        <v>0</v>
      </c>
      <c r="I31" s="1243">
        <f t="shared" si="15"/>
        <v>0</v>
      </c>
      <c r="J31" s="1243">
        <f t="shared" si="15"/>
        <v>0</v>
      </c>
      <c r="K31" s="1243">
        <f t="shared" si="15"/>
        <v>0</v>
      </c>
      <c r="L31" s="1243">
        <f t="shared" si="15"/>
        <v>0</v>
      </c>
      <c r="M31" s="1243">
        <f t="shared" si="15"/>
        <v>0</v>
      </c>
      <c r="N31" s="1243">
        <f t="shared" si="15"/>
        <v>0</v>
      </c>
      <c r="O31" s="1243">
        <f t="shared" si="15"/>
        <v>0</v>
      </c>
      <c r="P31" s="1243">
        <f t="shared" si="15"/>
        <v>0</v>
      </c>
      <c r="Q31" s="1244">
        <f t="shared" si="15"/>
        <v>0</v>
      </c>
      <c r="R31" s="188">
        <f t="shared" si="10"/>
        <v>0</v>
      </c>
      <c r="S31" s="1249">
        <f t="shared" si="7"/>
        <v>0</v>
      </c>
      <c r="T31" s="186">
        <f t="shared" si="8"/>
        <v>0</v>
      </c>
    </row>
    <row r="32" spans="1:23" x14ac:dyDescent="0.2">
      <c r="A32" s="108"/>
      <c r="B32" s="181" t="s">
        <v>672</v>
      </c>
      <c r="C32" s="191"/>
      <c r="D32" s="184" t="s">
        <v>666</v>
      </c>
      <c r="E32" s="184" t="s">
        <v>664</v>
      </c>
      <c r="F32" s="1243">
        <f t="shared" ref="F32:Q32" si="16">((F12/100)*$S$12)*$T$3</f>
        <v>61997.688000000002</v>
      </c>
      <c r="G32" s="1243">
        <f t="shared" si="16"/>
        <v>123995.376</v>
      </c>
      <c r="H32" s="1243">
        <f t="shared" si="16"/>
        <v>247990.75200000001</v>
      </c>
      <c r="I32" s="1243">
        <f t="shared" si="16"/>
        <v>309988.44</v>
      </c>
      <c r="J32" s="1243">
        <f t="shared" si="16"/>
        <v>247990.75200000001</v>
      </c>
      <c r="K32" s="1243">
        <f t="shared" si="16"/>
        <v>247990.75200000001</v>
      </c>
      <c r="L32" s="1243">
        <f t="shared" si="16"/>
        <v>0</v>
      </c>
      <c r="M32" s="1243">
        <f t="shared" si="16"/>
        <v>0</v>
      </c>
      <c r="N32" s="1243">
        <f t="shared" si="16"/>
        <v>0</v>
      </c>
      <c r="O32" s="1243">
        <f t="shared" si="16"/>
        <v>0</v>
      </c>
      <c r="P32" s="1243">
        <f t="shared" si="16"/>
        <v>0</v>
      </c>
      <c r="Q32" s="1244">
        <f t="shared" si="16"/>
        <v>0</v>
      </c>
      <c r="R32" s="188">
        <f t="shared" si="10"/>
        <v>6</v>
      </c>
      <c r="S32" s="1249">
        <f t="shared" si="7"/>
        <v>1239953.76</v>
      </c>
      <c r="T32" s="186">
        <f t="shared" si="8"/>
        <v>0.98212503014503616</v>
      </c>
      <c r="U32" s="189"/>
    </row>
    <row r="33" spans="1:21" x14ac:dyDescent="0.2">
      <c r="A33" s="108"/>
      <c r="B33" s="181" t="s">
        <v>673</v>
      </c>
      <c r="C33" s="190" t="s">
        <v>430</v>
      </c>
      <c r="D33" s="184" t="s">
        <v>663</v>
      </c>
      <c r="E33" s="184" t="s">
        <v>664</v>
      </c>
      <c r="F33" s="1243">
        <f t="shared" ref="F33:Q33" si="17">((F13/100)*$S$13)*$T$2</f>
        <v>0</v>
      </c>
      <c r="G33" s="1243">
        <f t="shared" si="17"/>
        <v>0</v>
      </c>
      <c r="H33" s="1243">
        <f t="shared" si="17"/>
        <v>0</v>
      </c>
      <c r="I33" s="1243">
        <f t="shared" si="17"/>
        <v>0</v>
      </c>
      <c r="J33" s="1243">
        <f t="shared" si="17"/>
        <v>0</v>
      </c>
      <c r="K33" s="1243">
        <f t="shared" si="17"/>
        <v>0</v>
      </c>
      <c r="L33" s="1243">
        <f t="shared" si="17"/>
        <v>0</v>
      </c>
      <c r="M33" s="1243">
        <f t="shared" si="17"/>
        <v>0</v>
      </c>
      <c r="N33" s="1243">
        <f t="shared" si="17"/>
        <v>0</v>
      </c>
      <c r="O33" s="1243">
        <f t="shared" si="17"/>
        <v>0</v>
      </c>
      <c r="P33" s="1243">
        <f t="shared" si="17"/>
        <v>0</v>
      </c>
      <c r="Q33" s="1244">
        <f t="shared" si="17"/>
        <v>0</v>
      </c>
      <c r="R33" s="188">
        <f t="shared" si="10"/>
        <v>0</v>
      </c>
      <c r="S33" s="1249">
        <f t="shared" si="7"/>
        <v>0</v>
      </c>
      <c r="T33" s="186">
        <f t="shared" si="8"/>
        <v>0</v>
      </c>
    </row>
    <row r="34" spans="1:21" x14ac:dyDescent="0.2">
      <c r="A34" s="108"/>
      <c r="B34" s="181" t="s">
        <v>674</v>
      </c>
      <c r="C34" s="191"/>
      <c r="D34" s="184" t="s">
        <v>666</v>
      </c>
      <c r="E34" s="184" t="s">
        <v>664</v>
      </c>
      <c r="F34" s="1243">
        <f t="shared" ref="F34:Q34" si="18">((F13/100)*$S$13)*$T$3</f>
        <v>0</v>
      </c>
      <c r="G34" s="1243">
        <f t="shared" si="18"/>
        <v>0</v>
      </c>
      <c r="H34" s="1243">
        <f t="shared" si="18"/>
        <v>0</v>
      </c>
      <c r="I34" s="1243">
        <f t="shared" si="18"/>
        <v>0</v>
      </c>
      <c r="J34" s="1243">
        <f t="shared" si="18"/>
        <v>0</v>
      </c>
      <c r="K34" s="1243">
        <f t="shared" si="18"/>
        <v>0</v>
      </c>
      <c r="L34" s="1243">
        <f t="shared" si="18"/>
        <v>0</v>
      </c>
      <c r="M34" s="1243">
        <f t="shared" si="18"/>
        <v>0</v>
      </c>
      <c r="N34" s="1243">
        <f t="shared" si="18"/>
        <v>0</v>
      </c>
      <c r="O34" s="1243">
        <f t="shared" si="18"/>
        <v>0</v>
      </c>
      <c r="P34" s="1243">
        <f t="shared" si="18"/>
        <v>0</v>
      </c>
      <c r="Q34" s="1244">
        <f t="shared" si="18"/>
        <v>0</v>
      </c>
      <c r="R34" s="188">
        <f t="shared" si="10"/>
        <v>0</v>
      </c>
      <c r="S34" s="1249">
        <f t="shared" si="7"/>
        <v>0</v>
      </c>
      <c r="T34" s="186">
        <f t="shared" si="8"/>
        <v>0</v>
      </c>
      <c r="U34" s="189"/>
    </row>
    <row r="35" spans="1:21" x14ac:dyDescent="0.2">
      <c r="A35" s="108"/>
      <c r="B35" s="181" t="s">
        <v>675</v>
      </c>
      <c r="C35" s="190" t="s">
        <v>575</v>
      </c>
      <c r="D35" s="184" t="s">
        <v>663</v>
      </c>
      <c r="E35" s="184" t="s">
        <v>664</v>
      </c>
      <c r="F35" s="1243">
        <f t="shared" ref="F35:Q35" si="19">((F14/100)*$S$14)*$T$2</f>
        <v>0</v>
      </c>
      <c r="G35" s="1243">
        <f t="shared" si="19"/>
        <v>0</v>
      </c>
      <c r="H35" s="1243">
        <f t="shared" si="19"/>
        <v>0</v>
      </c>
      <c r="I35" s="1243">
        <f t="shared" si="19"/>
        <v>0</v>
      </c>
      <c r="J35" s="1243">
        <f t="shared" si="19"/>
        <v>0</v>
      </c>
      <c r="K35" s="1243">
        <f t="shared" si="19"/>
        <v>0</v>
      </c>
      <c r="L35" s="1243">
        <f t="shared" si="19"/>
        <v>0</v>
      </c>
      <c r="M35" s="1243">
        <f t="shared" si="19"/>
        <v>0</v>
      </c>
      <c r="N35" s="1243">
        <f t="shared" si="19"/>
        <v>0</v>
      </c>
      <c r="O35" s="1243">
        <f t="shared" si="19"/>
        <v>0</v>
      </c>
      <c r="P35" s="1243">
        <f t="shared" si="19"/>
        <v>0</v>
      </c>
      <c r="Q35" s="1244">
        <f t="shared" si="19"/>
        <v>0</v>
      </c>
      <c r="R35" s="188">
        <f t="shared" si="10"/>
        <v>0</v>
      </c>
      <c r="S35" s="1249">
        <f t="shared" si="7"/>
        <v>0</v>
      </c>
      <c r="T35" s="186">
        <f t="shared" si="8"/>
        <v>0</v>
      </c>
    </row>
    <row r="36" spans="1:21" x14ac:dyDescent="0.2">
      <c r="A36" s="108"/>
      <c r="B36" s="181" t="s">
        <v>676</v>
      </c>
      <c r="C36" s="191"/>
      <c r="D36" s="184" t="s">
        <v>666</v>
      </c>
      <c r="E36" s="184" t="s">
        <v>664</v>
      </c>
      <c r="F36" s="1243">
        <f t="shared" ref="F36:Q36" si="20">((F14/100)*$S$14)*$T$3</f>
        <v>0</v>
      </c>
      <c r="G36" s="1243">
        <f t="shared" si="20"/>
        <v>0</v>
      </c>
      <c r="H36" s="1243">
        <f t="shared" si="20"/>
        <v>0</v>
      </c>
      <c r="I36" s="1243">
        <f t="shared" si="20"/>
        <v>0</v>
      </c>
      <c r="J36" s="1243">
        <f t="shared" si="20"/>
        <v>0</v>
      </c>
      <c r="K36" s="1243">
        <f t="shared" si="20"/>
        <v>0</v>
      </c>
      <c r="L36" s="1243">
        <f t="shared" si="20"/>
        <v>0</v>
      </c>
      <c r="M36" s="1243">
        <f t="shared" si="20"/>
        <v>0</v>
      </c>
      <c r="N36" s="1243">
        <f t="shared" si="20"/>
        <v>0</v>
      </c>
      <c r="O36" s="1243">
        <f t="shared" si="20"/>
        <v>0</v>
      </c>
      <c r="P36" s="1243">
        <f t="shared" si="20"/>
        <v>0</v>
      </c>
      <c r="Q36" s="1244">
        <f t="shared" si="20"/>
        <v>0</v>
      </c>
      <c r="R36" s="188">
        <f t="shared" si="10"/>
        <v>0</v>
      </c>
      <c r="S36" s="1249">
        <f t="shared" si="7"/>
        <v>0</v>
      </c>
      <c r="T36" s="186">
        <f t="shared" si="8"/>
        <v>0</v>
      </c>
      <c r="U36" s="189"/>
    </row>
    <row r="37" spans="1:21" x14ac:dyDescent="0.2">
      <c r="A37" s="108"/>
      <c r="B37" s="181" t="s">
        <v>677</v>
      </c>
      <c r="C37" s="190" t="s">
        <v>436</v>
      </c>
      <c r="D37" s="184" t="s">
        <v>663</v>
      </c>
      <c r="E37" s="184" t="s">
        <v>664</v>
      </c>
      <c r="F37" s="1243">
        <f t="shared" ref="F37:Q37" si="21">((F15/100)*$S$15)*$T$2</f>
        <v>0</v>
      </c>
      <c r="G37" s="1243">
        <f t="shared" si="21"/>
        <v>0</v>
      </c>
      <c r="H37" s="1243">
        <f t="shared" si="21"/>
        <v>0</v>
      </c>
      <c r="I37" s="1243">
        <f t="shared" si="21"/>
        <v>0</v>
      </c>
      <c r="J37" s="1243">
        <f t="shared" si="21"/>
        <v>0</v>
      </c>
      <c r="K37" s="1243">
        <f t="shared" si="21"/>
        <v>0</v>
      </c>
      <c r="L37" s="1243">
        <f t="shared" si="21"/>
        <v>0</v>
      </c>
      <c r="M37" s="1243">
        <f t="shared" si="21"/>
        <v>0</v>
      </c>
      <c r="N37" s="1243">
        <f t="shared" si="21"/>
        <v>0</v>
      </c>
      <c r="O37" s="1243">
        <f t="shared" si="21"/>
        <v>0</v>
      </c>
      <c r="P37" s="1243">
        <f t="shared" si="21"/>
        <v>0</v>
      </c>
      <c r="Q37" s="1244">
        <f t="shared" si="21"/>
        <v>0</v>
      </c>
      <c r="R37" s="188">
        <f t="shared" si="10"/>
        <v>0</v>
      </c>
      <c r="S37" s="1249">
        <f t="shared" si="7"/>
        <v>0</v>
      </c>
      <c r="T37" s="186">
        <f t="shared" si="8"/>
        <v>0</v>
      </c>
    </row>
    <row r="38" spans="1:21" x14ac:dyDescent="0.2">
      <c r="A38" s="108"/>
      <c r="B38" s="181" t="s">
        <v>678</v>
      </c>
      <c r="C38" s="191"/>
      <c r="D38" s="184" t="s">
        <v>666</v>
      </c>
      <c r="E38" s="184" t="s">
        <v>664</v>
      </c>
      <c r="F38" s="1243">
        <f t="shared" ref="F38:Q38" si="22">((F15/100)*$S$15)*$T$3</f>
        <v>0</v>
      </c>
      <c r="G38" s="1243">
        <f t="shared" si="22"/>
        <v>0</v>
      </c>
      <c r="H38" s="1243">
        <f t="shared" si="22"/>
        <v>4513.5060000000003</v>
      </c>
      <c r="I38" s="1243">
        <f t="shared" si="22"/>
        <v>4513.5060000000003</v>
      </c>
      <c r="J38" s="1243">
        <f t="shared" si="22"/>
        <v>6770.2589999999991</v>
      </c>
      <c r="K38" s="1243">
        <f t="shared" si="22"/>
        <v>6770.2589999999991</v>
      </c>
      <c r="L38" s="1243">
        <f t="shared" si="22"/>
        <v>0</v>
      </c>
      <c r="M38" s="1243">
        <f t="shared" si="22"/>
        <v>0</v>
      </c>
      <c r="N38" s="1243">
        <f t="shared" si="22"/>
        <v>0</v>
      </c>
      <c r="O38" s="1243">
        <f t="shared" si="22"/>
        <v>0</v>
      </c>
      <c r="P38" s="1243">
        <f t="shared" si="22"/>
        <v>0</v>
      </c>
      <c r="Q38" s="1244">
        <f t="shared" si="22"/>
        <v>0</v>
      </c>
      <c r="R38" s="188">
        <f t="shared" si="10"/>
        <v>4</v>
      </c>
      <c r="S38" s="1249">
        <f t="shared" si="7"/>
        <v>22567.53</v>
      </c>
      <c r="T38" s="186">
        <f t="shared" si="8"/>
        <v>1.7874969854963792E-2</v>
      </c>
      <c r="U38" s="189"/>
    </row>
    <row r="39" spans="1:21" x14ac:dyDescent="0.2">
      <c r="A39" s="108"/>
      <c r="B39" s="181" t="s">
        <v>679</v>
      </c>
      <c r="C39" s="190" t="s">
        <v>438</v>
      </c>
      <c r="D39" s="184" t="s">
        <v>663</v>
      </c>
      <c r="E39" s="184" t="s">
        <v>664</v>
      </c>
      <c r="F39" s="1243">
        <f t="shared" ref="F39:Q39" si="23">((F16/100)*$S$16)*$T$2</f>
        <v>0</v>
      </c>
      <c r="G39" s="1243">
        <f t="shared" si="23"/>
        <v>0</v>
      </c>
      <c r="H39" s="1243">
        <f t="shared" si="23"/>
        <v>0</v>
      </c>
      <c r="I39" s="1243">
        <f t="shared" si="23"/>
        <v>0</v>
      </c>
      <c r="J39" s="1243">
        <f t="shared" si="23"/>
        <v>0</v>
      </c>
      <c r="K39" s="1243">
        <f t="shared" si="23"/>
        <v>0</v>
      </c>
      <c r="L39" s="1243">
        <f t="shared" si="23"/>
        <v>0</v>
      </c>
      <c r="M39" s="1243">
        <f t="shared" si="23"/>
        <v>0</v>
      </c>
      <c r="N39" s="1243">
        <f t="shared" si="23"/>
        <v>0</v>
      </c>
      <c r="O39" s="1243">
        <f t="shared" si="23"/>
        <v>0</v>
      </c>
      <c r="P39" s="1243">
        <f t="shared" si="23"/>
        <v>0</v>
      </c>
      <c r="Q39" s="1244">
        <f t="shared" si="23"/>
        <v>0</v>
      </c>
      <c r="R39" s="188">
        <f t="shared" si="10"/>
        <v>0</v>
      </c>
      <c r="S39" s="1249">
        <f t="shared" si="7"/>
        <v>0</v>
      </c>
      <c r="T39" s="186">
        <f t="shared" si="8"/>
        <v>0</v>
      </c>
    </row>
    <row r="40" spans="1:21" x14ac:dyDescent="0.2">
      <c r="A40" s="108"/>
      <c r="B40" s="181" t="s">
        <v>680</v>
      </c>
      <c r="C40" s="191"/>
      <c r="D40" s="184" t="s">
        <v>666</v>
      </c>
      <c r="E40" s="184" t="s">
        <v>664</v>
      </c>
      <c r="F40" s="1243">
        <f t="shared" ref="F40:Q40" si="24">((F16/100)*$S$16)*$T$3</f>
        <v>0</v>
      </c>
      <c r="G40" s="1243">
        <f t="shared" si="24"/>
        <v>0</v>
      </c>
      <c r="H40" s="1243">
        <f t="shared" si="24"/>
        <v>0</v>
      </c>
      <c r="I40" s="1243">
        <f t="shared" si="24"/>
        <v>0</v>
      </c>
      <c r="J40" s="1243">
        <f t="shared" si="24"/>
        <v>0</v>
      </c>
      <c r="K40" s="1243">
        <f t="shared" si="24"/>
        <v>0</v>
      </c>
      <c r="L40" s="1243">
        <f t="shared" si="24"/>
        <v>0</v>
      </c>
      <c r="M40" s="1243">
        <f t="shared" si="24"/>
        <v>0</v>
      </c>
      <c r="N40" s="1243">
        <f t="shared" si="24"/>
        <v>0</v>
      </c>
      <c r="O40" s="1243">
        <f t="shared" si="24"/>
        <v>0</v>
      </c>
      <c r="P40" s="1243">
        <f t="shared" si="24"/>
        <v>0</v>
      </c>
      <c r="Q40" s="1244">
        <f t="shared" si="24"/>
        <v>0</v>
      </c>
      <c r="R40" s="188">
        <f t="shared" si="10"/>
        <v>0</v>
      </c>
      <c r="S40" s="1249">
        <f t="shared" si="7"/>
        <v>0</v>
      </c>
      <c r="T40" s="186">
        <f t="shared" si="8"/>
        <v>0</v>
      </c>
      <c r="U40" s="189"/>
    </row>
    <row r="41" spans="1:21" x14ac:dyDescent="0.2">
      <c r="A41" s="108"/>
      <c r="B41" s="181" t="s">
        <v>681</v>
      </c>
      <c r="C41" s="190" t="s">
        <v>440</v>
      </c>
      <c r="D41" s="184" t="s">
        <v>663</v>
      </c>
      <c r="E41" s="184" t="s">
        <v>664</v>
      </c>
      <c r="F41" s="1243">
        <f t="shared" ref="F41:Q41" si="25">((F17/100)*$S$17)*$T$2</f>
        <v>0</v>
      </c>
      <c r="G41" s="1243">
        <f t="shared" si="25"/>
        <v>0</v>
      </c>
      <c r="H41" s="1243">
        <f t="shared" si="25"/>
        <v>0</v>
      </c>
      <c r="I41" s="1243">
        <f t="shared" si="25"/>
        <v>0</v>
      </c>
      <c r="J41" s="1243">
        <f t="shared" si="25"/>
        <v>0</v>
      </c>
      <c r="K41" s="1243">
        <f t="shared" si="25"/>
        <v>0</v>
      </c>
      <c r="L41" s="1243">
        <f t="shared" si="25"/>
        <v>0</v>
      </c>
      <c r="M41" s="1243">
        <f t="shared" si="25"/>
        <v>0</v>
      </c>
      <c r="N41" s="1243">
        <f t="shared" si="25"/>
        <v>0</v>
      </c>
      <c r="O41" s="1243">
        <f t="shared" si="25"/>
        <v>0</v>
      </c>
      <c r="P41" s="1243">
        <f t="shared" si="25"/>
        <v>0</v>
      </c>
      <c r="Q41" s="1244">
        <f t="shared" si="25"/>
        <v>0</v>
      </c>
      <c r="R41" s="188">
        <f t="shared" si="10"/>
        <v>0</v>
      </c>
      <c r="S41" s="1249">
        <f t="shared" si="7"/>
        <v>0</v>
      </c>
      <c r="T41" s="186">
        <f t="shared" si="8"/>
        <v>0</v>
      </c>
    </row>
    <row r="42" spans="1:21" x14ac:dyDescent="0.2">
      <c r="A42" s="108"/>
      <c r="B42" s="181" t="s">
        <v>682</v>
      </c>
      <c r="C42" s="191"/>
      <c r="D42" s="184" t="s">
        <v>666</v>
      </c>
      <c r="E42" s="184" t="s">
        <v>664</v>
      </c>
      <c r="F42" s="1243">
        <f t="shared" ref="F42:Q42" si="26">((F17/100)*$S$17)*$T$3</f>
        <v>0</v>
      </c>
      <c r="G42" s="1243">
        <f t="shared" si="26"/>
        <v>0</v>
      </c>
      <c r="H42" s="1243">
        <f t="shared" si="26"/>
        <v>0</v>
      </c>
      <c r="I42" s="1243">
        <f t="shared" si="26"/>
        <v>0</v>
      </c>
      <c r="J42" s="1243">
        <f t="shared" si="26"/>
        <v>0</v>
      </c>
      <c r="K42" s="1243">
        <f t="shared" si="26"/>
        <v>0</v>
      </c>
      <c r="L42" s="1243">
        <f t="shared" si="26"/>
        <v>0</v>
      </c>
      <c r="M42" s="1243">
        <f t="shared" si="26"/>
        <v>0</v>
      </c>
      <c r="N42" s="1243">
        <f t="shared" si="26"/>
        <v>0</v>
      </c>
      <c r="O42" s="1243">
        <f t="shared" si="26"/>
        <v>0</v>
      </c>
      <c r="P42" s="1243">
        <f t="shared" si="26"/>
        <v>0</v>
      </c>
      <c r="Q42" s="1244">
        <f t="shared" si="26"/>
        <v>0</v>
      </c>
      <c r="R42" s="188">
        <f t="shared" si="10"/>
        <v>0</v>
      </c>
      <c r="S42" s="1249">
        <f t="shared" si="7"/>
        <v>0</v>
      </c>
      <c r="T42" s="186">
        <f t="shared" si="8"/>
        <v>0</v>
      </c>
      <c r="U42" s="189"/>
    </row>
    <row r="43" spans="1:21" x14ac:dyDescent="0.2">
      <c r="A43" s="108"/>
      <c r="B43" s="181" t="s">
        <v>683</v>
      </c>
      <c r="C43" s="190" t="s">
        <v>431</v>
      </c>
      <c r="D43" s="184" t="s">
        <v>663</v>
      </c>
      <c r="E43" s="184" t="s">
        <v>664</v>
      </c>
      <c r="F43" s="1243">
        <f t="shared" ref="F43:Q43" si="27">((F18/100)*$S$18)*$T$2</f>
        <v>0</v>
      </c>
      <c r="G43" s="1243">
        <f t="shared" si="27"/>
        <v>0</v>
      </c>
      <c r="H43" s="1243">
        <f t="shared" si="27"/>
        <v>0</v>
      </c>
      <c r="I43" s="1243">
        <f t="shared" si="27"/>
        <v>0</v>
      </c>
      <c r="J43" s="1243">
        <f t="shared" si="27"/>
        <v>0</v>
      </c>
      <c r="K43" s="1243">
        <f t="shared" si="27"/>
        <v>0</v>
      </c>
      <c r="L43" s="1243">
        <f t="shared" si="27"/>
        <v>0</v>
      </c>
      <c r="M43" s="1243">
        <f t="shared" si="27"/>
        <v>0</v>
      </c>
      <c r="N43" s="1243">
        <f t="shared" si="27"/>
        <v>0</v>
      </c>
      <c r="O43" s="1243">
        <f t="shared" si="27"/>
        <v>0</v>
      </c>
      <c r="P43" s="1243">
        <f t="shared" si="27"/>
        <v>0</v>
      </c>
      <c r="Q43" s="1244">
        <f t="shared" si="27"/>
        <v>0</v>
      </c>
      <c r="R43" s="188">
        <f t="shared" si="10"/>
        <v>0</v>
      </c>
      <c r="S43" s="1249">
        <f t="shared" si="7"/>
        <v>0</v>
      </c>
      <c r="T43" s="186">
        <f t="shared" si="8"/>
        <v>0</v>
      </c>
    </row>
    <row r="44" spans="1:21" x14ac:dyDescent="0.2">
      <c r="A44" s="108"/>
      <c r="B44" s="181" t="s">
        <v>684</v>
      </c>
      <c r="C44" s="191"/>
      <c r="D44" s="184" t="s">
        <v>666</v>
      </c>
      <c r="E44" s="184" t="s">
        <v>664</v>
      </c>
      <c r="F44" s="1243">
        <f t="shared" ref="F44:Q44" si="28">((F18/100)*$S$18)*$T$3</f>
        <v>0</v>
      </c>
      <c r="G44" s="1243">
        <f t="shared" si="28"/>
        <v>0</v>
      </c>
      <c r="H44" s="1243">
        <f t="shared" si="28"/>
        <v>0</v>
      </c>
      <c r="I44" s="1243">
        <f t="shared" si="28"/>
        <v>0</v>
      </c>
      <c r="J44" s="1243">
        <f t="shared" si="28"/>
        <v>0</v>
      </c>
      <c r="K44" s="1243">
        <f t="shared" si="28"/>
        <v>0</v>
      </c>
      <c r="L44" s="1243">
        <f t="shared" si="28"/>
        <v>0</v>
      </c>
      <c r="M44" s="1243">
        <f t="shared" si="28"/>
        <v>0</v>
      </c>
      <c r="N44" s="1243">
        <f t="shared" si="28"/>
        <v>0</v>
      </c>
      <c r="O44" s="1243">
        <f t="shared" si="28"/>
        <v>0</v>
      </c>
      <c r="P44" s="1243">
        <f t="shared" si="28"/>
        <v>0</v>
      </c>
      <c r="Q44" s="1244">
        <f t="shared" si="28"/>
        <v>0</v>
      </c>
      <c r="R44" s="188">
        <f t="shared" si="10"/>
        <v>0</v>
      </c>
      <c r="S44" s="1249">
        <f t="shared" si="7"/>
        <v>0</v>
      </c>
      <c r="T44" s="186">
        <f t="shared" si="8"/>
        <v>0</v>
      </c>
      <c r="U44" s="189"/>
    </row>
    <row r="45" spans="1:21" x14ac:dyDescent="0.2">
      <c r="A45" s="108"/>
      <c r="B45" s="181" t="s">
        <v>685</v>
      </c>
      <c r="C45" s="190" t="s">
        <v>525</v>
      </c>
      <c r="D45" s="184" t="s">
        <v>663</v>
      </c>
      <c r="E45" s="184" t="s">
        <v>664</v>
      </c>
      <c r="F45" s="1243">
        <f t="shared" ref="F45:Q45" si="29">((F19/100)*$S$19)*$T$2</f>
        <v>0</v>
      </c>
      <c r="G45" s="1243">
        <f t="shared" si="29"/>
        <v>0</v>
      </c>
      <c r="H45" s="1243">
        <f t="shared" si="29"/>
        <v>0</v>
      </c>
      <c r="I45" s="1243">
        <f t="shared" si="29"/>
        <v>0</v>
      </c>
      <c r="J45" s="1243">
        <f t="shared" si="29"/>
        <v>0</v>
      </c>
      <c r="K45" s="1243">
        <f t="shared" si="29"/>
        <v>0</v>
      </c>
      <c r="L45" s="1243">
        <f t="shared" si="29"/>
        <v>0</v>
      </c>
      <c r="M45" s="1243">
        <f t="shared" si="29"/>
        <v>0</v>
      </c>
      <c r="N45" s="1243">
        <f t="shared" si="29"/>
        <v>0</v>
      </c>
      <c r="O45" s="1243">
        <f t="shared" si="29"/>
        <v>0</v>
      </c>
      <c r="P45" s="1243">
        <f t="shared" si="29"/>
        <v>0</v>
      </c>
      <c r="Q45" s="1244">
        <f t="shared" si="29"/>
        <v>0</v>
      </c>
      <c r="R45" s="188">
        <f t="shared" si="10"/>
        <v>0</v>
      </c>
      <c r="S45" s="1249">
        <f t="shared" si="7"/>
        <v>0</v>
      </c>
      <c r="T45" s="186">
        <f t="shared" si="8"/>
        <v>0</v>
      </c>
    </row>
    <row r="46" spans="1:21" x14ac:dyDescent="0.2">
      <c r="A46" s="108"/>
      <c r="B46" s="181" t="s">
        <v>686</v>
      </c>
      <c r="C46" s="191"/>
      <c r="D46" s="184" t="s">
        <v>666</v>
      </c>
      <c r="E46" s="184" t="s">
        <v>664</v>
      </c>
      <c r="F46" s="1243">
        <f t="shared" ref="F46:Q46" si="30">((F19/100)*$S$19)*$T$3</f>
        <v>0</v>
      </c>
      <c r="G46" s="1243">
        <f t="shared" si="30"/>
        <v>0</v>
      </c>
      <c r="H46" s="1243">
        <f t="shared" si="30"/>
        <v>0</v>
      </c>
      <c r="I46" s="1243">
        <f t="shared" si="30"/>
        <v>0</v>
      </c>
      <c r="J46" s="1243">
        <f t="shared" si="30"/>
        <v>0</v>
      </c>
      <c r="K46" s="1243">
        <f t="shared" si="30"/>
        <v>0</v>
      </c>
      <c r="L46" s="1243">
        <f t="shared" si="30"/>
        <v>0</v>
      </c>
      <c r="M46" s="1243">
        <f t="shared" si="30"/>
        <v>0</v>
      </c>
      <c r="N46" s="1243">
        <f t="shared" si="30"/>
        <v>0</v>
      </c>
      <c r="O46" s="1243">
        <f t="shared" si="30"/>
        <v>0</v>
      </c>
      <c r="P46" s="1243">
        <f t="shared" si="30"/>
        <v>0</v>
      </c>
      <c r="Q46" s="1244">
        <f t="shared" si="30"/>
        <v>0</v>
      </c>
      <c r="R46" s="188">
        <f t="shared" si="10"/>
        <v>0</v>
      </c>
      <c r="S46" s="1249">
        <f t="shared" si="7"/>
        <v>0</v>
      </c>
      <c r="T46" s="186">
        <f t="shared" si="8"/>
        <v>0</v>
      </c>
      <c r="U46" s="189"/>
    </row>
    <row r="47" spans="1:21" x14ac:dyDescent="0.2">
      <c r="A47" s="108"/>
      <c r="B47" s="192"/>
      <c r="C47" s="193"/>
      <c r="D47" s="193"/>
      <c r="E47" s="193"/>
      <c r="F47" s="1245"/>
      <c r="G47" s="1245"/>
      <c r="H47" s="1245"/>
      <c r="I47" s="1245"/>
      <c r="J47" s="1245"/>
      <c r="K47" s="1245"/>
      <c r="L47" s="1245"/>
      <c r="M47" s="1245"/>
      <c r="N47" s="1245"/>
      <c r="O47" s="1245"/>
      <c r="P47" s="1245"/>
      <c r="Q47" s="1246"/>
      <c r="R47" s="194"/>
      <c r="S47" s="1245"/>
      <c r="T47" s="196"/>
    </row>
    <row r="48" spans="1:21" x14ac:dyDescent="0.2">
      <c r="A48" s="108"/>
      <c r="B48" s="181" t="s">
        <v>687</v>
      </c>
      <c r="C48" s="190" t="s">
        <v>657</v>
      </c>
      <c r="D48" s="187" t="s">
        <v>663</v>
      </c>
      <c r="E48" s="187" t="s">
        <v>664</v>
      </c>
      <c r="F48" s="1247">
        <f t="shared" ref="F48:T48" si="31">SUMIF($D$25:$D$46,"TESOURO",F$25:F$46)</f>
        <v>0</v>
      </c>
      <c r="G48" s="1247">
        <f t="shared" si="31"/>
        <v>0</v>
      </c>
      <c r="H48" s="1247">
        <f t="shared" si="31"/>
        <v>0</v>
      </c>
      <c r="I48" s="1247">
        <f t="shared" si="31"/>
        <v>0</v>
      </c>
      <c r="J48" s="1247">
        <f t="shared" si="31"/>
        <v>0</v>
      </c>
      <c r="K48" s="1247">
        <f t="shared" si="31"/>
        <v>0</v>
      </c>
      <c r="L48" s="1247">
        <f t="shared" si="31"/>
        <v>0</v>
      </c>
      <c r="M48" s="1247">
        <f t="shared" si="31"/>
        <v>0</v>
      </c>
      <c r="N48" s="1247">
        <f t="shared" si="31"/>
        <v>0</v>
      </c>
      <c r="O48" s="1247">
        <f t="shared" si="31"/>
        <v>0</v>
      </c>
      <c r="P48" s="1247">
        <f t="shared" si="31"/>
        <v>0</v>
      </c>
      <c r="Q48" s="1248">
        <f t="shared" si="31"/>
        <v>0</v>
      </c>
      <c r="R48" s="197"/>
      <c r="S48" s="1250">
        <f t="shared" si="31"/>
        <v>0</v>
      </c>
      <c r="T48" s="198">
        <f t="shared" si="31"/>
        <v>0</v>
      </c>
    </row>
    <row r="49" spans="1:20" x14ac:dyDescent="0.2">
      <c r="A49" s="108"/>
      <c r="B49" s="181" t="s">
        <v>688</v>
      </c>
      <c r="C49" s="191"/>
      <c r="D49" s="199" t="s">
        <v>666</v>
      </c>
      <c r="E49" s="199" t="s">
        <v>664</v>
      </c>
      <c r="F49" s="1247">
        <f t="shared" ref="F49:T49" si="32">SUMIF($D$25:$D$46,"CONTRAPARTIDA",F$25:F$46)</f>
        <v>61997.688000000002</v>
      </c>
      <c r="G49" s="1247">
        <f t="shared" si="32"/>
        <v>123995.376</v>
      </c>
      <c r="H49" s="1247">
        <f t="shared" si="32"/>
        <v>252504.258</v>
      </c>
      <c r="I49" s="1247">
        <f t="shared" si="32"/>
        <v>314501.946</v>
      </c>
      <c r="J49" s="1247">
        <f t="shared" si="32"/>
        <v>254761.011</v>
      </c>
      <c r="K49" s="1247">
        <f t="shared" si="32"/>
        <v>254761.011</v>
      </c>
      <c r="L49" s="1247">
        <f t="shared" si="32"/>
        <v>0</v>
      </c>
      <c r="M49" s="1247">
        <f t="shared" si="32"/>
        <v>0</v>
      </c>
      <c r="N49" s="1247">
        <f t="shared" si="32"/>
        <v>0</v>
      </c>
      <c r="O49" s="1247">
        <f t="shared" si="32"/>
        <v>0</v>
      </c>
      <c r="P49" s="1247">
        <f t="shared" si="32"/>
        <v>0</v>
      </c>
      <c r="Q49" s="1248">
        <f t="shared" si="32"/>
        <v>0</v>
      </c>
      <c r="R49" s="200"/>
      <c r="S49" s="1250">
        <f t="shared" si="32"/>
        <v>1262521.29</v>
      </c>
      <c r="T49" s="198">
        <f t="shared" si="32"/>
        <v>1</v>
      </c>
    </row>
    <row r="50" spans="1:20" x14ac:dyDescent="0.2">
      <c r="A50" s="108"/>
      <c r="B50" s="201"/>
      <c r="C50" s="193"/>
      <c r="D50" s="193"/>
      <c r="E50" s="193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5"/>
      <c r="R50" s="194"/>
      <c r="S50" s="1251"/>
      <c r="T50" s="202"/>
    </row>
    <row r="51" spans="1:20" ht="15" customHeight="1" thickBot="1" x14ac:dyDescent="0.25">
      <c r="A51" s="108"/>
      <c r="B51" s="203" t="s">
        <v>689</v>
      </c>
      <c r="C51" s="204"/>
      <c r="D51" s="204"/>
      <c r="E51" s="205" t="s">
        <v>664</v>
      </c>
      <c r="F51" s="1253">
        <f t="shared" ref="F51:Q51" si="33">SUM(F48:F49)</f>
        <v>61997.688000000002</v>
      </c>
      <c r="G51" s="1253">
        <f t="shared" si="33"/>
        <v>123995.376</v>
      </c>
      <c r="H51" s="1253">
        <f t="shared" si="33"/>
        <v>252504.258</v>
      </c>
      <c r="I51" s="1253">
        <f t="shared" si="33"/>
        <v>314501.946</v>
      </c>
      <c r="J51" s="1253">
        <f t="shared" si="33"/>
        <v>254761.011</v>
      </c>
      <c r="K51" s="1253">
        <f t="shared" si="33"/>
        <v>254761.011</v>
      </c>
      <c r="L51" s="1254">
        <f t="shared" si="33"/>
        <v>0</v>
      </c>
      <c r="M51" s="1254">
        <f t="shared" si="33"/>
        <v>0</v>
      </c>
      <c r="N51" s="1254">
        <f t="shared" si="33"/>
        <v>0</v>
      </c>
      <c r="O51" s="1254">
        <f t="shared" si="33"/>
        <v>0</v>
      </c>
      <c r="P51" s="1254">
        <f t="shared" si="33"/>
        <v>0</v>
      </c>
      <c r="Q51" s="1255">
        <f t="shared" si="33"/>
        <v>0</v>
      </c>
      <c r="R51" s="206"/>
      <c r="S51" s="1252">
        <f>SUM(F51:Q51)</f>
        <v>1262521.29</v>
      </c>
      <c r="T51" s="207">
        <f>SUM(T48:T49)</f>
        <v>1</v>
      </c>
    </row>
    <row r="52" spans="1:20" ht="15" customHeight="1" thickTop="1" thickBot="1" x14ac:dyDescent="0.25">
      <c r="A52" s="108"/>
      <c r="B52" s="208" t="s">
        <v>690</v>
      </c>
      <c r="C52" s="209"/>
      <c r="D52" s="209"/>
      <c r="E52" s="210" t="s">
        <v>664</v>
      </c>
      <c r="F52" s="211">
        <f t="shared" ref="F52:Q52" si="34">IF($S$51=0,0,F51/$S$51)</f>
        <v>4.9106251507251814E-2</v>
      </c>
      <c r="G52" s="211">
        <f t="shared" si="34"/>
        <v>9.8212503014503627E-2</v>
      </c>
      <c r="H52" s="211">
        <f t="shared" si="34"/>
        <v>0.19999999999999998</v>
      </c>
      <c r="I52" s="211">
        <f t="shared" si="34"/>
        <v>0.2491062515072518</v>
      </c>
      <c r="J52" s="211">
        <f t="shared" si="34"/>
        <v>0.20178749698549636</v>
      </c>
      <c r="K52" s="211">
        <f t="shared" si="34"/>
        <v>0.20178749698549636</v>
      </c>
      <c r="L52" s="211">
        <f t="shared" si="34"/>
        <v>0</v>
      </c>
      <c r="M52" s="211">
        <f t="shared" si="34"/>
        <v>0</v>
      </c>
      <c r="N52" s="211">
        <f t="shared" si="34"/>
        <v>0</v>
      </c>
      <c r="O52" s="211">
        <f t="shared" si="34"/>
        <v>0</v>
      </c>
      <c r="P52" s="211">
        <f t="shared" si="34"/>
        <v>0</v>
      </c>
      <c r="Q52" s="212">
        <f t="shared" si="34"/>
        <v>0</v>
      </c>
      <c r="R52" s="213"/>
      <c r="S52" s="1252">
        <f>S48+S49</f>
        <v>1262521.29</v>
      </c>
      <c r="T52" s="214">
        <f>SUM(F52:Q52)</f>
        <v>1</v>
      </c>
    </row>
    <row r="53" spans="1:20" ht="15" customHeight="1" thickTop="1" thickBot="1" x14ac:dyDescent="0.25">
      <c r="A53" s="108"/>
      <c r="B53" s="215" t="s">
        <v>691</v>
      </c>
      <c r="C53" s="216"/>
      <c r="D53" s="216"/>
      <c r="E53" s="217" t="s">
        <v>664</v>
      </c>
      <c r="F53" s="218">
        <f>F52</f>
        <v>4.9106251507251814E-2</v>
      </c>
      <c r="G53" s="218">
        <f>IF(G51=0,0,F53+G52)</f>
        <v>0.14731875452175544</v>
      </c>
      <c r="H53" s="218">
        <f>IF(H51=0,0,G53+H52)</f>
        <v>0.34731875452175542</v>
      </c>
      <c r="I53" s="218">
        <f>IF(I51=0,0,H53+I52)</f>
        <v>0.59642500602900728</v>
      </c>
      <c r="J53" s="218">
        <f t="shared" ref="J53:Q53" si="35">IF(J51=0,0,I53+J52)</f>
        <v>0.79821250301450364</v>
      </c>
      <c r="K53" s="218">
        <f t="shared" si="35"/>
        <v>1</v>
      </c>
      <c r="L53" s="218">
        <f t="shared" si="35"/>
        <v>0</v>
      </c>
      <c r="M53" s="218">
        <f t="shared" si="35"/>
        <v>0</v>
      </c>
      <c r="N53" s="218">
        <f t="shared" si="35"/>
        <v>0</v>
      </c>
      <c r="O53" s="218">
        <f t="shared" si="35"/>
        <v>0</v>
      </c>
      <c r="P53" s="218">
        <f t="shared" si="35"/>
        <v>0</v>
      </c>
      <c r="Q53" s="219">
        <f t="shared" si="35"/>
        <v>0</v>
      </c>
      <c r="R53" s="220"/>
      <c r="S53" s="690" t="str">
        <f>IF(S51=S52,"OK","CORRIGIR")</f>
        <v>OK</v>
      </c>
      <c r="T53" s="691" t="str">
        <f>IF(T51=T52,"OK","CORRIGIR")</f>
        <v>OK</v>
      </c>
    </row>
    <row r="54" spans="1:20" ht="15" customHeight="1" x14ac:dyDescent="0.2">
      <c r="A54" s="108"/>
      <c r="B54" s="221" t="s">
        <v>692</v>
      </c>
      <c r="C54" s="222"/>
      <c r="D54" s="223"/>
      <c r="E54" s="224"/>
      <c r="F54" s="222" t="s">
        <v>693</v>
      </c>
      <c r="G54" s="225"/>
      <c r="H54" s="225"/>
      <c r="I54" s="226"/>
      <c r="J54" s="1227" t="s">
        <v>694</v>
      </c>
      <c r="K54" s="1228"/>
      <c r="L54" s="1228"/>
      <c r="M54" s="1229"/>
      <c r="N54" s="1230" t="s">
        <v>693</v>
      </c>
      <c r="O54" s="1231"/>
      <c r="P54" s="1232"/>
      <c r="Q54" s="222" t="s">
        <v>695</v>
      </c>
      <c r="R54" s="227"/>
      <c r="S54" s="227"/>
      <c r="T54" s="228"/>
    </row>
    <row r="55" spans="1:20" ht="60" customHeight="1" thickBot="1" x14ac:dyDescent="0.25">
      <c r="A55" s="108"/>
      <c r="B55" s="229"/>
      <c r="C55" s="230"/>
      <c r="D55" s="231"/>
      <c r="E55" s="232"/>
      <c r="F55" s="232"/>
      <c r="G55" s="233"/>
      <c r="H55" s="232"/>
      <c r="I55" s="234"/>
      <c r="J55" s="1233"/>
      <c r="K55" s="1234"/>
      <c r="L55" s="600"/>
      <c r="M55" s="1235"/>
      <c r="N55" s="1236"/>
      <c r="O55" s="1237"/>
      <c r="P55" s="1238"/>
      <c r="Q55" s="235"/>
      <c r="R55" s="236"/>
      <c r="S55" s="236"/>
      <c r="T55" s="237"/>
    </row>
    <row r="56" spans="1:20" ht="18" customHeight="1" thickBot="1" x14ac:dyDescent="0.25">
      <c r="B56" s="1224" t="str">
        <f>GLOBAL_DER_FEV_2023!$O$15</f>
        <v>Tabela Referência: DER/PR de FEVEREIRO/2023 sem desoneração</v>
      </c>
      <c r="C56" s="1225"/>
      <c r="D56" s="1225"/>
      <c r="E56" s="1225"/>
      <c r="F56" s="1225"/>
      <c r="G56" s="1225"/>
      <c r="H56" s="1225"/>
      <c r="I56" s="1225"/>
      <c r="J56" s="1225"/>
      <c r="K56" s="1225"/>
      <c r="L56" s="1225"/>
      <c r="M56" s="1225"/>
      <c r="N56" s="1225"/>
      <c r="O56" s="1225"/>
      <c r="P56" s="1225"/>
      <c r="Q56" s="1225"/>
      <c r="R56" s="1226" t="str">
        <f>GLOBAL_DER_FEV_2023!$N$16</f>
        <v xml:space="preserve">Data Base da aprovação do Orçamento (Decreto 10.086/22 do Paraná, que regulamenta a Lei 14.133/21): </v>
      </c>
      <c r="S56" s="1240">
        <f>GLOBAL_DER_FEV_2023!$O$16</f>
        <v>45030</v>
      </c>
      <c r="T56" s="1239"/>
    </row>
  </sheetData>
  <sheetProtection algorithmName="SHA-512" hashValue="86yC4LpZYqBJEhiGutWXx3nWlGK/iLN0h0bcywDQHp6WuqM50MyXc3kBLchIQlPhouAiMtTw/EbrOot4FIbY3A==" saltValue="FFiAwOy1YMRv4snu9as7aw==" spinCount="100000" sheet="1" objects="1" scenarios="1" formatColumns="0" formatRows="0" autoFilter="0"/>
  <printOptions horizontalCentered="1"/>
  <pageMargins left="1.1811023622047245" right="0.78740157480314965" top="1.1811023622047245" bottom="1.1811023622047245" header="0.51181102362204722" footer="0.51181102362204722"/>
  <pageSetup paperSize="8" scale="78" orientation="landscape" r:id="rId1"/>
  <headerFooter alignWithMargins="0"/>
  <ignoredErrors>
    <ignoredError sqref="C2:K3 T2:T3 Q25:Q53 X5" unlockedFormula="1"/>
    <ignoredError sqref="W9:W17" formulaRange="1"/>
    <ignoredError sqref="B10:B19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rgb="FFFFFF00"/>
    <pageSetUpPr fitToPage="1"/>
  </sheetPr>
  <dimension ref="A1:J21"/>
  <sheetViews>
    <sheetView showGridLines="0" workbookViewId="0">
      <selection activeCell="H23" sqref="H23"/>
    </sheetView>
  </sheetViews>
  <sheetFormatPr defaultColWidth="12" defaultRowHeight="12.75" x14ac:dyDescent="0.2"/>
  <cols>
    <col min="1" max="1" width="18.6640625" style="430" customWidth="1"/>
    <col min="2" max="2" width="53.33203125" style="430" bestFit="1" customWidth="1"/>
    <col min="3" max="3" width="12" style="400" customWidth="1"/>
    <col min="4" max="4" width="17.83203125" style="400" customWidth="1"/>
    <col min="5" max="5" width="14.33203125" style="400" customWidth="1"/>
    <col min="6" max="6" width="24.83203125" style="400" bestFit="1" customWidth="1"/>
    <col min="7" max="7" width="14.5" style="400" customWidth="1"/>
    <col min="8" max="8" width="12" style="400"/>
    <col min="9" max="9" width="13.6640625" style="400" customWidth="1"/>
    <col min="10" max="16384" width="12" style="400"/>
  </cols>
  <sheetData>
    <row r="1" spans="1:10" ht="25.15" customHeight="1" thickBot="1" x14ac:dyDescent="0.25">
      <c r="A1" s="590" t="s">
        <v>423</v>
      </c>
      <c r="B1" s="397"/>
      <c r="C1" s="398"/>
      <c r="D1" s="398"/>
      <c r="E1" s="398"/>
      <c r="F1" s="399"/>
    </row>
    <row r="2" spans="1:10" ht="18" customHeight="1" x14ac:dyDescent="0.2">
      <c r="A2" s="434" t="s">
        <v>159</v>
      </c>
      <c r="B2" s="435" t="str">
        <f>GLOBAL_DER_FEV_2023!C13</f>
        <v>RIO BOM</v>
      </c>
      <c r="C2" s="436"/>
      <c r="D2" s="437"/>
      <c r="E2" s="438" t="s">
        <v>160</v>
      </c>
      <c r="F2" s="439" t="str">
        <f>GLOBAL_DER_FEV_2023!O13</f>
        <v>XX</v>
      </c>
    </row>
    <row r="3" spans="1:10" ht="18" customHeight="1" thickBot="1" x14ac:dyDescent="0.25">
      <c r="A3" s="440" t="s">
        <v>161</v>
      </c>
      <c r="B3" s="441" t="str">
        <f>GLOBAL_DER_FEV_2023!C14</f>
        <v>PAVIMENTAÇÃO DE VIAS URBANAS</v>
      </c>
      <c r="C3" s="442"/>
      <c r="D3" s="442"/>
      <c r="E3" s="443" t="s">
        <v>162</v>
      </c>
      <c r="F3" s="444" t="str">
        <f>GLOBAL_DER_FEV_2023!O14</f>
        <v>1</v>
      </c>
      <c r="J3" s="401"/>
    </row>
    <row r="4" spans="1:10" ht="26.25" thickBot="1" x14ac:dyDescent="0.25">
      <c r="A4" s="402"/>
      <c r="B4" s="403"/>
      <c r="C4" s="404"/>
      <c r="D4" s="404"/>
      <c r="E4" s="405"/>
      <c r="F4" s="57" t="s">
        <v>158</v>
      </c>
      <c r="G4" s="406" t="s">
        <v>424</v>
      </c>
      <c r="J4" s="407" t="s">
        <v>2101</v>
      </c>
    </row>
    <row r="5" spans="1:10" ht="15" customHeight="1" thickBot="1" x14ac:dyDescent="0.25">
      <c r="A5" s="408">
        <v>1</v>
      </c>
      <c r="B5" s="409" t="s">
        <v>432</v>
      </c>
      <c r="C5" s="410"/>
      <c r="D5" s="410"/>
      <c r="E5" s="411"/>
      <c r="F5" s="1241">
        <f>GLOBAL_DER_FEV_2023!O19</f>
        <v>0</v>
      </c>
      <c r="G5" s="395">
        <f t="shared" ref="G5:G15" si="0">IF(F5=0,0,IF(J5=0,ROUND(F5/$F$17,4),IF(J5="b",ROUNDDOWN(F5/$F$17,4),ROUNDUP(F5/$F$17,4))))</f>
        <v>0</v>
      </c>
      <c r="J5" s="396"/>
    </row>
    <row r="6" spans="1:10" ht="15" customHeight="1" thickBot="1" x14ac:dyDescent="0.25">
      <c r="A6" s="412" t="s">
        <v>167</v>
      </c>
      <c r="B6" s="413" t="s">
        <v>428</v>
      </c>
      <c r="C6" s="414"/>
      <c r="D6" s="414"/>
      <c r="E6" s="415"/>
      <c r="F6" s="1241">
        <f>GLOBAL_DER_FEV_2023!O69</f>
        <v>0</v>
      </c>
      <c r="G6" s="395">
        <f t="shared" si="0"/>
        <v>0</v>
      </c>
      <c r="J6" s="396"/>
    </row>
    <row r="7" spans="1:10" ht="15" customHeight="1" thickBot="1" x14ac:dyDescent="0.25">
      <c r="A7" s="412" t="s">
        <v>185</v>
      </c>
      <c r="B7" s="413" t="s">
        <v>434</v>
      </c>
      <c r="C7" s="414"/>
      <c r="D7" s="414"/>
      <c r="E7" s="415"/>
      <c r="F7" s="1241">
        <f>GLOBAL_DER_FEV_2023!O117</f>
        <v>0</v>
      </c>
      <c r="G7" s="395">
        <f t="shared" si="0"/>
        <v>0</v>
      </c>
      <c r="J7" s="396"/>
    </row>
    <row r="8" spans="1:10" ht="15" customHeight="1" thickBot="1" x14ac:dyDescent="0.25">
      <c r="A8" s="412" t="s">
        <v>203</v>
      </c>
      <c r="B8" s="416" t="s">
        <v>429</v>
      </c>
      <c r="E8" s="415"/>
      <c r="F8" s="1241">
        <f>GLOBAL_DER_FEV_2023!O228</f>
        <v>1239953.76</v>
      </c>
      <c r="G8" s="395">
        <f t="shared" si="0"/>
        <v>0.98209999999999997</v>
      </c>
      <c r="J8" s="396"/>
    </row>
    <row r="9" spans="1:10" ht="15" customHeight="1" thickBot="1" x14ac:dyDescent="0.25">
      <c r="A9" s="412" t="s">
        <v>166</v>
      </c>
      <c r="B9" s="413" t="s">
        <v>430</v>
      </c>
      <c r="C9" s="414"/>
      <c r="D9" s="414"/>
      <c r="E9" s="415"/>
      <c r="F9" s="1241">
        <f>GLOBAL_DER_FEV_2023!O589</f>
        <v>0</v>
      </c>
      <c r="G9" s="395">
        <f t="shared" si="0"/>
        <v>0</v>
      </c>
      <c r="J9" s="396"/>
    </row>
    <row r="10" spans="1:10" ht="15" customHeight="1" thickBot="1" x14ac:dyDescent="0.25">
      <c r="A10" s="412" t="s">
        <v>205</v>
      </c>
      <c r="B10" s="413" t="s">
        <v>575</v>
      </c>
      <c r="C10" s="414"/>
      <c r="D10" s="414"/>
      <c r="E10" s="415"/>
      <c r="F10" s="1241">
        <f>GLOBAL_DER_FEV_2023!O644</f>
        <v>0</v>
      </c>
      <c r="G10" s="395">
        <f t="shared" si="0"/>
        <v>0</v>
      </c>
      <c r="J10" s="396"/>
    </row>
    <row r="11" spans="1:10" ht="15" customHeight="1" thickBot="1" x14ac:dyDescent="0.25">
      <c r="A11" s="412" t="s">
        <v>417</v>
      </c>
      <c r="B11" s="417" t="s">
        <v>436</v>
      </c>
      <c r="C11" s="418"/>
      <c r="D11" s="418"/>
      <c r="E11" s="415"/>
      <c r="F11" s="1241">
        <f>GLOBAL_DER_FEV_2023!O853</f>
        <v>22567.53</v>
      </c>
      <c r="G11" s="395">
        <f t="shared" si="0"/>
        <v>1.7899999999999999E-2</v>
      </c>
      <c r="J11" s="396"/>
    </row>
    <row r="12" spans="1:10" ht="15" customHeight="1" thickBot="1" x14ac:dyDescent="0.25">
      <c r="A12" s="412" t="s">
        <v>310</v>
      </c>
      <c r="B12" s="417" t="s">
        <v>438</v>
      </c>
      <c r="C12" s="418"/>
      <c r="D12" s="418"/>
      <c r="E12" s="415"/>
      <c r="F12" s="1241">
        <f>GLOBAL_DER_FEV_2023!O913</f>
        <v>0</v>
      </c>
      <c r="G12" s="395">
        <f t="shared" si="0"/>
        <v>0</v>
      </c>
      <c r="J12" s="396"/>
    </row>
    <row r="13" spans="1:10" ht="15" customHeight="1" thickBot="1" x14ac:dyDescent="0.25">
      <c r="A13" s="412" t="s">
        <v>439</v>
      </c>
      <c r="B13" s="417" t="s">
        <v>440</v>
      </c>
      <c r="C13" s="418"/>
      <c r="D13" s="418"/>
      <c r="E13" s="415"/>
      <c r="F13" s="1241">
        <f>GLOBAL_DER_FEV_2023!O1625</f>
        <v>0</v>
      </c>
      <c r="G13" s="395">
        <f t="shared" si="0"/>
        <v>0</v>
      </c>
      <c r="J13" s="396"/>
    </row>
    <row r="14" spans="1:10" ht="15" customHeight="1" thickBot="1" x14ac:dyDescent="0.25">
      <c r="A14" s="412" t="s">
        <v>441</v>
      </c>
      <c r="B14" s="417" t="s">
        <v>431</v>
      </c>
      <c r="C14" s="418"/>
      <c r="D14" s="418"/>
      <c r="E14" s="415"/>
      <c r="F14" s="1241">
        <f>GLOBAL_DER_FEV_2023!O1720</f>
        <v>0</v>
      </c>
      <c r="G14" s="395">
        <f t="shared" si="0"/>
        <v>0</v>
      </c>
      <c r="J14" s="396"/>
    </row>
    <row r="15" spans="1:10" ht="15" customHeight="1" thickBot="1" x14ac:dyDescent="0.25">
      <c r="A15" s="412" t="s">
        <v>487</v>
      </c>
      <c r="B15" s="417" t="s">
        <v>525</v>
      </c>
      <c r="C15" s="418"/>
      <c r="D15" s="418"/>
      <c r="E15" s="415"/>
      <c r="F15" s="1241">
        <f>GLOBAL_DER_FEV_2023!O2499</f>
        <v>0</v>
      </c>
      <c r="G15" s="395">
        <f t="shared" si="0"/>
        <v>0</v>
      </c>
      <c r="J15" s="396"/>
    </row>
    <row r="16" spans="1:10" ht="9" customHeight="1" thickBot="1" x14ac:dyDescent="0.25">
      <c r="A16" s="400"/>
      <c r="B16" s="400"/>
      <c r="F16" s="538"/>
    </row>
    <row r="17" spans="1:10" ht="18" customHeight="1" thickBot="1" x14ac:dyDescent="0.25">
      <c r="A17" s="419"/>
      <c r="B17" s="420"/>
      <c r="C17" s="421"/>
      <c r="D17" s="421"/>
      <c r="E17" s="589" t="s">
        <v>2154</v>
      </c>
      <c r="F17" s="1242">
        <f>SUM(F5:F15)</f>
        <v>1262521.29</v>
      </c>
      <c r="G17" s="422">
        <f>SUM(G5:G16)</f>
        <v>1</v>
      </c>
      <c r="I17" s="423" t="s">
        <v>2102</v>
      </c>
    </row>
    <row r="18" spans="1:10" ht="31.9" customHeight="1" x14ac:dyDescent="0.2">
      <c r="A18" s="424" t="s">
        <v>425</v>
      </c>
      <c r="B18" s="425"/>
      <c r="C18" s="425"/>
      <c r="D18" s="426" t="s">
        <v>426</v>
      </c>
      <c r="E18" s="426" t="s">
        <v>427</v>
      </c>
      <c r="F18" s="427" t="s">
        <v>2103</v>
      </c>
      <c r="G18" s="631"/>
      <c r="J18" s="445" t="str">
        <f>IF(G17=1,"OK","ATENÇÃO!! O VALOR DEVE SER 100,00%")</f>
        <v>OK</v>
      </c>
    </row>
    <row r="19" spans="1:10" ht="15" customHeight="1" x14ac:dyDescent="0.2">
      <c r="A19" s="632"/>
      <c r="B19" s="431"/>
      <c r="C19" s="431"/>
      <c r="D19" s="432">
        <v>10301.469999999999</v>
      </c>
      <c r="E19" s="433"/>
      <c r="F19" s="588">
        <f>ROUND(D19*0.5,-1)</f>
        <v>5150</v>
      </c>
      <c r="G19" s="633"/>
    </row>
    <row r="20" spans="1:10" ht="13.5" thickBot="1" x14ac:dyDescent="0.25">
      <c r="A20" s="428"/>
      <c r="B20" s="429"/>
      <c r="C20" s="418"/>
      <c r="D20" s="418"/>
      <c r="E20" s="418"/>
      <c r="F20" s="418"/>
      <c r="G20" s="634"/>
    </row>
    <row r="21" spans="1:10" ht="18" customHeight="1" thickBot="1" x14ac:dyDescent="0.25">
      <c r="A21" s="1222"/>
      <c r="B21" s="403"/>
      <c r="C21" s="414"/>
      <c r="D21" s="414"/>
      <c r="E21" s="1223" t="str">
        <f>GLOBAL_DER_FEV_2023!N16</f>
        <v xml:space="preserve">Data Base da aprovação do Orçamento (Decreto 10.086/22 do Paraná, que regulamenta a Lei 14.133/21): </v>
      </c>
      <c r="F21" s="1295">
        <f>GLOBAL_DER_FEV_2023!O16</f>
        <v>45030</v>
      </c>
    </row>
  </sheetData>
  <sheetProtection algorithmName="SHA-512" hashValue="uG9KcbxDatYMsUzZhmwDwnOgtqHcIi/VkF1mMtCgjzHUIyJhiheWOTn2bWe8W62F0SNRbbk2/rIXLtpta5V1Ow==" saltValue="UDHKW8WHC9xrOoag5E/QPg==" spinCount="100000" sheet="1" objects="1" scenarios="1" formatColumns="0" formatRows="0" autoFilter="0"/>
  <autoFilter ref="A4:G4" xr:uid="{00000000-0009-0000-0000-000004000000}"/>
  <printOptions horizontalCentered="1"/>
  <pageMargins left="1.1811023622047245" right="0.78740157480314965" top="1.1811023622047245" bottom="1.1811023622047245" header="0.31496062992125984" footer="0.51181102362204722"/>
  <pageSetup paperSize="9" scale="65" orientation="portrait" r:id="rId1"/>
  <headerFooter alignWithMargins="0"/>
  <ignoredErrors>
    <ignoredError sqref="B2:F3" unlockedFormula="1"/>
    <ignoredError sqref="A6:A15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>
    <tabColor rgb="FFFF0000"/>
  </sheetPr>
  <dimension ref="A1:AJ582"/>
  <sheetViews>
    <sheetView topLeftCell="A7" workbookViewId="0">
      <selection activeCell="F21" sqref="F21"/>
    </sheetView>
  </sheetViews>
  <sheetFormatPr defaultColWidth="14.6640625" defaultRowHeight="12.75" x14ac:dyDescent="0.2"/>
  <cols>
    <col min="1" max="1" width="56.33203125" style="393" customWidth="1"/>
    <col min="2" max="2" width="33.5" style="393" customWidth="1"/>
    <col min="3" max="3" width="19.83203125" style="393" customWidth="1"/>
    <col min="4" max="257" width="14.6640625" style="330"/>
    <col min="258" max="258" width="47.6640625" style="330" customWidth="1"/>
    <col min="259" max="259" width="43.83203125" style="330" customWidth="1"/>
    <col min="260" max="513" width="14.6640625" style="330"/>
    <col min="514" max="514" width="47.6640625" style="330" customWidth="1"/>
    <col min="515" max="515" width="43.83203125" style="330" customWidth="1"/>
    <col min="516" max="769" width="14.6640625" style="330"/>
    <col min="770" max="770" width="47.6640625" style="330" customWidth="1"/>
    <col min="771" max="771" width="43.83203125" style="330" customWidth="1"/>
    <col min="772" max="1025" width="14.6640625" style="330"/>
    <col min="1026" max="1026" width="47.6640625" style="330" customWidth="1"/>
    <col min="1027" max="1027" width="43.83203125" style="330" customWidth="1"/>
    <col min="1028" max="1281" width="14.6640625" style="330"/>
    <col min="1282" max="1282" width="47.6640625" style="330" customWidth="1"/>
    <col min="1283" max="1283" width="43.83203125" style="330" customWidth="1"/>
    <col min="1284" max="1537" width="14.6640625" style="330"/>
    <col min="1538" max="1538" width="47.6640625" style="330" customWidth="1"/>
    <col min="1539" max="1539" width="43.83203125" style="330" customWidth="1"/>
    <col min="1540" max="1793" width="14.6640625" style="330"/>
    <col min="1794" max="1794" width="47.6640625" style="330" customWidth="1"/>
    <col min="1795" max="1795" width="43.83203125" style="330" customWidth="1"/>
    <col min="1796" max="2049" width="14.6640625" style="330"/>
    <col min="2050" max="2050" width="47.6640625" style="330" customWidth="1"/>
    <col min="2051" max="2051" width="43.83203125" style="330" customWidth="1"/>
    <col min="2052" max="2305" width="14.6640625" style="330"/>
    <col min="2306" max="2306" width="47.6640625" style="330" customWidth="1"/>
    <col min="2307" max="2307" width="43.83203125" style="330" customWidth="1"/>
    <col min="2308" max="2561" width="14.6640625" style="330"/>
    <col min="2562" max="2562" width="47.6640625" style="330" customWidth="1"/>
    <col min="2563" max="2563" width="43.83203125" style="330" customWidth="1"/>
    <col min="2564" max="2817" width="14.6640625" style="330"/>
    <col min="2818" max="2818" width="47.6640625" style="330" customWidth="1"/>
    <col min="2819" max="2819" width="43.83203125" style="330" customWidth="1"/>
    <col min="2820" max="3073" width="14.6640625" style="330"/>
    <col min="3074" max="3074" width="47.6640625" style="330" customWidth="1"/>
    <col min="3075" max="3075" width="43.83203125" style="330" customWidth="1"/>
    <col min="3076" max="3329" width="14.6640625" style="330"/>
    <col min="3330" max="3330" width="47.6640625" style="330" customWidth="1"/>
    <col min="3331" max="3331" width="43.83203125" style="330" customWidth="1"/>
    <col min="3332" max="3585" width="14.6640625" style="330"/>
    <col min="3586" max="3586" width="47.6640625" style="330" customWidth="1"/>
    <col min="3587" max="3587" width="43.83203125" style="330" customWidth="1"/>
    <col min="3588" max="3841" width="14.6640625" style="330"/>
    <col min="3842" max="3842" width="47.6640625" style="330" customWidth="1"/>
    <col min="3843" max="3843" width="43.83203125" style="330" customWidth="1"/>
    <col min="3844" max="4097" width="14.6640625" style="330"/>
    <col min="4098" max="4098" width="47.6640625" style="330" customWidth="1"/>
    <col min="4099" max="4099" width="43.83203125" style="330" customWidth="1"/>
    <col min="4100" max="4353" width="14.6640625" style="330"/>
    <col min="4354" max="4354" width="47.6640625" style="330" customWidth="1"/>
    <col min="4355" max="4355" width="43.83203125" style="330" customWidth="1"/>
    <col min="4356" max="4609" width="14.6640625" style="330"/>
    <col min="4610" max="4610" width="47.6640625" style="330" customWidth="1"/>
    <col min="4611" max="4611" width="43.83203125" style="330" customWidth="1"/>
    <col min="4612" max="4865" width="14.6640625" style="330"/>
    <col min="4866" max="4866" width="47.6640625" style="330" customWidth="1"/>
    <col min="4867" max="4867" width="43.83203125" style="330" customWidth="1"/>
    <col min="4868" max="5121" width="14.6640625" style="330"/>
    <col min="5122" max="5122" width="47.6640625" style="330" customWidth="1"/>
    <col min="5123" max="5123" width="43.83203125" style="330" customWidth="1"/>
    <col min="5124" max="5377" width="14.6640625" style="330"/>
    <col min="5378" max="5378" width="47.6640625" style="330" customWidth="1"/>
    <col min="5379" max="5379" width="43.83203125" style="330" customWidth="1"/>
    <col min="5380" max="5633" width="14.6640625" style="330"/>
    <col min="5634" max="5634" width="47.6640625" style="330" customWidth="1"/>
    <col min="5635" max="5635" width="43.83203125" style="330" customWidth="1"/>
    <col min="5636" max="5889" width="14.6640625" style="330"/>
    <col min="5890" max="5890" width="47.6640625" style="330" customWidth="1"/>
    <col min="5891" max="5891" width="43.83203125" style="330" customWidth="1"/>
    <col min="5892" max="6145" width="14.6640625" style="330"/>
    <col min="6146" max="6146" width="47.6640625" style="330" customWidth="1"/>
    <col min="6147" max="6147" width="43.83203125" style="330" customWidth="1"/>
    <col min="6148" max="6401" width="14.6640625" style="330"/>
    <col min="6402" max="6402" width="47.6640625" style="330" customWidth="1"/>
    <col min="6403" max="6403" width="43.83203125" style="330" customWidth="1"/>
    <col min="6404" max="6657" width="14.6640625" style="330"/>
    <col min="6658" max="6658" width="47.6640625" style="330" customWidth="1"/>
    <col min="6659" max="6659" width="43.83203125" style="330" customWidth="1"/>
    <col min="6660" max="6913" width="14.6640625" style="330"/>
    <col min="6914" max="6914" width="47.6640625" style="330" customWidth="1"/>
    <col min="6915" max="6915" width="43.83203125" style="330" customWidth="1"/>
    <col min="6916" max="7169" width="14.6640625" style="330"/>
    <col min="7170" max="7170" width="47.6640625" style="330" customWidth="1"/>
    <col min="7171" max="7171" width="43.83203125" style="330" customWidth="1"/>
    <col min="7172" max="7425" width="14.6640625" style="330"/>
    <col min="7426" max="7426" width="47.6640625" style="330" customWidth="1"/>
    <col min="7427" max="7427" width="43.83203125" style="330" customWidth="1"/>
    <col min="7428" max="7681" width="14.6640625" style="330"/>
    <col min="7682" max="7682" width="47.6640625" style="330" customWidth="1"/>
    <col min="7683" max="7683" width="43.83203125" style="330" customWidth="1"/>
    <col min="7684" max="7937" width="14.6640625" style="330"/>
    <col min="7938" max="7938" width="47.6640625" style="330" customWidth="1"/>
    <col min="7939" max="7939" width="43.83203125" style="330" customWidth="1"/>
    <col min="7940" max="8193" width="14.6640625" style="330"/>
    <col min="8194" max="8194" width="47.6640625" style="330" customWidth="1"/>
    <col min="8195" max="8195" width="43.83203125" style="330" customWidth="1"/>
    <col min="8196" max="8449" width="14.6640625" style="330"/>
    <col min="8450" max="8450" width="47.6640625" style="330" customWidth="1"/>
    <col min="8451" max="8451" width="43.83203125" style="330" customWidth="1"/>
    <col min="8452" max="8705" width="14.6640625" style="330"/>
    <col min="8706" max="8706" width="47.6640625" style="330" customWidth="1"/>
    <col min="8707" max="8707" width="43.83203125" style="330" customWidth="1"/>
    <col min="8708" max="8961" width="14.6640625" style="330"/>
    <col min="8962" max="8962" width="47.6640625" style="330" customWidth="1"/>
    <col min="8963" max="8963" width="43.83203125" style="330" customWidth="1"/>
    <col min="8964" max="9217" width="14.6640625" style="330"/>
    <col min="9218" max="9218" width="47.6640625" style="330" customWidth="1"/>
    <col min="9219" max="9219" width="43.83203125" style="330" customWidth="1"/>
    <col min="9220" max="9473" width="14.6640625" style="330"/>
    <col min="9474" max="9474" width="47.6640625" style="330" customWidth="1"/>
    <col min="9475" max="9475" width="43.83203125" style="330" customWidth="1"/>
    <col min="9476" max="9729" width="14.6640625" style="330"/>
    <col min="9730" max="9730" width="47.6640625" style="330" customWidth="1"/>
    <col min="9731" max="9731" width="43.83203125" style="330" customWidth="1"/>
    <col min="9732" max="9985" width="14.6640625" style="330"/>
    <col min="9986" max="9986" width="47.6640625" style="330" customWidth="1"/>
    <col min="9987" max="9987" width="43.83203125" style="330" customWidth="1"/>
    <col min="9988" max="10241" width="14.6640625" style="330"/>
    <col min="10242" max="10242" width="47.6640625" style="330" customWidth="1"/>
    <col min="10243" max="10243" width="43.83203125" style="330" customWidth="1"/>
    <col min="10244" max="10497" width="14.6640625" style="330"/>
    <col min="10498" max="10498" width="47.6640625" style="330" customWidth="1"/>
    <col min="10499" max="10499" width="43.83203125" style="330" customWidth="1"/>
    <col min="10500" max="10753" width="14.6640625" style="330"/>
    <col min="10754" max="10754" width="47.6640625" style="330" customWidth="1"/>
    <col min="10755" max="10755" width="43.83203125" style="330" customWidth="1"/>
    <col min="10756" max="11009" width="14.6640625" style="330"/>
    <col min="11010" max="11010" width="47.6640625" style="330" customWidth="1"/>
    <col min="11011" max="11011" width="43.83203125" style="330" customWidth="1"/>
    <col min="11012" max="11265" width="14.6640625" style="330"/>
    <col min="11266" max="11266" width="47.6640625" style="330" customWidth="1"/>
    <col min="11267" max="11267" width="43.83203125" style="330" customWidth="1"/>
    <col min="11268" max="11521" width="14.6640625" style="330"/>
    <col min="11522" max="11522" width="47.6640625" style="330" customWidth="1"/>
    <col min="11523" max="11523" width="43.83203125" style="330" customWidth="1"/>
    <col min="11524" max="11777" width="14.6640625" style="330"/>
    <col min="11778" max="11778" width="47.6640625" style="330" customWidth="1"/>
    <col min="11779" max="11779" width="43.83203125" style="330" customWidth="1"/>
    <col min="11780" max="12033" width="14.6640625" style="330"/>
    <col min="12034" max="12034" width="47.6640625" style="330" customWidth="1"/>
    <col min="12035" max="12035" width="43.83203125" style="330" customWidth="1"/>
    <col min="12036" max="12289" width="14.6640625" style="330"/>
    <col min="12290" max="12290" width="47.6640625" style="330" customWidth="1"/>
    <col min="12291" max="12291" width="43.83203125" style="330" customWidth="1"/>
    <col min="12292" max="12545" width="14.6640625" style="330"/>
    <col min="12546" max="12546" width="47.6640625" style="330" customWidth="1"/>
    <col min="12547" max="12547" width="43.83203125" style="330" customWidth="1"/>
    <col min="12548" max="12801" width="14.6640625" style="330"/>
    <col min="12802" max="12802" width="47.6640625" style="330" customWidth="1"/>
    <col min="12803" max="12803" width="43.83203125" style="330" customWidth="1"/>
    <col min="12804" max="13057" width="14.6640625" style="330"/>
    <col min="13058" max="13058" width="47.6640625" style="330" customWidth="1"/>
    <col min="13059" max="13059" width="43.83203125" style="330" customWidth="1"/>
    <col min="13060" max="13313" width="14.6640625" style="330"/>
    <col min="13314" max="13314" width="47.6640625" style="330" customWidth="1"/>
    <col min="13315" max="13315" width="43.83203125" style="330" customWidth="1"/>
    <col min="13316" max="13569" width="14.6640625" style="330"/>
    <col min="13570" max="13570" width="47.6640625" style="330" customWidth="1"/>
    <col min="13571" max="13571" width="43.83203125" style="330" customWidth="1"/>
    <col min="13572" max="13825" width="14.6640625" style="330"/>
    <col min="13826" max="13826" width="47.6640625" style="330" customWidth="1"/>
    <col min="13827" max="13827" width="43.83203125" style="330" customWidth="1"/>
    <col min="13828" max="14081" width="14.6640625" style="330"/>
    <col min="14082" max="14082" width="47.6640625" style="330" customWidth="1"/>
    <col min="14083" max="14083" width="43.83203125" style="330" customWidth="1"/>
    <col min="14084" max="14337" width="14.6640625" style="330"/>
    <col min="14338" max="14338" width="47.6640625" style="330" customWidth="1"/>
    <col min="14339" max="14339" width="43.83203125" style="330" customWidth="1"/>
    <col min="14340" max="14593" width="14.6640625" style="330"/>
    <col min="14594" max="14594" width="47.6640625" style="330" customWidth="1"/>
    <col min="14595" max="14595" width="43.83203125" style="330" customWidth="1"/>
    <col min="14596" max="14849" width="14.6640625" style="330"/>
    <col min="14850" max="14850" width="47.6640625" style="330" customWidth="1"/>
    <col min="14851" max="14851" width="43.83203125" style="330" customWidth="1"/>
    <col min="14852" max="15105" width="14.6640625" style="330"/>
    <col min="15106" max="15106" width="47.6640625" style="330" customWidth="1"/>
    <col min="15107" max="15107" width="43.83203125" style="330" customWidth="1"/>
    <col min="15108" max="15361" width="14.6640625" style="330"/>
    <col min="15362" max="15362" width="47.6640625" style="330" customWidth="1"/>
    <col min="15363" max="15363" width="43.83203125" style="330" customWidth="1"/>
    <col min="15364" max="15617" width="14.6640625" style="330"/>
    <col min="15618" max="15618" width="47.6640625" style="330" customWidth="1"/>
    <col min="15619" max="15619" width="43.83203125" style="330" customWidth="1"/>
    <col min="15620" max="15873" width="14.6640625" style="330"/>
    <col min="15874" max="15874" width="47.6640625" style="330" customWidth="1"/>
    <col min="15875" max="15875" width="43.83203125" style="330" customWidth="1"/>
    <col min="15876" max="16129" width="14.6640625" style="330"/>
    <col min="16130" max="16130" width="47.6640625" style="330" customWidth="1"/>
    <col min="16131" max="16131" width="43.83203125" style="330" customWidth="1"/>
    <col min="16132" max="16384" width="14.6640625" style="330"/>
  </cols>
  <sheetData>
    <row r="1" spans="1:11" ht="54" customHeight="1" thickBot="1" x14ac:dyDescent="0.25">
      <c r="A1" s="1319" t="s">
        <v>1912</v>
      </c>
      <c r="B1" s="1320"/>
      <c r="C1" s="1321"/>
      <c r="D1" s="328"/>
      <c r="E1" s="329"/>
      <c r="F1" s="329"/>
      <c r="G1" s="329"/>
      <c r="H1" s="329"/>
    </row>
    <row r="2" spans="1:11" ht="18" x14ac:dyDescent="0.2">
      <c r="A2" s="1322" t="s">
        <v>467</v>
      </c>
      <c r="B2" s="331" t="s">
        <v>771</v>
      </c>
      <c r="C2" s="394">
        <v>1.5</v>
      </c>
      <c r="D2" s="329"/>
      <c r="E2" s="333"/>
      <c r="F2" s="329"/>
      <c r="G2" s="329"/>
      <c r="H2" s="329"/>
    </row>
    <row r="3" spans="1:11" ht="18" x14ac:dyDescent="0.2">
      <c r="A3" s="1323"/>
      <c r="B3" s="331" t="s">
        <v>772</v>
      </c>
      <c r="C3" s="332">
        <v>0.65</v>
      </c>
      <c r="D3" s="329"/>
      <c r="E3" s="329" t="s">
        <v>11</v>
      </c>
      <c r="F3" s="329"/>
      <c r="G3" s="329"/>
      <c r="H3" s="329"/>
    </row>
    <row r="4" spans="1:11" ht="18" x14ac:dyDescent="0.2">
      <c r="A4" s="1323"/>
      <c r="B4" s="331" t="s">
        <v>773</v>
      </c>
      <c r="C4" s="332">
        <v>3</v>
      </c>
      <c r="D4" s="329"/>
      <c r="E4" s="329"/>
      <c r="F4" s="329"/>
      <c r="G4" s="329"/>
      <c r="H4" s="329"/>
    </row>
    <row r="5" spans="1:11" ht="18.75" thickBot="1" x14ac:dyDescent="0.25">
      <c r="A5" s="1323"/>
      <c r="B5" s="334" t="s">
        <v>774</v>
      </c>
      <c r="C5" s="335">
        <v>0</v>
      </c>
      <c r="D5" s="329"/>
      <c r="E5" s="329" t="s">
        <v>11</v>
      </c>
      <c r="F5" s="329"/>
      <c r="G5" s="329"/>
      <c r="H5" s="329"/>
    </row>
    <row r="6" spans="1:11" ht="18.75" thickBot="1" x14ac:dyDescent="0.25">
      <c r="A6" s="1324"/>
      <c r="B6" s="336" t="s">
        <v>775</v>
      </c>
      <c r="C6" s="337">
        <f>SUM(C2:C5)</f>
        <v>5.15</v>
      </c>
      <c r="D6" s="329"/>
      <c r="E6" s="329"/>
      <c r="F6" s="338"/>
      <c r="G6" s="329"/>
      <c r="H6" s="329"/>
    </row>
    <row r="7" spans="1:11" ht="18.75" thickBot="1" x14ac:dyDescent="0.25">
      <c r="A7" s="339" t="s">
        <v>776</v>
      </c>
      <c r="B7" s="340" t="s">
        <v>777</v>
      </c>
      <c r="C7" s="341" t="s">
        <v>778</v>
      </c>
      <c r="D7" s="329"/>
      <c r="E7" s="329"/>
      <c r="F7" s="329"/>
      <c r="G7" s="342" t="s">
        <v>165</v>
      </c>
      <c r="H7" s="329"/>
    </row>
    <row r="8" spans="1:11" ht="18" x14ac:dyDescent="0.2">
      <c r="A8" s="339" t="s">
        <v>759</v>
      </c>
      <c r="B8" s="239">
        <v>4.01</v>
      </c>
      <c r="C8" s="240">
        <v>3.45</v>
      </c>
      <c r="D8" s="329"/>
      <c r="E8" s="1330" t="s">
        <v>1930</v>
      </c>
      <c r="F8" s="1331"/>
      <c r="G8" s="1331"/>
      <c r="H8" s="1331"/>
      <c r="I8" s="1332"/>
      <c r="J8" s="635">
        <v>4.01</v>
      </c>
      <c r="K8" s="636">
        <v>3.45</v>
      </c>
    </row>
    <row r="9" spans="1:11" ht="18" x14ac:dyDescent="0.2">
      <c r="A9" s="343" t="s">
        <v>760</v>
      </c>
      <c r="B9" s="242">
        <v>0.56000000000000005</v>
      </c>
      <c r="C9" s="243">
        <v>0.85</v>
      </c>
      <c r="D9" s="329"/>
      <c r="E9" s="1333"/>
      <c r="F9" s="1334"/>
      <c r="G9" s="1334"/>
      <c r="H9" s="1334"/>
      <c r="I9" s="1335"/>
      <c r="J9" s="242">
        <v>0.56000000000000005</v>
      </c>
      <c r="K9" s="243">
        <v>0.85</v>
      </c>
    </row>
    <row r="10" spans="1:11" ht="18.75" thickBot="1" x14ac:dyDescent="0.25">
      <c r="A10" s="343" t="s">
        <v>761</v>
      </c>
      <c r="B10" s="242">
        <v>0.4</v>
      </c>
      <c r="C10" s="243">
        <v>0.48</v>
      </c>
      <c r="D10" s="329"/>
      <c r="E10" s="1336"/>
      <c r="F10" s="1337"/>
      <c r="G10" s="1337"/>
      <c r="H10" s="1337"/>
      <c r="I10" s="1338"/>
      <c r="J10" s="242">
        <v>0.4</v>
      </c>
      <c r="K10" s="243">
        <v>0.48</v>
      </c>
    </row>
    <row r="11" spans="1:11" ht="18" x14ac:dyDescent="0.2">
      <c r="A11" s="343" t="s">
        <v>762</v>
      </c>
      <c r="B11" s="242">
        <v>1.1100000000000001</v>
      </c>
      <c r="C11" s="243">
        <v>0.85</v>
      </c>
      <c r="D11" s="329"/>
      <c r="E11" s="241"/>
      <c r="F11" s="329"/>
      <c r="G11" s="329"/>
      <c r="H11" s="329"/>
      <c r="J11" s="242">
        <v>1.1100000000000001</v>
      </c>
      <c r="K11" s="243">
        <v>0.85</v>
      </c>
    </row>
    <row r="12" spans="1:11" ht="18.75" thickBot="1" x14ac:dyDescent="0.25">
      <c r="A12" s="344" t="s">
        <v>469</v>
      </c>
      <c r="B12" s="244">
        <v>7.3</v>
      </c>
      <c r="C12" s="245">
        <v>5.1100000000000003</v>
      </c>
      <c r="D12" s="329"/>
      <c r="E12" s="241"/>
      <c r="F12" s="329"/>
      <c r="G12" s="329"/>
      <c r="H12" s="329"/>
      <c r="J12" s="244">
        <v>7.3</v>
      </c>
      <c r="K12" s="245">
        <v>5.1100000000000003</v>
      </c>
    </row>
    <row r="13" spans="1:11" ht="18.75" thickBot="1" x14ac:dyDescent="0.25">
      <c r="A13" s="345" t="s">
        <v>779</v>
      </c>
      <c r="B13" s="346">
        <f>(((((1+(B8+B9+B10)/100)*(1+B11/100)*(1+B12/100))/(1-C6/100))-1)*100)</f>
        <v>20.066456711650016</v>
      </c>
      <c r="C13" s="337">
        <f>(((((1+(C8+C9+C10)/100)*(1+C11/100)*(1+C12/100))/(1-(C3+C4+C5)/100))-1)*100)</f>
        <v>15.278047942916428</v>
      </c>
      <c r="D13" s="347"/>
      <c r="E13" s="329"/>
      <c r="F13" s="329"/>
      <c r="G13" s="329"/>
      <c r="H13" s="329"/>
    </row>
    <row r="14" spans="1:11" ht="15.75" thickBot="1" x14ac:dyDescent="0.25">
      <c r="A14" s="1316" t="s">
        <v>780</v>
      </c>
      <c r="B14" s="1317"/>
      <c r="C14" s="1318"/>
      <c r="D14" s="347"/>
      <c r="E14" s="329"/>
      <c r="F14" s="329"/>
      <c r="G14" s="329"/>
      <c r="H14" s="329"/>
    </row>
    <row r="15" spans="1:11" ht="18.75" thickBot="1" x14ac:dyDescent="0.25">
      <c r="A15" s="348" t="s">
        <v>781</v>
      </c>
      <c r="B15" s="349">
        <f>IF(D15="X",0,ROUND(B13,2)/100)</f>
        <v>0.20069999999999999</v>
      </c>
      <c r="C15" s="350"/>
      <c r="D15" s="351"/>
      <c r="E15" s="329" t="s">
        <v>532</v>
      </c>
      <c r="G15" s="329"/>
      <c r="H15" s="329"/>
    </row>
    <row r="16" spans="1:11" ht="7.9" customHeight="1" thickBot="1" x14ac:dyDescent="0.25">
      <c r="A16" s="353"/>
      <c r="B16" s="353"/>
      <c r="C16" s="353"/>
      <c r="D16" s="347"/>
      <c r="E16" s="329"/>
      <c r="F16" s="329"/>
      <c r="G16" s="329"/>
      <c r="H16" s="329"/>
    </row>
    <row r="17" spans="1:13" ht="18.75" thickBot="1" x14ac:dyDescent="0.25">
      <c r="A17" s="348" t="s">
        <v>782</v>
      </c>
      <c r="B17" s="349">
        <f>IF(D15="X",0,ROUND(C13,2)/100)</f>
        <v>0.15279999999999999</v>
      </c>
      <c r="C17" s="350"/>
      <c r="D17" s="329"/>
      <c r="E17" s="352"/>
      <c r="F17" s="354"/>
      <c r="G17" s="354"/>
      <c r="H17" s="354"/>
      <c r="I17" s="355"/>
      <c r="J17" s="355"/>
      <c r="K17" s="355"/>
      <c r="L17" s="355"/>
      <c r="M17" s="355"/>
    </row>
    <row r="18" spans="1:13" ht="6.6" customHeight="1" x14ac:dyDescent="0.2">
      <c r="A18" s="356"/>
      <c r="B18" s="356"/>
      <c r="C18" s="356"/>
      <c r="D18" s="329"/>
      <c r="E18" s="329"/>
      <c r="F18" s="329"/>
      <c r="G18" s="329"/>
      <c r="H18" s="329"/>
    </row>
    <row r="19" spans="1:13" x14ac:dyDescent="0.2">
      <c r="A19" s="357"/>
      <c r="B19" s="357"/>
      <c r="C19" s="357"/>
      <c r="D19" s="329"/>
      <c r="E19" s="329"/>
      <c r="F19" s="329"/>
      <c r="G19" s="329"/>
      <c r="H19" s="329"/>
    </row>
    <row r="20" spans="1:13" ht="16.5" thickBot="1" x14ac:dyDescent="0.25">
      <c r="A20" s="358"/>
      <c r="B20" s="359" t="s">
        <v>763</v>
      </c>
      <c r="C20" s="357"/>
      <c r="D20" s="329"/>
      <c r="E20" s="329"/>
      <c r="F20" s="329"/>
      <c r="G20" s="329"/>
      <c r="H20" s="329"/>
    </row>
    <row r="21" spans="1:13" ht="20.45" customHeight="1" thickBot="1" x14ac:dyDescent="0.25">
      <c r="A21" s="360" t="s">
        <v>514</v>
      </c>
      <c r="B21" s="246">
        <v>5</v>
      </c>
      <c r="C21" s="361" t="s">
        <v>508</v>
      </c>
      <c r="D21" s="329"/>
      <c r="E21" s="333"/>
      <c r="F21" s="329"/>
      <c r="G21" s="329"/>
      <c r="H21" s="329"/>
    </row>
    <row r="22" spans="1:13" ht="20.45" customHeight="1" thickBot="1" x14ac:dyDescent="0.25">
      <c r="A22" s="360" t="s">
        <v>515</v>
      </c>
      <c r="B22" s="246">
        <v>100</v>
      </c>
      <c r="C22" s="361" t="s">
        <v>508</v>
      </c>
      <c r="D22" s="329"/>
      <c r="E22" s="333"/>
      <c r="F22" s="329"/>
      <c r="G22" s="329"/>
      <c r="H22" s="329"/>
    </row>
    <row r="23" spans="1:13" ht="18" x14ac:dyDescent="0.2">
      <c r="A23" s="360" t="s">
        <v>764</v>
      </c>
      <c r="B23" s="362" t="s">
        <v>527</v>
      </c>
      <c r="C23" s="361" t="s">
        <v>508</v>
      </c>
      <c r="D23" s="329"/>
      <c r="E23" s="329"/>
      <c r="F23" s="329"/>
      <c r="G23" s="329"/>
      <c r="H23" s="329"/>
    </row>
    <row r="24" spans="1:13" ht="18" x14ac:dyDescent="0.2">
      <c r="A24" s="360" t="s">
        <v>1913</v>
      </c>
      <c r="B24" s="363">
        <f>ROUND(B21*B22/100,4)</f>
        <v>5</v>
      </c>
      <c r="C24" s="361" t="s">
        <v>508</v>
      </c>
      <c r="D24" s="329"/>
      <c r="E24" s="329"/>
      <c r="F24" s="329"/>
      <c r="G24" s="329"/>
      <c r="H24" s="329"/>
    </row>
    <row r="25" spans="1:13" ht="13.5" thickBot="1" x14ac:dyDescent="0.25">
      <c r="A25" s="364"/>
      <c r="B25" s="365"/>
      <c r="C25" s="365"/>
      <c r="D25" s="329"/>
      <c r="E25" s="329"/>
      <c r="F25" s="329"/>
      <c r="G25" s="329"/>
      <c r="H25" s="329"/>
    </row>
    <row r="26" spans="1:13" ht="13.5" thickBot="1" x14ac:dyDescent="0.25">
      <c r="A26" s="1325" t="s">
        <v>783</v>
      </c>
      <c r="B26" s="1326"/>
      <c r="C26" s="1326"/>
      <c r="D26" s="1327"/>
      <c r="E26" s="329"/>
      <c r="F26" s="329"/>
      <c r="G26" s="329"/>
      <c r="H26" s="329"/>
    </row>
    <row r="27" spans="1:13" ht="13.5" thickBot="1" x14ac:dyDescent="0.25">
      <c r="A27" s="366" t="s">
        <v>784</v>
      </c>
      <c r="B27" s="367" t="s">
        <v>785</v>
      </c>
      <c r="C27" s="368" t="s">
        <v>786</v>
      </c>
      <c r="D27" s="369" t="s">
        <v>787</v>
      </c>
      <c r="E27" s="329"/>
      <c r="F27" s="329"/>
      <c r="G27" s="329"/>
      <c r="H27" s="329"/>
    </row>
    <row r="28" spans="1:13" x14ac:dyDescent="0.2">
      <c r="A28" s="370" t="s">
        <v>788</v>
      </c>
      <c r="B28" s="371">
        <v>0.2034</v>
      </c>
      <c r="C28" s="372">
        <v>0.22120000000000001</v>
      </c>
      <c r="D28" s="373">
        <v>0.25</v>
      </c>
      <c r="E28" s="329"/>
      <c r="F28" s="329"/>
      <c r="G28" s="329"/>
      <c r="H28" s="329"/>
    </row>
    <row r="29" spans="1:13" x14ac:dyDescent="0.2">
      <c r="A29" s="374" t="s">
        <v>789</v>
      </c>
      <c r="B29" s="375">
        <v>0.19600000000000001</v>
      </c>
      <c r="C29" s="376">
        <v>0.20949999999999999</v>
      </c>
      <c r="D29" s="377">
        <v>0.24229999999999999</v>
      </c>
      <c r="E29" s="329"/>
      <c r="F29" s="329"/>
      <c r="G29" s="329"/>
      <c r="H29" s="329"/>
    </row>
    <row r="30" spans="1:13" ht="38.25" x14ac:dyDescent="0.2">
      <c r="A30" s="374" t="s">
        <v>790</v>
      </c>
      <c r="B30" s="375">
        <v>0.20760000000000001</v>
      </c>
      <c r="C30" s="376">
        <v>0.24179999999999999</v>
      </c>
      <c r="D30" s="377">
        <v>0.26440000000000002</v>
      </c>
      <c r="E30" s="329"/>
      <c r="F30" s="329"/>
      <c r="G30" s="329"/>
      <c r="H30" s="329"/>
    </row>
    <row r="31" spans="1:13" ht="25.5" x14ac:dyDescent="0.2">
      <c r="A31" s="374" t="s">
        <v>791</v>
      </c>
      <c r="B31" s="375">
        <v>0.24</v>
      </c>
      <c r="C31" s="376">
        <v>0.25840000000000002</v>
      </c>
      <c r="D31" s="377">
        <v>0.27860000000000001</v>
      </c>
      <c r="E31" s="329"/>
      <c r="F31" s="329"/>
      <c r="G31" s="329"/>
      <c r="H31" s="329"/>
    </row>
    <row r="32" spans="1:13" ht="13.5" thickBot="1" x14ac:dyDescent="0.25">
      <c r="A32" s="378" t="s">
        <v>792</v>
      </c>
      <c r="B32" s="379">
        <v>0.22800000000000001</v>
      </c>
      <c r="C32" s="380">
        <v>0.27479999999999999</v>
      </c>
      <c r="D32" s="381">
        <v>0.3095</v>
      </c>
      <c r="E32" s="329"/>
      <c r="F32" s="329"/>
      <c r="G32" s="329"/>
      <c r="H32" s="329"/>
    </row>
    <row r="33" spans="1:16" x14ac:dyDescent="0.2">
      <c r="A33" s="382"/>
      <c r="B33" s="365"/>
      <c r="C33" s="365"/>
      <c r="D33" s="329"/>
      <c r="E33" s="329"/>
      <c r="F33" s="329"/>
      <c r="G33" s="329"/>
      <c r="H33" s="329"/>
    </row>
    <row r="34" spans="1:16" ht="13.5" thickBot="1" x14ac:dyDescent="0.25">
      <c r="A34" s="382"/>
      <c r="B34" s="365"/>
      <c r="C34" s="365"/>
      <c r="D34" s="329"/>
      <c r="E34" s="329"/>
      <c r="F34" s="329"/>
      <c r="G34" s="329"/>
      <c r="H34" s="329"/>
    </row>
    <row r="35" spans="1:16" ht="13.5" thickBot="1" x14ac:dyDescent="0.25">
      <c r="A35" s="1328" t="s">
        <v>793</v>
      </c>
      <c r="B35" s="367" t="s">
        <v>785</v>
      </c>
      <c r="C35" s="368" t="s">
        <v>786</v>
      </c>
      <c r="D35" s="369" t="s">
        <v>787</v>
      </c>
      <c r="E35" s="329"/>
      <c r="F35" s="329"/>
      <c r="G35" s="329"/>
      <c r="H35" s="329"/>
    </row>
    <row r="36" spans="1:16" ht="13.5" thickBot="1" x14ac:dyDescent="0.25">
      <c r="A36" s="1329"/>
      <c r="B36" s="383">
        <v>0.111</v>
      </c>
      <c r="C36" s="384">
        <v>0.14019999999999999</v>
      </c>
      <c r="D36" s="385">
        <v>0.16800000000000001</v>
      </c>
      <c r="E36" s="329"/>
      <c r="F36" s="329"/>
      <c r="G36" s="329"/>
      <c r="H36" s="329"/>
    </row>
    <row r="37" spans="1:16" x14ac:dyDescent="0.2">
      <c r="A37" s="382"/>
      <c r="B37" s="365"/>
      <c r="C37" s="365"/>
      <c r="D37" s="329"/>
      <c r="E37" s="329"/>
      <c r="F37" s="329"/>
      <c r="G37" s="329"/>
      <c r="H37" s="329"/>
    </row>
    <row r="38" spans="1:16" ht="13.5" thickBot="1" x14ac:dyDescent="0.25">
      <c r="A38" s="382"/>
      <c r="B38" s="365"/>
      <c r="C38" s="365"/>
      <c r="D38" s="329"/>
      <c r="E38" s="329"/>
      <c r="F38" s="329"/>
      <c r="G38" s="329"/>
      <c r="H38" s="329"/>
    </row>
    <row r="39" spans="1:16" ht="13.5" thickBot="1" x14ac:dyDescent="0.25">
      <c r="A39" s="1341" t="s">
        <v>784</v>
      </c>
      <c r="B39" s="1313" t="s">
        <v>759</v>
      </c>
      <c r="C39" s="1314"/>
      <c r="D39" s="1315"/>
      <c r="E39" s="1313" t="s">
        <v>794</v>
      </c>
      <c r="F39" s="1314"/>
      <c r="G39" s="1315"/>
      <c r="H39" s="1313" t="s">
        <v>795</v>
      </c>
      <c r="I39" s="1314"/>
      <c r="J39" s="1315"/>
      <c r="K39" s="1313" t="s">
        <v>796</v>
      </c>
      <c r="L39" s="1339"/>
      <c r="M39" s="1340"/>
      <c r="N39" s="1313" t="s">
        <v>469</v>
      </c>
      <c r="O39" s="1339"/>
      <c r="P39" s="1340"/>
    </row>
    <row r="40" spans="1:16" ht="13.5" thickBot="1" x14ac:dyDescent="0.25">
      <c r="A40" s="1342"/>
      <c r="B40" s="367" t="s">
        <v>785</v>
      </c>
      <c r="C40" s="368" t="s">
        <v>786</v>
      </c>
      <c r="D40" s="369" t="s">
        <v>787</v>
      </c>
      <c r="E40" s="367" t="s">
        <v>785</v>
      </c>
      <c r="F40" s="368" t="s">
        <v>786</v>
      </c>
      <c r="G40" s="369" t="s">
        <v>787</v>
      </c>
      <c r="H40" s="367" t="s">
        <v>785</v>
      </c>
      <c r="I40" s="368" t="s">
        <v>786</v>
      </c>
      <c r="J40" s="369" t="s">
        <v>787</v>
      </c>
      <c r="K40" s="367" t="s">
        <v>785</v>
      </c>
      <c r="L40" s="368" t="s">
        <v>786</v>
      </c>
      <c r="M40" s="369" t="s">
        <v>787</v>
      </c>
      <c r="N40" s="367" t="s">
        <v>785</v>
      </c>
      <c r="O40" s="368" t="s">
        <v>786</v>
      </c>
      <c r="P40" s="369" t="s">
        <v>787</v>
      </c>
    </row>
    <row r="41" spans="1:16" x14ac:dyDescent="0.2">
      <c r="A41" s="370" t="s">
        <v>788</v>
      </c>
      <c r="B41" s="371">
        <v>0.03</v>
      </c>
      <c r="C41" s="372">
        <v>0.04</v>
      </c>
      <c r="D41" s="373">
        <v>5.5E-2</v>
      </c>
      <c r="E41" s="371">
        <v>9.7000000000000003E-3</v>
      </c>
      <c r="F41" s="372">
        <v>1.2699999999999999E-2</v>
      </c>
      <c r="G41" s="373">
        <v>1.2699999999999999E-2</v>
      </c>
      <c r="H41" s="371">
        <v>8.0000000000000002E-3</v>
      </c>
      <c r="I41" s="372">
        <v>8.0000000000000002E-3</v>
      </c>
      <c r="J41" s="373">
        <v>0.01</v>
      </c>
      <c r="K41" s="371">
        <v>5.8999999999999999E-3</v>
      </c>
      <c r="L41" s="372">
        <v>1.23E-2</v>
      </c>
      <c r="M41" s="373">
        <v>1.3899999999999999E-2</v>
      </c>
      <c r="N41" s="371">
        <v>6.1600000000000002E-2</v>
      </c>
      <c r="O41" s="372">
        <v>7.3999999999999996E-2</v>
      </c>
      <c r="P41" s="373">
        <v>8.9599999999999999E-2</v>
      </c>
    </row>
    <row r="42" spans="1:16" x14ac:dyDescent="0.2">
      <c r="A42" s="374" t="s">
        <v>789</v>
      </c>
      <c r="B42" s="375">
        <v>3.7999999999999999E-2</v>
      </c>
      <c r="C42" s="376">
        <v>4.0099999999999997E-2</v>
      </c>
      <c r="D42" s="377">
        <v>4.6699999999999998E-2</v>
      </c>
      <c r="E42" s="375">
        <v>5.0000000000000001E-3</v>
      </c>
      <c r="F42" s="376">
        <v>5.5999999999999999E-3</v>
      </c>
      <c r="G42" s="377">
        <v>9.7000000000000003E-3</v>
      </c>
      <c r="H42" s="375">
        <v>3.2000000000000002E-3</v>
      </c>
      <c r="I42" s="376">
        <v>4.0000000000000001E-3</v>
      </c>
      <c r="J42" s="377">
        <v>7.4000000000000003E-3</v>
      </c>
      <c r="K42" s="375">
        <v>1.0200000000000001E-2</v>
      </c>
      <c r="L42" s="376">
        <v>1.11E-2</v>
      </c>
      <c r="M42" s="377">
        <v>1.21E-2</v>
      </c>
      <c r="N42" s="375">
        <v>6.6400000000000001E-2</v>
      </c>
      <c r="O42" s="376">
        <v>7.2999999999999995E-2</v>
      </c>
      <c r="P42" s="377">
        <v>8.6900000000000005E-2</v>
      </c>
    </row>
    <row r="43" spans="1:16" ht="38.25" x14ac:dyDescent="0.2">
      <c r="A43" s="374" t="s">
        <v>790</v>
      </c>
      <c r="B43" s="375">
        <v>3.4299999999999997E-2</v>
      </c>
      <c r="C43" s="376">
        <v>4.9299999999999997E-2</v>
      </c>
      <c r="D43" s="377">
        <v>6.7100000000000007E-2</v>
      </c>
      <c r="E43" s="375">
        <v>0.01</v>
      </c>
      <c r="F43" s="376">
        <v>1.3899999999999999E-2</v>
      </c>
      <c r="G43" s="377">
        <v>1.7399999999999999E-2</v>
      </c>
      <c r="H43" s="375">
        <v>2.8E-3</v>
      </c>
      <c r="I43" s="376">
        <v>4.8999999999999998E-3</v>
      </c>
      <c r="J43" s="377">
        <v>7.4999999999999997E-3</v>
      </c>
      <c r="K43" s="375">
        <v>9.4000000000000004E-3</v>
      </c>
      <c r="L43" s="376">
        <v>9.9000000000000008E-3</v>
      </c>
      <c r="M43" s="377">
        <v>1.17E-2</v>
      </c>
      <c r="N43" s="375">
        <v>6.7400000000000002E-2</v>
      </c>
      <c r="O43" s="376">
        <v>8.0399999999999999E-2</v>
      </c>
      <c r="P43" s="377">
        <v>9.4E-2</v>
      </c>
    </row>
    <row r="44" spans="1:16" ht="25.5" x14ac:dyDescent="0.2">
      <c r="A44" s="374" t="s">
        <v>791</v>
      </c>
      <c r="B44" s="375">
        <v>5.2900000000000003E-2</v>
      </c>
      <c r="C44" s="376">
        <v>5.9200000000000003E-2</v>
      </c>
      <c r="D44" s="377">
        <v>7.9299999999999995E-2</v>
      </c>
      <c r="E44" s="375">
        <v>0.01</v>
      </c>
      <c r="F44" s="376">
        <v>1.4800000000000001E-2</v>
      </c>
      <c r="G44" s="377">
        <v>1.9699999999999999E-2</v>
      </c>
      <c r="H44" s="375">
        <v>2.5000000000000001E-3</v>
      </c>
      <c r="I44" s="376">
        <v>5.1000000000000004E-3</v>
      </c>
      <c r="J44" s="377">
        <v>5.5999999999999999E-3</v>
      </c>
      <c r="K44" s="375">
        <v>1.01E-2</v>
      </c>
      <c r="L44" s="376">
        <v>1.0699999999999999E-2</v>
      </c>
      <c r="M44" s="377">
        <v>1.11E-2</v>
      </c>
      <c r="N44" s="375">
        <v>0.08</v>
      </c>
      <c r="O44" s="376">
        <v>8.3099999999999993E-2</v>
      </c>
      <c r="P44" s="377">
        <v>9.5100000000000004E-2</v>
      </c>
    </row>
    <row r="45" spans="1:16" ht="13.5" thickBot="1" x14ac:dyDescent="0.25">
      <c r="A45" s="378" t="s">
        <v>792</v>
      </c>
      <c r="B45" s="379">
        <v>0.04</v>
      </c>
      <c r="C45" s="380">
        <v>5.5199999999999999E-2</v>
      </c>
      <c r="D45" s="381">
        <v>7.85E-2</v>
      </c>
      <c r="E45" s="379">
        <v>1.46E-2</v>
      </c>
      <c r="F45" s="380">
        <v>2.3199999999999998E-2</v>
      </c>
      <c r="G45" s="381">
        <v>3.1600000000000003E-2</v>
      </c>
      <c r="H45" s="379">
        <v>8.0999999999999996E-3</v>
      </c>
      <c r="I45" s="380">
        <v>1.2200000000000001E-2</v>
      </c>
      <c r="J45" s="381">
        <v>1.9900000000000001E-2</v>
      </c>
      <c r="K45" s="379">
        <v>9.4000000000000004E-3</v>
      </c>
      <c r="L45" s="380">
        <v>1.0200000000000001E-2</v>
      </c>
      <c r="M45" s="381">
        <v>1.3299999999999999E-2</v>
      </c>
      <c r="N45" s="379">
        <v>7.1400000000000005E-2</v>
      </c>
      <c r="O45" s="380">
        <v>8.4000000000000005E-2</v>
      </c>
      <c r="P45" s="381">
        <v>0.1043</v>
      </c>
    </row>
    <row r="46" spans="1:16" x14ac:dyDescent="0.2">
      <c r="A46" s="365"/>
      <c r="B46" s="365"/>
      <c r="C46" s="365"/>
      <c r="D46" s="329"/>
      <c r="E46" s="329"/>
      <c r="F46" s="329"/>
      <c r="G46" s="329"/>
      <c r="H46" s="329"/>
    </row>
    <row r="47" spans="1:16" ht="13.5" thickBot="1" x14ac:dyDescent="0.25">
      <c r="A47" s="365"/>
      <c r="B47" s="365"/>
      <c r="C47" s="365"/>
      <c r="D47" s="329"/>
      <c r="E47" s="329"/>
      <c r="F47" s="329"/>
      <c r="G47" s="329"/>
      <c r="H47" s="329"/>
    </row>
    <row r="48" spans="1:16" ht="13.5" thickBot="1" x14ac:dyDescent="0.25">
      <c r="A48" s="1313" t="s">
        <v>797</v>
      </c>
      <c r="B48" s="1320"/>
      <c r="C48" s="1320"/>
      <c r="D48" s="1321"/>
      <c r="E48" s="329"/>
      <c r="F48" s="329"/>
      <c r="G48" s="329"/>
    </row>
    <row r="49" spans="1:36" ht="13.5" thickBot="1" x14ac:dyDescent="0.25">
      <c r="A49" s="386" t="s">
        <v>798</v>
      </c>
      <c r="B49" s="387" t="s">
        <v>785</v>
      </c>
      <c r="C49" s="388" t="s">
        <v>786</v>
      </c>
      <c r="D49" s="389" t="s">
        <v>787</v>
      </c>
      <c r="E49" s="329"/>
      <c r="F49" s="329"/>
      <c r="G49" s="329"/>
    </row>
    <row r="50" spans="1:36" x14ac:dyDescent="0.2">
      <c r="A50" s="370" t="s">
        <v>759</v>
      </c>
      <c r="B50" s="371">
        <v>1.4999999999999999E-2</v>
      </c>
      <c r="C50" s="372">
        <v>3.4500000000000003E-2</v>
      </c>
      <c r="D50" s="373">
        <v>4.4900000000000002E-2</v>
      </c>
      <c r="E50" s="329"/>
      <c r="F50" s="329"/>
      <c r="G50" s="329"/>
    </row>
    <row r="51" spans="1:36" x14ac:dyDescent="0.2">
      <c r="A51" s="374" t="s">
        <v>795</v>
      </c>
      <c r="B51" s="375">
        <v>3.0000000000000001E-3</v>
      </c>
      <c r="C51" s="376">
        <v>4.7999999999999996E-3</v>
      </c>
      <c r="D51" s="377">
        <v>8.2000000000000007E-3</v>
      </c>
      <c r="E51" s="329"/>
      <c r="F51" s="329"/>
      <c r="G51" s="329"/>
    </row>
    <row r="52" spans="1:36" x14ac:dyDescent="0.2">
      <c r="A52" s="374" t="s">
        <v>794</v>
      </c>
      <c r="B52" s="375">
        <v>5.5999999999999999E-3</v>
      </c>
      <c r="C52" s="376">
        <v>8.5000000000000006E-3</v>
      </c>
      <c r="D52" s="377">
        <v>8.8999999999999999E-3</v>
      </c>
      <c r="E52" s="329"/>
      <c r="F52" s="329"/>
      <c r="G52" s="329"/>
    </row>
    <row r="53" spans="1:36" x14ac:dyDescent="0.2">
      <c r="A53" s="374" t="s">
        <v>796</v>
      </c>
      <c r="B53" s="375">
        <v>8.5000000000000006E-3</v>
      </c>
      <c r="C53" s="376">
        <v>8.5000000000000006E-3</v>
      </c>
      <c r="D53" s="377">
        <v>1.11E-2</v>
      </c>
      <c r="E53" s="329"/>
      <c r="F53" s="329"/>
      <c r="G53" s="329"/>
    </row>
    <row r="54" spans="1:36" ht="13.5" thickBot="1" x14ac:dyDescent="0.25">
      <c r="A54" s="378" t="s">
        <v>469</v>
      </c>
      <c r="B54" s="379">
        <v>3.5000000000000003E-2</v>
      </c>
      <c r="C54" s="380">
        <v>5.11E-2</v>
      </c>
      <c r="D54" s="381">
        <v>6.2199999999999998E-2</v>
      </c>
      <c r="E54" s="329"/>
      <c r="F54" s="329"/>
      <c r="G54" s="329"/>
    </row>
    <row r="55" spans="1:36" x14ac:dyDescent="0.2">
      <c r="A55" s="365"/>
      <c r="B55" s="365"/>
      <c r="C55" s="390"/>
      <c r="D55" s="329"/>
      <c r="E55" s="391"/>
      <c r="F55" s="329"/>
      <c r="G55" s="329"/>
      <c r="H55" s="329"/>
    </row>
    <row r="56" spans="1:36" ht="13.5" thickBot="1" x14ac:dyDescent="0.25">
      <c r="A56" s="365"/>
      <c r="B56" s="365"/>
      <c r="C56" s="365"/>
      <c r="D56" s="329"/>
      <c r="E56" s="329"/>
      <c r="F56" s="329"/>
      <c r="G56" s="329"/>
      <c r="H56" s="329"/>
    </row>
    <row r="57" spans="1:36" ht="13.5" thickBot="1" x14ac:dyDescent="0.25">
      <c r="A57" s="1313" t="s">
        <v>799</v>
      </c>
      <c r="B57" s="1320"/>
      <c r="C57" s="1320"/>
      <c r="D57" s="1321"/>
      <c r="E57" s="329"/>
      <c r="F57" s="329"/>
      <c r="G57" s="329"/>
      <c r="H57" s="329"/>
    </row>
    <row r="58" spans="1:36" ht="13.5" thickBot="1" x14ac:dyDescent="0.25">
      <c r="A58" s="392" t="s">
        <v>784</v>
      </c>
      <c r="B58" s="367" t="s">
        <v>785</v>
      </c>
      <c r="C58" s="368" t="s">
        <v>786</v>
      </c>
      <c r="D58" s="369" t="s">
        <v>787</v>
      </c>
      <c r="E58" s="329"/>
      <c r="F58" s="329"/>
      <c r="G58" s="329"/>
      <c r="H58" s="329"/>
    </row>
    <row r="59" spans="1:36" x14ac:dyDescent="0.2">
      <c r="A59" s="370" t="s">
        <v>788</v>
      </c>
      <c r="B59" s="371">
        <v>3.49E-2</v>
      </c>
      <c r="C59" s="372">
        <v>6.2300000000000001E-2</v>
      </c>
      <c r="D59" s="373">
        <v>8.8700000000000001E-2</v>
      </c>
      <c r="E59" s="329"/>
      <c r="F59" s="329"/>
      <c r="G59" s="329"/>
      <c r="H59" s="329"/>
    </row>
    <row r="60" spans="1:36" x14ac:dyDescent="0.2">
      <c r="A60" s="374" t="s">
        <v>789</v>
      </c>
      <c r="B60" s="375">
        <v>1.9800000000000002E-2</v>
      </c>
      <c r="C60" s="376">
        <v>6.9900000000000004E-2</v>
      </c>
      <c r="D60" s="377">
        <v>0.10680000000000001</v>
      </c>
      <c r="E60" s="329"/>
      <c r="F60" s="329"/>
      <c r="G60" s="329"/>
      <c r="H60" s="329"/>
    </row>
    <row r="61" spans="1:36" ht="38.25" x14ac:dyDescent="0.2">
      <c r="A61" s="374" t="s">
        <v>790</v>
      </c>
      <c r="B61" s="375">
        <v>4.1300000000000003E-2</v>
      </c>
      <c r="C61" s="376">
        <v>7.6399999999999996E-2</v>
      </c>
      <c r="D61" s="377">
        <v>0.1089</v>
      </c>
      <c r="E61" s="329"/>
      <c r="F61" s="329"/>
      <c r="G61" s="329"/>
      <c r="H61" s="329"/>
    </row>
    <row r="62" spans="1:36" ht="25.5" x14ac:dyDescent="0.2">
      <c r="A62" s="374" t="s">
        <v>791</v>
      </c>
      <c r="B62" s="375">
        <v>1.8499999999999999E-2</v>
      </c>
      <c r="C62" s="376">
        <v>5.0500000000000003E-2</v>
      </c>
      <c r="D62" s="377">
        <v>7.4499999999999997E-2</v>
      </c>
      <c r="E62" s="329"/>
      <c r="F62" s="329"/>
      <c r="G62" s="329"/>
      <c r="H62" s="329"/>
      <c r="Q62" s="329"/>
      <c r="R62" s="329"/>
      <c r="S62" s="329"/>
      <c r="T62" s="329"/>
      <c r="U62" s="329"/>
      <c r="V62" s="329"/>
      <c r="W62" s="329"/>
      <c r="X62" s="329"/>
      <c r="Y62" s="329"/>
      <c r="Z62" s="329"/>
      <c r="AA62" s="329"/>
      <c r="AB62" s="329"/>
      <c r="AC62" s="329"/>
      <c r="AD62" s="329"/>
      <c r="AE62" s="329"/>
      <c r="AF62" s="329"/>
      <c r="AG62" s="329"/>
      <c r="AH62" s="329"/>
      <c r="AI62" s="329"/>
      <c r="AJ62" s="329"/>
    </row>
    <row r="63" spans="1:36" ht="13.5" thickBot="1" x14ac:dyDescent="0.25">
      <c r="A63" s="378" t="s">
        <v>792</v>
      </c>
      <c r="B63" s="379">
        <v>6.2300000000000001E-2</v>
      </c>
      <c r="C63" s="380">
        <v>7.4800000000000005E-2</v>
      </c>
      <c r="D63" s="381">
        <v>9.0899999999999995E-2</v>
      </c>
      <c r="E63" s="329"/>
      <c r="F63" s="329"/>
      <c r="G63" s="329"/>
      <c r="H63" s="329"/>
      <c r="Q63" s="329"/>
      <c r="R63" s="329"/>
      <c r="S63" s="329"/>
      <c r="T63" s="329"/>
      <c r="U63" s="329"/>
      <c r="V63" s="329"/>
      <c r="W63" s="329"/>
      <c r="X63" s="329"/>
      <c r="Y63" s="329"/>
      <c r="Z63" s="329"/>
      <c r="AA63" s="329"/>
      <c r="AB63" s="329"/>
      <c r="AC63" s="329"/>
      <c r="AD63" s="329"/>
      <c r="AE63" s="329"/>
      <c r="AF63" s="329"/>
      <c r="AG63" s="329"/>
      <c r="AH63" s="329"/>
      <c r="AI63" s="329"/>
      <c r="AJ63" s="329"/>
    </row>
    <row r="64" spans="1:36" x14ac:dyDescent="0.2">
      <c r="A64" s="365"/>
      <c r="B64" s="365"/>
      <c r="C64" s="365"/>
      <c r="D64" s="329"/>
      <c r="E64" s="329"/>
      <c r="F64" s="329"/>
      <c r="G64" s="329"/>
      <c r="H64" s="329"/>
    </row>
    <row r="65" spans="1:36" x14ac:dyDescent="0.2">
      <c r="A65" s="1310" t="s">
        <v>800</v>
      </c>
      <c r="B65" s="1311"/>
      <c r="C65" s="1311"/>
      <c r="D65" s="1312"/>
      <c r="E65" s="329"/>
      <c r="F65" s="329"/>
      <c r="G65" s="329"/>
      <c r="H65" s="329"/>
      <c r="Q65" s="329"/>
      <c r="R65" s="329"/>
      <c r="S65" s="329"/>
      <c r="T65" s="329"/>
      <c r="U65" s="329"/>
      <c r="V65" s="329"/>
      <c r="W65" s="329"/>
      <c r="X65" s="329"/>
      <c r="Y65" s="329"/>
      <c r="Z65" s="329"/>
      <c r="AA65" s="329"/>
      <c r="AB65" s="329"/>
      <c r="AC65" s="329"/>
      <c r="AD65" s="329"/>
      <c r="AE65" s="329"/>
      <c r="AF65" s="329"/>
      <c r="AG65" s="329"/>
      <c r="AH65" s="329"/>
      <c r="AI65" s="329"/>
      <c r="AJ65" s="329"/>
    </row>
    <row r="66" spans="1:36" x14ac:dyDescent="0.2">
      <c r="A66" s="365"/>
      <c r="B66" s="365"/>
      <c r="C66" s="365"/>
      <c r="D66" s="329"/>
      <c r="E66" s="329"/>
      <c r="F66" s="329"/>
      <c r="G66" s="329"/>
      <c r="H66" s="329"/>
    </row>
    <row r="67" spans="1:36" x14ac:dyDescent="0.2">
      <c r="A67" s="365"/>
      <c r="B67" s="365"/>
      <c r="C67" s="365"/>
      <c r="D67" s="329"/>
      <c r="E67" s="329"/>
      <c r="F67" s="329"/>
      <c r="G67" s="329"/>
      <c r="H67" s="329"/>
    </row>
    <row r="68" spans="1:36" x14ac:dyDescent="0.2">
      <c r="A68" s="365"/>
      <c r="B68" s="365"/>
      <c r="C68" s="365"/>
      <c r="D68" s="329"/>
      <c r="E68" s="329"/>
      <c r="F68" s="329"/>
      <c r="G68" s="329"/>
      <c r="H68" s="329"/>
    </row>
    <row r="69" spans="1:36" x14ac:dyDescent="0.2">
      <c r="A69" s="365"/>
      <c r="B69" s="365"/>
      <c r="C69" s="365"/>
      <c r="D69" s="329"/>
      <c r="E69" s="329"/>
      <c r="F69" s="329"/>
      <c r="G69" s="329"/>
      <c r="H69" s="329"/>
    </row>
    <row r="70" spans="1:36" x14ac:dyDescent="0.2">
      <c r="A70" s="365"/>
      <c r="B70" s="365"/>
      <c r="C70" s="365"/>
      <c r="D70" s="329"/>
      <c r="E70" s="329"/>
      <c r="F70" s="329"/>
      <c r="G70" s="329"/>
      <c r="H70" s="329"/>
    </row>
    <row r="71" spans="1:36" x14ac:dyDescent="0.2">
      <c r="A71" s="365"/>
      <c r="B71" s="365"/>
      <c r="C71" s="365"/>
      <c r="D71" s="329"/>
      <c r="E71" s="329"/>
      <c r="F71" s="329"/>
      <c r="G71" s="329"/>
      <c r="H71" s="329"/>
    </row>
    <row r="72" spans="1:36" x14ac:dyDescent="0.2">
      <c r="A72" s="365"/>
      <c r="B72" s="365"/>
      <c r="C72" s="365"/>
      <c r="D72" s="329"/>
      <c r="E72" s="329"/>
      <c r="F72" s="329"/>
      <c r="G72" s="329"/>
      <c r="H72" s="329"/>
    </row>
    <row r="73" spans="1:36" x14ac:dyDescent="0.2">
      <c r="A73" s="365"/>
      <c r="B73" s="365"/>
      <c r="C73" s="365"/>
      <c r="D73" s="329"/>
      <c r="E73" s="329"/>
      <c r="F73" s="329"/>
      <c r="G73" s="329"/>
      <c r="H73" s="329"/>
    </row>
    <row r="74" spans="1:36" x14ac:dyDescent="0.2">
      <c r="A74" s="365"/>
      <c r="B74" s="365"/>
      <c r="C74" s="365"/>
      <c r="D74" s="329"/>
      <c r="E74" s="329"/>
      <c r="F74" s="329"/>
      <c r="G74" s="329"/>
      <c r="H74" s="329"/>
    </row>
    <row r="75" spans="1:36" x14ac:dyDescent="0.2">
      <c r="A75" s="365"/>
      <c r="B75" s="365"/>
      <c r="C75" s="365"/>
      <c r="D75" s="329"/>
      <c r="E75" s="329"/>
      <c r="F75" s="329"/>
      <c r="G75" s="329"/>
      <c r="H75" s="329"/>
    </row>
    <row r="76" spans="1:36" x14ac:dyDescent="0.2">
      <c r="A76" s="365"/>
      <c r="B76" s="365"/>
      <c r="C76" s="365"/>
      <c r="D76" s="329"/>
      <c r="E76" s="329"/>
      <c r="F76" s="329"/>
      <c r="G76" s="329"/>
      <c r="H76" s="329"/>
    </row>
    <row r="77" spans="1:36" x14ac:dyDescent="0.2">
      <c r="A77" s="365"/>
      <c r="B77" s="365"/>
      <c r="C77" s="365"/>
      <c r="D77" s="329"/>
      <c r="E77" s="329"/>
      <c r="F77" s="329"/>
      <c r="G77" s="329"/>
      <c r="H77" s="329"/>
    </row>
    <row r="78" spans="1:36" x14ac:dyDescent="0.2">
      <c r="A78" s="365"/>
      <c r="B78" s="365"/>
      <c r="C78" s="365"/>
      <c r="D78" s="329"/>
      <c r="E78" s="329"/>
      <c r="F78" s="329"/>
      <c r="G78" s="329"/>
      <c r="H78" s="329"/>
    </row>
    <row r="79" spans="1:36" x14ac:dyDescent="0.2">
      <c r="A79" s="365"/>
      <c r="B79" s="365"/>
      <c r="C79" s="365"/>
      <c r="D79" s="329"/>
      <c r="E79" s="329"/>
      <c r="F79" s="329"/>
      <c r="G79" s="329"/>
      <c r="H79" s="329"/>
    </row>
    <row r="80" spans="1:36" x14ac:dyDescent="0.2">
      <c r="A80" s="365"/>
      <c r="B80" s="365"/>
      <c r="C80" s="365"/>
      <c r="D80" s="329"/>
      <c r="E80" s="329"/>
      <c r="F80" s="329"/>
      <c r="G80" s="329"/>
      <c r="H80" s="329"/>
    </row>
    <row r="81" spans="1:8" x14ac:dyDescent="0.2">
      <c r="A81" s="365"/>
      <c r="B81" s="365"/>
      <c r="C81" s="365"/>
      <c r="D81" s="329"/>
      <c r="E81" s="329"/>
      <c r="F81" s="329"/>
      <c r="G81" s="329"/>
      <c r="H81" s="329"/>
    </row>
    <row r="82" spans="1:8" x14ac:dyDescent="0.2">
      <c r="A82" s="365"/>
      <c r="B82" s="365"/>
      <c r="C82" s="365"/>
      <c r="D82" s="329"/>
      <c r="E82" s="329"/>
      <c r="F82" s="329"/>
      <c r="G82" s="329"/>
      <c r="H82" s="329"/>
    </row>
    <row r="83" spans="1:8" x14ac:dyDescent="0.2">
      <c r="A83" s="365"/>
      <c r="B83" s="365"/>
      <c r="C83" s="365"/>
      <c r="D83" s="329"/>
      <c r="E83" s="329"/>
      <c r="F83" s="329"/>
      <c r="G83" s="329"/>
      <c r="H83" s="329"/>
    </row>
    <row r="84" spans="1:8" x14ac:dyDescent="0.2">
      <c r="A84" s="365"/>
      <c r="B84" s="365"/>
      <c r="C84" s="365"/>
      <c r="D84" s="329"/>
      <c r="E84" s="329"/>
      <c r="F84" s="329"/>
      <c r="G84" s="329"/>
      <c r="H84" s="329"/>
    </row>
    <row r="85" spans="1:8" x14ac:dyDescent="0.2">
      <c r="A85" s="365"/>
      <c r="B85" s="365"/>
      <c r="C85" s="365"/>
      <c r="D85" s="329"/>
      <c r="E85" s="329"/>
      <c r="F85" s="329"/>
      <c r="G85" s="329"/>
      <c r="H85" s="329"/>
    </row>
    <row r="86" spans="1:8" x14ac:dyDescent="0.2">
      <c r="A86" s="365"/>
      <c r="B86" s="365"/>
      <c r="C86" s="365"/>
      <c r="D86" s="329"/>
      <c r="E86" s="329"/>
      <c r="F86" s="329"/>
      <c r="G86" s="329"/>
      <c r="H86" s="329"/>
    </row>
    <row r="87" spans="1:8" x14ac:dyDescent="0.2">
      <c r="A87" s="365"/>
      <c r="B87" s="365"/>
      <c r="C87" s="365"/>
      <c r="D87" s="329"/>
      <c r="E87" s="329"/>
      <c r="F87" s="329"/>
      <c r="G87" s="329"/>
      <c r="H87" s="329"/>
    </row>
    <row r="88" spans="1:8" x14ac:dyDescent="0.2">
      <c r="A88" s="365"/>
      <c r="B88" s="365"/>
      <c r="C88" s="365"/>
      <c r="D88" s="329"/>
      <c r="E88" s="329"/>
      <c r="F88" s="329"/>
      <c r="G88" s="329"/>
      <c r="H88" s="329"/>
    </row>
    <row r="89" spans="1:8" x14ac:dyDescent="0.2">
      <c r="A89" s="365"/>
      <c r="B89" s="365"/>
      <c r="C89" s="365"/>
      <c r="D89" s="329"/>
      <c r="E89" s="329"/>
      <c r="F89" s="329"/>
      <c r="G89" s="329"/>
      <c r="H89" s="329"/>
    </row>
    <row r="90" spans="1:8" x14ac:dyDescent="0.2">
      <c r="A90" s="365"/>
      <c r="B90" s="365"/>
      <c r="C90" s="365"/>
      <c r="D90" s="329"/>
      <c r="E90" s="329"/>
      <c r="F90" s="329"/>
      <c r="G90" s="329"/>
      <c r="H90" s="329"/>
    </row>
    <row r="91" spans="1:8" x14ac:dyDescent="0.2">
      <c r="A91" s="365"/>
      <c r="B91" s="365"/>
      <c r="C91" s="365"/>
      <c r="D91" s="329"/>
      <c r="E91" s="329"/>
      <c r="F91" s="329"/>
      <c r="G91" s="329"/>
      <c r="H91" s="329"/>
    </row>
    <row r="92" spans="1:8" x14ac:dyDescent="0.2">
      <c r="A92" s="365"/>
      <c r="B92" s="365"/>
      <c r="C92" s="365"/>
      <c r="D92" s="329"/>
      <c r="E92" s="329"/>
      <c r="F92" s="329"/>
      <c r="G92" s="329"/>
      <c r="H92" s="329"/>
    </row>
    <row r="93" spans="1:8" x14ac:dyDescent="0.2">
      <c r="A93" s="365"/>
      <c r="B93" s="365"/>
      <c r="C93" s="365"/>
      <c r="D93" s="329"/>
      <c r="E93" s="329"/>
      <c r="F93" s="329"/>
      <c r="G93" s="329"/>
      <c r="H93" s="329"/>
    </row>
    <row r="94" spans="1:8" x14ac:dyDescent="0.2">
      <c r="A94" s="365"/>
      <c r="B94" s="365"/>
      <c r="C94" s="365"/>
      <c r="D94" s="329"/>
      <c r="E94" s="329"/>
      <c r="F94" s="329"/>
      <c r="G94" s="329"/>
      <c r="H94" s="329"/>
    </row>
    <row r="95" spans="1:8" x14ac:dyDescent="0.2">
      <c r="A95" s="365"/>
      <c r="B95" s="365"/>
      <c r="C95" s="365"/>
      <c r="D95" s="329"/>
      <c r="E95" s="329"/>
      <c r="F95" s="329"/>
      <c r="G95" s="329"/>
      <c r="H95" s="329"/>
    </row>
    <row r="96" spans="1:8" x14ac:dyDescent="0.2">
      <c r="A96" s="365"/>
      <c r="B96" s="365"/>
      <c r="C96" s="365"/>
      <c r="D96" s="329"/>
      <c r="E96" s="329"/>
      <c r="F96" s="329"/>
      <c r="G96" s="329"/>
      <c r="H96" s="329"/>
    </row>
    <row r="97" spans="1:8" x14ac:dyDescent="0.2">
      <c r="A97" s="365"/>
      <c r="B97" s="365"/>
      <c r="C97" s="365"/>
      <c r="D97" s="329"/>
      <c r="E97" s="329"/>
      <c r="F97" s="329"/>
      <c r="G97" s="329"/>
      <c r="H97" s="329"/>
    </row>
    <row r="98" spans="1:8" x14ac:dyDescent="0.2">
      <c r="A98" s="365"/>
      <c r="B98" s="365"/>
      <c r="C98" s="365"/>
      <c r="D98" s="329"/>
      <c r="E98" s="329"/>
      <c r="F98" s="329"/>
      <c r="G98" s="329"/>
      <c r="H98" s="329"/>
    </row>
    <row r="99" spans="1:8" x14ac:dyDescent="0.2">
      <c r="A99" s="365"/>
      <c r="B99" s="365"/>
      <c r="C99" s="365"/>
      <c r="D99" s="329"/>
      <c r="E99" s="329"/>
      <c r="F99" s="329"/>
      <c r="G99" s="329"/>
      <c r="H99" s="329"/>
    </row>
    <row r="100" spans="1:8" x14ac:dyDescent="0.2">
      <c r="A100" s="365"/>
      <c r="B100" s="365"/>
      <c r="C100" s="365"/>
      <c r="D100" s="329"/>
      <c r="E100" s="329"/>
      <c r="F100" s="329"/>
      <c r="G100" s="329"/>
      <c r="H100" s="329"/>
    </row>
    <row r="101" spans="1:8" x14ac:dyDescent="0.2">
      <c r="A101" s="365"/>
      <c r="B101" s="365"/>
      <c r="C101" s="365"/>
      <c r="D101" s="329"/>
      <c r="E101" s="329"/>
      <c r="F101" s="329"/>
      <c r="G101" s="329"/>
      <c r="H101" s="329"/>
    </row>
    <row r="102" spans="1:8" x14ac:dyDescent="0.2">
      <c r="A102" s="365"/>
      <c r="B102" s="365"/>
      <c r="C102" s="365"/>
      <c r="D102" s="329"/>
      <c r="E102" s="329"/>
      <c r="F102" s="329"/>
      <c r="G102" s="329"/>
      <c r="H102" s="329"/>
    </row>
    <row r="103" spans="1:8" x14ac:dyDescent="0.2">
      <c r="A103" s="365"/>
      <c r="B103" s="365"/>
      <c r="C103" s="365"/>
      <c r="D103" s="329"/>
      <c r="E103" s="329"/>
      <c r="F103" s="329"/>
      <c r="G103" s="329"/>
      <c r="H103" s="329"/>
    </row>
    <row r="104" spans="1:8" x14ac:dyDescent="0.2">
      <c r="A104" s="365"/>
      <c r="B104" s="365"/>
      <c r="C104" s="365"/>
      <c r="D104" s="329"/>
      <c r="E104" s="329"/>
      <c r="F104" s="329"/>
      <c r="G104" s="329"/>
      <c r="H104" s="329"/>
    </row>
    <row r="105" spans="1:8" x14ac:dyDescent="0.2">
      <c r="A105" s="365"/>
      <c r="B105" s="365"/>
      <c r="C105" s="365"/>
      <c r="D105" s="329"/>
      <c r="E105" s="329"/>
      <c r="F105" s="329"/>
      <c r="G105" s="329"/>
      <c r="H105" s="329"/>
    </row>
    <row r="106" spans="1:8" x14ac:dyDescent="0.2">
      <c r="A106" s="365"/>
      <c r="B106" s="365"/>
      <c r="C106" s="365"/>
      <c r="D106" s="329"/>
      <c r="E106" s="329"/>
      <c r="F106" s="329"/>
      <c r="G106" s="329"/>
      <c r="H106" s="329"/>
    </row>
    <row r="107" spans="1:8" x14ac:dyDescent="0.2">
      <c r="A107" s="365"/>
      <c r="B107" s="365"/>
      <c r="C107" s="365"/>
      <c r="D107" s="329"/>
      <c r="E107" s="329"/>
      <c r="F107" s="329"/>
      <c r="G107" s="329"/>
      <c r="H107" s="329"/>
    </row>
    <row r="108" spans="1:8" x14ac:dyDescent="0.2">
      <c r="A108" s="365"/>
      <c r="B108" s="365"/>
      <c r="C108" s="365"/>
      <c r="D108" s="329"/>
      <c r="E108" s="329"/>
      <c r="F108" s="329"/>
      <c r="G108" s="329"/>
      <c r="H108" s="329"/>
    </row>
    <row r="109" spans="1:8" x14ac:dyDescent="0.2">
      <c r="A109" s="365"/>
      <c r="B109" s="365"/>
      <c r="C109" s="365"/>
      <c r="D109" s="329"/>
      <c r="E109" s="329"/>
      <c r="F109" s="329"/>
      <c r="G109" s="329"/>
      <c r="H109" s="329"/>
    </row>
    <row r="110" spans="1:8" x14ac:dyDescent="0.2">
      <c r="A110" s="365"/>
      <c r="B110" s="365"/>
      <c r="C110" s="365"/>
      <c r="D110" s="329"/>
      <c r="E110" s="329"/>
      <c r="F110" s="329"/>
      <c r="G110" s="329"/>
      <c r="H110" s="329"/>
    </row>
    <row r="111" spans="1:8" x14ac:dyDescent="0.2">
      <c r="A111" s="365"/>
      <c r="B111" s="365"/>
      <c r="C111" s="365"/>
      <c r="D111" s="329"/>
      <c r="E111" s="329"/>
      <c r="F111" s="329"/>
      <c r="G111" s="329"/>
      <c r="H111" s="329"/>
    </row>
    <row r="112" spans="1:8" x14ac:dyDescent="0.2">
      <c r="A112" s="365"/>
      <c r="B112" s="365"/>
      <c r="C112" s="365"/>
      <c r="D112" s="329"/>
      <c r="E112" s="329"/>
      <c r="F112" s="329"/>
      <c r="G112" s="329"/>
      <c r="H112" s="329"/>
    </row>
    <row r="113" spans="1:8" x14ac:dyDescent="0.2">
      <c r="A113" s="365"/>
      <c r="B113" s="365"/>
      <c r="C113" s="365"/>
      <c r="D113" s="329"/>
      <c r="E113" s="329"/>
      <c r="F113" s="329"/>
      <c r="G113" s="329"/>
      <c r="H113" s="329"/>
    </row>
    <row r="114" spans="1:8" x14ac:dyDescent="0.2">
      <c r="A114" s="365"/>
      <c r="B114" s="365"/>
      <c r="C114" s="365"/>
      <c r="D114" s="329"/>
      <c r="E114" s="329"/>
      <c r="F114" s="329"/>
      <c r="G114" s="329"/>
      <c r="H114" s="329"/>
    </row>
    <row r="115" spans="1:8" x14ac:dyDescent="0.2">
      <c r="A115" s="365"/>
      <c r="B115" s="365"/>
      <c r="C115" s="365"/>
      <c r="D115" s="329"/>
      <c r="E115" s="329"/>
      <c r="F115" s="329"/>
      <c r="G115" s="329"/>
      <c r="H115" s="329"/>
    </row>
    <row r="116" spans="1:8" x14ac:dyDescent="0.2">
      <c r="A116" s="365"/>
      <c r="B116" s="365"/>
      <c r="C116" s="365"/>
      <c r="D116" s="329"/>
      <c r="E116" s="329"/>
      <c r="F116" s="329"/>
      <c r="G116" s="329"/>
      <c r="H116" s="329"/>
    </row>
    <row r="117" spans="1:8" x14ac:dyDescent="0.2">
      <c r="A117" s="365"/>
      <c r="B117" s="365"/>
      <c r="C117" s="365"/>
      <c r="D117" s="329"/>
      <c r="E117" s="329"/>
      <c r="F117" s="329"/>
      <c r="G117" s="329"/>
      <c r="H117" s="329"/>
    </row>
    <row r="118" spans="1:8" x14ac:dyDescent="0.2">
      <c r="A118" s="365"/>
      <c r="B118" s="365"/>
      <c r="C118" s="365"/>
      <c r="D118" s="329"/>
      <c r="E118" s="329"/>
      <c r="F118" s="329"/>
      <c r="G118" s="329"/>
      <c r="H118" s="329"/>
    </row>
    <row r="119" spans="1:8" x14ac:dyDescent="0.2">
      <c r="A119" s="365"/>
      <c r="B119" s="365"/>
      <c r="C119" s="365"/>
      <c r="D119" s="329"/>
      <c r="E119" s="329"/>
      <c r="F119" s="329"/>
      <c r="G119" s="329"/>
      <c r="H119" s="329"/>
    </row>
    <row r="120" spans="1:8" x14ac:dyDescent="0.2">
      <c r="A120" s="365"/>
      <c r="B120" s="365"/>
      <c r="C120" s="365"/>
      <c r="D120" s="329"/>
      <c r="E120" s="329"/>
      <c r="F120" s="329"/>
      <c r="G120" s="329"/>
      <c r="H120" s="329"/>
    </row>
    <row r="121" spans="1:8" x14ac:dyDescent="0.2">
      <c r="A121" s="365"/>
      <c r="B121" s="365"/>
      <c r="C121" s="365"/>
      <c r="D121" s="329"/>
      <c r="E121" s="329"/>
      <c r="F121" s="329"/>
      <c r="G121" s="329"/>
      <c r="H121" s="329"/>
    </row>
    <row r="122" spans="1:8" x14ac:dyDescent="0.2">
      <c r="A122" s="365"/>
      <c r="B122" s="365"/>
      <c r="C122" s="365"/>
      <c r="D122" s="329"/>
      <c r="E122" s="329"/>
      <c r="F122" s="329"/>
      <c r="G122" s="329"/>
      <c r="H122" s="329"/>
    </row>
    <row r="123" spans="1:8" x14ac:dyDescent="0.2">
      <c r="A123" s="365"/>
      <c r="B123" s="365"/>
      <c r="C123" s="365"/>
      <c r="D123" s="329"/>
      <c r="E123" s="329"/>
      <c r="F123" s="329"/>
      <c r="G123" s="329"/>
      <c r="H123" s="329"/>
    </row>
    <row r="124" spans="1:8" x14ac:dyDescent="0.2">
      <c r="A124" s="365"/>
      <c r="B124" s="365"/>
      <c r="C124" s="365"/>
      <c r="D124" s="329"/>
      <c r="E124" s="329"/>
      <c r="F124" s="329"/>
      <c r="G124" s="329"/>
      <c r="H124" s="329"/>
    </row>
    <row r="125" spans="1:8" x14ac:dyDescent="0.2">
      <c r="A125" s="365"/>
      <c r="B125" s="365"/>
      <c r="C125" s="365"/>
      <c r="D125" s="329"/>
      <c r="E125" s="329"/>
      <c r="F125" s="329"/>
      <c r="G125" s="329"/>
      <c r="H125" s="329"/>
    </row>
    <row r="126" spans="1:8" x14ac:dyDescent="0.2">
      <c r="A126" s="365"/>
      <c r="B126" s="365"/>
      <c r="C126" s="365"/>
      <c r="D126" s="329"/>
      <c r="E126" s="329"/>
      <c r="F126" s="329"/>
      <c r="G126" s="329"/>
      <c r="H126" s="329"/>
    </row>
    <row r="127" spans="1:8" x14ac:dyDescent="0.2">
      <c r="A127" s="365"/>
      <c r="B127" s="365"/>
      <c r="C127" s="365"/>
      <c r="D127" s="329"/>
      <c r="E127" s="329"/>
      <c r="F127" s="329"/>
      <c r="G127" s="329"/>
      <c r="H127" s="329"/>
    </row>
    <row r="128" spans="1:8" x14ac:dyDescent="0.2">
      <c r="A128" s="365"/>
      <c r="B128" s="365"/>
      <c r="C128" s="365"/>
      <c r="D128" s="329"/>
      <c r="E128" s="329"/>
      <c r="F128" s="329"/>
      <c r="G128" s="329"/>
      <c r="H128" s="329"/>
    </row>
    <row r="129" spans="1:8" x14ac:dyDescent="0.2">
      <c r="A129" s="365"/>
      <c r="B129" s="365"/>
      <c r="C129" s="365"/>
      <c r="D129" s="329"/>
      <c r="E129" s="329"/>
      <c r="F129" s="329"/>
      <c r="G129" s="329"/>
      <c r="H129" s="329"/>
    </row>
    <row r="130" spans="1:8" x14ac:dyDescent="0.2">
      <c r="A130" s="365"/>
      <c r="B130" s="365"/>
      <c r="C130" s="365"/>
      <c r="D130" s="329"/>
      <c r="E130" s="329"/>
      <c r="F130" s="329"/>
      <c r="G130" s="329"/>
      <c r="H130" s="329"/>
    </row>
    <row r="131" spans="1:8" x14ac:dyDescent="0.2">
      <c r="A131" s="365"/>
      <c r="B131" s="365"/>
      <c r="C131" s="365"/>
      <c r="D131" s="329"/>
      <c r="E131" s="329"/>
      <c r="F131" s="329"/>
      <c r="G131" s="329"/>
      <c r="H131" s="329"/>
    </row>
    <row r="132" spans="1:8" x14ac:dyDescent="0.2">
      <c r="A132" s="365"/>
      <c r="B132" s="365"/>
      <c r="C132" s="365"/>
      <c r="D132" s="329"/>
      <c r="E132" s="329"/>
      <c r="F132" s="329"/>
      <c r="G132" s="329"/>
      <c r="H132" s="329"/>
    </row>
    <row r="133" spans="1:8" x14ac:dyDescent="0.2">
      <c r="A133" s="365"/>
      <c r="B133" s="365"/>
      <c r="C133" s="365"/>
      <c r="D133" s="329"/>
      <c r="E133" s="329"/>
      <c r="F133" s="329"/>
      <c r="G133" s="329"/>
      <c r="H133" s="329"/>
    </row>
    <row r="134" spans="1:8" x14ac:dyDescent="0.2">
      <c r="A134" s="365"/>
      <c r="B134" s="365"/>
      <c r="C134" s="365"/>
      <c r="D134" s="329"/>
      <c r="E134" s="329"/>
      <c r="F134" s="329"/>
      <c r="G134" s="329"/>
      <c r="H134" s="329"/>
    </row>
    <row r="135" spans="1:8" x14ac:dyDescent="0.2">
      <c r="A135" s="365"/>
      <c r="B135" s="365"/>
      <c r="C135" s="365"/>
      <c r="D135" s="329"/>
      <c r="E135" s="329"/>
      <c r="F135" s="329"/>
      <c r="G135" s="329"/>
      <c r="H135" s="329"/>
    </row>
    <row r="136" spans="1:8" x14ac:dyDescent="0.2">
      <c r="A136" s="365"/>
      <c r="B136" s="365"/>
      <c r="C136" s="365"/>
      <c r="D136" s="329"/>
      <c r="E136" s="329"/>
      <c r="F136" s="329"/>
      <c r="G136" s="329"/>
      <c r="H136" s="329"/>
    </row>
    <row r="137" spans="1:8" x14ac:dyDescent="0.2">
      <c r="A137" s="365"/>
      <c r="B137" s="365"/>
      <c r="C137" s="365"/>
      <c r="D137" s="329"/>
      <c r="E137" s="329"/>
      <c r="F137" s="329"/>
      <c r="G137" s="329"/>
      <c r="H137" s="329"/>
    </row>
    <row r="138" spans="1:8" x14ac:dyDescent="0.2">
      <c r="A138" s="365"/>
      <c r="B138" s="365"/>
      <c r="C138" s="365"/>
      <c r="D138" s="329"/>
      <c r="E138" s="329"/>
      <c r="F138" s="329"/>
      <c r="G138" s="329"/>
      <c r="H138" s="329"/>
    </row>
    <row r="139" spans="1:8" x14ac:dyDescent="0.2">
      <c r="A139" s="365"/>
      <c r="B139" s="365"/>
      <c r="C139" s="365"/>
      <c r="D139" s="329"/>
      <c r="E139" s="329"/>
      <c r="F139" s="329"/>
      <c r="G139" s="329"/>
      <c r="H139" s="329"/>
    </row>
    <row r="140" spans="1:8" x14ac:dyDescent="0.2">
      <c r="A140" s="365"/>
      <c r="B140" s="365"/>
      <c r="C140" s="365"/>
      <c r="D140" s="329"/>
      <c r="E140" s="329"/>
      <c r="F140" s="329"/>
      <c r="G140" s="329"/>
      <c r="H140" s="329"/>
    </row>
    <row r="141" spans="1:8" x14ac:dyDescent="0.2">
      <c r="A141" s="365"/>
      <c r="B141" s="365"/>
      <c r="C141" s="365"/>
      <c r="D141" s="329"/>
      <c r="E141" s="329"/>
      <c r="F141" s="329"/>
      <c r="G141" s="329"/>
      <c r="H141" s="329"/>
    </row>
    <row r="142" spans="1:8" x14ac:dyDescent="0.2">
      <c r="A142" s="365"/>
      <c r="B142" s="365"/>
      <c r="C142" s="365"/>
      <c r="D142" s="329"/>
      <c r="E142" s="329"/>
      <c r="F142" s="329"/>
      <c r="G142" s="329"/>
      <c r="H142" s="329"/>
    </row>
    <row r="143" spans="1:8" x14ac:dyDescent="0.2">
      <c r="A143" s="365"/>
      <c r="B143" s="365"/>
      <c r="C143" s="365"/>
      <c r="D143" s="329"/>
      <c r="E143" s="329"/>
      <c r="F143" s="329"/>
      <c r="G143" s="329"/>
      <c r="H143" s="329"/>
    </row>
    <row r="144" spans="1:8" x14ac:dyDescent="0.2">
      <c r="A144" s="365"/>
      <c r="B144" s="365"/>
      <c r="C144" s="365"/>
      <c r="D144" s="329"/>
      <c r="E144" s="329"/>
      <c r="F144" s="329"/>
      <c r="G144" s="329"/>
      <c r="H144" s="329"/>
    </row>
    <row r="145" spans="1:8" x14ac:dyDescent="0.2">
      <c r="A145" s="365"/>
      <c r="B145" s="365"/>
      <c r="C145" s="365"/>
      <c r="D145" s="329"/>
      <c r="E145" s="329"/>
      <c r="F145" s="329"/>
      <c r="G145" s="329"/>
      <c r="H145" s="329"/>
    </row>
    <row r="146" spans="1:8" x14ac:dyDescent="0.2">
      <c r="A146" s="365"/>
      <c r="B146" s="365"/>
      <c r="C146" s="365"/>
      <c r="D146" s="329"/>
      <c r="E146" s="329"/>
      <c r="F146" s="329"/>
      <c r="G146" s="329"/>
      <c r="H146" s="329"/>
    </row>
    <row r="147" spans="1:8" x14ac:dyDescent="0.2">
      <c r="A147" s="365"/>
      <c r="B147" s="365"/>
      <c r="C147" s="365"/>
      <c r="D147" s="329"/>
      <c r="E147" s="329"/>
      <c r="F147" s="329"/>
      <c r="G147" s="329"/>
      <c r="H147" s="329"/>
    </row>
    <row r="148" spans="1:8" x14ac:dyDescent="0.2">
      <c r="A148" s="365"/>
      <c r="B148" s="365"/>
      <c r="C148" s="365"/>
      <c r="D148" s="329"/>
      <c r="E148" s="329"/>
      <c r="F148" s="329"/>
      <c r="G148" s="329"/>
      <c r="H148" s="329"/>
    </row>
    <row r="149" spans="1:8" x14ac:dyDescent="0.2">
      <c r="A149" s="365"/>
      <c r="B149" s="365"/>
      <c r="C149" s="365"/>
      <c r="D149" s="329"/>
      <c r="E149" s="329"/>
      <c r="F149" s="329"/>
      <c r="G149" s="329"/>
      <c r="H149" s="329"/>
    </row>
    <row r="150" spans="1:8" x14ac:dyDescent="0.2">
      <c r="A150" s="365"/>
      <c r="B150" s="365"/>
      <c r="C150" s="365"/>
      <c r="D150" s="329"/>
      <c r="E150" s="329"/>
      <c r="F150" s="329"/>
      <c r="G150" s="329"/>
      <c r="H150" s="329"/>
    </row>
    <row r="151" spans="1:8" x14ac:dyDescent="0.2">
      <c r="A151" s="365"/>
      <c r="B151" s="365"/>
      <c r="C151" s="365"/>
      <c r="D151" s="329"/>
      <c r="E151" s="329"/>
      <c r="F151" s="329"/>
      <c r="G151" s="329"/>
      <c r="H151" s="329"/>
    </row>
    <row r="152" spans="1:8" x14ac:dyDescent="0.2">
      <c r="A152" s="365"/>
      <c r="B152" s="365"/>
      <c r="C152" s="365"/>
      <c r="D152" s="329"/>
      <c r="E152" s="329"/>
      <c r="F152" s="329"/>
      <c r="G152" s="329"/>
      <c r="H152" s="329"/>
    </row>
    <row r="153" spans="1:8" x14ac:dyDescent="0.2">
      <c r="A153" s="365"/>
      <c r="B153" s="365"/>
      <c r="C153" s="365"/>
      <c r="D153" s="329"/>
      <c r="E153" s="329"/>
      <c r="F153" s="329"/>
      <c r="G153" s="329"/>
      <c r="H153" s="329"/>
    </row>
    <row r="154" spans="1:8" x14ac:dyDescent="0.2">
      <c r="A154" s="365"/>
      <c r="B154" s="365"/>
      <c r="C154" s="365"/>
      <c r="D154" s="329"/>
      <c r="E154" s="329"/>
      <c r="F154" s="329"/>
      <c r="G154" s="329"/>
      <c r="H154" s="329"/>
    </row>
    <row r="155" spans="1:8" x14ac:dyDescent="0.2">
      <c r="A155" s="365"/>
      <c r="B155" s="365"/>
      <c r="C155" s="365"/>
      <c r="D155" s="329"/>
      <c r="E155" s="329"/>
      <c r="F155" s="329"/>
      <c r="G155" s="329"/>
      <c r="H155" s="329"/>
    </row>
    <row r="156" spans="1:8" x14ac:dyDescent="0.2">
      <c r="A156" s="365"/>
      <c r="B156" s="365"/>
      <c r="C156" s="365"/>
      <c r="D156" s="329"/>
      <c r="E156" s="329"/>
      <c r="F156" s="329"/>
      <c r="G156" s="329"/>
      <c r="H156" s="329"/>
    </row>
    <row r="157" spans="1:8" x14ac:dyDescent="0.2">
      <c r="A157" s="365"/>
      <c r="B157" s="365"/>
      <c r="C157" s="365"/>
      <c r="D157" s="329"/>
      <c r="E157" s="329"/>
      <c r="F157" s="329"/>
      <c r="G157" s="329"/>
      <c r="H157" s="329"/>
    </row>
    <row r="158" spans="1:8" x14ac:dyDescent="0.2">
      <c r="A158" s="365"/>
      <c r="B158" s="365"/>
      <c r="C158" s="365"/>
      <c r="D158" s="329"/>
      <c r="E158" s="329"/>
      <c r="F158" s="329"/>
      <c r="G158" s="329"/>
      <c r="H158" s="329"/>
    </row>
    <row r="159" spans="1:8" x14ac:dyDescent="0.2">
      <c r="A159" s="365"/>
      <c r="B159" s="365"/>
      <c r="C159" s="365"/>
      <c r="D159" s="329"/>
      <c r="E159" s="329"/>
      <c r="F159" s="329"/>
      <c r="G159" s="329"/>
      <c r="H159" s="329"/>
    </row>
    <row r="160" spans="1:8" x14ac:dyDescent="0.2">
      <c r="A160" s="365"/>
      <c r="B160" s="365"/>
      <c r="C160" s="365"/>
      <c r="D160" s="329"/>
      <c r="E160" s="329"/>
      <c r="F160" s="329"/>
      <c r="G160" s="329"/>
      <c r="H160" s="329"/>
    </row>
    <row r="161" spans="1:8" x14ac:dyDescent="0.2">
      <c r="A161" s="365"/>
      <c r="B161" s="365"/>
      <c r="C161" s="365"/>
      <c r="D161" s="329"/>
      <c r="E161" s="329"/>
      <c r="F161" s="329"/>
      <c r="G161" s="329"/>
      <c r="H161" s="329"/>
    </row>
    <row r="162" spans="1:8" x14ac:dyDescent="0.2">
      <c r="A162" s="365"/>
      <c r="B162" s="365"/>
      <c r="C162" s="365"/>
      <c r="D162" s="329"/>
      <c r="E162" s="329"/>
      <c r="F162" s="329"/>
      <c r="G162" s="329"/>
      <c r="H162" s="329"/>
    </row>
    <row r="163" spans="1:8" x14ac:dyDescent="0.2">
      <c r="A163" s="365"/>
      <c r="B163" s="365"/>
      <c r="C163" s="365"/>
      <c r="D163" s="329"/>
      <c r="E163" s="329"/>
      <c r="F163" s="329"/>
      <c r="G163" s="329"/>
      <c r="H163" s="329"/>
    </row>
    <row r="164" spans="1:8" x14ac:dyDescent="0.2">
      <c r="A164" s="365"/>
      <c r="B164" s="365"/>
      <c r="C164" s="365"/>
      <c r="D164" s="329"/>
      <c r="E164" s="329"/>
      <c r="F164" s="329"/>
      <c r="G164" s="329"/>
      <c r="H164" s="329"/>
    </row>
    <row r="165" spans="1:8" x14ac:dyDescent="0.2">
      <c r="A165" s="365"/>
      <c r="B165" s="365"/>
      <c r="C165" s="365"/>
      <c r="D165" s="329"/>
      <c r="E165" s="329"/>
      <c r="F165" s="329"/>
      <c r="G165" s="329"/>
      <c r="H165" s="329"/>
    </row>
    <row r="166" spans="1:8" x14ac:dyDescent="0.2">
      <c r="A166" s="365"/>
      <c r="B166" s="365"/>
      <c r="C166" s="365"/>
      <c r="D166" s="329"/>
      <c r="E166" s="329"/>
      <c r="F166" s="329"/>
      <c r="G166" s="329"/>
      <c r="H166" s="329"/>
    </row>
    <row r="167" spans="1:8" x14ac:dyDescent="0.2">
      <c r="A167" s="365"/>
      <c r="B167" s="365"/>
      <c r="C167" s="365"/>
      <c r="D167" s="329"/>
      <c r="E167" s="329"/>
      <c r="F167" s="329"/>
      <c r="G167" s="329"/>
      <c r="H167" s="329"/>
    </row>
    <row r="168" spans="1:8" x14ac:dyDescent="0.2">
      <c r="A168" s="365"/>
      <c r="B168" s="365"/>
      <c r="C168" s="365"/>
      <c r="D168" s="329"/>
      <c r="E168" s="329"/>
      <c r="F168" s="329"/>
      <c r="G168" s="329"/>
      <c r="H168" s="329"/>
    </row>
    <row r="169" spans="1:8" x14ac:dyDescent="0.2">
      <c r="A169" s="365"/>
      <c r="B169" s="365"/>
      <c r="C169" s="365"/>
      <c r="D169" s="329"/>
      <c r="E169" s="329"/>
      <c r="F169" s="329"/>
      <c r="G169" s="329"/>
      <c r="H169" s="329"/>
    </row>
    <row r="170" spans="1:8" x14ac:dyDescent="0.2">
      <c r="A170" s="365"/>
      <c r="B170" s="365"/>
      <c r="C170" s="365"/>
      <c r="D170" s="329"/>
      <c r="E170" s="329"/>
      <c r="F170" s="329"/>
      <c r="G170" s="329"/>
      <c r="H170" s="329"/>
    </row>
    <row r="171" spans="1:8" x14ac:dyDescent="0.2">
      <c r="A171" s="365"/>
      <c r="B171" s="365"/>
      <c r="C171" s="365"/>
      <c r="D171" s="329"/>
      <c r="E171" s="329"/>
      <c r="F171" s="329"/>
      <c r="G171" s="329"/>
      <c r="H171" s="329"/>
    </row>
    <row r="172" spans="1:8" x14ac:dyDescent="0.2">
      <c r="A172" s="365"/>
      <c r="B172" s="365"/>
      <c r="C172" s="365"/>
      <c r="D172" s="329"/>
      <c r="E172" s="329"/>
      <c r="F172" s="329"/>
      <c r="G172" s="329"/>
      <c r="H172" s="329"/>
    </row>
    <row r="173" spans="1:8" x14ac:dyDescent="0.2">
      <c r="A173" s="365"/>
      <c r="B173" s="365"/>
      <c r="C173" s="365"/>
      <c r="D173" s="329"/>
      <c r="E173" s="329"/>
      <c r="F173" s="329"/>
      <c r="G173" s="329"/>
      <c r="H173" s="329"/>
    </row>
    <row r="174" spans="1:8" x14ac:dyDescent="0.2">
      <c r="A174" s="365"/>
      <c r="B174" s="365"/>
      <c r="C174" s="365"/>
      <c r="D174" s="329"/>
      <c r="E174" s="329"/>
      <c r="F174" s="329"/>
      <c r="G174" s="329"/>
      <c r="H174" s="329"/>
    </row>
    <row r="175" spans="1:8" x14ac:dyDescent="0.2">
      <c r="A175" s="365"/>
      <c r="B175" s="365"/>
      <c r="C175" s="365"/>
      <c r="D175" s="329"/>
      <c r="E175" s="329"/>
      <c r="F175" s="329"/>
      <c r="G175" s="329"/>
      <c r="H175" s="329"/>
    </row>
    <row r="176" spans="1:8" x14ac:dyDescent="0.2">
      <c r="A176" s="365"/>
      <c r="B176" s="365"/>
      <c r="C176" s="365"/>
      <c r="D176" s="329"/>
      <c r="E176" s="329"/>
      <c r="F176" s="329"/>
      <c r="G176" s="329"/>
      <c r="H176" s="329"/>
    </row>
    <row r="177" spans="1:8" x14ac:dyDescent="0.2">
      <c r="A177" s="365"/>
      <c r="B177" s="365"/>
      <c r="C177" s="365"/>
      <c r="D177" s="329"/>
      <c r="E177" s="329"/>
      <c r="F177" s="329"/>
      <c r="G177" s="329"/>
      <c r="H177" s="329"/>
    </row>
    <row r="178" spans="1:8" x14ac:dyDescent="0.2">
      <c r="A178" s="365"/>
      <c r="B178" s="365"/>
      <c r="C178" s="365"/>
      <c r="D178" s="329"/>
      <c r="E178" s="329"/>
      <c r="F178" s="329"/>
      <c r="G178" s="329"/>
      <c r="H178" s="329"/>
    </row>
    <row r="179" spans="1:8" x14ac:dyDescent="0.2">
      <c r="A179" s="365"/>
      <c r="B179" s="365"/>
      <c r="C179" s="365"/>
      <c r="D179" s="329"/>
      <c r="E179" s="329"/>
      <c r="F179" s="329"/>
      <c r="G179" s="329"/>
      <c r="H179" s="329"/>
    </row>
    <row r="180" spans="1:8" x14ac:dyDescent="0.2">
      <c r="A180" s="365"/>
      <c r="B180" s="365"/>
      <c r="C180" s="365"/>
      <c r="D180" s="329"/>
      <c r="E180" s="329"/>
      <c r="F180" s="329"/>
      <c r="G180" s="329"/>
      <c r="H180" s="329"/>
    </row>
    <row r="181" spans="1:8" x14ac:dyDescent="0.2">
      <c r="A181" s="365"/>
      <c r="B181" s="365"/>
      <c r="C181" s="365"/>
      <c r="D181" s="329"/>
      <c r="E181" s="329"/>
      <c r="F181" s="329"/>
      <c r="G181" s="329"/>
      <c r="H181" s="329"/>
    </row>
    <row r="182" spans="1:8" x14ac:dyDescent="0.2">
      <c r="A182" s="365"/>
      <c r="B182" s="365"/>
      <c r="C182" s="365"/>
      <c r="D182" s="329"/>
      <c r="E182" s="329"/>
      <c r="F182" s="329"/>
      <c r="G182" s="329"/>
      <c r="H182" s="329"/>
    </row>
    <row r="183" spans="1:8" x14ac:dyDescent="0.2">
      <c r="A183" s="365"/>
      <c r="B183" s="365"/>
      <c r="C183" s="365"/>
      <c r="D183" s="329"/>
      <c r="E183" s="329"/>
      <c r="F183" s="329"/>
      <c r="G183" s="329"/>
      <c r="H183" s="329"/>
    </row>
    <row r="184" spans="1:8" x14ac:dyDescent="0.2">
      <c r="A184" s="365"/>
      <c r="B184" s="365"/>
      <c r="C184" s="365"/>
      <c r="D184" s="329"/>
      <c r="E184" s="329"/>
      <c r="F184" s="329"/>
      <c r="G184" s="329"/>
      <c r="H184" s="329"/>
    </row>
    <row r="185" spans="1:8" x14ac:dyDescent="0.2">
      <c r="A185" s="365"/>
      <c r="B185" s="365"/>
      <c r="C185" s="365"/>
      <c r="D185" s="329"/>
      <c r="E185" s="329"/>
      <c r="F185" s="329"/>
      <c r="G185" s="329"/>
      <c r="H185" s="329"/>
    </row>
    <row r="186" spans="1:8" x14ac:dyDescent="0.2">
      <c r="A186" s="365"/>
      <c r="B186" s="365"/>
      <c r="C186" s="365"/>
      <c r="D186" s="329"/>
      <c r="E186" s="329"/>
      <c r="F186" s="329"/>
      <c r="G186" s="329"/>
      <c r="H186" s="329"/>
    </row>
    <row r="187" spans="1:8" x14ac:dyDescent="0.2">
      <c r="A187" s="365"/>
      <c r="B187" s="365"/>
      <c r="C187" s="365"/>
      <c r="D187" s="329"/>
      <c r="E187" s="329"/>
      <c r="F187" s="329"/>
      <c r="G187" s="329"/>
      <c r="H187" s="329"/>
    </row>
    <row r="188" spans="1:8" x14ac:dyDescent="0.2">
      <c r="A188" s="365"/>
      <c r="B188" s="365"/>
      <c r="C188" s="365"/>
      <c r="D188" s="329"/>
      <c r="E188" s="329"/>
      <c r="F188" s="329"/>
      <c r="G188" s="329"/>
      <c r="H188" s="329"/>
    </row>
    <row r="189" spans="1:8" x14ac:dyDescent="0.2">
      <c r="A189" s="365"/>
      <c r="B189" s="365"/>
      <c r="C189" s="365"/>
      <c r="D189" s="329"/>
      <c r="E189" s="329"/>
      <c r="F189" s="329"/>
      <c r="G189" s="329"/>
      <c r="H189" s="329"/>
    </row>
    <row r="190" spans="1:8" x14ac:dyDescent="0.2">
      <c r="A190" s="365"/>
      <c r="B190" s="365"/>
      <c r="C190" s="365"/>
      <c r="D190" s="329"/>
      <c r="E190" s="329"/>
      <c r="F190" s="329"/>
      <c r="G190" s="329"/>
      <c r="H190" s="329"/>
    </row>
    <row r="191" spans="1:8" x14ac:dyDescent="0.2">
      <c r="A191" s="365"/>
      <c r="B191" s="365"/>
      <c r="C191" s="365"/>
      <c r="D191" s="329"/>
      <c r="E191" s="329"/>
      <c r="F191" s="329"/>
      <c r="G191" s="329"/>
      <c r="H191" s="329"/>
    </row>
    <row r="192" spans="1:8" x14ac:dyDescent="0.2">
      <c r="A192" s="365"/>
      <c r="B192" s="365"/>
      <c r="C192" s="365"/>
      <c r="D192" s="329"/>
      <c r="E192" s="329"/>
      <c r="F192" s="329"/>
      <c r="G192" s="329"/>
      <c r="H192" s="329"/>
    </row>
    <row r="193" spans="1:8" x14ac:dyDescent="0.2">
      <c r="A193" s="365"/>
      <c r="B193" s="365"/>
      <c r="C193" s="365"/>
      <c r="D193" s="329"/>
      <c r="E193" s="329"/>
      <c r="F193" s="329"/>
      <c r="G193" s="329"/>
      <c r="H193" s="329"/>
    </row>
    <row r="194" spans="1:8" x14ac:dyDescent="0.2">
      <c r="A194" s="365"/>
      <c r="B194" s="365"/>
      <c r="C194" s="365"/>
      <c r="D194" s="329"/>
      <c r="E194" s="329"/>
      <c r="F194" s="329"/>
      <c r="G194" s="329"/>
      <c r="H194" s="329"/>
    </row>
    <row r="195" spans="1:8" x14ac:dyDescent="0.2">
      <c r="A195" s="365"/>
      <c r="B195" s="365"/>
      <c r="C195" s="365"/>
      <c r="D195" s="329"/>
      <c r="E195" s="329"/>
      <c r="F195" s="329"/>
      <c r="G195" s="329"/>
      <c r="H195" s="329"/>
    </row>
    <row r="196" spans="1:8" x14ac:dyDescent="0.2">
      <c r="A196" s="365"/>
      <c r="B196" s="365"/>
      <c r="C196" s="365"/>
      <c r="D196" s="329"/>
      <c r="E196" s="329"/>
      <c r="F196" s="329"/>
      <c r="G196" s="329"/>
      <c r="H196" s="329"/>
    </row>
    <row r="197" spans="1:8" x14ac:dyDescent="0.2">
      <c r="A197" s="365"/>
      <c r="B197" s="365"/>
      <c r="C197" s="365"/>
      <c r="D197" s="329"/>
      <c r="E197" s="329"/>
      <c r="F197" s="329"/>
      <c r="G197" s="329"/>
      <c r="H197" s="329"/>
    </row>
    <row r="198" spans="1:8" x14ac:dyDescent="0.2">
      <c r="A198" s="365"/>
      <c r="B198" s="365"/>
      <c r="C198" s="365"/>
      <c r="D198" s="329"/>
      <c r="E198" s="329"/>
      <c r="F198" s="329"/>
      <c r="G198" s="329"/>
      <c r="H198" s="329"/>
    </row>
    <row r="199" spans="1:8" x14ac:dyDescent="0.2">
      <c r="A199" s="365"/>
      <c r="B199" s="365"/>
      <c r="C199" s="365"/>
      <c r="D199" s="329"/>
      <c r="E199" s="329"/>
      <c r="F199" s="329"/>
      <c r="G199" s="329"/>
      <c r="H199" s="329"/>
    </row>
    <row r="200" spans="1:8" x14ac:dyDescent="0.2">
      <c r="A200" s="365"/>
      <c r="B200" s="365"/>
      <c r="C200" s="365"/>
      <c r="D200" s="329"/>
      <c r="E200" s="329"/>
      <c r="F200" s="329"/>
      <c r="G200" s="329"/>
      <c r="H200" s="329"/>
    </row>
    <row r="201" spans="1:8" x14ac:dyDescent="0.2">
      <c r="A201" s="365"/>
      <c r="B201" s="365"/>
      <c r="C201" s="365"/>
      <c r="D201" s="329"/>
      <c r="E201" s="329"/>
      <c r="F201" s="329"/>
      <c r="G201" s="329"/>
      <c r="H201" s="329"/>
    </row>
    <row r="202" spans="1:8" x14ac:dyDescent="0.2">
      <c r="A202" s="365"/>
      <c r="B202" s="365"/>
      <c r="C202" s="365"/>
      <c r="D202" s="329"/>
      <c r="E202" s="329"/>
      <c r="F202" s="329"/>
      <c r="G202" s="329"/>
      <c r="H202" s="329"/>
    </row>
    <row r="203" spans="1:8" x14ac:dyDescent="0.2">
      <c r="A203" s="365"/>
      <c r="B203" s="365"/>
      <c r="C203" s="365"/>
      <c r="D203" s="329"/>
      <c r="E203" s="329"/>
      <c r="F203" s="329"/>
      <c r="G203" s="329"/>
      <c r="H203" s="329"/>
    </row>
    <row r="204" spans="1:8" x14ac:dyDescent="0.2">
      <c r="A204" s="365"/>
      <c r="B204" s="365"/>
      <c r="C204" s="365"/>
      <c r="D204" s="329"/>
      <c r="E204" s="329"/>
      <c r="F204" s="329"/>
      <c r="G204" s="329"/>
      <c r="H204" s="329"/>
    </row>
    <row r="205" spans="1:8" x14ac:dyDescent="0.2">
      <c r="A205" s="365"/>
      <c r="B205" s="365"/>
      <c r="C205" s="365"/>
      <c r="D205" s="329"/>
      <c r="E205" s="329"/>
      <c r="F205" s="329"/>
      <c r="G205" s="329"/>
      <c r="H205" s="329"/>
    </row>
    <row r="206" spans="1:8" x14ac:dyDescent="0.2">
      <c r="A206" s="365"/>
      <c r="B206" s="365"/>
      <c r="C206" s="365"/>
      <c r="D206" s="329"/>
      <c r="E206" s="329"/>
      <c r="F206" s="329"/>
      <c r="G206" s="329"/>
      <c r="H206" s="329"/>
    </row>
    <row r="207" spans="1:8" x14ac:dyDescent="0.2">
      <c r="A207" s="365"/>
      <c r="B207" s="365"/>
      <c r="C207" s="365"/>
      <c r="D207" s="329"/>
      <c r="E207" s="329"/>
      <c r="F207" s="329"/>
      <c r="G207" s="329"/>
      <c r="H207" s="329"/>
    </row>
    <row r="208" spans="1:8" x14ac:dyDescent="0.2">
      <c r="A208" s="365"/>
      <c r="B208" s="365"/>
      <c r="C208" s="365"/>
      <c r="D208" s="329"/>
      <c r="E208" s="329"/>
      <c r="F208" s="329"/>
      <c r="G208" s="329"/>
      <c r="H208" s="329"/>
    </row>
    <row r="209" spans="1:8" x14ac:dyDescent="0.2">
      <c r="A209" s="365"/>
      <c r="B209" s="365"/>
      <c r="C209" s="365"/>
      <c r="D209" s="329"/>
      <c r="E209" s="329"/>
      <c r="F209" s="329"/>
      <c r="G209" s="329"/>
      <c r="H209" s="329"/>
    </row>
    <row r="210" spans="1:8" x14ac:dyDescent="0.2">
      <c r="A210" s="365"/>
      <c r="B210" s="365"/>
      <c r="C210" s="365"/>
      <c r="D210" s="329"/>
      <c r="E210" s="329"/>
      <c r="F210" s="329"/>
      <c r="G210" s="329"/>
      <c r="H210" s="329"/>
    </row>
    <row r="211" spans="1:8" x14ac:dyDescent="0.2">
      <c r="A211" s="365"/>
      <c r="B211" s="365"/>
      <c r="C211" s="365"/>
      <c r="D211" s="329"/>
      <c r="E211" s="329"/>
      <c r="F211" s="329"/>
      <c r="G211" s="329"/>
      <c r="H211" s="329"/>
    </row>
    <row r="212" spans="1:8" x14ac:dyDescent="0.2">
      <c r="A212" s="365"/>
      <c r="B212" s="365"/>
      <c r="C212" s="365"/>
      <c r="D212" s="329"/>
      <c r="E212" s="329"/>
      <c r="F212" s="329"/>
      <c r="G212" s="329"/>
      <c r="H212" s="329"/>
    </row>
    <row r="213" spans="1:8" x14ac:dyDescent="0.2">
      <c r="A213" s="365"/>
      <c r="B213" s="365"/>
      <c r="C213" s="365"/>
      <c r="D213" s="329"/>
      <c r="E213" s="329"/>
      <c r="F213" s="329"/>
      <c r="G213" s="329"/>
      <c r="H213" s="329"/>
    </row>
    <row r="214" spans="1:8" x14ac:dyDescent="0.2">
      <c r="A214" s="365"/>
      <c r="B214" s="365"/>
      <c r="C214" s="365"/>
      <c r="D214" s="329"/>
      <c r="E214" s="329"/>
      <c r="F214" s="329"/>
      <c r="G214" s="329"/>
      <c r="H214" s="329"/>
    </row>
    <row r="215" spans="1:8" x14ac:dyDescent="0.2">
      <c r="A215" s="365"/>
      <c r="B215" s="365"/>
      <c r="C215" s="365"/>
      <c r="D215" s="329"/>
      <c r="E215" s="329"/>
      <c r="F215" s="329"/>
      <c r="G215" s="329"/>
      <c r="H215" s="329"/>
    </row>
    <row r="216" spans="1:8" x14ac:dyDescent="0.2">
      <c r="A216" s="365"/>
      <c r="B216" s="365"/>
      <c r="C216" s="365"/>
      <c r="D216" s="329"/>
      <c r="E216" s="329"/>
      <c r="F216" s="329"/>
      <c r="G216" s="329"/>
      <c r="H216" s="329"/>
    </row>
    <row r="217" spans="1:8" x14ac:dyDescent="0.2">
      <c r="A217" s="365"/>
      <c r="B217" s="365"/>
      <c r="C217" s="365"/>
      <c r="D217" s="329"/>
      <c r="E217" s="329"/>
      <c r="F217" s="329"/>
      <c r="G217" s="329"/>
      <c r="H217" s="329"/>
    </row>
    <row r="218" spans="1:8" x14ac:dyDescent="0.2">
      <c r="A218" s="365"/>
      <c r="B218" s="365"/>
      <c r="C218" s="365"/>
      <c r="D218" s="329"/>
      <c r="E218" s="329"/>
      <c r="F218" s="329"/>
      <c r="G218" s="329"/>
      <c r="H218" s="329"/>
    </row>
    <row r="219" spans="1:8" x14ac:dyDescent="0.2">
      <c r="A219" s="365"/>
      <c r="B219" s="365"/>
      <c r="C219" s="365"/>
      <c r="D219" s="329"/>
      <c r="E219" s="329"/>
      <c r="F219" s="329"/>
      <c r="G219" s="329"/>
      <c r="H219" s="329"/>
    </row>
    <row r="220" spans="1:8" x14ac:dyDescent="0.2">
      <c r="A220" s="365"/>
      <c r="B220" s="365"/>
      <c r="C220" s="365"/>
      <c r="D220" s="329"/>
      <c r="E220" s="329"/>
      <c r="F220" s="329"/>
      <c r="G220" s="329"/>
      <c r="H220" s="329"/>
    </row>
    <row r="221" spans="1:8" x14ac:dyDescent="0.2">
      <c r="A221" s="365"/>
      <c r="B221" s="365"/>
      <c r="C221" s="365"/>
      <c r="D221" s="329"/>
      <c r="E221" s="329"/>
      <c r="F221" s="329"/>
      <c r="G221" s="329"/>
      <c r="H221" s="329"/>
    </row>
    <row r="222" spans="1:8" x14ac:dyDescent="0.2">
      <c r="A222" s="365"/>
      <c r="B222" s="365"/>
      <c r="C222" s="365"/>
      <c r="D222" s="329"/>
      <c r="E222" s="329"/>
      <c r="F222" s="329"/>
      <c r="G222" s="329"/>
      <c r="H222" s="329"/>
    </row>
    <row r="223" spans="1:8" x14ac:dyDescent="0.2">
      <c r="A223" s="365"/>
      <c r="B223" s="365"/>
      <c r="C223" s="365"/>
      <c r="D223" s="329"/>
      <c r="E223" s="329"/>
      <c r="F223" s="329"/>
      <c r="G223" s="329"/>
      <c r="H223" s="329"/>
    </row>
    <row r="224" spans="1:8" x14ac:dyDescent="0.2">
      <c r="A224" s="365"/>
      <c r="B224" s="365"/>
      <c r="C224" s="365"/>
      <c r="D224" s="329"/>
      <c r="E224" s="329"/>
      <c r="F224" s="329"/>
      <c r="G224" s="329"/>
      <c r="H224" s="329"/>
    </row>
    <row r="225" spans="1:8" x14ac:dyDescent="0.2">
      <c r="A225" s="365"/>
      <c r="B225" s="365"/>
      <c r="C225" s="365"/>
      <c r="D225" s="329"/>
      <c r="E225" s="329"/>
      <c r="F225" s="329"/>
      <c r="G225" s="329"/>
      <c r="H225" s="329"/>
    </row>
    <row r="226" spans="1:8" x14ac:dyDescent="0.2">
      <c r="A226" s="365"/>
      <c r="B226" s="365"/>
      <c r="C226" s="365"/>
      <c r="D226" s="329"/>
      <c r="E226" s="329"/>
      <c r="F226" s="329"/>
      <c r="G226" s="329"/>
      <c r="H226" s="329"/>
    </row>
    <row r="227" spans="1:8" x14ac:dyDescent="0.2">
      <c r="A227" s="365"/>
      <c r="B227" s="365"/>
      <c r="C227" s="365"/>
      <c r="D227" s="329"/>
      <c r="E227" s="329"/>
      <c r="F227" s="329"/>
      <c r="G227" s="329"/>
      <c r="H227" s="329"/>
    </row>
    <row r="228" spans="1:8" x14ac:dyDescent="0.2">
      <c r="A228" s="365"/>
      <c r="B228" s="365"/>
      <c r="C228" s="365"/>
      <c r="D228" s="329"/>
      <c r="E228" s="329"/>
      <c r="F228" s="329"/>
      <c r="G228" s="329"/>
      <c r="H228" s="329"/>
    </row>
    <row r="229" spans="1:8" x14ac:dyDescent="0.2">
      <c r="A229" s="365"/>
      <c r="B229" s="365"/>
      <c r="C229" s="365"/>
      <c r="D229" s="329"/>
      <c r="E229" s="329"/>
      <c r="F229" s="329"/>
      <c r="G229" s="329"/>
      <c r="H229" s="329"/>
    </row>
    <row r="230" spans="1:8" x14ac:dyDescent="0.2">
      <c r="A230" s="365"/>
      <c r="B230" s="365"/>
      <c r="C230" s="365"/>
      <c r="D230" s="329"/>
      <c r="E230" s="329"/>
      <c r="F230" s="329"/>
      <c r="G230" s="329"/>
      <c r="H230" s="329"/>
    </row>
    <row r="231" spans="1:8" x14ac:dyDescent="0.2">
      <c r="A231" s="365"/>
      <c r="B231" s="365"/>
      <c r="C231" s="365"/>
      <c r="D231" s="329"/>
      <c r="E231" s="329"/>
      <c r="F231" s="329"/>
      <c r="G231" s="329"/>
      <c r="H231" s="329"/>
    </row>
    <row r="232" spans="1:8" x14ac:dyDescent="0.2">
      <c r="A232" s="365"/>
      <c r="B232" s="365"/>
      <c r="C232" s="365"/>
      <c r="D232" s="329"/>
      <c r="E232" s="329"/>
      <c r="F232" s="329"/>
      <c r="G232" s="329"/>
      <c r="H232" s="329"/>
    </row>
    <row r="233" spans="1:8" x14ac:dyDescent="0.2">
      <c r="A233" s="365"/>
      <c r="B233" s="365"/>
      <c r="C233" s="365"/>
      <c r="D233" s="329"/>
      <c r="E233" s="329"/>
      <c r="F233" s="329"/>
      <c r="G233" s="329"/>
      <c r="H233" s="329"/>
    </row>
    <row r="234" spans="1:8" x14ac:dyDescent="0.2">
      <c r="A234" s="365"/>
      <c r="B234" s="365"/>
      <c r="C234" s="365"/>
      <c r="D234" s="329"/>
      <c r="E234" s="329"/>
      <c r="F234" s="329"/>
      <c r="G234" s="329"/>
      <c r="H234" s="329"/>
    </row>
    <row r="235" spans="1:8" x14ac:dyDescent="0.2">
      <c r="A235" s="365"/>
      <c r="B235" s="365"/>
      <c r="C235" s="365"/>
      <c r="D235" s="329"/>
      <c r="E235" s="329"/>
      <c r="F235" s="329"/>
      <c r="G235" s="329"/>
      <c r="H235" s="329"/>
    </row>
    <row r="236" spans="1:8" x14ac:dyDescent="0.2">
      <c r="A236" s="365"/>
      <c r="B236" s="365"/>
      <c r="C236" s="365"/>
      <c r="D236" s="329"/>
      <c r="E236" s="329"/>
      <c r="F236" s="329"/>
      <c r="G236" s="329"/>
      <c r="H236" s="329"/>
    </row>
    <row r="237" spans="1:8" x14ac:dyDescent="0.2">
      <c r="A237" s="365"/>
      <c r="B237" s="365"/>
      <c r="C237" s="365"/>
      <c r="D237" s="329"/>
      <c r="E237" s="329"/>
      <c r="F237" s="329"/>
      <c r="G237" s="329"/>
      <c r="H237" s="329"/>
    </row>
    <row r="238" spans="1:8" x14ac:dyDescent="0.2">
      <c r="A238" s="365"/>
      <c r="B238" s="365"/>
      <c r="C238" s="365"/>
      <c r="D238" s="329"/>
      <c r="E238" s="329"/>
      <c r="F238" s="329"/>
      <c r="G238" s="329"/>
      <c r="H238" s="329"/>
    </row>
    <row r="239" spans="1:8" x14ac:dyDescent="0.2">
      <c r="A239" s="365"/>
      <c r="B239" s="365"/>
      <c r="C239" s="365"/>
      <c r="D239" s="329"/>
      <c r="E239" s="329"/>
      <c r="F239" s="329"/>
      <c r="G239" s="329"/>
      <c r="H239" s="329"/>
    </row>
    <row r="240" spans="1:8" x14ac:dyDescent="0.2">
      <c r="A240" s="365"/>
      <c r="B240" s="365"/>
      <c r="C240" s="365"/>
      <c r="D240" s="329"/>
      <c r="E240" s="329"/>
      <c r="F240" s="329"/>
      <c r="G240" s="329"/>
      <c r="H240" s="329"/>
    </row>
    <row r="241" spans="1:8" x14ac:dyDescent="0.2">
      <c r="A241" s="365"/>
      <c r="B241" s="365"/>
      <c r="C241" s="365"/>
      <c r="D241" s="329"/>
      <c r="E241" s="329"/>
      <c r="F241" s="329"/>
      <c r="G241" s="329"/>
      <c r="H241" s="329"/>
    </row>
    <row r="242" spans="1:8" x14ac:dyDescent="0.2">
      <c r="A242" s="365"/>
      <c r="B242" s="365"/>
      <c r="C242" s="365"/>
      <c r="D242" s="329"/>
      <c r="E242" s="329"/>
      <c r="F242" s="329"/>
      <c r="G242" s="329"/>
      <c r="H242" s="329"/>
    </row>
    <row r="243" spans="1:8" x14ac:dyDescent="0.2">
      <c r="A243" s="365"/>
      <c r="B243" s="365"/>
      <c r="C243" s="365"/>
      <c r="D243" s="329"/>
      <c r="E243" s="329"/>
      <c r="F243" s="329"/>
      <c r="G243" s="329"/>
      <c r="H243" s="329"/>
    </row>
    <row r="244" spans="1:8" x14ac:dyDescent="0.2">
      <c r="A244" s="365"/>
      <c r="B244" s="365"/>
      <c r="C244" s="365"/>
      <c r="D244" s="329"/>
      <c r="E244" s="329"/>
      <c r="F244" s="329"/>
      <c r="G244" s="329"/>
      <c r="H244" s="329"/>
    </row>
    <row r="245" spans="1:8" x14ac:dyDescent="0.2">
      <c r="A245" s="365"/>
      <c r="B245" s="365"/>
      <c r="C245" s="365"/>
      <c r="D245" s="329"/>
      <c r="E245" s="329"/>
      <c r="F245" s="329"/>
      <c r="G245" s="329"/>
      <c r="H245" s="329"/>
    </row>
    <row r="246" spans="1:8" x14ac:dyDescent="0.2">
      <c r="A246" s="365"/>
      <c r="B246" s="365"/>
      <c r="C246" s="365"/>
      <c r="D246" s="329"/>
      <c r="E246" s="329"/>
      <c r="F246" s="329"/>
      <c r="G246" s="329"/>
      <c r="H246" s="329"/>
    </row>
    <row r="247" spans="1:8" x14ac:dyDescent="0.2">
      <c r="A247" s="365"/>
      <c r="B247" s="365"/>
      <c r="C247" s="365"/>
      <c r="D247" s="329"/>
      <c r="E247" s="329"/>
      <c r="F247" s="329"/>
      <c r="G247" s="329"/>
      <c r="H247" s="329"/>
    </row>
    <row r="248" spans="1:8" x14ac:dyDescent="0.2">
      <c r="A248" s="365"/>
      <c r="B248" s="365"/>
      <c r="C248" s="365"/>
      <c r="D248" s="329"/>
      <c r="E248" s="329"/>
      <c r="F248" s="329"/>
      <c r="G248" s="329"/>
      <c r="H248" s="329"/>
    </row>
    <row r="249" spans="1:8" x14ac:dyDescent="0.2">
      <c r="A249" s="365"/>
      <c r="B249" s="365"/>
      <c r="C249" s="365"/>
      <c r="D249" s="329"/>
      <c r="E249" s="329"/>
      <c r="F249" s="329"/>
      <c r="G249" s="329"/>
      <c r="H249" s="329"/>
    </row>
    <row r="250" spans="1:8" x14ac:dyDescent="0.2">
      <c r="A250" s="365"/>
      <c r="B250" s="365"/>
      <c r="C250" s="365"/>
      <c r="D250" s="329"/>
      <c r="E250" s="329"/>
      <c r="F250" s="329"/>
      <c r="G250" s="329"/>
      <c r="H250" s="329"/>
    </row>
    <row r="251" spans="1:8" x14ac:dyDescent="0.2">
      <c r="A251" s="365"/>
      <c r="B251" s="365"/>
      <c r="C251" s="365"/>
      <c r="D251" s="329"/>
      <c r="E251" s="329"/>
      <c r="F251" s="329"/>
      <c r="G251" s="329"/>
      <c r="H251" s="329"/>
    </row>
    <row r="252" spans="1:8" x14ac:dyDescent="0.2">
      <c r="A252" s="365"/>
      <c r="B252" s="365"/>
      <c r="C252" s="365"/>
      <c r="D252" s="329"/>
      <c r="E252" s="329"/>
      <c r="F252" s="329"/>
      <c r="G252" s="329"/>
      <c r="H252" s="329"/>
    </row>
    <row r="253" spans="1:8" x14ac:dyDescent="0.2">
      <c r="A253" s="365"/>
      <c r="B253" s="365"/>
      <c r="C253" s="365"/>
      <c r="D253" s="329"/>
      <c r="E253" s="329"/>
      <c r="F253" s="329"/>
      <c r="G253" s="329"/>
      <c r="H253" s="329"/>
    </row>
    <row r="254" spans="1:8" x14ac:dyDescent="0.2">
      <c r="A254" s="365"/>
      <c r="B254" s="365"/>
      <c r="C254" s="365"/>
      <c r="D254" s="329"/>
      <c r="E254" s="329"/>
      <c r="F254" s="329"/>
      <c r="G254" s="329"/>
      <c r="H254" s="329"/>
    </row>
    <row r="255" spans="1:8" x14ac:dyDescent="0.2">
      <c r="A255" s="365"/>
      <c r="B255" s="365"/>
      <c r="C255" s="365"/>
      <c r="D255" s="329"/>
      <c r="E255" s="329"/>
      <c r="F255" s="329"/>
      <c r="G255" s="329"/>
      <c r="H255" s="329"/>
    </row>
    <row r="256" spans="1:8" x14ac:dyDescent="0.2">
      <c r="A256" s="365"/>
      <c r="B256" s="365"/>
      <c r="C256" s="365"/>
      <c r="D256" s="329"/>
      <c r="E256" s="329"/>
      <c r="F256" s="329"/>
      <c r="G256" s="329"/>
      <c r="H256" s="329"/>
    </row>
    <row r="257" spans="1:8" x14ac:dyDescent="0.2">
      <c r="A257" s="365"/>
      <c r="B257" s="365"/>
      <c r="C257" s="365"/>
      <c r="D257" s="329"/>
      <c r="E257" s="329"/>
      <c r="F257" s="329"/>
      <c r="G257" s="329"/>
      <c r="H257" s="329"/>
    </row>
    <row r="258" spans="1:8" x14ac:dyDescent="0.2">
      <c r="A258" s="365"/>
      <c r="B258" s="365"/>
      <c r="C258" s="365"/>
      <c r="D258" s="329"/>
      <c r="E258" s="329"/>
      <c r="F258" s="329"/>
      <c r="G258" s="329"/>
      <c r="H258" s="329"/>
    </row>
    <row r="259" spans="1:8" x14ac:dyDescent="0.2">
      <c r="A259" s="365"/>
      <c r="B259" s="365"/>
      <c r="C259" s="365"/>
      <c r="D259" s="329"/>
      <c r="E259" s="329"/>
      <c r="F259" s="329"/>
      <c r="G259" s="329"/>
      <c r="H259" s="329"/>
    </row>
    <row r="260" spans="1:8" x14ac:dyDescent="0.2">
      <c r="A260" s="365"/>
      <c r="B260" s="365"/>
      <c r="C260" s="365"/>
      <c r="D260" s="329"/>
      <c r="E260" s="329"/>
      <c r="F260" s="329"/>
      <c r="G260" s="329"/>
      <c r="H260" s="329"/>
    </row>
    <row r="261" spans="1:8" x14ac:dyDescent="0.2">
      <c r="A261" s="365"/>
      <c r="B261" s="365"/>
      <c r="C261" s="365"/>
      <c r="D261" s="329"/>
      <c r="E261" s="329"/>
      <c r="F261" s="329"/>
      <c r="G261" s="329"/>
      <c r="H261" s="329"/>
    </row>
    <row r="262" spans="1:8" x14ac:dyDescent="0.2">
      <c r="A262" s="365"/>
      <c r="B262" s="365"/>
      <c r="C262" s="365"/>
      <c r="D262" s="329"/>
      <c r="E262" s="329"/>
      <c r="F262" s="329"/>
      <c r="G262" s="329"/>
      <c r="H262" s="329"/>
    </row>
    <row r="263" spans="1:8" x14ac:dyDescent="0.2">
      <c r="A263" s="365"/>
      <c r="B263" s="365"/>
      <c r="C263" s="365"/>
      <c r="D263" s="329"/>
      <c r="E263" s="329"/>
      <c r="F263" s="329"/>
      <c r="G263" s="329"/>
      <c r="H263" s="329"/>
    </row>
    <row r="264" spans="1:8" x14ac:dyDescent="0.2">
      <c r="A264" s="365"/>
      <c r="B264" s="365"/>
      <c r="C264" s="365"/>
      <c r="D264" s="329"/>
      <c r="E264" s="329"/>
      <c r="F264" s="329"/>
      <c r="G264" s="329"/>
      <c r="H264" s="329"/>
    </row>
    <row r="265" spans="1:8" x14ac:dyDescent="0.2">
      <c r="A265" s="365"/>
      <c r="B265" s="365"/>
      <c r="C265" s="365"/>
      <c r="D265" s="329"/>
      <c r="E265" s="329"/>
      <c r="F265" s="329"/>
      <c r="G265" s="329"/>
      <c r="H265" s="329"/>
    </row>
    <row r="266" spans="1:8" x14ac:dyDescent="0.2">
      <c r="A266" s="365"/>
      <c r="B266" s="365"/>
      <c r="C266" s="365"/>
      <c r="D266" s="329"/>
      <c r="E266" s="329"/>
      <c r="F266" s="329"/>
      <c r="G266" s="329"/>
      <c r="H266" s="329"/>
    </row>
    <row r="267" spans="1:8" x14ac:dyDescent="0.2">
      <c r="A267" s="365"/>
      <c r="B267" s="365"/>
      <c r="C267" s="365"/>
      <c r="D267" s="329"/>
      <c r="E267" s="329"/>
      <c r="F267" s="329"/>
      <c r="G267" s="329"/>
      <c r="H267" s="329"/>
    </row>
    <row r="268" spans="1:8" x14ac:dyDescent="0.2">
      <c r="A268" s="365"/>
      <c r="B268" s="365"/>
      <c r="C268" s="365"/>
      <c r="D268" s="329"/>
      <c r="E268" s="329"/>
      <c r="F268" s="329"/>
      <c r="G268" s="329"/>
      <c r="H268" s="329"/>
    </row>
    <row r="269" spans="1:8" x14ac:dyDescent="0.2">
      <c r="A269" s="365"/>
      <c r="B269" s="365"/>
      <c r="C269" s="365"/>
      <c r="D269" s="329"/>
      <c r="E269" s="329"/>
      <c r="F269" s="329"/>
      <c r="G269" s="329"/>
      <c r="H269" s="329"/>
    </row>
    <row r="270" spans="1:8" x14ac:dyDescent="0.2">
      <c r="A270" s="365"/>
      <c r="B270" s="365"/>
      <c r="C270" s="365"/>
      <c r="D270" s="329"/>
      <c r="E270" s="329"/>
      <c r="F270" s="329"/>
      <c r="G270" s="329"/>
      <c r="H270" s="329"/>
    </row>
    <row r="271" spans="1:8" x14ac:dyDescent="0.2">
      <c r="A271" s="365"/>
      <c r="B271" s="365"/>
      <c r="C271" s="365"/>
      <c r="D271" s="329"/>
      <c r="E271" s="329"/>
      <c r="F271" s="329"/>
      <c r="G271" s="329"/>
      <c r="H271" s="329"/>
    </row>
    <row r="272" spans="1:8" x14ac:dyDescent="0.2">
      <c r="A272" s="365"/>
      <c r="B272" s="365"/>
      <c r="C272" s="365"/>
      <c r="D272" s="329"/>
      <c r="E272" s="329"/>
      <c r="F272" s="329"/>
      <c r="G272" s="329"/>
      <c r="H272" s="329"/>
    </row>
    <row r="273" spans="1:8" x14ac:dyDescent="0.2">
      <c r="A273" s="365"/>
      <c r="B273" s="365"/>
      <c r="C273" s="365"/>
      <c r="D273" s="329"/>
      <c r="E273" s="329"/>
      <c r="F273" s="329"/>
      <c r="G273" s="329"/>
      <c r="H273" s="329"/>
    </row>
    <row r="274" spans="1:8" x14ac:dyDescent="0.2">
      <c r="A274" s="365"/>
      <c r="B274" s="365"/>
      <c r="C274" s="365"/>
      <c r="D274" s="329"/>
      <c r="E274" s="329"/>
      <c r="F274" s="329"/>
      <c r="G274" s="329"/>
      <c r="H274" s="329"/>
    </row>
    <row r="275" spans="1:8" x14ac:dyDescent="0.2">
      <c r="A275" s="365"/>
      <c r="B275" s="365"/>
      <c r="C275" s="365"/>
      <c r="D275" s="329"/>
      <c r="E275" s="329"/>
      <c r="F275" s="329"/>
      <c r="G275" s="329"/>
      <c r="H275" s="329"/>
    </row>
    <row r="276" spans="1:8" x14ac:dyDescent="0.2">
      <c r="A276" s="365"/>
      <c r="B276" s="365"/>
      <c r="C276" s="365"/>
      <c r="D276" s="329"/>
      <c r="E276" s="329"/>
      <c r="F276" s="329"/>
      <c r="G276" s="329"/>
      <c r="H276" s="329"/>
    </row>
    <row r="277" spans="1:8" x14ac:dyDescent="0.2">
      <c r="A277" s="365"/>
      <c r="B277" s="365"/>
      <c r="C277" s="365"/>
      <c r="D277" s="329"/>
      <c r="E277" s="329"/>
      <c r="F277" s="329"/>
      <c r="G277" s="329"/>
      <c r="H277" s="329"/>
    </row>
    <row r="278" spans="1:8" x14ac:dyDescent="0.2">
      <c r="A278" s="365"/>
      <c r="B278" s="365"/>
      <c r="C278" s="365"/>
      <c r="D278" s="329"/>
      <c r="E278" s="329"/>
      <c r="F278" s="329"/>
      <c r="G278" s="329"/>
      <c r="H278" s="329"/>
    </row>
    <row r="279" spans="1:8" x14ac:dyDescent="0.2">
      <c r="A279" s="365"/>
      <c r="B279" s="365"/>
      <c r="C279" s="365"/>
      <c r="D279" s="329"/>
      <c r="E279" s="329"/>
      <c r="F279" s="329"/>
      <c r="G279" s="329"/>
      <c r="H279" s="329"/>
    </row>
    <row r="280" spans="1:8" x14ac:dyDescent="0.2">
      <c r="A280" s="365"/>
      <c r="B280" s="365"/>
      <c r="C280" s="365"/>
      <c r="D280" s="329"/>
      <c r="E280" s="329"/>
      <c r="F280" s="329"/>
      <c r="G280" s="329"/>
      <c r="H280" s="329"/>
    </row>
    <row r="281" spans="1:8" x14ac:dyDescent="0.2">
      <c r="A281" s="365"/>
      <c r="B281" s="365"/>
      <c r="C281" s="365"/>
      <c r="D281" s="329"/>
      <c r="E281" s="329"/>
      <c r="F281" s="329"/>
      <c r="G281" s="329"/>
      <c r="H281" s="329"/>
    </row>
    <row r="282" spans="1:8" x14ac:dyDescent="0.2">
      <c r="A282" s="365"/>
      <c r="B282" s="365"/>
      <c r="C282" s="365"/>
      <c r="D282" s="329"/>
      <c r="E282" s="329"/>
      <c r="F282" s="329"/>
      <c r="G282" s="329"/>
      <c r="H282" s="329"/>
    </row>
    <row r="283" spans="1:8" x14ac:dyDescent="0.2">
      <c r="A283" s="365"/>
      <c r="B283" s="365"/>
      <c r="C283" s="365"/>
      <c r="D283" s="329"/>
      <c r="E283" s="329"/>
      <c r="F283" s="329"/>
      <c r="G283" s="329"/>
      <c r="H283" s="329"/>
    </row>
    <row r="284" spans="1:8" x14ac:dyDescent="0.2">
      <c r="A284" s="365"/>
      <c r="B284" s="365"/>
      <c r="C284" s="365"/>
      <c r="D284" s="329"/>
      <c r="E284" s="329"/>
      <c r="F284" s="329"/>
      <c r="G284" s="329"/>
      <c r="H284" s="329"/>
    </row>
    <row r="285" spans="1:8" x14ac:dyDescent="0.2">
      <c r="A285" s="365"/>
      <c r="B285" s="365"/>
      <c r="C285" s="365"/>
      <c r="D285" s="329"/>
      <c r="E285" s="329"/>
      <c r="F285" s="329"/>
      <c r="G285" s="329"/>
      <c r="H285" s="329"/>
    </row>
    <row r="286" spans="1:8" x14ac:dyDescent="0.2">
      <c r="A286" s="365"/>
      <c r="B286" s="365"/>
      <c r="C286" s="365"/>
      <c r="D286" s="329"/>
      <c r="E286" s="329"/>
      <c r="F286" s="329"/>
      <c r="G286" s="329"/>
      <c r="H286" s="329"/>
    </row>
    <row r="287" spans="1:8" x14ac:dyDescent="0.2">
      <c r="A287" s="365"/>
      <c r="B287" s="365"/>
      <c r="C287" s="365"/>
      <c r="D287" s="329"/>
      <c r="E287" s="329"/>
      <c r="F287" s="329"/>
      <c r="G287" s="329"/>
      <c r="H287" s="329"/>
    </row>
    <row r="288" spans="1:8" x14ac:dyDescent="0.2">
      <c r="A288" s="365"/>
      <c r="B288" s="365"/>
      <c r="C288" s="365"/>
      <c r="D288" s="329"/>
      <c r="E288" s="329"/>
      <c r="F288" s="329"/>
      <c r="G288" s="329"/>
      <c r="H288" s="329"/>
    </row>
    <row r="289" spans="1:8" x14ac:dyDescent="0.2">
      <c r="A289" s="365"/>
      <c r="B289" s="365"/>
      <c r="C289" s="365"/>
      <c r="D289" s="329"/>
      <c r="E289" s="329"/>
      <c r="F289" s="329"/>
      <c r="G289" s="329"/>
      <c r="H289" s="329"/>
    </row>
    <row r="290" spans="1:8" x14ac:dyDescent="0.2">
      <c r="A290" s="365"/>
      <c r="B290" s="365"/>
      <c r="C290" s="365"/>
      <c r="D290" s="329"/>
      <c r="E290" s="329"/>
      <c r="F290" s="329"/>
      <c r="G290" s="329"/>
      <c r="H290" s="329"/>
    </row>
    <row r="291" spans="1:8" x14ac:dyDescent="0.2">
      <c r="A291" s="365"/>
      <c r="B291" s="365"/>
      <c r="C291" s="365"/>
      <c r="D291" s="329"/>
      <c r="E291" s="329"/>
      <c r="F291" s="329"/>
      <c r="G291" s="329"/>
      <c r="H291" s="329"/>
    </row>
    <row r="292" spans="1:8" x14ac:dyDescent="0.2">
      <c r="A292" s="365"/>
      <c r="B292" s="365"/>
      <c r="C292" s="365"/>
      <c r="D292" s="329"/>
      <c r="E292" s="329"/>
      <c r="F292" s="329"/>
      <c r="G292" s="329"/>
      <c r="H292" s="329"/>
    </row>
    <row r="293" spans="1:8" x14ac:dyDescent="0.2">
      <c r="A293" s="365"/>
      <c r="B293" s="365"/>
      <c r="C293" s="365"/>
      <c r="D293" s="329"/>
      <c r="E293" s="329"/>
      <c r="F293" s="329"/>
      <c r="G293" s="329"/>
      <c r="H293" s="329"/>
    </row>
    <row r="294" spans="1:8" x14ac:dyDescent="0.2">
      <c r="A294" s="365"/>
      <c r="B294" s="365"/>
      <c r="C294" s="365"/>
      <c r="D294" s="329"/>
      <c r="E294" s="329"/>
      <c r="F294" s="329"/>
      <c r="G294" s="329"/>
      <c r="H294" s="329"/>
    </row>
    <row r="295" spans="1:8" x14ac:dyDescent="0.2">
      <c r="A295" s="365"/>
      <c r="B295" s="365"/>
      <c r="C295" s="365"/>
      <c r="D295" s="329"/>
      <c r="E295" s="329"/>
      <c r="F295" s="329"/>
      <c r="G295" s="329"/>
      <c r="H295" s="329"/>
    </row>
    <row r="296" spans="1:8" x14ac:dyDescent="0.2">
      <c r="A296" s="365"/>
      <c r="B296" s="365"/>
      <c r="C296" s="365"/>
      <c r="D296" s="329"/>
      <c r="E296" s="329"/>
      <c r="F296" s="329"/>
      <c r="G296" s="329"/>
      <c r="H296" s="329"/>
    </row>
    <row r="297" spans="1:8" x14ac:dyDescent="0.2">
      <c r="A297" s="365"/>
      <c r="B297" s="365"/>
      <c r="C297" s="365"/>
      <c r="D297" s="329"/>
      <c r="E297" s="329"/>
      <c r="F297" s="329"/>
      <c r="G297" s="329"/>
      <c r="H297" s="329"/>
    </row>
    <row r="298" spans="1:8" x14ac:dyDescent="0.2">
      <c r="A298" s="365"/>
      <c r="B298" s="365"/>
      <c r="C298" s="365"/>
      <c r="D298" s="329"/>
      <c r="E298" s="329"/>
      <c r="F298" s="329"/>
      <c r="G298" s="329"/>
      <c r="H298" s="329"/>
    </row>
    <row r="299" spans="1:8" x14ac:dyDescent="0.2">
      <c r="A299" s="365"/>
      <c r="B299" s="365"/>
      <c r="C299" s="365"/>
      <c r="D299" s="329"/>
      <c r="E299" s="329"/>
      <c r="F299" s="329"/>
      <c r="G299" s="329"/>
      <c r="H299" s="329"/>
    </row>
    <row r="300" spans="1:8" x14ac:dyDescent="0.2">
      <c r="A300" s="365"/>
      <c r="B300" s="365"/>
      <c r="C300" s="365"/>
      <c r="D300" s="329"/>
      <c r="E300" s="329"/>
      <c r="F300" s="329"/>
      <c r="G300" s="329"/>
      <c r="H300" s="329"/>
    </row>
    <row r="301" spans="1:8" x14ac:dyDescent="0.2">
      <c r="A301" s="365"/>
      <c r="B301" s="365"/>
      <c r="C301" s="365"/>
      <c r="D301" s="329"/>
      <c r="E301" s="329"/>
      <c r="F301" s="329"/>
      <c r="G301" s="329"/>
      <c r="H301" s="329"/>
    </row>
    <row r="302" spans="1:8" x14ac:dyDescent="0.2">
      <c r="A302" s="365"/>
      <c r="B302" s="365"/>
      <c r="C302" s="365"/>
      <c r="D302" s="329"/>
      <c r="E302" s="329"/>
      <c r="F302" s="329"/>
      <c r="G302" s="329"/>
      <c r="H302" s="329"/>
    </row>
    <row r="303" spans="1:8" x14ac:dyDescent="0.2">
      <c r="A303" s="365"/>
      <c r="B303" s="365"/>
      <c r="C303" s="365"/>
      <c r="D303" s="329"/>
      <c r="E303" s="329"/>
      <c r="F303" s="329"/>
      <c r="G303" s="329"/>
      <c r="H303" s="329"/>
    </row>
    <row r="304" spans="1:8" x14ac:dyDescent="0.2">
      <c r="A304" s="365"/>
      <c r="B304" s="365"/>
      <c r="C304" s="365"/>
      <c r="D304" s="329"/>
      <c r="E304" s="329"/>
      <c r="F304" s="329"/>
      <c r="G304" s="329"/>
      <c r="H304" s="329"/>
    </row>
    <row r="305" spans="1:8" x14ac:dyDescent="0.2">
      <c r="A305" s="365"/>
      <c r="B305" s="365"/>
      <c r="C305" s="365"/>
      <c r="D305" s="329"/>
      <c r="E305" s="329"/>
      <c r="F305" s="329"/>
      <c r="G305" s="329"/>
      <c r="H305" s="329"/>
    </row>
    <row r="306" spans="1:8" x14ac:dyDescent="0.2">
      <c r="A306" s="365"/>
      <c r="B306" s="365"/>
      <c r="C306" s="365"/>
      <c r="D306" s="329"/>
      <c r="E306" s="329"/>
      <c r="F306" s="329"/>
      <c r="G306" s="329"/>
      <c r="H306" s="329"/>
    </row>
    <row r="307" spans="1:8" x14ac:dyDescent="0.2">
      <c r="A307" s="365"/>
      <c r="B307" s="365"/>
      <c r="C307" s="365"/>
      <c r="D307" s="329"/>
      <c r="E307" s="329"/>
      <c r="F307" s="329"/>
      <c r="G307" s="329"/>
      <c r="H307" s="329"/>
    </row>
    <row r="308" spans="1:8" x14ac:dyDescent="0.2">
      <c r="A308" s="365"/>
      <c r="B308" s="365"/>
      <c r="C308" s="365"/>
      <c r="D308" s="329"/>
      <c r="E308" s="329"/>
      <c r="F308" s="329"/>
      <c r="G308" s="329"/>
      <c r="H308" s="329"/>
    </row>
    <row r="309" spans="1:8" x14ac:dyDescent="0.2">
      <c r="A309" s="365"/>
      <c r="B309" s="365"/>
      <c r="C309" s="365"/>
      <c r="D309" s="329"/>
      <c r="E309" s="329"/>
      <c r="F309" s="329"/>
      <c r="G309" s="329"/>
      <c r="H309" s="329"/>
    </row>
    <row r="310" spans="1:8" x14ac:dyDescent="0.2">
      <c r="A310" s="365"/>
      <c r="B310" s="365"/>
      <c r="C310" s="365"/>
      <c r="D310" s="329"/>
      <c r="E310" s="329"/>
      <c r="F310" s="329"/>
      <c r="G310" s="329"/>
      <c r="H310" s="329"/>
    </row>
    <row r="311" spans="1:8" x14ac:dyDescent="0.2">
      <c r="A311" s="365"/>
      <c r="B311" s="365"/>
      <c r="C311" s="365"/>
      <c r="D311" s="329"/>
      <c r="E311" s="329"/>
      <c r="F311" s="329"/>
      <c r="G311" s="329"/>
      <c r="H311" s="329"/>
    </row>
    <row r="312" spans="1:8" x14ac:dyDescent="0.2">
      <c r="A312" s="365"/>
      <c r="B312" s="365"/>
      <c r="C312" s="365"/>
      <c r="D312" s="329"/>
      <c r="E312" s="329"/>
      <c r="F312" s="329"/>
      <c r="G312" s="329"/>
      <c r="H312" s="329"/>
    </row>
    <row r="313" spans="1:8" x14ac:dyDescent="0.2">
      <c r="A313" s="365"/>
      <c r="B313" s="365"/>
      <c r="C313" s="365"/>
      <c r="D313" s="329"/>
      <c r="E313" s="329"/>
      <c r="F313" s="329"/>
      <c r="G313" s="329"/>
      <c r="H313" s="329"/>
    </row>
    <row r="314" spans="1:8" x14ac:dyDescent="0.2">
      <c r="A314" s="365"/>
      <c r="B314" s="365"/>
      <c r="C314" s="365"/>
      <c r="D314" s="329"/>
      <c r="E314" s="329"/>
      <c r="F314" s="329"/>
      <c r="G314" s="329"/>
      <c r="H314" s="329"/>
    </row>
    <row r="315" spans="1:8" x14ac:dyDescent="0.2">
      <c r="A315" s="365"/>
      <c r="B315" s="365"/>
      <c r="C315" s="365"/>
      <c r="D315" s="329"/>
      <c r="E315" s="329"/>
      <c r="F315" s="329"/>
      <c r="G315" s="329"/>
      <c r="H315" s="329"/>
    </row>
    <row r="316" spans="1:8" x14ac:dyDescent="0.2">
      <c r="A316" s="365"/>
      <c r="B316" s="365"/>
      <c r="C316" s="365"/>
      <c r="D316" s="329"/>
      <c r="E316" s="329"/>
      <c r="F316" s="329"/>
      <c r="G316" s="329"/>
      <c r="H316" s="329"/>
    </row>
    <row r="317" spans="1:8" x14ac:dyDescent="0.2">
      <c r="A317" s="365"/>
      <c r="B317" s="365"/>
      <c r="C317" s="365"/>
      <c r="D317" s="329"/>
      <c r="E317" s="329"/>
      <c r="F317" s="329"/>
      <c r="G317" s="329"/>
      <c r="H317" s="329"/>
    </row>
    <row r="318" spans="1:8" x14ac:dyDescent="0.2">
      <c r="A318" s="365"/>
      <c r="B318" s="365"/>
      <c r="C318" s="365"/>
      <c r="D318" s="329"/>
      <c r="E318" s="329"/>
      <c r="F318" s="329"/>
      <c r="G318" s="329"/>
      <c r="H318" s="329"/>
    </row>
    <row r="319" spans="1:8" x14ac:dyDescent="0.2">
      <c r="A319" s="365"/>
      <c r="B319" s="365"/>
      <c r="C319" s="365"/>
      <c r="D319" s="329"/>
      <c r="E319" s="329"/>
      <c r="F319" s="329"/>
      <c r="G319" s="329"/>
      <c r="H319" s="329"/>
    </row>
    <row r="320" spans="1:8" x14ac:dyDescent="0.2">
      <c r="A320" s="365"/>
      <c r="B320" s="365"/>
      <c r="C320" s="365"/>
      <c r="D320" s="329"/>
      <c r="E320" s="329"/>
      <c r="F320" s="329"/>
      <c r="G320" s="329"/>
      <c r="H320" s="329"/>
    </row>
    <row r="321" spans="1:8" x14ac:dyDescent="0.2">
      <c r="A321" s="365"/>
      <c r="B321" s="365"/>
      <c r="C321" s="365"/>
      <c r="D321" s="329"/>
      <c r="E321" s="329"/>
      <c r="F321" s="329"/>
      <c r="G321" s="329"/>
      <c r="H321" s="329"/>
    </row>
    <row r="322" spans="1:8" x14ac:dyDescent="0.2">
      <c r="A322" s="365"/>
      <c r="B322" s="365"/>
      <c r="C322" s="365"/>
      <c r="D322" s="329"/>
      <c r="E322" s="329"/>
      <c r="F322" s="329"/>
      <c r="G322" s="329"/>
      <c r="H322" s="329"/>
    </row>
    <row r="323" spans="1:8" x14ac:dyDescent="0.2">
      <c r="A323" s="365"/>
      <c r="B323" s="365"/>
      <c r="C323" s="365"/>
      <c r="D323" s="329"/>
      <c r="E323" s="329"/>
      <c r="F323" s="329"/>
      <c r="G323" s="329"/>
      <c r="H323" s="329"/>
    </row>
    <row r="324" spans="1:8" x14ac:dyDescent="0.2">
      <c r="A324" s="365"/>
      <c r="B324" s="365"/>
      <c r="C324" s="365"/>
      <c r="D324" s="329"/>
      <c r="E324" s="329"/>
      <c r="F324" s="329"/>
      <c r="G324" s="329"/>
      <c r="H324" s="329"/>
    </row>
    <row r="325" spans="1:8" x14ac:dyDescent="0.2">
      <c r="A325" s="365"/>
      <c r="B325" s="365"/>
      <c r="C325" s="365"/>
      <c r="D325" s="329"/>
      <c r="E325" s="329"/>
      <c r="F325" s="329"/>
      <c r="G325" s="329"/>
      <c r="H325" s="329"/>
    </row>
    <row r="326" spans="1:8" x14ac:dyDescent="0.2">
      <c r="A326" s="365"/>
      <c r="B326" s="365"/>
      <c r="C326" s="365"/>
      <c r="D326" s="329"/>
      <c r="E326" s="329"/>
      <c r="F326" s="329"/>
      <c r="G326" s="329"/>
      <c r="H326" s="329"/>
    </row>
    <row r="327" spans="1:8" x14ac:dyDescent="0.2">
      <c r="A327" s="365"/>
      <c r="B327" s="365"/>
      <c r="C327" s="365"/>
      <c r="D327" s="329"/>
      <c r="E327" s="329"/>
      <c r="F327" s="329"/>
      <c r="G327" s="329"/>
      <c r="H327" s="329"/>
    </row>
    <row r="328" spans="1:8" x14ac:dyDescent="0.2">
      <c r="A328" s="365"/>
      <c r="B328" s="365"/>
      <c r="C328" s="365"/>
      <c r="D328" s="329"/>
      <c r="E328" s="329"/>
      <c r="F328" s="329"/>
      <c r="G328" s="329"/>
      <c r="H328" s="329"/>
    </row>
    <row r="329" spans="1:8" x14ac:dyDescent="0.2">
      <c r="A329" s="365"/>
      <c r="B329" s="365"/>
      <c r="C329" s="365"/>
      <c r="D329" s="329"/>
      <c r="E329" s="329"/>
      <c r="F329" s="329"/>
      <c r="G329" s="329"/>
      <c r="H329" s="329"/>
    </row>
    <row r="330" spans="1:8" x14ac:dyDescent="0.2">
      <c r="A330" s="365"/>
      <c r="B330" s="365"/>
      <c r="C330" s="365"/>
      <c r="D330" s="329"/>
      <c r="E330" s="329"/>
      <c r="F330" s="329"/>
      <c r="G330" s="329"/>
      <c r="H330" s="329"/>
    </row>
    <row r="331" spans="1:8" x14ac:dyDescent="0.2">
      <c r="A331" s="365"/>
      <c r="B331" s="365"/>
      <c r="C331" s="365"/>
      <c r="D331" s="329"/>
      <c r="E331" s="329"/>
      <c r="F331" s="329"/>
      <c r="G331" s="329"/>
      <c r="H331" s="329"/>
    </row>
    <row r="332" spans="1:8" x14ac:dyDescent="0.2">
      <c r="A332" s="365"/>
      <c r="B332" s="365"/>
      <c r="C332" s="365"/>
      <c r="D332" s="329"/>
      <c r="E332" s="329"/>
      <c r="F332" s="329"/>
      <c r="G332" s="329"/>
      <c r="H332" s="329"/>
    </row>
    <row r="333" spans="1:8" x14ac:dyDescent="0.2">
      <c r="A333" s="365"/>
      <c r="B333" s="365"/>
      <c r="C333" s="365"/>
      <c r="D333" s="329"/>
      <c r="E333" s="329"/>
      <c r="F333" s="329"/>
      <c r="G333" s="329"/>
      <c r="H333" s="329"/>
    </row>
    <row r="334" spans="1:8" x14ac:dyDescent="0.2">
      <c r="A334" s="365"/>
      <c r="B334" s="365"/>
      <c r="C334" s="365"/>
      <c r="D334" s="329"/>
      <c r="E334" s="329"/>
      <c r="F334" s="329"/>
      <c r="G334" s="329"/>
      <c r="H334" s="329"/>
    </row>
    <row r="335" spans="1:8" x14ac:dyDescent="0.2">
      <c r="A335" s="365"/>
      <c r="B335" s="365"/>
      <c r="C335" s="365"/>
      <c r="D335" s="329"/>
      <c r="E335" s="329"/>
      <c r="F335" s="329"/>
      <c r="G335" s="329"/>
      <c r="H335" s="329"/>
    </row>
    <row r="336" spans="1:8" x14ac:dyDescent="0.2">
      <c r="A336" s="365"/>
      <c r="B336" s="365"/>
      <c r="C336" s="365"/>
      <c r="D336" s="329"/>
      <c r="E336" s="329"/>
      <c r="F336" s="329"/>
      <c r="G336" s="329"/>
      <c r="H336" s="329"/>
    </row>
    <row r="337" spans="1:8" x14ac:dyDescent="0.2">
      <c r="A337" s="365"/>
      <c r="B337" s="365"/>
      <c r="C337" s="365"/>
      <c r="D337" s="329"/>
      <c r="E337" s="329"/>
      <c r="F337" s="329"/>
      <c r="G337" s="329"/>
      <c r="H337" s="329"/>
    </row>
    <row r="338" spans="1:8" x14ac:dyDescent="0.2">
      <c r="A338" s="365"/>
      <c r="B338" s="365"/>
      <c r="C338" s="365"/>
      <c r="D338" s="329"/>
      <c r="E338" s="329"/>
      <c r="F338" s="329"/>
      <c r="G338" s="329"/>
      <c r="H338" s="329"/>
    </row>
    <row r="339" spans="1:8" x14ac:dyDescent="0.2">
      <c r="A339" s="365"/>
      <c r="B339" s="365"/>
      <c r="C339" s="365"/>
      <c r="D339" s="329"/>
      <c r="E339" s="329"/>
      <c r="F339" s="329"/>
      <c r="G339" s="329"/>
      <c r="H339" s="329"/>
    </row>
    <row r="340" spans="1:8" x14ac:dyDescent="0.2">
      <c r="A340" s="365"/>
      <c r="B340" s="365"/>
      <c r="C340" s="365"/>
      <c r="D340" s="329"/>
      <c r="E340" s="329"/>
      <c r="F340" s="329"/>
      <c r="G340" s="329"/>
      <c r="H340" s="329"/>
    </row>
    <row r="341" spans="1:8" x14ac:dyDescent="0.2">
      <c r="A341" s="365"/>
      <c r="B341" s="365"/>
      <c r="C341" s="365"/>
      <c r="D341" s="329"/>
      <c r="E341" s="329"/>
      <c r="F341" s="329"/>
      <c r="G341" s="329"/>
      <c r="H341" s="329"/>
    </row>
    <row r="342" spans="1:8" x14ac:dyDescent="0.2">
      <c r="A342" s="365"/>
      <c r="B342" s="365"/>
      <c r="C342" s="365"/>
      <c r="D342" s="329"/>
      <c r="E342" s="329"/>
      <c r="F342" s="329"/>
      <c r="G342" s="329"/>
      <c r="H342" s="329"/>
    </row>
    <row r="343" spans="1:8" x14ac:dyDescent="0.2">
      <c r="A343" s="365"/>
      <c r="B343" s="365"/>
      <c r="C343" s="365"/>
      <c r="D343" s="329"/>
      <c r="E343" s="329"/>
      <c r="F343" s="329"/>
      <c r="G343" s="329"/>
      <c r="H343" s="329"/>
    </row>
    <row r="344" spans="1:8" x14ac:dyDescent="0.2">
      <c r="A344" s="365"/>
      <c r="B344" s="365"/>
      <c r="C344" s="365"/>
      <c r="D344" s="329"/>
      <c r="E344" s="329"/>
      <c r="F344" s="329"/>
      <c r="G344" s="329"/>
      <c r="H344" s="329"/>
    </row>
    <row r="345" spans="1:8" x14ac:dyDescent="0.2">
      <c r="A345" s="365"/>
      <c r="B345" s="365"/>
      <c r="C345" s="365"/>
      <c r="D345" s="329"/>
      <c r="E345" s="329"/>
      <c r="F345" s="329"/>
      <c r="G345" s="329"/>
      <c r="H345" s="329"/>
    </row>
    <row r="346" spans="1:8" x14ac:dyDescent="0.2">
      <c r="A346" s="365"/>
      <c r="B346" s="365"/>
      <c r="C346" s="365"/>
      <c r="D346" s="329"/>
      <c r="E346" s="329"/>
      <c r="F346" s="329"/>
      <c r="G346" s="329"/>
      <c r="H346" s="329"/>
    </row>
    <row r="347" spans="1:8" x14ac:dyDescent="0.2">
      <c r="A347" s="365"/>
      <c r="B347" s="365"/>
      <c r="C347" s="365"/>
      <c r="D347" s="329"/>
      <c r="E347" s="329"/>
      <c r="F347" s="329"/>
      <c r="G347" s="329"/>
      <c r="H347" s="329"/>
    </row>
    <row r="348" spans="1:8" x14ac:dyDescent="0.2">
      <c r="A348" s="365"/>
      <c r="B348" s="365"/>
      <c r="C348" s="365"/>
      <c r="D348" s="329"/>
      <c r="E348" s="329"/>
      <c r="F348" s="329"/>
      <c r="G348" s="329"/>
      <c r="H348" s="329"/>
    </row>
    <row r="349" spans="1:8" x14ac:dyDescent="0.2">
      <c r="A349" s="365"/>
      <c r="B349" s="365"/>
      <c r="C349" s="365"/>
      <c r="D349" s="329"/>
      <c r="E349" s="329"/>
      <c r="F349" s="329"/>
      <c r="G349" s="329"/>
      <c r="H349" s="329"/>
    </row>
    <row r="350" spans="1:8" x14ac:dyDescent="0.2">
      <c r="A350" s="365"/>
      <c r="B350" s="365"/>
      <c r="C350" s="365"/>
      <c r="D350" s="329"/>
      <c r="E350" s="329"/>
      <c r="F350" s="329"/>
      <c r="G350" s="329"/>
      <c r="H350" s="329"/>
    </row>
    <row r="351" spans="1:8" x14ac:dyDescent="0.2">
      <c r="A351" s="365"/>
      <c r="B351" s="365"/>
      <c r="C351" s="365"/>
      <c r="D351" s="329"/>
      <c r="E351" s="329"/>
      <c r="F351" s="329"/>
      <c r="G351" s="329"/>
      <c r="H351" s="329"/>
    </row>
    <row r="352" spans="1:8" x14ac:dyDescent="0.2">
      <c r="A352" s="365"/>
      <c r="B352" s="365"/>
      <c r="C352" s="365"/>
      <c r="D352" s="329"/>
      <c r="E352" s="329"/>
      <c r="F352" s="329"/>
      <c r="G352" s="329"/>
      <c r="H352" s="329"/>
    </row>
    <row r="353" spans="1:8" x14ac:dyDescent="0.2">
      <c r="A353" s="365"/>
      <c r="B353" s="365"/>
      <c r="C353" s="365"/>
      <c r="D353" s="329"/>
      <c r="E353" s="329"/>
      <c r="F353" s="329"/>
      <c r="G353" s="329"/>
      <c r="H353" s="329"/>
    </row>
    <row r="354" spans="1:8" x14ac:dyDescent="0.2">
      <c r="A354" s="365"/>
      <c r="B354" s="365"/>
      <c r="C354" s="365"/>
      <c r="D354" s="329"/>
      <c r="E354" s="329"/>
      <c r="F354" s="329"/>
      <c r="G354" s="329"/>
      <c r="H354" s="329"/>
    </row>
    <row r="355" spans="1:8" x14ac:dyDescent="0.2">
      <c r="A355" s="365"/>
      <c r="B355" s="365"/>
      <c r="C355" s="365"/>
      <c r="D355" s="329"/>
      <c r="E355" s="329"/>
      <c r="F355" s="329"/>
      <c r="G355" s="329"/>
      <c r="H355" s="329"/>
    </row>
    <row r="356" spans="1:8" x14ac:dyDescent="0.2">
      <c r="A356" s="365"/>
      <c r="B356" s="365"/>
      <c r="C356" s="365"/>
      <c r="D356" s="329"/>
      <c r="E356" s="329"/>
      <c r="F356" s="329"/>
      <c r="G356" s="329"/>
      <c r="H356" s="329"/>
    </row>
    <row r="357" spans="1:8" x14ac:dyDescent="0.2">
      <c r="A357" s="365"/>
      <c r="B357" s="365"/>
      <c r="C357" s="365"/>
      <c r="D357" s="329"/>
      <c r="E357" s="329"/>
      <c r="F357" s="329"/>
      <c r="G357" s="329"/>
      <c r="H357" s="329"/>
    </row>
    <row r="358" spans="1:8" x14ac:dyDescent="0.2">
      <c r="A358" s="365"/>
      <c r="B358" s="365"/>
      <c r="C358" s="365"/>
      <c r="D358" s="329"/>
      <c r="E358" s="329"/>
      <c r="F358" s="329"/>
      <c r="G358" s="329"/>
      <c r="H358" s="329"/>
    </row>
    <row r="359" spans="1:8" x14ac:dyDescent="0.2">
      <c r="A359" s="365"/>
      <c r="B359" s="365"/>
      <c r="C359" s="365"/>
      <c r="D359" s="329"/>
      <c r="E359" s="329"/>
      <c r="F359" s="329"/>
      <c r="G359" s="329"/>
      <c r="H359" s="329"/>
    </row>
    <row r="360" spans="1:8" x14ac:dyDescent="0.2">
      <c r="A360" s="365"/>
      <c r="B360" s="365"/>
      <c r="C360" s="365"/>
      <c r="D360" s="329"/>
      <c r="E360" s="329"/>
      <c r="F360" s="329"/>
      <c r="G360" s="329"/>
      <c r="H360" s="329"/>
    </row>
    <row r="361" spans="1:8" x14ac:dyDescent="0.2">
      <c r="A361" s="365"/>
      <c r="B361" s="365"/>
      <c r="C361" s="365"/>
      <c r="D361" s="329"/>
      <c r="E361" s="329"/>
      <c r="F361" s="329"/>
      <c r="G361" s="329"/>
      <c r="H361" s="329"/>
    </row>
    <row r="362" spans="1:8" x14ac:dyDescent="0.2">
      <c r="A362" s="365"/>
      <c r="B362" s="365"/>
      <c r="C362" s="365"/>
      <c r="D362" s="329"/>
      <c r="E362" s="329"/>
      <c r="F362" s="329"/>
      <c r="G362" s="329"/>
      <c r="H362" s="329"/>
    </row>
    <row r="363" spans="1:8" x14ac:dyDescent="0.2">
      <c r="A363" s="365"/>
      <c r="B363" s="365"/>
      <c r="C363" s="365"/>
      <c r="D363" s="329"/>
      <c r="E363" s="329"/>
      <c r="F363" s="329"/>
      <c r="G363" s="329"/>
      <c r="H363" s="329"/>
    </row>
    <row r="364" spans="1:8" x14ac:dyDescent="0.2">
      <c r="A364" s="365"/>
      <c r="B364" s="365"/>
      <c r="C364" s="365"/>
      <c r="D364" s="329"/>
      <c r="E364" s="329"/>
      <c r="F364" s="329"/>
      <c r="G364" s="329"/>
      <c r="H364" s="329"/>
    </row>
    <row r="365" spans="1:8" x14ac:dyDescent="0.2">
      <c r="A365" s="365"/>
      <c r="B365" s="365"/>
      <c r="C365" s="365"/>
      <c r="D365" s="329"/>
      <c r="E365" s="329"/>
      <c r="F365" s="329"/>
      <c r="G365" s="329"/>
      <c r="H365" s="329"/>
    </row>
    <row r="366" spans="1:8" x14ac:dyDescent="0.2">
      <c r="A366" s="365"/>
      <c r="B366" s="365"/>
      <c r="C366" s="365"/>
      <c r="D366" s="329"/>
      <c r="E366" s="329"/>
      <c r="F366" s="329"/>
      <c r="G366" s="329"/>
      <c r="H366" s="329"/>
    </row>
    <row r="367" spans="1:8" x14ac:dyDescent="0.2">
      <c r="A367" s="365"/>
      <c r="B367" s="365"/>
      <c r="C367" s="365"/>
      <c r="D367" s="329"/>
      <c r="E367" s="329"/>
      <c r="F367" s="329"/>
      <c r="G367" s="329"/>
      <c r="H367" s="329"/>
    </row>
    <row r="368" spans="1:8" x14ac:dyDescent="0.2">
      <c r="A368" s="365"/>
      <c r="B368" s="365"/>
      <c r="C368" s="365"/>
      <c r="D368" s="329"/>
      <c r="E368" s="329"/>
      <c r="F368" s="329"/>
      <c r="G368" s="329"/>
      <c r="H368" s="329"/>
    </row>
    <row r="369" spans="1:8" x14ac:dyDescent="0.2">
      <c r="A369" s="365"/>
      <c r="B369" s="365"/>
      <c r="C369" s="365"/>
      <c r="D369" s="329"/>
      <c r="E369" s="329"/>
      <c r="F369" s="329"/>
      <c r="G369" s="329"/>
      <c r="H369" s="329"/>
    </row>
    <row r="370" spans="1:8" x14ac:dyDescent="0.2">
      <c r="A370" s="365"/>
      <c r="B370" s="365"/>
      <c r="C370" s="365"/>
      <c r="D370" s="329"/>
      <c r="E370" s="329"/>
      <c r="F370" s="329"/>
      <c r="G370" s="329"/>
      <c r="H370" s="329"/>
    </row>
    <row r="371" spans="1:8" x14ac:dyDescent="0.2">
      <c r="A371" s="365"/>
      <c r="B371" s="365"/>
      <c r="C371" s="365"/>
      <c r="D371" s="329"/>
      <c r="E371" s="329"/>
      <c r="F371" s="329"/>
      <c r="G371" s="329"/>
      <c r="H371" s="329"/>
    </row>
    <row r="372" spans="1:8" x14ac:dyDescent="0.2">
      <c r="A372" s="365"/>
      <c r="B372" s="365"/>
      <c r="C372" s="365"/>
      <c r="D372" s="329"/>
      <c r="E372" s="329"/>
      <c r="F372" s="329"/>
      <c r="G372" s="329"/>
      <c r="H372" s="329"/>
    </row>
    <row r="373" spans="1:8" x14ac:dyDescent="0.2">
      <c r="A373" s="365"/>
      <c r="B373" s="365"/>
      <c r="C373" s="365"/>
      <c r="D373" s="329"/>
      <c r="E373" s="329"/>
      <c r="F373" s="329"/>
      <c r="G373" s="329"/>
      <c r="H373" s="329"/>
    </row>
    <row r="374" spans="1:8" x14ac:dyDescent="0.2">
      <c r="A374" s="365"/>
      <c r="B374" s="365"/>
      <c r="C374" s="365"/>
      <c r="D374" s="329"/>
      <c r="E374" s="329"/>
      <c r="F374" s="329"/>
      <c r="G374" s="329"/>
      <c r="H374" s="329"/>
    </row>
    <row r="375" spans="1:8" x14ac:dyDescent="0.2">
      <c r="A375" s="365"/>
      <c r="B375" s="365"/>
      <c r="C375" s="365"/>
      <c r="D375" s="329"/>
      <c r="E375" s="329"/>
      <c r="F375" s="329"/>
      <c r="G375" s="329"/>
      <c r="H375" s="329"/>
    </row>
    <row r="376" spans="1:8" x14ac:dyDescent="0.2">
      <c r="A376" s="365"/>
      <c r="B376" s="365"/>
      <c r="C376" s="365"/>
      <c r="D376" s="329"/>
      <c r="E376" s="329"/>
      <c r="F376" s="329"/>
      <c r="G376" s="329"/>
      <c r="H376" s="329"/>
    </row>
    <row r="377" spans="1:8" x14ac:dyDescent="0.2">
      <c r="A377" s="365"/>
      <c r="B377" s="365"/>
      <c r="C377" s="365"/>
      <c r="D377" s="329"/>
      <c r="E377" s="329"/>
      <c r="F377" s="329"/>
      <c r="G377" s="329"/>
      <c r="H377" s="329"/>
    </row>
    <row r="378" spans="1:8" x14ac:dyDescent="0.2">
      <c r="A378" s="365"/>
      <c r="B378" s="365"/>
      <c r="C378" s="365"/>
      <c r="D378" s="329"/>
      <c r="E378" s="329"/>
      <c r="F378" s="329"/>
      <c r="G378" s="329"/>
      <c r="H378" s="329"/>
    </row>
    <row r="379" spans="1:8" x14ac:dyDescent="0.2">
      <c r="A379" s="365"/>
      <c r="B379" s="365"/>
      <c r="C379" s="365"/>
      <c r="D379" s="329"/>
      <c r="E379" s="329"/>
      <c r="F379" s="329"/>
      <c r="G379" s="329"/>
      <c r="H379" s="329"/>
    </row>
    <row r="380" spans="1:8" x14ac:dyDescent="0.2">
      <c r="A380" s="365"/>
      <c r="B380" s="365"/>
      <c r="C380" s="365"/>
      <c r="D380" s="329"/>
      <c r="E380" s="329"/>
      <c r="F380" s="329"/>
      <c r="G380" s="329"/>
      <c r="H380" s="329"/>
    </row>
    <row r="381" spans="1:8" x14ac:dyDescent="0.2">
      <c r="A381" s="365"/>
      <c r="B381" s="365"/>
      <c r="C381" s="365"/>
      <c r="D381" s="329"/>
      <c r="E381" s="329"/>
      <c r="F381" s="329"/>
      <c r="G381" s="329"/>
      <c r="H381" s="329"/>
    </row>
    <row r="382" spans="1:8" x14ac:dyDescent="0.2">
      <c r="A382" s="365"/>
      <c r="B382" s="365"/>
      <c r="C382" s="365"/>
      <c r="D382" s="329"/>
      <c r="E382" s="329"/>
      <c r="F382" s="329"/>
      <c r="G382" s="329"/>
      <c r="H382" s="329"/>
    </row>
    <row r="383" spans="1:8" x14ac:dyDescent="0.2">
      <c r="A383" s="365"/>
      <c r="B383" s="365"/>
      <c r="C383" s="365"/>
      <c r="D383" s="329"/>
      <c r="E383" s="329"/>
      <c r="F383" s="329"/>
      <c r="G383" s="329"/>
      <c r="H383" s="329"/>
    </row>
    <row r="384" spans="1:8" x14ac:dyDescent="0.2">
      <c r="A384" s="365"/>
      <c r="B384" s="365"/>
      <c r="C384" s="365"/>
      <c r="D384" s="329"/>
      <c r="E384" s="329"/>
      <c r="F384" s="329"/>
      <c r="G384" s="329"/>
      <c r="H384" s="329"/>
    </row>
    <row r="385" spans="1:8" x14ac:dyDescent="0.2">
      <c r="A385" s="365"/>
      <c r="B385" s="365"/>
      <c r="C385" s="365"/>
      <c r="D385" s="329"/>
      <c r="E385" s="329"/>
      <c r="F385" s="329"/>
      <c r="G385" s="329"/>
      <c r="H385" s="329"/>
    </row>
    <row r="386" spans="1:8" x14ac:dyDescent="0.2">
      <c r="A386" s="365"/>
      <c r="B386" s="365"/>
      <c r="C386" s="365"/>
      <c r="D386" s="329"/>
      <c r="E386" s="329"/>
      <c r="F386" s="329"/>
      <c r="G386" s="329"/>
      <c r="H386" s="329"/>
    </row>
    <row r="387" spans="1:8" x14ac:dyDescent="0.2">
      <c r="A387" s="365"/>
      <c r="B387" s="365"/>
      <c r="C387" s="365"/>
      <c r="D387" s="329"/>
      <c r="E387" s="329"/>
      <c r="F387" s="329"/>
      <c r="G387" s="329"/>
      <c r="H387" s="329"/>
    </row>
    <row r="388" spans="1:8" x14ac:dyDescent="0.2">
      <c r="A388" s="365"/>
      <c r="B388" s="365"/>
      <c r="C388" s="365"/>
      <c r="D388" s="329"/>
      <c r="E388" s="329"/>
      <c r="F388" s="329"/>
      <c r="G388" s="329"/>
      <c r="H388" s="329"/>
    </row>
    <row r="389" spans="1:8" x14ac:dyDescent="0.2">
      <c r="A389" s="365"/>
      <c r="B389" s="365"/>
      <c r="C389" s="365"/>
      <c r="D389" s="329"/>
      <c r="E389" s="329"/>
      <c r="F389" s="329"/>
      <c r="G389" s="329"/>
      <c r="H389" s="329"/>
    </row>
    <row r="390" spans="1:8" x14ac:dyDescent="0.2">
      <c r="A390" s="365"/>
      <c r="B390" s="365"/>
      <c r="C390" s="365"/>
      <c r="D390" s="329"/>
      <c r="E390" s="329"/>
      <c r="F390" s="329"/>
      <c r="G390" s="329"/>
      <c r="H390" s="329"/>
    </row>
    <row r="391" spans="1:8" x14ac:dyDescent="0.2">
      <c r="A391" s="365"/>
      <c r="B391" s="365"/>
      <c r="C391" s="365"/>
      <c r="D391" s="329"/>
      <c r="E391" s="329"/>
      <c r="F391" s="329"/>
      <c r="G391" s="329"/>
      <c r="H391" s="329"/>
    </row>
    <row r="392" spans="1:8" x14ac:dyDescent="0.2">
      <c r="A392" s="365"/>
      <c r="B392" s="365"/>
      <c r="C392" s="365"/>
      <c r="D392" s="329"/>
      <c r="E392" s="329"/>
      <c r="F392" s="329"/>
      <c r="G392" s="329"/>
      <c r="H392" s="329"/>
    </row>
    <row r="393" spans="1:8" x14ac:dyDescent="0.2">
      <c r="A393" s="365"/>
      <c r="B393" s="365"/>
      <c r="C393" s="365"/>
      <c r="D393" s="329"/>
      <c r="E393" s="329"/>
      <c r="F393" s="329"/>
      <c r="G393" s="329"/>
      <c r="H393" s="329"/>
    </row>
    <row r="394" spans="1:8" x14ac:dyDescent="0.2">
      <c r="A394" s="365"/>
      <c r="B394" s="365"/>
      <c r="C394" s="365"/>
      <c r="D394" s="329"/>
      <c r="E394" s="329"/>
      <c r="F394" s="329"/>
      <c r="G394" s="329"/>
      <c r="H394" s="329"/>
    </row>
    <row r="395" spans="1:8" x14ac:dyDescent="0.2">
      <c r="A395" s="365"/>
      <c r="B395" s="365"/>
      <c r="C395" s="365"/>
      <c r="D395" s="329"/>
      <c r="E395" s="329"/>
      <c r="F395" s="329"/>
      <c r="G395" s="329"/>
      <c r="H395" s="329"/>
    </row>
    <row r="396" spans="1:8" x14ac:dyDescent="0.2">
      <c r="A396" s="365"/>
      <c r="B396" s="365"/>
      <c r="C396" s="365"/>
      <c r="D396" s="329"/>
      <c r="E396" s="329"/>
      <c r="F396" s="329"/>
      <c r="G396" s="329"/>
      <c r="H396" s="329"/>
    </row>
    <row r="397" spans="1:8" x14ac:dyDescent="0.2">
      <c r="A397" s="365"/>
      <c r="B397" s="365"/>
      <c r="C397" s="365"/>
      <c r="D397" s="329"/>
      <c r="E397" s="329"/>
      <c r="F397" s="329"/>
      <c r="G397" s="329"/>
      <c r="H397" s="329"/>
    </row>
    <row r="398" spans="1:8" x14ac:dyDescent="0.2">
      <c r="A398" s="365"/>
      <c r="B398" s="365"/>
      <c r="C398" s="365"/>
      <c r="D398" s="329"/>
      <c r="E398" s="329"/>
      <c r="F398" s="329"/>
      <c r="G398" s="329"/>
      <c r="H398" s="329"/>
    </row>
    <row r="399" spans="1:8" x14ac:dyDescent="0.2">
      <c r="A399" s="365"/>
      <c r="B399" s="365"/>
      <c r="C399" s="365"/>
      <c r="D399" s="329"/>
      <c r="E399" s="329"/>
      <c r="F399" s="329"/>
      <c r="G399" s="329"/>
      <c r="H399" s="329"/>
    </row>
    <row r="400" spans="1:8" x14ac:dyDescent="0.2">
      <c r="A400" s="365"/>
      <c r="B400" s="365"/>
      <c r="C400" s="365"/>
      <c r="D400" s="329"/>
      <c r="E400" s="329"/>
      <c r="F400" s="329"/>
      <c r="G400" s="329"/>
      <c r="H400" s="329"/>
    </row>
    <row r="401" spans="1:8" x14ac:dyDescent="0.2">
      <c r="A401" s="365"/>
      <c r="B401" s="365"/>
      <c r="C401" s="365"/>
      <c r="D401" s="329"/>
      <c r="E401" s="329"/>
      <c r="F401" s="329"/>
      <c r="G401" s="329"/>
      <c r="H401" s="329"/>
    </row>
    <row r="402" spans="1:8" x14ac:dyDescent="0.2">
      <c r="A402" s="365"/>
      <c r="B402" s="365"/>
      <c r="C402" s="365"/>
      <c r="D402" s="329"/>
      <c r="E402" s="329"/>
      <c r="F402" s="329"/>
      <c r="G402" s="329"/>
      <c r="H402" s="329"/>
    </row>
    <row r="403" spans="1:8" x14ac:dyDescent="0.2">
      <c r="A403" s="365"/>
      <c r="B403" s="365"/>
      <c r="C403" s="365"/>
      <c r="D403" s="329"/>
      <c r="E403" s="329"/>
      <c r="F403" s="329"/>
      <c r="G403" s="329"/>
      <c r="H403" s="329"/>
    </row>
    <row r="404" spans="1:8" x14ac:dyDescent="0.2">
      <c r="A404" s="365"/>
      <c r="B404" s="365"/>
      <c r="C404" s="365"/>
      <c r="D404" s="329"/>
      <c r="E404" s="329"/>
      <c r="F404" s="329"/>
      <c r="G404" s="329"/>
      <c r="H404" s="329"/>
    </row>
    <row r="405" spans="1:8" x14ac:dyDescent="0.2">
      <c r="A405" s="365"/>
      <c r="B405" s="365"/>
      <c r="C405" s="365"/>
      <c r="D405" s="329"/>
      <c r="E405" s="329"/>
      <c r="F405" s="329"/>
      <c r="G405" s="329"/>
      <c r="H405" s="329"/>
    </row>
    <row r="406" spans="1:8" x14ac:dyDescent="0.2">
      <c r="A406" s="365"/>
      <c r="B406" s="365"/>
      <c r="C406" s="365"/>
      <c r="D406" s="329"/>
      <c r="E406" s="329"/>
      <c r="F406" s="329"/>
      <c r="G406" s="329"/>
      <c r="H406" s="329"/>
    </row>
    <row r="407" spans="1:8" x14ac:dyDescent="0.2">
      <c r="A407" s="365"/>
      <c r="B407" s="365"/>
      <c r="C407" s="365"/>
      <c r="D407" s="329"/>
      <c r="E407" s="329"/>
      <c r="F407" s="329"/>
      <c r="G407" s="329"/>
      <c r="H407" s="329"/>
    </row>
    <row r="408" spans="1:8" x14ac:dyDescent="0.2">
      <c r="A408" s="365"/>
      <c r="B408" s="365"/>
      <c r="C408" s="365"/>
      <c r="D408" s="329"/>
      <c r="E408" s="329"/>
      <c r="F408" s="329"/>
      <c r="G408" s="329"/>
      <c r="H408" s="329"/>
    </row>
    <row r="409" spans="1:8" x14ac:dyDescent="0.2">
      <c r="A409" s="365"/>
      <c r="B409" s="365"/>
      <c r="C409" s="365"/>
      <c r="D409" s="329"/>
      <c r="E409" s="329"/>
      <c r="F409" s="329"/>
      <c r="G409" s="329"/>
      <c r="H409" s="329"/>
    </row>
    <row r="410" spans="1:8" x14ac:dyDescent="0.2">
      <c r="A410" s="365"/>
      <c r="B410" s="365"/>
      <c r="C410" s="365"/>
      <c r="D410" s="329"/>
      <c r="E410" s="329"/>
      <c r="F410" s="329"/>
      <c r="G410" s="329"/>
      <c r="H410" s="329"/>
    </row>
    <row r="411" spans="1:8" x14ac:dyDescent="0.2">
      <c r="A411" s="365"/>
      <c r="B411" s="365"/>
      <c r="C411" s="365"/>
      <c r="D411" s="329"/>
      <c r="E411" s="329"/>
      <c r="F411" s="329"/>
      <c r="G411" s="329"/>
      <c r="H411" s="329"/>
    </row>
    <row r="412" spans="1:8" x14ac:dyDescent="0.2">
      <c r="A412" s="365"/>
      <c r="B412" s="365"/>
      <c r="C412" s="365"/>
      <c r="D412" s="329"/>
      <c r="E412" s="329"/>
      <c r="F412" s="329"/>
      <c r="G412" s="329"/>
      <c r="H412" s="329"/>
    </row>
    <row r="413" spans="1:8" x14ac:dyDescent="0.2">
      <c r="A413" s="365"/>
      <c r="B413" s="365"/>
      <c r="C413" s="365"/>
      <c r="D413" s="329"/>
      <c r="E413" s="329"/>
      <c r="F413" s="329"/>
      <c r="G413" s="329"/>
      <c r="H413" s="329"/>
    </row>
    <row r="414" spans="1:8" x14ac:dyDescent="0.2">
      <c r="A414" s="365"/>
      <c r="B414" s="365"/>
      <c r="C414" s="365"/>
      <c r="D414" s="329"/>
      <c r="E414" s="329"/>
      <c r="F414" s="329"/>
      <c r="G414" s="329"/>
      <c r="H414" s="329"/>
    </row>
    <row r="415" spans="1:8" x14ac:dyDescent="0.2">
      <c r="A415" s="365"/>
      <c r="B415" s="365"/>
      <c r="C415" s="365"/>
      <c r="D415" s="329"/>
      <c r="E415" s="329"/>
      <c r="F415" s="329"/>
      <c r="G415" s="329"/>
      <c r="H415" s="329"/>
    </row>
    <row r="416" spans="1:8" x14ac:dyDescent="0.2">
      <c r="A416" s="365"/>
      <c r="B416" s="365"/>
      <c r="C416" s="365"/>
      <c r="D416" s="329"/>
      <c r="E416" s="329"/>
      <c r="F416" s="329"/>
      <c r="G416" s="329"/>
      <c r="H416" s="329"/>
    </row>
    <row r="417" spans="1:8" x14ac:dyDescent="0.2">
      <c r="A417" s="365"/>
      <c r="B417" s="365"/>
      <c r="C417" s="365"/>
      <c r="D417" s="329"/>
      <c r="E417" s="329"/>
      <c r="F417" s="329"/>
      <c r="G417" s="329"/>
      <c r="H417" s="329"/>
    </row>
    <row r="418" spans="1:8" x14ac:dyDescent="0.2">
      <c r="A418" s="365"/>
      <c r="B418" s="365"/>
      <c r="C418" s="365"/>
      <c r="D418" s="329"/>
      <c r="E418" s="329"/>
      <c r="F418" s="329"/>
      <c r="G418" s="329"/>
      <c r="H418" s="329"/>
    </row>
    <row r="419" spans="1:8" x14ac:dyDescent="0.2">
      <c r="A419" s="365"/>
      <c r="B419" s="365"/>
      <c r="C419" s="365"/>
      <c r="D419" s="329"/>
      <c r="E419" s="329"/>
      <c r="F419" s="329"/>
      <c r="G419" s="329"/>
      <c r="H419" s="329"/>
    </row>
    <row r="420" spans="1:8" x14ac:dyDescent="0.2">
      <c r="A420" s="365"/>
      <c r="B420" s="365"/>
      <c r="C420" s="365"/>
      <c r="D420" s="329"/>
      <c r="E420" s="329"/>
      <c r="F420" s="329"/>
      <c r="G420" s="329"/>
      <c r="H420" s="329"/>
    </row>
    <row r="421" spans="1:8" x14ac:dyDescent="0.2">
      <c r="A421" s="365"/>
      <c r="B421" s="365"/>
      <c r="C421" s="365"/>
      <c r="D421" s="329"/>
      <c r="E421" s="329"/>
      <c r="F421" s="329"/>
      <c r="G421" s="329"/>
      <c r="H421" s="329"/>
    </row>
    <row r="422" spans="1:8" x14ac:dyDescent="0.2">
      <c r="A422" s="365"/>
      <c r="B422" s="365"/>
      <c r="C422" s="365"/>
      <c r="D422" s="329"/>
      <c r="E422" s="329"/>
      <c r="F422" s="329"/>
      <c r="G422" s="329"/>
      <c r="H422" s="329"/>
    </row>
    <row r="423" spans="1:8" x14ac:dyDescent="0.2">
      <c r="A423" s="365"/>
      <c r="B423" s="365"/>
      <c r="C423" s="365"/>
      <c r="D423" s="329"/>
      <c r="E423" s="329"/>
      <c r="F423" s="329"/>
      <c r="G423" s="329"/>
      <c r="H423" s="329"/>
    </row>
    <row r="424" spans="1:8" x14ac:dyDescent="0.2">
      <c r="A424" s="365"/>
      <c r="B424" s="365"/>
      <c r="C424" s="365"/>
      <c r="D424" s="329"/>
      <c r="E424" s="329"/>
      <c r="F424" s="329"/>
      <c r="G424" s="329"/>
      <c r="H424" s="329"/>
    </row>
    <row r="425" spans="1:8" x14ac:dyDescent="0.2">
      <c r="A425" s="365"/>
      <c r="B425" s="365"/>
      <c r="C425" s="365"/>
      <c r="D425" s="329"/>
      <c r="E425" s="329"/>
      <c r="F425" s="329"/>
      <c r="G425" s="329"/>
      <c r="H425" s="329"/>
    </row>
    <row r="426" spans="1:8" x14ac:dyDescent="0.2">
      <c r="A426" s="365"/>
      <c r="B426" s="365"/>
      <c r="C426" s="365"/>
      <c r="D426" s="329"/>
      <c r="E426" s="329"/>
      <c r="F426" s="329"/>
      <c r="G426" s="329"/>
      <c r="H426" s="329"/>
    </row>
    <row r="427" spans="1:8" x14ac:dyDescent="0.2">
      <c r="A427" s="365"/>
      <c r="B427" s="365"/>
      <c r="C427" s="365"/>
      <c r="D427" s="329"/>
      <c r="E427" s="329"/>
      <c r="F427" s="329"/>
      <c r="G427" s="329"/>
      <c r="H427" s="329"/>
    </row>
    <row r="428" spans="1:8" x14ac:dyDescent="0.2">
      <c r="A428" s="365"/>
      <c r="B428" s="365"/>
      <c r="C428" s="365"/>
      <c r="D428" s="329"/>
      <c r="E428" s="329"/>
      <c r="F428" s="329"/>
      <c r="G428" s="329"/>
      <c r="H428" s="329"/>
    </row>
    <row r="429" spans="1:8" x14ac:dyDescent="0.2">
      <c r="A429" s="365"/>
      <c r="B429" s="365"/>
      <c r="C429" s="365"/>
      <c r="D429" s="329"/>
      <c r="E429" s="329"/>
      <c r="F429" s="329"/>
      <c r="G429" s="329"/>
      <c r="H429" s="329"/>
    </row>
    <row r="430" spans="1:8" x14ac:dyDescent="0.2">
      <c r="A430" s="365"/>
      <c r="B430" s="365"/>
      <c r="C430" s="365"/>
      <c r="D430" s="329"/>
      <c r="E430" s="329"/>
      <c r="F430" s="329"/>
      <c r="G430" s="329"/>
      <c r="H430" s="329"/>
    </row>
    <row r="431" spans="1:8" x14ac:dyDescent="0.2">
      <c r="A431" s="365"/>
      <c r="B431" s="365"/>
      <c r="C431" s="365"/>
      <c r="D431" s="329"/>
      <c r="E431" s="329"/>
      <c r="F431" s="329"/>
      <c r="G431" s="329"/>
      <c r="H431" s="329"/>
    </row>
    <row r="432" spans="1:8" x14ac:dyDescent="0.2">
      <c r="A432" s="365"/>
      <c r="B432" s="365"/>
      <c r="C432" s="365"/>
      <c r="D432" s="329"/>
      <c r="E432" s="329"/>
      <c r="F432" s="329"/>
      <c r="G432" s="329"/>
      <c r="H432" s="329"/>
    </row>
    <row r="433" spans="1:8" x14ac:dyDescent="0.2">
      <c r="A433" s="365"/>
      <c r="B433" s="365"/>
      <c r="C433" s="365"/>
      <c r="D433" s="329"/>
      <c r="E433" s="329"/>
      <c r="F433" s="329"/>
      <c r="G433" s="329"/>
      <c r="H433" s="329"/>
    </row>
    <row r="434" spans="1:8" x14ac:dyDescent="0.2">
      <c r="A434" s="365"/>
      <c r="B434" s="365"/>
      <c r="C434" s="365"/>
      <c r="D434" s="329"/>
      <c r="E434" s="329"/>
      <c r="F434" s="329"/>
      <c r="G434" s="329"/>
      <c r="H434" s="329"/>
    </row>
    <row r="435" spans="1:8" x14ac:dyDescent="0.2">
      <c r="A435" s="365"/>
      <c r="B435" s="365"/>
      <c r="C435" s="365"/>
      <c r="D435" s="329"/>
      <c r="E435" s="329"/>
      <c r="F435" s="329"/>
      <c r="G435" s="329"/>
      <c r="H435" s="329"/>
    </row>
    <row r="436" spans="1:8" x14ac:dyDescent="0.2">
      <c r="A436" s="365"/>
      <c r="B436" s="365"/>
      <c r="C436" s="365"/>
      <c r="D436" s="329"/>
      <c r="E436" s="329"/>
      <c r="F436" s="329"/>
      <c r="G436" s="329"/>
      <c r="H436" s="329"/>
    </row>
    <row r="437" spans="1:8" x14ac:dyDescent="0.2">
      <c r="A437" s="365"/>
      <c r="B437" s="365"/>
      <c r="C437" s="365"/>
      <c r="D437" s="329"/>
      <c r="E437" s="329"/>
      <c r="F437" s="329"/>
      <c r="G437" s="329"/>
      <c r="H437" s="329"/>
    </row>
    <row r="438" spans="1:8" x14ac:dyDescent="0.2">
      <c r="A438" s="365"/>
      <c r="B438" s="365"/>
      <c r="C438" s="365"/>
      <c r="D438" s="329"/>
      <c r="E438" s="329"/>
      <c r="F438" s="329"/>
      <c r="G438" s="329"/>
      <c r="H438" s="329"/>
    </row>
    <row r="439" spans="1:8" x14ac:dyDescent="0.2">
      <c r="A439" s="365"/>
      <c r="B439" s="365"/>
      <c r="C439" s="365"/>
      <c r="D439" s="329"/>
      <c r="E439" s="329"/>
      <c r="F439" s="329"/>
      <c r="G439" s="329"/>
      <c r="H439" s="329"/>
    </row>
    <row r="440" spans="1:8" x14ac:dyDescent="0.2">
      <c r="A440" s="365"/>
      <c r="B440" s="365"/>
      <c r="C440" s="365"/>
      <c r="D440" s="329"/>
      <c r="E440" s="329"/>
      <c r="F440" s="329"/>
      <c r="G440" s="329"/>
      <c r="H440" s="329"/>
    </row>
    <row r="441" spans="1:8" x14ac:dyDescent="0.2">
      <c r="A441" s="365"/>
      <c r="B441" s="365"/>
      <c r="C441" s="365"/>
      <c r="D441" s="329"/>
      <c r="E441" s="329"/>
      <c r="F441" s="329"/>
      <c r="G441" s="329"/>
      <c r="H441" s="329"/>
    </row>
    <row r="442" spans="1:8" x14ac:dyDescent="0.2">
      <c r="A442" s="365"/>
      <c r="B442" s="365"/>
      <c r="C442" s="365"/>
      <c r="D442" s="329"/>
      <c r="E442" s="329"/>
      <c r="F442" s="329"/>
      <c r="G442" s="329"/>
      <c r="H442" s="329"/>
    </row>
    <row r="443" spans="1:8" x14ac:dyDescent="0.2">
      <c r="A443" s="365"/>
      <c r="B443" s="365"/>
      <c r="C443" s="365"/>
      <c r="D443" s="329"/>
      <c r="E443" s="329"/>
      <c r="F443" s="329"/>
      <c r="G443" s="329"/>
      <c r="H443" s="329"/>
    </row>
    <row r="444" spans="1:8" x14ac:dyDescent="0.2">
      <c r="A444" s="365"/>
      <c r="B444" s="365"/>
      <c r="C444" s="365"/>
      <c r="D444" s="329"/>
      <c r="E444" s="329"/>
      <c r="F444" s="329"/>
      <c r="G444" s="329"/>
      <c r="H444" s="329"/>
    </row>
    <row r="445" spans="1:8" x14ac:dyDescent="0.2">
      <c r="A445" s="365"/>
      <c r="B445" s="365"/>
      <c r="C445" s="365"/>
      <c r="D445" s="329"/>
      <c r="E445" s="329"/>
      <c r="F445" s="329"/>
      <c r="G445" s="329"/>
      <c r="H445" s="329"/>
    </row>
    <row r="446" spans="1:8" x14ac:dyDescent="0.2">
      <c r="A446" s="365"/>
      <c r="B446" s="365"/>
      <c r="C446" s="365"/>
      <c r="D446" s="329"/>
      <c r="E446" s="329"/>
      <c r="F446" s="329"/>
      <c r="G446" s="329"/>
      <c r="H446" s="329"/>
    </row>
    <row r="447" spans="1:8" x14ac:dyDescent="0.2">
      <c r="A447" s="365"/>
      <c r="B447" s="365"/>
      <c r="C447" s="365"/>
      <c r="D447" s="329"/>
      <c r="E447" s="329"/>
      <c r="F447" s="329"/>
      <c r="G447" s="329"/>
      <c r="H447" s="329"/>
    </row>
    <row r="448" spans="1:8" x14ac:dyDescent="0.2">
      <c r="A448" s="365"/>
      <c r="B448" s="365"/>
      <c r="C448" s="365"/>
      <c r="D448" s="329"/>
      <c r="E448" s="329"/>
      <c r="F448" s="329"/>
      <c r="G448" s="329"/>
      <c r="H448" s="329"/>
    </row>
    <row r="449" spans="1:8" x14ac:dyDescent="0.2">
      <c r="A449" s="365"/>
      <c r="B449" s="365"/>
      <c r="C449" s="365"/>
      <c r="D449" s="329"/>
      <c r="E449" s="329"/>
      <c r="F449" s="329"/>
      <c r="G449" s="329"/>
      <c r="H449" s="329"/>
    </row>
    <row r="450" spans="1:8" x14ac:dyDescent="0.2">
      <c r="A450" s="365"/>
      <c r="B450" s="365"/>
      <c r="C450" s="365"/>
      <c r="D450" s="329"/>
      <c r="E450" s="329"/>
      <c r="F450" s="329"/>
      <c r="G450" s="329"/>
      <c r="H450" s="329"/>
    </row>
    <row r="451" spans="1:8" x14ac:dyDescent="0.2">
      <c r="A451" s="365"/>
      <c r="B451" s="365"/>
      <c r="C451" s="365"/>
      <c r="D451" s="329"/>
      <c r="E451" s="329"/>
      <c r="F451" s="329"/>
      <c r="G451" s="329"/>
      <c r="H451" s="329"/>
    </row>
    <row r="452" spans="1:8" x14ac:dyDescent="0.2">
      <c r="A452" s="365"/>
      <c r="B452" s="365"/>
      <c r="C452" s="365"/>
      <c r="D452" s="329"/>
      <c r="E452" s="329"/>
      <c r="F452" s="329"/>
      <c r="G452" s="329"/>
      <c r="H452" s="329"/>
    </row>
    <row r="453" spans="1:8" x14ac:dyDescent="0.2">
      <c r="A453" s="365"/>
      <c r="B453" s="365"/>
      <c r="C453" s="365"/>
      <c r="D453" s="329"/>
      <c r="E453" s="329"/>
      <c r="F453" s="329"/>
      <c r="G453" s="329"/>
      <c r="H453" s="329"/>
    </row>
    <row r="454" spans="1:8" x14ac:dyDescent="0.2">
      <c r="A454" s="365"/>
      <c r="B454" s="365"/>
      <c r="C454" s="365"/>
      <c r="D454" s="329"/>
      <c r="E454" s="329"/>
      <c r="F454" s="329"/>
      <c r="G454" s="329"/>
      <c r="H454" s="329"/>
    </row>
    <row r="455" spans="1:8" x14ac:dyDescent="0.2">
      <c r="A455" s="365"/>
      <c r="B455" s="365"/>
      <c r="C455" s="365"/>
      <c r="D455" s="329"/>
      <c r="E455" s="329"/>
      <c r="F455" s="329"/>
      <c r="G455" s="329"/>
      <c r="H455" s="329"/>
    </row>
    <row r="456" spans="1:8" x14ac:dyDescent="0.2">
      <c r="A456" s="365"/>
      <c r="B456" s="365"/>
      <c r="C456" s="365"/>
      <c r="D456" s="329"/>
      <c r="E456" s="329"/>
      <c r="F456" s="329"/>
      <c r="G456" s="329"/>
      <c r="H456" s="329"/>
    </row>
    <row r="457" spans="1:8" x14ac:dyDescent="0.2">
      <c r="A457" s="365"/>
      <c r="B457" s="365"/>
      <c r="C457" s="365"/>
      <c r="D457" s="329"/>
      <c r="E457" s="329"/>
      <c r="F457" s="329"/>
      <c r="G457" s="329"/>
      <c r="H457" s="329"/>
    </row>
    <row r="458" spans="1:8" x14ac:dyDescent="0.2">
      <c r="A458" s="365"/>
      <c r="B458" s="365"/>
      <c r="C458" s="365"/>
      <c r="D458" s="329"/>
      <c r="E458" s="329"/>
      <c r="F458" s="329"/>
      <c r="G458" s="329"/>
      <c r="H458" s="329"/>
    </row>
    <row r="459" spans="1:8" x14ac:dyDescent="0.2">
      <c r="A459" s="365"/>
      <c r="B459" s="365"/>
      <c r="C459" s="365"/>
      <c r="D459" s="329"/>
      <c r="E459" s="329"/>
      <c r="F459" s="329"/>
      <c r="G459" s="329"/>
      <c r="H459" s="329"/>
    </row>
    <row r="460" spans="1:8" x14ac:dyDescent="0.2">
      <c r="A460" s="365"/>
      <c r="B460" s="365"/>
      <c r="C460" s="365"/>
      <c r="D460" s="329"/>
      <c r="E460" s="329"/>
      <c r="F460" s="329"/>
      <c r="G460" s="329"/>
      <c r="H460" s="329"/>
    </row>
    <row r="461" spans="1:8" x14ac:dyDescent="0.2">
      <c r="A461" s="365"/>
      <c r="B461" s="365"/>
      <c r="C461" s="365"/>
      <c r="D461" s="329"/>
      <c r="E461" s="329"/>
      <c r="F461" s="329"/>
      <c r="G461" s="329"/>
      <c r="H461" s="329"/>
    </row>
    <row r="462" spans="1:8" x14ac:dyDescent="0.2">
      <c r="A462" s="365"/>
      <c r="B462" s="365"/>
      <c r="C462" s="365"/>
      <c r="D462" s="329"/>
      <c r="E462" s="329"/>
      <c r="F462" s="329"/>
      <c r="G462" s="329"/>
      <c r="H462" s="329"/>
    </row>
    <row r="463" spans="1:8" x14ac:dyDescent="0.2">
      <c r="A463" s="365"/>
      <c r="B463" s="365"/>
      <c r="C463" s="365"/>
      <c r="D463" s="329"/>
      <c r="E463" s="329"/>
      <c r="F463" s="329"/>
      <c r="G463" s="329"/>
      <c r="H463" s="329"/>
    </row>
    <row r="464" spans="1:8" x14ac:dyDescent="0.2">
      <c r="A464" s="365"/>
      <c r="B464" s="365"/>
      <c r="C464" s="365"/>
      <c r="D464" s="329"/>
      <c r="E464" s="329"/>
      <c r="F464" s="329"/>
      <c r="G464" s="329"/>
      <c r="H464" s="329"/>
    </row>
    <row r="465" spans="1:8" x14ac:dyDescent="0.2">
      <c r="A465" s="365"/>
      <c r="B465" s="365"/>
      <c r="C465" s="365"/>
      <c r="D465" s="329"/>
      <c r="E465" s="329"/>
      <c r="F465" s="329"/>
      <c r="G465" s="329"/>
      <c r="H465" s="329"/>
    </row>
    <row r="466" spans="1:8" x14ac:dyDescent="0.2">
      <c r="A466" s="365"/>
      <c r="B466" s="365"/>
      <c r="C466" s="365"/>
      <c r="D466" s="329"/>
      <c r="E466" s="329"/>
      <c r="F466" s="329"/>
      <c r="G466" s="329"/>
      <c r="H466" s="329"/>
    </row>
    <row r="467" spans="1:8" x14ac:dyDescent="0.2">
      <c r="A467" s="365"/>
      <c r="B467" s="365"/>
      <c r="C467" s="365"/>
      <c r="D467" s="329"/>
      <c r="E467" s="329"/>
      <c r="F467" s="329"/>
      <c r="G467" s="329"/>
      <c r="H467" s="329"/>
    </row>
    <row r="468" spans="1:8" x14ac:dyDescent="0.2">
      <c r="A468" s="365"/>
      <c r="B468" s="365"/>
      <c r="C468" s="365"/>
      <c r="D468" s="329"/>
      <c r="E468" s="329"/>
      <c r="F468" s="329"/>
      <c r="G468" s="329"/>
      <c r="H468" s="329"/>
    </row>
    <row r="469" spans="1:8" x14ac:dyDescent="0.2">
      <c r="A469" s="365"/>
      <c r="B469" s="365"/>
      <c r="C469" s="365"/>
      <c r="D469" s="329"/>
      <c r="E469" s="329"/>
      <c r="F469" s="329"/>
      <c r="G469" s="329"/>
      <c r="H469" s="329"/>
    </row>
    <row r="470" spans="1:8" x14ac:dyDescent="0.2">
      <c r="A470" s="365"/>
      <c r="B470" s="365"/>
      <c r="C470" s="365"/>
      <c r="D470" s="329"/>
      <c r="E470" s="329"/>
      <c r="F470" s="329"/>
      <c r="G470" s="329"/>
      <c r="H470" s="329"/>
    </row>
    <row r="471" spans="1:8" x14ac:dyDescent="0.2">
      <c r="A471" s="365"/>
      <c r="B471" s="365"/>
      <c r="C471" s="365"/>
      <c r="D471" s="329"/>
      <c r="E471" s="329"/>
      <c r="F471" s="329"/>
      <c r="G471" s="329"/>
      <c r="H471" s="329"/>
    </row>
    <row r="472" spans="1:8" x14ac:dyDescent="0.2">
      <c r="A472" s="365"/>
      <c r="B472" s="365"/>
      <c r="C472" s="365"/>
      <c r="D472" s="329"/>
      <c r="E472" s="329"/>
      <c r="F472" s="329"/>
      <c r="G472" s="329"/>
      <c r="H472" s="329"/>
    </row>
    <row r="473" spans="1:8" x14ac:dyDescent="0.2">
      <c r="A473" s="365"/>
      <c r="B473" s="365"/>
      <c r="C473" s="365"/>
      <c r="D473" s="329"/>
      <c r="E473" s="329"/>
      <c r="F473" s="329"/>
      <c r="G473" s="329"/>
      <c r="H473" s="329"/>
    </row>
    <row r="474" spans="1:8" x14ac:dyDescent="0.2">
      <c r="A474" s="365"/>
      <c r="B474" s="365"/>
      <c r="C474" s="365"/>
      <c r="D474" s="329"/>
      <c r="E474" s="329"/>
      <c r="F474" s="329"/>
      <c r="G474" s="329"/>
      <c r="H474" s="329"/>
    </row>
    <row r="475" spans="1:8" x14ac:dyDescent="0.2">
      <c r="A475" s="365"/>
      <c r="B475" s="365"/>
      <c r="C475" s="365"/>
      <c r="D475" s="329"/>
      <c r="E475" s="329"/>
      <c r="F475" s="329"/>
      <c r="G475" s="329"/>
      <c r="H475" s="329"/>
    </row>
    <row r="476" spans="1:8" x14ac:dyDescent="0.2">
      <c r="A476" s="365"/>
      <c r="B476" s="365"/>
      <c r="C476" s="365"/>
      <c r="D476" s="329"/>
      <c r="E476" s="329"/>
      <c r="F476" s="329"/>
      <c r="G476" s="329"/>
      <c r="H476" s="329"/>
    </row>
    <row r="477" spans="1:8" x14ac:dyDescent="0.2">
      <c r="A477" s="365"/>
      <c r="B477" s="365"/>
      <c r="C477" s="365"/>
      <c r="D477" s="329"/>
      <c r="E477" s="329"/>
      <c r="F477" s="329"/>
      <c r="G477" s="329"/>
      <c r="H477" s="329"/>
    </row>
    <row r="478" spans="1:8" x14ac:dyDescent="0.2">
      <c r="A478" s="365"/>
      <c r="B478" s="365"/>
      <c r="C478" s="365"/>
      <c r="D478" s="329"/>
      <c r="E478" s="329"/>
      <c r="F478" s="329"/>
      <c r="G478" s="329"/>
      <c r="H478" s="329"/>
    </row>
    <row r="479" spans="1:8" x14ac:dyDescent="0.2">
      <c r="A479" s="365"/>
      <c r="B479" s="365"/>
      <c r="C479" s="365"/>
      <c r="D479" s="329"/>
      <c r="E479" s="329"/>
      <c r="F479" s="329"/>
      <c r="G479" s="329"/>
      <c r="H479" s="329"/>
    </row>
    <row r="480" spans="1:8" x14ac:dyDescent="0.2">
      <c r="A480" s="365"/>
      <c r="B480" s="365"/>
      <c r="C480" s="365"/>
      <c r="D480" s="329"/>
      <c r="E480" s="329"/>
      <c r="F480" s="329"/>
      <c r="G480" s="329"/>
      <c r="H480" s="329"/>
    </row>
    <row r="481" spans="1:8" x14ac:dyDescent="0.2">
      <c r="A481" s="365"/>
      <c r="B481" s="365"/>
      <c r="C481" s="365"/>
      <c r="D481" s="329"/>
      <c r="E481" s="329"/>
      <c r="F481" s="329"/>
      <c r="G481" s="329"/>
      <c r="H481" s="329"/>
    </row>
    <row r="482" spans="1:8" x14ac:dyDescent="0.2">
      <c r="A482" s="365"/>
      <c r="B482" s="365"/>
      <c r="C482" s="365"/>
      <c r="D482" s="329"/>
      <c r="E482" s="329"/>
      <c r="F482" s="329"/>
      <c r="G482" s="329"/>
      <c r="H482" s="329"/>
    </row>
    <row r="483" spans="1:8" x14ac:dyDescent="0.2">
      <c r="A483" s="365"/>
      <c r="B483" s="365"/>
      <c r="C483" s="365"/>
      <c r="D483" s="329"/>
      <c r="E483" s="329"/>
      <c r="F483" s="329"/>
      <c r="G483" s="329"/>
      <c r="H483" s="329"/>
    </row>
    <row r="484" spans="1:8" x14ac:dyDescent="0.2">
      <c r="A484" s="365"/>
      <c r="B484" s="365"/>
      <c r="C484" s="365"/>
      <c r="D484" s="329"/>
      <c r="E484" s="329"/>
      <c r="F484" s="329"/>
      <c r="G484" s="329"/>
      <c r="H484" s="329"/>
    </row>
    <row r="485" spans="1:8" x14ac:dyDescent="0.2">
      <c r="A485" s="365"/>
      <c r="B485" s="365"/>
      <c r="C485" s="365"/>
      <c r="D485" s="329"/>
      <c r="E485" s="329"/>
      <c r="F485" s="329"/>
      <c r="G485" s="329"/>
      <c r="H485" s="329"/>
    </row>
    <row r="486" spans="1:8" x14ac:dyDescent="0.2">
      <c r="A486" s="365"/>
      <c r="B486" s="365"/>
      <c r="C486" s="365"/>
      <c r="D486" s="329"/>
      <c r="E486" s="329"/>
      <c r="F486" s="329"/>
      <c r="G486" s="329"/>
      <c r="H486" s="329"/>
    </row>
    <row r="487" spans="1:8" x14ac:dyDescent="0.2">
      <c r="A487" s="365"/>
      <c r="B487" s="365"/>
      <c r="C487" s="365"/>
      <c r="D487" s="329"/>
      <c r="E487" s="329"/>
      <c r="F487" s="329"/>
      <c r="G487" s="329"/>
      <c r="H487" s="329"/>
    </row>
    <row r="488" spans="1:8" x14ac:dyDescent="0.2">
      <c r="A488" s="365"/>
      <c r="B488" s="365"/>
      <c r="C488" s="365"/>
      <c r="D488" s="329"/>
      <c r="E488" s="329"/>
      <c r="F488" s="329"/>
      <c r="G488" s="329"/>
      <c r="H488" s="329"/>
    </row>
    <row r="489" spans="1:8" x14ac:dyDescent="0.2">
      <c r="A489" s="365"/>
      <c r="B489" s="365"/>
      <c r="C489" s="365"/>
      <c r="D489" s="329"/>
      <c r="E489" s="329"/>
      <c r="F489" s="329"/>
      <c r="G489" s="329"/>
      <c r="H489" s="329"/>
    </row>
    <row r="490" spans="1:8" x14ac:dyDescent="0.2">
      <c r="A490" s="365"/>
      <c r="B490" s="365"/>
      <c r="C490" s="365"/>
      <c r="D490" s="329"/>
      <c r="E490" s="329"/>
      <c r="F490" s="329"/>
      <c r="G490" s="329"/>
      <c r="H490" s="329"/>
    </row>
    <row r="491" spans="1:8" x14ac:dyDescent="0.2">
      <c r="A491" s="365"/>
      <c r="B491" s="365"/>
      <c r="C491" s="365"/>
      <c r="D491" s="329"/>
      <c r="E491" s="329"/>
      <c r="F491" s="329"/>
      <c r="G491" s="329"/>
      <c r="H491" s="329"/>
    </row>
    <row r="492" spans="1:8" x14ac:dyDescent="0.2">
      <c r="A492" s="365"/>
      <c r="B492" s="365"/>
      <c r="C492" s="365"/>
      <c r="D492" s="329"/>
      <c r="E492" s="329"/>
      <c r="F492" s="329"/>
      <c r="G492" s="329"/>
      <c r="H492" s="329"/>
    </row>
    <row r="493" spans="1:8" x14ac:dyDescent="0.2">
      <c r="A493" s="365"/>
      <c r="B493" s="365"/>
      <c r="C493" s="365"/>
      <c r="D493" s="329"/>
      <c r="E493" s="329"/>
      <c r="F493" s="329"/>
      <c r="G493" s="329"/>
      <c r="H493" s="329"/>
    </row>
    <row r="494" spans="1:8" x14ac:dyDescent="0.2">
      <c r="A494" s="365"/>
      <c r="B494" s="365"/>
      <c r="C494" s="365"/>
      <c r="D494" s="329"/>
      <c r="E494" s="329"/>
      <c r="F494" s="329"/>
      <c r="G494" s="329"/>
      <c r="H494" s="329"/>
    </row>
    <row r="495" spans="1:8" x14ac:dyDescent="0.2">
      <c r="A495" s="365"/>
      <c r="B495" s="365"/>
      <c r="C495" s="365"/>
      <c r="D495" s="329"/>
      <c r="E495" s="329"/>
      <c r="F495" s="329"/>
      <c r="G495" s="329"/>
      <c r="H495" s="329"/>
    </row>
    <row r="496" spans="1:8" x14ac:dyDescent="0.2">
      <c r="A496" s="365"/>
      <c r="B496" s="365"/>
      <c r="C496" s="365"/>
      <c r="D496" s="329"/>
      <c r="E496" s="329"/>
      <c r="F496" s="329"/>
      <c r="G496" s="329"/>
      <c r="H496" s="329"/>
    </row>
    <row r="497" spans="1:8" x14ac:dyDescent="0.2">
      <c r="A497" s="365"/>
      <c r="B497" s="365"/>
      <c r="C497" s="365"/>
      <c r="D497" s="329"/>
      <c r="E497" s="329"/>
      <c r="F497" s="329"/>
      <c r="G497" s="329"/>
      <c r="H497" s="329"/>
    </row>
    <row r="498" spans="1:8" x14ac:dyDescent="0.2">
      <c r="A498" s="365"/>
      <c r="B498" s="365"/>
      <c r="C498" s="365"/>
      <c r="D498" s="329"/>
      <c r="E498" s="329"/>
      <c r="F498" s="329"/>
      <c r="G498" s="329"/>
      <c r="H498" s="329"/>
    </row>
    <row r="499" spans="1:8" x14ac:dyDescent="0.2">
      <c r="A499" s="365"/>
      <c r="B499" s="365"/>
      <c r="C499" s="365"/>
      <c r="D499" s="329"/>
      <c r="E499" s="329"/>
      <c r="F499" s="329"/>
      <c r="G499" s="329"/>
      <c r="H499" s="329"/>
    </row>
    <row r="500" spans="1:8" x14ac:dyDescent="0.2">
      <c r="A500" s="365"/>
      <c r="B500" s="365"/>
      <c r="C500" s="365"/>
      <c r="D500" s="329"/>
      <c r="E500" s="329"/>
      <c r="F500" s="329"/>
      <c r="G500" s="329"/>
      <c r="H500" s="329"/>
    </row>
    <row r="501" spans="1:8" x14ac:dyDescent="0.2">
      <c r="A501" s="365"/>
      <c r="B501" s="365"/>
      <c r="C501" s="365"/>
      <c r="D501" s="329"/>
      <c r="E501" s="329"/>
      <c r="F501" s="329"/>
      <c r="G501" s="329"/>
      <c r="H501" s="329"/>
    </row>
    <row r="502" spans="1:8" x14ac:dyDescent="0.2">
      <c r="A502" s="365"/>
      <c r="B502" s="365"/>
      <c r="C502" s="365"/>
      <c r="D502" s="329"/>
      <c r="E502" s="329"/>
      <c r="F502" s="329"/>
      <c r="G502" s="329"/>
      <c r="H502" s="329"/>
    </row>
    <row r="503" spans="1:8" x14ac:dyDescent="0.2">
      <c r="A503" s="365"/>
      <c r="B503" s="365"/>
      <c r="C503" s="365"/>
      <c r="D503" s="329"/>
      <c r="E503" s="329"/>
      <c r="F503" s="329"/>
      <c r="G503" s="329"/>
      <c r="H503" s="329"/>
    </row>
    <row r="504" spans="1:8" x14ac:dyDescent="0.2">
      <c r="A504" s="365"/>
      <c r="B504" s="365"/>
      <c r="C504" s="365"/>
      <c r="D504" s="329"/>
      <c r="E504" s="329"/>
      <c r="F504" s="329"/>
      <c r="G504" s="329"/>
      <c r="H504" s="329"/>
    </row>
    <row r="505" spans="1:8" x14ac:dyDescent="0.2">
      <c r="A505" s="365"/>
      <c r="B505" s="365"/>
      <c r="C505" s="365"/>
      <c r="D505" s="329"/>
      <c r="E505" s="329"/>
      <c r="F505" s="329"/>
      <c r="G505" s="329"/>
      <c r="H505" s="329"/>
    </row>
    <row r="506" spans="1:8" x14ac:dyDescent="0.2">
      <c r="A506" s="365"/>
      <c r="B506" s="365"/>
      <c r="C506" s="365"/>
      <c r="D506" s="329"/>
      <c r="E506" s="329"/>
      <c r="F506" s="329"/>
      <c r="G506" s="329"/>
      <c r="H506" s="329"/>
    </row>
    <row r="507" spans="1:8" x14ac:dyDescent="0.2">
      <c r="A507" s="365"/>
      <c r="B507" s="365"/>
      <c r="C507" s="365"/>
      <c r="D507" s="329"/>
      <c r="E507" s="329"/>
      <c r="F507" s="329"/>
      <c r="G507" s="329"/>
      <c r="H507" s="329"/>
    </row>
    <row r="508" spans="1:8" x14ac:dyDescent="0.2">
      <c r="A508" s="365"/>
      <c r="B508" s="365"/>
      <c r="C508" s="365"/>
      <c r="D508" s="329"/>
      <c r="E508" s="329"/>
      <c r="F508" s="329"/>
      <c r="G508" s="329"/>
      <c r="H508" s="329"/>
    </row>
    <row r="509" spans="1:8" x14ac:dyDescent="0.2">
      <c r="A509" s="365"/>
      <c r="B509" s="365"/>
      <c r="C509" s="365"/>
      <c r="D509" s="329"/>
      <c r="E509" s="329"/>
      <c r="F509" s="329"/>
      <c r="G509" s="329"/>
      <c r="H509" s="329"/>
    </row>
    <row r="510" spans="1:8" x14ac:dyDescent="0.2">
      <c r="A510" s="365"/>
      <c r="B510" s="365"/>
      <c r="C510" s="365"/>
      <c r="D510" s="329"/>
      <c r="E510" s="329"/>
      <c r="F510" s="329"/>
      <c r="G510" s="329"/>
      <c r="H510" s="329"/>
    </row>
    <row r="511" spans="1:8" x14ac:dyDescent="0.2">
      <c r="A511" s="365"/>
      <c r="B511" s="365"/>
      <c r="C511" s="365"/>
      <c r="D511" s="329"/>
      <c r="E511" s="329"/>
      <c r="F511" s="329"/>
      <c r="G511" s="329"/>
      <c r="H511" s="329"/>
    </row>
    <row r="512" spans="1:8" x14ac:dyDescent="0.2">
      <c r="A512" s="365"/>
      <c r="B512" s="365"/>
      <c r="C512" s="365"/>
      <c r="D512" s="329"/>
      <c r="E512" s="329"/>
      <c r="F512" s="329"/>
      <c r="G512" s="329"/>
      <c r="H512" s="329"/>
    </row>
    <row r="513" spans="1:8" x14ac:dyDescent="0.2">
      <c r="A513" s="365"/>
      <c r="B513" s="365"/>
      <c r="C513" s="365"/>
      <c r="D513" s="329"/>
      <c r="E513" s="329"/>
      <c r="F513" s="329"/>
      <c r="G513" s="329"/>
      <c r="H513" s="329"/>
    </row>
    <row r="514" spans="1:8" x14ac:dyDescent="0.2">
      <c r="A514" s="365"/>
      <c r="B514" s="365"/>
      <c r="C514" s="365"/>
      <c r="D514" s="329"/>
      <c r="E514" s="329"/>
      <c r="F514" s="329"/>
      <c r="G514" s="329"/>
      <c r="H514" s="329"/>
    </row>
    <row r="515" spans="1:8" x14ac:dyDescent="0.2">
      <c r="A515" s="365"/>
      <c r="B515" s="365"/>
      <c r="C515" s="365"/>
      <c r="D515" s="329"/>
      <c r="E515" s="329"/>
      <c r="F515" s="329"/>
      <c r="G515" s="329"/>
      <c r="H515" s="329"/>
    </row>
    <row r="516" spans="1:8" x14ac:dyDescent="0.2">
      <c r="A516" s="365"/>
      <c r="B516" s="365"/>
      <c r="C516" s="365"/>
      <c r="D516" s="329"/>
      <c r="E516" s="329"/>
      <c r="F516" s="329"/>
      <c r="G516" s="329"/>
      <c r="H516" s="329"/>
    </row>
    <row r="517" spans="1:8" x14ac:dyDescent="0.2">
      <c r="A517" s="365"/>
      <c r="B517" s="365"/>
      <c r="C517" s="365"/>
      <c r="D517" s="329"/>
      <c r="E517" s="329"/>
      <c r="F517" s="329"/>
      <c r="G517" s="329"/>
      <c r="H517" s="329"/>
    </row>
    <row r="518" spans="1:8" x14ac:dyDescent="0.2">
      <c r="A518" s="365"/>
      <c r="B518" s="365"/>
      <c r="C518" s="365"/>
      <c r="D518" s="329"/>
      <c r="E518" s="329"/>
      <c r="F518" s="329"/>
      <c r="G518" s="329"/>
      <c r="H518" s="329"/>
    </row>
    <row r="519" spans="1:8" x14ac:dyDescent="0.2">
      <c r="A519" s="365"/>
      <c r="B519" s="365"/>
      <c r="C519" s="365"/>
      <c r="D519" s="329"/>
      <c r="E519" s="329"/>
      <c r="F519" s="329"/>
      <c r="G519" s="329"/>
      <c r="H519" s="329"/>
    </row>
    <row r="520" spans="1:8" x14ac:dyDescent="0.2">
      <c r="A520" s="365"/>
      <c r="B520" s="365"/>
      <c r="C520" s="365"/>
      <c r="D520" s="329"/>
      <c r="E520" s="329"/>
      <c r="F520" s="329"/>
      <c r="G520" s="329"/>
      <c r="H520" s="329"/>
    </row>
    <row r="521" spans="1:8" x14ac:dyDescent="0.2">
      <c r="A521" s="365"/>
      <c r="B521" s="365"/>
      <c r="C521" s="365"/>
      <c r="D521" s="329"/>
      <c r="E521" s="329"/>
      <c r="F521" s="329"/>
      <c r="G521" s="329"/>
      <c r="H521" s="329"/>
    </row>
    <row r="522" spans="1:8" x14ac:dyDescent="0.2">
      <c r="A522" s="365"/>
      <c r="B522" s="365"/>
      <c r="C522" s="365"/>
      <c r="D522" s="329"/>
      <c r="E522" s="329"/>
      <c r="F522" s="329"/>
      <c r="G522" s="329"/>
      <c r="H522" s="329"/>
    </row>
    <row r="523" spans="1:8" x14ac:dyDescent="0.2">
      <c r="A523" s="365"/>
      <c r="B523" s="365"/>
      <c r="C523" s="365"/>
      <c r="D523" s="329"/>
      <c r="E523" s="329"/>
      <c r="F523" s="329"/>
      <c r="G523" s="329"/>
      <c r="H523" s="329"/>
    </row>
    <row r="524" spans="1:8" x14ac:dyDescent="0.2">
      <c r="A524" s="365"/>
      <c r="B524" s="365"/>
      <c r="C524" s="365"/>
      <c r="D524" s="329"/>
      <c r="E524" s="329"/>
      <c r="F524" s="329"/>
      <c r="G524" s="329"/>
      <c r="H524" s="329"/>
    </row>
    <row r="525" spans="1:8" x14ac:dyDescent="0.2">
      <c r="A525" s="365"/>
      <c r="B525" s="365"/>
      <c r="C525" s="365"/>
      <c r="D525" s="329"/>
      <c r="E525" s="329"/>
      <c r="F525" s="329"/>
      <c r="G525" s="329"/>
      <c r="H525" s="329"/>
    </row>
    <row r="526" spans="1:8" x14ac:dyDescent="0.2">
      <c r="A526" s="365"/>
      <c r="B526" s="365"/>
      <c r="C526" s="365"/>
      <c r="D526" s="329"/>
      <c r="E526" s="329"/>
      <c r="F526" s="329"/>
      <c r="G526" s="329"/>
      <c r="H526" s="329"/>
    </row>
    <row r="527" spans="1:8" x14ac:dyDescent="0.2">
      <c r="A527" s="365"/>
      <c r="B527" s="365"/>
      <c r="C527" s="365"/>
      <c r="D527" s="329"/>
      <c r="E527" s="329"/>
      <c r="F527" s="329"/>
      <c r="G527" s="329"/>
      <c r="H527" s="329"/>
    </row>
    <row r="528" spans="1:8" x14ac:dyDescent="0.2">
      <c r="A528" s="365"/>
      <c r="B528" s="365"/>
      <c r="C528" s="365"/>
      <c r="D528" s="329"/>
      <c r="E528" s="329"/>
      <c r="F528" s="329"/>
      <c r="G528" s="329"/>
      <c r="H528" s="329"/>
    </row>
    <row r="529" spans="1:8" x14ac:dyDescent="0.2">
      <c r="A529" s="365"/>
      <c r="B529" s="365"/>
      <c r="C529" s="365"/>
      <c r="D529" s="329"/>
      <c r="E529" s="329"/>
      <c r="F529" s="329"/>
      <c r="G529" s="329"/>
      <c r="H529" s="329"/>
    </row>
    <row r="530" spans="1:8" x14ac:dyDescent="0.2">
      <c r="A530" s="365"/>
      <c r="B530" s="365"/>
      <c r="C530" s="365"/>
      <c r="D530" s="329"/>
      <c r="E530" s="329"/>
      <c r="F530" s="329"/>
      <c r="G530" s="329"/>
      <c r="H530" s="329"/>
    </row>
    <row r="531" spans="1:8" x14ac:dyDescent="0.2">
      <c r="A531" s="365"/>
      <c r="B531" s="365"/>
      <c r="C531" s="365"/>
      <c r="D531" s="329"/>
      <c r="E531" s="329"/>
      <c r="F531" s="329"/>
      <c r="G531" s="329"/>
      <c r="H531" s="329"/>
    </row>
    <row r="532" spans="1:8" x14ac:dyDescent="0.2">
      <c r="A532" s="365"/>
      <c r="B532" s="365"/>
      <c r="C532" s="365"/>
      <c r="D532" s="329"/>
      <c r="E532" s="329"/>
      <c r="F532" s="329"/>
      <c r="G532" s="329"/>
      <c r="H532" s="329"/>
    </row>
    <row r="533" spans="1:8" x14ac:dyDescent="0.2">
      <c r="A533" s="365"/>
      <c r="B533" s="365"/>
      <c r="C533" s="365"/>
      <c r="D533" s="329"/>
      <c r="E533" s="329"/>
      <c r="F533" s="329"/>
      <c r="G533" s="329"/>
      <c r="H533" s="329"/>
    </row>
    <row r="534" spans="1:8" x14ac:dyDescent="0.2">
      <c r="A534" s="365"/>
      <c r="B534" s="365"/>
      <c r="C534" s="365"/>
      <c r="D534" s="329"/>
      <c r="E534" s="329"/>
      <c r="F534" s="329"/>
      <c r="G534" s="329"/>
      <c r="H534" s="329"/>
    </row>
    <row r="535" spans="1:8" x14ac:dyDescent="0.2">
      <c r="A535" s="365"/>
      <c r="B535" s="365"/>
      <c r="C535" s="365"/>
      <c r="D535" s="329"/>
      <c r="E535" s="329"/>
      <c r="F535" s="329"/>
      <c r="G535" s="329"/>
      <c r="H535" s="329"/>
    </row>
    <row r="536" spans="1:8" x14ac:dyDescent="0.2">
      <c r="A536" s="365"/>
      <c r="B536" s="365"/>
      <c r="C536" s="365"/>
      <c r="D536" s="329"/>
      <c r="E536" s="329"/>
      <c r="F536" s="329"/>
      <c r="G536" s="329"/>
      <c r="H536" s="329"/>
    </row>
    <row r="537" spans="1:8" x14ac:dyDescent="0.2">
      <c r="A537" s="365"/>
      <c r="B537" s="365"/>
      <c r="C537" s="365"/>
      <c r="D537" s="329"/>
      <c r="E537" s="329"/>
      <c r="F537" s="329"/>
      <c r="G537" s="329"/>
      <c r="H537" s="329"/>
    </row>
    <row r="538" spans="1:8" x14ac:dyDescent="0.2">
      <c r="A538" s="365"/>
      <c r="B538" s="365"/>
      <c r="C538" s="365"/>
      <c r="D538" s="329"/>
      <c r="E538" s="329"/>
      <c r="F538" s="329"/>
      <c r="G538" s="329"/>
      <c r="H538" s="329"/>
    </row>
    <row r="539" spans="1:8" x14ac:dyDescent="0.2">
      <c r="A539" s="365"/>
      <c r="B539" s="365"/>
      <c r="C539" s="365"/>
      <c r="D539" s="329"/>
      <c r="E539" s="329"/>
      <c r="F539" s="329"/>
      <c r="G539" s="329"/>
      <c r="H539" s="329"/>
    </row>
    <row r="540" spans="1:8" x14ac:dyDescent="0.2">
      <c r="A540" s="365"/>
      <c r="B540" s="365"/>
      <c r="C540" s="365"/>
      <c r="D540" s="329"/>
      <c r="E540" s="329"/>
      <c r="F540" s="329"/>
      <c r="G540" s="329"/>
      <c r="H540" s="329"/>
    </row>
    <row r="541" spans="1:8" x14ac:dyDescent="0.2">
      <c r="A541" s="365"/>
      <c r="B541" s="365"/>
      <c r="C541" s="365"/>
      <c r="D541" s="329"/>
      <c r="E541" s="329"/>
      <c r="F541" s="329"/>
      <c r="G541" s="329"/>
      <c r="H541" s="329"/>
    </row>
    <row r="542" spans="1:8" x14ac:dyDescent="0.2">
      <c r="A542" s="365"/>
      <c r="B542" s="365"/>
      <c r="C542" s="365"/>
      <c r="D542" s="329"/>
      <c r="E542" s="329"/>
      <c r="F542" s="329"/>
      <c r="G542" s="329"/>
      <c r="H542" s="329"/>
    </row>
    <row r="543" spans="1:8" x14ac:dyDescent="0.2">
      <c r="A543" s="365"/>
      <c r="B543" s="365"/>
      <c r="C543" s="365"/>
      <c r="D543" s="329"/>
      <c r="E543" s="329"/>
      <c r="F543" s="329"/>
      <c r="G543" s="329"/>
      <c r="H543" s="329"/>
    </row>
    <row r="544" spans="1:8" x14ac:dyDescent="0.2">
      <c r="A544" s="365"/>
      <c r="B544" s="365"/>
      <c r="C544" s="365"/>
      <c r="D544" s="329"/>
      <c r="E544" s="329"/>
      <c r="F544" s="329"/>
      <c r="G544" s="329"/>
      <c r="H544" s="329"/>
    </row>
    <row r="545" spans="1:8" x14ac:dyDescent="0.2">
      <c r="A545" s="365"/>
      <c r="B545" s="365"/>
      <c r="C545" s="365"/>
      <c r="D545" s="329"/>
      <c r="E545" s="329"/>
      <c r="F545" s="329"/>
      <c r="G545" s="329"/>
      <c r="H545" s="329"/>
    </row>
    <row r="546" spans="1:8" x14ac:dyDescent="0.2">
      <c r="A546" s="365"/>
      <c r="B546" s="365"/>
      <c r="C546" s="365"/>
      <c r="D546" s="329"/>
      <c r="E546" s="329"/>
      <c r="F546" s="329"/>
      <c r="G546" s="329"/>
      <c r="H546" s="329"/>
    </row>
    <row r="547" spans="1:8" x14ac:dyDescent="0.2">
      <c r="A547" s="365"/>
      <c r="B547" s="365"/>
      <c r="C547" s="365"/>
      <c r="D547" s="329"/>
      <c r="E547" s="329"/>
      <c r="F547" s="329"/>
      <c r="G547" s="329"/>
      <c r="H547" s="329"/>
    </row>
    <row r="548" spans="1:8" x14ac:dyDescent="0.2">
      <c r="A548" s="365"/>
      <c r="B548" s="365"/>
      <c r="C548" s="365"/>
      <c r="D548" s="329"/>
      <c r="E548" s="329"/>
      <c r="F548" s="329"/>
      <c r="G548" s="329"/>
      <c r="H548" s="329"/>
    </row>
    <row r="549" spans="1:8" x14ac:dyDescent="0.2">
      <c r="A549" s="365"/>
      <c r="B549" s="365"/>
      <c r="C549" s="365"/>
      <c r="D549" s="329"/>
      <c r="E549" s="329"/>
      <c r="F549" s="329"/>
      <c r="G549" s="329"/>
      <c r="H549" s="329"/>
    </row>
    <row r="550" spans="1:8" x14ac:dyDescent="0.2">
      <c r="A550" s="365"/>
      <c r="B550" s="365"/>
      <c r="C550" s="365"/>
      <c r="D550" s="329"/>
      <c r="E550" s="329"/>
      <c r="F550" s="329"/>
      <c r="G550" s="329"/>
      <c r="H550" s="329"/>
    </row>
    <row r="551" spans="1:8" x14ac:dyDescent="0.2">
      <c r="A551" s="365"/>
      <c r="B551" s="365"/>
      <c r="C551" s="365"/>
      <c r="D551" s="329"/>
      <c r="E551" s="329"/>
      <c r="F551" s="329"/>
      <c r="G551" s="329"/>
      <c r="H551" s="329"/>
    </row>
    <row r="552" spans="1:8" x14ac:dyDescent="0.2">
      <c r="A552" s="365"/>
      <c r="B552" s="365"/>
      <c r="C552" s="365"/>
      <c r="D552" s="329"/>
      <c r="E552" s="329"/>
      <c r="F552" s="329"/>
      <c r="G552" s="329"/>
      <c r="H552" s="329"/>
    </row>
    <row r="553" spans="1:8" x14ac:dyDescent="0.2">
      <c r="A553" s="365"/>
      <c r="B553" s="365"/>
      <c r="C553" s="365"/>
      <c r="D553" s="329"/>
      <c r="E553" s="329"/>
      <c r="F553" s="329"/>
      <c r="G553" s="329"/>
      <c r="H553" s="329"/>
    </row>
    <row r="554" spans="1:8" x14ac:dyDescent="0.2">
      <c r="A554" s="365"/>
      <c r="B554" s="365"/>
      <c r="C554" s="365"/>
      <c r="D554" s="329"/>
      <c r="E554" s="329"/>
      <c r="F554" s="329"/>
      <c r="G554" s="329"/>
      <c r="H554" s="329"/>
    </row>
    <row r="555" spans="1:8" x14ac:dyDescent="0.2">
      <c r="A555" s="365"/>
      <c r="B555" s="365"/>
      <c r="C555" s="365"/>
      <c r="D555" s="329"/>
      <c r="E555" s="329"/>
      <c r="F555" s="329"/>
      <c r="G555" s="329"/>
      <c r="H555" s="329"/>
    </row>
    <row r="556" spans="1:8" x14ac:dyDescent="0.2">
      <c r="A556" s="365"/>
      <c r="B556" s="365"/>
      <c r="C556" s="365"/>
      <c r="D556" s="329"/>
      <c r="E556" s="329"/>
      <c r="F556" s="329"/>
      <c r="G556" s="329"/>
      <c r="H556" s="329"/>
    </row>
    <row r="557" spans="1:8" x14ac:dyDescent="0.2">
      <c r="A557" s="365"/>
      <c r="B557" s="365"/>
      <c r="C557" s="365"/>
      <c r="D557" s="329"/>
      <c r="E557" s="329"/>
      <c r="F557" s="329"/>
      <c r="G557" s="329"/>
      <c r="H557" s="329"/>
    </row>
    <row r="558" spans="1:8" x14ac:dyDescent="0.2">
      <c r="A558" s="365"/>
      <c r="B558" s="365"/>
      <c r="C558" s="365"/>
      <c r="D558" s="329"/>
      <c r="E558" s="329"/>
      <c r="F558" s="329"/>
      <c r="G558" s="329"/>
      <c r="H558" s="329"/>
    </row>
    <row r="559" spans="1:8" x14ac:dyDescent="0.2">
      <c r="A559" s="365"/>
      <c r="B559" s="365"/>
      <c r="C559" s="365"/>
      <c r="D559" s="329"/>
      <c r="E559" s="329"/>
      <c r="F559" s="329"/>
      <c r="G559" s="329"/>
      <c r="H559" s="329"/>
    </row>
    <row r="560" spans="1:8" x14ac:dyDescent="0.2">
      <c r="A560" s="365"/>
      <c r="B560" s="365"/>
      <c r="C560" s="365"/>
      <c r="D560" s="329"/>
      <c r="E560" s="329"/>
      <c r="F560" s="329"/>
      <c r="G560" s="329"/>
      <c r="H560" s="329"/>
    </row>
    <row r="561" spans="1:8" x14ac:dyDescent="0.2">
      <c r="A561" s="365"/>
      <c r="B561" s="365"/>
      <c r="C561" s="365"/>
      <c r="D561" s="329"/>
      <c r="E561" s="329"/>
      <c r="F561" s="329"/>
      <c r="G561" s="329"/>
      <c r="H561" s="329"/>
    </row>
    <row r="562" spans="1:8" x14ac:dyDescent="0.2">
      <c r="A562" s="365"/>
      <c r="B562" s="365"/>
      <c r="C562" s="365"/>
      <c r="D562" s="329"/>
      <c r="E562" s="329"/>
      <c r="F562" s="329"/>
      <c r="G562" s="329"/>
      <c r="H562" s="329"/>
    </row>
    <row r="563" spans="1:8" x14ac:dyDescent="0.2">
      <c r="A563" s="365"/>
      <c r="B563" s="365"/>
      <c r="C563" s="365"/>
      <c r="D563" s="329"/>
      <c r="E563" s="329"/>
      <c r="F563" s="329"/>
      <c r="G563" s="329"/>
      <c r="H563" s="329"/>
    </row>
    <row r="564" spans="1:8" x14ac:dyDescent="0.2">
      <c r="A564" s="365"/>
      <c r="B564" s="365"/>
      <c r="C564" s="365"/>
      <c r="D564" s="329"/>
      <c r="E564" s="329"/>
      <c r="F564" s="329"/>
      <c r="G564" s="329"/>
      <c r="H564" s="329"/>
    </row>
    <row r="565" spans="1:8" x14ac:dyDescent="0.2">
      <c r="A565" s="365"/>
      <c r="B565" s="365"/>
      <c r="C565" s="365"/>
      <c r="D565" s="329"/>
      <c r="E565" s="329"/>
      <c r="F565" s="329"/>
      <c r="G565" s="329"/>
      <c r="H565" s="329"/>
    </row>
    <row r="566" spans="1:8" x14ac:dyDescent="0.2">
      <c r="A566" s="365"/>
      <c r="B566" s="365"/>
      <c r="C566" s="365"/>
      <c r="D566" s="329"/>
      <c r="E566" s="329"/>
      <c r="F566" s="329"/>
      <c r="G566" s="329"/>
      <c r="H566" s="329"/>
    </row>
    <row r="567" spans="1:8" x14ac:dyDescent="0.2">
      <c r="A567" s="365"/>
      <c r="B567" s="365"/>
      <c r="C567" s="365"/>
      <c r="D567" s="329"/>
      <c r="E567" s="329"/>
      <c r="F567" s="329"/>
      <c r="G567" s="329"/>
      <c r="H567" s="329"/>
    </row>
    <row r="568" spans="1:8" x14ac:dyDescent="0.2">
      <c r="A568" s="365"/>
      <c r="B568" s="365"/>
      <c r="C568" s="365"/>
      <c r="D568" s="329"/>
      <c r="E568" s="329"/>
      <c r="F568" s="329"/>
      <c r="G568" s="329"/>
      <c r="H568" s="329"/>
    </row>
    <row r="569" spans="1:8" x14ac:dyDescent="0.2">
      <c r="A569" s="365"/>
      <c r="B569" s="365"/>
      <c r="C569" s="365"/>
      <c r="D569" s="329"/>
      <c r="E569" s="329"/>
      <c r="F569" s="329"/>
      <c r="G569" s="329"/>
      <c r="H569" s="329"/>
    </row>
    <row r="570" spans="1:8" x14ac:dyDescent="0.2">
      <c r="A570" s="365"/>
      <c r="B570" s="365"/>
      <c r="C570" s="365"/>
      <c r="D570" s="329"/>
      <c r="E570" s="329"/>
      <c r="F570" s="329"/>
      <c r="G570" s="329"/>
      <c r="H570" s="329"/>
    </row>
    <row r="571" spans="1:8" x14ac:dyDescent="0.2">
      <c r="A571" s="365"/>
      <c r="B571" s="365"/>
      <c r="C571" s="365"/>
      <c r="D571" s="329"/>
      <c r="E571" s="329"/>
      <c r="F571" s="329"/>
      <c r="G571" s="329"/>
      <c r="H571" s="329"/>
    </row>
    <row r="572" spans="1:8" x14ac:dyDescent="0.2">
      <c r="A572" s="365"/>
      <c r="B572" s="365"/>
      <c r="C572" s="365"/>
      <c r="D572" s="329"/>
      <c r="E572" s="329"/>
      <c r="F572" s="329"/>
      <c r="G572" s="329"/>
      <c r="H572" s="329"/>
    </row>
    <row r="573" spans="1:8" x14ac:dyDescent="0.2">
      <c r="A573" s="365"/>
      <c r="B573" s="365"/>
      <c r="C573" s="365"/>
      <c r="D573" s="329"/>
      <c r="E573" s="329"/>
      <c r="F573" s="329"/>
      <c r="G573" s="329"/>
      <c r="H573" s="329"/>
    </row>
    <row r="574" spans="1:8" x14ac:dyDescent="0.2">
      <c r="A574" s="365"/>
      <c r="B574" s="365"/>
      <c r="C574" s="365"/>
      <c r="D574" s="329"/>
      <c r="E574" s="329"/>
      <c r="F574" s="329"/>
      <c r="G574" s="329"/>
      <c r="H574" s="329"/>
    </row>
    <row r="575" spans="1:8" x14ac:dyDescent="0.2">
      <c r="A575" s="365"/>
      <c r="B575" s="365"/>
      <c r="C575" s="365"/>
      <c r="D575" s="329"/>
      <c r="E575" s="329"/>
      <c r="F575" s="329"/>
      <c r="G575" s="329"/>
      <c r="H575" s="329"/>
    </row>
    <row r="576" spans="1:8" x14ac:dyDescent="0.2">
      <c r="A576" s="365"/>
      <c r="B576" s="365"/>
      <c r="C576" s="365"/>
      <c r="D576" s="329"/>
      <c r="E576" s="329"/>
      <c r="F576" s="329"/>
      <c r="G576" s="329"/>
      <c r="H576" s="329"/>
    </row>
    <row r="577" spans="1:8" x14ac:dyDescent="0.2">
      <c r="A577" s="365"/>
      <c r="B577" s="365"/>
      <c r="C577" s="365"/>
      <c r="D577" s="329"/>
      <c r="E577" s="329"/>
      <c r="F577" s="329"/>
      <c r="G577" s="329"/>
      <c r="H577" s="329"/>
    </row>
    <row r="578" spans="1:8" x14ac:dyDescent="0.2">
      <c r="A578" s="365"/>
      <c r="B578" s="365"/>
      <c r="C578" s="365"/>
      <c r="D578" s="329"/>
      <c r="E578" s="329"/>
      <c r="F578" s="329"/>
      <c r="G578" s="329"/>
      <c r="H578" s="329"/>
    </row>
    <row r="579" spans="1:8" x14ac:dyDescent="0.2">
      <c r="A579" s="365"/>
      <c r="B579" s="365"/>
      <c r="C579" s="365"/>
      <c r="D579" s="329"/>
      <c r="E579" s="329"/>
      <c r="F579" s="329"/>
      <c r="G579" s="329"/>
      <c r="H579" s="329"/>
    </row>
    <row r="580" spans="1:8" x14ac:dyDescent="0.2">
      <c r="A580" s="365"/>
      <c r="B580" s="365"/>
      <c r="C580" s="365"/>
      <c r="D580" s="329"/>
      <c r="E580" s="329"/>
      <c r="F580" s="329"/>
      <c r="G580" s="329"/>
      <c r="H580" s="329"/>
    </row>
    <row r="581" spans="1:8" x14ac:dyDescent="0.2">
      <c r="A581" s="365"/>
      <c r="B581" s="365"/>
      <c r="C581" s="365"/>
      <c r="D581" s="329"/>
      <c r="E581" s="329"/>
      <c r="F581" s="329"/>
      <c r="G581" s="329"/>
      <c r="H581" s="329"/>
    </row>
    <row r="582" spans="1:8" x14ac:dyDescent="0.2">
      <c r="A582" s="365"/>
      <c r="B582" s="365"/>
      <c r="C582" s="365"/>
      <c r="D582" s="329"/>
      <c r="E582" s="329"/>
      <c r="F582" s="329"/>
      <c r="G582" s="329"/>
      <c r="H582" s="329"/>
    </row>
  </sheetData>
  <sheetProtection algorithmName="SHA-512" hashValue="+TnDQxZo8LtAh7LVurwJg22ITXVZXgVryVtl9Uf3lYkKj4Tr47zLuCtAA94dvODYJbYa+v0VQFXXJxVtlGuG1Q==" saltValue="pAxK65BRr8uDnElhD85fSw==" spinCount="100000" sheet="1" objects="1" scenarios="1" autoFilter="0"/>
  <mergeCells count="15">
    <mergeCell ref="K39:M39"/>
    <mergeCell ref="N39:P39"/>
    <mergeCell ref="A48:D48"/>
    <mergeCell ref="A57:D57"/>
    <mergeCell ref="A39:A40"/>
    <mergeCell ref="B39:D39"/>
    <mergeCell ref="E39:G39"/>
    <mergeCell ref="A65:D65"/>
    <mergeCell ref="H39:J39"/>
    <mergeCell ref="A14:C14"/>
    <mergeCell ref="A1:C1"/>
    <mergeCell ref="A2:A6"/>
    <mergeCell ref="A26:D26"/>
    <mergeCell ref="A35:A36"/>
    <mergeCell ref="E8:I10"/>
  </mergeCells>
  <printOptions horizontalCentered="1"/>
  <pageMargins left="0.39370078740157483" right="0.39370078740157483" top="0.78740157480314965" bottom="0.19685039370078741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theme="9" tint="-0.499984740745262"/>
    <pageSetUpPr fitToPage="1"/>
  </sheetPr>
  <dimension ref="A1:H62"/>
  <sheetViews>
    <sheetView workbookViewId="0">
      <selection activeCell="D52" sqref="D52"/>
    </sheetView>
  </sheetViews>
  <sheetFormatPr defaultRowHeight="12.75" x14ac:dyDescent="0.2"/>
  <cols>
    <col min="1" max="1" width="19.33203125" style="108" customWidth="1"/>
    <col min="2" max="2" width="41" style="108" customWidth="1"/>
    <col min="3" max="3" width="25.1640625" style="108" customWidth="1"/>
    <col min="4" max="7" width="11.83203125" style="108" customWidth="1"/>
    <col min="8" max="8" width="16.33203125" style="504" customWidth="1"/>
    <col min="9" max="255" width="9.33203125" style="108"/>
    <col min="256" max="256" width="8" style="108" customWidth="1"/>
    <col min="257" max="257" width="22.1640625" style="108" customWidth="1"/>
    <col min="258" max="258" width="16.1640625" style="108" customWidth="1"/>
    <col min="259" max="259" width="22.33203125" style="108" customWidth="1"/>
    <col min="260" max="260" width="11.1640625" style="108" customWidth="1"/>
    <col min="261" max="511" width="9.33203125" style="108"/>
    <col min="512" max="512" width="8" style="108" customWidth="1"/>
    <col min="513" max="513" width="22.1640625" style="108" customWidth="1"/>
    <col min="514" max="514" width="16.1640625" style="108" customWidth="1"/>
    <col min="515" max="515" width="22.33203125" style="108" customWidth="1"/>
    <col min="516" max="516" width="11.1640625" style="108" customWidth="1"/>
    <col min="517" max="767" width="9.33203125" style="108"/>
    <col min="768" max="768" width="8" style="108" customWidth="1"/>
    <col min="769" max="769" width="22.1640625" style="108" customWidth="1"/>
    <col min="770" max="770" width="16.1640625" style="108" customWidth="1"/>
    <col min="771" max="771" width="22.33203125" style="108" customWidth="1"/>
    <col min="772" max="772" width="11.1640625" style="108" customWidth="1"/>
    <col min="773" max="1023" width="9.33203125" style="108"/>
    <col min="1024" max="1024" width="8" style="108" customWidth="1"/>
    <col min="1025" max="1025" width="22.1640625" style="108" customWidth="1"/>
    <col min="1026" max="1026" width="16.1640625" style="108" customWidth="1"/>
    <col min="1027" max="1027" width="22.33203125" style="108" customWidth="1"/>
    <col min="1028" max="1028" width="11.1640625" style="108" customWidth="1"/>
    <col min="1029" max="1279" width="9.33203125" style="108"/>
    <col min="1280" max="1280" width="8" style="108" customWidth="1"/>
    <col min="1281" max="1281" width="22.1640625" style="108" customWidth="1"/>
    <col min="1282" max="1282" width="16.1640625" style="108" customWidth="1"/>
    <col min="1283" max="1283" width="22.33203125" style="108" customWidth="1"/>
    <col min="1284" max="1284" width="11.1640625" style="108" customWidth="1"/>
    <col min="1285" max="1535" width="9.33203125" style="108"/>
    <col min="1536" max="1536" width="8" style="108" customWidth="1"/>
    <col min="1537" max="1537" width="22.1640625" style="108" customWidth="1"/>
    <col min="1538" max="1538" width="16.1640625" style="108" customWidth="1"/>
    <col min="1539" max="1539" width="22.33203125" style="108" customWidth="1"/>
    <col min="1540" max="1540" width="11.1640625" style="108" customWidth="1"/>
    <col min="1541" max="1791" width="9.33203125" style="108"/>
    <col min="1792" max="1792" width="8" style="108" customWidth="1"/>
    <col min="1793" max="1793" width="22.1640625" style="108" customWidth="1"/>
    <col min="1794" max="1794" width="16.1640625" style="108" customWidth="1"/>
    <col min="1795" max="1795" width="22.33203125" style="108" customWidth="1"/>
    <col min="1796" max="1796" width="11.1640625" style="108" customWidth="1"/>
    <col min="1797" max="2047" width="9.33203125" style="108"/>
    <col min="2048" max="2048" width="8" style="108" customWidth="1"/>
    <col min="2049" max="2049" width="22.1640625" style="108" customWidth="1"/>
    <col min="2050" max="2050" width="16.1640625" style="108" customWidth="1"/>
    <col min="2051" max="2051" width="22.33203125" style="108" customWidth="1"/>
    <col min="2052" max="2052" width="11.1640625" style="108" customWidth="1"/>
    <col min="2053" max="2303" width="9.33203125" style="108"/>
    <col min="2304" max="2304" width="8" style="108" customWidth="1"/>
    <col min="2305" max="2305" width="22.1640625" style="108" customWidth="1"/>
    <col min="2306" max="2306" width="16.1640625" style="108" customWidth="1"/>
    <col min="2307" max="2307" width="22.33203125" style="108" customWidth="1"/>
    <col min="2308" max="2308" width="11.1640625" style="108" customWidth="1"/>
    <col min="2309" max="2559" width="9.33203125" style="108"/>
    <col min="2560" max="2560" width="8" style="108" customWidth="1"/>
    <col min="2561" max="2561" width="22.1640625" style="108" customWidth="1"/>
    <col min="2562" max="2562" width="16.1640625" style="108" customWidth="1"/>
    <col min="2563" max="2563" width="22.33203125" style="108" customWidth="1"/>
    <col min="2564" max="2564" width="11.1640625" style="108" customWidth="1"/>
    <col min="2565" max="2815" width="9.33203125" style="108"/>
    <col min="2816" max="2816" width="8" style="108" customWidth="1"/>
    <col min="2817" max="2817" width="22.1640625" style="108" customWidth="1"/>
    <col min="2818" max="2818" width="16.1640625" style="108" customWidth="1"/>
    <col min="2819" max="2819" width="22.33203125" style="108" customWidth="1"/>
    <col min="2820" max="2820" width="11.1640625" style="108" customWidth="1"/>
    <col min="2821" max="3071" width="9.33203125" style="108"/>
    <col min="3072" max="3072" width="8" style="108" customWidth="1"/>
    <col min="3073" max="3073" width="22.1640625" style="108" customWidth="1"/>
    <col min="3074" max="3074" width="16.1640625" style="108" customWidth="1"/>
    <col min="3075" max="3075" width="22.33203125" style="108" customWidth="1"/>
    <col min="3076" max="3076" width="11.1640625" style="108" customWidth="1"/>
    <col min="3077" max="3327" width="9.33203125" style="108"/>
    <col min="3328" max="3328" width="8" style="108" customWidth="1"/>
    <col min="3329" max="3329" width="22.1640625" style="108" customWidth="1"/>
    <col min="3330" max="3330" width="16.1640625" style="108" customWidth="1"/>
    <col min="3331" max="3331" width="22.33203125" style="108" customWidth="1"/>
    <col min="3332" max="3332" width="11.1640625" style="108" customWidth="1"/>
    <col min="3333" max="3583" width="9.33203125" style="108"/>
    <col min="3584" max="3584" width="8" style="108" customWidth="1"/>
    <col min="3585" max="3585" width="22.1640625" style="108" customWidth="1"/>
    <col min="3586" max="3586" width="16.1640625" style="108" customWidth="1"/>
    <col min="3587" max="3587" width="22.33203125" style="108" customWidth="1"/>
    <col min="3588" max="3588" width="11.1640625" style="108" customWidth="1"/>
    <col min="3589" max="3839" width="9.33203125" style="108"/>
    <col min="3840" max="3840" width="8" style="108" customWidth="1"/>
    <col min="3841" max="3841" width="22.1640625" style="108" customWidth="1"/>
    <col min="3842" max="3842" width="16.1640625" style="108" customWidth="1"/>
    <col min="3843" max="3843" width="22.33203125" style="108" customWidth="1"/>
    <col min="3844" max="3844" width="11.1640625" style="108" customWidth="1"/>
    <col min="3845" max="4095" width="9.33203125" style="108"/>
    <col min="4096" max="4096" width="8" style="108" customWidth="1"/>
    <col min="4097" max="4097" width="22.1640625" style="108" customWidth="1"/>
    <col min="4098" max="4098" width="16.1640625" style="108" customWidth="1"/>
    <col min="4099" max="4099" width="22.33203125" style="108" customWidth="1"/>
    <col min="4100" max="4100" width="11.1640625" style="108" customWidth="1"/>
    <col min="4101" max="4351" width="9.33203125" style="108"/>
    <col min="4352" max="4352" width="8" style="108" customWidth="1"/>
    <col min="4353" max="4353" width="22.1640625" style="108" customWidth="1"/>
    <col min="4354" max="4354" width="16.1640625" style="108" customWidth="1"/>
    <col min="4355" max="4355" width="22.33203125" style="108" customWidth="1"/>
    <col min="4356" max="4356" width="11.1640625" style="108" customWidth="1"/>
    <col min="4357" max="4607" width="9.33203125" style="108"/>
    <col min="4608" max="4608" width="8" style="108" customWidth="1"/>
    <col min="4609" max="4609" width="22.1640625" style="108" customWidth="1"/>
    <col min="4610" max="4610" width="16.1640625" style="108" customWidth="1"/>
    <col min="4611" max="4611" width="22.33203125" style="108" customWidth="1"/>
    <col min="4612" max="4612" width="11.1640625" style="108" customWidth="1"/>
    <col min="4613" max="4863" width="9.33203125" style="108"/>
    <col min="4864" max="4864" width="8" style="108" customWidth="1"/>
    <col min="4865" max="4865" width="22.1640625" style="108" customWidth="1"/>
    <col min="4866" max="4866" width="16.1640625" style="108" customWidth="1"/>
    <col min="4867" max="4867" width="22.33203125" style="108" customWidth="1"/>
    <col min="4868" max="4868" width="11.1640625" style="108" customWidth="1"/>
    <col min="4869" max="5119" width="9.33203125" style="108"/>
    <col min="5120" max="5120" width="8" style="108" customWidth="1"/>
    <col min="5121" max="5121" width="22.1640625" style="108" customWidth="1"/>
    <col min="5122" max="5122" width="16.1640625" style="108" customWidth="1"/>
    <col min="5123" max="5123" width="22.33203125" style="108" customWidth="1"/>
    <col min="5124" max="5124" width="11.1640625" style="108" customWidth="1"/>
    <col min="5125" max="5375" width="9.33203125" style="108"/>
    <col min="5376" max="5376" width="8" style="108" customWidth="1"/>
    <col min="5377" max="5377" width="22.1640625" style="108" customWidth="1"/>
    <col min="5378" max="5378" width="16.1640625" style="108" customWidth="1"/>
    <col min="5379" max="5379" width="22.33203125" style="108" customWidth="1"/>
    <col min="5380" max="5380" width="11.1640625" style="108" customWidth="1"/>
    <col min="5381" max="5631" width="9.33203125" style="108"/>
    <col min="5632" max="5632" width="8" style="108" customWidth="1"/>
    <col min="5633" max="5633" width="22.1640625" style="108" customWidth="1"/>
    <col min="5634" max="5634" width="16.1640625" style="108" customWidth="1"/>
    <col min="5635" max="5635" width="22.33203125" style="108" customWidth="1"/>
    <col min="5636" max="5636" width="11.1640625" style="108" customWidth="1"/>
    <col min="5637" max="5887" width="9.33203125" style="108"/>
    <col min="5888" max="5888" width="8" style="108" customWidth="1"/>
    <col min="5889" max="5889" width="22.1640625" style="108" customWidth="1"/>
    <col min="5890" max="5890" width="16.1640625" style="108" customWidth="1"/>
    <col min="5891" max="5891" width="22.33203125" style="108" customWidth="1"/>
    <col min="5892" max="5892" width="11.1640625" style="108" customWidth="1"/>
    <col min="5893" max="6143" width="9.33203125" style="108"/>
    <col min="6144" max="6144" width="8" style="108" customWidth="1"/>
    <col min="6145" max="6145" width="22.1640625" style="108" customWidth="1"/>
    <col min="6146" max="6146" width="16.1640625" style="108" customWidth="1"/>
    <col min="6147" max="6147" width="22.33203125" style="108" customWidth="1"/>
    <col min="6148" max="6148" width="11.1640625" style="108" customWidth="1"/>
    <col min="6149" max="6399" width="9.33203125" style="108"/>
    <col min="6400" max="6400" width="8" style="108" customWidth="1"/>
    <col min="6401" max="6401" width="22.1640625" style="108" customWidth="1"/>
    <col min="6402" max="6402" width="16.1640625" style="108" customWidth="1"/>
    <col min="6403" max="6403" width="22.33203125" style="108" customWidth="1"/>
    <col min="6404" max="6404" width="11.1640625" style="108" customWidth="1"/>
    <col min="6405" max="6655" width="9.33203125" style="108"/>
    <col min="6656" max="6656" width="8" style="108" customWidth="1"/>
    <col min="6657" max="6657" width="22.1640625" style="108" customWidth="1"/>
    <col min="6658" max="6658" width="16.1640625" style="108" customWidth="1"/>
    <col min="6659" max="6659" width="22.33203125" style="108" customWidth="1"/>
    <col min="6660" max="6660" width="11.1640625" style="108" customWidth="1"/>
    <col min="6661" max="6911" width="9.33203125" style="108"/>
    <col min="6912" max="6912" width="8" style="108" customWidth="1"/>
    <col min="6913" max="6913" width="22.1640625" style="108" customWidth="1"/>
    <col min="6914" max="6914" width="16.1640625" style="108" customWidth="1"/>
    <col min="6915" max="6915" width="22.33203125" style="108" customWidth="1"/>
    <col min="6916" max="6916" width="11.1640625" style="108" customWidth="1"/>
    <col min="6917" max="7167" width="9.33203125" style="108"/>
    <col min="7168" max="7168" width="8" style="108" customWidth="1"/>
    <col min="7169" max="7169" width="22.1640625" style="108" customWidth="1"/>
    <col min="7170" max="7170" width="16.1640625" style="108" customWidth="1"/>
    <col min="7171" max="7171" width="22.33203125" style="108" customWidth="1"/>
    <col min="7172" max="7172" width="11.1640625" style="108" customWidth="1"/>
    <col min="7173" max="7423" width="9.33203125" style="108"/>
    <col min="7424" max="7424" width="8" style="108" customWidth="1"/>
    <col min="7425" max="7425" width="22.1640625" style="108" customWidth="1"/>
    <col min="7426" max="7426" width="16.1640625" style="108" customWidth="1"/>
    <col min="7427" max="7427" width="22.33203125" style="108" customWidth="1"/>
    <col min="7428" max="7428" width="11.1640625" style="108" customWidth="1"/>
    <col min="7429" max="7679" width="9.33203125" style="108"/>
    <col min="7680" max="7680" width="8" style="108" customWidth="1"/>
    <col min="7681" max="7681" width="22.1640625" style="108" customWidth="1"/>
    <col min="7682" max="7682" width="16.1640625" style="108" customWidth="1"/>
    <col min="7683" max="7683" width="22.33203125" style="108" customWidth="1"/>
    <col min="7684" max="7684" width="11.1640625" style="108" customWidth="1"/>
    <col min="7685" max="7935" width="9.33203125" style="108"/>
    <col min="7936" max="7936" width="8" style="108" customWidth="1"/>
    <col min="7937" max="7937" width="22.1640625" style="108" customWidth="1"/>
    <col min="7938" max="7938" width="16.1640625" style="108" customWidth="1"/>
    <col min="7939" max="7939" width="22.33203125" style="108" customWidth="1"/>
    <col min="7940" max="7940" width="11.1640625" style="108" customWidth="1"/>
    <col min="7941" max="8191" width="9.33203125" style="108"/>
    <col min="8192" max="8192" width="8" style="108" customWidth="1"/>
    <col min="8193" max="8193" width="22.1640625" style="108" customWidth="1"/>
    <col min="8194" max="8194" width="16.1640625" style="108" customWidth="1"/>
    <col min="8195" max="8195" width="22.33203125" style="108" customWidth="1"/>
    <col min="8196" max="8196" width="11.1640625" style="108" customWidth="1"/>
    <col min="8197" max="8447" width="9.33203125" style="108"/>
    <col min="8448" max="8448" width="8" style="108" customWidth="1"/>
    <col min="8449" max="8449" width="22.1640625" style="108" customWidth="1"/>
    <col min="8450" max="8450" width="16.1640625" style="108" customWidth="1"/>
    <col min="8451" max="8451" width="22.33203125" style="108" customWidth="1"/>
    <col min="8452" max="8452" width="11.1640625" style="108" customWidth="1"/>
    <col min="8453" max="8703" width="9.33203125" style="108"/>
    <col min="8704" max="8704" width="8" style="108" customWidth="1"/>
    <col min="8705" max="8705" width="22.1640625" style="108" customWidth="1"/>
    <col min="8706" max="8706" width="16.1640625" style="108" customWidth="1"/>
    <col min="8707" max="8707" width="22.33203125" style="108" customWidth="1"/>
    <col min="8708" max="8708" width="11.1640625" style="108" customWidth="1"/>
    <col min="8709" max="8959" width="9.33203125" style="108"/>
    <col min="8960" max="8960" width="8" style="108" customWidth="1"/>
    <col min="8961" max="8961" width="22.1640625" style="108" customWidth="1"/>
    <col min="8962" max="8962" width="16.1640625" style="108" customWidth="1"/>
    <col min="8963" max="8963" width="22.33203125" style="108" customWidth="1"/>
    <col min="8964" max="8964" width="11.1640625" style="108" customWidth="1"/>
    <col min="8965" max="9215" width="9.33203125" style="108"/>
    <col min="9216" max="9216" width="8" style="108" customWidth="1"/>
    <col min="9217" max="9217" width="22.1640625" style="108" customWidth="1"/>
    <col min="9218" max="9218" width="16.1640625" style="108" customWidth="1"/>
    <col min="9219" max="9219" width="22.33203125" style="108" customWidth="1"/>
    <col min="9220" max="9220" width="11.1640625" style="108" customWidth="1"/>
    <col min="9221" max="9471" width="9.33203125" style="108"/>
    <col min="9472" max="9472" width="8" style="108" customWidth="1"/>
    <col min="9473" max="9473" width="22.1640625" style="108" customWidth="1"/>
    <col min="9474" max="9474" width="16.1640625" style="108" customWidth="1"/>
    <col min="9475" max="9475" width="22.33203125" style="108" customWidth="1"/>
    <col min="9476" max="9476" width="11.1640625" style="108" customWidth="1"/>
    <col min="9477" max="9727" width="9.33203125" style="108"/>
    <col min="9728" max="9728" width="8" style="108" customWidth="1"/>
    <col min="9729" max="9729" width="22.1640625" style="108" customWidth="1"/>
    <col min="9730" max="9730" width="16.1640625" style="108" customWidth="1"/>
    <col min="9731" max="9731" width="22.33203125" style="108" customWidth="1"/>
    <col min="9732" max="9732" width="11.1640625" style="108" customWidth="1"/>
    <col min="9733" max="9983" width="9.33203125" style="108"/>
    <col min="9984" max="9984" width="8" style="108" customWidth="1"/>
    <col min="9985" max="9985" width="22.1640625" style="108" customWidth="1"/>
    <col min="9986" max="9986" width="16.1640625" style="108" customWidth="1"/>
    <col min="9987" max="9987" width="22.33203125" style="108" customWidth="1"/>
    <col min="9988" max="9988" width="11.1640625" style="108" customWidth="1"/>
    <col min="9989" max="10239" width="9.33203125" style="108"/>
    <col min="10240" max="10240" width="8" style="108" customWidth="1"/>
    <col min="10241" max="10241" width="22.1640625" style="108" customWidth="1"/>
    <col min="10242" max="10242" width="16.1640625" style="108" customWidth="1"/>
    <col min="10243" max="10243" width="22.33203125" style="108" customWidth="1"/>
    <col min="10244" max="10244" width="11.1640625" style="108" customWidth="1"/>
    <col min="10245" max="10495" width="9.33203125" style="108"/>
    <col min="10496" max="10496" width="8" style="108" customWidth="1"/>
    <col min="10497" max="10497" width="22.1640625" style="108" customWidth="1"/>
    <col min="10498" max="10498" width="16.1640625" style="108" customWidth="1"/>
    <col min="10499" max="10499" width="22.33203125" style="108" customWidth="1"/>
    <col min="10500" max="10500" width="11.1640625" style="108" customWidth="1"/>
    <col min="10501" max="10751" width="9.33203125" style="108"/>
    <col min="10752" max="10752" width="8" style="108" customWidth="1"/>
    <col min="10753" max="10753" width="22.1640625" style="108" customWidth="1"/>
    <col min="10754" max="10754" width="16.1640625" style="108" customWidth="1"/>
    <col min="10755" max="10755" width="22.33203125" style="108" customWidth="1"/>
    <col min="10756" max="10756" width="11.1640625" style="108" customWidth="1"/>
    <col min="10757" max="11007" width="9.33203125" style="108"/>
    <col min="11008" max="11008" width="8" style="108" customWidth="1"/>
    <col min="11009" max="11009" width="22.1640625" style="108" customWidth="1"/>
    <col min="11010" max="11010" width="16.1640625" style="108" customWidth="1"/>
    <col min="11011" max="11011" width="22.33203125" style="108" customWidth="1"/>
    <col min="11012" max="11012" width="11.1640625" style="108" customWidth="1"/>
    <col min="11013" max="11263" width="9.33203125" style="108"/>
    <col min="11264" max="11264" width="8" style="108" customWidth="1"/>
    <col min="11265" max="11265" width="22.1640625" style="108" customWidth="1"/>
    <col min="11266" max="11266" width="16.1640625" style="108" customWidth="1"/>
    <col min="11267" max="11267" width="22.33203125" style="108" customWidth="1"/>
    <col min="11268" max="11268" width="11.1640625" style="108" customWidth="1"/>
    <col min="11269" max="11519" width="9.33203125" style="108"/>
    <col min="11520" max="11520" width="8" style="108" customWidth="1"/>
    <col min="11521" max="11521" width="22.1640625" style="108" customWidth="1"/>
    <col min="11522" max="11522" width="16.1640625" style="108" customWidth="1"/>
    <col min="11523" max="11523" width="22.33203125" style="108" customWidth="1"/>
    <col min="11524" max="11524" width="11.1640625" style="108" customWidth="1"/>
    <col min="11525" max="11775" width="9.33203125" style="108"/>
    <col min="11776" max="11776" width="8" style="108" customWidth="1"/>
    <col min="11777" max="11777" width="22.1640625" style="108" customWidth="1"/>
    <col min="11778" max="11778" width="16.1640625" style="108" customWidth="1"/>
    <col min="11779" max="11779" width="22.33203125" style="108" customWidth="1"/>
    <col min="11780" max="11780" width="11.1640625" style="108" customWidth="1"/>
    <col min="11781" max="12031" width="9.33203125" style="108"/>
    <col min="12032" max="12032" width="8" style="108" customWidth="1"/>
    <col min="12033" max="12033" width="22.1640625" style="108" customWidth="1"/>
    <col min="12034" max="12034" width="16.1640625" style="108" customWidth="1"/>
    <col min="12035" max="12035" width="22.33203125" style="108" customWidth="1"/>
    <col min="12036" max="12036" width="11.1640625" style="108" customWidth="1"/>
    <col min="12037" max="12287" width="9.33203125" style="108"/>
    <col min="12288" max="12288" width="8" style="108" customWidth="1"/>
    <col min="12289" max="12289" width="22.1640625" style="108" customWidth="1"/>
    <col min="12290" max="12290" width="16.1640625" style="108" customWidth="1"/>
    <col min="12291" max="12291" width="22.33203125" style="108" customWidth="1"/>
    <col min="12292" max="12292" width="11.1640625" style="108" customWidth="1"/>
    <col min="12293" max="12543" width="9.33203125" style="108"/>
    <col min="12544" max="12544" width="8" style="108" customWidth="1"/>
    <col min="12545" max="12545" width="22.1640625" style="108" customWidth="1"/>
    <col min="12546" max="12546" width="16.1640625" style="108" customWidth="1"/>
    <col min="12547" max="12547" width="22.33203125" style="108" customWidth="1"/>
    <col min="12548" max="12548" width="11.1640625" style="108" customWidth="1"/>
    <col min="12549" max="12799" width="9.33203125" style="108"/>
    <col min="12800" max="12800" width="8" style="108" customWidth="1"/>
    <col min="12801" max="12801" width="22.1640625" style="108" customWidth="1"/>
    <col min="12802" max="12802" width="16.1640625" style="108" customWidth="1"/>
    <col min="12803" max="12803" width="22.33203125" style="108" customWidth="1"/>
    <col min="12804" max="12804" width="11.1640625" style="108" customWidth="1"/>
    <col min="12805" max="13055" width="9.33203125" style="108"/>
    <col min="13056" max="13056" width="8" style="108" customWidth="1"/>
    <col min="13057" max="13057" width="22.1640625" style="108" customWidth="1"/>
    <col min="13058" max="13058" width="16.1640625" style="108" customWidth="1"/>
    <col min="13059" max="13059" width="22.33203125" style="108" customWidth="1"/>
    <col min="13060" max="13060" width="11.1640625" style="108" customWidth="1"/>
    <col min="13061" max="13311" width="9.33203125" style="108"/>
    <col min="13312" max="13312" width="8" style="108" customWidth="1"/>
    <col min="13313" max="13313" width="22.1640625" style="108" customWidth="1"/>
    <col min="13314" max="13314" width="16.1640625" style="108" customWidth="1"/>
    <col min="13315" max="13315" width="22.33203125" style="108" customWidth="1"/>
    <col min="13316" max="13316" width="11.1640625" style="108" customWidth="1"/>
    <col min="13317" max="13567" width="9.33203125" style="108"/>
    <col min="13568" max="13568" width="8" style="108" customWidth="1"/>
    <col min="13569" max="13569" width="22.1640625" style="108" customWidth="1"/>
    <col min="13570" max="13570" width="16.1640625" style="108" customWidth="1"/>
    <col min="13571" max="13571" width="22.33203125" style="108" customWidth="1"/>
    <col min="13572" max="13572" width="11.1640625" style="108" customWidth="1"/>
    <col min="13573" max="13823" width="9.33203125" style="108"/>
    <col min="13824" max="13824" width="8" style="108" customWidth="1"/>
    <col min="13825" max="13825" width="22.1640625" style="108" customWidth="1"/>
    <col min="13826" max="13826" width="16.1640625" style="108" customWidth="1"/>
    <col min="13827" max="13827" width="22.33203125" style="108" customWidth="1"/>
    <col min="13828" max="13828" width="11.1640625" style="108" customWidth="1"/>
    <col min="13829" max="14079" width="9.33203125" style="108"/>
    <col min="14080" max="14080" width="8" style="108" customWidth="1"/>
    <col min="14081" max="14081" width="22.1640625" style="108" customWidth="1"/>
    <col min="14082" max="14082" width="16.1640625" style="108" customWidth="1"/>
    <col min="14083" max="14083" width="22.33203125" style="108" customWidth="1"/>
    <col min="14084" max="14084" width="11.1640625" style="108" customWidth="1"/>
    <col min="14085" max="14335" width="9.33203125" style="108"/>
    <col min="14336" max="14336" width="8" style="108" customWidth="1"/>
    <col min="14337" max="14337" width="22.1640625" style="108" customWidth="1"/>
    <col min="14338" max="14338" width="16.1640625" style="108" customWidth="1"/>
    <col min="14339" max="14339" width="22.33203125" style="108" customWidth="1"/>
    <col min="14340" max="14340" width="11.1640625" style="108" customWidth="1"/>
    <col min="14341" max="14591" width="9.33203125" style="108"/>
    <col min="14592" max="14592" width="8" style="108" customWidth="1"/>
    <col min="14593" max="14593" width="22.1640625" style="108" customWidth="1"/>
    <col min="14594" max="14594" width="16.1640625" style="108" customWidth="1"/>
    <col min="14595" max="14595" width="22.33203125" style="108" customWidth="1"/>
    <col min="14596" max="14596" width="11.1640625" style="108" customWidth="1"/>
    <col min="14597" max="14847" width="9.33203125" style="108"/>
    <col min="14848" max="14848" width="8" style="108" customWidth="1"/>
    <col min="14849" max="14849" width="22.1640625" style="108" customWidth="1"/>
    <col min="14850" max="14850" width="16.1640625" style="108" customWidth="1"/>
    <col min="14851" max="14851" width="22.33203125" style="108" customWidth="1"/>
    <col min="14852" max="14852" width="11.1640625" style="108" customWidth="1"/>
    <col min="14853" max="15103" width="9.33203125" style="108"/>
    <col min="15104" max="15104" width="8" style="108" customWidth="1"/>
    <col min="15105" max="15105" width="22.1640625" style="108" customWidth="1"/>
    <col min="15106" max="15106" width="16.1640625" style="108" customWidth="1"/>
    <col min="15107" max="15107" width="22.33203125" style="108" customWidth="1"/>
    <col min="15108" max="15108" width="11.1640625" style="108" customWidth="1"/>
    <col min="15109" max="15359" width="9.33203125" style="108"/>
    <col min="15360" max="15360" width="8" style="108" customWidth="1"/>
    <col min="15361" max="15361" width="22.1640625" style="108" customWidth="1"/>
    <col min="15362" max="15362" width="16.1640625" style="108" customWidth="1"/>
    <col min="15363" max="15363" width="22.33203125" style="108" customWidth="1"/>
    <col min="15364" max="15364" width="11.1640625" style="108" customWidth="1"/>
    <col min="15365" max="15615" width="9.33203125" style="108"/>
    <col min="15616" max="15616" width="8" style="108" customWidth="1"/>
    <col min="15617" max="15617" width="22.1640625" style="108" customWidth="1"/>
    <col min="15618" max="15618" width="16.1640625" style="108" customWidth="1"/>
    <col min="15619" max="15619" width="22.33203125" style="108" customWidth="1"/>
    <col min="15620" max="15620" width="11.1640625" style="108" customWidth="1"/>
    <col min="15621" max="15871" width="9.33203125" style="108"/>
    <col min="15872" max="15872" width="8" style="108" customWidth="1"/>
    <col min="15873" max="15873" width="22.1640625" style="108" customWidth="1"/>
    <col min="15874" max="15874" width="16.1640625" style="108" customWidth="1"/>
    <col min="15875" max="15875" width="22.33203125" style="108" customWidth="1"/>
    <col min="15876" max="15876" width="11.1640625" style="108" customWidth="1"/>
    <col min="15877" max="16127" width="9.33203125" style="108"/>
    <col min="16128" max="16128" width="8" style="108" customWidth="1"/>
    <col min="16129" max="16129" width="22.1640625" style="108" customWidth="1"/>
    <col min="16130" max="16130" width="16.1640625" style="108" customWidth="1"/>
    <col min="16131" max="16131" width="22.33203125" style="108" customWidth="1"/>
    <col min="16132" max="16132" width="11.1640625" style="108" customWidth="1"/>
    <col min="16133" max="16384" width="9.33203125" style="108"/>
  </cols>
  <sheetData>
    <row r="1" spans="1:8" ht="28.5" customHeight="1" thickBot="1" x14ac:dyDescent="0.25">
      <c r="A1" s="451" t="s">
        <v>2056</v>
      </c>
      <c r="B1" s="452"/>
      <c r="C1" s="452"/>
      <c r="D1" s="452"/>
      <c r="E1" s="452"/>
      <c r="F1" s="452"/>
      <c r="G1" s="453"/>
    </row>
    <row r="2" spans="1:8" ht="18" customHeight="1" x14ac:dyDescent="0.2">
      <c r="A2" s="454" t="s">
        <v>159</v>
      </c>
      <c r="B2" s="455" t="str">
        <f>GLOBAL_DER_FEV_2023!C13</f>
        <v>RIO BOM</v>
      </c>
      <c r="C2" s="456"/>
      <c r="D2" s="456"/>
      <c r="E2" s="456"/>
      <c r="F2" s="456" t="s">
        <v>2108</v>
      </c>
      <c r="G2" s="457" t="str">
        <f>GLOBAL_DER_FEV_2023!O13</f>
        <v>XX</v>
      </c>
      <c r="H2" s="461"/>
    </row>
    <row r="3" spans="1:8" ht="18" customHeight="1" x14ac:dyDescent="0.2">
      <c r="A3" s="459" t="s">
        <v>2104</v>
      </c>
      <c r="B3" s="460" t="str">
        <f>GLOBAL_DER_FEV_2023!C14</f>
        <v>PAVIMENTAÇÃO DE VIAS URBANAS</v>
      </c>
      <c r="C3" s="461"/>
      <c r="D3" s="461"/>
      <c r="E3" s="461"/>
      <c r="F3" s="461" t="s">
        <v>2109</v>
      </c>
      <c r="G3" s="462" t="str">
        <f>GLOBAL_DER_FEV_2023!O14</f>
        <v>1</v>
      </c>
      <c r="H3" s="461"/>
    </row>
    <row r="4" spans="1:8" ht="18" customHeight="1" thickBot="1" x14ac:dyDescent="0.25">
      <c r="A4" s="459" t="s">
        <v>2057</v>
      </c>
      <c r="B4" s="463" t="str">
        <f>GLOBAL_DER_FEV_2023!C15</f>
        <v>RESIDENCIAL CENTRAL PARK, CONSOLIDAÇÃO, JARDIM SANTA EDWIGES E RES. PÔR DO SOL</v>
      </c>
      <c r="C4" s="464"/>
      <c r="D4" s="465"/>
      <c r="E4" s="464"/>
      <c r="F4" s="461"/>
      <c r="G4" s="466"/>
      <c r="H4" s="461"/>
    </row>
    <row r="5" spans="1:8" ht="15" customHeight="1" x14ac:dyDescent="0.2">
      <c r="A5" s="467"/>
      <c r="B5" s="468" t="s">
        <v>11</v>
      </c>
      <c r="C5" s="496"/>
      <c r="D5" s="469" t="s">
        <v>2058</v>
      </c>
      <c r="E5" s="469"/>
      <c r="F5" s="469" t="s">
        <v>2059</v>
      </c>
      <c r="G5" s="470"/>
      <c r="H5" s="461"/>
    </row>
    <row r="6" spans="1:8" ht="15" customHeight="1" thickBot="1" x14ac:dyDescent="0.25">
      <c r="A6" s="642" t="s">
        <v>2156</v>
      </c>
      <c r="B6" s="471" t="s">
        <v>2060</v>
      </c>
      <c r="C6" s="497" t="s">
        <v>2061</v>
      </c>
      <c r="D6" s="472" t="s">
        <v>2062</v>
      </c>
      <c r="E6" s="472" t="s">
        <v>2063</v>
      </c>
      <c r="F6" s="472" t="s">
        <v>2062</v>
      </c>
      <c r="G6" s="473" t="s">
        <v>2063</v>
      </c>
      <c r="H6" s="461"/>
    </row>
    <row r="7" spans="1:8" ht="15" customHeight="1" x14ac:dyDescent="0.2">
      <c r="A7" s="1343" t="s">
        <v>2107</v>
      </c>
      <c r="B7" s="474" t="s">
        <v>2064</v>
      </c>
      <c r="C7" s="498" t="s">
        <v>2065</v>
      </c>
      <c r="D7" s="696"/>
      <c r="E7" s="484"/>
      <c r="F7" s="446"/>
      <c r="G7" s="490"/>
      <c r="H7" s="461"/>
    </row>
    <row r="8" spans="1:8" ht="15" customHeight="1" x14ac:dyDescent="0.2">
      <c r="A8" s="1344"/>
      <c r="B8" s="475" t="s">
        <v>229</v>
      </c>
      <c r="C8" s="499" t="s">
        <v>2066</v>
      </c>
      <c r="D8" s="697"/>
      <c r="E8" s="485"/>
      <c r="F8" s="447">
        <v>150</v>
      </c>
      <c r="G8" s="491"/>
      <c r="H8" s="461" t="s">
        <v>2067</v>
      </c>
    </row>
    <row r="9" spans="1:8" ht="15" customHeight="1" x14ac:dyDescent="0.2">
      <c r="A9" s="1344"/>
      <c r="B9" s="475" t="s">
        <v>2127</v>
      </c>
      <c r="C9" s="499" t="s">
        <v>2068</v>
      </c>
      <c r="D9" s="697"/>
      <c r="E9" s="485"/>
      <c r="F9" s="447">
        <v>0.2</v>
      </c>
      <c r="G9" s="491"/>
      <c r="H9" s="461" t="s">
        <v>2069</v>
      </c>
    </row>
    <row r="10" spans="1:8" ht="15" customHeight="1" x14ac:dyDescent="0.2">
      <c r="A10" s="1344"/>
      <c r="B10" s="475" t="s">
        <v>2111</v>
      </c>
      <c r="C10" s="499" t="s">
        <v>2068</v>
      </c>
      <c r="D10" s="697"/>
      <c r="E10" s="485"/>
      <c r="F10" s="447">
        <v>0.2</v>
      </c>
      <c r="G10" s="491"/>
      <c r="H10" s="461" t="s">
        <v>2069</v>
      </c>
    </row>
    <row r="11" spans="1:8" ht="15" customHeight="1" x14ac:dyDescent="0.2">
      <c r="A11" s="1344"/>
      <c r="B11" s="475" t="s">
        <v>231</v>
      </c>
      <c r="C11" s="499" t="s">
        <v>2068</v>
      </c>
      <c r="D11" s="697"/>
      <c r="E11" s="485"/>
      <c r="F11" s="447">
        <v>0.2</v>
      </c>
      <c r="G11" s="491"/>
      <c r="H11" s="461" t="s">
        <v>2069</v>
      </c>
    </row>
    <row r="12" spans="1:8" ht="15" customHeight="1" x14ac:dyDescent="0.2">
      <c r="A12" s="1344"/>
      <c r="B12" s="475" t="s">
        <v>2136</v>
      </c>
      <c r="C12" s="499" t="s">
        <v>2068</v>
      </c>
      <c r="D12" s="697"/>
      <c r="E12" s="485"/>
      <c r="F12" s="447"/>
      <c r="G12" s="491"/>
      <c r="H12" s="461" t="s">
        <v>2069</v>
      </c>
    </row>
    <row r="13" spans="1:8" ht="15" customHeight="1" x14ac:dyDescent="0.2">
      <c r="A13" s="1344"/>
      <c r="B13" s="475" t="s">
        <v>2135</v>
      </c>
      <c r="C13" s="499" t="s">
        <v>2068</v>
      </c>
      <c r="D13" s="697"/>
      <c r="E13" s="485"/>
      <c r="F13" s="447"/>
      <c r="G13" s="491"/>
      <c r="H13" s="461" t="s">
        <v>2069</v>
      </c>
    </row>
    <row r="14" spans="1:8" ht="15" customHeight="1" x14ac:dyDescent="0.2">
      <c r="A14" s="1344"/>
      <c r="B14" s="475" t="s">
        <v>2115</v>
      </c>
      <c r="C14" s="499" t="s">
        <v>2068</v>
      </c>
      <c r="D14" s="697"/>
      <c r="E14" s="485"/>
      <c r="F14" s="447"/>
      <c r="G14" s="491"/>
      <c r="H14" s="461" t="s">
        <v>2069</v>
      </c>
    </row>
    <row r="15" spans="1:8" ht="15" customHeight="1" x14ac:dyDescent="0.2">
      <c r="A15" s="1344"/>
      <c r="B15" s="475" t="s">
        <v>2138</v>
      </c>
      <c r="C15" s="499" t="s">
        <v>2068</v>
      </c>
      <c r="D15" s="697"/>
      <c r="E15" s="485"/>
      <c r="F15" s="447"/>
      <c r="G15" s="491"/>
      <c r="H15" s="461" t="s">
        <v>2069</v>
      </c>
    </row>
    <row r="16" spans="1:8" ht="30" customHeight="1" x14ac:dyDescent="0.2">
      <c r="A16" s="1344"/>
      <c r="B16" s="505" t="s">
        <v>2137</v>
      </c>
      <c r="C16" s="499" t="s">
        <v>2068</v>
      </c>
      <c r="D16" s="697"/>
      <c r="E16" s="485"/>
      <c r="F16" s="447"/>
      <c r="G16" s="491"/>
      <c r="H16" s="461" t="s">
        <v>2069</v>
      </c>
    </row>
    <row r="17" spans="1:8" ht="15" customHeight="1" x14ac:dyDescent="0.2">
      <c r="A17" s="1344"/>
      <c r="B17" s="475" t="s">
        <v>2118</v>
      </c>
      <c r="C17" s="499" t="s">
        <v>2068</v>
      </c>
      <c r="D17" s="697"/>
      <c r="E17" s="485"/>
      <c r="F17" s="447"/>
      <c r="G17" s="491"/>
      <c r="H17" s="461" t="s">
        <v>2069</v>
      </c>
    </row>
    <row r="18" spans="1:8" ht="15" customHeight="1" x14ac:dyDescent="0.2">
      <c r="A18" s="1344"/>
      <c r="B18" s="475" t="s">
        <v>2123</v>
      </c>
      <c r="C18" s="477" t="s">
        <v>2119</v>
      </c>
      <c r="D18" s="447">
        <v>353</v>
      </c>
      <c r="E18" s="485"/>
      <c r="F18" s="697"/>
      <c r="G18" s="491"/>
      <c r="H18" s="461" t="s">
        <v>2124</v>
      </c>
    </row>
    <row r="19" spans="1:8" ht="15" customHeight="1" x14ac:dyDescent="0.2">
      <c r="A19" s="1344"/>
      <c r="B19" s="475" t="s">
        <v>2071</v>
      </c>
      <c r="C19" s="477" t="s">
        <v>2072</v>
      </c>
      <c r="D19" s="447">
        <v>45</v>
      </c>
      <c r="E19" s="486"/>
      <c r="F19" s="698"/>
      <c r="G19" s="492"/>
      <c r="H19" s="461" t="s">
        <v>1950</v>
      </c>
    </row>
    <row r="20" spans="1:8" ht="15" customHeight="1" x14ac:dyDescent="0.2">
      <c r="A20" s="1344"/>
      <c r="B20" s="475" t="s">
        <v>2091</v>
      </c>
      <c r="C20" s="477" t="s">
        <v>2074</v>
      </c>
      <c r="D20" s="447">
        <v>308</v>
      </c>
      <c r="E20" s="485"/>
      <c r="F20" s="697"/>
      <c r="G20" s="491"/>
      <c r="H20" s="461" t="s">
        <v>2124</v>
      </c>
    </row>
    <row r="21" spans="1:8" ht="15" customHeight="1" x14ac:dyDescent="0.2">
      <c r="A21" s="1344"/>
      <c r="B21" s="475" t="s">
        <v>2139</v>
      </c>
      <c r="C21" s="477" t="s">
        <v>2070</v>
      </c>
      <c r="D21" s="485"/>
      <c r="E21" s="485"/>
      <c r="F21" s="447"/>
      <c r="G21" s="491"/>
      <c r="H21" s="461"/>
    </row>
    <row r="22" spans="1:8" ht="15" customHeight="1" x14ac:dyDescent="0.2">
      <c r="A22" s="1344"/>
      <c r="B22" s="475" t="s">
        <v>2140</v>
      </c>
      <c r="C22" s="477" t="s">
        <v>2070</v>
      </c>
      <c r="D22" s="485"/>
      <c r="E22" s="485"/>
      <c r="F22" s="447">
        <v>21</v>
      </c>
      <c r="G22" s="491"/>
      <c r="H22" s="461"/>
    </row>
    <row r="23" spans="1:8" ht="15" customHeight="1" x14ac:dyDescent="0.2">
      <c r="A23" s="1344"/>
      <c r="B23" s="475" t="s">
        <v>2133</v>
      </c>
      <c r="C23" s="477" t="s">
        <v>2072</v>
      </c>
      <c r="D23" s="447">
        <v>45</v>
      </c>
      <c r="E23" s="486"/>
      <c r="F23" s="698"/>
      <c r="G23" s="492"/>
      <c r="H23" s="461" t="s">
        <v>2073</v>
      </c>
    </row>
    <row r="24" spans="1:8" ht="15" customHeight="1" x14ac:dyDescent="0.2">
      <c r="A24" s="1344"/>
      <c r="B24" s="475" t="s">
        <v>2134</v>
      </c>
      <c r="C24" s="477" t="s">
        <v>2075</v>
      </c>
      <c r="D24" s="447">
        <v>353</v>
      </c>
      <c r="E24" s="486"/>
      <c r="F24" s="698"/>
      <c r="G24" s="492"/>
      <c r="H24" s="461" t="s">
        <v>2076</v>
      </c>
    </row>
    <row r="25" spans="1:8" ht="15" customHeight="1" x14ac:dyDescent="0.2">
      <c r="A25" s="1344"/>
      <c r="B25" s="475" t="s">
        <v>2077</v>
      </c>
      <c r="C25" s="477" t="s">
        <v>2078</v>
      </c>
      <c r="D25" s="447">
        <v>45</v>
      </c>
      <c r="E25" s="485"/>
      <c r="F25" s="697"/>
      <c r="G25" s="491"/>
      <c r="H25" s="461"/>
    </row>
    <row r="26" spans="1:8" ht="15" customHeight="1" x14ac:dyDescent="0.2">
      <c r="A26" s="1344"/>
      <c r="B26" s="475" t="s">
        <v>2079</v>
      </c>
      <c r="C26" s="500" t="s">
        <v>2110</v>
      </c>
      <c r="D26" s="697"/>
      <c r="E26" s="485"/>
      <c r="F26" s="447">
        <v>23</v>
      </c>
      <c r="G26" s="491"/>
      <c r="H26" s="461" t="s">
        <v>2069</v>
      </c>
    </row>
    <row r="27" spans="1:8" ht="15" customHeight="1" x14ac:dyDescent="0.2">
      <c r="A27" s="1344"/>
      <c r="B27" s="475" t="s">
        <v>2131</v>
      </c>
      <c r="C27" s="500" t="s">
        <v>2110</v>
      </c>
      <c r="D27" s="697"/>
      <c r="E27" s="485"/>
      <c r="F27" s="447"/>
      <c r="G27" s="491"/>
      <c r="H27" s="461"/>
    </row>
    <row r="28" spans="1:8" ht="15" customHeight="1" x14ac:dyDescent="0.2">
      <c r="A28" s="1344"/>
      <c r="B28" s="475" t="s">
        <v>2080</v>
      </c>
      <c r="C28" s="500" t="s">
        <v>2081</v>
      </c>
      <c r="D28" s="697"/>
      <c r="E28" s="485"/>
      <c r="F28" s="447">
        <v>22</v>
      </c>
      <c r="G28" s="491"/>
      <c r="H28" s="461" t="s">
        <v>2082</v>
      </c>
    </row>
    <row r="29" spans="1:8" ht="15" customHeight="1" x14ac:dyDescent="0.2">
      <c r="A29" s="1344"/>
      <c r="B29" s="475" t="s">
        <v>2083</v>
      </c>
      <c r="C29" s="500" t="s">
        <v>2084</v>
      </c>
      <c r="D29" s="697"/>
      <c r="E29" s="485"/>
      <c r="F29" s="447">
        <v>3</v>
      </c>
      <c r="G29" s="491"/>
      <c r="H29" s="461"/>
    </row>
    <row r="30" spans="1:8" ht="15" customHeight="1" x14ac:dyDescent="0.2">
      <c r="A30" s="1344"/>
      <c r="B30" s="475" t="s">
        <v>2085</v>
      </c>
      <c r="C30" s="500" t="s">
        <v>2084</v>
      </c>
      <c r="D30" s="697"/>
      <c r="E30" s="485"/>
      <c r="F30" s="447">
        <v>3</v>
      </c>
      <c r="G30" s="491"/>
      <c r="H30" s="461"/>
    </row>
    <row r="31" spans="1:8" ht="15" customHeight="1" x14ac:dyDescent="0.2">
      <c r="A31" s="1344"/>
      <c r="B31" s="475" t="s">
        <v>2126</v>
      </c>
      <c r="C31" s="477" t="s">
        <v>2070</v>
      </c>
      <c r="D31" s="697"/>
      <c r="E31" s="485"/>
      <c r="F31" s="447">
        <v>0</v>
      </c>
      <c r="G31" s="491"/>
      <c r="H31" s="461"/>
    </row>
    <row r="32" spans="1:8" ht="15" customHeight="1" x14ac:dyDescent="0.2">
      <c r="A32" s="1344"/>
      <c r="B32" s="475" t="s">
        <v>2086</v>
      </c>
      <c r="C32" s="477" t="s">
        <v>2070</v>
      </c>
      <c r="D32" s="697"/>
      <c r="E32" s="485"/>
      <c r="F32" s="447">
        <v>10</v>
      </c>
      <c r="G32" s="491"/>
      <c r="H32" s="461"/>
    </row>
    <row r="33" spans="1:8" ht="15" customHeight="1" x14ac:dyDescent="0.2">
      <c r="A33" s="1344"/>
      <c r="B33" s="475" t="s">
        <v>2087</v>
      </c>
      <c r="C33" s="477" t="s">
        <v>2078</v>
      </c>
      <c r="D33" s="697"/>
      <c r="E33" s="487"/>
      <c r="F33" s="448"/>
      <c r="G33" s="493"/>
      <c r="H33" s="461"/>
    </row>
    <row r="34" spans="1:8" ht="15" customHeight="1" x14ac:dyDescent="0.2">
      <c r="A34" s="1344"/>
      <c r="B34" s="475" t="s">
        <v>2125</v>
      </c>
      <c r="C34" s="477" t="s">
        <v>2070</v>
      </c>
      <c r="D34" s="697"/>
      <c r="E34" s="487"/>
      <c r="F34" s="448">
        <v>0.1</v>
      </c>
      <c r="G34" s="493"/>
      <c r="H34" s="461"/>
    </row>
    <row r="35" spans="1:8" ht="15" customHeight="1" x14ac:dyDescent="0.2">
      <c r="A35" s="1344"/>
      <c r="B35" s="475" t="s">
        <v>2112</v>
      </c>
      <c r="C35" s="477" t="s">
        <v>2070</v>
      </c>
      <c r="D35" s="697"/>
      <c r="E35" s="487"/>
      <c r="F35" s="448">
        <v>0.1</v>
      </c>
      <c r="G35" s="493"/>
      <c r="H35" s="461"/>
    </row>
    <row r="36" spans="1:8" ht="15" customHeight="1" x14ac:dyDescent="0.2">
      <c r="A36" s="1344"/>
      <c r="B36" s="475" t="s">
        <v>2141</v>
      </c>
      <c r="C36" s="477" t="s">
        <v>2070</v>
      </c>
      <c r="D36" s="697"/>
      <c r="E36" s="487"/>
      <c r="F36" s="448">
        <v>0.1</v>
      </c>
      <c r="G36" s="493"/>
      <c r="H36" s="461"/>
    </row>
    <row r="37" spans="1:8" ht="15" customHeight="1" x14ac:dyDescent="0.2">
      <c r="A37" s="1344"/>
      <c r="B37" s="475" t="s">
        <v>2113</v>
      </c>
      <c r="C37" s="477" t="s">
        <v>2070</v>
      </c>
      <c r="D37" s="697"/>
      <c r="E37" s="487"/>
      <c r="F37" s="448">
        <v>0.1</v>
      </c>
      <c r="G37" s="493"/>
      <c r="H37" s="461"/>
    </row>
    <row r="38" spans="1:8" ht="15" customHeight="1" thickBot="1" x14ac:dyDescent="0.25">
      <c r="A38" s="1345"/>
      <c r="B38" s="475" t="s">
        <v>336</v>
      </c>
      <c r="C38" s="477" t="s">
        <v>2065</v>
      </c>
      <c r="D38" s="699"/>
      <c r="E38" s="487"/>
      <c r="F38" s="447">
        <v>40</v>
      </c>
      <c r="G38" s="493"/>
      <c r="H38" s="461" t="s">
        <v>2088</v>
      </c>
    </row>
    <row r="39" spans="1:8" ht="18" customHeight="1" x14ac:dyDescent="0.2">
      <c r="A39" s="1349" t="s">
        <v>2117</v>
      </c>
      <c r="B39" s="476" t="s">
        <v>2089</v>
      </c>
      <c r="C39" s="501" t="s">
        <v>2105</v>
      </c>
      <c r="D39" s="700"/>
      <c r="E39" s="488"/>
      <c r="F39" s="449">
        <v>150</v>
      </c>
      <c r="G39" s="494"/>
      <c r="H39" s="461"/>
    </row>
    <row r="40" spans="1:8" ht="18" customHeight="1" x14ac:dyDescent="0.2">
      <c r="A40" s="1350"/>
      <c r="B40" s="475" t="s">
        <v>233</v>
      </c>
      <c r="C40" s="499" t="s">
        <v>2106</v>
      </c>
      <c r="D40" s="697"/>
      <c r="E40" s="485"/>
      <c r="F40" s="447">
        <v>0.2</v>
      </c>
      <c r="G40" s="491"/>
      <c r="H40" s="461"/>
    </row>
    <row r="41" spans="1:8" ht="18" customHeight="1" thickBot="1" x14ac:dyDescent="0.25">
      <c r="A41" s="1350"/>
      <c r="B41" s="475" t="s">
        <v>2091</v>
      </c>
      <c r="C41" s="477" t="s">
        <v>2074</v>
      </c>
      <c r="D41" s="447">
        <v>308</v>
      </c>
      <c r="E41" s="485"/>
      <c r="F41" s="697"/>
      <c r="G41" s="491"/>
      <c r="H41" s="461"/>
    </row>
    <row r="42" spans="1:8" ht="15" customHeight="1" x14ac:dyDescent="0.2">
      <c r="A42" s="1346" t="s">
        <v>2116</v>
      </c>
      <c r="B42" s="476" t="s">
        <v>2089</v>
      </c>
      <c r="C42" s="501" t="s">
        <v>2090</v>
      </c>
      <c r="D42" s="700"/>
      <c r="E42" s="488"/>
      <c r="F42" s="449">
        <v>150</v>
      </c>
      <c r="G42" s="494"/>
      <c r="H42" s="461"/>
    </row>
    <row r="43" spans="1:8" ht="15" customHeight="1" x14ac:dyDescent="0.2">
      <c r="A43" s="1347"/>
      <c r="B43" s="475" t="s">
        <v>233</v>
      </c>
      <c r="C43" s="499" t="s">
        <v>2068</v>
      </c>
      <c r="D43" s="697"/>
      <c r="E43" s="485"/>
      <c r="F43" s="447">
        <v>0.2</v>
      </c>
      <c r="G43" s="491"/>
      <c r="H43" s="461"/>
    </row>
    <row r="44" spans="1:8" ht="15" customHeight="1" x14ac:dyDescent="0.2">
      <c r="A44" s="1347"/>
      <c r="B44" s="475" t="s">
        <v>231</v>
      </c>
      <c r="C44" s="499" t="s">
        <v>2068</v>
      </c>
      <c r="D44" s="697"/>
      <c r="E44" s="485"/>
      <c r="F44" s="447">
        <v>0.2</v>
      </c>
      <c r="G44" s="491"/>
      <c r="H44" s="461"/>
    </row>
    <row r="45" spans="1:8" ht="15" customHeight="1" x14ac:dyDescent="0.2">
      <c r="A45" s="1347"/>
      <c r="B45" s="475" t="s">
        <v>2092</v>
      </c>
      <c r="C45" s="477" t="s">
        <v>2072</v>
      </c>
      <c r="D45" s="447">
        <v>45</v>
      </c>
      <c r="E45" s="485"/>
      <c r="F45" s="697"/>
      <c r="G45" s="491"/>
      <c r="H45" s="461"/>
    </row>
    <row r="46" spans="1:8" ht="15" customHeight="1" x14ac:dyDescent="0.2">
      <c r="A46" s="1347"/>
      <c r="B46" s="475" t="s">
        <v>2093</v>
      </c>
      <c r="C46" s="477" t="s">
        <v>2119</v>
      </c>
      <c r="D46" s="447">
        <v>353</v>
      </c>
      <c r="E46" s="485"/>
      <c r="F46" s="697"/>
      <c r="G46" s="491"/>
      <c r="H46" s="461"/>
    </row>
    <row r="47" spans="1:8" ht="15" customHeight="1" thickBot="1" x14ac:dyDescent="0.25">
      <c r="A47" s="1348"/>
      <c r="B47" s="478" t="s">
        <v>2114</v>
      </c>
      <c r="C47" s="502" t="s">
        <v>2075</v>
      </c>
      <c r="D47" s="450">
        <v>45</v>
      </c>
      <c r="E47" s="489"/>
      <c r="F47" s="701"/>
      <c r="G47" s="495"/>
      <c r="H47" s="461" t="s">
        <v>2076</v>
      </c>
    </row>
    <row r="48" spans="1:8" ht="18" customHeight="1" x14ac:dyDescent="0.2">
      <c r="A48" s="1349" t="s">
        <v>2128</v>
      </c>
      <c r="B48" s="476" t="s">
        <v>2089</v>
      </c>
      <c r="C48" s="501" t="s">
        <v>2105</v>
      </c>
      <c r="D48" s="700"/>
      <c r="E48" s="488"/>
      <c r="F48" s="449">
        <v>165</v>
      </c>
      <c r="G48" s="494"/>
      <c r="H48" s="461"/>
    </row>
    <row r="49" spans="1:8" ht="18" customHeight="1" x14ac:dyDescent="0.2">
      <c r="A49" s="1350"/>
      <c r="B49" s="475" t="s">
        <v>233</v>
      </c>
      <c r="C49" s="499" t="s">
        <v>2106</v>
      </c>
      <c r="D49" s="697"/>
      <c r="E49" s="485"/>
      <c r="F49" s="447">
        <v>0.2</v>
      </c>
      <c r="G49" s="491"/>
      <c r="H49" s="461"/>
    </row>
    <row r="50" spans="1:8" ht="18" customHeight="1" x14ac:dyDescent="0.2">
      <c r="A50" s="1350"/>
      <c r="B50" s="507" t="s">
        <v>2129</v>
      </c>
      <c r="C50" s="508" t="s">
        <v>2130</v>
      </c>
      <c r="D50" s="699"/>
      <c r="E50" s="487"/>
      <c r="F50" s="448">
        <v>0</v>
      </c>
      <c r="G50" s="493"/>
      <c r="H50" s="461"/>
    </row>
    <row r="51" spans="1:8" ht="18" customHeight="1" thickBot="1" x14ac:dyDescent="0.25">
      <c r="A51" s="1351"/>
      <c r="B51" s="478" t="s">
        <v>2091</v>
      </c>
      <c r="C51" s="503" t="s">
        <v>2074</v>
      </c>
      <c r="D51" s="450">
        <v>308</v>
      </c>
      <c r="E51" s="489"/>
      <c r="F51" s="701"/>
      <c r="G51" s="495"/>
      <c r="H51" s="461"/>
    </row>
    <row r="52" spans="1:8" x14ac:dyDescent="0.2">
      <c r="A52" s="479"/>
      <c r="B52" s="458"/>
      <c r="C52" s="480"/>
      <c r="D52" s="481"/>
      <c r="E52" s="481"/>
      <c r="F52" s="481"/>
      <c r="G52" s="481"/>
      <c r="H52" s="461"/>
    </row>
    <row r="53" spans="1:8" ht="18" customHeight="1" x14ac:dyDescent="0.2">
      <c r="A53" s="587" t="s">
        <v>2094</v>
      </c>
      <c r="B53" s="587"/>
      <c r="C53" s="587"/>
      <c r="D53" s="587"/>
      <c r="E53" s="587"/>
      <c r="F53" s="587"/>
      <c r="G53" s="587"/>
      <c r="H53" s="461"/>
    </row>
    <row r="54" spans="1:8" x14ac:dyDescent="0.2">
      <c r="A54" s="458"/>
      <c r="B54" s="458"/>
      <c r="C54" s="458"/>
      <c r="D54" s="458"/>
      <c r="E54" s="458"/>
      <c r="F54" s="458"/>
      <c r="G54" s="458"/>
      <c r="H54" s="461"/>
    </row>
    <row r="55" spans="1:8" x14ac:dyDescent="0.2">
      <c r="A55" s="482" t="s">
        <v>2059</v>
      </c>
      <c r="B55" s="482" t="s">
        <v>2061</v>
      </c>
      <c r="C55" s="458"/>
      <c r="D55" s="458"/>
      <c r="E55" s="458"/>
      <c r="F55" s="458"/>
      <c r="G55" s="458"/>
      <c r="H55" s="461"/>
    </row>
    <row r="56" spans="1:8" x14ac:dyDescent="0.2">
      <c r="A56" s="585" t="s">
        <v>2065</v>
      </c>
      <c r="B56" s="483" t="s">
        <v>2095</v>
      </c>
      <c r="C56" s="458"/>
      <c r="D56" s="458"/>
      <c r="E56" s="458"/>
      <c r="F56" s="458"/>
      <c r="G56" s="458"/>
      <c r="H56" s="461"/>
    </row>
    <row r="57" spans="1:8" x14ac:dyDescent="0.2">
      <c r="A57" s="585" t="s">
        <v>2070</v>
      </c>
      <c r="B57" s="458" t="s">
        <v>2096</v>
      </c>
      <c r="C57" s="458"/>
      <c r="D57" s="458"/>
      <c r="E57" s="458"/>
      <c r="F57" s="458"/>
      <c r="G57" s="458"/>
      <c r="H57" s="461"/>
    </row>
    <row r="58" spans="1:8" x14ac:dyDescent="0.2">
      <c r="A58" s="585" t="s">
        <v>2078</v>
      </c>
      <c r="B58" s="458" t="s">
        <v>2097</v>
      </c>
      <c r="C58" s="458"/>
      <c r="D58" s="458"/>
      <c r="E58" s="458"/>
      <c r="F58" s="458"/>
      <c r="G58" s="458"/>
      <c r="H58" s="461"/>
    </row>
    <row r="59" spans="1:8" x14ac:dyDescent="0.2">
      <c r="A59" s="585" t="s">
        <v>2072</v>
      </c>
      <c r="B59" s="458" t="s">
        <v>2098</v>
      </c>
      <c r="C59" s="458"/>
      <c r="D59" s="458"/>
      <c r="E59" s="458"/>
      <c r="F59" s="458"/>
      <c r="G59" s="458"/>
      <c r="H59" s="461"/>
    </row>
    <row r="60" spans="1:8" x14ac:dyDescent="0.2">
      <c r="A60" s="585" t="s">
        <v>2074</v>
      </c>
      <c r="B60" s="458" t="s">
        <v>2121</v>
      </c>
      <c r="C60" s="458"/>
      <c r="D60" s="458"/>
      <c r="E60" s="458"/>
      <c r="F60" s="458"/>
      <c r="G60" s="458"/>
      <c r="H60" s="461"/>
    </row>
    <row r="61" spans="1:8" x14ac:dyDescent="0.2">
      <c r="A61" s="585" t="s">
        <v>2075</v>
      </c>
      <c r="B61" s="458" t="s">
        <v>2120</v>
      </c>
      <c r="C61" s="458"/>
      <c r="D61" s="458"/>
      <c r="E61" s="458"/>
      <c r="F61" s="458"/>
      <c r="G61" s="458"/>
      <c r="H61" s="461"/>
    </row>
    <row r="62" spans="1:8" x14ac:dyDescent="0.2">
      <c r="A62" s="586" t="s">
        <v>2119</v>
      </c>
      <c r="B62" s="458" t="s">
        <v>2122</v>
      </c>
      <c r="C62" s="458"/>
      <c r="D62" s="458"/>
      <c r="E62" s="458"/>
      <c r="F62" s="458"/>
      <c r="G62" s="458"/>
      <c r="H62" s="461"/>
    </row>
  </sheetData>
  <sheetProtection algorithmName="SHA-512" hashValue="MfNwT2fmwPgOx5N3N/ii7t/c2dfgzb7iEGHr49JchIjmVqg+Fg2BAkMgZ3ve3MNyc4StWWXF2jpHZQgOX9iNmg==" saltValue="vaVrPyaI5szfz7bwsa39Ng==" spinCount="100000" sheet="1" objects="1" scenarios="1" formatColumns="0" formatRows="0" autoFilter="0"/>
  <autoFilter ref="A6:H6" xr:uid="{00000000-0009-0000-0000-000006000000}"/>
  <mergeCells count="4">
    <mergeCell ref="A7:A38"/>
    <mergeCell ref="A42:A47"/>
    <mergeCell ref="A39:A41"/>
    <mergeCell ref="A48:A5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2" orientation="portrait" r:id="rId1"/>
  <ignoredErrors>
    <ignoredError sqref="B2:B4" unlockedFormula="1"/>
    <ignoredError sqref="C23:C25 A56:A62 C7:C9 C41:C43 C51 C45:C47 C37:C38 C18:C22 C31:C36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 filterMode="1">
    <tabColor rgb="FF00B050"/>
    <pageSetUpPr fitToPage="1"/>
  </sheetPr>
  <dimension ref="A1:AC2578"/>
  <sheetViews>
    <sheetView showGridLines="0" tabSelected="1" topLeftCell="B1" zoomScale="90" zoomScaleNormal="90" workbookViewId="0">
      <selection activeCell="N2558" sqref="N2558"/>
    </sheetView>
  </sheetViews>
  <sheetFormatPr defaultColWidth="21.6640625" defaultRowHeight="12.75" outlineLevelCol="1" x14ac:dyDescent="0.2"/>
  <cols>
    <col min="1" max="1" width="15.6640625" style="63" hidden="1" customWidth="1"/>
    <col min="2" max="2" width="19.83203125" style="572" customWidth="1"/>
    <col min="3" max="3" width="16.83203125" style="63" customWidth="1"/>
    <col min="4" max="4" width="76.33203125" style="37" customWidth="1"/>
    <col min="5" max="5" width="15.83203125" style="37" customWidth="1" outlineLevel="1"/>
    <col min="6" max="6" width="12.83203125" style="37" customWidth="1" outlineLevel="1"/>
    <col min="7" max="7" width="15.33203125" style="37" customWidth="1" outlineLevel="1"/>
    <col min="8" max="9" width="12.83203125" style="37" customWidth="1" outlineLevel="1"/>
    <col min="10" max="10" width="13.83203125" style="37" customWidth="1" outlineLevel="1"/>
    <col min="11" max="11" width="6.83203125" style="37" customWidth="1"/>
    <col min="12" max="12" width="15.83203125" style="37" customWidth="1"/>
    <col min="13" max="13" width="11.83203125" style="37" customWidth="1"/>
    <col min="14" max="15" width="22.83203125" style="37" customWidth="1"/>
    <col min="16" max="16" width="4.6640625" style="36" customWidth="1"/>
    <col min="17" max="19" width="4.6640625" style="37" customWidth="1"/>
    <col min="20" max="20" width="5.5" customWidth="1"/>
    <col min="21" max="21" width="17" style="37" customWidth="1"/>
    <col min="22" max="16384" width="21.6640625" style="37"/>
  </cols>
  <sheetData>
    <row r="1" spans="1:25" ht="26.25" customHeight="1" x14ac:dyDescent="0.2">
      <c r="B1" s="694" t="s">
        <v>418</v>
      </c>
      <c r="C1" s="695"/>
      <c r="D1" s="695"/>
      <c r="E1" s="704"/>
      <c r="F1" s="705"/>
      <c r="G1" s="35"/>
      <c r="H1" s="33"/>
      <c r="I1" s="34"/>
      <c r="J1" s="34"/>
      <c r="K1" s="528" t="s">
        <v>421</v>
      </c>
      <c r="L1" s="529" t="s">
        <v>421</v>
      </c>
      <c r="M1" s="530"/>
      <c r="N1" s="531" t="s">
        <v>421</v>
      </c>
      <c r="O1" s="532"/>
      <c r="S1" s="1355" t="s">
        <v>2160</v>
      </c>
      <c r="T1" s="1355"/>
      <c r="U1" s="1355"/>
      <c r="V1" s="1355"/>
    </row>
    <row r="2" spans="1:25" ht="24.75" customHeight="1" x14ac:dyDescent="0.2">
      <c r="B2" s="693" t="str">
        <f>$O$15</f>
        <v>Tabela Referência: DER/PR de FEVEREIRO/2023 sem desoneração</v>
      </c>
      <c r="C2" s="561"/>
      <c r="D2" s="554"/>
      <c r="E2" s="702"/>
      <c r="F2" s="703"/>
      <c r="G2" s="41"/>
      <c r="H2" s="38"/>
      <c r="I2" s="39"/>
      <c r="J2" s="38"/>
      <c r="K2" s="38"/>
      <c r="L2" s="560"/>
      <c r="M2" s="554"/>
      <c r="N2" s="554"/>
      <c r="O2" s="555"/>
      <c r="S2" s="1355"/>
      <c r="T2" s="1355"/>
      <c r="U2" s="1355"/>
      <c r="V2" s="1355"/>
    </row>
    <row r="3" spans="1:25" ht="18" customHeight="1" x14ac:dyDescent="0.2">
      <c r="B3" s="511"/>
      <c r="C3" s="512"/>
      <c r="D3" s="513" t="s">
        <v>422</v>
      </c>
      <c r="E3" s="514" t="s">
        <v>422</v>
      </c>
      <c r="F3" s="515"/>
      <c r="G3" s="44"/>
      <c r="H3" s="42"/>
      <c r="I3" s="39"/>
      <c r="J3" s="43"/>
      <c r="K3" s="516" t="s">
        <v>422</v>
      </c>
      <c r="L3" s="516" t="s">
        <v>422</v>
      </c>
      <c r="M3" s="554"/>
      <c r="N3" s="554"/>
      <c r="O3" s="555"/>
      <c r="S3" s="1355"/>
      <c r="T3" s="1355"/>
      <c r="U3" s="1355"/>
      <c r="V3" s="1355"/>
    </row>
    <row r="4" spans="1:25" ht="12.75" customHeight="1" x14ac:dyDescent="0.2">
      <c r="B4" s="567" t="s">
        <v>152</v>
      </c>
      <c r="C4" s="517"/>
      <c r="D4" s="518"/>
      <c r="E4" s="510"/>
      <c r="F4" s="47"/>
      <c r="G4" s="44"/>
      <c r="H4" s="42"/>
      <c r="I4" s="39"/>
      <c r="J4" s="43"/>
      <c r="K4" s="43"/>
      <c r="L4" s="558"/>
      <c r="M4" s="554"/>
      <c r="N4" s="554"/>
      <c r="O4" s="555"/>
      <c r="S4" s="1355"/>
      <c r="T4" s="1355"/>
      <c r="U4" s="1355"/>
      <c r="V4" s="1355"/>
      <c r="W4" s="578"/>
      <c r="X4" s="578"/>
      <c r="Y4" s="578"/>
    </row>
    <row r="5" spans="1:25" ht="12.75" customHeight="1" x14ac:dyDescent="0.2">
      <c r="B5" s="567" t="s">
        <v>152</v>
      </c>
      <c r="C5" s="517"/>
      <c r="D5" s="518"/>
      <c r="E5" s="510"/>
      <c r="F5" s="47"/>
      <c r="G5" s="44"/>
      <c r="H5" s="42"/>
      <c r="I5" s="39"/>
      <c r="J5" s="43"/>
      <c r="K5" s="43"/>
      <c r="L5" s="558"/>
      <c r="M5" s="554"/>
      <c r="N5" s="554"/>
      <c r="O5" s="555"/>
      <c r="S5" s="1355"/>
      <c r="T5" s="1355"/>
      <c r="U5" s="1355"/>
      <c r="V5" s="1355"/>
      <c r="W5" s="578"/>
      <c r="X5" s="578"/>
      <c r="Y5" s="578"/>
    </row>
    <row r="6" spans="1:25" ht="12.75" customHeight="1" x14ac:dyDescent="0.2">
      <c r="B6" s="567" t="s">
        <v>152</v>
      </c>
      <c r="C6" s="517"/>
      <c r="D6" s="518"/>
      <c r="E6" s="510"/>
      <c r="F6" s="47"/>
      <c r="G6" s="44"/>
      <c r="H6" s="42"/>
      <c r="I6" s="39"/>
      <c r="J6" s="43"/>
      <c r="K6" s="43"/>
      <c r="L6" s="558"/>
      <c r="M6" s="554"/>
      <c r="N6" s="554"/>
      <c r="O6" s="555"/>
      <c r="S6" s="1355"/>
      <c r="T6" s="1355"/>
      <c r="U6" s="1355"/>
      <c r="V6" s="1355"/>
      <c r="W6" s="578"/>
      <c r="X6" s="578"/>
      <c r="Y6" s="578"/>
    </row>
    <row r="7" spans="1:25" ht="55.5" customHeight="1" thickBot="1" x14ac:dyDescent="0.25">
      <c r="B7" s="567" t="s">
        <v>152</v>
      </c>
      <c r="C7" s="517"/>
      <c r="D7" s="518"/>
      <c r="E7" s="510"/>
      <c r="F7" s="47"/>
      <c r="G7" s="44"/>
      <c r="H7" s="42"/>
      <c r="I7" s="39"/>
      <c r="J7" s="43"/>
      <c r="K7" s="43"/>
      <c r="L7" s="558"/>
      <c r="M7" s="554"/>
      <c r="N7" s="554"/>
      <c r="O7" s="555"/>
      <c r="S7" s="1355"/>
      <c r="T7" s="1355"/>
      <c r="U7" s="1355"/>
      <c r="V7" s="1355"/>
    </row>
    <row r="8" spans="1:25" ht="18.75" customHeight="1" thickBot="1" x14ac:dyDescent="0.25">
      <c r="B8" s="519"/>
      <c r="C8" s="520"/>
      <c r="D8" s="518"/>
      <c r="E8" s="510"/>
      <c r="F8" s="1275" t="s">
        <v>2287</v>
      </c>
      <c r="G8" s="1276"/>
      <c r="H8" s="1277"/>
      <c r="I8" s="1278"/>
      <c r="J8" s="43"/>
      <c r="K8" s="43"/>
      <c r="L8" s="558"/>
      <c r="M8" s="554"/>
      <c r="N8" s="554"/>
      <c r="O8" s="555"/>
      <c r="S8" s="1355"/>
      <c r="T8" s="1355"/>
      <c r="U8" s="1355"/>
      <c r="V8" s="1355"/>
    </row>
    <row r="9" spans="1:25" ht="15" customHeight="1" thickBot="1" x14ac:dyDescent="0.25">
      <c r="B9" s="567"/>
      <c r="C9" s="517"/>
      <c r="D9" s="518" t="s">
        <v>2142</v>
      </c>
      <c r="E9" s="309">
        <f>BDI!B17</f>
        <v>0.15279999999999999</v>
      </c>
      <c r="F9" s="1279" t="s">
        <v>2285</v>
      </c>
      <c r="G9" s="1280"/>
      <c r="H9" s="1281"/>
      <c r="I9" s="1282"/>
      <c r="J9" s="43"/>
      <c r="K9" s="43"/>
      <c r="L9" s="558"/>
      <c r="M9" s="554"/>
      <c r="N9" s="554"/>
      <c r="O9" s="555"/>
      <c r="Q9" s="310"/>
      <c r="S9" s="1355"/>
      <c r="T9" s="1355"/>
      <c r="U9" s="1355"/>
      <c r="V9" s="1355"/>
    </row>
    <row r="10" spans="1:25" ht="13.5" thickBot="1" x14ac:dyDescent="0.25">
      <c r="B10" s="567"/>
      <c r="C10" s="517"/>
      <c r="D10" s="518" t="s">
        <v>2143</v>
      </c>
      <c r="E10" s="311">
        <f>BDI!B15</f>
        <v>0.20069999999999999</v>
      </c>
      <c r="F10" s="1283" t="s">
        <v>2286</v>
      </c>
      <c r="G10" s="1284"/>
      <c r="H10" s="1285"/>
      <c r="I10" s="1286"/>
      <c r="J10" s="43"/>
      <c r="K10" s="43"/>
      <c r="L10" s="558"/>
      <c r="M10" s="554"/>
      <c r="N10" s="554"/>
      <c r="O10" s="555"/>
    </row>
    <row r="11" spans="1:25" ht="13.5" thickBot="1" x14ac:dyDescent="0.25">
      <c r="B11" s="568"/>
      <c r="C11" s="521"/>
      <c r="D11" s="522"/>
      <c r="E11" s="312"/>
      <c r="F11" s="313"/>
      <c r="G11" s="52"/>
      <c r="H11" s="49"/>
      <c r="I11" s="50"/>
      <c r="J11" s="51"/>
      <c r="K11" s="51"/>
      <c r="L11" s="559"/>
      <c r="M11" s="556"/>
      <c r="N11" s="556"/>
      <c r="O11" s="557"/>
    </row>
    <row r="12" spans="1:25" ht="25.15" customHeight="1" thickBot="1" x14ac:dyDescent="0.25">
      <c r="B12" s="624" t="s">
        <v>157</v>
      </c>
      <c r="C12" s="625"/>
      <c r="D12" s="626"/>
      <c r="E12" s="626"/>
      <c r="F12" s="627"/>
      <c r="G12" s="626"/>
      <c r="H12" s="626"/>
      <c r="I12" s="626"/>
      <c r="J12" s="626"/>
      <c r="K12" s="626"/>
      <c r="L12" s="626"/>
      <c r="M12" s="626"/>
      <c r="N12" s="626"/>
      <c r="O12" s="627"/>
    </row>
    <row r="13" spans="1:25" s="77" customFormat="1" ht="18" customHeight="1" x14ac:dyDescent="0.2">
      <c r="A13" s="562"/>
      <c r="B13" s="829" t="s">
        <v>159</v>
      </c>
      <c r="C13" s="830" t="s">
        <v>2305</v>
      </c>
      <c r="D13" s="1188"/>
      <c r="E13" s="831" t="s">
        <v>160</v>
      </c>
      <c r="F13" s="832" t="str">
        <f>O13</f>
        <v>XX</v>
      </c>
      <c r="G13" s="833"/>
      <c r="H13" s="834"/>
      <c r="I13" s="834"/>
      <c r="J13" s="834"/>
      <c r="K13" s="834"/>
      <c r="L13" s="834"/>
      <c r="M13" s="834"/>
      <c r="N13" s="835" t="s">
        <v>160</v>
      </c>
      <c r="O13" s="836" t="s">
        <v>2010</v>
      </c>
      <c r="P13" s="76"/>
      <c r="T13" s="525"/>
    </row>
    <row r="14" spans="1:25" s="77" customFormat="1" ht="18" customHeight="1" x14ac:dyDescent="0.2">
      <c r="A14" s="562"/>
      <c r="B14" s="837" t="s">
        <v>161</v>
      </c>
      <c r="C14" s="838" t="s">
        <v>2007</v>
      </c>
      <c r="D14" s="1189"/>
      <c r="E14" s="839" t="s">
        <v>163</v>
      </c>
      <c r="F14" s="840" t="str">
        <f>O14</f>
        <v>1</v>
      </c>
      <c r="G14" s="841"/>
      <c r="H14" s="842"/>
      <c r="I14" s="842"/>
      <c r="J14" s="842"/>
      <c r="K14" s="842"/>
      <c r="L14" s="842"/>
      <c r="M14" s="842"/>
      <c r="N14" s="843" t="s">
        <v>162</v>
      </c>
      <c r="O14" s="844" t="s">
        <v>474</v>
      </c>
      <c r="P14" s="76"/>
      <c r="T14" s="525"/>
    </row>
    <row r="15" spans="1:25" s="77" customFormat="1" ht="18" customHeight="1" x14ac:dyDescent="0.2">
      <c r="A15" s="562"/>
      <c r="B15" s="837" t="s">
        <v>476</v>
      </c>
      <c r="C15" s="838" t="s">
        <v>2306</v>
      </c>
      <c r="D15" s="1189"/>
      <c r="E15" s="845"/>
      <c r="F15" s="840"/>
      <c r="G15" s="841"/>
      <c r="H15" s="842"/>
      <c r="I15" s="842"/>
      <c r="J15" s="842"/>
      <c r="K15" s="842"/>
      <c r="L15" s="842"/>
      <c r="M15" s="842"/>
      <c r="N15" s="842"/>
      <c r="O15" s="846" t="s">
        <v>2191</v>
      </c>
      <c r="P15" s="76"/>
      <c r="T15" s="525"/>
    </row>
    <row r="16" spans="1:25" s="77" customFormat="1" ht="18" customHeight="1" thickBot="1" x14ac:dyDescent="0.25">
      <c r="A16" s="562"/>
      <c r="B16" s="1114"/>
      <c r="C16" s="1115"/>
      <c r="D16" s="1116"/>
      <c r="E16" s="1117"/>
      <c r="F16" s="1117"/>
      <c r="G16" s="1115"/>
      <c r="H16" s="1115"/>
      <c r="I16" s="1115"/>
      <c r="J16" s="1115"/>
      <c r="K16" s="1115"/>
      <c r="L16" s="1115"/>
      <c r="M16" s="1115"/>
      <c r="N16" s="1118" t="s">
        <v>2226</v>
      </c>
      <c r="O16" s="1187">
        <v>45030</v>
      </c>
      <c r="P16" s="76"/>
      <c r="T16" s="525"/>
    </row>
    <row r="17" spans="1:23" s="77" customFormat="1" ht="18" customHeight="1" thickBot="1" x14ac:dyDescent="0.25">
      <c r="A17" s="562"/>
      <c r="B17" s="847" t="s">
        <v>414</v>
      </c>
      <c r="C17" s="848" t="s">
        <v>415</v>
      </c>
      <c r="D17" s="849" t="s">
        <v>153</v>
      </c>
      <c r="E17" s="850" t="s">
        <v>0</v>
      </c>
      <c r="F17" s="851" t="s">
        <v>1</v>
      </c>
      <c r="G17" s="852" t="s">
        <v>2</v>
      </c>
      <c r="H17" s="853"/>
      <c r="I17" s="854"/>
      <c r="J17" s="853"/>
      <c r="K17" s="855" t="s">
        <v>156</v>
      </c>
      <c r="L17" s="856" t="s">
        <v>2144</v>
      </c>
      <c r="M17" s="857"/>
      <c r="N17" s="858"/>
      <c r="O17" s="858"/>
      <c r="P17" s="523" t="s">
        <v>2011</v>
      </c>
      <c r="Q17" s="523"/>
      <c r="R17" s="524"/>
      <c r="S17" s="524"/>
      <c r="T17" s="525"/>
      <c r="U17" s="1356" t="s">
        <v>2273</v>
      </c>
      <c r="V17" s="314">
        <f>SUBTOTAL(9,V20:V2546)</f>
        <v>1262522.9099999999</v>
      </c>
      <c r="W17" s="315">
        <f>SUBTOTAL(9,W20:W2546)</f>
        <v>-1.6199999999953434</v>
      </c>
    </row>
    <row r="18" spans="1:23" ht="43.5" thickBot="1" x14ac:dyDescent="0.25">
      <c r="A18" s="563" t="s">
        <v>1858</v>
      </c>
      <c r="B18" s="859" t="s">
        <v>165</v>
      </c>
      <c r="C18" s="860"/>
      <c r="D18" s="861" t="s">
        <v>1859</v>
      </c>
      <c r="E18" s="862" t="s">
        <v>154</v>
      </c>
      <c r="F18" s="863" t="s">
        <v>155</v>
      </c>
      <c r="G18" s="864" t="s">
        <v>3</v>
      </c>
      <c r="H18" s="865" t="s">
        <v>4</v>
      </c>
      <c r="I18" s="865" t="s">
        <v>5</v>
      </c>
      <c r="J18" s="866" t="s">
        <v>6</v>
      </c>
      <c r="K18" s="867"/>
      <c r="L18" s="868" t="s">
        <v>7</v>
      </c>
      <c r="M18" s="869" t="s">
        <v>8</v>
      </c>
      <c r="N18" s="870" t="s">
        <v>9</v>
      </c>
      <c r="O18" s="871" t="s">
        <v>158</v>
      </c>
      <c r="P18" s="31" t="s">
        <v>416</v>
      </c>
      <c r="Q18" s="31" t="s">
        <v>419</v>
      </c>
      <c r="R18" s="31" t="s">
        <v>420</v>
      </c>
      <c r="S18" s="31" t="s">
        <v>418</v>
      </c>
      <c r="U18" s="1357"/>
      <c r="V18" s="316" t="s">
        <v>2272</v>
      </c>
      <c r="W18" s="1274" t="s">
        <v>2009</v>
      </c>
    </row>
    <row r="19" spans="1:23" ht="15" hidden="1" customHeight="1" thickBot="1" x14ac:dyDescent="0.25">
      <c r="A19" s="63" t="s">
        <v>474</v>
      </c>
      <c r="B19" s="872" t="s">
        <v>474</v>
      </c>
      <c r="C19" s="873"/>
      <c r="D19" s="874" t="s">
        <v>432</v>
      </c>
      <c r="E19" s="875"/>
      <c r="F19" s="876"/>
      <c r="G19" s="877"/>
      <c r="H19" s="878"/>
      <c r="I19" s="878"/>
      <c r="J19" s="878"/>
      <c r="K19" s="878" t="s">
        <v>507</v>
      </c>
      <c r="L19" s="879"/>
      <c r="M19" s="880"/>
      <c r="N19" s="881"/>
      <c r="O19" s="882">
        <f>SUM(N20:N68)</f>
        <v>0</v>
      </c>
      <c r="P19" s="58" t="str">
        <f>IF(OR(O19&gt;0,O19&gt;0),"X","")</f>
        <v/>
      </c>
      <c r="Q19" s="317" t="str">
        <f t="shared" ref="Q19" si="0">IF(P19="X","x",IF(P19="xx","x",IF(P19="xy","x",IF(P19="y","x",IF(OR(N19&gt;0,N19&gt;0),"x","")))))</f>
        <v/>
      </c>
      <c r="R19" s="317" t="str">
        <f t="shared" ref="R19" si="1">IF(P19="X","x",IF(P19="y","x",IF(P19="xx","x",IF(N19&gt;0,"x",""))))</f>
        <v/>
      </c>
      <c r="S19" s="317" t="str">
        <f t="shared" ref="S19" si="2">IF(P19="X","x",IF(N19&gt;0,"x",""))</f>
        <v/>
      </c>
    </row>
    <row r="20" spans="1:23" ht="15" hidden="1" customHeight="1" x14ac:dyDescent="0.2">
      <c r="A20" s="63">
        <v>831000</v>
      </c>
      <c r="B20" s="883" t="s">
        <v>1534</v>
      </c>
      <c r="C20" s="884" t="s">
        <v>184</v>
      </c>
      <c r="D20" s="885" t="s">
        <v>265</v>
      </c>
      <c r="E20" s="886"/>
      <c r="F20" s="887"/>
      <c r="G20" s="888"/>
      <c r="H20" s="889">
        <v>41.45</v>
      </c>
      <c r="I20" s="889">
        <f t="shared" ref="I20:I42" si="3">IF(ISBLANK(H20),"",SUM(G20:H20))</f>
        <v>41.45</v>
      </c>
      <c r="J20" s="890">
        <f>IF(ISBLANK(H20),0,ROUND(I20*(1+$E$10),2))</f>
        <v>49.77</v>
      </c>
      <c r="K20" s="891" t="s">
        <v>13</v>
      </c>
      <c r="L20" s="892">
        <f>ROUND(SUM('RES. CENTRAL PARK:RUA_FINAL'!L20),2)</f>
        <v>0</v>
      </c>
      <c r="M20" s="892">
        <f t="shared" ref="M20:M83" si="4">IF(L20=0,0,ROUND(J20,2))</f>
        <v>0</v>
      </c>
      <c r="N20" s="893">
        <f t="shared" ref="N20:N83" si="5">IF(ISBLANK(L20),0,ROUND(L20*M20,2))</f>
        <v>0</v>
      </c>
      <c r="O20" s="894"/>
      <c r="P20" s="76"/>
      <c r="Q20" s="317" t="str">
        <f t="shared" ref="Q20:Q83" si="6">IF(P20="X","x",IF(P20="xx","x",IF(P20="xy","x",IF(P20="y","x",IF(OR(N20&gt;0,N20&gt;0),"x","")))))</f>
        <v/>
      </c>
      <c r="R20" s="317" t="str">
        <f t="shared" ref="R20:R83" si="7">IF(P20="X","x",IF(P20="y","x",IF(P20="xx","x",IF(N20&gt;0,"x",""))))</f>
        <v/>
      </c>
      <c r="S20" s="317" t="str">
        <f t="shared" ref="S20:S83" si="8">IF(P20="X","x",IF(N20&gt;0,"x",""))</f>
        <v/>
      </c>
      <c r="V20" s="314">
        <f>SUM('RES. CENTRAL PARK:RUA_FINAL'!N20)</f>
        <v>0</v>
      </c>
      <c r="W20" s="315">
        <f>N20-V20</f>
        <v>0</v>
      </c>
    </row>
    <row r="21" spans="1:23" ht="15" hidden="1" customHeight="1" x14ac:dyDescent="0.2">
      <c r="A21" s="63">
        <v>830000</v>
      </c>
      <c r="B21" s="895" t="s">
        <v>1535</v>
      </c>
      <c r="C21" s="896" t="s">
        <v>184</v>
      </c>
      <c r="D21" s="897" t="s">
        <v>266</v>
      </c>
      <c r="E21" s="898"/>
      <c r="F21" s="899"/>
      <c r="G21" s="900"/>
      <c r="H21" s="889">
        <v>36.44</v>
      </c>
      <c r="I21" s="901">
        <f t="shared" si="3"/>
        <v>36.44</v>
      </c>
      <c r="J21" s="902">
        <f t="shared" ref="J21:J42" si="9">IF(ISBLANK(H21),0,ROUND(I21*(1+$E$10),2))</f>
        <v>43.75</v>
      </c>
      <c r="K21" s="903" t="s">
        <v>13</v>
      </c>
      <c r="L21" s="904">
        <f>ROUND(SUM('RES. CENTRAL PARK:RUA_FINAL'!L21),2)</f>
        <v>0</v>
      </c>
      <c r="M21" s="904">
        <f t="shared" si="4"/>
        <v>0</v>
      </c>
      <c r="N21" s="893">
        <f t="shared" si="5"/>
        <v>0</v>
      </c>
      <c r="O21" s="905"/>
      <c r="Q21" s="317" t="str">
        <f t="shared" si="6"/>
        <v/>
      </c>
      <c r="R21" s="317" t="str">
        <f t="shared" si="7"/>
        <v/>
      </c>
      <c r="S21" s="317" t="str">
        <f t="shared" si="8"/>
        <v/>
      </c>
      <c r="V21" s="314">
        <f>SUM('RES. CENTRAL PARK:RUA_FINAL'!N21)</f>
        <v>0</v>
      </c>
      <c r="W21" s="315">
        <f t="shared" ref="W21:W84" si="10">N21-V21</f>
        <v>0</v>
      </c>
    </row>
    <row r="22" spans="1:23" ht="15" hidden="1" customHeight="1" x14ac:dyDescent="0.2">
      <c r="A22" s="564">
        <v>606600</v>
      </c>
      <c r="B22" s="895" t="s">
        <v>1536</v>
      </c>
      <c r="C22" s="896" t="s">
        <v>184</v>
      </c>
      <c r="D22" s="906" t="s">
        <v>178</v>
      </c>
      <c r="E22" s="907"/>
      <c r="F22" s="899"/>
      <c r="G22" s="900"/>
      <c r="H22" s="889">
        <v>309.52999999999997</v>
      </c>
      <c r="I22" s="901">
        <f t="shared" si="3"/>
        <v>309.52999999999997</v>
      </c>
      <c r="J22" s="902">
        <f t="shared" si="9"/>
        <v>371.65</v>
      </c>
      <c r="K22" s="903" t="s">
        <v>10</v>
      </c>
      <c r="L22" s="904">
        <f>ROUND(SUM('RES. CENTRAL PARK:RUA_FINAL'!L22),2)</f>
        <v>0</v>
      </c>
      <c r="M22" s="904">
        <f t="shared" si="4"/>
        <v>0</v>
      </c>
      <c r="N22" s="893">
        <f t="shared" si="5"/>
        <v>0</v>
      </c>
      <c r="O22" s="905"/>
      <c r="Q22" s="317" t="str">
        <f t="shared" si="6"/>
        <v/>
      </c>
      <c r="R22" s="317" t="str">
        <f t="shared" si="7"/>
        <v/>
      </c>
      <c r="S22" s="317" t="str">
        <f t="shared" si="8"/>
        <v/>
      </c>
      <c r="V22" s="314">
        <f>SUM('RES. CENTRAL PARK:RUA_FINAL'!N22)</f>
        <v>0</v>
      </c>
      <c r="W22" s="315">
        <f t="shared" si="10"/>
        <v>0</v>
      </c>
    </row>
    <row r="23" spans="1:23" ht="15" hidden="1" customHeight="1" x14ac:dyDescent="0.2">
      <c r="A23" s="564">
        <v>606700</v>
      </c>
      <c r="B23" s="895" t="s">
        <v>1537</v>
      </c>
      <c r="C23" s="896" t="s">
        <v>184</v>
      </c>
      <c r="D23" s="906" t="s">
        <v>177</v>
      </c>
      <c r="E23" s="907"/>
      <c r="F23" s="899"/>
      <c r="G23" s="900"/>
      <c r="H23" s="889">
        <v>148.04</v>
      </c>
      <c r="I23" s="901">
        <f t="shared" si="3"/>
        <v>148.04</v>
      </c>
      <c r="J23" s="902">
        <f t="shared" si="9"/>
        <v>177.75</v>
      </c>
      <c r="K23" s="903" t="s">
        <v>10</v>
      </c>
      <c r="L23" s="904">
        <f>ROUND(SUM('RES. CENTRAL PARK:RUA_FINAL'!L23),2)</f>
        <v>0</v>
      </c>
      <c r="M23" s="904">
        <f t="shared" si="4"/>
        <v>0</v>
      </c>
      <c r="N23" s="893">
        <f t="shared" si="5"/>
        <v>0</v>
      </c>
      <c r="O23" s="905"/>
      <c r="Q23" s="317" t="str">
        <f t="shared" si="6"/>
        <v/>
      </c>
      <c r="R23" s="317" t="str">
        <f t="shared" si="7"/>
        <v/>
      </c>
      <c r="S23" s="317" t="str">
        <f t="shared" si="8"/>
        <v/>
      </c>
      <c r="V23" s="314">
        <f>SUM('RES. CENTRAL PARK:RUA_FINAL'!N23)</f>
        <v>0</v>
      </c>
      <c r="W23" s="315">
        <f t="shared" si="10"/>
        <v>0</v>
      </c>
    </row>
    <row r="24" spans="1:23" ht="15" hidden="1" customHeight="1" x14ac:dyDescent="0.2">
      <c r="A24" s="63">
        <v>512000</v>
      </c>
      <c r="B24" s="895">
        <v>512000</v>
      </c>
      <c r="C24" s="896" t="s">
        <v>184</v>
      </c>
      <c r="D24" s="906" t="s">
        <v>179</v>
      </c>
      <c r="E24" s="907">
        <f>DMT!$F$30</f>
        <v>3</v>
      </c>
      <c r="F24" s="908">
        <v>1.86</v>
      </c>
      <c r="G24" s="909">
        <f>IF(E24&lt;=30,(1.07*E24+2.68)*F24,((1.07*30+2.68)+1.07*(E24-30))*F24)</f>
        <v>10.955400000000001</v>
      </c>
      <c r="H24" s="889">
        <v>62.35</v>
      </c>
      <c r="I24" s="901">
        <f t="shared" si="3"/>
        <v>73.305400000000006</v>
      </c>
      <c r="J24" s="902">
        <f t="shared" si="9"/>
        <v>88.02</v>
      </c>
      <c r="K24" s="903" t="s">
        <v>10</v>
      </c>
      <c r="L24" s="904">
        <f>ROUND(SUM('RES. CENTRAL PARK:RUA_FINAL'!L24),2)</f>
        <v>0</v>
      </c>
      <c r="M24" s="904">
        <f t="shared" si="4"/>
        <v>0</v>
      </c>
      <c r="N24" s="893">
        <f t="shared" si="5"/>
        <v>0</v>
      </c>
      <c r="O24" s="905"/>
      <c r="Q24" s="317" t="str">
        <f t="shared" si="6"/>
        <v/>
      </c>
      <c r="R24" s="317" t="str">
        <f t="shared" si="7"/>
        <v/>
      </c>
      <c r="S24" s="317" t="str">
        <f t="shared" si="8"/>
        <v/>
      </c>
      <c r="V24" s="314">
        <f>SUM('RES. CENTRAL PARK:RUA_FINAL'!N24)</f>
        <v>0</v>
      </c>
      <c r="W24" s="315">
        <f t="shared" si="10"/>
        <v>0</v>
      </c>
    </row>
    <row r="25" spans="1:23" ht="15" hidden="1" customHeight="1" x14ac:dyDescent="0.2">
      <c r="A25" s="63">
        <v>512050</v>
      </c>
      <c r="B25" s="895">
        <v>512050</v>
      </c>
      <c r="C25" s="896" t="s">
        <v>184</v>
      </c>
      <c r="D25" s="906" t="s">
        <v>484</v>
      </c>
      <c r="E25" s="907">
        <f>DMT!$F$30</f>
        <v>3</v>
      </c>
      <c r="F25" s="908">
        <v>1.86</v>
      </c>
      <c r="G25" s="909">
        <f t="shared" ref="G25:G29" si="11">IF(E25&lt;=30,(1.07*E25+2.68)*F25,((1.07*30+2.68)+1.07*(E25-30))*F25)</f>
        <v>10.955400000000001</v>
      </c>
      <c r="H25" s="889">
        <v>41.9</v>
      </c>
      <c r="I25" s="901">
        <f t="shared" si="3"/>
        <v>52.855400000000003</v>
      </c>
      <c r="J25" s="902">
        <f t="shared" si="9"/>
        <v>63.46</v>
      </c>
      <c r="K25" s="903" t="s">
        <v>10</v>
      </c>
      <c r="L25" s="904">
        <f>ROUND(SUM('RES. CENTRAL PARK:RUA_FINAL'!L25),2)</f>
        <v>0</v>
      </c>
      <c r="M25" s="904">
        <f t="shared" si="4"/>
        <v>0</v>
      </c>
      <c r="N25" s="893">
        <f t="shared" si="5"/>
        <v>0</v>
      </c>
      <c r="O25" s="905"/>
      <c r="Q25" s="317" t="str">
        <f t="shared" si="6"/>
        <v/>
      </c>
      <c r="R25" s="317" t="str">
        <f t="shared" si="7"/>
        <v/>
      </c>
      <c r="S25" s="317" t="str">
        <f t="shared" si="8"/>
        <v/>
      </c>
      <c r="V25" s="314">
        <f>SUM('RES. CENTRAL PARK:RUA_FINAL'!N25)</f>
        <v>0</v>
      </c>
      <c r="W25" s="315">
        <f t="shared" si="10"/>
        <v>0</v>
      </c>
    </row>
    <row r="26" spans="1:23" ht="15" hidden="1" customHeight="1" x14ac:dyDescent="0.2">
      <c r="A26" s="63">
        <v>810250</v>
      </c>
      <c r="B26" s="895" t="s">
        <v>2236</v>
      </c>
      <c r="C26" s="896" t="s">
        <v>2241</v>
      </c>
      <c r="D26" s="906" t="s">
        <v>2231</v>
      </c>
      <c r="E26" s="907">
        <f>DMT!$F$34</f>
        <v>0.1</v>
      </c>
      <c r="F26" s="908">
        <f>ROUND(0.017*2.34,4)</f>
        <v>3.9800000000000002E-2</v>
      </c>
      <c r="G26" s="909">
        <f t="shared" si="11"/>
        <v>0.11092260000000002</v>
      </c>
      <c r="H26" s="889">
        <v>5.05</v>
      </c>
      <c r="I26" s="901">
        <f t="shared" si="3"/>
        <v>5.1609226000000001</v>
      </c>
      <c r="J26" s="902">
        <f t="shared" si="9"/>
        <v>6.2</v>
      </c>
      <c r="K26" s="903" t="s">
        <v>13</v>
      </c>
      <c r="L26" s="904">
        <f>ROUND(SUM('RES. CENTRAL PARK:RUA_FINAL'!L26),2)</f>
        <v>0</v>
      </c>
      <c r="M26" s="904">
        <f t="shared" si="4"/>
        <v>0</v>
      </c>
      <c r="N26" s="893">
        <f t="shared" si="5"/>
        <v>0</v>
      </c>
      <c r="O26" s="905"/>
      <c r="Q26" s="317" t="str">
        <f t="shared" si="6"/>
        <v/>
      </c>
      <c r="R26" s="317" t="str">
        <f t="shared" si="7"/>
        <v/>
      </c>
      <c r="S26" s="317" t="str">
        <f t="shared" si="8"/>
        <v/>
      </c>
      <c r="V26" s="314">
        <f>SUM('RES. CENTRAL PARK:RUA_FINAL'!N26)</f>
        <v>0</v>
      </c>
      <c r="W26" s="315">
        <f t="shared" si="10"/>
        <v>0</v>
      </c>
    </row>
    <row r="27" spans="1:23" ht="15" hidden="1" customHeight="1" x14ac:dyDescent="0.2">
      <c r="A27" s="63">
        <v>810250</v>
      </c>
      <c r="B27" s="895" t="s">
        <v>2237</v>
      </c>
      <c r="C27" s="896" t="s">
        <v>2241</v>
      </c>
      <c r="D27" s="906" t="s">
        <v>2232</v>
      </c>
      <c r="E27" s="907">
        <f>DMT!$F$34</f>
        <v>0.1</v>
      </c>
      <c r="F27" s="908">
        <f>ROUND(0.01125*2.34,4)</f>
        <v>2.63E-2</v>
      </c>
      <c r="G27" s="909">
        <f t="shared" si="11"/>
        <v>7.3298100000000005E-2</v>
      </c>
      <c r="H27" s="889">
        <v>5.05</v>
      </c>
      <c r="I27" s="901">
        <f t="shared" si="3"/>
        <v>5.1232980999999995</v>
      </c>
      <c r="J27" s="902">
        <f t="shared" si="9"/>
        <v>6.15</v>
      </c>
      <c r="K27" s="903" t="s">
        <v>13</v>
      </c>
      <c r="L27" s="904">
        <f>ROUND(SUM('RES. CENTRAL PARK:RUA_FINAL'!L27),2)</f>
        <v>0</v>
      </c>
      <c r="M27" s="904">
        <f t="shared" si="4"/>
        <v>0</v>
      </c>
      <c r="N27" s="893">
        <f t="shared" si="5"/>
        <v>0</v>
      </c>
      <c r="O27" s="905"/>
      <c r="Q27" s="317" t="str">
        <f t="shared" si="6"/>
        <v/>
      </c>
      <c r="R27" s="317" t="str">
        <f t="shared" si="7"/>
        <v/>
      </c>
      <c r="S27" s="317" t="str">
        <f t="shared" si="8"/>
        <v/>
      </c>
      <c r="V27" s="314">
        <f>SUM('RES. CENTRAL PARK:RUA_FINAL'!N27)</f>
        <v>0</v>
      </c>
      <c r="W27" s="315">
        <f t="shared" si="10"/>
        <v>0</v>
      </c>
    </row>
    <row r="28" spans="1:23" ht="15" hidden="1" customHeight="1" x14ac:dyDescent="0.2">
      <c r="A28" s="63">
        <v>810250</v>
      </c>
      <c r="B28" s="895" t="s">
        <v>2238</v>
      </c>
      <c r="C28" s="896" t="s">
        <v>2241</v>
      </c>
      <c r="D28" s="906" t="s">
        <v>2233</v>
      </c>
      <c r="E28" s="907">
        <f>DMT!$F$34</f>
        <v>0.1</v>
      </c>
      <c r="F28" s="908">
        <f>ROUND(0.014*2.34,4)</f>
        <v>3.2800000000000003E-2</v>
      </c>
      <c r="G28" s="909">
        <f t="shared" si="11"/>
        <v>9.1413600000000025E-2</v>
      </c>
      <c r="H28" s="889">
        <v>5.05</v>
      </c>
      <c r="I28" s="901">
        <f t="shared" si="3"/>
        <v>5.1414135999999999</v>
      </c>
      <c r="J28" s="902">
        <f t="shared" si="9"/>
        <v>6.17</v>
      </c>
      <c r="K28" s="903" t="s">
        <v>13</v>
      </c>
      <c r="L28" s="904">
        <f>ROUND(SUM('RES. CENTRAL PARK:RUA_FINAL'!L28),2)</f>
        <v>0</v>
      </c>
      <c r="M28" s="904">
        <f t="shared" si="4"/>
        <v>0</v>
      </c>
      <c r="N28" s="893">
        <f t="shared" si="5"/>
        <v>0</v>
      </c>
      <c r="O28" s="905"/>
      <c r="Q28" s="317" t="str">
        <f t="shared" si="6"/>
        <v/>
      </c>
      <c r="R28" s="317" t="str">
        <f t="shared" si="7"/>
        <v/>
      </c>
      <c r="S28" s="317" t="str">
        <f t="shared" si="8"/>
        <v/>
      </c>
      <c r="V28" s="314">
        <f>SUM('RES. CENTRAL PARK:RUA_FINAL'!N28)</f>
        <v>0</v>
      </c>
      <c r="W28" s="315">
        <f t="shared" si="10"/>
        <v>0</v>
      </c>
    </row>
    <row r="29" spans="1:23" ht="15" hidden="1" customHeight="1" x14ac:dyDescent="0.2">
      <c r="A29" s="63" t="s">
        <v>451</v>
      </c>
      <c r="B29" s="895" t="s">
        <v>2235</v>
      </c>
      <c r="C29" s="896" t="s">
        <v>2241</v>
      </c>
      <c r="D29" s="906" t="s">
        <v>2234</v>
      </c>
      <c r="E29" s="907">
        <f>DMT!$F$16</f>
        <v>0</v>
      </c>
      <c r="F29" s="908">
        <f>ROUND(0.012*1.8,4)</f>
        <v>2.1600000000000001E-2</v>
      </c>
      <c r="G29" s="909">
        <f t="shared" si="11"/>
        <v>5.7888000000000009E-2</v>
      </c>
      <c r="H29" s="901">
        <v>5.05</v>
      </c>
      <c r="I29" s="901">
        <f t="shared" si="3"/>
        <v>5.107888</v>
      </c>
      <c r="J29" s="902">
        <f t="shared" si="9"/>
        <v>6.13</v>
      </c>
      <c r="K29" s="903" t="s">
        <v>13</v>
      </c>
      <c r="L29" s="904">
        <f>ROUND(SUM('RES. CENTRAL PARK:RUA_FINAL'!L29),2)</f>
        <v>0</v>
      </c>
      <c r="M29" s="904">
        <f t="shared" si="4"/>
        <v>0</v>
      </c>
      <c r="N29" s="893">
        <f t="shared" si="5"/>
        <v>0</v>
      </c>
      <c r="O29" s="905"/>
      <c r="Q29" s="317" t="str">
        <f t="shared" si="6"/>
        <v/>
      </c>
      <c r="R29" s="317" t="str">
        <f t="shared" si="7"/>
        <v/>
      </c>
      <c r="S29" s="317" t="str">
        <f t="shared" si="8"/>
        <v/>
      </c>
      <c r="V29" s="314">
        <f>SUM('RES. CENTRAL PARK:RUA_FINAL'!N29)</f>
        <v>0</v>
      </c>
      <c r="W29" s="315">
        <f t="shared" si="10"/>
        <v>0</v>
      </c>
    </row>
    <row r="30" spans="1:23" ht="15" hidden="1" customHeight="1" x14ac:dyDescent="0.2">
      <c r="A30" s="63">
        <v>600310</v>
      </c>
      <c r="B30" s="895" t="s">
        <v>1538</v>
      </c>
      <c r="C30" s="896" t="s">
        <v>184</v>
      </c>
      <c r="D30" s="897" t="s">
        <v>442</v>
      </c>
      <c r="E30" s="898"/>
      <c r="F30" s="899"/>
      <c r="G30" s="900"/>
      <c r="H30" s="889">
        <v>142.88</v>
      </c>
      <c r="I30" s="901">
        <f t="shared" si="3"/>
        <v>142.88</v>
      </c>
      <c r="J30" s="902">
        <f t="shared" si="9"/>
        <v>171.56</v>
      </c>
      <c r="K30" s="903" t="s">
        <v>15</v>
      </c>
      <c r="L30" s="904">
        <f>ROUND(SUM('RES. CENTRAL PARK:RUA_FINAL'!L30),2)</f>
        <v>0</v>
      </c>
      <c r="M30" s="904">
        <f t="shared" si="4"/>
        <v>0</v>
      </c>
      <c r="N30" s="893">
        <f t="shared" si="5"/>
        <v>0</v>
      </c>
      <c r="O30" s="905"/>
      <c r="Q30" s="317" t="str">
        <f t="shared" si="6"/>
        <v/>
      </c>
      <c r="R30" s="317" t="str">
        <f t="shared" si="7"/>
        <v/>
      </c>
      <c r="S30" s="317" t="str">
        <f t="shared" si="8"/>
        <v/>
      </c>
      <c r="V30" s="314">
        <f>SUM('RES. CENTRAL PARK:RUA_FINAL'!N30)</f>
        <v>0</v>
      </c>
      <c r="W30" s="315">
        <f t="shared" si="10"/>
        <v>0</v>
      </c>
    </row>
    <row r="31" spans="1:23" ht="15" hidden="1" customHeight="1" x14ac:dyDescent="0.2">
      <c r="A31" s="63">
        <v>800900</v>
      </c>
      <c r="B31" s="895" t="s">
        <v>1539</v>
      </c>
      <c r="C31" s="896" t="s">
        <v>184</v>
      </c>
      <c r="D31" s="897" t="s">
        <v>443</v>
      </c>
      <c r="E31" s="898"/>
      <c r="F31" s="899"/>
      <c r="G31" s="900"/>
      <c r="H31" s="889">
        <v>13.25</v>
      </c>
      <c r="I31" s="901">
        <f t="shared" si="3"/>
        <v>13.25</v>
      </c>
      <c r="J31" s="902">
        <f t="shared" si="9"/>
        <v>15.91</v>
      </c>
      <c r="K31" s="903" t="s">
        <v>12</v>
      </c>
      <c r="L31" s="904">
        <f>ROUND(SUM('RES. CENTRAL PARK:RUA_FINAL'!L31),2)</f>
        <v>0</v>
      </c>
      <c r="M31" s="904">
        <f t="shared" si="4"/>
        <v>0</v>
      </c>
      <c r="N31" s="893">
        <f t="shared" si="5"/>
        <v>0</v>
      </c>
      <c r="O31" s="905"/>
      <c r="Q31" s="317" t="str">
        <f t="shared" si="6"/>
        <v/>
      </c>
      <c r="R31" s="317" t="str">
        <f t="shared" si="7"/>
        <v/>
      </c>
      <c r="S31" s="317" t="str">
        <f t="shared" si="8"/>
        <v/>
      </c>
      <c r="V31" s="314">
        <f>SUM('RES. CENTRAL PARK:RUA_FINAL'!N31)</f>
        <v>0</v>
      </c>
      <c r="W31" s="315">
        <f t="shared" si="10"/>
        <v>0</v>
      </c>
    </row>
    <row r="32" spans="1:23" ht="15" hidden="1" customHeight="1" x14ac:dyDescent="0.2">
      <c r="A32" s="63">
        <v>801100</v>
      </c>
      <c r="B32" s="895" t="s">
        <v>1540</v>
      </c>
      <c r="C32" s="896" t="s">
        <v>184</v>
      </c>
      <c r="D32" s="897" t="s">
        <v>278</v>
      </c>
      <c r="E32" s="898"/>
      <c r="F32" s="899"/>
      <c r="G32" s="900"/>
      <c r="H32" s="889">
        <v>19.149999999999999</v>
      </c>
      <c r="I32" s="901">
        <f t="shared" si="3"/>
        <v>19.149999999999999</v>
      </c>
      <c r="J32" s="902">
        <f t="shared" si="9"/>
        <v>22.99</v>
      </c>
      <c r="K32" s="903" t="s">
        <v>12</v>
      </c>
      <c r="L32" s="910">
        <f>ROUND(SUM('RES. CENTRAL PARK:RUA_FINAL'!L32),2)</f>
        <v>0</v>
      </c>
      <c r="M32" s="911">
        <f t="shared" si="4"/>
        <v>0</v>
      </c>
      <c r="N32" s="893">
        <f t="shared" si="5"/>
        <v>0</v>
      </c>
      <c r="O32" s="905"/>
      <c r="Q32" s="317" t="str">
        <f t="shared" si="6"/>
        <v/>
      </c>
      <c r="R32" s="317" t="str">
        <f t="shared" si="7"/>
        <v/>
      </c>
      <c r="S32" s="317" t="str">
        <f t="shared" si="8"/>
        <v/>
      </c>
      <c r="V32" s="314">
        <f>SUM('RES. CENTRAL PARK:RUA_FINAL'!N32)</f>
        <v>0</v>
      </c>
      <c r="W32" s="315">
        <f t="shared" si="10"/>
        <v>0</v>
      </c>
    </row>
    <row r="33" spans="1:23" ht="15" hidden="1" customHeight="1" x14ac:dyDescent="0.2">
      <c r="A33" s="63">
        <v>600510</v>
      </c>
      <c r="B33" s="895" t="s">
        <v>1541</v>
      </c>
      <c r="C33" s="896" t="s">
        <v>184</v>
      </c>
      <c r="D33" s="897" t="s">
        <v>444</v>
      </c>
      <c r="E33" s="898"/>
      <c r="F33" s="899"/>
      <c r="G33" s="900"/>
      <c r="H33" s="889">
        <v>2.52</v>
      </c>
      <c r="I33" s="901">
        <f t="shared" si="3"/>
        <v>2.52</v>
      </c>
      <c r="J33" s="902">
        <f t="shared" si="9"/>
        <v>3.03</v>
      </c>
      <c r="K33" s="903" t="s">
        <v>13</v>
      </c>
      <c r="L33" s="910">
        <f>ROUND(SUM('RES. CENTRAL PARK:RUA_FINAL'!L33),2)</f>
        <v>0</v>
      </c>
      <c r="M33" s="911">
        <f t="shared" si="4"/>
        <v>0</v>
      </c>
      <c r="N33" s="893">
        <f t="shared" si="5"/>
        <v>0</v>
      </c>
      <c r="O33" s="905"/>
      <c r="Q33" s="317" t="str">
        <f t="shared" si="6"/>
        <v/>
      </c>
      <c r="R33" s="317" t="str">
        <f t="shared" si="7"/>
        <v/>
      </c>
      <c r="S33" s="317" t="str">
        <f t="shared" si="8"/>
        <v/>
      </c>
      <c r="V33" s="314">
        <f>SUM('RES. CENTRAL PARK:RUA_FINAL'!N33)</f>
        <v>0</v>
      </c>
      <c r="W33" s="315">
        <f t="shared" si="10"/>
        <v>0</v>
      </c>
    </row>
    <row r="34" spans="1:23" ht="28.5" hidden="1" customHeight="1" x14ac:dyDescent="0.2">
      <c r="A34" s="63" t="s">
        <v>1523</v>
      </c>
      <c r="B34" s="1265" t="s">
        <v>2250</v>
      </c>
      <c r="C34" s="1264" t="s">
        <v>2249</v>
      </c>
      <c r="D34" s="906" t="s">
        <v>1524</v>
      </c>
      <c r="E34" s="907"/>
      <c r="F34" s="908"/>
      <c r="G34" s="912"/>
      <c r="H34" s="889">
        <v>2990.88</v>
      </c>
      <c r="I34" s="901">
        <f t="shared" si="3"/>
        <v>2990.88</v>
      </c>
      <c r="J34" s="902">
        <f t="shared" si="9"/>
        <v>3591.15</v>
      </c>
      <c r="K34" s="903" t="s">
        <v>15</v>
      </c>
      <c r="L34" s="910">
        <f>ROUND(SUM('RES. CENTRAL PARK:RUA_FINAL'!L34),2)</f>
        <v>0</v>
      </c>
      <c r="M34" s="911">
        <f t="shared" si="4"/>
        <v>0</v>
      </c>
      <c r="N34" s="893">
        <f t="shared" si="5"/>
        <v>0</v>
      </c>
      <c r="O34" s="905"/>
      <c r="P34" s="58"/>
      <c r="Q34" s="317" t="str">
        <f t="shared" si="6"/>
        <v/>
      </c>
      <c r="R34" s="317" t="str">
        <f t="shared" si="7"/>
        <v/>
      </c>
      <c r="S34" s="317" t="str">
        <f t="shared" si="8"/>
        <v/>
      </c>
      <c r="V34" s="314">
        <f>SUM('RES. CENTRAL PARK:RUA_FINAL'!N34)</f>
        <v>0</v>
      </c>
      <c r="W34" s="315">
        <f t="shared" si="10"/>
        <v>0</v>
      </c>
    </row>
    <row r="35" spans="1:23" ht="39.75" hidden="1" customHeight="1" x14ac:dyDescent="0.2">
      <c r="A35" s="63" t="s">
        <v>1525</v>
      </c>
      <c r="B35" s="1265" t="s">
        <v>2251</v>
      </c>
      <c r="C35" s="1264" t="s">
        <v>2249</v>
      </c>
      <c r="D35" s="906" t="s">
        <v>2252</v>
      </c>
      <c r="E35" s="907"/>
      <c r="F35" s="908"/>
      <c r="G35" s="912"/>
      <c r="H35" s="889">
        <v>2542.7199999999998</v>
      </c>
      <c r="I35" s="901">
        <f t="shared" si="3"/>
        <v>2542.7199999999998</v>
      </c>
      <c r="J35" s="902">
        <f t="shared" si="9"/>
        <v>3053.04</v>
      </c>
      <c r="K35" s="903" t="s">
        <v>15</v>
      </c>
      <c r="L35" s="910">
        <f>ROUND(SUM('RES. CENTRAL PARK:RUA_FINAL'!L35),2)</f>
        <v>0</v>
      </c>
      <c r="M35" s="911">
        <f t="shared" si="4"/>
        <v>0</v>
      </c>
      <c r="N35" s="893">
        <f t="shared" si="5"/>
        <v>0</v>
      </c>
      <c r="O35" s="905"/>
      <c r="P35" s="58"/>
      <c r="Q35" s="317" t="str">
        <f t="shared" si="6"/>
        <v/>
      </c>
      <c r="R35" s="317" t="str">
        <f t="shared" si="7"/>
        <v/>
      </c>
      <c r="S35" s="317" t="str">
        <f t="shared" si="8"/>
        <v/>
      </c>
      <c r="V35" s="314">
        <f>SUM('RES. CENTRAL PARK:RUA_FINAL'!N35)</f>
        <v>0</v>
      </c>
      <c r="W35" s="315">
        <f t="shared" si="10"/>
        <v>0</v>
      </c>
    </row>
    <row r="36" spans="1:23" ht="15" hidden="1" customHeight="1" x14ac:dyDescent="0.2">
      <c r="A36" s="63" t="s">
        <v>1526</v>
      </c>
      <c r="B36" s="1265" t="s">
        <v>2254</v>
      </c>
      <c r="C36" s="1264" t="s">
        <v>2249</v>
      </c>
      <c r="D36" s="906" t="s">
        <v>2255</v>
      </c>
      <c r="E36" s="907"/>
      <c r="F36" s="908"/>
      <c r="G36" s="912"/>
      <c r="H36" s="889">
        <v>98.05</v>
      </c>
      <c r="I36" s="901">
        <f t="shared" si="3"/>
        <v>98.05</v>
      </c>
      <c r="J36" s="902">
        <f t="shared" si="9"/>
        <v>117.73</v>
      </c>
      <c r="K36" s="903" t="s">
        <v>15</v>
      </c>
      <c r="L36" s="910">
        <f>ROUND(SUM('RES. CENTRAL PARK:RUA_FINAL'!L36),2)</f>
        <v>0</v>
      </c>
      <c r="M36" s="911">
        <f t="shared" si="4"/>
        <v>0</v>
      </c>
      <c r="N36" s="893">
        <f t="shared" si="5"/>
        <v>0</v>
      </c>
      <c r="O36" s="905"/>
      <c r="P36" s="58"/>
      <c r="Q36" s="317" t="str">
        <f t="shared" si="6"/>
        <v/>
      </c>
      <c r="R36" s="317" t="str">
        <f t="shared" si="7"/>
        <v/>
      </c>
      <c r="S36" s="317" t="str">
        <f t="shared" si="8"/>
        <v/>
      </c>
      <c r="V36" s="314">
        <f>SUM('RES. CENTRAL PARK:RUA_FINAL'!N36)</f>
        <v>0</v>
      </c>
      <c r="W36" s="315">
        <f t="shared" si="10"/>
        <v>0</v>
      </c>
    </row>
    <row r="37" spans="1:23" ht="15" hidden="1" customHeight="1" x14ac:dyDescent="0.2">
      <c r="A37" s="63">
        <v>841000</v>
      </c>
      <c r="B37" s="895" t="s">
        <v>1542</v>
      </c>
      <c r="C37" s="896" t="s">
        <v>184</v>
      </c>
      <c r="D37" s="897" t="s">
        <v>445</v>
      </c>
      <c r="E37" s="898"/>
      <c r="F37" s="899"/>
      <c r="G37" s="900"/>
      <c r="H37" s="889">
        <v>12.51</v>
      </c>
      <c r="I37" s="901">
        <f t="shared" si="3"/>
        <v>12.51</v>
      </c>
      <c r="J37" s="902">
        <f t="shared" si="9"/>
        <v>15.02</v>
      </c>
      <c r="K37" s="903" t="s">
        <v>13</v>
      </c>
      <c r="L37" s="910">
        <f>ROUND(SUM('RES. CENTRAL PARK:RUA_FINAL'!L37),2)</f>
        <v>0</v>
      </c>
      <c r="M37" s="911">
        <f t="shared" si="4"/>
        <v>0</v>
      </c>
      <c r="N37" s="893">
        <f t="shared" si="5"/>
        <v>0</v>
      </c>
      <c r="O37" s="905"/>
      <c r="Q37" s="317" t="str">
        <f t="shared" si="6"/>
        <v/>
      </c>
      <c r="R37" s="317" t="str">
        <f t="shared" si="7"/>
        <v/>
      </c>
      <c r="S37" s="317" t="str">
        <f t="shared" si="8"/>
        <v/>
      </c>
      <c r="V37" s="314">
        <f>SUM('RES. CENTRAL PARK:RUA_FINAL'!N37)</f>
        <v>0</v>
      </c>
      <c r="W37" s="315">
        <f t="shared" si="10"/>
        <v>0</v>
      </c>
    </row>
    <row r="38" spans="1:23" ht="15" hidden="1" customHeight="1" x14ac:dyDescent="0.2">
      <c r="A38" s="63">
        <v>840000</v>
      </c>
      <c r="B38" s="895" t="s">
        <v>1543</v>
      </c>
      <c r="C38" s="896" t="s">
        <v>184</v>
      </c>
      <c r="D38" s="897" t="s">
        <v>264</v>
      </c>
      <c r="E38" s="898"/>
      <c r="F38" s="899"/>
      <c r="G38" s="900"/>
      <c r="H38" s="889">
        <v>34.53</v>
      </c>
      <c r="I38" s="901">
        <f t="shared" si="3"/>
        <v>34.53</v>
      </c>
      <c r="J38" s="902">
        <f t="shared" si="9"/>
        <v>41.46</v>
      </c>
      <c r="K38" s="903" t="s">
        <v>13</v>
      </c>
      <c r="L38" s="910">
        <f>ROUND(SUM('RES. CENTRAL PARK:RUA_FINAL'!L38),2)</f>
        <v>0</v>
      </c>
      <c r="M38" s="911">
        <f t="shared" si="4"/>
        <v>0</v>
      </c>
      <c r="N38" s="893">
        <f t="shared" si="5"/>
        <v>0</v>
      </c>
      <c r="O38" s="905"/>
      <c r="Q38" s="317" t="str">
        <f t="shared" si="6"/>
        <v/>
      </c>
      <c r="R38" s="317" t="str">
        <f t="shared" si="7"/>
        <v/>
      </c>
      <c r="S38" s="317" t="str">
        <f t="shared" si="8"/>
        <v/>
      </c>
      <c r="V38" s="314">
        <f>SUM('RES. CENTRAL PARK:RUA_FINAL'!N38)</f>
        <v>0</v>
      </c>
      <c r="W38" s="315">
        <f t="shared" si="10"/>
        <v>0</v>
      </c>
    </row>
    <row r="39" spans="1:23" ht="15" hidden="1" customHeight="1" x14ac:dyDescent="0.2">
      <c r="A39" s="63">
        <v>100981</v>
      </c>
      <c r="B39" s="895">
        <v>100981</v>
      </c>
      <c r="C39" s="896" t="s">
        <v>596</v>
      </c>
      <c r="D39" s="897" t="s">
        <v>482</v>
      </c>
      <c r="E39" s="898"/>
      <c r="F39" s="899"/>
      <c r="G39" s="900"/>
      <c r="H39" s="901">
        <v>9.25</v>
      </c>
      <c r="I39" s="901">
        <f t="shared" si="3"/>
        <v>9.25</v>
      </c>
      <c r="J39" s="902">
        <f t="shared" si="9"/>
        <v>11.11</v>
      </c>
      <c r="K39" s="903" t="s">
        <v>10</v>
      </c>
      <c r="L39" s="910">
        <f>ROUND(SUM('RES. CENTRAL PARK:RUA_FINAL'!L39),2)</f>
        <v>0</v>
      </c>
      <c r="M39" s="911">
        <f t="shared" si="4"/>
        <v>0</v>
      </c>
      <c r="N39" s="893">
        <f t="shared" si="5"/>
        <v>0</v>
      </c>
      <c r="O39" s="905"/>
      <c r="Q39" s="317" t="str">
        <f t="shared" si="6"/>
        <v/>
      </c>
      <c r="R39" s="317" t="str">
        <f t="shared" si="7"/>
        <v/>
      </c>
      <c r="S39" s="317" t="str">
        <f t="shared" si="8"/>
        <v/>
      </c>
      <c r="V39" s="314">
        <f>SUM('RES. CENTRAL PARK:RUA_FINAL'!N39)</f>
        <v>0</v>
      </c>
      <c r="W39" s="315">
        <f t="shared" si="10"/>
        <v>0</v>
      </c>
    </row>
    <row r="40" spans="1:23" ht="15" hidden="1" customHeight="1" x14ac:dyDescent="0.2">
      <c r="A40" s="63">
        <v>97623</v>
      </c>
      <c r="B40" s="895" t="s">
        <v>1722</v>
      </c>
      <c r="C40" s="896" t="s">
        <v>596</v>
      </c>
      <c r="D40" s="897" t="s">
        <v>1724</v>
      </c>
      <c r="E40" s="898"/>
      <c r="F40" s="899"/>
      <c r="G40" s="900"/>
      <c r="H40" s="901">
        <v>201.31</v>
      </c>
      <c r="I40" s="901">
        <f t="shared" si="3"/>
        <v>201.31</v>
      </c>
      <c r="J40" s="902">
        <f t="shared" si="9"/>
        <v>241.71</v>
      </c>
      <c r="K40" s="903" t="s">
        <v>10</v>
      </c>
      <c r="L40" s="910">
        <f>ROUND(SUM('RES. CENTRAL PARK:RUA_FINAL'!L40),2)</f>
        <v>0</v>
      </c>
      <c r="M40" s="911">
        <f t="shared" si="4"/>
        <v>0</v>
      </c>
      <c r="N40" s="893">
        <f t="shared" si="5"/>
        <v>0</v>
      </c>
      <c r="O40" s="905"/>
      <c r="Q40" s="317" t="str">
        <f t="shared" si="6"/>
        <v/>
      </c>
      <c r="R40" s="317" t="str">
        <f t="shared" si="7"/>
        <v/>
      </c>
      <c r="S40" s="317" t="str">
        <f t="shared" si="8"/>
        <v/>
      </c>
      <c r="V40" s="314">
        <f>SUM('RES. CENTRAL PARK:RUA_FINAL'!N40)</f>
        <v>0</v>
      </c>
      <c r="W40" s="315">
        <f t="shared" si="10"/>
        <v>0</v>
      </c>
    </row>
    <row r="41" spans="1:23" ht="15" hidden="1" customHeight="1" x14ac:dyDescent="0.2">
      <c r="A41" s="63">
        <v>97624</v>
      </c>
      <c r="B41" s="895" t="s">
        <v>1719</v>
      </c>
      <c r="C41" s="896" t="s">
        <v>596</v>
      </c>
      <c r="D41" s="897" t="s">
        <v>1721</v>
      </c>
      <c r="E41" s="898"/>
      <c r="F41" s="899"/>
      <c r="G41" s="900"/>
      <c r="H41" s="901">
        <v>123.54</v>
      </c>
      <c r="I41" s="901">
        <f t="shared" si="3"/>
        <v>123.54</v>
      </c>
      <c r="J41" s="902">
        <f t="shared" si="9"/>
        <v>148.33000000000001</v>
      </c>
      <c r="K41" s="903" t="s">
        <v>10</v>
      </c>
      <c r="L41" s="910">
        <f>ROUND(SUM('RES. CENTRAL PARK:RUA_FINAL'!L41),2)</f>
        <v>0</v>
      </c>
      <c r="M41" s="911">
        <f t="shared" si="4"/>
        <v>0</v>
      </c>
      <c r="N41" s="893">
        <f t="shared" si="5"/>
        <v>0</v>
      </c>
      <c r="O41" s="905"/>
      <c r="Q41" s="317" t="str">
        <f t="shared" si="6"/>
        <v/>
      </c>
      <c r="R41" s="317" t="str">
        <f t="shared" si="7"/>
        <v/>
      </c>
      <c r="S41" s="317" t="str">
        <f t="shared" si="8"/>
        <v/>
      </c>
      <c r="V41" s="314">
        <f>SUM('RES. CENTRAL PARK:RUA_FINAL'!N41)</f>
        <v>0</v>
      </c>
      <c r="W41" s="315">
        <f t="shared" si="10"/>
        <v>0</v>
      </c>
    </row>
    <row r="42" spans="1:23" ht="15" hidden="1" customHeight="1" x14ac:dyDescent="0.2">
      <c r="A42" s="63">
        <v>606500</v>
      </c>
      <c r="B42" s="895" t="s">
        <v>1725</v>
      </c>
      <c r="C42" s="896" t="s">
        <v>184</v>
      </c>
      <c r="D42" s="897" t="s">
        <v>466</v>
      </c>
      <c r="E42" s="898"/>
      <c r="F42" s="899"/>
      <c r="G42" s="900"/>
      <c r="H42" s="889">
        <v>182.46</v>
      </c>
      <c r="I42" s="901">
        <f t="shared" si="3"/>
        <v>182.46</v>
      </c>
      <c r="J42" s="902">
        <f t="shared" si="9"/>
        <v>219.08</v>
      </c>
      <c r="K42" s="903" t="s">
        <v>10</v>
      </c>
      <c r="L42" s="910">
        <f>ROUND(SUM('RES. CENTRAL PARK:RUA_FINAL'!L42),2)</f>
        <v>0</v>
      </c>
      <c r="M42" s="911">
        <f t="shared" si="4"/>
        <v>0</v>
      </c>
      <c r="N42" s="893">
        <f t="shared" si="5"/>
        <v>0</v>
      </c>
      <c r="O42" s="905"/>
      <c r="Q42" s="317" t="str">
        <f t="shared" si="6"/>
        <v/>
      </c>
      <c r="R42" s="317" t="str">
        <f t="shared" si="7"/>
        <v/>
      </c>
      <c r="S42" s="317" t="str">
        <f t="shared" si="8"/>
        <v/>
      </c>
      <c r="V42" s="314">
        <f>SUM('RES. CENTRAL PARK:RUA_FINAL'!N42)</f>
        <v>0</v>
      </c>
      <c r="W42" s="315">
        <f t="shared" si="10"/>
        <v>0</v>
      </c>
    </row>
    <row r="43" spans="1:23" ht="15" hidden="1" customHeight="1" x14ac:dyDescent="0.2">
      <c r="A43" s="565" t="s">
        <v>165</v>
      </c>
      <c r="B43" s="913" t="s">
        <v>165</v>
      </c>
      <c r="C43" s="914"/>
      <c r="D43" s="915" t="s">
        <v>433</v>
      </c>
      <c r="E43" s="916"/>
      <c r="F43" s="917"/>
      <c r="G43" s="918"/>
      <c r="H43" s="919">
        <v>0</v>
      </c>
      <c r="I43" s="919"/>
      <c r="J43" s="919">
        <v>0</v>
      </c>
      <c r="K43" s="920" t="s">
        <v>507</v>
      </c>
      <c r="L43" s="921">
        <f>ROUND(SUM('RES. CENTRAL PARK:RUA_FINAL'!L43),2)</f>
        <v>0</v>
      </c>
      <c r="M43" s="922">
        <f t="shared" si="4"/>
        <v>0</v>
      </c>
      <c r="N43" s="923">
        <f t="shared" si="5"/>
        <v>0</v>
      </c>
      <c r="O43" s="905"/>
      <c r="P43" s="58" t="str">
        <f>IF(OR(SUM(N44:N68)&gt;0,SUM(N44:N68)&gt;0),"y","")</f>
        <v/>
      </c>
      <c r="Q43" s="317" t="str">
        <f t="shared" si="6"/>
        <v/>
      </c>
      <c r="R43" s="317" t="str">
        <f t="shared" si="7"/>
        <v/>
      </c>
      <c r="S43" s="317" t="str">
        <f t="shared" si="8"/>
        <v/>
      </c>
      <c r="V43" s="314">
        <f>SUM('RES. CENTRAL PARK:RUA_FINAL'!N43)</f>
        <v>0</v>
      </c>
      <c r="W43" s="315">
        <f t="shared" si="10"/>
        <v>0</v>
      </c>
    </row>
    <row r="44" spans="1:23" ht="15" hidden="1" customHeight="1" x14ac:dyDescent="0.2">
      <c r="A44" s="565" t="s">
        <v>165</v>
      </c>
      <c r="B44" s="924"/>
      <c r="C44" s="925"/>
      <c r="D44" s="926"/>
      <c r="E44" s="927"/>
      <c r="F44" s="928"/>
      <c r="G44" s="929"/>
      <c r="H44" s="930">
        <v>0</v>
      </c>
      <c r="I44" s="901">
        <f t="shared" ref="I44:I68" si="12">IF(ISBLANK(H44),"",SUM(G44:H44))</f>
        <v>0</v>
      </c>
      <c r="J44" s="902">
        <f t="shared" ref="J44:J68" si="13">IF(ISBLANK(H44),0,ROUND(I44*(1+$E$10),2))</f>
        <v>0</v>
      </c>
      <c r="K44" s="928"/>
      <c r="L44" s="904">
        <f>ROUND(SUM('RES. CENTRAL PARK:RUA_FINAL'!L44),2)</f>
        <v>0</v>
      </c>
      <c r="M44" s="904">
        <f t="shared" si="4"/>
        <v>0</v>
      </c>
      <c r="N44" s="893">
        <f t="shared" si="5"/>
        <v>0</v>
      </c>
      <c r="O44" s="905"/>
      <c r="Q44" s="317" t="str">
        <f t="shared" si="6"/>
        <v/>
      </c>
      <c r="R44" s="317" t="str">
        <f t="shared" si="7"/>
        <v/>
      </c>
      <c r="S44" s="317" t="str">
        <f t="shared" si="8"/>
        <v/>
      </c>
      <c r="V44" s="314">
        <f>SUM('RES. CENTRAL PARK:RUA_FINAL'!N44)</f>
        <v>0</v>
      </c>
      <c r="W44" s="315">
        <f t="shared" si="10"/>
        <v>0</v>
      </c>
    </row>
    <row r="45" spans="1:23" ht="15" hidden="1" customHeight="1" x14ac:dyDescent="0.2">
      <c r="A45" s="565" t="s">
        <v>165</v>
      </c>
      <c r="B45" s="924" t="s">
        <v>165</v>
      </c>
      <c r="C45" s="925" t="s">
        <v>165</v>
      </c>
      <c r="D45" s="931"/>
      <c r="E45" s="927"/>
      <c r="F45" s="928"/>
      <c r="G45" s="929"/>
      <c r="H45" s="930">
        <v>0</v>
      </c>
      <c r="I45" s="901">
        <f t="shared" si="12"/>
        <v>0</v>
      </c>
      <c r="J45" s="890">
        <f t="shared" si="13"/>
        <v>0</v>
      </c>
      <c r="K45" s="928" t="s">
        <v>507</v>
      </c>
      <c r="L45" s="904">
        <f>ROUND(SUM('RES. CENTRAL PARK:RUA_FINAL'!L45),2)</f>
        <v>0</v>
      </c>
      <c r="M45" s="904">
        <f t="shared" si="4"/>
        <v>0</v>
      </c>
      <c r="N45" s="932">
        <f t="shared" si="5"/>
        <v>0</v>
      </c>
      <c r="O45" s="905"/>
      <c r="Q45" s="317" t="str">
        <f t="shared" si="6"/>
        <v/>
      </c>
      <c r="R45" s="317" t="str">
        <f t="shared" si="7"/>
        <v/>
      </c>
      <c r="S45" s="317" t="str">
        <f t="shared" si="8"/>
        <v/>
      </c>
      <c r="V45" s="314">
        <f>SUM('RES. CENTRAL PARK:RUA_FINAL'!N45)</f>
        <v>0</v>
      </c>
      <c r="W45" s="315">
        <f t="shared" si="10"/>
        <v>0</v>
      </c>
    </row>
    <row r="46" spans="1:23" ht="15" hidden="1" customHeight="1" x14ac:dyDescent="0.2">
      <c r="A46" s="565" t="s">
        <v>165</v>
      </c>
      <c r="B46" s="924" t="s">
        <v>165</v>
      </c>
      <c r="C46" s="925" t="s">
        <v>165</v>
      </c>
      <c r="D46" s="931"/>
      <c r="E46" s="927"/>
      <c r="F46" s="928"/>
      <c r="G46" s="929"/>
      <c r="H46" s="930">
        <v>0</v>
      </c>
      <c r="I46" s="901">
        <f t="shared" si="12"/>
        <v>0</v>
      </c>
      <c r="J46" s="890">
        <f t="shared" si="13"/>
        <v>0</v>
      </c>
      <c r="K46" s="928" t="s">
        <v>507</v>
      </c>
      <c r="L46" s="904">
        <f>ROUND(SUM('RES. CENTRAL PARK:RUA_FINAL'!L46),2)</f>
        <v>0</v>
      </c>
      <c r="M46" s="904">
        <f t="shared" si="4"/>
        <v>0</v>
      </c>
      <c r="N46" s="893">
        <f t="shared" si="5"/>
        <v>0</v>
      </c>
      <c r="O46" s="905"/>
      <c r="Q46" s="317" t="str">
        <f t="shared" si="6"/>
        <v/>
      </c>
      <c r="R46" s="317" t="str">
        <f t="shared" si="7"/>
        <v/>
      </c>
      <c r="S46" s="317" t="str">
        <f t="shared" si="8"/>
        <v/>
      </c>
      <c r="V46" s="314">
        <f>SUM('RES. CENTRAL PARK:RUA_FINAL'!N46)</f>
        <v>0</v>
      </c>
      <c r="W46" s="315">
        <f t="shared" si="10"/>
        <v>0</v>
      </c>
    </row>
    <row r="47" spans="1:23" ht="15" hidden="1" customHeight="1" x14ac:dyDescent="0.2">
      <c r="A47" s="565" t="s">
        <v>165</v>
      </c>
      <c r="B47" s="924" t="s">
        <v>165</v>
      </c>
      <c r="C47" s="925" t="s">
        <v>165</v>
      </c>
      <c r="D47" s="931"/>
      <c r="E47" s="927"/>
      <c r="F47" s="928"/>
      <c r="G47" s="929"/>
      <c r="H47" s="930">
        <v>0</v>
      </c>
      <c r="I47" s="901">
        <f t="shared" si="12"/>
        <v>0</v>
      </c>
      <c r="J47" s="890">
        <f t="shared" si="13"/>
        <v>0</v>
      </c>
      <c r="K47" s="928" t="s">
        <v>507</v>
      </c>
      <c r="L47" s="904">
        <f>ROUND(SUM('RES. CENTRAL PARK:RUA_FINAL'!L47),2)</f>
        <v>0</v>
      </c>
      <c r="M47" s="904">
        <f t="shared" si="4"/>
        <v>0</v>
      </c>
      <c r="N47" s="893">
        <f t="shared" si="5"/>
        <v>0</v>
      </c>
      <c r="O47" s="905"/>
      <c r="Q47" s="317" t="str">
        <f t="shared" si="6"/>
        <v/>
      </c>
      <c r="R47" s="317" t="str">
        <f t="shared" si="7"/>
        <v/>
      </c>
      <c r="S47" s="317" t="str">
        <f t="shared" si="8"/>
        <v/>
      </c>
      <c r="V47" s="314">
        <f>SUM('RES. CENTRAL PARK:RUA_FINAL'!N47)</f>
        <v>0</v>
      </c>
      <c r="W47" s="315">
        <f t="shared" si="10"/>
        <v>0</v>
      </c>
    </row>
    <row r="48" spans="1:23" ht="15" hidden="1" customHeight="1" x14ac:dyDescent="0.2">
      <c r="A48" s="565" t="s">
        <v>165</v>
      </c>
      <c r="B48" s="924" t="s">
        <v>165</v>
      </c>
      <c r="C48" s="925" t="s">
        <v>165</v>
      </c>
      <c r="D48" s="931"/>
      <c r="E48" s="927"/>
      <c r="F48" s="928"/>
      <c r="G48" s="929"/>
      <c r="H48" s="930">
        <v>0</v>
      </c>
      <c r="I48" s="901">
        <f t="shared" si="12"/>
        <v>0</v>
      </c>
      <c r="J48" s="890">
        <f t="shared" si="13"/>
        <v>0</v>
      </c>
      <c r="K48" s="928" t="s">
        <v>507</v>
      </c>
      <c r="L48" s="904">
        <f>ROUND(SUM('RES. CENTRAL PARK:RUA_FINAL'!L48),2)</f>
        <v>0</v>
      </c>
      <c r="M48" s="904">
        <f t="shared" si="4"/>
        <v>0</v>
      </c>
      <c r="N48" s="893">
        <f t="shared" si="5"/>
        <v>0</v>
      </c>
      <c r="O48" s="905"/>
      <c r="Q48" s="317" t="str">
        <f t="shared" si="6"/>
        <v/>
      </c>
      <c r="R48" s="317" t="str">
        <f t="shared" si="7"/>
        <v/>
      </c>
      <c r="S48" s="317" t="str">
        <f t="shared" si="8"/>
        <v/>
      </c>
      <c r="V48" s="314">
        <f>SUM('RES. CENTRAL PARK:RUA_FINAL'!N48)</f>
        <v>0</v>
      </c>
      <c r="W48" s="315">
        <f t="shared" si="10"/>
        <v>0</v>
      </c>
    </row>
    <row r="49" spans="1:23" ht="15" hidden="1" customHeight="1" x14ac:dyDescent="0.2">
      <c r="A49" s="565" t="s">
        <v>165</v>
      </c>
      <c r="B49" s="924" t="s">
        <v>165</v>
      </c>
      <c r="C49" s="925" t="s">
        <v>165</v>
      </c>
      <c r="D49" s="931"/>
      <c r="E49" s="927"/>
      <c r="F49" s="928"/>
      <c r="G49" s="929"/>
      <c r="H49" s="930">
        <v>0</v>
      </c>
      <c r="I49" s="901">
        <f t="shared" si="12"/>
        <v>0</v>
      </c>
      <c r="J49" s="890">
        <f t="shared" si="13"/>
        <v>0</v>
      </c>
      <c r="K49" s="928" t="s">
        <v>507</v>
      </c>
      <c r="L49" s="904">
        <f>ROUND(SUM('RES. CENTRAL PARK:RUA_FINAL'!L49),2)</f>
        <v>0</v>
      </c>
      <c r="M49" s="904">
        <f t="shared" si="4"/>
        <v>0</v>
      </c>
      <c r="N49" s="893">
        <f t="shared" si="5"/>
        <v>0</v>
      </c>
      <c r="O49" s="905"/>
      <c r="Q49" s="317" t="str">
        <f t="shared" si="6"/>
        <v/>
      </c>
      <c r="R49" s="317" t="str">
        <f t="shared" si="7"/>
        <v/>
      </c>
      <c r="S49" s="317" t="str">
        <f t="shared" si="8"/>
        <v/>
      </c>
      <c r="V49" s="314">
        <f>SUM('RES. CENTRAL PARK:RUA_FINAL'!N49)</f>
        <v>0</v>
      </c>
      <c r="W49" s="315">
        <f t="shared" si="10"/>
        <v>0</v>
      </c>
    </row>
    <row r="50" spans="1:23" ht="15" hidden="1" customHeight="1" x14ac:dyDescent="0.2">
      <c r="A50" s="565" t="s">
        <v>165</v>
      </c>
      <c r="B50" s="924" t="s">
        <v>165</v>
      </c>
      <c r="C50" s="925" t="s">
        <v>165</v>
      </c>
      <c r="D50" s="931"/>
      <c r="E50" s="927"/>
      <c r="F50" s="928"/>
      <c r="G50" s="929"/>
      <c r="H50" s="930">
        <v>0</v>
      </c>
      <c r="I50" s="901">
        <f t="shared" si="12"/>
        <v>0</v>
      </c>
      <c r="J50" s="890">
        <f t="shared" si="13"/>
        <v>0</v>
      </c>
      <c r="K50" s="928" t="s">
        <v>507</v>
      </c>
      <c r="L50" s="904">
        <f>ROUND(SUM('RES. CENTRAL PARK:RUA_FINAL'!L50),2)</f>
        <v>0</v>
      </c>
      <c r="M50" s="904">
        <f t="shared" si="4"/>
        <v>0</v>
      </c>
      <c r="N50" s="893">
        <f t="shared" si="5"/>
        <v>0</v>
      </c>
      <c r="O50" s="905"/>
      <c r="Q50" s="317" t="str">
        <f t="shared" si="6"/>
        <v/>
      </c>
      <c r="R50" s="317" t="str">
        <f t="shared" si="7"/>
        <v/>
      </c>
      <c r="S50" s="317" t="str">
        <f t="shared" si="8"/>
        <v/>
      </c>
      <c r="V50" s="314">
        <f>SUM('RES. CENTRAL PARK:RUA_FINAL'!N50)</f>
        <v>0</v>
      </c>
      <c r="W50" s="315">
        <f t="shared" si="10"/>
        <v>0</v>
      </c>
    </row>
    <row r="51" spans="1:23" ht="15" hidden="1" customHeight="1" x14ac:dyDescent="0.2">
      <c r="A51" s="565" t="s">
        <v>165</v>
      </c>
      <c r="B51" s="924" t="s">
        <v>165</v>
      </c>
      <c r="C51" s="925" t="s">
        <v>165</v>
      </c>
      <c r="D51" s="931"/>
      <c r="E51" s="927"/>
      <c r="F51" s="928"/>
      <c r="G51" s="929"/>
      <c r="H51" s="930">
        <v>0</v>
      </c>
      <c r="I51" s="901">
        <f t="shared" si="12"/>
        <v>0</v>
      </c>
      <c r="J51" s="890">
        <f t="shared" si="13"/>
        <v>0</v>
      </c>
      <c r="K51" s="928" t="s">
        <v>507</v>
      </c>
      <c r="L51" s="904">
        <f>ROUND(SUM('RES. CENTRAL PARK:RUA_FINAL'!L51),2)</f>
        <v>0</v>
      </c>
      <c r="M51" s="904">
        <f t="shared" si="4"/>
        <v>0</v>
      </c>
      <c r="N51" s="893">
        <f t="shared" si="5"/>
        <v>0</v>
      </c>
      <c r="O51" s="905"/>
      <c r="Q51" s="317" t="str">
        <f t="shared" si="6"/>
        <v/>
      </c>
      <c r="R51" s="317" t="str">
        <f t="shared" si="7"/>
        <v/>
      </c>
      <c r="S51" s="317" t="str">
        <f t="shared" si="8"/>
        <v/>
      </c>
      <c r="V51" s="314">
        <f>SUM('RES. CENTRAL PARK:RUA_FINAL'!N51)</f>
        <v>0</v>
      </c>
      <c r="W51" s="315">
        <f t="shared" si="10"/>
        <v>0</v>
      </c>
    </row>
    <row r="52" spans="1:23" ht="15" hidden="1" customHeight="1" x14ac:dyDescent="0.2">
      <c r="A52" s="565" t="s">
        <v>165</v>
      </c>
      <c r="B52" s="924" t="s">
        <v>165</v>
      </c>
      <c r="C52" s="925" t="s">
        <v>165</v>
      </c>
      <c r="D52" s="931"/>
      <c r="E52" s="927"/>
      <c r="F52" s="928"/>
      <c r="G52" s="929"/>
      <c r="H52" s="930">
        <v>0</v>
      </c>
      <c r="I52" s="901">
        <f t="shared" si="12"/>
        <v>0</v>
      </c>
      <c r="J52" s="890">
        <f t="shared" si="13"/>
        <v>0</v>
      </c>
      <c r="K52" s="928" t="s">
        <v>507</v>
      </c>
      <c r="L52" s="904">
        <f>ROUND(SUM('RES. CENTRAL PARK:RUA_FINAL'!L52),2)</f>
        <v>0</v>
      </c>
      <c r="M52" s="904">
        <f t="shared" si="4"/>
        <v>0</v>
      </c>
      <c r="N52" s="893">
        <f t="shared" si="5"/>
        <v>0</v>
      </c>
      <c r="O52" s="905"/>
      <c r="Q52" s="317" t="str">
        <f t="shared" si="6"/>
        <v/>
      </c>
      <c r="R52" s="317" t="str">
        <f t="shared" si="7"/>
        <v/>
      </c>
      <c r="S52" s="317" t="str">
        <f t="shared" si="8"/>
        <v/>
      </c>
      <c r="V52" s="314">
        <f>SUM('RES. CENTRAL PARK:RUA_FINAL'!N52)</f>
        <v>0</v>
      </c>
      <c r="W52" s="315">
        <f t="shared" si="10"/>
        <v>0</v>
      </c>
    </row>
    <row r="53" spans="1:23" ht="15" hidden="1" customHeight="1" x14ac:dyDescent="0.2">
      <c r="A53" s="565" t="s">
        <v>165</v>
      </c>
      <c r="B53" s="924" t="s">
        <v>165</v>
      </c>
      <c r="C53" s="925" t="s">
        <v>165</v>
      </c>
      <c r="D53" s="931"/>
      <c r="E53" s="927"/>
      <c r="F53" s="928"/>
      <c r="G53" s="929"/>
      <c r="H53" s="930">
        <v>0</v>
      </c>
      <c r="I53" s="901">
        <f t="shared" si="12"/>
        <v>0</v>
      </c>
      <c r="J53" s="890">
        <f t="shared" si="13"/>
        <v>0</v>
      </c>
      <c r="K53" s="928" t="s">
        <v>507</v>
      </c>
      <c r="L53" s="904">
        <f>ROUND(SUM('RES. CENTRAL PARK:RUA_FINAL'!L53),2)</f>
        <v>0</v>
      </c>
      <c r="M53" s="904">
        <f t="shared" si="4"/>
        <v>0</v>
      </c>
      <c r="N53" s="893">
        <f t="shared" si="5"/>
        <v>0</v>
      </c>
      <c r="O53" s="905"/>
      <c r="Q53" s="317" t="str">
        <f t="shared" si="6"/>
        <v/>
      </c>
      <c r="R53" s="317" t="str">
        <f t="shared" si="7"/>
        <v/>
      </c>
      <c r="S53" s="317" t="str">
        <f t="shared" si="8"/>
        <v/>
      </c>
      <c r="V53" s="314">
        <f>SUM('RES. CENTRAL PARK:RUA_FINAL'!N53)</f>
        <v>0</v>
      </c>
      <c r="W53" s="315">
        <f t="shared" si="10"/>
        <v>0</v>
      </c>
    </row>
    <row r="54" spans="1:23" ht="15" hidden="1" customHeight="1" x14ac:dyDescent="0.2">
      <c r="A54" s="565" t="s">
        <v>165</v>
      </c>
      <c r="B54" s="924" t="s">
        <v>165</v>
      </c>
      <c r="C54" s="925" t="s">
        <v>165</v>
      </c>
      <c r="D54" s="931"/>
      <c r="E54" s="927"/>
      <c r="F54" s="928"/>
      <c r="G54" s="929"/>
      <c r="H54" s="930">
        <v>0</v>
      </c>
      <c r="I54" s="901">
        <f t="shared" si="12"/>
        <v>0</v>
      </c>
      <c r="J54" s="890">
        <f t="shared" si="13"/>
        <v>0</v>
      </c>
      <c r="K54" s="928" t="s">
        <v>507</v>
      </c>
      <c r="L54" s="904">
        <f>ROUND(SUM('RES. CENTRAL PARK:RUA_FINAL'!L54),2)</f>
        <v>0</v>
      </c>
      <c r="M54" s="904">
        <f t="shared" si="4"/>
        <v>0</v>
      </c>
      <c r="N54" s="893">
        <f t="shared" si="5"/>
        <v>0</v>
      </c>
      <c r="O54" s="905"/>
      <c r="Q54" s="317" t="str">
        <f t="shared" si="6"/>
        <v/>
      </c>
      <c r="R54" s="317" t="str">
        <f t="shared" si="7"/>
        <v/>
      </c>
      <c r="S54" s="317" t="str">
        <f t="shared" si="8"/>
        <v/>
      </c>
      <c r="V54" s="314">
        <f>SUM('RES. CENTRAL PARK:RUA_FINAL'!N54)</f>
        <v>0</v>
      </c>
      <c r="W54" s="315">
        <f t="shared" si="10"/>
        <v>0</v>
      </c>
    </row>
    <row r="55" spans="1:23" ht="15" hidden="1" customHeight="1" x14ac:dyDescent="0.2">
      <c r="A55" s="565" t="s">
        <v>165</v>
      </c>
      <c r="B55" s="924" t="s">
        <v>165</v>
      </c>
      <c r="C55" s="925" t="s">
        <v>165</v>
      </c>
      <c r="D55" s="931"/>
      <c r="E55" s="927"/>
      <c r="F55" s="928"/>
      <c r="G55" s="929"/>
      <c r="H55" s="930">
        <v>0</v>
      </c>
      <c r="I55" s="901">
        <f t="shared" si="12"/>
        <v>0</v>
      </c>
      <c r="J55" s="890">
        <f t="shared" si="13"/>
        <v>0</v>
      </c>
      <c r="K55" s="928" t="s">
        <v>507</v>
      </c>
      <c r="L55" s="904">
        <f>ROUND(SUM('RES. CENTRAL PARK:RUA_FINAL'!L55),2)</f>
        <v>0</v>
      </c>
      <c r="M55" s="904">
        <f t="shared" si="4"/>
        <v>0</v>
      </c>
      <c r="N55" s="893">
        <f t="shared" si="5"/>
        <v>0</v>
      </c>
      <c r="O55" s="905"/>
      <c r="Q55" s="317" t="str">
        <f t="shared" si="6"/>
        <v/>
      </c>
      <c r="R55" s="317" t="str">
        <f t="shared" si="7"/>
        <v/>
      </c>
      <c r="S55" s="317" t="str">
        <f t="shared" si="8"/>
        <v/>
      </c>
      <c r="V55" s="314">
        <f>SUM('RES. CENTRAL PARK:RUA_FINAL'!N55)</f>
        <v>0</v>
      </c>
      <c r="W55" s="315">
        <f t="shared" si="10"/>
        <v>0</v>
      </c>
    </row>
    <row r="56" spans="1:23" ht="15" hidden="1" customHeight="1" x14ac:dyDescent="0.2">
      <c r="A56" s="565" t="s">
        <v>165</v>
      </c>
      <c r="B56" s="924" t="s">
        <v>165</v>
      </c>
      <c r="C56" s="925" t="s">
        <v>165</v>
      </c>
      <c r="D56" s="931"/>
      <c r="E56" s="927"/>
      <c r="F56" s="928"/>
      <c r="G56" s="929"/>
      <c r="H56" s="930">
        <v>0</v>
      </c>
      <c r="I56" s="901">
        <f t="shared" si="12"/>
        <v>0</v>
      </c>
      <c r="J56" s="890">
        <f t="shared" si="13"/>
        <v>0</v>
      </c>
      <c r="K56" s="928" t="s">
        <v>507</v>
      </c>
      <c r="L56" s="904">
        <f>ROUND(SUM('RES. CENTRAL PARK:RUA_FINAL'!L56),2)</f>
        <v>0</v>
      </c>
      <c r="M56" s="904">
        <f t="shared" si="4"/>
        <v>0</v>
      </c>
      <c r="N56" s="893">
        <f t="shared" si="5"/>
        <v>0</v>
      </c>
      <c r="O56" s="905"/>
      <c r="Q56" s="317" t="str">
        <f t="shared" si="6"/>
        <v/>
      </c>
      <c r="R56" s="317" t="str">
        <f t="shared" si="7"/>
        <v/>
      </c>
      <c r="S56" s="317" t="str">
        <f t="shared" si="8"/>
        <v/>
      </c>
      <c r="V56" s="314">
        <f>SUM('RES. CENTRAL PARK:RUA_FINAL'!N56)</f>
        <v>0</v>
      </c>
      <c r="W56" s="315">
        <f t="shared" si="10"/>
        <v>0</v>
      </c>
    </row>
    <row r="57" spans="1:23" ht="15" hidden="1" customHeight="1" x14ac:dyDescent="0.2">
      <c r="A57" s="565" t="s">
        <v>165</v>
      </c>
      <c r="B57" s="924" t="s">
        <v>165</v>
      </c>
      <c r="C57" s="925" t="s">
        <v>165</v>
      </c>
      <c r="D57" s="931"/>
      <c r="E57" s="927"/>
      <c r="F57" s="928"/>
      <c r="G57" s="929"/>
      <c r="H57" s="930">
        <v>0</v>
      </c>
      <c r="I57" s="901">
        <f t="shared" si="12"/>
        <v>0</v>
      </c>
      <c r="J57" s="890">
        <f t="shared" si="13"/>
        <v>0</v>
      </c>
      <c r="K57" s="928" t="s">
        <v>507</v>
      </c>
      <c r="L57" s="904">
        <f>ROUND(SUM('RES. CENTRAL PARK:RUA_FINAL'!L57),2)</f>
        <v>0</v>
      </c>
      <c r="M57" s="904">
        <f t="shared" si="4"/>
        <v>0</v>
      </c>
      <c r="N57" s="893">
        <f t="shared" si="5"/>
        <v>0</v>
      </c>
      <c r="O57" s="905"/>
      <c r="Q57" s="317" t="str">
        <f t="shared" si="6"/>
        <v/>
      </c>
      <c r="R57" s="317" t="str">
        <f t="shared" si="7"/>
        <v/>
      </c>
      <c r="S57" s="317" t="str">
        <f t="shared" si="8"/>
        <v/>
      </c>
      <c r="V57" s="314">
        <f>SUM('RES. CENTRAL PARK:RUA_FINAL'!N57)</f>
        <v>0</v>
      </c>
      <c r="W57" s="315">
        <f t="shared" si="10"/>
        <v>0</v>
      </c>
    </row>
    <row r="58" spans="1:23" ht="15" hidden="1" customHeight="1" x14ac:dyDescent="0.2">
      <c r="A58" s="565" t="s">
        <v>165</v>
      </c>
      <c r="B58" s="924" t="s">
        <v>165</v>
      </c>
      <c r="C58" s="925" t="s">
        <v>165</v>
      </c>
      <c r="D58" s="931"/>
      <c r="E58" s="927"/>
      <c r="F58" s="928"/>
      <c r="G58" s="929"/>
      <c r="H58" s="930">
        <v>0</v>
      </c>
      <c r="I58" s="901">
        <f t="shared" si="12"/>
        <v>0</v>
      </c>
      <c r="J58" s="890">
        <f t="shared" si="13"/>
        <v>0</v>
      </c>
      <c r="K58" s="928" t="s">
        <v>507</v>
      </c>
      <c r="L58" s="904">
        <f>ROUND(SUM('RES. CENTRAL PARK:RUA_FINAL'!L58),2)</f>
        <v>0</v>
      </c>
      <c r="M58" s="904">
        <f t="shared" si="4"/>
        <v>0</v>
      </c>
      <c r="N58" s="893">
        <f t="shared" si="5"/>
        <v>0</v>
      </c>
      <c r="O58" s="905"/>
      <c r="Q58" s="317" t="str">
        <f t="shared" si="6"/>
        <v/>
      </c>
      <c r="R58" s="317" t="str">
        <f t="shared" si="7"/>
        <v/>
      </c>
      <c r="S58" s="317" t="str">
        <f t="shared" si="8"/>
        <v/>
      </c>
      <c r="V58" s="314">
        <f>SUM('RES. CENTRAL PARK:RUA_FINAL'!N58)</f>
        <v>0</v>
      </c>
      <c r="W58" s="315">
        <f t="shared" si="10"/>
        <v>0</v>
      </c>
    </row>
    <row r="59" spans="1:23" ht="15" hidden="1" customHeight="1" x14ac:dyDescent="0.2">
      <c r="A59" s="565" t="s">
        <v>165</v>
      </c>
      <c r="B59" s="924" t="s">
        <v>165</v>
      </c>
      <c r="C59" s="925" t="s">
        <v>165</v>
      </c>
      <c r="D59" s="931"/>
      <c r="E59" s="927"/>
      <c r="F59" s="928"/>
      <c r="G59" s="929"/>
      <c r="H59" s="930">
        <v>0</v>
      </c>
      <c r="I59" s="901">
        <f t="shared" si="12"/>
        <v>0</v>
      </c>
      <c r="J59" s="890">
        <f t="shared" si="13"/>
        <v>0</v>
      </c>
      <c r="K59" s="928" t="s">
        <v>507</v>
      </c>
      <c r="L59" s="904">
        <f>ROUND(SUM('RES. CENTRAL PARK:RUA_FINAL'!L59),2)</f>
        <v>0</v>
      </c>
      <c r="M59" s="904">
        <f t="shared" si="4"/>
        <v>0</v>
      </c>
      <c r="N59" s="893">
        <f t="shared" si="5"/>
        <v>0</v>
      </c>
      <c r="O59" s="905"/>
      <c r="Q59" s="317" t="str">
        <f t="shared" si="6"/>
        <v/>
      </c>
      <c r="R59" s="317" t="str">
        <f t="shared" si="7"/>
        <v/>
      </c>
      <c r="S59" s="317" t="str">
        <f t="shared" si="8"/>
        <v/>
      </c>
      <c r="V59" s="314">
        <f>SUM('RES. CENTRAL PARK:RUA_FINAL'!N59)</f>
        <v>0</v>
      </c>
      <c r="W59" s="315">
        <f t="shared" si="10"/>
        <v>0</v>
      </c>
    </row>
    <row r="60" spans="1:23" ht="15" hidden="1" customHeight="1" x14ac:dyDescent="0.2">
      <c r="A60" s="565" t="s">
        <v>165</v>
      </c>
      <c r="B60" s="924" t="s">
        <v>165</v>
      </c>
      <c r="C60" s="925" t="s">
        <v>165</v>
      </c>
      <c r="D60" s="931"/>
      <c r="E60" s="927"/>
      <c r="F60" s="928"/>
      <c r="G60" s="929"/>
      <c r="H60" s="930">
        <v>0</v>
      </c>
      <c r="I60" s="901">
        <f t="shared" si="12"/>
        <v>0</v>
      </c>
      <c r="J60" s="890">
        <f t="shared" si="13"/>
        <v>0</v>
      </c>
      <c r="K60" s="928" t="s">
        <v>507</v>
      </c>
      <c r="L60" s="904">
        <f>ROUND(SUM('RES. CENTRAL PARK:RUA_FINAL'!L60),2)</f>
        <v>0</v>
      </c>
      <c r="M60" s="904">
        <f t="shared" si="4"/>
        <v>0</v>
      </c>
      <c r="N60" s="893">
        <f t="shared" si="5"/>
        <v>0</v>
      </c>
      <c r="O60" s="905"/>
      <c r="Q60" s="317" t="str">
        <f t="shared" si="6"/>
        <v/>
      </c>
      <c r="R60" s="317" t="str">
        <f t="shared" si="7"/>
        <v/>
      </c>
      <c r="S60" s="317" t="str">
        <f t="shared" si="8"/>
        <v/>
      </c>
      <c r="V60" s="314">
        <f>SUM('RES. CENTRAL PARK:RUA_FINAL'!N60)</f>
        <v>0</v>
      </c>
      <c r="W60" s="315">
        <f t="shared" si="10"/>
        <v>0</v>
      </c>
    </row>
    <row r="61" spans="1:23" ht="15" hidden="1" customHeight="1" x14ac:dyDescent="0.2">
      <c r="A61" s="565" t="s">
        <v>165</v>
      </c>
      <c r="B61" s="924" t="s">
        <v>165</v>
      </c>
      <c r="C61" s="925" t="s">
        <v>165</v>
      </c>
      <c r="D61" s="931"/>
      <c r="E61" s="927"/>
      <c r="F61" s="928"/>
      <c r="G61" s="929"/>
      <c r="H61" s="930">
        <v>0</v>
      </c>
      <c r="I61" s="901">
        <f t="shared" si="12"/>
        <v>0</v>
      </c>
      <c r="J61" s="890">
        <f t="shared" si="13"/>
        <v>0</v>
      </c>
      <c r="K61" s="928" t="s">
        <v>507</v>
      </c>
      <c r="L61" s="904">
        <f>ROUND(SUM('RES. CENTRAL PARK:RUA_FINAL'!L61),2)</f>
        <v>0</v>
      </c>
      <c r="M61" s="904">
        <f t="shared" si="4"/>
        <v>0</v>
      </c>
      <c r="N61" s="893">
        <f t="shared" si="5"/>
        <v>0</v>
      </c>
      <c r="O61" s="905"/>
      <c r="Q61" s="317" t="str">
        <f t="shared" si="6"/>
        <v/>
      </c>
      <c r="R61" s="317" t="str">
        <f t="shared" si="7"/>
        <v/>
      </c>
      <c r="S61" s="317" t="str">
        <f t="shared" si="8"/>
        <v/>
      </c>
      <c r="V61" s="314">
        <f>SUM('RES. CENTRAL PARK:RUA_FINAL'!N61)</f>
        <v>0</v>
      </c>
      <c r="W61" s="315">
        <f t="shared" si="10"/>
        <v>0</v>
      </c>
    </row>
    <row r="62" spans="1:23" ht="15" hidden="1" customHeight="1" x14ac:dyDescent="0.2">
      <c r="A62" s="565" t="s">
        <v>165</v>
      </c>
      <c r="B62" s="924" t="s">
        <v>165</v>
      </c>
      <c r="C62" s="925" t="s">
        <v>165</v>
      </c>
      <c r="D62" s="931"/>
      <c r="E62" s="927"/>
      <c r="F62" s="928"/>
      <c r="G62" s="929"/>
      <c r="H62" s="930">
        <v>0</v>
      </c>
      <c r="I62" s="901">
        <f t="shared" si="12"/>
        <v>0</v>
      </c>
      <c r="J62" s="890">
        <f t="shared" si="13"/>
        <v>0</v>
      </c>
      <c r="K62" s="928" t="s">
        <v>507</v>
      </c>
      <c r="L62" s="904">
        <f>ROUND(SUM('RES. CENTRAL PARK:RUA_FINAL'!L62),2)</f>
        <v>0</v>
      </c>
      <c r="M62" s="904">
        <f t="shared" si="4"/>
        <v>0</v>
      </c>
      <c r="N62" s="893">
        <f t="shared" si="5"/>
        <v>0</v>
      </c>
      <c r="O62" s="905"/>
      <c r="Q62" s="317" t="str">
        <f t="shared" si="6"/>
        <v/>
      </c>
      <c r="R62" s="317" t="str">
        <f t="shared" si="7"/>
        <v/>
      </c>
      <c r="S62" s="317" t="str">
        <f t="shared" si="8"/>
        <v/>
      </c>
      <c r="V62" s="314">
        <f>SUM('RES. CENTRAL PARK:RUA_FINAL'!N62)</f>
        <v>0</v>
      </c>
      <c r="W62" s="315">
        <f t="shared" si="10"/>
        <v>0</v>
      </c>
    </row>
    <row r="63" spans="1:23" ht="15" hidden="1" customHeight="1" x14ac:dyDescent="0.2">
      <c r="A63" s="565" t="s">
        <v>165</v>
      </c>
      <c r="B63" s="924" t="s">
        <v>165</v>
      </c>
      <c r="C63" s="925" t="s">
        <v>165</v>
      </c>
      <c r="D63" s="931"/>
      <c r="E63" s="927"/>
      <c r="F63" s="928"/>
      <c r="G63" s="929"/>
      <c r="H63" s="930">
        <v>0</v>
      </c>
      <c r="I63" s="901">
        <f t="shared" si="12"/>
        <v>0</v>
      </c>
      <c r="J63" s="890">
        <f t="shared" si="13"/>
        <v>0</v>
      </c>
      <c r="K63" s="928" t="s">
        <v>507</v>
      </c>
      <c r="L63" s="904">
        <f>ROUND(SUM('RES. CENTRAL PARK:RUA_FINAL'!L63),2)</f>
        <v>0</v>
      </c>
      <c r="M63" s="904">
        <f t="shared" si="4"/>
        <v>0</v>
      </c>
      <c r="N63" s="893">
        <f t="shared" si="5"/>
        <v>0</v>
      </c>
      <c r="O63" s="905"/>
      <c r="Q63" s="317" t="str">
        <f t="shared" si="6"/>
        <v/>
      </c>
      <c r="R63" s="317" t="str">
        <f t="shared" si="7"/>
        <v/>
      </c>
      <c r="S63" s="317" t="str">
        <f t="shared" si="8"/>
        <v/>
      </c>
      <c r="V63" s="314">
        <f>SUM('RES. CENTRAL PARK:RUA_FINAL'!N63)</f>
        <v>0</v>
      </c>
      <c r="W63" s="315">
        <f t="shared" si="10"/>
        <v>0</v>
      </c>
    </row>
    <row r="64" spans="1:23" ht="15" hidden="1" customHeight="1" x14ac:dyDescent="0.2">
      <c r="A64" s="565" t="s">
        <v>165</v>
      </c>
      <c r="B64" s="924" t="s">
        <v>165</v>
      </c>
      <c r="C64" s="925" t="s">
        <v>165</v>
      </c>
      <c r="D64" s="931"/>
      <c r="E64" s="927"/>
      <c r="F64" s="928"/>
      <c r="G64" s="929"/>
      <c r="H64" s="930">
        <v>0</v>
      </c>
      <c r="I64" s="901">
        <f t="shared" si="12"/>
        <v>0</v>
      </c>
      <c r="J64" s="890">
        <f t="shared" si="13"/>
        <v>0</v>
      </c>
      <c r="K64" s="928" t="s">
        <v>507</v>
      </c>
      <c r="L64" s="904">
        <f>ROUND(SUM('RES. CENTRAL PARK:RUA_FINAL'!L64),2)</f>
        <v>0</v>
      </c>
      <c r="M64" s="904">
        <f t="shared" si="4"/>
        <v>0</v>
      </c>
      <c r="N64" s="893">
        <f t="shared" si="5"/>
        <v>0</v>
      </c>
      <c r="O64" s="905"/>
      <c r="Q64" s="317" t="str">
        <f t="shared" si="6"/>
        <v/>
      </c>
      <c r="R64" s="317" t="str">
        <f t="shared" si="7"/>
        <v/>
      </c>
      <c r="S64" s="317" t="str">
        <f t="shared" si="8"/>
        <v/>
      </c>
      <c r="V64" s="314">
        <f>SUM('RES. CENTRAL PARK:RUA_FINAL'!N64)</f>
        <v>0</v>
      </c>
      <c r="W64" s="315">
        <f t="shared" si="10"/>
        <v>0</v>
      </c>
    </row>
    <row r="65" spans="1:23" ht="15" hidden="1" customHeight="1" x14ac:dyDescent="0.2">
      <c r="A65" s="565" t="s">
        <v>165</v>
      </c>
      <c r="B65" s="924" t="s">
        <v>165</v>
      </c>
      <c r="C65" s="925" t="s">
        <v>165</v>
      </c>
      <c r="D65" s="931"/>
      <c r="E65" s="927"/>
      <c r="F65" s="928"/>
      <c r="G65" s="929"/>
      <c r="H65" s="930">
        <v>0</v>
      </c>
      <c r="I65" s="901">
        <f t="shared" si="12"/>
        <v>0</v>
      </c>
      <c r="J65" s="890">
        <f t="shared" si="13"/>
        <v>0</v>
      </c>
      <c r="K65" s="928" t="s">
        <v>507</v>
      </c>
      <c r="L65" s="904">
        <f>ROUND(SUM('RES. CENTRAL PARK:RUA_FINAL'!L65),2)</f>
        <v>0</v>
      </c>
      <c r="M65" s="904">
        <f t="shared" si="4"/>
        <v>0</v>
      </c>
      <c r="N65" s="893">
        <f t="shared" si="5"/>
        <v>0</v>
      </c>
      <c r="O65" s="905"/>
      <c r="Q65" s="317" t="str">
        <f t="shared" si="6"/>
        <v/>
      </c>
      <c r="R65" s="317" t="str">
        <f t="shared" si="7"/>
        <v/>
      </c>
      <c r="S65" s="317" t="str">
        <f t="shared" si="8"/>
        <v/>
      </c>
      <c r="V65" s="314">
        <f>SUM('RES. CENTRAL PARK:RUA_FINAL'!N65)</f>
        <v>0</v>
      </c>
      <c r="W65" s="315">
        <f t="shared" si="10"/>
        <v>0</v>
      </c>
    </row>
    <row r="66" spans="1:23" ht="15" hidden="1" customHeight="1" x14ac:dyDescent="0.2">
      <c r="A66" s="565" t="s">
        <v>165</v>
      </c>
      <c r="B66" s="924" t="s">
        <v>165</v>
      </c>
      <c r="C66" s="925" t="s">
        <v>165</v>
      </c>
      <c r="D66" s="931"/>
      <c r="E66" s="927"/>
      <c r="F66" s="928"/>
      <c r="G66" s="929"/>
      <c r="H66" s="930">
        <v>0</v>
      </c>
      <c r="I66" s="901">
        <f t="shared" si="12"/>
        <v>0</v>
      </c>
      <c r="J66" s="890">
        <f t="shared" si="13"/>
        <v>0</v>
      </c>
      <c r="K66" s="928" t="s">
        <v>507</v>
      </c>
      <c r="L66" s="904">
        <f>ROUND(SUM('RES. CENTRAL PARK:RUA_FINAL'!L66),2)</f>
        <v>0</v>
      </c>
      <c r="M66" s="904">
        <f t="shared" si="4"/>
        <v>0</v>
      </c>
      <c r="N66" s="893">
        <f t="shared" si="5"/>
        <v>0</v>
      </c>
      <c r="O66" s="905"/>
      <c r="Q66" s="317" t="str">
        <f t="shared" si="6"/>
        <v/>
      </c>
      <c r="R66" s="317" t="str">
        <f t="shared" si="7"/>
        <v/>
      </c>
      <c r="S66" s="317" t="str">
        <f t="shared" si="8"/>
        <v/>
      </c>
      <c r="V66" s="314">
        <f>SUM('RES. CENTRAL PARK:RUA_FINAL'!N66)</f>
        <v>0</v>
      </c>
      <c r="W66" s="315">
        <f t="shared" si="10"/>
        <v>0</v>
      </c>
    </row>
    <row r="67" spans="1:23" ht="15" hidden="1" customHeight="1" x14ac:dyDescent="0.2">
      <c r="A67" s="565" t="s">
        <v>165</v>
      </c>
      <c r="B67" s="924" t="s">
        <v>165</v>
      </c>
      <c r="C67" s="925" t="s">
        <v>165</v>
      </c>
      <c r="D67" s="931"/>
      <c r="E67" s="927"/>
      <c r="F67" s="928"/>
      <c r="G67" s="929"/>
      <c r="H67" s="930">
        <v>0</v>
      </c>
      <c r="I67" s="901">
        <f t="shared" si="12"/>
        <v>0</v>
      </c>
      <c r="J67" s="890">
        <f t="shared" si="13"/>
        <v>0</v>
      </c>
      <c r="K67" s="928" t="s">
        <v>507</v>
      </c>
      <c r="L67" s="904">
        <f>ROUND(SUM('RES. CENTRAL PARK:RUA_FINAL'!L67),2)</f>
        <v>0</v>
      </c>
      <c r="M67" s="904">
        <f t="shared" si="4"/>
        <v>0</v>
      </c>
      <c r="N67" s="893">
        <f t="shared" si="5"/>
        <v>0</v>
      </c>
      <c r="O67" s="905"/>
      <c r="Q67" s="317" t="str">
        <f t="shared" si="6"/>
        <v/>
      </c>
      <c r="R67" s="317" t="str">
        <f t="shared" si="7"/>
        <v/>
      </c>
      <c r="S67" s="317" t="str">
        <f t="shared" si="8"/>
        <v/>
      </c>
      <c r="V67" s="314">
        <f>SUM('RES. CENTRAL PARK:RUA_FINAL'!N67)</f>
        <v>0</v>
      </c>
      <c r="W67" s="315">
        <f t="shared" si="10"/>
        <v>0</v>
      </c>
    </row>
    <row r="68" spans="1:23" ht="15" hidden="1" customHeight="1" thickBot="1" x14ac:dyDescent="0.25">
      <c r="A68" s="565" t="s">
        <v>165</v>
      </c>
      <c r="B68" s="933" t="s">
        <v>165</v>
      </c>
      <c r="C68" s="934" t="s">
        <v>165</v>
      </c>
      <c r="D68" s="935"/>
      <c r="E68" s="936"/>
      <c r="F68" s="937"/>
      <c r="G68" s="938"/>
      <c r="H68" s="939">
        <v>0</v>
      </c>
      <c r="I68" s="940">
        <f t="shared" si="12"/>
        <v>0</v>
      </c>
      <c r="J68" s="941">
        <f t="shared" si="13"/>
        <v>0</v>
      </c>
      <c r="K68" s="937" t="s">
        <v>507</v>
      </c>
      <c r="L68" s="904">
        <f>ROUND(SUM('RES. CENTRAL PARK:RUA_FINAL'!L68),2)</f>
        <v>0</v>
      </c>
      <c r="M68" s="904">
        <f t="shared" si="4"/>
        <v>0</v>
      </c>
      <c r="N68" s="942">
        <f t="shared" si="5"/>
        <v>0</v>
      </c>
      <c r="O68" s="905"/>
      <c r="Q68" s="317" t="str">
        <f t="shared" si="6"/>
        <v/>
      </c>
      <c r="R68" s="317" t="str">
        <f t="shared" si="7"/>
        <v/>
      </c>
      <c r="S68" s="317" t="str">
        <f t="shared" si="8"/>
        <v/>
      </c>
      <c r="V68" s="314">
        <f>SUM('RES. CENTRAL PARK:RUA_FINAL'!N68)</f>
        <v>0</v>
      </c>
      <c r="W68" s="315">
        <f t="shared" si="10"/>
        <v>0</v>
      </c>
    </row>
    <row r="69" spans="1:23" ht="15" hidden="1" customHeight="1" thickBot="1" x14ac:dyDescent="0.25">
      <c r="A69" s="63" t="s">
        <v>167</v>
      </c>
      <c r="B69" s="872" t="s">
        <v>167</v>
      </c>
      <c r="C69" s="873"/>
      <c r="D69" s="874" t="s">
        <v>428</v>
      </c>
      <c r="E69" s="943"/>
      <c r="F69" s="876"/>
      <c r="G69" s="944"/>
      <c r="H69" s="945">
        <v>0</v>
      </c>
      <c r="I69" s="945"/>
      <c r="J69" s="945"/>
      <c r="K69" s="878" t="s">
        <v>507</v>
      </c>
      <c r="L69" s="879">
        <f>ROUND(SUM('RES. CENTRAL PARK:RUA_FINAL'!L69),2)</f>
        <v>0</v>
      </c>
      <c r="M69" s="880">
        <f t="shared" si="4"/>
        <v>0</v>
      </c>
      <c r="N69" s="881">
        <f t="shared" si="5"/>
        <v>0</v>
      </c>
      <c r="O69" s="882">
        <f>SUM(N70:N116)</f>
        <v>0</v>
      </c>
      <c r="P69" s="58" t="str">
        <f>IF(OR(O69&gt;0,O69&gt;0),"X","")</f>
        <v/>
      </c>
      <c r="Q69" s="317" t="str">
        <f t="shared" si="6"/>
        <v/>
      </c>
      <c r="R69" s="317" t="str">
        <f t="shared" si="7"/>
        <v/>
      </c>
      <c r="S69" s="317" t="str">
        <f t="shared" si="8"/>
        <v/>
      </c>
      <c r="V69" s="314">
        <f>SUM('RES. CENTRAL PARK:RUA_FINAL'!N69)</f>
        <v>0</v>
      </c>
      <c r="W69" s="315">
        <f t="shared" si="10"/>
        <v>0</v>
      </c>
    </row>
    <row r="70" spans="1:23" ht="15" hidden="1" customHeight="1" x14ac:dyDescent="0.2">
      <c r="A70" s="63">
        <v>400500</v>
      </c>
      <c r="B70" s="895" t="s">
        <v>1528</v>
      </c>
      <c r="C70" s="884" t="s">
        <v>184</v>
      </c>
      <c r="D70" s="946" t="s">
        <v>176</v>
      </c>
      <c r="E70" s="907">
        <f>DMT!$F$8</f>
        <v>150</v>
      </c>
      <c r="F70" s="947">
        <v>1.73</v>
      </c>
      <c r="G70" s="948">
        <f>IF(E70&lt;=30,(1.07*E70+2.68)*F70,((1.07*30+2.68)+1.07*(E70-30))*F70)</f>
        <v>282.3014</v>
      </c>
      <c r="H70" s="889">
        <v>83.83</v>
      </c>
      <c r="I70" s="889">
        <f t="shared" ref="I70:I90" si="14">IF(ISBLANK(H70),"",SUM(G70:H70))</f>
        <v>366.13139999999999</v>
      </c>
      <c r="J70" s="890">
        <f>IF(ISBLANK(H70),0,ROUND(I70*(1+$E$10),2))</f>
        <v>439.61</v>
      </c>
      <c r="K70" s="891" t="s">
        <v>10</v>
      </c>
      <c r="L70" s="904">
        <f>ROUND(SUM('RES. CENTRAL PARK:RUA_FINAL'!L70),2)</f>
        <v>0</v>
      </c>
      <c r="M70" s="904">
        <f t="shared" si="4"/>
        <v>0</v>
      </c>
      <c r="N70" s="893">
        <f t="shared" si="5"/>
        <v>0</v>
      </c>
      <c r="O70" s="894"/>
      <c r="Q70" s="317" t="str">
        <f t="shared" si="6"/>
        <v/>
      </c>
      <c r="R70" s="317" t="str">
        <f t="shared" si="7"/>
        <v/>
      </c>
      <c r="S70" s="317" t="str">
        <f t="shared" si="8"/>
        <v/>
      </c>
      <c r="V70" s="314">
        <f>SUM('RES. CENTRAL PARK:RUA_FINAL'!N70)</f>
        <v>0</v>
      </c>
      <c r="W70" s="315">
        <f t="shared" si="10"/>
        <v>0</v>
      </c>
    </row>
    <row r="71" spans="1:23" ht="15" hidden="1" customHeight="1" x14ac:dyDescent="0.2">
      <c r="A71" s="63">
        <v>401200</v>
      </c>
      <c r="B71" s="895">
        <v>401200</v>
      </c>
      <c r="C71" s="896" t="s">
        <v>184</v>
      </c>
      <c r="D71" s="906" t="s">
        <v>173</v>
      </c>
      <c r="E71" s="907"/>
      <c r="F71" s="908"/>
      <c r="G71" s="909"/>
      <c r="H71" s="889">
        <v>1.55</v>
      </c>
      <c r="I71" s="901">
        <f t="shared" si="14"/>
        <v>1.55</v>
      </c>
      <c r="J71" s="902">
        <f t="shared" ref="J71:J90" si="15">IF(ISBLANK(H71),0,ROUND(I71*(1+$E$10),2))</f>
        <v>1.86</v>
      </c>
      <c r="K71" s="903" t="s">
        <v>10</v>
      </c>
      <c r="L71" s="904">
        <f>ROUND(SUM('RES. CENTRAL PARK:RUA_FINAL'!L71),2)</f>
        <v>0</v>
      </c>
      <c r="M71" s="904">
        <f t="shared" si="4"/>
        <v>0</v>
      </c>
      <c r="N71" s="893">
        <f t="shared" si="5"/>
        <v>0</v>
      </c>
      <c r="O71" s="905"/>
      <c r="Q71" s="317" t="str">
        <f t="shared" si="6"/>
        <v/>
      </c>
      <c r="R71" s="317" t="str">
        <f t="shared" si="7"/>
        <v/>
      </c>
      <c r="S71" s="317" t="str">
        <f t="shared" si="8"/>
        <v/>
      </c>
      <c r="V71" s="314">
        <f>SUM('RES. CENTRAL PARK:RUA_FINAL'!N71)</f>
        <v>0</v>
      </c>
      <c r="W71" s="315">
        <f t="shared" si="10"/>
        <v>0</v>
      </c>
    </row>
    <row r="72" spans="1:23" ht="15" hidden="1" customHeight="1" x14ac:dyDescent="0.2">
      <c r="A72" s="63">
        <v>401000</v>
      </c>
      <c r="B72" s="895">
        <v>401000</v>
      </c>
      <c r="C72" s="896" t="s">
        <v>184</v>
      </c>
      <c r="D72" s="906" t="s">
        <v>175</v>
      </c>
      <c r="E72" s="907"/>
      <c r="F72" s="908"/>
      <c r="G72" s="909"/>
      <c r="H72" s="889">
        <v>6.67</v>
      </c>
      <c r="I72" s="901">
        <f t="shared" si="14"/>
        <v>6.67</v>
      </c>
      <c r="J72" s="902">
        <f t="shared" si="15"/>
        <v>8.01</v>
      </c>
      <c r="K72" s="903" t="s">
        <v>10</v>
      </c>
      <c r="L72" s="904">
        <f>ROUND(SUM('RES. CENTRAL PARK:RUA_FINAL'!L72),2)</f>
        <v>0</v>
      </c>
      <c r="M72" s="904">
        <f t="shared" si="4"/>
        <v>0</v>
      </c>
      <c r="N72" s="893">
        <f t="shared" si="5"/>
        <v>0</v>
      </c>
      <c r="O72" s="905"/>
      <c r="Q72" s="317" t="str">
        <f t="shared" si="6"/>
        <v/>
      </c>
      <c r="R72" s="317" t="str">
        <f t="shared" si="7"/>
        <v/>
      </c>
      <c r="S72" s="317" t="str">
        <f t="shared" si="8"/>
        <v/>
      </c>
      <c r="V72" s="314">
        <f>SUM('RES. CENTRAL PARK:RUA_FINAL'!N72)</f>
        <v>0</v>
      </c>
      <c r="W72" s="315">
        <f t="shared" si="10"/>
        <v>0</v>
      </c>
    </row>
    <row r="73" spans="1:23" ht="15" hidden="1" customHeight="1" x14ac:dyDescent="0.2">
      <c r="A73" s="63">
        <v>401950</v>
      </c>
      <c r="B73" s="895">
        <v>401950</v>
      </c>
      <c r="C73" s="896" t="s">
        <v>184</v>
      </c>
      <c r="D73" s="906" t="s">
        <v>174</v>
      </c>
      <c r="E73" s="907"/>
      <c r="F73" s="908"/>
      <c r="G73" s="909"/>
      <c r="H73" s="889">
        <v>5.54</v>
      </c>
      <c r="I73" s="901">
        <f t="shared" si="14"/>
        <v>5.54</v>
      </c>
      <c r="J73" s="902">
        <f t="shared" si="15"/>
        <v>6.65</v>
      </c>
      <c r="K73" s="903" t="s">
        <v>10</v>
      </c>
      <c r="L73" s="904">
        <f>ROUND(SUM('RES. CENTRAL PARK:RUA_FINAL'!L73),2)</f>
        <v>0</v>
      </c>
      <c r="M73" s="904">
        <f t="shared" si="4"/>
        <v>0</v>
      </c>
      <c r="N73" s="893">
        <f t="shared" si="5"/>
        <v>0</v>
      </c>
      <c r="O73" s="905"/>
      <c r="Q73" s="317" t="str">
        <f t="shared" si="6"/>
        <v/>
      </c>
      <c r="R73" s="317" t="str">
        <f t="shared" si="7"/>
        <v/>
      </c>
      <c r="S73" s="317" t="str">
        <f t="shared" si="8"/>
        <v/>
      </c>
      <c r="V73" s="314">
        <f>SUM('RES. CENTRAL PARK:RUA_FINAL'!N73)</f>
        <v>0</v>
      </c>
      <c r="W73" s="315">
        <f t="shared" si="10"/>
        <v>0</v>
      </c>
    </row>
    <row r="74" spans="1:23" ht="15" hidden="1" customHeight="1" x14ac:dyDescent="0.2">
      <c r="A74" s="63">
        <v>400000</v>
      </c>
      <c r="B74" s="895">
        <v>400000</v>
      </c>
      <c r="C74" s="896" t="s">
        <v>184</v>
      </c>
      <c r="D74" s="906" t="s">
        <v>169</v>
      </c>
      <c r="E74" s="907"/>
      <c r="F74" s="908"/>
      <c r="G74" s="909"/>
      <c r="H74" s="889">
        <v>1.1400000000000001</v>
      </c>
      <c r="I74" s="901">
        <f t="shared" si="14"/>
        <v>1.1400000000000001</v>
      </c>
      <c r="J74" s="902">
        <f t="shared" si="15"/>
        <v>1.37</v>
      </c>
      <c r="K74" s="903" t="s">
        <v>12</v>
      </c>
      <c r="L74" s="904">
        <f>ROUND(SUM('RES. CENTRAL PARK:RUA_FINAL'!L74),2)</f>
        <v>0</v>
      </c>
      <c r="M74" s="904">
        <f t="shared" si="4"/>
        <v>0</v>
      </c>
      <c r="N74" s="893">
        <f t="shared" si="5"/>
        <v>0</v>
      </c>
      <c r="O74" s="905"/>
      <c r="P74" s="58"/>
      <c r="Q74" s="317" t="str">
        <f t="shared" si="6"/>
        <v/>
      </c>
      <c r="R74" s="317" t="str">
        <f t="shared" si="7"/>
        <v/>
      </c>
      <c r="S74" s="317" t="str">
        <f t="shared" si="8"/>
        <v/>
      </c>
      <c r="V74" s="314">
        <f>SUM('RES. CENTRAL PARK:RUA_FINAL'!N74)</f>
        <v>0</v>
      </c>
      <c r="W74" s="315">
        <f t="shared" si="10"/>
        <v>0</v>
      </c>
    </row>
    <row r="75" spans="1:23" ht="15" hidden="1" customHeight="1" x14ac:dyDescent="0.2">
      <c r="A75" s="63">
        <v>400300</v>
      </c>
      <c r="B75" s="895">
        <v>400300</v>
      </c>
      <c r="C75" s="896" t="s">
        <v>184</v>
      </c>
      <c r="D75" s="906" t="s">
        <v>170</v>
      </c>
      <c r="E75" s="907"/>
      <c r="F75" s="908"/>
      <c r="G75" s="909"/>
      <c r="H75" s="889">
        <v>49.34</v>
      </c>
      <c r="I75" s="901">
        <f t="shared" si="14"/>
        <v>49.34</v>
      </c>
      <c r="J75" s="902">
        <f t="shared" si="15"/>
        <v>59.24</v>
      </c>
      <c r="K75" s="903" t="s">
        <v>15</v>
      </c>
      <c r="L75" s="904">
        <f>ROUND(SUM('RES. CENTRAL PARK:RUA_FINAL'!L75),2)</f>
        <v>0</v>
      </c>
      <c r="M75" s="904">
        <f t="shared" si="4"/>
        <v>0</v>
      </c>
      <c r="N75" s="893">
        <f t="shared" si="5"/>
        <v>0</v>
      </c>
      <c r="O75" s="905"/>
      <c r="P75" s="58"/>
      <c r="Q75" s="317" t="str">
        <f t="shared" si="6"/>
        <v/>
      </c>
      <c r="R75" s="317" t="str">
        <f t="shared" si="7"/>
        <v/>
      </c>
      <c r="S75" s="317" t="str">
        <f t="shared" si="8"/>
        <v/>
      </c>
      <c r="V75" s="314">
        <f>SUM('RES. CENTRAL PARK:RUA_FINAL'!N75)</f>
        <v>0</v>
      </c>
      <c r="W75" s="315">
        <f t="shared" si="10"/>
        <v>0</v>
      </c>
    </row>
    <row r="76" spans="1:23" ht="15" hidden="1" customHeight="1" x14ac:dyDescent="0.2">
      <c r="A76" s="63">
        <v>511130</v>
      </c>
      <c r="B76" s="895" t="s">
        <v>1544</v>
      </c>
      <c r="C76" s="896" t="s">
        <v>184</v>
      </c>
      <c r="D76" s="906" t="s">
        <v>447</v>
      </c>
      <c r="E76" s="907"/>
      <c r="F76" s="908"/>
      <c r="G76" s="909"/>
      <c r="H76" s="889">
        <v>1.23</v>
      </c>
      <c r="I76" s="901">
        <f t="shared" si="14"/>
        <v>1.23</v>
      </c>
      <c r="J76" s="902">
        <f t="shared" si="15"/>
        <v>1.48</v>
      </c>
      <c r="K76" s="903" t="s">
        <v>10</v>
      </c>
      <c r="L76" s="904">
        <f>ROUND(SUM('RES. CENTRAL PARK:RUA_FINAL'!L76),2)</f>
        <v>0</v>
      </c>
      <c r="M76" s="904">
        <f t="shared" si="4"/>
        <v>0</v>
      </c>
      <c r="N76" s="893">
        <f t="shared" si="5"/>
        <v>0</v>
      </c>
      <c r="O76" s="905"/>
      <c r="P76" s="59"/>
      <c r="Q76" s="317" t="str">
        <f t="shared" si="6"/>
        <v/>
      </c>
      <c r="R76" s="317" t="str">
        <f t="shared" si="7"/>
        <v/>
      </c>
      <c r="S76" s="317" t="str">
        <f t="shared" si="8"/>
        <v/>
      </c>
      <c r="V76" s="314">
        <f>SUM('RES. CENTRAL PARK:RUA_FINAL'!N76)</f>
        <v>0</v>
      </c>
      <c r="W76" s="315">
        <f t="shared" si="10"/>
        <v>0</v>
      </c>
    </row>
    <row r="77" spans="1:23" ht="15" hidden="1" customHeight="1" x14ac:dyDescent="0.2">
      <c r="A77" s="63">
        <v>501000</v>
      </c>
      <c r="B77" s="895">
        <v>501000</v>
      </c>
      <c r="C77" s="896" t="s">
        <v>184</v>
      </c>
      <c r="D77" s="906" t="s">
        <v>446</v>
      </c>
      <c r="E77" s="927">
        <v>2</v>
      </c>
      <c r="F77" s="908">
        <v>1.8</v>
      </c>
      <c r="G77" s="909">
        <f>IF(E77&lt;=30,(1.07*E77+2.68)*F77,((1.07*30+2.68)+1.07*(E77-30))*F77)</f>
        <v>8.6760000000000002</v>
      </c>
      <c r="H77" s="889">
        <v>6.04</v>
      </c>
      <c r="I77" s="901">
        <f t="shared" si="14"/>
        <v>14.716000000000001</v>
      </c>
      <c r="J77" s="902">
        <f t="shared" si="15"/>
        <v>17.670000000000002</v>
      </c>
      <c r="K77" s="903" t="s">
        <v>10</v>
      </c>
      <c r="L77" s="904">
        <f>ROUND(SUM('RES. CENTRAL PARK:RUA_FINAL'!L77),2)</f>
        <v>0</v>
      </c>
      <c r="M77" s="904">
        <f t="shared" si="4"/>
        <v>0</v>
      </c>
      <c r="N77" s="893">
        <f t="shared" si="5"/>
        <v>0</v>
      </c>
      <c r="O77" s="905"/>
      <c r="P77" s="59"/>
      <c r="Q77" s="317" t="str">
        <f t="shared" si="6"/>
        <v/>
      </c>
      <c r="R77" s="317" t="str">
        <f t="shared" si="7"/>
        <v/>
      </c>
      <c r="S77" s="317" t="str">
        <f t="shared" si="8"/>
        <v/>
      </c>
      <c r="V77" s="314">
        <f>SUM('RES. CENTRAL PARK:RUA_FINAL'!N77)</f>
        <v>0</v>
      </c>
      <c r="W77" s="315">
        <f t="shared" si="10"/>
        <v>0</v>
      </c>
    </row>
    <row r="78" spans="1:23" ht="15" hidden="1" customHeight="1" x14ac:dyDescent="0.2">
      <c r="A78" s="63">
        <v>101114</v>
      </c>
      <c r="B78" s="895">
        <v>101114</v>
      </c>
      <c r="C78" s="896" t="s">
        <v>596</v>
      </c>
      <c r="D78" s="906" t="s">
        <v>1906</v>
      </c>
      <c r="E78" s="907"/>
      <c r="F78" s="908">
        <v>0</v>
      </c>
      <c r="G78" s="909"/>
      <c r="H78" s="889">
        <v>4.37</v>
      </c>
      <c r="I78" s="901">
        <f t="shared" si="14"/>
        <v>4.37</v>
      </c>
      <c r="J78" s="902">
        <f t="shared" si="15"/>
        <v>5.25</v>
      </c>
      <c r="K78" s="903" t="s">
        <v>10</v>
      </c>
      <c r="L78" s="904">
        <f>ROUND(SUM('RES. CENTRAL PARK:RUA_FINAL'!L78),2)</f>
        <v>0</v>
      </c>
      <c r="M78" s="904">
        <f t="shared" si="4"/>
        <v>0</v>
      </c>
      <c r="N78" s="893">
        <f t="shared" si="5"/>
        <v>0</v>
      </c>
      <c r="O78" s="905"/>
      <c r="Q78" s="317" t="str">
        <f t="shared" si="6"/>
        <v/>
      </c>
      <c r="R78" s="317" t="str">
        <f t="shared" si="7"/>
        <v/>
      </c>
      <c r="S78" s="317" t="str">
        <f t="shared" si="8"/>
        <v/>
      </c>
      <c r="V78" s="314">
        <f>SUM('RES. CENTRAL PARK:RUA_FINAL'!N78)</f>
        <v>0</v>
      </c>
      <c r="W78" s="315">
        <f t="shared" si="10"/>
        <v>0</v>
      </c>
    </row>
    <row r="79" spans="1:23" ht="15" hidden="1" customHeight="1" x14ac:dyDescent="0.2">
      <c r="A79" s="63">
        <v>101119</v>
      </c>
      <c r="B79" s="895">
        <v>101119</v>
      </c>
      <c r="C79" s="896" t="s">
        <v>596</v>
      </c>
      <c r="D79" s="906" t="s">
        <v>1907</v>
      </c>
      <c r="E79" s="907"/>
      <c r="F79" s="908"/>
      <c r="G79" s="909"/>
      <c r="H79" s="889">
        <v>8.36</v>
      </c>
      <c r="I79" s="901">
        <f t="shared" si="14"/>
        <v>8.36</v>
      </c>
      <c r="J79" s="902">
        <f t="shared" si="15"/>
        <v>10.039999999999999</v>
      </c>
      <c r="K79" s="903" t="s">
        <v>10</v>
      </c>
      <c r="L79" s="904">
        <f>ROUND(SUM('RES. CENTRAL PARK:RUA_FINAL'!L79),2)</f>
        <v>0</v>
      </c>
      <c r="M79" s="904">
        <f t="shared" si="4"/>
        <v>0</v>
      </c>
      <c r="N79" s="893">
        <f t="shared" si="5"/>
        <v>0</v>
      </c>
      <c r="O79" s="905"/>
      <c r="Q79" s="317" t="str">
        <f t="shared" si="6"/>
        <v/>
      </c>
      <c r="R79" s="317" t="str">
        <f t="shared" si="7"/>
        <v/>
      </c>
      <c r="S79" s="317" t="str">
        <f t="shared" si="8"/>
        <v/>
      </c>
      <c r="V79" s="314">
        <f>SUM('RES. CENTRAL PARK:RUA_FINAL'!N79)</f>
        <v>0</v>
      </c>
      <c r="W79" s="315">
        <f t="shared" si="10"/>
        <v>0</v>
      </c>
    </row>
    <row r="80" spans="1:23" ht="15" hidden="1" customHeight="1" x14ac:dyDescent="0.2">
      <c r="A80" s="63">
        <v>430010</v>
      </c>
      <c r="B80" s="895">
        <v>430210</v>
      </c>
      <c r="C80" s="896" t="s">
        <v>184</v>
      </c>
      <c r="D80" s="906" t="s">
        <v>1908</v>
      </c>
      <c r="E80" s="907"/>
      <c r="F80" s="908"/>
      <c r="G80" s="909"/>
      <c r="H80" s="889">
        <v>40.54</v>
      </c>
      <c r="I80" s="901">
        <f>IF(ISBLANK(H80),"",SUM(G80:H80))</f>
        <v>40.54</v>
      </c>
      <c r="J80" s="902">
        <f t="shared" si="15"/>
        <v>48.68</v>
      </c>
      <c r="K80" s="903" t="s">
        <v>10</v>
      </c>
      <c r="L80" s="904">
        <f>ROUND(SUM('RES. CENTRAL PARK:RUA_FINAL'!L80),2)</f>
        <v>0</v>
      </c>
      <c r="M80" s="904">
        <f t="shared" si="4"/>
        <v>0</v>
      </c>
      <c r="N80" s="893">
        <f t="shared" si="5"/>
        <v>0</v>
      </c>
      <c r="O80" s="905"/>
      <c r="Q80" s="317" t="str">
        <f t="shared" si="6"/>
        <v/>
      </c>
      <c r="R80" s="317" t="str">
        <f t="shared" si="7"/>
        <v/>
      </c>
      <c r="S80" s="317" t="str">
        <f t="shared" si="8"/>
        <v/>
      </c>
      <c r="V80" s="314">
        <f>SUM('RES. CENTRAL PARK:RUA_FINAL'!N80)</f>
        <v>0</v>
      </c>
      <c r="W80" s="315">
        <f t="shared" si="10"/>
        <v>0</v>
      </c>
    </row>
    <row r="81" spans="1:23" ht="15" hidden="1" customHeight="1" x14ac:dyDescent="0.2">
      <c r="A81" s="63" t="s">
        <v>1901</v>
      </c>
      <c r="B81" s="895" t="s">
        <v>1901</v>
      </c>
      <c r="C81" s="896" t="s">
        <v>2242</v>
      </c>
      <c r="D81" s="906" t="s">
        <v>1902</v>
      </c>
      <c r="E81" s="907"/>
      <c r="F81" s="908"/>
      <c r="G81" s="909"/>
      <c r="H81" s="901">
        <v>1.01</v>
      </c>
      <c r="I81" s="901">
        <f>IF(ISBLANK(H81),"",SUM(G81:H81))</f>
        <v>1.01</v>
      </c>
      <c r="J81" s="902">
        <f t="shared" si="15"/>
        <v>1.21</v>
      </c>
      <c r="K81" s="903" t="s">
        <v>1516</v>
      </c>
      <c r="L81" s="904">
        <f>ROUND(SUM('RES. CENTRAL PARK:RUA_FINAL'!L81),2)</f>
        <v>0</v>
      </c>
      <c r="M81" s="904">
        <f t="shared" si="4"/>
        <v>0</v>
      </c>
      <c r="N81" s="893">
        <f t="shared" si="5"/>
        <v>0</v>
      </c>
      <c r="O81" s="905"/>
      <c r="Q81" s="317" t="str">
        <f t="shared" si="6"/>
        <v/>
      </c>
      <c r="R81" s="317" t="str">
        <f t="shared" si="7"/>
        <v/>
      </c>
      <c r="S81" s="317" t="str">
        <f t="shared" si="8"/>
        <v/>
      </c>
      <c r="V81" s="314">
        <f>SUM('RES. CENTRAL PARK:RUA_FINAL'!N81)</f>
        <v>0</v>
      </c>
      <c r="W81" s="315">
        <f t="shared" si="10"/>
        <v>0</v>
      </c>
    </row>
    <row r="82" spans="1:23" ht="15" hidden="1" customHeight="1" x14ac:dyDescent="0.2">
      <c r="A82" s="63">
        <v>520100</v>
      </c>
      <c r="B82" s="895" t="s">
        <v>1545</v>
      </c>
      <c r="C82" s="896" t="s">
        <v>184</v>
      </c>
      <c r="D82" s="906" t="s">
        <v>1903</v>
      </c>
      <c r="E82" s="907"/>
      <c r="F82" s="908">
        <v>0</v>
      </c>
      <c r="G82" s="909"/>
      <c r="H82" s="889">
        <v>5.45</v>
      </c>
      <c r="I82" s="901">
        <f t="shared" si="14"/>
        <v>5.45</v>
      </c>
      <c r="J82" s="902">
        <f t="shared" si="15"/>
        <v>6.54</v>
      </c>
      <c r="K82" s="903" t="s">
        <v>10</v>
      </c>
      <c r="L82" s="904">
        <f>ROUND(SUM('RES. CENTRAL PARK:RUA_FINAL'!L82),2)</f>
        <v>0</v>
      </c>
      <c r="M82" s="904">
        <f t="shared" si="4"/>
        <v>0</v>
      </c>
      <c r="N82" s="893">
        <f t="shared" si="5"/>
        <v>0</v>
      </c>
      <c r="O82" s="905"/>
      <c r="Q82" s="317" t="str">
        <f t="shared" si="6"/>
        <v/>
      </c>
      <c r="R82" s="317" t="str">
        <f t="shared" si="7"/>
        <v/>
      </c>
      <c r="S82" s="317" t="str">
        <f t="shared" si="8"/>
        <v/>
      </c>
      <c r="V82" s="314">
        <f>SUM('RES. CENTRAL PARK:RUA_FINAL'!N82)</f>
        <v>0</v>
      </c>
      <c r="W82" s="315">
        <f t="shared" si="10"/>
        <v>0</v>
      </c>
    </row>
    <row r="83" spans="1:23" ht="15" hidden="1" customHeight="1" x14ac:dyDescent="0.2">
      <c r="A83" s="63">
        <v>520200</v>
      </c>
      <c r="B83" s="895" t="s">
        <v>1546</v>
      </c>
      <c r="C83" s="896" t="s">
        <v>184</v>
      </c>
      <c r="D83" s="906" t="s">
        <v>1904</v>
      </c>
      <c r="E83" s="907"/>
      <c r="F83" s="908"/>
      <c r="G83" s="909"/>
      <c r="H83" s="889">
        <v>6.66</v>
      </c>
      <c r="I83" s="901">
        <f t="shared" si="14"/>
        <v>6.66</v>
      </c>
      <c r="J83" s="902">
        <f t="shared" si="15"/>
        <v>8</v>
      </c>
      <c r="K83" s="903" t="s">
        <v>10</v>
      </c>
      <c r="L83" s="904">
        <f>ROUND(SUM('RES. CENTRAL PARK:RUA_FINAL'!L83),2)</f>
        <v>0</v>
      </c>
      <c r="M83" s="904">
        <f t="shared" si="4"/>
        <v>0</v>
      </c>
      <c r="N83" s="893">
        <f t="shared" si="5"/>
        <v>0</v>
      </c>
      <c r="O83" s="905"/>
      <c r="Q83" s="317" t="str">
        <f t="shared" si="6"/>
        <v/>
      </c>
      <c r="R83" s="317" t="str">
        <f t="shared" si="7"/>
        <v/>
      </c>
      <c r="S83" s="317" t="str">
        <f t="shared" si="8"/>
        <v/>
      </c>
      <c r="V83" s="314">
        <f>SUM('RES. CENTRAL PARK:RUA_FINAL'!N83)</f>
        <v>0</v>
      </c>
      <c r="W83" s="315">
        <f t="shared" si="10"/>
        <v>0</v>
      </c>
    </row>
    <row r="84" spans="1:23" ht="15" hidden="1" customHeight="1" x14ac:dyDescent="0.2">
      <c r="A84" s="63">
        <v>431010</v>
      </c>
      <c r="B84" s="895">
        <v>431010</v>
      </c>
      <c r="C84" s="896" t="s">
        <v>184</v>
      </c>
      <c r="D84" s="906" t="s">
        <v>1905</v>
      </c>
      <c r="E84" s="907"/>
      <c r="F84" s="908">
        <v>0</v>
      </c>
      <c r="G84" s="909"/>
      <c r="H84" s="889">
        <v>44.4</v>
      </c>
      <c r="I84" s="901">
        <f t="shared" si="14"/>
        <v>44.4</v>
      </c>
      <c r="J84" s="902">
        <f t="shared" si="15"/>
        <v>53.31</v>
      </c>
      <c r="K84" s="903" t="s">
        <v>10</v>
      </c>
      <c r="L84" s="904">
        <f>ROUND(SUM('RES. CENTRAL PARK:RUA_FINAL'!L84),2)</f>
        <v>0</v>
      </c>
      <c r="M84" s="904">
        <f t="shared" ref="M84:M147" si="16">IF(L84=0,0,ROUND(J84,2))</f>
        <v>0</v>
      </c>
      <c r="N84" s="893">
        <f t="shared" ref="N84:N147" si="17">IF(ISBLANK(L84),0,ROUND(L84*M84,2))</f>
        <v>0</v>
      </c>
      <c r="O84" s="905"/>
      <c r="Q84" s="317" t="str">
        <f t="shared" ref="Q84:Q147" si="18">IF(P84="X","x",IF(P84="xx","x",IF(P84="xy","x",IF(P84="y","x",IF(OR(N84&gt;0,N84&gt;0),"x","")))))</f>
        <v/>
      </c>
      <c r="R84" s="317" t="str">
        <f t="shared" ref="R84:R147" si="19">IF(P84="X","x",IF(P84="y","x",IF(P84="xx","x",IF(N84&gt;0,"x",""))))</f>
        <v/>
      </c>
      <c r="S84" s="317" t="str">
        <f t="shared" ref="S84:S147" si="20">IF(P84="X","x",IF(N84&gt;0,"x",""))</f>
        <v/>
      </c>
      <c r="V84" s="314">
        <f>SUM('RES. CENTRAL PARK:RUA_FINAL'!N84)</f>
        <v>0</v>
      </c>
      <c r="W84" s="315">
        <f t="shared" si="10"/>
        <v>0</v>
      </c>
    </row>
    <row r="85" spans="1:23" ht="15" hidden="1" customHeight="1" x14ac:dyDescent="0.2">
      <c r="A85" s="63">
        <v>520100</v>
      </c>
      <c r="B85" s="895" t="s">
        <v>1547</v>
      </c>
      <c r="C85" s="896" t="s">
        <v>184</v>
      </c>
      <c r="D85" s="906" t="s">
        <v>1909</v>
      </c>
      <c r="E85" s="927">
        <v>2</v>
      </c>
      <c r="F85" s="908">
        <v>1.5</v>
      </c>
      <c r="G85" s="909">
        <f>IF(E85&lt;=30,(1.07*E85+2.68)*F85,((1.07*30+2.68)+1.07*(E85-30))*F85)</f>
        <v>7.23</v>
      </c>
      <c r="H85" s="889">
        <v>5.45</v>
      </c>
      <c r="I85" s="901">
        <f t="shared" si="14"/>
        <v>12.68</v>
      </c>
      <c r="J85" s="902">
        <f t="shared" si="15"/>
        <v>15.22</v>
      </c>
      <c r="K85" s="903" t="s">
        <v>10</v>
      </c>
      <c r="L85" s="904">
        <f>ROUND(SUM('RES. CENTRAL PARK:RUA_FINAL'!L85),2)</f>
        <v>0</v>
      </c>
      <c r="M85" s="904">
        <f t="shared" si="16"/>
        <v>0</v>
      </c>
      <c r="N85" s="893">
        <f t="shared" si="17"/>
        <v>0</v>
      </c>
      <c r="O85" s="905"/>
      <c r="Q85" s="317" t="str">
        <f t="shared" si="18"/>
        <v/>
      </c>
      <c r="R85" s="317" t="str">
        <f t="shared" si="19"/>
        <v/>
      </c>
      <c r="S85" s="317" t="str">
        <f t="shared" si="20"/>
        <v/>
      </c>
      <c r="V85" s="314">
        <f>SUM('RES. CENTRAL PARK:RUA_FINAL'!N85)</f>
        <v>0</v>
      </c>
      <c r="W85" s="315">
        <f t="shared" ref="W85:W148" si="21">N85-V85</f>
        <v>0</v>
      </c>
    </row>
    <row r="86" spans="1:23" ht="15" hidden="1" customHeight="1" x14ac:dyDescent="0.2">
      <c r="A86" s="63">
        <v>520200</v>
      </c>
      <c r="B86" s="895" t="s">
        <v>1548</v>
      </c>
      <c r="C86" s="896" t="s">
        <v>184</v>
      </c>
      <c r="D86" s="906" t="s">
        <v>1910</v>
      </c>
      <c r="E86" s="927">
        <v>2</v>
      </c>
      <c r="F86" s="908">
        <v>1.5</v>
      </c>
      <c r="G86" s="909">
        <f>IF(E86&lt;=30,(1.07*E86+2.68)*F86,((1.07*30+2.68)+1.07*(E86-30))*F86)</f>
        <v>7.23</v>
      </c>
      <c r="H86" s="889">
        <v>6.66</v>
      </c>
      <c r="I86" s="901">
        <f t="shared" si="14"/>
        <v>13.89</v>
      </c>
      <c r="J86" s="902">
        <f t="shared" si="15"/>
        <v>16.68</v>
      </c>
      <c r="K86" s="903" t="s">
        <v>10</v>
      </c>
      <c r="L86" s="904">
        <f>ROUND(SUM('RES. CENTRAL PARK:RUA_FINAL'!L86),2)</f>
        <v>0</v>
      </c>
      <c r="M86" s="904">
        <f t="shared" si="16"/>
        <v>0</v>
      </c>
      <c r="N86" s="893">
        <f t="shared" si="17"/>
        <v>0</v>
      </c>
      <c r="O86" s="905"/>
      <c r="Q86" s="317" t="str">
        <f t="shared" si="18"/>
        <v/>
      </c>
      <c r="R86" s="317" t="str">
        <f t="shared" si="19"/>
        <v/>
      </c>
      <c r="S86" s="317" t="str">
        <f t="shared" si="20"/>
        <v/>
      </c>
      <c r="V86" s="314">
        <f>SUM('RES. CENTRAL PARK:RUA_FINAL'!N86)</f>
        <v>0</v>
      </c>
      <c r="W86" s="315">
        <f t="shared" si="21"/>
        <v>0</v>
      </c>
    </row>
    <row r="87" spans="1:23" ht="15" hidden="1" customHeight="1" x14ac:dyDescent="0.2">
      <c r="A87" s="63">
        <v>521300</v>
      </c>
      <c r="B87" s="895">
        <v>521300</v>
      </c>
      <c r="C87" s="896" t="s">
        <v>184</v>
      </c>
      <c r="D87" s="906" t="s">
        <v>1911</v>
      </c>
      <c r="E87" s="927">
        <v>2</v>
      </c>
      <c r="F87" s="908">
        <v>1.5</v>
      </c>
      <c r="G87" s="909">
        <f>IF(E87&lt;=30,(1.07*E87+2.68)*F87,((1.07*30+2.68)+1.07*(E87-30))*F87)</f>
        <v>7.23</v>
      </c>
      <c r="H87" s="889">
        <v>46.06</v>
      </c>
      <c r="I87" s="901">
        <f>IF(ISBLANK(H87),"",SUM(G87:H87))</f>
        <v>53.290000000000006</v>
      </c>
      <c r="J87" s="902">
        <f t="shared" si="15"/>
        <v>63.99</v>
      </c>
      <c r="K87" s="903" t="s">
        <v>10</v>
      </c>
      <c r="L87" s="904">
        <f>ROUND(SUM('RES. CENTRAL PARK:RUA_FINAL'!L87),2)</f>
        <v>0</v>
      </c>
      <c r="M87" s="904">
        <f t="shared" si="16"/>
        <v>0</v>
      </c>
      <c r="N87" s="893">
        <f t="shared" si="17"/>
        <v>0</v>
      </c>
      <c r="O87" s="905"/>
      <c r="Q87" s="317" t="str">
        <f t="shared" si="18"/>
        <v/>
      </c>
      <c r="R87" s="317" t="str">
        <f t="shared" si="19"/>
        <v/>
      </c>
      <c r="S87" s="317" t="str">
        <f t="shared" si="20"/>
        <v/>
      </c>
      <c r="V87" s="314">
        <f>SUM('RES. CENTRAL PARK:RUA_FINAL'!N87)</f>
        <v>0</v>
      </c>
      <c r="W87" s="315">
        <f t="shared" si="21"/>
        <v>0</v>
      </c>
    </row>
    <row r="88" spans="1:23" ht="15" hidden="1" customHeight="1" x14ac:dyDescent="0.2">
      <c r="A88" s="63">
        <v>411000</v>
      </c>
      <c r="B88" s="895">
        <v>411000</v>
      </c>
      <c r="C88" s="896" t="s">
        <v>184</v>
      </c>
      <c r="D88" s="906" t="s">
        <v>172</v>
      </c>
      <c r="E88" s="907"/>
      <c r="F88" s="908"/>
      <c r="G88" s="909"/>
      <c r="H88" s="889">
        <v>9.51</v>
      </c>
      <c r="I88" s="901">
        <f t="shared" si="14"/>
        <v>9.51</v>
      </c>
      <c r="J88" s="902">
        <f t="shared" si="15"/>
        <v>11.42</v>
      </c>
      <c r="K88" s="903" t="s">
        <v>10</v>
      </c>
      <c r="L88" s="904">
        <f>ROUND(SUM('RES. CENTRAL PARK:RUA_FINAL'!L88),2)</f>
        <v>0</v>
      </c>
      <c r="M88" s="904">
        <f t="shared" si="16"/>
        <v>0</v>
      </c>
      <c r="N88" s="893">
        <f t="shared" si="17"/>
        <v>0</v>
      </c>
      <c r="O88" s="905"/>
      <c r="P88" s="59"/>
      <c r="Q88" s="317" t="str">
        <f t="shared" si="18"/>
        <v/>
      </c>
      <c r="R88" s="317" t="str">
        <f t="shared" si="19"/>
        <v/>
      </c>
      <c r="S88" s="317" t="str">
        <f t="shared" si="20"/>
        <v/>
      </c>
      <c r="V88" s="314">
        <f>SUM('RES. CENTRAL PARK:RUA_FINAL'!N88)</f>
        <v>0</v>
      </c>
      <c r="W88" s="315">
        <f t="shared" si="21"/>
        <v>0</v>
      </c>
    </row>
    <row r="89" spans="1:23" ht="15" hidden="1" customHeight="1" x14ac:dyDescent="0.2">
      <c r="A89" s="63">
        <v>420200</v>
      </c>
      <c r="B89" s="895">
        <v>420200</v>
      </c>
      <c r="C89" s="896" t="s">
        <v>184</v>
      </c>
      <c r="D89" s="906" t="s">
        <v>483</v>
      </c>
      <c r="E89" s="927">
        <v>2</v>
      </c>
      <c r="F89" s="908">
        <v>0.5</v>
      </c>
      <c r="G89" s="909">
        <f>IF(E89&lt;=30,(1.07*E89+2.68)*F89,((1.07*30+2.68)+1.07*(E89-30))*F89)</f>
        <v>2.41</v>
      </c>
      <c r="H89" s="889">
        <v>11.51</v>
      </c>
      <c r="I89" s="901">
        <f>IF(ISBLANK(H89),"",SUM(G89:H89))*0.9</f>
        <v>12.528</v>
      </c>
      <c r="J89" s="902">
        <f t="shared" si="15"/>
        <v>15.04</v>
      </c>
      <c r="K89" s="903" t="s">
        <v>10</v>
      </c>
      <c r="L89" s="904">
        <f>ROUND(SUM('RES. CENTRAL PARK:RUA_FINAL'!L89),2)</f>
        <v>0</v>
      </c>
      <c r="M89" s="904">
        <f t="shared" si="16"/>
        <v>0</v>
      </c>
      <c r="N89" s="893">
        <f t="shared" si="17"/>
        <v>0</v>
      </c>
      <c r="O89" s="905"/>
      <c r="P89" s="59"/>
      <c r="Q89" s="317" t="str">
        <f t="shared" si="18"/>
        <v/>
      </c>
      <c r="R89" s="317" t="str">
        <f t="shared" si="19"/>
        <v/>
      </c>
      <c r="S89" s="317" t="str">
        <f t="shared" si="20"/>
        <v/>
      </c>
      <c r="V89" s="314">
        <f>SUM('RES. CENTRAL PARK:RUA_FINAL'!N89)</f>
        <v>0</v>
      </c>
      <c r="W89" s="315">
        <f t="shared" si="21"/>
        <v>0</v>
      </c>
    </row>
    <row r="90" spans="1:23" ht="15" hidden="1" customHeight="1" x14ac:dyDescent="0.2">
      <c r="A90" s="63">
        <v>404000</v>
      </c>
      <c r="B90" s="895">
        <v>404000</v>
      </c>
      <c r="C90" s="896" t="s">
        <v>184</v>
      </c>
      <c r="D90" s="906" t="s">
        <v>171</v>
      </c>
      <c r="E90" s="927">
        <v>2</v>
      </c>
      <c r="F90" s="908">
        <v>1.5</v>
      </c>
      <c r="G90" s="909">
        <f>IF(E90&lt;=30,(1.07*E90+2.68)*F90,((1.07*30+2.68)+1.07*(E90-30))*F90)</f>
        <v>7.23</v>
      </c>
      <c r="H90" s="889">
        <v>11.43</v>
      </c>
      <c r="I90" s="901">
        <f t="shared" si="14"/>
        <v>18.66</v>
      </c>
      <c r="J90" s="902">
        <f t="shared" si="15"/>
        <v>22.41</v>
      </c>
      <c r="K90" s="903" t="s">
        <v>10</v>
      </c>
      <c r="L90" s="904">
        <f>ROUND(SUM('RES. CENTRAL PARK:RUA_FINAL'!L90),2)</f>
        <v>0</v>
      </c>
      <c r="M90" s="904">
        <f t="shared" si="16"/>
        <v>0</v>
      </c>
      <c r="N90" s="893">
        <f t="shared" si="17"/>
        <v>0</v>
      </c>
      <c r="O90" s="905"/>
      <c r="P90" s="59"/>
      <c r="Q90" s="317" t="str">
        <f t="shared" si="18"/>
        <v/>
      </c>
      <c r="R90" s="317" t="str">
        <f t="shared" si="19"/>
        <v/>
      </c>
      <c r="S90" s="317" t="str">
        <f t="shared" si="20"/>
        <v/>
      </c>
      <c r="V90" s="314">
        <f>SUM('RES. CENTRAL PARK:RUA_FINAL'!N90)</f>
        <v>0</v>
      </c>
      <c r="W90" s="315">
        <f t="shared" si="21"/>
        <v>0</v>
      </c>
    </row>
    <row r="91" spans="1:23" ht="15" hidden="1" customHeight="1" x14ac:dyDescent="0.2">
      <c r="A91" s="565" t="s">
        <v>165</v>
      </c>
      <c r="B91" s="913" t="s">
        <v>165</v>
      </c>
      <c r="C91" s="914"/>
      <c r="D91" s="915" t="s">
        <v>164</v>
      </c>
      <c r="E91" s="916"/>
      <c r="F91" s="917"/>
      <c r="G91" s="949"/>
      <c r="H91" s="919">
        <v>0</v>
      </c>
      <c r="I91" s="919"/>
      <c r="J91" s="919"/>
      <c r="K91" s="920" t="s">
        <v>507</v>
      </c>
      <c r="L91" s="921">
        <f>ROUND(SUM('RES. CENTRAL PARK:RUA_FINAL'!L91),2)</f>
        <v>0</v>
      </c>
      <c r="M91" s="922">
        <f t="shared" si="16"/>
        <v>0</v>
      </c>
      <c r="N91" s="923">
        <f t="shared" si="17"/>
        <v>0</v>
      </c>
      <c r="O91" s="905"/>
      <c r="P91" s="58" t="str">
        <f>IF(OR(SUM(N92:N116)&gt;0,SUM(N92:N116)&gt;0),"y","")</f>
        <v/>
      </c>
      <c r="Q91" s="317" t="str">
        <f t="shared" si="18"/>
        <v/>
      </c>
      <c r="R91" s="317" t="str">
        <f t="shared" si="19"/>
        <v/>
      </c>
      <c r="S91" s="317" t="str">
        <f t="shared" si="20"/>
        <v/>
      </c>
      <c r="V91" s="314">
        <f>SUM('RES. CENTRAL PARK:RUA_FINAL'!N91)</f>
        <v>0</v>
      </c>
      <c r="W91" s="315">
        <f t="shared" si="21"/>
        <v>0</v>
      </c>
    </row>
    <row r="92" spans="1:23" ht="15" hidden="1" customHeight="1" x14ac:dyDescent="0.2">
      <c r="A92" s="565" t="s">
        <v>165</v>
      </c>
      <c r="B92" s="924" t="s">
        <v>165</v>
      </c>
      <c r="C92" s="925" t="s">
        <v>165</v>
      </c>
      <c r="D92" s="926"/>
      <c r="E92" s="927"/>
      <c r="F92" s="928"/>
      <c r="G92" s="929"/>
      <c r="H92" s="930">
        <v>0</v>
      </c>
      <c r="I92" s="901">
        <f t="shared" ref="I92:I116" si="22">IF(ISBLANK(H92),"",SUM(G92:H92))</f>
        <v>0</v>
      </c>
      <c r="J92" s="902">
        <f t="shared" ref="J92:J116" si="23">IF(ISBLANK(H92),0,ROUND(I92*(1+$E$10),2))</f>
        <v>0</v>
      </c>
      <c r="K92" s="928" t="s">
        <v>507</v>
      </c>
      <c r="L92" s="910">
        <f>ROUND(SUM('RES. CENTRAL PARK:RUA_FINAL'!L92),2)</f>
        <v>0</v>
      </c>
      <c r="M92" s="911">
        <f t="shared" si="16"/>
        <v>0</v>
      </c>
      <c r="N92" s="893">
        <f t="shared" si="17"/>
        <v>0</v>
      </c>
      <c r="O92" s="905"/>
      <c r="Q92" s="317" t="str">
        <f t="shared" si="18"/>
        <v/>
      </c>
      <c r="R92" s="317" t="str">
        <f t="shared" si="19"/>
        <v/>
      </c>
      <c r="S92" s="317" t="str">
        <f t="shared" si="20"/>
        <v/>
      </c>
      <c r="V92" s="314">
        <f>SUM('RES. CENTRAL PARK:RUA_FINAL'!N92)</f>
        <v>0</v>
      </c>
      <c r="W92" s="315">
        <f t="shared" si="21"/>
        <v>0</v>
      </c>
    </row>
    <row r="93" spans="1:23" ht="15" hidden="1" customHeight="1" x14ac:dyDescent="0.2">
      <c r="A93" s="565" t="s">
        <v>165</v>
      </c>
      <c r="B93" s="924" t="s">
        <v>165</v>
      </c>
      <c r="C93" s="925" t="s">
        <v>165</v>
      </c>
      <c r="D93" s="926"/>
      <c r="E93" s="927"/>
      <c r="F93" s="928"/>
      <c r="G93" s="929"/>
      <c r="H93" s="930">
        <v>0</v>
      </c>
      <c r="I93" s="901">
        <f t="shared" si="22"/>
        <v>0</v>
      </c>
      <c r="J93" s="902">
        <f t="shared" si="23"/>
        <v>0</v>
      </c>
      <c r="K93" s="928" t="s">
        <v>507</v>
      </c>
      <c r="L93" s="904">
        <f>ROUND(SUM('RES. CENTRAL PARK:RUA_FINAL'!L93),2)</f>
        <v>0</v>
      </c>
      <c r="M93" s="904">
        <f t="shared" si="16"/>
        <v>0</v>
      </c>
      <c r="N93" s="932">
        <f t="shared" si="17"/>
        <v>0</v>
      </c>
      <c r="O93" s="905"/>
      <c r="Q93" s="317" t="str">
        <f t="shared" si="18"/>
        <v/>
      </c>
      <c r="R93" s="317" t="str">
        <f t="shared" si="19"/>
        <v/>
      </c>
      <c r="S93" s="317" t="str">
        <f t="shared" si="20"/>
        <v/>
      </c>
      <c r="V93" s="314">
        <f>SUM('RES. CENTRAL PARK:RUA_FINAL'!N93)</f>
        <v>0</v>
      </c>
      <c r="W93" s="315">
        <f t="shared" si="21"/>
        <v>0</v>
      </c>
    </row>
    <row r="94" spans="1:23" ht="15" hidden="1" customHeight="1" x14ac:dyDescent="0.2">
      <c r="A94" s="565" t="s">
        <v>165</v>
      </c>
      <c r="B94" s="924" t="s">
        <v>165</v>
      </c>
      <c r="C94" s="925" t="s">
        <v>165</v>
      </c>
      <c r="D94" s="926"/>
      <c r="E94" s="927"/>
      <c r="F94" s="928"/>
      <c r="G94" s="929"/>
      <c r="H94" s="930">
        <v>0</v>
      </c>
      <c r="I94" s="901">
        <f t="shared" si="22"/>
        <v>0</v>
      </c>
      <c r="J94" s="902">
        <f t="shared" si="23"/>
        <v>0</v>
      </c>
      <c r="K94" s="928" t="s">
        <v>507</v>
      </c>
      <c r="L94" s="904">
        <f>ROUND(SUM('RES. CENTRAL PARK:RUA_FINAL'!L94),2)</f>
        <v>0</v>
      </c>
      <c r="M94" s="904">
        <f t="shared" si="16"/>
        <v>0</v>
      </c>
      <c r="N94" s="893">
        <f t="shared" si="17"/>
        <v>0</v>
      </c>
      <c r="O94" s="905"/>
      <c r="Q94" s="317" t="str">
        <f t="shared" si="18"/>
        <v/>
      </c>
      <c r="R94" s="317" t="str">
        <f t="shared" si="19"/>
        <v/>
      </c>
      <c r="S94" s="317" t="str">
        <f t="shared" si="20"/>
        <v/>
      </c>
      <c r="V94" s="314">
        <f>SUM('RES. CENTRAL PARK:RUA_FINAL'!N94)</f>
        <v>0</v>
      </c>
      <c r="W94" s="315">
        <f t="shared" si="21"/>
        <v>0</v>
      </c>
    </row>
    <row r="95" spans="1:23" ht="15" hidden="1" customHeight="1" x14ac:dyDescent="0.2">
      <c r="A95" s="565" t="s">
        <v>165</v>
      </c>
      <c r="B95" s="924" t="s">
        <v>165</v>
      </c>
      <c r="C95" s="925" t="s">
        <v>165</v>
      </c>
      <c r="D95" s="926"/>
      <c r="E95" s="927"/>
      <c r="F95" s="928"/>
      <c r="G95" s="929"/>
      <c r="H95" s="930">
        <v>0</v>
      </c>
      <c r="I95" s="901">
        <f t="shared" si="22"/>
        <v>0</v>
      </c>
      <c r="J95" s="902">
        <f t="shared" si="23"/>
        <v>0</v>
      </c>
      <c r="K95" s="928" t="s">
        <v>507</v>
      </c>
      <c r="L95" s="904">
        <f>ROUND(SUM('RES. CENTRAL PARK:RUA_FINAL'!L95),2)</f>
        <v>0</v>
      </c>
      <c r="M95" s="904">
        <f t="shared" si="16"/>
        <v>0</v>
      </c>
      <c r="N95" s="893">
        <f t="shared" si="17"/>
        <v>0</v>
      </c>
      <c r="O95" s="905"/>
      <c r="Q95" s="317" t="str">
        <f t="shared" si="18"/>
        <v/>
      </c>
      <c r="R95" s="317" t="str">
        <f t="shared" si="19"/>
        <v/>
      </c>
      <c r="S95" s="317" t="str">
        <f t="shared" si="20"/>
        <v/>
      </c>
      <c r="V95" s="314">
        <f>SUM('RES. CENTRAL PARK:RUA_FINAL'!N95)</f>
        <v>0</v>
      </c>
      <c r="W95" s="315">
        <f t="shared" si="21"/>
        <v>0</v>
      </c>
    </row>
    <row r="96" spans="1:23" ht="15" hidden="1" customHeight="1" x14ac:dyDescent="0.2">
      <c r="A96" s="565" t="s">
        <v>165</v>
      </c>
      <c r="B96" s="924" t="s">
        <v>165</v>
      </c>
      <c r="C96" s="925" t="s">
        <v>165</v>
      </c>
      <c r="D96" s="926"/>
      <c r="E96" s="927"/>
      <c r="F96" s="928"/>
      <c r="G96" s="929"/>
      <c r="H96" s="930">
        <v>0</v>
      </c>
      <c r="I96" s="901">
        <f t="shared" si="22"/>
        <v>0</v>
      </c>
      <c r="J96" s="902">
        <f t="shared" si="23"/>
        <v>0</v>
      </c>
      <c r="K96" s="928" t="s">
        <v>507</v>
      </c>
      <c r="L96" s="904">
        <f>ROUND(SUM('RES. CENTRAL PARK:RUA_FINAL'!L96),2)</f>
        <v>0</v>
      </c>
      <c r="M96" s="904">
        <f t="shared" si="16"/>
        <v>0</v>
      </c>
      <c r="N96" s="893">
        <f t="shared" si="17"/>
        <v>0</v>
      </c>
      <c r="O96" s="905"/>
      <c r="Q96" s="317" t="str">
        <f t="shared" si="18"/>
        <v/>
      </c>
      <c r="R96" s="317" t="str">
        <f t="shared" si="19"/>
        <v/>
      </c>
      <c r="S96" s="317" t="str">
        <f t="shared" si="20"/>
        <v/>
      </c>
      <c r="V96" s="314">
        <f>SUM('RES. CENTRAL PARK:RUA_FINAL'!N96)</f>
        <v>0</v>
      </c>
      <c r="W96" s="315">
        <f t="shared" si="21"/>
        <v>0</v>
      </c>
    </row>
    <row r="97" spans="1:23" ht="15" hidden="1" customHeight="1" x14ac:dyDescent="0.2">
      <c r="A97" s="565" t="s">
        <v>165</v>
      </c>
      <c r="B97" s="924" t="s">
        <v>165</v>
      </c>
      <c r="C97" s="925" t="s">
        <v>165</v>
      </c>
      <c r="D97" s="926"/>
      <c r="E97" s="927"/>
      <c r="F97" s="928"/>
      <c r="G97" s="929"/>
      <c r="H97" s="930">
        <v>0</v>
      </c>
      <c r="I97" s="901">
        <f t="shared" si="22"/>
        <v>0</v>
      </c>
      <c r="J97" s="902">
        <f t="shared" si="23"/>
        <v>0</v>
      </c>
      <c r="K97" s="928" t="s">
        <v>507</v>
      </c>
      <c r="L97" s="904">
        <f>ROUND(SUM('RES. CENTRAL PARK:RUA_FINAL'!L97),2)</f>
        <v>0</v>
      </c>
      <c r="M97" s="904">
        <f t="shared" si="16"/>
        <v>0</v>
      </c>
      <c r="N97" s="893">
        <f t="shared" si="17"/>
        <v>0</v>
      </c>
      <c r="O97" s="905"/>
      <c r="Q97" s="317" t="str">
        <f t="shared" si="18"/>
        <v/>
      </c>
      <c r="R97" s="317" t="str">
        <f t="shared" si="19"/>
        <v/>
      </c>
      <c r="S97" s="317" t="str">
        <f t="shared" si="20"/>
        <v/>
      </c>
      <c r="V97" s="314">
        <f>SUM('RES. CENTRAL PARK:RUA_FINAL'!N97)</f>
        <v>0</v>
      </c>
      <c r="W97" s="315">
        <f t="shared" si="21"/>
        <v>0</v>
      </c>
    </row>
    <row r="98" spans="1:23" ht="15" hidden="1" customHeight="1" x14ac:dyDescent="0.2">
      <c r="A98" s="565" t="s">
        <v>165</v>
      </c>
      <c r="B98" s="924" t="s">
        <v>165</v>
      </c>
      <c r="C98" s="925" t="s">
        <v>165</v>
      </c>
      <c r="D98" s="926"/>
      <c r="E98" s="927"/>
      <c r="F98" s="928"/>
      <c r="G98" s="929"/>
      <c r="H98" s="930">
        <v>0</v>
      </c>
      <c r="I98" s="901">
        <f t="shared" si="22"/>
        <v>0</v>
      </c>
      <c r="J98" s="902">
        <f t="shared" si="23"/>
        <v>0</v>
      </c>
      <c r="K98" s="928" t="s">
        <v>507</v>
      </c>
      <c r="L98" s="904">
        <f>ROUND(SUM('RES. CENTRAL PARK:RUA_FINAL'!L98),2)</f>
        <v>0</v>
      </c>
      <c r="M98" s="904">
        <f t="shared" si="16"/>
        <v>0</v>
      </c>
      <c r="N98" s="893">
        <f t="shared" si="17"/>
        <v>0</v>
      </c>
      <c r="O98" s="905"/>
      <c r="Q98" s="317" t="str">
        <f t="shared" si="18"/>
        <v/>
      </c>
      <c r="R98" s="317" t="str">
        <f t="shared" si="19"/>
        <v/>
      </c>
      <c r="S98" s="317" t="str">
        <f t="shared" si="20"/>
        <v/>
      </c>
      <c r="V98" s="314">
        <f>SUM('RES. CENTRAL PARK:RUA_FINAL'!N98)</f>
        <v>0</v>
      </c>
      <c r="W98" s="315">
        <f t="shared" si="21"/>
        <v>0</v>
      </c>
    </row>
    <row r="99" spans="1:23" ht="15" hidden="1" customHeight="1" x14ac:dyDescent="0.2">
      <c r="A99" s="565" t="s">
        <v>165</v>
      </c>
      <c r="B99" s="924" t="s">
        <v>165</v>
      </c>
      <c r="C99" s="925" t="s">
        <v>165</v>
      </c>
      <c r="D99" s="926"/>
      <c r="E99" s="927"/>
      <c r="F99" s="928"/>
      <c r="G99" s="929"/>
      <c r="H99" s="930">
        <v>0</v>
      </c>
      <c r="I99" s="901">
        <f t="shared" si="22"/>
        <v>0</v>
      </c>
      <c r="J99" s="902">
        <f t="shared" si="23"/>
        <v>0</v>
      </c>
      <c r="K99" s="928" t="s">
        <v>507</v>
      </c>
      <c r="L99" s="904">
        <f>ROUND(SUM('RES. CENTRAL PARK:RUA_FINAL'!L99),2)</f>
        <v>0</v>
      </c>
      <c r="M99" s="904">
        <f t="shared" si="16"/>
        <v>0</v>
      </c>
      <c r="N99" s="893">
        <f t="shared" si="17"/>
        <v>0</v>
      </c>
      <c r="O99" s="905"/>
      <c r="Q99" s="317" t="str">
        <f t="shared" si="18"/>
        <v/>
      </c>
      <c r="R99" s="317" t="str">
        <f t="shared" si="19"/>
        <v/>
      </c>
      <c r="S99" s="317" t="str">
        <f t="shared" si="20"/>
        <v/>
      </c>
      <c r="V99" s="314">
        <f>SUM('RES. CENTRAL PARK:RUA_FINAL'!N99)</f>
        <v>0</v>
      </c>
      <c r="W99" s="315">
        <f t="shared" si="21"/>
        <v>0</v>
      </c>
    </row>
    <row r="100" spans="1:23" ht="15" hidden="1" customHeight="1" x14ac:dyDescent="0.2">
      <c r="A100" s="565" t="s">
        <v>165</v>
      </c>
      <c r="B100" s="924" t="s">
        <v>165</v>
      </c>
      <c r="C100" s="925" t="s">
        <v>165</v>
      </c>
      <c r="D100" s="926"/>
      <c r="E100" s="927"/>
      <c r="F100" s="928"/>
      <c r="G100" s="929"/>
      <c r="H100" s="930">
        <v>0</v>
      </c>
      <c r="I100" s="901">
        <f t="shared" si="22"/>
        <v>0</v>
      </c>
      <c r="J100" s="902">
        <f t="shared" si="23"/>
        <v>0</v>
      </c>
      <c r="K100" s="928" t="s">
        <v>507</v>
      </c>
      <c r="L100" s="904">
        <f>ROUND(SUM('RES. CENTRAL PARK:RUA_FINAL'!L100),2)</f>
        <v>0</v>
      </c>
      <c r="M100" s="904">
        <f t="shared" si="16"/>
        <v>0</v>
      </c>
      <c r="N100" s="893">
        <f t="shared" si="17"/>
        <v>0</v>
      </c>
      <c r="O100" s="905"/>
      <c r="Q100" s="317" t="str">
        <f t="shared" si="18"/>
        <v/>
      </c>
      <c r="R100" s="317" t="str">
        <f t="shared" si="19"/>
        <v/>
      </c>
      <c r="S100" s="317" t="str">
        <f t="shared" si="20"/>
        <v/>
      </c>
      <c r="V100" s="314">
        <f>SUM('RES. CENTRAL PARK:RUA_FINAL'!N100)</f>
        <v>0</v>
      </c>
      <c r="W100" s="315">
        <f t="shared" si="21"/>
        <v>0</v>
      </c>
    </row>
    <row r="101" spans="1:23" ht="15" hidden="1" customHeight="1" x14ac:dyDescent="0.2">
      <c r="A101" s="565" t="s">
        <v>165</v>
      </c>
      <c r="B101" s="924" t="s">
        <v>165</v>
      </c>
      <c r="C101" s="925" t="s">
        <v>165</v>
      </c>
      <c r="D101" s="926"/>
      <c r="E101" s="927"/>
      <c r="F101" s="928"/>
      <c r="G101" s="929"/>
      <c r="H101" s="930">
        <v>0</v>
      </c>
      <c r="I101" s="901">
        <f t="shared" si="22"/>
        <v>0</v>
      </c>
      <c r="J101" s="902">
        <f t="shared" si="23"/>
        <v>0</v>
      </c>
      <c r="K101" s="928" t="s">
        <v>507</v>
      </c>
      <c r="L101" s="904">
        <f>ROUND(SUM('RES. CENTRAL PARK:RUA_FINAL'!L101),2)</f>
        <v>0</v>
      </c>
      <c r="M101" s="904">
        <f t="shared" si="16"/>
        <v>0</v>
      </c>
      <c r="N101" s="893">
        <f t="shared" si="17"/>
        <v>0</v>
      </c>
      <c r="O101" s="905"/>
      <c r="Q101" s="317" t="str">
        <f t="shared" si="18"/>
        <v/>
      </c>
      <c r="R101" s="317" t="str">
        <f t="shared" si="19"/>
        <v/>
      </c>
      <c r="S101" s="317" t="str">
        <f t="shared" si="20"/>
        <v/>
      </c>
      <c r="V101" s="314">
        <f>SUM('RES. CENTRAL PARK:RUA_FINAL'!N101)</f>
        <v>0</v>
      </c>
      <c r="W101" s="315">
        <f t="shared" si="21"/>
        <v>0</v>
      </c>
    </row>
    <row r="102" spans="1:23" ht="15" hidden="1" customHeight="1" x14ac:dyDescent="0.2">
      <c r="A102" s="565" t="s">
        <v>165</v>
      </c>
      <c r="B102" s="924" t="s">
        <v>165</v>
      </c>
      <c r="C102" s="925" t="s">
        <v>165</v>
      </c>
      <c r="D102" s="926"/>
      <c r="E102" s="927"/>
      <c r="F102" s="928"/>
      <c r="G102" s="929"/>
      <c r="H102" s="930">
        <v>0</v>
      </c>
      <c r="I102" s="901">
        <f t="shared" si="22"/>
        <v>0</v>
      </c>
      <c r="J102" s="902">
        <f t="shared" si="23"/>
        <v>0</v>
      </c>
      <c r="K102" s="928" t="s">
        <v>507</v>
      </c>
      <c r="L102" s="904">
        <f>ROUND(SUM('RES. CENTRAL PARK:RUA_FINAL'!L102),2)</f>
        <v>0</v>
      </c>
      <c r="M102" s="904">
        <f t="shared" si="16"/>
        <v>0</v>
      </c>
      <c r="N102" s="893">
        <f t="shared" si="17"/>
        <v>0</v>
      </c>
      <c r="O102" s="905"/>
      <c r="Q102" s="317" t="str">
        <f t="shared" si="18"/>
        <v/>
      </c>
      <c r="R102" s="317" t="str">
        <f t="shared" si="19"/>
        <v/>
      </c>
      <c r="S102" s="317" t="str">
        <f t="shared" si="20"/>
        <v/>
      </c>
      <c r="V102" s="314">
        <f>SUM('RES. CENTRAL PARK:RUA_FINAL'!N102)</f>
        <v>0</v>
      </c>
      <c r="W102" s="315">
        <f t="shared" si="21"/>
        <v>0</v>
      </c>
    </row>
    <row r="103" spans="1:23" ht="15" hidden="1" customHeight="1" x14ac:dyDescent="0.2">
      <c r="A103" s="565" t="s">
        <v>165</v>
      </c>
      <c r="B103" s="924" t="s">
        <v>165</v>
      </c>
      <c r="C103" s="925" t="s">
        <v>165</v>
      </c>
      <c r="D103" s="926"/>
      <c r="E103" s="927"/>
      <c r="F103" s="928"/>
      <c r="G103" s="929"/>
      <c r="H103" s="930">
        <v>0</v>
      </c>
      <c r="I103" s="901">
        <f t="shared" si="22"/>
        <v>0</v>
      </c>
      <c r="J103" s="902">
        <f t="shared" si="23"/>
        <v>0</v>
      </c>
      <c r="K103" s="928" t="s">
        <v>507</v>
      </c>
      <c r="L103" s="904">
        <f>ROUND(SUM('RES. CENTRAL PARK:RUA_FINAL'!L103),2)</f>
        <v>0</v>
      </c>
      <c r="M103" s="904">
        <f t="shared" si="16"/>
        <v>0</v>
      </c>
      <c r="N103" s="893">
        <f t="shared" si="17"/>
        <v>0</v>
      </c>
      <c r="O103" s="905"/>
      <c r="Q103" s="317" t="str">
        <f t="shared" si="18"/>
        <v/>
      </c>
      <c r="R103" s="317" t="str">
        <f t="shared" si="19"/>
        <v/>
      </c>
      <c r="S103" s="317" t="str">
        <f t="shared" si="20"/>
        <v/>
      </c>
      <c r="V103" s="314">
        <f>SUM('RES. CENTRAL PARK:RUA_FINAL'!N103)</f>
        <v>0</v>
      </c>
      <c r="W103" s="315">
        <f t="shared" si="21"/>
        <v>0</v>
      </c>
    </row>
    <row r="104" spans="1:23" ht="15" hidden="1" customHeight="1" x14ac:dyDescent="0.2">
      <c r="A104" s="565" t="s">
        <v>165</v>
      </c>
      <c r="B104" s="924" t="s">
        <v>165</v>
      </c>
      <c r="C104" s="925" t="s">
        <v>165</v>
      </c>
      <c r="D104" s="926"/>
      <c r="E104" s="927"/>
      <c r="F104" s="928"/>
      <c r="G104" s="929"/>
      <c r="H104" s="930">
        <v>0</v>
      </c>
      <c r="I104" s="901">
        <f t="shared" si="22"/>
        <v>0</v>
      </c>
      <c r="J104" s="902">
        <f t="shared" si="23"/>
        <v>0</v>
      </c>
      <c r="K104" s="928" t="s">
        <v>507</v>
      </c>
      <c r="L104" s="904">
        <f>ROUND(SUM('RES. CENTRAL PARK:RUA_FINAL'!L104),2)</f>
        <v>0</v>
      </c>
      <c r="M104" s="904">
        <f t="shared" si="16"/>
        <v>0</v>
      </c>
      <c r="N104" s="893">
        <f t="shared" si="17"/>
        <v>0</v>
      </c>
      <c r="O104" s="905"/>
      <c r="Q104" s="317" t="str">
        <f t="shared" si="18"/>
        <v/>
      </c>
      <c r="R104" s="317" t="str">
        <f t="shared" si="19"/>
        <v/>
      </c>
      <c r="S104" s="317" t="str">
        <f t="shared" si="20"/>
        <v/>
      </c>
      <c r="V104" s="314">
        <f>SUM('RES. CENTRAL PARK:RUA_FINAL'!N104)</f>
        <v>0</v>
      </c>
      <c r="W104" s="315">
        <f t="shared" si="21"/>
        <v>0</v>
      </c>
    </row>
    <row r="105" spans="1:23" ht="15" hidden="1" customHeight="1" x14ac:dyDescent="0.2">
      <c r="A105" s="565" t="s">
        <v>165</v>
      </c>
      <c r="B105" s="924" t="s">
        <v>165</v>
      </c>
      <c r="C105" s="925" t="s">
        <v>165</v>
      </c>
      <c r="D105" s="926"/>
      <c r="E105" s="927"/>
      <c r="F105" s="928"/>
      <c r="G105" s="929"/>
      <c r="H105" s="930">
        <v>0</v>
      </c>
      <c r="I105" s="901">
        <f t="shared" si="22"/>
        <v>0</v>
      </c>
      <c r="J105" s="902">
        <f t="shared" si="23"/>
        <v>0</v>
      </c>
      <c r="K105" s="928" t="s">
        <v>507</v>
      </c>
      <c r="L105" s="904">
        <f>ROUND(SUM('RES. CENTRAL PARK:RUA_FINAL'!L105),2)</f>
        <v>0</v>
      </c>
      <c r="M105" s="904">
        <f t="shared" si="16"/>
        <v>0</v>
      </c>
      <c r="N105" s="893">
        <f t="shared" si="17"/>
        <v>0</v>
      </c>
      <c r="O105" s="905"/>
      <c r="Q105" s="317" t="str">
        <f t="shared" si="18"/>
        <v/>
      </c>
      <c r="R105" s="317" t="str">
        <f t="shared" si="19"/>
        <v/>
      </c>
      <c r="S105" s="317" t="str">
        <f t="shared" si="20"/>
        <v/>
      </c>
      <c r="V105" s="314">
        <f>SUM('RES. CENTRAL PARK:RUA_FINAL'!N105)</f>
        <v>0</v>
      </c>
      <c r="W105" s="315">
        <f t="shared" si="21"/>
        <v>0</v>
      </c>
    </row>
    <row r="106" spans="1:23" ht="15" hidden="1" customHeight="1" x14ac:dyDescent="0.2">
      <c r="A106" s="565" t="s">
        <v>165</v>
      </c>
      <c r="B106" s="924" t="s">
        <v>165</v>
      </c>
      <c r="C106" s="925" t="s">
        <v>165</v>
      </c>
      <c r="D106" s="926"/>
      <c r="E106" s="927"/>
      <c r="F106" s="928"/>
      <c r="G106" s="929"/>
      <c r="H106" s="930">
        <v>0</v>
      </c>
      <c r="I106" s="901">
        <f t="shared" si="22"/>
        <v>0</v>
      </c>
      <c r="J106" s="902">
        <f t="shared" si="23"/>
        <v>0</v>
      </c>
      <c r="K106" s="928" t="s">
        <v>507</v>
      </c>
      <c r="L106" s="904">
        <f>ROUND(SUM('RES. CENTRAL PARK:RUA_FINAL'!L106),2)</f>
        <v>0</v>
      </c>
      <c r="M106" s="904">
        <f t="shared" si="16"/>
        <v>0</v>
      </c>
      <c r="N106" s="893">
        <f t="shared" si="17"/>
        <v>0</v>
      </c>
      <c r="O106" s="905"/>
      <c r="Q106" s="317" t="str">
        <f t="shared" si="18"/>
        <v/>
      </c>
      <c r="R106" s="317" t="str">
        <f t="shared" si="19"/>
        <v/>
      </c>
      <c r="S106" s="317" t="str">
        <f t="shared" si="20"/>
        <v/>
      </c>
      <c r="V106" s="314">
        <f>SUM('RES. CENTRAL PARK:RUA_FINAL'!N106)</f>
        <v>0</v>
      </c>
      <c r="W106" s="315">
        <f t="shared" si="21"/>
        <v>0</v>
      </c>
    </row>
    <row r="107" spans="1:23" ht="15" hidden="1" customHeight="1" x14ac:dyDescent="0.2">
      <c r="A107" s="565" t="s">
        <v>165</v>
      </c>
      <c r="B107" s="924" t="s">
        <v>165</v>
      </c>
      <c r="C107" s="925" t="s">
        <v>165</v>
      </c>
      <c r="D107" s="926"/>
      <c r="E107" s="927"/>
      <c r="F107" s="928"/>
      <c r="G107" s="929"/>
      <c r="H107" s="930">
        <v>0</v>
      </c>
      <c r="I107" s="901">
        <f t="shared" si="22"/>
        <v>0</v>
      </c>
      <c r="J107" s="902">
        <f t="shared" si="23"/>
        <v>0</v>
      </c>
      <c r="K107" s="928" t="s">
        <v>507</v>
      </c>
      <c r="L107" s="904">
        <f>ROUND(SUM('RES. CENTRAL PARK:RUA_FINAL'!L107),2)</f>
        <v>0</v>
      </c>
      <c r="M107" s="904">
        <f t="shared" si="16"/>
        <v>0</v>
      </c>
      <c r="N107" s="893">
        <f t="shared" si="17"/>
        <v>0</v>
      </c>
      <c r="O107" s="905"/>
      <c r="Q107" s="317" t="str">
        <f t="shared" si="18"/>
        <v/>
      </c>
      <c r="R107" s="317" t="str">
        <f t="shared" si="19"/>
        <v/>
      </c>
      <c r="S107" s="317" t="str">
        <f t="shared" si="20"/>
        <v/>
      </c>
      <c r="V107" s="314">
        <f>SUM('RES. CENTRAL PARK:RUA_FINAL'!N107)</f>
        <v>0</v>
      </c>
      <c r="W107" s="315">
        <f t="shared" si="21"/>
        <v>0</v>
      </c>
    </row>
    <row r="108" spans="1:23" ht="15" hidden="1" customHeight="1" x14ac:dyDescent="0.2">
      <c r="A108" s="565" t="s">
        <v>165</v>
      </c>
      <c r="B108" s="924" t="s">
        <v>165</v>
      </c>
      <c r="C108" s="925" t="s">
        <v>165</v>
      </c>
      <c r="D108" s="926"/>
      <c r="E108" s="927"/>
      <c r="F108" s="928"/>
      <c r="G108" s="929"/>
      <c r="H108" s="930">
        <v>0</v>
      </c>
      <c r="I108" s="901">
        <f t="shared" si="22"/>
        <v>0</v>
      </c>
      <c r="J108" s="902">
        <f t="shared" si="23"/>
        <v>0</v>
      </c>
      <c r="K108" s="928" t="s">
        <v>507</v>
      </c>
      <c r="L108" s="904">
        <f>ROUND(SUM('RES. CENTRAL PARK:RUA_FINAL'!L108),2)</f>
        <v>0</v>
      </c>
      <c r="M108" s="904">
        <f t="shared" si="16"/>
        <v>0</v>
      </c>
      <c r="N108" s="893">
        <f t="shared" si="17"/>
        <v>0</v>
      </c>
      <c r="O108" s="905"/>
      <c r="Q108" s="317" t="str">
        <f t="shared" si="18"/>
        <v/>
      </c>
      <c r="R108" s="317" t="str">
        <f t="shared" si="19"/>
        <v/>
      </c>
      <c r="S108" s="317" t="str">
        <f t="shared" si="20"/>
        <v/>
      </c>
      <c r="V108" s="314">
        <f>SUM('RES. CENTRAL PARK:RUA_FINAL'!N108)</f>
        <v>0</v>
      </c>
      <c r="W108" s="315">
        <f t="shared" si="21"/>
        <v>0</v>
      </c>
    </row>
    <row r="109" spans="1:23" ht="15" hidden="1" customHeight="1" x14ac:dyDescent="0.2">
      <c r="A109" s="565" t="s">
        <v>165</v>
      </c>
      <c r="B109" s="924" t="s">
        <v>165</v>
      </c>
      <c r="C109" s="925" t="s">
        <v>165</v>
      </c>
      <c r="D109" s="926"/>
      <c r="E109" s="927"/>
      <c r="F109" s="928"/>
      <c r="G109" s="929"/>
      <c r="H109" s="930">
        <v>0</v>
      </c>
      <c r="I109" s="901">
        <f t="shared" si="22"/>
        <v>0</v>
      </c>
      <c r="J109" s="902">
        <f t="shared" si="23"/>
        <v>0</v>
      </c>
      <c r="K109" s="928" t="s">
        <v>507</v>
      </c>
      <c r="L109" s="904">
        <f>ROUND(SUM('RES. CENTRAL PARK:RUA_FINAL'!L109),2)</f>
        <v>0</v>
      </c>
      <c r="M109" s="904">
        <f t="shared" si="16"/>
        <v>0</v>
      </c>
      <c r="N109" s="893">
        <f t="shared" si="17"/>
        <v>0</v>
      </c>
      <c r="O109" s="905"/>
      <c r="Q109" s="317" t="str">
        <f t="shared" si="18"/>
        <v/>
      </c>
      <c r="R109" s="317" t="str">
        <f t="shared" si="19"/>
        <v/>
      </c>
      <c r="S109" s="317" t="str">
        <f t="shared" si="20"/>
        <v/>
      </c>
      <c r="V109" s="314">
        <f>SUM('RES. CENTRAL PARK:RUA_FINAL'!N109)</f>
        <v>0</v>
      </c>
      <c r="W109" s="315">
        <f t="shared" si="21"/>
        <v>0</v>
      </c>
    </row>
    <row r="110" spans="1:23" ht="15" hidden="1" customHeight="1" x14ac:dyDescent="0.2">
      <c r="A110" s="565" t="s">
        <v>165</v>
      </c>
      <c r="B110" s="924" t="s">
        <v>165</v>
      </c>
      <c r="C110" s="925" t="s">
        <v>165</v>
      </c>
      <c r="D110" s="926"/>
      <c r="E110" s="927"/>
      <c r="F110" s="928"/>
      <c r="G110" s="929"/>
      <c r="H110" s="930">
        <v>0</v>
      </c>
      <c r="I110" s="901">
        <f t="shared" si="22"/>
        <v>0</v>
      </c>
      <c r="J110" s="902">
        <f t="shared" si="23"/>
        <v>0</v>
      </c>
      <c r="K110" s="928" t="s">
        <v>507</v>
      </c>
      <c r="L110" s="904">
        <f>ROUND(SUM('RES. CENTRAL PARK:RUA_FINAL'!L110),2)</f>
        <v>0</v>
      </c>
      <c r="M110" s="904">
        <f t="shared" si="16"/>
        <v>0</v>
      </c>
      <c r="N110" s="893">
        <f t="shared" si="17"/>
        <v>0</v>
      </c>
      <c r="O110" s="905"/>
      <c r="Q110" s="317" t="str">
        <f t="shared" si="18"/>
        <v/>
      </c>
      <c r="R110" s="317" t="str">
        <f t="shared" si="19"/>
        <v/>
      </c>
      <c r="S110" s="317" t="str">
        <f t="shared" si="20"/>
        <v/>
      </c>
      <c r="V110" s="314">
        <f>SUM('RES. CENTRAL PARK:RUA_FINAL'!N110)</f>
        <v>0</v>
      </c>
      <c r="W110" s="315">
        <f t="shared" si="21"/>
        <v>0</v>
      </c>
    </row>
    <row r="111" spans="1:23" ht="15" hidden="1" customHeight="1" x14ac:dyDescent="0.2">
      <c r="A111" s="565" t="s">
        <v>165</v>
      </c>
      <c r="B111" s="924" t="s">
        <v>165</v>
      </c>
      <c r="C111" s="925" t="s">
        <v>165</v>
      </c>
      <c r="D111" s="926"/>
      <c r="E111" s="927"/>
      <c r="F111" s="928"/>
      <c r="G111" s="929"/>
      <c r="H111" s="930">
        <v>0</v>
      </c>
      <c r="I111" s="901">
        <f t="shared" si="22"/>
        <v>0</v>
      </c>
      <c r="J111" s="902">
        <f t="shared" si="23"/>
        <v>0</v>
      </c>
      <c r="K111" s="928" t="s">
        <v>507</v>
      </c>
      <c r="L111" s="904">
        <f>ROUND(SUM('RES. CENTRAL PARK:RUA_FINAL'!L111),2)</f>
        <v>0</v>
      </c>
      <c r="M111" s="904">
        <f t="shared" si="16"/>
        <v>0</v>
      </c>
      <c r="N111" s="893">
        <f t="shared" si="17"/>
        <v>0</v>
      </c>
      <c r="O111" s="905"/>
      <c r="Q111" s="317" t="str">
        <f t="shared" si="18"/>
        <v/>
      </c>
      <c r="R111" s="317" t="str">
        <f t="shared" si="19"/>
        <v/>
      </c>
      <c r="S111" s="317" t="str">
        <f t="shared" si="20"/>
        <v/>
      </c>
      <c r="V111" s="314">
        <f>SUM('RES. CENTRAL PARK:RUA_FINAL'!N111)</f>
        <v>0</v>
      </c>
      <c r="W111" s="315">
        <f t="shared" si="21"/>
        <v>0</v>
      </c>
    </row>
    <row r="112" spans="1:23" ht="15" hidden="1" customHeight="1" x14ac:dyDescent="0.2">
      <c r="A112" s="565" t="s">
        <v>165</v>
      </c>
      <c r="B112" s="924" t="s">
        <v>165</v>
      </c>
      <c r="C112" s="925" t="s">
        <v>165</v>
      </c>
      <c r="D112" s="926"/>
      <c r="E112" s="927"/>
      <c r="F112" s="928"/>
      <c r="G112" s="929"/>
      <c r="H112" s="930">
        <v>0</v>
      </c>
      <c r="I112" s="901">
        <f t="shared" si="22"/>
        <v>0</v>
      </c>
      <c r="J112" s="902">
        <f t="shared" si="23"/>
        <v>0</v>
      </c>
      <c r="K112" s="928" t="s">
        <v>507</v>
      </c>
      <c r="L112" s="904">
        <f>ROUND(SUM('RES. CENTRAL PARK:RUA_FINAL'!L112),2)</f>
        <v>0</v>
      </c>
      <c r="M112" s="904">
        <f t="shared" si="16"/>
        <v>0</v>
      </c>
      <c r="N112" s="893">
        <f t="shared" si="17"/>
        <v>0</v>
      </c>
      <c r="O112" s="905"/>
      <c r="Q112" s="317" t="str">
        <f t="shared" si="18"/>
        <v/>
      </c>
      <c r="R112" s="317" t="str">
        <f t="shared" si="19"/>
        <v/>
      </c>
      <c r="S112" s="317" t="str">
        <f t="shared" si="20"/>
        <v/>
      </c>
      <c r="V112" s="314">
        <f>SUM('RES. CENTRAL PARK:RUA_FINAL'!N112)</f>
        <v>0</v>
      </c>
      <c r="W112" s="315">
        <f t="shared" si="21"/>
        <v>0</v>
      </c>
    </row>
    <row r="113" spans="1:23" ht="15" hidden="1" customHeight="1" x14ac:dyDescent="0.2">
      <c r="A113" s="565" t="s">
        <v>165</v>
      </c>
      <c r="B113" s="924" t="s">
        <v>165</v>
      </c>
      <c r="C113" s="925" t="s">
        <v>165</v>
      </c>
      <c r="D113" s="926"/>
      <c r="E113" s="927"/>
      <c r="F113" s="928"/>
      <c r="G113" s="929"/>
      <c r="H113" s="930">
        <v>0</v>
      </c>
      <c r="I113" s="901">
        <f t="shared" si="22"/>
        <v>0</v>
      </c>
      <c r="J113" s="902">
        <f t="shared" si="23"/>
        <v>0</v>
      </c>
      <c r="K113" s="928" t="s">
        <v>507</v>
      </c>
      <c r="L113" s="904">
        <f>ROUND(SUM('RES. CENTRAL PARK:RUA_FINAL'!L113),2)</f>
        <v>0</v>
      </c>
      <c r="M113" s="904">
        <f t="shared" si="16"/>
        <v>0</v>
      </c>
      <c r="N113" s="893">
        <f t="shared" si="17"/>
        <v>0</v>
      </c>
      <c r="O113" s="905"/>
      <c r="Q113" s="317" t="str">
        <f t="shared" si="18"/>
        <v/>
      </c>
      <c r="R113" s="317" t="str">
        <f t="shared" si="19"/>
        <v/>
      </c>
      <c r="S113" s="317" t="str">
        <f t="shared" si="20"/>
        <v/>
      </c>
      <c r="V113" s="314">
        <f>SUM('RES. CENTRAL PARK:RUA_FINAL'!N113)</f>
        <v>0</v>
      </c>
      <c r="W113" s="315">
        <f t="shared" si="21"/>
        <v>0</v>
      </c>
    </row>
    <row r="114" spans="1:23" ht="15" hidden="1" customHeight="1" x14ac:dyDescent="0.2">
      <c r="A114" s="565" t="s">
        <v>165</v>
      </c>
      <c r="B114" s="924" t="s">
        <v>165</v>
      </c>
      <c r="C114" s="925" t="s">
        <v>165</v>
      </c>
      <c r="D114" s="926"/>
      <c r="E114" s="927"/>
      <c r="F114" s="928"/>
      <c r="G114" s="929"/>
      <c r="H114" s="930">
        <v>0</v>
      </c>
      <c r="I114" s="901">
        <f t="shared" si="22"/>
        <v>0</v>
      </c>
      <c r="J114" s="902">
        <f t="shared" si="23"/>
        <v>0</v>
      </c>
      <c r="K114" s="928" t="s">
        <v>507</v>
      </c>
      <c r="L114" s="904">
        <f>ROUND(SUM('RES. CENTRAL PARK:RUA_FINAL'!L114),2)</f>
        <v>0</v>
      </c>
      <c r="M114" s="904">
        <f t="shared" si="16"/>
        <v>0</v>
      </c>
      <c r="N114" s="893">
        <f t="shared" si="17"/>
        <v>0</v>
      </c>
      <c r="O114" s="905"/>
      <c r="Q114" s="317" t="str">
        <f t="shared" si="18"/>
        <v/>
      </c>
      <c r="R114" s="317" t="str">
        <f t="shared" si="19"/>
        <v/>
      </c>
      <c r="S114" s="317" t="str">
        <f t="shared" si="20"/>
        <v/>
      </c>
      <c r="V114" s="314">
        <f>SUM('RES. CENTRAL PARK:RUA_FINAL'!N114)</f>
        <v>0</v>
      </c>
      <c r="W114" s="315">
        <f t="shared" si="21"/>
        <v>0</v>
      </c>
    </row>
    <row r="115" spans="1:23" ht="15" hidden="1" customHeight="1" x14ac:dyDescent="0.2">
      <c r="A115" s="565" t="s">
        <v>165</v>
      </c>
      <c r="B115" s="924" t="s">
        <v>165</v>
      </c>
      <c r="C115" s="925" t="s">
        <v>165</v>
      </c>
      <c r="D115" s="926"/>
      <c r="E115" s="927"/>
      <c r="F115" s="928"/>
      <c r="G115" s="929"/>
      <c r="H115" s="930">
        <v>0</v>
      </c>
      <c r="I115" s="901">
        <f t="shared" si="22"/>
        <v>0</v>
      </c>
      <c r="J115" s="902">
        <f t="shared" si="23"/>
        <v>0</v>
      </c>
      <c r="K115" s="928" t="s">
        <v>507</v>
      </c>
      <c r="L115" s="904">
        <f>ROUND(SUM('RES. CENTRAL PARK:RUA_FINAL'!L115),2)</f>
        <v>0</v>
      </c>
      <c r="M115" s="904">
        <f t="shared" si="16"/>
        <v>0</v>
      </c>
      <c r="N115" s="893">
        <f t="shared" si="17"/>
        <v>0</v>
      </c>
      <c r="O115" s="905"/>
      <c r="Q115" s="317" t="str">
        <f t="shared" si="18"/>
        <v/>
      </c>
      <c r="R115" s="317" t="str">
        <f t="shared" si="19"/>
        <v/>
      </c>
      <c r="S115" s="317" t="str">
        <f t="shared" si="20"/>
        <v/>
      </c>
      <c r="V115" s="314">
        <f>SUM('RES. CENTRAL PARK:RUA_FINAL'!N115)</f>
        <v>0</v>
      </c>
      <c r="W115" s="315">
        <f t="shared" si="21"/>
        <v>0</v>
      </c>
    </row>
    <row r="116" spans="1:23" ht="15" hidden="1" customHeight="1" thickBot="1" x14ac:dyDescent="0.25">
      <c r="A116" s="565" t="s">
        <v>165</v>
      </c>
      <c r="B116" s="924" t="s">
        <v>165</v>
      </c>
      <c r="C116" s="925" t="s">
        <v>165</v>
      </c>
      <c r="D116" s="926"/>
      <c r="E116" s="927"/>
      <c r="F116" s="928"/>
      <c r="G116" s="929"/>
      <c r="H116" s="930">
        <v>0</v>
      </c>
      <c r="I116" s="901">
        <f t="shared" si="22"/>
        <v>0</v>
      </c>
      <c r="J116" s="902">
        <f t="shared" si="23"/>
        <v>0</v>
      </c>
      <c r="K116" s="928" t="s">
        <v>507</v>
      </c>
      <c r="L116" s="904">
        <f>ROUND(SUM('RES. CENTRAL PARK:RUA_FINAL'!L116),2)</f>
        <v>0</v>
      </c>
      <c r="M116" s="904">
        <f t="shared" si="16"/>
        <v>0</v>
      </c>
      <c r="N116" s="942">
        <f t="shared" si="17"/>
        <v>0</v>
      </c>
      <c r="O116" s="905"/>
      <c r="Q116" s="317" t="str">
        <f t="shared" si="18"/>
        <v/>
      </c>
      <c r="R116" s="317" t="str">
        <f t="shared" si="19"/>
        <v/>
      </c>
      <c r="S116" s="317" t="str">
        <f t="shared" si="20"/>
        <v/>
      </c>
      <c r="V116" s="314">
        <f>SUM('RES. CENTRAL PARK:RUA_FINAL'!N116)</f>
        <v>0</v>
      </c>
      <c r="W116" s="315">
        <f t="shared" si="21"/>
        <v>0</v>
      </c>
    </row>
    <row r="117" spans="1:23" ht="15" hidden="1" customHeight="1" thickBot="1" x14ac:dyDescent="0.25">
      <c r="A117" s="63" t="s">
        <v>185</v>
      </c>
      <c r="B117" s="950" t="s">
        <v>185</v>
      </c>
      <c r="C117" s="951"/>
      <c r="D117" s="952" t="s">
        <v>434</v>
      </c>
      <c r="E117" s="943"/>
      <c r="F117" s="876"/>
      <c r="G117" s="945"/>
      <c r="H117" s="945">
        <v>0</v>
      </c>
      <c r="I117" s="945"/>
      <c r="J117" s="945"/>
      <c r="K117" s="878" t="s">
        <v>507</v>
      </c>
      <c r="L117" s="879">
        <f>ROUND(SUM('RES. CENTRAL PARK:RUA_FINAL'!L117),2)</f>
        <v>0</v>
      </c>
      <c r="M117" s="880"/>
      <c r="N117" s="881"/>
      <c r="O117" s="882">
        <f>SUM(N118:N227)</f>
        <v>0</v>
      </c>
      <c r="P117" s="58" t="str">
        <f>IF(OR(O117&gt;0,O117&gt;0),"X","")</f>
        <v/>
      </c>
      <c r="Q117" s="317" t="str">
        <f t="shared" si="18"/>
        <v/>
      </c>
      <c r="R117" s="317" t="str">
        <f t="shared" si="19"/>
        <v/>
      </c>
      <c r="S117" s="317" t="str">
        <f t="shared" si="20"/>
        <v/>
      </c>
      <c r="V117" s="314">
        <f>SUM('RES. CENTRAL PARK:RUA_FINAL'!N117)</f>
        <v>0</v>
      </c>
      <c r="W117" s="315">
        <f t="shared" si="21"/>
        <v>0</v>
      </c>
    </row>
    <row r="118" spans="1:23" ht="15" hidden="1" customHeight="1" x14ac:dyDescent="0.2">
      <c r="A118" s="562">
        <v>520100</v>
      </c>
      <c r="B118" s="895" t="s">
        <v>1558</v>
      </c>
      <c r="C118" s="896" t="s">
        <v>184</v>
      </c>
      <c r="D118" s="906" t="s">
        <v>270</v>
      </c>
      <c r="E118" s="927">
        <v>0.5</v>
      </c>
      <c r="F118" s="899">
        <f>1.5*1.4</f>
        <v>2.0999999999999996</v>
      </c>
      <c r="G118" s="953">
        <f>IF(E118&lt;=30,(1.07*E118+2.68)*F118,((1.07*30+2.68)+1.07*(E118-30))*F118)</f>
        <v>6.7514999999999992</v>
      </c>
      <c r="H118" s="954">
        <v>5.45</v>
      </c>
      <c r="I118" s="901">
        <f t="shared" ref="I118:I124" si="24">IF(ISBLANK(H118),"",SUM(G118:H118))</f>
        <v>12.201499999999999</v>
      </c>
      <c r="J118" s="902">
        <f>IF(ISBLANK(H118),0,ROUND(I118*(1+$E$10),2))</f>
        <v>14.65</v>
      </c>
      <c r="K118" s="903" t="s">
        <v>10</v>
      </c>
      <c r="L118" s="904">
        <f>ROUND(SUM('RES. CENTRAL PARK:RUA_FINAL'!L118),2)</f>
        <v>0</v>
      </c>
      <c r="M118" s="904">
        <f t="shared" si="16"/>
        <v>0</v>
      </c>
      <c r="N118" s="893">
        <f t="shared" si="17"/>
        <v>0</v>
      </c>
      <c r="O118" s="905"/>
      <c r="Q118" s="317" t="str">
        <f t="shared" si="18"/>
        <v/>
      </c>
      <c r="R118" s="317" t="str">
        <f t="shared" si="19"/>
        <v/>
      </c>
      <c r="S118" s="317" t="str">
        <f t="shared" si="20"/>
        <v/>
      </c>
      <c r="V118" s="314">
        <f>SUM('RES. CENTRAL PARK:RUA_FINAL'!N118)</f>
        <v>0</v>
      </c>
      <c r="W118" s="315">
        <f t="shared" si="21"/>
        <v>0</v>
      </c>
    </row>
    <row r="119" spans="1:23" ht="15" hidden="1" customHeight="1" x14ac:dyDescent="0.2">
      <c r="A119" s="562">
        <v>520100</v>
      </c>
      <c r="B119" s="895" t="s">
        <v>1559</v>
      </c>
      <c r="C119" s="896" t="s">
        <v>184</v>
      </c>
      <c r="D119" s="906" t="s">
        <v>271</v>
      </c>
      <c r="E119" s="927">
        <v>15</v>
      </c>
      <c r="F119" s="899">
        <f>1.5*1.4</f>
        <v>2.0999999999999996</v>
      </c>
      <c r="G119" s="953">
        <f>IF(E119&lt;=30,(1.07*E119+2.68)*F119,((1.07*30+2.68)+1.07*(E119-30))*F119)</f>
        <v>39.332999999999991</v>
      </c>
      <c r="H119" s="954">
        <v>5.45</v>
      </c>
      <c r="I119" s="901">
        <f t="shared" si="24"/>
        <v>44.782999999999994</v>
      </c>
      <c r="J119" s="902">
        <f t="shared" ref="J119:J182" si="25">IF(ISBLANK(H119),0,ROUND(I119*(1+$E$10),2))</f>
        <v>53.77</v>
      </c>
      <c r="K119" s="903" t="s">
        <v>10</v>
      </c>
      <c r="L119" s="904">
        <f>ROUND(SUM('RES. CENTRAL PARK:RUA_FINAL'!L119),2)</f>
        <v>0</v>
      </c>
      <c r="M119" s="904">
        <f t="shared" si="16"/>
        <v>0</v>
      </c>
      <c r="N119" s="893">
        <f t="shared" si="17"/>
        <v>0</v>
      </c>
      <c r="O119" s="905"/>
      <c r="Q119" s="317" t="str">
        <f t="shared" si="18"/>
        <v/>
      </c>
      <c r="R119" s="317" t="str">
        <f t="shared" si="19"/>
        <v/>
      </c>
      <c r="S119" s="317" t="str">
        <f t="shared" si="20"/>
        <v/>
      </c>
      <c r="V119" s="314">
        <f>SUM('RES. CENTRAL PARK:RUA_FINAL'!N119)</f>
        <v>0</v>
      </c>
      <c r="W119" s="315">
        <f t="shared" si="21"/>
        <v>0</v>
      </c>
    </row>
    <row r="120" spans="1:23" ht="15" hidden="1" customHeight="1" x14ac:dyDescent="0.2">
      <c r="A120" s="562">
        <v>532100</v>
      </c>
      <c r="B120" s="895">
        <v>532100</v>
      </c>
      <c r="C120" s="896" t="s">
        <v>184</v>
      </c>
      <c r="D120" s="906" t="s">
        <v>182</v>
      </c>
      <c r="E120" s="927">
        <v>20</v>
      </c>
      <c r="F120" s="908">
        <v>2.1</v>
      </c>
      <c r="G120" s="953">
        <f t="shared" ref="G120:G123" si="26">IF(E120&lt;=30,(1.07*E120+2.68)*F120,((1.07*30+2.68)+1.07*(E120-30))*F120)</f>
        <v>50.568000000000005</v>
      </c>
      <c r="H120" s="901">
        <v>92.64</v>
      </c>
      <c r="I120" s="901">
        <f t="shared" si="24"/>
        <v>143.208</v>
      </c>
      <c r="J120" s="902">
        <f t="shared" si="25"/>
        <v>171.95</v>
      </c>
      <c r="K120" s="903" t="s">
        <v>10</v>
      </c>
      <c r="L120" s="904">
        <f>ROUND(SUM('RES. CENTRAL PARK:RUA_FINAL'!L120),2)</f>
        <v>0</v>
      </c>
      <c r="M120" s="904">
        <f t="shared" si="16"/>
        <v>0</v>
      </c>
      <c r="N120" s="893">
        <f t="shared" si="17"/>
        <v>0</v>
      </c>
      <c r="O120" s="905"/>
      <c r="Q120" s="317" t="str">
        <f t="shared" si="18"/>
        <v/>
      </c>
      <c r="R120" s="317" t="str">
        <f t="shared" si="19"/>
        <v/>
      </c>
      <c r="S120" s="317" t="str">
        <f t="shared" si="20"/>
        <v/>
      </c>
      <c r="V120" s="314">
        <f>SUM('RES. CENTRAL PARK:RUA_FINAL'!N120)</f>
        <v>0</v>
      </c>
      <c r="W120" s="315">
        <f t="shared" si="21"/>
        <v>0</v>
      </c>
    </row>
    <row r="121" spans="1:23" ht="15" hidden="1" customHeight="1" x14ac:dyDescent="0.2">
      <c r="A121" s="562">
        <v>452010</v>
      </c>
      <c r="B121" s="955">
        <v>452010</v>
      </c>
      <c r="C121" s="956" t="s">
        <v>184</v>
      </c>
      <c r="D121" s="906" t="s">
        <v>188</v>
      </c>
      <c r="E121" s="927">
        <v>20</v>
      </c>
      <c r="F121" s="899">
        <v>1.98</v>
      </c>
      <c r="G121" s="953">
        <f t="shared" si="26"/>
        <v>47.678400000000003</v>
      </c>
      <c r="H121" s="901">
        <v>15.69</v>
      </c>
      <c r="I121" s="901">
        <f t="shared" si="24"/>
        <v>63.368400000000001</v>
      </c>
      <c r="J121" s="902">
        <f t="shared" si="25"/>
        <v>76.09</v>
      </c>
      <c r="K121" s="903" t="s">
        <v>10</v>
      </c>
      <c r="L121" s="904">
        <f>ROUND(SUM('RES. CENTRAL PARK:RUA_FINAL'!L121),2)</f>
        <v>0</v>
      </c>
      <c r="M121" s="904">
        <f t="shared" si="16"/>
        <v>0</v>
      </c>
      <c r="N121" s="893">
        <f t="shared" si="17"/>
        <v>0</v>
      </c>
      <c r="O121" s="905"/>
      <c r="Q121" s="317" t="str">
        <f t="shared" si="18"/>
        <v/>
      </c>
      <c r="R121" s="317" t="str">
        <f t="shared" si="19"/>
        <v/>
      </c>
      <c r="S121" s="317" t="str">
        <f t="shared" si="20"/>
        <v/>
      </c>
      <c r="V121" s="314">
        <f>SUM('RES. CENTRAL PARK:RUA_FINAL'!N121)</f>
        <v>0</v>
      </c>
      <c r="W121" s="315">
        <f t="shared" si="21"/>
        <v>0</v>
      </c>
    </row>
    <row r="122" spans="1:23" ht="15" hidden="1" customHeight="1" x14ac:dyDescent="0.2">
      <c r="A122" s="63">
        <v>532500</v>
      </c>
      <c r="B122" s="895" t="s">
        <v>1530</v>
      </c>
      <c r="C122" s="896" t="s">
        <v>184</v>
      </c>
      <c r="D122" s="957" t="s">
        <v>329</v>
      </c>
      <c r="E122" s="907">
        <f>DMT!$F$8</f>
        <v>150</v>
      </c>
      <c r="F122" s="908">
        <v>1.7250000000000001</v>
      </c>
      <c r="G122" s="953">
        <f t="shared" si="26"/>
        <v>281.4855</v>
      </c>
      <c r="H122" s="901">
        <v>102.38</v>
      </c>
      <c r="I122" s="901">
        <f t="shared" si="24"/>
        <v>383.8655</v>
      </c>
      <c r="J122" s="902">
        <f t="shared" si="25"/>
        <v>460.91</v>
      </c>
      <c r="K122" s="903" t="s">
        <v>10</v>
      </c>
      <c r="L122" s="904">
        <f>ROUND(SUM('RES. CENTRAL PARK:RUA_FINAL'!L122),2)</f>
        <v>0</v>
      </c>
      <c r="M122" s="904">
        <f t="shared" si="16"/>
        <v>0</v>
      </c>
      <c r="N122" s="893">
        <f t="shared" si="17"/>
        <v>0</v>
      </c>
      <c r="O122" s="905"/>
      <c r="Q122" s="317" t="str">
        <f t="shared" si="18"/>
        <v/>
      </c>
      <c r="R122" s="317" t="str">
        <f t="shared" si="19"/>
        <v/>
      </c>
      <c r="S122" s="317" t="str">
        <f t="shared" si="20"/>
        <v/>
      </c>
      <c r="V122" s="314">
        <f>SUM('RES. CENTRAL PARK:RUA_FINAL'!N122)</f>
        <v>0</v>
      </c>
      <c r="W122" s="315">
        <f t="shared" si="21"/>
        <v>0</v>
      </c>
    </row>
    <row r="123" spans="1:23" ht="15" hidden="1" customHeight="1" x14ac:dyDescent="0.2">
      <c r="A123" s="63">
        <v>603900</v>
      </c>
      <c r="B123" s="895" t="s">
        <v>1740</v>
      </c>
      <c r="C123" s="896" t="s">
        <v>184</v>
      </c>
      <c r="D123" s="957" t="s">
        <v>330</v>
      </c>
      <c r="E123" s="907">
        <f>DMT!F10</f>
        <v>0.2</v>
      </c>
      <c r="F123" s="908">
        <v>1.5</v>
      </c>
      <c r="G123" s="953">
        <f t="shared" si="26"/>
        <v>4.3410000000000002</v>
      </c>
      <c r="H123" s="901">
        <v>131.84</v>
      </c>
      <c r="I123" s="901">
        <f t="shared" si="24"/>
        <v>136.18100000000001</v>
      </c>
      <c r="J123" s="902">
        <f t="shared" si="25"/>
        <v>163.51</v>
      </c>
      <c r="K123" s="903" t="s">
        <v>10</v>
      </c>
      <c r="L123" s="904">
        <f>ROUND(SUM('RES. CENTRAL PARK:RUA_FINAL'!L123),2)</f>
        <v>0</v>
      </c>
      <c r="M123" s="904">
        <f t="shared" si="16"/>
        <v>0</v>
      </c>
      <c r="N123" s="893">
        <f t="shared" si="17"/>
        <v>0</v>
      </c>
      <c r="O123" s="905"/>
      <c r="Q123" s="317" t="str">
        <f t="shared" si="18"/>
        <v/>
      </c>
      <c r="R123" s="317" t="str">
        <f t="shared" si="19"/>
        <v/>
      </c>
      <c r="S123" s="317" t="str">
        <f t="shared" si="20"/>
        <v/>
      </c>
      <c r="V123" s="314">
        <f>SUM('RES. CENTRAL PARK:RUA_FINAL'!N123)</f>
        <v>0</v>
      </c>
      <c r="W123" s="315">
        <f t="shared" si="21"/>
        <v>0</v>
      </c>
    </row>
    <row r="124" spans="1:23" ht="15" hidden="1" customHeight="1" x14ac:dyDescent="0.2">
      <c r="A124" s="63">
        <v>605000</v>
      </c>
      <c r="B124" s="895" t="s">
        <v>298</v>
      </c>
      <c r="C124" s="896" t="s">
        <v>184</v>
      </c>
      <c r="D124" s="906" t="s">
        <v>259</v>
      </c>
      <c r="E124" s="907"/>
      <c r="F124" s="908"/>
      <c r="G124" s="909">
        <f>SUM(G125:G127)</f>
        <v>220.83394000000004</v>
      </c>
      <c r="H124" s="901">
        <v>425.25</v>
      </c>
      <c r="I124" s="901">
        <f t="shared" si="24"/>
        <v>646.08393999999998</v>
      </c>
      <c r="J124" s="902">
        <f t="shared" si="25"/>
        <v>775.75</v>
      </c>
      <c r="K124" s="903" t="s">
        <v>10</v>
      </c>
      <c r="L124" s="904">
        <f>ROUND(SUM('RES. CENTRAL PARK:RUA_FINAL'!L124),2)</f>
        <v>0</v>
      </c>
      <c r="M124" s="904">
        <f t="shared" si="16"/>
        <v>0</v>
      </c>
      <c r="N124" s="893">
        <f t="shared" si="17"/>
        <v>0</v>
      </c>
      <c r="O124" s="905"/>
      <c r="Q124" s="317" t="str">
        <f t="shared" si="18"/>
        <v/>
      </c>
      <c r="R124" s="317" t="str">
        <f t="shared" si="19"/>
        <v/>
      </c>
      <c r="S124" s="317" t="str">
        <f t="shared" si="20"/>
        <v/>
      </c>
      <c r="V124" s="314">
        <f>SUM('RES. CENTRAL PARK:RUA_FINAL'!N124)</f>
        <v>0</v>
      </c>
      <c r="W124" s="315">
        <f t="shared" si="21"/>
        <v>0</v>
      </c>
    </row>
    <row r="125" spans="1:23" ht="15" hidden="1" customHeight="1" x14ac:dyDescent="0.2">
      <c r="A125" s="63" t="s">
        <v>147</v>
      </c>
      <c r="B125" s="895" t="s">
        <v>147</v>
      </c>
      <c r="C125" s="896"/>
      <c r="D125" s="957" t="s">
        <v>190</v>
      </c>
      <c r="E125" s="907">
        <f>DMT!$D$20</f>
        <v>308</v>
      </c>
      <c r="F125" s="908">
        <v>0.18</v>
      </c>
      <c r="G125" s="909">
        <f>IF(E125&lt;=30,(0.78*E125+7.82)*F125,((0.78*30+7.82)+0.78*(E125-30))*F125)</f>
        <v>44.650799999999997</v>
      </c>
      <c r="H125" s="901">
        <v>0</v>
      </c>
      <c r="I125" s="901"/>
      <c r="J125" s="902">
        <f t="shared" si="25"/>
        <v>0</v>
      </c>
      <c r="K125" s="958" t="s">
        <v>507</v>
      </c>
      <c r="L125" s="959">
        <f>ROUND(SUM('RES. CENTRAL PARK:RUA_FINAL'!L125),2)</f>
        <v>0</v>
      </c>
      <c r="M125" s="960">
        <f t="shared" si="16"/>
        <v>0</v>
      </c>
      <c r="N125" s="893">
        <f t="shared" si="17"/>
        <v>0</v>
      </c>
      <c r="O125" s="905"/>
      <c r="P125" s="58" t="str">
        <f>IF(N124&gt;0,"xx",IF(N124&gt;0,"xy",""))</f>
        <v/>
      </c>
      <c r="Q125" s="317" t="str">
        <f t="shared" si="18"/>
        <v/>
      </c>
      <c r="R125" s="317" t="str">
        <f t="shared" si="19"/>
        <v/>
      </c>
      <c r="S125" s="317" t="str">
        <f t="shared" si="20"/>
        <v/>
      </c>
      <c r="V125" s="314">
        <f>SUM('RES. CENTRAL PARK:RUA_FINAL'!N125)</f>
        <v>0</v>
      </c>
      <c r="W125" s="315">
        <f t="shared" si="21"/>
        <v>0</v>
      </c>
    </row>
    <row r="126" spans="1:23" ht="15" hidden="1" customHeight="1" x14ac:dyDescent="0.2">
      <c r="A126" s="63" t="s">
        <v>147</v>
      </c>
      <c r="B126" s="895" t="s">
        <v>147</v>
      </c>
      <c r="C126" s="896"/>
      <c r="D126" s="957" t="s">
        <v>229</v>
      </c>
      <c r="E126" s="907">
        <f>DMT!$F$8</f>
        <v>150</v>
      </c>
      <c r="F126" s="908">
        <v>1.06</v>
      </c>
      <c r="G126" s="909">
        <f t="shared" ref="G126:G131" si="27">IF(E126&lt;=30,(1.07*E126+2.68)*F126,((1.07*30+2.68)+1.07*(E126-30))*F126)</f>
        <v>172.97080000000003</v>
      </c>
      <c r="H126" s="901">
        <v>0</v>
      </c>
      <c r="I126" s="901"/>
      <c r="J126" s="902">
        <f t="shared" si="25"/>
        <v>0</v>
      </c>
      <c r="K126" s="958" t="s">
        <v>507</v>
      </c>
      <c r="L126" s="959">
        <f>ROUND(SUM('RES. CENTRAL PARK:RUA_FINAL'!L126),2)</f>
        <v>0</v>
      </c>
      <c r="M126" s="960">
        <f t="shared" si="16"/>
        <v>0</v>
      </c>
      <c r="N126" s="893">
        <f t="shared" si="17"/>
        <v>0</v>
      </c>
      <c r="O126" s="905"/>
      <c r="P126" s="58" t="str">
        <f>IF(N124&gt;0,"xx",IF(N124&gt;0,"xy",""))</f>
        <v/>
      </c>
      <c r="Q126" s="317" t="str">
        <f t="shared" si="18"/>
        <v/>
      </c>
      <c r="R126" s="317" t="str">
        <f t="shared" si="19"/>
        <v/>
      </c>
      <c r="S126" s="317" t="str">
        <f t="shared" si="20"/>
        <v/>
      </c>
      <c r="V126" s="314">
        <f>SUM('RES. CENTRAL PARK:RUA_FINAL'!N126)</f>
        <v>0</v>
      </c>
      <c r="W126" s="315">
        <f t="shared" si="21"/>
        <v>0</v>
      </c>
    </row>
    <row r="127" spans="1:23" ht="15" hidden="1" customHeight="1" x14ac:dyDescent="0.2">
      <c r="A127" s="63" t="s">
        <v>147</v>
      </c>
      <c r="B127" s="895" t="s">
        <v>147</v>
      </c>
      <c r="C127" s="896"/>
      <c r="D127" s="957" t="s">
        <v>233</v>
      </c>
      <c r="E127" s="907">
        <f>DMT!$F$10</f>
        <v>0.2</v>
      </c>
      <c r="F127" s="908">
        <v>1.1100000000000001</v>
      </c>
      <c r="G127" s="909">
        <f t="shared" si="27"/>
        <v>3.2123400000000006</v>
      </c>
      <c r="H127" s="901">
        <v>0</v>
      </c>
      <c r="I127" s="901"/>
      <c r="J127" s="902">
        <f t="shared" si="25"/>
        <v>0</v>
      </c>
      <c r="K127" s="958" t="s">
        <v>507</v>
      </c>
      <c r="L127" s="959">
        <f>ROUND(SUM('RES. CENTRAL PARK:RUA_FINAL'!L127),2)</f>
        <v>0</v>
      </c>
      <c r="M127" s="960">
        <f t="shared" si="16"/>
        <v>0</v>
      </c>
      <c r="N127" s="893">
        <f t="shared" si="17"/>
        <v>0</v>
      </c>
      <c r="O127" s="905"/>
      <c r="P127" s="58" t="str">
        <f>IF(N124&gt;0,"xx",IF(N124&gt;0,"xy",""))</f>
        <v/>
      </c>
      <c r="Q127" s="317" t="str">
        <f t="shared" si="18"/>
        <v/>
      </c>
      <c r="R127" s="317" t="str">
        <f t="shared" si="19"/>
        <v/>
      </c>
      <c r="S127" s="317" t="str">
        <f t="shared" si="20"/>
        <v/>
      </c>
      <c r="V127" s="314">
        <f>SUM('RES. CENTRAL PARK:RUA_FINAL'!N127)</f>
        <v>0</v>
      </c>
      <c r="W127" s="315">
        <f t="shared" si="21"/>
        <v>0</v>
      </c>
    </row>
    <row r="128" spans="1:23" ht="15" hidden="1" customHeight="1" x14ac:dyDescent="0.2">
      <c r="A128" s="63">
        <v>400500</v>
      </c>
      <c r="B128" s="895" t="s">
        <v>1529</v>
      </c>
      <c r="C128" s="896" t="s">
        <v>184</v>
      </c>
      <c r="D128" s="906" t="s">
        <v>1732</v>
      </c>
      <c r="E128" s="907">
        <f>DMT!$F$8</f>
        <v>150</v>
      </c>
      <c r="F128" s="908">
        <v>1.73</v>
      </c>
      <c r="G128" s="953">
        <f t="shared" si="27"/>
        <v>282.3014</v>
      </c>
      <c r="H128" s="901">
        <v>83.83</v>
      </c>
      <c r="I128" s="901">
        <f>IF(ISBLANK(H128),"",SUM(G128:H128))</f>
        <v>366.13139999999999</v>
      </c>
      <c r="J128" s="902">
        <f t="shared" si="25"/>
        <v>439.61</v>
      </c>
      <c r="K128" s="903" t="s">
        <v>10</v>
      </c>
      <c r="L128" s="904">
        <f>ROUND(SUM('RES. CENTRAL PARK:RUA_FINAL'!L128),2)</f>
        <v>0</v>
      </c>
      <c r="M128" s="904">
        <f t="shared" si="16"/>
        <v>0</v>
      </c>
      <c r="N128" s="893">
        <f t="shared" si="17"/>
        <v>0</v>
      </c>
      <c r="O128" s="905"/>
      <c r="Q128" s="317" t="str">
        <f t="shared" si="18"/>
        <v/>
      </c>
      <c r="R128" s="317" t="str">
        <f t="shared" si="19"/>
        <v/>
      </c>
      <c r="S128" s="317" t="str">
        <f t="shared" si="20"/>
        <v/>
      </c>
      <c r="V128" s="314">
        <f>SUM('RES. CENTRAL PARK:RUA_FINAL'!N128)</f>
        <v>0</v>
      </c>
      <c r="W128" s="315">
        <f t="shared" si="21"/>
        <v>0</v>
      </c>
    </row>
    <row r="129" spans="1:23" ht="15" hidden="1" customHeight="1" x14ac:dyDescent="0.2">
      <c r="A129" s="63">
        <v>532500</v>
      </c>
      <c r="B129" s="895" t="s">
        <v>1531</v>
      </c>
      <c r="C129" s="896" t="s">
        <v>184</v>
      </c>
      <c r="D129" s="906" t="s">
        <v>1735</v>
      </c>
      <c r="E129" s="907">
        <f>DMT!$F$8</f>
        <v>150</v>
      </c>
      <c r="F129" s="908">
        <v>1.7250000000000001</v>
      </c>
      <c r="G129" s="953">
        <f t="shared" si="27"/>
        <v>281.4855</v>
      </c>
      <c r="H129" s="901">
        <v>102.38</v>
      </c>
      <c r="I129" s="901">
        <f>IF(ISBLANK(H129),"",SUM(G129:H129))</f>
        <v>383.8655</v>
      </c>
      <c r="J129" s="902">
        <f t="shared" si="25"/>
        <v>460.91</v>
      </c>
      <c r="K129" s="903" t="s">
        <v>10</v>
      </c>
      <c r="L129" s="904">
        <f>ROUND(SUM('RES. CENTRAL PARK:RUA_FINAL'!L129),2)</f>
        <v>0</v>
      </c>
      <c r="M129" s="904">
        <f t="shared" si="16"/>
        <v>0</v>
      </c>
      <c r="N129" s="893">
        <f t="shared" si="17"/>
        <v>0</v>
      </c>
      <c r="O129" s="905"/>
      <c r="Q129" s="317" t="str">
        <f t="shared" si="18"/>
        <v/>
      </c>
      <c r="R129" s="317" t="str">
        <f t="shared" si="19"/>
        <v/>
      </c>
      <c r="S129" s="317" t="str">
        <f t="shared" si="20"/>
        <v/>
      </c>
      <c r="V129" s="314">
        <f>SUM('RES. CENTRAL PARK:RUA_FINAL'!N129)</f>
        <v>0</v>
      </c>
      <c r="W129" s="315">
        <f t="shared" si="21"/>
        <v>0</v>
      </c>
    </row>
    <row r="130" spans="1:23" ht="15" hidden="1" customHeight="1" x14ac:dyDescent="0.2">
      <c r="A130" s="562">
        <v>532600</v>
      </c>
      <c r="B130" s="895" t="s">
        <v>1564</v>
      </c>
      <c r="C130" s="896" t="s">
        <v>184</v>
      </c>
      <c r="D130" s="906" t="s">
        <v>1733</v>
      </c>
      <c r="E130" s="898">
        <f>DMT!$F$12</f>
        <v>0</v>
      </c>
      <c r="F130" s="908">
        <f>ROUND(1.5*1.5,4)</f>
        <v>2.25</v>
      </c>
      <c r="G130" s="953">
        <f t="shared" si="27"/>
        <v>6.03</v>
      </c>
      <c r="H130" s="901">
        <v>16.07</v>
      </c>
      <c r="I130" s="901">
        <f>IF(ISBLANK(H130),"",SUM(G130:H130))</f>
        <v>22.1</v>
      </c>
      <c r="J130" s="902">
        <f t="shared" si="25"/>
        <v>26.54</v>
      </c>
      <c r="K130" s="903" t="s">
        <v>10</v>
      </c>
      <c r="L130" s="904">
        <f>ROUND(SUM('RES. CENTRAL PARK:RUA_FINAL'!L130),2)</f>
        <v>0</v>
      </c>
      <c r="M130" s="904">
        <f t="shared" si="16"/>
        <v>0</v>
      </c>
      <c r="N130" s="893">
        <f t="shared" si="17"/>
        <v>0</v>
      </c>
      <c r="O130" s="905"/>
      <c r="Q130" s="317" t="str">
        <f t="shared" si="18"/>
        <v/>
      </c>
      <c r="R130" s="317" t="str">
        <f t="shared" si="19"/>
        <v/>
      </c>
      <c r="S130" s="317" t="str">
        <f t="shared" si="20"/>
        <v/>
      </c>
      <c r="V130" s="314">
        <f>SUM('RES. CENTRAL PARK:RUA_FINAL'!N130)</f>
        <v>0</v>
      </c>
      <c r="W130" s="315">
        <f t="shared" si="21"/>
        <v>0</v>
      </c>
    </row>
    <row r="131" spans="1:23" ht="15" hidden="1" customHeight="1" x14ac:dyDescent="0.2">
      <c r="A131" s="63">
        <v>603900</v>
      </c>
      <c r="B131" s="895" t="s">
        <v>1730</v>
      </c>
      <c r="C131" s="896" t="s">
        <v>184</v>
      </c>
      <c r="D131" s="906" t="s">
        <v>1734</v>
      </c>
      <c r="E131" s="907">
        <f>DMT!$F$11</f>
        <v>0.2</v>
      </c>
      <c r="F131" s="908">
        <v>1.5</v>
      </c>
      <c r="G131" s="953">
        <f t="shared" si="27"/>
        <v>4.3410000000000002</v>
      </c>
      <c r="H131" s="901">
        <v>131.84</v>
      </c>
      <c r="I131" s="901">
        <f>IF(ISBLANK(H131),"",SUM(G131:H131))</f>
        <v>136.18100000000001</v>
      </c>
      <c r="J131" s="902">
        <f t="shared" si="25"/>
        <v>163.51</v>
      </c>
      <c r="K131" s="903" t="s">
        <v>10</v>
      </c>
      <c r="L131" s="904">
        <f>ROUND(SUM('RES. CENTRAL PARK:RUA_FINAL'!L131),2)</f>
        <v>0</v>
      </c>
      <c r="M131" s="904">
        <f t="shared" si="16"/>
        <v>0</v>
      </c>
      <c r="N131" s="893">
        <f t="shared" si="17"/>
        <v>0</v>
      </c>
      <c r="O131" s="905"/>
      <c r="Q131" s="317" t="str">
        <f t="shared" si="18"/>
        <v/>
      </c>
      <c r="R131" s="317" t="str">
        <f t="shared" si="19"/>
        <v/>
      </c>
      <c r="S131" s="317" t="str">
        <f t="shared" si="20"/>
        <v/>
      </c>
      <c r="V131" s="314">
        <f>SUM('RES. CENTRAL PARK:RUA_FINAL'!N131)</f>
        <v>0</v>
      </c>
      <c r="W131" s="315">
        <f t="shared" si="21"/>
        <v>0</v>
      </c>
    </row>
    <row r="132" spans="1:23" ht="15" hidden="1" customHeight="1" x14ac:dyDescent="0.2">
      <c r="A132" s="562">
        <v>511130</v>
      </c>
      <c r="B132" s="895" t="s">
        <v>1549</v>
      </c>
      <c r="C132" s="896" t="s">
        <v>184</v>
      </c>
      <c r="D132" s="906" t="s">
        <v>448</v>
      </c>
      <c r="E132" s="907"/>
      <c r="F132" s="908"/>
      <c r="G132" s="909"/>
      <c r="H132" s="954">
        <v>1.23</v>
      </c>
      <c r="I132" s="901">
        <f t="shared" ref="I132:I141" si="28">IF(ISBLANK(H132),"",SUM(G132:H132))</f>
        <v>1.23</v>
      </c>
      <c r="J132" s="902">
        <f t="shared" si="25"/>
        <v>1.48</v>
      </c>
      <c r="K132" s="903" t="s">
        <v>10</v>
      </c>
      <c r="L132" s="904">
        <f>ROUND(SUM('RES. CENTRAL PARK:RUA_FINAL'!L132),2)</f>
        <v>0</v>
      </c>
      <c r="M132" s="904">
        <f t="shared" si="16"/>
        <v>0</v>
      </c>
      <c r="N132" s="893">
        <f t="shared" si="17"/>
        <v>0</v>
      </c>
      <c r="O132" s="905"/>
      <c r="P132" s="59"/>
      <c r="Q132" s="317" t="str">
        <f t="shared" si="18"/>
        <v/>
      </c>
      <c r="R132" s="317" t="str">
        <f t="shared" si="19"/>
        <v/>
      </c>
      <c r="S132" s="317" t="str">
        <f t="shared" si="20"/>
        <v/>
      </c>
      <c r="V132" s="314">
        <f>SUM('RES. CENTRAL PARK:RUA_FINAL'!N132)</f>
        <v>0</v>
      </c>
      <c r="W132" s="315">
        <f t="shared" si="21"/>
        <v>0</v>
      </c>
    </row>
    <row r="133" spans="1:23" ht="15" hidden="1" customHeight="1" x14ac:dyDescent="0.2">
      <c r="A133" s="562">
        <v>533500</v>
      </c>
      <c r="B133" s="895" t="s">
        <v>1550</v>
      </c>
      <c r="C133" s="896" t="s">
        <v>184</v>
      </c>
      <c r="D133" s="906" t="s">
        <v>449</v>
      </c>
      <c r="E133" s="898">
        <f>DMT!$F$31</f>
        <v>0</v>
      </c>
      <c r="F133" s="899">
        <v>1.95</v>
      </c>
      <c r="G133" s="953">
        <f t="shared" ref="G133:G134" si="29">IF(E133&lt;=30,(1.07*E133+2.68)*F133,((1.07*30+2.68)+1.07*(E133-30))*F133)</f>
        <v>5.226</v>
      </c>
      <c r="H133" s="901">
        <v>25.79</v>
      </c>
      <c r="I133" s="901">
        <f t="shared" si="28"/>
        <v>31.015999999999998</v>
      </c>
      <c r="J133" s="902">
        <f t="shared" si="25"/>
        <v>37.24</v>
      </c>
      <c r="K133" s="903" t="s">
        <v>10</v>
      </c>
      <c r="L133" s="904">
        <f>ROUND(SUM('RES. CENTRAL PARK:RUA_FINAL'!L133),2)</f>
        <v>0</v>
      </c>
      <c r="M133" s="904">
        <f t="shared" si="16"/>
        <v>0</v>
      </c>
      <c r="N133" s="893">
        <f t="shared" si="17"/>
        <v>0</v>
      </c>
      <c r="O133" s="905"/>
      <c r="Q133" s="317" t="str">
        <f t="shared" si="18"/>
        <v/>
      </c>
      <c r="R133" s="317" t="str">
        <f t="shared" si="19"/>
        <v/>
      </c>
      <c r="S133" s="317" t="str">
        <f t="shared" si="20"/>
        <v/>
      </c>
      <c r="V133" s="314">
        <f>SUM('RES. CENTRAL PARK:RUA_FINAL'!N133)</f>
        <v>0</v>
      </c>
      <c r="W133" s="315">
        <f t="shared" si="21"/>
        <v>0</v>
      </c>
    </row>
    <row r="134" spans="1:23" ht="15" hidden="1" customHeight="1" x14ac:dyDescent="0.2">
      <c r="A134" s="562">
        <v>533100</v>
      </c>
      <c r="B134" s="895" t="s">
        <v>1552</v>
      </c>
      <c r="C134" s="896" t="s">
        <v>184</v>
      </c>
      <c r="D134" s="906" t="s">
        <v>450</v>
      </c>
      <c r="E134" s="898">
        <f>DMT!$F$12</f>
        <v>0</v>
      </c>
      <c r="F134" s="899">
        <v>1.98</v>
      </c>
      <c r="G134" s="953">
        <f t="shared" si="29"/>
        <v>5.3064</v>
      </c>
      <c r="H134" s="901">
        <v>30.58</v>
      </c>
      <c r="I134" s="901">
        <f t="shared" si="28"/>
        <v>35.886399999999995</v>
      </c>
      <c r="J134" s="902">
        <f t="shared" si="25"/>
        <v>43.09</v>
      </c>
      <c r="K134" s="903" t="s">
        <v>10</v>
      </c>
      <c r="L134" s="904">
        <f>ROUND(SUM('RES. CENTRAL PARK:RUA_FINAL'!L134),2)</f>
        <v>0</v>
      </c>
      <c r="M134" s="904">
        <f t="shared" si="16"/>
        <v>0</v>
      </c>
      <c r="N134" s="893">
        <f t="shared" si="17"/>
        <v>0</v>
      </c>
      <c r="O134" s="905"/>
      <c r="Q134" s="317" t="str">
        <f t="shared" si="18"/>
        <v/>
      </c>
      <c r="R134" s="317" t="str">
        <f t="shared" si="19"/>
        <v/>
      </c>
      <c r="S134" s="317" t="str">
        <f t="shared" si="20"/>
        <v/>
      </c>
      <c r="V134" s="314">
        <f>SUM('RES. CENTRAL PARK:RUA_FINAL'!N134)</f>
        <v>0</v>
      </c>
      <c r="W134" s="315">
        <f t="shared" si="21"/>
        <v>0</v>
      </c>
    </row>
    <row r="135" spans="1:23" ht="15" hidden="1" customHeight="1" x14ac:dyDescent="0.2">
      <c r="A135" s="562">
        <v>511100</v>
      </c>
      <c r="B135" s="895" t="s">
        <v>1568</v>
      </c>
      <c r="C135" s="896" t="s">
        <v>184</v>
      </c>
      <c r="D135" s="906" t="s">
        <v>181</v>
      </c>
      <c r="E135" s="898"/>
      <c r="F135" s="908">
        <v>0</v>
      </c>
      <c r="G135" s="953">
        <v>0</v>
      </c>
      <c r="H135" s="901">
        <v>4.25</v>
      </c>
      <c r="I135" s="901">
        <f t="shared" si="28"/>
        <v>4.25</v>
      </c>
      <c r="J135" s="902">
        <f t="shared" si="25"/>
        <v>5.0999999999999996</v>
      </c>
      <c r="K135" s="903" t="s">
        <v>12</v>
      </c>
      <c r="L135" s="904">
        <f>ROUND(SUM('RES. CENTRAL PARK:RUA_FINAL'!L135),2)</f>
        <v>0</v>
      </c>
      <c r="M135" s="904">
        <f t="shared" si="16"/>
        <v>0</v>
      </c>
      <c r="N135" s="893">
        <f t="shared" si="17"/>
        <v>0</v>
      </c>
      <c r="O135" s="905"/>
      <c r="Q135" s="317" t="str">
        <f t="shared" si="18"/>
        <v/>
      </c>
      <c r="R135" s="317" t="str">
        <f t="shared" si="19"/>
        <v/>
      </c>
      <c r="S135" s="317" t="str">
        <f t="shared" si="20"/>
        <v/>
      </c>
      <c r="V135" s="314">
        <f>SUM('RES. CENTRAL PARK:RUA_FINAL'!N135)</f>
        <v>0</v>
      </c>
      <c r="W135" s="315">
        <f t="shared" si="21"/>
        <v>0</v>
      </c>
    </row>
    <row r="136" spans="1:23" ht="15" hidden="1" customHeight="1" x14ac:dyDescent="0.2">
      <c r="A136" s="562">
        <v>511000</v>
      </c>
      <c r="B136" s="895" t="s">
        <v>1556</v>
      </c>
      <c r="C136" s="896" t="s">
        <v>184</v>
      </c>
      <c r="D136" s="906" t="s">
        <v>168</v>
      </c>
      <c r="E136" s="898">
        <v>0</v>
      </c>
      <c r="F136" s="908"/>
      <c r="G136" s="953">
        <v>0</v>
      </c>
      <c r="H136" s="901">
        <v>4.91</v>
      </c>
      <c r="I136" s="901">
        <f t="shared" si="28"/>
        <v>4.91</v>
      </c>
      <c r="J136" s="902">
        <f t="shared" si="25"/>
        <v>5.9</v>
      </c>
      <c r="K136" s="903" t="s">
        <v>12</v>
      </c>
      <c r="L136" s="904">
        <f>ROUND(SUM('RES. CENTRAL PARK:RUA_FINAL'!L136),2)</f>
        <v>0</v>
      </c>
      <c r="M136" s="904">
        <f t="shared" si="16"/>
        <v>0</v>
      </c>
      <c r="N136" s="893">
        <f t="shared" si="17"/>
        <v>0</v>
      </c>
      <c r="O136" s="905"/>
      <c r="Q136" s="317" t="str">
        <f t="shared" si="18"/>
        <v/>
      </c>
      <c r="R136" s="317" t="str">
        <f t="shared" si="19"/>
        <v/>
      </c>
      <c r="S136" s="317" t="str">
        <f t="shared" si="20"/>
        <v/>
      </c>
      <c r="V136" s="314">
        <f>SUM('RES. CENTRAL PARK:RUA_FINAL'!N136)</f>
        <v>0</v>
      </c>
      <c r="W136" s="315">
        <f t="shared" si="21"/>
        <v>0</v>
      </c>
    </row>
    <row r="137" spans="1:23" ht="15" hidden="1" customHeight="1" x14ac:dyDescent="0.2">
      <c r="A137" s="562">
        <v>511300</v>
      </c>
      <c r="B137" s="895" t="s">
        <v>1570</v>
      </c>
      <c r="C137" s="896" t="s">
        <v>184</v>
      </c>
      <c r="D137" s="906" t="s">
        <v>180</v>
      </c>
      <c r="E137" s="898">
        <v>0</v>
      </c>
      <c r="F137" s="908">
        <v>0</v>
      </c>
      <c r="G137" s="953">
        <v>0</v>
      </c>
      <c r="H137" s="901">
        <v>0.28999999999999998</v>
      </c>
      <c r="I137" s="901">
        <f t="shared" si="28"/>
        <v>0.28999999999999998</v>
      </c>
      <c r="J137" s="902">
        <f t="shared" si="25"/>
        <v>0.35</v>
      </c>
      <c r="K137" s="903" t="s">
        <v>12</v>
      </c>
      <c r="L137" s="904">
        <f>ROUND(SUM('RES. CENTRAL PARK:RUA_FINAL'!L137),2)</f>
        <v>0</v>
      </c>
      <c r="M137" s="904">
        <f t="shared" si="16"/>
        <v>0</v>
      </c>
      <c r="N137" s="893">
        <f t="shared" si="17"/>
        <v>0</v>
      </c>
      <c r="O137" s="905"/>
      <c r="Q137" s="317" t="str">
        <f t="shared" si="18"/>
        <v/>
      </c>
      <c r="R137" s="317" t="str">
        <f t="shared" si="19"/>
        <v/>
      </c>
      <c r="S137" s="317" t="str">
        <f t="shared" si="20"/>
        <v/>
      </c>
      <c r="V137" s="314">
        <f>SUM('RES. CENTRAL PARK:RUA_FINAL'!N137)</f>
        <v>0</v>
      </c>
      <c r="W137" s="315">
        <f t="shared" si="21"/>
        <v>0</v>
      </c>
    </row>
    <row r="138" spans="1:23" ht="15" hidden="1" customHeight="1" x14ac:dyDescent="0.2">
      <c r="A138" s="562">
        <v>100576</v>
      </c>
      <c r="B138" s="895" t="s">
        <v>1744</v>
      </c>
      <c r="C138" s="896" t="s">
        <v>596</v>
      </c>
      <c r="D138" s="906" t="s">
        <v>183</v>
      </c>
      <c r="E138" s="898">
        <v>0</v>
      </c>
      <c r="F138" s="908"/>
      <c r="G138" s="953">
        <v>0</v>
      </c>
      <c r="H138" s="901">
        <v>2.6</v>
      </c>
      <c r="I138" s="901">
        <f>IF(ISBLANK(H138),"",SUM(G138:H138))</f>
        <v>2.6</v>
      </c>
      <c r="J138" s="902">
        <f t="shared" si="25"/>
        <v>3.12</v>
      </c>
      <c r="K138" s="903" t="s">
        <v>12</v>
      </c>
      <c r="L138" s="904">
        <f>ROUND(SUM('RES. CENTRAL PARK:RUA_FINAL'!L138),2)</f>
        <v>0</v>
      </c>
      <c r="M138" s="904">
        <f t="shared" si="16"/>
        <v>0</v>
      </c>
      <c r="N138" s="893">
        <f t="shared" si="17"/>
        <v>0</v>
      </c>
      <c r="O138" s="905"/>
      <c r="Q138" s="317" t="str">
        <f t="shared" si="18"/>
        <v/>
      </c>
      <c r="R138" s="317" t="str">
        <f t="shared" si="19"/>
        <v/>
      </c>
      <c r="S138" s="317" t="str">
        <f t="shared" si="20"/>
        <v/>
      </c>
      <c r="V138" s="314">
        <f>SUM('RES. CENTRAL PARK:RUA_FINAL'!N138)</f>
        <v>0</v>
      </c>
      <c r="W138" s="315">
        <f t="shared" si="21"/>
        <v>0</v>
      </c>
    </row>
    <row r="139" spans="1:23" ht="15" hidden="1" customHeight="1" x14ac:dyDescent="0.2">
      <c r="A139" s="562">
        <v>450000</v>
      </c>
      <c r="B139" s="955">
        <v>450000</v>
      </c>
      <c r="C139" s="956" t="s">
        <v>184</v>
      </c>
      <c r="D139" s="906" t="s">
        <v>187</v>
      </c>
      <c r="E139" s="961">
        <v>15</v>
      </c>
      <c r="F139" s="899">
        <v>1.98</v>
      </c>
      <c r="G139" s="909">
        <f t="shared" ref="G139:G141" si="30">IF(E139&lt;=30,(1.07*E139+2.68)*F139,((1.07*30+2.68)+1.07*(E139-30))*F139)</f>
        <v>37.0854</v>
      </c>
      <c r="H139" s="901">
        <v>15.69</v>
      </c>
      <c r="I139" s="901">
        <f t="shared" si="28"/>
        <v>52.775399999999998</v>
      </c>
      <c r="J139" s="902">
        <f t="shared" si="25"/>
        <v>63.37</v>
      </c>
      <c r="K139" s="903" t="s">
        <v>10</v>
      </c>
      <c r="L139" s="904">
        <f>ROUND(SUM('RES. CENTRAL PARK:RUA_FINAL'!L139),2)</f>
        <v>0</v>
      </c>
      <c r="M139" s="904">
        <f t="shared" si="16"/>
        <v>0</v>
      </c>
      <c r="N139" s="893">
        <f t="shared" si="17"/>
        <v>0</v>
      </c>
      <c r="O139" s="905"/>
      <c r="Q139" s="317" t="str">
        <f t="shared" si="18"/>
        <v/>
      </c>
      <c r="R139" s="317" t="str">
        <f t="shared" si="19"/>
        <v/>
      </c>
      <c r="S139" s="317" t="str">
        <f t="shared" si="20"/>
        <v/>
      </c>
      <c r="V139" s="314">
        <f>SUM('RES. CENTRAL PARK:RUA_FINAL'!N139)</f>
        <v>0</v>
      </c>
      <c r="W139" s="315">
        <f t="shared" si="21"/>
        <v>0</v>
      </c>
    </row>
    <row r="140" spans="1:23" ht="15" hidden="1" customHeight="1" x14ac:dyDescent="0.2">
      <c r="A140" s="562">
        <v>541000</v>
      </c>
      <c r="B140" s="895">
        <v>541000</v>
      </c>
      <c r="C140" s="896" t="s">
        <v>184</v>
      </c>
      <c r="D140" s="906" t="s">
        <v>189</v>
      </c>
      <c r="E140" s="927">
        <v>15</v>
      </c>
      <c r="F140" s="908">
        <v>2.02</v>
      </c>
      <c r="G140" s="909">
        <f t="shared" si="30"/>
        <v>37.834600000000002</v>
      </c>
      <c r="H140" s="901">
        <v>28.94</v>
      </c>
      <c r="I140" s="901">
        <f t="shared" si="28"/>
        <v>66.774600000000007</v>
      </c>
      <c r="J140" s="902">
        <f t="shared" si="25"/>
        <v>80.180000000000007</v>
      </c>
      <c r="K140" s="903" t="s">
        <v>10</v>
      </c>
      <c r="L140" s="904">
        <f>ROUND(SUM('RES. CENTRAL PARK:RUA_FINAL'!L140),2)</f>
        <v>0</v>
      </c>
      <c r="M140" s="904">
        <f t="shared" si="16"/>
        <v>0</v>
      </c>
      <c r="N140" s="893">
        <f t="shared" si="17"/>
        <v>0</v>
      </c>
      <c r="O140" s="905"/>
      <c r="Q140" s="317" t="str">
        <f t="shared" si="18"/>
        <v/>
      </c>
      <c r="R140" s="317" t="str">
        <f t="shared" si="19"/>
        <v/>
      </c>
      <c r="S140" s="317" t="str">
        <f t="shared" si="20"/>
        <v/>
      </c>
      <c r="V140" s="314">
        <f>SUM('RES. CENTRAL PARK:RUA_FINAL'!N140)</f>
        <v>0</v>
      </c>
      <c r="W140" s="315">
        <f t="shared" si="21"/>
        <v>0</v>
      </c>
    </row>
    <row r="141" spans="1:23" ht="15" hidden="1" customHeight="1" x14ac:dyDescent="0.2">
      <c r="A141" s="562">
        <v>533100</v>
      </c>
      <c r="B141" s="895" t="s">
        <v>1553</v>
      </c>
      <c r="C141" s="896" t="s">
        <v>184</v>
      </c>
      <c r="D141" s="906" t="s">
        <v>186</v>
      </c>
      <c r="E141" s="961">
        <v>15</v>
      </c>
      <c r="F141" s="899">
        <v>2.1</v>
      </c>
      <c r="G141" s="909">
        <f t="shared" si="30"/>
        <v>39.333000000000006</v>
      </c>
      <c r="H141" s="901">
        <v>30.58</v>
      </c>
      <c r="I141" s="901">
        <f t="shared" si="28"/>
        <v>69.913000000000011</v>
      </c>
      <c r="J141" s="902">
        <f t="shared" si="25"/>
        <v>83.94</v>
      </c>
      <c r="K141" s="903" t="s">
        <v>10</v>
      </c>
      <c r="L141" s="904">
        <f>ROUND(SUM('RES. CENTRAL PARK:RUA_FINAL'!L141),2)</f>
        <v>0</v>
      </c>
      <c r="M141" s="904">
        <f t="shared" si="16"/>
        <v>0</v>
      </c>
      <c r="N141" s="893">
        <f t="shared" si="17"/>
        <v>0</v>
      </c>
      <c r="O141" s="905"/>
      <c r="Q141" s="317" t="str">
        <f t="shared" si="18"/>
        <v/>
      </c>
      <c r="R141" s="317" t="str">
        <f t="shared" si="19"/>
        <v/>
      </c>
      <c r="S141" s="317" t="str">
        <f t="shared" si="20"/>
        <v/>
      </c>
      <c r="V141" s="314">
        <f>SUM('RES. CENTRAL PARK:RUA_FINAL'!N141)</f>
        <v>0</v>
      </c>
      <c r="W141" s="315">
        <f t="shared" si="21"/>
        <v>0</v>
      </c>
    </row>
    <row r="142" spans="1:23" ht="15" hidden="1" customHeight="1" x14ac:dyDescent="0.2">
      <c r="A142" s="562">
        <v>542000</v>
      </c>
      <c r="B142" s="895">
        <v>542000</v>
      </c>
      <c r="C142" s="896" t="s">
        <v>184</v>
      </c>
      <c r="D142" s="906" t="s">
        <v>2193</v>
      </c>
      <c r="E142" s="898"/>
      <c r="F142" s="908"/>
      <c r="G142" s="953">
        <f>SUM(G143:G144)</f>
        <v>14.171060000000001</v>
      </c>
      <c r="H142" s="901">
        <v>58.55</v>
      </c>
      <c r="I142" s="901">
        <f>IF(ISBLANK(H142),"",SUM(G142:H142))</f>
        <v>72.721059999999994</v>
      </c>
      <c r="J142" s="902">
        <f t="shared" si="25"/>
        <v>87.32</v>
      </c>
      <c r="K142" s="903" t="s">
        <v>10</v>
      </c>
      <c r="L142" s="904">
        <f>ROUND(SUM('RES. CENTRAL PARK:RUA_FINAL'!L142),2)</f>
        <v>0</v>
      </c>
      <c r="M142" s="904">
        <f t="shared" si="16"/>
        <v>0</v>
      </c>
      <c r="N142" s="893">
        <f t="shared" si="17"/>
        <v>0</v>
      </c>
      <c r="O142" s="905"/>
      <c r="Q142" s="317" t="str">
        <f t="shared" si="18"/>
        <v/>
      </c>
      <c r="R142" s="317" t="str">
        <f t="shared" si="19"/>
        <v/>
      </c>
      <c r="S142" s="317" t="str">
        <f t="shared" si="20"/>
        <v/>
      </c>
      <c r="V142" s="314">
        <f>SUM('RES. CENTRAL PARK:RUA_FINAL'!N142)</f>
        <v>0</v>
      </c>
      <c r="W142" s="315">
        <f t="shared" si="21"/>
        <v>0</v>
      </c>
    </row>
    <row r="143" spans="1:23" ht="15" hidden="1" customHeight="1" x14ac:dyDescent="0.2">
      <c r="A143" s="562" t="s">
        <v>147</v>
      </c>
      <c r="B143" s="895" t="s">
        <v>147</v>
      </c>
      <c r="C143" s="896"/>
      <c r="D143" s="957" t="s">
        <v>190</v>
      </c>
      <c r="E143" s="898">
        <f>DMT!$D$51</f>
        <v>308</v>
      </c>
      <c r="F143" s="908">
        <v>3.6999999999999998E-2</v>
      </c>
      <c r="G143" s="909">
        <f>IF(E143&lt;=30,(0.78*E143+7.82)*F143,((0.78*30+7.82)+0.78*(E143-30))*F143)</f>
        <v>9.1782199999999996</v>
      </c>
      <c r="H143" s="901">
        <v>0</v>
      </c>
      <c r="I143" s="901"/>
      <c r="J143" s="902">
        <f t="shared" si="25"/>
        <v>0</v>
      </c>
      <c r="K143" s="903" t="s">
        <v>507</v>
      </c>
      <c r="L143" s="959">
        <f>ROUND(SUM('RES. CENTRAL PARK:RUA_FINAL'!L143),2)</f>
        <v>0</v>
      </c>
      <c r="M143" s="960">
        <f t="shared" si="16"/>
        <v>0</v>
      </c>
      <c r="N143" s="893">
        <f t="shared" si="17"/>
        <v>0</v>
      </c>
      <c r="O143" s="905"/>
      <c r="P143" s="58" t="str">
        <f>IF(N142&gt;0,"xx",IF(N142&gt;0,"xy",""))</f>
        <v/>
      </c>
      <c r="Q143" s="317" t="str">
        <f t="shared" si="18"/>
        <v/>
      </c>
      <c r="R143" s="317" t="str">
        <f t="shared" si="19"/>
        <v/>
      </c>
      <c r="S143" s="317" t="str">
        <f t="shared" si="20"/>
        <v/>
      </c>
      <c r="V143" s="314">
        <f>SUM('RES. CENTRAL PARK:RUA_FINAL'!N143)</f>
        <v>0</v>
      </c>
      <c r="W143" s="315">
        <f t="shared" si="21"/>
        <v>0</v>
      </c>
    </row>
    <row r="144" spans="1:23" ht="15" hidden="1" customHeight="1" x14ac:dyDescent="0.2">
      <c r="A144" s="562" t="s">
        <v>147</v>
      </c>
      <c r="B144" s="895" t="s">
        <v>147</v>
      </c>
      <c r="C144" s="896"/>
      <c r="D144" s="957" t="s">
        <v>191</v>
      </c>
      <c r="E144" s="898">
        <f>DMT!$F$50</f>
        <v>0</v>
      </c>
      <c r="F144" s="908">
        <v>1.863</v>
      </c>
      <c r="G144" s="909">
        <f t="shared" ref="G144" si="31">IF(E144&lt;=30,(1.07*E144+2.68)*F144,((1.07*30+2.68)+1.07*(E144-30))*F144)</f>
        <v>4.9928400000000002</v>
      </c>
      <c r="H144" s="901">
        <v>0</v>
      </c>
      <c r="I144" s="901"/>
      <c r="J144" s="902">
        <f t="shared" si="25"/>
        <v>0</v>
      </c>
      <c r="K144" s="903" t="s">
        <v>507</v>
      </c>
      <c r="L144" s="959">
        <f>ROUND(SUM('RES. CENTRAL PARK:RUA_FINAL'!L144),2)</f>
        <v>0</v>
      </c>
      <c r="M144" s="960">
        <f t="shared" si="16"/>
        <v>0</v>
      </c>
      <c r="N144" s="893">
        <f t="shared" si="17"/>
        <v>0</v>
      </c>
      <c r="O144" s="905"/>
      <c r="P144" s="58" t="str">
        <f>IF(N142&gt;0,"xx",IF(N142&gt;0,"xy",""))</f>
        <v/>
      </c>
      <c r="Q144" s="317" t="str">
        <f t="shared" si="18"/>
        <v/>
      </c>
      <c r="R144" s="317" t="str">
        <f t="shared" si="19"/>
        <v/>
      </c>
      <c r="S144" s="317" t="str">
        <f t="shared" si="20"/>
        <v/>
      </c>
      <c r="V144" s="314">
        <f>SUM('RES. CENTRAL PARK:RUA_FINAL'!N144)</f>
        <v>0</v>
      </c>
      <c r="W144" s="315">
        <f t="shared" si="21"/>
        <v>0</v>
      </c>
    </row>
    <row r="145" spans="1:23" ht="15" hidden="1" customHeight="1" x14ac:dyDescent="0.2">
      <c r="A145" s="562">
        <v>543000</v>
      </c>
      <c r="B145" s="895">
        <v>543000</v>
      </c>
      <c r="C145" s="896" t="s">
        <v>184</v>
      </c>
      <c r="D145" s="906" t="s">
        <v>2194</v>
      </c>
      <c r="E145" s="898"/>
      <c r="F145" s="908"/>
      <c r="G145" s="953">
        <f>SUM(G146:G147)</f>
        <v>18.587900000000001</v>
      </c>
      <c r="H145" s="901">
        <v>72.05</v>
      </c>
      <c r="I145" s="901">
        <f>IF(ISBLANK(H145),"",SUM(G145:H145))</f>
        <v>90.637900000000002</v>
      </c>
      <c r="J145" s="902">
        <f t="shared" si="25"/>
        <v>108.83</v>
      </c>
      <c r="K145" s="903" t="s">
        <v>10</v>
      </c>
      <c r="L145" s="904">
        <f>ROUND(SUM('RES. CENTRAL PARK:RUA_FINAL'!L145),2)</f>
        <v>0</v>
      </c>
      <c r="M145" s="904">
        <f t="shared" si="16"/>
        <v>0</v>
      </c>
      <c r="N145" s="893">
        <f t="shared" si="17"/>
        <v>0</v>
      </c>
      <c r="O145" s="905"/>
      <c r="Q145" s="317" t="str">
        <f t="shared" si="18"/>
        <v/>
      </c>
      <c r="R145" s="317" t="str">
        <f t="shared" si="19"/>
        <v/>
      </c>
      <c r="S145" s="317" t="str">
        <f t="shared" si="20"/>
        <v/>
      </c>
      <c r="V145" s="314">
        <f>SUM('RES. CENTRAL PARK:RUA_FINAL'!N145)</f>
        <v>0</v>
      </c>
      <c r="W145" s="315">
        <f t="shared" si="21"/>
        <v>0</v>
      </c>
    </row>
    <row r="146" spans="1:23" ht="15" hidden="1" customHeight="1" x14ac:dyDescent="0.2">
      <c r="A146" s="562" t="s">
        <v>147</v>
      </c>
      <c r="B146" s="895" t="s">
        <v>147</v>
      </c>
      <c r="C146" s="896"/>
      <c r="D146" s="957" t="s">
        <v>190</v>
      </c>
      <c r="E146" s="898">
        <f>DMT!$D$51</f>
        <v>308</v>
      </c>
      <c r="F146" s="908">
        <v>5.5E-2</v>
      </c>
      <c r="G146" s="909">
        <f>IF(E146&lt;=30,(0.78*E146+7.82)*F146,((0.78*30+7.82)+0.78*(E146-30))*F146)</f>
        <v>13.6433</v>
      </c>
      <c r="H146" s="901">
        <v>0</v>
      </c>
      <c r="I146" s="901"/>
      <c r="J146" s="902">
        <f t="shared" si="25"/>
        <v>0</v>
      </c>
      <c r="K146" s="903" t="s">
        <v>507</v>
      </c>
      <c r="L146" s="959">
        <f>ROUND(SUM('RES. CENTRAL PARK:RUA_FINAL'!L146),2)</f>
        <v>0</v>
      </c>
      <c r="M146" s="960">
        <f t="shared" si="16"/>
        <v>0</v>
      </c>
      <c r="N146" s="893">
        <f t="shared" si="17"/>
        <v>0</v>
      </c>
      <c r="O146" s="905"/>
      <c r="P146" s="58" t="str">
        <f>IF(N145&gt;0,"xx",IF(N145&gt;0,"xy",""))</f>
        <v/>
      </c>
      <c r="Q146" s="317" t="str">
        <f t="shared" si="18"/>
        <v/>
      </c>
      <c r="R146" s="317" t="str">
        <f t="shared" si="19"/>
        <v/>
      </c>
      <c r="S146" s="317" t="str">
        <f t="shared" si="20"/>
        <v/>
      </c>
      <c r="V146" s="314">
        <f>SUM('RES. CENTRAL PARK:RUA_FINAL'!N146)</f>
        <v>0</v>
      </c>
      <c r="W146" s="315">
        <f t="shared" si="21"/>
        <v>0</v>
      </c>
    </row>
    <row r="147" spans="1:23" ht="15" hidden="1" customHeight="1" x14ac:dyDescent="0.2">
      <c r="A147" s="562" t="s">
        <v>147</v>
      </c>
      <c r="B147" s="895" t="s">
        <v>147</v>
      </c>
      <c r="C147" s="896"/>
      <c r="D147" s="957" t="s">
        <v>191</v>
      </c>
      <c r="E147" s="898">
        <f>DMT!$F$50</f>
        <v>0</v>
      </c>
      <c r="F147" s="908">
        <v>1.845</v>
      </c>
      <c r="G147" s="909">
        <f t="shared" ref="G147" si="32">IF(E147&lt;=30,(1.07*E147+2.68)*F147,((1.07*30+2.68)+1.07*(E147-30))*F147)</f>
        <v>4.9446000000000003</v>
      </c>
      <c r="H147" s="901">
        <v>0</v>
      </c>
      <c r="I147" s="901"/>
      <c r="J147" s="902">
        <f t="shared" si="25"/>
        <v>0</v>
      </c>
      <c r="K147" s="903" t="s">
        <v>507</v>
      </c>
      <c r="L147" s="959">
        <f>ROUND(SUM('RES. CENTRAL PARK:RUA_FINAL'!L147),2)</f>
        <v>0</v>
      </c>
      <c r="M147" s="960">
        <f t="shared" si="16"/>
        <v>0</v>
      </c>
      <c r="N147" s="893">
        <f t="shared" si="17"/>
        <v>0</v>
      </c>
      <c r="O147" s="905"/>
      <c r="P147" s="58" t="str">
        <f>IF(N145&gt;0,"xx",IF(N145&gt;0,"xy",""))</f>
        <v/>
      </c>
      <c r="Q147" s="317" t="str">
        <f t="shared" si="18"/>
        <v/>
      </c>
      <c r="R147" s="317" t="str">
        <f t="shared" si="19"/>
        <v/>
      </c>
      <c r="S147" s="317" t="str">
        <f t="shared" si="20"/>
        <v/>
      </c>
      <c r="V147" s="314">
        <f>SUM('RES. CENTRAL PARK:RUA_FINAL'!N147)</f>
        <v>0</v>
      </c>
      <c r="W147" s="315">
        <f t="shared" si="21"/>
        <v>0</v>
      </c>
    </row>
    <row r="148" spans="1:23" ht="15" hidden="1" customHeight="1" x14ac:dyDescent="0.2">
      <c r="A148" s="562">
        <v>544000</v>
      </c>
      <c r="B148" s="895">
        <v>544000</v>
      </c>
      <c r="C148" s="896" t="s">
        <v>184</v>
      </c>
      <c r="D148" s="906" t="s">
        <v>2195</v>
      </c>
      <c r="E148" s="898"/>
      <c r="F148" s="908"/>
      <c r="G148" s="953">
        <f>SUM(G149:G150)</f>
        <v>22.37998</v>
      </c>
      <c r="H148" s="901">
        <v>76.39</v>
      </c>
      <c r="I148" s="901">
        <f>IF(ISBLANK(H148),"",SUM(G148:H148))</f>
        <v>98.769980000000004</v>
      </c>
      <c r="J148" s="902">
        <f t="shared" si="25"/>
        <v>118.59</v>
      </c>
      <c r="K148" s="903" t="s">
        <v>10</v>
      </c>
      <c r="L148" s="904">
        <f>ROUND(SUM('RES. CENTRAL PARK:RUA_FINAL'!L148),2)</f>
        <v>0</v>
      </c>
      <c r="M148" s="904">
        <f t="shared" ref="M148:M211" si="33">IF(L148=0,0,ROUND(J148,2))</f>
        <v>0</v>
      </c>
      <c r="N148" s="893">
        <f t="shared" ref="N148:N211" si="34">IF(ISBLANK(L148),0,ROUND(L148*M148,2))</f>
        <v>0</v>
      </c>
      <c r="O148" s="905"/>
      <c r="Q148" s="317" t="str">
        <f t="shared" ref="Q148:Q211" si="35">IF(P148="X","x",IF(P148="xx","x",IF(P148="xy","x",IF(P148="y","x",IF(OR(N148&gt;0,N148&gt;0),"x","")))))</f>
        <v/>
      </c>
      <c r="R148" s="317" t="str">
        <f t="shared" ref="R148:R211" si="36">IF(P148="X","x",IF(P148="y","x",IF(P148="xx","x",IF(N148&gt;0,"x",""))))</f>
        <v/>
      </c>
      <c r="S148" s="317" t="str">
        <f t="shared" ref="S148:S211" si="37">IF(P148="X","x",IF(N148&gt;0,"x",""))</f>
        <v/>
      </c>
      <c r="V148" s="314">
        <f>SUM('RES. CENTRAL PARK:RUA_FINAL'!N148)</f>
        <v>0</v>
      </c>
      <c r="W148" s="315">
        <f t="shared" si="21"/>
        <v>0</v>
      </c>
    </row>
    <row r="149" spans="1:23" ht="15" hidden="1" customHeight="1" x14ac:dyDescent="0.2">
      <c r="A149" s="562" t="s">
        <v>147</v>
      </c>
      <c r="B149" s="895" t="s">
        <v>147</v>
      </c>
      <c r="C149" s="896"/>
      <c r="D149" s="957" t="s">
        <v>190</v>
      </c>
      <c r="E149" s="898">
        <f>DMT!$D$51</f>
        <v>308</v>
      </c>
      <c r="F149" s="908">
        <v>7.0999999999999994E-2</v>
      </c>
      <c r="G149" s="909">
        <f>IF(E149&lt;=30,(0.78*E149+7.82)*F149,((0.78*30+7.82)+0.78*(E149-30))*F149)</f>
        <v>17.612259999999999</v>
      </c>
      <c r="H149" s="901">
        <v>0</v>
      </c>
      <c r="I149" s="901"/>
      <c r="J149" s="902">
        <f t="shared" si="25"/>
        <v>0</v>
      </c>
      <c r="K149" s="903" t="s">
        <v>507</v>
      </c>
      <c r="L149" s="959">
        <f>ROUND(SUM('RES. CENTRAL PARK:RUA_FINAL'!L149),2)</f>
        <v>0</v>
      </c>
      <c r="M149" s="960">
        <f t="shared" si="33"/>
        <v>0</v>
      </c>
      <c r="N149" s="893">
        <f t="shared" si="34"/>
        <v>0</v>
      </c>
      <c r="O149" s="905"/>
      <c r="P149" s="58" t="str">
        <f>IF(N148&gt;0,"xx",IF(N148&gt;0,"xy",""))</f>
        <v/>
      </c>
      <c r="Q149" s="317" t="str">
        <f t="shared" si="35"/>
        <v/>
      </c>
      <c r="R149" s="317" t="str">
        <f t="shared" si="36"/>
        <v/>
      </c>
      <c r="S149" s="317" t="str">
        <f t="shared" si="37"/>
        <v/>
      </c>
      <c r="V149" s="314">
        <f>SUM('RES. CENTRAL PARK:RUA_FINAL'!N149)</f>
        <v>0</v>
      </c>
      <c r="W149" s="315">
        <f t="shared" ref="W149:W212" si="38">N149-V149</f>
        <v>0</v>
      </c>
    </row>
    <row r="150" spans="1:23" ht="15" hidden="1" customHeight="1" x14ac:dyDescent="0.2">
      <c r="A150" s="562" t="s">
        <v>147</v>
      </c>
      <c r="B150" s="895" t="s">
        <v>147</v>
      </c>
      <c r="C150" s="896"/>
      <c r="D150" s="957" t="s">
        <v>191</v>
      </c>
      <c r="E150" s="898">
        <f>DMT!$F$50</f>
        <v>0</v>
      </c>
      <c r="F150" s="908">
        <v>1.7789999999999999</v>
      </c>
      <c r="G150" s="909">
        <f t="shared" ref="G150" si="39">IF(E150&lt;=30,(1.07*E150+2.68)*F150,((1.07*30+2.68)+1.07*(E150-30))*F150)</f>
        <v>4.7677199999999997</v>
      </c>
      <c r="H150" s="901">
        <v>0</v>
      </c>
      <c r="I150" s="901"/>
      <c r="J150" s="902">
        <f t="shared" si="25"/>
        <v>0</v>
      </c>
      <c r="K150" s="903" t="s">
        <v>507</v>
      </c>
      <c r="L150" s="959">
        <f>ROUND(SUM('RES. CENTRAL PARK:RUA_FINAL'!L150),2)</f>
        <v>0</v>
      </c>
      <c r="M150" s="960">
        <f t="shared" si="33"/>
        <v>0</v>
      </c>
      <c r="N150" s="893">
        <f t="shared" si="34"/>
        <v>0</v>
      </c>
      <c r="O150" s="905"/>
      <c r="P150" s="58" t="str">
        <f>IF(N148&gt;0,"xx",IF(N148&gt;0,"xy",""))</f>
        <v/>
      </c>
      <c r="Q150" s="317" t="str">
        <f t="shared" si="35"/>
        <v/>
      </c>
      <c r="R150" s="317" t="str">
        <f t="shared" si="36"/>
        <v/>
      </c>
      <c r="S150" s="317" t="str">
        <f t="shared" si="37"/>
        <v/>
      </c>
      <c r="V150" s="314">
        <f>SUM('RES. CENTRAL PARK:RUA_FINAL'!N150)</f>
        <v>0</v>
      </c>
      <c r="W150" s="315">
        <f t="shared" si="38"/>
        <v>0</v>
      </c>
    </row>
    <row r="151" spans="1:23" ht="15" hidden="1" customHeight="1" x14ac:dyDescent="0.2">
      <c r="A151" s="562">
        <v>545000</v>
      </c>
      <c r="B151" s="895">
        <v>545000</v>
      </c>
      <c r="C151" s="896" t="s">
        <v>184</v>
      </c>
      <c r="D151" s="906" t="s">
        <v>2196</v>
      </c>
      <c r="E151" s="898"/>
      <c r="F151" s="908"/>
      <c r="G151" s="953">
        <f>SUM(G152:G153)</f>
        <v>26.551439999999999</v>
      </c>
      <c r="H151" s="901">
        <v>88.51</v>
      </c>
      <c r="I151" s="901">
        <f>IF(ISBLANK(H151),"",SUM(G151:H151))</f>
        <v>115.06144</v>
      </c>
      <c r="J151" s="902">
        <f t="shared" si="25"/>
        <v>138.15</v>
      </c>
      <c r="K151" s="903" t="s">
        <v>10</v>
      </c>
      <c r="L151" s="904">
        <f>ROUND(SUM('RES. CENTRAL PARK:RUA_FINAL'!L151),2)</f>
        <v>0</v>
      </c>
      <c r="M151" s="904">
        <f t="shared" si="33"/>
        <v>0</v>
      </c>
      <c r="N151" s="893">
        <f t="shared" si="34"/>
        <v>0</v>
      </c>
      <c r="O151" s="905"/>
      <c r="Q151" s="317" t="str">
        <f t="shared" si="35"/>
        <v/>
      </c>
      <c r="R151" s="317" t="str">
        <f t="shared" si="36"/>
        <v/>
      </c>
      <c r="S151" s="317" t="str">
        <f t="shared" si="37"/>
        <v/>
      </c>
      <c r="V151" s="314">
        <f>SUM('RES. CENTRAL PARK:RUA_FINAL'!N151)</f>
        <v>0</v>
      </c>
      <c r="W151" s="315">
        <f t="shared" si="38"/>
        <v>0</v>
      </c>
    </row>
    <row r="152" spans="1:23" ht="15" hidden="1" customHeight="1" x14ac:dyDescent="0.2">
      <c r="A152" s="562" t="s">
        <v>147</v>
      </c>
      <c r="B152" s="895" t="s">
        <v>147</v>
      </c>
      <c r="C152" s="896"/>
      <c r="D152" s="957" t="s">
        <v>190</v>
      </c>
      <c r="E152" s="898">
        <f>DMT!$D$51</f>
        <v>308</v>
      </c>
      <c r="F152" s="908">
        <v>8.7999999999999995E-2</v>
      </c>
      <c r="G152" s="909">
        <f>IF(E152&lt;=30,(0.78*E152+7.82)*F152,((0.78*30+7.82)+0.78*(E152-30))*F152)</f>
        <v>21.829280000000001</v>
      </c>
      <c r="H152" s="901">
        <v>0</v>
      </c>
      <c r="I152" s="901"/>
      <c r="J152" s="902">
        <f t="shared" si="25"/>
        <v>0</v>
      </c>
      <c r="K152" s="903" t="s">
        <v>507</v>
      </c>
      <c r="L152" s="959">
        <f>ROUND(SUM('RES. CENTRAL PARK:RUA_FINAL'!L152),2)</f>
        <v>0</v>
      </c>
      <c r="M152" s="960">
        <f t="shared" si="33"/>
        <v>0</v>
      </c>
      <c r="N152" s="893">
        <f t="shared" si="34"/>
        <v>0</v>
      </c>
      <c r="O152" s="905"/>
      <c r="P152" s="58" t="str">
        <f>IF(N151&gt;0,"xx",IF(N151&gt;0,"xy",""))</f>
        <v/>
      </c>
      <c r="Q152" s="317" t="str">
        <f t="shared" si="35"/>
        <v/>
      </c>
      <c r="R152" s="317" t="str">
        <f t="shared" si="36"/>
        <v/>
      </c>
      <c r="S152" s="317" t="str">
        <f t="shared" si="37"/>
        <v/>
      </c>
      <c r="V152" s="314">
        <f>SUM('RES. CENTRAL PARK:RUA_FINAL'!N152)</f>
        <v>0</v>
      </c>
      <c r="W152" s="315">
        <f t="shared" si="38"/>
        <v>0</v>
      </c>
    </row>
    <row r="153" spans="1:23" ht="15" hidden="1" customHeight="1" x14ac:dyDescent="0.2">
      <c r="A153" s="562" t="s">
        <v>147</v>
      </c>
      <c r="B153" s="895" t="s">
        <v>147</v>
      </c>
      <c r="C153" s="896"/>
      <c r="D153" s="957" t="s">
        <v>191</v>
      </c>
      <c r="E153" s="898">
        <f>DMT!$F$50</f>
        <v>0</v>
      </c>
      <c r="F153" s="908">
        <v>1.762</v>
      </c>
      <c r="G153" s="909">
        <f t="shared" ref="G153" si="40">IF(E153&lt;=30,(1.07*E153+2.68)*F153,((1.07*30+2.68)+1.07*(E153-30))*F153)</f>
        <v>4.7221600000000006</v>
      </c>
      <c r="H153" s="901">
        <v>0</v>
      </c>
      <c r="I153" s="901"/>
      <c r="J153" s="902">
        <f t="shared" si="25"/>
        <v>0</v>
      </c>
      <c r="K153" s="903" t="s">
        <v>507</v>
      </c>
      <c r="L153" s="959">
        <f>ROUND(SUM('RES. CENTRAL PARK:RUA_FINAL'!L153),2)</f>
        <v>0</v>
      </c>
      <c r="M153" s="960">
        <f t="shared" si="33"/>
        <v>0</v>
      </c>
      <c r="N153" s="893">
        <f t="shared" si="34"/>
        <v>0</v>
      </c>
      <c r="O153" s="905"/>
      <c r="P153" s="58" t="str">
        <f>IF(N151&gt;0,"xx",IF(N151&gt;0,"xy",""))</f>
        <v/>
      </c>
      <c r="Q153" s="317" t="str">
        <f t="shared" si="35"/>
        <v/>
      </c>
      <c r="R153" s="317" t="str">
        <f t="shared" si="36"/>
        <v/>
      </c>
      <c r="S153" s="317" t="str">
        <f t="shared" si="37"/>
        <v/>
      </c>
      <c r="V153" s="314">
        <f>SUM('RES. CENTRAL PARK:RUA_FINAL'!N153)</f>
        <v>0</v>
      </c>
      <c r="W153" s="315">
        <f t="shared" si="38"/>
        <v>0</v>
      </c>
    </row>
    <row r="154" spans="1:23" ht="15" hidden="1" customHeight="1" x14ac:dyDescent="0.2">
      <c r="A154" s="562">
        <v>546000</v>
      </c>
      <c r="B154" s="895">
        <v>546000</v>
      </c>
      <c r="C154" s="896" t="s">
        <v>184</v>
      </c>
      <c r="D154" s="906" t="s">
        <v>2197</v>
      </c>
      <c r="E154" s="898"/>
      <c r="F154" s="908"/>
      <c r="G154" s="953">
        <f>SUM(G155:G156)</f>
        <v>30.722899999999999</v>
      </c>
      <c r="H154" s="901">
        <v>100.63</v>
      </c>
      <c r="I154" s="901">
        <f>IF(ISBLANK(H154),"",SUM(G154:H154))</f>
        <v>131.35290000000001</v>
      </c>
      <c r="J154" s="902">
        <f t="shared" si="25"/>
        <v>157.72</v>
      </c>
      <c r="K154" s="903" t="s">
        <v>10</v>
      </c>
      <c r="L154" s="904">
        <f>ROUND(SUM('RES. CENTRAL PARK:RUA_FINAL'!L154),2)</f>
        <v>0</v>
      </c>
      <c r="M154" s="904">
        <f t="shared" si="33"/>
        <v>0</v>
      </c>
      <c r="N154" s="893">
        <f t="shared" si="34"/>
        <v>0</v>
      </c>
      <c r="O154" s="905"/>
      <c r="Q154" s="317" t="str">
        <f t="shared" si="35"/>
        <v/>
      </c>
      <c r="R154" s="317" t="str">
        <f t="shared" si="36"/>
        <v/>
      </c>
      <c r="S154" s="317" t="str">
        <f t="shared" si="37"/>
        <v/>
      </c>
      <c r="V154" s="314">
        <f>SUM('RES. CENTRAL PARK:RUA_FINAL'!N154)</f>
        <v>0</v>
      </c>
      <c r="W154" s="315">
        <f t="shared" si="38"/>
        <v>0</v>
      </c>
    </row>
    <row r="155" spans="1:23" ht="15" hidden="1" customHeight="1" x14ac:dyDescent="0.2">
      <c r="A155" s="562" t="s">
        <v>147</v>
      </c>
      <c r="B155" s="895" t="s">
        <v>147</v>
      </c>
      <c r="C155" s="896"/>
      <c r="D155" s="957" t="s">
        <v>190</v>
      </c>
      <c r="E155" s="898">
        <f>DMT!$D$51</f>
        <v>308</v>
      </c>
      <c r="F155" s="908">
        <v>0.105</v>
      </c>
      <c r="G155" s="909">
        <f>IF(E155&lt;=30,(0.78*E155+7.82)*F155,((0.78*30+7.82)+0.78*(E155-30))*F155)</f>
        <v>26.046299999999999</v>
      </c>
      <c r="H155" s="901">
        <v>0</v>
      </c>
      <c r="I155" s="901"/>
      <c r="J155" s="902">
        <f t="shared" si="25"/>
        <v>0</v>
      </c>
      <c r="K155" s="903" t="s">
        <v>507</v>
      </c>
      <c r="L155" s="959">
        <f>ROUND(SUM('RES. CENTRAL PARK:RUA_FINAL'!L155),2)</f>
        <v>0</v>
      </c>
      <c r="M155" s="960">
        <f t="shared" si="33"/>
        <v>0</v>
      </c>
      <c r="N155" s="893">
        <f t="shared" si="34"/>
        <v>0</v>
      </c>
      <c r="O155" s="905"/>
      <c r="P155" s="58" t="str">
        <f>IF(N154&gt;0,"xx",IF(N154&gt;0,"xy",""))</f>
        <v/>
      </c>
      <c r="Q155" s="317" t="str">
        <f t="shared" si="35"/>
        <v/>
      </c>
      <c r="R155" s="317" t="str">
        <f t="shared" si="36"/>
        <v/>
      </c>
      <c r="S155" s="317" t="str">
        <f t="shared" si="37"/>
        <v/>
      </c>
      <c r="V155" s="314">
        <f>SUM('RES. CENTRAL PARK:RUA_FINAL'!N155)</f>
        <v>0</v>
      </c>
      <c r="W155" s="315">
        <f t="shared" si="38"/>
        <v>0</v>
      </c>
    </row>
    <row r="156" spans="1:23" ht="15" hidden="1" customHeight="1" x14ac:dyDescent="0.2">
      <c r="A156" s="562" t="s">
        <v>147</v>
      </c>
      <c r="B156" s="895" t="s">
        <v>147</v>
      </c>
      <c r="C156" s="896"/>
      <c r="D156" s="957" t="s">
        <v>191</v>
      </c>
      <c r="E156" s="898">
        <f>DMT!$F$50</f>
        <v>0</v>
      </c>
      <c r="F156" s="908">
        <v>1.7450000000000001</v>
      </c>
      <c r="G156" s="909">
        <f t="shared" ref="G156" si="41">IF(E156&lt;=30,(1.07*E156+2.68)*F156,((1.07*30+2.68)+1.07*(E156-30))*F156)</f>
        <v>4.6766000000000005</v>
      </c>
      <c r="H156" s="901">
        <v>0</v>
      </c>
      <c r="I156" s="901"/>
      <c r="J156" s="902">
        <f t="shared" si="25"/>
        <v>0</v>
      </c>
      <c r="K156" s="903" t="s">
        <v>507</v>
      </c>
      <c r="L156" s="959">
        <f>ROUND(SUM('RES. CENTRAL PARK:RUA_FINAL'!L156),2)</f>
        <v>0</v>
      </c>
      <c r="M156" s="960">
        <f t="shared" si="33"/>
        <v>0</v>
      </c>
      <c r="N156" s="893">
        <f t="shared" si="34"/>
        <v>0</v>
      </c>
      <c r="O156" s="905"/>
      <c r="P156" s="58" t="str">
        <f>IF(N154&gt;0,"xx",IF(N154&gt;0,"xy",""))</f>
        <v/>
      </c>
      <c r="Q156" s="317" t="str">
        <f t="shared" si="35"/>
        <v/>
      </c>
      <c r="R156" s="317" t="str">
        <f t="shared" si="36"/>
        <v/>
      </c>
      <c r="S156" s="317" t="str">
        <f t="shared" si="37"/>
        <v/>
      </c>
      <c r="V156" s="314">
        <f>SUM('RES. CENTRAL PARK:RUA_FINAL'!N156)</f>
        <v>0</v>
      </c>
      <c r="W156" s="315">
        <f t="shared" si="38"/>
        <v>0</v>
      </c>
    </row>
    <row r="157" spans="1:23" ht="15" hidden="1" customHeight="1" x14ac:dyDescent="0.2">
      <c r="A157" s="562">
        <v>547000</v>
      </c>
      <c r="B157" s="895">
        <v>547000</v>
      </c>
      <c r="C157" s="896" t="s">
        <v>184</v>
      </c>
      <c r="D157" s="906" t="s">
        <v>2198</v>
      </c>
      <c r="E157" s="898"/>
      <c r="F157" s="908"/>
      <c r="G157" s="953">
        <f>SUM(G158:G159)</f>
        <v>34.646299999999997</v>
      </c>
      <c r="H157" s="901">
        <v>113.68</v>
      </c>
      <c r="I157" s="901">
        <f>IF(ISBLANK(H157),"",SUM(G157:H157))</f>
        <v>148.3263</v>
      </c>
      <c r="J157" s="902">
        <f t="shared" si="25"/>
        <v>178.1</v>
      </c>
      <c r="K157" s="903" t="s">
        <v>10</v>
      </c>
      <c r="L157" s="904">
        <f>ROUND(SUM('RES. CENTRAL PARK:RUA_FINAL'!L157),2)</f>
        <v>0</v>
      </c>
      <c r="M157" s="904">
        <f t="shared" si="33"/>
        <v>0</v>
      </c>
      <c r="N157" s="893">
        <f t="shared" si="34"/>
        <v>0</v>
      </c>
      <c r="O157" s="905"/>
      <c r="Q157" s="317" t="str">
        <f t="shared" si="35"/>
        <v/>
      </c>
      <c r="R157" s="317" t="str">
        <f t="shared" si="36"/>
        <v/>
      </c>
      <c r="S157" s="317" t="str">
        <f t="shared" si="37"/>
        <v/>
      </c>
      <c r="V157" s="314">
        <f>SUM('RES. CENTRAL PARK:RUA_FINAL'!N157)</f>
        <v>0</v>
      </c>
      <c r="W157" s="315">
        <f t="shared" si="38"/>
        <v>0</v>
      </c>
    </row>
    <row r="158" spans="1:23" ht="15" hidden="1" customHeight="1" x14ac:dyDescent="0.2">
      <c r="A158" s="562" t="s">
        <v>147</v>
      </c>
      <c r="B158" s="895" t="s">
        <v>147</v>
      </c>
      <c r="C158" s="896"/>
      <c r="D158" s="957" t="s">
        <v>190</v>
      </c>
      <c r="E158" s="898">
        <f>DMT!$D$51</f>
        <v>308</v>
      </c>
      <c r="F158" s="908">
        <v>0.121</v>
      </c>
      <c r="G158" s="909">
        <f>IF(E158&lt;=30,(0.78*E158+7.82)*F158,((0.78*30+7.82)+0.78*(E158-30))*F158)</f>
        <v>30.015259999999998</v>
      </c>
      <c r="H158" s="901">
        <v>0</v>
      </c>
      <c r="I158" s="901"/>
      <c r="J158" s="902">
        <f t="shared" si="25"/>
        <v>0</v>
      </c>
      <c r="K158" s="903" t="s">
        <v>507</v>
      </c>
      <c r="L158" s="959">
        <f>ROUND(SUM('RES. CENTRAL PARK:RUA_FINAL'!L158),2)</f>
        <v>0</v>
      </c>
      <c r="M158" s="960">
        <f t="shared" si="33"/>
        <v>0</v>
      </c>
      <c r="N158" s="893">
        <f t="shared" si="34"/>
        <v>0</v>
      </c>
      <c r="O158" s="905"/>
      <c r="P158" s="58" t="str">
        <f>IF(N157&gt;0,"xx",IF(N157&gt;0,"xy",""))</f>
        <v/>
      </c>
      <c r="Q158" s="317" t="str">
        <f t="shared" si="35"/>
        <v/>
      </c>
      <c r="R158" s="317" t="str">
        <f t="shared" si="36"/>
        <v/>
      </c>
      <c r="S158" s="317" t="str">
        <f t="shared" si="37"/>
        <v/>
      </c>
      <c r="V158" s="314">
        <f>SUM('RES. CENTRAL PARK:RUA_FINAL'!N158)</f>
        <v>0</v>
      </c>
      <c r="W158" s="315">
        <f t="shared" si="38"/>
        <v>0</v>
      </c>
    </row>
    <row r="159" spans="1:23" ht="15" hidden="1" customHeight="1" x14ac:dyDescent="0.2">
      <c r="A159" s="562" t="s">
        <v>147</v>
      </c>
      <c r="B159" s="895" t="s">
        <v>147</v>
      </c>
      <c r="C159" s="896"/>
      <c r="D159" s="957" t="s">
        <v>191</v>
      </c>
      <c r="E159" s="898">
        <f>DMT!$F$50</f>
        <v>0</v>
      </c>
      <c r="F159" s="908">
        <v>1.728</v>
      </c>
      <c r="G159" s="909">
        <f t="shared" ref="G159" si="42">IF(E159&lt;=30,(1.07*E159+2.68)*F159,((1.07*30+2.68)+1.07*(E159-30))*F159)</f>
        <v>4.6310400000000005</v>
      </c>
      <c r="H159" s="901">
        <v>0</v>
      </c>
      <c r="I159" s="901"/>
      <c r="J159" s="902">
        <f t="shared" si="25"/>
        <v>0</v>
      </c>
      <c r="K159" s="903" t="s">
        <v>507</v>
      </c>
      <c r="L159" s="959">
        <f>ROUND(SUM('RES. CENTRAL PARK:RUA_FINAL'!L159),2)</f>
        <v>0</v>
      </c>
      <c r="M159" s="960">
        <f t="shared" si="33"/>
        <v>0</v>
      </c>
      <c r="N159" s="893">
        <f t="shared" si="34"/>
        <v>0</v>
      </c>
      <c r="O159" s="905"/>
      <c r="P159" s="58" t="str">
        <f>IF(N157&gt;0,"xx",IF(N157&gt;0,"xy",""))</f>
        <v/>
      </c>
      <c r="Q159" s="317" t="str">
        <f t="shared" si="35"/>
        <v/>
      </c>
      <c r="R159" s="317" t="str">
        <f t="shared" si="36"/>
        <v/>
      </c>
      <c r="S159" s="317" t="str">
        <f t="shared" si="37"/>
        <v/>
      </c>
      <c r="V159" s="314">
        <f>SUM('RES. CENTRAL PARK:RUA_FINAL'!N159)</f>
        <v>0</v>
      </c>
      <c r="W159" s="315">
        <f t="shared" si="38"/>
        <v>0</v>
      </c>
    </row>
    <row r="160" spans="1:23" ht="15" hidden="1" customHeight="1" x14ac:dyDescent="0.2">
      <c r="A160" s="562">
        <v>542100</v>
      </c>
      <c r="B160" s="895">
        <v>542100</v>
      </c>
      <c r="C160" s="896" t="s">
        <v>184</v>
      </c>
      <c r="D160" s="906" t="s">
        <v>2199</v>
      </c>
      <c r="E160" s="898"/>
      <c r="F160" s="908"/>
      <c r="G160" s="953">
        <f>SUM(G161:G163)</f>
        <v>19.263059999999999</v>
      </c>
      <c r="H160" s="901">
        <v>59.6</v>
      </c>
      <c r="I160" s="901">
        <f>IF(ISBLANK(H160),"",SUM(G160:H160))</f>
        <v>78.863060000000004</v>
      </c>
      <c r="J160" s="902">
        <f t="shared" si="25"/>
        <v>94.69</v>
      </c>
      <c r="K160" s="903" t="s">
        <v>10</v>
      </c>
      <c r="L160" s="904">
        <f>ROUND(SUM('RES. CENTRAL PARK:RUA_FINAL'!L160),2)</f>
        <v>0</v>
      </c>
      <c r="M160" s="904">
        <f t="shared" si="33"/>
        <v>0</v>
      </c>
      <c r="N160" s="893">
        <f t="shared" si="34"/>
        <v>0</v>
      </c>
      <c r="O160" s="905"/>
      <c r="Q160" s="317" t="str">
        <f t="shared" si="35"/>
        <v/>
      </c>
      <c r="R160" s="317" t="str">
        <f t="shared" si="36"/>
        <v/>
      </c>
      <c r="S160" s="317" t="str">
        <f t="shared" si="37"/>
        <v/>
      </c>
      <c r="V160" s="314">
        <f>SUM('RES. CENTRAL PARK:RUA_FINAL'!N160)</f>
        <v>0</v>
      </c>
      <c r="W160" s="315">
        <f t="shared" si="38"/>
        <v>0</v>
      </c>
    </row>
    <row r="161" spans="1:23" ht="15" hidden="1" customHeight="1" x14ac:dyDescent="0.2">
      <c r="A161" s="562" t="s">
        <v>147</v>
      </c>
      <c r="B161" s="895" t="s">
        <v>147</v>
      </c>
      <c r="C161" s="896"/>
      <c r="D161" s="957" t="s">
        <v>190</v>
      </c>
      <c r="E161" s="898">
        <f>DMT!$D$51</f>
        <v>308</v>
      </c>
      <c r="F161" s="908">
        <v>3.6999999999999998E-2</v>
      </c>
      <c r="G161" s="909">
        <f>IF(E161&lt;=30,(0.78*E161+7.82)*F161,((0.78*30+7.82)+0.78*(E161-30))*F161)</f>
        <v>9.1782199999999996</v>
      </c>
      <c r="H161" s="901">
        <v>0</v>
      </c>
      <c r="I161" s="901"/>
      <c r="J161" s="902">
        <f t="shared" si="25"/>
        <v>0</v>
      </c>
      <c r="K161" s="903" t="s">
        <v>507</v>
      </c>
      <c r="L161" s="959">
        <f>ROUND(SUM('RES. CENTRAL PARK:RUA_FINAL'!L161),2)</f>
        <v>0</v>
      </c>
      <c r="M161" s="960">
        <f t="shared" si="33"/>
        <v>0</v>
      </c>
      <c r="N161" s="893">
        <f t="shared" si="34"/>
        <v>0</v>
      </c>
      <c r="O161" s="905"/>
      <c r="P161" s="58" t="str">
        <f>IF(N160&gt;0,"xx",IF(N160&gt;0,"xy",""))</f>
        <v/>
      </c>
      <c r="Q161" s="317" t="str">
        <f t="shared" si="35"/>
        <v/>
      </c>
      <c r="R161" s="317" t="str">
        <f t="shared" si="36"/>
        <v/>
      </c>
      <c r="S161" s="317" t="str">
        <f t="shared" si="37"/>
        <v/>
      </c>
      <c r="V161" s="314">
        <f>SUM('RES. CENTRAL PARK:RUA_FINAL'!N161)</f>
        <v>0</v>
      </c>
      <c r="W161" s="315">
        <f t="shared" si="38"/>
        <v>0</v>
      </c>
    </row>
    <row r="162" spans="1:23" ht="15" hidden="1" customHeight="1" x14ac:dyDescent="0.2">
      <c r="A162" s="562" t="s">
        <v>147</v>
      </c>
      <c r="B162" s="895" t="s">
        <v>147</v>
      </c>
      <c r="C162" s="896"/>
      <c r="D162" s="957" t="s">
        <v>191</v>
      </c>
      <c r="E162" s="898">
        <f>DMT!$F$50</f>
        <v>0</v>
      </c>
      <c r="F162" s="908">
        <v>1.9</v>
      </c>
      <c r="G162" s="909">
        <f t="shared" ref="G162:G163" si="43">IF(E162&lt;=30,(1.07*E162+2.68)*F162,((1.07*30+2.68)+1.07*(E162-30))*F162)</f>
        <v>5.0919999999999996</v>
      </c>
      <c r="H162" s="901">
        <v>0</v>
      </c>
      <c r="I162" s="901"/>
      <c r="J162" s="902">
        <f t="shared" si="25"/>
        <v>0</v>
      </c>
      <c r="K162" s="903" t="s">
        <v>507</v>
      </c>
      <c r="L162" s="959">
        <f>ROUND(SUM('RES. CENTRAL PARK:RUA_FINAL'!L162),2)</f>
        <v>0</v>
      </c>
      <c r="M162" s="960">
        <f t="shared" si="33"/>
        <v>0</v>
      </c>
      <c r="N162" s="893">
        <f t="shared" si="34"/>
        <v>0</v>
      </c>
      <c r="O162" s="905"/>
      <c r="P162" s="58" t="str">
        <f>IF(N160&gt;0,"xx",IF(N160&gt;0,"xy",""))</f>
        <v/>
      </c>
      <c r="Q162" s="317" t="str">
        <f t="shared" si="35"/>
        <v/>
      </c>
      <c r="R162" s="317" t="str">
        <f t="shared" si="36"/>
        <v/>
      </c>
      <c r="S162" s="317" t="str">
        <f t="shared" si="37"/>
        <v/>
      </c>
      <c r="V162" s="314">
        <f>SUM('RES. CENTRAL PARK:RUA_FINAL'!N162)</f>
        <v>0</v>
      </c>
      <c r="W162" s="315">
        <f t="shared" si="38"/>
        <v>0</v>
      </c>
    </row>
    <row r="163" spans="1:23" ht="15" hidden="1" customHeight="1" x14ac:dyDescent="0.2">
      <c r="A163" s="562" t="s">
        <v>147</v>
      </c>
      <c r="B163" s="895" t="s">
        <v>147</v>
      </c>
      <c r="C163" s="896"/>
      <c r="D163" s="957" t="s">
        <v>192</v>
      </c>
      <c r="E163" s="898">
        <f>DMT!$F$27</f>
        <v>0</v>
      </c>
      <c r="F163" s="908">
        <v>1.863</v>
      </c>
      <c r="G163" s="909">
        <f t="shared" si="43"/>
        <v>4.9928400000000002</v>
      </c>
      <c r="H163" s="901">
        <v>0</v>
      </c>
      <c r="I163" s="901"/>
      <c r="J163" s="902">
        <f t="shared" si="25"/>
        <v>0</v>
      </c>
      <c r="K163" s="903" t="s">
        <v>507</v>
      </c>
      <c r="L163" s="959">
        <f>ROUND(SUM('RES. CENTRAL PARK:RUA_FINAL'!L163),2)</f>
        <v>0</v>
      </c>
      <c r="M163" s="960">
        <f t="shared" si="33"/>
        <v>0</v>
      </c>
      <c r="N163" s="893">
        <f t="shared" si="34"/>
        <v>0</v>
      </c>
      <c r="O163" s="905"/>
      <c r="P163" s="58" t="str">
        <f>IF($N$142&gt;0,"xx",IF($N$142&gt;0,"xy",""))</f>
        <v/>
      </c>
      <c r="Q163" s="317" t="str">
        <f t="shared" si="35"/>
        <v/>
      </c>
      <c r="R163" s="317" t="str">
        <f t="shared" si="36"/>
        <v/>
      </c>
      <c r="S163" s="317" t="str">
        <f t="shared" si="37"/>
        <v/>
      </c>
      <c r="V163" s="314">
        <f>SUM('RES. CENTRAL PARK:RUA_FINAL'!N163)</f>
        <v>0</v>
      </c>
      <c r="W163" s="315">
        <f t="shared" si="38"/>
        <v>0</v>
      </c>
    </row>
    <row r="164" spans="1:23" ht="15" hidden="1" customHeight="1" x14ac:dyDescent="0.2">
      <c r="A164" s="562">
        <v>543100</v>
      </c>
      <c r="B164" s="895">
        <v>543100</v>
      </c>
      <c r="C164" s="896" t="s">
        <v>184</v>
      </c>
      <c r="D164" s="906" t="s">
        <v>2200</v>
      </c>
      <c r="E164" s="898"/>
      <c r="F164" s="908"/>
      <c r="G164" s="953">
        <f>SUM(G165:G167)</f>
        <v>23.6799</v>
      </c>
      <c r="H164" s="901">
        <v>70.010000000000005</v>
      </c>
      <c r="I164" s="901">
        <f>IF(ISBLANK(H164),"",SUM(G164:H164))</f>
        <v>93.689900000000009</v>
      </c>
      <c r="J164" s="902">
        <f t="shared" si="25"/>
        <v>112.49</v>
      </c>
      <c r="K164" s="903" t="s">
        <v>10</v>
      </c>
      <c r="L164" s="904">
        <f>ROUND(SUM('RES. CENTRAL PARK:RUA_FINAL'!L164),2)</f>
        <v>0</v>
      </c>
      <c r="M164" s="904">
        <f t="shared" si="33"/>
        <v>0</v>
      </c>
      <c r="N164" s="893">
        <f t="shared" si="34"/>
        <v>0</v>
      </c>
      <c r="O164" s="905"/>
      <c r="Q164" s="317" t="str">
        <f t="shared" si="35"/>
        <v/>
      </c>
      <c r="R164" s="317" t="str">
        <f t="shared" si="36"/>
        <v/>
      </c>
      <c r="S164" s="317" t="str">
        <f t="shared" si="37"/>
        <v/>
      </c>
      <c r="V164" s="314">
        <f>SUM('RES. CENTRAL PARK:RUA_FINAL'!N164)</f>
        <v>0</v>
      </c>
      <c r="W164" s="315">
        <f t="shared" si="38"/>
        <v>0</v>
      </c>
    </row>
    <row r="165" spans="1:23" ht="15" hidden="1" customHeight="1" x14ac:dyDescent="0.2">
      <c r="A165" s="562" t="s">
        <v>147</v>
      </c>
      <c r="B165" s="895" t="s">
        <v>147</v>
      </c>
      <c r="C165" s="896"/>
      <c r="D165" s="957" t="s">
        <v>190</v>
      </c>
      <c r="E165" s="898">
        <f>DMT!$D$51</f>
        <v>308</v>
      </c>
      <c r="F165" s="908">
        <v>5.5E-2</v>
      </c>
      <c r="G165" s="909">
        <f>IF(E165&lt;=30,(0.78*E165+7.82)*F165,((0.78*30+7.82)+0.78*(E165-30))*F165)</f>
        <v>13.6433</v>
      </c>
      <c r="H165" s="901">
        <v>0</v>
      </c>
      <c r="I165" s="901"/>
      <c r="J165" s="902">
        <f t="shared" si="25"/>
        <v>0</v>
      </c>
      <c r="K165" s="903" t="s">
        <v>507</v>
      </c>
      <c r="L165" s="959">
        <f>ROUND(SUM('RES. CENTRAL PARK:RUA_FINAL'!L165),2)</f>
        <v>0</v>
      </c>
      <c r="M165" s="960">
        <f t="shared" si="33"/>
        <v>0</v>
      </c>
      <c r="N165" s="893">
        <f t="shared" si="34"/>
        <v>0</v>
      </c>
      <c r="O165" s="905"/>
      <c r="P165" s="58" t="str">
        <f>IF(N164&gt;0,"xx",IF(N164&gt;0,"xy",""))</f>
        <v/>
      </c>
      <c r="Q165" s="317" t="str">
        <f t="shared" si="35"/>
        <v/>
      </c>
      <c r="R165" s="317" t="str">
        <f t="shared" si="36"/>
        <v/>
      </c>
      <c r="S165" s="317" t="str">
        <f t="shared" si="37"/>
        <v/>
      </c>
      <c r="V165" s="314">
        <f>SUM('RES. CENTRAL PARK:RUA_FINAL'!N165)</f>
        <v>0</v>
      </c>
      <c r="W165" s="315">
        <f t="shared" si="38"/>
        <v>0</v>
      </c>
    </row>
    <row r="166" spans="1:23" ht="15" hidden="1" customHeight="1" x14ac:dyDescent="0.2">
      <c r="A166" s="562" t="s">
        <v>147</v>
      </c>
      <c r="B166" s="895" t="s">
        <v>147</v>
      </c>
      <c r="C166" s="896"/>
      <c r="D166" s="957" t="s">
        <v>191</v>
      </c>
      <c r="E166" s="898">
        <f>DMT!$F$50</f>
        <v>0</v>
      </c>
      <c r="F166" s="908">
        <v>1.9</v>
      </c>
      <c r="G166" s="909">
        <f t="shared" ref="G166:G167" si="44">IF(E166&lt;=30,(1.07*E166+2.68)*F166,((1.07*30+2.68)+1.07*(E166-30))*F166)</f>
        <v>5.0919999999999996</v>
      </c>
      <c r="H166" s="901">
        <v>0</v>
      </c>
      <c r="I166" s="901"/>
      <c r="J166" s="902">
        <f t="shared" si="25"/>
        <v>0</v>
      </c>
      <c r="K166" s="903" t="s">
        <v>507</v>
      </c>
      <c r="L166" s="959">
        <f>ROUND(SUM('RES. CENTRAL PARK:RUA_FINAL'!L166),2)</f>
        <v>0</v>
      </c>
      <c r="M166" s="960">
        <f t="shared" si="33"/>
        <v>0</v>
      </c>
      <c r="N166" s="893">
        <f t="shared" si="34"/>
        <v>0</v>
      </c>
      <c r="O166" s="905"/>
      <c r="P166" s="58" t="str">
        <f>IF(N164&gt;0,"xx",IF(N164&gt;0,"xy",""))</f>
        <v/>
      </c>
      <c r="Q166" s="317" t="str">
        <f t="shared" si="35"/>
        <v/>
      </c>
      <c r="R166" s="317" t="str">
        <f t="shared" si="36"/>
        <v/>
      </c>
      <c r="S166" s="317" t="str">
        <f t="shared" si="37"/>
        <v/>
      </c>
      <c r="V166" s="314">
        <f>SUM('RES. CENTRAL PARK:RUA_FINAL'!N166)</f>
        <v>0</v>
      </c>
      <c r="W166" s="315">
        <f t="shared" si="38"/>
        <v>0</v>
      </c>
    </row>
    <row r="167" spans="1:23" ht="15" hidden="1" customHeight="1" x14ac:dyDescent="0.2">
      <c r="A167" s="562" t="s">
        <v>147</v>
      </c>
      <c r="B167" s="895" t="s">
        <v>147</v>
      </c>
      <c r="C167" s="896"/>
      <c r="D167" s="957" t="s">
        <v>192</v>
      </c>
      <c r="E167" s="898">
        <f>DMT!$F$27</f>
        <v>0</v>
      </c>
      <c r="F167" s="908">
        <v>1.845</v>
      </c>
      <c r="G167" s="909">
        <f t="shared" si="44"/>
        <v>4.9446000000000003</v>
      </c>
      <c r="H167" s="901">
        <v>0</v>
      </c>
      <c r="I167" s="901"/>
      <c r="J167" s="902">
        <f t="shared" si="25"/>
        <v>0</v>
      </c>
      <c r="K167" s="903" t="s">
        <v>507</v>
      </c>
      <c r="L167" s="959">
        <f>ROUND(SUM('RES. CENTRAL PARK:RUA_FINAL'!L167),2)</f>
        <v>0</v>
      </c>
      <c r="M167" s="960">
        <f t="shared" si="33"/>
        <v>0</v>
      </c>
      <c r="N167" s="893">
        <f t="shared" si="34"/>
        <v>0</v>
      </c>
      <c r="O167" s="905"/>
      <c r="P167" s="58" t="str">
        <f>IF($N$142&gt;0,"xx",IF($N$142&gt;0,"xy",""))</f>
        <v/>
      </c>
      <c r="Q167" s="317" t="str">
        <f t="shared" si="35"/>
        <v/>
      </c>
      <c r="R167" s="317" t="str">
        <f t="shared" si="36"/>
        <v/>
      </c>
      <c r="S167" s="317" t="str">
        <f t="shared" si="37"/>
        <v/>
      </c>
      <c r="V167" s="314">
        <f>SUM('RES. CENTRAL PARK:RUA_FINAL'!N167)</f>
        <v>0</v>
      </c>
      <c r="W167" s="315">
        <f t="shared" si="38"/>
        <v>0</v>
      </c>
    </row>
    <row r="168" spans="1:23" ht="15" hidden="1" customHeight="1" x14ac:dyDescent="0.2">
      <c r="A168" s="562">
        <v>544100</v>
      </c>
      <c r="B168" s="895">
        <v>544100</v>
      </c>
      <c r="C168" s="896" t="s">
        <v>184</v>
      </c>
      <c r="D168" s="906" t="s">
        <v>2201</v>
      </c>
      <c r="E168" s="898"/>
      <c r="F168" s="908"/>
      <c r="G168" s="953">
        <f>SUM(G169:G171)</f>
        <v>27.337979999999998</v>
      </c>
      <c r="H168" s="901">
        <v>72.23</v>
      </c>
      <c r="I168" s="901">
        <f>IF(ISBLANK(H168),"",SUM(G168:H168))</f>
        <v>99.567980000000006</v>
      </c>
      <c r="J168" s="902">
        <f t="shared" si="25"/>
        <v>119.55</v>
      </c>
      <c r="K168" s="903" t="s">
        <v>10</v>
      </c>
      <c r="L168" s="904">
        <f>ROUND(SUM('RES. CENTRAL PARK:RUA_FINAL'!L168),2)</f>
        <v>0</v>
      </c>
      <c r="M168" s="904">
        <f t="shared" si="33"/>
        <v>0</v>
      </c>
      <c r="N168" s="893">
        <f t="shared" si="34"/>
        <v>0</v>
      </c>
      <c r="O168" s="905"/>
      <c r="Q168" s="317" t="str">
        <f t="shared" si="35"/>
        <v/>
      </c>
      <c r="R168" s="317" t="str">
        <f t="shared" si="36"/>
        <v/>
      </c>
      <c r="S168" s="317" t="str">
        <f t="shared" si="37"/>
        <v/>
      </c>
      <c r="V168" s="314">
        <f>SUM('RES. CENTRAL PARK:RUA_FINAL'!N168)</f>
        <v>0</v>
      </c>
      <c r="W168" s="315">
        <f t="shared" si="38"/>
        <v>0</v>
      </c>
    </row>
    <row r="169" spans="1:23" ht="15" hidden="1" customHeight="1" x14ac:dyDescent="0.2">
      <c r="A169" s="562" t="s">
        <v>147</v>
      </c>
      <c r="B169" s="895" t="s">
        <v>147</v>
      </c>
      <c r="C169" s="896"/>
      <c r="D169" s="957" t="s">
        <v>190</v>
      </c>
      <c r="E169" s="898">
        <f>DMT!$D$51</f>
        <v>308</v>
      </c>
      <c r="F169" s="908">
        <v>7.0999999999999994E-2</v>
      </c>
      <c r="G169" s="909">
        <f>IF(E169&lt;=30,(0.78*E169+7.82)*F169,((0.78*30+7.82)+0.78*(E169-30))*F169)</f>
        <v>17.612259999999999</v>
      </c>
      <c r="H169" s="901">
        <v>0</v>
      </c>
      <c r="I169" s="901"/>
      <c r="J169" s="902">
        <f t="shared" si="25"/>
        <v>0</v>
      </c>
      <c r="K169" s="903" t="s">
        <v>507</v>
      </c>
      <c r="L169" s="959">
        <f>ROUND(SUM('RES. CENTRAL PARK:RUA_FINAL'!L169),2)</f>
        <v>0</v>
      </c>
      <c r="M169" s="960">
        <f t="shared" si="33"/>
        <v>0</v>
      </c>
      <c r="N169" s="893">
        <f t="shared" si="34"/>
        <v>0</v>
      </c>
      <c r="O169" s="905"/>
      <c r="P169" s="58" t="str">
        <f>IF(N168&gt;0,"xx",IF(N168&gt;0,"xy",""))</f>
        <v/>
      </c>
      <c r="Q169" s="317" t="str">
        <f t="shared" si="35"/>
        <v/>
      </c>
      <c r="R169" s="317" t="str">
        <f t="shared" si="36"/>
        <v/>
      </c>
      <c r="S169" s="317" t="str">
        <f t="shared" si="37"/>
        <v/>
      </c>
      <c r="V169" s="314">
        <f>SUM('RES. CENTRAL PARK:RUA_FINAL'!N169)</f>
        <v>0</v>
      </c>
      <c r="W169" s="315">
        <f t="shared" si="38"/>
        <v>0</v>
      </c>
    </row>
    <row r="170" spans="1:23" ht="15" hidden="1" customHeight="1" x14ac:dyDescent="0.2">
      <c r="A170" s="562" t="s">
        <v>147</v>
      </c>
      <c r="B170" s="895" t="s">
        <v>147</v>
      </c>
      <c r="C170" s="896"/>
      <c r="D170" s="957" t="s">
        <v>191</v>
      </c>
      <c r="E170" s="898">
        <f>DMT!$F$50</f>
        <v>0</v>
      </c>
      <c r="F170" s="908">
        <v>1.85</v>
      </c>
      <c r="G170" s="909">
        <f t="shared" ref="G170:G171" si="45">IF(E170&lt;=30,(1.07*E170+2.68)*F170,((1.07*30+2.68)+1.07*(E170-30))*F170)</f>
        <v>4.9580000000000002</v>
      </c>
      <c r="H170" s="901">
        <v>0</v>
      </c>
      <c r="I170" s="901"/>
      <c r="J170" s="902">
        <f t="shared" si="25"/>
        <v>0</v>
      </c>
      <c r="K170" s="903" t="s">
        <v>507</v>
      </c>
      <c r="L170" s="959">
        <f>ROUND(SUM('RES. CENTRAL PARK:RUA_FINAL'!L170),2)</f>
        <v>0</v>
      </c>
      <c r="M170" s="960">
        <f t="shared" si="33"/>
        <v>0</v>
      </c>
      <c r="N170" s="893">
        <f t="shared" si="34"/>
        <v>0</v>
      </c>
      <c r="O170" s="905"/>
      <c r="P170" s="58" t="str">
        <f>IF(N168&gt;0,"xx",IF(N168&gt;0,"xy",""))</f>
        <v/>
      </c>
      <c r="Q170" s="317" t="str">
        <f t="shared" si="35"/>
        <v/>
      </c>
      <c r="R170" s="317" t="str">
        <f t="shared" si="36"/>
        <v/>
      </c>
      <c r="S170" s="317" t="str">
        <f t="shared" si="37"/>
        <v/>
      </c>
      <c r="V170" s="314">
        <f>SUM('RES. CENTRAL PARK:RUA_FINAL'!N170)</f>
        <v>0</v>
      </c>
      <c r="W170" s="315">
        <f t="shared" si="38"/>
        <v>0</v>
      </c>
    </row>
    <row r="171" spans="1:23" ht="15" hidden="1" customHeight="1" x14ac:dyDescent="0.2">
      <c r="A171" s="562" t="s">
        <v>147</v>
      </c>
      <c r="B171" s="895" t="s">
        <v>147</v>
      </c>
      <c r="C171" s="896"/>
      <c r="D171" s="957" t="s">
        <v>192</v>
      </c>
      <c r="E171" s="898">
        <f>DMT!$F$27</f>
        <v>0</v>
      </c>
      <c r="F171" s="908">
        <v>1.7789999999999999</v>
      </c>
      <c r="G171" s="909">
        <f t="shared" si="45"/>
        <v>4.7677199999999997</v>
      </c>
      <c r="H171" s="901">
        <v>0</v>
      </c>
      <c r="I171" s="901"/>
      <c r="J171" s="902">
        <f t="shared" si="25"/>
        <v>0</v>
      </c>
      <c r="K171" s="903" t="s">
        <v>507</v>
      </c>
      <c r="L171" s="959">
        <f>ROUND(SUM('RES. CENTRAL PARK:RUA_FINAL'!L171),2)</f>
        <v>0</v>
      </c>
      <c r="M171" s="960">
        <f t="shared" si="33"/>
        <v>0</v>
      </c>
      <c r="N171" s="893">
        <f t="shared" si="34"/>
        <v>0</v>
      </c>
      <c r="O171" s="905"/>
      <c r="P171" s="58" t="str">
        <f>IF($N$142&gt;0,"xx",IF($N$142&gt;0,"xy",""))</f>
        <v/>
      </c>
      <c r="Q171" s="317" t="str">
        <f t="shared" si="35"/>
        <v/>
      </c>
      <c r="R171" s="317" t="str">
        <f t="shared" si="36"/>
        <v/>
      </c>
      <c r="S171" s="317" t="str">
        <f t="shared" si="37"/>
        <v/>
      </c>
      <c r="V171" s="314">
        <f>SUM('RES. CENTRAL PARK:RUA_FINAL'!N171)</f>
        <v>0</v>
      </c>
      <c r="W171" s="315">
        <f t="shared" si="38"/>
        <v>0</v>
      </c>
    </row>
    <row r="172" spans="1:23" ht="15" hidden="1" customHeight="1" x14ac:dyDescent="0.2">
      <c r="A172" s="562">
        <v>545100</v>
      </c>
      <c r="B172" s="895">
        <v>545100</v>
      </c>
      <c r="C172" s="896" t="s">
        <v>184</v>
      </c>
      <c r="D172" s="906" t="s">
        <v>2202</v>
      </c>
      <c r="E172" s="898"/>
      <c r="F172" s="908"/>
      <c r="G172" s="953">
        <f>SUM(G173:G175)</f>
        <v>31.509440000000005</v>
      </c>
      <c r="H172" s="901">
        <v>82.05</v>
      </c>
      <c r="I172" s="901">
        <f>IF(ISBLANK(H172),"",SUM(G172:H172))</f>
        <v>113.55944</v>
      </c>
      <c r="J172" s="902">
        <f t="shared" si="25"/>
        <v>136.35</v>
      </c>
      <c r="K172" s="903" t="s">
        <v>10</v>
      </c>
      <c r="L172" s="904">
        <f>ROUND(SUM('RES. CENTRAL PARK:RUA_FINAL'!L172),2)</f>
        <v>0</v>
      </c>
      <c r="M172" s="904">
        <f t="shared" si="33"/>
        <v>0</v>
      </c>
      <c r="N172" s="893">
        <f t="shared" si="34"/>
        <v>0</v>
      </c>
      <c r="O172" s="905"/>
      <c r="Q172" s="317" t="str">
        <f t="shared" si="35"/>
        <v/>
      </c>
      <c r="R172" s="317" t="str">
        <f t="shared" si="36"/>
        <v/>
      </c>
      <c r="S172" s="317" t="str">
        <f t="shared" si="37"/>
        <v/>
      </c>
      <c r="V172" s="314">
        <f>SUM('RES. CENTRAL PARK:RUA_FINAL'!N172)</f>
        <v>0</v>
      </c>
      <c r="W172" s="315">
        <f t="shared" si="38"/>
        <v>0</v>
      </c>
    </row>
    <row r="173" spans="1:23" ht="15" hidden="1" customHeight="1" x14ac:dyDescent="0.2">
      <c r="A173" s="562" t="s">
        <v>147</v>
      </c>
      <c r="B173" s="895" t="s">
        <v>147</v>
      </c>
      <c r="C173" s="896"/>
      <c r="D173" s="957" t="s">
        <v>190</v>
      </c>
      <c r="E173" s="898">
        <f>DMT!$D$51</f>
        <v>308</v>
      </c>
      <c r="F173" s="908">
        <v>8.7999999999999995E-2</v>
      </c>
      <c r="G173" s="909">
        <f>IF(E173&lt;=30,(0.78*E173+7.82)*F173,((0.78*30+7.82)+0.78*(E173-30))*F173)</f>
        <v>21.829280000000001</v>
      </c>
      <c r="H173" s="901">
        <v>0</v>
      </c>
      <c r="I173" s="901"/>
      <c r="J173" s="902">
        <f t="shared" si="25"/>
        <v>0</v>
      </c>
      <c r="K173" s="903" t="s">
        <v>507</v>
      </c>
      <c r="L173" s="959">
        <f>ROUND(SUM('RES. CENTRAL PARK:RUA_FINAL'!L173),2)</f>
        <v>0</v>
      </c>
      <c r="M173" s="960">
        <f t="shared" si="33"/>
        <v>0</v>
      </c>
      <c r="N173" s="893">
        <f t="shared" si="34"/>
        <v>0</v>
      </c>
      <c r="O173" s="905"/>
      <c r="P173" s="58" t="str">
        <f>IF(N172&gt;0,"xx",IF(N172&gt;0,"xy",""))</f>
        <v/>
      </c>
      <c r="Q173" s="317" t="str">
        <f t="shared" si="35"/>
        <v/>
      </c>
      <c r="R173" s="317" t="str">
        <f t="shared" si="36"/>
        <v/>
      </c>
      <c r="S173" s="317" t="str">
        <f t="shared" si="37"/>
        <v/>
      </c>
      <c r="V173" s="314">
        <f>SUM('RES. CENTRAL PARK:RUA_FINAL'!N173)</f>
        <v>0</v>
      </c>
      <c r="W173" s="315">
        <f t="shared" si="38"/>
        <v>0</v>
      </c>
    </row>
    <row r="174" spans="1:23" ht="15" hidden="1" customHeight="1" x14ac:dyDescent="0.2">
      <c r="A174" s="562" t="s">
        <v>147</v>
      </c>
      <c r="B174" s="895" t="s">
        <v>147</v>
      </c>
      <c r="C174" s="896"/>
      <c r="D174" s="957" t="s">
        <v>191</v>
      </c>
      <c r="E174" s="898">
        <f>DMT!$F$50</f>
        <v>0</v>
      </c>
      <c r="F174" s="908">
        <v>1.85</v>
      </c>
      <c r="G174" s="909">
        <f t="shared" ref="G174:G175" si="46">IF(E174&lt;=30,(1.07*E174+2.68)*F174,((1.07*30+2.68)+1.07*(E174-30))*F174)</f>
        <v>4.9580000000000002</v>
      </c>
      <c r="H174" s="901">
        <v>0</v>
      </c>
      <c r="I174" s="901"/>
      <c r="J174" s="902">
        <f t="shared" si="25"/>
        <v>0</v>
      </c>
      <c r="K174" s="903" t="s">
        <v>507</v>
      </c>
      <c r="L174" s="959">
        <f>ROUND(SUM('RES. CENTRAL PARK:RUA_FINAL'!L174),2)</f>
        <v>0</v>
      </c>
      <c r="M174" s="960">
        <f t="shared" si="33"/>
        <v>0</v>
      </c>
      <c r="N174" s="893">
        <f t="shared" si="34"/>
        <v>0</v>
      </c>
      <c r="O174" s="905"/>
      <c r="P174" s="58" t="str">
        <f>IF(N172&gt;0,"xx",IF(N172&gt;0,"xy",""))</f>
        <v/>
      </c>
      <c r="Q174" s="317" t="str">
        <f t="shared" si="35"/>
        <v/>
      </c>
      <c r="R174" s="317" t="str">
        <f t="shared" si="36"/>
        <v/>
      </c>
      <c r="S174" s="317" t="str">
        <f t="shared" si="37"/>
        <v/>
      </c>
      <c r="V174" s="314">
        <f>SUM('RES. CENTRAL PARK:RUA_FINAL'!N174)</f>
        <v>0</v>
      </c>
      <c r="W174" s="315">
        <f t="shared" si="38"/>
        <v>0</v>
      </c>
    </row>
    <row r="175" spans="1:23" ht="15" hidden="1" customHeight="1" x14ac:dyDescent="0.2">
      <c r="A175" s="562" t="s">
        <v>147</v>
      </c>
      <c r="B175" s="895" t="s">
        <v>147</v>
      </c>
      <c r="C175" s="896"/>
      <c r="D175" s="957" t="s">
        <v>192</v>
      </c>
      <c r="E175" s="898">
        <f>DMT!$F$27</f>
        <v>0</v>
      </c>
      <c r="F175" s="908">
        <v>1.762</v>
      </c>
      <c r="G175" s="909">
        <f t="shared" si="46"/>
        <v>4.7221600000000006</v>
      </c>
      <c r="H175" s="901">
        <v>0</v>
      </c>
      <c r="I175" s="901"/>
      <c r="J175" s="902">
        <f t="shared" si="25"/>
        <v>0</v>
      </c>
      <c r="K175" s="903" t="s">
        <v>507</v>
      </c>
      <c r="L175" s="959">
        <f>ROUND(SUM('RES. CENTRAL PARK:RUA_FINAL'!L175),2)</f>
        <v>0</v>
      </c>
      <c r="M175" s="960">
        <f t="shared" si="33"/>
        <v>0</v>
      </c>
      <c r="N175" s="893">
        <f t="shared" si="34"/>
        <v>0</v>
      </c>
      <c r="O175" s="905"/>
      <c r="P175" s="58" t="str">
        <f>IF($N$142&gt;0,"xx",IF($N$142&gt;0,"xy",""))</f>
        <v/>
      </c>
      <c r="Q175" s="317" t="str">
        <f t="shared" si="35"/>
        <v/>
      </c>
      <c r="R175" s="317" t="str">
        <f t="shared" si="36"/>
        <v/>
      </c>
      <c r="S175" s="317" t="str">
        <f t="shared" si="37"/>
        <v/>
      </c>
      <c r="V175" s="314">
        <f>SUM('RES. CENTRAL PARK:RUA_FINAL'!N175)</f>
        <v>0</v>
      </c>
      <c r="W175" s="315">
        <f t="shared" si="38"/>
        <v>0</v>
      </c>
    </row>
    <row r="176" spans="1:23" ht="15" hidden="1" customHeight="1" x14ac:dyDescent="0.2">
      <c r="A176" s="562">
        <v>546100</v>
      </c>
      <c r="B176" s="895">
        <v>546100</v>
      </c>
      <c r="C176" s="896" t="s">
        <v>184</v>
      </c>
      <c r="D176" s="906" t="s">
        <v>2203</v>
      </c>
      <c r="E176" s="898"/>
      <c r="F176" s="908"/>
      <c r="G176" s="953">
        <f>SUM(G177:G179)</f>
        <v>35.680900000000001</v>
      </c>
      <c r="H176" s="901">
        <v>91.87</v>
      </c>
      <c r="I176" s="901">
        <f>IF(ISBLANK(H176),"",SUM(G176:H176))</f>
        <v>127.55090000000001</v>
      </c>
      <c r="J176" s="902">
        <f t="shared" si="25"/>
        <v>153.15</v>
      </c>
      <c r="K176" s="903" t="s">
        <v>10</v>
      </c>
      <c r="L176" s="904">
        <f>ROUND(SUM('RES. CENTRAL PARK:RUA_FINAL'!L176),2)</f>
        <v>0</v>
      </c>
      <c r="M176" s="904">
        <f t="shared" si="33"/>
        <v>0</v>
      </c>
      <c r="N176" s="893">
        <f t="shared" si="34"/>
        <v>0</v>
      </c>
      <c r="O176" s="905"/>
      <c r="Q176" s="317" t="str">
        <f t="shared" si="35"/>
        <v/>
      </c>
      <c r="R176" s="317" t="str">
        <f t="shared" si="36"/>
        <v/>
      </c>
      <c r="S176" s="317" t="str">
        <f t="shared" si="37"/>
        <v/>
      </c>
      <c r="V176" s="314">
        <f>SUM('RES. CENTRAL PARK:RUA_FINAL'!N176)</f>
        <v>0</v>
      </c>
      <c r="W176" s="315">
        <f t="shared" si="38"/>
        <v>0</v>
      </c>
    </row>
    <row r="177" spans="1:23" ht="15" hidden="1" customHeight="1" x14ac:dyDescent="0.2">
      <c r="A177" s="562" t="s">
        <v>147</v>
      </c>
      <c r="B177" s="895" t="s">
        <v>147</v>
      </c>
      <c r="C177" s="896"/>
      <c r="D177" s="957" t="s">
        <v>190</v>
      </c>
      <c r="E177" s="898">
        <f>DMT!$D$51</f>
        <v>308</v>
      </c>
      <c r="F177" s="908">
        <v>0.105</v>
      </c>
      <c r="G177" s="909">
        <f>IF(E177&lt;=30,(0.78*E177+7.82)*F177,((0.78*30+7.82)+0.78*(E177-30))*F177)</f>
        <v>26.046299999999999</v>
      </c>
      <c r="H177" s="901">
        <v>0</v>
      </c>
      <c r="I177" s="901"/>
      <c r="J177" s="902">
        <f t="shared" si="25"/>
        <v>0</v>
      </c>
      <c r="K177" s="903" t="s">
        <v>507</v>
      </c>
      <c r="L177" s="959">
        <f>ROUND(SUM('RES. CENTRAL PARK:RUA_FINAL'!L177),2)</f>
        <v>0</v>
      </c>
      <c r="M177" s="960">
        <f t="shared" si="33"/>
        <v>0</v>
      </c>
      <c r="N177" s="893">
        <f t="shared" si="34"/>
        <v>0</v>
      </c>
      <c r="O177" s="905"/>
      <c r="P177" s="58" t="str">
        <f>IF(N176&gt;0,"xx",IF(N176&gt;0,"xy",""))</f>
        <v/>
      </c>
      <c r="Q177" s="317" t="str">
        <f t="shared" si="35"/>
        <v/>
      </c>
      <c r="R177" s="317" t="str">
        <f t="shared" si="36"/>
        <v/>
      </c>
      <c r="S177" s="317" t="str">
        <f t="shared" si="37"/>
        <v/>
      </c>
      <c r="V177" s="314">
        <f>SUM('RES. CENTRAL PARK:RUA_FINAL'!N177)</f>
        <v>0</v>
      </c>
      <c r="W177" s="315">
        <f t="shared" si="38"/>
        <v>0</v>
      </c>
    </row>
    <row r="178" spans="1:23" ht="15" hidden="1" customHeight="1" x14ac:dyDescent="0.2">
      <c r="A178" s="562" t="s">
        <v>147</v>
      </c>
      <c r="B178" s="895" t="s">
        <v>147</v>
      </c>
      <c r="C178" s="896"/>
      <c r="D178" s="957" t="s">
        <v>191</v>
      </c>
      <c r="E178" s="898">
        <f>DMT!$F$50</f>
        <v>0</v>
      </c>
      <c r="F178" s="908">
        <v>1.85</v>
      </c>
      <c r="G178" s="909">
        <f t="shared" ref="G178:G179" si="47">IF(E178&lt;=30,(1.07*E178+2.68)*F178,((1.07*30+2.68)+1.07*(E178-30))*F178)</f>
        <v>4.9580000000000002</v>
      </c>
      <c r="H178" s="901">
        <v>0</v>
      </c>
      <c r="I178" s="901"/>
      <c r="J178" s="902">
        <f t="shared" si="25"/>
        <v>0</v>
      </c>
      <c r="K178" s="903" t="s">
        <v>507</v>
      </c>
      <c r="L178" s="959">
        <f>ROUND(SUM('RES. CENTRAL PARK:RUA_FINAL'!L178),2)</f>
        <v>0</v>
      </c>
      <c r="M178" s="960">
        <f t="shared" si="33"/>
        <v>0</v>
      </c>
      <c r="N178" s="893">
        <f t="shared" si="34"/>
        <v>0</v>
      </c>
      <c r="O178" s="905"/>
      <c r="P178" s="58" t="str">
        <f>IF(N176&gt;0,"xx",IF(N176&gt;0,"xy",""))</f>
        <v/>
      </c>
      <c r="Q178" s="317" t="str">
        <f t="shared" si="35"/>
        <v/>
      </c>
      <c r="R178" s="317" t="str">
        <f t="shared" si="36"/>
        <v/>
      </c>
      <c r="S178" s="317" t="str">
        <f t="shared" si="37"/>
        <v/>
      </c>
      <c r="V178" s="314">
        <f>SUM('RES. CENTRAL PARK:RUA_FINAL'!N178)</f>
        <v>0</v>
      </c>
      <c r="W178" s="315">
        <f t="shared" si="38"/>
        <v>0</v>
      </c>
    </row>
    <row r="179" spans="1:23" ht="15" hidden="1" customHeight="1" x14ac:dyDescent="0.2">
      <c r="A179" s="562" t="s">
        <v>147</v>
      </c>
      <c r="B179" s="895" t="s">
        <v>147</v>
      </c>
      <c r="C179" s="896"/>
      <c r="D179" s="957" t="s">
        <v>192</v>
      </c>
      <c r="E179" s="898">
        <f>DMT!$F$27</f>
        <v>0</v>
      </c>
      <c r="F179" s="908">
        <v>1.7450000000000001</v>
      </c>
      <c r="G179" s="909">
        <f t="shared" si="47"/>
        <v>4.6766000000000005</v>
      </c>
      <c r="H179" s="901">
        <v>0</v>
      </c>
      <c r="I179" s="901"/>
      <c r="J179" s="902">
        <f t="shared" si="25"/>
        <v>0</v>
      </c>
      <c r="K179" s="903" t="s">
        <v>507</v>
      </c>
      <c r="L179" s="959">
        <f>ROUND(SUM('RES. CENTRAL PARK:RUA_FINAL'!L179),2)</f>
        <v>0</v>
      </c>
      <c r="M179" s="960">
        <f t="shared" si="33"/>
        <v>0</v>
      </c>
      <c r="N179" s="893">
        <f t="shared" si="34"/>
        <v>0</v>
      </c>
      <c r="O179" s="905"/>
      <c r="P179" s="58" t="str">
        <f>IF($N$142&gt;0,"xx",IF($N$142&gt;0,"xy",""))</f>
        <v/>
      </c>
      <c r="Q179" s="317" t="str">
        <f t="shared" si="35"/>
        <v/>
      </c>
      <c r="R179" s="317" t="str">
        <f t="shared" si="36"/>
        <v/>
      </c>
      <c r="S179" s="317" t="str">
        <f t="shared" si="37"/>
        <v/>
      </c>
      <c r="V179" s="314">
        <f>SUM('RES. CENTRAL PARK:RUA_FINAL'!N179)</f>
        <v>0</v>
      </c>
      <c r="W179" s="315">
        <f t="shared" si="38"/>
        <v>0</v>
      </c>
    </row>
    <row r="180" spans="1:23" ht="15" hidden="1" customHeight="1" x14ac:dyDescent="0.2">
      <c r="A180" s="562">
        <v>547100</v>
      </c>
      <c r="B180" s="895">
        <v>547100</v>
      </c>
      <c r="C180" s="896" t="s">
        <v>184</v>
      </c>
      <c r="D180" s="906" t="s">
        <v>2204</v>
      </c>
      <c r="E180" s="898"/>
      <c r="F180" s="908"/>
      <c r="G180" s="953">
        <f>SUM(G181:G183)</f>
        <v>39.604299999999995</v>
      </c>
      <c r="H180" s="901">
        <v>101.11</v>
      </c>
      <c r="I180" s="901">
        <f>IF(ISBLANK(H180),"",SUM(G180:H180))</f>
        <v>140.71429999999998</v>
      </c>
      <c r="J180" s="902">
        <f t="shared" si="25"/>
        <v>168.96</v>
      </c>
      <c r="K180" s="903" t="s">
        <v>10</v>
      </c>
      <c r="L180" s="904">
        <f>ROUND(SUM('RES. CENTRAL PARK:RUA_FINAL'!L180),2)</f>
        <v>0</v>
      </c>
      <c r="M180" s="904">
        <f t="shared" si="33"/>
        <v>0</v>
      </c>
      <c r="N180" s="893">
        <f t="shared" si="34"/>
        <v>0</v>
      </c>
      <c r="O180" s="905"/>
      <c r="Q180" s="317" t="str">
        <f t="shared" si="35"/>
        <v/>
      </c>
      <c r="R180" s="317" t="str">
        <f t="shared" si="36"/>
        <v/>
      </c>
      <c r="S180" s="317" t="str">
        <f t="shared" si="37"/>
        <v/>
      </c>
      <c r="V180" s="314">
        <f>SUM('RES. CENTRAL PARK:RUA_FINAL'!N180)</f>
        <v>0</v>
      </c>
      <c r="W180" s="315">
        <f t="shared" si="38"/>
        <v>0</v>
      </c>
    </row>
    <row r="181" spans="1:23" ht="15" hidden="1" customHeight="1" x14ac:dyDescent="0.2">
      <c r="A181" s="562" t="s">
        <v>147</v>
      </c>
      <c r="B181" s="895" t="s">
        <v>147</v>
      </c>
      <c r="C181" s="896"/>
      <c r="D181" s="957" t="s">
        <v>190</v>
      </c>
      <c r="E181" s="898">
        <f>DMT!$D$51</f>
        <v>308</v>
      </c>
      <c r="F181" s="908">
        <v>0.121</v>
      </c>
      <c r="G181" s="909">
        <f>IF(E181&lt;=30,(0.78*E181+7.82)*F181,((0.78*30+7.82)+0.78*(E181-30))*F181)</f>
        <v>30.015259999999998</v>
      </c>
      <c r="H181" s="901">
        <v>0</v>
      </c>
      <c r="I181" s="901"/>
      <c r="J181" s="902">
        <f t="shared" si="25"/>
        <v>0</v>
      </c>
      <c r="K181" s="903" t="s">
        <v>507</v>
      </c>
      <c r="L181" s="959">
        <f>ROUND(SUM('RES. CENTRAL PARK:RUA_FINAL'!L181),2)</f>
        <v>0</v>
      </c>
      <c r="M181" s="960">
        <f t="shared" si="33"/>
        <v>0</v>
      </c>
      <c r="N181" s="893">
        <f t="shared" si="34"/>
        <v>0</v>
      </c>
      <c r="O181" s="905"/>
      <c r="P181" s="58" t="str">
        <f>IF(N180&gt;0,"xx",IF(N180&gt;0,"xy",""))</f>
        <v/>
      </c>
      <c r="Q181" s="317" t="str">
        <f t="shared" si="35"/>
        <v/>
      </c>
      <c r="R181" s="317" t="str">
        <f t="shared" si="36"/>
        <v/>
      </c>
      <c r="S181" s="317" t="str">
        <f t="shared" si="37"/>
        <v/>
      </c>
      <c r="V181" s="314">
        <f>SUM('RES. CENTRAL PARK:RUA_FINAL'!N181)</f>
        <v>0</v>
      </c>
      <c r="W181" s="315">
        <f t="shared" si="38"/>
        <v>0</v>
      </c>
    </row>
    <row r="182" spans="1:23" ht="15" hidden="1" customHeight="1" x14ac:dyDescent="0.2">
      <c r="A182" s="562" t="s">
        <v>147</v>
      </c>
      <c r="B182" s="895" t="s">
        <v>147</v>
      </c>
      <c r="C182" s="896"/>
      <c r="D182" s="957" t="s">
        <v>191</v>
      </c>
      <c r="E182" s="898">
        <f>DMT!$F$50</f>
        <v>0</v>
      </c>
      <c r="F182" s="908">
        <v>1.85</v>
      </c>
      <c r="G182" s="909">
        <f t="shared" ref="G182:G189" si="48">IF(E182&lt;=30,(1.07*E182+2.68)*F182,((1.07*30+2.68)+1.07*(E182-30))*F182)</f>
        <v>4.9580000000000002</v>
      </c>
      <c r="H182" s="901">
        <v>0</v>
      </c>
      <c r="I182" s="901"/>
      <c r="J182" s="902">
        <f t="shared" si="25"/>
        <v>0</v>
      </c>
      <c r="K182" s="903" t="s">
        <v>507</v>
      </c>
      <c r="L182" s="959">
        <f>ROUND(SUM('RES. CENTRAL PARK:RUA_FINAL'!L182),2)</f>
        <v>0</v>
      </c>
      <c r="M182" s="960">
        <f t="shared" si="33"/>
        <v>0</v>
      </c>
      <c r="N182" s="893">
        <f t="shared" si="34"/>
        <v>0</v>
      </c>
      <c r="O182" s="905"/>
      <c r="P182" s="58" t="str">
        <f>IF(N180&gt;0,"xx",IF(N180&gt;0,"xy",""))</f>
        <v/>
      </c>
      <c r="Q182" s="317" t="str">
        <f t="shared" si="35"/>
        <v/>
      </c>
      <c r="R182" s="317" t="str">
        <f t="shared" si="36"/>
        <v/>
      </c>
      <c r="S182" s="317" t="str">
        <f t="shared" si="37"/>
        <v/>
      </c>
      <c r="V182" s="314">
        <f>SUM('RES. CENTRAL PARK:RUA_FINAL'!N182)</f>
        <v>0</v>
      </c>
      <c r="W182" s="315">
        <f t="shared" si="38"/>
        <v>0</v>
      </c>
    </row>
    <row r="183" spans="1:23" ht="15" hidden="1" customHeight="1" x14ac:dyDescent="0.2">
      <c r="A183" s="562" t="s">
        <v>147</v>
      </c>
      <c r="B183" s="895" t="s">
        <v>147</v>
      </c>
      <c r="C183" s="896"/>
      <c r="D183" s="957" t="s">
        <v>192</v>
      </c>
      <c r="E183" s="898">
        <f>DMT!$F$27</f>
        <v>0</v>
      </c>
      <c r="F183" s="908">
        <v>1.728</v>
      </c>
      <c r="G183" s="909">
        <f t="shared" si="48"/>
        <v>4.6310400000000005</v>
      </c>
      <c r="H183" s="901">
        <v>0</v>
      </c>
      <c r="I183" s="901"/>
      <c r="J183" s="902">
        <f t="shared" ref="J183:J201" si="49">IF(ISBLANK(H183),0,ROUND(I183*(1+$E$10),2))</f>
        <v>0</v>
      </c>
      <c r="K183" s="903" t="s">
        <v>507</v>
      </c>
      <c r="L183" s="959">
        <f>ROUND(SUM('RES. CENTRAL PARK:RUA_FINAL'!L183),2)</f>
        <v>0</v>
      </c>
      <c r="M183" s="960">
        <f t="shared" si="33"/>
        <v>0</v>
      </c>
      <c r="N183" s="893">
        <f t="shared" si="34"/>
        <v>0</v>
      </c>
      <c r="O183" s="905"/>
      <c r="P183" s="58" t="str">
        <f>IF($N$142&gt;0,"xx",IF($N$142&gt;0,"xy",""))</f>
        <v/>
      </c>
      <c r="Q183" s="317" t="str">
        <f t="shared" si="35"/>
        <v/>
      </c>
      <c r="R183" s="317" t="str">
        <f t="shared" si="36"/>
        <v/>
      </c>
      <c r="S183" s="317" t="str">
        <f t="shared" si="37"/>
        <v/>
      </c>
      <c r="V183" s="314">
        <f>SUM('RES. CENTRAL PARK:RUA_FINAL'!N183)</f>
        <v>0</v>
      </c>
      <c r="W183" s="315">
        <f t="shared" si="38"/>
        <v>0</v>
      </c>
    </row>
    <row r="184" spans="1:23" ht="15" hidden="1" customHeight="1" x14ac:dyDescent="0.2">
      <c r="A184" s="562">
        <v>530200</v>
      </c>
      <c r="B184" s="895" t="s">
        <v>1572</v>
      </c>
      <c r="C184" s="896" t="s">
        <v>184</v>
      </c>
      <c r="D184" s="906" t="s">
        <v>193</v>
      </c>
      <c r="E184" s="898">
        <f>DMT!$F$9</f>
        <v>0.2</v>
      </c>
      <c r="F184" s="899">
        <v>2.2000000000000002</v>
      </c>
      <c r="G184" s="909">
        <f t="shared" si="48"/>
        <v>6.3668000000000005</v>
      </c>
      <c r="H184" s="901">
        <v>98.29</v>
      </c>
      <c r="I184" s="901">
        <f>IF(ISBLANK(H184),"",SUM(G184:H184))</f>
        <v>104.6568</v>
      </c>
      <c r="J184" s="902">
        <f t="shared" si="49"/>
        <v>125.66</v>
      </c>
      <c r="K184" s="903" t="s">
        <v>10</v>
      </c>
      <c r="L184" s="904">
        <f>ROUND(SUM('RES. CENTRAL PARK:RUA_FINAL'!L184),2)</f>
        <v>0</v>
      </c>
      <c r="M184" s="904">
        <f t="shared" si="33"/>
        <v>0</v>
      </c>
      <c r="N184" s="893">
        <f t="shared" si="34"/>
        <v>0</v>
      </c>
      <c r="O184" s="905"/>
      <c r="Q184" s="317" t="str">
        <f t="shared" si="35"/>
        <v/>
      </c>
      <c r="R184" s="317" t="str">
        <f t="shared" si="36"/>
        <v/>
      </c>
      <c r="S184" s="317" t="str">
        <f t="shared" si="37"/>
        <v/>
      </c>
      <c r="V184" s="314">
        <f>SUM('RES. CENTRAL PARK:RUA_FINAL'!N184)</f>
        <v>0</v>
      </c>
      <c r="W184" s="315">
        <f t="shared" si="38"/>
        <v>0</v>
      </c>
    </row>
    <row r="185" spans="1:23" ht="15" hidden="1" customHeight="1" x14ac:dyDescent="0.2">
      <c r="A185" s="562" t="s">
        <v>830</v>
      </c>
      <c r="B185" s="895" t="s">
        <v>1658</v>
      </c>
      <c r="C185" s="896" t="s">
        <v>2241</v>
      </c>
      <c r="D185" s="906" t="s">
        <v>528</v>
      </c>
      <c r="E185" s="898">
        <f>DMT!$F$12</f>
        <v>0</v>
      </c>
      <c r="F185" s="899">
        <v>1.95</v>
      </c>
      <c r="G185" s="909">
        <f t="shared" si="48"/>
        <v>5.226</v>
      </c>
      <c r="H185" s="940">
        <v>67.75</v>
      </c>
      <c r="I185" s="901">
        <f>IF(ISBLANK(H185),"",SUM(G185:H185))</f>
        <v>72.975999999999999</v>
      </c>
      <c r="J185" s="902">
        <f t="shared" si="49"/>
        <v>87.62</v>
      </c>
      <c r="K185" s="903" t="s">
        <v>10</v>
      </c>
      <c r="L185" s="904">
        <f>ROUND(SUM('RES. CENTRAL PARK:RUA_FINAL'!L185),2)</f>
        <v>0</v>
      </c>
      <c r="M185" s="904">
        <f t="shared" si="33"/>
        <v>0</v>
      </c>
      <c r="N185" s="893">
        <f t="shared" si="34"/>
        <v>0</v>
      </c>
      <c r="O185" s="905"/>
      <c r="Q185" s="317" t="str">
        <f t="shared" si="35"/>
        <v/>
      </c>
      <c r="R185" s="317" t="str">
        <f t="shared" si="36"/>
        <v/>
      </c>
      <c r="S185" s="317" t="str">
        <f t="shared" si="37"/>
        <v/>
      </c>
      <c r="V185" s="314">
        <f>SUM('RES. CENTRAL PARK:RUA_FINAL'!N185)</f>
        <v>0</v>
      </c>
      <c r="W185" s="315">
        <f t="shared" si="38"/>
        <v>0</v>
      </c>
    </row>
    <row r="186" spans="1:23" ht="15" hidden="1" customHeight="1" x14ac:dyDescent="0.2">
      <c r="A186" s="562" t="s">
        <v>831</v>
      </c>
      <c r="B186" s="895" t="s">
        <v>1659</v>
      </c>
      <c r="C186" s="896" t="s">
        <v>2241</v>
      </c>
      <c r="D186" s="906" t="s">
        <v>2132</v>
      </c>
      <c r="E186" s="898">
        <f>DMT!$F$12</f>
        <v>0</v>
      </c>
      <c r="F186" s="899">
        <v>2.1</v>
      </c>
      <c r="G186" s="909">
        <f t="shared" si="48"/>
        <v>5.628000000000001</v>
      </c>
      <c r="H186" s="940">
        <v>31.47</v>
      </c>
      <c r="I186" s="901">
        <f>IF(ISBLANK(H186),"",SUM(G186:H186))</f>
        <v>37.097999999999999</v>
      </c>
      <c r="J186" s="902">
        <f t="shared" si="49"/>
        <v>44.54</v>
      </c>
      <c r="K186" s="903" t="s">
        <v>10</v>
      </c>
      <c r="L186" s="904">
        <f>ROUND(SUM('RES. CENTRAL PARK:RUA_FINAL'!L186),2)</f>
        <v>0</v>
      </c>
      <c r="M186" s="904">
        <f t="shared" si="33"/>
        <v>0</v>
      </c>
      <c r="N186" s="893">
        <f t="shared" si="34"/>
        <v>0</v>
      </c>
      <c r="O186" s="905"/>
      <c r="Q186" s="317" t="str">
        <f t="shared" si="35"/>
        <v/>
      </c>
      <c r="R186" s="317" t="str">
        <f t="shared" si="36"/>
        <v/>
      </c>
      <c r="S186" s="317" t="str">
        <f t="shared" si="37"/>
        <v/>
      </c>
      <c r="V186" s="314">
        <f>SUM('RES. CENTRAL PARK:RUA_FINAL'!N186)</f>
        <v>0</v>
      </c>
      <c r="W186" s="315">
        <f t="shared" si="38"/>
        <v>0</v>
      </c>
    </row>
    <row r="187" spans="1:23" ht="15" hidden="1" customHeight="1" x14ac:dyDescent="0.2">
      <c r="A187" s="562">
        <v>530200</v>
      </c>
      <c r="B187" s="895" t="s">
        <v>1746</v>
      </c>
      <c r="C187" s="896" t="s">
        <v>184</v>
      </c>
      <c r="D187" s="906" t="s">
        <v>452</v>
      </c>
      <c r="E187" s="898">
        <f>DMT!$F$9</f>
        <v>0.2</v>
      </c>
      <c r="F187" s="899">
        <v>2.2000000000000002</v>
      </c>
      <c r="G187" s="909">
        <f t="shared" si="48"/>
        <v>6.3668000000000005</v>
      </c>
      <c r="H187" s="901">
        <v>98.29</v>
      </c>
      <c r="I187" s="901">
        <f>IF(ISBLANK(H187),"",SUM(G187:H187))</f>
        <v>104.6568</v>
      </c>
      <c r="J187" s="902">
        <f t="shared" si="49"/>
        <v>125.66</v>
      </c>
      <c r="K187" s="903" t="s">
        <v>10</v>
      </c>
      <c r="L187" s="904">
        <f>ROUND(SUM('RES. CENTRAL PARK:RUA_FINAL'!L187),2)</f>
        <v>0</v>
      </c>
      <c r="M187" s="904">
        <f t="shared" si="33"/>
        <v>0</v>
      </c>
      <c r="N187" s="893">
        <f t="shared" si="34"/>
        <v>0</v>
      </c>
      <c r="O187" s="905"/>
      <c r="Q187" s="317" t="str">
        <f t="shared" si="35"/>
        <v/>
      </c>
      <c r="R187" s="317" t="str">
        <f t="shared" si="36"/>
        <v/>
      </c>
      <c r="S187" s="317" t="str">
        <f t="shared" si="37"/>
        <v/>
      </c>
      <c r="V187" s="314">
        <f>SUM('RES. CENTRAL PARK:RUA_FINAL'!N187)</f>
        <v>0</v>
      </c>
      <c r="W187" s="315">
        <f t="shared" si="38"/>
        <v>0</v>
      </c>
    </row>
    <row r="188" spans="1:23" ht="15" hidden="1" customHeight="1" x14ac:dyDescent="0.2">
      <c r="A188" s="562">
        <v>516200</v>
      </c>
      <c r="B188" s="895">
        <v>516200</v>
      </c>
      <c r="C188" s="896" t="s">
        <v>184</v>
      </c>
      <c r="D188" s="906" t="s">
        <v>206</v>
      </c>
      <c r="E188" s="898">
        <f>DMT!$F$14</f>
        <v>0</v>
      </c>
      <c r="F188" s="899">
        <v>1.95</v>
      </c>
      <c r="G188" s="909">
        <f t="shared" si="48"/>
        <v>5.226</v>
      </c>
      <c r="H188" s="901">
        <v>104.14</v>
      </c>
      <c r="I188" s="901">
        <f>IF(ISBLANK(H188),"",SUM(G188:H188))*0.85</f>
        <v>92.961100000000002</v>
      </c>
      <c r="J188" s="902">
        <f t="shared" si="49"/>
        <v>111.62</v>
      </c>
      <c r="K188" s="903" t="s">
        <v>10</v>
      </c>
      <c r="L188" s="904">
        <f>ROUND(SUM('RES. CENTRAL PARK:RUA_FINAL'!L188),2)</f>
        <v>0</v>
      </c>
      <c r="M188" s="904">
        <f t="shared" si="33"/>
        <v>0</v>
      </c>
      <c r="N188" s="893">
        <f t="shared" si="34"/>
        <v>0</v>
      </c>
      <c r="O188" s="905"/>
      <c r="Q188" s="317" t="str">
        <f t="shared" si="35"/>
        <v/>
      </c>
      <c r="R188" s="317" t="str">
        <f t="shared" si="36"/>
        <v/>
      </c>
      <c r="S188" s="317" t="str">
        <f t="shared" si="37"/>
        <v/>
      </c>
      <c r="V188" s="314">
        <f>SUM('RES. CENTRAL PARK:RUA_FINAL'!N188)</f>
        <v>0</v>
      </c>
      <c r="W188" s="315">
        <f t="shared" si="38"/>
        <v>0</v>
      </c>
    </row>
    <row r="189" spans="1:23" ht="15" hidden="1" customHeight="1" x14ac:dyDescent="0.2">
      <c r="A189" s="562">
        <v>531000</v>
      </c>
      <c r="B189" s="895" t="s">
        <v>1786</v>
      </c>
      <c r="C189" s="896" t="s">
        <v>184</v>
      </c>
      <c r="D189" s="906" t="s">
        <v>194</v>
      </c>
      <c r="E189" s="898">
        <f>DMT!$F$10</f>
        <v>0.2</v>
      </c>
      <c r="F189" s="908">
        <v>2.4</v>
      </c>
      <c r="G189" s="909">
        <f t="shared" si="48"/>
        <v>6.9455999999999998</v>
      </c>
      <c r="H189" s="901">
        <v>132.22999999999999</v>
      </c>
      <c r="I189" s="901">
        <f>IF(ISBLANK(H189),"",SUM(G189:H189))</f>
        <v>139.1756</v>
      </c>
      <c r="J189" s="902">
        <f t="shared" si="49"/>
        <v>167.11</v>
      </c>
      <c r="K189" s="903" t="s">
        <v>10</v>
      </c>
      <c r="L189" s="904">
        <f>ROUND(SUM('RES. CENTRAL PARK:RUA_FINAL'!L189),2)</f>
        <v>0</v>
      </c>
      <c r="M189" s="904">
        <f t="shared" si="33"/>
        <v>0</v>
      </c>
      <c r="N189" s="893">
        <f t="shared" si="34"/>
        <v>0</v>
      </c>
      <c r="O189" s="905"/>
      <c r="Q189" s="317" t="str">
        <f t="shared" si="35"/>
        <v/>
      </c>
      <c r="R189" s="317" t="str">
        <f t="shared" si="36"/>
        <v/>
      </c>
      <c r="S189" s="317" t="str">
        <f t="shared" si="37"/>
        <v/>
      </c>
      <c r="V189" s="314">
        <f>SUM('RES. CENTRAL PARK:RUA_FINAL'!N189)</f>
        <v>0</v>
      </c>
      <c r="W189" s="315">
        <f t="shared" si="38"/>
        <v>0</v>
      </c>
    </row>
    <row r="190" spans="1:23" ht="15" hidden="1" customHeight="1" x14ac:dyDescent="0.2">
      <c r="A190" s="562">
        <v>531120</v>
      </c>
      <c r="B190" s="895">
        <v>531120</v>
      </c>
      <c r="C190" s="896" t="s">
        <v>184</v>
      </c>
      <c r="D190" s="906" t="s">
        <v>200</v>
      </c>
      <c r="E190" s="898"/>
      <c r="F190" s="908"/>
      <c r="G190" s="953">
        <f>SUM(G191:G193)</f>
        <v>95.741760000000014</v>
      </c>
      <c r="H190" s="901">
        <v>186.24</v>
      </c>
      <c r="I190" s="901">
        <f>IF(ISBLANK(H190),"",SUM(G190:H190))*0.9</f>
        <v>253.78358400000002</v>
      </c>
      <c r="J190" s="902">
        <f t="shared" si="49"/>
        <v>304.72000000000003</v>
      </c>
      <c r="K190" s="903" t="s">
        <v>10</v>
      </c>
      <c r="L190" s="904">
        <f>ROUND(SUM('RES. CENTRAL PARK:RUA_FINAL'!L190),2)</f>
        <v>0</v>
      </c>
      <c r="M190" s="904">
        <f t="shared" si="33"/>
        <v>0</v>
      </c>
      <c r="N190" s="893">
        <f t="shared" si="34"/>
        <v>0</v>
      </c>
      <c r="O190" s="905"/>
      <c r="Q190" s="317" t="str">
        <f t="shared" si="35"/>
        <v/>
      </c>
      <c r="R190" s="317" t="str">
        <f t="shared" si="36"/>
        <v/>
      </c>
      <c r="S190" s="317" t="str">
        <f t="shared" si="37"/>
        <v/>
      </c>
      <c r="V190" s="314">
        <f>SUM('RES. CENTRAL PARK:RUA_FINAL'!N190)</f>
        <v>0</v>
      </c>
      <c r="W190" s="315">
        <f t="shared" si="38"/>
        <v>0</v>
      </c>
    </row>
    <row r="191" spans="1:23" ht="15" hidden="1" customHeight="1" x14ac:dyDescent="0.2">
      <c r="A191" s="562" t="s">
        <v>147</v>
      </c>
      <c r="B191" s="895" t="s">
        <v>147</v>
      </c>
      <c r="C191" s="896"/>
      <c r="D191" s="957" t="s">
        <v>190</v>
      </c>
      <c r="E191" s="898">
        <f>DMT!$D$51</f>
        <v>308</v>
      </c>
      <c r="F191" s="908">
        <v>9.6000000000000002E-2</v>
      </c>
      <c r="G191" s="909">
        <f>IF(E191&lt;=30,(0.78*E191+7.82)*F191,((0.78*30+7.82)+0.78*(E191-30))*F191)</f>
        <v>23.813760000000002</v>
      </c>
      <c r="H191" s="901">
        <v>0</v>
      </c>
      <c r="I191" s="901"/>
      <c r="J191" s="902">
        <f t="shared" si="49"/>
        <v>0</v>
      </c>
      <c r="K191" s="903" t="s">
        <v>507</v>
      </c>
      <c r="L191" s="959">
        <f>ROUND(SUM('RES. CENTRAL PARK:RUA_FINAL'!L191),2)</f>
        <v>0</v>
      </c>
      <c r="M191" s="960">
        <f t="shared" si="33"/>
        <v>0</v>
      </c>
      <c r="N191" s="893">
        <f t="shared" si="34"/>
        <v>0</v>
      </c>
      <c r="O191" s="905"/>
      <c r="P191" s="58" t="str">
        <f>IF(N190&gt;0,"xx",IF(N190&gt;0,"xy",""))</f>
        <v/>
      </c>
      <c r="Q191" s="317" t="str">
        <f t="shared" si="35"/>
        <v/>
      </c>
      <c r="R191" s="317" t="str">
        <f t="shared" si="36"/>
        <v/>
      </c>
      <c r="S191" s="317" t="str">
        <f t="shared" si="37"/>
        <v/>
      </c>
      <c r="V191" s="314">
        <f>SUM('RES. CENTRAL PARK:RUA_FINAL'!N191)</f>
        <v>0</v>
      </c>
      <c r="W191" s="315">
        <f t="shared" si="38"/>
        <v>0</v>
      </c>
    </row>
    <row r="192" spans="1:23" ht="15" hidden="1" customHeight="1" x14ac:dyDescent="0.2">
      <c r="A192" s="562" t="s">
        <v>147</v>
      </c>
      <c r="B192" s="895" t="s">
        <v>147</v>
      </c>
      <c r="C192" s="896"/>
      <c r="D192" s="957" t="s">
        <v>201</v>
      </c>
      <c r="E192" s="898"/>
      <c r="F192" s="908">
        <v>2.4</v>
      </c>
      <c r="G192" s="909">
        <f t="shared" ref="G192:G201" si="50">IF(E192&lt;=30,(1.07*E192+2.68)*F192,((1.07*30+2.68)+1.07*(E192-30))*F192)</f>
        <v>6.4320000000000004</v>
      </c>
      <c r="H192" s="901">
        <v>0</v>
      </c>
      <c r="I192" s="901"/>
      <c r="J192" s="902">
        <f t="shared" si="49"/>
        <v>0</v>
      </c>
      <c r="K192" s="903" t="s">
        <v>507</v>
      </c>
      <c r="L192" s="959">
        <f>ROUND(SUM('RES. CENTRAL PARK:RUA_FINAL'!L192),2)</f>
        <v>0</v>
      </c>
      <c r="M192" s="960">
        <f t="shared" si="33"/>
        <v>0</v>
      </c>
      <c r="N192" s="893">
        <f t="shared" si="34"/>
        <v>0</v>
      </c>
      <c r="O192" s="905"/>
      <c r="P192" s="58" t="str">
        <f>IF(N190&gt;0,"xx",IF(N190&gt;0,"xy",""))</f>
        <v/>
      </c>
      <c r="Q192" s="317" t="str">
        <f t="shared" si="35"/>
        <v/>
      </c>
      <c r="R192" s="317" t="str">
        <f t="shared" si="36"/>
        <v/>
      </c>
      <c r="S192" s="317" t="str">
        <f t="shared" si="37"/>
        <v/>
      </c>
      <c r="V192" s="314">
        <f>SUM('RES. CENTRAL PARK:RUA_FINAL'!N192)</f>
        <v>0</v>
      </c>
      <c r="W192" s="315">
        <f t="shared" si="38"/>
        <v>0</v>
      </c>
    </row>
    <row r="193" spans="1:23" ht="15" hidden="1" customHeight="1" x14ac:dyDescent="0.2">
      <c r="A193" s="562" t="s">
        <v>147</v>
      </c>
      <c r="B193" s="895" t="s">
        <v>147</v>
      </c>
      <c r="C193" s="896"/>
      <c r="D193" s="957" t="s">
        <v>202</v>
      </c>
      <c r="E193" s="898">
        <f>DMT!$F$26</f>
        <v>23</v>
      </c>
      <c r="F193" s="908">
        <v>2.4</v>
      </c>
      <c r="G193" s="909">
        <f t="shared" si="50"/>
        <v>65.496000000000009</v>
      </c>
      <c r="H193" s="901">
        <v>0</v>
      </c>
      <c r="I193" s="901"/>
      <c r="J193" s="902">
        <f t="shared" si="49"/>
        <v>0</v>
      </c>
      <c r="K193" s="903" t="s">
        <v>507</v>
      </c>
      <c r="L193" s="959">
        <f>ROUND(SUM('RES. CENTRAL PARK:RUA_FINAL'!L193),2)</f>
        <v>0</v>
      </c>
      <c r="M193" s="960">
        <f t="shared" si="33"/>
        <v>0</v>
      </c>
      <c r="N193" s="893">
        <f t="shared" si="34"/>
        <v>0</v>
      </c>
      <c r="O193" s="905"/>
      <c r="P193" s="58" t="str">
        <f>IF($N$142&gt;0,"xx",IF($N$142&gt;0,"xy",""))</f>
        <v/>
      </c>
      <c r="Q193" s="317" t="str">
        <f t="shared" si="35"/>
        <v/>
      </c>
      <c r="R193" s="317" t="str">
        <f t="shared" si="36"/>
        <v/>
      </c>
      <c r="S193" s="317" t="str">
        <f t="shared" si="37"/>
        <v/>
      </c>
      <c r="V193" s="314">
        <f>SUM('RES. CENTRAL PARK:RUA_FINAL'!N193)</f>
        <v>0</v>
      </c>
      <c r="W193" s="315">
        <f t="shared" si="38"/>
        <v>0</v>
      </c>
    </row>
    <row r="194" spans="1:23" ht="15" hidden="1" customHeight="1" x14ac:dyDescent="0.2">
      <c r="A194" s="562">
        <v>531350</v>
      </c>
      <c r="B194" s="895">
        <v>531350</v>
      </c>
      <c r="C194" s="896" t="s">
        <v>184</v>
      </c>
      <c r="D194" s="906" t="s">
        <v>195</v>
      </c>
      <c r="E194" s="898"/>
      <c r="F194" s="899"/>
      <c r="G194" s="953">
        <f>SUM(G195:G196)</f>
        <v>5.5859200000000007</v>
      </c>
      <c r="H194" s="901">
        <v>105.23</v>
      </c>
      <c r="I194" s="901">
        <f>IF(ISBLANK(H194),"",SUM(G194:H194))</f>
        <v>110.81592000000001</v>
      </c>
      <c r="J194" s="902">
        <f t="shared" si="49"/>
        <v>133.06</v>
      </c>
      <c r="K194" s="903" t="s">
        <v>10</v>
      </c>
      <c r="L194" s="904">
        <f>ROUND(SUM('RES. CENTRAL PARK:RUA_FINAL'!L194),2)</f>
        <v>0</v>
      </c>
      <c r="M194" s="904">
        <f t="shared" si="33"/>
        <v>0</v>
      </c>
      <c r="N194" s="893">
        <f t="shared" si="34"/>
        <v>0</v>
      </c>
      <c r="O194" s="905"/>
      <c r="Q194" s="317" t="str">
        <f t="shared" si="35"/>
        <v/>
      </c>
      <c r="R194" s="317" t="str">
        <f t="shared" si="36"/>
        <v/>
      </c>
      <c r="S194" s="317" t="str">
        <f t="shared" si="37"/>
        <v/>
      </c>
      <c r="V194" s="314">
        <f>SUM('RES. CENTRAL PARK:RUA_FINAL'!N194)</f>
        <v>0</v>
      </c>
      <c r="W194" s="315">
        <f t="shared" si="38"/>
        <v>0</v>
      </c>
    </row>
    <row r="195" spans="1:23" ht="15" hidden="1" customHeight="1" x14ac:dyDescent="0.2">
      <c r="A195" s="562" t="s">
        <v>147</v>
      </c>
      <c r="B195" s="895" t="s">
        <v>147</v>
      </c>
      <c r="C195" s="896"/>
      <c r="D195" s="957" t="s">
        <v>196</v>
      </c>
      <c r="E195" s="898">
        <f>DMT!$F$14</f>
        <v>0</v>
      </c>
      <c r="F195" s="899">
        <v>1.35</v>
      </c>
      <c r="G195" s="909">
        <f t="shared" si="50"/>
        <v>3.6180000000000003</v>
      </c>
      <c r="H195" s="901">
        <v>0</v>
      </c>
      <c r="I195" s="901"/>
      <c r="J195" s="902">
        <f t="shared" si="49"/>
        <v>0</v>
      </c>
      <c r="K195" s="903" t="s">
        <v>507</v>
      </c>
      <c r="L195" s="959">
        <f>ROUND(SUM('RES. CENTRAL PARK:RUA_FINAL'!L195),2)</f>
        <v>0</v>
      </c>
      <c r="M195" s="960">
        <f t="shared" si="33"/>
        <v>0</v>
      </c>
      <c r="N195" s="893">
        <f t="shared" si="34"/>
        <v>0</v>
      </c>
      <c r="O195" s="905"/>
      <c r="P195" s="58" t="str">
        <f>IF(N194&gt;0,"xx",IF(N194&gt;0,"xy",""))</f>
        <v/>
      </c>
      <c r="Q195" s="317" t="str">
        <f t="shared" si="35"/>
        <v/>
      </c>
      <c r="R195" s="317" t="str">
        <f t="shared" si="36"/>
        <v/>
      </c>
      <c r="S195" s="317" t="str">
        <f t="shared" si="37"/>
        <v/>
      </c>
      <c r="V195" s="314">
        <f>SUM('RES. CENTRAL PARK:RUA_FINAL'!N195)</f>
        <v>0</v>
      </c>
      <c r="W195" s="315">
        <f t="shared" si="38"/>
        <v>0</v>
      </c>
    </row>
    <row r="196" spans="1:23" ht="15" hidden="1" customHeight="1" x14ac:dyDescent="0.2">
      <c r="A196" s="562" t="s">
        <v>147</v>
      </c>
      <c r="B196" s="895" t="s">
        <v>147</v>
      </c>
      <c r="C196" s="896"/>
      <c r="D196" s="957" t="s">
        <v>197</v>
      </c>
      <c r="E196" s="898">
        <f>DMT!$F$9</f>
        <v>0.2</v>
      </c>
      <c r="F196" s="899">
        <v>0.68</v>
      </c>
      <c r="G196" s="909">
        <f t="shared" si="50"/>
        <v>1.9679200000000003</v>
      </c>
      <c r="H196" s="901">
        <v>0</v>
      </c>
      <c r="I196" s="901"/>
      <c r="J196" s="902">
        <f t="shared" si="49"/>
        <v>0</v>
      </c>
      <c r="K196" s="903" t="s">
        <v>507</v>
      </c>
      <c r="L196" s="959">
        <f>ROUND(SUM('RES. CENTRAL PARK:RUA_FINAL'!L196),2)</f>
        <v>0</v>
      </c>
      <c r="M196" s="960">
        <f t="shared" si="33"/>
        <v>0</v>
      </c>
      <c r="N196" s="893">
        <f t="shared" si="34"/>
        <v>0</v>
      </c>
      <c r="O196" s="905"/>
      <c r="P196" s="58" t="str">
        <f>IF(N194&gt;0,"xx",IF(N194&gt;0,"xy",""))</f>
        <v/>
      </c>
      <c r="Q196" s="317" t="str">
        <f t="shared" si="35"/>
        <v/>
      </c>
      <c r="R196" s="317" t="str">
        <f t="shared" si="36"/>
        <v/>
      </c>
      <c r="S196" s="317" t="str">
        <f t="shared" si="37"/>
        <v/>
      </c>
      <c r="V196" s="314">
        <f>SUM('RES. CENTRAL PARK:RUA_FINAL'!N196)</f>
        <v>0</v>
      </c>
      <c r="W196" s="315">
        <f t="shared" si="38"/>
        <v>0</v>
      </c>
    </row>
    <row r="197" spans="1:23" ht="15" hidden="1" customHeight="1" x14ac:dyDescent="0.2">
      <c r="A197" s="562">
        <v>531300</v>
      </c>
      <c r="B197" s="895">
        <v>531300</v>
      </c>
      <c r="C197" s="896" t="s">
        <v>184</v>
      </c>
      <c r="D197" s="906" t="s">
        <v>198</v>
      </c>
      <c r="E197" s="898"/>
      <c r="F197" s="899"/>
      <c r="G197" s="953">
        <f>SUM(G198:G199)</f>
        <v>5.5859200000000007</v>
      </c>
      <c r="H197" s="901">
        <v>108.49</v>
      </c>
      <c r="I197" s="901">
        <f>IF(ISBLANK(H197),"",SUM(G197:H197))</f>
        <v>114.07592</v>
      </c>
      <c r="J197" s="902">
        <f t="shared" si="49"/>
        <v>136.97</v>
      </c>
      <c r="K197" s="903" t="s">
        <v>10</v>
      </c>
      <c r="L197" s="904">
        <f>ROUND(SUM('RES. CENTRAL PARK:RUA_FINAL'!L197),2)</f>
        <v>0</v>
      </c>
      <c r="M197" s="904">
        <f t="shared" si="33"/>
        <v>0</v>
      </c>
      <c r="N197" s="893">
        <f t="shared" si="34"/>
        <v>0</v>
      </c>
      <c r="O197" s="905"/>
      <c r="Q197" s="317" t="str">
        <f t="shared" si="35"/>
        <v/>
      </c>
      <c r="R197" s="317" t="str">
        <f t="shared" si="36"/>
        <v/>
      </c>
      <c r="S197" s="317" t="str">
        <f t="shared" si="37"/>
        <v/>
      </c>
      <c r="V197" s="314">
        <f>SUM('RES. CENTRAL PARK:RUA_FINAL'!N197)</f>
        <v>0</v>
      </c>
      <c r="W197" s="315">
        <f t="shared" si="38"/>
        <v>0</v>
      </c>
    </row>
    <row r="198" spans="1:23" ht="15" hidden="1" customHeight="1" x14ac:dyDescent="0.2">
      <c r="A198" s="562" t="s">
        <v>147</v>
      </c>
      <c r="B198" s="895" t="s">
        <v>147</v>
      </c>
      <c r="C198" s="896"/>
      <c r="D198" s="957" t="s">
        <v>196</v>
      </c>
      <c r="E198" s="898">
        <f>DMT!$F$14</f>
        <v>0</v>
      </c>
      <c r="F198" s="899">
        <v>1.35</v>
      </c>
      <c r="G198" s="909">
        <f t="shared" si="50"/>
        <v>3.6180000000000003</v>
      </c>
      <c r="H198" s="901">
        <v>0</v>
      </c>
      <c r="I198" s="901"/>
      <c r="J198" s="902">
        <f t="shared" si="49"/>
        <v>0</v>
      </c>
      <c r="K198" s="903" t="s">
        <v>507</v>
      </c>
      <c r="L198" s="959">
        <f>ROUND(SUM('RES. CENTRAL PARK:RUA_FINAL'!L198),2)</f>
        <v>0</v>
      </c>
      <c r="M198" s="960">
        <f t="shared" si="33"/>
        <v>0</v>
      </c>
      <c r="N198" s="893">
        <f t="shared" si="34"/>
        <v>0</v>
      </c>
      <c r="O198" s="905"/>
      <c r="P198" s="58" t="str">
        <f>IF(N197&gt;0,"xx",IF(N197&gt;0,"xy",""))</f>
        <v/>
      </c>
      <c r="Q198" s="317" t="str">
        <f t="shared" si="35"/>
        <v/>
      </c>
      <c r="R198" s="317" t="str">
        <f t="shared" si="36"/>
        <v/>
      </c>
      <c r="S198" s="317" t="str">
        <f t="shared" si="37"/>
        <v/>
      </c>
      <c r="V198" s="314">
        <f>SUM('RES. CENTRAL PARK:RUA_FINAL'!N198)</f>
        <v>0</v>
      </c>
      <c r="W198" s="315">
        <f t="shared" si="38"/>
        <v>0</v>
      </c>
    </row>
    <row r="199" spans="1:23" ht="15" hidden="1" customHeight="1" x14ac:dyDescent="0.2">
      <c r="A199" s="562" t="s">
        <v>147</v>
      </c>
      <c r="B199" s="895" t="s">
        <v>147</v>
      </c>
      <c r="C199" s="896"/>
      <c r="D199" s="957" t="s">
        <v>197</v>
      </c>
      <c r="E199" s="898">
        <f>DMT!$F$9</f>
        <v>0.2</v>
      </c>
      <c r="F199" s="899">
        <v>0.68</v>
      </c>
      <c r="G199" s="909">
        <f t="shared" si="50"/>
        <v>1.9679200000000003</v>
      </c>
      <c r="H199" s="901">
        <v>0</v>
      </c>
      <c r="I199" s="901"/>
      <c r="J199" s="902">
        <f t="shared" si="49"/>
        <v>0</v>
      </c>
      <c r="K199" s="903" t="s">
        <v>507</v>
      </c>
      <c r="L199" s="959">
        <f>ROUND(SUM('RES. CENTRAL PARK:RUA_FINAL'!L199),2)</f>
        <v>0</v>
      </c>
      <c r="M199" s="960">
        <f t="shared" si="33"/>
        <v>0</v>
      </c>
      <c r="N199" s="893">
        <f t="shared" si="34"/>
        <v>0</v>
      </c>
      <c r="O199" s="905"/>
      <c r="P199" s="58" t="str">
        <f>IF(N197&gt;0,"xx",IF(N197&gt;0,"xy",""))</f>
        <v/>
      </c>
      <c r="Q199" s="317" t="str">
        <f t="shared" si="35"/>
        <v/>
      </c>
      <c r="R199" s="317" t="str">
        <f t="shared" si="36"/>
        <v/>
      </c>
      <c r="S199" s="317" t="str">
        <f t="shared" si="37"/>
        <v/>
      </c>
      <c r="V199" s="314">
        <f>SUM('RES. CENTRAL PARK:RUA_FINAL'!N199)</f>
        <v>0</v>
      </c>
      <c r="W199" s="315">
        <f t="shared" si="38"/>
        <v>0</v>
      </c>
    </row>
    <row r="200" spans="1:23" ht="15" hidden="1" customHeight="1" x14ac:dyDescent="0.2">
      <c r="A200" s="562">
        <v>532000</v>
      </c>
      <c r="B200" s="895">
        <v>532000</v>
      </c>
      <c r="C200" s="896" t="s">
        <v>184</v>
      </c>
      <c r="D200" s="906" t="s">
        <v>199</v>
      </c>
      <c r="E200" s="907">
        <f>DMT!$F$13</f>
        <v>0</v>
      </c>
      <c r="F200" s="908">
        <v>2.2000000000000002</v>
      </c>
      <c r="G200" s="909">
        <f t="shared" si="50"/>
        <v>5.8960000000000008</v>
      </c>
      <c r="H200" s="901">
        <v>121.99</v>
      </c>
      <c r="I200" s="901">
        <f>IF(ISBLANK(H200),"",SUM(G200:H200))</f>
        <v>127.886</v>
      </c>
      <c r="J200" s="902">
        <f t="shared" si="49"/>
        <v>153.55000000000001</v>
      </c>
      <c r="K200" s="903" t="s">
        <v>10</v>
      </c>
      <c r="L200" s="910">
        <f>ROUND(SUM('RES. CENTRAL PARK:RUA_FINAL'!L200),2)</f>
        <v>0</v>
      </c>
      <c r="M200" s="911">
        <f t="shared" si="33"/>
        <v>0</v>
      </c>
      <c r="N200" s="893">
        <f t="shared" si="34"/>
        <v>0</v>
      </c>
      <c r="O200" s="905"/>
      <c r="Q200" s="317" t="str">
        <f t="shared" si="35"/>
        <v/>
      </c>
      <c r="R200" s="317" t="str">
        <f t="shared" si="36"/>
        <v/>
      </c>
      <c r="S200" s="317" t="str">
        <f t="shared" si="37"/>
        <v/>
      </c>
      <c r="V200" s="314">
        <f>SUM('RES. CENTRAL PARK:RUA_FINAL'!N200)</f>
        <v>0</v>
      </c>
      <c r="W200" s="315">
        <f t="shared" si="38"/>
        <v>0</v>
      </c>
    </row>
    <row r="201" spans="1:23" ht="30.75" hidden="1" customHeight="1" x14ac:dyDescent="0.2">
      <c r="A201" s="562">
        <v>96398</v>
      </c>
      <c r="B201" s="895">
        <v>96398</v>
      </c>
      <c r="C201" s="896" t="s">
        <v>596</v>
      </c>
      <c r="D201" s="906" t="s">
        <v>1914</v>
      </c>
      <c r="E201" s="907">
        <f>DMT!$F$21</f>
        <v>0</v>
      </c>
      <c r="F201" s="908">
        <v>2.4</v>
      </c>
      <c r="G201" s="909">
        <f t="shared" si="50"/>
        <v>6.4320000000000004</v>
      </c>
      <c r="H201" s="901">
        <v>246.41</v>
      </c>
      <c r="I201" s="901">
        <f>IF(ISBLANK(H201),"",SUM(G201:H201))</f>
        <v>252.84199999999998</v>
      </c>
      <c r="J201" s="902">
        <f t="shared" si="49"/>
        <v>303.58999999999997</v>
      </c>
      <c r="K201" s="903" t="s">
        <v>10</v>
      </c>
      <c r="L201" s="910">
        <f>ROUND(SUM('RES. CENTRAL PARK:RUA_FINAL'!L201),2)</f>
        <v>0</v>
      </c>
      <c r="M201" s="911">
        <f t="shared" si="33"/>
        <v>0</v>
      </c>
      <c r="N201" s="893">
        <f t="shared" si="34"/>
        <v>0</v>
      </c>
      <c r="O201" s="905"/>
      <c r="Q201" s="317" t="str">
        <f t="shared" si="35"/>
        <v/>
      </c>
      <c r="R201" s="317" t="str">
        <f t="shared" si="36"/>
        <v/>
      </c>
      <c r="S201" s="317" t="str">
        <f t="shared" si="37"/>
        <v/>
      </c>
      <c r="V201" s="314">
        <f>SUM('RES. CENTRAL PARK:RUA_FINAL'!N201)</f>
        <v>0</v>
      </c>
      <c r="W201" s="315">
        <f t="shared" si="38"/>
        <v>0</v>
      </c>
    </row>
    <row r="202" spans="1:23" ht="15" hidden="1" customHeight="1" x14ac:dyDescent="0.2">
      <c r="A202" s="565" t="s">
        <v>165</v>
      </c>
      <c r="B202" s="913" t="s">
        <v>165</v>
      </c>
      <c r="C202" s="914"/>
      <c r="D202" s="915" t="s">
        <v>435</v>
      </c>
      <c r="E202" s="916"/>
      <c r="F202" s="917"/>
      <c r="G202" s="916"/>
      <c r="H202" s="919">
        <v>0</v>
      </c>
      <c r="I202" s="919"/>
      <c r="J202" s="919">
        <v>0</v>
      </c>
      <c r="K202" s="962" t="s">
        <v>507</v>
      </c>
      <c r="L202" s="921">
        <f>ROUND(SUM('RES. CENTRAL PARK:RUA_FINAL'!L202),2)</f>
        <v>0</v>
      </c>
      <c r="M202" s="922">
        <f t="shared" si="33"/>
        <v>0</v>
      </c>
      <c r="N202" s="923">
        <f t="shared" si="34"/>
        <v>0</v>
      </c>
      <c r="O202" s="905"/>
      <c r="P202" s="58" t="str">
        <f>IF(OR(SUM(N203:N227)&gt;0,SUM(N203:N227)&gt;0),"y","")</f>
        <v/>
      </c>
      <c r="Q202" s="317" t="str">
        <f t="shared" si="35"/>
        <v/>
      </c>
      <c r="R202" s="317" t="str">
        <f t="shared" si="36"/>
        <v/>
      </c>
      <c r="S202" s="317" t="str">
        <f t="shared" si="37"/>
        <v/>
      </c>
      <c r="V202" s="314">
        <f>SUM('RES. CENTRAL PARK:RUA_FINAL'!N202)</f>
        <v>0</v>
      </c>
      <c r="W202" s="315">
        <f t="shared" si="38"/>
        <v>0</v>
      </c>
    </row>
    <row r="203" spans="1:23" ht="15" hidden="1" customHeight="1" x14ac:dyDescent="0.2">
      <c r="A203" s="565" t="s">
        <v>165</v>
      </c>
      <c r="B203" s="924" t="s">
        <v>165</v>
      </c>
      <c r="C203" s="925" t="s">
        <v>165</v>
      </c>
      <c r="D203" s="926"/>
      <c r="E203" s="927"/>
      <c r="F203" s="928"/>
      <c r="G203" s="929"/>
      <c r="H203" s="930">
        <v>0</v>
      </c>
      <c r="I203" s="901">
        <f t="shared" ref="I203:I227" si="51">IF(ISBLANK(H203),"",SUM(G203:H203))</f>
        <v>0</v>
      </c>
      <c r="J203" s="902">
        <f t="shared" ref="J203:J227" si="52">IF(ISBLANK(H203),0,ROUND(I203*(1+$E$10),2))</f>
        <v>0</v>
      </c>
      <c r="K203" s="928" t="s">
        <v>507</v>
      </c>
      <c r="L203" s="910">
        <f>ROUND(SUM('RES. CENTRAL PARK:RUA_FINAL'!L203),2)</f>
        <v>0</v>
      </c>
      <c r="M203" s="911">
        <f t="shared" si="33"/>
        <v>0</v>
      </c>
      <c r="N203" s="893">
        <f t="shared" si="34"/>
        <v>0</v>
      </c>
      <c r="O203" s="905"/>
      <c r="Q203" s="317" t="str">
        <f t="shared" si="35"/>
        <v/>
      </c>
      <c r="R203" s="317" t="str">
        <f t="shared" si="36"/>
        <v/>
      </c>
      <c r="S203" s="317" t="str">
        <f t="shared" si="37"/>
        <v/>
      </c>
      <c r="V203" s="314">
        <f>SUM('RES. CENTRAL PARK:RUA_FINAL'!N203)</f>
        <v>0</v>
      </c>
      <c r="W203" s="315">
        <f t="shared" si="38"/>
        <v>0</v>
      </c>
    </row>
    <row r="204" spans="1:23" ht="15" hidden="1" customHeight="1" x14ac:dyDescent="0.2">
      <c r="A204" s="565" t="s">
        <v>165</v>
      </c>
      <c r="B204" s="924" t="s">
        <v>165</v>
      </c>
      <c r="C204" s="925" t="s">
        <v>165</v>
      </c>
      <c r="D204" s="926"/>
      <c r="E204" s="927"/>
      <c r="F204" s="928"/>
      <c r="G204" s="929"/>
      <c r="H204" s="930">
        <v>0</v>
      </c>
      <c r="I204" s="901">
        <f t="shared" si="51"/>
        <v>0</v>
      </c>
      <c r="J204" s="902">
        <f t="shared" si="52"/>
        <v>0</v>
      </c>
      <c r="K204" s="928" t="s">
        <v>507</v>
      </c>
      <c r="L204" s="904">
        <f>ROUND(SUM('RES. CENTRAL PARK:RUA_FINAL'!L204),2)</f>
        <v>0</v>
      </c>
      <c r="M204" s="904">
        <f t="shared" si="33"/>
        <v>0</v>
      </c>
      <c r="N204" s="932">
        <f t="shared" si="34"/>
        <v>0</v>
      </c>
      <c r="O204" s="905"/>
      <c r="Q204" s="317" t="str">
        <f t="shared" si="35"/>
        <v/>
      </c>
      <c r="R204" s="317" t="str">
        <f t="shared" si="36"/>
        <v/>
      </c>
      <c r="S204" s="317" t="str">
        <f t="shared" si="37"/>
        <v/>
      </c>
      <c r="V204" s="314">
        <f>SUM('RES. CENTRAL PARK:RUA_FINAL'!N204)</f>
        <v>0</v>
      </c>
      <c r="W204" s="315">
        <f t="shared" si="38"/>
        <v>0</v>
      </c>
    </row>
    <row r="205" spans="1:23" ht="15" hidden="1" customHeight="1" x14ac:dyDescent="0.2">
      <c r="A205" s="565" t="s">
        <v>165</v>
      </c>
      <c r="B205" s="924" t="s">
        <v>165</v>
      </c>
      <c r="C205" s="925" t="s">
        <v>165</v>
      </c>
      <c r="D205" s="926"/>
      <c r="E205" s="927"/>
      <c r="F205" s="928"/>
      <c r="G205" s="929"/>
      <c r="H205" s="930">
        <v>0</v>
      </c>
      <c r="I205" s="901">
        <f t="shared" si="51"/>
        <v>0</v>
      </c>
      <c r="J205" s="902">
        <f t="shared" si="52"/>
        <v>0</v>
      </c>
      <c r="K205" s="928" t="s">
        <v>507</v>
      </c>
      <c r="L205" s="904">
        <f>ROUND(SUM('RES. CENTRAL PARK:RUA_FINAL'!L205),2)</f>
        <v>0</v>
      </c>
      <c r="M205" s="904">
        <f t="shared" si="33"/>
        <v>0</v>
      </c>
      <c r="N205" s="893">
        <f t="shared" si="34"/>
        <v>0</v>
      </c>
      <c r="O205" s="905"/>
      <c r="Q205" s="317" t="str">
        <f t="shared" si="35"/>
        <v/>
      </c>
      <c r="R205" s="317" t="str">
        <f t="shared" si="36"/>
        <v/>
      </c>
      <c r="S205" s="317" t="str">
        <f t="shared" si="37"/>
        <v/>
      </c>
      <c r="V205" s="314">
        <f>SUM('RES. CENTRAL PARK:RUA_FINAL'!N205)</f>
        <v>0</v>
      </c>
      <c r="W205" s="315">
        <f t="shared" si="38"/>
        <v>0</v>
      </c>
    </row>
    <row r="206" spans="1:23" ht="15" hidden="1" customHeight="1" x14ac:dyDescent="0.2">
      <c r="A206" s="565" t="s">
        <v>165</v>
      </c>
      <c r="B206" s="924" t="s">
        <v>165</v>
      </c>
      <c r="C206" s="925" t="s">
        <v>165</v>
      </c>
      <c r="D206" s="926"/>
      <c r="E206" s="927"/>
      <c r="F206" s="928"/>
      <c r="G206" s="929"/>
      <c r="H206" s="930">
        <v>0</v>
      </c>
      <c r="I206" s="901">
        <f t="shared" si="51"/>
        <v>0</v>
      </c>
      <c r="J206" s="902">
        <f t="shared" si="52"/>
        <v>0</v>
      </c>
      <c r="K206" s="928" t="s">
        <v>507</v>
      </c>
      <c r="L206" s="904">
        <f>ROUND(SUM('RES. CENTRAL PARK:RUA_FINAL'!L206),2)</f>
        <v>0</v>
      </c>
      <c r="M206" s="904">
        <f t="shared" si="33"/>
        <v>0</v>
      </c>
      <c r="N206" s="893">
        <f t="shared" si="34"/>
        <v>0</v>
      </c>
      <c r="O206" s="905"/>
      <c r="Q206" s="317" t="str">
        <f t="shared" si="35"/>
        <v/>
      </c>
      <c r="R206" s="317" t="str">
        <f t="shared" si="36"/>
        <v/>
      </c>
      <c r="S206" s="317" t="str">
        <f t="shared" si="37"/>
        <v/>
      </c>
      <c r="V206" s="314">
        <f>SUM('RES. CENTRAL PARK:RUA_FINAL'!N206)</f>
        <v>0</v>
      </c>
      <c r="W206" s="315">
        <f t="shared" si="38"/>
        <v>0</v>
      </c>
    </row>
    <row r="207" spans="1:23" ht="15" hidden="1" customHeight="1" x14ac:dyDescent="0.2">
      <c r="A207" s="565" t="s">
        <v>165</v>
      </c>
      <c r="B207" s="924" t="s">
        <v>165</v>
      </c>
      <c r="C207" s="925" t="s">
        <v>165</v>
      </c>
      <c r="D207" s="926"/>
      <c r="E207" s="927"/>
      <c r="F207" s="928"/>
      <c r="G207" s="929"/>
      <c r="H207" s="930">
        <v>0</v>
      </c>
      <c r="I207" s="901">
        <f t="shared" si="51"/>
        <v>0</v>
      </c>
      <c r="J207" s="902">
        <f t="shared" si="52"/>
        <v>0</v>
      </c>
      <c r="K207" s="928" t="s">
        <v>507</v>
      </c>
      <c r="L207" s="904">
        <f>ROUND(SUM('RES. CENTRAL PARK:RUA_FINAL'!L207),2)</f>
        <v>0</v>
      </c>
      <c r="M207" s="904">
        <f t="shared" si="33"/>
        <v>0</v>
      </c>
      <c r="N207" s="893">
        <f t="shared" si="34"/>
        <v>0</v>
      </c>
      <c r="O207" s="905"/>
      <c r="Q207" s="317" t="str">
        <f t="shared" si="35"/>
        <v/>
      </c>
      <c r="R207" s="317" t="str">
        <f t="shared" si="36"/>
        <v/>
      </c>
      <c r="S207" s="317" t="str">
        <f t="shared" si="37"/>
        <v/>
      </c>
      <c r="V207" s="314">
        <f>SUM('RES. CENTRAL PARK:RUA_FINAL'!N207)</f>
        <v>0</v>
      </c>
      <c r="W207" s="315">
        <f t="shared" si="38"/>
        <v>0</v>
      </c>
    </row>
    <row r="208" spans="1:23" ht="15" hidden="1" customHeight="1" x14ac:dyDescent="0.2">
      <c r="A208" s="565" t="s">
        <v>165</v>
      </c>
      <c r="B208" s="924" t="s">
        <v>165</v>
      </c>
      <c r="C208" s="925" t="s">
        <v>165</v>
      </c>
      <c r="D208" s="926"/>
      <c r="E208" s="927"/>
      <c r="F208" s="928"/>
      <c r="G208" s="929"/>
      <c r="H208" s="930">
        <v>0</v>
      </c>
      <c r="I208" s="901">
        <f t="shared" si="51"/>
        <v>0</v>
      </c>
      <c r="J208" s="902">
        <f t="shared" si="52"/>
        <v>0</v>
      </c>
      <c r="K208" s="928" t="s">
        <v>507</v>
      </c>
      <c r="L208" s="904">
        <f>ROUND(SUM('RES. CENTRAL PARK:RUA_FINAL'!L208),2)</f>
        <v>0</v>
      </c>
      <c r="M208" s="904">
        <f t="shared" si="33"/>
        <v>0</v>
      </c>
      <c r="N208" s="893">
        <f t="shared" si="34"/>
        <v>0</v>
      </c>
      <c r="O208" s="905"/>
      <c r="Q208" s="317" t="str">
        <f t="shared" si="35"/>
        <v/>
      </c>
      <c r="R208" s="317" t="str">
        <f t="shared" si="36"/>
        <v/>
      </c>
      <c r="S208" s="317" t="str">
        <f t="shared" si="37"/>
        <v/>
      </c>
      <c r="V208" s="314">
        <f>SUM('RES. CENTRAL PARK:RUA_FINAL'!N208)</f>
        <v>0</v>
      </c>
      <c r="W208" s="315">
        <f t="shared" si="38"/>
        <v>0</v>
      </c>
    </row>
    <row r="209" spans="1:23" ht="15" hidden="1" customHeight="1" x14ac:dyDescent="0.2">
      <c r="A209" s="565" t="s">
        <v>165</v>
      </c>
      <c r="B209" s="924" t="s">
        <v>165</v>
      </c>
      <c r="C209" s="925" t="s">
        <v>165</v>
      </c>
      <c r="D209" s="926"/>
      <c r="E209" s="927"/>
      <c r="F209" s="928"/>
      <c r="G209" s="929"/>
      <c r="H209" s="930">
        <v>0</v>
      </c>
      <c r="I209" s="901">
        <f t="shared" si="51"/>
        <v>0</v>
      </c>
      <c r="J209" s="902">
        <f t="shared" si="52"/>
        <v>0</v>
      </c>
      <c r="K209" s="928" t="s">
        <v>507</v>
      </c>
      <c r="L209" s="904">
        <f>ROUND(SUM('RES. CENTRAL PARK:RUA_FINAL'!L209),2)</f>
        <v>0</v>
      </c>
      <c r="M209" s="904">
        <f t="shared" si="33"/>
        <v>0</v>
      </c>
      <c r="N209" s="893">
        <f t="shared" si="34"/>
        <v>0</v>
      </c>
      <c r="O209" s="905"/>
      <c r="Q209" s="317" t="str">
        <f t="shared" si="35"/>
        <v/>
      </c>
      <c r="R209" s="317" t="str">
        <f t="shared" si="36"/>
        <v/>
      </c>
      <c r="S209" s="317" t="str">
        <f t="shared" si="37"/>
        <v/>
      </c>
      <c r="V209" s="314">
        <f>SUM('RES. CENTRAL PARK:RUA_FINAL'!N209)</f>
        <v>0</v>
      </c>
      <c r="W209" s="315">
        <f t="shared" si="38"/>
        <v>0</v>
      </c>
    </row>
    <row r="210" spans="1:23" ht="15" hidden="1" customHeight="1" x14ac:dyDescent="0.2">
      <c r="A210" s="565" t="s">
        <v>165</v>
      </c>
      <c r="B210" s="924" t="s">
        <v>165</v>
      </c>
      <c r="C210" s="925" t="s">
        <v>165</v>
      </c>
      <c r="D210" s="926"/>
      <c r="E210" s="927"/>
      <c r="F210" s="928"/>
      <c r="G210" s="929"/>
      <c r="H210" s="930">
        <v>0</v>
      </c>
      <c r="I210" s="901">
        <f t="shared" si="51"/>
        <v>0</v>
      </c>
      <c r="J210" s="902">
        <f t="shared" si="52"/>
        <v>0</v>
      </c>
      <c r="K210" s="928" t="s">
        <v>507</v>
      </c>
      <c r="L210" s="904">
        <f>ROUND(SUM('RES. CENTRAL PARK:RUA_FINAL'!L210),2)</f>
        <v>0</v>
      </c>
      <c r="M210" s="904">
        <f t="shared" si="33"/>
        <v>0</v>
      </c>
      <c r="N210" s="893">
        <f t="shared" si="34"/>
        <v>0</v>
      </c>
      <c r="O210" s="905"/>
      <c r="Q210" s="317" t="str">
        <f t="shared" si="35"/>
        <v/>
      </c>
      <c r="R210" s="317" t="str">
        <f t="shared" si="36"/>
        <v/>
      </c>
      <c r="S210" s="317" t="str">
        <f t="shared" si="37"/>
        <v/>
      </c>
      <c r="V210" s="314">
        <f>SUM('RES. CENTRAL PARK:RUA_FINAL'!N210)</f>
        <v>0</v>
      </c>
      <c r="W210" s="315">
        <f t="shared" si="38"/>
        <v>0</v>
      </c>
    </row>
    <row r="211" spans="1:23" ht="15" hidden="1" customHeight="1" x14ac:dyDescent="0.2">
      <c r="A211" s="565" t="s">
        <v>165</v>
      </c>
      <c r="B211" s="924" t="s">
        <v>165</v>
      </c>
      <c r="C211" s="925" t="s">
        <v>165</v>
      </c>
      <c r="D211" s="926"/>
      <c r="E211" s="927"/>
      <c r="F211" s="928"/>
      <c r="G211" s="929"/>
      <c r="H211" s="930">
        <v>0</v>
      </c>
      <c r="I211" s="901">
        <f t="shared" si="51"/>
        <v>0</v>
      </c>
      <c r="J211" s="902">
        <f t="shared" si="52"/>
        <v>0</v>
      </c>
      <c r="K211" s="928" t="s">
        <v>507</v>
      </c>
      <c r="L211" s="904">
        <f>ROUND(SUM('RES. CENTRAL PARK:RUA_FINAL'!L211),2)</f>
        <v>0</v>
      </c>
      <c r="M211" s="904">
        <f t="shared" si="33"/>
        <v>0</v>
      </c>
      <c r="N211" s="893">
        <f t="shared" si="34"/>
        <v>0</v>
      </c>
      <c r="O211" s="905"/>
      <c r="Q211" s="317" t="str">
        <f t="shared" si="35"/>
        <v/>
      </c>
      <c r="R211" s="317" t="str">
        <f t="shared" si="36"/>
        <v/>
      </c>
      <c r="S211" s="317" t="str">
        <f t="shared" si="37"/>
        <v/>
      </c>
      <c r="V211" s="314">
        <f>SUM('RES. CENTRAL PARK:RUA_FINAL'!N211)</f>
        <v>0</v>
      </c>
      <c r="W211" s="315">
        <f t="shared" si="38"/>
        <v>0</v>
      </c>
    </row>
    <row r="212" spans="1:23" ht="15" hidden="1" customHeight="1" x14ac:dyDescent="0.2">
      <c r="A212" s="565" t="s">
        <v>165</v>
      </c>
      <c r="B212" s="924" t="s">
        <v>165</v>
      </c>
      <c r="C212" s="925" t="s">
        <v>165</v>
      </c>
      <c r="D212" s="926"/>
      <c r="E212" s="927"/>
      <c r="F212" s="928"/>
      <c r="G212" s="929"/>
      <c r="H212" s="930">
        <v>0</v>
      </c>
      <c r="I212" s="901">
        <f t="shared" si="51"/>
        <v>0</v>
      </c>
      <c r="J212" s="902">
        <f t="shared" si="52"/>
        <v>0</v>
      </c>
      <c r="K212" s="928" t="s">
        <v>507</v>
      </c>
      <c r="L212" s="904">
        <f>ROUND(SUM('RES. CENTRAL PARK:RUA_FINAL'!L212),2)</f>
        <v>0</v>
      </c>
      <c r="M212" s="904">
        <f t="shared" ref="M212:M275" si="53">IF(L212=0,0,ROUND(J212,2))</f>
        <v>0</v>
      </c>
      <c r="N212" s="893">
        <f t="shared" ref="N212:N275" si="54">IF(ISBLANK(L212),0,ROUND(L212*M212,2))</f>
        <v>0</v>
      </c>
      <c r="O212" s="905"/>
      <c r="Q212" s="317" t="str">
        <f t="shared" ref="Q212:Q275" si="55">IF(P212="X","x",IF(P212="xx","x",IF(P212="xy","x",IF(P212="y","x",IF(OR(N212&gt;0,N212&gt;0),"x","")))))</f>
        <v/>
      </c>
      <c r="R212" s="317" t="str">
        <f t="shared" ref="R212:R275" si="56">IF(P212="X","x",IF(P212="y","x",IF(P212="xx","x",IF(N212&gt;0,"x",""))))</f>
        <v/>
      </c>
      <c r="S212" s="317" t="str">
        <f t="shared" ref="S212:S275" si="57">IF(P212="X","x",IF(N212&gt;0,"x",""))</f>
        <v/>
      </c>
      <c r="V212" s="314">
        <f>SUM('RES. CENTRAL PARK:RUA_FINAL'!N212)</f>
        <v>0</v>
      </c>
      <c r="W212" s="315">
        <f t="shared" si="38"/>
        <v>0</v>
      </c>
    </row>
    <row r="213" spans="1:23" ht="15" hidden="1" customHeight="1" x14ac:dyDescent="0.2">
      <c r="A213" s="565" t="s">
        <v>165</v>
      </c>
      <c r="B213" s="924" t="s">
        <v>165</v>
      </c>
      <c r="C213" s="925" t="s">
        <v>165</v>
      </c>
      <c r="D213" s="926"/>
      <c r="E213" s="927"/>
      <c r="F213" s="928"/>
      <c r="G213" s="929"/>
      <c r="H213" s="930">
        <v>0</v>
      </c>
      <c r="I213" s="901">
        <f t="shared" si="51"/>
        <v>0</v>
      </c>
      <c r="J213" s="902">
        <f t="shared" si="52"/>
        <v>0</v>
      </c>
      <c r="K213" s="928" t="s">
        <v>507</v>
      </c>
      <c r="L213" s="904">
        <f>ROUND(SUM('RES. CENTRAL PARK:RUA_FINAL'!L213),2)</f>
        <v>0</v>
      </c>
      <c r="M213" s="904">
        <f t="shared" si="53"/>
        <v>0</v>
      </c>
      <c r="N213" s="893">
        <f t="shared" si="54"/>
        <v>0</v>
      </c>
      <c r="O213" s="905"/>
      <c r="Q213" s="317" t="str">
        <f t="shared" si="55"/>
        <v/>
      </c>
      <c r="R213" s="317" t="str">
        <f t="shared" si="56"/>
        <v/>
      </c>
      <c r="S213" s="317" t="str">
        <f t="shared" si="57"/>
        <v/>
      </c>
      <c r="V213" s="314">
        <f>SUM('RES. CENTRAL PARK:RUA_FINAL'!N213)</f>
        <v>0</v>
      </c>
      <c r="W213" s="315">
        <f t="shared" ref="W213:W276" si="58">N213-V213</f>
        <v>0</v>
      </c>
    </row>
    <row r="214" spans="1:23" ht="15" hidden="1" customHeight="1" x14ac:dyDescent="0.2">
      <c r="A214" s="565" t="s">
        <v>165</v>
      </c>
      <c r="B214" s="924" t="s">
        <v>165</v>
      </c>
      <c r="C214" s="925" t="s">
        <v>165</v>
      </c>
      <c r="D214" s="926"/>
      <c r="E214" s="927"/>
      <c r="F214" s="928"/>
      <c r="G214" s="929"/>
      <c r="H214" s="930">
        <v>0</v>
      </c>
      <c r="I214" s="901">
        <f t="shared" si="51"/>
        <v>0</v>
      </c>
      <c r="J214" s="902">
        <f t="shared" si="52"/>
        <v>0</v>
      </c>
      <c r="K214" s="928" t="s">
        <v>507</v>
      </c>
      <c r="L214" s="904">
        <f>ROUND(SUM('RES. CENTRAL PARK:RUA_FINAL'!L214),2)</f>
        <v>0</v>
      </c>
      <c r="M214" s="904">
        <f t="shared" si="53"/>
        <v>0</v>
      </c>
      <c r="N214" s="893">
        <f t="shared" si="54"/>
        <v>0</v>
      </c>
      <c r="O214" s="905"/>
      <c r="Q214" s="317" t="str">
        <f t="shared" si="55"/>
        <v/>
      </c>
      <c r="R214" s="317" t="str">
        <f t="shared" si="56"/>
        <v/>
      </c>
      <c r="S214" s="317" t="str">
        <f t="shared" si="57"/>
        <v/>
      </c>
      <c r="V214" s="314">
        <f>SUM('RES. CENTRAL PARK:RUA_FINAL'!N214)</f>
        <v>0</v>
      </c>
      <c r="W214" s="315">
        <f t="shared" si="58"/>
        <v>0</v>
      </c>
    </row>
    <row r="215" spans="1:23" ht="15" hidden="1" customHeight="1" x14ac:dyDescent="0.2">
      <c r="A215" s="565" t="s">
        <v>165</v>
      </c>
      <c r="B215" s="924" t="s">
        <v>165</v>
      </c>
      <c r="C215" s="925" t="s">
        <v>165</v>
      </c>
      <c r="D215" s="926"/>
      <c r="E215" s="927"/>
      <c r="F215" s="928"/>
      <c r="G215" s="929"/>
      <c r="H215" s="930">
        <v>0</v>
      </c>
      <c r="I215" s="901">
        <f t="shared" si="51"/>
        <v>0</v>
      </c>
      <c r="J215" s="902">
        <f t="shared" si="52"/>
        <v>0</v>
      </c>
      <c r="K215" s="928" t="s">
        <v>507</v>
      </c>
      <c r="L215" s="904">
        <f>ROUND(SUM('RES. CENTRAL PARK:RUA_FINAL'!L215),2)</f>
        <v>0</v>
      </c>
      <c r="M215" s="904">
        <f t="shared" si="53"/>
        <v>0</v>
      </c>
      <c r="N215" s="893">
        <f t="shared" si="54"/>
        <v>0</v>
      </c>
      <c r="O215" s="905"/>
      <c r="Q215" s="317" t="str">
        <f t="shared" si="55"/>
        <v/>
      </c>
      <c r="R215" s="317" t="str">
        <f t="shared" si="56"/>
        <v/>
      </c>
      <c r="S215" s="317" t="str">
        <f t="shared" si="57"/>
        <v/>
      </c>
      <c r="V215" s="314">
        <f>SUM('RES. CENTRAL PARK:RUA_FINAL'!N215)</f>
        <v>0</v>
      </c>
      <c r="W215" s="315">
        <f t="shared" si="58"/>
        <v>0</v>
      </c>
    </row>
    <row r="216" spans="1:23" ht="15" hidden="1" customHeight="1" x14ac:dyDescent="0.2">
      <c r="A216" s="565" t="s">
        <v>165</v>
      </c>
      <c r="B216" s="924" t="s">
        <v>165</v>
      </c>
      <c r="C216" s="925" t="s">
        <v>165</v>
      </c>
      <c r="D216" s="926"/>
      <c r="E216" s="927"/>
      <c r="F216" s="928"/>
      <c r="G216" s="929"/>
      <c r="H216" s="930">
        <v>0</v>
      </c>
      <c r="I216" s="901">
        <f t="shared" si="51"/>
        <v>0</v>
      </c>
      <c r="J216" s="902">
        <f t="shared" si="52"/>
        <v>0</v>
      </c>
      <c r="K216" s="928" t="s">
        <v>507</v>
      </c>
      <c r="L216" s="904">
        <f>ROUND(SUM('RES. CENTRAL PARK:RUA_FINAL'!L216),2)</f>
        <v>0</v>
      </c>
      <c r="M216" s="904">
        <f t="shared" si="53"/>
        <v>0</v>
      </c>
      <c r="N216" s="893">
        <f t="shared" si="54"/>
        <v>0</v>
      </c>
      <c r="O216" s="905"/>
      <c r="Q216" s="317" t="str">
        <f t="shared" si="55"/>
        <v/>
      </c>
      <c r="R216" s="317" t="str">
        <f t="shared" si="56"/>
        <v/>
      </c>
      <c r="S216" s="317" t="str">
        <f t="shared" si="57"/>
        <v/>
      </c>
      <c r="V216" s="314">
        <f>SUM('RES. CENTRAL PARK:RUA_FINAL'!N216)</f>
        <v>0</v>
      </c>
      <c r="W216" s="315">
        <f t="shared" si="58"/>
        <v>0</v>
      </c>
    </row>
    <row r="217" spans="1:23" ht="15" hidden="1" customHeight="1" x14ac:dyDescent="0.2">
      <c r="A217" s="565" t="s">
        <v>165</v>
      </c>
      <c r="B217" s="924" t="s">
        <v>165</v>
      </c>
      <c r="C217" s="925" t="s">
        <v>165</v>
      </c>
      <c r="D217" s="926"/>
      <c r="E217" s="927"/>
      <c r="F217" s="928"/>
      <c r="G217" s="929"/>
      <c r="H217" s="930">
        <v>0</v>
      </c>
      <c r="I217" s="901">
        <f t="shared" si="51"/>
        <v>0</v>
      </c>
      <c r="J217" s="902">
        <f t="shared" si="52"/>
        <v>0</v>
      </c>
      <c r="K217" s="928" t="s">
        <v>507</v>
      </c>
      <c r="L217" s="904">
        <f>ROUND(SUM('RES. CENTRAL PARK:RUA_FINAL'!L217),2)</f>
        <v>0</v>
      </c>
      <c r="M217" s="904">
        <f t="shared" si="53"/>
        <v>0</v>
      </c>
      <c r="N217" s="893">
        <f t="shared" si="54"/>
        <v>0</v>
      </c>
      <c r="O217" s="905"/>
      <c r="Q217" s="317" t="str">
        <f t="shared" si="55"/>
        <v/>
      </c>
      <c r="R217" s="317" t="str">
        <f t="shared" si="56"/>
        <v/>
      </c>
      <c r="S217" s="317" t="str">
        <f t="shared" si="57"/>
        <v/>
      </c>
      <c r="V217" s="314">
        <f>SUM('RES. CENTRAL PARK:RUA_FINAL'!N217)</f>
        <v>0</v>
      </c>
      <c r="W217" s="315">
        <f t="shared" si="58"/>
        <v>0</v>
      </c>
    </row>
    <row r="218" spans="1:23" ht="15" hidden="1" customHeight="1" x14ac:dyDescent="0.2">
      <c r="A218" s="565" t="s">
        <v>165</v>
      </c>
      <c r="B218" s="924" t="s">
        <v>165</v>
      </c>
      <c r="C218" s="925" t="s">
        <v>165</v>
      </c>
      <c r="D218" s="926"/>
      <c r="E218" s="927"/>
      <c r="F218" s="928"/>
      <c r="G218" s="929"/>
      <c r="H218" s="930">
        <v>0</v>
      </c>
      <c r="I218" s="901">
        <f t="shared" si="51"/>
        <v>0</v>
      </c>
      <c r="J218" s="902">
        <f t="shared" si="52"/>
        <v>0</v>
      </c>
      <c r="K218" s="928" t="s">
        <v>507</v>
      </c>
      <c r="L218" s="904">
        <f>ROUND(SUM('RES. CENTRAL PARK:RUA_FINAL'!L218),2)</f>
        <v>0</v>
      </c>
      <c r="M218" s="904">
        <f t="shared" si="53"/>
        <v>0</v>
      </c>
      <c r="N218" s="893">
        <f t="shared" si="54"/>
        <v>0</v>
      </c>
      <c r="O218" s="905"/>
      <c r="Q218" s="317" t="str">
        <f t="shared" si="55"/>
        <v/>
      </c>
      <c r="R218" s="317" t="str">
        <f t="shared" si="56"/>
        <v/>
      </c>
      <c r="S218" s="317" t="str">
        <f t="shared" si="57"/>
        <v/>
      </c>
      <c r="V218" s="314">
        <f>SUM('RES. CENTRAL PARK:RUA_FINAL'!N218)</f>
        <v>0</v>
      </c>
      <c r="W218" s="315">
        <f t="shared" si="58"/>
        <v>0</v>
      </c>
    </row>
    <row r="219" spans="1:23" ht="15" hidden="1" customHeight="1" x14ac:dyDescent="0.2">
      <c r="A219" s="565" t="s">
        <v>165</v>
      </c>
      <c r="B219" s="924" t="s">
        <v>165</v>
      </c>
      <c r="C219" s="925" t="s">
        <v>165</v>
      </c>
      <c r="D219" s="926"/>
      <c r="E219" s="927"/>
      <c r="F219" s="928"/>
      <c r="G219" s="929"/>
      <c r="H219" s="930">
        <v>0</v>
      </c>
      <c r="I219" s="901">
        <f t="shared" si="51"/>
        <v>0</v>
      </c>
      <c r="J219" s="902">
        <f t="shared" si="52"/>
        <v>0</v>
      </c>
      <c r="K219" s="928" t="s">
        <v>507</v>
      </c>
      <c r="L219" s="904">
        <f>ROUND(SUM('RES. CENTRAL PARK:RUA_FINAL'!L219),2)</f>
        <v>0</v>
      </c>
      <c r="M219" s="904">
        <f t="shared" si="53"/>
        <v>0</v>
      </c>
      <c r="N219" s="893">
        <f t="shared" si="54"/>
        <v>0</v>
      </c>
      <c r="O219" s="905"/>
      <c r="Q219" s="317" t="str">
        <f t="shared" si="55"/>
        <v/>
      </c>
      <c r="R219" s="317" t="str">
        <f t="shared" si="56"/>
        <v/>
      </c>
      <c r="S219" s="317" t="str">
        <f t="shared" si="57"/>
        <v/>
      </c>
      <c r="V219" s="314">
        <f>SUM('RES. CENTRAL PARK:RUA_FINAL'!N219)</f>
        <v>0</v>
      </c>
      <c r="W219" s="315">
        <f t="shared" si="58"/>
        <v>0</v>
      </c>
    </row>
    <row r="220" spans="1:23" ht="15" hidden="1" customHeight="1" x14ac:dyDescent="0.2">
      <c r="A220" s="565" t="s">
        <v>165</v>
      </c>
      <c r="B220" s="924" t="s">
        <v>165</v>
      </c>
      <c r="C220" s="925" t="s">
        <v>165</v>
      </c>
      <c r="D220" s="926"/>
      <c r="E220" s="927"/>
      <c r="F220" s="928"/>
      <c r="G220" s="929"/>
      <c r="H220" s="930">
        <v>0</v>
      </c>
      <c r="I220" s="901">
        <f t="shared" si="51"/>
        <v>0</v>
      </c>
      <c r="J220" s="902">
        <f t="shared" si="52"/>
        <v>0</v>
      </c>
      <c r="K220" s="928" t="s">
        <v>507</v>
      </c>
      <c r="L220" s="904">
        <f>ROUND(SUM('RES. CENTRAL PARK:RUA_FINAL'!L220),2)</f>
        <v>0</v>
      </c>
      <c r="M220" s="904">
        <f t="shared" si="53"/>
        <v>0</v>
      </c>
      <c r="N220" s="893">
        <f t="shared" si="54"/>
        <v>0</v>
      </c>
      <c r="O220" s="905"/>
      <c r="Q220" s="317" t="str">
        <f t="shared" si="55"/>
        <v/>
      </c>
      <c r="R220" s="317" t="str">
        <f t="shared" si="56"/>
        <v/>
      </c>
      <c r="S220" s="317" t="str">
        <f t="shared" si="57"/>
        <v/>
      </c>
      <c r="V220" s="314">
        <f>SUM('RES. CENTRAL PARK:RUA_FINAL'!N220)</f>
        <v>0</v>
      </c>
      <c r="W220" s="315">
        <f t="shared" si="58"/>
        <v>0</v>
      </c>
    </row>
    <row r="221" spans="1:23" ht="15" hidden="1" customHeight="1" x14ac:dyDescent="0.2">
      <c r="A221" s="565" t="s">
        <v>165</v>
      </c>
      <c r="B221" s="924" t="s">
        <v>165</v>
      </c>
      <c r="C221" s="925" t="s">
        <v>165</v>
      </c>
      <c r="D221" s="926"/>
      <c r="E221" s="927"/>
      <c r="F221" s="928"/>
      <c r="G221" s="929"/>
      <c r="H221" s="930">
        <v>0</v>
      </c>
      <c r="I221" s="901">
        <f t="shared" si="51"/>
        <v>0</v>
      </c>
      <c r="J221" s="902">
        <f t="shared" si="52"/>
        <v>0</v>
      </c>
      <c r="K221" s="928" t="s">
        <v>507</v>
      </c>
      <c r="L221" s="904">
        <f>ROUND(SUM('RES. CENTRAL PARK:RUA_FINAL'!L221),2)</f>
        <v>0</v>
      </c>
      <c r="M221" s="904">
        <f t="shared" si="53"/>
        <v>0</v>
      </c>
      <c r="N221" s="893">
        <f t="shared" si="54"/>
        <v>0</v>
      </c>
      <c r="O221" s="905"/>
      <c r="Q221" s="317" t="str">
        <f t="shared" si="55"/>
        <v/>
      </c>
      <c r="R221" s="317" t="str">
        <f t="shared" si="56"/>
        <v/>
      </c>
      <c r="S221" s="317" t="str">
        <f t="shared" si="57"/>
        <v/>
      </c>
      <c r="V221" s="314">
        <f>SUM('RES. CENTRAL PARK:RUA_FINAL'!N221)</f>
        <v>0</v>
      </c>
      <c r="W221" s="315">
        <f t="shared" si="58"/>
        <v>0</v>
      </c>
    </row>
    <row r="222" spans="1:23" ht="15" hidden="1" customHeight="1" x14ac:dyDescent="0.2">
      <c r="A222" s="565" t="s">
        <v>165</v>
      </c>
      <c r="B222" s="924" t="s">
        <v>165</v>
      </c>
      <c r="C222" s="925" t="s">
        <v>165</v>
      </c>
      <c r="D222" s="926"/>
      <c r="E222" s="927"/>
      <c r="F222" s="928"/>
      <c r="G222" s="929"/>
      <c r="H222" s="930">
        <v>0</v>
      </c>
      <c r="I222" s="901">
        <f t="shared" si="51"/>
        <v>0</v>
      </c>
      <c r="J222" s="902">
        <f t="shared" si="52"/>
        <v>0</v>
      </c>
      <c r="K222" s="928" t="s">
        <v>507</v>
      </c>
      <c r="L222" s="904">
        <f>ROUND(SUM('RES. CENTRAL PARK:RUA_FINAL'!L222),2)</f>
        <v>0</v>
      </c>
      <c r="M222" s="904">
        <f t="shared" si="53"/>
        <v>0</v>
      </c>
      <c r="N222" s="893">
        <f t="shared" si="54"/>
        <v>0</v>
      </c>
      <c r="O222" s="905"/>
      <c r="Q222" s="317" t="str">
        <f t="shared" si="55"/>
        <v/>
      </c>
      <c r="R222" s="317" t="str">
        <f t="shared" si="56"/>
        <v/>
      </c>
      <c r="S222" s="317" t="str">
        <f t="shared" si="57"/>
        <v/>
      </c>
      <c r="V222" s="314">
        <f>SUM('RES. CENTRAL PARK:RUA_FINAL'!N222)</f>
        <v>0</v>
      </c>
      <c r="W222" s="315">
        <f t="shared" si="58"/>
        <v>0</v>
      </c>
    </row>
    <row r="223" spans="1:23" ht="15" hidden="1" customHeight="1" x14ac:dyDescent="0.2">
      <c r="A223" s="565" t="s">
        <v>165</v>
      </c>
      <c r="B223" s="924" t="s">
        <v>165</v>
      </c>
      <c r="C223" s="925" t="s">
        <v>165</v>
      </c>
      <c r="D223" s="926"/>
      <c r="E223" s="927"/>
      <c r="F223" s="928"/>
      <c r="G223" s="929"/>
      <c r="H223" s="930">
        <v>0</v>
      </c>
      <c r="I223" s="901">
        <f t="shared" si="51"/>
        <v>0</v>
      </c>
      <c r="J223" s="902">
        <f t="shared" si="52"/>
        <v>0</v>
      </c>
      <c r="K223" s="928" t="s">
        <v>507</v>
      </c>
      <c r="L223" s="904">
        <f>ROUND(SUM('RES. CENTRAL PARK:RUA_FINAL'!L223),2)</f>
        <v>0</v>
      </c>
      <c r="M223" s="904">
        <f t="shared" si="53"/>
        <v>0</v>
      </c>
      <c r="N223" s="893">
        <f t="shared" si="54"/>
        <v>0</v>
      </c>
      <c r="O223" s="905"/>
      <c r="Q223" s="317" t="str">
        <f t="shared" si="55"/>
        <v/>
      </c>
      <c r="R223" s="317" t="str">
        <f t="shared" si="56"/>
        <v/>
      </c>
      <c r="S223" s="317" t="str">
        <f t="shared" si="57"/>
        <v/>
      </c>
      <c r="V223" s="314">
        <f>SUM('RES. CENTRAL PARK:RUA_FINAL'!N223)</f>
        <v>0</v>
      </c>
      <c r="W223" s="315">
        <f t="shared" si="58"/>
        <v>0</v>
      </c>
    </row>
    <row r="224" spans="1:23" ht="15" hidden="1" customHeight="1" x14ac:dyDescent="0.2">
      <c r="A224" s="565" t="s">
        <v>165</v>
      </c>
      <c r="B224" s="924" t="s">
        <v>165</v>
      </c>
      <c r="C224" s="925" t="s">
        <v>165</v>
      </c>
      <c r="D224" s="926"/>
      <c r="E224" s="927"/>
      <c r="F224" s="928"/>
      <c r="G224" s="929"/>
      <c r="H224" s="930">
        <v>0</v>
      </c>
      <c r="I224" s="901">
        <f t="shared" si="51"/>
        <v>0</v>
      </c>
      <c r="J224" s="902">
        <f t="shared" si="52"/>
        <v>0</v>
      </c>
      <c r="K224" s="928" t="s">
        <v>507</v>
      </c>
      <c r="L224" s="904">
        <f>ROUND(SUM('RES. CENTRAL PARK:RUA_FINAL'!L224),2)</f>
        <v>0</v>
      </c>
      <c r="M224" s="904">
        <f t="shared" si="53"/>
        <v>0</v>
      </c>
      <c r="N224" s="893">
        <f t="shared" si="54"/>
        <v>0</v>
      </c>
      <c r="O224" s="905"/>
      <c r="Q224" s="317" t="str">
        <f t="shared" si="55"/>
        <v/>
      </c>
      <c r="R224" s="317" t="str">
        <f t="shared" si="56"/>
        <v/>
      </c>
      <c r="S224" s="317" t="str">
        <f t="shared" si="57"/>
        <v/>
      </c>
      <c r="V224" s="314">
        <f>SUM('RES. CENTRAL PARK:RUA_FINAL'!N224)</f>
        <v>0</v>
      </c>
      <c r="W224" s="315">
        <f t="shared" si="58"/>
        <v>0</v>
      </c>
    </row>
    <row r="225" spans="1:23" ht="15" hidden="1" customHeight="1" x14ac:dyDescent="0.2">
      <c r="A225" s="565" t="s">
        <v>165</v>
      </c>
      <c r="B225" s="924" t="s">
        <v>165</v>
      </c>
      <c r="C225" s="925" t="s">
        <v>165</v>
      </c>
      <c r="D225" s="926"/>
      <c r="E225" s="927"/>
      <c r="F225" s="928"/>
      <c r="G225" s="929"/>
      <c r="H225" s="930">
        <v>0</v>
      </c>
      <c r="I225" s="901">
        <f t="shared" si="51"/>
        <v>0</v>
      </c>
      <c r="J225" s="902">
        <f t="shared" si="52"/>
        <v>0</v>
      </c>
      <c r="K225" s="928" t="s">
        <v>507</v>
      </c>
      <c r="L225" s="904">
        <f>ROUND(SUM('RES. CENTRAL PARK:RUA_FINAL'!L225),2)</f>
        <v>0</v>
      </c>
      <c r="M225" s="904">
        <f t="shared" si="53"/>
        <v>0</v>
      </c>
      <c r="N225" s="893">
        <f t="shared" si="54"/>
        <v>0</v>
      </c>
      <c r="O225" s="905"/>
      <c r="Q225" s="317" t="str">
        <f t="shared" si="55"/>
        <v/>
      </c>
      <c r="R225" s="317" t="str">
        <f t="shared" si="56"/>
        <v/>
      </c>
      <c r="S225" s="317" t="str">
        <f t="shared" si="57"/>
        <v/>
      </c>
      <c r="V225" s="314">
        <f>SUM('RES. CENTRAL PARK:RUA_FINAL'!N225)</f>
        <v>0</v>
      </c>
      <c r="W225" s="315">
        <f t="shared" si="58"/>
        <v>0</v>
      </c>
    </row>
    <row r="226" spans="1:23" ht="15" hidden="1" customHeight="1" x14ac:dyDescent="0.2">
      <c r="A226" s="565" t="s">
        <v>165</v>
      </c>
      <c r="B226" s="924" t="s">
        <v>165</v>
      </c>
      <c r="C226" s="925" t="s">
        <v>165</v>
      </c>
      <c r="D226" s="926"/>
      <c r="E226" s="927"/>
      <c r="F226" s="928"/>
      <c r="G226" s="929"/>
      <c r="H226" s="930">
        <v>0</v>
      </c>
      <c r="I226" s="901">
        <f t="shared" si="51"/>
        <v>0</v>
      </c>
      <c r="J226" s="902">
        <f t="shared" si="52"/>
        <v>0</v>
      </c>
      <c r="K226" s="928" t="s">
        <v>507</v>
      </c>
      <c r="L226" s="904">
        <f>ROUND(SUM('RES. CENTRAL PARK:RUA_FINAL'!L226),2)</f>
        <v>0</v>
      </c>
      <c r="M226" s="904">
        <f t="shared" si="53"/>
        <v>0</v>
      </c>
      <c r="N226" s="893">
        <f t="shared" si="54"/>
        <v>0</v>
      </c>
      <c r="O226" s="905"/>
      <c r="Q226" s="317" t="str">
        <f t="shared" si="55"/>
        <v/>
      </c>
      <c r="R226" s="317" t="str">
        <f t="shared" si="56"/>
        <v/>
      </c>
      <c r="S226" s="317" t="str">
        <f t="shared" si="57"/>
        <v/>
      </c>
      <c r="V226" s="314">
        <f>SUM('RES. CENTRAL PARK:RUA_FINAL'!N226)</f>
        <v>0</v>
      </c>
      <c r="W226" s="315">
        <f t="shared" si="58"/>
        <v>0</v>
      </c>
    </row>
    <row r="227" spans="1:23" ht="15" hidden="1" customHeight="1" thickBot="1" x14ac:dyDescent="0.25">
      <c r="A227" s="565" t="s">
        <v>165</v>
      </c>
      <c r="B227" s="924" t="s">
        <v>165</v>
      </c>
      <c r="C227" s="925" t="s">
        <v>165</v>
      </c>
      <c r="D227" s="926"/>
      <c r="E227" s="927"/>
      <c r="F227" s="928"/>
      <c r="G227" s="929"/>
      <c r="H227" s="930">
        <v>0</v>
      </c>
      <c r="I227" s="901">
        <f t="shared" si="51"/>
        <v>0</v>
      </c>
      <c r="J227" s="902">
        <f t="shared" si="52"/>
        <v>0</v>
      </c>
      <c r="K227" s="928" t="s">
        <v>507</v>
      </c>
      <c r="L227" s="904">
        <f>ROUND(SUM('RES. CENTRAL PARK:RUA_FINAL'!L227),2)</f>
        <v>0</v>
      </c>
      <c r="M227" s="904">
        <f t="shared" si="53"/>
        <v>0</v>
      </c>
      <c r="N227" s="942">
        <f t="shared" si="54"/>
        <v>0</v>
      </c>
      <c r="O227" s="905"/>
      <c r="Q227" s="317" t="str">
        <f t="shared" si="55"/>
        <v/>
      </c>
      <c r="R227" s="317" t="str">
        <f t="shared" si="56"/>
        <v/>
      </c>
      <c r="S227" s="317" t="str">
        <f t="shared" si="57"/>
        <v/>
      </c>
      <c r="V227" s="314">
        <f>SUM('RES. CENTRAL PARK:RUA_FINAL'!N227)</f>
        <v>0</v>
      </c>
      <c r="W227" s="315">
        <f t="shared" si="58"/>
        <v>0</v>
      </c>
    </row>
    <row r="228" spans="1:23" ht="15" customHeight="1" thickBot="1" x14ac:dyDescent="0.25">
      <c r="A228" s="63" t="s">
        <v>203</v>
      </c>
      <c r="B228" s="950" t="s">
        <v>203</v>
      </c>
      <c r="C228" s="951"/>
      <c r="D228" s="952" t="s">
        <v>429</v>
      </c>
      <c r="E228" s="943"/>
      <c r="F228" s="876"/>
      <c r="G228" s="944"/>
      <c r="H228" s="945">
        <v>0</v>
      </c>
      <c r="I228" s="945"/>
      <c r="J228" s="945"/>
      <c r="K228" s="963" t="s">
        <v>507</v>
      </c>
      <c r="L228" s="879">
        <f>ROUND(SUM('RES. CENTRAL PARK:RUA_FINAL'!L228),2)</f>
        <v>0</v>
      </c>
      <c r="M228" s="880">
        <f t="shared" si="53"/>
        <v>0</v>
      </c>
      <c r="N228" s="881">
        <f t="shared" si="54"/>
        <v>0</v>
      </c>
      <c r="O228" s="882">
        <f>SUM(N229:N588)</f>
        <v>1239953.76</v>
      </c>
      <c r="P228" s="58" t="str">
        <f>IF(OR(O228&gt;0,O228&gt;0),"X","")</f>
        <v>X</v>
      </c>
      <c r="Q228" s="317" t="str">
        <f t="shared" si="55"/>
        <v>x</v>
      </c>
      <c r="R228" s="317" t="str">
        <f t="shared" si="56"/>
        <v>x</v>
      </c>
      <c r="S228" s="317" t="str">
        <f t="shared" si="57"/>
        <v>x</v>
      </c>
      <c r="V228" s="314">
        <f>SUM('RES. CENTRAL PARK:RUA_FINAL'!N228)</f>
        <v>0</v>
      </c>
      <c r="W228" s="315">
        <f t="shared" si="58"/>
        <v>0</v>
      </c>
    </row>
    <row r="229" spans="1:23" ht="15" customHeight="1" thickBot="1" x14ac:dyDescent="0.25">
      <c r="A229" s="63" t="s">
        <v>832</v>
      </c>
      <c r="B229" s="964" t="s">
        <v>2229</v>
      </c>
      <c r="C229" s="896" t="s">
        <v>2241</v>
      </c>
      <c r="D229" s="965" t="s">
        <v>218</v>
      </c>
      <c r="E229" s="966"/>
      <c r="F229" s="967"/>
      <c r="G229" s="968"/>
      <c r="H229" s="940">
        <v>0.65</v>
      </c>
      <c r="I229" s="940">
        <f>IF(ISBLANK(H229),"",SUM(G229:H229))</f>
        <v>0.65</v>
      </c>
      <c r="J229" s="969">
        <f>IF(ISBLANK(H229),0,ROUND(I229*(1+$E$10),2))</f>
        <v>0.78</v>
      </c>
      <c r="K229" s="970" t="s">
        <v>12</v>
      </c>
      <c r="L229" s="904">
        <f>ROUND(SUM('RES. CENTRAL PARK:RUA_FINAL'!L229),2)</f>
        <v>16453.63</v>
      </c>
      <c r="M229" s="904">
        <f t="shared" si="53"/>
        <v>0.78</v>
      </c>
      <c r="N229" s="893">
        <f t="shared" si="54"/>
        <v>12833.83</v>
      </c>
      <c r="O229" s="905"/>
      <c r="Q229" s="317" t="str">
        <f t="shared" si="55"/>
        <v>x</v>
      </c>
      <c r="R229" s="317" t="str">
        <f t="shared" si="56"/>
        <v>x</v>
      </c>
      <c r="S229" s="317" t="str">
        <f t="shared" si="57"/>
        <v>x</v>
      </c>
      <c r="V229" s="314">
        <f>SUM('RES. CENTRAL PARK:RUA_FINAL'!N229)</f>
        <v>12833.83</v>
      </c>
      <c r="W229" s="315">
        <f t="shared" si="58"/>
        <v>0</v>
      </c>
    </row>
    <row r="230" spans="1:23" ht="15" hidden="1" customHeight="1" x14ac:dyDescent="0.2">
      <c r="A230" s="63">
        <v>560100</v>
      </c>
      <c r="B230" s="971" t="s">
        <v>509</v>
      </c>
      <c r="C230" s="972" t="s">
        <v>184</v>
      </c>
      <c r="D230" s="973" t="s">
        <v>1521</v>
      </c>
      <c r="E230" s="974" t="s">
        <v>574</v>
      </c>
      <c r="F230" s="975">
        <v>1.1999999999999999E-3</v>
      </c>
      <c r="G230" s="976"/>
      <c r="H230" s="977">
        <v>0.49</v>
      </c>
      <c r="I230" s="977">
        <f>H230</f>
        <v>0.49</v>
      </c>
      <c r="J230" s="978">
        <f t="shared" ref="J230:J293" si="59">IF(ISBLANK(H230),0,ROUND(I230*(1+$E$10),2))</f>
        <v>0.59</v>
      </c>
      <c r="K230" s="979" t="s">
        <v>12</v>
      </c>
      <c r="L230" s="980">
        <f>ROUND(SUM('RES. CENTRAL PARK:RUA_FINAL'!L230),2)</f>
        <v>0</v>
      </c>
      <c r="M230" s="981">
        <f t="shared" si="53"/>
        <v>0</v>
      </c>
      <c r="N230" s="982">
        <f t="shared" si="54"/>
        <v>0</v>
      </c>
      <c r="O230" s="905"/>
      <c r="Q230" s="317" t="str">
        <f t="shared" si="55"/>
        <v/>
      </c>
      <c r="R230" s="317" t="str">
        <f t="shared" si="56"/>
        <v/>
      </c>
      <c r="S230" s="317" t="str">
        <f t="shared" si="57"/>
        <v/>
      </c>
      <c r="V230" s="314">
        <f>SUM('RES. CENTRAL PARK:RUA_FINAL'!N230)</f>
        <v>0</v>
      </c>
      <c r="W230" s="315">
        <f t="shared" si="58"/>
        <v>0</v>
      </c>
    </row>
    <row r="231" spans="1:23" ht="15" hidden="1" customHeight="1" thickBot="1" x14ac:dyDescent="0.25">
      <c r="A231" s="63">
        <v>589420</v>
      </c>
      <c r="B231" s="983" t="s">
        <v>705</v>
      </c>
      <c r="C231" s="984" t="s">
        <v>213</v>
      </c>
      <c r="D231" s="985" t="s">
        <v>553</v>
      </c>
      <c r="E231" s="986">
        <f>DMT!D$24</f>
        <v>353</v>
      </c>
      <c r="F231" s="987">
        <v>1</v>
      </c>
      <c r="G231" s="949">
        <f>(0.84*E231+41.45)*F231</f>
        <v>337.96999999999997</v>
      </c>
      <c r="H231" s="988">
        <v>3861.37</v>
      </c>
      <c r="I231" s="988">
        <f>IF(ISBLANK(H231),"",H231*(1+$E$9)/(1+$E$10))+G231</f>
        <v>4045.2968393437163</v>
      </c>
      <c r="J231" s="989">
        <f t="shared" si="59"/>
        <v>4857.1899999999996</v>
      </c>
      <c r="K231" s="990" t="s">
        <v>14</v>
      </c>
      <c r="L231" s="991">
        <f>ROUND(SUM('RES. CENTRAL PARK:RUA_FINAL'!L231),2)</f>
        <v>0</v>
      </c>
      <c r="M231" s="992">
        <f t="shared" si="53"/>
        <v>0</v>
      </c>
      <c r="N231" s="993">
        <f t="shared" si="54"/>
        <v>0</v>
      </c>
      <c r="O231" s="905"/>
      <c r="Q231" s="317" t="str">
        <f t="shared" si="55"/>
        <v/>
      </c>
      <c r="R231" s="317" t="str">
        <f t="shared" si="56"/>
        <v/>
      </c>
      <c r="S231" s="317" t="str">
        <f t="shared" si="57"/>
        <v/>
      </c>
      <c r="V231" s="314">
        <f>SUM('RES. CENTRAL PARK:RUA_FINAL'!N231)</f>
        <v>0</v>
      </c>
      <c r="W231" s="315">
        <f t="shared" si="58"/>
        <v>0</v>
      </c>
    </row>
    <row r="232" spans="1:23" ht="15" hidden="1" customHeight="1" x14ac:dyDescent="0.2">
      <c r="A232" s="63">
        <v>560100</v>
      </c>
      <c r="B232" s="971" t="s">
        <v>510</v>
      </c>
      <c r="C232" s="972" t="s">
        <v>184</v>
      </c>
      <c r="D232" s="973" t="s">
        <v>540</v>
      </c>
      <c r="E232" s="974" t="s">
        <v>574</v>
      </c>
      <c r="F232" s="975">
        <v>1.1000000000000001E-3</v>
      </c>
      <c r="G232" s="976"/>
      <c r="H232" s="977">
        <v>0.49</v>
      </c>
      <c r="I232" s="977">
        <f>IF(ISBLANK(H232),"",SUM(G232:H232))</f>
        <v>0.49</v>
      </c>
      <c r="J232" s="978">
        <f t="shared" si="59"/>
        <v>0.59</v>
      </c>
      <c r="K232" s="979" t="s">
        <v>12</v>
      </c>
      <c r="L232" s="980">
        <f>ROUND(SUM('RES. CENTRAL PARK:RUA_FINAL'!L232),2)</f>
        <v>0</v>
      </c>
      <c r="M232" s="981">
        <f t="shared" si="53"/>
        <v>0</v>
      </c>
      <c r="N232" s="982">
        <f t="shared" si="54"/>
        <v>0</v>
      </c>
      <c r="O232" s="905"/>
      <c r="Q232" s="317" t="str">
        <f t="shared" si="55"/>
        <v/>
      </c>
      <c r="R232" s="317" t="str">
        <f t="shared" si="56"/>
        <v/>
      </c>
      <c r="S232" s="317" t="str">
        <f t="shared" si="57"/>
        <v/>
      </c>
      <c r="V232" s="314">
        <f>SUM('RES. CENTRAL PARK:RUA_FINAL'!N232)</f>
        <v>0</v>
      </c>
      <c r="W232" s="315">
        <f t="shared" si="58"/>
        <v>0</v>
      </c>
    </row>
    <row r="233" spans="1:23" ht="15" hidden="1" customHeight="1" thickBot="1" x14ac:dyDescent="0.25">
      <c r="A233" s="63">
        <v>589190</v>
      </c>
      <c r="B233" s="983" t="s">
        <v>1697</v>
      </c>
      <c r="C233" s="984" t="s">
        <v>213</v>
      </c>
      <c r="D233" s="985" t="s">
        <v>554</v>
      </c>
      <c r="E233" s="986">
        <f>DMT!$D$23</f>
        <v>45</v>
      </c>
      <c r="F233" s="987">
        <v>1</v>
      </c>
      <c r="G233" s="949">
        <f>(0.84*E233+41.45)*F233</f>
        <v>79.25</v>
      </c>
      <c r="H233" s="988">
        <v>4730.97</v>
      </c>
      <c r="I233" s="988">
        <f>IF(ISBLANK(H233),"",H233*(1+$E$9)/(1+$E$10))+G233</f>
        <v>4621.4855426001504</v>
      </c>
      <c r="J233" s="989">
        <f t="shared" si="59"/>
        <v>5549.02</v>
      </c>
      <c r="K233" s="990" t="s">
        <v>14</v>
      </c>
      <c r="L233" s="991">
        <f>ROUND(SUM('RES. CENTRAL PARK:RUA_FINAL'!L233),2)</f>
        <v>0</v>
      </c>
      <c r="M233" s="992">
        <f t="shared" si="53"/>
        <v>0</v>
      </c>
      <c r="N233" s="993">
        <f t="shared" si="54"/>
        <v>0</v>
      </c>
      <c r="O233" s="905"/>
      <c r="Q233" s="317" t="str">
        <f t="shared" si="55"/>
        <v/>
      </c>
      <c r="R233" s="317" t="str">
        <f t="shared" si="56"/>
        <v/>
      </c>
      <c r="S233" s="317" t="str">
        <f t="shared" si="57"/>
        <v/>
      </c>
      <c r="V233" s="314">
        <f>SUM('RES. CENTRAL PARK:RUA_FINAL'!N233)</f>
        <v>0</v>
      </c>
      <c r="W233" s="315">
        <f t="shared" si="58"/>
        <v>0</v>
      </c>
    </row>
    <row r="234" spans="1:23" ht="15" hidden="1" customHeight="1" x14ac:dyDescent="0.2">
      <c r="A234" s="63">
        <v>560400</v>
      </c>
      <c r="B234" s="971" t="s">
        <v>702</v>
      </c>
      <c r="C234" s="972" t="s">
        <v>184</v>
      </c>
      <c r="D234" s="973" t="s">
        <v>541</v>
      </c>
      <c r="E234" s="974" t="s">
        <v>574</v>
      </c>
      <c r="F234" s="975">
        <v>1.1999999999999999E-3</v>
      </c>
      <c r="G234" s="976"/>
      <c r="H234" s="977">
        <v>0.49</v>
      </c>
      <c r="I234" s="977">
        <f>IF(ISBLANK(H234),"",SUM(G234:H234))</f>
        <v>0.49</v>
      </c>
      <c r="J234" s="978">
        <f t="shared" si="59"/>
        <v>0.59</v>
      </c>
      <c r="K234" s="979" t="s">
        <v>12</v>
      </c>
      <c r="L234" s="980">
        <f>ROUND(SUM('RES. CENTRAL PARK:RUA_FINAL'!L234),2)</f>
        <v>0</v>
      </c>
      <c r="M234" s="981">
        <f t="shared" si="53"/>
        <v>0</v>
      </c>
      <c r="N234" s="982">
        <f t="shared" si="54"/>
        <v>0</v>
      </c>
      <c r="O234" s="905"/>
      <c r="Q234" s="317" t="str">
        <f t="shared" si="55"/>
        <v/>
      </c>
      <c r="R234" s="317" t="str">
        <f t="shared" si="56"/>
        <v/>
      </c>
      <c r="S234" s="317" t="str">
        <f t="shared" si="57"/>
        <v/>
      </c>
      <c r="V234" s="314">
        <f>SUM('RES. CENTRAL PARK:RUA_FINAL'!N234)</f>
        <v>0</v>
      </c>
      <c r="W234" s="315">
        <f t="shared" si="58"/>
        <v>0</v>
      </c>
    </row>
    <row r="235" spans="1:23" ht="15" hidden="1" customHeight="1" thickBot="1" x14ac:dyDescent="0.25">
      <c r="A235" s="63">
        <v>589100</v>
      </c>
      <c r="B235" s="983" t="s">
        <v>724</v>
      </c>
      <c r="C235" s="984" t="s">
        <v>213</v>
      </c>
      <c r="D235" s="985" t="s">
        <v>555</v>
      </c>
      <c r="E235" s="986">
        <f>DMT!$D$23</f>
        <v>45</v>
      </c>
      <c r="F235" s="987">
        <v>1</v>
      </c>
      <c r="G235" s="949">
        <f>(0.84*E235+41.45)*F235</f>
        <v>79.25</v>
      </c>
      <c r="H235" s="988">
        <v>5937.37</v>
      </c>
      <c r="I235" s="988">
        <f>IF(ISBLANK(H235),"",H235*(1+$E$9)/(1+$E$10))+G235</f>
        <v>5779.7581502456906</v>
      </c>
      <c r="J235" s="989">
        <f t="shared" si="59"/>
        <v>6939.76</v>
      </c>
      <c r="K235" s="990" t="s">
        <v>14</v>
      </c>
      <c r="L235" s="991">
        <f>ROUND(SUM('RES. CENTRAL PARK:RUA_FINAL'!L235),2)</f>
        <v>0</v>
      </c>
      <c r="M235" s="992">
        <f t="shared" si="53"/>
        <v>0</v>
      </c>
      <c r="N235" s="993">
        <f t="shared" si="54"/>
        <v>0</v>
      </c>
      <c r="O235" s="905"/>
      <c r="Q235" s="317" t="str">
        <f t="shared" si="55"/>
        <v/>
      </c>
      <c r="R235" s="317" t="str">
        <f t="shared" si="56"/>
        <v/>
      </c>
      <c r="S235" s="317" t="str">
        <f t="shared" si="57"/>
        <v/>
      </c>
      <c r="V235" s="314">
        <f>SUM('RES. CENTRAL PARK:RUA_FINAL'!N235)</f>
        <v>0</v>
      </c>
      <c r="W235" s="315">
        <f t="shared" si="58"/>
        <v>0</v>
      </c>
    </row>
    <row r="236" spans="1:23" ht="15" customHeight="1" x14ac:dyDescent="0.2">
      <c r="A236" s="63">
        <v>561100</v>
      </c>
      <c r="B236" s="971" t="s">
        <v>703</v>
      </c>
      <c r="C236" s="972" t="s">
        <v>184</v>
      </c>
      <c r="D236" s="973" t="s">
        <v>542</v>
      </c>
      <c r="E236" s="974" t="s">
        <v>574</v>
      </c>
      <c r="F236" s="975">
        <v>5.0000000000000001E-4</v>
      </c>
      <c r="G236" s="976"/>
      <c r="H236" s="977">
        <v>0.34</v>
      </c>
      <c r="I236" s="977">
        <f>IF(ISBLANK(H236),"",SUM(G236:H236))</f>
        <v>0.34</v>
      </c>
      <c r="J236" s="978">
        <f t="shared" si="59"/>
        <v>0.41</v>
      </c>
      <c r="K236" s="979" t="s">
        <v>12</v>
      </c>
      <c r="L236" s="980">
        <f>ROUND(SUM('RES. CENTRAL PARK:RUA_FINAL'!L236),2)</f>
        <v>32907.26</v>
      </c>
      <c r="M236" s="981">
        <f t="shared" si="53"/>
        <v>0.41</v>
      </c>
      <c r="N236" s="982">
        <f t="shared" si="54"/>
        <v>13491.98</v>
      </c>
      <c r="O236" s="905"/>
      <c r="Q236" s="317" t="str">
        <f t="shared" si="55"/>
        <v>x</v>
      </c>
      <c r="R236" s="317" t="str">
        <f t="shared" si="56"/>
        <v>x</v>
      </c>
      <c r="S236" s="317" t="str">
        <f t="shared" si="57"/>
        <v>x</v>
      </c>
      <c r="V236" s="314">
        <f>SUM('RES. CENTRAL PARK:RUA_FINAL'!N236)</f>
        <v>13491.98</v>
      </c>
      <c r="W236" s="315">
        <f t="shared" si="58"/>
        <v>0</v>
      </c>
    </row>
    <row r="237" spans="1:23" ht="15" customHeight="1" thickBot="1" x14ac:dyDescent="0.25">
      <c r="A237" s="63">
        <v>589420</v>
      </c>
      <c r="B237" s="983" t="s">
        <v>706</v>
      </c>
      <c r="C237" s="984" t="s">
        <v>213</v>
      </c>
      <c r="D237" s="985" t="s">
        <v>556</v>
      </c>
      <c r="E237" s="986">
        <f>DMT!D$24</f>
        <v>353</v>
      </c>
      <c r="F237" s="994">
        <v>1</v>
      </c>
      <c r="G237" s="949">
        <f>(0.84*E237+41.45)*F237</f>
        <v>337.96999999999997</v>
      </c>
      <c r="H237" s="988">
        <v>3861.37</v>
      </c>
      <c r="I237" s="988">
        <f>IF(ISBLANK(H237),"",H237*(1+$E$9)/(1+$E$10))+G237</f>
        <v>4045.2968393437163</v>
      </c>
      <c r="J237" s="989">
        <f t="shared" si="59"/>
        <v>4857.1899999999996</v>
      </c>
      <c r="K237" s="990" t="s">
        <v>14</v>
      </c>
      <c r="L237" s="991">
        <f>ROUND(SUM('RES. CENTRAL PARK:RUA_FINAL'!L237),2)</f>
        <v>16.46</v>
      </c>
      <c r="M237" s="992">
        <f t="shared" si="53"/>
        <v>4857.1899999999996</v>
      </c>
      <c r="N237" s="993">
        <f t="shared" si="54"/>
        <v>79949.350000000006</v>
      </c>
      <c r="O237" s="905"/>
      <c r="Q237" s="317" t="str">
        <f t="shared" si="55"/>
        <v>x</v>
      </c>
      <c r="R237" s="317" t="str">
        <f t="shared" si="56"/>
        <v>x</v>
      </c>
      <c r="S237" s="317" t="str">
        <f t="shared" si="57"/>
        <v>x</v>
      </c>
      <c r="V237" s="314">
        <f>SUM('RES. CENTRAL PARK:RUA_FINAL'!N237)</f>
        <v>79949.350000000006</v>
      </c>
      <c r="W237" s="315">
        <f t="shared" si="58"/>
        <v>0</v>
      </c>
    </row>
    <row r="238" spans="1:23" ht="15" hidden="1" customHeight="1" x14ac:dyDescent="0.2">
      <c r="A238" s="63">
        <v>521450</v>
      </c>
      <c r="B238" s="955" t="s">
        <v>1610</v>
      </c>
      <c r="C238" s="956" t="s">
        <v>184</v>
      </c>
      <c r="D238" s="906" t="s">
        <v>219</v>
      </c>
      <c r="E238" s="907">
        <f>DMT!$F$15</f>
        <v>0</v>
      </c>
      <c r="F238" s="887">
        <v>0.3</v>
      </c>
      <c r="G238" s="976">
        <f t="shared" ref="G238:G239" si="60">IF(E238&lt;=30,(1.07*E238+2.68)*F238,((1.07*30+2.68)+1.07*(E238-30))*F238)</f>
        <v>0.80400000000000005</v>
      </c>
      <c r="H238" s="901">
        <v>25.31</v>
      </c>
      <c r="I238" s="901">
        <f t="shared" ref="I238:I243" si="61">IF(ISBLANK(H238),"",SUM(G238:H238))</f>
        <v>26.113999999999997</v>
      </c>
      <c r="J238" s="902">
        <f t="shared" si="59"/>
        <v>31.36</v>
      </c>
      <c r="K238" s="903" t="s">
        <v>12</v>
      </c>
      <c r="L238" s="904">
        <f>ROUND(SUM('RES. CENTRAL PARK:RUA_FINAL'!L238),2)</f>
        <v>0</v>
      </c>
      <c r="M238" s="904">
        <f t="shared" si="53"/>
        <v>0</v>
      </c>
      <c r="N238" s="893">
        <f t="shared" si="54"/>
        <v>0</v>
      </c>
      <c r="O238" s="905"/>
      <c r="Q238" s="317" t="str">
        <f t="shared" si="55"/>
        <v/>
      </c>
      <c r="R238" s="317" t="str">
        <f t="shared" si="56"/>
        <v/>
      </c>
      <c r="S238" s="317" t="str">
        <f t="shared" si="57"/>
        <v/>
      </c>
      <c r="V238" s="314">
        <f>SUM('RES. CENTRAL PARK:RUA_FINAL'!N238)</f>
        <v>0</v>
      </c>
      <c r="W238" s="315">
        <f t="shared" si="58"/>
        <v>0</v>
      </c>
    </row>
    <row r="239" spans="1:23" ht="15" hidden="1" customHeight="1" x14ac:dyDescent="0.2">
      <c r="A239" s="63">
        <v>535200</v>
      </c>
      <c r="B239" s="895" t="s">
        <v>1607</v>
      </c>
      <c r="C239" s="896" t="s">
        <v>184</v>
      </c>
      <c r="D239" s="906" t="s">
        <v>220</v>
      </c>
      <c r="E239" s="907">
        <f>DMT!$F$15</f>
        <v>0</v>
      </c>
      <c r="F239" s="899">
        <v>7.6999999999999999E-2</v>
      </c>
      <c r="G239" s="949">
        <f t="shared" si="60"/>
        <v>0.20636000000000002</v>
      </c>
      <c r="H239" s="901">
        <v>11.65</v>
      </c>
      <c r="I239" s="901">
        <f t="shared" si="61"/>
        <v>11.85636</v>
      </c>
      <c r="J239" s="902">
        <f t="shared" si="59"/>
        <v>14.24</v>
      </c>
      <c r="K239" s="903" t="s">
        <v>13</v>
      </c>
      <c r="L239" s="904">
        <f>ROUND(SUM('RES. CENTRAL PARK:RUA_FINAL'!L239),2)</f>
        <v>0</v>
      </c>
      <c r="M239" s="904">
        <f t="shared" si="53"/>
        <v>0</v>
      </c>
      <c r="N239" s="893">
        <f t="shared" si="54"/>
        <v>0</v>
      </c>
      <c r="O239" s="905"/>
      <c r="Q239" s="317" t="str">
        <f t="shared" si="55"/>
        <v/>
      </c>
      <c r="R239" s="317" t="str">
        <f t="shared" si="56"/>
        <v/>
      </c>
      <c r="S239" s="317" t="str">
        <f t="shared" si="57"/>
        <v/>
      </c>
      <c r="V239" s="314">
        <f>SUM('RES. CENTRAL PARK:RUA_FINAL'!N239)</f>
        <v>0</v>
      </c>
      <c r="W239" s="315">
        <f t="shared" si="58"/>
        <v>0</v>
      </c>
    </row>
    <row r="240" spans="1:23" ht="15" hidden="1" customHeight="1" x14ac:dyDescent="0.2">
      <c r="A240" s="63">
        <v>521450</v>
      </c>
      <c r="B240" s="895" t="s">
        <v>1611</v>
      </c>
      <c r="C240" s="896" t="s">
        <v>184</v>
      </c>
      <c r="D240" s="906" t="s">
        <v>454</v>
      </c>
      <c r="E240" s="907"/>
      <c r="F240" s="899"/>
      <c r="G240" s="912"/>
      <c r="H240" s="901">
        <v>25.31</v>
      </c>
      <c r="I240" s="901">
        <f t="shared" si="61"/>
        <v>25.31</v>
      </c>
      <c r="J240" s="902">
        <f t="shared" si="59"/>
        <v>30.39</v>
      </c>
      <c r="K240" s="903" t="s">
        <v>12</v>
      </c>
      <c r="L240" s="904">
        <f>ROUND(SUM('RES. CENTRAL PARK:RUA_FINAL'!L240),2)</f>
        <v>0</v>
      </c>
      <c r="M240" s="904">
        <f t="shared" si="53"/>
        <v>0</v>
      </c>
      <c r="N240" s="893">
        <f t="shared" si="54"/>
        <v>0</v>
      </c>
      <c r="O240" s="905"/>
      <c r="Q240" s="317" t="str">
        <f t="shared" si="55"/>
        <v/>
      </c>
      <c r="R240" s="317" t="str">
        <f t="shared" si="56"/>
        <v/>
      </c>
      <c r="S240" s="317" t="str">
        <f t="shared" si="57"/>
        <v/>
      </c>
      <c r="V240" s="314">
        <f>SUM('RES. CENTRAL PARK:RUA_FINAL'!N240)</f>
        <v>0</v>
      </c>
      <c r="W240" s="315">
        <f t="shared" si="58"/>
        <v>0</v>
      </c>
    </row>
    <row r="241" spans="1:23" ht="15" hidden="1" customHeight="1" x14ac:dyDescent="0.2">
      <c r="A241" s="63">
        <v>521450</v>
      </c>
      <c r="B241" s="895" t="s">
        <v>1612</v>
      </c>
      <c r="C241" s="896" t="s">
        <v>184</v>
      </c>
      <c r="D241" s="906" t="s">
        <v>221</v>
      </c>
      <c r="E241" s="907"/>
      <c r="F241" s="899"/>
      <c r="G241" s="912"/>
      <c r="H241" s="901">
        <v>25.31</v>
      </c>
      <c r="I241" s="901">
        <f t="shared" si="61"/>
        <v>25.31</v>
      </c>
      <c r="J241" s="902">
        <f t="shared" si="59"/>
        <v>30.39</v>
      </c>
      <c r="K241" s="903" t="s">
        <v>12</v>
      </c>
      <c r="L241" s="904">
        <f>ROUND(SUM('RES. CENTRAL PARK:RUA_FINAL'!L241),2)</f>
        <v>0</v>
      </c>
      <c r="M241" s="904">
        <f t="shared" si="53"/>
        <v>0</v>
      </c>
      <c r="N241" s="893">
        <f t="shared" si="54"/>
        <v>0</v>
      </c>
      <c r="O241" s="905"/>
      <c r="Q241" s="317" t="str">
        <f t="shared" si="55"/>
        <v/>
      </c>
      <c r="R241" s="317" t="str">
        <f t="shared" si="56"/>
        <v/>
      </c>
      <c r="S241" s="317" t="str">
        <f t="shared" si="57"/>
        <v/>
      </c>
      <c r="V241" s="314">
        <f>SUM('RES. CENTRAL PARK:RUA_FINAL'!N241)</f>
        <v>0</v>
      </c>
      <c r="W241" s="315">
        <f t="shared" si="58"/>
        <v>0</v>
      </c>
    </row>
    <row r="242" spans="1:23" ht="15" hidden="1" customHeight="1" x14ac:dyDescent="0.2">
      <c r="A242" s="63">
        <v>535000</v>
      </c>
      <c r="B242" s="895" t="s">
        <v>1618</v>
      </c>
      <c r="C242" s="896" t="s">
        <v>184</v>
      </c>
      <c r="D242" s="906" t="s">
        <v>222</v>
      </c>
      <c r="E242" s="907">
        <f>DMT!$F$16</f>
        <v>0</v>
      </c>
      <c r="F242" s="908">
        <v>0.27200000000000002</v>
      </c>
      <c r="G242" s="949">
        <f t="shared" ref="G242:G259" si="62">IF(E242&lt;=30,(1.07*E242+2.68)*F242,((1.07*30+2.68)+1.07*(E242-30))*F242)</f>
        <v>0.72896000000000005</v>
      </c>
      <c r="H242" s="901">
        <v>109.55</v>
      </c>
      <c r="I242" s="901">
        <f t="shared" si="61"/>
        <v>110.27896</v>
      </c>
      <c r="J242" s="902">
        <f t="shared" si="59"/>
        <v>132.41</v>
      </c>
      <c r="K242" s="903" t="s">
        <v>12</v>
      </c>
      <c r="L242" s="904">
        <f>ROUND(SUM('RES. CENTRAL PARK:RUA_FINAL'!L242),2)</f>
        <v>0</v>
      </c>
      <c r="M242" s="904">
        <f t="shared" si="53"/>
        <v>0</v>
      </c>
      <c r="N242" s="893">
        <f t="shared" si="54"/>
        <v>0</v>
      </c>
      <c r="O242" s="905"/>
      <c r="Q242" s="317" t="str">
        <f t="shared" si="55"/>
        <v/>
      </c>
      <c r="R242" s="317" t="str">
        <f t="shared" si="56"/>
        <v/>
      </c>
      <c r="S242" s="317" t="str">
        <f t="shared" si="57"/>
        <v/>
      </c>
      <c r="V242" s="314">
        <f>SUM('RES. CENTRAL PARK:RUA_FINAL'!N242)</f>
        <v>0</v>
      </c>
      <c r="W242" s="315">
        <f t="shared" si="58"/>
        <v>0</v>
      </c>
    </row>
    <row r="243" spans="1:23" ht="15" hidden="1" customHeight="1" x14ac:dyDescent="0.2">
      <c r="A243" s="63">
        <v>863000</v>
      </c>
      <c r="B243" s="895" t="s">
        <v>1620</v>
      </c>
      <c r="C243" s="896" t="s">
        <v>184</v>
      </c>
      <c r="D243" s="906" t="s">
        <v>223</v>
      </c>
      <c r="E243" s="907">
        <f>DMT!$F$34</f>
        <v>0.1</v>
      </c>
      <c r="F243" s="908">
        <f>2*0.04</f>
        <v>0.08</v>
      </c>
      <c r="G243" s="949">
        <f t="shared" si="62"/>
        <v>0.22296000000000005</v>
      </c>
      <c r="H243" s="901">
        <v>105.61</v>
      </c>
      <c r="I243" s="901">
        <f t="shared" si="61"/>
        <v>105.83296</v>
      </c>
      <c r="J243" s="902">
        <f t="shared" si="59"/>
        <v>127.07</v>
      </c>
      <c r="K243" s="903" t="s">
        <v>12</v>
      </c>
      <c r="L243" s="904">
        <f>ROUND(SUM('RES. CENTRAL PARK:RUA_FINAL'!L243),2)</f>
        <v>0</v>
      </c>
      <c r="M243" s="904">
        <f t="shared" si="53"/>
        <v>0</v>
      </c>
      <c r="N243" s="893">
        <f t="shared" si="54"/>
        <v>0</v>
      </c>
      <c r="O243" s="905"/>
      <c r="Q243" s="317" t="str">
        <f t="shared" si="55"/>
        <v/>
      </c>
      <c r="R243" s="317" t="str">
        <f t="shared" si="56"/>
        <v/>
      </c>
      <c r="S243" s="317" t="str">
        <f t="shared" si="57"/>
        <v/>
      </c>
      <c r="V243" s="314">
        <f>SUM('RES. CENTRAL PARK:RUA_FINAL'!N243)</f>
        <v>0</v>
      </c>
      <c r="W243" s="315">
        <f t="shared" si="58"/>
        <v>0</v>
      </c>
    </row>
    <row r="244" spans="1:23" ht="15" hidden="1" customHeight="1" x14ac:dyDescent="0.2">
      <c r="A244" s="63">
        <v>863000</v>
      </c>
      <c r="B244" s="895" t="s">
        <v>1621</v>
      </c>
      <c r="C244" s="896" t="s">
        <v>184</v>
      </c>
      <c r="D244" s="906" t="s">
        <v>224</v>
      </c>
      <c r="E244" s="907">
        <f>DMT!$F$34</f>
        <v>0.1</v>
      </c>
      <c r="F244" s="908">
        <f>2*0.05</f>
        <v>0.1</v>
      </c>
      <c r="G244" s="949">
        <f t="shared" si="62"/>
        <v>0.27870000000000006</v>
      </c>
      <c r="H244" s="901">
        <v>105.61</v>
      </c>
      <c r="I244" s="901">
        <f t="shared" ref="I244:I254" si="63">IF(ISBLANK(H244),"",SUM(G244:H244))</f>
        <v>105.8887</v>
      </c>
      <c r="J244" s="902">
        <f t="shared" si="59"/>
        <v>127.14</v>
      </c>
      <c r="K244" s="903" t="s">
        <v>12</v>
      </c>
      <c r="L244" s="904">
        <f>ROUND(SUM('RES. CENTRAL PARK:RUA_FINAL'!L244),2)</f>
        <v>0</v>
      </c>
      <c r="M244" s="904">
        <f t="shared" si="53"/>
        <v>0</v>
      </c>
      <c r="N244" s="893">
        <f t="shared" si="54"/>
        <v>0</v>
      </c>
      <c r="O244" s="905"/>
      <c r="Q244" s="317" t="str">
        <f t="shared" si="55"/>
        <v/>
      </c>
      <c r="R244" s="317" t="str">
        <f t="shared" si="56"/>
        <v/>
      </c>
      <c r="S244" s="317" t="str">
        <f t="shared" si="57"/>
        <v/>
      </c>
      <c r="V244" s="314">
        <f>SUM('RES. CENTRAL PARK:RUA_FINAL'!N244)</f>
        <v>0</v>
      </c>
      <c r="W244" s="315">
        <f t="shared" si="58"/>
        <v>0</v>
      </c>
    </row>
    <row r="245" spans="1:23" ht="15" hidden="1" customHeight="1" x14ac:dyDescent="0.2">
      <c r="A245" s="63">
        <v>534906</v>
      </c>
      <c r="B245" s="895" t="s">
        <v>1624</v>
      </c>
      <c r="C245" s="896" t="s">
        <v>184</v>
      </c>
      <c r="D245" s="906" t="s">
        <v>225</v>
      </c>
      <c r="E245" s="907">
        <f>DMT!$F$34</f>
        <v>0.1</v>
      </c>
      <c r="F245" s="908">
        <f>2*0.06</f>
        <v>0.12</v>
      </c>
      <c r="G245" s="949">
        <f t="shared" si="62"/>
        <v>0.33444000000000002</v>
      </c>
      <c r="H245" s="901">
        <v>76.400000000000006</v>
      </c>
      <c r="I245" s="901">
        <f t="shared" si="63"/>
        <v>76.734440000000006</v>
      </c>
      <c r="J245" s="902">
        <f t="shared" si="59"/>
        <v>92.14</v>
      </c>
      <c r="K245" s="903" t="s">
        <v>12</v>
      </c>
      <c r="L245" s="904">
        <f>ROUND(SUM('RES. CENTRAL PARK:RUA_FINAL'!L245),2)</f>
        <v>0</v>
      </c>
      <c r="M245" s="904">
        <f t="shared" si="53"/>
        <v>0</v>
      </c>
      <c r="N245" s="893">
        <f t="shared" si="54"/>
        <v>0</v>
      </c>
      <c r="O245" s="905"/>
      <c r="Q245" s="317" t="str">
        <f t="shared" si="55"/>
        <v/>
      </c>
      <c r="R245" s="317" t="str">
        <f t="shared" si="56"/>
        <v/>
      </c>
      <c r="S245" s="317" t="str">
        <f t="shared" si="57"/>
        <v/>
      </c>
      <c r="V245" s="314">
        <f>SUM('RES. CENTRAL PARK:RUA_FINAL'!N245)</f>
        <v>0</v>
      </c>
      <c r="W245" s="315">
        <f t="shared" si="58"/>
        <v>0</v>
      </c>
    </row>
    <row r="246" spans="1:23" ht="15" hidden="1" customHeight="1" x14ac:dyDescent="0.2">
      <c r="A246" s="63">
        <v>534906</v>
      </c>
      <c r="B246" s="895" t="s">
        <v>1625</v>
      </c>
      <c r="C246" s="896" t="s">
        <v>184</v>
      </c>
      <c r="D246" s="906" t="s">
        <v>226</v>
      </c>
      <c r="E246" s="907">
        <f>DMT!$F$34</f>
        <v>0.1</v>
      </c>
      <c r="F246" s="908">
        <f>2*0.07</f>
        <v>0.14000000000000001</v>
      </c>
      <c r="G246" s="949">
        <f t="shared" si="62"/>
        <v>0.39018000000000008</v>
      </c>
      <c r="H246" s="901">
        <v>76.400000000000006</v>
      </c>
      <c r="I246" s="901">
        <f t="shared" si="63"/>
        <v>76.790180000000007</v>
      </c>
      <c r="J246" s="902">
        <f t="shared" si="59"/>
        <v>92.2</v>
      </c>
      <c r="K246" s="903" t="s">
        <v>12</v>
      </c>
      <c r="L246" s="904">
        <f>ROUND(SUM('RES. CENTRAL PARK:RUA_FINAL'!L246),2)</f>
        <v>0</v>
      </c>
      <c r="M246" s="904">
        <f t="shared" si="53"/>
        <v>0</v>
      </c>
      <c r="N246" s="893">
        <f t="shared" si="54"/>
        <v>0</v>
      </c>
      <c r="O246" s="905"/>
      <c r="Q246" s="317" t="str">
        <f t="shared" si="55"/>
        <v/>
      </c>
      <c r="R246" s="317" t="str">
        <f t="shared" si="56"/>
        <v/>
      </c>
      <c r="S246" s="317" t="str">
        <f t="shared" si="57"/>
        <v/>
      </c>
      <c r="V246" s="314">
        <f>SUM('RES. CENTRAL PARK:RUA_FINAL'!N246)</f>
        <v>0</v>
      </c>
      <c r="W246" s="315">
        <f t="shared" si="58"/>
        <v>0</v>
      </c>
    </row>
    <row r="247" spans="1:23" ht="15" hidden="1" customHeight="1" x14ac:dyDescent="0.2">
      <c r="A247" s="63">
        <v>534906</v>
      </c>
      <c r="B247" s="895" t="s">
        <v>151</v>
      </c>
      <c r="C247" s="896" t="s">
        <v>184</v>
      </c>
      <c r="D247" s="906" t="s">
        <v>227</v>
      </c>
      <c r="E247" s="907">
        <f>DMT!$F$34</f>
        <v>0.1</v>
      </c>
      <c r="F247" s="908">
        <f>2*0.08</f>
        <v>0.16</v>
      </c>
      <c r="G247" s="949">
        <f t="shared" si="62"/>
        <v>0.44592000000000009</v>
      </c>
      <c r="H247" s="901">
        <v>76.400000000000006</v>
      </c>
      <c r="I247" s="901">
        <f t="shared" si="63"/>
        <v>76.845920000000007</v>
      </c>
      <c r="J247" s="902">
        <f t="shared" si="59"/>
        <v>92.27</v>
      </c>
      <c r="K247" s="903" t="s">
        <v>12</v>
      </c>
      <c r="L247" s="904">
        <f>ROUND(SUM('RES. CENTRAL PARK:RUA_FINAL'!L247),2)</f>
        <v>0</v>
      </c>
      <c r="M247" s="904">
        <f t="shared" si="53"/>
        <v>0</v>
      </c>
      <c r="N247" s="893">
        <f t="shared" si="54"/>
        <v>0</v>
      </c>
      <c r="O247" s="905"/>
      <c r="Q247" s="317" t="str">
        <f t="shared" si="55"/>
        <v/>
      </c>
      <c r="R247" s="317" t="str">
        <f t="shared" si="56"/>
        <v/>
      </c>
      <c r="S247" s="317" t="str">
        <f t="shared" si="57"/>
        <v/>
      </c>
      <c r="V247" s="314">
        <f>SUM('RES. CENTRAL PARK:RUA_FINAL'!N247)</f>
        <v>0</v>
      </c>
      <c r="W247" s="315">
        <f t="shared" si="58"/>
        <v>0</v>
      </c>
    </row>
    <row r="248" spans="1:23" ht="15" hidden="1" customHeight="1" x14ac:dyDescent="0.2">
      <c r="A248" s="63">
        <v>534906</v>
      </c>
      <c r="B248" s="895" t="s">
        <v>207</v>
      </c>
      <c r="C248" s="896" t="s">
        <v>184</v>
      </c>
      <c r="D248" s="906" t="s">
        <v>228</v>
      </c>
      <c r="E248" s="907">
        <f>DMT!$F$34</f>
        <v>0.1</v>
      </c>
      <c r="F248" s="908">
        <f>2*0.1</f>
        <v>0.2</v>
      </c>
      <c r="G248" s="949">
        <f t="shared" si="62"/>
        <v>0.55740000000000012</v>
      </c>
      <c r="H248" s="901">
        <v>76.400000000000006</v>
      </c>
      <c r="I248" s="901">
        <f t="shared" si="63"/>
        <v>76.957400000000007</v>
      </c>
      <c r="J248" s="902">
        <f t="shared" si="59"/>
        <v>92.4</v>
      </c>
      <c r="K248" s="903" t="s">
        <v>12</v>
      </c>
      <c r="L248" s="904">
        <f>ROUND(SUM('RES. CENTRAL PARK:RUA_FINAL'!L248),2)</f>
        <v>0</v>
      </c>
      <c r="M248" s="904">
        <f t="shared" si="53"/>
        <v>0</v>
      </c>
      <c r="N248" s="893">
        <f t="shared" si="54"/>
        <v>0</v>
      </c>
      <c r="O248" s="905"/>
      <c r="Q248" s="317" t="str">
        <f t="shared" si="55"/>
        <v/>
      </c>
      <c r="R248" s="317" t="str">
        <f t="shared" si="56"/>
        <v/>
      </c>
      <c r="S248" s="317" t="str">
        <f t="shared" si="57"/>
        <v/>
      </c>
      <c r="V248" s="314">
        <f>SUM('RES. CENTRAL PARK:RUA_FINAL'!N248)</f>
        <v>0</v>
      </c>
      <c r="W248" s="315">
        <f t="shared" si="58"/>
        <v>0</v>
      </c>
    </row>
    <row r="249" spans="1:23" ht="15" hidden="1" customHeight="1" x14ac:dyDescent="0.2">
      <c r="A249" s="63">
        <v>534906</v>
      </c>
      <c r="B249" s="895" t="s">
        <v>208</v>
      </c>
      <c r="C249" s="896" t="s">
        <v>184</v>
      </c>
      <c r="D249" s="906" t="s">
        <v>803</v>
      </c>
      <c r="E249" s="907">
        <f>DMT!$F$37</f>
        <v>0.1</v>
      </c>
      <c r="F249" s="908">
        <v>0.14000000000000001</v>
      </c>
      <c r="G249" s="949">
        <f t="shared" si="62"/>
        <v>0.39018000000000008</v>
      </c>
      <c r="H249" s="901">
        <v>76.400000000000006</v>
      </c>
      <c r="I249" s="901">
        <f t="shared" si="63"/>
        <v>76.790180000000007</v>
      </c>
      <c r="J249" s="902">
        <f t="shared" si="59"/>
        <v>92.2</v>
      </c>
      <c r="K249" s="903" t="s">
        <v>12</v>
      </c>
      <c r="L249" s="904">
        <f>ROUND(SUM('RES. CENTRAL PARK:RUA_FINAL'!L249),2)</f>
        <v>0</v>
      </c>
      <c r="M249" s="904">
        <f t="shared" si="53"/>
        <v>0</v>
      </c>
      <c r="N249" s="893">
        <f t="shared" si="54"/>
        <v>0</v>
      </c>
      <c r="O249" s="905"/>
      <c r="Q249" s="317" t="str">
        <f t="shared" si="55"/>
        <v/>
      </c>
      <c r="R249" s="317" t="str">
        <f t="shared" si="56"/>
        <v/>
      </c>
      <c r="S249" s="317" t="str">
        <f t="shared" si="57"/>
        <v/>
      </c>
      <c r="V249" s="314">
        <f>SUM('RES. CENTRAL PARK:RUA_FINAL'!N249)</f>
        <v>0</v>
      </c>
      <c r="W249" s="315">
        <f t="shared" si="58"/>
        <v>0</v>
      </c>
    </row>
    <row r="250" spans="1:23" ht="15" hidden="1" customHeight="1" x14ac:dyDescent="0.2">
      <c r="A250" s="63">
        <v>534906</v>
      </c>
      <c r="B250" s="895" t="s">
        <v>209</v>
      </c>
      <c r="C250" s="896" t="s">
        <v>184</v>
      </c>
      <c r="D250" s="906" t="s">
        <v>804</v>
      </c>
      <c r="E250" s="907">
        <f>DMT!$F$37</f>
        <v>0.1</v>
      </c>
      <c r="F250" s="908">
        <v>0.14000000000000001</v>
      </c>
      <c r="G250" s="949">
        <f t="shared" si="62"/>
        <v>0.39018000000000008</v>
      </c>
      <c r="H250" s="901">
        <v>76.400000000000006</v>
      </c>
      <c r="I250" s="901">
        <f t="shared" si="63"/>
        <v>76.790180000000007</v>
      </c>
      <c r="J250" s="902">
        <f t="shared" si="59"/>
        <v>92.2</v>
      </c>
      <c r="K250" s="903" t="s">
        <v>12</v>
      </c>
      <c r="L250" s="904">
        <f>ROUND(SUM('RES. CENTRAL PARK:RUA_FINAL'!L250),2)</f>
        <v>0</v>
      </c>
      <c r="M250" s="904">
        <f t="shared" si="53"/>
        <v>0</v>
      </c>
      <c r="N250" s="893">
        <f t="shared" si="54"/>
        <v>0</v>
      </c>
      <c r="O250" s="905"/>
      <c r="Q250" s="317" t="str">
        <f t="shared" si="55"/>
        <v/>
      </c>
      <c r="R250" s="317" t="str">
        <f t="shared" si="56"/>
        <v/>
      </c>
      <c r="S250" s="317" t="str">
        <f t="shared" si="57"/>
        <v/>
      </c>
      <c r="V250" s="314">
        <f>SUM('RES. CENTRAL PARK:RUA_FINAL'!N250)</f>
        <v>0</v>
      </c>
      <c r="W250" s="315">
        <f t="shared" si="58"/>
        <v>0</v>
      </c>
    </row>
    <row r="251" spans="1:23" ht="15" hidden="1" customHeight="1" x14ac:dyDescent="0.2">
      <c r="A251" s="63">
        <v>534908</v>
      </c>
      <c r="B251" s="895" t="s">
        <v>148</v>
      </c>
      <c r="C251" s="896" t="s">
        <v>184</v>
      </c>
      <c r="D251" s="906" t="s">
        <v>805</v>
      </c>
      <c r="E251" s="907">
        <f>DMT!$F$37</f>
        <v>0.1</v>
      </c>
      <c r="F251" s="908">
        <v>0.18</v>
      </c>
      <c r="G251" s="949">
        <f t="shared" si="62"/>
        <v>0.50165999999999999</v>
      </c>
      <c r="H251" s="901">
        <v>89.6</v>
      </c>
      <c r="I251" s="901">
        <f t="shared" si="63"/>
        <v>90.101659999999995</v>
      </c>
      <c r="J251" s="902">
        <f t="shared" si="59"/>
        <v>108.19</v>
      </c>
      <c r="K251" s="903" t="s">
        <v>12</v>
      </c>
      <c r="L251" s="904">
        <f>ROUND(SUM('RES. CENTRAL PARK:RUA_FINAL'!L251),2)</f>
        <v>0</v>
      </c>
      <c r="M251" s="904">
        <f t="shared" si="53"/>
        <v>0</v>
      </c>
      <c r="N251" s="893">
        <f t="shared" si="54"/>
        <v>0</v>
      </c>
      <c r="O251" s="905"/>
      <c r="Q251" s="317" t="str">
        <f t="shared" si="55"/>
        <v/>
      </c>
      <c r="R251" s="317" t="str">
        <f t="shared" si="56"/>
        <v/>
      </c>
      <c r="S251" s="317" t="str">
        <f t="shared" si="57"/>
        <v/>
      </c>
      <c r="V251" s="314">
        <f>SUM('RES. CENTRAL PARK:RUA_FINAL'!N251)</f>
        <v>0</v>
      </c>
      <c r="W251" s="315">
        <f t="shared" si="58"/>
        <v>0</v>
      </c>
    </row>
    <row r="252" spans="1:23" ht="15" hidden="1" customHeight="1" x14ac:dyDescent="0.2">
      <c r="A252" s="63">
        <v>534908</v>
      </c>
      <c r="B252" s="895" t="s">
        <v>149</v>
      </c>
      <c r="C252" s="896" t="s">
        <v>184</v>
      </c>
      <c r="D252" s="906" t="s">
        <v>806</v>
      </c>
      <c r="E252" s="907">
        <f>DMT!$F$37</f>
        <v>0.1</v>
      </c>
      <c r="F252" s="908">
        <v>0.18</v>
      </c>
      <c r="G252" s="949">
        <f t="shared" si="62"/>
        <v>0.50165999999999999</v>
      </c>
      <c r="H252" s="901">
        <v>89.6</v>
      </c>
      <c r="I252" s="901">
        <f t="shared" si="63"/>
        <v>90.101659999999995</v>
      </c>
      <c r="J252" s="902">
        <f t="shared" si="59"/>
        <v>108.19</v>
      </c>
      <c r="K252" s="903" t="s">
        <v>12</v>
      </c>
      <c r="L252" s="904">
        <f>ROUND(SUM('RES. CENTRAL PARK:RUA_FINAL'!L252),2)</f>
        <v>0</v>
      </c>
      <c r="M252" s="904">
        <f t="shared" si="53"/>
        <v>0</v>
      </c>
      <c r="N252" s="893">
        <f t="shared" si="54"/>
        <v>0</v>
      </c>
      <c r="O252" s="905"/>
      <c r="Q252" s="317" t="str">
        <f t="shared" si="55"/>
        <v/>
      </c>
      <c r="R252" s="317" t="str">
        <f t="shared" si="56"/>
        <v/>
      </c>
      <c r="S252" s="317" t="str">
        <f t="shared" si="57"/>
        <v/>
      </c>
      <c r="V252" s="314">
        <f>SUM('RES. CENTRAL PARK:RUA_FINAL'!N252)</f>
        <v>0</v>
      </c>
      <c r="W252" s="315">
        <f t="shared" si="58"/>
        <v>0</v>
      </c>
    </row>
    <row r="253" spans="1:23" ht="15" hidden="1" customHeight="1" x14ac:dyDescent="0.2">
      <c r="A253" s="63">
        <v>534908</v>
      </c>
      <c r="B253" s="895" t="s">
        <v>150</v>
      </c>
      <c r="C253" s="896" t="s">
        <v>184</v>
      </c>
      <c r="D253" s="906" t="s">
        <v>807</v>
      </c>
      <c r="E253" s="907">
        <f>DMT!$F$37</f>
        <v>0.1</v>
      </c>
      <c r="F253" s="908">
        <v>0.22</v>
      </c>
      <c r="G253" s="949">
        <f t="shared" si="62"/>
        <v>0.61314000000000013</v>
      </c>
      <c r="H253" s="901">
        <v>89.6</v>
      </c>
      <c r="I253" s="901">
        <f t="shared" si="63"/>
        <v>90.213139999999996</v>
      </c>
      <c r="J253" s="902">
        <f t="shared" si="59"/>
        <v>108.32</v>
      </c>
      <c r="K253" s="903" t="s">
        <v>12</v>
      </c>
      <c r="L253" s="904">
        <f>ROUND(SUM('RES. CENTRAL PARK:RUA_FINAL'!L253),2)</f>
        <v>0</v>
      </c>
      <c r="M253" s="904">
        <f t="shared" si="53"/>
        <v>0</v>
      </c>
      <c r="N253" s="893">
        <f t="shared" si="54"/>
        <v>0</v>
      </c>
      <c r="O253" s="905"/>
      <c r="Q253" s="317" t="str">
        <f t="shared" si="55"/>
        <v/>
      </c>
      <c r="R253" s="317" t="str">
        <f t="shared" si="56"/>
        <v/>
      </c>
      <c r="S253" s="317" t="str">
        <f t="shared" si="57"/>
        <v/>
      </c>
      <c r="V253" s="314">
        <f>SUM('RES. CENTRAL PARK:RUA_FINAL'!N253)</f>
        <v>0</v>
      </c>
      <c r="W253" s="315">
        <f t="shared" si="58"/>
        <v>0</v>
      </c>
    </row>
    <row r="254" spans="1:23" ht="15" hidden="1" customHeight="1" x14ac:dyDescent="0.2">
      <c r="A254" s="63">
        <v>534908</v>
      </c>
      <c r="B254" s="895" t="s">
        <v>210</v>
      </c>
      <c r="C254" s="896" t="s">
        <v>184</v>
      </c>
      <c r="D254" s="906" t="s">
        <v>808</v>
      </c>
      <c r="E254" s="907">
        <f>DMT!$F$37</f>
        <v>0.1</v>
      </c>
      <c r="F254" s="908">
        <v>0.22</v>
      </c>
      <c r="G254" s="949">
        <f t="shared" si="62"/>
        <v>0.61314000000000013</v>
      </c>
      <c r="H254" s="901">
        <v>89.6</v>
      </c>
      <c r="I254" s="901">
        <f t="shared" si="63"/>
        <v>90.213139999999996</v>
      </c>
      <c r="J254" s="902">
        <f t="shared" si="59"/>
        <v>108.32</v>
      </c>
      <c r="K254" s="903" t="s">
        <v>12</v>
      </c>
      <c r="L254" s="904">
        <f>ROUND(SUM('RES. CENTRAL PARK:RUA_FINAL'!L254),2)</f>
        <v>0</v>
      </c>
      <c r="M254" s="904">
        <f t="shared" si="53"/>
        <v>0</v>
      </c>
      <c r="N254" s="893">
        <f t="shared" si="54"/>
        <v>0</v>
      </c>
      <c r="O254" s="905"/>
      <c r="Q254" s="317" t="str">
        <f t="shared" si="55"/>
        <v/>
      </c>
      <c r="R254" s="317" t="str">
        <f t="shared" si="56"/>
        <v/>
      </c>
      <c r="S254" s="317" t="str">
        <f t="shared" si="57"/>
        <v/>
      </c>
      <c r="V254" s="314">
        <f>SUM('RES. CENTRAL PARK:RUA_FINAL'!N254)</f>
        <v>0</v>
      </c>
      <c r="W254" s="315">
        <f t="shared" si="58"/>
        <v>0</v>
      </c>
    </row>
    <row r="255" spans="1:23" ht="15" hidden="1" customHeight="1" thickBot="1" x14ac:dyDescent="0.25">
      <c r="A255" s="63">
        <v>101090</v>
      </c>
      <c r="B255" s="995" t="s">
        <v>1634</v>
      </c>
      <c r="C255" s="996" t="s">
        <v>596</v>
      </c>
      <c r="D255" s="965" t="s">
        <v>1518</v>
      </c>
      <c r="E255" s="966">
        <f>DMT!$F$17</f>
        <v>0</v>
      </c>
      <c r="F255" s="997">
        <v>0.3</v>
      </c>
      <c r="G255" s="968">
        <f t="shared" si="62"/>
        <v>0.80400000000000005</v>
      </c>
      <c r="H255" s="940">
        <v>291.81</v>
      </c>
      <c r="I255" s="940">
        <f>IF(ISBLANK(H255),"",SUM(G255:H255))</f>
        <v>292.61399999999998</v>
      </c>
      <c r="J255" s="969">
        <f t="shared" si="59"/>
        <v>351.34</v>
      </c>
      <c r="K255" s="970" t="s">
        <v>12</v>
      </c>
      <c r="L255" s="998">
        <f>ROUND(SUM('RES. CENTRAL PARK:RUA_FINAL'!L255),2)</f>
        <v>0</v>
      </c>
      <c r="M255" s="998">
        <f t="shared" si="53"/>
        <v>0</v>
      </c>
      <c r="N255" s="942">
        <f t="shared" si="54"/>
        <v>0</v>
      </c>
      <c r="O255" s="905"/>
      <c r="Q255" s="317" t="str">
        <f t="shared" si="55"/>
        <v/>
      </c>
      <c r="R255" s="317" t="str">
        <f t="shared" si="56"/>
        <v/>
      </c>
      <c r="S255" s="317" t="str">
        <f t="shared" si="57"/>
        <v/>
      </c>
      <c r="V255" s="314">
        <f>SUM('RES. CENTRAL PARK:RUA_FINAL'!N255)</f>
        <v>0</v>
      </c>
      <c r="W255" s="315">
        <f t="shared" si="58"/>
        <v>0</v>
      </c>
    </row>
    <row r="256" spans="1:23" ht="15" hidden="1" customHeight="1" x14ac:dyDescent="0.2">
      <c r="A256" s="63">
        <v>562100</v>
      </c>
      <c r="B256" s="999" t="s">
        <v>1636</v>
      </c>
      <c r="C256" s="1000" t="s">
        <v>184</v>
      </c>
      <c r="D256" s="973" t="s">
        <v>544</v>
      </c>
      <c r="E256" s="974" t="s">
        <v>545</v>
      </c>
      <c r="F256" s="975">
        <v>1.5E-3</v>
      </c>
      <c r="G256" s="976">
        <f>SUM(G257:G259)</f>
        <v>0.44321160000000004</v>
      </c>
      <c r="H256" s="977">
        <v>3.09</v>
      </c>
      <c r="I256" s="977">
        <f>IF(ISBLANK(H256),"",SUM(G256:H256))</f>
        <v>3.5332116</v>
      </c>
      <c r="J256" s="978">
        <f t="shared" si="59"/>
        <v>4.24</v>
      </c>
      <c r="K256" s="979" t="s">
        <v>12</v>
      </c>
      <c r="L256" s="980">
        <f>ROUND(SUM('RES. CENTRAL PARK:RUA_FINAL'!L256),2)</f>
        <v>0</v>
      </c>
      <c r="M256" s="981">
        <f t="shared" si="53"/>
        <v>0</v>
      </c>
      <c r="N256" s="982">
        <f t="shared" si="54"/>
        <v>0</v>
      </c>
      <c r="O256" s="905"/>
      <c r="Q256" s="317" t="str">
        <f t="shared" si="55"/>
        <v/>
      </c>
      <c r="R256" s="317" t="str">
        <f t="shared" si="56"/>
        <v/>
      </c>
      <c r="S256" s="317" t="str">
        <f t="shared" si="57"/>
        <v/>
      </c>
      <c r="V256" s="314">
        <f>SUM('RES. CENTRAL PARK:RUA_FINAL'!N256)</f>
        <v>0</v>
      </c>
      <c r="W256" s="315">
        <f t="shared" si="58"/>
        <v>0</v>
      </c>
    </row>
    <row r="257" spans="1:23" ht="15" hidden="1" customHeight="1" x14ac:dyDescent="0.2">
      <c r="A257" s="63" t="s">
        <v>147</v>
      </c>
      <c r="B257" s="895" t="s">
        <v>147</v>
      </c>
      <c r="C257" s="896"/>
      <c r="D257" s="1001" t="s">
        <v>229</v>
      </c>
      <c r="E257" s="907">
        <f>DMT!$F$42</f>
        <v>150</v>
      </c>
      <c r="F257" s="1002" t="s">
        <v>69</v>
      </c>
      <c r="G257" s="949">
        <f t="shared" si="62"/>
        <v>0.40795000000000003</v>
      </c>
      <c r="H257" s="901">
        <v>0</v>
      </c>
      <c r="I257" s="901"/>
      <c r="J257" s="902">
        <v>0</v>
      </c>
      <c r="K257" s="903" t="s">
        <v>507</v>
      </c>
      <c r="L257" s="1003">
        <f>ROUND(SUM('RES. CENTRAL PARK:RUA_FINAL'!L257),2)</f>
        <v>0</v>
      </c>
      <c r="M257" s="960">
        <f t="shared" si="53"/>
        <v>0</v>
      </c>
      <c r="N257" s="893">
        <f t="shared" si="54"/>
        <v>0</v>
      </c>
      <c r="O257" s="905"/>
      <c r="P257" s="58" t="str">
        <f>IF(N256&gt;0,"xx",IF(N256&gt;0,"xy",""))</f>
        <v/>
      </c>
      <c r="Q257" s="317" t="str">
        <f t="shared" si="55"/>
        <v/>
      </c>
      <c r="R257" s="317" t="str">
        <f t="shared" si="56"/>
        <v/>
      </c>
      <c r="S257" s="317" t="str">
        <f t="shared" si="57"/>
        <v/>
      </c>
      <c r="V257" s="314">
        <f>SUM('RES. CENTRAL PARK:RUA_FINAL'!N257)</f>
        <v>0</v>
      </c>
      <c r="W257" s="315">
        <f t="shared" si="58"/>
        <v>0</v>
      </c>
    </row>
    <row r="258" spans="1:23" ht="15" hidden="1" customHeight="1" x14ac:dyDescent="0.2">
      <c r="A258" s="63" t="s">
        <v>147</v>
      </c>
      <c r="B258" s="895" t="s">
        <v>147</v>
      </c>
      <c r="C258" s="896"/>
      <c r="D258" s="1001" t="s">
        <v>230</v>
      </c>
      <c r="E258" s="907">
        <f>DMT!$D$46</f>
        <v>353</v>
      </c>
      <c r="F258" s="1002" t="s">
        <v>70</v>
      </c>
      <c r="G258" s="909">
        <f>IF(E258&lt;=30,(0.78*E258+7.82)*F258,((0.78*30+7.82)+0.78*(E258-30))*F258)</f>
        <v>2.8316000000000004E-2</v>
      </c>
      <c r="H258" s="901">
        <v>0</v>
      </c>
      <c r="I258" s="901"/>
      <c r="J258" s="902">
        <v>0</v>
      </c>
      <c r="K258" s="903" t="s">
        <v>507</v>
      </c>
      <c r="L258" s="1003">
        <f>ROUND(SUM('RES. CENTRAL PARK:RUA_FINAL'!L258),2)</f>
        <v>0</v>
      </c>
      <c r="M258" s="960">
        <f t="shared" si="53"/>
        <v>0</v>
      </c>
      <c r="N258" s="893">
        <f t="shared" si="54"/>
        <v>0</v>
      </c>
      <c r="O258" s="905"/>
      <c r="P258" s="58" t="str">
        <f>IF(N256&gt;0,"xx",IF(N256&gt;0,"xy",""))</f>
        <v/>
      </c>
      <c r="Q258" s="317" t="str">
        <f t="shared" si="55"/>
        <v/>
      </c>
      <c r="R258" s="317" t="str">
        <f t="shared" si="56"/>
        <v/>
      </c>
      <c r="S258" s="317" t="str">
        <f t="shared" si="57"/>
        <v/>
      </c>
      <c r="V258" s="314">
        <f>SUM('RES. CENTRAL PARK:RUA_FINAL'!N258)</f>
        <v>0</v>
      </c>
      <c r="W258" s="315">
        <f t="shared" si="58"/>
        <v>0</v>
      </c>
    </row>
    <row r="259" spans="1:23" ht="15" hidden="1" customHeight="1" x14ac:dyDescent="0.2">
      <c r="A259" s="63" t="s">
        <v>147</v>
      </c>
      <c r="B259" s="895" t="s">
        <v>147</v>
      </c>
      <c r="C259" s="896"/>
      <c r="D259" s="1001" t="s">
        <v>231</v>
      </c>
      <c r="E259" s="907">
        <f>DMT!$F$44</f>
        <v>0.2</v>
      </c>
      <c r="F259" s="908" t="s">
        <v>71</v>
      </c>
      <c r="G259" s="949">
        <f t="shared" si="62"/>
        <v>6.9455999999999997E-3</v>
      </c>
      <c r="H259" s="901">
        <v>0</v>
      </c>
      <c r="I259" s="901"/>
      <c r="J259" s="902">
        <v>0</v>
      </c>
      <c r="K259" s="903" t="s">
        <v>507</v>
      </c>
      <c r="L259" s="1003">
        <f>ROUND(SUM('RES. CENTRAL PARK:RUA_FINAL'!L259),2)</f>
        <v>0</v>
      </c>
      <c r="M259" s="960">
        <f t="shared" si="53"/>
        <v>0</v>
      </c>
      <c r="N259" s="893">
        <f t="shared" si="54"/>
        <v>0</v>
      </c>
      <c r="O259" s="905"/>
      <c r="P259" s="58" t="str">
        <f>IF(N256&gt;0,"xx",IF(N256&gt;0,"xy",""))</f>
        <v/>
      </c>
      <c r="Q259" s="317" t="str">
        <f t="shared" si="55"/>
        <v/>
      </c>
      <c r="R259" s="317" t="str">
        <f t="shared" si="56"/>
        <v/>
      </c>
      <c r="S259" s="317" t="str">
        <f t="shared" si="57"/>
        <v/>
      </c>
      <c r="V259" s="314">
        <f>SUM('RES. CENTRAL PARK:RUA_FINAL'!N259)</f>
        <v>0</v>
      </c>
      <c r="W259" s="315">
        <f t="shared" si="58"/>
        <v>0</v>
      </c>
    </row>
    <row r="260" spans="1:23" ht="15" hidden="1" customHeight="1" thickBot="1" x14ac:dyDescent="0.25">
      <c r="A260" s="63">
        <v>589170</v>
      </c>
      <c r="B260" s="1004" t="s">
        <v>1671</v>
      </c>
      <c r="C260" s="984" t="s">
        <v>213</v>
      </c>
      <c r="D260" s="985" t="s">
        <v>543</v>
      </c>
      <c r="E260" s="1005">
        <f>DMT!$D$47</f>
        <v>45</v>
      </c>
      <c r="F260" s="1006">
        <v>1</v>
      </c>
      <c r="G260" s="949">
        <f>(0.84*E260+41.45)*F260</f>
        <v>79.25</v>
      </c>
      <c r="H260" s="988">
        <v>4031.59</v>
      </c>
      <c r="I260" s="988">
        <f>IF(ISBLANK(H260),"",H260*(1+$E$9)/(1+$E$10))+G260</f>
        <v>3950.0061855584249</v>
      </c>
      <c r="J260" s="989">
        <f t="shared" si="59"/>
        <v>4742.7700000000004</v>
      </c>
      <c r="K260" s="990" t="s">
        <v>14</v>
      </c>
      <c r="L260" s="991">
        <f>ROUND(SUM('RES. CENTRAL PARK:RUA_FINAL'!L260),2)</f>
        <v>0</v>
      </c>
      <c r="M260" s="998">
        <f t="shared" si="53"/>
        <v>0</v>
      </c>
      <c r="N260" s="993">
        <f t="shared" si="54"/>
        <v>0</v>
      </c>
      <c r="O260" s="905"/>
      <c r="P260" s="58" t="str">
        <f>IF(N256&gt;0,"xx",IF(N256&gt;0,"xy",""))</f>
        <v/>
      </c>
      <c r="Q260" s="317" t="str">
        <f t="shared" si="55"/>
        <v/>
      </c>
      <c r="R260" s="317" t="str">
        <f t="shared" si="56"/>
        <v/>
      </c>
      <c r="S260" s="317" t="str">
        <f t="shared" si="57"/>
        <v/>
      </c>
      <c r="V260" s="314">
        <f>SUM('RES. CENTRAL PARK:RUA_FINAL'!N260)</f>
        <v>0</v>
      </c>
      <c r="W260" s="315">
        <f t="shared" si="58"/>
        <v>0</v>
      </c>
    </row>
    <row r="261" spans="1:23" ht="15" hidden="1" customHeight="1" x14ac:dyDescent="0.2">
      <c r="A261" s="63">
        <v>562100</v>
      </c>
      <c r="B261" s="999" t="s">
        <v>1637</v>
      </c>
      <c r="C261" s="1000" t="s">
        <v>184</v>
      </c>
      <c r="D261" s="973" t="s">
        <v>550</v>
      </c>
      <c r="E261" s="974" t="s">
        <v>545</v>
      </c>
      <c r="F261" s="975">
        <v>1.8E-3</v>
      </c>
      <c r="G261" s="976">
        <f>SUM(G262:G264)</f>
        <v>0.68366160000000009</v>
      </c>
      <c r="H261" s="977">
        <v>3.09</v>
      </c>
      <c r="I261" s="977">
        <f>IF(ISBLANK(H261),"",SUM(G261:H261))</f>
        <v>3.7736616000000001</v>
      </c>
      <c r="J261" s="978">
        <f t="shared" si="59"/>
        <v>4.53</v>
      </c>
      <c r="K261" s="979" t="s">
        <v>12</v>
      </c>
      <c r="L261" s="980">
        <f>ROUND(SUM('RES. CENTRAL PARK:RUA_FINAL'!L261),2)</f>
        <v>0</v>
      </c>
      <c r="M261" s="981">
        <f t="shared" si="53"/>
        <v>0</v>
      </c>
      <c r="N261" s="982">
        <f t="shared" si="54"/>
        <v>0</v>
      </c>
      <c r="O261" s="905"/>
      <c r="Q261" s="317" t="str">
        <f t="shared" si="55"/>
        <v/>
      </c>
      <c r="R261" s="317" t="str">
        <f t="shared" si="56"/>
        <v/>
      </c>
      <c r="S261" s="317" t="str">
        <f t="shared" si="57"/>
        <v/>
      </c>
      <c r="V261" s="314">
        <f>SUM('RES. CENTRAL PARK:RUA_FINAL'!N261)</f>
        <v>0</v>
      </c>
      <c r="W261" s="315">
        <f t="shared" si="58"/>
        <v>0</v>
      </c>
    </row>
    <row r="262" spans="1:23" ht="15" hidden="1" customHeight="1" x14ac:dyDescent="0.2">
      <c r="A262" s="63" t="s">
        <v>147</v>
      </c>
      <c r="B262" s="895" t="s">
        <v>147</v>
      </c>
      <c r="C262" s="896"/>
      <c r="D262" s="1001" t="s">
        <v>229</v>
      </c>
      <c r="E262" s="907">
        <f>DMT!$F$42</f>
        <v>150</v>
      </c>
      <c r="F262" s="1002" t="s">
        <v>72</v>
      </c>
      <c r="G262" s="949">
        <f t="shared" ref="G262:G264" si="64">IF(E262&lt;=30,(1.07*E262+2.68)*F262,((1.07*30+2.68)+1.07*(E262-30))*F262)</f>
        <v>0.62008400000000008</v>
      </c>
      <c r="H262" s="901">
        <v>0</v>
      </c>
      <c r="I262" s="901"/>
      <c r="J262" s="902">
        <v>0</v>
      </c>
      <c r="K262" s="903" t="s">
        <v>507</v>
      </c>
      <c r="L262" s="1003">
        <f>ROUND(SUM('RES. CENTRAL PARK:RUA_FINAL'!L262),2)</f>
        <v>0</v>
      </c>
      <c r="M262" s="960">
        <f t="shared" si="53"/>
        <v>0</v>
      </c>
      <c r="N262" s="893">
        <f t="shared" si="54"/>
        <v>0</v>
      </c>
      <c r="O262" s="905"/>
      <c r="P262" s="58" t="str">
        <f>IF(N261&gt;0,"xx",IF(N261&gt;0,"xy",""))</f>
        <v/>
      </c>
      <c r="Q262" s="317" t="str">
        <f t="shared" si="55"/>
        <v/>
      </c>
      <c r="R262" s="317" t="str">
        <f t="shared" si="56"/>
        <v/>
      </c>
      <c r="S262" s="317" t="str">
        <f t="shared" si="57"/>
        <v/>
      </c>
      <c r="V262" s="314">
        <f>SUM('RES. CENTRAL PARK:RUA_FINAL'!N262)</f>
        <v>0</v>
      </c>
      <c r="W262" s="315">
        <f t="shared" si="58"/>
        <v>0</v>
      </c>
    </row>
    <row r="263" spans="1:23" ht="15" hidden="1" customHeight="1" x14ac:dyDescent="0.2">
      <c r="A263" s="63" t="s">
        <v>147</v>
      </c>
      <c r="B263" s="895" t="s">
        <v>147</v>
      </c>
      <c r="C263" s="896"/>
      <c r="D263" s="1001" t="s">
        <v>230</v>
      </c>
      <c r="E263" s="907">
        <f>DMT!$D$46</f>
        <v>353</v>
      </c>
      <c r="F263" s="1002" t="s">
        <v>73</v>
      </c>
      <c r="G263" s="909">
        <f>IF(E263&lt;=30,(0.78*E263+7.82)*F263,((0.78*30+7.82)+0.78*(E263-30))*F263)</f>
        <v>5.6632000000000009E-2</v>
      </c>
      <c r="H263" s="901">
        <v>0</v>
      </c>
      <c r="I263" s="901"/>
      <c r="J263" s="902">
        <v>0</v>
      </c>
      <c r="K263" s="903" t="s">
        <v>507</v>
      </c>
      <c r="L263" s="1003">
        <f>ROUND(SUM('RES. CENTRAL PARK:RUA_FINAL'!L263),2)</f>
        <v>0</v>
      </c>
      <c r="M263" s="960">
        <f t="shared" si="53"/>
        <v>0</v>
      </c>
      <c r="N263" s="893">
        <f t="shared" si="54"/>
        <v>0</v>
      </c>
      <c r="O263" s="905"/>
      <c r="P263" s="58" t="str">
        <f>IF(N261&gt;0,"xx",IF(N261&gt;0,"xy",""))</f>
        <v/>
      </c>
      <c r="Q263" s="317" t="str">
        <f t="shared" si="55"/>
        <v/>
      </c>
      <c r="R263" s="317" t="str">
        <f t="shared" si="56"/>
        <v/>
      </c>
      <c r="S263" s="317" t="str">
        <f t="shared" si="57"/>
        <v/>
      </c>
      <c r="V263" s="314">
        <f>SUM('RES. CENTRAL PARK:RUA_FINAL'!N263)</f>
        <v>0</v>
      </c>
      <c r="W263" s="315">
        <f t="shared" si="58"/>
        <v>0</v>
      </c>
    </row>
    <row r="264" spans="1:23" ht="15" hidden="1" customHeight="1" x14ac:dyDescent="0.2">
      <c r="A264" s="63" t="s">
        <v>147</v>
      </c>
      <c r="B264" s="895" t="s">
        <v>147</v>
      </c>
      <c r="C264" s="896"/>
      <c r="D264" s="957" t="s">
        <v>231</v>
      </c>
      <c r="E264" s="907">
        <f>DMT!$F$44</f>
        <v>0.2</v>
      </c>
      <c r="F264" s="908" t="s">
        <v>71</v>
      </c>
      <c r="G264" s="949">
        <f t="shared" si="64"/>
        <v>6.9455999999999997E-3</v>
      </c>
      <c r="H264" s="901">
        <v>0</v>
      </c>
      <c r="I264" s="901"/>
      <c r="J264" s="902">
        <v>0</v>
      </c>
      <c r="K264" s="903" t="s">
        <v>507</v>
      </c>
      <c r="L264" s="1003">
        <f>ROUND(SUM('RES. CENTRAL PARK:RUA_FINAL'!L264),2)</f>
        <v>0</v>
      </c>
      <c r="M264" s="960">
        <f t="shared" si="53"/>
        <v>0</v>
      </c>
      <c r="N264" s="893">
        <f t="shared" si="54"/>
        <v>0</v>
      </c>
      <c r="O264" s="905"/>
      <c r="P264" s="58" t="str">
        <f>IF(N261&gt;0,"xx",IF(N261&gt;0,"xy",""))</f>
        <v/>
      </c>
      <c r="Q264" s="317" t="str">
        <f t="shared" si="55"/>
        <v/>
      </c>
      <c r="R264" s="317" t="str">
        <f t="shared" si="56"/>
        <v/>
      </c>
      <c r="S264" s="317" t="str">
        <f t="shared" si="57"/>
        <v/>
      </c>
      <c r="V264" s="314">
        <f>SUM('RES. CENTRAL PARK:RUA_FINAL'!N264)</f>
        <v>0</v>
      </c>
      <c r="W264" s="315">
        <f t="shared" si="58"/>
        <v>0</v>
      </c>
    </row>
    <row r="265" spans="1:23" ht="15" hidden="1" customHeight="1" thickBot="1" x14ac:dyDescent="0.25">
      <c r="A265" s="63">
        <v>589170</v>
      </c>
      <c r="B265" s="883" t="s">
        <v>1672</v>
      </c>
      <c r="C265" s="1007" t="s">
        <v>213</v>
      </c>
      <c r="D265" s="1008" t="s">
        <v>546</v>
      </c>
      <c r="E265" s="1005">
        <f>DMT!$D$47</f>
        <v>45</v>
      </c>
      <c r="F265" s="1006">
        <v>1</v>
      </c>
      <c r="G265" s="949">
        <f>(0.84*E265+41.45)*F265</f>
        <v>79.25</v>
      </c>
      <c r="H265" s="988">
        <v>4031.59</v>
      </c>
      <c r="I265" s="988">
        <f>IF(ISBLANK(H265),"",H265*(1+$E$9)/(1+$E$10))+G265</f>
        <v>3950.0061855584249</v>
      </c>
      <c r="J265" s="890">
        <f t="shared" si="59"/>
        <v>4742.7700000000004</v>
      </c>
      <c r="K265" s="990" t="s">
        <v>14</v>
      </c>
      <c r="L265" s="991">
        <f>ROUND(SUM('RES. CENTRAL PARK:RUA_FINAL'!L265),2)</f>
        <v>0</v>
      </c>
      <c r="M265" s="998">
        <f t="shared" si="53"/>
        <v>0</v>
      </c>
      <c r="N265" s="993">
        <f t="shared" si="54"/>
        <v>0</v>
      </c>
      <c r="O265" s="905"/>
      <c r="P265" s="58" t="str">
        <f>IF(N261&gt;0,"xx",IF(N261&gt;0,"xy",""))</f>
        <v/>
      </c>
      <c r="Q265" s="317" t="str">
        <f t="shared" si="55"/>
        <v/>
      </c>
      <c r="R265" s="317" t="str">
        <f t="shared" si="56"/>
        <v/>
      </c>
      <c r="S265" s="317" t="str">
        <f t="shared" si="57"/>
        <v/>
      </c>
      <c r="V265" s="314">
        <f>SUM('RES. CENTRAL PARK:RUA_FINAL'!N265)</f>
        <v>0</v>
      </c>
      <c r="W265" s="315">
        <f t="shared" si="58"/>
        <v>0</v>
      </c>
    </row>
    <row r="266" spans="1:23" ht="15" hidden="1" customHeight="1" x14ac:dyDescent="0.2">
      <c r="A266" s="63">
        <v>562200</v>
      </c>
      <c r="B266" s="999" t="s">
        <v>1638</v>
      </c>
      <c r="C266" s="1000" t="s">
        <v>184</v>
      </c>
      <c r="D266" s="973" t="s">
        <v>551</v>
      </c>
      <c r="E266" s="974" t="s">
        <v>545</v>
      </c>
      <c r="F266" s="975">
        <v>2E-3</v>
      </c>
      <c r="G266" s="976">
        <f>SUM(G267:G269)</f>
        <v>1.0807922000000001</v>
      </c>
      <c r="H266" s="977">
        <v>4.1100000000000003</v>
      </c>
      <c r="I266" s="977">
        <f>IF(ISBLANK(H266),"",SUM(G266:H266))</f>
        <v>5.1907922000000006</v>
      </c>
      <c r="J266" s="978">
        <f t="shared" si="59"/>
        <v>6.23</v>
      </c>
      <c r="K266" s="979" t="s">
        <v>12</v>
      </c>
      <c r="L266" s="980">
        <f>ROUND(SUM('RES. CENTRAL PARK:RUA_FINAL'!L266),2)</f>
        <v>0</v>
      </c>
      <c r="M266" s="981">
        <f t="shared" si="53"/>
        <v>0</v>
      </c>
      <c r="N266" s="982">
        <f t="shared" si="54"/>
        <v>0</v>
      </c>
      <c r="O266" s="905"/>
      <c r="Q266" s="317" t="str">
        <f t="shared" si="55"/>
        <v/>
      </c>
      <c r="R266" s="317" t="str">
        <f t="shared" si="56"/>
        <v/>
      </c>
      <c r="S266" s="317" t="str">
        <f t="shared" si="57"/>
        <v/>
      </c>
      <c r="V266" s="314">
        <f>SUM('RES. CENTRAL PARK:RUA_FINAL'!N266)</f>
        <v>0</v>
      </c>
      <c r="W266" s="315">
        <f t="shared" si="58"/>
        <v>0</v>
      </c>
    </row>
    <row r="267" spans="1:23" ht="15" hidden="1" customHeight="1" x14ac:dyDescent="0.2">
      <c r="A267" s="63" t="s">
        <v>147</v>
      </c>
      <c r="B267" s="895" t="s">
        <v>147</v>
      </c>
      <c r="C267" s="896"/>
      <c r="D267" s="1001" t="s">
        <v>229</v>
      </c>
      <c r="E267" s="907">
        <f>DMT!$F$42</f>
        <v>150</v>
      </c>
      <c r="F267" s="1002" t="s">
        <v>74</v>
      </c>
      <c r="G267" s="949">
        <f t="shared" ref="G267:G269" si="65">IF(E267&lt;=30,(1.07*E267+2.68)*F267,((1.07*30+2.68)+1.07*(E267-30))*F267)</f>
        <v>1.0117160000000001</v>
      </c>
      <c r="H267" s="901">
        <v>0</v>
      </c>
      <c r="I267" s="901"/>
      <c r="J267" s="902">
        <v>0</v>
      </c>
      <c r="K267" s="903"/>
      <c r="L267" s="1003">
        <f>ROUND(SUM('RES. CENTRAL PARK:RUA_FINAL'!L267),2)</f>
        <v>0</v>
      </c>
      <c r="M267" s="960">
        <f t="shared" si="53"/>
        <v>0</v>
      </c>
      <c r="N267" s="893">
        <f t="shared" si="54"/>
        <v>0</v>
      </c>
      <c r="O267" s="905"/>
      <c r="P267" s="58" t="str">
        <f>IF(N266&gt;0,"xx",IF(N266&gt;0,"xy",""))</f>
        <v/>
      </c>
      <c r="Q267" s="317" t="str">
        <f t="shared" si="55"/>
        <v/>
      </c>
      <c r="R267" s="317" t="str">
        <f t="shared" si="56"/>
        <v/>
      </c>
      <c r="S267" s="317" t="str">
        <f t="shared" si="57"/>
        <v/>
      </c>
      <c r="V267" s="314">
        <f>SUM('RES. CENTRAL PARK:RUA_FINAL'!N267)</f>
        <v>0</v>
      </c>
      <c r="W267" s="315">
        <f t="shared" si="58"/>
        <v>0</v>
      </c>
    </row>
    <row r="268" spans="1:23" ht="15" hidden="1" customHeight="1" x14ac:dyDescent="0.2">
      <c r="A268" s="63" t="s">
        <v>147</v>
      </c>
      <c r="B268" s="895" t="s">
        <v>147</v>
      </c>
      <c r="C268" s="896"/>
      <c r="D268" s="1001" t="s">
        <v>230</v>
      </c>
      <c r="E268" s="907">
        <f>DMT!$D$46</f>
        <v>353</v>
      </c>
      <c r="F268" s="1002" t="s">
        <v>73</v>
      </c>
      <c r="G268" s="909">
        <f>IF(E268&lt;=30,(0.78*E268+7.82)*F268,((0.78*30+7.82)+0.78*(E268-30))*F268)</f>
        <v>5.6632000000000009E-2</v>
      </c>
      <c r="H268" s="901">
        <v>0</v>
      </c>
      <c r="I268" s="901"/>
      <c r="J268" s="902">
        <v>0</v>
      </c>
      <c r="K268" s="903" t="s">
        <v>507</v>
      </c>
      <c r="L268" s="1003">
        <f>ROUND(SUM('RES. CENTRAL PARK:RUA_FINAL'!L268),2)</f>
        <v>0</v>
      </c>
      <c r="M268" s="960">
        <f t="shared" si="53"/>
        <v>0</v>
      </c>
      <c r="N268" s="893">
        <f t="shared" si="54"/>
        <v>0</v>
      </c>
      <c r="O268" s="905"/>
      <c r="P268" s="58" t="str">
        <f>IF(N266&gt;0,"xx",IF(N266&gt;0,"xy",""))</f>
        <v/>
      </c>
      <c r="Q268" s="317" t="str">
        <f t="shared" si="55"/>
        <v/>
      </c>
      <c r="R268" s="317" t="str">
        <f t="shared" si="56"/>
        <v/>
      </c>
      <c r="S268" s="317" t="str">
        <f t="shared" si="57"/>
        <v/>
      </c>
      <c r="V268" s="314">
        <f>SUM('RES. CENTRAL PARK:RUA_FINAL'!N268)</f>
        <v>0</v>
      </c>
      <c r="W268" s="315">
        <f t="shared" si="58"/>
        <v>0</v>
      </c>
    </row>
    <row r="269" spans="1:23" ht="15" hidden="1" customHeight="1" x14ac:dyDescent="0.2">
      <c r="A269" s="63" t="s">
        <v>147</v>
      </c>
      <c r="B269" s="895" t="s">
        <v>147</v>
      </c>
      <c r="C269" s="896"/>
      <c r="D269" s="957" t="s">
        <v>231</v>
      </c>
      <c r="E269" s="907">
        <f>DMT!$F$44</f>
        <v>0.2</v>
      </c>
      <c r="F269" s="908" t="s">
        <v>75</v>
      </c>
      <c r="G269" s="949">
        <f t="shared" si="65"/>
        <v>1.2444200000000001E-2</v>
      </c>
      <c r="H269" s="901">
        <v>0</v>
      </c>
      <c r="I269" s="901"/>
      <c r="J269" s="902">
        <v>0</v>
      </c>
      <c r="K269" s="903" t="s">
        <v>507</v>
      </c>
      <c r="L269" s="1003">
        <f>ROUND(SUM('RES. CENTRAL PARK:RUA_FINAL'!L269),2)</f>
        <v>0</v>
      </c>
      <c r="M269" s="960">
        <f t="shared" si="53"/>
        <v>0</v>
      </c>
      <c r="N269" s="893">
        <f t="shared" si="54"/>
        <v>0</v>
      </c>
      <c r="O269" s="905"/>
      <c r="P269" s="58" t="str">
        <f>IF(N266&gt;0,"xx",IF(N266&gt;0,"xy",""))</f>
        <v/>
      </c>
      <c r="Q269" s="317" t="str">
        <f t="shared" si="55"/>
        <v/>
      </c>
      <c r="R269" s="317" t="str">
        <f t="shared" si="56"/>
        <v/>
      </c>
      <c r="S269" s="317" t="str">
        <f t="shared" si="57"/>
        <v/>
      </c>
      <c r="V269" s="314">
        <f>SUM('RES. CENTRAL PARK:RUA_FINAL'!N269)</f>
        <v>0</v>
      </c>
      <c r="W269" s="315">
        <f t="shared" si="58"/>
        <v>0</v>
      </c>
    </row>
    <row r="270" spans="1:23" ht="15" hidden="1" customHeight="1" thickBot="1" x14ac:dyDescent="0.25">
      <c r="A270" s="63">
        <v>589170</v>
      </c>
      <c r="B270" s="883" t="s">
        <v>1673</v>
      </c>
      <c r="C270" s="1007" t="s">
        <v>213</v>
      </c>
      <c r="D270" s="1008" t="s">
        <v>547</v>
      </c>
      <c r="E270" s="1005">
        <f>DMT!$D$47</f>
        <v>45</v>
      </c>
      <c r="F270" s="1006">
        <v>1</v>
      </c>
      <c r="G270" s="949">
        <f>(0.84*E270+41.45)*F270</f>
        <v>79.25</v>
      </c>
      <c r="H270" s="988">
        <v>4031.59</v>
      </c>
      <c r="I270" s="988">
        <f>IF(ISBLANK(H270),"",H270*(1+$E$9)/(1+$E$10))+G270</f>
        <v>3950.0061855584249</v>
      </c>
      <c r="J270" s="890">
        <f t="shared" si="59"/>
        <v>4742.7700000000004</v>
      </c>
      <c r="K270" s="990" t="s">
        <v>14</v>
      </c>
      <c r="L270" s="991">
        <f>ROUND(SUM('RES. CENTRAL PARK:RUA_FINAL'!L270),2)</f>
        <v>0</v>
      </c>
      <c r="M270" s="998">
        <f t="shared" si="53"/>
        <v>0</v>
      </c>
      <c r="N270" s="993">
        <f t="shared" si="54"/>
        <v>0</v>
      </c>
      <c r="O270" s="905"/>
      <c r="P270" s="58" t="str">
        <f>IF(N266&gt;0,"xx",IF(N266&gt;0,"xy",""))</f>
        <v/>
      </c>
      <c r="Q270" s="317" t="str">
        <f t="shared" si="55"/>
        <v/>
      </c>
      <c r="R270" s="317" t="str">
        <f t="shared" si="56"/>
        <v/>
      </c>
      <c r="S270" s="317" t="str">
        <f t="shared" si="57"/>
        <v/>
      </c>
      <c r="V270" s="314">
        <f>SUM('RES. CENTRAL PARK:RUA_FINAL'!N270)</f>
        <v>0</v>
      </c>
      <c r="W270" s="315">
        <f t="shared" si="58"/>
        <v>0</v>
      </c>
    </row>
    <row r="271" spans="1:23" ht="15" hidden="1" customHeight="1" x14ac:dyDescent="0.2">
      <c r="A271" s="63">
        <v>562200</v>
      </c>
      <c r="B271" s="999" t="s">
        <v>1639</v>
      </c>
      <c r="C271" s="1000" t="s">
        <v>184</v>
      </c>
      <c r="D271" s="973" t="s">
        <v>549</v>
      </c>
      <c r="E271" s="974" t="s">
        <v>545</v>
      </c>
      <c r="F271" s="975">
        <v>2.5999999999999999E-3</v>
      </c>
      <c r="G271" s="976">
        <f>SUM(G272:G274)</f>
        <v>2.0788368000000004</v>
      </c>
      <c r="H271" s="977">
        <v>4.1100000000000003</v>
      </c>
      <c r="I271" s="977">
        <f>IF(ISBLANK(H271),"",SUM(G271:H271))</f>
        <v>6.1888368000000007</v>
      </c>
      <c r="J271" s="978">
        <f t="shared" si="59"/>
        <v>7.43</v>
      </c>
      <c r="K271" s="979" t="s">
        <v>12</v>
      </c>
      <c r="L271" s="980">
        <f>ROUND(SUM('RES. CENTRAL PARK:RUA_FINAL'!L271),2)</f>
        <v>0</v>
      </c>
      <c r="M271" s="981">
        <f t="shared" si="53"/>
        <v>0</v>
      </c>
      <c r="N271" s="982">
        <f t="shared" si="54"/>
        <v>0</v>
      </c>
      <c r="O271" s="905"/>
      <c r="Q271" s="317" t="str">
        <f t="shared" si="55"/>
        <v/>
      </c>
      <c r="R271" s="317" t="str">
        <f t="shared" si="56"/>
        <v/>
      </c>
      <c r="S271" s="317" t="str">
        <f t="shared" si="57"/>
        <v/>
      </c>
      <c r="V271" s="314">
        <f>SUM('RES. CENTRAL PARK:RUA_FINAL'!N271)</f>
        <v>0</v>
      </c>
      <c r="W271" s="315">
        <f t="shared" si="58"/>
        <v>0</v>
      </c>
    </row>
    <row r="272" spans="1:23" ht="15" hidden="1" customHeight="1" x14ac:dyDescent="0.2">
      <c r="A272" s="63" t="s">
        <v>147</v>
      </c>
      <c r="B272" s="895" t="s">
        <v>147</v>
      </c>
      <c r="C272" s="896"/>
      <c r="D272" s="1001" t="s">
        <v>229</v>
      </c>
      <c r="E272" s="907">
        <f>DMT!$F$42</f>
        <v>150</v>
      </c>
      <c r="F272" s="1002" t="s">
        <v>76</v>
      </c>
      <c r="G272" s="949">
        <f t="shared" ref="G272:G274" si="66">IF(E272&lt;=30,(1.07*E272+2.68)*F272,((1.07*30+2.68)+1.07*(E272-30))*F272)</f>
        <v>1.9418420000000003</v>
      </c>
      <c r="H272" s="901">
        <v>0</v>
      </c>
      <c r="I272" s="901"/>
      <c r="J272" s="902">
        <v>0</v>
      </c>
      <c r="K272" s="903" t="s">
        <v>507</v>
      </c>
      <c r="L272" s="1003">
        <f>ROUND(SUM('RES. CENTRAL PARK:RUA_FINAL'!L272),2)</f>
        <v>0</v>
      </c>
      <c r="M272" s="960">
        <f t="shared" si="53"/>
        <v>0</v>
      </c>
      <c r="N272" s="893">
        <f t="shared" si="54"/>
        <v>0</v>
      </c>
      <c r="O272" s="905"/>
      <c r="P272" s="58" t="str">
        <f>IF(N271&gt;0,"xx",IF(N271&gt;0,"xy",""))</f>
        <v/>
      </c>
      <c r="Q272" s="317" t="str">
        <f t="shared" si="55"/>
        <v/>
      </c>
      <c r="R272" s="317" t="str">
        <f t="shared" si="56"/>
        <v/>
      </c>
      <c r="S272" s="317" t="str">
        <f t="shared" si="57"/>
        <v/>
      </c>
      <c r="V272" s="314">
        <f>SUM('RES. CENTRAL PARK:RUA_FINAL'!N272)</f>
        <v>0</v>
      </c>
      <c r="W272" s="315">
        <f t="shared" si="58"/>
        <v>0</v>
      </c>
    </row>
    <row r="273" spans="1:23" ht="15" hidden="1" customHeight="1" x14ac:dyDescent="0.2">
      <c r="A273" s="63" t="s">
        <v>147</v>
      </c>
      <c r="B273" s="895" t="s">
        <v>147</v>
      </c>
      <c r="C273" s="896"/>
      <c r="D273" s="1001" t="s">
        <v>230</v>
      </c>
      <c r="E273" s="907">
        <f>DMT!$D$46</f>
        <v>353</v>
      </c>
      <c r="F273" s="1002" t="s">
        <v>77</v>
      </c>
      <c r="G273" s="909">
        <f>IF(E273&lt;=30,(0.78*E273+7.82)*F273,((0.78*30+7.82)+0.78*(E273-30))*F273)</f>
        <v>0.11326400000000002</v>
      </c>
      <c r="H273" s="901">
        <v>0</v>
      </c>
      <c r="I273" s="901"/>
      <c r="J273" s="902">
        <v>0</v>
      </c>
      <c r="K273" s="903" t="s">
        <v>507</v>
      </c>
      <c r="L273" s="1003">
        <f>ROUND(SUM('RES. CENTRAL PARK:RUA_FINAL'!L273),2)</f>
        <v>0</v>
      </c>
      <c r="M273" s="960">
        <f t="shared" si="53"/>
        <v>0</v>
      </c>
      <c r="N273" s="893">
        <f t="shared" si="54"/>
        <v>0</v>
      </c>
      <c r="O273" s="905"/>
      <c r="P273" s="58" t="str">
        <f>IF(N271&gt;0,"xx",IF(N271&gt;0,"xy",""))</f>
        <v/>
      </c>
      <c r="Q273" s="317" t="str">
        <f t="shared" si="55"/>
        <v/>
      </c>
      <c r="R273" s="317" t="str">
        <f t="shared" si="56"/>
        <v/>
      </c>
      <c r="S273" s="317" t="str">
        <f t="shared" si="57"/>
        <v/>
      </c>
      <c r="V273" s="314">
        <f>SUM('RES. CENTRAL PARK:RUA_FINAL'!N273)</f>
        <v>0</v>
      </c>
      <c r="W273" s="315">
        <f t="shared" si="58"/>
        <v>0</v>
      </c>
    </row>
    <row r="274" spans="1:23" ht="15" hidden="1" customHeight="1" x14ac:dyDescent="0.2">
      <c r="A274" s="63" t="s">
        <v>147</v>
      </c>
      <c r="B274" s="895" t="s">
        <v>147</v>
      </c>
      <c r="C274" s="896"/>
      <c r="D274" s="957" t="s">
        <v>231</v>
      </c>
      <c r="E274" s="907">
        <f>DMT!$F$44</f>
        <v>0.2</v>
      </c>
      <c r="F274" s="908" t="s">
        <v>78</v>
      </c>
      <c r="G274" s="949">
        <f t="shared" si="66"/>
        <v>2.3730800000000003E-2</v>
      </c>
      <c r="H274" s="901">
        <v>0</v>
      </c>
      <c r="I274" s="901"/>
      <c r="J274" s="902">
        <v>0</v>
      </c>
      <c r="K274" s="903" t="s">
        <v>507</v>
      </c>
      <c r="L274" s="1003">
        <f>ROUND(SUM('RES. CENTRAL PARK:RUA_FINAL'!L274),2)</f>
        <v>0</v>
      </c>
      <c r="M274" s="960">
        <f t="shared" si="53"/>
        <v>0</v>
      </c>
      <c r="N274" s="893">
        <f t="shared" si="54"/>
        <v>0</v>
      </c>
      <c r="O274" s="905"/>
      <c r="P274" s="58" t="str">
        <f>IF(N271&gt;0,"xx",IF(N271&gt;0,"xy",""))</f>
        <v/>
      </c>
      <c r="Q274" s="317" t="str">
        <f t="shared" si="55"/>
        <v/>
      </c>
      <c r="R274" s="317" t="str">
        <f t="shared" si="56"/>
        <v/>
      </c>
      <c r="S274" s="317" t="str">
        <f t="shared" si="57"/>
        <v/>
      </c>
      <c r="V274" s="314">
        <f>SUM('RES. CENTRAL PARK:RUA_FINAL'!N274)</f>
        <v>0</v>
      </c>
      <c r="W274" s="315">
        <f t="shared" si="58"/>
        <v>0</v>
      </c>
    </row>
    <row r="275" spans="1:23" ht="15" hidden="1" customHeight="1" thickBot="1" x14ac:dyDescent="0.25">
      <c r="A275" s="63">
        <v>589170</v>
      </c>
      <c r="B275" s="1009" t="s">
        <v>1674</v>
      </c>
      <c r="C275" s="984" t="s">
        <v>213</v>
      </c>
      <c r="D275" s="1010" t="s">
        <v>548</v>
      </c>
      <c r="E275" s="1005">
        <f>DMT!$D$47</f>
        <v>45</v>
      </c>
      <c r="F275" s="1006">
        <v>1</v>
      </c>
      <c r="G275" s="949">
        <f>(0.84*E275+41.45)*F275</f>
        <v>79.25</v>
      </c>
      <c r="H275" s="988">
        <v>4031.59</v>
      </c>
      <c r="I275" s="988">
        <f>IF(ISBLANK(H275),"",H275*(1+$E$9)/(1+$E$10))+G275</f>
        <v>3950.0061855584249</v>
      </c>
      <c r="J275" s="1011">
        <f t="shared" si="59"/>
        <v>4742.7700000000004</v>
      </c>
      <c r="K275" s="990" t="s">
        <v>14</v>
      </c>
      <c r="L275" s="991">
        <f>ROUND(SUM('RES. CENTRAL PARK:RUA_FINAL'!L275),2)</f>
        <v>0</v>
      </c>
      <c r="M275" s="992">
        <f t="shared" si="53"/>
        <v>0</v>
      </c>
      <c r="N275" s="993">
        <f t="shared" si="54"/>
        <v>0</v>
      </c>
      <c r="O275" s="905"/>
      <c r="P275" s="58" t="str">
        <f>IF(N271&gt;0,"xx",IF(N271&gt;0,"xy",""))</f>
        <v/>
      </c>
      <c r="Q275" s="317" t="str">
        <f t="shared" si="55"/>
        <v/>
      </c>
      <c r="R275" s="317" t="str">
        <f t="shared" si="56"/>
        <v/>
      </c>
      <c r="S275" s="317" t="str">
        <f t="shared" si="57"/>
        <v/>
      </c>
      <c r="V275" s="314">
        <f>SUM('RES. CENTRAL PARK:RUA_FINAL'!N275)</f>
        <v>0</v>
      </c>
      <c r="W275" s="315">
        <f t="shared" si="58"/>
        <v>0</v>
      </c>
    </row>
    <row r="276" spans="1:23" ht="15" hidden="1" customHeight="1" x14ac:dyDescent="0.2">
      <c r="A276" s="63">
        <v>587000</v>
      </c>
      <c r="B276" s="999">
        <v>587000</v>
      </c>
      <c r="C276" s="1000" t="s">
        <v>184</v>
      </c>
      <c r="D276" s="973" t="s">
        <v>232</v>
      </c>
      <c r="E276" s="974" t="s">
        <v>568</v>
      </c>
      <c r="F276" s="975">
        <v>1.5E-3</v>
      </c>
      <c r="G276" s="976">
        <f>SUM(G277:G277)</f>
        <v>4.3409999999999997E-2</v>
      </c>
      <c r="H276" s="977">
        <v>4.53</v>
      </c>
      <c r="I276" s="977">
        <f>IF(ISBLANK(H276),"",SUM(G276:H276))</f>
        <v>4.57341</v>
      </c>
      <c r="J276" s="978">
        <f t="shared" si="59"/>
        <v>5.49</v>
      </c>
      <c r="K276" s="979" t="s">
        <v>12</v>
      </c>
      <c r="L276" s="980">
        <f>ROUND(SUM('RES. CENTRAL PARK:RUA_FINAL'!L276),2)</f>
        <v>0</v>
      </c>
      <c r="M276" s="981">
        <f t="shared" ref="M276:M339" si="67">IF(L276=0,0,ROUND(J276,2))</f>
        <v>0</v>
      </c>
      <c r="N276" s="982">
        <f t="shared" ref="N276:N339" si="68">IF(ISBLANK(L276),0,ROUND(L276*M276,2))</f>
        <v>0</v>
      </c>
      <c r="O276" s="905"/>
      <c r="Q276" s="317" t="str">
        <f t="shared" ref="Q276:Q339" si="69">IF(P276="X","x",IF(P276="xx","x",IF(P276="xy","x",IF(P276="y","x",IF(OR(N276&gt;0,N276&gt;0),"x","")))))</f>
        <v/>
      </c>
      <c r="R276" s="317" t="str">
        <f t="shared" ref="R276:R339" si="70">IF(P276="X","x",IF(P276="y","x",IF(P276="xx","x",IF(N276&gt;0,"x",""))))</f>
        <v/>
      </c>
      <c r="S276" s="317" t="str">
        <f t="shared" ref="S276:S339" si="71">IF(P276="X","x",IF(N276&gt;0,"x",""))</f>
        <v/>
      </c>
      <c r="V276" s="314">
        <f>SUM('RES. CENTRAL PARK:RUA_FINAL'!N276)</f>
        <v>0</v>
      </c>
      <c r="W276" s="315">
        <f t="shared" si="58"/>
        <v>0</v>
      </c>
    </row>
    <row r="277" spans="1:23" ht="15" hidden="1" customHeight="1" x14ac:dyDescent="0.2">
      <c r="A277" s="63" t="s">
        <v>147</v>
      </c>
      <c r="B277" s="895" t="s">
        <v>147</v>
      </c>
      <c r="C277" s="896"/>
      <c r="D277" s="957" t="s">
        <v>233</v>
      </c>
      <c r="E277" s="898">
        <f>DMT!$F$10</f>
        <v>0.2</v>
      </c>
      <c r="F277" s="899">
        <v>1.4999999999999999E-2</v>
      </c>
      <c r="G277" s="949">
        <f t="shared" ref="G277" si="72">IF(E277&lt;=30,(1.07*E277+2.68)*F277,((1.07*30+2.68)+1.07*(E277-30))*F277)</f>
        <v>4.3409999999999997E-2</v>
      </c>
      <c r="H277" s="901">
        <v>0</v>
      </c>
      <c r="I277" s="901"/>
      <c r="J277" s="902">
        <v>0</v>
      </c>
      <c r="K277" s="903" t="s">
        <v>507</v>
      </c>
      <c r="L277" s="1003">
        <f>ROUND(SUM('RES. CENTRAL PARK:RUA_FINAL'!L277),2)</f>
        <v>0</v>
      </c>
      <c r="M277" s="960">
        <f t="shared" si="67"/>
        <v>0</v>
      </c>
      <c r="N277" s="893">
        <f t="shared" si="68"/>
        <v>0</v>
      </c>
      <c r="O277" s="905"/>
      <c r="P277" s="58" t="str">
        <f>IF(N276&gt;0,"xx",IF(N276&gt;0,"xy",""))</f>
        <v/>
      </c>
      <c r="Q277" s="317" t="str">
        <f t="shared" si="69"/>
        <v/>
      </c>
      <c r="R277" s="317" t="str">
        <f t="shared" si="70"/>
        <v/>
      </c>
      <c r="S277" s="317" t="str">
        <f t="shared" si="71"/>
        <v/>
      </c>
      <c r="V277" s="314">
        <f>SUM('RES. CENTRAL PARK:RUA_FINAL'!N277)</f>
        <v>0</v>
      </c>
      <c r="W277" s="315">
        <f t="shared" ref="W277:W340" si="73">N277-V277</f>
        <v>0</v>
      </c>
    </row>
    <row r="278" spans="1:23" ht="15" hidden="1" customHeight="1" thickBot="1" x14ac:dyDescent="0.25">
      <c r="A278" s="63">
        <v>589520</v>
      </c>
      <c r="B278" s="1004" t="s">
        <v>1662</v>
      </c>
      <c r="C278" s="984" t="s">
        <v>213</v>
      </c>
      <c r="D278" s="1012" t="s">
        <v>552</v>
      </c>
      <c r="E278" s="1005">
        <f>DMT!$D$24</f>
        <v>353</v>
      </c>
      <c r="F278" s="1006">
        <v>1</v>
      </c>
      <c r="G278" s="949">
        <f>(0.84*E278+41.45)*F278</f>
        <v>337.96999999999997</v>
      </c>
      <c r="H278" s="988">
        <v>4164.04</v>
      </c>
      <c r="I278" s="988">
        <f>IF(ISBLANK(H278),"",H278*(1+$E$9)/(1+$E$10))+G278</f>
        <v>4335.8923053218959</v>
      </c>
      <c r="J278" s="989">
        <f t="shared" si="59"/>
        <v>5206.1099999999997</v>
      </c>
      <c r="K278" s="990" t="s">
        <v>14</v>
      </c>
      <c r="L278" s="991">
        <f>ROUND(SUM('RES. CENTRAL PARK:RUA_FINAL'!L278),2)</f>
        <v>0</v>
      </c>
      <c r="M278" s="1013">
        <f t="shared" si="67"/>
        <v>0</v>
      </c>
      <c r="N278" s="993">
        <f t="shared" si="68"/>
        <v>0</v>
      </c>
      <c r="O278" s="905"/>
      <c r="P278" s="58" t="str">
        <f>IF(N276&gt;0,"xx",IF(N276&gt;0,"xy",""))</f>
        <v/>
      </c>
      <c r="Q278" s="317" t="str">
        <f t="shared" si="69"/>
        <v/>
      </c>
      <c r="R278" s="317" t="str">
        <f t="shared" si="70"/>
        <v/>
      </c>
      <c r="S278" s="317" t="str">
        <f t="shared" si="71"/>
        <v/>
      </c>
      <c r="V278" s="314">
        <f>SUM('RES. CENTRAL PARK:RUA_FINAL'!N278)</f>
        <v>0</v>
      </c>
      <c r="W278" s="315">
        <f t="shared" si="73"/>
        <v>0</v>
      </c>
    </row>
    <row r="279" spans="1:23" ht="15" hidden="1" customHeight="1" x14ac:dyDescent="0.2">
      <c r="A279" s="63">
        <v>583100</v>
      </c>
      <c r="B279" s="999" t="s">
        <v>1640</v>
      </c>
      <c r="C279" s="1000" t="s">
        <v>184</v>
      </c>
      <c r="D279" s="1014" t="s">
        <v>234</v>
      </c>
      <c r="E279" s="974" t="s">
        <v>568</v>
      </c>
      <c r="F279" s="975">
        <v>3.0999999999999999E-3</v>
      </c>
      <c r="G279" s="976">
        <f>SUM(G280:G280)</f>
        <v>7.6112200000000005E-2</v>
      </c>
      <c r="H279" s="977">
        <v>6.82</v>
      </c>
      <c r="I279" s="977">
        <f>IF(ISBLANK(H279),"",SUM(G279:H279))</f>
        <v>6.8961122000000001</v>
      </c>
      <c r="J279" s="978">
        <f t="shared" si="59"/>
        <v>8.2799999999999994</v>
      </c>
      <c r="K279" s="979" t="s">
        <v>12</v>
      </c>
      <c r="L279" s="980">
        <f>ROUND(SUM('RES. CENTRAL PARK:RUA_FINAL'!L279),2)</f>
        <v>0</v>
      </c>
      <c r="M279" s="981">
        <f t="shared" si="67"/>
        <v>0</v>
      </c>
      <c r="N279" s="982">
        <f t="shared" si="68"/>
        <v>0</v>
      </c>
      <c r="O279" s="905"/>
      <c r="Q279" s="317" t="str">
        <f t="shared" si="69"/>
        <v/>
      </c>
      <c r="R279" s="317" t="str">
        <f t="shared" si="70"/>
        <v/>
      </c>
      <c r="S279" s="317" t="str">
        <f t="shared" si="71"/>
        <v/>
      </c>
      <c r="V279" s="314">
        <f>SUM('RES. CENTRAL PARK:RUA_FINAL'!N279)</f>
        <v>0</v>
      </c>
      <c r="W279" s="315">
        <f t="shared" si="73"/>
        <v>0</v>
      </c>
    </row>
    <row r="280" spans="1:23" ht="15" hidden="1" customHeight="1" x14ac:dyDescent="0.2">
      <c r="A280" s="63" t="s">
        <v>147</v>
      </c>
      <c r="B280" s="895" t="s">
        <v>147</v>
      </c>
      <c r="C280" s="896"/>
      <c r="D280" s="1015" t="s">
        <v>233</v>
      </c>
      <c r="E280" s="898">
        <f>DMT!$F$10</f>
        <v>0.2</v>
      </c>
      <c r="F280" s="908">
        <v>2.63E-2</v>
      </c>
      <c r="G280" s="949">
        <f t="shared" ref="G280" si="74">IF(E280&lt;=30,(1.07*E280+2.68)*F280,((1.07*30+2.68)+1.07*(E280-30))*F280)</f>
        <v>7.6112200000000005E-2</v>
      </c>
      <c r="H280" s="901">
        <v>0</v>
      </c>
      <c r="I280" s="901"/>
      <c r="J280" s="902">
        <v>0</v>
      </c>
      <c r="K280" s="903" t="s">
        <v>507</v>
      </c>
      <c r="L280" s="1003">
        <f>ROUND(SUM('RES. CENTRAL PARK:RUA_FINAL'!L280),2)</f>
        <v>0</v>
      </c>
      <c r="M280" s="960">
        <f t="shared" si="67"/>
        <v>0</v>
      </c>
      <c r="N280" s="893">
        <f t="shared" si="68"/>
        <v>0</v>
      </c>
      <c r="O280" s="905"/>
      <c r="P280" s="58" t="str">
        <f>IF(N279&gt;0,"xx",IF(N279&gt;0,"xy",""))</f>
        <v/>
      </c>
      <c r="Q280" s="317" t="str">
        <f t="shared" si="69"/>
        <v/>
      </c>
      <c r="R280" s="317" t="str">
        <f t="shared" si="70"/>
        <v/>
      </c>
      <c r="S280" s="317" t="str">
        <f t="shared" si="71"/>
        <v/>
      </c>
      <c r="V280" s="314">
        <f>SUM('RES. CENTRAL PARK:RUA_FINAL'!N280)</f>
        <v>0</v>
      </c>
      <c r="W280" s="315">
        <f t="shared" si="73"/>
        <v>0</v>
      </c>
    </row>
    <row r="281" spans="1:23" ht="15" hidden="1" customHeight="1" thickBot="1" x14ac:dyDescent="0.25">
      <c r="A281" s="63">
        <v>589520</v>
      </c>
      <c r="B281" s="1004" t="s">
        <v>1663</v>
      </c>
      <c r="C281" s="984" t="s">
        <v>213</v>
      </c>
      <c r="D281" s="1016" t="s">
        <v>557</v>
      </c>
      <c r="E281" s="1005">
        <f>DMT!$D$24</f>
        <v>353</v>
      </c>
      <c r="F281" s="1006">
        <v>1</v>
      </c>
      <c r="G281" s="949">
        <f>(0.84*E281+41.45)*F281</f>
        <v>337.96999999999997</v>
      </c>
      <c r="H281" s="988">
        <v>4164.04</v>
      </c>
      <c r="I281" s="988">
        <f>IF(ISBLANK(H281),"",H281*(1+$E$9)/(1+$E$10))+G281</f>
        <v>4335.8923053218959</v>
      </c>
      <c r="J281" s="989">
        <f t="shared" si="59"/>
        <v>5206.1099999999997</v>
      </c>
      <c r="K281" s="990" t="s">
        <v>14</v>
      </c>
      <c r="L281" s="991">
        <f>ROUND(SUM('RES. CENTRAL PARK:RUA_FINAL'!L281),2)</f>
        <v>0</v>
      </c>
      <c r="M281" s="1013">
        <f t="shared" si="67"/>
        <v>0</v>
      </c>
      <c r="N281" s="993">
        <f t="shared" si="68"/>
        <v>0</v>
      </c>
      <c r="O281" s="905"/>
      <c r="P281" s="58" t="str">
        <f>IF(N279&gt;0,"xx",IF(N279&gt;0,"xy",""))</f>
        <v/>
      </c>
      <c r="Q281" s="317" t="str">
        <f t="shared" si="69"/>
        <v/>
      </c>
      <c r="R281" s="317" t="str">
        <f t="shared" si="70"/>
        <v/>
      </c>
      <c r="S281" s="317" t="str">
        <f t="shared" si="71"/>
        <v/>
      </c>
      <c r="V281" s="314">
        <f>SUM('RES. CENTRAL PARK:RUA_FINAL'!N281)</f>
        <v>0</v>
      </c>
      <c r="W281" s="315">
        <f t="shared" si="73"/>
        <v>0</v>
      </c>
    </row>
    <row r="282" spans="1:23" ht="15" hidden="1" customHeight="1" x14ac:dyDescent="0.2">
      <c r="A282" s="63">
        <v>583100</v>
      </c>
      <c r="B282" s="999" t="s">
        <v>1641</v>
      </c>
      <c r="C282" s="1000" t="s">
        <v>184</v>
      </c>
      <c r="D282" s="1014" t="s">
        <v>235</v>
      </c>
      <c r="E282" s="974" t="s">
        <v>568</v>
      </c>
      <c r="F282" s="975">
        <v>3.3999999999999998E-3</v>
      </c>
      <c r="G282" s="976">
        <f>SUM(G283:G283)</f>
        <v>8.8266999999999998E-2</v>
      </c>
      <c r="H282" s="977">
        <v>6.82</v>
      </c>
      <c r="I282" s="977">
        <f>IF(ISBLANK(H282),"",SUM(G282:H282))</f>
        <v>6.9082670000000004</v>
      </c>
      <c r="J282" s="978">
        <f t="shared" si="59"/>
        <v>8.2899999999999991</v>
      </c>
      <c r="K282" s="979" t="s">
        <v>12</v>
      </c>
      <c r="L282" s="980">
        <f>ROUND(SUM('RES. CENTRAL PARK:RUA_FINAL'!L282),2)</f>
        <v>0</v>
      </c>
      <c r="M282" s="981">
        <f t="shared" si="67"/>
        <v>0</v>
      </c>
      <c r="N282" s="982">
        <f t="shared" si="68"/>
        <v>0</v>
      </c>
      <c r="O282" s="905"/>
      <c r="Q282" s="317" t="str">
        <f t="shared" si="69"/>
        <v/>
      </c>
      <c r="R282" s="317" t="str">
        <f t="shared" si="70"/>
        <v/>
      </c>
      <c r="S282" s="317" t="str">
        <f t="shared" si="71"/>
        <v/>
      </c>
      <c r="V282" s="314">
        <f>SUM('RES. CENTRAL PARK:RUA_FINAL'!N282)</f>
        <v>0</v>
      </c>
      <c r="W282" s="315">
        <f t="shared" si="73"/>
        <v>0</v>
      </c>
    </row>
    <row r="283" spans="1:23" ht="15" hidden="1" customHeight="1" x14ac:dyDescent="0.2">
      <c r="A283" s="63" t="s">
        <v>147</v>
      </c>
      <c r="B283" s="895" t="s">
        <v>147</v>
      </c>
      <c r="C283" s="896"/>
      <c r="D283" s="1015" t="s">
        <v>233</v>
      </c>
      <c r="E283" s="898">
        <f>DMT!$F$10</f>
        <v>0.2</v>
      </c>
      <c r="F283" s="908">
        <v>3.0499999999999999E-2</v>
      </c>
      <c r="G283" s="949">
        <f t="shared" ref="G283" si="75">IF(E283&lt;=30,(1.07*E283+2.68)*F283,((1.07*30+2.68)+1.07*(E283-30))*F283)</f>
        <v>8.8266999999999998E-2</v>
      </c>
      <c r="H283" s="901">
        <v>0</v>
      </c>
      <c r="I283" s="901"/>
      <c r="J283" s="902">
        <v>0</v>
      </c>
      <c r="K283" s="903" t="s">
        <v>507</v>
      </c>
      <c r="L283" s="1003">
        <f>ROUND(SUM('RES. CENTRAL PARK:RUA_FINAL'!L283),2)</f>
        <v>0</v>
      </c>
      <c r="M283" s="960">
        <f t="shared" si="67"/>
        <v>0</v>
      </c>
      <c r="N283" s="893">
        <f t="shared" si="68"/>
        <v>0</v>
      </c>
      <c r="O283" s="905"/>
      <c r="P283" s="58" t="str">
        <f>IF(N282&gt;0,"xx",IF(N282&gt;0,"xy",""))</f>
        <v/>
      </c>
      <c r="Q283" s="317" t="str">
        <f t="shared" si="69"/>
        <v/>
      </c>
      <c r="R283" s="317" t="str">
        <f t="shared" si="70"/>
        <v/>
      </c>
      <c r="S283" s="317" t="str">
        <f t="shared" si="71"/>
        <v/>
      </c>
      <c r="V283" s="314">
        <f>SUM('RES. CENTRAL PARK:RUA_FINAL'!N283)</f>
        <v>0</v>
      </c>
      <c r="W283" s="315">
        <f t="shared" si="73"/>
        <v>0</v>
      </c>
    </row>
    <row r="284" spans="1:23" ht="15" hidden="1" customHeight="1" thickBot="1" x14ac:dyDescent="0.25">
      <c r="A284" s="63">
        <v>589520</v>
      </c>
      <c r="B284" s="1004" t="s">
        <v>1664</v>
      </c>
      <c r="C284" s="984" t="s">
        <v>213</v>
      </c>
      <c r="D284" s="1016" t="s">
        <v>1675</v>
      </c>
      <c r="E284" s="1005">
        <f>DMT!$D$24</f>
        <v>353</v>
      </c>
      <c r="F284" s="1006">
        <v>1</v>
      </c>
      <c r="G284" s="949">
        <f>(0.84*E284+41.45)*F284</f>
        <v>337.96999999999997</v>
      </c>
      <c r="H284" s="988">
        <v>4164.04</v>
      </c>
      <c r="I284" s="988">
        <f>IF(ISBLANK(H284),"",H284*(1+$E$9)/(1+$E$10))+G284</f>
        <v>4335.8923053218959</v>
      </c>
      <c r="J284" s="989">
        <f t="shared" si="59"/>
        <v>5206.1099999999997</v>
      </c>
      <c r="K284" s="990" t="s">
        <v>14</v>
      </c>
      <c r="L284" s="991">
        <f>ROUND(SUM('RES. CENTRAL PARK:RUA_FINAL'!L284),2)</f>
        <v>0</v>
      </c>
      <c r="M284" s="1013">
        <f t="shared" si="67"/>
        <v>0</v>
      </c>
      <c r="N284" s="993">
        <f t="shared" si="68"/>
        <v>0</v>
      </c>
      <c r="O284" s="905"/>
      <c r="P284" s="58" t="str">
        <f>IF(N282&gt;0,"xx",IF(N282&gt;0,"xy",""))</f>
        <v/>
      </c>
      <c r="Q284" s="317" t="str">
        <f t="shared" si="69"/>
        <v/>
      </c>
      <c r="R284" s="317" t="str">
        <f t="shared" si="70"/>
        <v/>
      </c>
      <c r="S284" s="317" t="str">
        <f t="shared" si="71"/>
        <v/>
      </c>
      <c r="V284" s="314">
        <f>SUM('RES. CENTRAL PARK:RUA_FINAL'!N284)</f>
        <v>0</v>
      </c>
      <c r="W284" s="315">
        <f t="shared" si="73"/>
        <v>0</v>
      </c>
    </row>
    <row r="285" spans="1:23" ht="15" hidden="1" customHeight="1" x14ac:dyDescent="0.2">
      <c r="A285" s="63">
        <v>583100</v>
      </c>
      <c r="B285" s="999" t="s">
        <v>1642</v>
      </c>
      <c r="C285" s="1000" t="s">
        <v>184</v>
      </c>
      <c r="D285" s="1014" t="s">
        <v>236</v>
      </c>
      <c r="E285" s="974" t="s">
        <v>568</v>
      </c>
      <c r="F285" s="975">
        <v>3.8E-3</v>
      </c>
      <c r="G285" s="976">
        <f>SUM(G286:G286)</f>
        <v>0.1064992</v>
      </c>
      <c r="H285" s="977">
        <v>6.82</v>
      </c>
      <c r="I285" s="977">
        <f>IF(ISBLANK(H285),"",SUM(G285:H285))</f>
        <v>6.9264992000000003</v>
      </c>
      <c r="J285" s="978">
        <f t="shared" si="59"/>
        <v>8.32</v>
      </c>
      <c r="K285" s="979" t="s">
        <v>12</v>
      </c>
      <c r="L285" s="980">
        <f>ROUND(SUM('RES. CENTRAL PARK:RUA_FINAL'!L285),2)</f>
        <v>0</v>
      </c>
      <c r="M285" s="981">
        <f t="shared" si="67"/>
        <v>0</v>
      </c>
      <c r="N285" s="982">
        <f t="shared" si="68"/>
        <v>0</v>
      </c>
      <c r="O285" s="905"/>
      <c r="Q285" s="317" t="str">
        <f t="shared" si="69"/>
        <v/>
      </c>
      <c r="R285" s="317" t="str">
        <f t="shared" si="70"/>
        <v/>
      </c>
      <c r="S285" s="317" t="str">
        <f t="shared" si="71"/>
        <v/>
      </c>
      <c r="V285" s="314">
        <f>SUM('RES. CENTRAL PARK:RUA_FINAL'!N285)</f>
        <v>0</v>
      </c>
      <c r="W285" s="315">
        <f t="shared" si="73"/>
        <v>0</v>
      </c>
    </row>
    <row r="286" spans="1:23" ht="15" hidden="1" customHeight="1" x14ac:dyDescent="0.2">
      <c r="A286" s="63" t="s">
        <v>147</v>
      </c>
      <c r="B286" s="895" t="s">
        <v>147</v>
      </c>
      <c r="C286" s="896"/>
      <c r="D286" s="1015" t="s">
        <v>233</v>
      </c>
      <c r="E286" s="898">
        <f>DMT!$F$10</f>
        <v>0.2</v>
      </c>
      <c r="F286" s="908">
        <v>3.6799999999999999E-2</v>
      </c>
      <c r="G286" s="949">
        <f t="shared" ref="G286" si="76">IF(E286&lt;=30,(1.07*E286+2.68)*F286,((1.07*30+2.68)+1.07*(E286-30))*F286)</f>
        <v>0.1064992</v>
      </c>
      <c r="H286" s="901">
        <v>0</v>
      </c>
      <c r="I286" s="901"/>
      <c r="J286" s="902">
        <v>0</v>
      </c>
      <c r="K286" s="903" t="s">
        <v>507</v>
      </c>
      <c r="L286" s="1003">
        <f>ROUND(SUM('RES. CENTRAL PARK:RUA_FINAL'!L286),2)</f>
        <v>0</v>
      </c>
      <c r="M286" s="960">
        <f t="shared" si="67"/>
        <v>0</v>
      </c>
      <c r="N286" s="893">
        <f t="shared" si="68"/>
        <v>0</v>
      </c>
      <c r="O286" s="905"/>
      <c r="P286" s="58" t="str">
        <f>IF(N285&gt;0,"xx",IF(N285&gt;0,"xy",""))</f>
        <v/>
      </c>
      <c r="Q286" s="317" t="str">
        <f t="shared" si="69"/>
        <v/>
      </c>
      <c r="R286" s="317" t="str">
        <f t="shared" si="70"/>
        <v/>
      </c>
      <c r="S286" s="317" t="str">
        <f t="shared" si="71"/>
        <v/>
      </c>
      <c r="V286" s="314">
        <f>SUM('RES. CENTRAL PARK:RUA_FINAL'!N286)</f>
        <v>0</v>
      </c>
      <c r="W286" s="315">
        <f t="shared" si="73"/>
        <v>0</v>
      </c>
    </row>
    <row r="287" spans="1:23" ht="15" hidden="1" customHeight="1" thickBot="1" x14ac:dyDescent="0.25">
      <c r="A287" s="63">
        <v>589520</v>
      </c>
      <c r="B287" s="1004" t="s">
        <v>1665</v>
      </c>
      <c r="C287" s="984" t="s">
        <v>213</v>
      </c>
      <c r="D287" s="1016" t="s">
        <v>559</v>
      </c>
      <c r="E287" s="1005">
        <f>DMT!$D$24</f>
        <v>353</v>
      </c>
      <c r="F287" s="1006">
        <v>1</v>
      </c>
      <c r="G287" s="949">
        <f>(0.84*E287+41.45)*F287</f>
        <v>337.96999999999997</v>
      </c>
      <c r="H287" s="988">
        <v>4164.04</v>
      </c>
      <c r="I287" s="988">
        <f>IF(ISBLANK(H287),"",H287*(1+$E$9)/(1+$E$10))+G287</f>
        <v>4335.8923053218959</v>
      </c>
      <c r="J287" s="989">
        <f t="shared" si="59"/>
        <v>5206.1099999999997</v>
      </c>
      <c r="K287" s="990" t="s">
        <v>14</v>
      </c>
      <c r="L287" s="991">
        <f>ROUND(SUM('RES. CENTRAL PARK:RUA_FINAL'!L287),2)</f>
        <v>0</v>
      </c>
      <c r="M287" s="1013">
        <f t="shared" si="67"/>
        <v>0</v>
      </c>
      <c r="N287" s="993">
        <f t="shared" si="68"/>
        <v>0</v>
      </c>
      <c r="O287" s="905"/>
      <c r="P287" s="58" t="str">
        <f>IF(N285&gt;0,"xx",IF(N285&gt;0,"xy",""))</f>
        <v/>
      </c>
      <c r="Q287" s="317" t="str">
        <f t="shared" si="69"/>
        <v/>
      </c>
      <c r="R287" s="317" t="str">
        <f t="shared" si="70"/>
        <v/>
      </c>
      <c r="S287" s="317" t="str">
        <f t="shared" si="71"/>
        <v/>
      </c>
      <c r="V287" s="314">
        <f>SUM('RES. CENTRAL PARK:RUA_FINAL'!N287)</f>
        <v>0</v>
      </c>
      <c r="W287" s="315">
        <f t="shared" si="73"/>
        <v>0</v>
      </c>
    </row>
    <row r="288" spans="1:23" ht="15" hidden="1" customHeight="1" x14ac:dyDescent="0.2">
      <c r="A288" s="63">
        <v>584200</v>
      </c>
      <c r="B288" s="999" t="s">
        <v>1643</v>
      </c>
      <c r="C288" s="1000" t="s">
        <v>184</v>
      </c>
      <c r="D288" s="1014" t="s">
        <v>237</v>
      </c>
      <c r="E288" s="974" t="s">
        <v>568</v>
      </c>
      <c r="F288" s="975">
        <v>3.3E-3</v>
      </c>
      <c r="G288" s="976">
        <f>SUM(G289:G289)</f>
        <v>8.2189600000000002E-2</v>
      </c>
      <c r="H288" s="977">
        <v>8.48</v>
      </c>
      <c r="I288" s="977">
        <f>IF(ISBLANK(H288),"",SUM(G288:H288))</f>
        <v>8.5621896</v>
      </c>
      <c r="J288" s="978">
        <f t="shared" si="59"/>
        <v>10.28</v>
      </c>
      <c r="K288" s="979" t="s">
        <v>12</v>
      </c>
      <c r="L288" s="980">
        <f>ROUND(SUM('RES. CENTRAL PARK:RUA_FINAL'!L288),2)</f>
        <v>0</v>
      </c>
      <c r="M288" s="981">
        <f t="shared" si="67"/>
        <v>0</v>
      </c>
      <c r="N288" s="982">
        <f t="shared" si="68"/>
        <v>0</v>
      </c>
      <c r="O288" s="905"/>
      <c r="Q288" s="317" t="str">
        <f t="shared" si="69"/>
        <v/>
      </c>
      <c r="R288" s="317" t="str">
        <f t="shared" si="70"/>
        <v/>
      </c>
      <c r="S288" s="317" t="str">
        <f t="shared" si="71"/>
        <v/>
      </c>
      <c r="V288" s="314">
        <f>SUM('RES. CENTRAL PARK:RUA_FINAL'!N288)</f>
        <v>0</v>
      </c>
      <c r="W288" s="315">
        <f t="shared" si="73"/>
        <v>0</v>
      </c>
    </row>
    <row r="289" spans="1:23" ht="15" hidden="1" customHeight="1" x14ac:dyDescent="0.2">
      <c r="A289" s="63" t="s">
        <v>147</v>
      </c>
      <c r="B289" s="895" t="s">
        <v>147</v>
      </c>
      <c r="C289" s="896"/>
      <c r="D289" s="1015" t="s">
        <v>233</v>
      </c>
      <c r="E289" s="898">
        <f>DMT!$F$10</f>
        <v>0.2</v>
      </c>
      <c r="F289" s="908">
        <v>2.8400000000000002E-2</v>
      </c>
      <c r="G289" s="949">
        <f t="shared" ref="G289" si="77">IF(E289&lt;=30,(1.07*E289+2.68)*F289,((1.07*30+2.68)+1.07*(E289-30))*F289)</f>
        <v>8.2189600000000002E-2</v>
      </c>
      <c r="H289" s="901">
        <v>0</v>
      </c>
      <c r="I289" s="901"/>
      <c r="J289" s="902">
        <v>0</v>
      </c>
      <c r="K289" s="903" t="s">
        <v>507</v>
      </c>
      <c r="L289" s="1003">
        <f>ROUND(SUM('RES. CENTRAL PARK:RUA_FINAL'!L289),2)</f>
        <v>0</v>
      </c>
      <c r="M289" s="960">
        <f t="shared" si="67"/>
        <v>0</v>
      </c>
      <c r="N289" s="893">
        <f t="shared" si="68"/>
        <v>0</v>
      </c>
      <c r="O289" s="905"/>
      <c r="P289" s="58" t="str">
        <f>IF(N288&gt;0,"xx",IF(N288&gt;0,"xy",""))</f>
        <v/>
      </c>
      <c r="Q289" s="317" t="str">
        <f t="shared" si="69"/>
        <v/>
      </c>
      <c r="R289" s="317" t="str">
        <f t="shared" si="70"/>
        <v/>
      </c>
      <c r="S289" s="317" t="str">
        <f t="shared" si="71"/>
        <v/>
      </c>
      <c r="V289" s="314">
        <f>SUM('RES. CENTRAL PARK:RUA_FINAL'!N289)</f>
        <v>0</v>
      </c>
      <c r="W289" s="315">
        <f t="shared" si="73"/>
        <v>0</v>
      </c>
    </row>
    <row r="290" spans="1:23" ht="15" hidden="1" customHeight="1" thickBot="1" x14ac:dyDescent="0.25">
      <c r="A290" s="63">
        <v>589520</v>
      </c>
      <c r="B290" s="1004" t="s">
        <v>1666</v>
      </c>
      <c r="C290" s="984" t="s">
        <v>213</v>
      </c>
      <c r="D290" s="1016" t="s">
        <v>558</v>
      </c>
      <c r="E290" s="1005">
        <f>DMT!$D$24</f>
        <v>353</v>
      </c>
      <c r="F290" s="1006">
        <v>1</v>
      </c>
      <c r="G290" s="949">
        <f>(0.84*E290+41.45)*F290</f>
        <v>337.96999999999997</v>
      </c>
      <c r="H290" s="988">
        <v>4164.04</v>
      </c>
      <c r="I290" s="988">
        <f>IF(ISBLANK(H290),"",H290*(1+$E$9)/(1+$E$10))+G290</f>
        <v>4335.8923053218959</v>
      </c>
      <c r="J290" s="989">
        <f t="shared" si="59"/>
        <v>5206.1099999999997</v>
      </c>
      <c r="K290" s="990" t="s">
        <v>14</v>
      </c>
      <c r="L290" s="991">
        <f>ROUND(SUM('RES. CENTRAL PARK:RUA_FINAL'!L290),2)</f>
        <v>0</v>
      </c>
      <c r="M290" s="1013">
        <f t="shared" si="67"/>
        <v>0</v>
      </c>
      <c r="N290" s="993">
        <f t="shared" si="68"/>
        <v>0</v>
      </c>
      <c r="O290" s="905"/>
      <c r="P290" s="58" t="str">
        <f>IF(N288&gt;0,"xx",IF(N288&gt;0,"xy",""))</f>
        <v/>
      </c>
      <c r="Q290" s="317" t="str">
        <f t="shared" si="69"/>
        <v/>
      </c>
      <c r="R290" s="317" t="str">
        <f t="shared" si="70"/>
        <v/>
      </c>
      <c r="S290" s="317" t="str">
        <f t="shared" si="71"/>
        <v/>
      </c>
      <c r="V290" s="314">
        <f>SUM('RES. CENTRAL PARK:RUA_FINAL'!N290)</f>
        <v>0</v>
      </c>
      <c r="W290" s="315">
        <f t="shared" si="73"/>
        <v>0</v>
      </c>
    </row>
    <row r="291" spans="1:23" ht="15" hidden="1" customHeight="1" x14ac:dyDescent="0.2">
      <c r="A291" s="63">
        <v>584200</v>
      </c>
      <c r="B291" s="999" t="s">
        <v>1644</v>
      </c>
      <c r="C291" s="1000" t="s">
        <v>184</v>
      </c>
      <c r="D291" s="1014" t="s">
        <v>238</v>
      </c>
      <c r="E291" s="974" t="s">
        <v>568</v>
      </c>
      <c r="F291" s="975">
        <v>3.8E-3</v>
      </c>
      <c r="G291" s="976">
        <f>SUM(G292:G292)</f>
        <v>0.10042180000000001</v>
      </c>
      <c r="H291" s="977">
        <v>8.48</v>
      </c>
      <c r="I291" s="977">
        <f>IF(ISBLANK(H291),"",SUM(G291:H291))</f>
        <v>8.5804217999999999</v>
      </c>
      <c r="J291" s="978">
        <f t="shared" si="59"/>
        <v>10.3</v>
      </c>
      <c r="K291" s="979" t="s">
        <v>12</v>
      </c>
      <c r="L291" s="980">
        <f>ROUND(SUM('RES. CENTRAL PARK:RUA_FINAL'!L291),2)</f>
        <v>0</v>
      </c>
      <c r="M291" s="981">
        <f t="shared" si="67"/>
        <v>0</v>
      </c>
      <c r="N291" s="982">
        <f t="shared" si="68"/>
        <v>0</v>
      </c>
      <c r="O291" s="905"/>
      <c r="Q291" s="317" t="str">
        <f t="shared" si="69"/>
        <v/>
      </c>
      <c r="R291" s="317" t="str">
        <f t="shared" si="70"/>
        <v/>
      </c>
      <c r="S291" s="317" t="str">
        <f t="shared" si="71"/>
        <v/>
      </c>
      <c r="V291" s="314">
        <f>SUM('RES. CENTRAL PARK:RUA_FINAL'!N291)</f>
        <v>0</v>
      </c>
      <c r="W291" s="315">
        <f t="shared" si="73"/>
        <v>0</v>
      </c>
    </row>
    <row r="292" spans="1:23" ht="15" hidden="1" customHeight="1" x14ac:dyDescent="0.2">
      <c r="A292" s="63" t="s">
        <v>147</v>
      </c>
      <c r="B292" s="895" t="s">
        <v>147</v>
      </c>
      <c r="C292" s="896"/>
      <c r="D292" s="1015" t="s">
        <v>233</v>
      </c>
      <c r="E292" s="898">
        <f>DMT!$F$10</f>
        <v>0.2</v>
      </c>
      <c r="F292" s="908">
        <v>3.4700000000000002E-2</v>
      </c>
      <c r="G292" s="949">
        <f t="shared" ref="G292" si="78">IF(E292&lt;=30,(1.07*E292+2.68)*F292,((1.07*30+2.68)+1.07*(E292-30))*F292)</f>
        <v>0.10042180000000001</v>
      </c>
      <c r="H292" s="901">
        <v>0</v>
      </c>
      <c r="I292" s="901"/>
      <c r="J292" s="902">
        <v>0</v>
      </c>
      <c r="K292" s="903" t="s">
        <v>507</v>
      </c>
      <c r="L292" s="1003">
        <f>ROUND(SUM('RES. CENTRAL PARK:RUA_FINAL'!L292),2)</f>
        <v>0</v>
      </c>
      <c r="M292" s="960">
        <f t="shared" si="67"/>
        <v>0</v>
      </c>
      <c r="N292" s="893">
        <f t="shared" si="68"/>
        <v>0</v>
      </c>
      <c r="O292" s="905"/>
      <c r="P292" s="58" t="str">
        <f>IF(N291&gt;0,"xx",IF(N291&gt;0,"xy",""))</f>
        <v/>
      </c>
      <c r="Q292" s="317" t="str">
        <f t="shared" si="69"/>
        <v/>
      </c>
      <c r="R292" s="317" t="str">
        <f t="shared" si="70"/>
        <v/>
      </c>
      <c r="S292" s="317" t="str">
        <f t="shared" si="71"/>
        <v/>
      </c>
      <c r="V292" s="314">
        <f>SUM('RES. CENTRAL PARK:RUA_FINAL'!N292)</f>
        <v>0</v>
      </c>
      <c r="W292" s="315">
        <f t="shared" si="73"/>
        <v>0</v>
      </c>
    </row>
    <row r="293" spans="1:23" ht="15" hidden="1" customHeight="1" thickBot="1" x14ac:dyDescent="0.25">
      <c r="A293" s="63">
        <v>589520</v>
      </c>
      <c r="B293" s="1004" t="s">
        <v>1667</v>
      </c>
      <c r="C293" s="984" t="s">
        <v>213</v>
      </c>
      <c r="D293" s="1016" t="s">
        <v>560</v>
      </c>
      <c r="E293" s="1005">
        <f>DMT!$D$24</f>
        <v>353</v>
      </c>
      <c r="F293" s="1006">
        <v>1</v>
      </c>
      <c r="G293" s="949">
        <f>(0.84*E293+41.45)*F293</f>
        <v>337.96999999999997</v>
      </c>
      <c r="H293" s="988">
        <v>4164.04</v>
      </c>
      <c r="I293" s="988">
        <f>IF(ISBLANK(H293),"",H293*(1+$E$9)/(1+$E$10))+G293</f>
        <v>4335.8923053218959</v>
      </c>
      <c r="J293" s="989">
        <f t="shared" si="59"/>
        <v>5206.1099999999997</v>
      </c>
      <c r="K293" s="990" t="s">
        <v>14</v>
      </c>
      <c r="L293" s="991">
        <f>ROUND(SUM('RES. CENTRAL PARK:RUA_FINAL'!L293),2)</f>
        <v>0</v>
      </c>
      <c r="M293" s="1013">
        <f t="shared" si="67"/>
        <v>0</v>
      </c>
      <c r="N293" s="993">
        <f t="shared" si="68"/>
        <v>0</v>
      </c>
      <c r="O293" s="905"/>
      <c r="P293" s="58" t="str">
        <f>IF(N291&gt;0,"xx",IF(N291&gt;0,"xy",""))</f>
        <v/>
      </c>
      <c r="Q293" s="317" t="str">
        <f t="shared" si="69"/>
        <v/>
      </c>
      <c r="R293" s="317" t="str">
        <f t="shared" si="70"/>
        <v/>
      </c>
      <c r="S293" s="317" t="str">
        <f t="shared" si="71"/>
        <v/>
      </c>
      <c r="V293" s="314">
        <f>SUM('RES. CENTRAL PARK:RUA_FINAL'!N293)</f>
        <v>0</v>
      </c>
      <c r="W293" s="315">
        <f t="shared" si="73"/>
        <v>0</v>
      </c>
    </row>
    <row r="294" spans="1:23" ht="15" hidden="1" customHeight="1" x14ac:dyDescent="0.2">
      <c r="A294" s="63">
        <v>584200</v>
      </c>
      <c r="B294" s="999" t="s">
        <v>1645</v>
      </c>
      <c r="C294" s="1000" t="s">
        <v>184</v>
      </c>
      <c r="D294" s="1014" t="s">
        <v>239</v>
      </c>
      <c r="E294" s="974" t="s">
        <v>568</v>
      </c>
      <c r="F294" s="975">
        <v>4.0000000000000001E-3</v>
      </c>
      <c r="G294" s="976">
        <f>SUM(G295:G295)</f>
        <v>0.13891200000000001</v>
      </c>
      <c r="H294" s="977">
        <v>8.48</v>
      </c>
      <c r="I294" s="977">
        <f>IF(ISBLANK(H294),"",SUM(G294:H294))</f>
        <v>8.6189119999999999</v>
      </c>
      <c r="J294" s="978">
        <f t="shared" ref="J294:J354" si="79">IF(ISBLANK(H294),0,ROUND(I294*(1+$E$10),2))</f>
        <v>10.35</v>
      </c>
      <c r="K294" s="979" t="s">
        <v>12</v>
      </c>
      <c r="L294" s="980">
        <f>ROUND(SUM('RES. CENTRAL PARK:RUA_FINAL'!L294),2)</f>
        <v>0</v>
      </c>
      <c r="M294" s="981">
        <f t="shared" si="67"/>
        <v>0</v>
      </c>
      <c r="N294" s="982">
        <f t="shared" si="68"/>
        <v>0</v>
      </c>
      <c r="O294" s="905"/>
      <c r="Q294" s="317" t="str">
        <f t="shared" si="69"/>
        <v/>
      </c>
      <c r="R294" s="317" t="str">
        <f t="shared" si="70"/>
        <v/>
      </c>
      <c r="S294" s="317" t="str">
        <f t="shared" si="71"/>
        <v/>
      </c>
      <c r="V294" s="314">
        <f>SUM('RES. CENTRAL PARK:RUA_FINAL'!N294)</f>
        <v>0</v>
      </c>
      <c r="W294" s="315">
        <f t="shared" si="73"/>
        <v>0</v>
      </c>
    </row>
    <row r="295" spans="1:23" ht="15" hidden="1" customHeight="1" x14ac:dyDescent="0.2">
      <c r="A295" s="63" t="s">
        <v>147</v>
      </c>
      <c r="B295" s="895" t="s">
        <v>147</v>
      </c>
      <c r="C295" s="896"/>
      <c r="D295" s="1015" t="s">
        <v>233</v>
      </c>
      <c r="E295" s="898">
        <f>DMT!$F$10</f>
        <v>0.2</v>
      </c>
      <c r="F295" s="908">
        <v>4.8000000000000001E-2</v>
      </c>
      <c r="G295" s="949">
        <f t="shared" ref="G295" si="80">IF(E295&lt;=30,(1.07*E295+2.68)*F295,((1.07*30+2.68)+1.07*(E295-30))*F295)</f>
        <v>0.13891200000000001</v>
      </c>
      <c r="H295" s="901">
        <v>0</v>
      </c>
      <c r="I295" s="901"/>
      <c r="J295" s="902">
        <v>0</v>
      </c>
      <c r="K295" s="903" t="s">
        <v>507</v>
      </c>
      <c r="L295" s="1003">
        <f>ROUND(SUM('RES. CENTRAL PARK:RUA_FINAL'!L295),2)</f>
        <v>0</v>
      </c>
      <c r="M295" s="960">
        <f t="shared" si="67"/>
        <v>0</v>
      </c>
      <c r="N295" s="893">
        <f t="shared" si="68"/>
        <v>0</v>
      </c>
      <c r="O295" s="905"/>
      <c r="P295" s="58" t="str">
        <f>IF(N294&gt;0,"xx",IF(N294&gt;0,"xy",""))</f>
        <v/>
      </c>
      <c r="Q295" s="317" t="str">
        <f t="shared" si="69"/>
        <v/>
      </c>
      <c r="R295" s="317" t="str">
        <f t="shared" si="70"/>
        <v/>
      </c>
      <c r="S295" s="317" t="str">
        <f t="shared" si="71"/>
        <v/>
      </c>
      <c r="V295" s="314">
        <f>SUM('RES. CENTRAL PARK:RUA_FINAL'!N295)</f>
        <v>0</v>
      </c>
      <c r="W295" s="315">
        <f t="shared" si="73"/>
        <v>0</v>
      </c>
    </row>
    <row r="296" spans="1:23" ht="15" hidden="1" customHeight="1" thickBot="1" x14ac:dyDescent="0.25">
      <c r="A296" s="63">
        <v>589520</v>
      </c>
      <c r="B296" s="1004" t="s">
        <v>1668</v>
      </c>
      <c r="C296" s="984" t="s">
        <v>213</v>
      </c>
      <c r="D296" s="1016" t="s">
        <v>561</v>
      </c>
      <c r="E296" s="1005">
        <f>DMT!$D$24</f>
        <v>353</v>
      </c>
      <c r="F296" s="1006">
        <v>1</v>
      </c>
      <c r="G296" s="949">
        <f>(0.84*E296+41.45)*F296</f>
        <v>337.96999999999997</v>
      </c>
      <c r="H296" s="988">
        <v>4164.04</v>
      </c>
      <c r="I296" s="988">
        <f>IF(ISBLANK(H296),"",H296*(1+$E$9)/(1+$E$10))+G296</f>
        <v>4335.8923053218959</v>
      </c>
      <c r="J296" s="989">
        <f t="shared" si="79"/>
        <v>5206.1099999999997</v>
      </c>
      <c r="K296" s="990" t="s">
        <v>14</v>
      </c>
      <c r="L296" s="991">
        <f>ROUND(SUM('RES. CENTRAL PARK:RUA_FINAL'!L296),2)</f>
        <v>0</v>
      </c>
      <c r="M296" s="1013">
        <f t="shared" si="67"/>
        <v>0</v>
      </c>
      <c r="N296" s="993">
        <f t="shared" si="68"/>
        <v>0</v>
      </c>
      <c r="O296" s="905"/>
      <c r="P296" s="58" t="str">
        <f>IF(N294&gt;0,"xx",IF(N294&gt;0,"xy",""))</f>
        <v/>
      </c>
      <c r="Q296" s="317" t="str">
        <f t="shared" si="69"/>
        <v/>
      </c>
      <c r="R296" s="317" t="str">
        <f t="shared" si="70"/>
        <v/>
      </c>
      <c r="S296" s="317" t="str">
        <f t="shared" si="71"/>
        <v/>
      </c>
      <c r="V296" s="314">
        <f>SUM('RES. CENTRAL PARK:RUA_FINAL'!N296)</f>
        <v>0</v>
      </c>
      <c r="W296" s="315">
        <f t="shared" si="73"/>
        <v>0</v>
      </c>
    </row>
    <row r="297" spans="1:23" ht="15" hidden="1" customHeight="1" x14ac:dyDescent="0.2">
      <c r="A297" s="63">
        <v>564000</v>
      </c>
      <c r="B297" s="999">
        <v>564000</v>
      </c>
      <c r="C297" s="1000" t="s">
        <v>184</v>
      </c>
      <c r="D297" s="1014" t="s">
        <v>240</v>
      </c>
      <c r="E297" s="974" t="s">
        <v>568</v>
      </c>
      <c r="F297" s="975">
        <v>0.125</v>
      </c>
      <c r="G297" s="976">
        <f>SUM(G298:G298)</f>
        <v>6.3668000000000005</v>
      </c>
      <c r="H297" s="977">
        <v>122.99</v>
      </c>
      <c r="I297" s="977">
        <f>IF(ISBLANK(H297),"",SUM(G297:H297))</f>
        <v>129.35679999999999</v>
      </c>
      <c r="J297" s="978">
        <f t="shared" si="79"/>
        <v>155.32</v>
      </c>
      <c r="K297" s="979" t="s">
        <v>10</v>
      </c>
      <c r="L297" s="980">
        <f>ROUND(SUM('RES. CENTRAL PARK:RUA_FINAL'!L297),2)</f>
        <v>0</v>
      </c>
      <c r="M297" s="981">
        <f t="shared" si="67"/>
        <v>0</v>
      </c>
      <c r="N297" s="982">
        <f t="shared" si="68"/>
        <v>0</v>
      </c>
      <c r="O297" s="905"/>
      <c r="Q297" s="317" t="str">
        <f t="shared" si="69"/>
        <v/>
      </c>
      <c r="R297" s="317" t="str">
        <f t="shared" si="70"/>
        <v/>
      </c>
      <c r="S297" s="317" t="str">
        <f t="shared" si="71"/>
        <v/>
      </c>
      <c r="V297" s="314">
        <f>SUM('RES. CENTRAL PARK:RUA_FINAL'!N297)</f>
        <v>0</v>
      </c>
      <c r="W297" s="315">
        <f t="shared" si="73"/>
        <v>0</v>
      </c>
    </row>
    <row r="298" spans="1:23" ht="15" hidden="1" customHeight="1" x14ac:dyDescent="0.2">
      <c r="A298" s="63" t="s">
        <v>147</v>
      </c>
      <c r="B298" s="895" t="s">
        <v>147</v>
      </c>
      <c r="C298" s="896"/>
      <c r="D298" s="1015" t="s">
        <v>233</v>
      </c>
      <c r="E298" s="898">
        <f>DMT!$F$10</f>
        <v>0.2</v>
      </c>
      <c r="F298" s="908">
        <v>2.2000000000000002</v>
      </c>
      <c r="G298" s="949">
        <f t="shared" ref="G298" si="81">IF(E298&lt;=30,(1.07*E298+2.68)*F298,((1.07*30+2.68)+1.07*(E298-30))*F298)</f>
        <v>6.3668000000000005</v>
      </c>
      <c r="H298" s="901">
        <v>0</v>
      </c>
      <c r="I298" s="901"/>
      <c r="J298" s="902">
        <v>0</v>
      </c>
      <c r="K298" s="903" t="s">
        <v>507</v>
      </c>
      <c r="L298" s="1003">
        <f>ROUND(SUM('RES. CENTRAL PARK:RUA_FINAL'!L298),2)</f>
        <v>0</v>
      </c>
      <c r="M298" s="960">
        <f t="shared" si="67"/>
        <v>0</v>
      </c>
      <c r="N298" s="893">
        <f t="shared" si="68"/>
        <v>0</v>
      </c>
      <c r="O298" s="905"/>
      <c r="P298" s="58" t="str">
        <f>IF(N297&gt;0,"xx",IF(N297&gt;0,"xy",""))</f>
        <v/>
      </c>
      <c r="Q298" s="317" t="str">
        <f t="shared" si="69"/>
        <v/>
      </c>
      <c r="R298" s="317" t="str">
        <f t="shared" si="70"/>
        <v/>
      </c>
      <c r="S298" s="317" t="str">
        <f t="shared" si="71"/>
        <v/>
      </c>
      <c r="V298" s="314">
        <f>SUM('RES. CENTRAL PARK:RUA_FINAL'!N298)</f>
        <v>0</v>
      </c>
      <c r="W298" s="315">
        <f t="shared" si="73"/>
        <v>0</v>
      </c>
    </row>
    <row r="299" spans="1:23" ht="15" hidden="1" customHeight="1" thickBot="1" x14ac:dyDescent="0.25">
      <c r="A299" s="63">
        <v>589520</v>
      </c>
      <c r="B299" s="1004" t="s">
        <v>1669</v>
      </c>
      <c r="C299" s="984" t="s">
        <v>213</v>
      </c>
      <c r="D299" s="1016" t="s">
        <v>562</v>
      </c>
      <c r="E299" s="1005">
        <f>DMT!$D$24</f>
        <v>353</v>
      </c>
      <c r="F299" s="1006">
        <v>1</v>
      </c>
      <c r="G299" s="949">
        <f>(0.84*E299+41.45)*F299</f>
        <v>337.96999999999997</v>
      </c>
      <c r="H299" s="988">
        <v>4164.04</v>
      </c>
      <c r="I299" s="988">
        <f>IF(ISBLANK(H299),"",H299*(1+$E$9)/(1+$E$10))+G299</f>
        <v>4335.8923053218959</v>
      </c>
      <c r="J299" s="989">
        <f t="shared" si="79"/>
        <v>5206.1099999999997</v>
      </c>
      <c r="K299" s="990" t="s">
        <v>14</v>
      </c>
      <c r="L299" s="991">
        <f>ROUND(SUM('RES. CENTRAL PARK:RUA_FINAL'!L299),2)</f>
        <v>0</v>
      </c>
      <c r="M299" s="1013">
        <f t="shared" si="67"/>
        <v>0</v>
      </c>
      <c r="N299" s="993">
        <f t="shared" si="68"/>
        <v>0</v>
      </c>
      <c r="O299" s="905"/>
      <c r="P299" s="58" t="str">
        <f>IF(N297&gt;0,"xx",IF(N297&gt;0,"xy",""))</f>
        <v/>
      </c>
      <c r="Q299" s="317" t="str">
        <f t="shared" si="69"/>
        <v/>
      </c>
      <c r="R299" s="317" t="str">
        <f t="shared" si="70"/>
        <v/>
      </c>
      <c r="S299" s="317" t="str">
        <f t="shared" si="71"/>
        <v/>
      </c>
      <c r="V299" s="314">
        <f>SUM('RES. CENTRAL PARK:RUA_FINAL'!N299)</f>
        <v>0</v>
      </c>
      <c r="W299" s="315">
        <f t="shared" si="73"/>
        <v>0</v>
      </c>
    </row>
    <row r="300" spans="1:23" ht="15" hidden="1" customHeight="1" x14ac:dyDescent="0.2">
      <c r="A300" s="63">
        <v>564300</v>
      </c>
      <c r="B300" s="999">
        <v>564300</v>
      </c>
      <c r="C300" s="1000" t="s">
        <v>184</v>
      </c>
      <c r="D300" s="1014" t="s">
        <v>241</v>
      </c>
      <c r="E300" s="974" t="s">
        <v>569</v>
      </c>
      <c r="F300" s="975">
        <v>0.1</v>
      </c>
      <c r="G300" s="976">
        <f>SUM(G301:G301)</f>
        <v>6.3668000000000005</v>
      </c>
      <c r="H300" s="977">
        <v>131</v>
      </c>
      <c r="I300" s="977">
        <f>IF(ISBLANK(H300),"",SUM(G300:H300))</f>
        <v>137.36680000000001</v>
      </c>
      <c r="J300" s="978">
        <f t="shared" si="79"/>
        <v>164.94</v>
      </c>
      <c r="K300" s="979" t="s">
        <v>10</v>
      </c>
      <c r="L300" s="980">
        <f>ROUND(SUM('RES. CENTRAL PARK:RUA_FINAL'!L300),2)</f>
        <v>0</v>
      </c>
      <c r="M300" s="981">
        <f t="shared" si="67"/>
        <v>0</v>
      </c>
      <c r="N300" s="982">
        <f t="shared" si="68"/>
        <v>0</v>
      </c>
      <c r="O300" s="905"/>
      <c r="Q300" s="317" t="str">
        <f t="shared" si="69"/>
        <v/>
      </c>
      <c r="R300" s="317" t="str">
        <f t="shared" si="70"/>
        <v/>
      </c>
      <c r="S300" s="317" t="str">
        <f t="shared" si="71"/>
        <v/>
      </c>
      <c r="V300" s="314">
        <f>SUM('RES. CENTRAL PARK:RUA_FINAL'!N300)</f>
        <v>0</v>
      </c>
      <c r="W300" s="315">
        <f t="shared" si="73"/>
        <v>0</v>
      </c>
    </row>
    <row r="301" spans="1:23" ht="15" hidden="1" customHeight="1" x14ac:dyDescent="0.2">
      <c r="A301" s="63" t="s">
        <v>147</v>
      </c>
      <c r="B301" s="895" t="s">
        <v>147</v>
      </c>
      <c r="C301" s="896"/>
      <c r="D301" s="1015" t="s">
        <v>233</v>
      </c>
      <c r="E301" s="898">
        <f>DMT!$F$10</f>
        <v>0.2</v>
      </c>
      <c r="F301" s="908">
        <v>2.2000000000000002</v>
      </c>
      <c r="G301" s="949">
        <f t="shared" ref="G301" si="82">IF(E301&lt;=30,(1.07*E301+2.68)*F301,((1.07*30+2.68)+1.07*(E301-30))*F301)</f>
        <v>6.3668000000000005</v>
      </c>
      <c r="H301" s="901">
        <v>0</v>
      </c>
      <c r="I301" s="901"/>
      <c r="J301" s="902">
        <v>0</v>
      </c>
      <c r="K301" s="903" t="s">
        <v>507</v>
      </c>
      <c r="L301" s="1003">
        <f>ROUND(SUM('RES. CENTRAL PARK:RUA_FINAL'!L301),2)</f>
        <v>0</v>
      </c>
      <c r="M301" s="960">
        <f t="shared" si="67"/>
        <v>0</v>
      </c>
      <c r="N301" s="893">
        <f t="shared" si="68"/>
        <v>0</v>
      </c>
      <c r="O301" s="905"/>
      <c r="P301" s="58" t="str">
        <f>IF(N300&gt;0,"xx",IF(N300&gt;0,"xy",""))</f>
        <v/>
      </c>
      <c r="Q301" s="317" t="str">
        <f t="shared" si="69"/>
        <v/>
      </c>
      <c r="R301" s="317" t="str">
        <f t="shared" si="70"/>
        <v/>
      </c>
      <c r="S301" s="317" t="str">
        <f t="shared" si="71"/>
        <v/>
      </c>
      <c r="V301" s="314">
        <f>SUM('RES. CENTRAL PARK:RUA_FINAL'!N301)</f>
        <v>0</v>
      </c>
      <c r="W301" s="315">
        <f t="shared" si="73"/>
        <v>0</v>
      </c>
    </row>
    <row r="302" spans="1:23" ht="15" hidden="1" customHeight="1" thickBot="1" x14ac:dyDescent="0.25">
      <c r="A302" s="63">
        <v>589000</v>
      </c>
      <c r="B302" s="1004" t="s">
        <v>708</v>
      </c>
      <c r="C302" s="984" t="s">
        <v>213</v>
      </c>
      <c r="D302" s="1016" t="s">
        <v>563</v>
      </c>
      <c r="E302" s="1005">
        <f>DMT!$D$19</f>
        <v>45</v>
      </c>
      <c r="F302" s="1006">
        <v>1</v>
      </c>
      <c r="G302" s="949">
        <f>(0.84*E302+41.45)*F302</f>
        <v>79.25</v>
      </c>
      <c r="H302" s="988">
        <v>4828.8599999999997</v>
      </c>
      <c r="I302" s="988">
        <f>IF(ISBLANK(H302),"",H302*(1+$E$9)/(1+$E$10))+G302</f>
        <v>4715.4703781127673</v>
      </c>
      <c r="J302" s="989">
        <f t="shared" si="79"/>
        <v>5661.87</v>
      </c>
      <c r="K302" s="990" t="s">
        <v>14</v>
      </c>
      <c r="L302" s="991">
        <f>ROUND(SUM('RES. CENTRAL PARK:RUA_FINAL'!L302),2)</f>
        <v>0</v>
      </c>
      <c r="M302" s="1013">
        <f t="shared" si="67"/>
        <v>0</v>
      </c>
      <c r="N302" s="993">
        <f t="shared" si="68"/>
        <v>0</v>
      </c>
      <c r="O302" s="905"/>
      <c r="P302" s="58" t="str">
        <f>IF(N300&gt;0,"xx",IF(N300&gt;0,"xy",""))</f>
        <v/>
      </c>
      <c r="Q302" s="317" t="str">
        <f t="shared" si="69"/>
        <v/>
      </c>
      <c r="R302" s="317" t="str">
        <f t="shared" si="70"/>
        <v/>
      </c>
      <c r="S302" s="317" t="str">
        <f t="shared" si="71"/>
        <v/>
      </c>
      <c r="V302" s="314">
        <f>SUM('RES. CENTRAL PARK:RUA_FINAL'!N302)</f>
        <v>0</v>
      </c>
      <c r="W302" s="315">
        <f t="shared" si="73"/>
        <v>0</v>
      </c>
    </row>
    <row r="303" spans="1:23" ht="15" hidden="1" customHeight="1" x14ac:dyDescent="0.2">
      <c r="A303" s="63">
        <v>563100</v>
      </c>
      <c r="B303" s="999" t="s">
        <v>1753</v>
      </c>
      <c r="C303" s="1000" t="s">
        <v>184</v>
      </c>
      <c r="D303" s="1017" t="s">
        <v>242</v>
      </c>
      <c r="E303" s="974" t="s">
        <v>568</v>
      </c>
      <c r="F303" s="975">
        <v>5.0000000000000001E-4</v>
      </c>
      <c r="G303" s="976">
        <f>SUM(G304:G304)</f>
        <v>2.0258000000000002E-2</v>
      </c>
      <c r="H303" s="977">
        <v>1.27</v>
      </c>
      <c r="I303" s="977">
        <f>IF(ISBLANK(H303),"",SUM(G303:H303))</f>
        <v>1.2902580000000001</v>
      </c>
      <c r="J303" s="978">
        <f t="shared" si="79"/>
        <v>1.55</v>
      </c>
      <c r="K303" s="979" t="s">
        <v>12</v>
      </c>
      <c r="L303" s="980">
        <f>ROUND(SUM('RES. CENTRAL PARK:RUA_FINAL'!L303),2)</f>
        <v>0</v>
      </c>
      <c r="M303" s="981">
        <f t="shared" si="67"/>
        <v>0</v>
      </c>
      <c r="N303" s="982">
        <f t="shared" si="68"/>
        <v>0</v>
      </c>
      <c r="O303" s="905"/>
      <c r="Q303" s="317" t="str">
        <f t="shared" si="69"/>
        <v/>
      </c>
      <c r="R303" s="317" t="str">
        <f t="shared" si="70"/>
        <v/>
      </c>
      <c r="S303" s="317" t="str">
        <f t="shared" si="71"/>
        <v/>
      </c>
      <c r="V303" s="314">
        <f>SUM('RES. CENTRAL PARK:RUA_FINAL'!N303)</f>
        <v>0</v>
      </c>
      <c r="W303" s="315">
        <f t="shared" si="73"/>
        <v>0</v>
      </c>
    </row>
    <row r="304" spans="1:23" ht="15" hidden="1" customHeight="1" x14ac:dyDescent="0.2">
      <c r="A304" s="63" t="s">
        <v>147</v>
      </c>
      <c r="B304" s="895" t="s">
        <v>147</v>
      </c>
      <c r="C304" s="896"/>
      <c r="D304" s="1018" t="s">
        <v>233</v>
      </c>
      <c r="E304" s="898">
        <f>DMT!$F$10</f>
        <v>0.2</v>
      </c>
      <c r="F304" s="908">
        <v>7.0000000000000001E-3</v>
      </c>
      <c r="G304" s="949">
        <f t="shared" ref="G304" si="83">IF(E304&lt;=30,(1.07*E304+2.68)*F304,((1.07*30+2.68)+1.07*(E304-30))*F304)</f>
        <v>2.0258000000000002E-2</v>
      </c>
      <c r="H304" s="901">
        <v>0</v>
      </c>
      <c r="I304" s="901"/>
      <c r="J304" s="902">
        <v>0</v>
      </c>
      <c r="K304" s="903" t="s">
        <v>507</v>
      </c>
      <c r="L304" s="1003">
        <f>ROUND(SUM('RES. CENTRAL PARK:RUA_FINAL'!L304),2)</f>
        <v>0</v>
      </c>
      <c r="M304" s="960">
        <f t="shared" si="67"/>
        <v>0</v>
      </c>
      <c r="N304" s="893">
        <f t="shared" si="68"/>
        <v>0</v>
      </c>
      <c r="O304" s="905"/>
      <c r="P304" s="58" t="str">
        <f>IF(N303&gt;0,"xx",IF(N303&gt;0,"xy",""))</f>
        <v/>
      </c>
      <c r="Q304" s="317" t="str">
        <f t="shared" si="69"/>
        <v/>
      </c>
      <c r="R304" s="317" t="str">
        <f t="shared" si="70"/>
        <v/>
      </c>
      <c r="S304" s="317" t="str">
        <f t="shared" si="71"/>
        <v/>
      </c>
      <c r="V304" s="314">
        <f>SUM('RES. CENTRAL PARK:RUA_FINAL'!N304)</f>
        <v>0</v>
      </c>
      <c r="W304" s="315">
        <f t="shared" si="73"/>
        <v>0</v>
      </c>
    </row>
    <row r="305" spans="1:23" ht="15" hidden="1" customHeight="1" thickBot="1" x14ac:dyDescent="0.25">
      <c r="A305" s="63">
        <v>589520</v>
      </c>
      <c r="B305" s="1004" t="s">
        <v>1670</v>
      </c>
      <c r="C305" s="984" t="s">
        <v>213</v>
      </c>
      <c r="D305" s="1012" t="s">
        <v>564</v>
      </c>
      <c r="E305" s="1005">
        <f>DMT!$D$24</f>
        <v>353</v>
      </c>
      <c r="F305" s="1006">
        <v>1</v>
      </c>
      <c r="G305" s="949">
        <f>(0.84*E305+41.45)*F305</f>
        <v>337.96999999999997</v>
      </c>
      <c r="H305" s="988">
        <v>4164.04</v>
      </c>
      <c r="I305" s="988">
        <f>IF(ISBLANK(H305),"",H305*(1+$E$9)/(1+$E$10))+G305</f>
        <v>4335.8923053218959</v>
      </c>
      <c r="J305" s="989">
        <f t="shared" si="79"/>
        <v>5206.1099999999997</v>
      </c>
      <c r="K305" s="990" t="s">
        <v>14</v>
      </c>
      <c r="L305" s="991">
        <f>ROUND(SUM('RES. CENTRAL PARK:RUA_FINAL'!L305),2)</f>
        <v>0</v>
      </c>
      <c r="M305" s="1013">
        <f t="shared" si="67"/>
        <v>0</v>
      </c>
      <c r="N305" s="993">
        <f t="shared" si="68"/>
        <v>0</v>
      </c>
      <c r="O305" s="905"/>
      <c r="P305" s="58" t="str">
        <f>IF(N303&gt;0,"xx",IF(N303&gt;0,"xy",""))</f>
        <v/>
      </c>
      <c r="Q305" s="317" t="str">
        <f t="shared" si="69"/>
        <v/>
      </c>
      <c r="R305" s="317" t="str">
        <f t="shared" si="70"/>
        <v/>
      </c>
      <c r="S305" s="317" t="str">
        <f t="shared" si="71"/>
        <v/>
      </c>
      <c r="V305" s="314">
        <f>SUM('RES. CENTRAL PARK:RUA_FINAL'!N305)</f>
        <v>0</v>
      </c>
      <c r="W305" s="315">
        <f t="shared" si="73"/>
        <v>0</v>
      </c>
    </row>
    <row r="306" spans="1:23" ht="15" hidden="1" customHeight="1" x14ac:dyDescent="0.2">
      <c r="A306" s="63">
        <v>534000</v>
      </c>
      <c r="B306" s="999" t="s">
        <v>599</v>
      </c>
      <c r="C306" s="1000" t="s">
        <v>184</v>
      </c>
      <c r="D306" s="973" t="s">
        <v>2205</v>
      </c>
      <c r="E306" s="974" t="s">
        <v>570</v>
      </c>
      <c r="F306" s="975">
        <v>0.08</v>
      </c>
      <c r="G306" s="976">
        <f>SUM(G307:G310)</f>
        <v>69.737280000000013</v>
      </c>
      <c r="H306" s="977">
        <v>141.84</v>
      </c>
      <c r="I306" s="977">
        <f>IF(ISBLANK(H306),"",SUM(G306:H306))</f>
        <v>211.57728000000003</v>
      </c>
      <c r="J306" s="978">
        <f t="shared" si="79"/>
        <v>254.04</v>
      </c>
      <c r="K306" s="979" t="s">
        <v>10</v>
      </c>
      <c r="L306" s="980">
        <f>ROUND(SUM('RES. CENTRAL PARK:RUA_FINAL'!L306),2)</f>
        <v>0</v>
      </c>
      <c r="M306" s="981">
        <f t="shared" si="67"/>
        <v>0</v>
      </c>
      <c r="N306" s="982">
        <f t="shared" si="68"/>
        <v>0</v>
      </c>
      <c r="O306" s="905"/>
      <c r="Q306" s="317" t="str">
        <f t="shared" si="69"/>
        <v/>
      </c>
      <c r="R306" s="317" t="str">
        <f t="shared" si="70"/>
        <v/>
      </c>
      <c r="S306" s="317" t="str">
        <f t="shared" si="71"/>
        <v/>
      </c>
      <c r="V306" s="314">
        <f>SUM('RES. CENTRAL PARK:RUA_FINAL'!N306)</f>
        <v>0</v>
      </c>
      <c r="W306" s="315">
        <f t="shared" si="73"/>
        <v>0</v>
      </c>
    </row>
    <row r="307" spans="1:23" ht="15" hidden="1" customHeight="1" x14ac:dyDescent="0.2">
      <c r="A307" s="63" t="s">
        <v>147</v>
      </c>
      <c r="B307" s="895" t="s">
        <v>147</v>
      </c>
      <c r="C307" s="896"/>
      <c r="D307" s="957" t="s">
        <v>229</v>
      </c>
      <c r="E307" s="907">
        <f>DMT!$F$42</f>
        <v>150</v>
      </c>
      <c r="F307" s="908"/>
      <c r="G307" s="949">
        <f t="shared" ref="G307:G309" si="84">IF(E307&lt;=30,(1.07*E307+2.68)*F307,((1.07*30+2.68)+1.07*(E307-30))*F307)</f>
        <v>0</v>
      </c>
      <c r="H307" s="901">
        <v>0</v>
      </c>
      <c r="I307" s="901"/>
      <c r="J307" s="902">
        <v>0</v>
      </c>
      <c r="K307" s="903" t="s">
        <v>507</v>
      </c>
      <c r="L307" s="1003">
        <f>ROUND(SUM('RES. CENTRAL PARK:RUA_FINAL'!L307),2)</f>
        <v>0</v>
      </c>
      <c r="M307" s="960">
        <f t="shared" si="67"/>
        <v>0</v>
      </c>
      <c r="N307" s="893">
        <f t="shared" si="68"/>
        <v>0</v>
      </c>
      <c r="O307" s="905"/>
      <c r="P307" s="58" t="str">
        <f>IF(N306&gt;0,"xx",IF(N306&gt;0,"xy",""))</f>
        <v/>
      </c>
      <c r="Q307" s="317" t="str">
        <f t="shared" si="69"/>
        <v/>
      </c>
      <c r="R307" s="317" t="str">
        <f t="shared" si="70"/>
        <v/>
      </c>
      <c r="S307" s="317" t="str">
        <f t="shared" si="71"/>
        <v/>
      </c>
      <c r="V307" s="314">
        <f>SUM('RES. CENTRAL PARK:RUA_FINAL'!N307)</f>
        <v>0</v>
      </c>
      <c r="W307" s="315">
        <f t="shared" si="73"/>
        <v>0</v>
      </c>
    </row>
    <row r="308" spans="1:23" ht="15" hidden="1" customHeight="1" x14ac:dyDescent="0.2">
      <c r="A308" s="63" t="s">
        <v>147</v>
      </c>
      <c r="B308" s="895" t="s">
        <v>147</v>
      </c>
      <c r="C308" s="896"/>
      <c r="D308" s="957" t="s">
        <v>230</v>
      </c>
      <c r="E308" s="907">
        <f>DMT!$D$46</f>
        <v>353</v>
      </c>
      <c r="F308" s="908"/>
      <c r="G308" s="909">
        <f>IF(E308&lt;=30,(0.78*E308+7.82)*F308,((0.78*30+7.82)+0.78*(E308-30))*F308)</f>
        <v>0</v>
      </c>
      <c r="H308" s="901">
        <v>0</v>
      </c>
      <c r="I308" s="901"/>
      <c r="J308" s="902">
        <v>0</v>
      </c>
      <c r="K308" s="903" t="s">
        <v>507</v>
      </c>
      <c r="L308" s="1003">
        <f>ROUND(SUM('RES. CENTRAL PARK:RUA_FINAL'!L308),2)</f>
        <v>0</v>
      </c>
      <c r="M308" s="960">
        <f t="shared" si="67"/>
        <v>0</v>
      </c>
      <c r="N308" s="893">
        <f t="shared" si="68"/>
        <v>0</v>
      </c>
      <c r="O308" s="905"/>
      <c r="P308" s="58" t="str">
        <f>IF(N306&gt;0,"xx",IF(N306&gt;0,"xy",""))</f>
        <v/>
      </c>
      <c r="Q308" s="317" t="str">
        <f t="shared" si="69"/>
        <v/>
      </c>
      <c r="R308" s="317" t="str">
        <f t="shared" si="70"/>
        <v/>
      </c>
      <c r="S308" s="317" t="str">
        <f t="shared" si="71"/>
        <v/>
      </c>
      <c r="V308" s="314">
        <f>SUM('RES. CENTRAL PARK:RUA_FINAL'!N308)</f>
        <v>0</v>
      </c>
      <c r="W308" s="315">
        <f t="shared" si="73"/>
        <v>0</v>
      </c>
    </row>
    <row r="309" spans="1:23" ht="15" hidden="1" customHeight="1" x14ac:dyDescent="0.2">
      <c r="A309" s="63" t="s">
        <v>147</v>
      </c>
      <c r="B309" s="895" t="s">
        <v>147</v>
      </c>
      <c r="C309" s="896"/>
      <c r="D309" s="957" t="s">
        <v>243</v>
      </c>
      <c r="E309" s="907">
        <f>DMT!$F$43</f>
        <v>0.2</v>
      </c>
      <c r="F309" s="908">
        <v>2.12</v>
      </c>
      <c r="G309" s="949">
        <f t="shared" si="84"/>
        <v>6.1352800000000007</v>
      </c>
      <c r="H309" s="901">
        <v>0</v>
      </c>
      <c r="I309" s="901"/>
      <c r="J309" s="902">
        <v>0</v>
      </c>
      <c r="K309" s="903" t="s">
        <v>507</v>
      </c>
      <c r="L309" s="1003">
        <f>ROUND(SUM('RES. CENTRAL PARK:RUA_FINAL'!L309),2)</f>
        <v>0</v>
      </c>
      <c r="M309" s="960">
        <f t="shared" si="67"/>
        <v>0</v>
      </c>
      <c r="N309" s="893">
        <f t="shared" si="68"/>
        <v>0</v>
      </c>
      <c r="O309" s="905"/>
      <c r="P309" s="58" t="str">
        <f>IF(N306&gt;0,"xx",IF(N306&gt;0,"xy",""))</f>
        <v/>
      </c>
      <c r="Q309" s="317" t="str">
        <f t="shared" si="69"/>
        <v/>
      </c>
      <c r="R309" s="317" t="str">
        <f t="shared" si="70"/>
        <v/>
      </c>
      <c r="S309" s="317" t="str">
        <f t="shared" si="71"/>
        <v/>
      </c>
      <c r="V309" s="314">
        <f>SUM('RES. CENTRAL PARK:RUA_FINAL'!N309)</f>
        <v>0</v>
      </c>
      <c r="W309" s="315">
        <f t="shared" si="73"/>
        <v>0</v>
      </c>
    </row>
    <row r="310" spans="1:23" ht="15" hidden="1" customHeight="1" x14ac:dyDescent="0.2">
      <c r="A310" s="63" t="s">
        <v>147</v>
      </c>
      <c r="B310" s="895" t="s">
        <v>147</v>
      </c>
      <c r="C310" s="896"/>
      <c r="D310" s="957" t="s">
        <v>244</v>
      </c>
      <c r="E310" s="907">
        <f>DMT!$F$28</f>
        <v>22</v>
      </c>
      <c r="F310" s="908">
        <f>SUM(F306:F309)</f>
        <v>2.2000000000000002</v>
      </c>
      <c r="G310" s="912">
        <f>IF(E310&lt;=30,(1.07*E310+5.37)*F310,((1.07*30+5.37)+1.07*(E310-30))*F310)</f>
        <v>63.602000000000011</v>
      </c>
      <c r="H310" s="901">
        <v>0</v>
      </c>
      <c r="I310" s="901"/>
      <c r="J310" s="902">
        <v>0</v>
      </c>
      <c r="K310" s="903" t="s">
        <v>507</v>
      </c>
      <c r="L310" s="1003">
        <f>ROUND(SUM('RES. CENTRAL PARK:RUA_FINAL'!L310),2)</f>
        <v>0</v>
      </c>
      <c r="M310" s="960">
        <f t="shared" si="67"/>
        <v>0</v>
      </c>
      <c r="N310" s="893">
        <f t="shared" si="68"/>
        <v>0</v>
      </c>
      <c r="O310" s="905"/>
      <c r="P310" s="58" t="str">
        <f>IF(N306&gt;0,"xx",IF(N306&gt;0,"xy",""))</f>
        <v/>
      </c>
      <c r="Q310" s="317" t="str">
        <f t="shared" si="69"/>
        <v/>
      </c>
      <c r="R310" s="317" t="str">
        <f t="shared" si="70"/>
        <v/>
      </c>
      <c r="S310" s="317" t="str">
        <f t="shared" si="71"/>
        <v/>
      </c>
      <c r="V310" s="314">
        <f>SUM('RES. CENTRAL PARK:RUA_FINAL'!N310)</f>
        <v>0</v>
      </c>
      <c r="W310" s="315">
        <f t="shared" si="73"/>
        <v>0</v>
      </c>
    </row>
    <row r="311" spans="1:23" ht="15" hidden="1" customHeight="1" thickBot="1" x14ac:dyDescent="0.25">
      <c r="A311" s="63">
        <v>589320</v>
      </c>
      <c r="B311" s="1004" t="s">
        <v>719</v>
      </c>
      <c r="C311" s="984" t="s">
        <v>213</v>
      </c>
      <c r="D311" s="1012" t="s">
        <v>699</v>
      </c>
      <c r="E311" s="1005">
        <f>DMT!$D$47</f>
        <v>45</v>
      </c>
      <c r="F311" s="1006">
        <v>1</v>
      </c>
      <c r="G311" s="949">
        <f>(0.84*E311+41.45)*F311</f>
        <v>79.25</v>
      </c>
      <c r="H311" s="988">
        <v>4012.83</v>
      </c>
      <c r="I311" s="988">
        <f>IF(ISBLANK(H311),"",H311*(1+$E$9)/(1+$E$10))+G311</f>
        <v>3931.9945856583668</v>
      </c>
      <c r="J311" s="989">
        <f t="shared" si="79"/>
        <v>4721.1499999999996</v>
      </c>
      <c r="K311" s="990" t="s">
        <v>14</v>
      </c>
      <c r="L311" s="991">
        <f>ROUND(SUM('RES. CENTRAL PARK:RUA_FINAL'!L311),2)</f>
        <v>0</v>
      </c>
      <c r="M311" s="1013">
        <f t="shared" si="67"/>
        <v>0</v>
      </c>
      <c r="N311" s="993">
        <f t="shared" si="68"/>
        <v>0</v>
      </c>
      <c r="O311" s="905"/>
      <c r="P311" s="58" t="str">
        <f>IF(N306&gt;0,"xx",IF(N306&gt;0,"xy",""))</f>
        <v/>
      </c>
      <c r="Q311" s="317" t="str">
        <f t="shared" si="69"/>
        <v/>
      </c>
      <c r="R311" s="317" t="str">
        <f t="shared" si="70"/>
        <v/>
      </c>
      <c r="S311" s="317" t="str">
        <f t="shared" si="71"/>
        <v/>
      </c>
      <c r="V311" s="314">
        <f>SUM('RES. CENTRAL PARK:RUA_FINAL'!N311)</f>
        <v>0</v>
      </c>
      <c r="W311" s="315">
        <f t="shared" si="73"/>
        <v>0</v>
      </c>
    </row>
    <row r="312" spans="1:23" ht="15" hidden="1" customHeight="1" x14ac:dyDescent="0.2">
      <c r="A312" s="63">
        <v>534000</v>
      </c>
      <c r="B312" s="999" t="s">
        <v>600</v>
      </c>
      <c r="C312" s="1000" t="s">
        <v>184</v>
      </c>
      <c r="D312" s="973" t="s">
        <v>2206</v>
      </c>
      <c r="E312" s="974" t="s">
        <v>570</v>
      </c>
      <c r="F312" s="975">
        <v>0.08</v>
      </c>
      <c r="G312" s="976">
        <f>SUM(G313:G316)</f>
        <v>69.737280000000013</v>
      </c>
      <c r="H312" s="977">
        <v>141.84</v>
      </c>
      <c r="I312" s="977">
        <f>IF(ISBLANK(H312),"",SUM(G312:H312))</f>
        <v>211.57728000000003</v>
      </c>
      <c r="J312" s="978">
        <f t="shared" si="79"/>
        <v>254.04</v>
      </c>
      <c r="K312" s="979" t="s">
        <v>10</v>
      </c>
      <c r="L312" s="980">
        <f>ROUND(SUM('RES. CENTRAL PARK:RUA_FINAL'!L312),2)</f>
        <v>0</v>
      </c>
      <c r="M312" s="981">
        <f t="shared" si="67"/>
        <v>0</v>
      </c>
      <c r="N312" s="982">
        <f t="shared" si="68"/>
        <v>0</v>
      </c>
      <c r="O312" s="905"/>
      <c r="Q312" s="317" t="str">
        <f t="shared" si="69"/>
        <v/>
      </c>
      <c r="R312" s="317" t="str">
        <f t="shared" si="70"/>
        <v/>
      </c>
      <c r="S312" s="317" t="str">
        <f t="shared" si="71"/>
        <v/>
      </c>
      <c r="V312" s="314">
        <f>SUM('RES. CENTRAL PARK:RUA_FINAL'!N312)</f>
        <v>0</v>
      </c>
      <c r="W312" s="315">
        <f t="shared" si="73"/>
        <v>0</v>
      </c>
    </row>
    <row r="313" spans="1:23" ht="15" hidden="1" customHeight="1" x14ac:dyDescent="0.2">
      <c r="A313" s="63" t="s">
        <v>147</v>
      </c>
      <c r="B313" s="895" t="s">
        <v>147</v>
      </c>
      <c r="C313" s="896"/>
      <c r="D313" s="957" t="s">
        <v>229</v>
      </c>
      <c r="E313" s="907">
        <f>DMT!$F$42</f>
        <v>150</v>
      </c>
      <c r="F313" s="908"/>
      <c r="G313" s="949">
        <f t="shared" ref="G313:G315" si="85">IF(E313&lt;=30,(1.07*E313+2.68)*F313,((1.07*30+2.68)+1.07*(E313-30))*F313)</f>
        <v>0</v>
      </c>
      <c r="H313" s="901">
        <v>0</v>
      </c>
      <c r="I313" s="901"/>
      <c r="J313" s="902">
        <v>0</v>
      </c>
      <c r="K313" s="903" t="s">
        <v>507</v>
      </c>
      <c r="L313" s="1003">
        <f>ROUND(SUM('RES. CENTRAL PARK:RUA_FINAL'!L313),2)</f>
        <v>0</v>
      </c>
      <c r="M313" s="960">
        <f t="shared" si="67"/>
        <v>0</v>
      </c>
      <c r="N313" s="893">
        <f t="shared" si="68"/>
        <v>0</v>
      </c>
      <c r="O313" s="905"/>
      <c r="P313" s="58" t="str">
        <f>IF(N312&gt;0,"xx",IF(N312&gt;0,"xy",""))</f>
        <v/>
      </c>
      <c r="Q313" s="317" t="str">
        <f t="shared" si="69"/>
        <v/>
      </c>
      <c r="R313" s="317" t="str">
        <f t="shared" si="70"/>
        <v/>
      </c>
      <c r="S313" s="317" t="str">
        <f t="shared" si="71"/>
        <v/>
      </c>
      <c r="V313" s="314">
        <f>SUM('RES. CENTRAL PARK:RUA_FINAL'!N313)</f>
        <v>0</v>
      </c>
      <c r="W313" s="315">
        <f t="shared" si="73"/>
        <v>0</v>
      </c>
    </row>
    <row r="314" spans="1:23" ht="15" hidden="1" customHeight="1" x14ac:dyDescent="0.2">
      <c r="A314" s="63" t="s">
        <v>147</v>
      </c>
      <c r="B314" s="895" t="s">
        <v>147</v>
      </c>
      <c r="C314" s="896"/>
      <c r="D314" s="957" t="s">
        <v>230</v>
      </c>
      <c r="E314" s="907">
        <f>DMT!$D$46</f>
        <v>353</v>
      </c>
      <c r="F314" s="908"/>
      <c r="G314" s="909">
        <f>IF(E314&lt;=30,(0.78*E314+7.82)*F314,((0.78*30+7.82)+0.78*(E314-30))*F314)</f>
        <v>0</v>
      </c>
      <c r="H314" s="901">
        <v>0</v>
      </c>
      <c r="I314" s="901"/>
      <c r="J314" s="902">
        <v>0</v>
      </c>
      <c r="K314" s="903" t="s">
        <v>507</v>
      </c>
      <c r="L314" s="1003">
        <f>ROUND(SUM('RES. CENTRAL PARK:RUA_FINAL'!L314),2)</f>
        <v>0</v>
      </c>
      <c r="M314" s="960">
        <f t="shared" si="67"/>
        <v>0</v>
      </c>
      <c r="N314" s="893">
        <f t="shared" si="68"/>
        <v>0</v>
      </c>
      <c r="O314" s="905"/>
      <c r="P314" s="58" t="str">
        <f>IF(N312&gt;0,"xx",IF(N312&gt;0,"xy",""))</f>
        <v/>
      </c>
      <c r="Q314" s="317" t="str">
        <f t="shared" si="69"/>
        <v/>
      </c>
      <c r="R314" s="317" t="str">
        <f t="shared" si="70"/>
        <v/>
      </c>
      <c r="S314" s="317" t="str">
        <f t="shared" si="71"/>
        <v/>
      </c>
      <c r="V314" s="314">
        <f>SUM('RES. CENTRAL PARK:RUA_FINAL'!N314)</f>
        <v>0</v>
      </c>
      <c r="W314" s="315">
        <f t="shared" si="73"/>
        <v>0</v>
      </c>
    </row>
    <row r="315" spans="1:23" ht="15" hidden="1" customHeight="1" x14ac:dyDescent="0.2">
      <c r="A315" s="63" t="s">
        <v>147</v>
      </c>
      <c r="B315" s="895" t="s">
        <v>147</v>
      </c>
      <c r="C315" s="896"/>
      <c r="D315" s="957" t="s">
        <v>243</v>
      </c>
      <c r="E315" s="907">
        <f>DMT!$F$43</f>
        <v>0.2</v>
      </c>
      <c r="F315" s="908">
        <v>2.12</v>
      </c>
      <c r="G315" s="949">
        <f t="shared" si="85"/>
        <v>6.1352800000000007</v>
      </c>
      <c r="H315" s="901">
        <v>0</v>
      </c>
      <c r="I315" s="901"/>
      <c r="J315" s="902">
        <v>0</v>
      </c>
      <c r="K315" s="903" t="s">
        <v>507</v>
      </c>
      <c r="L315" s="1003">
        <f>ROUND(SUM('RES. CENTRAL PARK:RUA_FINAL'!L315),2)</f>
        <v>0</v>
      </c>
      <c r="M315" s="960">
        <f t="shared" si="67"/>
        <v>0</v>
      </c>
      <c r="N315" s="893">
        <f t="shared" si="68"/>
        <v>0</v>
      </c>
      <c r="O315" s="905"/>
      <c r="P315" s="58" t="str">
        <f>IF(N312&gt;0,"xx",IF(N312&gt;0,"xy",""))</f>
        <v/>
      </c>
      <c r="Q315" s="317" t="str">
        <f t="shared" si="69"/>
        <v/>
      </c>
      <c r="R315" s="317" t="str">
        <f t="shared" si="70"/>
        <v/>
      </c>
      <c r="S315" s="317" t="str">
        <f t="shared" si="71"/>
        <v/>
      </c>
      <c r="V315" s="314">
        <f>SUM('RES. CENTRAL PARK:RUA_FINAL'!N315)</f>
        <v>0</v>
      </c>
      <c r="W315" s="315">
        <f t="shared" si="73"/>
        <v>0</v>
      </c>
    </row>
    <row r="316" spans="1:23" ht="15" hidden="1" customHeight="1" x14ac:dyDescent="0.2">
      <c r="A316" s="63" t="s">
        <v>147</v>
      </c>
      <c r="B316" s="895" t="s">
        <v>147</v>
      </c>
      <c r="C316" s="896"/>
      <c r="D316" s="957" t="s">
        <v>244</v>
      </c>
      <c r="E316" s="907">
        <f>DMT!$F$28</f>
        <v>22</v>
      </c>
      <c r="F316" s="908">
        <f>SUM(F312:F315)</f>
        <v>2.2000000000000002</v>
      </c>
      <c r="G316" s="912">
        <f>IF(E316&lt;=30,(1.07*E316+5.37)*F316,((1.07*30+5.37)+1.07*(E316-30))*F316)</f>
        <v>63.602000000000011</v>
      </c>
      <c r="H316" s="901">
        <v>0</v>
      </c>
      <c r="I316" s="901"/>
      <c r="J316" s="902">
        <v>0</v>
      </c>
      <c r="K316" s="903" t="s">
        <v>507</v>
      </c>
      <c r="L316" s="1003">
        <f>ROUND(SUM('RES. CENTRAL PARK:RUA_FINAL'!L316),2)</f>
        <v>0</v>
      </c>
      <c r="M316" s="960">
        <f t="shared" si="67"/>
        <v>0</v>
      </c>
      <c r="N316" s="893">
        <f t="shared" si="68"/>
        <v>0</v>
      </c>
      <c r="O316" s="905"/>
      <c r="P316" s="58" t="str">
        <f>IF(N312&gt;0,"xx",IF(N312&gt;0,"xy",""))</f>
        <v/>
      </c>
      <c r="Q316" s="317" t="str">
        <f t="shared" si="69"/>
        <v/>
      </c>
      <c r="R316" s="317" t="str">
        <f t="shared" si="70"/>
        <v/>
      </c>
      <c r="S316" s="317" t="str">
        <f t="shared" si="71"/>
        <v/>
      </c>
      <c r="V316" s="314">
        <f>SUM('RES. CENTRAL PARK:RUA_FINAL'!N316)</f>
        <v>0</v>
      </c>
      <c r="W316" s="315">
        <f t="shared" si="73"/>
        <v>0</v>
      </c>
    </row>
    <row r="317" spans="1:23" ht="15" hidden="1" customHeight="1" thickBot="1" x14ac:dyDescent="0.25">
      <c r="A317" s="63">
        <v>589320</v>
      </c>
      <c r="B317" s="1004" t="s">
        <v>720</v>
      </c>
      <c r="C317" s="984" t="s">
        <v>213</v>
      </c>
      <c r="D317" s="1012" t="s">
        <v>699</v>
      </c>
      <c r="E317" s="1005">
        <f>DMT!$D$47</f>
        <v>45</v>
      </c>
      <c r="F317" s="1006">
        <v>1</v>
      </c>
      <c r="G317" s="949">
        <f>(0.84*E317+41.45)*F317</f>
        <v>79.25</v>
      </c>
      <c r="H317" s="988">
        <v>4012.83</v>
      </c>
      <c r="I317" s="988">
        <f>IF(ISBLANK(H317),"",H317*(1+$E$9)/(1+$E$10))+G317</f>
        <v>3931.9945856583668</v>
      </c>
      <c r="J317" s="989">
        <f t="shared" si="79"/>
        <v>4721.1499999999996</v>
      </c>
      <c r="K317" s="990" t="s">
        <v>14</v>
      </c>
      <c r="L317" s="991">
        <f>ROUND(SUM('RES. CENTRAL PARK:RUA_FINAL'!L317),2)</f>
        <v>0</v>
      </c>
      <c r="M317" s="1013">
        <f t="shared" si="67"/>
        <v>0</v>
      </c>
      <c r="N317" s="993">
        <f t="shared" si="68"/>
        <v>0</v>
      </c>
      <c r="O317" s="905"/>
      <c r="P317" s="58" t="str">
        <f>IF(N312&gt;0,"xx",IF(N312&gt;0,"xy",""))</f>
        <v/>
      </c>
      <c r="Q317" s="317" t="str">
        <f t="shared" si="69"/>
        <v/>
      </c>
      <c r="R317" s="317" t="str">
        <f t="shared" si="70"/>
        <v/>
      </c>
      <c r="S317" s="317" t="str">
        <f t="shared" si="71"/>
        <v/>
      </c>
      <c r="V317" s="314">
        <f>SUM('RES. CENTRAL PARK:RUA_FINAL'!N317)</f>
        <v>0</v>
      </c>
      <c r="W317" s="315">
        <f t="shared" si="73"/>
        <v>0</v>
      </c>
    </row>
    <row r="318" spans="1:23" ht="15" hidden="1" customHeight="1" x14ac:dyDescent="0.2">
      <c r="A318" s="63">
        <v>534000</v>
      </c>
      <c r="B318" s="999" t="s">
        <v>1646</v>
      </c>
      <c r="C318" s="1000" t="s">
        <v>184</v>
      </c>
      <c r="D318" s="973" t="s">
        <v>2207</v>
      </c>
      <c r="E318" s="974" t="s">
        <v>570</v>
      </c>
      <c r="F318" s="975">
        <v>0.08</v>
      </c>
      <c r="G318" s="976">
        <f>SUM(G319:G322)</f>
        <v>69.737280000000013</v>
      </c>
      <c r="H318" s="977">
        <v>141.84</v>
      </c>
      <c r="I318" s="977">
        <f>IF(ISBLANK(H318),"",SUM(G318:H318))</f>
        <v>211.57728000000003</v>
      </c>
      <c r="J318" s="978">
        <f t="shared" si="79"/>
        <v>254.04</v>
      </c>
      <c r="K318" s="979" t="s">
        <v>10</v>
      </c>
      <c r="L318" s="980">
        <f>ROUND(SUM('RES. CENTRAL PARK:RUA_FINAL'!L318),2)</f>
        <v>0</v>
      </c>
      <c r="M318" s="981">
        <f t="shared" si="67"/>
        <v>0</v>
      </c>
      <c r="N318" s="982">
        <f t="shared" si="68"/>
        <v>0</v>
      </c>
      <c r="O318" s="905"/>
      <c r="Q318" s="317" t="str">
        <f t="shared" si="69"/>
        <v/>
      </c>
      <c r="R318" s="317" t="str">
        <f t="shared" si="70"/>
        <v/>
      </c>
      <c r="S318" s="317" t="str">
        <f t="shared" si="71"/>
        <v/>
      </c>
      <c r="V318" s="314">
        <f>SUM('RES. CENTRAL PARK:RUA_FINAL'!N318)</f>
        <v>0</v>
      </c>
      <c r="W318" s="315">
        <f t="shared" si="73"/>
        <v>0</v>
      </c>
    </row>
    <row r="319" spans="1:23" ht="15" hidden="1" customHeight="1" x14ac:dyDescent="0.2">
      <c r="A319" s="63" t="s">
        <v>147</v>
      </c>
      <c r="B319" s="895" t="s">
        <v>147</v>
      </c>
      <c r="C319" s="896"/>
      <c r="D319" s="957" t="s">
        <v>229</v>
      </c>
      <c r="E319" s="907">
        <f>DMT!$F$42</f>
        <v>150</v>
      </c>
      <c r="F319" s="908"/>
      <c r="G319" s="949">
        <f t="shared" ref="G319:G321" si="86">IF(E319&lt;=30,(1.07*E319+2.68)*F319,((1.07*30+2.68)+1.07*(E319-30))*F319)</f>
        <v>0</v>
      </c>
      <c r="H319" s="901">
        <v>0</v>
      </c>
      <c r="I319" s="901"/>
      <c r="J319" s="902">
        <v>0</v>
      </c>
      <c r="K319" s="903" t="s">
        <v>507</v>
      </c>
      <c r="L319" s="1003">
        <f>ROUND(SUM('RES. CENTRAL PARK:RUA_FINAL'!L319),2)</f>
        <v>0</v>
      </c>
      <c r="M319" s="960">
        <f t="shared" si="67"/>
        <v>0</v>
      </c>
      <c r="N319" s="893">
        <f t="shared" si="68"/>
        <v>0</v>
      </c>
      <c r="O319" s="905"/>
      <c r="P319" s="58" t="str">
        <f>IF(N318&gt;0,"xx",IF(N318&gt;0,"xy",""))</f>
        <v/>
      </c>
      <c r="Q319" s="317" t="str">
        <f t="shared" si="69"/>
        <v/>
      </c>
      <c r="R319" s="317" t="str">
        <f t="shared" si="70"/>
        <v/>
      </c>
      <c r="S319" s="317" t="str">
        <f t="shared" si="71"/>
        <v/>
      </c>
      <c r="V319" s="314">
        <f>SUM('RES. CENTRAL PARK:RUA_FINAL'!N319)</f>
        <v>0</v>
      </c>
      <c r="W319" s="315">
        <f t="shared" si="73"/>
        <v>0</v>
      </c>
    </row>
    <row r="320" spans="1:23" ht="15" hidden="1" customHeight="1" x14ac:dyDescent="0.2">
      <c r="A320" s="63" t="s">
        <v>147</v>
      </c>
      <c r="B320" s="895" t="s">
        <v>147</v>
      </c>
      <c r="C320" s="896"/>
      <c r="D320" s="957" t="s">
        <v>230</v>
      </c>
      <c r="E320" s="907">
        <f>DMT!$D$46</f>
        <v>353</v>
      </c>
      <c r="F320" s="908"/>
      <c r="G320" s="909">
        <f>IF(E320&lt;=30,(0.78*E320+7.82)*F320,((0.78*30+7.82)+0.78*(E320-30))*F320)</f>
        <v>0</v>
      </c>
      <c r="H320" s="901">
        <v>0</v>
      </c>
      <c r="I320" s="901"/>
      <c r="J320" s="902">
        <v>0</v>
      </c>
      <c r="K320" s="903" t="s">
        <v>507</v>
      </c>
      <c r="L320" s="1003">
        <f>ROUND(SUM('RES. CENTRAL PARK:RUA_FINAL'!L320),2)</f>
        <v>0</v>
      </c>
      <c r="M320" s="960">
        <f t="shared" si="67"/>
        <v>0</v>
      </c>
      <c r="N320" s="893">
        <f t="shared" si="68"/>
        <v>0</v>
      </c>
      <c r="O320" s="905"/>
      <c r="P320" s="58" t="str">
        <f>IF(N318&gt;0,"xx",IF(N318&gt;0,"xy",""))</f>
        <v/>
      </c>
      <c r="Q320" s="317" t="str">
        <f t="shared" si="69"/>
        <v/>
      </c>
      <c r="R320" s="317" t="str">
        <f t="shared" si="70"/>
        <v/>
      </c>
      <c r="S320" s="317" t="str">
        <f t="shared" si="71"/>
        <v/>
      </c>
      <c r="V320" s="314">
        <f>SUM('RES. CENTRAL PARK:RUA_FINAL'!N320)</f>
        <v>0</v>
      </c>
      <c r="W320" s="315">
        <f t="shared" si="73"/>
        <v>0</v>
      </c>
    </row>
    <row r="321" spans="1:23" ht="15" hidden="1" customHeight="1" x14ac:dyDescent="0.2">
      <c r="A321" s="63" t="s">
        <v>147</v>
      </c>
      <c r="B321" s="895" t="s">
        <v>147</v>
      </c>
      <c r="C321" s="896"/>
      <c r="D321" s="957" t="s">
        <v>243</v>
      </c>
      <c r="E321" s="907">
        <f>DMT!$F$43</f>
        <v>0.2</v>
      </c>
      <c r="F321" s="908">
        <v>2.12</v>
      </c>
      <c r="G321" s="949">
        <f t="shared" si="86"/>
        <v>6.1352800000000007</v>
      </c>
      <c r="H321" s="901">
        <v>0</v>
      </c>
      <c r="I321" s="901"/>
      <c r="J321" s="902">
        <v>0</v>
      </c>
      <c r="K321" s="903" t="s">
        <v>507</v>
      </c>
      <c r="L321" s="1003">
        <f>ROUND(SUM('RES. CENTRAL PARK:RUA_FINAL'!L321),2)</f>
        <v>0</v>
      </c>
      <c r="M321" s="960">
        <f t="shared" si="67"/>
        <v>0</v>
      </c>
      <c r="N321" s="893">
        <f t="shared" si="68"/>
        <v>0</v>
      </c>
      <c r="O321" s="905"/>
      <c r="P321" s="58" t="str">
        <f>IF(N318&gt;0,"xx",IF(N318&gt;0,"xy",""))</f>
        <v/>
      </c>
      <c r="Q321" s="317" t="str">
        <f t="shared" si="69"/>
        <v/>
      </c>
      <c r="R321" s="317" t="str">
        <f t="shared" si="70"/>
        <v/>
      </c>
      <c r="S321" s="317" t="str">
        <f t="shared" si="71"/>
        <v/>
      </c>
      <c r="V321" s="314">
        <f>SUM('RES. CENTRAL PARK:RUA_FINAL'!N321)</f>
        <v>0</v>
      </c>
      <c r="W321" s="315">
        <f t="shared" si="73"/>
        <v>0</v>
      </c>
    </row>
    <row r="322" spans="1:23" ht="15" hidden="1" customHeight="1" x14ac:dyDescent="0.2">
      <c r="A322" s="63" t="s">
        <v>147</v>
      </c>
      <c r="B322" s="895" t="s">
        <v>147</v>
      </c>
      <c r="C322" s="896"/>
      <c r="D322" s="957" t="s">
        <v>244</v>
      </c>
      <c r="E322" s="907">
        <f>DMT!$F$28</f>
        <v>22</v>
      </c>
      <c r="F322" s="908">
        <f>SUM(F318:F321)</f>
        <v>2.2000000000000002</v>
      </c>
      <c r="G322" s="912">
        <f>IF(E322&lt;=30,(1.07*E322+5.37)*F322,((1.07*30+5.37)+1.07*(E322-30))*F322)</f>
        <v>63.602000000000011</v>
      </c>
      <c r="H322" s="901">
        <v>0</v>
      </c>
      <c r="I322" s="901"/>
      <c r="J322" s="902">
        <v>0</v>
      </c>
      <c r="K322" s="903" t="s">
        <v>507</v>
      </c>
      <c r="L322" s="1003">
        <f>ROUND(SUM('RES. CENTRAL PARK:RUA_FINAL'!L322),2)</f>
        <v>0</v>
      </c>
      <c r="M322" s="960">
        <f t="shared" si="67"/>
        <v>0</v>
      </c>
      <c r="N322" s="893">
        <f t="shared" si="68"/>
        <v>0</v>
      </c>
      <c r="O322" s="905"/>
      <c r="P322" s="58" t="str">
        <f>IF(N318&gt;0,"xx",IF(N318&gt;0,"xy",""))</f>
        <v/>
      </c>
      <c r="Q322" s="317" t="str">
        <f t="shared" si="69"/>
        <v/>
      </c>
      <c r="R322" s="317" t="str">
        <f t="shared" si="70"/>
        <v/>
      </c>
      <c r="S322" s="317" t="str">
        <f t="shared" si="71"/>
        <v/>
      </c>
      <c r="V322" s="314">
        <f>SUM('RES. CENTRAL PARK:RUA_FINAL'!N322)</f>
        <v>0</v>
      </c>
      <c r="W322" s="315">
        <f t="shared" si="73"/>
        <v>0</v>
      </c>
    </row>
    <row r="323" spans="1:23" ht="15" hidden="1" customHeight="1" thickBot="1" x14ac:dyDescent="0.25">
      <c r="A323" s="63">
        <v>589320</v>
      </c>
      <c r="B323" s="1004" t="s">
        <v>721</v>
      </c>
      <c r="C323" s="984" t="s">
        <v>213</v>
      </c>
      <c r="D323" s="1012" t="s">
        <v>699</v>
      </c>
      <c r="E323" s="1005">
        <f>DMT!$D$47</f>
        <v>45</v>
      </c>
      <c r="F323" s="1006">
        <v>1</v>
      </c>
      <c r="G323" s="949">
        <f>(0.84*E323+41.45)*F323</f>
        <v>79.25</v>
      </c>
      <c r="H323" s="988">
        <v>4012.83</v>
      </c>
      <c r="I323" s="988">
        <f>IF(ISBLANK(H323),"",H323*(1+$E$9)/(1+$E$10))+G323</f>
        <v>3931.9945856583668</v>
      </c>
      <c r="J323" s="989">
        <f t="shared" si="79"/>
        <v>4721.1499999999996</v>
      </c>
      <c r="K323" s="990" t="s">
        <v>14</v>
      </c>
      <c r="L323" s="991">
        <f>ROUND(SUM('RES. CENTRAL PARK:RUA_FINAL'!L323),2)</f>
        <v>0</v>
      </c>
      <c r="M323" s="1013">
        <f t="shared" si="67"/>
        <v>0</v>
      </c>
      <c r="N323" s="993">
        <f t="shared" si="68"/>
        <v>0</v>
      </c>
      <c r="O323" s="905"/>
      <c r="P323" s="58" t="str">
        <f>IF(N318&gt;0,"xx",IF(N318&gt;0,"xy",""))</f>
        <v/>
      </c>
      <c r="Q323" s="317" t="str">
        <f t="shared" si="69"/>
        <v/>
      </c>
      <c r="R323" s="317" t="str">
        <f t="shared" si="70"/>
        <v/>
      </c>
      <c r="S323" s="317" t="str">
        <f t="shared" si="71"/>
        <v/>
      </c>
      <c r="V323" s="314">
        <f>SUM('RES. CENTRAL PARK:RUA_FINAL'!N323)</f>
        <v>0</v>
      </c>
      <c r="W323" s="315">
        <f t="shared" si="73"/>
        <v>0</v>
      </c>
    </row>
    <row r="324" spans="1:23" ht="15" hidden="1" customHeight="1" x14ac:dyDescent="0.2">
      <c r="A324" s="63">
        <v>534300</v>
      </c>
      <c r="B324" s="999" t="s">
        <v>1758</v>
      </c>
      <c r="C324" s="1000" t="s">
        <v>184</v>
      </c>
      <c r="D324" s="973" t="s">
        <v>2206</v>
      </c>
      <c r="E324" s="974" t="s">
        <v>570</v>
      </c>
      <c r="F324" s="975">
        <v>0.11</v>
      </c>
      <c r="G324" s="976">
        <f>SUM(G325:G328)</f>
        <v>69.65046000000001</v>
      </c>
      <c r="H324" s="977">
        <v>140.30000000000001</v>
      </c>
      <c r="I324" s="977">
        <f>IF(ISBLANK(H324),"",SUM(G324:H324))</f>
        <v>209.95046000000002</v>
      </c>
      <c r="J324" s="978">
        <f t="shared" si="79"/>
        <v>252.09</v>
      </c>
      <c r="K324" s="979" t="s">
        <v>10</v>
      </c>
      <c r="L324" s="980">
        <f>ROUND(SUM('RES. CENTRAL PARK:RUA_FINAL'!L324),2)</f>
        <v>0</v>
      </c>
      <c r="M324" s="981">
        <f t="shared" si="67"/>
        <v>0</v>
      </c>
      <c r="N324" s="982">
        <f t="shared" si="68"/>
        <v>0</v>
      </c>
      <c r="O324" s="905"/>
      <c r="Q324" s="317" t="str">
        <f t="shared" si="69"/>
        <v/>
      </c>
      <c r="R324" s="317" t="str">
        <f t="shared" si="70"/>
        <v/>
      </c>
      <c r="S324" s="317" t="str">
        <f t="shared" si="71"/>
        <v/>
      </c>
      <c r="V324" s="314">
        <f>SUM('RES. CENTRAL PARK:RUA_FINAL'!N324)</f>
        <v>0</v>
      </c>
      <c r="W324" s="315">
        <f t="shared" si="73"/>
        <v>0</v>
      </c>
    </row>
    <row r="325" spans="1:23" ht="15" hidden="1" customHeight="1" x14ac:dyDescent="0.2">
      <c r="A325" s="63" t="s">
        <v>147</v>
      </c>
      <c r="B325" s="895" t="s">
        <v>147</v>
      </c>
      <c r="C325" s="896"/>
      <c r="D325" s="957" t="s">
        <v>229</v>
      </c>
      <c r="E325" s="907">
        <f>DMT!$F$42</f>
        <v>150</v>
      </c>
      <c r="F325" s="908"/>
      <c r="G325" s="949">
        <f t="shared" ref="G325:G327" si="87">IF(E325&lt;=30,(1.07*E325+2.68)*F325,((1.07*30+2.68)+1.07*(E325-30))*F325)</f>
        <v>0</v>
      </c>
      <c r="H325" s="901">
        <v>0</v>
      </c>
      <c r="I325" s="901"/>
      <c r="J325" s="902">
        <v>0</v>
      </c>
      <c r="K325" s="903" t="s">
        <v>507</v>
      </c>
      <c r="L325" s="1003">
        <f>ROUND(SUM('RES. CENTRAL PARK:RUA_FINAL'!L325),2)</f>
        <v>0</v>
      </c>
      <c r="M325" s="960">
        <f t="shared" si="67"/>
        <v>0</v>
      </c>
      <c r="N325" s="893">
        <f t="shared" si="68"/>
        <v>0</v>
      </c>
      <c r="O325" s="905"/>
      <c r="P325" s="58" t="str">
        <f>IF(N324&gt;0,"xx",IF(N324&gt;0,"xy",""))</f>
        <v/>
      </c>
      <c r="Q325" s="317" t="str">
        <f t="shared" si="69"/>
        <v/>
      </c>
      <c r="R325" s="317" t="str">
        <f t="shared" si="70"/>
        <v/>
      </c>
      <c r="S325" s="317" t="str">
        <f t="shared" si="71"/>
        <v/>
      </c>
      <c r="V325" s="314">
        <f>SUM('RES. CENTRAL PARK:RUA_FINAL'!N325)</f>
        <v>0</v>
      </c>
      <c r="W325" s="315">
        <f t="shared" si="73"/>
        <v>0</v>
      </c>
    </row>
    <row r="326" spans="1:23" ht="15" hidden="1" customHeight="1" x14ac:dyDescent="0.2">
      <c r="A326" s="63" t="s">
        <v>147</v>
      </c>
      <c r="B326" s="895" t="s">
        <v>147</v>
      </c>
      <c r="C326" s="896"/>
      <c r="D326" s="957" t="s">
        <v>230</v>
      </c>
      <c r="E326" s="907">
        <f>DMT!$D$46</f>
        <v>353</v>
      </c>
      <c r="F326" s="908"/>
      <c r="G326" s="909">
        <f>IF(E326&lt;=30,(0.78*E326+7.82)*F326,((0.78*30+7.82)+0.78*(E326-30))*F326)</f>
        <v>0</v>
      </c>
      <c r="H326" s="901">
        <v>0</v>
      </c>
      <c r="I326" s="901"/>
      <c r="J326" s="902">
        <v>0</v>
      </c>
      <c r="K326" s="903" t="s">
        <v>507</v>
      </c>
      <c r="L326" s="1003">
        <f>ROUND(SUM('RES. CENTRAL PARK:RUA_FINAL'!L326),2)</f>
        <v>0</v>
      </c>
      <c r="M326" s="960">
        <f t="shared" si="67"/>
        <v>0</v>
      </c>
      <c r="N326" s="893">
        <f t="shared" si="68"/>
        <v>0</v>
      </c>
      <c r="O326" s="905"/>
      <c r="P326" s="58" t="str">
        <f>IF(N324&gt;0,"xx",IF(N324&gt;0,"xy",""))</f>
        <v/>
      </c>
      <c r="Q326" s="317" t="str">
        <f t="shared" si="69"/>
        <v/>
      </c>
      <c r="R326" s="317" t="str">
        <f t="shared" si="70"/>
        <v/>
      </c>
      <c r="S326" s="317" t="str">
        <f t="shared" si="71"/>
        <v/>
      </c>
      <c r="V326" s="314">
        <f>SUM('RES. CENTRAL PARK:RUA_FINAL'!N326)</f>
        <v>0</v>
      </c>
      <c r="W326" s="315">
        <f t="shared" si="73"/>
        <v>0</v>
      </c>
    </row>
    <row r="327" spans="1:23" ht="15" hidden="1" customHeight="1" x14ac:dyDescent="0.2">
      <c r="A327" s="63" t="s">
        <v>147</v>
      </c>
      <c r="B327" s="895" t="s">
        <v>147</v>
      </c>
      <c r="C327" s="896"/>
      <c r="D327" s="957" t="s">
        <v>243</v>
      </c>
      <c r="E327" s="907">
        <f>DMT!$F$43</f>
        <v>0.2</v>
      </c>
      <c r="F327" s="908">
        <v>2.09</v>
      </c>
      <c r="G327" s="949">
        <f t="shared" si="87"/>
        <v>6.0484599999999995</v>
      </c>
      <c r="H327" s="901">
        <v>0</v>
      </c>
      <c r="I327" s="901"/>
      <c r="J327" s="902">
        <v>0</v>
      </c>
      <c r="K327" s="903" t="s">
        <v>507</v>
      </c>
      <c r="L327" s="1003">
        <f>ROUND(SUM('RES. CENTRAL PARK:RUA_FINAL'!L327),2)</f>
        <v>0</v>
      </c>
      <c r="M327" s="960">
        <f t="shared" si="67"/>
        <v>0</v>
      </c>
      <c r="N327" s="893">
        <f t="shared" si="68"/>
        <v>0</v>
      </c>
      <c r="O327" s="905"/>
      <c r="P327" s="58" t="str">
        <f>IF(N324&gt;0,"xx",IF(N324&gt;0,"xy",""))</f>
        <v/>
      </c>
      <c r="Q327" s="317" t="str">
        <f t="shared" si="69"/>
        <v/>
      </c>
      <c r="R327" s="317" t="str">
        <f t="shared" si="70"/>
        <v/>
      </c>
      <c r="S327" s="317" t="str">
        <f t="shared" si="71"/>
        <v/>
      </c>
      <c r="V327" s="314">
        <f>SUM('RES. CENTRAL PARK:RUA_FINAL'!N327)</f>
        <v>0</v>
      </c>
      <c r="W327" s="315">
        <f t="shared" si="73"/>
        <v>0</v>
      </c>
    </row>
    <row r="328" spans="1:23" ht="15" hidden="1" customHeight="1" x14ac:dyDescent="0.2">
      <c r="A328" s="63" t="s">
        <v>147</v>
      </c>
      <c r="B328" s="895" t="s">
        <v>147</v>
      </c>
      <c r="C328" s="896"/>
      <c r="D328" s="957" t="s">
        <v>244</v>
      </c>
      <c r="E328" s="907">
        <f>DMT!$F$28</f>
        <v>22</v>
      </c>
      <c r="F328" s="908">
        <f>SUM(F324:F327)</f>
        <v>2.1999999999999997</v>
      </c>
      <c r="G328" s="912">
        <f>IF(E328&lt;=30,(1.07*E328+5.37)*F328,((1.07*30+5.37)+1.07*(E328-30))*F328)</f>
        <v>63.602000000000004</v>
      </c>
      <c r="H328" s="901">
        <v>0</v>
      </c>
      <c r="I328" s="901"/>
      <c r="J328" s="902">
        <v>0</v>
      </c>
      <c r="K328" s="903" t="s">
        <v>507</v>
      </c>
      <c r="L328" s="1003">
        <f>ROUND(SUM('RES. CENTRAL PARK:RUA_FINAL'!L328),2)</f>
        <v>0</v>
      </c>
      <c r="M328" s="960">
        <f t="shared" si="67"/>
        <v>0</v>
      </c>
      <c r="N328" s="893">
        <f t="shared" si="68"/>
        <v>0</v>
      </c>
      <c r="O328" s="905"/>
      <c r="P328" s="58" t="str">
        <f>IF(N324&gt;0,"xx",IF(N324&gt;0,"xy",""))</f>
        <v/>
      </c>
      <c r="Q328" s="317" t="str">
        <f t="shared" si="69"/>
        <v/>
      </c>
      <c r="R328" s="317" t="str">
        <f t="shared" si="70"/>
        <v/>
      </c>
      <c r="S328" s="317" t="str">
        <f t="shared" si="71"/>
        <v/>
      </c>
      <c r="V328" s="314">
        <f>SUM('RES. CENTRAL PARK:RUA_FINAL'!N328)</f>
        <v>0</v>
      </c>
      <c r="W328" s="315">
        <f t="shared" si="73"/>
        <v>0</v>
      </c>
    </row>
    <row r="329" spans="1:23" ht="15" hidden="1" customHeight="1" thickBot="1" x14ac:dyDescent="0.25">
      <c r="A329" s="63">
        <v>589320</v>
      </c>
      <c r="B329" s="1004" t="s">
        <v>722</v>
      </c>
      <c r="C329" s="984" t="s">
        <v>213</v>
      </c>
      <c r="D329" s="1012" t="s">
        <v>699</v>
      </c>
      <c r="E329" s="1005">
        <f>DMT!$D$47</f>
        <v>45</v>
      </c>
      <c r="F329" s="1006">
        <v>1</v>
      </c>
      <c r="G329" s="949">
        <f>(0.84*E329+41.45)*F329</f>
        <v>79.25</v>
      </c>
      <c r="H329" s="988">
        <v>4012.83</v>
      </c>
      <c r="I329" s="988">
        <f>IF(ISBLANK(H329),"",H329*(1+$E$9)/(1+$E$10))+G329</f>
        <v>3931.9945856583668</v>
      </c>
      <c r="J329" s="989">
        <f t="shared" si="79"/>
        <v>4721.1499999999996</v>
      </c>
      <c r="K329" s="990" t="s">
        <v>14</v>
      </c>
      <c r="L329" s="991">
        <f>ROUND(SUM('RES. CENTRAL PARK:RUA_FINAL'!L329),2)</f>
        <v>0</v>
      </c>
      <c r="M329" s="1013">
        <f t="shared" si="67"/>
        <v>0</v>
      </c>
      <c r="N329" s="993">
        <f t="shared" si="68"/>
        <v>0</v>
      </c>
      <c r="O329" s="905"/>
      <c r="P329" s="58" t="str">
        <f>IF(N324&gt;0,"xx",IF(N324&gt;0,"xy",""))</f>
        <v/>
      </c>
      <c r="Q329" s="317" t="str">
        <f t="shared" si="69"/>
        <v/>
      </c>
      <c r="R329" s="317" t="str">
        <f t="shared" si="70"/>
        <v/>
      </c>
      <c r="S329" s="317" t="str">
        <f t="shared" si="71"/>
        <v/>
      </c>
      <c r="V329" s="314">
        <f>SUM('RES. CENTRAL PARK:RUA_FINAL'!N329)</f>
        <v>0</v>
      </c>
      <c r="W329" s="315">
        <f t="shared" si="73"/>
        <v>0</v>
      </c>
    </row>
    <row r="330" spans="1:23" ht="15" hidden="1" customHeight="1" x14ac:dyDescent="0.2">
      <c r="A330" s="63">
        <v>534300</v>
      </c>
      <c r="B330" s="999" t="s">
        <v>1759</v>
      </c>
      <c r="C330" s="1000" t="s">
        <v>184</v>
      </c>
      <c r="D330" s="973" t="s">
        <v>2208</v>
      </c>
      <c r="E330" s="974" t="s">
        <v>570</v>
      </c>
      <c r="F330" s="975">
        <v>0.11</v>
      </c>
      <c r="G330" s="976">
        <f>SUM(G331:G334)</f>
        <v>69.65046000000001</v>
      </c>
      <c r="H330" s="977">
        <v>140.30000000000001</v>
      </c>
      <c r="I330" s="977">
        <f>IF(ISBLANK(H330),"",SUM(G330:H330))</f>
        <v>209.95046000000002</v>
      </c>
      <c r="J330" s="978">
        <f t="shared" si="79"/>
        <v>252.09</v>
      </c>
      <c r="K330" s="979" t="s">
        <v>10</v>
      </c>
      <c r="L330" s="980">
        <f>ROUND(SUM('RES. CENTRAL PARK:RUA_FINAL'!L330),2)</f>
        <v>0</v>
      </c>
      <c r="M330" s="981">
        <f t="shared" si="67"/>
        <v>0</v>
      </c>
      <c r="N330" s="982">
        <f t="shared" si="68"/>
        <v>0</v>
      </c>
      <c r="O330" s="905"/>
      <c r="Q330" s="317" t="str">
        <f t="shared" si="69"/>
        <v/>
      </c>
      <c r="R330" s="317" t="str">
        <f t="shared" si="70"/>
        <v/>
      </c>
      <c r="S330" s="317" t="str">
        <f t="shared" si="71"/>
        <v/>
      </c>
      <c r="V330" s="314">
        <f>SUM('RES. CENTRAL PARK:RUA_FINAL'!N330)</f>
        <v>0</v>
      </c>
      <c r="W330" s="315">
        <f t="shared" si="73"/>
        <v>0</v>
      </c>
    </row>
    <row r="331" spans="1:23" ht="15" hidden="1" customHeight="1" x14ac:dyDescent="0.2">
      <c r="A331" s="63" t="s">
        <v>147</v>
      </c>
      <c r="B331" s="895" t="s">
        <v>147</v>
      </c>
      <c r="C331" s="896"/>
      <c r="D331" s="957" t="s">
        <v>229</v>
      </c>
      <c r="E331" s="907">
        <f>DMT!$F$42</f>
        <v>150</v>
      </c>
      <c r="F331" s="908"/>
      <c r="G331" s="949">
        <f t="shared" ref="G331:G333" si="88">IF(E331&lt;=30,(1.07*E331+2.68)*F331,((1.07*30+2.68)+1.07*(E331-30))*F331)</f>
        <v>0</v>
      </c>
      <c r="H331" s="901">
        <v>0</v>
      </c>
      <c r="I331" s="901"/>
      <c r="J331" s="902">
        <v>0</v>
      </c>
      <c r="K331" s="903" t="s">
        <v>507</v>
      </c>
      <c r="L331" s="1003">
        <f>ROUND(SUM('RES. CENTRAL PARK:RUA_FINAL'!L331),2)</f>
        <v>0</v>
      </c>
      <c r="M331" s="960">
        <f t="shared" si="67"/>
        <v>0</v>
      </c>
      <c r="N331" s="893">
        <f t="shared" si="68"/>
        <v>0</v>
      </c>
      <c r="O331" s="905"/>
      <c r="P331" s="58" t="str">
        <f>IF(N330&gt;0,"xx",IF(N330&gt;0,"xy",""))</f>
        <v/>
      </c>
      <c r="Q331" s="317" t="str">
        <f t="shared" si="69"/>
        <v/>
      </c>
      <c r="R331" s="317" t="str">
        <f t="shared" si="70"/>
        <v/>
      </c>
      <c r="S331" s="317" t="str">
        <f t="shared" si="71"/>
        <v/>
      </c>
      <c r="V331" s="314">
        <f>SUM('RES. CENTRAL PARK:RUA_FINAL'!N331)</f>
        <v>0</v>
      </c>
      <c r="W331" s="315">
        <f t="shared" si="73"/>
        <v>0</v>
      </c>
    </row>
    <row r="332" spans="1:23" ht="15" hidden="1" customHeight="1" x14ac:dyDescent="0.2">
      <c r="A332" s="63" t="s">
        <v>147</v>
      </c>
      <c r="B332" s="895" t="s">
        <v>147</v>
      </c>
      <c r="C332" s="896"/>
      <c r="D332" s="957" t="s">
        <v>230</v>
      </c>
      <c r="E332" s="907">
        <f>DMT!$D$46</f>
        <v>353</v>
      </c>
      <c r="F332" s="908"/>
      <c r="G332" s="909">
        <f>IF(E332&lt;=30,(0.78*E332+7.82)*F332,((0.78*30+7.82)+0.78*(E332-30))*F332)</f>
        <v>0</v>
      </c>
      <c r="H332" s="901">
        <v>0</v>
      </c>
      <c r="I332" s="901"/>
      <c r="J332" s="902">
        <v>0</v>
      </c>
      <c r="K332" s="903" t="s">
        <v>507</v>
      </c>
      <c r="L332" s="1003">
        <f>ROUND(SUM('RES. CENTRAL PARK:RUA_FINAL'!L332),2)</f>
        <v>0</v>
      </c>
      <c r="M332" s="960">
        <f t="shared" si="67"/>
        <v>0</v>
      </c>
      <c r="N332" s="893">
        <f t="shared" si="68"/>
        <v>0</v>
      </c>
      <c r="O332" s="905"/>
      <c r="P332" s="58" t="str">
        <f>IF(N330&gt;0,"xx",IF(N330&gt;0,"xy",""))</f>
        <v/>
      </c>
      <c r="Q332" s="317" t="str">
        <f t="shared" si="69"/>
        <v/>
      </c>
      <c r="R332" s="317" t="str">
        <f t="shared" si="70"/>
        <v/>
      </c>
      <c r="S332" s="317" t="str">
        <f t="shared" si="71"/>
        <v/>
      </c>
      <c r="V332" s="314">
        <f>SUM('RES. CENTRAL PARK:RUA_FINAL'!N332)</f>
        <v>0</v>
      </c>
      <c r="W332" s="315">
        <f t="shared" si="73"/>
        <v>0</v>
      </c>
    </row>
    <row r="333" spans="1:23" ht="15" hidden="1" customHeight="1" x14ac:dyDescent="0.2">
      <c r="A333" s="63" t="s">
        <v>147</v>
      </c>
      <c r="B333" s="895" t="s">
        <v>147</v>
      </c>
      <c r="C333" s="896"/>
      <c r="D333" s="957" t="s">
        <v>243</v>
      </c>
      <c r="E333" s="907">
        <f>DMT!$F$43</f>
        <v>0.2</v>
      </c>
      <c r="F333" s="908">
        <v>2.09</v>
      </c>
      <c r="G333" s="949">
        <f t="shared" si="88"/>
        <v>6.0484599999999995</v>
      </c>
      <c r="H333" s="901">
        <v>0</v>
      </c>
      <c r="I333" s="901"/>
      <c r="J333" s="902">
        <v>0</v>
      </c>
      <c r="K333" s="903" t="s">
        <v>507</v>
      </c>
      <c r="L333" s="1003">
        <f>ROUND(SUM('RES. CENTRAL PARK:RUA_FINAL'!L333),2)</f>
        <v>0</v>
      </c>
      <c r="M333" s="960">
        <f t="shared" si="67"/>
        <v>0</v>
      </c>
      <c r="N333" s="893">
        <f t="shared" si="68"/>
        <v>0</v>
      </c>
      <c r="O333" s="905"/>
      <c r="P333" s="58" t="str">
        <f>IF(N330&gt;0,"xx",IF(N330&gt;0,"xy",""))</f>
        <v/>
      </c>
      <c r="Q333" s="317" t="str">
        <f t="shared" si="69"/>
        <v/>
      </c>
      <c r="R333" s="317" t="str">
        <f t="shared" si="70"/>
        <v/>
      </c>
      <c r="S333" s="317" t="str">
        <f t="shared" si="71"/>
        <v/>
      </c>
      <c r="V333" s="314">
        <f>SUM('RES. CENTRAL PARK:RUA_FINAL'!N333)</f>
        <v>0</v>
      </c>
      <c r="W333" s="315">
        <f t="shared" si="73"/>
        <v>0</v>
      </c>
    </row>
    <row r="334" spans="1:23" ht="15" hidden="1" customHeight="1" x14ac:dyDescent="0.2">
      <c r="A334" s="63" t="s">
        <v>147</v>
      </c>
      <c r="B334" s="895" t="s">
        <v>147</v>
      </c>
      <c r="C334" s="896"/>
      <c r="D334" s="957" t="s">
        <v>244</v>
      </c>
      <c r="E334" s="907">
        <f>DMT!$F$28</f>
        <v>22</v>
      </c>
      <c r="F334" s="908">
        <f>SUM(F330:F333)</f>
        <v>2.1999999999999997</v>
      </c>
      <c r="G334" s="912">
        <f>IF(E334&lt;=30,(1.07*E334+5.37)*F334,((1.07*30+5.37)+1.07*(E334-30))*F334)</f>
        <v>63.602000000000004</v>
      </c>
      <c r="H334" s="901">
        <v>0</v>
      </c>
      <c r="I334" s="901"/>
      <c r="J334" s="902">
        <v>0</v>
      </c>
      <c r="K334" s="903" t="s">
        <v>507</v>
      </c>
      <c r="L334" s="1003">
        <f>ROUND(SUM('RES. CENTRAL PARK:RUA_FINAL'!L334),2)</f>
        <v>0</v>
      </c>
      <c r="M334" s="960">
        <f t="shared" si="67"/>
        <v>0</v>
      </c>
      <c r="N334" s="893">
        <f t="shared" si="68"/>
        <v>0</v>
      </c>
      <c r="O334" s="905"/>
      <c r="P334" s="58" t="str">
        <f>IF(N330&gt;0,"xx",IF(N330&gt;0,"xy",""))</f>
        <v/>
      </c>
      <c r="Q334" s="317" t="str">
        <f t="shared" si="69"/>
        <v/>
      </c>
      <c r="R334" s="317" t="str">
        <f t="shared" si="70"/>
        <v/>
      </c>
      <c r="S334" s="317" t="str">
        <f t="shared" si="71"/>
        <v/>
      </c>
      <c r="V334" s="314">
        <f>SUM('RES. CENTRAL PARK:RUA_FINAL'!N334)</f>
        <v>0</v>
      </c>
      <c r="W334" s="315">
        <f t="shared" si="73"/>
        <v>0</v>
      </c>
    </row>
    <row r="335" spans="1:23" ht="15" hidden="1" customHeight="1" thickBot="1" x14ac:dyDescent="0.25">
      <c r="A335" s="63">
        <v>589320</v>
      </c>
      <c r="B335" s="1004" t="s">
        <v>723</v>
      </c>
      <c r="C335" s="984" t="s">
        <v>213</v>
      </c>
      <c r="D335" s="1012" t="s">
        <v>700</v>
      </c>
      <c r="E335" s="1005">
        <f>DMT!$D$47</f>
        <v>45</v>
      </c>
      <c r="F335" s="1006">
        <v>1</v>
      </c>
      <c r="G335" s="949">
        <f>(0.84*E335+41.45)*F335</f>
        <v>79.25</v>
      </c>
      <c r="H335" s="988">
        <v>4012.83</v>
      </c>
      <c r="I335" s="988">
        <f>IF(ISBLANK(H335),"",H335*(1+$E$9)/(1+$E$10))+G335</f>
        <v>3931.9945856583668</v>
      </c>
      <c r="J335" s="989">
        <f t="shared" si="79"/>
        <v>4721.1499999999996</v>
      </c>
      <c r="K335" s="990" t="s">
        <v>14</v>
      </c>
      <c r="L335" s="991">
        <f>ROUND(SUM('RES. CENTRAL PARK:RUA_FINAL'!L335),2)</f>
        <v>0</v>
      </c>
      <c r="M335" s="1013">
        <f t="shared" si="67"/>
        <v>0</v>
      </c>
      <c r="N335" s="993">
        <f t="shared" si="68"/>
        <v>0</v>
      </c>
      <c r="O335" s="905"/>
      <c r="P335" s="58" t="str">
        <f>IF(N330&gt;0,"xx",IF(N330&gt;0,"xy",""))</f>
        <v/>
      </c>
      <c r="Q335" s="317" t="str">
        <f t="shared" si="69"/>
        <v/>
      </c>
      <c r="R335" s="317" t="str">
        <f t="shared" si="70"/>
        <v/>
      </c>
      <c r="S335" s="317" t="str">
        <f t="shared" si="71"/>
        <v/>
      </c>
      <c r="V335" s="314">
        <f>SUM('RES. CENTRAL PARK:RUA_FINAL'!N335)</f>
        <v>0</v>
      </c>
      <c r="W335" s="315">
        <f t="shared" si="73"/>
        <v>0</v>
      </c>
    </row>
    <row r="336" spans="1:23" ht="15" hidden="1" customHeight="1" x14ac:dyDescent="0.2">
      <c r="A336" s="63">
        <v>534300</v>
      </c>
      <c r="B336" s="999" t="s">
        <v>1760</v>
      </c>
      <c r="C336" s="1000" t="s">
        <v>184</v>
      </c>
      <c r="D336" s="973" t="s">
        <v>2209</v>
      </c>
      <c r="E336" s="974" t="s">
        <v>570</v>
      </c>
      <c r="F336" s="975">
        <v>0.14000000000000001</v>
      </c>
      <c r="G336" s="976">
        <f>SUM(G337:G340)</f>
        <v>116.02126000000001</v>
      </c>
      <c r="H336" s="977">
        <v>140.30000000000001</v>
      </c>
      <c r="I336" s="977">
        <f>IF(ISBLANK(H336),"",SUM(G336:H336))</f>
        <v>256.32126000000005</v>
      </c>
      <c r="J336" s="978">
        <f t="shared" si="79"/>
        <v>307.76</v>
      </c>
      <c r="K336" s="979" t="s">
        <v>10</v>
      </c>
      <c r="L336" s="980">
        <f>ROUND(SUM('RES. CENTRAL PARK:RUA_FINAL'!L336),2)</f>
        <v>0</v>
      </c>
      <c r="M336" s="981">
        <f t="shared" si="67"/>
        <v>0</v>
      </c>
      <c r="N336" s="982">
        <f t="shared" si="68"/>
        <v>0</v>
      </c>
      <c r="O336" s="905"/>
      <c r="Q336" s="317" t="str">
        <f t="shared" si="69"/>
        <v/>
      </c>
      <c r="R336" s="317" t="str">
        <f t="shared" si="70"/>
        <v/>
      </c>
      <c r="S336" s="317" t="str">
        <f t="shared" si="71"/>
        <v/>
      </c>
      <c r="V336" s="314">
        <f>SUM('RES. CENTRAL PARK:RUA_FINAL'!N336)</f>
        <v>0</v>
      </c>
      <c r="W336" s="315">
        <f t="shared" si="73"/>
        <v>0</v>
      </c>
    </row>
    <row r="337" spans="1:23" ht="15" hidden="1" customHeight="1" x14ac:dyDescent="0.2">
      <c r="A337" s="63" t="s">
        <v>147</v>
      </c>
      <c r="B337" s="895" t="s">
        <v>147</v>
      </c>
      <c r="C337" s="896"/>
      <c r="D337" s="957" t="s">
        <v>229</v>
      </c>
      <c r="E337" s="907">
        <f>DMT!$F$42</f>
        <v>150</v>
      </c>
      <c r="F337" s="908">
        <v>0.27</v>
      </c>
      <c r="G337" s="949">
        <f t="shared" ref="G337:G339" si="89">IF(E337&lt;=30,(1.07*E337+2.68)*F337,((1.07*30+2.68)+1.07*(E337-30))*F337)</f>
        <v>44.058600000000006</v>
      </c>
      <c r="H337" s="901">
        <v>0</v>
      </c>
      <c r="I337" s="901"/>
      <c r="J337" s="902">
        <v>0</v>
      </c>
      <c r="K337" s="903" t="s">
        <v>507</v>
      </c>
      <c r="L337" s="1003">
        <f>ROUND(SUM('RES. CENTRAL PARK:RUA_FINAL'!L337),2)</f>
        <v>0</v>
      </c>
      <c r="M337" s="960">
        <f t="shared" si="67"/>
        <v>0</v>
      </c>
      <c r="N337" s="893">
        <f t="shared" si="68"/>
        <v>0</v>
      </c>
      <c r="O337" s="905"/>
      <c r="P337" s="58" t="str">
        <f>IF(N336&gt;0,"xx",IF(N336&gt;0,"xy",""))</f>
        <v/>
      </c>
      <c r="Q337" s="317" t="str">
        <f t="shared" si="69"/>
        <v/>
      </c>
      <c r="R337" s="317" t="str">
        <f t="shared" si="70"/>
        <v/>
      </c>
      <c r="S337" s="317" t="str">
        <f t="shared" si="71"/>
        <v/>
      </c>
      <c r="V337" s="314">
        <f>SUM('RES. CENTRAL PARK:RUA_FINAL'!N337)</f>
        <v>0</v>
      </c>
      <c r="W337" s="315">
        <f t="shared" si="73"/>
        <v>0</v>
      </c>
    </row>
    <row r="338" spans="1:23" ht="15" hidden="1" customHeight="1" x14ac:dyDescent="0.2">
      <c r="A338" s="63" t="s">
        <v>147</v>
      </c>
      <c r="B338" s="895" t="s">
        <v>147</v>
      </c>
      <c r="C338" s="896"/>
      <c r="D338" s="957" t="s">
        <v>230</v>
      </c>
      <c r="E338" s="907">
        <f>DMT!$D$46</f>
        <v>353</v>
      </c>
      <c r="F338" s="908"/>
      <c r="G338" s="909">
        <f>IF(E338&lt;=30,(0.78*E338+7.82)*F338,((0.78*30+7.82)+0.78*(E338-30))*F338)</f>
        <v>0</v>
      </c>
      <c r="H338" s="901">
        <v>0</v>
      </c>
      <c r="I338" s="901"/>
      <c r="J338" s="902">
        <v>0</v>
      </c>
      <c r="K338" s="903" t="s">
        <v>507</v>
      </c>
      <c r="L338" s="1003">
        <f>ROUND(SUM('RES. CENTRAL PARK:RUA_FINAL'!L338),2)</f>
        <v>0</v>
      </c>
      <c r="M338" s="960">
        <f t="shared" si="67"/>
        <v>0</v>
      </c>
      <c r="N338" s="893">
        <f t="shared" si="68"/>
        <v>0</v>
      </c>
      <c r="O338" s="905"/>
      <c r="P338" s="58" t="str">
        <f>IF(N336&gt;0,"xx",IF(N336&gt;0,"xy",""))</f>
        <v/>
      </c>
      <c r="Q338" s="317" t="str">
        <f t="shared" si="69"/>
        <v/>
      </c>
      <c r="R338" s="317" t="str">
        <f t="shared" si="70"/>
        <v/>
      </c>
      <c r="S338" s="317" t="str">
        <f t="shared" si="71"/>
        <v/>
      </c>
      <c r="V338" s="314">
        <f>SUM('RES. CENTRAL PARK:RUA_FINAL'!N338)</f>
        <v>0</v>
      </c>
      <c r="W338" s="315">
        <f t="shared" si="73"/>
        <v>0</v>
      </c>
    </row>
    <row r="339" spans="1:23" ht="15" hidden="1" customHeight="1" x14ac:dyDescent="0.2">
      <c r="A339" s="63" t="s">
        <v>147</v>
      </c>
      <c r="B339" s="895" t="s">
        <v>147</v>
      </c>
      <c r="C339" s="896"/>
      <c r="D339" s="957" t="s">
        <v>243</v>
      </c>
      <c r="E339" s="907">
        <f>DMT!$F$43</f>
        <v>0.2</v>
      </c>
      <c r="F339" s="908">
        <v>1.89</v>
      </c>
      <c r="G339" s="949">
        <f t="shared" si="89"/>
        <v>5.4696600000000002</v>
      </c>
      <c r="H339" s="901">
        <v>0</v>
      </c>
      <c r="I339" s="901"/>
      <c r="J339" s="902">
        <v>0</v>
      </c>
      <c r="K339" s="903" t="s">
        <v>507</v>
      </c>
      <c r="L339" s="1003">
        <f>ROUND(SUM('RES. CENTRAL PARK:RUA_FINAL'!L339),2)</f>
        <v>0</v>
      </c>
      <c r="M339" s="960">
        <f t="shared" si="67"/>
        <v>0</v>
      </c>
      <c r="N339" s="893">
        <f t="shared" si="68"/>
        <v>0</v>
      </c>
      <c r="O339" s="905"/>
      <c r="P339" s="58" t="str">
        <f>IF(N336&gt;0,"xx",IF(N336&gt;0,"xy",""))</f>
        <v/>
      </c>
      <c r="Q339" s="317" t="str">
        <f t="shared" si="69"/>
        <v/>
      </c>
      <c r="R339" s="317" t="str">
        <f t="shared" si="70"/>
        <v/>
      </c>
      <c r="S339" s="317" t="str">
        <f t="shared" si="71"/>
        <v/>
      </c>
      <c r="V339" s="314">
        <f>SUM('RES. CENTRAL PARK:RUA_FINAL'!N339)</f>
        <v>0</v>
      </c>
      <c r="W339" s="315">
        <f t="shared" si="73"/>
        <v>0</v>
      </c>
    </row>
    <row r="340" spans="1:23" ht="15" hidden="1" customHeight="1" x14ac:dyDescent="0.2">
      <c r="A340" s="63" t="s">
        <v>147</v>
      </c>
      <c r="B340" s="895" t="s">
        <v>147</v>
      </c>
      <c r="C340" s="896"/>
      <c r="D340" s="957" t="s">
        <v>244</v>
      </c>
      <c r="E340" s="907">
        <f>DMT!$F$28</f>
        <v>22</v>
      </c>
      <c r="F340" s="908">
        <f>SUM(F336:F339)</f>
        <v>2.2999999999999998</v>
      </c>
      <c r="G340" s="912">
        <f>IF(E340&lt;=30,(1.07*E340+5.37)*F340,((1.07*30+5.37)+1.07*(E340-30))*F340)</f>
        <v>66.493000000000009</v>
      </c>
      <c r="H340" s="901">
        <v>0</v>
      </c>
      <c r="I340" s="901"/>
      <c r="J340" s="902">
        <v>0</v>
      </c>
      <c r="K340" s="903" t="s">
        <v>507</v>
      </c>
      <c r="L340" s="1003">
        <f>ROUND(SUM('RES. CENTRAL PARK:RUA_FINAL'!L340),2)</f>
        <v>0</v>
      </c>
      <c r="M340" s="960">
        <f t="shared" ref="M340:M427" si="90">IF(L340=0,0,ROUND(J340,2))</f>
        <v>0</v>
      </c>
      <c r="N340" s="893">
        <f t="shared" ref="N340:N427" si="91">IF(ISBLANK(L340),0,ROUND(L340*M340,2))</f>
        <v>0</v>
      </c>
      <c r="O340" s="905"/>
      <c r="P340" s="58" t="str">
        <f>IF(N336&gt;0,"xx",IF(N336&gt;0,"xy",""))</f>
        <v/>
      </c>
      <c r="Q340" s="317" t="str">
        <f t="shared" ref="Q340:Q427" si="92">IF(P340="X","x",IF(P340="xx","x",IF(P340="xy","x",IF(P340="y","x",IF(OR(N340&gt;0,N340&gt;0),"x","")))))</f>
        <v/>
      </c>
      <c r="R340" s="317" t="str">
        <f t="shared" ref="R340:R427" si="93">IF(P340="X","x",IF(P340="y","x",IF(P340="xx","x",IF(N340&gt;0,"x",""))))</f>
        <v/>
      </c>
      <c r="S340" s="317" t="str">
        <f t="shared" ref="S340:S427" si="94">IF(P340="X","x",IF(N340&gt;0,"x",""))</f>
        <v/>
      </c>
      <c r="V340" s="314">
        <f>SUM('RES. CENTRAL PARK:RUA_FINAL'!N340)</f>
        <v>0</v>
      </c>
      <c r="W340" s="315">
        <f t="shared" si="73"/>
        <v>0</v>
      </c>
    </row>
    <row r="341" spans="1:23" ht="15" hidden="1" customHeight="1" thickBot="1" x14ac:dyDescent="0.25">
      <c r="A341" s="63">
        <v>589320</v>
      </c>
      <c r="B341" s="1004" t="s">
        <v>1686</v>
      </c>
      <c r="C341" s="984" t="s">
        <v>213</v>
      </c>
      <c r="D341" s="1012" t="s">
        <v>700</v>
      </c>
      <c r="E341" s="1005">
        <f>DMT!$D$47</f>
        <v>45</v>
      </c>
      <c r="F341" s="1006">
        <v>1</v>
      </c>
      <c r="G341" s="949">
        <f>(0.84*E341+41.45)*F341</f>
        <v>79.25</v>
      </c>
      <c r="H341" s="988">
        <v>4012.83</v>
      </c>
      <c r="I341" s="988">
        <f>IF(ISBLANK(H341),"",H341*(1+$E$9)/(1+$E$10))+G341</f>
        <v>3931.9945856583668</v>
      </c>
      <c r="J341" s="989">
        <f t="shared" si="79"/>
        <v>4721.1499999999996</v>
      </c>
      <c r="K341" s="990" t="s">
        <v>14</v>
      </c>
      <c r="L341" s="991">
        <f>ROUND(SUM('RES. CENTRAL PARK:RUA_FINAL'!L341),2)</f>
        <v>0</v>
      </c>
      <c r="M341" s="1013">
        <f t="shared" si="90"/>
        <v>0</v>
      </c>
      <c r="N341" s="993">
        <f t="shared" si="91"/>
        <v>0</v>
      </c>
      <c r="O341" s="905"/>
      <c r="P341" s="58" t="str">
        <f>IF(N336&gt;0,"xx",IF(N336&gt;0,"xy",""))</f>
        <v/>
      </c>
      <c r="Q341" s="317" t="str">
        <f t="shared" si="92"/>
        <v/>
      </c>
      <c r="R341" s="317" t="str">
        <f t="shared" si="93"/>
        <v/>
      </c>
      <c r="S341" s="317" t="str">
        <f t="shared" si="94"/>
        <v/>
      </c>
      <c r="V341" s="314">
        <f>SUM('RES. CENTRAL PARK:RUA_FINAL'!N341)</f>
        <v>0</v>
      </c>
      <c r="W341" s="315">
        <f t="shared" ref="W341:W404" si="95">N341-V341</f>
        <v>0</v>
      </c>
    </row>
    <row r="342" spans="1:23" ht="15" hidden="1" customHeight="1" x14ac:dyDescent="0.2">
      <c r="A342" s="63">
        <v>534300</v>
      </c>
      <c r="B342" s="999" t="s">
        <v>1647</v>
      </c>
      <c r="C342" s="1000" t="s">
        <v>184</v>
      </c>
      <c r="D342" s="973" t="s">
        <v>2208</v>
      </c>
      <c r="E342" s="974" t="s">
        <v>570</v>
      </c>
      <c r="F342" s="975">
        <v>0.14000000000000001</v>
      </c>
      <c r="G342" s="976">
        <f>SUM(G343:G346)</f>
        <v>116.02126000000001</v>
      </c>
      <c r="H342" s="977">
        <v>140.30000000000001</v>
      </c>
      <c r="I342" s="977">
        <f>IF(ISBLANK(H342),"",SUM(G342:H342))</f>
        <v>256.32126000000005</v>
      </c>
      <c r="J342" s="978">
        <f t="shared" si="79"/>
        <v>307.76</v>
      </c>
      <c r="K342" s="979" t="s">
        <v>10</v>
      </c>
      <c r="L342" s="980">
        <f>ROUND(SUM('RES. CENTRAL PARK:RUA_FINAL'!L342),2)</f>
        <v>0</v>
      </c>
      <c r="M342" s="981">
        <f t="shared" si="90"/>
        <v>0</v>
      </c>
      <c r="N342" s="982">
        <f t="shared" si="91"/>
        <v>0</v>
      </c>
      <c r="O342" s="905"/>
      <c r="Q342" s="317" t="str">
        <f t="shared" si="92"/>
        <v/>
      </c>
      <c r="R342" s="317" t="str">
        <f t="shared" si="93"/>
        <v/>
      </c>
      <c r="S342" s="317" t="str">
        <f t="shared" si="94"/>
        <v/>
      </c>
      <c r="V342" s="314">
        <f>SUM('RES. CENTRAL PARK:RUA_FINAL'!N342)</f>
        <v>0</v>
      </c>
      <c r="W342" s="315">
        <f t="shared" si="95"/>
        <v>0</v>
      </c>
    </row>
    <row r="343" spans="1:23" ht="15" hidden="1" customHeight="1" x14ac:dyDescent="0.2">
      <c r="A343" s="63" t="s">
        <v>147</v>
      </c>
      <c r="B343" s="895" t="s">
        <v>147</v>
      </c>
      <c r="C343" s="896"/>
      <c r="D343" s="957" t="s">
        <v>229</v>
      </c>
      <c r="E343" s="907">
        <f>DMT!$F$42</f>
        <v>150</v>
      </c>
      <c r="F343" s="908">
        <v>0.27</v>
      </c>
      <c r="G343" s="949">
        <f t="shared" ref="G343:G345" si="96">IF(E343&lt;=30,(1.07*E343+2.68)*F343,((1.07*30+2.68)+1.07*(E343-30))*F343)</f>
        <v>44.058600000000006</v>
      </c>
      <c r="H343" s="901">
        <v>0</v>
      </c>
      <c r="I343" s="901"/>
      <c r="J343" s="902">
        <v>0</v>
      </c>
      <c r="K343" s="903" t="s">
        <v>507</v>
      </c>
      <c r="L343" s="1003">
        <f>ROUND(SUM('RES. CENTRAL PARK:RUA_FINAL'!L343),2)</f>
        <v>0</v>
      </c>
      <c r="M343" s="960">
        <f t="shared" si="90"/>
        <v>0</v>
      </c>
      <c r="N343" s="893">
        <f t="shared" si="91"/>
        <v>0</v>
      </c>
      <c r="O343" s="905"/>
      <c r="P343" s="58" t="str">
        <f>IF(N342&gt;0,"xx",IF(N342&gt;0,"xy",""))</f>
        <v/>
      </c>
      <c r="Q343" s="317" t="str">
        <f t="shared" si="92"/>
        <v/>
      </c>
      <c r="R343" s="317" t="str">
        <f t="shared" si="93"/>
        <v/>
      </c>
      <c r="S343" s="317" t="str">
        <f t="shared" si="94"/>
        <v/>
      </c>
      <c r="V343" s="314">
        <f>SUM('RES. CENTRAL PARK:RUA_FINAL'!N343)</f>
        <v>0</v>
      </c>
      <c r="W343" s="315">
        <f t="shared" si="95"/>
        <v>0</v>
      </c>
    </row>
    <row r="344" spans="1:23" ht="15" hidden="1" customHeight="1" x14ac:dyDescent="0.2">
      <c r="A344" s="63" t="s">
        <v>147</v>
      </c>
      <c r="B344" s="895" t="s">
        <v>147</v>
      </c>
      <c r="C344" s="896"/>
      <c r="D344" s="957" t="s">
        <v>230</v>
      </c>
      <c r="E344" s="907">
        <f>DMT!$D$46</f>
        <v>353</v>
      </c>
      <c r="F344" s="908"/>
      <c r="G344" s="909">
        <f>IF(E344&lt;=30,(0.78*E344+7.82)*F344,((0.78*30+7.82)+0.78*(E344-30))*F344)</f>
        <v>0</v>
      </c>
      <c r="H344" s="901">
        <v>0</v>
      </c>
      <c r="I344" s="901"/>
      <c r="J344" s="902">
        <v>0</v>
      </c>
      <c r="K344" s="903" t="s">
        <v>507</v>
      </c>
      <c r="L344" s="1003">
        <f>ROUND(SUM('RES. CENTRAL PARK:RUA_FINAL'!L344),2)</f>
        <v>0</v>
      </c>
      <c r="M344" s="960">
        <f t="shared" si="90"/>
        <v>0</v>
      </c>
      <c r="N344" s="893">
        <f t="shared" si="91"/>
        <v>0</v>
      </c>
      <c r="O344" s="905"/>
      <c r="P344" s="58" t="str">
        <f>IF(N342&gt;0,"xx",IF(N342&gt;0,"xy",""))</f>
        <v/>
      </c>
      <c r="Q344" s="317" t="str">
        <f t="shared" si="92"/>
        <v/>
      </c>
      <c r="R344" s="317" t="str">
        <f t="shared" si="93"/>
        <v/>
      </c>
      <c r="S344" s="317" t="str">
        <f t="shared" si="94"/>
        <v/>
      </c>
      <c r="V344" s="314">
        <f>SUM('RES. CENTRAL PARK:RUA_FINAL'!N344)</f>
        <v>0</v>
      </c>
      <c r="W344" s="315">
        <f t="shared" si="95"/>
        <v>0</v>
      </c>
    </row>
    <row r="345" spans="1:23" ht="15" hidden="1" customHeight="1" x14ac:dyDescent="0.2">
      <c r="A345" s="63" t="s">
        <v>147</v>
      </c>
      <c r="B345" s="895" t="s">
        <v>147</v>
      </c>
      <c r="C345" s="896"/>
      <c r="D345" s="957" t="s">
        <v>243</v>
      </c>
      <c r="E345" s="907">
        <f>DMT!$F$43</f>
        <v>0.2</v>
      </c>
      <c r="F345" s="908">
        <v>1.89</v>
      </c>
      <c r="G345" s="949">
        <f t="shared" si="96"/>
        <v>5.4696600000000002</v>
      </c>
      <c r="H345" s="901">
        <v>0</v>
      </c>
      <c r="I345" s="901"/>
      <c r="J345" s="902">
        <v>0</v>
      </c>
      <c r="K345" s="903" t="s">
        <v>507</v>
      </c>
      <c r="L345" s="1003">
        <f>ROUND(SUM('RES. CENTRAL PARK:RUA_FINAL'!L345),2)</f>
        <v>0</v>
      </c>
      <c r="M345" s="960">
        <f t="shared" si="90"/>
        <v>0</v>
      </c>
      <c r="N345" s="893">
        <f t="shared" si="91"/>
        <v>0</v>
      </c>
      <c r="O345" s="905"/>
      <c r="P345" s="58" t="str">
        <f>IF(N342&gt;0,"xx",IF(N342&gt;0,"xy",""))</f>
        <v/>
      </c>
      <c r="Q345" s="317" t="str">
        <f t="shared" si="92"/>
        <v/>
      </c>
      <c r="R345" s="317" t="str">
        <f t="shared" si="93"/>
        <v/>
      </c>
      <c r="S345" s="317" t="str">
        <f t="shared" si="94"/>
        <v/>
      </c>
      <c r="V345" s="314">
        <f>SUM('RES. CENTRAL PARK:RUA_FINAL'!N345)</f>
        <v>0</v>
      </c>
      <c r="W345" s="315">
        <f t="shared" si="95"/>
        <v>0</v>
      </c>
    </row>
    <row r="346" spans="1:23" ht="15" hidden="1" customHeight="1" x14ac:dyDescent="0.2">
      <c r="A346" s="63" t="s">
        <v>147</v>
      </c>
      <c r="B346" s="895" t="s">
        <v>147</v>
      </c>
      <c r="C346" s="896"/>
      <c r="D346" s="957" t="s">
        <v>244</v>
      </c>
      <c r="E346" s="907">
        <f>DMT!$F$28</f>
        <v>22</v>
      </c>
      <c r="F346" s="908">
        <f>SUM(F342:F345)</f>
        <v>2.2999999999999998</v>
      </c>
      <c r="G346" s="912">
        <f>IF(E346&lt;=30,(1.07*E346+5.37)*F346,((1.07*30+5.37)+1.07*(E346-30))*F346)</f>
        <v>66.493000000000009</v>
      </c>
      <c r="H346" s="901">
        <v>0</v>
      </c>
      <c r="I346" s="901"/>
      <c r="J346" s="902">
        <v>0</v>
      </c>
      <c r="K346" s="903" t="s">
        <v>507</v>
      </c>
      <c r="L346" s="1003">
        <f>ROUND(SUM('RES. CENTRAL PARK:RUA_FINAL'!L346),2)</f>
        <v>0</v>
      </c>
      <c r="M346" s="960">
        <f t="shared" si="90"/>
        <v>0</v>
      </c>
      <c r="N346" s="893">
        <f t="shared" si="91"/>
        <v>0</v>
      </c>
      <c r="O346" s="905"/>
      <c r="P346" s="58" t="str">
        <f>IF(N342&gt;0,"xx",IF(N342&gt;0,"xy",""))</f>
        <v/>
      </c>
      <c r="Q346" s="317" t="str">
        <f t="shared" si="92"/>
        <v/>
      </c>
      <c r="R346" s="317" t="str">
        <f t="shared" si="93"/>
        <v/>
      </c>
      <c r="S346" s="317" t="str">
        <f t="shared" si="94"/>
        <v/>
      </c>
      <c r="V346" s="314">
        <f>SUM('RES. CENTRAL PARK:RUA_FINAL'!N346)</f>
        <v>0</v>
      </c>
      <c r="W346" s="315">
        <f t="shared" si="95"/>
        <v>0</v>
      </c>
    </row>
    <row r="347" spans="1:23" ht="15" hidden="1" customHeight="1" thickBot="1" x14ac:dyDescent="0.25">
      <c r="A347" s="63">
        <v>589320</v>
      </c>
      <c r="B347" s="1004" t="s">
        <v>1687</v>
      </c>
      <c r="C347" s="984" t="s">
        <v>213</v>
      </c>
      <c r="D347" s="1012" t="s">
        <v>700</v>
      </c>
      <c r="E347" s="1005">
        <f>DMT!$D$47</f>
        <v>45</v>
      </c>
      <c r="F347" s="1006">
        <v>1</v>
      </c>
      <c r="G347" s="949">
        <f>(0.84*E347+41.45)*F347</f>
        <v>79.25</v>
      </c>
      <c r="H347" s="988">
        <v>4012.83</v>
      </c>
      <c r="I347" s="988">
        <f>IF(ISBLANK(H347),"",H347*(1+$E$9)/(1+$E$10))+G347</f>
        <v>3931.9945856583668</v>
      </c>
      <c r="J347" s="989">
        <f t="shared" si="79"/>
        <v>4721.1499999999996</v>
      </c>
      <c r="K347" s="990" t="s">
        <v>14</v>
      </c>
      <c r="L347" s="991">
        <f>ROUND(SUM('RES. CENTRAL PARK:RUA_FINAL'!L347),2)</f>
        <v>0</v>
      </c>
      <c r="M347" s="1013">
        <f t="shared" si="90"/>
        <v>0</v>
      </c>
      <c r="N347" s="993">
        <f t="shared" si="91"/>
        <v>0</v>
      </c>
      <c r="O347" s="905"/>
      <c r="P347" s="58" t="str">
        <f>IF(N342&gt;0,"xx",IF(N342&gt;0,"xy",""))</f>
        <v/>
      </c>
      <c r="Q347" s="317" t="str">
        <f t="shared" si="92"/>
        <v/>
      </c>
      <c r="R347" s="317" t="str">
        <f t="shared" si="93"/>
        <v/>
      </c>
      <c r="S347" s="317" t="str">
        <f t="shared" si="94"/>
        <v/>
      </c>
      <c r="V347" s="314">
        <f>SUM('RES. CENTRAL PARK:RUA_FINAL'!N347)</f>
        <v>0</v>
      </c>
      <c r="W347" s="315">
        <f t="shared" si="95"/>
        <v>0</v>
      </c>
    </row>
    <row r="348" spans="1:23" ht="15" hidden="1" customHeight="1" x14ac:dyDescent="0.2">
      <c r="A348" s="63">
        <v>534300</v>
      </c>
      <c r="B348" s="999" t="s">
        <v>1648</v>
      </c>
      <c r="C348" s="1000" t="s">
        <v>184</v>
      </c>
      <c r="D348" s="973" t="s">
        <v>2210</v>
      </c>
      <c r="E348" s="974" t="s">
        <v>570</v>
      </c>
      <c r="F348" s="975">
        <v>0.18240000000000001</v>
      </c>
      <c r="G348" s="976">
        <f>SUM(G349:G352)</f>
        <v>190.80926220000003</v>
      </c>
      <c r="H348" s="977">
        <v>140.30000000000001</v>
      </c>
      <c r="I348" s="977">
        <f>IF(ISBLANK(H348),"",SUM(G348:H348))</f>
        <v>331.10926220000005</v>
      </c>
      <c r="J348" s="978">
        <f t="shared" si="79"/>
        <v>397.56</v>
      </c>
      <c r="K348" s="979" t="s">
        <v>10</v>
      </c>
      <c r="L348" s="980">
        <f>ROUND(SUM('RES. CENTRAL PARK:RUA_FINAL'!L348),2)</f>
        <v>0</v>
      </c>
      <c r="M348" s="981">
        <f t="shared" si="90"/>
        <v>0</v>
      </c>
      <c r="N348" s="982">
        <f t="shared" si="91"/>
        <v>0</v>
      </c>
      <c r="O348" s="905"/>
      <c r="Q348" s="317" t="str">
        <f t="shared" si="92"/>
        <v/>
      </c>
      <c r="R348" s="317" t="str">
        <f t="shared" si="93"/>
        <v/>
      </c>
      <c r="S348" s="317" t="str">
        <f t="shared" si="94"/>
        <v/>
      </c>
      <c r="V348" s="314">
        <f>SUM('RES. CENTRAL PARK:RUA_FINAL'!N348)</f>
        <v>0</v>
      </c>
      <c r="W348" s="315">
        <f t="shared" si="95"/>
        <v>0</v>
      </c>
    </row>
    <row r="349" spans="1:23" ht="15" hidden="1" customHeight="1" x14ac:dyDescent="0.2">
      <c r="A349" s="63" t="s">
        <v>147</v>
      </c>
      <c r="B349" s="895" t="s">
        <v>147</v>
      </c>
      <c r="C349" s="896"/>
      <c r="D349" s="957" t="s">
        <v>229</v>
      </c>
      <c r="E349" s="907">
        <f>DMT!$F$42</f>
        <v>150</v>
      </c>
      <c r="F349" s="908">
        <v>0.56969999999999998</v>
      </c>
      <c r="G349" s="949">
        <f t="shared" ref="G349:G351" si="97">IF(E349&lt;=30,(1.07*E349+2.68)*F349,((1.07*30+2.68)+1.07*(E349-30))*F349)</f>
        <v>92.963645999999997</v>
      </c>
      <c r="H349" s="901">
        <v>0</v>
      </c>
      <c r="I349" s="901"/>
      <c r="J349" s="902">
        <v>0</v>
      </c>
      <c r="K349" s="903" t="s">
        <v>507</v>
      </c>
      <c r="L349" s="1003">
        <f>ROUND(SUM('RES. CENTRAL PARK:RUA_FINAL'!L349),2)</f>
        <v>0</v>
      </c>
      <c r="M349" s="960">
        <f t="shared" si="90"/>
        <v>0</v>
      </c>
      <c r="N349" s="893">
        <f t="shared" si="91"/>
        <v>0</v>
      </c>
      <c r="O349" s="905"/>
      <c r="P349" s="58" t="str">
        <f>IF(N348&gt;0,"xx",IF(N348&gt;0,"xy",""))</f>
        <v/>
      </c>
      <c r="Q349" s="317" t="str">
        <f t="shared" si="92"/>
        <v/>
      </c>
      <c r="R349" s="317" t="str">
        <f t="shared" si="93"/>
        <v/>
      </c>
      <c r="S349" s="317" t="str">
        <f t="shared" si="94"/>
        <v/>
      </c>
      <c r="V349" s="314">
        <f>SUM('RES. CENTRAL PARK:RUA_FINAL'!N349)</f>
        <v>0</v>
      </c>
      <c r="W349" s="315">
        <f t="shared" si="95"/>
        <v>0</v>
      </c>
    </row>
    <row r="350" spans="1:23" ht="15" hidden="1" customHeight="1" x14ac:dyDescent="0.2">
      <c r="A350" s="63" t="s">
        <v>147</v>
      </c>
      <c r="B350" s="895" t="s">
        <v>147</v>
      </c>
      <c r="C350" s="896"/>
      <c r="D350" s="957" t="s">
        <v>230</v>
      </c>
      <c r="E350" s="907">
        <f>DMT!$D$46</f>
        <v>353</v>
      </c>
      <c r="F350" s="908">
        <v>8.7599999999999997E-2</v>
      </c>
      <c r="G350" s="909">
        <f>IF(E350&lt;=30,(0.78*E350+7.82)*F350,((0.78*30+7.82)+0.78*(E350-30))*F350)</f>
        <v>24.804816000000002</v>
      </c>
      <c r="H350" s="901">
        <v>0</v>
      </c>
      <c r="I350" s="901"/>
      <c r="J350" s="902">
        <v>0</v>
      </c>
      <c r="K350" s="903" t="s">
        <v>507</v>
      </c>
      <c r="L350" s="1003">
        <f>ROUND(SUM('RES. CENTRAL PARK:RUA_FINAL'!L350),2)</f>
        <v>0</v>
      </c>
      <c r="M350" s="960">
        <f t="shared" si="90"/>
        <v>0</v>
      </c>
      <c r="N350" s="893">
        <f t="shared" si="91"/>
        <v>0</v>
      </c>
      <c r="O350" s="905"/>
      <c r="P350" s="58" t="str">
        <f>IF(N348&gt;0,"xx",IF(N348&gt;0,"xy",""))</f>
        <v/>
      </c>
      <c r="Q350" s="317" t="str">
        <f t="shared" si="92"/>
        <v/>
      </c>
      <c r="R350" s="317" t="str">
        <f t="shared" si="93"/>
        <v/>
      </c>
      <c r="S350" s="317" t="str">
        <f t="shared" si="94"/>
        <v/>
      </c>
      <c r="V350" s="314">
        <f>SUM('RES. CENTRAL PARK:RUA_FINAL'!N350)</f>
        <v>0</v>
      </c>
      <c r="W350" s="315">
        <f t="shared" si="95"/>
        <v>0</v>
      </c>
    </row>
    <row r="351" spans="1:23" ht="15" hidden="1" customHeight="1" x14ac:dyDescent="0.2">
      <c r="A351" s="63" t="s">
        <v>147</v>
      </c>
      <c r="B351" s="895" t="s">
        <v>147</v>
      </c>
      <c r="C351" s="896"/>
      <c r="D351" s="957" t="s">
        <v>243</v>
      </c>
      <c r="E351" s="907">
        <f>DMT!$F$43</f>
        <v>0.2</v>
      </c>
      <c r="F351" s="908">
        <v>1.5333000000000001</v>
      </c>
      <c r="G351" s="949">
        <f t="shared" si="97"/>
        <v>4.4373702000000002</v>
      </c>
      <c r="H351" s="901">
        <v>0</v>
      </c>
      <c r="I351" s="901"/>
      <c r="J351" s="902">
        <v>0</v>
      </c>
      <c r="K351" s="903" t="s">
        <v>507</v>
      </c>
      <c r="L351" s="1003">
        <f>ROUND(SUM('RES. CENTRAL PARK:RUA_FINAL'!L351),2)</f>
        <v>0</v>
      </c>
      <c r="M351" s="960">
        <f t="shared" si="90"/>
        <v>0</v>
      </c>
      <c r="N351" s="893">
        <f t="shared" si="91"/>
        <v>0</v>
      </c>
      <c r="O351" s="905"/>
      <c r="P351" s="58" t="str">
        <f>IF(N348&gt;0,"xx",IF(N348&gt;0,"xy",""))</f>
        <v/>
      </c>
      <c r="Q351" s="317" t="str">
        <f t="shared" si="92"/>
        <v/>
      </c>
      <c r="R351" s="317" t="str">
        <f t="shared" si="93"/>
        <v/>
      </c>
      <c r="S351" s="317" t="str">
        <f t="shared" si="94"/>
        <v/>
      </c>
      <c r="V351" s="314">
        <f>SUM('RES. CENTRAL PARK:RUA_FINAL'!N351)</f>
        <v>0</v>
      </c>
      <c r="W351" s="315">
        <f t="shared" si="95"/>
        <v>0</v>
      </c>
    </row>
    <row r="352" spans="1:23" ht="15" hidden="1" customHeight="1" x14ac:dyDescent="0.2">
      <c r="A352" s="63" t="s">
        <v>147</v>
      </c>
      <c r="B352" s="895" t="s">
        <v>147</v>
      </c>
      <c r="C352" s="896"/>
      <c r="D352" s="957" t="s">
        <v>244</v>
      </c>
      <c r="E352" s="907">
        <f>DMT!$F$28</f>
        <v>22</v>
      </c>
      <c r="F352" s="908">
        <f>SUM(F348:F351)</f>
        <v>2.3730000000000002</v>
      </c>
      <c r="G352" s="912">
        <f>IF(E352&lt;=30,(1.07*E352+5.37)*F352,((1.07*30+5.37)+1.07*(E352-30))*F352)</f>
        <v>68.603430000000017</v>
      </c>
      <c r="H352" s="901">
        <v>0</v>
      </c>
      <c r="I352" s="901"/>
      <c r="J352" s="902">
        <v>0</v>
      </c>
      <c r="K352" s="903" t="s">
        <v>507</v>
      </c>
      <c r="L352" s="1003">
        <f>ROUND(SUM('RES. CENTRAL PARK:RUA_FINAL'!L352),2)</f>
        <v>0</v>
      </c>
      <c r="M352" s="960">
        <f t="shared" si="90"/>
        <v>0</v>
      </c>
      <c r="N352" s="893">
        <f t="shared" si="91"/>
        <v>0</v>
      </c>
      <c r="O352" s="905"/>
      <c r="P352" s="58" t="str">
        <f>IF(N348&gt;0,"xx",IF(N348&gt;0,"xy",""))</f>
        <v/>
      </c>
      <c r="Q352" s="317" t="str">
        <f t="shared" si="92"/>
        <v/>
      </c>
      <c r="R352" s="317" t="str">
        <f t="shared" si="93"/>
        <v/>
      </c>
      <c r="S352" s="317" t="str">
        <f t="shared" si="94"/>
        <v/>
      </c>
      <c r="V352" s="314">
        <f>SUM('RES. CENTRAL PARK:RUA_FINAL'!N352)</f>
        <v>0</v>
      </c>
      <c r="W352" s="315">
        <f t="shared" si="95"/>
        <v>0</v>
      </c>
    </row>
    <row r="353" spans="1:23" ht="15" hidden="1" customHeight="1" thickBot="1" x14ac:dyDescent="0.25">
      <c r="A353" s="63">
        <v>589320</v>
      </c>
      <c r="B353" s="1004" t="s">
        <v>1688</v>
      </c>
      <c r="C353" s="984" t="s">
        <v>213</v>
      </c>
      <c r="D353" s="1012" t="s">
        <v>1682</v>
      </c>
      <c r="E353" s="1005">
        <f>DMT!$D$47</f>
        <v>45</v>
      </c>
      <c r="F353" s="1006">
        <v>1</v>
      </c>
      <c r="G353" s="949">
        <f>(0.84*E353+41.45)*F353</f>
        <v>79.25</v>
      </c>
      <c r="H353" s="988">
        <v>4012.83</v>
      </c>
      <c r="I353" s="988">
        <f>IF(ISBLANK(H353),"",H353*(1+$E$9)/(1+$E$10))+G353</f>
        <v>3931.9945856583668</v>
      </c>
      <c r="J353" s="989">
        <f t="shared" si="79"/>
        <v>4721.1499999999996</v>
      </c>
      <c r="K353" s="990" t="s">
        <v>14</v>
      </c>
      <c r="L353" s="991">
        <f>ROUND(SUM('RES. CENTRAL PARK:RUA_FINAL'!L353),2)</f>
        <v>0</v>
      </c>
      <c r="M353" s="1013">
        <f t="shared" si="90"/>
        <v>0</v>
      </c>
      <c r="N353" s="993">
        <f t="shared" si="91"/>
        <v>0</v>
      </c>
      <c r="O353" s="905"/>
      <c r="P353" s="58" t="str">
        <f>IF(N348&gt;0,"xx",IF(N348&gt;0,"xy",""))</f>
        <v/>
      </c>
      <c r="Q353" s="317" t="str">
        <f t="shared" si="92"/>
        <v/>
      </c>
      <c r="R353" s="317" t="str">
        <f t="shared" si="93"/>
        <v/>
      </c>
      <c r="S353" s="317" t="str">
        <f t="shared" si="94"/>
        <v/>
      </c>
      <c r="V353" s="314">
        <f>SUM('RES. CENTRAL PARK:RUA_FINAL'!N353)</f>
        <v>0</v>
      </c>
      <c r="W353" s="315">
        <f t="shared" si="95"/>
        <v>0</v>
      </c>
    </row>
    <row r="354" spans="1:23" ht="15" hidden="1" customHeight="1" x14ac:dyDescent="0.2">
      <c r="A354" s="63">
        <v>570300</v>
      </c>
      <c r="B354" s="999" t="s">
        <v>1649</v>
      </c>
      <c r="C354" s="1000" t="s">
        <v>184</v>
      </c>
      <c r="D354" s="1019" t="s">
        <v>769</v>
      </c>
      <c r="E354" s="974" t="s">
        <v>569</v>
      </c>
      <c r="F354" s="975">
        <v>0.04</v>
      </c>
      <c r="G354" s="976">
        <f>SUM(G355:G358)</f>
        <v>36.972230000000003</v>
      </c>
      <c r="H354" s="977">
        <v>178.78</v>
      </c>
      <c r="I354" s="977">
        <f>IF(ISBLANK(H354),"",SUM(G354:H354))</f>
        <v>215.75223</v>
      </c>
      <c r="J354" s="978">
        <f t="shared" si="79"/>
        <v>259.05</v>
      </c>
      <c r="K354" s="979" t="s">
        <v>14</v>
      </c>
      <c r="L354" s="980">
        <f>ROUND(SUM('RES. CENTRAL PARK:RUA_FINAL'!L354),2)</f>
        <v>0</v>
      </c>
      <c r="M354" s="981">
        <f t="shared" si="90"/>
        <v>0</v>
      </c>
      <c r="N354" s="982">
        <f t="shared" si="91"/>
        <v>0</v>
      </c>
      <c r="O354" s="905"/>
      <c r="Q354" s="317" t="str">
        <f t="shared" si="92"/>
        <v/>
      </c>
      <c r="R354" s="317" t="str">
        <f t="shared" si="93"/>
        <v/>
      </c>
      <c r="S354" s="317" t="str">
        <f t="shared" si="94"/>
        <v/>
      </c>
      <c r="V354" s="314">
        <f>SUM('RES. CENTRAL PARK:RUA_FINAL'!N354)</f>
        <v>0</v>
      </c>
      <c r="W354" s="315">
        <f t="shared" si="95"/>
        <v>0</v>
      </c>
    </row>
    <row r="355" spans="1:23" ht="15" hidden="1" customHeight="1" x14ac:dyDescent="0.2">
      <c r="A355" s="63" t="s">
        <v>147</v>
      </c>
      <c r="B355" s="895" t="s">
        <v>147</v>
      </c>
      <c r="C355" s="896"/>
      <c r="D355" s="957" t="s">
        <v>229</v>
      </c>
      <c r="E355" s="907">
        <f>DMT!$F$42</f>
        <v>150</v>
      </c>
      <c r="F355" s="908">
        <v>0</v>
      </c>
      <c r="G355" s="949">
        <f t="shared" ref="G355:G357" si="98">IF(E355&lt;=30,(1.07*E355+2.68)*F355,((1.07*30+2.68)+1.07*(E355-30))*F355)</f>
        <v>0</v>
      </c>
      <c r="H355" s="901">
        <v>0</v>
      </c>
      <c r="I355" s="901"/>
      <c r="J355" s="902">
        <v>0</v>
      </c>
      <c r="K355" s="903" t="s">
        <v>507</v>
      </c>
      <c r="L355" s="1003">
        <f>ROUND(SUM('RES. CENTRAL PARK:RUA_FINAL'!L355),2)</f>
        <v>0</v>
      </c>
      <c r="M355" s="960">
        <f t="shared" si="90"/>
        <v>0</v>
      </c>
      <c r="N355" s="893">
        <f t="shared" si="91"/>
        <v>0</v>
      </c>
      <c r="O355" s="905"/>
      <c r="P355" s="58" t="str">
        <f>IF(N354&gt;0,"xx",IF(N354&gt;0,"xy",""))</f>
        <v/>
      </c>
      <c r="Q355" s="317" t="str">
        <f t="shared" si="92"/>
        <v/>
      </c>
      <c r="R355" s="317" t="str">
        <f t="shared" si="93"/>
        <v/>
      </c>
      <c r="S355" s="317" t="str">
        <f t="shared" si="94"/>
        <v/>
      </c>
      <c r="V355" s="314">
        <f>SUM('RES. CENTRAL PARK:RUA_FINAL'!N355)</f>
        <v>0</v>
      </c>
      <c r="W355" s="315">
        <f t="shared" si="95"/>
        <v>0</v>
      </c>
    </row>
    <row r="356" spans="1:23" ht="15" hidden="1" customHeight="1" x14ac:dyDescent="0.2">
      <c r="A356" s="63" t="s">
        <v>147</v>
      </c>
      <c r="B356" s="895" t="s">
        <v>147</v>
      </c>
      <c r="C356" s="896"/>
      <c r="D356" s="957" t="s">
        <v>230</v>
      </c>
      <c r="E356" s="907">
        <f>DMT!$D$46</f>
        <v>353</v>
      </c>
      <c r="F356" s="908">
        <v>1.4999999999999999E-2</v>
      </c>
      <c r="G356" s="909">
        <f>IF(E356&lt;=30,(0.78*E356+7.82)*F356,((0.78*30+7.82)+0.78*(E356-30))*F356)</f>
        <v>4.2473999999999998</v>
      </c>
      <c r="H356" s="901">
        <v>0</v>
      </c>
      <c r="I356" s="901"/>
      <c r="J356" s="902">
        <v>0</v>
      </c>
      <c r="K356" s="903" t="s">
        <v>507</v>
      </c>
      <c r="L356" s="1003">
        <f>ROUND(SUM('RES. CENTRAL PARK:RUA_FINAL'!L356),2)</f>
        <v>0</v>
      </c>
      <c r="M356" s="960">
        <f t="shared" si="90"/>
        <v>0</v>
      </c>
      <c r="N356" s="893">
        <f t="shared" si="91"/>
        <v>0</v>
      </c>
      <c r="O356" s="905"/>
      <c r="P356" s="58" t="str">
        <f>IF(N354&gt;0,"xx",IF(N354&gt;0,"xy",""))</f>
        <v/>
      </c>
      <c r="Q356" s="317" t="str">
        <f t="shared" si="92"/>
        <v/>
      </c>
      <c r="R356" s="317" t="str">
        <f t="shared" si="93"/>
        <v/>
      </c>
      <c r="S356" s="317" t="str">
        <f t="shared" si="94"/>
        <v/>
      </c>
      <c r="V356" s="314">
        <f>SUM('RES. CENTRAL PARK:RUA_FINAL'!N356)</f>
        <v>0</v>
      </c>
      <c r="W356" s="315">
        <f t="shared" si="95"/>
        <v>0</v>
      </c>
    </row>
    <row r="357" spans="1:23" ht="15" hidden="1" customHeight="1" x14ac:dyDescent="0.2">
      <c r="A357" s="63" t="s">
        <v>147</v>
      </c>
      <c r="B357" s="895" t="s">
        <v>147</v>
      </c>
      <c r="C357" s="896"/>
      <c r="D357" s="957" t="s">
        <v>243</v>
      </c>
      <c r="E357" s="907">
        <f>DMT!$F$43</f>
        <v>0.2</v>
      </c>
      <c r="F357" s="908">
        <v>0.94499999999999995</v>
      </c>
      <c r="G357" s="949">
        <f t="shared" si="98"/>
        <v>2.7348300000000001</v>
      </c>
      <c r="H357" s="901">
        <v>0</v>
      </c>
      <c r="I357" s="901"/>
      <c r="J357" s="902">
        <v>0</v>
      </c>
      <c r="K357" s="903" t="s">
        <v>507</v>
      </c>
      <c r="L357" s="1003">
        <f>ROUND(SUM('RES. CENTRAL PARK:RUA_FINAL'!L357),2)</f>
        <v>0</v>
      </c>
      <c r="M357" s="960">
        <f t="shared" si="90"/>
        <v>0</v>
      </c>
      <c r="N357" s="893">
        <f t="shared" si="91"/>
        <v>0</v>
      </c>
      <c r="O357" s="905"/>
      <c r="P357" s="58" t="str">
        <f>IF(N354&gt;0,"xx",IF(N354&gt;0,"xy",""))</f>
        <v/>
      </c>
      <c r="Q357" s="317" t="str">
        <f t="shared" si="92"/>
        <v/>
      </c>
      <c r="R357" s="317" t="str">
        <f t="shared" si="93"/>
        <v/>
      </c>
      <c r="S357" s="317" t="str">
        <f t="shared" si="94"/>
        <v/>
      </c>
      <c r="V357" s="314">
        <f>SUM('RES. CENTRAL PARK:RUA_FINAL'!N357)</f>
        <v>0</v>
      </c>
      <c r="W357" s="315">
        <f t="shared" si="95"/>
        <v>0</v>
      </c>
    </row>
    <row r="358" spans="1:23" ht="15" hidden="1" customHeight="1" x14ac:dyDescent="0.2">
      <c r="A358" s="63" t="s">
        <v>147</v>
      </c>
      <c r="B358" s="895" t="s">
        <v>147</v>
      </c>
      <c r="C358" s="896"/>
      <c r="D358" s="957" t="s">
        <v>244</v>
      </c>
      <c r="E358" s="907">
        <f>DMT!$F$28</f>
        <v>22</v>
      </c>
      <c r="F358" s="908">
        <v>1</v>
      </c>
      <c r="G358" s="912">
        <f>IF(E358&lt;=30,(1.07*E358+6.45)*F358,((1.07*30+6.45)+1.07*(E358-30))*F358)</f>
        <v>29.990000000000002</v>
      </c>
      <c r="H358" s="901">
        <v>0</v>
      </c>
      <c r="I358" s="901"/>
      <c r="J358" s="902">
        <v>0</v>
      </c>
      <c r="K358" s="903" t="s">
        <v>507</v>
      </c>
      <c r="L358" s="1003">
        <f>ROUND(SUM('RES. CENTRAL PARK:RUA_FINAL'!L358),2)</f>
        <v>0</v>
      </c>
      <c r="M358" s="960">
        <f t="shared" si="90"/>
        <v>0</v>
      </c>
      <c r="N358" s="893">
        <f t="shared" si="91"/>
        <v>0</v>
      </c>
      <c r="O358" s="905"/>
      <c r="P358" s="58" t="str">
        <f>IF(N354&gt;0,"xx",IF(N354&gt;0,"xy",""))</f>
        <v/>
      </c>
      <c r="Q358" s="317" t="str">
        <f t="shared" si="92"/>
        <v/>
      </c>
      <c r="R358" s="317" t="str">
        <f t="shared" si="93"/>
        <v/>
      </c>
      <c r="S358" s="317" t="str">
        <f t="shared" si="94"/>
        <v/>
      </c>
      <c r="V358" s="314">
        <f>SUM('RES. CENTRAL PARK:RUA_FINAL'!N358)</f>
        <v>0</v>
      </c>
      <c r="W358" s="315">
        <f t="shared" si="95"/>
        <v>0</v>
      </c>
    </row>
    <row r="359" spans="1:23" ht="15" hidden="1" customHeight="1" thickBot="1" x14ac:dyDescent="0.25">
      <c r="A359" s="63">
        <v>589000</v>
      </c>
      <c r="B359" s="1009" t="s">
        <v>709</v>
      </c>
      <c r="C359" s="860" t="s">
        <v>213</v>
      </c>
      <c r="D359" s="1012" t="s">
        <v>2178</v>
      </c>
      <c r="E359" s="1020">
        <f>DMT!$D$45</f>
        <v>45</v>
      </c>
      <c r="F359" s="1006">
        <v>1</v>
      </c>
      <c r="G359" s="949">
        <f>(0.94*E359+46.06)*F359</f>
        <v>88.36</v>
      </c>
      <c r="H359" s="988">
        <v>4828.8599999999997</v>
      </c>
      <c r="I359" s="988">
        <f>IF(ISBLANK(H359),"",H359*(1+$E$9)/(1+$E$10))+G359</f>
        <v>4724.580378112767</v>
      </c>
      <c r="J359" s="1011">
        <f t="shared" ref="J359:J474" si="99">IF(ISBLANK(H359),0,ROUND(I359*(1+$E$10),2))</f>
        <v>5672.8</v>
      </c>
      <c r="K359" s="867" t="s">
        <v>14</v>
      </c>
      <c r="L359" s="991">
        <f>ROUND(SUM('RES. CENTRAL PARK:RUA_FINAL'!L359),2)</f>
        <v>0</v>
      </c>
      <c r="M359" s="1013">
        <f t="shared" si="90"/>
        <v>0</v>
      </c>
      <c r="N359" s="993">
        <f t="shared" si="91"/>
        <v>0</v>
      </c>
      <c r="O359" s="905"/>
      <c r="P359" s="58" t="str">
        <f>IF(N354&gt;0,"xx",IF(N354&gt;0,"xy",""))</f>
        <v/>
      </c>
      <c r="Q359" s="317" t="str">
        <f t="shared" si="92"/>
        <v/>
      </c>
      <c r="R359" s="317" t="str">
        <f t="shared" si="93"/>
        <v/>
      </c>
      <c r="S359" s="317" t="str">
        <f t="shared" si="94"/>
        <v/>
      </c>
      <c r="V359" s="314">
        <f>SUM('RES. CENTRAL PARK:RUA_FINAL'!N359)</f>
        <v>0</v>
      </c>
      <c r="W359" s="315">
        <f t="shared" si="95"/>
        <v>0</v>
      </c>
    </row>
    <row r="360" spans="1:23" ht="15" hidden="1" customHeight="1" x14ac:dyDescent="0.2">
      <c r="A360" s="63">
        <v>570310</v>
      </c>
      <c r="B360" s="999" t="s">
        <v>1764</v>
      </c>
      <c r="C360" s="1000" t="s">
        <v>184</v>
      </c>
      <c r="D360" s="1019" t="s">
        <v>770</v>
      </c>
      <c r="E360" s="974" t="s">
        <v>569</v>
      </c>
      <c r="F360" s="975">
        <v>0.04</v>
      </c>
      <c r="G360" s="976">
        <f>SUM(G361:G364)</f>
        <v>36.972230000000003</v>
      </c>
      <c r="H360" s="977">
        <v>158.85</v>
      </c>
      <c r="I360" s="977">
        <f>IF(ISBLANK(H360),"",SUM(G360:H360))</f>
        <v>195.82222999999999</v>
      </c>
      <c r="J360" s="978">
        <f t="shared" si="99"/>
        <v>235.12</v>
      </c>
      <c r="K360" s="979" t="s">
        <v>14</v>
      </c>
      <c r="L360" s="980">
        <f>ROUND(SUM('RES. CENTRAL PARK:RUA_FINAL'!L360),2)</f>
        <v>0</v>
      </c>
      <c r="M360" s="981">
        <f t="shared" si="90"/>
        <v>0</v>
      </c>
      <c r="N360" s="982">
        <f t="shared" si="91"/>
        <v>0</v>
      </c>
      <c r="O360" s="905"/>
      <c r="Q360" s="317" t="str">
        <f t="shared" si="92"/>
        <v/>
      </c>
      <c r="R360" s="317" t="str">
        <f t="shared" si="93"/>
        <v/>
      </c>
      <c r="S360" s="317" t="str">
        <f t="shared" si="94"/>
        <v/>
      </c>
      <c r="V360" s="314">
        <f>SUM('RES. CENTRAL PARK:RUA_FINAL'!N360)</f>
        <v>0</v>
      </c>
      <c r="W360" s="315">
        <f t="shared" si="95"/>
        <v>0</v>
      </c>
    </row>
    <row r="361" spans="1:23" ht="15" hidden="1" customHeight="1" x14ac:dyDescent="0.2">
      <c r="A361" s="63" t="s">
        <v>147</v>
      </c>
      <c r="B361" s="895" t="s">
        <v>147</v>
      </c>
      <c r="C361" s="896"/>
      <c r="D361" s="957" t="s">
        <v>229</v>
      </c>
      <c r="E361" s="907">
        <f>DMT!$F$42</f>
        <v>150</v>
      </c>
      <c r="F361" s="908">
        <v>0</v>
      </c>
      <c r="G361" s="949">
        <f t="shared" ref="G361:G363" si="100">IF(E361&lt;=30,(1.07*E361+2.68)*F361,((1.07*30+2.68)+1.07*(E361-30))*F361)</f>
        <v>0</v>
      </c>
      <c r="H361" s="901">
        <v>0</v>
      </c>
      <c r="I361" s="901"/>
      <c r="J361" s="902">
        <v>0</v>
      </c>
      <c r="K361" s="903" t="s">
        <v>507</v>
      </c>
      <c r="L361" s="1003">
        <f>ROUND(SUM('RES. CENTRAL PARK:RUA_FINAL'!L361),2)</f>
        <v>0</v>
      </c>
      <c r="M361" s="960">
        <f t="shared" si="90"/>
        <v>0</v>
      </c>
      <c r="N361" s="893">
        <f t="shared" si="91"/>
        <v>0</v>
      </c>
      <c r="O361" s="905"/>
      <c r="P361" s="58" t="str">
        <f>IF(N360&gt;0,"xx",IF(N360&gt;0,"xy",""))</f>
        <v/>
      </c>
      <c r="Q361" s="317" t="str">
        <f t="shared" si="92"/>
        <v/>
      </c>
      <c r="R361" s="317" t="str">
        <f t="shared" si="93"/>
        <v/>
      </c>
      <c r="S361" s="317" t="str">
        <f t="shared" si="94"/>
        <v/>
      </c>
      <c r="V361" s="314">
        <f>SUM('RES. CENTRAL PARK:RUA_FINAL'!N361)</f>
        <v>0</v>
      </c>
      <c r="W361" s="315">
        <f t="shared" si="95"/>
        <v>0</v>
      </c>
    </row>
    <row r="362" spans="1:23" ht="15" hidden="1" customHeight="1" x14ac:dyDescent="0.2">
      <c r="A362" s="63" t="s">
        <v>147</v>
      </c>
      <c r="B362" s="895" t="s">
        <v>147</v>
      </c>
      <c r="C362" s="896"/>
      <c r="D362" s="957" t="s">
        <v>230</v>
      </c>
      <c r="E362" s="907">
        <f>DMT!$D$46</f>
        <v>353</v>
      </c>
      <c r="F362" s="908">
        <v>1.4999999999999999E-2</v>
      </c>
      <c r="G362" s="909">
        <f>IF(E362&lt;=30,(0.78*E362+7.82)*F362,((0.78*30+7.82)+0.78*(E362-30))*F362)</f>
        <v>4.2473999999999998</v>
      </c>
      <c r="H362" s="901">
        <v>0</v>
      </c>
      <c r="I362" s="901"/>
      <c r="J362" s="902">
        <v>0</v>
      </c>
      <c r="K362" s="903" t="s">
        <v>507</v>
      </c>
      <c r="L362" s="1003">
        <f>ROUND(SUM('RES. CENTRAL PARK:RUA_FINAL'!L362),2)</f>
        <v>0</v>
      </c>
      <c r="M362" s="960">
        <f t="shared" si="90"/>
        <v>0</v>
      </c>
      <c r="N362" s="893">
        <f t="shared" si="91"/>
        <v>0</v>
      </c>
      <c r="O362" s="905"/>
      <c r="P362" s="58" t="str">
        <f>IF(N360&gt;0,"xx",IF(N360&gt;0,"xy",""))</f>
        <v/>
      </c>
      <c r="Q362" s="317" t="str">
        <f t="shared" si="92"/>
        <v/>
      </c>
      <c r="R362" s="317" t="str">
        <f t="shared" si="93"/>
        <v/>
      </c>
      <c r="S362" s="317" t="str">
        <f t="shared" si="94"/>
        <v/>
      </c>
      <c r="V362" s="314">
        <f>SUM('RES. CENTRAL PARK:RUA_FINAL'!N362)</f>
        <v>0</v>
      </c>
      <c r="W362" s="315">
        <f t="shared" si="95"/>
        <v>0</v>
      </c>
    </row>
    <row r="363" spans="1:23" ht="15" hidden="1" customHeight="1" x14ac:dyDescent="0.2">
      <c r="A363" s="63" t="s">
        <v>147</v>
      </c>
      <c r="B363" s="895" t="s">
        <v>147</v>
      </c>
      <c r="C363" s="896"/>
      <c r="D363" s="957" t="s">
        <v>243</v>
      </c>
      <c r="E363" s="907">
        <f>DMT!$F$43</f>
        <v>0.2</v>
      </c>
      <c r="F363" s="908">
        <v>0.94499999999999995</v>
      </c>
      <c r="G363" s="949">
        <f t="shared" si="100"/>
        <v>2.7348300000000001</v>
      </c>
      <c r="H363" s="901">
        <v>0</v>
      </c>
      <c r="I363" s="901"/>
      <c r="J363" s="902">
        <v>0</v>
      </c>
      <c r="K363" s="903" t="s">
        <v>507</v>
      </c>
      <c r="L363" s="1003">
        <f>ROUND(SUM('RES. CENTRAL PARK:RUA_FINAL'!L363),2)</f>
        <v>0</v>
      </c>
      <c r="M363" s="960">
        <f t="shared" si="90"/>
        <v>0</v>
      </c>
      <c r="N363" s="893">
        <f t="shared" si="91"/>
        <v>0</v>
      </c>
      <c r="O363" s="905"/>
      <c r="P363" s="58" t="str">
        <f>IF(N360&gt;0,"xx",IF(N360&gt;0,"xy",""))</f>
        <v/>
      </c>
      <c r="Q363" s="317" t="str">
        <f t="shared" si="92"/>
        <v/>
      </c>
      <c r="R363" s="317" t="str">
        <f t="shared" si="93"/>
        <v/>
      </c>
      <c r="S363" s="317" t="str">
        <f t="shared" si="94"/>
        <v/>
      </c>
      <c r="V363" s="314">
        <f>SUM('RES. CENTRAL PARK:RUA_FINAL'!N363)</f>
        <v>0</v>
      </c>
      <c r="W363" s="315">
        <f t="shared" si="95"/>
        <v>0</v>
      </c>
    </row>
    <row r="364" spans="1:23" ht="15" hidden="1" customHeight="1" x14ac:dyDescent="0.2">
      <c r="A364" s="63" t="s">
        <v>147</v>
      </c>
      <c r="B364" s="895" t="s">
        <v>147</v>
      </c>
      <c r="C364" s="896"/>
      <c r="D364" s="957" t="s">
        <v>244</v>
      </c>
      <c r="E364" s="907">
        <f>DMT!$F$28</f>
        <v>22</v>
      </c>
      <c r="F364" s="908">
        <f>SUM(F360:F363)</f>
        <v>1</v>
      </c>
      <c r="G364" s="912">
        <f>IF(E364&lt;=30,(1.07*E364+6.45)*F364,((1.07*30+6.45)+1.07*(E364-30))*F364)</f>
        <v>29.990000000000002</v>
      </c>
      <c r="H364" s="901">
        <v>0</v>
      </c>
      <c r="I364" s="901"/>
      <c r="J364" s="902">
        <v>0</v>
      </c>
      <c r="K364" s="903" t="s">
        <v>507</v>
      </c>
      <c r="L364" s="1003">
        <f>ROUND(SUM('RES. CENTRAL PARK:RUA_FINAL'!L364),2)</f>
        <v>0</v>
      </c>
      <c r="M364" s="960">
        <f t="shared" si="90"/>
        <v>0</v>
      </c>
      <c r="N364" s="893">
        <f t="shared" si="91"/>
        <v>0</v>
      </c>
      <c r="O364" s="905"/>
      <c r="P364" s="58" t="str">
        <f>IF(N360&gt;0,"xx",IF(N360&gt;0,"xy",""))</f>
        <v/>
      </c>
      <c r="Q364" s="317" t="str">
        <f t="shared" si="92"/>
        <v/>
      </c>
      <c r="R364" s="317" t="str">
        <f t="shared" si="93"/>
        <v/>
      </c>
      <c r="S364" s="317" t="str">
        <f t="shared" si="94"/>
        <v/>
      </c>
      <c r="V364" s="314">
        <f>SUM('RES. CENTRAL PARK:RUA_FINAL'!N364)</f>
        <v>0</v>
      </c>
      <c r="W364" s="315">
        <f t="shared" si="95"/>
        <v>0</v>
      </c>
    </row>
    <row r="365" spans="1:23" ht="15" hidden="1" customHeight="1" thickBot="1" x14ac:dyDescent="0.25">
      <c r="A365" s="63">
        <v>589000</v>
      </c>
      <c r="B365" s="1004" t="s">
        <v>710</v>
      </c>
      <c r="C365" s="984" t="s">
        <v>213</v>
      </c>
      <c r="D365" s="1012" t="s">
        <v>2177</v>
      </c>
      <c r="E365" s="1020">
        <f>DMT!$D$45</f>
        <v>45</v>
      </c>
      <c r="F365" s="1006">
        <v>1</v>
      </c>
      <c r="G365" s="949">
        <f>(0.94*E365+46.06)*F365</f>
        <v>88.36</v>
      </c>
      <c r="H365" s="988">
        <v>4828.8599999999997</v>
      </c>
      <c r="I365" s="988">
        <f>IF(ISBLANK(H365),"",H365*(1+$E$9)/(1+$E$10))+G365</f>
        <v>4724.580378112767</v>
      </c>
      <c r="J365" s="989">
        <f t="shared" si="99"/>
        <v>5672.8</v>
      </c>
      <c r="K365" s="990" t="s">
        <v>14</v>
      </c>
      <c r="L365" s="991">
        <f>ROUND(SUM('RES. CENTRAL PARK:RUA_FINAL'!L365),2)</f>
        <v>0</v>
      </c>
      <c r="M365" s="1013">
        <f t="shared" si="90"/>
        <v>0</v>
      </c>
      <c r="N365" s="993">
        <f t="shared" si="91"/>
        <v>0</v>
      </c>
      <c r="O365" s="905"/>
      <c r="P365" s="58" t="str">
        <f>IF(N360&gt;0,"xx",IF(N360&gt;0,"xy",""))</f>
        <v/>
      </c>
      <c r="Q365" s="317" t="str">
        <f t="shared" si="92"/>
        <v/>
      </c>
      <c r="R365" s="317" t="str">
        <f t="shared" si="93"/>
        <v/>
      </c>
      <c r="S365" s="317" t="str">
        <f t="shared" si="94"/>
        <v/>
      </c>
      <c r="V365" s="314">
        <f>SUM('RES. CENTRAL PARK:RUA_FINAL'!N365)</f>
        <v>0</v>
      </c>
      <c r="W365" s="315">
        <f t="shared" si="95"/>
        <v>0</v>
      </c>
    </row>
    <row r="366" spans="1:23" ht="15" hidden="1" customHeight="1" x14ac:dyDescent="0.2">
      <c r="A366" s="63">
        <v>570140</v>
      </c>
      <c r="B366" s="999">
        <v>570140</v>
      </c>
      <c r="C366" s="1000" t="s">
        <v>184</v>
      </c>
      <c r="D366" s="1019" t="s">
        <v>597</v>
      </c>
      <c r="E366" s="974" t="s">
        <v>569</v>
      </c>
      <c r="F366" s="975">
        <v>0.05</v>
      </c>
      <c r="G366" s="976">
        <f>SUM(G367:G370)</f>
        <v>53.140143399999999</v>
      </c>
      <c r="H366" s="977">
        <v>281.31</v>
      </c>
      <c r="I366" s="977">
        <f>IF(ISBLANK(H366),"",SUM(G366:H366))</f>
        <v>334.4501434</v>
      </c>
      <c r="J366" s="978">
        <f t="shared" si="99"/>
        <v>401.57</v>
      </c>
      <c r="K366" s="979" t="s">
        <v>14</v>
      </c>
      <c r="L366" s="980">
        <f>ROUND(SUM('RES. CENTRAL PARK:RUA_FINAL'!L366),2)</f>
        <v>0</v>
      </c>
      <c r="M366" s="981">
        <f t="shared" si="90"/>
        <v>0</v>
      </c>
      <c r="N366" s="982">
        <f t="shared" si="91"/>
        <v>0</v>
      </c>
      <c r="O366" s="905"/>
      <c r="Q366" s="317" t="str">
        <f t="shared" si="92"/>
        <v/>
      </c>
      <c r="R366" s="317" t="str">
        <f t="shared" si="93"/>
        <v/>
      </c>
      <c r="S366" s="317" t="str">
        <f t="shared" si="94"/>
        <v/>
      </c>
      <c r="V366" s="314">
        <f>SUM('RES. CENTRAL PARK:RUA_FINAL'!N366)</f>
        <v>0</v>
      </c>
      <c r="W366" s="315">
        <f t="shared" si="95"/>
        <v>0</v>
      </c>
    </row>
    <row r="367" spans="1:23" ht="15" hidden="1" customHeight="1" x14ac:dyDescent="0.2">
      <c r="A367" s="63" t="s">
        <v>147</v>
      </c>
      <c r="B367" s="895" t="s">
        <v>147</v>
      </c>
      <c r="C367" s="896"/>
      <c r="D367" s="957" t="s">
        <v>229</v>
      </c>
      <c r="E367" s="907">
        <f>DMT!$F$42</f>
        <v>150</v>
      </c>
      <c r="F367" s="908">
        <v>0.1007</v>
      </c>
      <c r="G367" s="949">
        <f t="shared" ref="G367:G369" si="101">IF(E367&lt;=30,(1.07*E367+2.68)*F367,((1.07*30+2.68)+1.07*(E367-30))*F367)</f>
        <v>16.432226</v>
      </c>
      <c r="H367" s="901">
        <v>0</v>
      </c>
      <c r="I367" s="901"/>
      <c r="J367" s="902">
        <v>0</v>
      </c>
      <c r="K367" s="958" t="s">
        <v>507</v>
      </c>
      <c r="L367" s="1003">
        <f>ROUND(SUM('RES. CENTRAL PARK:RUA_FINAL'!L367),2)</f>
        <v>0</v>
      </c>
      <c r="M367" s="960">
        <f t="shared" si="90"/>
        <v>0</v>
      </c>
      <c r="N367" s="893">
        <f t="shared" si="91"/>
        <v>0</v>
      </c>
      <c r="O367" s="905"/>
      <c r="P367" s="58" t="str">
        <f>IF(N366&gt;0,"xx",IF(N366&gt;0,"xy",""))</f>
        <v/>
      </c>
      <c r="Q367" s="317" t="str">
        <f t="shared" si="92"/>
        <v/>
      </c>
      <c r="R367" s="317" t="str">
        <f t="shared" si="93"/>
        <v/>
      </c>
      <c r="S367" s="317" t="str">
        <f t="shared" si="94"/>
        <v/>
      </c>
      <c r="V367" s="314">
        <f>SUM('RES. CENTRAL PARK:RUA_FINAL'!N367)</f>
        <v>0</v>
      </c>
      <c r="W367" s="315">
        <f t="shared" si="95"/>
        <v>0</v>
      </c>
    </row>
    <row r="368" spans="1:23" ht="15" hidden="1" customHeight="1" x14ac:dyDescent="0.2">
      <c r="A368" s="63" t="s">
        <v>147</v>
      </c>
      <c r="B368" s="895" t="s">
        <v>147</v>
      </c>
      <c r="C368" s="896"/>
      <c r="D368" s="957" t="s">
        <v>230</v>
      </c>
      <c r="E368" s="907">
        <f>DMT!$D$46</f>
        <v>353</v>
      </c>
      <c r="F368" s="908">
        <v>1.52E-2</v>
      </c>
      <c r="G368" s="909">
        <f>IF(E368&lt;=30,(0.78*E368+7.82)*F368,((0.78*30+7.82)+0.78*(E368-30))*F368)</f>
        <v>4.3040320000000003</v>
      </c>
      <c r="H368" s="901">
        <v>0</v>
      </c>
      <c r="I368" s="901"/>
      <c r="J368" s="902">
        <v>0</v>
      </c>
      <c r="K368" s="958" t="s">
        <v>507</v>
      </c>
      <c r="L368" s="1003">
        <f>ROUND(SUM('RES. CENTRAL PARK:RUA_FINAL'!L368),2)</f>
        <v>0</v>
      </c>
      <c r="M368" s="960">
        <f t="shared" si="90"/>
        <v>0</v>
      </c>
      <c r="N368" s="893">
        <f t="shared" si="91"/>
        <v>0</v>
      </c>
      <c r="O368" s="905"/>
      <c r="P368" s="58" t="str">
        <f>IF(N366&gt;0,"xx",IF(N366&gt;0,"xy",""))</f>
        <v/>
      </c>
      <c r="Q368" s="317" t="str">
        <f t="shared" si="92"/>
        <v/>
      </c>
      <c r="R368" s="317" t="str">
        <f t="shared" si="93"/>
        <v/>
      </c>
      <c r="S368" s="317" t="str">
        <f t="shared" si="94"/>
        <v/>
      </c>
      <c r="V368" s="314">
        <f>SUM('RES. CENTRAL PARK:RUA_FINAL'!N368)</f>
        <v>0</v>
      </c>
      <c r="W368" s="315">
        <f t="shared" si="95"/>
        <v>0</v>
      </c>
    </row>
    <row r="369" spans="1:23" ht="15" hidden="1" customHeight="1" x14ac:dyDescent="0.2">
      <c r="A369" s="63" t="s">
        <v>147</v>
      </c>
      <c r="B369" s="895" t="s">
        <v>147</v>
      </c>
      <c r="C369" s="896"/>
      <c r="D369" s="957" t="s">
        <v>243</v>
      </c>
      <c r="E369" s="907">
        <f>DMT!$F$43</f>
        <v>0.2</v>
      </c>
      <c r="F369" s="908">
        <v>0.83409999999999995</v>
      </c>
      <c r="G369" s="949">
        <f t="shared" si="101"/>
        <v>2.4138853999999998</v>
      </c>
      <c r="H369" s="901">
        <v>0</v>
      </c>
      <c r="I369" s="901"/>
      <c r="J369" s="902">
        <v>0</v>
      </c>
      <c r="K369" s="958" t="s">
        <v>507</v>
      </c>
      <c r="L369" s="1003">
        <f>ROUND(SUM('RES. CENTRAL PARK:RUA_FINAL'!L369),2)</f>
        <v>0</v>
      </c>
      <c r="M369" s="960">
        <f t="shared" si="90"/>
        <v>0</v>
      </c>
      <c r="N369" s="893">
        <f t="shared" si="91"/>
        <v>0</v>
      </c>
      <c r="O369" s="905"/>
      <c r="P369" s="58" t="str">
        <f>IF(N366&gt;0,"xx",IF(N366&gt;0,"xy",""))</f>
        <v/>
      </c>
      <c r="Q369" s="317" t="str">
        <f t="shared" si="92"/>
        <v/>
      </c>
      <c r="R369" s="317" t="str">
        <f t="shared" si="93"/>
        <v/>
      </c>
      <c r="S369" s="317" t="str">
        <f t="shared" si="94"/>
        <v/>
      </c>
      <c r="V369" s="314">
        <f>SUM('RES. CENTRAL PARK:RUA_FINAL'!N369)</f>
        <v>0</v>
      </c>
      <c r="W369" s="315">
        <f t="shared" si="95"/>
        <v>0</v>
      </c>
    </row>
    <row r="370" spans="1:23" ht="15" hidden="1" customHeight="1" x14ac:dyDescent="0.2">
      <c r="A370" s="63" t="s">
        <v>147</v>
      </c>
      <c r="B370" s="895" t="s">
        <v>147</v>
      </c>
      <c r="C370" s="896"/>
      <c r="D370" s="957" t="s">
        <v>244</v>
      </c>
      <c r="E370" s="907">
        <f>DMT!$F$28</f>
        <v>22</v>
      </c>
      <c r="F370" s="908">
        <f>SUM(F366:F369)</f>
        <v>1</v>
      </c>
      <c r="G370" s="912">
        <f>IF(E370&lt;=30,(1.07*E370+6.45)*F370,((1.07*30+6.45)+1.07*(E370-30))*F370)</f>
        <v>29.990000000000002</v>
      </c>
      <c r="H370" s="901">
        <v>0</v>
      </c>
      <c r="I370" s="901"/>
      <c r="J370" s="902">
        <v>0</v>
      </c>
      <c r="K370" s="958" t="s">
        <v>507</v>
      </c>
      <c r="L370" s="1003">
        <f>ROUND(SUM('RES. CENTRAL PARK:RUA_FINAL'!L370),2)</f>
        <v>0</v>
      </c>
      <c r="M370" s="960">
        <f t="shared" si="90"/>
        <v>0</v>
      </c>
      <c r="N370" s="893">
        <f t="shared" si="91"/>
        <v>0</v>
      </c>
      <c r="O370" s="905"/>
      <c r="P370" s="58" t="str">
        <f>IF(N366&gt;0,"xx",IF(N366&gt;0,"xy",""))</f>
        <v/>
      </c>
      <c r="Q370" s="317" t="str">
        <f t="shared" si="92"/>
        <v/>
      </c>
      <c r="R370" s="317" t="str">
        <f t="shared" si="93"/>
        <v/>
      </c>
      <c r="S370" s="317" t="str">
        <f t="shared" si="94"/>
        <v/>
      </c>
      <c r="V370" s="314">
        <f>SUM('RES. CENTRAL PARK:RUA_FINAL'!N370)</f>
        <v>0</v>
      </c>
      <c r="W370" s="315">
        <f t="shared" si="95"/>
        <v>0</v>
      </c>
    </row>
    <row r="371" spans="1:23" ht="15" hidden="1" customHeight="1" thickBot="1" x14ac:dyDescent="0.25">
      <c r="A371" s="63">
        <v>589000</v>
      </c>
      <c r="B371" s="1004" t="s">
        <v>711</v>
      </c>
      <c r="C371" s="984" t="s">
        <v>213</v>
      </c>
      <c r="D371" s="1012" t="s">
        <v>2172</v>
      </c>
      <c r="E371" s="1020">
        <f>DMT!$D$45</f>
        <v>45</v>
      </c>
      <c r="F371" s="1006">
        <v>1</v>
      </c>
      <c r="G371" s="949">
        <f>(0.94*E371+46.06)*F371</f>
        <v>88.36</v>
      </c>
      <c r="H371" s="988">
        <v>4828.8599999999997</v>
      </c>
      <c r="I371" s="988">
        <f>IF(ISBLANK(H371),"",H371*(1+$E$9)/(1+$E$10))+G371</f>
        <v>4724.580378112767</v>
      </c>
      <c r="J371" s="989">
        <f t="shared" si="99"/>
        <v>5672.8</v>
      </c>
      <c r="K371" s="990" t="s">
        <v>14</v>
      </c>
      <c r="L371" s="991">
        <f>ROUND(SUM('RES. CENTRAL PARK:RUA_FINAL'!L371),2)</f>
        <v>0</v>
      </c>
      <c r="M371" s="1013">
        <f t="shared" si="90"/>
        <v>0</v>
      </c>
      <c r="N371" s="993">
        <f t="shared" si="91"/>
        <v>0</v>
      </c>
      <c r="O371" s="905"/>
      <c r="P371" s="58" t="str">
        <f>IF(N366&gt;0,"xx",IF(N366&gt;0,"xy",""))</f>
        <v/>
      </c>
      <c r="Q371" s="317" t="str">
        <f t="shared" si="92"/>
        <v/>
      </c>
      <c r="R371" s="317" t="str">
        <f t="shared" si="93"/>
        <v/>
      </c>
      <c r="S371" s="317" t="str">
        <f t="shared" si="94"/>
        <v/>
      </c>
      <c r="V371" s="314">
        <f>SUM('RES. CENTRAL PARK:RUA_FINAL'!N371)</f>
        <v>0</v>
      </c>
      <c r="W371" s="315">
        <f t="shared" si="95"/>
        <v>0</v>
      </c>
    </row>
    <row r="372" spans="1:23" ht="15" hidden="1" customHeight="1" x14ac:dyDescent="0.2">
      <c r="A372" s="63">
        <v>570170</v>
      </c>
      <c r="B372" s="999">
        <v>570170</v>
      </c>
      <c r="C372" s="1000" t="s">
        <v>184</v>
      </c>
      <c r="D372" s="1019" t="s">
        <v>2012</v>
      </c>
      <c r="E372" s="974" t="s">
        <v>569</v>
      </c>
      <c r="F372" s="975">
        <v>0.05</v>
      </c>
      <c r="G372" s="976">
        <f>SUM(G373:G376)</f>
        <v>53.140143399999999</v>
      </c>
      <c r="H372" s="977">
        <v>209.01</v>
      </c>
      <c r="I372" s="977">
        <f>IF(ISBLANK(H372),"",SUM(G372:H372))</f>
        <v>262.15014339999999</v>
      </c>
      <c r="J372" s="978">
        <f t="shared" si="99"/>
        <v>314.76</v>
      </c>
      <c r="K372" s="979" t="s">
        <v>14</v>
      </c>
      <c r="L372" s="980">
        <f>ROUND(SUM('RES. CENTRAL PARK:RUA_FINAL'!L372),2)</f>
        <v>0</v>
      </c>
      <c r="M372" s="981">
        <f t="shared" si="90"/>
        <v>0</v>
      </c>
      <c r="N372" s="982">
        <f t="shared" si="91"/>
        <v>0</v>
      </c>
      <c r="O372" s="905"/>
      <c r="Q372" s="317" t="str">
        <f t="shared" si="92"/>
        <v/>
      </c>
      <c r="R372" s="317" t="str">
        <f t="shared" si="93"/>
        <v/>
      </c>
      <c r="S372" s="317" t="str">
        <f t="shared" si="94"/>
        <v/>
      </c>
      <c r="V372" s="314">
        <f>SUM('RES. CENTRAL PARK:RUA_FINAL'!N372)</f>
        <v>0</v>
      </c>
      <c r="W372" s="315">
        <f t="shared" si="95"/>
        <v>0</v>
      </c>
    </row>
    <row r="373" spans="1:23" ht="15" hidden="1" customHeight="1" x14ac:dyDescent="0.2">
      <c r="A373" s="63" t="s">
        <v>147</v>
      </c>
      <c r="B373" s="895" t="s">
        <v>147</v>
      </c>
      <c r="C373" s="896"/>
      <c r="D373" s="957" t="s">
        <v>229</v>
      </c>
      <c r="E373" s="907">
        <f>DMT!$F$42</f>
        <v>150</v>
      </c>
      <c r="F373" s="908">
        <v>0.1007</v>
      </c>
      <c r="G373" s="949">
        <f t="shared" ref="G373:G375" si="102">IF(E373&lt;=30,(1.07*E373+2.68)*F373,((1.07*30+2.68)+1.07*(E373-30))*F373)</f>
        <v>16.432226</v>
      </c>
      <c r="H373" s="901">
        <v>0</v>
      </c>
      <c r="I373" s="901"/>
      <c r="J373" s="902">
        <v>0</v>
      </c>
      <c r="K373" s="958" t="s">
        <v>507</v>
      </c>
      <c r="L373" s="1003">
        <f>ROUND(SUM('RES. CENTRAL PARK:RUA_FINAL'!L373),2)</f>
        <v>0</v>
      </c>
      <c r="M373" s="960">
        <f t="shared" si="90"/>
        <v>0</v>
      </c>
      <c r="N373" s="893">
        <f t="shared" si="91"/>
        <v>0</v>
      </c>
      <c r="O373" s="905"/>
      <c r="P373" s="58" t="str">
        <f>IF(N372&gt;0,"xx",IF(N372&gt;0,"xy",""))</f>
        <v/>
      </c>
      <c r="Q373" s="317" t="str">
        <f t="shared" si="92"/>
        <v/>
      </c>
      <c r="R373" s="317" t="str">
        <f t="shared" si="93"/>
        <v/>
      </c>
      <c r="S373" s="317" t="str">
        <f t="shared" si="94"/>
        <v/>
      </c>
      <c r="V373" s="314">
        <f>SUM('RES. CENTRAL PARK:RUA_FINAL'!N373)</f>
        <v>0</v>
      </c>
      <c r="W373" s="315">
        <f t="shared" si="95"/>
        <v>0</v>
      </c>
    </row>
    <row r="374" spans="1:23" ht="15" hidden="1" customHeight="1" x14ac:dyDescent="0.2">
      <c r="A374" s="63" t="s">
        <v>147</v>
      </c>
      <c r="B374" s="895" t="s">
        <v>147</v>
      </c>
      <c r="C374" s="896"/>
      <c r="D374" s="957" t="s">
        <v>230</v>
      </c>
      <c r="E374" s="907">
        <f>DMT!$D$46</f>
        <v>353</v>
      </c>
      <c r="F374" s="908">
        <v>1.52E-2</v>
      </c>
      <c r="G374" s="909">
        <f>IF(E374&lt;=30,(0.78*E374+7.82)*F374,((0.78*30+7.82)+0.78*(E374-30))*F374)</f>
        <v>4.3040320000000003</v>
      </c>
      <c r="H374" s="901">
        <v>0</v>
      </c>
      <c r="I374" s="901"/>
      <c r="J374" s="902">
        <v>0</v>
      </c>
      <c r="K374" s="958" t="s">
        <v>507</v>
      </c>
      <c r="L374" s="1003">
        <f>ROUND(SUM('RES. CENTRAL PARK:RUA_FINAL'!L374),2)</f>
        <v>0</v>
      </c>
      <c r="M374" s="960">
        <f t="shared" si="90"/>
        <v>0</v>
      </c>
      <c r="N374" s="893">
        <f t="shared" si="91"/>
        <v>0</v>
      </c>
      <c r="O374" s="905"/>
      <c r="P374" s="58" t="str">
        <f>IF(N372&gt;0,"xx",IF(N372&gt;0,"xy",""))</f>
        <v/>
      </c>
      <c r="Q374" s="317" t="str">
        <f t="shared" si="92"/>
        <v/>
      </c>
      <c r="R374" s="317" t="str">
        <f t="shared" si="93"/>
        <v/>
      </c>
      <c r="S374" s="317" t="str">
        <f t="shared" si="94"/>
        <v/>
      </c>
      <c r="V374" s="314">
        <f>SUM('RES. CENTRAL PARK:RUA_FINAL'!N374)</f>
        <v>0</v>
      </c>
      <c r="W374" s="315">
        <f t="shared" si="95"/>
        <v>0</v>
      </c>
    </row>
    <row r="375" spans="1:23" ht="15" hidden="1" customHeight="1" x14ac:dyDescent="0.2">
      <c r="A375" s="63" t="s">
        <v>147</v>
      </c>
      <c r="B375" s="895" t="s">
        <v>147</v>
      </c>
      <c r="C375" s="896"/>
      <c r="D375" s="957" t="s">
        <v>243</v>
      </c>
      <c r="E375" s="907">
        <f>DMT!$F$43</f>
        <v>0.2</v>
      </c>
      <c r="F375" s="908">
        <v>0.83409999999999995</v>
      </c>
      <c r="G375" s="949">
        <f t="shared" si="102"/>
        <v>2.4138853999999998</v>
      </c>
      <c r="H375" s="901">
        <v>0</v>
      </c>
      <c r="I375" s="901"/>
      <c r="J375" s="902">
        <v>0</v>
      </c>
      <c r="K375" s="958" t="s">
        <v>507</v>
      </c>
      <c r="L375" s="1003">
        <f>ROUND(SUM('RES. CENTRAL PARK:RUA_FINAL'!L375),2)</f>
        <v>0</v>
      </c>
      <c r="M375" s="960">
        <f t="shared" si="90"/>
        <v>0</v>
      </c>
      <c r="N375" s="893">
        <f t="shared" si="91"/>
        <v>0</v>
      </c>
      <c r="O375" s="905"/>
      <c r="P375" s="58" t="str">
        <f>IF(N372&gt;0,"xx",IF(N372&gt;0,"xy",""))</f>
        <v/>
      </c>
      <c r="Q375" s="317" t="str">
        <f t="shared" si="92"/>
        <v/>
      </c>
      <c r="R375" s="317" t="str">
        <f t="shared" si="93"/>
        <v/>
      </c>
      <c r="S375" s="317" t="str">
        <f t="shared" si="94"/>
        <v/>
      </c>
      <c r="V375" s="314">
        <f>SUM('RES. CENTRAL PARK:RUA_FINAL'!N375)</f>
        <v>0</v>
      </c>
      <c r="W375" s="315">
        <f t="shared" si="95"/>
        <v>0</v>
      </c>
    </row>
    <row r="376" spans="1:23" ht="15" hidden="1" customHeight="1" x14ac:dyDescent="0.2">
      <c r="A376" s="63" t="s">
        <v>147</v>
      </c>
      <c r="B376" s="895" t="s">
        <v>147</v>
      </c>
      <c r="C376" s="896"/>
      <c r="D376" s="957" t="s">
        <v>244</v>
      </c>
      <c r="E376" s="907">
        <f>DMT!$F$28</f>
        <v>22</v>
      </c>
      <c r="F376" s="908">
        <f>SUM(F372:F375)</f>
        <v>1</v>
      </c>
      <c r="G376" s="912">
        <f>IF(E376&lt;=30,(1.07*E376+6.45)*F376,((1.07*30+6.45)+1.07*(E376-30))*F376)</f>
        <v>29.990000000000002</v>
      </c>
      <c r="H376" s="901">
        <v>0</v>
      </c>
      <c r="I376" s="901"/>
      <c r="J376" s="902">
        <v>0</v>
      </c>
      <c r="K376" s="958" t="s">
        <v>507</v>
      </c>
      <c r="L376" s="1003">
        <f>ROUND(SUM('RES. CENTRAL PARK:RUA_FINAL'!L376),2)</f>
        <v>0</v>
      </c>
      <c r="M376" s="960">
        <f t="shared" si="90"/>
        <v>0</v>
      </c>
      <c r="N376" s="893">
        <f t="shared" si="91"/>
        <v>0</v>
      </c>
      <c r="O376" s="905"/>
      <c r="P376" s="58" t="str">
        <f>IF(N372&gt;0,"xx",IF(N372&gt;0,"xy",""))</f>
        <v/>
      </c>
      <c r="Q376" s="317" t="str">
        <f t="shared" si="92"/>
        <v/>
      </c>
      <c r="R376" s="317" t="str">
        <f t="shared" si="93"/>
        <v/>
      </c>
      <c r="S376" s="317" t="str">
        <f t="shared" si="94"/>
        <v/>
      </c>
      <c r="V376" s="314">
        <f>SUM('RES. CENTRAL PARK:RUA_FINAL'!N376)</f>
        <v>0</v>
      </c>
      <c r="W376" s="315">
        <f t="shared" si="95"/>
        <v>0</v>
      </c>
    </row>
    <row r="377" spans="1:23" ht="15" hidden="1" customHeight="1" thickBot="1" x14ac:dyDescent="0.25">
      <c r="A377" s="63">
        <v>589000</v>
      </c>
      <c r="B377" s="1004" t="s">
        <v>712</v>
      </c>
      <c r="C377" s="984" t="s">
        <v>213</v>
      </c>
      <c r="D377" s="1012" t="s">
        <v>2172</v>
      </c>
      <c r="E377" s="1020">
        <f>DMT!$D$45</f>
        <v>45</v>
      </c>
      <c r="F377" s="1006">
        <v>1</v>
      </c>
      <c r="G377" s="949">
        <f>(0.94*E377+46.06)*F377</f>
        <v>88.36</v>
      </c>
      <c r="H377" s="988">
        <v>4828.8599999999997</v>
      </c>
      <c r="I377" s="988">
        <f>IF(ISBLANK(H377),"",H377*(1+$E$9)/(1+$E$10))+G377</f>
        <v>4724.580378112767</v>
      </c>
      <c r="J377" s="989">
        <f t="shared" si="99"/>
        <v>5672.8</v>
      </c>
      <c r="K377" s="990" t="s">
        <v>14</v>
      </c>
      <c r="L377" s="991">
        <f>ROUND(SUM('RES. CENTRAL PARK:RUA_FINAL'!L377),2)</f>
        <v>0</v>
      </c>
      <c r="M377" s="1013">
        <f t="shared" si="90"/>
        <v>0</v>
      </c>
      <c r="N377" s="993">
        <f t="shared" si="91"/>
        <v>0</v>
      </c>
      <c r="O377" s="905"/>
      <c r="P377" s="58" t="str">
        <f>IF(N372&gt;0,"xx",IF(N372&gt;0,"xy",""))</f>
        <v/>
      </c>
      <c r="Q377" s="317" t="str">
        <f t="shared" si="92"/>
        <v/>
      </c>
      <c r="R377" s="317" t="str">
        <f t="shared" si="93"/>
        <v/>
      </c>
      <c r="S377" s="317" t="str">
        <f t="shared" si="94"/>
        <v/>
      </c>
      <c r="V377" s="314">
        <f>SUM('RES. CENTRAL PARK:RUA_FINAL'!N377)</f>
        <v>0</v>
      </c>
      <c r="W377" s="315">
        <f t="shared" si="95"/>
        <v>0</v>
      </c>
    </row>
    <row r="378" spans="1:23" ht="15" hidden="1" customHeight="1" x14ac:dyDescent="0.2">
      <c r="A378" s="63">
        <v>570200</v>
      </c>
      <c r="B378" s="999">
        <v>570200</v>
      </c>
      <c r="C378" s="1000" t="s">
        <v>184</v>
      </c>
      <c r="D378" s="973" t="s">
        <v>2211</v>
      </c>
      <c r="E378" s="974" t="s">
        <v>569</v>
      </c>
      <c r="F378" s="975">
        <v>4.4999999999999998E-2</v>
      </c>
      <c r="G378" s="976">
        <f>SUM(G379:G382)</f>
        <v>35.158060000000006</v>
      </c>
      <c r="H378" s="977">
        <v>181.43</v>
      </c>
      <c r="I378" s="977">
        <f>IF(ISBLANK(H378),"",SUM(G378:H378))</f>
        <v>216.58806000000001</v>
      </c>
      <c r="J378" s="978">
        <f t="shared" si="99"/>
        <v>260.06</v>
      </c>
      <c r="K378" s="979" t="s">
        <v>14</v>
      </c>
      <c r="L378" s="980">
        <f>ROUND(SUM('RES. CENTRAL PARK:RUA_FINAL'!L378),2)</f>
        <v>0</v>
      </c>
      <c r="M378" s="981">
        <f t="shared" si="90"/>
        <v>0</v>
      </c>
      <c r="N378" s="982">
        <f t="shared" si="91"/>
        <v>0</v>
      </c>
      <c r="O378" s="905"/>
      <c r="Q378" s="317" t="str">
        <f t="shared" si="92"/>
        <v/>
      </c>
      <c r="R378" s="317" t="str">
        <f t="shared" si="93"/>
        <v/>
      </c>
      <c r="S378" s="317" t="str">
        <f t="shared" si="94"/>
        <v/>
      </c>
      <c r="V378" s="314">
        <f>SUM('RES. CENTRAL PARK:RUA_FINAL'!N378)</f>
        <v>0</v>
      </c>
      <c r="W378" s="315">
        <f t="shared" si="95"/>
        <v>0</v>
      </c>
    </row>
    <row r="379" spans="1:23" ht="15" hidden="1" customHeight="1" x14ac:dyDescent="0.2">
      <c r="A379" s="63" t="s">
        <v>147</v>
      </c>
      <c r="B379" s="895" t="s">
        <v>147</v>
      </c>
      <c r="C379" s="896"/>
      <c r="D379" s="957" t="s">
        <v>229</v>
      </c>
      <c r="E379" s="907">
        <f>DMT!$F$42</f>
        <v>150</v>
      </c>
      <c r="F379" s="908">
        <v>1.4999999999999999E-2</v>
      </c>
      <c r="G379" s="949">
        <f t="shared" ref="G379:G381" si="103">IF(E379&lt;=30,(1.07*E379+2.68)*F379,((1.07*30+2.68)+1.07*(E379-30))*F379)</f>
        <v>2.4477000000000002</v>
      </c>
      <c r="H379" s="901">
        <v>0</v>
      </c>
      <c r="I379" s="901"/>
      <c r="J379" s="902">
        <v>0</v>
      </c>
      <c r="K379" s="958" t="s">
        <v>507</v>
      </c>
      <c r="L379" s="1003">
        <f>ROUND(SUM('RES. CENTRAL PARK:RUA_FINAL'!L379),2)</f>
        <v>0</v>
      </c>
      <c r="M379" s="960">
        <f t="shared" si="90"/>
        <v>0</v>
      </c>
      <c r="N379" s="893">
        <f t="shared" si="91"/>
        <v>0</v>
      </c>
      <c r="O379" s="905"/>
      <c r="P379" s="58" t="str">
        <f>IF(N378&gt;0,"xx",IF(N378&gt;0,"xy",""))</f>
        <v/>
      </c>
      <c r="Q379" s="317" t="str">
        <f t="shared" si="92"/>
        <v/>
      </c>
      <c r="R379" s="317" t="str">
        <f t="shared" si="93"/>
        <v/>
      </c>
      <c r="S379" s="317" t="str">
        <f t="shared" si="94"/>
        <v/>
      </c>
      <c r="V379" s="314">
        <f>SUM('RES. CENTRAL PARK:RUA_FINAL'!N379)</f>
        <v>0</v>
      </c>
      <c r="W379" s="315">
        <f t="shared" si="95"/>
        <v>0</v>
      </c>
    </row>
    <row r="380" spans="1:23" ht="15" hidden="1" customHeight="1" x14ac:dyDescent="0.2">
      <c r="A380" s="63" t="s">
        <v>147</v>
      </c>
      <c r="B380" s="895" t="s">
        <v>147</v>
      </c>
      <c r="C380" s="896"/>
      <c r="D380" s="957" t="s">
        <v>230</v>
      </c>
      <c r="E380" s="907">
        <f>DMT!$D$46</f>
        <v>353</v>
      </c>
      <c r="F380" s="908"/>
      <c r="G380" s="909">
        <f>IF(E380&lt;=30,(0.78*E380+7.82)*F380,((0.78*30+7.82)+0.78*(E380-30))*F380)</f>
        <v>0</v>
      </c>
      <c r="H380" s="901">
        <v>0</v>
      </c>
      <c r="I380" s="901"/>
      <c r="J380" s="902">
        <v>0</v>
      </c>
      <c r="K380" s="958" t="s">
        <v>507</v>
      </c>
      <c r="L380" s="1003">
        <f>ROUND(SUM('RES. CENTRAL PARK:RUA_FINAL'!L380),2)</f>
        <v>0</v>
      </c>
      <c r="M380" s="960">
        <f t="shared" si="90"/>
        <v>0</v>
      </c>
      <c r="N380" s="893">
        <f t="shared" si="91"/>
        <v>0</v>
      </c>
      <c r="O380" s="905"/>
      <c r="P380" s="58" t="str">
        <f>IF(N378&gt;0,"xx",IF(N378&gt;0,"xy",""))</f>
        <v/>
      </c>
      <c r="Q380" s="317" t="str">
        <f t="shared" si="92"/>
        <v/>
      </c>
      <c r="R380" s="317" t="str">
        <f t="shared" si="93"/>
        <v/>
      </c>
      <c r="S380" s="317" t="str">
        <f t="shared" si="94"/>
        <v/>
      </c>
      <c r="V380" s="314">
        <f>SUM('RES. CENTRAL PARK:RUA_FINAL'!N380)</f>
        <v>0</v>
      </c>
      <c r="W380" s="315">
        <f t="shared" si="95"/>
        <v>0</v>
      </c>
    </row>
    <row r="381" spans="1:23" ht="15" hidden="1" customHeight="1" x14ac:dyDescent="0.2">
      <c r="A381" s="63" t="s">
        <v>147</v>
      </c>
      <c r="B381" s="895" t="s">
        <v>147</v>
      </c>
      <c r="C381" s="896"/>
      <c r="D381" s="957" t="s">
        <v>243</v>
      </c>
      <c r="E381" s="907">
        <f>DMT!$F$43</f>
        <v>0.2</v>
      </c>
      <c r="F381" s="908">
        <v>0.94</v>
      </c>
      <c r="G381" s="949">
        <f t="shared" si="103"/>
        <v>2.7203599999999999</v>
      </c>
      <c r="H381" s="901">
        <v>0</v>
      </c>
      <c r="I381" s="901"/>
      <c r="J381" s="902">
        <v>0</v>
      </c>
      <c r="K381" s="958" t="s">
        <v>507</v>
      </c>
      <c r="L381" s="1003">
        <f>ROUND(SUM('RES. CENTRAL PARK:RUA_FINAL'!L381),2)</f>
        <v>0</v>
      </c>
      <c r="M381" s="960">
        <f t="shared" si="90"/>
        <v>0</v>
      </c>
      <c r="N381" s="893">
        <f t="shared" si="91"/>
        <v>0</v>
      </c>
      <c r="O381" s="905"/>
      <c r="P381" s="58" t="str">
        <f>IF(N378&gt;0,"xx",IF(N378&gt;0,"xy",""))</f>
        <v/>
      </c>
      <c r="Q381" s="317" t="str">
        <f t="shared" si="92"/>
        <v/>
      </c>
      <c r="R381" s="317" t="str">
        <f t="shared" si="93"/>
        <v/>
      </c>
      <c r="S381" s="317" t="str">
        <f t="shared" si="94"/>
        <v/>
      </c>
      <c r="V381" s="314">
        <f>SUM('RES. CENTRAL PARK:RUA_FINAL'!N381)</f>
        <v>0</v>
      </c>
      <c r="W381" s="315">
        <f t="shared" si="95"/>
        <v>0</v>
      </c>
    </row>
    <row r="382" spans="1:23" ht="15" hidden="1" customHeight="1" x14ac:dyDescent="0.2">
      <c r="A382" s="63" t="s">
        <v>147</v>
      </c>
      <c r="B382" s="895" t="s">
        <v>147</v>
      </c>
      <c r="C382" s="896"/>
      <c r="D382" s="957" t="s">
        <v>244</v>
      </c>
      <c r="E382" s="907">
        <f>DMT!$F$28</f>
        <v>22</v>
      </c>
      <c r="F382" s="908">
        <f>SUM(F378:F381)</f>
        <v>1</v>
      </c>
      <c r="G382" s="912">
        <f>IF(E382&lt;=30,(1.07*E382+6.45)*F382,((1.07*30+6.45)+1.07*(E382-30))*F382)</f>
        <v>29.990000000000002</v>
      </c>
      <c r="H382" s="901">
        <v>0</v>
      </c>
      <c r="I382" s="901"/>
      <c r="J382" s="902">
        <v>0</v>
      </c>
      <c r="K382" s="958" t="s">
        <v>507</v>
      </c>
      <c r="L382" s="1003">
        <f>ROUND(SUM('RES. CENTRAL PARK:RUA_FINAL'!L382),2)</f>
        <v>0</v>
      </c>
      <c r="M382" s="960">
        <f t="shared" si="90"/>
        <v>0</v>
      </c>
      <c r="N382" s="893">
        <f t="shared" si="91"/>
        <v>0</v>
      </c>
      <c r="O382" s="905"/>
      <c r="P382" s="58" t="str">
        <f>IF(N378&gt;0,"xx",IF(N378&gt;0,"xy",""))</f>
        <v/>
      </c>
      <c r="Q382" s="317" t="str">
        <f t="shared" si="92"/>
        <v/>
      </c>
      <c r="R382" s="317" t="str">
        <f t="shared" si="93"/>
        <v/>
      </c>
      <c r="S382" s="317" t="str">
        <f t="shared" si="94"/>
        <v/>
      </c>
      <c r="V382" s="314">
        <f>SUM('RES. CENTRAL PARK:RUA_FINAL'!N382)</f>
        <v>0</v>
      </c>
      <c r="W382" s="315">
        <f t="shared" si="95"/>
        <v>0</v>
      </c>
    </row>
    <row r="383" spans="1:23" ht="15" hidden="1" customHeight="1" thickBot="1" x14ac:dyDescent="0.25">
      <c r="A383" s="63">
        <v>589000</v>
      </c>
      <c r="B383" s="1004" t="s">
        <v>713</v>
      </c>
      <c r="C383" s="984" t="s">
        <v>213</v>
      </c>
      <c r="D383" s="1012" t="s">
        <v>2172</v>
      </c>
      <c r="E383" s="1020">
        <f>DMT!$D$45</f>
        <v>45</v>
      </c>
      <c r="F383" s="1006">
        <v>1</v>
      </c>
      <c r="G383" s="949">
        <f>(0.94*E383+46.06)*F383</f>
        <v>88.36</v>
      </c>
      <c r="H383" s="988">
        <v>4828.8599999999997</v>
      </c>
      <c r="I383" s="988">
        <f>IF(ISBLANK(H383),"",H383*(1+$E$9)/(1+$E$10))+G383</f>
        <v>4724.580378112767</v>
      </c>
      <c r="J383" s="989">
        <f>IF(ISBLANK(H383),0,ROUND(I383*(1+$E$10),2))</f>
        <v>5672.8</v>
      </c>
      <c r="K383" s="990" t="s">
        <v>14</v>
      </c>
      <c r="L383" s="991">
        <f>ROUND(SUM('RES. CENTRAL PARK:RUA_FINAL'!L383),2)</f>
        <v>0</v>
      </c>
      <c r="M383" s="1013">
        <f t="shared" si="90"/>
        <v>0</v>
      </c>
      <c r="N383" s="993">
        <f t="shared" si="91"/>
        <v>0</v>
      </c>
      <c r="O383" s="905"/>
      <c r="P383" s="58" t="str">
        <f>IF(N378&gt;0,"xx",IF(N378&gt;0,"xy",""))</f>
        <v/>
      </c>
      <c r="Q383" s="317" t="str">
        <f t="shared" si="92"/>
        <v/>
      </c>
      <c r="R383" s="317" t="str">
        <f t="shared" si="93"/>
        <v/>
      </c>
      <c r="S383" s="317" t="str">
        <f t="shared" si="94"/>
        <v/>
      </c>
      <c r="V383" s="314">
        <f>SUM('RES. CENTRAL PARK:RUA_FINAL'!N383)</f>
        <v>0</v>
      </c>
      <c r="W383" s="315">
        <f t="shared" si="95"/>
        <v>0</v>
      </c>
    </row>
    <row r="384" spans="1:23" ht="15" hidden="1" customHeight="1" x14ac:dyDescent="0.2">
      <c r="A384" s="63">
        <v>570200</v>
      </c>
      <c r="B384" s="999">
        <v>570200</v>
      </c>
      <c r="C384" s="1000" t="s">
        <v>184</v>
      </c>
      <c r="D384" s="1021" t="str">
        <f>CONCATENATE("CBUQ - Novos Traços - ",Novos_Traços_CBUQ!C115," - novo traço (Quantidade menor que 10.000 ton)")</f>
        <v>CBUQ - Novos Traços - BINDER 2 - novo traço (Quantidade menor que 10.000 ton)</v>
      </c>
      <c r="E384" s="974" t="s">
        <v>569</v>
      </c>
      <c r="F384" s="1022">
        <f>Novos_Traços_CBUQ!C120</f>
        <v>4.3999999999999997E-2</v>
      </c>
      <c r="G384" s="976">
        <f>SUM(G385:G388)</f>
        <v>35.0487538</v>
      </c>
      <c r="H384" s="977">
        <v>181.43</v>
      </c>
      <c r="I384" s="977">
        <f>IF(ISBLANK(H384),"",SUM(G384:H384))</f>
        <v>216.47875379999999</v>
      </c>
      <c r="J384" s="978">
        <f t="shared" ref="J384" si="104">IF(ISBLANK(H384),0,ROUND(I384*(1+$E$10),2))</f>
        <v>259.93</v>
      </c>
      <c r="K384" s="979" t="s">
        <v>14</v>
      </c>
      <c r="L384" s="980">
        <f>ROUND(SUM('RES. CENTRAL PARK:RUA_FINAL'!L384),2)</f>
        <v>0</v>
      </c>
      <c r="M384" s="981">
        <f t="shared" ref="M384:M389" si="105">IF(L384=0,0,ROUND(J384,2))</f>
        <v>0</v>
      </c>
      <c r="N384" s="982">
        <f t="shared" ref="N384:N389" si="106">IF(ISBLANK(L384),0,ROUND(L384*M384,2))</f>
        <v>0</v>
      </c>
      <c r="O384" s="905"/>
      <c r="Q384" s="317" t="str">
        <f t="shared" ref="Q384:Q389" si="107">IF(P384="X","x",IF(P384="xx","x",IF(P384="xy","x",IF(P384="y","x",IF(OR(N384&gt;0,N384&gt;0),"x","")))))</f>
        <v/>
      </c>
      <c r="R384" s="317" t="str">
        <f t="shared" ref="R384:R389" si="108">IF(P384="X","x",IF(P384="y","x",IF(P384="xx","x",IF(N384&gt;0,"x",""))))</f>
        <v/>
      </c>
      <c r="S384" s="317" t="str">
        <f t="shared" ref="S384:S389" si="109">IF(P384="X","x",IF(N384&gt;0,"x",""))</f>
        <v/>
      </c>
      <c r="V384" s="314">
        <f>SUM('RES. CENTRAL PARK:RUA_FINAL'!N384)</f>
        <v>0</v>
      </c>
      <c r="W384" s="315">
        <f t="shared" si="95"/>
        <v>0</v>
      </c>
    </row>
    <row r="385" spans="1:23" ht="15" hidden="1" customHeight="1" x14ac:dyDescent="0.2">
      <c r="A385" s="63" t="s">
        <v>147</v>
      </c>
      <c r="B385" s="895" t="s">
        <v>147</v>
      </c>
      <c r="C385" s="896"/>
      <c r="D385" s="957" t="s">
        <v>229</v>
      </c>
      <c r="E385" s="907">
        <f>DMT!$F$42</f>
        <v>150</v>
      </c>
      <c r="F385" s="1287">
        <f>Novos_Traços_CBUQ!F139</f>
        <v>1.43E-2</v>
      </c>
      <c r="G385" s="949">
        <f t="shared" ref="G385" si="110">IF(E385&lt;=30,(1.07*E385+2.68)*F385,((1.07*30+2.68)+1.07*(E385-30))*F385)</f>
        <v>2.3334740000000003</v>
      </c>
      <c r="H385" s="901">
        <v>0</v>
      </c>
      <c r="I385" s="901"/>
      <c r="J385" s="902">
        <v>0</v>
      </c>
      <c r="K385" s="958" t="s">
        <v>507</v>
      </c>
      <c r="L385" s="1003">
        <f>ROUND(SUM('RES. CENTRAL PARK:RUA_FINAL'!L385),2)</f>
        <v>0</v>
      </c>
      <c r="M385" s="960">
        <f t="shared" si="105"/>
        <v>0</v>
      </c>
      <c r="N385" s="893">
        <f t="shared" si="106"/>
        <v>0</v>
      </c>
      <c r="O385" s="905"/>
      <c r="P385" s="58" t="str">
        <f>IF(N384&gt;0,"xx",IF(N384&gt;0,"xy",""))</f>
        <v/>
      </c>
      <c r="Q385" s="317" t="str">
        <f t="shared" si="107"/>
        <v/>
      </c>
      <c r="R385" s="317" t="str">
        <f t="shared" si="108"/>
        <v/>
      </c>
      <c r="S385" s="317" t="str">
        <f t="shared" si="109"/>
        <v/>
      </c>
      <c r="V385" s="314">
        <f>SUM('RES. CENTRAL PARK:RUA_FINAL'!N385)</f>
        <v>0</v>
      </c>
      <c r="W385" s="315">
        <f t="shared" si="95"/>
        <v>0</v>
      </c>
    </row>
    <row r="386" spans="1:23" ht="15" hidden="1" customHeight="1" x14ac:dyDescent="0.2">
      <c r="A386" s="63" t="s">
        <v>147</v>
      </c>
      <c r="B386" s="895" t="s">
        <v>147</v>
      </c>
      <c r="C386" s="896"/>
      <c r="D386" s="957" t="s">
        <v>230</v>
      </c>
      <c r="E386" s="907">
        <f>DMT!$D$46</f>
        <v>353</v>
      </c>
      <c r="F386" s="1287">
        <f>Novos_Traços_CBUQ!F140</f>
        <v>0</v>
      </c>
      <c r="G386" s="909">
        <f>IF(E386&lt;=30,(0.78*E386+7.82)*F386,((0.78*30+7.82)+0.78*(E386-30))*F386)</f>
        <v>0</v>
      </c>
      <c r="H386" s="901">
        <v>0</v>
      </c>
      <c r="I386" s="901"/>
      <c r="J386" s="902">
        <v>0</v>
      </c>
      <c r="K386" s="958" t="s">
        <v>507</v>
      </c>
      <c r="L386" s="1003">
        <f>ROUND(SUM('RES. CENTRAL PARK:RUA_FINAL'!L386),2)</f>
        <v>0</v>
      </c>
      <c r="M386" s="960">
        <f t="shared" si="105"/>
        <v>0</v>
      </c>
      <c r="N386" s="893">
        <f t="shared" si="106"/>
        <v>0</v>
      </c>
      <c r="O386" s="905"/>
      <c r="P386" s="58" t="str">
        <f>IF(N384&gt;0,"xx",IF(N384&gt;0,"xy",""))</f>
        <v/>
      </c>
      <c r="Q386" s="317" t="str">
        <f t="shared" si="107"/>
        <v/>
      </c>
      <c r="R386" s="317" t="str">
        <f t="shared" si="108"/>
        <v/>
      </c>
      <c r="S386" s="317" t="str">
        <f t="shared" si="109"/>
        <v/>
      </c>
      <c r="V386" s="314">
        <f>SUM('RES. CENTRAL PARK:RUA_FINAL'!N386)</f>
        <v>0</v>
      </c>
      <c r="W386" s="315">
        <f t="shared" si="95"/>
        <v>0</v>
      </c>
    </row>
    <row r="387" spans="1:23" ht="15" hidden="1" customHeight="1" x14ac:dyDescent="0.2">
      <c r="A387" s="63" t="s">
        <v>147</v>
      </c>
      <c r="B387" s="895" t="s">
        <v>147</v>
      </c>
      <c r="C387" s="896"/>
      <c r="D387" s="957" t="s">
        <v>243</v>
      </c>
      <c r="E387" s="907">
        <f>DMT!$F$43</f>
        <v>0.2</v>
      </c>
      <c r="F387" s="1287">
        <f>Novos_Traços_CBUQ!F137</f>
        <v>0.94169999999999998</v>
      </c>
      <c r="G387" s="949">
        <f t="shared" ref="G387" si="111">IF(E387&lt;=30,(1.07*E387+2.68)*F387,((1.07*30+2.68)+1.07*(E387-30))*F387)</f>
        <v>2.7252798</v>
      </c>
      <c r="H387" s="901">
        <v>0</v>
      </c>
      <c r="I387" s="901"/>
      <c r="J387" s="902">
        <v>0</v>
      </c>
      <c r="K387" s="958" t="s">
        <v>507</v>
      </c>
      <c r="L387" s="1003">
        <f>ROUND(SUM('RES. CENTRAL PARK:RUA_FINAL'!L387),2)</f>
        <v>0</v>
      </c>
      <c r="M387" s="960">
        <f t="shared" si="105"/>
        <v>0</v>
      </c>
      <c r="N387" s="893">
        <f t="shared" si="106"/>
        <v>0</v>
      </c>
      <c r="O387" s="905"/>
      <c r="P387" s="58" t="str">
        <f>IF(N384&gt;0,"xx",IF(N384&gt;0,"xy",""))</f>
        <v/>
      </c>
      <c r="Q387" s="317" t="str">
        <f t="shared" si="107"/>
        <v/>
      </c>
      <c r="R387" s="317" t="str">
        <f t="shared" si="108"/>
        <v/>
      </c>
      <c r="S387" s="317" t="str">
        <f t="shared" si="109"/>
        <v/>
      </c>
      <c r="V387" s="314">
        <f>SUM('RES. CENTRAL PARK:RUA_FINAL'!N387)</f>
        <v>0</v>
      </c>
      <c r="W387" s="315">
        <f t="shared" si="95"/>
        <v>0</v>
      </c>
    </row>
    <row r="388" spans="1:23" ht="15" hidden="1" customHeight="1" x14ac:dyDescent="0.2">
      <c r="A388" s="63" t="s">
        <v>147</v>
      </c>
      <c r="B388" s="895" t="s">
        <v>147</v>
      </c>
      <c r="C388" s="896"/>
      <c r="D388" s="957" t="s">
        <v>244</v>
      </c>
      <c r="E388" s="907">
        <f>DMT!$F$28</f>
        <v>22</v>
      </c>
      <c r="F388" s="908">
        <f>SUM(F384:F387)</f>
        <v>1</v>
      </c>
      <c r="G388" s="912">
        <f>IF(E388&lt;=30,(1.07*E388+6.45)*F388,((1.07*30+6.45)+1.07*(E388-30))*F388)</f>
        <v>29.990000000000002</v>
      </c>
      <c r="H388" s="901">
        <v>0</v>
      </c>
      <c r="I388" s="901"/>
      <c r="J388" s="902">
        <v>0</v>
      </c>
      <c r="K388" s="958" t="s">
        <v>507</v>
      </c>
      <c r="L388" s="1003">
        <f>ROUND(SUM('RES. CENTRAL PARK:RUA_FINAL'!L388),2)</f>
        <v>0</v>
      </c>
      <c r="M388" s="960">
        <f t="shared" si="105"/>
        <v>0</v>
      </c>
      <c r="N388" s="893">
        <f t="shared" si="106"/>
        <v>0</v>
      </c>
      <c r="O388" s="905"/>
      <c r="P388" s="58" t="str">
        <f>IF(N384&gt;0,"xx",IF(N384&gt;0,"xy",""))</f>
        <v/>
      </c>
      <c r="Q388" s="317" t="str">
        <f t="shared" si="107"/>
        <v/>
      </c>
      <c r="R388" s="317" t="str">
        <f t="shared" si="108"/>
        <v/>
      </c>
      <c r="S388" s="317" t="str">
        <f t="shared" si="109"/>
        <v/>
      </c>
      <c r="V388" s="314">
        <f>SUM('RES. CENTRAL PARK:RUA_FINAL'!N388)</f>
        <v>0</v>
      </c>
      <c r="W388" s="315">
        <f t="shared" si="95"/>
        <v>0</v>
      </c>
    </row>
    <row r="389" spans="1:23" ht="15" hidden="1" customHeight="1" thickBot="1" x14ac:dyDescent="0.25">
      <c r="A389" s="63">
        <v>589000</v>
      </c>
      <c r="B389" s="1004" t="s">
        <v>713</v>
      </c>
      <c r="C389" s="984" t="s">
        <v>213</v>
      </c>
      <c r="D389" s="1012" t="s">
        <v>2172</v>
      </c>
      <c r="E389" s="1020">
        <f>DMT!$D$45</f>
        <v>45</v>
      </c>
      <c r="F389" s="1006">
        <v>1</v>
      </c>
      <c r="G389" s="949">
        <f>(0.94*E389+46.06)*F389</f>
        <v>88.36</v>
      </c>
      <c r="H389" s="988">
        <v>4828.8599999999997</v>
      </c>
      <c r="I389" s="988">
        <f>IF(ISBLANK(H389),"",H389*(1+$E$9)/(1+$E$10))+G389</f>
        <v>4724.580378112767</v>
      </c>
      <c r="J389" s="989">
        <f>IF(ISBLANK(H389),0,ROUND(I389*(1+$E$10),2))</f>
        <v>5672.8</v>
      </c>
      <c r="K389" s="990" t="s">
        <v>14</v>
      </c>
      <c r="L389" s="991">
        <f>ROUND(SUM('RES. CENTRAL PARK:RUA_FINAL'!L389),2)</f>
        <v>0</v>
      </c>
      <c r="M389" s="1013">
        <f t="shared" si="105"/>
        <v>0</v>
      </c>
      <c r="N389" s="993">
        <f t="shared" si="106"/>
        <v>0</v>
      </c>
      <c r="O389" s="905"/>
      <c r="P389" s="58" t="str">
        <f>IF(N384&gt;0,"xx",IF(N384&gt;0,"xy",""))</f>
        <v/>
      </c>
      <c r="Q389" s="317" t="str">
        <f t="shared" si="107"/>
        <v/>
      </c>
      <c r="R389" s="317" t="str">
        <f t="shared" si="108"/>
        <v/>
      </c>
      <c r="S389" s="317" t="str">
        <f t="shared" si="109"/>
        <v/>
      </c>
      <c r="V389" s="314">
        <f>SUM('RES. CENTRAL PARK:RUA_FINAL'!N389)</f>
        <v>0</v>
      </c>
      <c r="W389" s="315">
        <f t="shared" si="95"/>
        <v>0</v>
      </c>
    </row>
    <row r="390" spans="1:23" ht="15" hidden="1" customHeight="1" x14ac:dyDescent="0.2">
      <c r="A390" s="63">
        <v>570200</v>
      </c>
      <c r="B390" s="999">
        <v>570200</v>
      </c>
      <c r="C390" s="1000" t="s">
        <v>184</v>
      </c>
      <c r="D390" s="1021" t="str">
        <f>CONCATENATE("CBUQ -  Novos Traços - ",Novos_Traços_CBUQ!J115," - novo traço (Quantidade menor que 10.000 ton)")</f>
        <v>CBUQ -  Novos Traços - BINDER 3 - novo traço (Quantidade menor que 10.000 ton)</v>
      </c>
      <c r="E390" s="974" t="s">
        <v>569</v>
      </c>
      <c r="F390" s="1022">
        <f>Novos_Traços_CBUQ!M141</f>
        <v>4.2999999999999997E-2</v>
      </c>
      <c r="G390" s="976">
        <f>SUM(G391:G394)</f>
        <v>35.067676400000003</v>
      </c>
      <c r="H390" s="977">
        <v>181.43</v>
      </c>
      <c r="I390" s="977">
        <f>IF(ISBLANK(H390),"",SUM(G390:H390))</f>
        <v>216.49767640000002</v>
      </c>
      <c r="J390" s="978">
        <f t="shared" ref="J390" si="112">IF(ISBLANK(H390),0,ROUND(I390*(1+$E$10),2))</f>
        <v>259.95</v>
      </c>
      <c r="K390" s="979" t="s">
        <v>14</v>
      </c>
      <c r="L390" s="980">
        <f>ROUND(SUM('RES. CENTRAL PARK:RUA_FINAL'!L390),2)</f>
        <v>0</v>
      </c>
      <c r="M390" s="981">
        <f t="shared" ref="M390:M395" si="113">IF(L390=0,0,ROUND(J390,2))</f>
        <v>0</v>
      </c>
      <c r="N390" s="982">
        <f t="shared" ref="N390:N395" si="114">IF(ISBLANK(L390),0,ROUND(L390*M390,2))</f>
        <v>0</v>
      </c>
      <c r="O390" s="905"/>
      <c r="Q390" s="317" t="str">
        <f t="shared" ref="Q390:Q395" si="115">IF(P390="X","x",IF(P390="xx","x",IF(P390="xy","x",IF(P390="y","x",IF(OR(N390&gt;0,N390&gt;0),"x","")))))</f>
        <v/>
      </c>
      <c r="R390" s="317" t="str">
        <f t="shared" ref="R390:R395" si="116">IF(P390="X","x",IF(P390="y","x",IF(P390="xx","x",IF(N390&gt;0,"x",""))))</f>
        <v/>
      </c>
      <c r="S390" s="317" t="str">
        <f t="shared" ref="S390:S395" si="117">IF(P390="X","x",IF(N390&gt;0,"x",""))</f>
        <v/>
      </c>
      <c r="V390" s="314">
        <f>SUM('RES. CENTRAL PARK:RUA_FINAL'!N390)</f>
        <v>0</v>
      </c>
      <c r="W390" s="315">
        <f t="shared" si="95"/>
        <v>0</v>
      </c>
    </row>
    <row r="391" spans="1:23" ht="15" hidden="1" customHeight="1" x14ac:dyDescent="0.2">
      <c r="A391" s="63" t="s">
        <v>147</v>
      </c>
      <c r="B391" s="895" t="s">
        <v>147</v>
      </c>
      <c r="C391" s="896"/>
      <c r="D391" s="957" t="s">
        <v>229</v>
      </c>
      <c r="E391" s="907">
        <f>DMT!$F$42</f>
        <v>150</v>
      </c>
      <c r="F391" s="1287">
        <f>Novos_Traços_CBUQ!M139</f>
        <v>1.44E-2</v>
      </c>
      <c r="G391" s="949">
        <f t="shared" ref="G391" si="118">IF(E391&lt;=30,(1.07*E391+2.68)*F391,((1.07*30+2.68)+1.07*(E391-30))*F391)</f>
        <v>2.3497919999999999</v>
      </c>
      <c r="H391" s="901">
        <v>0</v>
      </c>
      <c r="I391" s="901"/>
      <c r="J391" s="902">
        <v>0</v>
      </c>
      <c r="K391" s="958" t="s">
        <v>507</v>
      </c>
      <c r="L391" s="1003">
        <f>ROUND(SUM('RES. CENTRAL PARK:RUA_FINAL'!L391),2)</f>
        <v>0</v>
      </c>
      <c r="M391" s="960">
        <f t="shared" si="113"/>
        <v>0</v>
      </c>
      <c r="N391" s="893">
        <f t="shared" si="114"/>
        <v>0</v>
      </c>
      <c r="O391" s="905"/>
      <c r="P391" s="58" t="str">
        <f>IF(N390&gt;0,"xx",IF(N390&gt;0,"xy",""))</f>
        <v/>
      </c>
      <c r="Q391" s="317" t="str">
        <f t="shared" si="115"/>
        <v/>
      </c>
      <c r="R391" s="317" t="str">
        <f t="shared" si="116"/>
        <v/>
      </c>
      <c r="S391" s="317" t="str">
        <f t="shared" si="117"/>
        <v/>
      </c>
      <c r="V391" s="314">
        <f>SUM('RES. CENTRAL PARK:RUA_FINAL'!N391)</f>
        <v>0</v>
      </c>
      <c r="W391" s="315">
        <f t="shared" si="95"/>
        <v>0</v>
      </c>
    </row>
    <row r="392" spans="1:23" ht="15" hidden="1" customHeight="1" x14ac:dyDescent="0.2">
      <c r="A392" s="63" t="s">
        <v>147</v>
      </c>
      <c r="B392" s="895" t="s">
        <v>147</v>
      </c>
      <c r="C392" s="896"/>
      <c r="D392" s="957" t="s">
        <v>230</v>
      </c>
      <c r="E392" s="907">
        <f>DMT!$D$46</f>
        <v>353</v>
      </c>
      <c r="F392" s="1287">
        <f>Novos_Traços_CBUQ!M140</f>
        <v>0</v>
      </c>
      <c r="G392" s="909">
        <f>IF(E392&lt;=30,(0.78*E392+7.82)*F392,((0.78*30+7.82)+0.78*(E392-30))*F392)</f>
        <v>0</v>
      </c>
      <c r="H392" s="901">
        <v>0</v>
      </c>
      <c r="I392" s="901"/>
      <c r="J392" s="902">
        <v>0</v>
      </c>
      <c r="K392" s="958" t="s">
        <v>507</v>
      </c>
      <c r="L392" s="1003">
        <f>ROUND(SUM('RES. CENTRAL PARK:RUA_FINAL'!L392),2)</f>
        <v>0</v>
      </c>
      <c r="M392" s="960">
        <f t="shared" si="113"/>
        <v>0</v>
      </c>
      <c r="N392" s="893">
        <f t="shared" si="114"/>
        <v>0</v>
      </c>
      <c r="O392" s="905"/>
      <c r="P392" s="58" t="str">
        <f>IF(N390&gt;0,"xx",IF(N390&gt;0,"xy",""))</f>
        <v/>
      </c>
      <c r="Q392" s="317" t="str">
        <f t="shared" si="115"/>
        <v/>
      </c>
      <c r="R392" s="317" t="str">
        <f t="shared" si="116"/>
        <v/>
      </c>
      <c r="S392" s="317" t="str">
        <f t="shared" si="117"/>
        <v/>
      </c>
      <c r="V392" s="314">
        <f>SUM('RES. CENTRAL PARK:RUA_FINAL'!N392)</f>
        <v>0</v>
      </c>
      <c r="W392" s="315">
        <f t="shared" si="95"/>
        <v>0</v>
      </c>
    </row>
    <row r="393" spans="1:23" ht="15" hidden="1" customHeight="1" x14ac:dyDescent="0.2">
      <c r="A393" s="63" t="s">
        <v>147</v>
      </c>
      <c r="B393" s="895" t="s">
        <v>147</v>
      </c>
      <c r="C393" s="896"/>
      <c r="D393" s="957" t="s">
        <v>243</v>
      </c>
      <c r="E393" s="907">
        <f>DMT!$F$43</f>
        <v>0.2</v>
      </c>
      <c r="F393" s="1287">
        <f>Novos_Traços_CBUQ!M137</f>
        <v>0.94259999999999999</v>
      </c>
      <c r="G393" s="949">
        <f t="shared" ref="G393" si="119">IF(E393&lt;=30,(1.07*E393+2.68)*F393,((1.07*30+2.68)+1.07*(E393-30))*F393)</f>
        <v>2.7278844000000002</v>
      </c>
      <c r="H393" s="901">
        <v>0</v>
      </c>
      <c r="I393" s="901"/>
      <c r="J393" s="902">
        <v>0</v>
      </c>
      <c r="K393" s="958" t="s">
        <v>507</v>
      </c>
      <c r="L393" s="1003">
        <f>ROUND(SUM('RES. CENTRAL PARK:RUA_FINAL'!L393),2)</f>
        <v>0</v>
      </c>
      <c r="M393" s="960">
        <f t="shared" si="113"/>
        <v>0</v>
      </c>
      <c r="N393" s="893">
        <f t="shared" si="114"/>
        <v>0</v>
      </c>
      <c r="O393" s="905"/>
      <c r="P393" s="58" t="str">
        <f>IF(N390&gt;0,"xx",IF(N390&gt;0,"xy",""))</f>
        <v/>
      </c>
      <c r="Q393" s="317" t="str">
        <f t="shared" si="115"/>
        <v/>
      </c>
      <c r="R393" s="317" t="str">
        <f t="shared" si="116"/>
        <v/>
      </c>
      <c r="S393" s="317" t="str">
        <f t="shared" si="117"/>
        <v/>
      </c>
      <c r="V393" s="314">
        <f>SUM('RES. CENTRAL PARK:RUA_FINAL'!N393)</f>
        <v>0</v>
      </c>
      <c r="W393" s="315">
        <f t="shared" si="95"/>
        <v>0</v>
      </c>
    </row>
    <row r="394" spans="1:23" ht="15" hidden="1" customHeight="1" x14ac:dyDescent="0.2">
      <c r="A394" s="63" t="s">
        <v>147</v>
      </c>
      <c r="B394" s="895" t="s">
        <v>147</v>
      </c>
      <c r="C394" s="896"/>
      <c r="D394" s="957" t="s">
        <v>244</v>
      </c>
      <c r="E394" s="907">
        <f>DMT!$F$28</f>
        <v>22</v>
      </c>
      <c r="F394" s="908">
        <f>SUM(F390:F393)</f>
        <v>1</v>
      </c>
      <c r="G394" s="912">
        <f>IF(E394&lt;=30,(1.07*E394+6.45)*F394,((1.07*30+6.45)+1.07*(E394-30))*F394)</f>
        <v>29.990000000000002</v>
      </c>
      <c r="H394" s="901">
        <v>0</v>
      </c>
      <c r="I394" s="901"/>
      <c r="J394" s="902">
        <v>0</v>
      </c>
      <c r="K394" s="958" t="s">
        <v>507</v>
      </c>
      <c r="L394" s="1003">
        <f>ROUND(SUM('RES. CENTRAL PARK:RUA_FINAL'!L394),2)</f>
        <v>0</v>
      </c>
      <c r="M394" s="960">
        <f t="shared" si="113"/>
        <v>0</v>
      </c>
      <c r="N394" s="893">
        <f t="shared" si="114"/>
        <v>0</v>
      </c>
      <c r="O394" s="905"/>
      <c r="P394" s="58" t="str">
        <f>IF(N390&gt;0,"xx",IF(N390&gt;0,"xy",""))</f>
        <v/>
      </c>
      <c r="Q394" s="317" t="str">
        <f t="shared" si="115"/>
        <v/>
      </c>
      <c r="R394" s="317" t="str">
        <f t="shared" si="116"/>
        <v/>
      </c>
      <c r="S394" s="317" t="str">
        <f t="shared" si="117"/>
        <v/>
      </c>
      <c r="V394" s="314">
        <f>SUM('RES. CENTRAL PARK:RUA_FINAL'!N394)</f>
        <v>0</v>
      </c>
      <c r="W394" s="315">
        <f t="shared" si="95"/>
        <v>0</v>
      </c>
    </row>
    <row r="395" spans="1:23" ht="15" hidden="1" customHeight="1" thickBot="1" x14ac:dyDescent="0.25">
      <c r="A395" s="63">
        <v>589000</v>
      </c>
      <c r="B395" s="1004" t="s">
        <v>713</v>
      </c>
      <c r="C395" s="984" t="s">
        <v>213</v>
      </c>
      <c r="D395" s="1012" t="s">
        <v>2172</v>
      </c>
      <c r="E395" s="1020">
        <f>DMT!$D$45</f>
        <v>45</v>
      </c>
      <c r="F395" s="1006">
        <v>1</v>
      </c>
      <c r="G395" s="949">
        <f>(0.94*E395+46.06)*F395</f>
        <v>88.36</v>
      </c>
      <c r="H395" s="988">
        <v>4828.8599999999997</v>
      </c>
      <c r="I395" s="988">
        <f>IF(ISBLANK(H395),"",H395*(1+$E$9)/(1+$E$10))+G395</f>
        <v>4724.580378112767</v>
      </c>
      <c r="J395" s="989">
        <f>IF(ISBLANK(H395),0,ROUND(I395*(1+$E$10),2))</f>
        <v>5672.8</v>
      </c>
      <c r="K395" s="990" t="s">
        <v>14</v>
      </c>
      <c r="L395" s="991">
        <f>ROUND(SUM('RES. CENTRAL PARK:RUA_FINAL'!L395),2)</f>
        <v>0</v>
      </c>
      <c r="M395" s="1013">
        <f t="shared" si="113"/>
        <v>0</v>
      </c>
      <c r="N395" s="993">
        <f t="shared" si="114"/>
        <v>0</v>
      </c>
      <c r="O395" s="905"/>
      <c r="P395" s="58" t="str">
        <f>IF(N390&gt;0,"xx",IF(N390&gt;0,"xy",""))</f>
        <v/>
      </c>
      <c r="Q395" s="317" t="str">
        <f t="shared" si="115"/>
        <v/>
      </c>
      <c r="R395" s="317" t="str">
        <f t="shared" si="116"/>
        <v/>
      </c>
      <c r="S395" s="317" t="str">
        <f t="shared" si="117"/>
        <v/>
      </c>
      <c r="V395" s="314">
        <f>SUM('RES. CENTRAL PARK:RUA_FINAL'!N395)</f>
        <v>0</v>
      </c>
      <c r="W395" s="315">
        <f t="shared" si="95"/>
        <v>0</v>
      </c>
    </row>
    <row r="396" spans="1:23" ht="15" hidden="1" customHeight="1" x14ac:dyDescent="0.2">
      <c r="A396" s="63">
        <v>570210</v>
      </c>
      <c r="B396" s="999">
        <v>570210</v>
      </c>
      <c r="C396" s="1000" t="s">
        <v>184</v>
      </c>
      <c r="D396" s="973" t="s">
        <v>2212</v>
      </c>
      <c r="E396" s="974" t="s">
        <v>569</v>
      </c>
      <c r="F396" s="975">
        <v>4.4999999999999998E-2</v>
      </c>
      <c r="G396" s="976">
        <f>SUM(G397:G400)</f>
        <v>35.158060000000006</v>
      </c>
      <c r="H396" s="977">
        <v>161.52000000000001</v>
      </c>
      <c r="I396" s="977">
        <f>IF(ISBLANK(H396),"",SUM(G396:H396))</f>
        <v>196.67806000000002</v>
      </c>
      <c r="J396" s="978">
        <f t="shared" si="99"/>
        <v>236.15</v>
      </c>
      <c r="K396" s="979" t="s">
        <v>14</v>
      </c>
      <c r="L396" s="980">
        <f>ROUND(SUM('RES. CENTRAL PARK:RUA_FINAL'!L396),2)</f>
        <v>0</v>
      </c>
      <c r="M396" s="981">
        <f t="shared" si="90"/>
        <v>0</v>
      </c>
      <c r="N396" s="982">
        <f t="shared" si="91"/>
        <v>0</v>
      </c>
      <c r="O396" s="905"/>
      <c r="Q396" s="317" t="str">
        <f t="shared" si="92"/>
        <v/>
      </c>
      <c r="R396" s="317" t="str">
        <f t="shared" si="93"/>
        <v/>
      </c>
      <c r="S396" s="317" t="str">
        <f t="shared" si="94"/>
        <v/>
      </c>
      <c r="V396" s="314">
        <f>SUM('RES. CENTRAL PARK:RUA_FINAL'!N396)</f>
        <v>0</v>
      </c>
      <c r="W396" s="315">
        <f t="shared" si="95"/>
        <v>0</v>
      </c>
    </row>
    <row r="397" spans="1:23" ht="15" hidden="1" customHeight="1" x14ac:dyDescent="0.2">
      <c r="A397" s="63" t="s">
        <v>147</v>
      </c>
      <c r="B397" s="895" t="s">
        <v>147</v>
      </c>
      <c r="C397" s="896"/>
      <c r="D397" s="957" t="s">
        <v>229</v>
      </c>
      <c r="E397" s="907">
        <f>DMT!$F$42</f>
        <v>150</v>
      </c>
      <c r="F397" s="908">
        <v>1.4999999999999999E-2</v>
      </c>
      <c r="G397" s="949">
        <f t="shared" ref="G397:G399" si="120">IF(E397&lt;=30,(1.07*E397+2.68)*F397,((1.07*30+2.68)+1.07*(E397-30))*F397)</f>
        <v>2.4477000000000002</v>
      </c>
      <c r="H397" s="901">
        <v>0</v>
      </c>
      <c r="I397" s="901"/>
      <c r="J397" s="902">
        <v>0</v>
      </c>
      <c r="K397" s="958" t="s">
        <v>507</v>
      </c>
      <c r="L397" s="1003">
        <f>ROUND(SUM('RES. CENTRAL PARK:RUA_FINAL'!L397),2)</f>
        <v>0</v>
      </c>
      <c r="M397" s="960">
        <f t="shared" si="90"/>
        <v>0</v>
      </c>
      <c r="N397" s="893">
        <f t="shared" si="91"/>
        <v>0</v>
      </c>
      <c r="O397" s="905"/>
      <c r="P397" s="58" t="str">
        <f>IF(N396&gt;0,"xx",IF(N396&gt;0,"xy",""))</f>
        <v/>
      </c>
      <c r="Q397" s="317" t="str">
        <f t="shared" si="92"/>
        <v/>
      </c>
      <c r="R397" s="317" t="str">
        <f t="shared" si="93"/>
        <v/>
      </c>
      <c r="S397" s="317" t="str">
        <f t="shared" si="94"/>
        <v/>
      </c>
      <c r="V397" s="314">
        <f>SUM('RES. CENTRAL PARK:RUA_FINAL'!N397)</f>
        <v>0</v>
      </c>
      <c r="W397" s="315">
        <f t="shared" si="95"/>
        <v>0</v>
      </c>
    </row>
    <row r="398" spans="1:23" ht="15" hidden="1" customHeight="1" x14ac:dyDescent="0.2">
      <c r="A398" s="63" t="s">
        <v>147</v>
      </c>
      <c r="B398" s="895" t="s">
        <v>147</v>
      </c>
      <c r="C398" s="896"/>
      <c r="D398" s="957" t="s">
        <v>230</v>
      </c>
      <c r="E398" s="907">
        <f>DMT!$D$46</f>
        <v>353</v>
      </c>
      <c r="F398" s="908"/>
      <c r="G398" s="909">
        <f>IF(E398&lt;=30,(0.78*E398+7.82)*F398,((0.78*30+7.82)+0.78*(E398-30))*F398)</f>
        <v>0</v>
      </c>
      <c r="H398" s="901">
        <v>0</v>
      </c>
      <c r="I398" s="901"/>
      <c r="J398" s="902">
        <v>0</v>
      </c>
      <c r="K398" s="958" t="s">
        <v>507</v>
      </c>
      <c r="L398" s="1003">
        <f>ROUND(SUM('RES. CENTRAL PARK:RUA_FINAL'!L398),2)</f>
        <v>0</v>
      </c>
      <c r="M398" s="960">
        <f t="shared" si="90"/>
        <v>0</v>
      </c>
      <c r="N398" s="893">
        <f t="shared" si="91"/>
        <v>0</v>
      </c>
      <c r="O398" s="905"/>
      <c r="P398" s="58" t="str">
        <f>IF(N396&gt;0,"xx",IF(N396&gt;0,"xy",""))</f>
        <v/>
      </c>
      <c r="Q398" s="317" t="str">
        <f t="shared" si="92"/>
        <v/>
      </c>
      <c r="R398" s="317" t="str">
        <f t="shared" si="93"/>
        <v/>
      </c>
      <c r="S398" s="317" t="str">
        <f t="shared" si="94"/>
        <v/>
      </c>
      <c r="V398" s="314">
        <f>SUM('RES. CENTRAL PARK:RUA_FINAL'!N398)</f>
        <v>0</v>
      </c>
      <c r="W398" s="315">
        <f t="shared" si="95"/>
        <v>0</v>
      </c>
    </row>
    <row r="399" spans="1:23" ht="15" hidden="1" customHeight="1" x14ac:dyDescent="0.2">
      <c r="A399" s="63" t="s">
        <v>147</v>
      </c>
      <c r="B399" s="895" t="s">
        <v>147</v>
      </c>
      <c r="C399" s="896"/>
      <c r="D399" s="957" t="s">
        <v>243</v>
      </c>
      <c r="E399" s="907">
        <f>DMT!$F$43</f>
        <v>0.2</v>
      </c>
      <c r="F399" s="908">
        <v>0.94</v>
      </c>
      <c r="G399" s="949">
        <f t="shared" si="120"/>
        <v>2.7203599999999999</v>
      </c>
      <c r="H399" s="901">
        <v>0</v>
      </c>
      <c r="I399" s="901"/>
      <c r="J399" s="902">
        <v>0</v>
      </c>
      <c r="K399" s="958" t="s">
        <v>507</v>
      </c>
      <c r="L399" s="1003">
        <f>ROUND(SUM('RES. CENTRAL PARK:RUA_FINAL'!L399),2)</f>
        <v>0</v>
      </c>
      <c r="M399" s="960">
        <f t="shared" si="90"/>
        <v>0</v>
      </c>
      <c r="N399" s="893">
        <f t="shared" si="91"/>
        <v>0</v>
      </c>
      <c r="O399" s="905"/>
      <c r="P399" s="58" t="str">
        <f>IF(N396&gt;0,"xx",IF(N396&gt;0,"xy",""))</f>
        <v/>
      </c>
      <c r="Q399" s="317" t="str">
        <f t="shared" si="92"/>
        <v/>
      </c>
      <c r="R399" s="317" t="str">
        <f t="shared" si="93"/>
        <v/>
      </c>
      <c r="S399" s="317" t="str">
        <f t="shared" si="94"/>
        <v/>
      </c>
      <c r="V399" s="314">
        <f>SUM('RES. CENTRAL PARK:RUA_FINAL'!N399)</f>
        <v>0</v>
      </c>
      <c r="W399" s="315">
        <f t="shared" si="95"/>
        <v>0</v>
      </c>
    </row>
    <row r="400" spans="1:23" ht="15" hidden="1" customHeight="1" x14ac:dyDescent="0.2">
      <c r="A400" s="63" t="s">
        <v>147</v>
      </c>
      <c r="B400" s="895" t="s">
        <v>147</v>
      </c>
      <c r="C400" s="896"/>
      <c r="D400" s="957" t="s">
        <v>244</v>
      </c>
      <c r="E400" s="907">
        <f>DMT!$F$28</f>
        <v>22</v>
      </c>
      <c r="F400" s="908">
        <f>SUM(F396:F399)</f>
        <v>1</v>
      </c>
      <c r="G400" s="912">
        <f>IF(E400&lt;=30,(1.07*E400+6.45)*F400,((1.07*30+6.45)+1.07*(E400-30))*F400)</f>
        <v>29.990000000000002</v>
      </c>
      <c r="H400" s="901">
        <v>0</v>
      </c>
      <c r="I400" s="901"/>
      <c r="J400" s="902">
        <v>0</v>
      </c>
      <c r="K400" s="958" t="s">
        <v>507</v>
      </c>
      <c r="L400" s="1003">
        <f>ROUND(SUM('RES. CENTRAL PARK:RUA_FINAL'!L400),2)</f>
        <v>0</v>
      </c>
      <c r="M400" s="960">
        <f t="shared" si="90"/>
        <v>0</v>
      </c>
      <c r="N400" s="893">
        <f t="shared" si="91"/>
        <v>0</v>
      </c>
      <c r="O400" s="905"/>
      <c r="P400" s="58" t="str">
        <f>IF(N396&gt;0,"xx",IF(N396&gt;0,"xy",""))</f>
        <v/>
      </c>
      <c r="Q400" s="317" t="str">
        <f t="shared" si="92"/>
        <v/>
      </c>
      <c r="R400" s="317" t="str">
        <f t="shared" si="93"/>
        <v/>
      </c>
      <c r="S400" s="317" t="str">
        <f t="shared" si="94"/>
        <v/>
      </c>
      <c r="V400" s="314">
        <f>SUM('RES. CENTRAL PARK:RUA_FINAL'!N400)</f>
        <v>0</v>
      </c>
      <c r="W400" s="315">
        <f t="shared" si="95"/>
        <v>0</v>
      </c>
    </row>
    <row r="401" spans="1:23" ht="15" hidden="1" customHeight="1" thickBot="1" x14ac:dyDescent="0.25">
      <c r="A401" s="63">
        <v>589000</v>
      </c>
      <c r="B401" s="1004" t="s">
        <v>714</v>
      </c>
      <c r="C401" s="984" t="s">
        <v>213</v>
      </c>
      <c r="D401" s="1012" t="s">
        <v>2172</v>
      </c>
      <c r="E401" s="1020">
        <f>DMT!$D$45</f>
        <v>45</v>
      </c>
      <c r="F401" s="1006">
        <v>1</v>
      </c>
      <c r="G401" s="949">
        <f>(0.94*E401+46.06)*F401</f>
        <v>88.36</v>
      </c>
      <c r="H401" s="988">
        <v>4828.8599999999997</v>
      </c>
      <c r="I401" s="988">
        <f>IF(ISBLANK(H401),"",H401*(1+$E$9)/(1+$E$10))+G401</f>
        <v>4724.580378112767</v>
      </c>
      <c r="J401" s="989">
        <f t="shared" si="99"/>
        <v>5672.8</v>
      </c>
      <c r="K401" s="990" t="s">
        <v>14</v>
      </c>
      <c r="L401" s="991">
        <f>ROUND(SUM('RES. CENTRAL PARK:RUA_FINAL'!L401),2)</f>
        <v>0</v>
      </c>
      <c r="M401" s="1013">
        <f t="shared" si="90"/>
        <v>0</v>
      </c>
      <c r="N401" s="993">
        <f t="shared" si="91"/>
        <v>0</v>
      </c>
      <c r="O401" s="905"/>
      <c r="P401" s="58" t="str">
        <f>IF(N396&gt;0,"xx",IF(N396&gt;0,"xy",""))</f>
        <v/>
      </c>
      <c r="Q401" s="317" t="str">
        <f t="shared" si="92"/>
        <v/>
      </c>
      <c r="R401" s="317" t="str">
        <f t="shared" si="93"/>
        <v/>
      </c>
      <c r="S401" s="317" t="str">
        <f t="shared" si="94"/>
        <v/>
      </c>
      <c r="V401" s="314">
        <f>SUM('RES. CENTRAL PARK:RUA_FINAL'!N401)</f>
        <v>0</v>
      </c>
      <c r="W401" s="315">
        <f t="shared" si="95"/>
        <v>0</v>
      </c>
    </row>
    <row r="402" spans="1:23" ht="15" hidden="1" customHeight="1" x14ac:dyDescent="0.2">
      <c r="A402" s="63">
        <v>570000</v>
      </c>
      <c r="B402" s="999" t="s">
        <v>1651</v>
      </c>
      <c r="C402" s="1000" t="s">
        <v>184</v>
      </c>
      <c r="D402" s="1019" t="s">
        <v>2213</v>
      </c>
      <c r="E402" s="974" t="s">
        <v>569</v>
      </c>
      <c r="F402" s="975">
        <v>5.7000000000000002E-2</v>
      </c>
      <c r="G402" s="976">
        <f>SUM(G403:G406)</f>
        <v>52.951632000000004</v>
      </c>
      <c r="H402" s="977">
        <v>187.41</v>
      </c>
      <c r="I402" s="977">
        <f>IF(ISBLANK(H402),"",SUM(G402:H402))</f>
        <v>240.36163199999999</v>
      </c>
      <c r="J402" s="978">
        <f t="shared" si="99"/>
        <v>288.60000000000002</v>
      </c>
      <c r="K402" s="979" t="s">
        <v>14</v>
      </c>
      <c r="L402" s="980">
        <f>ROUND(SUM('RES. CENTRAL PARK:RUA_FINAL'!L402),2)</f>
        <v>0</v>
      </c>
      <c r="M402" s="981">
        <f t="shared" si="90"/>
        <v>0</v>
      </c>
      <c r="N402" s="982">
        <f t="shared" si="91"/>
        <v>0</v>
      </c>
      <c r="O402" s="905"/>
      <c r="Q402" s="317" t="str">
        <f t="shared" si="92"/>
        <v/>
      </c>
      <c r="R402" s="317" t="str">
        <f t="shared" si="93"/>
        <v/>
      </c>
      <c r="S402" s="317" t="str">
        <f t="shared" si="94"/>
        <v/>
      </c>
      <c r="V402" s="314">
        <f>SUM('RES. CENTRAL PARK:RUA_FINAL'!N402)</f>
        <v>0</v>
      </c>
      <c r="W402" s="315">
        <f t="shared" si="95"/>
        <v>0</v>
      </c>
    </row>
    <row r="403" spans="1:23" ht="15" hidden="1" customHeight="1" x14ac:dyDescent="0.2">
      <c r="A403" s="63" t="s">
        <v>147</v>
      </c>
      <c r="B403" s="895" t="s">
        <v>147</v>
      </c>
      <c r="C403" s="896"/>
      <c r="D403" s="957" t="s">
        <v>229</v>
      </c>
      <c r="E403" s="907">
        <f>DMT!$F$42</f>
        <v>150</v>
      </c>
      <c r="F403" s="908">
        <v>0.1</v>
      </c>
      <c r="G403" s="949">
        <f t="shared" ref="G403:G405" si="121">IF(E403&lt;=30,(1.07*E403+2.68)*F403,((1.07*30+2.68)+1.07*(E403-30))*F403)</f>
        <v>16.318000000000001</v>
      </c>
      <c r="H403" s="901">
        <v>0</v>
      </c>
      <c r="I403" s="901"/>
      <c r="J403" s="902">
        <v>0</v>
      </c>
      <c r="K403" s="903" t="s">
        <v>507</v>
      </c>
      <c r="L403" s="1003">
        <f>ROUND(SUM('RES. CENTRAL PARK:RUA_FINAL'!L403),2)</f>
        <v>0</v>
      </c>
      <c r="M403" s="960">
        <f t="shared" si="90"/>
        <v>0</v>
      </c>
      <c r="N403" s="893">
        <f t="shared" si="91"/>
        <v>0</v>
      </c>
      <c r="O403" s="905"/>
      <c r="P403" s="58" t="str">
        <f>IF(N402&gt;0,"xx",IF(N402&gt;0,"xy",""))</f>
        <v/>
      </c>
      <c r="Q403" s="317" t="str">
        <f t="shared" si="92"/>
        <v/>
      </c>
      <c r="R403" s="317" t="str">
        <f t="shared" si="93"/>
        <v/>
      </c>
      <c r="S403" s="317" t="str">
        <f t="shared" si="94"/>
        <v/>
      </c>
      <c r="V403" s="314">
        <f>SUM('RES. CENTRAL PARK:RUA_FINAL'!N403)</f>
        <v>0</v>
      </c>
      <c r="W403" s="315">
        <f t="shared" si="95"/>
        <v>0</v>
      </c>
    </row>
    <row r="404" spans="1:23" ht="15" hidden="1" customHeight="1" x14ac:dyDescent="0.2">
      <c r="A404" s="63" t="s">
        <v>147</v>
      </c>
      <c r="B404" s="895" t="s">
        <v>147</v>
      </c>
      <c r="C404" s="896"/>
      <c r="D404" s="957" t="s">
        <v>230</v>
      </c>
      <c r="E404" s="907">
        <f>DMT!$D$46</f>
        <v>353</v>
      </c>
      <c r="F404" s="908">
        <v>1.4999999999999999E-2</v>
      </c>
      <c r="G404" s="909">
        <f>IF(E404&lt;=30,(0.78*E404+7.82)*F404,((0.78*30+7.82)+0.78*(E404-30))*F404)</f>
        <v>4.2473999999999998</v>
      </c>
      <c r="H404" s="901">
        <v>0</v>
      </c>
      <c r="I404" s="901"/>
      <c r="J404" s="902">
        <v>0</v>
      </c>
      <c r="K404" s="903" t="s">
        <v>507</v>
      </c>
      <c r="L404" s="1003">
        <f>ROUND(SUM('RES. CENTRAL PARK:RUA_FINAL'!L404),2)</f>
        <v>0</v>
      </c>
      <c r="M404" s="960">
        <f t="shared" si="90"/>
        <v>0</v>
      </c>
      <c r="N404" s="893">
        <f t="shared" si="91"/>
        <v>0</v>
      </c>
      <c r="O404" s="905"/>
      <c r="P404" s="58" t="str">
        <f>IF(N402&gt;0,"xx",IF(N402&gt;0,"xy",""))</f>
        <v/>
      </c>
      <c r="Q404" s="317" t="str">
        <f t="shared" si="92"/>
        <v/>
      </c>
      <c r="R404" s="317" t="str">
        <f t="shared" si="93"/>
        <v/>
      </c>
      <c r="S404" s="317" t="str">
        <f t="shared" si="94"/>
        <v/>
      </c>
      <c r="V404" s="314">
        <f>SUM('RES. CENTRAL PARK:RUA_FINAL'!N404)</f>
        <v>0</v>
      </c>
      <c r="W404" s="315">
        <f t="shared" si="95"/>
        <v>0</v>
      </c>
    </row>
    <row r="405" spans="1:23" ht="15" hidden="1" customHeight="1" x14ac:dyDescent="0.2">
      <c r="A405" s="63" t="s">
        <v>147</v>
      </c>
      <c r="B405" s="895" t="s">
        <v>147</v>
      </c>
      <c r="C405" s="896"/>
      <c r="D405" s="957" t="s">
        <v>243</v>
      </c>
      <c r="E405" s="907">
        <f>DMT!$F$43</f>
        <v>0.2</v>
      </c>
      <c r="F405" s="908">
        <v>0.82799999999999996</v>
      </c>
      <c r="G405" s="949">
        <f t="shared" si="121"/>
        <v>2.3962319999999999</v>
      </c>
      <c r="H405" s="901">
        <v>0</v>
      </c>
      <c r="I405" s="901"/>
      <c r="J405" s="902">
        <v>0</v>
      </c>
      <c r="K405" s="903" t="s">
        <v>507</v>
      </c>
      <c r="L405" s="1003">
        <f>ROUND(SUM('RES. CENTRAL PARK:RUA_FINAL'!L405),2)</f>
        <v>0</v>
      </c>
      <c r="M405" s="960">
        <f t="shared" si="90"/>
        <v>0</v>
      </c>
      <c r="N405" s="893">
        <f t="shared" si="91"/>
        <v>0</v>
      </c>
      <c r="O405" s="905"/>
      <c r="P405" s="58" t="str">
        <f>IF(N402&gt;0,"xx",IF(N402&gt;0,"xy",""))</f>
        <v/>
      </c>
      <c r="Q405" s="317" t="str">
        <f t="shared" si="92"/>
        <v/>
      </c>
      <c r="R405" s="317" t="str">
        <f t="shared" si="93"/>
        <v/>
      </c>
      <c r="S405" s="317" t="str">
        <f t="shared" si="94"/>
        <v/>
      </c>
      <c r="V405" s="314">
        <f>SUM('RES. CENTRAL PARK:RUA_FINAL'!N405)</f>
        <v>0</v>
      </c>
      <c r="W405" s="315">
        <f t="shared" ref="W405:W468" si="122">N405-V405</f>
        <v>0</v>
      </c>
    </row>
    <row r="406" spans="1:23" ht="15" hidden="1" customHeight="1" x14ac:dyDescent="0.2">
      <c r="A406" s="63" t="s">
        <v>147</v>
      </c>
      <c r="B406" s="895" t="s">
        <v>147</v>
      </c>
      <c r="C406" s="896"/>
      <c r="D406" s="957" t="s">
        <v>244</v>
      </c>
      <c r="E406" s="907">
        <f>DMT!$F$28</f>
        <v>22</v>
      </c>
      <c r="F406" s="908">
        <f>SUM(F402:F405)</f>
        <v>1</v>
      </c>
      <c r="G406" s="912">
        <f>IF(E406&lt;=30,(1.07*E406+6.45)*F406,((1.07*30+6.45)+1.07*(E406-30))*F406)</f>
        <v>29.990000000000002</v>
      </c>
      <c r="H406" s="901">
        <v>0</v>
      </c>
      <c r="I406" s="901"/>
      <c r="J406" s="902">
        <v>0</v>
      </c>
      <c r="K406" s="903" t="s">
        <v>507</v>
      </c>
      <c r="L406" s="1003">
        <f>ROUND(SUM('RES. CENTRAL PARK:RUA_FINAL'!L406),2)</f>
        <v>0</v>
      </c>
      <c r="M406" s="960">
        <f t="shared" si="90"/>
        <v>0</v>
      </c>
      <c r="N406" s="893">
        <f t="shared" si="91"/>
        <v>0</v>
      </c>
      <c r="O406" s="905"/>
      <c r="P406" s="58" t="str">
        <f>IF(N402&gt;0,"xx",IF(N402&gt;0,"xy",""))</f>
        <v/>
      </c>
      <c r="Q406" s="317" t="str">
        <f t="shared" si="92"/>
        <v/>
      </c>
      <c r="R406" s="317" t="str">
        <f t="shared" si="93"/>
        <v/>
      </c>
      <c r="S406" s="317" t="str">
        <f t="shared" si="94"/>
        <v/>
      </c>
      <c r="V406" s="314">
        <f>SUM('RES. CENTRAL PARK:RUA_FINAL'!N406)</f>
        <v>0</v>
      </c>
      <c r="W406" s="315">
        <f t="shared" si="122"/>
        <v>0</v>
      </c>
    </row>
    <row r="407" spans="1:23" ht="15" hidden="1" customHeight="1" thickBot="1" x14ac:dyDescent="0.25">
      <c r="A407" s="63">
        <v>589000</v>
      </c>
      <c r="B407" s="1004" t="s">
        <v>715</v>
      </c>
      <c r="C407" s="984" t="s">
        <v>213</v>
      </c>
      <c r="D407" s="1012" t="s">
        <v>2172</v>
      </c>
      <c r="E407" s="1020">
        <f>DMT!$D$45</f>
        <v>45</v>
      </c>
      <c r="F407" s="1006">
        <v>1</v>
      </c>
      <c r="G407" s="949">
        <f>(0.94*E407+46.06)*F407</f>
        <v>88.36</v>
      </c>
      <c r="H407" s="988">
        <v>4828.8599999999997</v>
      </c>
      <c r="I407" s="988">
        <f>IF(ISBLANK(H407),"",H407*(1+$E$9)/(1+$E$10))+G407</f>
        <v>4724.580378112767</v>
      </c>
      <c r="J407" s="989">
        <f t="shared" si="99"/>
        <v>5672.8</v>
      </c>
      <c r="K407" s="990" t="s">
        <v>14</v>
      </c>
      <c r="L407" s="991">
        <f>ROUND(SUM('RES. CENTRAL PARK:RUA_FINAL'!L407),2)</f>
        <v>0</v>
      </c>
      <c r="M407" s="1013">
        <f t="shared" si="90"/>
        <v>0</v>
      </c>
      <c r="N407" s="993">
        <f t="shared" si="91"/>
        <v>0</v>
      </c>
      <c r="O407" s="905"/>
      <c r="P407" s="58" t="str">
        <f>IF(N402&gt;0,"xx",IF(N402&gt;0,"xy",""))</f>
        <v/>
      </c>
      <c r="Q407" s="317" t="str">
        <f t="shared" si="92"/>
        <v/>
      </c>
      <c r="R407" s="317" t="str">
        <f t="shared" si="93"/>
        <v/>
      </c>
      <c r="S407" s="317" t="str">
        <f t="shared" si="94"/>
        <v/>
      </c>
      <c r="V407" s="314">
        <f>SUM('RES. CENTRAL PARK:RUA_FINAL'!N407)</f>
        <v>0</v>
      </c>
      <c r="W407" s="315">
        <f t="shared" si="122"/>
        <v>0</v>
      </c>
    </row>
    <row r="408" spans="1:23" ht="15" customHeight="1" x14ac:dyDescent="0.2">
      <c r="A408" s="63">
        <v>570000</v>
      </c>
      <c r="B408" s="999" t="s">
        <v>1651</v>
      </c>
      <c r="C408" s="1000" t="s">
        <v>184</v>
      </c>
      <c r="D408" s="1024" t="str">
        <f>CONCATENATE("CBUQ - Novo traço - ",Novos_Traços_CBUQ!C152," - (Quant. menor que 10.000 ton)")</f>
        <v>CBUQ - Novo traço - Reperfilamento 2 - "FAIXA C" - (Quant. menor que 10.000 ton)</v>
      </c>
      <c r="E408" s="974" t="s">
        <v>569</v>
      </c>
      <c r="F408" s="1022">
        <f>Novos_Traços_CBUQ!F178</f>
        <v>5.0999999999999997E-2</v>
      </c>
      <c r="G408" s="976">
        <f>SUM(G409:G412)</f>
        <v>51.927324600000006</v>
      </c>
      <c r="H408" s="977">
        <v>187.41</v>
      </c>
      <c r="I408" s="977">
        <f>IF(ISBLANK(H408),"",SUM(G408:H408))</f>
        <v>239.33732459999999</v>
      </c>
      <c r="J408" s="978">
        <f t="shared" ref="J408" si="123">IF(ISBLANK(H408),0,ROUND(I408*(1+$E$10),2))</f>
        <v>287.37</v>
      </c>
      <c r="K408" s="979" t="s">
        <v>14</v>
      </c>
      <c r="L408" s="980">
        <f>ROUND(SUM('RES. CENTRAL PARK:RUA_FINAL'!L408),2)</f>
        <v>789.77</v>
      </c>
      <c r="M408" s="981">
        <f t="shared" ref="M408:M413" si="124">IF(L408=0,0,ROUND(J408,2))</f>
        <v>287.37</v>
      </c>
      <c r="N408" s="982">
        <f t="shared" ref="N408:N413" si="125">IF(ISBLANK(L408),0,ROUND(L408*M408,2))</f>
        <v>226956.2</v>
      </c>
      <c r="O408" s="905"/>
      <c r="Q408" s="317" t="str">
        <f t="shared" ref="Q408:Q413" si="126">IF(P408="X","x",IF(P408="xx","x",IF(P408="xy","x",IF(P408="y","x",IF(OR(N408&gt;0,N408&gt;0),"x","")))))</f>
        <v>x</v>
      </c>
      <c r="R408" s="317" t="str">
        <f t="shared" ref="R408:R413" si="127">IF(P408="X","x",IF(P408="y","x",IF(P408="xx","x",IF(N408&gt;0,"x",""))))</f>
        <v>x</v>
      </c>
      <c r="S408" s="317" t="str">
        <f t="shared" ref="S408:S413" si="128">IF(P408="X","x",IF(N408&gt;0,"x",""))</f>
        <v>x</v>
      </c>
      <c r="V408" s="314">
        <f>SUM('RES. CENTRAL PARK:RUA_FINAL'!N408)</f>
        <v>226957.41999999998</v>
      </c>
      <c r="W408" s="315">
        <f t="shared" si="122"/>
        <v>-1.2199999999720603</v>
      </c>
    </row>
    <row r="409" spans="1:23" ht="15" customHeight="1" x14ac:dyDescent="0.2">
      <c r="A409" s="63" t="s">
        <v>147</v>
      </c>
      <c r="B409" s="895" t="s">
        <v>147</v>
      </c>
      <c r="C409" s="896"/>
      <c r="D409" s="957" t="s">
        <v>229</v>
      </c>
      <c r="E409" s="907">
        <f>DMT!$F$42</f>
        <v>150</v>
      </c>
      <c r="F409" s="1287">
        <f>Novos_Traços_CBUQ!F176</f>
        <v>9.4899999999999998E-2</v>
      </c>
      <c r="G409" s="949">
        <f t="shared" ref="G409" si="129">IF(E409&lt;=30,(1.07*E409+2.68)*F409,((1.07*30+2.68)+1.07*(E409-30))*F409)</f>
        <v>15.485782</v>
      </c>
      <c r="H409" s="901">
        <v>0</v>
      </c>
      <c r="I409" s="901"/>
      <c r="J409" s="902">
        <v>0</v>
      </c>
      <c r="K409" s="903" t="s">
        <v>507</v>
      </c>
      <c r="L409" s="1003">
        <f>ROUND(SUM('RES. CENTRAL PARK:RUA_FINAL'!L409),2)</f>
        <v>0</v>
      </c>
      <c r="M409" s="960">
        <f t="shared" si="124"/>
        <v>0</v>
      </c>
      <c r="N409" s="893">
        <f t="shared" si="125"/>
        <v>0</v>
      </c>
      <c r="O409" s="905"/>
      <c r="P409" s="58" t="str">
        <f>IF(N408&gt;0,"xx",IF(N408&gt;0,"xy",""))</f>
        <v>xx</v>
      </c>
      <c r="Q409" s="317" t="str">
        <f t="shared" si="126"/>
        <v>x</v>
      </c>
      <c r="R409" s="317" t="str">
        <f t="shared" si="127"/>
        <v>x</v>
      </c>
      <c r="S409" s="317" t="str">
        <f t="shared" si="128"/>
        <v/>
      </c>
      <c r="V409" s="314">
        <f>SUM('RES. CENTRAL PARK:RUA_FINAL'!N409)</f>
        <v>0</v>
      </c>
      <c r="W409" s="315">
        <f t="shared" si="122"/>
        <v>0</v>
      </c>
    </row>
    <row r="410" spans="1:23" ht="15" customHeight="1" x14ac:dyDescent="0.2">
      <c r="A410" s="63" t="s">
        <v>147</v>
      </c>
      <c r="B410" s="895" t="s">
        <v>147</v>
      </c>
      <c r="C410" s="896"/>
      <c r="D410" s="957" t="s">
        <v>230</v>
      </c>
      <c r="E410" s="907">
        <f>DMT!$D$46</f>
        <v>353</v>
      </c>
      <c r="F410" s="1287">
        <f>Novos_Traços_CBUQ!F177</f>
        <v>1.4200000000000001E-2</v>
      </c>
      <c r="G410" s="909">
        <f>IF(E410&lt;=30,(0.78*E410+7.82)*F410,((0.78*30+7.82)+0.78*(E410-30))*F410)</f>
        <v>4.0208720000000007</v>
      </c>
      <c r="H410" s="901">
        <v>0</v>
      </c>
      <c r="I410" s="901"/>
      <c r="J410" s="902">
        <v>0</v>
      </c>
      <c r="K410" s="903" t="s">
        <v>507</v>
      </c>
      <c r="L410" s="1003">
        <f>ROUND(SUM('RES. CENTRAL PARK:RUA_FINAL'!L410),2)</f>
        <v>0</v>
      </c>
      <c r="M410" s="960">
        <f t="shared" si="124"/>
        <v>0</v>
      </c>
      <c r="N410" s="893">
        <f t="shared" si="125"/>
        <v>0</v>
      </c>
      <c r="O410" s="905"/>
      <c r="P410" s="58" t="str">
        <f>IF(N408&gt;0,"xx",IF(N408&gt;0,"xy",""))</f>
        <v>xx</v>
      </c>
      <c r="Q410" s="317" t="str">
        <f t="shared" si="126"/>
        <v>x</v>
      </c>
      <c r="R410" s="317" t="str">
        <f t="shared" si="127"/>
        <v>x</v>
      </c>
      <c r="S410" s="317" t="str">
        <f t="shared" si="128"/>
        <v/>
      </c>
      <c r="V410" s="314">
        <f>SUM('RES. CENTRAL PARK:RUA_FINAL'!N410)</f>
        <v>0</v>
      </c>
      <c r="W410" s="315">
        <f t="shared" si="122"/>
        <v>0</v>
      </c>
    </row>
    <row r="411" spans="1:23" ht="15" customHeight="1" x14ac:dyDescent="0.2">
      <c r="A411" s="63" t="s">
        <v>147</v>
      </c>
      <c r="B411" s="895" t="s">
        <v>147</v>
      </c>
      <c r="C411" s="896"/>
      <c r="D411" s="957" t="s">
        <v>243</v>
      </c>
      <c r="E411" s="907">
        <f>DMT!$F$43</f>
        <v>0.2</v>
      </c>
      <c r="F411" s="1287">
        <f>Novos_Traços_CBUQ!F174</f>
        <v>0.83989999999999998</v>
      </c>
      <c r="G411" s="949">
        <f t="shared" ref="G411" si="130">IF(E411&lt;=30,(1.07*E411+2.68)*F411,((1.07*30+2.68)+1.07*(E411-30))*F411)</f>
        <v>2.4306706</v>
      </c>
      <c r="H411" s="901">
        <v>0</v>
      </c>
      <c r="I411" s="901"/>
      <c r="J411" s="902">
        <v>0</v>
      </c>
      <c r="K411" s="903" t="s">
        <v>507</v>
      </c>
      <c r="L411" s="1003">
        <f>ROUND(SUM('RES. CENTRAL PARK:RUA_FINAL'!L411),2)</f>
        <v>0</v>
      </c>
      <c r="M411" s="960">
        <f t="shared" si="124"/>
        <v>0</v>
      </c>
      <c r="N411" s="893">
        <f t="shared" si="125"/>
        <v>0</v>
      </c>
      <c r="O411" s="905"/>
      <c r="P411" s="58" t="str">
        <f>IF(N408&gt;0,"xx",IF(N408&gt;0,"xy",""))</f>
        <v>xx</v>
      </c>
      <c r="Q411" s="317" t="str">
        <f t="shared" si="126"/>
        <v>x</v>
      </c>
      <c r="R411" s="317" t="str">
        <f t="shared" si="127"/>
        <v>x</v>
      </c>
      <c r="S411" s="317" t="str">
        <f t="shared" si="128"/>
        <v/>
      </c>
      <c r="V411" s="314">
        <f>SUM('RES. CENTRAL PARK:RUA_FINAL'!N411)</f>
        <v>0</v>
      </c>
      <c r="W411" s="315">
        <f t="shared" si="122"/>
        <v>0</v>
      </c>
    </row>
    <row r="412" spans="1:23" ht="15" customHeight="1" x14ac:dyDescent="0.2">
      <c r="A412" s="63" t="s">
        <v>147</v>
      </c>
      <c r="B412" s="895" t="s">
        <v>147</v>
      </c>
      <c r="C412" s="896"/>
      <c r="D412" s="957" t="s">
        <v>244</v>
      </c>
      <c r="E412" s="907">
        <f>DMT!$F$28</f>
        <v>22</v>
      </c>
      <c r="F412" s="908">
        <f>SUM(F408:F411)</f>
        <v>1</v>
      </c>
      <c r="G412" s="912">
        <f>IF(E412&lt;=30,(1.07*E412+6.45)*F412,((1.07*30+6.45)+1.07*(E412-30))*F412)</f>
        <v>29.990000000000002</v>
      </c>
      <c r="H412" s="901">
        <v>0</v>
      </c>
      <c r="I412" s="901"/>
      <c r="J412" s="902">
        <v>0</v>
      </c>
      <c r="K412" s="903" t="s">
        <v>507</v>
      </c>
      <c r="L412" s="1003">
        <f>ROUND(SUM('RES. CENTRAL PARK:RUA_FINAL'!L412),2)</f>
        <v>0</v>
      </c>
      <c r="M412" s="960">
        <f t="shared" si="124"/>
        <v>0</v>
      </c>
      <c r="N412" s="893">
        <f t="shared" si="125"/>
        <v>0</v>
      </c>
      <c r="O412" s="905"/>
      <c r="P412" s="58" t="str">
        <f>IF(N408&gt;0,"xx",IF(N408&gt;0,"xy",""))</f>
        <v>xx</v>
      </c>
      <c r="Q412" s="317" t="str">
        <f t="shared" si="126"/>
        <v>x</v>
      </c>
      <c r="R412" s="317" t="str">
        <f t="shared" si="127"/>
        <v>x</v>
      </c>
      <c r="S412" s="317" t="str">
        <f t="shared" si="128"/>
        <v/>
      </c>
      <c r="V412" s="314">
        <f>SUM('RES. CENTRAL PARK:RUA_FINAL'!N412)</f>
        <v>0</v>
      </c>
      <c r="W412" s="315">
        <f t="shared" si="122"/>
        <v>0</v>
      </c>
    </row>
    <row r="413" spans="1:23" ht="15" customHeight="1" thickBot="1" x14ac:dyDescent="0.25">
      <c r="A413" s="63">
        <v>589000</v>
      </c>
      <c r="B413" s="1004" t="s">
        <v>715</v>
      </c>
      <c r="C413" s="984" t="s">
        <v>213</v>
      </c>
      <c r="D413" s="1012" t="s">
        <v>2172</v>
      </c>
      <c r="E413" s="1020">
        <f>DMT!$D$45</f>
        <v>45</v>
      </c>
      <c r="F413" s="1006">
        <v>1</v>
      </c>
      <c r="G413" s="949">
        <f>(0.94*E413+46.06)*F413</f>
        <v>88.36</v>
      </c>
      <c r="H413" s="988">
        <v>4828.8599999999997</v>
      </c>
      <c r="I413" s="988">
        <f>IF(ISBLANK(H413),"",H413*(1+$E$9)/(1+$E$10))+G413</f>
        <v>4724.580378112767</v>
      </c>
      <c r="J413" s="989">
        <f t="shared" ref="J413:J414" si="131">IF(ISBLANK(H413),0,ROUND(I413*(1+$E$10),2))</f>
        <v>5672.8</v>
      </c>
      <c r="K413" s="990" t="s">
        <v>14</v>
      </c>
      <c r="L413" s="991">
        <f>ROUND(SUM('RES. CENTRAL PARK:RUA_FINAL'!L413),2)</f>
        <v>40.28</v>
      </c>
      <c r="M413" s="1013">
        <f t="shared" si="124"/>
        <v>5672.8</v>
      </c>
      <c r="N413" s="993">
        <f t="shared" si="125"/>
        <v>228500.38</v>
      </c>
      <c r="O413" s="905"/>
      <c r="P413" s="58" t="str">
        <f>IF(N408&gt;0,"xx",IF(N408&gt;0,"xy",""))</f>
        <v>xx</v>
      </c>
      <c r="Q413" s="317" t="str">
        <f t="shared" si="126"/>
        <v>x</v>
      </c>
      <c r="R413" s="317" t="str">
        <f t="shared" si="127"/>
        <v>x</v>
      </c>
      <c r="S413" s="317" t="str">
        <f t="shared" si="128"/>
        <v>x</v>
      </c>
      <c r="V413" s="314">
        <f>SUM('RES. CENTRAL PARK:RUA_FINAL'!N413)</f>
        <v>228500.39</v>
      </c>
      <c r="W413" s="315">
        <f t="shared" si="122"/>
        <v>-1.0000000009313226E-2</v>
      </c>
    </row>
    <row r="414" spans="1:23" ht="15" hidden="1" customHeight="1" x14ac:dyDescent="0.2">
      <c r="A414" s="63">
        <v>570000</v>
      </c>
      <c r="B414" s="999" t="s">
        <v>1651</v>
      </c>
      <c r="C414" s="1000" t="s">
        <v>184</v>
      </c>
      <c r="D414" s="1024" t="str">
        <f>CONCATENATE("CBUQ - Novo traço - ",Novos_Traços_CBUQ!J152," - (Quant. menor que 10.000 ton)")</f>
        <v>CBUQ - Novo traço - Reperfilamento 3 - "FAIXA C" - (Quant. menor que 10.000 ton)</v>
      </c>
      <c r="E414" s="974" t="s">
        <v>569</v>
      </c>
      <c r="F414" s="1022">
        <f>Novos_Traços_CBUQ!M178</f>
        <v>0.05</v>
      </c>
      <c r="G414" s="976">
        <f>SUM(G415:G418)</f>
        <v>51.974273800000006</v>
      </c>
      <c r="H414" s="977">
        <v>187.41</v>
      </c>
      <c r="I414" s="977">
        <f>IF(ISBLANK(H414),"",SUM(G414:H414))</f>
        <v>239.38427380000002</v>
      </c>
      <c r="J414" s="978">
        <f t="shared" si="131"/>
        <v>287.43</v>
      </c>
      <c r="K414" s="979" t="s">
        <v>14</v>
      </c>
      <c r="L414" s="980">
        <f>ROUND(SUM('RES. CENTRAL PARK:RUA_FINAL'!L414),2)</f>
        <v>0</v>
      </c>
      <c r="M414" s="981">
        <f t="shared" ref="M414:M419" si="132">IF(L414=0,0,ROUND(J414,2))</f>
        <v>0</v>
      </c>
      <c r="N414" s="982">
        <f t="shared" ref="N414:N419" si="133">IF(ISBLANK(L414),0,ROUND(L414*M414,2))</f>
        <v>0</v>
      </c>
      <c r="O414" s="905"/>
      <c r="Q414" s="317" t="str">
        <f t="shared" ref="Q414:Q419" si="134">IF(P414="X","x",IF(P414="xx","x",IF(P414="xy","x",IF(P414="y","x",IF(OR(N414&gt;0,N414&gt;0),"x","")))))</f>
        <v/>
      </c>
      <c r="R414" s="317" t="str">
        <f t="shared" ref="R414:R419" si="135">IF(P414="X","x",IF(P414="y","x",IF(P414="xx","x",IF(N414&gt;0,"x",""))))</f>
        <v/>
      </c>
      <c r="S414" s="317" t="str">
        <f t="shared" ref="S414:S419" si="136">IF(P414="X","x",IF(N414&gt;0,"x",""))</f>
        <v/>
      </c>
      <c r="V414" s="314">
        <f>SUM('RES. CENTRAL PARK:RUA_FINAL'!N414)</f>
        <v>0</v>
      </c>
      <c r="W414" s="315">
        <f t="shared" si="122"/>
        <v>0</v>
      </c>
    </row>
    <row r="415" spans="1:23" ht="15" hidden="1" customHeight="1" x14ac:dyDescent="0.2">
      <c r="A415" s="63" t="s">
        <v>147</v>
      </c>
      <c r="B415" s="895" t="s">
        <v>147</v>
      </c>
      <c r="C415" s="896"/>
      <c r="D415" s="957" t="s">
        <v>229</v>
      </c>
      <c r="E415" s="907">
        <f>DMT!$F$42</f>
        <v>150</v>
      </c>
      <c r="F415" s="1287">
        <f>Novos_Traços_CBUQ!M176</f>
        <v>9.5000000000000001E-2</v>
      </c>
      <c r="G415" s="949">
        <f t="shared" ref="G415" si="137">IF(E415&lt;=30,(1.07*E415+2.68)*F415,((1.07*30+2.68)+1.07*(E415-30))*F415)</f>
        <v>15.5021</v>
      </c>
      <c r="H415" s="901">
        <v>0</v>
      </c>
      <c r="I415" s="901"/>
      <c r="J415" s="902">
        <v>0</v>
      </c>
      <c r="K415" s="903" t="s">
        <v>507</v>
      </c>
      <c r="L415" s="1003">
        <f>ROUND(SUM('RES. CENTRAL PARK:RUA_FINAL'!L415),2)</f>
        <v>0</v>
      </c>
      <c r="M415" s="960">
        <f t="shared" si="132"/>
        <v>0</v>
      </c>
      <c r="N415" s="893">
        <f t="shared" si="133"/>
        <v>0</v>
      </c>
      <c r="O415" s="905"/>
      <c r="P415" s="58" t="str">
        <f>IF(N414&gt;0,"xx",IF(N414&gt;0,"xy",""))</f>
        <v/>
      </c>
      <c r="Q415" s="317" t="str">
        <f t="shared" si="134"/>
        <v/>
      </c>
      <c r="R415" s="317" t="str">
        <f t="shared" si="135"/>
        <v/>
      </c>
      <c r="S415" s="317" t="str">
        <f t="shared" si="136"/>
        <v/>
      </c>
      <c r="V415" s="314">
        <f>SUM('RES. CENTRAL PARK:RUA_FINAL'!N415)</f>
        <v>0</v>
      </c>
      <c r="W415" s="315">
        <f t="shared" si="122"/>
        <v>0</v>
      </c>
    </row>
    <row r="416" spans="1:23" ht="15" hidden="1" customHeight="1" x14ac:dyDescent="0.2">
      <c r="A416" s="63" t="s">
        <v>147</v>
      </c>
      <c r="B416" s="895" t="s">
        <v>147</v>
      </c>
      <c r="C416" s="896"/>
      <c r="D416" s="957" t="s">
        <v>230</v>
      </c>
      <c r="E416" s="907">
        <f>DMT!$D$46</f>
        <v>353</v>
      </c>
      <c r="F416" s="1287">
        <f>Novos_Traços_CBUQ!M177</f>
        <v>1.43E-2</v>
      </c>
      <c r="G416" s="909">
        <f>IF(E416&lt;=30,(0.78*E416+7.82)*F416,((0.78*30+7.82)+0.78*(E416-30))*F416)</f>
        <v>4.049188</v>
      </c>
      <c r="H416" s="901">
        <v>0</v>
      </c>
      <c r="I416" s="901"/>
      <c r="J416" s="902">
        <v>0</v>
      </c>
      <c r="K416" s="903" t="s">
        <v>507</v>
      </c>
      <c r="L416" s="1003">
        <f>ROUND(SUM('RES. CENTRAL PARK:RUA_FINAL'!L416),2)</f>
        <v>0</v>
      </c>
      <c r="M416" s="960">
        <f t="shared" si="132"/>
        <v>0</v>
      </c>
      <c r="N416" s="893">
        <f t="shared" si="133"/>
        <v>0</v>
      </c>
      <c r="O416" s="905"/>
      <c r="P416" s="58" t="str">
        <f>IF(N414&gt;0,"xx",IF(N414&gt;0,"xy",""))</f>
        <v/>
      </c>
      <c r="Q416" s="317" t="str">
        <f t="shared" si="134"/>
        <v/>
      </c>
      <c r="R416" s="317" t="str">
        <f t="shared" si="135"/>
        <v/>
      </c>
      <c r="S416" s="317" t="str">
        <f t="shared" si="136"/>
        <v/>
      </c>
      <c r="V416" s="314">
        <f>SUM('RES. CENTRAL PARK:RUA_FINAL'!N416)</f>
        <v>0</v>
      </c>
      <c r="W416" s="315">
        <f t="shared" si="122"/>
        <v>0</v>
      </c>
    </row>
    <row r="417" spans="1:23" ht="15" hidden="1" customHeight="1" x14ac:dyDescent="0.2">
      <c r="A417" s="63" t="s">
        <v>147</v>
      </c>
      <c r="B417" s="895" t="s">
        <v>147</v>
      </c>
      <c r="C417" s="896"/>
      <c r="D417" s="957" t="s">
        <v>243</v>
      </c>
      <c r="E417" s="907">
        <f>DMT!$F$43</f>
        <v>0.2</v>
      </c>
      <c r="F417" s="1287">
        <f>Novos_Traços_CBUQ!M174</f>
        <v>0.8407</v>
      </c>
      <c r="G417" s="949">
        <f t="shared" ref="G417" si="138">IF(E417&lt;=30,(1.07*E417+2.68)*F417,((1.07*30+2.68)+1.07*(E417-30))*F417)</f>
        <v>2.4329858</v>
      </c>
      <c r="H417" s="901">
        <v>0</v>
      </c>
      <c r="I417" s="901"/>
      <c r="J417" s="902">
        <v>0</v>
      </c>
      <c r="K417" s="903" t="s">
        <v>507</v>
      </c>
      <c r="L417" s="1003">
        <f>ROUND(SUM('RES. CENTRAL PARK:RUA_FINAL'!L417),2)</f>
        <v>0</v>
      </c>
      <c r="M417" s="960">
        <f t="shared" si="132"/>
        <v>0</v>
      </c>
      <c r="N417" s="893">
        <f t="shared" si="133"/>
        <v>0</v>
      </c>
      <c r="O417" s="905"/>
      <c r="P417" s="58" t="str">
        <f>IF(N414&gt;0,"xx",IF(N414&gt;0,"xy",""))</f>
        <v/>
      </c>
      <c r="Q417" s="317" t="str">
        <f t="shared" si="134"/>
        <v/>
      </c>
      <c r="R417" s="317" t="str">
        <f t="shared" si="135"/>
        <v/>
      </c>
      <c r="S417" s="317" t="str">
        <f t="shared" si="136"/>
        <v/>
      </c>
      <c r="V417" s="314">
        <f>SUM('RES. CENTRAL PARK:RUA_FINAL'!N417)</f>
        <v>0</v>
      </c>
      <c r="W417" s="315">
        <f t="shared" si="122"/>
        <v>0</v>
      </c>
    </row>
    <row r="418" spans="1:23" ht="15" hidden="1" customHeight="1" x14ac:dyDescent="0.2">
      <c r="A418" s="63" t="s">
        <v>147</v>
      </c>
      <c r="B418" s="895" t="s">
        <v>147</v>
      </c>
      <c r="C418" s="896"/>
      <c r="D418" s="957" t="s">
        <v>244</v>
      </c>
      <c r="E418" s="907">
        <f>DMT!$F$28</f>
        <v>22</v>
      </c>
      <c r="F418" s="908">
        <f>SUM(F414:F417)</f>
        <v>1</v>
      </c>
      <c r="G418" s="912">
        <f>IF(E418&lt;=30,(1.07*E418+6.45)*F418,((1.07*30+6.45)+1.07*(E418-30))*F418)</f>
        <v>29.990000000000002</v>
      </c>
      <c r="H418" s="901">
        <v>0</v>
      </c>
      <c r="I418" s="901"/>
      <c r="J418" s="902">
        <v>0</v>
      </c>
      <c r="K418" s="903" t="s">
        <v>507</v>
      </c>
      <c r="L418" s="1003">
        <f>ROUND(SUM('RES. CENTRAL PARK:RUA_FINAL'!L418),2)</f>
        <v>0</v>
      </c>
      <c r="M418" s="960">
        <f t="shared" si="132"/>
        <v>0</v>
      </c>
      <c r="N418" s="893">
        <f t="shared" si="133"/>
        <v>0</v>
      </c>
      <c r="O418" s="905"/>
      <c r="P418" s="58" t="str">
        <f>IF(N414&gt;0,"xx",IF(N414&gt;0,"xy",""))</f>
        <v/>
      </c>
      <c r="Q418" s="317" t="str">
        <f t="shared" si="134"/>
        <v/>
      </c>
      <c r="R418" s="317" t="str">
        <f t="shared" si="135"/>
        <v/>
      </c>
      <c r="S418" s="317" t="str">
        <f t="shared" si="136"/>
        <v/>
      </c>
      <c r="V418" s="314">
        <f>SUM('RES. CENTRAL PARK:RUA_FINAL'!N418)</f>
        <v>0</v>
      </c>
      <c r="W418" s="315">
        <f t="shared" si="122"/>
        <v>0</v>
      </c>
    </row>
    <row r="419" spans="1:23" ht="15" hidden="1" customHeight="1" thickBot="1" x14ac:dyDescent="0.25">
      <c r="A419" s="63">
        <v>589000</v>
      </c>
      <c r="B419" s="1004" t="s">
        <v>715</v>
      </c>
      <c r="C419" s="984" t="s">
        <v>213</v>
      </c>
      <c r="D419" s="1012" t="s">
        <v>2172</v>
      </c>
      <c r="E419" s="1020">
        <f>DMT!$D$45</f>
        <v>45</v>
      </c>
      <c r="F419" s="1006">
        <v>1</v>
      </c>
      <c r="G419" s="949">
        <f>(0.94*E419+46.06)*F419</f>
        <v>88.36</v>
      </c>
      <c r="H419" s="988">
        <v>4828.8599999999997</v>
      </c>
      <c r="I419" s="988">
        <f>IF(ISBLANK(H419),"",H419*(1+$E$9)/(1+$E$10))+G419</f>
        <v>4724.580378112767</v>
      </c>
      <c r="J419" s="989">
        <f t="shared" ref="J419" si="139">IF(ISBLANK(H419),0,ROUND(I419*(1+$E$10),2))</f>
        <v>5672.8</v>
      </c>
      <c r="K419" s="990" t="s">
        <v>14</v>
      </c>
      <c r="L419" s="991">
        <f>ROUND(SUM('RES. CENTRAL PARK:RUA_FINAL'!L419),2)</f>
        <v>0</v>
      </c>
      <c r="M419" s="1013">
        <f t="shared" si="132"/>
        <v>0</v>
      </c>
      <c r="N419" s="993">
        <f t="shared" si="133"/>
        <v>0</v>
      </c>
      <c r="O419" s="905"/>
      <c r="P419" s="58" t="str">
        <f>IF(N414&gt;0,"xx",IF(N414&gt;0,"xy",""))</f>
        <v/>
      </c>
      <c r="Q419" s="317" t="str">
        <f t="shared" si="134"/>
        <v/>
      </c>
      <c r="R419" s="317" t="str">
        <f t="shared" si="135"/>
        <v/>
      </c>
      <c r="S419" s="317" t="str">
        <f t="shared" si="136"/>
        <v/>
      </c>
      <c r="V419" s="314">
        <f>SUM('RES. CENTRAL PARK:RUA_FINAL'!N419)</f>
        <v>0</v>
      </c>
      <c r="W419" s="315">
        <f t="shared" si="122"/>
        <v>0</v>
      </c>
    </row>
    <row r="420" spans="1:23" ht="15" customHeight="1" x14ac:dyDescent="0.2">
      <c r="A420" s="63">
        <v>570000</v>
      </c>
      <c r="B420" s="999" t="s">
        <v>1652</v>
      </c>
      <c r="C420" s="1000" t="s">
        <v>184</v>
      </c>
      <c r="D420" s="973" t="s">
        <v>2214</v>
      </c>
      <c r="E420" s="974" t="s">
        <v>569</v>
      </c>
      <c r="F420" s="1023">
        <v>0.05</v>
      </c>
      <c r="G420" s="976">
        <f>SUM(G421:G424)</f>
        <v>53.140143399999999</v>
      </c>
      <c r="H420" s="977">
        <v>187.41</v>
      </c>
      <c r="I420" s="977">
        <f>IF(ISBLANK(H420),"",SUM(G420:H420))</f>
        <v>240.5501434</v>
      </c>
      <c r="J420" s="978">
        <f t="shared" si="99"/>
        <v>288.83</v>
      </c>
      <c r="K420" s="979" t="s">
        <v>14</v>
      </c>
      <c r="L420" s="980">
        <f>ROUND(SUM('RES. CENTRAL PARK:RUA_FINAL'!L420),2)</f>
        <v>1184.6600000000001</v>
      </c>
      <c r="M420" s="981">
        <f t="shared" si="90"/>
        <v>288.83</v>
      </c>
      <c r="N420" s="982">
        <f t="shared" si="91"/>
        <v>342165.35</v>
      </c>
      <c r="O420" s="905"/>
      <c r="Q420" s="317" t="str">
        <f t="shared" si="92"/>
        <v>x</v>
      </c>
      <c r="R420" s="317" t="str">
        <f t="shared" si="93"/>
        <v>x</v>
      </c>
      <c r="S420" s="317" t="str">
        <f t="shared" si="94"/>
        <v>x</v>
      </c>
      <c r="V420" s="314">
        <f>SUM('RES. CENTRAL PARK:RUA_FINAL'!N420)</f>
        <v>342165.74</v>
      </c>
      <c r="W420" s="315">
        <f t="shared" si="122"/>
        <v>-0.39000000001396984</v>
      </c>
    </row>
    <row r="421" spans="1:23" ht="15" customHeight="1" x14ac:dyDescent="0.2">
      <c r="A421" s="63" t="s">
        <v>147</v>
      </c>
      <c r="B421" s="895" t="s">
        <v>147</v>
      </c>
      <c r="C421" s="896"/>
      <c r="D421" s="957" t="s">
        <v>229</v>
      </c>
      <c r="E421" s="907">
        <f>DMT!$F$42</f>
        <v>150</v>
      </c>
      <c r="F421" s="908">
        <v>0.1007</v>
      </c>
      <c r="G421" s="949">
        <f t="shared" ref="G421:G423" si="140">IF(E421&lt;=30,(1.07*E421+2.68)*F421,((1.07*30+2.68)+1.07*(E421-30))*F421)</f>
        <v>16.432226</v>
      </c>
      <c r="H421" s="901">
        <v>0</v>
      </c>
      <c r="I421" s="901"/>
      <c r="J421" s="902">
        <v>0</v>
      </c>
      <c r="K421" s="903" t="s">
        <v>507</v>
      </c>
      <c r="L421" s="1003">
        <f>ROUND(SUM('RES. CENTRAL PARK:RUA_FINAL'!L421),2)</f>
        <v>0</v>
      </c>
      <c r="M421" s="960">
        <f t="shared" si="90"/>
        <v>0</v>
      </c>
      <c r="N421" s="893">
        <f t="shared" si="91"/>
        <v>0</v>
      </c>
      <c r="O421" s="905"/>
      <c r="P421" s="58" t="str">
        <f>IF(N420&gt;0,"xx",IF(N420&gt;0,"xy",""))</f>
        <v>xx</v>
      </c>
      <c r="Q421" s="317" t="str">
        <f t="shared" si="92"/>
        <v>x</v>
      </c>
      <c r="R421" s="317" t="str">
        <f t="shared" si="93"/>
        <v>x</v>
      </c>
      <c r="S421" s="317" t="str">
        <f t="shared" si="94"/>
        <v/>
      </c>
      <c r="V421" s="314">
        <f>SUM('RES. CENTRAL PARK:RUA_FINAL'!N421)</f>
        <v>0</v>
      </c>
      <c r="W421" s="315">
        <f t="shared" si="122"/>
        <v>0</v>
      </c>
    </row>
    <row r="422" spans="1:23" ht="15" customHeight="1" x14ac:dyDescent="0.2">
      <c r="A422" s="63" t="s">
        <v>147</v>
      </c>
      <c r="B422" s="895" t="s">
        <v>147</v>
      </c>
      <c r="C422" s="896"/>
      <c r="D422" s="957" t="s">
        <v>230</v>
      </c>
      <c r="E422" s="907">
        <f>DMT!$D$46</f>
        <v>353</v>
      </c>
      <c r="F422" s="908">
        <v>1.52E-2</v>
      </c>
      <c r="G422" s="909">
        <f>IF(E422&lt;=30,(0.78*E422+7.82)*F422,((0.78*30+7.82)+0.78*(E422-30))*F422)</f>
        <v>4.3040320000000003</v>
      </c>
      <c r="H422" s="901">
        <v>0</v>
      </c>
      <c r="I422" s="901"/>
      <c r="J422" s="902">
        <v>0</v>
      </c>
      <c r="K422" s="903" t="s">
        <v>507</v>
      </c>
      <c r="L422" s="1003">
        <f>ROUND(SUM('RES. CENTRAL PARK:RUA_FINAL'!L422),2)</f>
        <v>0</v>
      </c>
      <c r="M422" s="960">
        <f t="shared" si="90"/>
        <v>0</v>
      </c>
      <c r="N422" s="893">
        <f t="shared" si="91"/>
        <v>0</v>
      </c>
      <c r="O422" s="905"/>
      <c r="P422" s="58" t="str">
        <f>IF(N420&gt;0,"xx",IF(N420&gt;0,"xy",""))</f>
        <v>xx</v>
      </c>
      <c r="Q422" s="317" t="str">
        <f t="shared" si="92"/>
        <v>x</v>
      </c>
      <c r="R422" s="317" t="str">
        <f t="shared" si="93"/>
        <v>x</v>
      </c>
      <c r="S422" s="317" t="str">
        <f t="shared" si="94"/>
        <v/>
      </c>
      <c r="V422" s="314">
        <f>SUM('RES. CENTRAL PARK:RUA_FINAL'!N422)</f>
        <v>0</v>
      </c>
      <c r="W422" s="315">
        <f t="shared" si="122"/>
        <v>0</v>
      </c>
    </row>
    <row r="423" spans="1:23" ht="15" customHeight="1" x14ac:dyDescent="0.2">
      <c r="A423" s="63" t="s">
        <v>147</v>
      </c>
      <c r="B423" s="895" t="s">
        <v>147</v>
      </c>
      <c r="C423" s="896"/>
      <c r="D423" s="957" t="s">
        <v>243</v>
      </c>
      <c r="E423" s="907">
        <f>DMT!$F$43</f>
        <v>0.2</v>
      </c>
      <c r="F423" s="908">
        <v>0.83409999999999995</v>
      </c>
      <c r="G423" s="949">
        <f t="shared" si="140"/>
        <v>2.4138853999999998</v>
      </c>
      <c r="H423" s="901">
        <v>0</v>
      </c>
      <c r="I423" s="901"/>
      <c r="J423" s="902">
        <v>0</v>
      </c>
      <c r="K423" s="903" t="s">
        <v>507</v>
      </c>
      <c r="L423" s="1003">
        <f>ROUND(SUM('RES. CENTRAL PARK:RUA_FINAL'!L423),2)</f>
        <v>0</v>
      </c>
      <c r="M423" s="960">
        <f t="shared" si="90"/>
        <v>0</v>
      </c>
      <c r="N423" s="893">
        <f t="shared" si="91"/>
        <v>0</v>
      </c>
      <c r="O423" s="905"/>
      <c r="P423" s="58" t="str">
        <f>IF(N420&gt;0,"xx",IF(N420&gt;0,"xy",""))</f>
        <v>xx</v>
      </c>
      <c r="Q423" s="317" t="str">
        <f t="shared" si="92"/>
        <v>x</v>
      </c>
      <c r="R423" s="317" t="str">
        <f t="shared" si="93"/>
        <v>x</v>
      </c>
      <c r="S423" s="317" t="str">
        <f t="shared" si="94"/>
        <v/>
      </c>
      <c r="V423" s="314">
        <f>SUM('RES. CENTRAL PARK:RUA_FINAL'!N423)</f>
        <v>0</v>
      </c>
      <c r="W423" s="315">
        <f t="shared" si="122"/>
        <v>0</v>
      </c>
    </row>
    <row r="424" spans="1:23" ht="15" customHeight="1" x14ac:dyDescent="0.2">
      <c r="A424" s="63" t="s">
        <v>147</v>
      </c>
      <c r="B424" s="895" t="s">
        <v>147</v>
      </c>
      <c r="C424" s="896"/>
      <c r="D424" s="957" t="s">
        <v>244</v>
      </c>
      <c r="E424" s="907">
        <f>DMT!$F$28</f>
        <v>22</v>
      </c>
      <c r="F424" s="908">
        <f>SUM(F420:F423)</f>
        <v>1</v>
      </c>
      <c r="G424" s="912">
        <f>IF(E424&lt;=30,(1.07*E424+6.45)*F424,((1.07*30+6.45)+1.07*(E424-30))*F424)</f>
        <v>29.990000000000002</v>
      </c>
      <c r="H424" s="901">
        <v>0</v>
      </c>
      <c r="I424" s="901"/>
      <c r="J424" s="902">
        <v>0</v>
      </c>
      <c r="K424" s="903" t="s">
        <v>507</v>
      </c>
      <c r="L424" s="1003">
        <f>ROUND(SUM('RES. CENTRAL PARK:RUA_FINAL'!L424),2)</f>
        <v>0</v>
      </c>
      <c r="M424" s="960">
        <f t="shared" si="90"/>
        <v>0</v>
      </c>
      <c r="N424" s="893">
        <f t="shared" si="91"/>
        <v>0</v>
      </c>
      <c r="O424" s="905"/>
      <c r="P424" s="58" t="str">
        <f>IF(N420&gt;0,"xx",IF(N420&gt;0,"xy",""))</f>
        <v>xx</v>
      </c>
      <c r="Q424" s="317" t="str">
        <f t="shared" si="92"/>
        <v>x</v>
      </c>
      <c r="R424" s="317" t="str">
        <f t="shared" si="93"/>
        <v>x</v>
      </c>
      <c r="S424" s="317" t="str">
        <f t="shared" si="94"/>
        <v/>
      </c>
      <c r="V424" s="314">
        <f>SUM('RES. CENTRAL PARK:RUA_FINAL'!N424)</f>
        <v>0</v>
      </c>
      <c r="W424" s="315">
        <f t="shared" si="122"/>
        <v>0</v>
      </c>
    </row>
    <row r="425" spans="1:23" ht="15" customHeight="1" thickBot="1" x14ac:dyDescent="0.25">
      <c r="A425" s="63">
        <v>589000</v>
      </c>
      <c r="B425" s="1004" t="s">
        <v>718</v>
      </c>
      <c r="C425" s="984" t="s">
        <v>213</v>
      </c>
      <c r="D425" s="1012" t="s">
        <v>2172</v>
      </c>
      <c r="E425" s="1020">
        <f>DMT!$D$45</f>
        <v>45</v>
      </c>
      <c r="F425" s="1006">
        <v>1</v>
      </c>
      <c r="G425" s="949">
        <f>(0.94*E425+46.06)*F425</f>
        <v>88.36</v>
      </c>
      <c r="H425" s="988">
        <v>4828.8599999999997</v>
      </c>
      <c r="I425" s="988">
        <f>IF(ISBLANK(H425),"",H425*(1+$E$9)/(1+$E$10))+G425</f>
        <v>4724.580378112767</v>
      </c>
      <c r="J425" s="989">
        <f t="shared" si="99"/>
        <v>5672.8</v>
      </c>
      <c r="K425" s="990" t="s">
        <v>14</v>
      </c>
      <c r="L425" s="991">
        <f>ROUND(SUM('RES. CENTRAL PARK:RUA_FINAL'!L425),2)</f>
        <v>59.24</v>
      </c>
      <c r="M425" s="1013">
        <f t="shared" si="90"/>
        <v>5672.8</v>
      </c>
      <c r="N425" s="993">
        <f t="shared" si="91"/>
        <v>336056.67</v>
      </c>
      <c r="O425" s="905"/>
      <c r="P425" s="58" t="str">
        <f>IF(N420&gt;0,"xx",IF(N420&gt;0,"xy",""))</f>
        <v>xx</v>
      </c>
      <c r="Q425" s="317" t="str">
        <f t="shared" si="92"/>
        <v>x</v>
      </c>
      <c r="R425" s="317" t="str">
        <f t="shared" si="93"/>
        <v>x</v>
      </c>
      <c r="S425" s="317" t="str">
        <f t="shared" si="94"/>
        <v>x</v>
      </c>
      <c r="V425" s="314">
        <f>SUM('RES. CENTRAL PARK:RUA_FINAL'!N425)</f>
        <v>336056.67000000004</v>
      </c>
      <c r="W425" s="315">
        <f t="shared" si="122"/>
        <v>0</v>
      </c>
    </row>
    <row r="426" spans="1:23" ht="15" hidden="1" customHeight="1" x14ac:dyDescent="0.2">
      <c r="A426" s="63">
        <v>570000</v>
      </c>
      <c r="B426" s="999" t="s">
        <v>1653</v>
      </c>
      <c r="C426" s="1000" t="s">
        <v>184</v>
      </c>
      <c r="D426" s="973" t="s">
        <v>2215</v>
      </c>
      <c r="E426" s="974" t="s">
        <v>569</v>
      </c>
      <c r="F426" s="1023">
        <v>5.5E-2</v>
      </c>
      <c r="G426" s="976">
        <f>SUM(G427:G430)</f>
        <v>53.017503800000007</v>
      </c>
      <c r="H426" s="977">
        <v>187.41</v>
      </c>
      <c r="I426" s="977">
        <f>IF(ISBLANK(H426),"",SUM(G426:H426))</f>
        <v>240.42750380000001</v>
      </c>
      <c r="J426" s="978">
        <f t="shared" si="99"/>
        <v>288.68</v>
      </c>
      <c r="K426" s="979" t="s">
        <v>14</v>
      </c>
      <c r="L426" s="980">
        <f>ROUND(SUM('RES. CENTRAL PARK:RUA_FINAL'!L426),2)</f>
        <v>0</v>
      </c>
      <c r="M426" s="981">
        <f t="shared" si="90"/>
        <v>0</v>
      </c>
      <c r="N426" s="982">
        <f t="shared" si="91"/>
        <v>0</v>
      </c>
      <c r="O426" s="905"/>
      <c r="Q426" s="317" t="str">
        <f t="shared" si="92"/>
        <v/>
      </c>
      <c r="R426" s="317" t="str">
        <f t="shared" si="93"/>
        <v/>
      </c>
      <c r="S426" s="317" t="str">
        <f t="shared" si="94"/>
        <v/>
      </c>
      <c r="V426" s="314">
        <f>SUM('RES. CENTRAL PARK:RUA_FINAL'!N426)</f>
        <v>0</v>
      </c>
      <c r="W426" s="315">
        <f t="shared" si="122"/>
        <v>0</v>
      </c>
    </row>
    <row r="427" spans="1:23" ht="15" hidden="1" customHeight="1" x14ac:dyDescent="0.2">
      <c r="A427" s="63" t="s">
        <v>147</v>
      </c>
      <c r="B427" s="895" t="s">
        <v>147</v>
      </c>
      <c r="C427" s="896"/>
      <c r="D427" s="957" t="s">
        <v>229</v>
      </c>
      <c r="E427" s="907">
        <f>DMT!$F$42</f>
        <v>150</v>
      </c>
      <c r="F427" s="908">
        <v>0.1002</v>
      </c>
      <c r="G427" s="949">
        <f t="shared" ref="G427:G429" si="141">IF(E427&lt;=30,(1.07*E427+2.68)*F427,((1.07*30+2.68)+1.07*(E427-30))*F427)</f>
        <v>16.350636000000002</v>
      </c>
      <c r="H427" s="901">
        <v>0</v>
      </c>
      <c r="I427" s="901"/>
      <c r="J427" s="902">
        <v>0</v>
      </c>
      <c r="K427" s="903" t="s">
        <v>507</v>
      </c>
      <c r="L427" s="1003">
        <f>ROUND(SUM('RES. CENTRAL PARK:RUA_FINAL'!L427),2)</f>
        <v>0</v>
      </c>
      <c r="M427" s="960">
        <f t="shared" si="90"/>
        <v>0</v>
      </c>
      <c r="N427" s="893">
        <f t="shared" si="91"/>
        <v>0</v>
      </c>
      <c r="O427" s="905"/>
      <c r="P427" s="58" t="str">
        <f>IF(N426&gt;0,"xx",IF(N426&gt;0,"xy",""))</f>
        <v/>
      </c>
      <c r="Q427" s="317" t="str">
        <f t="shared" si="92"/>
        <v/>
      </c>
      <c r="R427" s="317" t="str">
        <f t="shared" si="93"/>
        <v/>
      </c>
      <c r="S427" s="317" t="str">
        <f t="shared" si="94"/>
        <v/>
      </c>
      <c r="V427" s="314">
        <f>SUM('RES. CENTRAL PARK:RUA_FINAL'!N427)</f>
        <v>0</v>
      </c>
      <c r="W427" s="315">
        <f t="shared" si="122"/>
        <v>0</v>
      </c>
    </row>
    <row r="428" spans="1:23" ht="15" hidden="1" customHeight="1" x14ac:dyDescent="0.2">
      <c r="A428" s="63" t="s">
        <v>147</v>
      </c>
      <c r="B428" s="895" t="s">
        <v>147</v>
      </c>
      <c r="C428" s="896"/>
      <c r="D428" s="957" t="s">
        <v>230</v>
      </c>
      <c r="E428" s="907">
        <f>DMT!$D$46</f>
        <v>353</v>
      </c>
      <c r="F428" s="908">
        <v>1.5100000000000001E-2</v>
      </c>
      <c r="G428" s="909">
        <f>IF(E428&lt;=30,(0.78*E428+7.82)*F428,((0.78*30+7.82)+0.78*(E428-30))*F428)</f>
        <v>4.275716000000001</v>
      </c>
      <c r="H428" s="901">
        <v>0</v>
      </c>
      <c r="I428" s="901"/>
      <c r="J428" s="902">
        <v>0</v>
      </c>
      <c r="K428" s="903" t="s">
        <v>507</v>
      </c>
      <c r="L428" s="1003">
        <f>ROUND(SUM('RES. CENTRAL PARK:RUA_FINAL'!L428),2)</f>
        <v>0</v>
      </c>
      <c r="M428" s="960">
        <f t="shared" ref="M428:M527" si="142">IF(L428=0,0,ROUND(J428,2))</f>
        <v>0</v>
      </c>
      <c r="N428" s="893">
        <f t="shared" ref="N428:N527" si="143">IF(ISBLANK(L428),0,ROUND(L428*M428,2))</f>
        <v>0</v>
      </c>
      <c r="O428" s="905"/>
      <c r="P428" s="58" t="str">
        <f>IF(N426&gt;0,"xx",IF(N426&gt;0,"xy",""))</f>
        <v/>
      </c>
      <c r="Q428" s="317" t="str">
        <f t="shared" ref="Q428:Q527" si="144">IF(P428="X","x",IF(P428="xx","x",IF(P428="xy","x",IF(P428="y","x",IF(OR(N428&gt;0,N428&gt;0),"x","")))))</f>
        <v/>
      </c>
      <c r="R428" s="317" t="str">
        <f t="shared" ref="R428:R527" si="145">IF(P428="X","x",IF(P428="y","x",IF(P428="xx","x",IF(N428&gt;0,"x",""))))</f>
        <v/>
      </c>
      <c r="S428" s="317" t="str">
        <f t="shared" ref="S428:S527" si="146">IF(P428="X","x",IF(N428&gt;0,"x",""))</f>
        <v/>
      </c>
      <c r="V428" s="314">
        <f>SUM('RES. CENTRAL PARK:RUA_FINAL'!N428)</f>
        <v>0</v>
      </c>
      <c r="W428" s="315">
        <f t="shared" si="122"/>
        <v>0</v>
      </c>
    </row>
    <row r="429" spans="1:23" ht="15" hidden="1" customHeight="1" x14ac:dyDescent="0.2">
      <c r="A429" s="63" t="s">
        <v>147</v>
      </c>
      <c r="B429" s="895" t="s">
        <v>147</v>
      </c>
      <c r="C429" s="896"/>
      <c r="D429" s="957" t="s">
        <v>243</v>
      </c>
      <c r="E429" s="907">
        <f>DMT!$F$43</f>
        <v>0.2</v>
      </c>
      <c r="F429" s="908">
        <v>0.82969999999999999</v>
      </c>
      <c r="G429" s="949">
        <f t="shared" si="141"/>
        <v>2.4011518000000001</v>
      </c>
      <c r="H429" s="901">
        <v>0</v>
      </c>
      <c r="I429" s="901"/>
      <c r="J429" s="902">
        <v>0</v>
      </c>
      <c r="K429" s="903" t="s">
        <v>507</v>
      </c>
      <c r="L429" s="1003">
        <f>ROUND(SUM('RES. CENTRAL PARK:RUA_FINAL'!L429),2)</f>
        <v>0</v>
      </c>
      <c r="M429" s="960">
        <f t="shared" si="142"/>
        <v>0</v>
      </c>
      <c r="N429" s="893">
        <f t="shared" si="143"/>
        <v>0</v>
      </c>
      <c r="O429" s="905"/>
      <c r="P429" s="58" t="str">
        <f>IF(N426&gt;0,"xx",IF(N426&gt;0,"xy",""))</f>
        <v/>
      </c>
      <c r="Q429" s="317" t="str">
        <f t="shared" si="144"/>
        <v/>
      </c>
      <c r="R429" s="317" t="str">
        <f t="shared" si="145"/>
        <v/>
      </c>
      <c r="S429" s="317" t="str">
        <f t="shared" si="146"/>
        <v/>
      </c>
      <c r="V429" s="314">
        <f>SUM('RES. CENTRAL PARK:RUA_FINAL'!N429)</f>
        <v>0</v>
      </c>
      <c r="W429" s="315">
        <f t="shared" si="122"/>
        <v>0</v>
      </c>
    </row>
    <row r="430" spans="1:23" ht="15" hidden="1" customHeight="1" x14ac:dyDescent="0.2">
      <c r="A430" s="63" t="s">
        <v>147</v>
      </c>
      <c r="B430" s="895" t="s">
        <v>147</v>
      </c>
      <c r="C430" s="896"/>
      <c r="D430" s="957" t="s">
        <v>244</v>
      </c>
      <c r="E430" s="907">
        <f>DMT!$F$28</f>
        <v>22</v>
      </c>
      <c r="F430" s="908">
        <f>SUM(F426:F429)</f>
        <v>1</v>
      </c>
      <c r="G430" s="912">
        <f>IF(E430&lt;=30,(1.07*E430+6.45)*F430,((1.07*30+6.45)+1.07*(E430-30))*F430)</f>
        <v>29.990000000000002</v>
      </c>
      <c r="H430" s="901">
        <v>0</v>
      </c>
      <c r="I430" s="901"/>
      <c r="J430" s="902">
        <v>0</v>
      </c>
      <c r="K430" s="903" t="s">
        <v>507</v>
      </c>
      <c r="L430" s="1003">
        <f>ROUND(SUM('RES. CENTRAL PARK:RUA_FINAL'!L430),2)</f>
        <v>0</v>
      </c>
      <c r="M430" s="960">
        <f t="shared" si="142"/>
        <v>0</v>
      </c>
      <c r="N430" s="893">
        <f t="shared" si="143"/>
        <v>0</v>
      </c>
      <c r="O430" s="905"/>
      <c r="P430" s="58" t="str">
        <f>IF(N426&gt;0,"xx",IF(N426&gt;0,"xy",""))</f>
        <v/>
      </c>
      <c r="Q430" s="317" t="str">
        <f t="shared" si="144"/>
        <v/>
      </c>
      <c r="R430" s="317" t="str">
        <f t="shared" si="145"/>
        <v/>
      </c>
      <c r="S430" s="317" t="str">
        <f t="shared" si="146"/>
        <v/>
      </c>
      <c r="V430" s="314">
        <f>SUM('RES. CENTRAL PARK:RUA_FINAL'!N430)</f>
        <v>0</v>
      </c>
      <c r="W430" s="315">
        <f t="shared" si="122"/>
        <v>0</v>
      </c>
    </row>
    <row r="431" spans="1:23" ht="15" hidden="1" customHeight="1" thickBot="1" x14ac:dyDescent="0.25">
      <c r="A431" s="63">
        <v>589000</v>
      </c>
      <c r="B431" s="1004" t="s">
        <v>716</v>
      </c>
      <c r="C431" s="984" t="s">
        <v>213</v>
      </c>
      <c r="D431" s="1012" t="s">
        <v>2172</v>
      </c>
      <c r="E431" s="1020">
        <f>DMT!$D$45</f>
        <v>45</v>
      </c>
      <c r="F431" s="1006">
        <v>1</v>
      </c>
      <c r="G431" s="949">
        <f>(0.94*E431+46.06)*F431</f>
        <v>88.36</v>
      </c>
      <c r="H431" s="988">
        <v>4828.8599999999997</v>
      </c>
      <c r="I431" s="988">
        <f>IF(ISBLANK(H431),"",H431*(1+$E$9)/(1+$E$10))+G431</f>
        <v>4724.580378112767</v>
      </c>
      <c r="J431" s="989">
        <f t="shared" si="99"/>
        <v>5672.8</v>
      </c>
      <c r="K431" s="990" t="s">
        <v>14</v>
      </c>
      <c r="L431" s="991">
        <f>ROUND(SUM('RES. CENTRAL PARK:RUA_FINAL'!L431),2)</f>
        <v>0</v>
      </c>
      <c r="M431" s="1013">
        <f t="shared" si="142"/>
        <v>0</v>
      </c>
      <c r="N431" s="993">
        <f t="shared" si="143"/>
        <v>0</v>
      </c>
      <c r="O431" s="905"/>
      <c r="P431" s="58" t="str">
        <f>IF(N426&gt;0,"xx",IF(N426&gt;0,"xy",""))</f>
        <v/>
      </c>
      <c r="Q431" s="317" t="str">
        <f t="shared" si="144"/>
        <v/>
      </c>
      <c r="R431" s="317" t="str">
        <f t="shared" si="145"/>
        <v/>
      </c>
      <c r="S431" s="317" t="str">
        <f t="shared" si="146"/>
        <v/>
      </c>
      <c r="V431" s="314">
        <f>SUM('RES. CENTRAL PARK:RUA_FINAL'!N431)</f>
        <v>0</v>
      </c>
      <c r="W431" s="315">
        <f t="shared" si="122"/>
        <v>0</v>
      </c>
    </row>
    <row r="432" spans="1:23" ht="15" hidden="1" customHeight="1" x14ac:dyDescent="0.2">
      <c r="A432" s="63">
        <v>570000</v>
      </c>
      <c r="B432" s="999" t="s">
        <v>1654</v>
      </c>
      <c r="C432" s="1000" t="s">
        <v>184</v>
      </c>
      <c r="D432" s="973" t="s">
        <v>2216</v>
      </c>
      <c r="E432" s="974" t="s">
        <v>569</v>
      </c>
      <c r="F432" s="1023">
        <v>5.7000000000000002E-2</v>
      </c>
      <c r="G432" s="976">
        <f>SUM(G433:G436)</f>
        <v>52.951632000000004</v>
      </c>
      <c r="H432" s="977">
        <v>187.41</v>
      </c>
      <c r="I432" s="977">
        <f>IF(ISBLANK(H432),"",SUM(G432:H432))</f>
        <v>240.36163199999999</v>
      </c>
      <c r="J432" s="978">
        <f t="shared" si="99"/>
        <v>288.60000000000002</v>
      </c>
      <c r="K432" s="979" t="s">
        <v>14</v>
      </c>
      <c r="L432" s="980">
        <f>ROUND(SUM('RES. CENTRAL PARK:RUA_FINAL'!L432),2)</f>
        <v>0</v>
      </c>
      <c r="M432" s="981">
        <f t="shared" si="142"/>
        <v>0</v>
      </c>
      <c r="N432" s="982">
        <f t="shared" si="143"/>
        <v>0</v>
      </c>
      <c r="O432" s="905"/>
      <c r="Q432" s="317" t="str">
        <f t="shared" si="144"/>
        <v/>
      </c>
      <c r="R432" s="317" t="str">
        <f t="shared" si="145"/>
        <v/>
      </c>
      <c r="S432" s="317" t="str">
        <f t="shared" si="146"/>
        <v/>
      </c>
      <c r="V432" s="314">
        <f>SUM('RES. CENTRAL PARK:RUA_FINAL'!N432)</f>
        <v>0</v>
      </c>
      <c r="W432" s="315">
        <f t="shared" si="122"/>
        <v>0</v>
      </c>
    </row>
    <row r="433" spans="1:23" ht="15" hidden="1" customHeight="1" x14ac:dyDescent="0.2">
      <c r="A433" s="63" t="s">
        <v>147</v>
      </c>
      <c r="B433" s="895" t="s">
        <v>147</v>
      </c>
      <c r="C433" s="896"/>
      <c r="D433" s="957" t="s">
        <v>229</v>
      </c>
      <c r="E433" s="907">
        <f>DMT!$F$42</f>
        <v>150</v>
      </c>
      <c r="F433" s="908">
        <v>0.1</v>
      </c>
      <c r="G433" s="949">
        <f t="shared" ref="G433:G435" si="147">IF(E433&lt;=30,(1.07*E433+2.68)*F433,((1.07*30+2.68)+1.07*(E433-30))*F433)</f>
        <v>16.318000000000001</v>
      </c>
      <c r="H433" s="901">
        <v>0</v>
      </c>
      <c r="I433" s="901"/>
      <c r="J433" s="902">
        <v>0</v>
      </c>
      <c r="K433" s="903" t="s">
        <v>507</v>
      </c>
      <c r="L433" s="1003">
        <f>ROUND(SUM('RES. CENTRAL PARK:RUA_FINAL'!L433),2)</f>
        <v>0</v>
      </c>
      <c r="M433" s="960">
        <f t="shared" si="142"/>
        <v>0</v>
      </c>
      <c r="N433" s="893">
        <f t="shared" si="143"/>
        <v>0</v>
      </c>
      <c r="O433" s="905"/>
      <c r="P433" s="58" t="str">
        <f>IF(N432&gt;0,"xx",IF(N432&gt;0,"xy",""))</f>
        <v/>
      </c>
      <c r="Q433" s="317" t="str">
        <f t="shared" si="144"/>
        <v/>
      </c>
      <c r="R433" s="317" t="str">
        <f t="shared" si="145"/>
        <v/>
      </c>
      <c r="S433" s="317" t="str">
        <f t="shared" si="146"/>
        <v/>
      </c>
      <c r="V433" s="314">
        <f>SUM('RES. CENTRAL PARK:RUA_FINAL'!N433)</f>
        <v>0</v>
      </c>
      <c r="W433" s="315">
        <f t="shared" si="122"/>
        <v>0</v>
      </c>
    </row>
    <row r="434" spans="1:23" ht="15" hidden="1" customHeight="1" x14ac:dyDescent="0.2">
      <c r="A434" s="63" t="s">
        <v>147</v>
      </c>
      <c r="B434" s="895" t="s">
        <v>147</v>
      </c>
      <c r="C434" s="896"/>
      <c r="D434" s="957" t="s">
        <v>230</v>
      </c>
      <c r="E434" s="907">
        <f>DMT!$D$46</f>
        <v>353</v>
      </c>
      <c r="F434" s="908">
        <v>1.4999999999999999E-2</v>
      </c>
      <c r="G434" s="909">
        <f>IF(E434&lt;=30,(0.78*E434+7.82)*F434,((0.78*30+7.82)+0.78*(E434-30))*F434)</f>
        <v>4.2473999999999998</v>
      </c>
      <c r="H434" s="901">
        <v>0</v>
      </c>
      <c r="I434" s="901"/>
      <c r="J434" s="902">
        <v>0</v>
      </c>
      <c r="K434" s="903" t="s">
        <v>507</v>
      </c>
      <c r="L434" s="1003">
        <f>ROUND(SUM('RES. CENTRAL PARK:RUA_FINAL'!L434),2)</f>
        <v>0</v>
      </c>
      <c r="M434" s="960">
        <f t="shared" si="142"/>
        <v>0</v>
      </c>
      <c r="N434" s="893">
        <f t="shared" si="143"/>
        <v>0</v>
      </c>
      <c r="O434" s="905"/>
      <c r="P434" s="58" t="str">
        <f>IF(N432&gt;0,"xx",IF(N432&gt;0,"xy",""))</f>
        <v/>
      </c>
      <c r="Q434" s="317" t="str">
        <f t="shared" si="144"/>
        <v/>
      </c>
      <c r="R434" s="317" t="str">
        <f t="shared" si="145"/>
        <v/>
      </c>
      <c r="S434" s="317" t="str">
        <f t="shared" si="146"/>
        <v/>
      </c>
      <c r="V434" s="314">
        <f>SUM('RES. CENTRAL PARK:RUA_FINAL'!N434)</f>
        <v>0</v>
      </c>
      <c r="W434" s="315">
        <f t="shared" si="122"/>
        <v>0</v>
      </c>
    </row>
    <row r="435" spans="1:23" ht="15" hidden="1" customHeight="1" x14ac:dyDescent="0.2">
      <c r="A435" s="63" t="s">
        <v>147</v>
      </c>
      <c r="B435" s="895" t="s">
        <v>147</v>
      </c>
      <c r="C435" s="896"/>
      <c r="D435" s="957" t="s">
        <v>243</v>
      </c>
      <c r="E435" s="907">
        <f>DMT!$F$43</f>
        <v>0.2</v>
      </c>
      <c r="F435" s="908">
        <v>0.82799999999999996</v>
      </c>
      <c r="G435" s="949">
        <f t="shared" si="147"/>
        <v>2.3962319999999999</v>
      </c>
      <c r="H435" s="901">
        <v>0</v>
      </c>
      <c r="I435" s="901"/>
      <c r="J435" s="902">
        <v>0</v>
      </c>
      <c r="K435" s="903" t="s">
        <v>507</v>
      </c>
      <c r="L435" s="1003">
        <f>ROUND(SUM('RES. CENTRAL PARK:RUA_FINAL'!L435),2)</f>
        <v>0</v>
      </c>
      <c r="M435" s="960">
        <f t="shared" si="142"/>
        <v>0</v>
      </c>
      <c r="N435" s="893">
        <f t="shared" si="143"/>
        <v>0</v>
      </c>
      <c r="O435" s="905"/>
      <c r="P435" s="58" t="str">
        <f>IF(N432&gt;0,"xx",IF(N432&gt;0,"xy",""))</f>
        <v/>
      </c>
      <c r="Q435" s="317" t="str">
        <f t="shared" si="144"/>
        <v/>
      </c>
      <c r="R435" s="317" t="str">
        <f t="shared" si="145"/>
        <v/>
      </c>
      <c r="S435" s="317" t="str">
        <f t="shared" si="146"/>
        <v/>
      </c>
      <c r="V435" s="314">
        <f>SUM('RES. CENTRAL PARK:RUA_FINAL'!N435)</f>
        <v>0</v>
      </c>
      <c r="W435" s="315">
        <f t="shared" si="122"/>
        <v>0</v>
      </c>
    </row>
    <row r="436" spans="1:23" ht="15" hidden="1" customHeight="1" x14ac:dyDescent="0.2">
      <c r="A436" s="63" t="s">
        <v>147</v>
      </c>
      <c r="B436" s="895" t="s">
        <v>147</v>
      </c>
      <c r="C436" s="896"/>
      <c r="D436" s="957" t="s">
        <v>244</v>
      </c>
      <c r="E436" s="907">
        <f>DMT!$F$28</f>
        <v>22</v>
      </c>
      <c r="F436" s="908">
        <f>SUM(F432:F435)</f>
        <v>1</v>
      </c>
      <c r="G436" s="912">
        <f>IF(E436&lt;=30,(1.07*E436+6.45)*F436,((1.07*30+6.45)+1.07*(E436-30))*F436)</f>
        <v>29.990000000000002</v>
      </c>
      <c r="H436" s="901">
        <v>0</v>
      </c>
      <c r="I436" s="901"/>
      <c r="J436" s="902">
        <v>0</v>
      </c>
      <c r="K436" s="903" t="s">
        <v>507</v>
      </c>
      <c r="L436" s="1003">
        <f>ROUND(SUM('RES. CENTRAL PARK:RUA_FINAL'!L436),2)</f>
        <v>0</v>
      </c>
      <c r="M436" s="960">
        <f t="shared" si="142"/>
        <v>0</v>
      </c>
      <c r="N436" s="893">
        <f t="shared" si="143"/>
        <v>0</v>
      </c>
      <c r="O436" s="905"/>
      <c r="P436" s="58" t="str">
        <f>IF(N432&gt;0,"xx",IF(N432&gt;0,"xy",""))</f>
        <v/>
      </c>
      <c r="Q436" s="317" t="str">
        <f t="shared" si="144"/>
        <v/>
      </c>
      <c r="R436" s="317" t="str">
        <f t="shared" si="145"/>
        <v/>
      </c>
      <c r="S436" s="317" t="str">
        <f t="shared" si="146"/>
        <v/>
      </c>
      <c r="V436" s="314">
        <f>SUM('RES. CENTRAL PARK:RUA_FINAL'!N436)</f>
        <v>0</v>
      </c>
      <c r="W436" s="315">
        <f t="shared" si="122"/>
        <v>0</v>
      </c>
    </row>
    <row r="437" spans="1:23" ht="15" hidden="1" customHeight="1" thickBot="1" x14ac:dyDescent="0.25">
      <c r="A437" s="63">
        <v>589000</v>
      </c>
      <c r="B437" s="1004" t="s">
        <v>717</v>
      </c>
      <c r="C437" s="984" t="s">
        <v>213</v>
      </c>
      <c r="D437" s="1012" t="s">
        <v>2172</v>
      </c>
      <c r="E437" s="1020">
        <f>DMT!$D$45</f>
        <v>45</v>
      </c>
      <c r="F437" s="1006">
        <v>1</v>
      </c>
      <c r="G437" s="949">
        <f>(0.94*E437+46.06)*F437</f>
        <v>88.36</v>
      </c>
      <c r="H437" s="988">
        <v>4828.8599999999997</v>
      </c>
      <c r="I437" s="988">
        <f>IF(ISBLANK(H437),"",H437*(1+$E$9)/(1+$E$10))+G437</f>
        <v>4724.580378112767</v>
      </c>
      <c r="J437" s="989">
        <f t="shared" si="99"/>
        <v>5672.8</v>
      </c>
      <c r="K437" s="990" t="s">
        <v>14</v>
      </c>
      <c r="L437" s="991">
        <f>ROUND(SUM('RES. CENTRAL PARK:RUA_FINAL'!L437),2)</f>
        <v>0</v>
      </c>
      <c r="M437" s="1013">
        <f t="shared" si="142"/>
        <v>0</v>
      </c>
      <c r="N437" s="993">
        <f t="shared" si="143"/>
        <v>0</v>
      </c>
      <c r="O437" s="905"/>
      <c r="P437" s="58" t="str">
        <f>IF(N432&gt;0,"xx",IF(N432&gt;0,"xy",""))</f>
        <v/>
      </c>
      <c r="Q437" s="317" t="str">
        <f t="shared" si="144"/>
        <v/>
      </c>
      <c r="R437" s="317" t="str">
        <f t="shared" si="145"/>
        <v/>
      </c>
      <c r="S437" s="317" t="str">
        <f t="shared" si="146"/>
        <v/>
      </c>
      <c r="V437" s="314">
        <f>SUM('RES. CENTRAL PARK:RUA_FINAL'!N437)</f>
        <v>0</v>
      </c>
      <c r="W437" s="315">
        <f t="shared" si="122"/>
        <v>0</v>
      </c>
    </row>
    <row r="438" spans="1:23" ht="13.5" hidden="1" thickBot="1" x14ac:dyDescent="0.25">
      <c r="A438" s="63">
        <v>570000</v>
      </c>
      <c r="B438" s="999" t="s">
        <v>1654</v>
      </c>
      <c r="C438" s="1000" t="s">
        <v>184</v>
      </c>
      <c r="D438" s="1024" t="str">
        <f>CONCATENATE("CBUQ - Novos traços - ",Novos_Traços_CBUQ!C8," - (Quant. menor que 10.000 ton)")</f>
        <v>CBUQ - Novos traços - TRAÇO 4 - FAIXA "C" - (Quant. menor que 10.000 ton)</v>
      </c>
      <c r="E438" s="974" t="s">
        <v>569</v>
      </c>
      <c r="F438" s="1025">
        <f>Novos_Traços_CBUQ!F34</f>
        <v>5.1999999999999998E-2</v>
      </c>
      <c r="G438" s="976">
        <f>SUM(G439:G442)</f>
        <v>52.076655400000007</v>
      </c>
      <c r="H438" s="977">
        <v>187.41</v>
      </c>
      <c r="I438" s="977">
        <f>IF(ISBLANK(H438),"",SUM(G438:H438))</f>
        <v>239.48665540000002</v>
      </c>
      <c r="J438" s="978">
        <f t="shared" ref="J438" si="148">IF(ISBLANK(H438),0,ROUND(I438*(1+$E$10),2))</f>
        <v>287.55</v>
      </c>
      <c r="K438" s="979" t="s">
        <v>14</v>
      </c>
      <c r="L438" s="980">
        <f>ROUND(SUM('RES. CENTRAL PARK:RUA_FINAL'!L438),2)</f>
        <v>0</v>
      </c>
      <c r="M438" s="981">
        <f t="shared" ref="M438:M443" si="149">IF(L438=0,0,ROUND(J438,2))</f>
        <v>0</v>
      </c>
      <c r="N438" s="982">
        <f t="shared" ref="N438:N443" si="150">IF(ISBLANK(L438),0,ROUND(L438*M438,2))</f>
        <v>0</v>
      </c>
      <c r="O438" s="905"/>
      <c r="Q438" s="317" t="str">
        <f t="shared" ref="Q438:Q443" si="151">IF(P438="X","x",IF(P438="xx","x",IF(P438="xy","x",IF(P438="y","x",IF(OR(N438&gt;0,N438&gt;0),"x","")))))</f>
        <v/>
      </c>
      <c r="R438" s="317" t="str">
        <f t="shared" ref="R438:R443" si="152">IF(P438="X","x",IF(P438="y","x",IF(P438="xx","x",IF(N438&gt;0,"x",""))))</f>
        <v/>
      </c>
      <c r="S438" s="317" t="str">
        <f t="shared" ref="S438:S443" si="153">IF(P438="X","x",IF(N438&gt;0,"x",""))</f>
        <v/>
      </c>
      <c r="V438" s="314">
        <f>SUM('RES. CENTRAL PARK:RUA_FINAL'!N438)</f>
        <v>0</v>
      </c>
      <c r="W438" s="315">
        <f t="shared" si="122"/>
        <v>0</v>
      </c>
    </row>
    <row r="439" spans="1:23" ht="15" hidden="1" customHeight="1" x14ac:dyDescent="0.2">
      <c r="A439" s="63" t="s">
        <v>147</v>
      </c>
      <c r="B439" s="895" t="s">
        <v>147</v>
      </c>
      <c r="C439" s="896"/>
      <c r="D439" s="957" t="s">
        <v>229</v>
      </c>
      <c r="E439" s="907">
        <f>DMT!$F$42</f>
        <v>150</v>
      </c>
      <c r="F439" s="1287">
        <f>Novos_Traços_CBUQ!F32</f>
        <v>9.5500000000000002E-2</v>
      </c>
      <c r="G439" s="949">
        <f t="shared" ref="G439" si="154">IF(E439&lt;=30,(1.07*E439+2.68)*F439,((1.07*30+2.68)+1.07*(E439-30))*F439)</f>
        <v>15.583690000000001</v>
      </c>
      <c r="H439" s="901">
        <v>0</v>
      </c>
      <c r="I439" s="901"/>
      <c r="J439" s="902">
        <v>0</v>
      </c>
      <c r="K439" s="903" t="s">
        <v>507</v>
      </c>
      <c r="L439" s="1003">
        <f>ROUND(SUM('RES. CENTRAL PARK:RUA_FINAL'!L439),2)</f>
        <v>0</v>
      </c>
      <c r="M439" s="960">
        <f t="shared" si="149"/>
        <v>0</v>
      </c>
      <c r="N439" s="893">
        <f t="shared" si="150"/>
        <v>0</v>
      </c>
      <c r="O439" s="905"/>
      <c r="P439" s="58" t="str">
        <f>IF(N438&gt;0,"xx",IF(N438&gt;0,"xy",""))</f>
        <v/>
      </c>
      <c r="Q439" s="317" t="str">
        <f t="shared" si="151"/>
        <v/>
      </c>
      <c r="R439" s="317" t="str">
        <f t="shared" si="152"/>
        <v/>
      </c>
      <c r="S439" s="317" t="str">
        <f t="shared" si="153"/>
        <v/>
      </c>
      <c r="V439" s="314">
        <f>SUM('RES. CENTRAL PARK:RUA_FINAL'!N439)</f>
        <v>0</v>
      </c>
      <c r="W439" s="315">
        <f t="shared" si="122"/>
        <v>0</v>
      </c>
    </row>
    <row r="440" spans="1:23" ht="15" hidden="1" customHeight="1" x14ac:dyDescent="0.2">
      <c r="A440" s="63" t="s">
        <v>147</v>
      </c>
      <c r="B440" s="895" t="s">
        <v>147</v>
      </c>
      <c r="C440" s="896"/>
      <c r="D440" s="957" t="s">
        <v>230</v>
      </c>
      <c r="E440" s="907">
        <f>DMT!$D$46</f>
        <v>353</v>
      </c>
      <c r="F440" s="1287">
        <f>Novos_Traços_CBUQ!F33</f>
        <v>1.44E-2</v>
      </c>
      <c r="G440" s="909">
        <f>IF(E440&lt;=30,(0.78*E440+7.82)*F440,((0.78*30+7.82)+0.78*(E440-30))*F440)</f>
        <v>4.0775040000000002</v>
      </c>
      <c r="H440" s="901">
        <v>0</v>
      </c>
      <c r="I440" s="901"/>
      <c r="J440" s="902">
        <v>0</v>
      </c>
      <c r="K440" s="903" t="s">
        <v>507</v>
      </c>
      <c r="L440" s="1003">
        <f>ROUND(SUM('RES. CENTRAL PARK:RUA_FINAL'!L440),2)</f>
        <v>0</v>
      </c>
      <c r="M440" s="960">
        <f t="shared" si="149"/>
        <v>0</v>
      </c>
      <c r="N440" s="893">
        <f t="shared" si="150"/>
        <v>0</v>
      </c>
      <c r="O440" s="905"/>
      <c r="P440" s="58" t="str">
        <f>IF(N438&gt;0,"xx",IF(N438&gt;0,"xy",""))</f>
        <v/>
      </c>
      <c r="Q440" s="317" t="str">
        <f t="shared" si="151"/>
        <v/>
      </c>
      <c r="R440" s="317" t="str">
        <f t="shared" si="152"/>
        <v/>
      </c>
      <c r="S440" s="317" t="str">
        <f t="shared" si="153"/>
        <v/>
      </c>
      <c r="V440" s="314">
        <f>SUM('RES. CENTRAL PARK:RUA_FINAL'!N440)</f>
        <v>0</v>
      </c>
      <c r="W440" s="315">
        <f t="shared" si="122"/>
        <v>0</v>
      </c>
    </row>
    <row r="441" spans="1:23" ht="15" hidden="1" customHeight="1" x14ac:dyDescent="0.2">
      <c r="A441" s="63" t="s">
        <v>147</v>
      </c>
      <c r="B441" s="895" t="s">
        <v>147</v>
      </c>
      <c r="C441" s="896"/>
      <c r="D441" s="957" t="s">
        <v>243</v>
      </c>
      <c r="E441" s="907">
        <f>DMT!$F$43</f>
        <v>0.2</v>
      </c>
      <c r="F441" s="1287">
        <f>Novos_Traços_CBUQ!F30</f>
        <v>0.83809999999999996</v>
      </c>
      <c r="G441" s="949">
        <f t="shared" ref="G441" si="155">IF(E441&lt;=30,(1.07*E441+2.68)*F441,((1.07*30+2.68)+1.07*(E441-30))*F441)</f>
        <v>2.4254614000000001</v>
      </c>
      <c r="H441" s="901">
        <v>0</v>
      </c>
      <c r="I441" s="901"/>
      <c r="J441" s="902">
        <v>0</v>
      </c>
      <c r="K441" s="903" t="s">
        <v>507</v>
      </c>
      <c r="L441" s="1003">
        <f>ROUND(SUM('RES. CENTRAL PARK:RUA_FINAL'!L441),2)</f>
        <v>0</v>
      </c>
      <c r="M441" s="960">
        <f t="shared" si="149"/>
        <v>0</v>
      </c>
      <c r="N441" s="893">
        <f t="shared" si="150"/>
        <v>0</v>
      </c>
      <c r="O441" s="905"/>
      <c r="P441" s="58" t="str">
        <f>IF(N438&gt;0,"xx",IF(N438&gt;0,"xy",""))</f>
        <v/>
      </c>
      <c r="Q441" s="317" t="str">
        <f t="shared" si="151"/>
        <v/>
      </c>
      <c r="R441" s="317" t="str">
        <f t="shared" si="152"/>
        <v/>
      </c>
      <c r="S441" s="317" t="str">
        <f t="shared" si="153"/>
        <v/>
      </c>
      <c r="V441" s="314">
        <f>SUM('RES. CENTRAL PARK:RUA_FINAL'!N441)</f>
        <v>0</v>
      </c>
      <c r="W441" s="315">
        <f t="shared" si="122"/>
        <v>0</v>
      </c>
    </row>
    <row r="442" spans="1:23" ht="15" hidden="1" customHeight="1" x14ac:dyDescent="0.2">
      <c r="A442" s="63" t="s">
        <v>147</v>
      </c>
      <c r="B442" s="895" t="s">
        <v>147</v>
      </c>
      <c r="C442" s="896"/>
      <c r="D442" s="957" t="s">
        <v>244</v>
      </c>
      <c r="E442" s="907">
        <f>DMT!$F$28</f>
        <v>22</v>
      </c>
      <c r="F442" s="908">
        <f>SUM(F438:F441)</f>
        <v>1</v>
      </c>
      <c r="G442" s="912">
        <f>IF(E442&lt;=30,(1.07*E442+6.45)*F442,((1.07*30+6.45)+1.07*(E442-30))*F442)</f>
        <v>29.990000000000002</v>
      </c>
      <c r="H442" s="901">
        <v>0</v>
      </c>
      <c r="I442" s="901"/>
      <c r="J442" s="902">
        <v>0</v>
      </c>
      <c r="K442" s="903" t="s">
        <v>507</v>
      </c>
      <c r="L442" s="1003">
        <f>ROUND(SUM('RES. CENTRAL PARK:RUA_FINAL'!L442),2)</f>
        <v>0</v>
      </c>
      <c r="M442" s="960">
        <f t="shared" si="149"/>
        <v>0</v>
      </c>
      <c r="N442" s="893">
        <f t="shared" si="150"/>
        <v>0</v>
      </c>
      <c r="O442" s="905"/>
      <c r="P442" s="58" t="str">
        <f>IF(N438&gt;0,"xx",IF(N438&gt;0,"xy",""))</f>
        <v/>
      </c>
      <c r="Q442" s="317" t="str">
        <f t="shared" si="151"/>
        <v/>
      </c>
      <c r="R442" s="317" t="str">
        <f t="shared" si="152"/>
        <v/>
      </c>
      <c r="S442" s="317" t="str">
        <f t="shared" si="153"/>
        <v/>
      </c>
      <c r="V442" s="314">
        <f>SUM('RES. CENTRAL PARK:RUA_FINAL'!N442)</f>
        <v>0</v>
      </c>
      <c r="W442" s="315">
        <f t="shared" si="122"/>
        <v>0</v>
      </c>
    </row>
    <row r="443" spans="1:23" ht="15" hidden="1" customHeight="1" thickBot="1" x14ac:dyDescent="0.25">
      <c r="A443" s="63">
        <v>589000</v>
      </c>
      <c r="B443" s="1004" t="s">
        <v>717</v>
      </c>
      <c r="C443" s="984" t="s">
        <v>213</v>
      </c>
      <c r="D443" s="1012" t="s">
        <v>2172</v>
      </c>
      <c r="E443" s="1020">
        <f>DMT!$D$45</f>
        <v>45</v>
      </c>
      <c r="F443" s="1006">
        <v>1</v>
      </c>
      <c r="G443" s="949">
        <f>(0.94*E443+46.06)*F443</f>
        <v>88.36</v>
      </c>
      <c r="H443" s="988">
        <v>4828.8599999999997</v>
      </c>
      <c r="I443" s="988">
        <f>IF(ISBLANK(H443),"",H443*(1+$E$9)/(1+$E$10))+G443</f>
        <v>4724.580378112767</v>
      </c>
      <c r="J443" s="989">
        <f t="shared" ref="J443:J444" si="156">IF(ISBLANK(H443),0,ROUND(I443*(1+$E$10),2))</f>
        <v>5672.8</v>
      </c>
      <c r="K443" s="990" t="s">
        <v>14</v>
      </c>
      <c r="L443" s="991">
        <f>ROUND(SUM('RES. CENTRAL PARK:RUA_FINAL'!L443),2)</f>
        <v>0</v>
      </c>
      <c r="M443" s="1013">
        <f t="shared" si="149"/>
        <v>0</v>
      </c>
      <c r="N443" s="993">
        <f t="shared" si="150"/>
        <v>0</v>
      </c>
      <c r="O443" s="905"/>
      <c r="P443" s="58" t="str">
        <f>IF(N438&gt;0,"xx",IF(N438&gt;0,"xy",""))</f>
        <v/>
      </c>
      <c r="Q443" s="317" t="str">
        <f t="shared" si="151"/>
        <v/>
      </c>
      <c r="R443" s="317" t="str">
        <f t="shared" si="152"/>
        <v/>
      </c>
      <c r="S443" s="317" t="str">
        <f t="shared" si="153"/>
        <v/>
      </c>
      <c r="V443" s="314">
        <f>SUM('RES. CENTRAL PARK:RUA_FINAL'!N443)</f>
        <v>0</v>
      </c>
      <c r="W443" s="315">
        <f t="shared" si="122"/>
        <v>0</v>
      </c>
    </row>
    <row r="444" spans="1:23" ht="13.5" hidden="1" thickBot="1" x14ac:dyDescent="0.25">
      <c r="A444" s="63">
        <v>570000</v>
      </c>
      <c r="B444" s="999" t="s">
        <v>1654</v>
      </c>
      <c r="C444" s="1000" t="s">
        <v>184</v>
      </c>
      <c r="D444" s="1024" t="str">
        <f>CONCATENATE("CBUQ - Novos traços - ",Novos_Traços_CBUQ!J8," - (Quant. menor que 10.000 ton)")</f>
        <v>CBUQ - Novos traços - TRAÇO 5 - FAIXA "C" - (Quant. menor que 10.000 ton)</v>
      </c>
      <c r="E444" s="974" t="s">
        <v>569</v>
      </c>
      <c r="F444" s="1025">
        <f>Novos_Traços_CBUQ!M34</f>
        <v>5.0999999999999997E-2</v>
      </c>
      <c r="G444" s="976">
        <f>SUM(G445:G448)</f>
        <v>52.095578000000003</v>
      </c>
      <c r="H444" s="977">
        <v>187.41</v>
      </c>
      <c r="I444" s="977">
        <f>IF(ISBLANK(H444),"",SUM(G444:H444))</f>
        <v>239.50557800000001</v>
      </c>
      <c r="J444" s="978">
        <f t="shared" si="156"/>
        <v>287.57</v>
      </c>
      <c r="K444" s="979" t="s">
        <v>14</v>
      </c>
      <c r="L444" s="980">
        <f>ROUND(SUM('RES. CENTRAL PARK:RUA_FINAL'!L444),2)</f>
        <v>0</v>
      </c>
      <c r="M444" s="981">
        <f t="shared" ref="M444:M455" si="157">IF(L444=0,0,ROUND(J444,2))</f>
        <v>0</v>
      </c>
      <c r="N444" s="982">
        <f t="shared" ref="N444:N455" si="158">IF(ISBLANK(L444),0,ROUND(L444*M444,2))</f>
        <v>0</v>
      </c>
      <c r="O444" s="905"/>
      <c r="Q444" s="317" t="str">
        <f t="shared" ref="Q444:Q455" si="159">IF(P444="X","x",IF(P444="xx","x",IF(P444="xy","x",IF(P444="y","x",IF(OR(N444&gt;0,N444&gt;0),"x","")))))</f>
        <v/>
      </c>
      <c r="R444" s="317" t="str">
        <f t="shared" ref="R444:R455" si="160">IF(P444="X","x",IF(P444="y","x",IF(P444="xx","x",IF(N444&gt;0,"x",""))))</f>
        <v/>
      </c>
      <c r="S444" s="317" t="str">
        <f t="shared" ref="S444:S455" si="161">IF(P444="X","x",IF(N444&gt;0,"x",""))</f>
        <v/>
      </c>
      <c r="V444" s="314">
        <f>SUM('RES. CENTRAL PARK:RUA_FINAL'!N444)</f>
        <v>0</v>
      </c>
      <c r="W444" s="315">
        <f t="shared" si="122"/>
        <v>0</v>
      </c>
    </row>
    <row r="445" spans="1:23" ht="15" hidden="1" customHeight="1" x14ac:dyDescent="0.2">
      <c r="A445" s="63" t="s">
        <v>147</v>
      </c>
      <c r="B445" s="895" t="s">
        <v>147</v>
      </c>
      <c r="C445" s="896"/>
      <c r="D445" s="957" t="s">
        <v>229</v>
      </c>
      <c r="E445" s="907">
        <f>DMT!$F$42</f>
        <v>150</v>
      </c>
      <c r="F445" s="1287">
        <f>Novos_Traços_CBUQ!M32</f>
        <v>9.5600000000000004E-2</v>
      </c>
      <c r="G445" s="949">
        <f t="shared" ref="G445" si="162">IF(E445&lt;=30,(1.07*E445+2.68)*F445,((1.07*30+2.68)+1.07*(E445-30))*F445)</f>
        <v>15.600008000000001</v>
      </c>
      <c r="H445" s="901">
        <v>0</v>
      </c>
      <c r="I445" s="901"/>
      <c r="J445" s="902">
        <v>0</v>
      </c>
      <c r="K445" s="903" t="s">
        <v>507</v>
      </c>
      <c r="L445" s="1003">
        <f>ROUND(SUM('RES. CENTRAL PARK:RUA_FINAL'!L445),2)</f>
        <v>0</v>
      </c>
      <c r="M445" s="960">
        <f t="shared" si="157"/>
        <v>0</v>
      </c>
      <c r="N445" s="893">
        <f t="shared" si="158"/>
        <v>0</v>
      </c>
      <c r="O445" s="905"/>
      <c r="P445" s="58" t="str">
        <f>IF(N444&gt;0,"xx",IF(N444&gt;0,"xy",""))</f>
        <v/>
      </c>
      <c r="Q445" s="317" t="str">
        <f t="shared" si="159"/>
        <v/>
      </c>
      <c r="R445" s="317" t="str">
        <f t="shared" si="160"/>
        <v/>
      </c>
      <c r="S445" s="317" t="str">
        <f t="shared" si="161"/>
        <v/>
      </c>
      <c r="V445" s="314">
        <f>SUM('RES. CENTRAL PARK:RUA_FINAL'!N445)</f>
        <v>0</v>
      </c>
      <c r="W445" s="315">
        <f t="shared" si="122"/>
        <v>0</v>
      </c>
    </row>
    <row r="446" spans="1:23" ht="15" hidden="1" customHeight="1" x14ac:dyDescent="0.2">
      <c r="A446" s="63" t="s">
        <v>147</v>
      </c>
      <c r="B446" s="895" t="s">
        <v>147</v>
      </c>
      <c r="C446" s="896"/>
      <c r="D446" s="957" t="s">
        <v>230</v>
      </c>
      <c r="E446" s="907">
        <f>DMT!$D$46</f>
        <v>353</v>
      </c>
      <c r="F446" s="1287">
        <f>Novos_Traços_CBUQ!M33</f>
        <v>1.44E-2</v>
      </c>
      <c r="G446" s="909">
        <f>IF(E446&lt;=30,(0.78*E446+7.82)*F446,((0.78*30+7.82)+0.78*(E446-30))*F446)</f>
        <v>4.0775040000000002</v>
      </c>
      <c r="H446" s="901">
        <v>0</v>
      </c>
      <c r="I446" s="901"/>
      <c r="J446" s="902">
        <v>0</v>
      </c>
      <c r="K446" s="903" t="s">
        <v>507</v>
      </c>
      <c r="L446" s="1003">
        <f>ROUND(SUM('RES. CENTRAL PARK:RUA_FINAL'!L446),2)</f>
        <v>0</v>
      </c>
      <c r="M446" s="960">
        <f t="shared" si="157"/>
        <v>0</v>
      </c>
      <c r="N446" s="893">
        <f t="shared" si="158"/>
        <v>0</v>
      </c>
      <c r="O446" s="905"/>
      <c r="P446" s="58" t="str">
        <f>IF(N444&gt;0,"xx",IF(N444&gt;0,"xy",""))</f>
        <v/>
      </c>
      <c r="Q446" s="317" t="str">
        <f t="shared" si="159"/>
        <v/>
      </c>
      <c r="R446" s="317" t="str">
        <f t="shared" si="160"/>
        <v/>
      </c>
      <c r="S446" s="317" t="str">
        <f t="shared" si="161"/>
        <v/>
      </c>
      <c r="V446" s="314">
        <f>SUM('RES. CENTRAL PARK:RUA_FINAL'!N446)</f>
        <v>0</v>
      </c>
      <c r="W446" s="315">
        <f t="shared" si="122"/>
        <v>0</v>
      </c>
    </row>
    <row r="447" spans="1:23" ht="15" hidden="1" customHeight="1" x14ac:dyDescent="0.2">
      <c r="A447" s="63" t="s">
        <v>147</v>
      </c>
      <c r="B447" s="895" t="s">
        <v>147</v>
      </c>
      <c r="C447" s="896"/>
      <c r="D447" s="957" t="s">
        <v>243</v>
      </c>
      <c r="E447" s="907">
        <f>DMT!$F$43</f>
        <v>0.2</v>
      </c>
      <c r="F447" s="1287">
        <f>Novos_Traços_CBUQ!M30</f>
        <v>0.83899999999999997</v>
      </c>
      <c r="G447" s="949">
        <f t="shared" ref="G447" si="163">IF(E447&lt;=30,(1.07*E447+2.68)*F447,((1.07*30+2.68)+1.07*(E447-30))*F447)</f>
        <v>2.4280659999999998</v>
      </c>
      <c r="H447" s="901">
        <v>0</v>
      </c>
      <c r="I447" s="901"/>
      <c r="J447" s="902">
        <v>0</v>
      </c>
      <c r="K447" s="903" t="s">
        <v>507</v>
      </c>
      <c r="L447" s="1003">
        <f>ROUND(SUM('RES. CENTRAL PARK:RUA_FINAL'!L447),2)</f>
        <v>0</v>
      </c>
      <c r="M447" s="960">
        <f t="shared" si="157"/>
        <v>0</v>
      </c>
      <c r="N447" s="893">
        <f t="shared" si="158"/>
        <v>0</v>
      </c>
      <c r="O447" s="905"/>
      <c r="P447" s="58" t="str">
        <f>IF(N444&gt;0,"xx",IF(N444&gt;0,"xy",""))</f>
        <v/>
      </c>
      <c r="Q447" s="317" t="str">
        <f t="shared" si="159"/>
        <v/>
      </c>
      <c r="R447" s="317" t="str">
        <f t="shared" si="160"/>
        <v/>
      </c>
      <c r="S447" s="317" t="str">
        <f t="shared" si="161"/>
        <v/>
      </c>
      <c r="V447" s="314">
        <f>SUM('RES. CENTRAL PARK:RUA_FINAL'!N447)</f>
        <v>0</v>
      </c>
      <c r="W447" s="315">
        <f t="shared" si="122"/>
        <v>0</v>
      </c>
    </row>
    <row r="448" spans="1:23" ht="15" hidden="1" customHeight="1" x14ac:dyDescent="0.2">
      <c r="A448" s="63" t="s">
        <v>147</v>
      </c>
      <c r="B448" s="895" t="s">
        <v>147</v>
      </c>
      <c r="C448" s="896"/>
      <c r="D448" s="957" t="s">
        <v>244</v>
      </c>
      <c r="E448" s="907">
        <f>DMT!$F$28</f>
        <v>22</v>
      </c>
      <c r="F448" s="908">
        <f>SUM(F444:F447)</f>
        <v>1</v>
      </c>
      <c r="G448" s="912">
        <f>IF(E448&lt;=30,(1.07*E448+6.45)*F448,((1.07*30+6.45)+1.07*(E448-30))*F448)</f>
        <v>29.990000000000002</v>
      </c>
      <c r="H448" s="901">
        <v>0</v>
      </c>
      <c r="I448" s="901"/>
      <c r="J448" s="902">
        <v>0</v>
      </c>
      <c r="K448" s="903" t="s">
        <v>507</v>
      </c>
      <c r="L448" s="1003">
        <f>ROUND(SUM('RES. CENTRAL PARK:RUA_FINAL'!L448),2)</f>
        <v>0</v>
      </c>
      <c r="M448" s="960">
        <f t="shared" si="157"/>
        <v>0</v>
      </c>
      <c r="N448" s="893">
        <f t="shared" si="158"/>
        <v>0</v>
      </c>
      <c r="O448" s="905"/>
      <c r="P448" s="58" t="str">
        <f>IF(N444&gt;0,"xx",IF(N444&gt;0,"xy",""))</f>
        <v/>
      </c>
      <c r="Q448" s="317" t="str">
        <f t="shared" si="159"/>
        <v/>
      </c>
      <c r="R448" s="317" t="str">
        <f t="shared" si="160"/>
        <v/>
      </c>
      <c r="S448" s="317" t="str">
        <f t="shared" si="161"/>
        <v/>
      </c>
      <c r="V448" s="314">
        <f>SUM('RES. CENTRAL PARK:RUA_FINAL'!N448)</f>
        <v>0</v>
      </c>
      <c r="W448" s="315">
        <f t="shared" si="122"/>
        <v>0</v>
      </c>
    </row>
    <row r="449" spans="1:23" ht="15" hidden="1" customHeight="1" thickBot="1" x14ac:dyDescent="0.25">
      <c r="A449" s="63">
        <v>589000</v>
      </c>
      <c r="B449" s="1004" t="s">
        <v>717</v>
      </c>
      <c r="C449" s="984" t="s">
        <v>213</v>
      </c>
      <c r="D449" s="1012" t="s">
        <v>2172</v>
      </c>
      <c r="E449" s="1020">
        <f>DMT!$D$45</f>
        <v>45</v>
      </c>
      <c r="F449" s="1006">
        <v>1</v>
      </c>
      <c r="G449" s="949">
        <f>(0.94*E449+46.06)*F449</f>
        <v>88.36</v>
      </c>
      <c r="H449" s="988">
        <v>4828.8599999999997</v>
      </c>
      <c r="I449" s="988">
        <f>IF(ISBLANK(H449),"",H449*(1+$E$9)/(1+$E$10))+G449</f>
        <v>4724.580378112767</v>
      </c>
      <c r="J449" s="989">
        <f t="shared" ref="J449:J450" si="164">IF(ISBLANK(H449),0,ROUND(I449*(1+$E$10),2))</f>
        <v>5672.8</v>
      </c>
      <c r="K449" s="990" t="s">
        <v>14</v>
      </c>
      <c r="L449" s="991">
        <f>ROUND(SUM('RES. CENTRAL PARK:RUA_FINAL'!L449),2)</f>
        <v>0</v>
      </c>
      <c r="M449" s="1013">
        <f t="shared" si="157"/>
        <v>0</v>
      </c>
      <c r="N449" s="993">
        <f t="shared" si="158"/>
        <v>0</v>
      </c>
      <c r="O449" s="905"/>
      <c r="P449" s="58" t="str">
        <f>IF(N444&gt;0,"xx",IF(N444&gt;0,"xy",""))</f>
        <v/>
      </c>
      <c r="Q449" s="317" t="str">
        <f t="shared" si="159"/>
        <v/>
      </c>
      <c r="R449" s="317" t="str">
        <f t="shared" si="160"/>
        <v/>
      </c>
      <c r="S449" s="317" t="str">
        <f t="shared" si="161"/>
        <v/>
      </c>
      <c r="V449" s="314">
        <f>SUM('RES. CENTRAL PARK:RUA_FINAL'!N449)</f>
        <v>0</v>
      </c>
      <c r="W449" s="315">
        <f t="shared" si="122"/>
        <v>0</v>
      </c>
    </row>
    <row r="450" spans="1:23" ht="13.5" hidden="1" thickBot="1" x14ac:dyDescent="0.25">
      <c r="A450" s="63">
        <v>570000</v>
      </c>
      <c r="B450" s="999" t="s">
        <v>1654</v>
      </c>
      <c r="C450" s="1000" t="s">
        <v>184</v>
      </c>
      <c r="D450" s="1024" t="str">
        <f>CONCATENATE("CBUQ - Novos traços - ",Novos_Traços_CBUQ!C43," - (Quant. menor que 10.000 ton)")</f>
        <v>CBUQ - Novos traços - TRAÇO 6 - FAIXA "C" - (Quant. menor que 10.000 ton)</v>
      </c>
      <c r="E450" s="974" t="s">
        <v>569</v>
      </c>
      <c r="F450" s="1025">
        <f>Novos_Traços_CBUQ!F69</f>
        <v>5.2999999999999999E-2</v>
      </c>
      <c r="G450" s="976">
        <f>SUM(G451:G454)</f>
        <v>52.057732800000004</v>
      </c>
      <c r="H450" s="977">
        <v>187.41</v>
      </c>
      <c r="I450" s="977">
        <f>IF(ISBLANK(H450),"",SUM(G450:H450))</f>
        <v>239.46773279999999</v>
      </c>
      <c r="J450" s="978">
        <f t="shared" si="164"/>
        <v>287.52999999999997</v>
      </c>
      <c r="K450" s="979" t="s">
        <v>14</v>
      </c>
      <c r="L450" s="980">
        <f>ROUND(SUM('RES. CENTRAL PARK:RUA_FINAL'!L450),2)</f>
        <v>0</v>
      </c>
      <c r="M450" s="981">
        <f t="shared" si="157"/>
        <v>0</v>
      </c>
      <c r="N450" s="982">
        <f t="shared" si="158"/>
        <v>0</v>
      </c>
      <c r="O450" s="905"/>
      <c r="Q450" s="317" t="str">
        <f t="shared" si="159"/>
        <v/>
      </c>
      <c r="R450" s="317" t="str">
        <f t="shared" si="160"/>
        <v/>
      </c>
      <c r="S450" s="317" t="str">
        <f t="shared" si="161"/>
        <v/>
      </c>
      <c r="V450" s="314">
        <f>SUM('RES. CENTRAL PARK:RUA_FINAL'!N450)</f>
        <v>0</v>
      </c>
      <c r="W450" s="315">
        <f t="shared" si="122"/>
        <v>0</v>
      </c>
    </row>
    <row r="451" spans="1:23" ht="15" hidden="1" customHeight="1" x14ac:dyDescent="0.2">
      <c r="A451" s="63" t="s">
        <v>147</v>
      </c>
      <c r="B451" s="895" t="s">
        <v>147</v>
      </c>
      <c r="C451" s="896"/>
      <c r="D451" s="957" t="s">
        <v>229</v>
      </c>
      <c r="E451" s="907">
        <f>DMT!$F$42</f>
        <v>150</v>
      </c>
      <c r="F451" s="1287">
        <f>Novos_Traços_CBUQ!F67</f>
        <v>9.5399999999999999E-2</v>
      </c>
      <c r="G451" s="949">
        <f t="shared" ref="G451" si="165">IF(E451&lt;=30,(1.07*E451+2.68)*F451,((1.07*30+2.68)+1.07*(E451-30))*F451)</f>
        <v>15.567372000000001</v>
      </c>
      <c r="H451" s="901">
        <v>0</v>
      </c>
      <c r="I451" s="901"/>
      <c r="J451" s="902">
        <v>0</v>
      </c>
      <c r="K451" s="903" t="s">
        <v>507</v>
      </c>
      <c r="L451" s="1003">
        <f>ROUND(SUM('RES. CENTRAL PARK:RUA_FINAL'!L451),2)</f>
        <v>0</v>
      </c>
      <c r="M451" s="960">
        <f t="shared" si="157"/>
        <v>0</v>
      </c>
      <c r="N451" s="893">
        <f t="shared" si="158"/>
        <v>0</v>
      </c>
      <c r="O451" s="905"/>
      <c r="P451" s="58" t="str">
        <f>IF(N450&gt;0,"xx",IF(N450&gt;0,"xy",""))</f>
        <v/>
      </c>
      <c r="Q451" s="317" t="str">
        <f t="shared" si="159"/>
        <v/>
      </c>
      <c r="R451" s="317" t="str">
        <f t="shared" si="160"/>
        <v/>
      </c>
      <c r="S451" s="317" t="str">
        <f t="shared" si="161"/>
        <v/>
      </c>
      <c r="V451" s="314">
        <f>SUM('RES. CENTRAL PARK:RUA_FINAL'!N451)</f>
        <v>0</v>
      </c>
      <c r="W451" s="315">
        <f t="shared" si="122"/>
        <v>0</v>
      </c>
    </row>
    <row r="452" spans="1:23" ht="15" hidden="1" customHeight="1" x14ac:dyDescent="0.2">
      <c r="A452" s="63" t="s">
        <v>147</v>
      </c>
      <c r="B452" s="895" t="s">
        <v>147</v>
      </c>
      <c r="C452" s="896"/>
      <c r="D452" s="957" t="s">
        <v>230</v>
      </c>
      <c r="E452" s="907">
        <f>DMT!$D$46</f>
        <v>353</v>
      </c>
      <c r="F452" s="1287">
        <f>Novos_Traços_CBUQ!F68</f>
        <v>1.44E-2</v>
      </c>
      <c r="G452" s="909">
        <f>IF(E452&lt;=30,(0.78*E452+7.82)*F452,((0.78*30+7.82)+0.78*(E452-30))*F452)</f>
        <v>4.0775040000000002</v>
      </c>
      <c r="H452" s="901">
        <v>0</v>
      </c>
      <c r="I452" s="901"/>
      <c r="J452" s="902">
        <v>0</v>
      </c>
      <c r="K452" s="903" t="s">
        <v>507</v>
      </c>
      <c r="L452" s="1003">
        <f>ROUND(SUM('RES. CENTRAL PARK:RUA_FINAL'!L452),2)</f>
        <v>0</v>
      </c>
      <c r="M452" s="960">
        <f t="shared" si="157"/>
        <v>0</v>
      </c>
      <c r="N452" s="893">
        <f t="shared" si="158"/>
        <v>0</v>
      </c>
      <c r="O452" s="905"/>
      <c r="P452" s="58" t="str">
        <f>IF(N450&gt;0,"xx",IF(N450&gt;0,"xy",""))</f>
        <v/>
      </c>
      <c r="Q452" s="317" t="str">
        <f t="shared" si="159"/>
        <v/>
      </c>
      <c r="R452" s="317" t="str">
        <f t="shared" si="160"/>
        <v/>
      </c>
      <c r="S452" s="317" t="str">
        <f t="shared" si="161"/>
        <v/>
      </c>
      <c r="V452" s="314">
        <f>SUM('RES. CENTRAL PARK:RUA_FINAL'!N452)</f>
        <v>0</v>
      </c>
      <c r="W452" s="315">
        <f t="shared" si="122"/>
        <v>0</v>
      </c>
    </row>
    <row r="453" spans="1:23" ht="15" hidden="1" customHeight="1" x14ac:dyDescent="0.2">
      <c r="A453" s="63" t="s">
        <v>147</v>
      </c>
      <c r="B453" s="895" t="s">
        <v>147</v>
      </c>
      <c r="C453" s="896"/>
      <c r="D453" s="957" t="s">
        <v>243</v>
      </c>
      <c r="E453" s="907">
        <f>DMT!$F$43</f>
        <v>0.2</v>
      </c>
      <c r="F453" s="1287">
        <f>Novos_Traços_CBUQ!F65</f>
        <v>0.83720000000000006</v>
      </c>
      <c r="G453" s="949">
        <f t="shared" ref="G453" si="166">IF(E453&lt;=30,(1.07*E453+2.68)*F453,((1.07*30+2.68)+1.07*(E453-30))*F453)</f>
        <v>2.4228568000000004</v>
      </c>
      <c r="H453" s="901">
        <v>0</v>
      </c>
      <c r="I453" s="901"/>
      <c r="J453" s="902">
        <v>0</v>
      </c>
      <c r="K453" s="903" t="s">
        <v>507</v>
      </c>
      <c r="L453" s="1003">
        <f>ROUND(SUM('RES. CENTRAL PARK:RUA_FINAL'!L453),2)</f>
        <v>0</v>
      </c>
      <c r="M453" s="960">
        <f t="shared" si="157"/>
        <v>0</v>
      </c>
      <c r="N453" s="893">
        <f t="shared" si="158"/>
        <v>0</v>
      </c>
      <c r="O453" s="905"/>
      <c r="P453" s="58" t="str">
        <f>IF(N450&gt;0,"xx",IF(N450&gt;0,"xy",""))</f>
        <v/>
      </c>
      <c r="Q453" s="317" t="str">
        <f t="shared" si="159"/>
        <v/>
      </c>
      <c r="R453" s="317" t="str">
        <f t="shared" si="160"/>
        <v/>
      </c>
      <c r="S453" s="317" t="str">
        <f t="shared" si="161"/>
        <v/>
      </c>
      <c r="V453" s="314">
        <f>SUM('RES. CENTRAL PARK:RUA_FINAL'!N453)</f>
        <v>0</v>
      </c>
      <c r="W453" s="315">
        <f t="shared" si="122"/>
        <v>0</v>
      </c>
    </row>
    <row r="454" spans="1:23" ht="15" hidden="1" customHeight="1" x14ac:dyDescent="0.2">
      <c r="A454" s="63" t="s">
        <v>147</v>
      </c>
      <c r="B454" s="895" t="s">
        <v>147</v>
      </c>
      <c r="C454" s="896"/>
      <c r="D454" s="957" t="s">
        <v>244</v>
      </c>
      <c r="E454" s="907">
        <f>DMT!$F$28</f>
        <v>22</v>
      </c>
      <c r="F454" s="908">
        <f>SUM(F450:F453)</f>
        <v>1</v>
      </c>
      <c r="G454" s="912">
        <f>IF(E454&lt;=30,(1.07*E454+6.45)*F454,((1.07*30+6.45)+1.07*(E454-30))*F454)</f>
        <v>29.990000000000002</v>
      </c>
      <c r="H454" s="901">
        <v>0</v>
      </c>
      <c r="I454" s="901"/>
      <c r="J454" s="902">
        <v>0</v>
      </c>
      <c r="K454" s="903" t="s">
        <v>507</v>
      </c>
      <c r="L454" s="1003">
        <f>ROUND(SUM('RES. CENTRAL PARK:RUA_FINAL'!L454),2)</f>
        <v>0</v>
      </c>
      <c r="M454" s="960">
        <f t="shared" si="157"/>
        <v>0</v>
      </c>
      <c r="N454" s="893">
        <f t="shared" si="158"/>
        <v>0</v>
      </c>
      <c r="O454" s="905"/>
      <c r="P454" s="58" t="str">
        <f>IF(N450&gt;0,"xx",IF(N450&gt;0,"xy",""))</f>
        <v/>
      </c>
      <c r="Q454" s="317" t="str">
        <f t="shared" si="159"/>
        <v/>
      </c>
      <c r="R454" s="317" t="str">
        <f t="shared" si="160"/>
        <v/>
      </c>
      <c r="S454" s="317" t="str">
        <f t="shared" si="161"/>
        <v/>
      </c>
      <c r="V454" s="314">
        <f>SUM('RES. CENTRAL PARK:RUA_FINAL'!N454)</f>
        <v>0</v>
      </c>
      <c r="W454" s="315">
        <f t="shared" si="122"/>
        <v>0</v>
      </c>
    </row>
    <row r="455" spans="1:23" ht="15" hidden="1" customHeight="1" thickBot="1" x14ac:dyDescent="0.25">
      <c r="A455" s="63">
        <v>589000</v>
      </c>
      <c r="B455" s="1004" t="s">
        <v>717</v>
      </c>
      <c r="C455" s="984" t="s">
        <v>213</v>
      </c>
      <c r="D455" s="1012" t="s">
        <v>2172</v>
      </c>
      <c r="E455" s="1020">
        <f>DMT!$D$45</f>
        <v>45</v>
      </c>
      <c r="F455" s="1006">
        <v>1</v>
      </c>
      <c r="G455" s="949">
        <f>(0.94*E455+46.06)*F455</f>
        <v>88.36</v>
      </c>
      <c r="H455" s="988">
        <v>4828.8599999999997</v>
      </c>
      <c r="I455" s="988">
        <f>IF(ISBLANK(H455),"",H455*(1+$E$9)/(1+$E$10))+G455</f>
        <v>4724.580378112767</v>
      </c>
      <c r="J455" s="989">
        <f t="shared" ref="J455:J456" si="167">IF(ISBLANK(H455),0,ROUND(I455*(1+$E$10),2))</f>
        <v>5672.8</v>
      </c>
      <c r="K455" s="990" t="s">
        <v>14</v>
      </c>
      <c r="L455" s="991">
        <f>ROUND(SUM('RES. CENTRAL PARK:RUA_FINAL'!L455),2)</f>
        <v>0</v>
      </c>
      <c r="M455" s="1013">
        <f t="shared" si="157"/>
        <v>0</v>
      </c>
      <c r="N455" s="993">
        <f t="shared" si="158"/>
        <v>0</v>
      </c>
      <c r="O455" s="905"/>
      <c r="P455" s="58" t="str">
        <f>IF(N450&gt;0,"xx",IF(N450&gt;0,"xy",""))</f>
        <v/>
      </c>
      <c r="Q455" s="317" t="str">
        <f t="shared" si="159"/>
        <v/>
      </c>
      <c r="R455" s="317" t="str">
        <f t="shared" si="160"/>
        <v/>
      </c>
      <c r="S455" s="317" t="str">
        <f t="shared" si="161"/>
        <v/>
      </c>
      <c r="V455" s="314">
        <f>SUM('RES. CENTRAL PARK:RUA_FINAL'!N455)</f>
        <v>0</v>
      </c>
      <c r="W455" s="315">
        <f t="shared" si="122"/>
        <v>0</v>
      </c>
    </row>
    <row r="456" spans="1:23" ht="13.5" hidden="1" thickBot="1" x14ac:dyDescent="0.25">
      <c r="A456" s="63">
        <v>570000</v>
      </c>
      <c r="B456" s="999" t="s">
        <v>1654</v>
      </c>
      <c r="C456" s="1000" t="s">
        <v>184</v>
      </c>
      <c r="D456" s="1024" t="str">
        <f>CONCATENATE("CBUQ - Novos traços - ",Novos_Traços_CBUQ!J43," - (Quant. menor que 10.000 ton)")</f>
        <v>CBUQ - Novos traços - TRAÇO 7 - FAIXA "C" - (Quant. menor que 10.000 ton)</v>
      </c>
      <c r="E456" s="974" t="s">
        <v>569</v>
      </c>
      <c r="F456" s="1025">
        <f>Novos_Traços_CBUQ!M69</f>
        <v>4.9500000000000002E-2</v>
      </c>
      <c r="G456" s="976">
        <f>SUM(G457:G460)</f>
        <v>52.115947599999998</v>
      </c>
      <c r="H456" s="977">
        <v>187.41</v>
      </c>
      <c r="I456" s="977">
        <f>IF(ISBLANK(H456),"",SUM(G456:H456))</f>
        <v>239.52594759999999</v>
      </c>
      <c r="J456" s="978">
        <f t="shared" si="167"/>
        <v>287.60000000000002</v>
      </c>
      <c r="K456" s="979" t="s">
        <v>14</v>
      </c>
      <c r="L456" s="980">
        <f>ROUND(SUM('RES. CENTRAL PARK:RUA_FINAL'!L456),2)</f>
        <v>0</v>
      </c>
      <c r="M456" s="981">
        <f t="shared" ref="M456:M467" si="168">IF(L456=0,0,ROUND(J456,2))</f>
        <v>0</v>
      </c>
      <c r="N456" s="982">
        <f t="shared" ref="N456:N467" si="169">IF(ISBLANK(L456),0,ROUND(L456*M456,2))</f>
        <v>0</v>
      </c>
      <c r="O456" s="905"/>
      <c r="Q456" s="317" t="str">
        <f t="shared" ref="Q456:Q467" si="170">IF(P456="X","x",IF(P456="xx","x",IF(P456="xy","x",IF(P456="y","x",IF(OR(N456&gt;0,N456&gt;0),"x","")))))</f>
        <v/>
      </c>
      <c r="R456" s="317" t="str">
        <f t="shared" ref="R456:R467" si="171">IF(P456="X","x",IF(P456="y","x",IF(P456="xx","x",IF(N456&gt;0,"x",""))))</f>
        <v/>
      </c>
      <c r="S456" s="317" t="str">
        <f t="shared" ref="S456:S467" si="172">IF(P456="X","x",IF(N456&gt;0,"x",""))</f>
        <v/>
      </c>
      <c r="V456" s="314">
        <f>SUM('RES. CENTRAL PARK:RUA_FINAL'!N456)</f>
        <v>0</v>
      </c>
      <c r="W456" s="315">
        <f t="shared" si="122"/>
        <v>0</v>
      </c>
    </row>
    <row r="457" spans="1:23" ht="15" hidden="1" customHeight="1" x14ac:dyDescent="0.2">
      <c r="A457" s="63" t="s">
        <v>147</v>
      </c>
      <c r="B457" s="895" t="s">
        <v>147</v>
      </c>
      <c r="C457" s="896"/>
      <c r="D457" s="957" t="s">
        <v>229</v>
      </c>
      <c r="E457" s="907">
        <f>DMT!$F$42</f>
        <v>150</v>
      </c>
      <c r="F457" s="1287">
        <f>Novos_Traços_CBUQ!M67</f>
        <v>9.5699999999999993E-2</v>
      </c>
      <c r="G457" s="949">
        <f t="shared" ref="G457" si="173">IF(E457&lt;=30,(1.07*E457+2.68)*F457,((1.07*30+2.68)+1.07*(E457-30))*F457)</f>
        <v>15.616325999999999</v>
      </c>
      <c r="H457" s="901">
        <v>0</v>
      </c>
      <c r="I457" s="901"/>
      <c r="J457" s="902">
        <v>0</v>
      </c>
      <c r="K457" s="903" t="s">
        <v>507</v>
      </c>
      <c r="L457" s="1003">
        <f>ROUND(SUM('RES. CENTRAL PARK:RUA_FINAL'!L457),2)</f>
        <v>0</v>
      </c>
      <c r="M457" s="960">
        <f t="shared" si="168"/>
        <v>0</v>
      </c>
      <c r="N457" s="893">
        <f t="shared" si="169"/>
        <v>0</v>
      </c>
      <c r="O457" s="905"/>
      <c r="P457" s="58" t="str">
        <f>IF(N456&gt;0,"xx",IF(N456&gt;0,"xy",""))</f>
        <v/>
      </c>
      <c r="Q457" s="317" t="str">
        <f t="shared" si="170"/>
        <v/>
      </c>
      <c r="R457" s="317" t="str">
        <f t="shared" si="171"/>
        <v/>
      </c>
      <c r="S457" s="317" t="str">
        <f t="shared" si="172"/>
        <v/>
      </c>
      <c r="V457" s="314">
        <f>SUM('RES. CENTRAL PARK:RUA_FINAL'!N457)</f>
        <v>0</v>
      </c>
      <c r="W457" s="315">
        <f t="shared" si="122"/>
        <v>0</v>
      </c>
    </row>
    <row r="458" spans="1:23" ht="15" hidden="1" customHeight="1" x14ac:dyDescent="0.2">
      <c r="A458" s="63" t="s">
        <v>147</v>
      </c>
      <c r="B458" s="895" t="s">
        <v>147</v>
      </c>
      <c r="C458" s="896"/>
      <c r="D458" s="957" t="s">
        <v>230</v>
      </c>
      <c r="E458" s="907">
        <f>DMT!$D$46</f>
        <v>353</v>
      </c>
      <c r="F458" s="1287">
        <f>Novos_Traços_CBUQ!M68</f>
        <v>1.44E-2</v>
      </c>
      <c r="G458" s="909">
        <f>IF(E458&lt;=30,(0.78*E458+7.82)*F458,((0.78*30+7.82)+0.78*(E458-30))*F458)</f>
        <v>4.0775040000000002</v>
      </c>
      <c r="H458" s="901">
        <v>0</v>
      </c>
      <c r="I458" s="901"/>
      <c r="J458" s="902">
        <v>0</v>
      </c>
      <c r="K458" s="903" t="s">
        <v>507</v>
      </c>
      <c r="L458" s="1003">
        <f>ROUND(SUM('RES. CENTRAL PARK:RUA_FINAL'!L458),2)</f>
        <v>0</v>
      </c>
      <c r="M458" s="960">
        <f t="shared" si="168"/>
        <v>0</v>
      </c>
      <c r="N458" s="893">
        <f t="shared" si="169"/>
        <v>0</v>
      </c>
      <c r="O458" s="905"/>
      <c r="P458" s="58" t="str">
        <f>IF(N456&gt;0,"xx",IF(N456&gt;0,"xy",""))</f>
        <v/>
      </c>
      <c r="Q458" s="317" t="str">
        <f t="shared" si="170"/>
        <v/>
      </c>
      <c r="R458" s="317" t="str">
        <f t="shared" si="171"/>
        <v/>
      </c>
      <c r="S458" s="317" t="str">
        <f t="shared" si="172"/>
        <v/>
      </c>
      <c r="V458" s="314">
        <f>SUM('RES. CENTRAL PARK:RUA_FINAL'!N458)</f>
        <v>0</v>
      </c>
      <c r="W458" s="315">
        <f t="shared" si="122"/>
        <v>0</v>
      </c>
    </row>
    <row r="459" spans="1:23" ht="15" hidden="1" customHeight="1" x14ac:dyDescent="0.2">
      <c r="A459" s="63" t="s">
        <v>147</v>
      </c>
      <c r="B459" s="895" t="s">
        <v>147</v>
      </c>
      <c r="C459" s="896"/>
      <c r="D459" s="957" t="s">
        <v>243</v>
      </c>
      <c r="E459" s="907">
        <f>DMT!$F$43</f>
        <v>0.2</v>
      </c>
      <c r="F459" s="1287">
        <f>Novos_Traços_CBUQ!M65</f>
        <v>0.84040000000000004</v>
      </c>
      <c r="G459" s="949">
        <f t="shared" ref="G459" si="174">IF(E459&lt;=30,(1.07*E459+2.68)*F459,((1.07*30+2.68)+1.07*(E459-30))*F459)</f>
        <v>2.4321176000000002</v>
      </c>
      <c r="H459" s="901">
        <v>0</v>
      </c>
      <c r="I459" s="901"/>
      <c r="J459" s="902">
        <v>0</v>
      </c>
      <c r="K459" s="903" t="s">
        <v>507</v>
      </c>
      <c r="L459" s="1003">
        <f>ROUND(SUM('RES. CENTRAL PARK:RUA_FINAL'!L459),2)</f>
        <v>0</v>
      </c>
      <c r="M459" s="960">
        <f t="shared" si="168"/>
        <v>0</v>
      </c>
      <c r="N459" s="893">
        <f t="shared" si="169"/>
        <v>0</v>
      </c>
      <c r="O459" s="905"/>
      <c r="P459" s="58" t="str">
        <f>IF(N456&gt;0,"xx",IF(N456&gt;0,"xy",""))</f>
        <v/>
      </c>
      <c r="Q459" s="317" t="str">
        <f t="shared" si="170"/>
        <v/>
      </c>
      <c r="R459" s="317" t="str">
        <f t="shared" si="171"/>
        <v/>
      </c>
      <c r="S459" s="317" t="str">
        <f t="shared" si="172"/>
        <v/>
      </c>
      <c r="V459" s="314">
        <f>SUM('RES. CENTRAL PARK:RUA_FINAL'!N459)</f>
        <v>0</v>
      </c>
      <c r="W459" s="315">
        <f t="shared" si="122"/>
        <v>0</v>
      </c>
    </row>
    <row r="460" spans="1:23" ht="15" hidden="1" customHeight="1" x14ac:dyDescent="0.2">
      <c r="A460" s="63" t="s">
        <v>147</v>
      </c>
      <c r="B460" s="895" t="s">
        <v>147</v>
      </c>
      <c r="C460" s="896"/>
      <c r="D460" s="957" t="s">
        <v>244</v>
      </c>
      <c r="E460" s="907">
        <f>DMT!$F$28</f>
        <v>22</v>
      </c>
      <c r="F460" s="908">
        <f>SUM(F456:F459)</f>
        <v>1</v>
      </c>
      <c r="G460" s="912">
        <f>IF(E460&lt;=30,(1.07*E460+6.45)*F460,((1.07*30+6.45)+1.07*(E460-30))*F460)</f>
        <v>29.990000000000002</v>
      </c>
      <c r="H460" s="901">
        <v>0</v>
      </c>
      <c r="I460" s="901"/>
      <c r="J460" s="902">
        <v>0</v>
      </c>
      <c r="K460" s="903" t="s">
        <v>507</v>
      </c>
      <c r="L460" s="1003">
        <f>ROUND(SUM('RES. CENTRAL PARK:RUA_FINAL'!L460),2)</f>
        <v>0</v>
      </c>
      <c r="M460" s="960">
        <f t="shared" si="168"/>
        <v>0</v>
      </c>
      <c r="N460" s="893">
        <f t="shared" si="169"/>
        <v>0</v>
      </c>
      <c r="O460" s="905"/>
      <c r="P460" s="58" t="str">
        <f>IF(N456&gt;0,"xx",IF(N456&gt;0,"xy",""))</f>
        <v/>
      </c>
      <c r="Q460" s="317" t="str">
        <f t="shared" si="170"/>
        <v/>
      </c>
      <c r="R460" s="317" t="str">
        <f t="shared" si="171"/>
        <v/>
      </c>
      <c r="S460" s="317" t="str">
        <f t="shared" si="172"/>
        <v/>
      </c>
      <c r="V460" s="314">
        <f>SUM('RES. CENTRAL PARK:RUA_FINAL'!N460)</f>
        <v>0</v>
      </c>
      <c r="W460" s="315">
        <f t="shared" si="122"/>
        <v>0</v>
      </c>
    </row>
    <row r="461" spans="1:23" ht="15" hidden="1" customHeight="1" thickBot="1" x14ac:dyDescent="0.25">
      <c r="A461" s="63">
        <v>589000</v>
      </c>
      <c r="B461" s="1004" t="s">
        <v>717</v>
      </c>
      <c r="C461" s="984" t="s">
        <v>213</v>
      </c>
      <c r="D461" s="1012" t="s">
        <v>2172</v>
      </c>
      <c r="E461" s="1020">
        <f>DMT!$D$45</f>
        <v>45</v>
      </c>
      <c r="F461" s="1006">
        <v>1</v>
      </c>
      <c r="G461" s="949">
        <f>(0.94*E461+46.06)*F461</f>
        <v>88.36</v>
      </c>
      <c r="H461" s="988">
        <v>4828.8599999999997</v>
      </c>
      <c r="I461" s="988">
        <f>IF(ISBLANK(H461),"",H461*(1+$E$9)/(1+$E$10))+G461</f>
        <v>4724.580378112767</v>
      </c>
      <c r="J461" s="989">
        <f t="shared" ref="J461:J462" si="175">IF(ISBLANK(H461),0,ROUND(I461*(1+$E$10),2))</f>
        <v>5672.8</v>
      </c>
      <c r="K461" s="990" t="s">
        <v>14</v>
      </c>
      <c r="L461" s="991">
        <f>ROUND(SUM('RES. CENTRAL PARK:RUA_FINAL'!L461),2)</f>
        <v>0</v>
      </c>
      <c r="M461" s="1013">
        <f t="shared" si="168"/>
        <v>0</v>
      </c>
      <c r="N461" s="993">
        <f t="shared" si="169"/>
        <v>0</v>
      </c>
      <c r="O461" s="905"/>
      <c r="P461" s="58" t="str">
        <f>IF(N456&gt;0,"xx",IF(N456&gt;0,"xy",""))</f>
        <v/>
      </c>
      <c r="Q461" s="317" t="str">
        <f t="shared" si="170"/>
        <v/>
      </c>
      <c r="R461" s="317" t="str">
        <f t="shared" si="171"/>
        <v/>
      </c>
      <c r="S461" s="317" t="str">
        <f t="shared" si="172"/>
        <v/>
      </c>
      <c r="V461" s="314">
        <f>SUM('RES. CENTRAL PARK:RUA_FINAL'!N461)</f>
        <v>0</v>
      </c>
      <c r="W461" s="315">
        <f t="shared" si="122"/>
        <v>0</v>
      </c>
    </row>
    <row r="462" spans="1:23" ht="13.5" hidden="1" thickBot="1" x14ac:dyDescent="0.25">
      <c r="A462" s="63">
        <v>570000</v>
      </c>
      <c r="B462" s="999" t="s">
        <v>1654</v>
      </c>
      <c r="C462" s="1000" t="s">
        <v>184</v>
      </c>
      <c r="D462" s="1024" t="str">
        <f>CONCATENATE("CBUQ - Novos traços - ",Novos_Traços_CBUQ!C79," - (Quant. menor que 10.000 ton)")</f>
        <v>CBUQ - Novos traços - TRAÇO 8 - FAIXA "C" - (Quant. menor que 10.000 ton)</v>
      </c>
      <c r="E462" s="974" t="s">
        <v>569</v>
      </c>
      <c r="F462" s="1025">
        <f>Novos_Traços_CBUQ!F105</f>
        <v>4.9000000000000002E-2</v>
      </c>
      <c r="G462" s="976">
        <f>SUM(G463:G466)</f>
        <v>52.1614498</v>
      </c>
      <c r="H462" s="977">
        <v>187.41</v>
      </c>
      <c r="I462" s="977">
        <f>IF(ISBLANK(H462),"",SUM(G462:H462))</f>
        <v>239.57144979999998</v>
      </c>
      <c r="J462" s="978">
        <f t="shared" si="175"/>
        <v>287.64999999999998</v>
      </c>
      <c r="K462" s="979" t="s">
        <v>14</v>
      </c>
      <c r="L462" s="980">
        <f>ROUND(SUM('RES. CENTRAL PARK:RUA_FINAL'!L462),2)</f>
        <v>0</v>
      </c>
      <c r="M462" s="981">
        <f t="shared" si="168"/>
        <v>0</v>
      </c>
      <c r="N462" s="982">
        <f t="shared" si="169"/>
        <v>0</v>
      </c>
      <c r="O462" s="905"/>
      <c r="Q462" s="317" t="str">
        <f t="shared" si="170"/>
        <v/>
      </c>
      <c r="R462" s="317" t="str">
        <f t="shared" si="171"/>
        <v/>
      </c>
      <c r="S462" s="317" t="str">
        <f t="shared" si="172"/>
        <v/>
      </c>
      <c r="V462" s="314">
        <f>SUM('RES. CENTRAL PARK:RUA_FINAL'!N462)</f>
        <v>0</v>
      </c>
      <c r="W462" s="315">
        <f t="shared" si="122"/>
        <v>0</v>
      </c>
    </row>
    <row r="463" spans="1:23" ht="15" hidden="1" customHeight="1" x14ac:dyDescent="0.2">
      <c r="A463" s="63" t="s">
        <v>147</v>
      </c>
      <c r="B463" s="895" t="s">
        <v>147</v>
      </c>
      <c r="C463" s="896"/>
      <c r="D463" s="957" t="s">
        <v>229</v>
      </c>
      <c r="E463" s="907">
        <f>DMT!$F$42</f>
        <v>150</v>
      </c>
      <c r="F463" s="1287">
        <f>Novos_Traços_CBUQ!F103</f>
        <v>9.5799999999999996E-2</v>
      </c>
      <c r="G463" s="949">
        <f t="shared" ref="G463" si="176">IF(E463&lt;=30,(1.07*E463+2.68)*F463,((1.07*30+2.68)+1.07*(E463-30))*F463)</f>
        <v>15.632644000000001</v>
      </c>
      <c r="H463" s="901">
        <v>0</v>
      </c>
      <c r="I463" s="901"/>
      <c r="J463" s="902">
        <v>0</v>
      </c>
      <c r="K463" s="903" t="s">
        <v>507</v>
      </c>
      <c r="L463" s="1003">
        <f>ROUND(SUM('RES. CENTRAL PARK:RUA_FINAL'!L463),2)</f>
        <v>0</v>
      </c>
      <c r="M463" s="960">
        <f t="shared" si="168"/>
        <v>0</v>
      </c>
      <c r="N463" s="893">
        <f t="shared" si="169"/>
        <v>0</v>
      </c>
      <c r="O463" s="905"/>
      <c r="P463" s="58" t="str">
        <f>IF(N462&gt;0,"xx",IF(N462&gt;0,"xy",""))</f>
        <v/>
      </c>
      <c r="Q463" s="317" t="str">
        <f t="shared" si="170"/>
        <v/>
      </c>
      <c r="R463" s="317" t="str">
        <f t="shared" si="171"/>
        <v/>
      </c>
      <c r="S463" s="317" t="str">
        <f t="shared" si="172"/>
        <v/>
      </c>
      <c r="V463" s="314">
        <f>SUM('RES. CENTRAL PARK:RUA_FINAL'!N463)</f>
        <v>0</v>
      </c>
      <c r="W463" s="315">
        <f t="shared" si="122"/>
        <v>0</v>
      </c>
    </row>
    <row r="464" spans="1:23" ht="15" hidden="1" customHeight="1" x14ac:dyDescent="0.2">
      <c r="A464" s="63" t="s">
        <v>147</v>
      </c>
      <c r="B464" s="895" t="s">
        <v>147</v>
      </c>
      <c r="C464" s="896"/>
      <c r="D464" s="957" t="s">
        <v>230</v>
      </c>
      <c r="E464" s="907">
        <f>DMT!$D$46</f>
        <v>353</v>
      </c>
      <c r="F464" s="1287">
        <f>Novos_Traços_CBUQ!F104</f>
        <v>1.4500000000000001E-2</v>
      </c>
      <c r="G464" s="909">
        <f>IF(E464&lt;=30,(0.78*E464+7.82)*F464,((0.78*30+7.82)+0.78*(E464-30))*F464)</f>
        <v>4.1058200000000005</v>
      </c>
      <c r="H464" s="901">
        <v>0</v>
      </c>
      <c r="I464" s="901"/>
      <c r="J464" s="902">
        <v>0</v>
      </c>
      <c r="K464" s="903" t="s">
        <v>507</v>
      </c>
      <c r="L464" s="1003">
        <f>ROUND(SUM('RES. CENTRAL PARK:RUA_FINAL'!L464),2)</f>
        <v>0</v>
      </c>
      <c r="M464" s="960">
        <f t="shared" si="168"/>
        <v>0</v>
      </c>
      <c r="N464" s="893">
        <f t="shared" si="169"/>
        <v>0</v>
      </c>
      <c r="O464" s="905"/>
      <c r="P464" s="58" t="str">
        <f>IF(N462&gt;0,"xx",IF(N462&gt;0,"xy",""))</f>
        <v/>
      </c>
      <c r="Q464" s="317" t="str">
        <f t="shared" si="170"/>
        <v/>
      </c>
      <c r="R464" s="317" t="str">
        <f t="shared" si="171"/>
        <v/>
      </c>
      <c r="S464" s="317" t="str">
        <f t="shared" si="172"/>
        <v/>
      </c>
      <c r="V464" s="314">
        <f>SUM('RES. CENTRAL PARK:RUA_FINAL'!N464)</f>
        <v>0</v>
      </c>
      <c r="W464" s="315">
        <f t="shared" si="122"/>
        <v>0</v>
      </c>
    </row>
    <row r="465" spans="1:23" ht="15" hidden="1" customHeight="1" x14ac:dyDescent="0.2">
      <c r="A465" s="63" t="s">
        <v>147</v>
      </c>
      <c r="B465" s="895" t="s">
        <v>147</v>
      </c>
      <c r="C465" s="896"/>
      <c r="D465" s="957" t="s">
        <v>243</v>
      </c>
      <c r="E465" s="907">
        <f>DMT!$F$43</f>
        <v>0.2</v>
      </c>
      <c r="F465" s="1287">
        <f>Novos_Traços_CBUQ!F101</f>
        <v>0.8407</v>
      </c>
      <c r="G465" s="949">
        <f t="shared" ref="G465" si="177">IF(E465&lt;=30,(1.07*E465+2.68)*F465,((1.07*30+2.68)+1.07*(E465-30))*F465)</f>
        <v>2.4329858</v>
      </c>
      <c r="H465" s="901">
        <v>0</v>
      </c>
      <c r="I465" s="901"/>
      <c r="J465" s="902">
        <v>0</v>
      </c>
      <c r="K465" s="903" t="s">
        <v>507</v>
      </c>
      <c r="L465" s="1003">
        <f>ROUND(SUM('RES. CENTRAL PARK:RUA_FINAL'!L465),2)</f>
        <v>0</v>
      </c>
      <c r="M465" s="960">
        <f t="shared" si="168"/>
        <v>0</v>
      </c>
      <c r="N465" s="893">
        <f t="shared" si="169"/>
        <v>0</v>
      </c>
      <c r="O465" s="905"/>
      <c r="P465" s="58" t="str">
        <f>IF(N462&gt;0,"xx",IF(N462&gt;0,"xy",""))</f>
        <v/>
      </c>
      <c r="Q465" s="317" t="str">
        <f t="shared" si="170"/>
        <v/>
      </c>
      <c r="R465" s="317" t="str">
        <f t="shared" si="171"/>
        <v/>
      </c>
      <c r="S465" s="317" t="str">
        <f t="shared" si="172"/>
        <v/>
      </c>
      <c r="V465" s="314">
        <f>SUM('RES. CENTRAL PARK:RUA_FINAL'!N465)</f>
        <v>0</v>
      </c>
      <c r="W465" s="315">
        <f t="shared" si="122"/>
        <v>0</v>
      </c>
    </row>
    <row r="466" spans="1:23" ht="15" hidden="1" customHeight="1" x14ac:dyDescent="0.2">
      <c r="A466" s="63" t="s">
        <v>147</v>
      </c>
      <c r="B466" s="895" t="s">
        <v>147</v>
      </c>
      <c r="C466" s="896"/>
      <c r="D466" s="957" t="s">
        <v>244</v>
      </c>
      <c r="E466" s="907">
        <f>DMT!$F$28</f>
        <v>22</v>
      </c>
      <c r="F466" s="908">
        <f>SUM(F462:F465)</f>
        <v>1</v>
      </c>
      <c r="G466" s="912">
        <f>IF(E466&lt;=30,(1.07*E466+6.45)*F466,((1.07*30+6.45)+1.07*(E466-30))*F466)</f>
        <v>29.990000000000002</v>
      </c>
      <c r="H466" s="901">
        <v>0</v>
      </c>
      <c r="I466" s="901"/>
      <c r="J466" s="902">
        <v>0</v>
      </c>
      <c r="K466" s="903" t="s">
        <v>507</v>
      </c>
      <c r="L466" s="1003">
        <f>ROUND(SUM('RES. CENTRAL PARK:RUA_FINAL'!L466),2)</f>
        <v>0</v>
      </c>
      <c r="M466" s="960">
        <f t="shared" si="168"/>
        <v>0</v>
      </c>
      <c r="N466" s="893">
        <f t="shared" si="169"/>
        <v>0</v>
      </c>
      <c r="O466" s="905"/>
      <c r="P466" s="58" t="str">
        <f>IF(N462&gt;0,"xx",IF(N462&gt;0,"xy",""))</f>
        <v/>
      </c>
      <c r="Q466" s="317" t="str">
        <f t="shared" si="170"/>
        <v/>
      </c>
      <c r="R466" s="317" t="str">
        <f t="shared" si="171"/>
        <v/>
      </c>
      <c r="S466" s="317" t="str">
        <f t="shared" si="172"/>
        <v/>
      </c>
      <c r="V466" s="314">
        <f>SUM('RES. CENTRAL PARK:RUA_FINAL'!N466)</f>
        <v>0</v>
      </c>
      <c r="W466" s="315">
        <f t="shared" si="122"/>
        <v>0</v>
      </c>
    </row>
    <row r="467" spans="1:23" ht="15" hidden="1" customHeight="1" thickBot="1" x14ac:dyDescent="0.25">
      <c r="A467" s="63">
        <v>589000</v>
      </c>
      <c r="B467" s="1004" t="s">
        <v>717</v>
      </c>
      <c r="C467" s="984" t="s">
        <v>213</v>
      </c>
      <c r="D467" s="1012" t="s">
        <v>2172</v>
      </c>
      <c r="E467" s="1020">
        <f>DMT!$D$45</f>
        <v>45</v>
      </c>
      <c r="F467" s="1006">
        <v>1</v>
      </c>
      <c r="G467" s="949">
        <f>(0.94*E467+46.06)*F467</f>
        <v>88.36</v>
      </c>
      <c r="H467" s="988">
        <v>4828.8599999999997</v>
      </c>
      <c r="I467" s="988">
        <f>IF(ISBLANK(H467),"",H467*(1+$E$9)/(1+$E$10))+G467</f>
        <v>4724.580378112767</v>
      </c>
      <c r="J467" s="989">
        <f t="shared" ref="J467" si="178">IF(ISBLANK(H467),0,ROUND(I467*(1+$E$10),2))</f>
        <v>5672.8</v>
      </c>
      <c r="K467" s="990" t="s">
        <v>14</v>
      </c>
      <c r="L467" s="991">
        <f>ROUND(SUM('RES. CENTRAL PARK:RUA_FINAL'!L467),2)</f>
        <v>0</v>
      </c>
      <c r="M467" s="1013">
        <f t="shared" si="168"/>
        <v>0</v>
      </c>
      <c r="N467" s="993">
        <f t="shared" si="169"/>
        <v>0</v>
      </c>
      <c r="O467" s="905"/>
      <c r="P467" s="58" t="str">
        <f>IF(N462&gt;0,"xx",IF(N462&gt;0,"xy",""))</f>
        <v/>
      </c>
      <c r="Q467" s="317" t="str">
        <f t="shared" si="170"/>
        <v/>
      </c>
      <c r="R467" s="317" t="str">
        <f t="shared" si="171"/>
        <v/>
      </c>
      <c r="S467" s="317" t="str">
        <f t="shared" si="172"/>
        <v/>
      </c>
      <c r="V467" s="314">
        <f>SUM('RES. CENTRAL PARK:RUA_FINAL'!N467)</f>
        <v>0</v>
      </c>
      <c r="W467" s="315">
        <f t="shared" si="122"/>
        <v>0</v>
      </c>
    </row>
    <row r="468" spans="1:23" ht="15" hidden="1" customHeight="1" x14ac:dyDescent="0.2">
      <c r="A468" s="63">
        <v>570400</v>
      </c>
      <c r="B468" s="999" t="s">
        <v>1655</v>
      </c>
      <c r="C468" s="1000" t="s">
        <v>184</v>
      </c>
      <c r="D468" s="973" t="s">
        <v>2217</v>
      </c>
      <c r="E468" s="974" t="s">
        <v>569</v>
      </c>
      <c r="F468" s="975">
        <v>0.05</v>
      </c>
      <c r="G468" s="976">
        <f>SUM(G469:G472)</f>
        <v>53.140143399999999</v>
      </c>
      <c r="H468" s="977">
        <v>169.12</v>
      </c>
      <c r="I468" s="977">
        <f>IF(ISBLANK(H468),"",SUM(G468:H468))</f>
        <v>222.2601434</v>
      </c>
      <c r="J468" s="978">
        <f t="shared" si="99"/>
        <v>266.87</v>
      </c>
      <c r="K468" s="979" t="s">
        <v>14</v>
      </c>
      <c r="L468" s="980">
        <f>ROUND(SUM('RES. CENTRAL PARK:RUA_FINAL'!L468),2)</f>
        <v>0</v>
      </c>
      <c r="M468" s="981">
        <f t="shared" si="142"/>
        <v>0</v>
      </c>
      <c r="N468" s="982">
        <f t="shared" si="143"/>
        <v>0</v>
      </c>
      <c r="O468" s="905"/>
      <c r="Q468" s="317" t="str">
        <f t="shared" si="144"/>
        <v/>
      </c>
      <c r="R468" s="317" t="str">
        <f t="shared" si="145"/>
        <v/>
      </c>
      <c r="S468" s="317" t="str">
        <f t="shared" si="146"/>
        <v/>
      </c>
      <c r="V468" s="314">
        <f>SUM('RES. CENTRAL PARK:RUA_FINAL'!N468)</f>
        <v>0</v>
      </c>
      <c r="W468" s="315">
        <f t="shared" si="122"/>
        <v>0</v>
      </c>
    </row>
    <row r="469" spans="1:23" ht="15" hidden="1" customHeight="1" x14ac:dyDescent="0.2">
      <c r="A469" s="63" t="s">
        <v>147</v>
      </c>
      <c r="B469" s="895" t="s">
        <v>147</v>
      </c>
      <c r="C469" s="896"/>
      <c r="D469" s="957" t="s">
        <v>229</v>
      </c>
      <c r="E469" s="907">
        <f>DMT!$F$42</f>
        <v>150</v>
      </c>
      <c r="F469" s="908">
        <v>0.1007</v>
      </c>
      <c r="G469" s="949">
        <f t="shared" ref="G469:G471" si="179">IF(E469&lt;=30,(1.07*E469+2.68)*F469,((1.07*30+2.68)+1.07*(E469-30))*F469)</f>
        <v>16.432226</v>
      </c>
      <c r="H469" s="901">
        <v>0</v>
      </c>
      <c r="I469" s="901"/>
      <c r="J469" s="902">
        <v>0</v>
      </c>
      <c r="K469" s="903" t="s">
        <v>507</v>
      </c>
      <c r="L469" s="1003">
        <f>ROUND(SUM('RES. CENTRAL PARK:RUA_FINAL'!L469),2)</f>
        <v>0</v>
      </c>
      <c r="M469" s="960">
        <f t="shared" si="142"/>
        <v>0</v>
      </c>
      <c r="N469" s="893">
        <f t="shared" si="143"/>
        <v>0</v>
      </c>
      <c r="O469" s="905"/>
      <c r="P469" s="58" t="str">
        <f>IF(N468&gt;0,"xx",IF(N468&gt;0,"xy",""))</f>
        <v/>
      </c>
      <c r="Q469" s="317" t="str">
        <f t="shared" si="144"/>
        <v/>
      </c>
      <c r="R469" s="317" t="str">
        <f t="shared" si="145"/>
        <v/>
      </c>
      <c r="S469" s="317" t="str">
        <f t="shared" si="146"/>
        <v/>
      </c>
      <c r="V469" s="314">
        <f>SUM('RES. CENTRAL PARK:RUA_FINAL'!N469)</f>
        <v>0</v>
      </c>
      <c r="W469" s="315">
        <f t="shared" ref="W469:W532" si="180">N469-V469</f>
        <v>0</v>
      </c>
    </row>
    <row r="470" spans="1:23" ht="15" hidden="1" customHeight="1" x14ac:dyDescent="0.2">
      <c r="A470" s="63" t="s">
        <v>147</v>
      </c>
      <c r="B470" s="895" t="s">
        <v>147</v>
      </c>
      <c r="C470" s="896"/>
      <c r="D470" s="957" t="s">
        <v>230</v>
      </c>
      <c r="E470" s="907">
        <f>DMT!$D$46</f>
        <v>353</v>
      </c>
      <c r="F470" s="908">
        <v>1.52E-2</v>
      </c>
      <c r="G470" s="909">
        <f>IF(E470&lt;=30,(0.78*E470+7.82)*F470,((0.78*30+7.82)+0.78*(E470-30))*F470)</f>
        <v>4.3040320000000003</v>
      </c>
      <c r="H470" s="901">
        <v>0</v>
      </c>
      <c r="I470" s="901"/>
      <c r="J470" s="902">
        <v>0</v>
      </c>
      <c r="K470" s="903" t="s">
        <v>507</v>
      </c>
      <c r="L470" s="1003">
        <f>ROUND(SUM('RES. CENTRAL PARK:RUA_FINAL'!L470),2)</f>
        <v>0</v>
      </c>
      <c r="M470" s="960">
        <f t="shared" si="142"/>
        <v>0</v>
      </c>
      <c r="N470" s="893">
        <f t="shared" si="143"/>
        <v>0</v>
      </c>
      <c r="O470" s="905"/>
      <c r="P470" s="58" t="str">
        <f>IF(N468&gt;0,"xx",IF(N468&gt;0,"xy",""))</f>
        <v/>
      </c>
      <c r="Q470" s="317" t="str">
        <f t="shared" si="144"/>
        <v/>
      </c>
      <c r="R470" s="317" t="str">
        <f t="shared" si="145"/>
        <v/>
      </c>
      <c r="S470" s="317" t="str">
        <f t="shared" si="146"/>
        <v/>
      </c>
      <c r="V470" s="314">
        <f>SUM('RES. CENTRAL PARK:RUA_FINAL'!N470)</f>
        <v>0</v>
      </c>
      <c r="W470" s="315">
        <f t="shared" si="180"/>
        <v>0</v>
      </c>
    </row>
    <row r="471" spans="1:23" ht="15" hidden="1" customHeight="1" x14ac:dyDescent="0.2">
      <c r="A471" s="63" t="s">
        <v>147</v>
      </c>
      <c r="B471" s="895" t="s">
        <v>147</v>
      </c>
      <c r="C471" s="896"/>
      <c r="D471" s="957" t="s">
        <v>243</v>
      </c>
      <c r="E471" s="907">
        <f>DMT!$F$43</f>
        <v>0.2</v>
      </c>
      <c r="F471" s="908">
        <v>0.83409999999999995</v>
      </c>
      <c r="G471" s="949">
        <f t="shared" si="179"/>
        <v>2.4138853999999998</v>
      </c>
      <c r="H471" s="901">
        <v>0</v>
      </c>
      <c r="I471" s="901"/>
      <c r="J471" s="902">
        <v>0</v>
      </c>
      <c r="K471" s="903" t="s">
        <v>507</v>
      </c>
      <c r="L471" s="1003">
        <f>ROUND(SUM('RES. CENTRAL PARK:RUA_FINAL'!L471),2)</f>
        <v>0</v>
      </c>
      <c r="M471" s="960">
        <f t="shared" si="142"/>
        <v>0</v>
      </c>
      <c r="N471" s="893">
        <f t="shared" si="143"/>
        <v>0</v>
      </c>
      <c r="O471" s="905"/>
      <c r="P471" s="58" t="str">
        <f>IF(N468&gt;0,"xx",IF(N468&gt;0,"xy",""))</f>
        <v/>
      </c>
      <c r="Q471" s="317" t="str">
        <f t="shared" si="144"/>
        <v/>
      </c>
      <c r="R471" s="317" t="str">
        <f t="shared" si="145"/>
        <v/>
      </c>
      <c r="S471" s="317" t="str">
        <f t="shared" si="146"/>
        <v/>
      </c>
      <c r="V471" s="314">
        <f>SUM('RES. CENTRAL PARK:RUA_FINAL'!N471)</f>
        <v>0</v>
      </c>
      <c r="W471" s="315">
        <f t="shared" si="180"/>
        <v>0</v>
      </c>
    </row>
    <row r="472" spans="1:23" ht="15" hidden="1" customHeight="1" x14ac:dyDescent="0.2">
      <c r="A472" s="63" t="s">
        <v>147</v>
      </c>
      <c r="B472" s="895" t="s">
        <v>147</v>
      </c>
      <c r="C472" s="896"/>
      <c r="D472" s="957" t="s">
        <v>244</v>
      </c>
      <c r="E472" s="907">
        <f>DMT!$F$28</f>
        <v>22</v>
      </c>
      <c r="F472" s="908">
        <f>SUM(F468:F471)</f>
        <v>1</v>
      </c>
      <c r="G472" s="912">
        <f>IF(E472&lt;=30,(1.07*E472+6.45)*F472,((1.07*30+6.45)+1.07*(E472-30))*F472)</f>
        <v>29.990000000000002</v>
      </c>
      <c r="H472" s="901">
        <v>0</v>
      </c>
      <c r="I472" s="901"/>
      <c r="J472" s="902">
        <v>0</v>
      </c>
      <c r="K472" s="903" t="s">
        <v>507</v>
      </c>
      <c r="L472" s="1003">
        <f>ROUND(SUM('RES. CENTRAL PARK:RUA_FINAL'!L472),2)</f>
        <v>0</v>
      </c>
      <c r="M472" s="960">
        <f t="shared" si="142"/>
        <v>0</v>
      </c>
      <c r="N472" s="893">
        <f t="shared" si="143"/>
        <v>0</v>
      </c>
      <c r="O472" s="905"/>
      <c r="P472" s="58" t="str">
        <f>IF(N468&gt;0,"xx",IF(N468&gt;0,"xy",""))</f>
        <v/>
      </c>
      <c r="Q472" s="317" t="str">
        <f t="shared" si="144"/>
        <v/>
      </c>
      <c r="R472" s="317" t="str">
        <f t="shared" si="145"/>
        <v/>
      </c>
      <c r="S472" s="317" t="str">
        <f t="shared" si="146"/>
        <v/>
      </c>
      <c r="V472" s="314">
        <f>SUM('RES. CENTRAL PARK:RUA_FINAL'!N472)</f>
        <v>0</v>
      </c>
      <c r="W472" s="315">
        <f t="shared" si="180"/>
        <v>0</v>
      </c>
    </row>
    <row r="473" spans="1:23" ht="15" hidden="1" customHeight="1" thickBot="1" x14ac:dyDescent="0.25">
      <c r="A473" s="63">
        <v>589000</v>
      </c>
      <c r="B473" s="1004" t="s">
        <v>1677</v>
      </c>
      <c r="C473" s="984" t="s">
        <v>213</v>
      </c>
      <c r="D473" s="1012" t="s">
        <v>2173</v>
      </c>
      <c r="E473" s="1020">
        <f>DMT!$D$45</f>
        <v>45</v>
      </c>
      <c r="F473" s="1006">
        <v>1</v>
      </c>
      <c r="G473" s="949">
        <f>(0.94*E473+46.06)*F473</f>
        <v>88.36</v>
      </c>
      <c r="H473" s="988">
        <v>4828.8599999999997</v>
      </c>
      <c r="I473" s="988">
        <f>IF(ISBLANK(H473),"",H473*(1+$E$9)/(1+$E$10))+G473</f>
        <v>4724.580378112767</v>
      </c>
      <c r="J473" s="989">
        <f t="shared" si="99"/>
        <v>5672.8</v>
      </c>
      <c r="K473" s="990" t="s">
        <v>14</v>
      </c>
      <c r="L473" s="991">
        <f>ROUND(SUM('RES. CENTRAL PARK:RUA_FINAL'!L473),2)</f>
        <v>0</v>
      </c>
      <c r="M473" s="1013">
        <f t="shared" si="142"/>
        <v>0</v>
      </c>
      <c r="N473" s="993">
        <f t="shared" si="143"/>
        <v>0</v>
      </c>
      <c r="O473" s="905"/>
      <c r="P473" s="58" t="str">
        <f>IF(N468&gt;0,"xx",IF(N468&gt;0,"xy",""))</f>
        <v/>
      </c>
      <c r="Q473" s="317" t="str">
        <f t="shared" si="144"/>
        <v/>
      </c>
      <c r="R473" s="317" t="str">
        <f t="shared" si="145"/>
        <v/>
      </c>
      <c r="S473" s="317" t="str">
        <f t="shared" si="146"/>
        <v/>
      </c>
      <c r="V473" s="314">
        <f>SUM('RES. CENTRAL PARK:RUA_FINAL'!N473)</f>
        <v>0</v>
      </c>
      <c r="W473" s="315">
        <f t="shared" si="180"/>
        <v>0</v>
      </c>
    </row>
    <row r="474" spans="1:23" ht="15" hidden="1" customHeight="1" x14ac:dyDescent="0.2">
      <c r="A474" s="63">
        <v>570400</v>
      </c>
      <c r="B474" s="999" t="s">
        <v>1656</v>
      </c>
      <c r="C474" s="1000" t="s">
        <v>184</v>
      </c>
      <c r="D474" s="973" t="s">
        <v>2218</v>
      </c>
      <c r="E474" s="974" t="s">
        <v>569</v>
      </c>
      <c r="F474" s="975">
        <v>5.5E-2</v>
      </c>
      <c r="G474" s="976">
        <f>SUM(G475:G478)</f>
        <v>53.017503800000007</v>
      </c>
      <c r="H474" s="977">
        <v>169.12</v>
      </c>
      <c r="I474" s="977">
        <f>IF(ISBLANK(H474),"",SUM(G474:H474))</f>
        <v>222.13750380000002</v>
      </c>
      <c r="J474" s="978">
        <f t="shared" si="99"/>
        <v>266.72000000000003</v>
      </c>
      <c r="K474" s="979" t="s">
        <v>14</v>
      </c>
      <c r="L474" s="980">
        <f>ROUND(SUM('RES. CENTRAL PARK:RUA_FINAL'!L474),2)</f>
        <v>0</v>
      </c>
      <c r="M474" s="981">
        <f t="shared" si="142"/>
        <v>0</v>
      </c>
      <c r="N474" s="982">
        <f t="shared" si="143"/>
        <v>0</v>
      </c>
      <c r="O474" s="905"/>
      <c r="Q474" s="317" t="str">
        <f t="shared" si="144"/>
        <v/>
      </c>
      <c r="R474" s="317" t="str">
        <f t="shared" si="145"/>
        <v/>
      </c>
      <c r="S474" s="317" t="str">
        <f t="shared" si="146"/>
        <v/>
      </c>
      <c r="V474" s="314">
        <f>SUM('RES. CENTRAL PARK:RUA_FINAL'!N474)</f>
        <v>0</v>
      </c>
      <c r="W474" s="315">
        <f t="shared" si="180"/>
        <v>0</v>
      </c>
    </row>
    <row r="475" spans="1:23" ht="15" hidden="1" customHeight="1" x14ac:dyDescent="0.2">
      <c r="A475" s="63" t="s">
        <v>147</v>
      </c>
      <c r="B475" s="895" t="s">
        <v>147</v>
      </c>
      <c r="C475" s="896"/>
      <c r="D475" s="957" t="s">
        <v>229</v>
      </c>
      <c r="E475" s="907">
        <f>DMT!$F$42</f>
        <v>150</v>
      </c>
      <c r="F475" s="908">
        <v>0.1002</v>
      </c>
      <c r="G475" s="949">
        <f t="shared" ref="G475:G477" si="181">IF(E475&lt;=30,(1.07*E475+2.68)*F475,((1.07*30+2.68)+1.07*(E475-30))*F475)</f>
        <v>16.350636000000002</v>
      </c>
      <c r="H475" s="901">
        <v>0</v>
      </c>
      <c r="I475" s="901"/>
      <c r="J475" s="902">
        <v>0</v>
      </c>
      <c r="K475" s="903" t="s">
        <v>507</v>
      </c>
      <c r="L475" s="1003">
        <f>ROUND(SUM('RES. CENTRAL PARK:RUA_FINAL'!L475),2)</f>
        <v>0</v>
      </c>
      <c r="M475" s="960">
        <f t="shared" si="142"/>
        <v>0</v>
      </c>
      <c r="N475" s="893">
        <f t="shared" si="143"/>
        <v>0</v>
      </c>
      <c r="O475" s="905"/>
      <c r="P475" s="58" t="str">
        <f>IF(N474&gt;0,"xx",IF(N474&gt;0,"xy",""))</f>
        <v/>
      </c>
      <c r="Q475" s="317" t="str">
        <f t="shared" si="144"/>
        <v/>
      </c>
      <c r="R475" s="317" t="str">
        <f t="shared" si="145"/>
        <v/>
      </c>
      <c r="S475" s="317" t="str">
        <f t="shared" si="146"/>
        <v/>
      </c>
      <c r="V475" s="314">
        <f>SUM('RES. CENTRAL PARK:RUA_FINAL'!N475)</f>
        <v>0</v>
      </c>
      <c r="W475" s="315">
        <f t="shared" si="180"/>
        <v>0</v>
      </c>
    </row>
    <row r="476" spans="1:23" ht="15" hidden="1" customHeight="1" x14ac:dyDescent="0.2">
      <c r="A476" s="63" t="s">
        <v>147</v>
      </c>
      <c r="B476" s="895" t="s">
        <v>147</v>
      </c>
      <c r="C476" s="896"/>
      <c r="D476" s="957" t="s">
        <v>230</v>
      </c>
      <c r="E476" s="907">
        <f>DMT!$D$46</f>
        <v>353</v>
      </c>
      <c r="F476" s="908">
        <v>1.5100000000000001E-2</v>
      </c>
      <c r="G476" s="909">
        <f>IF(E476&lt;=30,(0.78*E476+7.82)*F476,((0.78*30+7.82)+0.78*(E476-30))*F476)</f>
        <v>4.275716000000001</v>
      </c>
      <c r="H476" s="901">
        <v>0</v>
      </c>
      <c r="I476" s="901"/>
      <c r="J476" s="902">
        <v>0</v>
      </c>
      <c r="K476" s="903" t="s">
        <v>507</v>
      </c>
      <c r="L476" s="1003">
        <f>ROUND(SUM('RES. CENTRAL PARK:RUA_FINAL'!L476),2)</f>
        <v>0</v>
      </c>
      <c r="M476" s="960">
        <f t="shared" si="142"/>
        <v>0</v>
      </c>
      <c r="N476" s="893">
        <f t="shared" si="143"/>
        <v>0</v>
      </c>
      <c r="O476" s="905"/>
      <c r="P476" s="58" t="str">
        <f>IF(N474&gt;0,"xx",IF(N474&gt;0,"xy",""))</f>
        <v/>
      </c>
      <c r="Q476" s="317" t="str">
        <f t="shared" si="144"/>
        <v/>
      </c>
      <c r="R476" s="317" t="str">
        <f t="shared" si="145"/>
        <v/>
      </c>
      <c r="S476" s="317" t="str">
        <f t="shared" si="146"/>
        <v/>
      </c>
      <c r="V476" s="314">
        <f>SUM('RES. CENTRAL PARK:RUA_FINAL'!N476)</f>
        <v>0</v>
      </c>
      <c r="W476" s="315">
        <f t="shared" si="180"/>
        <v>0</v>
      </c>
    </row>
    <row r="477" spans="1:23" ht="15" hidden="1" customHeight="1" x14ac:dyDescent="0.2">
      <c r="A477" s="63" t="s">
        <v>147</v>
      </c>
      <c r="B477" s="895" t="s">
        <v>147</v>
      </c>
      <c r="C477" s="896"/>
      <c r="D477" s="957" t="s">
        <v>243</v>
      </c>
      <c r="E477" s="907">
        <f>DMT!$F$43</f>
        <v>0.2</v>
      </c>
      <c r="F477" s="908">
        <v>0.82969999999999999</v>
      </c>
      <c r="G477" s="949">
        <f t="shared" si="181"/>
        <v>2.4011518000000001</v>
      </c>
      <c r="H477" s="901">
        <v>0</v>
      </c>
      <c r="I477" s="901"/>
      <c r="J477" s="902">
        <v>0</v>
      </c>
      <c r="K477" s="903" t="s">
        <v>507</v>
      </c>
      <c r="L477" s="1003">
        <f>ROUND(SUM('RES. CENTRAL PARK:RUA_FINAL'!L477),2)</f>
        <v>0</v>
      </c>
      <c r="M477" s="960">
        <f t="shared" si="142"/>
        <v>0</v>
      </c>
      <c r="N477" s="893">
        <f t="shared" si="143"/>
        <v>0</v>
      </c>
      <c r="O477" s="905"/>
      <c r="P477" s="58" t="str">
        <f>IF(N474&gt;0,"xx",IF(N474&gt;0,"xy",""))</f>
        <v/>
      </c>
      <c r="Q477" s="317" t="str">
        <f t="shared" si="144"/>
        <v/>
      </c>
      <c r="R477" s="317" t="str">
        <f t="shared" si="145"/>
        <v/>
      </c>
      <c r="S477" s="317" t="str">
        <f t="shared" si="146"/>
        <v/>
      </c>
      <c r="V477" s="314">
        <f>SUM('RES. CENTRAL PARK:RUA_FINAL'!N477)</f>
        <v>0</v>
      </c>
      <c r="W477" s="315">
        <f t="shared" si="180"/>
        <v>0</v>
      </c>
    </row>
    <row r="478" spans="1:23" ht="15" hidden="1" customHeight="1" x14ac:dyDescent="0.2">
      <c r="A478" s="63" t="s">
        <v>147</v>
      </c>
      <c r="B478" s="895" t="s">
        <v>147</v>
      </c>
      <c r="C478" s="896"/>
      <c r="D478" s="957" t="s">
        <v>244</v>
      </c>
      <c r="E478" s="907">
        <f>DMT!$F$28</f>
        <v>22</v>
      </c>
      <c r="F478" s="908">
        <f>SUM(F474:F477)</f>
        <v>1</v>
      </c>
      <c r="G478" s="912">
        <f>IF(E478&lt;=30,(1.07*E478+6.45)*F478,((1.07*30+6.45)+1.07*(E478-30))*F478)</f>
        <v>29.990000000000002</v>
      </c>
      <c r="H478" s="901">
        <v>0</v>
      </c>
      <c r="I478" s="901"/>
      <c r="J478" s="902">
        <v>0</v>
      </c>
      <c r="K478" s="903" t="s">
        <v>507</v>
      </c>
      <c r="L478" s="1003">
        <f>ROUND(SUM('RES. CENTRAL PARK:RUA_FINAL'!L478),2)</f>
        <v>0</v>
      </c>
      <c r="M478" s="960">
        <f t="shared" si="142"/>
        <v>0</v>
      </c>
      <c r="N478" s="893">
        <f t="shared" si="143"/>
        <v>0</v>
      </c>
      <c r="O478" s="905"/>
      <c r="P478" s="58" t="str">
        <f>IF(N474&gt;0,"xx",IF(N474&gt;0,"xy",""))</f>
        <v/>
      </c>
      <c r="Q478" s="317" t="str">
        <f t="shared" si="144"/>
        <v/>
      </c>
      <c r="R478" s="317" t="str">
        <f t="shared" si="145"/>
        <v/>
      </c>
      <c r="S478" s="317" t="str">
        <f t="shared" si="146"/>
        <v/>
      </c>
      <c r="V478" s="314">
        <f>SUM('RES. CENTRAL PARK:RUA_FINAL'!N478)</f>
        <v>0</v>
      </c>
      <c r="W478" s="315">
        <f t="shared" si="180"/>
        <v>0</v>
      </c>
    </row>
    <row r="479" spans="1:23" ht="15" hidden="1" customHeight="1" thickBot="1" x14ac:dyDescent="0.25">
      <c r="A479" s="63">
        <v>589000</v>
      </c>
      <c r="B479" s="1004" t="s">
        <v>1678</v>
      </c>
      <c r="C479" s="984" t="s">
        <v>213</v>
      </c>
      <c r="D479" s="1012" t="s">
        <v>2173</v>
      </c>
      <c r="E479" s="1020">
        <f>DMT!$D$45</f>
        <v>45</v>
      </c>
      <c r="F479" s="1006">
        <v>1</v>
      </c>
      <c r="G479" s="949">
        <f>(0.94*E479+46.06)*F479</f>
        <v>88.36</v>
      </c>
      <c r="H479" s="988">
        <v>4828.8599999999997</v>
      </c>
      <c r="I479" s="988">
        <f>IF(ISBLANK(H479),"",H479*(1+$E$9)/(1+$E$10))+G479</f>
        <v>4724.580378112767</v>
      </c>
      <c r="J479" s="989">
        <f t="shared" ref="J479:J545" si="182">IF(ISBLANK(H479),0,ROUND(I479*(1+$E$10),2))</f>
        <v>5672.8</v>
      </c>
      <c r="K479" s="990" t="s">
        <v>14</v>
      </c>
      <c r="L479" s="991">
        <f>ROUND(SUM('RES. CENTRAL PARK:RUA_FINAL'!L479),2)</f>
        <v>0</v>
      </c>
      <c r="M479" s="1013">
        <f t="shared" si="142"/>
        <v>0</v>
      </c>
      <c r="N479" s="993">
        <f t="shared" si="143"/>
        <v>0</v>
      </c>
      <c r="O479" s="905"/>
      <c r="P479" s="58" t="str">
        <f>IF(N474&gt;0,"xx",IF(N474&gt;0,"xy",""))</f>
        <v/>
      </c>
      <c r="Q479" s="317" t="str">
        <f t="shared" si="144"/>
        <v/>
      </c>
      <c r="R479" s="317" t="str">
        <f t="shared" si="145"/>
        <v/>
      </c>
      <c r="S479" s="317" t="str">
        <f t="shared" si="146"/>
        <v/>
      </c>
      <c r="V479" s="314">
        <f>SUM('RES. CENTRAL PARK:RUA_FINAL'!N479)</f>
        <v>0</v>
      </c>
      <c r="W479" s="315">
        <f t="shared" si="180"/>
        <v>0</v>
      </c>
    </row>
    <row r="480" spans="1:23" ht="15" hidden="1" customHeight="1" x14ac:dyDescent="0.2">
      <c r="A480" s="63">
        <v>570400</v>
      </c>
      <c r="B480" s="999" t="s">
        <v>1657</v>
      </c>
      <c r="C480" s="1000" t="s">
        <v>184</v>
      </c>
      <c r="D480" s="973" t="s">
        <v>2219</v>
      </c>
      <c r="E480" s="974" t="s">
        <v>569</v>
      </c>
      <c r="F480" s="975">
        <v>5.7000000000000002E-2</v>
      </c>
      <c r="G480" s="976">
        <f>SUM(G481:G484)</f>
        <v>52.951632000000004</v>
      </c>
      <c r="H480" s="977">
        <v>169.12</v>
      </c>
      <c r="I480" s="977">
        <f>IF(ISBLANK(H480),"",SUM(G480:H480))</f>
        <v>222.07163200000002</v>
      </c>
      <c r="J480" s="978">
        <f t="shared" si="182"/>
        <v>266.64</v>
      </c>
      <c r="K480" s="979" t="s">
        <v>14</v>
      </c>
      <c r="L480" s="980">
        <f>ROUND(SUM('RES. CENTRAL PARK:RUA_FINAL'!L480),2)</f>
        <v>0</v>
      </c>
      <c r="M480" s="981">
        <f t="shared" si="142"/>
        <v>0</v>
      </c>
      <c r="N480" s="982">
        <f t="shared" si="143"/>
        <v>0</v>
      </c>
      <c r="O480" s="905"/>
      <c r="Q480" s="317" t="str">
        <f t="shared" si="144"/>
        <v/>
      </c>
      <c r="R480" s="317" t="str">
        <f t="shared" si="145"/>
        <v/>
      </c>
      <c r="S480" s="317" t="str">
        <f t="shared" si="146"/>
        <v/>
      </c>
      <c r="V480" s="314">
        <f>SUM('RES. CENTRAL PARK:RUA_FINAL'!N480)</f>
        <v>0</v>
      </c>
      <c r="W480" s="315">
        <f t="shared" si="180"/>
        <v>0</v>
      </c>
    </row>
    <row r="481" spans="1:23" ht="15" hidden="1" customHeight="1" x14ac:dyDescent="0.2">
      <c r="A481" s="63" t="s">
        <v>147</v>
      </c>
      <c r="B481" s="895" t="s">
        <v>147</v>
      </c>
      <c r="C481" s="896"/>
      <c r="D481" s="957" t="s">
        <v>229</v>
      </c>
      <c r="E481" s="907">
        <f>DMT!$F$42</f>
        <v>150</v>
      </c>
      <c r="F481" s="908">
        <v>0.1</v>
      </c>
      <c r="G481" s="949">
        <f t="shared" ref="G481:G483" si="183">IF(E481&lt;=30,(1.07*E481+2.68)*F481,((1.07*30+2.68)+1.07*(E481-30))*F481)</f>
        <v>16.318000000000001</v>
      </c>
      <c r="H481" s="901">
        <v>0</v>
      </c>
      <c r="I481" s="901"/>
      <c r="J481" s="902">
        <v>0</v>
      </c>
      <c r="K481" s="903" t="s">
        <v>507</v>
      </c>
      <c r="L481" s="1003">
        <f>ROUND(SUM('RES. CENTRAL PARK:RUA_FINAL'!L481),2)</f>
        <v>0</v>
      </c>
      <c r="M481" s="960">
        <f t="shared" si="142"/>
        <v>0</v>
      </c>
      <c r="N481" s="893">
        <f t="shared" si="143"/>
        <v>0</v>
      </c>
      <c r="O481" s="905"/>
      <c r="P481" s="58" t="str">
        <f>IF(N480&gt;0,"xx",IF(N480&gt;0,"xy",""))</f>
        <v/>
      </c>
      <c r="Q481" s="317" t="str">
        <f t="shared" si="144"/>
        <v/>
      </c>
      <c r="R481" s="317" t="str">
        <f t="shared" si="145"/>
        <v/>
      </c>
      <c r="S481" s="317" t="str">
        <f t="shared" si="146"/>
        <v/>
      </c>
      <c r="V481" s="314">
        <f>SUM('RES. CENTRAL PARK:RUA_FINAL'!N481)</f>
        <v>0</v>
      </c>
      <c r="W481" s="315">
        <f t="shared" si="180"/>
        <v>0</v>
      </c>
    </row>
    <row r="482" spans="1:23" ht="15" hidden="1" customHeight="1" x14ac:dyDescent="0.2">
      <c r="A482" s="63" t="s">
        <v>147</v>
      </c>
      <c r="B482" s="895" t="s">
        <v>147</v>
      </c>
      <c r="C482" s="896"/>
      <c r="D482" s="957" t="s">
        <v>230</v>
      </c>
      <c r="E482" s="907">
        <f>DMT!$D$46</f>
        <v>353</v>
      </c>
      <c r="F482" s="908">
        <v>1.4999999999999999E-2</v>
      </c>
      <c r="G482" s="909">
        <f>IF(E482&lt;=30,(0.78*E482+7.82)*F482,((0.78*30+7.82)+0.78*(E482-30))*F482)</f>
        <v>4.2473999999999998</v>
      </c>
      <c r="H482" s="901">
        <v>0</v>
      </c>
      <c r="I482" s="901"/>
      <c r="J482" s="902">
        <v>0</v>
      </c>
      <c r="K482" s="903" t="s">
        <v>507</v>
      </c>
      <c r="L482" s="1003">
        <f>ROUND(SUM('RES. CENTRAL PARK:RUA_FINAL'!L482),2)</f>
        <v>0</v>
      </c>
      <c r="M482" s="960">
        <f t="shared" si="142"/>
        <v>0</v>
      </c>
      <c r="N482" s="893">
        <f t="shared" si="143"/>
        <v>0</v>
      </c>
      <c r="O482" s="905"/>
      <c r="P482" s="58" t="str">
        <f>IF(N480&gt;0,"xx",IF(N480&gt;0,"xy",""))</f>
        <v/>
      </c>
      <c r="Q482" s="317" t="str">
        <f t="shared" si="144"/>
        <v/>
      </c>
      <c r="R482" s="317" t="str">
        <f t="shared" si="145"/>
        <v/>
      </c>
      <c r="S482" s="317" t="str">
        <f t="shared" si="146"/>
        <v/>
      </c>
      <c r="V482" s="314">
        <f>SUM('RES. CENTRAL PARK:RUA_FINAL'!N482)</f>
        <v>0</v>
      </c>
      <c r="W482" s="315">
        <f t="shared" si="180"/>
        <v>0</v>
      </c>
    </row>
    <row r="483" spans="1:23" ht="15" hidden="1" customHeight="1" x14ac:dyDescent="0.2">
      <c r="A483" s="63" t="s">
        <v>147</v>
      </c>
      <c r="B483" s="895" t="s">
        <v>147</v>
      </c>
      <c r="C483" s="896"/>
      <c r="D483" s="957" t="s">
        <v>243</v>
      </c>
      <c r="E483" s="907">
        <f>DMT!$F$43</f>
        <v>0.2</v>
      </c>
      <c r="F483" s="908">
        <v>0.82799999999999996</v>
      </c>
      <c r="G483" s="949">
        <f t="shared" si="183"/>
        <v>2.3962319999999999</v>
      </c>
      <c r="H483" s="901">
        <v>0</v>
      </c>
      <c r="I483" s="901"/>
      <c r="J483" s="902">
        <v>0</v>
      </c>
      <c r="K483" s="903" t="s">
        <v>507</v>
      </c>
      <c r="L483" s="1003">
        <f>ROUND(SUM('RES. CENTRAL PARK:RUA_FINAL'!L483),2)</f>
        <v>0</v>
      </c>
      <c r="M483" s="960">
        <f t="shared" si="142"/>
        <v>0</v>
      </c>
      <c r="N483" s="893">
        <f t="shared" si="143"/>
        <v>0</v>
      </c>
      <c r="O483" s="905"/>
      <c r="P483" s="58" t="str">
        <f>IF(N480&gt;0,"xx",IF(N480&gt;0,"xy",""))</f>
        <v/>
      </c>
      <c r="Q483" s="317" t="str">
        <f t="shared" si="144"/>
        <v/>
      </c>
      <c r="R483" s="317" t="str">
        <f t="shared" si="145"/>
        <v/>
      </c>
      <c r="S483" s="317" t="str">
        <f t="shared" si="146"/>
        <v/>
      </c>
      <c r="V483" s="314">
        <f>SUM('RES. CENTRAL PARK:RUA_FINAL'!N483)</f>
        <v>0</v>
      </c>
      <c r="W483" s="315">
        <f t="shared" si="180"/>
        <v>0</v>
      </c>
    </row>
    <row r="484" spans="1:23" ht="15" hidden="1" customHeight="1" x14ac:dyDescent="0.2">
      <c r="A484" s="63" t="s">
        <v>147</v>
      </c>
      <c r="B484" s="895" t="s">
        <v>147</v>
      </c>
      <c r="C484" s="896"/>
      <c r="D484" s="957" t="s">
        <v>244</v>
      </c>
      <c r="E484" s="907">
        <f>DMT!$F$28</f>
        <v>22</v>
      </c>
      <c r="F484" s="908">
        <f>SUM(F480:F483)</f>
        <v>1</v>
      </c>
      <c r="G484" s="912">
        <f>IF(E484&lt;=30,(1.07*E484+6.45)*F484,((1.07*30+6.45)+1.07*(E484-30))*F484)</f>
        <v>29.990000000000002</v>
      </c>
      <c r="H484" s="901">
        <v>0</v>
      </c>
      <c r="I484" s="901"/>
      <c r="J484" s="902">
        <v>0</v>
      </c>
      <c r="K484" s="903" t="s">
        <v>507</v>
      </c>
      <c r="L484" s="1003">
        <f>ROUND(SUM('RES. CENTRAL PARK:RUA_FINAL'!L484),2)</f>
        <v>0</v>
      </c>
      <c r="M484" s="960">
        <f t="shared" si="142"/>
        <v>0</v>
      </c>
      <c r="N484" s="893">
        <f t="shared" si="143"/>
        <v>0</v>
      </c>
      <c r="O484" s="905"/>
      <c r="P484" s="58" t="str">
        <f>IF(N480&gt;0,"xx",IF(N480&gt;0,"xy",""))</f>
        <v/>
      </c>
      <c r="Q484" s="317" t="str">
        <f t="shared" si="144"/>
        <v/>
      </c>
      <c r="R484" s="317" t="str">
        <f t="shared" si="145"/>
        <v/>
      </c>
      <c r="S484" s="317" t="str">
        <f t="shared" si="146"/>
        <v/>
      </c>
      <c r="V484" s="314">
        <f>SUM('RES. CENTRAL PARK:RUA_FINAL'!N484)</f>
        <v>0</v>
      </c>
      <c r="W484" s="315">
        <f t="shared" si="180"/>
        <v>0</v>
      </c>
    </row>
    <row r="485" spans="1:23" ht="15" hidden="1" customHeight="1" thickBot="1" x14ac:dyDescent="0.25">
      <c r="A485" s="63">
        <v>589000</v>
      </c>
      <c r="B485" s="1004" t="s">
        <v>725</v>
      </c>
      <c r="C485" s="984" t="s">
        <v>213</v>
      </c>
      <c r="D485" s="1012" t="s">
        <v>2173</v>
      </c>
      <c r="E485" s="1020">
        <f>DMT!$D$45</f>
        <v>45</v>
      </c>
      <c r="F485" s="1006">
        <v>1</v>
      </c>
      <c r="G485" s="949">
        <f>(0.94*E485+46.06)*F485</f>
        <v>88.36</v>
      </c>
      <c r="H485" s="988">
        <v>4828.8599999999997</v>
      </c>
      <c r="I485" s="988">
        <f>IF(ISBLANK(H485),"",H485*(1+$E$9)/(1+$E$10))+G485</f>
        <v>4724.580378112767</v>
      </c>
      <c r="J485" s="989">
        <f t="shared" si="182"/>
        <v>5672.8</v>
      </c>
      <c r="K485" s="990" t="s">
        <v>14</v>
      </c>
      <c r="L485" s="991">
        <f>ROUND(SUM('RES. CENTRAL PARK:RUA_FINAL'!L485),2)</f>
        <v>0</v>
      </c>
      <c r="M485" s="1013">
        <f t="shared" si="142"/>
        <v>0</v>
      </c>
      <c r="N485" s="993">
        <f t="shared" si="143"/>
        <v>0</v>
      </c>
      <c r="O485" s="905"/>
      <c r="P485" s="58" t="str">
        <f>IF(N480&gt;0,"xx",IF(N480&gt;0,"xy",""))</f>
        <v/>
      </c>
      <c r="Q485" s="317" t="str">
        <f t="shared" si="144"/>
        <v/>
      </c>
      <c r="R485" s="317" t="str">
        <f t="shared" si="145"/>
        <v/>
      </c>
      <c r="S485" s="317" t="str">
        <f t="shared" si="146"/>
        <v/>
      </c>
      <c r="V485" s="314">
        <f>SUM('RES. CENTRAL PARK:RUA_FINAL'!N485)</f>
        <v>0</v>
      </c>
      <c r="W485" s="315">
        <f t="shared" si="180"/>
        <v>0</v>
      </c>
    </row>
    <row r="486" spans="1:23" ht="13.5" hidden="1" thickBot="1" x14ac:dyDescent="0.25">
      <c r="A486" s="63">
        <v>570000</v>
      </c>
      <c r="B486" s="999" t="s">
        <v>1654</v>
      </c>
      <c r="C486" s="1000" t="s">
        <v>184</v>
      </c>
      <c r="D486" s="1024" t="str">
        <f>CONCATENATE("CBUQ - Novo Traço - ",Novos_Traços_CBUQ!J79," - (Quantidade MAIOR que 10.000 ton)")</f>
        <v>CBUQ - Novo Traço - TRAÇO 4 - FAIXA "C" - (Quantidade MAIOR que 10.000 ton)</v>
      </c>
      <c r="E486" s="974" t="s">
        <v>569</v>
      </c>
      <c r="F486" s="1025">
        <f>Novos_Traços_CBUQ!M105</f>
        <v>0.05</v>
      </c>
      <c r="G486" s="976">
        <f>SUM(G487:G490)</f>
        <v>52.1145006</v>
      </c>
      <c r="H486" s="977">
        <v>187.41</v>
      </c>
      <c r="I486" s="977">
        <f>IF(ISBLANK(H486),"",SUM(G486:H486))</f>
        <v>239.52450060000001</v>
      </c>
      <c r="J486" s="978">
        <f t="shared" ref="J486" si="184">IF(ISBLANK(H486),0,ROUND(I486*(1+$E$10),2))</f>
        <v>287.60000000000002</v>
      </c>
      <c r="K486" s="979" t="s">
        <v>14</v>
      </c>
      <c r="L486" s="980">
        <f>ROUND(SUM('RES. CENTRAL PARK:RUA_FINAL'!L486),2)</f>
        <v>0</v>
      </c>
      <c r="M486" s="981">
        <f t="shared" si="142"/>
        <v>0</v>
      </c>
      <c r="N486" s="982">
        <f t="shared" si="143"/>
        <v>0</v>
      </c>
      <c r="O486" s="905"/>
      <c r="Q486" s="317" t="str">
        <f t="shared" si="144"/>
        <v/>
      </c>
      <c r="R486" s="317" t="str">
        <f t="shared" si="145"/>
        <v/>
      </c>
      <c r="S486" s="317" t="str">
        <f t="shared" si="146"/>
        <v/>
      </c>
      <c r="V486" s="314">
        <f>SUM('RES. CENTRAL PARK:RUA_FINAL'!N486)</f>
        <v>0</v>
      </c>
      <c r="W486" s="315">
        <f t="shared" si="180"/>
        <v>0</v>
      </c>
    </row>
    <row r="487" spans="1:23" ht="15" hidden="1" customHeight="1" x14ac:dyDescent="0.2">
      <c r="A487" s="63" t="s">
        <v>147</v>
      </c>
      <c r="B487" s="895" t="s">
        <v>147</v>
      </c>
      <c r="C487" s="896"/>
      <c r="D487" s="957" t="s">
        <v>229</v>
      </c>
      <c r="E487" s="907">
        <f>DMT!$F$42</f>
        <v>150</v>
      </c>
      <c r="F487" s="1287">
        <f>Novos_Traços_CBUQ!M103</f>
        <v>9.5699999999999993E-2</v>
      </c>
      <c r="G487" s="949">
        <f t="shared" ref="G487" si="185">IF(E487&lt;=30,(1.07*E487+2.68)*F487,((1.07*30+2.68)+1.07*(E487-30))*F487)</f>
        <v>15.616325999999999</v>
      </c>
      <c r="H487" s="901">
        <v>0</v>
      </c>
      <c r="I487" s="901"/>
      <c r="J487" s="902">
        <v>0</v>
      </c>
      <c r="K487" s="903" t="s">
        <v>507</v>
      </c>
      <c r="L487" s="1003">
        <f>ROUND(SUM('RES. CENTRAL PARK:RUA_FINAL'!L487),2)</f>
        <v>0</v>
      </c>
      <c r="M487" s="960">
        <f t="shared" si="142"/>
        <v>0</v>
      </c>
      <c r="N487" s="893">
        <f t="shared" si="143"/>
        <v>0</v>
      </c>
      <c r="O487" s="905"/>
      <c r="P487" s="58" t="str">
        <f>IF(N486&gt;0,"xx",IF(N486&gt;0,"xy",""))</f>
        <v/>
      </c>
      <c r="Q487" s="317" t="str">
        <f t="shared" si="144"/>
        <v/>
      </c>
      <c r="R487" s="317" t="str">
        <f t="shared" si="145"/>
        <v/>
      </c>
      <c r="S487" s="317" t="str">
        <f t="shared" si="146"/>
        <v/>
      </c>
      <c r="V487" s="314">
        <f>SUM('RES. CENTRAL PARK:RUA_FINAL'!N487)</f>
        <v>0</v>
      </c>
      <c r="W487" s="315">
        <f t="shared" si="180"/>
        <v>0</v>
      </c>
    </row>
    <row r="488" spans="1:23" ht="15" hidden="1" customHeight="1" x14ac:dyDescent="0.2">
      <c r="A488" s="63" t="s">
        <v>147</v>
      </c>
      <c r="B488" s="895" t="s">
        <v>147</v>
      </c>
      <c r="C488" s="896"/>
      <c r="D488" s="957" t="s">
        <v>230</v>
      </c>
      <c r="E488" s="907">
        <f>DMT!$D$46</f>
        <v>353</v>
      </c>
      <c r="F488" s="1287">
        <f>Novos_Traços_CBUQ!M104</f>
        <v>1.44E-2</v>
      </c>
      <c r="G488" s="909">
        <f>IF(E488&lt;=30,(0.78*E488+7.82)*F488,((0.78*30+7.82)+0.78*(E488-30))*F488)</f>
        <v>4.0775040000000002</v>
      </c>
      <c r="H488" s="901">
        <v>0</v>
      </c>
      <c r="I488" s="901"/>
      <c r="J488" s="902">
        <v>0</v>
      </c>
      <c r="K488" s="903" t="s">
        <v>507</v>
      </c>
      <c r="L488" s="1003">
        <f>ROUND(SUM('RES. CENTRAL PARK:RUA_FINAL'!L488),2)</f>
        <v>0</v>
      </c>
      <c r="M488" s="960">
        <f t="shared" si="142"/>
        <v>0</v>
      </c>
      <c r="N488" s="893">
        <f t="shared" si="143"/>
        <v>0</v>
      </c>
      <c r="O488" s="905"/>
      <c r="P488" s="58" t="str">
        <f>IF(N486&gt;0,"xx",IF(N486&gt;0,"xy",""))</f>
        <v/>
      </c>
      <c r="Q488" s="317" t="str">
        <f t="shared" si="144"/>
        <v/>
      </c>
      <c r="R488" s="317" t="str">
        <f t="shared" si="145"/>
        <v/>
      </c>
      <c r="S488" s="317" t="str">
        <f t="shared" si="146"/>
        <v/>
      </c>
      <c r="V488" s="314">
        <f>SUM('RES. CENTRAL PARK:RUA_FINAL'!N488)</f>
        <v>0</v>
      </c>
      <c r="W488" s="315">
        <f t="shared" si="180"/>
        <v>0</v>
      </c>
    </row>
    <row r="489" spans="1:23" ht="15" hidden="1" customHeight="1" x14ac:dyDescent="0.2">
      <c r="A489" s="63" t="s">
        <v>147</v>
      </c>
      <c r="B489" s="895" t="s">
        <v>147</v>
      </c>
      <c r="C489" s="896"/>
      <c r="D489" s="957" t="s">
        <v>243</v>
      </c>
      <c r="E489" s="907">
        <f>DMT!$F$43</f>
        <v>0.2</v>
      </c>
      <c r="F489" s="1287">
        <f>Novos_Traços_CBUQ!M101</f>
        <v>0.83989999999999998</v>
      </c>
      <c r="G489" s="949">
        <f t="shared" ref="G489" si="186">IF(E489&lt;=30,(1.07*E489+2.68)*F489,((1.07*30+2.68)+1.07*(E489-30))*F489)</f>
        <v>2.4306706</v>
      </c>
      <c r="H489" s="901">
        <v>0</v>
      </c>
      <c r="I489" s="901"/>
      <c r="J489" s="902">
        <v>0</v>
      </c>
      <c r="K489" s="903" t="s">
        <v>507</v>
      </c>
      <c r="L489" s="1003">
        <f>ROUND(SUM('RES. CENTRAL PARK:RUA_FINAL'!L489),2)</f>
        <v>0</v>
      </c>
      <c r="M489" s="960">
        <f t="shared" si="142"/>
        <v>0</v>
      </c>
      <c r="N489" s="893">
        <f t="shared" si="143"/>
        <v>0</v>
      </c>
      <c r="O489" s="905"/>
      <c r="P489" s="58" t="str">
        <f>IF(N486&gt;0,"xx",IF(N486&gt;0,"xy",""))</f>
        <v/>
      </c>
      <c r="Q489" s="317" t="str">
        <f t="shared" si="144"/>
        <v/>
      </c>
      <c r="R489" s="317" t="str">
        <f t="shared" si="145"/>
        <v/>
      </c>
      <c r="S489" s="317" t="str">
        <f t="shared" si="146"/>
        <v/>
      </c>
      <c r="V489" s="314">
        <f>SUM('RES. CENTRAL PARK:RUA_FINAL'!N489)</f>
        <v>0</v>
      </c>
      <c r="W489" s="315">
        <f t="shared" si="180"/>
        <v>0</v>
      </c>
    </row>
    <row r="490" spans="1:23" ht="15" hidden="1" customHeight="1" x14ac:dyDescent="0.2">
      <c r="A490" s="63" t="s">
        <v>147</v>
      </c>
      <c r="B490" s="895" t="s">
        <v>147</v>
      </c>
      <c r="C490" s="896"/>
      <c r="D490" s="957" t="s">
        <v>244</v>
      </c>
      <c r="E490" s="907">
        <f>DMT!$F$28</f>
        <v>22</v>
      </c>
      <c r="F490" s="908">
        <f>SUM(F486:F489)</f>
        <v>1</v>
      </c>
      <c r="G490" s="912">
        <f>IF(E490&lt;=30,(1.07*E490+6.45)*F490,((1.07*30+6.45)+1.07*(E490-30))*F490)</f>
        <v>29.990000000000002</v>
      </c>
      <c r="H490" s="901">
        <v>0</v>
      </c>
      <c r="I490" s="901"/>
      <c r="J490" s="902">
        <v>0</v>
      </c>
      <c r="K490" s="903" t="s">
        <v>507</v>
      </c>
      <c r="L490" s="1003">
        <f>ROUND(SUM('RES. CENTRAL PARK:RUA_FINAL'!L490),2)</f>
        <v>0</v>
      </c>
      <c r="M490" s="960">
        <f t="shared" si="142"/>
        <v>0</v>
      </c>
      <c r="N490" s="893">
        <f t="shared" si="143"/>
        <v>0</v>
      </c>
      <c r="O490" s="905"/>
      <c r="P490" s="58" t="str">
        <f>IF(N486&gt;0,"xx",IF(N486&gt;0,"xy",""))</f>
        <v/>
      </c>
      <c r="Q490" s="317" t="str">
        <f t="shared" si="144"/>
        <v/>
      </c>
      <c r="R490" s="317" t="str">
        <f t="shared" si="145"/>
        <v/>
      </c>
      <c r="S490" s="317" t="str">
        <f t="shared" si="146"/>
        <v/>
      </c>
      <c r="V490" s="314">
        <f>SUM('RES. CENTRAL PARK:RUA_FINAL'!N490)</f>
        <v>0</v>
      </c>
      <c r="W490" s="315">
        <f t="shared" si="180"/>
        <v>0</v>
      </c>
    </row>
    <row r="491" spans="1:23" ht="15" hidden="1" customHeight="1" thickBot="1" x14ac:dyDescent="0.25">
      <c r="A491" s="63">
        <v>589000</v>
      </c>
      <c r="B491" s="1004" t="s">
        <v>717</v>
      </c>
      <c r="C491" s="984" t="s">
        <v>213</v>
      </c>
      <c r="D491" s="1012" t="s">
        <v>2172</v>
      </c>
      <c r="E491" s="1020">
        <f>DMT!$D$45</f>
        <v>45</v>
      </c>
      <c r="F491" s="1006">
        <v>1</v>
      </c>
      <c r="G491" s="949">
        <f>(0.94*E491+46.06)*F491</f>
        <v>88.36</v>
      </c>
      <c r="H491" s="988">
        <v>4828.8599999999997</v>
      </c>
      <c r="I491" s="988">
        <f>IF(ISBLANK(H491),"",H491*(1+$E$9)/(1+$E$10))+G491</f>
        <v>4724.580378112767</v>
      </c>
      <c r="J491" s="989">
        <f t="shared" ref="J491" si="187">IF(ISBLANK(H491),0,ROUND(I491*(1+$E$10),2))</f>
        <v>5672.8</v>
      </c>
      <c r="K491" s="990" t="s">
        <v>14</v>
      </c>
      <c r="L491" s="991">
        <f>ROUND(SUM('RES. CENTRAL PARK:RUA_FINAL'!L491),2)</f>
        <v>0</v>
      </c>
      <c r="M491" s="1013">
        <f t="shared" si="142"/>
        <v>0</v>
      </c>
      <c r="N491" s="993">
        <f t="shared" si="143"/>
        <v>0</v>
      </c>
      <c r="O491" s="905"/>
      <c r="P491" s="58" t="str">
        <f>IF(N486&gt;0,"xx",IF(N486&gt;0,"xy",""))</f>
        <v/>
      </c>
      <c r="Q491" s="317" t="str">
        <f t="shared" si="144"/>
        <v/>
      </c>
      <c r="R491" s="317" t="str">
        <f t="shared" si="145"/>
        <v/>
      </c>
      <c r="S491" s="317" t="str">
        <f t="shared" si="146"/>
        <v/>
      </c>
      <c r="V491" s="314">
        <f>SUM('RES. CENTRAL PARK:RUA_FINAL'!N491)</f>
        <v>0</v>
      </c>
      <c r="W491" s="315">
        <f t="shared" si="180"/>
        <v>0</v>
      </c>
    </row>
    <row r="492" spans="1:23" ht="23.25" hidden="1" thickBot="1" x14ac:dyDescent="0.25">
      <c r="A492" s="63">
        <v>570360</v>
      </c>
      <c r="B492" s="999">
        <v>570360</v>
      </c>
      <c r="C492" s="1000" t="s">
        <v>184</v>
      </c>
      <c r="D492" s="973" t="s">
        <v>245</v>
      </c>
      <c r="E492" s="1026" t="s">
        <v>571</v>
      </c>
      <c r="F492" s="975">
        <v>5.8999999999999997E-2</v>
      </c>
      <c r="G492" s="976">
        <f>SUM(G493:G496)</f>
        <v>52.945844000000001</v>
      </c>
      <c r="H492" s="977">
        <v>178.95</v>
      </c>
      <c r="I492" s="977">
        <f>IF(ISBLANK(H492),"",SUM(G492:H492))</f>
        <v>231.89584399999998</v>
      </c>
      <c r="J492" s="978">
        <f t="shared" si="182"/>
        <v>278.44</v>
      </c>
      <c r="K492" s="979" t="s">
        <v>14</v>
      </c>
      <c r="L492" s="980">
        <f>ROUND(SUM('RES. CENTRAL PARK:RUA_FINAL'!L492),2)</f>
        <v>0</v>
      </c>
      <c r="M492" s="981">
        <f t="shared" si="142"/>
        <v>0</v>
      </c>
      <c r="N492" s="982">
        <f t="shared" si="143"/>
        <v>0</v>
      </c>
      <c r="O492" s="905"/>
      <c r="Q492" s="317" t="str">
        <f t="shared" si="144"/>
        <v/>
      </c>
      <c r="R492" s="317" t="str">
        <f t="shared" si="145"/>
        <v/>
      </c>
      <c r="S492" s="317" t="str">
        <f t="shared" si="146"/>
        <v/>
      </c>
      <c r="V492" s="314">
        <f>SUM('RES. CENTRAL PARK:RUA_FINAL'!N492)</f>
        <v>0</v>
      </c>
      <c r="W492" s="315">
        <f t="shared" si="180"/>
        <v>0</v>
      </c>
    </row>
    <row r="493" spans="1:23" ht="15" hidden="1" customHeight="1" x14ac:dyDescent="0.2">
      <c r="A493" s="63" t="s">
        <v>147</v>
      </c>
      <c r="B493" s="895" t="s">
        <v>147</v>
      </c>
      <c r="C493" s="896"/>
      <c r="D493" s="957" t="s">
        <v>229</v>
      </c>
      <c r="E493" s="907">
        <f>DMT!$F$42</f>
        <v>150</v>
      </c>
      <c r="F493" s="908">
        <v>0.1</v>
      </c>
      <c r="G493" s="949">
        <f t="shared" ref="G493:G495" si="188">IF(E493&lt;=30,(1.07*E493+2.68)*F493,((1.07*30+2.68)+1.07*(E493-30))*F493)</f>
        <v>16.318000000000001</v>
      </c>
      <c r="H493" s="901">
        <v>0</v>
      </c>
      <c r="I493" s="901"/>
      <c r="J493" s="902">
        <v>0</v>
      </c>
      <c r="K493" s="903" t="s">
        <v>507</v>
      </c>
      <c r="L493" s="1003">
        <f>ROUND(SUM('RES. CENTRAL PARK:RUA_FINAL'!L493),2)</f>
        <v>0</v>
      </c>
      <c r="M493" s="960">
        <f t="shared" si="142"/>
        <v>0</v>
      </c>
      <c r="N493" s="893">
        <f t="shared" si="143"/>
        <v>0</v>
      </c>
      <c r="O493" s="905"/>
      <c r="P493" s="58" t="str">
        <f>IF(N492&gt;0,"xx",IF(N492&gt;0,"xy",""))</f>
        <v/>
      </c>
      <c r="Q493" s="317" t="str">
        <f t="shared" si="144"/>
        <v/>
      </c>
      <c r="R493" s="317" t="str">
        <f t="shared" si="145"/>
        <v/>
      </c>
      <c r="S493" s="317" t="str">
        <f t="shared" si="146"/>
        <v/>
      </c>
      <c r="V493" s="314">
        <f>SUM('RES. CENTRAL PARK:RUA_FINAL'!N493)</f>
        <v>0</v>
      </c>
      <c r="W493" s="315">
        <f t="shared" si="180"/>
        <v>0</v>
      </c>
    </row>
    <row r="494" spans="1:23" ht="15" hidden="1" customHeight="1" x14ac:dyDescent="0.2">
      <c r="A494" s="63" t="s">
        <v>147</v>
      </c>
      <c r="B494" s="895" t="s">
        <v>147</v>
      </c>
      <c r="C494" s="896"/>
      <c r="D494" s="957" t="s">
        <v>230</v>
      </c>
      <c r="E494" s="907">
        <f>DMT!$D$46</f>
        <v>353</v>
      </c>
      <c r="F494" s="908">
        <v>1.4999999999999999E-2</v>
      </c>
      <c r="G494" s="909">
        <f>IF(E494&lt;=30,(0.78*E494+7.82)*F494,((0.78*30+7.82)+0.78*(E494-30))*F494)</f>
        <v>4.2473999999999998</v>
      </c>
      <c r="H494" s="901">
        <v>0</v>
      </c>
      <c r="I494" s="901"/>
      <c r="J494" s="902">
        <v>0</v>
      </c>
      <c r="K494" s="903" t="s">
        <v>507</v>
      </c>
      <c r="L494" s="1003">
        <f>ROUND(SUM('RES. CENTRAL PARK:RUA_FINAL'!L494),2)</f>
        <v>0</v>
      </c>
      <c r="M494" s="960">
        <f t="shared" si="142"/>
        <v>0</v>
      </c>
      <c r="N494" s="893">
        <f t="shared" si="143"/>
        <v>0</v>
      </c>
      <c r="O494" s="905"/>
      <c r="P494" s="58" t="str">
        <f>IF(N492&gt;0,"xx",IF(N492&gt;0,"xy",""))</f>
        <v/>
      </c>
      <c r="Q494" s="317" t="str">
        <f t="shared" si="144"/>
        <v/>
      </c>
      <c r="R494" s="317" t="str">
        <f t="shared" si="145"/>
        <v/>
      </c>
      <c r="S494" s="317" t="str">
        <f t="shared" si="146"/>
        <v/>
      </c>
      <c r="V494" s="314">
        <f>SUM('RES. CENTRAL PARK:RUA_FINAL'!N494)</f>
        <v>0</v>
      </c>
      <c r="W494" s="315">
        <f t="shared" si="180"/>
        <v>0</v>
      </c>
    </row>
    <row r="495" spans="1:23" ht="15" hidden="1" customHeight="1" x14ac:dyDescent="0.2">
      <c r="A495" s="63" t="s">
        <v>147</v>
      </c>
      <c r="B495" s="895" t="s">
        <v>147</v>
      </c>
      <c r="C495" s="896"/>
      <c r="D495" s="957" t="s">
        <v>243</v>
      </c>
      <c r="E495" s="907">
        <f>DMT!$F$43</f>
        <v>0.2</v>
      </c>
      <c r="F495" s="908">
        <v>0.82599999999999996</v>
      </c>
      <c r="G495" s="949">
        <f t="shared" si="188"/>
        <v>2.390444</v>
      </c>
      <c r="H495" s="901">
        <v>0</v>
      </c>
      <c r="I495" s="901"/>
      <c r="J495" s="902">
        <v>0</v>
      </c>
      <c r="K495" s="903" t="s">
        <v>507</v>
      </c>
      <c r="L495" s="1003">
        <f>ROUND(SUM('RES. CENTRAL PARK:RUA_FINAL'!L495),2)</f>
        <v>0</v>
      </c>
      <c r="M495" s="960">
        <f t="shared" si="142"/>
        <v>0</v>
      </c>
      <c r="N495" s="893">
        <f t="shared" si="143"/>
        <v>0</v>
      </c>
      <c r="O495" s="905"/>
      <c r="P495" s="58" t="str">
        <f>IF(N492&gt;0,"xx",IF(N492&gt;0,"xy",""))</f>
        <v/>
      </c>
      <c r="Q495" s="317" t="str">
        <f t="shared" si="144"/>
        <v/>
      </c>
      <c r="R495" s="317" t="str">
        <f t="shared" si="145"/>
        <v/>
      </c>
      <c r="S495" s="317" t="str">
        <f t="shared" si="146"/>
        <v/>
      </c>
      <c r="V495" s="314">
        <f>SUM('RES. CENTRAL PARK:RUA_FINAL'!N495)</f>
        <v>0</v>
      </c>
      <c r="W495" s="315">
        <f t="shared" si="180"/>
        <v>0</v>
      </c>
    </row>
    <row r="496" spans="1:23" ht="15" hidden="1" customHeight="1" x14ac:dyDescent="0.2">
      <c r="A496" s="63" t="s">
        <v>147</v>
      </c>
      <c r="B496" s="895" t="s">
        <v>147</v>
      </c>
      <c r="C496" s="896"/>
      <c r="D496" s="957" t="s">
        <v>244</v>
      </c>
      <c r="E496" s="907">
        <f>DMT!$F$28</f>
        <v>22</v>
      </c>
      <c r="F496" s="908">
        <f>SUM(F492:F495)</f>
        <v>1</v>
      </c>
      <c r="G496" s="912">
        <f>IF(E496&lt;=30,(1.07*E496+6.45)*F496,((1.07*30+6.45)+1.07*(E496-30))*F496)</f>
        <v>29.990000000000002</v>
      </c>
      <c r="H496" s="901">
        <v>0</v>
      </c>
      <c r="I496" s="901"/>
      <c r="J496" s="902">
        <v>0</v>
      </c>
      <c r="K496" s="903" t="s">
        <v>507</v>
      </c>
      <c r="L496" s="1003">
        <f>ROUND(SUM('RES. CENTRAL PARK:RUA_FINAL'!L496),2)</f>
        <v>0</v>
      </c>
      <c r="M496" s="960">
        <f t="shared" si="142"/>
        <v>0</v>
      </c>
      <c r="N496" s="893">
        <f t="shared" si="143"/>
        <v>0</v>
      </c>
      <c r="O496" s="905"/>
      <c r="P496" s="58" t="str">
        <f>IF(N492&gt;0,"xx",IF(N492&gt;0,"xy",""))</f>
        <v/>
      </c>
      <c r="Q496" s="317" t="str">
        <f t="shared" si="144"/>
        <v/>
      </c>
      <c r="R496" s="317" t="str">
        <f t="shared" si="145"/>
        <v/>
      </c>
      <c r="S496" s="317" t="str">
        <f t="shared" si="146"/>
        <v/>
      </c>
      <c r="V496" s="314">
        <f>SUM('RES. CENTRAL PARK:RUA_FINAL'!N496)</f>
        <v>0</v>
      </c>
      <c r="W496" s="315">
        <f t="shared" si="180"/>
        <v>0</v>
      </c>
    </row>
    <row r="497" spans="1:23" ht="15" hidden="1" customHeight="1" thickBot="1" x14ac:dyDescent="0.25">
      <c r="A497" s="63">
        <v>589040</v>
      </c>
      <c r="B497" s="1004">
        <v>589040</v>
      </c>
      <c r="C497" s="984" t="s">
        <v>213</v>
      </c>
      <c r="D497" s="1012" t="s">
        <v>567</v>
      </c>
      <c r="E497" s="1020">
        <f>DMT!$D$45</f>
        <v>45</v>
      </c>
      <c r="F497" s="1006">
        <v>1</v>
      </c>
      <c r="G497" s="949">
        <f>(0.94*E497+46.06)*F497</f>
        <v>88.36</v>
      </c>
      <c r="H497" s="988">
        <v>6122.06</v>
      </c>
      <c r="I497" s="988">
        <f>IF(ISBLANK(H497),"",H497*(1+$E$9)/(1+$E$10))+G497</f>
        <v>5966.1902390272353</v>
      </c>
      <c r="J497" s="989">
        <f t="shared" si="182"/>
        <v>7163.6</v>
      </c>
      <c r="K497" s="990" t="s">
        <v>14</v>
      </c>
      <c r="L497" s="991">
        <f>ROUND(SUM('RES. CENTRAL PARK:RUA_FINAL'!L497),2)</f>
        <v>0</v>
      </c>
      <c r="M497" s="1013">
        <f t="shared" si="142"/>
        <v>0</v>
      </c>
      <c r="N497" s="993">
        <f t="shared" si="143"/>
        <v>0</v>
      </c>
      <c r="O497" s="905"/>
      <c r="P497" s="58" t="str">
        <f>IF(N492&gt;0,"xx",IF(N492&gt;0,"xy",""))</f>
        <v/>
      </c>
      <c r="Q497" s="317" t="str">
        <f t="shared" si="144"/>
        <v/>
      </c>
      <c r="R497" s="317" t="str">
        <f t="shared" si="145"/>
        <v/>
      </c>
      <c r="S497" s="317" t="str">
        <f t="shared" si="146"/>
        <v/>
      </c>
      <c r="V497" s="314">
        <f>SUM('RES. CENTRAL PARK:RUA_FINAL'!N497)</f>
        <v>0</v>
      </c>
      <c r="W497" s="315">
        <f t="shared" si="180"/>
        <v>0</v>
      </c>
    </row>
    <row r="498" spans="1:23" ht="23.25" hidden="1" thickBot="1" x14ac:dyDescent="0.25">
      <c r="A498" s="63">
        <v>570350</v>
      </c>
      <c r="B498" s="999">
        <v>570350</v>
      </c>
      <c r="C498" s="1000" t="s">
        <v>184</v>
      </c>
      <c r="D498" s="973" t="s">
        <v>1899</v>
      </c>
      <c r="E498" s="1026" t="s">
        <v>572</v>
      </c>
      <c r="F498" s="975">
        <v>0.06</v>
      </c>
      <c r="G498" s="976">
        <f>SUM(G499:G502)</f>
        <v>52.942950000000003</v>
      </c>
      <c r="H498" s="977">
        <v>188.55</v>
      </c>
      <c r="I498" s="977">
        <f>IF(ISBLANK(H498),"",SUM(G498:H498))</f>
        <v>241.49295000000001</v>
      </c>
      <c r="J498" s="978">
        <f t="shared" si="182"/>
        <v>289.95999999999998</v>
      </c>
      <c r="K498" s="979" t="s">
        <v>573</v>
      </c>
      <c r="L498" s="980">
        <f>ROUND(SUM('RES. CENTRAL PARK:RUA_FINAL'!L498),2)</f>
        <v>0</v>
      </c>
      <c r="M498" s="981">
        <f t="shared" si="142"/>
        <v>0</v>
      </c>
      <c r="N498" s="982">
        <f t="shared" si="143"/>
        <v>0</v>
      </c>
      <c r="O498" s="905"/>
      <c r="Q498" s="317" t="str">
        <f t="shared" si="144"/>
        <v/>
      </c>
      <c r="R498" s="317" t="str">
        <f t="shared" si="145"/>
        <v/>
      </c>
      <c r="S498" s="317" t="str">
        <f t="shared" si="146"/>
        <v/>
      </c>
      <c r="V498" s="314">
        <f>SUM('RES. CENTRAL PARK:RUA_FINAL'!N498)</f>
        <v>0</v>
      </c>
      <c r="W498" s="315">
        <f t="shared" si="180"/>
        <v>0</v>
      </c>
    </row>
    <row r="499" spans="1:23" ht="15" hidden="1" customHeight="1" x14ac:dyDescent="0.2">
      <c r="A499" s="63" t="s">
        <v>147</v>
      </c>
      <c r="B499" s="895" t="s">
        <v>147</v>
      </c>
      <c r="C499" s="896"/>
      <c r="D499" s="957" t="s">
        <v>229</v>
      </c>
      <c r="E499" s="907">
        <f>DMT!$F$42</f>
        <v>150</v>
      </c>
      <c r="F499" s="908">
        <v>0.1</v>
      </c>
      <c r="G499" s="949">
        <f t="shared" ref="G499:G501" si="189">IF(E499&lt;=30,(1.07*E499+2.68)*F499,((1.07*30+2.68)+1.07*(E499-30))*F499)</f>
        <v>16.318000000000001</v>
      </c>
      <c r="H499" s="901">
        <v>0</v>
      </c>
      <c r="I499" s="901"/>
      <c r="J499" s="902">
        <v>0</v>
      </c>
      <c r="K499" s="903" t="s">
        <v>507</v>
      </c>
      <c r="L499" s="1003">
        <f>ROUND(SUM('RES. CENTRAL PARK:RUA_FINAL'!L499),2)</f>
        <v>0</v>
      </c>
      <c r="M499" s="960">
        <f t="shared" si="142"/>
        <v>0</v>
      </c>
      <c r="N499" s="893">
        <f t="shared" si="143"/>
        <v>0</v>
      </c>
      <c r="O499" s="905"/>
      <c r="P499" s="58" t="str">
        <f>IF(N498&gt;0,"xx",IF(N498&gt;0,"xy",""))</f>
        <v/>
      </c>
      <c r="Q499" s="317" t="str">
        <f t="shared" si="144"/>
        <v/>
      </c>
      <c r="R499" s="317" t="str">
        <f t="shared" si="145"/>
        <v/>
      </c>
      <c r="S499" s="317" t="str">
        <f t="shared" si="146"/>
        <v/>
      </c>
      <c r="V499" s="314">
        <f>SUM('RES. CENTRAL PARK:RUA_FINAL'!N499)</f>
        <v>0</v>
      </c>
      <c r="W499" s="315">
        <f t="shared" si="180"/>
        <v>0</v>
      </c>
    </row>
    <row r="500" spans="1:23" ht="15" hidden="1" customHeight="1" x14ac:dyDescent="0.2">
      <c r="A500" s="63" t="s">
        <v>147</v>
      </c>
      <c r="B500" s="895" t="s">
        <v>147</v>
      </c>
      <c r="C500" s="896"/>
      <c r="D500" s="957" t="s">
        <v>230</v>
      </c>
      <c r="E500" s="907">
        <f>DMT!$D$46</f>
        <v>353</v>
      </c>
      <c r="F500" s="908">
        <v>1.4999999999999999E-2</v>
      </c>
      <c r="G500" s="909">
        <f>IF(E500&lt;=30,(0.78*E500+7.82)*F500,((0.78*30+7.82)+0.78*(E500-30))*F500)</f>
        <v>4.2473999999999998</v>
      </c>
      <c r="H500" s="901">
        <v>0</v>
      </c>
      <c r="I500" s="901"/>
      <c r="J500" s="902">
        <v>0</v>
      </c>
      <c r="K500" s="903" t="s">
        <v>507</v>
      </c>
      <c r="L500" s="1003">
        <f>ROUND(SUM('RES. CENTRAL PARK:RUA_FINAL'!L500),2)</f>
        <v>0</v>
      </c>
      <c r="M500" s="960">
        <f t="shared" si="142"/>
        <v>0</v>
      </c>
      <c r="N500" s="893">
        <f t="shared" si="143"/>
        <v>0</v>
      </c>
      <c r="O500" s="905"/>
      <c r="P500" s="58" t="str">
        <f>IF(N498&gt;0,"xx",IF(N498&gt;0,"xy",""))</f>
        <v/>
      </c>
      <c r="Q500" s="317" t="str">
        <f t="shared" si="144"/>
        <v/>
      </c>
      <c r="R500" s="317" t="str">
        <f t="shared" si="145"/>
        <v/>
      </c>
      <c r="S500" s="317" t="str">
        <f t="shared" si="146"/>
        <v/>
      </c>
      <c r="V500" s="314">
        <f>SUM('RES. CENTRAL PARK:RUA_FINAL'!N500)</f>
        <v>0</v>
      </c>
      <c r="W500" s="315">
        <f t="shared" si="180"/>
        <v>0</v>
      </c>
    </row>
    <row r="501" spans="1:23" ht="15" hidden="1" customHeight="1" x14ac:dyDescent="0.2">
      <c r="A501" s="63" t="s">
        <v>147</v>
      </c>
      <c r="B501" s="895" t="s">
        <v>147</v>
      </c>
      <c r="C501" s="896"/>
      <c r="D501" s="957" t="s">
        <v>243</v>
      </c>
      <c r="E501" s="907">
        <f>DMT!$F$43</f>
        <v>0.2</v>
      </c>
      <c r="F501" s="908">
        <v>0.82499999999999996</v>
      </c>
      <c r="G501" s="949">
        <f t="shared" si="189"/>
        <v>2.3875500000000001</v>
      </c>
      <c r="H501" s="901">
        <v>0</v>
      </c>
      <c r="I501" s="901"/>
      <c r="J501" s="902">
        <v>0</v>
      </c>
      <c r="K501" s="903" t="s">
        <v>507</v>
      </c>
      <c r="L501" s="1003">
        <f>ROUND(SUM('RES. CENTRAL PARK:RUA_FINAL'!L501),2)</f>
        <v>0</v>
      </c>
      <c r="M501" s="960">
        <f t="shared" si="142"/>
        <v>0</v>
      </c>
      <c r="N501" s="893">
        <f t="shared" si="143"/>
        <v>0</v>
      </c>
      <c r="O501" s="905"/>
      <c r="P501" s="58" t="str">
        <f>IF(N498&gt;0,"xx",IF(N498&gt;0,"xy",""))</f>
        <v/>
      </c>
      <c r="Q501" s="317" t="str">
        <f t="shared" si="144"/>
        <v/>
      </c>
      <c r="R501" s="317" t="str">
        <f t="shared" si="145"/>
        <v/>
      </c>
      <c r="S501" s="317" t="str">
        <f t="shared" si="146"/>
        <v/>
      </c>
      <c r="V501" s="314">
        <f>SUM('RES. CENTRAL PARK:RUA_FINAL'!N501)</f>
        <v>0</v>
      </c>
      <c r="W501" s="315">
        <f t="shared" si="180"/>
        <v>0</v>
      </c>
    </row>
    <row r="502" spans="1:23" ht="15" hidden="1" customHeight="1" x14ac:dyDescent="0.2">
      <c r="A502" s="63" t="s">
        <v>147</v>
      </c>
      <c r="B502" s="895" t="s">
        <v>147</v>
      </c>
      <c r="C502" s="896"/>
      <c r="D502" s="957" t="s">
        <v>244</v>
      </c>
      <c r="E502" s="907">
        <f>DMT!$F$28</f>
        <v>22</v>
      </c>
      <c r="F502" s="908">
        <f>SUM(F498:F501)</f>
        <v>1</v>
      </c>
      <c r="G502" s="912">
        <f>IF(E502&lt;=30,(1.07*E502+6.45)*F502,((1.07*30+6.45)+1.07*(E502-30))*F502)</f>
        <v>29.990000000000002</v>
      </c>
      <c r="H502" s="901">
        <v>0</v>
      </c>
      <c r="I502" s="901"/>
      <c r="J502" s="902">
        <v>0</v>
      </c>
      <c r="K502" s="903" t="s">
        <v>507</v>
      </c>
      <c r="L502" s="1003">
        <f>ROUND(SUM('RES. CENTRAL PARK:RUA_FINAL'!L502),2)</f>
        <v>0</v>
      </c>
      <c r="M502" s="960">
        <f t="shared" si="142"/>
        <v>0</v>
      </c>
      <c r="N502" s="893">
        <f t="shared" si="143"/>
        <v>0</v>
      </c>
      <c r="O502" s="905"/>
      <c r="P502" s="58" t="str">
        <f>IF(N498&gt;0,"xx",IF(N498&gt;0,"xy",""))</f>
        <v/>
      </c>
      <c r="Q502" s="317" t="str">
        <f t="shared" si="144"/>
        <v/>
      </c>
      <c r="R502" s="317" t="str">
        <f t="shared" si="145"/>
        <v/>
      </c>
      <c r="S502" s="317" t="str">
        <f t="shared" si="146"/>
        <v/>
      </c>
      <c r="V502" s="314">
        <f>SUM('RES. CENTRAL PARK:RUA_FINAL'!N502)</f>
        <v>0</v>
      </c>
      <c r="W502" s="315">
        <f t="shared" si="180"/>
        <v>0</v>
      </c>
    </row>
    <row r="503" spans="1:23" ht="15" hidden="1" customHeight="1" thickBot="1" x14ac:dyDescent="0.25">
      <c r="A503" s="63">
        <v>589050</v>
      </c>
      <c r="B503" s="1004">
        <v>589050</v>
      </c>
      <c r="C503" s="984" t="s">
        <v>213</v>
      </c>
      <c r="D503" s="1012" t="s">
        <v>1900</v>
      </c>
      <c r="E503" s="1020">
        <f>DMT!$D$45</f>
        <v>45</v>
      </c>
      <c r="F503" s="1006">
        <v>1</v>
      </c>
      <c r="G503" s="949">
        <f>(0.94*E503+46.06)*F503</f>
        <v>88.36</v>
      </c>
      <c r="H503" s="988">
        <v>5201.1000000000004</v>
      </c>
      <c r="I503" s="988">
        <f>IF(ISBLANK(H503),"",H503*(1+$E$9)/(1+$E$10))+G503</f>
        <v>5081.9704605646712</v>
      </c>
      <c r="J503" s="989">
        <f t="shared" si="182"/>
        <v>6101.92</v>
      </c>
      <c r="K503" s="990" t="s">
        <v>14</v>
      </c>
      <c r="L503" s="991">
        <f>ROUND(SUM('RES. CENTRAL PARK:RUA_FINAL'!L503),2)</f>
        <v>0</v>
      </c>
      <c r="M503" s="1013">
        <f t="shared" si="142"/>
        <v>0</v>
      </c>
      <c r="N503" s="993">
        <f t="shared" si="143"/>
        <v>0</v>
      </c>
      <c r="O503" s="905"/>
      <c r="P503" s="58" t="str">
        <f>IF(N498&gt;0,"xx",IF(N498&gt;0,"xy",""))</f>
        <v/>
      </c>
      <c r="Q503" s="317" t="str">
        <f t="shared" si="144"/>
        <v/>
      </c>
      <c r="R503" s="317" t="str">
        <f t="shared" si="145"/>
        <v/>
      </c>
      <c r="S503" s="317" t="str">
        <f t="shared" si="146"/>
        <v/>
      </c>
      <c r="V503" s="314">
        <f>SUM('RES. CENTRAL PARK:RUA_FINAL'!N503)</f>
        <v>0</v>
      </c>
      <c r="W503" s="315">
        <f t="shared" si="180"/>
        <v>0</v>
      </c>
    </row>
    <row r="504" spans="1:23" ht="15" hidden="1" customHeight="1" x14ac:dyDescent="0.2">
      <c r="A504" s="63">
        <v>502615</v>
      </c>
      <c r="B504" s="999">
        <v>502615</v>
      </c>
      <c r="C504" s="1000" t="s">
        <v>184</v>
      </c>
      <c r="D504" s="973" t="s">
        <v>1931</v>
      </c>
      <c r="E504" s="974"/>
      <c r="F504" s="975"/>
      <c r="G504" s="976">
        <f>SUM(G505:G508)</f>
        <v>256.41471000000007</v>
      </c>
      <c r="H504" s="977">
        <v>307.27999999999997</v>
      </c>
      <c r="I504" s="977">
        <f t="shared" ref="I504:I538" si="190">IF(ISBLANK(H504),"",SUM(G504:H504))</f>
        <v>563.69470999999999</v>
      </c>
      <c r="J504" s="978">
        <f t="shared" si="182"/>
        <v>676.83</v>
      </c>
      <c r="K504" s="979" t="s">
        <v>10</v>
      </c>
      <c r="L504" s="980">
        <f>ROUND(SUM('RES. CENTRAL PARK:RUA_FINAL'!L504),2)</f>
        <v>0</v>
      </c>
      <c r="M504" s="981">
        <f t="shared" si="142"/>
        <v>0</v>
      </c>
      <c r="N504" s="982">
        <f t="shared" si="143"/>
        <v>0</v>
      </c>
      <c r="O504" s="905"/>
      <c r="Q504" s="317" t="str">
        <f t="shared" si="144"/>
        <v/>
      </c>
      <c r="R504" s="317" t="str">
        <f t="shared" si="145"/>
        <v/>
      </c>
      <c r="S504" s="317" t="str">
        <f t="shared" si="146"/>
        <v/>
      </c>
      <c r="V504" s="314">
        <f>SUM('RES. CENTRAL PARK:RUA_FINAL'!N504)</f>
        <v>0</v>
      </c>
      <c r="W504" s="315">
        <f t="shared" si="180"/>
        <v>0</v>
      </c>
    </row>
    <row r="505" spans="1:23" ht="15" hidden="1" customHeight="1" x14ac:dyDescent="0.2">
      <c r="A505" s="63" t="s">
        <v>147</v>
      </c>
      <c r="B505" s="895" t="s">
        <v>147</v>
      </c>
      <c r="C505" s="896"/>
      <c r="D505" s="957" t="s">
        <v>190</v>
      </c>
      <c r="E505" s="907">
        <f>DMT!$D$51</f>
        <v>308</v>
      </c>
      <c r="F505" s="908">
        <v>0.33</v>
      </c>
      <c r="G505" s="909">
        <f>IF(E505&lt;=30,(0.78*E505+7.82)*F505,((0.78*30+7.82)+0.78*(E505-30))*F505)</f>
        <v>81.859800000000007</v>
      </c>
      <c r="H505" s="901">
        <v>0</v>
      </c>
      <c r="I505" s="901"/>
      <c r="J505" s="902">
        <v>0</v>
      </c>
      <c r="K505" s="958" t="s">
        <v>507</v>
      </c>
      <c r="L505" s="959">
        <f>ROUND(SUM('RES. CENTRAL PARK:RUA_FINAL'!L505),2)</f>
        <v>0</v>
      </c>
      <c r="M505" s="960">
        <f t="shared" si="142"/>
        <v>0</v>
      </c>
      <c r="N505" s="893">
        <f t="shared" si="143"/>
        <v>0</v>
      </c>
      <c r="O505" s="905"/>
      <c r="P505" s="58" t="str">
        <f>IF(N504&gt;0,"xx",IF(N504&gt;0,"xy",""))</f>
        <v/>
      </c>
      <c r="Q505" s="317" t="str">
        <f t="shared" si="144"/>
        <v/>
      </c>
      <c r="R505" s="317" t="str">
        <f t="shared" si="145"/>
        <v/>
      </c>
      <c r="S505" s="317" t="str">
        <f t="shared" si="146"/>
        <v/>
      </c>
      <c r="V505" s="314">
        <f>SUM('RES. CENTRAL PARK:RUA_FINAL'!N505)</f>
        <v>0</v>
      </c>
      <c r="W505" s="315">
        <f t="shared" si="180"/>
        <v>0</v>
      </c>
    </row>
    <row r="506" spans="1:23" ht="15" hidden="1" customHeight="1" x14ac:dyDescent="0.2">
      <c r="A506" s="63" t="s">
        <v>147</v>
      </c>
      <c r="B506" s="895" t="s">
        <v>147</v>
      </c>
      <c r="C506" s="896"/>
      <c r="D506" s="957" t="s">
        <v>229</v>
      </c>
      <c r="E506" s="907">
        <f>DMT!$F$48</f>
        <v>165</v>
      </c>
      <c r="F506" s="908">
        <v>0.92100000000000004</v>
      </c>
      <c r="G506" s="949">
        <f t="shared" ref="G506:G508" si="191">IF(E506&lt;=30,(1.07*E506+2.68)*F506,((1.07*30+2.68)+1.07*(E506-30))*F506)</f>
        <v>165.07083000000003</v>
      </c>
      <c r="H506" s="901">
        <v>0</v>
      </c>
      <c r="I506" s="901"/>
      <c r="J506" s="902">
        <v>0</v>
      </c>
      <c r="K506" s="958" t="s">
        <v>507</v>
      </c>
      <c r="L506" s="959">
        <f>ROUND(SUM('RES. CENTRAL PARK:RUA_FINAL'!L506),2)</f>
        <v>0</v>
      </c>
      <c r="M506" s="960">
        <f t="shared" si="142"/>
        <v>0</v>
      </c>
      <c r="N506" s="893">
        <f t="shared" si="143"/>
        <v>0</v>
      </c>
      <c r="O506" s="905"/>
      <c r="P506" s="58" t="str">
        <f>IF(N504&gt;0,"xx",IF(N504&gt;0,"xy",""))</f>
        <v/>
      </c>
      <c r="Q506" s="317" t="str">
        <f t="shared" si="144"/>
        <v/>
      </c>
      <c r="R506" s="317" t="str">
        <f t="shared" si="145"/>
        <v/>
      </c>
      <c r="S506" s="317" t="str">
        <f t="shared" si="146"/>
        <v/>
      </c>
      <c r="V506" s="314">
        <f>SUM('RES. CENTRAL PARK:RUA_FINAL'!N506)</f>
        <v>0</v>
      </c>
      <c r="W506" s="315">
        <f t="shared" si="180"/>
        <v>0</v>
      </c>
    </row>
    <row r="507" spans="1:23" ht="15" hidden="1" customHeight="1" x14ac:dyDescent="0.2">
      <c r="A507" s="63" t="s">
        <v>147</v>
      </c>
      <c r="B507" s="895" t="s">
        <v>147</v>
      </c>
      <c r="C507" s="896"/>
      <c r="D507" s="957" t="s">
        <v>233</v>
      </c>
      <c r="E507" s="907">
        <f>DMT!$F$49</f>
        <v>0.2</v>
      </c>
      <c r="F507" s="908">
        <v>1.1000000000000001</v>
      </c>
      <c r="G507" s="949">
        <f t="shared" si="191"/>
        <v>3.1834000000000002</v>
      </c>
      <c r="H507" s="901">
        <v>0</v>
      </c>
      <c r="I507" s="901"/>
      <c r="J507" s="902">
        <v>0</v>
      </c>
      <c r="K507" s="958" t="s">
        <v>507</v>
      </c>
      <c r="L507" s="959">
        <f>ROUND(SUM('RES. CENTRAL PARK:RUA_FINAL'!L507),2)</f>
        <v>0</v>
      </c>
      <c r="M507" s="960">
        <f t="shared" si="142"/>
        <v>0</v>
      </c>
      <c r="N507" s="893">
        <f t="shared" si="143"/>
        <v>0</v>
      </c>
      <c r="O507" s="905"/>
      <c r="P507" s="58" t="str">
        <f>IF(N504&gt;0,"xx",IF(N504&gt;0,"xy",""))</f>
        <v/>
      </c>
      <c r="Q507" s="317" t="str">
        <f t="shared" si="144"/>
        <v/>
      </c>
      <c r="R507" s="317" t="str">
        <f t="shared" si="145"/>
        <v/>
      </c>
      <c r="S507" s="317" t="str">
        <f t="shared" si="146"/>
        <v/>
      </c>
      <c r="V507" s="314">
        <f>SUM('RES. CENTRAL PARK:RUA_FINAL'!N507)</f>
        <v>0</v>
      </c>
      <c r="W507" s="315">
        <f t="shared" si="180"/>
        <v>0</v>
      </c>
    </row>
    <row r="508" spans="1:23" ht="15" hidden="1" customHeight="1" x14ac:dyDescent="0.2">
      <c r="A508" s="63" t="s">
        <v>147</v>
      </c>
      <c r="B508" s="895" t="s">
        <v>147</v>
      </c>
      <c r="C508" s="896"/>
      <c r="D508" s="957" t="s">
        <v>244</v>
      </c>
      <c r="E508" s="907">
        <f>DMT!$F$21</f>
        <v>0</v>
      </c>
      <c r="F508" s="908">
        <f>SUM(F504:F507)</f>
        <v>2.351</v>
      </c>
      <c r="G508" s="912">
        <f t="shared" si="191"/>
        <v>6.3006800000000007</v>
      </c>
      <c r="H508" s="901">
        <v>0</v>
      </c>
      <c r="I508" s="901"/>
      <c r="J508" s="902">
        <v>0</v>
      </c>
      <c r="K508" s="903" t="s">
        <v>507</v>
      </c>
      <c r="L508" s="1003">
        <f>ROUND(SUM('RES. CENTRAL PARK:RUA_FINAL'!L508),2)</f>
        <v>0</v>
      </c>
      <c r="M508" s="960">
        <f t="shared" si="142"/>
        <v>0</v>
      </c>
      <c r="N508" s="893">
        <f t="shared" si="143"/>
        <v>0</v>
      </c>
      <c r="O508" s="905"/>
      <c r="P508" s="58" t="str">
        <f>IF(N504&gt;0,"xx",IF(N504&gt;0,"xy",""))</f>
        <v/>
      </c>
      <c r="Q508" s="317" t="str">
        <f t="shared" si="144"/>
        <v/>
      </c>
      <c r="R508" s="317" t="str">
        <f t="shared" si="145"/>
        <v/>
      </c>
      <c r="S508" s="317" t="str">
        <f t="shared" si="146"/>
        <v/>
      </c>
      <c r="V508" s="314">
        <f>SUM('RES. CENTRAL PARK:RUA_FINAL'!N508)</f>
        <v>0</v>
      </c>
      <c r="W508" s="315">
        <f t="shared" si="180"/>
        <v>0</v>
      </c>
    </row>
    <row r="509" spans="1:23" ht="15" hidden="1" customHeight="1" x14ac:dyDescent="0.2">
      <c r="A509" s="63">
        <v>502605</v>
      </c>
      <c r="B509" s="895">
        <v>502605</v>
      </c>
      <c r="C509" s="896" t="s">
        <v>184</v>
      </c>
      <c r="D509" s="906" t="s">
        <v>1932</v>
      </c>
      <c r="E509" s="907"/>
      <c r="F509" s="908"/>
      <c r="G509" s="949">
        <f>SUM(G510:G513)</f>
        <v>194.48190000000002</v>
      </c>
      <c r="H509" s="901">
        <v>182.71</v>
      </c>
      <c r="I509" s="901">
        <f t="shared" si="190"/>
        <v>377.19190000000003</v>
      </c>
      <c r="J509" s="902">
        <f t="shared" si="182"/>
        <v>452.89</v>
      </c>
      <c r="K509" s="903" t="s">
        <v>10</v>
      </c>
      <c r="L509" s="910">
        <f>ROUND(SUM('RES. CENTRAL PARK:RUA_FINAL'!L509),2)</f>
        <v>0</v>
      </c>
      <c r="M509" s="911">
        <f t="shared" si="142"/>
        <v>0</v>
      </c>
      <c r="N509" s="893">
        <f t="shared" si="143"/>
        <v>0</v>
      </c>
      <c r="O509" s="905"/>
      <c r="Q509" s="317" t="str">
        <f t="shared" si="144"/>
        <v/>
      </c>
      <c r="R509" s="317" t="str">
        <f t="shared" si="145"/>
        <v/>
      </c>
      <c r="S509" s="317" t="str">
        <f t="shared" si="146"/>
        <v/>
      </c>
      <c r="V509" s="314">
        <f>SUM('RES. CENTRAL PARK:RUA_FINAL'!N509)</f>
        <v>0</v>
      </c>
      <c r="W509" s="315">
        <f t="shared" si="180"/>
        <v>0</v>
      </c>
    </row>
    <row r="510" spans="1:23" ht="15" hidden="1" customHeight="1" x14ac:dyDescent="0.2">
      <c r="A510" s="63" t="s">
        <v>147</v>
      </c>
      <c r="B510" s="895" t="s">
        <v>147</v>
      </c>
      <c r="C510" s="896"/>
      <c r="D510" s="957" t="s">
        <v>190</v>
      </c>
      <c r="E510" s="907">
        <f>DMT!$D$51</f>
        <v>308</v>
      </c>
      <c r="F510" s="908">
        <v>0.12</v>
      </c>
      <c r="G510" s="909">
        <f>IF(E510&lt;=30,(0.78*E510+7.82)*F510,((0.78*30+7.82)+0.78*(E510-30))*F510)</f>
        <v>29.767199999999999</v>
      </c>
      <c r="H510" s="901">
        <v>0</v>
      </c>
      <c r="I510" s="901"/>
      <c r="J510" s="902">
        <v>0</v>
      </c>
      <c r="K510" s="958" t="s">
        <v>507</v>
      </c>
      <c r="L510" s="959">
        <f>ROUND(SUM('RES. CENTRAL PARK:RUA_FINAL'!L510),2)</f>
        <v>0</v>
      </c>
      <c r="M510" s="960">
        <f t="shared" si="142"/>
        <v>0</v>
      </c>
      <c r="N510" s="893">
        <f t="shared" si="143"/>
        <v>0</v>
      </c>
      <c r="O510" s="905"/>
      <c r="P510" s="58" t="str">
        <f>IF(N509&gt;0,"xx",IF(N509&gt;0,"xy",""))</f>
        <v/>
      </c>
      <c r="Q510" s="317" t="str">
        <f t="shared" si="144"/>
        <v/>
      </c>
      <c r="R510" s="317" t="str">
        <f t="shared" si="145"/>
        <v/>
      </c>
      <c r="S510" s="317" t="str">
        <f t="shared" si="146"/>
        <v/>
      </c>
      <c r="V510" s="314">
        <f>SUM('RES. CENTRAL PARK:RUA_FINAL'!N510)</f>
        <v>0</v>
      </c>
      <c r="W510" s="315">
        <f t="shared" si="180"/>
        <v>0</v>
      </c>
    </row>
    <row r="511" spans="1:23" ht="15" hidden="1" customHeight="1" x14ac:dyDescent="0.2">
      <c r="A511" s="63" t="s">
        <v>147</v>
      </c>
      <c r="B511" s="895" t="s">
        <v>147</v>
      </c>
      <c r="C511" s="896"/>
      <c r="D511" s="957" t="s">
        <v>229</v>
      </c>
      <c r="E511" s="907">
        <f>DMT!$F$48</f>
        <v>165</v>
      </c>
      <c r="F511" s="908">
        <v>0.87</v>
      </c>
      <c r="G511" s="949">
        <f t="shared" ref="G511:G513" si="192">IF(E511&lt;=30,(1.07*E511+2.68)*F511,((1.07*30+2.68)+1.07*(E511-30))*F511)</f>
        <v>155.93010000000001</v>
      </c>
      <c r="H511" s="901">
        <v>0</v>
      </c>
      <c r="I511" s="901"/>
      <c r="J511" s="902">
        <v>0</v>
      </c>
      <c r="K511" s="958" t="s">
        <v>507</v>
      </c>
      <c r="L511" s="959">
        <f>ROUND(SUM('RES. CENTRAL PARK:RUA_FINAL'!L511),2)</f>
        <v>0</v>
      </c>
      <c r="M511" s="960">
        <f t="shared" si="142"/>
        <v>0</v>
      </c>
      <c r="N511" s="893">
        <f t="shared" si="143"/>
        <v>0</v>
      </c>
      <c r="O511" s="905"/>
      <c r="P511" s="58" t="str">
        <f>IF(N509&gt;0,"xx",IF(N509&gt;0,"xy",""))</f>
        <v/>
      </c>
      <c r="Q511" s="317" t="str">
        <f t="shared" si="144"/>
        <v/>
      </c>
      <c r="R511" s="317" t="str">
        <f t="shared" si="145"/>
        <v/>
      </c>
      <c r="S511" s="317" t="str">
        <f t="shared" si="146"/>
        <v/>
      </c>
      <c r="V511" s="314">
        <f>SUM('RES. CENTRAL PARK:RUA_FINAL'!N511)</f>
        <v>0</v>
      </c>
      <c r="W511" s="315">
        <f t="shared" si="180"/>
        <v>0</v>
      </c>
    </row>
    <row r="512" spans="1:23" ht="15" hidden="1" customHeight="1" x14ac:dyDescent="0.2">
      <c r="A512" s="63" t="s">
        <v>147</v>
      </c>
      <c r="B512" s="895" t="s">
        <v>147</v>
      </c>
      <c r="C512" s="896"/>
      <c r="D512" s="957" t="s">
        <v>233</v>
      </c>
      <c r="E512" s="907">
        <f>DMT!$F$49</f>
        <v>0.2</v>
      </c>
      <c r="F512" s="908">
        <v>1.1000000000000001</v>
      </c>
      <c r="G512" s="949">
        <f t="shared" si="192"/>
        <v>3.1834000000000002</v>
      </c>
      <c r="H512" s="901">
        <v>0</v>
      </c>
      <c r="I512" s="901"/>
      <c r="J512" s="902">
        <v>0</v>
      </c>
      <c r="K512" s="958" t="s">
        <v>507</v>
      </c>
      <c r="L512" s="959">
        <f>ROUND(SUM('RES. CENTRAL PARK:RUA_FINAL'!L512),2)</f>
        <v>0</v>
      </c>
      <c r="M512" s="960">
        <f t="shared" si="142"/>
        <v>0</v>
      </c>
      <c r="N512" s="893">
        <f t="shared" si="143"/>
        <v>0</v>
      </c>
      <c r="O512" s="905"/>
      <c r="P512" s="58" t="str">
        <f>IF(N509&gt;0,"xx",IF(N509&gt;0,"xy",""))</f>
        <v/>
      </c>
      <c r="Q512" s="317" t="str">
        <f t="shared" si="144"/>
        <v/>
      </c>
      <c r="R512" s="317" t="str">
        <f t="shared" si="145"/>
        <v/>
      </c>
      <c r="S512" s="317" t="str">
        <f t="shared" si="146"/>
        <v/>
      </c>
      <c r="V512" s="314">
        <f>SUM('RES. CENTRAL PARK:RUA_FINAL'!N512)</f>
        <v>0</v>
      </c>
      <c r="W512" s="315">
        <f t="shared" si="180"/>
        <v>0</v>
      </c>
    </row>
    <row r="513" spans="1:23" ht="15" hidden="1" customHeight="1" x14ac:dyDescent="0.2">
      <c r="A513" s="63" t="s">
        <v>147</v>
      </c>
      <c r="B513" s="895" t="s">
        <v>147</v>
      </c>
      <c r="C513" s="896"/>
      <c r="D513" s="957" t="s">
        <v>244</v>
      </c>
      <c r="E513" s="907">
        <f>DMT!$F$21</f>
        <v>0</v>
      </c>
      <c r="F513" s="908">
        <f>SUM(F509:F512)</f>
        <v>2.09</v>
      </c>
      <c r="G513" s="912">
        <f t="shared" si="192"/>
        <v>5.6011999999999995</v>
      </c>
      <c r="H513" s="901">
        <v>0</v>
      </c>
      <c r="I513" s="901"/>
      <c r="J513" s="902">
        <v>0</v>
      </c>
      <c r="K513" s="903" t="s">
        <v>507</v>
      </c>
      <c r="L513" s="1003">
        <f>ROUND(SUM('RES. CENTRAL PARK:RUA_FINAL'!L513),2)</f>
        <v>0</v>
      </c>
      <c r="M513" s="960">
        <f t="shared" si="142"/>
        <v>0</v>
      </c>
      <c r="N513" s="893">
        <f t="shared" si="143"/>
        <v>0</v>
      </c>
      <c r="O513" s="905"/>
      <c r="P513" s="58" t="str">
        <f>IF(N509&gt;0,"xx",IF(N509&gt;0,"xy",""))</f>
        <v/>
      </c>
      <c r="Q513" s="317" t="str">
        <f t="shared" si="144"/>
        <v/>
      </c>
      <c r="R513" s="317" t="str">
        <f t="shared" si="145"/>
        <v/>
      </c>
      <c r="S513" s="317" t="str">
        <f t="shared" si="146"/>
        <v/>
      </c>
      <c r="V513" s="314">
        <f>SUM('RES. CENTRAL PARK:RUA_FINAL'!N513)</f>
        <v>0</v>
      </c>
      <c r="W513" s="315">
        <f t="shared" si="180"/>
        <v>0</v>
      </c>
    </row>
    <row r="514" spans="1:23" ht="15" hidden="1" customHeight="1" x14ac:dyDescent="0.2">
      <c r="A514" s="63">
        <v>505185</v>
      </c>
      <c r="B514" s="895">
        <v>505185</v>
      </c>
      <c r="C514" s="896" t="s">
        <v>184</v>
      </c>
      <c r="D514" s="906" t="s">
        <v>1933</v>
      </c>
      <c r="E514" s="907"/>
      <c r="F514" s="908"/>
      <c r="G514" s="949">
        <f>SUM(G515:G518)</f>
        <v>296.94944000000004</v>
      </c>
      <c r="H514" s="901">
        <v>238.23</v>
      </c>
      <c r="I514" s="901">
        <f t="shared" si="190"/>
        <v>535.17944</v>
      </c>
      <c r="J514" s="902">
        <f t="shared" si="182"/>
        <v>642.59</v>
      </c>
      <c r="K514" s="903" t="s">
        <v>10</v>
      </c>
      <c r="L514" s="910">
        <f>ROUND(SUM('RES. CENTRAL PARK:RUA_FINAL'!L514),2)</f>
        <v>0</v>
      </c>
      <c r="M514" s="911">
        <f t="shared" si="142"/>
        <v>0</v>
      </c>
      <c r="N514" s="893">
        <f t="shared" si="143"/>
        <v>0</v>
      </c>
      <c r="O514" s="905"/>
      <c r="Q514" s="317" t="str">
        <f t="shared" si="144"/>
        <v/>
      </c>
      <c r="R514" s="317" t="str">
        <f t="shared" si="145"/>
        <v/>
      </c>
      <c r="S514" s="317" t="str">
        <f t="shared" si="146"/>
        <v/>
      </c>
      <c r="V514" s="314">
        <f>SUM('RES. CENTRAL PARK:RUA_FINAL'!N514)</f>
        <v>0</v>
      </c>
      <c r="W514" s="315">
        <f t="shared" si="180"/>
        <v>0</v>
      </c>
    </row>
    <row r="515" spans="1:23" ht="15" hidden="1" customHeight="1" x14ac:dyDescent="0.2">
      <c r="A515" s="63" t="s">
        <v>147</v>
      </c>
      <c r="B515" s="895" t="s">
        <v>147</v>
      </c>
      <c r="C515" s="896"/>
      <c r="D515" s="957" t="s">
        <v>190</v>
      </c>
      <c r="E515" s="907">
        <f>DMT!$D$51</f>
        <v>308</v>
      </c>
      <c r="F515" s="908">
        <v>0.18</v>
      </c>
      <c r="G515" s="909">
        <f>IF(E515&lt;=30,(0.78*E515+7.82)*F515,((0.78*30+7.82)+0.78*(E515-30))*F515)</f>
        <v>44.650799999999997</v>
      </c>
      <c r="H515" s="901">
        <v>0</v>
      </c>
      <c r="I515" s="901"/>
      <c r="J515" s="902">
        <v>0</v>
      </c>
      <c r="K515" s="958" t="s">
        <v>507</v>
      </c>
      <c r="L515" s="959">
        <f>ROUND(SUM('RES. CENTRAL PARK:RUA_FINAL'!L515),2)</f>
        <v>0</v>
      </c>
      <c r="M515" s="960">
        <f t="shared" si="142"/>
        <v>0</v>
      </c>
      <c r="N515" s="893">
        <f t="shared" si="143"/>
        <v>0</v>
      </c>
      <c r="O515" s="905"/>
      <c r="P515" s="58" t="str">
        <f>IF(N514&gt;0,"xx",IF(N514&gt;0,"xy",""))</f>
        <v/>
      </c>
      <c r="Q515" s="317" t="str">
        <f t="shared" si="144"/>
        <v/>
      </c>
      <c r="R515" s="317" t="str">
        <f t="shared" si="145"/>
        <v/>
      </c>
      <c r="S515" s="317" t="str">
        <f t="shared" si="146"/>
        <v/>
      </c>
      <c r="V515" s="314">
        <f>SUM('RES. CENTRAL PARK:RUA_FINAL'!N515)</f>
        <v>0</v>
      </c>
      <c r="W515" s="315">
        <f t="shared" si="180"/>
        <v>0</v>
      </c>
    </row>
    <row r="516" spans="1:23" ht="15" hidden="1" customHeight="1" x14ac:dyDescent="0.2">
      <c r="A516" s="63" t="s">
        <v>147</v>
      </c>
      <c r="B516" s="895" t="s">
        <v>147</v>
      </c>
      <c r="C516" s="896"/>
      <c r="D516" s="957" t="s">
        <v>229</v>
      </c>
      <c r="E516" s="907">
        <f>DMT!$F$48</f>
        <v>165</v>
      </c>
      <c r="F516" s="908">
        <v>1.06</v>
      </c>
      <c r="G516" s="949">
        <f t="shared" ref="G516:G518" si="193">IF(E516&lt;=30,(1.07*E516+2.68)*F516,((1.07*30+2.68)+1.07*(E516-30))*F516)</f>
        <v>189.98380000000003</v>
      </c>
      <c r="H516" s="901">
        <v>0</v>
      </c>
      <c r="I516" s="901"/>
      <c r="J516" s="902">
        <v>0</v>
      </c>
      <c r="K516" s="958" t="s">
        <v>507</v>
      </c>
      <c r="L516" s="959">
        <f>ROUND(SUM('RES. CENTRAL PARK:RUA_FINAL'!L516),2)</f>
        <v>0</v>
      </c>
      <c r="M516" s="960">
        <f t="shared" si="142"/>
        <v>0</v>
      </c>
      <c r="N516" s="893">
        <f t="shared" si="143"/>
        <v>0</v>
      </c>
      <c r="O516" s="905"/>
      <c r="P516" s="58" t="str">
        <f>IF(N514&gt;0,"xx",IF(N514&gt;0,"xy",""))</f>
        <v/>
      </c>
      <c r="Q516" s="317" t="str">
        <f t="shared" si="144"/>
        <v/>
      </c>
      <c r="R516" s="317" t="str">
        <f t="shared" si="145"/>
        <v/>
      </c>
      <c r="S516" s="317" t="str">
        <f t="shared" si="146"/>
        <v/>
      </c>
      <c r="V516" s="314">
        <f>SUM('RES. CENTRAL PARK:RUA_FINAL'!N516)</f>
        <v>0</v>
      </c>
      <c r="W516" s="315">
        <f t="shared" si="180"/>
        <v>0</v>
      </c>
    </row>
    <row r="517" spans="1:23" ht="15" hidden="1" customHeight="1" x14ac:dyDescent="0.2">
      <c r="A517" s="63" t="s">
        <v>147</v>
      </c>
      <c r="B517" s="895" t="s">
        <v>147</v>
      </c>
      <c r="C517" s="896"/>
      <c r="D517" s="957" t="s">
        <v>233</v>
      </c>
      <c r="E517" s="907">
        <f>DMT!$F$49</f>
        <v>0.2</v>
      </c>
      <c r="F517" s="908">
        <v>1.1100000000000001</v>
      </c>
      <c r="G517" s="949">
        <f t="shared" si="193"/>
        <v>3.2123400000000006</v>
      </c>
      <c r="H517" s="901">
        <v>0</v>
      </c>
      <c r="I517" s="901"/>
      <c r="J517" s="902">
        <v>0</v>
      </c>
      <c r="K517" s="958" t="s">
        <v>507</v>
      </c>
      <c r="L517" s="959">
        <f>ROUND(SUM('RES. CENTRAL PARK:RUA_FINAL'!L517),2)</f>
        <v>0</v>
      </c>
      <c r="M517" s="960">
        <f t="shared" si="142"/>
        <v>0</v>
      </c>
      <c r="N517" s="893">
        <f t="shared" si="143"/>
        <v>0</v>
      </c>
      <c r="O517" s="905"/>
      <c r="P517" s="58" t="str">
        <f>IF(N514&gt;0,"xx",IF(N514&gt;0,"xy",""))</f>
        <v/>
      </c>
      <c r="Q517" s="317" t="str">
        <f t="shared" si="144"/>
        <v/>
      </c>
      <c r="R517" s="317" t="str">
        <f t="shared" si="145"/>
        <v/>
      </c>
      <c r="S517" s="317" t="str">
        <f t="shared" si="146"/>
        <v/>
      </c>
      <c r="V517" s="314">
        <f>SUM('RES. CENTRAL PARK:RUA_FINAL'!N517)</f>
        <v>0</v>
      </c>
      <c r="W517" s="315">
        <f t="shared" si="180"/>
        <v>0</v>
      </c>
    </row>
    <row r="518" spans="1:23" ht="15" hidden="1" customHeight="1" x14ac:dyDescent="0.2">
      <c r="A518" s="63" t="s">
        <v>147</v>
      </c>
      <c r="B518" s="895" t="s">
        <v>147</v>
      </c>
      <c r="C518" s="896"/>
      <c r="D518" s="957" t="s">
        <v>244</v>
      </c>
      <c r="E518" s="907">
        <f>DMT!$F$22</f>
        <v>21</v>
      </c>
      <c r="F518" s="908">
        <f>SUM(F514:F517)</f>
        <v>2.35</v>
      </c>
      <c r="G518" s="949">
        <f t="shared" si="193"/>
        <v>59.102500000000006</v>
      </c>
      <c r="H518" s="901">
        <v>0</v>
      </c>
      <c r="I518" s="901"/>
      <c r="J518" s="902">
        <v>0</v>
      </c>
      <c r="K518" s="903" t="s">
        <v>507</v>
      </c>
      <c r="L518" s="1003">
        <f>ROUND(SUM('RES. CENTRAL PARK:RUA_FINAL'!L518),2)</f>
        <v>0</v>
      </c>
      <c r="M518" s="960">
        <f t="shared" si="142"/>
        <v>0</v>
      </c>
      <c r="N518" s="893">
        <f t="shared" si="143"/>
        <v>0</v>
      </c>
      <c r="O518" s="905"/>
      <c r="P518" s="58" t="str">
        <f>IF(N514&gt;0,"xx",IF(N514&gt;0,"xy",""))</f>
        <v/>
      </c>
      <c r="Q518" s="317" t="str">
        <f t="shared" si="144"/>
        <v/>
      </c>
      <c r="R518" s="317" t="str">
        <f t="shared" si="145"/>
        <v/>
      </c>
      <c r="S518" s="317" t="str">
        <f t="shared" si="146"/>
        <v/>
      </c>
      <c r="V518" s="314">
        <f>SUM('RES. CENTRAL PARK:RUA_FINAL'!N518)</f>
        <v>0</v>
      </c>
      <c r="W518" s="315">
        <f t="shared" si="180"/>
        <v>0</v>
      </c>
    </row>
    <row r="519" spans="1:23" ht="15" hidden="1" customHeight="1" x14ac:dyDescent="0.2">
      <c r="A519" s="63">
        <v>505415</v>
      </c>
      <c r="B519" s="895">
        <v>505415</v>
      </c>
      <c r="C519" s="896" t="s">
        <v>184</v>
      </c>
      <c r="D519" s="906" t="s">
        <v>1934</v>
      </c>
      <c r="E519" s="907"/>
      <c r="F519" s="908"/>
      <c r="G519" s="949">
        <f t="shared" ref="G519:G528" si="194">IF(E519&lt;=30,(0.87*E519+2.18)*F519,((0.87*30+2.18)+0.87*(E519-30))*F519)</f>
        <v>0</v>
      </c>
      <c r="H519" s="901">
        <v>8.49</v>
      </c>
      <c r="I519" s="901">
        <f t="shared" si="190"/>
        <v>8.49</v>
      </c>
      <c r="J519" s="902">
        <f t="shared" si="182"/>
        <v>10.19</v>
      </c>
      <c r="K519" s="903" t="s">
        <v>12</v>
      </c>
      <c r="L519" s="910">
        <f>ROUND(SUM('RES. CENTRAL PARK:RUA_FINAL'!L519),2)</f>
        <v>0</v>
      </c>
      <c r="M519" s="911">
        <f t="shared" si="142"/>
        <v>0</v>
      </c>
      <c r="N519" s="893">
        <f t="shared" si="143"/>
        <v>0</v>
      </c>
      <c r="O519" s="905"/>
      <c r="Q519" s="317" t="str">
        <f t="shared" si="144"/>
        <v/>
      </c>
      <c r="R519" s="317" t="str">
        <f t="shared" si="145"/>
        <v/>
      </c>
      <c r="S519" s="317" t="str">
        <f t="shared" si="146"/>
        <v/>
      </c>
      <c r="V519" s="314">
        <f>SUM('RES. CENTRAL PARK:RUA_FINAL'!N519)</f>
        <v>0</v>
      </c>
      <c r="W519" s="315">
        <f t="shared" si="180"/>
        <v>0</v>
      </c>
    </row>
    <row r="520" spans="1:23" ht="15" hidden="1" customHeight="1" x14ac:dyDescent="0.2">
      <c r="A520" s="63">
        <v>505416</v>
      </c>
      <c r="B520" s="895">
        <v>505416</v>
      </c>
      <c r="C520" s="896" t="s">
        <v>184</v>
      </c>
      <c r="D520" s="906" t="s">
        <v>1935</v>
      </c>
      <c r="E520" s="907"/>
      <c r="F520" s="908"/>
      <c r="G520" s="949">
        <f t="shared" si="194"/>
        <v>0</v>
      </c>
      <c r="H520" s="901">
        <v>10</v>
      </c>
      <c r="I520" s="901">
        <f t="shared" si="190"/>
        <v>10</v>
      </c>
      <c r="J520" s="902">
        <f t="shared" si="182"/>
        <v>12.01</v>
      </c>
      <c r="K520" s="903" t="s">
        <v>12</v>
      </c>
      <c r="L520" s="910">
        <f>ROUND(SUM('RES. CENTRAL PARK:RUA_FINAL'!L520),2)</f>
        <v>0</v>
      </c>
      <c r="M520" s="911">
        <f t="shared" si="142"/>
        <v>0</v>
      </c>
      <c r="N520" s="893">
        <f t="shared" si="143"/>
        <v>0</v>
      </c>
      <c r="O520" s="905"/>
      <c r="Q520" s="317" t="str">
        <f t="shared" si="144"/>
        <v/>
      </c>
      <c r="R520" s="317" t="str">
        <f t="shared" si="145"/>
        <v/>
      </c>
      <c r="S520" s="317" t="str">
        <f t="shared" si="146"/>
        <v/>
      </c>
      <c r="V520" s="314">
        <f>SUM('RES. CENTRAL PARK:RUA_FINAL'!N520)</f>
        <v>0</v>
      </c>
      <c r="W520" s="315">
        <f t="shared" si="180"/>
        <v>0</v>
      </c>
    </row>
    <row r="521" spans="1:23" ht="15" hidden="1" customHeight="1" x14ac:dyDescent="0.2">
      <c r="A521" s="63">
        <v>5111000</v>
      </c>
      <c r="B521" s="895">
        <v>5111000</v>
      </c>
      <c r="C521" s="896" t="s">
        <v>184</v>
      </c>
      <c r="D521" s="906" t="s">
        <v>1936</v>
      </c>
      <c r="E521" s="907"/>
      <c r="F521" s="908"/>
      <c r="G521" s="949">
        <f t="shared" si="194"/>
        <v>0</v>
      </c>
      <c r="H521" s="901">
        <v>4.25</v>
      </c>
      <c r="I521" s="901">
        <f t="shared" si="190"/>
        <v>4.25</v>
      </c>
      <c r="J521" s="902">
        <f t="shared" si="182"/>
        <v>5.0999999999999996</v>
      </c>
      <c r="K521" s="903" t="s">
        <v>12</v>
      </c>
      <c r="L521" s="910">
        <f>ROUND(SUM('RES. CENTRAL PARK:RUA_FINAL'!L521),2)</f>
        <v>0</v>
      </c>
      <c r="M521" s="911">
        <f t="shared" si="142"/>
        <v>0</v>
      </c>
      <c r="N521" s="893">
        <f t="shared" si="143"/>
        <v>0</v>
      </c>
      <c r="O521" s="905"/>
      <c r="Q521" s="317" t="str">
        <f t="shared" si="144"/>
        <v/>
      </c>
      <c r="R521" s="317" t="str">
        <f t="shared" si="145"/>
        <v/>
      </c>
      <c r="S521" s="317" t="str">
        <f t="shared" si="146"/>
        <v/>
      </c>
      <c r="V521" s="314">
        <f>SUM('RES. CENTRAL PARK:RUA_FINAL'!N521)</f>
        <v>0</v>
      </c>
      <c r="W521" s="315">
        <f t="shared" si="180"/>
        <v>0</v>
      </c>
    </row>
    <row r="522" spans="1:23" ht="15" hidden="1" customHeight="1" x14ac:dyDescent="0.2">
      <c r="A522" s="63">
        <v>504840</v>
      </c>
      <c r="B522" s="895">
        <v>504840</v>
      </c>
      <c r="C522" s="896" t="s">
        <v>184</v>
      </c>
      <c r="D522" s="906" t="s">
        <v>1937</v>
      </c>
      <c r="E522" s="907"/>
      <c r="F522" s="908"/>
      <c r="G522" s="949">
        <f t="shared" si="194"/>
        <v>0</v>
      </c>
      <c r="H522" s="901">
        <v>41.95</v>
      </c>
      <c r="I522" s="901">
        <f t="shared" si="190"/>
        <v>41.95</v>
      </c>
      <c r="J522" s="902">
        <f t="shared" si="182"/>
        <v>50.37</v>
      </c>
      <c r="K522" s="903" t="s">
        <v>16</v>
      </c>
      <c r="L522" s="910">
        <f>ROUND(SUM('RES. CENTRAL PARK:RUA_FINAL'!L522),2)</f>
        <v>0</v>
      </c>
      <c r="M522" s="911">
        <f t="shared" si="142"/>
        <v>0</v>
      </c>
      <c r="N522" s="893">
        <f t="shared" si="143"/>
        <v>0</v>
      </c>
      <c r="O522" s="905"/>
      <c r="Q522" s="317" t="str">
        <f t="shared" si="144"/>
        <v/>
      </c>
      <c r="R522" s="317" t="str">
        <f t="shared" si="145"/>
        <v/>
      </c>
      <c r="S522" s="317" t="str">
        <f t="shared" si="146"/>
        <v/>
      </c>
      <c r="V522" s="314">
        <f>SUM('RES. CENTRAL PARK:RUA_FINAL'!N522)</f>
        <v>0</v>
      </c>
      <c r="W522" s="315">
        <f t="shared" si="180"/>
        <v>0</v>
      </c>
    </row>
    <row r="523" spans="1:23" ht="15" hidden="1" customHeight="1" x14ac:dyDescent="0.2">
      <c r="A523" s="63">
        <v>503110</v>
      </c>
      <c r="B523" s="895">
        <v>503110</v>
      </c>
      <c r="C523" s="896" t="s">
        <v>184</v>
      </c>
      <c r="D523" s="906" t="s">
        <v>1938</v>
      </c>
      <c r="E523" s="907"/>
      <c r="F523" s="908"/>
      <c r="G523" s="949">
        <f t="shared" si="194"/>
        <v>0</v>
      </c>
      <c r="H523" s="901">
        <v>3.61</v>
      </c>
      <c r="I523" s="901">
        <f t="shared" si="190"/>
        <v>3.61</v>
      </c>
      <c r="J523" s="902">
        <f t="shared" si="182"/>
        <v>4.33</v>
      </c>
      <c r="K523" s="903" t="s">
        <v>12</v>
      </c>
      <c r="L523" s="910">
        <f>ROUND(SUM('RES. CENTRAL PARK:RUA_FINAL'!L523),2)</f>
        <v>0</v>
      </c>
      <c r="M523" s="911">
        <f t="shared" si="142"/>
        <v>0</v>
      </c>
      <c r="N523" s="893">
        <f t="shared" si="143"/>
        <v>0</v>
      </c>
      <c r="O523" s="905"/>
      <c r="Q523" s="317" t="str">
        <f t="shared" si="144"/>
        <v/>
      </c>
      <c r="R523" s="317" t="str">
        <f t="shared" si="145"/>
        <v/>
      </c>
      <c r="S523" s="317" t="str">
        <f t="shared" si="146"/>
        <v/>
      </c>
      <c r="V523" s="314">
        <f>SUM('RES. CENTRAL PARK:RUA_FINAL'!N523)</f>
        <v>0</v>
      </c>
      <c r="W523" s="315">
        <f t="shared" si="180"/>
        <v>0</v>
      </c>
    </row>
    <row r="524" spans="1:23" ht="15" hidden="1" customHeight="1" x14ac:dyDescent="0.2">
      <c r="A524" s="63">
        <v>507215</v>
      </c>
      <c r="B524" s="895">
        <v>507215</v>
      </c>
      <c r="C524" s="896" t="s">
        <v>184</v>
      </c>
      <c r="D524" s="906" t="s">
        <v>1939</v>
      </c>
      <c r="E524" s="907"/>
      <c r="F524" s="908"/>
      <c r="G524" s="949">
        <f t="shared" si="194"/>
        <v>0</v>
      </c>
      <c r="H524" s="901">
        <v>7.84</v>
      </c>
      <c r="I524" s="901">
        <f t="shared" si="190"/>
        <v>7.84</v>
      </c>
      <c r="J524" s="902">
        <f t="shared" si="182"/>
        <v>9.41</v>
      </c>
      <c r="K524" s="903" t="s">
        <v>16</v>
      </c>
      <c r="L524" s="910">
        <f>ROUND(SUM('RES. CENTRAL PARK:RUA_FINAL'!L524),2)</f>
        <v>0</v>
      </c>
      <c r="M524" s="911">
        <f t="shared" si="142"/>
        <v>0</v>
      </c>
      <c r="N524" s="893">
        <f t="shared" si="143"/>
        <v>0</v>
      </c>
      <c r="O524" s="905"/>
      <c r="Q524" s="317" t="str">
        <f t="shared" si="144"/>
        <v/>
      </c>
      <c r="R524" s="317" t="str">
        <f t="shared" si="145"/>
        <v/>
      </c>
      <c r="S524" s="317" t="str">
        <f t="shared" si="146"/>
        <v/>
      </c>
      <c r="V524" s="314">
        <f>SUM('RES. CENTRAL PARK:RUA_FINAL'!N524)</f>
        <v>0</v>
      </c>
      <c r="W524" s="315">
        <f t="shared" si="180"/>
        <v>0</v>
      </c>
    </row>
    <row r="525" spans="1:23" ht="15" hidden="1" customHeight="1" x14ac:dyDescent="0.2">
      <c r="A525" s="63">
        <v>507210</v>
      </c>
      <c r="B525" s="895">
        <v>507210</v>
      </c>
      <c r="C525" s="896" t="s">
        <v>184</v>
      </c>
      <c r="D525" s="906" t="s">
        <v>1940</v>
      </c>
      <c r="E525" s="907"/>
      <c r="F525" s="908"/>
      <c r="G525" s="949">
        <f t="shared" si="194"/>
        <v>0</v>
      </c>
      <c r="H525" s="901">
        <v>8.4</v>
      </c>
      <c r="I525" s="901">
        <f t="shared" si="190"/>
        <v>8.4</v>
      </c>
      <c r="J525" s="902">
        <f t="shared" si="182"/>
        <v>10.09</v>
      </c>
      <c r="K525" s="903" t="s">
        <v>16</v>
      </c>
      <c r="L525" s="910">
        <f>ROUND(SUM('RES. CENTRAL PARK:RUA_FINAL'!L525),2)</f>
        <v>0</v>
      </c>
      <c r="M525" s="911">
        <f t="shared" si="142"/>
        <v>0</v>
      </c>
      <c r="N525" s="893">
        <f t="shared" si="143"/>
        <v>0</v>
      </c>
      <c r="O525" s="905"/>
      <c r="Q525" s="317" t="str">
        <f t="shared" si="144"/>
        <v/>
      </c>
      <c r="R525" s="317" t="str">
        <f t="shared" si="145"/>
        <v/>
      </c>
      <c r="S525" s="317" t="str">
        <f t="shared" si="146"/>
        <v/>
      </c>
      <c r="V525" s="314">
        <f>SUM('RES. CENTRAL PARK:RUA_FINAL'!N525)</f>
        <v>0</v>
      </c>
      <c r="W525" s="315">
        <f t="shared" si="180"/>
        <v>0</v>
      </c>
    </row>
    <row r="526" spans="1:23" ht="15" hidden="1" customHeight="1" x14ac:dyDescent="0.2">
      <c r="A526" s="63">
        <v>507220</v>
      </c>
      <c r="B526" s="895">
        <v>507220</v>
      </c>
      <c r="C526" s="896" t="s">
        <v>184</v>
      </c>
      <c r="D526" s="906" t="s">
        <v>1941</v>
      </c>
      <c r="E526" s="907"/>
      <c r="F526" s="908"/>
      <c r="G526" s="949">
        <f t="shared" si="194"/>
        <v>0</v>
      </c>
      <c r="H526" s="901">
        <v>7.48</v>
      </c>
      <c r="I526" s="901">
        <f t="shared" si="190"/>
        <v>7.48</v>
      </c>
      <c r="J526" s="902">
        <f t="shared" si="182"/>
        <v>8.98</v>
      </c>
      <c r="K526" s="903" t="s">
        <v>16</v>
      </c>
      <c r="L526" s="910">
        <f>ROUND(SUM('RES. CENTRAL PARK:RUA_FINAL'!L526),2)</f>
        <v>0</v>
      </c>
      <c r="M526" s="911">
        <f t="shared" si="142"/>
        <v>0</v>
      </c>
      <c r="N526" s="893">
        <f t="shared" si="143"/>
        <v>0</v>
      </c>
      <c r="O526" s="905"/>
      <c r="Q526" s="317" t="str">
        <f t="shared" si="144"/>
        <v/>
      </c>
      <c r="R526" s="317" t="str">
        <f t="shared" si="145"/>
        <v/>
      </c>
      <c r="S526" s="317" t="str">
        <f t="shared" si="146"/>
        <v/>
      </c>
      <c r="V526" s="314">
        <f>SUM('RES. CENTRAL PARK:RUA_FINAL'!N526)</f>
        <v>0</v>
      </c>
      <c r="W526" s="315">
        <f t="shared" si="180"/>
        <v>0</v>
      </c>
    </row>
    <row r="527" spans="1:23" ht="15" hidden="1" customHeight="1" x14ac:dyDescent="0.2">
      <c r="A527" s="63">
        <v>507225</v>
      </c>
      <c r="B527" s="895">
        <v>507225</v>
      </c>
      <c r="C527" s="896" t="s">
        <v>184</v>
      </c>
      <c r="D527" s="906" t="s">
        <v>1942</v>
      </c>
      <c r="E527" s="907"/>
      <c r="F527" s="908"/>
      <c r="G527" s="949">
        <f t="shared" si="194"/>
        <v>0</v>
      </c>
      <c r="H527" s="901">
        <v>7.48</v>
      </c>
      <c r="I527" s="901">
        <f t="shared" si="190"/>
        <v>7.48</v>
      </c>
      <c r="J527" s="902">
        <f t="shared" si="182"/>
        <v>8.98</v>
      </c>
      <c r="K527" s="903" t="s">
        <v>16</v>
      </c>
      <c r="L527" s="910">
        <f>ROUND(SUM('RES. CENTRAL PARK:RUA_FINAL'!L527),2)</f>
        <v>0</v>
      </c>
      <c r="M527" s="911">
        <f t="shared" si="142"/>
        <v>0</v>
      </c>
      <c r="N527" s="893">
        <f t="shared" si="143"/>
        <v>0</v>
      </c>
      <c r="O527" s="905"/>
      <c r="Q527" s="317" t="str">
        <f t="shared" si="144"/>
        <v/>
      </c>
      <c r="R527" s="317" t="str">
        <f t="shared" si="145"/>
        <v/>
      </c>
      <c r="S527" s="317" t="str">
        <f t="shared" si="146"/>
        <v/>
      </c>
      <c r="V527" s="314">
        <f>SUM('RES. CENTRAL PARK:RUA_FINAL'!N527)</f>
        <v>0</v>
      </c>
      <c r="W527" s="315">
        <f t="shared" si="180"/>
        <v>0</v>
      </c>
    </row>
    <row r="528" spans="1:23" ht="15" hidden="1" customHeight="1" x14ac:dyDescent="0.2">
      <c r="A528" s="63">
        <v>507232</v>
      </c>
      <c r="B528" s="895">
        <v>507232</v>
      </c>
      <c r="C528" s="896" t="s">
        <v>184</v>
      </c>
      <c r="D528" s="906" t="s">
        <v>1943</v>
      </c>
      <c r="E528" s="907"/>
      <c r="F528" s="908"/>
      <c r="G528" s="949">
        <f t="shared" si="194"/>
        <v>0</v>
      </c>
      <c r="H528" s="901">
        <v>8.3000000000000007</v>
      </c>
      <c r="I528" s="901">
        <f t="shared" si="190"/>
        <v>8.3000000000000007</v>
      </c>
      <c r="J528" s="902">
        <f t="shared" si="182"/>
        <v>9.9700000000000006</v>
      </c>
      <c r="K528" s="903" t="s">
        <v>16</v>
      </c>
      <c r="L528" s="910">
        <f>ROUND(SUM('RES. CENTRAL PARK:RUA_FINAL'!L528),2)</f>
        <v>0</v>
      </c>
      <c r="M528" s="911">
        <f t="shared" ref="M528:M591" si="195">IF(L528=0,0,ROUND(J528,2))</f>
        <v>0</v>
      </c>
      <c r="N528" s="893">
        <f t="shared" ref="N528:N591" si="196">IF(ISBLANK(L528),0,ROUND(L528*M528,2))</f>
        <v>0</v>
      </c>
      <c r="O528" s="905"/>
      <c r="Q528" s="317" t="str">
        <f t="shared" ref="Q528:Q591" si="197">IF(P528="X","x",IF(P528="xx","x",IF(P528="xy","x",IF(P528="y","x",IF(OR(N528&gt;0,N528&gt;0),"x","")))))</f>
        <v/>
      </c>
      <c r="R528" s="317" t="str">
        <f t="shared" ref="R528:R591" si="198">IF(P528="X","x",IF(P528="y","x",IF(P528="xx","x",IF(N528&gt;0,"x",""))))</f>
        <v/>
      </c>
      <c r="S528" s="317" t="str">
        <f t="shared" ref="S528:S591" si="199">IF(P528="X","x",IF(N528&gt;0,"x",""))</f>
        <v/>
      </c>
      <c r="V528" s="314">
        <f>SUM('RES. CENTRAL PARK:RUA_FINAL'!N528)</f>
        <v>0</v>
      </c>
      <c r="W528" s="315">
        <f t="shared" si="180"/>
        <v>0</v>
      </c>
    </row>
    <row r="529" spans="1:23" ht="15" hidden="1" customHeight="1" x14ac:dyDescent="0.2">
      <c r="A529" s="63">
        <v>504920</v>
      </c>
      <c r="B529" s="895">
        <v>504920</v>
      </c>
      <c r="C529" s="896" t="s">
        <v>184</v>
      </c>
      <c r="D529" s="906" t="s">
        <v>1944</v>
      </c>
      <c r="E529" s="927">
        <v>20</v>
      </c>
      <c r="F529" s="908">
        <v>1.1000000000000001E-3</v>
      </c>
      <c r="G529" s="909">
        <f>IF(E529&lt;=30,(0.78*E529+7.82)*F529,((0.78*30+7.82)+0.78*(E529-30))*F529)</f>
        <v>2.5762000000000004E-2</v>
      </c>
      <c r="H529" s="901">
        <v>11.4</v>
      </c>
      <c r="I529" s="901">
        <f t="shared" si="190"/>
        <v>11.425762000000001</v>
      </c>
      <c r="J529" s="902">
        <f t="shared" si="182"/>
        <v>13.72</v>
      </c>
      <c r="K529" s="903" t="s">
        <v>16</v>
      </c>
      <c r="L529" s="910">
        <f>ROUND(SUM('RES. CENTRAL PARK:RUA_FINAL'!L529),2)</f>
        <v>0</v>
      </c>
      <c r="M529" s="911">
        <f t="shared" si="195"/>
        <v>0</v>
      </c>
      <c r="N529" s="893">
        <f t="shared" si="196"/>
        <v>0</v>
      </c>
      <c r="O529" s="905"/>
      <c r="Q529" s="317" t="str">
        <f t="shared" si="197"/>
        <v/>
      </c>
      <c r="R529" s="317" t="str">
        <f t="shared" si="198"/>
        <v/>
      </c>
      <c r="S529" s="317" t="str">
        <f t="shared" si="199"/>
        <v/>
      </c>
      <c r="V529" s="314">
        <f>SUM('RES. CENTRAL PARK:RUA_FINAL'!N529)</f>
        <v>0</v>
      </c>
      <c r="W529" s="315">
        <f t="shared" si="180"/>
        <v>0</v>
      </c>
    </row>
    <row r="530" spans="1:23" ht="15" hidden="1" customHeight="1" x14ac:dyDescent="0.2">
      <c r="A530" s="63">
        <v>502660</v>
      </c>
      <c r="B530" s="895">
        <v>502660</v>
      </c>
      <c r="C530" s="896" t="s">
        <v>184</v>
      </c>
      <c r="D530" s="906" t="s">
        <v>1945</v>
      </c>
      <c r="E530" s="907"/>
      <c r="F530" s="908"/>
      <c r="G530" s="949">
        <f t="shared" ref="G530:G532" si="200">IF(E530&lt;=30,(1.07*E530+2.68)*F530,((1.07*30+2.68)+1.07*(E530-30))*F530)</f>
        <v>0</v>
      </c>
      <c r="H530" s="901">
        <v>15.77</v>
      </c>
      <c r="I530" s="901">
        <f t="shared" si="190"/>
        <v>15.77</v>
      </c>
      <c r="J530" s="902">
        <f t="shared" si="182"/>
        <v>18.940000000000001</v>
      </c>
      <c r="K530" s="903" t="s">
        <v>13</v>
      </c>
      <c r="L530" s="910">
        <f>ROUND(SUM('RES. CENTRAL PARK:RUA_FINAL'!L530),2)</f>
        <v>0</v>
      </c>
      <c r="M530" s="911">
        <f t="shared" si="195"/>
        <v>0</v>
      </c>
      <c r="N530" s="893">
        <f t="shared" si="196"/>
        <v>0</v>
      </c>
      <c r="O530" s="905"/>
      <c r="Q530" s="317" t="str">
        <f t="shared" si="197"/>
        <v/>
      </c>
      <c r="R530" s="317" t="str">
        <f t="shared" si="198"/>
        <v/>
      </c>
      <c r="S530" s="317" t="str">
        <f t="shared" si="199"/>
        <v/>
      </c>
      <c r="V530" s="314">
        <f>SUM('RES. CENTRAL PARK:RUA_FINAL'!N530)</f>
        <v>0</v>
      </c>
      <c r="W530" s="315">
        <f t="shared" si="180"/>
        <v>0</v>
      </c>
    </row>
    <row r="531" spans="1:23" ht="15" hidden="1" customHeight="1" x14ac:dyDescent="0.2">
      <c r="A531" s="63">
        <v>502680</v>
      </c>
      <c r="B531" s="895">
        <v>502680</v>
      </c>
      <c r="C531" s="896" t="s">
        <v>184</v>
      </c>
      <c r="D531" s="906" t="s">
        <v>1946</v>
      </c>
      <c r="E531" s="907"/>
      <c r="F531" s="908"/>
      <c r="G531" s="949">
        <f t="shared" si="200"/>
        <v>0</v>
      </c>
      <c r="H531" s="901">
        <v>14.93</v>
      </c>
      <c r="I531" s="901">
        <f t="shared" si="190"/>
        <v>14.93</v>
      </c>
      <c r="J531" s="902">
        <f t="shared" si="182"/>
        <v>17.93</v>
      </c>
      <c r="K531" s="903" t="s">
        <v>13</v>
      </c>
      <c r="L531" s="910">
        <f>ROUND(SUM('RES. CENTRAL PARK:RUA_FINAL'!L531),2)</f>
        <v>0</v>
      </c>
      <c r="M531" s="911">
        <f t="shared" si="195"/>
        <v>0</v>
      </c>
      <c r="N531" s="893">
        <f t="shared" si="196"/>
        <v>0</v>
      </c>
      <c r="O531" s="905"/>
      <c r="Q531" s="317" t="str">
        <f t="shared" si="197"/>
        <v/>
      </c>
      <c r="R531" s="317" t="str">
        <f t="shared" si="198"/>
        <v/>
      </c>
      <c r="S531" s="317" t="str">
        <f t="shared" si="199"/>
        <v/>
      </c>
      <c r="V531" s="314">
        <f>SUM('RES. CENTRAL PARK:RUA_FINAL'!N531)</f>
        <v>0</v>
      </c>
      <c r="W531" s="315">
        <f t="shared" si="180"/>
        <v>0</v>
      </c>
    </row>
    <row r="532" spans="1:23" ht="15" hidden="1" customHeight="1" x14ac:dyDescent="0.2">
      <c r="A532" s="63">
        <v>502670</v>
      </c>
      <c r="B532" s="895">
        <v>502670</v>
      </c>
      <c r="C532" s="896" t="s">
        <v>184</v>
      </c>
      <c r="D532" s="906" t="s">
        <v>1947</v>
      </c>
      <c r="E532" s="907"/>
      <c r="F532" s="908"/>
      <c r="G532" s="912">
        <f t="shared" si="200"/>
        <v>0</v>
      </c>
      <c r="H532" s="901">
        <v>19.57</v>
      </c>
      <c r="I532" s="901">
        <f t="shared" si="190"/>
        <v>19.57</v>
      </c>
      <c r="J532" s="902">
        <f t="shared" si="182"/>
        <v>23.5</v>
      </c>
      <c r="K532" s="903" t="s">
        <v>13</v>
      </c>
      <c r="L532" s="910">
        <f>ROUND(SUM('RES. CENTRAL PARK:RUA_FINAL'!L532),2)</f>
        <v>0</v>
      </c>
      <c r="M532" s="911">
        <f t="shared" si="195"/>
        <v>0</v>
      </c>
      <c r="N532" s="893">
        <f t="shared" si="196"/>
        <v>0</v>
      </c>
      <c r="O532" s="905"/>
      <c r="Q532" s="317" t="str">
        <f t="shared" si="197"/>
        <v/>
      </c>
      <c r="R532" s="317" t="str">
        <f t="shared" si="198"/>
        <v/>
      </c>
      <c r="S532" s="317" t="str">
        <f t="shared" si="199"/>
        <v/>
      </c>
      <c r="V532" s="314">
        <f>SUM('RES. CENTRAL PARK:RUA_FINAL'!N532)</f>
        <v>0</v>
      </c>
      <c r="W532" s="315">
        <f t="shared" si="180"/>
        <v>0</v>
      </c>
    </row>
    <row r="533" spans="1:23" ht="15" hidden="1" customHeight="1" x14ac:dyDescent="0.2">
      <c r="A533" s="63">
        <v>502645</v>
      </c>
      <c r="B533" s="895">
        <v>502645</v>
      </c>
      <c r="C533" s="896" t="s">
        <v>184</v>
      </c>
      <c r="D533" s="906" t="s">
        <v>1948</v>
      </c>
      <c r="E533" s="907"/>
      <c r="F533" s="908"/>
      <c r="G533" s="949">
        <f>SUM(G534:G537)</f>
        <v>278.28509400000002</v>
      </c>
      <c r="H533" s="901">
        <v>322.94</v>
      </c>
      <c r="I533" s="901">
        <f t="shared" si="190"/>
        <v>601.22509400000001</v>
      </c>
      <c r="J533" s="902">
        <f t="shared" si="182"/>
        <v>721.89</v>
      </c>
      <c r="K533" s="903" t="s">
        <v>10</v>
      </c>
      <c r="L533" s="910">
        <f>ROUND(SUM('RES. CENTRAL PARK:RUA_FINAL'!L533),2)</f>
        <v>0</v>
      </c>
      <c r="M533" s="911">
        <f t="shared" si="195"/>
        <v>0</v>
      </c>
      <c r="N533" s="893">
        <f t="shared" si="196"/>
        <v>0</v>
      </c>
      <c r="O533" s="905"/>
      <c r="Q533" s="317" t="str">
        <f t="shared" si="197"/>
        <v/>
      </c>
      <c r="R533" s="317" t="str">
        <f t="shared" si="198"/>
        <v/>
      </c>
      <c r="S533" s="317" t="str">
        <f t="shared" si="199"/>
        <v/>
      </c>
      <c r="V533" s="314">
        <f>SUM('RES. CENTRAL PARK:RUA_FINAL'!N533)</f>
        <v>0</v>
      </c>
      <c r="W533" s="315">
        <f t="shared" ref="W533:W596" si="201">N533-V533</f>
        <v>0</v>
      </c>
    </row>
    <row r="534" spans="1:23" ht="15" hidden="1" customHeight="1" x14ac:dyDescent="0.2">
      <c r="A534" s="63" t="s">
        <v>147</v>
      </c>
      <c r="B534" s="895" t="s">
        <v>147</v>
      </c>
      <c r="C534" s="896"/>
      <c r="D534" s="957" t="s">
        <v>190</v>
      </c>
      <c r="E534" s="907">
        <f>DMT!$D$51</f>
        <v>308</v>
      </c>
      <c r="F534" s="908">
        <v>0.38</v>
      </c>
      <c r="G534" s="909">
        <f>IF(E534&lt;=30,(0.78*E534+7.82)*F534,((0.78*30+7.82)+0.78*(E534-30))*F534)</f>
        <v>94.262799999999999</v>
      </c>
      <c r="H534" s="901">
        <v>0</v>
      </c>
      <c r="I534" s="901"/>
      <c r="J534" s="902">
        <v>0</v>
      </c>
      <c r="K534" s="958"/>
      <c r="L534" s="959">
        <f>ROUND(SUM('RES. CENTRAL PARK:RUA_FINAL'!L534),2)</f>
        <v>0</v>
      </c>
      <c r="M534" s="960">
        <f t="shared" si="195"/>
        <v>0</v>
      </c>
      <c r="N534" s="893">
        <f t="shared" si="196"/>
        <v>0</v>
      </c>
      <c r="O534" s="905"/>
      <c r="P534" s="58" t="str">
        <f>IF(N533&gt;0,"xx",IF(N533&gt;0,"xy",""))</f>
        <v/>
      </c>
      <c r="Q534" s="317" t="str">
        <f t="shared" si="197"/>
        <v/>
      </c>
      <c r="R534" s="317" t="str">
        <f t="shared" si="198"/>
        <v/>
      </c>
      <c r="S534" s="317" t="str">
        <f t="shared" si="199"/>
        <v/>
      </c>
      <c r="V534" s="314">
        <f>SUM('RES. CENTRAL PARK:RUA_FINAL'!N534)</f>
        <v>0</v>
      </c>
      <c r="W534" s="315">
        <f t="shared" si="201"/>
        <v>0</v>
      </c>
    </row>
    <row r="535" spans="1:23" ht="15" hidden="1" customHeight="1" x14ac:dyDescent="0.2">
      <c r="A535" s="63" t="s">
        <v>147</v>
      </c>
      <c r="B535" s="895" t="s">
        <v>147</v>
      </c>
      <c r="C535" s="896"/>
      <c r="D535" s="957" t="s">
        <v>229</v>
      </c>
      <c r="E535" s="907">
        <f>DMT!$F$48</f>
        <v>165</v>
      </c>
      <c r="F535" s="908">
        <v>0.70050000000000001</v>
      </c>
      <c r="G535" s="949">
        <f t="shared" ref="G535:G537" si="202">IF(E535&lt;=30,(1.07*E535+2.68)*F535,((1.07*30+2.68)+1.07*(E535-30))*F535)</f>
        <v>125.55061500000002</v>
      </c>
      <c r="H535" s="901">
        <v>0</v>
      </c>
      <c r="I535" s="901"/>
      <c r="J535" s="902">
        <v>0</v>
      </c>
      <c r="K535" s="958" t="s">
        <v>507</v>
      </c>
      <c r="L535" s="959">
        <f>ROUND(SUM('RES. CENTRAL PARK:RUA_FINAL'!L535),2)</f>
        <v>0</v>
      </c>
      <c r="M535" s="960">
        <f t="shared" si="195"/>
        <v>0</v>
      </c>
      <c r="N535" s="893">
        <f t="shared" si="196"/>
        <v>0</v>
      </c>
      <c r="O535" s="905"/>
      <c r="P535" s="58" t="str">
        <f>IF(N533&gt;0,"xx",IF(N533&gt;0,"xy",""))</f>
        <v/>
      </c>
      <c r="Q535" s="317" t="str">
        <f t="shared" si="197"/>
        <v/>
      </c>
      <c r="R535" s="317" t="str">
        <f t="shared" si="198"/>
        <v/>
      </c>
      <c r="S535" s="317" t="str">
        <f t="shared" si="199"/>
        <v/>
      </c>
      <c r="V535" s="314">
        <f>SUM('RES. CENTRAL PARK:RUA_FINAL'!N535)</f>
        <v>0</v>
      </c>
      <c r="W535" s="315">
        <f t="shared" si="201"/>
        <v>0</v>
      </c>
    </row>
    <row r="536" spans="1:23" ht="15" hidden="1" customHeight="1" x14ac:dyDescent="0.2">
      <c r="A536" s="63" t="s">
        <v>147</v>
      </c>
      <c r="B536" s="895" t="s">
        <v>147</v>
      </c>
      <c r="C536" s="896"/>
      <c r="D536" s="957" t="s">
        <v>233</v>
      </c>
      <c r="E536" s="907">
        <f>DMT!$F$49</f>
        <v>0.2</v>
      </c>
      <c r="F536" s="908">
        <v>1.1160000000000001</v>
      </c>
      <c r="G536" s="949">
        <f t="shared" si="202"/>
        <v>3.2297040000000004</v>
      </c>
      <c r="H536" s="901">
        <v>0</v>
      </c>
      <c r="I536" s="901"/>
      <c r="J536" s="902">
        <v>0</v>
      </c>
      <c r="K536" s="958" t="s">
        <v>507</v>
      </c>
      <c r="L536" s="959">
        <f>ROUND(SUM('RES. CENTRAL PARK:RUA_FINAL'!L536),2)</f>
        <v>0</v>
      </c>
      <c r="M536" s="960">
        <f t="shared" si="195"/>
        <v>0</v>
      </c>
      <c r="N536" s="893">
        <f t="shared" si="196"/>
        <v>0</v>
      </c>
      <c r="O536" s="905"/>
      <c r="P536" s="58" t="str">
        <f>IF(N533&gt;0,"xx",IF(N533&gt;0,"xy",""))</f>
        <v/>
      </c>
      <c r="Q536" s="317" t="str">
        <f t="shared" si="197"/>
        <v/>
      </c>
      <c r="R536" s="317" t="str">
        <f t="shared" si="198"/>
        <v/>
      </c>
      <c r="S536" s="317" t="str">
        <f t="shared" si="199"/>
        <v/>
      </c>
      <c r="V536" s="314">
        <f>SUM('RES. CENTRAL PARK:RUA_FINAL'!N536)</f>
        <v>0</v>
      </c>
      <c r="W536" s="315">
        <f t="shared" si="201"/>
        <v>0</v>
      </c>
    </row>
    <row r="537" spans="1:23" ht="15" hidden="1" customHeight="1" x14ac:dyDescent="0.2">
      <c r="A537" s="63" t="s">
        <v>147</v>
      </c>
      <c r="B537" s="895" t="s">
        <v>147</v>
      </c>
      <c r="C537" s="896"/>
      <c r="D537" s="957" t="s">
        <v>244</v>
      </c>
      <c r="E537" s="907">
        <f>DMT!$F$22</f>
        <v>21</v>
      </c>
      <c r="F537" s="908">
        <f>SUM(F533:F536)</f>
        <v>2.1965000000000003</v>
      </c>
      <c r="G537" s="912">
        <f t="shared" si="202"/>
        <v>55.241975000000011</v>
      </c>
      <c r="H537" s="901">
        <v>0</v>
      </c>
      <c r="I537" s="901"/>
      <c r="J537" s="902">
        <v>0</v>
      </c>
      <c r="K537" s="903" t="s">
        <v>507</v>
      </c>
      <c r="L537" s="1003">
        <f>ROUND(SUM('RES. CENTRAL PARK:RUA_FINAL'!L537),2)</f>
        <v>0</v>
      </c>
      <c r="M537" s="960">
        <f t="shared" si="195"/>
        <v>0</v>
      </c>
      <c r="N537" s="893">
        <f t="shared" si="196"/>
        <v>0</v>
      </c>
      <c r="O537" s="905"/>
      <c r="P537" s="58" t="str">
        <f>IF(N533&gt;0,"xx",IF(N533&gt;0,"xy",""))</f>
        <v/>
      </c>
      <c r="Q537" s="317" t="str">
        <f t="shared" si="197"/>
        <v/>
      </c>
      <c r="R537" s="317" t="str">
        <f t="shared" si="198"/>
        <v/>
      </c>
      <c r="S537" s="317" t="str">
        <f t="shared" si="199"/>
        <v/>
      </c>
      <c r="V537" s="314">
        <f>SUM('RES. CENTRAL PARK:RUA_FINAL'!N537)</f>
        <v>0</v>
      </c>
      <c r="W537" s="315">
        <f t="shared" si="201"/>
        <v>0</v>
      </c>
    </row>
    <row r="538" spans="1:23" ht="15" hidden="1" customHeight="1" x14ac:dyDescent="0.2">
      <c r="A538" s="63">
        <v>502646</v>
      </c>
      <c r="B538" s="895">
        <v>502646</v>
      </c>
      <c r="C538" s="896" t="s">
        <v>184</v>
      </c>
      <c r="D538" s="906" t="s">
        <v>1949</v>
      </c>
      <c r="E538" s="907"/>
      <c r="F538" s="908"/>
      <c r="G538" s="949">
        <f>SUM(G539:G542)</f>
        <v>278.28509400000002</v>
      </c>
      <c r="H538" s="901">
        <v>378.42</v>
      </c>
      <c r="I538" s="901">
        <f t="shared" si="190"/>
        <v>656.70509400000003</v>
      </c>
      <c r="J538" s="902">
        <f t="shared" si="182"/>
        <v>788.51</v>
      </c>
      <c r="K538" s="903" t="s">
        <v>10</v>
      </c>
      <c r="L538" s="910">
        <f>ROUND(SUM('RES. CENTRAL PARK:RUA_FINAL'!L538),2)</f>
        <v>0</v>
      </c>
      <c r="M538" s="911">
        <f t="shared" si="195"/>
        <v>0</v>
      </c>
      <c r="N538" s="893">
        <f t="shared" si="196"/>
        <v>0</v>
      </c>
      <c r="O538" s="905"/>
      <c r="Q538" s="317" t="str">
        <f t="shared" si="197"/>
        <v/>
      </c>
      <c r="R538" s="317" t="str">
        <f t="shared" si="198"/>
        <v/>
      </c>
      <c r="S538" s="317" t="str">
        <f t="shared" si="199"/>
        <v/>
      </c>
      <c r="V538" s="314">
        <f>SUM('RES. CENTRAL PARK:RUA_FINAL'!N538)</f>
        <v>0</v>
      </c>
      <c r="W538" s="315">
        <f t="shared" si="201"/>
        <v>0</v>
      </c>
    </row>
    <row r="539" spans="1:23" ht="15" hidden="1" customHeight="1" x14ac:dyDescent="0.2">
      <c r="A539" s="63" t="s">
        <v>147</v>
      </c>
      <c r="B539" s="895" t="s">
        <v>147</v>
      </c>
      <c r="C539" s="896"/>
      <c r="D539" s="957" t="s">
        <v>190</v>
      </c>
      <c r="E539" s="907">
        <f>DMT!$D$51</f>
        <v>308</v>
      </c>
      <c r="F539" s="908">
        <v>0.38</v>
      </c>
      <c r="G539" s="909">
        <f>IF(E539&lt;=30,(0.78*E539+7.82)*F539,((0.78*30+7.82)+0.78*(E539-30))*F539)</f>
        <v>94.262799999999999</v>
      </c>
      <c r="H539" s="901">
        <v>0</v>
      </c>
      <c r="I539" s="901"/>
      <c r="J539" s="902">
        <v>0</v>
      </c>
      <c r="K539" s="958" t="s">
        <v>507</v>
      </c>
      <c r="L539" s="959">
        <f>ROUND(SUM('RES. CENTRAL PARK:RUA_FINAL'!L539),2)</f>
        <v>0</v>
      </c>
      <c r="M539" s="960">
        <f t="shared" si="195"/>
        <v>0</v>
      </c>
      <c r="N539" s="893">
        <f t="shared" si="196"/>
        <v>0</v>
      </c>
      <c r="O539" s="905"/>
      <c r="P539" s="58" t="str">
        <f>IF(N538&gt;0,"xx",IF(N538&gt;0,"xy",""))</f>
        <v/>
      </c>
      <c r="Q539" s="317" t="str">
        <f t="shared" si="197"/>
        <v/>
      </c>
      <c r="R539" s="317" t="str">
        <f t="shared" si="198"/>
        <v/>
      </c>
      <c r="S539" s="317" t="str">
        <f t="shared" si="199"/>
        <v/>
      </c>
      <c r="V539" s="314">
        <f>SUM('RES. CENTRAL PARK:RUA_FINAL'!N539)</f>
        <v>0</v>
      </c>
      <c r="W539" s="315">
        <f t="shared" si="201"/>
        <v>0</v>
      </c>
    </row>
    <row r="540" spans="1:23" ht="15" hidden="1" customHeight="1" x14ac:dyDescent="0.2">
      <c r="A540" s="63" t="s">
        <v>147</v>
      </c>
      <c r="B540" s="895" t="s">
        <v>147</v>
      </c>
      <c r="C540" s="896"/>
      <c r="D540" s="957" t="s">
        <v>229</v>
      </c>
      <c r="E540" s="907">
        <f>DMT!$F$48</f>
        <v>165</v>
      </c>
      <c r="F540" s="908">
        <v>0.70050000000000001</v>
      </c>
      <c r="G540" s="949">
        <f t="shared" ref="G540:G551" si="203">IF(E540&lt;=30,(1.07*E540+2.68)*F540,((1.07*30+2.68)+1.07*(E540-30))*F540)</f>
        <v>125.55061500000002</v>
      </c>
      <c r="H540" s="901">
        <v>0</v>
      </c>
      <c r="I540" s="901"/>
      <c r="J540" s="902">
        <v>0</v>
      </c>
      <c r="K540" s="958" t="s">
        <v>507</v>
      </c>
      <c r="L540" s="959">
        <f>ROUND(SUM('RES. CENTRAL PARK:RUA_FINAL'!L540),2)</f>
        <v>0</v>
      </c>
      <c r="M540" s="960">
        <f t="shared" si="195"/>
        <v>0</v>
      </c>
      <c r="N540" s="893">
        <f t="shared" si="196"/>
        <v>0</v>
      </c>
      <c r="O540" s="905"/>
      <c r="P540" s="58" t="str">
        <f>IF(N538&gt;0,"xx",IF(N538&gt;0,"xy",""))</f>
        <v/>
      </c>
      <c r="Q540" s="317" t="str">
        <f t="shared" si="197"/>
        <v/>
      </c>
      <c r="R540" s="317" t="str">
        <f t="shared" si="198"/>
        <v/>
      </c>
      <c r="S540" s="317" t="str">
        <f t="shared" si="199"/>
        <v/>
      </c>
      <c r="V540" s="314">
        <f>SUM('RES. CENTRAL PARK:RUA_FINAL'!N540)</f>
        <v>0</v>
      </c>
      <c r="W540" s="315">
        <f t="shared" si="201"/>
        <v>0</v>
      </c>
    </row>
    <row r="541" spans="1:23" ht="15" hidden="1" customHeight="1" x14ac:dyDescent="0.2">
      <c r="A541" s="63" t="s">
        <v>147</v>
      </c>
      <c r="B541" s="895" t="s">
        <v>147</v>
      </c>
      <c r="C541" s="896"/>
      <c r="D541" s="957" t="s">
        <v>233</v>
      </c>
      <c r="E541" s="907">
        <f>DMT!$F$49</f>
        <v>0.2</v>
      </c>
      <c r="F541" s="908">
        <v>1.1160000000000001</v>
      </c>
      <c r="G541" s="949">
        <f t="shared" si="203"/>
        <v>3.2297040000000004</v>
      </c>
      <c r="H541" s="901">
        <v>0</v>
      </c>
      <c r="I541" s="901"/>
      <c r="J541" s="902">
        <v>0</v>
      </c>
      <c r="K541" s="903" t="s">
        <v>507</v>
      </c>
      <c r="L541" s="1003">
        <f>ROUND(SUM('RES. CENTRAL PARK:RUA_FINAL'!L541),2)</f>
        <v>0</v>
      </c>
      <c r="M541" s="960">
        <f t="shared" si="195"/>
        <v>0</v>
      </c>
      <c r="N541" s="893">
        <f t="shared" si="196"/>
        <v>0</v>
      </c>
      <c r="O541" s="905"/>
      <c r="P541" s="58" t="str">
        <f>IF(N537&gt;0,"xx",IF(N537&gt;0,"xy",""))</f>
        <v/>
      </c>
      <c r="Q541" s="317" t="str">
        <f t="shared" si="197"/>
        <v/>
      </c>
      <c r="R541" s="317" t="str">
        <f t="shared" si="198"/>
        <v/>
      </c>
      <c r="S541" s="317" t="str">
        <f t="shared" si="199"/>
        <v/>
      </c>
      <c r="V541" s="314">
        <f>SUM('RES. CENTRAL PARK:RUA_FINAL'!N541)</f>
        <v>0</v>
      </c>
      <c r="W541" s="315">
        <f t="shared" si="201"/>
        <v>0</v>
      </c>
    </row>
    <row r="542" spans="1:23" ht="15" hidden="1" customHeight="1" thickBot="1" x14ac:dyDescent="0.25">
      <c r="A542" s="63" t="s">
        <v>147</v>
      </c>
      <c r="B542" s="1004" t="s">
        <v>147</v>
      </c>
      <c r="C542" s="984"/>
      <c r="D542" s="1012" t="s">
        <v>244</v>
      </c>
      <c r="E542" s="1027">
        <f>DMT!$F$22</f>
        <v>21</v>
      </c>
      <c r="F542" s="1006">
        <f>SUM(F538:F541)</f>
        <v>2.1965000000000003</v>
      </c>
      <c r="G542" s="1028">
        <f t="shared" si="203"/>
        <v>55.241975000000011</v>
      </c>
      <c r="H542" s="988">
        <v>0</v>
      </c>
      <c r="I542" s="988"/>
      <c r="J542" s="989">
        <v>0</v>
      </c>
      <c r="K542" s="1029" t="s">
        <v>507</v>
      </c>
      <c r="L542" s="1030">
        <f>ROUND(SUM('RES. CENTRAL PARK:RUA_FINAL'!L542),2)</f>
        <v>0</v>
      </c>
      <c r="M542" s="1013">
        <f t="shared" si="195"/>
        <v>0</v>
      </c>
      <c r="N542" s="993">
        <f t="shared" si="196"/>
        <v>0</v>
      </c>
      <c r="O542" s="905"/>
      <c r="P542" s="58" t="str">
        <f>IF(N538&gt;0,"xx",IF(N538&gt;0,"xy",""))</f>
        <v/>
      </c>
      <c r="Q542" s="317" t="str">
        <f t="shared" si="197"/>
        <v/>
      </c>
      <c r="R542" s="317" t="str">
        <f t="shared" si="198"/>
        <v/>
      </c>
      <c r="S542" s="317" t="str">
        <f t="shared" si="199"/>
        <v/>
      </c>
      <c r="V542" s="314">
        <f>SUM('RES. CENTRAL PARK:RUA_FINAL'!N542)</f>
        <v>0</v>
      </c>
      <c r="W542" s="315">
        <f t="shared" si="201"/>
        <v>0</v>
      </c>
    </row>
    <row r="543" spans="1:23" ht="45.75" hidden="1" thickBot="1" x14ac:dyDescent="0.25">
      <c r="A543" s="63">
        <v>97104</v>
      </c>
      <c r="B543" s="883">
        <v>97104</v>
      </c>
      <c r="C543" s="884" t="s">
        <v>596</v>
      </c>
      <c r="D543" s="946" t="s">
        <v>1929</v>
      </c>
      <c r="E543" s="1031">
        <f>DMT!$F$22</f>
        <v>21</v>
      </c>
      <c r="F543" s="947">
        <f>2.4*0.15</f>
        <v>0.36</v>
      </c>
      <c r="G543" s="949">
        <f t="shared" si="203"/>
        <v>9.0540000000000003</v>
      </c>
      <c r="H543" s="889">
        <v>121.45</v>
      </c>
      <c r="I543" s="889">
        <f t="shared" ref="I543:I560" si="204">IF(ISBLANK(H543),"",SUM(G543:H543))</f>
        <v>130.50399999999999</v>
      </c>
      <c r="J543" s="890">
        <f t="shared" si="182"/>
        <v>156.69999999999999</v>
      </c>
      <c r="K543" s="891" t="s">
        <v>12</v>
      </c>
      <c r="L543" s="1032">
        <f>ROUND(SUM('RES. CENTRAL PARK:RUA_FINAL'!L543),2)</f>
        <v>0</v>
      </c>
      <c r="M543" s="904">
        <f t="shared" si="195"/>
        <v>0</v>
      </c>
      <c r="N543" s="932">
        <f t="shared" si="196"/>
        <v>0</v>
      </c>
      <c r="O543" s="905"/>
      <c r="Q543" s="317" t="str">
        <f t="shared" si="197"/>
        <v/>
      </c>
      <c r="R543" s="317" t="str">
        <f t="shared" si="198"/>
        <v/>
      </c>
      <c r="S543" s="317" t="str">
        <f t="shared" si="199"/>
        <v/>
      </c>
      <c r="V543" s="314">
        <f>SUM('RES. CENTRAL PARK:RUA_FINAL'!N543)</f>
        <v>0</v>
      </c>
      <c r="W543" s="315">
        <f t="shared" si="201"/>
        <v>0</v>
      </c>
    </row>
    <row r="544" spans="1:23" ht="45.75" hidden="1" thickBot="1" x14ac:dyDescent="0.25">
      <c r="A544" s="63">
        <v>97105</v>
      </c>
      <c r="B544" s="895">
        <v>97105</v>
      </c>
      <c r="C544" s="896" t="s">
        <v>596</v>
      </c>
      <c r="D544" s="906" t="s">
        <v>1923</v>
      </c>
      <c r="E544" s="907">
        <f>DMT!$F$22</f>
        <v>21</v>
      </c>
      <c r="F544" s="908">
        <f>2.4*0.175</f>
        <v>0.42</v>
      </c>
      <c r="G544" s="949">
        <f t="shared" si="203"/>
        <v>10.563000000000001</v>
      </c>
      <c r="H544" s="901">
        <v>136.68</v>
      </c>
      <c r="I544" s="901">
        <f t="shared" si="204"/>
        <v>147.24299999999999</v>
      </c>
      <c r="J544" s="902">
        <f t="shared" si="182"/>
        <v>176.79</v>
      </c>
      <c r="K544" s="903" t="s">
        <v>12</v>
      </c>
      <c r="L544" s="910">
        <f>ROUND(SUM('RES. CENTRAL PARK:RUA_FINAL'!L544),2)</f>
        <v>0</v>
      </c>
      <c r="M544" s="911">
        <f t="shared" si="195"/>
        <v>0</v>
      </c>
      <c r="N544" s="893">
        <f t="shared" si="196"/>
        <v>0</v>
      </c>
      <c r="O544" s="905"/>
      <c r="Q544" s="317" t="str">
        <f t="shared" si="197"/>
        <v/>
      </c>
      <c r="R544" s="317" t="str">
        <f t="shared" si="198"/>
        <v/>
      </c>
      <c r="S544" s="317" t="str">
        <f t="shared" si="199"/>
        <v/>
      </c>
      <c r="V544" s="314">
        <f>SUM('RES. CENTRAL PARK:RUA_FINAL'!N544)</f>
        <v>0</v>
      </c>
      <c r="W544" s="315">
        <f t="shared" si="201"/>
        <v>0</v>
      </c>
    </row>
    <row r="545" spans="1:23" ht="45.75" hidden="1" thickBot="1" x14ac:dyDescent="0.25">
      <c r="A545" s="63">
        <v>97106</v>
      </c>
      <c r="B545" s="895">
        <v>97106</v>
      </c>
      <c r="C545" s="896" t="s">
        <v>596</v>
      </c>
      <c r="D545" s="906" t="s">
        <v>1924</v>
      </c>
      <c r="E545" s="907">
        <f>DMT!$F$22</f>
        <v>21</v>
      </c>
      <c r="F545" s="908">
        <f>2.4*0.2</f>
        <v>0.48</v>
      </c>
      <c r="G545" s="949">
        <f t="shared" si="203"/>
        <v>12.072000000000001</v>
      </c>
      <c r="H545" s="901">
        <v>150.85</v>
      </c>
      <c r="I545" s="901">
        <f t="shared" si="204"/>
        <v>162.922</v>
      </c>
      <c r="J545" s="902">
        <f t="shared" si="182"/>
        <v>195.62</v>
      </c>
      <c r="K545" s="903" t="s">
        <v>12</v>
      </c>
      <c r="L545" s="910">
        <f>ROUND(SUM('RES. CENTRAL PARK:RUA_FINAL'!L545),2)</f>
        <v>0</v>
      </c>
      <c r="M545" s="911">
        <f t="shared" si="195"/>
        <v>0</v>
      </c>
      <c r="N545" s="893">
        <f t="shared" si="196"/>
        <v>0</v>
      </c>
      <c r="O545" s="905"/>
      <c r="Q545" s="317" t="str">
        <f t="shared" si="197"/>
        <v/>
      </c>
      <c r="R545" s="317" t="str">
        <f t="shared" si="198"/>
        <v/>
      </c>
      <c r="S545" s="317" t="str">
        <f t="shared" si="199"/>
        <v/>
      </c>
      <c r="V545" s="314">
        <f>SUM('RES. CENTRAL PARK:RUA_FINAL'!N545)</f>
        <v>0</v>
      </c>
      <c r="W545" s="315">
        <f t="shared" si="201"/>
        <v>0</v>
      </c>
    </row>
    <row r="546" spans="1:23" ht="45.75" hidden="1" thickBot="1" x14ac:dyDescent="0.25">
      <c r="A546" s="63">
        <v>97107</v>
      </c>
      <c r="B546" s="895">
        <v>97107</v>
      </c>
      <c r="C546" s="896" t="s">
        <v>596</v>
      </c>
      <c r="D546" s="906" t="s">
        <v>1925</v>
      </c>
      <c r="E546" s="907">
        <f>DMT!$F$22</f>
        <v>21</v>
      </c>
      <c r="F546" s="908">
        <f>2.4*0.225</f>
        <v>0.54</v>
      </c>
      <c r="G546" s="949">
        <f t="shared" si="203"/>
        <v>13.581000000000001</v>
      </c>
      <c r="H546" s="901">
        <v>172.16</v>
      </c>
      <c r="I546" s="901">
        <f t="shared" si="204"/>
        <v>185.74099999999999</v>
      </c>
      <c r="J546" s="902">
        <f t="shared" ref="J546:J562" si="205">IF(ISBLANK(H546),0,ROUND(I546*(1+$E$10),2))</f>
        <v>223.02</v>
      </c>
      <c r="K546" s="903" t="s">
        <v>12</v>
      </c>
      <c r="L546" s="910">
        <f>ROUND(SUM('RES. CENTRAL PARK:RUA_FINAL'!L546),2)</f>
        <v>0</v>
      </c>
      <c r="M546" s="911">
        <f t="shared" si="195"/>
        <v>0</v>
      </c>
      <c r="N546" s="893">
        <f t="shared" si="196"/>
        <v>0</v>
      </c>
      <c r="O546" s="905"/>
      <c r="Q546" s="317" t="str">
        <f t="shared" si="197"/>
        <v/>
      </c>
      <c r="R546" s="317" t="str">
        <f t="shared" si="198"/>
        <v/>
      </c>
      <c r="S546" s="317" t="str">
        <f t="shared" si="199"/>
        <v/>
      </c>
      <c r="V546" s="314">
        <f>SUM('RES. CENTRAL PARK:RUA_FINAL'!N546)</f>
        <v>0</v>
      </c>
      <c r="W546" s="315">
        <f t="shared" si="201"/>
        <v>0</v>
      </c>
    </row>
    <row r="547" spans="1:23" ht="45.75" hidden="1" thickBot="1" x14ac:dyDescent="0.25">
      <c r="A547" s="63">
        <v>97108</v>
      </c>
      <c r="B547" s="895">
        <v>97108</v>
      </c>
      <c r="C547" s="896" t="s">
        <v>596</v>
      </c>
      <c r="D547" s="906" t="s">
        <v>1926</v>
      </c>
      <c r="E547" s="907">
        <f>DMT!$F$22</f>
        <v>21</v>
      </c>
      <c r="F547" s="908">
        <f>2.4*0.25</f>
        <v>0.6</v>
      </c>
      <c r="G547" s="949">
        <f t="shared" si="203"/>
        <v>15.09</v>
      </c>
      <c r="H547" s="901">
        <v>196.46</v>
      </c>
      <c r="I547" s="901">
        <f t="shared" si="204"/>
        <v>211.55</v>
      </c>
      <c r="J547" s="902">
        <f t="shared" si="205"/>
        <v>254.01</v>
      </c>
      <c r="K547" s="903" t="s">
        <v>12</v>
      </c>
      <c r="L547" s="910">
        <f>ROUND(SUM('RES. CENTRAL PARK:RUA_FINAL'!L547),2)</f>
        <v>0</v>
      </c>
      <c r="M547" s="911">
        <f t="shared" si="195"/>
        <v>0</v>
      </c>
      <c r="N547" s="893">
        <f t="shared" si="196"/>
        <v>0</v>
      </c>
      <c r="O547" s="905"/>
      <c r="Q547" s="317" t="str">
        <f t="shared" si="197"/>
        <v/>
      </c>
      <c r="R547" s="317" t="str">
        <f t="shared" si="198"/>
        <v/>
      </c>
      <c r="S547" s="317" t="str">
        <f t="shared" si="199"/>
        <v/>
      </c>
      <c r="V547" s="314">
        <f>SUM('RES. CENTRAL PARK:RUA_FINAL'!N547)</f>
        <v>0</v>
      </c>
      <c r="W547" s="315">
        <f t="shared" si="201"/>
        <v>0</v>
      </c>
    </row>
    <row r="548" spans="1:23" ht="45.75" hidden="1" thickBot="1" x14ac:dyDescent="0.25">
      <c r="A548" s="63">
        <v>97109</v>
      </c>
      <c r="B548" s="895">
        <v>97109</v>
      </c>
      <c r="C548" s="896" t="s">
        <v>596</v>
      </c>
      <c r="D548" s="906" t="s">
        <v>1927</v>
      </c>
      <c r="E548" s="907">
        <f>DMT!$F$22</f>
        <v>21</v>
      </c>
      <c r="F548" s="908">
        <f>2.4*0.275</f>
        <v>0.66</v>
      </c>
      <c r="G548" s="949">
        <f t="shared" si="203"/>
        <v>16.599000000000004</v>
      </c>
      <c r="H548" s="901">
        <v>217</v>
      </c>
      <c r="I548" s="901">
        <f t="shared" si="204"/>
        <v>233.59899999999999</v>
      </c>
      <c r="J548" s="902">
        <f t="shared" si="205"/>
        <v>280.48</v>
      </c>
      <c r="K548" s="903" t="s">
        <v>12</v>
      </c>
      <c r="L548" s="910">
        <f>ROUND(SUM('RES. CENTRAL PARK:RUA_FINAL'!L548),2)</f>
        <v>0</v>
      </c>
      <c r="M548" s="911">
        <f t="shared" si="195"/>
        <v>0</v>
      </c>
      <c r="N548" s="893">
        <f t="shared" si="196"/>
        <v>0</v>
      </c>
      <c r="O548" s="905"/>
      <c r="Q548" s="317" t="str">
        <f t="shared" si="197"/>
        <v/>
      </c>
      <c r="R548" s="317" t="str">
        <f t="shared" si="198"/>
        <v/>
      </c>
      <c r="S548" s="317" t="str">
        <f t="shared" si="199"/>
        <v/>
      </c>
      <c r="V548" s="314">
        <f>SUM('RES. CENTRAL PARK:RUA_FINAL'!N548)</f>
        <v>0</v>
      </c>
      <c r="W548" s="315">
        <f t="shared" si="201"/>
        <v>0</v>
      </c>
    </row>
    <row r="549" spans="1:23" ht="23.25" hidden="1" thickBot="1" x14ac:dyDescent="0.25">
      <c r="A549" s="63">
        <v>97111</v>
      </c>
      <c r="B549" s="895">
        <v>97111</v>
      </c>
      <c r="C549" s="896" t="s">
        <v>596</v>
      </c>
      <c r="D549" s="906" t="s">
        <v>1993</v>
      </c>
      <c r="E549" s="907">
        <f>DMT!$F$22</f>
        <v>21</v>
      </c>
      <c r="F549" s="908">
        <f>2.4*0.125</f>
        <v>0.3</v>
      </c>
      <c r="G549" s="949">
        <f t="shared" si="203"/>
        <v>7.5449999999999999</v>
      </c>
      <c r="H549" s="901">
        <v>274.89</v>
      </c>
      <c r="I549" s="901">
        <f t="shared" si="204"/>
        <v>282.435</v>
      </c>
      <c r="J549" s="902">
        <f t="shared" si="205"/>
        <v>339.12</v>
      </c>
      <c r="K549" s="903" t="s">
        <v>12</v>
      </c>
      <c r="L549" s="910">
        <f>ROUND(SUM('RES. CENTRAL PARK:RUA_FINAL'!L549),2)</f>
        <v>0</v>
      </c>
      <c r="M549" s="911">
        <f t="shared" si="195"/>
        <v>0</v>
      </c>
      <c r="N549" s="893">
        <f t="shared" si="196"/>
        <v>0</v>
      </c>
      <c r="O549" s="905"/>
      <c r="Q549" s="317" t="str">
        <f t="shared" si="197"/>
        <v/>
      </c>
      <c r="R549" s="317" t="str">
        <f t="shared" si="198"/>
        <v/>
      </c>
      <c r="S549" s="317" t="str">
        <f t="shared" si="199"/>
        <v/>
      </c>
      <c r="V549" s="314">
        <f>SUM('RES. CENTRAL PARK:RUA_FINAL'!N549)</f>
        <v>0</v>
      </c>
      <c r="W549" s="315">
        <f t="shared" si="201"/>
        <v>0</v>
      </c>
    </row>
    <row r="550" spans="1:23" ht="23.25" hidden="1" thickBot="1" x14ac:dyDescent="0.25">
      <c r="A550" s="63">
        <v>97112</v>
      </c>
      <c r="B550" s="895">
        <v>97112</v>
      </c>
      <c r="C550" s="896" t="s">
        <v>596</v>
      </c>
      <c r="D550" s="906" t="s">
        <v>1998</v>
      </c>
      <c r="E550" s="907">
        <f>DMT!$F$22</f>
        <v>21</v>
      </c>
      <c r="F550" s="908">
        <f>2.4*0.15</f>
        <v>0.36</v>
      </c>
      <c r="G550" s="949">
        <f t="shared" si="203"/>
        <v>9.0540000000000003</v>
      </c>
      <c r="H550" s="901">
        <v>231.07</v>
      </c>
      <c r="I550" s="901">
        <f t="shared" si="204"/>
        <v>240.124</v>
      </c>
      <c r="J550" s="902">
        <f t="shared" si="205"/>
        <v>288.32</v>
      </c>
      <c r="K550" s="903" t="s">
        <v>12</v>
      </c>
      <c r="L550" s="910">
        <f>ROUND(SUM('RES. CENTRAL PARK:RUA_FINAL'!L550),2)</f>
        <v>0</v>
      </c>
      <c r="M550" s="911">
        <f t="shared" si="195"/>
        <v>0</v>
      </c>
      <c r="N550" s="893">
        <f t="shared" si="196"/>
        <v>0</v>
      </c>
      <c r="O550" s="905"/>
      <c r="Q550" s="317" t="str">
        <f t="shared" si="197"/>
        <v/>
      </c>
      <c r="R550" s="317" t="str">
        <f t="shared" si="198"/>
        <v/>
      </c>
      <c r="S550" s="317" t="str">
        <f t="shared" si="199"/>
        <v/>
      </c>
      <c r="V550" s="314">
        <f>SUM('RES. CENTRAL PARK:RUA_FINAL'!N550)</f>
        <v>0</v>
      </c>
      <c r="W550" s="315">
        <f t="shared" si="201"/>
        <v>0</v>
      </c>
    </row>
    <row r="551" spans="1:23" ht="23.25" hidden="1" thickBot="1" x14ac:dyDescent="0.25">
      <c r="A551" s="63">
        <v>97112</v>
      </c>
      <c r="B551" s="895">
        <v>97112</v>
      </c>
      <c r="C551" s="896" t="s">
        <v>596</v>
      </c>
      <c r="D551" s="906" t="s">
        <v>1998</v>
      </c>
      <c r="E551" s="907">
        <f>DMT!$F$22</f>
        <v>21</v>
      </c>
      <c r="F551" s="908">
        <f>2.4*0.175</f>
        <v>0.42</v>
      </c>
      <c r="G551" s="949">
        <f t="shared" si="203"/>
        <v>10.563000000000001</v>
      </c>
      <c r="H551" s="901">
        <v>231.07</v>
      </c>
      <c r="I551" s="901">
        <f t="shared" si="204"/>
        <v>241.63299999999998</v>
      </c>
      <c r="J551" s="902">
        <f t="shared" si="205"/>
        <v>290.13</v>
      </c>
      <c r="K551" s="903" t="s">
        <v>12</v>
      </c>
      <c r="L551" s="910">
        <f>ROUND(SUM('RES. CENTRAL PARK:RUA_FINAL'!L551),2)</f>
        <v>0</v>
      </c>
      <c r="M551" s="911">
        <f t="shared" si="195"/>
        <v>0</v>
      </c>
      <c r="N551" s="893">
        <f t="shared" si="196"/>
        <v>0</v>
      </c>
      <c r="O551" s="905"/>
      <c r="Q551" s="317" t="str">
        <f t="shared" si="197"/>
        <v/>
      </c>
      <c r="R551" s="317" t="str">
        <f t="shared" si="198"/>
        <v/>
      </c>
      <c r="S551" s="317" t="str">
        <f t="shared" si="199"/>
        <v/>
      </c>
      <c r="V551" s="314">
        <f>SUM('RES. CENTRAL PARK:RUA_FINAL'!N551)</f>
        <v>0</v>
      </c>
      <c r="W551" s="315">
        <f t="shared" si="201"/>
        <v>0</v>
      </c>
    </row>
    <row r="552" spans="1:23" ht="45.75" hidden="1" thickBot="1" x14ac:dyDescent="0.25">
      <c r="A552" s="63">
        <v>97113</v>
      </c>
      <c r="B552" s="895">
        <v>97113</v>
      </c>
      <c r="C552" s="896" t="s">
        <v>596</v>
      </c>
      <c r="D552" s="906" t="s">
        <v>1928</v>
      </c>
      <c r="E552" s="907"/>
      <c r="F552" s="908"/>
      <c r="G552" s="949">
        <f t="shared" ref="G552:G560" si="206">IF(E552&lt;=30,(0.87*E552+2.18)*F552,((0.87*30+2.18)+0.87*(E552-30))*F552)</f>
        <v>0</v>
      </c>
      <c r="H552" s="901">
        <v>3.15</v>
      </c>
      <c r="I552" s="901">
        <f t="shared" si="204"/>
        <v>3.15</v>
      </c>
      <c r="J552" s="902">
        <f t="shared" si="205"/>
        <v>3.78</v>
      </c>
      <c r="K552" s="903" t="s">
        <v>12</v>
      </c>
      <c r="L552" s="910">
        <f>ROUND(SUM('RES. CENTRAL PARK:RUA_FINAL'!L552),2)</f>
        <v>0</v>
      </c>
      <c r="M552" s="911">
        <f t="shared" si="195"/>
        <v>0</v>
      </c>
      <c r="N552" s="893">
        <f t="shared" si="196"/>
        <v>0</v>
      </c>
      <c r="O552" s="905"/>
      <c r="Q552" s="317" t="str">
        <f t="shared" si="197"/>
        <v/>
      </c>
      <c r="R552" s="317" t="str">
        <f t="shared" si="198"/>
        <v/>
      </c>
      <c r="S552" s="317" t="str">
        <f t="shared" si="199"/>
        <v/>
      </c>
      <c r="V552" s="314">
        <f>SUM('RES. CENTRAL PARK:RUA_FINAL'!N552)</f>
        <v>0</v>
      </c>
      <c r="W552" s="315">
        <f t="shared" si="201"/>
        <v>0</v>
      </c>
    </row>
    <row r="553" spans="1:23" ht="23.25" hidden="1" thickBot="1" x14ac:dyDescent="0.25">
      <c r="A553" s="63">
        <v>97114</v>
      </c>
      <c r="B553" s="895">
        <v>97114</v>
      </c>
      <c r="C553" s="896" t="s">
        <v>596</v>
      </c>
      <c r="D553" s="906" t="s">
        <v>1915</v>
      </c>
      <c r="E553" s="907"/>
      <c r="F553" s="908"/>
      <c r="G553" s="949">
        <f t="shared" si="206"/>
        <v>0</v>
      </c>
      <c r="H553" s="901">
        <v>0.44</v>
      </c>
      <c r="I553" s="901">
        <f t="shared" si="204"/>
        <v>0.44</v>
      </c>
      <c r="J553" s="902">
        <f t="shared" si="205"/>
        <v>0.53</v>
      </c>
      <c r="K553" s="903" t="s">
        <v>13</v>
      </c>
      <c r="L553" s="910">
        <f>ROUND(SUM('RES. CENTRAL PARK:RUA_FINAL'!L553),2)</f>
        <v>0</v>
      </c>
      <c r="M553" s="911">
        <f t="shared" si="195"/>
        <v>0</v>
      </c>
      <c r="N553" s="893">
        <f t="shared" si="196"/>
        <v>0</v>
      </c>
      <c r="O553" s="905"/>
      <c r="Q553" s="317" t="str">
        <f t="shared" si="197"/>
        <v/>
      </c>
      <c r="R553" s="317" t="str">
        <f t="shared" si="198"/>
        <v/>
      </c>
      <c r="S553" s="317" t="str">
        <f t="shared" si="199"/>
        <v/>
      </c>
      <c r="V553" s="314">
        <f>SUM('RES. CENTRAL PARK:RUA_FINAL'!N553)</f>
        <v>0</v>
      </c>
      <c r="W553" s="315">
        <f t="shared" si="201"/>
        <v>0</v>
      </c>
    </row>
    <row r="554" spans="1:23" ht="23.25" hidden="1" thickBot="1" x14ac:dyDescent="0.25">
      <c r="A554" s="63">
        <v>97115</v>
      </c>
      <c r="B554" s="895">
        <v>97115</v>
      </c>
      <c r="C554" s="896" t="s">
        <v>596</v>
      </c>
      <c r="D554" s="906" t="s">
        <v>1916</v>
      </c>
      <c r="E554" s="907"/>
      <c r="F554" s="908"/>
      <c r="G554" s="949">
        <f t="shared" si="206"/>
        <v>0</v>
      </c>
      <c r="H554" s="901">
        <v>46.64</v>
      </c>
      <c r="I554" s="901">
        <f t="shared" si="204"/>
        <v>46.64</v>
      </c>
      <c r="J554" s="902">
        <f t="shared" si="205"/>
        <v>56</v>
      </c>
      <c r="K554" s="903" t="s">
        <v>16</v>
      </c>
      <c r="L554" s="910">
        <f>ROUND(SUM('RES. CENTRAL PARK:RUA_FINAL'!L554),2)</f>
        <v>0</v>
      </c>
      <c r="M554" s="911">
        <f t="shared" si="195"/>
        <v>0</v>
      </c>
      <c r="N554" s="893">
        <f t="shared" si="196"/>
        <v>0</v>
      </c>
      <c r="O554" s="905"/>
      <c r="Q554" s="317" t="str">
        <f t="shared" si="197"/>
        <v/>
      </c>
      <c r="R554" s="317" t="str">
        <f t="shared" si="198"/>
        <v/>
      </c>
      <c r="S554" s="317" t="str">
        <f t="shared" si="199"/>
        <v/>
      </c>
      <c r="V554" s="314">
        <f>SUM('RES. CENTRAL PARK:RUA_FINAL'!N554)</f>
        <v>0</v>
      </c>
      <c r="W554" s="315">
        <f t="shared" si="201"/>
        <v>0</v>
      </c>
    </row>
    <row r="555" spans="1:23" ht="23.25" hidden="1" thickBot="1" x14ac:dyDescent="0.25">
      <c r="A555" s="63">
        <v>97116</v>
      </c>
      <c r="B555" s="895">
        <v>97116</v>
      </c>
      <c r="C555" s="896" t="s">
        <v>596</v>
      </c>
      <c r="D555" s="906" t="s">
        <v>1917</v>
      </c>
      <c r="E555" s="907"/>
      <c r="F555" s="908"/>
      <c r="G555" s="949">
        <f t="shared" si="206"/>
        <v>0</v>
      </c>
      <c r="H555" s="901">
        <v>26.06</v>
      </c>
      <c r="I555" s="901">
        <f t="shared" si="204"/>
        <v>26.06</v>
      </c>
      <c r="J555" s="902">
        <f t="shared" si="205"/>
        <v>31.29</v>
      </c>
      <c r="K555" s="903" t="s">
        <v>16</v>
      </c>
      <c r="L555" s="910">
        <f>ROUND(SUM('RES. CENTRAL PARK:RUA_FINAL'!L555),2)</f>
        <v>0</v>
      </c>
      <c r="M555" s="911">
        <f t="shared" si="195"/>
        <v>0</v>
      </c>
      <c r="N555" s="893">
        <f t="shared" si="196"/>
        <v>0</v>
      </c>
      <c r="O555" s="905"/>
      <c r="Q555" s="317" t="str">
        <f t="shared" si="197"/>
        <v/>
      </c>
      <c r="R555" s="317" t="str">
        <f t="shared" si="198"/>
        <v/>
      </c>
      <c r="S555" s="317" t="str">
        <f t="shared" si="199"/>
        <v/>
      </c>
      <c r="V555" s="314">
        <f>SUM('RES. CENTRAL PARK:RUA_FINAL'!N555)</f>
        <v>0</v>
      </c>
      <c r="W555" s="315">
        <f t="shared" si="201"/>
        <v>0</v>
      </c>
    </row>
    <row r="556" spans="1:23" ht="23.25" hidden="1" thickBot="1" x14ac:dyDescent="0.25">
      <c r="A556" s="63">
        <v>97117</v>
      </c>
      <c r="B556" s="895">
        <v>97117</v>
      </c>
      <c r="C556" s="896" t="s">
        <v>596</v>
      </c>
      <c r="D556" s="906" t="s">
        <v>1918</v>
      </c>
      <c r="E556" s="907"/>
      <c r="F556" s="908"/>
      <c r="G556" s="949">
        <f t="shared" si="206"/>
        <v>0</v>
      </c>
      <c r="H556" s="901">
        <v>22.24</v>
      </c>
      <c r="I556" s="901">
        <f t="shared" si="204"/>
        <v>22.24</v>
      </c>
      <c r="J556" s="902">
        <f t="shared" si="205"/>
        <v>26.7</v>
      </c>
      <c r="K556" s="903" t="s">
        <v>16</v>
      </c>
      <c r="L556" s="910">
        <f>ROUND(SUM('RES. CENTRAL PARK:RUA_FINAL'!L556),2)</f>
        <v>0</v>
      </c>
      <c r="M556" s="911">
        <f t="shared" si="195"/>
        <v>0</v>
      </c>
      <c r="N556" s="893">
        <f t="shared" si="196"/>
        <v>0</v>
      </c>
      <c r="O556" s="905"/>
      <c r="Q556" s="317" t="str">
        <f t="shared" si="197"/>
        <v/>
      </c>
      <c r="R556" s="317" t="str">
        <f t="shared" si="198"/>
        <v/>
      </c>
      <c r="S556" s="317" t="str">
        <f t="shared" si="199"/>
        <v/>
      </c>
      <c r="V556" s="314">
        <f>SUM('RES. CENTRAL PARK:RUA_FINAL'!N556)</f>
        <v>0</v>
      </c>
      <c r="W556" s="315">
        <f t="shared" si="201"/>
        <v>0</v>
      </c>
    </row>
    <row r="557" spans="1:23" ht="23.25" hidden="1" thickBot="1" x14ac:dyDescent="0.25">
      <c r="A557" s="63">
        <v>97118</v>
      </c>
      <c r="B557" s="895">
        <v>97118</v>
      </c>
      <c r="C557" s="896" t="s">
        <v>596</v>
      </c>
      <c r="D557" s="906" t="s">
        <v>1919</v>
      </c>
      <c r="E557" s="907"/>
      <c r="F557" s="908"/>
      <c r="G557" s="949">
        <f t="shared" si="206"/>
        <v>0</v>
      </c>
      <c r="H557" s="901">
        <v>18.18</v>
      </c>
      <c r="I557" s="901">
        <f t="shared" si="204"/>
        <v>18.18</v>
      </c>
      <c r="J557" s="902">
        <f t="shared" si="205"/>
        <v>21.83</v>
      </c>
      <c r="K557" s="903" t="s">
        <v>16</v>
      </c>
      <c r="L557" s="910">
        <f>ROUND(SUM('RES. CENTRAL PARK:RUA_FINAL'!L557),2)</f>
        <v>0</v>
      </c>
      <c r="M557" s="911">
        <f t="shared" si="195"/>
        <v>0</v>
      </c>
      <c r="N557" s="893">
        <f t="shared" si="196"/>
        <v>0</v>
      </c>
      <c r="O557" s="905"/>
      <c r="Q557" s="317" t="str">
        <f t="shared" si="197"/>
        <v/>
      </c>
      <c r="R557" s="317" t="str">
        <f t="shared" si="198"/>
        <v/>
      </c>
      <c r="S557" s="317" t="str">
        <f t="shared" si="199"/>
        <v/>
      </c>
      <c r="V557" s="314">
        <f>SUM('RES. CENTRAL PARK:RUA_FINAL'!N557)</f>
        <v>0</v>
      </c>
      <c r="W557" s="315">
        <f t="shared" si="201"/>
        <v>0</v>
      </c>
    </row>
    <row r="558" spans="1:23" ht="23.25" hidden="1" thickBot="1" x14ac:dyDescent="0.25">
      <c r="A558" s="63">
        <v>97119</v>
      </c>
      <c r="B558" s="895">
        <v>97119</v>
      </c>
      <c r="C558" s="896" t="s">
        <v>596</v>
      </c>
      <c r="D558" s="906" t="s">
        <v>1920</v>
      </c>
      <c r="E558" s="907"/>
      <c r="F558" s="908"/>
      <c r="G558" s="949">
        <f t="shared" si="206"/>
        <v>0</v>
      </c>
      <c r="H558" s="901">
        <v>16.12</v>
      </c>
      <c r="I558" s="901">
        <f t="shared" si="204"/>
        <v>16.12</v>
      </c>
      <c r="J558" s="902">
        <f t="shared" si="205"/>
        <v>19.36</v>
      </c>
      <c r="K558" s="903" t="s">
        <v>16</v>
      </c>
      <c r="L558" s="910">
        <f>ROUND(SUM('RES. CENTRAL PARK:RUA_FINAL'!L558),2)</f>
        <v>0</v>
      </c>
      <c r="M558" s="911">
        <f t="shared" si="195"/>
        <v>0</v>
      </c>
      <c r="N558" s="893">
        <f t="shared" si="196"/>
        <v>0</v>
      </c>
      <c r="O558" s="905"/>
      <c r="Q558" s="317" t="str">
        <f t="shared" si="197"/>
        <v/>
      </c>
      <c r="R558" s="317" t="str">
        <f t="shared" si="198"/>
        <v/>
      </c>
      <c r="S558" s="317" t="str">
        <f t="shared" si="199"/>
        <v/>
      </c>
      <c r="V558" s="314">
        <f>SUM('RES. CENTRAL PARK:RUA_FINAL'!N558)</f>
        <v>0</v>
      </c>
      <c r="W558" s="315">
        <f t="shared" si="201"/>
        <v>0</v>
      </c>
    </row>
    <row r="559" spans="1:23" ht="23.25" hidden="1" thickBot="1" x14ac:dyDescent="0.25">
      <c r="A559" s="63">
        <v>97120</v>
      </c>
      <c r="B559" s="895">
        <v>97120</v>
      </c>
      <c r="C559" s="896" t="s">
        <v>596</v>
      </c>
      <c r="D559" s="906" t="s">
        <v>1921</v>
      </c>
      <c r="E559" s="907"/>
      <c r="F559" s="908"/>
      <c r="G559" s="949">
        <f t="shared" si="206"/>
        <v>0</v>
      </c>
      <c r="H559" s="901">
        <v>10.31</v>
      </c>
      <c r="I559" s="901">
        <f t="shared" si="204"/>
        <v>10.31</v>
      </c>
      <c r="J559" s="902">
        <f t="shared" si="205"/>
        <v>12.38</v>
      </c>
      <c r="K559" s="903" t="s">
        <v>16</v>
      </c>
      <c r="L559" s="910">
        <f>ROUND(SUM('RES. CENTRAL PARK:RUA_FINAL'!L559),2)</f>
        <v>0</v>
      </c>
      <c r="M559" s="911">
        <f t="shared" si="195"/>
        <v>0</v>
      </c>
      <c r="N559" s="893">
        <f t="shared" si="196"/>
        <v>0</v>
      </c>
      <c r="O559" s="905"/>
      <c r="Q559" s="317" t="str">
        <f t="shared" si="197"/>
        <v/>
      </c>
      <c r="R559" s="317" t="str">
        <f t="shared" si="198"/>
        <v/>
      </c>
      <c r="S559" s="317" t="str">
        <f t="shared" si="199"/>
        <v/>
      </c>
      <c r="V559" s="314">
        <f>SUM('RES. CENTRAL PARK:RUA_FINAL'!N559)</f>
        <v>0</v>
      </c>
      <c r="W559" s="315">
        <f t="shared" si="201"/>
        <v>0</v>
      </c>
    </row>
    <row r="560" spans="1:23" ht="13.5" hidden="1" thickBot="1" x14ac:dyDescent="0.25">
      <c r="A560" s="63">
        <v>96395</v>
      </c>
      <c r="B560" s="895">
        <v>96395</v>
      </c>
      <c r="C560" s="896" t="s">
        <v>596</v>
      </c>
      <c r="D560" s="906" t="s">
        <v>1922</v>
      </c>
      <c r="E560" s="907"/>
      <c r="F560" s="908"/>
      <c r="G560" s="912">
        <f t="shared" si="206"/>
        <v>0</v>
      </c>
      <c r="H560" s="901">
        <v>232.87</v>
      </c>
      <c r="I560" s="901">
        <f t="shared" si="204"/>
        <v>232.87</v>
      </c>
      <c r="J560" s="902">
        <f t="shared" si="205"/>
        <v>279.61</v>
      </c>
      <c r="K560" s="903" t="s">
        <v>10</v>
      </c>
      <c r="L560" s="910">
        <f>ROUND(SUM('RES. CENTRAL PARK:RUA_FINAL'!L560),2)</f>
        <v>0</v>
      </c>
      <c r="M560" s="911">
        <f t="shared" si="195"/>
        <v>0</v>
      </c>
      <c r="N560" s="893">
        <f t="shared" si="196"/>
        <v>0</v>
      </c>
      <c r="O560" s="905"/>
      <c r="Q560" s="317" t="str">
        <f t="shared" si="197"/>
        <v/>
      </c>
      <c r="R560" s="317" t="str">
        <f t="shared" si="198"/>
        <v/>
      </c>
      <c r="S560" s="317" t="str">
        <f t="shared" si="199"/>
        <v/>
      </c>
      <c r="V560" s="314">
        <f>SUM('RES. CENTRAL PARK:RUA_FINAL'!N560)</f>
        <v>0</v>
      </c>
      <c r="W560" s="315">
        <f t="shared" si="201"/>
        <v>0</v>
      </c>
    </row>
    <row r="561" spans="1:23" ht="15" hidden="1" customHeight="1" x14ac:dyDescent="0.2">
      <c r="A561" s="63">
        <v>505000</v>
      </c>
      <c r="B561" s="895">
        <v>505000</v>
      </c>
      <c r="C561" s="884" t="s">
        <v>184</v>
      </c>
      <c r="D561" s="946" t="s">
        <v>246</v>
      </c>
      <c r="E561" s="907">
        <f>DMT!$F$29</f>
        <v>3</v>
      </c>
      <c r="F561" s="947">
        <v>2.4</v>
      </c>
      <c r="G561" s="949">
        <f t="shared" ref="G561:G562" si="207">IF(E561&lt;=30,(1.07*E561+2.68)*F561,((1.07*30+2.68)+1.07*(E561-30))*F561)</f>
        <v>14.136000000000001</v>
      </c>
      <c r="H561" s="889">
        <v>233.68</v>
      </c>
      <c r="I561" s="889">
        <f>IF(ISBLANK(H561),"",SUM(G561:H561))</f>
        <v>247.816</v>
      </c>
      <c r="J561" s="890">
        <f t="shared" si="205"/>
        <v>297.55</v>
      </c>
      <c r="K561" s="891" t="s">
        <v>10</v>
      </c>
      <c r="L561" s="904">
        <f>ROUND(SUM('RES. CENTRAL PARK:RUA_FINAL'!L561),2)</f>
        <v>0</v>
      </c>
      <c r="M561" s="904">
        <f t="shared" si="195"/>
        <v>0</v>
      </c>
      <c r="N561" s="932">
        <f t="shared" si="196"/>
        <v>0</v>
      </c>
      <c r="O561" s="905"/>
      <c r="Q561" s="317" t="str">
        <f t="shared" si="197"/>
        <v/>
      </c>
      <c r="R561" s="317" t="str">
        <f t="shared" si="198"/>
        <v/>
      </c>
      <c r="S561" s="317" t="str">
        <f t="shared" si="199"/>
        <v/>
      </c>
      <c r="V561" s="314">
        <f>SUM('RES. CENTRAL PARK:RUA_FINAL'!N561)</f>
        <v>0</v>
      </c>
      <c r="W561" s="315">
        <f t="shared" si="201"/>
        <v>0</v>
      </c>
    </row>
    <row r="562" spans="1:23" ht="15" hidden="1" customHeight="1" x14ac:dyDescent="0.2">
      <c r="A562" s="63">
        <v>505100</v>
      </c>
      <c r="B562" s="895">
        <v>505100</v>
      </c>
      <c r="C562" s="896" t="s">
        <v>184</v>
      </c>
      <c r="D562" s="906" t="s">
        <v>247</v>
      </c>
      <c r="E562" s="907">
        <f>DMT!$F$29</f>
        <v>3</v>
      </c>
      <c r="F562" s="908">
        <v>2.4</v>
      </c>
      <c r="G562" s="949">
        <f t="shared" si="207"/>
        <v>14.136000000000001</v>
      </c>
      <c r="H562" s="901">
        <v>301.82</v>
      </c>
      <c r="I562" s="901">
        <f>IF(ISBLANK(H562),"",SUM(G562:H562))</f>
        <v>315.95600000000002</v>
      </c>
      <c r="J562" s="902">
        <f t="shared" si="205"/>
        <v>379.37</v>
      </c>
      <c r="K562" s="903" t="s">
        <v>10</v>
      </c>
      <c r="L562" s="910">
        <f>ROUND(SUM('RES. CENTRAL PARK:RUA_FINAL'!L562),2)</f>
        <v>0</v>
      </c>
      <c r="M562" s="911">
        <f t="shared" si="195"/>
        <v>0</v>
      </c>
      <c r="N562" s="893">
        <f t="shared" si="196"/>
        <v>0</v>
      </c>
      <c r="O562" s="905"/>
      <c r="Q562" s="317" t="str">
        <f t="shared" si="197"/>
        <v/>
      </c>
      <c r="R562" s="317" t="str">
        <f t="shared" si="198"/>
        <v/>
      </c>
      <c r="S562" s="317" t="str">
        <f t="shared" si="199"/>
        <v/>
      </c>
      <c r="V562" s="314">
        <f>SUM('RES. CENTRAL PARK:RUA_FINAL'!N562)</f>
        <v>0</v>
      </c>
      <c r="W562" s="315">
        <f t="shared" si="201"/>
        <v>0</v>
      </c>
    </row>
    <row r="563" spans="1:23" ht="15" hidden="1" customHeight="1" x14ac:dyDescent="0.2">
      <c r="A563" s="63" t="s">
        <v>165</v>
      </c>
      <c r="B563" s="913" t="s">
        <v>165</v>
      </c>
      <c r="C563" s="914"/>
      <c r="D563" s="915" t="s">
        <v>204</v>
      </c>
      <c r="E563" s="916"/>
      <c r="F563" s="917"/>
      <c r="G563" s="918"/>
      <c r="H563" s="919">
        <v>0</v>
      </c>
      <c r="I563" s="919"/>
      <c r="J563" s="919"/>
      <c r="K563" s="920" t="s">
        <v>507</v>
      </c>
      <c r="L563" s="921">
        <f>ROUND(SUM('RES. CENTRAL PARK:RUA_FINAL'!L563),2)</f>
        <v>0</v>
      </c>
      <c r="M563" s="922">
        <f t="shared" si="195"/>
        <v>0</v>
      </c>
      <c r="N563" s="923">
        <f t="shared" si="196"/>
        <v>0</v>
      </c>
      <c r="O563" s="905"/>
      <c r="P563" s="58" t="str">
        <f>IF(OR(SUM(N564:N588)&gt;0,SUM(N564:N588)&gt;0),"y","")</f>
        <v/>
      </c>
      <c r="Q563" s="317" t="str">
        <f t="shared" si="197"/>
        <v/>
      </c>
      <c r="R563" s="317" t="str">
        <f t="shared" si="198"/>
        <v/>
      </c>
      <c r="S563" s="317" t="str">
        <f t="shared" si="199"/>
        <v/>
      </c>
      <c r="V563" s="314">
        <f>SUM('RES. CENTRAL PARK:RUA_FINAL'!N563)</f>
        <v>0</v>
      </c>
      <c r="W563" s="315">
        <f t="shared" si="201"/>
        <v>0</v>
      </c>
    </row>
    <row r="564" spans="1:23" ht="15" hidden="1" customHeight="1" x14ac:dyDescent="0.2">
      <c r="A564" s="63" t="s">
        <v>165</v>
      </c>
      <c r="B564" s="924" t="s">
        <v>165</v>
      </c>
      <c r="C564" s="925" t="s">
        <v>165</v>
      </c>
      <c r="D564" s="926"/>
      <c r="E564" s="927"/>
      <c r="F564" s="928"/>
      <c r="G564" s="929"/>
      <c r="H564" s="930"/>
      <c r="I564" s="901" t="str">
        <f t="shared" ref="I564" si="208">IF(ISBLANK(H564),"",SUM(G564:H564))</f>
        <v/>
      </c>
      <c r="J564" s="1294" t="str">
        <f>IF(I564="","",IF(U564=0,ROUND(I564*(1+E$10),2),ROUND(I564*(1+E$9),2)))</f>
        <v/>
      </c>
      <c r="K564" s="1293" t="s">
        <v>507</v>
      </c>
      <c r="L564" s="910">
        <f>ROUND(SUM('RES. CENTRAL PARK:RUA_FINAL'!L564),2)</f>
        <v>0</v>
      </c>
      <c r="M564" s="911">
        <f t="shared" si="195"/>
        <v>0</v>
      </c>
      <c r="N564" s="893">
        <f t="shared" si="196"/>
        <v>0</v>
      </c>
      <c r="O564" s="905"/>
      <c r="Q564" s="317" t="str">
        <f t="shared" si="197"/>
        <v/>
      </c>
      <c r="R564" s="317" t="str">
        <f t="shared" si="198"/>
        <v/>
      </c>
      <c r="S564" s="317" t="str">
        <f t="shared" si="199"/>
        <v/>
      </c>
      <c r="U564" s="1292">
        <v>1</v>
      </c>
      <c r="V564" s="314">
        <f>SUM('RES. CENTRAL PARK:RUA_FINAL'!N564)</f>
        <v>0</v>
      </c>
      <c r="W564" s="315">
        <f t="shared" si="201"/>
        <v>0</v>
      </c>
    </row>
    <row r="565" spans="1:23" ht="15" hidden="1" customHeight="1" x14ac:dyDescent="0.2">
      <c r="A565" s="63" t="s">
        <v>165</v>
      </c>
      <c r="B565" s="924" t="s">
        <v>165</v>
      </c>
      <c r="C565" s="925" t="s">
        <v>165</v>
      </c>
      <c r="D565" s="926"/>
      <c r="E565" s="927"/>
      <c r="F565" s="928"/>
      <c r="G565" s="929"/>
      <c r="H565" s="930">
        <v>0</v>
      </c>
      <c r="I565" s="901">
        <f t="shared" ref="I565:I588" si="209">IF(ISBLANK(H565),"",SUM(G565:H565))</f>
        <v>0</v>
      </c>
      <c r="J565" s="902">
        <f t="shared" ref="J565:J588" si="210">IF(I565="","",IF(U565=0,ROUND(I565*(1+E$10),2),ROUND(I565*(1+E$9),2)))</f>
        <v>0</v>
      </c>
      <c r="K565" s="928" t="s">
        <v>507</v>
      </c>
      <c r="L565" s="904">
        <f>ROUND(SUM('RES. CENTRAL PARK:RUA_FINAL'!L565),2)</f>
        <v>0</v>
      </c>
      <c r="M565" s="904">
        <f t="shared" si="195"/>
        <v>0</v>
      </c>
      <c r="N565" s="932">
        <f t="shared" si="196"/>
        <v>0</v>
      </c>
      <c r="O565" s="905"/>
      <c r="Q565" s="317" t="str">
        <f t="shared" si="197"/>
        <v/>
      </c>
      <c r="R565" s="317" t="str">
        <f t="shared" si="198"/>
        <v/>
      </c>
      <c r="S565" s="317" t="str">
        <f t="shared" si="199"/>
        <v/>
      </c>
      <c r="U565" s="1292">
        <v>1</v>
      </c>
      <c r="V565" s="314">
        <f>SUM('RES. CENTRAL PARK:RUA_FINAL'!N565)</f>
        <v>0</v>
      </c>
      <c r="W565" s="315">
        <f t="shared" si="201"/>
        <v>0</v>
      </c>
    </row>
    <row r="566" spans="1:23" ht="15" hidden="1" customHeight="1" x14ac:dyDescent="0.2">
      <c r="A566" s="63" t="s">
        <v>165</v>
      </c>
      <c r="B566" s="924" t="s">
        <v>165</v>
      </c>
      <c r="C566" s="925" t="s">
        <v>165</v>
      </c>
      <c r="D566" s="926"/>
      <c r="E566" s="927"/>
      <c r="F566" s="928"/>
      <c r="G566" s="929"/>
      <c r="H566" s="930">
        <v>0</v>
      </c>
      <c r="I566" s="901">
        <f t="shared" si="209"/>
        <v>0</v>
      </c>
      <c r="J566" s="902">
        <f t="shared" si="210"/>
        <v>0</v>
      </c>
      <c r="K566" s="928" t="s">
        <v>507</v>
      </c>
      <c r="L566" s="904">
        <f>ROUND(SUM('RES. CENTRAL PARK:RUA_FINAL'!L566),2)</f>
        <v>0</v>
      </c>
      <c r="M566" s="904">
        <f t="shared" si="195"/>
        <v>0</v>
      </c>
      <c r="N566" s="893">
        <f t="shared" si="196"/>
        <v>0</v>
      </c>
      <c r="O566" s="905"/>
      <c r="Q566" s="317" t="str">
        <f t="shared" si="197"/>
        <v/>
      </c>
      <c r="R566" s="317" t="str">
        <f t="shared" si="198"/>
        <v/>
      </c>
      <c r="S566" s="317" t="str">
        <f t="shared" si="199"/>
        <v/>
      </c>
      <c r="U566" s="1292">
        <v>1</v>
      </c>
      <c r="V566" s="314">
        <f>SUM('RES. CENTRAL PARK:RUA_FINAL'!N566)</f>
        <v>0</v>
      </c>
      <c r="W566" s="315">
        <f t="shared" si="201"/>
        <v>0</v>
      </c>
    </row>
    <row r="567" spans="1:23" ht="15" hidden="1" customHeight="1" x14ac:dyDescent="0.2">
      <c r="A567" s="63" t="s">
        <v>165</v>
      </c>
      <c r="B567" s="924" t="s">
        <v>165</v>
      </c>
      <c r="C567" s="925" t="s">
        <v>165</v>
      </c>
      <c r="D567" s="926"/>
      <c r="E567" s="927"/>
      <c r="F567" s="928"/>
      <c r="G567" s="929"/>
      <c r="H567" s="930">
        <v>0</v>
      </c>
      <c r="I567" s="901">
        <f t="shared" si="209"/>
        <v>0</v>
      </c>
      <c r="J567" s="902">
        <f t="shared" si="210"/>
        <v>0</v>
      </c>
      <c r="K567" s="928" t="s">
        <v>507</v>
      </c>
      <c r="L567" s="904">
        <f>ROUND(SUM('RES. CENTRAL PARK:RUA_FINAL'!L567),2)</f>
        <v>0</v>
      </c>
      <c r="M567" s="904">
        <f t="shared" si="195"/>
        <v>0</v>
      </c>
      <c r="N567" s="893">
        <f t="shared" si="196"/>
        <v>0</v>
      </c>
      <c r="O567" s="905"/>
      <c r="Q567" s="317" t="str">
        <f t="shared" si="197"/>
        <v/>
      </c>
      <c r="R567" s="317" t="str">
        <f t="shared" si="198"/>
        <v/>
      </c>
      <c r="S567" s="317" t="str">
        <f t="shared" si="199"/>
        <v/>
      </c>
      <c r="U567" s="1292">
        <v>1</v>
      </c>
      <c r="V567" s="314">
        <f>SUM('RES. CENTRAL PARK:RUA_FINAL'!N567)</f>
        <v>0</v>
      </c>
      <c r="W567" s="315">
        <f t="shared" si="201"/>
        <v>0</v>
      </c>
    </row>
    <row r="568" spans="1:23" ht="15" hidden="1" customHeight="1" x14ac:dyDescent="0.2">
      <c r="A568" s="63" t="s">
        <v>165</v>
      </c>
      <c r="B568" s="924" t="s">
        <v>165</v>
      </c>
      <c r="C568" s="925" t="s">
        <v>165</v>
      </c>
      <c r="D568" s="926"/>
      <c r="E568" s="927"/>
      <c r="F568" s="928"/>
      <c r="G568" s="929"/>
      <c r="H568" s="930">
        <v>0</v>
      </c>
      <c r="I568" s="901">
        <f t="shared" si="209"/>
        <v>0</v>
      </c>
      <c r="J568" s="902">
        <f t="shared" si="210"/>
        <v>0</v>
      </c>
      <c r="K568" s="928" t="s">
        <v>507</v>
      </c>
      <c r="L568" s="904">
        <f>ROUND(SUM('RES. CENTRAL PARK:RUA_FINAL'!L568),2)</f>
        <v>0</v>
      </c>
      <c r="M568" s="904">
        <f t="shared" si="195"/>
        <v>0</v>
      </c>
      <c r="N568" s="893">
        <f t="shared" si="196"/>
        <v>0</v>
      </c>
      <c r="O568" s="905"/>
      <c r="Q568" s="317" t="str">
        <f t="shared" si="197"/>
        <v/>
      </c>
      <c r="R568" s="317" t="str">
        <f t="shared" si="198"/>
        <v/>
      </c>
      <c r="S568" s="317" t="str">
        <f t="shared" si="199"/>
        <v/>
      </c>
      <c r="U568" s="1292">
        <v>1</v>
      </c>
      <c r="V568" s="314">
        <f>SUM('RES. CENTRAL PARK:RUA_FINAL'!N568)</f>
        <v>0</v>
      </c>
      <c r="W568" s="315">
        <f t="shared" si="201"/>
        <v>0</v>
      </c>
    </row>
    <row r="569" spans="1:23" ht="15" hidden="1" customHeight="1" x14ac:dyDescent="0.2">
      <c r="A569" s="63" t="s">
        <v>165</v>
      </c>
      <c r="B569" s="924" t="s">
        <v>165</v>
      </c>
      <c r="C569" s="925" t="s">
        <v>165</v>
      </c>
      <c r="D569" s="926"/>
      <c r="E569" s="927"/>
      <c r="F569" s="928"/>
      <c r="G569" s="929"/>
      <c r="H569" s="930">
        <v>0</v>
      </c>
      <c r="I569" s="901">
        <f t="shared" si="209"/>
        <v>0</v>
      </c>
      <c r="J569" s="902">
        <f t="shared" si="210"/>
        <v>0</v>
      </c>
      <c r="K569" s="928" t="s">
        <v>507</v>
      </c>
      <c r="L569" s="904">
        <f>ROUND(SUM('RES. CENTRAL PARK:RUA_FINAL'!L569),2)</f>
        <v>0</v>
      </c>
      <c r="M569" s="904">
        <f t="shared" si="195"/>
        <v>0</v>
      </c>
      <c r="N569" s="893">
        <f t="shared" si="196"/>
        <v>0</v>
      </c>
      <c r="O569" s="905"/>
      <c r="Q569" s="317" t="str">
        <f t="shared" si="197"/>
        <v/>
      </c>
      <c r="R569" s="317" t="str">
        <f t="shared" si="198"/>
        <v/>
      </c>
      <c r="S569" s="317" t="str">
        <f t="shared" si="199"/>
        <v/>
      </c>
      <c r="U569" s="1292">
        <v>1</v>
      </c>
      <c r="V569" s="314">
        <f>SUM('RES. CENTRAL PARK:RUA_FINAL'!N569)</f>
        <v>0</v>
      </c>
      <c r="W569" s="315">
        <f t="shared" si="201"/>
        <v>0</v>
      </c>
    </row>
    <row r="570" spans="1:23" ht="15" hidden="1" customHeight="1" x14ac:dyDescent="0.2">
      <c r="A570" s="63" t="s">
        <v>165</v>
      </c>
      <c r="B570" s="924" t="s">
        <v>165</v>
      </c>
      <c r="C570" s="925" t="s">
        <v>165</v>
      </c>
      <c r="D570" s="926"/>
      <c r="E570" s="927"/>
      <c r="F570" s="928"/>
      <c r="G570" s="929"/>
      <c r="H570" s="930">
        <v>0</v>
      </c>
      <c r="I570" s="901">
        <f t="shared" si="209"/>
        <v>0</v>
      </c>
      <c r="J570" s="902">
        <f t="shared" si="210"/>
        <v>0</v>
      </c>
      <c r="K570" s="928" t="s">
        <v>507</v>
      </c>
      <c r="L570" s="904">
        <f>ROUND(SUM('RES. CENTRAL PARK:RUA_FINAL'!L570),2)</f>
        <v>0</v>
      </c>
      <c r="M570" s="904">
        <f t="shared" si="195"/>
        <v>0</v>
      </c>
      <c r="N570" s="893">
        <f t="shared" si="196"/>
        <v>0</v>
      </c>
      <c r="O570" s="905"/>
      <c r="Q570" s="317" t="str">
        <f t="shared" si="197"/>
        <v/>
      </c>
      <c r="R570" s="317" t="str">
        <f t="shared" si="198"/>
        <v/>
      </c>
      <c r="S570" s="317" t="str">
        <f t="shared" si="199"/>
        <v/>
      </c>
      <c r="U570" s="1292">
        <v>1</v>
      </c>
      <c r="V570" s="314">
        <f>SUM('RES. CENTRAL PARK:RUA_FINAL'!N570)</f>
        <v>0</v>
      </c>
      <c r="W570" s="315">
        <f t="shared" si="201"/>
        <v>0</v>
      </c>
    </row>
    <row r="571" spans="1:23" ht="15" hidden="1" customHeight="1" x14ac:dyDescent="0.2">
      <c r="A571" s="63" t="s">
        <v>165</v>
      </c>
      <c r="B571" s="924" t="s">
        <v>165</v>
      </c>
      <c r="C571" s="925" t="s">
        <v>165</v>
      </c>
      <c r="D571" s="926"/>
      <c r="E571" s="927"/>
      <c r="F571" s="928"/>
      <c r="G571" s="929"/>
      <c r="H571" s="930">
        <v>0</v>
      </c>
      <c r="I571" s="901">
        <f t="shared" si="209"/>
        <v>0</v>
      </c>
      <c r="J571" s="902">
        <f t="shared" si="210"/>
        <v>0</v>
      </c>
      <c r="K571" s="928" t="s">
        <v>507</v>
      </c>
      <c r="L571" s="904">
        <f>ROUND(SUM('RES. CENTRAL PARK:RUA_FINAL'!L571),2)</f>
        <v>0</v>
      </c>
      <c r="M571" s="904">
        <f t="shared" si="195"/>
        <v>0</v>
      </c>
      <c r="N571" s="893">
        <f t="shared" si="196"/>
        <v>0</v>
      </c>
      <c r="O571" s="905"/>
      <c r="Q571" s="317" t="str">
        <f t="shared" si="197"/>
        <v/>
      </c>
      <c r="R571" s="317" t="str">
        <f t="shared" si="198"/>
        <v/>
      </c>
      <c r="S571" s="317" t="str">
        <f t="shared" si="199"/>
        <v/>
      </c>
      <c r="U571" s="1292">
        <v>1</v>
      </c>
      <c r="V571" s="314">
        <f>SUM('RES. CENTRAL PARK:RUA_FINAL'!N571)</f>
        <v>0</v>
      </c>
      <c r="W571" s="315">
        <f t="shared" si="201"/>
        <v>0</v>
      </c>
    </row>
    <row r="572" spans="1:23" ht="15" hidden="1" customHeight="1" x14ac:dyDescent="0.2">
      <c r="A572" s="63" t="s">
        <v>165</v>
      </c>
      <c r="B572" s="924" t="s">
        <v>165</v>
      </c>
      <c r="C572" s="925" t="s">
        <v>165</v>
      </c>
      <c r="D572" s="926"/>
      <c r="E572" s="927"/>
      <c r="F572" s="928"/>
      <c r="G572" s="929"/>
      <c r="H572" s="930">
        <v>0</v>
      </c>
      <c r="I572" s="901">
        <f t="shared" si="209"/>
        <v>0</v>
      </c>
      <c r="J572" s="902">
        <f t="shared" si="210"/>
        <v>0</v>
      </c>
      <c r="K572" s="928" t="s">
        <v>507</v>
      </c>
      <c r="L572" s="904">
        <f>ROUND(SUM('RES. CENTRAL PARK:RUA_FINAL'!L572),2)</f>
        <v>0</v>
      </c>
      <c r="M572" s="904">
        <f t="shared" si="195"/>
        <v>0</v>
      </c>
      <c r="N572" s="893">
        <f t="shared" si="196"/>
        <v>0</v>
      </c>
      <c r="O572" s="905"/>
      <c r="Q572" s="317" t="str">
        <f t="shared" si="197"/>
        <v/>
      </c>
      <c r="R572" s="317" t="str">
        <f t="shared" si="198"/>
        <v/>
      </c>
      <c r="S572" s="317" t="str">
        <f t="shared" si="199"/>
        <v/>
      </c>
      <c r="U572" s="1292">
        <v>1</v>
      </c>
      <c r="V572" s="314">
        <f>SUM('RES. CENTRAL PARK:RUA_FINAL'!N572)</f>
        <v>0</v>
      </c>
      <c r="W572" s="315">
        <f t="shared" si="201"/>
        <v>0</v>
      </c>
    </row>
    <row r="573" spans="1:23" ht="15" hidden="1" customHeight="1" x14ac:dyDescent="0.2">
      <c r="A573" s="63" t="s">
        <v>165</v>
      </c>
      <c r="B573" s="924" t="s">
        <v>165</v>
      </c>
      <c r="C573" s="925" t="s">
        <v>165</v>
      </c>
      <c r="D573" s="926"/>
      <c r="E573" s="927"/>
      <c r="F573" s="928"/>
      <c r="G573" s="929"/>
      <c r="H573" s="930">
        <v>0</v>
      </c>
      <c r="I573" s="901">
        <f t="shared" si="209"/>
        <v>0</v>
      </c>
      <c r="J573" s="902">
        <f t="shared" si="210"/>
        <v>0</v>
      </c>
      <c r="K573" s="928" t="s">
        <v>507</v>
      </c>
      <c r="L573" s="904">
        <f>ROUND(SUM('RES. CENTRAL PARK:RUA_FINAL'!L573),2)</f>
        <v>0</v>
      </c>
      <c r="M573" s="904">
        <f t="shared" si="195"/>
        <v>0</v>
      </c>
      <c r="N573" s="893">
        <f t="shared" si="196"/>
        <v>0</v>
      </c>
      <c r="O573" s="905"/>
      <c r="Q573" s="317" t="str">
        <f t="shared" si="197"/>
        <v/>
      </c>
      <c r="R573" s="317" t="str">
        <f t="shared" si="198"/>
        <v/>
      </c>
      <c r="S573" s="317" t="str">
        <f t="shared" si="199"/>
        <v/>
      </c>
      <c r="U573" s="1292">
        <v>1</v>
      </c>
      <c r="V573" s="314">
        <f>SUM('RES. CENTRAL PARK:RUA_FINAL'!N573)</f>
        <v>0</v>
      </c>
      <c r="W573" s="315">
        <f t="shared" si="201"/>
        <v>0</v>
      </c>
    </row>
    <row r="574" spans="1:23" ht="15" hidden="1" customHeight="1" x14ac:dyDescent="0.2">
      <c r="A574" s="63" t="s">
        <v>165</v>
      </c>
      <c r="B574" s="924" t="s">
        <v>165</v>
      </c>
      <c r="C574" s="925" t="s">
        <v>165</v>
      </c>
      <c r="D574" s="926"/>
      <c r="E574" s="927"/>
      <c r="F574" s="928"/>
      <c r="G574" s="929"/>
      <c r="H574" s="930">
        <v>0</v>
      </c>
      <c r="I574" s="901">
        <f t="shared" si="209"/>
        <v>0</v>
      </c>
      <c r="J574" s="902">
        <f t="shared" si="210"/>
        <v>0</v>
      </c>
      <c r="K574" s="928" t="s">
        <v>507</v>
      </c>
      <c r="L574" s="904">
        <f>ROUND(SUM('RES. CENTRAL PARK:RUA_FINAL'!L574),2)</f>
        <v>0</v>
      </c>
      <c r="M574" s="904">
        <f t="shared" si="195"/>
        <v>0</v>
      </c>
      <c r="N574" s="893">
        <f t="shared" si="196"/>
        <v>0</v>
      </c>
      <c r="O574" s="905"/>
      <c r="Q574" s="317" t="str">
        <f t="shared" si="197"/>
        <v/>
      </c>
      <c r="R574" s="317" t="str">
        <f t="shared" si="198"/>
        <v/>
      </c>
      <c r="S574" s="317" t="str">
        <f t="shared" si="199"/>
        <v/>
      </c>
      <c r="U574" s="1292">
        <v>1</v>
      </c>
      <c r="V574" s="314">
        <f>SUM('RES. CENTRAL PARK:RUA_FINAL'!N574)</f>
        <v>0</v>
      </c>
      <c r="W574" s="315">
        <f t="shared" si="201"/>
        <v>0</v>
      </c>
    </row>
    <row r="575" spans="1:23" ht="15" hidden="1" customHeight="1" x14ac:dyDescent="0.2">
      <c r="A575" s="63" t="s">
        <v>165</v>
      </c>
      <c r="B575" s="924" t="s">
        <v>165</v>
      </c>
      <c r="C575" s="925" t="s">
        <v>165</v>
      </c>
      <c r="D575" s="926"/>
      <c r="E575" s="927"/>
      <c r="F575" s="928"/>
      <c r="G575" s="929"/>
      <c r="H575" s="930">
        <v>0</v>
      </c>
      <c r="I575" s="901">
        <f t="shared" si="209"/>
        <v>0</v>
      </c>
      <c r="J575" s="902">
        <f t="shared" si="210"/>
        <v>0</v>
      </c>
      <c r="K575" s="928" t="s">
        <v>507</v>
      </c>
      <c r="L575" s="904">
        <f>ROUND(SUM('RES. CENTRAL PARK:RUA_FINAL'!L575),2)</f>
        <v>0</v>
      </c>
      <c r="M575" s="904">
        <f t="shared" si="195"/>
        <v>0</v>
      </c>
      <c r="N575" s="893">
        <f t="shared" si="196"/>
        <v>0</v>
      </c>
      <c r="O575" s="905"/>
      <c r="Q575" s="317" t="str">
        <f t="shared" si="197"/>
        <v/>
      </c>
      <c r="R575" s="317" t="str">
        <f t="shared" si="198"/>
        <v/>
      </c>
      <c r="S575" s="317" t="str">
        <f t="shared" si="199"/>
        <v/>
      </c>
      <c r="U575" s="1292">
        <v>1</v>
      </c>
      <c r="V575" s="314">
        <f>SUM('RES. CENTRAL PARK:RUA_FINAL'!N575)</f>
        <v>0</v>
      </c>
      <c r="W575" s="315">
        <f t="shared" si="201"/>
        <v>0</v>
      </c>
    </row>
    <row r="576" spans="1:23" ht="15" hidden="1" customHeight="1" x14ac:dyDescent="0.2">
      <c r="A576" s="63" t="s">
        <v>165</v>
      </c>
      <c r="B576" s="924" t="s">
        <v>165</v>
      </c>
      <c r="C576" s="925" t="s">
        <v>165</v>
      </c>
      <c r="D576" s="926"/>
      <c r="E576" s="927"/>
      <c r="F576" s="928"/>
      <c r="G576" s="929"/>
      <c r="H576" s="930">
        <v>0</v>
      </c>
      <c r="I576" s="901">
        <f t="shared" si="209"/>
        <v>0</v>
      </c>
      <c r="J576" s="902">
        <f t="shared" si="210"/>
        <v>0</v>
      </c>
      <c r="K576" s="928" t="s">
        <v>507</v>
      </c>
      <c r="L576" s="904">
        <f>ROUND(SUM('RES. CENTRAL PARK:RUA_FINAL'!L576),2)</f>
        <v>0</v>
      </c>
      <c r="M576" s="904">
        <f t="shared" si="195"/>
        <v>0</v>
      </c>
      <c r="N576" s="893">
        <f t="shared" si="196"/>
        <v>0</v>
      </c>
      <c r="O576" s="905"/>
      <c r="Q576" s="317" t="str">
        <f t="shared" si="197"/>
        <v/>
      </c>
      <c r="R576" s="317" t="str">
        <f t="shared" si="198"/>
        <v/>
      </c>
      <c r="S576" s="317" t="str">
        <f t="shared" si="199"/>
        <v/>
      </c>
      <c r="U576" s="1292">
        <v>1</v>
      </c>
      <c r="V576" s="314">
        <f>SUM('RES. CENTRAL PARK:RUA_FINAL'!N576)</f>
        <v>0</v>
      </c>
      <c r="W576" s="315">
        <f t="shared" si="201"/>
        <v>0</v>
      </c>
    </row>
    <row r="577" spans="1:23" ht="15" hidden="1" customHeight="1" x14ac:dyDescent="0.2">
      <c r="A577" s="63" t="s">
        <v>165</v>
      </c>
      <c r="B577" s="924" t="s">
        <v>165</v>
      </c>
      <c r="C577" s="925" t="s">
        <v>165</v>
      </c>
      <c r="D577" s="926"/>
      <c r="E577" s="927"/>
      <c r="F577" s="928"/>
      <c r="G577" s="929"/>
      <c r="H577" s="930">
        <v>0</v>
      </c>
      <c r="I577" s="901">
        <f t="shared" si="209"/>
        <v>0</v>
      </c>
      <c r="J577" s="902">
        <f t="shared" si="210"/>
        <v>0</v>
      </c>
      <c r="K577" s="928" t="s">
        <v>507</v>
      </c>
      <c r="L577" s="904">
        <f>ROUND(SUM('RES. CENTRAL PARK:RUA_FINAL'!L577),2)</f>
        <v>0</v>
      </c>
      <c r="M577" s="904">
        <f t="shared" si="195"/>
        <v>0</v>
      </c>
      <c r="N577" s="893">
        <f t="shared" si="196"/>
        <v>0</v>
      </c>
      <c r="O577" s="905"/>
      <c r="Q577" s="317" t="str">
        <f t="shared" si="197"/>
        <v/>
      </c>
      <c r="R577" s="317" t="str">
        <f t="shared" si="198"/>
        <v/>
      </c>
      <c r="S577" s="317" t="str">
        <f t="shared" si="199"/>
        <v/>
      </c>
      <c r="U577" s="1292">
        <v>1</v>
      </c>
      <c r="V577" s="314">
        <f>SUM('RES. CENTRAL PARK:RUA_FINAL'!N577)</f>
        <v>0</v>
      </c>
      <c r="W577" s="315">
        <f t="shared" si="201"/>
        <v>0</v>
      </c>
    </row>
    <row r="578" spans="1:23" ht="15" hidden="1" customHeight="1" x14ac:dyDescent="0.2">
      <c r="A578" s="63" t="s">
        <v>165</v>
      </c>
      <c r="B578" s="924" t="s">
        <v>165</v>
      </c>
      <c r="C578" s="925" t="s">
        <v>165</v>
      </c>
      <c r="D578" s="926"/>
      <c r="E578" s="927"/>
      <c r="F578" s="928"/>
      <c r="G578" s="929"/>
      <c r="H578" s="930">
        <v>0</v>
      </c>
      <c r="I578" s="901">
        <f t="shared" si="209"/>
        <v>0</v>
      </c>
      <c r="J578" s="902">
        <f t="shared" si="210"/>
        <v>0</v>
      </c>
      <c r="K578" s="928" t="s">
        <v>507</v>
      </c>
      <c r="L578" s="904">
        <f>ROUND(SUM('RES. CENTRAL PARK:RUA_FINAL'!L578),2)</f>
        <v>0</v>
      </c>
      <c r="M578" s="904">
        <f t="shared" si="195"/>
        <v>0</v>
      </c>
      <c r="N578" s="893">
        <f t="shared" si="196"/>
        <v>0</v>
      </c>
      <c r="O578" s="905"/>
      <c r="Q578" s="317" t="str">
        <f t="shared" si="197"/>
        <v/>
      </c>
      <c r="R578" s="317" t="str">
        <f t="shared" si="198"/>
        <v/>
      </c>
      <c r="S578" s="317" t="str">
        <f t="shared" si="199"/>
        <v/>
      </c>
      <c r="U578" s="1292">
        <v>1</v>
      </c>
      <c r="V578" s="314">
        <f>SUM('RES. CENTRAL PARK:RUA_FINAL'!N578)</f>
        <v>0</v>
      </c>
      <c r="W578" s="315">
        <f t="shared" si="201"/>
        <v>0</v>
      </c>
    </row>
    <row r="579" spans="1:23" ht="15" hidden="1" customHeight="1" x14ac:dyDescent="0.2">
      <c r="A579" s="63" t="s">
        <v>165</v>
      </c>
      <c r="B579" s="924" t="s">
        <v>165</v>
      </c>
      <c r="C579" s="925" t="s">
        <v>165</v>
      </c>
      <c r="D579" s="926"/>
      <c r="E579" s="927"/>
      <c r="F579" s="928"/>
      <c r="G579" s="929"/>
      <c r="H579" s="930">
        <v>0</v>
      </c>
      <c r="I579" s="901">
        <f t="shared" si="209"/>
        <v>0</v>
      </c>
      <c r="J579" s="902">
        <f t="shared" si="210"/>
        <v>0</v>
      </c>
      <c r="K579" s="928" t="s">
        <v>507</v>
      </c>
      <c r="L579" s="904">
        <f>ROUND(SUM('RES. CENTRAL PARK:RUA_FINAL'!L579),2)</f>
        <v>0</v>
      </c>
      <c r="M579" s="904">
        <f t="shared" si="195"/>
        <v>0</v>
      </c>
      <c r="N579" s="893">
        <f t="shared" si="196"/>
        <v>0</v>
      </c>
      <c r="O579" s="905"/>
      <c r="Q579" s="317" t="str">
        <f t="shared" si="197"/>
        <v/>
      </c>
      <c r="R579" s="317" t="str">
        <f t="shared" si="198"/>
        <v/>
      </c>
      <c r="S579" s="317" t="str">
        <f t="shared" si="199"/>
        <v/>
      </c>
      <c r="U579" s="1292">
        <v>1</v>
      </c>
      <c r="V579" s="314">
        <f>SUM('RES. CENTRAL PARK:RUA_FINAL'!N579)</f>
        <v>0</v>
      </c>
      <c r="W579" s="315">
        <f t="shared" si="201"/>
        <v>0</v>
      </c>
    </row>
    <row r="580" spans="1:23" ht="15" hidden="1" customHeight="1" x14ac:dyDescent="0.2">
      <c r="A580" s="63" t="s">
        <v>165</v>
      </c>
      <c r="B580" s="924" t="s">
        <v>165</v>
      </c>
      <c r="C580" s="925" t="s">
        <v>165</v>
      </c>
      <c r="D580" s="926"/>
      <c r="E580" s="927"/>
      <c r="F580" s="928"/>
      <c r="G580" s="929"/>
      <c r="H580" s="930">
        <v>0</v>
      </c>
      <c r="I580" s="901">
        <f t="shared" si="209"/>
        <v>0</v>
      </c>
      <c r="J580" s="902">
        <f t="shared" si="210"/>
        <v>0</v>
      </c>
      <c r="K580" s="928" t="s">
        <v>507</v>
      </c>
      <c r="L580" s="904">
        <f>ROUND(SUM('RES. CENTRAL PARK:RUA_FINAL'!L580),2)</f>
        <v>0</v>
      </c>
      <c r="M580" s="904">
        <f t="shared" si="195"/>
        <v>0</v>
      </c>
      <c r="N580" s="893">
        <f t="shared" si="196"/>
        <v>0</v>
      </c>
      <c r="O580" s="905"/>
      <c r="Q580" s="317" t="str">
        <f t="shared" si="197"/>
        <v/>
      </c>
      <c r="R580" s="317" t="str">
        <f t="shared" si="198"/>
        <v/>
      </c>
      <c r="S580" s="317" t="str">
        <f t="shared" si="199"/>
        <v/>
      </c>
      <c r="U580" s="1292">
        <v>1</v>
      </c>
      <c r="V580" s="314">
        <f>SUM('RES. CENTRAL PARK:RUA_FINAL'!N580)</f>
        <v>0</v>
      </c>
      <c r="W580" s="315">
        <f t="shared" si="201"/>
        <v>0</v>
      </c>
    </row>
    <row r="581" spans="1:23" ht="15" hidden="1" customHeight="1" x14ac:dyDescent="0.2">
      <c r="A581" s="63" t="s">
        <v>165</v>
      </c>
      <c r="B581" s="924" t="s">
        <v>165</v>
      </c>
      <c r="C581" s="925" t="s">
        <v>165</v>
      </c>
      <c r="D581" s="926"/>
      <c r="E581" s="927"/>
      <c r="F581" s="928"/>
      <c r="G581" s="929"/>
      <c r="H581" s="930">
        <v>0</v>
      </c>
      <c r="I581" s="901">
        <f t="shared" si="209"/>
        <v>0</v>
      </c>
      <c r="J581" s="902">
        <f t="shared" si="210"/>
        <v>0</v>
      </c>
      <c r="K581" s="928" t="s">
        <v>507</v>
      </c>
      <c r="L581" s="904">
        <f>ROUND(SUM('RES. CENTRAL PARK:RUA_FINAL'!L581),2)</f>
        <v>0</v>
      </c>
      <c r="M581" s="904">
        <f t="shared" si="195"/>
        <v>0</v>
      </c>
      <c r="N581" s="893">
        <f t="shared" si="196"/>
        <v>0</v>
      </c>
      <c r="O581" s="905"/>
      <c r="Q581" s="317" t="str">
        <f t="shared" si="197"/>
        <v/>
      </c>
      <c r="R581" s="317" t="str">
        <f t="shared" si="198"/>
        <v/>
      </c>
      <c r="S581" s="317" t="str">
        <f t="shared" si="199"/>
        <v/>
      </c>
      <c r="U581" s="1292">
        <v>1</v>
      </c>
      <c r="V581" s="314">
        <f>SUM('RES. CENTRAL PARK:RUA_FINAL'!N581)</f>
        <v>0</v>
      </c>
      <c r="W581" s="315">
        <f t="shared" si="201"/>
        <v>0</v>
      </c>
    </row>
    <row r="582" spans="1:23" ht="15" hidden="1" customHeight="1" x14ac:dyDescent="0.2">
      <c r="A582" s="63" t="s">
        <v>165</v>
      </c>
      <c r="B582" s="924" t="s">
        <v>165</v>
      </c>
      <c r="C582" s="925" t="s">
        <v>165</v>
      </c>
      <c r="D582" s="926"/>
      <c r="E582" s="927"/>
      <c r="F582" s="928"/>
      <c r="G582" s="929"/>
      <c r="H582" s="930">
        <v>0</v>
      </c>
      <c r="I582" s="901">
        <f t="shared" si="209"/>
        <v>0</v>
      </c>
      <c r="J582" s="902">
        <f t="shared" si="210"/>
        <v>0</v>
      </c>
      <c r="K582" s="928" t="s">
        <v>507</v>
      </c>
      <c r="L582" s="904">
        <f>ROUND(SUM('RES. CENTRAL PARK:RUA_FINAL'!L582),2)</f>
        <v>0</v>
      </c>
      <c r="M582" s="904">
        <f t="shared" si="195"/>
        <v>0</v>
      </c>
      <c r="N582" s="893">
        <f t="shared" si="196"/>
        <v>0</v>
      </c>
      <c r="O582" s="905"/>
      <c r="Q582" s="317" t="str">
        <f t="shared" si="197"/>
        <v/>
      </c>
      <c r="R582" s="317" t="str">
        <f t="shared" si="198"/>
        <v/>
      </c>
      <c r="S582" s="317" t="str">
        <f t="shared" si="199"/>
        <v/>
      </c>
      <c r="U582" s="1292">
        <v>1</v>
      </c>
      <c r="V582" s="314">
        <f>SUM('RES. CENTRAL PARK:RUA_FINAL'!N582)</f>
        <v>0</v>
      </c>
      <c r="W582" s="315">
        <f t="shared" si="201"/>
        <v>0</v>
      </c>
    </row>
    <row r="583" spans="1:23" ht="15" hidden="1" customHeight="1" x14ac:dyDescent="0.2">
      <c r="A583" s="63" t="s">
        <v>165</v>
      </c>
      <c r="B583" s="924" t="s">
        <v>165</v>
      </c>
      <c r="C583" s="925" t="s">
        <v>165</v>
      </c>
      <c r="D583" s="926"/>
      <c r="E583" s="927"/>
      <c r="F583" s="928"/>
      <c r="G583" s="929"/>
      <c r="H583" s="930">
        <v>0</v>
      </c>
      <c r="I583" s="901">
        <f t="shared" si="209"/>
        <v>0</v>
      </c>
      <c r="J583" s="902">
        <f t="shared" si="210"/>
        <v>0</v>
      </c>
      <c r="K583" s="928" t="s">
        <v>507</v>
      </c>
      <c r="L583" s="904">
        <f>ROUND(SUM('RES. CENTRAL PARK:RUA_FINAL'!L583),2)</f>
        <v>0</v>
      </c>
      <c r="M583" s="904">
        <f t="shared" si="195"/>
        <v>0</v>
      </c>
      <c r="N583" s="893">
        <f t="shared" si="196"/>
        <v>0</v>
      </c>
      <c r="O583" s="905"/>
      <c r="Q583" s="317" t="str">
        <f t="shared" si="197"/>
        <v/>
      </c>
      <c r="R583" s="317" t="str">
        <f t="shared" si="198"/>
        <v/>
      </c>
      <c r="S583" s="317" t="str">
        <f t="shared" si="199"/>
        <v/>
      </c>
      <c r="U583" s="1292">
        <v>1</v>
      </c>
      <c r="V583" s="314">
        <f>SUM('RES. CENTRAL PARK:RUA_FINAL'!N583)</f>
        <v>0</v>
      </c>
      <c r="W583" s="315">
        <f t="shared" si="201"/>
        <v>0</v>
      </c>
    </row>
    <row r="584" spans="1:23" ht="15" hidden="1" customHeight="1" x14ac:dyDescent="0.2">
      <c r="A584" s="63" t="s">
        <v>165</v>
      </c>
      <c r="B584" s="924" t="s">
        <v>165</v>
      </c>
      <c r="C584" s="925" t="s">
        <v>165</v>
      </c>
      <c r="D584" s="926"/>
      <c r="E584" s="927"/>
      <c r="F584" s="928"/>
      <c r="G584" s="929"/>
      <c r="H584" s="930">
        <v>0</v>
      </c>
      <c r="I584" s="901">
        <f t="shared" si="209"/>
        <v>0</v>
      </c>
      <c r="J584" s="902">
        <f t="shared" si="210"/>
        <v>0</v>
      </c>
      <c r="K584" s="928" t="s">
        <v>507</v>
      </c>
      <c r="L584" s="904">
        <f>ROUND(SUM('RES. CENTRAL PARK:RUA_FINAL'!L584),2)</f>
        <v>0</v>
      </c>
      <c r="M584" s="904">
        <f t="shared" si="195"/>
        <v>0</v>
      </c>
      <c r="N584" s="893">
        <f t="shared" si="196"/>
        <v>0</v>
      </c>
      <c r="O584" s="905"/>
      <c r="Q584" s="317" t="str">
        <f t="shared" si="197"/>
        <v/>
      </c>
      <c r="R584" s="317" t="str">
        <f t="shared" si="198"/>
        <v/>
      </c>
      <c r="S584" s="317" t="str">
        <f t="shared" si="199"/>
        <v/>
      </c>
      <c r="U584" s="1292">
        <v>1</v>
      </c>
      <c r="V584" s="314">
        <f>SUM('RES. CENTRAL PARK:RUA_FINAL'!N584)</f>
        <v>0</v>
      </c>
      <c r="W584" s="315">
        <f t="shared" si="201"/>
        <v>0</v>
      </c>
    </row>
    <row r="585" spans="1:23" ht="15" hidden="1" customHeight="1" x14ac:dyDescent="0.2">
      <c r="A585" s="63" t="s">
        <v>165</v>
      </c>
      <c r="B585" s="924" t="s">
        <v>165</v>
      </c>
      <c r="C585" s="925" t="s">
        <v>165</v>
      </c>
      <c r="D585" s="926"/>
      <c r="E585" s="927"/>
      <c r="F585" s="928"/>
      <c r="G585" s="929"/>
      <c r="H585" s="930">
        <v>0</v>
      </c>
      <c r="I585" s="901">
        <f t="shared" si="209"/>
        <v>0</v>
      </c>
      <c r="J585" s="902">
        <f t="shared" si="210"/>
        <v>0</v>
      </c>
      <c r="K585" s="928" t="s">
        <v>507</v>
      </c>
      <c r="L585" s="904">
        <f>ROUND(SUM('RES. CENTRAL PARK:RUA_FINAL'!L585),2)</f>
        <v>0</v>
      </c>
      <c r="M585" s="904">
        <f t="shared" si="195"/>
        <v>0</v>
      </c>
      <c r="N585" s="893">
        <f t="shared" si="196"/>
        <v>0</v>
      </c>
      <c r="O585" s="905"/>
      <c r="Q585" s="317" t="str">
        <f t="shared" si="197"/>
        <v/>
      </c>
      <c r="R585" s="317" t="str">
        <f t="shared" si="198"/>
        <v/>
      </c>
      <c r="S585" s="317" t="str">
        <f t="shared" si="199"/>
        <v/>
      </c>
      <c r="U585" s="1292">
        <v>1</v>
      </c>
      <c r="V585" s="314">
        <f>SUM('RES. CENTRAL PARK:RUA_FINAL'!N585)</f>
        <v>0</v>
      </c>
      <c r="W585" s="315">
        <f t="shared" si="201"/>
        <v>0</v>
      </c>
    </row>
    <row r="586" spans="1:23" ht="15" hidden="1" customHeight="1" x14ac:dyDescent="0.2">
      <c r="A586" s="63" t="s">
        <v>165</v>
      </c>
      <c r="B586" s="924" t="s">
        <v>165</v>
      </c>
      <c r="C586" s="925" t="s">
        <v>165</v>
      </c>
      <c r="D586" s="926"/>
      <c r="E586" s="927"/>
      <c r="F586" s="928"/>
      <c r="G586" s="929"/>
      <c r="H586" s="930">
        <v>0</v>
      </c>
      <c r="I586" s="901">
        <f t="shared" si="209"/>
        <v>0</v>
      </c>
      <c r="J586" s="902">
        <f t="shared" si="210"/>
        <v>0</v>
      </c>
      <c r="K586" s="928" t="s">
        <v>507</v>
      </c>
      <c r="L586" s="904">
        <f>ROUND(SUM('RES. CENTRAL PARK:RUA_FINAL'!L586),2)</f>
        <v>0</v>
      </c>
      <c r="M586" s="904">
        <f t="shared" si="195"/>
        <v>0</v>
      </c>
      <c r="N586" s="893">
        <f t="shared" si="196"/>
        <v>0</v>
      </c>
      <c r="O586" s="905"/>
      <c r="Q586" s="317" t="str">
        <f t="shared" si="197"/>
        <v/>
      </c>
      <c r="R586" s="317" t="str">
        <f t="shared" si="198"/>
        <v/>
      </c>
      <c r="S586" s="317" t="str">
        <f t="shared" si="199"/>
        <v/>
      </c>
      <c r="U586" s="1292">
        <v>1</v>
      </c>
      <c r="V586" s="314">
        <f>SUM('RES. CENTRAL PARK:RUA_FINAL'!N586)</f>
        <v>0</v>
      </c>
      <c r="W586" s="315">
        <f t="shared" si="201"/>
        <v>0</v>
      </c>
    </row>
    <row r="587" spans="1:23" ht="15" hidden="1" customHeight="1" x14ac:dyDescent="0.2">
      <c r="A587" s="63" t="s">
        <v>165</v>
      </c>
      <c r="B587" s="924" t="s">
        <v>165</v>
      </c>
      <c r="C587" s="925" t="s">
        <v>165</v>
      </c>
      <c r="D587" s="926"/>
      <c r="E587" s="927"/>
      <c r="F587" s="928"/>
      <c r="G587" s="929"/>
      <c r="H587" s="930">
        <v>0</v>
      </c>
      <c r="I587" s="901">
        <f t="shared" si="209"/>
        <v>0</v>
      </c>
      <c r="J587" s="902">
        <f t="shared" si="210"/>
        <v>0</v>
      </c>
      <c r="K587" s="928" t="s">
        <v>507</v>
      </c>
      <c r="L587" s="904">
        <f>ROUND(SUM('RES. CENTRAL PARK:RUA_FINAL'!L587),2)</f>
        <v>0</v>
      </c>
      <c r="M587" s="904">
        <f t="shared" si="195"/>
        <v>0</v>
      </c>
      <c r="N587" s="893">
        <f t="shared" si="196"/>
        <v>0</v>
      </c>
      <c r="O587" s="905"/>
      <c r="Q587" s="317" t="str">
        <f t="shared" si="197"/>
        <v/>
      </c>
      <c r="R587" s="317" t="str">
        <f t="shared" si="198"/>
        <v/>
      </c>
      <c r="S587" s="317" t="str">
        <f t="shared" si="199"/>
        <v/>
      </c>
      <c r="U587" s="1292">
        <v>1</v>
      </c>
      <c r="V587" s="314">
        <f>SUM('RES. CENTRAL PARK:RUA_FINAL'!N587)</f>
        <v>0</v>
      </c>
      <c r="W587" s="315">
        <f t="shared" si="201"/>
        <v>0</v>
      </c>
    </row>
    <row r="588" spans="1:23" ht="15" hidden="1" customHeight="1" thickBot="1" x14ac:dyDescent="0.25">
      <c r="A588" s="63" t="s">
        <v>165</v>
      </c>
      <c r="B588" s="924" t="s">
        <v>165</v>
      </c>
      <c r="C588" s="925" t="s">
        <v>165</v>
      </c>
      <c r="D588" s="926"/>
      <c r="E588" s="927"/>
      <c r="F588" s="928"/>
      <c r="G588" s="929"/>
      <c r="H588" s="930">
        <v>0</v>
      </c>
      <c r="I588" s="901">
        <f t="shared" si="209"/>
        <v>0</v>
      </c>
      <c r="J588" s="902">
        <f t="shared" si="210"/>
        <v>0</v>
      </c>
      <c r="K588" s="928" t="s">
        <v>507</v>
      </c>
      <c r="L588" s="904">
        <f>ROUND(SUM('RES. CENTRAL PARK:RUA_FINAL'!L588),2)</f>
        <v>0</v>
      </c>
      <c r="M588" s="904">
        <f t="shared" si="195"/>
        <v>0</v>
      </c>
      <c r="N588" s="942">
        <f t="shared" si="196"/>
        <v>0</v>
      </c>
      <c r="O588" s="905"/>
      <c r="Q588" s="317" t="str">
        <f t="shared" si="197"/>
        <v/>
      </c>
      <c r="R588" s="317" t="str">
        <f t="shared" si="198"/>
        <v/>
      </c>
      <c r="S588" s="317" t="str">
        <f t="shared" si="199"/>
        <v/>
      </c>
      <c r="U588" s="1292">
        <v>1</v>
      </c>
      <c r="V588" s="314">
        <f>SUM('RES. CENTRAL PARK:RUA_FINAL'!N588)</f>
        <v>0</v>
      </c>
      <c r="W588" s="315">
        <f t="shared" si="201"/>
        <v>0</v>
      </c>
    </row>
    <row r="589" spans="1:23" ht="15" hidden="1" customHeight="1" thickBot="1" x14ac:dyDescent="0.25">
      <c r="A589" s="63" t="s">
        <v>166</v>
      </c>
      <c r="B589" s="950" t="s">
        <v>166</v>
      </c>
      <c r="C589" s="951"/>
      <c r="D589" s="952" t="s">
        <v>430</v>
      </c>
      <c r="E589" s="943"/>
      <c r="F589" s="876"/>
      <c r="G589" s="944"/>
      <c r="H589" s="945">
        <v>0</v>
      </c>
      <c r="I589" s="945"/>
      <c r="J589" s="945"/>
      <c r="K589" s="878" t="s">
        <v>507</v>
      </c>
      <c r="L589" s="879">
        <f>ROUND(SUM('RES. CENTRAL PARK:RUA_FINAL'!L589),2)</f>
        <v>0</v>
      </c>
      <c r="M589" s="880">
        <f t="shared" si="195"/>
        <v>0</v>
      </c>
      <c r="N589" s="881">
        <f t="shared" si="196"/>
        <v>0</v>
      </c>
      <c r="O589" s="882">
        <f>SUM(N590:N643)</f>
        <v>0</v>
      </c>
      <c r="P589" s="58" t="str">
        <f>IF(OR(O589&gt;0,O589&gt;0),"X","")</f>
        <v/>
      </c>
      <c r="Q589" s="317" t="str">
        <f t="shared" si="197"/>
        <v/>
      </c>
      <c r="R589" s="317" t="str">
        <f t="shared" si="198"/>
        <v/>
      </c>
      <c r="S589" s="317" t="str">
        <f t="shared" si="199"/>
        <v/>
      </c>
      <c r="V589" s="314">
        <f>SUM('RES. CENTRAL PARK:RUA_FINAL'!N589)</f>
        <v>0</v>
      </c>
      <c r="W589" s="315">
        <f t="shared" si="201"/>
        <v>0</v>
      </c>
    </row>
    <row r="590" spans="1:23" ht="15" hidden="1" customHeight="1" x14ac:dyDescent="0.2">
      <c r="A590" s="63" t="s">
        <v>833</v>
      </c>
      <c r="B590" s="964" t="s">
        <v>833</v>
      </c>
      <c r="C590" s="896" t="s">
        <v>2241</v>
      </c>
      <c r="D590" s="906" t="s">
        <v>836</v>
      </c>
      <c r="E590" s="907"/>
      <c r="F590" s="908"/>
      <c r="G590" s="912"/>
      <c r="H590" s="901">
        <v>22.14</v>
      </c>
      <c r="I590" s="901">
        <f>IF(ISBLANK(H590),"",SUM(G590:H590))</f>
        <v>22.14</v>
      </c>
      <c r="J590" s="902">
        <f>IF(ISBLANK(H590),0,ROUND(I590*(1+$E$10),2))</f>
        <v>26.58</v>
      </c>
      <c r="K590" s="903" t="s">
        <v>13</v>
      </c>
      <c r="L590" s="904">
        <f>ROUND(SUM('RES. CENTRAL PARK:RUA_FINAL'!L590),2)</f>
        <v>0</v>
      </c>
      <c r="M590" s="904">
        <f t="shared" si="195"/>
        <v>0</v>
      </c>
      <c r="N590" s="893">
        <f t="shared" si="196"/>
        <v>0</v>
      </c>
      <c r="O590" s="905"/>
      <c r="Q590" s="317" t="str">
        <f t="shared" si="197"/>
        <v/>
      </c>
      <c r="R590" s="317" t="str">
        <f t="shared" si="198"/>
        <v/>
      </c>
      <c r="S590" s="317" t="str">
        <f t="shared" si="199"/>
        <v/>
      </c>
      <c r="V590" s="314">
        <f>SUM('RES. CENTRAL PARK:RUA_FINAL'!N590)</f>
        <v>0</v>
      </c>
      <c r="W590" s="315">
        <f t="shared" si="201"/>
        <v>0</v>
      </c>
    </row>
    <row r="591" spans="1:23" ht="15" hidden="1" customHeight="1" x14ac:dyDescent="0.2">
      <c r="A591" s="63" t="s">
        <v>834</v>
      </c>
      <c r="B591" s="964" t="s">
        <v>834</v>
      </c>
      <c r="C591" s="896" t="s">
        <v>2241</v>
      </c>
      <c r="D591" s="897" t="s">
        <v>835</v>
      </c>
      <c r="E591" s="898"/>
      <c r="F591" s="899"/>
      <c r="G591" s="900"/>
      <c r="H591" s="901">
        <v>6.56</v>
      </c>
      <c r="I591" s="901">
        <f>IF(ISBLANK(H591),"",SUM(G591:H591))</f>
        <v>6.56</v>
      </c>
      <c r="J591" s="902">
        <f t="shared" ref="J591:J643" si="211">IF(ISBLANK(H591),0,ROUND(I591*(1+$E$10),2))</f>
        <v>7.88</v>
      </c>
      <c r="K591" s="903" t="s">
        <v>13</v>
      </c>
      <c r="L591" s="910">
        <f>ROUND(SUM('RES. CENTRAL PARK:RUA_FINAL'!L591),2)</f>
        <v>0</v>
      </c>
      <c r="M591" s="911">
        <f t="shared" si="195"/>
        <v>0</v>
      </c>
      <c r="N591" s="893">
        <f t="shared" si="196"/>
        <v>0</v>
      </c>
      <c r="O591" s="905"/>
      <c r="Q591" s="317" t="str">
        <f t="shared" si="197"/>
        <v/>
      </c>
      <c r="R591" s="317" t="str">
        <f t="shared" si="198"/>
        <v/>
      </c>
      <c r="S591" s="317" t="str">
        <f t="shared" si="199"/>
        <v/>
      </c>
      <c r="V591" s="314">
        <f>SUM('RES. CENTRAL PARK:RUA_FINAL'!N591)</f>
        <v>0</v>
      </c>
      <c r="W591" s="315">
        <f t="shared" si="201"/>
        <v>0</v>
      </c>
    </row>
    <row r="592" spans="1:23" ht="15" hidden="1" customHeight="1" x14ac:dyDescent="0.2">
      <c r="A592" s="63">
        <v>535200</v>
      </c>
      <c r="B592" s="895" t="s">
        <v>1608</v>
      </c>
      <c r="C592" s="896" t="s">
        <v>184</v>
      </c>
      <c r="D592" s="906" t="s">
        <v>220</v>
      </c>
      <c r="E592" s="907">
        <f>DMT!$F$15</f>
        <v>0</v>
      </c>
      <c r="F592" s="899">
        <v>7.6999999999999999E-2</v>
      </c>
      <c r="G592" s="949">
        <f t="shared" ref="G592" si="212">IF(E592&lt;=30,(1.07*E592+2.68)*F592,((1.07*30+2.68)+1.07*(E592-30))*F592)</f>
        <v>0.20636000000000002</v>
      </c>
      <c r="H592" s="901">
        <v>11.65</v>
      </c>
      <c r="I592" s="901">
        <f>IF(ISBLANK(H592),"",SUM(G592:H592))</f>
        <v>11.85636</v>
      </c>
      <c r="J592" s="902">
        <f t="shared" si="211"/>
        <v>14.24</v>
      </c>
      <c r="K592" s="903" t="s">
        <v>13</v>
      </c>
      <c r="L592" s="904">
        <f>ROUND(SUM('RES. CENTRAL PARK:RUA_FINAL'!L592),2)</f>
        <v>0</v>
      </c>
      <c r="M592" s="904">
        <f t="shared" ref="M592:M655" si="213">IF(L592=0,0,ROUND(J592,2))</f>
        <v>0</v>
      </c>
      <c r="N592" s="893">
        <f t="shared" ref="N592:N655" si="214">IF(ISBLANK(L592),0,ROUND(L592*M592,2))</f>
        <v>0</v>
      </c>
      <c r="O592" s="905"/>
      <c r="Q592" s="317" t="str">
        <f t="shared" ref="Q592:Q655" si="215">IF(P592="X","x",IF(P592="xx","x",IF(P592="xy","x",IF(P592="y","x",IF(OR(N592&gt;0,N592&gt;0),"x","")))))</f>
        <v/>
      </c>
      <c r="R592" s="317" t="str">
        <f t="shared" ref="R592:R655" si="216">IF(P592="X","x",IF(P592="y","x",IF(P592="xx","x",IF(N592&gt;0,"x",""))))</f>
        <v/>
      </c>
      <c r="S592" s="317" t="str">
        <f t="shared" ref="S592:S655" si="217">IF(P592="X","x",IF(N592&gt;0,"x",""))</f>
        <v/>
      </c>
      <c r="V592" s="314">
        <f>SUM('RES. CENTRAL PARK:RUA_FINAL'!N592)</f>
        <v>0</v>
      </c>
      <c r="W592" s="315">
        <f t="shared" si="201"/>
        <v>0</v>
      </c>
    </row>
    <row r="593" spans="1:23" ht="15" hidden="1" customHeight="1" x14ac:dyDescent="0.2">
      <c r="A593" s="63">
        <v>810100</v>
      </c>
      <c r="B593" s="895">
        <v>810100</v>
      </c>
      <c r="C593" s="896" t="s">
        <v>184</v>
      </c>
      <c r="D593" s="906" t="s">
        <v>248</v>
      </c>
      <c r="E593" s="907"/>
      <c r="F593" s="908"/>
      <c r="G593" s="912">
        <f>SUM(G594:G596)</f>
        <v>23.365354200000002</v>
      </c>
      <c r="H593" s="901">
        <v>66.03</v>
      </c>
      <c r="I593" s="901">
        <f>IF(ISBLANK(H593),"",SUM(G593:H593))</f>
        <v>89.3953542</v>
      </c>
      <c r="J593" s="902">
        <f t="shared" si="211"/>
        <v>107.34</v>
      </c>
      <c r="K593" s="903" t="s">
        <v>13</v>
      </c>
      <c r="L593" s="904">
        <f>ROUND(SUM('RES. CENTRAL PARK:RUA_FINAL'!L593),2)</f>
        <v>0</v>
      </c>
      <c r="M593" s="904">
        <f t="shared" si="213"/>
        <v>0</v>
      </c>
      <c r="N593" s="893">
        <f t="shared" si="214"/>
        <v>0</v>
      </c>
      <c r="O593" s="905"/>
      <c r="Q593" s="317" t="str">
        <f t="shared" si="215"/>
        <v/>
      </c>
      <c r="R593" s="317" t="str">
        <f t="shared" si="216"/>
        <v/>
      </c>
      <c r="S593" s="317" t="str">
        <f t="shared" si="217"/>
        <v/>
      </c>
      <c r="V593" s="314">
        <f>SUM('RES. CENTRAL PARK:RUA_FINAL'!N593)</f>
        <v>0</v>
      </c>
      <c r="W593" s="315">
        <f t="shared" si="201"/>
        <v>0</v>
      </c>
    </row>
    <row r="594" spans="1:23" ht="15" hidden="1" customHeight="1" x14ac:dyDescent="0.2">
      <c r="A594" s="63" t="s">
        <v>147</v>
      </c>
      <c r="B594" s="895" t="s">
        <v>147</v>
      </c>
      <c r="C594" s="896"/>
      <c r="D594" s="957" t="s">
        <v>190</v>
      </c>
      <c r="E594" s="907">
        <f>DMT!$D$20</f>
        <v>308</v>
      </c>
      <c r="F594" s="908">
        <f>ROUND(0.103*0.27,4)</f>
        <v>2.7799999999999998E-2</v>
      </c>
      <c r="G594" s="909">
        <f>IF(E594&lt;=30,(0.78*E594+7.82)*F594,((0.78*30+7.82)+0.78*(E594-30))*F594)</f>
        <v>6.8960679999999996</v>
      </c>
      <c r="H594" s="901">
        <v>0</v>
      </c>
      <c r="I594" s="901"/>
      <c r="J594" s="902">
        <v>0</v>
      </c>
      <c r="K594" s="958" t="s">
        <v>507</v>
      </c>
      <c r="L594" s="959">
        <f>ROUND(SUM('RES. CENTRAL PARK:RUA_FINAL'!L594),2)</f>
        <v>0</v>
      </c>
      <c r="M594" s="960">
        <f t="shared" si="213"/>
        <v>0</v>
      </c>
      <c r="N594" s="893">
        <f t="shared" si="214"/>
        <v>0</v>
      </c>
      <c r="O594" s="905"/>
      <c r="P594" s="58" t="str">
        <f>IF(N593&gt;0,"xx",IF(N593&gt;0,"xy",""))</f>
        <v/>
      </c>
      <c r="Q594" s="317" t="str">
        <f t="shared" si="215"/>
        <v/>
      </c>
      <c r="R594" s="317" t="str">
        <f t="shared" si="216"/>
        <v/>
      </c>
      <c r="S594" s="317" t="str">
        <f t="shared" si="217"/>
        <v/>
      </c>
      <c r="V594" s="314">
        <f>SUM('RES. CENTRAL PARK:RUA_FINAL'!N594)</f>
        <v>0</v>
      </c>
      <c r="W594" s="315">
        <f t="shared" si="201"/>
        <v>0</v>
      </c>
    </row>
    <row r="595" spans="1:23" ht="15" hidden="1" customHeight="1" x14ac:dyDescent="0.2">
      <c r="A595" s="63" t="s">
        <v>147</v>
      </c>
      <c r="B595" s="895" t="s">
        <v>147</v>
      </c>
      <c r="C595" s="896"/>
      <c r="D595" s="957" t="s">
        <v>229</v>
      </c>
      <c r="E595" s="907">
        <f>DMT!$F$39</f>
        <v>150</v>
      </c>
      <c r="F595" s="908">
        <f>ROUND(0.103*0.96,4)</f>
        <v>9.8900000000000002E-2</v>
      </c>
      <c r="G595" s="949">
        <f t="shared" ref="G595:G597" si="218">IF(E595&lt;=30,(1.07*E595+2.68)*F595,((1.07*30+2.68)+1.07*(E595-30))*F595)</f>
        <v>16.138502000000003</v>
      </c>
      <c r="H595" s="901">
        <v>0</v>
      </c>
      <c r="I595" s="901"/>
      <c r="J595" s="902">
        <v>0</v>
      </c>
      <c r="K595" s="958" t="s">
        <v>507</v>
      </c>
      <c r="L595" s="959">
        <f>ROUND(SUM('RES. CENTRAL PARK:RUA_FINAL'!L595),2)</f>
        <v>0</v>
      </c>
      <c r="M595" s="960">
        <f t="shared" si="213"/>
        <v>0</v>
      </c>
      <c r="N595" s="893">
        <f t="shared" si="214"/>
        <v>0</v>
      </c>
      <c r="O595" s="905"/>
      <c r="P595" s="58" t="str">
        <f>IF(N593&gt;0,"xx",IF(N593&gt;0,"xy",""))</f>
        <v/>
      </c>
      <c r="Q595" s="317" t="str">
        <f t="shared" si="215"/>
        <v/>
      </c>
      <c r="R595" s="317" t="str">
        <f t="shared" si="216"/>
        <v/>
      </c>
      <c r="S595" s="317" t="str">
        <f t="shared" si="217"/>
        <v/>
      </c>
      <c r="V595" s="314">
        <f>SUM('RES. CENTRAL PARK:RUA_FINAL'!N595)</f>
        <v>0</v>
      </c>
      <c r="W595" s="315">
        <f t="shared" si="201"/>
        <v>0</v>
      </c>
    </row>
    <row r="596" spans="1:23" ht="15" hidden="1" customHeight="1" x14ac:dyDescent="0.2">
      <c r="A596" s="63" t="s">
        <v>147</v>
      </c>
      <c r="B596" s="895" t="s">
        <v>147</v>
      </c>
      <c r="C596" s="896"/>
      <c r="D596" s="957" t="s">
        <v>233</v>
      </c>
      <c r="E596" s="907">
        <f>DMT!$F$40</f>
        <v>0.2</v>
      </c>
      <c r="F596" s="908">
        <f>ROUND(0.103*1.11,4)</f>
        <v>0.1143</v>
      </c>
      <c r="G596" s="949">
        <f t="shared" si="218"/>
        <v>0.33078420000000003</v>
      </c>
      <c r="H596" s="901">
        <v>0</v>
      </c>
      <c r="I596" s="901"/>
      <c r="J596" s="902">
        <v>0</v>
      </c>
      <c r="K596" s="958" t="s">
        <v>507</v>
      </c>
      <c r="L596" s="959">
        <f>ROUND(SUM('RES. CENTRAL PARK:RUA_FINAL'!L596),2)</f>
        <v>0</v>
      </c>
      <c r="M596" s="960">
        <f t="shared" si="213"/>
        <v>0</v>
      </c>
      <c r="N596" s="893">
        <f t="shared" si="214"/>
        <v>0</v>
      </c>
      <c r="O596" s="905"/>
      <c r="P596" s="58" t="str">
        <f>IF(N593&gt;0,"xx",IF(N593&gt;0,"xy",""))</f>
        <v/>
      </c>
      <c r="Q596" s="317" t="str">
        <f t="shared" si="215"/>
        <v/>
      </c>
      <c r="R596" s="317" t="str">
        <f t="shared" si="216"/>
        <v/>
      </c>
      <c r="S596" s="317" t="str">
        <f t="shared" si="217"/>
        <v/>
      </c>
      <c r="V596" s="314">
        <f>SUM('RES. CENTRAL PARK:RUA_FINAL'!N596)</f>
        <v>0</v>
      </c>
      <c r="W596" s="315">
        <f t="shared" si="201"/>
        <v>0</v>
      </c>
    </row>
    <row r="597" spans="1:23" ht="15" hidden="1" customHeight="1" x14ac:dyDescent="0.2">
      <c r="A597" s="63">
        <v>810050</v>
      </c>
      <c r="B597" s="895">
        <v>810050</v>
      </c>
      <c r="C597" s="896" t="s">
        <v>184</v>
      </c>
      <c r="D597" s="906" t="s">
        <v>249</v>
      </c>
      <c r="E597" s="907">
        <f>DMT!$F$36</f>
        <v>0.1</v>
      </c>
      <c r="F597" s="908">
        <f>0.0278+0.0988+0.1143</f>
        <v>0.2409</v>
      </c>
      <c r="G597" s="949">
        <f t="shared" si="218"/>
        <v>0.67138830000000005</v>
      </c>
      <c r="H597" s="901">
        <v>104.81</v>
      </c>
      <c r="I597" s="901">
        <f>IF(ISBLANK(H597),"",SUM(G597:H597))</f>
        <v>105.48138830000001</v>
      </c>
      <c r="J597" s="902">
        <f t="shared" si="211"/>
        <v>126.65</v>
      </c>
      <c r="K597" s="903" t="s">
        <v>13</v>
      </c>
      <c r="L597" s="904">
        <f>ROUND(SUM('RES. CENTRAL PARK:RUA_FINAL'!L597),2)</f>
        <v>0</v>
      </c>
      <c r="M597" s="904">
        <f t="shared" si="213"/>
        <v>0</v>
      </c>
      <c r="N597" s="893">
        <f t="shared" si="214"/>
        <v>0</v>
      </c>
      <c r="O597" s="905"/>
      <c r="P597" s="58"/>
      <c r="Q597" s="317" t="str">
        <f t="shared" si="215"/>
        <v/>
      </c>
      <c r="R597" s="317" t="str">
        <f t="shared" si="216"/>
        <v/>
      </c>
      <c r="S597" s="317" t="str">
        <f t="shared" si="217"/>
        <v/>
      </c>
      <c r="V597" s="314">
        <f>SUM('RES. CENTRAL PARK:RUA_FINAL'!N597)</f>
        <v>0</v>
      </c>
      <c r="W597" s="315">
        <f t="shared" ref="W597:W660" si="219">N597-V597</f>
        <v>0</v>
      </c>
    </row>
    <row r="598" spans="1:23" ht="15" hidden="1" customHeight="1" x14ac:dyDescent="0.2">
      <c r="A598" s="63">
        <v>810200</v>
      </c>
      <c r="B598" s="895">
        <v>810200</v>
      </c>
      <c r="C598" s="896" t="s">
        <v>184</v>
      </c>
      <c r="D598" s="906" t="s">
        <v>250</v>
      </c>
      <c r="E598" s="907"/>
      <c r="F598" s="908"/>
      <c r="G598" s="912">
        <f>SUM(G599:G601)</f>
        <v>9.5140924000000009</v>
      </c>
      <c r="H598" s="901">
        <v>28.65</v>
      </c>
      <c r="I598" s="901">
        <f>IF(ISBLANK(H598),"",SUM(G598:H598))</f>
        <v>38.164092400000001</v>
      </c>
      <c r="J598" s="902">
        <f t="shared" si="211"/>
        <v>45.82</v>
      </c>
      <c r="K598" s="903" t="s">
        <v>13</v>
      </c>
      <c r="L598" s="904">
        <f>ROUND(SUM('RES. CENTRAL PARK:RUA_FINAL'!L598),2)</f>
        <v>0</v>
      </c>
      <c r="M598" s="904">
        <f t="shared" si="213"/>
        <v>0</v>
      </c>
      <c r="N598" s="893">
        <f t="shared" si="214"/>
        <v>0</v>
      </c>
      <c r="O598" s="905"/>
      <c r="P598" s="58"/>
      <c r="Q598" s="317" t="str">
        <f t="shared" si="215"/>
        <v/>
      </c>
      <c r="R598" s="317" t="str">
        <f t="shared" si="216"/>
        <v/>
      </c>
      <c r="S598" s="317" t="str">
        <f t="shared" si="217"/>
        <v/>
      </c>
      <c r="V598" s="314">
        <f>SUM('RES. CENTRAL PARK:RUA_FINAL'!N598)</f>
        <v>0</v>
      </c>
      <c r="W598" s="315">
        <f t="shared" si="219"/>
        <v>0</v>
      </c>
    </row>
    <row r="599" spans="1:23" ht="15" hidden="1" customHeight="1" x14ac:dyDescent="0.2">
      <c r="A599" s="63" t="s">
        <v>147</v>
      </c>
      <c r="B599" s="895" t="s">
        <v>147</v>
      </c>
      <c r="C599" s="896"/>
      <c r="D599" s="957" t="s">
        <v>190</v>
      </c>
      <c r="E599" s="907">
        <f>DMT!$D$20</f>
        <v>308</v>
      </c>
      <c r="F599" s="908">
        <f>ROUND(0.042*0.27,4)</f>
        <v>1.1299999999999999E-2</v>
      </c>
      <c r="G599" s="909">
        <f>IF(E599&lt;=30,(0.78*E599+7.82)*F599,((0.78*30+7.82)+0.78*(E599-30))*F599)</f>
        <v>2.8030779999999997</v>
      </c>
      <c r="H599" s="901">
        <v>0</v>
      </c>
      <c r="I599" s="901"/>
      <c r="J599" s="902">
        <v>0</v>
      </c>
      <c r="K599" s="958" t="s">
        <v>507</v>
      </c>
      <c r="L599" s="959">
        <f>ROUND(SUM('RES. CENTRAL PARK:RUA_FINAL'!L599),2)</f>
        <v>0</v>
      </c>
      <c r="M599" s="960">
        <f t="shared" si="213"/>
        <v>0</v>
      </c>
      <c r="N599" s="893">
        <f t="shared" si="214"/>
        <v>0</v>
      </c>
      <c r="O599" s="905"/>
      <c r="P599" s="58" t="str">
        <f>IF(N598&gt;0,"xx",IF(N598&gt;0,"xy",""))</f>
        <v/>
      </c>
      <c r="Q599" s="317" t="str">
        <f t="shared" si="215"/>
        <v/>
      </c>
      <c r="R599" s="317" t="str">
        <f t="shared" si="216"/>
        <v/>
      </c>
      <c r="S599" s="317" t="str">
        <f t="shared" si="217"/>
        <v/>
      </c>
      <c r="V599" s="314">
        <f>SUM('RES. CENTRAL PARK:RUA_FINAL'!N599)</f>
        <v>0</v>
      </c>
      <c r="W599" s="315">
        <f t="shared" si="219"/>
        <v>0</v>
      </c>
    </row>
    <row r="600" spans="1:23" ht="15" hidden="1" customHeight="1" x14ac:dyDescent="0.2">
      <c r="A600" s="63" t="s">
        <v>147</v>
      </c>
      <c r="B600" s="895" t="s">
        <v>147</v>
      </c>
      <c r="C600" s="896"/>
      <c r="D600" s="957" t="s">
        <v>229</v>
      </c>
      <c r="E600" s="907">
        <f>DMT!$F$39</f>
        <v>150</v>
      </c>
      <c r="F600" s="908">
        <f>ROUND(0.042*0.96,4)</f>
        <v>4.0300000000000002E-2</v>
      </c>
      <c r="G600" s="949">
        <f t="shared" ref="G600:G602" si="220">IF(E600&lt;=30,(1.07*E600+2.68)*F600,((1.07*30+2.68)+1.07*(E600-30))*F600)</f>
        <v>6.5761540000000007</v>
      </c>
      <c r="H600" s="901">
        <v>0</v>
      </c>
      <c r="I600" s="901"/>
      <c r="J600" s="902">
        <v>0</v>
      </c>
      <c r="K600" s="958" t="s">
        <v>507</v>
      </c>
      <c r="L600" s="959">
        <f>ROUND(SUM('RES. CENTRAL PARK:RUA_FINAL'!L600),2)</f>
        <v>0</v>
      </c>
      <c r="M600" s="960">
        <f t="shared" si="213"/>
        <v>0</v>
      </c>
      <c r="N600" s="893">
        <f t="shared" si="214"/>
        <v>0</v>
      </c>
      <c r="O600" s="905"/>
      <c r="P600" s="58" t="str">
        <f>IF(N598&gt;0,"xx",IF(N598&gt;0,"xy",""))</f>
        <v/>
      </c>
      <c r="Q600" s="317" t="str">
        <f t="shared" si="215"/>
        <v/>
      </c>
      <c r="R600" s="317" t="str">
        <f t="shared" si="216"/>
        <v/>
      </c>
      <c r="S600" s="317" t="str">
        <f t="shared" si="217"/>
        <v/>
      </c>
      <c r="V600" s="314">
        <f>SUM('RES. CENTRAL PARK:RUA_FINAL'!N600)</f>
        <v>0</v>
      </c>
      <c r="W600" s="315">
        <f t="shared" si="219"/>
        <v>0</v>
      </c>
    </row>
    <row r="601" spans="1:23" ht="15" hidden="1" customHeight="1" x14ac:dyDescent="0.2">
      <c r="A601" s="63" t="s">
        <v>147</v>
      </c>
      <c r="B601" s="895" t="s">
        <v>147</v>
      </c>
      <c r="C601" s="896"/>
      <c r="D601" s="957" t="s">
        <v>233</v>
      </c>
      <c r="E601" s="907">
        <f>DMT!$F$40</f>
        <v>0.2</v>
      </c>
      <c r="F601" s="908">
        <f>ROUND(0.042*1.11,4)</f>
        <v>4.6600000000000003E-2</v>
      </c>
      <c r="G601" s="949">
        <f t="shared" si="220"/>
        <v>0.13486040000000002</v>
      </c>
      <c r="H601" s="901">
        <v>0</v>
      </c>
      <c r="I601" s="901"/>
      <c r="J601" s="902">
        <v>0</v>
      </c>
      <c r="K601" s="958" t="s">
        <v>507</v>
      </c>
      <c r="L601" s="959">
        <f>ROUND(SUM('RES. CENTRAL PARK:RUA_FINAL'!L601),2)</f>
        <v>0</v>
      </c>
      <c r="M601" s="960">
        <f t="shared" si="213"/>
        <v>0</v>
      </c>
      <c r="N601" s="893">
        <f t="shared" si="214"/>
        <v>0</v>
      </c>
      <c r="O601" s="905"/>
      <c r="P601" s="58" t="str">
        <f>IF(N598&gt;0,"xx",IF(N598&gt;0,"xy",""))</f>
        <v/>
      </c>
      <c r="Q601" s="317" t="str">
        <f t="shared" si="215"/>
        <v/>
      </c>
      <c r="R601" s="317" t="str">
        <f t="shared" si="216"/>
        <v/>
      </c>
      <c r="S601" s="317" t="str">
        <f t="shared" si="217"/>
        <v/>
      </c>
      <c r="V601" s="314">
        <f>SUM('RES. CENTRAL PARK:RUA_FINAL'!N601)</f>
        <v>0</v>
      </c>
      <c r="W601" s="315">
        <f t="shared" si="219"/>
        <v>0</v>
      </c>
    </row>
    <row r="602" spans="1:23" ht="15" hidden="1" customHeight="1" x14ac:dyDescent="0.2">
      <c r="A602" s="63">
        <v>810150</v>
      </c>
      <c r="B602" s="895">
        <v>810150</v>
      </c>
      <c r="C602" s="896" t="s">
        <v>184</v>
      </c>
      <c r="D602" s="906" t="s">
        <v>251</v>
      </c>
      <c r="E602" s="907">
        <f>DMT!$F$36</f>
        <v>0.1</v>
      </c>
      <c r="F602" s="908">
        <v>9.8199999999999996E-2</v>
      </c>
      <c r="G602" s="949">
        <f t="shared" si="220"/>
        <v>0.27368340000000002</v>
      </c>
      <c r="H602" s="901">
        <v>48.6</v>
      </c>
      <c r="I602" s="901">
        <f>IF(ISBLANK(H602),"",SUM(G602:H602))</f>
        <v>48.873683400000004</v>
      </c>
      <c r="J602" s="902">
        <f t="shared" si="211"/>
        <v>58.68</v>
      </c>
      <c r="K602" s="903" t="s">
        <v>13</v>
      </c>
      <c r="L602" s="904">
        <f>ROUND(SUM('RES. CENTRAL PARK:RUA_FINAL'!L602),2)</f>
        <v>0</v>
      </c>
      <c r="M602" s="904">
        <f t="shared" si="213"/>
        <v>0</v>
      </c>
      <c r="N602" s="893">
        <f t="shared" si="214"/>
        <v>0</v>
      </c>
      <c r="O602" s="905"/>
      <c r="Q602" s="317" t="str">
        <f t="shared" si="215"/>
        <v/>
      </c>
      <c r="R602" s="317" t="str">
        <f t="shared" si="216"/>
        <v/>
      </c>
      <c r="S602" s="317" t="str">
        <f t="shared" si="217"/>
        <v/>
      </c>
      <c r="V602" s="314">
        <f>SUM('RES. CENTRAL PARK:RUA_FINAL'!N602)</f>
        <v>0</v>
      </c>
      <c r="W602" s="315">
        <f t="shared" si="219"/>
        <v>0</v>
      </c>
    </row>
    <row r="603" spans="1:23" ht="15" hidden="1" customHeight="1" x14ac:dyDescent="0.2">
      <c r="A603" s="63">
        <v>810700</v>
      </c>
      <c r="B603" s="895">
        <v>810700</v>
      </c>
      <c r="C603" s="896" t="s">
        <v>184</v>
      </c>
      <c r="D603" s="906" t="s">
        <v>252</v>
      </c>
      <c r="E603" s="907"/>
      <c r="F603" s="908"/>
      <c r="G603" s="912">
        <f>SUM(G604:G606)</f>
        <v>7.0460216000000004</v>
      </c>
      <c r="H603" s="901">
        <v>23.47</v>
      </c>
      <c r="I603" s="901">
        <f>IF(ISBLANK(H603),"",SUM(G603:H603))</f>
        <v>30.516021599999998</v>
      </c>
      <c r="J603" s="902">
        <f t="shared" si="211"/>
        <v>36.64</v>
      </c>
      <c r="K603" s="903" t="s">
        <v>13</v>
      </c>
      <c r="L603" s="904">
        <f>ROUND(SUM('RES. CENTRAL PARK:RUA_FINAL'!L603),2)</f>
        <v>0</v>
      </c>
      <c r="M603" s="904">
        <f t="shared" si="213"/>
        <v>0</v>
      </c>
      <c r="N603" s="893">
        <f t="shared" si="214"/>
        <v>0</v>
      </c>
      <c r="O603" s="905"/>
      <c r="Q603" s="317" t="str">
        <f t="shared" si="215"/>
        <v/>
      </c>
      <c r="R603" s="317" t="str">
        <f t="shared" si="216"/>
        <v/>
      </c>
      <c r="S603" s="317" t="str">
        <f t="shared" si="217"/>
        <v/>
      </c>
      <c r="V603" s="314">
        <f>SUM('RES. CENTRAL PARK:RUA_FINAL'!N603)</f>
        <v>0</v>
      </c>
      <c r="W603" s="315">
        <f t="shared" si="219"/>
        <v>0</v>
      </c>
    </row>
    <row r="604" spans="1:23" ht="15" hidden="1" customHeight="1" x14ac:dyDescent="0.2">
      <c r="A604" s="63" t="s">
        <v>147</v>
      </c>
      <c r="B604" s="895" t="s">
        <v>147</v>
      </c>
      <c r="C604" s="896"/>
      <c r="D604" s="957" t="s">
        <v>190</v>
      </c>
      <c r="E604" s="907">
        <f>DMT!$D$20</f>
        <v>308</v>
      </c>
      <c r="F604" s="908">
        <f>ROUND(0.031*0.27,4)</f>
        <v>8.3999999999999995E-3</v>
      </c>
      <c r="G604" s="909">
        <f>IF(E604&lt;=30,(0.78*E604+7.82)*F604,((0.78*30+7.82)+0.78*(E604-30))*F604)</f>
        <v>2.083704</v>
      </c>
      <c r="H604" s="901">
        <v>0</v>
      </c>
      <c r="I604" s="901"/>
      <c r="J604" s="902">
        <v>0</v>
      </c>
      <c r="K604" s="958" t="s">
        <v>507</v>
      </c>
      <c r="L604" s="959">
        <f>ROUND(SUM('RES. CENTRAL PARK:RUA_FINAL'!L604),2)</f>
        <v>0</v>
      </c>
      <c r="M604" s="960">
        <f t="shared" si="213"/>
        <v>0</v>
      </c>
      <c r="N604" s="893">
        <f t="shared" si="214"/>
        <v>0</v>
      </c>
      <c r="O604" s="905"/>
      <c r="P604" s="58" t="str">
        <f>IF(N603&gt;0,"xx",IF(N603&gt;0,"xy",""))</f>
        <v/>
      </c>
      <c r="Q604" s="317" t="str">
        <f t="shared" si="215"/>
        <v/>
      </c>
      <c r="R604" s="317" t="str">
        <f t="shared" si="216"/>
        <v/>
      </c>
      <c r="S604" s="317" t="str">
        <f t="shared" si="217"/>
        <v/>
      </c>
      <c r="V604" s="314">
        <f>SUM('RES. CENTRAL PARK:RUA_FINAL'!N604)</f>
        <v>0</v>
      </c>
      <c r="W604" s="315">
        <f t="shared" si="219"/>
        <v>0</v>
      </c>
    </row>
    <row r="605" spans="1:23" ht="15" hidden="1" customHeight="1" x14ac:dyDescent="0.2">
      <c r="A605" s="63" t="s">
        <v>147</v>
      </c>
      <c r="B605" s="895" t="s">
        <v>147</v>
      </c>
      <c r="C605" s="896"/>
      <c r="D605" s="957" t="s">
        <v>229</v>
      </c>
      <c r="E605" s="907">
        <f>DMT!$F$39</f>
        <v>150</v>
      </c>
      <c r="F605" s="908">
        <f>ROUND(0.031*0.96,4)</f>
        <v>2.98E-2</v>
      </c>
      <c r="G605" s="949">
        <f t="shared" ref="G605:G607" si="221">IF(E605&lt;=30,(1.07*E605+2.68)*F605,((1.07*30+2.68)+1.07*(E605-30))*F605)</f>
        <v>4.8627640000000003</v>
      </c>
      <c r="H605" s="901">
        <v>0</v>
      </c>
      <c r="I605" s="901"/>
      <c r="J605" s="902">
        <v>0</v>
      </c>
      <c r="K605" s="958" t="s">
        <v>507</v>
      </c>
      <c r="L605" s="959">
        <f>ROUND(SUM('RES. CENTRAL PARK:RUA_FINAL'!L605),2)</f>
        <v>0</v>
      </c>
      <c r="M605" s="960">
        <f t="shared" si="213"/>
        <v>0</v>
      </c>
      <c r="N605" s="893">
        <f t="shared" si="214"/>
        <v>0</v>
      </c>
      <c r="O605" s="905"/>
      <c r="P605" s="58" t="str">
        <f>IF(N603&gt;0,"xx",IF(N603&gt;0,"xy",""))</f>
        <v/>
      </c>
      <c r="Q605" s="317" t="str">
        <f t="shared" si="215"/>
        <v/>
      </c>
      <c r="R605" s="317" t="str">
        <f t="shared" si="216"/>
        <v/>
      </c>
      <c r="S605" s="317" t="str">
        <f t="shared" si="217"/>
        <v/>
      </c>
      <c r="V605" s="314">
        <f>SUM('RES. CENTRAL PARK:RUA_FINAL'!N605)</f>
        <v>0</v>
      </c>
      <c r="W605" s="315">
        <f t="shared" si="219"/>
        <v>0</v>
      </c>
    </row>
    <row r="606" spans="1:23" ht="15" hidden="1" customHeight="1" x14ac:dyDescent="0.2">
      <c r="A606" s="63" t="s">
        <v>147</v>
      </c>
      <c r="B606" s="895" t="s">
        <v>147</v>
      </c>
      <c r="C606" s="896"/>
      <c r="D606" s="957" t="s">
        <v>233</v>
      </c>
      <c r="E606" s="907">
        <f>DMT!$F$40</f>
        <v>0.2</v>
      </c>
      <c r="F606" s="908">
        <f>ROUND(0.031*1.11,4)</f>
        <v>3.44E-2</v>
      </c>
      <c r="G606" s="949">
        <f t="shared" si="221"/>
        <v>9.9553600000000006E-2</v>
      </c>
      <c r="H606" s="901">
        <v>0</v>
      </c>
      <c r="I606" s="901"/>
      <c r="J606" s="902">
        <v>0</v>
      </c>
      <c r="K606" s="958" t="s">
        <v>507</v>
      </c>
      <c r="L606" s="959">
        <f>ROUND(SUM('RES. CENTRAL PARK:RUA_FINAL'!L606),2)</f>
        <v>0</v>
      </c>
      <c r="M606" s="960">
        <f t="shared" si="213"/>
        <v>0</v>
      </c>
      <c r="N606" s="893">
        <f t="shared" si="214"/>
        <v>0</v>
      </c>
      <c r="O606" s="905"/>
      <c r="P606" s="58" t="str">
        <f>IF(N603&gt;0,"xx",IF(N603&gt;0,"xy",""))</f>
        <v/>
      </c>
      <c r="Q606" s="317" t="str">
        <f t="shared" si="215"/>
        <v/>
      </c>
      <c r="R606" s="317" t="str">
        <f t="shared" si="216"/>
        <v/>
      </c>
      <c r="S606" s="317" t="str">
        <f t="shared" si="217"/>
        <v/>
      </c>
      <c r="V606" s="314">
        <f>SUM('RES. CENTRAL PARK:RUA_FINAL'!N606)</f>
        <v>0</v>
      </c>
      <c r="W606" s="315">
        <f t="shared" si="219"/>
        <v>0</v>
      </c>
    </row>
    <row r="607" spans="1:23" ht="15" hidden="1" customHeight="1" x14ac:dyDescent="0.2">
      <c r="A607" s="63">
        <v>810650</v>
      </c>
      <c r="B607" s="895">
        <v>810650</v>
      </c>
      <c r="C607" s="896" t="s">
        <v>184</v>
      </c>
      <c r="D607" s="906" t="s">
        <v>253</v>
      </c>
      <c r="E607" s="907">
        <f>DMT!$F$36</f>
        <v>0.1</v>
      </c>
      <c r="F607" s="908">
        <v>7.2599999999999998E-2</v>
      </c>
      <c r="G607" s="949">
        <f t="shared" si="221"/>
        <v>0.20233620000000002</v>
      </c>
      <c r="H607" s="901">
        <v>40.98</v>
      </c>
      <c r="I607" s="901">
        <f>IF(ISBLANK(H607),"",SUM(G607:H607))</f>
        <v>41.182336199999995</v>
      </c>
      <c r="J607" s="902">
        <f t="shared" si="211"/>
        <v>49.45</v>
      </c>
      <c r="K607" s="903" t="s">
        <v>13</v>
      </c>
      <c r="L607" s="904">
        <f>ROUND(SUM('RES. CENTRAL PARK:RUA_FINAL'!L607),2)</f>
        <v>0</v>
      </c>
      <c r="M607" s="904">
        <f t="shared" si="213"/>
        <v>0</v>
      </c>
      <c r="N607" s="893">
        <f t="shared" si="214"/>
        <v>0</v>
      </c>
      <c r="O607" s="905"/>
      <c r="Q607" s="317" t="str">
        <f t="shared" si="215"/>
        <v/>
      </c>
      <c r="R607" s="317" t="str">
        <f t="shared" si="216"/>
        <v/>
      </c>
      <c r="S607" s="317" t="str">
        <f t="shared" si="217"/>
        <v/>
      </c>
      <c r="V607" s="314">
        <f>SUM('RES. CENTRAL PARK:RUA_FINAL'!N607)</f>
        <v>0</v>
      </c>
      <c r="W607" s="315">
        <f t="shared" si="219"/>
        <v>0</v>
      </c>
    </row>
    <row r="608" spans="1:23" ht="15" hidden="1" customHeight="1" x14ac:dyDescent="0.2">
      <c r="A608" s="63">
        <v>810300</v>
      </c>
      <c r="B608" s="895">
        <v>810300</v>
      </c>
      <c r="C608" s="896" t="s">
        <v>184</v>
      </c>
      <c r="D608" s="906" t="s">
        <v>254</v>
      </c>
      <c r="E608" s="907"/>
      <c r="F608" s="908"/>
      <c r="G608" s="912">
        <f>SUM(G609:G611)</f>
        <v>7.7109237999999998</v>
      </c>
      <c r="H608" s="901">
        <v>22.58</v>
      </c>
      <c r="I608" s="901">
        <f>IF(ISBLANK(H608),"",SUM(G608:H608))</f>
        <v>30.290923799999998</v>
      </c>
      <c r="J608" s="902">
        <f t="shared" si="211"/>
        <v>36.369999999999997</v>
      </c>
      <c r="K608" s="903" t="s">
        <v>13</v>
      </c>
      <c r="L608" s="904">
        <f>ROUND(SUM('RES. CENTRAL PARK:RUA_FINAL'!L608),2)</f>
        <v>0</v>
      </c>
      <c r="M608" s="904">
        <f t="shared" si="213"/>
        <v>0</v>
      </c>
      <c r="N608" s="893">
        <f t="shared" si="214"/>
        <v>0</v>
      </c>
      <c r="O608" s="905"/>
      <c r="Q608" s="317" t="str">
        <f t="shared" si="215"/>
        <v/>
      </c>
      <c r="R608" s="317" t="str">
        <f t="shared" si="216"/>
        <v/>
      </c>
      <c r="S608" s="317" t="str">
        <f t="shared" si="217"/>
        <v/>
      </c>
      <c r="V608" s="314">
        <f>SUM('RES. CENTRAL PARK:RUA_FINAL'!N608)</f>
        <v>0</v>
      </c>
      <c r="W608" s="315">
        <f t="shared" si="219"/>
        <v>0</v>
      </c>
    </row>
    <row r="609" spans="1:23" ht="15" hidden="1" customHeight="1" x14ac:dyDescent="0.2">
      <c r="A609" s="63" t="s">
        <v>147</v>
      </c>
      <c r="B609" s="895" t="s">
        <v>147</v>
      </c>
      <c r="C609" s="896"/>
      <c r="D609" s="957" t="s">
        <v>190</v>
      </c>
      <c r="E609" s="907">
        <f>DMT!$D$20</f>
        <v>308</v>
      </c>
      <c r="F609" s="908">
        <f>ROUND(0.034*0.27,4)</f>
        <v>9.1999999999999998E-3</v>
      </c>
      <c r="G609" s="909">
        <f>IF(E609&lt;=30,(0.78*E609+7.82)*F609,((0.78*30+7.82)+0.78*(E609-30))*F609)</f>
        <v>2.282152</v>
      </c>
      <c r="H609" s="901">
        <v>0</v>
      </c>
      <c r="I609" s="901"/>
      <c r="J609" s="902">
        <v>0</v>
      </c>
      <c r="K609" s="958" t="s">
        <v>507</v>
      </c>
      <c r="L609" s="959">
        <f>ROUND(SUM('RES. CENTRAL PARK:RUA_FINAL'!L609),2)</f>
        <v>0</v>
      </c>
      <c r="M609" s="960">
        <f t="shared" si="213"/>
        <v>0</v>
      </c>
      <c r="N609" s="893">
        <f t="shared" si="214"/>
        <v>0</v>
      </c>
      <c r="O609" s="905"/>
      <c r="P609" s="58" t="str">
        <f>IF(N608&gt;0,"xx",IF(N608&gt;0,"xy",""))</f>
        <v/>
      </c>
      <c r="Q609" s="317" t="str">
        <f t="shared" si="215"/>
        <v/>
      </c>
      <c r="R609" s="317" t="str">
        <f t="shared" si="216"/>
        <v/>
      </c>
      <c r="S609" s="317" t="str">
        <f t="shared" si="217"/>
        <v/>
      </c>
      <c r="V609" s="314">
        <f>SUM('RES. CENTRAL PARK:RUA_FINAL'!N609)</f>
        <v>0</v>
      </c>
      <c r="W609" s="315">
        <f t="shared" si="219"/>
        <v>0</v>
      </c>
    </row>
    <row r="610" spans="1:23" ht="15" hidden="1" customHeight="1" x14ac:dyDescent="0.2">
      <c r="A610" s="63" t="s">
        <v>147</v>
      </c>
      <c r="B610" s="895" t="s">
        <v>147</v>
      </c>
      <c r="C610" s="896"/>
      <c r="D610" s="957" t="s">
        <v>229</v>
      </c>
      <c r="E610" s="907">
        <f>DMT!$F$39</f>
        <v>150</v>
      </c>
      <c r="F610" s="908">
        <f>ROUND(0.034*0.96,4)</f>
        <v>3.2599999999999997E-2</v>
      </c>
      <c r="G610" s="949">
        <f t="shared" ref="G610:G612" si="222">IF(E610&lt;=30,(1.07*E610+2.68)*F610,((1.07*30+2.68)+1.07*(E610-30))*F610)</f>
        <v>5.3196680000000001</v>
      </c>
      <c r="H610" s="901">
        <v>0</v>
      </c>
      <c r="I610" s="901"/>
      <c r="J610" s="902">
        <v>0</v>
      </c>
      <c r="K610" s="958" t="s">
        <v>507</v>
      </c>
      <c r="L610" s="959">
        <f>ROUND(SUM('RES. CENTRAL PARK:RUA_FINAL'!L610),2)</f>
        <v>0</v>
      </c>
      <c r="M610" s="960">
        <f t="shared" si="213"/>
        <v>0</v>
      </c>
      <c r="N610" s="893">
        <f t="shared" si="214"/>
        <v>0</v>
      </c>
      <c r="O610" s="905"/>
      <c r="P610" s="58" t="str">
        <f>IF(N608&gt;0,"xx",IF(N608&gt;0,"xy",""))</f>
        <v/>
      </c>
      <c r="Q610" s="317" t="str">
        <f t="shared" si="215"/>
        <v/>
      </c>
      <c r="R610" s="317" t="str">
        <f t="shared" si="216"/>
        <v/>
      </c>
      <c r="S610" s="317" t="str">
        <f t="shared" si="217"/>
        <v/>
      </c>
      <c r="V610" s="314">
        <f>SUM('RES. CENTRAL PARK:RUA_FINAL'!N610)</f>
        <v>0</v>
      </c>
      <c r="W610" s="315">
        <f t="shared" si="219"/>
        <v>0</v>
      </c>
    </row>
    <row r="611" spans="1:23" ht="15" hidden="1" customHeight="1" x14ac:dyDescent="0.2">
      <c r="A611" s="63" t="s">
        <v>147</v>
      </c>
      <c r="B611" s="895" t="s">
        <v>147</v>
      </c>
      <c r="C611" s="896"/>
      <c r="D611" s="957" t="s">
        <v>233</v>
      </c>
      <c r="E611" s="907">
        <f>DMT!$F$40</f>
        <v>0.2</v>
      </c>
      <c r="F611" s="908">
        <f>ROUND(0.034*1.11,4)</f>
        <v>3.7699999999999997E-2</v>
      </c>
      <c r="G611" s="949">
        <f t="shared" si="222"/>
        <v>0.1091038</v>
      </c>
      <c r="H611" s="901">
        <v>0</v>
      </c>
      <c r="I611" s="901"/>
      <c r="J611" s="902">
        <v>0</v>
      </c>
      <c r="K611" s="958" t="s">
        <v>507</v>
      </c>
      <c r="L611" s="959">
        <f>ROUND(SUM('RES. CENTRAL PARK:RUA_FINAL'!L611),2)</f>
        <v>0</v>
      </c>
      <c r="M611" s="960">
        <f t="shared" si="213"/>
        <v>0</v>
      </c>
      <c r="N611" s="893">
        <f t="shared" si="214"/>
        <v>0</v>
      </c>
      <c r="O611" s="905"/>
      <c r="P611" s="58" t="str">
        <f>IF(N608&gt;0,"xx",IF(N608&gt;0,"xy",""))</f>
        <v/>
      </c>
      <c r="Q611" s="317" t="str">
        <f t="shared" si="215"/>
        <v/>
      </c>
      <c r="R611" s="317" t="str">
        <f t="shared" si="216"/>
        <v/>
      </c>
      <c r="S611" s="317" t="str">
        <f t="shared" si="217"/>
        <v/>
      </c>
      <c r="V611" s="314">
        <f>SUM('RES. CENTRAL PARK:RUA_FINAL'!N611)</f>
        <v>0</v>
      </c>
      <c r="W611" s="315">
        <f t="shared" si="219"/>
        <v>0</v>
      </c>
    </row>
    <row r="612" spans="1:23" ht="15" hidden="1" customHeight="1" x14ac:dyDescent="0.2">
      <c r="A612" s="63">
        <v>810250</v>
      </c>
      <c r="B612" s="895" t="s">
        <v>1710</v>
      </c>
      <c r="C612" s="896" t="s">
        <v>184</v>
      </c>
      <c r="D612" s="906" t="s">
        <v>255</v>
      </c>
      <c r="E612" s="907">
        <f>DMT!$F$36</f>
        <v>0.1</v>
      </c>
      <c r="F612" s="908">
        <v>7.9500000000000001E-2</v>
      </c>
      <c r="G612" s="949">
        <f t="shared" si="222"/>
        <v>0.22156650000000003</v>
      </c>
      <c r="H612" s="901">
        <v>40.090000000000003</v>
      </c>
      <c r="I612" s="901">
        <f>IF(ISBLANK(H612),"",SUM(G612:H612))</f>
        <v>40.311566500000005</v>
      </c>
      <c r="J612" s="902">
        <f t="shared" si="211"/>
        <v>48.4</v>
      </c>
      <c r="K612" s="903" t="s">
        <v>13</v>
      </c>
      <c r="L612" s="904">
        <f>ROUND(SUM('RES. CENTRAL PARK:RUA_FINAL'!L612),2)</f>
        <v>0</v>
      </c>
      <c r="M612" s="904">
        <f t="shared" si="213"/>
        <v>0</v>
      </c>
      <c r="N612" s="893">
        <f t="shared" si="214"/>
        <v>0</v>
      </c>
      <c r="O612" s="905"/>
      <c r="Q612" s="317" t="str">
        <f t="shared" si="215"/>
        <v/>
      </c>
      <c r="R612" s="317" t="str">
        <f t="shared" si="216"/>
        <v/>
      </c>
      <c r="S612" s="317" t="str">
        <f t="shared" si="217"/>
        <v/>
      </c>
      <c r="V612" s="314">
        <f>SUM('RES. CENTRAL PARK:RUA_FINAL'!N612)</f>
        <v>0</v>
      </c>
      <c r="W612" s="315">
        <f t="shared" si="219"/>
        <v>0</v>
      </c>
    </row>
    <row r="613" spans="1:23" ht="15" hidden="1" customHeight="1" x14ac:dyDescent="0.2">
      <c r="A613" s="63">
        <v>810400</v>
      </c>
      <c r="B613" s="895">
        <v>810400</v>
      </c>
      <c r="C613" s="896" t="s">
        <v>184</v>
      </c>
      <c r="D613" s="906" t="s">
        <v>256</v>
      </c>
      <c r="E613" s="907"/>
      <c r="F613" s="908"/>
      <c r="G613" s="912">
        <f>SUM(G614:G616)</f>
        <v>16.319332599999999</v>
      </c>
      <c r="H613" s="901">
        <v>41.97</v>
      </c>
      <c r="I613" s="901">
        <f>IF(ISBLANK(H613),"",SUM(G613:H613))</f>
        <v>58.289332599999994</v>
      </c>
      <c r="J613" s="902">
        <f t="shared" si="211"/>
        <v>69.989999999999995</v>
      </c>
      <c r="K613" s="903" t="s">
        <v>13</v>
      </c>
      <c r="L613" s="904">
        <f>ROUND(SUM('RES. CENTRAL PARK:RUA_FINAL'!L613),2)</f>
        <v>0</v>
      </c>
      <c r="M613" s="904">
        <f t="shared" si="213"/>
        <v>0</v>
      </c>
      <c r="N613" s="893">
        <f t="shared" si="214"/>
        <v>0</v>
      </c>
      <c r="O613" s="905"/>
      <c r="Q613" s="317" t="str">
        <f t="shared" si="215"/>
        <v/>
      </c>
      <c r="R613" s="317" t="str">
        <f t="shared" si="216"/>
        <v/>
      </c>
      <c r="S613" s="317" t="str">
        <f t="shared" si="217"/>
        <v/>
      </c>
      <c r="V613" s="314">
        <f>SUM('RES. CENTRAL PARK:RUA_FINAL'!N613)</f>
        <v>0</v>
      </c>
      <c r="W613" s="315">
        <f t="shared" si="219"/>
        <v>0</v>
      </c>
    </row>
    <row r="614" spans="1:23" ht="15" hidden="1" customHeight="1" x14ac:dyDescent="0.2">
      <c r="A614" s="63" t="s">
        <v>147</v>
      </c>
      <c r="B614" s="895" t="s">
        <v>147</v>
      </c>
      <c r="C614" s="896"/>
      <c r="D614" s="957" t="s">
        <v>190</v>
      </c>
      <c r="E614" s="907">
        <f>DMT!$D$20</f>
        <v>308</v>
      </c>
      <c r="F614" s="908">
        <f>ROUND(0.072*0.27,4)</f>
        <v>1.9400000000000001E-2</v>
      </c>
      <c r="G614" s="909">
        <f>IF(E614&lt;=30,(0.78*E614+7.82)*F614,((0.78*30+7.82)+0.78*(E614-30))*F614)</f>
        <v>4.8123640000000005</v>
      </c>
      <c r="H614" s="901">
        <v>0</v>
      </c>
      <c r="I614" s="901"/>
      <c r="J614" s="902">
        <v>0</v>
      </c>
      <c r="K614" s="958" t="s">
        <v>507</v>
      </c>
      <c r="L614" s="959">
        <f>ROUND(SUM('RES. CENTRAL PARK:RUA_FINAL'!L614),2)</f>
        <v>0</v>
      </c>
      <c r="M614" s="960">
        <f t="shared" si="213"/>
        <v>0</v>
      </c>
      <c r="N614" s="893">
        <f t="shared" si="214"/>
        <v>0</v>
      </c>
      <c r="O614" s="905"/>
      <c r="P614" s="58" t="str">
        <f>IF(N613&gt;0,"xx",IF(N613&gt;0,"xy",""))</f>
        <v/>
      </c>
      <c r="Q614" s="317" t="str">
        <f t="shared" si="215"/>
        <v/>
      </c>
      <c r="R614" s="317" t="str">
        <f t="shared" si="216"/>
        <v/>
      </c>
      <c r="S614" s="317" t="str">
        <f t="shared" si="217"/>
        <v/>
      </c>
      <c r="V614" s="314">
        <f>SUM('RES. CENTRAL PARK:RUA_FINAL'!N614)</f>
        <v>0</v>
      </c>
      <c r="W614" s="315">
        <f t="shared" si="219"/>
        <v>0</v>
      </c>
    </row>
    <row r="615" spans="1:23" ht="15" hidden="1" customHeight="1" x14ac:dyDescent="0.2">
      <c r="A615" s="63" t="s">
        <v>147</v>
      </c>
      <c r="B615" s="895" t="s">
        <v>147</v>
      </c>
      <c r="C615" s="896"/>
      <c r="D615" s="957" t="s">
        <v>229</v>
      </c>
      <c r="E615" s="907">
        <f>DMT!$F$39</f>
        <v>150</v>
      </c>
      <c r="F615" s="908">
        <f>ROUND(0.072*0.96,4)</f>
        <v>6.9099999999999995E-2</v>
      </c>
      <c r="G615" s="949">
        <f t="shared" ref="G615:G617" si="223">IF(E615&lt;=30,(1.07*E615+2.68)*F615,((1.07*30+2.68)+1.07*(E615-30))*F615)</f>
        <v>11.275738</v>
      </c>
      <c r="H615" s="901">
        <v>0</v>
      </c>
      <c r="I615" s="901"/>
      <c r="J615" s="902">
        <v>0</v>
      </c>
      <c r="K615" s="958" t="s">
        <v>507</v>
      </c>
      <c r="L615" s="959">
        <f>ROUND(SUM('RES. CENTRAL PARK:RUA_FINAL'!L615),2)</f>
        <v>0</v>
      </c>
      <c r="M615" s="960">
        <f t="shared" si="213"/>
        <v>0</v>
      </c>
      <c r="N615" s="893">
        <f t="shared" si="214"/>
        <v>0</v>
      </c>
      <c r="O615" s="905"/>
      <c r="P615" s="58" t="str">
        <f>IF(N613&gt;0,"xx",IF(N613&gt;0,"xy",""))</f>
        <v/>
      </c>
      <c r="Q615" s="317" t="str">
        <f t="shared" si="215"/>
        <v/>
      </c>
      <c r="R615" s="317" t="str">
        <f t="shared" si="216"/>
        <v/>
      </c>
      <c r="S615" s="317" t="str">
        <f t="shared" si="217"/>
        <v/>
      </c>
      <c r="V615" s="314">
        <f>SUM('RES. CENTRAL PARK:RUA_FINAL'!N615)</f>
        <v>0</v>
      </c>
      <c r="W615" s="315">
        <f t="shared" si="219"/>
        <v>0</v>
      </c>
    </row>
    <row r="616" spans="1:23" ht="15" hidden="1" customHeight="1" x14ac:dyDescent="0.2">
      <c r="A616" s="63" t="s">
        <v>147</v>
      </c>
      <c r="B616" s="895" t="s">
        <v>147</v>
      </c>
      <c r="C616" s="896"/>
      <c r="D616" s="957" t="s">
        <v>233</v>
      </c>
      <c r="E616" s="907">
        <f>DMT!$F$40</f>
        <v>0.2</v>
      </c>
      <c r="F616" s="908">
        <f>ROUND(0.072*1.11,4)</f>
        <v>7.9899999999999999E-2</v>
      </c>
      <c r="G616" s="949">
        <f t="shared" si="223"/>
        <v>0.23123060000000001</v>
      </c>
      <c r="H616" s="901">
        <v>0</v>
      </c>
      <c r="I616" s="901"/>
      <c r="J616" s="902">
        <v>0</v>
      </c>
      <c r="K616" s="958" t="s">
        <v>507</v>
      </c>
      <c r="L616" s="959">
        <f>ROUND(SUM('RES. CENTRAL PARK:RUA_FINAL'!L616),2)</f>
        <v>0</v>
      </c>
      <c r="M616" s="960">
        <f t="shared" si="213"/>
        <v>0</v>
      </c>
      <c r="N616" s="893">
        <f t="shared" si="214"/>
        <v>0</v>
      </c>
      <c r="O616" s="905"/>
      <c r="P616" s="58" t="str">
        <f>IF(N613&gt;0,"xx",IF(N613&gt;0,"xy",""))</f>
        <v/>
      </c>
      <c r="Q616" s="317" t="str">
        <f t="shared" si="215"/>
        <v/>
      </c>
      <c r="R616" s="317" t="str">
        <f t="shared" si="216"/>
        <v/>
      </c>
      <c r="S616" s="317" t="str">
        <f t="shared" si="217"/>
        <v/>
      </c>
      <c r="V616" s="314">
        <f>SUM('RES. CENTRAL PARK:RUA_FINAL'!N616)</f>
        <v>0</v>
      </c>
      <c r="W616" s="315">
        <f t="shared" si="219"/>
        <v>0</v>
      </c>
    </row>
    <row r="617" spans="1:23" ht="15" hidden="1" customHeight="1" x14ac:dyDescent="0.2">
      <c r="A617" s="63">
        <v>810350</v>
      </c>
      <c r="B617" s="895">
        <v>810350</v>
      </c>
      <c r="C617" s="896" t="s">
        <v>184</v>
      </c>
      <c r="D617" s="906" t="s">
        <v>257</v>
      </c>
      <c r="E617" s="907">
        <f>DMT!$F$36</f>
        <v>0.1</v>
      </c>
      <c r="F617" s="908">
        <v>0.16839999999999999</v>
      </c>
      <c r="G617" s="949">
        <f t="shared" si="223"/>
        <v>0.46933080000000005</v>
      </c>
      <c r="H617" s="901">
        <v>64.56</v>
      </c>
      <c r="I617" s="901">
        <f>IF(ISBLANK(H617),"",SUM(G617:H617))</f>
        <v>65.029330799999997</v>
      </c>
      <c r="J617" s="902">
        <f t="shared" si="211"/>
        <v>78.08</v>
      </c>
      <c r="K617" s="903" t="s">
        <v>13</v>
      </c>
      <c r="L617" s="910">
        <f>ROUND(SUM('RES. CENTRAL PARK:RUA_FINAL'!L617),2)</f>
        <v>0</v>
      </c>
      <c r="M617" s="911">
        <f t="shared" si="213"/>
        <v>0</v>
      </c>
      <c r="N617" s="893">
        <f t="shared" si="214"/>
        <v>0</v>
      </c>
      <c r="O617" s="905"/>
      <c r="Q617" s="317" t="str">
        <f t="shared" si="215"/>
        <v/>
      </c>
      <c r="R617" s="317" t="str">
        <f t="shared" si="216"/>
        <v/>
      </c>
      <c r="S617" s="317" t="str">
        <f t="shared" si="217"/>
        <v/>
      </c>
      <c r="V617" s="314">
        <f>SUM('RES. CENTRAL PARK:RUA_FINAL'!N617)</f>
        <v>0</v>
      </c>
      <c r="W617" s="315">
        <f t="shared" si="219"/>
        <v>0</v>
      </c>
    </row>
    <row r="618" spans="1:23" ht="15" hidden="1" customHeight="1" x14ac:dyDescent="0.2">
      <c r="A618" s="565" t="s">
        <v>165</v>
      </c>
      <c r="B618" s="913" t="s">
        <v>165</v>
      </c>
      <c r="C618" s="914"/>
      <c r="D618" s="915" t="s">
        <v>214</v>
      </c>
      <c r="E618" s="916"/>
      <c r="F618" s="917"/>
      <c r="G618" s="918"/>
      <c r="H618" s="919">
        <v>0</v>
      </c>
      <c r="I618" s="919"/>
      <c r="J618" s="919">
        <v>0</v>
      </c>
      <c r="K618" s="920" t="s">
        <v>507</v>
      </c>
      <c r="L618" s="921">
        <f>ROUND(SUM('RES. CENTRAL PARK:RUA_FINAL'!L618),2)</f>
        <v>0</v>
      </c>
      <c r="M618" s="922">
        <f t="shared" si="213"/>
        <v>0</v>
      </c>
      <c r="N618" s="923">
        <f t="shared" si="214"/>
        <v>0</v>
      </c>
      <c r="O618" s="905"/>
      <c r="P618" s="58" t="str">
        <f>IF(OR(SUM(N619:N643)&gt;0,SUM(N619:N643)&gt;0),"y","")</f>
        <v/>
      </c>
      <c r="Q618" s="317" t="str">
        <f t="shared" si="215"/>
        <v/>
      </c>
      <c r="R618" s="317" t="str">
        <f t="shared" si="216"/>
        <v/>
      </c>
      <c r="S618" s="317" t="str">
        <f t="shared" si="217"/>
        <v/>
      </c>
      <c r="V618" s="314">
        <f>SUM('RES. CENTRAL PARK:RUA_FINAL'!N618)</f>
        <v>0</v>
      </c>
      <c r="W618" s="315">
        <f t="shared" si="219"/>
        <v>0</v>
      </c>
    </row>
    <row r="619" spans="1:23" ht="15" hidden="1" customHeight="1" x14ac:dyDescent="0.2">
      <c r="A619" s="565" t="s">
        <v>165</v>
      </c>
      <c r="B619" s="924" t="s">
        <v>165</v>
      </c>
      <c r="C619" s="925" t="s">
        <v>165</v>
      </c>
      <c r="D619" s="926"/>
      <c r="E619" s="927"/>
      <c r="F619" s="928"/>
      <c r="G619" s="929"/>
      <c r="H619" s="930">
        <v>0</v>
      </c>
      <c r="I619" s="901">
        <f t="shared" ref="I619:I643" si="224">IF(ISBLANK(H619),"",SUM(G619:H619))</f>
        <v>0</v>
      </c>
      <c r="J619" s="902">
        <f t="shared" si="211"/>
        <v>0</v>
      </c>
      <c r="K619" s="928" t="s">
        <v>507</v>
      </c>
      <c r="L619" s="910">
        <f>ROUND(SUM('RES. CENTRAL PARK:RUA_FINAL'!L619),2)</f>
        <v>0</v>
      </c>
      <c r="M619" s="911">
        <f t="shared" si="213"/>
        <v>0</v>
      </c>
      <c r="N619" s="893">
        <f t="shared" si="214"/>
        <v>0</v>
      </c>
      <c r="O619" s="905"/>
      <c r="Q619" s="317" t="str">
        <f t="shared" si="215"/>
        <v/>
      </c>
      <c r="R619" s="317" t="str">
        <f t="shared" si="216"/>
        <v/>
      </c>
      <c r="S619" s="317" t="str">
        <f t="shared" si="217"/>
        <v/>
      </c>
      <c r="V619" s="314">
        <f>SUM('RES. CENTRAL PARK:RUA_FINAL'!N619)</f>
        <v>0</v>
      </c>
      <c r="W619" s="315">
        <f t="shared" si="219"/>
        <v>0</v>
      </c>
    </row>
    <row r="620" spans="1:23" ht="15" hidden="1" customHeight="1" x14ac:dyDescent="0.2">
      <c r="A620" s="565" t="s">
        <v>165</v>
      </c>
      <c r="B620" s="924" t="s">
        <v>165</v>
      </c>
      <c r="C620" s="925" t="s">
        <v>165</v>
      </c>
      <c r="D620" s="926"/>
      <c r="E620" s="927"/>
      <c r="F620" s="928"/>
      <c r="G620" s="929"/>
      <c r="H620" s="930">
        <v>0</v>
      </c>
      <c r="I620" s="901">
        <f t="shared" si="224"/>
        <v>0</v>
      </c>
      <c r="J620" s="902">
        <f t="shared" si="211"/>
        <v>0</v>
      </c>
      <c r="K620" s="928" t="s">
        <v>507</v>
      </c>
      <c r="L620" s="904">
        <f>ROUND(SUM('RES. CENTRAL PARK:RUA_FINAL'!L620),2)</f>
        <v>0</v>
      </c>
      <c r="M620" s="904">
        <f t="shared" si="213"/>
        <v>0</v>
      </c>
      <c r="N620" s="932">
        <f t="shared" si="214"/>
        <v>0</v>
      </c>
      <c r="O620" s="905"/>
      <c r="Q620" s="317" t="str">
        <f t="shared" si="215"/>
        <v/>
      </c>
      <c r="R620" s="317" t="str">
        <f t="shared" si="216"/>
        <v/>
      </c>
      <c r="S620" s="317" t="str">
        <f t="shared" si="217"/>
        <v/>
      </c>
      <c r="V620" s="314">
        <f>SUM('RES. CENTRAL PARK:RUA_FINAL'!N620)</f>
        <v>0</v>
      </c>
      <c r="W620" s="315">
        <f t="shared" si="219"/>
        <v>0</v>
      </c>
    </row>
    <row r="621" spans="1:23" ht="15" hidden="1" customHeight="1" x14ac:dyDescent="0.2">
      <c r="A621" s="565" t="s">
        <v>165</v>
      </c>
      <c r="B621" s="924" t="s">
        <v>165</v>
      </c>
      <c r="C621" s="925" t="s">
        <v>165</v>
      </c>
      <c r="D621" s="926"/>
      <c r="E621" s="927"/>
      <c r="F621" s="928"/>
      <c r="G621" s="929"/>
      <c r="H621" s="930">
        <v>0</v>
      </c>
      <c r="I621" s="901">
        <f t="shared" si="224"/>
        <v>0</v>
      </c>
      <c r="J621" s="902">
        <f t="shared" si="211"/>
        <v>0</v>
      </c>
      <c r="K621" s="928" t="s">
        <v>507</v>
      </c>
      <c r="L621" s="904">
        <f>ROUND(SUM('RES. CENTRAL PARK:RUA_FINAL'!L621),2)</f>
        <v>0</v>
      </c>
      <c r="M621" s="904">
        <f t="shared" si="213"/>
        <v>0</v>
      </c>
      <c r="N621" s="893">
        <f t="shared" si="214"/>
        <v>0</v>
      </c>
      <c r="O621" s="905"/>
      <c r="Q621" s="317" t="str">
        <f t="shared" si="215"/>
        <v/>
      </c>
      <c r="R621" s="317" t="str">
        <f t="shared" si="216"/>
        <v/>
      </c>
      <c r="S621" s="317" t="str">
        <f t="shared" si="217"/>
        <v/>
      </c>
      <c r="V621" s="314">
        <f>SUM('RES. CENTRAL PARK:RUA_FINAL'!N621)</f>
        <v>0</v>
      </c>
      <c r="W621" s="315">
        <f t="shared" si="219"/>
        <v>0</v>
      </c>
    </row>
    <row r="622" spans="1:23" ht="15" hidden="1" customHeight="1" x14ac:dyDescent="0.2">
      <c r="A622" s="565" t="s">
        <v>165</v>
      </c>
      <c r="B622" s="924" t="s">
        <v>165</v>
      </c>
      <c r="C622" s="925" t="s">
        <v>165</v>
      </c>
      <c r="D622" s="926"/>
      <c r="E622" s="927"/>
      <c r="F622" s="928"/>
      <c r="G622" s="929"/>
      <c r="H622" s="930">
        <v>0</v>
      </c>
      <c r="I622" s="901">
        <f t="shared" si="224"/>
        <v>0</v>
      </c>
      <c r="J622" s="902">
        <f t="shared" si="211"/>
        <v>0</v>
      </c>
      <c r="K622" s="928" t="s">
        <v>507</v>
      </c>
      <c r="L622" s="904">
        <f>ROUND(SUM('RES. CENTRAL PARK:RUA_FINAL'!L622),2)</f>
        <v>0</v>
      </c>
      <c r="M622" s="904">
        <f t="shared" si="213"/>
        <v>0</v>
      </c>
      <c r="N622" s="893">
        <f t="shared" si="214"/>
        <v>0</v>
      </c>
      <c r="O622" s="905"/>
      <c r="Q622" s="317" t="str">
        <f t="shared" si="215"/>
        <v/>
      </c>
      <c r="R622" s="317" t="str">
        <f t="shared" si="216"/>
        <v/>
      </c>
      <c r="S622" s="317" t="str">
        <f t="shared" si="217"/>
        <v/>
      </c>
      <c r="V622" s="314">
        <f>SUM('RES. CENTRAL PARK:RUA_FINAL'!N622)</f>
        <v>0</v>
      </c>
      <c r="W622" s="315">
        <f t="shared" si="219"/>
        <v>0</v>
      </c>
    </row>
    <row r="623" spans="1:23" ht="15" hidden="1" customHeight="1" x14ac:dyDescent="0.2">
      <c r="A623" s="565" t="s">
        <v>165</v>
      </c>
      <c r="B623" s="924" t="s">
        <v>165</v>
      </c>
      <c r="C623" s="925" t="s">
        <v>165</v>
      </c>
      <c r="D623" s="926"/>
      <c r="E623" s="927"/>
      <c r="F623" s="928"/>
      <c r="G623" s="929"/>
      <c r="H623" s="930">
        <v>0</v>
      </c>
      <c r="I623" s="901">
        <f t="shared" si="224"/>
        <v>0</v>
      </c>
      <c r="J623" s="902">
        <f t="shared" si="211"/>
        <v>0</v>
      </c>
      <c r="K623" s="928" t="s">
        <v>507</v>
      </c>
      <c r="L623" s="904">
        <f>ROUND(SUM('RES. CENTRAL PARK:RUA_FINAL'!L623),2)</f>
        <v>0</v>
      </c>
      <c r="M623" s="904">
        <f t="shared" si="213"/>
        <v>0</v>
      </c>
      <c r="N623" s="893">
        <f t="shared" si="214"/>
        <v>0</v>
      </c>
      <c r="O623" s="905"/>
      <c r="Q623" s="317" t="str">
        <f t="shared" si="215"/>
        <v/>
      </c>
      <c r="R623" s="317" t="str">
        <f t="shared" si="216"/>
        <v/>
      </c>
      <c r="S623" s="317" t="str">
        <f t="shared" si="217"/>
        <v/>
      </c>
      <c r="V623" s="314">
        <f>SUM('RES. CENTRAL PARK:RUA_FINAL'!N623)</f>
        <v>0</v>
      </c>
      <c r="W623" s="315">
        <f t="shared" si="219"/>
        <v>0</v>
      </c>
    </row>
    <row r="624" spans="1:23" ht="15" hidden="1" customHeight="1" x14ac:dyDescent="0.2">
      <c r="A624" s="565" t="s">
        <v>165</v>
      </c>
      <c r="B624" s="924" t="s">
        <v>165</v>
      </c>
      <c r="C624" s="925" t="s">
        <v>165</v>
      </c>
      <c r="D624" s="926"/>
      <c r="E624" s="927"/>
      <c r="F624" s="928"/>
      <c r="G624" s="929"/>
      <c r="H624" s="930">
        <v>0</v>
      </c>
      <c r="I624" s="901">
        <f t="shared" si="224"/>
        <v>0</v>
      </c>
      <c r="J624" s="902">
        <f t="shared" si="211"/>
        <v>0</v>
      </c>
      <c r="K624" s="928" t="s">
        <v>507</v>
      </c>
      <c r="L624" s="904">
        <f>ROUND(SUM('RES. CENTRAL PARK:RUA_FINAL'!L624),2)</f>
        <v>0</v>
      </c>
      <c r="M624" s="904">
        <f t="shared" si="213"/>
        <v>0</v>
      </c>
      <c r="N624" s="893">
        <f t="shared" si="214"/>
        <v>0</v>
      </c>
      <c r="O624" s="905"/>
      <c r="Q624" s="317" t="str">
        <f t="shared" si="215"/>
        <v/>
      </c>
      <c r="R624" s="317" t="str">
        <f t="shared" si="216"/>
        <v/>
      </c>
      <c r="S624" s="317" t="str">
        <f t="shared" si="217"/>
        <v/>
      </c>
      <c r="V624" s="314">
        <f>SUM('RES. CENTRAL PARK:RUA_FINAL'!N624)</f>
        <v>0</v>
      </c>
      <c r="W624" s="315">
        <f t="shared" si="219"/>
        <v>0</v>
      </c>
    </row>
    <row r="625" spans="1:23" ht="15" hidden="1" customHeight="1" x14ac:dyDescent="0.2">
      <c r="A625" s="565" t="s">
        <v>165</v>
      </c>
      <c r="B625" s="924" t="s">
        <v>165</v>
      </c>
      <c r="C625" s="925" t="s">
        <v>165</v>
      </c>
      <c r="D625" s="926"/>
      <c r="E625" s="927"/>
      <c r="F625" s="928"/>
      <c r="G625" s="929"/>
      <c r="H625" s="930">
        <v>0</v>
      </c>
      <c r="I625" s="901">
        <f t="shared" si="224"/>
        <v>0</v>
      </c>
      <c r="J625" s="902">
        <f t="shared" si="211"/>
        <v>0</v>
      </c>
      <c r="K625" s="928" t="s">
        <v>507</v>
      </c>
      <c r="L625" s="904">
        <f>ROUND(SUM('RES. CENTRAL PARK:RUA_FINAL'!L625),2)</f>
        <v>0</v>
      </c>
      <c r="M625" s="904">
        <f t="shared" si="213"/>
        <v>0</v>
      </c>
      <c r="N625" s="893">
        <f t="shared" si="214"/>
        <v>0</v>
      </c>
      <c r="O625" s="905"/>
      <c r="Q625" s="317" t="str">
        <f t="shared" si="215"/>
        <v/>
      </c>
      <c r="R625" s="317" t="str">
        <f t="shared" si="216"/>
        <v/>
      </c>
      <c r="S625" s="317" t="str">
        <f t="shared" si="217"/>
        <v/>
      </c>
      <c r="V625" s="314">
        <f>SUM('RES. CENTRAL PARK:RUA_FINAL'!N625)</f>
        <v>0</v>
      </c>
      <c r="W625" s="315">
        <f t="shared" si="219"/>
        <v>0</v>
      </c>
    </row>
    <row r="626" spans="1:23" ht="15" hidden="1" customHeight="1" x14ac:dyDescent="0.2">
      <c r="A626" s="565" t="s">
        <v>165</v>
      </c>
      <c r="B626" s="924" t="s">
        <v>165</v>
      </c>
      <c r="C626" s="925" t="s">
        <v>165</v>
      </c>
      <c r="D626" s="926"/>
      <c r="E626" s="927"/>
      <c r="F626" s="928"/>
      <c r="G626" s="929"/>
      <c r="H626" s="930">
        <v>0</v>
      </c>
      <c r="I626" s="901">
        <f t="shared" si="224"/>
        <v>0</v>
      </c>
      <c r="J626" s="902">
        <f t="shared" si="211"/>
        <v>0</v>
      </c>
      <c r="K626" s="928" t="s">
        <v>507</v>
      </c>
      <c r="L626" s="904">
        <f>ROUND(SUM('RES. CENTRAL PARK:RUA_FINAL'!L626),2)</f>
        <v>0</v>
      </c>
      <c r="M626" s="904">
        <f t="shared" si="213"/>
        <v>0</v>
      </c>
      <c r="N626" s="893">
        <f t="shared" si="214"/>
        <v>0</v>
      </c>
      <c r="O626" s="905"/>
      <c r="Q626" s="317" t="str">
        <f t="shared" si="215"/>
        <v/>
      </c>
      <c r="R626" s="317" t="str">
        <f t="shared" si="216"/>
        <v/>
      </c>
      <c r="S626" s="317" t="str">
        <f t="shared" si="217"/>
        <v/>
      </c>
      <c r="V626" s="314">
        <f>SUM('RES. CENTRAL PARK:RUA_FINAL'!N626)</f>
        <v>0</v>
      </c>
      <c r="W626" s="315">
        <f t="shared" si="219"/>
        <v>0</v>
      </c>
    </row>
    <row r="627" spans="1:23" ht="15" hidden="1" customHeight="1" x14ac:dyDescent="0.2">
      <c r="A627" s="565" t="s">
        <v>165</v>
      </c>
      <c r="B627" s="924" t="s">
        <v>165</v>
      </c>
      <c r="C627" s="925" t="s">
        <v>165</v>
      </c>
      <c r="D627" s="926"/>
      <c r="E627" s="927"/>
      <c r="F627" s="928"/>
      <c r="G627" s="929"/>
      <c r="H627" s="930">
        <v>0</v>
      </c>
      <c r="I627" s="901">
        <f t="shared" si="224"/>
        <v>0</v>
      </c>
      <c r="J627" s="902">
        <f t="shared" si="211"/>
        <v>0</v>
      </c>
      <c r="K627" s="928" t="s">
        <v>507</v>
      </c>
      <c r="L627" s="904">
        <f>ROUND(SUM('RES. CENTRAL PARK:RUA_FINAL'!L627),2)</f>
        <v>0</v>
      </c>
      <c r="M627" s="904">
        <f t="shared" si="213"/>
        <v>0</v>
      </c>
      <c r="N627" s="893">
        <f t="shared" si="214"/>
        <v>0</v>
      </c>
      <c r="O627" s="905"/>
      <c r="Q627" s="317" t="str">
        <f t="shared" si="215"/>
        <v/>
      </c>
      <c r="R627" s="317" t="str">
        <f t="shared" si="216"/>
        <v/>
      </c>
      <c r="S627" s="317" t="str">
        <f t="shared" si="217"/>
        <v/>
      </c>
      <c r="V627" s="314">
        <f>SUM('RES. CENTRAL PARK:RUA_FINAL'!N627)</f>
        <v>0</v>
      </c>
      <c r="W627" s="315">
        <f t="shared" si="219"/>
        <v>0</v>
      </c>
    </row>
    <row r="628" spans="1:23" ht="15" hidden="1" customHeight="1" x14ac:dyDescent="0.2">
      <c r="A628" s="565" t="s">
        <v>165</v>
      </c>
      <c r="B628" s="924" t="s">
        <v>165</v>
      </c>
      <c r="C628" s="925" t="s">
        <v>165</v>
      </c>
      <c r="D628" s="926"/>
      <c r="E628" s="927"/>
      <c r="F628" s="928"/>
      <c r="G628" s="929"/>
      <c r="H628" s="930">
        <v>0</v>
      </c>
      <c r="I628" s="901">
        <f t="shared" si="224"/>
        <v>0</v>
      </c>
      <c r="J628" s="902">
        <f t="shared" si="211"/>
        <v>0</v>
      </c>
      <c r="K628" s="928" t="s">
        <v>507</v>
      </c>
      <c r="L628" s="904">
        <f>ROUND(SUM('RES. CENTRAL PARK:RUA_FINAL'!L628),2)</f>
        <v>0</v>
      </c>
      <c r="M628" s="904">
        <f t="shared" si="213"/>
        <v>0</v>
      </c>
      <c r="N628" s="893">
        <f t="shared" si="214"/>
        <v>0</v>
      </c>
      <c r="O628" s="905"/>
      <c r="Q628" s="317" t="str">
        <f t="shared" si="215"/>
        <v/>
      </c>
      <c r="R628" s="317" t="str">
        <f t="shared" si="216"/>
        <v/>
      </c>
      <c r="S628" s="317" t="str">
        <f t="shared" si="217"/>
        <v/>
      </c>
      <c r="V628" s="314">
        <f>SUM('RES. CENTRAL PARK:RUA_FINAL'!N628)</f>
        <v>0</v>
      </c>
      <c r="W628" s="315">
        <f t="shared" si="219"/>
        <v>0</v>
      </c>
    </row>
    <row r="629" spans="1:23" ht="15" hidden="1" customHeight="1" x14ac:dyDescent="0.2">
      <c r="A629" s="565" t="s">
        <v>165</v>
      </c>
      <c r="B629" s="924" t="s">
        <v>165</v>
      </c>
      <c r="C629" s="925" t="s">
        <v>165</v>
      </c>
      <c r="D629" s="926"/>
      <c r="E629" s="927"/>
      <c r="F629" s="928"/>
      <c r="G629" s="929"/>
      <c r="H629" s="930">
        <v>0</v>
      </c>
      <c r="I629" s="901">
        <f t="shared" si="224"/>
        <v>0</v>
      </c>
      <c r="J629" s="902">
        <f t="shared" si="211"/>
        <v>0</v>
      </c>
      <c r="K629" s="928" t="s">
        <v>507</v>
      </c>
      <c r="L629" s="904">
        <f>ROUND(SUM('RES. CENTRAL PARK:RUA_FINAL'!L629),2)</f>
        <v>0</v>
      </c>
      <c r="M629" s="904">
        <f t="shared" si="213"/>
        <v>0</v>
      </c>
      <c r="N629" s="893">
        <f t="shared" si="214"/>
        <v>0</v>
      </c>
      <c r="O629" s="905"/>
      <c r="Q629" s="317" t="str">
        <f t="shared" si="215"/>
        <v/>
      </c>
      <c r="R629" s="317" t="str">
        <f t="shared" si="216"/>
        <v/>
      </c>
      <c r="S629" s="317" t="str">
        <f t="shared" si="217"/>
        <v/>
      </c>
      <c r="V629" s="314">
        <f>SUM('RES. CENTRAL PARK:RUA_FINAL'!N629)</f>
        <v>0</v>
      </c>
      <c r="W629" s="315">
        <f t="shared" si="219"/>
        <v>0</v>
      </c>
    </row>
    <row r="630" spans="1:23" ht="15" hidden="1" customHeight="1" x14ac:dyDescent="0.2">
      <c r="A630" s="565" t="s">
        <v>165</v>
      </c>
      <c r="B630" s="924" t="s">
        <v>165</v>
      </c>
      <c r="C630" s="925" t="s">
        <v>165</v>
      </c>
      <c r="D630" s="926"/>
      <c r="E630" s="927"/>
      <c r="F630" s="928"/>
      <c r="G630" s="929"/>
      <c r="H630" s="930">
        <v>0</v>
      </c>
      <c r="I630" s="901">
        <f t="shared" si="224"/>
        <v>0</v>
      </c>
      <c r="J630" s="902">
        <f t="shared" si="211"/>
        <v>0</v>
      </c>
      <c r="K630" s="928" t="s">
        <v>507</v>
      </c>
      <c r="L630" s="904">
        <f>ROUND(SUM('RES. CENTRAL PARK:RUA_FINAL'!L630),2)</f>
        <v>0</v>
      </c>
      <c r="M630" s="904">
        <f t="shared" si="213"/>
        <v>0</v>
      </c>
      <c r="N630" s="893">
        <f t="shared" si="214"/>
        <v>0</v>
      </c>
      <c r="O630" s="905"/>
      <c r="Q630" s="317" t="str">
        <f t="shared" si="215"/>
        <v/>
      </c>
      <c r="R630" s="317" t="str">
        <f t="shared" si="216"/>
        <v/>
      </c>
      <c r="S630" s="317" t="str">
        <f t="shared" si="217"/>
        <v/>
      </c>
      <c r="V630" s="314">
        <f>SUM('RES. CENTRAL PARK:RUA_FINAL'!N630)</f>
        <v>0</v>
      </c>
      <c r="W630" s="315">
        <f t="shared" si="219"/>
        <v>0</v>
      </c>
    </row>
    <row r="631" spans="1:23" ht="15" hidden="1" customHeight="1" x14ac:dyDescent="0.2">
      <c r="A631" s="565" t="s">
        <v>165</v>
      </c>
      <c r="B631" s="924" t="s">
        <v>165</v>
      </c>
      <c r="C631" s="925" t="s">
        <v>165</v>
      </c>
      <c r="D631" s="926"/>
      <c r="E631" s="927"/>
      <c r="F631" s="928"/>
      <c r="G631" s="929"/>
      <c r="H631" s="930">
        <v>0</v>
      </c>
      <c r="I631" s="901">
        <f t="shared" si="224"/>
        <v>0</v>
      </c>
      <c r="J631" s="902">
        <f t="shared" si="211"/>
        <v>0</v>
      </c>
      <c r="K631" s="928" t="s">
        <v>507</v>
      </c>
      <c r="L631" s="904">
        <f>ROUND(SUM('RES. CENTRAL PARK:RUA_FINAL'!L631),2)</f>
        <v>0</v>
      </c>
      <c r="M631" s="904">
        <f t="shared" si="213"/>
        <v>0</v>
      </c>
      <c r="N631" s="893">
        <f t="shared" si="214"/>
        <v>0</v>
      </c>
      <c r="O631" s="905"/>
      <c r="Q631" s="317" t="str">
        <f t="shared" si="215"/>
        <v/>
      </c>
      <c r="R631" s="317" t="str">
        <f t="shared" si="216"/>
        <v/>
      </c>
      <c r="S631" s="317" t="str">
        <f t="shared" si="217"/>
        <v/>
      </c>
      <c r="V631" s="314">
        <f>SUM('RES. CENTRAL PARK:RUA_FINAL'!N631)</f>
        <v>0</v>
      </c>
      <c r="W631" s="315">
        <f t="shared" si="219"/>
        <v>0</v>
      </c>
    </row>
    <row r="632" spans="1:23" ht="15" hidden="1" customHeight="1" x14ac:dyDescent="0.2">
      <c r="A632" s="565" t="s">
        <v>165</v>
      </c>
      <c r="B632" s="924" t="s">
        <v>165</v>
      </c>
      <c r="C632" s="925" t="s">
        <v>165</v>
      </c>
      <c r="D632" s="926"/>
      <c r="E632" s="927"/>
      <c r="F632" s="928"/>
      <c r="G632" s="929"/>
      <c r="H632" s="930">
        <v>0</v>
      </c>
      <c r="I632" s="901">
        <f t="shared" si="224"/>
        <v>0</v>
      </c>
      <c r="J632" s="902">
        <f t="shared" si="211"/>
        <v>0</v>
      </c>
      <c r="K632" s="928" t="s">
        <v>507</v>
      </c>
      <c r="L632" s="904">
        <f>ROUND(SUM('RES. CENTRAL PARK:RUA_FINAL'!L632),2)</f>
        <v>0</v>
      </c>
      <c r="M632" s="904">
        <f t="shared" si="213"/>
        <v>0</v>
      </c>
      <c r="N632" s="893">
        <f t="shared" si="214"/>
        <v>0</v>
      </c>
      <c r="O632" s="905"/>
      <c r="Q632" s="317" t="str">
        <f t="shared" si="215"/>
        <v/>
      </c>
      <c r="R632" s="317" t="str">
        <f t="shared" si="216"/>
        <v/>
      </c>
      <c r="S632" s="317" t="str">
        <f t="shared" si="217"/>
        <v/>
      </c>
      <c r="V632" s="314">
        <f>SUM('RES. CENTRAL PARK:RUA_FINAL'!N632)</f>
        <v>0</v>
      </c>
      <c r="W632" s="315">
        <f t="shared" si="219"/>
        <v>0</v>
      </c>
    </row>
    <row r="633" spans="1:23" ht="15" hidden="1" customHeight="1" x14ac:dyDescent="0.2">
      <c r="A633" s="565" t="s">
        <v>165</v>
      </c>
      <c r="B633" s="924" t="s">
        <v>165</v>
      </c>
      <c r="C633" s="925" t="s">
        <v>165</v>
      </c>
      <c r="D633" s="926"/>
      <c r="E633" s="927"/>
      <c r="F633" s="928"/>
      <c r="G633" s="929"/>
      <c r="H633" s="930">
        <v>0</v>
      </c>
      <c r="I633" s="901">
        <f t="shared" si="224"/>
        <v>0</v>
      </c>
      <c r="J633" s="902">
        <f t="shared" si="211"/>
        <v>0</v>
      </c>
      <c r="K633" s="928" t="s">
        <v>507</v>
      </c>
      <c r="L633" s="904">
        <f>ROUND(SUM('RES. CENTRAL PARK:RUA_FINAL'!L633),2)</f>
        <v>0</v>
      </c>
      <c r="M633" s="904">
        <f t="shared" si="213"/>
        <v>0</v>
      </c>
      <c r="N633" s="893">
        <f t="shared" si="214"/>
        <v>0</v>
      </c>
      <c r="O633" s="905"/>
      <c r="Q633" s="317" t="str">
        <f t="shared" si="215"/>
        <v/>
      </c>
      <c r="R633" s="317" t="str">
        <f t="shared" si="216"/>
        <v/>
      </c>
      <c r="S633" s="317" t="str">
        <f t="shared" si="217"/>
        <v/>
      </c>
      <c r="V633" s="314">
        <f>SUM('RES. CENTRAL PARK:RUA_FINAL'!N633)</f>
        <v>0</v>
      </c>
      <c r="W633" s="315">
        <f t="shared" si="219"/>
        <v>0</v>
      </c>
    </row>
    <row r="634" spans="1:23" ht="15" hidden="1" customHeight="1" x14ac:dyDescent="0.2">
      <c r="A634" s="565" t="s">
        <v>165</v>
      </c>
      <c r="B634" s="924" t="s">
        <v>165</v>
      </c>
      <c r="C634" s="925" t="s">
        <v>165</v>
      </c>
      <c r="D634" s="926"/>
      <c r="E634" s="927"/>
      <c r="F634" s="928"/>
      <c r="G634" s="929"/>
      <c r="H634" s="930">
        <v>0</v>
      </c>
      <c r="I634" s="901">
        <f t="shared" si="224"/>
        <v>0</v>
      </c>
      <c r="J634" s="902">
        <f t="shared" si="211"/>
        <v>0</v>
      </c>
      <c r="K634" s="928" t="s">
        <v>507</v>
      </c>
      <c r="L634" s="904">
        <f>ROUND(SUM('RES. CENTRAL PARK:RUA_FINAL'!L634),2)</f>
        <v>0</v>
      </c>
      <c r="M634" s="904">
        <f t="shared" si="213"/>
        <v>0</v>
      </c>
      <c r="N634" s="893">
        <f t="shared" si="214"/>
        <v>0</v>
      </c>
      <c r="O634" s="905"/>
      <c r="Q634" s="317" t="str">
        <f t="shared" si="215"/>
        <v/>
      </c>
      <c r="R634" s="317" t="str">
        <f t="shared" si="216"/>
        <v/>
      </c>
      <c r="S634" s="317" t="str">
        <f t="shared" si="217"/>
        <v/>
      </c>
      <c r="V634" s="314">
        <f>SUM('RES. CENTRAL PARK:RUA_FINAL'!N634)</f>
        <v>0</v>
      </c>
      <c r="W634" s="315">
        <f t="shared" si="219"/>
        <v>0</v>
      </c>
    </row>
    <row r="635" spans="1:23" ht="15" hidden="1" customHeight="1" x14ac:dyDescent="0.2">
      <c r="A635" s="565" t="s">
        <v>165</v>
      </c>
      <c r="B635" s="924" t="s">
        <v>165</v>
      </c>
      <c r="C635" s="925" t="s">
        <v>165</v>
      </c>
      <c r="D635" s="926"/>
      <c r="E635" s="927"/>
      <c r="F635" s="928"/>
      <c r="G635" s="929"/>
      <c r="H635" s="930">
        <v>0</v>
      </c>
      <c r="I635" s="901">
        <f t="shared" si="224"/>
        <v>0</v>
      </c>
      <c r="J635" s="902">
        <f t="shared" si="211"/>
        <v>0</v>
      </c>
      <c r="K635" s="928" t="s">
        <v>507</v>
      </c>
      <c r="L635" s="904">
        <f>ROUND(SUM('RES. CENTRAL PARK:RUA_FINAL'!L635),2)</f>
        <v>0</v>
      </c>
      <c r="M635" s="904">
        <f t="shared" si="213"/>
        <v>0</v>
      </c>
      <c r="N635" s="893">
        <f t="shared" si="214"/>
        <v>0</v>
      </c>
      <c r="O635" s="905"/>
      <c r="Q635" s="317" t="str">
        <f t="shared" si="215"/>
        <v/>
      </c>
      <c r="R635" s="317" t="str">
        <f t="shared" si="216"/>
        <v/>
      </c>
      <c r="S635" s="317" t="str">
        <f t="shared" si="217"/>
        <v/>
      </c>
      <c r="V635" s="314">
        <f>SUM('RES. CENTRAL PARK:RUA_FINAL'!N635)</f>
        <v>0</v>
      </c>
      <c r="W635" s="315">
        <f t="shared" si="219"/>
        <v>0</v>
      </c>
    </row>
    <row r="636" spans="1:23" ht="15" hidden="1" customHeight="1" x14ac:dyDescent="0.2">
      <c r="A636" s="565" t="s">
        <v>165</v>
      </c>
      <c r="B636" s="924" t="s">
        <v>165</v>
      </c>
      <c r="C636" s="925" t="s">
        <v>165</v>
      </c>
      <c r="D636" s="926"/>
      <c r="E636" s="927"/>
      <c r="F636" s="928"/>
      <c r="G636" s="929"/>
      <c r="H636" s="930">
        <v>0</v>
      </c>
      <c r="I636" s="901">
        <f t="shared" si="224"/>
        <v>0</v>
      </c>
      <c r="J636" s="902">
        <f t="shared" si="211"/>
        <v>0</v>
      </c>
      <c r="K636" s="928" t="s">
        <v>507</v>
      </c>
      <c r="L636" s="904">
        <f>ROUND(SUM('RES. CENTRAL PARK:RUA_FINAL'!L636),2)</f>
        <v>0</v>
      </c>
      <c r="M636" s="904">
        <f t="shared" si="213"/>
        <v>0</v>
      </c>
      <c r="N636" s="893">
        <f t="shared" si="214"/>
        <v>0</v>
      </c>
      <c r="O636" s="905"/>
      <c r="Q636" s="317" t="str">
        <f t="shared" si="215"/>
        <v/>
      </c>
      <c r="R636" s="317" t="str">
        <f t="shared" si="216"/>
        <v/>
      </c>
      <c r="S636" s="317" t="str">
        <f t="shared" si="217"/>
        <v/>
      </c>
      <c r="V636" s="314">
        <f>SUM('RES. CENTRAL PARK:RUA_FINAL'!N636)</f>
        <v>0</v>
      </c>
      <c r="W636" s="315">
        <f t="shared" si="219"/>
        <v>0</v>
      </c>
    </row>
    <row r="637" spans="1:23" ht="15" hidden="1" customHeight="1" x14ac:dyDescent="0.2">
      <c r="A637" s="565" t="s">
        <v>165</v>
      </c>
      <c r="B637" s="924" t="s">
        <v>165</v>
      </c>
      <c r="C637" s="925" t="s">
        <v>165</v>
      </c>
      <c r="D637" s="926"/>
      <c r="E637" s="927"/>
      <c r="F637" s="928"/>
      <c r="G637" s="929"/>
      <c r="H637" s="930">
        <v>0</v>
      </c>
      <c r="I637" s="901">
        <f t="shared" si="224"/>
        <v>0</v>
      </c>
      <c r="J637" s="902">
        <f t="shared" si="211"/>
        <v>0</v>
      </c>
      <c r="K637" s="928" t="s">
        <v>507</v>
      </c>
      <c r="L637" s="904">
        <f>ROUND(SUM('RES. CENTRAL PARK:RUA_FINAL'!L637),2)</f>
        <v>0</v>
      </c>
      <c r="M637" s="904">
        <f t="shared" si="213"/>
        <v>0</v>
      </c>
      <c r="N637" s="893">
        <f t="shared" si="214"/>
        <v>0</v>
      </c>
      <c r="O637" s="905"/>
      <c r="Q637" s="317" t="str">
        <f t="shared" si="215"/>
        <v/>
      </c>
      <c r="R637" s="317" t="str">
        <f t="shared" si="216"/>
        <v/>
      </c>
      <c r="S637" s="317" t="str">
        <f t="shared" si="217"/>
        <v/>
      </c>
      <c r="V637" s="314">
        <f>SUM('RES. CENTRAL PARK:RUA_FINAL'!N637)</f>
        <v>0</v>
      </c>
      <c r="W637" s="315">
        <f t="shared" si="219"/>
        <v>0</v>
      </c>
    </row>
    <row r="638" spans="1:23" ht="15" hidden="1" customHeight="1" x14ac:dyDescent="0.2">
      <c r="A638" s="565" t="s">
        <v>165</v>
      </c>
      <c r="B638" s="924" t="s">
        <v>165</v>
      </c>
      <c r="C638" s="925" t="s">
        <v>165</v>
      </c>
      <c r="D638" s="926"/>
      <c r="E638" s="927"/>
      <c r="F638" s="928"/>
      <c r="G638" s="929"/>
      <c r="H638" s="930">
        <v>0</v>
      </c>
      <c r="I638" s="901">
        <f t="shared" si="224"/>
        <v>0</v>
      </c>
      <c r="J638" s="902">
        <f t="shared" si="211"/>
        <v>0</v>
      </c>
      <c r="K638" s="928" t="s">
        <v>507</v>
      </c>
      <c r="L638" s="904">
        <f>ROUND(SUM('RES. CENTRAL PARK:RUA_FINAL'!L638),2)</f>
        <v>0</v>
      </c>
      <c r="M638" s="904">
        <f t="shared" si="213"/>
        <v>0</v>
      </c>
      <c r="N638" s="893">
        <f t="shared" si="214"/>
        <v>0</v>
      </c>
      <c r="O638" s="905"/>
      <c r="Q638" s="317" t="str">
        <f t="shared" si="215"/>
        <v/>
      </c>
      <c r="R638" s="317" t="str">
        <f t="shared" si="216"/>
        <v/>
      </c>
      <c r="S638" s="317" t="str">
        <f t="shared" si="217"/>
        <v/>
      </c>
      <c r="V638" s="314">
        <f>SUM('RES. CENTRAL PARK:RUA_FINAL'!N638)</f>
        <v>0</v>
      </c>
      <c r="W638" s="315">
        <f t="shared" si="219"/>
        <v>0</v>
      </c>
    </row>
    <row r="639" spans="1:23" ht="15" hidden="1" customHeight="1" x14ac:dyDescent="0.2">
      <c r="A639" s="565" t="s">
        <v>165</v>
      </c>
      <c r="B639" s="924" t="s">
        <v>165</v>
      </c>
      <c r="C639" s="925" t="s">
        <v>165</v>
      </c>
      <c r="D639" s="926"/>
      <c r="E639" s="927"/>
      <c r="F639" s="928"/>
      <c r="G639" s="929"/>
      <c r="H639" s="930">
        <v>0</v>
      </c>
      <c r="I639" s="901">
        <f t="shared" si="224"/>
        <v>0</v>
      </c>
      <c r="J639" s="902">
        <f t="shared" si="211"/>
        <v>0</v>
      </c>
      <c r="K639" s="928" t="s">
        <v>507</v>
      </c>
      <c r="L639" s="904">
        <f>ROUND(SUM('RES. CENTRAL PARK:RUA_FINAL'!L639),2)</f>
        <v>0</v>
      </c>
      <c r="M639" s="904">
        <f t="shared" si="213"/>
        <v>0</v>
      </c>
      <c r="N639" s="893">
        <f t="shared" si="214"/>
        <v>0</v>
      </c>
      <c r="O639" s="905"/>
      <c r="Q639" s="317" t="str">
        <f t="shared" si="215"/>
        <v/>
      </c>
      <c r="R639" s="317" t="str">
        <f t="shared" si="216"/>
        <v/>
      </c>
      <c r="S639" s="317" t="str">
        <f t="shared" si="217"/>
        <v/>
      </c>
      <c r="V639" s="314">
        <f>SUM('RES. CENTRAL PARK:RUA_FINAL'!N639)</f>
        <v>0</v>
      </c>
      <c r="W639" s="315">
        <f t="shared" si="219"/>
        <v>0</v>
      </c>
    </row>
    <row r="640" spans="1:23" ht="15" hidden="1" customHeight="1" x14ac:dyDescent="0.2">
      <c r="A640" s="565" t="s">
        <v>165</v>
      </c>
      <c r="B640" s="924" t="s">
        <v>165</v>
      </c>
      <c r="C640" s="925" t="s">
        <v>165</v>
      </c>
      <c r="D640" s="926"/>
      <c r="E640" s="927"/>
      <c r="F640" s="928"/>
      <c r="G640" s="929"/>
      <c r="H640" s="930">
        <v>0</v>
      </c>
      <c r="I640" s="901">
        <f t="shared" si="224"/>
        <v>0</v>
      </c>
      <c r="J640" s="902">
        <f t="shared" si="211"/>
        <v>0</v>
      </c>
      <c r="K640" s="928" t="s">
        <v>507</v>
      </c>
      <c r="L640" s="904">
        <f>ROUND(SUM('RES. CENTRAL PARK:RUA_FINAL'!L640),2)</f>
        <v>0</v>
      </c>
      <c r="M640" s="904">
        <f t="shared" si="213"/>
        <v>0</v>
      </c>
      <c r="N640" s="893">
        <f t="shared" si="214"/>
        <v>0</v>
      </c>
      <c r="O640" s="905"/>
      <c r="Q640" s="317" t="str">
        <f t="shared" si="215"/>
        <v/>
      </c>
      <c r="R640" s="317" t="str">
        <f t="shared" si="216"/>
        <v/>
      </c>
      <c r="S640" s="317" t="str">
        <f t="shared" si="217"/>
        <v/>
      </c>
      <c r="V640" s="314">
        <f>SUM('RES. CENTRAL PARK:RUA_FINAL'!N640)</f>
        <v>0</v>
      </c>
      <c r="W640" s="315">
        <f t="shared" si="219"/>
        <v>0</v>
      </c>
    </row>
    <row r="641" spans="1:29" ht="15" hidden="1" customHeight="1" x14ac:dyDescent="0.2">
      <c r="A641" s="565" t="s">
        <v>165</v>
      </c>
      <c r="B641" s="924" t="s">
        <v>165</v>
      </c>
      <c r="C641" s="925" t="s">
        <v>165</v>
      </c>
      <c r="D641" s="926"/>
      <c r="E641" s="927"/>
      <c r="F641" s="928"/>
      <c r="G641" s="929"/>
      <c r="H641" s="930">
        <v>0</v>
      </c>
      <c r="I641" s="901">
        <f t="shared" si="224"/>
        <v>0</v>
      </c>
      <c r="J641" s="902">
        <f t="shared" si="211"/>
        <v>0</v>
      </c>
      <c r="K641" s="928" t="s">
        <v>507</v>
      </c>
      <c r="L641" s="904">
        <f>ROUND(SUM('RES. CENTRAL PARK:RUA_FINAL'!L641),2)</f>
        <v>0</v>
      </c>
      <c r="M641" s="904">
        <f t="shared" si="213"/>
        <v>0</v>
      </c>
      <c r="N641" s="893">
        <f t="shared" si="214"/>
        <v>0</v>
      </c>
      <c r="O641" s="905"/>
      <c r="Q641" s="317" t="str">
        <f t="shared" si="215"/>
        <v/>
      </c>
      <c r="R641" s="317" t="str">
        <f t="shared" si="216"/>
        <v/>
      </c>
      <c r="S641" s="317" t="str">
        <f t="shared" si="217"/>
        <v/>
      </c>
      <c r="V641" s="314">
        <f>SUM('RES. CENTRAL PARK:RUA_FINAL'!N641)</f>
        <v>0</v>
      </c>
      <c r="W641" s="315">
        <f t="shared" si="219"/>
        <v>0</v>
      </c>
    </row>
    <row r="642" spans="1:29" ht="15" hidden="1" customHeight="1" x14ac:dyDescent="0.2">
      <c r="A642" s="565" t="s">
        <v>165</v>
      </c>
      <c r="B642" s="924" t="s">
        <v>165</v>
      </c>
      <c r="C642" s="925" t="s">
        <v>165</v>
      </c>
      <c r="D642" s="926"/>
      <c r="E642" s="927"/>
      <c r="F642" s="928"/>
      <c r="G642" s="929"/>
      <c r="H642" s="930">
        <v>0</v>
      </c>
      <c r="I642" s="901">
        <f t="shared" si="224"/>
        <v>0</v>
      </c>
      <c r="J642" s="902">
        <f t="shared" si="211"/>
        <v>0</v>
      </c>
      <c r="K642" s="928" t="s">
        <v>507</v>
      </c>
      <c r="L642" s="904">
        <f>ROUND(SUM('RES. CENTRAL PARK:RUA_FINAL'!L642),2)</f>
        <v>0</v>
      </c>
      <c r="M642" s="904">
        <f t="shared" si="213"/>
        <v>0</v>
      </c>
      <c r="N642" s="893">
        <f t="shared" si="214"/>
        <v>0</v>
      </c>
      <c r="O642" s="905"/>
      <c r="Q642" s="317" t="str">
        <f t="shared" si="215"/>
        <v/>
      </c>
      <c r="R642" s="317" t="str">
        <f t="shared" si="216"/>
        <v/>
      </c>
      <c r="S642" s="317" t="str">
        <f t="shared" si="217"/>
        <v/>
      </c>
      <c r="V642" s="314">
        <f>SUM('RES. CENTRAL PARK:RUA_FINAL'!N642)</f>
        <v>0</v>
      </c>
      <c r="W642" s="315">
        <f t="shared" si="219"/>
        <v>0</v>
      </c>
    </row>
    <row r="643" spans="1:29" ht="15" hidden="1" customHeight="1" thickBot="1" x14ac:dyDescent="0.25">
      <c r="A643" s="565" t="s">
        <v>165</v>
      </c>
      <c r="B643" s="924" t="s">
        <v>165</v>
      </c>
      <c r="C643" s="925" t="s">
        <v>165</v>
      </c>
      <c r="D643" s="926"/>
      <c r="E643" s="927"/>
      <c r="F643" s="928"/>
      <c r="G643" s="929"/>
      <c r="H643" s="930">
        <v>0</v>
      </c>
      <c r="I643" s="901">
        <f t="shared" si="224"/>
        <v>0</v>
      </c>
      <c r="J643" s="902">
        <f t="shared" si="211"/>
        <v>0</v>
      </c>
      <c r="K643" s="928" t="s">
        <v>507</v>
      </c>
      <c r="L643" s="904">
        <f>ROUND(SUM('RES. CENTRAL PARK:RUA_FINAL'!L643),2)</f>
        <v>0</v>
      </c>
      <c r="M643" s="904">
        <f t="shared" si="213"/>
        <v>0</v>
      </c>
      <c r="N643" s="942">
        <f t="shared" si="214"/>
        <v>0</v>
      </c>
      <c r="O643" s="905"/>
      <c r="Q643" s="317" t="str">
        <f t="shared" si="215"/>
        <v/>
      </c>
      <c r="R643" s="317" t="str">
        <f t="shared" si="216"/>
        <v/>
      </c>
      <c r="S643" s="317" t="str">
        <f t="shared" si="217"/>
        <v/>
      </c>
      <c r="V643" s="314">
        <f>SUM('RES. CENTRAL PARK:RUA_FINAL'!N643)</f>
        <v>0</v>
      </c>
      <c r="W643" s="315">
        <f t="shared" si="219"/>
        <v>0</v>
      </c>
    </row>
    <row r="644" spans="1:29" ht="15" hidden="1" customHeight="1" thickBot="1" x14ac:dyDescent="0.25">
      <c r="A644" s="63" t="s">
        <v>205</v>
      </c>
      <c r="B644" s="950" t="s">
        <v>205</v>
      </c>
      <c r="C644" s="951"/>
      <c r="D644" s="952" t="s">
        <v>575</v>
      </c>
      <c r="E644" s="943"/>
      <c r="F644" s="876"/>
      <c r="G644" s="944"/>
      <c r="H644" s="945">
        <v>0</v>
      </c>
      <c r="I644" s="945"/>
      <c r="J644" s="945"/>
      <c r="K644" s="878" t="s">
        <v>507</v>
      </c>
      <c r="L644" s="879">
        <f>ROUND(SUM('RES. CENTRAL PARK:RUA_FINAL'!L644),2)</f>
        <v>0</v>
      </c>
      <c r="M644" s="880">
        <f t="shared" si="213"/>
        <v>0</v>
      </c>
      <c r="N644" s="881">
        <f t="shared" si="214"/>
        <v>0</v>
      </c>
      <c r="O644" s="882">
        <f>SUM(N645:N852)</f>
        <v>0</v>
      </c>
      <c r="P644" s="58" t="str">
        <f>IF(OR(O644&gt;0,O644&gt;0),"X","")</f>
        <v/>
      </c>
      <c r="Q644" s="317" t="str">
        <f t="shared" si="215"/>
        <v/>
      </c>
      <c r="R644" s="317" t="str">
        <f t="shared" si="216"/>
        <v/>
      </c>
      <c r="S644" s="317" t="str">
        <f t="shared" si="217"/>
        <v/>
      </c>
      <c r="V644" s="314">
        <f>SUM('RES. CENTRAL PARK:RUA_FINAL'!N644)</f>
        <v>0</v>
      </c>
      <c r="W644" s="315">
        <f t="shared" si="219"/>
        <v>0</v>
      </c>
    </row>
    <row r="645" spans="1:29" ht="15" hidden="1" customHeight="1" x14ac:dyDescent="0.2">
      <c r="A645" s="63">
        <v>810250</v>
      </c>
      <c r="B645" s="895" t="s">
        <v>1707</v>
      </c>
      <c r="C645" s="896" t="s">
        <v>184</v>
      </c>
      <c r="D645" s="906" t="s">
        <v>455</v>
      </c>
      <c r="E645" s="907">
        <f>DMT!$F$34</f>
        <v>0.1</v>
      </c>
      <c r="F645" s="908">
        <f>ROUND(0.017*2.34,4)</f>
        <v>3.9800000000000002E-2</v>
      </c>
      <c r="G645" s="949">
        <f t="shared" ref="G645:G648" si="225">IF(E645&lt;=30,(1.07*E645+2.68)*F645,((1.07*30+2.68)+1.07*(E645-30))*F645)</f>
        <v>0.11092260000000002</v>
      </c>
      <c r="H645" s="901">
        <v>20.16</v>
      </c>
      <c r="I645" s="901">
        <f t="shared" ref="I645:I654" si="226">IF(ISBLANK(H645),"",SUM(G645:H645))</f>
        <v>20.270922599999999</v>
      </c>
      <c r="J645" s="902">
        <f>IF(ISBLANK(H645),0,ROUND(I645*(1+$E$10),2))</f>
        <v>24.34</v>
      </c>
      <c r="K645" s="903" t="s">
        <v>13</v>
      </c>
      <c r="L645" s="904">
        <f>ROUND(SUM('RES. CENTRAL PARK:RUA_FINAL'!L645),2)</f>
        <v>0</v>
      </c>
      <c r="M645" s="904">
        <f t="shared" si="213"/>
        <v>0</v>
      </c>
      <c r="N645" s="893">
        <f t="shared" si="214"/>
        <v>0</v>
      </c>
      <c r="O645" s="905"/>
      <c r="Q645" s="317" t="str">
        <f t="shared" si="215"/>
        <v/>
      </c>
      <c r="R645" s="317" t="str">
        <f t="shared" si="216"/>
        <v/>
      </c>
      <c r="S645" s="317" t="str">
        <f t="shared" si="217"/>
        <v/>
      </c>
      <c r="V645" s="314">
        <f>SUM('RES. CENTRAL PARK:RUA_FINAL'!N645)</f>
        <v>0</v>
      </c>
      <c r="W645" s="315">
        <f t="shared" si="219"/>
        <v>0</v>
      </c>
    </row>
    <row r="646" spans="1:29" ht="15" hidden="1" customHeight="1" x14ac:dyDescent="0.2">
      <c r="A646" s="63">
        <v>810250</v>
      </c>
      <c r="B646" s="895" t="s">
        <v>1708</v>
      </c>
      <c r="C646" s="896" t="s">
        <v>184</v>
      </c>
      <c r="D646" s="906" t="s">
        <v>511</v>
      </c>
      <c r="E646" s="907">
        <f>DMT!$F$34</f>
        <v>0.1</v>
      </c>
      <c r="F646" s="908">
        <f>ROUND(0.01125*2.34,4)</f>
        <v>2.63E-2</v>
      </c>
      <c r="G646" s="949">
        <f t="shared" si="225"/>
        <v>7.3298100000000005E-2</v>
      </c>
      <c r="H646" s="901">
        <v>13.27</v>
      </c>
      <c r="I646" s="901">
        <f t="shared" si="226"/>
        <v>13.3432981</v>
      </c>
      <c r="J646" s="902">
        <f t="shared" ref="J646:J705" si="227">IF(ISBLANK(H646),0,ROUND(I646*(1+$E$10),2))</f>
        <v>16.02</v>
      </c>
      <c r="K646" s="903" t="s">
        <v>13</v>
      </c>
      <c r="L646" s="904">
        <f>ROUND(SUM('RES. CENTRAL PARK:RUA_FINAL'!L646),2)</f>
        <v>0</v>
      </c>
      <c r="M646" s="904">
        <f t="shared" si="213"/>
        <v>0</v>
      </c>
      <c r="N646" s="893">
        <f t="shared" si="214"/>
        <v>0</v>
      </c>
      <c r="O646" s="905"/>
      <c r="Q646" s="317" t="str">
        <f t="shared" si="215"/>
        <v/>
      </c>
      <c r="R646" s="317" t="str">
        <f t="shared" si="216"/>
        <v/>
      </c>
      <c r="S646" s="317" t="str">
        <f t="shared" si="217"/>
        <v/>
      </c>
      <c r="V646" s="314">
        <f>SUM('RES. CENTRAL PARK:RUA_FINAL'!N646)</f>
        <v>0</v>
      </c>
      <c r="W646" s="315">
        <f t="shared" si="219"/>
        <v>0</v>
      </c>
    </row>
    <row r="647" spans="1:29" ht="15" hidden="1" customHeight="1" x14ac:dyDescent="0.2">
      <c r="A647" s="63">
        <v>810250</v>
      </c>
      <c r="B647" s="895" t="s">
        <v>1709</v>
      </c>
      <c r="C647" s="896" t="s">
        <v>184</v>
      </c>
      <c r="D647" s="906" t="s">
        <v>456</v>
      </c>
      <c r="E647" s="907">
        <f>DMT!$F$34</f>
        <v>0.1</v>
      </c>
      <c r="F647" s="908">
        <f>ROUND(0.014*2.34,4)</f>
        <v>3.2800000000000003E-2</v>
      </c>
      <c r="G647" s="949">
        <f t="shared" si="225"/>
        <v>9.1413600000000025E-2</v>
      </c>
      <c r="H647" s="901">
        <v>16.510000000000002</v>
      </c>
      <c r="I647" s="901">
        <f t="shared" si="226"/>
        <v>16.601413600000001</v>
      </c>
      <c r="J647" s="902">
        <f t="shared" si="227"/>
        <v>19.93</v>
      </c>
      <c r="K647" s="903" t="s">
        <v>13</v>
      </c>
      <c r="L647" s="904">
        <f>ROUND(SUM('RES. CENTRAL PARK:RUA_FINAL'!L647),2)</f>
        <v>0</v>
      </c>
      <c r="M647" s="904">
        <f t="shared" si="213"/>
        <v>0</v>
      </c>
      <c r="N647" s="893">
        <f t="shared" si="214"/>
        <v>0</v>
      </c>
      <c r="O647" s="905"/>
      <c r="Q647" s="317" t="str">
        <f t="shared" si="215"/>
        <v/>
      </c>
      <c r="R647" s="317" t="str">
        <f t="shared" si="216"/>
        <v/>
      </c>
      <c r="S647" s="317" t="str">
        <f t="shared" si="217"/>
        <v/>
      </c>
      <c r="V647" s="314">
        <f>SUM('RES. CENTRAL PARK:RUA_FINAL'!N647)</f>
        <v>0</v>
      </c>
      <c r="W647" s="315">
        <f t="shared" si="219"/>
        <v>0</v>
      </c>
    </row>
    <row r="648" spans="1:29" ht="15" hidden="1" customHeight="1" x14ac:dyDescent="0.2">
      <c r="A648" s="63" t="s">
        <v>451</v>
      </c>
      <c r="B648" s="895" t="s">
        <v>2239</v>
      </c>
      <c r="C648" s="896" t="s">
        <v>2241</v>
      </c>
      <c r="D648" s="906" t="s">
        <v>2230</v>
      </c>
      <c r="E648" s="907">
        <f>DMT!$F$16</f>
        <v>0</v>
      </c>
      <c r="F648" s="908">
        <f>ROUND(0.012*1.8,4)</f>
        <v>2.1600000000000001E-2</v>
      </c>
      <c r="G648" s="949">
        <f t="shared" si="225"/>
        <v>5.7888000000000009E-2</v>
      </c>
      <c r="H648" s="901">
        <v>64.709999999999994</v>
      </c>
      <c r="I648" s="901">
        <f t="shared" si="226"/>
        <v>64.767887999999999</v>
      </c>
      <c r="J648" s="902">
        <f t="shared" si="227"/>
        <v>77.77</v>
      </c>
      <c r="K648" s="903" t="s">
        <v>13</v>
      </c>
      <c r="L648" s="904">
        <f>ROUND(SUM('RES. CENTRAL PARK:RUA_FINAL'!L648),2)</f>
        <v>0</v>
      </c>
      <c r="M648" s="904">
        <f t="shared" si="213"/>
        <v>0</v>
      </c>
      <c r="N648" s="893">
        <f t="shared" si="214"/>
        <v>0</v>
      </c>
      <c r="O648" s="905"/>
      <c r="Q648" s="317" t="str">
        <f t="shared" si="215"/>
        <v/>
      </c>
      <c r="R648" s="317" t="str">
        <f t="shared" si="216"/>
        <v/>
      </c>
      <c r="S648" s="317" t="str">
        <f t="shared" si="217"/>
        <v/>
      </c>
      <c r="V648" s="314">
        <f>SUM('RES. CENTRAL PARK:RUA_FINAL'!N648)</f>
        <v>0</v>
      </c>
      <c r="W648" s="315">
        <f t="shared" si="219"/>
        <v>0</v>
      </c>
    </row>
    <row r="649" spans="1:29" ht="15" hidden="1" customHeight="1" x14ac:dyDescent="0.2">
      <c r="A649" s="63">
        <v>606700</v>
      </c>
      <c r="B649" s="895" t="s">
        <v>1704</v>
      </c>
      <c r="C649" s="896" t="s">
        <v>184</v>
      </c>
      <c r="D649" s="906" t="s">
        <v>258</v>
      </c>
      <c r="E649" s="907"/>
      <c r="F649" s="908"/>
      <c r="G649" s="912">
        <f t="shared" ref="G649:G650" si="228">IF(E649&lt;=30,(0.87*E649+2.18)*F649,((0.87*30+2.18)+0.87*(E649-30))*F649)</f>
        <v>0</v>
      </c>
      <c r="H649" s="901">
        <v>148.04</v>
      </c>
      <c r="I649" s="901">
        <f t="shared" si="226"/>
        <v>148.04</v>
      </c>
      <c r="J649" s="902">
        <f t="shared" si="227"/>
        <v>177.75</v>
      </c>
      <c r="K649" s="903" t="s">
        <v>10</v>
      </c>
      <c r="L649" s="904">
        <f>ROUND(SUM('RES. CENTRAL PARK:RUA_FINAL'!L649),2)</f>
        <v>0</v>
      </c>
      <c r="M649" s="904">
        <f t="shared" si="213"/>
        <v>0</v>
      </c>
      <c r="N649" s="893">
        <f t="shared" si="214"/>
        <v>0</v>
      </c>
      <c r="O649" s="905"/>
      <c r="Q649" s="317" t="str">
        <f t="shared" si="215"/>
        <v/>
      </c>
      <c r="R649" s="317" t="str">
        <f t="shared" si="216"/>
        <v/>
      </c>
      <c r="S649" s="317" t="str">
        <f t="shared" si="217"/>
        <v/>
      </c>
      <c r="V649" s="314">
        <f>SUM('RES. CENTRAL PARK:RUA_FINAL'!N649)</f>
        <v>0</v>
      </c>
      <c r="W649" s="315">
        <f t="shared" si="219"/>
        <v>0</v>
      </c>
    </row>
    <row r="650" spans="1:29" ht="15" hidden="1" customHeight="1" x14ac:dyDescent="0.2">
      <c r="A650" s="63">
        <v>606600</v>
      </c>
      <c r="B650" s="895" t="s">
        <v>1701</v>
      </c>
      <c r="C650" s="896" t="s">
        <v>184</v>
      </c>
      <c r="D650" s="906" t="s">
        <v>809</v>
      </c>
      <c r="E650" s="907"/>
      <c r="F650" s="908"/>
      <c r="G650" s="912">
        <f t="shared" si="228"/>
        <v>0</v>
      </c>
      <c r="H650" s="901">
        <v>309.52999999999997</v>
      </c>
      <c r="I650" s="901">
        <f t="shared" si="226"/>
        <v>309.52999999999997</v>
      </c>
      <c r="J650" s="902">
        <f t="shared" si="227"/>
        <v>371.65</v>
      </c>
      <c r="K650" s="903" t="s">
        <v>10</v>
      </c>
      <c r="L650" s="904">
        <f>ROUND(SUM('RES. CENTRAL PARK:RUA_FINAL'!L650),2)</f>
        <v>0</v>
      </c>
      <c r="M650" s="904">
        <f t="shared" si="213"/>
        <v>0</v>
      </c>
      <c r="N650" s="893">
        <f t="shared" si="214"/>
        <v>0</v>
      </c>
      <c r="O650" s="905"/>
      <c r="Q650" s="317" t="str">
        <f t="shared" si="215"/>
        <v/>
      </c>
      <c r="R650" s="317" t="str">
        <f t="shared" si="216"/>
        <v/>
      </c>
      <c r="S650" s="317" t="str">
        <f t="shared" si="217"/>
        <v/>
      </c>
      <c r="V650" s="314">
        <f>SUM('RES. CENTRAL PARK:RUA_FINAL'!N650)</f>
        <v>0</v>
      </c>
      <c r="W650" s="315">
        <f t="shared" si="219"/>
        <v>0</v>
      </c>
    </row>
    <row r="651" spans="1:29" ht="15" hidden="1" customHeight="1" x14ac:dyDescent="0.2">
      <c r="A651" s="63">
        <v>100576</v>
      </c>
      <c r="B651" s="895" t="s">
        <v>1745</v>
      </c>
      <c r="C651" s="896" t="s">
        <v>596</v>
      </c>
      <c r="D651" s="906" t="s">
        <v>183</v>
      </c>
      <c r="E651" s="898"/>
      <c r="F651" s="908"/>
      <c r="G651" s="912">
        <f>IF(E651&lt;=30,(0.62*E651+6.29)*F651,((0.62*30+6.29)+0.62*(E651-30))*F651)</f>
        <v>0</v>
      </c>
      <c r="H651" s="901">
        <v>2.6</v>
      </c>
      <c r="I651" s="901">
        <f t="shared" si="226"/>
        <v>2.6</v>
      </c>
      <c r="J651" s="902">
        <f t="shared" si="227"/>
        <v>3.12</v>
      </c>
      <c r="K651" s="903" t="s">
        <v>12</v>
      </c>
      <c r="L651" s="904">
        <f>ROUND(SUM('RES. CENTRAL PARK:RUA_FINAL'!L651),2)</f>
        <v>0</v>
      </c>
      <c r="M651" s="904">
        <f t="shared" si="213"/>
        <v>0</v>
      </c>
      <c r="N651" s="893">
        <f t="shared" si="214"/>
        <v>0</v>
      </c>
      <c r="O651" s="905"/>
      <c r="Q651" s="317" t="str">
        <f t="shared" si="215"/>
        <v/>
      </c>
      <c r="R651" s="317" t="str">
        <f t="shared" si="216"/>
        <v/>
      </c>
      <c r="S651" s="317" t="str">
        <f t="shared" si="217"/>
        <v/>
      </c>
      <c r="V651" s="314">
        <f>SUM('RES. CENTRAL PARK:RUA_FINAL'!N651)</f>
        <v>0</v>
      </c>
      <c r="W651" s="315">
        <f t="shared" si="219"/>
        <v>0</v>
      </c>
    </row>
    <row r="652" spans="1:29" ht="15" hidden="1" customHeight="1" x14ac:dyDescent="0.2">
      <c r="A652" s="63">
        <v>532500</v>
      </c>
      <c r="B652" s="895" t="s">
        <v>1532</v>
      </c>
      <c r="C652" s="896" t="s">
        <v>184</v>
      </c>
      <c r="D652" s="957" t="s">
        <v>329</v>
      </c>
      <c r="E652" s="907">
        <f>DMT!F8</f>
        <v>150</v>
      </c>
      <c r="F652" s="908">
        <v>1.7250000000000001</v>
      </c>
      <c r="G652" s="949">
        <f t="shared" ref="G652:G653" si="229">IF(E652&lt;=30,(1.07*E652+2.68)*F652,((1.07*30+2.68)+1.07*(E652-30))*F652)</f>
        <v>281.4855</v>
      </c>
      <c r="H652" s="901">
        <v>102.38</v>
      </c>
      <c r="I652" s="901">
        <f t="shared" si="226"/>
        <v>383.8655</v>
      </c>
      <c r="J652" s="902">
        <f t="shared" si="227"/>
        <v>460.91</v>
      </c>
      <c r="K652" s="903" t="s">
        <v>10</v>
      </c>
      <c r="L652" s="904">
        <f>ROUND(SUM('RES. CENTRAL PARK:RUA_FINAL'!L652),2)</f>
        <v>0</v>
      </c>
      <c r="M652" s="904">
        <f t="shared" si="213"/>
        <v>0</v>
      </c>
      <c r="N652" s="893">
        <f t="shared" si="214"/>
        <v>0</v>
      </c>
      <c r="O652" s="905"/>
      <c r="Q652" s="317" t="str">
        <f t="shared" si="215"/>
        <v/>
      </c>
      <c r="R652" s="317" t="str">
        <f t="shared" si="216"/>
        <v/>
      </c>
      <c r="S652" s="317" t="str">
        <f t="shared" si="217"/>
        <v/>
      </c>
      <c r="V652" s="314">
        <f>SUM('RES. CENTRAL PARK:RUA_FINAL'!N652)</f>
        <v>0</v>
      </c>
      <c r="W652" s="315">
        <f t="shared" si="219"/>
        <v>0</v>
      </c>
    </row>
    <row r="653" spans="1:29" ht="15" hidden="1" customHeight="1" x14ac:dyDescent="0.2">
      <c r="A653" s="63">
        <v>603900</v>
      </c>
      <c r="B653" s="895" t="s">
        <v>1731</v>
      </c>
      <c r="C653" s="896" t="s">
        <v>184</v>
      </c>
      <c r="D653" s="957" t="s">
        <v>330</v>
      </c>
      <c r="E653" s="907">
        <f>DMT!$F$10</f>
        <v>0.2</v>
      </c>
      <c r="F653" s="908">
        <v>1.5</v>
      </c>
      <c r="G653" s="949">
        <f t="shared" si="229"/>
        <v>4.3410000000000002</v>
      </c>
      <c r="H653" s="901">
        <v>131.84</v>
      </c>
      <c r="I653" s="901">
        <f t="shared" si="226"/>
        <v>136.18100000000001</v>
      </c>
      <c r="J653" s="902">
        <f t="shared" si="227"/>
        <v>163.51</v>
      </c>
      <c r="K653" s="903" t="s">
        <v>10</v>
      </c>
      <c r="L653" s="904">
        <f>ROUND(SUM('RES. CENTRAL PARK:RUA_FINAL'!L653),2)</f>
        <v>0</v>
      </c>
      <c r="M653" s="904">
        <f t="shared" si="213"/>
        <v>0</v>
      </c>
      <c r="N653" s="893">
        <f t="shared" si="214"/>
        <v>0</v>
      </c>
      <c r="O653" s="905"/>
      <c r="Q653" s="317" t="str">
        <f t="shared" si="215"/>
        <v/>
      </c>
      <c r="R653" s="317" t="str">
        <f t="shared" si="216"/>
        <v/>
      </c>
      <c r="S653" s="317" t="str">
        <f t="shared" si="217"/>
        <v/>
      </c>
      <c r="V653" s="314">
        <f>SUM('RES. CENTRAL PARK:RUA_FINAL'!N653)</f>
        <v>0</v>
      </c>
      <c r="W653" s="315">
        <f t="shared" si="219"/>
        <v>0</v>
      </c>
    </row>
    <row r="654" spans="1:29" ht="15" hidden="1" customHeight="1" x14ac:dyDescent="0.2">
      <c r="A654" s="63">
        <v>605000</v>
      </c>
      <c r="B654" s="895" t="s">
        <v>216</v>
      </c>
      <c r="C654" s="896" t="s">
        <v>184</v>
      </c>
      <c r="D654" s="906" t="s">
        <v>259</v>
      </c>
      <c r="E654" s="907"/>
      <c r="F654" s="908"/>
      <c r="G654" s="912">
        <f>SUM(G655:G657)</f>
        <v>220.83394000000004</v>
      </c>
      <c r="H654" s="901">
        <v>425.25</v>
      </c>
      <c r="I654" s="901">
        <f t="shared" si="226"/>
        <v>646.08393999999998</v>
      </c>
      <c r="J654" s="902">
        <f t="shared" si="227"/>
        <v>775.75</v>
      </c>
      <c r="K654" s="903" t="s">
        <v>10</v>
      </c>
      <c r="L654" s="904">
        <f>ROUND(SUM('RES. CENTRAL PARK:RUA_FINAL'!L654),2)</f>
        <v>0</v>
      </c>
      <c r="M654" s="904">
        <f t="shared" si="213"/>
        <v>0</v>
      </c>
      <c r="N654" s="893">
        <f t="shared" si="214"/>
        <v>0</v>
      </c>
      <c r="O654" s="905"/>
      <c r="Q654" s="317" t="str">
        <f t="shared" si="215"/>
        <v/>
      </c>
      <c r="R654" s="317" t="str">
        <f t="shared" si="216"/>
        <v/>
      </c>
      <c r="S654" s="317" t="str">
        <f t="shared" si="217"/>
        <v/>
      </c>
      <c r="V654" s="314">
        <f>SUM('RES. CENTRAL PARK:RUA_FINAL'!N654)</f>
        <v>0</v>
      </c>
      <c r="W654" s="315">
        <f t="shared" si="219"/>
        <v>0</v>
      </c>
    </row>
    <row r="655" spans="1:29" ht="15" hidden="1" customHeight="1" x14ac:dyDescent="0.2">
      <c r="A655" s="63" t="s">
        <v>147</v>
      </c>
      <c r="B655" s="895" t="s">
        <v>147</v>
      </c>
      <c r="C655" s="896"/>
      <c r="D655" s="957" t="s">
        <v>190</v>
      </c>
      <c r="E655" s="907">
        <f>DMT!$D$20</f>
        <v>308</v>
      </c>
      <c r="F655" s="908">
        <v>0.18</v>
      </c>
      <c r="G655" s="909">
        <f>IF(E655&lt;=30,(0.78*E655+7.82)*F655,((0.78*30+7.82)+0.78*(E655-30))*F655)</f>
        <v>44.650799999999997</v>
      </c>
      <c r="H655" s="901">
        <v>0</v>
      </c>
      <c r="I655" s="901"/>
      <c r="J655" s="902">
        <v>0</v>
      </c>
      <c r="K655" s="958" t="s">
        <v>507</v>
      </c>
      <c r="L655" s="959">
        <f>ROUND(SUM('RES. CENTRAL PARK:RUA_FINAL'!L655),2)</f>
        <v>0</v>
      </c>
      <c r="M655" s="960">
        <f t="shared" si="213"/>
        <v>0</v>
      </c>
      <c r="N655" s="893">
        <f t="shared" si="214"/>
        <v>0</v>
      </c>
      <c r="O655" s="905"/>
      <c r="P655" s="58" t="str">
        <f>IF(N654&gt;0,"xx",IF(N654&gt;0,"xy",""))</f>
        <v/>
      </c>
      <c r="Q655" s="317" t="str">
        <f t="shared" si="215"/>
        <v/>
      </c>
      <c r="R655" s="317" t="str">
        <f t="shared" si="216"/>
        <v/>
      </c>
      <c r="S655" s="317" t="str">
        <f t="shared" si="217"/>
        <v/>
      </c>
      <c r="V655" s="314">
        <f>SUM('RES. CENTRAL PARK:RUA_FINAL'!N655)</f>
        <v>0</v>
      </c>
      <c r="W655" s="315">
        <f t="shared" si="219"/>
        <v>0</v>
      </c>
    </row>
    <row r="656" spans="1:29" ht="15" hidden="1" customHeight="1" x14ac:dyDescent="0.2">
      <c r="A656" s="63" t="s">
        <v>147</v>
      </c>
      <c r="B656" s="895" t="s">
        <v>147</v>
      </c>
      <c r="C656" s="896"/>
      <c r="D656" s="957" t="s">
        <v>229</v>
      </c>
      <c r="E656" s="907">
        <f>DMT!$F$8</f>
        <v>150</v>
      </c>
      <c r="F656" s="908">
        <v>1.06</v>
      </c>
      <c r="G656" s="949">
        <f t="shared" ref="G656:G661" si="230">IF(E656&lt;=30,(1.07*E656+2.68)*F656,((1.07*30+2.68)+1.07*(E656-30))*F656)</f>
        <v>172.97080000000003</v>
      </c>
      <c r="H656" s="901">
        <v>0</v>
      </c>
      <c r="I656" s="901"/>
      <c r="J656" s="902">
        <v>0</v>
      </c>
      <c r="K656" s="958" t="s">
        <v>507</v>
      </c>
      <c r="L656" s="959">
        <f>ROUND(SUM('RES. CENTRAL PARK:RUA_FINAL'!L656),2)</f>
        <v>0</v>
      </c>
      <c r="M656" s="960">
        <f t="shared" ref="M656:M719" si="231">IF(L656=0,0,ROUND(J656,2))</f>
        <v>0</v>
      </c>
      <c r="N656" s="893">
        <f t="shared" ref="N656:N719" si="232">IF(ISBLANK(L656),0,ROUND(L656*M656,2))</f>
        <v>0</v>
      </c>
      <c r="O656" s="905"/>
      <c r="P656" s="58" t="str">
        <f>IF(N654&gt;0,"xx",IF(N654&gt;0,"xy",""))</f>
        <v/>
      </c>
      <c r="Q656" s="317" t="str">
        <f t="shared" ref="Q656:Q719" si="233">IF(P656="X","x",IF(P656="xx","x",IF(P656="xy","x",IF(P656="y","x",IF(OR(N656&gt;0,N656&gt;0),"x","")))))</f>
        <v/>
      </c>
      <c r="R656" s="317" t="str">
        <f t="shared" ref="R656:R719" si="234">IF(P656="X","x",IF(P656="y","x",IF(P656="xx","x",IF(N656&gt;0,"x",""))))</f>
        <v/>
      </c>
      <c r="S656" s="317" t="str">
        <f t="shared" ref="S656:S719" si="235">IF(P656="X","x",IF(N656&gt;0,"x",""))</f>
        <v/>
      </c>
      <c r="V656" s="314">
        <f>SUM('RES. CENTRAL PARK:RUA_FINAL'!N656)</f>
        <v>0</v>
      </c>
      <c r="W656" s="315">
        <f t="shared" si="219"/>
        <v>0</v>
      </c>
    </row>
    <row r="657" spans="1:29" ht="15" hidden="1" customHeight="1" x14ac:dyDescent="0.2">
      <c r="A657" s="63" t="s">
        <v>147</v>
      </c>
      <c r="B657" s="895" t="s">
        <v>147</v>
      </c>
      <c r="C657" s="896"/>
      <c r="D657" s="957" t="s">
        <v>233</v>
      </c>
      <c r="E657" s="907">
        <f>DMT!$F$9</f>
        <v>0.2</v>
      </c>
      <c r="F657" s="908">
        <v>1.1100000000000001</v>
      </c>
      <c r="G657" s="949">
        <f t="shared" si="230"/>
        <v>3.2123400000000006</v>
      </c>
      <c r="H657" s="901">
        <v>0</v>
      </c>
      <c r="I657" s="901"/>
      <c r="J657" s="902">
        <v>0</v>
      </c>
      <c r="K657" s="958" t="s">
        <v>507</v>
      </c>
      <c r="L657" s="959">
        <f>ROUND(SUM('RES. CENTRAL PARK:RUA_FINAL'!L657),2)</f>
        <v>0</v>
      </c>
      <c r="M657" s="960">
        <f t="shared" si="231"/>
        <v>0</v>
      </c>
      <c r="N657" s="893">
        <f t="shared" si="232"/>
        <v>0</v>
      </c>
      <c r="O657" s="905"/>
      <c r="P657" s="58" t="str">
        <f>IF(N654&gt;0,"xx",IF(N654&gt;0,"xy",""))</f>
        <v/>
      </c>
      <c r="Q657" s="317" t="str">
        <f t="shared" si="233"/>
        <v/>
      </c>
      <c r="R657" s="317" t="str">
        <f t="shared" si="234"/>
        <v/>
      </c>
      <c r="S657" s="317" t="str">
        <f t="shared" si="235"/>
        <v/>
      </c>
      <c r="V657" s="314">
        <f>SUM('RES. CENTRAL PARK:RUA_FINAL'!N657)</f>
        <v>0</v>
      </c>
      <c r="W657" s="315">
        <f t="shared" si="219"/>
        <v>0</v>
      </c>
    </row>
    <row r="658" spans="1:29" ht="15" hidden="1" customHeight="1" x14ac:dyDescent="0.2">
      <c r="A658" s="63">
        <v>400500</v>
      </c>
      <c r="B658" s="895" t="s">
        <v>1565</v>
      </c>
      <c r="C658" s="896" t="s">
        <v>184</v>
      </c>
      <c r="D658" s="906" t="s">
        <v>1732</v>
      </c>
      <c r="E658" s="907">
        <f>DMT!$F$8</f>
        <v>150</v>
      </c>
      <c r="F658" s="908">
        <v>1.73</v>
      </c>
      <c r="G658" s="949">
        <f t="shared" si="230"/>
        <v>282.3014</v>
      </c>
      <c r="H658" s="901">
        <v>83.83</v>
      </c>
      <c r="I658" s="901">
        <f t="shared" ref="I658:I678" si="236">IF(ISBLANK(H658),"",SUM(G658:H658))</f>
        <v>366.13139999999999</v>
      </c>
      <c r="J658" s="902">
        <f t="shared" si="227"/>
        <v>439.61</v>
      </c>
      <c r="K658" s="903" t="s">
        <v>10</v>
      </c>
      <c r="L658" s="904">
        <f>ROUND(SUM('RES. CENTRAL PARK:RUA_FINAL'!L658),2)</f>
        <v>0</v>
      </c>
      <c r="M658" s="904">
        <f t="shared" si="231"/>
        <v>0</v>
      </c>
      <c r="N658" s="893">
        <f t="shared" si="232"/>
        <v>0</v>
      </c>
      <c r="O658" s="905"/>
      <c r="Q658" s="317" t="str">
        <f t="shared" si="233"/>
        <v/>
      </c>
      <c r="R658" s="317" t="str">
        <f t="shared" si="234"/>
        <v/>
      </c>
      <c r="S658" s="317" t="str">
        <f t="shared" si="235"/>
        <v/>
      </c>
      <c r="V658" s="314">
        <f>SUM('RES. CENTRAL PARK:RUA_FINAL'!N658)</f>
        <v>0</v>
      </c>
      <c r="W658" s="315">
        <f t="shared" si="219"/>
        <v>0</v>
      </c>
    </row>
    <row r="659" spans="1:29" ht="15" hidden="1" customHeight="1" x14ac:dyDescent="0.2">
      <c r="A659" s="63">
        <v>532500</v>
      </c>
      <c r="B659" s="895" t="s">
        <v>1533</v>
      </c>
      <c r="C659" s="896" t="s">
        <v>184</v>
      </c>
      <c r="D659" s="906" t="s">
        <v>1735</v>
      </c>
      <c r="E659" s="907">
        <f>DMT!$F$8</f>
        <v>150</v>
      </c>
      <c r="F659" s="908">
        <v>1.7250000000000001</v>
      </c>
      <c r="G659" s="949">
        <f t="shared" si="230"/>
        <v>281.4855</v>
      </c>
      <c r="H659" s="901">
        <v>102.38</v>
      </c>
      <c r="I659" s="901">
        <f t="shared" si="236"/>
        <v>383.8655</v>
      </c>
      <c r="J659" s="902">
        <f t="shared" si="227"/>
        <v>460.91</v>
      </c>
      <c r="K659" s="903" t="s">
        <v>10</v>
      </c>
      <c r="L659" s="904">
        <f>ROUND(SUM('RES. CENTRAL PARK:RUA_FINAL'!L659),2)</f>
        <v>0</v>
      </c>
      <c r="M659" s="904">
        <f t="shared" si="231"/>
        <v>0</v>
      </c>
      <c r="N659" s="893">
        <f t="shared" si="232"/>
        <v>0</v>
      </c>
      <c r="O659" s="905"/>
      <c r="Q659" s="317" t="str">
        <f t="shared" si="233"/>
        <v/>
      </c>
      <c r="R659" s="317" t="str">
        <f t="shared" si="234"/>
        <v/>
      </c>
      <c r="S659" s="317" t="str">
        <f t="shared" si="235"/>
        <v/>
      </c>
      <c r="V659" s="314">
        <f>SUM('RES. CENTRAL PARK:RUA_FINAL'!N659)</f>
        <v>0</v>
      </c>
      <c r="W659" s="315">
        <f t="shared" si="219"/>
        <v>0</v>
      </c>
    </row>
    <row r="660" spans="1:29" ht="15" hidden="1" customHeight="1" x14ac:dyDescent="0.2">
      <c r="A660" s="562">
        <v>532600</v>
      </c>
      <c r="B660" s="895" t="s">
        <v>1566</v>
      </c>
      <c r="C660" s="896" t="s">
        <v>184</v>
      </c>
      <c r="D660" s="906" t="s">
        <v>1733</v>
      </c>
      <c r="E660" s="898">
        <f>DMT!$F$12</f>
        <v>0</v>
      </c>
      <c r="F660" s="908">
        <f>ROUND(1.5*1.5,4)</f>
        <v>2.25</v>
      </c>
      <c r="G660" s="949">
        <f t="shared" si="230"/>
        <v>6.03</v>
      </c>
      <c r="H660" s="901">
        <v>16.07</v>
      </c>
      <c r="I660" s="901">
        <f t="shared" si="236"/>
        <v>22.1</v>
      </c>
      <c r="J660" s="902">
        <f t="shared" si="227"/>
        <v>26.54</v>
      </c>
      <c r="K660" s="903" t="s">
        <v>10</v>
      </c>
      <c r="L660" s="904">
        <f>ROUND(SUM('RES. CENTRAL PARK:RUA_FINAL'!L660),2)</f>
        <v>0</v>
      </c>
      <c r="M660" s="904">
        <f t="shared" si="231"/>
        <v>0</v>
      </c>
      <c r="N660" s="893">
        <f t="shared" si="232"/>
        <v>0</v>
      </c>
      <c r="O660" s="905"/>
      <c r="Q660" s="317" t="str">
        <f t="shared" si="233"/>
        <v/>
      </c>
      <c r="R660" s="317" t="str">
        <f t="shared" si="234"/>
        <v/>
      </c>
      <c r="S660" s="317" t="str">
        <f t="shared" si="235"/>
        <v/>
      </c>
      <c r="V660" s="314">
        <f>SUM('RES. CENTRAL PARK:RUA_FINAL'!N660)</f>
        <v>0</v>
      </c>
      <c r="W660" s="315">
        <f t="shared" si="219"/>
        <v>0</v>
      </c>
    </row>
    <row r="661" spans="1:29" ht="15" hidden="1" customHeight="1" x14ac:dyDescent="0.2">
      <c r="A661" s="63">
        <v>603900</v>
      </c>
      <c r="B661" s="895" t="s">
        <v>1741</v>
      </c>
      <c r="C661" s="896" t="s">
        <v>184</v>
      </c>
      <c r="D661" s="906" t="s">
        <v>1734</v>
      </c>
      <c r="E661" s="907">
        <f>DMT!$F$11</f>
        <v>0.2</v>
      </c>
      <c r="F661" s="908">
        <v>1.5</v>
      </c>
      <c r="G661" s="949">
        <f t="shared" si="230"/>
        <v>4.3410000000000002</v>
      </c>
      <c r="H661" s="901">
        <v>131.84</v>
      </c>
      <c r="I661" s="901">
        <f t="shared" si="236"/>
        <v>136.18100000000001</v>
      </c>
      <c r="J661" s="902">
        <f t="shared" si="227"/>
        <v>163.51</v>
      </c>
      <c r="K661" s="903" t="s">
        <v>10</v>
      </c>
      <c r="L661" s="904">
        <f>ROUND(SUM('RES. CENTRAL PARK:RUA_FINAL'!L661),2)</f>
        <v>0</v>
      </c>
      <c r="M661" s="904">
        <f t="shared" si="231"/>
        <v>0</v>
      </c>
      <c r="N661" s="893">
        <f t="shared" si="232"/>
        <v>0</v>
      </c>
      <c r="O661" s="905"/>
      <c r="Q661" s="317" t="str">
        <f t="shared" si="233"/>
        <v/>
      </c>
      <c r="R661" s="317" t="str">
        <f t="shared" si="234"/>
        <v/>
      </c>
      <c r="S661" s="317" t="str">
        <f t="shared" si="235"/>
        <v/>
      </c>
      <c r="V661" s="314">
        <f>SUM('RES. CENTRAL PARK:RUA_FINAL'!N661)</f>
        <v>0</v>
      </c>
      <c r="W661" s="315">
        <f t="shared" ref="W661:W724" si="237">N661-V661</f>
        <v>0</v>
      </c>
    </row>
    <row r="662" spans="1:29" ht="15" hidden="1" customHeight="1" x14ac:dyDescent="0.2">
      <c r="A662" s="63">
        <v>601100</v>
      </c>
      <c r="B662" s="895" t="s">
        <v>1766</v>
      </c>
      <c r="C662" s="896" t="s">
        <v>184</v>
      </c>
      <c r="D662" s="906" t="s">
        <v>260</v>
      </c>
      <c r="E662" s="907"/>
      <c r="F662" s="908"/>
      <c r="G662" s="912">
        <f>IF(E662&lt;=30,(0.62*E662+6.29)*F662,((0.62*30+6.29)+0.62*(E662-30))*F662)</f>
        <v>0</v>
      </c>
      <c r="H662" s="901">
        <v>54.05</v>
      </c>
      <c r="I662" s="901">
        <f t="shared" si="236"/>
        <v>54.05</v>
      </c>
      <c r="J662" s="902">
        <f t="shared" si="227"/>
        <v>64.900000000000006</v>
      </c>
      <c r="K662" s="903" t="s">
        <v>10</v>
      </c>
      <c r="L662" s="904">
        <f>ROUND(SUM('RES. CENTRAL PARK:RUA_FINAL'!L662),2)</f>
        <v>0</v>
      </c>
      <c r="M662" s="904">
        <f t="shared" si="231"/>
        <v>0</v>
      </c>
      <c r="N662" s="893">
        <f t="shared" si="232"/>
        <v>0</v>
      </c>
      <c r="O662" s="905"/>
      <c r="Q662" s="317" t="str">
        <f t="shared" si="233"/>
        <v/>
      </c>
      <c r="R662" s="317" t="str">
        <f t="shared" si="234"/>
        <v/>
      </c>
      <c r="S662" s="317" t="str">
        <f t="shared" si="235"/>
        <v/>
      </c>
      <c r="V662" s="314">
        <f>SUM('RES. CENTRAL PARK:RUA_FINAL'!N662)</f>
        <v>0</v>
      </c>
      <c r="W662" s="315">
        <f t="shared" si="237"/>
        <v>0</v>
      </c>
    </row>
    <row r="663" spans="1:29" ht="15" hidden="1" customHeight="1" x14ac:dyDescent="0.2">
      <c r="A663" s="63">
        <v>602000</v>
      </c>
      <c r="B663" s="895" t="s">
        <v>1996</v>
      </c>
      <c r="C663" s="896" t="s">
        <v>184</v>
      </c>
      <c r="D663" s="906" t="s">
        <v>1994</v>
      </c>
      <c r="E663" s="907"/>
      <c r="F663" s="908"/>
      <c r="G663" s="912">
        <f>IF(E663&lt;=30,(0.62*E663+6.29)*F663,((0.62*30+6.29)+0.62*(E663-30))*F663)</f>
        <v>0</v>
      </c>
      <c r="H663" s="901">
        <v>62.53</v>
      </c>
      <c r="I663" s="901">
        <f t="shared" si="236"/>
        <v>62.53</v>
      </c>
      <c r="J663" s="902">
        <f t="shared" si="227"/>
        <v>75.08</v>
      </c>
      <c r="K663" s="903" t="s">
        <v>12</v>
      </c>
      <c r="L663" s="904">
        <f>ROUND(SUM('RES. CENTRAL PARK:RUA_FINAL'!L663),2)</f>
        <v>0</v>
      </c>
      <c r="M663" s="904">
        <f t="shared" si="231"/>
        <v>0</v>
      </c>
      <c r="N663" s="893">
        <f t="shared" si="232"/>
        <v>0</v>
      </c>
      <c r="O663" s="905"/>
      <c r="Q663" s="317" t="str">
        <f t="shared" si="233"/>
        <v/>
      </c>
      <c r="R663" s="317" t="str">
        <f t="shared" si="234"/>
        <v/>
      </c>
      <c r="S663" s="317" t="str">
        <f t="shared" si="235"/>
        <v/>
      </c>
      <c r="V663" s="314">
        <f>SUM('RES. CENTRAL PARK:RUA_FINAL'!N663)</f>
        <v>0</v>
      </c>
      <c r="W663" s="315">
        <f t="shared" si="237"/>
        <v>0</v>
      </c>
    </row>
    <row r="664" spans="1:29" ht="15" hidden="1" customHeight="1" x14ac:dyDescent="0.2">
      <c r="A664" s="63">
        <v>603000</v>
      </c>
      <c r="B664" s="895" t="s">
        <v>1768</v>
      </c>
      <c r="C664" s="896" t="s">
        <v>184</v>
      </c>
      <c r="D664" s="906" t="s">
        <v>261</v>
      </c>
      <c r="E664" s="907"/>
      <c r="F664" s="908"/>
      <c r="G664" s="912">
        <f>IF(E664&lt;=30,(0.62*E664+6.29)*F664,((0.62*30+6.29)+0.62*(E664-30))*F664)</f>
        <v>0</v>
      </c>
      <c r="H664" s="901">
        <v>18.34</v>
      </c>
      <c r="I664" s="901">
        <f t="shared" si="236"/>
        <v>18.34</v>
      </c>
      <c r="J664" s="902">
        <f t="shared" si="227"/>
        <v>22.02</v>
      </c>
      <c r="K664" s="903" t="s">
        <v>16</v>
      </c>
      <c r="L664" s="904">
        <f>ROUND(SUM('RES. CENTRAL PARK:RUA_FINAL'!L664),2)</f>
        <v>0</v>
      </c>
      <c r="M664" s="904">
        <f t="shared" si="231"/>
        <v>0</v>
      </c>
      <c r="N664" s="893">
        <f t="shared" si="232"/>
        <v>0</v>
      </c>
      <c r="O664" s="905"/>
      <c r="Q664" s="317" t="str">
        <f t="shared" si="233"/>
        <v/>
      </c>
      <c r="R664" s="317" t="str">
        <f t="shared" si="234"/>
        <v/>
      </c>
      <c r="S664" s="317" t="str">
        <f t="shared" si="235"/>
        <v/>
      </c>
      <c r="V664" s="314">
        <f>SUM('RES. CENTRAL PARK:RUA_FINAL'!N664)</f>
        <v>0</v>
      </c>
      <c r="W664" s="315">
        <f t="shared" si="237"/>
        <v>0</v>
      </c>
    </row>
    <row r="665" spans="1:29" ht="15" hidden="1" customHeight="1" x14ac:dyDescent="0.2">
      <c r="A665" s="63">
        <v>603300</v>
      </c>
      <c r="B665" s="895" t="s">
        <v>1771</v>
      </c>
      <c r="C665" s="896" t="s">
        <v>184</v>
      </c>
      <c r="D665" s="906" t="s">
        <v>262</v>
      </c>
      <c r="E665" s="907"/>
      <c r="F665" s="908"/>
      <c r="G665" s="912">
        <f>IF(E665&lt;=30,(0.62*E665+6.29)*F665,((0.62*30+6.29)+0.62*(E665-30))*F665)</f>
        <v>0</v>
      </c>
      <c r="H665" s="901">
        <v>20.91</v>
      </c>
      <c r="I665" s="901">
        <f t="shared" si="236"/>
        <v>20.91</v>
      </c>
      <c r="J665" s="902">
        <f t="shared" si="227"/>
        <v>25.11</v>
      </c>
      <c r="K665" s="903" t="s">
        <v>16</v>
      </c>
      <c r="L665" s="904">
        <f>ROUND(SUM('RES. CENTRAL PARK:RUA_FINAL'!L665),2)</f>
        <v>0</v>
      </c>
      <c r="M665" s="904">
        <f t="shared" si="231"/>
        <v>0</v>
      </c>
      <c r="N665" s="893">
        <f t="shared" si="232"/>
        <v>0</v>
      </c>
      <c r="O665" s="905"/>
      <c r="Q665" s="317" t="str">
        <f t="shared" si="233"/>
        <v/>
      </c>
      <c r="R665" s="317" t="str">
        <f t="shared" si="234"/>
        <v/>
      </c>
      <c r="S665" s="317" t="str">
        <f t="shared" si="235"/>
        <v/>
      </c>
      <c r="V665" s="314">
        <f>SUM('RES. CENTRAL PARK:RUA_FINAL'!N665)</f>
        <v>0</v>
      </c>
      <c r="W665" s="315">
        <f t="shared" si="237"/>
        <v>0</v>
      </c>
    </row>
    <row r="666" spans="1:29" ht="15" hidden="1" customHeight="1" x14ac:dyDescent="0.2">
      <c r="A666" s="63">
        <v>605000</v>
      </c>
      <c r="B666" s="895" t="s">
        <v>299</v>
      </c>
      <c r="C666" s="896" t="s">
        <v>184</v>
      </c>
      <c r="D666" s="906" t="s">
        <v>263</v>
      </c>
      <c r="E666" s="907"/>
      <c r="F666" s="908"/>
      <c r="G666" s="912">
        <f>SUM(G667:G669)*0.05</f>
        <v>0.56710335000000001</v>
      </c>
      <c r="H666" s="901">
        <v>26.85</v>
      </c>
      <c r="I666" s="901">
        <f t="shared" si="236"/>
        <v>27.417103350000001</v>
      </c>
      <c r="J666" s="902">
        <f t="shared" si="227"/>
        <v>32.92</v>
      </c>
      <c r="K666" s="903" t="s">
        <v>12</v>
      </c>
      <c r="L666" s="904">
        <f>ROUND(SUM('RES. CENTRAL PARK:RUA_FINAL'!L666),2)</f>
        <v>0</v>
      </c>
      <c r="M666" s="904">
        <f t="shared" si="231"/>
        <v>0</v>
      </c>
      <c r="N666" s="893">
        <f t="shared" si="232"/>
        <v>0</v>
      </c>
      <c r="O666" s="905"/>
      <c r="Q666" s="317" t="str">
        <f t="shared" si="233"/>
        <v/>
      </c>
      <c r="R666" s="317" t="str">
        <f t="shared" si="234"/>
        <v/>
      </c>
      <c r="S666" s="317" t="str">
        <f t="shared" si="235"/>
        <v/>
      </c>
      <c r="V666" s="314">
        <f>SUM('RES. CENTRAL PARK:RUA_FINAL'!N666)</f>
        <v>0</v>
      </c>
      <c r="W666" s="315">
        <f t="shared" si="237"/>
        <v>0</v>
      </c>
    </row>
    <row r="667" spans="1:29" ht="15" hidden="1" customHeight="1" x14ac:dyDescent="0.2">
      <c r="A667" s="63" t="s">
        <v>147</v>
      </c>
      <c r="B667" s="895" t="s">
        <v>147</v>
      </c>
      <c r="C667" s="896"/>
      <c r="D667" s="957" t="s">
        <v>190</v>
      </c>
      <c r="E667" s="907">
        <f>DMT!$D$20</f>
        <v>308</v>
      </c>
      <c r="F667" s="908">
        <f>ROUND(0.27*0.05,4)</f>
        <v>1.35E-2</v>
      </c>
      <c r="G667" s="909">
        <f>IF(E667&lt;=30,(0.78*E667+7.82)*F667,((0.78*30+7.82)+0.78*(E667-30))*F667)</f>
        <v>3.3488099999999998</v>
      </c>
      <c r="H667" s="901">
        <v>0</v>
      </c>
      <c r="I667" s="901">
        <f t="shared" si="236"/>
        <v>3.3488099999999998</v>
      </c>
      <c r="J667" s="902">
        <v>0</v>
      </c>
      <c r="K667" s="958" t="s">
        <v>507</v>
      </c>
      <c r="L667" s="959">
        <f>ROUND(SUM('RES. CENTRAL PARK:RUA_FINAL'!L667),2)</f>
        <v>0</v>
      </c>
      <c r="M667" s="960">
        <f t="shared" si="231"/>
        <v>0</v>
      </c>
      <c r="N667" s="893">
        <f t="shared" si="232"/>
        <v>0</v>
      </c>
      <c r="O667" s="905"/>
      <c r="P667" s="58" t="str">
        <f>IF(N666&gt;0,"xx",IF(N666&gt;0,"xy",""))</f>
        <v/>
      </c>
      <c r="Q667" s="317" t="str">
        <f t="shared" si="233"/>
        <v/>
      </c>
      <c r="R667" s="317" t="str">
        <f t="shared" si="234"/>
        <v/>
      </c>
      <c r="S667" s="317" t="str">
        <f t="shared" si="235"/>
        <v/>
      </c>
      <c r="V667" s="314">
        <f>SUM('RES. CENTRAL PARK:RUA_FINAL'!N667)</f>
        <v>0</v>
      </c>
      <c r="W667" s="315">
        <f t="shared" si="237"/>
        <v>0</v>
      </c>
    </row>
    <row r="668" spans="1:29" ht="15" hidden="1" customHeight="1" x14ac:dyDescent="0.2">
      <c r="A668" s="63" t="s">
        <v>147</v>
      </c>
      <c r="B668" s="895" t="s">
        <v>147</v>
      </c>
      <c r="C668" s="896"/>
      <c r="D668" s="957" t="s">
        <v>229</v>
      </c>
      <c r="E668" s="907">
        <f>DMT!$F$8</f>
        <v>150</v>
      </c>
      <c r="F668" s="908">
        <f>ROUND(0.96*0.05,4)</f>
        <v>4.8000000000000001E-2</v>
      </c>
      <c r="G668" s="949">
        <f t="shared" ref="G668:G669" si="238">IF(E668&lt;=30,(1.07*E668+2.68)*F668,((1.07*30+2.68)+1.07*(E668-30))*F668)</f>
        <v>7.8326400000000005</v>
      </c>
      <c r="H668" s="901">
        <v>0</v>
      </c>
      <c r="I668" s="901">
        <f t="shared" si="236"/>
        <v>7.8326400000000005</v>
      </c>
      <c r="J668" s="902">
        <v>0</v>
      </c>
      <c r="K668" s="958" t="s">
        <v>507</v>
      </c>
      <c r="L668" s="959">
        <f>ROUND(SUM('RES. CENTRAL PARK:RUA_FINAL'!L668),2)</f>
        <v>0</v>
      </c>
      <c r="M668" s="960">
        <f t="shared" si="231"/>
        <v>0</v>
      </c>
      <c r="N668" s="893">
        <f t="shared" si="232"/>
        <v>0</v>
      </c>
      <c r="O668" s="905"/>
      <c r="P668" s="58" t="str">
        <f>IF(N666&gt;0,"xx",IF(N666&gt;0,"xy",""))</f>
        <v/>
      </c>
      <c r="Q668" s="317" t="str">
        <f t="shared" si="233"/>
        <v/>
      </c>
      <c r="R668" s="317" t="str">
        <f t="shared" si="234"/>
        <v/>
      </c>
      <c r="S668" s="317" t="str">
        <f t="shared" si="235"/>
        <v/>
      </c>
      <c r="V668" s="314">
        <f>SUM('RES. CENTRAL PARK:RUA_FINAL'!N668)</f>
        <v>0</v>
      </c>
      <c r="W668" s="315">
        <f t="shared" si="237"/>
        <v>0</v>
      </c>
    </row>
    <row r="669" spans="1:29" ht="15" hidden="1" customHeight="1" x14ac:dyDescent="0.2">
      <c r="A669" s="63" t="s">
        <v>147</v>
      </c>
      <c r="B669" s="895" t="s">
        <v>147</v>
      </c>
      <c r="C669" s="896"/>
      <c r="D669" s="957" t="s">
        <v>233</v>
      </c>
      <c r="E669" s="907">
        <f>DMT!$F$10</f>
        <v>0.2</v>
      </c>
      <c r="F669" s="908">
        <f>ROUND(1.11*0.05,4)</f>
        <v>5.5500000000000001E-2</v>
      </c>
      <c r="G669" s="949">
        <f t="shared" si="238"/>
        <v>0.16061700000000001</v>
      </c>
      <c r="H669" s="901">
        <v>0</v>
      </c>
      <c r="I669" s="901">
        <f t="shared" si="236"/>
        <v>0.16061700000000001</v>
      </c>
      <c r="J669" s="902">
        <v>0</v>
      </c>
      <c r="K669" s="958" t="s">
        <v>507</v>
      </c>
      <c r="L669" s="959">
        <f>ROUND(SUM('RES. CENTRAL PARK:RUA_FINAL'!L669),2)</f>
        <v>0</v>
      </c>
      <c r="M669" s="960">
        <f t="shared" si="231"/>
        <v>0</v>
      </c>
      <c r="N669" s="893">
        <f t="shared" si="232"/>
        <v>0</v>
      </c>
      <c r="O669" s="905"/>
      <c r="P669" s="58" t="str">
        <f>IF(N666&gt;0,"xx",IF(N666&gt;0,"xy",""))</f>
        <v/>
      </c>
      <c r="Q669" s="317" t="str">
        <f t="shared" si="233"/>
        <v/>
      </c>
      <c r="R669" s="317" t="str">
        <f t="shared" si="234"/>
        <v/>
      </c>
      <c r="S669" s="317" t="str">
        <f t="shared" si="235"/>
        <v/>
      </c>
      <c r="V669" s="314">
        <f>SUM('RES. CENTRAL PARK:RUA_FINAL'!N669)</f>
        <v>0</v>
      </c>
      <c r="W669" s="315">
        <f t="shared" si="237"/>
        <v>0</v>
      </c>
    </row>
    <row r="670" spans="1:29" ht="15" hidden="1" customHeight="1" x14ac:dyDescent="0.2">
      <c r="A670" s="63">
        <v>605000</v>
      </c>
      <c r="B670" s="895" t="s">
        <v>300</v>
      </c>
      <c r="C670" s="896" t="s">
        <v>184</v>
      </c>
      <c r="D670" s="906" t="s">
        <v>516</v>
      </c>
      <c r="E670" s="907"/>
      <c r="F670" s="908"/>
      <c r="G670" s="912">
        <f>SUM(G671:G673)*0.05</f>
        <v>0.68052402000000001</v>
      </c>
      <c r="H670" s="901">
        <v>31.71</v>
      </c>
      <c r="I670" s="901">
        <f t="shared" si="236"/>
        <v>32.390524020000001</v>
      </c>
      <c r="J670" s="902">
        <f t="shared" si="227"/>
        <v>38.89</v>
      </c>
      <c r="K670" s="903" t="s">
        <v>12</v>
      </c>
      <c r="L670" s="904">
        <f>ROUND(SUM('RES. CENTRAL PARK:RUA_FINAL'!L670),2)</f>
        <v>0</v>
      </c>
      <c r="M670" s="904">
        <f t="shared" si="231"/>
        <v>0</v>
      </c>
      <c r="N670" s="893">
        <f t="shared" si="232"/>
        <v>0</v>
      </c>
      <c r="O670" s="905"/>
      <c r="Q670" s="317" t="str">
        <f t="shared" si="233"/>
        <v/>
      </c>
      <c r="R670" s="317" t="str">
        <f t="shared" si="234"/>
        <v/>
      </c>
      <c r="S670" s="317" t="str">
        <f t="shared" si="235"/>
        <v/>
      </c>
      <c r="V670" s="314">
        <f>SUM('RES. CENTRAL PARK:RUA_FINAL'!N670)</f>
        <v>0</v>
      </c>
      <c r="W670" s="315">
        <f t="shared" si="237"/>
        <v>0</v>
      </c>
    </row>
    <row r="671" spans="1:29" ht="15" hidden="1" customHeight="1" x14ac:dyDescent="0.2">
      <c r="A671" s="63" t="s">
        <v>147</v>
      </c>
      <c r="B671" s="895" t="s">
        <v>147</v>
      </c>
      <c r="C671" s="896"/>
      <c r="D671" s="957" t="s">
        <v>190</v>
      </c>
      <c r="E671" s="907">
        <f>DMT!$D$20</f>
        <v>308</v>
      </c>
      <c r="F671" s="908">
        <f>ROUND(0.27*0.06,4)</f>
        <v>1.6199999999999999E-2</v>
      </c>
      <c r="G671" s="909">
        <f>IF(E671&lt;=30,(0.78*E671+7.82)*F671,((0.78*30+7.82)+0.78*(E671-30))*F671)</f>
        <v>4.0185719999999998</v>
      </c>
      <c r="H671" s="901">
        <v>0</v>
      </c>
      <c r="I671" s="901">
        <f t="shared" si="236"/>
        <v>4.0185719999999998</v>
      </c>
      <c r="J671" s="902">
        <v>0</v>
      </c>
      <c r="K671" s="958" t="s">
        <v>507</v>
      </c>
      <c r="L671" s="959">
        <f>ROUND(SUM('RES. CENTRAL PARK:RUA_FINAL'!L671),2)</f>
        <v>0</v>
      </c>
      <c r="M671" s="960">
        <f t="shared" si="231"/>
        <v>0</v>
      </c>
      <c r="N671" s="893">
        <f t="shared" si="232"/>
        <v>0</v>
      </c>
      <c r="O671" s="905"/>
      <c r="P671" s="58" t="str">
        <f>IF(N670&gt;0,"xx",IF(N670&gt;0,"xy",""))</f>
        <v/>
      </c>
      <c r="Q671" s="317" t="str">
        <f t="shared" si="233"/>
        <v/>
      </c>
      <c r="R671" s="317" t="str">
        <f t="shared" si="234"/>
        <v/>
      </c>
      <c r="S671" s="317" t="str">
        <f t="shared" si="235"/>
        <v/>
      </c>
      <c r="V671" s="314">
        <f>SUM('RES. CENTRAL PARK:RUA_FINAL'!N671)</f>
        <v>0</v>
      </c>
      <c r="W671" s="315">
        <f t="shared" si="237"/>
        <v>0</v>
      </c>
    </row>
    <row r="672" spans="1:29" ht="15" hidden="1" customHeight="1" x14ac:dyDescent="0.2">
      <c r="A672" s="63" t="s">
        <v>147</v>
      </c>
      <c r="B672" s="895" t="s">
        <v>147</v>
      </c>
      <c r="C672" s="896"/>
      <c r="D672" s="957" t="s">
        <v>229</v>
      </c>
      <c r="E672" s="907">
        <f>DMT!$F$8</f>
        <v>150</v>
      </c>
      <c r="F672" s="908">
        <f>ROUND(0.96*0.06,4)</f>
        <v>5.7599999999999998E-2</v>
      </c>
      <c r="G672" s="949">
        <f t="shared" ref="G672:G673" si="239">IF(E672&lt;=30,(1.07*E672+2.68)*F672,((1.07*30+2.68)+1.07*(E672-30))*F672)</f>
        <v>9.3991679999999995</v>
      </c>
      <c r="H672" s="901">
        <v>0</v>
      </c>
      <c r="I672" s="901">
        <f t="shared" si="236"/>
        <v>9.3991679999999995</v>
      </c>
      <c r="J672" s="902">
        <v>0</v>
      </c>
      <c r="K672" s="958" t="s">
        <v>507</v>
      </c>
      <c r="L672" s="959">
        <f>ROUND(SUM('RES. CENTRAL PARK:RUA_FINAL'!L672),2)</f>
        <v>0</v>
      </c>
      <c r="M672" s="960">
        <f t="shared" si="231"/>
        <v>0</v>
      </c>
      <c r="N672" s="893">
        <f t="shared" si="232"/>
        <v>0</v>
      </c>
      <c r="O672" s="905"/>
      <c r="P672" s="58" t="str">
        <f>IF(N670&gt;0,"xx",IF(N670&gt;0,"xy",""))</f>
        <v/>
      </c>
      <c r="Q672" s="317" t="str">
        <f t="shared" si="233"/>
        <v/>
      </c>
      <c r="R672" s="317" t="str">
        <f t="shared" si="234"/>
        <v/>
      </c>
      <c r="S672" s="317" t="str">
        <f t="shared" si="235"/>
        <v/>
      </c>
      <c r="V672" s="314">
        <f>SUM('RES. CENTRAL PARK:RUA_FINAL'!N672)</f>
        <v>0</v>
      </c>
      <c r="W672" s="315">
        <f t="shared" si="237"/>
        <v>0</v>
      </c>
    </row>
    <row r="673" spans="1:29" ht="15" hidden="1" customHeight="1" x14ac:dyDescent="0.2">
      <c r="A673" s="63" t="s">
        <v>147</v>
      </c>
      <c r="B673" s="895" t="s">
        <v>147</v>
      </c>
      <c r="C673" s="896"/>
      <c r="D673" s="957" t="s">
        <v>233</v>
      </c>
      <c r="E673" s="907">
        <f>DMT!$F$10</f>
        <v>0.2</v>
      </c>
      <c r="F673" s="908">
        <f>ROUND(1.11*0.06,4)</f>
        <v>6.6600000000000006E-2</v>
      </c>
      <c r="G673" s="949">
        <f t="shared" si="239"/>
        <v>0.19274040000000003</v>
      </c>
      <c r="H673" s="901">
        <v>0</v>
      </c>
      <c r="I673" s="901">
        <f t="shared" si="236"/>
        <v>0.19274040000000003</v>
      </c>
      <c r="J673" s="902">
        <v>0</v>
      </c>
      <c r="K673" s="958" t="s">
        <v>507</v>
      </c>
      <c r="L673" s="959">
        <f>ROUND(SUM('RES. CENTRAL PARK:RUA_FINAL'!L673),2)</f>
        <v>0</v>
      </c>
      <c r="M673" s="960">
        <f t="shared" si="231"/>
        <v>0</v>
      </c>
      <c r="N673" s="893">
        <f t="shared" si="232"/>
        <v>0</v>
      </c>
      <c r="O673" s="905"/>
      <c r="P673" s="58" t="str">
        <f>IF(N670&gt;0,"xx",IF(N670&gt;0,"xy",""))</f>
        <v/>
      </c>
      <c r="Q673" s="317" t="str">
        <f t="shared" si="233"/>
        <v/>
      </c>
      <c r="R673" s="317" t="str">
        <f t="shared" si="234"/>
        <v/>
      </c>
      <c r="S673" s="317" t="str">
        <f t="shared" si="235"/>
        <v/>
      </c>
      <c r="V673" s="314">
        <f>SUM('RES. CENTRAL PARK:RUA_FINAL'!N673)</f>
        <v>0</v>
      </c>
      <c r="W673" s="315">
        <f t="shared" si="237"/>
        <v>0</v>
      </c>
    </row>
    <row r="674" spans="1:29" ht="15" hidden="1" customHeight="1" x14ac:dyDescent="0.2">
      <c r="A674" s="63">
        <v>605000</v>
      </c>
      <c r="B674" s="895" t="s">
        <v>301</v>
      </c>
      <c r="C674" s="896" t="s">
        <v>184</v>
      </c>
      <c r="D674" s="906" t="s">
        <v>517</v>
      </c>
      <c r="E674" s="907"/>
      <c r="F674" s="908"/>
      <c r="G674" s="912">
        <f>SUM(G675:G677)*0.05</f>
        <v>0.79394469000000001</v>
      </c>
      <c r="H674" s="901">
        <v>36.58</v>
      </c>
      <c r="I674" s="901">
        <f t="shared" si="236"/>
        <v>37.373944690000002</v>
      </c>
      <c r="J674" s="902">
        <f t="shared" si="227"/>
        <v>44.87</v>
      </c>
      <c r="K674" s="903" t="s">
        <v>12</v>
      </c>
      <c r="L674" s="904">
        <f>ROUND(SUM('RES. CENTRAL PARK:RUA_FINAL'!L674),2)</f>
        <v>0</v>
      </c>
      <c r="M674" s="904">
        <f t="shared" si="231"/>
        <v>0</v>
      </c>
      <c r="N674" s="893">
        <f t="shared" si="232"/>
        <v>0</v>
      </c>
      <c r="O674" s="905"/>
      <c r="Q674" s="317" t="str">
        <f t="shared" si="233"/>
        <v/>
      </c>
      <c r="R674" s="317" t="str">
        <f t="shared" si="234"/>
        <v/>
      </c>
      <c r="S674" s="317" t="str">
        <f t="shared" si="235"/>
        <v/>
      </c>
      <c r="V674" s="314">
        <f>SUM('RES. CENTRAL PARK:RUA_FINAL'!N674)</f>
        <v>0</v>
      </c>
      <c r="W674" s="315">
        <f t="shared" si="237"/>
        <v>0</v>
      </c>
    </row>
    <row r="675" spans="1:29" ht="15" hidden="1" customHeight="1" x14ac:dyDescent="0.2">
      <c r="A675" s="63" t="s">
        <v>147</v>
      </c>
      <c r="B675" s="895" t="s">
        <v>147</v>
      </c>
      <c r="C675" s="896"/>
      <c r="D675" s="957" t="s">
        <v>190</v>
      </c>
      <c r="E675" s="907">
        <f>DMT!$D$20</f>
        <v>308</v>
      </c>
      <c r="F675" s="908">
        <f>ROUND(0.27*0.07,4)</f>
        <v>1.89E-2</v>
      </c>
      <c r="G675" s="909">
        <f>IF(E675&lt;=30,(0.78*E675+7.82)*F675,((0.78*30+7.82)+0.78*(E675-30))*F675)</f>
        <v>4.6883340000000002</v>
      </c>
      <c r="H675" s="901">
        <v>0</v>
      </c>
      <c r="I675" s="901">
        <f t="shared" si="236"/>
        <v>4.6883340000000002</v>
      </c>
      <c r="J675" s="902">
        <v>0</v>
      </c>
      <c r="K675" s="958" t="s">
        <v>507</v>
      </c>
      <c r="L675" s="959">
        <f>ROUND(SUM('RES. CENTRAL PARK:RUA_FINAL'!L675),2)</f>
        <v>0</v>
      </c>
      <c r="M675" s="960">
        <f t="shared" si="231"/>
        <v>0</v>
      </c>
      <c r="N675" s="893">
        <f t="shared" si="232"/>
        <v>0</v>
      </c>
      <c r="O675" s="905"/>
      <c r="P675" s="58" t="str">
        <f>IF(N674&gt;0,"xx",IF(N674&gt;0,"xy",""))</f>
        <v/>
      </c>
      <c r="Q675" s="317" t="str">
        <f t="shared" si="233"/>
        <v/>
      </c>
      <c r="R675" s="317" t="str">
        <f t="shared" si="234"/>
        <v/>
      </c>
      <c r="S675" s="317" t="str">
        <f t="shared" si="235"/>
        <v/>
      </c>
      <c r="V675" s="314">
        <f>SUM('RES. CENTRAL PARK:RUA_FINAL'!N675)</f>
        <v>0</v>
      </c>
      <c r="W675" s="315">
        <f t="shared" si="237"/>
        <v>0</v>
      </c>
    </row>
    <row r="676" spans="1:29" ht="15" hidden="1" customHeight="1" x14ac:dyDescent="0.2">
      <c r="A676" s="63" t="s">
        <v>147</v>
      </c>
      <c r="B676" s="895" t="s">
        <v>147</v>
      </c>
      <c r="C676" s="896"/>
      <c r="D676" s="957" t="s">
        <v>229</v>
      </c>
      <c r="E676" s="907">
        <f>DMT!$F$8</f>
        <v>150</v>
      </c>
      <c r="F676" s="908">
        <f>ROUND(0.96*0.07,4)</f>
        <v>6.7199999999999996E-2</v>
      </c>
      <c r="G676" s="949">
        <f t="shared" ref="G676:G677" si="240">IF(E676&lt;=30,(1.07*E676+2.68)*F676,((1.07*30+2.68)+1.07*(E676-30))*F676)</f>
        <v>10.965695999999999</v>
      </c>
      <c r="H676" s="901">
        <v>0</v>
      </c>
      <c r="I676" s="901">
        <f t="shared" si="236"/>
        <v>10.965695999999999</v>
      </c>
      <c r="J676" s="902">
        <v>0</v>
      </c>
      <c r="K676" s="958" t="s">
        <v>507</v>
      </c>
      <c r="L676" s="959">
        <f>ROUND(SUM('RES. CENTRAL PARK:RUA_FINAL'!L676),2)</f>
        <v>0</v>
      </c>
      <c r="M676" s="960">
        <f t="shared" si="231"/>
        <v>0</v>
      </c>
      <c r="N676" s="893">
        <f t="shared" si="232"/>
        <v>0</v>
      </c>
      <c r="O676" s="905"/>
      <c r="P676" s="58" t="str">
        <f>IF(N674&gt;0,"xx",IF(N674&gt;0,"xy",""))</f>
        <v/>
      </c>
      <c r="Q676" s="317" t="str">
        <f t="shared" si="233"/>
        <v/>
      </c>
      <c r="R676" s="317" t="str">
        <f t="shared" si="234"/>
        <v/>
      </c>
      <c r="S676" s="317" t="str">
        <f t="shared" si="235"/>
        <v/>
      </c>
      <c r="V676" s="314">
        <f>SUM('RES. CENTRAL PARK:RUA_FINAL'!N676)</f>
        <v>0</v>
      </c>
      <c r="W676" s="315">
        <f t="shared" si="237"/>
        <v>0</v>
      </c>
    </row>
    <row r="677" spans="1:29" ht="15" hidden="1" customHeight="1" x14ac:dyDescent="0.2">
      <c r="A677" s="63" t="s">
        <v>147</v>
      </c>
      <c r="B677" s="895" t="s">
        <v>147</v>
      </c>
      <c r="C677" s="896"/>
      <c r="D677" s="957" t="s">
        <v>233</v>
      </c>
      <c r="E677" s="907">
        <f>DMT!$F$10</f>
        <v>0.2</v>
      </c>
      <c r="F677" s="908">
        <f>ROUND(1.11*0.07,4)</f>
        <v>7.7700000000000005E-2</v>
      </c>
      <c r="G677" s="949">
        <f t="shared" si="240"/>
        <v>0.22486380000000003</v>
      </c>
      <c r="H677" s="901">
        <v>0</v>
      </c>
      <c r="I677" s="901">
        <f t="shared" si="236"/>
        <v>0.22486380000000003</v>
      </c>
      <c r="J677" s="902">
        <v>0</v>
      </c>
      <c r="K677" s="958" t="s">
        <v>507</v>
      </c>
      <c r="L677" s="959">
        <f>ROUND(SUM('RES. CENTRAL PARK:RUA_FINAL'!L677),2)</f>
        <v>0</v>
      </c>
      <c r="M677" s="960">
        <f t="shared" si="231"/>
        <v>0</v>
      </c>
      <c r="N677" s="893">
        <f t="shared" si="232"/>
        <v>0</v>
      </c>
      <c r="O677" s="905"/>
      <c r="P677" s="58" t="str">
        <f>IF(N674&gt;0,"xx",IF(N674&gt;0,"xy",""))</f>
        <v/>
      </c>
      <c r="Q677" s="317" t="str">
        <f t="shared" si="233"/>
        <v/>
      </c>
      <c r="R677" s="317" t="str">
        <f t="shared" si="234"/>
        <v/>
      </c>
      <c r="S677" s="317" t="str">
        <f t="shared" si="235"/>
        <v/>
      </c>
      <c r="V677" s="314">
        <f>SUM('RES. CENTRAL PARK:RUA_FINAL'!N677)</f>
        <v>0</v>
      </c>
      <c r="W677" s="315">
        <f t="shared" si="237"/>
        <v>0</v>
      </c>
    </row>
    <row r="678" spans="1:29" ht="15" hidden="1" customHeight="1" x14ac:dyDescent="0.2">
      <c r="A678" s="63">
        <v>605000</v>
      </c>
      <c r="B678" s="895" t="s">
        <v>1775</v>
      </c>
      <c r="C678" s="896" t="s">
        <v>184</v>
      </c>
      <c r="D678" s="906" t="s">
        <v>526</v>
      </c>
      <c r="E678" s="907"/>
      <c r="F678" s="908"/>
      <c r="G678" s="912">
        <f>SUM(G679:G681)*0.05</f>
        <v>0.90736536000000001</v>
      </c>
      <c r="H678" s="901">
        <v>41.44</v>
      </c>
      <c r="I678" s="901">
        <f t="shared" si="236"/>
        <v>42.347365359999998</v>
      </c>
      <c r="J678" s="902">
        <f t="shared" si="227"/>
        <v>50.85</v>
      </c>
      <c r="K678" s="903" t="s">
        <v>12</v>
      </c>
      <c r="L678" s="904">
        <f>ROUND(SUM('RES. CENTRAL PARK:RUA_FINAL'!L678),2)</f>
        <v>0</v>
      </c>
      <c r="M678" s="904">
        <f t="shared" si="231"/>
        <v>0</v>
      </c>
      <c r="N678" s="893">
        <f t="shared" si="232"/>
        <v>0</v>
      </c>
      <c r="O678" s="905"/>
      <c r="Q678" s="317" t="str">
        <f t="shared" si="233"/>
        <v/>
      </c>
      <c r="R678" s="317" t="str">
        <f t="shared" si="234"/>
        <v/>
      </c>
      <c r="S678" s="317" t="str">
        <f t="shared" si="235"/>
        <v/>
      </c>
      <c r="V678" s="314">
        <f>SUM('RES. CENTRAL PARK:RUA_FINAL'!N678)</f>
        <v>0</v>
      </c>
      <c r="W678" s="315">
        <f t="shared" si="237"/>
        <v>0</v>
      </c>
    </row>
    <row r="679" spans="1:29" ht="15" hidden="1" customHeight="1" x14ac:dyDescent="0.2">
      <c r="A679" s="63" t="s">
        <v>147</v>
      </c>
      <c r="B679" s="895" t="s">
        <v>147</v>
      </c>
      <c r="C679" s="896"/>
      <c r="D679" s="957" t="s">
        <v>190</v>
      </c>
      <c r="E679" s="907">
        <f>DMT!$D$20</f>
        <v>308</v>
      </c>
      <c r="F679" s="908">
        <f>ROUND(0.27*0.08,4)</f>
        <v>2.1600000000000001E-2</v>
      </c>
      <c r="G679" s="909">
        <f>IF(E679&lt;=30,(0.78*E679+7.82)*F679,((0.78*30+7.82)+0.78*(E679-30))*F679)</f>
        <v>5.3580960000000006</v>
      </c>
      <c r="H679" s="901">
        <v>0</v>
      </c>
      <c r="I679" s="901"/>
      <c r="J679" s="902">
        <v>0</v>
      </c>
      <c r="K679" s="958" t="s">
        <v>507</v>
      </c>
      <c r="L679" s="959">
        <f>ROUND(SUM('RES. CENTRAL PARK:RUA_FINAL'!L679),2)</f>
        <v>0</v>
      </c>
      <c r="M679" s="960">
        <f t="shared" si="231"/>
        <v>0</v>
      </c>
      <c r="N679" s="893">
        <f t="shared" si="232"/>
        <v>0</v>
      </c>
      <c r="O679" s="905"/>
      <c r="P679" s="58" t="str">
        <f>IF(N678&gt;0,"xx",IF(N678&gt;0,"xy",""))</f>
        <v/>
      </c>
      <c r="Q679" s="317" t="str">
        <f t="shared" si="233"/>
        <v/>
      </c>
      <c r="R679" s="317" t="str">
        <f t="shared" si="234"/>
        <v/>
      </c>
      <c r="S679" s="317" t="str">
        <f t="shared" si="235"/>
        <v/>
      </c>
      <c r="V679" s="314">
        <f>SUM('RES. CENTRAL PARK:RUA_FINAL'!N679)</f>
        <v>0</v>
      </c>
      <c r="W679" s="315">
        <f t="shared" si="237"/>
        <v>0</v>
      </c>
    </row>
    <row r="680" spans="1:29" ht="15" hidden="1" customHeight="1" x14ac:dyDescent="0.2">
      <c r="A680" s="63" t="s">
        <v>147</v>
      </c>
      <c r="B680" s="895" t="s">
        <v>147</v>
      </c>
      <c r="C680" s="896"/>
      <c r="D680" s="957" t="s">
        <v>229</v>
      </c>
      <c r="E680" s="907">
        <f>DMT!$F$8</f>
        <v>150</v>
      </c>
      <c r="F680" s="908">
        <f>ROUND(0.96*0.08,4)</f>
        <v>7.6799999999999993E-2</v>
      </c>
      <c r="G680" s="949">
        <f t="shared" ref="G680:G681" si="241">IF(E680&lt;=30,(1.07*E680+2.68)*F680,((1.07*30+2.68)+1.07*(E680-30))*F680)</f>
        <v>12.532223999999999</v>
      </c>
      <c r="H680" s="901">
        <v>0</v>
      </c>
      <c r="I680" s="901"/>
      <c r="J680" s="902">
        <v>0</v>
      </c>
      <c r="K680" s="958" t="s">
        <v>507</v>
      </c>
      <c r="L680" s="959">
        <f>ROUND(SUM('RES. CENTRAL PARK:RUA_FINAL'!L680),2)</f>
        <v>0</v>
      </c>
      <c r="M680" s="960">
        <f t="shared" si="231"/>
        <v>0</v>
      </c>
      <c r="N680" s="893">
        <f t="shared" si="232"/>
        <v>0</v>
      </c>
      <c r="O680" s="905"/>
      <c r="P680" s="58" t="str">
        <f>IF(N678&gt;0,"xx",IF(N678&gt;0,"xy",""))</f>
        <v/>
      </c>
      <c r="Q680" s="317" t="str">
        <f t="shared" si="233"/>
        <v/>
      </c>
      <c r="R680" s="317" t="str">
        <f t="shared" si="234"/>
        <v/>
      </c>
      <c r="S680" s="317" t="str">
        <f t="shared" si="235"/>
        <v/>
      </c>
      <c r="V680" s="314">
        <f>SUM('RES. CENTRAL PARK:RUA_FINAL'!N680)</f>
        <v>0</v>
      </c>
      <c r="W680" s="315">
        <f t="shared" si="237"/>
        <v>0</v>
      </c>
    </row>
    <row r="681" spans="1:29" ht="15" hidden="1" customHeight="1" x14ac:dyDescent="0.2">
      <c r="A681" s="63" t="s">
        <v>147</v>
      </c>
      <c r="B681" s="895" t="s">
        <v>147</v>
      </c>
      <c r="C681" s="896"/>
      <c r="D681" s="957" t="s">
        <v>233</v>
      </c>
      <c r="E681" s="907">
        <f>DMT!$F$10</f>
        <v>0.2</v>
      </c>
      <c r="F681" s="908">
        <f>ROUND(1.11*0.08,4)</f>
        <v>8.8800000000000004E-2</v>
      </c>
      <c r="G681" s="949">
        <f t="shared" si="241"/>
        <v>0.25698720000000003</v>
      </c>
      <c r="H681" s="901">
        <v>0</v>
      </c>
      <c r="I681" s="901"/>
      <c r="J681" s="902">
        <v>0</v>
      </c>
      <c r="K681" s="958" t="s">
        <v>507</v>
      </c>
      <c r="L681" s="959">
        <f>ROUND(SUM('RES. CENTRAL PARK:RUA_FINAL'!L681),2)</f>
        <v>0</v>
      </c>
      <c r="M681" s="960">
        <f t="shared" si="231"/>
        <v>0</v>
      </c>
      <c r="N681" s="893">
        <f t="shared" si="232"/>
        <v>0</v>
      </c>
      <c r="O681" s="905"/>
      <c r="P681" s="58" t="str">
        <f>IF(N678&gt;0,"xx",IF(N678&gt;0,"xy",""))</f>
        <v/>
      </c>
      <c r="Q681" s="317" t="str">
        <f t="shared" si="233"/>
        <v/>
      </c>
      <c r="R681" s="317" t="str">
        <f t="shared" si="234"/>
        <v/>
      </c>
      <c r="S681" s="317" t="str">
        <f t="shared" si="235"/>
        <v/>
      </c>
      <c r="V681" s="314">
        <f>SUM('RES. CENTRAL PARK:RUA_FINAL'!N681)</f>
        <v>0</v>
      </c>
      <c r="W681" s="315">
        <f t="shared" si="237"/>
        <v>0</v>
      </c>
    </row>
    <row r="682" spans="1:29" ht="15" hidden="1" customHeight="1" x14ac:dyDescent="0.2">
      <c r="A682" s="63">
        <v>511000</v>
      </c>
      <c r="B682" s="895" t="s">
        <v>1557</v>
      </c>
      <c r="C682" s="896" t="s">
        <v>184</v>
      </c>
      <c r="D682" s="906" t="s">
        <v>268</v>
      </c>
      <c r="E682" s="907"/>
      <c r="F682" s="908"/>
      <c r="G682" s="912"/>
      <c r="H682" s="901">
        <v>4.91</v>
      </c>
      <c r="I682" s="901">
        <f t="shared" ref="I682:I687" si="242">IF(ISBLANK(H682),"",SUM(G682:H682))</f>
        <v>4.91</v>
      </c>
      <c r="J682" s="902">
        <f t="shared" si="227"/>
        <v>5.9</v>
      </c>
      <c r="K682" s="903" t="s">
        <v>12</v>
      </c>
      <c r="L682" s="904">
        <f>ROUND(SUM('RES. CENTRAL PARK:RUA_FINAL'!L682),2)</f>
        <v>0</v>
      </c>
      <c r="M682" s="904">
        <f t="shared" si="231"/>
        <v>0</v>
      </c>
      <c r="N682" s="893">
        <f t="shared" si="232"/>
        <v>0</v>
      </c>
      <c r="O682" s="905"/>
      <c r="Q682" s="317" t="str">
        <f t="shared" si="233"/>
        <v/>
      </c>
      <c r="R682" s="317" t="str">
        <f t="shared" si="234"/>
        <v/>
      </c>
      <c r="S682" s="317" t="str">
        <f t="shared" si="235"/>
        <v/>
      </c>
      <c r="V682" s="314">
        <f>SUM('RES. CENTRAL PARK:RUA_FINAL'!N682)</f>
        <v>0</v>
      </c>
      <c r="W682" s="315">
        <f t="shared" si="237"/>
        <v>0</v>
      </c>
    </row>
    <row r="683" spans="1:29" ht="15" hidden="1" customHeight="1" x14ac:dyDescent="0.2">
      <c r="A683" s="63">
        <v>511100</v>
      </c>
      <c r="B683" s="895" t="s">
        <v>1569</v>
      </c>
      <c r="C683" s="896" t="s">
        <v>184</v>
      </c>
      <c r="D683" s="906" t="s">
        <v>269</v>
      </c>
      <c r="E683" s="907"/>
      <c r="F683" s="908"/>
      <c r="G683" s="912"/>
      <c r="H683" s="901">
        <v>4.25</v>
      </c>
      <c r="I683" s="901">
        <f t="shared" si="242"/>
        <v>4.25</v>
      </c>
      <c r="J683" s="902">
        <f t="shared" si="227"/>
        <v>5.0999999999999996</v>
      </c>
      <c r="K683" s="903" t="s">
        <v>12</v>
      </c>
      <c r="L683" s="904">
        <f>ROUND(SUM('RES. CENTRAL PARK:RUA_FINAL'!L683),2)</f>
        <v>0</v>
      </c>
      <c r="M683" s="904">
        <f t="shared" si="231"/>
        <v>0</v>
      </c>
      <c r="N683" s="893">
        <f t="shared" si="232"/>
        <v>0</v>
      </c>
      <c r="O683" s="905"/>
      <c r="Q683" s="317" t="str">
        <f t="shared" si="233"/>
        <v/>
      </c>
      <c r="R683" s="317" t="str">
        <f t="shared" si="234"/>
        <v/>
      </c>
      <c r="S683" s="317" t="str">
        <f t="shared" si="235"/>
        <v/>
      </c>
      <c r="V683" s="314">
        <f>SUM('RES. CENTRAL PARK:RUA_FINAL'!N683)</f>
        <v>0</v>
      </c>
      <c r="W683" s="315">
        <f t="shared" si="237"/>
        <v>0</v>
      </c>
    </row>
    <row r="684" spans="1:29" ht="15" hidden="1" customHeight="1" x14ac:dyDescent="0.2">
      <c r="A684" s="63">
        <v>520100</v>
      </c>
      <c r="B684" s="895" t="s">
        <v>1560</v>
      </c>
      <c r="C684" s="896" t="s">
        <v>184</v>
      </c>
      <c r="D684" s="906" t="s">
        <v>270</v>
      </c>
      <c r="E684" s="961">
        <v>1</v>
      </c>
      <c r="F684" s="899">
        <f>1.5*1.4</f>
        <v>2.0999999999999996</v>
      </c>
      <c r="G684" s="949">
        <f t="shared" ref="G684:G693" si="243">IF(E684&lt;=30,(1.07*E684+2.68)*F684,((1.07*30+2.68)+1.07*(E684-30))*F684)</f>
        <v>7.8749999999999982</v>
      </c>
      <c r="H684" s="954">
        <v>5.45</v>
      </c>
      <c r="I684" s="901">
        <f t="shared" si="242"/>
        <v>13.324999999999999</v>
      </c>
      <c r="J684" s="902">
        <f t="shared" si="227"/>
        <v>16</v>
      </c>
      <c r="K684" s="903" t="s">
        <v>10</v>
      </c>
      <c r="L684" s="904">
        <f>ROUND(SUM('RES. CENTRAL PARK:RUA_FINAL'!L684),2)</f>
        <v>0</v>
      </c>
      <c r="M684" s="904">
        <f t="shared" si="231"/>
        <v>0</v>
      </c>
      <c r="N684" s="893">
        <f t="shared" si="232"/>
        <v>0</v>
      </c>
      <c r="O684" s="905"/>
      <c r="Q684" s="317" t="str">
        <f t="shared" si="233"/>
        <v/>
      </c>
      <c r="R684" s="317" t="str">
        <f t="shared" si="234"/>
        <v/>
      </c>
      <c r="S684" s="317" t="str">
        <f t="shared" si="235"/>
        <v/>
      </c>
      <c r="V684" s="314">
        <f>SUM('RES. CENTRAL PARK:RUA_FINAL'!N684)</f>
        <v>0</v>
      </c>
      <c r="W684" s="315">
        <f t="shared" si="237"/>
        <v>0</v>
      </c>
    </row>
    <row r="685" spans="1:29" ht="15" hidden="1" customHeight="1" x14ac:dyDescent="0.2">
      <c r="A685" s="63">
        <v>520100</v>
      </c>
      <c r="B685" s="895" t="s">
        <v>1561</v>
      </c>
      <c r="C685" s="896" t="s">
        <v>184</v>
      </c>
      <c r="D685" s="906" t="s">
        <v>271</v>
      </c>
      <c r="E685" s="961">
        <v>10</v>
      </c>
      <c r="F685" s="899">
        <f>1.5*1.4</f>
        <v>2.0999999999999996</v>
      </c>
      <c r="G685" s="949">
        <f t="shared" si="243"/>
        <v>28.097999999999995</v>
      </c>
      <c r="H685" s="954">
        <v>5.45</v>
      </c>
      <c r="I685" s="901">
        <f t="shared" si="242"/>
        <v>33.547999999999995</v>
      </c>
      <c r="J685" s="902">
        <f t="shared" si="227"/>
        <v>40.28</v>
      </c>
      <c r="K685" s="903" t="s">
        <v>10</v>
      </c>
      <c r="L685" s="904">
        <f>ROUND(SUM('RES. CENTRAL PARK:RUA_FINAL'!L685),2)</f>
        <v>0</v>
      </c>
      <c r="M685" s="904">
        <f t="shared" si="231"/>
        <v>0</v>
      </c>
      <c r="N685" s="893">
        <f t="shared" si="232"/>
        <v>0</v>
      </c>
      <c r="O685" s="905"/>
      <c r="Q685" s="317" t="str">
        <f t="shared" si="233"/>
        <v/>
      </c>
      <c r="R685" s="317" t="str">
        <f t="shared" si="234"/>
        <v/>
      </c>
      <c r="S685" s="317" t="str">
        <f t="shared" si="235"/>
        <v/>
      </c>
      <c r="V685" s="314">
        <f>SUM('RES. CENTRAL PARK:RUA_FINAL'!N685)</f>
        <v>0</v>
      </c>
      <c r="W685" s="315">
        <f t="shared" si="237"/>
        <v>0</v>
      </c>
    </row>
    <row r="686" spans="1:29" ht="15" hidden="1" customHeight="1" x14ac:dyDescent="0.2">
      <c r="A686" s="63">
        <v>533500</v>
      </c>
      <c r="B686" s="895" t="s">
        <v>1551</v>
      </c>
      <c r="C686" s="896" t="s">
        <v>184</v>
      </c>
      <c r="D686" s="906" t="s">
        <v>449</v>
      </c>
      <c r="E686" s="898">
        <f>DMT!$F$31</f>
        <v>0</v>
      </c>
      <c r="F686" s="899">
        <v>1.95</v>
      </c>
      <c r="G686" s="949">
        <f t="shared" si="243"/>
        <v>5.226</v>
      </c>
      <c r="H686" s="901">
        <v>25.79</v>
      </c>
      <c r="I686" s="901">
        <f t="shared" si="242"/>
        <v>31.015999999999998</v>
      </c>
      <c r="J686" s="902">
        <f t="shared" si="227"/>
        <v>37.24</v>
      </c>
      <c r="K686" s="903" t="s">
        <v>10</v>
      </c>
      <c r="L686" s="904">
        <f>ROUND(SUM('RES. CENTRAL PARK:RUA_FINAL'!L686),2)</f>
        <v>0</v>
      </c>
      <c r="M686" s="904">
        <f t="shared" si="231"/>
        <v>0</v>
      </c>
      <c r="N686" s="893">
        <f t="shared" si="232"/>
        <v>0</v>
      </c>
      <c r="O686" s="905"/>
      <c r="Q686" s="317" t="str">
        <f t="shared" si="233"/>
        <v/>
      </c>
      <c r="R686" s="317" t="str">
        <f t="shared" si="234"/>
        <v/>
      </c>
      <c r="S686" s="317" t="str">
        <f t="shared" si="235"/>
        <v/>
      </c>
      <c r="V686" s="314">
        <f>SUM('RES. CENTRAL PARK:RUA_FINAL'!N686)</f>
        <v>0</v>
      </c>
      <c r="W686" s="315">
        <f t="shared" si="237"/>
        <v>0</v>
      </c>
    </row>
    <row r="687" spans="1:29" ht="15" hidden="1" customHeight="1" x14ac:dyDescent="0.2">
      <c r="A687" s="63">
        <v>533100</v>
      </c>
      <c r="B687" s="895" t="s">
        <v>1554</v>
      </c>
      <c r="C687" s="896" t="s">
        <v>184</v>
      </c>
      <c r="D687" s="906" t="s">
        <v>457</v>
      </c>
      <c r="E687" s="898">
        <f>DMT!$F$12</f>
        <v>0</v>
      </c>
      <c r="F687" s="899">
        <v>1.98</v>
      </c>
      <c r="G687" s="949">
        <f t="shared" si="243"/>
        <v>5.3064</v>
      </c>
      <c r="H687" s="901">
        <v>30.58</v>
      </c>
      <c r="I687" s="901">
        <f t="shared" si="242"/>
        <v>35.886399999999995</v>
      </c>
      <c r="J687" s="902">
        <f t="shared" si="227"/>
        <v>43.09</v>
      </c>
      <c r="K687" s="903" t="s">
        <v>10</v>
      </c>
      <c r="L687" s="904">
        <f>ROUND(SUM('RES. CENTRAL PARK:RUA_FINAL'!L687),2)</f>
        <v>0</v>
      </c>
      <c r="M687" s="904">
        <f t="shared" si="231"/>
        <v>0</v>
      </c>
      <c r="N687" s="893">
        <f t="shared" si="232"/>
        <v>0</v>
      </c>
      <c r="O687" s="905"/>
      <c r="Q687" s="317" t="str">
        <f t="shared" si="233"/>
        <v/>
      </c>
      <c r="R687" s="317" t="str">
        <f t="shared" si="234"/>
        <v/>
      </c>
      <c r="S687" s="317" t="str">
        <f t="shared" si="235"/>
        <v/>
      </c>
      <c r="V687" s="314">
        <f>SUM('RES. CENTRAL PARK:RUA_FINAL'!N687)</f>
        <v>0</v>
      </c>
      <c r="W687" s="315">
        <f t="shared" si="237"/>
        <v>0</v>
      </c>
    </row>
    <row r="688" spans="1:29" ht="15" hidden="1" customHeight="1" x14ac:dyDescent="0.2">
      <c r="A688" s="63">
        <v>533100</v>
      </c>
      <c r="B688" s="895" t="s">
        <v>1555</v>
      </c>
      <c r="C688" s="896" t="s">
        <v>184</v>
      </c>
      <c r="D688" s="906" t="s">
        <v>272</v>
      </c>
      <c r="E688" s="961">
        <v>10</v>
      </c>
      <c r="F688" s="899">
        <v>2.1</v>
      </c>
      <c r="G688" s="949">
        <f t="shared" si="243"/>
        <v>28.098000000000003</v>
      </c>
      <c r="H688" s="901">
        <v>30.58</v>
      </c>
      <c r="I688" s="901">
        <f t="shared" ref="I688:I693" si="244">IF(ISBLANK(H688),"",SUM(G688:H688))</f>
        <v>58.677999999999997</v>
      </c>
      <c r="J688" s="902">
        <f t="shared" si="227"/>
        <v>70.45</v>
      </c>
      <c r="K688" s="903" t="s">
        <v>10</v>
      </c>
      <c r="L688" s="904">
        <f>ROUND(SUM('RES. CENTRAL PARK:RUA_FINAL'!L688),2)</f>
        <v>0</v>
      </c>
      <c r="M688" s="904">
        <f t="shared" si="231"/>
        <v>0</v>
      </c>
      <c r="N688" s="893">
        <f t="shared" si="232"/>
        <v>0</v>
      </c>
      <c r="O688" s="905"/>
      <c r="Q688" s="317" t="str">
        <f t="shared" si="233"/>
        <v/>
      </c>
      <c r="R688" s="317" t="str">
        <f t="shared" si="234"/>
        <v/>
      </c>
      <c r="S688" s="317" t="str">
        <f t="shared" si="235"/>
        <v/>
      </c>
      <c r="V688" s="314">
        <f>SUM('RES. CENTRAL PARK:RUA_FINAL'!N688)</f>
        <v>0</v>
      </c>
      <c r="W688" s="315">
        <f t="shared" si="237"/>
        <v>0</v>
      </c>
    </row>
    <row r="689" spans="1:23" ht="15" hidden="1" customHeight="1" x14ac:dyDescent="0.2">
      <c r="A689" s="63">
        <v>530200</v>
      </c>
      <c r="B689" s="895" t="s">
        <v>1747</v>
      </c>
      <c r="C689" s="896" t="s">
        <v>184</v>
      </c>
      <c r="D689" s="906" t="s">
        <v>217</v>
      </c>
      <c r="E689" s="898">
        <f>DMT!$F$9</f>
        <v>0.2</v>
      </c>
      <c r="F689" s="899">
        <v>2.2000000000000002</v>
      </c>
      <c r="G689" s="949">
        <f t="shared" si="243"/>
        <v>6.3668000000000005</v>
      </c>
      <c r="H689" s="901">
        <v>98.29</v>
      </c>
      <c r="I689" s="901">
        <f t="shared" si="244"/>
        <v>104.6568</v>
      </c>
      <c r="J689" s="902">
        <f t="shared" si="227"/>
        <v>125.66</v>
      </c>
      <c r="K689" s="903" t="s">
        <v>10</v>
      </c>
      <c r="L689" s="904">
        <f>ROUND(SUM('RES. CENTRAL PARK:RUA_FINAL'!L689),2)</f>
        <v>0</v>
      </c>
      <c r="M689" s="904">
        <f t="shared" si="231"/>
        <v>0</v>
      </c>
      <c r="N689" s="893">
        <f t="shared" si="232"/>
        <v>0</v>
      </c>
      <c r="O689" s="905"/>
      <c r="Q689" s="317" t="str">
        <f t="shared" si="233"/>
        <v/>
      </c>
      <c r="R689" s="317" t="str">
        <f t="shared" si="234"/>
        <v/>
      </c>
      <c r="S689" s="317" t="str">
        <f t="shared" si="235"/>
        <v/>
      </c>
      <c r="V689" s="314">
        <f>SUM('RES. CENTRAL PARK:RUA_FINAL'!N689)</f>
        <v>0</v>
      </c>
      <c r="W689" s="315">
        <f t="shared" si="237"/>
        <v>0</v>
      </c>
    </row>
    <row r="690" spans="1:23" ht="15" hidden="1" customHeight="1" x14ac:dyDescent="0.2">
      <c r="A690" s="63" t="s">
        <v>830</v>
      </c>
      <c r="B690" s="895" t="s">
        <v>1660</v>
      </c>
      <c r="C690" s="896" t="s">
        <v>2241</v>
      </c>
      <c r="D690" s="906" t="s">
        <v>528</v>
      </c>
      <c r="E690" s="898">
        <f>DMT!$F$12</f>
        <v>0</v>
      </c>
      <c r="F690" s="899">
        <v>1.95</v>
      </c>
      <c r="G690" s="949">
        <f t="shared" si="243"/>
        <v>5.226</v>
      </c>
      <c r="H690" s="901">
        <v>81.2</v>
      </c>
      <c r="I690" s="901">
        <f t="shared" si="244"/>
        <v>86.426000000000002</v>
      </c>
      <c r="J690" s="902">
        <f t="shared" si="227"/>
        <v>103.77</v>
      </c>
      <c r="K690" s="903" t="s">
        <v>10</v>
      </c>
      <c r="L690" s="904">
        <f>ROUND(SUM('RES. CENTRAL PARK:RUA_FINAL'!L690),2)</f>
        <v>0</v>
      </c>
      <c r="M690" s="904">
        <f t="shared" si="231"/>
        <v>0</v>
      </c>
      <c r="N690" s="893">
        <f t="shared" si="232"/>
        <v>0</v>
      </c>
      <c r="O690" s="905"/>
      <c r="Q690" s="317" t="str">
        <f t="shared" si="233"/>
        <v/>
      </c>
      <c r="R690" s="317" t="str">
        <f t="shared" si="234"/>
        <v/>
      </c>
      <c r="S690" s="317" t="str">
        <f t="shared" si="235"/>
        <v/>
      </c>
      <c r="V690" s="314">
        <f>SUM('RES. CENTRAL PARK:RUA_FINAL'!N690)</f>
        <v>0</v>
      </c>
      <c r="W690" s="315">
        <f t="shared" si="237"/>
        <v>0</v>
      </c>
    </row>
    <row r="691" spans="1:23" ht="15" hidden="1" customHeight="1" x14ac:dyDescent="0.2">
      <c r="A691" s="63" t="s">
        <v>831</v>
      </c>
      <c r="B691" s="895" t="s">
        <v>1661</v>
      </c>
      <c r="C691" s="896" t="s">
        <v>2241</v>
      </c>
      <c r="D691" s="906" t="s">
        <v>2240</v>
      </c>
      <c r="E691" s="898">
        <f>DMT!$F$12</f>
        <v>0</v>
      </c>
      <c r="F691" s="899">
        <v>2.1</v>
      </c>
      <c r="G691" s="949">
        <f t="shared" si="243"/>
        <v>5.628000000000001</v>
      </c>
      <c r="H691" s="901">
        <v>44.92</v>
      </c>
      <c r="I691" s="901">
        <f t="shared" si="244"/>
        <v>50.548000000000002</v>
      </c>
      <c r="J691" s="902">
        <f t="shared" si="227"/>
        <v>60.69</v>
      </c>
      <c r="K691" s="903" t="s">
        <v>10</v>
      </c>
      <c r="L691" s="904">
        <f>ROUND(SUM('RES. CENTRAL PARK:RUA_FINAL'!L691),2)</f>
        <v>0</v>
      </c>
      <c r="M691" s="904">
        <f t="shared" si="231"/>
        <v>0</v>
      </c>
      <c r="N691" s="893">
        <f t="shared" si="232"/>
        <v>0</v>
      </c>
      <c r="O691" s="905"/>
      <c r="Q691" s="317" t="str">
        <f t="shared" si="233"/>
        <v/>
      </c>
      <c r="R691" s="317" t="str">
        <f t="shared" si="234"/>
        <v/>
      </c>
      <c r="S691" s="317" t="str">
        <f t="shared" si="235"/>
        <v/>
      </c>
      <c r="V691" s="314">
        <f>SUM('RES. CENTRAL PARK:RUA_FINAL'!N691)</f>
        <v>0</v>
      </c>
      <c r="W691" s="315">
        <f t="shared" si="237"/>
        <v>0</v>
      </c>
    </row>
    <row r="692" spans="1:23" ht="15" hidden="1" customHeight="1" x14ac:dyDescent="0.2">
      <c r="A692" s="63">
        <v>530200</v>
      </c>
      <c r="B692" s="895" t="s">
        <v>1748</v>
      </c>
      <c r="C692" s="896" t="s">
        <v>184</v>
      </c>
      <c r="D692" s="906" t="s">
        <v>458</v>
      </c>
      <c r="E692" s="898">
        <f>DMT!$F$9</f>
        <v>0.2</v>
      </c>
      <c r="F692" s="899">
        <v>2.2000000000000002</v>
      </c>
      <c r="G692" s="949">
        <f t="shared" si="243"/>
        <v>6.3668000000000005</v>
      </c>
      <c r="H692" s="901">
        <v>98.29</v>
      </c>
      <c r="I692" s="901">
        <f t="shared" si="244"/>
        <v>104.6568</v>
      </c>
      <c r="J692" s="902">
        <f t="shared" si="227"/>
        <v>125.66</v>
      </c>
      <c r="K692" s="903" t="s">
        <v>10</v>
      </c>
      <c r="L692" s="904">
        <f>ROUND(SUM('RES. CENTRAL PARK:RUA_FINAL'!L692),2)</f>
        <v>0</v>
      </c>
      <c r="M692" s="904">
        <f t="shared" si="231"/>
        <v>0</v>
      </c>
      <c r="N692" s="893">
        <f t="shared" si="232"/>
        <v>0</v>
      </c>
      <c r="O692" s="905"/>
      <c r="Q692" s="317" t="str">
        <f t="shared" si="233"/>
        <v/>
      </c>
      <c r="R692" s="317" t="str">
        <f t="shared" si="234"/>
        <v/>
      </c>
      <c r="S692" s="317" t="str">
        <f t="shared" si="235"/>
        <v/>
      </c>
      <c r="V692" s="314">
        <f>SUM('RES. CENTRAL PARK:RUA_FINAL'!N692)</f>
        <v>0</v>
      </c>
      <c r="W692" s="315">
        <f t="shared" si="237"/>
        <v>0</v>
      </c>
    </row>
    <row r="693" spans="1:23" ht="15" hidden="1" customHeight="1" thickBot="1" x14ac:dyDescent="0.25">
      <c r="A693" s="63">
        <v>531000</v>
      </c>
      <c r="B693" s="895" t="s">
        <v>1787</v>
      </c>
      <c r="C693" s="896" t="s">
        <v>184</v>
      </c>
      <c r="D693" s="906" t="s">
        <v>273</v>
      </c>
      <c r="E693" s="907">
        <f>DMT!$F$10</f>
        <v>0.2</v>
      </c>
      <c r="F693" s="908">
        <v>2.4</v>
      </c>
      <c r="G693" s="912">
        <f t="shared" si="243"/>
        <v>6.9455999999999998</v>
      </c>
      <c r="H693" s="901">
        <v>132.22999999999999</v>
      </c>
      <c r="I693" s="901">
        <f t="shared" si="244"/>
        <v>139.1756</v>
      </c>
      <c r="J693" s="902">
        <f t="shared" si="227"/>
        <v>167.11</v>
      </c>
      <c r="K693" s="903" t="s">
        <v>10</v>
      </c>
      <c r="L693" s="904">
        <f>ROUND(SUM('RES. CENTRAL PARK:RUA_FINAL'!L693),2)</f>
        <v>0</v>
      </c>
      <c r="M693" s="904">
        <f t="shared" si="231"/>
        <v>0</v>
      </c>
      <c r="N693" s="893">
        <f t="shared" si="232"/>
        <v>0</v>
      </c>
      <c r="O693" s="905"/>
      <c r="Q693" s="317" t="str">
        <f t="shared" si="233"/>
        <v/>
      </c>
      <c r="R693" s="317" t="str">
        <f t="shared" si="234"/>
        <v/>
      </c>
      <c r="S693" s="317" t="str">
        <f t="shared" si="235"/>
        <v/>
      </c>
      <c r="V693" s="314">
        <f>SUM('RES. CENTRAL PARK:RUA_FINAL'!N693)</f>
        <v>0</v>
      </c>
      <c r="W693" s="315">
        <f t="shared" si="237"/>
        <v>0</v>
      </c>
    </row>
    <row r="694" spans="1:23" ht="15" hidden="1" customHeight="1" x14ac:dyDescent="0.2">
      <c r="A694" s="63">
        <v>560100</v>
      </c>
      <c r="B694" s="971" t="s">
        <v>701</v>
      </c>
      <c r="C694" s="972" t="s">
        <v>184</v>
      </c>
      <c r="D694" s="973" t="s">
        <v>1521</v>
      </c>
      <c r="E694" s="974" t="s">
        <v>574</v>
      </c>
      <c r="F694" s="975">
        <v>1.1999999999999999E-3</v>
      </c>
      <c r="G694" s="976"/>
      <c r="H694" s="977">
        <v>0.49</v>
      </c>
      <c r="I694" s="977">
        <f>H694</f>
        <v>0.49</v>
      </c>
      <c r="J694" s="978">
        <f t="shared" si="227"/>
        <v>0.59</v>
      </c>
      <c r="K694" s="979" t="s">
        <v>12</v>
      </c>
      <c r="L694" s="980">
        <f>ROUND(SUM('RES. CENTRAL PARK:RUA_FINAL'!L694),2)</f>
        <v>0</v>
      </c>
      <c r="M694" s="981">
        <f t="shared" si="231"/>
        <v>0</v>
      </c>
      <c r="N694" s="982">
        <f t="shared" si="232"/>
        <v>0</v>
      </c>
      <c r="O694" s="905"/>
      <c r="Q694" s="317" t="str">
        <f t="shared" si="233"/>
        <v/>
      </c>
      <c r="R694" s="317" t="str">
        <f t="shared" si="234"/>
        <v/>
      </c>
      <c r="S694" s="317" t="str">
        <f t="shared" si="235"/>
        <v/>
      </c>
      <c r="V694" s="314">
        <f>SUM('RES. CENTRAL PARK:RUA_FINAL'!N694)</f>
        <v>0</v>
      </c>
      <c r="W694" s="315">
        <f t="shared" si="237"/>
        <v>0</v>
      </c>
    </row>
    <row r="695" spans="1:23" ht="15" hidden="1" customHeight="1" thickBot="1" x14ac:dyDescent="0.25">
      <c r="A695" s="63">
        <v>589420</v>
      </c>
      <c r="B695" s="983" t="s">
        <v>707</v>
      </c>
      <c r="C695" s="1033" t="s">
        <v>213</v>
      </c>
      <c r="D695" s="985" t="s">
        <v>553</v>
      </c>
      <c r="E695" s="986">
        <f>DMT!D$24</f>
        <v>353</v>
      </c>
      <c r="F695" s="987">
        <v>1</v>
      </c>
      <c r="G695" s="949">
        <f>(0.84*E695+41.45)*F695</f>
        <v>337.96999999999997</v>
      </c>
      <c r="H695" s="988">
        <v>3861.37</v>
      </c>
      <c r="I695" s="988">
        <f>IF(ISBLANK(H695),"",H695*(1+$E$9)/(1+$E$10))+G695</f>
        <v>4045.2968393437163</v>
      </c>
      <c r="J695" s="989">
        <f t="shared" si="227"/>
        <v>4857.1899999999996</v>
      </c>
      <c r="K695" s="990" t="s">
        <v>14</v>
      </c>
      <c r="L695" s="991">
        <f>ROUND(SUM('RES. CENTRAL PARK:RUA_FINAL'!L695),2)</f>
        <v>0</v>
      </c>
      <c r="M695" s="992">
        <f t="shared" si="231"/>
        <v>0</v>
      </c>
      <c r="N695" s="993">
        <f t="shared" si="232"/>
        <v>0</v>
      </c>
      <c r="O695" s="905"/>
      <c r="Q695" s="317" t="str">
        <f t="shared" si="233"/>
        <v/>
      </c>
      <c r="R695" s="317" t="str">
        <f t="shared" si="234"/>
        <v/>
      </c>
      <c r="S695" s="317" t="str">
        <f t="shared" si="235"/>
        <v/>
      </c>
      <c r="V695" s="314">
        <f>SUM('RES. CENTRAL PARK:RUA_FINAL'!N695)</f>
        <v>0</v>
      </c>
      <c r="W695" s="315">
        <f t="shared" si="237"/>
        <v>0</v>
      </c>
    </row>
    <row r="696" spans="1:23" ht="15" hidden="1" customHeight="1" x14ac:dyDescent="0.2">
      <c r="A696" s="63">
        <v>560100</v>
      </c>
      <c r="B696" s="971" t="s">
        <v>1604</v>
      </c>
      <c r="C696" s="972" t="s">
        <v>184</v>
      </c>
      <c r="D696" s="973" t="s">
        <v>540</v>
      </c>
      <c r="E696" s="974" t="s">
        <v>574</v>
      </c>
      <c r="F696" s="975">
        <v>1.1000000000000001E-3</v>
      </c>
      <c r="G696" s="976"/>
      <c r="H696" s="977">
        <v>0.49</v>
      </c>
      <c r="I696" s="977">
        <f>IF(ISBLANK(H696),"",SUM(G696:H696))</f>
        <v>0.49</v>
      </c>
      <c r="J696" s="978">
        <f t="shared" si="227"/>
        <v>0.59</v>
      </c>
      <c r="K696" s="979" t="s">
        <v>12</v>
      </c>
      <c r="L696" s="980">
        <f>ROUND(SUM('RES. CENTRAL PARK:RUA_FINAL'!L696),2)</f>
        <v>0</v>
      </c>
      <c r="M696" s="981">
        <f t="shared" si="231"/>
        <v>0</v>
      </c>
      <c r="N696" s="982">
        <f t="shared" si="232"/>
        <v>0</v>
      </c>
      <c r="O696" s="905"/>
      <c r="Q696" s="317" t="str">
        <f t="shared" si="233"/>
        <v/>
      </c>
      <c r="R696" s="317" t="str">
        <f t="shared" si="234"/>
        <v/>
      </c>
      <c r="S696" s="317" t="str">
        <f t="shared" si="235"/>
        <v/>
      </c>
      <c r="V696" s="314">
        <f>SUM('RES. CENTRAL PARK:RUA_FINAL'!N696)</f>
        <v>0</v>
      </c>
      <c r="W696" s="315">
        <f t="shared" si="237"/>
        <v>0</v>
      </c>
    </row>
    <row r="697" spans="1:23" ht="15" hidden="1" customHeight="1" thickBot="1" x14ac:dyDescent="0.25">
      <c r="A697" s="63">
        <v>589190</v>
      </c>
      <c r="B697" s="983" t="s">
        <v>1698</v>
      </c>
      <c r="C697" s="1033" t="s">
        <v>213</v>
      </c>
      <c r="D697" s="985" t="s">
        <v>554</v>
      </c>
      <c r="E697" s="986">
        <f>DMT!$D$23</f>
        <v>45</v>
      </c>
      <c r="F697" s="987">
        <v>1</v>
      </c>
      <c r="G697" s="949">
        <f>(0.84*E697+41.45)*F697</f>
        <v>79.25</v>
      </c>
      <c r="H697" s="988">
        <v>4730.97</v>
      </c>
      <c r="I697" s="988">
        <f>IF(ISBLANK(H697),"",H697*(1+$E$9)/(1+$E$10))+G697</f>
        <v>4621.4855426001504</v>
      </c>
      <c r="J697" s="989">
        <f t="shared" si="227"/>
        <v>5549.02</v>
      </c>
      <c r="K697" s="990" t="s">
        <v>14</v>
      </c>
      <c r="L697" s="991">
        <f>ROUND(SUM('RES. CENTRAL PARK:RUA_FINAL'!L697),2)</f>
        <v>0</v>
      </c>
      <c r="M697" s="992">
        <f t="shared" si="231"/>
        <v>0</v>
      </c>
      <c r="N697" s="993">
        <f t="shared" si="232"/>
        <v>0</v>
      </c>
      <c r="O697" s="905"/>
      <c r="Q697" s="317" t="str">
        <f t="shared" si="233"/>
        <v/>
      </c>
      <c r="R697" s="317" t="str">
        <f t="shared" si="234"/>
        <v/>
      </c>
      <c r="S697" s="317" t="str">
        <f t="shared" si="235"/>
        <v/>
      </c>
      <c r="V697" s="314">
        <f>SUM('RES. CENTRAL PARK:RUA_FINAL'!N697)</f>
        <v>0</v>
      </c>
      <c r="W697" s="315">
        <f t="shared" si="237"/>
        <v>0</v>
      </c>
    </row>
    <row r="698" spans="1:23" ht="15" hidden="1" customHeight="1" x14ac:dyDescent="0.2">
      <c r="A698" s="63">
        <v>560400</v>
      </c>
      <c r="B698" s="971" t="s">
        <v>1749</v>
      </c>
      <c r="C698" s="972" t="s">
        <v>184</v>
      </c>
      <c r="D698" s="973" t="s">
        <v>541</v>
      </c>
      <c r="E698" s="974" t="s">
        <v>574</v>
      </c>
      <c r="F698" s="975">
        <v>1.1999999999999999E-3</v>
      </c>
      <c r="G698" s="976"/>
      <c r="H698" s="977">
        <v>0.49</v>
      </c>
      <c r="I698" s="977">
        <f>IF(ISBLANK(H698),"",SUM(G698:H698))</f>
        <v>0.49</v>
      </c>
      <c r="J698" s="978">
        <f t="shared" si="227"/>
        <v>0.59</v>
      </c>
      <c r="K698" s="979" t="s">
        <v>12</v>
      </c>
      <c r="L698" s="980">
        <f>ROUND(SUM('RES. CENTRAL PARK:RUA_FINAL'!L698),2)</f>
        <v>0</v>
      </c>
      <c r="M698" s="981">
        <f t="shared" si="231"/>
        <v>0</v>
      </c>
      <c r="N698" s="982">
        <f t="shared" si="232"/>
        <v>0</v>
      </c>
      <c r="O698" s="905"/>
      <c r="Q698" s="317" t="str">
        <f t="shared" si="233"/>
        <v/>
      </c>
      <c r="R698" s="317" t="str">
        <f t="shared" si="234"/>
        <v/>
      </c>
      <c r="S698" s="317" t="str">
        <f t="shared" si="235"/>
        <v/>
      </c>
      <c r="V698" s="314">
        <f>SUM('RES. CENTRAL PARK:RUA_FINAL'!N698)</f>
        <v>0</v>
      </c>
      <c r="W698" s="315">
        <f t="shared" si="237"/>
        <v>0</v>
      </c>
    </row>
    <row r="699" spans="1:23" ht="15" hidden="1" customHeight="1" thickBot="1" x14ac:dyDescent="0.25">
      <c r="A699" s="63">
        <v>589100</v>
      </c>
      <c r="B699" s="983" t="s">
        <v>1750</v>
      </c>
      <c r="C699" s="1033" t="s">
        <v>213</v>
      </c>
      <c r="D699" s="985" t="s">
        <v>555</v>
      </c>
      <c r="E699" s="986">
        <f>DMT!$D$23</f>
        <v>45</v>
      </c>
      <c r="F699" s="987">
        <v>1</v>
      </c>
      <c r="G699" s="949">
        <f>(0.84*E699+41.45)*F699</f>
        <v>79.25</v>
      </c>
      <c r="H699" s="988">
        <v>5937.37</v>
      </c>
      <c r="I699" s="988">
        <f>IF(ISBLANK(H699),"",H699*(1+$E$9)/(1+$E$10))+G699</f>
        <v>5779.7581502456906</v>
      </c>
      <c r="J699" s="989">
        <f t="shared" si="227"/>
        <v>6939.76</v>
      </c>
      <c r="K699" s="990" t="s">
        <v>14</v>
      </c>
      <c r="L699" s="991">
        <f>ROUND(SUM('RES. CENTRAL PARK:RUA_FINAL'!L699),2)</f>
        <v>0</v>
      </c>
      <c r="M699" s="992">
        <f t="shared" si="231"/>
        <v>0</v>
      </c>
      <c r="N699" s="993">
        <f t="shared" si="232"/>
        <v>0</v>
      </c>
      <c r="O699" s="905"/>
      <c r="Q699" s="317" t="str">
        <f t="shared" si="233"/>
        <v/>
      </c>
      <c r="R699" s="317" t="str">
        <f t="shared" si="234"/>
        <v/>
      </c>
      <c r="S699" s="317" t="str">
        <f t="shared" si="235"/>
        <v/>
      </c>
      <c r="V699" s="314">
        <f>SUM('RES. CENTRAL PARK:RUA_FINAL'!N699)</f>
        <v>0</v>
      </c>
      <c r="W699" s="315">
        <f t="shared" si="237"/>
        <v>0</v>
      </c>
    </row>
    <row r="700" spans="1:23" ht="15" hidden="1" customHeight="1" x14ac:dyDescent="0.2">
      <c r="A700" s="63">
        <v>561100</v>
      </c>
      <c r="B700" s="971" t="s">
        <v>1751</v>
      </c>
      <c r="C700" s="972" t="s">
        <v>184</v>
      </c>
      <c r="D700" s="973" t="s">
        <v>542</v>
      </c>
      <c r="E700" s="974" t="s">
        <v>574</v>
      </c>
      <c r="F700" s="975">
        <v>5.0000000000000001E-4</v>
      </c>
      <c r="G700" s="976"/>
      <c r="H700" s="977">
        <v>0.34</v>
      </c>
      <c r="I700" s="977">
        <f>IF(ISBLANK(H700),"",SUM(G700:H700))</f>
        <v>0.34</v>
      </c>
      <c r="J700" s="978">
        <f t="shared" si="227"/>
        <v>0.41</v>
      </c>
      <c r="K700" s="979" t="s">
        <v>12</v>
      </c>
      <c r="L700" s="980">
        <f>ROUND(SUM('RES. CENTRAL PARK:RUA_FINAL'!L700),2)</f>
        <v>0</v>
      </c>
      <c r="M700" s="981">
        <f t="shared" si="231"/>
        <v>0</v>
      </c>
      <c r="N700" s="982">
        <f t="shared" si="232"/>
        <v>0</v>
      </c>
      <c r="O700" s="905"/>
      <c r="Q700" s="317" t="str">
        <f t="shared" si="233"/>
        <v/>
      </c>
      <c r="R700" s="317" t="str">
        <f t="shared" si="234"/>
        <v/>
      </c>
      <c r="S700" s="317" t="str">
        <f t="shared" si="235"/>
        <v/>
      </c>
      <c r="V700" s="314">
        <f>SUM('RES. CENTRAL PARK:RUA_FINAL'!N700)</f>
        <v>0</v>
      </c>
      <c r="W700" s="315">
        <f t="shared" si="237"/>
        <v>0</v>
      </c>
    </row>
    <row r="701" spans="1:23" ht="15" hidden="1" customHeight="1" thickBot="1" x14ac:dyDescent="0.25">
      <c r="A701" s="63">
        <v>589420</v>
      </c>
      <c r="B701" s="983" t="s">
        <v>1606</v>
      </c>
      <c r="C701" s="1033" t="s">
        <v>213</v>
      </c>
      <c r="D701" s="985" t="s">
        <v>704</v>
      </c>
      <c r="E701" s="986">
        <f>DMT!D$24</f>
        <v>353</v>
      </c>
      <c r="F701" s="994">
        <v>1</v>
      </c>
      <c r="G701" s="949">
        <f>(0.84*E701+41.45)*F701</f>
        <v>337.96999999999997</v>
      </c>
      <c r="H701" s="988">
        <v>3861.37</v>
      </c>
      <c r="I701" s="988">
        <f>IF(ISBLANK(H701),"",H701*(1+$E$9)/(1+$E$10))+G701</f>
        <v>4045.2968393437163</v>
      </c>
      <c r="J701" s="989">
        <f t="shared" si="227"/>
        <v>4857.1899999999996</v>
      </c>
      <c r="K701" s="990" t="s">
        <v>14</v>
      </c>
      <c r="L701" s="991">
        <f>ROUND(SUM('RES. CENTRAL PARK:RUA_FINAL'!L701),2)</f>
        <v>0</v>
      </c>
      <c r="M701" s="992">
        <f t="shared" si="231"/>
        <v>0</v>
      </c>
      <c r="N701" s="993">
        <f t="shared" si="232"/>
        <v>0</v>
      </c>
      <c r="O701" s="905"/>
      <c r="Q701" s="317" t="str">
        <f t="shared" si="233"/>
        <v/>
      </c>
      <c r="R701" s="317" t="str">
        <f t="shared" si="234"/>
        <v/>
      </c>
      <c r="S701" s="317" t="str">
        <f t="shared" si="235"/>
        <v/>
      </c>
      <c r="V701" s="314">
        <f>SUM('RES. CENTRAL PARK:RUA_FINAL'!N701)</f>
        <v>0</v>
      </c>
      <c r="W701" s="315">
        <f t="shared" si="237"/>
        <v>0</v>
      </c>
    </row>
    <row r="702" spans="1:23" ht="15" hidden="1" customHeight="1" x14ac:dyDescent="0.2">
      <c r="A702" s="63">
        <v>563100</v>
      </c>
      <c r="B702" s="999" t="s">
        <v>1754</v>
      </c>
      <c r="C702" s="1000" t="s">
        <v>184</v>
      </c>
      <c r="D702" s="973" t="s">
        <v>242</v>
      </c>
      <c r="E702" s="974" t="s">
        <v>568</v>
      </c>
      <c r="F702" s="975">
        <v>5.0000000000000001E-4</v>
      </c>
      <c r="G702" s="976">
        <f>SUM(G703)</f>
        <v>1.6478E-2</v>
      </c>
      <c r="H702" s="977">
        <v>1.27</v>
      </c>
      <c r="I702" s="977">
        <f>IF(ISBLANK(H702),"",SUM(G702:H702))</f>
        <v>1.286478</v>
      </c>
      <c r="J702" s="978">
        <f t="shared" si="227"/>
        <v>1.54</v>
      </c>
      <c r="K702" s="979" t="s">
        <v>12</v>
      </c>
      <c r="L702" s="980">
        <f>ROUND(SUM('RES. CENTRAL PARK:RUA_FINAL'!L702),2)</f>
        <v>0</v>
      </c>
      <c r="M702" s="981">
        <f t="shared" si="231"/>
        <v>0</v>
      </c>
      <c r="N702" s="982">
        <f t="shared" si="232"/>
        <v>0</v>
      </c>
      <c r="O702" s="905"/>
      <c r="Q702" s="317" t="str">
        <f t="shared" si="233"/>
        <v/>
      </c>
      <c r="R702" s="317" t="str">
        <f t="shared" si="234"/>
        <v/>
      </c>
      <c r="S702" s="317" t="str">
        <f t="shared" si="235"/>
        <v/>
      </c>
      <c r="V702" s="314">
        <f>SUM('RES. CENTRAL PARK:RUA_FINAL'!N702)</f>
        <v>0</v>
      </c>
      <c r="W702" s="315">
        <f t="shared" si="237"/>
        <v>0</v>
      </c>
    </row>
    <row r="703" spans="1:23" ht="15" hidden="1" customHeight="1" x14ac:dyDescent="0.2">
      <c r="A703" s="63" t="s">
        <v>147</v>
      </c>
      <c r="B703" s="895" t="s">
        <v>147</v>
      </c>
      <c r="C703" s="896"/>
      <c r="D703" s="957" t="s">
        <v>233</v>
      </c>
      <c r="E703" s="898">
        <f>DMT!$F$10</f>
        <v>0.2</v>
      </c>
      <c r="F703" s="908">
        <v>7.0000000000000001E-3</v>
      </c>
      <c r="G703" s="949">
        <f>IF(E703&lt;=30,(0.87*E703+2.18)*F703,((0.87*30+2.18)+0.87*(E703-30))*F703)</f>
        <v>1.6478E-2</v>
      </c>
      <c r="H703" s="901">
        <v>0</v>
      </c>
      <c r="I703" s="901"/>
      <c r="J703" s="902">
        <v>0</v>
      </c>
      <c r="K703" s="958" t="s">
        <v>507</v>
      </c>
      <c r="L703" s="1003">
        <f>ROUND(SUM('RES. CENTRAL PARK:RUA_FINAL'!L703),2)</f>
        <v>0</v>
      </c>
      <c r="M703" s="960">
        <f t="shared" si="231"/>
        <v>0</v>
      </c>
      <c r="N703" s="893">
        <f t="shared" si="232"/>
        <v>0</v>
      </c>
      <c r="O703" s="905"/>
      <c r="P703" s="58" t="str">
        <f>IF(N702&gt;0,"xx",IF(N702&gt;0,"xy",""))</f>
        <v/>
      </c>
      <c r="Q703" s="317" t="str">
        <f t="shared" si="233"/>
        <v/>
      </c>
      <c r="R703" s="317" t="str">
        <f t="shared" si="234"/>
        <v/>
      </c>
      <c r="S703" s="317" t="str">
        <f t="shared" si="235"/>
        <v/>
      </c>
      <c r="V703" s="314">
        <f>SUM('RES. CENTRAL PARK:RUA_FINAL'!N703)</f>
        <v>0</v>
      </c>
      <c r="W703" s="315">
        <f t="shared" si="237"/>
        <v>0</v>
      </c>
    </row>
    <row r="704" spans="1:23" ht="15" hidden="1" customHeight="1" thickBot="1" x14ac:dyDescent="0.25">
      <c r="A704" s="63">
        <v>589520</v>
      </c>
      <c r="B704" s="1004" t="s">
        <v>1676</v>
      </c>
      <c r="C704" s="984" t="s">
        <v>213</v>
      </c>
      <c r="D704" s="1012" t="s">
        <v>564</v>
      </c>
      <c r="E704" s="1005">
        <f>DMT!$D$24</f>
        <v>353</v>
      </c>
      <c r="F704" s="1006">
        <v>1</v>
      </c>
      <c r="G704" s="949">
        <f>(0.84*E704+41.45)*F704</f>
        <v>337.96999999999997</v>
      </c>
      <c r="H704" s="988">
        <v>4164.04</v>
      </c>
      <c r="I704" s="988">
        <f>IF(ISBLANK(H704),"",H704*(1+$E$9)/(1+$E$10))+G704</f>
        <v>4335.8923053218959</v>
      </c>
      <c r="J704" s="989">
        <f t="shared" si="227"/>
        <v>5206.1099999999997</v>
      </c>
      <c r="K704" s="990" t="s">
        <v>14</v>
      </c>
      <c r="L704" s="991">
        <f>ROUND(SUM('RES. CENTRAL PARK:RUA_FINAL'!L704),2)</f>
        <v>0</v>
      </c>
      <c r="M704" s="1034">
        <f t="shared" si="231"/>
        <v>0</v>
      </c>
      <c r="N704" s="993">
        <f t="shared" si="232"/>
        <v>0</v>
      </c>
      <c r="O704" s="905"/>
      <c r="P704" s="58" t="str">
        <f>IF(N702&gt;0,"xx",IF(N702&gt;0,"xy",""))</f>
        <v/>
      </c>
      <c r="Q704" s="317" t="str">
        <f t="shared" si="233"/>
        <v/>
      </c>
      <c r="R704" s="317" t="str">
        <f t="shared" si="234"/>
        <v/>
      </c>
      <c r="S704" s="317" t="str">
        <f t="shared" si="235"/>
        <v/>
      </c>
      <c r="V704" s="314">
        <f>SUM('RES. CENTRAL PARK:RUA_FINAL'!N704)</f>
        <v>0</v>
      </c>
      <c r="W704" s="315">
        <f t="shared" si="237"/>
        <v>0</v>
      </c>
    </row>
    <row r="705" spans="1:23" ht="15" hidden="1" customHeight="1" x14ac:dyDescent="0.2">
      <c r="A705" s="63">
        <v>534000</v>
      </c>
      <c r="B705" s="999" t="s">
        <v>1755</v>
      </c>
      <c r="C705" s="1000" t="s">
        <v>184</v>
      </c>
      <c r="D705" s="973" t="s">
        <v>2205</v>
      </c>
      <c r="E705" s="974" t="s">
        <v>570</v>
      </c>
      <c r="F705" s="975">
        <v>0.08</v>
      </c>
      <c r="G705" s="976">
        <f>SUM(G706:G709)</f>
        <v>63.819280000000013</v>
      </c>
      <c r="H705" s="977">
        <v>141.84</v>
      </c>
      <c r="I705" s="977">
        <f>IF(ISBLANK(H705),"",SUM(G705:H705))</f>
        <v>205.65928000000002</v>
      </c>
      <c r="J705" s="978">
        <f t="shared" si="227"/>
        <v>246.94</v>
      </c>
      <c r="K705" s="979" t="s">
        <v>10</v>
      </c>
      <c r="L705" s="980">
        <f>ROUND(SUM('RES. CENTRAL PARK:RUA_FINAL'!L705),2)</f>
        <v>0</v>
      </c>
      <c r="M705" s="981">
        <f t="shared" si="231"/>
        <v>0</v>
      </c>
      <c r="N705" s="982">
        <f t="shared" si="232"/>
        <v>0</v>
      </c>
      <c r="O705" s="905"/>
      <c r="Q705" s="317" t="str">
        <f t="shared" si="233"/>
        <v/>
      </c>
      <c r="R705" s="317" t="str">
        <f t="shared" si="234"/>
        <v/>
      </c>
      <c r="S705" s="317" t="str">
        <f t="shared" si="235"/>
        <v/>
      </c>
      <c r="V705" s="314">
        <f>SUM('RES. CENTRAL PARK:RUA_FINAL'!N705)</f>
        <v>0</v>
      </c>
      <c r="W705" s="315">
        <f t="shared" si="237"/>
        <v>0</v>
      </c>
    </row>
    <row r="706" spans="1:23" ht="15" hidden="1" customHeight="1" x14ac:dyDescent="0.2">
      <c r="A706" s="63" t="s">
        <v>147</v>
      </c>
      <c r="B706" s="895" t="s">
        <v>147</v>
      </c>
      <c r="C706" s="896"/>
      <c r="D706" s="957" t="s">
        <v>229</v>
      </c>
      <c r="E706" s="907">
        <f>DMT!$F$42</f>
        <v>150</v>
      </c>
      <c r="F706" s="908"/>
      <c r="G706" s="912"/>
      <c r="H706" s="901">
        <v>0</v>
      </c>
      <c r="I706" s="901"/>
      <c r="J706" s="902">
        <v>0</v>
      </c>
      <c r="K706" s="903" t="s">
        <v>507</v>
      </c>
      <c r="L706" s="1003">
        <f>ROUND(SUM('RES. CENTRAL PARK:RUA_FINAL'!L706),2)</f>
        <v>0</v>
      </c>
      <c r="M706" s="960">
        <f t="shared" si="231"/>
        <v>0</v>
      </c>
      <c r="N706" s="893">
        <f t="shared" si="232"/>
        <v>0</v>
      </c>
      <c r="O706" s="905"/>
      <c r="P706" s="58" t="str">
        <f>IF(N705&gt;0,"xx",IF(N705&gt;0,"xy",""))</f>
        <v/>
      </c>
      <c r="Q706" s="317" t="str">
        <f t="shared" si="233"/>
        <v/>
      </c>
      <c r="R706" s="317" t="str">
        <f t="shared" si="234"/>
        <v/>
      </c>
      <c r="S706" s="317" t="str">
        <f t="shared" si="235"/>
        <v/>
      </c>
      <c r="V706" s="314">
        <f>SUM('RES. CENTRAL PARK:RUA_FINAL'!N706)</f>
        <v>0</v>
      </c>
      <c r="W706" s="315">
        <f t="shared" si="237"/>
        <v>0</v>
      </c>
    </row>
    <row r="707" spans="1:23" ht="15" hidden="1" customHeight="1" x14ac:dyDescent="0.2">
      <c r="A707" s="63" t="s">
        <v>147</v>
      </c>
      <c r="B707" s="895" t="s">
        <v>147</v>
      </c>
      <c r="C707" s="896"/>
      <c r="D707" s="957" t="s">
        <v>230</v>
      </c>
      <c r="E707" s="907">
        <f>DMT!$D$46</f>
        <v>353</v>
      </c>
      <c r="F707" s="908"/>
      <c r="G707" s="909"/>
      <c r="H707" s="901">
        <v>0</v>
      </c>
      <c r="I707" s="901"/>
      <c r="J707" s="902">
        <v>0</v>
      </c>
      <c r="K707" s="903" t="s">
        <v>507</v>
      </c>
      <c r="L707" s="1003">
        <f>ROUND(SUM('RES. CENTRAL PARK:RUA_FINAL'!L707),2)</f>
        <v>0</v>
      </c>
      <c r="M707" s="960">
        <f t="shared" si="231"/>
        <v>0</v>
      </c>
      <c r="N707" s="893">
        <f t="shared" si="232"/>
        <v>0</v>
      </c>
      <c r="O707" s="905"/>
      <c r="P707" s="58" t="str">
        <f>IF(N705&gt;0,"xx",IF(N705&gt;0,"xy",""))</f>
        <v/>
      </c>
      <c r="Q707" s="317" t="str">
        <f t="shared" si="233"/>
        <v/>
      </c>
      <c r="R707" s="317" t="str">
        <f t="shared" si="234"/>
        <v/>
      </c>
      <c r="S707" s="317" t="str">
        <f t="shared" si="235"/>
        <v/>
      </c>
      <c r="V707" s="314">
        <f>SUM('RES. CENTRAL PARK:RUA_FINAL'!N707)</f>
        <v>0</v>
      </c>
      <c r="W707" s="315">
        <f t="shared" si="237"/>
        <v>0</v>
      </c>
    </row>
    <row r="708" spans="1:23" ht="15" hidden="1" customHeight="1" x14ac:dyDescent="0.2">
      <c r="A708" s="63" t="s">
        <v>147</v>
      </c>
      <c r="B708" s="895" t="s">
        <v>147</v>
      </c>
      <c r="C708" s="896"/>
      <c r="D708" s="957" t="s">
        <v>243</v>
      </c>
      <c r="E708" s="907">
        <f>DMT!$F$43</f>
        <v>0.2</v>
      </c>
      <c r="F708" s="908">
        <v>2.12</v>
      </c>
      <c r="G708" s="912">
        <f t="shared" ref="G708:G709" si="245">IF(E708&lt;=30,(1.07*E708+2.68)*F708,((1.07*30+2.68)+1.07*(E708-30))*F708)</f>
        <v>6.1352800000000007</v>
      </c>
      <c r="H708" s="901">
        <v>0</v>
      </c>
      <c r="I708" s="901"/>
      <c r="J708" s="902">
        <v>0</v>
      </c>
      <c r="K708" s="903" t="s">
        <v>507</v>
      </c>
      <c r="L708" s="1003">
        <f>ROUND(SUM('RES. CENTRAL PARK:RUA_FINAL'!L708),2)</f>
        <v>0</v>
      </c>
      <c r="M708" s="960">
        <f t="shared" si="231"/>
        <v>0</v>
      </c>
      <c r="N708" s="893">
        <f t="shared" si="232"/>
        <v>0</v>
      </c>
      <c r="O708" s="905"/>
      <c r="P708" s="58" t="str">
        <f>IF(N705&gt;0,"xx",IF(N705&gt;0,"xy",""))</f>
        <v/>
      </c>
      <c r="Q708" s="317" t="str">
        <f t="shared" si="233"/>
        <v/>
      </c>
      <c r="R708" s="317" t="str">
        <f t="shared" si="234"/>
        <v/>
      </c>
      <c r="S708" s="317" t="str">
        <f t="shared" si="235"/>
        <v/>
      </c>
      <c r="V708" s="314">
        <f>SUM('RES. CENTRAL PARK:RUA_FINAL'!N708)</f>
        <v>0</v>
      </c>
      <c r="W708" s="315">
        <f t="shared" si="237"/>
        <v>0</v>
      </c>
    </row>
    <row r="709" spans="1:23" ht="15" hidden="1" customHeight="1" x14ac:dyDescent="0.2">
      <c r="A709" s="63" t="s">
        <v>147</v>
      </c>
      <c r="B709" s="895" t="s">
        <v>147</v>
      </c>
      <c r="C709" s="896"/>
      <c r="D709" s="957" t="s">
        <v>244</v>
      </c>
      <c r="E709" s="907">
        <f>DMT!$F$28</f>
        <v>22</v>
      </c>
      <c r="F709" s="908">
        <f>SUM(F705:F708)</f>
        <v>2.2000000000000002</v>
      </c>
      <c r="G709" s="912">
        <f t="shared" si="245"/>
        <v>57.684000000000012</v>
      </c>
      <c r="H709" s="901">
        <v>0</v>
      </c>
      <c r="I709" s="901"/>
      <c r="J709" s="902">
        <v>0</v>
      </c>
      <c r="K709" s="903" t="s">
        <v>507</v>
      </c>
      <c r="L709" s="1003">
        <f>ROUND(SUM('RES. CENTRAL PARK:RUA_FINAL'!L709),2)</f>
        <v>0</v>
      </c>
      <c r="M709" s="960">
        <f t="shared" si="231"/>
        <v>0</v>
      </c>
      <c r="N709" s="893">
        <f t="shared" si="232"/>
        <v>0</v>
      </c>
      <c r="O709" s="905"/>
      <c r="P709" s="58" t="str">
        <f>IF(N705&gt;0,"xx",IF(N705&gt;0,"xy",""))</f>
        <v/>
      </c>
      <c r="Q709" s="317" t="str">
        <f t="shared" si="233"/>
        <v/>
      </c>
      <c r="R709" s="317" t="str">
        <f t="shared" si="234"/>
        <v/>
      </c>
      <c r="S709" s="317" t="str">
        <f t="shared" si="235"/>
        <v/>
      </c>
      <c r="V709" s="314">
        <f>SUM('RES. CENTRAL PARK:RUA_FINAL'!N709)</f>
        <v>0</v>
      </c>
      <c r="W709" s="315">
        <f t="shared" si="237"/>
        <v>0</v>
      </c>
    </row>
    <row r="710" spans="1:23" ht="15" hidden="1" customHeight="1" thickBot="1" x14ac:dyDescent="0.25">
      <c r="A710" s="63">
        <v>589320</v>
      </c>
      <c r="B710" s="1004" t="s">
        <v>1689</v>
      </c>
      <c r="C710" s="984" t="s">
        <v>213</v>
      </c>
      <c r="D710" s="1012" t="s">
        <v>699</v>
      </c>
      <c r="E710" s="1005">
        <f>DMT!$D$47</f>
        <v>45</v>
      </c>
      <c r="F710" s="1006">
        <v>1</v>
      </c>
      <c r="G710" s="949">
        <f>(0.84*E710+41.45)*F710</f>
        <v>79.25</v>
      </c>
      <c r="H710" s="988">
        <v>4012.83</v>
      </c>
      <c r="I710" s="988">
        <f>IF(ISBLANK(H710),"",H710*(1+$E$9)/(1+$E$10))+G710</f>
        <v>3931.9945856583668</v>
      </c>
      <c r="J710" s="989">
        <f t="shared" ref="J710:J771" si="246">IF(ISBLANK(H710),0,ROUND(I710*(1+$E$10),2))</f>
        <v>4721.1499999999996</v>
      </c>
      <c r="K710" s="990" t="s">
        <v>14</v>
      </c>
      <c r="L710" s="1035">
        <f>ROUND(SUM('RES. CENTRAL PARK:RUA_FINAL'!L710),2)</f>
        <v>0</v>
      </c>
      <c r="M710" s="1034">
        <f t="shared" si="231"/>
        <v>0</v>
      </c>
      <c r="N710" s="993">
        <f t="shared" si="232"/>
        <v>0</v>
      </c>
      <c r="O710" s="905"/>
      <c r="P710" s="58" t="str">
        <f>IF(N705&gt;0,"xx",IF(N705&gt;0,"xy",""))</f>
        <v/>
      </c>
      <c r="Q710" s="317" t="str">
        <f t="shared" si="233"/>
        <v/>
      </c>
      <c r="R710" s="317" t="str">
        <f t="shared" si="234"/>
        <v/>
      </c>
      <c r="S710" s="317" t="str">
        <f t="shared" si="235"/>
        <v/>
      </c>
      <c r="V710" s="314">
        <f>SUM('RES. CENTRAL PARK:RUA_FINAL'!N710)</f>
        <v>0</v>
      </c>
      <c r="W710" s="315">
        <f t="shared" si="237"/>
        <v>0</v>
      </c>
    </row>
    <row r="711" spans="1:23" ht="15" hidden="1" customHeight="1" x14ac:dyDescent="0.2">
      <c r="A711" s="63">
        <v>534000</v>
      </c>
      <c r="B711" s="999" t="s">
        <v>1756</v>
      </c>
      <c r="C711" s="1000" t="s">
        <v>184</v>
      </c>
      <c r="D711" s="973" t="s">
        <v>2206</v>
      </c>
      <c r="E711" s="974" t="s">
        <v>570</v>
      </c>
      <c r="F711" s="975">
        <v>0.08</v>
      </c>
      <c r="G711" s="976">
        <f>SUM(G712:G715)</f>
        <v>63.819280000000013</v>
      </c>
      <c r="H711" s="977">
        <v>141.84</v>
      </c>
      <c r="I711" s="977">
        <f>IF(ISBLANK(H711),"",SUM(G711:H711))</f>
        <v>205.65928000000002</v>
      </c>
      <c r="J711" s="978">
        <f t="shared" si="246"/>
        <v>246.94</v>
      </c>
      <c r="K711" s="979" t="s">
        <v>10</v>
      </c>
      <c r="L711" s="980">
        <f>ROUND(SUM('RES. CENTRAL PARK:RUA_FINAL'!L711),2)</f>
        <v>0</v>
      </c>
      <c r="M711" s="981">
        <f t="shared" si="231"/>
        <v>0</v>
      </c>
      <c r="N711" s="982">
        <f t="shared" si="232"/>
        <v>0</v>
      </c>
      <c r="O711" s="905"/>
      <c r="Q711" s="317" t="str">
        <f t="shared" si="233"/>
        <v/>
      </c>
      <c r="R711" s="317" t="str">
        <f t="shared" si="234"/>
        <v/>
      </c>
      <c r="S711" s="317" t="str">
        <f t="shared" si="235"/>
        <v/>
      </c>
      <c r="V711" s="314">
        <f>SUM('RES. CENTRAL PARK:RUA_FINAL'!N711)</f>
        <v>0</v>
      </c>
      <c r="W711" s="315">
        <f t="shared" si="237"/>
        <v>0</v>
      </c>
    </row>
    <row r="712" spans="1:23" ht="15" hidden="1" customHeight="1" x14ac:dyDescent="0.2">
      <c r="A712" s="63" t="s">
        <v>147</v>
      </c>
      <c r="B712" s="895" t="s">
        <v>147</v>
      </c>
      <c r="C712" s="896"/>
      <c r="D712" s="957" t="s">
        <v>229</v>
      </c>
      <c r="E712" s="907">
        <f>DMT!$F$42</f>
        <v>150</v>
      </c>
      <c r="F712" s="908"/>
      <c r="G712" s="912"/>
      <c r="H712" s="901">
        <v>0</v>
      </c>
      <c r="I712" s="901"/>
      <c r="J712" s="902">
        <v>0</v>
      </c>
      <c r="K712" s="903" t="s">
        <v>507</v>
      </c>
      <c r="L712" s="1003">
        <f>ROUND(SUM('RES. CENTRAL PARK:RUA_FINAL'!L712),2)</f>
        <v>0</v>
      </c>
      <c r="M712" s="960">
        <f t="shared" si="231"/>
        <v>0</v>
      </c>
      <c r="N712" s="893">
        <f t="shared" si="232"/>
        <v>0</v>
      </c>
      <c r="O712" s="905"/>
      <c r="P712" s="58" t="str">
        <f>IF(N711&gt;0,"xx",IF(N711&gt;0,"xy",""))</f>
        <v/>
      </c>
      <c r="Q712" s="317" t="str">
        <f t="shared" si="233"/>
        <v/>
      </c>
      <c r="R712" s="317" t="str">
        <f t="shared" si="234"/>
        <v/>
      </c>
      <c r="S712" s="317" t="str">
        <f t="shared" si="235"/>
        <v/>
      </c>
      <c r="V712" s="314">
        <f>SUM('RES. CENTRAL PARK:RUA_FINAL'!N712)</f>
        <v>0</v>
      </c>
      <c r="W712" s="315">
        <f t="shared" si="237"/>
        <v>0</v>
      </c>
    </row>
    <row r="713" spans="1:23" ht="15" hidden="1" customHeight="1" x14ac:dyDescent="0.2">
      <c r="A713" s="63" t="s">
        <v>147</v>
      </c>
      <c r="B713" s="895" t="s">
        <v>147</v>
      </c>
      <c r="C713" s="896"/>
      <c r="D713" s="957" t="s">
        <v>230</v>
      </c>
      <c r="E713" s="907">
        <f>DMT!$D$46</f>
        <v>353</v>
      </c>
      <c r="F713" s="908"/>
      <c r="G713" s="909"/>
      <c r="H713" s="901">
        <v>0</v>
      </c>
      <c r="I713" s="901"/>
      <c r="J713" s="902">
        <v>0</v>
      </c>
      <c r="K713" s="903" t="s">
        <v>507</v>
      </c>
      <c r="L713" s="1003">
        <f>ROUND(SUM('RES. CENTRAL PARK:RUA_FINAL'!L713),2)</f>
        <v>0</v>
      </c>
      <c r="M713" s="960">
        <f t="shared" si="231"/>
        <v>0</v>
      </c>
      <c r="N713" s="893">
        <f t="shared" si="232"/>
        <v>0</v>
      </c>
      <c r="O713" s="905"/>
      <c r="P713" s="58" t="str">
        <f>IF(N711&gt;0,"xx",IF(N711&gt;0,"xy",""))</f>
        <v/>
      </c>
      <c r="Q713" s="317" t="str">
        <f t="shared" si="233"/>
        <v/>
      </c>
      <c r="R713" s="317" t="str">
        <f t="shared" si="234"/>
        <v/>
      </c>
      <c r="S713" s="317" t="str">
        <f t="shared" si="235"/>
        <v/>
      </c>
      <c r="V713" s="314">
        <f>SUM('RES. CENTRAL PARK:RUA_FINAL'!N713)</f>
        <v>0</v>
      </c>
      <c r="W713" s="315">
        <f t="shared" si="237"/>
        <v>0</v>
      </c>
    </row>
    <row r="714" spans="1:23" ht="15" hidden="1" customHeight="1" x14ac:dyDescent="0.2">
      <c r="A714" s="63" t="s">
        <v>147</v>
      </c>
      <c r="B714" s="895" t="s">
        <v>147</v>
      </c>
      <c r="C714" s="896"/>
      <c r="D714" s="957" t="s">
        <v>243</v>
      </c>
      <c r="E714" s="907">
        <f>DMT!$F$43</f>
        <v>0.2</v>
      </c>
      <c r="F714" s="908">
        <v>2.12</v>
      </c>
      <c r="G714" s="912">
        <f t="shared" ref="G714:G715" si="247">IF(E714&lt;=30,(1.07*E714+2.68)*F714,((1.07*30+2.68)+1.07*(E714-30))*F714)</f>
        <v>6.1352800000000007</v>
      </c>
      <c r="H714" s="901">
        <v>0</v>
      </c>
      <c r="I714" s="901"/>
      <c r="J714" s="902">
        <v>0</v>
      </c>
      <c r="K714" s="903" t="s">
        <v>507</v>
      </c>
      <c r="L714" s="1003">
        <f>ROUND(SUM('RES. CENTRAL PARK:RUA_FINAL'!L714),2)</f>
        <v>0</v>
      </c>
      <c r="M714" s="960">
        <f t="shared" si="231"/>
        <v>0</v>
      </c>
      <c r="N714" s="893">
        <f t="shared" si="232"/>
        <v>0</v>
      </c>
      <c r="O714" s="905"/>
      <c r="P714" s="58" t="str">
        <f>IF(N711&gt;0,"xx",IF(N711&gt;0,"xy",""))</f>
        <v/>
      </c>
      <c r="Q714" s="317" t="str">
        <f t="shared" si="233"/>
        <v/>
      </c>
      <c r="R714" s="317" t="str">
        <f t="shared" si="234"/>
        <v/>
      </c>
      <c r="S714" s="317" t="str">
        <f t="shared" si="235"/>
        <v/>
      </c>
      <c r="V714" s="314">
        <f>SUM('RES. CENTRAL PARK:RUA_FINAL'!N714)</f>
        <v>0</v>
      </c>
      <c r="W714" s="315">
        <f t="shared" si="237"/>
        <v>0</v>
      </c>
    </row>
    <row r="715" spans="1:23" ht="15" hidden="1" customHeight="1" x14ac:dyDescent="0.2">
      <c r="A715" s="63" t="s">
        <v>147</v>
      </c>
      <c r="B715" s="895" t="s">
        <v>147</v>
      </c>
      <c r="C715" s="896"/>
      <c r="D715" s="957" t="s">
        <v>244</v>
      </c>
      <c r="E715" s="907">
        <f>DMT!$F$28</f>
        <v>22</v>
      </c>
      <c r="F715" s="908">
        <f>SUM(F711:F714)</f>
        <v>2.2000000000000002</v>
      </c>
      <c r="G715" s="912">
        <f t="shared" si="247"/>
        <v>57.684000000000012</v>
      </c>
      <c r="H715" s="901">
        <v>0</v>
      </c>
      <c r="I715" s="901"/>
      <c r="J715" s="902">
        <v>0</v>
      </c>
      <c r="K715" s="903" t="s">
        <v>507</v>
      </c>
      <c r="L715" s="1003">
        <f>ROUND(SUM('RES. CENTRAL PARK:RUA_FINAL'!L715),2)</f>
        <v>0</v>
      </c>
      <c r="M715" s="960">
        <f t="shared" si="231"/>
        <v>0</v>
      </c>
      <c r="N715" s="893">
        <f t="shared" si="232"/>
        <v>0</v>
      </c>
      <c r="O715" s="905"/>
      <c r="P715" s="58" t="str">
        <f>IF(N711&gt;0,"xx",IF(N711&gt;0,"xy",""))</f>
        <v/>
      </c>
      <c r="Q715" s="317" t="str">
        <f t="shared" si="233"/>
        <v/>
      </c>
      <c r="R715" s="317" t="str">
        <f t="shared" si="234"/>
        <v/>
      </c>
      <c r="S715" s="317" t="str">
        <f t="shared" si="235"/>
        <v/>
      </c>
      <c r="V715" s="314">
        <f>SUM('RES. CENTRAL PARK:RUA_FINAL'!N715)</f>
        <v>0</v>
      </c>
      <c r="W715" s="315">
        <f t="shared" si="237"/>
        <v>0</v>
      </c>
    </row>
    <row r="716" spans="1:23" ht="15" hidden="1" customHeight="1" thickBot="1" x14ac:dyDescent="0.25">
      <c r="A716" s="63">
        <v>589320</v>
      </c>
      <c r="B716" s="1004" t="s">
        <v>1690</v>
      </c>
      <c r="C716" s="984" t="s">
        <v>213</v>
      </c>
      <c r="D716" s="1012" t="s">
        <v>699</v>
      </c>
      <c r="E716" s="1005">
        <f>DMT!$D$47</f>
        <v>45</v>
      </c>
      <c r="F716" s="1006">
        <v>1</v>
      </c>
      <c r="G716" s="949">
        <f>(0.84*E716+41.45)*F716</f>
        <v>79.25</v>
      </c>
      <c r="H716" s="988">
        <v>4012.83</v>
      </c>
      <c r="I716" s="988">
        <f>IF(ISBLANK(H716),"",H716*(1+$E$9)/(1+$E$10))+G716</f>
        <v>3931.9945856583668</v>
      </c>
      <c r="J716" s="989">
        <f t="shared" si="246"/>
        <v>4721.1499999999996</v>
      </c>
      <c r="K716" s="990" t="s">
        <v>14</v>
      </c>
      <c r="L716" s="1035">
        <f>ROUND(SUM('RES. CENTRAL PARK:RUA_FINAL'!L716),2)</f>
        <v>0</v>
      </c>
      <c r="M716" s="1034">
        <f t="shared" si="231"/>
        <v>0</v>
      </c>
      <c r="N716" s="993">
        <f t="shared" si="232"/>
        <v>0</v>
      </c>
      <c r="O716" s="905"/>
      <c r="P716" s="58" t="str">
        <f>IF(N711&gt;0,"xx",IF(N711&gt;0,"xy",""))</f>
        <v/>
      </c>
      <c r="Q716" s="317" t="str">
        <f t="shared" si="233"/>
        <v/>
      </c>
      <c r="R716" s="317" t="str">
        <f t="shared" si="234"/>
        <v/>
      </c>
      <c r="S716" s="317" t="str">
        <f t="shared" si="235"/>
        <v/>
      </c>
      <c r="V716" s="314">
        <f>SUM('RES. CENTRAL PARK:RUA_FINAL'!N716)</f>
        <v>0</v>
      </c>
      <c r="W716" s="315">
        <f t="shared" si="237"/>
        <v>0</v>
      </c>
    </row>
    <row r="717" spans="1:23" ht="15" hidden="1" customHeight="1" x14ac:dyDescent="0.2">
      <c r="A717" s="63">
        <v>534000</v>
      </c>
      <c r="B717" s="999" t="s">
        <v>1757</v>
      </c>
      <c r="C717" s="1000" t="s">
        <v>184</v>
      </c>
      <c r="D717" s="973" t="s">
        <v>2207</v>
      </c>
      <c r="E717" s="974" t="s">
        <v>570</v>
      </c>
      <c r="F717" s="975">
        <v>0.08</v>
      </c>
      <c r="G717" s="976">
        <f>SUM(G718:G721)</f>
        <v>63.819280000000013</v>
      </c>
      <c r="H717" s="977">
        <v>141.84</v>
      </c>
      <c r="I717" s="977">
        <f>IF(ISBLANK(H717),"",SUM(G717:H717))</f>
        <v>205.65928000000002</v>
      </c>
      <c r="J717" s="978">
        <f t="shared" si="246"/>
        <v>246.94</v>
      </c>
      <c r="K717" s="979" t="s">
        <v>10</v>
      </c>
      <c r="L717" s="980">
        <f>ROUND(SUM('RES. CENTRAL PARK:RUA_FINAL'!L717),2)</f>
        <v>0</v>
      </c>
      <c r="M717" s="981">
        <f t="shared" si="231"/>
        <v>0</v>
      </c>
      <c r="N717" s="982">
        <f t="shared" si="232"/>
        <v>0</v>
      </c>
      <c r="O717" s="905"/>
      <c r="Q717" s="317" t="str">
        <f t="shared" si="233"/>
        <v/>
      </c>
      <c r="R717" s="317" t="str">
        <f t="shared" si="234"/>
        <v/>
      </c>
      <c r="S717" s="317" t="str">
        <f t="shared" si="235"/>
        <v/>
      </c>
      <c r="V717" s="314">
        <f>SUM('RES. CENTRAL PARK:RUA_FINAL'!N717)</f>
        <v>0</v>
      </c>
      <c r="W717" s="315">
        <f t="shared" si="237"/>
        <v>0</v>
      </c>
    </row>
    <row r="718" spans="1:23" ht="15" hidden="1" customHeight="1" x14ac:dyDescent="0.2">
      <c r="A718" s="63" t="s">
        <v>147</v>
      </c>
      <c r="B718" s="895" t="s">
        <v>147</v>
      </c>
      <c r="C718" s="896"/>
      <c r="D718" s="957" t="s">
        <v>229</v>
      </c>
      <c r="E718" s="907">
        <f>DMT!$F$42</f>
        <v>150</v>
      </c>
      <c r="F718" s="908"/>
      <c r="G718" s="912"/>
      <c r="H718" s="901">
        <v>0</v>
      </c>
      <c r="I718" s="901"/>
      <c r="J718" s="902">
        <v>0</v>
      </c>
      <c r="K718" s="903" t="s">
        <v>507</v>
      </c>
      <c r="L718" s="1003">
        <f>ROUND(SUM('RES. CENTRAL PARK:RUA_FINAL'!L718),2)</f>
        <v>0</v>
      </c>
      <c r="M718" s="960">
        <f t="shared" si="231"/>
        <v>0</v>
      </c>
      <c r="N718" s="893">
        <f t="shared" si="232"/>
        <v>0</v>
      </c>
      <c r="O718" s="905"/>
      <c r="P718" s="58" t="str">
        <f>IF(N717&gt;0,"xx",IF(N717&gt;0,"xy",""))</f>
        <v/>
      </c>
      <c r="Q718" s="317" t="str">
        <f t="shared" si="233"/>
        <v/>
      </c>
      <c r="R718" s="317" t="str">
        <f t="shared" si="234"/>
        <v/>
      </c>
      <c r="S718" s="317" t="str">
        <f t="shared" si="235"/>
        <v/>
      </c>
      <c r="V718" s="314">
        <f>SUM('RES. CENTRAL PARK:RUA_FINAL'!N718)</f>
        <v>0</v>
      </c>
      <c r="W718" s="315">
        <f t="shared" si="237"/>
        <v>0</v>
      </c>
    </row>
    <row r="719" spans="1:23" ht="15" hidden="1" customHeight="1" x14ac:dyDescent="0.2">
      <c r="A719" s="63" t="s">
        <v>147</v>
      </c>
      <c r="B719" s="895" t="s">
        <v>147</v>
      </c>
      <c r="C719" s="896"/>
      <c r="D719" s="957" t="s">
        <v>230</v>
      </c>
      <c r="E719" s="907">
        <f>DMT!$D$46</f>
        <v>353</v>
      </c>
      <c r="F719" s="908"/>
      <c r="G719" s="909"/>
      <c r="H719" s="901">
        <v>0</v>
      </c>
      <c r="I719" s="901"/>
      <c r="J719" s="902">
        <v>0</v>
      </c>
      <c r="K719" s="903" t="s">
        <v>507</v>
      </c>
      <c r="L719" s="1003">
        <f>ROUND(SUM('RES. CENTRAL PARK:RUA_FINAL'!L719),2)</f>
        <v>0</v>
      </c>
      <c r="M719" s="960">
        <f t="shared" si="231"/>
        <v>0</v>
      </c>
      <c r="N719" s="893">
        <f t="shared" si="232"/>
        <v>0</v>
      </c>
      <c r="O719" s="905"/>
      <c r="P719" s="58" t="str">
        <f>IF(N717&gt;0,"xx",IF(N717&gt;0,"xy",""))</f>
        <v/>
      </c>
      <c r="Q719" s="317" t="str">
        <f t="shared" si="233"/>
        <v/>
      </c>
      <c r="R719" s="317" t="str">
        <f t="shared" si="234"/>
        <v/>
      </c>
      <c r="S719" s="317" t="str">
        <f t="shared" si="235"/>
        <v/>
      </c>
      <c r="V719" s="314">
        <f>SUM('RES. CENTRAL PARK:RUA_FINAL'!N719)</f>
        <v>0</v>
      </c>
      <c r="W719" s="315">
        <f t="shared" si="237"/>
        <v>0</v>
      </c>
    </row>
    <row r="720" spans="1:23" ht="15" hidden="1" customHeight="1" x14ac:dyDescent="0.2">
      <c r="A720" s="63" t="s">
        <v>147</v>
      </c>
      <c r="B720" s="895" t="s">
        <v>147</v>
      </c>
      <c r="C720" s="896"/>
      <c r="D720" s="957" t="s">
        <v>243</v>
      </c>
      <c r="E720" s="907">
        <f>DMT!$F$43</f>
        <v>0.2</v>
      </c>
      <c r="F720" s="908">
        <v>2.12</v>
      </c>
      <c r="G720" s="912">
        <f t="shared" ref="G720:G721" si="248">IF(E720&lt;=30,(1.07*E720+2.68)*F720,((1.07*30+2.68)+1.07*(E720-30))*F720)</f>
        <v>6.1352800000000007</v>
      </c>
      <c r="H720" s="901">
        <v>0</v>
      </c>
      <c r="I720" s="901"/>
      <c r="J720" s="902">
        <v>0</v>
      </c>
      <c r="K720" s="903" t="s">
        <v>507</v>
      </c>
      <c r="L720" s="1003">
        <f>ROUND(SUM('RES. CENTRAL PARK:RUA_FINAL'!L720),2)</f>
        <v>0</v>
      </c>
      <c r="M720" s="960">
        <f t="shared" ref="M720:M795" si="249">IF(L720=0,0,ROUND(J720,2))</f>
        <v>0</v>
      </c>
      <c r="N720" s="893">
        <f t="shared" ref="N720:N795" si="250">IF(ISBLANK(L720),0,ROUND(L720*M720,2))</f>
        <v>0</v>
      </c>
      <c r="O720" s="905"/>
      <c r="P720" s="58" t="str">
        <f>IF(N717&gt;0,"xx",IF(N717&gt;0,"xy",""))</f>
        <v/>
      </c>
      <c r="Q720" s="317" t="str">
        <f t="shared" ref="Q720:Q795" si="251">IF(P720="X","x",IF(P720="xx","x",IF(P720="xy","x",IF(P720="y","x",IF(OR(N720&gt;0,N720&gt;0),"x","")))))</f>
        <v/>
      </c>
      <c r="R720" s="317" t="str">
        <f t="shared" ref="R720:R795" si="252">IF(P720="X","x",IF(P720="y","x",IF(P720="xx","x",IF(N720&gt;0,"x",""))))</f>
        <v/>
      </c>
      <c r="S720" s="317" t="str">
        <f t="shared" ref="S720:S795" si="253">IF(P720="X","x",IF(N720&gt;0,"x",""))</f>
        <v/>
      </c>
      <c r="V720" s="314">
        <f>SUM('RES. CENTRAL PARK:RUA_FINAL'!N720)</f>
        <v>0</v>
      </c>
      <c r="W720" s="315">
        <f t="shared" si="237"/>
        <v>0</v>
      </c>
    </row>
    <row r="721" spans="1:23" ht="15" hidden="1" customHeight="1" x14ac:dyDescent="0.2">
      <c r="A721" s="63" t="s">
        <v>147</v>
      </c>
      <c r="B721" s="895" t="s">
        <v>147</v>
      </c>
      <c r="C721" s="896"/>
      <c r="D721" s="957" t="s">
        <v>244</v>
      </c>
      <c r="E721" s="907">
        <f>DMT!$F$28</f>
        <v>22</v>
      </c>
      <c r="F721" s="908">
        <f>SUM(F717:F720)</f>
        <v>2.2000000000000002</v>
      </c>
      <c r="G721" s="912">
        <f t="shared" si="248"/>
        <v>57.684000000000012</v>
      </c>
      <c r="H721" s="901">
        <v>0</v>
      </c>
      <c r="I721" s="901"/>
      <c r="J721" s="902">
        <v>0</v>
      </c>
      <c r="K721" s="903" t="s">
        <v>507</v>
      </c>
      <c r="L721" s="1003">
        <f>ROUND(SUM('RES. CENTRAL PARK:RUA_FINAL'!L721),2)</f>
        <v>0</v>
      </c>
      <c r="M721" s="960">
        <f t="shared" si="249"/>
        <v>0</v>
      </c>
      <c r="N721" s="893">
        <f t="shared" si="250"/>
        <v>0</v>
      </c>
      <c r="O721" s="905"/>
      <c r="P721" s="58" t="str">
        <f>IF(N717&gt;0,"xx",IF(N717&gt;0,"xy",""))</f>
        <v/>
      </c>
      <c r="Q721" s="317" t="str">
        <f t="shared" si="251"/>
        <v/>
      </c>
      <c r="R721" s="317" t="str">
        <f t="shared" si="252"/>
        <v/>
      </c>
      <c r="S721" s="317" t="str">
        <f t="shared" si="253"/>
        <v/>
      </c>
      <c r="V721" s="314">
        <f>SUM('RES. CENTRAL PARK:RUA_FINAL'!N721)</f>
        <v>0</v>
      </c>
      <c r="W721" s="315">
        <f t="shared" si="237"/>
        <v>0</v>
      </c>
    </row>
    <row r="722" spans="1:23" ht="15" hidden="1" customHeight="1" thickBot="1" x14ac:dyDescent="0.25">
      <c r="A722" s="63">
        <v>589320</v>
      </c>
      <c r="B722" s="1004" t="s">
        <v>1691</v>
      </c>
      <c r="C722" s="984" t="s">
        <v>213</v>
      </c>
      <c r="D722" s="1012" t="s">
        <v>699</v>
      </c>
      <c r="E722" s="1005">
        <f>DMT!$D$47</f>
        <v>45</v>
      </c>
      <c r="F722" s="1006">
        <v>1</v>
      </c>
      <c r="G722" s="949">
        <f>(0.84*E722+41.45)*F722</f>
        <v>79.25</v>
      </c>
      <c r="H722" s="988">
        <v>4012.83</v>
      </c>
      <c r="I722" s="988">
        <f>IF(ISBLANK(H722),"",H722*(1+$E$9)/(1+$E$10))+G722</f>
        <v>3931.9945856583668</v>
      </c>
      <c r="J722" s="989">
        <f t="shared" si="246"/>
        <v>4721.1499999999996</v>
      </c>
      <c r="K722" s="990" t="s">
        <v>14</v>
      </c>
      <c r="L722" s="1035">
        <f>ROUND(SUM('RES. CENTRAL PARK:RUA_FINAL'!L722),2)</f>
        <v>0</v>
      </c>
      <c r="M722" s="1034">
        <f t="shared" si="249"/>
        <v>0</v>
      </c>
      <c r="N722" s="993">
        <f t="shared" si="250"/>
        <v>0</v>
      </c>
      <c r="O722" s="905"/>
      <c r="P722" s="58" t="str">
        <f>IF(N717&gt;0,"xx",IF(N717&gt;0,"xy",""))</f>
        <v/>
      </c>
      <c r="Q722" s="317" t="str">
        <f t="shared" si="251"/>
        <v/>
      </c>
      <c r="R722" s="317" t="str">
        <f t="shared" si="252"/>
        <v/>
      </c>
      <c r="S722" s="317" t="str">
        <f t="shared" si="253"/>
        <v/>
      </c>
      <c r="V722" s="314">
        <f>SUM('RES. CENTRAL PARK:RUA_FINAL'!N722)</f>
        <v>0</v>
      </c>
      <c r="W722" s="315">
        <f t="shared" si="237"/>
        <v>0</v>
      </c>
    </row>
    <row r="723" spans="1:23" ht="15" hidden="1" customHeight="1" x14ac:dyDescent="0.2">
      <c r="A723" s="63">
        <v>534300</v>
      </c>
      <c r="B723" s="999" t="s">
        <v>1683</v>
      </c>
      <c r="C723" s="1000" t="s">
        <v>184</v>
      </c>
      <c r="D723" s="973" t="s">
        <v>2209</v>
      </c>
      <c r="E723" s="974" t="s">
        <v>570</v>
      </c>
      <c r="F723" s="975">
        <v>0.11</v>
      </c>
      <c r="G723" s="976">
        <f>SUM(G724:G727)</f>
        <v>63.732459999999996</v>
      </c>
      <c r="H723" s="977">
        <v>140.30000000000001</v>
      </c>
      <c r="I723" s="977">
        <f>IF(ISBLANK(H723),"",SUM(G723:H723))</f>
        <v>204.03246000000001</v>
      </c>
      <c r="J723" s="978">
        <f t="shared" si="246"/>
        <v>244.98</v>
      </c>
      <c r="K723" s="979" t="s">
        <v>10</v>
      </c>
      <c r="L723" s="980">
        <f>ROUND(SUM('RES. CENTRAL PARK:RUA_FINAL'!L723),2)</f>
        <v>0</v>
      </c>
      <c r="M723" s="981">
        <f t="shared" si="249"/>
        <v>0</v>
      </c>
      <c r="N723" s="982">
        <f t="shared" si="250"/>
        <v>0</v>
      </c>
      <c r="O723" s="905"/>
      <c r="Q723" s="317" t="str">
        <f t="shared" si="251"/>
        <v/>
      </c>
      <c r="R723" s="317" t="str">
        <f t="shared" si="252"/>
        <v/>
      </c>
      <c r="S723" s="317" t="str">
        <f t="shared" si="253"/>
        <v/>
      </c>
      <c r="V723" s="314">
        <f>SUM('RES. CENTRAL PARK:RUA_FINAL'!N723)</f>
        <v>0</v>
      </c>
      <c r="W723" s="315">
        <f t="shared" si="237"/>
        <v>0</v>
      </c>
    </row>
    <row r="724" spans="1:23" ht="15" hidden="1" customHeight="1" x14ac:dyDescent="0.2">
      <c r="A724" s="63" t="s">
        <v>147</v>
      </c>
      <c r="B724" s="895" t="s">
        <v>147</v>
      </c>
      <c r="C724" s="896"/>
      <c r="D724" s="957" t="s">
        <v>229</v>
      </c>
      <c r="E724" s="907">
        <f>DMT!$F$42</f>
        <v>150</v>
      </c>
      <c r="F724" s="908"/>
      <c r="G724" s="912"/>
      <c r="H724" s="901">
        <v>0</v>
      </c>
      <c r="I724" s="901"/>
      <c r="J724" s="902">
        <v>0</v>
      </c>
      <c r="K724" s="903" t="s">
        <v>507</v>
      </c>
      <c r="L724" s="1003">
        <f>ROUND(SUM('RES. CENTRAL PARK:RUA_FINAL'!L724),2)</f>
        <v>0</v>
      </c>
      <c r="M724" s="960">
        <f t="shared" si="249"/>
        <v>0</v>
      </c>
      <c r="N724" s="893">
        <f t="shared" si="250"/>
        <v>0</v>
      </c>
      <c r="O724" s="905"/>
      <c r="P724" s="58" t="str">
        <f>IF(N723&gt;0,"xx",IF(N723&gt;0,"xy",""))</f>
        <v/>
      </c>
      <c r="Q724" s="317" t="str">
        <f t="shared" si="251"/>
        <v/>
      </c>
      <c r="R724" s="317" t="str">
        <f t="shared" si="252"/>
        <v/>
      </c>
      <c r="S724" s="317" t="str">
        <f t="shared" si="253"/>
        <v/>
      </c>
      <c r="V724" s="314">
        <f>SUM('RES. CENTRAL PARK:RUA_FINAL'!N724)</f>
        <v>0</v>
      </c>
      <c r="W724" s="315">
        <f t="shared" si="237"/>
        <v>0</v>
      </c>
    </row>
    <row r="725" spans="1:23" ht="15" hidden="1" customHeight="1" x14ac:dyDescent="0.2">
      <c r="A725" s="63" t="s">
        <v>147</v>
      </c>
      <c r="B725" s="895" t="s">
        <v>147</v>
      </c>
      <c r="C725" s="896"/>
      <c r="D725" s="957" t="s">
        <v>230</v>
      </c>
      <c r="E725" s="907">
        <f>DMT!$D$46</f>
        <v>353</v>
      </c>
      <c r="F725" s="908"/>
      <c r="G725" s="909"/>
      <c r="H725" s="901">
        <v>0</v>
      </c>
      <c r="I725" s="901"/>
      <c r="J725" s="902">
        <v>0</v>
      </c>
      <c r="K725" s="903" t="s">
        <v>507</v>
      </c>
      <c r="L725" s="1003">
        <f>ROUND(SUM('RES. CENTRAL PARK:RUA_FINAL'!L725),2)</f>
        <v>0</v>
      </c>
      <c r="M725" s="960">
        <f t="shared" si="249"/>
        <v>0</v>
      </c>
      <c r="N725" s="893">
        <f t="shared" si="250"/>
        <v>0</v>
      </c>
      <c r="O725" s="905"/>
      <c r="P725" s="58" t="str">
        <f>IF(N723&gt;0,"xx",IF(N723&gt;0,"xy",""))</f>
        <v/>
      </c>
      <c r="Q725" s="317" t="str">
        <f t="shared" si="251"/>
        <v/>
      </c>
      <c r="R725" s="317" t="str">
        <f t="shared" si="252"/>
        <v/>
      </c>
      <c r="S725" s="317" t="str">
        <f t="shared" si="253"/>
        <v/>
      </c>
      <c r="V725" s="314">
        <f>SUM('RES. CENTRAL PARK:RUA_FINAL'!N725)</f>
        <v>0</v>
      </c>
      <c r="W725" s="315">
        <f t="shared" ref="W725:W788" si="254">N725-V725</f>
        <v>0</v>
      </c>
    </row>
    <row r="726" spans="1:23" ht="15" hidden="1" customHeight="1" x14ac:dyDescent="0.2">
      <c r="A726" s="63" t="s">
        <v>147</v>
      </c>
      <c r="B726" s="895" t="s">
        <v>147</v>
      </c>
      <c r="C726" s="896"/>
      <c r="D726" s="957" t="s">
        <v>243</v>
      </c>
      <c r="E726" s="907">
        <f>DMT!$F$43</f>
        <v>0.2</v>
      </c>
      <c r="F726" s="908">
        <v>2.09</v>
      </c>
      <c r="G726" s="912">
        <f t="shared" ref="G726:G727" si="255">IF(E726&lt;=30,(1.07*E726+2.68)*F726,((1.07*30+2.68)+1.07*(E726-30))*F726)</f>
        <v>6.0484599999999995</v>
      </c>
      <c r="H726" s="901">
        <v>0</v>
      </c>
      <c r="I726" s="901"/>
      <c r="J726" s="902">
        <v>0</v>
      </c>
      <c r="K726" s="903" t="s">
        <v>507</v>
      </c>
      <c r="L726" s="1003">
        <f>ROUND(SUM('RES. CENTRAL PARK:RUA_FINAL'!L726),2)</f>
        <v>0</v>
      </c>
      <c r="M726" s="960">
        <f t="shared" si="249"/>
        <v>0</v>
      </c>
      <c r="N726" s="893">
        <f t="shared" si="250"/>
        <v>0</v>
      </c>
      <c r="O726" s="905"/>
      <c r="P726" s="58" t="str">
        <f>IF(N723&gt;0,"xx",IF(N723&gt;0,"xy",""))</f>
        <v/>
      </c>
      <c r="Q726" s="317" t="str">
        <f t="shared" si="251"/>
        <v/>
      </c>
      <c r="R726" s="317" t="str">
        <f t="shared" si="252"/>
        <v/>
      </c>
      <c r="S726" s="317" t="str">
        <f t="shared" si="253"/>
        <v/>
      </c>
      <c r="V726" s="314">
        <f>SUM('RES. CENTRAL PARK:RUA_FINAL'!N726)</f>
        <v>0</v>
      </c>
      <c r="W726" s="315">
        <f t="shared" si="254"/>
        <v>0</v>
      </c>
    </row>
    <row r="727" spans="1:23" ht="15" hidden="1" customHeight="1" x14ac:dyDescent="0.2">
      <c r="A727" s="63" t="s">
        <v>147</v>
      </c>
      <c r="B727" s="895" t="s">
        <v>147</v>
      </c>
      <c r="C727" s="896"/>
      <c r="D727" s="957" t="s">
        <v>244</v>
      </c>
      <c r="E727" s="907">
        <f>DMT!$F$28</f>
        <v>22</v>
      </c>
      <c r="F727" s="908">
        <f>SUM(F723:F726)</f>
        <v>2.1999999999999997</v>
      </c>
      <c r="G727" s="912">
        <f t="shared" si="255"/>
        <v>57.683999999999997</v>
      </c>
      <c r="H727" s="901">
        <v>0</v>
      </c>
      <c r="I727" s="901"/>
      <c r="J727" s="902">
        <v>0</v>
      </c>
      <c r="K727" s="903" t="s">
        <v>507</v>
      </c>
      <c r="L727" s="1003">
        <f>ROUND(SUM('RES. CENTRAL PARK:RUA_FINAL'!L727),2)</f>
        <v>0</v>
      </c>
      <c r="M727" s="960">
        <f t="shared" si="249"/>
        <v>0</v>
      </c>
      <c r="N727" s="893">
        <f t="shared" si="250"/>
        <v>0</v>
      </c>
      <c r="O727" s="905"/>
      <c r="P727" s="58" t="str">
        <f>IF(N723&gt;0,"xx",IF(N723&gt;0,"xy",""))</f>
        <v/>
      </c>
      <c r="Q727" s="317" t="str">
        <f t="shared" si="251"/>
        <v/>
      </c>
      <c r="R727" s="317" t="str">
        <f t="shared" si="252"/>
        <v/>
      </c>
      <c r="S727" s="317" t="str">
        <f t="shared" si="253"/>
        <v/>
      </c>
      <c r="V727" s="314">
        <f>SUM('RES. CENTRAL PARK:RUA_FINAL'!N727)</f>
        <v>0</v>
      </c>
      <c r="W727" s="315">
        <f t="shared" si="254"/>
        <v>0</v>
      </c>
    </row>
    <row r="728" spans="1:23" ht="15" hidden="1" customHeight="1" thickBot="1" x14ac:dyDescent="0.25">
      <c r="A728" s="63">
        <v>589320</v>
      </c>
      <c r="B728" s="1004" t="s">
        <v>1692</v>
      </c>
      <c r="C728" s="984" t="s">
        <v>213</v>
      </c>
      <c r="D728" s="1012" t="s">
        <v>700</v>
      </c>
      <c r="E728" s="1005">
        <f>DMT!$D$47</f>
        <v>45</v>
      </c>
      <c r="F728" s="1006">
        <v>1</v>
      </c>
      <c r="G728" s="949">
        <f>(0.84*E728+41.45)*F728</f>
        <v>79.25</v>
      </c>
      <c r="H728" s="988">
        <v>4012.83</v>
      </c>
      <c r="I728" s="988">
        <f>IF(ISBLANK(H728),"",H728*(1+$E$9)/(1+$E$10))+G728</f>
        <v>3931.9945856583668</v>
      </c>
      <c r="J728" s="989">
        <f t="shared" si="246"/>
        <v>4721.1499999999996</v>
      </c>
      <c r="K728" s="990" t="s">
        <v>14</v>
      </c>
      <c r="L728" s="1035">
        <f>ROUND(SUM('RES. CENTRAL PARK:RUA_FINAL'!L728),2)</f>
        <v>0</v>
      </c>
      <c r="M728" s="1034">
        <f t="shared" si="249"/>
        <v>0</v>
      </c>
      <c r="N728" s="993">
        <f t="shared" si="250"/>
        <v>0</v>
      </c>
      <c r="O728" s="905"/>
      <c r="P728" s="58" t="str">
        <f>IF(N723&gt;0,"xx",IF(N723&gt;0,"xy",""))</f>
        <v/>
      </c>
      <c r="Q728" s="317" t="str">
        <f t="shared" si="251"/>
        <v/>
      </c>
      <c r="R728" s="317" t="str">
        <f t="shared" si="252"/>
        <v/>
      </c>
      <c r="S728" s="317" t="str">
        <f t="shared" si="253"/>
        <v/>
      </c>
      <c r="V728" s="314">
        <f>SUM('RES. CENTRAL PARK:RUA_FINAL'!N728)</f>
        <v>0</v>
      </c>
      <c r="W728" s="315">
        <f t="shared" si="254"/>
        <v>0</v>
      </c>
    </row>
    <row r="729" spans="1:23" ht="15" hidden="1" customHeight="1" x14ac:dyDescent="0.2">
      <c r="A729" s="63">
        <v>534300</v>
      </c>
      <c r="B729" s="999" t="s">
        <v>1684</v>
      </c>
      <c r="C729" s="1000" t="s">
        <v>184</v>
      </c>
      <c r="D729" s="973" t="s">
        <v>2208</v>
      </c>
      <c r="E729" s="974" t="s">
        <v>570</v>
      </c>
      <c r="F729" s="975">
        <v>0.11</v>
      </c>
      <c r="G729" s="976">
        <f>SUM(G730:G733)</f>
        <v>63.732459999999996</v>
      </c>
      <c r="H729" s="977">
        <v>140.30000000000001</v>
      </c>
      <c r="I729" s="977">
        <f>IF(ISBLANK(H729),"",SUM(G729:H729))</f>
        <v>204.03246000000001</v>
      </c>
      <c r="J729" s="978">
        <f t="shared" si="246"/>
        <v>244.98</v>
      </c>
      <c r="K729" s="979" t="s">
        <v>10</v>
      </c>
      <c r="L729" s="980">
        <f>ROUND(SUM('RES. CENTRAL PARK:RUA_FINAL'!L729),2)</f>
        <v>0</v>
      </c>
      <c r="M729" s="981">
        <f t="shared" si="249"/>
        <v>0</v>
      </c>
      <c r="N729" s="982">
        <f t="shared" si="250"/>
        <v>0</v>
      </c>
      <c r="O729" s="905"/>
      <c r="Q729" s="317" t="str">
        <f t="shared" si="251"/>
        <v/>
      </c>
      <c r="R729" s="317" t="str">
        <f t="shared" si="252"/>
        <v/>
      </c>
      <c r="S729" s="317" t="str">
        <f t="shared" si="253"/>
        <v/>
      </c>
      <c r="V729" s="314">
        <f>SUM('RES. CENTRAL PARK:RUA_FINAL'!N729)</f>
        <v>0</v>
      </c>
      <c r="W729" s="315">
        <f t="shared" si="254"/>
        <v>0</v>
      </c>
    </row>
    <row r="730" spans="1:23" ht="15" hidden="1" customHeight="1" x14ac:dyDescent="0.2">
      <c r="A730" s="63" t="s">
        <v>147</v>
      </c>
      <c r="B730" s="895" t="s">
        <v>147</v>
      </c>
      <c r="C730" s="896"/>
      <c r="D730" s="957" t="s">
        <v>229</v>
      </c>
      <c r="E730" s="907">
        <f>DMT!$F$42</f>
        <v>150</v>
      </c>
      <c r="F730" s="908"/>
      <c r="G730" s="912"/>
      <c r="H730" s="901">
        <v>0</v>
      </c>
      <c r="I730" s="901"/>
      <c r="J730" s="902">
        <v>0</v>
      </c>
      <c r="K730" s="903" t="s">
        <v>507</v>
      </c>
      <c r="L730" s="1003">
        <f>ROUND(SUM('RES. CENTRAL PARK:RUA_FINAL'!L730),2)</f>
        <v>0</v>
      </c>
      <c r="M730" s="960">
        <f t="shared" si="249"/>
        <v>0</v>
      </c>
      <c r="N730" s="893">
        <f t="shared" si="250"/>
        <v>0</v>
      </c>
      <c r="O730" s="905"/>
      <c r="P730" s="58" t="str">
        <f>IF(N729&gt;0,"xx",IF(N729&gt;0,"xy",""))</f>
        <v/>
      </c>
      <c r="Q730" s="317" t="str">
        <f t="shared" si="251"/>
        <v/>
      </c>
      <c r="R730" s="317" t="str">
        <f t="shared" si="252"/>
        <v/>
      </c>
      <c r="S730" s="317" t="str">
        <f t="shared" si="253"/>
        <v/>
      </c>
      <c r="V730" s="314">
        <f>SUM('RES. CENTRAL PARK:RUA_FINAL'!N730)</f>
        <v>0</v>
      </c>
      <c r="W730" s="315">
        <f t="shared" si="254"/>
        <v>0</v>
      </c>
    </row>
    <row r="731" spans="1:23" ht="15" hidden="1" customHeight="1" x14ac:dyDescent="0.2">
      <c r="A731" s="63" t="s">
        <v>147</v>
      </c>
      <c r="B731" s="895" t="s">
        <v>147</v>
      </c>
      <c r="C731" s="896"/>
      <c r="D731" s="957" t="s">
        <v>230</v>
      </c>
      <c r="E731" s="907">
        <f>DMT!$D$46</f>
        <v>353</v>
      </c>
      <c r="F731" s="908"/>
      <c r="G731" s="909"/>
      <c r="H731" s="901">
        <v>0</v>
      </c>
      <c r="I731" s="901"/>
      <c r="J731" s="902">
        <v>0</v>
      </c>
      <c r="K731" s="903" t="s">
        <v>507</v>
      </c>
      <c r="L731" s="1003">
        <f>ROUND(SUM('RES. CENTRAL PARK:RUA_FINAL'!L731),2)</f>
        <v>0</v>
      </c>
      <c r="M731" s="960">
        <f t="shared" si="249"/>
        <v>0</v>
      </c>
      <c r="N731" s="893">
        <f t="shared" si="250"/>
        <v>0</v>
      </c>
      <c r="O731" s="905"/>
      <c r="P731" s="58" t="str">
        <f>IF(N729&gt;0,"xx",IF(N729&gt;0,"xy",""))</f>
        <v/>
      </c>
      <c r="Q731" s="317" t="str">
        <f t="shared" si="251"/>
        <v/>
      </c>
      <c r="R731" s="317" t="str">
        <f t="shared" si="252"/>
        <v/>
      </c>
      <c r="S731" s="317" t="str">
        <f t="shared" si="253"/>
        <v/>
      </c>
      <c r="V731" s="314">
        <f>SUM('RES. CENTRAL PARK:RUA_FINAL'!N731)</f>
        <v>0</v>
      </c>
      <c r="W731" s="315">
        <f t="shared" si="254"/>
        <v>0</v>
      </c>
    </row>
    <row r="732" spans="1:23" ht="15" hidden="1" customHeight="1" x14ac:dyDescent="0.2">
      <c r="A732" s="63" t="s">
        <v>147</v>
      </c>
      <c r="B732" s="895" t="s">
        <v>147</v>
      </c>
      <c r="C732" s="896"/>
      <c r="D732" s="957" t="s">
        <v>243</v>
      </c>
      <c r="E732" s="907">
        <f>DMT!$F$43</f>
        <v>0.2</v>
      </c>
      <c r="F732" s="908">
        <v>2.09</v>
      </c>
      <c r="G732" s="912">
        <f t="shared" ref="G732:G733" si="256">IF(E732&lt;=30,(1.07*E732+2.68)*F732,((1.07*30+2.68)+1.07*(E732-30))*F732)</f>
        <v>6.0484599999999995</v>
      </c>
      <c r="H732" s="901">
        <v>0</v>
      </c>
      <c r="I732" s="901"/>
      <c r="J732" s="902">
        <v>0</v>
      </c>
      <c r="K732" s="903" t="s">
        <v>507</v>
      </c>
      <c r="L732" s="1003">
        <f>ROUND(SUM('RES. CENTRAL PARK:RUA_FINAL'!L732),2)</f>
        <v>0</v>
      </c>
      <c r="M732" s="960">
        <f t="shared" si="249"/>
        <v>0</v>
      </c>
      <c r="N732" s="893">
        <f t="shared" si="250"/>
        <v>0</v>
      </c>
      <c r="O732" s="905"/>
      <c r="P732" s="58" t="str">
        <f>IF(N729&gt;0,"xx",IF(N729&gt;0,"xy",""))</f>
        <v/>
      </c>
      <c r="Q732" s="317" t="str">
        <f t="shared" si="251"/>
        <v/>
      </c>
      <c r="R732" s="317" t="str">
        <f t="shared" si="252"/>
        <v/>
      </c>
      <c r="S732" s="317" t="str">
        <f t="shared" si="253"/>
        <v/>
      </c>
      <c r="V732" s="314">
        <f>SUM('RES. CENTRAL PARK:RUA_FINAL'!N732)</f>
        <v>0</v>
      </c>
      <c r="W732" s="315">
        <f t="shared" si="254"/>
        <v>0</v>
      </c>
    </row>
    <row r="733" spans="1:23" ht="15" hidden="1" customHeight="1" x14ac:dyDescent="0.2">
      <c r="A733" s="63" t="s">
        <v>147</v>
      </c>
      <c r="B733" s="895" t="s">
        <v>147</v>
      </c>
      <c r="C733" s="896"/>
      <c r="D733" s="957" t="s">
        <v>244</v>
      </c>
      <c r="E733" s="907">
        <f>DMT!$F$28</f>
        <v>22</v>
      </c>
      <c r="F733" s="908">
        <f>SUM(F729:F732)</f>
        <v>2.1999999999999997</v>
      </c>
      <c r="G733" s="912">
        <f t="shared" si="256"/>
        <v>57.683999999999997</v>
      </c>
      <c r="H733" s="901">
        <v>0</v>
      </c>
      <c r="I733" s="901"/>
      <c r="J733" s="902">
        <v>0</v>
      </c>
      <c r="K733" s="903" t="s">
        <v>507</v>
      </c>
      <c r="L733" s="1003">
        <f>ROUND(SUM('RES. CENTRAL PARK:RUA_FINAL'!L733),2)</f>
        <v>0</v>
      </c>
      <c r="M733" s="960">
        <f t="shared" si="249"/>
        <v>0</v>
      </c>
      <c r="N733" s="893">
        <f t="shared" si="250"/>
        <v>0</v>
      </c>
      <c r="O733" s="905"/>
      <c r="P733" s="58" t="str">
        <f>IF(N729&gt;0,"xx",IF(N729&gt;0,"xy",""))</f>
        <v/>
      </c>
      <c r="Q733" s="317" t="str">
        <f t="shared" si="251"/>
        <v/>
      </c>
      <c r="R733" s="317" t="str">
        <f t="shared" si="252"/>
        <v/>
      </c>
      <c r="S733" s="317" t="str">
        <f t="shared" si="253"/>
        <v/>
      </c>
      <c r="V733" s="314">
        <f>SUM('RES. CENTRAL PARK:RUA_FINAL'!N733)</f>
        <v>0</v>
      </c>
      <c r="W733" s="315">
        <f t="shared" si="254"/>
        <v>0</v>
      </c>
    </row>
    <row r="734" spans="1:23" ht="15" hidden="1" customHeight="1" thickBot="1" x14ac:dyDescent="0.25">
      <c r="A734" s="63">
        <v>589320</v>
      </c>
      <c r="B734" s="1004" t="s">
        <v>1693</v>
      </c>
      <c r="C734" s="984" t="s">
        <v>213</v>
      </c>
      <c r="D734" s="1012" t="s">
        <v>700</v>
      </c>
      <c r="E734" s="1005">
        <f>DMT!$D$47</f>
        <v>45</v>
      </c>
      <c r="F734" s="1006">
        <v>1</v>
      </c>
      <c r="G734" s="949">
        <f>(0.84*E734+41.45)*F734</f>
        <v>79.25</v>
      </c>
      <c r="H734" s="988">
        <v>4012.83</v>
      </c>
      <c r="I734" s="988">
        <f>IF(ISBLANK(H734),"",H734*(1+$E$9)/(1+$E$10))+G734</f>
        <v>3931.9945856583668</v>
      </c>
      <c r="J734" s="989">
        <f t="shared" si="246"/>
        <v>4721.1499999999996</v>
      </c>
      <c r="K734" s="990" t="s">
        <v>14</v>
      </c>
      <c r="L734" s="1035">
        <f>ROUND(SUM('RES. CENTRAL PARK:RUA_FINAL'!L734),2)</f>
        <v>0</v>
      </c>
      <c r="M734" s="1034">
        <f t="shared" si="249"/>
        <v>0</v>
      </c>
      <c r="N734" s="993">
        <f t="shared" si="250"/>
        <v>0</v>
      </c>
      <c r="O734" s="905"/>
      <c r="P734" s="58" t="str">
        <f>IF(N729&gt;0,"xx",IF(N729&gt;0,"xy",""))</f>
        <v/>
      </c>
      <c r="Q734" s="317" t="str">
        <f t="shared" si="251"/>
        <v/>
      </c>
      <c r="R734" s="317" t="str">
        <f t="shared" si="252"/>
        <v/>
      </c>
      <c r="S734" s="317" t="str">
        <f t="shared" si="253"/>
        <v/>
      </c>
      <c r="V734" s="314">
        <f>SUM('RES. CENTRAL PARK:RUA_FINAL'!N734)</f>
        <v>0</v>
      </c>
      <c r="W734" s="315">
        <f t="shared" si="254"/>
        <v>0</v>
      </c>
    </row>
    <row r="735" spans="1:23" ht="15" hidden="1" customHeight="1" x14ac:dyDescent="0.2">
      <c r="A735" s="63">
        <v>534300</v>
      </c>
      <c r="B735" s="999" t="s">
        <v>1685</v>
      </c>
      <c r="C735" s="1000" t="s">
        <v>184</v>
      </c>
      <c r="D735" s="973" t="s">
        <v>2209</v>
      </c>
      <c r="E735" s="974" t="s">
        <v>570</v>
      </c>
      <c r="F735" s="975">
        <v>0.14000000000000001</v>
      </c>
      <c r="G735" s="976">
        <f>SUM(G736:G739)</f>
        <v>109.83426</v>
      </c>
      <c r="H735" s="977">
        <v>140.30000000000001</v>
      </c>
      <c r="I735" s="977">
        <f>IF(ISBLANK(H735),"",SUM(G735:H735))</f>
        <v>250.13426000000001</v>
      </c>
      <c r="J735" s="978">
        <f t="shared" si="246"/>
        <v>300.33999999999997</v>
      </c>
      <c r="K735" s="979" t="s">
        <v>10</v>
      </c>
      <c r="L735" s="980">
        <f>ROUND(SUM('RES. CENTRAL PARK:RUA_FINAL'!L735),2)</f>
        <v>0</v>
      </c>
      <c r="M735" s="981">
        <f t="shared" si="249"/>
        <v>0</v>
      </c>
      <c r="N735" s="982">
        <f t="shared" si="250"/>
        <v>0</v>
      </c>
      <c r="O735" s="905"/>
      <c r="Q735" s="317" t="str">
        <f t="shared" si="251"/>
        <v/>
      </c>
      <c r="R735" s="317" t="str">
        <f t="shared" si="252"/>
        <v/>
      </c>
      <c r="S735" s="317" t="str">
        <f t="shared" si="253"/>
        <v/>
      </c>
      <c r="V735" s="314">
        <f>SUM('RES. CENTRAL PARK:RUA_FINAL'!N735)</f>
        <v>0</v>
      </c>
      <c r="W735" s="315">
        <f t="shared" si="254"/>
        <v>0</v>
      </c>
    </row>
    <row r="736" spans="1:23" ht="15" hidden="1" customHeight="1" x14ac:dyDescent="0.2">
      <c r="A736" s="63" t="s">
        <v>147</v>
      </c>
      <c r="B736" s="895" t="s">
        <v>147</v>
      </c>
      <c r="C736" s="896"/>
      <c r="D736" s="957" t="s">
        <v>229</v>
      </c>
      <c r="E736" s="907">
        <f>DMT!$F$42</f>
        <v>150</v>
      </c>
      <c r="F736" s="908">
        <v>0.27</v>
      </c>
      <c r="G736" s="912">
        <f t="shared" ref="G736:G739" si="257">IF(E736&lt;=30,(1.07*E736+2.68)*F736,((1.07*30+2.68)+1.07*(E736-30))*F736)</f>
        <v>44.058600000000006</v>
      </c>
      <c r="H736" s="901">
        <v>0</v>
      </c>
      <c r="I736" s="901"/>
      <c r="J736" s="902">
        <v>0</v>
      </c>
      <c r="K736" s="903" t="s">
        <v>507</v>
      </c>
      <c r="L736" s="1003">
        <f>ROUND(SUM('RES. CENTRAL PARK:RUA_FINAL'!L736),2)</f>
        <v>0</v>
      </c>
      <c r="M736" s="960">
        <f t="shared" si="249"/>
        <v>0</v>
      </c>
      <c r="N736" s="893">
        <f t="shared" si="250"/>
        <v>0</v>
      </c>
      <c r="O736" s="905"/>
      <c r="P736" s="58" t="str">
        <f>IF(N735&gt;0,"xx",IF(N735&gt;0,"xy",""))</f>
        <v/>
      </c>
      <c r="Q736" s="317" t="str">
        <f t="shared" si="251"/>
        <v/>
      </c>
      <c r="R736" s="317" t="str">
        <f t="shared" si="252"/>
        <v/>
      </c>
      <c r="S736" s="317" t="str">
        <f t="shared" si="253"/>
        <v/>
      </c>
      <c r="V736" s="314">
        <f>SUM('RES. CENTRAL PARK:RUA_FINAL'!N736)</f>
        <v>0</v>
      </c>
      <c r="W736" s="315">
        <f t="shared" si="254"/>
        <v>0</v>
      </c>
    </row>
    <row r="737" spans="1:23" ht="15" hidden="1" customHeight="1" x14ac:dyDescent="0.2">
      <c r="A737" s="63" t="s">
        <v>147</v>
      </c>
      <c r="B737" s="895" t="s">
        <v>147</v>
      </c>
      <c r="C737" s="896"/>
      <c r="D737" s="957" t="s">
        <v>230</v>
      </c>
      <c r="E737" s="907">
        <f>DMT!$D$46</f>
        <v>353</v>
      </c>
      <c r="F737" s="908"/>
      <c r="G737" s="909"/>
      <c r="H737" s="901">
        <v>0</v>
      </c>
      <c r="I737" s="901"/>
      <c r="J737" s="902">
        <v>0</v>
      </c>
      <c r="K737" s="903" t="s">
        <v>507</v>
      </c>
      <c r="L737" s="1003">
        <f>ROUND(SUM('RES. CENTRAL PARK:RUA_FINAL'!L737),2)</f>
        <v>0</v>
      </c>
      <c r="M737" s="960">
        <f t="shared" si="249"/>
        <v>0</v>
      </c>
      <c r="N737" s="893">
        <f t="shared" si="250"/>
        <v>0</v>
      </c>
      <c r="O737" s="905"/>
      <c r="P737" s="58" t="str">
        <f>IF(N735&gt;0,"xx",IF(N735&gt;0,"xy",""))</f>
        <v/>
      </c>
      <c r="Q737" s="317" t="str">
        <f t="shared" si="251"/>
        <v/>
      </c>
      <c r="R737" s="317" t="str">
        <f t="shared" si="252"/>
        <v/>
      </c>
      <c r="S737" s="317" t="str">
        <f t="shared" si="253"/>
        <v/>
      </c>
      <c r="V737" s="314">
        <f>SUM('RES. CENTRAL PARK:RUA_FINAL'!N737)</f>
        <v>0</v>
      </c>
      <c r="W737" s="315">
        <f t="shared" si="254"/>
        <v>0</v>
      </c>
    </row>
    <row r="738" spans="1:23" ht="15" hidden="1" customHeight="1" x14ac:dyDescent="0.2">
      <c r="A738" s="63" t="s">
        <v>147</v>
      </c>
      <c r="B738" s="895" t="s">
        <v>147</v>
      </c>
      <c r="C738" s="896"/>
      <c r="D738" s="957" t="s">
        <v>243</v>
      </c>
      <c r="E738" s="907">
        <f>DMT!$F$43</f>
        <v>0.2</v>
      </c>
      <c r="F738" s="908">
        <v>1.89</v>
      </c>
      <c r="G738" s="912">
        <f t="shared" si="257"/>
        <v>5.4696600000000002</v>
      </c>
      <c r="H738" s="901">
        <v>0</v>
      </c>
      <c r="I738" s="901"/>
      <c r="J738" s="902">
        <v>0</v>
      </c>
      <c r="K738" s="903" t="s">
        <v>507</v>
      </c>
      <c r="L738" s="1003">
        <f>ROUND(SUM('RES. CENTRAL PARK:RUA_FINAL'!L738),2)</f>
        <v>0</v>
      </c>
      <c r="M738" s="960">
        <f t="shared" si="249"/>
        <v>0</v>
      </c>
      <c r="N738" s="893">
        <f t="shared" si="250"/>
        <v>0</v>
      </c>
      <c r="O738" s="905"/>
      <c r="P738" s="58" t="str">
        <f>IF(N735&gt;0,"xx",IF(N735&gt;0,"xy",""))</f>
        <v/>
      </c>
      <c r="Q738" s="317" t="str">
        <f t="shared" si="251"/>
        <v/>
      </c>
      <c r="R738" s="317" t="str">
        <f t="shared" si="252"/>
        <v/>
      </c>
      <c r="S738" s="317" t="str">
        <f t="shared" si="253"/>
        <v/>
      </c>
      <c r="V738" s="314">
        <f>SUM('RES. CENTRAL PARK:RUA_FINAL'!N738)</f>
        <v>0</v>
      </c>
      <c r="W738" s="315">
        <f t="shared" si="254"/>
        <v>0</v>
      </c>
    </row>
    <row r="739" spans="1:23" ht="15" hidden="1" customHeight="1" x14ac:dyDescent="0.2">
      <c r="A739" s="63" t="s">
        <v>147</v>
      </c>
      <c r="B739" s="895" t="s">
        <v>147</v>
      </c>
      <c r="C739" s="896"/>
      <c r="D739" s="957" t="s">
        <v>244</v>
      </c>
      <c r="E739" s="907">
        <f>DMT!$F$28</f>
        <v>22</v>
      </c>
      <c r="F739" s="908">
        <f>SUM(F735:F738)</f>
        <v>2.2999999999999998</v>
      </c>
      <c r="G739" s="912">
        <f t="shared" si="257"/>
        <v>60.305999999999997</v>
      </c>
      <c r="H739" s="901">
        <v>0</v>
      </c>
      <c r="I739" s="901"/>
      <c r="J739" s="902">
        <v>0</v>
      </c>
      <c r="K739" s="903" t="s">
        <v>507</v>
      </c>
      <c r="L739" s="1003">
        <f>ROUND(SUM('RES. CENTRAL PARK:RUA_FINAL'!L739),2)</f>
        <v>0</v>
      </c>
      <c r="M739" s="960">
        <f t="shared" si="249"/>
        <v>0</v>
      </c>
      <c r="N739" s="893">
        <f t="shared" si="250"/>
        <v>0</v>
      </c>
      <c r="O739" s="905"/>
      <c r="P739" s="58" t="str">
        <f>IF(N735&gt;0,"xx",IF(N735&gt;0,"xy",""))</f>
        <v/>
      </c>
      <c r="Q739" s="317" t="str">
        <f t="shared" si="251"/>
        <v/>
      </c>
      <c r="R739" s="317" t="str">
        <f t="shared" si="252"/>
        <v/>
      </c>
      <c r="S739" s="317" t="str">
        <f t="shared" si="253"/>
        <v/>
      </c>
      <c r="V739" s="314">
        <f>SUM('RES. CENTRAL PARK:RUA_FINAL'!N739)</f>
        <v>0</v>
      </c>
      <c r="W739" s="315">
        <f t="shared" si="254"/>
        <v>0</v>
      </c>
    </row>
    <row r="740" spans="1:23" ht="15" hidden="1" customHeight="1" thickBot="1" x14ac:dyDescent="0.25">
      <c r="A740" s="63">
        <v>589320</v>
      </c>
      <c r="B740" s="1004" t="s">
        <v>1694</v>
      </c>
      <c r="C740" s="984" t="s">
        <v>213</v>
      </c>
      <c r="D740" s="1012" t="s">
        <v>700</v>
      </c>
      <c r="E740" s="1005">
        <f>DMT!$D$47</f>
        <v>45</v>
      </c>
      <c r="F740" s="1006">
        <v>1</v>
      </c>
      <c r="G740" s="949">
        <f>(0.84*E740+41.45)*F740</f>
        <v>79.25</v>
      </c>
      <c r="H740" s="988">
        <v>4012.83</v>
      </c>
      <c r="I740" s="988">
        <f>IF(ISBLANK(H740),"",H740*(1+$E$9)/(1+$E$10))+G740</f>
        <v>3931.9945856583668</v>
      </c>
      <c r="J740" s="989">
        <f t="shared" si="246"/>
        <v>4721.1499999999996</v>
      </c>
      <c r="K740" s="990" t="s">
        <v>14</v>
      </c>
      <c r="L740" s="1035">
        <f>ROUND(SUM('RES. CENTRAL PARK:RUA_FINAL'!L740),2)</f>
        <v>0</v>
      </c>
      <c r="M740" s="1034">
        <f t="shared" si="249"/>
        <v>0</v>
      </c>
      <c r="N740" s="993">
        <f t="shared" si="250"/>
        <v>0</v>
      </c>
      <c r="O740" s="905"/>
      <c r="P740" s="58" t="str">
        <f>IF(N735&gt;0,"xx",IF(N735&gt;0,"xy",""))</f>
        <v/>
      </c>
      <c r="Q740" s="317" t="str">
        <f t="shared" si="251"/>
        <v/>
      </c>
      <c r="R740" s="317" t="str">
        <f t="shared" si="252"/>
        <v/>
      </c>
      <c r="S740" s="317" t="str">
        <f t="shared" si="253"/>
        <v/>
      </c>
      <c r="V740" s="314">
        <f>SUM('RES. CENTRAL PARK:RUA_FINAL'!N740)</f>
        <v>0</v>
      </c>
      <c r="W740" s="315">
        <f t="shared" si="254"/>
        <v>0</v>
      </c>
    </row>
    <row r="741" spans="1:23" ht="15" hidden="1" customHeight="1" x14ac:dyDescent="0.2">
      <c r="A741" s="63">
        <v>534300</v>
      </c>
      <c r="B741" s="999" t="s">
        <v>1761</v>
      </c>
      <c r="C741" s="1000" t="s">
        <v>184</v>
      </c>
      <c r="D741" s="973" t="s">
        <v>2208</v>
      </c>
      <c r="E741" s="974" t="s">
        <v>570</v>
      </c>
      <c r="F741" s="975">
        <v>0.14000000000000001</v>
      </c>
      <c r="G741" s="976">
        <f>SUM(G742:G745)</f>
        <v>109.83426</v>
      </c>
      <c r="H741" s="977">
        <v>140.30000000000001</v>
      </c>
      <c r="I741" s="977">
        <f>IF(ISBLANK(H741),"",SUM(G741:H741))</f>
        <v>250.13426000000001</v>
      </c>
      <c r="J741" s="978">
        <f t="shared" si="246"/>
        <v>300.33999999999997</v>
      </c>
      <c r="K741" s="979" t="s">
        <v>10</v>
      </c>
      <c r="L741" s="980">
        <f>ROUND(SUM('RES. CENTRAL PARK:RUA_FINAL'!L741),2)</f>
        <v>0</v>
      </c>
      <c r="M741" s="981">
        <f t="shared" si="249"/>
        <v>0</v>
      </c>
      <c r="N741" s="982">
        <f t="shared" si="250"/>
        <v>0</v>
      </c>
      <c r="O741" s="905"/>
      <c r="Q741" s="317" t="str">
        <f t="shared" si="251"/>
        <v/>
      </c>
      <c r="R741" s="317" t="str">
        <f t="shared" si="252"/>
        <v/>
      </c>
      <c r="S741" s="317" t="str">
        <f t="shared" si="253"/>
        <v/>
      </c>
      <c r="V741" s="314">
        <f>SUM('RES. CENTRAL PARK:RUA_FINAL'!N741)</f>
        <v>0</v>
      </c>
      <c r="W741" s="315">
        <f t="shared" si="254"/>
        <v>0</v>
      </c>
    </row>
    <row r="742" spans="1:23" ht="15" hidden="1" customHeight="1" x14ac:dyDescent="0.2">
      <c r="A742" s="63" t="s">
        <v>147</v>
      </c>
      <c r="B742" s="895" t="s">
        <v>147</v>
      </c>
      <c r="C742" s="896"/>
      <c r="D742" s="957" t="s">
        <v>229</v>
      </c>
      <c r="E742" s="907">
        <f>DMT!$F$42</f>
        <v>150</v>
      </c>
      <c r="F742" s="908">
        <v>0.27</v>
      </c>
      <c r="G742" s="912">
        <f t="shared" ref="G742:G745" si="258">IF(E742&lt;=30,(1.07*E742+2.68)*F742,((1.07*30+2.68)+1.07*(E742-30))*F742)</f>
        <v>44.058600000000006</v>
      </c>
      <c r="H742" s="901">
        <v>0</v>
      </c>
      <c r="I742" s="901"/>
      <c r="J742" s="902">
        <v>0</v>
      </c>
      <c r="K742" s="903" t="s">
        <v>507</v>
      </c>
      <c r="L742" s="1003">
        <f>ROUND(SUM('RES. CENTRAL PARK:RUA_FINAL'!L742),2)</f>
        <v>0</v>
      </c>
      <c r="M742" s="960">
        <f t="shared" si="249"/>
        <v>0</v>
      </c>
      <c r="N742" s="893">
        <f t="shared" si="250"/>
        <v>0</v>
      </c>
      <c r="O742" s="905"/>
      <c r="P742" s="58" t="str">
        <f>IF(N741&gt;0,"xx",IF(N741&gt;0,"xy",""))</f>
        <v/>
      </c>
      <c r="Q742" s="317" t="str">
        <f t="shared" si="251"/>
        <v/>
      </c>
      <c r="R742" s="317" t="str">
        <f t="shared" si="252"/>
        <v/>
      </c>
      <c r="S742" s="317" t="str">
        <f t="shared" si="253"/>
        <v/>
      </c>
      <c r="V742" s="314">
        <f>SUM('RES. CENTRAL PARK:RUA_FINAL'!N742)</f>
        <v>0</v>
      </c>
      <c r="W742" s="315">
        <f t="shared" si="254"/>
        <v>0</v>
      </c>
    </row>
    <row r="743" spans="1:23" ht="15" hidden="1" customHeight="1" x14ac:dyDescent="0.2">
      <c r="A743" s="63" t="s">
        <v>147</v>
      </c>
      <c r="B743" s="895" t="s">
        <v>147</v>
      </c>
      <c r="C743" s="896"/>
      <c r="D743" s="957" t="s">
        <v>230</v>
      </c>
      <c r="E743" s="907">
        <f>DMT!$D$46</f>
        <v>353</v>
      </c>
      <c r="F743" s="908"/>
      <c r="G743" s="909"/>
      <c r="H743" s="901">
        <v>0</v>
      </c>
      <c r="I743" s="901"/>
      <c r="J743" s="902">
        <v>0</v>
      </c>
      <c r="K743" s="903" t="s">
        <v>507</v>
      </c>
      <c r="L743" s="1003">
        <f>ROUND(SUM('RES. CENTRAL PARK:RUA_FINAL'!L743),2)</f>
        <v>0</v>
      </c>
      <c r="M743" s="960">
        <f t="shared" si="249"/>
        <v>0</v>
      </c>
      <c r="N743" s="893">
        <f t="shared" si="250"/>
        <v>0</v>
      </c>
      <c r="O743" s="905"/>
      <c r="P743" s="58" t="str">
        <f>IF(N741&gt;0,"xx",IF(N741&gt;0,"xy",""))</f>
        <v/>
      </c>
      <c r="Q743" s="317" t="str">
        <f t="shared" si="251"/>
        <v/>
      </c>
      <c r="R743" s="317" t="str">
        <f t="shared" si="252"/>
        <v/>
      </c>
      <c r="S743" s="317" t="str">
        <f t="shared" si="253"/>
        <v/>
      </c>
      <c r="V743" s="314">
        <f>SUM('RES. CENTRAL PARK:RUA_FINAL'!N743)</f>
        <v>0</v>
      </c>
      <c r="W743" s="315">
        <f t="shared" si="254"/>
        <v>0</v>
      </c>
    </row>
    <row r="744" spans="1:23" ht="15" hidden="1" customHeight="1" x14ac:dyDescent="0.2">
      <c r="A744" s="63" t="s">
        <v>147</v>
      </c>
      <c r="B744" s="895" t="s">
        <v>147</v>
      </c>
      <c r="C744" s="896"/>
      <c r="D744" s="957" t="s">
        <v>243</v>
      </c>
      <c r="E744" s="907">
        <f>DMT!$F$43</f>
        <v>0.2</v>
      </c>
      <c r="F744" s="908">
        <v>1.89</v>
      </c>
      <c r="G744" s="912">
        <f t="shared" si="258"/>
        <v>5.4696600000000002</v>
      </c>
      <c r="H744" s="901">
        <v>0</v>
      </c>
      <c r="I744" s="901"/>
      <c r="J744" s="902">
        <v>0</v>
      </c>
      <c r="K744" s="903" t="s">
        <v>507</v>
      </c>
      <c r="L744" s="1003">
        <f>ROUND(SUM('RES. CENTRAL PARK:RUA_FINAL'!L744),2)</f>
        <v>0</v>
      </c>
      <c r="M744" s="960">
        <f t="shared" si="249"/>
        <v>0</v>
      </c>
      <c r="N744" s="893">
        <f t="shared" si="250"/>
        <v>0</v>
      </c>
      <c r="O744" s="905"/>
      <c r="P744" s="58" t="str">
        <f>IF(N741&gt;0,"xx",IF(N741&gt;0,"xy",""))</f>
        <v/>
      </c>
      <c r="Q744" s="317" t="str">
        <f t="shared" si="251"/>
        <v/>
      </c>
      <c r="R744" s="317" t="str">
        <f t="shared" si="252"/>
        <v/>
      </c>
      <c r="S744" s="317" t="str">
        <f t="shared" si="253"/>
        <v/>
      </c>
      <c r="V744" s="314">
        <f>SUM('RES. CENTRAL PARK:RUA_FINAL'!N744)</f>
        <v>0</v>
      </c>
      <c r="W744" s="315">
        <f t="shared" si="254"/>
        <v>0</v>
      </c>
    </row>
    <row r="745" spans="1:23" ht="15" hidden="1" customHeight="1" x14ac:dyDescent="0.2">
      <c r="A745" s="63" t="s">
        <v>147</v>
      </c>
      <c r="B745" s="895" t="s">
        <v>147</v>
      </c>
      <c r="C745" s="896"/>
      <c r="D745" s="957" t="s">
        <v>244</v>
      </c>
      <c r="E745" s="907">
        <f>DMT!$F$28</f>
        <v>22</v>
      </c>
      <c r="F745" s="908">
        <f>SUM(F741:F744)</f>
        <v>2.2999999999999998</v>
      </c>
      <c r="G745" s="912">
        <f t="shared" si="258"/>
        <v>60.305999999999997</v>
      </c>
      <c r="H745" s="901">
        <v>0</v>
      </c>
      <c r="I745" s="901"/>
      <c r="J745" s="902">
        <v>0</v>
      </c>
      <c r="K745" s="903" t="s">
        <v>507</v>
      </c>
      <c r="L745" s="1003">
        <f>ROUND(SUM('RES. CENTRAL PARK:RUA_FINAL'!L745),2)</f>
        <v>0</v>
      </c>
      <c r="M745" s="960">
        <f t="shared" si="249"/>
        <v>0</v>
      </c>
      <c r="N745" s="893">
        <f t="shared" si="250"/>
        <v>0</v>
      </c>
      <c r="O745" s="905"/>
      <c r="P745" s="58" t="str">
        <f>IF(N741&gt;0,"xx",IF(N741&gt;0,"xy",""))</f>
        <v/>
      </c>
      <c r="Q745" s="317" t="str">
        <f t="shared" si="251"/>
        <v/>
      </c>
      <c r="R745" s="317" t="str">
        <f t="shared" si="252"/>
        <v/>
      </c>
      <c r="S745" s="317" t="str">
        <f t="shared" si="253"/>
        <v/>
      </c>
      <c r="V745" s="314">
        <f>SUM('RES. CENTRAL PARK:RUA_FINAL'!N745)</f>
        <v>0</v>
      </c>
      <c r="W745" s="315">
        <f t="shared" si="254"/>
        <v>0</v>
      </c>
    </row>
    <row r="746" spans="1:23" ht="15" hidden="1" customHeight="1" thickBot="1" x14ac:dyDescent="0.25">
      <c r="A746" s="63">
        <v>589320</v>
      </c>
      <c r="B746" s="1004" t="s">
        <v>1695</v>
      </c>
      <c r="C746" s="984" t="s">
        <v>213</v>
      </c>
      <c r="D746" s="1012" t="s">
        <v>700</v>
      </c>
      <c r="E746" s="1005">
        <f>DMT!$D$47</f>
        <v>45</v>
      </c>
      <c r="F746" s="1006">
        <v>1</v>
      </c>
      <c r="G746" s="949">
        <f>(0.84*E746+41.45)*F746</f>
        <v>79.25</v>
      </c>
      <c r="H746" s="988">
        <v>4012.83</v>
      </c>
      <c r="I746" s="988">
        <f>IF(ISBLANK(H746),"",H746*(1+$E$9)/(1+$E$10))+G746</f>
        <v>3931.9945856583668</v>
      </c>
      <c r="J746" s="989">
        <f t="shared" si="246"/>
        <v>4721.1499999999996</v>
      </c>
      <c r="K746" s="990" t="s">
        <v>14</v>
      </c>
      <c r="L746" s="1035">
        <f>ROUND(SUM('RES. CENTRAL PARK:RUA_FINAL'!L746),2)</f>
        <v>0</v>
      </c>
      <c r="M746" s="1034">
        <f t="shared" si="249"/>
        <v>0</v>
      </c>
      <c r="N746" s="993">
        <f t="shared" si="250"/>
        <v>0</v>
      </c>
      <c r="O746" s="905"/>
      <c r="P746" s="58" t="str">
        <f>IF(N741&gt;0,"xx",IF(N741&gt;0,"xy",""))</f>
        <v/>
      </c>
      <c r="Q746" s="317" t="str">
        <f t="shared" si="251"/>
        <v/>
      </c>
      <c r="R746" s="317" t="str">
        <f t="shared" si="252"/>
        <v/>
      </c>
      <c r="S746" s="317" t="str">
        <f t="shared" si="253"/>
        <v/>
      </c>
      <c r="V746" s="314">
        <f>SUM('RES. CENTRAL PARK:RUA_FINAL'!N746)</f>
        <v>0</v>
      </c>
      <c r="W746" s="315">
        <f t="shared" si="254"/>
        <v>0</v>
      </c>
    </row>
    <row r="747" spans="1:23" ht="15" hidden="1" customHeight="1" x14ac:dyDescent="0.2">
      <c r="A747" s="63">
        <v>534300</v>
      </c>
      <c r="B747" s="999" t="s">
        <v>1762</v>
      </c>
      <c r="C747" s="1000" t="s">
        <v>184</v>
      </c>
      <c r="D747" s="973" t="s">
        <v>2210</v>
      </c>
      <c r="E747" s="974" t="s">
        <v>570</v>
      </c>
      <c r="F747" s="975">
        <v>0.18240000000000001</v>
      </c>
      <c r="G747" s="976">
        <f>SUM(G748:G751)</f>
        <v>184.42589220000002</v>
      </c>
      <c r="H747" s="977">
        <v>140.30000000000001</v>
      </c>
      <c r="I747" s="977">
        <f>IF(ISBLANK(H747),"",SUM(G747:H747))</f>
        <v>324.72589220000003</v>
      </c>
      <c r="J747" s="978">
        <f t="shared" si="246"/>
        <v>389.9</v>
      </c>
      <c r="K747" s="979" t="s">
        <v>10</v>
      </c>
      <c r="L747" s="980">
        <f>ROUND(SUM('RES. CENTRAL PARK:RUA_FINAL'!L747),2)</f>
        <v>0</v>
      </c>
      <c r="M747" s="981">
        <f t="shared" si="249"/>
        <v>0</v>
      </c>
      <c r="N747" s="982">
        <f t="shared" si="250"/>
        <v>0</v>
      </c>
      <c r="O747" s="905"/>
      <c r="Q747" s="317" t="str">
        <f t="shared" si="251"/>
        <v/>
      </c>
      <c r="R747" s="317" t="str">
        <f t="shared" si="252"/>
        <v/>
      </c>
      <c r="S747" s="317" t="str">
        <f t="shared" si="253"/>
        <v/>
      </c>
      <c r="V747" s="314">
        <f>SUM('RES. CENTRAL PARK:RUA_FINAL'!N747)</f>
        <v>0</v>
      </c>
      <c r="W747" s="315">
        <f t="shared" si="254"/>
        <v>0</v>
      </c>
    </row>
    <row r="748" spans="1:23" ht="15" hidden="1" customHeight="1" x14ac:dyDescent="0.2">
      <c r="A748" s="63" t="s">
        <v>147</v>
      </c>
      <c r="B748" s="895" t="s">
        <v>147</v>
      </c>
      <c r="C748" s="896"/>
      <c r="D748" s="957" t="s">
        <v>229</v>
      </c>
      <c r="E748" s="907">
        <f>DMT!$F$42</f>
        <v>150</v>
      </c>
      <c r="F748" s="908">
        <v>0.56969999999999998</v>
      </c>
      <c r="G748" s="912">
        <f t="shared" ref="G748:G751" si="259">IF(E748&lt;=30,(1.07*E748+2.68)*F748,((1.07*30+2.68)+1.07*(E748-30))*F748)</f>
        <v>92.963645999999997</v>
      </c>
      <c r="H748" s="901">
        <v>0</v>
      </c>
      <c r="I748" s="901"/>
      <c r="J748" s="902">
        <v>0</v>
      </c>
      <c r="K748" s="903" t="s">
        <v>507</v>
      </c>
      <c r="L748" s="1003">
        <f>ROUND(SUM('RES. CENTRAL PARK:RUA_FINAL'!L748),2)</f>
        <v>0</v>
      </c>
      <c r="M748" s="960">
        <f t="shared" si="249"/>
        <v>0</v>
      </c>
      <c r="N748" s="893">
        <f t="shared" si="250"/>
        <v>0</v>
      </c>
      <c r="O748" s="905"/>
      <c r="P748" s="58" t="str">
        <f>IF(N747&gt;0,"xx",IF(N747&gt;0,"xy",""))</f>
        <v/>
      </c>
      <c r="Q748" s="317" t="str">
        <f t="shared" si="251"/>
        <v/>
      </c>
      <c r="R748" s="317" t="str">
        <f t="shared" si="252"/>
        <v/>
      </c>
      <c r="S748" s="317" t="str">
        <f t="shared" si="253"/>
        <v/>
      </c>
      <c r="V748" s="314">
        <f>SUM('RES. CENTRAL PARK:RUA_FINAL'!N748)</f>
        <v>0</v>
      </c>
      <c r="W748" s="315">
        <f t="shared" si="254"/>
        <v>0</v>
      </c>
    </row>
    <row r="749" spans="1:23" ht="15" hidden="1" customHeight="1" x14ac:dyDescent="0.2">
      <c r="A749" s="63" t="s">
        <v>147</v>
      </c>
      <c r="B749" s="895" t="s">
        <v>147</v>
      </c>
      <c r="C749" s="896"/>
      <c r="D749" s="957" t="s">
        <v>230</v>
      </c>
      <c r="E749" s="907">
        <f>DMT!$D$46</f>
        <v>353</v>
      </c>
      <c r="F749" s="908">
        <v>8.7599999999999997E-2</v>
      </c>
      <c r="G749" s="909">
        <f>IF(E749&lt;=30,(0.78*E749+7.82)*F749,((0.78*30+7.82)+0.78*(E749-30))*F749)</f>
        <v>24.804816000000002</v>
      </c>
      <c r="H749" s="901">
        <v>0</v>
      </c>
      <c r="I749" s="901"/>
      <c r="J749" s="902">
        <v>0</v>
      </c>
      <c r="K749" s="903" t="s">
        <v>507</v>
      </c>
      <c r="L749" s="1003">
        <f>ROUND(SUM('RES. CENTRAL PARK:RUA_FINAL'!L749),2)</f>
        <v>0</v>
      </c>
      <c r="M749" s="960">
        <f t="shared" si="249"/>
        <v>0</v>
      </c>
      <c r="N749" s="893">
        <f t="shared" si="250"/>
        <v>0</v>
      </c>
      <c r="O749" s="905"/>
      <c r="P749" s="58" t="str">
        <f>IF(N747&gt;0,"xx",IF(N747&gt;0,"xy",""))</f>
        <v/>
      </c>
      <c r="Q749" s="317" t="str">
        <f t="shared" si="251"/>
        <v/>
      </c>
      <c r="R749" s="317" t="str">
        <f t="shared" si="252"/>
        <v/>
      </c>
      <c r="S749" s="317" t="str">
        <f t="shared" si="253"/>
        <v/>
      </c>
      <c r="V749" s="314">
        <f>SUM('RES. CENTRAL PARK:RUA_FINAL'!N749)</f>
        <v>0</v>
      </c>
      <c r="W749" s="315">
        <f t="shared" si="254"/>
        <v>0</v>
      </c>
    </row>
    <row r="750" spans="1:23" ht="15" hidden="1" customHeight="1" x14ac:dyDescent="0.2">
      <c r="A750" s="63" t="s">
        <v>147</v>
      </c>
      <c r="B750" s="895" t="s">
        <v>147</v>
      </c>
      <c r="C750" s="896"/>
      <c r="D750" s="957" t="s">
        <v>243</v>
      </c>
      <c r="E750" s="907">
        <f>DMT!$F$43</f>
        <v>0.2</v>
      </c>
      <c r="F750" s="908">
        <v>1.5333000000000001</v>
      </c>
      <c r="G750" s="912">
        <f t="shared" si="259"/>
        <v>4.4373702000000002</v>
      </c>
      <c r="H750" s="901">
        <v>0</v>
      </c>
      <c r="I750" s="901"/>
      <c r="J750" s="902">
        <v>0</v>
      </c>
      <c r="K750" s="903" t="s">
        <v>507</v>
      </c>
      <c r="L750" s="1003">
        <f>ROUND(SUM('RES. CENTRAL PARK:RUA_FINAL'!L750),2)</f>
        <v>0</v>
      </c>
      <c r="M750" s="960">
        <f t="shared" si="249"/>
        <v>0</v>
      </c>
      <c r="N750" s="893">
        <f t="shared" si="250"/>
        <v>0</v>
      </c>
      <c r="O750" s="905"/>
      <c r="P750" s="58" t="str">
        <f>IF(N747&gt;0,"xx",IF(N747&gt;0,"xy",""))</f>
        <v/>
      </c>
      <c r="Q750" s="317" t="str">
        <f t="shared" si="251"/>
        <v/>
      </c>
      <c r="R750" s="317" t="str">
        <f t="shared" si="252"/>
        <v/>
      </c>
      <c r="S750" s="317" t="str">
        <f t="shared" si="253"/>
        <v/>
      </c>
      <c r="V750" s="314">
        <f>SUM('RES. CENTRAL PARK:RUA_FINAL'!N750)</f>
        <v>0</v>
      </c>
      <c r="W750" s="315">
        <f t="shared" si="254"/>
        <v>0</v>
      </c>
    </row>
    <row r="751" spans="1:23" ht="15" hidden="1" customHeight="1" x14ac:dyDescent="0.2">
      <c r="A751" s="63" t="s">
        <v>147</v>
      </c>
      <c r="B751" s="895" t="s">
        <v>147</v>
      </c>
      <c r="C751" s="896"/>
      <c r="D751" s="957" t="s">
        <v>244</v>
      </c>
      <c r="E751" s="907">
        <f>DMT!$F$28</f>
        <v>22</v>
      </c>
      <c r="F751" s="908">
        <f>SUM(F747:F750)</f>
        <v>2.3730000000000002</v>
      </c>
      <c r="G751" s="912">
        <f t="shared" si="259"/>
        <v>62.220060000000011</v>
      </c>
      <c r="H751" s="901">
        <v>0</v>
      </c>
      <c r="I751" s="901"/>
      <c r="J751" s="902">
        <v>0</v>
      </c>
      <c r="K751" s="903" t="s">
        <v>507</v>
      </c>
      <c r="L751" s="1003">
        <f>ROUND(SUM('RES. CENTRAL PARK:RUA_FINAL'!L751),2)</f>
        <v>0</v>
      </c>
      <c r="M751" s="960">
        <f t="shared" si="249"/>
        <v>0</v>
      </c>
      <c r="N751" s="893">
        <f t="shared" si="250"/>
        <v>0</v>
      </c>
      <c r="O751" s="905"/>
      <c r="P751" s="58" t="str">
        <f>IF(N747&gt;0,"xx",IF(N747&gt;0,"xy",""))</f>
        <v/>
      </c>
      <c r="Q751" s="317" t="str">
        <f t="shared" si="251"/>
        <v/>
      </c>
      <c r="R751" s="317" t="str">
        <f t="shared" si="252"/>
        <v/>
      </c>
      <c r="S751" s="317" t="str">
        <f t="shared" si="253"/>
        <v/>
      </c>
      <c r="V751" s="314">
        <f>SUM('RES. CENTRAL PARK:RUA_FINAL'!N751)</f>
        <v>0</v>
      </c>
      <c r="W751" s="315">
        <f t="shared" si="254"/>
        <v>0</v>
      </c>
    </row>
    <row r="752" spans="1:23" ht="15" hidden="1" customHeight="1" thickBot="1" x14ac:dyDescent="0.25">
      <c r="A752" s="63">
        <v>589320</v>
      </c>
      <c r="B752" s="1004" t="s">
        <v>1696</v>
      </c>
      <c r="C752" s="984" t="s">
        <v>213</v>
      </c>
      <c r="D752" s="1012" t="s">
        <v>1682</v>
      </c>
      <c r="E752" s="1005">
        <f>DMT!$D$47</f>
        <v>45</v>
      </c>
      <c r="F752" s="1006">
        <v>1</v>
      </c>
      <c r="G752" s="949">
        <f>(0.84*E752+41.45)*F752</f>
        <v>79.25</v>
      </c>
      <c r="H752" s="988">
        <v>4012.83</v>
      </c>
      <c r="I752" s="988">
        <f>IF(ISBLANK(H752),"",H752*(1+$E$9)/(1+$E$10))+G752</f>
        <v>3931.9945856583668</v>
      </c>
      <c r="J752" s="989">
        <f t="shared" si="246"/>
        <v>4721.1499999999996</v>
      </c>
      <c r="K752" s="990" t="s">
        <v>14</v>
      </c>
      <c r="L752" s="1035">
        <f>ROUND(SUM('RES. CENTRAL PARK:RUA_FINAL'!L752),2)</f>
        <v>0</v>
      </c>
      <c r="M752" s="1034">
        <f t="shared" si="249"/>
        <v>0</v>
      </c>
      <c r="N752" s="993">
        <f t="shared" si="250"/>
        <v>0</v>
      </c>
      <c r="O752" s="905"/>
      <c r="P752" s="58" t="str">
        <f>IF(N747&gt;0,"xx",IF(N747&gt;0,"xy",""))</f>
        <v/>
      </c>
      <c r="Q752" s="317" t="str">
        <f t="shared" si="251"/>
        <v/>
      </c>
      <c r="R752" s="317" t="str">
        <f t="shared" si="252"/>
        <v/>
      </c>
      <c r="S752" s="317" t="str">
        <f t="shared" si="253"/>
        <v/>
      </c>
      <c r="V752" s="314">
        <f>SUM('RES. CENTRAL PARK:RUA_FINAL'!N752)</f>
        <v>0</v>
      </c>
      <c r="W752" s="315">
        <f t="shared" si="254"/>
        <v>0</v>
      </c>
    </row>
    <row r="753" spans="1:23" ht="15" hidden="1" customHeight="1" x14ac:dyDescent="0.2">
      <c r="A753" s="63">
        <v>570300</v>
      </c>
      <c r="B753" s="999" t="s">
        <v>1763</v>
      </c>
      <c r="C753" s="1000" t="s">
        <v>184</v>
      </c>
      <c r="D753" s="1019" t="s">
        <v>769</v>
      </c>
      <c r="E753" s="974" t="s">
        <v>569</v>
      </c>
      <c r="F753" s="975">
        <v>0.04</v>
      </c>
      <c r="G753" s="976">
        <f>SUM(G754:G757)</f>
        <v>36.972230000000003</v>
      </c>
      <c r="H753" s="977">
        <v>178.78</v>
      </c>
      <c r="I753" s="977">
        <f>IF(ISBLANK(H753),"",SUM(G753:H753))</f>
        <v>215.75223</v>
      </c>
      <c r="J753" s="978">
        <f t="shared" si="246"/>
        <v>259.05</v>
      </c>
      <c r="K753" s="979" t="s">
        <v>14</v>
      </c>
      <c r="L753" s="980">
        <f>ROUND(SUM('RES. CENTRAL PARK:RUA_FINAL'!L753),2)</f>
        <v>0</v>
      </c>
      <c r="M753" s="981">
        <f t="shared" si="249"/>
        <v>0</v>
      </c>
      <c r="N753" s="982">
        <f t="shared" si="250"/>
        <v>0</v>
      </c>
      <c r="O753" s="905"/>
      <c r="Q753" s="317" t="str">
        <f t="shared" si="251"/>
        <v/>
      </c>
      <c r="R753" s="317" t="str">
        <f t="shared" si="252"/>
        <v/>
      </c>
      <c r="S753" s="317" t="str">
        <f t="shared" si="253"/>
        <v/>
      </c>
      <c r="V753" s="314">
        <f>SUM('RES. CENTRAL PARK:RUA_FINAL'!N753)</f>
        <v>0</v>
      </c>
      <c r="W753" s="315">
        <f t="shared" si="254"/>
        <v>0</v>
      </c>
    </row>
    <row r="754" spans="1:23" ht="15" hidden="1" customHeight="1" x14ac:dyDescent="0.2">
      <c r="A754" s="63" t="s">
        <v>147</v>
      </c>
      <c r="B754" s="895" t="s">
        <v>147</v>
      </c>
      <c r="C754" s="896"/>
      <c r="D754" s="957" t="s">
        <v>229</v>
      </c>
      <c r="E754" s="907">
        <f>DMT!$F$42</f>
        <v>150</v>
      </c>
      <c r="F754" s="908">
        <v>0</v>
      </c>
      <c r="G754" s="949"/>
      <c r="H754" s="901">
        <v>0</v>
      </c>
      <c r="I754" s="901"/>
      <c r="J754" s="902">
        <v>0</v>
      </c>
      <c r="K754" s="903" t="s">
        <v>507</v>
      </c>
      <c r="L754" s="1003">
        <f>ROUND(SUM('RES. CENTRAL PARK:RUA_FINAL'!L754),2)</f>
        <v>0</v>
      </c>
      <c r="M754" s="960">
        <f t="shared" si="249"/>
        <v>0</v>
      </c>
      <c r="N754" s="893">
        <f t="shared" si="250"/>
        <v>0</v>
      </c>
      <c r="O754" s="905"/>
      <c r="P754" s="58" t="str">
        <f>IF(N753&gt;0,"xx",IF(N753&gt;0,"xy",""))</f>
        <v/>
      </c>
      <c r="Q754" s="317" t="str">
        <f t="shared" si="251"/>
        <v/>
      </c>
      <c r="R754" s="317" t="str">
        <f t="shared" si="252"/>
        <v/>
      </c>
      <c r="S754" s="317" t="str">
        <f t="shared" si="253"/>
        <v/>
      </c>
      <c r="V754" s="314">
        <f>SUM('RES. CENTRAL PARK:RUA_FINAL'!N754)</f>
        <v>0</v>
      </c>
      <c r="W754" s="315">
        <f t="shared" si="254"/>
        <v>0</v>
      </c>
    </row>
    <row r="755" spans="1:23" ht="15" hidden="1" customHeight="1" x14ac:dyDescent="0.2">
      <c r="A755" s="63" t="s">
        <v>147</v>
      </c>
      <c r="B755" s="895" t="s">
        <v>147</v>
      </c>
      <c r="C755" s="896"/>
      <c r="D755" s="957" t="s">
        <v>230</v>
      </c>
      <c r="E755" s="907">
        <f>DMT!$D$46</f>
        <v>353</v>
      </c>
      <c r="F755" s="908">
        <v>1.4999999999999999E-2</v>
      </c>
      <c r="G755" s="909">
        <f>IF(E755&lt;=30,(0.78*E755+7.82)*F755,((0.78*30+7.82)+0.78*(E755-30))*F755)</f>
        <v>4.2473999999999998</v>
      </c>
      <c r="H755" s="901">
        <v>0</v>
      </c>
      <c r="I755" s="901"/>
      <c r="J755" s="902">
        <v>0</v>
      </c>
      <c r="K755" s="903" t="s">
        <v>507</v>
      </c>
      <c r="L755" s="1003">
        <f>ROUND(SUM('RES. CENTRAL PARK:RUA_FINAL'!L755),2)</f>
        <v>0</v>
      </c>
      <c r="M755" s="960">
        <f t="shared" si="249"/>
        <v>0</v>
      </c>
      <c r="N755" s="893">
        <f t="shared" si="250"/>
        <v>0</v>
      </c>
      <c r="O755" s="905"/>
      <c r="P755" s="58" t="str">
        <f>IF(N753&gt;0,"xx",IF(N753&gt;0,"xy",""))</f>
        <v/>
      </c>
      <c r="Q755" s="317" t="str">
        <f t="shared" si="251"/>
        <v/>
      </c>
      <c r="R755" s="317" t="str">
        <f t="shared" si="252"/>
        <v/>
      </c>
      <c r="S755" s="317" t="str">
        <f t="shared" si="253"/>
        <v/>
      </c>
      <c r="V755" s="314">
        <f>SUM('RES. CENTRAL PARK:RUA_FINAL'!N755)</f>
        <v>0</v>
      </c>
      <c r="W755" s="315">
        <f t="shared" si="254"/>
        <v>0</v>
      </c>
    </row>
    <row r="756" spans="1:23" ht="15" hidden="1" customHeight="1" x14ac:dyDescent="0.2">
      <c r="A756" s="63" t="s">
        <v>147</v>
      </c>
      <c r="B756" s="895" t="s">
        <v>147</v>
      </c>
      <c r="C756" s="896"/>
      <c r="D756" s="957" t="s">
        <v>243</v>
      </c>
      <c r="E756" s="907">
        <f>DMT!$F$43</f>
        <v>0.2</v>
      </c>
      <c r="F756" s="908">
        <v>0.94499999999999995</v>
      </c>
      <c r="G756" s="949">
        <f t="shared" ref="G756" si="260">IF(E756&lt;=30,(1.07*E756+2.68)*F756,((1.07*30+2.68)+1.07*(E756-30))*F756)</f>
        <v>2.7348300000000001</v>
      </c>
      <c r="H756" s="901">
        <v>0</v>
      </c>
      <c r="I756" s="901"/>
      <c r="J756" s="902">
        <v>0</v>
      </c>
      <c r="K756" s="903" t="s">
        <v>507</v>
      </c>
      <c r="L756" s="1003">
        <f>ROUND(SUM('RES. CENTRAL PARK:RUA_FINAL'!L756),2)</f>
        <v>0</v>
      </c>
      <c r="M756" s="960">
        <f t="shared" si="249"/>
        <v>0</v>
      </c>
      <c r="N756" s="893">
        <f t="shared" si="250"/>
        <v>0</v>
      </c>
      <c r="O756" s="905"/>
      <c r="P756" s="58" t="str">
        <f>IF(N753&gt;0,"xx",IF(N753&gt;0,"xy",""))</f>
        <v/>
      </c>
      <c r="Q756" s="317" t="str">
        <f t="shared" si="251"/>
        <v/>
      </c>
      <c r="R756" s="317" t="str">
        <f t="shared" si="252"/>
        <v/>
      </c>
      <c r="S756" s="317" t="str">
        <f t="shared" si="253"/>
        <v/>
      </c>
      <c r="V756" s="314">
        <f>SUM('RES. CENTRAL PARK:RUA_FINAL'!N756)</f>
        <v>0</v>
      </c>
      <c r="W756" s="315">
        <f t="shared" si="254"/>
        <v>0</v>
      </c>
    </row>
    <row r="757" spans="1:23" ht="15" hidden="1" customHeight="1" x14ac:dyDescent="0.2">
      <c r="A757" s="63" t="s">
        <v>147</v>
      </c>
      <c r="B757" s="895" t="s">
        <v>147</v>
      </c>
      <c r="C757" s="896"/>
      <c r="D757" s="957" t="s">
        <v>244</v>
      </c>
      <c r="E757" s="907">
        <f>DMT!$F$28</f>
        <v>22</v>
      </c>
      <c r="F757" s="908">
        <v>1</v>
      </c>
      <c r="G757" s="912">
        <f>IF(E757&lt;=30,(1.07*E757+6.45)*F757,((1.07*30+6.45)+1.07*(E757-30))*F757)</f>
        <v>29.990000000000002</v>
      </c>
      <c r="H757" s="901">
        <v>0</v>
      </c>
      <c r="I757" s="901"/>
      <c r="J757" s="902">
        <v>0</v>
      </c>
      <c r="K757" s="903" t="s">
        <v>507</v>
      </c>
      <c r="L757" s="1003">
        <f>ROUND(SUM('RES. CENTRAL PARK:RUA_FINAL'!L757),2)</f>
        <v>0</v>
      </c>
      <c r="M757" s="960">
        <f t="shared" si="249"/>
        <v>0</v>
      </c>
      <c r="N757" s="893">
        <f t="shared" si="250"/>
        <v>0</v>
      </c>
      <c r="O757" s="905"/>
      <c r="P757" s="58" t="str">
        <f>IF(N753&gt;0,"xx",IF(N753&gt;0,"xy",""))</f>
        <v/>
      </c>
      <c r="Q757" s="317" t="str">
        <f t="shared" si="251"/>
        <v/>
      </c>
      <c r="R757" s="317" t="str">
        <f t="shared" si="252"/>
        <v/>
      </c>
      <c r="S757" s="317" t="str">
        <f t="shared" si="253"/>
        <v/>
      </c>
      <c r="V757" s="314">
        <f>SUM('RES. CENTRAL PARK:RUA_FINAL'!N757)</f>
        <v>0</v>
      </c>
      <c r="W757" s="315">
        <f t="shared" si="254"/>
        <v>0</v>
      </c>
    </row>
    <row r="758" spans="1:23" ht="15" hidden="1" customHeight="1" thickBot="1" x14ac:dyDescent="0.25">
      <c r="A758" s="63">
        <v>589000</v>
      </c>
      <c r="B758" s="1009" t="s">
        <v>726</v>
      </c>
      <c r="C758" s="860" t="s">
        <v>213</v>
      </c>
      <c r="D758" s="1012" t="s">
        <v>565</v>
      </c>
      <c r="E758" s="1020">
        <f>DMT!$D$45</f>
        <v>45</v>
      </c>
      <c r="F758" s="1006">
        <v>1</v>
      </c>
      <c r="G758" s="949">
        <f>(0.94*E758+46.06)*F758</f>
        <v>88.36</v>
      </c>
      <c r="H758" s="988">
        <v>4828.8599999999997</v>
      </c>
      <c r="I758" s="988">
        <f>IF(ISBLANK(H758),"",H758*(1+$E$9)/(1+$E$10))+G758</f>
        <v>4724.580378112767</v>
      </c>
      <c r="J758" s="1011">
        <f t="shared" si="246"/>
        <v>5672.8</v>
      </c>
      <c r="K758" s="867" t="s">
        <v>14</v>
      </c>
      <c r="L758" s="1035">
        <f>ROUND(SUM('RES. CENTRAL PARK:RUA_FINAL'!L758),2)</f>
        <v>0</v>
      </c>
      <c r="M758" s="1034">
        <f t="shared" si="249"/>
        <v>0</v>
      </c>
      <c r="N758" s="993">
        <f t="shared" si="250"/>
        <v>0</v>
      </c>
      <c r="O758" s="905"/>
      <c r="P758" s="58" t="str">
        <f>IF(N753&gt;0,"xx",IF(N753&gt;0,"xy",""))</f>
        <v/>
      </c>
      <c r="Q758" s="317" t="str">
        <f t="shared" si="251"/>
        <v/>
      </c>
      <c r="R758" s="317" t="str">
        <f t="shared" si="252"/>
        <v/>
      </c>
      <c r="S758" s="317" t="str">
        <f t="shared" si="253"/>
        <v/>
      </c>
      <c r="V758" s="314">
        <f>SUM('RES. CENTRAL PARK:RUA_FINAL'!N758)</f>
        <v>0</v>
      </c>
      <c r="W758" s="315">
        <f t="shared" si="254"/>
        <v>0</v>
      </c>
    </row>
    <row r="759" spans="1:23" ht="15" hidden="1" customHeight="1" x14ac:dyDescent="0.2">
      <c r="A759" s="63">
        <v>570310</v>
      </c>
      <c r="B759" s="999" t="s">
        <v>1650</v>
      </c>
      <c r="C759" s="1000" t="s">
        <v>184</v>
      </c>
      <c r="D759" s="1019" t="s">
        <v>770</v>
      </c>
      <c r="E759" s="974" t="s">
        <v>569</v>
      </c>
      <c r="F759" s="975">
        <v>0.04</v>
      </c>
      <c r="G759" s="976">
        <f>SUM(G760:G763)</f>
        <v>36.972230000000003</v>
      </c>
      <c r="H759" s="977">
        <v>158.85</v>
      </c>
      <c r="I759" s="977">
        <f>IF(ISBLANK(H759),"",SUM(G759:H759))</f>
        <v>195.82222999999999</v>
      </c>
      <c r="J759" s="978">
        <f t="shared" si="246"/>
        <v>235.12</v>
      </c>
      <c r="K759" s="979" t="s">
        <v>14</v>
      </c>
      <c r="L759" s="980">
        <f>ROUND(SUM('RES. CENTRAL PARK:RUA_FINAL'!L759),2)</f>
        <v>0</v>
      </c>
      <c r="M759" s="981">
        <f t="shared" si="249"/>
        <v>0</v>
      </c>
      <c r="N759" s="982">
        <f t="shared" si="250"/>
        <v>0</v>
      </c>
      <c r="O759" s="905"/>
      <c r="Q759" s="317" t="str">
        <f t="shared" si="251"/>
        <v/>
      </c>
      <c r="R759" s="317" t="str">
        <f t="shared" si="252"/>
        <v/>
      </c>
      <c r="S759" s="317" t="str">
        <f t="shared" si="253"/>
        <v/>
      </c>
      <c r="V759" s="314">
        <f>SUM('RES. CENTRAL PARK:RUA_FINAL'!N759)</f>
        <v>0</v>
      </c>
      <c r="W759" s="315">
        <f t="shared" si="254"/>
        <v>0</v>
      </c>
    </row>
    <row r="760" spans="1:23" ht="15" hidden="1" customHeight="1" x14ac:dyDescent="0.2">
      <c r="A760" s="63" t="s">
        <v>147</v>
      </c>
      <c r="B760" s="895" t="s">
        <v>147</v>
      </c>
      <c r="C760" s="896"/>
      <c r="D760" s="957" t="s">
        <v>229</v>
      </c>
      <c r="E760" s="907">
        <f>DMT!$F$42</f>
        <v>150</v>
      </c>
      <c r="F760" s="908">
        <v>0</v>
      </c>
      <c r="G760" s="949"/>
      <c r="H760" s="901">
        <v>0</v>
      </c>
      <c r="I760" s="901"/>
      <c r="J760" s="902">
        <v>0</v>
      </c>
      <c r="K760" s="903" t="s">
        <v>507</v>
      </c>
      <c r="L760" s="1003">
        <f>ROUND(SUM('RES. CENTRAL PARK:RUA_FINAL'!L760),2)</f>
        <v>0</v>
      </c>
      <c r="M760" s="960">
        <f t="shared" si="249"/>
        <v>0</v>
      </c>
      <c r="N760" s="893">
        <f t="shared" si="250"/>
        <v>0</v>
      </c>
      <c r="O760" s="905"/>
      <c r="P760" s="58" t="str">
        <f>IF(N759&gt;0,"xx",IF(N759&gt;0,"xy",""))</f>
        <v/>
      </c>
      <c r="Q760" s="317" t="str">
        <f t="shared" si="251"/>
        <v/>
      </c>
      <c r="R760" s="317" t="str">
        <f t="shared" si="252"/>
        <v/>
      </c>
      <c r="S760" s="317" t="str">
        <f t="shared" si="253"/>
        <v/>
      </c>
      <c r="V760" s="314">
        <f>SUM('RES. CENTRAL PARK:RUA_FINAL'!N760)</f>
        <v>0</v>
      </c>
      <c r="W760" s="315">
        <f t="shared" si="254"/>
        <v>0</v>
      </c>
    </row>
    <row r="761" spans="1:23" ht="15" hidden="1" customHeight="1" x14ac:dyDescent="0.2">
      <c r="A761" s="63" t="s">
        <v>147</v>
      </c>
      <c r="B761" s="895" t="s">
        <v>147</v>
      </c>
      <c r="C761" s="896"/>
      <c r="D761" s="957" t="s">
        <v>230</v>
      </c>
      <c r="E761" s="907">
        <f>DMT!$D$46</f>
        <v>353</v>
      </c>
      <c r="F761" s="908">
        <v>1.4999999999999999E-2</v>
      </c>
      <c r="G761" s="909">
        <f>IF(E761&lt;=30,(0.78*E761+7.82)*F761,((0.78*30+7.82)+0.78*(E761-30))*F761)</f>
        <v>4.2473999999999998</v>
      </c>
      <c r="H761" s="901">
        <v>0</v>
      </c>
      <c r="I761" s="901"/>
      <c r="J761" s="902">
        <v>0</v>
      </c>
      <c r="K761" s="903" t="s">
        <v>507</v>
      </c>
      <c r="L761" s="1003">
        <f>ROUND(SUM('RES. CENTRAL PARK:RUA_FINAL'!L761),2)</f>
        <v>0</v>
      </c>
      <c r="M761" s="960">
        <f t="shared" si="249"/>
        <v>0</v>
      </c>
      <c r="N761" s="893">
        <f t="shared" si="250"/>
        <v>0</v>
      </c>
      <c r="O761" s="905"/>
      <c r="P761" s="58" t="str">
        <f>IF(N759&gt;0,"xx",IF(N759&gt;0,"xy",""))</f>
        <v/>
      </c>
      <c r="Q761" s="317" t="str">
        <f t="shared" si="251"/>
        <v/>
      </c>
      <c r="R761" s="317" t="str">
        <f t="shared" si="252"/>
        <v/>
      </c>
      <c r="S761" s="317" t="str">
        <f t="shared" si="253"/>
        <v/>
      </c>
      <c r="V761" s="314">
        <f>SUM('RES. CENTRAL PARK:RUA_FINAL'!N761)</f>
        <v>0</v>
      </c>
      <c r="W761" s="315">
        <f t="shared" si="254"/>
        <v>0</v>
      </c>
    </row>
    <row r="762" spans="1:23" ht="15" hidden="1" customHeight="1" x14ac:dyDescent="0.2">
      <c r="A762" s="63" t="s">
        <v>147</v>
      </c>
      <c r="B762" s="895" t="s">
        <v>147</v>
      </c>
      <c r="C762" s="896"/>
      <c r="D762" s="957" t="s">
        <v>243</v>
      </c>
      <c r="E762" s="907">
        <f>DMT!$F$43</f>
        <v>0.2</v>
      </c>
      <c r="F762" s="908">
        <v>0.94499999999999995</v>
      </c>
      <c r="G762" s="949">
        <f t="shared" ref="G762" si="261">IF(E762&lt;=30,(1.07*E762+2.68)*F762,((1.07*30+2.68)+1.07*(E762-30))*F762)</f>
        <v>2.7348300000000001</v>
      </c>
      <c r="H762" s="901">
        <v>0</v>
      </c>
      <c r="I762" s="901"/>
      <c r="J762" s="902">
        <v>0</v>
      </c>
      <c r="K762" s="903" t="s">
        <v>507</v>
      </c>
      <c r="L762" s="1003">
        <f>ROUND(SUM('RES. CENTRAL PARK:RUA_FINAL'!L762),2)</f>
        <v>0</v>
      </c>
      <c r="M762" s="960">
        <f t="shared" si="249"/>
        <v>0</v>
      </c>
      <c r="N762" s="893">
        <f t="shared" si="250"/>
        <v>0</v>
      </c>
      <c r="O762" s="905"/>
      <c r="P762" s="58" t="str">
        <f>IF(N759&gt;0,"xx",IF(N759&gt;0,"xy",""))</f>
        <v/>
      </c>
      <c r="Q762" s="317" t="str">
        <f t="shared" si="251"/>
        <v/>
      </c>
      <c r="R762" s="317" t="str">
        <f t="shared" si="252"/>
        <v/>
      </c>
      <c r="S762" s="317" t="str">
        <f t="shared" si="253"/>
        <v/>
      </c>
      <c r="V762" s="314">
        <f>SUM('RES. CENTRAL PARK:RUA_FINAL'!N762)</f>
        <v>0</v>
      </c>
      <c r="W762" s="315">
        <f t="shared" si="254"/>
        <v>0</v>
      </c>
    </row>
    <row r="763" spans="1:23" ht="15" hidden="1" customHeight="1" x14ac:dyDescent="0.2">
      <c r="A763" s="63" t="s">
        <v>147</v>
      </c>
      <c r="B763" s="895" t="s">
        <v>147</v>
      </c>
      <c r="C763" s="896"/>
      <c r="D763" s="957" t="s">
        <v>244</v>
      </c>
      <c r="E763" s="907">
        <f>DMT!$F$28</f>
        <v>22</v>
      </c>
      <c r="F763" s="908">
        <f>SUM(F759:F762)</f>
        <v>1</v>
      </c>
      <c r="G763" s="912">
        <f>IF(E763&lt;=30,(1.07*E763+6.45)*F763,((1.07*30+6.45)+1.07*(E763-30))*F763)</f>
        <v>29.990000000000002</v>
      </c>
      <c r="H763" s="901">
        <v>0</v>
      </c>
      <c r="I763" s="901"/>
      <c r="J763" s="902">
        <v>0</v>
      </c>
      <c r="K763" s="903" t="s">
        <v>507</v>
      </c>
      <c r="L763" s="1003">
        <f>ROUND(SUM('RES. CENTRAL PARK:RUA_FINAL'!L763),2)</f>
        <v>0</v>
      </c>
      <c r="M763" s="960">
        <f t="shared" si="249"/>
        <v>0</v>
      </c>
      <c r="N763" s="893">
        <f t="shared" si="250"/>
        <v>0</v>
      </c>
      <c r="O763" s="905"/>
      <c r="P763" s="58" t="str">
        <f>IF(N759&gt;0,"xx",IF(N759&gt;0,"xy",""))</f>
        <v/>
      </c>
      <c r="Q763" s="317" t="str">
        <f t="shared" si="251"/>
        <v/>
      </c>
      <c r="R763" s="317" t="str">
        <f t="shared" si="252"/>
        <v/>
      </c>
      <c r="S763" s="317" t="str">
        <f t="shared" si="253"/>
        <v/>
      </c>
      <c r="V763" s="314">
        <f>SUM('RES. CENTRAL PARK:RUA_FINAL'!N763)</f>
        <v>0</v>
      </c>
      <c r="W763" s="315">
        <f t="shared" si="254"/>
        <v>0</v>
      </c>
    </row>
    <row r="764" spans="1:23" ht="15" hidden="1" customHeight="1" thickBot="1" x14ac:dyDescent="0.25">
      <c r="A764" s="63">
        <v>589000</v>
      </c>
      <c r="B764" s="1004" t="s">
        <v>1679</v>
      </c>
      <c r="C764" s="984" t="s">
        <v>213</v>
      </c>
      <c r="D764" s="1012" t="s">
        <v>566</v>
      </c>
      <c r="E764" s="1020">
        <f>DMT!$D$45</f>
        <v>45</v>
      </c>
      <c r="F764" s="1006">
        <v>1</v>
      </c>
      <c r="G764" s="949">
        <f>(0.94*E764+46.06)*F764</f>
        <v>88.36</v>
      </c>
      <c r="H764" s="988">
        <v>4828.8599999999997</v>
      </c>
      <c r="I764" s="988">
        <f>IF(ISBLANK(H764),"",H764*(1+$E$9)/(1+$E$10))+G764</f>
        <v>4724.580378112767</v>
      </c>
      <c r="J764" s="989">
        <f t="shared" si="246"/>
        <v>5672.8</v>
      </c>
      <c r="K764" s="990" t="s">
        <v>14</v>
      </c>
      <c r="L764" s="1035">
        <f>ROUND(SUM('RES. CENTRAL PARK:RUA_FINAL'!L764),2)</f>
        <v>0</v>
      </c>
      <c r="M764" s="1034">
        <f t="shared" si="249"/>
        <v>0</v>
      </c>
      <c r="N764" s="993">
        <f t="shared" si="250"/>
        <v>0</v>
      </c>
      <c r="O764" s="905"/>
      <c r="P764" s="58" t="str">
        <f>IF(N759&gt;0,"xx",IF(N759&gt;0,"xy",""))</f>
        <v/>
      </c>
      <c r="Q764" s="317" t="str">
        <f t="shared" si="251"/>
        <v/>
      </c>
      <c r="R764" s="317" t="str">
        <f t="shared" si="252"/>
        <v/>
      </c>
      <c r="S764" s="317" t="str">
        <f t="shared" si="253"/>
        <v/>
      </c>
      <c r="V764" s="314">
        <f>SUM('RES. CENTRAL PARK:RUA_FINAL'!N764)</f>
        <v>0</v>
      </c>
      <c r="W764" s="315">
        <f t="shared" si="254"/>
        <v>0</v>
      </c>
    </row>
    <row r="765" spans="1:23" ht="15" hidden="1" customHeight="1" x14ac:dyDescent="0.2">
      <c r="A765" s="63">
        <v>570000</v>
      </c>
      <c r="B765" s="999" t="s">
        <v>1765</v>
      </c>
      <c r="C765" s="1000" t="s">
        <v>184</v>
      </c>
      <c r="D765" s="973" t="s">
        <v>2174</v>
      </c>
      <c r="E765" s="974" t="s">
        <v>569</v>
      </c>
      <c r="F765" s="975">
        <v>5.7000000000000002E-2</v>
      </c>
      <c r="G765" s="976">
        <f>SUM(G766:G769)</f>
        <v>52.951632000000004</v>
      </c>
      <c r="H765" s="977">
        <v>187.41</v>
      </c>
      <c r="I765" s="977">
        <f>IF(ISBLANK(H765),"",SUM(G765:H765))</f>
        <v>240.36163199999999</v>
      </c>
      <c r="J765" s="978">
        <f t="shared" si="246"/>
        <v>288.60000000000002</v>
      </c>
      <c r="K765" s="979" t="s">
        <v>14</v>
      </c>
      <c r="L765" s="980">
        <f>ROUND(SUM('RES. CENTRAL PARK:RUA_FINAL'!L765),2)</f>
        <v>0</v>
      </c>
      <c r="M765" s="981">
        <f t="shared" si="249"/>
        <v>0</v>
      </c>
      <c r="N765" s="982">
        <f t="shared" si="250"/>
        <v>0</v>
      </c>
      <c r="O765" s="905"/>
      <c r="Q765" s="317" t="str">
        <f t="shared" si="251"/>
        <v/>
      </c>
      <c r="R765" s="317" t="str">
        <f t="shared" si="252"/>
        <v/>
      </c>
      <c r="S765" s="317" t="str">
        <f t="shared" si="253"/>
        <v/>
      </c>
      <c r="V765" s="314">
        <f>SUM('RES. CENTRAL PARK:RUA_FINAL'!N765)</f>
        <v>0</v>
      </c>
      <c r="W765" s="315">
        <f t="shared" si="254"/>
        <v>0</v>
      </c>
    </row>
    <row r="766" spans="1:23" ht="15" hidden="1" customHeight="1" x14ac:dyDescent="0.2">
      <c r="A766" s="63" t="s">
        <v>147</v>
      </c>
      <c r="B766" s="895" t="s">
        <v>147</v>
      </c>
      <c r="C766" s="896"/>
      <c r="D766" s="957" t="s">
        <v>229</v>
      </c>
      <c r="E766" s="907">
        <f>DMT!$F$42</f>
        <v>150</v>
      </c>
      <c r="F766" s="908">
        <v>0.1</v>
      </c>
      <c r="G766" s="949">
        <f t="shared" ref="G766:G768" si="262">IF(E766&lt;=30,(1.07*E766+2.68)*F766,((1.07*30+2.68)+1.07*(E766-30))*F766)</f>
        <v>16.318000000000001</v>
      </c>
      <c r="H766" s="901">
        <v>0</v>
      </c>
      <c r="I766" s="901"/>
      <c r="J766" s="902">
        <v>0</v>
      </c>
      <c r="K766" s="903" t="s">
        <v>507</v>
      </c>
      <c r="L766" s="1003">
        <f>ROUND(SUM('RES. CENTRAL PARK:RUA_FINAL'!L766),2)</f>
        <v>0</v>
      </c>
      <c r="M766" s="960">
        <f t="shared" si="249"/>
        <v>0</v>
      </c>
      <c r="N766" s="893">
        <f t="shared" si="250"/>
        <v>0</v>
      </c>
      <c r="O766" s="905"/>
      <c r="P766" s="58" t="str">
        <f>IF(N765&gt;0,"xx",IF(N765&gt;0,"xy",""))</f>
        <v/>
      </c>
      <c r="Q766" s="317" t="str">
        <f t="shared" si="251"/>
        <v/>
      </c>
      <c r="R766" s="317" t="str">
        <f t="shared" si="252"/>
        <v/>
      </c>
      <c r="S766" s="317" t="str">
        <f t="shared" si="253"/>
        <v/>
      </c>
      <c r="V766" s="314">
        <f>SUM('RES. CENTRAL PARK:RUA_FINAL'!N766)</f>
        <v>0</v>
      </c>
      <c r="W766" s="315">
        <f t="shared" si="254"/>
        <v>0</v>
      </c>
    </row>
    <row r="767" spans="1:23" ht="15" hidden="1" customHeight="1" x14ac:dyDescent="0.2">
      <c r="A767" s="63" t="s">
        <v>147</v>
      </c>
      <c r="B767" s="895" t="s">
        <v>147</v>
      </c>
      <c r="C767" s="896"/>
      <c r="D767" s="957" t="s">
        <v>230</v>
      </c>
      <c r="E767" s="907">
        <f>DMT!$D$46</f>
        <v>353</v>
      </c>
      <c r="F767" s="908">
        <v>1.4999999999999999E-2</v>
      </c>
      <c r="G767" s="909">
        <f>IF(E767&lt;=30,(0.78*E767+7.82)*F767,((0.78*30+7.82)+0.78*(E767-30))*F767)</f>
        <v>4.2473999999999998</v>
      </c>
      <c r="H767" s="901">
        <v>0</v>
      </c>
      <c r="I767" s="901"/>
      <c r="J767" s="902">
        <v>0</v>
      </c>
      <c r="K767" s="903" t="s">
        <v>507</v>
      </c>
      <c r="L767" s="1003">
        <f>ROUND(SUM('RES. CENTRAL PARK:RUA_FINAL'!L767),2)</f>
        <v>0</v>
      </c>
      <c r="M767" s="960">
        <f t="shared" si="249"/>
        <v>0</v>
      </c>
      <c r="N767" s="893">
        <f t="shared" si="250"/>
        <v>0</v>
      </c>
      <c r="O767" s="905"/>
      <c r="P767" s="58" t="str">
        <f>IF(N765&gt;0,"xx",IF(N765&gt;0,"xy",""))</f>
        <v/>
      </c>
      <c r="Q767" s="317" t="str">
        <f t="shared" si="251"/>
        <v/>
      </c>
      <c r="R767" s="317" t="str">
        <f t="shared" si="252"/>
        <v/>
      </c>
      <c r="S767" s="317" t="str">
        <f t="shared" si="253"/>
        <v/>
      </c>
      <c r="V767" s="314">
        <f>SUM('RES. CENTRAL PARK:RUA_FINAL'!N767)</f>
        <v>0</v>
      </c>
      <c r="W767" s="315">
        <f t="shared" si="254"/>
        <v>0</v>
      </c>
    </row>
    <row r="768" spans="1:23" ht="15" hidden="1" customHeight="1" x14ac:dyDescent="0.2">
      <c r="A768" s="63" t="s">
        <v>147</v>
      </c>
      <c r="B768" s="895" t="s">
        <v>147</v>
      </c>
      <c r="C768" s="896"/>
      <c r="D768" s="957" t="s">
        <v>243</v>
      </c>
      <c r="E768" s="907">
        <f>DMT!$F$43</f>
        <v>0.2</v>
      </c>
      <c r="F768" s="908">
        <v>0.82799999999999996</v>
      </c>
      <c r="G768" s="949">
        <f t="shared" si="262"/>
        <v>2.3962319999999999</v>
      </c>
      <c r="H768" s="901">
        <v>0</v>
      </c>
      <c r="I768" s="901"/>
      <c r="J768" s="902">
        <v>0</v>
      </c>
      <c r="K768" s="903" t="s">
        <v>507</v>
      </c>
      <c r="L768" s="1003">
        <f>ROUND(SUM('RES. CENTRAL PARK:RUA_FINAL'!L768),2)</f>
        <v>0</v>
      </c>
      <c r="M768" s="960">
        <f t="shared" si="249"/>
        <v>0</v>
      </c>
      <c r="N768" s="893">
        <f t="shared" si="250"/>
        <v>0</v>
      </c>
      <c r="O768" s="905"/>
      <c r="P768" s="58" t="str">
        <f>IF(N765&gt;0,"xx",IF(N765&gt;0,"xy",""))</f>
        <v/>
      </c>
      <c r="Q768" s="317" t="str">
        <f t="shared" si="251"/>
        <v/>
      </c>
      <c r="R768" s="317" t="str">
        <f t="shared" si="252"/>
        <v/>
      </c>
      <c r="S768" s="317" t="str">
        <f t="shared" si="253"/>
        <v/>
      </c>
      <c r="V768" s="314">
        <f>SUM('RES. CENTRAL PARK:RUA_FINAL'!N768)</f>
        <v>0</v>
      </c>
      <c r="W768" s="315">
        <f t="shared" si="254"/>
        <v>0</v>
      </c>
    </row>
    <row r="769" spans="1:23" ht="15" hidden="1" customHeight="1" x14ac:dyDescent="0.2">
      <c r="A769" s="63" t="s">
        <v>147</v>
      </c>
      <c r="B769" s="895" t="s">
        <v>147</v>
      </c>
      <c r="C769" s="896"/>
      <c r="D769" s="957" t="s">
        <v>244</v>
      </c>
      <c r="E769" s="907">
        <f>DMT!$F$28</f>
        <v>22</v>
      </c>
      <c r="F769" s="908">
        <f>SUM(F765:F768)</f>
        <v>1</v>
      </c>
      <c r="G769" s="912">
        <f>IF(E769&lt;=30,(1.07*E769+6.45)*F769,((1.07*30+6.45)+1.07*(E769-30))*F769)</f>
        <v>29.990000000000002</v>
      </c>
      <c r="H769" s="901">
        <v>0</v>
      </c>
      <c r="I769" s="901"/>
      <c r="J769" s="902">
        <v>0</v>
      </c>
      <c r="K769" s="903" t="s">
        <v>507</v>
      </c>
      <c r="L769" s="1003">
        <f>ROUND(SUM('RES. CENTRAL PARK:RUA_FINAL'!L769),2)</f>
        <v>0</v>
      </c>
      <c r="M769" s="960">
        <f t="shared" si="249"/>
        <v>0</v>
      </c>
      <c r="N769" s="893">
        <f t="shared" si="250"/>
        <v>0</v>
      </c>
      <c r="O769" s="905"/>
      <c r="P769" s="58" t="str">
        <f>IF(N765&gt;0,"xx",IF(N765&gt;0,"xy",""))</f>
        <v/>
      </c>
      <c r="Q769" s="317" t="str">
        <f t="shared" si="251"/>
        <v/>
      </c>
      <c r="R769" s="317" t="str">
        <f t="shared" si="252"/>
        <v/>
      </c>
      <c r="S769" s="317" t="str">
        <f t="shared" si="253"/>
        <v/>
      </c>
      <c r="V769" s="314">
        <f>SUM('RES. CENTRAL PARK:RUA_FINAL'!N769)</f>
        <v>0</v>
      </c>
      <c r="W769" s="315">
        <f t="shared" si="254"/>
        <v>0</v>
      </c>
    </row>
    <row r="770" spans="1:23" ht="15" hidden="1" customHeight="1" thickBot="1" x14ac:dyDescent="0.25">
      <c r="A770" s="63">
        <v>589000</v>
      </c>
      <c r="B770" s="1004" t="s">
        <v>1680</v>
      </c>
      <c r="C770" s="984" t="s">
        <v>213</v>
      </c>
      <c r="D770" s="1012" t="s">
        <v>2172</v>
      </c>
      <c r="E770" s="1020">
        <f>DMT!$D$45</f>
        <v>45</v>
      </c>
      <c r="F770" s="1006">
        <v>1</v>
      </c>
      <c r="G770" s="949">
        <f>(0.94*E770+46.06)*F770</f>
        <v>88.36</v>
      </c>
      <c r="H770" s="988">
        <v>4828.8599999999997</v>
      </c>
      <c r="I770" s="988">
        <f>IF(ISBLANK(H770),"",H770*(1+$E$9)/(1+$E$10))+G770</f>
        <v>4724.580378112767</v>
      </c>
      <c r="J770" s="989">
        <f t="shared" si="246"/>
        <v>5672.8</v>
      </c>
      <c r="K770" s="990" t="s">
        <v>14</v>
      </c>
      <c r="L770" s="1035">
        <f>ROUND(SUM('RES. CENTRAL PARK:RUA_FINAL'!L770),2)</f>
        <v>0</v>
      </c>
      <c r="M770" s="1034">
        <f t="shared" si="249"/>
        <v>0</v>
      </c>
      <c r="N770" s="993">
        <f t="shared" si="250"/>
        <v>0</v>
      </c>
      <c r="O770" s="905"/>
      <c r="P770" s="58" t="str">
        <f>IF(N765&gt;0,"xx",IF(N765&gt;0,"xy",""))</f>
        <v/>
      </c>
      <c r="Q770" s="317" t="str">
        <f t="shared" si="251"/>
        <v/>
      </c>
      <c r="R770" s="317" t="str">
        <f t="shared" si="252"/>
        <v/>
      </c>
      <c r="S770" s="317" t="str">
        <f t="shared" si="253"/>
        <v/>
      </c>
      <c r="V770" s="314">
        <f>SUM('RES. CENTRAL PARK:RUA_FINAL'!N770)</f>
        <v>0</v>
      </c>
      <c r="W770" s="315">
        <f t="shared" si="254"/>
        <v>0</v>
      </c>
    </row>
    <row r="771" spans="1:23" ht="15" hidden="1" customHeight="1" x14ac:dyDescent="0.2">
      <c r="A771" s="63">
        <v>570400</v>
      </c>
      <c r="B771" s="999" t="s">
        <v>1785</v>
      </c>
      <c r="C771" s="1000" t="s">
        <v>184</v>
      </c>
      <c r="D771" s="973" t="s">
        <v>2175</v>
      </c>
      <c r="E771" s="974" t="s">
        <v>569</v>
      </c>
      <c r="F771" s="975">
        <v>5.7000000000000002E-2</v>
      </c>
      <c r="G771" s="976">
        <f>SUM(G772:G775)</f>
        <v>52.951632000000004</v>
      </c>
      <c r="H771" s="977">
        <v>169.12</v>
      </c>
      <c r="I771" s="977">
        <f>IF(ISBLANK(H771),"",SUM(G771:H771))</f>
        <v>222.07163200000002</v>
      </c>
      <c r="J771" s="978">
        <f t="shared" si="246"/>
        <v>266.64</v>
      </c>
      <c r="K771" s="979" t="s">
        <v>14</v>
      </c>
      <c r="L771" s="980">
        <f>ROUND(SUM('RES. CENTRAL PARK:RUA_FINAL'!L771),2)</f>
        <v>0</v>
      </c>
      <c r="M771" s="981">
        <f t="shared" si="249"/>
        <v>0</v>
      </c>
      <c r="N771" s="982">
        <f t="shared" si="250"/>
        <v>0</v>
      </c>
      <c r="O771" s="905"/>
      <c r="Q771" s="317" t="str">
        <f t="shared" si="251"/>
        <v/>
      </c>
      <c r="R771" s="317" t="str">
        <f t="shared" si="252"/>
        <v/>
      </c>
      <c r="S771" s="317" t="str">
        <f t="shared" si="253"/>
        <v/>
      </c>
      <c r="V771" s="314">
        <f>SUM('RES. CENTRAL PARK:RUA_FINAL'!N771)</f>
        <v>0</v>
      </c>
      <c r="W771" s="315">
        <f t="shared" si="254"/>
        <v>0</v>
      </c>
    </row>
    <row r="772" spans="1:23" ht="15" hidden="1" customHeight="1" x14ac:dyDescent="0.2">
      <c r="A772" s="63" t="s">
        <v>147</v>
      </c>
      <c r="B772" s="895" t="s">
        <v>147</v>
      </c>
      <c r="C772" s="896"/>
      <c r="D772" s="957" t="s">
        <v>229</v>
      </c>
      <c r="E772" s="907">
        <f>DMT!$F$42</f>
        <v>150</v>
      </c>
      <c r="F772" s="908">
        <v>0.1</v>
      </c>
      <c r="G772" s="949">
        <f t="shared" ref="G772:G774" si="263">IF(E772&lt;=30,(1.07*E772+2.68)*F772,((1.07*30+2.68)+1.07*(E772-30))*F772)</f>
        <v>16.318000000000001</v>
      </c>
      <c r="H772" s="901">
        <v>0</v>
      </c>
      <c r="I772" s="901"/>
      <c r="J772" s="902">
        <v>0</v>
      </c>
      <c r="K772" s="903" t="s">
        <v>507</v>
      </c>
      <c r="L772" s="1003">
        <f>ROUND(SUM('RES. CENTRAL PARK:RUA_FINAL'!L772),2)</f>
        <v>0</v>
      </c>
      <c r="M772" s="960">
        <f t="shared" si="249"/>
        <v>0</v>
      </c>
      <c r="N772" s="893">
        <f t="shared" si="250"/>
        <v>0</v>
      </c>
      <c r="O772" s="905"/>
      <c r="P772" s="58" t="str">
        <f>IF(N771&gt;0,"xx",IF(N771&gt;0,"xy",""))</f>
        <v/>
      </c>
      <c r="Q772" s="317" t="str">
        <f t="shared" si="251"/>
        <v/>
      </c>
      <c r="R772" s="317" t="str">
        <f t="shared" si="252"/>
        <v/>
      </c>
      <c r="S772" s="317" t="str">
        <f t="shared" si="253"/>
        <v/>
      </c>
      <c r="V772" s="314">
        <f>SUM('RES. CENTRAL PARK:RUA_FINAL'!N772)</f>
        <v>0</v>
      </c>
      <c r="W772" s="315">
        <f t="shared" si="254"/>
        <v>0</v>
      </c>
    </row>
    <row r="773" spans="1:23" ht="15" hidden="1" customHeight="1" x14ac:dyDescent="0.2">
      <c r="A773" s="63" t="s">
        <v>147</v>
      </c>
      <c r="B773" s="895" t="s">
        <v>147</v>
      </c>
      <c r="C773" s="896"/>
      <c r="D773" s="957" t="s">
        <v>230</v>
      </c>
      <c r="E773" s="907">
        <f>DMT!$D$46</f>
        <v>353</v>
      </c>
      <c r="F773" s="908">
        <v>1.4999999999999999E-2</v>
      </c>
      <c r="G773" s="909">
        <f>IF(E773&lt;=30,(0.78*E773+7.82)*F773,((0.78*30+7.82)+0.78*(E773-30))*F773)</f>
        <v>4.2473999999999998</v>
      </c>
      <c r="H773" s="901">
        <v>0</v>
      </c>
      <c r="I773" s="901"/>
      <c r="J773" s="902">
        <v>0</v>
      </c>
      <c r="K773" s="903" t="s">
        <v>507</v>
      </c>
      <c r="L773" s="1003">
        <f>ROUND(SUM('RES. CENTRAL PARK:RUA_FINAL'!L773),2)</f>
        <v>0</v>
      </c>
      <c r="M773" s="960">
        <f t="shared" si="249"/>
        <v>0</v>
      </c>
      <c r="N773" s="893">
        <f t="shared" si="250"/>
        <v>0</v>
      </c>
      <c r="O773" s="905"/>
      <c r="P773" s="58" t="str">
        <f>IF(N771&gt;0,"xx",IF(N771&gt;0,"xy",""))</f>
        <v/>
      </c>
      <c r="Q773" s="317" t="str">
        <f t="shared" si="251"/>
        <v/>
      </c>
      <c r="R773" s="317" t="str">
        <f t="shared" si="252"/>
        <v/>
      </c>
      <c r="S773" s="317" t="str">
        <f t="shared" si="253"/>
        <v/>
      </c>
      <c r="V773" s="314">
        <f>SUM('RES. CENTRAL PARK:RUA_FINAL'!N773)</f>
        <v>0</v>
      </c>
      <c r="W773" s="315">
        <f t="shared" si="254"/>
        <v>0</v>
      </c>
    </row>
    <row r="774" spans="1:23" ht="15" hidden="1" customHeight="1" x14ac:dyDescent="0.2">
      <c r="A774" s="63" t="s">
        <v>147</v>
      </c>
      <c r="B774" s="895" t="s">
        <v>147</v>
      </c>
      <c r="C774" s="896"/>
      <c r="D774" s="957" t="s">
        <v>243</v>
      </c>
      <c r="E774" s="907">
        <f>DMT!$F$43</f>
        <v>0.2</v>
      </c>
      <c r="F774" s="908">
        <v>0.82799999999999996</v>
      </c>
      <c r="G774" s="949">
        <f t="shared" si="263"/>
        <v>2.3962319999999999</v>
      </c>
      <c r="H774" s="901">
        <v>0</v>
      </c>
      <c r="I774" s="901"/>
      <c r="J774" s="902">
        <v>0</v>
      </c>
      <c r="K774" s="903" t="s">
        <v>507</v>
      </c>
      <c r="L774" s="1003">
        <f>ROUND(SUM('RES. CENTRAL PARK:RUA_FINAL'!L774),2)</f>
        <v>0</v>
      </c>
      <c r="M774" s="960">
        <f t="shared" si="249"/>
        <v>0</v>
      </c>
      <c r="N774" s="893">
        <f t="shared" si="250"/>
        <v>0</v>
      </c>
      <c r="O774" s="905"/>
      <c r="P774" s="58" t="str">
        <f>IF(N771&gt;0,"xx",IF(N771&gt;0,"xy",""))</f>
        <v/>
      </c>
      <c r="Q774" s="317" t="str">
        <f t="shared" si="251"/>
        <v/>
      </c>
      <c r="R774" s="317" t="str">
        <f t="shared" si="252"/>
        <v/>
      </c>
      <c r="S774" s="317" t="str">
        <f t="shared" si="253"/>
        <v/>
      </c>
      <c r="V774" s="314">
        <f>SUM('RES. CENTRAL PARK:RUA_FINAL'!N774)</f>
        <v>0</v>
      </c>
      <c r="W774" s="315">
        <f t="shared" si="254"/>
        <v>0</v>
      </c>
    </row>
    <row r="775" spans="1:23" ht="15" hidden="1" customHeight="1" x14ac:dyDescent="0.2">
      <c r="A775" s="63" t="s">
        <v>147</v>
      </c>
      <c r="B775" s="895" t="s">
        <v>147</v>
      </c>
      <c r="C775" s="896"/>
      <c r="D775" s="957" t="s">
        <v>244</v>
      </c>
      <c r="E775" s="907">
        <f>DMT!$F$28</f>
        <v>22</v>
      </c>
      <c r="F775" s="908">
        <f>SUM(F771:F774)</f>
        <v>1</v>
      </c>
      <c r="G775" s="912">
        <f>IF(E775&lt;=30,(1.07*E775+6.45)*F775,((1.07*30+6.45)+1.07*(E775-30))*F775)</f>
        <v>29.990000000000002</v>
      </c>
      <c r="H775" s="901">
        <v>0</v>
      </c>
      <c r="I775" s="901"/>
      <c r="J775" s="902">
        <v>0</v>
      </c>
      <c r="K775" s="903" t="s">
        <v>507</v>
      </c>
      <c r="L775" s="1003">
        <f>ROUND(SUM('RES. CENTRAL PARK:RUA_FINAL'!L775),2)</f>
        <v>0</v>
      </c>
      <c r="M775" s="960">
        <f t="shared" si="249"/>
        <v>0</v>
      </c>
      <c r="N775" s="893">
        <f t="shared" si="250"/>
        <v>0</v>
      </c>
      <c r="O775" s="905"/>
      <c r="P775" s="58" t="str">
        <f>IF(N771&gt;0,"xx",IF(N771&gt;0,"xy",""))</f>
        <v/>
      </c>
      <c r="Q775" s="317" t="str">
        <f t="shared" si="251"/>
        <v/>
      </c>
      <c r="R775" s="317" t="str">
        <f t="shared" si="252"/>
        <v/>
      </c>
      <c r="S775" s="317" t="str">
        <f t="shared" si="253"/>
        <v/>
      </c>
      <c r="V775" s="314">
        <f>SUM('RES. CENTRAL PARK:RUA_FINAL'!N775)</f>
        <v>0</v>
      </c>
      <c r="W775" s="315">
        <f t="shared" si="254"/>
        <v>0</v>
      </c>
    </row>
    <row r="776" spans="1:23" ht="15" hidden="1" customHeight="1" thickBot="1" x14ac:dyDescent="0.25">
      <c r="A776" s="63">
        <v>589000</v>
      </c>
      <c r="B776" s="1004" t="s">
        <v>1681</v>
      </c>
      <c r="C776" s="984" t="s">
        <v>213</v>
      </c>
      <c r="D776" s="1012" t="s">
        <v>2173</v>
      </c>
      <c r="E776" s="1020">
        <f>DMT!$D$45</f>
        <v>45</v>
      </c>
      <c r="F776" s="1006">
        <v>1</v>
      </c>
      <c r="G776" s="1028">
        <f>(0.94*E776+46.06)*F776</f>
        <v>88.36</v>
      </c>
      <c r="H776" s="988">
        <v>4828.8599999999997</v>
      </c>
      <c r="I776" s="988">
        <f>IF(ISBLANK(H776),"",H776*(1+$E$9)/(1+$E$10))+G776</f>
        <v>4724.580378112767</v>
      </c>
      <c r="J776" s="989">
        <f t="shared" ref="J776:J849" si="264">IF(ISBLANK(H776),0,ROUND(I776*(1+$E$10),2))</f>
        <v>5672.8</v>
      </c>
      <c r="K776" s="990" t="s">
        <v>14</v>
      </c>
      <c r="L776" s="1035">
        <f>ROUND(SUM('RES. CENTRAL PARK:RUA_FINAL'!L776),2)</f>
        <v>0</v>
      </c>
      <c r="M776" s="1034">
        <f t="shared" si="249"/>
        <v>0</v>
      </c>
      <c r="N776" s="993">
        <f t="shared" si="250"/>
        <v>0</v>
      </c>
      <c r="O776" s="905"/>
      <c r="P776" s="58" t="str">
        <f>IF(N771&gt;0,"xx",IF(N771&gt;0,"xy",""))</f>
        <v/>
      </c>
      <c r="Q776" s="317" t="str">
        <f t="shared" si="251"/>
        <v/>
      </c>
      <c r="R776" s="317" t="str">
        <f t="shared" si="252"/>
        <v/>
      </c>
      <c r="S776" s="317" t="str">
        <f t="shared" si="253"/>
        <v/>
      </c>
      <c r="V776" s="314">
        <f>SUM('RES. CENTRAL PARK:RUA_FINAL'!N776)</f>
        <v>0</v>
      </c>
      <c r="W776" s="315">
        <f t="shared" si="254"/>
        <v>0</v>
      </c>
    </row>
    <row r="777" spans="1:23" ht="15" hidden="1" customHeight="1" x14ac:dyDescent="0.2">
      <c r="A777" s="63">
        <v>570000</v>
      </c>
      <c r="B777" s="999" t="s">
        <v>1765</v>
      </c>
      <c r="C777" s="1000" t="s">
        <v>184</v>
      </c>
      <c r="D777" s="1024" t="str">
        <f>CONCATENATE("CBUQ - PASSEIO - Novo Traço - ",Novos_Traços_CBUQ!C190," - (Quant. menor que 10.000 ton)")</f>
        <v>CBUQ - PASSEIO - Novo Traço - TRAÇO 4 - FAIXA "D" - (Quant. menor que 10.000 ton)</v>
      </c>
      <c r="E777" s="974" t="s">
        <v>569</v>
      </c>
      <c r="F777" s="1022">
        <f>Novos_Traços_CBUQ!F216</f>
        <v>5.6000000000000001E-2</v>
      </c>
      <c r="G777" s="976">
        <f>SUM(G778:G781)</f>
        <v>51.832711599999996</v>
      </c>
      <c r="H777" s="977">
        <v>187.41</v>
      </c>
      <c r="I777" s="977">
        <f>IF(ISBLANK(H777),"",SUM(G777:H777))</f>
        <v>239.24271160000001</v>
      </c>
      <c r="J777" s="978">
        <f t="shared" si="264"/>
        <v>287.26</v>
      </c>
      <c r="K777" s="979" t="s">
        <v>14</v>
      </c>
      <c r="L777" s="980">
        <f>ROUND(SUM('RES. CENTRAL PARK:RUA_FINAL'!L777),2)</f>
        <v>0</v>
      </c>
      <c r="M777" s="981">
        <f t="shared" ref="M777:M782" si="265">IF(L777=0,0,ROUND(J777,2))</f>
        <v>0</v>
      </c>
      <c r="N777" s="982">
        <f t="shared" ref="N777:N782" si="266">IF(ISBLANK(L777),0,ROUND(L777*M777,2))</f>
        <v>0</v>
      </c>
      <c r="O777" s="905"/>
      <c r="Q777" s="317" t="str">
        <f t="shared" ref="Q777:Q782" si="267">IF(P777="X","x",IF(P777="xx","x",IF(P777="xy","x",IF(P777="y","x",IF(OR(N777&gt;0,N777&gt;0),"x","")))))</f>
        <v/>
      </c>
      <c r="R777" s="317" t="str">
        <f t="shared" ref="R777:R782" si="268">IF(P777="X","x",IF(P777="y","x",IF(P777="xx","x",IF(N777&gt;0,"x",""))))</f>
        <v/>
      </c>
      <c r="S777" s="317" t="str">
        <f t="shared" ref="S777:S782" si="269">IF(P777="X","x",IF(N777&gt;0,"x",""))</f>
        <v/>
      </c>
      <c r="V777" s="314">
        <f>SUM('RES. CENTRAL PARK:RUA_FINAL'!N777)</f>
        <v>0</v>
      </c>
      <c r="W777" s="315">
        <f t="shared" si="254"/>
        <v>0</v>
      </c>
    </row>
    <row r="778" spans="1:23" ht="15" hidden="1" customHeight="1" x14ac:dyDescent="0.2">
      <c r="A778" s="63" t="s">
        <v>147</v>
      </c>
      <c r="B778" s="895" t="s">
        <v>147</v>
      </c>
      <c r="C778" s="896"/>
      <c r="D778" s="957" t="s">
        <v>229</v>
      </c>
      <c r="E778" s="907">
        <f>DMT!$F$42</f>
        <v>150</v>
      </c>
      <c r="F778" s="1287">
        <f>Novos_Traços_CBUQ!F214</f>
        <v>9.4399999999999998E-2</v>
      </c>
      <c r="G778" s="949">
        <f t="shared" ref="G778" si="270">IF(E778&lt;=30,(1.07*E778+2.68)*F778,((1.07*30+2.68)+1.07*(E778-30))*F778)</f>
        <v>15.404192</v>
      </c>
      <c r="H778" s="901">
        <v>0</v>
      </c>
      <c r="I778" s="901"/>
      <c r="J778" s="902">
        <v>0</v>
      </c>
      <c r="K778" s="903" t="s">
        <v>507</v>
      </c>
      <c r="L778" s="1003">
        <f>ROUND(SUM('RES. CENTRAL PARK:RUA_FINAL'!L778),2)</f>
        <v>0</v>
      </c>
      <c r="M778" s="960">
        <f t="shared" si="265"/>
        <v>0</v>
      </c>
      <c r="N778" s="893">
        <f t="shared" si="266"/>
        <v>0</v>
      </c>
      <c r="O778" s="905"/>
      <c r="P778" s="58" t="str">
        <f>IF(N777&gt;0,"xx",IF(N777&gt;0,"xy",""))</f>
        <v/>
      </c>
      <c r="Q778" s="317" t="str">
        <f t="shared" si="267"/>
        <v/>
      </c>
      <c r="R778" s="317" t="str">
        <f t="shared" si="268"/>
        <v/>
      </c>
      <c r="S778" s="317" t="str">
        <f t="shared" si="269"/>
        <v/>
      </c>
      <c r="V778" s="314">
        <f>SUM('RES. CENTRAL PARK:RUA_FINAL'!N778)</f>
        <v>0</v>
      </c>
      <c r="W778" s="315">
        <f t="shared" si="254"/>
        <v>0</v>
      </c>
    </row>
    <row r="779" spans="1:23" ht="15" hidden="1" customHeight="1" x14ac:dyDescent="0.2">
      <c r="A779" s="63" t="s">
        <v>147</v>
      </c>
      <c r="B779" s="895" t="s">
        <v>147</v>
      </c>
      <c r="C779" s="896"/>
      <c r="D779" s="957" t="s">
        <v>230</v>
      </c>
      <c r="E779" s="907">
        <f>DMT!$D$46</f>
        <v>353</v>
      </c>
      <c r="F779" s="1287">
        <f>Novos_Traços_CBUQ!F215</f>
        <v>1.4200000000000001E-2</v>
      </c>
      <c r="G779" s="909">
        <f>IF(E779&lt;=30,(0.78*E779+7.82)*F779,((0.78*30+7.82)+0.78*(E779-30))*F779)</f>
        <v>4.0208720000000007</v>
      </c>
      <c r="H779" s="901">
        <v>0</v>
      </c>
      <c r="I779" s="901"/>
      <c r="J779" s="902">
        <v>0</v>
      </c>
      <c r="K779" s="903" t="s">
        <v>507</v>
      </c>
      <c r="L779" s="1003">
        <f>ROUND(SUM('RES. CENTRAL PARK:RUA_FINAL'!L779),2)</f>
        <v>0</v>
      </c>
      <c r="M779" s="960">
        <f t="shared" si="265"/>
        <v>0</v>
      </c>
      <c r="N779" s="893">
        <f t="shared" si="266"/>
        <v>0</v>
      </c>
      <c r="O779" s="905"/>
      <c r="P779" s="58" t="str">
        <f>IF(N777&gt;0,"xx",IF(N777&gt;0,"xy",""))</f>
        <v/>
      </c>
      <c r="Q779" s="317" t="str">
        <f t="shared" si="267"/>
        <v/>
      </c>
      <c r="R779" s="317" t="str">
        <f t="shared" si="268"/>
        <v/>
      </c>
      <c r="S779" s="317" t="str">
        <f t="shared" si="269"/>
        <v/>
      </c>
      <c r="V779" s="314">
        <f>SUM('RES. CENTRAL PARK:RUA_FINAL'!N779)</f>
        <v>0</v>
      </c>
      <c r="W779" s="315">
        <f t="shared" si="254"/>
        <v>0</v>
      </c>
    </row>
    <row r="780" spans="1:23" ht="15" hidden="1" customHeight="1" x14ac:dyDescent="0.2">
      <c r="A780" s="63" t="s">
        <v>147</v>
      </c>
      <c r="B780" s="895" t="s">
        <v>147</v>
      </c>
      <c r="C780" s="896"/>
      <c r="D780" s="957" t="s">
        <v>243</v>
      </c>
      <c r="E780" s="907">
        <f>DMT!$F$43</f>
        <v>0.2</v>
      </c>
      <c r="F780" s="1287">
        <f>Novos_Traços_CBUQ!F212</f>
        <v>0.83540000000000003</v>
      </c>
      <c r="G780" s="949">
        <f t="shared" ref="G780" si="271">IF(E780&lt;=30,(1.07*E780+2.68)*F780,((1.07*30+2.68)+1.07*(E780-30))*F780)</f>
        <v>2.4176476</v>
      </c>
      <c r="H780" s="901">
        <v>0</v>
      </c>
      <c r="I780" s="901"/>
      <c r="J780" s="902">
        <v>0</v>
      </c>
      <c r="K780" s="903" t="s">
        <v>507</v>
      </c>
      <c r="L780" s="1003">
        <f>ROUND(SUM('RES. CENTRAL PARK:RUA_FINAL'!L780),2)</f>
        <v>0</v>
      </c>
      <c r="M780" s="960">
        <f t="shared" si="265"/>
        <v>0</v>
      </c>
      <c r="N780" s="893">
        <f t="shared" si="266"/>
        <v>0</v>
      </c>
      <c r="O780" s="905"/>
      <c r="P780" s="58" t="str">
        <f>IF(N777&gt;0,"xx",IF(N777&gt;0,"xy",""))</f>
        <v/>
      </c>
      <c r="Q780" s="317" t="str">
        <f t="shared" si="267"/>
        <v/>
      </c>
      <c r="R780" s="317" t="str">
        <f t="shared" si="268"/>
        <v/>
      </c>
      <c r="S780" s="317" t="str">
        <f t="shared" si="269"/>
        <v/>
      </c>
      <c r="V780" s="314">
        <f>SUM('RES. CENTRAL PARK:RUA_FINAL'!N780)</f>
        <v>0</v>
      </c>
      <c r="W780" s="315">
        <f t="shared" si="254"/>
        <v>0</v>
      </c>
    </row>
    <row r="781" spans="1:23" ht="15" hidden="1" customHeight="1" x14ac:dyDescent="0.2">
      <c r="A781" s="63" t="s">
        <v>147</v>
      </c>
      <c r="B781" s="895" t="s">
        <v>147</v>
      </c>
      <c r="C781" s="896"/>
      <c r="D781" s="957" t="s">
        <v>244</v>
      </c>
      <c r="E781" s="907">
        <f>DMT!$F$28</f>
        <v>22</v>
      </c>
      <c r="F781" s="1287">
        <f>SUM(F777:F780)</f>
        <v>1</v>
      </c>
      <c r="G781" s="912">
        <f>IF(E781&lt;=30,(1.07*E781+6.45)*F781,((1.07*30+6.45)+1.07*(E781-30))*F781)</f>
        <v>29.990000000000002</v>
      </c>
      <c r="H781" s="901">
        <v>0</v>
      </c>
      <c r="I781" s="901"/>
      <c r="J781" s="902">
        <v>0</v>
      </c>
      <c r="K781" s="903" t="s">
        <v>507</v>
      </c>
      <c r="L781" s="1003">
        <f>ROUND(SUM('RES. CENTRAL PARK:RUA_FINAL'!L781),2)</f>
        <v>0</v>
      </c>
      <c r="M781" s="960">
        <f t="shared" si="265"/>
        <v>0</v>
      </c>
      <c r="N781" s="893">
        <f t="shared" si="266"/>
        <v>0</v>
      </c>
      <c r="O781" s="905"/>
      <c r="P781" s="58" t="str">
        <f>IF(N777&gt;0,"xx",IF(N777&gt;0,"xy",""))</f>
        <v/>
      </c>
      <c r="Q781" s="317" t="str">
        <f t="shared" si="267"/>
        <v/>
      </c>
      <c r="R781" s="317" t="str">
        <f t="shared" si="268"/>
        <v/>
      </c>
      <c r="S781" s="317" t="str">
        <f t="shared" si="269"/>
        <v/>
      </c>
      <c r="V781" s="314">
        <f>SUM('RES. CENTRAL PARK:RUA_FINAL'!N781)</f>
        <v>0</v>
      </c>
      <c r="W781" s="315">
        <f t="shared" si="254"/>
        <v>0</v>
      </c>
    </row>
    <row r="782" spans="1:23" ht="15" hidden="1" customHeight="1" thickBot="1" x14ac:dyDescent="0.25">
      <c r="A782" s="63">
        <v>589000</v>
      </c>
      <c r="B782" s="1004" t="s">
        <v>1680</v>
      </c>
      <c r="C782" s="984" t="s">
        <v>213</v>
      </c>
      <c r="D782" s="1012" t="s">
        <v>2172</v>
      </c>
      <c r="E782" s="1020">
        <f>DMT!$D$45</f>
        <v>45</v>
      </c>
      <c r="F782" s="1006">
        <v>1</v>
      </c>
      <c r="G782" s="1028">
        <f>(0.94*E782+46.06)*F782</f>
        <v>88.36</v>
      </c>
      <c r="H782" s="988">
        <v>4828.8599999999997</v>
      </c>
      <c r="I782" s="988">
        <f>IF(ISBLANK(H782),"",H782*(1+$E$9)/(1+$E$10))+G782</f>
        <v>4724.580378112767</v>
      </c>
      <c r="J782" s="989">
        <f t="shared" ref="J782:J783" si="272">IF(ISBLANK(H782),0,ROUND(I782*(1+$E$10),2))</f>
        <v>5672.8</v>
      </c>
      <c r="K782" s="990" t="s">
        <v>14</v>
      </c>
      <c r="L782" s="1035">
        <f>ROUND(SUM('RES. CENTRAL PARK:RUA_FINAL'!L782),2)</f>
        <v>0</v>
      </c>
      <c r="M782" s="1034">
        <f t="shared" si="265"/>
        <v>0</v>
      </c>
      <c r="N782" s="993">
        <f t="shared" si="266"/>
        <v>0</v>
      </c>
      <c r="O782" s="905"/>
      <c r="P782" s="58" t="str">
        <f>IF(N777&gt;0,"xx",IF(N777&gt;0,"xy",""))</f>
        <v/>
      </c>
      <c r="Q782" s="317" t="str">
        <f t="shared" si="267"/>
        <v/>
      </c>
      <c r="R782" s="317" t="str">
        <f t="shared" si="268"/>
        <v/>
      </c>
      <c r="S782" s="317" t="str">
        <f t="shared" si="269"/>
        <v/>
      </c>
      <c r="V782" s="314">
        <f>SUM('RES. CENTRAL PARK:RUA_FINAL'!N782)</f>
        <v>0</v>
      </c>
      <c r="W782" s="315">
        <f t="shared" si="254"/>
        <v>0</v>
      </c>
    </row>
    <row r="783" spans="1:23" ht="15" hidden="1" customHeight="1" x14ac:dyDescent="0.2">
      <c r="A783" s="63">
        <v>570000</v>
      </c>
      <c r="B783" s="999" t="s">
        <v>1765</v>
      </c>
      <c r="C783" s="1000" t="s">
        <v>184</v>
      </c>
      <c r="D783" s="1024" t="str">
        <f>CONCATENATE("CBUQ - PASSEIO - Novo Traço - ",Novos_Traços_CBUQ!J190," - (Quant. menor que 10.000 ton)")</f>
        <v>CBUQ - PASSEIO - Novo Traço - TRAÇO 5 - FAIXA "D" - (Quant. menor que 10.000 ton)</v>
      </c>
      <c r="E783" s="974" t="s">
        <v>569</v>
      </c>
      <c r="F783" s="1022">
        <f>Novos_Traços_CBUQ!M216</f>
        <v>5.5E-2</v>
      </c>
      <c r="G783" s="976">
        <f>SUM(G784:G787)</f>
        <v>51.851634200000007</v>
      </c>
      <c r="H783" s="977">
        <v>187.41</v>
      </c>
      <c r="I783" s="977">
        <f>IF(ISBLANK(H783),"",SUM(G783:H783))</f>
        <v>239.2616342</v>
      </c>
      <c r="J783" s="978">
        <f t="shared" si="272"/>
        <v>287.27999999999997</v>
      </c>
      <c r="K783" s="979" t="s">
        <v>14</v>
      </c>
      <c r="L783" s="980">
        <f>ROUND(SUM('RES. CENTRAL PARK:RUA_FINAL'!L783),2)</f>
        <v>0</v>
      </c>
      <c r="M783" s="981">
        <f t="shared" ref="M783:M788" si="273">IF(L783=0,0,ROUND(J783,2))</f>
        <v>0</v>
      </c>
      <c r="N783" s="982">
        <f t="shared" ref="N783:N788" si="274">IF(ISBLANK(L783),0,ROUND(L783*M783,2))</f>
        <v>0</v>
      </c>
      <c r="O783" s="905"/>
      <c r="Q783" s="317" t="str">
        <f t="shared" ref="Q783:Q788" si="275">IF(P783="X","x",IF(P783="xx","x",IF(P783="xy","x",IF(P783="y","x",IF(OR(N783&gt;0,N783&gt;0),"x","")))))</f>
        <v/>
      </c>
      <c r="R783" s="317" t="str">
        <f t="shared" ref="R783:R788" si="276">IF(P783="X","x",IF(P783="y","x",IF(P783="xx","x",IF(N783&gt;0,"x",""))))</f>
        <v/>
      </c>
      <c r="S783" s="317" t="str">
        <f t="shared" ref="S783:S788" si="277">IF(P783="X","x",IF(N783&gt;0,"x",""))</f>
        <v/>
      </c>
      <c r="V783" s="314">
        <f>SUM('RES. CENTRAL PARK:RUA_FINAL'!N783)</f>
        <v>0</v>
      </c>
      <c r="W783" s="315">
        <f t="shared" si="254"/>
        <v>0</v>
      </c>
    </row>
    <row r="784" spans="1:23" ht="15" hidden="1" customHeight="1" x14ac:dyDescent="0.2">
      <c r="A784" s="63" t="s">
        <v>147</v>
      </c>
      <c r="B784" s="895" t="s">
        <v>147</v>
      </c>
      <c r="C784" s="896"/>
      <c r="D784" s="957" t="s">
        <v>229</v>
      </c>
      <c r="E784" s="907">
        <f>DMT!$F$42</f>
        <v>150</v>
      </c>
      <c r="F784" s="1287">
        <f>Novos_Traços_CBUQ!M214</f>
        <v>9.4500000000000001E-2</v>
      </c>
      <c r="G784" s="949">
        <f t="shared" ref="G784" si="278">IF(E784&lt;=30,(1.07*E784+2.68)*F784,((1.07*30+2.68)+1.07*(E784-30))*F784)</f>
        <v>15.42051</v>
      </c>
      <c r="H784" s="901">
        <v>0</v>
      </c>
      <c r="I784" s="901"/>
      <c r="J784" s="902">
        <v>0</v>
      </c>
      <c r="K784" s="903" t="s">
        <v>507</v>
      </c>
      <c r="L784" s="1003">
        <f>ROUND(SUM('RES. CENTRAL PARK:RUA_FINAL'!L784),2)</f>
        <v>0</v>
      </c>
      <c r="M784" s="960">
        <f t="shared" si="273"/>
        <v>0</v>
      </c>
      <c r="N784" s="893">
        <f t="shared" si="274"/>
        <v>0</v>
      </c>
      <c r="O784" s="905"/>
      <c r="P784" s="58" t="str">
        <f>IF(N783&gt;0,"xx",IF(N783&gt;0,"xy",""))</f>
        <v/>
      </c>
      <c r="Q784" s="317" t="str">
        <f t="shared" si="275"/>
        <v/>
      </c>
      <c r="R784" s="317" t="str">
        <f t="shared" si="276"/>
        <v/>
      </c>
      <c r="S784" s="317" t="str">
        <f t="shared" si="277"/>
        <v/>
      </c>
      <c r="V784" s="314">
        <f>SUM('RES. CENTRAL PARK:RUA_FINAL'!N784)</f>
        <v>0</v>
      </c>
      <c r="W784" s="315">
        <f t="shared" si="254"/>
        <v>0</v>
      </c>
    </row>
    <row r="785" spans="1:23" ht="15" hidden="1" customHeight="1" x14ac:dyDescent="0.2">
      <c r="A785" s="63" t="s">
        <v>147</v>
      </c>
      <c r="B785" s="895" t="s">
        <v>147</v>
      </c>
      <c r="C785" s="896"/>
      <c r="D785" s="957" t="s">
        <v>230</v>
      </c>
      <c r="E785" s="907">
        <f>DMT!$D$46</f>
        <v>353</v>
      </c>
      <c r="F785" s="1287">
        <f>Novos_Traços_CBUQ!M215</f>
        <v>1.4200000000000001E-2</v>
      </c>
      <c r="G785" s="909">
        <f>IF(E785&lt;=30,(0.78*E785+7.82)*F785,((0.78*30+7.82)+0.78*(E785-30))*F785)</f>
        <v>4.0208720000000007</v>
      </c>
      <c r="H785" s="901">
        <v>0</v>
      </c>
      <c r="I785" s="901"/>
      <c r="J785" s="902">
        <v>0</v>
      </c>
      <c r="K785" s="903" t="s">
        <v>507</v>
      </c>
      <c r="L785" s="1003">
        <f>ROUND(SUM('RES. CENTRAL PARK:RUA_FINAL'!L785),2)</f>
        <v>0</v>
      </c>
      <c r="M785" s="960">
        <f t="shared" si="273"/>
        <v>0</v>
      </c>
      <c r="N785" s="893">
        <f t="shared" si="274"/>
        <v>0</v>
      </c>
      <c r="O785" s="905"/>
      <c r="P785" s="58" t="str">
        <f>IF(N783&gt;0,"xx",IF(N783&gt;0,"xy",""))</f>
        <v/>
      </c>
      <c r="Q785" s="317" t="str">
        <f t="shared" si="275"/>
        <v/>
      </c>
      <c r="R785" s="317" t="str">
        <f t="shared" si="276"/>
        <v/>
      </c>
      <c r="S785" s="317" t="str">
        <f t="shared" si="277"/>
        <v/>
      </c>
      <c r="V785" s="314">
        <f>SUM('RES. CENTRAL PARK:RUA_FINAL'!N785)</f>
        <v>0</v>
      </c>
      <c r="W785" s="315">
        <f t="shared" si="254"/>
        <v>0</v>
      </c>
    </row>
    <row r="786" spans="1:23" ht="15" hidden="1" customHeight="1" x14ac:dyDescent="0.2">
      <c r="A786" s="63" t="s">
        <v>147</v>
      </c>
      <c r="B786" s="895" t="s">
        <v>147</v>
      </c>
      <c r="C786" s="896"/>
      <c r="D786" s="957" t="s">
        <v>243</v>
      </c>
      <c r="E786" s="907">
        <f>DMT!$F$43</f>
        <v>0.2</v>
      </c>
      <c r="F786" s="1287">
        <f>Novos_Traços_CBUQ!M212</f>
        <v>0.83630000000000004</v>
      </c>
      <c r="G786" s="949">
        <f t="shared" ref="G786" si="279">IF(E786&lt;=30,(1.07*E786+2.68)*F786,((1.07*30+2.68)+1.07*(E786-30))*F786)</f>
        <v>2.4202522000000002</v>
      </c>
      <c r="H786" s="901">
        <v>0</v>
      </c>
      <c r="I786" s="901"/>
      <c r="J786" s="902">
        <v>0</v>
      </c>
      <c r="K786" s="903" t="s">
        <v>507</v>
      </c>
      <c r="L786" s="1003">
        <f>ROUND(SUM('RES. CENTRAL PARK:RUA_FINAL'!L786),2)</f>
        <v>0</v>
      </c>
      <c r="M786" s="960">
        <f t="shared" si="273"/>
        <v>0</v>
      </c>
      <c r="N786" s="893">
        <f t="shared" si="274"/>
        <v>0</v>
      </c>
      <c r="O786" s="905"/>
      <c r="P786" s="58" t="str">
        <f>IF(N783&gt;0,"xx",IF(N783&gt;0,"xy",""))</f>
        <v/>
      </c>
      <c r="Q786" s="317" t="str">
        <f t="shared" si="275"/>
        <v/>
      </c>
      <c r="R786" s="317" t="str">
        <f t="shared" si="276"/>
        <v/>
      </c>
      <c r="S786" s="317" t="str">
        <f t="shared" si="277"/>
        <v/>
      </c>
      <c r="V786" s="314">
        <f>SUM('RES. CENTRAL PARK:RUA_FINAL'!N786)</f>
        <v>0</v>
      </c>
      <c r="W786" s="315">
        <f t="shared" si="254"/>
        <v>0</v>
      </c>
    </row>
    <row r="787" spans="1:23" ht="15" hidden="1" customHeight="1" x14ac:dyDescent="0.2">
      <c r="A787" s="63" t="s">
        <v>147</v>
      </c>
      <c r="B787" s="895" t="s">
        <v>147</v>
      </c>
      <c r="C787" s="896"/>
      <c r="D787" s="957" t="s">
        <v>244</v>
      </c>
      <c r="E787" s="907">
        <f>DMT!$F$28</f>
        <v>22</v>
      </c>
      <c r="F787" s="908">
        <f>SUM(F783:F786)</f>
        <v>1</v>
      </c>
      <c r="G787" s="912">
        <f>IF(E787&lt;=30,(1.07*E787+6.45)*F787,((1.07*30+6.45)+1.07*(E787-30))*F787)</f>
        <v>29.990000000000002</v>
      </c>
      <c r="H787" s="901">
        <v>0</v>
      </c>
      <c r="I787" s="901"/>
      <c r="J787" s="902">
        <v>0</v>
      </c>
      <c r="K787" s="903" t="s">
        <v>507</v>
      </c>
      <c r="L787" s="1003">
        <f>ROUND(SUM('RES. CENTRAL PARK:RUA_FINAL'!L787),2)</f>
        <v>0</v>
      </c>
      <c r="M787" s="960">
        <f t="shared" si="273"/>
        <v>0</v>
      </c>
      <c r="N787" s="893">
        <f t="shared" si="274"/>
        <v>0</v>
      </c>
      <c r="O787" s="905"/>
      <c r="P787" s="58" t="str">
        <f>IF(N783&gt;0,"xx",IF(N783&gt;0,"xy",""))</f>
        <v/>
      </c>
      <c r="Q787" s="317" t="str">
        <f t="shared" si="275"/>
        <v/>
      </c>
      <c r="R787" s="317" t="str">
        <f t="shared" si="276"/>
        <v/>
      </c>
      <c r="S787" s="317" t="str">
        <f t="shared" si="277"/>
        <v/>
      </c>
      <c r="V787" s="314">
        <f>SUM('RES. CENTRAL PARK:RUA_FINAL'!N787)</f>
        <v>0</v>
      </c>
      <c r="W787" s="315">
        <f t="shared" si="254"/>
        <v>0</v>
      </c>
    </row>
    <row r="788" spans="1:23" ht="15" hidden="1" customHeight="1" thickBot="1" x14ac:dyDescent="0.25">
      <c r="A788" s="63">
        <v>589000</v>
      </c>
      <c r="B788" s="1004" t="s">
        <v>1680</v>
      </c>
      <c r="C788" s="984" t="s">
        <v>213</v>
      </c>
      <c r="D788" s="1012" t="s">
        <v>2172</v>
      </c>
      <c r="E788" s="1020">
        <f>DMT!$D$45</f>
        <v>45</v>
      </c>
      <c r="F788" s="1006">
        <v>1</v>
      </c>
      <c r="G788" s="1028">
        <f>(0.94*E788+46.06)*F788</f>
        <v>88.36</v>
      </c>
      <c r="H788" s="988">
        <v>4828.8599999999997</v>
      </c>
      <c r="I788" s="988">
        <f>IF(ISBLANK(H788),"",H788*(1+$E$9)/(1+$E$10))+G788</f>
        <v>4724.580378112767</v>
      </c>
      <c r="J788" s="989">
        <f t="shared" ref="J788" si="280">IF(ISBLANK(H788),0,ROUND(I788*(1+$E$10),2))</f>
        <v>5672.8</v>
      </c>
      <c r="K788" s="990" t="s">
        <v>14</v>
      </c>
      <c r="L788" s="1035">
        <f>ROUND(SUM('RES. CENTRAL PARK:RUA_FINAL'!L788),2)</f>
        <v>0</v>
      </c>
      <c r="M788" s="1034">
        <f t="shared" si="273"/>
        <v>0</v>
      </c>
      <c r="N788" s="993">
        <f t="shared" si="274"/>
        <v>0</v>
      </c>
      <c r="O788" s="905"/>
      <c r="P788" s="58" t="str">
        <f>IF(N783&gt;0,"xx",IF(N783&gt;0,"xy",""))</f>
        <v/>
      </c>
      <c r="Q788" s="317" t="str">
        <f t="shared" si="275"/>
        <v/>
      </c>
      <c r="R788" s="317" t="str">
        <f t="shared" si="276"/>
        <v/>
      </c>
      <c r="S788" s="317" t="str">
        <f t="shared" si="277"/>
        <v/>
      </c>
      <c r="V788" s="314">
        <f>SUM('RES. CENTRAL PARK:RUA_FINAL'!N788)</f>
        <v>0</v>
      </c>
      <c r="W788" s="315">
        <f t="shared" si="254"/>
        <v>0</v>
      </c>
    </row>
    <row r="789" spans="1:23" ht="15" hidden="1" customHeight="1" x14ac:dyDescent="0.2">
      <c r="A789" s="63">
        <v>521450</v>
      </c>
      <c r="B789" s="955" t="s">
        <v>1613</v>
      </c>
      <c r="C789" s="956" t="s">
        <v>184</v>
      </c>
      <c r="D789" s="906" t="s">
        <v>274</v>
      </c>
      <c r="E789" s="907">
        <f>DMT!$F$15</f>
        <v>0</v>
      </c>
      <c r="F789" s="899">
        <v>0.3</v>
      </c>
      <c r="G789" s="949">
        <f t="shared" ref="G789:G790" si="281">IF(E789&lt;=30,(1.07*E789+2.68)*F789,((1.07*30+2.68)+1.07*(E789-30))*F789)</f>
        <v>0.80400000000000005</v>
      </c>
      <c r="H789" s="901">
        <v>25.31</v>
      </c>
      <c r="I789" s="901">
        <f t="shared" ref="I789:I794" si="282">IF(ISBLANK(H789),"",SUM(G789:H789))</f>
        <v>26.113999999999997</v>
      </c>
      <c r="J789" s="902">
        <f t="shared" si="264"/>
        <v>31.36</v>
      </c>
      <c r="K789" s="903" t="s">
        <v>12</v>
      </c>
      <c r="L789" s="904">
        <f>ROUND(SUM('RES. CENTRAL PARK:RUA_FINAL'!L789),2)</f>
        <v>0</v>
      </c>
      <c r="M789" s="904">
        <f t="shared" si="249"/>
        <v>0</v>
      </c>
      <c r="N789" s="893">
        <f t="shared" si="250"/>
        <v>0</v>
      </c>
      <c r="O789" s="905"/>
      <c r="Q789" s="317" t="str">
        <f t="shared" si="251"/>
        <v/>
      </c>
      <c r="R789" s="317" t="str">
        <f t="shared" si="252"/>
        <v/>
      </c>
      <c r="S789" s="317" t="str">
        <f t="shared" si="253"/>
        <v/>
      </c>
      <c r="V789" s="314">
        <f>SUM('RES. CENTRAL PARK:RUA_FINAL'!N789)</f>
        <v>0</v>
      </c>
      <c r="W789" s="315">
        <f t="shared" ref="W789:W852" si="283">N789-V789</f>
        <v>0</v>
      </c>
    </row>
    <row r="790" spans="1:23" ht="15" hidden="1" customHeight="1" x14ac:dyDescent="0.2">
      <c r="A790" s="63">
        <v>535200</v>
      </c>
      <c r="B790" s="895" t="s">
        <v>1609</v>
      </c>
      <c r="C790" s="896" t="s">
        <v>184</v>
      </c>
      <c r="D790" s="906" t="s">
        <v>275</v>
      </c>
      <c r="E790" s="907">
        <f>DMT!$F$15</f>
        <v>0</v>
      </c>
      <c r="F790" s="899">
        <v>7.6999999999999999E-2</v>
      </c>
      <c r="G790" s="949">
        <f t="shared" si="281"/>
        <v>0.20636000000000002</v>
      </c>
      <c r="H790" s="901">
        <v>11.65</v>
      </c>
      <c r="I790" s="901">
        <f t="shared" si="282"/>
        <v>11.85636</v>
      </c>
      <c r="J790" s="902">
        <f t="shared" si="264"/>
        <v>14.24</v>
      </c>
      <c r="K790" s="903" t="s">
        <v>13</v>
      </c>
      <c r="L790" s="904">
        <f>ROUND(SUM('RES. CENTRAL PARK:RUA_FINAL'!L790),2)</f>
        <v>0</v>
      </c>
      <c r="M790" s="904">
        <f t="shared" si="249"/>
        <v>0</v>
      </c>
      <c r="N790" s="893">
        <f t="shared" si="250"/>
        <v>0</v>
      </c>
      <c r="O790" s="905"/>
      <c r="Q790" s="317" t="str">
        <f t="shared" si="251"/>
        <v/>
      </c>
      <c r="R790" s="317" t="str">
        <f t="shared" si="252"/>
        <v/>
      </c>
      <c r="S790" s="317" t="str">
        <f t="shared" si="253"/>
        <v/>
      </c>
      <c r="V790" s="314">
        <f>SUM('RES. CENTRAL PARK:RUA_FINAL'!N790)</f>
        <v>0</v>
      </c>
      <c r="W790" s="315">
        <f t="shared" si="283"/>
        <v>0</v>
      </c>
    </row>
    <row r="791" spans="1:23" ht="15" hidden="1" customHeight="1" x14ac:dyDescent="0.2">
      <c r="A791" s="63">
        <v>521450</v>
      </c>
      <c r="B791" s="895" t="s">
        <v>1614</v>
      </c>
      <c r="C791" s="896" t="s">
        <v>184</v>
      </c>
      <c r="D791" s="906" t="s">
        <v>276</v>
      </c>
      <c r="E791" s="907"/>
      <c r="F791" s="899"/>
      <c r="G791" s="912">
        <f t="shared" ref="G791:G792" si="284">IF(E791&lt;=30,(0.62*E791+6.29)*F791,((0.62*30+6.29)+0.62*(E791-30))*F791)</f>
        <v>0</v>
      </c>
      <c r="H791" s="901">
        <v>25.31</v>
      </c>
      <c r="I791" s="901">
        <f t="shared" si="282"/>
        <v>25.31</v>
      </c>
      <c r="J791" s="902">
        <f t="shared" si="264"/>
        <v>30.39</v>
      </c>
      <c r="K791" s="903" t="s">
        <v>12</v>
      </c>
      <c r="L791" s="904">
        <f>ROUND(SUM('RES. CENTRAL PARK:RUA_FINAL'!L791),2)</f>
        <v>0</v>
      </c>
      <c r="M791" s="904">
        <f t="shared" si="249"/>
        <v>0</v>
      </c>
      <c r="N791" s="893">
        <f t="shared" si="250"/>
        <v>0</v>
      </c>
      <c r="O791" s="905"/>
      <c r="Q791" s="317" t="str">
        <f t="shared" si="251"/>
        <v/>
      </c>
      <c r="R791" s="317" t="str">
        <f t="shared" si="252"/>
        <v/>
      </c>
      <c r="S791" s="317" t="str">
        <f t="shared" si="253"/>
        <v/>
      </c>
      <c r="V791" s="314">
        <f>SUM('RES. CENTRAL PARK:RUA_FINAL'!N791)</f>
        <v>0</v>
      </c>
      <c r="W791" s="315">
        <f t="shared" si="283"/>
        <v>0</v>
      </c>
    </row>
    <row r="792" spans="1:23" ht="15" hidden="1" customHeight="1" x14ac:dyDescent="0.2">
      <c r="A792" s="63">
        <v>521450</v>
      </c>
      <c r="B792" s="895" t="s">
        <v>1615</v>
      </c>
      <c r="C792" s="896" t="s">
        <v>184</v>
      </c>
      <c r="D792" s="906" t="s">
        <v>277</v>
      </c>
      <c r="E792" s="907"/>
      <c r="F792" s="899"/>
      <c r="G792" s="912">
        <f t="shared" si="284"/>
        <v>0</v>
      </c>
      <c r="H792" s="901">
        <v>25.31</v>
      </c>
      <c r="I792" s="901">
        <f t="shared" si="282"/>
        <v>25.31</v>
      </c>
      <c r="J792" s="902">
        <f t="shared" si="264"/>
        <v>30.39</v>
      </c>
      <c r="K792" s="903" t="s">
        <v>12</v>
      </c>
      <c r="L792" s="904">
        <f>ROUND(SUM('RES. CENTRAL PARK:RUA_FINAL'!L792),2)</f>
        <v>0</v>
      </c>
      <c r="M792" s="904">
        <f t="shared" si="249"/>
        <v>0</v>
      </c>
      <c r="N792" s="893">
        <f t="shared" si="250"/>
        <v>0</v>
      </c>
      <c r="O792" s="905"/>
      <c r="Q792" s="317" t="str">
        <f t="shared" si="251"/>
        <v/>
      </c>
      <c r="R792" s="317" t="str">
        <f t="shared" si="252"/>
        <v/>
      </c>
      <c r="S792" s="317" t="str">
        <f t="shared" si="253"/>
        <v/>
      </c>
      <c r="V792" s="314">
        <f>SUM('RES. CENTRAL PARK:RUA_FINAL'!N792)</f>
        <v>0</v>
      </c>
      <c r="W792" s="315">
        <f t="shared" si="283"/>
        <v>0</v>
      </c>
    </row>
    <row r="793" spans="1:23" ht="15" hidden="1" customHeight="1" x14ac:dyDescent="0.2">
      <c r="A793" s="63">
        <v>535000</v>
      </c>
      <c r="B793" s="895" t="s">
        <v>1752</v>
      </c>
      <c r="C793" s="896" t="s">
        <v>184</v>
      </c>
      <c r="D793" s="906" t="s">
        <v>222</v>
      </c>
      <c r="E793" s="907">
        <f>DMT!$F$16</f>
        <v>0</v>
      </c>
      <c r="F793" s="908">
        <v>0.27200000000000002</v>
      </c>
      <c r="G793" s="949">
        <f t="shared" ref="G793:G806" si="285">IF(E793&lt;=30,(1.07*E793+2.68)*F793,((1.07*30+2.68)+1.07*(E793-30))*F793)</f>
        <v>0.72896000000000005</v>
      </c>
      <c r="H793" s="901">
        <v>109.55</v>
      </c>
      <c r="I793" s="901">
        <f t="shared" si="282"/>
        <v>110.27896</v>
      </c>
      <c r="J793" s="902">
        <f t="shared" si="264"/>
        <v>132.41</v>
      </c>
      <c r="K793" s="903" t="s">
        <v>12</v>
      </c>
      <c r="L793" s="904">
        <f>ROUND(SUM('RES. CENTRAL PARK:RUA_FINAL'!L793),2)</f>
        <v>0</v>
      </c>
      <c r="M793" s="904">
        <f t="shared" si="249"/>
        <v>0</v>
      </c>
      <c r="N793" s="893">
        <f t="shared" si="250"/>
        <v>0</v>
      </c>
      <c r="O793" s="905"/>
      <c r="Q793" s="317" t="str">
        <f t="shared" si="251"/>
        <v/>
      </c>
      <c r="R793" s="317" t="str">
        <f t="shared" si="252"/>
        <v/>
      </c>
      <c r="S793" s="317" t="str">
        <f t="shared" si="253"/>
        <v/>
      </c>
      <c r="V793" s="314">
        <f>SUM('RES. CENTRAL PARK:RUA_FINAL'!N793)</f>
        <v>0</v>
      </c>
      <c r="W793" s="315">
        <f t="shared" si="283"/>
        <v>0</v>
      </c>
    </row>
    <row r="794" spans="1:23" ht="15" hidden="1" customHeight="1" x14ac:dyDescent="0.2">
      <c r="A794" s="63">
        <v>863000</v>
      </c>
      <c r="B794" s="895" t="s">
        <v>1622</v>
      </c>
      <c r="C794" s="896" t="s">
        <v>184</v>
      </c>
      <c r="D794" s="906" t="s">
        <v>223</v>
      </c>
      <c r="E794" s="907">
        <f>DMT!$F$34</f>
        <v>0.1</v>
      </c>
      <c r="F794" s="908">
        <f>2*0.04</f>
        <v>0.08</v>
      </c>
      <c r="G794" s="949">
        <f t="shared" si="285"/>
        <v>0.22296000000000005</v>
      </c>
      <c r="H794" s="901">
        <v>105.61</v>
      </c>
      <c r="I794" s="901">
        <f t="shared" si="282"/>
        <v>105.83296</v>
      </c>
      <c r="J794" s="902">
        <f t="shared" si="264"/>
        <v>127.07</v>
      </c>
      <c r="K794" s="903" t="s">
        <v>12</v>
      </c>
      <c r="L794" s="904">
        <f>ROUND(SUM('RES. CENTRAL PARK:RUA_FINAL'!L794),2)</f>
        <v>0</v>
      </c>
      <c r="M794" s="904">
        <f t="shared" si="249"/>
        <v>0</v>
      </c>
      <c r="N794" s="893">
        <f t="shared" si="250"/>
        <v>0</v>
      </c>
      <c r="O794" s="905"/>
      <c r="Q794" s="317" t="str">
        <f t="shared" si="251"/>
        <v/>
      </c>
      <c r="R794" s="317" t="str">
        <f t="shared" si="252"/>
        <v/>
      </c>
      <c r="S794" s="317" t="str">
        <f t="shared" si="253"/>
        <v/>
      </c>
      <c r="V794" s="314">
        <f>SUM('RES. CENTRAL PARK:RUA_FINAL'!N794)</f>
        <v>0</v>
      </c>
      <c r="W794" s="315">
        <f t="shared" si="283"/>
        <v>0</v>
      </c>
    </row>
    <row r="795" spans="1:23" ht="15" hidden="1" customHeight="1" x14ac:dyDescent="0.2">
      <c r="A795" s="63">
        <v>863000</v>
      </c>
      <c r="B795" s="895" t="s">
        <v>1623</v>
      </c>
      <c r="C795" s="896" t="s">
        <v>184</v>
      </c>
      <c r="D795" s="906" t="s">
        <v>224</v>
      </c>
      <c r="E795" s="907">
        <f>DMT!$F$34</f>
        <v>0.1</v>
      </c>
      <c r="F795" s="908">
        <f>2*0.05</f>
        <v>0.1</v>
      </c>
      <c r="G795" s="949">
        <f t="shared" si="285"/>
        <v>0.27870000000000006</v>
      </c>
      <c r="H795" s="901">
        <v>105.61</v>
      </c>
      <c r="I795" s="901">
        <f t="shared" ref="I795:I805" si="286">IF(ISBLANK(H795),"",SUM(G795:H795))</f>
        <v>105.8887</v>
      </c>
      <c r="J795" s="902">
        <f t="shared" si="264"/>
        <v>127.14</v>
      </c>
      <c r="K795" s="903" t="s">
        <v>12</v>
      </c>
      <c r="L795" s="904">
        <f>ROUND(SUM('RES. CENTRAL PARK:RUA_FINAL'!L795),2)</f>
        <v>0</v>
      </c>
      <c r="M795" s="904">
        <f t="shared" si="249"/>
        <v>0</v>
      </c>
      <c r="N795" s="893">
        <f t="shared" si="250"/>
        <v>0</v>
      </c>
      <c r="O795" s="905"/>
      <c r="Q795" s="317" t="str">
        <f t="shared" si="251"/>
        <v/>
      </c>
      <c r="R795" s="317" t="str">
        <f t="shared" si="252"/>
        <v/>
      </c>
      <c r="S795" s="317" t="str">
        <f t="shared" si="253"/>
        <v/>
      </c>
      <c r="V795" s="314">
        <f>SUM('RES. CENTRAL PARK:RUA_FINAL'!N795)</f>
        <v>0</v>
      </c>
      <c r="W795" s="315">
        <f t="shared" si="283"/>
        <v>0</v>
      </c>
    </row>
    <row r="796" spans="1:23" ht="15" hidden="1" customHeight="1" x14ac:dyDescent="0.2">
      <c r="A796" s="63">
        <v>534906</v>
      </c>
      <c r="B796" s="895" t="s">
        <v>1626</v>
      </c>
      <c r="C796" s="896" t="s">
        <v>184</v>
      </c>
      <c r="D796" s="906" t="s">
        <v>225</v>
      </c>
      <c r="E796" s="907">
        <f>DMT!$F$34</f>
        <v>0.1</v>
      </c>
      <c r="F796" s="908">
        <f>2*0.06</f>
        <v>0.12</v>
      </c>
      <c r="G796" s="949">
        <f t="shared" si="285"/>
        <v>0.33444000000000002</v>
      </c>
      <c r="H796" s="901">
        <v>76.400000000000006</v>
      </c>
      <c r="I796" s="901">
        <f t="shared" si="286"/>
        <v>76.734440000000006</v>
      </c>
      <c r="J796" s="902">
        <f t="shared" si="264"/>
        <v>92.14</v>
      </c>
      <c r="K796" s="903" t="s">
        <v>12</v>
      </c>
      <c r="L796" s="904">
        <f>ROUND(SUM('RES. CENTRAL PARK:RUA_FINAL'!L796),2)</f>
        <v>0</v>
      </c>
      <c r="M796" s="904">
        <f t="shared" ref="M796:M859" si="287">IF(L796=0,0,ROUND(J796,2))</f>
        <v>0</v>
      </c>
      <c r="N796" s="893">
        <f t="shared" ref="N796:N859" si="288">IF(ISBLANK(L796),0,ROUND(L796*M796,2))</f>
        <v>0</v>
      </c>
      <c r="O796" s="905"/>
      <c r="Q796" s="317" t="str">
        <f t="shared" ref="Q796:Q859" si="289">IF(P796="X","x",IF(P796="xx","x",IF(P796="xy","x",IF(P796="y","x",IF(OR(N796&gt;0,N796&gt;0),"x","")))))</f>
        <v/>
      </c>
      <c r="R796" s="317" t="str">
        <f t="shared" ref="R796:R859" si="290">IF(P796="X","x",IF(P796="y","x",IF(P796="xx","x",IF(N796&gt;0,"x",""))))</f>
        <v/>
      </c>
      <c r="S796" s="317" t="str">
        <f t="shared" ref="S796:S859" si="291">IF(P796="X","x",IF(N796&gt;0,"x",""))</f>
        <v/>
      </c>
      <c r="V796" s="314">
        <f>SUM('RES. CENTRAL PARK:RUA_FINAL'!N796)</f>
        <v>0</v>
      </c>
      <c r="W796" s="315">
        <f t="shared" si="283"/>
        <v>0</v>
      </c>
    </row>
    <row r="797" spans="1:23" ht="15" hidden="1" customHeight="1" x14ac:dyDescent="0.2">
      <c r="A797" s="63">
        <v>534906</v>
      </c>
      <c r="B797" s="895" t="s">
        <v>1627</v>
      </c>
      <c r="C797" s="896" t="s">
        <v>184</v>
      </c>
      <c r="D797" s="906" t="s">
        <v>226</v>
      </c>
      <c r="E797" s="907">
        <f>DMT!$F$34</f>
        <v>0.1</v>
      </c>
      <c r="F797" s="908">
        <f>2*0.07</f>
        <v>0.14000000000000001</v>
      </c>
      <c r="G797" s="949">
        <f t="shared" si="285"/>
        <v>0.39018000000000008</v>
      </c>
      <c r="H797" s="901">
        <v>76.400000000000006</v>
      </c>
      <c r="I797" s="901">
        <f t="shared" si="286"/>
        <v>76.790180000000007</v>
      </c>
      <c r="J797" s="902">
        <f t="shared" si="264"/>
        <v>92.2</v>
      </c>
      <c r="K797" s="903" t="s">
        <v>12</v>
      </c>
      <c r="L797" s="904">
        <f>ROUND(SUM('RES. CENTRAL PARK:RUA_FINAL'!L797),2)</f>
        <v>0</v>
      </c>
      <c r="M797" s="904">
        <f t="shared" si="287"/>
        <v>0</v>
      </c>
      <c r="N797" s="893">
        <f t="shared" si="288"/>
        <v>0</v>
      </c>
      <c r="O797" s="905"/>
      <c r="Q797" s="317" t="str">
        <f t="shared" si="289"/>
        <v/>
      </c>
      <c r="R797" s="317" t="str">
        <f t="shared" si="290"/>
        <v/>
      </c>
      <c r="S797" s="317" t="str">
        <f t="shared" si="291"/>
        <v/>
      </c>
      <c r="V797" s="314">
        <f>SUM('RES. CENTRAL PARK:RUA_FINAL'!N797)</f>
        <v>0</v>
      </c>
      <c r="W797" s="315">
        <f t="shared" si="283"/>
        <v>0</v>
      </c>
    </row>
    <row r="798" spans="1:23" ht="15" hidden="1" customHeight="1" x14ac:dyDescent="0.2">
      <c r="A798" s="63">
        <v>534906</v>
      </c>
      <c r="B798" s="895" t="s">
        <v>1628</v>
      </c>
      <c r="C798" s="896" t="s">
        <v>184</v>
      </c>
      <c r="D798" s="906" t="s">
        <v>227</v>
      </c>
      <c r="E798" s="907">
        <f>DMT!$F$34</f>
        <v>0.1</v>
      </c>
      <c r="F798" s="908">
        <f>2*0.08</f>
        <v>0.16</v>
      </c>
      <c r="G798" s="949">
        <f t="shared" si="285"/>
        <v>0.44592000000000009</v>
      </c>
      <c r="H798" s="901">
        <v>76.400000000000006</v>
      </c>
      <c r="I798" s="901">
        <f t="shared" si="286"/>
        <v>76.845920000000007</v>
      </c>
      <c r="J798" s="902">
        <f t="shared" si="264"/>
        <v>92.27</v>
      </c>
      <c r="K798" s="903" t="s">
        <v>12</v>
      </c>
      <c r="L798" s="904">
        <f>ROUND(SUM('RES. CENTRAL PARK:RUA_FINAL'!L798),2)</f>
        <v>0</v>
      </c>
      <c r="M798" s="904">
        <f t="shared" si="287"/>
        <v>0</v>
      </c>
      <c r="N798" s="893">
        <f t="shared" si="288"/>
        <v>0</v>
      </c>
      <c r="O798" s="905"/>
      <c r="Q798" s="317" t="str">
        <f t="shared" si="289"/>
        <v/>
      </c>
      <c r="R798" s="317" t="str">
        <f t="shared" si="290"/>
        <v/>
      </c>
      <c r="S798" s="317" t="str">
        <f t="shared" si="291"/>
        <v/>
      </c>
      <c r="V798" s="314">
        <f>SUM('RES. CENTRAL PARK:RUA_FINAL'!N798)</f>
        <v>0</v>
      </c>
      <c r="W798" s="315">
        <f t="shared" si="283"/>
        <v>0</v>
      </c>
    </row>
    <row r="799" spans="1:23" ht="15" hidden="1" customHeight="1" x14ac:dyDescent="0.2">
      <c r="A799" s="63">
        <v>534906</v>
      </c>
      <c r="B799" s="895" t="s">
        <v>1629</v>
      </c>
      <c r="C799" s="896" t="s">
        <v>184</v>
      </c>
      <c r="D799" s="906" t="s">
        <v>228</v>
      </c>
      <c r="E799" s="907">
        <f>DMT!$F$34</f>
        <v>0.1</v>
      </c>
      <c r="F799" s="908">
        <f>2*0.1</f>
        <v>0.2</v>
      </c>
      <c r="G799" s="949">
        <f t="shared" si="285"/>
        <v>0.55740000000000012</v>
      </c>
      <c r="H799" s="901">
        <v>76.400000000000006</v>
      </c>
      <c r="I799" s="901">
        <f t="shared" si="286"/>
        <v>76.957400000000007</v>
      </c>
      <c r="J799" s="902">
        <f t="shared" si="264"/>
        <v>92.4</v>
      </c>
      <c r="K799" s="903" t="s">
        <v>12</v>
      </c>
      <c r="L799" s="904">
        <f>ROUND(SUM('RES. CENTRAL PARK:RUA_FINAL'!L799),2)</f>
        <v>0</v>
      </c>
      <c r="M799" s="904">
        <f t="shared" si="287"/>
        <v>0</v>
      </c>
      <c r="N799" s="893">
        <f t="shared" si="288"/>
        <v>0</v>
      </c>
      <c r="O799" s="905"/>
      <c r="Q799" s="317" t="str">
        <f t="shared" si="289"/>
        <v/>
      </c>
      <c r="R799" s="317" t="str">
        <f t="shared" si="290"/>
        <v/>
      </c>
      <c r="S799" s="317" t="str">
        <f t="shared" si="291"/>
        <v/>
      </c>
      <c r="V799" s="314">
        <f>SUM('RES. CENTRAL PARK:RUA_FINAL'!N799)</f>
        <v>0</v>
      </c>
      <c r="W799" s="315">
        <f t="shared" si="283"/>
        <v>0</v>
      </c>
    </row>
    <row r="800" spans="1:23" ht="15" hidden="1" customHeight="1" x14ac:dyDescent="0.2">
      <c r="A800" s="63">
        <v>534906</v>
      </c>
      <c r="B800" s="895" t="s">
        <v>1630</v>
      </c>
      <c r="C800" s="896" t="s">
        <v>184</v>
      </c>
      <c r="D800" s="906" t="s">
        <v>803</v>
      </c>
      <c r="E800" s="907">
        <f>DMT!$F$37</f>
        <v>0.1</v>
      </c>
      <c r="F800" s="908">
        <v>0.14000000000000001</v>
      </c>
      <c r="G800" s="949">
        <f t="shared" si="285"/>
        <v>0.39018000000000008</v>
      </c>
      <c r="H800" s="901">
        <v>76.400000000000006</v>
      </c>
      <c r="I800" s="901">
        <f t="shared" si="286"/>
        <v>76.790180000000007</v>
      </c>
      <c r="J800" s="902">
        <f t="shared" si="264"/>
        <v>92.2</v>
      </c>
      <c r="K800" s="903" t="s">
        <v>12</v>
      </c>
      <c r="L800" s="904">
        <f>ROUND(SUM('RES. CENTRAL PARK:RUA_FINAL'!L800),2)</f>
        <v>0</v>
      </c>
      <c r="M800" s="904">
        <f t="shared" si="287"/>
        <v>0</v>
      </c>
      <c r="N800" s="893">
        <f t="shared" si="288"/>
        <v>0</v>
      </c>
      <c r="O800" s="905"/>
      <c r="Q800" s="317" t="str">
        <f t="shared" si="289"/>
        <v/>
      </c>
      <c r="R800" s="317" t="str">
        <f t="shared" si="290"/>
        <v/>
      </c>
      <c r="S800" s="317" t="str">
        <f t="shared" si="291"/>
        <v/>
      </c>
      <c r="V800" s="314">
        <f>SUM('RES. CENTRAL PARK:RUA_FINAL'!N800)</f>
        <v>0</v>
      </c>
      <c r="W800" s="315">
        <f t="shared" si="283"/>
        <v>0</v>
      </c>
    </row>
    <row r="801" spans="1:23" ht="15" hidden="1" customHeight="1" x14ac:dyDescent="0.2">
      <c r="A801" s="63">
        <v>534906</v>
      </c>
      <c r="B801" s="895" t="s">
        <v>1631</v>
      </c>
      <c r="C801" s="896" t="s">
        <v>184</v>
      </c>
      <c r="D801" s="906" t="s">
        <v>804</v>
      </c>
      <c r="E801" s="907">
        <f>DMT!$F$37</f>
        <v>0.1</v>
      </c>
      <c r="F801" s="908">
        <v>0.14000000000000001</v>
      </c>
      <c r="G801" s="949">
        <f t="shared" si="285"/>
        <v>0.39018000000000008</v>
      </c>
      <c r="H801" s="901">
        <v>76.400000000000006</v>
      </c>
      <c r="I801" s="901">
        <f t="shared" si="286"/>
        <v>76.790180000000007</v>
      </c>
      <c r="J801" s="902">
        <f t="shared" si="264"/>
        <v>92.2</v>
      </c>
      <c r="K801" s="903" t="s">
        <v>12</v>
      </c>
      <c r="L801" s="904">
        <f>ROUND(SUM('RES. CENTRAL PARK:RUA_FINAL'!L801),2)</f>
        <v>0</v>
      </c>
      <c r="M801" s="904">
        <f t="shared" si="287"/>
        <v>0</v>
      </c>
      <c r="N801" s="893">
        <f t="shared" si="288"/>
        <v>0</v>
      </c>
      <c r="O801" s="905"/>
      <c r="Q801" s="317" t="str">
        <f t="shared" si="289"/>
        <v/>
      </c>
      <c r="R801" s="317" t="str">
        <f t="shared" si="290"/>
        <v/>
      </c>
      <c r="S801" s="317" t="str">
        <f t="shared" si="291"/>
        <v/>
      </c>
      <c r="V801" s="314">
        <f>SUM('RES. CENTRAL PARK:RUA_FINAL'!N801)</f>
        <v>0</v>
      </c>
      <c r="W801" s="315">
        <f t="shared" si="283"/>
        <v>0</v>
      </c>
    </row>
    <row r="802" spans="1:23" ht="15" hidden="1" customHeight="1" x14ac:dyDescent="0.2">
      <c r="A802" s="63">
        <v>534908</v>
      </c>
      <c r="B802" s="895" t="s">
        <v>211</v>
      </c>
      <c r="C802" s="896" t="s">
        <v>184</v>
      </c>
      <c r="D802" s="906" t="s">
        <v>805</v>
      </c>
      <c r="E802" s="907">
        <f>DMT!$F$37</f>
        <v>0.1</v>
      </c>
      <c r="F802" s="908">
        <v>0.18</v>
      </c>
      <c r="G802" s="949">
        <f t="shared" si="285"/>
        <v>0.50165999999999999</v>
      </c>
      <c r="H802" s="901">
        <v>89.6</v>
      </c>
      <c r="I802" s="901">
        <f t="shared" si="286"/>
        <v>90.101659999999995</v>
      </c>
      <c r="J802" s="902">
        <f t="shared" si="264"/>
        <v>108.19</v>
      </c>
      <c r="K802" s="903" t="s">
        <v>12</v>
      </c>
      <c r="L802" s="904">
        <f>ROUND(SUM('RES. CENTRAL PARK:RUA_FINAL'!L802),2)</f>
        <v>0</v>
      </c>
      <c r="M802" s="904">
        <f t="shared" si="287"/>
        <v>0</v>
      </c>
      <c r="N802" s="893">
        <f t="shared" si="288"/>
        <v>0</v>
      </c>
      <c r="O802" s="905"/>
      <c r="Q802" s="317" t="str">
        <f t="shared" si="289"/>
        <v/>
      </c>
      <c r="R802" s="317" t="str">
        <f t="shared" si="290"/>
        <v/>
      </c>
      <c r="S802" s="317" t="str">
        <f t="shared" si="291"/>
        <v/>
      </c>
      <c r="V802" s="314">
        <f>SUM('RES. CENTRAL PARK:RUA_FINAL'!N802)</f>
        <v>0</v>
      </c>
      <c r="W802" s="315">
        <f t="shared" si="283"/>
        <v>0</v>
      </c>
    </row>
    <row r="803" spans="1:23" ht="15" hidden="1" customHeight="1" x14ac:dyDescent="0.2">
      <c r="A803" s="63">
        <v>534908</v>
      </c>
      <c r="B803" s="895" t="s">
        <v>212</v>
      </c>
      <c r="C803" s="896" t="s">
        <v>184</v>
      </c>
      <c r="D803" s="906" t="s">
        <v>806</v>
      </c>
      <c r="E803" s="907">
        <f>DMT!$F$37</f>
        <v>0.1</v>
      </c>
      <c r="F803" s="908">
        <v>0.18</v>
      </c>
      <c r="G803" s="949">
        <f t="shared" si="285"/>
        <v>0.50165999999999999</v>
      </c>
      <c r="H803" s="901">
        <v>89.6</v>
      </c>
      <c r="I803" s="901">
        <f t="shared" si="286"/>
        <v>90.101659999999995</v>
      </c>
      <c r="J803" s="902">
        <f t="shared" si="264"/>
        <v>108.19</v>
      </c>
      <c r="K803" s="903" t="s">
        <v>12</v>
      </c>
      <c r="L803" s="904">
        <f>ROUND(SUM('RES. CENTRAL PARK:RUA_FINAL'!L803),2)</f>
        <v>0</v>
      </c>
      <c r="M803" s="904">
        <f t="shared" si="287"/>
        <v>0</v>
      </c>
      <c r="N803" s="893">
        <f t="shared" si="288"/>
        <v>0</v>
      </c>
      <c r="O803" s="905"/>
      <c r="Q803" s="317" t="str">
        <f t="shared" si="289"/>
        <v/>
      </c>
      <c r="R803" s="317" t="str">
        <f t="shared" si="290"/>
        <v/>
      </c>
      <c r="S803" s="317" t="str">
        <f t="shared" si="291"/>
        <v/>
      </c>
      <c r="V803" s="314">
        <f>SUM('RES. CENTRAL PARK:RUA_FINAL'!N803)</f>
        <v>0</v>
      </c>
      <c r="W803" s="315">
        <f t="shared" si="283"/>
        <v>0</v>
      </c>
    </row>
    <row r="804" spans="1:23" ht="15" hidden="1" customHeight="1" x14ac:dyDescent="0.2">
      <c r="A804" s="63">
        <v>534908</v>
      </c>
      <c r="B804" s="895" t="s">
        <v>1632</v>
      </c>
      <c r="C804" s="896" t="s">
        <v>184</v>
      </c>
      <c r="D804" s="906" t="s">
        <v>807</v>
      </c>
      <c r="E804" s="907">
        <f>DMT!$F$37</f>
        <v>0.1</v>
      </c>
      <c r="F804" s="908">
        <v>0.22</v>
      </c>
      <c r="G804" s="949">
        <f t="shared" si="285"/>
        <v>0.61314000000000013</v>
      </c>
      <c r="H804" s="901">
        <v>89.6</v>
      </c>
      <c r="I804" s="901">
        <f t="shared" si="286"/>
        <v>90.213139999999996</v>
      </c>
      <c r="J804" s="902">
        <f t="shared" si="264"/>
        <v>108.32</v>
      </c>
      <c r="K804" s="903" t="s">
        <v>12</v>
      </c>
      <c r="L804" s="904">
        <f>ROUND(SUM('RES. CENTRAL PARK:RUA_FINAL'!L804),2)</f>
        <v>0</v>
      </c>
      <c r="M804" s="904">
        <f t="shared" si="287"/>
        <v>0</v>
      </c>
      <c r="N804" s="893">
        <f t="shared" si="288"/>
        <v>0</v>
      </c>
      <c r="O804" s="905"/>
      <c r="Q804" s="317" t="str">
        <f t="shared" si="289"/>
        <v/>
      </c>
      <c r="R804" s="317" t="str">
        <f t="shared" si="290"/>
        <v/>
      </c>
      <c r="S804" s="317" t="str">
        <f t="shared" si="291"/>
        <v/>
      </c>
      <c r="V804" s="314">
        <f>SUM('RES. CENTRAL PARK:RUA_FINAL'!N804)</f>
        <v>0</v>
      </c>
      <c r="W804" s="315">
        <f t="shared" si="283"/>
        <v>0</v>
      </c>
    </row>
    <row r="805" spans="1:23" ht="15" hidden="1" customHeight="1" x14ac:dyDescent="0.2">
      <c r="A805" s="63">
        <v>534908</v>
      </c>
      <c r="B805" s="895" t="s">
        <v>1633</v>
      </c>
      <c r="C805" s="896" t="s">
        <v>184</v>
      </c>
      <c r="D805" s="906" t="s">
        <v>808</v>
      </c>
      <c r="E805" s="907">
        <f>DMT!$F$37</f>
        <v>0.1</v>
      </c>
      <c r="F805" s="908">
        <v>0.22</v>
      </c>
      <c r="G805" s="949">
        <f t="shared" si="285"/>
        <v>0.61314000000000013</v>
      </c>
      <c r="H805" s="901">
        <v>89.6</v>
      </c>
      <c r="I805" s="901">
        <f t="shared" si="286"/>
        <v>90.213139999999996</v>
      </c>
      <c r="J805" s="902">
        <f t="shared" si="264"/>
        <v>108.32</v>
      </c>
      <c r="K805" s="903" t="s">
        <v>12</v>
      </c>
      <c r="L805" s="904">
        <f>ROUND(SUM('RES. CENTRAL PARK:RUA_FINAL'!L805),2)</f>
        <v>0</v>
      </c>
      <c r="M805" s="904">
        <f t="shared" si="287"/>
        <v>0</v>
      </c>
      <c r="N805" s="893">
        <f t="shared" si="288"/>
        <v>0</v>
      </c>
      <c r="O805" s="905"/>
      <c r="Q805" s="317" t="str">
        <f t="shared" si="289"/>
        <v/>
      </c>
      <c r="R805" s="317" t="str">
        <f t="shared" si="290"/>
        <v/>
      </c>
      <c r="S805" s="317" t="str">
        <f t="shared" si="291"/>
        <v/>
      </c>
      <c r="V805" s="314">
        <f>SUM('RES. CENTRAL PARK:RUA_FINAL'!N805)</f>
        <v>0</v>
      </c>
      <c r="W805" s="315">
        <f t="shared" si="283"/>
        <v>0</v>
      </c>
    </row>
    <row r="806" spans="1:23" ht="15" hidden="1" customHeight="1" x14ac:dyDescent="0.2">
      <c r="A806" s="63">
        <v>101090</v>
      </c>
      <c r="B806" s="895" t="s">
        <v>1635</v>
      </c>
      <c r="C806" s="896" t="s">
        <v>596</v>
      </c>
      <c r="D806" s="906" t="s">
        <v>1518</v>
      </c>
      <c r="E806" s="907">
        <f>DMT!$F$17</f>
        <v>0</v>
      </c>
      <c r="F806" s="908">
        <v>0.3</v>
      </c>
      <c r="G806" s="949">
        <f t="shared" si="285"/>
        <v>0.80400000000000005</v>
      </c>
      <c r="H806" s="901">
        <v>291.81</v>
      </c>
      <c r="I806" s="901">
        <f>IF(ISBLANK(H806),"",SUM(G806:H806))</f>
        <v>292.61399999999998</v>
      </c>
      <c r="J806" s="902">
        <f t="shared" si="264"/>
        <v>351.34</v>
      </c>
      <c r="K806" s="903" t="s">
        <v>12</v>
      </c>
      <c r="L806" s="910">
        <f>ROUND(SUM('RES. CENTRAL PARK:RUA_FINAL'!L806),2)</f>
        <v>0</v>
      </c>
      <c r="M806" s="911">
        <f t="shared" si="287"/>
        <v>0</v>
      </c>
      <c r="N806" s="893">
        <f t="shared" si="288"/>
        <v>0</v>
      </c>
      <c r="O806" s="905"/>
      <c r="Q806" s="317" t="str">
        <f t="shared" si="289"/>
        <v/>
      </c>
      <c r="R806" s="317" t="str">
        <f t="shared" si="290"/>
        <v/>
      </c>
      <c r="S806" s="317" t="str">
        <f t="shared" si="291"/>
        <v/>
      </c>
      <c r="V806" s="314">
        <f>SUM('RES. CENTRAL PARK:RUA_FINAL'!N806)</f>
        <v>0</v>
      </c>
      <c r="W806" s="315">
        <f t="shared" si="283"/>
        <v>0</v>
      </c>
    </row>
    <row r="807" spans="1:23" ht="15" hidden="1" customHeight="1" x14ac:dyDescent="0.2">
      <c r="A807" s="63">
        <v>98509</v>
      </c>
      <c r="B807" s="895">
        <v>98509</v>
      </c>
      <c r="C807" s="896" t="s">
        <v>596</v>
      </c>
      <c r="D807" s="906" t="s">
        <v>1527</v>
      </c>
      <c r="E807" s="907"/>
      <c r="F807" s="908"/>
      <c r="G807" s="912">
        <v>0</v>
      </c>
      <c r="H807" s="901">
        <v>31.71</v>
      </c>
      <c r="I807" s="901">
        <f t="shared" ref="I807:I852" si="292">IF(ISBLANK(H807),"",SUM(G807:H807))</f>
        <v>31.71</v>
      </c>
      <c r="J807" s="902">
        <f t="shared" si="264"/>
        <v>38.07</v>
      </c>
      <c r="K807" s="903" t="s">
        <v>15</v>
      </c>
      <c r="L807" s="904">
        <f>ROUND(SUM('RES. CENTRAL PARK:RUA_FINAL'!L807),2)</f>
        <v>0</v>
      </c>
      <c r="M807" s="904">
        <f t="shared" si="287"/>
        <v>0</v>
      </c>
      <c r="N807" s="893">
        <f t="shared" si="288"/>
        <v>0</v>
      </c>
      <c r="O807" s="905"/>
      <c r="Q807" s="317" t="str">
        <f t="shared" si="289"/>
        <v/>
      </c>
      <c r="R807" s="317" t="str">
        <f t="shared" si="290"/>
        <v/>
      </c>
      <c r="S807" s="317" t="str">
        <f t="shared" si="291"/>
        <v/>
      </c>
      <c r="V807" s="314">
        <f>SUM('RES. CENTRAL PARK:RUA_FINAL'!N807)</f>
        <v>0</v>
      </c>
      <c r="W807" s="315">
        <f t="shared" si="283"/>
        <v>0</v>
      </c>
    </row>
    <row r="808" spans="1:23" ht="15" hidden="1" customHeight="1" x14ac:dyDescent="0.2">
      <c r="A808" s="63">
        <v>98510</v>
      </c>
      <c r="B808" s="895">
        <v>98510</v>
      </c>
      <c r="C808" s="896" t="s">
        <v>596</v>
      </c>
      <c r="D808" s="906" t="s">
        <v>837</v>
      </c>
      <c r="E808" s="907"/>
      <c r="F808" s="908"/>
      <c r="G808" s="912">
        <v>0</v>
      </c>
      <c r="H808" s="901">
        <v>57.03</v>
      </c>
      <c r="I808" s="901">
        <f>IF(ISBLANK(H808),"",SUM(G808:H808))</f>
        <v>57.03</v>
      </c>
      <c r="J808" s="902">
        <f t="shared" si="264"/>
        <v>68.48</v>
      </c>
      <c r="K808" s="903" t="s">
        <v>15</v>
      </c>
      <c r="L808" s="904">
        <f>ROUND(SUM('RES. CENTRAL PARK:RUA_FINAL'!L808),2)</f>
        <v>0</v>
      </c>
      <c r="M808" s="904">
        <f t="shared" si="287"/>
        <v>0</v>
      </c>
      <c r="N808" s="893">
        <f t="shared" si="288"/>
        <v>0</v>
      </c>
      <c r="O808" s="905"/>
      <c r="Q808" s="317" t="str">
        <f t="shared" si="289"/>
        <v/>
      </c>
      <c r="R808" s="317" t="str">
        <f t="shared" si="290"/>
        <v/>
      </c>
      <c r="S808" s="317" t="str">
        <f t="shared" si="291"/>
        <v/>
      </c>
      <c r="V808" s="314">
        <f>SUM('RES. CENTRAL PARK:RUA_FINAL'!N808)</f>
        <v>0</v>
      </c>
      <c r="W808" s="315">
        <f t="shared" si="283"/>
        <v>0</v>
      </c>
    </row>
    <row r="809" spans="1:23" ht="15" hidden="1" customHeight="1" x14ac:dyDescent="0.2">
      <c r="A809" s="63">
        <v>98511</v>
      </c>
      <c r="B809" s="895">
        <v>98511</v>
      </c>
      <c r="C809" s="896" t="s">
        <v>596</v>
      </c>
      <c r="D809" s="906" t="s">
        <v>838</v>
      </c>
      <c r="E809" s="907"/>
      <c r="F809" s="908"/>
      <c r="G809" s="912">
        <v>0</v>
      </c>
      <c r="H809" s="901">
        <v>102.8</v>
      </c>
      <c r="I809" s="901">
        <f>IF(ISBLANK(H809),"",SUM(G809:H809))</f>
        <v>102.8</v>
      </c>
      <c r="J809" s="902">
        <f t="shared" si="264"/>
        <v>123.43</v>
      </c>
      <c r="K809" s="903" t="s">
        <v>15</v>
      </c>
      <c r="L809" s="904">
        <f>ROUND(SUM('RES. CENTRAL PARK:RUA_FINAL'!L809),2)</f>
        <v>0</v>
      </c>
      <c r="M809" s="904">
        <f t="shared" si="287"/>
        <v>0</v>
      </c>
      <c r="N809" s="893">
        <f t="shared" si="288"/>
        <v>0</v>
      </c>
      <c r="O809" s="905"/>
      <c r="Q809" s="317" t="str">
        <f t="shared" si="289"/>
        <v/>
      </c>
      <c r="R809" s="317" t="str">
        <f t="shared" si="290"/>
        <v/>
      </c>
      <c r="S809" s="317" t="str">
        <f t="shared" si="291"/>
        <v/>
      </c>
      <c r="V809" s="314">
        <f>SUM('RES. CENTRAL PARK:RUA_FINAL'!N809)</f>
        <v>0</v>
      </c>
      <c r="W809" s="315">
        <f t="shared" si="283"/>
        <v>0</v>
      </c>
    </row>
    <row r="810" spans="1:23" ht="15" hidden="1" customHeight="1" x14ac:dyDescent="0.2">
      <c r="A810" s="63">
        <v>98516</v>
      </c>
      <c r="B810" s="895">
        <v>98516</v>
      </c>
      <c r="C810" s="896" t="s">
        <v>596</v>
      </c>
      <c r="D810" s="906" t="s">
        <v>839</v>
      </c>
      <c r="E810" s="907"/>
      <c r="F810" s="908"/>
      <c r="G810" s="912">
        <v>0</v>
      </c>
      <c r="H810" s="901">
        <v>348.96</v>
      </c>
      <c r="I810" s="901">
        <f>IF(ISBLANK(H810),"",SUM(G810:H810))</f>
        <v>348.96</v>
      </c>
      <c r="J810" s="902">
        <f t="shared" si="264"/>
        <v>419</v>
      </c>
      <c r="K810" s="903" t="s">
        <v>15</v>
      </c>
      <c r="L810" s="904">
        <f>ROUND(SUM('RES. CENTRAL PARK:RUA_FINAL'!L810),2)</f>
        <v>0</v>
      </c>
      <c r="M810" s="904">
        <f t="shared" si="287"/>
        <v>0</v>
      </c>
      <c r="N810" s="893">
        <f t="shared" si="288"/>
        <v>0</v>
      </c>
      <c r="O810" s="905"/>
      <c r="Q810" s="317" t="str">
        <f t="shared" si="289"/>
        <v/>
      </c>
      <c r="R810" s="317" t="str">
        <f t="shared" si="290"/>
        <v/>
      </c>
      <c r="S810" s="317" t="str">
        <f t="shared" si="291"/>
        <v/>
      </c>
      <c r="V810" s="314">
        <f>SUM('RES. CENTRAL PARK:RUA_FINAL'!N810)</f>
        <v>0</v>
      </c>
      <c r="W810" s="315">
        <f t="shared" si="283"/>
        <v>0</v>
      </c>
    </row>
    <row r="811" spans="1:23" ht="15" hidden="1" customHeight="1" x14ac:dyDescent="0.2">
      <c r="A811" s="63">
        <v>98504</v>
      </c>
      <c r="B811" s="895">
        <v>98504</v>
      </c>
      <c r="C811" s="896" t="s">
        <v>596</v>
      </c>
      <c r="D811" s="906" t="s">
        <v>459</v>
      </c>
      <c r="E811" s="907"/>
      <c r="F811" s="908"/>
      <c r="G811" s="912">
        <v>0</v>
      </c>
      <c r="H811" s="901">
        <v>11.01</v>
      </c>
      <c r="I811" s="901">
        <f t="shared" si="292"/>
        <v>11.01</v>
      </c>
      <c r="J811" s="902">
        <f t="shared" si="264"/>
        <v>13.22</v>
      </c>
      <c r="K811" s="903" t="s">
        <v>12</v>
      </c>
      <c r="L811" s="904">
        <f>ROUND(SUM('RES. CENTRAL PARK:RUA_FINAL'!L811),2)</f>
        <v>0</v>
      </c>
      <c r="M811" s="904">
        <f t="shared" si="287"/>
        <v>0</v>
      </c>
      <c r="N811" s="893">
        <f t="shared" si="288"/>
        <v>0</v>
      </c>
      <c r="O811" s="905"/>
      <c r="Q811" s="317" t="str">
        <f t="shared" si="289"/>
        <v/>
      </c>
      <c r="R811" s="317" t="str">
        <f t="shared" si="290"/>
        <v/>
      </c>
      <c r="S811" s="317" t="str">
        <f t="shared" si="291"/>
        <v/>
      </c>
      <c r="V811" s="314">
        <f>SUM('RES. CENTRAL PARK:RUA_FINAL'!N811)</f>
        <v>0</v>
      </c>
      <c r="W811" s="315">
        <f t="shared" si="283"/>
        <v>0</v>
      </c>
    </row>
    <row r="812" spans="1:23" ht="15" hidden="1" customHeight="1" x14ac:dyDescent="0.2">
      <c r="A812" s="63">
        <v>98505</v>
      </c>
      <c r="B812" s="895">
        <v>98505</v>
      </c>
      <c r="C812" s="896" t="s">
        <v>596</v>
      </c>
      <c r="D812" s="906" t="s">
        <v>840</v>
      </c>
      <c r="E812" s="907"/>
      <c r="F812" s="908"/>
      <c r="G812" s="912">
        <v>0</v>
      </c>
      <c r="H812" s="901">
        <v>46.68</v>
      </c>
      <c r="I812" s="901">
        <f t="shared" si="292"/>
        <v>46.68</v>
      </c>
      <c r="J812" s="902">
        <f t="shared" si="264"/>
        <v>56.05</v>
      </c>
      <c r="K812" s="903" t="s">
        <v>12</v>
      </c>
      <c r="L812" s="904">
        <f>ROUND(SUM('RES. CENTRAL PARK:RUA_FINAL'!L812),2)</f>
        <v>0</v>
      </c>
      <c r="M812" s="904">
        <f t="shared" si="287"/>
        <v>0</v>
      </c>
      <c r="N812" s="893">
        <f t="shared" si="288"/>
        <v>0</v>
      </c>
      <c r="O812" s="905"/>
      <c r="Q812" s="317" t="str">
        <f t="shared" si="289"/>
        <v/>
      </c>
      <c r="R812" s="317" t="str">
        <f t="shared" si="290"/>
        <v/>
      </c>
      <c r="S812" s="317" t="str">
        <f t="shared" si="291"/>
        <v/>
      </c>
      <c r="V812" s="314">
        <f>SUM('RES. CENTRAL PARK:RUA_FINAL'!N812)</f>
        <v>0</v>
      </c>
      <c r="W812" s="315">
        <f t="shared" si="283"/>
        <v>0</v>
      </c>
    </row>
    <row r="813" spans="1:23" ht="15" hidden="1" customHeight="1" x14ac:dyDescent="0.2">
      <c r="A813" s="63">
        <v>800000</v>
      </c>
      <c r="B813" s="895">
        <v>800000</v>
      </c>
      <c r="C813" s="896" t="s">
        <v>184</v>
      </c>
      <c r="D813" s="906" t="s">
        <v>460</v>
      </c>
      <c r="E813" s="907"/>
      <c r="F813" s="908"/>
      <c r="G813" s="912">
        <v>0</v>
      </c>
      <c r="H813" s="901">
        <v>12.41</v>
      </c>
      <c r="I813" s="901">
        <f>IF(ISBLANK(H813),"",SUM(G813:H813))</f>
        <v>12.41</v>
      </c>
      <c r="J813" s="902">
        <f t="shared" si="264"/>
        <v>14.9</v>
      </c>
      <c r="K813" s="903" t="s">
        <v>12</v>
      </c>
      <c r="L813" s="904">
        <f>ROUND(SUM('RES. CENTRAL PARK:RUA_FINAL'!L813),2)</f>
        <v>0</v>
      </c>
      <c r="M813" s="904">
        <f t="shared" si="287"/>
        <v>0</v>
      </c>
      <c r="N813" s="893">
        <f t="shared" si="288"/>
        <v>0</v>
      </c>
      <c r="O813" s="905"/>
      <c r="Q813" s="317" t="str">
        <f t="shared" si="289"/>
        <v/>
      </c>
      <c r="R813" s="317" t="str">
        <f t="shared" si="290"/>
        <v/>
      </c>
      <c r="S813" s="317" t="str">
        <f t="shared" si="291"/>
        <v/>
      </c>
      <c r="V813" s="314">
        <f>SUM('RES. CENTRAL PARK:RUA_FINAL'!N813)</f>
        <v>0</v>
      </c>
      <c r="W813" s="315">
        <f t="shared" si="283"/>
        <v>0</v>
      </c>
    </row>
    <row r="814" spans="1:23" ht="15" hidden="1" customHeight="1" x14ac:dyDescent="0.2">
      <c r="A814" s="63" t="s">
        <v>297</v>
      </c>
      <c r="B814" s="895" t="s">
        <v>297</v>
      </c>
      <c r="C814" s="896" t="s">
        <v>184</v>
      </c>
      <c r="D814" s="906" t="s">
        <v>280</v>
      </c>
      <c r="E814" s="907"/>
      <c r="F814" s="908"/>
      <c r="G814" s="912"/>
      <c r="H814" s="930">
        <v>0</v>
      </c>
      <c r="I814" s="901">
        <f t="shared" si="292"/>
        <v>0</v>
      </c>
      <c r="J814" s="902">
        <f t="shared" si="264"/>
        <v>0</v>
      </c>
      <c r="K814" s="903" t="s">
        <v>10</v>
      </c>
      <c r="L814" s="904">
        <f>ROUND(SUM('RES. CENTRAL PARK:RUA_FINAL'!L814),2)</f>
        <v>0</v>
      </c>
      <c r="M814" s="904">
        <f t="shared" si="287"/>
        <v>0</v>
      </c>
      <c r="N814" s="893">
        <f t="shared" si="288"/>
        <v>0</v>
      </c>
      <c r="O814" s="905"/>
      <c r="Q814" s="317" t="str">
        <f t="shared" si="289"/>
        <v/>
      </c>
      <c r="R814" s="317" t="str">
        <f t="shared" si="290"/>
        <v/>
      </c>
      <c r="S814" s="317" t="str">
        <f t="shared" si="291"/>
        <v/>
      </c>
      <c r="V814" s="314">
        <f>SUM('RES. CENTRAL PARK:RUA_FINAL'!N814)</f>
        <v>0</v>
      </c>
      <c r="W814" s="315">
        <f t="shared" si="283"/>
        <v>0</v>
      </c>
    </row>
    <row r="815" spans="1:23" ht="15" hidden="1" customHeight="1" x14ac:dyDescent="0.2">
      <c r="A815" s="63">
        <v>605000</v>
      </c>
      <c r="B815" s="895" t="s">
        <v>1776</v>
      </c>
      <c r="C815" s="896" t="s">
        <v>184</v>
      </c>
      <c r="D815" s="906" t="s">
        <v>281</v>
      </c>
      <c r="E815" s="907"/>
      <c r="F815" s="908"/>
      <c r="G815" s="912"/>
      <c r="H815" s="901">
        <v>481.5</v>
      </c>
      <c r="I815" s="901">
        <f t="shared" si="292"/>
        <v>481.5</v>
      </c>
      <c r="J815" s="902">
        <f t="shared" si="264"/>
        <v>578.14</v>
      </c>
      <c r="K815" s="903" t="s">
        <v>15</v>
      </c>
      <c r="L815" s="904">
        <f>ROUND(SUM('RES. CENTRAL PARK:RUA_FINAL'!L815),2)</f>
        <v>0</v>
      </c>
      <c r="M815" s="904">
        <f t="shared" si="287"/>
        <v>0</v>
      </c>
      <c r="N815" s="893">
        <f t="shared" si="288"/>
        <v>0</v>
      </c>
      <c r="O815" s="905"/>
      <c r="Q815" s="317" t="str">
        <f t="shared" si="289"/>
        <v/>
      </c>
      <c r="R815" s="317" t="str">
        <f t="shared" si="290"/>
        <v/>
      </c>
      <c r="S815" s="317" t="str">
        <f t="shared" si="291"/>
        <v/>
      </c>
      <c r="V815" s="314">
        <f>SUM('RES. CENTRAL PARK:RUA_FINAL'!N815)</f>
        <v>0</v>
      </c>
      <c r="W815" s="315">
        <f t="shared" si="283"/>
        <v>0</v>
      </c>
    </row>
    <row r="816" spans="1:23" ht="15" hidden="1" customHeight="1" x14ac:dyDescent="0.2">
      <c r="A816" s="63">
        <v>605000</v>
      </c>
      <c r="B816" s="895" t="s">
        <v>1777</v>
      </c>
      <c r="C816" s="896" t="s">
        <v>184</v>
      </c>
      <c r="D816" s="906" t="s">
        <v>282</v>
      </c>
      <c r="E816" s="907"/>
      <c r="F816" s="908"/>
      <c r="G816" s="912"/>
      <c r="H816" s="901">
        <v>481.5</v>
      </c>
      <c r="I816" s="901">
        <f t="shared" si="292"/>
        <v>481.5</v>
      </c>
      <c r="J816" s="902">
        <f t="shared" si="264"/>
        <v>578.14</v>
      </c>
      <c r="K816" s="903" t="s">
        <v>15</v>
      </c>
      <c r="L816" s="904">
        <f>ROUND(SUM('RES. CENTRAL PARK:RUA_FINAL'!L816),2)</f>
        <v>0</v>
      </c>
      <c r="M816" s="904">
        <f t="shared" si="287"/>
        <v>0</v>
      </c>
      <c r="N816" s="893">
        <f t="shared" si="288"/>
        <v>0</v>
      </c>
      <c r="O816" s="905"/>
      <c r="Q816" s="317" t="str">
        <f t="shared" si="289"/>
        <v/>
      </c>
      <c r="R816" s="317" t="str">
        <f t="shared" si="290"/>
        <v/>
      </c>
      <c r="S816" s="317" t="str">
        <f t="shared" si="291"/>
        <v/>
      </c>
      <c r="V816" s="314">
        <f>SUM('RES. CENTRAL PARK:RUA_FINAL'!N816)</f>
        <v>0</v>
      </c>
      <c r="W816" s="315">
        <f t="shared" si="283"/>
        <v>0</v>
      </c>
    </row>
    <row r="817" spans="1:23" ht="15" hidden="1" customHeight="1" x14ac:dyDescent="0.2">
      <c r="A817" s="63">
        <v>605000</v>
      </c>
      <c r="B817" s="895" t="s">
        <v>1778</v>
      </c>
      <c r="C817" s="896" t="s">
        <v>184</v>
      </c>
      <c r="D817" s="906" t="s">
        <v>283</v>
      </c>
      <c r="E817" s="907"/>
      <c r="F817" s="908"/>
      <c r="G817" s="912"/>
      <c r="H817" s="901">
        <v>481.5</v>
      </c>
      <c r="I817" s="901">
        <f t="shared" si="292"/>
        <v>481.5</v>
      </c>
      <c r="J817" s="902">
        <f t="shared" si="264"/>
        <v>578.14</v>
      </c>
      <c r="K817" s="903" t="s">
        <v>15</v>
      </c>
      <c r="L817" s="904">
        <f>ROUND(SUM('RES. CENTRAL PARK:RUA_FINAL'!L817),2)</f>
        <v>0</v>
      </c>
      <c r="M817" s="904">
        <f t="shared" si="287"/>
        <v>0</v>
      </c>
      <c r="N817" s="893">
        <f t="shared" si="288"/>
        <v>0</v>
      </c>
      <c r="O817" s="905"/>
      <c r="Q817" s="317" t="str">
        <f t="shared" si="289"/>
        <v/>
      </c>
      <c r="R817" s="317" t="str">
        <f t="shared" si="290"/>
        <v/>
      </c>
      <c r="S817" s="317" t="str">
        <f t="shared" si="291"/>
        <v/>
      </c>
      <c r="V817" s="314">
        <f>SUM('RES. CENTRAL PARK:RUA_FINAL'!N817)</f>
        <v>0</v>
      </c>
      <c r="W817" s="315">
        <f t="shared" si="283"/>
        <v>0</v>
      </c>
    </row>
    <row r="818" spans="1:23" ht="15" hidden="1" customHeight="1" x14ac:dyDescent="0.2">
      <c r="A818" s="63">
        <v>605000</v>
      </c>
      <c r="B818" s="895" t="s">
        <v>1779</v>
      </c>
      <c r="C818" s="896" t="s">
        <v>184</v>
      </c>
      <c r="D818" s="906" t="s">
        <v>284</v>
      </c>
      <c r="E818" s="907"/>
      <c r="F818" s="908"/>
      <c r="G818" s="912"/>
      <c r="H818" s="901">
        <v>654.30999999999995</v>
      </c>
      <c r="I818" s="901">
        <f t="shared" si="292"/>
        <v>654.30999999999995</v>
      </c>
      <c r="J818" s="902">
        <f t="shared" si="264"/>
        <v>785.63</v>
      </c>
      <c r="K818" s="903" t="s">
        <v>15</v>
      </c>
      <c r="L818" s="904">
        <f>ROUND(SUM('RES. CENTRAL PARK:RUA_FINAL'!L818),2)</f>
        <v>0</v>
      </c>
      <c r="M818" s="904">
        <f t="shared" si="287"/>
        <v>0</v>
      </c>
      <c r="N818" s="893">
        <f t="shared" si="288"/>
        <v>0</v>
      </c>
      <c r="O818" s="905"/>
      <c r="Q818" s="317" t="str">
        <f t="shared" si="289"/>
        <v/>
      </c>
      <c r="R818" s="317" t="str">
        <f t="shared" si="290"/>
        <v/>
      </c>
      <c r="S818" s="317" t="str">
        <f t="shared" si="291"/>
        <v/>
      </c>
      <c r="V818" s="314">
        <f>SUM('RES. CENTRAL PARK:RUA_FINAL'!N818)</f>
        <v>0</v>
      </c>
      <c r="W818" s="315">
        <f t="shared" si="283"/>
        <v>0</v>
      </c>
    </row>
    <row r="819" spans="1:23" ht="15" hidden="1" customHeight="1" x14ac:dyDescent="0.2">
      <c r="A819" s="63">
        <v>605000</v>
      </c>
      <c r="B819" s="895" t="s">
        <v>1780</v>
      </c>
      <c r="C819" s="896" t="s">
        <v>184</v>
      </c>
      <c r="D819" s="906" t="s">
        <v>285</v>
      </c>
      <c r="E819" s="907"/>
      <c r="F819" s="908"/>
      <c r="G819" s="912"/>
      <c r="H819" s="901">
        <v>573.36</v>
      </c>
      <c r="I819" s="901">
        <f t="shared" si="292"/>
        <v>573.36</v>
      </c>
      <c r="J819" s="902">
        <f t="shared" si="264"/>
        <v>688.43</v>
      </c>
      <c r="K819" s="903" t="s">
        <v>15</v>
      </c>
      <c r="L819" s="904">
        <f>ROUND(SUM('RES. CENTRAL PARK:RUA_FINAL'!L819),2)</f>
        <v>0</v>
      </c>
      <c r="M819" s="904">
        <f t="shared" si="287"/>
        <v>0</v>
      </c>
      <c r="N819" s="893">
        <f t="shared" si="288"/>
        <v>0</v>
      </c>
      <c r="O819" s="905"/>
      <c r="Q819" s="317" t="str">
        <f t="shared" si="289"/>
        <v/>
      </c>
      <c r="R819" s="317" t="str">
        <f t="shared" si="290"/>
        <v/>
      </c>
      <c r="S819" s="317" t="str">
        <f t="shared" si="291"/>
        <v/>
      </c>
      <c r="V819" s="314">
        <f>SUM('RES. CENTRAL PARK:RUA_FINAL'!N819)</f>
        <v>0</v>
      </c>
      <c r="W819" s="315">
        <f t="shared" si="283"/>
        <v>0</v>
      </c>
    </row>
    <row r="820" spans="1:23" ht="15" hidden="1" customHeight="1" x14ac:dyDescent="0.2">
      <c r="A820" s="565" t="s">
        <v>165</v>
      </c>
      <c r="B820" s="913" t="s">
        <v>165</v>
      </c>
      <c r="C820" s="914"/>
      <c r="D820" s="915" t="s">
        <v>215</v>
      </c>
      <c r="E820" s="916"/>
      <c r="F820" s="917"/>
      <c r="G820" s="918"/>
      <c r="H820" s="919">
        <v>0</v>
      </c>
      <c r="I820" s="919"/>
      <c r="J820" s="919">
        <f t="shared" si="264"/>
        <v>0</v>
      </c>
      <c r="K820" s="920" t="s">
        <v>507</v>
      </c>
      <c r="L820" s="921">
        <f>ROUND(SUM('RES. CENTRAL PARK:RUA_FINAL'!L820),2)</f>
        <v>0</v>
      </c>
      <c r="M820" s="922">
        <f t="shared" si="287"/>
        <v>0</v>
      </c>
      <c r="N820" s="923">
        <f t="shared" si="288"/>
        <v>0</v>
      </c>
      <c r="O820" s="905"/>
      <c r="P820" s="58" t="str">
        <f>IF(OR(SUM(N821:N852)&gt;0,SUM(N821:N852)&gt;0),"y","")</f>
        <v/>
      </c>
      <c r="Q820" s="317" t="str">
        <f t="shared" si="289"/>
        <v/>
      </c>
      <c r="R820" s="317" t="str">
        <f t="shared" si="290"/>
        <v/>
      </c>
      <c r="S820" s="317" t="str">
        <f t="shared" si="291"/>
        <v/>
      </c>
      <c r="V820" s="314">
        <f>SUM('RES. CENTRAL PARK:RUA_FINAL'!N820)</f>
        <v>0</v>
      </c>
      <c r="W820" s="315">
        <f t="shared" si="283"/>
        <v>0</v>
      </c>
    </row>
    <row r="821" spans="1:23" ht="26.1" hidden="1" customHeight="1" x14ac:dyDescent="0.2">
      <c r="B821" s="895">
        <v>834908</v>
      </c>
      <c r="C821" s="896" t="s">
        <v>184</v>
      </c>
      <c r="D821" s="906" t="s">
        <v>2161</v>
      </c>
      <c r="E821" s="907"/>
      <c r="F821" s="908"/>
      <c r="G821" s="949">
        <f t="shared" ref="G821:G824" si="293">IF(E821&lt;=30,(1.07*E821+2.68)*F821,((1.07*30+2.68)+1.07*(E821-30))*F821)</f>
        <v>0</v>
      </c>
      <c r="H821" s="901">
        <v>90.41</v>
      </c>
      <c r="I821" s="901">
        <f t="shared" ref="I821:I824" si="294">IF(ISBLANK(H821),"",SUM(G821:H821))</f>
        <v>90.41</v>
      </c>
      <c r="J821" s="902">
        <f t="shared" ref="J821:J824" si="295">IF(ISBLANK(H821),0,ROUND(I821*(1+$E$10),2))</f>
        <v>108.56</v>
      </c>
      <c r="K821" s="903" t="s">
        <v>12</v>
      </c>
      <c r="L821" s="904">
        <f>ROUND(SUM('RES. CENTRAL PARK:RUA_FINAL'!L821),2)</f>
        <v>0</v>
      </c>
      <c r="M821" s="904">
        <f t="shared" ref="M821:M824" si="296">IF(L821=0,0,ROUND(J821,2))</f>
        <v>0</v>
      </c>
      <c r="N821" s="893">
        <f t="shared" ref="N821:N824" si="297">IF(ISBLANK(L821),0,ROUND(L821*M821,2))</f>
        <v>0</v>
      </c>
      <c r="O821" s="905"/>
      <c r="Q821" s="317" t="str">
        <f t="shared" ref="Q821:Q824" si="298">IF(P821="X","x",IF(P821="xx","x",IF(P821="xy","x",IF(P821="y","x",IF(OR(N821&gt;0,N821&gt;0),"x","")))))</f>
        <v/>
      </c>
      <c r="R821" s="317" t="str">
        <f t="shared" ref="R821:R824" si="299">IF(P821="X","x",IF(P821="y","x",IF(P821="xx","x",IF(N821&gt;0,"x",""))))</f>
        <v/>
      </c>
      <c r="S821" s="317" t="str">
        <f t="shared" ref="S821:S824" si="300">IF(P821="X","x",IF(N821&gt;0,"x",""))</f>
        <v/>
      </c>
      <c r="V821" s="314">
        <f>SUM('RES. CENTRAL PARK:RUA_FINAL'!N821)</f>
        <v>0</v>
      </c>
      <c r="W821" s="315">
        <f t="shared" si="283"/>
        <v>0</v>
      </c>
    </row>
    <row r="822" spans="1:23" ht="26.1" hidden="1" customHeight="1" x14ac:dyDescent="0.2">
      <c r="B822" s="895">
        <v>834909</v>
      </c>
      <c r="C822" s="896" t="s">
        <v>184</v>
      </c>
      <c r="D822" s="906" t="s">
        <v>2162</v>
      </c>
      <c r="E822" s="907"/>
      <c r="F822" s="908"/>
      <c r="G822" s="949">
        <f t="shared" si="293"/>
        <v>0</v>
      </c>
      <c r="H822" s="901">
        <v>96.16</v>
      </c>
      <c r="I822" s="901">
        <f t="shared" si="294"/>
        <v>96.16</v>
      </c>
      <c r="J822" s="902">
        <f t="shared" si="295"/>
        <v>115.46</v>
      </c>
      <c r="K822" s="903" t="s">
        <v>12</v>
      </c>
      <c r="L822" s="904">
        <f>ROUND(SUM('RES. CENTRAL PARK:RUA_FINAL'!L822),2)</f>
        <v>0</v>
      </c>
      <c r="M822" s="904">
        <f t="shared" si="296"/>
        <v>0</v>
      </c>
      <c r="N822" s="893">
        <f t="shared" si="297"/>
        <v>0</v>
      </c>
      <c r="O822" s="905"/>
      <c r="Q822" s="317" t="str">
        <f t="shared" si="298"/>
        <v/>
      </c>
      <c r="R822" s="317" t="str">
        <f t="shared" si="299"/>
        <v/>
      </c>
      <c r="S822" s="317" t="str">
        <f t="shared" si="300"/>
        <v/>
      </c>
      <c r="V822" s="314">
        <f>SUM('RES. CENTRAL PARK:RUA_FINAL'!N822)</f>
        <v>0</v>
      </c>
      <c r="W822" s="315">
        <f t="shared" si="283"/>
        <v>0</v>
      </c>
    </row>
    <row r="823" spans="1:23" ht="26.1" hidden="1" customHeight="1" x14ac:dyDescent="0.2">
      <c r="B823" s="895">
        <v>834906</v>
      </c>
      <c r="C823" s="896" t="s">
        <v>184</v>
      </c>
      <c r="D823" s="906" t="s">
        <v>2163</v>
      </c>
      <c r="E823" s="907"/>
      <c r="F823" s="908"/>
      <c r="G823" s="949">
        <f t="shared" si="293"/>
        <v>0</v>
      </c>
      <c r="H823" s="901">
        <v>96.21</v>
      </c>
      <c r="I823" s="901">
        <f t="shared" si="294"/>
        <v>96.21</v>
      </c>
      <c r="J823" s="902">
        <f t="shared" si="295"/>
        <v>115.52</v>
      </c>
      <c r="K823" s="903" t="s">
        <v>12</v>
      </c>
      <c r="L823" s="904">
        <f>ROUND(SUM('RES. CENTRAL PARK:RUA_FINAL'!L823),2)</f>
        <v>0</v>
      </c>
      <c r="M823" s="904">
        <f t="shared" si="296"/>
        <v>0</v>
      </c>
      <c r="N823" s="893">
        <f t="shared" si="297"/>
        <v>0</v>
      </c>
      <c r="O823" s="905"/>
      <c r="Q823" s="317" t="str">
        <f t="shared" si="298"/>
        <v/>
      </c>
      <c r="R823" s="317" t="str">
        <f t="shared" si="299"/>
        <v/>
      </c>
      <c r="S823" s="317" t="str">
        <f t="shared" si="300"/>
        <v/>
      </c>
      <c r="V823" s="314">
        <f>SUM('RES. CENTRAL PARK:RUA_FINAL'!N823)</f>
        <v>0</v>
      </c>
      <c r="W823" s="315">
        <f t="shared" si="283"/>
        <v>0</v>
      </c>
    </row>
    <row r="824" spans="1:23" ht="26.1" hidden="1" customHeight="1" x14ac:dyDescent="0.2">
      <c r="B824" s="895">
        <v>834907</v>
      </c>
      <c r="C824" s="896" t="s">
        <v>184</v>
      </c>
      <c r="D824" s="906" t="s">
        <v>2164</v>
      </c>
      <c r="E824" s="907"/>
      <c r="F824" s="908"/>
      <c r="G824" s="949">
        <f t="shared" si="293"/>
        <v>0</v>
      </c>
      <c r="H824" s="901">
        <v>99.84</v>
      </c>
      <c r="I824" s="901">
        <f t="shared" si="294"/>
        <v>99.84</v>
      </c>
      <c r="J824" s="902">
        <f t="shared" si="295"/>
        <v>119.88</v>
      </c>
      <c r="K824" s="903" t="s">
        <v>12</v>
      </c>
      <c r="L824" s="904">
        <f>ROUND(SUM('RES. CENTRAL PARK:RUA_FINAL'!L824),2)</f>
        <v>0</v>
      </c>
      <c r="M824" s="904">
        <f t="shared" si="296"/>
        <v>0</v>
      </c>
      <c r="N824" s="893">
        <f t="shared" si="297"/>
        <v>0</v>
      </c>
      <c r="O824" s="905"/>
      <c r="Q824" s="317" t="str">
        <f t="shared" si="298"/>
        <v/>
      </c>
      <c r="R824" s="317" t="str">
        <f t="shared" si="299"/>
        <v/>
      </c>
      <c r="S824" s="317" t="str">
        <f t="shared" si="300"/>
        <v/>
      </c>
      <c r="V824" s="314">
        <f>SUM('RES. CENTRAL PARK:RUA_FINAL'!N824)</f>
        <v>0</v>
      </c>
      <c r="W824" s="315">
        <f t="shared" si="283"/>
        <v>0</v>
      </c>
    </row>
    <row r="825" spans="1:23" ht="15" hidden="1" customHeight="1" x14ac:dyDescent="0.2">
      <c r="A825" s="565" t="s">
        <v>165</v>
      </c>
      <c r="B825" s="924" t="s">
        <v>2298</v>
      </c>
      <c r="C825" s="925" t="s">
        <v>184</v>
      </c>
      <c r="D825" s="926" t="s">
        <v>2299</v>
      </c>
      <c r="E825" s="927"/>
      <c r="F825" s="928"/>
      <c r="G825" s="929"/>
      <c r="H825" s="930">
        <v>348.27</v>
      </c>
      <c r="I825" s="901">
        <f t="shared" si="292"/>
        <v>348.27</v>
      </c>
      <c r="J825" s="902">
        <f t="shared" si="264"/>
        <v>418.17</v>
      </c>
      <c r="K825" s="928" t="s">
        <v>1516</v>
      </c>
      <c r="L825" s="904">
        <f>ROUND(SUM('RES. CENTRAL PARK:RUA_FINAL'!L825),2)</f>
        <v>0</v>
      </c>
      <c r="M825" s="904">
        <f t="shared" si="287"/>
        <v>0</v>
      </c>
      <c r="N825" s="893">
        <f t="shared" si="288"/>
        <v>0</v>
      </c>
      <c r="O825" s="905"/>
      <c r="Q825" s="317" t="str">
        <f t="shared" si="289"/>
        <v/>
      </c>
      <c r="R825" s="317" t="str">
        <f t="shared" si="290"/>
        <v/>
      </c>
      <c r="S825" s="317" t="str">
        <f t="shared" si="291"/>
        <v/>
      </c>
      <c r="V825" s="314">
        <f>SUM('RES. CENTRAL PARK:RUA_FINAL'!N825)</f>
        <v>0</v>
      </c>
      <c r="W825" s="315">
        <f t="shared" si="283"/>
        <v>0</v>
      </c>
    </row>
    <row r="826" spans="1:23" ht="15" hidden="1" customHeight="1" x14ac:dyDescent="0.2">
      <c r="A826" s="565" t="s">
        <v>165</v>
      </c>
      <c r="B826" s="924" t="s">
        <v>165</v>
      </c>
      <c r="C826" s="925" t="s">
        <v>165</v>
      </c>
      <c r="D826" s="926"/>
      <c r="E826" s="927"/>
      <c r="F826" s="928"/>
      <c r="G826" s="929"/>
      <c r="H826" s="930">
        <v>0</v>
      </c>
      <c r="I826" s="901">
        <f t="shared" si="292"/>
        <v>0</v>
      </c>
      <c r="J826" s="902">
        <f t="shared" si="264"/>
        <v>0</v>
      </c>
      <c r="K826" s="928" t="s">
        <v>507</v>
      </c>
      <c r="L826" s="904">
        <f>ROUND(SUM('RES. CENTRAL PARK:RUA_FINAL'!L826),2)</f>
        <v>0</v>
      </c>
      <c r="M826" s="904">
        <f t="shared" si="287"/>
        <v>0</v>
      </c>
      <c r="N826" s="893">
        <f t="shared" si="288"/>
        <v>0</v>
      </c>
      <c r="O826" s="905"/>
      <c r="Q826" s="317" t="str">
        <f t="shared" si="289"/>
        <v/>
      </c>
      <c r="R826" s="317" t="str">
        <f t="shared" si="290"/>
        <v/>
      </c>
      <c r="S826" s="317" t="str">
        <f t="shared" si="291"/>
        <v/>
      </c>
      <c r="V826" s="314">
        <f>SUM('RES. CENTRAL PARK:RUA_FINAL'!N826)</f>
        <v>0</v>
      </c>
      <c r="W826" s="315">
        <f t="shared" si="283"/>
        <v>0</v>
      </c>
    </row>
    <row r="827" spans="1:23" ht="15" hidden="1" customHeight="1" x14ac:dyDescent="0.2">
      <c r="A827" s="565" t="s">
        <v>165</v>
      </c>
      <c r="B827" s="924" t="s">
        <v>165</v>
      </c>
      <c r="C827" s="925" t="s">
        <v>165</v>
      </c>
      <c r="D827" s="926"/>
      <c r="E827" s="927"/>
      <c r="F827" s="928"/>
      <c r="G827" s="929"/>
      <c r="H827" s="930">
        <v>0</v>
      </c>
      <c r="I827" s="901">
        <f t="shared" si="292"/>
        <v>0</v>
      </c>
      <c r="J827" s="902">
        <f t="shared" si="264"/>
        <v>0</v>
      </c>
      <c r="K827" s="928" t="s">
        <v>507</v>
      </c>
      <c r="L827" s="904">
        <f>ROUND(SUM('RES. CENTRAL PARK:RUA_FINAL'!L827),2)</f>
        <v>0</v>
      </c>
      <c r="M827" s="904">
        <f t="shared" si="287"/>
        <v>0</v>
      </c>
      <c r="N827" s="893">
        <f t="shared" si="288"/>
        <v>0</v>
      </c>
      <c r="O827" s="905"/>
      <c r="Q827" s="317" t="str">
        <f t="shared" si="289"/>
        <v/>
      </c>
      <c r="R827" s="317" t="str">
        <f t="shared" si="290"/>
        <v/>
      </c>
      <c r="S827" s="317" t="str">
        <f t="shared" si="291"/>
        <v/>
      </c>
      <c r="V827" s="314">
        <f>SUM('RES. CENTRAL PARK:RUA_FINAL'!N827)</f>
        <v>0</v>
      </c>
      <c r="W827" s="315">
        <f t="shared" si="283"/>
        <v>0</v>
      </c>
    </row>
    <row r="828" spans="1:23" ht="15" hidden="1" customHeight="1" x14ac:dyDescent="0.2">
      <c r="A828" s="565" t="s">
        <v>165</v>
      </c>
      <c r="B828" s="924" t="s">
        <v>165</v>
      </c>
      <c r="C828" s="925" t="s">
        <v>165</v>
      </c>
      <c r="D828" s="926"/>
      <c r="E828" s="927"/>
      <c r="F828" s="928"/>
      <c r="G828" s="929"/>
      <c r="H828" s="930">
        <v>0</v>
      </c>
      <c r="I828" s="901">
        <f t="shared" si="292"/>
        <v>0</v>
      </c>
      <c r="J828" s="902">
        <f t="shared" si="264"/>
        <v>0</v>
      </c>
      <c r="K828" s="928" t="s">
        <v>507</v>
      </c>
      <c r="L828" s="904">
        <f>ROUND(SUM('RES. CENTRAL PARK:RUA_FINAL'!L828),2)</f>
        <v>0</v>
      </c>
      <c r="M828" s="904">
        <f t="shared" si="287"/>
        <v>0</v>
      </c>
      <c r="N828" s="893">
        <f t="shared" si="288"/>
        <v>0</v>
      </c>
      <c r="O828" s="905"/>
      <c r="Q828" s="317" t="str">
        <f t="shared" si="289"/>
        <v/>
      </c>
      <c r="R828" s="317" t="str">
        <f t="shared" si="290"/>
        <v/>
      </c>
      <c r="S828" s="317" t="str">
        <f t="shared" si="291"/>
        <v/>
      </c>
      <c r="V828" s="314">
        <f>SUM('RES. CENTRAL PARK:RUA_FINAL'!N828)</f>
        <v>0</v>
      </c>
      <c r="W828" s="315">
        <f t="shared" si="283"/>
        <v>0</v>
      </c>
    </row>
    <row r="829" spans="1:23" ht="15" hidden="1" customHeight="1" x14ac:dyDescent="0.2">
      <c r="A829" s="565" t="s">
        <v>165</v>
      </c>
      <c r="B829" s="924" t="s">
        <v>165</v>
      </c>
      <c r="C829" s="925" t="s">
        <v>165</v>
      </c>
      <c r="D829" s="926"/>
      <c r="E829" s="927"/>
      <c r="F829" s="928"/>
      <c r="G829" s="929"/>
      <c r="H829" s="930">
        <v>0</v>
      </c>
      <c r="I829" s="901">
        <f t="shared" si="292"/>
        <v>0</v>
      </c>
      <c r="J829" s="902">
        <f t="shared" si="264"/>
        <v>0</v>
      </c>
      <c r="K829" s="928" t="s">
        <v>507</v>
      </c>
      <c r="L829" s="904">
        <f>ROUND(SUM('RES. CENTRAL PARK:RUA_FINAL'!L829),2)</f>
        <v>0</v>
      </c>
      <c r="M829" s="904">
        <f t="shared" si="287"/>
        <v>0</v>
      </c>
      <c r="N829" s="893">
        <f t="shared" si="288"/>
        <v>0</v>
      </c>
      <c r="O829" s="905"/>
      <c r="Q829" s="317" t="str">
        <f t="shared" si="289"/>
        <v/>
      </c>
      <c r="R829" s="317" t="str">
        <f t="shared" si="290"/>
        <v/>
      </c>
      <c r="S829" s="317" t="str">
        <f t="shared" si="291"/>
        <v/>
      </c>
      <c r="V829" s="314">
        <f>SUM('RES. CENTRAL PARK:RUA_FINAL'!N829)</f>
        <v>0</v>
      </c>
      <c r="W829" s="315">
        <f t="shared" si="283"/>
        <v>0</v>
      </c>
    </row>
    <row r="830" spans="1:23" ht="15" hidden="1" customHeight="1" x14ac:dyDescent="0.2">
      <c r="A830" s="565" t="s">
        <v>165</v>
      </c>
      <c r="B830" s="924" t="s">
        <v>165</v>
      </c>
      <c r="C830" s="925" t="s">
        <v>165</v>
      </c>
      <c r="D830" s="926"/>
      <c r="E830" s="927"/>
      <c r="F830" s="928"/>
      <c r="G830" s="929"/>
      <c r="H830" s="930">
        <v>0</v>
      </c>
      <c r="I830" s="901">
        <f t="shared" si="292"/>
        <v>0</v>
      </c>
      <c r="J830" s="902">
        <f t="shared" si="264"/>
        <v>0</v>
      </c>
      <c r="K830" s="928" t="s">
        <v>507</v>
      </c>
      <c r="L830" s="904">
        <f>ROUND(SUM('RES. CENTRAL PARK:RUA_FINAL'!L830),2)</f>
        <v>0</v>
      </c>
      <c r="M830" s="904">
        <f t="shared" si="287"/>
        <v>0</v>
      </c>
      <c r="N830" s="893">
        <f t="shared" si="288"/>
        <v>0</v>
      </c>
      <c r="O830" s="905"/>
      <c r="Q830" s="317" t="str">
        <f t="shared" si="289"/>
        <v/>
      </c>
      <c r="R830" s="317" t="str">
        <f t="shared" si="290"/>
        <v/>
      </c>
      <c r="S830" s="317" t="str">
        <f t="shared" si="291"/>
        <v/>
      </c>
      <c r="V830" s="314">
        <f>SUM('RES. CENTRAL PARK:RUA_FINAL'!N830)</f>
        <v>0</v>
      </c>
      <c r="W830" s="315">
        <f t="shared" si="283"/>
        <v>0</v>
      </c>
    </row>
    <row r="831" spans="1:23" ht="15" hidden="1" customHeight="1" x14ac:dyDescent="0.2">
      <c r="A831" s="565" t="s">
        <v>165</v>
      </c>
      <c r="B831" s="924" t="s">
        <v>165</v>
      </c>
      <c r="C831" s="925" t="s">
        <v>165</v>
      </c>
      <c r="D831" s="926"/>
      <c r="E831" s="927"/>
      <c r="F831" s="928"/>
      <c r="G831" s="929"/>
      <c r="H831" s="930">
        <v>0</v>
      </c>
      <c r="I831" s="901">
        <f t="shared" si="292"/>
        <v>0</v>
      </c>
      <c r="J831" s="902">
        <f t="shared" si="264"/>
        <v>0</v>
      </c>
      <c r="K831" s="928" t="s">
        <v>507</v>
      </c>
      <c r="L831" s="904">
        <f>ROUND(SUM('RES. CENTRAL PARK:RUA_FINAL'!L831),2)</f>
        <v>0</v>
      </c>
      <c r="M831" s="904">
        <f t="shared" si="287"/>
        <v>0</v>
      </c>
      <c r="N831" s="893">
        <f t="shared" si="288"/>
        <v>0</v>
      </c>
      <c r="O831" s="905"/>
      <c r="Q831" s="317" t="str">
        <f t="shared" si="289"/>
        <v/>
      </c>
      <c r="R831" s="317" t="str">
        <f t="shared" si="290"/>
        <v/>
      </c>
      <c r="S831" s="317" t="str">
        <f t="shared" si="291"/>
        <v/>
      </c>
      <c r="V831" s="314">
        <f>SUM('RES. CENTRAL PARK:RUA_FINAL'!N831)</f>
        <v>0</v>
      </c>
      <c r="W831" s="315">
        <f t="shared" si="283"/>
        <v>0</v>
      </c>
    </row>
    <row r="832" spans="1:23" ht="15" hidden="1" customHeight="1" x14ac:dyDescent="0.2">
      <c r="A832" s="565" t="s">
        <v>165</v>
      </c>
      <c r="B832" s="924" t="s">
        <v>165</v>
      </c>
      <c r="C832" s="925" t="s">
        <v>165</v>
      </c>
      <c r="D832" s="926"/>
      <c r="E832" s="927"/>
      <c r="F832" s="928"/>
      <c r="G832" s="929"/>
      <c r="H832" s="930">
        <v>0</v>
      </c>
      <c r="I832" s="901">
        <f t="shared" si="292"/>
        <v>0</v>
      </c>
      <c r="J832" s="902">
        <f t="shared" si="264"/>
        <v>0</v>
      </c>
      <c r="K832" s="928" t="s">
        <v>507</v>
      </c>
      <c r="L832" s="904">
        <f>ROUND(SUM('RES. CENTRAL PARK:RUA_FINAL'!L832),2)</f>
        <v>0</v>
      </c>
      <c r="M832" s="904">
        <f t="shared" si="287"/>
        <v>0</v>
      </c>
      <c r="N832" s="893">
        <f t="shared" si="288"/>
        <v>0</v>
      </c>
      <c r="O832" s="905"/>
      <c r="Q832" s="317" t="str">
        <f t="shared" si="289"/>
        <v/>
      </c>
      <c r="R832" s="317" t="str">
        <f t="shared" si="290"/>
        <v/>
      </c>
      <c r="S832" s="317" t="str">
        <f t="shared" si="291"/>
        <v/>
      </c>
      <c r="V832" s="314">
        <f>SUM('RES. CENTRAL PARK:RUA_FINAL'!N832)</f>
        <v>0</v>
      </c>
      <c r="W832" s="315">
        <f t="shared" si="283"/>
        <v>0</v>
      </c>
    </row>
    <row r="833" spans="1:23" ht="15" hidden="1" customHeight="1" x14ac:dyDescent="0.2">
      <c r="A833" s="565" t="s">
        <v>165</v>
      </c>
      <c r="B833" s="924" t="s">
        <v>165</v>
      </c>
      <c r="C833" s="925" t="s">
        <v>165</v>
      </c>
      <c r="D833" s="926"/>
      <c r="E833" s="927"/>
      <c r="F833" s="928"/>
      <c r="G833" s="929"/>
      <c r="H833" s="930">
        <v>0</v>
      </c>
      <c r="I833" s="901">
        <f t="shared" si="292"/>
        <v>0</v>
      </c>
      <c r="J833" s="902">
        <f t="shared" si="264"/>
        <v>0</v>
      </c>
      <c r="K833" s="928" t="s">
        <v>507</v>
      </c>
      <c r="L833" s="904">
        <f>ROUND(SUM('RES. CENTRAL PARK:RUA_FINAL'!L833),2)</f>
        <v>0</v>
      </c>
      <c r="M833" s="904">
        <f t="shared" si="287"/>
        <v>0</v>
      </c>
      <c r="N833" s="893">
        <f t="shared" si="288"/>
        <v>0</v>
      </c>
      <c r="O833" s="905"/>
      <c r="Q833" s="317" t="str">
        <f t="shared" si="289"/>
        <v/>
      </c>
      <c r="R833" s="317" t="str">
        <f t="shared" si="290"/>
        <v/>
      </c>
      <c r="S833" s="317" t="str">
        <f t="shared" si="291"/>
        <v/>
      </c>
      <c r="V833" s="314">
        <f>SUM('RES. CENTRAL PARK:RUA_FINAL'!N833)</f>
        <v>0</v>
      </c>
      <c r="W833" s="315">
        <f t="shared" si="283"/>
        <v>0</v>
      </c>
    </row>
    <row r="834" spans="1:23" ht="15" hidden="1" customHeight="1" x14ac:dyDescent="0.2">
      <c r="A834" s="565" t="s">
        <v>165</v>
      </c>
      <c r="B834" s="924" t="s">
        <v>165</v>
      </c>
      <c r="C834" s="925" t="s">
        <v>165</v>
      </c>
      <c r="D834" s="926"/>
      <c r="E834" s="927"/>
      <c r="F834" s="928"/>
      <c r="G834" s="929"/>
      <c r="H834" s="930">
        <v>0</v>
      </c>
      <c r="I834" s="901">
        <f t="shared" si="292"/>
        <v>0</v>
      </c>
      <c r="J834" s="902">
        <f t="shared" si="264"/>
        <v>0</v>
      </c>
      <c r="K834" s="928" t="s">
        <v>507</v>
      </c>
      <c r="L834" s="904">
        <f>ROUND(SUM('RES. CENTRAL PARK:RUA_FINAL'!L834),2)</f>
        <v>0</v>
      </c>
      <c r="M834" s="904">
        <f t="shared" si="287"/>
        <v>0</v>
      </c>
      <c r="N834" s="893">
        <f t="shared" si="288"/>
        <v>0</v>
      </c>
      <c r="O834" s="905"/>
      <c r="Q834" s="317" t="str">
        <f t="shared" si="289"/>
        <v/>
      </c>
      <c r="R834" s="317" t="str">
        <f t="shared" si="290"/>
        <v/>
      </c>
      <c r="S834" s="317" t="str">
        <f t="shared" si="291"/>
        <v/>
      </c>
      <c r="V834" s="314">
        <f>SUM('RES. CENTRAL PARK:RUA_FINAL'!N834)</f>
        <v>0</v>
      </c>
      <c r="W834" s="315">
        <f t="shared" si="283"/>
        <v>0</v>
      </c>
    </row>
    <row r="835" spans="1:23" ht="15" hidden="1" customHeight="1" x14ac:dyDescent="0.2">
      <c r="A835" s="565" t="s">
        <v>165</v>
      </c>
      <c r="B835" s="924" t="s">
        <v>165</v>
      </c>
      <c r="C835" s="925" t="s">
        <v>165</v>
      </c>
      <c r="D835" s="926"/>
      <c r="E835" s="927"/>
      <c r="F835" s="928"/>
      <c r="G835" s="929"/>
      <c r="H835" s="930">
        <v>0</v>
      </c>
      <c r="I835" s="901">
        <f t="shared" si="292"/>
        <v>0</v>
      </c>
      <c r="J835" s="902">
        <f t="shared" si="264"/>
        <v>0</v>
      </c>
      <c r="K835" s="928" t="s">
        <v>507</v>
      </c>
      <c r="L835" s="904">
        <f>ROUND(SUM('RES. CENTRAL PARK:RUA_FINAL'!L835),2)</f>
        <v>0</v>
      </c>
      <c r="M835" s="904">
        <f t="shared" si="287"/>
        <v>0</v>
      </c>
      <c r="N835" s="893">
        <f t="shared" si="288"/>
        <v>0</v>
      </c>
      <c r="O835" s="905"/>
      <c r="Q835" s="317" t="str">
        <f t="shared" si="289"/>
        <v/>
      </c>
      <c r="R835" s="317" t="str">
        <f t="shared" si="290"/>
        <v/>
      </c>
      <c r="S835" s="317" t="str">
        <f t="shared" si="291"/>
        <v/>
      </c>
      <c r="V835" s="314">
        <f>SUM('RES. CENTRAL PARK:RUA_FINAL'!N835)</f>
        <v>0</v>
      </c>
      <c r="W835" s="315">
        <f t="shared" si="283"/>
        <v>0</v>
      </c>
    </row>
    <row r="836" spans="1:23" ht="15" hidden="1" customHeight="1" x14ac:dyDescent="0.2">
      <c r="A836" s="565" t="s">
        <v>165</v>
      </c>
      <c r="B836" s="924" t="s">
        <v>165</v>
      </c>
      <c r="C836" s="925" t="s">
        <v>165</v>
      </c>
      <c r="D836" s="926"/>
      <c r="E836" s="927"/>
      <c r="F836" s="928"/>
      <c r="G836" s="929"/>
      <c r="H836" s="930">
        <v>0</v>
      </c>
      <c r="I836" s="901">
        <f t="shared" si="292"/>
        <v>0</v>
      </c>
      <c r="J836" s="902">
        <f t="shared" si="264"/>
        <v>0</v>
      </c>
      <c r="K836" s="928" t="s">
        <v>507</v>
      </c>
      <c r="L836" s="904">
        <f>ROUND(SUM('RES. CENTRAL PARK:RUA_FINAL'!L836),2)</f>
        <v>0</v>
      </c>
      <c r="M836" s="904">
        <f t="shared" si="287"/>
        <v>0</v>
      </c>
      <c r="N836" s="893">
        <f t="shared" si="288"/>
        <v>0</v>
      </c>
      <c r="O836" s="905"/>
      <c r="Q836" s="317" t="str">
        <f t="shared" si="289"/>
        <v/>
      </c>
      <c r="R836" s="317" t="str">
        <f t="shared" si="290"/>
        <v/>
      </c>
      <c r="S836" s="317" t="str">
        <f t="shared" si="291"/>
        <v/>
      </c>
      <c r="V836" s="314">
        <f>SUM('RES. CENTRAL PARK:RUA_FINAL'!N836)</f>
        <v>0</v>
      </c>
      <c r="W836" s="315">
        <f t="shared" si="283"/>
        <v>0</v>
      </c>
    </row>
    <row r="837" spans="1:23" ht="15" hidden="1" customHeight="1" x14ac:dyDescent="0.2">
      <c r="A837" s="565" t="s">
        <v>165</v>
      </c>
      <c r="B837" s="924" t="s">
        <v>165</v>
      </c>
      <c r="C837" s="925" t="s">
        <v>165</v>
      </c>
      <c r="D837" s="926"/>
      <c r="E837" s="927"/>
      <c r="F837" s="928"/>
      <c r="G837" s="929"/>
      <c r="H837" s="930">
        <v>0</v>
      </c>
      <c r="I837" s="901">
        <f t="shared" si="292"/>
        <v>0</v>
      </c>
      <c r="J837" s="902">
        <f t="shared" si="264"/>
        <v>0</v>
      </c>
      <c r="K837" s="928" t="s">
        <v>507</v>
      </c>
      <c r="L837" s="904">
        <f>ROUND(SUM('RES. CENTRAL PARK:RUA_FINAL'!L837),2)</f>
        <v>0</v>
      </c>
      <c r="M837" s="904">
        <f t="shared" si="287"/>
        <v>0</v>
      </c>
      <c r="N837" s="893">
        <f t="shared" si="288"/>
        <v>0</v>
      </c>
      <c r="O837" s="905"/>
      <c r="Q837" s="317" t="str">
        <f t="shared" si="289"/>
        <v/>
      </c>
      <c r="R837" s="317" t="str">
        <f t="shared" si="290"/>
        <v/>
      </c>
      <c r="S837" s="317" t="str">
        <f t="shared" si="291"/>
        <v/>
      </c>
      <c r="V837" s="314">
        <f>SUM('RES. CENTRAL PARK:RUA_FINAL'!N837)</f>
        <v>0</v>
      </c>
      <c r="W837" s="315">
        <f t="shared" si="283"/>
        <v>0</v>
      </c>
    </row>
    <row r="838" spans="1:23" ht="15" hidden="1" customHeight="1" x14ac:dyDescent="0.2">
      <c r="A838" s="565" t="s">
        <v>165</v>
      </c>
      <c r="B838" s="924" t="s">
        <v>165</v>
      </c>
      <c r="C838" s="925" t="s">
        <v>165</v>
      </c>
      <c r="D838" s="926"/>
      <c r="E838" s="927"/>
      <c r="F838" s="928"/>
      <c r="G838" s="929"/>
      <c r="H838" s="930">
        <v>0</v>
      </c>
      <c r="I838" s="901">
        <f t="shared" si="292"/>
        <v>0</v>
      </c>
      <c r="J838" s="902">
        <f t="shared" si="264"/>
        <v>0</v>
      </c>
      <c r="K838" s="928" t="s">
        <v>507</v>
      </c>
      <c r="L838" s="904">
        <f>ROUND(SUM('RES. CENTRAL PARK:RUA_FINAL'!L838),2)</f>
        <v>0</v>
      </c>
      <c r="M838" s="904">
        <f t="shared" si="287"/>
        <v>0</v>
      </c>
      <c r="N838" s="893">
        <f t="shared" si="288"/>
        <v>0</v>
      </c>
      <c r="O838" s="905"/>
      <c r="Q838" s="317" t="str">
        <f t="shared" si="289"/>
        <v/>
      </c>
      <c r="R838" s="317" t="str">
        <f t="shared" si="290"/>
        <v/>
      </c>
      <c r="S838" s="317" t="str">
        <f t="shared" si="291"/>
        <v/>
      </c>
      <c r="V838" s="314">
        <f>SUM('RES. CENTRAL PARK:RUA_FINAL'!N838)</f>
        <v>0</v>
      </c>
      <c r="W838" s="315">
        <f t="shared" si="283"/>
        <v>0</v>
      </c>
    </row>
    <row r="839" spans="1:23" ht="15" hidden="1" customHeight="1" x14ac:dyDescent="0.2">
      <c r="A839" s="565" t="s">
        <v>165</v>
      </c>
      <c r="B839" s="924" t="s">
        <v>165</v>
      </c>
      <c r="C839" s="925" t="s">
        <v>165</v>
      </c>
      <c r="D839" s="926"/>
      <c r="E839" s="927"/>
      <c r="F839" s="928"/>
      <c r="G839" s="929"/>
      <c r="H839" s="930">
        <v>0</v>
      </c>
      <c r="I839" s="901">
        <f t="shared" si="292"/>
        <v>0</v>
      </c>
      <c r="J839" s="902">
        <f t="shared" si="264"/>
        <v>0</v>
      </c>
      <c r="K839" s="928" t="s">
        <v>507</v>
      </c>
      <c r="L839" s="904">
        <f>ROUND(SUM('RES. CENTRAL PARK:RUA_FINAL'!L839),2)</f>
        <v>0</v>
      </c>
      <c r="M839" s="904">
        <f t="shared" si="287"/>
        <v>0</v>
      </c>
      <c r="N839" s="893">
        <f t="shared" si="288"/>
        <v>0</v>
      </c>
      <c r="O839" s="905"/>
      <c r="Q839" s="317" t="str">
        <f t="shared" si="289"/>
        <v/>
      </c>
      <c r="R839" s="317" t="str">
        <f t="shared" si="290"/>
        <v/>
      </c>
      <c r="S839" s="317" t="str">
        <f t="shared" si="291"/>
        <v/>
      </c>
      <c r="V839" s="314">
        <f>SUM('RES. CENTRAL PARK:RUA_FINAL'!N839)</f>
        <v>0</v>
      </c>
      <c r="W839" s="315">
        <f t="shared" si="283"/>
        <v>0</v>
      </c>
    </row>
    <row r="840" spans="1:23" ht="15" hidden="1" customHeight="1" x14ac:dyDescent="0.2">
      <c r="A840" s="565" t="s">
        <v>165</v>
      </c>
      <c r="B840" s="924" t="s">
        <v>165</v>
      </c>
      <c r="C840" s="925" t="s">
        <v>165</v>
      </c>
      <c r="D840" s="926"/>
      <c r="E840" s="927"/>
      <c r="F840" s="928"/>
      <c r="G840" s="929"/>
      <c r="H840" s="930">
        <v>0</v>
      </c>
      <c r="I840" s="901">
        <f t="shared" si="292"/>
        <v>0</v>
      </c>
      <c r="J840" s="902">
        <f t="shared" si="264"/>
        <v>0</v>
      </c>
      <c r="K840" s="928" t="s">
        <v>507</v>
      </c>
      <c r="L840" s="904">
        <f>ROUND(SUM('RES. CENTRAL PARK:RUA_FINAL'!L840),2)</f>
        <v>0</v>
      </c>
      <c r="M840" s="904">
        <f t="shared" si="287"/>
        <v>0</v>
      </c>
      <c r="N840" s="893">
        <f t="shared" si="288"/>
        <v>0</v>
      </c>
      <c r="O840" s="905"/>
      <c r="Q840" s="317" t="str">
        <f t="shared" si="289"/>
        <v/>
      </c>
      <c r="R840" s="317" t="str">
        <f t="shared" si="290"/>
        <v/>
      </c>
      <c r="S840" s="317" t="str">
        <f t="shared" si="291"/>
        <v/>
      </c>
      <c r="V840" s="314">
        <f>SUM('RES. CENTRAL PARK:RUA_FINAL'!N840)</f>
        <v>0</v>
      </c>
      <c r="W840" s="315">
        <f t="shared" si="283"/>
        <v>0</v>
      </c>
    </row>
    <row r="841" spans="1:23" ht="15" hidden="1" customHeight="1" x14ac:dyDescent="0.2">
      <c r="A841" s="565" t="s">
        <v>165</v>
      </c>
      <c r="B841" s="924" t="s">
        <v>165</v>
      </c>
      <c r="C841" s="925" t="s">
        <v>165</v>
      </c>
      <c r="D841" s="926"/>
      <c r="E841" s="927"/>
      <c r="F841" s="928"/>
      <c r="G841" s="929"/>
      <c r="H841" s="930">
        <v>0</v>
      </c>
      <c r="I841" s="901">
        <f t="shared" si="292"/>
        <v>0</v>
      </c>
      <c r="J841" s="902">
        <f t="shared" si="264"/>
        <v>0</v>
      </c>
      <c r="K841" s="928" t="s">
        <v>507</v>
      </c>
      <c r="L841" s="904">
        <f>ROUND(SUM('RES. CENTRAL PARK:RUA_FINAL'!L841),2)</f>
        <v>0</v>
      </c>
      <c r="M841" s="904">
        <f t="shared" si="287"/>
        <v>0</v>
      </c>
      <c r="N841" s="893">
        <f t="shared" si="288"/>
        <v>0</v>
      </c>
      <c r="O841" s="905"/>
      <c r="Q841" s="317" t="str">
        <f t="shared" si="289"/>
        <v/>
      </c>
      <c r="R841" s="317" t="str">
        <f t="shared" si="290"/>
        <v/>
      </c>
      <c r="S841" s="317" t="str">
        <f t="shared" si="291"/>
        <v/>
      </c>
      <c r="V841" s="314">
        <f>SUM('RES. CENTRAL PARK:RUA_FINAL'!N841)</f>
        <v>0</v>
      </c>
      <c r="W841" s="315">
        <f t="shared" si="283"/>
        <v>0</v>
      </c>
    </row>
    <row r="842" spans="1:23" ht="15" hidden="1" customHeight="1" x14ac:dyDescent="0.2">
      <c r="A842" s="565" t="s">
        <v>165</v>
      </c>
      <c r="B842" s="924" t="s">
        <v>165</v>
      </c>
      <c r="C842" s="925" t="s">
        <v>165</v>
      </c>
      <c r="D842" s="926"/>
      <c r="E842" s="927"/>
      <c r="F842" s="928"/>
      <c r="G842" s="929"/>
      <c r="H842" s="930">
        <v>0</v>
      </c>
      <c r="I842" s="901">
        <f t="shared" si="292"/>
        <v>0</v>
      </c>
      <c r="J842" s="902">
        <f t="shared" si="264"/>
        <v>0</v>
      </c>
      <c r="K842" s="928" t="s">
        <v>507</v>
      </c>
      <c r="L842" s="904">
        <f>ROUND(SUM('RES. CENTRAL PARK:RUA_FINAL'!L842),2)</f>
        <v>0</v>
      </c>
      <c r="M842" s="904">
        <f t="shared" si="287"/>
        <v>0</v>
      </c>
      <c r="N842" s="893">
        <f t="shared" si="288"/>
        <v>0</v>
      </c>
      <c r="O842" s="905"/>
      <c r="Q842" s="317" t="str">
        <f t="shared" si="289"/>
        <v/>
      </c>
      <c r="R842" s="317" t="str">
        <f t="shared" si="290"/>
        <v/>
      </c>
      <c r="S842" s="317" t="str">
        <f t="shared" si="291"/>
        <v/>
      </c>
      <c r="V842" s="314">
        <f>SUM('RES. CENTRAL PARK:RUA_FINAL'!N842)</f>
        <v>0</v>
      </c>
      <c r="W842" s="315">
        <f t="shared" si="283"/>
        <v>0</v>
      </c>
    </row>
    <row r="843" spans="1:23" ht="15" hidden="1" customHeight="1" x14ac:dyDescent="0.2">
      <c r="A843" s="565" t="s">
        <v>165</v>
      </c>
      <c r="B843" s="924" t="s">
        <v>165</v>
      </c>
      <c r="C843" s="925" t="s">
        <v>165</v>
      </c>
      <c r="D843" s="926"/>
      <c r="E843" s="927"/>
      <c r="F843" s="928"/>
      <c r="G843" s="929"/>
      <c r="H843" s="930">
        <v>0</v>
      </c>
      <c r="I843" s="901">
        <f t="shared" si="292"/>
        <v>0</v>
      </c>
      <c r="J843" s="902">
        <f t="shared" si="264"/>
        <v>0</v>
      </c>
      <c r="K843" s="928" t="s">
        <v>507</v>
      </c>
      <c r="L843" s="904">
        <f>ROUND(SUM('RES. CENTRAL PARK:RUA_FINAL'!L843),2)</f>
        <v>0</v>
      </c>
      <c r="M843" s="904">
        <f t="shared" si="287"/>
        <v>0</v>
      </c>
      <c r="N843" s="893">
        <f t="shared" si="288"/>
        <v>0</v>
      </c>
      <c r="O843" s="905"/>
      <c r="Q843" s="317" t="str">
        <f t="shared" si="289"/>
        <v/>
      </c>
      <c r="R843" s="317" t="str">
        <f t="shared" si="290"/>
        <v/>
      </c>
      <c r="S843" s="317" t="str">
        <f t="shared" si="291"/>
        <v/>
      </c>
      <c r="V843" s="314">
        <f>SUM('RES. CENTRAL PARK:RUA_FINAL'!N843)</f>
        <v>0</v>
      </c>
      <c r="W843" s="315">
        <f t="shared" si="283"/>
        <v>0</v>
      </c>
    </row>
    <row r="844" spans="1:23" ht="15" hidden="1" customHeight="1" x14ac:dyDescent="0.2">
      <c r="A844" s="565" t="s">
        <v>165</v>
      </c>
      <c r="B844" s="924" t="s">
        <v>165</v>
      </c>
      <c r="C844" s="925" t="s">
        <v>165</v>
      </c>
      <c r="D844" s="926"/>
      <c r="E844" s="927"/>
      <c r="F844" s="928"/>
      <c r="G844" s="929"/>
      <c r="H844" s="930">
        <v>0</v>
      </c>
      <c r="I844" s="901">
        <f t="shared" si="292"/>
        <v>0</v>
      </c>
      <c r="J844" s="902">
        <f t="shared" si="264"/>
        <v>0</v>
      </c>
      <c r="K844" s="928" t="s">
        <v>507</v>
      </c>
      <c r="L844" s="904">
        <f>ROUND(SUM('RES. CENTRAL PARK:RUA_FINAL'!L844),2)</f>
        <v>0</v>
      </c>
      <c r="M844" s="904">
        <f t="shared" si="287"/>
        <v>0</v>
      </c>
      <c r="N844" s="893">
        <f t="shared" si="288"/>
        <v>0</v>
      </c>
      <c r="O844" s="905"/>
      <c r="Q844" s="317" t="str">
        <f t="shared" si="289"/>
        <v/>
      </c>
      <c r="R844" s="317" t="str">
        <f t="shared" si="290"/>
        <v/>
      </c>
      <c r="S844" s="317" t="str">
        <f t="shared" si="291"/>
        <v/>
      </c>
      <c r="V844" s="314">
        <f>SUM('RES. CENTRAL PARK:RUA_FINAL'!N844)</f>
        <v>0</v>
      </c>
      <c r="W844" s="315">
        <f t="shared" si="283"/>
        <v>0</v>
      </c>
    </row>
    <row r="845" spans="1:23" ht="15" hidden="1" customHeight="1" x14ac:dyDescent="0.2">
      <c r="A845" s="565" t="s">
        <v>165</v>
      </c>
      <c r="B845" s="924" t="s">
        <v>165</v>
      </c>
      <c r="C845" s="925" t="s">
        <v>165</v>
      </c>
      <c r="D845" s="926"/>
      <c r="E845" s="927"/>
      <c r="F845" s="928"/>
      <c r="G845" s="929"/>
      <c r="H845" s="930">
        <v>0</v>
      </c>
      <c r="I845" s="901">
        <f t="shared" si="292"/>
        <v>0</v>
      </c>
      <c r="J845" s="902">
        <f t="shared" si="264"/>
        <v>0</v>
      </c>
      <c r="K845" s="928" t="s">
        <v>507</v>
      </c>
      <c r="L845" s="904">
        <f>ROUND(SUM('RES. CENTRAL PARK:RUA_FINAL'!L845),2)</f>
        <v>0</v>
      </c>
      <c r="M845" s="904">
        <f t="shared" si="287"/>
        <v>0</v>
      </c>
      <c r="N845" s="893">
        <f t="shared" si="288"/>
        <v>0</v>
      </c>
      <c r="O845" s="905"/>
      <c r="Q845" s="317" t="str">
        <f t="shared" si="289"/>
        <v/>
      </c>
      <c r="R845" s="317" t="str">
        <f t="shared" si="290"/>
        <v/>
      </c>
      <c r="S845" s="317" t="str">
        <f t="shared" si="291"/>
        <v/>
      </c>
      <c r="V845" s="314">
        <f>SUM('RES. CENTRAL PARK:RUA_FINAL'!N845)</f>
        <v>0</v>
      </c>
      <c r="W845" s="315">
        <f t="shared" si="283"/>
        <v>0</v>
      </c>
    </row>
    <row r="846" spans="1:23" ht="15" hidden="1" customHeight="1" x14ac:dyDescent="0.2">
      <c r="A846" s="565" t="s">
        <v>165</v>
      </c>
      <c r="B846" s="924" t="s">
        <v>165</v>
      </c>
      <c r="C846" s="925" t="s">
        <v>165</v>
      </c>
      <c r="D846" s="926"/>
      <c r="E846" s="927"/>
      <c r="F846" s="928"/>
      <c r="G846" s="929"/>
      <c r="H846" s="930">
        <v>0</v>
      </c>
      <c r="I846" s="901">
        <f t="shared" si="292"/>
        <v>0</v>
      </c>
      <c r="J846" s="902">
        <f t="shared" si="264"/>
        <v>0</v>
      </c>
      <c r="K846" s="928" t="s">
        <v>507</v>
      </c>
      <c r="L846" s="904">
        <f>ROUND(SUM('RES. CENTRAL PARK:RUA_FINAL'!L846),2)</f>
        <v>0</v>
      </c>
      <c r="M846" s="904">
        <f t="shared" si="287"/>
        <v>0</v>
      </c>
      <c r="N846" s="893">
        <f t="shared" si="288"/>
        <v>0</v>
      </c>
      <c r="O846" s="905"/>
      <c r="Q846" s="317" t="str">
        <f t="shared" si="289"/>
        <v/>
      </c>
      <c r="R846" s="317" t="str">
        <f t="shared" si="290"/>
        <v/>
      </c>
      <c r="S846" s="317" t="str">
        <f t="shared" si="291"/>
        <v/>
      </c>
      <c r="V846" s="314">
        <f>SUM('RES. CENTRAL PARK:RUA_FINAL'!N846)</f>
        <v>0</v>
      </c>
      <c r="W846" s="315">
        <f t="shared" si="283"/>
        <v>0</v>
      </c>
    </row>
    <row r="847" spans="1:23" ht="15" hidden="1" customHeight="1" x14ac:dyDescent="0.2">
      <c r="A847" s="565" t="s">
        <v>165</v>
      </c>
      <c r="B847" s="924" t="s">
        <v>165</v>
      </c>
      <c r="C847" s="925" t="s">
        <v>165</v>
      </c>
      <c r="D847" s="926"/>
      <c r="E847" s="927"/>
      <c r="F847" s="928"/>
      <c r="G847" s="929"/>
      <c r="H847" s="930">
        <v>0</v>
      </c>
      <c r="I847" s="901">
        <f t="shared" si="292"/>
        <v>0</v>
      </c>
      <c r="J847" s="902">
        <f t="shared" si="264"/>
        <v>0</v>
      </c>
      <c r="K847" s="928" t="s">
        <v>507</v>
      </c>
      <c r="L847" s="904">
        <f>ROUND(SUM('RES. CENTRAL PARK:RUA_FINAL'!L847),2)</f>
        <v>0</v>
      </c>
      <c r="M847" s="904">
        <f t="shared" si="287"/>
        <v>0</v>
      </c>
      <c r="N847" s="893">
        <f t="shared" si="288"/>
        <v>0</v>
      </c>
      <c r="O847" s="905"/>
      <c r="Q847" s="317" t="str">
        <f t="shared" si="289"/>
        <v/>
      </c>
      <c r="R847" s="317" t="str">
        <f t="shared" si="290"/>
        <v/>
      </c>
      <c r="S847" s="317" t="str">
        <f t="shared" si="291"/>
        <v/>
      </c>
      <c r="V847" s="314">
        <f>SUM('RES. CENTRAL PARK:RUA_FINAL'!N847)</f>
        <v>0</v>
      </c>
      <c r="W847" s="315">
        <f t="shared" si="283"/>
        <v>0</v>
      </c>
    </row>
    <row r="848" spans="1:23" ht="15" hidden="1" customHeight="1" x14ac:dyDescent="0.2">
      <c r="A848" s="565" t="s">
        <v>165</v>
      </c>
      <c r="B848" s="924" t="s">
        <v>165</v>
      </c>
      <c r="C848" s="925" t="s">
        <v>165</v>
      </c>
      <c r="D848" s="926"/>
      <c r="E848" s="927"/>
      <c r="F848" s="928"/>
      <c r="G848" s="929"/>
      <c r="H848" s="930">
        <v>0</v>
      </c>
      <c r="I848" s="901">
        <f t="shared" si="292"/>
        <v>0</v>
      </c>
      <c r="J848" s="902">
        <f t="shared" si="264"/>
        <v>0</v>
      </c>
      <c r="K848" s="928" t="s">
        <v>507</v>
      </c>
      <c r="L848" s="904">
        <f>ROUND(SUM('RES. CENTRAL PARK:RUA_FINAL'!L848),2)</f>
        <v>0</v>
      </c>
      <c r="M848" s="904">
        <f t="shared" si="287"/>
        <v>0</v>
      </c>
      <c r="N848" s="893">
        <f t="shared" si="288"/>
        <v>0</v>
      </c>
      <c r="O848" s="905"/>
      <c r="Q848" s="317" t="str">
        <f t="shared" si="289"/>
        <v/>
      </c>
      <c r="R848" s="317" t="str">
        <f t="shared" si="290"/>
        <v/>
      </c>
      <c r="S848" s="317" t="str">
        <f t="shared" si="291"/>
        <v/>
      </c>
      <c r="V848" s="314">
        <f>SUM('RES. CENTRAL PARK:RUA_FINAL'!N848)</f>
        <v>0</v>
      </c>
      <c r="W848" s="315">
        <f t="shared" si="283"/>
        <v>0</v>
      </c>
    </row>
    <row r="849" spans="1:23" ht="15" hidden="1" customHeight="1" x14ac:dyDescent="0.2">
      <c r="A849" s="565" t="s">
        <v>165</v>
      </c>
      <c r="B849" s="924" t="s">
        <v>165</v>
      </c>
      <c r="C849" s="925" t="s">
        <v>165</v>
      </c>
      <c r="D849" s="926"/>
      <c r="E849" s="927"/>
      <c r="F849" s="928"/>
      <c r="G849" s="929"/>
      <c r="H849" s="930">
        <v>0</v>
      </c>
      <c r="I849" s="901">
        <f t="shared" si="292"/>
        <v>0</v>
      </c>
      <c r="J849" s="902">
        <f t="shared" si="264"/>
        <v>0</v>
      </c>
      <c r="K849" s="928" t="s">
        <v>507</v>
      </c>
      <c r="L849" s="904">
        <f>ROUND(SUM('RES. CENTRAL PARK:RUA_FINAL'!L849),2)</f>
        <v>0</v>
      </c>
      <c r="M849" s="904">
        <f t="shared" si="287"/>
        <v>0</v>
      </c>
      <c r="N849" s="893">
        <f t="shared" si="288"/>
        <v>0</v>
      </c>
      <c r="O849" s="905"/>
      <c r="Q849" s="317" t="str">
        <f t="shared" si="289"/>
        <v/>
      </c>
      <c r="R849" s="317" t="str">
        <f t="shared" si="290"/>
        <v/>
      </c>
      <c r="S849" s="317" t="str">
        <f t="shared" si="291"/>
        <v/>
      </c>
      <c r="V849" s="314">
        <f>SUM('RES. CENTRAL PARK:RUA_FINAL'!N849)</f>
        <v>0</v>
      </c>
      <c r="W849" s="315">
        <f t="shared" si="283"/>
        <v>0</v>
      </c>
    </row>
    <row r="850" spans="1:23" ht="15" hidden="1" customHeight="1" x14ac:dyDescent="0.2">
      <c r="A850" s="565" t="s">
        <v>165</v>
      </c>
      <c r="B850" s="924" t="s">
        <v>165</v>
      </c>
      <c r="C850" s="925" t="s">
        <v>165</v>
      </c>
      <c r="D850" s="926"/>
      <c r="E850" s="927"/>
      <c r="F850" s="928"/>
      <c r="G850" s="929"/>
      <c r="H850" s="930">
        <v>0</v>
      </c>
      <c r="I850" s="901">
        <f t="shared" si="292"/>
        <v>0</v>
      </c>
      <c r="J850" s="902">
        <f t="shared" ref="J850:J852" si="301">IF(ISBLANK(H850),0,ROUND(I850*(1+$E$10),2))</f>
        <v>0</v>
      </c>
      <c r="K850" s="928" t="s">
        <v>507</v>
      </c>
      <c r="L850" s="904">
        <f>ROUND(SUM('RES. CENTRAL PARK:RUA_FINAL'!L850),2)</f>
        <v>0</v>
      </c>
      <c r="M850" s="904">
        <f t="shared" si="287"/>
        <v>0</v>
      </c>
      <c r="N850" s="893">
        <f t="shared" si="288"/>
        <v>0</v>
      </c>
      <c r="O850" s="905"/>
      <c r="Q850" s="317" t="str">
        <f t="shared" si="289"/>
        <v/>
      </c>
      <c r="R850" s="317" t="str">
        <f t="shared" si="290"/>
        <v/>
      </c>
      <c r="S850" s="317" t="str">
        <f t="shared" si="291"/>
        <v/>
      </c>
      <c r="V850" s="314">
        <f>SUM('RES. CENTRAL PARK:RUA_FINAL'!N850)</f>
        <v>0</v>
      </c>
      <c r="W850" s="315">
        <f t="shared" si="283"/>
        <v>0</v>
      </c>
    </row>
    <row r="851" spans="1:23" ht="15" hidden="1" customHeight="1" x14ac:dyDescent="0.2">
      <c r="A851" s="565" t="s">
        <v>165</v>
      </c>
      <c r="B851" s="924" t="s">
        <v>165</v>
      </c>
      <c r="C851" s="925" t="s">
        <v>165</v>
      </c>
      <c r="D851" s="926"/>
      <c r="E851" s="927"/>
      <c r="F851" s="928"/>
      <c r="G851" s="929"/>
      <c r="H851" s="930">
        <v>0</v>
      </c>
      <c r="I851" s="901">
        <f t="shared" si="292"/>
        <v>0</v>
      </c>
      <c r="J851" s="902">
        <f t="shared" si="301"/>
        <v>0</v>
      </c>
      <c r="K851" s="928" t="s">
        <v>507</v>
      </c>
      <c r="L851" s="904">
        <f>ROUND(SUM('RES. CENTRAL PARK:RUA_FINAL'!L851),2)</f>
        <v>0</v>
      </c>
      <c r="M851" s="904">
        <f t="shared" si="287"/>
        <v>0</v>
      </c>
      <c r="N851" s="893">
        <f t="shared" si="288"/>
        <v>0</v>
      </c>
      <c r="O851" s="905"/>
      <c r="Q851" s="317" t="str">
        <f t="shared" si="289"/>
        <v/>
      </c>
      <c r="R851" s="317" t="str">
        <f t="shared" si="290"/>
        <v/>
      </c>
      <c r="S851" s="317" t="str">
        <f t="shared" si="291"/>
        <v/>
      </c>
      <c r="V851" s="314">
        <f>SUM('RES. CENTRAL PARK:RUA_FINAL'!N851)</f>
        <v>0</v>
      </c>
      <c r="W851" s="315">
        <f t="shared" si="283"/>
        <v>0</v>
      </c>
    </row>
    <row r="852" spans="1:23" ht="15" hidden="1" customHeight="1" thickBot="1" x14ac:dyDescent="0.25">
      <c r="A852" s="565" t="s">
        <v>165</v>
      </c>
      <c r="B852" s="924" t="s">
        <v>165</v>
      </c>
      <c r="C852" s="925" t="s">
        <v>165</v>
      </c>
      <c r="D852" s="926"/>
      <c r="E852" s="927"/>
      <c r="F852" s="928"/>
      <c r="G852" s="929"/>
      <c r="H852" s="930">
        <v>0</v>
      </c>
      <c r="I852" s="901">
        <f t="shared" si="292"/>
        <v>0</v>
      </c>
      <c r="J852" s="902">
        <f t="shared" si="301"/>
        <v>0</v>
      </c>
      <c r="K852" s="928" t="s">
        <v>507</v>
      </c>
      <c r="L852" s="904">
        <f>ROUND(SUM('RES. CENTRAL PARK:RUA_FINAL'!L852),2)</f>
        <v>0</v>
      </c>
      <c r="M852" s="904">
        <f t="shared" si="287"/>
        <v>0</v>
      </c>
      <c r="N852" s="942">
        <f t="shared" si="288"/>
        <v>0</v>
      </c>
      <c r="O852" s="905"/>
      <c r="Q852" s="317" t="str">
        <f t="shared" si="289"/>
        <v/>
      </c>
      <c r="R852" s="317" t="str">
        <f t="shared" si="290"/>
        <v/>
      </c>
      <c r="S852" s="317" t="str">
        <f t="shared" si="291"/>
        <v/>
      </c>
      <c r="V852" s="314">
        <f>SUM('RES. CENTRAL PARK:RUA_FINAL'!N852)</f>
        <v>0</v>
      </c>
      <c r="W852" s="315">
        <f t="shared" si="283"/>
        <v>0</v>
      </c>
    </row>
    <row r="853" spans="1:23" ht="15" customHeight="1" thickBot="1" x14ac:dyDescent="0.25">
      <c r="A853" s="63" t="s">
        <v>417</v>
      </c>
      <c r="B853" s="950" t="s">
        <v>417</v>
      </c>
      <c r="C853" s="951"/>
      <c r="D853" s="952" t="s">
        <v>436</v>
      </c>
      <c r="E853" s="943"/>
      <c r="F853" s="876"/>
      <c r="G853" s="944"/>
      <c r="H853" s="945">
        <v>0</v>
      </c>
      <c r="I853" s="945"/>
      <c r="J853" s="945"/>
      <c r="K853" s="878" t="s">
        <v>507</v>
      </c>
      <c r="L853" s="879">
        <f>ROUND(SUM('RES. CENTRAL PARK:RUA_FINAL'!L853),2)</f>
        <v>0</v>
      </c>
      <c r="M853" s="880">
        <f t="shared" si="287"/>
        <v>0</v>
      </c>
      <c r="N853" s="881">
        <f t="shared" si="288"/>
        <v>0</v>
      </c>
      <c r="O853" s="882">
        <f>SUM(N854:N912)</f>
        <v>22567.53</v>
      </c>
      <c r="P853" s="58" t="str">
        <f>IF(OR(O853&gt;0,O853&gt;0),"X","")</f>
        <v>X</v>
      </c>
      <c r="Q853" s="317" t="str">
        <f t="shared" si="289"/>
        <v>x</v>
      </c>
      <c r="R853" s="317" t="str">
        <f t="shared" si="290"/>
        <v>x</v>
      </c>
      <c r="S853" s="317" t="str">
        <f t="shared" si="291"/>
        <v>x</v>
      </c>
      <c r="V853" s="314">
        <f>SUM('RES. CENTRAL PARK:RUA_FINAL'!N853)</f>
        <v>0</v>
      </c>
      <c r="W853" s="315">
        <f t="shared" ref="W853:W916" si="302">N853-V853</f>
        <v>0</v>
      </c>
    </row>
    <row r="854" spans="1:23" ht="15" hidden="1" customHeight="1" x14ac:dyDescent="0.2">
      <c r="A854" s="63">
        <v>813000</v>
      </c>
      <c r="B854" s="895">
        <v>813000</v>
      </c>
      <c r="C854" s="896" t="s">
        <v>184</v>
      </c>
      <c r="D854" s="906" t="s">
        <v>533</v>
      </c>
      <c r="E854" s="907"/>
      <c r="F854" s="908"/>
      <c r="G854" s="912">
        <f>SUM(G855:G857)</f>
        <v>16.704728600000003</v>
      </c>
      <c r="H854" s="901">
        <v>102.37</v>
      </c>
      <c r="I854" s="901">
        <f>IF(ISBLANK(H854),"",SUM(G854:H854))</f>
        <v>119.07472860000001</v>
      </c>
      <c r="J854" s="902">
        <f>IF(ISBLANK(I854),0,ROUND(I854*(1+$E$10),2))</f>
        <v>142.97</v>
      </c>
      <c r="K854" s="903" t="s">
        <v>13</v>
      </c>
      <c r="L854" s="904">
        <f>ROUND(SUM('RES. CENTRAL PARK:RUA_FINAL'!L854),2)</f>
        <v>0</v>
      </c>
      <c r="M854" s="904">
        <f t="shared" si="287"/>
        <v>0</v>
      </c>
      <c r="N854" s="893">
        <f t="shared" si="288"/>
        <v>0</v>
      </c>
      <c r="O854" s="905"/>
      <c r="Q854" s="317" t="str">
        <f t="shared" si="289"/>
        <v/>
      </c>
      <c r="R854" s="317" t="str">
        <f t="shared" si="290"/>
        <v/>
      </c>
      <c r="S854" s="317" t="str">
        <f t="shared" si="291"/>
        <v/>
      </c>
      <c r="V854" s="314">
        <f>SUM('RES. CENTRAL PARK:RUA_FINAL'!N854)</f>
        <v>0</v>
      </c>
      <c r="W854" s="315">
        <f t="shared" si="302"/>
        <v>0</v>
      </c>
    </row>
    <row r="855" spans="1:23" ht="15" hidden="1" customHeight="1" x14ac:dyDescent="0.2">
      <c r="A855" s="63" t="s">
        <v>147</v>
      </c>
      <c r="B855" s="895" t="s">
        <v>147</v>
      </c>
      <c r="C855" s="896"/>
      <c r="D855" s="957" t="s">
        <v>190</v>
      </c>
      <c r="E855" s="907">
        <f>DMT!$D$20</f>
        <v>308</v>
      </c>
      <c r="F855" s="908">
        <v>1.7600000000000001E-2</v>
      </c>
      <c r="G855" s="909">
        <f>IF(E855&lt;=30,(0.78*E855+7.82)*F855,((0.78*30+7.82)+0.78*(E855-30))*F855)</f>
        <v>4.365856</v>
      </c>
      <c r="H855" s="901">
        <v>0</v>
      </c>
      <c r="I855" s="901"/>
      <c r="J855" s="902">
        <v>0</v>
      </c>
      <c r="K855" s="958" t="s">
        <v>507</v>
      </c>
      <c r="L855" s="959">
        <f>ROUND(SUM('RES. CENTRAL PARK:RUA_FINAL'!L855),2)</f>
        <v>0</v>
      </c>
      <c r="M855" s="960">
        <f t="shared" si="287"/>
        <v>0</v>
      </c>
      <c r="N855" s="893">
        <f t="shared" si="288"/>
        <v>0</v>
      </c>
      <c r="O855" s="905"/>
      <c r="P855" s="58" t="str">
        <f>IF(N854&gt;0,"xx",IF(N854&gt;0,"xy",""))</f>
        <v/>
      </c>
      <c r="Q855" s="317" t="str">
        <f t="shared" si="289"/>
        <v/>
      </c>
      <c r="R855" s="317" t="str">
        <f t="shared" si="290"/>
        <v/>
      </c>
      <c r="S855" s="317" t="str">
        <f t="shared" si="291"/>
        <v/>
      </c>
      <c r="V855" s="314">
        <f>SUM('RES. CENTRAL PARK:RUA_FINAL'!N855)</f>
        <v>0</v>
      </c>
      <c r="W855" s="315">
        <f t="shared" si="302"/>
        <v>0</v>
      </c>
    </row>
    <row r="856" spans="1:23" ht="15" hidden="1" customHeight="1" x14ac:dyDescent="0.2">
      <c r="A856" s="63" t="s">
        <v>147</v>
      </c>
      <c r="B856" s="895" t="s">
        <v>147</v>
      </c>
      <c r="C856" s="896"/>
      <c r="D856" s="957" t="s">
        <v>229</v>
      </c>
      <c r="E856" s="907">
        <f>DMT!$F$8</f>
        <v>150</v>
      </c>
      <c r="F856" s="908">
        <v>7.3400000000000007E-2</v>
      </c>
      <c r="G856" s="949">
        <f t="shared" ref="G856:G857" si="303">IF(E856&lt;=30,(1.07*E856+2.68)*F856,((1.07*30+2.68)+1.07*(E856-30))*F856)</f>
        <v>11.977412000000001</v>
      </c>
      <c r="H856" s="901">
        <v>0</v>
      </c>
      <c r="I856" s="901"/>
      <c r="J856" s="902">
        <v>0</v>
      </c>
      <c r="K856" s="958" t="s">
        <v>507</v>
      </c>
      <c r="L856" s="959">
        <f>ROUND(SUM('RES. CENTRAL PARK:RUA_FINAL'!L856),2)</f>
        <v>0</v>
      </c>
      <c r="M856" s="960">
        <f t="shared" si="287"/>
        <v>0</v>
      </c>
      <c r="N856" s="893">
        <f t="shared" si="288"/>
        <v>0</v>
      </c>
      <c r="O856" s="905"/>
      <c r="P856" s="58" t="str">
        <f>IF(N854&gt;0,"xx",IF(N854&gt;0,"xy",""))</f>
        <v/>
      </c>
      <c r="Q856" s="317" t="str">
        <f t="shared" si="289"/>
        <v/>
      </c>
      <c r="R856" s="317" t="str">
        <f t="shared" si="290"/>
        <v/>
      </c>
      <c r="S856" s="317" t="str">
        <f t="shared" si="291"/>
        <v/>
      </c>
      <c r="V856" s="314">
        <f>SUM('RES. CENTRAL PARK:RUA_FINAL'!N856)</f>
        <v>0</v>
      </c>
      <c r="W856" s="315">
        <f t="shared" si="302"/>
        <v>0</v>
      </c>
    </row>
    <row r="857" spans="1:23" ht="15" hidden="1" customHeight="1" x14ac:dyDescent="0.2">
      <c r="A857" s="63" t="s">
        <v>147</v>
      </c>
      <c r="B857" s="895" t="s">
        <v>147</v>
      </c>
      <c r="C857" s="896"/>
      <c r="D857" s="957" t="s">
        <v>233</v>
      </c>
      <c r="E857" s="907">
        <f>DMT!$F$10</f>
        <v>0.2</v>
      </c>
      <c r="F857" s="908">
        <v>0.1249</v>
      </c>
      <c r="G857" s="949">
        <f t="shared" si="303"/>
        <v>0.36146060000000002</v>
      </c>
      <c r="H857" s="901">
        <v>0</v>
      </c>
      <c r="I857" s="901"/>
      <c r="J857" s="902">
        <v>0</v>
      </c>
      <c r="K857" s="958" t="s">
        <v>507</v>
      </c>
      <c r="L857" s="959">
        <f>ROUND(SUM('RES. CENTRAL PARK:RUA_FINAL'!L857),2)</f>
        <v>0</v>
      </c>
      <c r="M857" s="960">
        <f t="shared" si="287"/>
        <v>0</v>
      </c>
      <c r="N857" s="893">
        <f t="shared" si="288"/>
        <v>0</v>
      </c>
      <c r="O857" s="905"/>
      <c r="P857" s="58" t="str">
        <f>IF(N854&gt;0,"xx",IF(N854&gt;0,"xy",""))</f>
        <v/>
      </c>
      <c r="Q857" s="317" t="str">
        <f t="shared" si="289"/>
        <v/>
      </c>
      <c r="R857" s="317" t="str">
        <f t="shared" si="290"/>
        <v/>
      </c>
      <c r="S857" s="317" t="str">
        <f t="shared" si="291"/>
        <v/>
      </c>
      <c r="V857" s="314">
        <f>SUM('RES. CENTRAL PARK:RUA_FINAL'!N857)</f>
        <v>0</v>
      </c>
      <c r="W857" s="315">
        <f t="shared" si="302"/>
        <v>0</v>
      </c>
    </row>
    <row r="858" spans="1:23" ht="15" hidden="1" customHeight="1" x14ac:dyDescent="0.2">
      <c r="A858" s="63">
        <v>814000</v>
      </c>
      <c r="B858" s="895">
        <v>814000</v>
      </c>
      <c r="C858" s="896" t="s">
        <v>184</v>
      </c>
      <c r="D858" s="906" t="s">
        <v>534</v>
      </c>
      <c r="E858" s="907"/>
      <c r="F858" s="908"/>
      <c r="G858" s="912">
        <f>SUM(G859:G861)</f>
        <v>16.704728600000003</v>
      </c>
      <c r="H858" s="901">
        <v>101.06</v>
      </c>
      <c r="I858" s="901">
        <f>IF(ISBLANK(H858),"",SUM(G858:H858))</f>
        <v>117.76472860000001</v>
      </c>
      <c r="J858" s="902">
        <f t="shared" ref="J858:J879" si="304">IF(ISBLANK(I858),0,ROUND(I858*(1+$E$10),2))</f>
        <v>141.4</v>
      </c>
      <c r="K858" s="903" t="s">
        <v>13</v>
      </c>
      <c r="L858" s="904">
        <f>ROUND(SUM('RES. CENTRAL PARK:RUA_FINAL'!L858),2)</f>
        <v>0</v>
      </c>
      <c r="M858" s="904">
        <f t="shared" si="287"/>
        <v>0</v>
      </c>
      <c r="N858" s="893">
        <f t="shared" si="288"/>
        <v>0</v>
      </c>
      <c r="O858" s="905"/>
      <c r="Q858" s="317" t="str">
        <f t="shared" si="289"/>
        <v/>
      </c>
      <c r="R858" s="317" t="str">
        <f t="shared" si="290"/>
        <v/>
      </c>
      <c r="S858" s="317" t="str">
        <f t="shared" si="291"/>
        <v/>
      </c>
      <c r="V858" s="314">
        <f>SUM('RES. CENTRAL PARK:RUA_FINAL'!N858)</f>
        <v>0</v>
      </c>
      <c r="W858" s="315">
        <f t="shared" si="302"/>
        <v>0</v>
      </c>
    </row>
    <row r="859" spans="1:23" ht="15" hidden="1" customHeight="1" x14ac:dyDescent="0.2">
      <c r="A859" s="63" t="s">
        <v>147</v>
      </c>
      <c r="B859" s="895" t="s">
        <v>147</v>
      </c>
      <c r="C859" s="896"/>
      <c r="D859" s="957" t="s">
        <v>190</v>
      </c>
      <c r="E859" s="907">
        <f>DMT!$D$20</f>
        <v>308</v>
      </c>
      <c r="F859" s="908">
        <v>1.7600000000000001E-2</v>
      </c>
      <c r="G859" s="909">
        <f>IF(E859&lt;=30,(0.78*E859+7.82)*F859,((0.78*30+7.82)+0.78*(E859-30))*F859)</f>
        <v>4.365856</v>
      </c>
      <c r="H859" s="901">
        <v>0</v>
      </c>
      <c r="I859" s="901"/>
      <c r="J859" s="902">
        <v>0</v>
      </c>
      <c r="K859" s="958" t="s">
        <v>507</v>
      </c>
      <c r="L859" s="959">
        <f>ROUND(SUM('RES. CENTRAL PARK:RUA_FINAL'!L859),2)</f>
        <v>0</v>
      </c>
      <c r="M859" s="960">
        <f t="shared" si="287"/>
        <v>0</v>
      </c>
      <c r="N859" s="893">
        <f t="shared" si="288"/>
        <v>0</v>
      </c>
      <c r="O859" s="905"/>
      <c r="P859" s="58" t="str">
        <f>IF(N858&gt;0,"xx",IF(N858&gt;0,"xy",""))</f>
        <v/>
      </c>
      <c r="Q859" s="317" t="str">
        <f t="shared" si="289"/>
        <v/>
      </c>
      <c r="R859" s="317" t="str">
        <f t="shared" si="290"/>
        <v/>
      </c>
      <c r="S859" s="317" t="str">
        <f t="shared" si="291"/>
        <v/>
      </c>
      <c r="V859" s="314">
        <f>SUM('RES. CENTRAL PARK:RUA_FINAL'!N859)</f>
        <v>0</v>
      </c>
      <c r="W859" s="315">
        <f t="shared" si="302"/>
        <v>0</v>
      </c>
    </row>
    <row r="860" spans="1:23" ht="15" hidden="1" customHeight="1" x14ac:dyDescent="0.2">
      <c r="A860" s="63" t="s">
        <v>147</v>
      </c>
      <c r="B860" s="895" t="s">
        <v>147</v>
      </c>
      <c r="C860" s="896"/>
      <c r="D860" s="957" t="s">
        <v>229</v>
      </c>
      <c r="E860" s="907">
        <f>DMT!$F$8</f>
        <v>150</v>
      </c>
      <c r="F860" s="908">
        <v>7.3400000000000007E-2</v>
      </c>
      <c r="G860" s="949">
        <f t="shared" ref="G860:G861" si="305">IF(E860&lt;=30,(1.07*E860+2.68)*F860,((1.07*30+2.68)+1.07*(E860-30))*F860)</f>
        <v>11.977412000000001</v>
      </c>
      <c r="H860" s="901">
        <v>0</v>
      </c>
      <c r="I860" s="901"/>
      <c r="J860" s="902">
        <v>0</v>
      </c>
      <c r="K860" s="958" t="s">
        <v>507</v>
      </c>
      <c r="L860" s="959">
        <f>ROUND(SUM('RES. CENTRAL PARK:RUA_FINAL'!L860),2)</f>
        <v>0</v>
      </c>
      <c r="M860" s="960">
        <f t="shared" ref="M860:M913" si="306">IF(L860=0,0,ROUND(J860,2))</f>
        <v>0</v>
      </c>
      <c r="N860" s="893">
        <f t="shared" ref="N860:N913" si="307">IF(ISBLANK(L860),0,ROUND(L860*M860,2))</f>
        <v>0</v>
      </c>
      <c r="O860" s="905"/>
      <c r="P860" s="58" t="str">
        <f>IF(N858&gt;0,"xx",IF(N858&gt;0,"xy",""))</f>
        <v/>
      </c>
      <c r="Q860" s="317" t="str">
        <f t="shared" ref="Q860:Q913" si="308">IF(P860="X","x",IF(P860="xx","x",IF(P860="xy","x",IF(P860="y","x",IF(OR(N860&gt;0,N860&gt;0),"x","")))))</f>
        <v/>
      </c>
      <c r="R860" s="317" t="str">
        <f t="shared" ref="R860:R913" si="309">IF(P860="X","x",IF(P860="y","x",IF(P860="xx","x",IF(N860&gt;0,"x",""))))</f>
        <v/>
      </c>
      <c r="S860" s="317" t="str">
        <f t="shared" ref="S860:S913" si="310">IF(P860="X","x",IF(N860&gt;0,"x",""))</f>
        <v/>
      </c>
      <c r="V860" s="314">
        <f>SUM('RES. CENTRAL PARK:RUA_FINAL'!N860)</f>
        <v>0</v>
      </c>
      <c r="W860" s="315">
        <f t="shared" si="302"/>
        <v>0</v>
      </c>
    </row>
    <row r="861" spans="1:23" ht="15" hidden="1" customHeight="1" x14ac:dyDescent="0.2">
      <c r="A861" s="63" t="s">
        <v>147</v>
      </c>
      <c r="B861" s="895" t="s">
        <v>147</v>
      </c>
      <c r="C861" s="896"/>
      <c r="D861" s="957" t="s">
        <v>233</v>
      </c>
      <c r="E861" s="907">
        <f>DMT!$F$10</f>
        <v>0.2</v>
      </c>
      <c r="F861" s="908">
        <v>0.1249</v>
      </c>
      <c r="G861" s="949">
        <f t="shared" si="305"/>
        <v>0.36146060000000002</v>
      </c>
      <c r="H861" s="901">
        <v>0</v>
      </c>
      <c r="I861" s="901"/>
      <c r="J861" s="902">
        <v>0</v>
      </c>
      <c r="K861" s="958" t="s">
        <v>507</v>
      </c>
      <c r="L861" s="959">
        <f>ROUND(SUM('RES. CENTRAL PARK:RUA_FINAL'!L861),2)</f>
        <v>0</v>
      </c>
      <c r="M861" s="960">
        <f t="shared" si="306"/>
        <v>0</v>
      </c>
      <c r="N861" s="893">
        <f t="shared" si="307"/>
        <v>0</v>
      </c>
      <c r="O861" s="905"/>
      <c r="P861" s="58" t="str">
        <f>IF(N858&gt;0,"xx",IF(N858&gt;0,"xy",""))</f>
        <v/>
      </c>
      <c r="Q861" s="317" t="str">
        <f t="shared" si="308"/>
        <v/>
      </c>
      <c r="R861" s="317" t="str">
        <f t="shared" si="309"/>
        <v/>
      </c>
      <c r="S861" s="317" t="str">
        <f t="shared" si="310"/>
        <v/>
      </c>
      <c r="V861" s="314">
        <f>SUM('RES. CENTRAL PARK:RUA_FINAL'!N861)</f>
        <v>0</v>
      </c>
      <c r="W861" s="315">
        <f t="shared" si="302"/>
        <v>0</v>
      </c>
    </row>
    <row r="862" spans="1:23" ht="15" hidden="1" customHeight="1" x14ac:dyDescent="0.2">
      <c r="A862" s="63">
        <v>823000</v>
      </c>
      <c r="B862" s="895" t="s">
        <v>1788</v>
      </c>
      <c r="C862" s="896" t="s">
        <v>184</v>
      </c>
      <c r="D862" s="906" t="s">
        <v>267</v>
      </c>
      <c r="E862" s="907"/>
      <c r="F862" s="908"/>
      <c r="G862" s="912">
        <v>0</v>
      </c>
      <c r="H862" s="901">
        <v>490.71</v>
      </c>
      <c r="I862" s="901">
        <f t="shared" ref="I862:I870" si="311">IF(ISBLANK(H862),"",SUM(G862:H862))</f>
        <v>490.71</v>
      </c>
      <c r="J862" s="902">
        <f t="shared" si="304"/>
        <v>589.20000000000005</v>
      </c>
      <c r="K862" s="903" t="s">
        <v>13</v>
      </c>
      <c r="L862" s="904">
        <f>ROUND(SUM('RES. CENTRAL PARK:RUA_FINAL'!L862),2)</f>
        <v>0</v>
      </c>
      <c r="M862" s="904">
        <f t="shared" si="306"/>
        <v>0</v>
      </c>
      <c r="N862" s="893">
        <f t="shared" si="307"/>
        <v>0</v>
      </c>
      <c r="O862" s="905"/>
      <c r="Q862" s="317" t="str">
        <f t="shared" si="308"/>
        <v/>
      </c>
      <c r="R862" s="317" t="str">
        <f t="shared" si="309"/>
        <v/>
      </c>
      <c r="S862" s="317" t="str">
        <f t="shared" si="310"/>
        <v/>
      </c>
      <c r="V862" s="314">
        <f>SUM('RES. CENTRAL PARK:RUA_FINAL'!N862)</f>
        <v>0</v>
      </c>
      <c r="W862" s="315">
        <f t="shared" si="302"/>
        <v>0</v>
      </c>
    </row>
    <row r="863" spans="1:23" ht="15" hidden="1" customHeight="1" x14ac:dyDescent="0.2">
      <c r="A863" s="63">
        <v>871000</v>
      </c>
      <c r="B863" s="895">
        <v>871000</v>
      </c>
      <c r="C863" s="896" t="s">
        <v>184</v>
      </c>
      <c r="D863" s="906" t="s">
        <v>462</v>
      </c>
      <c r="E863" s="907"/>
      <c r="F863" s="908"/>
      <c r="G863" s="912"/>
      <c r="H863" s="901">
        <v>18.28</v>
      </c>
      <c r="I863" s="901">
        <f t="shared" si="311"/>
        <v>18.28</v>
      </c>
      <c r="J863" s="902">
        <f t="shared" si="304"/>
        <v>21.95</v>
      </c>
      <c r="K863" s="903" t="s">
        <v>15</v>
      </c>
      <c r="L863" s="904">
        <f>ROUND(SUM('RES. CENTRAL PARK:RUA_FINAL'!L863),2)</f>
        <v>0</v>
      </c>
      <c r="M863" s="904">
        <f t="shared" si="306"/>
        <v>0</v>
      </c>
      <c r="N863" s="893">
        <f t="shared" si="307"/>
        <v>0</v>
      </c>
      <c r="O863" s="905"/>
      <c r="Q863" s="317" t="str">
        <f t="shared" si="308"/>
        <v/>
      </c>
      <c r="R863" s="317" t="str">
        <f t="shared" si="309"/>
        <v/>
      </c>
      <c r="S863" s="317" t="str">
        <f t="shared" si="310"/>
        <v/>
      </c>
      <c r="V863" s="314">
        <f>SUM('RES. CENTRAL PARK:RUA_FINAL'!N863)</f>
        <v>0</v>
      </c>
      <c r="W863" s="315">
        <f t="shared" si="302"/>
        <v>0</v>
      </c>
    </row>
    <row r="864" spans="1:23" ht="15" hidden="1" customHeight="1" x14ac:dyDescent="0.2">
      <c r="A864" s="63">
        <v>870000</v>
      </c>
      <c r="B864" s="895">
        <v>870000</v>
      </c>
      <c r="C864" s="896" t="s">
        <v>184</v>
      </c>
      <c r="D864" s="906" t="s">
        <v>463</v>
      </c>
      <c r="E864" s="907"/>
      <c r="F864" s="908"/>
      <c r="G864" s="912"/>
      <c r="H864" s="901">
        <v>17.63</v>
      </c>
      <c r="I864" s="901">
        <f t="shared" si="311"/>
        <v>17.63</v>
      </c>
      <c r="J864" s="902">
        <f t="shared" si="304"/>
        <v>21.17</v>
      </c>
      <c r="K864" s="903" t="s">
        <v>15</v>
      </c>
      <c r="L864" s="904">
        <f>ROUND(SUM('RES. CENTRAL PARK:RUA_FINAL'!L864),2)</f>
        <v>0</v>
      </c>
      <c r="M864" s="904">
        <f t="shared" si="306"/>
        <v>0</v>
      </c>
      <c r="N864" s="893">
        <f t="shared" si="307"/>
        <v>0</v>
      </c>
      <c r="O864" s="905"/>
      <c r="Q864" s="317" t="str">
        <f t="shared" si="308"/>
        <v/>
      </c>
      <c r="R864" s="317" t="str">
        <f t="shared" si="309"/>
        <v/>
      </c>
      <c r="S864" s="317" t="str">
        <f t="shared" si="310"/>
        <v/>
      </c>
      <c r="V864" s="314">
        <f>SUM('RES. CENTRAL PARK:RUA_FINAL'!N864)</f>
        <v>0</v>
      </c>
      <c r="W864" s="315">
        <f t="shared" si="302"/>
        <v>0</v>
      </c>
    </row>
    <row r="865" spans="1:23" ht="15" hidden="1" customHeight="1" x14ac:dyDescent="0.2">
      <c r="A865" s="63">
        <v>873000</v>
      </c>
      <c r="B865" s="895">
        <v>873000</v>
      </c>
      <c r="C865" s="896" t="s">
        <v>184</v>
      </c>
      <c r="D865" s="906" t="s">
        <v>464</v>
      </c>
      <c r="E865" s="907"/>
      <c r="F865" s="908"/>
      <c r="G865" s="912"/>
      <c r="H865" s="901">
        <v>31.82</v>
      </c>
      <c r="I865" s="901">
        <f t="shared" si="311"/>
        <v>31.82</v>
      </c>
      <c r="J865" s="902">
        <f t="shared" si="304"/>
        <v>38.21</v>
      </c>
      <c r="K865" s="903" t="s">
        <v>15</v>
      </c>
      <c r="L865" s="904">
        <f>ROUND(SUM('RES. CENTRAL PARK:RUA_FINAL'!L865),2)</f>
        <v>0</v>
      </c>
      <c r="M865" s="904">
        <f t="shared" si="306"/>
        <v>0</v>
      </c>
      <c r="N865" s="893">
        <f t="shared" si="307"/>
        <v>0</v>
      </c>
      <c r="O865" s="905"/>
      <c r="Q865" s="317" t="str">
        <f t="shared" si="308"/>
        <v/>
      </c>
      <c r="R865" s="317" t="str">
        <f t="shared" si="309"/>
        <v/>
      </c>
      <c r="S865" s="317" t="str">
        <f t="shared" si="310"/>
        <v/>
      </c>
      <c r="V865" s="314">
        <f>SUM('RES. CENTRAL PARK:RUA_FINAL'!N865)</f>
        <v>0</v>
      </c>
      <c r="W865" s="315">
        <f t="shared" si="302"/>
        <v>0</v>
      </c>
    </row>
    <row r="866" spans="1:23" ht="15" hidden="1" customHeight="1" x14ac:dyDescent="0.2">
      <c r="A866" s="63">
        <v>872000</v>
      </c>
      <c r="B866" s="895">
        <v>872000</v>
      </c>
      <c r="C866" s="896" t="s">
        <v>184</v>
      </c>
      <c r="D866" s="906" t="s">
        <v>465</v>
      </c>
      <c r="E866" s="907"/>
      <c r="F866" s="908"/>
      <c r="G866" s="912"/>
      <c r="H866" s="901">
        <v>31.05</v>
      </c>
      <c r="I866" s="901">
        <f t="shared" si="311"/>
        <v>31.05</v>
      </c>
      <c r="J866" s="902">
        <f t="shared" si="304"/>
        <v>37.28</v>
      </c>
      <c r="K866" s="903" t="s">
        <v>15</v>
      </c>
      <c r="L866" s="904">
        <f>ROUND(SUM('RES. CENTRAL PARK:RUA_FINAL'!L866),2)</f>
        <v>0</v>
      </c>
      <c r="M866" s="904">
        <f t="shared" si="306"/>
        <v>0</v>
      </c>
      <c r="N866" s="893">
        <f t="shared" si="307"/>
        <v>0</v>
      </c>
      <c r="O866" s="905"/>
      <c r="Q866" s="317" t="str">
        <f t="shared" si="308"/>
        <v/>
      </c>
      <c r="R866" s="317" t="str">
        <f t="shared" si="309"/>
        <v/>
      </c>
      <c r="S866" s="317" t="str">
        <f t="shared" si="310"/>
        <v/>
      </c>
      <c r="V866" s="314">
        <f>SUM('RES. CENTRAL PARK:RUA_FINAL'!N866)</f>
        <v>0</v>
      </c>
      <c r="W866" s="315">
        <f t="shared" si="302"/>
        <v>0</v>
      </c>
    </row>
    <row r="867" spans="1:23" ht="15" customHeight="1" thickBot="1" x14ac:dyDescent="0.25">
      <c r="A867" s="63">
        <v>822000</v>
      </c>
      <c r="B867" s="895">
        <v>822000</v>
      </c>
      <c r="C867" s="896" t="s">
        <v>184</v>
      </c>
      <c r="D867" s="906" t="s">
        <v>461</v>
      </c>
      <c r="E867" s="907"/>
      <c r="F867" s="908"/>
      <c r="G867" s="912"/>
      <c r="H867" s="901">
        <v>30.86</v>
      </c>
      <c r="I867" s="901">
        <f t="shared" si="311"/>
        <v>30.86</v>
      </c>
      <c r="J867" s="902">
        <f t="shared" si="304"/>
        <v>37.049999999999997</v>
      </c>
      <c r="K867" s="903" t="s">
        <v>12</v>
      </c>
      <c r="L867" s="904">
        <f>ROUND(SUM('RES. CENTRAL PARK:RUA_FINAL'!L867),2)</f>
        <v>609.11</v>
      </c>
      <c r="M867" s="904">
        <f t="shared" si="306"/>
        <v>37.049999999999997</v>
      </c>
      <c r="N867" s="893">
        <f t="shared" si="307"/>
        <v>22567.53</v>
      </c>
      <c r="O867" s="905"/>
      <c r="Q867" s="317" t="str">
        <f t="shared" si="308"/>
        <v>x</v>
      </c>
      <c r="R867" s="317" t="str">
        <f t="shared" si="309"/>
        <v>x</v>
      </c>
      <c r="S867" s="317" t="str">
        <f t="shared" si="310"/>
        <v>x</v>
      </c>
      <c r="V867" s="314">
        <f>SUM('RES. CENTRAL PARK:RUA_FINAL'!N867)</f>
        <v>22567.53</v>
      </c>
      <c r="W867" s="315">
        <f t="shared" si="302"/>
        <v>0</v>
      </c>
    </row>
    <row r="868" spans="1:23" ht="15" hidden="1" customHeight="1" x14ac:dyDescent="0.2">
      <c r="A868" s="63">
        <v>820000</v>
      </c>
      <c r="B868" s="895" t="s">
        <v>302</v>
      </c>
      <c r="C868" s="896" t="s">
        <v>184</v>
      </c>
      <c r="D868" s="906" t="s">
        <v>286</v>
      </c>
      <c r="E868" s="907"/>
      <c r="F868" s="908"/>
      <c r="G868" s="912"/>
      <c r="H868" s="901">
        <v>542.29999999999995</v>
      </c>
      <c r="I868" s="901">
        <f t="shared" si="311"/>
        <v>542.29999999999995</v>
      </c>
      <c r="J868" s="902">
        <f t="shared" si="304"/>
        <v>651.14</v>
      </c>
      <c r="K868" s="903" t="s">
        <v>12</v>
      </c>
      <c r="L868" s="904">
        <f>ROUND(SUM('RES. CENTRAL PARK:RUA_FINAL'!L868),2)</f>
        <v>0</v>
      </c>
      <c r="M868" s="904">
        <f t="shared" si="306"/>
        <v>0</v>
      </c>
      <c r="N868" s="893">
        <f t="shared" si="307"/>
        <v>0</v>
      </c>
      <c r="O868" s="905"/>
      <c r="Q868" s="317" t="str">
        <f t="shared" si="308"/>
        <v/>
      </c>
      <c r="R868" s="317" t="str">
        <f t="shared" si="309"/>
        <v/>
      </c>
      <c r="S868" s="317" t="str">
        <f t="shared" si="310"/>
        <v/>
      </c>
      <c r="V868" s="314">
        <f>SUM('RES. CENTRAL PARK:RUA_FINAL'!N868)</f>
        <v>0</v>
      </c>
      <c r="W868" s="315">
        <f t="shared" si="302"/>
        <v>0</v>
      </c>
    </row>
    <row r="869" spans="1:23" ht="15" hidden="1" customHeight="1" x14ac:dyDescent="0.2">
      <c r="A869" s="63">
        <v>821000</v>
      </c>
      <c r="B869" s="895">
        <v>821000</v>
      </c>
      <c r="C869" s="896" t="s">
        <v>184</v>
      </c>
      <c r="D869" s="906" t="s">
        <v>287</v>
      </c>
      <c r="E869" s="907"/>
      <c r="F869" s="908"/>
      <c r="G869" s="912"/>
      <c r="H869" s="901">
        <v>167.69</v>
      </c>
      <c r="I869" s="901">
        <f t="shared" si="311"/>
        <v>167.69</v>
      </c>
      <c r="J869" s="902">
        <f t="shared" si="304"/>
        <v>201.35</v>
      </c>
      <c r="K869" s="903" t="s">
        <v>15</v>
      </c>
      <c r="L869" s="904">
        <f>ROUND(SUM('RES. CENTRAL PARK:RUA_FINAL'!L869),2)</f>
        <v>0</v>
      </c>
      <c r="M869" s="904">
        <f t="shared" si="306"/>
        <v>0</v>
      </c>
      <c r="N869" s="893">
        <f t="shared" si="307"/>
        <v>0</v>
      </c>
      <c r="O869" s="905"/>
      <c r="Q869" s="317" t="str">
        <f t="shared" si="308"/>
        <v/>
      </c>
      <c r="R869" s="317" t="str">
        <f t="shared" si="309"/>
        <v/>
      </c>
      <c r="S869" s="317" t="str">
        <f t="shared" si="310"/>
        <v/>
      </c>
      <c r="V869" s="314">
        <f>SUM('RES. CENTRAL PARK:RUA_FINAL'!N869)</f>
        <v>0</v>
      </c>
      <c r="W869" s="315">
        <f t="shared" si="302"/>
        <v>0</v>
      </c>
    </row>
    <row r="870" spans="1:23" ht="15" hidden="1" customHeight="1" x14ac:dyDescent="0.2">
      <c r="A870" s="63">
        <v>821300</v>
      </c>
      <c r="B870" s="895">
        <v>821300</v>
      </c>
      <c r="C870" s="896" t="s">
        <v>184</v>
      </c>
      <c r="D870" s="906" t="s">
        <v>288</v>
      </c>
      <c r="E870" s="907"/>
      <c r="F870" s="908"/>
      <c r="G870" s="912"/>
      <c r="H870" s="901">
        <v>416.52</v>
      </c>
      <c r="I870" s="901">
        <f t="shared" si="311"/>
        <v>416.52</v>
      </c>
      <c r="J870" s="902">
        <f t="shared" si="304"/>
        <v>500.12</v>
      </c>
      <c r="K870" s="903" t="s">
        <v>15</v>
      </c>
      <c r="L870" s="904">
        <f>ROUND(SUM('RES. CENTRAL PARK:RUA_FINAL'!L870),2)</f>
        <v>0</v>
      </c>
      <c r="M870" s="904">
        <f t="shared" si="306"/>
        <v>0</v>
      </c>
      <c r="N870" s="893">
        <f t="shared" si="307"/>
        <v>0</v>
      </c>
      <c r="O870" s="905"/>
      <c r="Q870" s="317" t="str">
        <f t="shared" si="308"/>
        <v/>
      </c>
      <c r="R870" s="317" t="str">
        <f t="shared" si="309"/>
        <v/>
      </c>
      <c r="S870" s="317" t="str">
        <f t="shared" si="310"/>
        <v/>
      </c>
      <c r="V870" s="314">
        <f>SUM('RES. CENTRAL PARK:RUA_FINAL'!N870)</f>
        <v>0</v>
      </c>
      <c r="W870" s="315">
        <f t="shared" si="302"/>
        <v>0</v>
      </c>
    </row>
    <row r="871" spans="1:23" ht="15" hidden="1" customHeight="1" x14ac:dyDescent="0.2">
      <c r="A871" s="63">
        <v>820000</v>
      </c>
      <c r="B871" s="895" t="s">
        <v>303</v>
      </c>
      <c r="C871" s="896" t="s">
        <v>184</v>
      </c>
      <c r="D871" s="906" t="s">
        <v>289</v>
      </c>
      <c r="E871" s="907"/>
      <c r="F871" s="908"/>
      <c r="G871" s="912"/>
      <c r="H871" s="901">
        <v>542.29999999999995</v>
      </c>
      <c r="I871" s="901">
        <f>IF(ISBLANK(H871),"",SUM(G871:H871))*0.85</f>
        <v>460.95499999999993</v>
      </c>
      <c r="J871" s="902">
        <f t="shared" si="304"/>
        <v>553.47</v>
      </c>
      <c r="K871" s="903" t="s">
        <v>15</v>
      </c>
      <c r="L871" s="904">
        <f>ROUND(SUM('RES. CENTRAL PARK:RUA_FINAL'!L871),2)</f>
        <v>0</v>
      </c>
      <c r="M871" s="904">
        <f t="shared" si="306"/>
        <v>0</v>
      </c>
      <c r="N871" s="893">
        <f t="shared" si="307"/>
        <v>0</v>
      </c>
      <c r="O871" s="905"/>
      <c r="Q871" s="317" t="str">
        <f t="shared" si="308"/>
        <v/>
      </c>
      <c r="R871" s="317" t="str">
        <f t="shared" si="309"/>
        <v/>
      </c>
      <c r="S871" s="317" t="str">
        <f t="shared" si="310"/>
        <v/>
      </c>
      <c r="V871" s="314">
        <f>SUM('RES. CENTRAL PARK:RUA_FINAL'!N871)</f>
        <v>0</v>
      </c>
      <c r="W871" s="315">
        <f t="shared" si="302"/>
        <v>0</v>
      </c>
    </row>
    <row r="872" spans="1:23" ht="15" hidden="1" customHeight="1" x14ac:dyDescent="0.2">
      <c r="A872" s="63">
        <v>820000</v>
      </c>
      <c r="B872" s="895" t="s">
        <v>304</v>
      </c>
      <c r="C872" s="896" t="s">
        <v>184</v>
      </c>
      <c r="D872" s="906" t="s">
        <v>290</v>
      </c>
      <c r="E872" s="907"/>
      <c r="F872" s="908"/>
      <c r="G872" s="912"/>
      <c r="H872" s="901">
        <v>542.29999999999995</v>
      </c>
      <c r="I872" s="901">
        <f>IF(ISBLANK(H872),"",SUM(G872:H872))*0.85</f>
        <v>460.95499999999993</v>
      </c>
      <c r="J872" s="902">
        <f t="shared" si="304"/>
        <v>553.47</v>
      </c>
      <c r="K872" s="903" t="s">
        <v>15</v>
      </c>
      <c r="L872" s="904">
        <f>ROUND(SUM('RES. CENTRAL PARK:RUA_FINAL'!L872),2)</f>
        <v>0</v>
      </c>
      <c r="M872" s="904">
        <f t="shared" si="306"/>
        <v>0</v>
      </c>
      <c r="N872" s="893">
        <f t="shared" si="307"/>
        <v>0</v>
      </c>
      <c r="O872" s="905"/>
      <c r="Q872" s="317" t="str">
        <f t="shared" si="308"/>
        <v/>
      </c>
      <c r="R872" s="317" t="str">
        <f t="shared" si="309"/>
        <v/>
      </c>
      <c r="S872" s="317" t="str">
        <f t="shared" si="310"/>
        <v/>
      </c>
      <c r="V872" s="314">
        <f>SUM('RES. CENTRAL PARK:RUA_FINAL'!N872)</f>
        <v>0</v>
      </c>
      <c r="W872" s="315">
        <f t="shared" si="302"/>
        <v>0</v>
      </c>
    </row>
    <row r="873" spans="1:23" ht="15" hidden="1" customHeight="1" x14ac:dyDescent="0.2">
      <c r="A873" s="63">
        <v>820000</v>
      </c>
      <c r="B873" s="895" t="s">
        <v>305</v>
      </c>
      <c r="C873" s="896" t="s">
        <v>184</v>
      </c>
      <c r="D873" s="906" t="s">
        <v>291</v>
      </c>
      <c r="E873" s="907"/>
      <c r="F873" s="908"/>
      <c r="G873" s="912"/>
      <c r="H873" s="901">
        <v>542.29999999999995</v>
      </c>
      <c r="I873" s="901">
        <f>IF(ISBLANK(H873),"",SUM(G873:H873))*0.85</f>
        <v>460.95499999999993</v>
      </c>
      <c r="J873" s="902">
        <f t="shared" si="304"/>
        <v>553.47</v>
      </c>
      <c r="K873" s="903" t="s">
        <v>15</v>
      </c>
      <c r="L873" s="904">
        <f>ROUND(SUM('RES. CENTRAL PARK:RUA_FINAL'!L873),2)</f>
        <v>0</v>
      </c>
      <c r="M873" s="904">
        <f t="shared" si="306"/>
        <v>0</v>
      </c>
      <c r="N873" s="893">
        <f t="shared" si="307"/>
        <v>0</v>
      </c>
      <c r="O873" s="905"/>
      <c r="Q873" s="317" t="str">
        <f t="shared" si="308"/>
        <v/>
      </c>
      <c r="R873" s="317" t="str">
        <f t="shared" si="309"/>
        <v/>
      </c>
      <c r="S873" s="317" t="str">
        <f t="shared" si="310"/>
        <v/>
      </c>
      <c r="V873" s="314">
        <f>SUM('RES. CENTRAL PARK:RUA_FINAL'!N873)</f>
        <v>0</v>
      </c>
      <c r="W873" s="315">
        <f t="shared" si="302"/>
        <v>0</v>
      </c>
    </row>
    <row r="874" spans="1:23" ht="15" hidden="1" customHeight="1" x14ac:dyDescent="0.2">
      <c r="A874" s="63">
        <v>820000</v>
      </c>
      <c r="B874" s="895" t="s">
        <v>306</v>
      </c>
      <c r="C874" s="896" t="s">
        <v>184</v>
      </c>
      <c r="D874" s="906" t="s">
        <v>292</v>
      </c>
      <c r="E874" s="907"/>
      <c r="F874" s="908"/>
      <c r="G874" s="912"/>
      <c r="H874" s="901">
        <v>542.29999999999995</v>
      </c>
      <c r="I874" s="901">
        <f>IF(ISBLANK(H874),"",SUM(G874:H874))*0.85</f>
        <v>460.95499999999993</v>
      </c>
      <c r="J874" s="902">
        <f t="shared" si="304"/>
        <v>553.47</v>
      </c>
      <c r="K874" s="903" t="s">
        <v>15</v>
      </c>
      <c r="L874" s="904">
        <f>ROUND(SUM('RES. CENTRAL PARK:RUA_FINAL'!L874),2)</f>
        <v>0</v>
      </c>
      <c r="M874" s="904">
        <f t="shared" si="306"/>
        <v>0</v>
      </c>
      <c r="N874" s="893">
        <f t="shared" si="307"/>
        <v>0</v>
      </c>
      <c r="O874" s="905"/>
      <c r="Q874" s="317" t="str">
        <f t="shared" si="308"/>
        <v/>
      </c>
      <c r="R874" s="317" t="str">
        <f t="shared" si="309"/>
        <v/>
      </c>
      <c r="S874" s="317" t="str">
        <f t="shared" si="310"/>
        <v/>
      </c>
      <c r="V874" s="314">
        <f>SUM('RES. CENTRAL PARK:RUA_FINAL'!N874)</f>
        <v>0</v>
      </c>
      <c r="W874" s="315">
        <f t="shared" si="302"/>
        <v>0</v>
      </c>
    </row>
    <row r="875" spans="1:23" ht="15" hidden="1" customHeight="1" x14ac:dyDescent="0.2">
      <c r="A875" s="63">
        <v>820000</v>
      </c>
      <c r="B875" s="895" t="s">
        <v>307</v>
      </c>
      <c r="C875" s="896" t="s">
        <v>184</v>
      </c>
      <c r="D875" s="906" t="s">
        <v>293</v>
      </c>
      <c r="E875" s="907"/>
      <c r="F875" s="908"/>
      <c r="G875" s="912"/>
      <c r="H875" s="901">
        <v>542.29999999999995</v>
      </c>
      <c r="I875" s="901">
        <f>IF(ISBLANK(H875),"",SUM(G875:H875))</f>
        <v>542.29999999999995</v>
      </c>
      <c r="J875" s="902">
        <f t="shared" si="304"/>
        <v>651.14</v>
      </c>
      <c r="K875" s="903" t="s">
        <v>15</v>
      </c>
      <c r="L875" s="904">
        <f>ROUND(SUM('RES. CENTRAL PARK:RUA_FINAL'!L875),2)</f>
        <v>0</v>
      </c>
      <c r="M875" s="904">
        <f t="shared" si="306"/>
        <v>0</v>
      </c>
      <c r="N875" s="893">
        <f t="shared" si="307"/>
        <v>0</v>
      </c>
      <c r="O875" s="905"/>
      <c r="Q875" s="317" t="str">
        <f t="shared" si="308"/>
        <v/>
      </c>
      <c r="R875" s="317" t="str">
        <f t="shared" si="309"/>
        <v/>
      </c>
      <c r="S875" s="317" t="str">
        <f t="shared" si="310"/>
        <v/>
      </c>
      <c r="V875" s="314">
        <f>SUM('RES. CENTRAL PARK:RUA_FINAL'!N875)</f>
        <v>0</v>
      </c>
      <c r="W875" s="315">
        <f t="shared" si="302"/>
        <v>0</v>
      </c>
    </row>
    <row r="876" spans="1:23" ht="15" hidden="1" customHeight="1" x14ac:dyDescent="0.2">
      <c r="A876" s="63">
        <v>820000</v>
      </c>
      <c r="B876" s="895" t="s">
        <v>308</v>
      </c>
      <c r="C876" s="896" t="s">
        <v>184</v>
      </c>
      <c r="D876" s="906" t="s">
        <v>294</v>
      </c>
      <c r="E876" s="907"/>
      <c r="F876" s="908"/>
      <c r="G876" s="912"/>
      <c r="H876" s="901">
        <v>542.29999999999995</v>
      </c>
      <c r="I876" s="901">
        <f>IF(ISBLANK(H876),"",SUM(G876:H876))</f>
        <v>542.29999999999995</v>
      </c>
      <c r="J876" s="902">
        <f t="shared" si="304"/>
        <v>651.14</v>
      </c>
      <c r="K876" s="903" t="s">
        <v>15</v>
      </c>
      <c r="L876" s="904">
        <f>ROUND(SUM('RES. CENTRAL PARK:RUA_FINAL'!L876),2)</f>
        <v>0</v>
      </c>
      <c r="M876" s="904">
        <f t="shared" si="306"/>
        <v>0</v>
      </c>
      <c r="N876" s="893">
        <f t="shared" si="307"/>
        <v>0</v>
      </c>
      <c r="O876" s="905"/>
      <c r="Q876" s="317" t="str">
        <f t="shared" si="308"/>
        <v/>
      </c>
      <c r="R876" s="317" t="str">
        <f t="shared" si="309"/>
        <v/>
      </c>
      <c r="S876" s="317" t="str">
        <f t="shared" si="310"/>
        <v/>
      </c>
      <c r="V876" s="314">
        <f>SUM('RES. CENTRAL PARK:RUA_FINAL'!N876)</f>
        <v>0</v>
      </c>
      <c r="W876" s="315">
        <f t="shared" si="302"/>
        <v>0</v>
      </c>
    </row>
    <row r="877" spans="1:23" ht="15" hidden="1" customHeight="1" x14ac:dyDescent="0.2">
      <c r="A877" s="63">
        <v>820000</v>
      </c>
      <c r="B877" s="895" t="s">
        <v>309</v>
      </c>
      <c r="C877" s="896" t="s">
        <v>184</v>
      </c>
      <c r="D877" s="906" t="s">
        <v>295</v>
      </c>
      <c r="E877" s="907"/>
      <c r="F877" s="908"/>
      <c r="G877" s="912"/>
      <c r="H877" s="901">
        <v>542.29999999999995</v>
      </c>
      <c r="I877" s="901">
        <f>IF(ISBLANK(H877),"",SUM(G877:H877))</f>
        <v>542.29999999999995</v>
      </c>
      <c r="J877" s="902">
        <f t="shared" si="304"/>
        <v>651.14</v>
      </c>
      <c r="K877" s="903" t="s">
        <v>15</v>
      </c>
      <c r="L877" s="904">
        <f>ROUND(SUM('RES. CENTRAL PARK:RUA_FINAL'!L877),2)</f>
        <v>0</v>
      </c>
      <c r="M877" s="904">
        <f t="shared" si="306"/>
        <v>0</v>
      </c>
      <c r="N877" s="893">
        <f t="shared" si="307"/>
        <v>0</v>
      </c>
      <c r="O877" s="905"/>
      <c r="Q877" s="317" t="str">
        <f t="shared" si="308"/>
        <v/>
      </c>
      <c r="R877" s="317" t="str">
        <f t="shared" si="309"/>
        <v/>
      </c>
      <c r="S877" s="317" t="str">
        <f t="shared" si="310"/>
        <v/>
      </c>
      <c r="V877" s="314">
        <f>SUM('RES. CENTRAL PARK:RUA_FINAL'!N877)</f>
        <v>0</v>
      </c>
      <c r="W877" s="315">
        <f t="shared" si="302"/>
        <v>0</v>
      </c>
    </row>
    <row r="878" spans="1:23" ht="15" hidden="1" customHeight="1" x14ac:dyDescent="0.2">
      <c r="A878" s="63">
        <v>820000</v>
      </c>
      <c r="B878" s="895" t="s">
        <v>512</v>
      </c>
      <c r="C878" s="896" t="s">
        <v>184</v>
      </c>
      <c r="D878" s="906" t="s">
        <v>296</v>
      </c>
      <c r="E878" s="907"/>
      <c r="F878" s="908"/>
      <c r="G878" s="912"/>
      <c r="H878" s="901">
        <v>542.29999999999995</v>
      </c>
      <c r="I878" s="901">
        <f>IF(ISBLANK(H878),"",SUM(G878:H878))</f>
        <v>542.29999999999995</v>
      </c>
      <c r="J878" s="902">
        <f t="shared" si="304"/>
        <v>651.14</v>
      </c>
      <c r="K878" s="903" t="s">
        <v>15</v>
      </c>
      <c r="L878" s="910">
        <f>ROUND(SUM('RES. CENTRAL PARK:RUA_FINAL'!L878),2)</f>
        <v>0</v>
      </c>
      <c r="M878" s="911">
        <f t="shared" si="306"/>
        <v>0</v>
      </c>
      <c r="N878" s="893">
        <f t="shared" si="307"/>
        <v>0</v>
      </c>
      <c r="O878" s="905"/>
      <c r="Q878" s="317" t="str">
        <f t="shared" si="308"/>
        <v/>
      </c>
      <c r="R878" s="317" t="str">
        <f t="shared" si="309"/>
        <v/>
      </c>
      <c r="S878" s="317" t="str">
        <f t="shared" si="310"/>
        <v/>
      </c>
      <c r="V878" s="314">
        <f>SUM('RES. CENTRAL PARK:RUA_FINAL'!N878)</f>
        <v>0</v>
      </c>
      <c r="W878" s="315">
        <f t="shared" si="302"/>
        <v>0</v>
      </c>
    </row>
    <row r="879" spans="1:23" ht="30" hidden="1" customHeight="1" x14ac:dyDescent="0.2">
      <c r="A879" s="63">
        <v>820000</v>
      </c>
      <c r="B879" s="895" t="s">
        <v>1790</v>
      </c>
      <c r="C879" s="896" t="s">
        <v>184</v>
      </c>
      <c r="D879" s="906" t="s">
        <v>529</v>
      </c>
      <c r="E879" s="907"/>
      <c r="F879" s="908"/>
      <c r="G879" s="912"/>
      <c r="H879" s="901">
        <v>542.29999999999995</v>
      </c>
      <c r="I879" s="901">
        <f>IF(ISBLANK(H879),"",SUM(G879:H879))</f>
        <v>542.29999999999995</v>
      </c>
      <c r="J879" s="902">
        <f t="shared" si="304"/>
        <v>651.14</v>
      </c>
      <c r="K879" s="903" t="s">
        <v>15</v>
      </c>
      <c r="L879" s="910">
        <f>ROUND(SUM('RES. CENTRAL PARK:RUA_FINAL'!L879),2)</f>
        <v>0</v>
      </c>
      <c r="M879" s="911">
        <f t="shared" si="306"/>
        <v>0</v>
      </c>
      <c r="N879" s="893">
        <f t="shared" si="307"/>
        <v>0</v>
      </c>
      <c r="O879" s="905"/>
      <c r="Q879" s="317" t="str">
        <f t="shared" si="308"/>
        <v/>
      </c>
      <c r="R879" s="317" t="str">
        <f t="shared" si="309"/>
        <v/>
      </c>
      <c r="S879" s="317" t="str">
        <f t="shared" si="310"/>
        <v/>
      </c>
      <c r="V879" s="314">
        <f>SUM('RES. CENTRAL PARK:RUA_FINAL'!N879)</f>
        <v>0</v>
      </c>
      <c r="W879" s="315">
        <f t="shared" si="302"/>
        <v>0</v>
      </c>
    </row>
    <row r="880" spans="1:23" ht="15" hidden="1" customHeight="1" x14ac:dyDescent="0.2">
      <c r="B880" s="1036" t="s">
        <v>165</v>
      </c>
      <c r="C880" s="914"/>
      <c r="D880" s="915" t="s">
        <v>437</v>
      </c>
      <c r="E880" s="916"/>
      <c r="F880" s="917"/>
      <c r="G880" s="918"/>
      <c r="H880" s="919">
        <v>0</v>
      </c>
      <c r="I880" s="919"/>
      <c r="J880" s="919">
        <v>0</v>
      </c>
      <c r="K880" s="920" t="s">
        <v>507</v>
      </c>
      <c r="L880" s="921">
        <f>ROUND(SUM('RES. CENTRAL PARK:RUA_FINAL'!L880),2)</f>
        <v>0</v>
      </c>
      <c r="M880" s="922">
        <f t="shared" si="306"/>
        <v>0</v>
      </c>
      <c r="N880" s="923">
        <f t="shared" si="307"/>
        <v>0</v>
      </c>
      <c r="O880" s="905"/>
      <c r="P880" s="58" t="str">
        <f>IF(OR(SUM(N881:N912)&gt;0,SUM(N881:N912)&gt;0),"y","")</f>
        <v/>
      </c>
      <c r="Q880" s="317" t="str">
        <f t="shared" si="308"/>
        <v/>
      </c>
      <c r="R880" s="317" t="str">
        <f t="shared" si="309"/>
        <v/>
      </c>
      <c r="S880" s="317" t="str">
        <f t="shared" si="310"/>
        <v/>
      </c>
      <c r="V880" s="314">
        <f>SUM('RES. CENTRAL PARK:RUA_FINAL'!N880)</f>
        <v>0</v>
      </c>
      <c r="W880" s="315">
        <f t="shared" si="302"/>
        <v>0</v>
      </c>
    </row>
    <row r="881" spans="1:23" ht="15" hidden="1" customHeight="1" x14ac:dyDescent="0.2">
      <c r="B881" s="924" t="s">
        <v>165</v>
      </c>
      <c r="C881" s="925" t="s">
        <v>165</v>
      </c>
      <c r="D881" s="926"/>
      <c r="E881" s="927"/>
      <c r="F881" s="928"/>
      <c r="G881" s="929"/>
      <c r="H881" s="930">
        <v>0</v>
      </c>
      <c r="I881" s="901">
        <f t="shared" ref="I881:I912" si="312">IF(ISBLANK(H881),"",SUM(G881:H881))</f>
        <v>0</v>
      </c>
      <c r="J881" s="902">
        <f t="shared" ref="J881:J912" si="313">IF(ISBLANK(H881),0,ROUND(I881*(1+$E$10),2))</f>
        <v>0</v>
      </c>
      <c r="K881" s="928" t="s">
        <v>507</v>
      </c>
      <c r="L881" s="904">
        <f>ROUND(SUM('RES. CENTRAL PARK:RUA_FINAL'!L881),2)</f>
        <v>0</v>
      </c>
      <c r="M881" s="904">
        <f t="shared" si="306"/>
        <v>0</v>
      </c>
      <c r="N881" s="932">
        <f t="shared" si="307"/>
        <v>0</v>
      </c>
      <c r="O881" s="905"/>
      <c r="Q881" s="317" t="str">
        <f t="shared" si="308"/>
        <v/>
      </c>
      <c r="R881" s="317" t="str">
        <f t="shared" si="309"/>
        <v/>
      </c>
      <c r="S881" s="317" t="str">
        <f t="shared" si="310"/>
        <v/>
      </c>
      <c r="V881" s="314">
        <f>SUM('RES. CENTRAL PARK:RUA_FINAL'!N881)</f>
        <v>0</v>
      </c>
      <c r="W881" s="315">
        <f t="shared" si="302"/>
        <v>0</v>
      </c>
    </row>
    <row r="882" spans="1:23" ht="15" hidden="1" customHeight="1" x14ac:dyDescent="0.2">
      <c r="A882" s="565" t="s">
        <v>165</v>
      </c>
      <c r="B882" s="924" t="s">
        <v>165</v>
      </c>
      <c r="C882" s="925" t="s">
        <v>165</v>
      </c>
      <c r="D882" s="926"/>
      <c r="E882" s="927"/>
      <c r="F882" s="928"/>
      <c r="G882" s="929"/>
      <c r="H882" s="930">
        <v>0</v>
      </c>
      <c r="I882" s="901">
        <f t="shared" si="312"/>
        <v>0</v>
      </c>
      <c r="J882" s="902">
        <f t="shared" si="313"/>
        <v>0</v>
      </c>
      <c r="K882" s="928" t="s">
        <v>507</v>
      </c>
      <c r="L882" s="904">
        <f>ROUND(SUM('RES. CENTRAL PARK:RUA_FINAL'!L882),2)</f>
        <v>0</v>
      </c>
      <c r="M882" s="904">
        <f t="shared" si="306"/>
        <v>0</v>
      </c>
      <c r="N882" s="932">
        <f t="shared" si="307"/>
        <v>0</v>
      </c>
      <c r="O882" s="905"/>
      <c r="Q882" s="317" t="str">
        <f t="shared" si="308"/>
        <v/>
      </c>
      <c r="R882" s="317" t="str">
        <f t="shared" si="309"/>
        <v/>
      </c>
      <c r="S882" s="317" t="str">
        <f t="shared" si="310"/>
        <v/>
      </c>
      <c r="V882" s="314">
        <f>SUM('RES. CENTRAL PARK:RUA_FINAL'!N882)</f>
        <v>0</v>
      </c>
      <c r="W882" s="315">
        <f t="shared" si="302"/>
        <v>0</v>
      </c>
    </row>
    <row r="883" spans="1:23" ht="15" hidden="1" customHeight="1" x14ac:dyDescent="0.2">
      <c r="A883" s="565" t="s">
        <v>165</v>
      </c>
      <c r="B883" s="924" t="s">
        <v>165</v>
      </c>
      <c r="C883" s="925" t="s">
        <v>165</v>
      </c>
      <c r="D883" s="926"/>
      <c r="E883" s="927"/>
      <c r="F883" s="928"/>
      <c r="G883" s="929"/>
      <c r="H883" s="930">
        <v>0</v>
      </c>
      <c r="I883" s="901">
        <f t="shared" si="312"/>
        <v>0</v>
      </c>
      <c r="J883" s="902">
        <f t="shared" si="313"/>
        <v>0</v>
      </c>
      <c r="K883" s="928" t="s">
        <v>507</v>
      </c>
      <c r="L883" s="904">
        <f>ROUND(SUM('RES. CENTRAL PARK:RUA_FINAL'!L883),2)</f>
        <v>0</v>
      </c>
      <c r="M883" s="904">
        <f t="shared" si="306"/>
        <v>0</v>
      </c>
      <c r="N883" s="893">
        <f t="shared" si="307"/>
        <v>0</v>
      </c>
      <c r="O883" s="905"/>
      <c r="Q883" s="317" t="str">
        <f t="shared" si="308"/>
        <v/>
      </c>
      <c r="R883" s="317" t="str">
        <f t="shared" si="309"/>
        <v/>
      </c>
      <c r="S883" s="317" t="str">
        <f t="shared" si="310"/>
        <v/>
      </c>
      <c r="V883" s="314">
        <f>SUM('RES. CENTRAL PARK:RUA_FINAL'!N883)</f>
        <v>0</v>
      </c>
      <c r="W883" s="315">
        <f t="shared" si="302"/>
        <v>0</v>
      </c>
    </row>
    <row r="884" spans="1:23" ht="15" hidden="1" customHeight="1" x14ac:dyDescent="0.2">
      <c r="A884" s="565" t="s">
        <v>165</v>
      </c>
      <c r="B884" s="924" t="s">
        <v>165</v>
      </c>
      <c r="C884" s="925" t="s">
        <v>165</v>
      </c>
      <c r="D884" s="926"/>
      <c r="E884" s="927"/>
      <c r="F884" s="928"/>
      <c r="G884" s="929"/>
      <c r="H884" s="930">
        <v>0</v>
      </c>
      <c r="I884" s="901">
        <f t="shared" si="312"/>
        <v>0</v>
      </c>
      <c r="J884" s="902">
        <f t="shared" si="313"/>
        <v>0</v>
      </c>
      <c r="K884" s="928" t="s">
        <v>507</v>
      </c>
      <c r="L884" s="904">
        <f>ROUND(SUM('RES. CENTRAL PARK:RUA_FINAL'!L884),2)</f>
        <v>0</v>
      </c>
      <c r="M884" s="904">
        <f t="shared" si="306"/>
        <v>0</v>
      </c>
      <c r="N884" s="893">
        <f t="shared" si="307"/>
        <v>0</v>
      </c>
      <c r="O884" s="905"/>
      <c r="Q884" s="317" t="str">
        <f t="shared" si="308"/>
        <v/>
      </c>
      <c r="R884" s="317" t="str">
        <f t="shared" si="309"/>
        <v/>
      </c>
      <c r="S884" s="317" t="str">
        <f t="shared" si="310"/>
        <v/>
      </c>
      <c r="V884" s="314">
        <f>SUM('RES. CENTRAL PARK:RUA_FINAL'!N884)</f>
        <v>0</v>
      </c>
      <c r="W884" s="315">
        <f t="shared" si="302"/>
        <v>0</v>
      </c>
    </row>
    <row r="885" spans="1:23" ht="15" hidden="1" customHeight="1" x14ac:dyDescent="0.2">
      <c r="A885" s="565" t="s">
        <v>165</v>
      </c>
      <c r="B885" s="924" t="s">
        <v>165</v>
      </c>
      <c r="C885" s="925" t="s">
        <v>165</v>
      </c>
      <c r="D885" s="926"/>
      <c r="E885" s="927"/>
      <c r="F885" s="928"/>
      <c r="G885" s="929"/>
      <c r="H885" s="930">
        <v>0</v>
      </c>
      <c r="I885" s="901">
        <f t="shared" si="312"/>
        <v>0</v>
      </c>
      <c r="J885" s="902">
        <f t="shared" si="313"/>
        <v>0</v>
      </c>
      <c r="K885" s="928" t="s">
        <v>507</v>
      </c>
      <c r="L885" s="904">
        <f>ROUND(SUM('RES. CENTRAL PARK:RUA_FINAL'!L885),2)</f>
        <v>0</v>
      </c>
      <c r="M885" s="904">
        <f t="shared" si="306"/>
        <v>0</v>
      </c>
      <c r="N885" s="893">
        <f t="shared" si="307"/>
        <v>0</v>
      </c>
      <c r="O885" s="905"/>
      <c r="Q885" s="317" t="str">
        <f t="shared" si="308"/>
        <v/>
      </c>
      <c r="R885" s="317" t="str">
        <f t="shared" si="309"/>
        <v/>
      </c>
      <c r="S885" s="317" t="str">
        <f t="shared" si="310"/>
        <v/>
      </c>
      <c r="V885" s="314">
        <f>SUM('RES. CENTRAL PARK:RUA_FINAL'!N885)</f>
        <v>0</v>
      </c>
      <c r="W885" s="315">
        <f t="shared" si="302"/>
        <v>0</v>
      </c>
    </row>
    <row r="886" spans="1:23" ht="15" hidden="1" customHeight="1" x14ac:dyDescent="0.2">
      <c r="A886" s="565" t="s">
        <v>165</v>
      </c>
      <c r="B886" s="924" t="s">
        <v>165</v>
      </c>
      <c r="C886" s="925" t="s">
        <v>165</v>
      </c>
      <c r="D886" s="926"/>
      <c r="E886" s="927"/>
      <c r="F886" s="928"/>
      <c r="G886" s="929"/>
      <c r="H886" s="930">
        <v>0</v>
      </c>
      <c r="I886" s="901">
        <f t="shared" si="312"/>
        <v>0</v>
      </c>
      <c r="J886" s="902">
        <f t="shared" si="313"/>
        <v>0</v>
      </c>
      <c r="K886" s="928" t="s">
        <v>507</v>
      </c>
      <c r="L886" s="904">
        <f>ROUND(SUM('RES. CENTRAL PARK:RUA_FINAL'!L886),2)</f>
        <v>0</v>
      </c>
      <c r="M886" s="904">
        <f t="shared" si="306"/>
        <v>0</v>
      </c>
      <c r="N886" s="893">
        <f t="shared" si="307"/>
        <v>0</v>
      </c>
      <c r="O886" s="905"/>
      <c r="Q886" s="317" t="str">
        <f t="shared" si="308"/>
        <v/>
      </c>
      <c r="R886" s="317" t="str">
        <f t="shared" si="309"/>
        <v/>
      </c>
      <c r="S886" s="317" t="str">
        <f t="shared" si="310"/>
        <v/>
      </c>
      <c r="V886" s="314">
        <f>SUM('RES. CENTRAL PARK:RUA_FINAL'!N886)</f>
        <v>0</v>
      </c>
      <c r="W886" s="315">
        <f t="shared" si="302"/>
        <v>0</v>
      </c>
    </row>
    <row r="887" spans="1:23" ht="15" hidden="1" customHeight="1" x14ac:dyDescent="0.2">
      <c r="A887" s="565" t="s">
        <v>165</v>
      </c>
      <c r="B887" s="924" t="s">
        <v>165</v>
      </c>
      <c r="C887" s="925" t="s">
        <v>165</v>
      </c>
      <c r="D887" s="926"/>
      <c r="E887" s="927"/>
      <c r="F887" s="928"/>
      <c r="G887" s="929"/>
      <c r="H887" s="930">
        <v>0</v>
      </c>
      <c r="I887" s="901">
        <f t="shared" si="312"/>
        <v>0</v>
      </c>
      <c r="J887" s="902">
        <f t="shared" si="313"/>
        <v>0</v>
      </c>
      <c r="K887" s="928" t="s">
        <v>507</v>
      </c>
      <c r="L887" s="904">
        <f>ROUND(SUM('RES. CENTRAL PARK:RUA_FINAL'!L887),2)</f>
        <v>0</v>
      </c>
      <c r="M887" s="904">
        <f t="shared" si="306"/>
        <v>0</v>
      </c>
      <c r="N887" s="893">
        <f t="shared" si="307"/>
        <v>0</v>
      </c>
      <c r="O887" s="905"/>
      <c r="Q887" s="317" t="str">
        <f t="shared" si="308"/>
        <v/>
      </c>
      <c r="R887" s="317" t="str">
        <f t="shared" si="309"/>
        <v/>
      </c>
      <c r="S887" s="317" t="str">
        <f t="shared" si="310"/>
        <v/>
      </c>
      <c r="V887" s="314">
        <f>SUM('RES. CENTRAL PARK:RUA_FINAL'!N887)</f>
        <v>0</v>
      </c>
      <c r="W887" s="315">
        <f t="shared" si="302"/>
        <v>0</v>
      </c>
    </row>
    <row r="888" spans="1:23" ht="15" hidden="1" customHeight="1" x14ac:dyDescent="0.2">
      <c r="A888" s="565" t="s">
        <v>165</v>
      </c>
      <c r="B888" s="924" t="s">
        <v>165</v>
      </c>
      <c r="C888" s="925" t="s">
        <v>165</v>
      </c>
      <c r="D888" s="926"/>
      <c r="E888" s="927"/>
      <c r="F888" s="928"/>
      <c r="G888" s="929"/>
      <c r="H888" s="930">
        <v>0</v>
      </c>
      <c r="I888" s="901">
        <f t="shared" si="312"/>
        <v>0</v>
      </c>
      <c r="J888" s="902">
        <f t="shared" si="313"/>
        <v>0</v>
      </c>
      <c r="K888" s="928" t="s">
        <v>507</v>
      </c>
      <c r="L888" s="904">
        <f>ROUND(SUM('RES. CENTRAL PARK:RUA_FINAL'!L888),2)</f>
        <v>0</v>
      </c>
      <c r="M888" s="904">
        <f t="shared" si="306"/>
        <v>0</v>
      </c>
      <c r="N888" s="893">
        <f t="shared" si="307"/>
        <v>0</v>
      </c>
      <c r="O888" s="905"/>
      <c r="Q888" s="317" t="str">
        <f t="shared" si="308"/>
        <v/>
      </c>
      <c r="R888" s="317" t="str">
        <f t="shared" si="309"/>
        <v/>
      </c>
      <c r="S888" s="317" t="str">
        <f t="shared" si="310"/>
        <v/>
      </c>
      <c r="V888" s="314">
        <f>SUM('RES. CENTRAL PARK:RUA_FINAL'!N888)</f>
        <v>0</v>
      </c>
      <c r="W888" s="315">
        <f t="shared" si="302"/>
        <v>0</v>
      </c>
    </row>
    <row r="889" spans="1:23" ht="15" hidden="1" customHeight="1" x14ac:dyDescent="0.2">
      <c r="A889" s="565" t="s">
        <v>165</v>
      </c>
      <c r="B889" s="924" t="s">
        <v>165</v>
      </c>
      <c r="C889" s="925" t="s">
        <v>165</v>
      </c>
      <c r="D889" s="926"/>
      <c r="E889" s="927"/>
      <c r="F889" s="928"/>
      <c r="G889" s="929"/>
      <c r="H889" s="930">
        <v>0</v>
      </c>
      <c r="I889" s="901">
        <f t="shared" si="312"/>
        <v>0</v>
      </c>
      <c r="J889" s="902">
        <f t="shared" si="313"/>
        <v>0</v>
      </c>
      <c r="K889" s="928" t="s">
        <v>507</v>
      </c>
      <c r="L889" s="904">
        <f>ROUND(SUM('RES. CENTRAL PARK:RUA_FINAL'!L889),2)</f>
        <v>0</v>
      </c>
      <c r="M889" s="904">
        <f t="shared" si="306"/>
        <v>0</v>
      </c>
      <c r="N889" s="893">
        <f t="shared" si="307"/>
        <v>0</v>
      </c>
      <c r="O889" s="905"/>
      <c r="Q889" s="317" t="str">
        <f t="shared" si="308"/>
        <v/>
      </c>
      <c r="R889" s="317" t="str">
        <f t="shared" si="309"/>
        <v/>
      </c>
      <c r="S889" s="317" t="str">
        <f t="shared" si="310"/>
        <v/>
      </c>
      <c r="V889" s="314">
        <f>SUM('RES. CENTRAL PARK:RUA_FINAL'!N889)</f>
        <v>0</v>
      </c>
      <c r="W889" s="315">
        <f t="shared" si="302"/>
        <v>0</v>
      </c>
    </row>
    <row r="890" spans="1:23" ht="15" hidden="1" customHeight="1" x14ac:dyDescent="0.2">
      <c r="A890" s="565" t="s">
        <v>165</v>
      </c>
      <c r="B890" s="924" t="s">
        <v>165</v>
      </c>
      <c r="C890" s="925" t="s">
        <v>165</v>
      </c>
      <c r="D890" s="926"/>
      <c r="E890" s="927"/>
      <c r="F890" s="928"/>
      <c r="G890" s="929"/>
      <c r="H890" s="930">
        <v>0</v>
      </c>
      <c r="I890" s="901">
        <f t="shared" si="312"/>
        <v>0</v>
      </c>
      <c r="J890" s="902">
        <f t="shared" si="313"/>
        <v>0</v>
      </c>
      <c r="K890" s="928" t="s">
        <v>507</v>
      </c>
      <c r="L890" s="904">
        <f>ROUND(SUM('RES. CENTRAL PARK:RUA_FINAL'!L890),2)</f>
        <v>0</v>
      </c>
      <c r="M890" s="904">
        <f t="shared" si="306"/>
        <v>0</v>
      </c>
      <c r="N890" s="893">
        <f t="shared" si="307"/>
        <v>0</v>
      </c>
      <c r="O890" s="905"/>
      <c r="Q890" s="317" t="str">
        <f t="shared" si="308"/>
        <v/>
      </c>
      <c r="R890" s="317" t="str">
        <f t="shared" si="309"/>
        <v/>
      </c>
      <c r="S890" s="317" t="str">
        <f t="shared" si="310"/>
        <v/>
      </c>
      <c r="V890" s="314">
        <f>SUM('RES. CENTRAL PARK:RUA_FINAL'!N890)</f>
        <v>0</v>
      </c>
      <c r="W890" s="315">
        <f t="shared" si="302"/>
        <v>0</v>
      </c>
    </row>
    <row r="891" spans="1:23" ht="15" hidden="1" customHeight="1" x14ac:dyDescent="0.2">
      <c r="A891" s="565" t="s">
        <v>165</v>
      </c>
      <c r="B891" s="924" t="s">
        <v>165</v>
      </c>
      <c r="C891" s="925" t="s">
        <v>165</v>
      </c>
      <c r="D891" s="926"/>
      <c r="E891" s="927"/>
      <c r="F891" s="928"/>
      <c r="G891" s="929"/>
      <c r="H891" s="930">
        <v>0</v>
      </c>
      <c r="I891" s="901">
        <f t="shared" si="312"/>
        <v>0</v>
      </c>
      <c r="J891" s="902">
        <f t="shared" si="313"/>
        <v>0</v>
      </c>
      <c r="K891" s="928" t="s">
        <v>507</v>
      </c>
      <c r="L891" s="904">
        <f>ROUND(SUM('RES. CENTRAL PARK:RUA_FINAL'!L891),2)</f>
        <v>0</v>
      </c>
      <c r="M891" s="904">
        <f t="shared" si="306"/>
        <v>0</v>
      </c>
      <c r="N891" s="893">
        <f t="shared" si="307"/>
        <v>0</v>
      </c>
      <c r="O891" s="905"/>
      <c r="Q891" s="317" t="str">
        <f t="shared" si="308"/>
        <v/>
      </c>
      <c r="R891" s="317" t="str">
        <f t="shared" si="309"/>
        <v/>
      </c>
      <c r="S891" s="317" t="str">
        <f t="shared" si="310"/>
        <v/>
      </c>
      <c r="V891" s="314">
        <f>SUM('RES. CENTRAL PARK:RUA_FINAL'!N891)</f>
        <v>0</v>
      </c>
      <c r="W891" s="315">
        <f t="shared" si="302"/>
        <v>0</v>
      </c>
    </row>
    <row r="892" spans="1:23" ht="15" hidden="1" customHeight="1" x14ac:dyDescent="0.2">
      <c r="A892" s="565" t="s">
        <v>165</v>
      </c>
      <c r="B892" s="924" t="s">
        <v>165</v>
      </c>
      <c r="C892" s="925" t="s">
        <v>165</v>
      </c>
      <c r="D892" s="926"/>
      <c r="E892" s="927"/>
      <c r="F892" s="928"/>
      <c r="G892" s="929"/>
      <c r="H892" s="930">
        <v>0</v>
      </c>
      <c r="I892" s="901">
        <f t="shared" si="312"/>
        <v>0</v>
      </c>
      <c r="J892" s="902">
        <f t="shared" si="313"/>
        <v>0</v>
      </c>
      <c r="K892" s="928" t="s">
        <v>507</v>
      </c>
      <c r="L892" s="904">
        <f>ROUND(SUM('RES. CENTRAL PARK:RUA_FINAL'!L892),2)</f>
        <v>0</v>
      </c>
      <c r="M892" s="904">
        <f t="shared" si="306"/>
        <v>0</v>
      </c>
      <c r="N892" s="893">
        <f t="shared" si="307"/>
        <v>0</v>
      </c>
      <c r="O892" s="905"/>
      <c r="Q892" s="317" t="str">
        <f t="shared" si="308"/>
        <v/>
      </c>
      <c r="R892" s="317" t="str">
        <f t="shared" si="309"/>
        <v/>
      </c>
      <c r="S892" s="317" t="str">
        <f t="shared" si="310"/>
        <v/>
      </c>
      <c r="V892" s="314">
        <f>SUM('RES. CENTRAL PARK:RUA_FINAL'!N892)</f>
        <v>0</v>
      </c>
      <c r="W892" s="315">
        <f t="shared" si="302"/>
        <v>0</v>
      </c>
    </row>
    <row r="893" spans="1:23" ht="15" hidden="1" customHeight="1" x14ac:dyDescent="0.2">
      <c r="A893" s="565" t="s">
        <v>165</v>
      </c>
      <c r="B893" s="924" t="s">
        <v>165</v>
      </c>
      <c r="C893" s="925" t="s">
        <v>165</v>
      </c>
      <c r="D893" s="926"/>
      <c r="E893" s="927"/>
      <c r="F893" s="928"/>
      <c r="G893" s="929"/>
      <c r="H893" s="930">
        <v>0</v>
      </c>
      <c r="I893" s="901">
        <f t="shared" si="312"/>
        <v>0</v>
      </c>
      <c r="J893" s="902">
        <f t="shared" si="313"/>
        <v>0</v>
      </c>
      <c r="K893" s="928" t="s">
        <v>507</v>
      </c>
      <c r="L893" s="904">
        <f>ROUND(SUM('RES. CENTRAL PARK:RUA_FINAL'!L893),2)</f>
        <v>0</v>
      </c>
      <c r="M893" s="904">
        <f t="shared" si="306"/>
        <v>0</v>
      </c>
      <c r="N893" s="893">
        <f t="shared" si="307"/>
        <v>0</v>
      </c>
      <c r="O893" s="905"/>
      <c r="Q893" s="317" t="str">
        <f t="shared" si="308"/>
        <v/>
      </c>
      <c r="R893" s="317" t="str">
        <f t="shared" si="309"/>
        <v/>
      </c>
      <c r="S893" s="317" t="str">
        <f t="shared" si="310"/>
        <v/>
      </c>
      <c r="V893" s="314">
        <f>SUM('RES. CENTRAL PARK:RUA_FINAL'!N893)</f>
        <v>0</v>
      </c>
      <c r="W893" s="315">
        <f t="shared" si="302"/>
        <v>0</v>
      </c>
    </row>
    <row r="894" spans="1:23" ht="15" hidden="1" customHeight="1" x14ac:dyDescent="0.2">
      <c r="A894" s="565" t="s">
        <v>165</v>
      </c>
      <c r="B894" s="924" t="s">
        <v>165</v>
      </c>
      <c r="C894" s="925" t="s">
        <v>165</v>
      </c>
      <c r="D894" s="926"/>
      <c r="E894" s="927"/>
      <c r="F894" s="928"/>
      <c r="G894" s="929"/>
      <c r="H894" s="930">
        <v>0</v>
      </c>
      <c r="I894" s="901">
        <f t="shared" si="312"/>
        <v>0</v>
      </c>
      <c r="J894" s="902">
        <f t="shared" si="313"/>
        <v>0</v>
      </c>
      <c r="K894" s="928" t="s">
        <v>507</v>
      </c>
      <c r="L894" s="904">
        <f>ROUND(SUM('RES. CENTRAL PARK:RUA_FINAL'!L894),2)</f>
        <v>0</v>
      </c>
      <c r="M894" s="904">
        <f t="shared" si="306"/>
        <v>0</v>
      </c>
      <c r="N894" s="893">
        <f t="shared" si="307"/>
        <v>0</v>
      </c>
      <c r="O894" s="905"/>
      <c r="Q894" s="317" t="str">
        <f t="shared" si="308"/>
        <v/>
      </c>
      <c r="R894" s="317" t="str">
        <f t="shared" si="309"/>
        <v/>
      </c>
      <c r="S894" s="317" t="str">
        <f t="shared" si="310"/>
        <v/>
      </c>
      <c r="V894" s="314">
        <f>SUM('RES. CENTRAL PARK:RUA_FINAL'!N894)</f>
        <v>0</v>
      </c>
      <c r="W894" s="315">
        <f t="shared" si="302"/>
        <v>0</v>
      </c>
    </row>
    <row r="895" spans="1:23" ht="15" hidden="1" customHeight="1" x14ac:dyDescent="0.2">
      <c r="A895" s="565" t="s">
        <v>165</v>
      </c>
      <c r="B895" s="924" t="s">
        <v>165</v>
      </c>
      <c r="C895" s="925" t="s">
        <v>165</v>
      </c>
      <c r="D895" s="926"/>
      <c r="E895" s="927"/>
      <c r="F895" s="928"/>
      <c r="G895" s="929"/>
      <c r="H895" s="930">
        <v>0</v>
      </c>
      <c r="I895" s="901">
        <f t="shared" si="312"/>
        <v>0</v>
      </c>
      <c r="J895" s="902">
        <f t="shared" si="313"/>
        <v>0</v>
      </c>
      <c r="K895" s="928" t="s">
        <v>507</v>
      </c>
      <c r="L895" s="904">
        <f>ROUND(SUM('RES. CENTRAL PARK:RUA_FINAL'!L895),2)</f>
        <v>0</v>
      </c>
      <c r="M895" s="904">
        <f t="shared" si="306"/>
        <v>0</v>
      </c>
      <c r="N895" s="893">
        <f t="shared" si="307"/>
        <v>0</v>
      </c>
      <c r="O895" s="905"/>
      <c r="Q895" s="317" t="str">
        <f t="shared" si="308"/>
        <v/>
      </c>
      <c r="R895" s="317" t="str">
        <f t="shared" si="309"/>
        <v/>
      </c>
      <c r="S895" s="317" t="str">
        <f t="shared" si="310"/>
        <v/>
      </c>
      <c r="V895" s="314">
        <f>SUM('RES. CENTRAL PARK:RUA_FINAL'!N895)</f>
        <v>0</v>
      </c>
      <c r="W895" s="315">
        <f t="shared" si="302"/>
        <v>0</v>
      </c>
    </row>
    <row r="896" spans="1:23" ht="15" hidden="1" customHeight="1" x14ac:dyDescent="0.2">
      <c r="A896" s="565" t="s">
        <v>165</v>
      </c>
      <c r="B896" s="924" t="s">
        <v>165</v>
      </c>
      <c r="C896" s="925" t="s">
        <v>165</v>
      </c>
      <c r="D896" s="926"/>
      <c r="E896" s="927"/>
      <c r="F896" s="928"/>
      <c r="G896" s="929"/>
      <c r="H896" s="930">
        <v>0</v>
      </c>
      <c r="I896" s="901">
        <f t="shared" si="312"/>
        <v>0</v>
      </c>
      <c r="J896" s="902">
        <f t="shared" si="313"/>
        <v>0</v>
      </c>
      <c r="K896" s="928" t="s">
        <v>507</v>
      </c>
      <c r="L896" s="904">
        <f>ROUND(SUM('RES. CENTRAL PARK:RUA_FINAL'!L896),2)</f>
        <v>0</v>
      </c>
      <c r="M896" s="904">
        <f t="shared" si="306"/>
        <v>0</v>
      </c>
      <c r="N896" s="893">
        <f t="shared" si="307"/>
        <v>0</v>
      </c>
      <c r="O896" s="905"/>
      <c r="Q896" s="317" t="str">
        <f t="shared" si="308"/>
        <v/>
      </c>
      <c r="R896" s="317" t="str">
        <f t="shared" si="309"/>
        <v/>
      </c>
      <c r="S896" s="317" t="str">
        <f t="shared" si="310"/>
        <v/>
      </c>
      <c r="V896" s="314">
        <f>SUM('RES. CENTRAL PARK:RUA_FINAL'!N896)</f>
        <v>0</v>
      </c>
      <c r="W896" s="315">
        <f t="shared" si="302"/>
        <v>0</v>
      </c>
    </row>
    <row r="897" spans="1:23" ht="15" hidden="1" customHeight="1" x14ac:dyDescent="0.2">
      <c r="A897" s="565" t="s">
        <v>165</v>
      </c>
      <c r="B897" s="924" t="s">
        <v>165</v>
      </c>
      <c r="C897" s="925" t="s">
        <v>165</v>
      </c>
      <c r="D897" s="926"/>
      <c r="E897" s="927"/>
      <c r="F897" s="928"/>
      <c r="G897" s="929"/>
      <c r="H897" s="930">
        <v>0</v>
      </c>
      <c r="I897" s="901">
        <f t="shared" si="312"/>
        <v>0</v>
      </c>
      <c r="J897" s="902">
        <f t="shared" si="313"/>
        <v>0</v>
      </c>
      <c r="K897" s="928" t="s">
        <v>507</v>
      </c>
      <c r="L897" s="904">
        <f>ROUND(SUM('RES. CENTRAL PARK:RUA_FINAL'!L897),2)</f>
        <v>0</v>
      </c>
      <c r="M897" s="904">
        <f t="shared" si="306"/>
        <v>0</v>
      </c>
      <c r="N897" s="893">
        <f t="shared" si="307"/>
        <v>0</v>
      </c>
      <c r="O897" s="905"/>
      <c r="Q897" s="317" t="str">
        <f t="shared" si="308"/>
        <v/>
      </c>
      <c r="R897" s="317" t="str">
        <f t="shared" si="309"/>
        <v/>
      </c>
      <c r="S897" s="317" t="str">
        <f t="shared" si="310"/>
        <v/>
      </c>
      <c r="V897" s="314">
        <f>SUM('RES. CENTRAL PARK:RUA_FINAL'!N897)</f>
        <v>0</v>
      </c>
      <c r="W897" s="315">
        <f t="shared" si="302"/>
        <v>0</v>
      </c>
    </row>
    <row r="898" spans="1:23" ht="15" hidden="1" customHeight="1" x14ac:dyDescent="0.2">
      <c r="A898" s="565" t="s">
        <v>165</v>
      </c>
      <c r="B898" s="924" t="s">
        <v>165</v>
      </c>
      <c r="C898" s="925" t="s">
        <v>165</v>
      </c>
      <c r="D898" s="926"/>
      <c r="E898" s="927"/>
      <c r="F898" s="928"/>
      <c r="G898" s="929"/>
      <c r="H898" s="930">
        <v>0</v>
      </c>
      <c r="I898" s="901">
        <f t="shared" si="312"/>
        <v>0</v>
      </c>
      <c r="J898" s="902">
        <f t="shared" si="313"/>
        <v>0</v>
      </c>
      <c r="K898" s="928" t="s">
        <v>507</v>
      </c>
      <c r="L898" s="904">
        <f>ROUND(SUM('RES. CENTRAL PARK:RUA_FINAL'!L898),2)</f>
        <v>0</v>
      </c>
      <c r="M898" s="904">
        <f t="shared" si="306"/>
        <v>0</v>
      </c>
      <c r="N898" s="893">
        <f t="shared" si="307"/>
        <v>0</v>
      </c>
      <c r="O898" s="905"/>
      <c r="Q898" s="317" t="str">
        <f t="shared" si="308"/>
        <v/>
      </c>
      <c r="R898" s="317" t="str">
        <f t="shared" si="309"/>
        <v/>
      </c>
      <c r="S898" s="317" t="str">
        <f t="shared" si="310"/>
        <v/>
      </c>
      <c r="V898" s="314">
        <f>SUM('RES. CENTRAL PARK:RUA_FINAL'!N898)</f>
        <v>0</v>
      </c>
      <c r="W898" s="315">
        <f t="shared" si="302"/>
        <v>0</v>
      </c>
    </row>
    <row r="899" spans="1:23" ht="15" hidden="1" customHeight="1" x14ac:dyDescent="0.2">
      <c r="A899" s="565" t="s">
        <v>165</v>
      </c>
      <c r="B899" s="924" t="s">
        <v>165</v>
      </c>
      <c r="C899" s="925" t="s">
        <v>165</v>
      </c>
      <c r="D899" s="926"/>
      <c r="E899" s="927"/>
      <c r="F899" s="928"/>
      <c r="G899" s="929"/>
      <c r="H899" s="930">
        <v>0</v>
      </c>
      <c r="I899" s="901">
        <f t="shared" si="312"/>
        <v>0</v>
      </c>
      <c r="J899" s="902">
        <f t="shared" si="313"/>
        <v>0</v>
      </c>
      <c r="K899" s="928" t="s">
        <v>507</v>
      </c>
      <c r="L899" s="904">
        <f>ROUND(SUM('RES. CENTRAL PARK:RUA_FINAL'!L899),2)</f>
        <v>0</v>
      </c>
      <c r="M899" s="904">
        <f t="shared" si="306"/>
        <v>0</v>
      </c>
      <c r="N899" s="893">
        <f t="shared" si="307"/>
        <v>0</v>
      </c>
      <c r="O899" s="905"/>
      <c r="Q899" s="317" t="str">
        <f t="shared" si="308"/>
        <v/>
      </c>
      <c r="R899" s="317" t="str">
        <f t="shared" si="309"/>
        <v/>
      </c>
      <c r="S899" s="317" t="str">
        <f t="shared" si="310"/>
        <v/>
      </c>
      <c r="V899" s="314">
        <f>SUM('RES. CENTRAL PARK:RUA_FINAL'!N899)</f>
        <v>0</v>
      </c>
      <c r="W899" s="315">
        <f t="shared" si="302"/>
        <v>0</v>
      </c>
    </row>
    <row r="900" spans="1:23" ht="15" hidden="1" customHeight="1" x14ac:dyDescent="0.2">
      <c r="A900" s="565" t="s">
        <v>165</v>
      </c>
      <c r="B900" s="924" t="s">
        <v>165</v>
      </c>
      <c r="C900" s="925" t="s">
        <v>165</v>
      </c>
      <c r="D900" s="926"/>
      <c r="E900" s="927"/>
      <c r="F900" s="928"/>
      <c r="G900" s="929"/>
      <c r="H900" s="930">
        <v>0</v>
      </c>
      <c r="I900" s="901">
        <f t="shared" si="312"/>
        <v>0</v>
      </c>
      <c r="J900" s="902">
        <f t="shared" si="313"/>
        <v>0</v>
      </c>
      <c r="K900" s="928" t="s">
        <v>507</v>
      </c>
      <c r="L900" s="904">
        <f>ROUND(SUM('RES. CENTRAL PARK:RUA_FINAL'!L900),2)</f>
        <v>0</v>
      </c>
      <c r="M900" s="904">
        <f t="shared" si="306"/>
        <v>0</v>
      </c>
      <c r="N900" s="893">
        <f t="shared" si="307"/>
        <v>0</v>
      </c>
      <c r="O900" s="905"/>
      <c r="Q900" s="317" t="str">
        <f t="shared" si="308"/>
        <v/>
      </c>
      <c r="R900" s="317" t="str">
        <f t="shared" si="309"/>
        <v/>
      </c>
      <c r="S900" s="317" t="str">
        <f t="shared" si="310"/>
        <v/>
      </c>
      <c r="V900" s="314">
        <f>SUM('RES. CENTRAL PARK:RUA_FINAL'!N900)</f>
        <v>0</v>
      </c>
      <c r="W900" s="315">
        <f t="shared" si="302"/>
        <v>0</v>
      </c>
    </row>
    <row r="901" spans="1:23" ht="15" hidden="1" customHeight="1" x14ac:dyDescent="0.2">
      <c r="A901" s="565" t="s">
        <v>165</v>
      </c>
      <c r="B901" s="924" t="s">
        <v>165</v>
      </c>
      <c r="C901" s="925" t="s">
        <v>165</v>
      </c>
      <c r="D901" s="926"/>
      <c r="E901" s="927"/>
      <c r="F901" s="928"/>
      <c r="G901" s="929"/>
      <c r="H901" s="930">
        <v>0</v>
      </c>
      <c r="I901" s="901">
        <f t="shared" si="312"/>
        <v>0</v>
      </c>
      <c r="J901" s="902">
        <f t="shared" si="313"/>
        <v>0</v>
      </c>
      <c r="K901" s="928" t="s">
        <v>507</v>
      </c>
      <c r="L901" s="904">
        <f>ROUND(SUM('RES. CENTRAL PARK:RUA_FINAL'!L901),2)</f>
        <v>0</v>
      </c>
      <c r="M901" s="904">
        <f t="shared" si="306"/>
        <v>0</v>
      </c>
      <c r="N901" s="893">
        <f t="shared" si="307"/>
        <v>0</v>
      </c>
      <c r="O901" s="905"/>
      <c r="Q901" s="317" t="str">
        <f t="shared" si="308"/>
        <v/>
      </c>
      <c r="R901" s="317" t="str">
        <f t="shared" si="309"/>
        <v/>
      </c>
      <c r="S901" s="317" t="str">
        <f t="shared" si="310"/>
        <v/>
      </c>
      <c r="V901" s="314">
        <f>SUM('RES. CENTRAL PARK:RUA_FINAL'!N901)</f>
        <v>0</v>
      </c>
      <c r="W901" s="315">
        <f t="shared" si="302"/>
        <v>0</v>
      </c>
    </row>
    <row r="902" spans="1:23" ht="15" hidden="1" customHeight="1" x14ac:dyDescent="0.2">
      <c r="A902" s="565" t="s">
        <v>165</v>
      </c>
      <c r="B902" s="924" t="s">
        <v>165</v>
      </c>
      <c r="C902" s="925" t="s">
        <v>165</v>
      </c>
      <c r="D902" s="926"/>
      <c r="E902" s="927"/>
      <c r="F902" s="928"/>
      <c r="G902" s="929"/>
      <c r="H902" s="930">
        <v>0</v>
      </c>
      <c r="I902" s="901">
        <f t="shared" si="312"/>
        <v>0</v>
      </c>
      <c r="J902" s="902">
        <f t="shared" si="313"/>
        <v>0</v>
      </c>
      <c r="K902" s="928" t="s">
        <v>507</v>
      </c>
      <c r="L902" s="904">
        <f>ROUND(SUM('RES. CENTRAL PARK:RUA_FINAL'!L902),2)</f>
        <v>0</v>
      </c>
      <c r="M902" s="904">
        <f t="shared" si="306"/>
        <v>0</v>
      </c>
      <c r="N902" s="893">
        <f t="shared" si="307"/>
        <v>0</v>
      </c>
      <c r="O902" s="905"/>
      <c r="Q902" s="317" t="str">
        <f t="shared" si="308"/>
        <v/>
      </c>
      <c r="R902" s="317" t="str">
        <f t="shared" si="309"/>
        <v/>
      </c>
      <c r="S902" s="317" t="str">
        <f t="shared" si="310"/>
        <v/>
      </c>
      <c r="V902" s="314">
        <f>SUM('RES. CENTRAL PARK:RUA_FINAL'!N902)</f>
        <v>0</v>
      </c>
      <c r="W902" s="315">
        <f t="shared" si="302"/>
        <v>0</v>
      </c>
    </row>
    <row r="903" spans="1:23" ht="15" hidden="1" customHeight="1" x14ac:dyDescent="0.2">
      <c r="A903" s="565" t="s">
        <v>165</v>
      </c>
      <c r="B903" s="924" t="s">
        <v>165</v>
      </c>
      <c r="C903" s="925" t="s">
        <v>165</v>
      </c>
      <c r="D903" s="926"/>
      <c r="E903" s="927"/>
      <c r="F903" s="928"/>
      <c r="G903" s="929"/>
      <c r="H903" s="930">
        <v>0</v>
      </c>
      <c r="I903" s="901">
        <f t="shared" si="312"/>
        <v>0</v>
      </c>
      <c r="J903" s="902">
        <f t="shared" si="313"/>
        <v>0</v>
      </c>
      <c r="K903" s="928" t="s">
        <v>507</v>
      </c>
      <c r="L903" s="904">
        <f>ROUND(SUM('RES. CENTRAL PARK:RUA_FINAL'!L903),2)</f>
        <v>0</v>
      </c>
      <c r="M903" s="904">
        <f t="shared" si="306"/>
        <v>0</v>
      </c>
      <c r="N903" s="893">
        <f t="shared" si="307"/>
        <v>0</v>
      </c>
      <c r="O903" s="905"/>
      <c r="Q903" s="317" t="str">
        <f t="shared" si="308"/>
        <v/>
      </c>
      <c r="R903" s="317" t="str">
        <f t="shared" si="309"/>
        <v/>
      </c>
      <c r="S903" s="317" t="str">
        <f t="shared" si="310"/>
        <v/>
      </c>
      <c r="V903" s="314">
        <f>SUM('RES. CENTRAL PARK:RUA_FINAL'!N903)</f>
        <v>0</v>
      </c>
      <c r="W903" s="315">
        <f t="shared" si="302"/>
        <v>0</v>
      </c>
    </row>
    <row r="904" spans="1:23" ht="15" hidden="1" customHeight="1" x14ac:dyDescent="0.2">
      <c r="A904" s="565" t="s">
        <v>165</v>
      </c>
      <c r="B904" s="924" t="s">
        <v>165</v>
      </c>
      <c r="C904" s="925" t="s">
        <v>165</v>
      </c>
      <c r="D904" s="926"/>
      <c r="E904" s="927"/>
      <c r="F904" s="928"/>
      <c r="G904" s="929"/>
      <c r="H904" s="930">
        <v>0</v>
      </c>
      <c r="I904" s="901">
        <f t="shared" si="312"/>
        <v>0</v>
      </c>
      <c r="J904" s="902">
        <f t="shared" si="313"/>
        <v>0</v>
      </c>
      <c r="K904" s="928" t="s">
        <v>507</v>
      </c>
      <c r="L904" s="904">
        <f>ROUND(SUM('RES. CENTRAL PARK:RUA_FINAL'!L904),2)</f>
        <v>0</v>
      </c>
      <c r="M904" s="904">
        <f t="shared" si="306"/>
        <v>0</v>
      </c>
      <c r="N904" s="893">
        <f t="shared" si="307"/>
        <v>0</v>
      </c>
      <c r="O904" s="905"/>
      <c r="Q904" s="317" t="str">
        <f t="shared" si="308"/>
        <v/>
      </c>
      <c r="R904" s="317" t="str">
        <f t="shared" si="309"/>
        <v/>
      </c>
      <c r="S904" s="317" t="str">
        <f t="shared" si="310"/>
        <v/>
      </c>
      <c r="V904" s="314">
        <f>SUM('RES. CENTRAL PARK:RUA_FINAL'!N904)</f>
        <v>0</v>
      </c>
      <c r="W904" s="315">
        <f t="shared" si="302"/>
        <v>0</v>
      </c>
    </row>
    <row r="905" spans="1:23" ht="15" hidden="1" customHeight="1" x14ac:dyDescent="0.2">
      <c r="A905" s="565" t="s">
        <v>165</v>
      </c>
      <c r="B905" s="924" t="s">
        <v>165</v>
      </c>
      <c r="C905" s="925" t="s">
        <v>165</v>
      </c>
      <c r="D905" s="926"/>
      <c r="E905" s="927"/>
      <c r="F905" s="928"/>
      <c r="G905" s="929"/>
      <c r="H905" s="930">
        <v>0</v>
      </c>
      <c r="I905" s="901">
        <f t="shared" si="312"/>
        <v>0</v>
      </c>
      <c r="J905" s="902">
        <f t="shared" si="313"/>
        <v>0</v>
      </c>
      <c r="K905" s="928" t="s">
        <v>507</v>
      </c>
      <c r="L905" s="904">
        <f>ROUND(SUM('RES. CENTRAL PARK:RUA_FINAL'!L905),2)</f>
        <v>0</v>
      </c>
      <c r="M905" s="904">
        <f t="shared" si="306"/>
        <v>0</v>
      </c>
      <c r="N905" s="893">
        <f t="shared" si="307"/>
        <v>0</v>
      </c>
      <c r="O905" s="905"/>
      <c r="Q905" s="317" t="str">
        <f t="shared" si="308"/>
        <v/>
      </c>
      <c r="R905" s="317" t="str">
        <f t="shared" si="309"/>
        <v/>
      </c>
      <c r="S905" s="317" t="str">
        <f t="shared" si="310"/>
        <v/>
      </c>
      <c r="V905" s="314">
        <f>SUM('RES. CENTRAL PARK:RUA_FINAL'!N905)</f>
        <v>0</v>
      </c>
      <c r="W905" s="315">
        <f t="shared" si="302"/>
        <v>0</v>
      </c>
    </row>
    <row r="906" spans="1:23" ht="15" hidden="1" customHeight="1" x14ac:dyDescent="0.2">
      <c r="A906" s="565" t="s">
        <v>165</v>
      </c>
      <c r="B906" s="924" t="s">
        <v>165</v>
      </c>
      <c r="C906" s="925" t="s">
        <v>165</v>
      </c>
      <c r="D906" s="926"/>
      <c r="E906" s="927"/>
      <c r="F906" s="928"/>
      <c r="G906" s="929"/>
      <c r="H906" s="930">
        <v>0</v>
      </c>
      <c r="I906" s="901">
        <f t="shared" si="312"/>
        <v>0</v>
      </c>
      <c r="J906" s="902">
        <f t="shared" si="313"/>
        <v>0</v>
      </c>
      <c r="K906" s="928" t="s">
        <v>507</v>
      </c>
      <c r="L906" s="904">
        <f>ROUND(SUM('RES. CENTRAL PARK:RUA_FINAL'!L906),2)</f>
        <v>0</v>
      </c>
      <c r="M906" s="904">
        <f t="shared" si="306"/>
        <v>0</v>
      </c>
      <c r="N906" s="893">
        <f t="shared" si="307"/>
        <v>0</v>
      </c>
      <c r="O906" s="905"/>
      <c r="Q906" s="317" t="str">
        <f t="shared" si="308"/>
        <v/>
      </c>
      <c r="R906" s="317" t="str">
        <f t="shared" si="309"/>
        <v/>
      </c>
      <c r="S906" s="317" t="str">
        <f t="shared" si="310"/>
        <v/>
      </c>
      <c r="V906" s="314">
        <f>SUM('RES. CENTRAL PARK:RUA_FINAL'!N906)</f>
        <v>0</v>
      </c>
      <c r="W906" s="315">
        <f t="shared" si="302"/>
        <v>0</v>
      </c>
    </row>
    <row r="907" spans="1:23" ht="15" hidden="1" customHeight="1" x14ac:dyDescent="0.2">
      <c r="A907" s="565" t="s">
        <v>165</v>
      </c>
      <c r="B907" s="924" t="s">
        <v>165</v>
      </c>
      <c r="C907" s="925" t="s">
        <v>165</v>
      </c>
      <c r="D907" s="926"/>
      <c r="E907" s="927"/>
      <c r="F907" s="928"/>
      <c r="G907" s="929"/>
      <c r="H907" s="930">
        <v>0</v>
      </c>
      <c r="I907" s="901">
        <f t="shared" si="312"/>
        <v>0</v>
      </c>
      <c r="J907" s="902">
        <f t="shared" si="313"/>
        <v>0</v>
      </c>
      <c r="K907" s="928" t="s">
        <v>507</v>
      </c>
      <c r="L907" s="904">
        <f>ROUND(SUM('RES. CENTRAL PARK:RUA_FINAL'!L907),2)</f>
        <v>0</v>
      </c>
      <c r="M907" s="904">
        <f t="shared" si="306"/>
        <v>0</v>
      </c>
      <c r="N907" s="893">
        <f t="shared" si="307"/>
        <v>0</v>
      </c>
      <c r="O907" s="905"/>
      <c r="Q907" s="317" t="str">
        <f t="shared" si="308"/>
        <v/>
      </c>
      <c r="R907" s="317" t="str">
        <f t="shared" si="309"/>
        <v/>
      </c>
      <c r="S907" s="317" t="str">
        <f t="shared" si="310"/>
        <v/>
      </c>
      <c r="V907" s="314">
        <f>SUM('RES. CENTRAL PARK:RUA_FINAL'!N907)</f>
        <v>0</v>
      </c>
      <c r="W907" s="315">
        <f t="shared" si="302"/>
        <v>0</v>
      </c>
    </row>
    <row r="908" spans="1:23" ht="15" hidden="1" customHeight="1" x14ac:dyDescent="0.2">
      <c r="A908" s="565" t="s">
        <v>165</v>
      </c>
      <c r="B908" s="924" t="s">
        <v>165</v>
      </c>
      <c r="C908" s="925" t="s">
        <v>165</v>
      </c>
      <c r="D908" s="926"/>
      <c r="E908" s="927"/>
      <c r="F908" s="928"/>
      <c r="G908" s="929"/>
      <c r="H908" s="930">
        <v>0</v>
      </c>
      <c r="I908" s="901">
        <f t="shared" si="312"/>
        <v>0</v>
      </c>
      <c r="J908" s="902">
        <f t="shared" si="313"/>
        <v>0</v>
      </c>
      <c r="K908" s="928" t="s">
        <v>507</v>
      </c>
      <c r="L908" s="904">
        <f>ROUND(SUM('RES. CENTRAL PARK:RUA_FINAL'!L908),2)</f>
        <v>0</v>
      </c>
      <c r="M908" s="904">
        <f t="shared" si="306"/>
        <v>0</v>
      </c>
      <c r="N908" s="893">
        <f t="shared" si="307"/>
        <v>0</v>
      </c>
      <c r="O908" s="905"/>
      <c r="Q908" s="317" t="str">
        <f t="shared" si="308"/>
        <v/>
      </c>
      <c r="R908" s="317" t="str">
        <f t="shared" si="309"/>
        <v/>
      </c>
      <c r="S908" s="317" t="str">
        <f t="shared" si="310"/>
        <v/>
      </c>
      <c r="V908" s="314">
        <f>SUM('RES. CENTRAL PARK:RUA_FINAL'!N908)</f>
        <v>0</v>
      </c>
      <c r="W908" s="315">
        <f t="shared" si="302"/>
        <v>0</v>
      </c>
    </row>
    <row r="909" spans="1:23" ht="15" hidden="1" customHeight="1" x14ac:dyDescent="0.2">
      <c r="A909" s="565" t="s">
        <v>165</v>
      </c>
      <c r="B909" s="924" t="s">
        <v>165</v>
      </c>
      <c r="C909" s="925" t="s">
        <v>165</v>
      </c>
      <c r="D909" s="926"/>
      <c r="E909" s="927"/>
      <c r="F909" s="928"/>
      <c r="G909" s="929"/>
      <c r="H909" s="930">
        <v>0</v>
      </c>
      <c r="I909" s="901">
        <f t="shared" si="312"/>
        <v>0</v>
      </c>
      <c r="J909" s="902">
        <f t="shared" si="313"/>
        <v>0</v>
      </c>
      <c r="K909" s="928" t="s">
        <v>507</v>
      </c>
      <c r="L909" s="904">
        <f>ROUND(SUM('RES. CENTRAL PARK:RUA_FINAL'!L909),2)</f>
        <v>0</v>
      </c>
      <c r="M909" s="904">
        <f t="shared" si="306"/>
        <v>0</v>
      </c>
      <c r="N909" s="893">
        <f t="shared" si="307"/>
        <v>0</v>
      </c>
      <c r="O909" s="905"/>
      <c r="Q909" s="317" t="str">
        <f t="shared" si="308"/>
        <v/>
      </c>
      <c r="R909" s="317" t="str">
        <f t="shared" si="309"/>
        <v/>
      </c>
      <c r="S909" s="317" t="str">
        <f t="shared" si="310"/>
        <v/>
      </c>
      <c r="V909" s="314">
        <f>SUM('RES. CENTRAL PARK:RUA_FINAL'!N909)</f>
        <v>0</v>
      </c>
      <c r="W909" s="315">
        <f t="shared" si="302"/>
        <v>0</v>
      </c>
    </row>
    <row r="910" spans="1:23" ht="15" hidden="1" customHeight="1" x14ac:dyDescent="0.2">
      <c r="A910" s="565" t="s">
        <v>165</v>
      </c>
      <c r="B910" s="924" t="s">
        <v>165</v>
      </c>
      <c r="C910" s="925" t="s">
        <v>165</v>
      </c>
      <c r="D910" s="926"/>
      <c r="E910" s="927"/>
      <c r="F910" s="928"/>
      <c r="G910" s="929"/>
      <c r="H910" s="930">
        <v>0</v>
      </c>
      <c r="I910" s="901">
        <f t="shared" si="312"/>
        <v>0</v>
      </c>
      <c r="J910" s="902">
        <f t="shared" si="313"/>
        <v>0</v>
      </c>
      <c r="K910" s="928" t="s">
        <v>507</v>
      </c>
      <c r="L910" s="904">
        <f>ROUND(SUM('RES. CENTRAL PARK:RUA_FINAL'!L910),2)</f>
        <v>0</v>
      </c>
      <c r="M910" s="904">
        <f t="shared" si="306"/>
        <v>0</v>
      </c>
      <c r="N910" s="893">
        <f t="shared" si="307"/>
        <v>0</v>
      </c>
      <c r="O910" s="905"/>
      <c r="Q910" s="317" t="str">
        <f t="shared" si="308"/>
        <v/>
      </c>
      <c r="R910" s="317" t="str">
        <f t="shared" si="309"/>
        <v/>
      </c>
      <c r="S910" s="317" t="str">
        <f t="shared" si="310"/>
        <v/>
      </c>
      <c r="V910" s="314">
        <f>SUM('RES. CENTRAL PARK:RUA_FINAL'!N910)</f>
        <v>0</v>
      </c>
      <c r="W910" s="315">
        <f t="shared" si="302"/>
        <v>0</v>
      </c>
    </row>
    <row r="911" spans="1:23" ht="15" hidden="1" customHeight="1" x14ac:dyDescent="0.2">
      <c r="A911" s="565" t="s">
        <v>165</v>
      </c>
      <c r="B911" s="924" t="s">
        <v>165</v>
      </c>
      <c r="C911" s="925" t="s">
        <v>165</v>
      </c>
      <c r="D911" s="926"/>
      <c r="E911" s="927"/>
      <c r="F911" s="928"/>
      <c r="G911" s="929"/>
      <c r="H911" s="930">
        <v>0</v>
      </c>
      <c r="I911" s="901">
        <f t="shared" si="312"/>
        <v>0</v>
      </c>
      <c r="J911" s="902">
        <f t="shared" si="313"/>
        <v>0</v>
      </c>
      <c r="K911" s="928" t="s">
        <v>507</v>
      </c>
      <c r="L911" s="904">
        <f>ROUND(SUM('RES. CENTRAL PARK:RUA_FINAL'!L911),2)</f>
        <v>0</v>
      </c>
      <c r="M911" s="904">
        <f t="shared" si="306"/>
        <v>0</v>
      </c>
      <c r="N911" s="893">
        <f t="shared" si="307"/>
        <v>0</v>
      </c>
      <c r="O911" s="905"/>
      <c r="Q911" s="317" t="str">
        <f t="shared" si="308"/>
        <v/>
      </c>
      <c r="R911" s="317" t="str">
        <f t="shared" si="309"/>
        <v/>
      </c>
      <c r="S911" s="317" t="str">
        <f t="shared" si="310"/>
        <v/>
      </c>
      <c r="V911" s="314">
        <f>SUM('RES. CENTRAL PARK:RUA_FINAL'!N911)</f>
        <v>0</v>
      </c>
      <c r="W911" s="315">
        <f t="shared" si="302"/>
        <v>0</v>
      </c>
    </row>
    <row r="912" spans="1:23" ht="15" hidden="1" customHeight="1" thickBot="1" x14ac:dyDescent="0.25">
      <c r="A912" s="565" t="s">
        <v>165</v>
      </c>
      <c r="B912" s="924" t="s">
        <v>165</v>
      </c>
      <c r="C912" s="925" t="s">
        <v>165</v>
      </c>
      <c r="D912" s="926"/>
      <c r="E912" s="927"/>
      <c r="F912" s="928"/>
      <c r="G912" s="929"/>
      <c r="H912" s="930">
        <v>0</v>
      </c>
      <c r="I912" s="901">
        <f t="shared" si="312"/>
        <v>0</v>
      </c>
      <c r="J912" s="902">
        <f t="shared" si="313"/>
        <v>0</v>
      </c>
      <c r="K912" s="928" t="s">
        <v>507</v>
      </c>
      <c r="L912" s="904">
        <f>ROUND(SUM('RES. CENTRAL PARK:RUA_FINAL'!L912),2)</f>
        <v>0</v>
      </c>
      <c r="M912" s="904">
        <f t="shared" si="306"/>
        <v>0</v>
      </c>
      <c r="N912" s="942">
        <f t="shared" si="307"/>
        <v>0</v>
      </c>
      <c r="O912" s="905"/>
      <c r="Q912" s="317" t="str">
        <f t="shared" si="308"/>
        <v/>
      </c>
      <c r="R912" s="317" t="str">
        <f t="shared" si="309"/>
        <v/>
      </c>
      <c r="S912" s="317" t="str">
        <f t="shared" si="310"/>
        <v/>
      </c>
      <c r="V912" s="314">
        <f>SUM('RES. CENTRAL PARK:RUA_FINAL'!N912)</f>
        <v>0</v>
      </c>
      <c r="W912" s="315">
        <f t="shared" si="302"/>
        <v>0</v>
      </c>
    </row>
    <row r="913" spans="1:23" ht="15" hidden="1" customHeight="1" thickBot="1" x14ac:dyDescent="0.25">
      <c r="A913" s="63" t="s">
        <v>310</v>
      </c>
      <c r="B913" s="950" t="s">
        <v>310</v>
      </c>
      <c r="C913" s="951"/>
      <c r="D913" s="952" t="s">
        <v>438</v>
      </c>
      <c r="E913" s="943"/>
      <c r="F913" s="876"/>
      <c r="G913" s="945"/>
      <c r="H913" s="945">
        <v>0</v>
      </c>
      <c r="I913" s="945"/>
      <c r="J913" s="945"/>
      <c r="K913" s="878" t="s">
        <v>507</v>
      </c>
      <c r="L913" s="879">
        <f>ROUND(SUM('RES. CENTRAL PARK:RUA_FINAL'!L913),2)</f>
        <v>0</v>
      </c>
      <c r="M913" s="880">
        <f t="shared" si="306"/>
        <v>0</v>
      </c>
      <c r="N913" s="881">
        <f t="shared" si="307"/>
        <v>0</v>
      </c>
      <c r="O913" s="882">
        <f>SUM(N914:N1624)</f>
        <v>0</v>
      </c>
      <c r="P913" s="58" t="str">
        <f>IF(OR(O913&gt;0,O913&gt;0),"X","")</f>
        <v/>
      </c>
      <c r="Q913" s="317" t="str">
        <f t="shared" si="308"/>
        <v/>
      </c>
      <c r="R913" s="317" t="str">
        <f t="shared" si="309"/>
        <v/>
      </c>
      <c r="S913" s="317" t="str">
        <f t="shared" si="310"/>
        <v/>
      </c>
      <c r="V913" s="314">
        <f>SUM('RES. CENTRAL PARK:RUA_FINAL'!N913)</f>
        <v>0</v>
      </c>
      <c r="W913" s="315">
        <f t="shared" si="302"/>
        <v>0</v>
      </c>
    </row>
    <row r="914" spans="1:23" ht="34.5" hidden="1" thickBot="1" x14ac:dyDescent="0.25">
      <c r="A914" s="63">
        <v>102102</v>
      </c>
      <c r="B914" s="895">
        <v>102102</v>
      </c>
      <c r="C914" s="896" t="s">
        <v>596</v>
      </c>
      <c r="D914" s="906" t="s">
        <v>841</v>
      </c>
      <c r="E914" s="907"/>
      <c r="F914" s="908"/>
      <c r="G914" s="912"/>
      <c r="H914" s="901">
        <v>9956</v>
      </c>
      <c r="I914" s="901">
        <f t="shared" ref="I914" si="314">IF(ISBLANK(H914),"",SUM(G914:H914))</f>
        <v>9956</v>
      </c>
      <c r="J914" s="902">
        <f t="shared" ref="J914:J968" si="315">IF(ISBLANK(H914),0,ROUND(I914*(1+$E$10),2))</f>
        <v>11954.17</v>
      </c>
      <c r="K914" s="903" t="s">
        <v>1516</v>
      </c>
      <c r="L914" s="904">
        <f>ROUND(SUM('RES. CENTRAL PARK:RUA_FINAL'!L914),2)</f>
        <v>0</v>
      </c>
      <c r="M914" s="904">
        <f t="shared" ref="M914:M977" si="316">IF(L914=0,0,ROUND(J914,2))</f>
        <v>0</v>
      </c>
      <c r="N914" s="893">
        <f t="shared" ref="N914:N977" si="317">IF(ISBLANK(L914),0,ROUND(L914*M914,2))</f>
        <v>0</v>
      </c>
      <c r="O914" s="905"/>
      <c r="Q914" s="317" t="str">
        <f t="shared" ref="Q914:Q977" si="318">IF(P914="X","x",IF(P914="xx","x",IF(P914="xy","x",IF(P914="y","x",IF(OR(N914&gt;0,N914&gt;0),"x","")))))</f>
        <v/>
      </c>
      <c r="R914" s="317" t="str">
        <f t="shared" ref="R914:R977" si="319">IF(P914="X","x",IF(P914="y","x",IF(P914="xx","x",IF(N914&gt;0,"x",""))))</f>
        <v/>
      </c>
      <c r="S914" s="317" t="str">
        <f t="shared" ref="S914:S977" si="320">IF(P914="X","x",IF(N914&gt;0,"x",""))</f>
        <v/>
      </c>
      <c r="V914" s="314">
        <f>SUM('RES. CENTRAL PARK:RUA_FINAL'!N914)</f>
        <v>0</v>
      </c>
      <c r="W914" s="315">
        <f t="shared" si="302"/>
        <v>0</v>
      </c>
    </row>
    <row r="915" spans="1:23" ht="34.5" hidden="1" thickBot="1" x14ac:dyDescent="0.25">
      <c r="A915" s="63">
        <v>102103</v>
      </c>
      <c r="B915" s="895">
        <v>102103</v>
      </c>
      <c r="C915" s="896" t="s">
        <v>596</v>
      </c>
      <c r="D915" s="906" t="s">
        <v>842</v>
      </c>
      <c r="E915" s="907"/>
      <c r="F915" s="908"/>
      <c r="G915" s="912"/>
      <c r="H915" s="901">
        <v>11068.77</v>
      </c>
      <c r="I915" s="901">
        <f t="shared" ref="I915:I977" si="321">IF(ISBLANK(H915),"",SUM(G915:H915))</f>
        <v>11068.77</v>
      </c>
      <c r="J915" s="902">
        <f t="shared" si="315"/>
        <v>13290.27</v>
      </c>
      <c r="K915" s="903" t="s">
        <v>1516</v>
      </c>
      <c r="L915" s="904">
        <f>ROUND(SUM('RES. CENTRAL PARK:RUA_FINAL'!L915),2)</f>
        <v>0</v>
      </c>
      <c r="M915" s="904">
        <f t="shared" si="316"/>
        <v>0</v>
      </c>
      <c r="N915" s="893">
        <f t="shared" si="317"/>
        <v>0</v>
      </c>
      <c r="O915" s="905"/>
      <c r="Q915" s="317" t="str">
        <f t="shared" si="318"/>
        <v/>
      </c>
      <c r="R915" s="317" t="str">
        <f t="shared" si="319"/>
        <v/>
      </c>
      <c r="S915" s="317" t="str">
        <f t="shared" si="320"/>
        <v/>
      </c>
      <c r="V915" s="314">
        <f>SUM('RES. CENTRAL PARK:RUA_FINAL'!N915)</f>
        <v>0</v>
      </c>
      <c r="W915" s="315">
        <f t="shared" si="302"/>
        <v>0</v>
      </c>
    </row>
    <row r="916" spans="1:23" ht="34.5" hidden="1" thickBot="1" x14ac:dyDescent="0.25">
      <c r="A916" s="63">
        <v>102104</v>
      </c>
      <c r="B916" s="895">
        <v>102104</v>
      </c>
      <c r="C916" s="896" t="s">
        <v>596</v>
      </c>
      <c r="D916" s="906" t="s">
        <v>843</v>
      </c>
      <c r="E916" s="907"/>
      <c r="F916" s="908"/>
      <c r="G916" s="912"/>
      <c r="H916" s="901">
        <v>14168.89</v>
      </c>
      <c r="I916" s="901">
        <f t="shared" si="321"/>
        <v>14168.89</v>
      </c>
      <c r="J916" s="902">
        <f t="shared" si="315"/>
        <v>17012.59</v>
      </c>
      <c r="K916" s="903" t="s">
        <v>1516</v>
      </c>
      <c r="L916" s="904">
        <f>ROUND(SUM('RES. CENTRAL PARK:RUA_FINAL'!L916),2)</f>
        <v>0</v>
      </c>
      <c r="M916" s="904">
        <f t="shared" si="316"/>
        <v>0</v>
      </c>
      <c r="N916" s="893">
        <f t="shared" si="317"/>
        <v>0</v>
      </c>
      <c r="O916" s="905"/>
      <c r="Q916" s="317" t="str">
        <f t="shared" si="318"/>
        <v/>
      </c>
      <c r="R916" s="317" t="str">
        <f t="shared" si="319"/>
        <v/>
      </c>
      <c r="S916" s="317" t="str">
        <f t="shared" si="320"/>
        <v/>
      </c>
      <c r="V916" s="314">
        <f>SUM('RES. CENTRAL PARK:RUA_FINAL'!N916)</f>
        <v>0</v>
      </c>
      <c r="W916" s="315">
        <f t="shared" si="302"/>
        <v>0</v>
      </c>
    </row>
    <row r="917" spans="1:23" ht="34.5" hidden="1" thickBot="1" x14ac:dyDescent="0.25">
      <c r="A917" s="63">
        <v>102105</v>
      </c>
      <c r="B917" s="895">
        <v>102105</v>
      </c>
      <c r="C917" s="896" t="s">
        <v>596</v>
      </c>
      <c r="D917" s="906" t="s">
        <v>844</v>
      </c>
      <c r="E917" s="907"/>
      <c r="F917" s="908"/>
      <c r="G917" s="912"/>
      <c r="H917" s="901">
        <v>17389.88</v>
      </c>
      <c r="I917" s="901">
        <f t="shared" si="321"/>
        <v>17389.88</v>
      </c>
      <c r="J917" s="902">
        <f t="shared" si="315"/>
        <v>20880.03</v>
      </c>
      <c r="K917" s="903" t="s">
        <v>1516</v>
      </c>
      <c r="L917" s="904">
        <f>ROUND(SUM('RES. CENTRAL PARK:RUA_FINAL'!L917),2)</f>
        <v>0</v>
      </c>
      <c r="M917" s="904">
        <f t="shared" si="316"/>
        <v>0</v>
      </c>
      <c r="N917" s="893">
        <f t="shared" si="317"/>
        <v>0</v>
      </c>
      <c r="O917" s="905"/>
      <c r="Q917" s="317" t="str">
        <f t="shared" si="318"/>
        <v/>
      </c>
      <c r="R917" s="317" t="str">
        <f t="shared" si="319"/>
        <v/>
      </c>
      <c r="S917" s="317" t="str">
        <f t="shared" si="320"/>
        <v/>
      </c>
      <c r="V917" s="314">
        <f>SUM('RES. CENTRAL PARK:RUA_FINAL'!N917)</f>
        <v>0</v>
      </c>
      <c r="W917" s="315">
        <f t="shared" ref="W917:W980" si="322">N917-V917</f>
        <v>0</v>
      </c>
    </row>
    <row r="918" spans="1:23" ht="34.5" hidden="1" thickBot="1" x14ac:dyDescent="0.25">
      <c r="A918" s="63">
        <v>102106</v>
      </c>
      <c r="B918" s="895">
        <v>102106</v>
      </c>
      <c r="C918" s="896" t="s">
        <v>596</v>
      </c>
      <c r="D918" s="906" t="s">
        <v>845</v>
      </c>
      <c r="E918" s="907"/>
      <c r="F918" s="908"/>
      <c r="G918" s="912"/>
      <c r="H918" s="901">
        <v>21783.06</v>
      </c>
      <c r="I918" s="901">
        <f t="shared" si="321"/>
        <v>21783.06</v>
      </c>
      <c r="J918" s="902">
        <f t="shared" si="315"/>
        <v>26154.92</v>
      </c>
      <c r="K918" s="903" t="s">
        <v>1516</v>
      </c>
      <c r="L918" s="904">
        <f>ROUND(SUM('RES. CENTRAL PARK:RUA_FINAL'!L918),2)</f>
        <v>0</v>
      </c>
      <c r="M918" s="904">
        <f t="shared" si="316"/>
        <v>0</v>
      </c>
      <c r="N918" s="893">
        <f t="shared" si="317"/>
        <v>0</v>
      </c>
      <c r="O918" s="905"/>
      <c r="Q918" s="317" t="str">
        <f t="shared" si="318"/>
        <v/>
      </c>
      <c r="R918" s="317" t="str">
        <f t="shared" si="319"/>
        <v/>
      </c>
      <c r="S918" s="317" t="str">
        <f t="shared" si="320"/>
        <v/>
      </c>
      <c r="V918" s="314">
        <f>SUM('RES. CENTRAL PARK:RUA_FINAL'!N918)</f>
        <v>0</v>
      </c>
      <c r="W918" s="315">
        <f t="shared" si="322"/>
        <v>0</v>
      </c>
    </row>
    <row r="919" spans="1:23" ht="34.5" hidden="1" thickBot="1" x14ac:dyDescent="0.25">
      <c r="A919" s="63">
        <v>102107</v>
      </c>
      <c r="B919" s="895">
        <v>102107</v>
      </c>
      <c r="C919" s="896" t="s">
        <v>596</v>
      </c>
      <c r="D919" s="906" t="s">
        <v>846</v>
      </c>
      <c r="E919" s="907"/>
      <c r="F919" s="908"/>
      <c r="G919" s="912"/>
      <c r="H919" s="901">
        <v>30352.89</v>
      </c>
      <c r="I919" s="901">
        <f t="shared" si="321"/>
        <v>30352.89</v>
      </c>
      <c r="J919" s="902">
        <f t="shared" si="315"/>
        <v>36444.720000000001</v>
      </c>
      <c r="K919" s="903" t="s">
        <v>1516</v>
      </c>
      <c r="L919" s="904">
        <f>ROUND(SUM('RES. CENTRAL PARK:RUA_FINAL'!L919),2)</f>
        <v>0</v>
      </c>
      <c r="M919" s="904">
        <f t="shared" si="316"/>
        <v>0</v>
      </c>
      <c r="N919" s="893">
        <f t="shared" si="317"/>
        <v>0</v>
      </c>
      <c r="O919" s="905"/>
      <c r="Q919" s="317" t="str">
        <f t="shared" si="318"/>
        <v/>
      </c>
      <c r="R919" s="317" t="str">
        <f t="shared" si="319"/>
        <v/>
      </c>
      <c r="S919" s="317" t="str">
        <f t="shared" si="320"/>
        <v/>
      </c>
      <c r="V919" s="314">
        <f>SUM('RES. CENTRAL PARK:RUA_FINAL'!N919)</f>
        <v>0</v>
      </c>
      <c r="W919" s="315">
        <f t="shared" si="322"/>
        <v>0</v>
      </c>
    </row>
    <row r="920" spans="1:23" ht="34.5" hidden="1" thickBot="1" x14ac:dyDescent="0.25">
      <c r="A920" s="63">
        <v>102108</v>
      </c>
      <c r="B920" s="895">
        <v>102108</v>
      </c>
      <c r="C920" s="896" t="s">
        <v>596</v>
      </c>
      <c r="D920" s="906" t="s">
        <v>847</v>
      </c>
      <c r="E920" s="907"/>
      <c r="F920" s="908"/>
      <c r="G920" s="912"/>
      <c r="H920" s="901">
        <v>35328.54</v>
      </c>
      <c r="I920" s="901">
        <f t="shared" si="321"/>
        <v>35328.54</v>
      </c>
      <c r="J920" s="902">
        <f t="shared" si="315"/>
        <v>42418.98</v>
      </c>
      <c r="K920" s="903" t="s">
        <v>1516</v>
      </c>
      <c r="L920" s="904">
        <f>ROUND(SUM('RES. CENTRAL PARK:RUA_FINAL'!L920),2)</f>
        <v>0</v>
      </c>
      <c r="M920" s="904">
        <f t="shared" si="316"/>
        <v>0</v>
      </c>
      <c r="N920" s="893">
        <f t="shared" si="317"/>
        <v>0</v>
      </c>
      <c r="O920" s="905"/>
      <c r="Q920" s="317" t="str">
        <f t="shared" si="318"/>
        <v/>
      </c>
      <c r="R920" s="317" t="str">
        <f t="shared" si="319"/>
        <v/>
      </c>
      <c r="S920" s="317" t="str">
        <f t="shared" si="320"/>
        <v/>
      </c>
      <c r="V920" s="314">
        <f>SUM('RES. CENTRAL PARK:RUA_FINAL'!N920)</f>
        <v>0</v>
      </c>
      <c r="W920" s="315">
        <f t="shared" si="322"/>
        <v>0</v>
      </c>
    </row>
    <row r="921" spans="1:23" ht="23.25" hidden="1" thickBot="1" x14ac:dyDescent="0.25">
      <c r="A921" s="63">
        <v>102109</v>
      </c>
      <c r="B921" s="895">
        <v>102109</v>
      </c>
      <c r="C921" s="896" t="s">
        <v>596</v>
      </c>
      <c r="D921" s="906" t="s">
        <v>848</v>
      </c>
      <c r="E921" s="907"/>
      <c r="F921" s="908"/>
      <c r="G921" s="912"/>
      <c r="H921" s="901">
        <v>45.94</v>
      </c>
      <c r="I921" s="901">
        <f t="shared" si="321"/>
        <v>45.94</v>
      </c>
      <c r="J921" s="902">
        <f t="shared" si="315"/>
        <v>55.16</v>
      </c>
      <c r="K921" s="903" t="s">
        <v>1516</v>
      </c>
      <c r="L921" s="904">
        <f>ROUND(SUM('RES. CENTRAL PARK:RUA_FINAL'!L921),2)</f>
        <v>0</v>
      </c>
      <c r="M921" s="904">
        <f t="shared" si="316"/>
        <v>0</v>
      </c>
      <c r="N921" s="893">
        <f t="shared" si="317"/>
        <v>0</v>
      </c>
      <c r="O921" s="905"/>
      <c r="Q921" s="317" t="str">
        <f t="shared" si="318"/>
        <v/>
      </c>
      <c r="R921" s="317" t="str">
        <f t="shared" si="319"/>
        <v/>
      </c>
      <c r="S921" s="317" t="str">
        <f t="shared" si="320"/>
        <v/>
      </c>
      <c r="V921" s="314">
        <f>SUM('RES. CENTRAL PARK:RUA_FINAL'!N921)</f>
        <v>0</v>
      </c>
      <c r="W921" s="315">
        <f t="shared" si="322"/>
        <v>0</v>
      </c>
    </row>
    <row r="922" spans="1:23" ht="23.25" hidden="1" thickBot="1" x14ac:dyDescent="0.25">
      <c r="A922" s="63">
        <v>102110</v>
      </c>
      <c r="B922" s="895">
        <v>102110</v>
      </c>
      <c r="C922" s="896" t="s">
        <v>596</v>
      </c>
      <c r="D922" s="906" t="s">
        <v>849</v>
      </c>
      <c r="E922" s="907"/>
      <c r="F922" s="908"/>
      <c r="G922" s="912"/>
      <c r="H922" s="901">
        <v>110.92</v>
      </c>
      <c r="I922" s="901">
        <f t="shared" si="321"/>
        <v>110.92</v>
      </c>
      <c r="J922" s="902">
        <f t="shared" si="315"/>
        <v>133.18</v>
      </c>
      <c r="K922" s="903" t="s">
        <v>1516</v>
      </c>
      <c r="L922" s="904">
        <f>ROUND(SUM('RES. CENTRAL PARK:RUA_FINAL'!L922),2)</f>
        <v>0</v>
      </c>
      <c r="M922" s="904">
        <f t="shared" si="316"/>
        <v>0</v>
      </c>
      <c r="N922" s="893">
        <f t="shared" si="317"/>
        <v>0</v>
      </c>
      <c r="O922" s="905"/>
      <c r="Q922" s="317" t="str">
        <f t="shared" si="318"/>
        <v/>
      </c>
      <c r="R922" s="317" t="str">
        <f t="shared" si="319"/>
        <v/>
      </c>
      <c r="S922" s="317" t="str">
        <f t="shared" si="320"/>
        <v/>
      </c>
      <c r="V922" s="314">
        <f>SUM('RES. CENTRAL PARK:RUA_FINAL'!N922)</f>
        <v>0</v>
      </c>
      <c r="W922" s="315">
        <f t="shared" si="322"/>
        <v>0</v>
      </c>
    </row>
    <row r="923" spans="1:23" ht="23.25" hidden="1" thickBot="1" x14ac:dyDescent="0.25">
      <c r="A923" s="63">
        <v>100619</v>
      </c>
      <c r="B923" s="895">
        <v>100619</v>
      </c>
      <c r="C923" s="896" t="s">
        <v>596</v>
      </c>
      <c r="D923" s="906" t="s">
        <v>850</v>
      </c>
      <c r="E923" s="907"/>
      <c r="F923" s="908"/>
      <c r="G923" s="912"/>
      <c r="H923" s="901">
        <v>601.52</v>
      </c>
      <c r="I923" s="901">
        <f t="shared" si="321"/>
        <v>601.52</v>
      </c>
      <c r="J923" s="902">
        <f t="shared" si="315"/>
        <v>722.25</v>
      </c>
      <c r="K923" s="903" t="s">
        <v>1516</v>
      </c>
      <c r="L923" s="904">
        <f>ROUND(SUM('RES. CENTRAL PARK:RUA_FINAL'!L923),2)</f>
        <v>0</v>
      </c>
      <c r="M923" s="904">
        <f t="shared" si="316"/>
        <v>0</v>
      </c>
      <c r="N923" s="893">
        <f t="shared" si="317"/>
        <v>0</v>
      </c>
      <c r="O923" s="905"/>
      <c r="Q923" s="317" t="str">
        <f t="shared" si="318"/>
        <v/>
      </c>
      <c r="R923" s="317" t="str">
        <f t="shared" si="319"/>
        <v/>
      </c>
      <c r="S923" s="317" t="str">
        <f t="shared" si="320"/>
        <v/>
      </c>
      <c r="V923" s="314">
        <f>SUM('RES. CENTRAL PARK:RUA_FINAL'!N923)</f>
        <v>0</v>
      </c>
      <c r="W923" s="315">
        <f t="shared" si="322"/>
        <v>0</v>
      </c>
    </row>
    <row r="924" spans="1:23" ht="23.25" hidden="1" thickBot="1" x14ac:dyDescent="0.25">
      <c r="A924" s="63">
        <v>100620</v>
      </c>
      <c r="B924" s="895">
        <v>100620</v>
      </c>
      <c r="C924" s="896" t="s">
        <v>596</v>
      </c>
      <c r="D924" s="906" t="s">
        <v>851</v>
      </c>
      <c r="E924" s="907"/>
      <c r="F924" s="908"/>
      <c r="G924" s="912"/>
      <c r="H924" s="901">
        <v>3497.06</v>
      </c>
      <c r="I924" s="901">
        <f t="shared" si="321"/>
        <v>3497.06</v>
      </c>
      <c r="J924" s="902">
        <f t="shared" si="315"/>
        <v>4198.92</v>
      </c>
      <c r="K924" s="903" t="s">
        <v>1516</v>
      </c>
      <c r="L924" s="904">
        <f>ROUND(SUM('RES. CENTRAL PARK:RUA_FINAL'!L924),2)</f>
        <v>0</v>
      </c>
      <c r="M924" s="904">
        <f t="shared" si="316"/>
        <v>0</v>
      </c>
      <c r="N924" s="893">
        <f t="shared" si="317"/>
        <v>0</v>
      </c>
      <c r="O924" s="905"/>
      <c r="Q924" s="317" t="str">
        <f t="shared" si="318"/>
        <v/>
      </c>
      <c r="R924" s="317" t="str">
        <f t="shared" si="319"/>
        <v/>
      </c>
      <c r="S924" s="317" t="str">
        <f t="shared" si="320"/>
        <v/>
      </c>
      <c r="V924" s="314">
        <f>SUM('RES. CENTRAL PARK:RUA_FINAL'!N924)</f>
        <v>0</v>
      </c>
      <c r="W924" s="315">
        <f t="shared" si="322"/>
        <v>0</v>
      </c>
    </row>
    <row r="925" spans="1:23" ht="23.25" hidden="1" thickBot="1" x14ac:dyDescent="0.25">
      <c r="A925" s="63">
        <v>100621</v>
      </c>
      <c r="B925" s="895">
        <v>100621</v>
      </c>
      <c r="C925" s="896" t="s">
        <v>596</v>
      </c>
      <c r="D925" s="906" t="s">
        <v>852</v>
      </c>
      <c r="E925" s="907"/>
      <c r="F925" s="908"/>
      <c r="G925" s="912"/>
      <c r="H925" s="901">
        <v>3985.57</v>
      </c>
      <c r="I925" s="901">
        <f t="shared" si="321"/>
        <v>3985.57</v>
      </c>
      <c r="J925" s="902">
        <f t="shared" si="315"/>
        <v>4785.47</v>
      </c>
      <c r="K925" s="903" t="s">
        <v>1516</v>
      </c>
      <c r="L925" s="904">
        <f>ROUND(SUM('RES. CENTRAL PARK:RUA_FINAL'!L925),2)</f>
        <v>0</v>
      </c>
      <c r="M925" s="904">
        <f t="shared" si="316"/>
        <v>0</v>
      </c>
      <c r="N925" s="893">
        <f t="shared" si="317"/>
        <v>0</v>
      </c>
      <c r="O925" s="905"/>
      <c r="Q925" s="317" t="str">
        <f t="shared" si="318"/>
        <v/>
      </c>
      <c r="R925" s="317" t="str">
        <f t="shared" si="319"/>
        <v/>
      </c>
      <c r="S925" s="317" t="str">
        <f t="shared" si="320"/>
        <v/>
      </c>
      <c r="V925" s="314">
        <f>SUM('RES. CENTRAL PARK:RUA_FINAL'!N925)</f>
        <v>0</v>
      </c>
      <c r="W925" s="315">
        <f t="shared" si="322"/>
        <v>0</v>
      </c>
    </row>
    <row r="926" spans="1:23" ht="23.25" hidden="1" thickBot="1" x14ac:dyDescent="0.25">
      <c r="A926" s="63">
        <v>100622</v>
      </c>
      <c r="B926" s="895">
        <v>100622</v>
      </c>
      <c r="C926" s="896" t="s">
        <v>596</v>
      </c>
      <c r="D926" s="906" t="s">
        <v>853</v>
      </c>
      <c r="E926" s="907"/>
      <c r="F926" s="908"/>
      <c r="G926" s="912"/>
      <c r="H926" s="901">
        <v>2579.4299999999998</v>
      </c>
      <c r="I926" s="901">
        <f t="shared" si="321"/>
        <v>2579.4299999999998</v>
      </c>
      <c r="J926" s="902">
        <f t="shared" si="315"/>
        <v>3097.12</v>
      </c>
      <c r="K926" s="903" t="s">
        <v>1516</v>
      </c>
      <c r="L926" s="904">
        <f>ROUND(SUM('RES. CENTRAL PARK:RUA_FINAL'!L926),2)</f>
        <v>0</v>
      </c>
      <c r="M926" s="904">
        <f t="shared" si="316"/>
        <v>0</v>
      </c>
      <c r="N926" s="893">
        <f t="shared" si="317"/>
        <v>0</v>
      </c>
      <c r="O926" s="905"/>
      <c r="Q926" s="317" t="str">
        <f t="shared" si="318"/>
        <v/>
      </c>
      <c r="R926" s="317" t="str">
        <f t="shared" si="319"/>
        <v/>
      </c>
      <c r="S926" s="317" t="str">
        <f t="shared" si="320"/>
        <v/>
      </c>
      <c r="V926" s="314">
        <f>SUM('RES. CENTRAL PARK:RUA_FINAL'!N926)</f>
        <v>0</v>
      </c>
      <c r="W926" s="315">
        <f t="shared" si="322"/>
        <v>0</v>
      </c>
    </row>
    <row r="927" spans="1:23" ht="23.25" hidden="1" thickBot="1" x14ac:dyDescent="0.25">
      <c r="A927" s="63">
        <v>100623</v>
      </c>
      <c r="B927" s="895">
        <v>100623</v>
      </c>
      <c r="C927" s="896" t="s">
        <v>596</v>
      </c>
      <c r="D927" s="906" t="s">
        <v>854</v>
      </c>
      <c r="E927" s="907"/>
      <c r="F927" s="908"/>
      <c r="G927" s="912"/>
      <c r="H927" s="901">
        <v>2785.78</v>
      </c>
      <c r="I927" s="901">
        <f t="shared" si="321"/>
        <v>2785.78</v>
      </c>
      <c r="J927" s="902">
        <f t="shared" si="315"/>
        <v>3344.89</v>
      </c>
      <c r="K927" s="903" t="s">
        <v>1516</v>
      </c>
      <c r="L927" s="904">
        <f>ROUND(SUM('RES. CENTRAL PARK:RUA_FINAL'!L927),2)</f>
        <v>0</v>
      </c>
      <c r="M927" s="904">
        <f t="shared" si="316"/>
        <v>0</v>
      </c>
      <c r="N927" s="893">
        <f t="shared" si="317"/>
        <v>0</v>
      </c>
      <c r="O927" s="905"/>
      <c r="Q927" s="317" t="str">
        <f t="shared" si="318"/>
        <v/>
      </c>
      <c r="R927" s="317" t="str">
        <f t="shared" si="319"/>
        <v/>
      </c>
      <c r="S927" s="317" t="str">
        <f t="shared" si="320"/>
        <v/>
      </c>
      <c r="V927" s="314">
        <f>SUM('RES. CENTRAL PARK:RUA_FINAL'!N927)</f>
        <v>0</v>
      </c>
      <c r="W927" s="315">
        <f t="shared" si="322"/>
        <v>0</v>
      </c>
    </row>
    <row r="928" spans="1:23" ht="34.5" hidden="1" thickBot="1" x14ac:dyDescent="0.25">
      <c r="A928" s="63">
        <v>100578</v>
      </c>
      <c r="B928" s="895">
        <v>100578</v>
      </c>
      <c r="C928" s="896" t="s">
        <v>596</v>
      </c>
      <c r="D928" s="906" t="s">
        <v>855</v>
      </c>
      <c r="E928" s="907"/>
      <c r="F928" s="908"/>
      <c r="G928" s="912"/>
      <c r="H928" s="901">
        <v>509.26</v>
      </c>
      <c r="I928" s="901">
        <f t="shared" si="321"/>
        <v>509.26</v>
      </c>
      <c r="J928" s="902">
        <f t="shared" si="315"/>
        <v>611.47</v>
      </c>
      <c r="K928" s="903" t="s">
        <v>1516</v>
      </c>
      <c r="L928" s="904">
        <f>ROUND(SUM('RES. CENTRAL PARK:RUA_FINAL'!L928),2)</f>
        <v>0</v>
      </c>
      <c r="M928" s="904">
        <f t="shared" si="316"/>
        <v>0</v>
      </c>
      <c r="N928" s="893">
        <f t="shared" si="317"/>
        <v>0</v>
      </c>
      <c r="O928" s="905"/>
      <c r="Q928" s="317" t="str">
        <f t="shared" si="318"/>
        <v/>
      </c>
      <c r="R928" s="317" t="str">
        <f t="shared" si="319"/>
        <v/>
      </c>
      <c r="S928" s="317" t="str">
        <f t="shared" si="320"/>
        <v/>
      </c>
      <c r="V928" s="314">
        <f>SUM('RES. CENTRAL PARK:RUA_FINAL'!N928)</f>
        <v>0</v>
      </c>
      <c r="W928" s="315">
        <f t="shared" si="322"/>
        <v>0</v>
      </c>
    </row>
    <row r="929" spans="1:23" ht="34.5" hidden="1" thickBot="1" x14ac:dyDescent="0.25">
      <c r="A929" s="63">
        <v>100579</v>
      </c>
      <c r="B929" s="895">
        <v>100579</v>
      </c>
      <c r="C929" s="896" t="s">
        <v>596</v>
      </c>
      <c r="D929" s="906" t="s">
        <v>856</v>
      </c>
      <c r="E929" s="907"/>
      <c r="F929" s="908"/>
      <c r="G929" s="912"/>
      <c r="H929" s="901">
        <v>558</v>
      </c>
      <c r="I929" s="901">
        <f t="shared" si="321"/>
        <v>558</v>
      </c>
      <c r="J929" s="902">
        <f t="shared" si="315"/>
        <v>669.99</v>
      </c>
      <c r="K929" s="903" t="s">
        <v>1516</v>
      </c>
      <c r="L929" s="904">
        <f>ROUND(SUM('RES. CENTRAL PARK:RUA_FINAL'!L929),2)</f>
        <v>0</v>
      </c>
      <c r="M929" s="904">
        <f t="shared" si="316"/>
        <v>0</v>
      </c>
      <c r="N929" s="893">
        <f t="shared" si="317"/>
        <v>0</v>
      </c>
      <c r="O929" s="905"/>
      <c r="Q929" s="317" t="str">
        <f t="shared" si="318"/>
        <v/>
      </c>
      <c r="R929" s="317" t="str">
        <f t="shared" si="319"/>
        <v/>
      </c>
      <c r="S929" s="317" t="str">
        <f t="shared" si="320"/>
        <v/>
      </c>
      <c r="V929" s="314">
        <f>SUM('RES. CENTRAL PARK:RUA_FINAL'!N929)</f>
        <v>0</v>
      </c>
      <c r="W929" s="315">
        <f t="shared" si="322"/>
        <v>0</v>
      </c>
    </row>
    <row r="930" spans="1:23" ht="34.5" hidden="1" thickBot="1" x14ac:dyDescent="0.25">
      <c r="A930" s="63">
        <v>100580</v>
      </c>
      <c r="B930" s="895">
        <v>100580</v>
      </c>
      <c r="C930" s="896" t="s">
        <v>596</v>
      </c>
      <c r="D930" s="906" t="s">
        <v>857</v>
      </c>
      <c r="E930" s="907"/>
      <c r="F930" s="908"/>
      <c r="G930" s="912"/>
      <c r="H930" s="901">
        <v>615.13</v>
      </c>
      <c r="I930" s="901">
        <f t="shared" si="321"/>
        <v>615.13</v>
      </c>
      <c r="J930" s="902">
        <f t="shared" si="315"/>
        <v>738.59</v>
      </c>
      <c r="K930" s="903" t="s">
        <v>1516</v>
      </c>
      <c r="L930" s="904">
        <f>ROUND(SUM('RES. CENTRAL PARK:RUA_FINAL'!L930),2)</f>
        <v>0</v>
      </c>
      <c r="M930" s="904">
        <f t="shared" si="316"/>
        <v>0</v>
      </c>
      <c r="N930" s="893">
        <f t="shared" si="317"/>
        <v>0</v>
      </c>
      <c r="O930" s="905"/>
      <c r="Q930" s="317" t="str">
        <f t="shared" si="318"/>
        <v/>
      </c>
      <c r="R930" s="317" t="str">
        <f t="shared" si="319"/>
        <v/>
      </c>
      <c r="S930" s="317" t="str">
        <f t="shared" si="320"/>
        <v/>
      </c>
      <c r="V930" s="314">
        <f>SUM('RES. CENTRAL PARK:RUA_FINAL'!N930)</f>
        <v>0</v>
      </c>
      <c r="W930" s="315">
        <f t="shared" si="322"/>
        <v>0</v>
      </c>
    </row>
    <row r="931" spans="1:23" ht="34.5" hidden="1" thickBot="1" x14ac:dyDescent="0.25">
      <c r="A931" s="63">
        <v>100581</v>
      </c>
      <c r="B931" s="895">
        <v>100581</v>
      </c>
      <c r="C931" s="896" t="s">
        <v>596</v>
      </c>
      <c r="D931" s="906" t="s">
        <v>858</v>
      </c>
      <c r="E931" s="907"/>
      <c r="F931" s="908"/>
      <c r="G931" s="912"/>
      <c r="H931" s="901">
        <v>582.14</v>
      </c>
      <c r="I931" s="901">
        <f t="shared" si="321"/>
        <v>582.14</v>
      </c>
      <c r="J931" s="902">
        <f t="shared" si="315"/>
        <v>698.98</v>
      </c>
      <c r="K931" s="903" t="s">
        <v>1516</v>
      </c>
      <c r="L931" s="904">
        <f>ROUND(SUM('RES. CENTRAL PARK:RUA_FINAL'!L931),2)</f>
        <v>0</v>
      </c>
      <c r="M931" s="904">
        <f t="shared" si="316"/>
        <v>0</v>
      </c>
      <c r="N931" s="893">
        <f t="shared" si="317"/>
        <v>0</v>
      </c>
      <c r="O931" s="905"/>
      <c r="Q931" s="317" t="str">
        <f t="shared" si="318"/>
        <v/>
      </c>
      <c r="R931" s="317" t="str">
        <f t="shared" si="319"/>
        <v/>
      </c>
      <c r="S931" s="317" t="str">
        <f t="shared" si="320"/>
        <v/>
      </c>
      <c r="V931" s="314">
        <f>SUM('RES. CENTRAL PARK:RUA_FINAL'!N931)</f>
        <v>0</v>
      </c>
      <c r="W931" s="315">
        <f t="shared" si="322"/>
        <v>0</v>
      </c>
    </row>
    <row r="932" spans="1:23" ht="34.5" hidden="1" thickBot="1" x14ac:dyDescent="0.25">
      <c r="A932" s="63">
        <v>100582</v>
      </c>
      <c r="B932" s="895">
        <v>100582</v>
      </c>
      <c r="C932" s="896" t="s">
        <v>596</v>
      </c>
      <c r="D932" s="906" t="s">
        <v>859</v>
      </c>
      <c r="E932" s="907"/>
      <c r="F932" s="908"/>
      <c r="G932" s="912"/>
      <c r="H932" s="901">
        <v>685.15</v>
      </c>
      <c r="I932" s="901">
        <f t="shared" si="321"/>
        <v>685.15</v>
      </c>
      <c r="J932" s="902">
        <f t="shared" si="315"/>
        <v>822.66</v>
      </c>
      <c r="K932" s="903" t="s">
        <v>1516</v>
      </c>
      <c r="L932" s="904">
        <f>ROUND(SUM('RES. CENTRAL PARK:RUA_FINAL'!L932),2)</f>
        <v>0</v>
      </c>
      <c r="M932" s="904">
        <f t="shared" si="316"/>
        <v>0</v>
      </c>
      <c r="N932" s="893">
        <f t="shared" si="317"/>
        <v>0</v>
      </c>
      <c r="O932" s="905"/>
      <c r="Q932" s="317" t="str">
        <f t="shared" si="318"/>
        <v/>
      </c>
      <c r="R932" s="317" t="str">
        <f t="shared" si="319"/>
        <v/>
      </c>
      <c r="S932" s="317" t="str">
        <f t="shared" si="320"/>
        <v/>
      </c>
      <c r="V932" s="314">
        <f>SUM('RES. CENTRAL PARK:RUA_FINAL'!N932)</f>
        <v>0</v>
      </c>
      <c r="W932" s="315">
        <f t="shared" si="322"/>
        <v>0</v>
      </c>
    </row>
    <row r="933" spans="1:23" ht="34.5" hidden="1" thickBot="1" x14ac:dyDescent="0.25">
      <c r="A933" s="63">
        <v>100583</v>
      </c>
      <c r="B933" s="895">
        <v>100583</v>
      </c>
      <c r="C933" s="896" t="s">
        <v>596</v>
      </c>
      <c r="D933" s="906" t="s">
        <v>860</v>
      </c>
      <c r="E933" s="907"/>
      <c r="F933" s="908"/>
      <c r="G933" s="912"/>
      <c r="H933" s="901">
        <v>608.13</v>
      </c>
      <c r="I933" s="901">
        <f t="shared" si="321"/>
        <v>608.13</v>
      </c>
      <c r="J933" s="902">
        <f t="shared" si="315"/>
        <v>730.18</v>
      </c>
      <c r="K933" s="903" t="s">
        <v>1516</v>
      </c>
      <c r="L933" s="904">
        <f>ROUND(SUM('RES. CENTRAL PARK:RUA_FINAL'!L933),2)</f>
        <v>0</v>
      </c>
      <c r="M933" s="904">
        <f t="shared" si="316"/>
        <v>0</v>
      </c>
      <c r="N933" s="893">
        <f t="shared" si="317"/>
        <v>0</v>
      </c>
      <c r="O933" s="905"/>
      <c r="Q933" s="317" t="str">
        <f t="shared" si="318"/>
        <v/>
      </c>
      <c r="R933" s="317" t="str">
        <f t="shared" si="319"/>
        <v/>
      </c>
      <c r="S933" s="317" t="str">
        <f t="shared" si="320"/>
        <v/>
      </c>
      <c r="V933" s="314">
        <f>SUM('RES. CENTRAL PARK:RUA_FINAL'!N933)</f>
        <v>0</v>
      </c>
      <c r="W933" s="315">
        <f t="shared" si="322"/>
        <v>0</v>
      </c>
    </row>
    <row r="934" spans="1:23" ht="34.5" hidden="1" thickBot="1" x14ac:dyDescent="0.25">
      <c r="A934" s="63">
        <v>100584</v>
      </c>
      <c r="B934" s="895">
        <v>100584</v>
      </c>
      <c r="C934" s="896" t="s">
        <v>596</v>
      </c>
      <c r="D934" s="906" t="s">
        <v>861</v>
      </c>
      <c r="E934" s="907"/>
      <c r="F934" s="908"/>
      <c r="G934" s="912"/>
      <c r="H934" s="901">
        <v>670.05</v>
      </c>
      <c r="I934" s="901">
        <f t="shared" si="321"/>
        <v>670.05</v>
      </c>
      <c r="J934" s="902">
        <f t="shared" si="315"/>
        <v>804.53</v>
      </c>
      <c r="K934" s="903" t="s">
        <v>1516</v>
      </c>
      <c r="L934" s="904">
        <f>ROUND(SUM('RES. CENTRAL PARK:RUA_FINAL'!L934),2)</f>
        <v>0</v>
      </c>
      <c r="M934" s="904">
        <f t="shared" si="316"/>
        <v>0</v>
      </c>
      <c r="N934" s="893">
        <f t="shared" si="317"/>
        <v>0</v>
      </c>
      <c r="O934" s="905"/>
      <c r="Q934" s="317" t="str">
        <f t="shared" si="318"/>
        <v/>
      </c>
      <c r="R934" s="317" t="str">
        <f t="shared" si="319"/>
        <v/>
      </c>
      <c r="S934" s="317" t="str">
        <f t="shared" si="320"/>
        <v/>
      </c>
      <c r="V934" s="314">
        <f>SUM('RES. CENTRAL PARK:RUA_FINAL'!N934)</f>
        <v>0</v>
      </c>
      <c r="W934" s="315">
        <f t="shared" si="322"/>
        <v>0</v>
      </c>
    </row>
    <row r="935" spans="1:23" ht="34.5" hidden="1" thickBot="1" x14ac:dyDescent="0.25">
      <c r="A935" s="63">
        <v>100585</v>
      </c>
      <c r="B935" s="895">
        <v>100585</v>
      </c>
      <c r="C935" s="896" t="s">
        <v>596</v>
      </c>
      <c r="D935" s="906" t="s">
        <v>862</v>
      </c>
      <c r="E935" s="907"/>
      <c r="F935" s="908"/>
      <c r="G935" s="912"/>
      <c r="H935" s="901">
        <v>658.54</v>
      </c>
      <c r="I935" s="901">
        <f t="shared" si="321"/>
        <v>658.54</v>
      </c>
      <c r="J935" s="902">
        <f t="shared" si="315"/>
        <v>790.71</v>
      </c>
      <c r="K935" s="903" t="s">
        <v>1516</v>
      </c>
      <c r="L935" s="904">
        <f>ROUND(SUM('RES. CENTRAL PARK:RUA_FINAL'!L935),2)</f>
        <v>0</v>
      </c>
      <c r="M935" s="904">
        <f t="shared" si="316"/>
        <v>0</v>
      </c>
      <c r="N935" s="893">
        <f t="shared" si="317"/>
        <v>0</v>
      </c>
      <c r="O935" s="905"/>
      <c r="Q935" s="317" t="str">
        <f t="shared" si="318"/>
        <v/>
      </c>
      <c r="R935" s="317" t="str">
        <f t="shared" si="319"/>
        <v/>
      </c>
      <c r="S935" s="317" t="str">
        <f t="shared" si="320"/>
        <v/>
      </c>
      <c r="V935" s="314">
        <f>SUM('RES. CENTRAL PARK:RUA_FINAL'!N935)</f>
        <v>0</v>
      </c>
      <c r="W935" s="315">
        <f t="shared" si="322"/>
        <v>0</v>
      </c>
    </row>
    <row r="936" spans="1:23" ht="34.5" hidden="1" thickBot="1" x14ac:dyDescent="0.25">
      <c r="A936" s="63">
        <v>100586</v>
      </c>
      <c r="B936" s="895">
        <v>100586</v>
      </c>
      <c r="C936" s="896" t="s">
        <v>596</v>
      </c>
      <c r="D936" s="906" t="s">
        <v>863</v>
      </c>
      <c r="E936" s="907"/>
      <c r="F936" s="908"/>
      <c r="G936" s="912"/>
      <c r="H936" s="901">
        <v>757.16</v>
      </c>
      <c r="I936" s="901">
        <f t="shared" si="321"/>
        <v>757.16</v>
      </c>
      <c r="J936" s="902">
        <f t="shared" si="315"/>
        <v>909.12</v>
      </c>
      <c r="K936" s="903" t="s">
        <v>1516</v>
      </c>
      <c r="L936" s="904">
        <f>ROUND(SUM('RES. CENTRAL PARK:RUA_FINAL'!L936),2)</f>
        <v>0</v>
      </c>
      <c r="M936" s="904">
        <f t="shared" si="316"/>
        <v>0</v>
      </c>
      <c r="N936" s="893">
        <f t="shared" si="317"/>
        <v>0</v>
      </c>
      <c r="O936" s="905"/>
      <c r="Q936" s="317" t="str">
        <f t="shared" si="318"/>
        <v/>
      </c>
      <c r="R936" s="317" t="str">
        <f t="shared" si="319"/>
        <v/>
      </c>
      <c r="S936" s="317" t="str">
        <f t="shared" si="320"/>
        <v/>
      </c>
      <c r="V936" s="314">
        <f>SUM('RES. CENTRAL PARK:RUA_FINAL'!N936)</f>
        <v>0</v>
      </c>
      <c r="W936" s="315">
        <f t="shared" si="322"/>
        <v>0</v>
      </c>
    </row>
    <row r="937" spans="1:23" ht="34.5" hidden="1" thickBot="1" x14ac:dyDescent="0.25">
      <c r="A937" s="63">
        <v>100587</v>
      </c>
      <c r="B937" s="895">
        <v>100587</v>
      </c>
      <c r="C937" s="896" t="s">
        <v>596</v>
      </c>
      <c r="D937" s="906" t="s">
        <v>864</v>
      </c>
      <c r="E937" s="907"/>
      <c r="F937" s="908"/>
      <c r="G937" s="912"/>
      <c r="H937" s="901">
        <v>710.91</v>
      </c>
      <c r="I937" s="901">
        <f t="shared" si="321"/>
        <v>710.91</v>
      </c>
      <c r="J937" s="902">
        <f t="shared" si="315"/>
        <v>853.59</v>
      </c>
      <c r="K937" s="903" t="s">
        <v>1516</v>
      </c>
      <c r="L937" s="904">
        <f>ROUND(SUM('RES. CENTRAL PARK:RUA_FINAL'!L937),2)</f>
        <v>0</v>
      </c>
      <c r="M937" s="904">
        <f t="shared" si="316"/>
        <v>0</v>
      </c>
      <c r="N937" s="893">
        <f t="shared" si="317"/>
        <v>0</v>
      </c>
      <c r="O937" s="905"/>
      <c r="Q937" s="317" t="str">
        <f t="shared" si="318"/>
        <v/>
      </c>
      <c r="R937" s="317" t="str">
        <f t="shared" si="319"/>
        <v/>
      </c>
      <c r="S937" s="317" t="str">
        <f t="shared" si="320"/>
        <v/>
      </c>
      <c r="V937" s="314">
        <f>SUM('RES. CENTRAL PARK:RUA_FINAL'!N937)</f>
        <v>0</v>
      </c>
      <c r="W937" s="315">
        <f t="shared" si="322"/>
        <v>0</v>
      </c>
    </row>
    <row r="938" spans="1:23" ht="34.5" hidden="1" thickBot="1" x14ac:dyDescent="0.25">
      <c r="A938" s="63">
        <v>100588</v>
      </c>
      <c r="B938" s="895">
        <v>100588</v>
      </c>
      <c r="C938" s="896" t="s">
        <v>596</v>
      </c>
      <c r="D938" s="906" t="s">
        <v>865</v>
      </c>
      <c r="E938" s="907"/>
      <c r="F938" s="908"/>
      <c r="G938" s="912"/>
      <c r="H938" s="901">
        <v>787.57</v>
      </c>
      <c r="I938" s="901">
        <f t="shared" si="321"/>
        <v>787.57</v>
      </c>
      <c r="J938" s="902">
        <f t="shared" si="315"/>
        <v>945.64</v>
      </c>
      <c r="K938" s="903" t="s">
        <v>1516</v>
      </c>
      <c r="L938" s="904">
        <f>ROUND(SUM('RES. CENTRAL PARK:RUA_FINAL'!L938),2)</f>
        <v>0</v>
      </c>
      <c r="M938" s="904">
        <f t="shared" si="316"/>
        <v>0</v>
      </c>
      <c r="N938" s="893">
        <f t="shared" si="317"/>
        <v>0</v>
      </c>
      <c r="O938" s="905"/>
      <c r="Q938" s="317" t="str">
        <f t="shared" si="318"/>
        <v/>
      </c>
      <c r="R938" s="317" t="str">
        <f t="shared" si="319"/>
        <v/>
      </c>
      <c r="S938" s="317" t="str">
        <f t="shared" si="320"/>
        <v/>
      </c>
      <c r="V938" s="314">
        <f>SUM('RES. CENTRAL PARK:RUA_FINAL'!N938)</f>
        <v>0</v>
      </c>
      <c r="W938" s="315">
        <f t="shared" si="322"/>
        <v>0</v>
      </c>
    </row>
    <row r="939" spans="1:23" ht="34.5" hidden="1" thickBot="1" x14ac:dyDescent="0.25">
      <c r="A939" s="63">
        <v>100589</v>
      </c>
      <c r="B939" s="895">
        <v>100589</v>
      </c>
      <c r="C939" s="896" t="s">
        <v>596</v>
      </c>
      <c r="D939" s="906" t="s">
        <v>866</v>
      </c>
      <c r="E939" s="907"/>
      <c r="F939" s="908"/>
      <c r="G939" s="912"/>
      <c r="H939" s="901">
        <v>790.38</v>
      </c>
      <c r="I939" s="901">
        <f t="shared" si="321"/>
        <v>790.38</v>
      </c>
      <c r="J939" s="902">
        <f t="shared" si="315"/>
        <v>949.01</v>
      </c>
      <c r="K939" s="903" t="s">
        <v>1516</v>
      </c>
      <c r="L939" s="904">
        <f>ROUND(SUM('RES. CENTRAL PARK:RUA_FINAL'!L939),2)</f>
        <v>0</v>
      </c>
      <c r="M939" s="904">
        <f t="shared" si="316"/>
        <v>0</v>
      </c>
      <c r="N939" s="893">
        <f t="shared" si="317"/>
        <v>0</v>
      </c>
      <c r="O939" s="905"/>
      <c r="Q939" s="317" t="str">
        <f t="shared" si="318"/>
        <v/>
      </c>
      <c r="R939" s="317" t="str">
        <f t="shared" si="319"/>
        <v/>
      </c>
      <c r="S939" s="317" t="str">
        <f t="shared" si="320"/>
        <v/>
      </c>
      <c r="V939" s="314">
        <f>SUM('RES. CENTRAL PARK:RUA_FINAL'!N939)</f>
        <v>0</v>
      </c>
      <c r="W939" s="315">
        <f t="shared" si="322"/>
        <v>0</v>
      </c>
    </row>
    <row r="940" spans="1:23" ht="34.5" hidden="1" thickBot="1" x14ac:dyDescent="0.25">
      <c r="A940" s="63">
        <v>100590</v>
      </c>
      <c r="B940" s="895">
        <v>100590</v>
      </c>
      <c r="C940" s="896" t="s">
        <v>596</v>
      </c>
      <c r="D940" s="906" t="s">
        <v>867</v>
      </c>
      <c r="E940" s="907"/>
      <c r="F940" s="908"/>
      <c r="G940" s="912"/>
      <c r="H940" s="901">
        <v>866.24</v>
      </c>
      <c r="I940" s="901">
        <f t="shared" si="321"/>
        <v>866.24</v>
      </c>
      <c r="J940" s="902">
        <f t="shared" si="315"/>
        <v>1040.0899999999999</v>
      </c>
      <c r="K940" s="903" t="s">
        <v>1516</v>
      </c>
      <c r="L940" s="904">
        <f>ROUND(SUM('RES. CENTRAL PARK:RUA_FINAL'!L940),2)</f>
        <v>0</v>
      </c>
      <c r="M940" s="904">
        <f t="shared" si="316"/>
        <v>0</v>
      </c>
      <c r="N940" s="893">
        <f t="shared" si="317"/>
        <v>0</v>
      </c>
      <c r="O940" s="905"/>
      <c r="Q940" s="317" t="str">
        <f t="shared" si="318"/>
        <v/>
      </c>
      <c r="R940" s="317" t="str">
        <f t="shared" si="319"/>
        <v/>
      </c>
      <c r="S940" s="317" t="str">
        <f t="shared" si="320"/>
        <v/>
      </c>
      <c r="V940" s="314">
        <f>SUM('RES. CENTRAL PARK:RUA_FINAL'!N940)</f>
        <v>0</v>
      </c>
      <c r="W940" s="315">
        <f t="shared" si="322"/>
        <v>0</v>
      </c>
    </row>
    <row r="941" spans="1:23" ht="34.5" hidden="1" thickBot="1" x14ac:dyDescent="0.25">
      <c r="A941" s="63">
        <v>100591</v>
      </c>
      <c r="B941" s="895">
        <v>100591</v>
      </c>
      <c r="C941" s="896" t="s">
        <v>596</v>
      </c>
      <c r="D941" s="906" t="s">
        <v>868</v>
      </c>
      <c r="E941" s="907"/>
      <c r="F941" s="908"/>
      <c r="G941" s="912"/>
      <c r="H941" s="901">
        <v>783.32</v>
      </c>
      <c r="I941" s="901">
        <f t="shared" si="321"/>
        <v>783.32</v>
      </c>
      <c r="J941" s="902">
        <f t="shared" si="315"/>
        <v>940.53</v>
      </c>
      <c r="K941" s="903" t="s">
        <v>1516</v>
      </c>
      <c r="L941" s="904">
        <f>ROUND(SUM('RES. CENTRAL PARK:RUA_FINAL'!L941),2)</f>
        <v>0</v>
      </c>
      <c r="M941" s="904">
        <f t="shared" si="316"/>
        <v>0</v>
      </c>
      <c r="N941" s="893">
        <f t="shared" si="317"/>
        <v>0</v>
      </c>
      <c r="O941" s="905"/>
      <c r="Q941" s="317" t="str">
        <f t="shared" si="318"/>
        <v/>
      </c>
      <c r="R941" s="317" t="str">
        <f t="shared" si="319"/>
        <v/>
      </c>
      <c r="S941" s="317" t="str">
        <f t="shared" si="320"/>
        <v/>
      </c>
      <c r="V941" s="314">
        <f>SUM('RES. CENTRAL PARK:RUA_FINAL'!N941)</f>
        <v>0</v>
      </c>
      <c r="W941" s="315">
        <f t="shared" si="322"/>
        <v>0</v>
      </c>
    </row>
    <row r="942" spans="1:23" ht="34.5" hidden="1" thickBot="1" x14ac:dyDescent="0.25">
      <c r="A942" s="63">
        <v>100592</v>
      </c>
      <c r="B942" s="895">
        <v>100592</v>
      </c>
      <c r="C942" s="896" t="s">
        <v>596</v>
      </c>
      <c r="D942" s="906" t="s">
        <v>869</v>
      </c>
      <c r="E942" s="907"/>
      <c r="F942" s="908"/>
      <c r="G942" s="912"/>
      <c r="H942" s="901">
        <v>846.16</v>
      </c>
      <c r="I942" s="901">
        <f t="shared" si="321"/>
        <v>846.16</v>
      </c>
      <c r="J942" s="902">
        <f t="shared" si="315"/>
        <v>1015.98</v>
      </c>
      <c r="K942" s="903" t="s">
        <v>1516</v>
      </c>
      <c r="L942" s="904">
        <f>ROUND(SUM('RES. CENTRAL PARK:RUA_FINAL'!L942),2)</f>
        <v>0</v>
      </c>
      <c r="M942" s="904">
        <f t="shared" si="316"/>
        <v>0</v>
      </c>
      <c r="N942" s="893">
        <f t="shared" si="317"/>
        <v>0</v>
      </c>
      <c r="O942" s="905"/>
      <c r="Q942" s="317" t="str">
        <f t="shared" si="318"/>
        <v/>
      </c>
      <c r="R942" s="317" t="str">
        <f t="shared" si="319"/>
        <v/>
      </c>
      <c r="S942" s="317" t="str">
        <f t="shared" si="320"/>
        <v/>
      </c>
      <c r="V942" s="314">
        <f>SUM('RES. CENTRAL PARK:RUA_FINAL'!N942)</f>
        <v>0</v>
      </c>
      <c r="W942" s="315">
        <f t="shared" si="322"/>
        <v>0</v>
      </c>
    </row>
    <row r="943" spans="1:23" ht="34.5" hidden="1" thickBot="1" x14ac:dyDescent="0.25">
      <c r="A943" s="63">
        <v>100593</v>
      </c>
      <c r="B943" s="895">
        <v>100593</v>
      </c>
      <c r="C943" s="896" t="s">
        <v>596</v>
      </c>
      <c r="D943" s="906" t="s">
        <v>870</v>
      </c>
      <c r="E943" s="907"/>
      <c r="F943" s="908"/>
      <c r="G943" s="912"/>
      <c r="H943" s="901">
        <v>839.13</v>
      </c>
      <c r="I943" s="901">
        <f t="shared" si="321"/>
        <v>839.13</v>
      </c>
      <c r="J943" s="902">
        <f t="shared" si="315"/>
        <v>1007.54</v>
      </c>
      <c r="K943" s="903" t="s">
        <v>1516</v>
      </c>
      <c r="L943" s="904">
        <f>ROUND(SUM('RES. CENTRAL PARK:RUA_FINAL'!L943),2)</f>
        <v>0</v>
      </c>
      <c r="M943" s="904">
        <f t="shared" si="316"/>
        <v>0</v>
      </c>
      <c r="N943" s="893">
        <f t="shared" si="317"/>
        <v>0</v>
      </c>
      <c r="O943" s="905"/>
      <c r="Q943" s="317" t="str">
        <f t="shared" si="318"/>
        <v/>
      </c>
      <c r="R943" s="317" t="str">
        <f t="shared" si="319"/>
        <v/>
      </c>
      <c r="S943" s="317" t="str">
        <f t="shared" si="320"/>
        <v/>
      </c>
      <c r="V943" s="314">
        <f>SUM('RES. CENTRAL PARK:RUA_FINAL'!N943)</f>
        <v>0</v>
      </c>
      <c r="W943" s="315">
        <f t="shared" si="322"/>
        <v>0</v>
      </c>
    </row>
    <row r="944" spans="1:23" ht="34.5" hidden="1" thickBot="1" x14ac:dyDescent="0.25">
      <c r="A944" s="63">
        <v>100594</v>
      </c>
      <c r="B944" s="895">
        <v>100594</v>
      </c>
      <c r="C944" s="896" t="s">
        <v>596</v>
      </c>
      <c r="D944" s="906" t="s">
        <v>871</v>
      </c>
      <c r="E944" s="907"/>
      <c r="F944" s="908"/>
      <c r="G944" s="912"/>
      <c r="H944" s="901">
        <v>945.58</v>
      </c>
      <c r="I944" s="901">
        <f t="shared" si="321"/>
        <v>945.58</v>
      </c>
      <c r="J944" s="902">
        <f t="shared" si="315"/>
        <v>1135.3599999999999</v>
      </c>
      <c r="K944" s="903" t="s">
        <v>1516</v>
      </c>
      <c r="L944" s="904">
        <f>ROUND(SUM('RES. CENTRAL PARK:RUA_FINAL'!L944),2)</f>
        <v>0</v>
      </c>
      <c r="M944" s="904">
        <f t="shared" si="316"/>
        <v>0</v>
      </c>
      <c r="N944" s="893">
        <f t="shared" si="317"/>
        <v>0</v>
      </c>
      <c r="O944" s="905"/>
      <c r="Q944" s="317" t="str">
        <f t="shared" si="318"/>
        <v/>
      </c>
      <c r="R944" s="317" t="str">
        <f t="shared" si="319"/>
        <v/>
      </c>
      <c r="S944" s="317" t="str">
        <f t="shared" si="320"/>
        <v/>
      </c>
      <c r="V944" s="314">
        <f>SUM('RES. CENTRAL PARK:RUA_FINAL'!N944)</f>
        <v>0</v>
      </c>
      <c r="W944" s="315">
        <f t="shared" si="322"/>
        <v>0</v>
      </c>
    </row>
    <row r="945" spans="1:23" ht="34.5" hidden="1" thickBot="1" x14ac:dyDescent="0.25">
      <c r="A945" s="63">
        <v>100595</v>
      </c>
      <c r="B945" s="895">
        <v>100595</v>
      </c>
      <c r="C945" s="896" t="s">
        <v>596</v>
      </c>
      <c r="D945" s="906" t="s">
        <v>872</v>
      </c>
      <c r="E945" s="907"/>
      <c r="F945" s="908"/>
      <c r="G945" s="912"/>
      <c r="H945" s="901">
        <v>1006.57</v>
      </c>
      <c r="I945" s="901">
        <f t="shared" si="321"/>
        <v>1006.57</v>
      </c>
      <c r="J945" s="902">
        <f t="shared" si="315"/>
        <v>1208.5899999999999</v>
      </c>
      <c r="K945" s="903" t="s">
        <v>1516</v>
      </c>
      <c r="L945" s="904">
        <f>ROUND(SUM('RES. CENTRAL PARK:RUA_FINAL'!L945),2)</f>
        <v>0</v>
      </c>
      <c r="M945" s="904">
        <f t="shared" si="316"/>
        <v>0</v>
      </c>
      <c r="N945" s="893">
        <f t="shared" si="317"/>
        <v>0</v>
      </c>
      <c r="O945" s="905"/>
      <c r="Q945" s="317" t="str">
        <f t="shared" si="318"/>
        <v/>
      </c>
      <c r="R945" s="317" t="str">
        <f t="shared" si="319"/>
        <v/>
      </c>
      <c r="S945" s="317" t="str">
        <f t="shared" si="320"/>
        <v/>
      </c>
      <c r="V945" s="314">
        <f>SUM('RES. CENTRAL PARK:RUA_FINAL'!N945)</f>
        <v>0</v>
      </c>
      <c r="W945" s="315">
        <f t="shared" si="322"/>
        <v>0</v>
      </c>
    </row>
    <row r="946" spans="1:23" ht="34.5" hidden="1" thickBot="1" x14ac:dyDescent="0.25">
      <c r="A946" s="63">
        <v>100596</v>
      </c>
      <c r="B946" s="895">
        <v>100596</v>
      </c>
      <c r="C946" s="896" t="s">
        <v>596</v>
      </c>
      <c r="D946" s="906" t="s">
        <v>873</v>
      </c>
      <c r="E946" s="907"/>
      <c r="F946" s="908"/>
      <c r="G946" s="912"/>
      <c r="H946" s="901">
        <v>1150.1199999999999</v>
      </c>
      <c r="I946" s="901">
        <f t="shared" si="321"/>
        <v>1150.1199999999999</v>
      </c>
      <c r="J946" s="902">
        <f t="shared" si="315"/>
        <v>1380.95</v>
      </c>
      <c r="K946" s="903" t="s">
        <v>1516</v>
      </c>
      <c r="L946" s="904">
        <f>ROUND(SUM('RES. CENTRAL PARK:RUA_FINAL'!L946),2)</f>
        <v>0</v>
      </c>
      <c r="M946" s="904">
        <f t="shared" si="316"/>
        <v>0</v>
      </c>
      <c r="N946" s="893">
        <f t="shared" si="317"/>
        <v>0</v>
      </c>
      <c r="O946" s="905"/>
      <c r="Q946" s="317" t="str">
        <f t="shared" si="318"/>
        <v/>
      </c>
      <c r="R946" s="317" t="str">
        <f t="shared" si="319"/>
        <v/>
      </c>
      <c r="S946" s="317" t="str">
        <f t="shared" si="320"/>
        <v/>
      </c>
      <c r="V946" s="314">
        <f>SUM('RES. CENTRAL PARK:RUA_FINAL'!N946)</f>
        <v>0</v>
      </c>
      <c r="W946" s="315">
        <f t="shared" si="322"/>
        <v>0</v>
      </c>
    </row>
    <row r="947" spans="1:23" ht="34.5" hidden="1" thickBot="1" x14ac:dyDescent="0.25">
      <c r="A947" s="63">
        <v>100597</v>
      </c>
      <c r="B947" s="895">
        <v>100597</v>
      </c>
      <c r="C947" s="896" t="s">
        <v>596</v>
      </c>
      <c r="D947" s="906" t="s">
        <v>874</v>
      </c>
      <c r="E947" s="907"/>
      <c r="F947" s="908"/>
      <c r="G947" s="912"/>
      <c r="H947" s="901">
        <v>1167.05</v>
      </c>
      <c r="I947" s="901">
        <f t="shared" si="321"/>
        <v>1167.05</v>
      </c>
      <c r="J947" s="902">
        <f t="shared" si="315"/>
        <v>1401.28</v>
      </c>
      <c r="K947" s="903" t="s">
        <v>1516</v>
      </c>
      <c r="L947" s="904">
        <f>ROUND(SUM('RES. CENTRAL PARK:RUA_FINAL'!L947),2)</f>
        <v>0</v>
      </c>
      <c r="M947" s="904">
        <f t="shared" si="316"/>
        <v>0</v>
      </c>
      <c r="N947" s="893">
        <f t="shared" si="317"/>
        <v>0</v>
      </c>
      <c r="O947" s="905"/>
      <c r="Q947" s="317" t="str">
        <f t="shared" si="318"/>
        <v/>
      </c>
      <c r="R947" s="317" t="str">
        <f t="shared" si="319"/>
        <v/>
      </c>
      <c r="S947" s="317" t="str">
        <f t="shared" si="320"/>
        <v/>
      </c>
      <c r="V947" s="314">
        <f>SUM('RES. CENTRAL PARK:RUA_FINAL'!N947)</f>
        <v>0</v>
      </c>
      <c r="W947" s="315">
        <f t="shared" si="322"/>
        <v>0</v>
      </c>
    </row>
    <row r="948" spans="1:23" ht="34.5" hidden="1" thickBot="1" x14ac:dyDescent="0.25">
      <c r="A948" s="63">
        <v>100598</v>
      </c>
      <c r="B948" s="895">
        <v>100598</v>
      </c>
      <c r="C948" s="896" t="s">
        <v>596</v>
      </c>
      <c r="D948" s="906" t="s">
        <v>875</v>
      </c>
      <c r="E948" s="907"/>
      <c r="F948" s="908"/>
      <c r="G948" s="912"/>
      <c r="H948" s="901">
        <v>1285.3900000000001</v>
      </c>
      <c r="I948" s="901">
        <f t="shared" si="321"/>
        <v>1285.3900000000001</v>
      </c>
      <c r="J948" s="902">
        <f t="shared" si="315"/>
        <v>1543.37</v>
      </c>
      <c r="K948" s="903" t="s">
        <v>1516</v>
      </c>
      <c r="L948" s="904">
        <f>ROUND(SUM('RES. CENTRAL PARK:RUA_FINAL'!L948),2)</f>
        <v>0</v>
      </c>
      <c r="M948" s="904">
        <f t="shared" si="316"/>
        <v>0</v>
      </c>
      <c r="N948" s="893">
        <f t="shared" si="317"/>
        <v>0</v>
      </c>
      <c r="O948" s="905"/>
      <c r="Q948" s="317" t="str">
        <f t="shared" si="318"/>
        <v/>
      </c>
      <c r="R948" s="317" t="str">
        <f t="shared" si="319"/>
        <v/>
      </c>
      <c r="S948" s="317" t="str">
        <f t="shared" si="320"/>
        <v/>
      </c>
      <c r="V948" s="314">
        <f>SUM('RES. CENTRAL PARK:RUA_FINAL'!N948)</f>
        <v>0</v>
      </c>
      <c r="W948" s="315">
        <f t="shared" si="322"/>
        <v>0</v>
      </c>
    </row>
    <row r="949" spans="1:23" ht="34.5" hidden="1" thickBot="1" x14ac:dyDescent="0.25">
      <c r="A949" s="63">
        <v>100599</v>
      </c>
      <c r="B949" s="895">
        <v>100599</v>
      </c>
      <c r="C949" s="896" t="s">
        <v>596</v>
      </c>
      <c r="D949" s="906" t="s">
        <v>876</v>
      </c>
      <c r="E949" s="907"/>
      <c r="F949" s="908"/>
      <c r="G949" s="912"/>
      <c r="H949" s="901">
        <v>516.86</v>
      </c>
      <c r="I949" s="901">
        <f t="shared" si="321"/>
        <v>516.86</v>
      </c>
      <c r="J949" s="902">
        <f t="shared" si="315"/>
        <v>620.59</v>
      </c>
      <c r="K949" s="903" t="s">
        <v>1516</v>
      </c>
      <c r="L949" s="904">
        <f>ROUND(SUM('RES. CENTRAL PARK:RUA_FINAL'!L949),2)</f>
        <v>0</v>
      </c>
      <c r="M949" s="904">
        <f t="shared" si="316"/>
        <v>0</v>
      </c>
      <c r="N949" s="893">
        <f t="shared" si="317"/>
        <v>0</v>
      </c>
      <c r="O949" s="905"/>
      <c r="Q949" s="317" t="str">
        <f t="shared" si="318"/>
        <v/>
      </c>
      <c r="R949" s="317" t="str">
        <f t="shared" si="319"/>
        <v/>
      </c>
      <c r="S949" s="317" t="str">
        <f t="shared" si="320"/>
        <v/>
      </c>
      <c r="V949" s="314">
        <f>SUM('RES. CENTRAL PARK:RUA_FINAL'!N949)</f>
        <v>0</v>
      </c>
      <c r="W949" s="315">
        <f t="shared" si="322"/>
        <v>0</v>
      </c>
    </row>
    <row r="950" spans="1:23" ht="34.5" hidden="1" thickBot="1" x14ac:dyDescent="0.25">
      <c r="A950" s="63">
        <v>100600</v>
      </c>
      <c r="B950" s="895">
        <v>100600</v>
      </c>
      <c r="C950" s="896" t="s">
        <v>596</v>
      </c>
      <c r="D950" s="906" t="s">
        <v>877</v>
      </c>
      <c r="E950" s="907"/>
      <c r="F950" s="908"/>
      <c r="G950" s="912"/>
      <c r="H950" s="901">
        <v>613.13</v>
      </c>
      <c r="I950" s="901">
        <f t="shared" si="321"/>
        <v>613.13</v>
      </c>
      <c r="J950" s="902">
        <f t="shared" si="315"/>
        <v>736.19</v>
      </c>
      <c r="K950" s="903" t="s">
        <v>1516</v>
      </c>
      <c r="L950" s="904">
        <f>ROUND(SUM('RES. CENTRAL PARK:RUA_FINAL'!L950),2)</f>
        <v>0</v>
      </c>
      <c r="M950" s="904">
        <f t="shared" si="316"/>
        <v>0</v>
      </c>
      <c r="N950" s="893">
        <f t="shared" si="317"/>
        <v>0</v>
      </c>
      <c r="O950" s="905"/>
      <c r="Q950" s="317" t="str">
        <f t="shared" si="318"/>
        <v/>
      </c>
      <c r="R950" s="317" t="str">
        <f t="shared" si="319"/>
        <v/>
      </c>
      <c r="S950" s="317" t="str">
        <f t="shared" si="320"/>
        <v/>
      </c>
      <c r="V950" s="314">
        <f>SUM('RES. CENTRAL PARK:RUA_FINAL'!N950)</f>
        <v>0</v>
      </c>
      <c r="W950" s="315">
        <f t="shared" si="322"/>
        <v>0</v>
      </c>
    </row>
    <row r="951" spans="1:23" ht="34.5" hidden="1" thickBot="1" x14ac:dyDescent="0.25">
      <c r="A951" s="63">
        <v>100601</v>
      </c>
      <c r="B951" s="895">
        <v>100601</v>
      </c>
      <c r="C951" s="896" t="s">
        <v>596</v>
      </c>
      <c r="D951" s="906" t="s">
        <v>878</v>
      </c>
      <c r="E951" s="907"/>
      <c r="F951" s="908"/>
      <c r="G951" s="912"/>
      <c r="H951" s="901">
        <v>772.56</v>
      </c>
      <c r="I951" s="901">
        <f t="shared" si="321"/>
        <v>772.56</v>
      </c>
      <c r="J951" s="902">
        <f t="shared" si="315"/>
        <v>927.61</v>
      </c>
      <c r="K951" s="903" t="s">
        <v>1516</v>
      </c>
      <c r="L951" s="904">
        <f>ROUND(SUM('RES. CENTRAL PARK:RUA_FINAL'!L951),2)</f>
        <v>0</v>
      </c>
      <c r="M951" s="904">
        <f t="shared" si="316"/>
        <v>0</v>
      </c>
      <c r="N951" s="893">
        <f t="shared" si="317"/>
        <v>0</v>
      </c>
      <c r="O951" s="905"/>
      <c r="Q951" s="317" t="str">
        <f t="shared" si="318"/>
        <v/>
      </c>
      <c r="R951" s="317" t="str">
        <f t="shared" si="319"/>
        <v/>
      </c>
      <c r="S951" s="317" t="str">
        <f t="shared" si="320"/>
        <v/>
      </c>
      <c r="V951" s="314">
        <f>SUM('RES. CENTRAL PARK:RUA_FINAL'!N951)</f>
        <v>0</v>
      </c>
      <c r="W951" s="315">
        <f t="shared" si="322"/>
        <v>0</v>
      </c>
    </row>
    <row r="952" spans="1:23" ht="34.5" hidden="1" thickBot="1" x14ac:dyDescent="0.25">
      <c r="A952" s="63">
        <v>100602</v>
      </c>
      <c r="B952" s="895">
        <v>100602</v>
      </c>
      <c r="C952" s="896" t="s">
        <v>596</v>
      </c>
      <c r="D952" s="906" t="s">
        <v>879</v>
      </c>
      <c r="E952" s="907"/>
      <c r="F952" s="908"/>
      <c r="G952" s="912"/>
      <c r="H952" s="901">
        <v>971.46</v>
      </c>
      <c r="I952" s="901">
        <f t="shared" si="321"/>
        <v>971.46</v>
      </c>
      <c r="J952" s="902">
        <f t="shared" si="315"/>
        <v>1166.43</v>
      </c>
      <c r="K952" s="903" t="s">
        <v>1516</v>
      </c>
      <c r="L952" s="904">
        <f>ROUND(SUM('RES. CENTRAL PARK:RUA_FINAL'!L952),2)</f>
        <v>0</v>
      </c>
      <c r="M952" s="904">
        <f t="shared" si="316"/>
        <v>0</v>
      </c>
      <c r="N952" s="893">
        <f t="shared" si="317"/>
        <v>0</v>
      </c>
      <c r="O952" s="905"/>
      <c r="Q952" s="317" t="str">
        <f t="shared" si="318"/>
        <v/>
      </c>
      <c r="R952" s="317" t="str">
        <f t="shared" si="319"/>
        <v/>
      </c>
      <c r="S952" s="317" t="str">
        <f t="shared" si="320"/>
        <v/>
      </c>
      <c r="V952" s="314">
        <f>SUM('RES. CENTRAL PARK:RUA_FINAL'!N952)</f>
        <v>0</v>
      </c>
      <c r="W952" s="315">
        <f t="shared" si="322"/>
        <v>0</v>
      </c>
    </row>
    <row r="953" spans="1:23" ht="34.5" hidden="1" thickBot="1" x14ac:dyDescent="0.25">
      <c r="A953" s="63">
        <v>100603</v>
      </c>
      <c r="B953" s="895">
        <v>100603</v>
      </c>
      <c r="C953" s="896" t="s">
        <v>596</v>
      </c>
      <c r="D953" s="906" t="s">
        <v>880</v>
      </c>
      <c r="E953" s="907"/>
      <c r="F953" s="908"/>
      <c r="G953" s="912"/>
      <c r="H953" s="901">
        <v>1484.28</v>
      </c>
      <c r="I953" s="901">
        <f t="shared" si="321"/>
        <v>1484.28</v>
      </c>
      <c r="J953" s="902">
        <f t="shared" si="315"/>
        <v>1782.17</v>
      </c>
      <c r="K953" s="903" t="s">
        <v>1516</v>
      </c>
      <c r="L953" s="904">
        <f>ROUND(SUM('RES. CENTRAL PARK:RUA_FINAL'!L953),2)</f>
        <v>0</v>
      </c>
      <c r="M953" s="904">
        <f t="shared" si="316"/>
        <v>0</v>
      </c>
      <c r="N953" s="893">
        <f t="shared" si="317"/>
        <v>0</v>
      </c>
      <c r="O953" s="905"/>
      <c r="Q953" s="317" t="str">
        <f t="shared" si="318"/>
        <v/>
      </c>
      <c r="R953" s="317" t="str">
        <f t="shared" si="319"/>
        <v/>
      </c>
      <c r="S953" s="317" t="str">
        <f t="shared" si="320"/>
        <v/>
      </c>
      <c r="V953" s="314">
        <f>SUM('RES. CENTRAL PARK:RUA_FINAL'!N953)</f>
        <v>0</v>
      </c>
      <c r="W953" s="315">
        <f t="shared" si="322"/>
        <v>0</v>
      </c>
    </row>
    <row r="954" spans="1:23" ht="34.5" hidden="1" thickBot="1" x14ac:dyDescent="0.25">
      <c r="A954" s="63">
        <v>100604</v>
      </c>
      <c r="B954" s="895">
        <v>100604</v>
      </c>
      <c r="C954" s="896" t="s">
        <v>596</v>
      </c>
      <c r="D954" s="906" t="s">
        <v>881</v>
      </c>
      <c r="E954" s="907"/>
      <c r="F954" s="908"/>
      <c r="G954" s="912"/>
      <c r="H954" s="901">
        <v>652.23</v>
      </c>
      <c r="I954" s="901">
        <f t="shared" si="321"/>
        <v>652.23</v>
      </c>
      <c r="J954" s="902">
        <f t="shared" si="315"/>
        <v>783.13</v>
      </c>
      <c r="K954" s="903" t="s">
        <v>1516</v>
      </c>
      <c r="L954" s="904">
        <f>ROUND(SUM('RES. CENTRAL PARK:RUA_FINAL'!L954),2)</f>
        <v>0</v>
      </c>
      <c r="M954" s="904">
        <f t="shared" si="316"/>
        <v>0</v>
      </c>
      <c r="N954" s="893">
        <f t="shared" si="317"/>
        <v>0</v>
      </c>
      <c r="O954" s="905"/>
      <c r="Q954" s="317" t="str">
        <f t="shared" si="318"/>
        <v/>
      </c>
      <c r="R954" s="317" t="str">
        <f t="shared" si="319"/>
        <v/>
      </c>
      <c r="S954" s="317" t="str">
        <f t="shared" si="320"/>
        <v/>
      </c>
      <c r="V954" s="314">
        <f>SUM('RES. CENTRAL PARK:RUA_FINAL'!N954)</f>
        <v>0</v>
      </c>
      <c r="W954" s="315">
        <f t="shared" si="322"/>
        <v>0</v>
      </c>
    </row>
    <row r="955" spans="1:23" ht="34.5" hidden="1" thickBot="1" x14ac:dyDescent="0.25">
      <c r="A955" s="63">
        <v>100605</v>
      </c>
      <c r="B955" s="895">
        <v>100605</v>
      </c>
      <c r="C955" s="896" t="s">
        <v>596</v>
      </c>
      <c r="D955" s="906" t="s">
        <v>882</v>
      </c>
      <c r="E955" s="907"/>
      <c r="F955" s="908"/>
      <c r="G955" s="912"/>
      <c r="H955" s="901">
        <v>1021.11</v>
      </c>
      <c r="I955" s="901">
        <f t="shared" si="321"/>
        <v>1021.11</v>
      </c>
      <c r="J955" s="902">
        <f t="shared" si="315"/>
        <v>1226.05</v>
      </c>
      <c r="K955" s="903" t="s">
        <v>1516</v>
      </c>
      <c r="L955" s="904">
        <f>ROUND(SUM('RES. CENTRAL PARK:RUA_FINAL'!L955),2)</f>
        <v>0</v>
      </c>
      <c r="M955" s="904">
        <f t="shared" si="316"/>
        <v>0</v>
      </c>
      <c r="N955" s="893">
        <f t="shared" si="317"/>
        <v>0</v>
      </c>
      <c r="O955" s="905"/>
      <c r="Q955" s="317" t="str">
        <f t="shared" si="318"/>
        <v/>
      </c>
      <c r="R955" s="317" t="str">
        <f t="shared" si="319"/>
        <v/>
      </c>
      <c r="S955" s="317" t="str">
        <f t="shared" si="320"/>
        <v/>
      </c>
      <c r="V955" s="314">
        <f>SUM('RES. CENTRAL PARK:RUA_FINAL'!N955)</f>
        <v>0</v>
      </c>
      <c r="W955" s="315">
        <f t="shared" si="322"/>
        <v>0</v>
      </c>
    </row>
    <row r="956" spans="1:23" ht="34.5" hidden="1" thickBot="1" x14ac:dyDescent="0.25">
      <c r="A956" s="63">
        <v>100606</v>
      </c>
      <c r="B956" s="895">
        <v>100606</v>
      </c>
      <c r="C956" s="896" t="s">
        <v>596</v>
      </c>
      <c r="D956" s="906" t="s">
        <v>883</v>
      </c>
      <c r="E956" s="907"/>
      <c r="F956" s="908"/>
      <c r="G956" s="912"/>
      <c r="H956" s="901">
        <v>1547.64</v>
      </c>
      <c r="I956" s="901">
        <f t="shared" si="321"/>
        <v>1547.64</v>
      </c>
      <c r="J956" s="902">
        <f t="shared" si="315"/>
        <v>1858.25</v>
      </c>
      <c r="K956" s="903" t="s">
        <v>1516</v>
      </c>
      <c r="L956" s="904">
        <f>ROUND(SUM('RES. CENTRAL PARK:RUA_FINAL'!L956),2)</f>
        <v>0</v>
      </c>
      <c r="M956" s="904">
        <f t="shared" si="316"/>
        <v>0</v>
      </c>
      <c r="N956" s="893">
        <f t="shared" si="317"/>
        <v>0</v>
      </c>
      <c r="O956" s="905"/>
      <c r="Q956" s="317" t="str">
        <f t="shared" si="318"/>
        <v/>
      </c>
      <c r="R956" s="317" t="str">
        <f t="shared" si="319"/>
        <v/>
      </c>
      <c r="S956" s="317" t="str">
        <f t="shared" si="320"/>
        <v/>
      </c>
      <c r="V956" s="314">
        <f>SUM('RES. CENTRAL PARK:RUA_FINAL'!N956)</f>
        <v>0</v>
      </c>
      <c r="W956" s="315">
        <f t="shared" si="322"/>
        <v>0</v>
      </c>
    </row>
    <row r="957" spans="1:23" ht="34.5" hidden="1" thickBot="1" x14ac:dyDescent="0.25">
      <c r="A957" s="63">
        <v>100607</v>
      </c>
      <c r="B957" s="895">
        <v>100607</v>
      </c>
      <c r="C957" s="896" t="s">
        <v>596</v>
      </c>
      <c r="D957" s="906" t="s">
        <v>884</v>
      </c>
      <c r="E957" s="907"/>
      <c r="F957" s="908"/>
      <c r="G957" s="912"/>
      <c r="H957" s="901">
        <v>670.9</v>
      </c>
      <c r="I957" s="901">
        <f t="shared" si="321"/>
        <v>670.9</v>
      </c>
      <c r="J957" s="902">
        <f t="shared" si="315"/>
        <v>805.55</v>
      </c>
      <c r="K957" s="903" t="s">
        <v>1516</v>
      </c>
      <c r="L957" s="904">
        <f>ROUND(SUM('RES. CENTRAL PARK:RUA_FINAL'!L957),2)</f>
        <v>0</v>
      </c>
      <c r="M957" s="904">
        <f t="shared" si="316"/>
        <v>0</v>
      </c>
      <c r="N957" s="893">
        <f t="shared" si="317"/>
        <v>0</v>
      </c>
      <c r="O957" s="905"/>
      <c r="Q957" s="317" t="str">
        <f t="shared" si="318"/>
        <v/>
      </c>
      <c r="R957" s="317" t="str">
        <f t="shared" si="319"/>
        <v/>
      </c>
      <c r="S957" s="317" t="str">
        <f t="shared" si="320"/>
        <v/>
      </c>
      <c r="V957" s="314">
        <f>SUM('RES. CENTRAL PARK:RUA_FINAL'!N957)</f>
        <v>0</v>
      </c>
      <c r="W957" s="315">
        <f t="shared" si="322"/>
        <v>0</v>
      </c>
    </row>
    <row r="958" spans="1:23" ht="34.5" hidden="1" thickBot="1" x14ac:dyDescent="0.25">
      <c r="A958" s="63">
        <v>100608</v>
      </c>
      <c r="B958" s="895">
        <v>100608</v>
      </c>
      <c r="C958" s="896" t="s">
        <v>596</v>
      </c>
      <c r="D958" s="906" t="s">
        <v>885</v>
      </c>
      <c r="E958" s="907"/>
      <c r="F958" s="908"/>
      <c r="G958" s="912"/>
      <c r="H958" s="901">
        <v>1045.5899999999999</v>
      </c>
      <c r="I958" s="901">
        <f t="shared" si="321"/>
        <v>1045.5899999999999</v>
      </c>
      <c r="J958" s="902">
        <f t="shared" si="315"/>
        <v>1255.44</v>
      </c>
      <c r="K958" s="903" t="s">
        <v>1516</v>
      </c>
      <c r="L958" s="904">
        <f>ROUND(SUM('RES. CENTRAL PARK:RUA_FINAL'!L958),2)</f>
        <v>0</v>
      </c>
      <c r="M958" s="904">
        <f t="shared" si="316"/>
        <v>0</v>
      </c>
      <c r="N958" s="893">
        <f t="shared" si="317"/>
        <v>0</v>
      </c>
      <c r="O958" s="905"/>
      <c r="Q958" s="317" t="str">
        <f t="shared" si="318"/>
        <v/>
      </c>
      <c r="R958" s="317" t="str">
        <f t="shared" si="319"/>
        <v/>
      </c>
      <c r="S958" s="317" t="str">
        <f t="shared" si="320"/>
        <v/>
      </c>
      <c r="V958" s="314">
        <f>SUM('RES. CENTRAL PARK:RUA_FINAL'!N958)</f>
        <v>0</v>
      </c>
      <c r="W958" s="315">
        <f t="shared" si="322"/>
        <v>0</v>
      </c>
    </row>
    <row r="959" spans="1:23" ht="34.5" hidden="1" thickBot="1" x14ac:dyDescent="0.25">
      <c r="A959" s="63">
        <v>100609</v>
      </c>
      <c r="B959" s="895">
        <v>100609</v>
      </c>
      <c r="C959" s="896" t="s">
        <v>596</v>
      </c>
      <c r="D959" s="906" t="s">
        <v>886</v>
      </c>
      <c r="E959" s="907"/>
      <c r="F959" s="908"/>
      <c r="G959" s="912"/>
      <c r="H959" s="901">
        <v>1581.56</v>
      </c>
      <c r="I959" s="901">
        <f t="shared" si="321"/>
        <v>1581.56</v>
      </c>
      <c r="J959" s="902">
        <f t="shared" si="315"/>
        <v>1898.98</v>
      </c>
      <c r="K959" s="903" t="s">
        <v>1516</v>
      </c>
      <c r="L959" s="904">
        <f>ROUND(SUM('RES. CENTRAL PARK:RUA_FINAL'!L959),2)</f>
        <v>0</v>
      </c>
      <c r="M959" s="904">
        <f t="shared" si="316"/>
        <v>0</v>
      </c>
      <c r="N959" s="893">
        <f t="shared" si="317"/>
        <v>0</v>
      </c>
      <c r="O959" s="905"/>
      <c r="Q959" s="317" t="str">
        <f t="shared" si="318"/>
        <v/>
      </c>
      <c r="R959" s="317" t="str">
        <f t="shared" si="319"/>
        <v/>
      </c>
      <c r="S959" s="317" t="str">
        <f t="shared" si="320"/>
        <v/>
      </c>
      <c r="V959" s="314">
        <f>SUM('RES. CENTRAL PARK:RUA_FINAL'!N959)</f>
        <v>0</v>
      </c>
      <c r="W959" s="315">
        <f t="shared" si="322"/>
        <v>0</v>
      </c>
    </row>
    <row r="960" spans="1:23" ht="34.5" hidden="1" thickBot="1" x14ac:dyDescent="0.25">
      <c r="A960" s="63">
        <v>100610</v>
      </c>
      <c r="B960" s="895">
        <v>100610</v>
      </c>
      <c r="C960" s="896" t="s">
        <v>596</v>
      </c>
      <c r="D960" s="906" t="s">
        <v>887</v>
      </c>
      <c r="E960" s="907"/>
      <c r="F960" s="908"/>
      <c r="G960" s="912"/>
      <c r="H960" s="901">
        <v>689.49</v>
      </c>
      <c r="I960" s="901">
        <f t="shared" si="321"/>
        <v>689.49</v>
      </c>
      <c r="J960" s="902">
        <f t="shared" si="315"/>
        <v>827.87</v>
      </c>
      <c r="K960" s="903" t="s">
        <v>1516</v>
      </c>
      <c r="L960" s="904">
        <f>ROUND(SUM('RES. CENTRAL PARK:RUA_FINAL'!L960),2)</f>
        <v>0</v>
      </c>
      <c r="M960" s="904">
        <f t="shared" si="316"/>
        <v>0</v>
      </c>
      <c r="N960" s="893">
        <f t="shared" si="317"/>
        <v>0</v>
      </c>
      <c r="O960" s="905"/>
      <c r="Q960" s="317" t="str">
        <f t="shared" si="318"/>
        <v/>
      </c>
      <c r="R960" s="317" t="str">
        <f t="shared" si="319"/>
        <v/>
      </c>
      <c r="S960" s="317" t="str">
        <f t="shared" si="320"/>
        <v/>
      </c>
      <c r="V960" s="314">
        <f>SUM('RES. CENTRAL PARK:RUA_FINAL'!N960)</f>
        <v>0</v>
      </c>
      <c r="W960" s="315">
        <f t="shared" si="322"/>
        <v>0</v>
      </c>
    </row>
    <row r="961" spans="1:23" ht="34.5" hidden="1" thickBot="1" x14ac:dyDescent="0.25">
      <c r="A961" s="63">
        <v>100611</v>
      </c>
      <c r="B961" s="895">
        <v>100611</v>
      </c>
      <c r="C961" s="896" t="s">
        <v>596</v>
      </c>
      <c r="D961" s="906" t="s">
        <v>888</v>
      </c>
      <c r="E961" s="907"/>
      <c r="F961" s="908"/>
      <c r="G961" s="912"/>
      <c r="H961" s="901">
        <v>858.26</v>
      </c>
      <c r="I961" s="901">
        <f t="shared" si="321"/>
        <v>858.26</v>
      </c>
      <c r="J961" s="902">
        <f t="shared" si="315"/>
        <v>1030.51</v>
      </c>
      <c r="K961" s="903" t="s">
        <v>1516</v>
      </c>
      <c r="L961" s="904">
        <f>ROUND(SUM('RES. CENTRAL PARK:RUA_FINAL'!L961),2)</f>
        <v>0</v>
      </c>
      <c r="M961" s="904">
        <f t="shared" si="316"/>
        <v>0</v>
      </c>
      <c r="N961" s="893">
        <f t="shared" si="317"/>
        <v>0</v>
      </c>
      <c r="O961" s="905"/>
      <c r="Q961" s="317" t="str">
        <f t="shared" si="318"/>
        <v/>
      </c>
      <c r="R961" s="317" t="str">
        <f t="shared" si="319"/>
        <v/>
      </c>
      <c r="S961" s="317" t="str">
        <f t="shared" si="320"/>
        <v/>
      </c>
      <c r="V961" s="314">
        <f>SUM('RES. CENTRAL PARK:RUA_FINAL'!N961)</f>
        <v>0</v>
      </c>
      <c r="W961" s="315">
        <f t="shared" si="322"/>
        <v>0</v>
      </c>
    </row>
    <row r="962" spans="1:23" ht="34.5" hidden="1" thickBot="1" x14ac:dyDescent="0.25">
      <c r="A962" s="63">
        <v>100612</v>
      </c>
      <c r="B962" s="895">
        <v>100612</v>
      </c>
      <c r="C962" s="896" t="s">
        <v>596</v>
      </c>
      <c r="D962" s="906" t="s">
        <v>889</v>
      </c>
      <c r="E962" s="907"/>
      <c r="F962" s="908"/>
      <c r="G962" s="912"/>
      <c r="H962" s="901">
        <v>1069.6600000000001</v>
      </c>
      <c r="I962" s="901">
        <f t="shared" si="321"/>
        <v>1069.6600000000001</v>
      </c>
      <c r="J962" s="902">
        <f t="shared" si="315"/>
        <v>1284.3399999999999</v>
      </c>
      <c r="K962" s="903" t="s">
        <v>1516</v>
      </c>
      <c r="L962" s="904">
        <f>ROUND(SUM('RES. CENTRAL PARK:RUA_FINAL'!L962),2)</f>
        <v>0</v>
      </c>
      <c r="M962" s="904">
        <f t="shared" si="316"/>
        <v>0</v>
      </c>
      <c r="N962" s="893">
        <f t="shared" si="317"/>
        <v>0</v>
      </c>
      <c r="O962" s="905"/>
      <c r="Q962" s="317" t="str">
        <f t="shared" si="318"/>
        <v/>
      </c>
      <c r="R962" s="317" t="str">
        <f t="shared" si="319"/>
        <v/>
      </c>
      <c r="S962" s="317" t="str">
        <f t="shared" si="320"/>
        <v/>
      </c>
      <c r="V962" s="314">
        <f>SUM('RES. CENTRAL PARK:RUA_FINAL'!N962)</f>
        <v>0</v>
      </c>
      <c r="W962" s="315">
        <f t="shared" si="322"/>
        <v>0</v>
      </c>
    </row>
    <row r="963" spans="1:23" ht="34.5" hidden="1" thickBot="1" x14ac:dyDescent="0.25">
      <c r="A963" s="63">
        <v>100613</v>
      </c>
      <c r="B963" s="895">
        <v>100613</v>
      </c>
      <c r="C963" s="896" t="s">
        <v>596</v>
      </c>
      <c r="D963" s="906" t="s">
        <v>890</v>
      </c>
      <c r="E963" s="907"/>
      <c r="F963" s="908"/>
      <c r="G963" s="912"/>
      <c r="H963" s="901">
        <v>1614.79</v>
      </c>
      <c r="I963" s="901">
        <f t="shared" si="321"/>
        <v>1614.79</v>
      </c>
      <c r="J963" s="902">
        <f t="shared" si="315"/>
        <v>1938.88</v>
      </c>
      <c r="K963" s="903" t="s">
        <v>1516</v>
      </c>
      <c r="L963" s="904">
        <f>ROUND(SUM('RES. CENTRAL PARK:RUA_FINAL'!L963),2)</f>
        <v>0</v>
      </c>
      <c r="M963" s="904">
        <f t="shared" si="316"/>
        <v>0</v>
      </c>
      <c r="N963" s="893">
        <f t="shared" si="317"/>
        <v>0</v>
      </c>
      <c r="O963" s="905"/>
      <c r="Q963" s="317" t="str">
        <f t="shared" si="318"/>
        <v/>
      </c>
      <c r="R963" s="317" t="str">
        <f t="shared" si="319"/>
        <v/>
      </c>
      <c r="S963" s="317" t="str">
        <f t="shared" si="320"/>
        <v/>
      </c>
      <c r="V963" s="314">
        <f>SUM('RES. CENTRAL PARK:RUA_FINAL'!N963)</f>
        <v>0</v>
      </c>
      <c r="W963" s="315">
        <f t="shared" si="322"/>
        <v>0</v>
      </c>
    </row>
    <row r="964" spans="1:23" ht="34.5" hidden="1" thickBot="1" x14ac:dyDescent="0.25">
      <c r="A964" s="63">
        <v>100614</v>
      </c>
      <c r="B964" s="895">
        <v>100614</v>
      </c>
      <c r="C964" s="896" t="s">
        <v>596</v>
      </c>
      <c r="D964" s="906" t="s">
        <v>891</v>
      </c>
      <c r="E964" s="907"/>
      <c r="F964" s="908"/>
      <c r="G964" s="912"/>
      <c r="H964" s="901">
        <v>900.34</v>
      </c>
      <c r="I964" s="901">
        <f t="shared" si="321"/>
        <v>900.34</v>
      </c>
      <c r="J964" s="902">
        <f t="shared" si="315"/>
        <v>1081.04</v>
      </c>
      <c r="K964" s="903" t="s">
        <v>1516</v>
      </c>
      <c r="L964" s="904">
        <f>ROUND(SUM('RES. CENTRAL PARK:RUA_FINAL'!L964),2)</f>
        <v>0</v>
      </c>
      <c r="M964" s="904">
        <f t="shared" si="316"/>
        <v>0</v>
      </c>
      <c r="N964" s="893">
        <f t="shared" si="317"/>
        <v>0</v>
      </c>
      <c r="O964" s="905"/>
      <c r="Q964" s="317" t="str">
        <f t="shared" si="318"/>
        <v/>
      </c>
      <c r="R964" s="317" t="str">
        <f t="shared" si="319"/>
        <v/>
      </c>
      <c r="S964" s="317" t="str">
        <f t="shared" si="320"/>
        <v/>
      </c>
      <c r="V964" s="314">
        <f>SUM('RES. CENTRAL PARK:RUA_FINAL'!N964)</f>
        <v>0</v>
      </c>
      <c r="W964" s="315">
        <f t="shared" si="322"/>
        <v>0</v>
      </c>
    </row>
    <row r="965" spans="1:23" ht="34.5" hidden="1" thickBot="1" x14ac:dyDescent="0.25">
      <c r="A965" s="63">
        <v>100615</v>
      </c>
      <c r="B965" s="895">
        <v>100615</v>
      </c>
      <c r="C965" s="896" t="s">
        <v>596</v>
      </c>
      <c r="D965" s="906" t="s">
        <v>892</v>
      </c>
      <c r="E965" s="907"/>
      <c r="F965" s="908"/>
      <c r="G965" s="912"/>
      <c r="H965" s="901">
        <v>1117.47</v>
      </c>
      <c r="I965" s="901">
        <f t="shared" si="321"/>
        <v>1117.47</v>
      </c>
      <c r="J965" s="902">
        <f t="shared" si="315"/>
        <v>1341.75</v>
      </c>
      <c r="K965" s="903" t="s">
        <v>1516</v>
      </c>
      <c r="L965" s="904">
        <f>ROUND(SUM('RES. CENTRAL PARK:RUA_FINAL'!L965),2)</f>
        <v>0</v>
      </c>
      <c r="M965" s="904">
        <f t="shared" si="316"/>
        <v>0</v>
      </c>
      <c r="N965" s="893">
        <f t="shared" si="317"/>
        <v>0</v>
      </c>
      <c r="O965" s="905"/>
      <c r="Q965" s="317" t="str">
        <f t="shared" si="318"/>
        <v/>
      </c>
      <c r="R965" s="317" t="str">
        <f t="shared" si="319"/>
        <v/>
      </c>
      <c r="S965" s="317" t="str">
        <f t="shared" si="320"/>
        <v/>
      </c>
      <c r="V965" s="314">
        <f>SUM('RES. CENTRAL PARK:RUA_FINAL'!N965)</f>
        <v>0</v>
      </c>
      <c r="W965" s="315">
        <f t="shared" si="322"/>
        <v>0</v>
      </c>
    </row>
    <row r="966" spans="1:23" ht="34.5" hidden="1" thickBot="1" x14ac:dyDescent="0.25">
      <c r="A966" s="63">
        <v>100616</v>
      </c>
      <c r="B966" s="895">
        <v>100616</v>
      </c>
      <c r="C966" s="896" t="s">
        <v>596</v>
      </c>
      <c r="D966" s="906" t="s">
        <v>893</v>
      </c>
      <c r="E966" s="907"/>
      <c r="F966" s="908"/>
      <c r="G966" s="912"/>
      <c r="H966" s="901">
        <v>1684.75</v>
      </c>
      <c r="I966" s="901">
        <f t="shared" si="321"/>
        <v>1684.75</v>
      </c>
      <c r="J966" s="902">
        <f t="shared" si="315"/>
        <v>2022.88</v>
      </c>
      <c r="K966" s="903" t="s">
        <v>1516</v>
      </c>
      <c r="L966" s="904">
        <f>ROUND(SUM('RES. CENTRAL PARK:RUA_FINAL'!L966),2)</f>
        <v>0</v>
      </c>
      <c r="M966" s="904">
        <f t="shared" si="316"/>
        <v>0</v>
      </c>
      <c r="N966" s="893">
        <f t="shared" si="317"/>
        <v>0</v>
      </c>
      <c r="O966" s="905"/>
      <c r="Q966" s="317" t="str">
        <f t="shared" si="318"/>
        <v/>
      </c>
      <c r="R966" s="317" t="str">
        <f t="shared" si="319"/>
        <v/>
      </c>
      <c r="S966" s="317" t="str">
        <f t="shared" si="320"/>
        <v/>
      </c>
      <c r="V966" s="314">
        <f>SUM('RES. CENTRAL PARK:RUA_FINAL'!N966)</f>
        <v>0</v>
      </c>
      <c r="W966" s="315">
        <f t="shared" si="322"/>
        <v>0</v>
      </c>
    </row>
    <row r="967" spans="1:23" ht="34.5" hidden="1" thickBot="1" x14ac:dyDescent="0.25">
      <c r="A967" s="63">
        <v>100617</v>
      </c>
      <c r="B967" s="895">
        <v>100617</v>
      </c>
      <c r="C967" s="896" t="s">
        <v>596</v>
      </c>
      <c r="D967" s="906" t="s">
        <v>894</v>
      </c>
      <c r="E967" s="907"/>
      <c r="F967" s="908"/>
      <c r="G967" s="912"/>
      <c r="H967" s="901">
        <v>1165.17</v>
      </c>
      <c r="I967" s="901">
        <f t="shared" si="321"/>
        <v>1165.17</v>
      </c>
      <c r="J967" s="902">
        <f t="shared" si="315"/>
        <v>1399.02</v>
      </c>
      <c r="K967" s="903" t="s">
        <v>1516</v>
      </c>
      <c r="L967" s="904">
        <f>ROUND(SUM('RES. CENTRAL PARK:RUA_FINAL'!L967),2)</f>
        <v>0</v>
      </c>
      <c r="M967" s="904">
        <f t="shared" si="316"/>
        <v>0</v>
      </c>
      <c r="N967" s="893">
        <f t="shared" si="317"/>
        <v>0</v>
      </c>
      <c r="O967" s="905"/>
      <c r="Q967" s="317" t="str">
        <f t="shared" si="318"/>
        <v/>
      </c>
      <c r="R967" s="317" t="str">
        <f t="shared" si="319"/>
        <v/>
      </c>
      <c r="S967" s="317" t="str">
        <f t="shared" si="320"/>
        <v/>
      </c>
      <c r="V967" s="314">
        <f>SUM('RES. CENTRAL PARK:RUA_FINAL'!N967)</f>
        <v>0</v>
      </c>
      <c r="W967" s="315">
        <f t="shared" si="322"/>
        <v>0</v>
      </c>
    </row>
    <row r="968" spans="1:23" ht="45.75" hidden="1" thickBot="1" x14ac:dyDescent="0.25">
      <c r="A968" s="63">
        <v>100618</v>
      </c>
      <c r="B968" s="895">
        <v>100618</v>
      </c>
      <c r="C968" s="896" t="s">
        <v>596</v>
      </c>
      <c r="D968" s="906" t="s">
        <v>895</v>
      </c>
      <c r="E968" s="907"/>
      <c r="F968" s="908"/>
      <c r="G968" s="912"/>
      <c r="H968" s="901">
        <v>1758.03</v>
      </c>
      <c r="I968" s="901">
        <f t="shared" si="321"/>
        <v>1758.03</v>
      </c>
      <c r="J968" s="902">
        <f t="shared" si="315"/>
        <v>2110.87</v>
      </c>
      <c r="K968" s="903" t="s">
        <v>1516</v>
      </c>
      <c r="L968" s="904">
        <f>ROUND(SUM('RES. CENTRAL PARK:RUA_FINAL'!L968),2)</f>
        <v>0</v>
      </c>
      <c r="M968" s="904">
        <f t="shared" si="316"/>
        <v>0</v>
      </c>
      <c r="N968" s="893">
        <f t="shared" si="317"/>
        <v>0</v>
      </c>
      <c r="O968" s="905"/>
      <c r="Q968" s="317" t="str">
        <f t="shared" si="318"/>
        <v/>
      </c>
      <c r="R968" s="317" t="str">
        <f t="shared" si="319"/>
        <v/>
      </c>
      <c r="S968" s="317" t="str">
        <f t="shared" si="320"/>
        <v/>
      </c>
      <c r="V968" s="314">
        <f>SUM('RES. CENTRAL PARK:RUA_FINAL'!N968)</f>
        <v>0</v>
      </c>
      <c r="W968" s="315">
        <f t="shared" si="322"/>
        <v>0</v>
      </c>
    </row>
    <row r="969" spans="1:23" ht="30" hidden="1" customHeight="1" x14ac:dyDescent="0.2">
      <c r="A969" s="63">
        <v>97660</v>
      </c>
      <c r="B969" s="895">
        <v>97660</v>
      </c>
      <c r="C969" s="896" t="s">
        <v>596</v>
      </c>
      <c r="D969" s="906" t="s">
        <v>896</v>
      </c>
      <c r="E969" s="907"/>
      <c r="F969" s="908"/>
      <c r="G969" s="912"/>
      <c r="H969" s="901">
        <v>0.77</v>
      </c>
      <c r="I969" s="901">
        <f t="shared" si="321"/>
        <v>0.77</v>
      </c>
      <c r="J969" s="902">
        <f t="shared" ref="J969:J1032" si="323">IF(ISBLANK(H969),0,ROUND(I969*(1+$E$10),2))</f>
        <v>0.92</v>
      </c>
      <c r="K969" s="903" t="s">
        <v>1516</v>
      </c>
      <c r="L969" s="904">
        <f>ROUND(SUM('RES. CENTRAL PARK:RUA_FINAL'!L969),2)</f>
        <v>0</v>
      </c>
      <c r="M969" s="904">
        <f t="shared" si="316"/>
        <v>0</v>
      </c>
      <c r="N969" s="893">
        <f t="shared" si="317"/>
        <v>0</v>
      </c>
      <c r="O969" s="905"/>
      <c r="Q969" s="317" t="str">
        <f t="shared" si="318"/>
        <v/>
      </c>
      <c r="R969" s="317" t="str">
        <f t="shared" si="319"/>
        <v/>
      </c>
      <c r="S969" s="317" t="str">
        <f t="shared" si="320"/>
        <v/>
      </c>
      <c r="V969" s="314">
        <f>SUM('RES. CENTRAL PARK:RUA_FINAL'!N969)</f>
        <v>0</v>
      </c>
      <c r="W969" s="315">
        <f t="shared" si="322"/>
        <v>0</v>
      </c>
    </row>
    <row r="970" spans="1:23" ht="30" hidden="1" customHeight="1" x14ac:dyDescent="0.2">
      <c r="A970" s="63">
        <v>90447</v>
      </c>
      <c r="B970" s="895">
        <v>90447</v>
      </c>
      <c r="C970" s="896" t="s">
        <v>596</v>
      </c>
      <c r="D970" s="906" t="s">
        <v>897</v>
      </c>
      <c r="E970" s="907"/>
      <c r="F970" s="908"/>
      <c r="G970" s="912"/>
      <c r="H970" s="901">
        <v>8.0299999999999994</v>
      </c>
      <c r="I970" s="901">
        <f t="shared" si="321"/>
        <v>8.0299999999999994</v>
      </c>
      <c r="J970" s="902">
        <f t="shared" si="323"/>
        <v>9.64</v>
      </c>
      <c r="K970" s="903" t="s">
        <v>62</v>
      </c>
      <c r="L970" s="904">
        <f>ROUND(SUM('RES. CENTRAL PARK:RUA_FINAL'!L970),2)</f>
        <v>0</v>
      </c>
      <c r="M970" s="904">
        <f t="shared" si="316"/>
        <v>0</v>
      </c>
      <c r="N970" s="893">
        <f t="shared" si="317"/>
        <v>0</v>
      </c>
      <c r="O970" s="905"/>
      <c r="Q970" s="317" t="str">
        <f t="shared" si="318"/>
        <v/>
      </c>
      <c r="R970" s="317" t="str">
        <f t="shared" si="319"/>
        <v/>
      </c>
      <c r="S970" s="317" t="str">
        <f t="shared" si="320"/>
        <v/>
      </c>
      <c r="V970" s="314">
        <f>SUM('RES. CENTRAL PARK:RUA_FINAL'!N970)</f>
        <v>0</v>
      </c>
      <c r="W970" s="315">
        <f t="shared" si="322"/>
        <v>0</v>
      </c>
    </row>
    <row r="971" spans="1:23" ht="30" hidden="1" customHeight="1" x14ac:dyDescent="0.2">
      <c r="A971" s="63">
        <v>90456</v>
      </c>
      <c r="B971" s="895">
        <v>90456</v>
      </c>
      <c r="C971" s="896" t="s">
        <v>596</v>
      </c>
      <c r="D971" s="906" t="s">
        <v>898</v>
      </c>
      <c r="E971" s="907"/>
      <c r="F971" s="908"/>
      <c r="G971" s="912"/>
      <c r="H971" s="901">
        <v>5.16</v>
      </c>
      <c r="I971" s="901">
        <f t="shared" si="321"/>
        <v>5.16</v>
      </c>
      <c r="J971" s="902">
        <f t="shared" si="323"/>
        <v>6.2</v>
      </c>
      <c r="K971" s="903" t="s">
        <v>1516</v>
      </c>
      <c r="L971" s="904">
        <f>ROUND(SUM('RES. CENTRAL PARK:RUA_FINAL'!L971),2)</f>
        <v>0</v>
      </c>
      <c r="M971" s="904">
        <f t="shared" si="316"/>
        <v>0</v>
      </c>
      <c r="N971" s="893">
        <f t="shared" si="317"/>
        <v>0</v>
      </c>
      <c r="O971" s="905"/>
      <c r="Q971" s="317" t="str">
        <f t="shared" si="318"/>
        <v/>
      </c>
      <c r="R971" s="317" t="str">
        <f t="shared" si="319"/>
        <v/>
      </c>
      <c r="S971" s="317" t="str">
        <f t="shared" si="320"/>
        <v/>
      </c>
      <c r="V971" s="314">
        <f>SUM('RES. CENTRAL PARK:RUA_FINAL'!N971)</f>
        <v>0</v>
      </c>
      <c r="W971" s="315">
        <f t="shared" si="322"/>
        <v>0</v>
      </c>
    </row>
    <row r="972" spans="1:23" ht="30" hidden="1" customHeight="1" x14ac:dyDescent="0.2">
      <c r="A972" s="63">
        <v>90457</v>
      </c>
      <c r="B972" s="895">
        <v>90457</v>
      </c>
      <c r="C972" s="896" t="s">
        <v>596</v>
      </c>
      <c r="D972" s="906" t="s">
        <v>899</v>
      </c>
      <c r="E972" s="907"/>
      <c r="F972" s="908"/>
      <c r="G972" s="912"/>
      <c r="H972" s="901">
        <v>11.77</v>
      </c>
      <c r="I972" s="901">
        <f t="shared" si="321"/>
        <v>11.77</v>
      </c>
      <c r="J972" s="902">
        <f t="shared" si="323"/>
        <v>14.13</v>
      </c>
      <c r="K972" s="903" t="s">
        <v>1516</v>
      </c>
      <c r="L972" s="904">
        <f>ROUND(SUM('RES. CENTRAL PARK:RUA_FINAL'!L972),2)</f>
        <v>0</v>
      </c>
      <c r="M972" s="904">
        <f t="shared" si="316"/>
        <v>0</v>
      </c>
      <c r="N972" s="893">
        <f t="shared" si="317"/>
        <v>0</v>
      </c>
      <c r="O972" s="905"/>
      <c r="Q972" s="317" t="str">
        <f t="shared" si="318"/>
        <v/>
      </c>
      <c r="R972" s="317" t="str">
        <f t="shared" si="319"/>
        <v/>
      </c>
      <c r="S972" s="317" t="str">
        <f t="shared" si="320"/>
        <v/>
      </c>
      <c r="V972" s="314">
        <f>SUM('RES. CENTRAL PARK:RUA_FINAL'!N972)</f>
        <v>0</v>
      </c>
      <c r="W972" s="315">
        <f t="shared" si="322"/>
        <v>0</v>
      </c>
    </row>
    <row r="973" spans="1:23" ht="30" hidden="1" customHeight="1" x14ac:dyDescent="0.2">
      <c r="A973" s="63">
        <v>90458</v>
      </c>
      <c r="B973" s="895">
        <v>90458</v>
      </c>
      <c r="C973" s="896" t="s">
        <v>596</v>
      </c>
      <c r="D973" s="906" t="s">
        <v>900</v>
      </c>
      <c r="E973" s="907"/>
      <c r="F973" s="908"/>
      <c r="G973" s="912"/>
      <c r="H973" s="901">
        <v>33.409999999999997</v>
      </c>
      <c r="I973" s="901">
        <f t="shared" si="321"/>
        <v>33.409999999999997</v>
      </c>
      <c r="J973" s="902">
        <f t="shared" si="323"/>
        <v>40.119999999999997</v>
      </c>
      <c r="K973" s="903" t="s">
        <v>1516</v>
      </c>
      <c r="L973" s="904">
        <f>ROUND(SUM('RES. CENTRAL PARK:RUA_FINAL'!L973),2)</f>
        <v>0</v>
      </c>
      <c r="M973" s="904">
        <f t="shared" si="316"/>
        <v>0</v>
      </c>
      <c r="N973" s="893">
        <f t="shared" si="317"/>
        <v>0</v>
      </c>
      <c r="O973" s="905"/>
      <c r="Q973" s="317" t="str">
        <f t="shared" si="318"/>
        <v/>
      </c>
      <c r="R973" s="317" t="str">
        <f t="shared" si="319"/>
        <v/>
      </c>
      <c r="S973" s="317" t="str">
        <f t="shared" si="320"/>
        <v/>
      </c>
      <c r="V973" s="314">
        <f>SUM('RES. CENTRAL PARK:RUA_FINAL'!N973)</f>
        <v>0</v>
      </c>
      <c r="W973" s="315">
        <f t="shared" si="322"/>
        <v>0</v>
      </c>
    </row>
    <row r="974" spans="1:23" ht="30" hidden="1" customHeight="1" x14ac:dyDescent="0.2">
      <c r="A974" s="63">
        <v>101938</v>
      </c>
      <c r="B974" s="895">
        <v>101938</v>
      </c>
      <c r="C974" s="896" t="s">
        <v>596</v>
      </c>
      <c r="D974" s="906" t="s">
        <v>901</v>
      </c>
      <c r="E974" s="907"/>
      <c r="F974" s="908"/>
      <c r="G974" s="912"/>
      <c r="H974" s="901">
        <v>127.45</v>
      </c>
      <c r="I974" s="901">
        <f t="shared" si="321"/>
        <v>127.45</v>
      </c>
      <c r="J974" s="902">
        <f t="shared" si="323"/>
        <v>153.03</v>
      </c>
      <c r="K974" s="903" t="s">
        <v>1516</v>
      </c>
      <c r="L974" s="904">
        <f>ROUND(SUM('RES. CENTRAL PARK:RUA_FINAL'!L974),2)</f>
        <v>0</v>
      </c>
      <c r="M974" s="904">
        <f t="shared" si="316"/>
        <v>0</v>
      </c>
      <c r="N974" s="893">
        <f t="shared" si="317"/>
        <v>0</v>
      </c>
      <c r="O974" s="905"/>
      <c r="Q974" s="317" t="str">
        <f t="shared" si="318"/>
        <v/>
      </c>
      <c r="R974" s="317" t="str">
        <f t="shared" si="319"/>
        <v/>
      </c>
      <c r="S974" s="317" t="str">
        <f t="shared" si="320"/>
        <v/>
      </c>
      <c r="V974" s="314">
        <f>SUM('RES. CENTRAL PARK:RUA_FINAL'!N974)</f>
        <v>0</v>
      </c>
      <c r="W974" s="315">
        <f t="shared" si="322"/>
        <v>0</v>
      </c>
    </row>
    <row r="975" spans="1:23" ht="38.1" hidden="1" customHeight="1" x14ac:dyDescent="0.2">
      <c r="A975" s="63">
        <v>101489</v>
      </c>
      <c r="B975" s="895">
        <v>101489</v>
      </c>
      <c r="C975" s="896" t="s">
        <v>596</v>
      </c>
      <c r="D975" s="906" t="s">
        <v>902</v>
      </c>
      <c r="E975" s="907"/>
      <c r="F975" s="908"/>
      <c r="G975" s="912"/>
      <c r="H975" s="901">
        <v>1507.06</v>
      </c>
      <c r="I975" s="901">
        <f t="shared" si="321"/>
        <v>1507.06</v>
      </c>
      <c r="J975" s="902">
        <f t="shared" si="323"/>
        <v>1809.53</v>
      </c>
      <c r="K975" s="903" t="s">
        <v>1516</v>
      </c>
      <c r="L975" s="904">
        <f>ROUND(SUM('RES. CENTRAL PARK:RUA_FINAL'!L975),2)</f>
        <v>0</v>
      </c>
      <c r="M975" s="904">
        <f t="shared" si="316"/>
        <v>0</v>
      </c>
      <c r="N975" s="893">
        <f t="shared" si="317"/>
        <v>0</v>
      </c>
      <c r="O975" s="905"/>
      <c r="Q975" s="317" t="str">
        <f t="shared" si="318"/>
        <v/>
      </c>
      <c r="R975" s="317" t="str">
        <f t="shared" si="319"/>
        <v/>
      </c>
      <c r="S975" s="317" t="str">
        <f t="shared" si="320"/>
        <v/>
      </c>
      <c r="V975" s="314">
        <f>SUM('RES. CENTRAL PARK:RUA_FINAL'!N975)</f>
        <v>0</v>
      </c>
      <c r="W975" s="315">
        <f t="shared" si="322"/>
        <v>0</v>
      </c>
    </row>
    <row r="976" spans="1:23" ht="38.1" hidden="1" customHeight="1" x14ac:dyDescent="0.2">
      <c r="A976" s="63">
        <v>101490</v>
      </c>
      <c r="B976" s="895">
        <v>101490</v>
      </c>
      <c r="C976" s="896" t="s">
        <v>596</v>
      </c>
      <c r="D976" s="906" t="s">
        <v>903</v>
      </c>
      <c r="E976" s="907"/>
      <c r="F976" s="908"/>
      <c r="G976" s="912"/>
      <c r="H976" s="901">
        <v>1605.18</v>
      </c>
      <c r="I976" s="901">
        <f t="shared" si="321"/>
        <v>1605.18</v>
      </c>
      <c r="J976" s="902">
        <f t="shared" si="323"/>
        <v>1927.34</v>
      </c>
      <c r="K976" s="903" t="s">
        <v>1516</v>
      </c>
      <c r="L976" s="904">
        <f>ROUND(SUM('RES. CENTRAL PARK:RUA_FINAL'!L976),2)</f>
        <v>0</v>
      </c>
      <c r="M976" s="904">
        <f t="shared" si="316"/>
        <v>0</v>
      </c>
      <c r="N976" s="893">
        <f t="shared" si="317"/>
        <v>0</v>
      </c>
      <c r="O976" s="905"/>
      <c r="Q976" s="317" t="str">
        <f t="shared" si="318"/>
        <v/>
      </c>
      <c r="R976" s="317" t="str">
        <f t="shared" si="319"/>
        <v/>
      </c>
      <c r="S976" s="317" t="str">
        <f t="shared" si="320"/>
        <v/>
      </c>
      <c r="V976" s="314">
        <f>SUM('RES. CENTRAL PARK:RUA_FINAL'!N976)</f>
        <v>0</v>
      </c>
      <c r="W976" s="315">
        <f t="shared" si="322"/>
        <v>0</v>
      </c>
    </row>
    <row r="977" spans="1:23" ht="38.1" hidden="1" customHeight="1" x14ac:dyDescent="0.2">
      <c r="A977" s="63">
        <v>101491</v>
      </c>
      <c r="B977" s="895">
        <v>101491</v>
      </c>
      <c r="C977" s="896" t="s">
        <v>596</v>
      </c>
      <c r="D977" s="906" t="s">
        <v>904</v>
      </c>
      <c r="E977" s="907"/>
      <c r="F977" s="908"/>
      <c r="G977" s="912"/>
      <c r="H977" s="901">
        <v>1632.79</v>
      </c>
      <c r="I977" s="901">
        <f t="shared" si="321"/>
        <v>1632.79</v>
      </c>
      <c r="J977" s="902">
        <f t="shared" si="323"/>
        <v>1960.49</v>
      </c>
      <c r="K977" s="903" t="s">
        <v>1516</v>
      </c>
      <c r="L977" s="904">
        <f>ROUND(SUM('RES. CENTRAL PARK:RUA_FINAL'!L977),2)</f>
        <v>0</v>
      </c>
      <c r="M977" s="904">
        <f t="shared" si="316"/>
        <v>0</v>
      </c>
      <c r="N977" s="893">
        <f t="shared" si="317"/>
        <v>0</v>
      </c>
      <c r="O977" s="905"/>
      <c r="Q977" s="317" t="str">
        <f t="shared" si="318"/>
        <v/>
      </c>
      <c r="R977" s="317" t="str">
        <f t="shared" si="319"/>
        <v/>
      </c>
      <c r="S977" s="317" t="str">
        <f t="shared" si="320"/>
        <v/>
      </c>
      <c r="V977" s="314">
        <f>SUM('RES. CENTRAL PARK:RUA_FINAL'!N977)</f>
        <v>0</v>
      </c>
      <c r="W977" s="315">
        <f t="shared" si="322"/>
        <v>0</v>
      </c>
    </row>
    <row r="978" spans="1:23" ht="38.1" hidden="1" customHeight="1" x14ac:dyDescent="0.2">
      <c r="A978" s="63">
        <v>101492</v>
      </c>
      <c r="B978" s="895">
        <v>101492</v>
      </c>
      <c r="C978" s="896" t="s">
        <v>596</v>
      </c>
      <c r="D978" s="906" t="s">
        <v>905</v>
      </c>
      <c r="E978" s="907"/>
      <c r="F978" s="908"/>
      <c r="G978" s="912"/>
      <c r="H978" s="901">
        <v>1787.27</v>
      </c>
      <c r="I978" s="901">
        <f t="shared" ref="I978:I1041" si="324">IF(ISBLANK(H978),"",SUM(G978:H978))</f>
        <v>1787.27</v>
      </c>
      <c r="J978" s="902">
        <f t="shared" si="323"/>
        <v>2145.98</v>
      </c>
      <c r="K978" s="903" t="s">
        <v>1516</v>
      </c>
      <c r="L978" s="904">
        <f>ROUND(SUM('RES. CENTRAL PARK:RUA_FINAL'!L978),2)</f>
        <v>0</v>
      </c>
      <c r="M978" s="904">
        <f t="shared" ref="M978:M1041" si="325">IF(L978=0,0,ROUND(J978,2))</f>
        <v>0</v>
      </c>
      <c r="N978" s="893">
        <f t="shared" ref="N978:N1041" si="326">IF(ISBLANK(L978),0,ROUND(L978*M978,2))</f>
        <v>0</v>
      </c>
      <c r="O978" s="905"/>
      <c r="Q978" s="317" t="str">
        <f t="shared" ref="Q978:Q1041" si="327">IF(P978="X","x",IF(P978="xx","x",IF(P978="xy","x",IF(P978="y","x",IF(OR(N978&gt;0,N978&gt;0),"x","")))))</f>
        <v/>
      </c>
      <c r="R978" s="317" t="str">
        <f t="shared" ref="R978:R1041" si="328">IF(P978="X","x",IF(P978="y","x",IF(P978="xx","x",IF(N978&gt;0,"x",""))))</f>
        <v/>
      </c>
      <c r="S978" s="317" t="str">
        <f t="shared" ref="S978:S1041" si="329">IF(P978="X","x",IF(N978&gt;0,"x",""))</f>
        <v/>
      </c>
      <c r="V978" s="314">
        <f>SUM('RES. CENTRAL PARK:RUA_FINAL'!N978)</f>
        <v>0</v>
      </c>
      <c r="W978" s="315">
        <f t="shared" si="322"/>
        <v>0</v>
      </c>
    </row>
    <row r="979" spans="1:23" ht="38.1" hidden="1" customHeight="1" x14ac:dyDescent="0.2">
      <c r="A979" s="63">
        <v>101493</v>
      </c>
      <c r="B979" s="895">
        <v>101493</v>
      </c>
      <c r="C979" s="896" t="s">
        <v>596</v>
      </c>
      <c r="D979" s="906" t="s">
        <v>906</v>
      </c>
      <c r="E979" s="907"/>
      <c r="F979" s="908"/>
      <c r="G979" s="912"/>
      <c r="H979" s="901">
        <v>1487.05</v>
      </c>
      <c r="I979" s="901">
        <f t="shared" si="324"/>
        <v>1487.05</v>
      </c>
      <c r="J979" s="902">
        <f t="shared" si="323"/>
        <v>1785.5</v>
      </c>
      <c r="K979" s="903" t="s">
        <v>1516</v>
      </c>
      <c r="L979" s="904">
        <f>ROUND(SUM('RES. CENTRAL PARK:RUA_FINAL'!L979),2)</f>
        <v>0</v>
      </c>
      <c r="M979" s="904">
        <f t="shared" si="325"/>
        <v>0</v>
      </c>
      <c r="N979" s="893">
        <f t="shared" si="326"/>
        <v>0</v>
      </c>
      <c r="O979" s="905"/>
      <c r="Q979" s="317" t="str">
        <f t="shared" si="327"/>
        <v/>
      </c>
      <c r="R979" s="317" t="str">
        <f t="shared" si="328"/>
        <v/>
      </c>
      <c r="S979" s="317" t="str">
        <f t="shared" si="329"/>
        <v/>
      </c>
      <c r="V979" s="314">
        <f>SUM('RES. CENTRAL PARK:RUA_FINAL'!N979)</f>
        <v>0</v>
      </c>
      <c r="W979" s="315">
        <f t="shared" si="322"/>
        <v>0</v>
      </c>
    </row>
    <row r="980" spans="1:23" ht="38.1" hidden="1" customHeight="1" x14ac:dyDescent="0.2">
      <c r="A980" s="63">
        <v>101494</v>
      </c>
      <c r="B980" s="895">
        <v>101494</v>
      </c>
      <c r="C980" s="896" t="s">
        <v>596</v>
      </c>
      <c r="D980" s="906" t="s">
        <v>907</v>
      </c>
      <c r="E980" s="907"/>
      <c r="F980" s="908"/>
      <c r="G980" s="912"/>
      <c r="H980" s="901">
        <v>1585.17</v>
      </c>
      <c r="I980" s="901">
        <f t="shared" si="324"/>
        <v>1585.17</v>
      </c>
      <c r="J980" s="902">
        <f t="shared" si="323"/>
        <v>1903.31</v>
      </c>
      <c r="K980" s="903" t="s">
        <v>1516</v>
      </c>
      <c r="L980" s="904">
        <f>ROUND(SUM('RES. CENTRAL PARK:RUA_FINAL'!L980),2)</f>
        <v>0</v>
      </c>
      <c r="M980" s="904">
        <f t="shared" si="325"/>
        <v>0</v>
      </c>
      <c r="N980" s="893">
        <f t="shared" si="326"/>
        <v>0</v>
      </c>
      <c r="O980" s="905"/>
      <c r="Q980" s="317" t="str">
        <f t="shared" si="327"/>
        <v/>
      </c>
      <c r="R980" s="317" t="str">
        <f t="shared" si="328"/>
        <v/>
      </c>
      <c r="S980" s="317" t="str">
        <f t="shared" si="329"/>
        <v/>
      </c>
      <c r="V980" s="314">
        <f>SUM('RES. CENTRAL PARK:RUA_FINAL'!N980)</f>
        <v>0</v>
      </c>
      <c r="W980" s="315">
        <f t="shared" si="322"/>
        <v>0</v>
      </c>
    </row>
    <row r="981" spans="1:23" ht="38.1" hidden="1" customHeight="1" x14ac:dyDescent="0.2">
      <c r="A981" s="63">
        <v>101495</v>
      </c>
      <c r="B981" s="895">
        <v>101495</v>
      </c>
      <c r="C981" s="896" t="s">
        <v>596</v>
      </c>
      <c r="D981" s="906" t="s">
        <v>908</v>
      </c>
      <c r="E981" s="907"/>
      <c r="F981" s="908"/>
      <c r="G981" s="912"/>
      <c r="H981" s="901">
        <v>1612.78</v>
      </c>
      <c r="I981" s="901">
        <f t="shared" si="324"/>
        <v>1612.78</v>
      </c>
      <c r="J981" s="902">
        <f t="shared" si="323"/>
        <v>1936.46</v>
      </c>
      <c r="K981" s="903" t="s">
        <v>1516</v>
      </c>
      <c r="L981" s="904">
        <f>ROUND(SUM('RES. CENTRAL PARK:RUA_FINAL'!L981),2)</f>
        <v>0</v>
      </c>
      <c r="M981" s="904">
        <f t="shared" si="325"/>
        <v>0</v>
      </c>
      <c r="N981" s="893">
        <f t="shared" si="326"/>
        <v>0</v>
      </c>
      <c r="O981" s="905"/>
      <c r="Q981" s="317" t="str">
        <f t="shared" si="327"/>
        <v/>
      </c>
      <c r="R981" s="317" t="str">
        <f t="shared" si="328"/>
        <v/>
      </c>
      <c r="S981" s="317" t="str">
        <f t="shared" si="329"/>
        <v/>
      </c>
      <c r="V981" s="314">
        <f>SUM('RES. CENTRAL PARK:RUA_FINAL'!N981)</f>
        <v>0</v>
      </c>
      <c r="W981" s="315">
        <f t="shared" ref="W981:W1044" si="330">N981-V981</f>
        <v>0</v>
      </c>
    </row>
    <row r="982" spans="1:23" ht="38.1" hidden="1" customHeight="1" x14ac:dyDescent="0.2">
      <c r="A982" s="63">
        <v>101496</v>
      </c>
      <c r="B982" s="895">
        <v>101496</v>
      </c>
      <c r="C982" s="896" t="s">
        <v>596</v>
      </c>
      <c r="D982" s="906" t="s">
        <v>909</v>
      </c>
      <c r="E982" s="907"/>
      <c r="F982" s="908"/>
      <c r="G982" s="912"/>
      <c r="H982" s="901">
        <v>1767.26</v>
      </c>
      <c r="I982" s="901">
        <f t="shared" si="324"/>
        <v>1767.26</v>
      </c>
      <c r="J982" s="902">
        <f t="shared" si="323"/>
        <v>2121.9499999999998</v>
      </c>
      <c r="K982" s="903" t="s">
        <v>1516</v>
      </c>
      <c r="L982" s="904">
        <f>ROUND(SUM('RES. CENTRAL PARK:RUA_FINAL'!L982),2)</f>
        <v>0</v>
      </c>
      <c r="M982" s="904">
        <f t="shared" si="325"/>
        <v>0</v>
      </c>
      <c r="N982" s="893">
        <f t="shared" si="326"/>
        <v>0</v>
      </c>
      <c r="O982" s="905"/>
      <c r="Q982" s="317" t="str">
        <f t="shared" si="327"/>
        <v/>
      </c>
      <c r="R982" s="317" t="str">
        <f t="shared" si="328"/>
        <v/>
      </c>
      <c r="S982" s="317" t="str">
        <f t="shared" si="329"/>
        <v/>
      </c>
      <c r="V982" s="314">
        <f>SUM('RES. CENTRAL PARK:RUA_FINAL'!N982)</f>
        <v>0</v>
      </c>
      <c r="W982" s="315">
        <f t="shared" si="330"/>
        <v>0</v>
      </c>
    </row>
    <row r="983" spans="1:23" ht="38.1" hidden="1" customHeight="1" x14ac:dyDescent="0.2">
      <c r="A983" s="63">
        <v>101497</v>
      </c>
      <c r="B983" s="895">
        <v>101497</v>
      </c>
      <c r="C983" s="896" t="s">
        <v>596</v>
      </c>
      <c r="D983" s="906" t="s">
        <v>910</v>
      </c>
      <c r="E983" s="907"/>
      <c r="F983" s="908"/>
      <c r="G983" s="912"/>
      <c r="H983" s="901">
        <v>1782.8</v>
      </c>
      <c r="I983" s="901">
        <f t="shared" si="324"/>
        <v>1782.8</v>
      </c>
      <c r="J983" s="902">
        <f t="shared" si="323"/>
        <v>2140.61</v>
      </c>
      <c r="K983" s="903" t="s">
        <v>1516</v>
      </c>
      <c r="L983" s="904">
        <f>ROUND(SUM('RES. CENTRAL PARK:RUA_FINAL'!L983),2)</f>
        <v>0</v>
      </c>
      <c r="M983" s="904">
        <f t="shared" si="325"/>
        <v>0</v>
      </c>
      <c r="N983" s="893">
        <f t="shared" si="326"/>
        <v>0</v>
      </c>
      <c r="O983" s="905"/>
      <c r="Q983" s="317" t="str">
        <f t="shared" si="327"/>
        <v/>
      </c>
      <c r="R983" s="317" t="str">
        <f t="shared" si="328"/>
        <v/>
      </c>
      <c r="S983" s="317" t="str">
        <f t="shared" si="329"/>
        <v/>
      </c>
      <c r="V983" s="314">
        <f>SUM('RES. CENTRAL PARK:RUA_FINAL'!N983)</f>
        <v>0</v>
      </c>
      <c r="W983" s="315">
        <f t="shared" si="330"/>
        <v>0</v>
      </c>
    </row>
    <row r="984" spans="1:23" ht="38.1" hidden="1" customHeight="1" x14ac:dyDescent="0.2">
      <c r="A984" s="63">
        <v>101498</v>
      </c>
      <c r="B984" s="895">
        <v>101498</v>
      </c>
      <c r="C984" s="896" t="s">
        <v>596</v>
      </c>
      <c r="D984" s="906" t="s">
        <v>911</v>
      </c>
      <c r="E984" s="907"/>
      <c r="F984" s="908"/>
      <c r="G984" s="912"/>
      <c r="H984" s="901">
        <v>1931.32</v>
      </c>
      <c r="I984" s="901">
        <f t="shared" si="324"/>
        <v>1931.32</v>
      </c>
      <c r="J984" s="902">
        <f t="shared" si="323"/>
        <v>2318.94</v>
      </c>
      <c r="K984" s="903" t="s">
        <v>1516</v>
      </c>
      <c r="L984" s="904">
        <f>ROUND(SUM('RES. CENTRAL PARK:RUA_FINAL'!L984),2)</f>
        <v>0</v>
      </c>
      <c r="M984" s="904">
        <f t="shared" si="325"/>
        <v>0</v>
      </c>
      <c r="N984" s="893">
        <f t="shared" si="326"/>
        <v>0</v>
      </c>
      <c r="O984" s="905"/>
      <c r="Q984" s="317" t="str">
        <f t="shared" si="327"/>
        <v/>
      </c>
      <c r="R984" s="317" t="str">
        <f t="shared" si="328"/>
        <v/>
      </c>
      <c r="S984" s="317" t="str">
        <f t="shared" si="329"/>
        <v/>
      </c>
      <c r="V984" s="314">
        <f>SUM('RES. CENTRAL PARK:RUA_FINAL'!N984)</f>
        <v>0</v>
      </c>
      <c r="W984" s="315">
        <f t="shared" si="330"/>
        <v>0</v>
      </c>
    </row>
    <row r="985" spans="1:23" ht="38.1" hidden="1" customHeight="1" x14ac:dyDescent="0.2">
      <c r="A985" s="63">
        <v>101499</v>
      </c>
      <c r="B985" s="895">
        <v>101499</v>
      </c>
      <c r="C985" s="896" t="s">
        <v>596</v>
      </c>
      <c r="D985" s="906" t="s">
        <v>912</v>
      </c>
      <c r="E985" s="907"/>
      <c r="F985" s="908"/>
      <c r="G985" s="912"/>
      <c r="H985" s="901">
        <v>1973.11</v>
      </c>
      <c r="I985" s="901">
        <f t="shared" si="324"/>
        <v>1973.11</v>
      </c>
      <c r="J985" s="902">
        <f t="shared" si="323"/>
        <v>2369.11</v>
      </c>
      <c r="K985" s="903" t="s">
        <v>1516</v>
      </c>
      <c r="L985" s="904">
        <f>ROUND(SUM('RES. CENTRAL PARK:RUA_FINAL'!L985),2)</f>
        <v>0</v>
      </c>
      <c r="M985" s="904">
        <f t="shared" si="325"/>
        <v>0</v>
      </c>
      <c r="N985" s="893">
        <f t="shared" si="326"/>
        <v>0</v>
      </c>
      <c r="O985" s="905"/>
      <c r="Q985" s="317" t="str">
        <f t="shared" si="327"/>
        <v/>
      </c>
      <c r="R985" s="317" t="str">
        <f t="shared" si="328"/>
        <v/>
      </c>
      <c r="S985" s="317" t="str">
        <f t="shared" si="329"/>
        <v/>
      </c>
      <c r="V985" s="314">
        <f>SUM('RES. CENTRAL PARK:RUA_FINAL'!N985)</f>
        <v>0</v>
      </c>
      <c r="W985" s="315">
        <f t="shared" si="330"/>
        <v>0</v>
      </c>
    </row>
    <row r="986" spans="1:23" ht="38.1" hidden="1" customHeight="1" x14ac:dyDescent="0.2">
      <c r="A986" s="63">
        <v>101500</v>
      </c>
      <c r="B986" s="895">
        <v>101500</v>
      </c>
      <c r="C986" s="896" t="s">
        <v>596</v>
      </c>
      <c r="D986" s="906" t="s">
        <v>913</v>
      </c>
      <c r="E986" s="907"/>
      <c r="F986" s="908"/>
      <c r="G986" s="912"/>
      <c r="H986" s="901">
        <v>2185.7800000000002</v>
      </c>
      <c r="I986" s="901">
        <f t="shared" si="324"/>
        <v>2185.7800000000002</v>
      </c>
      <c r="J986" s="902">
        <f t="shared" si="323"/>
        <v>2624.47</v>
      </c>
      <c r="K986" s="903" t="s">
        <v>1516</v>
      </c>
      <c r="L986" s="904">
        <f>ROUND(SUM('RES. CENTRAL PARK:RUA_FINAL'!L986),2)</f>
        <v>0</v>
      </c>
      <c r="M986" s="904">
        <f t="shared" si="325"/>
        <v>0</v>
      </c>
      <c r="N986" s="893">
        <f t="shared" si="326"/>
        <v>0</v>
      </c>
      <c r="O986" s="905"/>
      <c r="Q986" s="317" t="str">
        <f t="shared" si="327"/>
        <v/>
      </c>
      <c r="R986" s="317" t="str">
        <f t="shared" si="328"/>
        <v/>
      </c>
      <c r="S986" s="317" t="str">
        <f t="shared" si="329"/>
        <v/>
      </c>
      <c r="V986" s="314">
        <f>SUM('RES. CENTRAL PARK:RUA_FINAL'!N986)</f>
        <v>0</v>
      </c>
      <c r="W986" s="315">
        <f t="shared" si="330"/>
        <v>0</v>
      </c>
    </row>
    <row r="987" spans="1:23" ht="38.1" hidden="1" customHeight="1" x14ac:dyDescent="0.2">
      <c r="A987" s="63">
        <v>101501</v>
      </c>
      <c r="B987" s="895">
        <v>101501</v>
      </c>
      <c r="C987" s="896" t="s">
        <v>596</v>
      </c>
      <c r="D987" s="906" t="s">
        <v>914</v>
      </c>
      <c r="E987" s="907"/>
      <c r="F987" s="908"/>
      <c r="G987" s="912"/>
      <c r="H987" s="901">
        <v>1770.67</v>
      </c>
      <c r="I987" s="901">
        <f t="shared" si="324"/>
        <v>1770.67</v>
      </c>
      <c r="J987" s="902">
        <f t="shared" si="323"/>
        <v>2126.04</v>
      </c>
      <c r="K987" s="903" t="s">
        <v>1516</v>
      </c>
      <c r="L987" s="904">
        <f>ROUND(SUM('RES. CENTRAL PARK:RUA_FINAL'!L987),2)</f>
        <v>0</v>
      </c>
      <c r="M987" s="904">
        <f t="shared" si="325"/>
        <v>0</v>
      </c>
      <c r="N987" s="893">
        <f t="shared" si="326"/>
        <v>0</v>
      </c>
      <c r="O987" s="905"/>
      <c r="Q987" s="317" t="str">
        <f t="shared" si="327"/>
        <v/>
      </c>
      <c r="R987" s="317" t="str">
        <f t="shared" si="328"/>
        <v/>
      </c>
      <c r="S987" s="317" t="str">
        <f t="shared" si="329"/>
        <v/>
      </c>
      <c r="V987" s="314">
        <f>SUM('RES. CENTRAL PARK:RUA_FINAL'!N987)</f>
        <v>0</v>
      </c>
      <c r="W987" s="315">
        <f t="shared" si="330"/>
        <v>0</v>
      </c>
    </row>
    <row r="988" spans="1:23" ht="38.1" hidden="1" customHeight="1" x14ac:dyDescent="0.2">
      <c r="A988" s="63">
        <v>101502</v>
      </c>
      <c r="B988" s="895">
        <v>101502</v>
      </c>
      <c r="C988" s="896" t="s">
        <v>596</v>
      </c>
      <c r="D988" s="906" t="s">
        <v>915</v>
      </c>
      <c r="E988" s="907"/>
      <c r="F988" s="908"/>
      <c r="G988" s="912"/>
      <c r="H988" s="901">
        <v>1919.19</v>
      </c>
      <c r="I988" s="901">
        <f t="shared" si="324"/>
        <v>1919.19</v>
      </c>
      <c r="J988" s="902">
        <f t="shared" si="323"/>
        <v>2304.37</v>
      </c>
      <c r="K988" s="903" t="s">
        <v>1516</v>
      </c>
      <c r="L988" s="904">
        <f>ROUND(SUM('RES. CENTRAL PARK:RUA_FINAL'!L988),2)</f>
        <v>0</v>
      </c>
      <c r="M988" s="904">
        <f t="shared" si="325"/>
        <v>0</v>
      </c>
      <c r="N988" s="893">
        <f t="shared" si="326"/>
        <v>0</v>
      </c>
      <c r="O988" s="905"/>
      <c r="Q988" s="317" t="str">
        <f t="shared" si="327"/>
        <v/>
      </c>
      <c r="R988" s="317" t="str">
        <f t="shared" si="328"/>
        <v/>
      </c>
      <c r="S988" s="317" t="str">
        <f t="shared" si="329"/>
        <v/>
      </c>
      <c r="V988" s="314">
        <f>SUM('RES. CENTRAL PARK:RUA_FINAL'!N988)</f>
        <v>0</v>
      </c>
      <c r="W988" s="315">
        <f t="shared" si="330"/>
        <v>0</v>
      </c>
    </row>
    <row r="989" spans="1:23" ht="38.1" hidden="1" customHeight="1" x14ac:dyDescent="0.2">
      <c r="A989" s="63">
        <v>101503</v>
      </c>
      <c r="B989" s="895">
        <v>101503</v>
      </c>
      <c r="C989" s="896" t="s">
        <v>596</v>
      </c>
      <c r="D989" s="906" t="s">
        <v>916</v>
      </c>
      <c r="E989" s="907"/>
      <c r="F989" s="908"/>
      <c r="G989" s="912"/>
      <c r="H989" s="901">
        <v>1960.98</v>
      </c>
      <c r="I989" s="901">
        <f t="shared" si="324"/>
        <v>1960.98</v>
      </c>
      <c r="J989" s="902">
        <f t="shared" si="323"/>
        <v>2354.5500000000002</v>
      </c>
      <c r="K989" s="903" t="s">
        <v>1516</v>
      </c>
      <c r="L989" s="904">
        <f>ROUND(SUM('RES. CENTRAL PARK:RUA_FINAL'!L989),2)</f>
        <v>0</v>
      </c>
      <c r="M989" s="904">
        <f t="shared" si="325"/>
        <v>0</v>
      </c>
      <c r="N989" s="893">
        <f t="shared" si="326"/>
        <v>0</v>
      </c>
      <c r="O989" s="905"/>
      <c r="Q989" s="317" t="str">
        <f t="shared" si="327"/>
        <v/>
      </c>
      <c r="R989" s="317" t="str">
        <f t="shared" si="328"/>
        <v/>
      </c>
      <c r="S989" s="317" t="str">
        <f t="shared" si="329"/>
        <v/>
      </c>
      <c r="V989" s="314">
        <f>SUM('RES. CENTRAL PARK:RUA_FINAL'!N989)</f>
        <v>0</v>
      </c>
      <c r="W989" s="315">
        <f t="shared" si="330"/>
        <v>0</v>
      </c>
    </row>
    <row r="990" spans="1:23" ht="38.1" hidden="1" customHeight="1" x14ac:dyDescent="0.2">
      <c r="A990" s="63">
        <v>101504</v>
      </c>
      <c r="B990" s="895">
        <v>101504</v>
      </c>
      <c r="C990" s="896" t="s">
        <v>596</v>
      </c>
      <c r="D990" s="906" t="s">
        <v>917</v>
      </c>
      <c r="E990" s="907"/>
      <c r="F990" s="908"/>
      <c r="G990" s="912"/>
      <c r="H990" s="901">
        <v>2173.65</v>
      </c>
      <c r="I990" s="901">
        <f t="shared" si="324"/>
        <v>2173.65</v>
      </c>
      <c r="J990" s="902">
        <f t="shared" si="323"/>
        <v>2609.9</v>
      </c>
      <c r="K990" s="903" t="s">
        <v>1516</v>
      </c>
      <c r="L990" s="904">
        <f>ROUND(SUM('RES. CENTRAL PARK:RUA_FINAL'!L990),2)</f>
        <v>0</v>
      </c>
      <c r="M990" s="904">
        <f t="shared" si="325"/>
        <v>0</v>
      </c>
      <c r="N990" s="893">
        <f t="shared" si="326"/>
        <v>0</v>
      </c>
      <c r="O990" s="905"/>
      <c r="Q990" s="317" t="str">
        <f t="shared" si="327"/>
        <v/>
      </c>
      <c r="R990" s="317" t="str">
        <f t="shared" si="328"/>
        <v/>
      </c>
      <c r="S990" s="317" t="str">
        <f t="shared" si="329"/>
        <v/>
      </c>
      <c r="V990" s="314">
        <f>SUM('RES. CENTRAL PARK:RUA_FINAL'!N990)</f>
        <v>0</v>
      </c>
      <c r="W990" s="315">
        <f t="shared" si="330"/>
        <v>0</v>
      </c>
    </row>
    <row r="991" spans="1:23" ht="38.1" hidden="1" customHeight="1" x14ac:dyDescent="0.2">
      <c r="A991" s="63">
        <v>101505</v>
      </c>
      <c r="B991" s="895">
        <v>101505</v>
      </c>
      <c r="C991" s="896" t="s">
        <v>596</v>
      </c>
      <c r="D991" s="906" t="s">
        <v>918</v>
      </c>
      <c r="E991" s="907"/>
      <c r="F991" s="908"/>
      <c r="G991" s="912"/>
      <c r="H991" s="901">
        <v>1896.69</v>
      </c>
      <c r="I991" s="901">
        <f t="shared" si="324"/>
        <v>1896.69</v>
      </c>
      <c r="J991" s="902">
        <f t="shared" si="323"/>
        <v>2277.36</v>
      </c>
      <c r="K991" s="903" t="s">
        <v>1516</v>
      </c>
      <c r="L991" s="904">
        <f>ROUND(SUM('RES. CENTRAL PARK:RUA_FINAL'!L991),2)</f>
        <v>0</v>
      </c>
      <c r="M991" s="904">
        <f t="shared" si="325"/>
        <v>0</v>
      </c>
      <c r="N991" s="893">
        <f t="shared" si="326"/>
        <v>0</v>
      </c>
      <c r="O991" s="905"/>
      <c r="Q991" s="317" t="str">
        <f t="shared" si="327"/>
        <v/>
      </c>
      <c r="R991" s="317" t="str">
        <f t="shared" si="328"/>
        <v/>
      </c>
      <c r="S991" s="317" t="str">
        <f t="shared" si="329"/>
        <v/>
      </c>
      <c r="V991" s="314">
        <f>SUM('RES. CENTRAL PARK:RUA_FINAL'!N991)</f>
        <v>0</v>
      </c>
      <c r="W991" s="315">
        <f t="shared" si="330"/>
        <v>0</v>
      </c>
    </row>
    <row r="992" spans="1:23" ht="38.1" hidden="1" customHeight="1" x14ac:dyDescent="0.2">
      <c r="A992" s="63">
        <v>101506</v>
      </c>
      <c r="B992" s="895">
        <v>101506</v>
      </c>
      <c r="C992" s="896" t="s">
        <v>596</v>
      </c>
      <c r="D992" s="906" t="s">
        <v>919</v>
      </c>
      <c r="E992" s="907"/>
      <c r="F992" s="908"/>
      <c r="G992" s="912"/>
      <c r="H992" s="901">
        <v>2094.7199999999998</v>
      </c>
      <c r="I992" s="901">
        <f t="shared" si="324"/>
        <v>2094.7199999999998</v>
      </c>
      <c r="J992" s="902">
        <f t="shared" si="323"/>
        <v>2515.13</v>
      </c>
      <c r="K992" s="903" t="s">
        <v>1516</v>
      </c>
      <c r="L992" s="904">
        <f>ROUND(SUM('RES. CENTRAL PARK:RUA_FINAL'!L992),2)</f>
        <v>0</v>
      </c>
      <c r="M992" s="904">
        <f t="shared" si="325"/>
        <v>0</v>
      </c>
      <c r="N992" s="893">
        <f t="shared" si="326"/>
        <v>0</v>
      </c>
      <c r="O992" s="905"/>
      <c r="Q992" s="317" t="str">
        <f t="shared" si="327"/>
        <v/>
      </c>
      <c r="R992" s="317" t="str">
        <f t="shared" si="328"/>
        <v/>
      </c>
      <c r="S992" s="317" t="str">
        <f t="shared" si="329"/>
        <v/>
      </c>
      <c r="V992" s="314">
        <f>SUM('RES. CENTRAL PARK:RUA_FINAL'!N992)</f>
        <v>0</v>
      </c>
      <c r="W992" s="315">
        <f t="shared" si="330"/>
        <v>0</v>
      </c>
    </row>
    <row r="993" spans="1:23" ht="38.1" hidden="1" customHeight="1" x14ac:dyDescent="0.2">
      <c r="A993" s="63">
        <v>101507</v>
      </c>
      <c r="B993" s="895">
        <v>101507</v>
      </c>
      <c r="C993" s="896" t="s">
        <v>596</v>
      </c>
      <c r="D993" s="906" t="s">
        <v>920</v>
      </c>
      <c r="E993" s="907"/>
      <c r="F993" s="908"/>
      <c r="G993" s="912"/>
      <c r="H993" s="901">
        <v>2150.44</v>
      </c>
      <c r="I993" s="901">
        <f t="shared" si="324"/>
        <v>2150.44</v>
      </c>
      <c r="J993" s="902">
        <f t="shared" si="323"/>
        <v>2582.0300000000002</v>
      </c>
      <c r="K993" s="903" t="s">
        <v>1516</v>
      </c>
      <c r="L993" s="904">
        <f>ROUND(SUM('RES. CENTRAL PARK:RUA_FINAL'!L993),2)</f>
        <v>0</v>
      </c>
      <c r="M993" s="904">
        <f t="shared" si="325"/>
        <v>0</v>
      </c>
      <c r="N993" s="893">
        <f t="shared" si="326"/>
        <v>0</v>
      </c>
      <c r="O993" s="905"/>
      <c r="Q993" s="317" t="str">
        <f t="shared" si="327"/>
        <v/>
      </c>
      <c r="R993" s="317" t="str">
        <f t="shared" si="328"/>
        <v/>
      </c>
      <c r="S993" s="317" t="str">
        <f t="shared" si="329"/>
        <v/>
      </c>
      <c r="V993" s="314">
        <f>SUM('RES. CENTRAL PARK:RUA_FINAL'!N993)</f>
        <v>0</v>
      </c>
      <c r="W993" s="315">
        <f t="shared" si="330"/>
        <v>0</v>
      </c>
    </row>
    <row r="994" spans="1:23" ht="38.1" hidden="1" customHeight="1" x14ac:dyDescent="0.2">
      <c r="A994" s="63">
        <v>101508</v>
      </c>
      <c r="B994" s="895">
        <v>101508</v>
      </c>
      <c r="C994" s="896" t="s">
        <v>596</v>
      </c>
      <c r="D994" s="906" t="s">
        <v>921</v>
      </c>
      <c r="E994" s="907"/>
      <c r="F994" s="908"/>
      <c r="G994" s="912"/>
      <c r="H994" s="901">
        <v>2420.2800000000002</v>
      </c>
      <c r="I994" s="901">
        <f t="shared" si="324"/>
        <v>2420.2800000000002</v>
      </c>
      <c r="J994" s="902">
        <f t="shared" si="323"/>
        <v>2906.03</v>
      </c>
      <c r="K994" s="903" t="s">
        <v>1516</v>
      </c>
      <c r="L994" s="904">
        <f>ROUND(SUM('RES. CENTRAL PARK:RUA_FINAL'!L994),2)</f>
        <v>0</v>
      </c>
      <c r="M994" s="904">
        <f t="shared" si="325"/>
        <v>0</v>
      </c>
      <c r="N994" s="893">
        <f t="shared" si="326"/>
        <v>0</v>
      </c>
      <c r="O994" s="905"/>
      <c r="Q994" s="317" t="str">
        <f t="shared" si="327"/>
        <v/>
      </c>
      <c r="R994" s="317" t="str">
        <f t="shared" si="328"/>
        <v/>
      </c>
      <c r="S994" s="317" t="str">
        <f t="shared" si="329"/>
        <v/>
      </c>
      <c r="V994" s="314">
        <f>SUM('RES. CENTRAL PARK:RUA_FINAL'!N994)</f>
        <v>0</v>
      </c>
      <c r="W994" s="315">
        <f t="shared" si="330"/>
        <v>0</v>
      </c>
    </row>
    <row r="995" spans="1:23" ht="30" hidden="1" customHeight="1" x14ac:dyDescent="0.2">
      <c r="A995" s="63">
        <v>101509</v>
      </c>
      <c r="B995" s="895">
        <v>101509</v>
      </c>
      <c r="C995" s="896" t="s">
        <v>596</v>
      </c>
      <c r="D995" s="906" t="s">
        <v>922</v>
      </c>
      <c r="E995" s="907"/>
      <c r="F995" s="908"/>
      <c r="G995" s="912"/>
      <c r="H995" s="901">
        <v>2020.87</v>
      </c>
      <c r="I995" s="901">
        <f t="shared" si="324"/>
        <v>2020.87</v>
      </c>
      <c r="J995" s="902">
        <f t="shared" si="323"/>
        <v>2426.46</v>
      </c>
      <c r="K995" s="903" t="s">
        <v>1516</v>
      </c>
      <c r="L995" s="904">
        <f>ROUND(SUM('RES. CENTRAL PARK:RUA_FINAL'!L995),2)</f>
        <v>0</v>
      </c>
      <c r="M995" s="904">
        <f t="shared" si="325"/>
        <v>0</v>
      </c>
      <c r="N995" s="893">
        <f t="shared" si="326"/>
        <v>0</v>
      </c>
      <c r="O995" s="905"/>
      <c r="Q995" s="317" t="str">
        <f t="shared" si="327"/>
        <v/>
      </c>
      <c r="R995" s="317" t="str">
        <f t="shared" si="328"/>
        <v/>
      </c>
      <c r="S995" s="317" t="str">
        <f t="shared" si="329"/>
        <v/>
      </c>
      <c r="V995" s="314">
        <f>SUM('RES. CENTRAL PARK:RUA_FINAL'!N995)</f>
        <v>0</v>
      </c>
      <c r="W995" s="315">
        <f t="shared" si="330"/>
        <v>0</v>
      </c>
    </row>
    <row r="996" spans="1:23" ht="30" hidden="1" customHeight="1" x14ac:dyDescent="0.2">
      <c r="A996" s="63">
        <v>101510</v>
      </c>
      <c r="B996" s="895">
        <v>101510</v>
      </c>
      <c r="C996" s="896" t="s">
        <v>596</v>
      </c>
      <c r="D996" s="906" t="s">
        <v>923</v>
      </c>
      <c r="E996" s="907"/>
      <c r="F996" s="908"/>
      <c r="G996" s="912"/>
      <c r="H996" s="901">
        <v>2218.9</v>
      </c>
      <c r="I996" s="901">
        <f t="shared" si="324"/>
        <v>2218.9</v>
      </c>
      <c r="J996" s="902">
        <f t="shared" si="323"/>
        <v>2664.23</v>
      </c>
      <c r="K996" s="903" t="s">
        <v>1516</v>
      </c>
      <c r="L996" s="904">
        <f>ROUND(SUM('RES. CENTRAL PARK:RUA_FINAL'!L996),2)</f>
        <v>0</v>
      </c>
      <c r="M996" s="904">
        <f t="shared" si="325"/>
        <v>0</v>
      </c>
      <c r="N996" s="893">
        <f t="shared" si="326"/>
        <v>0</v>
      </c>
      <c r="O996" s="905"/>
      <c r="Q996" s="317" t="str">
        <f t="shared" si="327"/>
        <v/>
      </c>
      <c r="R996" s="317" t="str">
        <f t="shared" si="328"/>
        <v/>
      </c>
      <c r="S996" s="317" t="str">
        <f t="shared" si="329"/>
        <v/>
      </c>
      <c r="V996" s="314">
        <f>SUM('RES. CENTRAL PARK:RUA_FINAL'!N996)</f>
        <v>0</v>
      </c>
      <c r="W996" s="315">
        <f t="shared" si="330"/>
        <v>0</v>
      </c>
    </row>
    <row r="997" spans="1:23" ht="30" hidden="1" customHeight="1" x14ac:dyDescent="0.2">
      <c r="A997" s="63">
        <v>101511</v>
      </c>
      <c r="B997" s="895">
        <v>101511</v>
      </c>
      <c r="C997" s="896" t="s">
        <v>596</v>
      </c>
      <c r="D997" s="906" t="s">
        <v>924</v>
      </c>
      <c r="E997" s="907"/>
      <c r="F997" s="908"/>
      <c r="G997" s="912"/>
      <c r="H997" s="901">
        <v>2274.62</v>
      </c>
      <c r="I997" s="901">
        <f t="shared" si="324"/>
        <v>2274.62</v>
      </c>
      <c r="J997" s="902">
        <f t="shared" si="323"/>
        <v>2731.14</v>
      </c>
      <c r="K997" s="903" t="s">
        <v>1516</v>
      </c>
      <c r="L997" s="904">
        <f>ROUND(SUM('RES. CENTRAL PARK:RUA_FINAL'!L997),2)</f>
        <v>0</v>
      </c>
      <c r="M997" s="904">
        <f t="shared" si="325"/>
        <v>0</v>
      </c>
      <c r="N997" s="893">
        <f t="shared" si="326"/>
        <v>0</v>
      </c>
      <c r="O997" s="905"/>
      <c r="Q997" s="317" t="str">
        <f t="shared" si="327"/>
        <v/>
      </c>
      <c r="R997" s="317" t="str">
        <f t="shared" si="328"/>
        <v/>
      </c>
      <c r="S997" s="317" t="str">
        <f t="shared" si="329"/>
        <v/>
      </c>
      <c r="V997" s="314">
        <f>SUM('RES. CENTRAL PARK:RUA_FINAL'!N997)</f>
        <v>0</v>
      </c>
      <c r="W997" s="315">
        <f t="shared" si="330"/>
        <v>0</v>
      </c>
    </row>
    <row r="998" spans="1:23" ht="30" hidden="1" customHeight="1" x14ac:dyDescent="0.2">
      <c r="A998" s="63">
        <v>101512</v>
      </c>
      <c r="B998" s="895">
        <v>101512</v>
      </c>
      <c r="C998" s="896" t="s">
        <v>596</v>
      </c>
      <c r="D998" s="906" t="s">
        <v>925</v>
      </c>
      <c r="E998" s="907"/>
      <c r="F998" s="908"/>
      <c r="G998" s="912"/>
      <c r="H998" s="901">
        <v>2544.46</v>
      </c>
      <c r="I998" s="901">
        <f t="shared" si="324"/>
        <v>2544.46</v>
      </c>
      <c r="J998" s="902">
        <f t="shared" si="323"/>
        <v>3055.13</v>
      </c>
      <c r="K998" s="903" t="s">
        <v>1516</v>
      </c>
      <c r="L998" s="904">
        <f>ROUND(SUM('RES. CENTRAL PARK:RUA_FINAL'!L998),2)</f>
        <v>0</v>
      </c>
      <c r="M998" s="904">
        <f t="shared" si="325"/>
        <v>0</v>
      </c>
      <c r="N998" s="893">
        <f t="shared" si="326"/>
        <v>0</v>
      </c>
      <c r="O998" s="905"/>
      <c r="Q998" s="317" t="str">
        <f t="shared" si="327"/>
        <v/>
      </c>
      <c r="R998" s="317" t="str">
        <f t="shared" si="328"/>
        <v/>
      </c>
      <c r="S998" s="317" t="str">
        <f t="shared" si="329"/>
        <v/>
      </c>
      <c r="V998" s="314">
        <f>SUM('RES. CENTRAL PARK:RUA_FINAL'!N998)</f>
        <v>0</v>
      </c>
      <c r="W998" s="315">
        <f t="shared" si="330"/>
        <v>0</v>
      </c>
    </row>
    <row r="999" spans="1:23" ht="34.5" hidden="1" thickBot="1" x14ac:dyDescent="0.25">
      <c r="A999" s="63">
        <v>101513</v>
      </c>
      <c r="B999" s="895">
        <v>101513</v>
      </c>
      <c r="C999" s="896" t="s">
        <v>596</v>
      </c>
      <c r="D999" s="906" t="s">
        <v>926</v>
      </c>
      <c r="E999" s="907"/>
      <c r="F999" s="908"/>
      <c r="G999" s="912"/>
      <c r="H999" s="901">
        <v>840</v>
      </c>
      <c r="I999" s="901">
        <f t="shared" si="324"/>
        <v>840</v>
      </c>
      <c r="J999" s="902">
        <f t="shared" si="323"/>
        <v>1008.59</v>
      </c>
      <c r="K999" s="903" t="s">
        <v>1516</v>
      </c>
      <c r="L999" s="904">
        <f>ROUND(SUM('RES. CENTRAL PARK:RUA_FINAL'!L999),2)</f>
        <v>0</v>
      </c>
      <c r="M999" s="904">
        <f t="shared" si="325"/>
        <v>0</v>
      </c>
      <c r="N999" s="893">
        <f t="shared" si="326"/>
        <v>0</v>
      </c>
      <c r="O999" s="905"/>
      <c r="Q999" s="317" t="str">
        <f t="shared" si="327"/>
        <v/>
      </c>
      <c r="R999" s="317" t="str">
        <f t="shared" si="328"/>
        <v/>
      </c>
      <c r="S999" s="317" t="str">
        <f t="shared" si="329"/>
        <v/>
      </c>
      <c r="V999" s="314">
        <f>SUM('RES. CENTRAL PARK:RUA_FINAL'!N999)</f>
        <v>0</v>
      </c>
      <c r="W999" s="315">
        <f t="shared" si="330"/>
        <v>0</v>
      </c>
    </row>
    <row r="1000" spans="1:23" ht="34.5" hidden="1" thickBot="1" x14ac:dyDescent="0.25">
      <c r="A1000" s="63">
        <v>101514</v>
      </c>
      <c r="B1000" s="895">
        <v>101514</v>
      </c>
      <c r="C1000" s="896" t="s">
        <v>596</v>
      </c>
      <c r="D1000" s="906" t="s">
        <v>927</v>
      </c>
      <c r="E1000" s="907"/>
      <c r="F1000" s="908"/>
      <c r="G1000" s="912"/>
      <c r="H1000" s="901">
        <v>957.75</v>
      </c>
      <c r="I1000" s="901">
        <f t="shared" si="324"/>
        <v>957.75</v>
      </c>
      <c r="J1000" s="902">
        <f t="shared" si="323"/>
        <v>1149.97</v>
      </c>
      <c r="K1000" s="903" t="s">
        <v>1516</v>
      </c>
      <c r="L1000" s="904">
        <f>ROUND(SUM('RES. CENTRAL PARK:RUA_FINAL'!L1000),2)</f>
        <v>0</v>
      </c>
      <c r="M1000" s="904">
        <f t="shared" si="325"/>
        <v>0</v>
      </c>
      <c r="N1000" s="893">
        <f t="shared" si="326"/>
        <v>0</v>
      </c>
      <c r="O1000" s="905"/>
      <c r="Q1000" s="317" t="str">
        <f t="shared" si="327"/>
        <v/>
      </c>
      <c r="R1000" s="317" t="str">
        <f t="shared" si="328"/>
        <v/>
      </c>
      <c r="S1000" s="317" t="str">
        <f t="shared" si="329"/>
        <v/>
      </c>
      <c r="V1000" s="314">
        <f>SUM('RES. CENTRAL PARK:RUA_FINAL'!N1000)</f>
        <v>0</v>
      </c>
      <c r="W1000" s="315">
        <f t="shared" si="330"/>
        <v>0</v>
      </c>
    </row>
    <row r="1001" spans="1:23" ht="34.5" hidden="1" thickBot="1" x14ac:dyDescent="0.25">
      <c r="A1001" s="63">
        <v>101515</v>
      </c>
      <c r="B1001" s="895">
        <v>101515</v>
      </c>
      <c r="C1001" s="896" t="s">
        <v>596</v>
      </c>
      <c r="D1001" s="906" t="s">
        <v>928</v>
      </c>
      <c r="E1001" s="907"/>
      <c r="F1001" s="908"/>
      <c r="G1001" s="912"/>
      <c r="H1001" s="901">
        <v>990.88</v>
      </c>
      <c r="I1001" s="901">
        <f t="shared" si="324"/>
        <v>990.88</v>
      </c>
      <c r="J1001" s="902">
        <f t="shared" si="323"/>
        <v>1189.75</v>
      </c>
      <c r="K1001" s="903" t="s">
        <v>1516</v>
      </c>
      <c r="L1001" s="904">
        <f>ROUND(SUM('RES. CENTRAL PARK:RUA_FINAL'!L1001),2)</f>
        <v>0</v>
      </c>
      <c r="M1001" s="904">
        <f t="shared" si="325"/>
        <v>0</v>
      </c>
      <c r="N1001" s="893">
        <f t="shared" si="326"/>
        <v>0</v>
      </c>
      <c r="O1001" s="905"/>
      <c r="Q1001" s="317" t="str">
        <f t="shared" si="327"/>
        <v/>
      </c>
      <c r="R1001" s="317" t="str">
        <f t="shared" si="328"/>
        <v/>
      </c>
      <c r="S1001" s="317" t="str">
        <f t="shared" si="329"/>
        <v/>
      </c>
      <c r="V1001" s="314">
        <f>SUM('RES. CENTRAL PARK:RUA_FINAL'!N1001)</f>
        <v>0</v>
      </c>
      <c r="W1001" s="315">
        <f t="shared" si="330"/>
        <v>0</v>
      </c>
    </row>
    <row r="1002" spans="1:23" ht="34.5" hidden="1" thickBot="1" x14ac:dyDescent="0.25">
      <c r="A1002" s="63">
        <v>101516</v>
      </c>
      <c r="B1002" s="895">
        <v>101516</v>
      </c>
      <c r="C1002" s="896" t="s">
        <v>596</v>
      </c>
      <c r="D1002" s="906" t="s">
        <v>929</v>
      </c>
      <c r="E1002" s="907"/>
      <c r="F1002" s="908"/>
      <c r="G1002" s="912"/>
      <c r="H1002" s="901">
        <v>1126.8399999999999</v>
      </c>
      <c r="I1002" s="901">
        <f t="shared" si="324"/>
        <v>1126.8399999999999</v>
      </c>
      <c r="J1002" s="902">
        <f t="shared" si="323"/>
        <v>1353</v>
      </c>
      <c r="K1002" s="903" t="s">
        <v>1516</v>
      </c>
      <c r="L1002" s="904">
        <f>ROUND(SUM('RES. CENTRAL PARK:RUA_FINAL'!L1002),2)</f>
        <v>0</v>
      </c>
      <c r="M1002" s="904">
        <f t="shared" si="325"/>
        <v>0</v>
      </c>
      <c r="N1002" s="893">
        <f t="shared" si="326"/>
        <v>0</v>
      </c>
      <c r="O1002" s="905"/>
      <c r="Q1002" s="317" t="str">
        <f t="shared" si="327"/>
        <v/>
      </c>
      <c r="R1002" s="317" t="str">
        <f t="shared" si="328"/>
        <v/>
      </c>
      <c r="S1002" s="317" t="str">
        <f t="shared" si="329"/>
        <v/>
      </c>
      <c r="V1002" s="314">
        <f>SUM('RES. CENTRAL PARK:RUA_FINAL'!N1002)</f>
        <v>0</v>
      </c>
      <c r="W1002" s="315">
        <f t="shared" si="330"/>
        <v>0</v>
      </c>
    </row>
    <row r="1003" spans="1:23" ht="34.5" hidden="1" thickBot="1" x14ac:dyDescent="0.25">
      <c r="A1003" s="63">
        <v>101517</v>
      </c>
      <c r="B1003" s="895">
        <v>101517</v>
      </c>
      <c r="C1003" s="896" t="s">
        <v>596</v>
      </c>
      <c r="D1003" s="906" t="s">
        <v>930</v>
      </c>
      <c r="E1003" s="907"/>
      <c r="F1003" s="908"/>
      <c r="G1003" s="912"/>
      <c r="H1003" s="901">
        <v>819.99</v>
      </c>
      <c r="I1003" s="901">
        <f t="shared" si="324"/>
        <v>819.99</v>
      </c>
      <c r="J1003" s="902">
        <f t="shared" si="323"/>
        <v>984.56</v>
      </c>
      <c r="K1003" s="903" t="s">
        <v>1516</v>
      </c>
      <c r="L1003" s="904">
        <f>ROUND(SUM('RES. CENTRAL PARK:RUA_FINAL'!L1003),2)</f>
        <v>0</v>
      </c>
      <c r="M1003" s="904">
        <f t="shared" si="325"/>
        <v>0</v>
      </c>
      <c r="N1003" s="893">
        <f t="shared" si="326"/>
        <v>0</v>
      </c>
      <c r="O1003" s="905"/>
      <c r="Q1003" s="317" t="str">
        <f t="shared" si="327"/>
        <v/>
      </c>
      <c r="R1003" s="317" t="str">
        <f t="shared" si="328"/>
        <v/>
      </c>
      <c r="S1003" s="317" t="str">
        <f t="shared" si="329"/>
        <v/>
      </c>
      <c r="V1003" s="314">
        <f>SUM('RES. CENTRAL PARK:RUA_FINAL'!N1003)</f>
        <v>0</v>
      </c>
      <c r="W1003" s="315">
        <f t="shared" si="330"/>
        <v>0</v>
      </c>
    </row>
    <row r="1004" spans="1:23" ht="34.5" hidden="1" thickBot="1" x14ac:dyDescent="0.25">
      <c r="A1004" s="63">
        <v>101518</v>
      </c>
      <c r="B1004" s="895">
        <v>101518</v>
      </c>
      <c r="C1004" s="896" t="s">
        <v>596</v>
      </c>
      <c r="D1004" s="906" t="s">
        <v>931</v>
      </c>
      <c r="E1004" s="907"/>
      <c r="F1004" s="908"/>
      <c r="G1004" s="912"/>
      <c r="H1004" s="901">
        <v>937.74</v>
      </c>
      <c r="I1004" s="901">
        <f t="shared" si="324"/>
        <v>937.74</v>
      </c>
      <c r="J1004" s="902">
        <f t="shared" si="323"/>
        <v>1125.94</v>
      </c>
      <c r="K1004" s="903" t="s">
        <v>1516</v>
      </c>
      <c r="L1004" s="904">
        <f>ROUND(SUM('RES. CENTRAL PARK:RUA_FINAL'!L1004),2)</f>
        <v>0</v>
      </c>
      <c r="M1004" s="904">
        <f t="shared" si="325"/>
        <v>0</v>
      </c>
      <c r="N1004" s="893">
        <f t="shared" si="326"/>
        <v>0</v>
      </c>
      <c r="O1004" s="905"/>
      <c r="Q1004" s="317" t="str">
        <f t="shared" si="327"/>
        <v/>
      </c>
      <c r="R1004" s="317" t="str">
        <f t="shared" si="328"/>
        <v/>
      </c>
      <c r="S1004" s="317" t="str">
        <f t="shared" si="329"/>
        <v/>
      </c>
      <c r="V1004" s="314">
        <f>SUM('RES. CENTRAL PARK:RUA_FINAL'!N1004)</f>
        <v>0</v>
      </c>
      <c r="W1004" s="315">
        <f t="shared" si="330"/>
        <v>0</v>
      </c>
    </row>
    <row r="1005" spans="1:23" ht="34.5" hidden="1" thickBot="1" x14ac:dyDescent="0.25">
      <c r="A1005" s="63">
        <v>101519</v>
      </c>
      <c r="B1005" s="895">
        <v>101519</v>
      </c>
      <c r="C1005" s="896" t="s">
        <v>596</v>
      </c>
      <c r="D1005" s="906" t="s">
        <v>932</v>
      </c>
      <c r="E1005" s="907"/>
      <c r="F1005" s="908"/>
      <c r="G1005" s="912"/>
      <c r="H1005" s="901">
        <v>970.87</v>
      </c>
      <c r="I1005" s="901">
        <f t="shared" si="324"/>
        <v>970.87</v>
      </c>
      <c r="J1005" s="902">
        <f t="shared" si="323"/>
        <v>1165.72</v>
      </c>
      <c r="K1005" s="903" t="s">
        <v>1516</v>
      </c>
      <c r="L1005" s="904">
        <f>ROUND(SUM('RES. CENTRAL PARK:RUA_FINAL'!L1005),2)</f>
        <v>0</v>
      </c>
      <c r="M1005" s="904">
        <f t="shared" si="325"/>
        <v>0</v>
      </c>
      <c r="N1005" s="893">
        <f t="shared" si="326"/>
        <v>0</v>
      </c>
      <c r="O1005" s="905"/>
      <c r="Q1005" s="317" t="str">
        <f t="shared" si="327"/>
        <v/>
      </c>
      <c r="R1005" s="317" t="str">
        <f t="shared" si="328"/>
        <v/>
      </c>
      <c r="S1005" s="317" t="str">
        <f t="shared" si="329"/>
        <v/>
      </c>
      <c r="V1005" s="314">
        <f>SUM('RES. CENTRAL PARK:RUA_FINAL'!N1005)</f>
        <v>0</v>
      </c>
      <c r="W1005" s="315">
        <f t="shared" si="330"/>
        <v>0</v>
      </c>
    </row>
    <row r="1006" spans="1:23" ht="34.5" hidden="1" thickBot="1" x14ac:dyDescent="0.25">
      <c r="A1006" s="63">
        <v>101520</v>
      </c>
      <c r="B1006" s="895">
        <v>101520</v>
      </c>
      <c r="C1006" s="896" t="s">
        <v>596</v>
      </c>
      <c r="D1006" s="906" t="s">
        <v>933</v>
      </c>
      <c r="E1006" s="907"/>
      <c r="F1006" s="908"/>
      <c r="G1006" s="912"/>
      <c r="H1006" s="901">
        <v>1106.83</v>
      </c>
      <c r="I1006" s="901">
        <f t="shared" si="324"/>
        <v>1106.83</v>
      </c>
      <c r="J1006" s="902">
        <f t="shared" si="323"/>
        <v>1328.97</v>
      </c>
      <c r="K1006" s="903" t="s">
        <v>1516</v>
      </c>
      <c r="L1006" s="904">
        <f>ROUND(SUM('RES. CENTRAL PARK:RUA_FINAL'!L1006),2)</f>
        <v>0</v>
      </c>
      <c r="M1006" s="904">
        <f t="shared" si="325"/>
        <v>0</v>
      </c>
      <c r="N1006" s="893">
        <f t="shared" si="326"/>
        <v>0</v>
      </c>
      <c r="O1006" s="905"/>
      <c r="Q1006" s="317" t="str">
        <f t="shared" si="327"/>
        <v/>
      </c>
      <c r="R1006" s="317" t="str">
        <f t="shared" si="328"/>
        <v/>
      </c>
      <c r="S1006" s="317" t="str">
        <f t="shared" si="329"/>
        <v/>
      </c>
      <c r="V1006" s="314">
        <f>SUM('RES. CENTRAL PARK:RUA_FINAL'!N1006)</f>
        <v>0</v>
      </c>
      <c r="W1006" s="315">
        <f t="shared" si="330"/>
        <v>0</v>
      </c>
    </row>
    <row r="1007" spans="1:23" ht="34.5" hidden="1" thickBot="1" x14ac:dyDescent="0.25">
      <c r="A1007" s="63">
        <v>101521</v>
      </c>
      <c r="B1007" s="895">
        <v>101521</v>
      </c>
      <c r="C1007" s="896" t="s">
        <v>596</v>
      </c>
      <c r="D1007" s="906" t="s">
        <v>934</v>
      </c>
      <c r="E1007" s="907"/>
      <c r="F1007" s="908"/>
      <c r="G1007" s="912"/>
      <c r="H1007" s="901">
        <v>1130.83</v>
      </c>
      <c r="I1007" s="901">
        <f t="shared" si="324"/>
        <v>1130.83</v>
      </c>
      <c r="J1007" s="902">
        <f t="shared" si="323"/>
        <v>1357.79</v>
      </c>
      <c r="K1007" s="903" t="s">
        <v>1516</v>
      </c>
      <c r="L1007" s="904">
        <f>ROUND(SUM('RES. CENTRAL PARK:RUA_FINAL'!L1007),2)</f>
        <v>0</v>
      </c>
      <c r="M1007" s="904">
        <f t="shared" si="325"/>
        <v>0</v>
      </c>
      <c r="N1007" s="893">
        <f t="shared" si="326"/>
        <v>0</v>
      </c>
      <c r="O1007" s="905"/>
      <c r="Q1007" s="317" t="str">
        <f t="shared" si="327"/>
        <v/>
      </c>
      <c r="R1007" s="317" t="str">
        <f t="shared" si="328"/>
        <v/>
      </c>
      <c r="S1007" s="317" t="str">
        <f t="shared" si="329"/>
        <v/>
      </c>
      <c r="V1007" s="314">
        <f>SUM('RES. CENTRAL PARK:RUA_FINAL'!N1007)</f>
        <v>0</v>
      </c>
      <c r="W1007" s="315">
        <f t="shared" si="330"/>
        <v>0</v>
      </c>
    </row>
    <row r="1008" spans="1:23" ht="34.5" hidden="1" thickBot="1" x14ac:dyDescent="0.25">
      <c r="A1008" s="63">
        <v>101522</v>
      </c>
      <c r="B1008" s="895">
        <v>101522</v>
      </c>
      <c r="C1008" s="896" t="s">
        <v>596</v>
      </c>
      <c r="D1008" s="906" t="s">
        <v>935</v>
      </c>
      <c r="E1008" s="907"/>
      <c r="F1008" s="908"/>
      <c r="G1008" s="912"/>
      <c r="H1008" s="901">
        <v>1307.45</v>
      </c>
      <c r="I1008" s="901">
        <f t="shared" si="324"/>
        <v>1307.45</v>
      </c>
      <c r="J1008" s="902">
        <f t="shared" si="323"/>
        <v>1569.86</v>
      </c>
      <c r="K1008" s="903" t="s">
        <v>1516</v>
      </c>
      <c r="L1008" s="904">
        <f>ROUND(SUM('RES. CENTRAL PARK:RUA_FINAL'!L1008),2)</f>
        <v>0</v>
      </c>
      <c r="M1008" s="904">
        <f t="shared" si="325"/>
        <v>0</v>
      </c>
      <c r="N1008" s="893">
        <f t="shared" si="326"/>
        <v>0</v>
      </c>
      <c r="O1008" s="905"/>
      <c r="Q1008" s="317" t="str">
        <f t="shared" si="327"/>
        <v/>
      </c>
      <c r="R1008" s="317" t="str">
        <f t="shared" si="328"/>
        <v/>
      </c>
      <c r="S1008" s="317" t="str">
        <f t="shared" si="329"/>
        <v/>
      </c>
      <c r="V1008" s="314">
        <f>SUM('RES. CENTRAL PARK:RUA_FINAL'!N1008)</f>
        <v>0</v>
      </c>
      <c r="W1008" s="315">
        <f t="shared" si="330"/>
        <v>0</v>
      </c>
    </row>
    <row r="1009" spans="1:23" ht="34.5" hidden="1" thickBot="1" x14ac:dyDescent="0.25">
      <c r="A1009" s="63">
        <v>101523</v>
      </c>
      <c r="B1009" s="895">
        <v>101523</v>
      </c>
      <c r="C1009" s="896" t="s">
        <v>596</v>
      </c>
      <c r="D1009" s="906" t="s">
        <v>936</v>
      </c>
      <c r="E1009" s="907"/>
      <c r="F1009" s="908"/>
      <c r="G1009" s="912"/>
      <c r="H1009" s="901">
        <v>1357.14</v>
      </c>
      <c r="I1009" s="901">
        <f t="shared" si="324"/>
        <v>1357.14</v>
      </c>
      <c r="J1009" s="902">
        <f t="shared" si="323"/>
        <v>1629.52</v>
      </c>
      <c r="K1009" s="903" t="s">
        <v>1516</v>
      </c>
      <c r="L1009" s="904">
        <f>ROUND(SUM('RES. CENTRAL PARK:RUA_FINAL'!L1009),2)</f>
        <v>0</v>
      </c>
      <c r="M1009" s="904">
        <f t="shared" si="325"/>
        <v>0</v>
      </c>
      <c r="N1009" s="893">
        <f t="shared" si="326"/>
        <v>0</v>
      </c>
      <c r="O1009" s="905"/>
      <c r="Q1009" s="317" t="str">
        <f t="shared" si="327"/>
        <v/>
      </c>
      <c r="R1009" s="317" t="str">
        <f t="shared" si="328"/>
        <v/>
      </c>
      <c r="S1009" s="317" t="str">
        <f t="shared" si="329"/>
        <v/>
      </c>
      <c r="V1009" s="314">
        <f>SUM('RES. CENTRAL PARK:RUA_FINAL'!N1009)</f>
        <v>0</v>
      </c>
      <c r="W1009" s="315">
        <f t="shared" si="330"/>
        <v>0</v>
      </c>
    </row>
    <row r="1010" spans="1:23" ht="34.5" hidden="1" thickBot="1" x14ac:dyDescent="0.25">
      <c r="A1010" s="63">
        <v>101524</v>
      </c>
      <c r="B1010" s="895">
        <v>101524</v>
      </c>
      <c r="C1010" s="896" t="s">
        <v>596</v>
      </c>
      <c r="D1010" s="906" t="s">
        <v>937</v>
      </c>
      <c r="E1010" s="907"/>
      <c r="F1010" s="908"/>
      <c r="G1010" s="912"/>
      <c r="H1010" s="901">
        <v>1561.08</v>
      </c>
      <c r="I1010" s="901">
        <f t="shared" si="324"/>
        <v>1561.08</v>
      </c>
      <c r="J1010" s="902">
        <f t="shared" si="323"/>
        <v>1874.39</v>
      </c>
      <c r="K1010" s="903" t="s">
        <v>1516</v>
      </c>
      <c r="L1010" s="904">
        <f>ROUND(SUM('RES. CENTRAL PARK:RUA_FINAL'!L1010),2)</f>
        <v>0</v>
      </c>
      <c r="M1010" s="904">
        <f t="shared" si="325"/>
        <v>0</v>
      </c>
      <c r="N1010" s="893">
        <f t="shared" si="326"/>
        <v>0</v>
      </c>
      <c r="O1010" s="905"/>
      <c r="Q1010" s="317" t="str">
        <f t="shared" si="327"/>
        <v/>
      </c>
      <c r="R1010" s="317" t="str">
        <f t="shared" si="328"/>
        <v/>
      </c>
      <c r="S1010" s="317" t="str">
        <f t="shared" si="329"/>
        <v/>
      </c>
      <c r="V1010" s="314">
        <f>SUM('RES. CENTRAL PARK:RUA_FINAL'!N1010)</f>
        <v>0</v>
      </c>
      <c r="W1010" s="315">
        <f t="shared" si="330"/>
        <v>0</v>
      </c>
    </row>
    <row r="1011" spans="1:23" ht="34.5" hidden="1" thickBot="1" x14ac:dyDescent="0.25">
      <c r="A1011" s="63">
        <v>101525</v>
      </c>
      <c r="B1011" s="895">
        <v>101525</v>
      </c>
      <c r="C1011" s="896" t="s">
        <v>596</v>
      </c>
      <c r="D1011" s="906" t="s">
        <v>938</v>
      </c>
      <c r="E1011" s="907"/>
      <c r="F1011" s="908"/>
      <c r="G1011" s="912"/>
      <c r="H1011" s="901">
        <v>1118.71</v>
      </c>
      <c r="I1011" s="901">
        <f t="shared" si="324"/>
        <v>1118.71</v>
      </c>
      <c r="J1011" s="902">
        <f t="shared" si="323"/>
        <v>1343.24</v>
      </c>
      <c r="K1011" s="903" t="s">
        <v>1516</v>
      </c>
      <c r="L1011" s="904">
        <f>ROUND(SUM('RES. CENTRAL PARK:RUA_FINAL'!L1011),2)</f>
        <v>0</v>
      </c>
      <c r="M1011" s="904">
        <f t="shared" si="325"/>
        <v>0</v>
      </c>
      <c r="N1011" s="893">
        <f t="shared" si="326"/>
        <v>0</v>
      </c>
      <c r="O1011" s="905"/>
      <c r="Q1011" s="317" t="str">
        <f t="shared" si="327"/>
        <v/>
      </c>
      <c r="R1011" s="317" t="str">
        <f t="shared" si="328"/>
        <v/>
      </c>
      <c r="S1011" s="317" t="str">
        <f t="shared" si="329"/>
        <v/>
      </c>
      <c r="V1011" s="314">
        <f>SUM('RES. CENTRAL PARK:RUA_FINAL'!N1011)</f>
        <v>0</v>
      </c>
      <c r="W1011" s="315">
        <f t="shared" si="330"/>
        <v>0</v>
      </c>
    </row>
    <row r="1012" spans="1:23" ht="34.5" hidden="1" thickBot="1" x14ac:dyDescent="0.25">
      <c r="A1012" s="63">
        <v>101526</v>
      </c>
      <c r="B1012" s="895">
        <v>101526</v>
      </c>
      <c r="C1012" s="896" t="s">
        <v>596</v>
      </c>
      <c r="D1012" s="906" t="s">
        <v>939</v>
      </c>
      <c r="E1012" s="907"/>
      <c r="F1012" s="908"/>
      <c r="G1012" s="912"/>
      <c r="H1012" s="901">
        <v>1295.33</v>
      </c>
      <c r="I1012" s="901">
        <f t="shared" si="324"/>
        <v>1295.33</v>
      </c>
      <c r="J1012" s="902">
        <f t="shared" si="323"/>
        <v>1555.3</v>
      </c>
      <c r="K1012" s="903" t="s">
        <v>1516</v>
      </c>
      <c r="L1012" s="904">
        <f>ROUND(SUM('RES. CENTRAL PARK:RUA_FINAL'!L1012),2)</f>
        <v>0</v>
      </c>
      <c r="M1012" s="904">
        <f t="shared" si="325"/>
        <v>0</v>
      </c>
      <c r="N1012" s="893">
        <f t="shared" si="326"/>
        <v>0</v>
      </c>
      <c r="O1012" s="905"/>
      <c r="Q1012" s="317" t="str">
        <f t="shared" si="327"/>
        <v/>
      </c>
      <c r="R1012" s="317" t="str">
        <f t="shared" si="328"/>
        <v/>
      </c>
      <c r="S1012" s="317" t="str">
        <f t="shared" si="329"/>
        <v/>
      </c>
      <c r="V1012" s="314">
        <f>SUM('RES. CENTRAL PARK:RUA_FINAL'!N1012)</f>
        <v>0</v>
      </c>
      <c r="W1012" s="315">
        <f t="shared" si="330"/>
        <v>0</v>
      </c>
    </row>
    <row r="1013" spans="1:23" ht="34.5" hidden="1" thickBot="1" x14ac:dyDescent="0.25">
      <c r="A1013" s="63">
        <v>101527</v>
      </c>
      <c r="B1013" s="895">
        <v>101527</v>
      </c>
      <c r="C1013" s="896" t="s">
        <v>596</v>
      </c>
      <c r="D1013" s="906" t="s">
        <v>940</v>
      </c>
      <c r="E1013" s="907"/>
      <c r="F1013" s="908"/>
      <c r="G1013" s="912"/>
      <c r="H1013" s="901">
        <v>1345.02</v>
      </c>
      <c r="I1013" s="901">
        <f t="shared" si="324"/>
        <v>1345.02</v>
      </c>
      <c r="J1013" s="902">
        <f t="shared" si="323"/>
        <v>1614.97</v>
      </c>
      <c r="K1013" s="903" t="s">
        <v>1516</v>
      </c>
      <c r="L1013" s="904">
        <f>ROUND(SUM('RES. CENTRAL PARK:RUA_FINAL'!L1013),2)</f>
        <v>0</v>
      </c>
      <c r="M1013" s="904">
        <f t="shared" si="325"/>
        <v>0</v>
      </c>
      <c r="N1013" s="893">
        <f t="shared" si="326"/>
        <v>0</v>
      </c>
      <c r="O1013" s="905"/>
      <c r="Q1013" s="317" t="str">
        <f t="shared" si="327"/>
        <v/>
      </c>
      <c r="R1013" s="317" t="str">
        <f t="shared" si="328"/>
        <v/>
      </c>
      <c r="S1013" s="317" t="str">
        <f t="shared" si="329"/>
        <v/>
      </c>
      <c r="V1013" s="314">
        <f>SUM('RES. CENTRAL PARK:RUA_FINAL'!N1013)</f>
        <v>0</v>
      </c>
      <c r="W1013" s="315">
        <f t="shared" si="330"/>
        <v>0</v>
      </c>
    </row>
    <row r="1014" spans="1:23" ht="34.5" hidden="1" thickBot="1" x14ac:dyDescent="0.25">
      <c r="A1014" s="63">
        <v>101528</v>
      </c>
      <c r="B1014" s="895">
        <v>101528</v>
      </c>
      <c r="C1014" s="896" t="s">
        <v>596</v>
      </c>
      <c r="D1014" s="906" t="s">
        <v>941</v>
      </c>
      <c r="E1014" s="907"/>
      <c r="F1014" s="908"/>
      <c r="G1014" s="912"/>
      <c r="H1014" s="901">
        <v>1548.96</v>
      </c>
      <c r="I1014" s="901">
        <f t="shared" si="324"/>
        <v>1548.96</v>
      </c>
      <c r="J1014" s="902">
        <f t="shared" si="323"/>
        <v>1859.84</v>
      </c>
      <c r="K1014" s="903" t="s">
        <v>1516</v>
      </c>
      <c r="L1014" s="904">
        <f>ROUND(SUM('RES. CENTRAL PARK:RUA_FINAL'!L1014),2)</f>
        <v>0</v>
      </c>
      <c r="M1014" s="904">
        <f t="shared" si="325"/>
        <v>0</v>
      </c>
      <c r="N1014" s="893">
        <f t="shared" si="326"/>
        <v>0</v>
      </c>
      <c r="O1014" s="905"/>
      <c r="Q1014" s="317" t="str">
        <f t="shared" si="327"/>
        <v/>
      </c>
      <c r="R1014" s="317" t="str">
        <f t="shared" si="328"/>
        <v/>
      </c>
      <c r="S1014" s="317" t="str">
        <f t="shared" si="329"/>
        <v/>
      </c>
      <c r="V1014" s="314">
        <f>SUM('RES. CENTRAL PARK:RUA_FINAL'!N1014)</f>
        <v>0</v>
      </c>
      <c r="W1014" s="315">
        <f t="shared" si="330"/>
        <v>0</v>
      </c>
    </row>
    <row r="1015" spans="1:23" ht="34.5" hidden="1" thickBot="1" x14ac:dyDescent="0.25">
      <c r="A1015" s="63">
        <v>101529</v>
      </c>
      <c r="B1015" s="895">
        <v>101529</v>
      </c>
      <c r="C1015" s="896" t="s">
        <v>596</v>
      </c>
      <c r="D1015" s="906" t="s">
        <v>942</v>
      </c>
      <c r="E1015" s="907"/>
      <c r="F1015" s="908"/>
      <c r="G1015" s="912"/>
      <c r="H1015" s="901">
        <v>1261.4000000000001</v>
      </c>
      <c r="I1015" s="901">
        <f t="shared" si="324"/>
        <v>1261.4000000000001</v>
      </c>
      <c r="J1015" s="902">
        <f t="shared" si="323"/>
        <v>1514.56</v>
      </c>
      <c r="K1015" s="903" t="s">
        <v>1516</v>
      </c>
      <c r="L1015" s="904">
        <f>ROUND(SUM('RES. CENTRAL PARK:RUA_FINAL'!L1015),2)</f>
        <v>0</v>
      </c>
      <c r="M1015" s="904">
        <f t="shared" si="325"/>
        <v>0</v>
      </c>
      <c r="N1015" s="893">
        <f t="shared" si="326"/>
        <v>0</v>
      </c>
      <c r="O1015" s="905"/>
      <c r="Q1015" s="317" t="str">
        <f t="shared" si="327"/>
        <v/>
      </c>
      <c r="R1015" s="317" t="str">
        <f t="shared" si="328"/>
        <v/>
      </c>
      <c r="S1015" s="317" t="str">
        <f t="shared" si="329"/>
        <v/>
      </c>
      <c r="V1015" s="314">
        <f>SUM('RES. CENTRAL PARK:RUA_FINAL'!N1015)</f>
        <v>0</v>
      </c>
      <c r="W1015" s="315">
        <f t="shared" si="330"/>
        <v>0</v>
      </c>
    </row>
    <row r="1016" spans="1:23" ht="34.5" hidden="1" thickBot="1" x14ac:dyDescent="0.25">
      <c r="A1016" s="63">
        <v>101530</v>
      </c>
      <c r="B1016" s="895">
        <v>101530</v>
      </c>
      <c r="C1016" s="896" t="s">
        <v>596</v>
      </c>
      <c r="D1016" s="906" t="s">
        <v>943</v>
      </c>
      <c r="E1016" s="907"/>
      <c r="F1016" s="908"/>
      <c r="G1016" s="912"/>
      <c r="H1016" s="901">
        <v>1496.89</v>
      </c>
      <c r="I1016" s="901">
        <f t="shared" si="324"/>
        <v>1496.89</v>
      </c>
      <c r="J1016" s="902">
        <f t="shared" si="323"/>
        <v>1797.32</v>
      </c>
      <c r="K1016" s="903" t="s">
        <v>1516</v>
      </c>
      <c r="L1016" s="904">
        <f>ROUND(SUM('RES. CENTRAL PARK:RUA_FINAL'!L1016),2)</f>
        <v>0</v>
      </c>
      <c r="M1016" s="904">
        <f t="shared" si="325"/>
        <v>0</v>
      </c>
      <c r="N1016" s="893">
        <f t="shared" si="326"/>
        <v>0</v>
      </c>
      <c r="O1016" s="905"/>
      <c r="Q1016" s="317" t="str">
        <f t="shared" si="327"/>
        <v/>
      </c>
      <c r="R1016" s="317" t="str">
        <f t="shared" si="328"/>
        <v/>
      </c>
      <c r="S1016" s="317" t="str">
        <f t="shared" si="329"/>
        <v/>
      </c>
      <c r="V1016" s="314">
        <f>SUM('RES. CENTRAL PARK:RUA_FINAL'!N1016)</f>
        <v>0</v>
      </c>
      <c r="W1016" s="315">
        <f t="shared" si="330"/>
        <v>0</v>
      </c>
    </row>
    <row r="1017" spans="1:23" ht="34.5" hidden="1" thickBot="1" x14ac:dyDescent="0.25">
      <c r="A1017" s="63">
        <v>101531</v>
      </c>
      <c r="B1017" s="895">
        <v>101531</v>
      </c>
      <c r="C1017" s="896" t="s">
        <v>596</v>
      </c>
      <c r="D1017" s="906" t="s">
        <v>944</v>
      </c>
      <c r="E1017" s="907"/>
      <c r="F1017" s="908"/>
      <c r="G1017" s="912"/>
      <c r="H1017" s="901">
        <v>1563.15</v>
      </c>
      <c r="I1017" s="901">
        <f t="shared" si="324"/>
        <v>1563.15</v>
      </c>
      <c r="J1017" s="902">
        <f t="shared" si="323"/>
        <v>1876.87</v>
      </c>
      <c r="K1017" s="903" t="s">
        <v>1516</v>
      </c>
      <c r="L1017" s="904">
        <f>ROUND(SUM('RES. CENTRAL PARK:RUA_FINAL'!L1017),2)</f>
        <v>0</v>
      </c>
      <c r="M1017" s="904">
        <f t="shared" si="325"/>
        <v>0</v>
      </c>
      <c r="N1017" s="893">
        <f t="shared" si="326"/>
        <v>0</v>
      </c>
      <c r="O1017" s="905"/>
      <c r="Q1017" s="317" t="str">
        <f t="shared" si="327"/>
        <v/>
      </c>
      <c r="R1017" s="317" t="str">
        <f t="shared" si="328"/>
        <v/>
      </c>
      <c r="S1017" s="317" t="str">
        <f t="shared" si="329"/>
        <v/>
      </c>
      <c r="V1017" s="314">
        <f>SUM('RES. CENTRAL PARK:RUA_FINAL'!N1017)</f>
        <v>0</v>
      </c>
      <c r="W1017" s="315">
        <f t="shared" si="330"/>
        <v>0</v>
      </c>
    </row>
    <row r="1018" spans="1:23" ht="34.5" hidden="1" thickBot="1" x14ac:dyDescent="0.25">
      <c r="A1018" s="63">
        <v>101532</v>
      </c>
      <c r="B1018" s="895">
        <v>101532</v>
      </c>
      <c r="C1018" s="896" t="s">
        <v>596</v>
      </c>
      <c r="D1018" s="906" t="s">
        <v>945</v>
      </c>
      <c r="E1018" s="907"/>
      <c r="F1018" s="908"/>
      <c r="G1018" s="912"/>
      <c r="H1018" s="901">
        <v>1835.07</v>
      </c>
      <c r="I1018" s="901">
        <f t="shared" si="324"/>
        <v>1835.07</v>
      </c>
      <c r="J1018" s="902">
        <f t="shared" si="323"/>
        <v>2203.37</v>
      </c>
      <c r="K1018" s="903" t="s">
        <v>1516</v>
      </c>
      <c r="L1018" s="904">
        <f>ROUND(SUM('RES. CENTRAL PARK:RUA_FINAL'!L1018),2)</f>
        <v>0</v>
      </c>
      <c r="M1018" s="904">
        <f t="shared" si="325"/>
        <v>0</v>
      </c>
      <c r="N1018" s="893">
        <f t="shared" si="326"/>
        <v>0</v>
      </c>
      <c r="O1018" s="905"/>
      <c r="Q1018" s="317" t="str">
        <f t="shared" si="327"/>
        <v/>
      </c>
      <c r="R1018" s="317" t="str">
        <f t="shared" si="328"/>
        <v/>
      </c>
      <c r="S1018" s="317" t="str">
        <f t="shared" si="329"/>
        <v/>
      </c>
      <c r="V1018" s="314">
        <f>SUM('RES. CENTRAL PARK:RUA_FINAL'!N1018)</f>
        <v>0</v>
      </c>
      <c r="W1018" s="315">
        <f t="shared" si="330"/>
        <v>0</v>
      </c>
    </row>
    <row r="1019" spans="1:23" ht="38.1" hidden="1" customHeight="1" x14ac:dyDescent="0.2">
      <c r="A1019" s="63">
        <v>101533</v>
      </c>
      <c r="B1019" s="895">
        <v>101533</v>
      </c>
      <c r="C1019" s="896" t="s">
        <v>596</v>
      </c>
      <c r="D1019" s="906" t="s">
        <v>946</v>
      </c>
      <c r="E1019" s="907"/>
      <c r="F1019" s="908"/>
      <c r="G1019" s="912"/>
      <c r="H1019" s="901">
        <v>1385.59</v>
      </c>
      <c r="I1019" s="901">
        <f t="shared" si="324"/>
        <v>1385.59</v>
      </c>
      <c r="J1019" s="902">
        <f t="shared" si="323"/>
        <v>1663.68</v>
      </c>
      <c r="K1019" s="903" t="s">
        <v>1516</v>
      </c>
      <c r="L1019" s="904">
        <f>ROUND(SUM('RES. CENTRAL PARK:RUA_FINAL'!L1019),2)</f>
        <v>0</v>
      </c>
      <c r="M1019" s="904">
        <f t="shared" si="325"/>
        <v>0</v>
      </c>
      <c r="N1019" s="893">
        <f t="shared" si="326"/>
        <v>0</v>
      </c>
      <c r="O1019" s="905"/>
      <c r="Q1019" s="317" t="str">
        <f t="shared" si="327"/>
        <v/>
      </c>
      <c r="R1019" s="317" t="str">
        <f t="shared" si="328"/>
        <v/>
      </c>
      <c r="S1019" s="317" t="str">
        <f t="shared" si="329"/>
        <v/>
      </c>
      <c r="V1019" s="314">
        <f>SUM('RES. CENTRAL PARK:RUA_FINAL'!N1019)</f>
        <v>0</v>
      </c>
      <c r="W1019" s="315">
        <f t="shared" si="330"/>
        <v>0</v>
      </c>
    </row>
    <row r="1020" spans="1:23" ht="38.1" hidden="1" customHeight="1" x14ac:dyDescent="0.2">
      <c r="A1020" s="63">
        <v>101534</v>
      </c>
      <c r="B1020" s="895">
        <v>101534</v>
      </c>
      <c r="C1020" s="896" t="s">
        <v>596</v>
      </c>
      <c r="D1020" s="906" t="s">
        <v>947</v>
      </c>
      <c r="E1020" s="907"/>
      <c r="F1020" s="908"/>
      <c r="G1020" s="912"/>
      <c r="H1020" s="901">
        <v>1621.08</v>
      </c>
      <c r="I1020" s="901">
        <f t="shared" si="324"/>
        <v>1621.08</v>
      </c>
      <c r="J1020" s="902">
        <f t="shared" si="323"/>
        <v>1946.43</v>
      </c>
      <c r="K1020" s="903" t="s">
        <v>1516</v>
      </c>
      <c r="L1020" s="904">
        <f>ROUND(SUM('RES. CENTRAL PARK:RUA_FINAL'!L1020),2)</f>
        <v>0</v>
      </c>
      <c r="M1020" s="904">
        <f t="shared" si="325"/>
        <v>0</v>
      </c>
      <c r="N1020" s="893">
        <f t="shared" si="326"/>
        <v>0</v>
      </c>
      <c r="O1020" s="905"/>
      <c r="Q1020" s="317" t="str">
        <f t="shared" si="327"/>
        <v/>
      </c>
      <c r="R1020" s="317" t="str">
        <f t="shared" si="328"/>
        <v/>
      </c>
      <c r="S1020" s="317" t="str">
        <f t="shared" si="329"/>
        <v/>
      </c>
      <c r="V1020" s="314">
        <f>SUM('RES. CENTRAL PARK:RUA_FINAL'!N1020)</f>
        <v>0</v>
      </c>
      <c r="W1020" s="315">
        <f t="shared" si="330"/>
        <v>0</v>
      </c>
    </row>
    <row r="1021" spans="1:23" ht="38.1" hidden="1" customHeight="1" x14ac:dyDescent="0.2">
      <c r="A1021" s="63">
        <v>101535</v>
      </c>
      <c r="B1021" s="895">
        <v>101535</v>
      </c>
      <c r="C1021" s="896" t="s">
        <v>596</v>
      </c>
      <c r="D1021" s="906" t="s">
        <v>948</v>
      </c>
      <c r="E1021" s="907"/>
      <c r="F1021" s="908"/>
      <c r="G1021" s="912"/>
      <c r="H1021" s="901">
        <v>1687.34</v>
      </c>
      <c r="I1021" s="901">
        <f t="shared" si="324"/>
        <v>1687.34</v>
      </c>
      <c r="J1021" s="902">
        <f t="shared" si="323"/>
        <v>2025.99</v>
      </c>
      <c r="K1021" s="903" t="s">
        <v>1516</v>
      </c>
      <c r="L1021" s="904">
        <f>ROUND(SUM('RES. CENTRAL PARK:RUA_FINAL'!L1021),2)</f>
        <v>0</v>
      </c>
      <c r="M1021" s="904">
        <f t="shared" si="325"/>
        <v>0</v>
      </c>
      <c r="N1021" s="893">
        <f t="shared" si="326"/>
        <v>0</v>
      </c>
      <c r="O1021" s="905"/>
      <c r="Q1021" s="317" t="str">
        <f t="shared" si="327"/>
        <v/>
      </c>
      <c r="R1021" s="317" t="str">
        <f t="shared" si="328"/>
        <v/>
      </c>
      <c r="S1021" s="317" t="str">
        <f t="shared" si="329"/>
        <v/>
      </c>
      <c r="V1021" s="314">
        <f>SUM('RES. CENTRAL PARK:RUA_FINAL'!N1021)</f>
        <v>0</v>
      </c>
      <c r="W1021" s="315">
        <f t="shared" si="330"/>
        <v>0</v>
      </c>
    </row>
    <row r="1022" spans="1:23" ht="38.1" hidden="1" customHeight="1" x14ac:dyDescent="0.2">
      <c r="A1022" s="63">
        <v>101536</v>
      </c>
      <c r="B1022" s="895">
        <v>101536</v>
      </c>
      <c r="C1022" s="896" t="s">
        <v>596</v>
      </c>
      <c r="D1022" s="906" t="s">
        <v>949</v>
      </c>
      <c r="E1022" s="907"/>
      <c r="F1022" s="908"/>
      <c r="G1022" s="912"/>
      <c r="H1022" s="901">
        <v>1959.26</v>
      </c>
      <c r="I1022" s="901">
        <f t="shared" si="324"/>
        <v>1959.26</v>
      </c>
      <c r="J1022" s="902">
        <f t="shared" si="323"/>
        <v>2352.48</v>
      </c>
      <c r="K1022" s="903" t="s">
        <v>1516</v>
      </c>
      <c r="L1022" s="904">
        <f>ROUND(SUM('RES. CENTRAL PARK:RUA_FINAL'!L1022),2)</f>
        <v>0</v>
      </c>
      <c r="M1022" s="904">
        <f t="shared" si="325"/>
        <v>0</v>
      </c>
      <c r="N1022" s="893">
        <f t="shared" si="326"/>
        <v>0</v>
      </c>
      <c r="O1022" s="905"/>
      <c r="Q1022" s="317" t="str">
        <f t="shared" si="327"/>
        <v/>
      </c>
      <c r="R1022" s="317" t="str">
        <f t="shared" si="328"/>
        <v/>
      </c>
      <c r="S1022" s="317" t="str">
        <f t="shared" si="329"/>
        <v/>
      </c>
      <c r="V1022" s="314">
        <f>SUM('RES. CENTRAL PARK:RUA_FINAL'!N1022)</f>
        <v>0</v>
      </c>
      <c r="W1022" s="315">
        <f t="shared" si="330"/>
        <v>0</v>
      </c>
    </row>
    <row r="1023" spans="1:23" ht="38.1" hidden="1" customHeight="1" x14ac:dyDescent="0.2">
      <c r="A1023" s="63" t="s">
        <v>950</v>
      </c>
      <c r="B1023" s="895" t="s">
        <v>950</v>
      </c>
      <c r="C1023" s="896" t="s">
        <v>2242</v>
      </c>
      <c r="D1023" s="906" t="s">
        <v>947</v>
      </c>
      <c r="E1023" s="907"/>
      <c r="F1023" s="908"/>
      <c r="G1023" s="912"/>
      <c r="H1023" s="901">
        <v>1885.87</v>
      </c>
      <c r="I1023" s="901">
        <f t="shared" si="324"/>
        <v>1885.87</v>
      </c>
      <c r="J1023" s="902">
        <f t="shared" si="323"/>
        <v>2264.36</v>
      </c>
      <c r="K1023" s="903" t="s">
        <v>1516</v>
      </c>
      <c r="L1023" s="904">
        <f>ROUND(SUM('RES. CENTRAL PARK:RUA_FINAL'!L1023),2)</f>
        <v>0</v>
      </c>
      <c r="M1023" s="904">
        <f t="shared" si="325"/>
        <v>0</v>
      </c>
      <c r="N1023" s="893">
        <f t="shared" si="326"/>
        <v>0</v>
      </c>
      <c r="O1023" s="905"/>
      <c r="Q1023" s="317" t="str">
        <f t="shared" si="327"/>
        <v/>
      </c>
      <c r="R1023" s="317" t="str">
        <f t="shared" si="328"/>
        <v/>
      </c>
      <c r="S1023" s="317" t="str">
        <f t="shared" si="329"/>
        <v/>
      </c>
      <c r="V1023" s="314">
        <f>SUM('RES. CENTRAL PARK:RUA_FINAL'!N1023)</f>
        <v>0</v>
      </c>
      <c r="W1023" s="315">
        <f t="shared" si="330"/>
        <v>0</v>
      </c>
    </row>
    <row r="1024" spans="1:23" ht="38.1" hidden="1" customHeight="1" x14ac:dyDescent="0.2">
      <c r="A1024" s="63" t="s">
        <v>951</v>
      </c>
      <c r="B1024" s="895" t="s">
        <v>951</v>
      </c>
      <c r="C1024" s="896" t="s">
        <v>2242</v>
      </c>
      <c r="D1024" s="906" t="s">
        <v>948</v>
      </c>
      <c r="E1024" s="907"/>
      <c r="F1024" s="908"/>
      <c r="G1024" s="912"/>
      <c r="H1024" s="901">
        <v>2069.96</v>
      </c>
      <c r="I1024" s="901">
        <f t="shared" si="324"/>
        <v>2069.96</v>
      </c>
      <c r="J1024" s="902">
        <f t="shared" si="323"/>
        <v>2485.4</v>
      </c>
      <c r="K1024" s="903" t="s">
        <v>1516</v>
      </c>
      <c r="L1024" s="904">
        <f>ROUND(SUM('RES. CENTRAL PARK:RUA_FINAL'!L1024),2)</f>
        <v>0</v>
      </c>
      <c r="M1024" s="904">
        <f t="shared" si="325"/>
        <v>0</v>
      </c>
      <c r="N1024" s="893">
        <f t="shared" si="326"/>
        <v>0</v>
      </c>
      <c r="O1024" s="905"/>
      <c r="Q1024" s="317" t="str">
        <f t="shared" si="327"/>
        <v/>
      </c>
      <c r="R1024" s="317" t="str">
        <f t="shared" si="328"/>
        <v/>
      </c>
      <c r="S1024" s="317" t="str">
        <f t="shared" si="329"/>
        <v/>
      </c>
      <c r="V1024" s="314">
        <f>SUM('RES. CENTRAL PARK:RUA_FINAL'!N1024)</f>
        <v>0</v>
      </c>
      <c r="W1024" s="315">
        <f t="shared" si="330"/>
        <v>0</v>
      </c>
    </row>
    <row r="1025" spans="1:23" ht="38.1" hidden="1" customHeight="1" x14ac:dyDescent="0.2">
      <c r="A1025" s="63" t="s">
        <v>952</v>
      </c>
      <c r="B1025" s="895" t="s">
        <v>952</v>
      </c>
      <c r="C1025" s="896" t="s">
        <v>2242</v>
      </c>
      <c r="D1025" s="906" t="s">
        <v>949</v>
      </c>
      <c r="E1025" s="907"/>
      <c r="F1025" s="908"/>
      <c r="G1025" s="912"/>
      <c r="H1025" s="901">
        <v>2505.64</v>
      </c>
      <c r="I1025" s="901">
        <f t="shared" si="324"/>
        <v>2505.64</v>
      </c>
      <c r="J1025" s="902">
        <f t="shared" si="323"/>
        <v>3008.52</v>
      </c>
      <c r="K1025" s="903" t="s">
        <v>1516</v>
      </c>
      <c r="L1025" s="904">
        <f>ROUND(SUM('RES. CENTRAL PARK:RUA_FINAL'!L1025),2)</f>
        <v>0</v>
      </c>
      <c r="M1025" s="904">
        <f t="shared" si="325"/>
        <v>0</v>
      </c>
      <c r="N1025" s="893">
        <f t="shared" si="326"/>
        <v>0</v>
      </c>
      <c r="O1025" s="905"/>
      <c r="Q1025" s="317" t="str">
        <f t="shared" si="327"/>
        <v/>
      </c>
      <c r="R1025" s="317" t="str">
        <f t="shared" si="328"/>
        <v/>
      </c>
      <c r="S1025" s="317" t="str">
        <f t="shared" si="329"/>
        <v/>
      </c>
      <c r="V1025" s="314">
        <f>SUM('RES. CENTRAL PARK:RUA_FINAL'!N1025)</f>
        <v>0</v>
      </c>
      <c r="W1025" s="315">
        <f t="shared" si="330"/>
        <v>0</v>
      </c>
    </row>
    <row r="1026" spans="1:23" ht="15" hidden="1" customHeight="1" x14ac:dyDescent="0.2">
      <c r="A1026" s="63" t="s">
        <v>953</v>
      </c>
      <c r="B1026" s="895" t="s">
        <v>953</v>
      </c>
      <c r="C1026" s="896" t="s">
        <v>2242</v>
      </c>
      <c r="D1026" s="906" t="s">
        <v>954</v>
      </c>
      <c r="E1026" s="907"/>
      <c r="F1026" s="908"/>
      <c r="G1026" s="912"/>
      <c r="H1026" s="901">
        <v>2829.71</v>
      </c>
      <c r="I1026" s="901">
        <f t="shared" si="324"/>
        <v>2829.71</v>
      </c>
      <c r="J1026" s="902">
        <f t="shared" si="323"/>
        <v>3397.63</v>
      </c>
      <c r="K1026" s="903" t="s">
        <v>1516</v>
      </c>
      <c r="L1026" s="904">
        <f>ROUND(SUM('RES. CENTRAL PARK:RUA_FINAL'!L1026),2)</f>
        <v>0</v>
      </c>
      <c r="M1026" s="904">
        <f t="shared" si="325"/>
        <v>0</v>
      </c>
      <c r="N1026" s="893">
        <f t="shared" si="326"/>
        <v>0</v>
      </c>
      <c r="O1026" s="905"/>
      <c r="Q1026" s="317" t="str">
        <f t="shared" si="327"/>
        <v/>
      </c>
      <c r="R1026" s="317" t="str">
        <f t="shared" si="328"/>
        <v/>
      </c>
      <c r="S1026" s="317" t="str">
        <f t="shared" si="329"/>
        <v/>
      </c>
      <c r="V1026" s="314">
        <f>SUM('RES. CENTRAL PARK:RUA_FINAL'!N1026)</f>
        <v>0</v>
      </c>
      <c r="W1026" s="315">
        <f t="shared" si="330"/>
        <v>0</v>
      </c>
    </row>
    <row r="1027" spans="1:23" ht="15" hidden="1" customHeight="1" x14ac:dyDescent="0.2">
      <c r="A1027" s="63" t="s">
        <v>955</v>
      </c>
      <c r="B1027" s="895" t="s">
        <v>955</v>
      </c>
      <c r="C1027" s="896" t="s">
        <v>2242</v>
      </c>
      <c r="D1027" s="906" t="s">
        <v>956</v>
      </c>
      <c r="E1027" s="907"/>
      <c r="F1027" s="908"/>
      <c r="G1027" s="912"/>
      <c r="H1027" s="901">
        <v>4324.09</v>
      </c>
      <c r="I1027" s="901">
        <f t="shared" si="324"/>
        <v>4324.09</v>
      </c>
      <c r="J1027" s="902">
        <f t="shared" si="323"/>
        <v>5191.93</v>
      </c>
      <c r="K1027" s="903" t="s">
        <v>1516</v>
      </c>
      <c r="L1027" s="904">
        <f>ROUND(SUM('RES. CENTRAL PARK:RUA_FINAL'!L1027),2)</f>
        <v>0</v>
      </c>
      <c r="M1027" s="904">
        <f t="shared" si="325"/>
        <v>0</v>
      </c>
      <c r="N1027" s="893">
        <f t="shared" si="326"/>
        <v>0</v>
      </c>
      <c r="O1027" s="905"/>
      <c r="Q1027" s="317" t="str">
        <f t="shared" si="327"/>
        <v/>
      </c>
      <c r="R1027" s="317" t="str">
        <f t="shared" si="328"/>
        <v/>
      </c>
      <c r="S1027" s="317" t="str">
        <f t="shared" si="329"/>
        <v/>
      </c>
      <c r="V1027" s="314">
        <f>SUM('RES. CENTRAL PARK:RUA_FINAL'!N1027)</f>
        <v>0</v>
      </c>
      <c r="W1027" s="315">
        <f t="shared" si="330"/>
        <v>0</v>
      </c>
    </row>
    <row r="1028" spans="1:23" ht="15" hidden="1" customHeight="1" x14ac:dyDescent="0.2">
      <c r="A1028" s="63" t="s">
        <v>957</v>
      </c>
      <c r="B1028" s="895" t="s">
        <v>957</v>
      </c>
      <c r="C1028" s="896" t="s">
        <v>2242</v>
      </c>
      <c r="D1028" s="906" t="s">
        <v>958</v>
      </c>
      <c r="E1028" s="907"/>
      <c r="F1028" s="908"/>
      <c r="G1028" s="912"/>
      <c r="H1028" s="901">
        <v>5277.61</v>
      </c>
      <c r="I1028" s="901">
        <f t="shared" si="324"/>
        <v>5277.61</v>
      </c>
      <c r="J1028" s="902">
        <f t="shared" si="323"/>
        <v>6336.83</v>
      </c>
      <c r="K1028" s="903" t="s">
        <v>1516</v>
      </c>
      <c r="L1028" s="904">
        <f>ROUND(SUM('RES. CENTRAL PARK:RUA_FINAL'!L1028),2)</f>
        <v>0</v>
      </c>
      <c r="M1028" s="904">
        <f t="shared" si="325"/>
        <v>0</v>
      </c>
      <c r="N1028" s="893">
        <f t="shared" si="326"/>
        <v>0</v>
      </c>
      <c r="O1028" s="905"/>
      <c r="Q1028" s="317" t="str">
        <f t="shared" si="327"/>
        <v/>
      </c>
      <c r="R1028" s="317" t="str">
        <f t="shared" si="328"/>
        <v/>
      </c>
      <c r="S1028" s="317" t="str">
        <f t="shared" si="329"/>
        <v/>
      </c>
      <c r="V1028" s="314">
        <f>SUM('RES. CENTRAL PARK:RUA_FINAL'!N1028)</f>
        <v>0</v>
      </c>
      <c r="W1028" s="315">
        <f t="shared" si="330"/>
        <v>0</v>
      </c>
    </row>
    <row r="1029" spans="1:23" ht="30" hidden="1" customHeight="1" x14ac:dyDescent="0.2">
      <c r="A1029" s="63">
        <v>96984</v>
      </c>
      <c r="B1029" s="895">
        <v>96984</v>
      </c>
      <c r="C1029" s="896" t="s">
        <v>596</v>
      </c>
      <c r="D1029" s="906" t="s">
        <v>959</v>
      </c>
      <c r="E1029" s="907"/>
      <c r="F1029" s="908"/>
      <c r="G1029" s="912"/>
      <c r="H1029" s="901">
        <v>77.59</v>
      </c>
      <c r="I1029" s="901">
        <f t="shared" si="324"/>
        <v>77.59</v>
      </c>
      <c r="J1029" s="902">
        <f t="shared" si="323"/>
        <v>93.16</v>
      </c>
      <c r="K1029" s="903" t="s">
        <v>1516</v>
      </c>
      <c r="L1029" s="904">
        <f>ROUND(SUM('RES. CENTRAL PARK:RUA_FINAL'!L1029),2)</f>
        <v>0</v>
      </c>
      <c r="M1029" s="904">
        <f t="shared" si="325"/>
        <v>0</v>
      </c>
      <c r="N1029" s="893">
        <f t="shared" si="326"/>
        <v>0</v>
      </c>
      <c r="O1029" s="905"/>
      <c r="Q1029" s="317" t="str">
        <f t="shared" si="327"/>
        <v/>
      </c>
      <c r="R1029" s="317" t="str">
        <f t="shared" si="328"/>
        <v/>
      </c>
      <c r="S1029" s="317" t="str">
        <f t="shared" si="329"/>
        <v/>
      </c>
      <c r="V1029" s="314">
        <f>SUM('RES. CENTRAL PARK:RUA_FINAL'!N1029)</f>
        <v>0</v>
      </c>
      <c r="W1029" s="315">
        <f t="shared" si="330"/>
        <v>0</v>
      </c>
    </row>
    <row r="1030" spans="1:23" ht="30" hidden="1" customHeight="1" x14ac:dyDescent="0.2">
      <c r="A1030" s="63">
        <v>91831</v>
      </c>
      <c r="B1030" s="895">
        <v>91831</v>
      </c>
      <c r="C1030" s="896" t="s">
        <v>596</v>
      </c>
      <c r="D1030" s="906" t="s">
        <v>960</v>
      </c>
      <c r="E1030" s="907"/>
      <c r="F1030" s="908"/>
      <c r="G1030" s="912"/>
      <c r="H1030" s="901">
        <v>10.69</v>
      </c>
      <c r="I1030" s="901">
        <f t="shared" si="324"/>
        <v>10.69</v>
      </c>
      <c r="J1030" s="902">
        <f t="shared" si="323"/>
        <v>12.84</v>
      </c>
      <c r="K1030" s="903" t="s">
        <v>62</v>
      </c>
      <c r="L1030" s="904">
        <f>ROUND(SUM('RES. CENTRAL PARK:RUA_FINAL'!L1030),2)</f>
        <v>0</v>
      </c>
      <c r="M1030" s="904">
        <f t="shared" si="325"/>
        <v>0</v>
      </c>
      <c r="N1030" s="893">
        <f t="shared" si="326"/>
        <v>0</v>
      </c>
      <c r="O1030" s="905"/>
      <c r="Q1030" s="317" t="str">
        <f t="shared" si="327"/>
        <v/>
      </c>
      <c r="R1030" s="317" t="str">
        <f t="shared" si="328"/>
        <v/>
      </c>
      <c r="S1030" s="317" t="str">
        <f t="shared" si="329"/>
        <v/>
      </c>
      <c r="V1030" s="314">
        <f>SUM('RES. CENTRAL PARK:RUA_FINAL'!N1030)</f>
        <v>0</v>
      </c>
      <c r="W1030" s="315">
        <f t="shared" si="330"/>
        <v>0</v>
      </c>
    </row>
    <row r="1031" spans="1:23" ht="30" hidden="1" customHeight="1" x14ac:dyDescent="0.2">
      <c r="A1031" s="63">
        <v>91834</v>
      </c>
      <c r="B1031" s="895">
        <v>91834</v>
      </c>
      <c r="C1031" s="896" t="s">
        <v>596</v>
      </c>
      <c r="D1031" s="906" t="s">
        <v>961</v>
      </c>
      <c r="E1031" s="907"/>
      <c r="F1031" s="908"/>
      <c r="G1031" s="912"/>
      <c r="H1031" s="901">
        <v>11.9</v>
      </c>
      <c r="I1031" s="901">
        <f t="shared" si="324"/>
        <v>11.9</v>
      </c>
      <c r="J1031" s="902">
        <f t="shared" si="323"/>
        <v>14.29</v>
      </c>
      <c r="K1031" s="903" t="s">
        <v>62</v>
      </c>
      <c r="L1031" s="904">
        <f>ROUND(SUM('RES. CENTRAL PARK:RUA_FINAL'!L1031),2)</f>
        <v>0</v>
      </c>
      <c r="M1031" s="904">
        <f t="shared" si="325"/>
        <v>0</v>
      </c>
      <c r="N1031" s="893">
        <f t="shared" si="326"/>
        <v>0</v>
      </c>
      <c r="O1031" s="905"/>
      <c r="Q1031" s="317" t="str">
        <f t="shared" si="327"/>
        <v/>
      </c>
      <c r="R1031" s="317" t="str">
        <f t="shared" si="328"/>
        <v/>
      </c>
      <c r="S1031" s="317" t="str">
        <f t="shared" si="329"/>
        <v/>
      </c>
      <c r="V1031" s="314">
        <f>SUM('RES. CENTRAL PARK:RUA_FINAL'!N1031)</f>
        <v>0</v>
      </c>
      <c r="W1031" s="315">
        <f t="shared" si="330"/>
        <v>0</v>
      </c>
    </row>
    <row r="1032" spans="1:23" ht="30" hidden="1" customHeight="1" x14ac:dyDescent="0.2">
      <c r="A1032" s="63">
        <v>91836</v>
      </c>
      <c r="B1032" s="895">
        <v>91836</v>
      </c>
      <c r="C1032" s="896" t="s">
        <v>596</v>
      </c>
      <c r="D1032" s="906" t="s">
        <v>962</v>
      </c>
      <c r="E1032" s="907"/>
      <c r="F1032" s="908"/>
      <c r="G1032" s="912"/>
      <c r="H1032" s="901">
        <v>15.96</v>
      </c>
      <c r="I1032" s="901">
        <f t="shared" si="324"/>
        <v>15.96</v>
      </c>
      <c r="J1032" s="902">
        <f t="shared" si="323"/>
        <v>19.16</v>
      </c>
      <c r="K1032" s="903" t="s">
        <v>62</v>
      </c>
      <c r="L1032" s="904">
        <f>ROUND(SUM('RES. CENTRAL PARK:RUA_FINAL'!L1032),2)</f>
        <v>0</v>
      </c>
      <c r="M1032" s="904">
        <f t="shared" si="325"/>
        <v>0</v>
      </c>
      <c r="N1032" s="893">
        <f t="shared" si="326"/>
        <v>0</v>
      </c>
      <c r="O1032" s="905"/>
      <c r="Q1032" s="317" t="str">
        <f t="shared" si="327"/>
        <v/>
      </c>
      <c r="R1032" s="317" t="str">
        <f t="shared" si="328"/>
        <v/>
      </c>
      <c r="S1032" s="317" t="str">
        <f t="shared" si="329"/>
        <v/>
      </c>
      <c r="V1032" s="314">
        <f>SUM('RES. CENTRAL PARK:RUA_FINAL'!N1032)</f>
        <v>0</v>
      </c>
      <c r="W1032" s="315">
        <f t="shared" si="330"/>
        <v>0</v>
      </c>
    </row>
    <row r="1033" spans="1:23" ht="30" hidden="1" customHeight="1" x14ac:dyDescent="0.2">
      <c r="A1033" s="63">
        <v>91842</v>
      </c>
      <c r="B1033" s="895">
        <v>91842</v>
      </c>
      <c r="C1033" s="896" t="s">
        <v>596</v>
      </c>
      <c r="D1033" s="906" t="s">
        <v>963</v>
      </c>
      <c r="E1033" s="907"/>
      <c r="F1033" s="908"/>
      <c r="G1033" s="912"/>
      <c r="H1033" s="901">
        <v>8.0500000000000007</v>
      </c>
      <c r="I1033" s="901">
        <f t="shared" si="324"/>
        <v>8.0500000000000007</v>
      </c>
      <c r="J1033" s="902">
        <f t="shared" ref="J1033:J1096" si="331">IF(ISBLANK(H1033),0,ROUND(I1033*(1+$E$10),2))</f>
        <v>9.67</v>
      </c>
      <c r="K1033" s="903" t="s">
        <v>62</v>
      </c>
      <c r="L1033" s="904">
        <f>ROUND(SUM('RES. CENTRAL PARK:RUA_FINAL'!L1033),2)</f>
        <v>0</v>
      </c>
      <c r="M1033" s="904">
        <f t="shared" si="325"/>
        <v>0</v>
      </c>
      <c r="N1033" s="893">
        <f t="shared" si="326"/>
        <v>0</v>
      </c>
      <c r="O1033" s="905"/>
      <c r="Q1033" s="317" t="str">
        <f t="shared" si="327"/>
        <v/>
      </c>
      <c r="R1033" s="317" t="str">
        <f t="shared" si="328"/>
        <v/>
      </c>
      <c r="S1033" s="317" t="str">
        <f t="shared" si="329"/>
        <v/>
      </c>
      <c r="V1033" s="314">
        <f>SUM('RES. CENTRAL PARK:RUA_FINAL'!N1033)</f>
        <v>0</v>
      </c>
      <c r="W1033" s="315">
        <f t="shared" si="330"/>
        <v>0</v>
      </c>
    </row>
    <row r="1034" spans="1:23" ht="30" hidden="1" customHeight="1" x14ac:dyDescent="0.2">
      <c r="A1034" s="63">
        <v>91844</v>
      </c>
      <c r="B1034" s="895">
        <v>91844</v>
      </c>
      <c r="C1034" s="896" t="s">
        <v>596</v>
      </c>
      <c r="D1034" s="906" t="s">
        <v>964</v>
      </c>
      <c r="E1034" s="907"/>
      <c r="F1034" s="908"/>
      <c r="G1034" s="912"/>
      <c r="H1034" s="901">
        <v>9.26</v>
      </c>
      <c r="I1034" s="901">
        <f t="shared" si="324"/>
        <v>9.26</v>
      </c>
      <c r="J1034" s="902">
        <f t="shared" si="331"/>
        <v>11.12</v>
      </c>
      <c r="K1034" s="903" t="s">
        <v>62</v>
      </c>
      <c r="L1034" s="904">
        <f>ROUND(SUM('RES. CENTRAL PARK:RUA_FINAL'!L1034),2)</f>
        <v>0</v>
      </c>
      <c r="M1034" s="904">
        <f t="shared" si="325"/>
        <v>0</v>
      </c>
      <c r="N1034" s="893">
        <f t="shared" si="326"/>
        <v>0</v>
      </c>
      <c r="O1034" s="905"/>
      <c r="Q1034" s="317" t="str">
        <f t="shared" si="327"/>
        <v/>
      </c>
      <c r="R1034" s="317" t="str">
        <f t="shared" si="328"/>
        <v/>
      </c>
      <c r="S1034" s="317" t="str">
        <f t="shared" si="329"/>
        <v/>
      </c>
      <c r="V1034" s="314">
        <f>SUM('RES. CENTRAL PARK:RUA_FINAL'!N1034)</f>
        <v>0</v>
      </c>
      <c r="W1034" s="315">
        <f t="shared" si="330"/>
        <v>0</v>
      </c>
    </row>
    <row r="1035" spans="1:23" ht="30" hidden="1" customHeight="1" x14ac:dyDescent="0.2">
      <c r="A1035" s="63">
        <v>91846</v>
      </c>
      <c r="B1035" s="895">
        <v>91846</v>
      </c>
      <c r="C1035" s="896" t="s">
        <v>596</v>
      </c>
      <c r="D1035" s="906" t="s">
        <v>965</v>
      </c>
      <c r="E1035" s="907"/>
      <c r="F1035" s="908"/>
      <c r="G1035" s="912"/>
      <c r="H1035" s="901">
        <v>13.33</v>
      </c>
      <c r="I1035" s="901">
        <f t="shared" si="324"/>
        <v>13.33</v>
      </c>
      <c r="J1035" s="902">
        <f t="shared" si="331"/>
        <v>16.010000000000002</v>
      </c>
      <c r="K1035" s="903" t="s">
        <v>62</v>
      </c>
      <c r="L1035" s="904">
        <f>ROUND(SUM('RES. CENTRAL PARK:RUA_FINAL'!L1035),2)</f>
        <v>0</v>
      </c>
      <c r="M1035" s="904">
        <f t="shared" si="325"/>
        <v>0</v>
      </c>
      <c r="N1035" s="893">
        <f t="shared" si="326"/>
        <v>0</v>
      </c>
      <c r="O1035" s="905"/>
      <c r="Q1035" s="317" t="str">
        <f t="shared" si="327"/>
        <v/>
      </c>
      <c r="R1035" s="317" t="str">
        <f t="shared" si="328"/>
        <v/>
      </c>
      <c r="S1035" s="317" t="str">
        <f t="shared" si="329"/>
        <v/>
      </c>
      <c r="V1035" s="314">
        <f>SUM('RES. CENTRAL PARK:RUA_FINAL'!N1035)</f>
        <v>0</v>
      </c>
      <c r="W1035" s="315">
        <f t="shared" si="330"/>
        <v>0</v>
      </c>
    </row>
    <row r="1036" spans="1:23" ht="30" hidden="1" customHeight="1" x14ac:dyDescent="0.2">
      <c r="A1036" s="63">
        <v>91852</v>
      </c>
      <c r="B1036" s="895">
        <v>91852</v>
      </c>
      <c r="C1036" s="896" t="s">
        <v>596</v>
      </c>
      <c r="D1036" s="906" t="s">
        <v>966</v>
      </c>
      <c r="E1036" s="907"/>
      <c r="F1036" s="908"/>
      <c r="G1036" s="912"/>
      <c r="H1036" s="901">
        <v>11.16</v>
      </c>
      <c r="I1036" s="901">
        <f t="shared" si="324"/>
        <v>11.16</v>
      </c>
      <c r="J1036" s="902">
        <f t="shared" si="331"/>
        <v>13.4</v>
      </c>
      <c r="K1036" s="903" t="s">
        <v>62</v>
      </c>
      <c r="L1036" s="904">
        <f>ROUND(SUM('RES. CENTRAL PARK:RUA_FINAL'!L1036),2)</f>
        <v>0</v>
      </c>
      <c r="M1036" s="904">
        <f t="shared" si="325"/>
        <v>0</v>
      </c>
      <c r="N1036" s="893">
        <f t="shared" si="326"/>
        <v>0</v>
      </c>
      <c r="O1036" s="905"/>
      <c r="Q1036" s="317" t="str">
        <f t="shared" si="327"/>
        <v/>
      </c>
      <c r="R1036" s="317" t="str">
        <f t="shared" si="328"/>
        <v/>
      </c>
      <c r="S1036" s="317" t="str">
        <f t="shared" si="329"/>
        <v/>
      </c>
      <c r="V1036" s="314">
        <f>SUM('RES. CENTRAL PARK:RUA_FINAL'!N1036)</f>
        <v>0</v>
      </c>
      <c r="W1036" s="315">
        <f t="shared" si="330"/>
        <v>0</v>
      </c>
    </row>
    <row r="1037" spans="1:23" ht="30" hidden="1" customHeight="1" x14ac:dyDescent="0.2">
      <c r="A1037" s="63">
        <v>91854</v>
      </c>
      <c r="B1037" s="895">
        <v>91854</v>
      </c>
      <c r="C1037" s="896" t="s">
        <v>596</v>
      </c>
      <c r="D1037" s="906" t="s">
        <v>967</v>
      </c>
      <c r="E1037" s="907"/>
      <c r="F1037" s="908"/>
      <c r="G1037" s="912"/>
      <c r="H1037" s="901">
        <v>12.34</v>
      </c>
      <c r="I1037" s="901">
        <f t="shared" si="324"/>
        <v>12.34</v>
      </c>
      <c r="J1037" s="902">
        <f t="shared" si="331"/>
        <v>14.82</v>
      </c>
      <c r="K1037" s="903" t="s">
        <v>62</v>
      </c>
      <c r="L1037" s="904">
        <f>ROUND(SUM('RES. CENTRAL PARK:RUA_FINAL'!L1037),2)</f>
        <v>0</v>
      </c>
      <c r="M1037" s="904">
        <f t="shared" si="325"/>
        <v>0</v>
      </c>
      <c r="N1037" s="893">
        <f t="shared" si="326"/>
        <v>0</v>
      </c>
      <c r="O1037" s="905"/>
      <c r="Q1037" s="317" t="str">
        <f t="shared" si="327"/>
        <v/>
      </c>
      <c r="R1037" s="317" t="str">
        <f t="shared" si="328"/>
        <v/>
      </c>
      <c r="S1037" s="317" t="str">
        <f t="shared" si="329"/>
        <v/>
      </c>
      <c r="V1037" s="314">
        <f>SUM('RES. CENTRAL PARK:RUA_FINAL'!N1037)</f>
        <v>0</v>
      </c>
      <c r="W1037" s="315">
        <f t="shared" si="330"/>
        <v>0</v>
      </c>
    </row>
    <row r="1038" spans="1:23" ht="30" hidden="1" customHeight="1" x14ac:dyDescent="0.2">
      <c r="A1038" s="63">
        <v>91856</v>
      </c>
      <c r="B1038" s="895">
        <v>91856</v>
      </c>
      <c r="C1038" s="896" t="s">
        <v>596</v>
      </c>
      <c r="D1038" s="906" t="s">
        <v>968</v>
      </c>
      <c r="E1038" s="907"/>
      <c r="F1038" s="908"/>
      <c r="G1038" s="912"/>
      <c r="H1038" s="901">
        <v>16.18</v>
      </c>
      <c r="I1038" s="901">
        <f t="shared" si="324"/>
        <v>16.18</v>
      </c>
      <c r="J1038" s="902">
        <f t="shared" si="331"/>
        <v>19.43</v>
      </c>
      <c r="K1038" s="903" t="s">
        <v>62</v>
      </c>
      <c r="L1038" s="904">
        <f>ROUND(SUM('RES. CENTRAL PARK:RUA_FINAL'!L1038),2)</f>
        <v>0</v>
      </c>
      <c r="M1038" s="904">
        <f t="shared" si="325"/>
        <v>0</v>
      </c>
      <c r="N1038" s="893">
        <f t="shared" si="326"/>
        <v>0</v>
      </c>
      <c r="O1038" s="905"/>
      <c r="Q1038" s="317" t="str">
        <f t="shared" si="327"/>
        <v/>
      </c>
      <c r="R1038" s="317" t="str">
        <f t="shared" si="328"/>
        <v/>
      </c>
      <c r="S1038" s="317" t="str">
        <f t="shared" si="329"/>
        <v/>
      </c>
      <c r="V1038" s="314">
        <f>SUM('RES. CENTRAL PARK:RUA_FINAL'!N1038)</f>
        <v>0</v>
      </c>
      <c r="W1038" s="315">
        <f t="shared" si="330"/>
        <v>0</v>
      </c>
    </row>
    <row r="1039" spans="1:23" ht="38.1" hidden="1" customHeight="1" x14ac:dyDescent="0.2">
      <c r="A1039" s="63">
        <v>91833</v>
      </c>
      <c r="B1039" s="895">
        <v>91833</v>
      </c>
      <c r="C1039" s="896" t="s">
        <v>596</v>
      </c>
      <c r="D1039" s="906" t="s">
        <v>969</v>
      </c>
      <c r="E1039" s="907"/>
      <c r="F1039" s="908"/>
      <c r="G1039" s="912"/>
      <c r="H1039" s="901">
        <v>11.52</v>
      </c>
      <c r="I1039" s="901">
        <f t="shared" si="324"/>
        <v>11.52</v>
      </c>
      <c r="J1039" s="902">
        <f t="shared" si="331"/>
        <v>13.83</v>
      </c>
      <c r="K1039" s="903" t="s">
        <v>62</v>
      </c>
      <c r="L1039" s="904">
        <f>ROUND(SUM('RES. CENTRAL PARK:RUA_FINAL'!L1039),2)</f>
        <v>0</v>
      </c>
      <c r="M1039" s="904">
        <f t="shared" si="325"/>
        <v>0</v>
      </c>
      <c r="N1039" s="893">
        <f t="shared" si="326"/>
        <v>0</v>
      </c>
      <c r="O1039" s="905"/>
      <c r="Q1039" s="317" t="str">
        <f t="shared" si="327"/>
        <v/>
      </c>
      <c r="R1039" s="317" t="str">
        <f t="shared" si="328"/>
        <v/>
      </c>
      <c r="S1039" s="317" t="str">
        <f t="shared" si="329"/>
        <v/>
      </c>
      <c r="V1039" s="314">
        <f>SUM('RES. CENTRAL PARK:RUA_FINAL'!N1039)</f>
        <v>0</v>
      </c>
      <c r="W1039" s="315">
        <f t="shared" si="330"/>
        <v>0</v>
      </c>
    </row>
    <row r="1040" spans="1:23" ht="38.1" hidden="1" customHeight="1" x14ac:dyDescent="0.2">
      <c r="A1040" s="63">
        <v>91835</v>
      </c>
      <c r="B1040" s="895">
        <v>91835</v>
      </c>
      <c r="C1040" s="896" t="s">
        <v>596</v>
      </c>
      <c r="D1040" s="906" t="s">
        <v>970</v>
      </c>
      <c r="E1040" s="907"/>
      <c r="F1040" s="908"/>
      <c r="G1040" s="912"/>
      <c r="H1040" s="901">
        <v>14.01</v>
      </c>
      <c r="I1040" s="901">
        <f t="shared" si="324"/>
        <v>14.01</v>
      </c>
      <c r="J1040" s="902">
        <f t="shared" si="331"/>
        <v>16.82</v>
      </c>
      <c r="K1040" s="903" t="s">
        <v>62</v>
      </c>
      <c r="L1040" s="904">
        <f>ROUND(SUM('RES. CENTRAL PARK:RUA_FINAL'!L1040),2)</f>
        <v>0</v>
      </c>
      <c r="M1040" s="904">
        <f t="shared" si="325"/>
        <v>0</v>
      </c>
      <c r="N1040" s="893">
        <f t="shared" si="326"/>
        <v>0</v>
      </c>
      <c r="O1040" s="905"/>
      <c r="Q1040" s="317" t="str">
        <f t="shared" si="327"/>
        <v/>
      </c>
      <c r="R1040" s="317" t="str">
        <f t="shared" si="328"/>
        <v/>
      </c>
      <c r="S1040" s="317" t="str">
        <f t="shared" si="329"/>
        <v/>
      </c>
      <c r="V1040" s="314">
        <f>SUM('RES. CENTRAL PARK:RUA_FINAL'!N1040)</f>
        <v>0</v>
      </c>
      <c r="W1040" s="315">
        <f t="shared" si="330"/>
        <v>0</v>
      </c>
    </row>
    <row r="1041" spans="1:23" ht="38.1" hidden="1" customHeight="1" x14ac:dyDescent="0.2">
      <c r="A1041" s="63">
        <v>91837</v>
      </c>
      <c r="B1041" s="895">
        <v>91837</v>
      </c>
      <c r="C1041" s="896" t="s">
        <v>596</v>
      </c>
      <c r="D1041" s="906" t="s">
        <v>971</v>
      </c>
      <c r="E1041" s="907"/>
      <c r="F1041" s="908"/>
      <c r="G1041" s="912"/>
      <c r="H1041" s="901">
        <v>20.87</v>
      </c>
      <c r="I1041" s="901">
        <f t="shared" si="324"/>
        <v>20.87</v>
      </c>
      <c r="J1041" s="902">
        <f t="shared" si="331"/>
        <v>25.06</v>
      </c>
      <c r="K1041" s="903" t="s">
        <v>62</v>
      </c>
      <c r="L1041" s="904">
        <f>ROUND(SUM('RES. CENTRAL PARK:RUA_FINAL'!L1041),2)</f>
        <v>0</v>
      </c>
      <c r="M1041" s="904">
        <f t="shared" si="325"/>
        <v>0</v>
      </c>
      <c r="N1041" s="893">
        <f t="shared" si="326"/>
        <v>0</v>
      </c>
      <c r="O1041" s="905"/>
      <c r="Q1041" s="317" t="str">
        <f t="shared" si="327"/>
        <v/>
      </c>
      <c r="R1041" s="317" t="str">
        <f t="shared" si="328"/>
        <v/>
      </c>
      <c r="S1041" s="317" t="str">
        <f t="shared" si="329"/>
        <v/>
      </c>
      <c r="V1041" s="314">
        <f>SUM('RES. CENTRAL PARK:RUA_FINAL'!N1041)</f>
        <v>0</v>
      </c>
      <c r="W1041" s="315">
        <f t="shared" si="330"/>
        <v>0</v>
      </c>
    </row>
    <row r="1042" spans="1:23" ht="38.1" hidden="1" customHeight="1" x14ac:dyDescent="0.2">
      <c r="A1042" s="63">
        <v>91843</v>
      </c>
      <c r="B1042" s="895">
        <v>91843</v>
      </c>
      <c r="C1042" s="896" t="s">
        <v>596</v>
      </c>
      <c r="D1042" s="906" t="s">
        <v>972</v>
      </c>
      <c r="E1042" s="907"/>
      <c r="F1042" s="908"/>
      <c r="G1042" s="912"/>
      <c r="H1042" s="901">
        <v>8.8800000000000008</v>
      </c>
      <c r="I1042" s="901">
        <f t="shared" ref="I1042:I1105" si="332">IF(ISBLANK(H1042),"",SUM(G1042:H1042))</f>
        <v>8.8800000000000008</v>
      </c>
      <c r="J1042" s="902">
        <f t="shared" si="331"/>
        <v>10.66</v>
      </c>
      <c r="K1042" s="903" t="s">
        <v>62</v>
      </c>
      <c r="L1042" s="904">
        <f>ROUND(SUM('RES. CENTRAL PARK:RUA_FINAL'!L1042),2)</f>
        <v>0</v>
      </c>
      <c r="M1042" s="904">
        <f t="shared" ref="M1042:M1105" si="333">IF(L1042=0,0,ROUND(J1042,2))</f>
        <v>0</v>
      </c>
      <c r="N1042" s="893">
        <f t="shared" ref="N1042:N1105" si="334">IF(ISBLANK(L1042),0,ROUND(L1042*M1042,2))</f>
        <v>0</v>
      </c>
      <c r="O1042" s="905"/>
      <c r="Q1042" s="317" t="str">
        <f t="shared" ref="Q1042:Q1105" si="335">IF(P1042="X","x",IF(P1042="xx","x",IF(P1042="xy","x",IF(P1042="y","x",IF(OR(N1042&gt;0,N1042&gt;0),"x","")))))</f>
        <v/>
      </c>
      <c r="R1042" s="317" t="str">
        <f t="shared" ref="R1042:R1105" si="336">IF(P1042="X","x",IF(P1042="y","x",IF(P1042="xx","x",IF(N1042&gt;0,"x",""))))</f>
        <v/>
      </c>
      <c r="S1042" s="317" t="str">
        <f t="shared" ref="S1042:S1105" si="337">IF(P1042="X","x",IF(N1042&gt;0,"x",""))</f>
        <v/>
      </c>
      <c r="V1042" s="314">
        <f>SUM('RES. CENTRAL PARK:RUA_FINAL'!N1042)</f>
        <v>0</v>
      </c>
      <c r="W1042" s="315">
        <f t="shared" si="330"/>
        <v>0</v>
      </c>
    </row>
    <row r="1043" spans="1:23" ht="38.1" hidden="1" customHeight="1" x14ac:dyDescent="0.2">
      <c r="A1043" s="63">
        <v>91845</v>
      </c>
      <c r="B1043" s="895">
        <v>91845</v>
      </c>
      <c r="C1043" s="896" t="s">
        <v>596</v>
      </c>
      <c r="D1043" s="906" t="s">
        <v>973</v>
      </c>
      <c r="E1043" s="907"/>
      <c r="F1043" s="908"/>
      <c r="G1043" s="912"/>
      <c r="H1043" s="901">
        <v>11.37</v>
      </c>
      <c r="I1043" s="901">
        <f t="shared" si="332"/>
        <v>11.37</v>
      </c>
      <c r="J1043" s="902">
        <f t="shared" si="331"/>
        <v>13.65</v>
      </c>
      <c r="K1043" s="903" t="s">
        <v>62</v>
      </c>
      <c r="L1043" s="904">
        <f>ROUND(SUM('RES. CENTRAL PARK:RUA_FINAL'!L1043),2)</f>
        <v>0</v>
      </c>
      <c r="M1043" s="904">
        <f t="shared" si="333"/>
        <v>0</v>
      </c>
      <c r="N1043" s="893">
        <f t="shared" si="334"/>
        <v>0</v>
      </c>
      <c r="O1043" s="905"/>
      <c r="Q1043" s="317" t="str">
        <f t="shared" si="335"/>
        <v/>
      </c>
      <c r="R1043" s="317" t="str">
        <f t="shared" si="336"/>
        <v/>
      </c>
      <c r="S1043" s="317" t="str">
        <f t="shared" si="337"/>
        <v/>
      </c>
      <c r="V1043" s="314">
        <f>SUM('RES. CENTRAL PARK:RUA_FINAL'!N1043)</f>
        <v>0</v>
      </c>
      <c r="W1043" s="315">
        <f t="shared" si="330"/>
        <v>0</v>
      </c>
    </row>
    <row r="1044" spans="1:23" ht="38.1" hidden="1" customHeight="1" x14ac:dyDescent="0.2">
      <c r="A1044" s="63">
        <v>91847</v>
      </c>
      <c r="B1044" s="895">
        <v>91847</v>
      </c>
      <c r="C1044" s="896" t="s">
        <v>596</v>
      </c>
      <c r="D1044" s="906" t="s">
        <v>974</v>
      </c>
      <c r="E1044" s="907"/>
      <c r="F1044" s="908"/>
      <c r="G1044" s="912"/>
      <c r="H1044" s="901">
        <v>18.239999999999998</v>
      </c>
      <c r="I1044" s="901">
        <f t="shared" si="332"/>
        <v>18.239999999999998</v>
      </c>
      <c r="J1044" s="902">
        <f t="shared" si="331"/>
        <v>21.9</v>
      </c>
      <c r="K1044" s="903" t="s">
        <v>62</v>
      </c>
      <c r="L1044" s="904">
        <f>ROUND(SUM('RES. CENTRAL PARK:RUA_FINAL'!L1044),2)</f>
        <v>0</v>
      </c>
      <c r="M1044" s="904">
        <f t="shared" si="333"/>
        <v>0</v>
      </c>
      <c r="N1044" s="893">
        <f t="shared" si="334"/>
        <v>0</v>
      </c>
      <c r="O1044" s="905"/>
      <c r="Q1044" s="317" t="str">
        <f t="shared" si="335"/>
        <v/>
      </c>
      <c r="R1044" s="317" t="str">
        <f t="shared" si="336"/>
        <v/>
      </c>
      <c r="S1044" s="317" t="str">
        <f t="shared" si="337"/>
        <v/>
      </c>
      <c r="V1044" s="314">
        <f>SUM('RES. CENTRAL PARK:RUA_FINAL'!N1044)</f>
        <v>0</v>
      </c>
      <c r="W1044" s="315">
        <f t="shared" si="330"/>
        <v>0</v>
      </c>
    </row>
    <row r="1045" spans="1:23" ht="38.1" hidden="1" customHeight="1" x14ac:dyDescent="0.2">
      <c r="A1045" s="63">
        <v>91853</v>
      </c>
      <c r="B1045" s="895">
        <v>91853</v>
      </c>
      <c r="C1045" s="896" t="s">
        <v>596</v>
      </c>
      <c r="D1045" s="906" t="s">
        <v>975</v>
      </c>
      <c r="E1045" s="907"/>
      <c r="F1045" s="908"/>
      <c r="G1045" s="912"/>
      <c r="H1045" s="901">
        <v>11.93</v>
      </c>
      <c r="I1045" s="901">
        <f t="shared" si="332"/>
        <v>11.93</v>
      </c>
      <c r="J1045" s="902">
        <f t="shared" si="331"/>
        <v>14.32</v>
      </c>
      <c r="K1045" s="903" t="s">
        <v>62</v>
      </c>
      <c r="L1045" s="904">
        <f>ROUND(SUM('RES. CENTRAL PARK:RUA_FINAL'!L1045),2)</f>
        <v>0</v>
      </c>
      <c r="M1045" s="904">
        <f t="shared" si="333"/>
        <v>0</v>
      </c>
      <c r="N1045" s="893">
        <f t="shared" si="334"/>
        <v>0</v>
      </c>
      <c r="O1045" s="905"/>
      <c r="Q1045" s="317" t="str">
        <f t="shared" si="335"/>
        <v/>
      </c>
      <c r="R1045" s="317" t="str">
        <f t="shared" si="336"/>
        <v/>
      </c>
      <c r="S1045" s="317" t="str">
        <f t="shared" si="337"/>
        <v/>
      </c>
      <c r="V1045" s="314">
        <f>SUM('RES. CENTRAL PARK:RUA_FINAL'!N1045)</f>
        <v>0</v>
      </c>
      <c r="W1045" s="315">
        <f t="shared" ref="W1045:W1108" si="338">N1045-V1045</f>
        <v>0</v>
      </c>
    </row>
    <row r="1046" spans="1:23" ht="38.1" hidden="1" customHeight="1" x14ac:dyDescent="0.2">
      <c r="A1046" s="63">
        <v>91855</v>
      </c>
      <c r="B1046" s="895">
        <v>91855</v>
      </c>
      <c r="C1046" s="896" t="s">
        <v>596</v>
      </c>
      <c r="D1046" s="906" t="s">
        <v>976</v>
      </c>
      <c r="E1046" s="907"/>
      <c r="F1046" s="908"/>
      <c r="G1046" s="912"/>
      <c r="H1046" s="901">
        <v>14.29</v>
      </c>
      <c r="I1046" s="901">
        <f t="shared" si="332"/>
        <v>14.29</v>
      </c>
      <c r="J1046" s="902">
        <f t="shared" si="331"/>
        <v>17.16</v>
      </c>
      <c r="K1046" s="903" t="s">
        <v>62</v>
      </c>
      <c r="L1046" s="904">
        <f>ROUND(SUM('RES. CENTRAL PARK:RUA_FINAL'!L1046),2)</f>
        <v>0</v>
      </c>
      <c r="M1046" s="904">
        <f t="shared" si="333"/>
        <v>0</v>
      </c>
      <c r="N1046" s="893">
        <f t="shared" si="334"/>
        <v>0</v>
      </c>
      <c r="O1046" s="905"/>
      <c r="Q1046" s="317" t="str">
        <f t="shared" si="335"/>
        <v/>
      </c>
      <c r="R1046" s="317" t="str">
        <f t="shared" si="336"/>
        <v/>
      </c>
      <c r="S1046" s="317" t="str">
        <f t="shared" si="337"/>
        <v/>
      </c>
      <c r="V1046" s="314">
        <f>SUM('RES. CENTRAL PARK:RUA_FINAL'!N1046)</f>
        <v>0</v>
      </c>
      <c r="W1046" s="315">
        <f t="shared" si="338"/>
        <v>0</v>
      </c>
    </row>
    <row r="1047" spans="1:23" ht="38.1" hidden="1" customHeight="1" x14ac:dyDescent="0.2">
      <c r="A1047" s="63">
        <v>91857</v>
      </c>
      <c r="B1047" s="895">
        <v>91857</v>
      </c>
      <c r="C1047" s="896" t="s">
        <v>596</v>
      </c>
      <c r="D1047" s="906" t="s">
        <v>977</v>
      </c>
      <c r="E1047" s="907"/>
      <c r="F1047" s="908"/>
      <c r="G1047" s="912"/>
      <c r="H1047" s="901">
        <v>20.72</v>
      </c>
      <c r="I1047" s="901">
        <f t="shared" si="332"/>
        <v>20.72</v>
      </c>
      <c r="J1047" s="902">
        <f t="shared" si="331"/>
        <v>24.88</v>
      </c>
      <c r="K1047" s="903" t="s">
        <v>62</v>
      </c>
      <c r="L1047" s="904">
        <f>ROUND(SUM('RES. CENTRAL PARK:RUA_FINAL'!L1047),2)</f>
        <v>0</v>
      </c>
      <c r="M1047" s="904">
        <f t="shared" si="333"/>
        <v>0</v>
      </c>
      <c r="N1047" s="893">
        <f t="shared" si="334"/>
        <v>0</v>
      </c>
      <c r="O1047" s="905"/>
      <c r="Q1047" s="317" t="str">
        <f t="shared" si="335"/>
        <v/>
      </c>
      <c r="R1047" s="317" t="str">
        <f t="shared" si="336"/>
        <v/>
      </c>
      <c r="S1047" s="317" t="str">
        <f t="shared" si="337"/>
        <v/>
      </c>
      <c r="V1047" s="314">
        <f>SUM('RES. CENTRAL PARK:RUA_FINAL'!N1047)</f>
        <v>0</v>
      </c>
      <c r="W1047" s="315">
        <f t="shared" si="338"/>
        <v>0</v>
      </c>
    </row>
    <row r="1048" spans="1:23" ht="30" hidden="1" customHeight="1" x14ac:dyDescent="0.2">
      <c r="A1048" s="63">
        <v>91874</v>
      </c>
      <c r="B1048" s="895">
        <v>91874</v>
      </c>
      <c r="C1048" s="896" t="s">
        <v>596</v>
      </c>
      <c r="D1048" s="906" t="s">
        <v>978</v>
      </c>
      <c r="E1048" s="907"/>
      <c r="F1048" s="908"/>
      <c r="G1048" s="912"/>
      <c r="H1048" s="901">
        <v>6.07</v>
      </c>
      <c r="I1048" s="901">
        <f t="shared" si="332"/>
        <v>6.07</v>
      </c>
      <c r="J1048" s="902">
        <f t="shared" si="331"/>
        <v>7.29</v>
      </c>
      <c r="K1048" s="903" t="s">
        <v>1516</v>
      </c>
      <c r="L1048" s="904">
        <f>ROUND(SUM('RES. CENTRAL PARK:RUA_FINAL'!L1048),2)</f>
        <v>0</v>
      </c>
      <c r="M1048" s="904">
        <f t="shared" si="333"/>
        <v>0</v>
      </c>
      <c r="N1048" s="893">
        <f t="shared" si="334"/>
        <v>0</v>
      </c>
      <c r="O1048" s="905"/>
      <c r="Q1048" s="317" t="str">
        <f t="shared" si="335"/>
        <v/>
      </c>
      <c r="R1048" s="317" t="str">
        <f t="shared" si="336"/>
        <v/>
      </c>
      <c r="S1048" s="317" t="str">
        <f t="shared" si="337"/>
        <v/>
      </c>
      <c r="V1048" s="314">
        <f>SUM('RES. CENTRAL PARK:RUA_FINAL'!N1048)</f>
        <v>0</v>
      </c>
      <c r="W1048" s="315">
        <f t="shared" si="338"/>
        <v>0</v>
      </c>
    </row>
    <row r="1049" spans="1:23" ht="30" hidden="1" customHeight="1" x14ac:dyDescent="0.2">
      <c r="A1049" s="63">
        <v>91875</v>
      </c>
      <c r="B1049" s="895">
        <v>91875</v>
      </c>
      <c r="C1049" s="896" t="s">
        <v>596</v>
      </c>
      <c r="D1049" s="906" t="s">
        <v>979</v>
      </c>
      <c r="E1049" s="907"/>
      <c r="F1049" s="908"/>
      <c r="G1049" s="912"/>
      <c r="H1049" s="901">
        <v>8.0399999999999991</v>
      </c>
      <c r="I1049" s="901">
        <f t="shared" si="332"/>
        <v>8.0399999999999991</v>
      </c>
      <c r="J1049" s="902">
        <f t="shared" si="331"/>
        <v>9.65</v>
      </c>
      <c r="K1049" s="903" t="s">
        <v>1516</v>
      </c>
      <c r="L1049" s="904">
        <f>ROUND(SUM('RES. CENTRAL PARK:RUA_FINAL'!L1049),2)</f>
        <v>0</v>
      </c>
      <c r="M1049" s="904">
        <f t="shared" si="333"/>
        <v>0</v>
      </c>
      <c r="N1049" s="893">
        <f t="shared" si="334"/>
        <v>0</v>
      </c>
      <c r="O1049" s="905"/>
      <c r="Q1049" s="317" t="str">
        <f t="shared" si="335"/>
        <v/>
      </c>
      <c r="R1049" s="317" t="str">
        <f t="shared" si="336"/>
        <v/>
      </c>
      <c r="S1049" s="317" t="str">
        <f t="shared" si="337"/>
        <v/>
      </c>
      <c r="V1049" s="314">
        <f>SUM('RES. CENTRAL PARK:RUA_FINAL'!N1049)</f>
        <v>0</v>
      </c>
      <c r="W1049" s="315">
        <f t="shared" si="338"/>
        <v>0</v>
      </c>
    </row>
    <row r="1050" spans="1:23" ht="30" hidden="1" customHeight="1" x14ac:dyDescent="0.2">
      <c r="A1050" s="63">
        <v>91876</v>
      </c>
      <c r="B1050" s="895">
        <v>91876</v>
      </c>
      <c r="C1050" s="896" t="s">
        <v>596</v>
      </c>
      <c r="D1050" s="906" t="s">
        <v>980</v>
      </c>
      <c r="E1050" s="907"/>
      <c r="F1050" s="908"/>
      <c r="G1050" s="912"/>
      <c r="H1050" s="901">
        <v>10.61</v>
      </c>
      <c r="I1050" s="901">
        <f t="shared" si="332"/>
        <v>10.61</v>
      </c>
      <c r="J1050" s="902">
        <f t="shared" si="331"/>
        <v>12.74</v>
      </c>
      <c r="K1050" s="903" t="s">
        <v>1516</v>
      </c>
      <c r="L1050" s="904">
        <f>ROUND(SUM('RES. CENTRAL PARK:RUA_FINAL'!L1050),2)</f>
        <v>0</v>
      </c>
      <c r="M1050" s="904">
        <f t="shared" si="333"/>
        <v>0</v>
      </c>
      <c r="N1050" s="893">
        <f t="shared" si="334"/>
        <v>0</v>
      </c>
      <c r="O1050" s="905"/>
      <c r="Q1050" s="317" t="str">
        <f t="shared" si="335"/>
        <v/>
      </c>
      <c r="R1050" s="317" t="str">
        <f t="shared" si="336"/>
        <v/>
      </c>
      <c r="S1050" s="317" t="str">
        <f t="shared" si="337"/>
        <v/>
      </c>
      <c r="V1050" s="314">
        <f>SUM('RES. CENTRAL PARK:RUA_FINAL'!N1050)</f>
        <v>0</v>
      </c>
      <c r="W1050" s="315">
        <f t="shared" si="338"/>
        <v>0</v>
      </c>
    </row>
    <row r="1051" spans="1:23" ht="30" hidden="1" customHeight="1" x14ac:dyDescent="0.2">
      <c r="A1051" s="63">
        <v>91877</v>
      </c>
      <c r="B1051" s="895">
        <v>91877</v>
      </c>
      <c r="C1051" s="896" t="s">
        <v>596</v>
      </c>
      <c r="D1051" s="906" t="s">
        <v>981</v>
      </c>
      <c r="E1051" s="907"/>
      <c r="F1051" s="908"/>
      <c r="G1051" s="912"/>
      <c r="H1051" s="901">
        <v>14.08</v>
      </c>
      <c r="I1051" s="901">
        <f t="shared" si="332"/>
        <v>14.08</v>
      </c>
      <c r="J1051" s="902">
        <f t="shared" si="331"/>
        <v>16.91</v>
      </c>
      <c r="K1051" s="903" t="s">
        <v>1516</v>
      </c>
      <c r="L1051" s="904">
        <f>ROUND(SUM('RES. CENTRAL PARK:RUA_FINAL'!L1051),2)</f>
        <v>0</v>
      </c>
      <c r="M1051" s="904">
        <f t="shared" si="333"/>
        <v>0</v>
      </c>
      <c r="N1051" s="893">
        <f t="shared" si="334"/>
        <v>0</v>
      </c>
      <c r="O1051" s="905"/>
      <c r="Q1051" s="317" t="str">
        <f t="shared" si="335"/>
        <v/>
      </c>
      <c r="R1051" s="317" t="str">
        <f t="shared" si="336"/>
        <v/>
      </c>
      <c r="S1051" s="317" t="str">
        <f t="shared" si="337"/>
        <v/>
      </c>
      <c r="V1051" s="314">
        <f>SUM('RES. CENTRAL PARK:RUA_FINAL'!N1051)</f>
        <v>0</v>
      </c>
      <c r="W1051" s="315">
        <f t="shared" si="338"/>
        <v>0</v>
      </c>
    </row>
    <row r="1052" spans="1:23" ht="30" hidden="1" customHeight="1" x14ac:dyDescent="0.2">
      <c r="A1052" s="63">
        <v>91878</v>
      </c>
      <c r="B1052" s="895">
        <v>91878</v>
      </c>
      <c r="C1052" s="896" t="s">
        <v>596</v>
      </c>
      <c r="D1052" s="906" t="s">
        <v>982</v>
      </c>
      <c r="E1052" s="907"/>
      <c r="F1052" s="908"/>
      <c r="G1052" s="912"/>
      <c r="H1052" s="901">
        <v>7.82</v>
      </c>
      <c r="I1052" s="901">
        <f t="shared" si="332"/>
        <v>7.82</v>
      </c>
      <c r="J1052" s="902">
        <f t="shared" si="331"/>
        <v>9.39</v>
      </c>
      <c r="K1052" s="903" t="s">
        <v>1516</v>
      </c>
      <c r="L1052" s="904">
        <f>ROUND(SUM('RES. CENTRAL PARK:RUA_FINAL'!L1052),2)</f>
        <v>0</v>
      </c>
      <c r="M1052" s="904">
        <f t="shared" si="333"/>
        <v>0</v>
      </c>
      <c r="N1052" s="893">
        <f t="shared" si="334"/>
        <v>0</v>
      </c>
      <c r="O1052" s="905"/>
      <c r="Q1052" s="317" t="str">
        <f t="shared" si="335"/>
        <v/>
      </c>
      <c r="R1052" s="317" t="str">
        <f t="shared" si="336"/>
        <v/>
      </c>
      <c r="S1052" s="317" t="str">
        <f t="shared" si="337"/>
        <v/>
      </c>
      <c r="V1052" s="314">
        <f>SUM('RES. CENTRAL PARK:RUA_FINAL'!N1052)</f>
        <v>0</v>
      </c>
      <c r="W1052" s="315">
        <f t="shared" si="338"/>
        <v>0</v>
      </c>
    </row>
    <row r="1053" spans="1:23" ht="30" hidden="1" customHeight="1" x14ac:dyDescent="0.2">
      <c r="A1053" s="63">
        <v>91879</v>
      </c>
      <c r="B1053" s="895">
        <v>91879</v>
      </c>
      <c r="C1053" s="896" t="s">
        <v>596</v>
      </c>
      <c r="D1053" s="906" t="s">
        <v>983</v>
      </c>
      <c r="E1053" s="907"/>
      <c r="F1053" s="908"/>
      <c r="G1053" s="912"/>
      <c r="H1053" s="901">
        <v>9.7200000000000006</v>
      </c>
      <c r="I1053" s="901">
        <f t="shared" si="332"/>
        <v>9.7200000000000006</v>
      </c>
      <c r="J1053" s="902">
        <f t="shared" si="331"/>
        <v>11.67</v>
      </c>
      <c r="K1053" s="903" t="s">
        <v>1516</v>
      </c>
      <c r="L1053" s="904">
        <f>ROUND(SUM('RES. CENTRAL PARK:RUA_FINAL'!L1053),2)</f>
        <v>0</v>
      </c>
      <c r="M1053" s="904">
        <f t="shared" si="333"/>
        <v>0</v>
      </c>
      <c r="N1053" s="893">
        <f t="shared" si="334"/>
        <v>0</v>
      </c>
      <c r="O1053" s="905"/>
      <c r="Q1053" s="317" t="str">
        <f t="shared" si="335"/>
        <v/>
      </c>
      <c r="R1053" s="317" t="str">
        <f t="shared" si="336"/>
        <v/>
      </c>
      <c r="S1053" s="317" t="str">
        <f t="shared" si="337"/>
        <v/>
      </c>
      <c r="V1053" s="314">
        <f>SUM('RES. CENTRAL PARK:RUA_FINAL'!N1053)</f>
        <v>0</v>
      </c>
      <c r="W1053" s="315">
        <f t="shared" si="338"/>
        <v>0</v>
      </c>
    </row>
    <row r="1054" spans="1:23" ht="30" hidden="1" customHeight="1" x14ac:dyDescent="0.2">
      <c r="A1054" s="63">
        <v>91880</v>
      </c>
      <c r="B1054" s="895">
        <v>91880</v>
      </c>
      <c r="C1054" s="896" t="s">
        <v>596</v>
      </c>
      <c r="D1054" s="906" t="s">
        <v>984</v>
      </c>
      <c r="E1054" s="907"/>
      <c r="F1054" s="908"/>
      <c r="G1054" s="912"/>
      <c r="H1054" s="901">
        <v>12.34</v>
      </c>
      <c r="I1054" s="901">
        <f t="shared" si="332"/>
        <v>12.34</v>
      </c>
      <c r="J1054" s="902">
        <f t="shared" si="331"/>
        <v>14.82</v>
      </c>
      <c r="K1054" s="903" t="s">
        <v>1516</v>
      </c>
      <c r="L1054" s="904">
        <f>ROUND(SUM('RES. CENTRAL PARK:RUA_FINAL'!L1054),2)</f>
        <v>0</v>
      </c>
      <c r="M1054" s="904">
        <f t="shared" si="333"/>
        <v>0</v>
      </c>
      <c r="N1054" s="893">
        <f t="shared" si="334"/>
        <v>0</v>
      </c>
      <c r="O1054" s="905"/>
      <c r="Q1054" s="317" t="str">
        <f t="shared" si="335"/>
        <v/>
      </c>
      <c r="R1054" s="317" t="str">
        <f t="shared" si="336"/>
        <v/>
      </c>
      <c r="S1054" s="317" t="str">
        <f t="shared" si="337"/>
        <v/>
      </c>
      <c r="V1054" s="314">
        <f>SUM('RES. CENTRAL PARK:RUA_FINAL'!N1054)</f>
        <v>0</v>
      </c>
      <c r="W1054" s="315">
        <f t="shared" si="338"/>
        <v>0</v>
      </c>
    </row>
    <row r="1055" spans="1:23" ht="30" hidden="1" customHeight="1" x14ac:dyDescent="0.2">
      <c r="A1055" s="63">
        <v>91881</v>
      </c>
      <c r="B1055" s="895">
        <v>91881</v>
      </c>
      <c r="C1055" s="896" t="s">
        <v>596</v>
      </c>
      <c r="D1055" s="906" t="s">
        <v>985</v>
      </c>
      <c r="E1055" s="907"/>
      <c r="F1055" s="908"/>
      <c r="G1055" s="912"/>
      <c r="H1055" s="901">
        <v>15.82</v>
      </c>
      <c r="I1055" s="901">
        <f t="shared" si="332"/>
        <v>15.82</v>
      </c>
      <c r="J1055" s="902">
        <f t="shared" si="331"/>
        <v>19</v>
      </c>
      <c r="K1055" s="903" t="s">
        <v>1516</v>
      </c>
      <c r="L1055" s="904">
        <f>ROUND(SUM('RES. CENTRAL PARK:RUA_FINAL'!L1055),2)</f>
        <v>0</v>
      </c>
      <c r="M1055" s="904">
        <f t="shared" si="333"/>
        <v>0</v>
      </c>
      <c r="N1055" s="893">
        <f t="shared" si="334"/>
        <v>0</v>
      </c>
      <c r="O1055" s="905"/>
      <c r="Q1055" s="317" t="str">
        <f t="shared" si="335"/>
        <v/>
      </c>
      <c r="R1055" s="317" t="str">
        <f t="shared" si="336"/>
        <v/>
      </c>
      <c r="S1055" s="317" t="str">
        <f t="shared" si="337"/>
        <v/>
      </c>
      <c r="V1055" s="314">
        <f>SUM('RES. CENTRAL PARK:RUA_FINAL'!N1055)</f>
        <v>0</v>
      </c>
      <c r="W1055" s="315">
        <f t="shared" si="338"/>
        <v>0</v>
      </c>
    </row>
    <row r="1056" spans="1:23" ht="30" hidden="1" customHeight="1" x14ac:dyDescent="0.2">
      <c r="A1056" s="63">
        <v>91882</v>
      </c>
      <c r="B1056" s="895">
        <v>91882</v>
      </c>
      <c r="C1056" s="896" t="s">
        <v>596</v>
      </c>
      <c r="D1056" s="906" t="s">
        <v>986</v>
      </c>
      <c r="E1056" s="907"/>
      <c r="F1056" s="908"/>
      <c r="G1056" s="912"/>
      <c r="H1056" s="901">
        <v>9.67</v>
      </c>
      <c r="I1056" s="901">
        <f t="shared" si="332"/>
        <v>9.67</v>
      </c>
      <c r="J1056" s="902">
        <f t="shared" si="331"/>
        <v>11.61</v>
      </c>
      <c r="K1056" s="903" t="s">
        <v>1516</v>
      </c>
      <c r="L1056" s="904">
        <f>ROUND(SUM('RES. CENTRAL PARK:RUA_FINAL'!L1056),2)</f>
        <v>0</v>
      </c>
      <c r="M1056" s="904">
        <f t="shared" si="333"/>
        <v>0</v>
      </c>
      <c r="N1056" s="893">
        <f t="shared" si="334"/>
        <v>0</v>
      </c>
      <c r="O1056" s="905"/>
      <c r="Q1056" s="317" t="str">
        <f t="shared" si="335"/>
        <v/>
      </c>
      <c r="R1056" s="317" t="str">
        <f t="shared" si="336"/>
        <v/>
      </c>
      <c r="S1056" s="317" t="str">
        <f t="shared" si="337"/>
        <v/>
      </c>
      <c r="V1056" s="314">
        <f>SUM('RES. CENTRAL PARK:RUA_FINAL'!N1056)</f>
        <v>0</v>
      </c>
      <c r="W1056" s="315">
        <f t="shared" si="338"/>
        <v>0</v>
      </c>
    </row>
    <row r="1057" spans="1:23" ht="30" hidden="1" customHeight="1" x14ac:dyDescent="0.2">
      <c r="A1057" s="63">
        <v>91884</v>
      </c>
      <c r="B1057" s="895">
        <v>91884</v>
      </c>
      <c r="C1057" s="896" t="s">
        <v>596</v>
      </c>
      <c r="D1057" s="906" t="s">
        <v>987</v>
      </c>
      <c r="E1057" s="907"/>
      <c r="F1057" s="908"/>
      <c r="G1057" s="912"/>
      <c r="H1057" s="901">
        <v>11.16</v>
      </c>
      <c r="I1057" s="901">
        <f t="shared" si="332"/>
        <v>11.16</v>
      </c>
      <c r="J1057" s="902">
        <f t="shared" si="331"/>
        <v>13.4</v>
      </c>
      <c r="K1057" s="903" t="s">
        <v>1516</v>
      </c>
      <c r="L1057" s="904">
        <f>ROUND(SUM('RES. CENTRAL PARK:RUA_FINAL'!L1057),2)</f>
        <v>0</v>
      </c>
      <c r="M1057" s="904">
        <f t="shared" si="333"/>
        <v>0</v>
      </c>
      <c r="N1057" s="893">
        <f t="shared" si="334"/>
        <v>0</v>
      </c>
      <c r="O1057" s="905"/>
      <c r="Q1057" s="317" t="str">
        <f t="shared" si="335"/>
        <v/>
      </c>
      <c r="R1057" s="317" t="str">
        <f t="shared" si="336"/>
        <v/>
      </c>
      <c r="S1057" s="317" t="str">
        <f t="shared" si="337"/>
        <v/>
      </c>
      <c r="V1057" s="314">
        <f>SUM('RES. CENTRAL PARK:RUA_FINAL'!N1057)</f>
        <v>0</v>
      </c>
      <c r="W1057" s="315">
        <f t="shared" si="338"/>
        <v>0</v>
      </c>
    </row>
    <row r="1058" spans="1:23" ht="30" hidden="1" customHeight="1" x14ac:dyDescent="0.2">
      <c r="A1058" s="63">
        <v>91885</v>
      </c>
      <c r="B1058" s="895">
        <v>91885</v>
      </c>
      <c r="C1058" s="896" t="s">
        <v>596</v>
      </c>
      <c r="D1058" s="906" t="s">
        <v>988</v>
      </c>
      <c r="E1058" s="907"/>
      <c r="F1058" s="908"/>
      <c r="G1058" s="912"/>
      <c r="H1058" s="901">
        <v>13.18</v>
      </c>
      <c r="I1058" s="901">
        <f t="shared" si="332"/>
        <v>13.18</v>
      </c>
      <c r="J1058" s="902">
        <f t="shared" si="331"/>
        <v>15.83</v>
      </c>
      <c r="K1058" s="903" t="s">
        <v>1516</v>
      </c>
      <c r="L1058" s="904">
        <f>ROUND(SUM('RES. CENTRAL PARK:RUA_FINAL'!L1058),2)</f>
        <v>0</v>
      </c>
      <c r="M1058" s="904">
        <f t="shared" si="333"/>
        <v>0</v>
      </c>
      <c r="N1058" s="893">
        <f t="shared" si="334"/>
        <v>0</v>
      </c>
      <c r="O1058" s="905"/>
      <c r="Q1058" s="317" t="str">
        <f t="shared" si="335"/>
        <v/>
      </c>
      <c r="R1058" s="317" t="str">
        <f t="shared" si="336"/>
        <v/>
      </c>
      <c r="S1058" s="317" t="str">
        <f t="shared" si="337"/>
        <v/>
      </c>
      <c r="V1058" s="314">
        <f>SUM('RES. CENTRAL PARK:RUA_FINAL'!N1058)</f>
        <v>0</v>
      </c>
      <c r="W1058" s="315">
        <f t="shared" si="338"/>
        <v>0</v>
      </c>
    </row>
    <row r="1059" spans="1:23" ht="30" hidden="1" customHeight="1" x14ac:dyDescent="0.2">
      <c r="A1059" s="63">
        <v>91886</v>
      </c>
      <c r="B1059" s="895">
        <v>91886</v>
      </c>
      <c r="C1059" s="896" t="s">
        <v>596</v>
      </c>
      <c r="D1059" s="906" t="s">
        <v>989</v>
      </c>
      <c r="E1059" s="907"/>
      <c r="F1059" s="908"/>
      <c r="G1059" s="912"/>
      <c r="H1059" s="901">
        <v>16</v>
      </c>
      <c r="I1059" s="901">
        <f t="shared" si="332"/>
        <v>16</v>
      </c>
      <c r="J1059" s="902">
        <f t="shared" si="331"/>
        <v>19.21</v>
      </c>
      <c r="K1059" s="903" t="s">
        <v>1516</v>
      </c>
      <c r="L1059" s="904">
        <f>ROUND(SUM('RES. CENTRAL PARK:RUA_FINAL'!L1059),2)</f>
        <v>0</v>
      </c>
      <c r="M1059" s="904">
        <f t="shared" si="333"/>
        <v>0</v>
      </c>
      <c r="N1059" s="893">
        <f t="shared" si="334"/>
        <v>0</v>
      </c>
      <c r="O1059" s="905"/>
      <c r="Q1059" s="317" t="str">
        <f t="shared" si="335"/>
        <v/>
      </c>
      <c r="R1059" s="317" t="str">
        <f t="shared" si="336"/>
        <v/>
      </c>
      <c r="S1059" s="317" t="str">
        <f t="shared" si="337"/>
        <v/>
      </c>
      <c r="V1059" s="314">
        <f>SUM('RES. CENTRAL PARK:RUA_FINAL'!N1059)</f>
        <v>0</v>
      </c>
      <c r="W1059" s="315">
        <f t="shared" si="338"/>
        <v>0</v>
      </c>
    </row>
    <row r="1060" spans="1:23" ht="38.1" hidden="1" customHeight="1" x14ac:dyDescent="0.2">
      <c r="A1060" s="63">
        <v>91887</v>
      </c>
      <c r="B1060" s="895">
        <v>91887</v>
      </c>
      <c r="C1060" s="896" t="s">
        <v>596</v>
      </c>
      <c r="D1060" s="906" t="s">
        <v>990</v>
      </c>
      <c r="E1060" s="907"/>
      <c r="F1060" s="908"/>
      <c r="G1060" s="912"/>
      <c r="H1060" s="901">
        <v>11.2</v>
      </c>
      <c r="I1060" s="901">
        <f t="shared" si="332"/>
        <v>11.2</v>
      </c>
      <c r="J1060" s="902">
        <f t="shared" si="331"/>
        <v>13.45</v>
      </c>
      <c r="K1060" s="903" t="s">
        <v>1516</v>
      </c>
      <c r="L1060" s="904">
        <f>ROUND(SUM('RES. CENTRAL PARK:RUA_FINAL'!L1060),2)</f>
        <v>0</v>
      </c>
      <c r="M1060" s="904">
        <f t="shared" si="333"/>
        <v>0</v>
      </c>
      <c r="N1060" s="893">
        <f t="shared" si="334"/>
        <v>0</v>
      </c>
      <c r="O1060" s="905"/>
      <c r="Q1060" s="317" t="str">
        <f t="shared" si="335"/>
        <v/>
      </c>
      <c r="R1060" s="317" t="str">
        <f t="shared" si="336"/>
        <v/>
      </c>
      <c r="S1060" s="317" t="str">
        <f t="shared" si="337"/>
        <v/>
      </c>
      <c r="V1060" s="314">
        <f>SUM('RES. CENTRAL PARK:RUA_FINAL'!N1060)</f>
        <v>0</v>
      </c>
      <c r="W1060" s="315">
        <f t="shared" si="338"/>
        <v>0</v>
      </c>
    </row>
    <row r="1061" spans="1:23" ht="38.1" hidden="1" customHeight="1" x14ac:dyDescent="0.2">
      <c r="A1061" s="63">
        <v>91889</v>
      </c>
      <c r="B1061" s="895">
        <v>91889</v>
      </c>
      <c r="C1061" s="896" t="s">
        <v>596</v>
      </c>
      <c r="D1061" s="906" t="s">
        <v>991</v>
      </c>
      <c r="E1061" s="907"/>
      <c r="F1061" s="908"/>
      <c r="G1061" s="912"/>
      <c r="H1061" s="901">
        <v>10.8</v>
      </c>
      <c r="I1061" s="901">
        <f t="shared" si="332"/>
        <v>10.8</v>
      </c>
      <c r="J1061" s="902">
        <f t="shared" si="331"/>
        <v>12.97</v>
      </c>
      <c r="K1061" s="903" t="s">
        <v>1516</v>
      </c>
      <c r="L1061" s="904">
        <f>ROUND(SUM('RES. CENTRAL PARK:RUA_FINAL'!L1061),2)</f>
        <v>0</v>
      </c>
      <c r="M1061" s="904">
        <f t="shared" si="333"/>
        <v>0</v>
      </c>
      <c r="N1061" s="893">
        <f t="shared" si="334"/>
        <v>0</v>
      </c>
      <c r="O1061" s="905"/>
      <c r="Q1061" s="317" t="str">
        <f t="shared" si="335"/>
        <v/>
      </c>
      <c r="R1061" s="317" t="str">
        <f t="shared" si="336"/>
        <v/>
      </c>
      <c r="S1061" s="317" t="str">
        <f t="shared" si="337"/>
        <v/>
      </c>
      <c r="V1061" s="314">
        <f>SUM('RES. CENTRAL PARK:RUA_FINAL'!N1061)</f>
        <v>0</v>
      </c>
      <c r="W1061" s="315">
        <f t="shared" si="338"/>
        <v>0</v>
      </c>
    </row>
    <row r="1062" spans="1:23" ht="38.1" hidden="1" customHeight="1" x14ac:dyDescent="0.2">
      <c r="A1062" s="63">
        <v>91890</v>
      </c>
      <c r="B1062" s="895">
        <v>91890</v>
      </c>
      <c r="C1062" s="896" t="s">
        <v>596</v>
      </c>
      <c r="D1062" s="906" t="s">
        <v>992</v>
      </c>
      <c r="E1062" s="907"/>
      <c r="F1062" s="908"/>
      <c r="G1062" s="912"/>
      <c r="H1062" s="901">
        <v>13.35</v>
      </c>
      <c r="I1062" s="901">
        <f t="shared" si="332"/>
        <v>13.35</v>
      </c>
      <c r="J1062" s="902">
        <f t="shared" si="331"/>
        <v>16.03</v>
      </c>
      <c r="K1062" s="903" t="s">
        <v>1516</v>
      </c>
      <c r="L1062" s="904">
        <f>ROUND(SUM('RES. CENTRAL PARK:RUA_FINAL'!L1062),2)</f>
        <v>0</v>
      </c>
      <c r="M1062" s="904">
        <f t="shared" si="333"/>
        <v>0</v>
      </c>
      <c r="N1062" s="893">
        <f t="shared" si="334"/>
        <v>0</v>
      </c>
      <c r="O1062" s="905"/>
      <c r="Q1062" s="317" t="str">
        <f t="shared" si="335"/>
        <v/>
      </c>
      <c r="R1062" s="317" t="str">
        <f t="shared" si="336"/>
        <v/>
      </c>
      <c r="S1062" s="317" t="str">
        <f t="shared" si="337"/>
        <v/>
      </c>
      <c r="V1062" s="314">
        <f>SUM('RES. CENTRAL PARK:RUA_FINAL'!N1062)</f>
        <v>0</v>
      </c>
      <c r="W1062" s="315">
        <f t="shared" si="338"/>
        <v>0</v>
      </c>
    </row>
    <row r="1063" spans="1:23" ht="38.1" hidden="1" customHeight="1" x14ac:dyDescent="0.2">
      <c r="A1063" s="63">
        <v>91892</v>
      </c>
      <c r="B1063" s="895">
        <v>91892</v>
      </c>
      <c r="C1063" s="896" t="s">
        <v>596</v>
      </c>
      <c r="D1063" s="906" t="s">
        <v>993</v>
      </c>
      <c r="E1063" s="907"/>
      <c r="F1063" s="908"/>
      <c r="G1063" s="912"/>
      <c r="H1063" s="901">
        <v>16.04</v>
      </c>
      <c r="I1063" s="901">
        <f t="shared" si="332"/>
        <v>16.04</v>
      </c>
      <c r="J1063" s="902">
        <f t="shared" si="331"/>
        <v>19.260000000000002</v>
      </c>
      <c r="K1063" s="903" t="s">
        <v>1516</v>
      </c>
      <c r="L1063" s="904">
        <f>ROUND(SUM('RES. CENTRAL PARK:RUA_FINAL'!L1063),2)</f>
        <v>0</v>
      </c>
      <c r="M1063" s="904">
        <f t="shared" si="333"/>
        <v>0</v>
      </c>
      <c r="N1063" s="893">
        <f t="shared" si="334"/>
        <v>0</v>
      </c>
      <c r="O1063" s="905"/>
      <c r="Q1063" s="317" t="str">
        <f t="shared" si="335"/>
        <v/>
      </c>
      <c r="R1063" s="317" t="str">
        <f t="shared" si="336"/>
        <v/>
      </c>
      <c r="S1063" s="317" t="str">
        <f t="shared" si="337"/>
        <v/>
      </c>
      <c r="V1063" s="314">
        <f>SUM('RES. CENTRAL PARK:RUA_FINAL'!N1063)</f>
        <v>0</v>
      </c>
      <c r="W1063" s="315">
        <f t="shared" si="338"/>
        <v>0</v>
      </c>
    </row>
    <row r="1064" spans="1:23" ht="38.1" hidden="1" customHeight="1" x14ac:dyDescent="0.2">
      <c r="A1064" s="63">
        <v>91893</v>
      </c>
      <c r="B1064" s="895">
        <v>91893</v>
      </c>
      <c r="C1064" s="896" t="s">
        <v>596</v>
      </c>
      <c r="D1064" s="906" t="s">
        <v>994</v>
      </c>
      <c r="E1064" s="907"/>
      <c r="F1064" s="908"/>
      <c r="G1064" s="912"/>
      <c r="H1064" s="901">
        <v>18.22</v>
      </c>
      <c r="I1064" s="901">
        <f t="shared" si="332"/>
        <v>18.22</v>
      </c>
      <c r="J1064" s="902">
        <f t="shared" si="331"/>
        <v>21.88</v>
      </c>
      <c r="K1064" s="903" t="s">
        <v>1516</v>
      </c>
      <c r="L1064" s="904">
        <f>ROUND(SUM('RES. CENTRAL PARK:RUA_FINAL'!L1064),2)</f>
        <v>0</v>
      </c>
      <c r="M1064" s="904">
        <f t="shared" si="333"/>
        <v>0</v>
      </c>
      <c r="N1064" s="893">
        <f t="shared" si="334"/>
        <v>0</v>
      </c>
      <c r="O1064" s="905"/>
      <c r="Q1064" s="317" t="str">
        <f t="shared" si="335"/>
        <v/>
      </c>
      <c r="R1064" s="317" t="str">
        <f t="shared" si="336"/>
        <v/>
      </c>
      <c r="S1064" s="317" t="str">
        <f t="shared" si="337"/>
        <v/>
      </c>
      <c r="V1064" s="314">
        <f>SUM('RES. CENTRAL PARK:RUA_FINAL'!N1064)</f>
        <v>0</v>
      </c>
      <c r="W1064" s="315">
        <f t="shared" si="338"/>
        <v>0</v>
      </c>
    </row>
    <row r="1065" spans="1:23" ht="38.1" hidden="1" customHeight="1" x14ac:dyDescent="0.2">
      <c r="A1065" s="63">
        <v>91896</v>
      </c>
      <c r="B1065" s="895">
        <v>91896</v>
      </c>
      <c r="C1065" s="896" t="s">
        <v>596</v>
      </c>
      <c r="D1065" s="906" t="s">
        <v>995</v>
      </c>
      <c r="E1065" s="907"/>
      <c r="F1065" s="908"/>
      <c r="G1065" s="912"/>
      <c r="H1065" s="901">
        <v>22.26</v>
      </c>
      <c r="I1065" s="901">
        <f t="shared" si="332"/>
        <v>22.26</v>
      </c>
      <c r="J1065" s="902">
        <f t="shared" si="331"/>
        <v>26.73</v>
      </c>
      <c r="K1065" s="903" t="s">
        <v>1516</v>
      </c>
      <c r="L1065" s="904">
        <f>ROUND(SUM('RES. CENTRAL PARK:RUA_FINAL'!L1065),2)</f>
        <v>0</v>
      </c>
      <c r="M1065" s="904">
        <f t="shared" si="333"/>
        <v>0</v>
      </c>
      <c r="N1065" s="893">
        <f t="shared" si="334"/>
        <v>0</v>
      </c>
      <c r="O1065" s="905"/>
      <c r="Q1065" s="317" t="str">
        <f t="shared" si="335"/>
        <v/>
      </c>
      <c r="R1065" s="317" t="str">
        <f t="shared" si="336"/>
        <v/>
      </c>
      <c r="S1065" s="317" t="str">
        <f t="shared" si="337"/>
        <v/>
      </c>
      <c r="V1065" s="314">
        <f>SUM('RES. CENTRAL PARK:RUA_FINAL'!N1065)</f>
        <v>0</v>
      </c>
      <c r="W1065" s="315">
        <f t="shared" si="338"/>
        <v>0</v>
      </c>
    </row>
    <row r="1066" spans="1:23" ht="38.1" hidden="1" customHeight="1" x14ac:dyDescent="0.2">
      <c r="A1066" s="63">
        <v>91898</v>
      </c>
      <c r="B1066" s="895">
        <v>91898</v>
      </c>
      <c r="C1066" s="896" t="s">
        <v>596</v>
      </c>
      <c r="D1066" s="906" t="s">
        <v>996</v>
      </c>
      <c r="E1066" s="907"/>
      <c r="F1066" s="908"/>
      <c r="G1066" s="912"/>
      <c r="H1066" s="901">
        <v>25.18</v>
      </c>
      <c r="I1066" s="901">
        <f t="shared" si="332"/>
        <v>25.18</v>
      </c>
      <c r="J1066" s="902">
        <f t="shared" si="331"/>
        <v>30.23</v>
      </c>
      <c r="K1066" s="903" t="s">
        <v>1516</v>
      </c>
      <c r="L1066" s="904">
        <f>ROUND(SUM('RES. CENTRAL PARK:RUA_FINAL'!L1066),2)</f>
        <v>0</v>
      </c>
      <c r="M1066" s="904">
        <f t="shared" si="333"/>
        <v>0</v>
      </c>
      <c r="N1066" s="893">
        <f t="shared" si="334"/>
        <v>0</v>
      </c>
      <c r="O1066" s="905"/>
      <c r="Q1066" s="317" t="str">
        <f t="shared" si="335"/>
        <v/>
      </c>
      <c r="R1066" s="317" t="str">
        <f t="shared" si="336"/>
        <v/>
      </c>
      <c r="S1066" s="317" t="str">
        <f t="shared" si="337"/>
        <v/>
      </c>
      <c r="V1066" s="314">
        <f>SUM('RES. CENTRAL PARK:RUA_FINAL'!N1066)</f>
        <v>0</v>
      </c>
      <c r="W1066" s="315">
        <f t="shared" si="338"/>
        <v>0</v>
      </c>
    </row>
    <row r="1067" spans="1:23" ht="38.1" hidden="1" customHeight="1" x14ac:dyDescent="0.2">
      <c r="A1067" s="63">
        <v>91899</v>
      </c>
      <c r="B1067" s="895">
        <v>91899</v>
      </c>
      <c r="C1067" s="896" t="s">
        <v>596</v>
      </c>
      <c r="D1067" s="906" t="s">
        <v>997</v>
      </c>
      <c r="E1067" s="907"/>
      <c r="F1067" s="908"/>
      <c r="G1067" s="912"/>
      <c r="H1067" s="901">
        <v>13.72</v>
      </c>
      <c r="I1067" s="901">
        <f t="shared" si="332"/>
        <v>13.72</v>
      </c>
      <c r="J1067" s="902">
        <f t="shared" si="331"/>
        <v>16.47</v>
      </c>
      <c r="K1067" s="903" t="s">
        <v>1516</v>
      </c>
      <c r="L1067" s="904">
        <f>ROUND(SUM('RES. CENTRAL PARK:RUA_FINAL'!L1067),2)</f>
        <v>0</v>
      </c>
      <c r="M1067" s="904">
        <f t="shared" si="333"/>
        <v>0</v>
      </c>
      <c r="N1067" s="893">
        <f t="shared" si="334"/>
        <v>0</v>
      </c>
      <c r="O1067" s="905"/>
      <c r="Q1067" s="317" t="str">
        <f t="shared" si="335"/>
        <v/>
      </c>
      <c r="R1067" s="317" t="str">
        <f t="shared" si="336"/>
        <v/>
      </c>
      <c r="S1067" s="317" t="str">
        <f t="shared" si="337"/>
        <v/>
      </c>
      <c r="V1067" s="314">
        <f>SUM('RES. CENTRAL PARK:RUA_FINAL'!N1067)</f>
        <v>0</v>
      </c>
      <c r="W1067" s="315">
        <f t="shared" si="338"/>
        <v>0</v>
      </c>
    </row>
    <row r="1068" spans="1:23" ht="38.1" hidden="1" customHeight="1" x14ac:dyDescent="0.2">
      <c r="A1068" s="63">
        <v>91901</v>
      </c>
      <c r="B1068" s="895">
        <v>91901</v>
      </c>
      <c r="C1068" s="896" t="s">
        <v>596</v>
      </c>
      <c r="D1068" s="906" t="s">
        <v>998</v>
      </c>
      <c r="E1068" s="907"/>
      <c r="F1068" s="908"/>
      <c r="G1068" s="912"/>
      <c r="H1068" s="901">
        <v>13.32</v>
      </c>
      <c r="I1068" s="901">
        <f t="shared" si="332"/>
        <v>13.32</v>
      </c>
      <c r="J1068" s="902">
        <f t="shared" si="331"/>
        <v>15.99</v>
      </c>
      <c r="K1068" s="903" t="s">
        <v>1516</v>
      </c>
      <c r="L1068" s="904">
        <f>ROUND(SUM('RES. CENTRAL PARK:RUA_FINAL'!L1068),2)</f>
        <v>0</v>
      </c>
      <c r="M1068" s="904">
        <f t="shared" si="333"/>
        <v>0</v>
      </c>
      <c r="N1068" s="893">
        <f t="shared" si="334"/>
        <v>0</v>
      </c>
      <c r="O1068" s="905"/>
      <c r="Q1068" s="317" t="str">
        <f t="shared" si="335"/>
        <v/>
      </c>
      <c r="R1068" s="317" t="str">
        <f t="shared" si="336"/>
        <v/>
      </c>
      <c r="S1068" s="317" t="str">
        <f t="shared" si="337"/>
        <v/>
      </c>
      <c r="V1068" s="314">
        <f>SUM('RES. CENTRAL PARK:RUA_FINAL'!N1068)</f>
        <v>0</v>
      </c>
      <c r="W1068" s="315">
        <f t="shared" si="338"/>
        <v>0</v>
      </c>
    </row>
    <row r="1069" spans="1:23" ht="38.1" hidden="1" customHeight="1" x14ac:dyDescent="0.2">
      <c r="A1069" s="63">
        <v>91902</v>
      </c>
      <c r="B1069" s="895">
        <v>91902</v>
      </c>
      <c r="C1069" s="896" t="s">
        <v>596</v>
      </c>
      <c r="D1069" s="906" t="s">
        <v>999</v>
      </c>
      <c r="E1069" s="907"/>
      <c r="F1069" s="908"/>
      <c r="G1069" s="912"/>
      <c r="H1069" s="901">
        <v>15.87</v>
      </c>
      <c r="I1069" s="901">
        <f t="shared" si="332"/>
        <v>15.87</v>
      </c>
      <c r="J1069" s="902">
        <f t="shared" si="331"/>
        <v>19.059999999999999</v>
      </c>
      <c r="K1069" s="903" t="s">
        <v>1516</v>
      </c>
      <c r="L1069" s="904">
        <f>ROUND(SUM('RES. CENTRAL PARK:RUA_FINAL'!L1069),2)</f>
        <v>0</v>
      </c>
      <c r="M1069" s="904">
        <f t="shared" si="333"/>
        <v>0</v>
      </c>
      <c r="N1069" s="893">
        <f t="shared" si="334"/>
        <v>0</v>
      </c>
      <c r="O1069" s="905"/>
      <c r="Q1069" s="317" t="str">
        <f t="shared" si="335"/>
        <v/>
      </c>
      <c r="R1069" s="317" t="str">
        <f t="shared" si="336"/>
        <v/>
      </c>
      <c r="S1069" s="317" t="str">
        <f t="shared" si="337"/>
        <v/>
      </c>
      <c r="V1069" s="314">
        <f>SUM('RES. CENTRAL PARK:RUA_FINAL'!N1069)</f>
        <v>0</v>
      </c>
      <c r="W1069" s="315">
        <f t="shared" si="338"/>
        <v>0</v>
      </c>
    </row>
    <row r="1070" spans="1:23" ht="38.1" hidden="1" customHeight="1" x14ac:dyDescent="0.2">
      <c r="A1070" s="63">
        <v>91895</v>
      </c>
      <c r="B1070" s="895">
        <v>91895</v>
      </c>
      <c r="C1070" s="896" t="s">
        <v>596</v>
      </c>
      <c r="D1070" s="906" t="s">
        <v>1000</v>
      </c>
      <c r="E1070" s="907"/>
      <c r="F1070" s="908"/>
      <c r="G1070" s="912"/>
      <c r="H1070" s="901">
        <v>20.96</v>
      </c>
      <c r="I1070" s="901">
        <f t="shared" si="332"/>
        <v>20.96</v>
      </c>
      <c r="J1070" s="902">
        <f t="shared" si="331"/>
        <v>25.17</v>
      </c>
      <c r="K1070" s="903" t="s">
        <v>1516</v>
      </c>
      <c r="L1070" s="904">
        <f>ROUND(SUM('RES. CENTRAL PARK:RUA_FINAL'!L1070),2)</f>
        <v>0</v>
      </c>
      <c r="M1070" s="904">
        <f t="shared" si="333"/>
        <v>0</v>
      </c>
      <c r="N1070" s="893">
        <f t="shared" si="334"/>
        <v>0</v>
      </c>
      <c r="O1070" s="905"/>
      <c r="Q1070" s="317" t="str">
        <f t="shared" si="335"/>
        <v/>
      </c>
      <c r="R1070" s="317" t="str">
        <f t="shared" si="336"/>
        <v/>
      </c>
      <c r="S1070" s="317" t="str">
        <f t="shared" si="337"/>
        <v/>
      </c>
      <c r="V1070" s="314">
        <f>SUM('RES. CENTRAL PARK:RUA_FINAL'!N1070)</f>
        <v>0</v>
      </c>
      <c r="W1070" s="315">
        <f t="shared" si="338"/>
        <v>0</v>
      </c>
    </row>
    <row r="1071" spans="1:23" ht="38.1" hidden="1" customHeight="1" x14ac:dyDescent="0.2">
      <c r="A1071" s="63">
        <v>91907</v>
      </c>
      <c r="B1071" s="895">
        <v>91907</v>
      </c>
      <c r="C1071" s="896" t="s">
        <v>596</v>
      </c>
      <c r="D1071" s="906" t="s">
        <v>1001</v>
      </c>
      <c r="E1071" s="907"/>
      <c r="F1071" s="908"/>
      <c r="G1071" s="912"/>
      <c r="H1071" s="901">
        <v>23.49</v>
      </c>
      <c r="I1071" s="901">
        <f t="shared" si="332"/>
        <v>23.49</v>
      </c>
      <c r="J1071" s="902">
        <f t="shared" si="331"/>
        <v>28.2</v>
      </c>
      <c r="K1071" s="903" t="s">
        <v>1516</v>
      </c>
      <c r="L1071" s="904">
        <f>ROUND(SUM('RES. CENTRAL PARK:RUA_FINAL'!L1071),2)</f>
        <v>0</v>
      </c>
      <c r="M1071" s="904">
        <f t="shared" si="333"/>
        <v>0</v>
      </c>
      <c r="N1071" s="893">
        <f t="shared" si="334"/>
        <v>0</v>
      </c>
      <c r="O1071" s="905"/>
      <c r="Q1071" s="317" t="str">
        <f t="shared" si="335"/>
        <v/>
      </c>
      <c r="R1071" s="317" t="str">
        <f t="shared" si="336"/>
        <v/>
      </c>
      <c r="S1071" s="317" t="str">
        <f t="shared" si="337"/>
        <v/>
      </c>
      <c r="V1071" s="314">
        <f>SUM('RES. CENTRAL PARK:RUA_FINAL'!N1071)</f>
        <v>0</v>
      </c>
      <c r="W1071" s="315">
        <f t="shared" si="338"/>
        <v>0</v>
      </c>
    </row>
    <row r="1072" spans="1:23" ht="38.1" hidden="1" customHeight="1" x14ac:dyDescent="0.2">
      <c r="A1072" s="63">
        <v>91919</v>
      </c>
      <c r="B1072" s="895">
        <v>91919</v>
      </c>
      <c r="C1072" s="896" t="s">
        <v>596</v>
      </c>
      <c r="D1072" s="906" t="s">
        <v>1002</v>
      </c>
      <c r="E1072" s="907"/>
      <c r="F1072" s="908"/>
      <c r="G1072" s="912"/>
      <c r="H1072" s="901">
        <v>24.8</v>
      </c>
      <c r="I1072" s="901">
        <f t="shared" si="332"/>
        <v>24.8</v>
      </c>
      <c r="J1072" s="902">
        <f t="shared" si="331"/>
        <v>29.78</v>
      </c>
      <c r="K1072" s="903" t="s">
        <v>1516</v>
      </c>
      <c r="L1072" s="904">
        <f>ROUND(SUM('RES. CENTRAL PARK:RUA_FINAL'!L1072),2)</f>
        <v>0</v>
      </c>
      <c r="M1072" s="904">
        <f t="shared" si="333"/>
        <v>0</v>
      </c>
      <c r="N1072" s="893">
        <f t="shared" si="334"/>
        <v>0</v>
      </c>
      <c r="O1072" s="905"/>
      <c r="Q1072" s="317" t="str">
        <f t="shared" si="335"/>
        <v/>
      </c>
      <c r="R1072" s="317" t="str">
        <f t="shared" si="336"/>
        <v/>
      </c>
      <c r="S1072" s="317" t="str">
        <f t="shared" si="337"/>
        <v/>
      </c>
      <c r="V1072" s="314">
        <f>SUM('RES. CENTRAL PARK:RUA_FINAL'!N1072)</f>
        <v>0</v>
      </c>
      <c r="W1072" s="315">
        <f t="shared" si="338"/>
        <v>0</v>
      </c>
    </row>
    <row r="1073" spans="1:23" ht="38.1" hidden="1" customHeight="1" x14ac:dyDescent="0.2">
      <c r="A1073" s="63">
        <v>91904</v>
      </c>
      <c r="B1073" s="895">
        <v>91904</v>
      </c>
      <c r="C1073" s="896" t="s">
        <v>596</v>
      </c>
      <c r="D1073" s="906" t="s">
        <v>1003</v>
      </c>
      <c r="E1073" s="907"/>
      <c r="F1073" s="908"/>
      <c r="G1073" s="912"/>
      <c r="H1073" s="901">
        <v>18.559999999999999</v>
      </c>
      <c r="I1073" s="901">
        <f t="shared" si="332"/>
        <v>18.559999999999999</v>
      </c>
      <c r="J1073" s="902">
        <f t="shared" si="331"/>
        <v>22.28</v>
      </c>
      <c r="K1073" s="903" t="s">
        <v>1516</v>
      </c>
      <c r="L1073" s="904">
        <f>ROUND(SUM('RES. CENTRAL PARK:RUA_FINAL'!L1073),2)</f>
        <v>0</v>
      </c>
      <c r="M1073" s="904">
        <f t="shared" si="333"/>
        <v>0</v>
      </c>
      <c r="N1073" s="893">
        <f t="shared" si="334"/>
        <v>0</v>
      </c>
      <c r="O1073" s="905"/>
      <c r="Q1073" s="317" t="str">
        <f t="shared" si="335"/>
        <v/>
      </c>
      <c r="R1073" s="317" t="str">
        <f t="shared" si="336"/>
        <v/>
      </c>
      <c r="S1073" s="317" t="str">
        <f t="shared" si="337"/>
        <v/>
      </c>
      <c r="V1073" s="314">
        <f>SUM('RES. CENTRAL PARK:RUA_FINAL'!N1073)</f>
        <v>0</v>
      </c>
      <c r="W1073" s="315">
        <f t="shared" si="338"/>
        <v>0</v>
      </c>
    </row>
    <row r="1074" spans="1:23" ht="38.1" hidden="1" customHeight="1" x14ac:dyDescent="0.2">
      <c r="A1074" s="63">
        <v>91905</v>
      </c>
      <c r="B1074" s="895">
        <v>91905</v>
      </c>
      <c r="C1074" s="896" t="s">
        <v>596</v>
      </c>
      <c r="D1074" s="906" t="s">
        <v>1004</v>
      </c>
      <c r="E1074" s="907"/>
      <c r="F1074" s="908"/>
      <c r="G1074" s="912"/>
      <c r="H1074" s="901">
        <v>20.75</v>
      </c>
      <c r="I1074" s="901">
        <f t="shared" si="332"/>
        <v>20.75</v>
      </c>
      <c r="J1074" s="902">
        <f t="shared" si="331"/>
        <v>24.91</v>
      </c>
      <c r="K1074" s="903" t="s">
        <v>1516</v>
      </c>
      <c r="L1074" s="904">
        <f>ROUND(SUM('RES. CENTRAL PARK:RUA_FINAL'!L1074),2)</f>
        <v>0</v>
      </c>
      <c r="M1074" s="904">
        <f t="shared" si="333"/>
        <v>0</v>
      </c>
      <c r="N1074" s="893">
        <f t="shared" si="334"/>
        <v>0</v>
      </c>
      <c r="O1074" s="905"/>
      <c r="Q1074" s="317" t="str">
        <f t="shared" si="335"/>
        <v/>
      </c>
      <c r="R1074" s="317" t="str">
        <f t="shared" si="336"/>
        <v/>
      </c>
      <c r="S1074" s="317" t="str">
        <f t="shared" si="337"/>
        <v/>
      </c>
      <c r="V1074" s="314">
        <f>SUM('RES. CENTRAL PARK:RUA_FINAL'!N1074)</f>
        <v>0</v>
      </c>
      <c r="W1074" s="315">
        <f t="shared" si="338"/>
        <v>0</v>
      </c>
    </row>
    <row r="1075" spans="1:23" ht="38.1" hidden="1" customHeight="1" x14ac:dyDescent="0.2">
      <c r="A1075" s="63">
        <v>91908</v>
      </c>
      <c r="B1075" s="895">
        <v>91908</v>
      </c>
      <c r="C1075" s="896" t="s">
        <v>596</v>
      </c>
      <c r="D1075" s="906" t="s">
        <v>1005</v>
      </c>
      <c r="E1075" s="907"/>
      <c r="F1075" s="908"/>
      <c r="G1075" s="912"/>
      <c r="H1075" s="901">
        <v>24.84</v>
      </c>
      <c r="I1075" s="901">
        <f t="shared" si="332"/>
        <v>24.84</v>
      </c>
      <c r="J1075" s="902">
        <f t="shared" si="331"/>
        <v>29.83</v>
      </c>
      <c r="K1075" s="903" t="s">
        <v>1516</v>
      </c>
      <c r="L1075" s="904">
        <f>ROUND(SUM('RES. CENTRAL PARK:RUA_FINAL'!L1075),2)</f>
        <v>0</v>
      </c>
      <c r="M1075" s="904">
        <f t="shared" si="333"/>
        <v>0</v>
      </c>
      <c r="N1075" s="893">
        <f t="shared" si="334"/>
        <v>0</v>
      </c>
      <c r="O1075" s="905"/>
      <c r="Q1075" s="317" t="str">
        <f t="shared" si="335"/>
        <v/>
      </c>
      <c r="R1075" s="317" t="str">
        <f t="shared" si="336"/>
        <v/>
      </c>
      <c r="S1075" s="317" t="str">
        <f t="shared" si="337"/>
        <v/>
      </c>
      <c r="V1075" s="314">
        <f>SUM('RES. CENTRAL PARK:RUA_FINAL'!N1075)</f>
        <v>0</v>
      </c>
      <c r="W1075" s="315">
        <f t="shared" si="338"/>
        <v>0</v>
      </c>
    </row>
    <row r="1076" spans="1:23" ht="38.1" hidden="1" customHeight="1" x14ac:dyDescent="0.2">
      <c r="A1076" s="63">
        <v>91910</v>
      </c>
      <c r="B1076" s="895">
        <v>91910</v>
      </c>
      <c r="C1076" s="896" t="s">
        <v>596</v>
      </c>
      <c r="D1076" s="906" t="s">
        <v>1006</v>
      </c>
      <c r="E1076" s="907"/>
      <c r="F1076" s="908"/>
      <c r="G1076" s="912"/>
      <c r="H1076" s="901">
        <v>27.76</v>
      </c>
      <c r="I1076" s="901">
        <f t="shared" si="332"/>
        <v>27.76</v>
      </c>
      <c r="J1076" s="902">
        <f t="shared" si="331"/>
        <v>33.33</v>
      </c>
      <c r="K1076" s="903" t="s">
        <v>1516</v>
      </c>
      <c r="L1076" s="904">
        <f>ROUND(SUM('RES. CENTRAL PARK:RUA_FINAL'!L1076),2)</f>
        <v>0</v>
      </c>
      <c r="M1076" s="904">
        <f t="shared" si="333"/>
        <v>0</v>
      </c>
      <c r="N1076" s="893">
        <f t="shared" si="334"/>
        <v>0</v>
      </c>
      <c r="O1076" s="905"/>
      <c r="Q1076" s="317" t="str">
        <f t="shared" si="335"/>
        <v/>
      </c>
      <c r="R1076" s="317" t="str">
        <f t="shared" si="336"/>
        <v/>
      </c>
      <c r="S1076" s="317" t="str">
        <f t="shared" si="337"/>
        <v/>
      </c>
      <c r="V1076" s="314">
        <f>SUM('RES. CENTRAL PARK:RUA_FINAL'!N1076)</f>
        <v>0</v>
      </c>
      <c r="W1076" s="315">
        <f t="shared" si="338"/>
        <v>0</v>
      </c>
    </row>
    <row r="1077" spans="1:23" ht="38.1" hidden="1" customHeight="1" x14ac:dyDescent="0.2">
      <c r="A1077" s="63">
        <v>91911</v>
      </c>
      <c r="B1077" s="895">
        <v>91911</v>
      </c>
      <c r="C1077" s="896" t="s">
        <v>596</v>
      </c>
      <c r="D1077" s="906" t="s">
        <v>1007</v>
      </c>
      <c r="E1077" s="907"/>
      <c r="F1077" s="908"/>
      <c r="G1077" s="912"/>
      <c r="H1077" s="901">
        <v>16.600000000000001</v>
      </c>
      <c r="I1077" s="901">
        <f t="shared" si="332"/>
        <v>16.600000000000001</v>
      </c>
      <c r="J1077" s="902">
        <f t="shared" si="331"/>
        <v>19.93</v>
      </c>
      <c r="K1077" s="903" t="s">
        <v>1516</v>
      </c>
      <c r="L1077" s="904">
        <f>ROUND(SUM('RES. CENTRAL PARK:RUA_FINAL'!L1077),2)</f>
        <v>0</v>
      </c>
      <c r="M1077" s="904">
        <f t="shared" si="333"/>
        <v>0</v>
      </c>
      <c r="N1077" s="893">
        <f t="shared" si="334"/>
        <v>0</v>
      </c>
      <c r="O1077" s="905"/>
      <c r="Q1077" s="317" t="str">
        <f t="shared" si="335"/>
        <v/>
      </c>
      <c r="R1077" s="317" t="str">
        <f t="shared" si="336"/>
        <v/>
      </c>
      <c r="S1077" s="317" t="str">
        <f t="shared" si="337"/>
        <v/>
      </c>
      <c r="V1077" s="314">
        <f>SUM('RES. CENTRAL PARK:RUA_FINAL'!N1077)</f>
        <v>0</v>
      </c>
      <c r="W1077" s="315">
        <f t="shared" si="338"/>
        <v>0</v>
      </c>
    </row>
    <row r="1078" spans="1:23" ht="38.1" hidden="1" customHeight="1" x14ac:dyDescent="0.2">
      <c r="A1078" s="63">
        <v>91913</v>
      </c>
      <c r="B1078" s="895">
        <v>91913</v>
      </c>
      <c r="C1078" s="896" t="s">
        <v>596</v>
      </c>
      <c r="D1078" s="906" t="s">
        <v>1008</v>
      </c>
      <c r="E1078" s="907"/>
      <c r="F1078" s="908"/>
      <c r="G1078" s="912"/>
      <c r="H1078" s="901">
        <v>16.2</v>
      </c>
      <c r="I1078" s="901">
        <f t="shared" si="332"/>
        <v>16.2</v>
      </c>
      <c r="J1078" s="902">
        <f t="shared" si="331"/>
        <v>19.45</v>
      </c>
      <c r="K1078" s="903" t="s">
        <v>1516</v>
      </c>
      <c r="L1078" s="904">
        <f>ROUND(SUM('RES. CENTRAL PARK:RUA_FINAL'!L1078),2)</f>
        <v>0</v>
      </c>
      <c r="M1078" s="904">
        <f t="shared" si="333"/>
        <v>0</v>
      </c>
      <c r="N1078" s="893">
        <f t="shared" si="334"/>
        <v>0</v>
      </c>
      <c r="O1078" s="905"/>
      <c r="Q1078" s="317" t="str">
        <f t="shared" si="335"/>
        <v/>
      </c>
      <c r="R1078" s="317" t="str">
        <f t="shared" si="336"/>
        <v/>
      </c>
      <c r="S1078" s="317" t="str">
        <f t="shared" si="337"/>
        <v/>
      </c>
      <c r="V1078" s="314">
        <f>SUM('RES. CENTRAL PARK:RUA_FINAL'!N1078)</f>
        <v>0</v>
      </c>
      <c r="W1078" s="315">
        <f t="shared" si="338"/>
        <v>0</v>
      </c>
    </row>
    <row r="1079" spans="1:23" ht="38.1" hidden="1" customHeight="1" x14ac:dyDescent="0.2">
      <c r="A1079" s="63">
        <v>91914</v>
      </c>
      <c r="B1079" s="895">
        <v>91914</v>
      </c>
      <c r="C1079" s="896" t="s">
        <v>596</v>
      </c>
      <c r="D1079" s="906" t="s">
        <v>1009</v>
      </c>
      <c r="E1079" s="907"/>
      <c r="F1079" s="908"/>
      <c r="G1079" s="912"/>
      <c r="H1079" s="901">
        <v>18.09</v>
      </c>
      <c r="I1079" s="901">
        <f t="shared" si="332"/>
        <v>18.09</v>
      </c>
      <c r="J1079" s="902">
        <f t="shared" si="331"/>
        <v>21.72</v>
      </c>
      <c r="K1079" s="903" t="s">
        <v>1516</v>
      </c>
      <c r="L1079" s="904">
        <f>ROUND(SUM('RES. CENTRAL PARK:RUA_FINAL'!L1079),2)</f>
        <v>0</v>
      </c>
      <c r="M1079" s="904">
        <f t="shared" si="333"/>
        <v>0</v>
      </c>
      <c r="N1079" s="893">
        <f t="shared" si="334"/>
        <v>0</v>
      </c>
      <c r="O1079" s="905"/>
      <c r="Q1079" s="317" t="str">
        <f t="shared" si="335"/>
        <v/>
      </c>
      <c r="R1079" s="317" t="str">
        <f t="shared" si="336"/>
        <v/>
      </c>
      <c r="S1079" s="317" t="str">
        <f t="shared" si="337"/>
        <v/>
      </c>
      <c r="V1079" s="314">
        <f>SUM('RES. CENTRAL PARK:RUA_FINAL'!N1079)</f>
        <v>0</v>
      </c>
      <c r="W1079" s="315">
        <f t="shared" si="338"/>
        <v>0</v>
      </c>
    </row>
    <row r="1080" spans="1:23" ht="38.1" hidden="1" customHeight="1" x14ac:dyDescent="0.2">
      <c r="A1080" s="63">
        <v>91916</v>
      </c>
      <c r="B1080" s="895">
        <v>91916</v>
      </c>
      <c r="C1080" s="896" t="s">
        <v>596</v>
      </c>
      <c r="D1080" s="906" t="s">
        <v>1010</v>
      </c>
      <c r="E1080" s="907"/>
      <c r="F1080" s="908"/>
      <c r="G1080" s="912"/>
      <c r="H1080" s="901">
        <v>20.78</v>
      </c>
      <c r="I1080" s="901">
        <f t="shared" si="332"/>
        <v>20.78</v>
      </c>
      <c r="J1080" s="902">
        <f t="shared" si="331"/>
        <v>24.95</v>
      </c>
      <c r="K1080" s="903" t="s">
        <v>1516</v>
      </c>
      <c r="L1080" s="904">
        <f>ROUND(SUM('RES. CENTRAL PARK:RUA_FINAL'!L1080),2)</f>
        <v>0</v>
      </c>
      <c r="M1080" s="904">
        <f t="shared" si="333"/>
        <v>0</v>
      </c>
      <c r="N1080" s="893">
        <f t="shared" si="334"/>
        <v>0</v>
      </c>
      <c r="O1080" s="905"/>
      <c r="Q1080" s="317" t="str">
        <f t="shared" si="335"/>
        <v/>
      </c>
      <c r="R1080" s="317" t="str">
        <f t="shared" si="336"/>
        <v/>
      </c>
      <c r="S1080" s="317" t="str">
        <f t="shared" si="337"/>
        <v/>
      </c>
      <c r="V1080" s="314">
        <f>SUM('RES. CENTRAL PARK:RUA_FINAL'!N1080)</f>
        <v>0</v>
      </c>
      <c r="W1080" s="315">
        <f t="shared" si="338"/>
        <v>0</v>
      </c>
    </row>
    <row r="1081" spans="1:23" ht="38.1" hidden="1" customHeight="1" x14ac:dyDescent="0.2">
      <c r="A1081" s="63">
        <v>91917</v>
      </c>
      <c r="B1081" s="895">
        <v>91917</v>
      </c>
      <c r="C1081" s="896" t="s">
        <v>596</v>
      </c>
      <c r="D1081" s="906" t="s">
        <v>1011</v>
      </c>
      <c r="E1081" s="907"/>
      <c r="F1081" s="908"/>
      <c r="G1081" s="912"/>
      <c r="H1081" s="901">
        <v>22.06</v>
      </c>
      <c r="I1081" s="901">
        <f t="shared" si="332"/>
        <v>22.06</v>
      </c>
      <c r="J1081" s="902">
        <f t="shared" si="331"/>
        <v>26.49</v>
      </c>
      <c r="K1081" s="903" t="s">
        <v>1516</v>
      </c>
      <c r="L1081" s="904">
        <f>ROUND(SUM('RES. CENTRAL PARK:RUA_FINAL'!L1081),2)</f>
        <v>0</v>
      </c>
      <c r="M1081" s="904">
        <f t="shared" si="333"/>
        <v>0</v>
      </c>
      <c r="N1081" s="893">
        <f t="shared" si="334"/>
        <v>0</v>
      </c>
      <c r="O1081" s="905"/>
      <c r="Q1081" s="317" t="str">
        <f t="shared" si="335"/>
        <v/>
      </c>
      <c r="R1081" s="317" t="str">
        <f t="shared" si="336"/>
        <v/>
      </c>
      <c r="S1081" s="317" t="str">
        <f t="shared" si="337"/>
        <v/>
      </c>
      <c r="V1081" s="314">
        <f>SUM('RES. CENTRAL PARK:RUA_FINAL'!N1081)</f>
        <v>0</v>
      </c>
      <c r="W1081" s="315">
        <f t="shared" si="338"/>
        <v>0</v>
      </c>
    </row>
    <row r="1082" spans="1:23" ht="38.1" hidden="1" customHeight="1" x14ac:dyDescent="0.2">
      <c r="A1082" s="63">
        <v>91920</v>
      </c>
      <c r="B1082" s="895">
        <v>91920</v>
      </c>
      <c r="C1082" s="896" t="s">
        <v>596</v>
      </c>
      <c r="D1082" s="906" t="s">
        <v>1012</v>
      </c>
      <c r="E1082" s="907"/>
      <c r="F1082" s="908"/>
      <c r="G1082" s="912"/>
      <c r="H1082" s="901">
        <v>25.15</v>
      </c>
      <c r="I1082" s="901">
        <f t="shared" si="332"/>
        <v>25.15</v>
      </c>
      <c r="J1082" s="902">
        <f t="shared" si="331"/>
        <v>30.2</v>
      </c>
      <c r="K1082" s="903" t="s">
        <v>1516</v>
      </c>
      <c r="L1082" s="904">
        <f>ROUND(SUM('RES. CENTRAL PARK:RUA_FINAL'!L1082),2)</f>
        <v>0</v>
      </c>
      <c r="M1082" s="904">
        <f t="shared" si="333"/>
        <v>0</v>
      </c>
      <c r="N1082" s="893">
        <f t="shared" si="334"/>
        <v>0</v>
      </c>
      <c r="O1082" s="905"/>
      <c r="Q1082" s="317" t="str">
        <f t="shared" si="335"/>
        <v/>
      </c>
      <c r="R1082" s="317" t="str">
        <f t="shared" si="336"/>
        <v/>
      </c>
      <c r="S1082" s="317" t="str">
        <f t="shared" si="337"/>
        <v/>
      </c>
      <c r="V1082" s="314">
        <f>SUM('RES. CENTRAL PARK:RUA_FINAL'!N1082)</f>
        <v>0</v>
      </c>
      <c r="W1082" s="315">
        <f t="shared" si="338"/>
        <v>0</v>
      </c>
    </row>
    <row r="1083" spans="1:23" ht="38.1" hidden="1" customHeight="1" x14ac:dyDescent="0.2">
      <c r="A1083" s="63">
        <v>91922</v>
      </c>
      <c r="B1083" s="895">
        <v>91922</v>
      </c>
      <c r="C1083" s="896" t="s">
        <v>596</v>
      </c>
      <c r="D1083" s="906" t="s">
        <v>1013</v>
      </c>
      <c r="E1083" s="907"/>
      <c r="F1083" s="908"/>
      <c r="G1083" s="912"/>
      <c r="H1083" s="901">
        <v>28.07</v>
      </c>
      <c r="I1083" s="901">
        <f t="shared" si="332"/>
        <v>28.07</v>
      </c>
      <c r="J1083" s="902">
        <f t="shared" si="331"/>
        <v>33.700000000000003</v>
      </c>
      <c r="K1083" s="903" t="s">
        <v>1516</v>
      </c>
      <c r="L1083" s="904">
        <f>ROUND(SUM('RES. CENTRAL PARK:RUA_FINAL'!L1083),2)</f>
        <v>0</v>
      </c>
      <c r="M1083" s="904">
        <f t="shared" si="333"/>
        <v>0</v>
      </c>
      <c r="N1083" s="893">
        <f t="shared" si="334"/>
        <v>0</v>
      </c>
      <c r="O1083" s="905"/>
      <c r="Q1083" s="317" t="str">
        <f t="shared" si="335"/>
        <v/>
      </c>
      <c r="R1083" s="317" t="str">
        <f t="shared" si="336"/>
        <v/>
      </c>
      <c r="S1083" s="317" t="str">
        <f t="shared" si="337"/>
        <v/>
      </c>
      <c r="V1083" s="314">
        <f>SUM('RES. CENTRAL PARK:RUA_FINAL'!N1083)</f>
        <v>0</v>
      </c>
      <c r="W1083" s="315">
        <f t="shared" si="338"/>
        <v>0</v>
      </c>
    </row>
    <row r="1084" spans="1:23" ht="30" hidden="1" customHeight="1" x14ac:dyDescent="0.2">
      <c r="A1084" s="63">
        <v>93013</v>
      </c>
      <c r="B1084" s="895">
        <v>93013</v>
      </c>
      <c r="C1084" s="896" t="s">
        <v>596</v>
      </c>
      <c r="D1084" s="906" t="s">
        <v>1014</v>
      </c>
      <c r="E1084" s="907"/>
      <c r="F1084" s="908"/>
      <c r="G1084" s="912"/>
      <c r="H1084" s="901">
        <v>18.309999999999999</v>
      </c>
      <c r="I1084" s="901">
        <f t="shared" si="332"/>
        <v>18.309999999999999</v>
      </c>
      <c r="J1084" s="902">
        <f t="shared" si="331"/>
        <v>21.98</v>
      </c>
      <c r="K1084" s="903" t="s">
        <v>1516</v>
      </c>
      <c r="L1084" s="904">
        <f>ROUND(SUM('RES. CENTRAL PARK:RUA_FINAL'!L1084),2)</f>
        <v>0</v>
      </c>
      <c r="M1084" s="904">
        <f t="shared" si="333"/>
        <v>0</v>
      </c>
      <c r="N1084" s="893">
        <f t="shared" si="334"/>
        <v>0</v>
      </c>
      <c r="O1084" s="905"/>
      <c r="Q1084" s="317" t="str">
        <f t="shared" si="335"/>
        <v/>
      </c>
      <c r="R1084" s="317" t="str">
        <f t="shared" si="336"/>
        <v/>
      </c>
      <c r="S1084" s="317" t="str">
        <f t="shared" si="337"/>
        <v/>
      </c>
      <c r="V1084" s="314">
        <f>SUM('RES. CENTRAL PARK:RUA_FINAL'!N1084)</f>
        <v>0</v>
      </c>
      <c r="W1084" s="315">
        <f t="shared" si="338"/>
        <v>0</v>
      </c>
    </row>
    <row r="1085" spans="1:23" ht="30" hidden="1" customHeight="1" x14ac:dyDescent="0.2">
      <c r="A1085" s="63">
        <v>93014</v>
      </c>
      <c r="B1085" s="895">
        <v>93014</v>
      </c>
      <c r="C1085" s="896" t="s">
        <v>596</v>
      </c>
      <c r="D1085" s="906" t="s">
        <v>1015</v>
      </c>
      <c r="E1085" s="907"/>
      <c r="F1085" s="908"/>
      <c r="G1085" s="912"/>
      <c r="H1085" s="901">
        <v>22.49</v>
      </c>
      <c r="I1085" s="901">
        <f t="shared" si="332"/>
        <v>22.49</v>
      </c>
      <c r="J1085" s="902">
        <f t="shared" si="331"/>
        <v>27</v>
      </c>
      <c r="K1085" s="903" t="s">
        <v>1516</v>
      </c>
      <c r="L1085" s="904">
        <f>ROUND(SUM('RES. CENTRAL PARK:RUA_FINAL'!L1085),2)</f>
        <v>0</v>
      </c>
      <c r="M1085" s="904">
        <f t="shared" si="333"/>
        <v>0</v>
      </c>
      <c r="N1085" s="893">
        <f t="shared" si="334"/>
        <v>0</v>
      </c>
      <c r="O1085" s="905"/>
      <c r="Q1085" s="317" t="str">
        <f t="shared" si="335"/>
        <v/>
      </c>
      <c r="R1085" s="317" t="str">
        <f t="shared" si="336"/>
        <v/>
      </c>
      <c r="S1085" s="317" t="str">
        <f t="shared" si="337"/>
        <v/>
      </c>
      <c r="V1085" s="314">
        <f>SUM('RES. CENTRAL PARK:RUA_FINAL'!N1085)</f>
        <v>0</v>
      </c>
      <c r="W1085" s="315">
        <f t="shared" si="338"/>
        <v>0</v>
      </c>
    </row>
    <row r="1086" spans="1:23" ht="30" hidden="1" customHeight="1" x14ac:dyDescent="0.2">
      <c r="A1086" s="63">
        <v>93015</v>
      </c>
      <c r="B1086" s="895">
        <v>93015</v>
      </c>
      <c r="C1086" s="896" t="s">
        <v>596</v>
      </c>
      <c r="D1086" s="906" t="s">
        <v>1016</v>
      </c>
      <c r="E1086" s="907"/>
      <c r="F1086" s="908"/>
      <c r="G1086" s="912"/>
      <c r="H1086" s="901">
        <v>34.130000000000003</v>
      </c>
      <c r="I1086" s="901">
        <f t="shared" si="332"/>
        <v>34.130000000000003</v>
      </c>
      <c r="J1086" s="902">
        <f t="shared" si="331"/>
        <v>40.98</v>
      </c>
      <c r="K1086" s="903" t="s">
        <v>1516</v>
      </c>
      <c r="L1086" s="904">
        <f>ROUND(SUM('RES. CENTRAL PARK:RUA_FINAL'!L1086),2)</f>
        <v>0</v>
      </c>
      <c r="M1086" s="904">
        <f t="shared" si="333"/>
        <v>0</v>
      </c>
      <c r="N1086" s="893">
        <f t="shared" si="334"/>
        <v>0</v>
      </c>
      <c r="O1086" s="905"/>
      <c r="Q1086" s="317" t="str">
        <f t="shared" si="335"/>
        <v/>
      </c>
      <c r="R1086" s="317" t="str">
        <f t="shared" si="336"/>
        <v/>
      </c>
      <c r="S1086" s="317" t="str">
        <f t="shared" si="337"/>
        <v/>
      </c>
      <c r="V1086" s="314">
        <f>SUM('RES. CENTRAL PARK:RUA_FINAL'!N1086)</f>
        <v>0</v>
      </c>
      <c r="W1086" s="315">
        <f t="shared" si="338"/>
        <v>0</v>
      </c>
    </row>
    <row r="1087" spans="1:23" ht="30" hidden="1" customHeight="1" x14ac:dyDescent="0.2">
      <c r="A1087" s="63">
        <v>93016</v>
      </c>
      <c r="B1087" s="895">
        <v>93016</v>
      </c>
      <c r="C1087" s="896" t="s">
        <v>596</v>
      </c>
      <c r="D1087" s="906" t="s">
        <v>1017</v>
      </c>
      <c r="E1087" s="907"/>
      <c r="F1087" s="908"/>
      <c r="G1087" s="912"/>
      <c r="H1087" s="901">
        <v>41.5</v>
      </c>
      <c r="I1087" s="901">
        <f t="shared" si="332"/>
        <v>41.5</v>
      </c>
      <c r="J1087" s="902">
        <f t="shared" si="331"/>
        <v>49.83</v>
      </c>
      <c r="K1087" s="903" t="s">
        <v>1516</v>
      </c>
      <c r="L1087" s="904">
        <f>ROUND(SUM('RES. CENTRAL PARK:RUA_FINAL'!L1087),2)</f>
        <v>0</v>
      </c>
      <c r="M1087" s="904">
        <f t="shared" si="333"/>
        <v>0</v>
      </c>
      <c r="N1087" s="893">
        <f t="shared" si="334"/>
        <v>0</v>
      </c>
      <c r="O1087" s="905"/>
      <c r="Q1087" s="317" t="str">
        <f t="shared" si="335"/>
        <v/>
      </c>
      <c r="R1087" s="317" t="str">
        <f t="shared" si="336"/>
        <v/>
      </c>
      <c r="S1087" s="317" t="str">
        <f t="shared" si="337"/>
        <v/>
      </c>
      <c r="V1087" s="314">
        <f>SUM('RES. CENTRAL PARK:RUA_FINAL'!N1087)</f>
        <v>0</v>
      </c>
      <c r="W1087" s="315">
        <f t="shared" si="338"/>
        <v>0</v>
      </c>
    </row>
    <row r="1088" spans="1:23" ht="30" hidden="1" customHeight="1" x14ac:dyDescent="0.2">
      <c r="A1088" s="63">
        <v>93017</v>
      </c>
      <c r="B1088" s="895">
        <v>93017</v>
      </c>
      <c r="C1088" s="896" t="s">
        <v>596</v>
      </c>
      <c r="D1088" s="906" t="s">
        <v>1018</v>
      </c>
      <c r="E1088" s="907"/>
      <c r="F1088" s="908"/>
      <c r="G1088" s="912"/>
      <c r="H1088" s="901">
        <v>62.43</v>
      </c>
      <c r="I1088" s="901">
        <f t="shared" si="332"/>
        <v>62.43</v>
      </c>
      <c r="J1088" s="902">
        <f t="shared" si="331"/>
        <v>74.959999999999994</v>
      </c>
      <c r="K1088" s="903" t="s">
        <v>1516</v>
      </c>
      <c r="L1088" s="904">
        <f>ROUND(SUM('RES. CENTRAL PARK:RUA_FINAL'!L1088),2)</f>
        <v>0</v>
      </c>
      <c r="M1088" s="904">
        <f t="shared" si="333"/>
        <v>0</v>
      </c>
      <c r="N1088" s="893">
        <f t="shared" si="334"/>
        <v>0</v>
      </c>
      <c r="O1088" s="905"/>
      <c r="Q1088" s="317" t="str">
        <f t="shared" si="335"/>
        <v/>
      </c>
      <c r="R1088" s="317" t="str">
        <f t="shared" si="336"/>
        <v/>
      </c>
      <c r="S1088" s="317" t="str">
        <f t="shared" si="337"/>
        <v/>
      </c>
      <c r="V1088" s="314">
        <f>SUM('RES. CENTRAL PARK:RUA_FINAL'!N1088)</f>
        <v>0</v>
      </c>
      <c r="W1088" s="315">
        <f t="shared" si="338"/>
        <v>0</v>
      </c>
    </row>
    <row r="1089" spans="1:23" ht="30" hidden="1" customHeight="1" x14ac:dyDescent="0.2">
      <c r="A1089" s="63">
        <v>93018</v>
      </c>
      <c r="B1089" s="895">
        <v>93018</v>
      </c>
      <c r="C1089" s="896" t="s">
        <v>596</v>
      </c>
      <c r="D1089" s="906" t="s">
        <v>1019</v>
      </c>
      <c r="E1089" s="907"/>
      <c r="F1089" s="908"/>
      <c r="G1089" s="912"/>
      <c r="H1089" s="901">
        <v>27.96</v>
      </c>
      <c r="I1089" s="901">
        <f t="shared" si="332"/>
        <v>27.96</v>
      </c>
      <c r="J1089" s="902">
        <f t="shared" si="331"/>
        <v>33.57</v>
      </c>
      <c r="K1089" s="903" t="s">
        <v>1516</v>
      </c>
      <c r="L1089" s="904">
        <f>ROUND(SUM('RES. CENTRAL PARK:RUA_FINAL'!L1089),2)</f>
        <v>0</v>
      </c>
      <c r="M1089" s="904">
        <f t="shared" si="333"/>
        <v>0</v>
      </c>
      <c r="N1089" s="893">
        <f t="shared" si="334"/>
        <v>0</v>
      </c>
      <c r="O1089" s="905"/>
      <c r="Q1089" s="317" t="str">
        <f t="shared" si="335"/>
        <v/>
      </c>
      <c r="R1089" s="317" t="str">
        <f t="shared" si="336"/>
        <v/>
      </c>
      <c r="S1089" s="317" t="str">
        <f t="shared" si="337"/>
        <v/>
      </c>
      <c r="V1089" s="314">
        <f>SUM('RES. CENTRAL PARK:RUA_FINAL'!N1089)</f>
        <v>0</v>
      </c>
      <c r="W1089" s="315">
        <f t="shared" si="338"/>
        <v>0</v>
      </c>
    </row>
    <row r="1090" spans="1:23" ht="30" hidden="1" customHeight="1" x14ac:dyDescent="0.2">
      <c r="A1090" s="63">
        <v>93020</v>
      </c>
      <c r="B1090" s="895">
        <v>93020</v>
      </c>
      <c r="C1090" s="896" t="s">
        <v>596</v>
      </c>
      <c r="D1090" s="906" t="s">
        <v>1020</v>
      </c>
      <c r="E1090" s="907"/>
      <c r="F1090" s="908"/>
      <c r="G1090" s="912"/>
      <c r="H1090" s="901">
        <v>35.840000000000003</v>
      </c>
      <c r="I1090" s="901">
        <f t="shared" si="332"/>
        <v>35.840000000000003</v>
      </c>
      <c r="J1090" s="902">
        <f t="shared" si="331"/>
        <v>43.03</v>
      </c>
      <c r="K1090" s="903" t="s">
        <v>1516</v>
      </c>
      <c r="L1090" s="904">
        <f>ROUND(SUM('RES. CENTRAL PARK:RUA_FINAL'!L1090),2)</f>
        <v>0</v>
      </c>
      <c r="M1090" s="904">
        <f t="shared" si="333"/>
        <v>0</v>
      </c>
      <c r="N1090" s="893">
        <f t="shared" si="334"/>
        <v>0</v>
      </c>
      <c r="O1090" s="905"/>
      <c r="Q1090" s="317" t="str">
        <f t="shared" si="335"/>
        <v/>
      </c>
      <c r="R1090" s="317" t="str">
        <f t="shared" si="336"/>
        <v/>
      </c>
      <c r="S1090" s="317" t="str">
        <f t="shared" si="337"/>
        <v/>
      </c>
      <c r="V1090" s="314">
        <f>SUM('RES. CENTRAL PARK:RUA_FINAL'!N1090)</f>
        <v>0</v>
      </c>
      <c r="W1090" s="315">
        <f t="shared" si="338"/>
        <v>0</v>
      </c>
    </row>
    <row r="1091" spans="1:23" ht="30" hidden="1" customHeight="1" x14ac:dyDescent="0.2">
      <c r="A1091" s="63">
        <v>93022</v>
      </c>
      <c r="B1091" s="895">
        <v>93022</v>
      </c>
      <c r="C1091" s="896" t="s">
        <v>596</v>
      </c>
      <c r="D1091" s="906" t="s">
        <v>1021</v>
      </c>
      <c r="E1091" s="907"/>
      <c r="F1091" s="908"/>
      <c r="G1091" s="912"/>
      <c r="H1091" s="901">
        <v>60</v>
      </c>
      <c r="I1091" s="901">
        <f t="shared" si="332"/>
        <v>60</v>
      </c>
      <c r="J1091" s="902">
        <f t="shared" si="331"/>
        <v>72.040000000000006</v>
      </c>
      <c r="K1091" s="903" t="s">
        <v>1516</v>
      </c>
      <c r="L1091" s="904">
        <f>ROUND(SUM('RES. CENTRAL PARK:RUA_FINAL'!L1091),2)</f>
        <v>0</v>
      </c>
      <c r="M1091" s="904">
        <f t="shared" si="333"/>
        <v>0</v>
      </c>
      <c r="N1091" s="893">
        <f t="shared" si="334"/>
        <v>0</v>
      </c>
      <c r="O1091" s="905"/>
      <c r="Q1091" s="317" t="str">
        <f t="shared" si="335"/>
        <v/>
      </c>
      <c r="R1091" s="317" t="str">
        <f t="shared" si="336"/>
        <v/>
      </c>
      <c r="S1091" s="317" t="str">
        <f t="shared" si="337"/>
        <v/>
      </c>
      <c r="V1091" s="314">
        <f>SUM('RES. CENTRAL PARK:RUA_FINAL'!N1091)</f>
        <v>0</v>
      </c>
      <c r="W1091" s="315">
        <f t="shared" si="338"/>
        <v>0</v>
      </c>
    </row>
    <row r="1092" spans="1:23" ht="30" hidden="1" customHeight="1" x14ac:dyDescent="0.2">
      <c r="A1092" s="63">
        <v>93024</v>
      </c>
      <c r="B1092" s="895">
        <v>93024</v>
      </c>
      <c r="C1092" s="896" t="s">
        <v>596</v>
      </c>
      <c r="D1092" s="906" t="s">
        <v>1022</v>
      </c>
      <c r="E1092" s="907"/>
      <c r="F1092" s="908"/>
      <c r="G1092" s="912"/>
      <c r="H1092" s="901">
        <v>63.08</v>
      </c>
      <c r="I1092" s="901">
        <f t="shared" si="332"/>
        <v>63.08</v>
      </c>
      <c r="J1092" s="902">
        <f t="shared" si="331"/>
        <v>75.739999999999995</v>
      </c>
      <c r="K1092" s="903" t="s">
        <v>1516</v>
      </c>
      <c r="L1092" s="904">
        <f>ROUND(SUM('RES. CENTRAL PARK:RUA_FINAL'!L1092),2)</f>
        <v>0</v>
      </c>
      <c r="M1092" s="904">
        <f t="shared" si="333"/>
        <v>0</v>
      </c>
      <c r="N1092" s="893">
        <f t="shared" si="334"/>
        <v>0</v>
      </c>
      <c r="O1092" s="905"/>
      <c r="Q1092" s="317" t="str">
        <f t="shared" si="335"/>
        <v/>
      </c>
      <c r="R1092" s="317" t="str">
        <f t="shared" si="336"/>
        <v/>
      </c>
      <c r="S1092" s="317" t="str">
        <f t="shared" si="337"/>
        <v/>
      </c>
      <c r="V1092" s="314">
        <f>SUM('RES. CENTRAL PARK:RUA_FINAL'!N1092)</f>
        <v>0</v>
      </c>
      <c r="W1092" s="315">
        <f t="shared" si="338"/>
        <v>0</v>
      </c>
    </row>
    <row r="1093" spans="1:23" ht="30" hidden="1" customHeight="1" x14ac:dyDescent="0.2">
      <c r="A1093" s="63">
        <v>93026</v>
      </c>
      <c r="B1093" s="895">
        <v>93026</v>
      </c>
      <c r="C1093" s="896" t="s">
        <v>596</v>
      </c>
      <c r="D1093" s="906" t="s">
        <v>1023</v>
      </c>
      <c r="E1093" s="907"/>
      <c r="F1093" s="908"/>
      <c r="G1093" s="912"/>
      <c r="H1093" s="901">
        <v>103.23</v>
      </c>
      <c r="I1093" s="901">
        <f t="shared" si="332"/>
        <v>103.23</v>
      </c>
      <c r="J1093" s="902">
        <f t="shared" si="331"/>
        <v>123.95</v>
      </c>
      <c r="K1093" s="903" t="s">
        <v>1516</v>
      </c>
      <c r="L1093" s="904">
        <f>ROUND(SUM('RES. CENTRAL PARK:RUA_FINAL'!L1093),2)</f>
        <v>0</v>
      </c>
      <c r="M1093" s="904">
        <f t="shared" si="333"/>
        <v>0</v>
      </c>
      <c r="N1093" s="893">
        <f t="shared" si="334"/>
        <v>0</v>
      </c>
      <c r="O1093" s="905"/>
      <c r="Q1093" s="317" t="str">
        <f t="shared" si="335"/>
        <v/>
      </c>
      <c r="R1093" s="317" t="str">
        <f t="shared" si="336"/>
        <v/>
      </c>
      <c r="S1093" s="317" t="str">
        <f t="shared" si="337"/>
        <v/>
      </c>
      <c r="V1093" s="314">
        <f>SUM('RES. CENTRAL PARK:RUA_FINAL'!N1093)</f>
        <v>0</v>
      </c>
      <c r="W1093" s="315">
        <f t="shared" si="338"/>
        <v>0</v>
      </c>
    </row>
    <row r="1094" spans="1:23" ht="38.1" hidden="1" customHeight="1" x14ac:dyDescent="0.2">
      <c r="A1094" s="63">
        <v>97559</v>
      </c>
      <c r="B1094" s="895">
        <v>97559</v>
      </c>
      <c r="C1094" s="896" t="s">
        <v>596</v>
      </c>
      <c r="D1094" s="906" t="s">
        <v>1024</v>
      </c>
      <c r="E1094" s="907"/>
      <c r="F1094" s="908"/>
      <c r="G1094" s="912"/>
      <c r="H1094" s="901">
        <v>13.05</v>
      </c>
      <c r="I1094" s="901">
        <f t="shared" si="332"/>
        <v>13.05</v>
      </c>
      <c r="J1094" s="902">
        <f t="shared" si="331"/>
        <v>15.67</v>
      </c>
      <c r="K1094" s="903" t="s">
        <v>1516</v>
      </c>
      <c r="L1094" s="904">
        <f>ROUND(SUM('RES. CENTRAL PARK:RUA_FINAL'!L1094),2)</f>
        <v>0</v>
      </c>
      <c r="M1094" s="904">
        <f t="shared" si="333"/>
        <v>0</v>
      </c>
      <c r="N1094" s="893">
        <f t="shared" si="334"/>
        <v>0</v>
      </c>
      <c r="O1094" s="905"/>
      <c r="Q1094" s="317" t="str">
        <f t="shared" si="335"/>
        <v/>
      </c>
      <c r="R1094" s="317" t="str">
        <f t="shared" si="336"/>
        <v/>
      </c>
      <c r="S1094" s="317" t="str">
        <f t="shared" si="337"/>
        <v/>
      </c>
      <c r="V1094" s="314">
        <f>SUM('RES. CENTRAL PARK:RUA_FINAL'!N1094)</f>
        <v>0</v>
      </c>
      <c r="W1094" s="315">
        <f t="shared" si="338"/>
        <v>0</v>
      </c>
    </row>
    <row r="1095" spans="1:23" ht="38.1" hidden="1" customHeight="1" x14ac:dyDescent="0.2">
      <c r="A1095" s="63">
        <v>97562</v>
      </c>
      <c r="B1095" s="895">
        <v>97562</v>
      </c>
      <c r="C1095" s="896" t="s">
        <v>596</v>
      </c>
      <c r="D1095" s="906" t="s">
        <v>1025</v>
      </c>
      <c r="E1095" s="907"/>
      <c r="F1095" s="908"/>
      <c r="G1095" s="912"/>
      <c r="H1095" s="901">
        <v>15.57</v>
      </c>
      <c r="I1095" s="901">
        <f t="shared" si="332"/>
        <v>15.57</v>
      </c>
      <c r="J1095" s="902">
        <f t="shared" si="331"/>
        <v>18.690000000000001</v>
      </c>
      <c r="K1095" s="903" t="s">
        <v>1516</v>
      </c>
      <c r="L1095" s="904">
        <f>ROUND(SUM('RES. CENTRAL PARK:RUA_FINAL'!L1095),2)</f>
        <v>0</v>
      </c>
      <c r="M1095" s="904">
        <f t="shared" si="333"/>
        <v>0</v>
      </c>
      <c r="N1095" s="893">
        <f t="shared" si="334"/>
        <v>0</v>
      </c>
      <c r="O1095" s="905"/>
      <c r="Q1095" s="317" t="str">
        <f t="shared" si="335"/>
        <v/>
      </c>
      <c r="R1095" s="317" t="str">
        <f t="shared" si="336"/>
        <v/>
      </c>
      <c r="S1095" s="317" t="str">
        <f t="shared" si="337"/>
        <v/>
      </c>
      <c r="V1095" s="314">
        <f>SUM('RES. CENTRAL PARK:RUA_FINAL'!N1095)</f>
        <v>0</v>
      </c>
      <c r="W1095" s="315">
        <f t="shared" si="338"/>
        <v>0</v>
      </c>
    </row>
    <row r="1096" spans="1:23" ht="38.1" hidden="1" customHeight="1" x14ac:dyDescent="0.2">
      <c r="A1096" s="63">
        <v>97564</v>
      </c>
      <c r="B1096" s="895">
        <v>97564</v>
      </c>
      <c r="C1096" s="896" t="s">
        <v>596</v>
      </c>
      <c r="D1096" s="906" t="s">
        <v>1026</v>
      </c>
      <c r="E1096" s="907"/>
      <c r="F1096" s="908"/>
      <c r="G1096" s="912"/>
      <c r="H1096" s="901">
        <v>17.79</v>
      </c>
      <c r="I1096" s="901">
        <f t="shared" si="332"/>
        <v>17.79</v>
      </c>
      <c r="J1096" s="902">
        <f t="shared" si="331"/>
        <v>21.36</v>
      </c>
      <c r="K1096" s="903" t="s">
        <v>1516</v>
      </c>
      <c r="L1096" s="904">
        <f>ROUND(SUM('RES. CENTRAL PARK:RUA_FINAL'!L1096),2)</f>
        <v>0</v>
      </c>
      <c r="M1096" s="904">
        <f t="shared" si="333"/>
        <v>0</v>
      </c>
      <c r="N1096" s="893">
        <f t="shared" si="334"/>
        <v>0</v>
      </c>
      <c r="O1096" s="905"/>
      <c r="Q1096" s="317" t="str">
        <f t="shared" si="335"/>
        <v/>
      </c>
      <c r="R1096" s="317" t="str">
        <f t="shared" si="336"/>
        <v/>
      </c>
      <c r="S1096" s="317" t="str">
        <f t="shared" si="337"/>
        <v/>
      </c>
      <c r="V1096" s="314">
        <f>SUM('RES. CENTRAL PARK:RUA_FINAL'!N1096)</f>
        <v>0</v>
      </c>
      <c r="W1096" s="315">
        <f t="shared" si="338"/>
        <v>0</v>
      </c>
    </row>
    <row r="1097" spans="1:23" ht="30" hidden="1" customHeight="1" x14ac:dyDescent="0.2">
      <c r="A1097" s="63">
        <v>91862</v>
      </c>
      <c r="B1097" s="895">
        <v>91862</v>
      </c>
      <c r="C1097" s="896" t="s">
        <v>596</v>
      </c>
      <c r="D1097" s="906" t="s">
        <v>1027</v>
      </c>
      <c r="E1097" s="907"/>
      <c r="F1097" s="908"/>
      <c r="G1097" s="912"/>
      <c r="H1097" s="901">
        <v>13.26</v>
      </c>
      <c r="I1097" s="901">
        <f t="shared" si="332"/>
        <v>13.26</v>
      </c>
      <c r="J1097" s="902">
        <f t="shared" ref="J1097:J1160" si="339">IF(ISBLANK(H1097),0,ROUND(I1097*(1+$E$10),2))</f>
        <v>15.92</v>
      </c>
      <c r="K1097" s="903" t="s">
        <v>62</v>
      </c>
      <c r="L1097" s="904">
        <f>ROUND(SUM('RES. CENTRAL PARK:RUA_FINAL'!L1097),2)</f>
        <v>0</v>
      </c>
      <c r="M1097" s="904">
        <f t="shared" si="333"/>
        <v>0</v>
      </c>
      <c r="N1097" s="893">
        <f t="shared" si="334"/>
        <v>0</v>
      </c>
      <c r="O1097" s="905"/>
      <c r="Q1097" s="317" t="str">
        <f t="shared" si="335"/>
        <v/>
      </c>
      <c r="R1097" s="317" t="str">
        <f t="shared" si="336"/>
        <v/>
      </c>
      <c r="S1097" s="317" t="str">
        <f t="shared" si="337"/>
        <v/>
      </c>
      <c r="V1097" s="314">
        <f>SUM('RES. CENTRAL PARK:RUA_FINAL'!N1097)</f>
        <v>0</v>
      </c>
      <c r="W1097" s="315">
        <f t="shared" si="338"/>
        <v>0</v>
      </c>
    </row>
    <row r="1098" spans="1:23" ht="30" hidden="1" customHeight="1" x14ac:dyDescent="0.2">
      <c r="A1098" s="63">
        <v>91863</v>
      </c>
      <c r="B1098" s="895">
        <v>91863</v>
      </c>
      <c r="C1098" s="896" t="s">
        <v>596</v>
      </c>
      <c r="D1098" s="906" t="s">
        <v>1028</v>
      </c>
      <c r="E1098" s="907"/>
      <c r="F1098" s="908"/>
      <c r="G1098" s="912"/>
      <c r="H1098" s="901">
        <v>15.67</v>
      </c>
      <c r="I1098" s="901">
        <f t="shared" si="332"/>
        <v>15.67</v>
      </c>
      <c r="J1098" s="902">
        <f t="shared" si="339"/>
        <v>18.809999999999999</v>
      </c>
      <c r="K1098" s="903" t="s">
        <v>62</v>
      </c>
      <c r="L1098" s="904">
        <f>ROUND(SUM('RES. CENTRAL PARK:RUA_FINAL'!L1098),2)</f>
        <v>0</v>
      </c>
      <c r="M1098" s="904">
        <f t="shared" si="333"/>
        <v>0</v>
      </c>
      <c r="N1098" s="893">
        <f t="shared" si="334"/>
        <v>0</v>
      </c>
      <c r="O1098" s="905"/>
      <c r="Q1098" s="317" t="str">
        <f t="shared" si="335"/>
        <v/>
      </c>
      <c r="R1098" s="317" t="str">
        <f t="shared" si="336"/>
        <v/>
      </c>
      <c r="S1098" s="317" t="str">
        <f t="shared" si="337"/>
        <v/>
      </c>
      <c r="V1098" s="314">
        <f>SUM('RES. CENTRAL PARK:RUA_FINAL'!N1098)</f>
        <v>0</v>
      </c>
      <c r="W1098" s="315">
        <f t="shared" si="338"/>
        <v>0</v>
      </c>
    </row>
    <row r="1099" spans="1:23" ht="30" hidden="1" customHeight="1" x14ac:dyDescent="0.2">
      <c r="A1099" s="63">
        <v>91864</v>
      </c>
      <c r="B1099" s="895">
        <v>91864</v>
      </c>
      <c r="C1099" s="896" t="s">
        <v>596</v>
      </c>
      <c r="D1099" s="906" t="s">
        <v>1029</v>
      </c>
      <c r="E1099" s="907"/>
      <c r="F1099" s="908"/>
      <c r="G1099" s="912"/>
      <c r="H1099" s="901">
        <v>21.09</v>
      </c>
      <c r="I1099" s="901">
        <f t="shared" si="332"/>
        <v>21.09</v>
      </c>
      <c r="J1099" s="902">
        <f t="shared" si="339"/>
        <v>25.32</v>
      </c>
      <c r="K1099" s="903" t="s">
        <v>62</v>
      </c>
      <c r="L1099" s="904">
        <f>ROUND(SUM('RES. CENTRAL PARK:RUA_FINAL'!L1099),2)</f>
        <v>0</v>
      </c>
      <c r="M1099" s="904">
        <f t="shared" si="333"/>
        <v>0</v>
      </c>
      <c r="N1099" s="893">
        <f t="shared" si="334"/>
        <v>0</v>
      </c>
      <c r="O1099" s="905"/>
      <c r="Q1099" s="317" t="str">
        <f t="shared" si="335"/>
        <v/>
      </c>
      <c r="R1099" s="317" t="str">
        <f t="shared" si="336"/>
        <v/>
      </c>
      <c r="S1099" s="317" t="str">
        <f t="shared" si="337"/>
        <v/>
      </c>
      <c r="V1099" s="314">
        <f>SUM('RES. CENTRAL PARK:RUA_FINAL'!N1099)</f>
        <v>0</v>
      </c>
      <c r="W1099" s="315">
        <f t="shared" si="338"/>
        <v>0</v>
      </c>
    </row>
    <row r="1100" spans="1:23" ht="30" hidden="1" customHeight="1" x14ac:dyDescent="0.2">
      <c r="A1100" s="63">
        <v>91865</v>
      </c>
      <c r="B1100" s="895">
        <v>91865</v>
      </c>
      <c r="C1100" s="896" t="s">
        <v>596</v>
      </c>
      <c r="D1100" s="906" t="s">
        <v>1030</v>
      </c>
      <c r="E1100" s="907"/>
      <c r="F1100" s="908"/>
      <c r="G1100" s="912"/>
      <c r="H1100" s="901">
        <v>26.43</v>
      </c>
      <c r="I1100" s="901">
        <f t="shared" si="332"/>
        <v>26.43</v>
      </c>
      <c r="J1100" s="902">
        <f t="shared" si="339"/>
        <v>31.73</v>
      </c>
      <c r="K1100" s="903" t="s">
        <v>62</v>
      </c>
      <c r="L1100" s="904">
        <f>ROUND(SUM('RES. CENTRAL PARK:RUA_FINAL'!L1100),2)</f>
        <v>0</v>
      </c>
      <c r="M1100" s="904">
        <f t="shared" si="333"/>
        <v>0</v>
      </c>
      <c r="N1100" s="893">
        <f t="shared" si="334"/>
        <v>0</v>
      </c>
      <c r="O1100" s="905"/>
      <c r="Q1100" s="317" t="str">
        <f t="shared" si="335"/>
        <v/>
      </c>
      <c r="R1100" s="317" t="str">
        <f t="shared" si="336"/>
        <v/>
      </c>
      <c r="S1100" s="317" t="str">
        <f t="shared" si="337"/>
        <v/>
      </c>
      <c r="V1100" s="314">
        <f>SUM('RES. CENTRAL PARK:RUA_FINAL'!N1100)</f>
        <v>0</v>
      </c>
      <c r="W1100" s="315">
        <f t="shared" si="338"/>
        <v>0</v>
      </c>
    </row>
    <row r="1101" spans="1:23" ht="30" hidden="1" customHeight="1" x14ac:dyDescent="0.2">
      <c r="A1101" s="63">
        <v>91866</v>
      </c>
      <c r="B1101" s="895">
        <v>91866</v>
      </c>
      <c r="C1101" s="896" t="s">
        <v>596</v>
      </c>
      <c r="D1101" s="906" t="s">
        <v>1031</v>
      </c>
      <c r="E1101" s="907"/>
      <c r="F1101" s="908"/>
      <c r="G1101" s="912"/>
      <c r="H1101" s="901">
        <v>10.81</v>
      </c>
      <c r="I1101" s="901">
        <f t="shared" si="332"/>
        <v>10.81</v>
      </c>
      <c r="J1101" s="902">
        <f t="shared" si="339"/>
        <v>12.98</v>
      </c>
      <c r="K1101" s="903" t="s">
        <v>62</v>
      </c>
      <c r="L1101" s="904">
        <f>ROUND(SUM('RES. CENTRAL PARK:RUA_FINAL'!L1101),2)</f>
        <v>0</v>
      </c>
      <c r="M1101" s="904">
        <f t="shared" si="333"/>
        <v>0</v>
      </c>
      <c r="N1101" s="893">
        <f t="shared" si="334"/>
        <v>0</v>
      </c>
      <c r="O1101" s="905"/>
      <c r="Q1101" s="317" t="str">
        <f t="shared" si="335"/>
        <v/>
      </c>
      <c r="R1101" s="317" t="str">
        <f t="shared" si="336"/>
        <v/>
      </c>
      <c r="S1101" s="317" t="str">
        <f t="shared" si="337"/>
        <v/>
      </c>
      <c r="V1101" s="314">
        <f>SUM('RES. CENTRAL PARK:RUA_FINAL'!N1101)</f>
        <v>0</v>
      </c>
      <c r="W1101" s="315">
        <f t="shared" si="338"/>
        <v>0</v>
      </c>
    </row>
    <row r="1102" spans="1:23" ht="30" hidden="1" customHeight="1" x14ac:dyDescent="0.2">
      <c r="A1102" s="63">
        <v>91867</v>
      </c>
      <c r="B1102" s="895">
        <v>91867</v>
      </c>
      <c r="C1102" s="896" t="s">
        <v>596</v>
      </c>
      <c r="D1102" s="906" t="s">
        <v>1032</v>
      </c>
      <c r="E1102" s="907"/>
      <c r="F1102" s="908"/>
      <c r="G1102" s="912"/>
      <c r="H1102" s="901">
        <v>13.22</v>
      </c>
      <c r="I1102" s="901">
        <f t="shared" si="332"/>
        <v>13.22</v>
      </c>
      <c r="J1102" s="902">
        <f t="shared" si="339"/>
        <v>15.87</v>
      </c>
      <c r="K1102" s="903" t="s">
        <v>62</v>
      </c>
      <c r="L1102" s="904">
        <f>ROUND(SUM('RES. CENTRAL PARK:RUA_FINAL'!L1102),2)</f>
        <v>0</v>
      </c>
      <c r="M1102" s="904">
        <f t="shared" si="333"/>
        <v>0</v>
      </c>
      <c r="N1102" s="893">
        <f t="shared" si="334"/>
        <v>0</v>
      </c>
      <c r="O1102" s="905"/>
      <c r="Q1102" s="317" t="str">
        <f t="shared" si="335"/>
        <v/>
      </c>
      <c r="R1102" s="317" t="str">
        <f t="shared" si="336"/>
        <v/>
      </c>
      <c r="S1102" s="317" t="str">
        <f t="shared" si="337"/>
        <v/>
      </c>
      <c r="V1102" s="314">
        <f>SUM('RES. CENTRAL PARK:RUA_FINAL'!N1102)</f>
        <v>0</v>
      </c>
      <c r="W1102" s="315">
        <f t="shared" si="338"/>
        <v>0</v>
      </c>
    </row>
    <row r="1103" spans="1:23" ht="30" hidden="1" customHeight="1" x14ac:dyDescent="0.2">
      <c r="A1103" s="63">
        <v>91868</v>
      </c>
      <c r="B1103" s="895">
        <v>91868</v>
      </c>
      <c r="C1103" s="896" t="s">
        <v>596</v>
      </c>
      <c r="D1103" s="906" t="s">
        <v>1033</v>
      </c>
      <c r="E1103" s="907"/>
      <c r="F1103" s="908"/>
      <c r="G1103" s="912"/>
      <c r="H1103" s="901">
        <v>18.64</v>
      </c>
      <c r="I1103" s="901">
        <f t="shared" si="332"/>
        <v>18.64</v>
      </c>
      <c r="J1103" s="902">
        <f t="shared" si="339"/>
        <v>22.38</v>
      </c>
      <c r="K1103" s="903" t="s">
        <v>62</v>
      </c>
      <c r="L1103" s="904">
        <f>ROUND(SUM('RES. CENTRAL PARK:RUA_FINAL'!L1103),2)</f>
        <v>0</v>
      </c>
      <c r="M1103" s="904">
        <f t="shared" si="333"/>
        <v>0</v>
      </c>
      <c r="N1103" s="893">
        <f t="shared" si="334"/>
        <v>0</v>
      </c>
      <c r="O1103" s="905"/>
      <c r="Q1103" s="317" t="str">
        <f t="shared" si="335"/>
        <v/>
      </c>
      <c r="R1103" s="317" t="str">
        <f t="shared" si="336"/>
        <v/>
      </c>
      <c r="S1103" s="317" t="str">
        <f t="shared" si="337"/>
        <v/>
      </c>
      <c r="V1103" s="314">
        <f>SUM('RES. CENTRAL PARK:RUA_FINAL'!N1103)</f>
        <v>0</v>
      </c>
      <c r="W1103" s="315">
        <f t="shared" si="338"/>
        <v>0</v>
      </c>
    </row>
    <row r="1104" spans="1:23" ht="30" hidden="1" customHeight="1" x14ac:dyDescent="0.2">
      <c r="A1104" s="63">
        <v>91869</v>
      </c>
      <c r="B1104" s="895">
        <v>91869</v>
      </c>
      <c r="C1104" s="896" t="s">
        <v>596</v>
      </c>
      <c r="D1104" s="906" t="s">
        <v>1034</v>
      </c>
      <c r="E1104" s="907"/>
      <c r="F1104" s="908"/>
      <c r="G1104" s="912"/>
      <c r="H1104" s="901">
        <v>23.99</v>
      </c>
      <c r="I1104" s="901">
        <f t="shared" si="332"/>
        <v>23.99</v>
      </c>
      <c r="J1104" s="902">
        <f t="shared" si="339"/>
        <v>28.8</v>
      </c>
      <c r="K1104" s="903" t="s">
        <v>62</v>
      </c>
      <c r="L1104" s="904">
        <f>ROUND(SUM('RES. CENTRAL PARK:RUA_FINAL'!L1104),2)</f>
        <v>0</v>
      </c>
      <c r="M1104" s="904">
        <f t="shared" si="333"/>
        <v>0</v>
      </c>
      <c r="N1104" s="893">
        <f t="shared" si="334"/>
        <v>0</v>
      </c>
      <c r="O1104" s="905"/>
      <c r="Q1104" s="317" t="str">
        <f t="shared" si="335"/>
        <v/>
      </c>
      <c r="R1104" s="317" t="str">
        <f t="shared" si="336"/>
        <v/>
      </c>
      <c r="S1104" s="317" t="str">
        <f t="shared" si="337"/>
        <v/>
      </c>
      <c r="V1104" s="314">
        <f>SUM('RES. CENTRAL PARK:RUA_FINAL'!N1104)</f>
        <v>0</v>
      </c>
      <c r="W1104" s="315">
        <f t="shared" si="338"/>
        <v>0</v>
      </c>
    </row>
    <row r="1105" spans="1:23" ht="30" hidden="1" customHeight="1" x14ac:dyDescent="0.2">
      <c r="A1105" s="63">
        <v>91870</v>
      </c>
      <c r="B1105" s="895">
        <v>91870</v>
      </c>
      <c r="C1105" s="896" t="s">
        <v>596</v>
      </c>
      <c r="D1105" s="906" t="s">
        <v>1035</v>
      </c>
      <c r="E1105" s="907"/>
      <c r="F1105" s="908"/>
      <c r="G1105" s="912"/>
      <c r="H1105" s="901">
        <v>14.78</v>
      </c>
      <c r="I1105" s="901">
        <f t="shared" si="332"/>
        <v>14.78</v>
      </c>
      <c r="J1105" s="902">
        <f t="shared" si="339"/>
        <v>17.75</v>
      </c>
      <c r="K1105" s="903" t="s">
        <v>62</v>
      </c>
      <c r="L1105" s="904">
        <f>ROUND(SUM('RES. CENTRAL PARK:RUA_FINAL'!L1105),2)</f>
        <v>0</v>
      </c>
      <c r="M1105" s="904">
        <f t="shared" si="333"/>
        <v>0</v>
      </c>
      <c r="N1105" s="893">
        <f t="shared" si="334"/>
        <v>0</v>
      </c>
      <c r="O1105" s="905"/>
      <c r="Q1105" s="317" t="str">
        <f t="shared" si="335"/>
        <v/>
      </c>
      <c r="R1105" s="317" t="str">
        <f t="shared" si="336"/>
        <v/>
      </c>
      <c r="S1105" s="317" t="str">
        <f t="shared" si="337"/>
        <v/>
      </c>
      <c r="V1105" s="314">
        <f>SUM('RES. CENTRAL PARK:RUA_FINAL'!N1105)</f>
        <v>0</v>
      </c>
      <c r="W1105" s="315">
        <f t="shared" si="338"/>
        <v>0</v>
      </c>
    </row>
    <row r="1106" spans="1:23" ht="30" hidden="1" customHeight="1" x14ac:dyDescent="0.2">
      <c r="A1106" s="63">
        <v>91871</v>
      </c>
      <c r="B1106" s="895">
        <v>91871</v>
      </c>
      <c r="C1106" s="896" t="s">
        <v>596</v>
      </c>
      <c r="D1106" s="906" t="s">
        <v>1036</v>
      </c>
      <c r="E1106" s="907"/>
      <c r="F1106" s="908"/>
      <c r="G1106" s="912"/>
      <c r="H1106" s="901">
        <v>17.260000000000002</v>
      </c>
      <c r="I1106" s="901">
        <f t="shared" ref="I1106:I1162" si="340">IF(ISBLANK(H1106),"",SUM(G1106:H1106))</f>
        <v>17.260000000000002</v>
      </c>
      <c r="J1106" s="902">
        <f t="shared" si="339"/>
        <v>20.72</v>
      </c>
      <c r="K1106" s="903" t="s">
        <v>62</v>
      </c>
      <c r="L1106" s="904">
        <f>ROUND(SUM('RES. CENTRAL PARK:RUA_FINAL'!L1106),2)</f>
        <v>0</v>
      </c>
      <c r="M1106" s="904">
        <f t="shared" ref="M1106:M1169" si="341">IF(L1106=0,0,ROUND(J1106,2))</f>
        <v>0</v>
      </c>
      <c r="N1106" s="893">
        <f t="shared" ref="N1106:N1169" si="342">IF(ISBLANK(L1106),0,ROUND(L1106*M1106,2))</f>
        <v>0</v>
      </c>
      <c r="O1106" s="905"/>
      <c r="Q1106" s="317" t="str">
        <f t="shared" ref="Q1106:Q1169" si="343">IF(P1106="X","x",IF(P1106="xx","x",IF(P1106="xy","x",IF(P1106="y","x",IF(OR(N1106&gt;0,N1106&gt;0),"x","")))))</f>
        <v/>
      </c>
      <c r="R1106" s="317" t="str">
        <f t="shared" ref="R1106:R1169" si="344">IF(P1106="X","x",IF(P1106="y","x",IF(P1106="xx","x",IF(N1106&gt;0,"x",""))))</f>
        <v/>
      </c>
      <c r="S1106" s="317" t="str">
        <f t="shared" ref="S1106:S1169" si="345">IF(P1106="X","x",IF(N1106&gt;0,"x",""))</f>
        <v/>
      </c>
      <c r="V1106" s="314">
        <f>SUM('RES. CENTRAL PARK:RUA_FINAL'!N1106)</f>
        <v>0</v>
      </c>
      <c r="W1106" s="315">
        <f t="shared" si="338"/>
        <v>0</v>
      </c>
    </row>
    <row r="1107" spans="1:23" ht="30" hidden="1" customHeight="1" x14ac:dyDescent="0.2">
      <c r="A1107" s="63">
        <v>91872</v>
      </c>
      <c r="B1107" s="895">
        <v>91872</v>
      </c>
      <c r="C1107" s="896" t="s">
        <v>596</v>
      </c>
      <c r="D1107" s="906" t="s">
        <v>1037</v>
      </c>
      <c r="E1107" s="907"/>
      <c r="F1107" s="908"/>
      <c r="G1107" s="912"/>
      <c r="H1107" s="901">
        <v>22.67</v>
      </c>
      <c r="I1107" s="901">
        <f t="shared" si="340"/>
        <v>22.67</v>
      </c>
      <c r="J1107" s="902">
        <f t="shared" si="339"/>
        <v>27.22</v>
      </c>
      <c r="K1107" s="903" t="s">
        <v>62</v>
      </c>
      <c r="L1107" s="904">
        <f>ROUND(SUM('RES. CENTRAL PARK:RUA_FINAL'!L1107),2)</f>
        <v>0</v>
      </c>
      <c r="M1107" s="904">
        <f t="shared" si="341"/>
        <v>0</v>
      </c>
      <c r="N1107" s="893">
        <f t="shared" si="342"/>
        <v>0</v>
      </c>
      <c r="O1107" s="905"/>
      <c r="Q1107" s="317" t="str">
        <f t="shared" si="343"/>
        <v/>
      </c>
      <c r="R1107" s="317" t="str">
        <f t="shared" si="344"/>
        <v/>
      </c>
      <c r="S1107" s="317" t="str">
        <f t="shared" si="345"/>
        <v/>
      </c>
      <c r="V1107" s="314">
        <f>SUM('RES. CENTRAL PARK:RUA_FINAL'!N1107)</f>
        <v>0</v>
      </c>
      <c r="W1107" s="315">
        <f t="shared" si="338"/>
        <v>0</v>
      </c>
    </row>
    <row r="1108" spans="1:23" ht="30" hidden="1" customHeight="1" x14ac:dyDescent="0.2">
      <c r="A1108" s="63">
        <v>91873</v>
      </c>
      <c r="B1108" s="895">
        <v>91873</v>
      </c>
      <c r="C1108" s="896" t="s">
        <v>596</v>
      </c>
      <c r="D1108" s="906" t="s">
        <v>1038</v>
      </c>
      <c r="E1108" s="907"/>
      <c r="F1108" s="908"/>
      <c r="G1108" s="912"/>
      <c r="H1108" s="901">
        <v>27.96</v>
      </c>
      <c r="I1108" s="901">
        <f t="shared" si="340"/>
        <v>27.96</v>
      </c>
      <c r="J1108" s="902">
        <f t="shared" si="339"/>
        <v>33.57</v>
      </c>
      <c r="K1108" s="903" t="s">
        <v>62</v>
      </c>
      <c r="L1108" s="904">
        <f>ROUND(SUM('RES. CENTRAL PARK:RUA_FINAL'!L1108),2)</f>
        <v>0</v>
      </c>
      <c r="M1108" s="904">
        <f t="shared" si="341"/>
        <v>0</v>
      </c>
      <c r="N1108" s="893">
        <f t="shared" si="342"/>
        <v>0</v>
      </c>
      <c r="O1108" s="905"/>
      <c r="Q1108" s="317" t="str">
        <f t="shared" si="343"/>
        <v/>
      </c>
      <c r="R1108" s="317" t="str">
        <f t="shared" si="344"/>
        <v/>
      </c>
      <c r="S1108" s="317" t="str">
        <f t="shared" si="345"/>
        <v/>
      </c>
      <c r="V1108" s="314">
        <f>SUM('RES. CENTRAL PARK:RUA_FINAL'!N1108)</f>
        <v>0</v>
      </c>
      <c r="W1108" s="315">
        <f t="shared" si="338"/>
        <v>0</v>
      </c>
    </row>
    <row r="1109" spans="1:23" ht="30" hidden="1" customHeight="1" x14ac:dyDescent="0.2">
      <c r="A1109" s="63">
        <v>93008</v>
      </c>
      <c r="B1109" s="895">
        <v>93008</v>
      </c>
      <c r="C1109" s="896" t="s">
        <v>596</v>
      </c>
      <c r="D1109" s="906" t="s">
        <v>1039</v>
      </c>
      <c r="E1109" s="907"/>
      <c r="F1109" s="908"/>
      <c r="G1109" s="912"/>
      <c r="H1109" s="901">
        <v>24.19</v>
      </c>
      <c r="I1109" s="901">
        <f t="shared" si="340"/>
        <v>24.19</v>
      </c>
      <c r="J1109" s="902">
        <f t="shared" si="339"/>
        <v>29.04</v>
      </c>
      <c r="K1109" s="903" t="s">
        <v>62</v>
      </c>
      <c r="L1109" s="904">
        <f>ROUND(SUM('RES. CENTRAL PARK:RUA_FINAL'!L1109),2)</f>
        <v>0</v>
      </c>
      <c r="M1109" s="904">
        <f t="shared" si="341"/>
        <v>0</v>
      </c>
      <c r="N1109" s="893">
        <f t="shared" si="342"/>
        <v>0</v>
      </c>
      <c r="O1109" s="905"/>
      <c r="Q1109" s="317" t="str">
        <f t="shared" si="343"/>
        <v/>
      </c>
      <c r="R1109" s="317" t="str">
        <f t="shared" si="344"/>
        <v/>
      </c>
      <c r="S1109" s="317" t="str">
        <f t="shared" si="345"/>
        <v/>
      </c>
      <c r="V1109" s="314">
        <f>SUM('RES. CENTRAL PARK:RUA_FINAL'!N1109)</f>
        <v>0</v>
      </c>
      <c r="W1109" s="315">
        <f t="shared" ref="W1109:W1172" si="346">N1109-V1109</f>
        <v>0</v>
      </c>
    </row>
    <row r="1110" spans="1:23" ht="30" hidden="1" customHeight="1" x14ac:dyDescent="0.2">
      <c r="A1110" s="63">
        <v>93009</v>
      </c>
      <c r="B1110" s="895">
        <v>93009</v>
      </c>
      <c r="C1110" s="896" t="s">
        <v>596</v>
      </c>
      <c r="D1110" s="906" t="s">
        <v>1040</v>
      </c>
      <c r="E1110" s="907"/>
      <c r="F1110" s="908"/>
      <c r="G1110" s="912"/>
      <c r="H1110" s="901">
        <v>36.299999999999997</v>
      </c>
      <c r="I1110" s="901">
        <f t="shared" si="340"/>
        <v>36.299999999999997</v>
      </c>
      <c r="J1110" s="902">
        <f t="shared" si="339"/>
        <v>43.59</v>
      </c>
      <c r="K1110" s="903" t="s">
        <v>62</v>
      </c>
      <c r="L1110" s="904">
        <f>ROUND(SUM('RES. CENTRAL PARK:RUA_FINAL'!L1110),2)</f>
        <v>0</v>
      </c>
      <c r="M1110" s="904">
        <f t="shared" si="341"/>
        <v>0</v>
      </c>
      <c r="N1110" s="893">
        <f t="shared" si="342"/>
        <v>0</v>
      </c>
      <c r="O1110" s="905"/>
      <c r="Q1110" s="317" t="str">
        <f t="shared" si="343"/>
        <v/>
      </c>
      <c r="R1110" s="317" t="str">
        <f t="shared" si="344"/>
        <v/>
      </c>
      <c r="S1110" s="317" t="str">
        <f t="shared" si="345"/>
        <v/>
      </c>
      <c r="V1110" s="314">
        <f>SUM('RES. CENTRAL PARK:RUA_FINAL'!N1110)</f>
        <v>0</v>
      </c>
      <c r="W1110" s="315">
        <f t="shared" si="346"/>
        <v>0</v>
      </c>
    </row>
    <row r="1111" spans="1:23" ht="30" hidden="1" customHeight="1" x14ac:dyDescent="0.2">
      <c r="A1111" s="63">
        <v>93010</v>
      </c>
      <c r="B1111" s="895">
        <v>93010</v>
      </c>
      <c r="C1111" s="896" t="s">
        <v>596</v>
      </c>
      <c r="D1111" s="906" t="s">
        <v>1041</v>
      </c>
      <c r="E1111" s="907"/>
      <c r="F1111" s="908"/>
      <c r="G1111" s="912"/>
      <c r="H1111" s="901">
        <v>50.91</v>
      </c>
      <c r="I1111" s="901">
        <f t="shared" si="340"/>
        <v>50.91</v>
      </c>
      <c r="J1111" s="902">
        <f t="shared" si="339"/>
        <v>61.13</v>
      </c>
      <c r="K1111" s="903" t="s">
        <v>62</v>
      </c>
      <c r="L1111" s="904">
        <f>ROUND(SUM('RES. CENTRAL PARK:RUA_FINAL'!L1111),2)</f>
        <v>0</v>
      </c>
      <c r="M1111" s="904">
        <f t="shared" si="341"/>
        <v>0</v>
      </c>
      <c r="N1111" s="893">
        <f t="shared" si="342"/>
        <v>0</v>
      </c>
      <c r="O1111" s="905"/>
      <c r="Q1111" s="317" t="str">
        <f t="shared" si="343"/>
        <v/>
      </c>
      <c r="R1111" s="317" t="str">
        <f t="shared" si="344"/>
        <v/>
      </c>
      <c r="S1111" s="317" t="str">
        <f t="shared" si="345"/>
        <v/>
      </c>
      <c r="V1111" s="314">
        <f>SUM('RES. CENTRAL PARK:RUA_FINAL'!N1111)</f>
        <v>0</v>
      </c>
      <c r="W1111" s="315">
        <f t="shared" si="346"/>
        <v>0</v>
      </c>
    </row>
    <row r="1112" spans="1:23" ht="30" hidden="1" customHeight="1" x14ac:dyDescent="0.2">
      <c r="A1112" s="63">
        <v>93011</v>
      </c>
      <c r="B1112" s="895">
        <v>93011</v>
      </c>
      <c r="C1112" s="896" t="s">
        <v>596</v>
      </c>
      <c r="D1112" s="906" t="s">
        <v>1042</v>
      </c>
      <c r="E1112" s="907"/>
      <c r="F1112" s="908"/>
      <c r="G1112" s="912"/>
      <c r="H1112" s="901">
        <v>62.51</v>
      </c>
      <c r="I1112" s="901">
        <f t="shared" si="340"/>
        <v>62.51</v>
      </c>
      <c r="J1112" s="902">
        <f t="shared" si="339"/>
        <v>75.06</v>
      </c>
      <c r="K1112" s="903" t="s">
        <v>62</v>
      </c>
      <c r="L1112" s="904">
        <f>ROUND(SUM('RES. CENTRAL PARK:RUA_FINAL'!L1112),2)</f>
        <v>0</v>
      </c>
      <c r="M1112" s="904">
        <f t="shared" si="341"/>
        <v>0</v>
      </c>
      <c r="N1112" s="893">
        <f t="shared" si="342"/>
        <v>0</v>
      </c>
      <c r="O1112" s="905"/>
      <c r="Q1112" s="317" t="str">
        <f t="shared" si="343"/>
        <v/>
      </c>
      <c r="R1112" s="317" t="str">
        <f t="shared" si="344"/>
        <v/>
      </c>
      <c r="S1112" s="317" t="str">
        <f t="shared" si="345"/>
        <v/>
      </c>
      <c r="V1112" s="314">
        <f>SUM('RES. CENTRAL PARK:RUA_FINAL'!N1112)</f>
        <v>0</v>
      </c>
      <c r="W1112" s="315">
        <f t="shared" si="346"/>
        <v>0</v>
      </c>
    </row>
    <row r="1113" spans="1:23" ht="30" hidden="1" customHeight="1" x14ac:dyDescent="0.2">
      <c r="A1113" s="63">
        <v>93012</v>
      </c>
      <c r="B1113" s="895">
        <v>93012</v>
      </c>
      <c r="C1113" s="896" t="s">
        <v>596</v>
      </c>
      <c r="D1113" s="906" t="s">
        <v>1043</v>
      </c>
      <c r="E1113" s="907"/>
      <c r="F1113" s="908"/>
      <c r="G1113" s="912"/>
      <c r="H1113" s="901">
        <v>95.11</v>
      </c>
      <c r="I1113" s="901">
        <f t="shared" si="340"/>
        <v>95.11</v>
      </c>
      <c r="J1113" s="902">
        <f t="shared" si="339"/>
        <v>114.2</v>
      </c>
      <c r="K1113" s="903" t="s">
        <v>62</v>
      </c>
      <c r="L1113" s="904">
        <f>ROUND(SUM('RES. CENTRAL PARK:RUA_FINAL'!L1113),2)</f>
        <v>0</v>
      </c>
      <c r="M1113" s="904">
        <f t="shared" si="341"/>
        <v>0</v>
      </c>
      <c r="N1113" s="893">
        <f t="shared" si="342"/>
        <v>0</v>
      </c>
      <c r="O1113" s="905"/>
      <c r="Q1113" s="317" t="str">
        <f t="shared" si="343"/>
        <v/>
      </c>
      <c r="R1113" s="317" t="str">
        <f t="shared" si="344"/>
        <v/>
      </c>
      <c r="S1113" s="317" t="str">
        <f t="shared" si="345"/>
        <v/>
      </c>
      <c r="V1113" s="314">
        <f>SUM('RES. CENTRAL PARK:RUA_FINAL'!N1113)</f>
        <v>0</v>
      </c>
      <c r="W1113" s="315">
        <f t="shared" si="346"/>
        <v>0</v>
      </c>
    </row>
    <row r="1114" spans="1:23" ht="30" hidden="1" customHeight="1" x14ac:dyDescent="0.2">
      <c r="A1114" s="63">
        <v>95726</v>
      </c>
      <c r="B1114" s="895">
        <v>95726</v>
      </c>
      <c r="C1114" s="896" t="s">
        <v>596</v>
      </c>
      <c r="D1114" s="906" t="s">
        <v>1044</v>
      </c>
      <c r="E1114" s="907"/>
      <c r="F1114" s="908"/>
      <c r="G1114" s="912"/>
      <c r="H1114" s="901">
        <v>10.94</v>
      </c>
      <c r="I1114" s="901">
        <f t="shared" si="340"/>
        <v>10.94</v>
      </c>
      <c r="J1114" s="902">
        <f t="shared" si="339"/>
        <v>13.14</v>
      </c>
      <c r="K1114" s="903" t="s">
        <v>62</v>
      </c>
      <c r="L1114" s="904">
        <f>ROUND(SUM('RES. CENTRAL PARK:RUA_FINAL'!L1114),2)</f>
        <v>0</v>
      </c>
      <c r="M1114" s="904">
        <f t="shared" si="341"/>
        <v>0</v>
      </c>
      <c r="N1114" s="893">
        <f t="shared" si="342"/>
        <v>0</v>
      </c>
      <c r="O1114" s="905"/>
      <c r="Q1114" s="317" t="str">
        <f t="shared" si="343"/>
        <v/>
      </c>
      <c r="R1114" s="317" t="str">
        <f t="shared" si="344"/>
        <v/>
      </c>
      <c r="S1114" s="317" t="str">
        <f t="shared" si="345"/>
        <v/>
      </c>
      <c r="V1114" s="314">
        <f>SUM('RES. CENTRAL PARK:RUA_FINAL'!N1114)</f>
        <v>0</v>
      </c>
      <c r="W1114" s="315">
        <f t="shared" si="346"/>
        <v>0</v>
      </c>
    </row>
    <row r="1115" spans="1:23" ht="30" hidden="1" customHeight="1" x14ac:dyDescent="0.2">
      <c r="A1115" s="63">
        <v>95727</v>
      </c>
      <c r="B1115" s="895">
        <v>95727</v>
      </c>
      <c r="C1115" s="896" t="s">
        <v>596</v>
      </c>
      <c r="D1115" s="906" t="s">
        <v>1045</v>
      </c>
      <c r="E1115" s="907"/>
      <c r="F1115" s="908"/>
      <c r="G1115" s="912"/>
      <c r="H1115" s="901">
        <v>15.28</v>
      </c>
      <c r="I1115" s="901">
        <f t="shared" si="340"/>
        <v>15.28</v>
      </c>
      <c r="J1115" s="902">
        <f t="shared" si="339"/>
        <v>18.350000000000001</v>
      </c>
      <c r="K1115" s="903" t="s">
        <v>62</v>
      </c>
      <c r="L1115" s="904">
        <f>ROUND(SUM('RES. CENTRAL PARK:RUA_FINAL'!L1115),2)</f>
        <v>0</v>
      </c>
      <c r="M1115" s="904">
        <f t="shared" si="341"/>
        <v>0</v>
      </c>
      <c r="N1115" s="893">
        <f t="shared" si="342"/>
        <v>0</v>
      </c>
      <c r="O1115" s="905"/>
      <c r="Q1115" s="317" t="str">
        <f t="shared" si="343"/>
        <v/>
      </c>
      <c r="R1115" s="317" t="str">
        <f t="shared" si="344"/>
        <v/>
      </c>
      <c r="S1115" s="317" t="str">
        <f t="shared" si="345"/>
        <v/>
      </c>
      <c r="V1115" s="314">
        <f>SUM('RES. CENTRAL PARK:RUA_FINAL'!N1115)</f>
        <v>0</v>
      </c>
      <c r="W1115" s="315">
        <f t="shared" si="346"/>
        <v>0</v>
      </c>
    </row>
    <row r="1116" spans="1:23" ht="30" hidden="1" customHeight="1" x14ac:dyDescent="0.2">
      <c r="A1116" s="63">
        <v>95728</v>
      </c>
      <c r="B1116" s="895">
        <v>95728</v>
      </c>
      <c r="C1116" s="896" t="s">
        <v>596</v>
      </c>
      <c r="D1116" s="906" t="s">
        <v>1046</v>
      </c>
      <c r="E1116" s="907"/>
      <c r="F1116" s="908"/>
      <c r="G1116" s="912"/>
      <c r="H1116" s="901">
        <v>22.47</v>
      </c>
      <c r="I1116" s="901">
        <f t="shared" si="340"/>
        <v>22.47</v>
      </c>
      <c r="J1116" s="902">
        <f t="shared" si="339"/>
        <v>26.98</v>
      </c>
      <c r="K1116" s="903" t="s">
        <v>62</v>
      </c>
      <c r="L1116" s="904">
        <f>ROUND(SUM('RES. CENTRAL PARK:RUA_FINAL'!L1116),2)</f>
        <v>0</v>
      </c>
      <c r="M1116" s="904">
        <f t="shared" si="341"/>
        <v>0</v>
      </c>
      <c r="N1116" s="893">
        <f t="shared" si="342"/>
        <v>0</v>
      </c>
      <c r="O1116" s="905"/>
      <c r="Q1116" s="317" t="str">
        <f t="shared" si="343"/>
        <v/>
      </c>
      <c r="R1116" s="317" t="str">
        <f t="shared" si="344"/>
        <v/>
      </c>
      <c r="S1116" s="317" t="str">
        <f t="shared" si="345"/>
        <v/>
      </c>
      <c r="V1116" s="314">
        <f>SUM('RES. CENTRAL PARK:RUA_FINAL'!N1116)</f>
        <v>0</v>
      </c>
      <c r="W1116" s="315">
        <f t="shared" si="346"/>
        <v>0</v>
      </c>
    </row>
    <row r="1117" spans="1:23" ht="30" hidden="1" customHeight="1" x14ac:dyDescent="0.2">
      <c r="A1117" s="63">
        <v>95729</v>
      </c>
      <c r="B1117" s="895">
        <v>95729</v>
      </c>
      <c r="C1117" s="896" t="s">
        <v>596</v>
      </c>
      <c r="D1117" s="906" t="s">
        <v>1047</v>
      </c>
      <c r="E1117" s="907"/>
      <c r="F1117" s="908"/>
      <c r="G1117" s="912"/>
      <c r="H1117" s="901">
        <v>10.130000000000001</v>
      </c>
      <c r="I1117" s="901">
        <f t="shared" si="340"/>
        <v>10.130000000000001</v>
      </c>
      <c r="J1117" s="902">
        <f t="shared" si="339"/>
        <v>12.16</v>
      </c>
      <c r="K1117" s="903" t="s">
        <v>62</v>
      </c>
      <c r="L1117" s="904">
        <f>ROUND(SUM('RES. CENTRAL PARK:RUA_FINAL'!L1117),2)</f>
        <v>0</v>
      </c>
      <c r="M1117" s="904">
        <f t="shared" si="341"/>
        <v>0</v>
      </c>
      <c r="N1117" s="893">
        <f t="shared" si="342"/>
        <v>0</v>
      </c>
      <c r="O1117" s="905"/>
      <c r="Q1117" s="317" t="str">
        <f t="shared" si="343"/>
        <v/>
      </c>
      <c r="R1117" s="317" t="str">
        <f t="shared" si="344"/>
        <v/>
      </c>
      <c r="S1117" s="317" t="str">
        <f t="shared" si="345"/>
        <v/>
      </c>
      <c r="V1117" s="314">
        <f>SUM('RES. CENTRAL PARK:RUA_FINAL'!N1117)</f>
        <v>0</v>
      </c>
      <c r="W1117" s="315">
        <f t="shared" si="346"/>
        <v>0</v>
      </c>
    </row>
    <row r="1118" spans="1:23" ht="30" hidden="1" customHeight="1" x14ac:dyDescent="0.2">
      <c r="A1118" s="63">
        <v>95730</v>
      </c>
      <c r="B1118" s="895">
        <v>95730</v>
      </c>
      <c r="C1118" s="896" t="s">
        <v>596</v>
      </c>
      <c r="D1118" s="906" t="s">
        <v>1048</v>
      </c>
      <c r="E1118" s="907"/>
      <c r="F1118" s="908"/>
      <c r="G1118" s="912"/>
      <c r="H1118" s="901">
        <v>11.31</v>
      </c>
      <c r="I1118" s="901">
        <f t="shared" si="340"/>
        <v>11.31</v>
      </c>
      <c r="J1118" s="902">
        <f t="shared" si="339"/>
        <v>13.58</v>
      </c>
      <c r="K1118" s="903" t="s">
        <v>62</v>
      </c>
      <c r="L1118" s="904">
        <f>ROUND(SUM('RES. CENTRAL PARK:RUA_FINAL'!L1118),2)</f>
        <v>0</v>
      </c>
      <c r="M1118" s="904">
        <f t="shared" si="341"/>
        <v>0</v>
      </c>
      <c r="N1118" s="893">
        <f t="shared" si="342"/>
        <v>0</v>
      </c>
      <c r="O1118" s="905"/>
      <c r="Q1118" s="317" t="str">
        <f t="shared" si="343"/>
        <v/>
      </c>
      <c r="R1118" s="317" t="str">
        <f t="shared" si="344"/>
        <v/>
      </c>
      <c r="S1118" s="317" t="str">
        <f t="shared" si="345"/>
        <v/>
      </c>
      <c r="V1118" s="314">
        <f>SUM('RES. CENTRAL PARK:RUA_FINAL'!N1118)</f>
        <v>0</v>
      </c>
      <c r="W1118" s="315">
        <f t="shared" si="346"/>
        <v>0</v>
      </c>
    </row>
    <row r="1119" spans="1:23" ht="30" hidden="1" customHeight="1" x14ac:dyDescent="0.2">
      <c r="A1119" s="63">
        <v>95731</v>
      </c>
      <c r="B1119" s="895">
        <v>95731</v>
      </c>
      <c r="C1119" s="896" t="s">
        <v>596</v>
      </c>
      <c r="D1119" s="906" t="s">
        <v>1049</v>
      </c>
      <c r="E1119" s="907"/>
      <c r="F1119" s="908"/>
      <c r="G1119" s="912"/>
      <c r="H1119" s="901">
        <v>13.96</v>
      </c>
      <c r="I1119" s="901">
        <f t="shared" si="340"/>
        <v>13.96</v>
      </c>
      <c r="J1119" s="902">
        <f t="shared" si="339"/>
        <v>16.760000000000002</v>
      </c>
      <c r="K1119" s="903" t="s">
        <v>62</v>
      </c>
      <c r="L1119" s="904">
        <f>ROUND(SUM('RES. CENTRAL PARK:RUA_FINAL'!L1119),2)</f>
        <v>0</v>
      </c>
      <c r="M1119" s="904">
        <f t="shared" si="341"/>
        <v>0</v>
      </c>
      <c r="N1119" s="893">
        <f t="shared" si="342"/>
        <v>0</v>
      </c>
      <c r="O1119" s="905"/>
      <c r="Q1119" s="317" t="str">
        <f t="shared" si="343"/>
        <v/>
      </c>
      <c r="R1119" s="317" t="str">
        <f t="shared" si="344"/>
        <v/>
      </c>
      <c r="S1119" s="317" t="str">
        <f t="shared" si="345"/>
        <v/>
      </c>
      <c r="V1119" s="314">
        <f>SUM('RES. CENTRAL PARK:RUA_FINAL'!N1119)</f>
        <v>0</v>
      </c>
      <c r="W1119" s="315">
        <f t="shared" si="346"/>
        <v>0</v>
      </c>
    </row>
    <row r="1120" spans="1:23" ht="30" hidden="1" customHeight="1" x14ac:dyDescent="0.2">
      <c r="A1120" s="63">
        <v>95733</v>
      </c>
      <c r="B1120" s="895">
        <v>95733</v>
      </c>
      <c r="C1120" s="896" t="s">
        <v>596</v>
      </c>
      <c r="D1120" s="906" t="s">
        <v>1050</v>
      </c>
      <c r="E1120" s="907"/>
      <c r="F1120" s="908"/>
      <c r="G1120" s="912"/>
      <c r="H1120" s="901">
        <v>6.78</v>
      </c>
      <c r="I1120" s="901">
        <f t="shared" si="340"/>
        <v>6.78</v>
      </c>
      <c r="J1120" s="902">
        <f t="shared" si="339"/>
        <v>8.14</v>
      </c>
      <c r="K1120" s="903" t="s">
        <v>1516</v>
      </c>
      <c r="L1120" s="904">
        <f>ROUND(SUM('RES. CENTRAL PARK:RUA_FINAL'!L1120),2)</f>
        <v>0</v>
      </c>
      <c r="M1120" s="904">
        <f t="shared" si="341"/>
        <v>0</v>
      </c>
      <c r="N1120" s="893">
        <f t="shared" si="342"/>
        <v>0</v>
      </c>
      <c r="O1120" s="905"/>
      <c r="Q1120" s="317" t="str">
        <f t="shared" si="343"/>
        <v/>
      </c>
      <c r="R1120" s="317" t="str">
        <f t="shared" si="344"/>
        <v/>
      </c>
      <c r="S1120" s="317" t="str">
        <f t="shared" si="345"/>
        <v/>
      </c>
      <c r="V1120" s="314">
        <f>SUM('RES. CENTRAL PARK:RUA_FINAL'!N1120)</f>
        <v>0</v>
      </c>
      <c r="W1120" s="315">
        <f t="shared" si="346"/>
        <v>0</v>
      </c>
    </row>
    <row r="1121" spans="1:23" ht="30" hidden="1" customHeight="1" x14ac:dyDescent="0.2">
      <c r="A1121" s="63">
        <v>95734</v>
      </c>
      <c r="B1121" s="895">
        <v>95734</v>
      </c>
      <c r="C1121" s="896" t="s">
        <v>596</v>
      </c>
      <c r="D1121" s="906" t="s">
        <v>1051</v>
      </c>
      <c r="E1121" s="907"/>
      <c r="F1121" s="908"/>
      <c r="G1121" s="912"/>
      <c r="H1121" s="901">
        <v>9.0299999999999994</v>
      </c>
      <c r="I1121" s="901">
        <f t="shared" si="340"/>
        <v>9.0299999999999994</v>
      </c>
      <c r="J1121" s="902">
        <f t="shared" si="339"/>
        <v>10.84</v>
      </c>
      <c r="K1121" s="903" t="s">
        <v>1516</v>
      </c>
      <c r="L1121" s="904">
        <f>ROUND(SUM('RES. CENTRAL PARK:RUA_FINAL'!L1121),2)</f>
        <v>0</v>
      </c>
      <c r="M1121" s="904">
        <f t="shared" si="341"/>
        <v>0</v>
      </c>
      <c r="N1121" s="893">
        <f t="shared" si="342"/>
        <v>0</v>
      </c>
      <c r="O1121" s="905"/>
      <c r="Q1121" s="317" t="str">
        <f t="shared" si="343"/>
        <v/>
      </c>
      <c r="R1121" s="317" t="str">
        <f t="shared" si="344"/>
        <v/>
      </c>
      <c r="S1121" s="317" t="str">
        <f t="shared" si="345"/>
        <v/>
      </c>
      <c r="V1121" s="314">
        <f>SUM('RES. CENTRAL PARK:RUA_FINAL'!N1121)</f>
        <v>0</v>
      </c>
      <c r="W1121" s="315">
        <f t="shared" si="346"/>
        <v>0</v>
      </c>
    </row>
    <row r="1122" spans="1:23" ht="30" hidden="1" customHeight="1" x14ac:dyDescent="0.2">
      <c r="A1122" s="63">
        <v>95735</v>
      </c>
      <c r="B1122" s="895">
        <v>95735</v>
      </c>
      <c r="C1122" s="896" t="s">
        <v>596</v>
      </c>
      <c r="D1122" s="906" t="s">
        <v>1052</v>
      </c>
      <c r="E1122" s="907"/>
      <c r="F1122" s="908"/>
      <c r="G1122" s="912"/>
      <c r="H1122" s="901">
        <v>7.48</v>
      </c>
      <c r="I1122" s="901">
        <f t="shared" si="340"/>
        <v>7.48</v>
      </c>
      <c r="J1122" s="902">
        <f t="shared" si="339"/>
        <v>8.98</v>
      </c>
      <c r="K1122" s="903" t="s">
        <v>1516</v>
      </c>
      <c r="L1122" s="904">
        <f>ROUND(SUM('RES. CENTRAL PARK:RUA_FINAL'!L1122),2)</f>
        <v>0</v>
      </c>
      <c r="M1122" s="904">
        <f t="shared" si="341"/>
        <v>0</v>
      </c>
      <c r="N1122" s="893">
        <f t="shared" si="342"/>
        <v>0</v>
      </c>
      <c r="O1122" s="905"/>
      <c r="Q1122" s="317" t="str">
        <f t="shared" si="343"/>
        <v/>
      </c>
      <c r="R1122" s="317" t="str">
        <f t="shared" si="344"/>
        <v/>
      </c>
      <c r="S1122" s="317" t="str">
        <f t="shared" si="345"/>
        <v/>
      </c>
      <c r="V1122" s="314">
        <f>SUM('RES. CENTRAL PARK:RUA_FINAL'!N1122)</f>
        <v>0</v>
      </c>
      <c r="W1122" s="315">
        <f t="shared" si="346"/>
        <v>0</v>
      </c>
    </row>
    <row r="1123" spans="1:23" ht="30" hidden="1" customHeight="1" x14ac:dyDescent="0.2">
      <c r="A1123" s="63">
        <v>95736</v>
      </c>
      <c r="B1123" s="895">
        <v>95736</v>
      </c>
      <c r="C1123" s="896" t="s">
        <v>596</v>
      </c>
      <c r="D1123" s="906" t="s">
        <v>1053</v>
      </c>
      <c r="E1123" s="907"/>
      <c r="F1123" s="908"/>
      <c r="G1123" s="912"/>
      <c r="H1123" s="901">
        <v>8.85</v>
      </c>
      <c r="I1123" s="901">
        <f t="shared" si="340"/>
        <v>8.85</v>
      </c>
      <c r="J1123" s="902">
        <f t="shared" si="339"/>
        <v>10.63</v>
      </c>
      <c r="K1123" s="903" t="s">
        <v>1516</v>
      </c>
      <c r="L1123" s="904">
        <f>ROUND(SUM('RES. CENTRAL PARK:RUA_FINAL'!L1123),2)</f>
        <v>0</v>
      </c>
      <c r="M1123" s="904">
        <f t="shared" si="341"/>
        <v>0</v>
      </c>
      <c r="N1123" s="893">
        <f t="shared" si="342"/>
        <v>0</v>
      </c>
      <c r="O1123" s="905"/>
      <c r="Q1123" s="317" t="str">
        <f t="shared" si="343"/>
        <v/>
      </c>
      <c r="R1123" s="317" t="str">
        <f t="shared" si="344"/>
        <v/>
      </c>
      <c r="S1123" s="317" t="str">
        <f t="shared" si="345"/>
        <v/>
      </c>
      <c r="V1123" s="314">
        <f>SUM('RES. CENTRAL PARK:RUA_FINAL'!N1123)</f>
        <v>0</v>
      </c>
      <c r="W1123" s="315">
        <f t="shared" si="346"/>
        <v>0</v>
      </c>
    </row>
    <row r="1124" spans="1:23" ht="30" hidden="1" customHeight="1" x14ac:dyDescent="0.2">
      <c r="A1124" s="63">
        <v>95738</v>
      </c>
      <c r="B1124" s="895">
        <v>95738</v>
      </c>
      <c r="C1124" s="896" t="s">
        <v>596</v>
      </c>
      <c r="D1124" s="906" t="s">
        <v>1054</v>
      </c>
      <c r="E1124" s="907"/>
      <c r="F1124" s="908"/>
      <c r="G1124" s="912"/>
      <c r="H1124" s="901">
        <v>10.71</v>
      </c>
      <c r="I1124" s="901">
        <f t="shared" si="340"/>
        <v>10.71</v>
      </c>
      <c r="J1124" s="902">
        <f t="shared" si="339"/>
        <v>12.86</v>
      </c>
      <c r="K1124" s="903" t="s">
        <v>1516</v>
      </c>
      <c r="L1124" s="904">
        <f>ROUND(SUM('RES. CENTRAL PARK:RUA_FINAL'!L1124),2)</f>
        <v>0</v>
      </c>
      <c r="M1124" s="904">
        <f t="shared" si="341"/>
        <v>0</v>
      </c>
      <c r="N1124" s="893">
        <f t="shared" si="342"/>
        <v>0</v>
      </c>
      <c r="O1124" s="905"/>
      <c r="Q1124" s="317" t="str">
        <f t="shared" si="343"/>
        <v/>
      </c>
      <c r="R1124" s="317" t="str">
        <f t="shared" si="344"/>
        <v/>
      </c>
      <c r="S1124" s="317" t="str">
        <f t="shared" si="345"/>
        <v/>
      </c>
      <c r="V1124" s="314">
        <f>SUM('RES. CENTRAL PARK:RUA_FINAL'!N1124)</f>
        <v>0</v>
      </c>
      <c r="W1124" s="315">
        <f t="shared" si="346"/>
        <v>0</v>
      </c>
    </row>
    <row r="1125" spans="1:23" ht="30" hidden="1" customHeight="1" x14ac:dyDescent="0.2">
      <c r="A1125" s="63">
        <v>95732</v>
      </c>
      <c r="B1125" s="895">
        <v>95732</v>
      </c>
      <c r="C1125" s="896" t="s">
        <v>596</v>
      </c>
      <c r="D1125" s="906" t="s">
        <v>1055</v>
      </c>
      <c r="E1125" s="907"/>
      <c r="F1125" s="908"/>
      <c r="G1125" s="912"/>
      <c r="H1125" s="901">
        <v>5.14</v>
      </c>
      <c r="I1125" s="901">
        <f t="shared" si="340"/>
        <v>5.14</v>
      </c>
      <c r="J1125" s="902">
        <f t="shared" si="339"/>
        <v>6.17</v>
      </c>
      <c r="K1125" s="903" t="s">
        <v>1516</v>
      </c>
      <c r="L1125" s="904">
        <f>ROUND(SUM('RES. CENTRAL PARK:RUA_FINAL'!L1125),2)</f>
        <v>0</v>
      </c>
      <c r="M1125" s="904">
        <f t="shared" si="341"/>
        <v>0</v>
      </c>
      <c r="N1125" s="893">
        <f t="shared" si="342"/>
        <v>0</v>
      </c>
      <c r="O1125" s="905"/>
      <c r="Q1125" s="317" t="str">
        <f t="shared" si="343"/>
        <v/>
      </c>
      <c r="R1125" s="317" t="str">
        <f t="shared" si="344"/>
        <v/>
      </c>
      <c r="S1125" s="317" t="str">
        <f t="shared" si="345"/>
        <v/>
      </c>
      <c r="V1125" s="314">
        <f>SUM('RES. CENTRAL PARK:RUA_FINAL'!N1125)</f>
        <v>0</v>
      </c>
      <c r="W1125" s="315">
        <f t="shared" si="346"/>
        <v>0</v>
      </c>
    </row>
    <row r="1126" spans="1:23" ht="30" hidden="1" customHeight="1" x14ac:dyDescent="0.2">
      <c r="A1126" s="63">
        <v>95745</v>
      </c>
      <c r="B1126" s="895">
        <v>95745</v>
      </c>
      <c r="C1126" s="896" t="s">
        <v>596</v>
      </c>
      <c r="D1126" s="906" t="s">
        <v>1056</v>
      </c>
      <c r="E1126" s="907"/>
      <c r="F1126" s="908"/>
      <c r="G1126" s="912"/>
      <c r="H1126" s="901">
        <v>23.89</v>
      </c>
      <c r="I1126" s="901">
        <f t="shared" si="340"/>
        <v>23.89</v>
      </c>
      <c r="J1126" s="902">
        <f t="shared" si="339"/>
        <v>28.68</v>
      </c>
      <c r="K1126" s="903" t="s">
        <v>62</v>
      </c>
      <c r="L1126" s="904">
        <f>ROUND(SUM('RES. CENTRAL PARK:RUA_FINAL'!L1126),2)</f>
        <v>0</v>
      </c>
      <c r="M1126" s="904">
        <f t="shared" si="341"/>
        <v>0</v>
      </c>
      <c r="N1126" s="893">
        <f t="shared" si="342"/>
        <v>0</v>
      </c>
      <c r="O1126" s="905"/>
      <c r="Q1126" s="317" t="str">
        <f t="shared" si="343"/>
        <v/>
      </c>
      <c r="R1126" s="317" t="str">
        <f t="shared" si="344"/>
        <v/>
      </c>
      <c r="S1126" s="317" t="str">
        <f t="shared" si="345"/>
        <v/>
      </c>
      <c r="V1126" s="314">
        <f>SUM('RES. CENTRAL PARK:RUA_FINAL'!N1126)</f>
        <v>0</v>
      </c>
      <c r="W1126" s="315">
        <f t="shared" si="346"/>
        <v>0</v>
      </c>
    </row>
    <row r="1127" spans="1:23" ht="30" hidden="1" customHeight="1" x14ac:dyDescent="0.2">
      <c r="A1127" s="63">
        <v>95746</v>
      </c>
      <c r="B1127" s="895">
        <v>95746</v>
      </c>
      <c r="C1127" s="896" t="s">
        <v>596</v>
      </c>
      <c r="D1127" s="906" t="s">
        <v>1057</v>
      </c>
      <c r="E1127" s="907"/>
      <c r="F1127" s="908"/>
      <c r="G1127" s="912"/>
      <c r="H1127" s="901">
        <v>29.71</v>
      </c>
      <c r="I1127" s="901">
        <f t="shared" si="340"/>
        <v>29.71</v>
      </c>
      <c r="J1127" s="902">
        <f t="shared" si="339"/>
        <v>35.67</v>
      </c>
      <c r="K1127" s="903" t="s">
        <v>62</v>
      </c>
      <c r="L1127" s="904">
        <f>ROUND(SUM('RES. CENTRAL PARK:RUA_FINAL'!L1127),2)</f>
        <v>0</v>
      </c>
      <c r="M1127" s="904">
        <f t="shared" si="341"/>
        <v>0</v>
      </c>
      <c r="N1127" s="893">
        <f t="shared" si="342"/>
        <v>0</v>
      </c>
      <c r="O1127" s="905"/>
      <c r="Q1127" s="317" t="str">
        <f t="shared" si="343"/>
        <v/>
      </c>
      <c r="R1127" s="317" t="str">
        <f t="shared" si="344"/>
        <v/>
      </c>
      <c r="S1127" s="317" t="str">
        <f t="shared" si="345"/>
        <v/>
      </c>
      <c r="V1127" s="314">
        <f>SUM('RES. CENTRAL PARK:RUA_FINAL'!N1127)</f>
        <v>0</v>
      </c>
      <c r="W1127" s="315">
        <f t="shared" si="346"/>
        <v>0</v>
      </c>
    </row>
    <row r="1128" spans="1:23" ht="30" hidden="1" customHeight="1" x14ac:dyDescent="0.2">
      <c r="A1128" s="63">
        <v>95747</v>
      </c>
      <c r="B1128" s="895">
        <v>95747</v>
      </c>
      <c r="C1128" s="896" t="s">
        <v>596</v>
      </c>
      <c r="D1128" s="906" t="s">
        <v>1058</v>
      </c>
      <c r="E1128" s="907"/>
      <c r="F1128" s="908"/>
      <c r="G1128" s="912"/>
      <c r="H1128" s="901">
        <v>49.07</v>
      </c>
      <c r="I1128" s="901">
        <f t="shared" si="340"/>
        <v>49.07</v>
      </c>
      <c r="J1128" s="902">
        <f t="shared" si="339"/>
        <v>58.92</v>
      </c>
      <c r="K1128" s="903" t="s">
        <v>62</v>
      </c>
      <c r="L1128" s="904">
        <f>ROUND(SUM('RES. CENTRAL PARK:RUA_FINAL'!L1128),2)</f>
        <v>0</v>
      </c>
      <c r="M1128" s="904">
        <f t="shared" si="341"/>
        <v>0</v>
      </c>
      <c r="N1128" s="893">
        <f t="shared" si="342"/>
        <v>0</v>
      </c>
      <c r="O1128" s="905"/>
      <c r="Q1128" s="317" t="str">
        <f t="shared" si="343"/>
        <v/>
      </c>
      <c r="R1128" s="317" t="str">
        <f t="shared" si="344"/>
        <v/>
      </c>
      <c r="S1128" s="317" t="str">
        <f t="shared" si="345"/>
        <v/>
      </c>
      <c r="V1128" s="314">
        <f>SUM('RES. CENTRAL PARK:RUA_FINAL'!N1128)</f>
        <v>0</v>
      </c>
      <c r="W1128" s="315">
        <f t="shared" si="346"/>
        <v>0</v>
      </c>
    </row>
    <row r="1129" spans="1:23" ht="30" hidden="1" customHeight="1" x14ac:dyDescent="0.2">
      <c r="A1129" s="63">
        <v>95748</v>
      </c>
      <c r="B1129" s="895">
        <v>95748</v>
      </c>
      <c r="C1129" s="896" t="s">
        <v>596</v>
      </c>
      <c r="D1129" s="906" t="s">
        <v>1059</v>
      </c>
      <c r="E1129" s="907"/>
      <c r="F1129" s="908"/>
      <c r="G1129" s="912"/>
      <c r="H1129" s="901">
        <v>53.05</v>
      </c>
      <c r="I1129" s="901">
        <f t="shared" si="340"/>
        <v>53.05</v>
      </c>
      <c r="J1129" s="902">
        <f t="shared" si="339"/>
        <v>63.7</v>
      </c>
      <c r="K1129" s="903" t="s">
        <v>62</v>
      </c>
      <c r="L1129" s="904">
        <f>ROUND(SUM('RES. CENTRAL PARK:RUA_FINAL'!L1129),2)</f>
        <v>0</v>
      </c>
      <c r="M1129" s="904">
        <f t="shared" si="341"/>
        <v>0</v>
      </c>
      <c r="N1129" s="893">
        <f t="shared" si="342"/>
        <v>0</v>
      </c>
      <c r="O1129" s="905"/>
      <c r="Q1129" s="317" t="str">
        <f t="shared" si="343"/>
        <v/>
      </c>
      <c r="R1129" s="317" t="str">
        <f t="shared" si="344"/>
        <v/>
      </c>
      <c r="S1129" s="317" t="str">
        <f t="shared" si="345"/>
        <v/>
      </c>
      <c r="V1129" s="314">
        <f>SUM('RES. CENTRAL PARK:RUA_FINAL'!N1129)</f>
        <v>0</v>
      </c>
      <c r="W1129" s="315">
        <f t="shared" si="346"/>
        <v>0</v>
      </c>
    </row>
    <row r="1130" spans="1:23" ht="30" hidden="1" customHeight="1" x14ac:dyDescent="0.2">
      <c r="A1130" s="63">
        <v>95749</v>
      </c>
      <c r="B1130" s="895">
        <v>95749</v>
      </c>
      <c r="C1130" s="896" t="s">
        <v>596</v>
      </c>
      <c r="D1130" s="906" t="s">
        <v>1060</v>
      </c>
      <c r="E1130" s="907"/>
      <c r="F1130" s="908"/>
      <c r="G1130" s="912"/>
      <c r="H1130" s="901">
        <v>31.18</v>
      </c>
      <c r="I1130" s="901">
        <f t="shared" si="340"/>
        <v>31.18</v>
      </c>
      <c r="J1130" s="902">
        <f t="shared" si="339"/>
        <v>37.44</v>
      </c>
      <c r="K1130" s="903" t="s">
        <v>62</v>
      </c>
      <c r="L1130" s="904">
        <f>ROUND(SUM('RES. CENTRAL PARK:RUA_FINAL'!L1130),2)</f>
        <v>0</v>
      </c>
      <c r="M1130" s="904">
        <f t="shared" si="341"/>
        <v>0</v>
      </c>
      <c r="N1130" s="893">
        <f t="shared" si="342"/>
        <v>0</v>
      </c>
      <c r="O1130" s="905"/>
      <c r="Q1130" s="317" t="str">
        <f t="shared" si="343"/>
        <v/>
      </c>
      <c r="R1130" s="317" t="str">
        <f t="shared" si="344"/>
        <v/>
      </c>
      <c r="S1130" s="317" t="str">
        <f t="shared" si="345"/>
        <v/>
      </c>
      <c r="V1130" s="314">
        <f>SUM('RES. CENTRAL PARK:RUA_FINAL'!N1130)</f>
        <v>0</v>
      </c>
      <c r="W1130" s="315">
        <f t="shared" si="346"/>
        <v>0</v>
      </c>
    </row>
    <row r="1131" spans="1:23" ht="30" hidden="1" customHeight="1" x14ac:dyDescent="0.2">
      <c r="A1131" s="63">
        <v>95750</v>
      </c>
      <c r="B1131" s="895">
        <v>95750</v>
      </c>
      <c r="C1131" s="896" t="s">
        <v>596</v>
      </c>
      <c r="D1131" s="906" t="s">
        <v>1061</v>
      </c>
      <c r="E1131" s="907"/>
      <c r="F1131" s="908"/>
      <c r="G1131" s="912"/>
      <c r="H1131" s="901">
        <v>36.840000000000003</v>
      </c>
      <c r="I1131" s="901">
        <f t="shared" si="340"/>
        <v>36.840000000000003</v>
      </c>
      <c r="J1131" s="902">
        <f t="shared" si="339"/>
        <v>44.23</v>
      </c>
      <c r="K1131" s="903" t="s">
        <v>62</v>
      </c>
      <c r="L1131" s="904">
        <f>ROUND(SUM('RES. CENTRAL PARK:RUA_FINAL'!L1131),2)</f>
        <v>0</v>
      </c>
      <c r="M1131" s="904">
        <f t="shared" si="341"/>
        <v>0</v>
      </c>
      <c r="N1131" s="893">
        <f t="shared" si="342"/>
        <v>0</v>
      </c>
      <c r="O1131" s="905"/>
      <c r="Q1131" s="317" t="str">
        <f t="shared" si="343"/>
        <v/>
      </c>
      <c r="R1131" s="317" t="str">
        <f t="shared" si="344"/>
        <v/>
      </c>
      <c r="S1131" s="317" t="str">
        <f t="shared" si="345"/>
        <v/>
      </c>
      <c r="V1131" s="314">
        <f>SUM('RES. CENTRAL PARK:RUA_FINAL'!N1131)</f>
        <v>0</v>
      </c>
      <c r="W1131" s="315">
        <f t="shared" si="346"/>
        <v>0</v>
      </c>
    </row>
    <row r="1132" spans="1:23" ht="30" hidden="1" customHeight="1" x14ac:dyDescent="0.2">
      <c r="A1132" s="63">
        <v>95751</v>
      </c>
      <c r="B1132" s="895">
        <v>95751</v>
      </c>
      <c r="C1132" s="896" t="s">
        <v>596</v>
      </c>
      <c r="D1132" s="906" t="s">
        <v>1062</v>
      </c>
      <c r="E1132" s="907"/>
      <c r="F1132" s="908"/>
      <c r="G1132" s="912"/>
      <c r="H1132" s="901">
        <v>55.99</v>
      </c>
      <c r="I1132" s="901">
        <f t="shared" si="340"/>
        <v>55.99</v>
      </c>
      <c r="J1132" s="902">
        <f t="shared" si="339"/>
        <v>67.23</v>
      </c>
      <c r="K1132" s="903" t="s">
        <v>62</v>
      </c>
      <c r="L1132" s="904">
        <f>ROUND(SUM('RES. CENTRAL PARK:RUA_FINAL'!L1132),2)</f>
        <v>0</v>
      </c>
      <c r="M1132" s="904">
        <f t="shared" si="341"/>
        <v>0</v>
      </c>
      <c r="N1132" s="893">
        <f t="shared" si="342"/>
        <v>0</v>
      </c>
      <c r="O1132" s="905"/>
      <c r="Q1132" s="317" t="str">
        <f t="shared" si="343"/>
        <v/>
      </c>
      <c r="R1132" s="317" t="str">
        <f t="shared" si="344"/>
        <v/>
      </c>
      <c r="S1132" s="317" t="str">
        <f t="shared" si="345"/>
        <v/>
      </c>
      <c r="V1132" s="314">
        <f>SUM('RES. CENTRAL PARK:RUA_FINAL'!N1132)</f>
        <v>0</v>
      </c>
      <c r="W1132" s="315">
        <f t="shared" si="346"/>
        <v>0</v>
      </c>
    </row>
    <row r="1133" spans="1:23" ht="30" hidden="1" customHeight="1" x14ac:dyDescent="0.2">
      <c r="A1133" s="63">
        <v>95752</v>
      </c>
      <c r="B1133" s="895">
        <v>95752</v>
      </c>
      <c r="C1133" s="896" t="s">
        <v>596</v>
      </c>
      <c r="D1133" s="906" t="s">
        <v>1063</v>
      </c>
      <c r="E1133" s="907"/>
      <c r="F1133" s="908"/>
      <c r="G1133" s="912"/>
      <c r="H1133" s="901">
        <v>59.7</v>
      </c>
      <c r="I1133" s="901">
        <f t="shared" si="340"/>
        <v>59.7</v>
      </c>
      <c r="J1133" s="902">
        <f t="shared" si="339"/>
        <v>71.680000000000007</v>
      </c>
      <c r="K1133" s="903" t="s">
        <v>62</v>
      </c>
      <c r="L1133" s="904">
        <f>ROUND(SUM('RES. CENTRAL PARK:RUA_FINAL'!L1133),2)</f>
        <v>0</v>
      </c>
      <c r="M1133" s="904">
        <f t="shared" si="341"/>
        <v>0</v>
      </c>
      <c r="N1133" s="893">
        <f t="shared" si="342"/>
        <v>0</v>
      </c>
      <c r="O1133" s="905"/>
      <c r="Q1133" s="317" t="str">
        <f t="shared" si="343"/>
        <v/>
      </c>
      <c r="R1133" s="317" t="str">
        <f t="shared" si="344"/>
        <v/>
      </c>
      <c r="S1133" s="317" t="str">
        <f t="shared" si="345"/>
        <v/>
      </c>
      <c r="V1133" s="314">
        <f>SUM('RES. CENTRAL PARK:RUA_FINAL'!N1133)</f>
        <v>0</v>
      </c>
      <c r="W1133" s="315">
        <f t="shared" si="346"/>
        <v>0</v>
      </c>
    </row>
    <row r="1134" spans="1:23" ht="30" hidden="1" customHeight="1" x14ac:dyDescent="0.2">
      <c r="A1134" s="63">
        <v>95753</v>
      </c>
      <c r="B1134" s="895">
        <v>95753</v>
      </c>
      <c r="C1134" s="896" t="s">
        <v>596</v>
      </c>
      <c r="D1134" s="906" t="s">
        <v>1064</v>
      </c>
      <c r="E1134" s="907"/>
      <c r="F1134" s="908"/>
      <c r="G1134" s="912"/>
      <c r="H1134" s="901">
        <v>7.96</v>
      </c>
      <c r="I1134" s="901">
        <f t="shared" si="340"/>
        <v>7.96</v>
      </c>
      <c r="J1134" s="902">
        <f t="shared" si="339"/>
        <v>9.56</v>
      </c>
      <c r="K1134" s="903" t="s">
        <v>1516</v>
      </c>
      <c r="L1134" s="904">
        <f>ROUND(SUM('RES. CENTRAL PARK:RUA_FINAL'!L1134),2)</f>
        <v>0</v>
      </c>
      <c r="M1134" s="904">
        <f t="shared" si="341"/>
        <v>0</v>
      </c>
      <c r="N1134" s="893">
        <f t="shared" si="342"/>
        <v>0</v>
      </c>
      <c r="O1134" s="905"/>
      <c r="Q1134" s="317" t="str">
        <f t="shared" si="343"/>
        <v/>
      </c>
      <c r="R1134" s="317" t="str">
        <f t="shared" si="344"/>
        <v/>
      </c>
      <c r="S1134" s="317" t="str">
        <f t="shared" si="345"/>
        <v/>
      </c>
      <c r="V1134" s="314">
        <f>SUM('RES. CENTRAL PARK:RUA_FINAL'!N1134)</f>
        <v>0</v>
      </c>
      <c r="W1134" s="315">
        <f t="shared" si="346"/>
        <v>0</v>
      </c>
    </row>
    <row r="1135" spans="1:23" ht="30" hidden="1" customHeight="1" x14ac:dyDescent="0.2">
      <c r="A1135" s="63">
        <v>95754</v>
      </c>
      <c r="B1135" s="895">
        <v>95754</v>
      </c>
      <c r="C1135" s="896" t="s">
        <v>596</v>
      </c>
      <c r="D1135" s="906" t="s">
        <v>1065</v>
      </c>
      <c r="E1135" s="907"/>
      <c r="F1135" s="908"/>
      <c r="G1135" s="912"/>
      <c r="H1135" s="901">
        <v>9.91</v>
      </c>
      <c r="I1135" s="901">
        <f t="shared" si="340"/>
        <v>9.91</v>
      </c>
      <c r="J1135" s="902">
        <f t="shared" si="339"/>
        <v>11.9</v>
      </c>
      <c r="K1135" s="903" t="s">
        <v>1516</v>
      </c>
      <c r="L1135" s="904">
        <f>ROUND(SUM('RES. CENTRAL PARK:RUA_FINAL'!L1135),2)</f>
        <v>0</v>
      </c>
      <c r="M1135" s="904">
        <f t="shared" si="341"/>
        <v>0</v>
      </c>
      <c r="N1135" s="893">
        <f t="shared" si="342"/>
        <v>0</v>
      </c>
      <c r="O1135" s="905"/>
      <c r="Q1135" s="317" t="str">
        <f t="shared" si="343"/>
        <v/>
      </c>
      <c r="R1135" s="317" t="str">
        <f t="shared" si="344"/>
        <v/>
      </c>
      <c r="S1135" s="317" t="str">
        <f t="shared" si="345"/>
        <v/>
      </c>
      <c r="V1135" s="314">
        <f>SUM('RES. CENTRAL PARK:RUA_FINAL'!N1135)</f>
        <v>0</v>
      </c>
      <c r="W1135" s="315">
        <f t="shared" si="346"/>
        <v>0</v>
      </c>
    </row>
    <row r="1136" spans="1:23" ht="30" hidden="1" customHeight="1" x14ac:dyDescent="0.2">
      <c r="A1136" s="63">
        <v>95755</v>
      </c>
      <c r="B1136" s="895">
        <v>95755</v>
      </c>
      <c r="C1136" s="896" t="s">
        <v>596</v>
      </c>
      <c r="D1136" s="906" t="s">
        <v>1066</v>
      </c>
      <c r="E1136" s="907"/>
      <c r="F1136" s="908"/>
      <c r="G1136" s="912"/>
      <c r="H1136" s="901">
        <v>14.25</v>
      </c>
      <c r="I1136" s="901">
        <f t="shared" si="340"/>
        <v>14.25</v>
      </c>
      <c r="J1136" s="902">
        <f t="shared" si="339"/>
        <v>17.11</v>
      </c>
      <c r="K1136" s="903" t="s">
        <v>1516</v>
      </c>
      <c r="L1136" s="904">
        <f>ROUND(SUM('RES. CENTRAL PARK:RUA_FINAL'!L1136),2)</f>
        <v>0</v>
      </c>
      <c r="M1136" s="904">
        <f t="shared" si="341"/>
        <v>0</v>
      </c>
      <c r="N1136" s="893">
        <f t="shared" si="342"/>
        <v>0</v>
      </c>
      <c r="O1136" s="905"/>
      <c r="Q1136" s="317" t="str">
        <f t="shared" si="343"/>
        <v/>
      </c>
      <c r="R1136" s="317" t="str">
        <f t="shared" si="344"/>
        <v/>
      </c>
      <c r="S1136" s="317" t="str">
        <f t="shared" si="345"/>
        <v/>
      </c>
      <c r="V1136" s="314">
        <f>SUM('RES. CENTRAL PARK:RUA_FINAL'!N1136)</f>
        <v>0</v>
      </c>
      <c r="W1136" s="315">
        <f t="shared" si="346"/>
        <v>0</v>
      </c>
    </row>
    <row r="1137" spans="1:23" ht="30" hidden="1" customHeight="1" x14ac:dyDescent="0.2">
      <c r="A1137" s="63">
        <v>95756</v>
      </c>
      <c r="B1137" s="895">
        <v>95756</v>
      </c>
      <c r="C1137" s="896" t="s">
        <v>596</v>
      </c>
      <c r="D1137" s="906" t="s">
        <v>1067</v>
      </c>
      <c r="E1137" s="907"/>
      <c r="F1137" s="908"/>
      <c r="G1137" s="912"/>
      <c r="H1137" s="901">
        <v>18.989999999999998</v>
      </c>
      <c r="I1137" s="901">
        <f t="shared" si="340"/>
        <v>18.989999999999998</v>
      </c>
      <c r="J1137" s="902">
        <f t="shared" si="339"/>
        <v>22.8</v>
      </c>
      <c r="K1137" s="903" t="s">
        <v>1516</v>
      </c>
      <c r="L1137" s="904">
        <f>ROUND(SUM('RES. CENTRAL PARK:RUA_FINAL'!L1137),2)</f>
        <v>0</v>
      </c>
      <c r="M1137" s="904">
        <f t="shared" si="341"/>
        <v>0</v>
      </c>
      <c r="N1137" s="893">
        <f t="shared" si="342"/>
        <v>0</v>
      </c>
      <c r="O1137" s="905"/>
      <c r="Q1137" s="317" t="str">
        <f t="shared" si="343"/>
        <v/>
      </c>
      <c r="R1137" s="317" t="str">
        <f t="shared" si="344"/>
        <v/>
      </c>
      <c r="S1137" s="317" t="str">
        <f t="shared" si="345"/>
        <v/>
      </c>
      <c r="V1137" s="314">
        <f>SUM('RES. CENTRAL PARK:RUA_FINAL'!N1137)</f>
        <v>0</v>
      </c>
      <c r="W1137" s="315">
        <f t="shared" si="346"/>
        <v>0</v>
      </c>
    </row>
    <row r="1138" spans="1:23" ht="30" hidden="1" customHeight="1" x14ac:dyDescent="0.2">
      <c r="A1138" s="63">
        <v>95757</v>
      </c>
      <c r="B1138" s="895">
        <v>95757</v>
      </c>
      <c r="C1138" s="896" t="s">
        <v>596</v>
      </c>
      <c r="D1138" s="906" t="s">
        <v>1068</v>
      </c>
      <c r="E1138" s="907"/>
      <c r="F1138" s="908"/>
      <c r="G1138" s="912"/>
      <c r="H1138" s="901">
        <v>12.01</v>
      </c>
      <c r="I1138" s="901">
        <f t="shared" si="340"/>
        <v>12.01</v>
      </c>
      <c r="J1138" s="902">
        <f t="shared" si="339"/>
        <v>14.42</v>
      </c>
      <c r="K1138" s="903" t="s">
        <v>1516</v>
      </c>
      <c r="L1138" s="904">
        <f>ROUND(SUM('RES. CENTRAL PARK:RUA_FINAL'!L1138),2)</f>
        <v>0</v>
      </c>
      <c r="M1138" s="904">
        <f t="shared" si="341"/>
        <v>0</v>
      </c>
      <c r="N1138" s="893">
        <f t="shared" si="342"/>
        <v>0</v>
      </c>
      <c r="O1138" s="905"/>
      <c r="Q1138" s="317" t="str">
        <f t="shared" si="343"/>
        <v/>
      </c>
      <c r="R1138" s="317" t="str">
        <f t="shared" si="344"/>
        <v/>
      </c>
      <c r="S1138" s="317" t="str">
        <f t="shared" si="345"/>
        <v/>
      </c>
      <c r="V1138" s="314">
        <f>SUM('RES. CENTRAL PARK:RUA_FINAL'!N1138)</f>
        <v>0</v>
      </c>
      <c r="W1138" s="315">
        <f t="shared" si="346"/>
        <v>0</v>
      </c>
    </row>
    <row r="1139" spans="1:23" ht="30" hidden="1" customHeight="1" x14ac:dyDescent="0.2">
      <c r="A1139" s="63">
        <v>95758</v>
      </c>
      <c r="B1139" s="895">
        <v>95758</v>
      </c>
      <c r="C1139" s="896" t="s">
        <v>596</v>
      </c>
      <c r="D1139" s="906" t="s">
        <v>1069</v>
      </c>
      <c r="E1139" s="907"/>
      <c r="F1139" s="908"/>
      <c r="G1139" s="912"/>
      <c r="H1139" s="901">
        <v>13.5</v>
      </c>
      <c r="I1139" s="901">
        <f t="shared" si="340"/>
        <v>13.5</v>
      </c>
      <c r="J1139" s="902">
        <f t="shared" si="339"/>
        <v>16.21</v>
      </c>
      <c r="K1139" s="903" t="s">
        <v>1516</v>
      </c>
      <c r="L1139" s="904">
        <f>ROUND(SUM('RES. CENTRAL PARK:RUA_FINAL'!L1139),2)</f>
        <v>0</v>
      </c>
      <c r="M1139" s="904">
        <f t="shared" si="341"/>
        <v>0</v>
      </c>
      <c r="N1139" s="893">
        <f t="shared" si="342"/>
        <v>0</v>
      </c>
      <c r="O1139" s="905"/>
      <c r="Q1139" s="317" t="str">
        <f t="shared" si="343"/>
        <v/>
      </c>
      <c r="R1139" s="317" t="str">
        <f t="shared" si="344"/>
        <v/>
      </c>
      <c r="S1139" s="317" t="str">
        <f t="shared" si="345"/>
        <v/>
      </c>
      <c r="V1139" s="314">
        <f>SUM('RES. CENTRAL PARK:RUA_FINAL'!N1139)</f>
        <v>0</v>
      </c>
      <c r="W1139" s="315">
        <f t="shared" si="346"/>
        <v>0</v>
      </c>
    </row>
    <row r="1140" spans="1:23" ht="30" hidden="1" customHeight="1" x14ac:dyDescent="0.2">
      <c r="A1140" s="63">
        <v>95759</v>
      </c>
      <c r="B1140" s="895">
        <v>95759</v>
      </c>
      <c r="C1140" s="896" t="s">
        <v>596</v>
      </c>
      <c r="D1140" s="906" t="s">
        <v>1070</v>
      </c>
      <c r="E1140" s="907"/>
      <c r="F1140" s="908"/>
      <c r="G1140" s="912"/>
      <c r="H1140" s="901">
        <v>17.16</v>
      </c>
      <c r="I1140" s="901">
        <f t="shared" si="340"/>
        <v>17.16</v>
      </c>
      <c r="J1140" s="902">
        <f t="shared" si="339"/>
        <v>20.6</v>
      </c>
      <c r="K1140" s="903" t="s">
        <v>1516</v>
      </c>
      <c r="L1140" s="904">
        <f>ROUND(SUM('RES. CENTRAL PARK:RUA_FINAL'!L1140),2)</f>
        <v>0</v>
      </c>
      <c r="M1140" s="904">
        <f t="shared" si="341"/>
        <v>0</v>
      </c>
      <c r="N1140" s="893">
        <f t="shared" si="342"/>
        <v>0</v>
      </c>
      <c r="O1140" s="905"/>
      <c r="Q1140" s="317" t="str">
        <f t="shared" si="343"/>
        <v/>
      </c>
      <c r="R1140" s="317" t="str">
        <f t="shared" si="344"/>
        <v/>
      </c>
      <c r="S1140" s="317" t="str">
        <f t="shared" si="345"/>
        <v/>
      </c>
      <c r="V1140" s="314">
        <f>SUM('RES. CENTRAL PARK:RUA_FINAL'!N1140)</f>
        <v>0</v>
      </c>
      <c r="W1140" s="315">
        <f t="shared" si="346"/>
        <v>0</v>
      </c>
    </row>
    <row r="1141" spans="1:23" ht="30" hidden="1" customHeight="1" x14ac:dyDescent="0.2">
      <c r="A1141" s="63">
        <v>95760</v>
      </c>
      <c r="B1141" s="895">
        <v>95760</v>
      </c>
      <c r="C1141" s="896" t="s">
        <v>596</v>
      </c>
      <c r="D1141" s="906" t="s">
        <v>1071</v>
      </c>
      <c r="E1141" s="907"/>
      <c r="F1141" s="908"/>
      <c r="G1141" s="912"/>
      <c r="H1141" s="901">
        <v>21.11</v>
      </c>
      <c r="I1141" s="901">
        <f t="shared" si="340"/>
        <v>21.11</v>
      </c>
      <c r="J1141" s="902">
        <f t="shared" si="339"/>
        <v>25.35</v>
      </c>
      <c r="K1141" s="903" t="s">
        <v>1516</v>
      </c>
      <c r="L1141" s="904">
        <f>ROUND(SUM('RES. CENTRAL PARK:RUA_FINAL'!L1141),2)</f>
        <v>0</v>
      </c>
      <c r="M1141" s="904">
        <f t="shared" si="341"/>
        <v>0</v>
      </c>
      <c r="N1141" s="893">
        <f t="shared" si="342"/>
        <v>0</v>
      </c>
      <c r="O1141" s="905"/>
      <c r="Q1141" s="317" t="str">
        <f t="shared" si="343"/>
        <v/>
      </c>
      <c r="R1141" s="317" t="str">
        <f t="shared" si="344"/>
        <v/>
      </c>
      <c r="S1141" s="317" t="str">
        <f t="shared" si="345"/>
        <v/>
      </c>
      <c r="V1141" s="314">
        <f>SUM('RES. CENTRAL PARK:RUA_FINAL'!N1141)</f>
        <v>0</v>
      </c>
      <c r="W1141" s="315">
        <f t="shared" si="346"/>
        <v>0</v>
      </c>
    </row>
    <row r="1142" spans="1:23" ht="30" hidden="1" customHeight="1" x14ac:dyDescent="0.2">
      <c r="A1142" s="63">
        <v>91839</v>
      </c>
      <c r="B1142" s="895">
        <v>91839</v>
      </c>
      <c r="C1142" s="896" t="s">
        <v>596</v>
      </c>
      <c r="D1142" s="906" t="s">
        <v>1072</v>
      </c>
      <c r="E1142" s="907"/>
      <c r="F1142" s="908"/>
      <c r="G1142" s="912"/>
      <c r="H1142" s="901">
        <v>12.12</v>
      </c>
      <c r="I1142" s="901">
        <f t="shared" si="340"/>
        <v>12.12</v>
      </c>
      <c r="J1142" s="902">
        <f t="shared" si="339"/>
        <v>14.55</v>
      </c>
      <c r="K1142" s="903" t="s">
        <v>62</v>
      </c>
      <c r="L1142" s="904">
        <f>ROUND(SUM('RES. CENTRAL PARK:RUA_FINAL'!L1142),2)</f>
        <v>0</v>
      </c>
      <c r="M1142" s="904">
        <f t="shared" si="341"/>
        <v>0</v>
      </c>
      <c r="N1142" s="893">
        <f t="shared" si="342"/>
        <v>0</v>
      </c>
      <c r="O1142" s="905"/>
      <c r="Q1142" s="317" t="str">
        <f t="shared" si="343"/>
        <v/>
      </c>
      <c r="R1142" s="317" t="str">
        <f t="shared" si="344"/>
        <v/>
      </c>
      <c r="S1142" s="317" t="str">
        <f t="shared" si="345"/>
        <v/>
      </c>
      <c r="V1142" s="314">
        <f>SUM('RES. CENTRAL PARK:RUA_FINAL'!N1142)</f>
        <v>0</v>
      </c>
      <c r="W1142" s="315">
        <f t="shared" si="346"/>
        <v>0</v>
      </c>
    </row>
    <row r="1143" spans="1:23" ht="30" hidden="1" customHeight="1" x14ac:dyDescent="0.2">
      <c r="A1143" s="63">
        <v>91840</v>
      </c>
      <c r="B1143" s="895">
        <v>91840</v>
      </c>
      <c r="C1143" s="896" t="s">
        <v>596</v>
      </c>
      <c r="D1143" s="906" t="s">
        <v>1073</v>
      </c>
      <c r="E1143" s="907"/>
      <c r="F1143" s="908"/>
      <c r="G1143" s="912"/>
      <c r="H1143" s="901">
        <v>15.07</v>
      </c>
      <c r="I1143" s="901">
        <f t="shared" si="340"/>
        <v>15.07</v>
      </c>
      <c r="J1143" s="902">
        <f t="shared" si="339"/>
        <v>18.09</v>
      </c>
      <c r="K1143" s="903" t="s">
        <v>62</v>
      </c>
      <c r="L1143" s="904">
        <f>ROUND(SUM('RES. CENTRAL PARK:RUA_FINAL'!L1143),2)</f>
        <v>0</v>
      </c>
      <c r="M1143" s="904">
        <f t="shared" si="341"/>
        <v>0</v>
      </c>
      <c r="N1143" s="893">
        <f t="shared" si="342"/>
        <v>0</v>
      </c>
      <c r="O1143" s="905"/>
      <c r="Q1143" s="317" t="str">
        <f t="shared" si="343"/>
        <v/>
      </c>
      <c r="R1143" s="317" t="str">
        <f t="shared" si="344"/>
        <v/>
      </c>
      <c r="S1143" s="317" t="str">
        <f t="shared" si="345"/>
        <v/>
      </c>
      <c r="V1143" s="314">
        <f>SUM('RES. CENTRAL PARK:RUA_FINAL'!N1143)</f>
        <v>0</v>
      </c>
      <c r="W1143" s="315">
        <f t="shared" si="346"/>
        <v>0</v>
      </c>
    </row>
    <row r="1144" spans="1:23" ht="30" hidden="1" customHeight="1" x14ac:dyDescent="0.2">
      <c r="A1144" s="63">
        <v>91841</v>
      </c>
      <c r="B1144" s="895">
        <v>91841</v>
      </c>
      <c r="C1144" s="896" t="s">
        <v>596</v>
      </c>
      <c r="D1144" s="906" t="s">
        <v>1074</v>
      </c>
      <c r="E1144" s="907"/>
      <c r="F1144" s="908"/>
      <c r="G1144" s="912"/>
      <c r="H1144" s="901">
        <v>14.37</v>
      </c>
      <c r="I1144" s="901">
        <f t="shared" si="340"/>
        <v>14.37</v>
      </c>
      <c r="J1144" s="902">
        <f t="shared" si="339"/>
        <v>17.25</v>
      </c>
      <c r="K1144" s="903" t="s">
        <v>62</v>
      </c>
      <c r="L1144" s="904">
        <f>ROUND(SUM('RES. CENTRAL PARK:RUA_FINAL'!L1144),2)</f>
        <v>0</v>
      </c>
      <c r="M1144" s="904">
        <f t="shared" si="341"/>
        <v>0</v>
      </c>
      <c r="N1144" s="893">
        <f t="shared" si="342"/>
        <v>0</v>
      </c>
      <c r="O1144" s="905"/>
      <c r="Q1144" s="317" t="str">
        <f t="shared" si="343"/>
        <v/>
      </c>
      <c r="R1144" s="317" t="str">
        <f t="shared" si="344"/>
        <v/>
      </c>
      <c r="S1144" s="317" t="str">
        <f t="shared" si="345"/>
        <v/>
      </c>
      <c r="V1144" s="314">
        <f>SUM('RES. CENTRAL PARK:RUA_FINAL'!N1144)</f>
        <v>0</v>
      </c>
      <c r="W1144" s="315">
        <f t="shared" si="346"/>
        <v>0</v>
      </c>
    </row>
    <row r="1145" spans="1:23" ht="30" hidden="1" customHeight="1" x14ac:dyDescent="0.2">
      <c r="A1145" s="63">
        <v>91849</v>
      </c>
      <c r="B1145" s="895">
        <v>91849</v>
      </c>
      <c r="C1145" s="896" t="s">
        <v>596</v>
      </c>
      <c r="D1145" s="906" t="s">
        <v>1075</v>
      </c>
      <c r="E1145" s="907"/>
      <c r="F1145" s="908"/>
      <c r="G1145" s="912"/>
      <c r="H1145" s="901">
        <v>9.49</v>
      </c>
      <c r="I1145" s="901">
        <f t="shared" si="340"/>
        <v>9.49</v>
      </c>
      <c r="J1145" s="902">
        <f t="shared" si="339"/>
        <v>11.39</v>
      </c>
      <c r="K1145" s="903" t="s">
        <v>62</v>
      </c>
      <c r="L1145" s="904">
        <f>ROUND(SUM('RES. CENTRAL PARK:RUA_FINAL'!L1145),2)</f>
        <v>0</v>
      </c>
      <c r="M1145" s="904">
        <f t="shared" si="341"/>
        <v>0</v>
      </c>
      <c r="N1145" s="893">
        <f t="shared" si="342"/>
        <v>0</v>
      </c>
      <c r="O1145" s="905"/>
      <c r="Q1145" s="317" t="str">
        <f t="shared" si="343"/>
        <v/>
      </c>
      <c r="R1145" s="317" t="str">
        <f t="shared" si="344"/>
        <v/>
      </c>
      <c r="S1145" s="317" t="str">
        <f t="shared" si="345"/>
        <v/>
      </c>
      <c r="V1145" s="314">
        <f>SUM('RES. CENTRAL PARK:RUA_FINAL'!N1145)</f>
        <v>0</v>
      </c>
      <c r="W1145" s="315">
        <f t="shared" si="346"/>
        <v>0</v>
      </c>
    </row>
    <row r="1146" spans="1:23" ht="30" hidden="1" customHeight="1" x14ac:dyDescent="0.2">
      <c r="A1146" s="63">
        <v>91850</v>
      </c>
      <c r="B1146" s="895">
        <v>91850</v>
      </c>
      <c r="C1146" s="896" t="s">
        <v>596</v>
      </c>
      <c r="D1146" s="906" t="s">
        <v>1076</v>
      </c>
      <c r="E1146" s="907"/>
      <c r="F1146" s="908"/>
      <c r="G1146" s="912"/>
      <c r="H1146" s="901">
        <v>12.51</v>
      </c>
      <c r="I1146" s="901">
        <f t="shared" si="340"/>
        <v>12.51</v>
      </c>
      <c r="J1146" s="902">
        <f t="shared" si="339"/>
        <v>15.02</v>
      </c>
      <c r="K1146" s="903" t="s">
        <v>62</v>
      </c>
      <c r="L1146" s="904">
        <f>ROUND(SUM('RES. CENTRAL PARK:RUA_FINAL'!L1146),2)</f>
        <v>0</v>
      </c>
      <c r="M1146" s="904">
        <f t="shared" si="341"/>
        <v>0</v>
      </c>
      <c r="N1146" s="893">
        <f t="shared" si="342"/>
        <v>0</v>
      </c>
      <c r="O1146" s="905"/>
      <c r="Q1146" s="317" t="str">
        <f t="shared" si="343"/>
        <v/>
      </c>
      <c r="R1146" s="317" t="str">
        <f t="shared" si="344"/>
        <v/>
      </c>
      <c r="S1146" s="317" t="str">
        <f t="shared" si="345"/>
        <v/>
      </c>
      <c r="V1146" s="314">
        <f>SUM('RES. CENTRAL PARK:RUA_FINAL'!N1146)</f>
        <v>0</v>
      </c>
      <c r="W1146" s="315">
        <f t="shared" si="346"/>
        <v>0</v>
      </c>
    </row>
    <row r="1147" spans="1:23" ht="30" hidden="1" customHeight="1" x14ac:dyDescent="0.2">
      <c r="A1147" s="63">
        <v>91851</v>
      </c>
      <c r="B1147" s="895">
        <v>91851</v>
      </c>
      <c r="C1147" s="896" t="s">
        <v>596</v>
      </c>
      <c r="D1147" s="906" t="s">
        <v>1077</v>
      </c>
      <c r="E1147" s="907"/>
      <c r="F1147" s="908"/>
      <c r="G1147" s="912"/>
      <c r="H1147" s="901">
        <v>11.81</v>
      </c>
      <c r="I1147" s="901">
        <f t="shared" si="340"/>
        <v>11.81</v>
      </c>
      <c r="J1147" s="902">
        <f t="shared" si="339"/>
        <v>14.18</v>
      </c>
      <c r="K1147" s="903" t="s">
        <v>62</v>
      </c>
      <c r="L1147" s="904">
        <f>ROUND(SUM('RES. CENTRAL PARK:RUA_FINAL'!L1147),2)</f>
        <v>0</v>
      </c>
      <c r="M1147" s="904">
        <f t="shared" si="341"/>
        <v>0</v>
      </c>
      <c r="N1147" s="893">
        <f t="shared" si="342"/>
        <v>0</v>
      </c>
      <c r="O1147" s="905"/>
      <c r="Q1147" s="317" t="str">
        <f t="shared" si="343"/>
        <v/>
      </c>
      <c r="R1147" s="317" t="str">
        <f t="shared" si="344"/>
        <v/>
      </c>
      <c r="S1147" s="317" t="str">
        <f t="shared" si="345"/>
        <v/>
      </c>
      <c r="V1147" s="314">
        <f>SUM('RES. CENTRAL PARK:RUA_FINAL'!N1147)</f>
        <v>0</v>
      </c>
      <c r="W1147" s="315">
        <f t="shared" si="346"/>
        <v>0</v>
      </c>
    </row>
    <row r="1148" spans="1:23" ht="30" hidden="1" customHeight="1" x14ac:dyDescent="0.2">
      <c r="A1148" s="63">
        <v>91859</v>
      </c>
      <c r="B1148" s="895">
        <v>91859</v>
      </c>
      <c r="C1148" s="896" t="s">
        <v>596</v>
      </c>
      <c r="D1148" s="906" t="s">
        <v>1078</v>
      </c>
      <c r="E1148" s="907"/>
      <c r="F1148" s="908"/>
      <c r="G1148" s="912"/>
      <c r="H1148" s="901">
        <v>12.63</v>
      </c>
      <c r="I1148" s="901">
        <f t="shared" si="340"/>
        <v>12.63</v>
      </c>
      <c r="J1148" s="902">
        <f t="shared" si="339"/>
        <v>15.16</v>
      </c>
      <c r="K1148" s="903" t="s">
        <v>62</v>
      </c>
      <c r="L1148" s="904">
        <f>ROUND(SUM('RES. CENTRAL PARK:RUA_FINAL'!L1148),2)</f>
        <v>0</v>
      </c>
      <c r="M1148" s="904">
        <f t="shared" si="341"/>
        <v>0</v>
      </c>
      <c r="N1148" s="893">
        <f t="shared" si="342"/>
        <v>0</v>
      </c>
      <c r="O1148" s="905"/>
      <c r="Q1148" s="317" t="str">
        <f t="shared" si="343"/>
        <v/>
      </c>
      <c r="R1148" s="317" t="str">
        <f t="shared" si="344"/>
        <v/>
      </c>
      <c r="S1148" s="317" t="str">
        <f t="shared" si="345"/>
        <v/>
      </c>
      <c r="V1148" s="314">
        <f>SUM('RES. CENTRAL PARK:RUA_FINAL'!N1148)</f>
        <v>0</v>
      </c>
      <c r="W1148" s="315">
        <f t="shared" si="346"/>
        <v>0</v>
      </c>
    </row>
    <row r="1149" spans="1:23" ht="30" hidden="1" customHeight="1" x14ac:dyDescent="0.2">
      <c r="A1149" s="63">
        <v>91860</v>
      </c>
      <c r="B1149" s="895">
        <v>91860</v>
      </c>
      <c r="C1149" s="896" t="s">
        <v>596</v>
      </c>
      <c r="D1149" s="906" t="s">
        <v>1079</v>
      </c>
      <c r="E1149" s="907"/>
      <c r="F1149" s="908"/>
      <c r="G1149" s="912"/>
      <c r="H1149" s="901">
        <v>15.53</v>
      </c>
      <c r="I1149" s="901">
        <f t="shared" si="340"/>
        <v>15.53</v>
      </c>
      <c r="J1149" s="902">
        <f t="shared" si="339"/>
        <v>18.649999999999999</v>
      </c>
      <c r="K1149" s="903" t="s">
        <v>62</v>
      </c>
      <c r="L1149" s="904">
        <f>ROUND(SUM('RES. CENTRAL PARK:RUA_FINAL'!L1149),2)</f>
        <v>0</v>
      </c>
      <c r="M1149" s="904">
        <f t="shared" si="341"/>
        <v>0</v>
      </c>
      <c r="N1149" s="893">
        <f t="shared" si="342"/>
        <v>0</v>
      </c>
      <c r="O1149" s="905"/>
      <c r="Q1149" s="317" t="str">
        <f t="shared" si="343"/>
        <v/>
      </c>
      <c r="R1149" s="317" t="str">
        <f t="shared" si="344"/>
        <v/>
      </c>
      <c r="S1149" s="317" t="str">
        <f t="shared" si="345"/>
        <v/>
      </c>
      <c r="V1149" s="314">
        <f>SUM('RES. CENTRAL PARK:RUA_FINAL'!N1149)</f>
        <v>0</v>
      </c>
      <c r="W1149" s="315">
        <f t="shared" si="346"/>
        <v>0</v>
      </c>
    </row>
    <row r="1150" spans="1:23" ht="30" hidden="1" customHeight="1" x14ac:dyDescent="0.2">
      <c r="A1150" s="63">
        <v>91861</v>
      </c>
      <c r="B1150" s="895">
        <v>91861</v>
      </c>
      <c r="C1150" s="896" t="s">
        <v>596</v>
      </c>
      <c r="D1150" s="906" t="s">
        <v>1080</v>
      </c>
      <c r="E1150" s="907"/>
      <c r="F1150" s="908"/>
      <c r="G1150" s="912"/>
      <c r="H1150" s="901">
        <v>14.88</v>
      </c>
      <c r="I1150" s="901">
        <f t="shared" si="340"/>
        <v>14.88</v>
      </c>
      <c r="J1150" s="902">
        <f t="shared" si="339"/>
        <v>17.87</v>
      </c>
      <c r="K1150" s="903" t="s">
        <v>62</v>
      </c>
      <c r="L1150" s="904">
        <f>ROUND(SUM('RES. CENTRAL PARK:RUA_FINAL'!L1150),2)</f>
        <v>0</v>
      </c>
      <c r="M1150" s="904">
        <f t="shared" si="341"/>
        <v>0</v>
      </c>
      <c r="N1150" s="893">
        <f t="shared" si="342"/>
        <v>0</v>
      </c>
      <c r="O1150" s="905"/>
      <c r="Q1150" s="317" t="str">
        <f t="shared" si="343"/>
        <v/>
      </c>
      <c r="R1150" s="317" t="str">
        <f t="shared" si="344"/>
        <v/>
      </c>
      <c r="S1150" s="317" t="str">
        <f t="shared" si="345"/>
        <v/>
      </c>
      <c r="V1150" s="314">
        <f>SUM('RES. CENTRAL PARK:RUA_FINAL'!N1150)</f>
        <v>0</v>
      </c>
      <c r="W1150" s="315">
        <f t="shared" si="346"/>
        <v>0</v>
      </c>
    </row>
    <row r="1151" spans="1:23" ht="30" hidden="1" customHeight="1" x14ac:dyDescent="0.2">
      <c r="A1151" s="63">
        <v>97667</v>
      </c>
      <c r="B1151" s="895">
        <v>97667</v>
      </c>
      <c r="C1151" s="896" t="s">
        <v>596</v>
      </c>
      <c r="D1151" s="906" t="s">
        <v>1081</v>
      </c>
      <c r="E1151" s="907"/>
      <c r="F1151" s="908"/>
      <c r="G1151" s="912"/>
      <c r="H1151" s="901">
        <v>9.3000000000000007</v>
      </c>
      <c r="I1151" s="901">
        <f t="shared" si="340"/>
        <v>9.3000000000000007</v>
      </c>
      <c r="J1151" s="902">
        <f t="shared" si="339"/>
        <v>11.17</v>
      </c>
      <c r="K1151" s="903" t="s">
        <v>62</v>
      </c>
      <c r="L1151" s="904">
        <f>ROUND(SUM('RES. CENTRAL PARK:RUA_FINAL'!L1151),2)</f>
        <v>0</v>
      </c>
      <c r="M1151" s="904">
        <f t="shared" si="341"/>
        <v>0</v>
      </c>
      <c r="N1151" s="893">
        <f t="shared" si="342"/>
        <v>0</v>
      </c>
      <c r="O1151" s="905"/>
      <c r="Q1151" s="317" t="str">
        <f t="shared" si="343"/>
        <v/>
      </c>
      <c r="R1151" s="317" t="str">
        <f t="shared" si="344"/>
        <v/>
      </c>
      <c r="S1151" s="317" t="str">
        <f t="shared" si="345"/>
        <v/>
      </c>
      <c r="V1151" s="314">
        <f>SUM('RES. CENTRAL PARK:RUA_FINAL'!N1151)</f>
        <v>0</v>
      </c>
      <c r="W1151" s="315">
        <f t="shared" si="346"/>
        <v>0</v>
      </c>
    </row>
    <row r="1152" spans="1:23" ht="30" hidden="1" customHeight="1" x14ac:dyDescent="0.2">
      <c r="A1152" s="63">
        <v>97668</v>
      </c>
      <c r="B1152" s="895">
        <v>97668</v>
      </c>
      <c r="C1152" s="896" t="s">
        <v>596</v>
      </c>
      <c r="D1152" s="906" t="s">
        <v>1082</v>
      </c>
      <c r="E1152" s="907"/>
      <c r="F1152" s="908"/>
      <c r="G1152" s="912"/>
      <c r="H1152" s="901">
        <v>13.25</v>
      </c>
      <c r="I1152" s="901">
        <f t="shared" si="340"/>
        <v>13.25</v>
      </c>
      <c r="J1152" s="902">
        <f t="shared" si="339"/>
        <v>15.91</v>
      </c>
      <c r="K1152" s="903" t="s">
        <v>62</v>
      </c>
      <c r="L1152" s="904">
        <f>ROUND(SUM('RES. CENTRAL PARK:RUA_FINAL'!L1152),2)</f>
        <v>0</v>
      </c>
      <c r="M1152" s="904">
        <f t="shared" si="341"/>
        <v>0</v>
      </c>
      <c r="N1152" s="893">
        <f t="shared" si="342"/>
        <v>0</v>
      </c>
      <c r="O1152" s="905"/>
      <c r="Q1152" s="317" t="str">
        <f t="shared" si="343"/>
        <v/>
      </c>
      <c r="R1152" s="317" t="str">
        <f t="shared" si="344"/>
        <v/>
      </c>
      <c r="S1152" s="317" t="str">
        <f t="shared" si="345"/>
        <v/>
      </c>
      <c r="V1152" s="314">
        <f>SUM('RES. CENTRAL PARK:RUA_FINAL'!N1152)</f>
        <v>0</v>
      </c>
      <c r="W1152" s="315">
        <f t="shared" si="346"/>
        <v>0</v>
      </c>
    </row>
    <row r="1153" spans="1:23" ht="30" hidden="1" customHeight="1" x14ac:dyDescent="0.2">
      <c r="A1153" s="63">
        <v>97669</v>
      </c>
      <c r="B1153" s="895">
        <v>97669</v>
      </c>
      <c r="C1153" s="896" t="s">
        <v>596</v>
      </c>
      <c r="D1153" s="906" t="s">
        <v>1083</v>
      </c>
      <c r="E1153" s="907"/>
      <c r="F1153" s="908"/>
      <c r="G1153" s="912"/>
      <c r="H1153" s="901">
        <v>19.670000000000002</v>
      </c>
      <c r="I1153" s="901">
        <f t="shared" si="340"/>
        <v>19.670000000000002</v>
      </c>
      <c r="J1153" s="902">
        <f t="shared" si="339"/>
        <v>23.62</v>
      </c>
      <c r="K1153" s="903" t="s">
        <v>62</v>
      </c>
      <c r="L1153" s="904">
        <f>ROUND(SUM('RES. CENTRAL PARK:RUA_FINAL'!L1153),2)</f>
        <v>0</v>
      </c>
      <c r="M1153" s="904">
        <f t="shared" si="341"/>
        <v>0</v>
      </c>
      <c r="N1153" s="893">
        <f t="shared" si="342"/>
        <v>0</v>
      </c>
      <c r="O1153" s="905"/>
      <c r="Q1153" s="317" t="str">
        <f t="shared" si="343"/>
        <v/>
      </c>
      <c r="R1153" s="317" t="str">
        <f t="shared" si="344"/>
        <v/>
      </c>
      <c r="S1153" s="317" t="str">
        <f t="shared" si="345"/>
        <v/>
      </c>
      <c r="V1153" s="314">
        <f>SUM('RES. CENTRAL PARK:RUA_FINAL'!N1153)</f>
        <v>0</v>
      </c>
      <c r="W1153" s="315">
        <f t="shared" si="346"/>
        <v>0</v>
      </c>
    </row>
    <row r="1154" spans="1:23" ht="30" hidden="1" customHeight="1" x14ac:dyDescent="0.2">
      <c r="A1154" s="63">
        <v>97670</v>
      </c>
      <c r="B1154" s="895">
        <v>97670</v>
      </c>
      <c r="C1154" s="896" t="s">
        <v>596</v>
      </c>
      <c r="D1154" s="906" t="s">
        <v>1084</v>
      </c>
      <c r="E1154" s="907"/>
      <c r="F1154" s="908"/>
      <c r="G1154" s="912"/>
      <c r="H1154" s="901">
        <v>25.13</v>
      </c>
      <c r="I1154" s="901">
        <f t="shared" si="340"/>
        <v>25.13</v>
      </c>
      <c r="J1154" s="902">
        <f t="shared" si="339"/>
        <v>30.17</v>
      </c>
      <c r="K1154" s="903" t="s">
        <v>62</v>
      </c>
      <c r="L1154" s="904">
        <f>ROUND(SUM('RES. CENTRAL PARK:RUA_FINAL'!L1154),2)</f>
        <v>0</v>
      </c>
      <c r="M1154" s="904">
        <f t="shared" si="341"/>
        <v>0</v>
      </c>
      <c r="N1154" s="893">
        <f t="shared" si="342"/>
        <v>0</v>
      </c>
      <c r="O1154" s="905"/>
      <c r="Q1154" s="317" t="str">
        <f t="shared" si="343"/>
        <v/>
      </c>
      <c r="R1154" s="317" t="str">
        <f t="shared" si="344"/>
        <v/>
      </c>
      <c r="S1154" s="317" t="str">
        <f t="shared" si="345"/>
        <v/>
      </c>
      <c r="V1154" s="314">
        <f>SUM('RES. CENTRAL PARK:RUA_FINAL'!N1154)</f>
        <v>0</v>
      </c>
      <c r="W1154" s="315">
        <f t="shared" si="346"/>
        <v>0</v>
      </c>
    </row>
    <row r="1155" spans="1:23" ht="30" hidden="1" customHeight="1" x14ac:dyDescent="0.2">
      <c r="A1155" s="63">
        <v>91924</v>
      </c>
      <c r="B1155" s="895">
        <v>91924</v>
      </c>
      <c r="C1155" s="896" t="s">
        <v>596</v>
      </c>
      <c r="D1155" s="906" t="s">
        <v>1085</v>
      </c>
      <c r="E1155" s="907"/>
      <c r="F1155" s="908"/>
      <c r="G1155" s="912"/>
      <c r="H1155" s="901">
        <v>3.11</v>
      </c>
      <c r="I1155" s="901">
        <f t="shared" si="340"/>
        <v>3.11</v>
      </c>
      <c r="J1155" s="902">
        <f t="shared" si="339"/>
        <v>3.73</v>
      </c>
      <c r="K1155" s="903" t="s">
        <v>62</v>
      </c>
      <c r="L1155" s="904">
        <f>ROUND(SUM('RES. CENTRAL PARK:RUA_FINAL'!L1155),2)</f>
        <v>0</v>
      </c>
      <c r="M1155" s="904">
        <f t="shared" si="341"/>
        <v>0</v>
      </c>
      <c r="N1155" s="893">
        <f t="shared" si="342"/>
        <v>0</v>
      </c>
      <c r="O1155" s="905"/>
      <c r="Q1155" s="317" t="str">
        <f t="shared" si="343"/>
        <v/>
      </c>
      <c r="R1155" s="317" t="str">
        <f t="shared" si="344"/>
        <v/>
      </c>
      <c r="S1155" s="317" t="str">
        <f t="shared" si="345"/>
        <v/>
      </c>
      <c r="V1155" s="314">
        <f>SUM('RES. CENTRAL PARK:RUA_FINAL'!N1155)</f>
        <v>0</v>
      </c>
      <c r="W1155" s="315">
        <f t="shared" si="346"/>
        <v>0</v>
      </c>
    </row>
    <row r="1156" spans="1:23" ht="30" hidden="1" customHeight="1" x14ac:dyDescent="0.2">
      <c r="A1156" s="63">
        <v>91926</v>
      </c>
      <c r="B1156" s="895">
        <v>91926</v>
      </c>
      <c r="C1156" s="896" t="s">
        <v>596</v>
      </c>
      <c r="D1156" s="906" t="s">
        <v>1086</v>
      </c>
      <c r="E1156" s="907"/>
      <c r="F1156" s="908"/>
      <c r="G1156" s="912"/>
      <c r="H1156" s="901">
        <v>4.42</v>
      </c>
      <c r="I1156" s="901">
        <f t="shared" si="340"/>
        <v>4.42</v>
      </c>
      <c r="J1156" s="902">
        <f t="shared" si="339"/>
        <v>5.31</v>
      </c>
      <c r="K1156" s="903" t="s">
        <v>62</v>
      </c>
      <c r="L1156" s="904">
        <f>ROUND(SUM('RES. CENTRAL PARK:RUA_FINAL'!L1156),2)</f>
        <v>0</v>
      </c>
      <c r="M1156" s="904">
        <f t="shared" si="341"/>
        <v>0</v>
      </c>
      <c r="N1156" s="893">
        <f t="shared" si="342"/>
        <v>0</v>
      </c>
      <c r="O1156" s="905"/>
      <c r="Q1156" s="317" t="str">
        <f t="shared" si="343"/>
        <v/>
      </c>
      <c r="R1156" s="317" t="str">
        <f t="shared" si="344"/>
        <v/>
      </c>
      <c r="S1156" s="317" t="str">
        <f t="shared" si="345"/>
        <v/>
      </c>
      <c r="V1156" s="314">
        <f>SUM('RES. CENTRAL PARK:RUA_FINAL'!N1156)</f>
        <v>0</v>
      </c>
      <c r="W1156" s="315">
        <f t="shared" si="346"/>
        <v>0</v>
      </c>
    </row>
    <row r="1157" spans="1:23" ht="30" hidden="1" customHeight="1" x14ac:dyDescent="0.2">
      <c r="A1157" s="63">
        <v>91928</v>
      </c>
      <c r="B1157" s="895">
        <v>91928</v>
      </c>
      <c r="C1157" s="896" t="s">
        <v>596</v>
      </c>
      <c r="D1157" s="906" t="s">
        <v>1087</v>
      </c>
      <c r="E1157" s="907"/>
      <c r="F1157" s="908"/>
      <c r="G1157" s="912"/>
      <c r="H1157" s="901">
        <v>6.72</v>
      </c>
      <c r="I1157" s="901">
        <f t="shared" si="340"/>
        <v>6.72</v>
      </c>
      <c r="J1157" s="902">
        <f t="shared" si="339"/>
        <v>8.07</v>
      </c>
      <c r="K1157" s="903" t="s">
        <v>62</v>
      </c>
      <c r="L1157" s="904">
        <f>ROUND(SUM('RES. CENTRAL PARK:RUA_FINAL'!L1157),2)</f>
        <v>0</v>
      </c>
      <c r="M1157" s="904">
        <f t="shared" si="341"/>
        <v>0</v>
      </c>
      <c r="N1157" s="893">
        <f t="shared" si="342"/>
        <v>0</v>
      </c>
      <c r="O1157" s="905"/>
      <c r="Q1157" s="317" t="str">
        <f t="shared" si="343"/>
        <v/>
      </c>
      <c r="R1157" s="317" t="str">
        <f t="shared" si="344"/>
        <v/>
      </c>
      <c r="S1157" s="317" t="str">
        <f t="shared" si="345"/>
        <v/>
      </c>
      <c r="V1157" s="314">
        <f>SUM('RES. CENTRAL PARK:RUA_FINAL'!N1157)</f>
        <v>0</v>
      </c>
      <c r="W1157" s="315">
        <f t="shared" si="346"/>
        <v>0</v>
      </c>
    </row>
    <row r="1158" spans="1:23" ht="30" hidden="1" customHeight="1" x14ac:dyDescent="0.2">
      <c r="A1158" s="63">
        <v>91930</v>
      </c>
      <c r="B1158" s="895">
        <v>91930</v>
      </c>
      <c r="C1158" s="896" t="s">
        <v>596</v>
      </c>
      <c r="D1158" s="906" t="s">
        <v>1088</v>
      </c>
      <c r="E1158" s="907"/>
      <c r="F1158" s="908"/>
      <c r="G1158" s="912"/>
      <c r="H1158" s="901">
        <v>9.31</v>
      </c>
      <c r="I1158" s="901">
        <f t="shared" si="340"/>
        <v>9.31</v>
      </c>
      <c r="J1158" s="902">
        <f t="shared" si="339"/>
        <v>11.18</v>
      </c>
      <c r="K1158" s="903" t="s">
        <v>62</v>
      </c>
      <c r="L1158" s="904">
        <f>ROUND(SUM('RES. CENTRAL PARK:RUA_FINAL'!L1158),2)</f>
        <v>0</v>
      </c>
      <c r="M1158" s="904">
        <f t="shared" si="341"/>
        <v>0</v>
      </c>
      <c r="N1158" s="893">
        <f t="shared" si="342"/>
        <v>0</v>
      </c>
      <c r="O1158" s="905"/>
      <c r="Q1158" s="317" t="str">
        <f t="shared" si="343"/>
        <v/>
      </c>
      <c r="R1158" s="317" t="str">
        <f t="shared" si="344"/>
        <v/>
      </c>
      <c r="S1158" s="317" t="str">
        <f t="shared" si="345"/>
        <v/>
      </c>
      <c r="V1158" s="314">
        <f>SUM('RES. CENTRAL PARK:RUA_FINAL'!N1158)</f>
        <v>0</v>
      </c>
      <c r="W1158" s="315">
        <f t="shared" si="346"/>
        <v>0</v>
      </c>
    </row>
    <row r="1159" spans="1:23" ht="30" hidden="1" customHeight="1" x14ac:dyDescent="0.2">
      <c r="A1159" s="63">
        <v>91932</v>
      </c>
      <c r="B1159" s="895">
        <v>91932</v>
      </c>
      <c r="C1159" s="896" t="s">
        <v>596</v>
      </c>
      <c r="D1159" s="906" t="s">
        <v>1089</v>
      </c>
      <c r="E1159" s="907"/>
      <c r="F1159" s="908"/>
      <c r="G1159" s="912"/>
      <c r="H1159" s="901">
        <v>16.420000000000002</v>
      </c>
      <c r="I1159" s="901">
        <f t="shared" si="340"/>
        <v>16.420000000000002</v>
      </c>
      <c r="J1159" s="902">
        <f t="shared" si="339"/>
        <v>19.72</v>
      </c>
      <c r="K1159" s="903" t="s">
        <v>62</v>
      </c>
      <c r="L1159" s="904">
        <f>ROUND(SUM('RES. CENTRAL PARK:RUA_FINAL'!L1159),2)</f>
        <v>0</v>
      </c>
      <c r="M1159" s="904">
        <f t="shared" si="341"/>
        <v>0</v>
      </c>
      <c r="N1159" s="893">
        <f t="shared" si="342"/>
        <v>0</v>
      </c>
      <c r="O1159" s="905"/>
      <c r="Q1159" s="317" t="str">
        <f t="shared" si="343"/>
        <v/>
      </c>
      <c r="R1159" s="317" t="str">
        <f t="shared" si="344"/>
        <v/>
      </c>
      <c r="S1159" s="317" t="str">
        <f t="shared" si="345"/>
        <v/>
      </c>
      <c r="V1159" s="314">
        <f>SUM('RES. CENTRAL PARK:RUA_FINAL'!N1159)</f>
        <v>0</v>
      </c>
      <c r="W1159" s="315">
        <f t="shared" si="346"/>
        <v>0</v>
      </c>
    </row>
    <row r="1160" spans="1:23" ht="30" hidden="1" customHeight="1" x14ac:dyDescent="0.2">
      <c r="A1160" s="63">
        <v>91934</v>
      </c>
      <c r="B1160" s="895">
        <v>91934</v>
      </c>
      <c r="C1160" s="896" t="s">
        <v>596</v>
      </c>
      <c r="D1160" s="906" t="s">
        <v>1090</v>
      </c>
      <c r="E1160" s="907"/>
      <c r="F1160" s="908"/>
      <c r="G1160" s="912"/>
      <c r="H1160" s="901">
        <v>23.75</v>
      </c>
      <c r="I1160" s="901">
        <f t="shared" si="340"/>
        <v>23.75</v>
      </c>
      <c r="J1160" s="902">
        <f t="shared" si="339"/>
        <v>28.52</v>
      </c>
      <c r="K1160" s="903" t="s">
        <v>62</v>
      </c>
      <c r="L1160" s="904">
        <f>ROUND(SUM('RES. CENTRAL PARK:RUA_FINAL'!L1160),2)</f>
        <v>0</v>
      </c>
      <c r="M1160" s="904">
        <f t="shared" si="341"/>
        <v>0</v>
      </c>
      <c r="N1160" s="893">
        <f t="shared" si="342"/>
        <v>0</v>
      </c>
      <c r="O1160" s="905"/>
      <c r="Q1160" s="317" t="str">
        <f t="shared" si="343"/>
        <v/>
      </c>
      <c r="R1160" s="317" t="str">
        <f t="shared" si="344"/>
        <v/>
      </c>
      <c r="S1160" s="317" t="str">
        <f t="shared" si="345"/>
        <v/>
      </c>
      <c r="V1160" s="314">
        <f>SUM('RES. CENTRAL PARK:RUA_FINAL'!N1160)</f>
        <v>0</v>
      </c>
      <c r="W1160" s="315">
        <f t="shared" si="346"/>
        <v>0</v>
      </c>
    </row>
    <row r="1161" spans="1:23" ht="30" hidden="1" customHeight="1" x14ac:dyDescent="0.2">
      <c r="A1161" s="63">
        <v>92979</v>
      </c>
      <c r="B1161" s="895">
        <v>92979</v>
      </c>
      <c r="C1161" s="896" t="s">
        <v>596</v>
      </c>
      <c r="D1161" s="906" t="s">
        <v>1091</v>
      </c>
      <c r="E1161" s="907"/>
      <c r="F1161" s="908"/>
      <c r="G1161" s="912"/>
      <c r="H1161" s="901">
        <v>10.73</v>
      </c>
      <c r="I1161" s="901">
        <f t="shared" si="340"/>
        <v>10.73</v>
      </c>
      <c r="J1161" s="902">
        <f t="shared" ref="J1161:J1224" si="347">IF(ISBLANK(H1161),0,ROUND(I1161*(1+$E$10),2))</f>
        <v>12.88</v>
      </c>
      <c r="K1161" s="903" t="s">
        <v>62</v>
      </c>
      <c r="L1161" s="904">
        <f>ROUND(SUM('RES. CENTRAL PARK:RUA_FINAL'!L1161),2)</f>
        <v>0</v>
      </c>
      <c r="M1161" s="904">
        <f t="shared" si="341"/>
        <v>0</v>
      </c>
      <c r="N1161" s="893">
        <f t="shared" si="342"/>
        <v>0</v>
      </c>
      <c r="O1161" s="905"/>
      <c r="Q1161" s="317" t="str">
        <f t="shared" si="343"/>
        <v/>
      </c>
      <c r="R1161" s="317" t="str">
        <f t="shared" si="344"/>
        <v/>
      </c>
      <c r="S1161" s="317" t="str">
        <f t="shared" si="345"/>
        <v/>
      </c>
      <c r="V1161" s="314">
        <f>SUM('RES. CENTRAL PARK:RUA_FINAL'!N1161)</f>
        <v>0</v>
      </c>
      <c r="W1161" s="315">
        <f t="shared" si="346"/>
        <v>0</v>
      </c>
    </row>
    <row r="1162" spans="1:23" ht="30" hidden="1" customHeight="1" x14ac:dyDescent="0.2">
      <c r="A1162" s="63">
        <v>92981</v>
      </c>
      <c r="B1162" s="895">
        <v>92981</v>
      </c>
      <c r="C1162" s="896" t="s">
        <v>596</v>
      </c>
      <c r="D1162" s="906" t="s">
        <v>1092</v>
      </c>
      <c r="E1162" s="907"/>
      <c r="F1162" s="908"/>
      <c r="G1162" s="912"/>
      <c r="H1162" s="901">
        <v>15.33</v>
      </c>
      <c r="I1162" s="901">
        <f t="shared" si="340"/>
        <v>15.33</v>
      </c>
      <c r="J1162" s="902">
        <f t="shared" si="347"/>
        <v>18.41</v>
      </c>
      <c r="K1162" s="903" t="s">
        <v>62</v>
      </c>
      <c r="L1162" s="904">
        <f>ROUND(SUM('RES. CENTRAL PARK:RUA_FINAL'!L1162),2)</f>
        <v>0</v>
      </c>
      <c r="M1162" s="904">
        <f t="shared" si="341"/>
        <v>0</v>
      </c>
      <c r="N1162" s="893">
        <f t="shared" si="342"/>
        <v>0</v>
      </c>
      <c r="O1162" s="905"/>
      <c r="Q1162" s="317" t="str">
        <f t="shared" si="343"/>
        <v/>
      </c>
      <c r="R1162" s="317" t="str">
        <f t="shared" si="344"/>
        <v/>
      </c>
      <c r="S1162" s="317" t="str">
        <f t="shared" si="345"/>
        <v/>
      </c>
      <c r="V1162" s="314">
        <f>SUM('RES. CENTRAL PARK:RUA_FINAL'!N1162)</f>
        <v>0</v>
      </c>
      <c r="W1162" s="315">
        <f t="shared" si="346"/>
        <v>0</v>
      </c>
    </row>
    <row r="1163" spans="1:23" ht="30" hidden="1" customHeight="1" x14ac:dyDescent="0.2">
      <c r="A1163" s="63">
        <v>91925</v>
      </c>
      <c r="B1163" s="895">
        <v>91925</v>
      </c>
      <c r="C1163" s="896" t="s">
        <v>596</v>
      </c>
      <c r="D1163" s="906" t="s">
        <v>1093</v>
      </c>
      <c r="E1163" s="907"/>
      <c r="F1163" s="908"/>
      <c r="G1163" s="912"/>
      <c r="H1163" s="901">
        <v>3.68</v>
      </c>
      <c r="I1163" s="901">
        <f t="shared" ref="I1163:I1223" si="348">IF(ISBLANK(H1163),"",SUM(G1163:H1163))</f>
        <v>3.68</v>
      </c>
      <c r="J1163" s="902">
        <f t="shared" si="347"/>
        <v>4.42</v>
      </c>
      <c r="K1163" s="903" t="s">
        <v>62</v>
      </c>
      <c r="L1163" s="904">
        <f>ROUND(SUM('RES. CENTRAL PARK:RUA_FINAL'!L1163),2)</f>
        <v>0</v>
      </c>
      <c r="M1163" s="904">
        <f t="shared" si="341"/>
        <v>0</v>
      </c>
      <c r="N1163" s="893">
        <f t="shared" si="342"/>
        <v>0</v>
      </c>
      <c r="O1163" s="905"/>
      <c r="Q1163" s="317" t="str">
        <f t="shared" si="343"/>
        <v/>
      </c>
      <c r="R1163" s="317" t="str">
        <f t="shared" si="344"/>
        <v/>
      </c>
      <c r="S1163" s="317" t="str">
        <f t="shared" si="345"/>
        <v/>
      </c>
      <c r="V1163" s="314">
        <f>SUM('RES. CENTRAL PARK:RUA_FINAL'!N1163)</f>
        <v>0</v>
      </c>
      <c r="W1163" s="315">
        <f t="shared" si="346"/>
        <v>0</v>
      </c>
    </row>
    <row r="1164" spans="1:23" ht="30" hidden="1" customHeight="1" x14ac:dyDescent="0.2">
      <c r="A1164" s="63">
        <v>91927</v>
      </c>
      <c r="B1164" s="895">
        <v>91927</v>
      </c>
      <c r="C1164" s="896" t="s">
        <v>596</v>
      </c>
      <c r="D1164" s="906" t="s">
        <v>1094</v>
      </c>
      <c r="E1164" s="907"/>
      <c r="F1164" s="908"/>
      <c r="G1164" s="912"/>
      <c r="H1164" s="901">
        <v>4.91</v>
      </c>
      <c r="I1164" s="901">
        <f t="shared" si="348"/>
        <v>4.91</v>
      </c>
      <c r="J1164" s="902">
        <f t="shared" si="347"/>
        <v>5.9</v>
      </c>
      <c r="K1164" s="903" t="s">
        <v>62</v>
      </c>
      <c r="L1164" s="904">
        <f>ROUND(SUM('RES. CENTRAL PARK:RUA_FINAL'!L1164),2)</f>
        <v>0</v>
      </c>
      <c r="M1164" s="904">
        <f t="shared" si="341"/>
        <v>0</v>
      </c>
      <c r="N1164" s="893">
        <f t="shared" si="342"/>
        <v>0</v>
      </c>
      <c r="O1164" s="905"/>
      <c r="Q1164" s="317" t="str">
        <f t="shared" si="343"/>
        <v/>
      </c>
      <c r="R1164" s="317" t="str">
        <f t="shared" si="344"/>
        <v/>
      </c>
      <c r="S1164" s="317" t="str">
        <f t="shared" si="345"/>
        <v/>
      </c>
      <c r="V1164" s="314">
        <f>SUM('RES. CENTRAL PARK:RUA_FINAL'!N1164)</f>
        <v>0</v>
      </c>
      <c r="W1164" s="315">
        <f t="shared" si="346"/>
        <v>0</v>
      </c>
    </row>
    <row r="1165" spans="1:23" ht="30" hidden="1" customHeight="1" x14ac:dyDescent="0.2">
      <c r="A1165" s="63">
        <v>91929</v>
      </c>
      <c r="B1165" s="895">
        <v>91929</v>
      </c>
      <c r="C1165" s="896" t="s">
        <v>596</v>
      </c>
      <c r="D1165" s="906" t="s">
        <v>1095</v>
      </c>
      <c r="E1165" s="907"/>
      <c r="F1165" s="908"/>
      <c r="G1165" s="912"/>
      <c r="H1165" s="901">
        <v>7.14</v>
      </c>
      <c r="I1165" s="901">
        <f t="shared" si="348"/>
        <v>7.14</v>
      </c>
      <c r="J1165" s="902">
        <f t="shared" si="347"/>
        <v>8.57</v>
      </c>
      <c r="K1165" s="903" t="s">
        <v>62</v>
      </c>
      <c r="L1165" s="904">
        <f>ROUND(SUM('RES. CENTRAL PARK:RUA_FINAL'!L1165),2)</f>
        <v>0</v>
      </c>
      <c r="M1165" s="904">
        <f t="shared" si="341"/>
        <v>0</v>
      </c>
      <c r="N1165" s="893">
        <f t="shared" si="342"/>
        <v>0</v>
      </c>
      <c r="O1165" s="905"/>
      <c r="Q1165" s="317" t="str">
        <f t="shared" si="343"/>
        <v/>
      </c>
      <c r="R1165" s="317" t="str">
        <f t="shared" si="344"/>
        <v/>
      </c>
      <c r="S1165" s="317" t="str">
        <f t="shared" si="345"/>
        <v/>
      </c>
      <c r="V1165" s="314">
        <f>SUM('RES. CENTRAL PARK:RUA_FINAL'!N1165)</f>
        <v>0</v>
      </c>
      <c r="W1165" s="315">
        <f t="shared" si="346"/>
        <v>0</v>
      </c>
    </row>
    <row r="1166" spans="1:23" ht="30" hidden="1" customHeight="1" x14ac:dyDescent="0.2">
      <c r="A1166" s="63">
        <v>91931</v>
      </c>
      <c r="B1166" s="895">
        <v>91931</v>
      </c>
      <c r="C1166" s="896" t="s">
        <v>596</v>
      </c>
      <c r="D1166" s="906" t="s">
        <v>1096</v>
      </c>
      <c r="E1166" s="907"/>
      <c r="F1166" s="908"/>
      <c r="G1166" s="912"/>
      <c r="H1166" s="901">
        <v>10</v>
      </c>
      <c r="I1166" s="901">
        <f t="shared" si="348"/>
        <v>10</v>
      </c>
      <c r="J1166" s="902">
        <f t="shared" si="347"/>
        <v>12.01</v>
      </c>
      <c r="K1166" s="903" t="s">
        <v>62</v>
      </c>
      <c r="L1166" s="904">
        <f>ROUND(SUM('RES. CENTRAL PARK:RUA_FINAL'!L1166),2)</f>
        <v>0</v>
      </c>
      <c r="M1166" s="904">
        <f t="shared" si="341"/>
        <v>0</v>
      </c>
      <c r="N1166" s="893">
        <f t="shared" si="342"/>
        <v>0</v>
      </c>
      <c r="O1166" s="905"/>
      <c r="Q1166" s="317" t="str">
        <f t="shared" si="343"/>
        <v/>
      </c>
      <c r="R1166" s="317" t="str">
        <f t="shared" si="344"/>
        <v/>
      </c>
      <c r="S1166" s="317" t="str">
        <f t="shared" si="345"/>
        <v/>
      </c>
      <c r="V1166" s="314">
        <f>SUM('RES. CENTRAL PARK:RUA_FINAL'!N1166)</f>
        <v>0</v>
      </c>
      <c r="W1166" s="315">
        <f t="shared" si="346"/>
        <v>0</v>
      </c>
    </row>
    <row r="1167" spans="1:23" ht="30" hidden="1" customHeight="1" x14ac:dyDescent="0.2">
      <c r="A1167" s="63">
        <v>91933</v>
      </c>
      <c r="B1167" s="895">
        <v>91933</v>
      </c>
      <c r="C1167" s="896" t="s">
        <v>596</v>
      </c>
      <c r="D1167" s="906" t="s">
        <v>1097</v>
      </c>
      <c r="E1167" s="907"/>
      <c r="F1167" s="908"/>
      <c r="G1167" s="912"/>
      <c r="H1167" s="901">
        <v>15.88</v>
      </c>
      <c r="I1167" s="901">
        <f t="shared" si="348"/>
        <v>15.88</v>
      </c>
      <c r="J1167" s="902">
        <f t="shared" si="347"/>
        <v>19.07</v>
      </c>
      <c r="K1167" s="903" t="s">
        <v>62</v>
      </c>
      <c r="L1167" s="904">
        <f>ROUND(SUM('RES. CENTRAL PARK:RUA_FINAL'!L1167),2)</f>
        <v>0</v>
      </c>
      <c r="M1167" s="904">
        <f t="shared" si="341"/>
        <v>0</v>
      </c>
      <c r="N1167" s="893">
        <f t="shared" si="342"/>
        <v>0</v>
      </c>
      <c r="O1167" s="905"/>
      <c r="Q1167" s="317" t="str">
        <f t="shared" si="343"/>
        <v/>
      </c>
      <c r="R1167" s="317" t="str">
        <f t="shared" si="344"/>
        <v/>
      </c>
      <c r="S1167" s="317" t="str">
        <f t="shared" si="345"/>
        <v/>
      </c>
      <c r="V1167" s="314">
        <f>SUM('RES. CENTRAL PARK:RUA_FINAL'!N1167)</f>
        <v>0</v>
      </c>
      <c r="W1167" s="315">
        <f t="shared" si="346"/>
        <v>0</v>
      </c>
    </row>
    <row r="1168" spans="1:23" ht="30" hidden="1" customHeight="1" x14ac:dyDescent="0.2">
      <c r="A1168" s="63">
        <v>91935</v>
      </c>
      <c r="B1168" s="895">
        <v>91935</v>
      </c>
      <c r="C1168" s="896" t="s">
        <v>596</v>
      </c>
      <c r="D1168" s="906" t="s">
        <v>1098</v>
      </c>
      <c r="E1168" s="907"/>
      <c r="F1168" s="908"/>
      <c r="G1168" s="912"/>
      <c r="H1168" s="901">
        <v>24.8</v>
      </c>
      <c r="I1168" s="901">
        <f t="shared" si="348"/>
        <v>24.8</v>
      </c>
      <c r="J1168" s="902">
        <f t="shared" si="347"/>
        <v>29.78</v>
      </c>
      <c r="K1168" s="903" t="s">
        <v>62</v>
      </c>
      <c r="L1168" s="904">
        <f>ROUND(SUM('RES. CENTRAL PARK:RUA_FINAL'!L1168),2)</f>
        <v>0</v>
      </c>
      <c r="M1168" s="904">
        <f t="shared" si="341"/>
        <v>0</v>
      </c>
      <c r="N1168" s="893">
        <f t="shared" si="342"/>
        <v>0</v>
      </c>
      <c r="O1168" s="905"/>
      <c r="Q1168" s="317" t="str">
        <f t="shared" si="343"/>
        <v/>
      </c>
      <c r="R1168" s="317" t="str">
        <f t="shared" si="344"/>
        <v/>
      </c>
      <c r="S1168" s="317" t="str">
        <f t="shared" si="345"/>
        <v/>
      </c>
      <c r="V1168" s="314">
        <f>SUM('RES. CENTRAL PARK:RUA_FINAL'!N1168)</f>
        <v>0</v>
      </c>
      <c r="W1168" s="315">
        <f t="shared" si="346"/>
        <v>0</v>
      </c>
    </row>
    <row r="1169" spans="1:23" ht="30" hidden="1" customHeight="1" x14ac:dyDescent="0.2">
      <c r="A1169" s="63">
        <v>92980</v>
      </c>
      <c r="B1169" s="895">
        <v>92980</v>
      </c>
      <c r="C1169" s="896" t="s">
        <v>596</v>
      </c>
      <c r="D1169" s="906" t="s">
        <v>1099</v>
      </c>
      <c r="E1169" s="907"/>
      <c r="F1169" s="908"/>
      <c r="G1169" s="912"/>
      <c r="H1169" s="901">
        <v>10.26</v>
      </c>
      <c r="I1169" s="901">
        <f t="shared" si="348"/>
        <v>10.26</v>
      </c>
      <c r="J1169" s="902">
        <f t="shared" si="347"/>
        <v>12.32</v>
      </c>
      <c r="K1169" s="903" t="s">
        <v>62</v>
      </c>
      <c r="L1169" s="904">
        <f>ROUND(SUM('RES. CENTRAL PARK:RUA_FINAL'!L1169),2)</f>
        <v>0</v>
      </c>
      <c r="M1169" s="904">
        <f t="shared" si="341"/>
        <v>0</v>
      </c>
      <c r="N1169" s="893">
        <f t="shared" si="342"/>
        <v>0</v>
      </c>
      <c r="O1169" s="905"/>
      <c r="Q1169" s="317" t="str">
        <f t="shared" si="343"/>
        <v/>
      </c>
      <c r="R1169" s="317" t="str">
        <f t="shared" si="344"/>
        <v/>
      </c>
      <c r="S1169" s="317" t="str">
        <f t="shared" si="345"/>
        <v/>
      </c>
      <c r="V1169" s="314">
        <f>SUM('RES. CENTRAL PARK:RUA_FINAL'!N1169)</f>
        <v>0</v>
      </c>
      <c r="W1169" s="315">
        <f t="shared" si="346"/>
        <v>0</v>
      </c>
    </row>
    <row r="1170" spans="1:23" ht="30" hidden="1" customHeight="1" x14ac:dyDescent="0.2">
      <c r="A1170" s="63">
        <v>92982</v>
      </c>
      <c r="B1170" s="895">
        <v>92982</v>
      </c>
      <c r="C1170" s="896" t="s">
        <v>596</v>
      </c>
      <c r="D1170" s="906" t="s">
        <v>1100</v>
      </c>
      <c r="E1170" s="907"/>
      <c r="F1170" s="908"/>
      <c r="G1170" s="912"/>
      <c r="H1170" s="901">
        <v>16.23</v>
      </c>
      <c r="I1170" s="901">
        <f t="shared" si="348"/>
        <v>16.23</v>
      </c>
      <c r="J1170" s="902">
        <f t="shared" si="347"/>
        <v>19.489999999999998</v>
      </c>
      <c r="K1170" s="903" t="s">
        <v>62</v>
      </c>
      <c r="L1170" s="904">
        <f>ROUND(SUM('RES. CENTRAL PARK:RUA_FINAL'!L1170),2)</f>
        <v>0</v>
      </c>
      <c r="M1170" s="904">
        <f t="shared" ref="M1170:M1233" si="349">IF(L1170=0,0,ROUND(J1170,2))</f>
        <v>0</v>
      </c>
      <c r="N1170" s="893">
        <f t="shared" ref="N1170:N1233" si="350">IF(ISBLANK(L1170),0,ROUND(L1170*M1170,2))</f>
        <v>0</v>
      </c>
      <c r="O1170" s="905"/>
      <c r="Q1170" s="317" t="str">
        <f t="shared" ref="Q1170:Q1233" si="351">IF(P1170="X","x",IF(P1170="xx","x",IF(P1170="xy","x",IF(P1170="y","x",IF(OR(N1170&gt;0,N1170&gt;0),"x","")))))</f>
        <v/>
      </c>
      <c r="R1170" s="317" t="str">
        <f t="shared" ref="R1170:R1233" si="352">IF(P1170="X","x",IF(P1170="y","x",IF(P1170="xx","x",IF(N1170&gt;0,"x",""))))</f>
        <v/>
      </c>
      <c r="S1170" s="317" t="str">
        <f t="shared" ref="S1170:S1233" si="353">IF(P1170="X","x",IF(N1170&gt;0,"x",""))</f>
        <v/>
      </c>
      <c r="V1170" s="314">
        <f>SUM('RES. CENTRAL PARK:RUA_FINAL'!N1170)</f>
        <v>0</v>
      </c>
      <c r="W1170" s="315">
        <f t="shared" si="346"/>
        <v>0</v>
      </c>
    </row>
    <row r="1171" spans="1:23" ht="30" hidden="1" customHeight="1" x14ac:dyDescent="0.2">
      <c r="A1171" s="63">
        <v>92984</v>
      </c>
      <c r="B1171" s="895">
        <v>92984</v>
      </c>
      <c r="C1171" s="896" t="s">
        <v>596</v>
      </c>
      <c r="D1171" s="906" t="s">
        <v>1101</v>
      </c>
      <c r="E1171" s="907"/>
      <c r="F1171" s="908"/>
      <c r="G1171" s="912"/>
      <c r="H1171" s="901">
        <v>27.31</v>
      </c>
      <c r="I1171" s="901">
        <f t="shared" si="348"/>
        <v>27.31</v>
      </c>
      <c r="J1171" s="902">
        <f t="shared" si="347"/>
        <v>32.79</v>
      </c>
      <c r="K1171" s="903" t="s">
        <v>62</v>
      </c>
      <c r="L1171" s="904">
        <f>ROUND(SUM('RES. CENTRAL PARK:RUA_FINAL'!L1171),2)</f>
        <v>0</v>
      </c>
      <c r="M1171" s="904">
        <f t="shared" si="349"/>
        <v>0</v>
      </c>
      <c r="N1171" s="893">
        <f t="shared" si="350"/>
        <v>0</v>
      </c>
      <c r="O1171" s="905"/>
      <c r="Q1171" s="317" t="str">
        <f t="shared" si="351"/>
        <v/>
      </c>
      <c r="R1171" s="317" t="str">
        <f t="shared" si="352"/>
        <v/>
      </c>
      <c r="S1171" s="317" t="str">
        <f t="shared" si="353"/>
        <v/>
      </c>
      <c r="V1171" s="314">
        <f>SUM('RES. CENTRAL PARK:RUA_FINAL'!N1171)</f>
        <v>0</v>
      </c>
      <c r="W1171" s="315">
        <f t="shared" si="346"/>
        <v>0</v>
      </c>
    </row>
    <row r="1172" spans="1:23" ht="30" hidden="1" customHeight="1" x14ac:dyDescent="0.2">
      <c r="A1172" s="63">
        <v>92986</v>
      </c>
      <c r="B1172" s="895">
        <v>92986</v>
      </c>
      <c r="C1172" s="896" t="s">
        <v>596</v>
      </c>
      <c r="D1172" s="906" t="s">
        <v>1102</v>
      </c>
      <c r="E1172" s="907"/>
      <c r="F1172" s="908"/>
      <c r="G1172" s="912"/>
      <c r="H1172" s="901">
        <v>37.61</v>
      </c>
      <c r="I1172" s="901">
        <f t="shared" si="348"/>
        <v>37.61</v>
      </c>
      <c r="J1172" s="902">
        <f t="shared" si="347"/>
        <v>45.16</v>
      </c>
      <c r="K1172" s="903" t="s">
        <v>62</v>
      </c>
      <c r="L1172" s="904">
        <f>ROUND(SUM('RES. CENTRAL PARK:RUA_FINAL'!L1172),2)</f>
        <v>0</v>
      </c>
      <c r="M1172" s="904">
        <f t="shared" si="349"/>
        <v>0</v>
      </c>
      <c r="N1172" s="893">
        <f t="shared" si="350"/>
        <v>0</v>
      </c>
      <c r="O1172" s="905"/>
      <c r="Q1172" s="317" t="str">
        <f t="shared" si="351"/>
        <v/>
      </c>
      <c r="R1172" s="317" t="str">
        <f t="shared" si="352"/>
        <v/>
      </c>
      <c r="S1172" s="317" t="str">
        <f t="shared" si="353"/>
        <v/>
      </c>
      <c r="V1172" s="314">
        <f>SUM('RES. CENTRAL PARK:RUA_FINAL'!N1172)</f>
        <v>0</v>
      </c>
      <c r="W1172" s="315">
        <f t="shared" si="346"/>
        <v>0</v>
      </c>
    </row>
    <row r="1173" spans="1:23" ht="30" hidden="1" customHeight="1" x14ac:dyDescent="0.2">
      <c r="A1173" s="63">
        <v>92988</v>
      </c>
      <c r="B1173" s="895">
        <v>92988</v>
      </c>
      <c r="C1173" s="896" t="s">
        <v>596</v>
      </c>
      <c r="D1173" s="906" t="s">
        <v>1103</v>
      </c>
      <c r="E1173" s="907"/>
      <c r="F1173" s="908"/>
      <c r="G1173" s="912"/>
      <c r="H1173" s="901">
        <v>54.4</v>
      </c>
      <c r="I1173" s="901">
        <f t="shared" si="348"/>
        <v>54.4</v>
      </c>
      <c r="J1173" s="902">
        <f t="shared" si="347"/>
        <v>65.319999999999993</v>
      </c>
      <c r="K1173" s="903" t="s">
        <v>62</v>
      </c>
      <c r="L1173" s="904">
        <f>ROUND(SUM('RES. CENTRAL PARK:RUA_FINAL'!L1173),2)</f>
        <v>0</v>
      </c>
      <c r="M1173" s="904">
        <f t="shared" si="349"/>
        <v>0</v>
      </c>
      <c r="N1173" s="893">
        <f t="shared" si="350"/>
        <v>0</v>
      </c>
      <c r="O1173" s="905"/>
      <c r="Q1173" s="317" t="str">
        <f t="shared" si="351"/>
        <v/>
      </c>
      <c r="R1173" s="317" t="str">
        <f t="shared" si="352"/>
        <v/>
      </c>
      <c r="S1173" s="317" t="str">
        <f t="shared" si="353"/>
        <v/>
      </c>
      <c r="V1173" s="314">
        <f>SUM('RES. CENTRAL PARK:RUA_FINAL'!N1173)</f>
        <v>0</v>
      </c>
      <c r="W1173" s="315">
        <f t="shared" ref="W1173:W1236" si="354">N1173-V1173</f>
        <v>0</v>
      </c>
    </row>
    <row r="1174" spans="1:23" ht="30" hidden="1" customHeight="1" x14ac:dyDescent="0.2">
      <c r="A1174" s="63">
        <v>92990</v>
      </c>
      <c r="B1174" s="895">
        <v>92990</v>
      </c>
      <c r="C1174" s="896" t="s">
        <v>596</v>
      </c>
      <c r="D1174" s="906" t="s">
        <v>1104</v>
      </c>
      <c r="E1174" s="907"/>
      <c r="F1174" s="908"/>
      <c r="G1174" s="912"/>
      <c r="H1174" s="901">
        <v>75.17</v>
      </c>
      <c r="I1174" s="901">
        <f t="shared" si="348"/>
        <v>75.17</v>
      </c>
      <c r="J1174" s="902">
        <f t="shared" si="347"/>
        <v>90.26</v>
      </c>
      <c r="K1174" s="903" t="s">
        <v>62</v>
      </c>
      <c r="L1174" s="904">
        <f>ROUND(SUM('RES. CENTRAL PARK:RUA_FINAL'!L1174),2)</f>
        <v>0</v>
      </c>
      <c r="M1174" s="904">
        <f t="shared" si="349"/>
        <v>0</v>
      </c>
      <c r="N1174" s="893">
        <f t="shared" si="350"/>
        <v>0</v>
      </c>
      <c r="O1174" s="905"/>
      <c r="Q1174" s="317" t="str">
        <f t="shared" si="351"/>
        <v/>
      </c>
      <c r="R1174" s="317" t="str">
        <f t="shared" si="352"/>
        <v/>
      </c>
      <c r="S1174" s="317" t="str">
        <f t="shared" si="353"/>
        <v/>
      </c>
      <c r="V1174" s="314">
        <f>SUM('RES. CENTRAL PARK:RUA_FINAL'!N1174)</f>
        <v>0</v>
      </c>
      <c r="W1174" s="315">
        <f t="shared" si="354"/>
        <v>0</v>
      </c>
    </row>
    <row r="1175" spans="1:23" ht="30" hidden="1" customHeight="1" x14ac:dyDescent="0.2">
      <c r="A1175" s="63">
        <v>92992</v>
      </c>
      <c r="B1175" s="895">
        <v>92992</v>
      </c>
      <c r="C1175" s="896" t="s">
        <v>596</v>
      </c>
      <c r="D1175" s="906" t="s">
        <v>1105</v>
      </c>
      <c r="E1175" s="907"/>
      <c r="F1175" s="908"/>
      <c r="G1175" s="912"/>
      <c r="H1175" s="901">
        <v>97.11</v>
      </c>
      <c r="I1175" s="901">
        <f t="shared" si="348"/>
        <v>97.11</v>
      </c>
      <c r="J1175" s="902">
        <f t="shared" si="347"/>
        <v>116.6</v>
      </c>
      <c r="K1175" s="903" t="s">
        <v>62</v>
      </c>
      <c r="L1175" s="904">
        <f>ROUND(SUM('RES. CENTRAL PARK:RUA_FINAL'!L1175),2)</f>
        <v>0</v>
      </c>
      <c r="M1175" s="904">
        <f t="shared" si="349"/>
        <v>0</v>
      </c>
      <c r="N1175" s="893">
        <f t="shared" si="350"/>
        <v>0</v>
      </c>
      <c r="O1175" s="905"/>
      <c r="Q1175" s="317" t="str">
        <f t="shared" si="351"/>
        <v/>
      </c>
      <c r="R1175" s="317" t="str">
        <f t="shared" si="352"/>
        <v/>
      </c>
      <c r="S1175" s="317" t="str">
        <f t="shared" si="353"/>
        <v/>
      </c>
      <c r="V1175" s="314">
        <f>SUM('RES. CENTRAL PARK:RUA_FINAL'!N1175)</f>
        <v>0</v>
      </c>
      <c r="W1175" s="315">
        <f t="shared" si="354"/>
        <v>0</v>
      </c>
    </row>
    <row r="1176" spans="1:23" ht="30" hidden="1" customHeight="1" x14ac:dyDescent="0.2">
      <c r="A1176" s="63">
        <v>92994</v>
      </c>
      <c r="B1176" s="895">
        <v>92994</v>
      </c>
      <c r="C1176" s="896" t="s">
        <v>596</v>
      </c>
      <c r="D1176" s="906" t="s">
        <v>1106</v>
      </c>
      <c r="E1176" s="907"/>
      <c r="F1176" s="908"/>
      <c r="G1176" s="912"/>
      <c r="H1176" s="901">
        <v>126.04</v>
      </c>
      <c r="I1176" s="901">
        <f t="shared" si="348"/>
        <v>126.04</v>
      </c>
      <c r="J1176" s="902">
        <f t="shared" si="347"/>
        <v>151.34</v>
      </c>
      <c r="K1176" s="903" t="s">
        <v>62</v>
      </c>
      <c r="L1176" s="904">
        <f>ROUND(SUM('RES. CENTRAL PARK:RUA_FINAL'!L1176),2)</f>
        <v>0</v>
      </c>
      <c r="M1176" s="904">
        <f t="shared" si="349"/>
        <v>0</v>
      </c>
      <c r="N1176" s="893">
        <f t="shared" si="350"/>
        <v>0</v>
      </c>
      <c r="O1176" s="905"/>
      <c r="Q1176" s="317" t="str">
        <f t="shared" si="351"/>
        <v/>
      </c>
      <c r="R1176" s="317" t="str">
        <f t="shared" si="352"/>
        <v/>
      </c>
      <c r="S1176" s="317" t="str">
        <f t="shared" si="353"/>
        <v/>
      </c>
      <c r="V1176" s="314">
        <f>SUM('RES. CENTRAL PARK:RUA_FINAL'!N1176)</f>
        <v>0</v>
      </c>
      <c r="W1176" s="315">
        <f t="shared" si="354"/>
        <v>0</v>
      </c>
    </row>
    <row r="1177" spans="1:23" ht="30" hidden="1" customHeight="1" x14ac:dyDescent="0.2">
      <c r="A1177" s="63">
        <v>92996</v>
      </c>
      <c r="B1177" s="895">
        <v>92996</v>
      </c>
      <c r="C1177" s="896" t="s">
        <v>596</v>
      </c>
      <c r="D1177" s="906" t="s">
        <v>1107</v>
      </c>
      <c r="E1177" s="907"/>
      <c r="F1177" s="908"/>
      <c r="G1177" s="912"/>
      <c r="H1177" s="901">
        <v>152.46</v>
      </c>
      <c r="I1177" s="901">
        <f t="shared" si="348"/>
        <v>152.46</v>
      </c>
      <c r="J1177" s="902">
        <f t="shared" si="347"/>
        <v>183.06</v>
      </c>
      <c r="K1177" s="903" t="s">
        <v>62</v>
      </c>
      <c r="L1177" s="904">
        <f>ROUND(SUM('RES. CENTRAL PARK:RUA_FINAL'!L1177),2)</f>
        <v>0</v>
      </c>
      <c r="M1177" s="904">
        <f t="shared" si="349"/>
        <v>0</v>
      </c>
      <c r="N1177" s="893">
        <f t="shared" si="350"/>
        <v>0</v>
      </c>
      <c r="O1177" s="905"/>
      <c r="Q1177" s="317" t="str">
        <f t="shared" si="351"/>
        <v/>
      </c>
      <c r="R1177" s="317" t="str">
        <f t="shared" si="352"/>
        <v/>
      </c>
      <c r="S1177" s="317" t="str">
        <f t="shared" si="353"/>
        <v/>
      </c>
      <c r="V1177" s="314">
        <f>SUM('RES. CENTRAL PARK:RUA_FINAL'!N1177)</f>
        <v>0</v>
      </c>
      <c r="W1177" s="315">
        <f t="shared" si="354"/>
        <v>0</v>
      </c>
    </row>
    <row r="1178" spans="1:23" ht="30" hidden="1" customHeight="1" x14ac:dyDescent="0.2">
      <c r="A1178" s="63">
        <v>92998</v>
      </c>
      <c r="B1178" s="895">
        <v>92998</v>
      </c>
      <c r="C1178" s="896" t="s">
        <v>596</v>
      </c>
      <c r="D1178" s="906" t="s">
        <v>1108</v>
      </c>
      <c r="E1178" s="907"/>
      <c r="F1178" s="908"/>
      <c r="G1178" s="912"/>
      <c r="H1178" s="901">
        <v>186.74</v>
      </c>
      <c r="I1178" s="901">
        <f t="shared" si="348"/>
        <v>186.74</v>
      </c>
      <c r="J1178" s="902">
        <f t="shared" si="347"/>
        <v>224.22</v>
      </c>
      <c r="K1178" s="903" t="s">
        <v>62</v>
      </c>
      <c r="L1178" s="904">
        <f>ROUND(SUM('RES. CENTRAL PARK:RUA_FINAL'!L1178),2)</f>
        <v>0</v>
      </c>
      <c r="M1178" s="904">
        <f t="shared" si="349"/>
        <v>0</v>
      </c>
      <c r="N1178" s="893">
        <f t="shared" si="350"/>
        <v>0</v>
      </c>
      <c r="O1178" s="905"/>
      <c r="Q1178" s="317" t="str">
        <f t="shared" si="351"/>
        <v/>
      </c>
      <c r="R1178" s="317" t="str">
        <f t="shared" si="352"/>
        <v/>
      </c>
      <c r="S1178" s="317" t="str">
        <f t="shared" si="353"/>
        <v/>
      </c>
      <c r="V1178" s="314">
        <f>SUM('RES. CENTRAL PARK:RUA_FINAL'!N1178)</f>
        <v>0</v>
      </c>
      <c r="W1178" s="315">
        <f t="shared" si="354"/>
        <v>0</v>
      </c>
    </row>
    <row r="1179" spans="1:23" ht="30" hidden="1" customHeight="1" x14ac:dyDescent="0.2">
      <c r="A1179" s="63">
        <v>93000</v>
      </c>
      <c r="B1179" s="895">
        <v>93000</v>
      </c>
      <c r="C1179" s="896" t="s">
        <v>596</v>
      </c>
      <c r="D1179" s="906" t="s">
        <v>1109</v>
      </c>
      <c r="E1179" s="907"/>
      <c r="F1179" s="908"/>
      <c r="G1179" s="912"/>
      <c r="H1179" s="901">
        <v>247.07</v>
      </c>
      <c r="I1179" s="901">
        <f t="shared" si="348"/>
        <v>247.07</v>
      </c>
      <c r="J1179" s="902">
        <f t="shared" si="347"/>
        <v>296.66000000000003</v>
      </c>
      <c r="K1179" s="903" t="s">
        <v>62</v>
      </c>
      <c r="L1179" s="904">
        <f>ROUND(SUM('RES. CENTRAL PARK:RUA_FINAL'!L1179),2)</f>
        <v>0</v>
      </c>
      <c r="M1179" s="904">
        <f t="shared" si="349"/>
        <v>0</v>
      </c>
      <c r="N1179" s="893">
        <f t="shared" si="350"/>
        <v>0</v>
      </c>
      <c r="O1179" s="905"/>
      <c r="Q1179" s="317" t="str">
        <f t="shared" si="351"/>
        <v/>
      </c>
      <c r="R1179" s="317" t="str">
        <f t="shared" si="352"/>
        <v/>
      </c>
      <c r="S1179" s="317" t="str">
        <f t="shared" si="353"/>
        <v/>
      </c>
      <c r="V1179" s="314">
        <f>SUM('RES. CENTRAL PARK:RUA_FINAL'!N1179)</f>
        <v>0</v>
      </c>
      <c r="W1179" s="315">
        <f t="shared" si="354"/>
        <v>0</v>
      </c>
    </row>
    <row r="1180" spans="1:23" ht="30" hidden="1" customHeight="1" x14ac:dyDescent="0.2">
      <c r="A1180" s="63">
        <v>93002</v>
      </c>
      <c r="B1180" s="895">
        <v>93002</v>
      </c>
      <c r="C1180" s="896" t="s">
        <v>596</v>
      </c>
      <c r="D1180" s="906" t="s">
        <v>1110</v>
      </c>
      <c r="E1180" s="907"/>
      <c r="F1180" s="908"/>
      <c r="G1180" s="912"/>
      <c r="H1180" s="901">
        <v>319.27</v>
      </c>
      <c r="I1180" s="901">
        <f t="shared" si="348"/>
        <v>319.27</v>
      </c>
      <c r="J1180" s="902">
        <f t="shared" si="347"/>
        <v>383.35</v>
      </c>
      <c r="K1180" s="903" t="s">
        <v>62</v>
      </c>
      <c r="L1180" s="904">
        <f>ROUND(SUM('RES. CENTRAL PARK:RUA_FINAL'!L1180),2)</f>
        <v>0</v>
      </c>
      <c r="M1180" s="904">
        <f t="shared" si="349"/>
        <v>0</v>
      </c>
      <c r="N1180" s="893">
        <f t="shared" si="350"/>
        <v>0</v>
      </c>
      <c r="O1180" s="905"/>
      <c r="Q1180" s="317" t="str">
        <f t="shared" si="351"/>
        <v/>
      </c>
      <c r="R1180" s="317" t="str">
        <f t="shared" si="352"/>
        <v/>
      </c>
      <c r="S1180" s="317" t="str">
        <f t="shared" si="353"/>
        <v/>
      </c>
      <c r="V1180" s="314">
        <f>SUM('RES. CENTRAL PARK:RUA_FINAL'!N1180)</f>
        <v>0</v>
      </c>
      <c r="W1180" s="315">
        <f t="shared" si="354"/>
        <v>0</v>
      </c>
    </row>
    <row r="1181" spans="1:23" ht="30" hidden="1" customHeight="1" x14ac:dyDescent="0.2">
      <c r="A1181" s="63">
        <v>101884</v>
      </c>
      <c r="B1181" s="895">
        <v>101884</v>
      </c>
      <c r="C1181" s="896" t="s">
        <v>596</v>
      </c>
      <c r="D1181" s="906" t="s">
        <v>1111</v>
      </c>
      <c r="E1181" s="907"/>
      <c r="F1181" s="908"/>
      <c r="G1181" s="912"/>
      <c r="H1181" s="901">
        <v>10.42</v>
      </c>
      <c r="I1181" s="901">
        <f t="shared" si="348"/>
        <v>10.42</v>
      </c>
      <c r="J1181" s="902">
        <f t="shared" si="347"/>
        <v>12.51</v>
      </c>
      <c r="K1181" s="903" t="s">
        <v>62</v>
      </c>
      <c r="L1181" s="904">
        <f>ROUND(SUM('RES. CENTRAL PARK:RUA_FINAL'!L1181),2)</f>
        <v>0</v>
      </c>
      <c r="M1181" s="904">
        <f t="shared" si="349"/>
        <v>0</v>
      </c>
      <c r="N1181" s="893">
        <f t="shared" si="350"/>
        <v>0</v>
      </c>
      <c r="O1181" s="905"/>
      <c r="Q1181" s="317" t="str">
        <f t="shared" si="351"/>
        <v/>
      </c>
      <c r="R1181" s="317" t="str">
        <f t="shared" si="352"/>
        <v/>
      </c>
      <c r="S1181" s="317" t="str">
        <f t="shared" si="353"/>
        <v/>
      </c>
      <c r="V1181" s="314">
        <f>SUM('RES. CENTRAL PARK:RUA_FINAL'!N1181)</f>
        <v>0</v>
      </c>
      <c r="W1181" s="315">
        <f t="shared" si="354"/>
        <v>0</v>
      </c>
    </row>
    <row r="1182" spans="1:23" ht="30" hidden="1" customHeight="1" x14ac:dyDescent="0.2">
      <c r="A1182" s="63">
        <v>101885</v>
      </c>
      <c r="B1182" s="895">
        <v>101885</v>
      </c>
      <c r="C1182" s="896" t="s">
        <v>596</v>
      </c>
      <c r="D1182" s="906" t="s">
        <v>1112</v>
      </c>
      <c r="E1182" s="907"/>
      <c r="F1182" s="908"/>
      <c r="G1182" s="912"/>
      <c r="H1182" s="901">
        <v>9.9499999999999993</v>
      </c>
      <c r="I1182" s="901">
        <f t="shared" si="348"/>
        <v>9.9499999999999993</v>
      </c>
      <c r="J1182" s="902">
        <f t="shared" si="347"/>
        <v>11.95</v>
      </c>
      <c r="K1182" s="903" t="s">
        <v>62</v>
      </c>
      <c r="L1182" s="904">
        <f>ROUND(SUM('RES. CENTRAL PARK:RUA_FINAL'!L1182),2)</f>
        <v>0</v>
      </c>
      <c r="M1182" s="904">
        <f t="shared" si="349"/>
        <v>0</v>
      </c>
      <c r="N1182" s="893">
        <f t="shared" si="350"/>
        <v>0</v>
      </c>
      <c r="O1182" s="905"/>
      <c r="Q1182" s="317" t="str">
        <f t="shared" si="351"/>
        <v/>
      </c>
      <c r="R1182" s="317" t="str">
        <f t="shared" si="352"/>
        <v/>
      </c>
      <c r="S1182" s="317" t="str">
        <f t="shared" si="353"/>
        <v/>
      </c>
      <c r="V1182" s="314">
        <f>SUM('RES. CENTRAL PARK:RUA_FINAL'!N1182)</f>
        <v>0</v>
      </c>
      <c r="W1182" s="315">
        <f t="shared" si="354"/>
        <v>0</v>
      </c>
    </row>
    <row r="1183" spans="1:23" ht="30" hidden="1" customHeight="1" x14ac:dyDescent="0.2">
      <c r="A1183" s="63">
        <v>101886</v>
      </c>
      <c r="B1183" s="895">
        <v>101886</v>
      </c>
      <c r="C1183" s="896" t="s">
        <v>596</v>
      </c>
      <c r="D1183" s="906" t="s">
        <v>1113</v>
      </c>
      <c r="E1183" s="907"/>
      <c r="F1183" s="908"/>
      <c r="G1183" s="912"/>
      <c r="H1183" s="901">
        <v>14.98</v>
      </c>
      <c r="I1183" s="901">
        <f t="shared" si="348"/>
        <v>14.98</v>
      </c>
      <c r="J1183" s="902">
        <f t="shared" si="347"/>
        <v>17.989999999999998</v>
      </c>
      <c r="K1183" s="903" t="s">
        <v>62</v>
      </c>
      <c r="L1183" s="904">
        <f>ROUND(SUM('RES. CENTRAL PARK:RUA_FINAL'!L1183),2)</f>
        <v>0</v>
      </c>
      <c r="M1183" s="904">
        <f t="shared" si="349"/>
        <v>0</v>
      </c>
      <c r="N1183" s="893">
        <f t="shared" si="350"/>
        <v>0</v>
      </c>
      <c r="O1183" s="905"/>
      <c r="Q1183" s="317" t="str">
        <f t="shared" si="351"/>
        <v/>
      </c>
      <c r="R1183" s="317" t="str">
        <f t="shared" si="352"/>
        <v/>
      </c>
      <c r="S1183" s="317" t="str">
        <f t="shared" si="353"/>
        <v/>
      </c>
      <c r="V1183" s="314">
        <f>SUM('RES. CENTRAL PARK:RUA_FINAL'!N1183)</f>
        <v>0</v>
      </c>
      <c r="W1183" s="315">
        <f t="shared" si="354"/>
        <v>0</v>
      </c>
    </row>
    <row r="1184" spans="1:23" ht="30" hidden="1" customHeight="1" x14ac:dyDescent="0.2">
      <c r="A1184" s="63">
        <v>101887</v>
      </c>
      <c r="B1184" s="895">
        <v>101887</v>
      </c>
      <c r="C1184" s="896" t="s">
        <v>596</v>
      </c>
      <c r="D1184" s="906" t="s">
        <v>1114</v>
      </c>
      <c r="E1184" s="907"/>
      <c r="F1184" s="908"/>
      <c r="G1184" s="912"/>
      <c r="H1184" s="901">
        <v>15.88</v>
      </c>
      <c r="I1184" s="901">
        <f t="shared" si="348"/>
        <v>15.88</v>
      </c>
      <c r="J1184" s="902">
        <f t="shared" si="347"/>
        <v>19.07</v>
      </c>
      <c r="K1184" s="903" t="s">
        <v>62</v>
      </c>
      <c r="L1184" s="904">
        <f>ROUND(SUM('RES. CENTRAL PARK:RUA_FINAL'!L1184),2)</f>
        <v>0</v>
      </c>
      <c r="M1184" s="904">
        <f t="shared" si="349"/>
        <v>0</v>
      </c>
      <c r="N1184" s="893">
        <f t="shared" si="350"/>
        <v>0</v>
      </c>
      <c r="O1184" s="905"/>
      <c r="Q1184" s="317" t="str">
        <f t="shared" si="351"/>
        <v/>
      </c>
      <c r="R1184" s="317" t="str">
        <f t="shared" si="352"/>
        <v/>
      </c>
      <c r="S1184" s="317" t="str">
        <f t="shared" si="353"/>
        <v/>
      </c>
      <c r="V1184" s="314">
        <f>SUM('RES. CENTRAL PARK:RUA_FINAL'!N1184)</f>
        <v>0</v>
      </c>
      <c r="W1184" s="315">
        <f t="shared" si="354"/>
        <v>0</v>
      </c>
    </row>
    <row r="1185" spans="1:23" ht="30" hidden="1" customHeight="1" x14ac:dyDescent="0.2">
      <c r="A1185" s="63">
        <v>101888</v>
      </c>
      <c r="B1185" s="895">
        <v>101888</v>
      </c>
      <c r="C1185" s="896" t="s">
        <v>596</v>
      </c>
      <c r="D1185" s="906" t="s">
        <v>1115</v>
      </c>
      <c r="E1185" s="907"/>
      <c r="F1185" s="908"/>
      <c r="G1185" s="912"/>
      <c r="H1185" s="901">
        <v>23.48</v>
      </c>
      <c r="I1185" s="901">
        <f t="shared" si="348"/>
        <v>23.48</v>
      </c>
      <c r="J1185" s="902">
        <f t="shared" si="347"/>
        <v>28.19</v>
      </c>
      <c r="K1185" s="903" t="s">
        <v>62</v>
      </c>
      <c r="L1185" s="904">
        <f>ROUND(SUM('RES. CENTRAL PARK:RUA_FINAL'!L1185),2)</f>
        <v>0</v>
      </c>
      <c r="M1185" s="904">
        <f t="shared" si="349"/>
        <v>0</v>
      </c>
      <c r="N1185" s="893">
        <f t="shared" si="350"/>
        <v>0</v>
      </c>
      <c r="O1185" s="905"/>
      <c r="Q1185" s="317" t="str">
        <f t="shared" si="351"/>
        <v/>
      </c>
      <c r="R1185" s="317" t="str">
        <f t="shared" si="352"/>
        <v/>
      </c>
      <c r="S1185" s="317" t="str">
        <f t="shared" si="353"/>
        <v/>
      </c>
      <c r="V1185" s="314">
        <f>SUM('RES. CENTRAL PARK:RUA_FINAL'!N1185)</f>
        <v>0</v>
      </c>
      <c r="W1185" s="315">
        <f t="shared" si="354"/>
        <v>0</v>
      </c>
    </row>
    <row r="1186" spans="1:23" ht="23.25" hidden="1" thickBot="1" x14ac:dyDescent="0.25">
      <c r="A1186" s="63">
        <v>101889</v>
      </c>
      <c r="B1186" s="895">
        <v>101889</v>
      </c>
      <c r="C1186" s="896" t="s">
        <v>596</v>
      </c>
      <c r="D1186" s="906" t="s">
        <v>1116</v>
      </c>
      <c r="E1186" s="907"/>
      <c r="F1186" s="908"/>
      <c r="G1186" s="912"/>
      <c r="H1186" s="901">
        <v>24.66</v>
      </c>
      <c r="I1186" s="901">
        <f t="shared" si="348"/>
        <v>24.66</v>
      </c>
      <c r="J1186" s="902">
        <f t="shared" si="347"/>
        <v>29.61</v>
      </c>
      <c r="K1186" s="903" t="s">
        <v>62</v>
      </c>
      <c r="L1186" s="904">
        <f>ROUND(SUM('RES. CENTRAL PARK:RUA_FINAL'!L1186),2)</f>
        <v>0</v>
      </c>
      <c r="M1186" s="904">
        <f t="shared" si="349"/>
        <v>0</v>
      </c>
      <c r="N1186" s="893">
        <f t="shared" si="350"/>
        <v>0</v>
      </c>
      <c r="O1186" s="905"/>
      <c r="Q1186" s="317" t="str">
        <f t="shared" si="351"/>
        <v/>
      </c>
      <c r="R1186" s="317" t="str">
        <f t="shared" si="352"/>
        <v/>
      </c>
      <c r="S1186" s="317" t="str">
        <f t="shared" si="353"/>
        <v/>
      </c>
      <c r="V1186" s="314">
        <f>SUM('RES. CENTRAL PARK:RUA_FINAL'!N1186)</f>
        <v>0</v>
      </c>
      <c r="W1186" s="315">
        <f t="shared" si="354"/>
        <v>0</v>
      </c>
    </row>
    <row r="1187" spans="1:23" ht="39" hidden="1" customHeight="1" x14ac:dyDescent="0.2">
      <c r="A1187" s="63">
        <v>101560</v>
      </c>
      <c r="B1187" s="895">
        <v>101560</v>
      </c>
      <c r="C1187" s="896" t="s">
        <v>596</v>
      </c>
      <c r="D1187" s="906" t="s">
        <v>1117</v>
      </c>
      <c r="E1187" s="907"/>
      <c r="F1187" s="908"/>
      <c r="G1187" s="912"/>
      <c r="H1187" s="901">
        <v>9.89</v>
      </c>
      <c r="I1187" s="901">
        <f t="shared" si="348"/>
        <v>9.89</v>
      </c>
      <c r="J1187" s="902">
        <f t="shared" si="347"/>
        <v>11.87</v>
      </c>
      <c r="K1187" s="903" t="s">
        <v>62</v>
      </c>
      <c r="L1187" s="904">
        <f>ROUND(SUM('RES. CENTRAL PARK:RUA_FINAL'!L1187),2)</f>
        <v>0</v>
      </c>
      <c r="M1187" s="904">
        <f t="shared" si="349"/>
        <v>0</v>
      </c>
      <c r="N1187" s="893">
        <f t="shared" si="350"/>
        <v>0</v>
      </c>
      <c r="O1187" s="905"/>
      <c r="Q1187" s="317" t="str">
        <f t="shared" si="351"/>
        <v/>
      </c>
      <c r="R1187" s="317" t="str">
        <f t="shared" si="352"/>
        <v/>
      </c>
      <c r="S1187" s="317" t="str">
        <f t="shared" si="353"/>
        <v/>
      </c>
      <c r="V1187" s="314">
        <f>SUM('RES. CENTRAL PARK:RUA_FINAL'!N1187)</f>
        <v>0</v>
      </c>
      <c r="W1187" s="315">
        <f t="shared" si="354"/>
        <v>0</v>
      </c>
    </row>
    <row r="1188" spans="1:23" ht="39" hidden="1" customHeight="1" x14ac:dyDescent="0.2">
      <c r="A1188" s="63">
        <v>101561</v>
      </c>
      <c r="B1188" s="895">
        <v>101561</v>
      </c>
      <c r="C1188" s="896" t="s">
        <v>596</v>
      </c>
      <c r="D1188" s="906" t="s">
        <v>1118</v>
      </c>
      <c r="E1188" s="907"/>
      <c r="F1188" s="908"/>
      <c r="G1188" s="912"/>
      <c r="H1188" s="901">
        <v>15.7</v>
      </c>
      <c r="I1188" s="901">
        <f t="shared" si="348"/>
        <v>15.7</v>
      </c>
      <c r="J1188" s="902">
        <f t="shared" si="347"/>
        <v>18.850000000000001</v>
      </c>
      <c r="K1188" s="903" t="s">
        <v>62</v>
      </c>
      <c r="L1188" s="904">
        <f>ROUND(SUM('RES. CENTRAL PARK:RUA_FINAL'!L1188),2)</f>
        <v>0</v>
      </c>
      <c r="M1188" s="904">
        <f t="shared" si="349"/>
        <v>0</v>
      </c>
      <c r="N1188" s="893">
        <f t="shared" si="350"/>
        <v>0</v>
      </c>
      <c r="O1188" s="905"/>
      <c r="Q1188" s="317" t="str">
        <f t="shared" si="351"/>
        <v/>
      </c>
      <c r="R1188" s="317" t="str">
        <f t="shared" si="352"/>
        <v/>
      </c>
      <c r="S1188" s="317" t="str">
        <f t="shared" si="353"/>
        <v/>
      </c>
      <c r="V1188" s="314">
        <f>SUM('RES. CENTRAL PARK:RUA_FINAL'!N1188)</f>
        <v>0</v>
      </c>
      <c r="W1188" s="315">
        <f t="shared" si="354"/>
        <v>0</v>
      </c>
    </row>
    <row r="1189" spans="1:23" ht="39" hidden="1" customHeight="1" x14ac:dyDescent="0.2">
      <c r="A1189" s="63">
        <v>101562</v>
      </c>
      <c r="B1189" s="895">
        <v>101562</v>
      </c>
      <c r="C1189" s="896" t="s">
        <v>596</v>
      </c>
      <c r="D1189" s="906" t="s">
        <v>1119</v>
      </c>
      <c r="E1189" s="907"/>
      <c r="F1189" s="908"/>
      <c r="G1189" s="912"/>
      <c r="H1189" s="901">
        <v>24.3</v>
      </c>
      <c r="I1189" s="901">
        <f t="shared" si="348"/>
        <v>24.3</v>
      </c>
      <c r="J1189" s="902">
        <f t="shared" si="347"/>
        <v>29.18</v>
      </c>
      <c r="K1189" s="903" t="s">
        <v>62</v>
      </c>
      <c r="L1189" s="904">
        <f>ROUND(SUM('RES. CENTRAL PARK:RUA_FINAL'!L1189),2)</f>
        <v>0</v>
      </c>
      <c r="M1189" s="904">
        <f t="shared" si="349"/>
        <v>0</v>
      </c>
      <c r="N1189" s="893">
        <f t="shared" si="350"/>
        <v>0</v>
      </c>
      <c r="O1189" s="905"/>
      <c r="Q1189" s="317" t="str">
        <f t="shared" si="351"/>
        <v/>
      </c>
      <c r="R1189" s="317" t="str">
        <f t="shared" si="352"/>
        <v/>
      </c>
      <c r="S1189" s="317" t="str">
        <f t="shared" si="353"/>
        <v/>
      </c>
      <c r="V1189" s="314">
        <f>SUM('RES. CENTRAL PARK:RUA_FINAL'!N1189)</f>
        <v>0</v>
      </c>
      <c r="W1189" s="315">
        <f t="shared" si="354"/>
        <v>0</v>
      </c>
    </row>
    <row r="1190" spans="1:23" ht="39" hidden="1" customHeight="1" x14ac:dyDescent="0.2">
      <c r="A1190" s="63">
        <v>101563</v>
      </c>
      <c r="B1190" s="895">
        <v>101563</v>
      </c>
      <c r="C1190" s="896" t="s">
        <v>596</v>
      </c>
      <c r="D1190" s="906" t="s">
        <v>1120</v>
      </c>
      <c r="E1190" s="907"/>
      <c r="F1190" s="908"/>
      <c r="G1190" s="912"/>
      <c r="H1190" s="901">
        <v>34.299999999999997</v>
      </c>
      <c r="I1190" s="901">
        <f t="shared" si="348"/>
        <v>34.299999999999997</v>
      </c>
      <c r="J1190" s="902">
        <f t="shared" si="347"/>
        <v>41.18</v>
      </c>
      <c r="K1190" s="903" t="s">
        <v>62</v>
      </c>
      <c r="L1190" s="904">
        <f>ROUND(SUM('RES. CENTRAL PARK:RUA_FINAL'!L1190),2)</f>
        <v>0</v>
      </c>
      <c r="M1190" s="904">
        <f t="shared" si="349"/>
        <v>0</v>
      </c>
      <c r="N1190" s="893">
        <f t="shared" si="350"/>
        <v>0</v>
      </c>
      <c r="O1190" s="905"/>
      <c r="Q1190" s="317" t="str">
        <f t="shared" si="351"/>
        <v/>
      </c>
      <c r="R1190" s="317" t="str">
        <f t="shared" si="352"/>
        <v/>
      </c>
      <c r="S1190" s="317" t="str">
        <f t="shared" si="353"/>
        <v/>
      </c>
      <c r="V1190" s="314">
        <f>SUM('RES. CENTRAL PARK:RUA_FINAL'!N1190)</f>
        <v>0</v>
      </c>
      <c r="W1190" s="315">
        <f t="shared" si="354"/>
        <v>0</v>
      </c>
    </row>
    <row r="1191" spans="1:23" ht="39" hidden="1" customHeight="1" x14ac:dyDescent="0.2">
      <c r="A1191" s="63">
        <v>101564</v>
      </c>
      <c r="B1191" s="895">
        <v>101564</v>
      </c>
      <c r="C1191" s="896" t="s">
        <v>596</v>
      </c>
      <c r="D1191" s="906" t="s">
        <v>1121</v>
      </c>
      <c r="E1191" s="907"/>
      <c r="F1191" s="908"/>
      <c r="G1191" s="912"/>
      <c r="H1191" s="901">
        <v>50.7</v>
      </c>
      <c r="I1191" s="901">
        <f t="shared" si="348"/>
        <v>50.7</v>
      </c>
      <c r="J1191" s="902">
        <f t="shared" si="347"/>
        <v>60.88</v>
      </c>
      <c r="K1191" s="903" t="s">
        <v>62</v>
      </c>
      <c r="L1191" s="904">
        <f>ROUND(SUM('RES. CENTRAL PARK:RUA_FINAL'!L1191),2)</f>
        <v>0</v>
      </c>
      <c r="M1191" s="904">
        <f t="shared" si="349"/>
        <v>0</v>
      </c>
      <c r="N1191" s="893">
        <f t="shared" si="350"/>
        <v>0</v>
      </c>
      <c r="O1191" s="905"/>
      <c r="Q1191" s="317" t="str">
        <f t="shared" si="351"/>
        <v/>
      </c>
      <c r="R1191" s="317" t="str">
        <f t="shared" si="352"/>
        <v/>
      </c>
      <c r="S1191" s="317" t="str">
        <f t="shared" si="353"/>
        <v/>
      </c>
      <c r="V1191" s="314">
        <f>SUM('RES. CENTRAL PARK:RUA_FINAL'!N1191)</f>
        <v>0</v>
      </c>
      <c r="W1191" s="315">
        <f t="shared" si="354"/>
        <v>0</v>
      </c>
    </row>
    <row r="1192" spans="1:23" ht="39" hidden="1" customHeight="1" x14ac:dyDescent="0.2">
      <c r="A1192" s="63">
        <v>101565</v>
      </c>
      <c r="B1192" s="895">
        <v>101565</v>
      </c>
      <c r="C1192" s="896" t="s">
        <v>596</v>
      </c>
      <c r="D1192" s="906" t="s">
        <v>1122</v>
      </c>
      <c r="E1192" s="907"/>
      <c r="F1192" s="908"/>
      <c r="G1192" s="912"/>
      <c r="H1192" s="901">
        <v>70.89</v>
      </c>
      <c r="I1192" s="901">
        <f t="shared" si="348"/>
        <v>70.89</v>
      </c>
      <c r="J1192" s="902">
        <f t="shared" si="347"/>
        <v>85.12</v>
      </c>
      <c r="K1192" s="903" t="s">
        <v>62</v>
      </c>
      <c r="L1192" s="904">
        <f>ROUND(SUM('RES. CENTRAL PARK:RUA_FINAL'!L1192),2)</f>
        <v>0</v>
      </c>
      <c r="M1192" s="904">
        <f t="shared" si="349"/>
        <v>0</v>
      </c>
      <c r="N1192" s="893">
        <f t="shared" si="350"/>
        <v>0</v>
      </c>
      <c r="O1192" s="905"/>
      <c r="Q1192" s="317" t="str">
        <f t="shared" si="351"/>
        <v/>
      </c>
      <c r="R1192" s="317" t="str">
        <f t="shared" si="352"/>
        <v/>
      </c>
      <c r="S1192" s="317" t="str">
        <f t="shared" si="353"/>
        <v/>
      </c>
      <c r="V1192" s="314">
        <f>SUM('RES. CENTRAL PARK:RUA_FINAL'!N1192)</f>
        <v>0</v>
      </c>
      <c r="W1192" s="315">
        <f t="shared" si="354"/>
        <v>0</v>
      </c>
    </row>
    <row r="1193" spans="1:23" ht="39" hidden="1" customHeight="1" x14ac:dyDescent="0.2">
      <c r="A1193" s="63">
        <v>101567</v>
      </c>
      <c r="B1193" s="895">
        <v>101567</v>
      </c>
      <c r="C1193" s="896" t="s">
        <v>596</v>
      </c>
      <c r="D1193" s="906" t="s">
        <v>1123</v>
      </c>
      <c r="E1193" s="907"/>
      <c r="F1193" s="908"/>
      <c r="G1193" s="912"/>
      <c r="H1193" s="901">
        <v>92.02</v>
      </c>
      <c r="I1193" s="901">
        <f t="shared" si="348"/>
        <v>92.02</v>
      </c>
      <c r="J1193" s="902">
        <f t="shared" si="347"/>
        <v>110.49</v>
      </c>
      <c r="K1193" s="903" t="s">
        <v>62</v>
      </c>
      <c r="L1193" s="904">
        <f>ROUND(SUM('RES. CENTRAL PARK:RUA_FINAL'!L1193),2)</f>
        <v>0</v>
      </c>
      <c r="M1193" s="904">
        <f t="shared" si="349"/>
        <v>0</v>
      </c>
      <c r="N1193" s="893">
        <f t="shared" si="350"/>
        <v>0</v>
      </c>
      <c r="O1193" s="905"/>
      <c r="Q1193" s="317" t="str">
        <f t="shared" si="351"/>
        <v/>
      </c>
      <c r="R1193" s="317" t="str">
        <f t="shared" si="352"/>
        <v/>
      </c>
      <c r="S1193" s="317" t="str">
        <f t="shared" si="353"/>
        <v/>
      </c>
      <c r="V1193" s="314">
        <f>SUM('RES. CENTRAL PARK:RUA_FINAL'!N1193)</f>
        <v>0</v>
      </c>
      <c r="W1193" s="315">
        <f t="shared" si="354"/>
        <v>0</v>
      </c>
    </row>
    <row r="1194" spans="1:23" ht="39" hidden="1" customHeight="1" x14ac:dyDescent="0.2">
      <c r="A1194" s="63">
        <v>101568</v>
      </c>
      <c r="B1194" s="895">
        <v>101568</v>
      </c>
      <c r="C1194" s="896" t="s">
        <v>596</v>
      </c>
      <c r="D1194" s="906" t="s">
        <v>1124</v>
      </c>
      <c r="E1194" s="907"/>
      <c r="F1194" s="908"/>
      <c r="G1194" s="912"/>
      <c r="H1194" s="901">
        <v>120.3</v>
      </c>
      <c r="I1194" s="901">
        <f t="shared" si="348"/>
        <v>120.3</v>
      </c>
      <c r="J1194" s="902">
        <f t="shared" si="347"/>
        <v>144.44</v>
      </c>
      <c r="K1194" s="903" t="s">
        <v>62</v>
      </c>
      <c r="L1194" s="904">
        <f>ROUND(SUM('RES. CENTRAL PARK:RUA_FINAL'!L1194),2)</f>
        <v>0</v>
      </c>
      <c r="M1194" s="904">
        <f t="shared" si="349"/>
        <v>0</v>
      </c>
      <c r="N1194" s="893">
        <f t="shared" si="350"/>
        <v>0</v>
      </c>
      <c r="O1194" s="905"/>
      <c r="Q1194" s="317" t="str">
        <f t="shared" si="351"/>
        <v/>
      </c>
      <c r="R1194" s="317" t="str">
        <f t="shared" si="352"/>
        <v/>
      </c>
      <c r="S1194" s="317" t="str">
        <f t="shared" si="353"/>
        <v/>
      </c>
      <c r="V1194" s="314">
        <f>SUM('RES. CENTRAL PARK:RUA_FINAL'!N1194)</f>
        <v>0</v>
      </c>
      <c r="W1194" s="315">
        <f t="shared" si="354"/>
        <v>0</v>
      </c>
    </row>
    <row r="1195" spans="1:23" ht="30" hidden="1" customHeight="1" x14ac:dyDescent="0.2">
      <c r="A1195" s="63">
        <v>95777</v>
      </c>
      <c r="B1195" s="895">
        <v>95777</v>
      </c>
      <c r="C1195" s="896" t="s">
        <v>596</v>
      </c>
      <c r="D1195" s="906" t="s">
        <v>1125</v>
      </c>
      <c r="E1195" s="907"/>
      <c r="F1195" s="908"/>
      <c r="G1195" s="912"/>
      <c r="H1195" s="901">
        <v>28.73</v>
      </c>
      <c r="I1195" s="901">
        <f t="shared" si="348"/>
        <v>28.73</v>
      </c>
      <c r="J1195" s="902">
        <f t="shared" si="347"/>
        <v>34.5</v>
      </c>
      <c r="K1195" s="903" t="s">
        <v>1516</v>
      </c>
      <c r="L1195" s="904">
        <f>ROUND(SUM('RES. CENTRAL PARK:RUA_FINAL'!L1195),2)</f>
        <v>0</v>
      </c>
      <c r="M1195" s="904">
        <f t="shared" si="349"/>
        <v>0</v>
      </c>
      <c r="N1195" s="893">
        <f t="shared" si="350"/>
        <v>0</v>
      </c>
      <c r="O1195" s="905"/>
      <c r="Q1195" s="317" t="str">
        <f t="shared" si="351"/>
        <v/>
      </c>
      <c r="R1195" s="317" t="str">
        <f t="shared" si="352"/>
        <v/>
      </c>
      <c r="S1195" s="317" t="str">
        <f t="shared" si="353"/>
        <v/>
      </c>
      <c r="V1195" s="314">
        <f>SUM('RES. CENTRAL PARK:RUA_FINAL'!N1195)</f>
        <v>0</v>
      </c>
      <c r="W1195" s="315">
        <f t="shared" si="354"/>
        <v>0</v>
      </c>
    </row>
    <row r="1196" spans="1:23" ht="30" hidden="1" customHeight="1" x14ac:dyDescent="0.2">
      <c r="A1196" s="63">
        <v>95778</v>
      </c>
      <c r="B1196" s="895">
        <v>95778</v>
      </c>
      <c r="C1196" s="896" t="s">
        <v>596</v>
      </c>
      <c r="D1196" s="906" t="s">
        <v>1126</v>
      </c>
      <c r="E1196" s="907"/>
      <c r="F1196" s="908"/>
      <c r="G1196" s="912"/>
      <c r="H1196" s="901">
        <v>32.130000000000003</v>
      </c>
      <c r="I1196" s="901">
        <f t="shared" si="348"/>
        <v>32.130000000000003</v>
      </c>
      <c r="J1196" s="902">
        <f t="shared" si="347"/>
        <v>38.58</v>
      </c>
      <c r="K1196" s="903" t="s">
        <v>1516</v>
      </c>
      <c r="L1196" s="904">
        <f>ROUND(SUM('RES. CENTRAL PARK:RUA_FINAL'!L1196),2)</f>
        <v>0</v>
      </c>
      <c r="M1196" s="904">
        <f t="shared" si="349"/>
        <v>0</v>
      </c>
      <c r="N1196" s="893">
        <f t="shared" si="350"/>
        <v>0</v>
      </c>
      <c r="O1196" s="905"/>
      <c r="Q1196" s="317" t="str">
        <f t="shared" si="351"/>
        <v/>
      </c>
      <c r="R1196" s="317" t="str">
        <f t="shared" si="352"/>
        <v/>
      </c>
      <c r="S1196" s="317" t="str">
        <f t="shared" si="353"/>
        <v/>
      </c>
      <c r="V1196" s="314">
        <f>SUM('RES. CENTRAL PARK:RUA_FINAL'!N1196)</f>
        <v>0</v>
      </c>
      <c r="W1196" s="315">
        <f t="shared" si="354"/>
        <v>0</v>
      </c>
    </row>
    <row r="1197" spans="1:23" ht="30" hidden="1" customHeight="1" x14ac:dyDescent="0.2">
      <c r="A1197" s="63">
        <v>95779</v>
      </c>
      <c r="B1197" s="895">
        <v>95779</v>
      </c>
      <c r="C1197" s="896" t="s">
        <v>596</v>
      </c>
      <c r="D1197" s="906" t="s">
        <v>1127</v>
      </c>
      <c r="E1197" s="907"/>
      <c r="F1197" s="908"/>
      <c r="G1197" s="912"/>
      <c r="H1197" s="901">
        <v>26.72</v>
      </c>
      <c r="I1197" s="901">
        <f t="shared" si="348"/>
        <v>26.72</v>
      </c>
      <c r="J1197" s="902">
        <f t="shared" si="347"/>
        <v>32.08</v>
      </c>
      <c r="K1197" s="903" t="s">
        <v>1516</v>
      </c>
      <c r="L1197" s="904">
        <f>ROUND(SUM('RES. CENTRAL PARK:RUA_FINAL'!L1197),2)</f>
        <v>0</v>
      </c>
      <c r="M1197" s="904">
        <f t="shared" si="349"/>
        <v>0</v>
      </c>
      <c r="N1197" s="893">
        <f t="shared" si="350"/>
        <v>0</v>
      </c>
      <c r="O1197" s="905"/>
      <c r="Q1197" s="317" t="str">
        <f t="shared" si="351"/>
        <v/>
      </c>
      <c r="R1197" s="317" t="str">
        <f t="shared" si="352"/>
        <v/>
      </c>
      <c r="S1197" s="317" t="str">
        <f t="shared" si="353"/>
        <v/>
      </c>
      <c r="V1197" s="314">
        <f>SUM('RES. CENTRAL PARK:RUA_FINAL'!N1197)</f>
        <v>0</v>
      </c>
      <c r="W1197" s="315">
        <f t="shared" si="354"/>
        <v>0</v>
      </c>
    </row>
    <row r="1198" spans="1:23" ht="30" hidden="1" customHeight="1" x14ac:dyDescent="0.2">
      <c r="A1198" s="63">
        <v>95780</v>
      </c>
      <c r="B1198" s="895">
        <v>95780</v>
      </c>
      <c r="C1198" s="896" t="s">
        <v>596</v>
      </c>
      <c r="D1198" s="906" t="s">
        <v>1128</v>
      </c>
      <c r="E1198" s="907"/>
      <c r="F1198" s="908"/>
      <c r="G1198" s="912"/>
      <c r="H1198" s="901">
        <v>34.22</v>
      </c>
      <c r="I1198" s="901">
        <f t="shared" si="348"/>
        <v>34.22</v>
      </c>
      <c r="J1198" s="902">
        <f t="shared" si="347"/>
        <v>41.09</v>
      </c>
      <c r="K1198" s="903" t="s">
        <v>1516</v>
      </c>
      <c r="L1198" s="904">
        <f>ROUND(SUM('RES. CENTRAL PARK:RUA_FINAL'!L1198),2)</f>
        <v>0</v>
      </c>
      <c r="M1198" s="904">
        <f t="shared" si="349"/>
        <v>0</v>
      </c>
      <c r="N1198" s="893">
        <f t="shared" si="350"/>
        <v>0</v>
      </c>
      <c r="O1198" s="905"/>
      <c r="Q1198" s="317" t="str">
        <f t="shared" si="351"/>
        <v/>
      </c>
      <c r="R1198" s="317" t="str">
        <f t="shared" si="352"/>
        <v/>
      </c>
      <c r="S1198" s="317" t="str">
        <f t="shared" si="353"/>
        <v/>
      </c>
      <c r="V1198" s="314">
        <f>SUM('RES. CENTRAL PARK:RUA_FINAL'!N1198)</f>
        <v>0</v>
      </c>
      <c r="W1198" s="315">
        <f t="shared" si="354"/>
        <v>0</v>
      </c>
    </row>
    <row r="1199" spans="1:23" ht="30" hidden="1" customHeight="1" x14ac:dyDescent="0.2">
      <c r="A1199" s="63">
        <v>95781</v>
      </c>
      <c r="B1199" s="895">
        <v>95781</v>
      </c>
      <c r="C1199" s="896" t="s">
        <v>596</v>
      </c>
      <c r="D1199" s="906" t="s">
        <v>1129</v>
      </c>
      <c r="E1199" s="907"/>
      <c r="F1199" s="908"/>
      <c r="G1199" s="912"/>
      <c r="H1199" s="901">
        <v>38.9</v>
      </c>
      <c r="I1199" s="901">
        <f t="shared" si="348"/>
        <v>38.9</v>
      </c>
      <c r="J1199" s="902">
        <f t="shared" si="347"/>
        <v>46.71</v>
      </c>
      <c r="K1199" s="903" t="s">
        <v>1516</v>
      </c>
      <c r="L1199" s="904">
        <f>ROUND(SUM('RES. CENTRAL PARK:RUA_FINAL'!L1199),2)</f>
        <v>0</v>
      </c>
      <c r="M1199" s="904">
        <f t="shared" si="349"/>
        <v>0</v>
      </c>
      <c r="N1199" s="893">
        <f t="shared" si="350"/>
        <v>0</v>
      </c>
      <c r="O1199" s="905"/>
      <c r="Q1199" s="317" t="str">
        <f t="shared" si="351"/>
        <v/>
      </c>
      <c r="R1199" s="317" t="str">
        <f t="shared" si="352"/>
        <v/>
      </c>
      <c r="S1199" s="317" t="str">
        <f t="shared" si="353"/>
        <v/>
      </c>
      <c r="V1199" s="314">
        <f>SUM('RES. CENTRAL PARK:RUA_FINAL'!N1199)</f>
        <v>0</v>
      </c>
      <c r="W1199" s="315">
        <f t="shared" si="354"/>
        <v>0</v>
      </c>
    </row>
    <row r="1200" spans="1:23" ht="30" hidden="1" customHeight="1" x14ac:dyDescent="0.2">
      <c r="A1200" s="63">
        <v>95782</v>
      </c>
      <c r="B1200" s="895">
        <v>95782</v>
      </c>
      <c r="C1200" s="896" t="s">
        <v>596</v>
      </c>
      <c r="D1200" s="906" t="s">
        <v>1130</v>
      </c>
      <c r="E1200" s="907"/>
      <c r="F1200" s="908"/>
      <c r="G1200" s="912"/>
      <c r="H1200" s="901">
        <v>36.520000000000003</v>
      </c>
      <c r="I1200" s="901">
        <f t="shared" si="348"/>
        <v>36.520000000000003</v>
      </c>
      <c r="J1200" s="902">
        <f t="shared" si="347"/>
        <v>43.85</v>
      </c>
      <c r="K1200" s="903" t="s">
        <v>1516</v>
      </c>
      <c r="L1200" s="904">
        <f>ROUND(SUM('RES. CENTRAL PARK:RUA_FINAL'!L1200),2)</f>
        <v>0</v>
      </c>
      <c r="M1200" s="904">
        <f t="shared" si="349"/>
        <v>0</v>
      </c>
      <c r="N1200" s="893">
        <f t="shared" si="350"/>
        <v>0</v>
      </c>
      <c r="O1200" s="905"/>
      <c r="Q1200" s="317" t="str">
        <f t="shared" si="351"/>
        <v/>
      </c>
      <c r="R1200" s="317" t="str">
        <f t="shared" si="352"/>
        <v/>
      </c>
      <c r="S1200" s="317" t="str">
        <f t="shared" si="353"/>
        <v/>
      </c>
      <c r="V1200" s="314">
        <f>SUM('RES. CENTRAL PARK:RUA_FINAL'!N1200)</f>
        <v>0</v>
      </c>
      <c r="W1200" s="315">
        <f t="shared" si="354"/>
        <v>0</v>
      </c>
    </row>
    <row r="1201" spans="1:23" ht="30" hidden="1" customHeight="1" x14ac:dyDescent="0.2">
      <c r="A1201" s="63">
        <v>95785</v>
      </c>
      <c r="B1201" s="895">
        <v>95785</v>
      </c>
      <c r="C1201" s="896" t="s">
        <v>596</v>
      </c>
      <c r="D1201" s="906" t="s">
        <v>1131</v>
      </c>
      <c r="E1201" s="907"/>
      <c r="F1201" s="908"/>
      <c r="G1201" s="912"/>
      <c r="H1201" s="901">
        <v>43.24</v>
      </c>
      <c r="I1201" s="901">
        <f t="shared" si="348"/>
        <v>43.24</v>
      </c>
      <c r="J1201" s="902">
        <f t="shared" si="347"/>
        <v>51.92</v>
      </c>
      <c r="K1201" s="903" t="s">
        <v>1516</v>
      </c>
      <c r="L1201" s="904">
        <f>ROUND(SUM('RES. CENTRAL PARK:RUA_FINAL'!L1201),2)</f>
        <v>0</v>
      </c>
      <c r="M1201" s="904">
        <f t="shared" si="349"/>
        <v>0</v>
      </c>
      <c r="N1201" s="893">
        <f t="shared" si="350"/>
        <v>0</v>
      </c>
      <c r="O1201" s="905"/>
      <c r="Q1201" s="317" t="str">
        <f t="shared" si="351"/>
        <v/>
      </c>
      <c r="R1201" s="317" t="str">
        <f t="shared" si="352"/>
        <v/>
      </c>
      <c r="S1201" s="317" t="str">
        <f t="shared" si="353"/>
        <v/>
      </c>
      <c r="V1201" s="314">
        <f>SUM('RES. CENTRAL PARK:RUA_FINAL'!N1201)</f>
        <v>0</v>
      </c>
      <c r="W1201" s="315">
        <f t="shared" si="354"/>
        <v>0</v>
      </c>
    </row>
    <row r="1202" spans="1:23" ht="30" hidden="1" customHeight="1" x14ac:dyDescent="0.2">
      <c r="A1202" s="63">
        <v>95787</v>
      </c>
      <c r="B1202" s="895">
        <v>95787</v>
      </c>
      <c r="C1202" s="896" t="s">
        <v>596</v>
      </c>
      <c r="D1202" s="906" t="s">
        <v>1132</v>
      </c>
      <c r="E1202" s="907"/>
      <c r="F1202" s="908"/>
      <c r="G1202" s="912"/>
      <c r="H1202" s="901">
        <v>32.24</v>
      </c>
      <c r="I1202" s="901">
        <f t="shared" si="348"/>
        <v>32.24</v>
      </c>
      <c r="J1202" s="902">
        <f t="shared" si="347"/>
        <v>38.71</v>
      </c>
      <c r="K1202" s="903" t="s">
        <v>1516</v>
      </c>
      <c r="L1202" s="904">
        <f>ROUND(SUM('RES. CENTRAL PARK:RUA_FINAL'!L1202),2)</f>
        <v>0</v>
      </c>
      <c r="M1202" s="904">
        <f t="shared" si="349"/>
        <v>0</v>
      </c>
      <c r="N1202" s="893">
        <f t="shared" si="350"/>
        <v>0</v>
      </c>
      <c r="O1202" s="905"/>
      <c r="Q1202" s="317" t="str">
        <f t="shared" si="351"/>
        <v/>
      </c>
      <c r="R1202" s="317" t="str">
        <f t="shared" si="352"/>
        <v/>
      </c>
      <c r="S1202" s="317" t="str">
        <f t="shared" si="353"/>
        <v/>
      </c>
      <c r="V1202" s="314">
        <f>SUM('RES. CENTRAL PARK:RUA_FINAL'!N1202)</f>
        <v>0</v>
      </c>
      <c r="W1202" s="315">
        <f t="shared" si="354"/>
        <v>0</v>
      </c>
    </row>
    <row r="1203" spans="1:23" ht="30" hidden="1" customHeight="1" x14ac:dyDescent="0.2">
      <c r="A1203" s="63">
        <v>95789</v>
      </c>
      <c r="B1203" s="895">
        <v>95789</v>
      </c>
      <c r="C1203" s="896" t="s">
        <v>596</v>
      </c>
      <c r="D1203" s="906" t="s">
        <v>1133</v>
      </c>
      <c r="E1203" s="907"/>
      <c r="F1203" s="908"/>
      <c r="G1203" s="912"/>
      <c r="H1203" s="901">
        <v>43.94</v>
      </c>
      <c r="I1203" s="901">
        <f t="shared" si="348"/>
        <v>43.94</v>
      </c>
      <c r="J1203" s="902">
        <f t="shared" si="347"/>
        <v>52.76</v>
      </c>
      <c r="K1203" s="903" t="s">
        <v>1516</v>
      </c>
      <c r="L1203" s="904">
        <f>ROUND(SUM('RES. CENTRAL PARK:RUA_FINAL'!L1203),2)</f>
        <v>0</v>
      </c>
      <c r="M1203" s="904">
        <f t="shared" si="349"/>
        <v>0</v>
      </c>
      <c r="N1203" s="893">
        <f t="shared" si="350"/>
        <v>0</v>
      </c>
      <c r="O1203" s="905"/>
      <c r="Q1203" s="317" t="str">
        <f t="shared" si="351"/>
        <v/>
      </c>
      <c r="R1203" s="317" t="str">
        <f t="shared" si="352"/>
        <v/>
      </c>
      <c r="S1203" s="317" t="str">
        <f t="shared" si="353"/>
        <v/>
      </c>
      <c r="V1203" s="314">
        <f>SUM('RES. CENTRAL PARK:RUA_FINAL'!N1203)</f>
        <v>0</v>
      </c>
      <c r="W1203" s="315">
        <f t="shared" si="354"/>
        <v>0</v>
      </c>
    </row>
    <row r="1204" spans="1:23" ht="30" hidden="1" customHeight="1" x14ac:dyDescent="0.2">
      <c r="A1204" s="63">
        <v>95791</v>
      </c>
      <c r="B1204" s="895">
        <v>95791</v>
      </c>
      <c r="C1204" s="896" t="s">
        <v>596</v>
      </c>
      <c r="D1204" s="906" t="s">
        <v>1134</v>
      </c>
      <c r="E1204" s="907"/>
      <c r="F1204" s="908"/>
      <c r="G1204" s="912"/>
      <c r="H1204" s="901">
        <v>61.1</v>
      </c>
      <c r="I1204" s="901">
        <f t="shared" si="348"/>
        <v>61.1</v>
      </c>
      <c r="J1204" s="902">
        <f t="shared" si="347"/>
        <v>73.36</v>
      </c>
      <c r="K1204" s="903" t="s">
        <v>1516</v>
      </c>
      <c r="L1204" s="904">
        <f>ROUND(SUM('RES. CENTRAL PARK:RUA_FINAL'!L1204),2)</f>
        <v>0</v>
      </c>
      <c r="M1204" s="904">
        <f t="shared" si="349"/>
        <v>0</v>
      </c>
      <c r="N1204" s="893">
        <f t="shared" si="350"/>
        <v>0</v>
      </c>
      <c r="O1204" s="905"/>
      <c r="Q1204" s="317" t="str">
        <f t="shared" si="351"/>
        <v/>
      </c>
      <c r="R1204" s="317" t="str">
        <f t="shared" si="352"/>
        <v/>
      </c>
      <c r="S1204" s="317" t="str">
        <f t="shared" si="353"/>
        <v/>
      </c>
      <c r="V1204" s="314">
        <f>SUM('RES. CENTRAL PARK:RUA_FINAL'!N1204)</f>
        <v>0</v>
      </c>
      <c r="W1204" s="315">
        <f t="shared" si="354"/>
        <v>0</v>
      </c>
    </row>
    <row r="1205" spans="1:23" ht="30" hidden="1" customHeight="1" x14ac:dyDescent="0.2">
      <c r="A1205" s="63">
        <v>95795</v>
      </c>
      <c r="B1205" s="895">
        <v>95795</v>
      </c>
      <c r="C1205" s="896" t="s">
        <v>596</v>
      </c>
      <c r="D1205" s="906" t="s">
        <v>1135</v>
      </c>
      <c r="E1205" s="907"/>
      <c r="F1205" s="908"/>
      <c r="G1205" s="912"/>
      <c r="H1205" s="901">
        <v>36.74</v>
      </c>
      <c r="I1205" s="901">
        <f t="shared" si="348"/>
        <v>36.74</v>
      </c>
      <c r="J1205" s="902">
        <f t="shared" si="347"/>
        <v>44.11</v>
      </c>
      <c r="K1205" s="903" t="s">
        <v>1516</v>
      </c>
      <c r="L1205" s="904">
        <f>ROUND(SUM('RES. CENTRAL PARK:RUA_FINAL'!L1205),2)</f>
        <v>0</v>
      </c>
      <c r="M1205" s="904">
        <f t="shared" si="349"/>
        <v>0</v>
      </c>
      <c r="N1205" s="893">
        <f t="shared" si="350"/>
        <v>0</v>
      </c>
      <c r="O1205" s="905"/>
      <c r="Q1205" s="317" t="str">
        <f t="shared" si="351"/>
        <v/>
      </c>
      <c r="R1205" s="317" t="str">
        <f t="shared" si="352"/>
        <v/>
      </c>
      <c r="S1205" s="317" t="str">
        <f t="shared" si="353"/>
        <v/>
      </c>
      <c r="V1205" s="314">
        <f>SUM('RES. CENTRAL PARK:RUA_FINAL'!N1205)</f>
        <v>0</v>
      </c>
      <c r="W1205" s="315">
        <f t="shared" si="354"/>
        <v>0</v>
      </c>
    </row>
    <row r="1206" spans="1:23" ht="30" hidden="1" customHeight="1" x14ac:dyDescent="0.2">
      <c r="A1206" s="63">
        <v>95796</v>
      </c>
      <c r="B1206" s="895">
        <v>95796</v>
      </c>
      <c r="C1206" s="896" t="s">
        <v>596</v>
      </c>
      <c r="D1206" s="906" t="s">
        <v>1136</v>
      </c>
      <c r="E1206" s="907"/>
      <c r="F1206" s="908"/>
      <c r="G1206" s="912"/>
      <c r="H1206" s="901">
        <v>51.6</v>
      </c>
      <c r="I1206" s="901">
        <f t="shared" si="348"/>
        <v>51.6</v>
      </c>
      <c r="J1206" s="902">
        <f t="shared" si="347"/>
        <v>61.96</v>
      </c>
      <c r="K1206" s="903" t="s">
        <v>1516</v>
      </c>
      <c r="L1206" s="904">
        <f>ROUND(SUM('RES. CENTRAL PARK:RUA_FINAL'!L1206),2)</f>
        <v>0</v>
      </c>
      <c r="M1206" s="904">
        <f t="shared" si="349"/>
        <v>0</v>
      </c>
      <c r="N1206" s="893">
        <f t="shared" si="350"/>
        <v>0</v>
      </c>
      <c r="O1206" s="905"/>
      <c r="Q1206" s="317" t="str">
        <f t="shared" si="351"/>
        <v/>
      </c>
      <c r="R1206" s="317" t="str">
        <f t="shared" si="352"/>
        <v/>
      </c>
      <c r="S1206" s="317" t="str">
        <f t="shared" si="353"/>
        <v/>
      </c>
      <c r="V1206" s="314">
        <f>SUM('RES. CENTRAL PARK:RUA_FINAL'!N1206)</f>
        <v>0</v>
      </c>
      <c r="W1206" s="315">
        <f t="shared" si="354"/>
        <v>0</v>
      </c>
    </row>
    <row r="1207" spans="1:23" ht="30" hidden="1" customHeight="1" x14ac:dyDescent="0.2">
      <c r="A1207" s="63">
        <v>95797</v>
      </c>
      <c r="B1207" s="895">
        <v>95797</v>
      </c>
      <c r="C1207" s="896" t="s">
        <v>596</v>
      </c>
      <c r="D1207" s="906" t="s">
        <v>1137</v>
      </c>
      <c r="E1207" s="907"/>
      <c r="F1207" s="908"/>
      <c r="G1207" s="912"/>
      <c r="H1207" s="901">
        <v>71.37</v>
      </c>
      <c r="I1207" s="901">
        <f t="shared" si="348"/>
        <v>71.37</v>
      </c>
      <c r="J1207" s="902">
        <f t="shared" si="347"/>
        <v>85.69</v>
      </c>
      <c r="K1207" s="903" t="s">
        <v>1516</v>
      </c>
      <c r="L1207" s="904">
        <f>ROUND(SUM('RES. CENTRAL PARK:RUA_FINAL'!L1207),2)</f>
        <v>0</v>
      </c>
      <c r="M1207" s="904">
        <f t="shared" si="349"/>
        <v>0</v>
      </c>
      <c r="N1207" s="893">
        <f t="shared" si="350"/>
        <v>0</v>
      </c>
      <c r="O1207" s="905"/>
      <c r="Q1207" s="317" t="str">
        <f t="shared" si="351"/>
        <v/>
      </c>
      <c r="R1207" s="317" t="str">
        <f t="shared" si="352"/>
        <v/>
      </c>
      <c r="S1207" s="317" t="str">
        <f t="shared" si="353"/>
        <v/>
      </c>
      <c r="V1207" s="314">
        <f>SUM('RES. CENTRAL PARK:RUA_FINAL'!N1207)</f>
        <v>0</v>
      </c>
      <c r="W1207" s="315">
        <f t="shared" si="354"/>
        <v>0</v>
      </c>
    </row>
    <row r="1208" spans="1:23" ht="30" hidden="1" customHeight="1" x14ac:dyDescent="0.2">
      <c r="A1208" s="63">
        <v>95801</v>
      </c>
      <c r="B1208" s="895">
        <v>95801</v>
      </c>
      <c r="C1208" s="896" t="s">
        <v>596</v>
      </c>
      <c r="D1208" s="906" t="s">
        <v>1138</v>
      </c>
      <c r="E1208" s="907"/>
      <c r="F1208" s="908"/>
      <c r="G1208" s="912"/>
      <c r="H1208" s="901">
        <v>43.96</v>
      </c>
      <c r="I1208" s="901">
        <f t="shared" si="348"/>
        <v>43.96</v>
      </c>
      <c r="J1208" s="902">
        <f t="shared" si="347"/>
        <v>52.78</v>
      </c>
      <c r="K1208" s="903" t="s">
        <v>1516</v>
      </c>
      <c r="L1208" s="904">
        <f>ROUND(SUM('RES. CENTRAL PARK:RUA_FINAL'!L1208),2)</f>
        <v>0</v>
      </c>
      <c r="M1208" s="904">
        <f t="shared" si="349"/>
        <v>0</v>
      </c>
      <c r="N1208" s="893">
        <f t="shared" si="350"/>
        <v>0</v>
      </c>
      <c r="O1208" s="905"/>
      <c r="Q1208" s="317" t="str">
        <f t="shared" si="351"/>
        <v/>
      </c>
      <c r="R1208" s="317" t="str">
        <f t="shared" si="352"/>
        <v/>
      </c>
      <c r="S1208" s="317" t="str">
        <f t="shared" si="353"/>
        <v/>
      </c>
      <c r="V1208" s="314">
        <f>SUM('RES. CENTRAL PARK:RUA_FINAL'!N1208)</f>
        <v>0</v>
      </c>
      <c r="W1208" s="315">
        <f t="shared" si="354"/>
        <v>0</v>
      </c>
    </row>
    <row r="1209" spans="1:23" ht="30" hidden="1" customHeight="1" x14ac:dyDescent="0.2">
      <c r="A1209" s="63">
        <v>95802</v>
      </c>
      <c r="B1209" s="895">
        <v>95802</v>
      </c>
      <c r="C1209" s="896" t="s">
        <v>596</v>
      </c>
      <c r="D1209" s="906" t="s">
        <v>1139</v>
      </c>
      <c r="E1209" s="907"/>
      <c r="F1209" s="908"/>
      <c r="G1209" s="912"/>
      <c r="H1209" s="901">
        <v>54.65</v>
      </c>
      <c r="I1209" s="901">
        <f t="shared" si="348"/>
        <v>54.65</v>
      </c>
      <c r="J1209" s="902">
        <f t="shared" si="347"/>
        <v>65.62</v>
      </c>
      <c r="K1209" s="903" t="s">
        <v>1516</v>
      </c>
      <c r="L1209" s="904">
        <f>ROUND(SUM('RES. CENTRAL PARK:RUA_FINAL'!L1209),2)</f>
        <v>0</v>
      </c>
      <c r="M1209" s="904">
        <f t="shared" si="349"/>
        <v>0</v>
      </c>
      <c r="N1209" s="893">
        <f t="shared" si="350"/>
        <v>0</v>
      </c>
      <c r="O1209" s="905"/>
      <c r="Q1209" s="317" t="str">
        <f t="shared" si="351"/>
        <v/>
      </c>
      <c r="R1209" s="317" t="str">
        <f t="shared" si="352"/>
        <v/>
      </c>
      <c r="S1209" s="317" t="str">
        <f t="shared" si="353"/>
        <v/>
      </c>
      <c r="V1209" s="314">
        <f>SUM('RES. CENTRAL PARK:RUA_FINAL'!N1209)</f>
        <v>0</v>
      </c>
      <c r="W1209" s="315">
        <f t="shared" si="354"/>
        <v>0</v>
      </c>
    </row>
    <row r="1210" spans="1:23" ht="30" hidden="1" customHeight="1" x14ac:dyDescent="0.2">
      <c r="A1210" s="63">
        <v>95803</v>
      </c>
      <c r="B1210" s="895">
        <v>95803</v>
      </c>
      <c r="C1210" s="896" t="s">
        <v>596</v>
      </c>
      <c r="D1210" s="906" t="s">
        <v>1140</v>
      </c>
      <c r="E1210" s="907"/>
      <c r="F1210" s="908"/>
      <c r="G1210" s="912"/>
      <c r="H1210" s="901">
        <v>79.510000000000005</v>
      </c>
      <c r="I1210" s="901">
        <f t="shared" si="348"/>
        <v>79.510000000000005</v>
      </c>
      <c r="J1210" s="902">
        <f t="shared" si="347"/>
        <v>95.47</v>
      </c>
      <c r="K1210" s="903" t="s">
        <v>1516</v>
      </c>
      <c r="L1210" s="904">
        <f>ROUND(SUM('RES. CENTRAL PARK:RUA_FINAL'!L1210),2)</f>
        <v>0</v>
      </c>
      <c r="M1210" s="904">
        <f t="shared" si="349"/>
        <v>0</v>
      </c>
      <c r="N1210" s="893">
        <f t="shared" si="350"/>
        <v>0</v>
      </c>
      <c r="O1210" s="905"/>
      <c r="Q1210" s="317" t="str">
        <f t="shared" si="351"/>
        <v/>
      </c>
      <c r="R1210" s="317" t="str">
        <f t="shared" si="352"/>
        <v/>
      </c>
      <c r="S1210" s="317" t="str">
        <f t="shared" si="353"/>
        <v/>
      </c>
      <c r="V1210" s="314">
        <f>SUM('RES. CENTRAL PARK:RUA_FINAL'!N1210)</f>
        <v>0</v>
      </c>
      <c r="W1210" s="315">
        <f t="shared" si="354"/>
        <v>0</v>
      </c>
    </row>
    <row r="1211" spans="1:23" ht="30" hidden="1" customHeight="1" x14ac:dyDescent="0.2">
      <c r="A1211" s="63">
        <v>95804</v>
      </c>
      <c r="B1211" s="895">
        <v>95804</v>
      </c>
      <c r="C1211" s="896" t="s">
        <v>596</v>
      </c>
      <c r="D1211" s="906" t="s">
        <v>1141</v>
      </c>
      <c r="E1211" s="907"/>
      <c r="F1211" s="908"/>
      <c r="G1211" s="912"/>
      <c r="H1211" s="901">
        <v>27.21</v>
      </c>
      <c r="I1211" s="901">
        <f t="shared" si="348"/>
        <v>27.21</v>
      </c>
      <c r="J1211" s="902">
        <f t="shared" si="347"/>
        <v>32.67</v>
      </c>
      <c r="K1211" s="903" t="s">
        <v>1516</v>
      </c>
      <c r="L1211" s="904">
        <f>ROUND(SUM('RES. CENTRAL PARK:RUA_FINAL'!L1211),2)</f>
        <v>0</v>
      </c>
      <c r="M1211" s="904">
        <f t="shared" si="349"/>
        <v>0</v>
      </c>
      <c r="N1211" s="893">
        <f t="shared" si="350"/>
        <v>0</v>
      </c>
      <c r="O1211" s="905"/>
      <c r="Q1211" s="317" t="str">
        <f t="shared" si="351"/>
        <v/>
      </c>
      <c r="R1211" s="317" t="str">
        <f t="shared" si="352"/>
        <v/>
      </c>
      <c r="S1211" s="317" t="str">
        <f t="shared" si="353"/>
        <v/>
      </c>
      <c r="V1211" s="314">
        <f>SUM('RES. CENTRAL PARK:RUA_FINAL'!N1211)</f>
        <v>0</v>
      </c>
      <c r="W1211" s="315">
        <f t="shared" si="354"/>
        <v>0</v>
      </c>
    </row>
    <row r="1212" spans="1:23" ht="30" hidden="1" customHeight="1" x14ac:dyDescent="0.2">
      <c r="A1212" s="63">
        <v>95805</v>
      </c>
      <c r="B1212" s="895">
        <v>95805</v>
      </c>
      <c r="C1212" s="896" t="s">
        <v>596</v>
      </c>
      <c r="D1212" s="906" t="s">
        <v>1142</v>
      </c>
      <c r="E1212" s="907"/>
      <c r="F1212" s="908"/>
      <c r="G1212" s="912"/>
      <c r="H1212" s="901">
        <v>28.7</v>
      </c>
      <c r="I1212" s="901">
        <f t="shared" si="348"/>
        <v>28.7</v>
      </c>
      <c r="J1212" s="902">
        <f t="shared" si="347"/>
        <v>34.46</v>
      </c>
      <c r="K1212" s="903" t="s">
        <v>1516</v>
      </c>
      <c r="L1212" s="904">
        <f>ROUND(SUM('RES. CENTRAL PARK:RUA_FINAL'!L1212),2)</f>
        <v>0</v>
      </c>
      <c r="M1212" s="904">
        <f t="shared" si="349"/>
        <v>0</v>
      </c>
      <c r="N1212" s="893">
        <f t="shared" si="350"/>
        <v>0</v>
      </c>
      <c r="O1212" s="905"/>
      <c r="Q1212" s="317" t="str">
        <f t="shared" si="351"/>
        <v/>
      </c>
      <c r="R1212" s="317" t="str">
        <f t="shared" si="352"/>
        <v/>
      </c>
      <c r="S1212" s="317" t="str">
        <f t="shared" si="353"/>
        <v/>
      </c>
      <c r="V1212" s="314">
        <f>SUM('RES. CENTRAL PARK:RUA_FINAL'!N1212)</f>
        <v>0</v>
      </c>
      <c r="W1212" s="315">
        <f t="shared" si="354"/>
        <v>0</v>
      </c>
    </row>
    <row r="1213" spans="1:23" ht="30" hidden="1" customHeight="1" x14ac:dyDescent="0.2">
      <c r="A1213" s="63">
        <v>95806</v>
      </c>
      <c r="B1213" s="895">
        <v>95806</v>
      </c>
      <c r="C1213" s="896" t="s">
        <v>596</v>
      </c>
      <c r="D1213" s="906" t="s">
        <v>1143</v>
      </c>
      <c r="E1213" s="907"/>
      <c r="F1213" s="908"/>
      <c r="G1213" s="912"/>
      <c r="H1213" s="901">
        <v>31.42</v>
      </c>
      <c r="I1213" s="901">
        <f t="shared" si="348"/>
        <v>31.42</v>
      </c>
      <c r="J1213" s="902">
        <f t="shared" si="347"/>
        <v>37.729999999999997</v>
      </c>
      <c r="K1213" s="903" t="s">
        <v>1516</v>
      </c>
      <c r="L1213" s="904">
        <f>ROUND(SUM('RES. CENTRAL PARK:RUA_FINAL'!L1213),2)</f>
        <v>0</v>
      </c>
      <c r="M1213" s="904">
        <f t="shared" si="349"/>
        <v>0</v>
      </c>
      <c r="N1213" s="893">
        <f t="shared" si="350"/>
        <v>0</v>
      </c>
      <c r="O1213" s="905"/>
      <c r="Q1213" s="317" t="str">
        <f t="shared" si="351"/>
        <v/>
      </c>
      <c r="R1213" s="317" t="str">
        <f t="shared" si="352"/>
        <v/>
      </c>
      <c r="S1213" s="317" t="str">
        <f t="shared" si="353"/>
        <v/>
      </c>
      <c r="V1213" s="314">
        <f>SUM('RES. CENTRAL PARK:RUA_FINAL'!N1213)</f>
        <v>0</v>
      </c>
      <c r="W1213" s="315">
        <f t="shared" si="354"/>
        <v>0</v>
      </c>
    </row>
    <row r="1214" spans="1:23" ht="30" hidden="1" customHeight="1" x14ac:dyDescent="0.2">
      <c r="A1214" s="63">
        <v>95807</v>
      </c>
      <c r="B1214" s="895">
        <v>95807</v>
      </c>
      <c r="C1214" s="896" t="s">
        <v>596</v>
      </c>
      <c r="D1214" s="906" t="s">
        <v>1144</v>
      </c>
      <c r="E1214" s="907"/>
      <c r="F1214" s="908"/>
      <c r="G1214" s="912"/>
      <c r="H1214" s="901">
        <v>31.89</v>
      </c>
      <c r="I1214" s="901">
        <f t="shared" si="348"/>
        <v>31.89</v>
      </c>
      <c r="J1214" s="902">
        <f t="shared" si="347"/>
        <v>38.29</v>
      </c>
      <c r="K1214" s="903" t="s">
        <v>1516</v>
      </c>
      <c r="L1214" s="904">
        <f>ROUND(SUM('RES. CENTRAL PARK:RUA_FINAL'!L1214),2)</f>
        <v>0</v>
      </c>
      <c r="M1214" s="904">
        <f t="shared" si="349"/>
        <v>0</v>
      </c>
      <c r="N1214" s="893">
        <f t="shared" si="350"/>
        <v>0</v>
      </c>
      <c r="O1214" s="905"/>
      <c r="Q1214" s="317" t="str">
        <f t="shared" si="351"/>
        <v/>
      </c>
      <c r="R1214" s="317" t="str">
        <f t="shared" si="352"/>
        <v/>
      </c>
      <c r="S1214" s="317" t="str">
        <f t="shared" si="353"/>
        <v/>
      </c>
      <c r="V1214" s="314">
        <f>SUM('RES. CENTRAL PARK:RUA_FINAL'!N1214)</f>
        <v>0</v>
      </c>
      <c r="W1214" s="315">
        <f t="shared" si="354"/>
        <v>0</v>
      </c>
    </row>
    <row r="1215" spans="1:23" ht="30" hidden="1" customHeight="1" x14ac:dyDescent="0.2">
      <c r="A1215" s="63">
        <v>95808</v>
      </c>
      <c r="B1215" s="895">
        <v>95808</v>
      </c>
      <c r="C1215" s="896" t="s">
        <v>596</v>
      </c>
      <c r="D1215" s="906" t="s">
        <v>1145</v>
      </c>
      <c r="E1215" s="907"/>
      <c r="F1215" s="908"/>
      <c r="G1215" s="912"/>
      <c r="H1215" s="901">
        <v>36.369999999999997</v>
      </c>
      <c r="I1215" s="901">
        <f t="shared" si="348"/>
        <v>36.369999999999997</v>
      </c>
      <c r="J1215" s="902">
        <f t="shared" si="347"/>
        <v>43.67</v>
      </c>
      <c r="K1215" s="903" t="s">
        <v>1516</v>
      </c>
      <c r="L1215" s="904">
        <f>ROUND(SUM('RES. CENTRAL PARK:RUA_FINAL'!L1215),2)</f>
        <v>0</v>
      </c>
      <c r="M1215" s="904">
        <f t="shared" si="349"/>
        <v>0</v>
      </c>
      <c r="N1215" s="893">
        <f t="shared" si="350"/>
        <v>0</v>
      </c>
      <c r="O1215" s="905"/>
      <c r="Q1215" s="317" t="str">
        <f t="shared" si="351"/>
        <v/>
      </c>
      <c r="R1215" s="317" t="str">
        <f t="shared" si="352"/>
        <v/>
      </c>
      <c r="S1215" s="317" t="str">
        <f t="shared" si="353"/>
        <v/>
      </c>
      <c r="V1215" s="314">
        <f>SUM('RES. CENTRAL PARK:RUA_FINAL'!N1215)</f>
        <v>0</v>
      </c>
      <c r="W1215" s="315">
        <f t="shared" si="354"/>
        <v>0</v>
      </c>
    </row>
    <row r="1216" spans="1:23" ht="30" hidden="1" customHeight="1" x14ac:dyDescent="0.2">
      <c r="A1216" s="63">
        <v>95809</v>
      </c>
      <c r="B1216" s="895">
        <v>95809</v>
      </c>
      <c r="C1216" s="896" t="s">
        <v>596</v>
      </c>
      <c r="D1216" s="906" t="s">
        <v>1146</v>
      </c>
      <c r="E1216" s="907"/>
      <c r="F1216" s="908"/>
      <c r="G1216" s="912"/>
      <c r="H1216" s="901">
        <v>45.11</v>
      </c>
      <c r="I1216" s="901">
        <f t="shared" si="348"/>
        <v>45.11</v>
      </c>
      <c r="J1216" s="902">
        <f t="shared" si="347"/>
        <v>54.16</v>
      </c>
      <c r="K1216" s="903" t="s">
        <v>1516</v>
      </c>
      <c r="L1216" s="904">
        <f>ROUND(SUM('RES. CENTRAL PARK:RUA_FINAL'!L1216),2)</f>
        <v>0</v>
      </c>
      <c r="M1216" s="904">
        <f t="shared" si="349"/>
        <v>0</v>
      </c>
      <c r="N1216" s="893">
        <f t="shared" si="350"/>
        <v>0</v>
      </c>
      <c r="O1216" s="905"/>
      <c r="Q1216" s="317" t="str">
        <f t="shared" si="351"/>
        <v/>
      </c>
      <c r="R1216" s="317" t="str">
        <f t="shared" si="352"/>
        <v/>
      </c>
      <c r="S1216" s="317" t="str">
        <f t="shared" si="353"/>
        <v/>
      </c>
      <c r="V1216" s="314">
        <f>SUM('RES. CENTRAL PARK:RUA_FINAL'!N1216)</f>
        <v>0</v>
      </c>
      <c r="W1216" s="315">
        <f t="shared" si="354"/>
        <v>0</v>
      </c>
    </row>
    <row r="1217" spans="1:23" ht="30" hidden="1" customHeight="1" x14ac:dyDescent="0.2">
      <c r="A1217" s="63">
        <v>95810</v>
      </c>
      <c r="B1217" s="895">
        <v>95810</v>
      </c>
      <c r="C1217" s="896" t="s">
        <v>596</v>
      </c>
      <c r="D1217" s="906" t="s">
        <v>1147</v>
      </c>
      <c r="E1217" s="907"/>
      <c r="F1217" s="908"/>
      <c r="G1217" s="912"/>
      <c r="H1217" s="901">
        <v>19.940000000000001</v>
      </c>
      <c r="I1217" s="901">
        <f t="shared" si="348"/>
        <v>19.940000000000001</v>
      </c>
      <c r="J1217" s="902">
        <f t="shared" si="347"/>
        <v>23.94</v>
      </c>
      <c r="K1217" s="903" t="s">
        <v>1516</v>
      </c>
      <c r="L1217" s="904">
        <f>ROUND(SUM('RES. CENTRAL PARK:RUA_FINAL'!L1217),2)</f>
        <v>0</v>
      </c>
      <c r="M1217" s="904">
        <f t="shared" si="349"/>
        <v>0</v>
      </c>
      <c r="N1217" s="893">
        <f t="shared" si="350"/>
        <v>0</v>
      </c>
      <c r="O1217" s="905"/>
      <c r="Q1217" s="317" t="str">
        <f t="shared" si="351"/>
        <v/>
      </c>
      <c r="R1217" s="317" t="str">
        <f t="shared" si="352"/>
        <v/>
      </c>
      <c r="S1217" s="317" t="str">
        <f t="shared" si="353"/>
        <v/>
      </c>
      <c r="V1217" s="314">
        <f>SUM('RES. CENTRAL PARK:RUA_FINAL'!N1217)</f>
        <v>0</v>
      </c>
      <c r="W1217" s="315">
        <f t="shared" si="354"/>
        <v>0</v>
      </c>
    </row>
    <row r="1218" spans="1:23" ht="30" hidden="1" customHeight="1" x14ac:dyDescent="0.2">
      <c r="A1218" s="63">
        <v>95811</v>
      </c>
      <c r="B1218" s="895">
        <v>95811</v>
      </c>
      <c r="C1218" s="896" t="s">
        <v>596</v>
      </c>
      <c r="D1218" s="906" t="s">
        <v>1148</v>
      </c>
      <c r="E1218" s="907"/>
      <c r="F1218" s="908"/>
      <c r="G1218" s="912"/>
      <c r="H1218" s="901">
        <v>24.43</v>
      </c>
      <c r="I1218" s="901">
        <f t="shared" si="348"/>
        <v>24.43</v>
      </c>
      <c r="J1218" s="902">
        <f t="shared" si="347"/>
        <v>29.33</v>
      </c>
      <c r="K1218" s="903" t="s">
        <v>1516</v>
      </c>
      <c r="L1218" s="904">
        <f>ROUND(SUM('RES. CENTRAL PARK:RUA_FINAL'!L1218),2)</f>
        <v>0</v>
      </c>
      <c r="M1218" s="904">
        <f t="shared" si="349"/>
        <v>0</v>
      </c>
      <c r="N1218" s="893">
        <f t="shared" si="350"/>
        <v>0</v>
      </c>
      <c r="O1218" s="905"/>
      <c r="Q1218" s="317" t="str">
        <f t="shared" si="351"/>
        <v/>
      </c>
      <c r="R1218" s="317" t="str">
        <f t="shared" si="352"/>
        <v/>
      </c>
      <c r="S1218" s="317" t="str">
        <f t="shared" si="353"/>
        <v/>
      </c>
      <c r="V1218" s="314">
        <f>SUM('RES. CENTRAL PARK:RUA_FINAL'!N1218)</f>
        <v>0</v>
      </c>
      <c r="W1218" s="315">
        <f t="shared" si="354"/>
        <v>0</v>
      </c>
    </row>
    <row r="1219" spans="1:23" ht="30" hidden="1" customHeight="1" x14ac:dyDescent="0.2">
      <c r="A1219" s="63">
        <v>95812</v>
      </c>
      <c r="B1219" s="895">
        <v>95812</v>
      </c>
      <c r="C1219" s="896" t="s">
        <v>596</v>
      </c>
      <c r="D1219" s="906" t="s">
        <v>1149</v>
      </c>
      <c r="E1219" s="907"/>
      <c r="F1219" s="908"/>
      <c r="G1219" s="912"/>
      <c r="H1219" s="901">
        <v>33.159999999999997</v>
      </c>
      <c r="I1219" s="901">
        <f t="shared" si="348"/>
        <v>33.159999999999997</v>
      </c>
      <c r="J1219" s="902">
        <f t="shared" si="347"/>
        <v>39.82</v>
      </c>
      <c r="K1219" s="903" t="s">
        <v>1516</v>
      </c>
      <c r="L1219" s="904">
        <f>ROUND(SUM('RES. CENTRAL PARK:RUA_FINAL'!L1219),2)</f>
        <v>0</v>
      </c>
      <c r="M1219" s="904">
        <f t="shared" si="349"/>
        <v>0</v>
      </c>
      <c r="N1219" s="893">
        <f t="shared" si="350"/>
        <v>0</v>
      </c>
      <c r="O1219" s="905"/>
      <c r="Q1219" s="317" t="str">
        <f t="shared" si="351"/>
        <v/>
      </c>
      <c r="R1219" s="317" t="str">
        <f t="shared" si="352"/>
        <v/>
      </c>
      <c r="S1219" s="317" t="str">
        <f t="shared" si="353"/>
        <v/>
      </c>
      <c r="V1219" s="314">
        <f>SUM('RES. CENTRAL PARK:RUA_FINAL'!N1219)</f>
        <v>0</v>
      </c>
      <c r="W1219" s="315">
        <f t="shared" si="354"/>
        <v>0</v>
      </c>
    </row>
    <row r="1220" spans="1:23" ht="30" hidden="1" customHeight="1" x14ac:dyDescent="0.2">
      <c r="A1220" s="63">
        <v>95813</v>
      </c>
      <c r="B1220" s="895">
        <v>95813</v>
      </c>
      <c r="C1220" s="896" t="s">
        <v>596</v>
      </c>
      <c r="D1220" s="906" t="s">
        <v>1150</v>
      </c>
      <c r="E1220" s="907"/>
      <c r="F1220" s="908"/>
      <c r="G1220" s="912"/>
      <c r="H1220" s="901">
        <v>23.14</v>
      </c>
      <c r="I1220" s="901">
        <f t="shared" si="348"/>
        <v>23.14</v>
      </c>
      <c r="J1220" s="902">
        <f t="shared" si="347"/>
        <v>27.78</v>
      </c>
      <c r="K1220" s="903" t="s">
        <v>1516</v>
      </c>
      <c r="L1220" s="904">
        <f>ROUND(SUM('RES. CENTRAL PARK:RUA_FINAL'!L1220),2)</f>
        <v>0</v>
      </c>
      <c r="M1220" s="904">
        <f t="shared" si="349"/>
        <v>0</v>
      </c>
      <c r="N1220" s="893">
        <f t="shared" si="350"/>
        <v>0</v>
      </c>
      <c r="O1220" s="905"/>
      <c r="Q1220" s="317" t="str">
        <f t="shared" si="351"/>
        <v/>
      </c>
      <c r="R1220" s="317" t="str">
        <f t="shared" si="352"/>
        <v/>
      </c>
      <c r="S1220" s="317" t="str">
        <f t="shared" si="353"/>
        <v/>
      </c>
      <c r="V1220" s="314">
        <f>SUM('RES. CENTRAL PARK:RUA_FINAL'!N1220)</f>
        <v>0</v>
      </c>
      <c r="W1220" s="315">
        <f t="shared" si="354"/>
        <v>0</v>
      </c>
    </row>
    <row r="1221" spans="1:23" ht="30" hidden="1" customHeight="1" x14ac:dyDescent="0.2">
      <c r="A1221" s="63">
        <v>95814</v>
      </c>
      <c r="B1221" s="895">
        <v>95814</v>
      </c>
      <c r="C1221" s="896" t="s">
        <v>596</v>
      </c>
      <c r="D1221" s="906" t="s">
        <v>1151</v>
      </c>
      <c r="E1221" s="907"/>
      <c r="F1221" s="908"/>
      <c r="G1221" s="912"/>
      <c r="H1221" s="901">
        <v>29.12</v>
      </c>
      <c r="I1221" s="901">
        <f t="shared" si="348"/>
        <v>29.12</v>
      </c>
      <c r="J1221" s="902">
        <f t="shared" si="347"/>
        <v>34.96</v>
      </c>
      <c r="K1221" s="903" t="s">
        <v>1516</v>
      </c>
      <c r="L1221" s="904">
        <f>ROUND(SUM('RES. CENTRAL PARK:RUA_FINAL'!L1221),2)</f>
        <v>0</v>
      </c>
      <c r="M1221" s="904">
        <f t="shared" si="349"/>
        <v>0</v>
      </c>
      <c r="N1221" s="893">
        <f t="shared" si="350"/>
        <v>0</v>
      </c>
      <c r="O1221" s="905"/>
      <c r="Q1221" s="317" t="str">
        <f t="shared" si="351"/>
        <v/>
      </c>
      <c r="R1221" s="317" t="str">
        <f t="shared" si="352"/>
        <v/>
      </c>
      <c r="S1221" s="317" t="str">
        <f t="shared" si="353"/>
        <v/>
      </c>
      <c r="V1221" s="314">
        <f>SUM('RES. CENTRAL PARK:RUA_FINAL'!N1221)</f>
        <v>0</v>
      </c>
      <c r="W1221" s="315">
        <f t="shared" si="354"/>
        <v>0</v>
      </c>
    </row>
    <row r="1222" spans="1:23" ht="30" hidden="1" customHeight="1" x14ac:dyDescent="0.2">
      <c r="A1222" s="63">
        <v>95815</v>
      </c>
      <c r="B1222" s="895">
        <v>95815</v>
      </c>
      <c r="C1222" s="896" t="s">
        <v>596</v>
      </c>
      <c r="D1222" s="906" t="s">
        <v>1152</v>
      </c>
      <c r="E1222" s="907"/>
      <c r="F1222" s="908"/>
      <c r="G1222" s="912"/>
      <c r="H1222" s="901">
        <v>42.77</v>
      </c>
      <c r="I1222" s="901">
        <f t="shared" si="348"/>
        <v>42.77</v>
      </c>
      <c r="J1222" s="902">
        <f t="shared" si="347"/>
        <v>51.35</v>
      </c>
      <c r="K1222" s="903" t="s">
        <v>1516</v>
      </c>
      <c r="L1222" s="904">
        <f>ROUND(SUM('RES. CENTRAL PARK:RUA_FINAL'!L1222),2)</f>
        <v>0</v>
      </c>
      <c r="M1222" s="904">
        <f t="shared" si="349"/>
        <v>0</v>
      </c>
      <c r="N1222" s="893">
        <f t="shared" si="350"/>
        <v>0</v>
      </c>
      <c r="O1222" s="905"/>
      <c r="Q1222" s="317" t="str">
        <f t="shared" si="351"/>
        <v/>
      </c>
      <c r="R1222" s="317" t="str">
        <f t="shared" si="352"/>
        <v/>
      </c>
      <c r="S1222" s="317" t="str">
        <f t="shared" si="353"/>
        <v/>
      </c>
      <c r="V1222" s="314">
        <f>SUM('RES. CENTRAL PARK:RUA_FINAL'!N1222)</f>
        <v>0</v>
      </c>
      <c r="W1222" s="315">
        <f t="shared" si="354"/>
        <v>0</v>
      </c>
    </row>
    <row r="1223" spans="1:23" ht="30" hidden="1" customHeight="1" x14ac:dyDescent="0.2">
      <c r="A1223" s="63">
        <v>95816</v>
      </c>
      <c r="B1223" s="895">
        <v>95816</v>
      </c>
      <c r="C1223" s="896" t="s">
        <v>596</v>
      </c>
      <c r="D1223" s="906" t="s">
        <v>1153</v>
      </c>
      <c r="E1223" s="907"/>
      <c r="F1223" s="908"/>
      <c r="G1223" s="912"/>
      <c r="H1223" s="901">
        <v>38.6</v>
      </c>
      <c r="I1223" s="901">
        <f t="shared" si="348"/>
        <v>38.6</v>
      </c>
      <c r="J1223" s="902">
        <f t="shared" si="347"/>
        <v>46.35</v>
      </c>
      <c r="K1223" s="903" t="s">
        <v>1516</v>
      </c>
      <c r="L1223" s="904">
        <f>ROUND(SUM('RES. CENTRAL PARK:RUA_FINAL'!L1223),2)</f>
        <v>0</v>
      </c>
      <c r="M1223" s="904">
        <f t="shared" si="349"/>
        <v>0</v>
      </c>
      <c r="N1223" s="893">
        <f t="shared" si="350"/>
        <v>0</v>
      </c>
      <c r="O1223" s="905"/>
      <c r="Q1223" s="317" t="str">
        <f t="shared" si="351"/>
        <v/>
      </c>
      <c r="R1223" s="317" t="str">
        <f t="shared" si="352"/>
        <v/>
      </c>
      <c r="S1223" s="317" t="str">
        <f t="shared" si="353"/>
        <v/>
      </c>
      <c r="V1223" s="314">
        <f>SUM('RES. CENTRAL PARK:RUA_FINAL'!N1223)</f>
        <v>0</v>
      </c>
      <c r="W1223" s="315">
        <f t="shared" si="354"/>
        <v>0</v>
      </c>
    </row>
    <row r="1224" spans="1:23" ht="30" hidden="1" customHeight="1" x14ac:dyDescent="0.2">
      <c r="A1224" s="63">
        <v>95817</v>
      </c>
      <c r="B1224" s="895">
        <v>95817</v>
      </c>
      <c r="C1224" s="896" t="s">
        <v>596</v>
      </c>
      <c r="D1224" s="906" t="s">
        <v>1154</v>
      </c>
      <c r="E1224" s="907"/>
      <c r="F1224" s="908"/>
      <c r="G1224" s="912"/>
      <c r="H1224" s="901">
        <v>45.47</v>
      </c>
      <c r="I1224" s="901">
        <f t="shared" ref="I1224:I1283" si="355">IF(ISBLANK(H1224),"",SUM(G1224:H1224))</f>
        <v>45.47</v>
      </c>
      <c r="J1224" s="902">
        <f t="shared" si="347"/>
        <v>54.6</v>
      </c>
      <c r="K1224" s="903" t="s">
        <v>1516</v>
      </c>
      <c r="L1224" s="904">
        <f>ROUND(SUM('RES. CENTRAL PARK:RUA_FINAL'!L1224),2)</f>
        <v>0</v>
      </c>
      <c r="M1224" s="904">
        <f t="shared" si="349"/>
        <v>0</v>
      </c>
      <c r="N1224" s="893">
        <f t="shared" si="350"/>
        <v>0</v>
      </c>
      <c r="O1224" s="905"/>
      <c r="Q1224" s="317" t="str">
        <f t="shared" si="351"/>
        <v/>
      </c>
      <c r="R1224" s="317" t="str">
        <f t="shared" si="352"/>
        <v/>
      </c>
      <c r="S1224" s="317" t="str">
        <f t="shared" si="353"/>
        <v/>
      </c>
      <c r="V1224" s="314">
        <f>SUM('RES. CENTRAL PARK:RUA_FINAL'!N1224)</f>
        <v>0</v>
      </c>
      <c r="W1224" s="315">
        <f t="shared" si="354"/>
        <v>0</v>
      </c>
    </row>
    <row r="1225" spans="1:23" ht="30" hidden="1" customHeight="1" x14ac:dyDescent="0.2">
      <c r="A1225" s="63">
        <v>95818</v>
      </c>
      <c r="B1225" s="895">
        <v>95818</v>
      </c>
      <c r="C1225" s="896" t="s">
        <v>596</v>
      </c>
      <c r="D1225" s="906" t="s">
        <v>1155</v>
      </c>
      <c r="E1225" s="907"/>
      <c r="F1225" s="908"/>
      <c r="G1225" s="912"/>
      <c r="H1225" s="901">
        <v>63.06</v>
      </c>
      <c r="I1225" s="901">
        <f t="shared" si="355"/>
        <v>63.06</v>
      </c>
      <c r="J1225" s="902">
        <f t="shared" ref="J1225:J1288" si="356">IF(ISBLANK(H1225),0,ROUND(I1225*(1+$E$10),2))</f>
        <v>75.72</v>
      </c>
      <c r="K1225" s="903" t="s">
        <v>1516</v>
      </c>
      <c r="L1225" s="904">
        <f>ROUND(SUM('RES. CENTRAL PARK:RUA_FINAL'!L1225),2)</f>
        <v>0</v>
      </c>
      <c r="M1225" s="904">
        <f t="shared" si="349"/>
        <v>0</v>
      </c>
      <c r="N1225" s="893">
        <f t="shared" si="350"/>
        <v>0</v>
      </c>
      <c r="O1225" s="905"/>
      <c r="Q1225" s="317" t="str">
        <f t="shared" si="351"/>
        <v/>
      </c>
      <c r="R1225" s="317" t="str">
        <f t="shared" si="352"/>
        <v/>
      </c>
      <c r="S1225" s="317" t="str">
        <f t="shared" si="353"/>
        <v/>
      </c>
      <c r="V1225" s="314">
        <f>SUM('RES. CENTRAL PARK:RUA_FINAL'!N1225)</f>
        <v>0</v>
      </c>
      <c r="W1225" s="315">
        <f t="shared" si="354"/>
        <v>0</v>
      </c>
    </row>
    <row r="1226" spans="1:23" ht="30" hidden="1" customHeight="1" x14ac:dyDescent="0.2">
      <c r="A1226" s="63">
        <v>91936</v>
      </c>
      <c r="B1226" s="895">
        <v>91936</v>
      </c>
      <c r="C1226" s="896" t="s">
        <v>596</v>
      </c>
      <c r="D1226" s="906" t="s">
        <v>1156</v>
      </c>
      <c r="E1226" s="907"/>
      <c r="F1226" s="908"/>
      <c r="G1226" s="912"/>
      <c r="H1226" s="901">
        <v>16.95</v>
      </c>
      <c r="I1226" s="901">
        <f t="shared" si="355"/>
        <v>16.95</v>
      </c>
      <c r="J1226" s="902">
        <f t="shared" si="356"/>
        <v>20.350000000000001</v>
      </c>
      <c r="K1226" s="903" t="s">
        <v>1516</v>
      </c>
      <c r="L1226" s="904">
        <f>ROUND(SUM('RES. CENTRAL PARK:RUA_FINAL'!L1226),2)</f>
        <v>0</v>
      </c>
      <c r="M1226" s="904">
        <f t="shared" si="349"/>
        <v>0</v>
      </c>
      <c r="N1226" s="893">
        <f t="shared" si="350"/>
        <v>0</v>
      </c>
      <c r="O1226" s="905"/>
      <c r="Q1226" s="317" t="str">
        <f t="shared" si="351"/>
        <v/>
      </c>
      <c r="R1226" s="317" t="str">
        <f t="shared" si="352"/>
        <v/>
      </c>
      <c r="S1226" s="317" t="str">
        <f t="shared" si="353"/>
        <v/>
      </c>
      <c r="V1226" s="314">
        <f>SUM('RES. CENTRAL PARK:RUA_FINAL'!N1226)</f>
        <v>0</v>
      </c>
      <c r="W1226" s="315">
        <f t="shared" si="354"/>
        <v>0</v>
      </c>
    </row>
    <row r="1227" spans="1:23" ht="30" hidden="1" customHeight="1" x14ac:dyDescent="0.2">
      <c r="A1227" s="63">
        <v>91937</v>
      </c>
      <c r="B1227" s="895">
        <v>91937</v>
      </c>
      <c r="C1227" s="896" t="s">
        <v>596</v>
      </c>
      <c r="D1227" s="906" t="s">
        <v>1157</v>
      </c>
      <c r="E1227" s="907"/>
      <c r="F1227" s="908"/>
      <c r="G1227" s="912"/>
      <c r="H1227" s="901">
        <v>14.37</v>
      </c>
      <c r="I1227" s="901">
        <f t="shared" si="355"/>
        <v>14.37</v>
      </c>
      <c r="J1227" s="902">
        <f t="shared" si="356"/>
        <v>17.25</v>
      </c>
      <c r="K1227" s="903" t="s">
        <v>1516</v>
      </c>
      <c r="L1227" s="904">
        <f>ROUND(SUM('RES. CENTRAL PARK:RUA_FINAL'!L1227),2)</f>
        <v>0</v>
      </c>
      <c r="M1227" s="904">
        <f t="shared" si="349"/>
        <v>0</v>
      </c>
      <c r="N1227" s="893">
        <f t="shared" si="350"/>
        <v>0</v>
      </c>
      <c r="O1227" s="905"/>
      <c r="Q1227" s="317" t="str">
        <f t="shared" si="351"/>
        <v/>
      </c>
      <c r="R1227" s="317" t="str">
        <f t="shared" si="352"/>
        <v/>
      </c>
      <c r="S1227" s="317" t="str">
        <f t="shared" si="353"/>
        <v/>
      </c>
      <c r="V1227" s="314">
        <f>SUM('RES. CENTRAL PARK:RUA_FINAL'!N1227)</f>
        <v>0</v>
      </c>
      <c r="W1227" s="315">
        <f t="shared" si="354"/>
        <v>0</v>
      </c>
    </row>
    <row r="1228" spans="1:23" ht="30" hidden="1" customHeight="1" x14ac:dyDescent="0.2">
      <c r="A1228" s="63">
        <v>91939</v>
      </c>
      <c r="B1228" s="895">
        <v>91939</v>
      </c>
      <c r="C1228" s="896" t="s">
        <v>596</v>
      </c>
      <c r="D1228" s="906" t="s">
        <v>1158</v>
      </c>
      <c r="E1228" s="907"/>
      <c r="F1228" s="908"/>
      <c r="G1228" s="912"/>
      <c r="H1228" s="901">
        <v>34.94</v>
      </c>
      <c r="I1228" s="901">
        <f t="shared" si="355"/>
        <v>34.94</v>
      </c>
      <c r="J1228" s="902">
        <f t="shared" si="356"/>
        <v>41.95</v>
      </c>
      <c r="K1228" s="903" t="s">
        <v>1516</v>
      </c>
      <c r="L1228" s="904">
        <f>ROUND(SUM('RES. CENTRAL PARK:RUA_FINAL'!L1228),2)</f>
        <v>0</v>
      </c>
      <c r="M1228" s="904">
        <f t="shared" si="349"/>
        <v>0</v>
      </c>
      <c r="N1228" s="893">
        <f t="shared" si="350"/>
        <v>0</v>
      </c>
      <c r="O1228" s="905"/>
      <c r="Q1228" s="317" t="str">
        <f t="shared" si="351"/>
        <v/>
      </c>
      <c r="R1228" s="317" t="str">
        <f t="shared" si="352"/>
        <v/>
      </c>
      <c r="S1228" s="317" t="str">
        <f t="shared" si="353"/>
        <v/>
      </c>
      <c r="V1228" s="314">
        <f>SUM('RES. CENTRAL PARK:RUA_FINAL'!N1228)</f>
        <v>0</v>
      </c>
      <c r="W1228" s="315">
        <f t="shared" si="354"/>
        <v>0</v>
      </c>
    </row>
    <row r="1229" spans="1:23" ht="30" hidden="1" customHeight="1" x14ac:dyDescent="0.2">
      <c r="A1229" s="63">
        <v>91940</v>
      </c>
      <c r="B1229" s="895">
        <v>91940</v>
      </c>
      <c r="C1229" s="896" t="s">
        <v>596</v>
      </c>
      <c r="D1229" s="906" t="s">
        <v>1159</v>
      </c>
      <c r="E1229" s="907"/>
      <c r="F1229" s="908"/>
      <c r="G1229" s="912"/>
      <c r="H1229" s="901">
        <v>18.61</v>
      </c>
      <c r="I1229" s="901">
        <f t="shared" si="355"/>
        <v>18.61</v>
      </c>
      <c r="J1229" s="902">
        <f t="shared" si="356"/>
        <v>22.35</v>
      </c>
      <c r="K1229" s="903" t="s">
        <v>1516</v>
      </c>
      <c r="L1229" s="904">
        <f>ROUND(SUM('RES. CENTRAL PARK:RUA_FINAL'!L1229),2)</f>
        <v>0</v>
      </c>
      <c r="M1229" s="904">
        <f t="shared" si="349"/>
        <v>0</v>
      </c>
      <c r="N1229" s="893">
        <f t="shared" si="350"/>
        <v>0</v>
      </c>
      <c r="O1229" s="905"/>
      <c r="Q1229" s="317" t="str">
        <f t="shared" si="351"/>
        <v/>
      </c>
      <c r="R1229" s="317" t="str">
        <f t="shared" si="352"/>
        <v/>
      </c>
      <c r="S1229" s="317" t="str">
        <f t="shared" si="353"/>
        <v/>
      </c>
      <c r="V1229" s="314">
        <f>SUM('RES. CENTRAL PARK:RUA_FINAL'!N1229)</f>
        <v>0</v>
      </c>
      <c r="W1229" s="315">
        <f t="shared" si="354"/>
        <v>0</v>
      </c>
    </row>
    <row r="1230" spans="1:23" ht="30" hidden="1" customHeight="1" x14ac:dyDescent="0.2">
      <c r="A1230" s="63">
        <v>91941</v>
      </c>
      <c r="B1230" s="895">
        <v>91941</v>
      </c>
      <c r="C1230" s="896" t="s">
        <v>596</v>
      </c>
      <c r="D1230" s="906" t="s">
        <v>1160</v>
      </c>
      <c r="E1230" s="907"/>
      <c r="F1230" s="908"/>
      <c r="G1230" s="912"/>
      <c r="H1230" s="901">
        <v>12.49</v>
      </c>
      <c r="I1230" s="901">
        <f t="shared" si="355"/>
        <v>12.49</v>
      </c>
      <c r="J1230" s="902">
        <f t="shared" si="356"/>
        <v>15</v>
      </c>
      <c r="K1230" s="903" t="s">
        <v>1516</v>
      </c>
      <c r="L1230" s="904">
        <f>ROUND(SUM('RES. CENTRAL PARK:RUA_FINAL'!L1230),2)</f>
        <v>0</v>
      </c>
      <c r="M1230" s="904">
        <f t="shared" si="349"/>
        <v>0</v>
      </c>
      <c r="N1230" s="893">
        <f t="shared" si="350"/>
        <v>0</v>
      </c>
      <c r="O1230" s="905"/>
      <c r="Q1230" s="317" t="str">
        <f t="shared" si="351"/>
        <v/>
      </c>
      <c r="R1230" s="317" t="str">
        <f t="shared" si="352"/>
        <v/>
      </c>
      <c r="S1230" s="317" t="str">
        <f t="shared" si="353"/>
        <v/>
      </c>
      <c r="V1230" s="314">
        <f>SUM('RES. CENTRAL PARK:RUA_FINAL'!N1230)</f>
        <v>0</v>
      </c>
      <c r="W1230" s="315">
        <f t="shared" si="354"/>
        <v>0</v>
      </c>
    </row>
    <row r="1231" spans="1:23" ht="30" hidden="1" customHeight="1" x14ac:dyDescent="0.2">
      <c r="A1231" s="63">
        <v>91942</v>
      </c>
      <c r="B1231" s="895">
        <v>91942</v>
      </c>
      <c r="C1231" s="896" t="s">
        <v>596</v>
      </c>
      <c r="D1231" s="906" t="s">
        <v>1161</v>
      </c>
      <c r="E1231" s="907"/>
      <c r="F1231" s="908"/>
      <c r="G1231" s="912"/>
      <c r="H1231" s="901">
        <v>42.95</v>
      </c>
      <c r="I1231" s="901">
        <f t="shared" si="355"/>
        <v>42.95</v>
      </c>
      <c r="J1231" s="902">
        <f t="shared" si="356"/>
        <v>51.57</v>
      </c>
      <c r="K1231" s="903" t="s">
        <v>1516</v>
      </c>
      <c r="L1231" s="904">
        <f>ROUND(SUM('RES. CENTRAL PARK:RUA_FINAL'!L1231),2)</f>
        <v>0</v>
      </c>
      <c r="M1231" s="904">
        <f t="shared" si="349"/>
        <v>0</v>
      </c>
      <c r="N1231" s="893">
        <f t="shared" si="350"/>
        <v>0</v>
      </c>
      <c r="O1231" s="905"/>
      <c r="Q1231" s="317" t="str">
        <f t="shared" si="351"/>
        <v/>
      </c>
      <c r="R1231" s="317" t="str">
        <f t="shared" si="352"/>
        <v/>
      </c>
      <c r="S1231" s="317" t="str">
        <f t="shared" si="353"/>
        <v/>
      </c>
      <c r="V1231" s="314">
        <f>SUM('RES. CENTRAL PARK:RUA_FINAL'!N1231)</f>
        <v>0</v>
      </c>
      <c r="W1231" s="315">
        <f t="shared" si="354"/>
        <v>0</v>
      </c>
    </row>
    <row r="1232" spans="1:23" ht="30" hidden="1" customHeight="1" x14ac:dyDescent="0.2">
      <c r="A1232" s="63">
        <v>91943</v>
      </c>
      <c r="B1232" s="895">
        <v>91943</v>
      </c>
      <c r="C1232" s="896" t="s">
        <v>596</v>
      </c>
      <c r="D1232" s="906" t="s">
        <v>1162</v>
      </c>
      <c r="E1232" s="907"/>
      <c r="F1232" s="908"/>
      <c r="G1232" s="912"/>
      <c r="H1232" s="901">
        <v>24.17</v>
      </c>
      <c r="I1232" s="901">
        <f t="shared" si="355"/>
        <v>24.17</v>
      </c>
      <c r="J1232" s="902">
        <f t="shared" si="356"/>
        <v>29.02</v>
      </c>
      <c r="K1232" s="903" t="s">
        <v>1516</v>
      </c>
      <c r="L1232" s="904">
        <f>ROUND(SUM('RES. CENTRAL PARK:RUA_FINAL'!L1232),2)</f>
        <v>0</v>
      </c>
      <c r="M1232" s="904">
        <f t="shared" si="349"/>
        <v>0</v>
      </c>
      <c r="N1232" s="893">
        <f t="shared" si="350"/>
        <v>0</v>
      </c>
      <c r="O1232" s="905"/>
      <c r="Q1232" s="317" t="str">
        <f t="shared" si="351"/>
        <v/>
      </c>
      <c r="R1232" s="317" t="str">
        <f t="shared" si="352"/>
        <v/>
      </c>
      <c r="S1232" s="317" t="str">
        <f t="shared" si="353"/>
        <v/>
      </c>
      <c r="V1232" s="314">
        <f>SUM('RES. CENTRAL PARK:RUA_FINAL'!N1232)</f>
        <v>0</v>
      </c>
      <c r="W1232" s="315">
        <f t="shared" si="354"/>
        <v>0</v>
      </c>
    </row>
    <row r="1233" spans="1:23" ht="30" hidden="1" customHeight="1" x14ac:dyDescent="0.2">
      <c r="A1233" s="63">
        <v>91944</v>
      </c>
      <c r="B1233" s="895">
        <v>91944</v>
      </c>
      <c r="C1233" s="896" t="s">
        <v>596</v>
      </c>
      <c r="D1233" s="906" t="s">
        <v>1163</v>
      </c>
      <c r="E1233" s="907"/>
      <c r="F1233" s="908"/>
      <c r="G1233" s="912"/>
      <c r="H1233" s="901">
        <v>17.149999999999999</v>
      </c>
      <c r="I1233" s="901">
        <f t="shared" si="355"/>
        <v>17.149999999999999</v>
      </c>
      <c r="J1233" s="902">
        <f t="shared" si="356"/>
        <v>20.59</v>
      </c>
      <c r="K1233" s="903" t="s">
        <v>1516</v>
      </c>
      <c r="L1233" s="904">
        <f>ROUND(SUM('RES. CENTRAL PARK:RUA_FINAL'!L1233),2)</f>
        <v>0</v>
      </c>
      <c r="M1233" s="904">
        <f t="shared" si="349"/>
        <v>0</v>
      </c>
      <c r="N1233" s="893">
        <f t="shared" si="350"/>
        <v>0</v>
      </c>
      <c r="O1233" s="905"/>
      <c r="Q1233" s="317" t="str">
        <f t="shared" si="351"/>
        <v/>
      </c>
      <c r="R1233" s="317" t="str">
        <f t="shared" si="352"/>
        <v/>
      </c>
      <c r="S1233" s="317" t="str">
        <f t="shared" si="353"/>
        <v/>
      </c>
      <c r="V1233" s="314">
        <f>SUM('RES. CENTRAL PARK:RUA_FINAL'!N1233)</f>
        <v>0</v>
      </c>
      <c r="W1233" s="315">
        <f t="shared" si="354"/>
        <v>0</v>
      </c>
    </row>
    <row r="1234" spans="1:23" ht="30" hidden="1" customHeight="1" x14ac:dyDescent="0.2">
      <c r="A1234" s="63">
        <v>92865</v>
      </c>
      <c r="B1234" s="895">
        <v>92865</v>
      </c>
      <c r="C1234" s="896" t="s">
        <v>596</v>
      </c>
      <c r="D1234" s="906" t="s">
        <v>1164</v>
      </c>
      <c r="E1234" s="907"/>
      <c r="F1234" s="908"/>
      <c r="G1234" s="912"/>
      <c r="H1234" s="901">
        <v>13.15</v>
      </c>
      <c r="I1234" s="901">
        <f t="shared" si="355"/>
        <v>13.15</v>
      </c>
      <c r="J1234" s="902">
        <f t="shared" si="356"/>
        <v>15.79</v>
      </c>
      <c r="K1234" s="903" t="s">
        <v>1516</v>
      </c>
      <c r="L1234" s="904">
        <f>ROUND(SUM('RES. CENTRAL PARK:RUA_FINAL'!L1234),2)</f>
        <v>0</v>
      </c>
      <c r="M1234" s="904">
        <f t="shared" ref="M1234:M1297" si="357">IF(L1234=0,0,ROUND(J1234,2))</f>
        <v>0</v>
      </c>
      <c r="N1234" s="893">
        <f t="shared" ref="N1234:N1297" si="358">IF(ISBLANK(L1234),0,ROUND(L1234*M1234,2))</f>
        <v>0</v>
      </c>
      <c r="O1234" s="905"/>
      <c r="Q1234" s="317" t="str">
        <f t="shared" ref="Q1234:Q1297" si="359">IF(P1234="X","x",IF(P1234="xx","x",IF(P1234="xy","x",IF(P1234="y","x",IF(OR(N1234&gt;0,N1234&gt;0),"x","")))))</f>
        <v/>
      </c>
      <c r="R1234" s="317" t="str">
        <f t="shared" ref="R1234:R1297" si="360">IF(P1234="X","x",IF(P1234="y","x",IF(P1234="xx","x",IF(N1234&gt;0,"x",""))))</f>
        <v/>
      </c>
      <c r="S1234" s="317" t="str">
        <f t="shared" ref="S1234:S1297" si="361">IF(P1234="X","x",IF(N1234&gt;0,"x",""))</f>
        <v/>
      </c>
      <c r="V1234" s="314">
        <f>SUM('RES. CENTRAL PARK:RUA_FINAL'!N1234)</f>
        <v>0</v>
      </c>
      <c r="W1234" s="315">
        <f t="shared" si="354"/>
        <v>0</v>
      </c>
    </row>
    <row r="1235" spans="1:23" ht="30" hidden="1" customHeight="1" x14ac:dyDescent="0.2">
      <c r="A1235" s="63">
        <v>92866</v>
      </c>
      <c r="B1235" s="895">
        <v>92866</v>
      </c>
      <c r="C1235" s="896" t="s">
        <v>596</v>
      </c>
      <c r="D1235" s="906" t="s">
        <v>1165</v>
      </c>
      <c r="E1235" s="907"/>
      <c r="F1235" s="908"/>
      <c r="G1235" s="912"/>
      <c r="H1235" s="901">
        <v>10.67</v>
      </c>
      <c r="I1235" s="901">
        <f t="shared" si="355"/>
        <v>10.67</v>
      </c>
      <c r="J1235" s="902">
        <f t="shared" si="356"/>
        <v>12.81</v>
      </c>
      <c r="K1235" s="903" t="s">
        <v>1516</v>
      </c>
      <c r="L1235" s="904">
        <f>ROUND(SUM('RES. CENTRAL PARK:RUA_FINAL'!L1235),2)</f>
        <v>0</v>
      </c>
      <c r="M1235" s="904">
        <f t="shared" si="357"/>
        <v>0</v>
      </c>
      <c r="N1235" s="893">
        <f t="shared" si="358"/>
        <v>0</v>
      </c>
      <c r="O1235" s="905"/>
      <c r="Q1235" s="317" t="str">
        <f t="shared" si="359"/>
        <v/>
      </c>
      <c r="R1235" s="317" t="str">
        <f t="shared" si="360"/>
        <v/>
      </c>
      <c r="S1235" s="317" t="str">
        <f t="shared" si="361"/>
        <v/>
      </c>
      <c r="V1235" s="314">
        <f>SUM('RES. CENTRAL PARK:RUA_FINAL'!N1235)</f>
        <v>0</v>
      </c>
      <c r="W1235" s="315">
        <f t="shared" si="354"/>
        <v>0</v>
      </c>
    </row>
    <row r="1236" spans="1:23" ht="30" hidden="1" customHeight="1" x14ac:dyDescent="0.2">
      <c r="A1236" s="63">
        <v>92867</v>
      </c>
      <c r="B1236" s="895">
        <v>92867</v>
      </c>
      <c r="C1236" s="896" t="s">
        <v>596</v>
      </c>
      <c r="D1236" s="906" t="s">
        <v>1166</v>
      </c>
      <c r="E1236" s="907"/>
      <c r="F1236" s="908"/>
      <c r="G1236" s="912"/>
      <c r="H1236" s="901">
        <v>33.869999999999997</v>
      </c>
      <c r="I1236" s="901">
        <f t="shared" si="355"/>
        <v>33.869999999999997</v>
      </c>
      <c r="J1236" s="902">
        <f t="shared" si="356"/>
        <v>40.67</v>
      </c>
      <c r="K1236" s="903" t="s">
        <v>1516</v>
      </c>
      <c r="L1236" s="904">
        <f>ROUND(SUM('RES. CENTRAL PARK:RUA_FINAL'!L1236),2)</f>
        <v>0</v>
      </c>
      <c r="M1236" s="904">
        <f t="shared" si="357"/>
        <v>0</v>
      </c>
      <c r="N1236" s="893">
        <f t="shared" si="358"/>
        <v>0</v>
      </c>
      <c r="O1236" s="905"/>
      <c r="Q1236" s="317" t="str">
        <f t="shared" si="359"/>
        <v/>
      </c>
      <c r="R1236" s="317" t="str">
        <f t="shared" si="360"/>
        <v/>
      </c>
      <c r="S1236" s="317" t="str">
        <f t="shared" si="361"/>
        <v/>
      </c>
      <c r="V1236" s="314">
        <f>SUM('RES. CENTRAL PARK:RUA_FINAL'!N1236)</f>
        <v>0</v>
      </c>
      <c r="W1236" s="315">
        <f t="shared" si="354"/>
        <v>0</v>
      </c>
    </row>
    <row r="1237" spans="1:23" ht="30" hidden="1" customHeight="1" x14ac:dyDescent="0.2">
      <c r="A1237" s="63">
        <v>92868</v>
      </c>
      <c r="B1237" s="895">
        <v>92868</v>
      </c>
      <c r="C1237" s="896" t="s">
        <v>596</v>
      </c>
      <c r="D1237" s="906" t="s">
        <v>1167</v>
      </c>
      <c r="E1237" s="907"/>
      <c r="F1237" s="908"/>
      <c r="G1237" s="912"/>
      <c r="H1237" s="901">
        <v>17.54</v>
      </c>
      <c r="I1237" s="901">
        <f t="shared" si="355"/>
        <v>17.54</v>
      </c>
      <c r="J1237" s="902">
        <f t="shared" si="356"/>
        <v>21.06</v>
      </c>
      <c r="K1237" s="903" t="s">
        <v>1516</v>
      </c>
      <c r="L1237" s="904">
        <f>ROUND(SUM('RES. CENTRAL PARK:RUA_FINAL'!L1237),2)</f>
        <v>0</v>
      </c>
      <c r="M1237" s="904">
        <f t="shared" si="357"/>
        <v>0</v>
      </c>
      <c r="N1237" s="893">
        <f t="shared" si="358"/>
        <v>0</v>
      </c>
      <c r="O1237" s="905"/>
      <c r="Q1237" s="317" t="str">
        <f t="shared" si="359"/>
        <v/>
      </c>
      <c r="R1237" s="317" t="str">
        <f t="shared" si="360"/>
        <v/>
      </c>
      <c r="S1237" s="317" t="str">
        <f t="shared" si="361"/>
        <v/>
      </c>
      <c r="V1237" s="314">
        <f>SUM('RES. CENTRAL PARK:RUA_FINAL'!N1237)</f>
        <v>0</v>
      </c>
      <c r="W1237" s="315">
        <f t="shared" ref="W1237:W1300" si="362">N1237-V1237</f>
        <v>0</v>
      </c>
    </row>
    <row r="1238" spans="1:23" ht="30" hidden="1" customHeight="1" x14ac:dyDescent="0.2">
      <c r="A1238" s="63">
        <v>92869</v>
      </c>
      <c r="B1238" s="895">
        <v>92869</v>
      </c>
      <c r="C1238" s="896" t="s">
        <v>596</v>
      </c>
      <c r="D1238" s="906" t="s">
        <v>1168</v>
      </c>
      <c r="E1238" s="907"/>
      <c r="F1238" s="908"/>
      <c r="G1238" s="912"/>
      <c r="H1238" s="901">
        <v>11.42</v>
      </c>
      <c r="I1238" s="901">
        <f t="shared" si="355"/>
        <v>11.42</v>
      </c>
      <c r="J1238" s="902">
        <f t="shared" si="356"/>
        <v>13.71</v>
      </c>
      <c r="K1238" s="903" t="s">
        <v>1516</v>
      </c>
      <c r="L1238" s="904">
        <f>ROUND(SUM('RES. CENTRAL PARK:RUA_FINAL'!L1238),2)</f>
        <v>0</v>
      </c>
      <c r="M1238" s="904">
        <f t="shared" si="357"/>
        <v>0</v>
      </c>
      <c r="N1238" s="893">
        <f t="shared" si="358"/>
        <v>0</v>
      </c>
      <c r="O1238" s="905"/>
      <c r="Q1238" s="317" t="str">
        <f t="shared" si="359"/>
        <v/>
      </c>
      <c r="R1238" s="317" t="str">
        <f t="shared" si="360"/>
        <v/>
      </c>
      <c r="S1238" s="317" t="str">
        <f t="shared" si="361"/>
        <v/>
      </c>
      <c r="V1238" s="314">
        <f>SUM('RES. CENTRAL PARK:RUA_FINAL'!N1238)</f>
        <v>0</v>
      </c>
      <c r="W1238" s="315">
        <f t="shared" si="362"/>
        <v>0</v>
      </c>
    </row>
    <row r="1239" spans="1:23" ht="30" hidden="1" customHeight="1" x14ac:dyDescent="0.2">
      <c r="A1239" s="63">
        <v>92870</v>
      </c>
      <c r="B1239" s="895">
        <v>92870</v>
      </c>
      <c r="C1239" s="896" t="s">
        <v>596</v>
      </c>
      <c r="D1239" s="906" t="s">
        <v>1169</v>
      </c>
      <c r="E1239" s="907"/>
      <c r="F1239" s="908"/>
      <c r="G1239" s="912"/>
      <c r="H1239" s="901">
        <v>41.08</v>
      </c>
      <c r="I1239" s="901">
        <f t="shared" si="355"/>
        <v>41.08</v>
      </c>
      <c r="J1239" s="902">
        <f t="shared" si="356"/>
        <v>49.32</v>
      </c>
      <c r="K1239" s="903" t="s">
        <v>1516</v>
      </c>
      <c r="L1239" s="904">
        <f>ROUND(SUM('RES. CENTRAL PARK:RUA_FINAL'!L1239),2)</f>
        <v>0</v>
      </c>
      <c r="M1239" s="904">
        <f t="shared" si="357"/>
        <v>0</v>
      </c>
      <c r="N1239" s="893">
        <f t="shared" si="358"/>
        <v>0</v>
      </c>
      <c r="O1239" s="905"/>
      <c r="Q1239" s="317" t="str">
        <f t="shared" si="359"/>
        <v/>
      </c>
      <c r="R1239" s="317" t="str">
        <f t="shared" si="360"/>
        <v/>
      </c>
      <c r="S1239" s="317" t="str">
        <f t="shared" si="361"/>
        <v/>
      </c>
      <c r="V1239" s="314">
        <f>SUM('RES. CENTRAL PARK:RUA_FINAL'!N1239)</f>
        <v>0</v>
      </c>
      <c r="W1239" s="315">
        <f t="shared" si="362"/>
        <v>0</v>
      </c>
    </row>
    <row r="1240" spans="1:23" ht="30" hidden="1" customHeight="1" x14ac:dyDescent="0.2">
      <c r="A1240" s="63">
        <v>92871</v>
      </c>
      <c r="B1240" s="895">
        <v>92871</v>
      </c>
      <c r="C1240" s="896" t="s">
        <v>596</v>
      </c>
      <c r="D1240" s="906" t="s">
        <v>1170</v>
      </c>
      <c r="E1240" s="907"/>
      <c r="F1240" s="908"/>
      <c r="G1240" s="912"/>
      <c r="H1240" s="901">
        <v>22.3</v>
      </c>
      <c r="I1240" s="901">
        <f t="shared" si="355"/>
        <v>22.3</v>
      </c>
      <c r="J1240" s="902">
        <f t="shared" si="356"/>
        <v>26.78</v>
      </c>
      <c r="K1240" s="903" t="s">
        <v>1516</v>
      </c>
      <c r="L1240" s="904">
        <f>ROUND(SUM('RES. CENTRAL PARK:RUA_FINAL'!L1240),2)</f>
        <v>0</v>
      </c>
      <c r="M1240" s="904">
        <f t="shared" si="357"/>
        <v>0</v>
      </c>
      <c r="N1240" s="893">
        <f t="shared" si="358"/>
        <v>0</v>
      </c>
      <c r="O1240" s="905"/>
      <c r="Q1240" s="317" t="str">
        <f t="shared" si="359"/>
        <v/>
      </c>
      <c r="R1240" s="317" t="str">
        <f t="shared" si="360"/>
        <v/>
      </c>
      <c r="S1240" s="317" t="str">
        <f t="shared" si="361"/>
        <v/>
      </c>
      <c r="V1240" s="314">
        <f>SUM('RES. CENTRAL PARK:RUA_FINAL'!N1240)</f>
        <v>0</v>
      </c>
      <c r="W1240" s="315">
        <f t="shared" si="362"/>
        <v>0</v>
      </c>
    </row>
    <row r="1241" spans="1:23" ht="30" hidden="1" customHeight="1" x14ac:dyDescent="0.2">
      <c r="A1241" s="63">
        <v>92872</v>
      </c>
      <c r="B1241" s="895">
        <v>92872</v>
      </c>
      <c r="C1241" s="896" t="s">
        <v>596</v>
      </c>
      <c r="D1241" s="906" t="s">
        <v>1171</v>
      </c>
      <c r="E1241" s="907"/>
      <c r="F1241" s="908"/>
      <c r="G1241" s="912"/>
      <c r="H1241" s="901">
        <v>15.28</v>
      </c>
      <c r="I1241" s="901">
        <f t="shared" si="355"/>
        <v>15.28</v>
      </c>
      <c r="J1241" s="902">
        <f t="shared" si="356"/>
        <v>18.350000000000001</v>
      </c>
      <c r="K1241" s="903" t="s">
        <v>1516</v>
      </c>
      <c r="L1241" s="904">
        <f>ROUND(SUM('RES. CENTRAL PARK:RUA_FINAL'!L1241),2)</f>
        <v>0</v>
      </c>
      <c r="M1241" s="904">
        <f t="shared" si="357"/>
        <v>0</v>
      </c>
      <c r="N1241" s="893">
        <f t="shared" si="358"/>
        <v>0</v>
      </c>
      <c r="O1241" s="905"/>
      <c r="Q1241" s="317" t="str">
        <f t="shared" si="359"/>
        <v/>
      </c>
      <c r="R1241" s="317" t="str">
        <f t="shared" si="360"/>
        <v/>
      </c>
      <c r="S1241" s="317" t="str">
        <f t="shared" si="361"/>
        <v/>
      </c>
      <c r="V1241" s="314">
        <f>SUM('RES. CENTRAL PARK:RUA_FINAL'!N1241)</f>
        <v>0</v>
      </c>
      <c r="W1241" s="315">
        <f t="shared" si="362"/>
        <v>0</v>
      </c>
    </row>
    <row r="1242" spans="1:23" ht="30" hidden="1" customHeight="1" x14ac:dyDescent="0.2">
      <c r="A1242" s="63">
        <v>97886</v>
      </c>
      <c r="B1242" s="895">
        <v>97886</v>
      </c>
      <c r="C1242" s="896" t="s">
        <v>596</v>
      </c>
      <c r="D1242" s="906" t="s">
        <v>1172</v>
      </c>
      <c r="E1242" s="907"/>
      <c r="F1242" s="908"/>
      <c r="G1242" s="912"/>
      <c r="H1242" s="901">
        <v>177.3</v>
      </c>
      <c r="I1242" s="901">
        <f t="shared" si="355"/>
        <v>177.3</v>
      </c>
      <c r="J1242" s="902">
        <f t="shared" si="356"/>
        <v>212.88</v>
      </c>
      <c r="K1242" s="903" t="s">
        <v>1516</v>
      </c>
      <c r="L1242" s="904">
        <f>ROUND(SUM('RES. CENTRAL PARK:RUA_FINAL'!L1242),2)</f>
        <v>0</v>
      </c>
      <c r="M1242" s="904">
        <f t="shared" si="357"/>
        <v>0</v>
      </c>
      <c r="N1242" s="893">
        <f t="shared" si="358"/>
        <v>0</v>
      </c>
      <c r="O1242" s="905"/>
      <c r="Q1242" s="317" t="str">
        <f t="shared" si="359"/>
        <v/>
      </c>
      <c r="R1242" s="317" t="str">
        <f t="shared" si="360"/>
        <v/>
      </c>
      <c r="S1242" s="317" t="str">
        <f t="shared" si="361"/>
        <v/>
      </c>
      <c r="V1242" s="314">
        <f>SUM('RES. CENTRAL PARK:RUA_FINAL'!N1242)</f>
        <v>0</v>
      </c>
      <c r="W1242" s="315">
        <f t="shared" si="362"/>
        <v>0</v>
      </c>
    </row>
    <row r="1243" spans="1:23" ht="30" hidden="1" customHeight="1" x14ac:dyDescent="0.2">
      <c r="A1243" s="63">
        <v>97887</v>
      </c>
      <c r="B1243" s="895">
        <v>97887</v>
      </c>
      <c r="C1243" s="896" t="s">
        <v>596</v>
      </c>
      <c r="D1243" s="906" t="s">
        <v>1173</v>
      </c>
      <c r="E1243" s="907"/>
      <c r="F1243" s="908"/>
      <c r="G1243" s="912"/>
      <c r="H1243" s="901">
        <v>279.77999999999997</v>
      </c>
      <c r="I1243" s="901">
        <f t="shared" si="355"/>
        <v>279.77999999999997</v>
      </c>
      <c r="J1243" s="902">
        <f t="shared" si="356"/>
        <v>335.93</v>
      </c>
      <c r="K1243" s="903" t="s">
        <v>1516</v>
      </c>
      <c r="L1243" s="904">
        <f>ROUND(SUM('RES. CENTRAL PARK:RUA_FINAL'!L1243),2)</f>
        <v>0</v>
      </c>
      <c r="M1243" s="904">
        <f t="shared" si="357"/>
        <v>0</v>
      </c>
      <c r="N1243" s="893">
        <f t="shared" si="358"/>
        <v>0</v>
      </c>
      <c r="O1243" s="905"/>
      <c r="Q1243" s="317" t="str">
        <f t="shared" si="359"/>
        <v/>
      </c>
      <c r="R1243" s="317" t="str">
        <f t="shared" si="360"/>
        <v/>
      </c>
      <c r="S1243" s="317" t="str">
        <f t="shared" si="361"/>
        <v/>
      </c>
      <c r="V1243" s="314">
        <f>SUM('RES. CENTRAL PARK:RUA_FINAL'!N1243)</f>
        <v>0</v>
      </c>
      <c r="W1243" s="315">
        <f t="shared" si="362"/>
        <v>0</v>
      </c>
    </row>
    <row r="1244" spans="1:23" ht="30" hidden="1" customHeight="1" x14ac:dyDescent="0.2">
      <c r="A1244" s="63">
        <v>97888</v>
      </c>
      <c r="B1244" s="895">
        <v>97888</v>
      </c>
      <c r="C1244" s="896" t="s">
        <v>596</v>
      </c>
      <c r="D1244" s="906" t="s">
        <v>1174</v>
      </c>
      <c r="E1244" s="907"/>
      <c r="F1244" s="908"/>
      <c r="G1244" s="912"/>
      <c r="H1244" s="901">
        <v>539.29</v>
      </c>
      <c r="I1244" s="901">
        <f t="shared" si="355"/>
        <v>539.29</v>
      </c>
      <c r="J1244" s="902">
        <f t="shared" si="356"/>
        <v>647.53</v>
      </c>
      <c r="K1244" s="903" t="s">
        <v>1516</v>
      </c>
      <c r="L1244" s="904">
        <f>ROUND(SUM('RES. CENTRAL PARK:RUA_FINAL'!L1244),2)</f>
        <v>0</v>
      </c>
      <c r="M1244" s="904">
        <f t="shared" si="357"/>
        <v>0</v>
      </c>
      <c r="N1244" s="893">
        <f t="shared" si="358"/>
        <v>0</v>
      </c>
      <c r="O1244" s="905"/>
      <c r="Q1244" s="317" t="str">
        <f t="shared" si="359"/>
        <v/>
      </c>
      <c r="R1244" s="317" t="str">
        <f t="shared" si="360"/>
        <v/>
      </c>
      <c r="S1244" s="317" t="str">
        <f t="shared" si="361"/>
        <v/>
      </c>
      <c r="V1244" s="314">
        <f>SUM('RES. CENTRAL PARK:RUA_FINAL'!N1244)</f>
        <v>0</v>
      </c>
      <c r="W1244" s="315">
        <f t="shared" si="362"/>
        <v>0</v>
      </c>
    </row>
    <row r="1245" spans="1:23" ht="30" hidden="1" customHeight="1" x14ac:dyDescent="0.2">
      <c r="A1245" s="63">
        <v>97889</v>
      </c>
      <c r="B1245" s="895">
        <v>97889</v>
      </c>
      <c r="C1245" s="896" t="s">
        <v>596</v>
      </c>
      <c r="D1245" s="906" t="s">
        <v>1175</v>
      </c>
      <c r="E1245" s="907"/>
      <c r="F1245" s="908"/>
      <c r="G1245" s="912"/>
      <c r="H1245" s="901">
        <v>730.16</v>
      </c>
      <c r="I1245" s="901">
        <f t="shared" si="355"/>
        <v>730.16</v>
      </c>
      <c r="J1245" s="902">
        <f t="shared" si="356"/>
        <v>876.7</v>
      </c>
      <c r="K1245" s="903" t="s">
        <v>1516</v>
      </c>
      <c r="L1245" s="904">
        <f>ROUND(SUM('RES. CENTRAL PARK:RUA_FINAL'!L1245),2)</f>
        <v>0</v>
      </c>
      <c r="M1245" s="904">
        <f t="shared" si="357"/>
        <v>0</v>
      </c>
      <c r="N1245" s="893">
        <f t="shared" si="358"/>
        <v>0</v>
      </c>
      <c r="O1245" s="905"/>
      <c r="Q1245" s="317" t="str">
        <f t="shared" si="359"/>
        <v/>
      </c>
      <c r="R1245" s="317" t="str">
        <f t="shared" si="360"/>
        <v/>
      </c>
      <c r="S1245" s="317" t="str">
        <f t="shared" si="361"/>
        <v/>
      </c>
      <c r="V1245" s="314">
        <f>SUM('RES. CENTRAL PARK:RUA_FINAL'!N1245)</f>
        <v>0</v>
      </c>
      <c r="W1245" s="315">
        <f t="shared" si="362"/>
        <v>0</v>
      </c>
    </row>
    <row r="1246" spans="1:23" ht="30" hidden="1" customHeight="1" x14ac:dyDescent="0.2">
      <c r="A1246" s="63">
        <v>97890</v>
      </c>
      <c r="B1246" s="895">
        <v>97890</v>
      </c>
      <c r="C1246" s="896" t="s">
        <v>596</v>
      </c>
      <c r="D1246" s="906" t="s">
        <v>1176</v>
      </c>
      <c r="E1246" s="907"/>
      <c r="F1246" s="908"/>
      <c r="G1246" s="912"/>
      <c r="H1246" s="901">
        <v>822.62</v>
      </c>
      <c r="I1246" s="901">
        <f t="shared" si="355"/>
        <v>822.62</v>
      </c>
      <c r="J1246" s="902">
        <f t="shared" si="356"/>
        <v>987.72</v>
      </c>
      <c r="K1246" s="903" t="s">
        <v>1516</v>
      </c>
      <c r="L1246" s="904">
        <f>ROUND(SUM('RES. CENTRAL PARK:RUA_FINAL'!L1246),2)</f>
        <v>0</v>
      </c>
      <c r="M1246" s="904">
        <f t="shared" si="357"/>
        <v>0</v>
      </c>
      <c r="N1246" s="893">
        <f t="shared" si="358"/>
        <v>0</v>
      </c>
      <c r="O1246" s="905"/>
      <c r="Q1246" s="317" t="str">
        <f t="shared" si="359"/>
        <v/>
      </c>
      <c r="R1246" s="317" t="str">
        <f t="shared" si="360"/>
        <v/>
      </c>
      <c r="S1246" s="317" t="str">
        <f t="shared" si="361"/>
        <v/>
      </c>
      <c r="V1246" s="314">
        <f>SUM('RES. CENTRAL PARK:RUA_FINAL'!N1246)</f>
        <v>0</v>
      </c>
      <c r="W1246" s="315">
        <f t="shared" si="362"/>
        <v>0</v>
      </c>
    </row>
    <row r="1247" spans="1:23" ht="30" hidden="1" customHeight="1" x14ac:dyDescent="0.2">
      <c r="A1247" s="63">
        <v>97933</v>
      </c>
      <c r="B1247" s="895">
        <v>97933</v>
      </c>
      <c r="C1247" s="896" t="s">
        <v>596</v>
      </c>
      <c r="D1247" s="906" t="s">
        <v>1177</v>
      </c>
      <c r="E1247" s="907"/>
      <c r="F1247" s="908"/>
      <c r="G1247" s="912"/>
      <c r="H1247" s="901">
        <v>779.23</v>
      </c>
      <c r="I1247" s="901">
        <f t="shared" si="355"/>
        <v>779.23</v>
      </c>
      <c r="J1247" s="902">
        <f t="shared" si="356"/>
        <v>935.62</v>
      </c>
      <c r="K1247" s="903" t="s">
        <v>1516</v>
      </c>
      <c r="L1247" s="904">
        <f>ROUND(SUM('RES. CENTRAL PARK:RUA_FINAL'!L1247),2)</f>
        <v>0</v>
      </c>
      <c r="M1247" s="904">
        <f t="shared" si="357"/>
        <v>0</v>
      </c>
      <c r="N1247" s="893">
        <f t="shared" si="358"/>
        <v>0</v>
      </c>
      <c r="O1247" s="905"/>
      <c r="Q1247" s="317" t="str">
        <f t="shared" si="359"/>
        <v/>
      </c>
      <c r="R1247" s="317" t="str">
        <f t="shared" si="360"/>
        <v/>
      </c>
      <c r="S1247" s="317" t="str">
        <f t="shared" si="361"/>
        <v/>
      </c>
      <c r="V1247" s="314">
        <f>SUM('RES. CENTRAL PARK:RUA_FINAL'!N1247)</f>
        <v>0</v>
      </c>
      <c r="W1247" s="315">
        <f t="shared" si="362"/>
        <v>0</v>
      </c>
    </row>
    <row r="1248" spans="1:23" ht="30" hidden="1" customHeight="1" x14ac:dyDescent="0.2">
      <c r="A1248" s="63">
        <v>97947</v>
      </c>
      <c r="B1248" s="895">
        <v>97947</v>
      </c>
      <c r="C1248" s="896" t="s">
        <v>596</v>
      </c>
      <c r="D1248" s="906" t="s">
        <v>1178</v>
      </c>
      <c r="E1248" s="907"/>
      <c r="F1248" s="908"/>
      <c r="G1248" s="912"/>
      <c r="H1248" s="901">
        <v>1737.19</v>
      </c>
      <c r="I1248" s="901">
        <f t="shared" si="355"/>
        <v>1737.19</v>
      </c>
      <c r="J1248" s="902">
        <f t="shared" si="356"/>
        <v>2085.84</v>
      </c>
      <c r="K1248" s="903" t="s">
        <v>1516</v>
      </c>
      <c r="L1248" s="904">
        <f>ROUND(SUM('RES. CENTRAL PARK:RUA_FINAL'!L1248),2)</f>
        <v>0</v>
      </c>
      <c r="M1248" s="904">
        <f t="shared" si="357"/>
        <v>0</v>
      </c>
      <c r="N1248" s="893">
        <f t="shared" si="358"/>
        <v>0</v>
      </c>
      <c r="O1248" s="905"/>
      <c r="Q1248" s="317" t="str">
        <f t="shared" si="359"/>
        <v/>
      </c>
      <c r="R1248" s="317" t="str">
        <f t="shared" si="360"/>
        <v/>
      </c>
      <c r="S1248" s="317" t="str">
        <f t="shared" si="361"/>
        <v/>
      </c>
      <c r="V1248" s="314">
        <f>SUM('RES. CENTRAL PARK:RUA_FINAL'!N1248)</f>
        <v>0</v>
      </c>
      <c r="W1248" s="315">
        <f t="shared" si="362"/>
        <v>0</v>
      </c>
    </row>
    <row r="1249" spans="1:23" ht="30" hidden="1" customHeight="1" x14ac:dyDescent="0.2">
      <c r="A1249" s="63">
        <v>97948</v>
      </c>
      <c r="B1249" s="895">
        <v>97948</v>
      </c>
      <c r="C1249" s="896" t="s">
        <v>596</v>
      </c>
      <c r="D1249" s="906" t="s">
        <v>1179</v>
      </c>
      <c r="E1249" s="907"/>
      <c r="F1249" s="908"/>
      <c r="G1249" s="912"/>
      <c r="H1249" s="901">
        <v>3167.41</v>
      </c>
      <c r="I1249" s="901">
        <f t="shared" si="355"/>
        <v>3167.41</v>
      </c>
      <c r="J1249" s="902">
        <f t="shared" si="356"/>
        <v>3803.11</v>
      </c>
      <c r="K1249" s="903" t="s">
        <v>1516</v>
      </c>
      <c r="L1249" s="904">
        <f>ROUND(SUM('RES. CENTRAL PARK:RUA_FINAL'!L1249),2)</f>
        <v>0</v>
      </c>
      <c r="M1249" s="904">
        <f t="shared" si="357"/>
        <v>0</v>
      </c>
      <c r="N1249" s="893">
        <f t="shared" si="358"/>
        <v>0</v>
      </c>
      <c r="O1249" s="905"/>
      <c r="Q1249" s="317" t="str">
        <f t="shared" si="359"/>
        <v/>
      </c>
      <c r="R1249" s="317" t="str">
        <f t="shared" si="360"/>
        <v/>
      </c>
      <c r="S1249" s="317" t="str">
        <f t="shared" si="361"/>
        <v/>
      </c>
      <c r="V1249" s="314">
        <f>SUM('RES. CENTRAL PARK:RUA_FINAL'!N1249)</f>
        <v>0</v>
      </c>
      <c r="W1249" s="315">
        <f t="shared" si="362"/>
        <v>0</v>
      </c>
    </row>
    <row r="1250" spans="1:23" ht="30" hidden="1" customHeight="1" x14ac:dyDescent="0.2">
      <c r="A1250" s="63">
        <v>97953</v>
      </c>
      <c r="B1250" s="895">
        <v>97953</v>
      </c>
      <c r="C1250" s="896" t="s">
        <v>596</v>
      </c>
      <c r="D1250" s="906" t="s">
        <v>1180</v>
      </c>
      <c r="E1250" s="907"/>
      <c r="F1250" s="908"/>
      <c r="G1250" s="912"/>
      <c r="H1250" s="901">
        <v>1225.21</v>
      </c>
      <c r="I1250" s="901">
        <f t="shared" si="355"/>
        <v>1225.21</v>
      </c>
      <c r="J1250" s="902">
        <f t="shared" si="356"/>
        <v>1471.11</v>
      </c>
      <c r="K1250" s="903" t="s">
        <v>1516</v>
      </c>
      <c r="L1250" s="904">
        <f>ROUND(SUM('RES. CENTRAL PARK:RUA_FINAL'!L1250),2)</f>
        <v>0</v>
      </c>
      <c r="M1250" s="904">
        <f t="shared" si="357"/>
        <v>0</v>
      </c>
      <c r="N1250" s="893">
        <f t="shared" si="358"/>
        <v>0</v>
      </c>
      <c r="O1250" s="905"/>
      <c r="Q1250" s="317" t="str">
        <f t="shared" si="359"/>
        <v/>
      </c>
      <c r="R1250" s="317" t="str">
        <f t="shared" si="360"/>
        <v/>
      </c>
      <c r="S1250" s="317" t="str">
        <f t="shared" si="361"/>
        <v/>
      </c>
      <c r="V1250" s="314">
        <f>SUM('RES. CENTRAL PARK:RUA_FINAL'!N1250)</f>
        <v>0</v>
      </c>
      <c r="W1250" s="315">
        <f t="shared" si="362"/>
        <v>0</v>
      </c>
    </row>
    <row r="1251" spans="1:23" ht="30" hidden="1" customHeight="1" x14ac:dyDescent="0.2">
      <c r="A1251" s="63">
        <v>97955</v>
      </c>
      <c r="B1251" s="895">
        <v>97955</v>
      </c>
      <c r="C1251" s="896" t="s">
        <v>596</v>
      </c>
      <c r="D1251" s="906" t="s">
        <v>1181</v>
      </c>
      <c r="E1251" s="907"/>
      <c r="F1251" s="908"/>
      <c r="G1251" s="912"/>
      <c r="H1251" s="901">
        <v>2655.52</v>
      </c>
      <c r="I1251" s="901">
        <f t="shared" si="355"/>
        <v>2655.52</v>
      </c>
      <c r="J1251" s="902">
        <f t="shared" si="356"/>
        <v>3188.48</v>
      </c>
      <c r="K1251" s="903" t="s">
        <v>1516</v>
      </c>
      <c r="L1251" s="904">
        <f>ROUND(SUM('RES. CENTRAL PARK:RUA_FINAL'!L1251),2)</f>
        <v>0</v>
      </c>
      <c r="M1251" s="904">
        <f t="shared" si="357"/>
        <v>0</v>
      </c>
      <c r="N1251" s="893">
        <f t="shared" si="358"/>
        <v>0</v>
      </c>
      <c r="O1251" s="905"/>
      <c r="Q1251" s="317" t="str">
        <f t="shared" si="359"/>
        <v/>
      </c>
      <c r="R1251" s="317" t="str">
        <f t="shared" si="360"/>
        <v/>
      </c>
      <c r="S1251" s="317" t="str">
        <f t="shared" si="361"/>
        <v/>
      </c>
      <c r="V1251" s="314">
        <f>SUM('RES. CENTRAL PARK:RUA_FINAL'!N1251)</f>
        <v>0</v>
      </c>
      <c r="W1251" s="315">
        <f t="shared" si="362"/>
        <v>0</v>
      </c>
    </row>
    <row r="1252" spans="1:23" ht="30" hidden="1" customHeight="1" x14ac:dyDescent="0.2">
      <c r="A1252" s="63">
        <v>97891</v>
      </c>
      <c r="B1252" s="895">
        <v>97891</v>
      </c>
      <c r="C1252" s="896" t="s">
        <v>596</v>
      </c>
      <c r="D1252" s="906" t="s">
        <v>1182</v>
      </c>
      <c r="E1252" s="907"/>
      <c r="F1252" s="908"/>
      <c r="G1252" s="912"/>
      <c r="H1252" s="901">
        <v>208.61</v>
      </c>
      <c r="I1252" s="901">
        <f t="shared" si="355"/>
        <v>208.61</v>
      </c>
      <c r="J1252" s="902">
        <f t="shared" si="356"/>
        <v>250.48</v>
      </c>
      <c r="K1252" s="903" t="s">
        <v>1516</v>
      </c>
      <c r="L1252" s="904">
        <f>ROUND(SUM('RES. CENTRAL PARK:RUA_FINAL'!L1252),2)</f>
        <v>0</v>
      </c>
      <c r="M1252" s="904">
        <f t="shared" si="357"/>
        <v>0</v>
      </c>
      <c r="N1252" s="893">
        <f t="shared" si="358"/>
        <v>0</v>
      </c>
      <c r="O1252" s="905"/>
      <c r="Q1252" s="317" t="str">
        <f t="shared" si="359"/>
        <v/>
      </c>
      <c r="R1252" s="317" t="str">
        <f t="shared" si="360"/>
        <v/>
      </c>
      <c r="S1252" s="317" t="str">
        <f t="shared" si="361"/>
        <v/>
      </c>
      <c r="V1252" s="314">
        <f>SUM('RES. CENTRAL PARK:RUA_FINAL'!N1252)</f>
        <v>0</v>
      </c>
      <c r="W1252" s="315">
        <f t="shared" si="362"/>
        <v>0</v>
      </c>
    </row>
    <row r="1253" spans="1:23" ht="30" hidden="1" customHeight="1" x14ac:dyDescent="0.2">
      <c r="A1253" s="63">
        <v>97892</v>
      </c>
      <c r="B1253" s="895">
        <v>97892</v>
      </c>
      <c r="C1253" s="896" t="s">
        <v>596</v>
      </c>
      <c r="D1253" s="906" t="s">
        <v>1183</v>
      </c>
      <c r="E1253" s="907"/>
      <c r="F1253" s="908"/>
      <c r="G1253" s="912"/>
      <c r="H1253" s="901">
        <v>388.86</v>
      </c>
      <c r="I1253" s="901">
        <f t="shared" si="355"/>
        <v>388.86</v>
      </c>
      <c r="J1253" s="902">
        <f t="shared" si="356"/>
        <v>466.9</v>
      </c>
      <c r="K1253" s="903" t="s">
        <v>1516</v>
      </c>
      <c r="L1253" s="904">
        <f>ROUND(SUM('RES. CENTRAL PARK:RUA_FINAL'!L1253),2)</f>
        <v>0</v>
      </c>
      <c r="M1253" s="904">
        <f t="shared" si="357"/>
        <v>0</v>
      </c>
      <c r="N1253" s="893">
        <f t="shared" si="358"/>
        <v>0</v>
      </c>
      <c r="O1253" s="905"/>
      <c r="Q1253" s="317" t="str">
        <f t="shared" si="359"/>
        <v/>
      </c>
      <c r="R1253" s="317" t="str">
        <f t="shared" si="360"/>
        <v/>
      </c>
      <c r="S1253" s="317" t="str">
        <f t="shared" si="361"/>
        <v/>
      </c>
      <c r="V1253" s="314">
        <f>SUM('RES. CENTRAL PARK:RUA_FINAL'!N1253)</f>
        <v>0</v>
      </c>
      <c r="W1253" s="315">
        <f t="shared" si="362"/>
        <v>0</v>
      </c>
    </row>
    <row r="1254" spans="1:23" ht="30" hidden="1" customHeight="1" x14ac:dyDescent="0.2">
      <c r="A1254" s="63">
        <v>97893</v>
      </c>
      <c r="B1254" s="895">
        <v>97893</v>
      </c>
      <c r="C1254" s="896" t="s">
        <v>596</v>
      </c>
      <c r="D1254" s="906" t="s">
        <v>1184</v>
      </c>
      <c r="E1254" s="907"/>
      <c r="F1254" s="908"/>
      <c r="G1254" s="912"/>
      <c r="H1254" s="901">
        <v>538.29</v>
      </c>
      <c r="I1254" s="901">
        <f t="shared" si="355"/>
        <v>538.29</v>
      </c>
      <c r="J1254" s="902">
        <f t="shared" si="356"/>
        <v>646.32000000000005</v>
      </c>
      <c r="K1254" s="903" t="s">
        <v>1516</v>
      </c>
      <c r="L1254" s="904">
        <f>ROUND(SUM('RES. CENTRAL PARK:RUA_FINAL'!L1254),2)</f>
        <v>0</v>
      </c>
      <c r="M1254" s="904">
        <f t="shared" si="357"/>
        <v>0</v>
      </c>
      <c r="N1254" s="893">
        <f t="shared" si="358"/>
        <v>0</v>
      </c>
      <c r="O1254" s="905"/>
      <c r="Q1254" s="317" t="str">
        <f t="shared" si="359"/>
        <v/>
      </c>
      <c r="R1254" s="317" t="str">
        <f t="shared" si="360"/>
        <v/>
      </c>
      <c r="S1254" s="317" t="str">
        <f t="shared" si="361"/>
        <v/>
      </c>
      <c r="V1254" s="314">
        <f>SUM('RES. CENTRAL PARK:RUA_FINAL'!N1254)</f>
        <v>0</v>
      </c>
      <c r="W1254" s="315">
        <f t="shared" si="362"/>
        <v>0</v>
      </c>
    </row>
    <row r="1255" spans="1:23" ht="30" hidden="1" customHeight="1" x14ac:dyDescent="0.2">
      <c r="A1255" s="63">
        <v>97894</v>
      </c>
      <c r="B1255" s="895">
        <v>97894</v>
      </c>
      <c r="C1255" s="896" t="s">
        <v>596</v>
      </c>
      <c r="D1255" s="906" t="s">
        <v>1185</v>
      </c>
      <c r="E1255" s="907"/>
      <c r="F1255" s="908"/>
      <c r="G1255" s="912"/>
      <c r="H1255" s="901">
        <v>590.13</v>
      </c>
      <c r="I1255" s="901">
        <f t="shared" si="355"/>
        <v>590.13</v>
      </c>
      <c r="J1255" s="902">
        <f t="shared" si="356"/>
        <v>708.57</v>
      </c>
      <c r="K1255" s="903" t="s">
        <v>1516</v>
      </c>
      <c r="L1255" s="904">
        <f>ROUND(SUM('RES. CENTRAL PARK:RUA_FINAL'!L1255),2)</f>
        <v>0</v>
      </c>
      <c r="M1255" s="904">
        <f t="shared" si="357"/>
        <v>0</v>
      </c>
      <c r="N1255" s="893">
        <f t="shared" si="358"/>
        <v>0</v>
      </c>
      <c r="O1255" s="905"/>
      <c r="Q1255" s="317" t="str">
        <f t="shared" si="359"/>
        <v/>
      </c>
      <c r="R1255" s="317" t="str">
        <f t="shared" si="360"/>
        <v/>
      </c>
      <c r="S1255" s="317" t="str">
        <f t="shared" si="361"/>
        <v/>
      </c>
      <c r="V1255" s="314">
        <f>SUM('RES. CENTRAL PARK:RUA_FINAL'!N1255)</f>
        <v>0</v>
      </c>
      <c r="W1255" s="315">
        <f t="shared" si="362"/>
        <v>0</v>
      </c>
    </row>
    <row r="1256" spans="1:23" ht="30" hidden="1" customHeight="1" x14ac:dyDescent="0.2">
      <c r="A1256" s="63">
        <v>97881</v>
      </c>
      <c r="B1256" s="895">
        <v>97881</v>
      </c>
      <c r="C1256" s="896" t="s">
        <v>596</v>
      </c>
      <c r="D1256" s="906" t="s">
        <v>1186</v>
      </c>
      <c r="E1256" s="907"/>
      <c r="F1256" s="908"/>
      <c r="G1256" s="912"/>
      <c r="H1256" s="901">
        <v>108.09</v>
      </c>
      <c r="I1256" s="901">
        <f t="shared" si="355"/>
        <v>108.09</v>
      </c>
      <c r="J1256" s="902">
        <f t="shared" si="356"/>
        <v>129.78</v>
      </c>
      <c r="K1256" s="903" t="s">
        <v>1516</v>
      </c>
      <c r="L1256" s="904">
        <f>ROUND(SUM('RES. CENTRAL PARK:RUA_FINAL'!L1256),2)</f>
        <v>0</v>
      </c>
      <c r="M1256" s="904">
        <f t="shared" si="357"/>
        <v>0</v>
      </c>
      <c r="N1256" s="893">
        <f t="shared" si="358"/>
        <v>0</v>
      </c>
      <c r="O1256" s="905"/>
      <c r="Q1256" s="317" t="str">
        <f t="shared" si="359"/>
        <v/>
      </c>
      <c r="R1256" s="317" t="str">
        <f t="shared" si="360"/>
        <v/>
      </c>
      <c r="S1256" s="317" t="str">
        <f t="shared" si="361"/>
        <v/>
      </c>
      <c r="V1256" s="314">
        <f>SUM('RES. CENTRAL PARK:RUA_FINAL'!N1256)</f>
        <v>0</v>
      </c>
      <c r="W1256" s="315">
        <f t="shared" si="362"/>
        <v>0</v>
      </c>
    </row>
    <row r="1257" spans="1:23" ht="30" hidden="1" customHeight="1" x14ac:dyDescent="0.2">
      <c r="A1257" s="63">
        <v>97882</v>
      </c>
      <c r="B1257" s="895">
        <v>97882</v>
      </c>
      <c r="C1257" s="896" t="s">
        <v>596</v>
      </c>
      <c r="D1257" s="906" t="s">
        <v>1187</v>
      </c>
      <c r="E1257" s="907"/>
      <c r="F1257" s="908"/>
      <c r="G1257" s="912"/>
      <c r="H1257" s="901">
        <v>168.28</v>
      </c>
      <c r="I1257" s="901">
        <f t="shared" si="355"/>
        <v>168.28</v>
      </c>
      <c r="J1257" s="902">
        <f t="shared" si="356"/>
        <v>202.05</v>
      </c>
      <c r="K1257" s="903" t="s">
        <v>1516</v>
      </c>
      <c r="L1257" s="904">
        <f>ROUND(SUM('RES. CENTRAL PARK:RUA_FINAL'!L1257),2)</f>
        <v>0</v>
      </c>
      <c r="M1257" s="904">
        <f t="shared" si="357"/>
        <v>0</v>
      </c>
      <c r="N1257" s="893">
        <f t="shared" si="358"/>
        <v>0</v>
      </c>
      <c r="O1257" s="905"/>
      <c r="Q1257" s="317" t="str">
        <f t="shared" si="359"/>
        <v/>
      </c>
      <c r="R1257" s="317" t="str">
        <f t="shared" si="360"/>
        <v/>
      </c>
      <c r="S1257" s="317" t="str">
        <f t="shared" si="361"/>
        <v/>
      </c>
      <c r="V1257" s="314">
        <f>SUM('RES. CENTRAL PARK:RUA_FINAL'!N1257)</f>
        <v>0</v>
      </c>
      <c r="W1257" s="315">
        <f t="shared" si="362"/>
        <v>0</v>
      </c>
    </row>
    <row r="1258" spans="1:23" ht="30" hidden="1" customHeight="1" x14ac:dyDescent="0.2">
      <c r="A1258" s="63">
        <v>97883</v>
      </c>
      <c r="B1258" s="895">
        <v>97883</v>
      </c>
      <c r="C1258" s="896" t="s">
        <v>596</v>
      </c>
      <c r="D1258" s="906" t="s">
        <v>1188</v>
      </c>
      <c r="E1258" s="907"/>
      <c r="F1258" s="908"/>
      <c r="G1258" s="912"/>
      <c r="H1258" s="901">
        <v>324.05</v>
      </c>
      <c r="I1258" s="901">
        <f t="shared" si="355"/>
        <v>324.05</v>
      </c>
      <c r="J1258" s="902">
        <f t="shared" si="356"/>
        <v>389.09</v>
      </c>
      <c r="K1258" s="903" t="s">
        <v>1516</v>
      </c>
      <c r="L1258" s="904">
        <f>ROUND(SUM('RES. CENTRAL PARK:RUA_FINAL'!L1258),2)</f>
        <v>0</v>
      </c>
      <c r="M1258" s="904">
        <f t="shared" si="357"/>
        <v>0</v>
      </c>
      <c r="N1258" s="893">
        <f t="shared" si="358"/>
        <v>0</v>
      </c>
      <c r="O1258" s="905"/>
      <c r="Q1258" s="317" t="str">
        <f t="shared" si="359"/>
        <v/>
      </c>
      <c r="R1258" s="317" t="str">
        <f t="shared" si="360"/>
        <v/>
      </c>
      <c r="S1258" s="317" t="str">
        <f t="shared" si="361"/>
        <v/>
      </c>
      <c r="V1258" s="314">
        <f>SUM('RES. CENTRAL PARK:RUA_FINAL'!N1258)</f>
        <v>0</v>
      </c>
      <c r="W1258" s="315">
        <f t="shared" si="362"/>
        <v>0</v>
      </c>
    </row>
    <row r="1259" spans="1:23" ht="30" hidden="1" customHeight="1" x14ac:dyDescent="0.2">
      <c r="A1259" s="63">
        <v>97884</v>
      </c>
      <c r="B1259" s="895">
        <v>97884</v>
      </c>
      <c r="C1259" s="896" t="s">
        <v>596</v>
      </c>
      <c r="D1259" s="906" t="s">
        <v>1189</v>
      </c>
      <c r="E1259" s="907"/>
      <c r="F1259" s="908"/>
      <c r="G1259" s="912"/>
      <c r="H1259" s="901">
        <v>625.80999999999995</v>
      </c>
      <c r="I1259" s="901">
        <f t="shared" si="355"/>
        <v>625.80999999999995</v>
      </c>
      <c r="J1259" s="902">
        <f t="shared" si="356"/>
        <v>751.41</v>
      </c>
      <c r="K1259" s="903" t="s">
        <v>1516</v>
      </c>
      <c r="L1259" s="904">
        <f>ROUND(SUM('RES. CENTRAL PARK:RUA_FINAL'!L1259),2)</f>
        <v>0</v>
      </c>
      <c r="M1259" s="904">
        <f t="shared" si="357"/>
        <v>0</v>
      </c>
      <c r="N1259" s="893">
        <f t="shared" si="358"/>
        <v>0</v>
      </c>
      <c r="O1259" s="905"/>
      <c r="Q1259" s="317" t="str">
        <f t="shared" si="359"/>
        <v/>
      </c>
      <c r="R1259" s="317" t="str">
        <f t="shared" si="360"/>
        <v/>
      </c>
      <c r="S1259" s="317" t="str">
        <f t="shared" si="361"/>
        <v/>
      </c>
      <c r="V1259" s="314">
        <f>SUM('RES. CENTRAL PARK:RUA_FINAL'!N1259)</f>
        <v>0</v>
      </c>
      <c r="W1259" s="315">
        <f t="shared" si="362"/>
        <v>0</v>
      </c>
    </row>
    <row r="1260" spans="1:23" ht="30" hidden="1" customHeight="1" x14ac:dyDescent="0.2">
      <c r="A1260" s="63">
        <v>97885</v>
      </c>
      <c r="B1260" s="895">
        <v>97885</v>
      </c>
      <c r="C1260" s="896" t="s">
        <v>596</v>
      </c>
      <c r="D1260" s="906" t="s">
        <v>1190</v>
      </c>
      <c r="E1260" s="907"/>
      <c r="F1260" s="908"/>
      <c r="G1260" s="912"/>
      <c r="H1260" s="901">
        <v>954.37</v>
      </c>
      <c r="I1260" s="901">
        <f t="shared" si="355"/>
        <v>954.37</v>
      </c>
      <c r="J1260" s="902">
        <f t="shared" si="356"/>
        <v>1145.9100000000001</v>
      </c>
      <c r="K1260" s="903" t="s">
        <v>1516</v>
      </c>
      <c r="L1260" s="904">
        <f>ROUND(SUM('RES. CENTRAL PARK:RUA_FINAL'!L1260),2)</f>
        <v>0</v>
      </c>
      <c r="M1260" s="904">
        <f t="shared" si="357"/>
        <v>0</v>
      </c>
      <c r="N1260" s="893">
        <f t="shared" si="358"/>
        <v>0</v>
      </c>
      <c r="O1260" s="905"/>
      <c r="Q1260" s="317" t="str">
        <f t="shared" si="359"/>
        <v/>
      </c>
      <c r="R1260" s="317" t="str">
        <f t="shared" si="360"/>
        <v/>
      </c>
      <c r="S1260" s="317" t="str">
        <f t="shared" si="361"/>
        <v/>
      </c>
      <c r="V1260" s="314">
        <f>SUM('RES. CENTRAL PARK:RUA_FINAL'!N1260)</f>
        <v>0</v>
      </c>
      <c r="W1260" s="315">
        <f t="shared" si="362"/>
        <v>0</v>
      </c>
    </row>
    <row r="1261" spans="1:23" ht="30" hidden="1" customHeight="1" x14ac:dyDescent="0.2">
      <c r="A1261" s="63">
        <v>91945</v>
      </c>
      <c r="B1261" s="895">
        <v>91945</v>
      </c>
      <c r="C1261" s="896" t="s">
        <v>596</v>
      </c>
      <c r="D1261" s="906" t="s">
        <v>1191</v>
      </c>
      <c r="E1261" s="907"/>
      <c r="F1261" s="908"/>
      <c r="G1261" s="912"/>
      <c r="H1261" s="901">
        <v>11.14</v>
      </c>
      <c r="I1261" s="901">
        <f t="shared" si="355"/>
        <v>11.14</v>
      </c>
      <c r="J1261" s="902">
        <f t="shared" si="356"/>
        <v>13.38</v>
      </c>
      <c r="K1261" s="903" t="s">
        <v>1516</v>
      </c>
      <c r="L1261" s="904">
        <f>ROUND(SUM('RES. CENTRAL PARK:RUA_FINAL'!L1261),2)</f>
        <v>0</v>
      </c>
      <c r="M1261" s="904">
        <f t="shared" si="357"/>
        <v>0</v>
      </c>
      <c r="N1261" s="893">
        <f t="shared" si="358"/>
        <v>0</v>
      </c>
      <c r="O1261" s="905"/>
      <c r="Q1261" s="317" t="str">
        <f t="shared" si="359"/>
        <v/>
      </c>
      <c r="R1261" s="317" t="str">
        <f t="shared" si="360"/>
        <v/>
      </c>
      <c r="S1261" s="317" t="str">
        <f t="shared" si="361"/>
        <v/>
      </c>
      <c r="V1261" s="314">
        <f>SUM('RES. CENTRAL PARK:RUA_FINAL'!N1261)</f>
        <v>0</v>
      </c>
      <c r="W1261" s="315">
        <f t="shared" si="362"/>
        <v>0</v>
      </c>
    </row>
    <row r="1262" spans="1:23" ht="30" hidden="1" customHeight="1" x14ac:dyDescent="0.2">
      <c r="A1262" s="63">
        <v>91946</v>
      </c>
      <c r="B1262" s="895">
        <v>91946</v>
      </c>
      <c r="C1262" s="896" t="s">
        <v>596</v>
      </c>
      <c r="D1262" s="906" t="s">
        <v>1192</v>
      </c>
      <c r="E1262" s="907"/>
      <c r="F1262" s="908"/>
      <c r="G1262" s="912"/>
      <c r="H1262" s="901">
        <v>9.23</v>
      </c>
      <c r="I1262" s="901">
        <f t="shared" si="355"/>
        <v>9.23</v>
      </c>
      <c r="J1262" s="902">
        <f t="shared" si="356"/>
        <v>11.08</v>
      </c>
      <c r="K1262" s="903" t="s">
        <v>1516</v>
      </c>
      <c r="L1262" s="904">
        <f>ROUND(SUM('RES. CENTRAL PARK:RUA_FINAL'!L1262),2)</f>
        <v>0</v>
      </c>
      <c r="M1262" s="904">
        <f t="shared" si="357"/>
        <v>0</v>
      </c>
      <c r="N1262" s="893">
        <f t="shared" si="358"/>
        <v>0</v>
      </c>
      <c r="O1262" s="905"/>
      <c r="Q1262" s="317" t="str">
        <f t="shared" si="359"/>
        <v/>
      </c>
      <c r="R1262" s="317" t="str">
        <f t="shared" si="360"/>
        <v/>
      </c>
      <c r="S1262" s="317" t="str">
        <f t="shared" si="361"/>
        <v/>
      </c>
      <c r="V1262" s="314">
        <f>SUM('RES. CENTRAL PARK:RUA_FINAL'!N1262)</f>
        <v>0</v>
      </c>
      <c r="W1262" s="315">
        <f t="shared" si="362"/>
        <v>0</v>
      </c>
    </row>
    <row r="1263" spans="1:23" ht="30" hidden="1" customHeight="1" x14ac:dyDescent="0.2">
      <c r="A1263" s="63">
        <v>91947</v>
      </c>
      <c r="B1263" s="895">
        <v>91947</v>
      </c>
      <c r="C1263" s="896" t="s">
        <v>596</v>
      </c>
      <c r="D1263" s="906" t="s">
        <v>1193</v>
      </c>
      <c r="E1263" s="907"/>
      <c r="F1263" s="908"/>
      <c r="G1263" s="912"/>
      <c r="H1263" s="901">
        <v>8.0399999999999991</v>
      </c>
      <c r="I1263" s="901">
        <f t="shared" si="355"/>
        <v>8.0399999999999991</v>
      </c>
      <c r="J1263" s="902">
        <f t="shared" si="356"/>
        <v>9.65</v>
      </c>
      <c r="K1263" s="903" t="s">
        <v>1516</v>
      </c>
      <c r="L1263" s="904">
        <f>ROUND(SUM('RES. CENTRAL PARK:RUA_FINAL'!L1263),2)</f>
        <v>0</v>
      </c>
      <c r="M1263" s="904">
        <f t="shared" si="357"/>
        <v>0</v>
      </c>
      <c r="N1263" s="893">
        <f t="shared" si="358"/>
        <v>0</v>
      </c>
      <c r="O1263" s="905"/>
      <c r="Q1263" s="317" t="str">
        <f t="shared" si="359"/>
        <v/>
      </c>
      <c r="R1263" s="317" t="str">
        <f t="shared" si="360"/>
        <v/>
      </c>
      <c r="S1263" s="317" t="str">
        <f t="shared" si="361"/>
        <v/>
      </c>
      <c r="V1263" s="314">
        <f>SUM('RES. CENTRAL PARK:RUA_FINAL'!N1263)</f>
        <v>0</v>
      </c>
      <c r="W1263" s="315">
        <f t="shared" si="362"/>
        <v>0</v>
      </c>
    </row>
    <row r="1264" spans="1:23" ht="30" hidden="1" customHeight="1" x14ac:dyDescent="0.2">
      <c r="A1264" s="63">
        <v>91949</v>
      </c>
      <c r="B1264" s="895">
        <v>91949</v>
      </c>
      <c r="C1264" s="896" t="s">
        <v>596</v>
      </c>
      <c r="D1264" s="906" t="s">
        <v>1194</v>
      </c>
      <c r="E1264" s="907"/>
      <c r="F1264" s="908"/>
      <c r="G1264" s="912"/>
      <c r="H1264" s="901">
        <v>16.88</v>
      </c>
      <c r="I1264" s="901">
        <f t="shared" si="355"/>
        <v>16.88</v>
      </c>
      <c r="J1264" s="902">
        <f t="shared" si="356"/>
        <v>20.27</v>
      </c>
      <c r="K1264" s="903" t="s">
        <v>1516</v>
      </c>
      <c r="L1264" s="904">
        <f>ROUND(SUM('RES. CENTRAL PARK:RUA_FINAL'!L1264),2)</f>
        <v>0</v>
      </c>
      <c r="M1264" s="904">
        <f t="shared" si="357"/>
        <v>0</v>
      </c>
      <c r="N1264" s="893">
        <f t="shared" si="358"/>
        <v>0</v>
      </c>
      <c r="O1264" s="905"/>
      <c r="Q1264" s="317" t="str">
        <f t="shared" si="359"/>
        <v/>
      </c>
      <c r="R1264" s="317" t="str">
        <f t="shared" si="360"/>
        <v/>
      </c>
      <c r="S1264" s="317" t="str">
        <f t="shared" si="361"/>
        <v/>
      </c>
      <c r="V1264" s="314">
        <f>SUM('RES. CENTRAL PARK:RUA_FINAL'!N1264)</f>
        <v>0</v>
      </c>
      <c r="W1264" s="315">
        <f t="shared" si="362"/>
        <v>0</v>
      </c>
    </row>
    <row r="1265" spans="1:23" ht="30" hidden="1" customHeight="1" x14ac:dyDescent="0.2">
      <c r="A1265" s="63">
        <v>91950</v>
      </c>
      <c r="B1265" s="895">
        <v>91950</v>
      </c>
      <c r="C1265" s="896" t="s">
        <v>596</v>
      </c>
      <c r="D1265" s="906" t="s">
        <v>1195</v>
      </c>
      <c r="E1265" s="907"/>
      <c r="F1265" s="908"/>
      <c r="G1265" s="912"/>
      <c r="H1265" s="901">
        <v>14.58</v>
      </c>
      <c r="I1265" s="901">
        <f t="shared" si="355"/>
        <v>14.58</v>
      </c>
      <c r="J1265" s="902">
        <f t="shared" si="356"/>
        <v>17.510000000000002</v>
      </c>
      <c r="K1265" s="903" t="s">
        <v>1516</v>
      </c>
      <c r="L1265" s="904">
        <f>ROUND(SUM('RES. CENTRAL PARK:RUA_FINAL'!L1265),2)</f>
        <v>0</v>
      </c>
      <c r="M1265" s="904">
        <f t="shared" si="357"/>
        <v>0</v>
      </c>
      <c r="N1265" s="893">
        <f t="shared" si="358"/>
        <v>0</v>
      </c>
      <c r="O1265" s="905"/>
      <c r="Q1265" s="317" t="str">
        <f t="shared" si="359"/>
        <v/>
      </c>
      <c r="R1265" s="317" t="str">
        <f t="shared" si="360"/>
        <v/>
      </c>
      <c r="S1265" s="317" t="str">
        <f t="shared" si="361"/>
        <v/>
      </c>
      <c r="V1265" s="314">
        <f>SUM('RES. CENTRAL PARK:RUA_FINAL'!N1265)</f>
        <v>0</v>
      </c>
      <c r="W1265" s="315">
        <f t="shared" si="362"/>
        <v>0</v>
      </c>
    </row>
    <row r="1266" spans="1:23" ht="30" hidden="1" customHeight="1" x14ac:dyDescent="0.2">
      <c r="A1266" s="63">
        <v>91951</v>
      </c>
      <c r="B1266" s="895">
        <v>91951</v>
      </c>
      <c r="C1266" s="896" t="s">
        <v>596</v>
      </c>
      <c r="D1266" s="906" t="s">
        <v>1196</v>
      </c>
      <c r="E1266" s="907"/>
      <c r="F1266" s="908"/>
      <c r="G1266" s="912"/>
      <c r="H1266" s="901">
        <v>13.19</v>
      </c>
      <c r="I1266" s="901">
        <f t="shared" si="355"/>
        <v>13.19</v>
      </c>
      <c r="J1266" s="902">
        <f t="shared" si="356"/>
        <v>15.84</v>
      </c>
      <c r="K1266" s="903" t="s">
        <v>1516</v>
      </c>
      <c r="L1266" s="904">
        <f>ROUND(SUM('RES. CENTRAL PARK:RUA_FINAL'!L1266),2)</f>
        <v>0</v>
      </c>
      <c r="M1266" s="904">
        <f t="shared" si="357"/>
        <v>0</v>
      </c>
      <c r="N1266" s="893">
        <f t="shared" si="358"/>
        <v>0</v>
      </c>
      <c r="O1266" s="905"/>
      <c r="Q1266" s="317" t="str">
        <f t="shared" si="359"/>
        <v/>
      </c>
      <c r="R1266" s="317" t="str">
        <f t="shared" si="360"/>
        <v/>
      </c>
      <c r="S1266" s="317" t="str">
        <f t="shared" si="361"/>
        <v/>
      </c>
      <c r="V1266" s="314">
        <f>SUM('RES. CENTRAL PARK:RUA_FINAL'!N1266)</f>
        <v>0</v>
      </c>
      <c r="W1266" s="315">
        <f t="shared" si="362"/>
        <v>0</v>
      </c>
    </row>
    <row r="1267" spans="1:23" ht="30" hidden="1" customHeight="1" x14ac:dyDescent="0.2">
      <c r="A1267" s="63">
        <v>101946</v>
      </c>
      <c r="B1267" s="895">
        <v>101946</v>
      </c>
      <c r="C1267" s="896" t="s">
        <v>596</v>
      </c>
      <c r="D1267" s="906" t="s">
        <v>1197</v>
      </c>
      <c r="E1267" s="907"/>
      <c r="F1267" s="908"/>
      <c r="G1267" s="912"/>
      <c r="H1267" s="901">
        <v>191.01</v>
      </c>
      <c r="I1267" s="901">
        <f t="shared" si="355"/>
        <v>191.01</v>
      </c>
      <c r="J1267" s="902">
        <f t="shared" si="356"/>
        <v>229.35</v>
      </c>
      <c r="K1267" s="903" t="s">
        <v>1516</v>
      </c>
      <c r="L1267" s="904">
        <f>ROUND(SUM('RES. CENTRAL PARK:RUA_FINAL'!L1267),2)</f>
        <v>0</v>
      </c>
      <c r="M1267" s="904">
        <f t="shared" si="357"/>
        <v>0</v>
      </c>
      <c r="N1267" s="893">
        <f t="shared" si="358"/>
        <v>0</v>
      </c>
      <c r="O1267" s="905"/>
      <c r="Q1267" s="317" t="str">
        <f t="shared" si="359"/>
        <v/>
      </c>
      <c r="R1267" s="317" t="str">
        <f t="shared" si="360"/>
        <v/>
      </c>
      <c r="S1267" s="317" t="str">
        <f t="shared" si="361"/>
        <v/>
      </c>
      <c r="V1267" s="314">
        <f>SUM('RES. CENTRAL PARK:RUA_FINAL'!N1267)</f>
        <v>0</v>
      </c>
      <c r="W1267" s="315">
        <f t="shared" si="362"/>
        <v>0</v>
      </c>
    </row>
    <row r="1268" spans="1:23" ht="30" hidden="1" customHeight="1" x14ac:dyDescent="0.2">
      <c r="A1268" s="63">
        <v>97362</v>
      </c>
      <c r="B1268" s="895">
        <v>97362</v>
      </c>
      <c r="C1268" s="896" t="s">
        <v>596</v>
      </c>
      <c r="D1268" s="906" t="s">
        <v>1198</v>
      </c>
      <c r="E1268" s="907"/>
      <c r="F1268" s="908"/>
      <c r="G1268" s="912"/>
      <c r="H1268" s="901">
        <v>2474.29</v>
      </c>
      <c r="I1268" s="901">
        <f t="shared" si="355"/>
        <v>2474.29</v>
      </c>
      <c r="J1268" s="902">
        <f t="shared" si="356"/>
        <v>2970.88</v>
      </c>
      <c r="K1268" s="903" t="s">
        <v>1516</v>
      </c>
      <c r="L1268" s="904">
        <f>ROUND(SUM('RES. CENTRAL PARK:RUA_FINAL'!L1268),2)</f>
        <v>0</v>
      </c>
      <c r="M1268" s="904">
        <f t="shared" si="357"/>
        <v>0</v>
      </c>
      <c r="N1268" s="893">
        <f t="shared" si="358"/>
        <v>0</v>
      </c>
      <c r="O1268" s="905"/>
      <c r="Q1268" s="317" t="str">
        <f t="shared" si="359"/>
        <v/>
      </c>
      <c r="R1268" s="317" t="str">
        <f t="shared" si="360"/>
        <v/>
      </c>
      <c r="S1268" s="317" t="str">
        <f t="shared" si="361"/>
        <v/>
      </c>
      <c r="V1268" s="314">
        <f>SUM('RES. CENTRAL PARK:RUA_FINAL'!N1268)</f>
        <v>0</v>
      </c>
      <c r="W1268" s="315">
        <f t="shared" si="362"/>
        <v>0</v>
      </c>
    </row>
    <row r="1269" spans="1:23" ht="30" hidden="1" customHeight="1" x14ac:dyDescent="0.2">
      <c r="A1269" s="63">
        <v>97359</v>
      </c>
      <c r="B1269" s="895">
        <v>97359</v>
      </c>
      <c r="C1269" s="896" t="s">
        <v>596</v>
      </c>
      <c r="D1269" s="906" t="s">
        <v>1199</v>
      </c>
      <c r="E1269" s="907"/>
      <c r="F1269" s="908"/>
      <c r="G1269" s="912"/>
      <c r="H1269" s="901">
        <v>4248.38</v>
      </c>
      <c r="I1269" s="901">
        <f t="shared" si="355"/>
        <v>4248.38</v>
      </c>
      <c r="J1269" s="902">
        <f t="shared" si="356"/>
        <v>5101.03</v>
      </c>
      <c r="K1269" s="903" t="s">
        <v>1516</v>
      </c>
      <c r="L1269" s="904">
        <f>ROUND(SUM('RES. CENTRAL PARK:RUA_FINAL'!L1269),2)</f>
        <v>0</v>
      </c>
      <c r="M1269" s="904">
        <f t="shared" si="357"/>
        <v>0</v>
      </c>
      <c r="N1269" s="893">
        <f t="shared" si="358"/>
        <v>0</v>
      </c>
      <c r="O1269" s="905"/>
      <c r="Q1269" s="317" t="str">
        <f t="shared" si="359"/>
        <v/>
      </c>
      <c r="R1269" s="317" t="str">
        <f t="shared" si="360"/>
        <v/>
      </c>
      <c r="S1269" s="317" t="str">
        <f t="shared" si="361"/>
        <v/>
      </c>
      <c r="V1269" s="314">
        <f>SUM('RES. CENTRAL PARK:RUA_FINAL'!N1269)</f>
        <v>0</v>
      </c>
      <c r="W1269" s="315">
        <f t="shared" si="362"/>
        <v>0</v>
      </c>
    </row>
    <row r="1270" spans="1:23" ht="30" hidden="1" customHeight="1" x14ac:dyDescent="0.2">
      <c r="A1270" s="63">
        <v>97360</v>
      </c>
      <c r="B1270" s="895">
        <v>97360</v>
      </c>
      <c r="C1270" s="896" t="s">
        <v>596</v>
      </c>
      <c r="D1270" s="906" t="s">
        <v>1200</v>
      </c>
      <c r="E1270" s="907"/>
      <c r="F1270" s="908"/>
      <c r="G1270" s="912"/>
      <c r="H1270" s="901">
        <v>8185.52</v>
      </c>
      <c r="I1270" s="901">
        <f t="shared" si="355"/>
        <v>8185.52</v>
      </c>
      <c r="J1270" s="902">
        <f t="shared" si="356"/>
        <v>9828.35</v>
      </c>
      <c r="K1270" s="903" t="s">
        <v>1516</v>
      </c>
      <c r="L1270" s="904">
        <f>ROUND(SUM('RES. CENTRAL PARK:RUA_FINAL'!L1270),2)</f>
        <v>0</v>
      </c>
      <c r="M1270" s="904">
        <f t="shared" si="357"/>
        <v>0</v>
      </c>
      <c r="N1270" s="893">
        <f t="shared" si="358"/>
        <v>0</v>
      </c>
      <c r="O1270" s="905"/>
      <c r="Q1270" s="317" t="str">
        <f t="shared" si="359"/>
        <v/>
      </c>
      <c r="R1270" s="317" t="str">
        <f t="shared" si="360"/>
        <v/>
      </c>
      <c r="S1270" s="317" t="str">
        <f t="shared" si="361"/>
        <v/>
      </c>
      <c r="V1270" s="314">
        <f>SUM('RES. CENTRAL PARK:RUA_FINAL'!N1270)</f>
        <v>0</v>
      </c>
      <c r="W1270" s="315">
        <f t="shared" si="362"/>
        <v>0</v>
      </c>
    </row>
    <row r="1271" spans="1:23" ht="30" hidden="1" customHeight="1" x14ac:dyDescent="0.2">
      <c r="A1271" s="63">
        <v>97361</v>
      </c>
      <c r="B1271" s="895">
        <v>97361</v>
      </c>
      <c r="C1271" s="896" t="s">
        <v>596</v>
      </c>
      <c r="D1271" s="906" t="s">
        <v>1201</v>
      </c>
      <c r="E1271" s="907"/>
      <c r="F1271" s="908"/>
      <c r="G1271" s="912"/>
      <c r="H1271" s="901">
        <v>10914.04</v>
      </c>
      <c r="I1271" s="901">
        <f t="shared" si="355"/>
        <v>10914.04</v>
      </c>
      <c r="J1271" s="902">
        <f t="shared" si="356"/>
        <v>13104.49</v>
      </c>
      <c r="K1271" s="903" t="s">
        <v>1516</v>
      </c>
      <c r="L1271" s="904">
        <f>ROUND(SUM('RES. CENTRAL PARK:RUA_FINAL'!L1271),2)</f>
        <v>0</v>
      </c>
      <c r="M1271" s="904">
        <f t="shared" si="357"/>
        <v>0</v>
      </c>
      <c r="N1271" s="893">
        <f t="shared" si="358"/>
        <v>0</v>
      </c>
      <c r="O1271" s="905"/>
      <c r="Q1271" s="317" t="str">
        <f t="shared" si="359"/>
        <v/>
      </c>
      <c r="R1271" s="317" t="str">
        <f t="shared" si="360"/>
        <v/>
      </c>
      <c r="S1271" s="317" t="str">
        <f t="shared" si="361"/>
        <v/>
      </c>
      <c r="V1271" s="314">
        <f>SUM('RES. CENTRAL PARK:RUA_FINAL'!N1271)</f>
        <v>0</v>
      </c>
      <c r="W1271" s="315">
        <f t="shared" si="362"/>
        <v>0</v>
      </c>
    </row>
    <row r="1272" spans="1:23" ht="34.5" hidden="1" thickBot="1" x14ac:dyDescent="0.25">
      <c r="A1272" s="63">
        <v>101875</v>
      </c>
      <c r="B1272" s="895">
        <v>101875</v>
      </c>
      <c r="C1272" s="896" t="s">
        <v>596</v>
      </c>
      <c r="D1272" s="906" t="s">
        <v>1202</v>
      </c>
      <c r="E1272" s="907"/>
      <c r="F1272" s="908"/>
      <c r="G1272" s="912"/>
      <c r="H1272" s="901">
        <v>527.42999999999995</v>
      </c>
      <c r="I1272" s="901">
        <f t="shared" si="355"/>
        <v>527.42999999999995</v>
      </c>
      <c r="J1272" s="902">
        <f t="shared" si="356"/>
        <v>633.29</v>
      </c>
      <c r="K1272" s="903" t="s">
        <v>1516</v>
      </c>
      <c r="L1272" s="904">
        <f>ROUND(SUM('RES. CENTRAL PARK:RUA_FINAL'!L1272),2)</f>
        <v>0</v>
      </c>
      <c r="M1272" s="904">
        <f t="shared" si="357"/>
        <v>0</v>
      </c>
      <c r="N1272" s="893">
        <f t="shared" si="358"/>
        <v>0</v>
      </c>
      <c r="O1272" s="905"/>
      <c r="Q1272" s="317" t="str">
        <f t="shared" si="359"/>
        <v/>
      </c>
      <c r="R1272" s="317" t="str">
        <f t="shared" si="360"/>
        <v/>
      </c>
      <c r="S1272" s="317" t="str">
        <f t="shared" si="361"/>
        <v/>
      </c>
      <c r="V1272" s="314">
        <f>SUM('RES. CENTRAL PARK:RUA_FINAL'!N1272)</f>
        <v>0</v>
      </c>
      <c r="W1272" s="315">
        <f t="shared" si="362"/>
        <v>0</v>
      </c>
    </row>
    <row r="1273" spans="1:23" ht="30" hidden="1" customHeight="1" x14ac:dyDescent="0.2">
      <c r="A1273" s="63">
        <v>101876</v>
      </c>
      <c r="B1273" s="895">
        <v>101876</v>
      </c>
      <c r="C1273" s="896" t="s">
        <v>596</v>
      </c>
      <c r="D1273" s="906" t="s">
        <v>1203</v>
      </c>
      <c r="E1273" s="907"/>
      <c r="F1273" s="908"/>
      <c r="G1273" s="912"/>
      <c r="H1273" s="901">
        <v>95.28</v>
      </c>
      <c r="I1273" s="901">
        <f t="shared" si="355"/>
        <v>95.28</v>
      </c>
      <c r="J1273" s="902">
        <f t="shared" si="356"/>
        <v>114.4</v>
      </c>
      <c r="K1273" s="903" t="s">
        <v>1516</v>
      </c>
      <c r="L1273" s="904">
        <f>ROUND(SUM('RES. CENTRAL PARK:RUA_FINAL'!L1273),2)</f>
        <v>0</v>
      </c>
      <c r="M1273" s="904">
        <f t="shared" si="357"/>
        <v>0</v>
      </c>
      <c r="N1273" s="893">
        <f t="shared" si="358"/>
        <v>0</v>
      </c>
      <c r="O1273" s="905"/>
      <c r="Q1273" s="317" t="str">
        <f t="shared" si="359"/>
        <v/>
      </c>
      <c r="R1273" s="317" t="str">
        <f t="shared" si="360"/>
        <v/>
      </c>
      <c r="S1273" s="317" t="str">
        <f t="shared" si="361"/>
        <v/>
      </c>
      <c r="V1273" s="314">
        <f>SUM('RES. CENTRAL PARK:RUA_FINAL'!N1273)</f>
        <v>0</v>
      </c>
      <c r="W1273" s="315">
        <f t="shared" si="362"/>
        <v>0</v>
      </c>
    </row>
    <row r="1274" spans="1:23" ht="30" hidden="1" customHeight="1" x14ac:dyDescent="0.2">
      <c r="A1274" s="63">
        <v>101877</v>
      </c>
      <c r="B1274" s="895">
        <v>101877</v>
      </c>
      <c r="C1274" s="896" t="s">
        <v>596</v>
      </c>
      <c r="D1274" s="906" t="s">
        <v>1204</v>
      </c>
      <c r="E1274" s="907"/>
      <c r="F1274" s="908"/>
      <c r="G1274" s="912"/>
      <c r="H1274" s="901">
        <v>65.819999999999993</v>
      </c>
      <c r="I1274" s="901">
        <f t="shared" si="355"/>
        <v>65.819999999999993</v>
      </c>
      <c r="J1274" s="902">
        <f t="shared" si="356"/>
        <v>79.03</v>
      </c>
      <c r="K1274" s="903" t="s">
        <v>1516</v>
      </c>
      <c r="L1274" s="904">
        <f>ROUND(SUM('RES. CENTRAL PARK:RUA_FINAL'!L1274),2)</f>
        <v>0</v>
      </c>
      <c r="M1274" s="904">
        <f t="shared" si="357"/>
        <v>0</v>
      </c>
      <c r="N1274" s="893">
        <f t="shared" si="358"/>
        <v>0</v>
      </c>
      <c r="O1274" s="905"/>
      <c r="Q1274" s="317" t="str">
        <f t="shared" si="359"/>
        <v/>
      </c>
      <c r="R1274" s="317" t="str">
        <f t="shared" si="360"/>
        <v/>
      </c>
      <c r="S1274" s="317" t="str">
        <f t="shared" si="361"/>
        <v/>
      </c>
      <c r="V1274" s="314">
        <f>SUM('RES. CENTRAL PARK:RUA_FINAL'!N1274)</f>
        <v>0</v>
      </c>
      <c r="W1274" s="315">
        <f t="shared" si="362"/>
        <v>0</v>
      </c>
    </row>
    <row r="1275" spans="1:23" ht="34.5" hidden="1" thickBot="1" x14ac:dyDescent="0.25">
      <c r="A1275" s="63">
        <v>101878</v>
      </c>
      <c r="B1275" s="895">
        <v>101878</v>
      </c>
      <c r="C1275" s="896" t="s">
        <v>596</v>
      </c>
      <c r="D1275" s="906" t="s">
        <v>1205</v>
      </c>
      <c r="E1275" s="907"/>
      <c r="F1275" s="908"/>
      <c r="G1275" s="912"/>
      <c r="H1275" s="901">
        <v>728.23</v>
      </c>
      <c r="I1275" s="901">
        <f t="shared" si="355"/>
        <v>728.23</v>
      </c>
      <c r="J1275" s="902">
        <f t="shared" si="356"/>
        <v>874.39</v>
      </c>
      <c r="K1275" s="903" t="s">
        <v>1516</v>
      </c>
      <c r="L1275" s="904">
        <f>ROUND(SUM('RES. CENTRAL PARK:RUA_FINAL'!L1275),2)</f>
        <v>0</v>
      </c>
      <c r="M1275" s="904">
        <f t="shared" si="357"/>
        <v>0</v>
      </c>
      <c r="N1275" s="893">
        <f t="shared" si="358"/>
        <v>0</v>
      </c>
      <c r="O1275" s="905"/>
      <c r="Q1275" s="317" t="str">
        <f t="shared" si="359"/>
        <v/>
      </c>
      <c r="R1275" s="317" t="str">
        <f t="shared" si="360"/>
        <v/>
      </c>
      <c r="S1275" s="317" t="str">
        <f t="shared" si="361"/>
        <v/>
      </c>
      <c r="V1275" s="314">
        <f>SUM('RES. CENTRAL PARK:RUA_FINAL'!N1275)</f>
        <v>0</v>
      </c>
      <c r="W1275" s="315">
        <f t="shared" si="362"/>
        <v>0</v>
      </c>
    </row>
    <row r="1276" spans="1:23" ht="34.5" hidden="1" thickBot="1" x14ac:dyDescent="0.25">
      <c r="A1276" s="63">
        <v>101879</v>
      </c>
      <c r="B1276" s="895">
        <v>101879</v>
      </c>
      <c r="C1276" s="896" t="s">
        <v>596</v>
      </c>
      <c r="D1276" s="906" t="s">
        <v>1206</v>
      </c>
      <c r="E1276" s="907"/>
      <c r="F1276" s="908"/>
      <c r="G1276" s="912"/>
      <c r="H1276" s="901">
        <v>764.5</v>
      </c>
      <c r="I1276" s="901">
        <f t="shared" si="355"/>
        <v>764.5</v>
      </c>
      <c r="J1276" s="902">
        <f t="shared" si="356"/>
        <v>917.94</v>
      </c>
      <c r="K1276" s="903" t="s">
        <v>1516</v>
      </c>
      <c r="L1276" s="904">
        <f>ROUND(SUM('RES. CENTRAL PARK:RUA_FINAL'!L1276),2)</f>
        <v>0</v>
      </c>
      <c r="M1276" s="904">
        <f t="shared" si="357"/>
        <v>0</v>
      </c>
      <c r="N1276" s="893">
        <f t="shared" si="358"/>
        <v>0</v>
      </c>
      <c r="O1276" s="905"/>
      <c r="Q1276" s="317" t="str">
        <f t="shared" si="359"/>
        <v/>
      </c>
      <c r="R1276" s="317" t="str">
        <f t="shared" si="360"/>
        <v/>
      </c>
      <c r="S1276" s="317" t="str">
        <f t="shared" si="361"/>
        <v/>
      </c>
      <c r="V1276" s="314">
        <f>SUM('RES. CENTRAL PARK:RUA_FINAL'!N1276)</f>
        <v>0</v>
      </c>
      <c r="W1276" s="315">
        <f t="shared" si="362"/>
        <v>0</v>
      </c>
    </row>
    <row r="1277" spans="1:23" ht="34.5" hidden="1" thickBot="1" x14ac:dyDescent="0.25">
      <c r="A1277" s="63">
        <v>101880</v>
      </c>
      <c r="B1277" s="895">
        <v>101880</v>
      </c>
      <c r="C1277" s="896" t="s">
        <v>596</v>
      </c>
      <c r="D1277" s="906" t="s">
        <v>1207</v>
      </c>
      <c r="E1277" s="907"/>
      <c r="F1277" s="908"/>
      <c r="G1277" s="912"/>
      <c r="H1277" s="901">
        <v>879.71</v>
      </c>
      <c r="I1277" s="901">
        <f t="shared" si="355"/>
        <v>879.71</v>
      </c>
      <c r="J1277" s="902">
        <f t="shared" si="356"/>
        <v>1056.27</v>
      </c>
      <c r="K1277" s="903" t="s">
        <v>1516</v>
      </c>
      <c r="L1277" s="904">
        <f>ROUND(SUM('RES. CENTRAL PARK:RUA_FINAL'!L1277),2)</f>
        <v>0</v>
      </c>
      <c r="M1277" s="904">
        <f t="shared" si="357"/>
        <v>0</v>
      </c>
      <c r="N1277" s="893">
        <f t="shared" si="358"/>
        <v>0</v>
      </c>
      <c r="O1277" s="905"/>
      <c r="Q1277" s="317" t="str">
        <f t="shared" si="359"/>
        <v/>
      </c>
      <c r="R1277" s="317" t="str">
        <f t="shared" si="360"/>
        <v/>
      </c>
      <c r="S1277" s="317" t="str">
        <f t="shared" si="361"/>
        <v/>
      </c>
      <c r="V1277" s="314">
        <f>SUM('RES. CENTRAL PARK:RUA_FINAL'!N1277)</f>
        <v>0</v>
      </c>
      <c r="W1277" s="315">
        <f t="shared" si="362"/>
        <v>0</v>
      </c>
    </row>
    <row r="1278" spans="1:23" ht="34.5" hidden="1" thickBot="1" x14ac:dyDescent="0.25">
      <c r="A1278" s="63">
        <v>101881</v>
      </c>
      <c r="B1278" s="895">
        <v>101881</v>
      </c>
      <c r="C1278" s="896" t="s">
        <v>596</v>
      </c>
      <c r="D1278" s="906" t="s">
        <v>1208</v>
      </c>
      <c r="E1278" s="907"/>
      <c r="F1278" s="908"/>
      <c r="G1278" s="912"/>
      <c r="H1278" s="901">
        <v>1267.3399999999999</v>
      </c>
      <c r="I1278" s="901">
        <f t="shared" si="355"/>
        <v>1267.3399999999999</v>
      </c>
      <c r="J1278" s="902">
        <f t="shared" si="356"/>
        <v>1521.7</v>
      </c>
      <c r="K1278" s="903" t="s">
        <v>1516</v>
      </c>
      <c r="L1278" s="904">
        <f>ROUND(SUM('RES. CENTRAL PARK:RUA_FINAL'!L1278),2)</f>
        <v>0</v>
      </c>
      <c r="M1278" s="904">
        <f t="shared" si="357"/>
        <v>0</v>
      </c>
      <c r="N1278" s="893">
        <f t="shared" si="358"/>
        <v>0</v>
      </c>
      <c r="O1278" s="905"/>
      <c r="Q1278" s="317" t="str">
        <f t="shared" si="359"/>
        <v/>
      </c>
      <c r="R1278" s="317" t="str">
        <f t="shared" si="360"/>
        <v/>
      </c>
      <c r="S1278" s="317" t="str">
        <f t="shared" si="361"/>
        <v/>
      </c>
      <c r="V1278" s="314">
        <f>SUM('RES. CENTRAL PARK:RUA_FINAL'!N1278)</f>
        <v>0</v>
      </c>
      <c r="W1278" s="315">
        <f t="shared" si="362"/>
        <v>0</v>
      </c>
    </row>
    <row r="1279" spans="1:23" ht="34.5" hidden="1" thickBot="1" x14ac:dyDescent="0.25">
      <c r="A1279" s="63">
        <v>101882</v>
      </c>
      <c r="B1279" s="895">
        <v>101882</v>
      </c>
      <c r="C1279" s="896" t="s">
        <v>596</v>
      </c>
      <c r="D1279" s="906" t="s">
        <v>1209</v>
      </c>
      <c r="E1279" s="907"/>
      <c r="F1279" s="908"/>
      <c r="G1279" s="912"/>
      <c r="H1279" s="901">
        <v>1801.44</v>
      </c>
      <c r="I1279" s="901">
        <f t="shared" si="355"/>
        <v>1801.44</v>
      </c>
      <c r="J1279" s="902">
        <f t="shared" si="356"/>
        <v>2162.9899999999998</v>
      </c>
      <c r="K1279" s="903" t="s">
        <v>1516</v>
      </c>
      <c r="L1279" s="904">
        <f>ROUND(SUM('RES. CENTRAL PARK:RUA_FINAL'!L1279),2)</f>
        <v>0</v>
      </c>
      <c r="M1279" s="904">
        <f t="shared" si="357"/>
        <v>0</v>
      </c>
      <c r="N1279" s="893">
        <f t="shared" si="358"/>
        <v>0</v>
      </c>
      <c r="O1279" s="905"/>
      <c r="Q1279" s="317" t="str">
        <f t="shared" si="359"/>
        <v/>
      </c>
      <c r="R1279" s="317" t="str">
        <f t="shared" si="360"/>
        <v/>
      </c>
      <c r="S1279" s="317" t="str">
        <f t="shared" si="361"/>
        <v/>
      </c>
      <c r="V1279" s="314">
        <f>SUM('RES. CENTRAL PARK:RUA_FINAL'!N1279)</f>
        <v>0</v>
      </c>
      <c r="W1279" s="315">
        <f t="shared" si="362"/>
        <v>0</v>
      </c>
    </row>
    <row r="1280" spans="1:23" ht="34.5" hidden="1" thickBot="1" x14ac:dyDescent="0.25">
      <c r="A1280" s="63">
        <v>101883</v>
      </c>
      <c r="B1280" s="895">
        <v>101883</v>
      </c>
      <c r="C1280" s="896" t="s">
        <v>596</v>
      </c>
      <c r="D1280" s="906" t="s">
        <v>1210</v>
      </c>
      <c r="E1280" s="907"/>
      <c r="F1280" s="908"/>
      <c r="G1280" s="912"/>
      <c r="H1280" s="901">
        <v>728.76</v>
      </c>
      <c r="I1280" s="901">
        <f t="shared" si="355"/>
        <v>728.76</v>
      </c>
      <c r="J1280" s="902">
        <f t="shared" si="356"/>
        <v>875.02</v>
      </c>
      <c r="K1280" s="903" t="s">
        <v>1516</v>
      </c>
      <c r="L1280" s="904">
        <f>ROUND(SUM('RES. CENTRAL PARK:RUA_FINAL'!L1280),2)</f>
        <v>0</v>
      </c>
      <c r="M1280" s="904">
        <f t="shared" si="357"/>
        <v>0</v>
      </c>
      <c r="N1280" s="893">
        <f t="shared" si="358"/>
        <v>0</v>
      </c>
      <c r="O1280" s="905"/>
      <c r="Q1280" s="317" t="str">
        <f t="shared" si="359"/>
        <v/>
      </c>
      <c r="R1280" s="317" t="str">
        <f t="shared" si="360"/>
        <v/>
      </c>
      <c r="S1280" s="317" t="str">
        <f t="shared" si="361"/>
        <v/>
      </c>
      <c r="V1280" s="314">
        <f>SUM('RES. CENTRAL PARK:RUA_FINAL'!N1280)</f>
        <v>0</v>
      </c>
      <c r="W1280" s="315">
        <f t="shared" si="362"/>
        <v>0</v>
      </c>
    </row>
    <row r="1281" spans="1:23" ht="15" hidden="1" customHeight="1" x14ac:dyDescent="0.2">
      <c r="A1281" s="63">
        <v>101901</v>
      </c>
      <c r="B1281" s="895">
        <v>101901</v>
      </c>
      <c r="C1281" s="896" t="s">
        <v>596</v>
      </c>
      <c r="D1281" s="906" t="s">
        <v>1211</v>
      </c>
      <c r="E1281" s="907"/>
      <c r="F1281" s="908"/>
      <c r="G1281" s="912"/>
      <c r="H1281" s="901">
        <v>109.64</v>
      </c>
      <c r="I1281" s="901">
        <f t="shared" si="355"/>
        <v>109.64</v>
      </c>
      <c r="J1281" s="902">
        <f t="shared" si="356"/>
        <v>131.63999999999999</v>
      </c>
      <c r="K1281" s="903" t="s">
        <v>1516</v>
      </c>
      <c r="L1281" s="904">
        <f>ROUND(SUM('RES. CENTRAL PARK:RUA_FINAL'!L1281),2)</f>
        <v>0</v>
      </c>
      <c r="M1281" s="904">
        <f t="shared" si="357"/>
        <v>0</v>
      </c>
      <c r="N1281" s="893">
        <f t="shared" si="358"/>
        <v>0</v>
      </c>
      <c r="O1281" s="905"/>
      <c r="Q1281" s="317" t="str">
        <f t="shared" si="359"/>
        <v/>
      </c>
      <c r="R1281" s="317" t="str">
        <f t="shared" si="360"/>
        <v/>
      </c>
      <c r="S1281" s="317" t="str">
        <f t="shared" si="361"/>
        <v/>
      </c>
      <c r="V1281" s="314">
        <f>SUM('RES. CENTRAL PARK:RUA_FINAL'!N1281)</f>
        <v>0</v>
      </c>
      <c r="W1281" s="315">
        <f t="shared" si="362"/>
        <v>0</v>
      </c>
    </row>
    <row r="1282" spans="1:23" ht="15" hidden="1" customHeight="1" x14ac:dyDescent="0.2">
      <c r="A1282" s="63">
        <v>101902</v>
      </c>
      <c r="B1282" s="895">
        <v>101902</v>
      </c>
      <c r="C1282" s="896" t="s">
        <v>596</v>
      </c>
      <c r="D1282" s="906" t="s">
        <v>1212</v>
      </c>
      <c r="E1282" s="907"/>
      <c r="F1282" s="908"/>
      <c r="G1282" s="912"/>
      <c r="H1282" s="901">
        <v>136.05000000000001</v>
      </c>
      <c r="I1282" s="901">
        <f t="shared" si="355"/>
        <v>136.05000000000001</v>
      </c>
      <c r="J1282" s="902">
        <f t="shared" si="356"/>
        <v>163.36000000000001</v>
      </c>
      <c r="K1282" s="903" t="s">
        <v>1516</v>
      </c>
      <c r="L1282" s="904">
        <f>ROUND(SUM('RES. CENTRAL PARK:RUA_FINAL'!L1282),2)</f>
        <v>0</v>
      </c>
      <c r="M1282" s="904">
        <f t="shared" si="357"/>
        <v>0</v>
      </c>
      <c r="N1282" s="893">
        <f t="shared" si="358"/>
        <v>0</v>
      </c>
      <c r="O1282" s="905"/>
      <c r="Q1282" s="317" t="str">
        <f t="shared" si="359"/>
        <v/>
      </c>
      <c r="R1282" s="317" t="str">
        <f t="shared" si="360"/>
        <v/>
      </c>
      <c r="S1282" s="317" t="str">
        <f t="shared" si="361"/>
        <v/>
      </c>
      <c r="V1282" s="314">
        <f>SUM('RES. CENTRAL PARK:RUA_FINAL'!N1282)</f>
        <v>0</v>
      </c>
      <c r="W1282" s="315">
        <f t="shared" si="362"/>
        <v>0</v>
      </c>
    </row>
    <row r="1283" spans="1:23" ht="15" hidden="1" customHeight="1" x14ac:dyDescent="0.2">
      <c r="A1283" s="63">
        <v>101903</v>
      </c>
      <c r="B1283" s="895">
        <v>101903</v>
      </c>
      <c r="C1283" s="896" t="s">
        <v>596</v>
      </c>
      <c r="D1283" s="906" t="s">
        <v>1213</v>
      </c>
      <c r="E1283" s="907"/>
      <c r="F1283" s="908"/>
      <c r="G1283" s="912"/>
      <c r="H1283" s="901">
        <v>283.02</v>
      </c>
      <c r="I1283" s="901">
        <f t="shared" si="355"/>
        <v>283.02</v>
      </c>
      <c r="J1283" s="902">
        <f t="shared" si="356"/>
        <v>339.82</v>
      </c>
      <c r="K1283" s="903" t="s">
        <v>1516</v>
      </c>
      <c r="L1283" s="904">
        <f>ROUND(SUM('RES. CENTRAL PARK:RUA_FINAL'!L1283),2)</f>
        <v>0</v>
      </c>
      <c r="M1283" s="904">
        <f t="shared" si="357"/>
        <v>0</v>
      </c>
      <c r="N1283" s="893">
        <f t="shared" si="358"/>
        <v>0</v>
      </c>
      <c r="O1283" s="905"/>
      <c r="Q1283" s="317" t="str">
        <f t="shared" si="359"/>
        <v/>
      </c>
      <c r="R1283" s="317" t="str">
        <f t="shared" si="360"/>
        <v/>
      </c>
      <c r="S1283" s="317" t="str">
        <f t="shared" si="361"/>
        <v/>
      </c>
      <c r="V1283" s="314">
        <f>SUM('RES. CENTRAL PARK:RUA_FINAL'!N1283)</f>
        <v>0</v>
      </c>
      <c r="W1283" s="315">
        <f t="shared" si="362"/>
        <v>0</v>
      </c>
    </row>
    <row r="1284" spans="1:23" ht="15" hidden="1" customHeight="1" x14ac:dyDescent="0.2">
      <c r="A1284" s="63">
        <v>101904</v>
      </c>
      <c r="B1284" s="895">
        <v>101904</v>
      </c>
      <c r="C1284" s="896" t="s">
        <v>596</v>
      </c>
      <c r="D1284" s="906" t="s">
        <v>1214</v>
      </c>
      <c r="E1284" s="907"/>
      <c r="F1284" s="908"/>
      <c r="G1284" s="912"/>
      <c r="H1284" s="901">
        <v>1021.61</v>
      </c>
      <c r="I1284" s="901">
        <f t="shared" ref="I1284:I1347" si="363">IF(ISBLANK(H1284),"",SUM(G1284:H1284))</f>
        <v>1021.61</v>
      </c>
      <c r="J1284" s="902">
        <f t="shared" si="356"/>
        <v>1226.6500000000001</v>
      </c>
      <c r="K1284" s="903" t="s">
        <v>1516</v>
      </c>
      <c r="L1284" s="904">
        <f>ROUND(SUM('RES. CENTRAL PARK:RUA_FINAL'!L1284),2)</f>
        <v>0</v>
      </c>
      <c r="M1284" s="904">
        <f t="shared" si="357"/>
        <v>0</v>
      </c>
      <c r="N1284" s="893">
        <f t="shared" si="358"/>
        <v>0</v>
      </c>
      <c r="O1284" s="905"/>
      <c r="Q1284" s="317" t="str">
        <f t="shared" si="359"/>
        <v/>
      </c>
      <c r="R1284" s="317" t="str">
        <f t="shared" si="360"/>
        <v/>
      </c>
      <c r="S1284" s="317" t="str">
        <f t="shared" si="361"/>
        <v/>
      </c>
      <c r="V1284" s="314">
        <f>SUM('RES. CENTRAL PARK:RUA_FINAL'!N1284)</f>
        <v>0</v>
      </c>
      <c r="W1284" s="315">
        <f t="shared" si="362"/>
        <v>0</v>
      </c>
    </row>
    <row r="1285" spans="1:23" ht="30" hidden="1" customHeight="1" x14ac:dyDescent="0.2">
      <c r="A1285" s="63">
        <v>93653</v>
      </c>
      <c r="B1285" s="895">
        <v>93653</v>
      </c>
      <c r="C1285" s="896" t="s">
        <v>596</v>
      </c>
      <c r="D1285" s="906" t="s">
        <v>1215</v>
      </c>
      <c r="E1285" s="907"/>
      <c r="F1285" s="908"/>
      <c r="G1285" s="912"/>
      <c r="H1285" s="901">
        <v>12.16</v>
      </c>
      <c r="I1285" s="901">
        <f t="shared" si="363"/>
        <v>12.16</v>
      </c>
      <c r="J1285" s="902">
        <f t="shared" si="356"/>
        <v>14.6</v>
      </c>
      <c r="K1285" s="903" t="s">
        <v>1516</v>
      </c>
      <c r="L1285" s="904">
        <f>ROUND(SUM('RES. CENTRAL PARK:RUA_FINAL'!L1285),2)</f>
        <v>0</v>
      </c>
      <c r="M1285" s="904">
        <f t="shared" si="357"/>
        <v>0</v>
      </c>
      <c r="N1285" s="893">
        <f t="shared" si="358"/>
        <v>0</v>
      </c>
      <c r="O1285" s="905"/>
      <c r="Q1285" s="317" t="str">
        <f t="shared" si="359"/>
        <v/>
      </c>
      <c r="R1285" s="317" t="str">
        <f t="shared" si="360"/>
        <v/>
      </c>
      <c r="S1285" s="317" t="str">
        <f t="shared" si="361"/>
        <v/>
      </c>
      <c r="V1285" s="314">
        <f>SUM('RES. CENTRAL PARK:RUA_FINAL'!N1285)</f>
        <v>0</v>
      </c>
      <c r="W1285" s="315">
        <f t="shared" si="362"/>
        <v>0</v>
      </c>
    </row>
    <row r="1286" spans="1:23" ht="30" hidden="1" customHeight="1" x14ac:dyDescent="0.2">
      <c r="A1286" s="63">
        <v>93654</v>
      </c>
      <c r="B1286" s="895">
        <v>93654</v>
      </c>
      <c r="C1286" s="896" t="s">
        <v>596</v>
      </c>
      <c r="D1286" s="906" t="s">
        <v>1216</v>
      </c>
      <c r="E1286" s="907"/>
      <c r="F1286" s="908"/>
      <c r="G1286" s="912"/>
      <c r="H1286" s="901">
        <v>12.9</v>
      </c>
      <c r="I1286" s="901">
        <f t="shared" si="363"/>
        <v>12.9</v>
      </c>
      <c r="J1286" s="902">
        <f t="shared" si="356"/>
        <v>15.49</v>
      </c>
      <c r="K1286" s="903" t="s">
        <v>1516</v>
      </c>
      <c r="L1286" s="904">
        <f>ROUND(SUM('RES. CENTRAL PARK:RUA_FINAL'!L1286),2)</f>
        <v>0</v>
      </c>
      <c r="M1286" s="904">
        <f t="shared" si="357"/>
        <v>0</v>
      </c>
      <c r="N1286" s="893">
        <f t="shared" si="358"/>
        <v>0</v>
      </c>
      <c r="O1286" s="905"/>
      <c r="Q1286" s="317" t="str">
        <f t="shared" si="359"/>
        <v/>
      </c>
      <c r="R1286" s="317" t="str">
        <f t="shared" si="360"/>
        <v/>
      </c>
      <c r="S1286" s="317" t="str">
        <f t="shared" si="361"/>
        <v/>
      </c>
      <c r="V1286" s="314">
        <f>SUM('RES. CENTRAL PARK:RUA_FINAL'!N1286)</f>
        <v>0</v>
      </c>
      <c r="W1286" s="315">
        <f t="shared" si="362"/>
        <v>0</v>
      </c>
    </row>
    <row r="1287" spans="1:23" ht="30" hidden="1" customHeight="1" x14ac:dyDescent="0.2">
      <c r="A1287" s="63">
        <v>93655</v>
      </c>
      <c r="B1287" s="895">
        <v>93655</v>
      </c>
      <c r="C1287" s="896" t="s">
        <v>596</v>
      </c>
      <c r="D1287" s="906" t="s">
        <v>1217</v>
      </c>
      <c r="E1287" s="907"/>
      <c r="F1287" s="908"/>
      <c r="G1287" s="912"/>
      <c r="H1287" s="901">
        <v>14.29</v>
      </c>
      <c r="I1287" s="901">
        <f t="shared" si="363"/>
        <v>14.29</v>
      </c>
      <c r="J1287" s="902">
        <f t="shared" si="356"/>
        <v>17.16</v>
      </c>
      <c r="K1287" s="903" t="s">
        <v>1516</v>
      </c>
      <c r="L1287" s="904">
        <f>ROUND(SUM('RES. CENTRAL PARK:RUA_FINAL'!L1287),2)</f>
        <v>0</v>
      </c>
      <c r="M1287" s="904">
        <f t="shared" si="357"/>
        <v>0</v>
      </c>
      <c r="N1287" s="893">
        <f t="shared" si="358"/>
        <v>0</v>
      </c>
      <c r="O1287" s="905"/>
      <c r="Q1287" s="317" t="str">
        <f t="shared" si="359"/>
        <v/>
      </c>
      <c r="R1287" s="317" t="str">
        <f t="shared" si="360"/>
        <v/>
      </c>
      <c r="S1287" s="317" t="str">
        <f t="shared" si="361"/>
        <v/>
      </c>
      <c r="V1287" s="314">
        <f>SUM('RES. CENTRAL PARK:RUA_FINAL'!N1287)</f>
        <v>0</v>
      </c>
      <c r="W1287" s="315">
        <f t="shared" si="362"/>
        <v>0</v>
      </c>
    </row>
    <row r="1288" spans="1:23" ht="30" hidden="1" customHeight="1" x14ac:dyDescent="0.2">
      <c r="A1288" s="63">
        <v>93656</v>
      </c>
      <c r="B1288" s="895">
        <v>93656</v>
      </c>
      <c r="C1288" s="896" t="s">
        <v>596</v>
      </c>
      <c r="D1288" s="906" t="s">
        <v>1218</v>
      </c>
      <c r="E1288" s="907"/>
      <c r="F1288" s="908"/>
      <c r="G1288" s="912"/>
      <c r="H1288" s="901">
        <v>14.29</v>
      </c>
      <c r="I1288" s="901">
        <f t="shared" si="363"/>
        <v>14.29</v>
      </c>
      <c r="J1288" s="902">
        <f t="shared" si="356"/>
        <v>17.16</v>
      </c>
      <c r="K1288" s="903" t="s">
        <v>1516</v>
      </c>
      <c r="L1288" s="904">
        <f>ROUND(SUM('RES. CENTRAL PARK:RUA_FINAL'!L1288),2)</f>
        <v>0</v>
      </c>
      <c r="M1288" s="904">
        <f t="shared" si="357"/>
        <v>0</v>
      </c>
      <c r="N1288" s="893">
        <f t="shared" si="358"/>
        <v>0</v>
      </c>
      <c r="O1288" s="905"/>
      <c r="Q1288" s="317" t="str">
        <f t="shared" si="359"/>
        <v/>
      </c>
      <c r="R1288" s="317" t="str">
        <f t="shared" si="360"/>
        <v/>
      </c>
      <c r="S1288" s="317" t="str">
        <f t="shared" si="361"/>
        <v/>
      </c>
      <c r="V1288" s="314">
        <f>SUM('RES. CENTRAL PARK:RUA_FINAL'!N1288)</f>
        <v>0</v>
      </c>
      <c r="W1288" s="315">
        <f t="shared" si="362"/>
        <v>0</v>
      </c>
    </row>
    <row r="1289" spans="1:23" ht="30" hidden="1" customHeight="1" x14ac:dyDescent="0.2">
      <c r="A1289" s="63">
        <v>93657</v>
      </c>
      <c r="B1289" s="895">
        <v>93657</v>
      </c>
      <c r="C1289" s="896" t="s">
        <v>596</v>
      </c>
      <c r="D1289" s="906" t="s">
        <v>1219</v>
      </c>
      <c r="E1289" s="907"/>
      <c r="F1289" s="908"/>
      <c r="G1289" s="912"/>
      <c r="H1289" s="901">
        <v>15.99</v>
      </c>
      <c r="I1289" s="901">
        <f t="shared" si="363"/>
        <v>15.99</v>
      </c>
      <c r="J1289" s="902">
        <f t="shared" ref="J1289:J1352" si="364">IF(ISBLANK(H1289),0,ROUND(I1289*(1+$E$10),2))</f>
        <v>19.2</v>
      </c>
      <c r="K1289" s="903" t="s">
        <v>1516</v>
      </c>
      <c r="L1289" s="904">
        <f>ROUND(SUM('RES. CENTRAL PARK:RUA_FINAL'!L1289),2)</f>
        <v>0</v>
      </c>
      <c r="M1289" s="904">
        <f t="shared" si="357"/>
        <v>0</v>
      </c>
      <c r="N1289" s="893">
        <f t="shared" si="358"/>
        <v>0</v>
      </c>
      <c r="O1289" s="905"/>
      <c r="Q1289" s="317" t="str">
        <f t="shared" si="359"/>
        <v/>
      </c>
      <c r="R1289" s="317" t="str">
        <f t="shared" si="360"/>
        <v/>
      </c>
      <c r="S1289" s="317" t="str">
        <f t="shared" si="361"/>
        <v/>
      </c>
      <c r="V1289" s="314">
        <f>SUM('RES. CENTRAL PARK:RUA_FINAL'!N1289)</f>
        <v>0</v>
      </c>
      <c r="W1289" s="315">
        <f t="shared" si="362"/>
        <v>0</v>
      </c>
    </row>
    <row r="1290" spans="1:23" ht="30" hidden="1" customHeight="1" x14ac:dyDescent="0.2">
      <c r="A1290" s="63">
        <v>93658</v>
      </c>
      <c r="B1290" s="895">
        <v>93658</v>
      </c>
      <c r="C1290" s="896" t="s">
        <v>596</v>
      </c>
      <c r="D1290" s="906" t="s">
        <v>1220</v>
      </c>
      <c r="E1290" s="907"/>
      <c r="F1290" s="908"/>
      <c r="G1290" s="912"/>
      <c r="H1290" s="901">
        <v>23.17</v>
      </c>
      <c r="I1290" s="901">
        <f t="shared" si="363"/>
        <v>23.17</v>
      </c>
      <c r="J1290" s="902">
        <f t="shared" si="364"/>
        <v>27.82</v>
      </c>
      <c r="K1290" s="903" t="s">
        <v>1516</v>
      </c>
      <c r="L1290" s="904">
        <f>ROUND(SUM('RES. CENTRAL PARK:RUA_FINAL'!L1290),2)</f>
        <v>0</v>
      </c>
      <c r="M1290" s="904">
        <f t="shared" si="357"/>
        <v>0</v>
      </c>
      <c r="N1290" s="893">
        <f t="shared" si="358"/>
        <v>0</v>
      </c>
      <c r="O1290" s="905"/>
      <c r="Q1290" s="317" t="str">
        <f t="shared" si="359"/>
        <v/>
      </c>
      <c r="R1290" s="317" t="str">
        <f t="shared" si="360"/>
        <v/>
      </c>
      <c r="S1290" s="317" t="str">
        <f t="shared" si="361"/>
        <v/>
      </c>
      <c r="V1290" s="314">
        <f>SUM('RES. CENTRAL PARK:RUA_FINAL'!N1290)</f>
        <v>0</v>
      </c>
      <c r="W1290" s="315">
        <f t="shared" si="362"/>
        <v>0</v>
      </c>
    </row>
    <row r="1291" spans="1:23" ht="30" hidden="1" customHeight="1" x14ac:dyDescent="0.2">
      <c r="A1291" s="63">
        <v>93659</v>
      </c>
      <c r="B1291" s="895">
        <v>93659</v>
      </c>
      <c r="C1291" s="896" t="s">
        <v>596</v>
      </c>
      <c r="D1291" s="906" t="s">
        <v>1221</v>
      </c>
      <c r="E1291" s="907"/>
      <c r="F1291" s="908"/>
      <c r="G1291" s="912"/>
      <c r="H1291" s="901">
        <v>26.68</v>
      </c>
      <c r="I1291" s="901">
        <f t="shared" si="363"/>
        <v>26.68</v>
      </c>
      <c r="J1291" s="902">
        <f t="shared" si="364"/>
        <v>32.03</v>
      </c>
      <c r="K1291" s="903" t="s">
        <v>1516</v>
      </c>
      <c r="L1291" s="904">
        <f>ROUND(SUM('RES. CENTRAL PARK:RUA_FINAL'!L1291),2)</f>
        <v>0</v>
      </c>
      <c r="M1291" s="904">
        <f t="shared" si="357"/>
        <v>0</v>
      </c>
      <c r="N1291" s="893">
        <f t="shared" si="358"/>
        <v>0</v>
      </c>
      <c r="O1291" s="905"/>
      <c r="Q1291" s="317" t="str">
        <f t="shared" si="359"/>
        <v/>
      </c>
      <c r="R1291" s="317" t="str">
        <f t="shared" si="360"/>
        <v/>
      </c>
      <c r="S1291" s="317" t="str">
        <f t="shared" si="361"/>
        <v/>
      </c>
      <c r="V1291" s="314">
        <f>SUM('RES. CENTRAL PARK:RUA_FINAL'!N1291)</f>
        <v>0</v>
      </c>
      <c r="W1291" s="315">
        <f t="shared" si="362"/>
        <v>0</v>
      </c>
    </row>
    <row r="1292" spans="1:23" ht="30" hidden="1" customHeight="1" x14ac:dyDescent="0.2">
      <c r="A1292" s="63">
        <v>101890</v>
      </c>
      <c r="B1292" s="895">
        <v>101890</v>
      </c>
      <c r="C1292" s="896" t="s">
        <v>596</v>
      </c>
      <c r="D1292" s="906" t="s">
        <v>1222</v>
      </c>
      <c r="E1292" s="907"/>
      <c r="F1292" s="908"/>
      <c r="G1292" s="912"/>
      <c r="H1292" s="901">
        <v>17</v>
      </c>
      <c r="I1292" s="901">
        <f t="shared" si="363"/>
        <v>17</v>
      </c>
      <c r="J1292" s="902">
        <f t="shared" si="364"/>
        <v>20.41</v>
      </c>
      <c r="K1292" s="903" t="s">
        <v>1516</v>
      </c>
      <c r="L1292" s="904">
        <f>ROUND(SUM('RES. CENTRAL PARK:RUA_FINAL'!L1292),2)</f>
        <v>0</v>
      </c>
      <c r="M1292" s="904">
        <f t="shared" si="357"/>
        <v>0</v>
      </c>
      <c r="N1292" s="893">
        <f t="shared" si="358"/>
        <v>0</v>
      </c>
      <c r="O1292" s="905"/>
      <c r="Q1292" s="317" t="str">
        <f t="shared" si="359"/>
        <v/>
      </c>
      <c r="R1292" s="317" t="str">
        <f t="shared" si="360"/>
        <v/>
      </c>
      <c r="S1292" s="317" t="str">
        <f t="shared" si="361"/>
        <v/>
      </c>
      <c r="V1292" s="314">
        <f>SUM('RES. CENTRAL PARK:RUA_FINAL'!N1292)</f>
        <v>0</v>
      </c>
      <c r="W1292" s="315">
        <f t="shared" si="362"/>
        <v>0</v>
      </c>
    </row>
    <row r="1293" spans="1:23" ht="30" hidden="1" customHeight="1" x14ac:dyDescent="0.2">
      <c r="A1293" s="63">
        <v>101891</v>
      </c>
      <c r="B1293" s="895">
        <v>101891</v>
      </c>
      <c r="C1293" s="896" t="s">
        <v>596</v>
      </c>
      <c r="D1293" s="906" t="s">
        <v>1223</v>
      </c>
      <c r="E1293" s="907"/>
      <c r="F1293" s="908"/>
      <c r="G1293" s="912"/>
      <c r="H1293" s="901">
        <v>29.51</v>
      </c>
      <c r="I1293" s="901">
        <f t="shared" si="363"/>
        <v>29.51</v>
      </c>
      <c r="J1293" s="902">
        <f t="shared" si="364"/>
        <v>35.43</v>
      </c>
      <c r="K1293" s="903" t="s">
        <v>1516</v>
      </c>
      <c r="L1293" s="904">
        <f>ROUND(SUM('RES. CENTRAL PARK:RUA_FINAL'!L1293),2)</f>
        <v>0</v>
      </c>
      <c r="M1293" s="904">
        <f t="shared" si="357"/>
        <v>0</v>
      </c>
      <c r="N1293" s="893">
        <f t="shared" si="358"/>
        <v>0</v>
      </c>
      <c r="O1293" s="905"/>
      <c r="Q1293" s="317" t="str">
        <f t="shared" si="359"/>
        <v/>
      </c>
      <c r="R1293" s="317" t="str">
        <f t="shared" si="360"/>
        <v/>
      </c>
      <c r="S1293" s="317" t="str">
        <f t="shared" si="361"/>
        <v/>
      </c>
      <c r="V1293" s="314">
        <f>SUM('RES. CENTRAL PARK:RUA_FINAL'!N1293)</f>
        <v>0</v>
      </c>
      <c r="W1293" s="315">
        <f t="shared" si="362"/>
        <v>0</v>
      </c>
    </row>
    <row r="1294" spans="1:23" ht="30" hidden="1" customHeight="1" x14ac:dyDescent="0.2">
      <c r="A1294" s="63">
        <v>93660</v>
      </c>
      <c r="B1294" s="895">
        <v>93660</v>
      </c>
      <c r="C1294" s="896" t="s">
        <v>596</v>
      </c>
      <c r="D1294" s="906" t="s">
        <v>1224</v>
      </c>
      <c r="E1294" s="907"/>
      <c r="F1294" s="908"/>
      <c r="G1294" s="912"/>
      <c r="H1294" s="901">
        <v>58.62</v>
      </c>
      <c r="I1294" s="901">
        <f t="shared" si="363"/>
        <v>58.62</v>
      </c>
      <c r="J1294" s="902">
        <f t="shared" si="364"/>
        <v>70.39</v>
      </c>
      <c r="K1294" s="903" t="s">
        <v>1516</v>
      </c>
      <c r="L1294" s="904">
        <f>ROUND(SUM('RES. CENTRAL PARK:RUA_FINAL'!L1294),2)</f>
        <v>0</v>
      </c>
      <c r="M1294" s="904">
        <f t="shared" si="357"/>
        <v>0</v>
      </c>
      <c r="N1294" s="893">
        <f t="shared" si="358"/>
        <v>0</v>
      </c>
      <c r="O1294" s="905"/>
      <c r="Q1294" s="317" t="str">
        <f t="shared" si="359"/>
        <v/>
      </c>
      <c r="R1294" s="317" t="str">
        <f t="shared" si="360"/>
        <v/>
      </c>
      <c r="S1294" s="317" t="str">
        <f t="shared" si="361"/>
        <v/>
      </c>
      <c r="V1294" s="314">
        <f>SUM('RES. CENTRAL PARK:RUA_FINAL'!N1294)</f>
        <v>0</v>
      </c>
      <c r="W1294" s="315">
        <f t="shared" si="362"/>
        <v>0</v>
      </c>
    </row>
    <row r="1295" spans="1:23" ht="30" hidden="1" customHeight="1" x14ac:dyDescent="0.2">
      <c r="A1295" s="63">
        <v>93661</v>
      </c>
      <c r="B1295" s="895">
        <v>93661</v>
      </c>
      <c r="C1295" s="896" t="s">
        <v>596</v>
      </c>
      <c r="D1295" s="906" t="s">
        <v>1225</v>
      </c>
      <c r="E1295" s="907"/>
      <c r="F1295" s="908"/>
      <c r="G1295" s="912"/>
      <c r="H1295" s="901">
        <v>60.11</v>
      </c>
      <c r="I1295" s="901">
        <f t="shared" si="363"/>
        <v>60.11</v>
      </c>
      <c r="J1295" s="902">
        <f t="shared" si="364"/>
        <v>72.17</v>
      </c>
      <c r="K1295" s="903" t="s">
        <v>1516</v>
      </c>
      <c r="L1295" s="904">
        <f>ROUND(SUM('RES. CENTRAL PARK:RUA_FINAL'!L1295),2)</f>
        <v>0</v>
      </c>
      <c r="M1295" s="904">
        <f t="shared" si="357"/>
        <v>0</v>
      </c>
      <c r="N1295" s="893">
        <f t="shared" si="358"/>
        <v>0</v>
      </c>
      <c r="O1295" s="905"/>
      <c r="Q1295" s="317" t="str">
        <f t="shared" si="359"/>
        <v/>
      </c>
      <c r="R1295" s="317" t="str">
        <f t="shared" si="360"/>
        <v/>
      </c>
      <c r="S1295" s="317" t="str">
        <f t="shared" si="361"/>
        <v/>
      </c>
      <c r="V1295" s="314">
        <f>SUM('RES. CENTRAL PARK:RUA_FINAL'!N1295)</f>
        <v>0</v>
      </c>
      <c r="W1295" s="315">
        <f t="shared" si="362"/>
        <v>0</v>
      </c>
    </row>
    <row r="1296" spans="1:23" ht="30" hidden="1" customHeight="1" x14ac:dyDescent="0.2">
      <c r="A1296" s="63">
        <v>93662</v>
      </c>
      <c r="B1296" s="895">
        <v>93662</v>
      </c>
      <c r="C1296" s="896" t="s">
        <v>596</v>
      </c>
      <c r="D1296" s="906" t="s">
        <v>1226</v>
      </c>
      <c r="E1296" s="907"/>
      <c r="F1296" s="908"/>
      <c r="G1296" s="912"/>
      <c r="H1296" s="901">
        <v>62.87</v>
      </c>
      <c r="I1296" s="901">
        <f t="shared" si="363"/>
        <v>62.87</v>
      </c>
      <c r="J1296" s="902">
        <f t="shared" si="364"/>
        <v>75.489999999999995</v>
      </c>
      <c r="K1296" s="903" t="s">
        <v>1516</v>
      </c>
      <c r="L1296" s="904">
        <f>ROUND(SUM('RES. CENTRAL PARK:RUA_FINAL'!L1296),2)</f>
        <v>0</v>
      </c>
      <c r="M1296" s="904">
        <f t="shared" si="357"/>
        <v>0</v>
      </c>
      <c r="N1296" s="893">
        <f t="shared" si="358"/>
        <v>0</v>
      </c>
      <c r="O1296" s="905"/>
      <c r="Q1296" s="317" t="str">
        <f t="shared" si="359"/>
        <v/>
      </c>
      <c r="R1296" s="317" t="str">
        <f t="shared" si="360"/>
        <v/>
      </c>
      <c r="S1296" s="317" t="str">
        <f t="shared" si="361"/>
        <v/>
      </c>
      <c r="V1296" s="314">
        <f>SUM('RES. CENTRAL PARK:RUA_FINAL'!N1296)</f>
        <v>0</v>
      </c>
      <c r="W1296" s="315">
        <f t="shared" si="362"/>
        <v>0</v>
      </c>
    </row>
    <row r="1297" spans="1:23" ht="30" hidden="1" customHeight="1" x14ac:dyDescent="0.2">
      <c r="A1297" s="63">
        <v>93663</v>
      </c>
      <c r="B1297" s="895">
        <v>93663</v>
      </c>
      <c r="C1297" s="896" t="s">
        <v>596</v>
      </c>
      <c r="D1297" s="906" t="s">
        <v>1227</v>
      </c>
      <c r="E1297" s="907"/>
      <c r="F1297" s="908"/>
      <c r="G1297" s="912"/>
      <c r="H1297" s="901">
        <v>62.87</v>
      </c>
      <c r="I1297" s="901">
        <f t="shared" si="363"/>
        <v>62.87</v>
      </c>
      <c r="J1297" s="902">
        <f t="shared" si="364"/>
        <v>75.489999999999995</v>
      </c>
      <c r="K1297" s="903" t="s">
        <v>1516</v>
      </c>
      <c r="L1297" s="904">
        <f>ROUND(SUM('RES. CENTRAL PARK:RUA_FINAL'!L1297),2)</f>
        <v>0</v>
      </c>
      <c r="M1297" s="904">
        <f t="shared" si="357"/>
        <v>0</v>
      </c>
      <c r="N1297" s="893">
        <f t="shared" si="358"/>
        <v>0</v>
      </c>
      <c r="O1297" s="905"/>
      <c r="Q1297" s="317" t="str">
        <f t="shared" si="359"/>
        <v/>
      </c>
      <c r="R1297" s="317" t="str">
        <f t="shared" si="360"/>
        <v/>
      </c>
      <c r="S1297" s="317" t="str">
        <f t="shared" si="361"/>
        <v/>
      </c>
      <c r="V1297" s="314">
        <f>SUM('RES. CENTRAL PARK:RUA_FINAL'!N1297)</f>
        <v>0</v>
      </c>
      <c r="W1297" s="315">
        <f t="shared" si="362"/>
        <v>0</v>
      </c>
    </row>
    <row r="1298" spans="1:23" ht="30" hidden="1" customHeight="1" x14ac:dyDescent="0.2">
      <c r="A1298" s="63">
        <v>93664</v>
      </c>
      <c r="B1298" s="895">
        <v>93664</v>
      </c>
      <c r="C1298" s="896" t="s">
        <v>596</v>
      </c>
      <c r="D1298" s="906" t="s">
        <v>1228</v>
      </c>
      <c r="E1298" s="907"/>
      <c r="F1298" s="908"/>
      <c r="G1298" s="912"/>
      <c r="H1298" s="901">
        <v>66.28</v>
      </c>
      <c r="I1298" s="901">
        <f t="shared" si="363"/>
        <v>66.28</v>
      </c>
      <c r="J1298" s="902">
        <f t="shared" si="364"/>
        <v>79.58</v>
      </c>
      <c r="K1298" s="903" t="s">
        <v>1516</v>
      </c>
      <c r="L1298" s="904">
        <f>ROUND(SUM('RES. CENTRAL PARK:RUA_FINAL'!L1298),2)</f>
        <v>0</v>
      </c>
      <c r="M1298" s="904">
        <f t="shared" ref="M1298:M1361" si="365">IF(L1298=0,0,ROUND(J1298,2))</f>
        <v>0</v>
      </c>
      <c r="N1298" s="893">
        <f t="shared" ref="N1298:N1361" si="366">IF(ISBLANK(L1298),0,ROUND(L1298*M1298,2))</f>
        <v>0</v>
      </c>
      <c r="O1298" s="905"/>
      <c r="Q1298" s="317" t="str">
        <f t="shared" ref="Q1298:Q1361" si="367">IF(P1298="X","x",IF(P1298="xx","x",IF(P1298="xy","x",IF(P1298="y","x",IF(OR(N1298&gt;0,N1298&gt;0),"x","")))))</f>
        <v/>
      </c>
      <c r="R1298" s="317" t="str">
        <f t="shared" ref="R1298:R1361" si="368">IF(P1298="X","x",IF(P1298="y","x",IF(P1298="xx","x",IF(N1298&gt;0,"x",""))))</f>
        <v/>
      </c>
      <c r="S1298" s="317" t="str">
        <f t="shared" ref="S1298:S1361" si="369">IF(P1298="X","x",IF(N1298&gt;0,"x",""))</f>
        <v/>
      </c>
      <c r="V1298" s="314">
        <f>SUM('RES. CENTRAL PARK:RUA_FINAL'!N1298)</f>
        <v>0</v>
      </c>
      <c r="W1298" s="315">
        <f t="shared" si="362"/>
        <v>0</v>
      </c>
    </row>
    <row r="1299" spans="1:23" ht="30" hidden="1" customHeight="1" x14ac:dyDescent="0.2">
      <c r="A1299" s="63">
        <v>93665</v>
      </c>
      <c r="B1299" s="895">
        <v>93665</v>
      </c>
      <c r="C1299" s="896" t="s">
        <v>596</v>
      </c>
      <c r="D1299" s="906" t="s">
        <v>1229</v>
      </c>
      <c r="E1299" s="907"/>
      <c r="F1299" s="908"/>
      <c r="G1299" s="912"/>
      <c r="H1299" s="901">
        <v>70.98</v>
      </c>
      <c r="I1299" s="901">
        <f t="shared" si="363"/>
        <v>70.98</v>
      </c>
      <c r="J1299" s="902">
        <f t="shared" si="364"/>
        <v>85.23</v>
      </c>
      <c r="K1299" s="903" t="s">
        <v>1516</v>
      </c>
      <c r="L1299" s="904">
        <f>ROUND(SUM('RES. CENTRAL PARK:RUA_FINAL'!L1299),2)</f>
        <v>0</v>
      </c>
      <c r="M1299" s="904">
        <f t="shared" si="365"/>
        <v>0</v>
      </c>
      <c r="N1299" s="893">
        <f t="shared" si="366"/>
        <v>0</v>
      </c>
      <c r="O1299" s="905"/>
      <c r="Q1299" s="317" t="str">
        <f t="shared" si="367"/>
        <v/>
      </c>
      <c r="R1299" s="317" t="str">
        <f t="shared" si="368"/>
        <v/>
      </c>
      <c r="S1299" s="317" t="str">
        <f t="shared" si="369"/>
        <v/>
      </c>
      <c r="V1299" s="314">
        <f>SUM('RES. CENTRAL PARK:RUA_FINAL'!N1299)</f>
        <v>0</v>
      </c>
      <c r="W1299" s="315">
        <f t="shared" si="362"/>
        <v>0</v>
      </c>
    </row>
    <row r="1300" spans="1:23" ht="30" hidden="1" customHeight="1" x14ac:dyDescent="0.2">
      <c r="A1300" s="63">
        <v>93666</v>
      </c>
      <c r="B1300" s="895">
        <v>93666</v>
      </c>
      <c r="C1300" s="896" t="s">
        <v>596</v>
      </c>
      <c r="D1300" s="906" t="s">
        <v>1230</v>
      </c>
      <c r="E1300" s="907"/>
      <c r="F1300" s="908"/>
      <c r="G1300" s="912"/>
      <c r="H1300" s="901">
        <v>77.989999999999995</v>
      </c>
      <c r="I1300" s="901">
        <f t="shared" si="363"/>
        <v>77.989999999999995</v>
      </c>
      <c r="J1300" s="902">
        <f t="shared" si="364"/>
        <v>93.64</v>
      </c>
      <c r="K1300" s="903" t="s">
        <v>1516</v>
      </c>
      <c r="L1300" s="904">
        <f>ROUND(SUM('RES. CENTRAL PARK:RUA_FINAL'!L1300),2)</f>
        <v>0</v>
      </c>
      <c r="M1300" s="904">
        <f t="shared" si="365"/>
        <v>0</v>
      </c>
      <c r="N1300" s="893">
        <f t="shared" si="366"/>
        <v>0</v>
      </c>
      <c r="O1300" s="905"/>
      <c r="Q1300" s="317" t="str">
        <f t="shared" si="367"/>
        <v/>
      </c>
      <c r="R1300" s="317" t="str">
        <f t="shared" si="368"/>
        <v/>
      </c>
      <c r="S1300" s="317" t="str">
        <f t="shared" si="369"/>
        <v/>
      </c>
      <c r="V1300" s="314">
        <f>SUM('RES. CENTRAL PARK:RUA_FINAL'!N1300)</f>
        <v>0</v>
      </c>
      <c r="W1300" s="315">
        <f t="shared" si="362"/>
        <v>0</v>
      </c>
    </row>
    <row r="1301" spans="1:23" ht="30" hidden="1" customHeight="1" x14ac:dyDescent="0.2">
      <c r="A1301" s="63">
        <v>101892</v>
      </c>
      <c r="B1301" s="895">
        <v>101892</v>
      </c>
      <c r="C1301" s="896" t="s">
        <v>596</v>
      </c>
      <c r="D1301" s="906" t="s">
        <v>1231</v>
      </c>
      <c r="E1301" s="907"/>
      <c r="F1301" s="908"/>
      <c r="G1301" s="912"/>
      <c r="H1301" s="901">
        <v>74.239999999999995</v>
      </c>
      <c r="I1301" s="901">
        <f t="shared" si="363"/>
        <v>74.239999999999995</v>
      </c>
      <c r="J1301" s="902">
        <f t="shared" si="364"/>
        <v>89.14</v>
      </c>
      <c r="K1301" s="903" t="s">
        <v>1516</v>
      </c>
      <c r="L1301" s="904">
        <f>ROUND(SUM('RES. CENTRAL PARK:RUA_FINAL'!L1301),2)</f>
        <v>0</v>
      </c>
      <c r="M1301" s="904">
        <f t="shared" si="365"/>
        <v>0</v>
      </c>
      <c r="N1301" s="893">
        <f t="shared" si="366"/>
        <v>0</v>
      </c>
      <c r="O1301" s="905"/>
      <c r="Q1301" s="317" t="str">
        <f t="shared" si="367"/>
        <v/>
      </c>
      <c r="R1301" s="317" t="str">
        <f t="shared" si="368"/>
        <v/>
      </c>
      <c r="S1301" s="317" t="str">
        <f t="shared" si="369"/>
        <v/>
      </c>
      <c r="V1301" s="314">
        <f>SUM('RES. CENTRAL PARK:RUA_FINAL'!N1301)</f>
        <v>0</v>
      </c>
      <c r="W1301" s="315">
        <f t="shared" ref="W1301:W1364" si="370">N1301-V1301</f>
        <v>0</v>
      </c>
    </row>
    <row r="1302" spans="1:23" ht="30" hidden="1" customHeight="1" x14ac:dyDescent="0.2">
      <c r="A1302" s="63">
        <v>93667</v>
      </c>
      <c r="B1302" s="895">
        <v>93667</v>
      </c>
      <c r="C1302" s="896" t="s">
        <v>596</v>
      </c>
      <c r="D1302" s="906" t="s">
        <v>1232</v>
      </c>
      <c r="E1302" s="907"/>
      <c r="F1302" s="908"/>
      <c r="G1302" s="912"/>
      <c r="H1302" s="901">
        <v>73.459999999999994</v>
      </c>
      <c r="I1302" s="901">
        <f t="shared" si="363"/>
        <v>73.459999999999994</v>
      </c>
      <c r="J1302" s="902">
        <f t="shared" si="364"/>
        <v>88.2</v>
      </c>
      <c r="K1302" s="903" t="s">
        <v>1516</v>
      </c>
      <c r="L1302" s="904">
        <f>ROUND(SUM('RES. CENTRAL PARK:RUA_FINAL'!L1302),2)</f>
        <v>0</v>
      </c>
      <c r="M1302" s="904">
        <f t="shared" si="365"/>
        <v>0</v>
      </c>
      <c r="N1302" s="893">
        <f t="shared" si="366"/>
        <v>0</v>
      </c>
      <c r="O1302" s="905"/>
      <c r="Q1302" s="317" t="str">
        <f t="shared" si="367"/>
        <v/>
      </c>
      <c r="R1302" s="317" t="str">
        <f t="shared" si="368"/>
        <v/>
      </c>
      <c r="S1302" s="317" t="str">
        <f t="shared" si="369"/>
        <v/>
      </c>
      <c r="V1302" s="314">
        <f>SUM('RES. CENTRAL PARK:RUA_FINAL'!N1302)</f>
        <v>0</v>
      </c>
      <c r="W1302" s="315">
        <f t="shared" si="370"/>
        <v>0</v>
      </c>
    </row>
    <row r="1303" spans="1:23" ht="30" hidden="1" customHeight="1" x14ac:dyDescent="0.2">
      <c r="A1303" s="63">
        <v>93668</v>
      </c>
      <c r="B1303" s="895">
        <v>93668</v>
      </c>
      <c r="C1303" s="896" t="s">
        <v>596</v>
      </c>
      <c r="D1303" s="906" t="s">
        <v>1233</v>
      </c>
      <c r="E1303" s="907"/>
      <c r="F1303" s="908"/>
      <c r="G1303" s="912"/>
      <c r="H1303" s="901">
        <v>75.7</v>
      </c>
      <c r="I1303" s="901">
        <f t="shared" si="363"/>
        <v>75.7</v>
      </c>
      <c r="J1303" s="902">
        <f t="shared" si="364"/>
        <v>90.89</v>
      </c>
      <c r="K1303" s="903" t="s">
        <v>1516</v>
      </c>
      <c r="L1303" s="904">
        <f>ROUND(SUM('RES. CENTRAL PARK:RUA_FINAL'!L1303),2)</f>
        <v>0</v>
      </c>
      <c r="M1303" s="904">
        <f t="shared" si="365"/>
        <v>0</v>
      </c>
      <c r="N1303" s="893">
        <f t="shared" si="366"/>
        <v>0</v>
      </c>
      <c r="O1303" s="905"/>
      <c r="Q1303" s="317" t="str">
        <f t="shared" si="367"/>
        <v/>
      </c>
      <c r="R1303" s="317" t="str">
        <f t="shared" si="368"/>
        <v/>
      </c>
      <c r="S1303" s="317" t="str">
        <f t="shared" si="369"/>
        <v/>
      </c>
      <c r="V1303" s="314">
        <f>SUM('RES. CENTRAL PARK:RUA_FINAL'!N1303)</f>
        <v>0</v>
      </c>
      <c r="W1303" s="315">
        <f t="shared" si="370"/>
        <v>0</v>
      </c>
    </row>
    <row r="1304" spans="1:23" ht="30" hidden="1" customHeight="1" x14ac:dyDescent="0.2">
      <c r="A1304" s="63">
        <v>93669</v>
      </c>
      <c r="B1304" s="895">
        <v>93669</v>
      </c>
      <c r="C1304" s="896" t="s">
        <v>596</v>
      </c>
      <c r="D1304" s="906" t="s">
        <v>1234</v>
      </c>
      <c r="E1304" s="907"/>
      <c r="F1304" s="908"/>
      <c r="G1304" s="912"/>
      <c r="H1304" s="901">
        <v>79.84</v>
      </c>
      <c r="I1304" s="901">
        <f t="shared" si="363"/>
        <v>79.84</v>
      </c>
      <c r="J1304" s="902">
        <f t="shared" si="364"/>
        <v>95.86</v>
      </c>
      <c r="K1304" s="903" t="s">
        <v>1516</v>
      </c>
      <c r="L1304" s="904">
        <f>ROUND(SUM('RES. CENTRAL PARK:RUA_FINAL'!L1304),2)</f>
        <v>0</v>
      </c>
      <c r="M1304" s="904">
        <f t="shared" si="365"/>
        <v>0</v>
      </c>
      <c r="N1304" s="893">
        <f t="shared" si="366"/>
        <v>0</v>
      </c>
      <c r="O1304" s="905"/>
      <c r="Q1304" s="317" t="str">
        <f t="shared" si="367"/>
        <v/>
      </c>
      <c r="R1304" s="317" t="str">
        <f t="shared" si="368"/>
        <v/>
      </c>
      <c r="S1304" s="317" t="str">
        <f t="shared" si="369"/>
        <v/>
      </c>
      <c r="V1304" s="314">
        <f>SUM('RES. CENTRAL PARK:RUA_FINAL'!N1304)</f>
        <v>0</v>
      </c>
      <c r="W1304" s="315">
        <f t="shared" si="370"/>
        <v>0</v>
      </c>
    </row>
    <row r="1305" spans="1:23" ht="30" hidden="1" customHeight="1" x14ac:dyDescent="0.2">
      <c r="A1305" s="63">
        <v>93670</v>
      </c>
      <c r="B1305" s="895">
        <v>93670</v>
      </c>
      <c r="C1305" s="896" t="s">
        <v>596</v>
      </c>
      <c r="D1305" s="906" t="s">
        <v>1235</v>
      </c>
      <c r="E1305" s="907"/>
      <c r="F1305" s="908"/>
      <c r="G1305" s="912"/>
      <c r="H1305" s="901">
        <v>79.84</v>
      </c>
      <c r="I1305" s="901">
        <f t="shared" si="363"/>
        <v>79.84</v>
      </c>
      <c r="J1305" s="902">
        <f t="shared" si="364"/>
        <v>95.86</v>
      </c>
      <c r="K1305" s="903" t="s">
        <v>1516</v>
      </c>
      <c r="L1305" s="904">
        <f>ROUND(SUM('RES. CENTRAL PARK:RUA_FINAL'!L1305),2)</f>
        <v>0</v>
      </c>
      <c r="M1305" s="904">
        <f t="shared" si="365"/>
        <v>0</v>
      </c>
      <c r="N1305" s="893">
        <f t="shared" si="366"/>
        <v>0</v>
      </c>
      <c r="O1305" s="905"/>
      <c r="Q1305" s="317" t="str">
        <f t="shared" si="367"/>
        <v/>
      </c>
      <c r="R1305" s="317" t="str">
        <f t="shared" si="368"/>
        <v/>
      </c>
      <c r="S1305" s="317" t="str">
        <f t="shared" si="369"/>
        <v/>
      </c>
      <c r="V1305" s="314">
        <f>SUM('RES. CENTRAL PARK:RUA_FINAL'!N1305)</f>
        <v>0</v>
      </c>
      <c r="W1305" s="315">
        <f t="shared" si="370"/>
        <v>0</v>
      </c>
    </row>
    <row r="1306" spans="1:23" ht="30" hidden="1" customHeight="1" x14ac:dyDescent="0.2">
      <c r="A1306" s="63">
        <v>93671</v>
      </c>
      <c r="B1306" s="895">
        <v>93671</v>
      </c>
      <c r="C1306" s="896" t="s">
        <v>596</v>
      </c>
      <c r="D1306" s="906" t="s">
        <v>1236</v>
      </c>
      <c r="E1306" s="907"/>
      <c r="F1306" s="908"/>
      <c r="G1306" s="912"/>
      <c r="H1306" s="901">
        <v>84.94</v>
      </c>
      <c r="I1306" s="901">
        <f t="shared" si="363"/>
        <v>84.94</v>
      </c>
      <c r="J1306" s="902">
        <f t="shared" si="364"/>
        <v>101.99</v>
      </c>
      <c r="K1306" s="903" t="s">
        <v>1516</v>
      </c>
      <c r="L1306" s="904">
        <f>ROUND(SUM('RES. CENTRAL PARK:RUA_FINAL'!L1306),2)</f>
        <v>0</v>
      </c>
      <c r="M1306" s="904">
        <f t="shared" si="365"/>
        <v>0</v>
      </c>
      <c r="N1306" s="893">
        <f t="shared" si="366"/>
        <v>0</v>
      </c>
      <c r="O1306" s="905"/>
      <c r="Q1306" s="317" t="str">
        <f t="shared" si="367"/>
        <v/>
      </c>
      <c r="R1306" s="317" t="str">
        <f t="shared" si="368"/>
        <v/>
      </c>
      <c r="S1306" s="317" t="str">
        <f t="shared" si="369"/>
        <v/>
      </c>
      <c r="V1306" s="314">
        <f>SUM('RES. CENTRAL PARK:RUA_FINAL'!N1306)</f>
        <v>0</v>
      </c>
      <c r="W1306" s="315">
        <f t="shared" si="370"/>
        <v>0</v>
      </c>
    </row>
    <row r="1307" spans="1:23" ht="30" hidden="1" customHeight="1" x14ac:dyDescent="0.2">
      <c r="A1307" s="63">
        <v>93672</v>
      </c>
      <c r="B1307" s="895">
        <v>93672</v>
      </c>
      <c r="C1307" s="896" t="s">
        <v>596</v>
      </c>
      <c r="D1307" s="906" t="s">
        <v>1237</v>
      </c>
      <c r="E1307" s="907"/>
      <c r="F1307" s="908"/>
      <c r="G1307" s="912"/>
      <c r="H1307" s="901">
        <v>93.21</v>
      </c>
      <c r="I1307" s="901">
        <f t="shared" si="363"/>
        <v>93.21</v>
      </c>
      <c r="J1307" s="902">
        <f t="shared" si="364"/>
        <v>111.92</v>
      </c>
      <c r="K1307" s="903" t="s">
        <v>1516</v>
      </c>
      <c r="L1307" s="904">
        <f>ROUND(SUM('RES. CENTRAL PARK:RUA_FINAL'!L1307),2)</f>
        <v>0</v>
      </c>
      <c r="M1307" s="904">
        <f t="shared" si="365"/>
        <v>0</v>
      </c>
      <c r="N1307" s="893">
        <f t="shared" si="366"/>
        <v>0</v>
      </c>
      <c r="O1307" s="905"/>
      <c r="Q1307" s="317" t="str">
        <f t="shared" si="367"/>
        <v/>
      </c>
      <c r="R1307" s="317" t="str">
        <f t="shared" si="368"/>
        <v/>
      </c>
      <c r="S1307" s="317" t="str">
        <f t="shared" si="369"/>
        <v/>
      </c>
      <c r="V1307" s="314">
        <f>SUM('RES. CENTRAL PARK:RUA_FINAL'!N1307)</f>
        <v>0</v>
      </c>
      <c r="W1307" s="315">
        <f t="shared" si="370"/>
        <v>0</v>
      </c>
    </row>
    <row r="1308" spans="1:23" ht="30" hidden="1" customHeight="1" x14ac:dyDescent="0.2">
      <c r="A1308" s="63">
        <v>93673</v>
      </c>
      <c r="B1308" s="895">
        <v>93673</v>
      </c>
      <c r="C1308" s="896" t="s">
        <v>596</v>
      </c>
      <c r="D1308" s="906" t="s">
        <v>1238</v>
      </c>
      <c r="E1308" s="907"/>
      <c r="F1308" s="908"/>
      <c r="G1308" s="912"/>
      <c r="H1308" s="901">
        <v>103.75</v>
      </c>
      <c r="I1308" s="901">
        <f t="shared" si="363"/>
        <v>103.75</v>
      </c>
      <c r="J1308" s="902">
        <f t="shared" si="364"/>
        <v>124.57</v>
      </c>
      <c r="K1308" s="903" t="s">
        <v>1516</v>
      </c>
      <c r="L1308" s="904">
        <f>ROUND(SUM('RES. CENTRAL PARK:RUA_FINAL'!L1308),2)</f>
        <v>0</v>
      </c>
      <c r="M1308" s="904">
        <f t="shared" si="365"/>
        <v>0</v>
      </c>
      <c r="N1308" s="893">
        <f t="shared" si="366"/>
        <v>0</v>
      </c>
      <c r="O1308" s="905"/>
      <c r="Q1308" s="317" t="str">
        <f t="shared" si="367"/>
        <v/>
      </c>
      <c r="R1308" s="317" t="str">
        <f t="shared" si="368"/>
        <v/>
      </c>
      <c r="S1308" s="317" t="str">
        <f t="shared" si="369"/>
        <v/>
      </c>
      <c r="V1308" s="314">
        <f>SUM('RES. CENTRAL PARK:RUA_FINAL'!N1308)</f>
        <v>0</v>
      </c>
      <c r="W1308" s="315">
        <f t="shared" si="370"/>
        <v>0</v>
      </c>
    </row>
    <row r="1309" spans="1:23" ht="30" hidden="1" customHeight="1" x14ac:dyDescent="0.2">
      <c r="A1309" s="63">
        <v>101893</v>
      </c>
      <c r="B1309" s="895">
        <v>101893</v>
      </c>
      <c r="C1309" s="896" t="s">
        <v>596</v>
      </c>
      <c r="D1309" s="906" t="s">
        <v>1239</v>
      </c>
      <c r="E1309" s="907"/>
      <c r="F1309" s="908"/>
      <c r="G1309" s="912"/>
      <c r="H1309" s="901">
        <v>95.19</v>
      </c>
      <c r="I1309" s="901">
        <f t="shared" si="363"/>
        <v>95.19</v>
      </c>
      <c r="J1309" s="902">
        <f t="shared" si="364"/>
        <v>114.29</v>
      </c>
      <c r="K1309" s="903" t="s">
        <v>1516</v>
      </c>
      <c r="L1309" s="904">
        <f>ROUND(SUM('RES. CENTRAL PARK:RUA_FINAL'!L1309),2)</f>
        <v>0</v>
      </c>
      <c r="M1309" s="904">
        <f t="shared" si="365"/>
        <v>0</v>
      </c>
      <c r="N1309" s="893">
        <f t="shared" si="366"/>
        <v>0</v>
      </c>
      <c r="O1309" s="905"/>
      <c r="Q1309" s="317" t="str">
        <f t="shared" si="367"/>
        <v/>
      </c>
      <c r="R1309" s="317" t="str">
        <f t="shared" si="368"/>
        <v/>
      </c>
      <c r="S1309" s="317" t="str">
        <f t="shared" si="369"/>
        <v/>
      </c>
      <c r="V1309" s="314">
        <f>SUM('RES. CENTRAL PARK:RUA_FINAL'!N1309)</f>
        <v>0</v>
      </c>
      <c r="W1309" s="315">
        <f t="shared" si="370"/>
        <v>0</v>
      </c>
    </row>
    <row r="1310" spans="1:23" ht="30" hidden="1" customHeight="1" x14ac:dyDescent="0.2">
      <c r="A1310" s="63">
        <v>101894</v>
      </c>
      <c r="B1310" s="895">
        <v>101894</v>
      </c>
      <c r="C1310" s="896" t="s">
        <v>596</v>
      </c>
      <c r="D1310" s="906" t="s">
        <v>1240</v>
      </c>
      <c r="E1310" s="907"/>
      <c r="F1310" s="908"/>
      <c r="G1310" s="912"/>
      <c r="H1310" s="901">
        <v>166.69</v>
      </c>
      <c r="I1310" s="901">
        <f t="shared" si="363"/>
        <v>166.69</v>
      </c>
      <c r="J1310" s="902">
        <f t="shared" si="364"/>
        <v>200.14</v>
      </c>
      <c r="K1310" s="903" t="s">
        <v>1516</v>
      </c>
      <c r="L1310" s="904">
        <f>ROUND(SUM('RES. CENTRAL PARK:RUA_FINAL'!L1310),2)</f>
        <v>0</v>
      </c>
      <c r="M1310" s="904">
        <f t="shared" si="365"/>
        <v>0</v>
      </c>
      <c r="N1310" s="893">
        <f t="shared" si="366"/>
        <v>0</v>
      </c>
      <c r="O1310" s="905"/>
      <c r="Q1310" s="317" t="str">
        <f t="shared" si="367"/>
        <v/>
      </c>
      <c r="R1310" s="317" t="str">
        <f t="shared" si="368"/>
        <v/>
      </c>
      <c r="S1310" s="317" t="str">
        <f t="shared" si="369"/>
        <v/>
      </c>
      <c r="V1310" s="314">
        <f>SUM('RES. CENTRAL PARK:RUA_FINAL'!N1310)</f>
        <v>0</v>
      </c>
      <c r="W1310" s="315">
        <f t="shared" si="370"/>
        <v>0</v>
      </c>
    </row>
    <row r="1311" spans="1:23" ht="30" hidden="1" customHeight="1" x14ac:dyDescent="0.2">
      <c r="A1311" s="63">
        <v>101663</v>
      </c>
      <c r="B1311" s="895">
        <v>101663</v>
      </c>
      <c r="C1311" s="896" t="s">
        <v>596</v>
      </c>
      <c r="D1311" s="906" t="s">
        <v>1241</v>
      </c>
      <c r="E1311" s="907"/>
      <c r="F1311" s="908"/>
      <c r="G1311" s="912"/>
      <c r="H1311" s="901">
        <v>29.2</v>
      </c>
      <c r="I1311" s="901">
        <f t="shared" si="363"/>
        <v>29.2</v>
      </c>
      <c r="J1311" s="902">
        <f t="shared" si="364"/>
        <v>35.06</v>
      </c>
      <c r="K1311" s="903" t="s">
        <v>1516</v>
      </c>
      <c r="L1311" s="904">
        <f>ROUND(SUM('RES. CENTRAL PARK:RUA_FINAL'!L1311),2)</f>
        <v>0</v>
      </c>
      <c r="M1311" s="904">
        <f t="shared" si="365"/>
        <v>0</v>
      </c>
      <c r="N1311" s="893">
        <f t="shared" si="366"/>
        <v>0</v>
      </c>
      <c r="O1311" s="905"/>
      <c r="Q1311" s="317" t="str">
        <f t="shared" si="367"/>
        <v/>
      </c>
      <c r="R1311" s="317" t="str">
        <f t="shared" si="368"/>
        <v/>
      </c>
      <c r="S1311" s="317" t="str">
        <f t="shared" si="369"/>
        <v/>
      </c>
      <c r="V1311" s="314">
        <f>SUM('RES. CENTRAL PARK:RUA_FINAL'!N1311)</f>
        <v>0</v>
      </c>
      <c r="W1311" s="315">
        <f t="shared" si="370"/>
        <v>0</v>
      </c>
    </row>
    <row r="1312" spans="1:23" ht="30" hidden="1" customHeight="1" x14ac:dyDescent="0.2">
      <c r="A1312" s="63">
        <v>101664</v>
      </c>
      <c r="B1312" s="895">
        <v>101664</v>
      </c>
      <c r="C1312" s="896" t="s">
        <v>596</v>
      </c>
      <c r="D1312" s="906" t="s">
        <v>1242</v>
      </c>
      <c r="E1312" s="907"/>
      <c r="F1312" s="908"/>
      <c r="G1312" s="912"/>
      <c r="H1312" s="901">
        <v>30.24</v>
      </c>
      <c r="I1312" s="901">
        <f t="shared" si="363"/>
        <v>30.24</v>
      </c>
      <c r="J1312" s="902">
        <f t="shared" si="364"/>
        <v>36.31</v>
      </c>
      <c r="K1312" s="903" t="s">
        <v>1516</v>
      </c>
      <c r="L1312" s="904">
        <f>ROUND(SUM('RES. CENTRAL PARK:RUA_FINAL'!L1312),2)</f>
        <v>0</v>
      </c>
      <c r="M1312" s="904">
        <f t="shared" si="365"/>
        <v>0</v>
      </c>
      <c r="N1312" s="893">
        <f t="shared" si="366"/>
        <v>0</v>
      </c>
      <c r="O1312" s="905"/>
      <c r="Q1312" s="317" t="str">
        <f t="shared" si="367"/>
        <v/>
      </c>
      <c r="R1312" s="317" t="str">
        <f t="shared" si="368"/>
        <v/>
      </c>
      <c r="S1312" s="317" t="str">
        <f t="shared" si="369"/>
        <v/>
      </c>
      <c r="V1312" s="314">
        <f>SUM('RES. CENTRAL PARK:RUA_FINAL'!N1312)</f>
        <v>0</v>
      </c>
      <c r="W1312" s="315">
        <f t="shared" si="370"/>
        <v>0</v>
      </c>
    </row>
    <row r="1313" spans="1:23" ht="30" hidden="1" customHeight="1" x14ac:dyDescent="0.2">
      <c r="A1313" s="63">
        <v>101665</v>
      </c>
      <c r="B1313" s="895">
        <v>101665</v>
      </c>
      <c r="C1313" s="896" t="s">
        <v>596</v>
      </c>
      <c r="D1313" s="906" t="s">
        <v>1243</v>
      </c>
      <c r="E1313" s="907"/>
      <c r="F1313" s="908"/>
      <c r="G1313" s="912"/>
      <c r="H1313" s="901">
        <v>34.729999999999997</v>
      </c>
      <c r="I1313" s="901">
        <f t="shared" si="363"/>
        <v>34.729999999999997</v>
      </c>
      <c r="J1313" s="902">
        <f t="shared" si="364"/>
        <v>41.7</v>
      </c>
      <c r="K1313" s="903" t="s">
        <v>1516</v>
      </c>
      <c r="L1313" s="904">
        <f>ROUND(SUM('RES. CENTRAL PARK:RUA_FINAL'!L1313),2)</f>
        <v>0</v>
      </c>
      <c r="M1313" s="904">
        <f t="shared" si="365"/>
        <v>0</v>
      </c>
      <c r="N1313" s="893">
        <f t="shared" si="366"/>
        <v>0</v>
      </c>
      <c r="O1313" s="905"/>
      <c r="Q1313" s="317" t="str">
        <f t="shared" si="367"/>
        <v/>
      </c>
      <c r="R1313" s="317" t="str">
        <f t="shared" si="368"/>
        <v/>
      </c>
      <c r="S1313" s="317" t="str">
        <f t="shared" si="369"/>
        <v/>
      </c>
      <c r="V1313" s="314">
        <f>SUM('RES. CENTRAL PARK:RUA_FINAL'!N1313)</f>
        <v>0</v>
      </c>
      <c r="W1313" s="315">
        <f t="shared" si="370"/>
        <v>0</v>
      </c>
    </row>
    <row r="1314" spans="1:23" ht="30" hidden="1" customHeight="1" x14ac:dyDescent="0.2">
      <c r="A1314" s="63">
        <v>101895</v>
      </c>
      <c r="B1314" s="895">
        <v>101895</v>
      </c>
      <c r="C1314" s="896" t="s">
        <v>596</v>
      </c>
      <c r="D1314" s="906" t="s">
        <v>1244</v>
      </c>
      <c r="E1314" s="907"/>
      <c r="F1314" s="908"/>
      <c r="G1314" s="912"/>
      <c r="H1314" s="901">
        <v>445.37</v>
      </c>
      <c r="I1314" s="901">
        <f t="shared" si="363"/>
        <v>445.37</v>
      </c>
      <c r="J1314" s="902">
        <f t="shared" si="364"/>
        <v>534.76</v>
      </c>
      <c r="K1314" s="903" t="s">
        <v>1516</v>
      </c>
      <c r="L1314" s="904">
        <f>ROUND(SUM('RES. CENTRAL PARK:RUA_FINAL'!L1314),2)</f>
        <v>0</v>
      </c>
      <c r="M1314" s="904">
        <f t="shared" si="365"/>
        <v>0</v>
      </c>
      <c r="N1314" s="893">
        <f t="shared" si="366"/>
        <v>0</v>
      </c>
      <c r="O1314" s="905"/>
      <c r="Q1314" s="317" t="str">
        <f t="shared" si="367"/>
        <v/>
      </c>
      <c r="R1314" s="317" t="str">
        <f t="shared" si="368"/>
        <v/>
      </c>
      <c r="S1314" s="317" t="str">
        <f t="shared" si="369"/>
        <v/>
      </c>
      <c r="V1314" s="314">
        <f>SUM('RES. CENTRAL PARK:RUA_FINAL'!N1314)</f>
        <v>0</v>
      </c>
      <c r="W1314" s="315">
        <f t="shared" si="370"/>
        <v>0</v>
      </c>
    </row>
    <row r="1315" spans="1:23" ht="30" hidden="1" customHeight="1" x14ac:dyDescent="0.2">
      <c r="A1315" s="63">
        <v>101896</v>
      </c>
      <c r="B1315" s="895">
        <v>101896</v>
      </c>
      <c r="C1315" s="896" t="s">
        <v>596</v>
      </c>
      <c r="D1315" s="906" t="s">
        <v>1245</v>
      </c>
      <c r="E1315" s="907"/>
      <c r="F1315" s="908"/>
      <c r="G1315" s="912"/>
      <c r="H1315" s="901">
        <v>661.28</v>
      </c>
      <c r="I1315" s="901">
        <f t="shared" si="363"/>
        <v>661.28</v>
      </c>
      <c r="J1315" s="902">
        <f t="shared" si="364"/>
        <v>794</v>
      </c>
      <c r="K1315" s="903" t="s">
        <v>1516</v>
      </c>
      <c r="L1315" s="904">
        <f>ROUND(SUM('RES. CENTRAL PARK:RUA_FINAL'!L1315),2)</f>
        <v>0</v>
      </c>
      <c r="M1315" s="904">
        <f t="shared" si="365"/>
        <v>0</v>
      </c>
      <c r="N1315" s="893">
        <f t="shared" si="366"/>
        <v>0</v>
      </c>
      <c r="O1315" s="905"/>
      <c r="Q1315" s="317" t="str">
        <f t="shared" si="367"/>
        <v/>
      </c>
      <c r="R1315" s="317" t="str">
        <f t="shared" si="368"/>
        <v/>
      </c>
      <c r="S1315" s="317" t="str">
        <f t="shared" si="369"/>
        <v/>
      </c>
      <c r="V1315" s="314">
        <f>SUM('RES. CENTRAL PARK:RUA_FINAL'!N1315)</f>
        <v>0</v>
      </c>
      <c r="W1315" s="315">
        <f t="shared" si="370"/>
        <v>0</v>
      </c>
    </row>
    <row r="1316" spans="1:23" ht="30" hidden="1" customHeight="1" x14ac:dyDescent="0.2">
      <c r="A1316" s="63">
        <v>101897</v>
      </c>
      <c r="B1316" s="895">
        <v>101897</v>
      </c>
      <c r="C1316" s="896" t="s">
        <v>596</v>
      </c>
      <c r="D1316" s="906" t="s">
        <v>1246</v>
      </c>
      <c r="E1316" s="907"/>
      <c r="F1316" s="908"/>
      <c r="G1316" s="912"/>
      <c r="H1316" s="901">
        <v>1048.0899999999999</v>
      </c>
      <c r="I1316" s="901">
        <f t="shared" si="363"/>
        <v>1048.0899999999999</v>
      </c>
      <c r="J1316" s="902">
        <f t="shared" si="364"/>
        <v>1258.44</v>
      </c>
      <c r="K1316" s="903" t="s">
        <v>1516</v>
      </c>
      <c r="L1316" s="904">
        <f>ROUND(SUM('RES. CENTRAL PARK:RUA_FINAL'!L1316),2)</f>
        <v>0</v>
      </c>
      <c r="M1316" s="904">
        <f t="shared" si="365"/>
        <v>0</v>
      </c>
      <c r="N1316" s="893">
        <f t="shared" si="366"/>
        <v>0</v>
      </c>
      <c r="O1316" s="905"/>
      <c r="Q1316" s="317" t="str">
        <f t="shared" si="367"/>
        <v/>
      </c>
      <c r="R1316" s="317" t="str">
        <f t="shared" si="368"/>
        <v/>
      </c>
      <c r="S1316" s="317" t="str">
        <f t="shared" si="369"/>
        <v/>
      </c>
      <c r="V1316" s="314">
        <f>SUM('RES. CENTRAL PARK:RUA_FINAL'!N1316)</f>
        <v>0</v>
      </c>
      <c r="W1316" s="315">
        <f t="shared" si="370"/>
        <v>0</v>
      </c>
    </row>
    <row r="1317" spans="1:23" ht="30" hidden="1" customHeight="1" x14ac:dyDescent="0.2">
      <c r="A1317" s="63">
        <v>101898</v>
      </c>
      <c r="B1317" s="895">
        <v>101898</v>
      </c>
      <c r="C1317" s="896" t="s">
        <v>596</v>
      </c>
      <c r="D1317" s="906" t="s">
        <v>1247</v>
      </c>
      <c r="E1317" s="907"/>
      <c r="F1317" s="908"/>
      <c r="G1317" s="912"/>
      <c r="H1317" s="901">
        <v>1398.72</v>
      </c>
      <c r="I1317" s="901">
        <f t="shared" si="363"/>
        <v>1398.72</v>
      </c>
      <c r="J1317" s="902">
        <f t="shared" si="364"/>
        <v>1679.44</v>
      </c>
      <c r="K1317" s="903" t="s">
        <v>1516</v>
      </c>
      <c r="L1317" s="904">
        <f>ROUND(SUM('RES. CENTRAL PARK:RUA_FINAL'!L1317),2)</f>
        <v>0</v>
      </c>
      <c r="M1317" s="904">
        <f t="shared" si="365"/>
        <v>0</v>
      </c>
      <c r="N1317" s="893">
        <f t="shared" si="366"/>
        <v>0</v>
      </c>
      <c r="O1317" s="905"/>
      <c r="Q1317" s="317" t="str">
        <f t="shared" si="367"/>
        <v/>
      </c>
      <c r="R1317" s="317" t="str">
        <f t="shared" si="368"/>
        <v/>
      </c>
      <c r="S1317" s="317" t="str">
        <f t="shared" si="369"/>
        <v/>
      </c>
      <c r="V1317" s="314">
        <f>SUM('RES. CENTRAL PARK:RUA_FINAL'!N1317)</f>
        <v>0</v>
      </c>
      <c r="W1317" s="315">
        <f t="shared" si="370"/>
        <v>0</v>
      </c>
    </row>
    <row r="1318" spans="1:23" ht="30" hidden="1" customHeight="1" x14ac:dyDescent="0.2">
      <c r="A1318" s="63">
        <v>101899</v>
      </c>
      <c r="B1318" s="895">
        <v>101899</v>
      </c>
      <c r="C1318" s="896" t="s">
        <v>596</v>
      </c>
      <c r="D1318" s="906" t="s">
        <v>1248</v>
      </c>
      <c r="E1318" s="907"/>
      <c r="F1318" s="908"/>
      <c r="G1318" s="912"/>
      <c r="H1318" s="901">
        <v>2232.7399999999998</v>
      </c>
      <c r="I1318" s="901">
        <f t="shared" si="363"/>
        <v>2232.7399999999998</v>
      </c>
      <c r="J1318" s="902">
        <f t="shared" si="364"/>
        <v>2680.85</v>
      </c>
      <c r="K1318" s="903" t="s">
        <v>1516</v>
      </c>
      <c r="L1318" s="904">
        <f>ROUND(SUM('RES. CENTRAL PARK:RUA_FINAL'!L1318),2)</f>
        <v>0</v>
      </c>
      <c r="M1318" s="904">
        <f t="shared" si="365"/>
        <v>0</v>
      </c>
      <c r="N1318" s="893">
        <f t="shared" si="366"/>
        <v>0</v>
      </c>
      <c r="O1318" s="905"/>
      <c r="Q1318" s="317" t="str">
        <f t="shared" si="367"/>
        <v/>
      </c>
      <c r="R1318" s="317" t="str">
        <f t="shared" si="368"/>
        <v/>
      </c>
      <c r="S1318" s="317" t="str">
        <f t="shared" si="369"/>
        <v/>
      </c>
      <c r="V1318" s="314">
        <f>SUM('RES. CENTRAL PARK:RUA_FINAL'!N1318)</f>
        <v>0</v>
      </c>
      <c r="W1318" s="315">
        <f t="shared" si="370"/>
        <v>0</v>
      </c>
    </row>
    <row r="1319" spans="1:23" ht="30" hidden="1" customHeight="1" x14ac:dyDescent="0.2">
      <c r="A1319" s="63">
        <v>101900</v>
      </c>
      <c r="B1319" s="895">
        <v>101900</v>
      </c>
      <c r="C1319" s="896" t="s">
        <v>596</v>
      </c>
      <c r="D1319" s="906" t="s">
        <v>1249</v>
      </c>
      <c r="E1319" s="907"/>
      <c r="F1319" s="908"/>
      <c r="G1319" s="912"/>
      <c r="H1319" s="901">
        <v>4648.41</v>
      </c>
      <c r="I1319" s="901">
        <f t="shared" si="363"/>
        <v>4648.41</v>
      </c>
      <c r="J1319" s="902">
        <f t="shared" si="364"/>
        <v>5581.35</v>
      </c>
      <c r="K1319" s="903" t="s">
        <v>1516</v>
      </c>
      <c r="L1319" s="904">
        <f>ROUND(SUM('RES. CENTRAL PARK:RUA_FINAL'!L1319),2)</f>
        <v>0</v>
      </c>
      <c r="M1319" s="904">
        <f t="shared" si="365"/>
        <v>0</v>
      </c>
      <c r="N1319" s="893">
        <f t="shared" si="366"/>
        <v>0</v>
      </c>
      <c r="O1319" s="905"/>
      <c r="Q1319" s="317" t="str">
        <f t="shared" si="367"/>
        <v/>
      </c>
      <c r="R1319" s="317" t="str">
        <f t="shared" si="368"/>
        <v/>
      </c>
      <c r="S1319" s="317" t="str">
        <f t="shared" si="369"/>
        <v/>
      </c>
      <c r="V1319" s="314">
        <f>SUM('RES. CENTRAL PARK:RUA_FINAL'!N1319)</f>
        <v>0</v>
      </c>
      <c r="W1319" s="315">
        <f t="shared" si="370"/>
        <v>0</v>
      </c>
    </row>
    <row r="1320" spans="1:23" ht="30" hidden="1" customHeight="1" x14ac:dyDescent="0.2">
      <c r="A1320" s="63">
        <v>91952</v>
      </c>
      <c r="B1320" s="895">
        <v>91952</v>
      </c>
      <c r="C1320" s="896" t="s">
        <v>596</v>
      </c>
      <c r="D1320" s="906" t="s">
        <v>1250</v>
      </c>
      <c r="E1320" s="907"/>
      <c r="F1320" s="908"/>
      <c r="G1320" s="912"/>
      <c r="H1320" s="901">
        <v>21.5</v>
      </c>
      <c r="I1320" s="901">
        <f t="shared" si="363"/>
        <v>21.5</v>
      </c>
      <c r="J1320" s="902">
        <f t="shared" si="364"/>
        <v>25.82</v>
      </c>
      <c r="K1320" s="903" t="s">
        <v>1516</v>
      </c>
      <c r="L1320" s="904">
        <f>ROUND(SUM('RES. CENTRAL PARK:RUA_FINAL'!L1320),2)</f>
        <v>0</v>
      </c>
      <c r="M1320" s="904">
        <f t="shared" si="365"/>
        <v>0</v>
      </c>
      <c r="N1320" s="893">
        <f t="shared" si="366"/>
        <v>0</v>
      </c>
      <c r="O1320" s="905"/>
      <c r="Q1320" s="317" t="str">
        <f t="shared" si="367"/>
        <v/>
      </c>
      <c r="R1320" s="317" t="str">
        <f t="shared" si="368"/>
        <v/>
      </c>
      <c r="S1320" s="317" t="str">
        <f t="shared" si="369"/>
        <v/>
      </c>
      <c r="V1320" s="314">
        <f>SUM('RES. CENTRAL PARK:RUA_FINAL'!N1320)</f>
        <v>0</v>
      </c>
      <c r="W1320" s="315">
        <f t="shared" si="370"/>
        <v>0</v>
      </c>
    </row>
    <row r="1321" spans="1:23" ht="30" hidden="1" customHeight="1" x14ac:dyDescent="0.2">
      <c r="A1321" s="63">
        <v>91953</v>
      </c>
      <c r="B1321" s="895">
        <v>91953</v>
      </c>
      <c r="C1321" s="896" t="s">
        <v>596</v>
      </c>
      <c r="D1321" s="906" t="s">
        <v>1251</v>
      </c>
      <c r="E1321" s="907"/>
      <c r="F1321" s="908"/>
      <c r="G1321" s="912"/>
      <c r="H1321" s="901">
        <v>30.73</v>
      </c>
      <c r="I1321" s="901">
        <f t="shared" si="363"/>
        <v>30.73</v>
      </c>
      <c r="J1321" s="902">
        <f t="shared" si="364"/>
        <v>36.9</v>
      </c>
      <c r="K1321" s="903" t="s">
        <v>1516</v>
      </c>
      <c r="L1321" s="904">
        <f>ROUND(SUM('RES. CENTRAL PARK:RUA_FINAL'!L1321),2)</f>
        <v>0</v>
      </c>
      <c r="M1321" s="904">
        <f t="shared" si="365"/>
        <v>0</v>
      </c>
      <c r="N1321" s="893">
        <f t="shared" si="366"/>
        <v>0</v>
      </c>
      <c r="O1321" s="905"/>
      <c r="Q1321" s="317" t="str">
        <f t="shared" si="367"/>
        <v/>
      </c>
      <c r="R1321" s="317" t="str">
        <f t="shared" si="368"/>
        <v/>
      </c>
      <c r="S1321" s="317" t="str">
        <f t="shared" si="369"/>
        <v/>
      </c>
      <c r="V1321" s="314">
        <f>SUM('RES. CENTRAL PARK:RUA_FINAL'!N1321)</f>
        <v>0</v>
      </c>
      <c r="W1321" s="315">
        <f t="shared" si="370"/>
        <v>0</v>
      </c>
    </row>
    <row r="1322" spans="1:23" ht="30" hidden="1" customHeight="1" x14ac:dyDescent="0.2">
      <c r="A1322" s="63">
        <v>91956</v>
      </c>
      <c r="B1322" s="895">
        <v>91956</v>
      </c>
      <c r="C1322" s="896" t="s">
        <v>596</v>
      </c>
      <c r="D1322" s="906" t="s">
        <v>1252</v>
      </c>
      <c r="E1322" s="907"/>
      <c r="F1322" s="908"/>
      <c r="G1322" s="912"/>
      <c r="H1322" s="901">
        <v>46.76</v>
      </c>
      <c r="I1322" s="901">
        <f t="shared" si="363"/>
        <v>46.76</v>
      </c>
      <c r="J1322" s="902">
        <f t="shared" si="364"/>
        <v>56.14</v>
      </c>
      <c r="K1322" s="903" t="s">
        <v>1516</v>
      </c>
      <c r="L1322" s="904">
        <f>ROUND(SUM('RES. CENTRAL PARK:RUA_FINAL'!L1322),2)</f>
        <v>0</v>
      </c>
      <c r="M1322" s="904">
        <f t="shared" si="365"/>
        <v>0</v>
      </c>
      <c r="N1322" s="893">
        <f t="shared" si="366"/>
        <v>0</v>
      </c>
      <c r="O1322" s="905"/>
      <c r="Q1322" s="317" t="str">
        <f t="shared" si="367"/>
        <v/>
      </c>
      <c r="R1322" s="317" t="str">
        <f t="shared" si="368"/>
        <v/>
      </c>
      <c r="S1322" s="317" t="str">
        <f t="shared" si="369"/>
        <v/>
      </c>
      <c r="V1322" s="314">
        <f>SUM('RES. CENTRAL PARK:RUA_FINAL'!N1322)</f>
        <v>0</v>
      </c>
      <c r="W1322" s="315">
        <f t="shared" si="370"/>
        <v>0</v>
      </c>
    </row>
    <row r="1323" spans="1:23" ht="30" hidden="1" customHeight="1" x14ac:dyDescent="0.2">
      <c r="A1323" s="63">
        <v>91957</v>
      </c>
      <c r="B1323" s="895">
        <v>91957</v>
      </c>
      <c r="C1323" s="896" t="s">
        <v>596</v>
      </c>
      <c r="D1323" s="906" t="s">
        <v>1253</v>
      </c>
      <c r="E1323" s="907"/>
      <c r="F1323" s="908"/>
      <c r="G1323" s="912"/>
      <c r="H1323" s="901">
        <v>55.99</v>
      </c>
      <c r="I1323" s="901">
        <f t="shared" si="363"/>
        <v>55.99</v>
      </c>
      <c r="J1323" s="902">
        <f t="shared" si="364"/>
        <v>67.23</v>
      </c>
      <c r="K1323" s="903" t="s">
        <v>1516</v>
      </c>
      <c r="L1323" s="904">
        <f>ROUND(SUM('RES. CENTRAL PARK:RUA_FINAL'!L1323),2)</f>
        <v>0</v>
      </c>
      <c r="M1323" s="904">
        <f t="shared" si="365"/>
        <v>0</v>
      </c>
      <c r="N1323" s="893">
        <f t="shared" si="366"/>
        <v>0</v>
      </c>
      <c r="O1323" s="905"/>
      <c r="Q1323" s="317" t="str">
        <f t="shared" si="367"/>
        <v/>
      </c>
      <c r="R1323" s="317" t="str">
        <f t="shared" si="368"/>
        <v/>
      </c>
      <c r="S1323" s="317" t="str">
        <f t="shared" si="369"/>
        <v/>
      </c>
      <c r="V1323" s="314">
        <f>SUM('RES. CENTRAL PARK:RUA_FINAL'!N1323)</f>
        <v>0</v>
      </c>
      <c r="W1323" s="315">
        <f t="shared" si="370"/>
        <v>0</v>
      </c>
    </row>
    <row r="1324" spans="1:23" ht="30" hidden="1" customHeight="1" x14ac:dyDescent="0.2">
      <c r="A1324" s="63">
        <v>91958</v>
      </c>
      <c r="B1324" s="895">
        <v>91958</v>
      </c>
      <c r="C1324" s="896" t="s">
        <v>596</v>
      </c>
      <c r="D1324" s="906" t="s">
        <v>1254</v>
      </c>
      <c r="E1324" s="907"/>
      <c r="F1324" s="908"/>
      <c r="G1324" s="912"/>
      <c r="H1324" s="901">
        <v>39.42</v>
      </c>
      <c r="I1324" s="901">
        <f t="shared" si="363"/>
        <v>39.42</v>
      </c>
      <c r="J1324" s="902">
        <f t="shared" si="364"/>
        <v>47.33</v>
      </c>
      <c r="K1324" s="903" t="s">
        <v>1516</v>
      </c>
      <c r="L1324" s="904">
        <f>ROUND(SUM('RES. CENTRAL PARK:RUA_FINAL'!L1324),2)</f>
        <v>0</v>
      </c>
      <c r="M1324" s="904">
        <f t="shared" si="365"/>
        <v>0</v>
      </c>
      <c r="N1324" s="893">
        <f t="shared" si="366"/>
        <v>0</v>
      </c>
      <c r="O1324" s="905"/>
      <c r="Q1324" s="317" t="str">
        <f t="shared" si="367"/>
        <v/>
      </c>
      <c r="R1324" s="317" t="str">
        <f t="shared" si="368"/>
        <v/>
      </c>
      <c r="S1324" s="317" t="str">
        <f t="shared" si="369"/>
        <v/>
      </c>
      <c r="V1324" s="314">
        <f>SUM('RES. CENTRAL PARK:RUA_FINAL'!N1324)</f>
        <v>0</v>
      </c>
      <c r="W1324" s="315">
        <f t="shared" si="370"/>
        <v>0</v>
      </c>
    </row>
    <row r="1325" spans="1:23" ht="30" hidden="1" customHeight="1" x14ac:dyDescent="0.2">
      <c r="A1325" s="63">
        <v>91959</v>
      </c>
      <c r="B1325" s="895">
        <v>91959</v>
      </c>
      <c r="C1325" s="896" t="s">
        <v>596</v>
      </c>
      <c r="D1325" s="906" t="s">
        <v>1255</v>
      </c>
      <c r="E1325" s="907"/>
      <c r="F1325" s="908"/>
      <c r="G1325" s="912"/>
      <c r="H1325" s="901">
        <v>48.65</v>
      </c>
      <c r="I1325" s="901">
        <f t="shared" si="363"/>
        <v>48.65</v>
      </c>
      <c r="J1325" s="902">
        <f t="shared" si="364"/>
        <v>58.41</v>
      </c>
      <c r="K1325" s="903" t="s">
        <v>1516</v>
      </c>
      <c r="L1325" s="904">
        <f>ROUND(SUM('RES. CENTRAL PARK:RUA_FINAL'!L1325),2)</f>
        <v>0</v>
      </c>
      <c r="M1325" s="904">
        <f t="shared" si="365"/>
        <v>0</v>
      </c>
      <c r="N1325" s="893">
        <f t="shared" si="366"/>
        <v>0</v>
      </c>
      <c r="O1325" s="905"/>
      <c r="Q1325" s="317" t="str">
        <f t="shared" si="367"/>
        <v/>
      </c>
      <c r="R1325" s="317" t="str">
        <f t="shared" si="368"/>
        <v/>
      </c>
      <c r="S1325" s="317" t="str">
        <f t="shared" si="369"/>
        <v/>
      </c>
      <c r="V1325" s="314">
        <f>SUM('RES. CENTRAL PARK:RUA_FINAL'!N1325)</f>
        <v>0</v>
      </c>
      <c r="W1325" s="315">
        <f t="shared" si="370"/>
        <v>0</v>
      </c>
    </row>
    <row r="1326" spans="1:23" ht="30" hidden="1" customHeight="1" x14ac:dyDescent="0.2">
      <c r="A1326" s="63">
        <v>91962</v>
      </c>
      <c r="B1326" s="895">
        <v>91962</v>
      </c>
      <c r="C1326" s="896" t="s">
        <v>596</v>
      </c>
      <c r="D1326" s="906" t="s">
        <v>1256</v>
      </c>
      <c r="E1326" s="907"/>
      <c r="F1326" s="908"/>
      <c r="G1326" s="912"/>
      <c r="H1326" s="901">
        <v>72.069999999999993</v>
      </c>
      <c r="I1326" s="901">
        <f t="shared" si="363"/>
        <v>72.069999999999993</v>
      </c>
      <c r="J1326" s="902">
        <f t="shared" si="364"/>
        <v>86.53</v>
      </c>
      <c r="K1326" s="903" t="s">
        <v>1516</v>
      </c>
      <c r="L1326" s="904">
        <f>ROUND(SUM('RES. CENTRAL PARK:RUA_FINAL'!L1326),2)</f>
        <v>0</v>
      </c>
      <c r="M1326" s="904">
        <f t="shared" si="365"/>
        <v>0</v>
      </c>
      <c r="N1326" s="893">
        <f t="shared" si="366"/>
        <v>0</v>
      </c>
      <c r="O1326" s="905"/>
      <c r="Q1326" s="317" t="str">
        <f t="shared" si="367"/>
        <v/>
      </c>
      <c r="R1326" s="317" t="str">
        <f t="shared" si="368"/>
        <v/>
      </c>
      <c r="S1326" s="317" t="str">
        <f t="shared" si="369"/>
        <v/>
      </c>
      <c r="V1326" s="314">
        <f>SUM('RES. CENTRAL PARK:RUA_FINAL'!N1326)</f>
        <v>0</v>
      </c>
      <c r="W1326" s="315">
        <f t="shared" si="370"/>
        <v>0</v>
      </c>
    </row>
    <row r="1327" spans="1:23" ht="30" hidden="1" customHeight="1" x14ac:dyDescent="0.2">
      <c r="A1327" s="63">
        <v>91963</v>
      </c>
      <c r="B1327" s="895">
        <v>91963</v>
      </c>
      <c r="C1327" s="896" t="s">
        <v>596</v>
      </c>
      <c r="D1327" s="906" t="s">
        <v>1257</v>
      </c>
      <c r="E1327" s="907"/>
      <c r="F1327" s="908"/>
      <c r="G1327" s="912"/>
      <c r="H1327" s="901">
        <v>81.3</v>
      </c>
      <c r="I1327" s="901">
        <f t="shared" si="363"/>
        <v>81.3</v>
      </c>
      <c r="J1327" s="902">
        <f t="shared" si="364"/>
        <v>97.62</v>
      </c>
      <c r="K1327" s="903" t="s">
        <v>1516</v>
      </c>
      <c r="L1327" s="904">
        <f>ROUND(SUM('RES. CENTRAL PARK:RUA_FINAL'!L1327),2)</f>
        <v>0</v>
      </c>
      <c r="M1327" s="904">
        <f t="shared" si="365"/>
        <v>0</v>
      </c>
      <c r="N1327" s="893">
        <f t="shared" si="366"/>
        <v>0</v>
      </c>
      <c r="O1327" s="905"/>
      <c r="Q1327" s="317" t="str">
        <f t="shared" si="367"/>
        <v/>
      </c>
      <c r="R1327" s="317" t="str">
        <f t="shared" si="368"/>
        <v/>
      </c>
      <c r="S1327" s="317" t="str">
        <f t="shared" si="369"/>
        <v/>
      </c>
      <c r="V1327" s="314">
        <f>SUM('RES. CENTRAL PARK:RUA_FINAL'!N1327)</f>
        <v>0</v>
      </c>
      <c r="W1327" s="315">
        <f t="shared" si="370"/>
        <v>0</v>
      </c>
    </row>
    <row r="1328" spans="1:23" ht="30" hidden="1" customHeight="1" x14ac:dyDescent="0.2">
      <c r="A1328" s="63">
        <v>91964</v>
      </c>
      <c r="B1328" s="895">
        <v>91964</v>
      </c>
      <c r="C1328" s="896" t="s">
        <v>596</v>
      </c>
      <c r="D1328" s="906" t="s">
        <v>1258</v>
      </c>
      <c r="E1328" s="907"/>
      <c r="F1328" s="908"/>
      <c r="G1328" s="912"/>
      <c r="H1328" s="901">
        <v>64.66</v>
      </c>
      <c r="I1328" s="901">
        <f t="shared" si="363"/>
        <v>64.66</v>
      </c>
      <c r="J1328" s="902">
        <f t="shared" si="364"/>
        <v>77.64</v>
      </c>
      <c r="K1328" s="903" t="s">
        <v>1516</v>
      </c>
      <c r="L1328" s="904">
        <f>ROUND(SUM('RES. CENTRAL PARK:RUA_FINAL'!L1328),2)</f>
        <v>0</v>
      </c>
      <c r="M1328" s="904">
        <f t="shared" si="365"/>
        <v>0</v>
      </c>
      <c r="N1328" s="893">
        <f t="shared" si="366"/>
        <v>0</v>
      </c>
      <c r="O1328" s="905"/>
      <c r="Q1328" s="317" t="str">
        <f t="shared" si="367"/>
        <v/>
      </c>
      <c r="R1328" s="317" t="str">
        <f t="shared" si="368"/>
        <v/>
      </c>
      <c r="S1328" s="317" t="str">
        <f t="shared" si="369"/>
        <v/>
      </c>
      <c r="V1328" s="314">
        <f>SUM('RES. CENTRAL PARK:RUA_FINAL'!N1328)</f>
        <v>0</v>
      </c>
      <c r="W1328" s="315">
        <f t="shared" si="370"/>
        <v>0</v>
      </c>
    </row>
    <row r="1329" spans="1:23" ht="30" hidden="1" customHeight="1" x14ac:dyDescent="0.2">
      <c r="A1329" s="63">
        <v>91965</v>
      </c>
      <c r="B1329" s="895">
        <v>91965</v>
      </c>
      <c r="C1329" s="896" t="s">
        <v>596</v>
      </c>
      <c r="D1329" s="906" t="s">
        <v>1259</v>
      </c>
      <c r="E1329" s="907"/>
      <c r="F1329" s="908"/>
      <c r="G1329" s="912"/>
      <c r="H1329" s="901">
        <v>73.89</v>
      </c>
      <c r="I1329" s="901">
        <f t="shared" si="363"/>
        <v>73.89</v>
      </c>
      <c r="J1329" s="902">
        <f t="shared" si="364"/>
        <v>88.72</v>
      </c>
      <c r="K1329" s="903" t="s">
        <v>1516</v>
      </c>
      <c r="L1329" s="904">
        <f>ROUND(SUM('RES. CENTRAL PARK:RUA_FINAL'!L1329),2)</f>
        <v>0</v>
      </c>
      <c r="M1329" s="904">
        <f t="shared" si="365"/>
        <v>0</v>
      </c>
      <c r="N1329" s="893">
        <f t="shared" si="366"/>
        <v>0</v>
      </c>
      <c r="O1329" s="905"/>
      <c r="Q1329" s="317" t="str">
        <f t="shared" si="367"/>
        <v/>
      </c>
      <c r="R1329" s="317" t="str">
        <f t="shared" si="368"/>
        <v/>
      </c>
      <c r="S1329" s="317" t="str">
        <f t="shared" si="369"/>
        <v/>
      </c>
      <c r="V1329" s="314">
        <f>SUM('RES. CENTRAL PARK:RUA_FINAL'!N1329)</f>
        <v>0</v>
      </c>
      <c r="W1329" s="315">
        <f t="shared" si="370"/>
        <v>0</v>
      </c>
    </row>
    <row r="1330" spans="1:23" ht="30" hidden="1" customHeight="1" x14ac:dyDescent="0.2">
      <c r="A1330" s="63">
        <v>91966</v>
      </c>
      <c r="B1330" s="895">
        <v>91966</v>
      </c>
      <c r="C1330" s="896" t="s">
        <v>596</v>
      </c>
      <c r="D1330" s="906" t="s">
        <v>1260</v>
      </c>
      <c r="E1330" s="907"/>
      <c r="F1330" s="908"/>
      <c r="G1330" s="912"/>
      <c r="H1330" s="901">
        <v>57.32</v>
      </c>
      <c r="I1330" s="901">
        <f t="shared" si="363"/>
        <v>57.32</v>
      </c>
      <c r="J1330" s="902">
        <f t="shared" si="364"/>
        <v>68.819999999999993</v>
      </c>
      <c r="K1330" s="903" t="s">
        <v>1516</v>
      </c>
      <c r="L1330" s="904">
        <f>ROUND(SUM('RES. CENTRAL PARK:RUA_FINAL'!L1330),2)</f>
        <v>0</v>
      </c>
      <c r="M1330" s="904">
        <f t="shared" si="365"/>
        <v>0</v>
      </c>
      <c r="N1330" s="893">
        <f t="shared" si="366"/>
        <v>0</v>
      </c>
      <c r="O1330" s="905"/>
      <c r="Q1330" s="317" t="str">
        <f t="shared" si="367"/>
        <v/>
      </c>
      <c r="R1330" s="317" t="str">
        <f t="shared" si="368"/>
        <v/>
      </c>
      <c r="S1330" s="317" t="str">
        <f t="shared" si="369"/>
        <v/>
      </c>
      <c r="V1330" s="314">
        <f>SUM('RES. CENTRAL PARK:RUA_FINAL'!N1330)</f>
        <v>0</v>
      </c>
      <c r="W1330" s="315">
        <f t="shared" si="370"/>
        <v>0</v>
      </c>
    </row>
    <row r="1331" spans="1:23" ht="30" hidden="1" customHeight="1" x14ac:dyDescent="0.2">
      <c r="A1331" s="63">
        <v>91967</v>
      </c>
      <c r="B1331" s="895">
        <v>91967</v>
      </c>
      <c r="C1331" s="896" t="s">
        <v>596</v>
      </c>
      <c r="D1331" s="906" t="s">
        <v>1261</v>
      </c>
      <c r="E1331" s="907"/>
      <c r="F1331" s="908"/>
      <c r="G1331" s="912"/>
      <c r="H1331" s="901">
        <v>66.55</v>
      </c>
      <c r="I1331" s="901">
        <f t="shared" si="363"/>
        <v>66.55</v>
      </c>
      <c r="J1331" s="902">
        <f t="shared" si="364"/>
        <v>79.91</v>
      </c>
      <c r="K1331" s="903" t="s">
        <v>1516</v>
      </c>
      <c r="L1331" s="904">
        <f>ROUND(SUM('RES. CENTRAL PARK:RUA_FINAL'!L1331),2)</f>
        <v>0</v>
      </c>
      <c r="M1331" s="904">
        <f t="shared" si="365"/>
        <v>0</v>
      </c>
      <c r="N1331" s="893">
        <f t="shared" si="366"/>
        <v>0</v>
      </c>
      <c r="O1331" s="905"/>
      <c r="Q1331" s="317" t="str">
        <f t="shared" si="367"/>
        <v/>
      </c>
      <c r="R1331" s="317" t="str">
        <f t="shared" si="368"/>
        <v/>
      </c>
      <c r="S1331" s="317" t="str">
        <f t="shared" si="369"/>
        <v/>
      </c>
      <c r="V1331" s="314">
        <f>SUM('RES. CENTRAL PARK:RUA_FINAL'!N1331)</f>
        <v>0</v>
      </c>
      <c r="W1331" s="315">
        <f t="shared" si="370"/>
        <v>0</v>
      </c>
    </row>
    <row r="1332" spans="1:23" ht="30" hidden="1" customHeight="1" x14ac:dyDescent="0.2">
      <c r="A1332" s="63">
        <v>91970</v>
      </c>
      <c r="B1332" s="895">
        <v>91970</v>
      </c>
      <c r="C1332" s="896" t="s">
        <v>596</v>
      </c>
      <c r="D1332" s="906" t="s">
        <v>1262</v>
      </c>
      <c r="E1332" s="907"/>
      <c r="F1332" s="908"/>
      <c r="G1332" s="912"/>
      <c r="H1332" s="901">
        <v>83</v>
      </c>
      <c r="I1332" s="901">
        <f t="shared" si="363"/>
        <v>83</v>
      </c>
      <c r="J1332" s="902">
        <f t="shared" si="364"/>
        <v>99.66</v>
      </c>
      <c r="K1332" s="903" t="s">
        <v>1516</v>
      </c>
      <c r="L1332" s="904">
        <f>ROUND(SUM('RES. CENTRAL PARK:RUA_FINAL'!L1332),2)</f>
        <v>0</v>
      </c>
      <c r="M1332" s="904">
        <f t="shared" si="365"/>
        <v>0</v>
      </c>
      <c r="N1332" s="893">
        <f t="shared" si="366"/>
        <v>0</v>
      </c>
      <c r="O1332" s="905"/>
      <c r="Q1332" s="317" t="str">
        <f t="shared" si="367"/>
        <v/>
      </c>
      <c r="R1332" s="317" t="str">
        <f t="shared" si="368"/>
        <v/>
      </c>
      <c r="S1332" s="317" t="str">
        <f t="shared" si="369"/>
        <v/>
      </c>
      <c r="V1332" s="314">
        <f>SUM('RES. CENTRAL PARK:RUA_FINAL'!N1332)</f>
        <v>0</v>
      </c>
      <c r="W1332" s="315">
        <f t="shared" si="370"/>
        <v>0</v>
      </c>
    </row>
    <row r="1333" spans="1:23" ht="30" hidden="1" customHeight="1" x14ac:dyDescent="0.2">
      <c r="A1333" s="63">
        <v>91971</v>
      </c>
      <c r="B1333" s="895">
        <v>91971</v>
      </c>
      <c r="C1333" s="896" t="s">
        <v>596</v>
      </c>
      <c r="D1333" s="906" t="s">
        <v>1263</v>
      </c>
      <c r="E1333" s="907"/>
      <c r="F1333" s="908"/>
      <c r="G1333" s="912"/>
      <c r="H1333" s="901">
        <v>97.58</v>
      </c>
      <c r="I1333" s="901">
        <f t="shared" si="363"/>
        <v>97.58</v>
      </c>
      <c r="J1333" s="902">
        <f t="shared" si="364"/>
        <v>117.16</v>
      </c>
      <c r="K1333" s="903" t="s">
        <v>1516</v>
      </c>
      <c r="L1333" s="904">
        <f>ROUND(SUM('RES. CENTRAL PARK:RUA_FINAL'!L1333),2)</f>
        <v>0</v>
      </c>
      <c r="M1333" s="904">
        <f t="shared" si="365"/>
        <v>0</v>
      </c>
      <c r="N1333" s="893">
        <f t="shared" si="366"/>
        <v>0</v>
      </c>
      <c r="O1333" s="905"/>
      <c r="Q1333" s="317" t="str">
        <f t="shared" si="367"/>
        <v/>
      </c>
      <c r="R1333" s="317" t="str">
        <f t="shared" si="368"/>
        <v/>
      </c>
      <c r="S1333" s="317" t="str">
        <f t="shared" si="369"/>
        <v/>
      </c>
      <c r="V1333" s="314">
        <f>SUM('RES. CENTRAL PARK:RUA_FINAL'!N1333)</f>
        <v>0</v>
      </c>
      <c r="W1333" s="315">
        <f t="shared" si="370"/>
        <v>0</v>
      </c>
    </row>
    <row r="1334" spans="1:23" ht="30" hidden="1" customHeight="1" x14ac:dyDescent="0.2">
      <c r="A1334" s="63">
        <v>91972</v>
      </c>
      <c r="B1334" s="895">
        <v>91972</v>
      </c>
      <c r="C1334" s="896" t="s">
        <v>596</v>
      </c>
      <c r="D1334" s="906" t="s">
        <v>1264</v>
      </c>
      <c r="E1334" s="907"/>
      <c r="F1334" s="908"/>
      <c r="G1334" s="912"/>
      <c r="H1334" s="901">
        <v>90.4</v>
      </c>
      <c r="I1334" s="901">
        <f t="shared" si="363"/>
        <v>90.4</v>
      </c>
      <c r="J1334" s="902">
        <f t="shared" si="364"/>
        <v>108.54</v>
      </c>
      <c r="K1334" s="903" t="s">
        <v>1516</v>
      </c>
      <c r="L1334" s="904">
        <f>ROUND(SUM('RES. CENTRAL PARK:RUA_FINAL'!L1334),2)</f>
        <v>0</v>
      </c>
      <c r="M1334" s="904">
        <f t="shared" si="365"/>
        <v>0</v>
      </c>
      <c r="N1334" s="893">
        <f t="shared" si="366"/>
        <v>0</v>
      </c>
      <c r="O1334" s="905"/>
      <c r="Q1334" s="317" t="str">
        <f t="shared" si="367"/>
        <v/>
      </c>
      <c r="R1334" s="317" t="str">
        <f t="shared" si="368"/>
        <v/>
      </c>
      <c r="S1334" s="317" t="str">
        <f t="shared" si="369"/>
        <v/>
      </c>
      <c r="V1334" s="314">
        <f>SUM('RES. CENTRAL PARK:RUA_FINAL'!N1334)</f>
        <v>0</v>
      </c>
      <c r="W1334" s="315">
        <f t="shared" si="370"/>
        <v>0</v>
      </c>
    </row>
    <row r="1335" spans="1:23" ht="30" hidden="1" customHeight="1" x14ac:dyDescent="0.2">
      <c r="A1335" s="63">
        <v>91973</v>
      </c>
      <c r="B1335" s="895">
        <v>91973</v>
      </c>
      <c r="C1335" s="896" t="s">
        <v>596</v>
      </c>
      <c r="D1335" s="906" t="s">
        <v>1265</v>
      </c>
      <c r="E1335" s="907"/>
      <c r="F1335" s="908"/>
      <c r="G1335" s="912"/>
      <c r="H1335" s="901">
        <v>104.98</v>
      </c>
      <c r="I1335" s="901">
        <f t="shared" si="363"/>
        <v>104.98</v>
      </c>
      <c r="J1335" s="902">
        <f t="shared" si="364"/>
        <v>126.05</v>
      </c>
      <c r="K1335" s="903" t="s">
        <v>1516</v>
      </c>
      <c r="L1335" s="904">
        <f>ROUND(SUM('RES. CENTRAL PARK:RUA_FINAL'!L1335),2)</f>
        <v>0</v>
      </c>
      <c r="M1335" s="904">
        <f t="shared" si="365"/>
        <v>0</v>
      </c>
      <c r="N1335" s="893">
        <f t="shared" si="366"/>
        <v>0</v>
      </c>
      <c r="O1335" s="905"/>
      <c r="Q1335" s="317" t="str">
        <f t="shared" si="367"/>
        <v/>
      </c>
      <c r="R1335" s="317" t="str">
        <f t="shared" si="368"/>
        <v/>
      </c>
      <c r="S1335" s="317" t="str">
        <f t="shared" si="369"/>
        <v/>
      </c>
      <c r="V1335" s="314">
        <f>SUM('RES. CENTRAL PARK:RUA_FINAL'!N1335)</f>
        <v>0</v>
      </c>
      <c r="W1335" s="315">
        <f t="shared" si="370"/>
        <v>0</v>
      </c>
    </row>
    <row r="1336" spans="1:23" ht="30" hidden="1" customHeight="1" x14ac:dyDescent="0.2">
      <c r="A1336" s="63">
        <v>91974</v>
      </c>
      <c r="B1336" s="895">
        <v>91974</v>
      </c>
      <c r="C1336" s="896" t="s">
        <v>596</v>
      </c>
      <c r="D1336" s="906" t="s">
        <v>1266</v>
      </c>
      <c r="E1336" s="907"/>
      <c r="F1336" s="908"/>
      <c r="G1336" s="912"/>
      <c r="H1336" s="901">
        <v>75.599999999999994</v>
      </c>
      <c r="I1336" s="901">
        <f t="shared" si="363"/>
        <v>75.599999999999994</v>
      </c>
      <c r="J1336" s="902">
        <f t="shared" si="364"/>
        <v>90.77</v>
      </c>
      <c r="K1336" s="903" t="s">
        <v>1516</v>
      </c>
      <c r="L1336" s="904">
        <f>ROUND(SUM('RES. CENTRAL PARK:RUA_FINAL'!L1336),2)</f>
        <v>0</v>
      </c>
      <c r="M1336" s="904">
        <f t="shared" si="365"/>
        <v>0</v>
      </c>
      <c r="N1336" s="893">
        <f t="shared" si="366"/>
        <v>0</v>
      </c>
      <c r="O1336" s="905"/>
      <c r="Q1336" s="317" t="str">
        <f t="shared" si="367"/>
        <v/>
      </c>
      <c r="R1336" s="317" t="str">
        <f t="shared" si="368"/>
        <v/>
      </c>
      <c r="S1336" s="317" t="str">
        <f t="shared" si="369"/>
        <v/>
      </c>
      <c r="V1336" s="314">
        <f>SUM('RES. CENTRAL PARK:RUA_FINAL'!N1336)</f>
        <v>0</v>
      </c>
      <c r="W1336" s="315">
        <f t="shared" si="370"/>
        <v>0</v>
      </c>
    </row>
    <row r="1337" spans="1:23" ht="30" hidden="1" customHeight="1" x14ac:dyDescent="0.2">
      <c r="A1337" s="63">
        <v>91975</v>
      </c>
      <c r="B1337" s="895">
        <v>91975</v>
      </c>
      <c r="C1337" s="896" t="s">
        <v>596</v>
      </c>
      <c r="D1337" s="906" t="s">
        <v>1267</v>
      </c>
      <c r="E1337" s="907"/>
      <c r="F1337" s="908"/>
      <c r="G1337" s="912"/>
      <c r="H1337" s="901">
        <v>90.18</v>
      </c>
      <c r="I1337" s="901">
        <f t="shared" si="363"/>
        <v>90.18</v>
      </c>
      <c r="J1337" s="902">
        <f t="shared" si="364"/>
        <v>108.28</v>
      </c>
      <c r="K1337" s="903" t="s">
        <v>1516</v>
      </c>
      <c r="L1337" s="904">
        <f>ROUND(SUM('RES. CENTRAL PARK:RUA_FINAL'!L1337),2)</f>
        <v>0</v>
      </c>
      <c r="M1337" s="904">
        <f t="shared" si="365"/>
        <v>0</v>
      </c>
      <c r="N1337" s="893">
        <f t="shared" si="366"/>
        <v>0</v>
      </c>
      <c r="O1337" s="905"/>
      <c r="Q1337" s="317" t="str">
        <f t="shared" si="367"/>
        <v/>
      </c>
      <c r="R1337" s="317" t="str">
        <f t="shared" si="368"/>
        <v/>
      </c>
      <c r="S1337" s="317" t="str">
        <f t="shared" si="369"/>
        <v/>
      </c>
      <c r="V1337" s="314">
        <f>SUM('RES. CENTRAL PARK:RUA_FINAL'!N1337)</f>
        <v>0</v>
      </c>
      <c r="W1337" s="315">
        <f t="shared" si="370"/>
        <v>0</v>
      </c>
    </row>
    <row r="1338" spans="1:23" ht="30" hidden="1" customHeight="1" x14ac:dyDescent="0.2">
      <c r="A1338" s="63">
        <v>91976</v>
      </c>
      <c r="B1338" s="895">
        <v>91976</v>
      </c>
      <c r="C1338" s="896" t="s">
        <v>596</v>
      </c>
      <c r="D1338" s="906" t="s">
        <v>1268</v>
      </c>
      <c r="E1338" s="907"/>
      <c r="F1338" s="908"/>
      <c r="G1338" s="912"/>
      <c r="H1338" s="901">
        <v>111.54</v>
      </c>
      <c r="I1338" s="901">
        <f t="shared" si="363"/>
        <v>111.54</v>
      </c>
      <c r="J1338" s="902">
        <f t="shared" si="364"/>
        <v>133.93</v>
      </c>
      <c r="K1338" s="903" t="s">
        <v>1516</v>
      </c>
      <c r="L1338" s="904">
        <f>ROUND(SUM('RES. CENTRAL PARK:RUA_FINAL'!L1338),2)</f>
        <v>0</v>
      </c>
      <c r="M1338" s="904">
        <f t="shared" si="365"/>
        <v>0</v>
      </c>
      <c r="N1338" s="893">
        <f t="shared" si="366"/>
        <v>0</v>
      </c>
      <c r="O1338" s="905"/>
      <c r="Q1338" s="317" t="str">
        <f t="shared" si="367"/>
        <v/>
      </c>
      <c r="R1338" s="317" t="str">
        <f t="shared" si="368"/>
        <v/>
      </c>
      <c r="S1338" s="317" t="str">
        <f t="shared" si="369"/>
        <v/>
      </c>
      <c r="V1338" s="314">
        <f>SUM('RES. CENTRAL PARK:RUA_FINAL'!N1338)</f>
        <v>0</v>
      </c>
      <c r="W1338" s="315">
        <f t="shared" si="370"/>
        <v>0</v>
      </c>
    </row>
    <row r="1339" spans="1:23" ht="30" hidden="1" customHeight="1" x14ac:dyDescent="0.2">
      <c r="A1339" s="63">
        <v>91977</v>
      </c>
      <c r="B1339" s="895">
        <v>91977</v>
      </c>
      <c r="C1339" s="896" t="s">
        <v>596</v>
      </c>
      <c r="D1339" s="906" t="s">
        <v>1269</v>
      </c>
      <c r="E1339" s="907"/>
      <c r="F1339" s="908"/>
      <c r="G1339" s="912"/>
      <c r="H1339" s="901">
        <v>126.12</v>
      </c>
      <c r="I1339" s="901">
        <f t="shared" si="363"/>
        <v>126.12</v>
      </c>
      <c r="J1339" s="902">
        <f t="shared" si="364"/>
        <v>151.43</v>
      </c>
      <c r="K1339" s="903" t="s">
        <v>1516</v>
      </c>
      <c r="L1339" s="904">
        <f>ROUND(SUM('RES. CENTRAL PARK:RUA_FINAL'!L1339),2)</f>
        <v>0</v>
      </c>
      <c r="M1339" s="904">
        <f t="shared" si="365"/>
        <v>0</v>
      </c>
      <c r="N1339" s="893">
        <f t="shared" si="366"/>
        <v>0</v>
      </c>
      <c r="O1339" s="905"/>
      <c r="Q1339" s="317" t="str">
        <f t="shared" si="367"/>
        <v/>
      </c>
      <c r="R1339" s="317" t="str">
        <f t="shared" si="368"/>
        <v/>
      </c>
      <c r="S1339" s="317" t="str">
        <f t="shared" si="369"/>
        <v/>
      </c>
      <c r="V1339" s="314">
        <f>SUM('RES. CENTRAL PARK:RUA_FINAL'!N1339)</f>
        <v>0</v>
      </c>
      <c r="W1339" s="315">
        <f t="shared" si="370"/>
        <v>0</v>
      </c>
    </row>
    <row r="1340" spans="1:23" ht="30" hidden="1" customHeight="1" x14ac:dyDescent="0.2">
      <c r="A1340" s="63">
        <v>92022</v>
      </c>
      <c r="B1340" s="895">
        <v>92022</v>
      </c>
      <c r="C1340" s="896" t="s">
        <v>596</v>
      </c>
      <c r="D1340" s="906" t="s">
        <v>1270</v>
      </c>
      <c r="E1340" s="907"/>
      <c r="F1340" s="908"/>
      <c r="G1340" s="912"/>
      <c r="H1340" s="901">
        <v>45.44</v>
      </c>
      <c r="I1340" s="901">
        <f t="shared" si="363"/>
        <v>45.44</v>
      </c>
      <c r="J1340" s="902">
        <f t="shared" si="364"/>
        <v>54.56</v>
      </c>
      <c r="K1340" s="903" t="s">
        <v>1516</v>
      </c>
      <c r="L1340" s="904">
        <f>ROUND(SUM('RES. CENTRAL PARK:RUA_FINAL'!L1340),2)</f>
        <v>0</v>
      </c>
      <c r="M1340" s="904">
        <f t="shared" si="365"/>
        <v>0</v>
      </c>
      <c r="N1340" s="893">
        <f t="shared" si="366"/>
        <v>0</v>
      </c>
      <c r="O1340" s="905"/>
      <c r="Q1340" s="317" t="str">
        <f t="shared" si="367"/>
        <v/>
      </c>
      <c r="R1340" s="317" t="str">
        <f t="shared" si="368"/>
        <v/>
      </c>
      <c r="S1340" s="317" t="str">
        <f t="shared" si="369"/>
        <v/>
      </c>
      <c r="V1340" s="314">
        <f>SUM('RES. CENTRAL PARK:RUA_FINAL'!N1340)</f>
        <v>0</v>
      </c>
      <c r="W1340" s="315">
        <f t="shared" si="370"/>
        <v>0</v>
      </c>
    </row>
    <row r="1341" spans="1:23" ht="30" hidden="1" customHeight="1" x14ac:dyDescent="0.2">
      <c r="A1341" s="63">
        <v>92023</v>
      </c>
      <c r="B1341" s="895">
        <v>92023</v>
      </c>
      <c r="C1341" s="896" t="s">
        <v>596</v>
      </c>
      <c r="D1341" s="906" t="s">
        <v>1271</v>
      </c>
      <c r="E1341" s="907"/>
      <c r="F1341" s="908"/>
      <c r="G1341" s="912"/>
      <c r="H1341" s="901">
        <v>54.67</v>
      </c>
      <c r="I1341" s="901">
        <f t="shared" si="363"/>
        <v>54.67</v>
      </c>
      <c r="J1341" s="902">
        <f t="shared" si="364"/>
        <v>65.64</v>
      </c>
      <c r="K1341" s="903" t="s">
        <v>1516</v>
      </c>
      <c r="L1341" s="904">
        <f>ROUND(SUM('RES. CENTRAL PARK:RUA_FINAL'!L1341),2)</f>
        <v>0</v>
      </c>
      <c r="M1341" s="904">
        <f t="shared" si="365"/>
        <v>0</v>
      </c>
      <c r="N1341" s="893">
        <f t="shared" si="366"/>
        <v>0</v>
      </c>
      <c r="O1341" s="905"/>
      <c r="Q1341" s="317" t="str">
        <f t="shared" si="367"/>
        <v/>
      </c>
      <c r="R1341" s="317" t="str">
        <f t="shared" si="368"/>
        <v/>
      </c>
      <c r="S1341" s="317" t="str">
        <f t="shared" si="369"/>
        <v/>
      </c>
      <c r="V1341" s="314">
        <f>SUM('RES. CENTRAL PARK:RUA_FINAL'!N1341)</f>
        <v>0</v>
      </c>
      <c r="W1341" s="315">
        <f t="shared" si="370"/>
        <v>0</v>
      </c>
    </row>
    <row r="1342" spans="1:23" ht="30" hidden="1" customHeight="1" x14ac:dyDescent="0.2">
      <c r="A1342" s="63">
        <v>92024</v>
      </c>
      <c r="B1342" s="895">
        <v>92024</v>
      </c>
      <c r="C1342" s="896" t="s">
        <v>596</v>
      </c>
      <c r="D1342" s="906" t="s">
        <v>1272</v>
      </c>
      <c r="E1342" s="907"/>
      <c r="F1342" s="908"/>
      <c r="G1342" s="912"/>
      <c r="H1342" s="901">
        <v>69.430000000000007</v>
      </c>
      <c r="I1342" s="901">
        <f t="shared" si="363"/>
        <v>69.430000000000007</v>
      </c>
      <c r="J1342" s="902">
        <f t="shared" si="364"/>
        <v>83.36</v>
      </c>
      <c r="K1342" s="903" t="s">
        <v>1516</v>
      </c>
      <c r="L1342" s="904">
        <f>ROUND(SUM('RES. CENTRAL PARK:RUA_FINAL'!L1342),2)</f>
        <v>0</v>
      </c>
      <c r="M1342" s="904">
        <f t="shared" si="365"/>
        <v>0</v>
      </c>
      <c r="N1342" s="893">
        <f t="shared" si="366"/>
        <v>0</v>
      </c>
      <c r="O1342" s="905"/>
      <c r="Q1342" s="317" t="str">
        <f t="shared" si="367"/>
        <v/>
      </c>
      <c r="R1342" s="317" t="str">
        <f t="shared" si="368"/>
        <v/>
      </c>
      <c r="S1342" s="317" t="str">
        <f t="shared" si="369"/>
        <v/>
      </c>
      <c r="V1342" s="314">
        <f>SUM('RES. CENTRAL PARK:RUA_FINAL'!N1342)</f>
        <v>0</v>
      </c>
      <c r="W1342" s="315">
        <f t="shared" si="370"/>
        <v>0</v>
      </c>
    </row>
    <row r="1343" spans="1:23" ht="30" hidden="1" customHeight="1" x14ac:dyDescent="0.2">
      <c r="A1343" s="63">
        <v>92025</v>
      </c>
      <c r="B1343" s="895">
        <v>92025</v>
      </c>
      <c r="C1343" s="896" t="s">
        <v>596</v>
      </c>
      <c r="D1343" s="906" t="s">
        <v>1273</v>
      </c>
      <c r="E1343" s="907"/>
      <c r="F1343" s="908"/>
      <c r="G1343" s="912"/>
      <c r="H1343" s="901">
        <v>78.66</v>
      </c>
      <c r="I1343" s="901">
        <f t="shared" si="363"/>
        <v>78.66</v>
      </c>
      <c r="J1343" s="902">
        <f t="shared" si="364"/>
        <v>94.45</v>
      </c>
      <c r="K1343" s="903" t="s">
        <v>1516</v>
      </c>
      <c r="L1343" s="904">
        <f>ROUND(SUM('RES. CENTRAL PARK:RUA_FINAL'!L1343),2)</f>
        <v>0</v>
      </c>
      <c r="M1343" s="904">
        <f t="shared" si="365"/>
        <v>0</v>
      </c>
      <c r="N1343" s="893">
        <f t="shared" si="366"/>
        <v>0</v>
      </c>
      <c r="O1343" s="905"/>
      <c r="Q1343" s="317" t="str">
        <f t="shared" si="367"/>
        <v/>
      </c>
      <c r="R1343" s="317" t="str">
        <f t="shared" si="368"/>
        <v/>
      </c>
      <c r="S1343" s="317" t="str">
        <f t="shared" si="369"/>
        <v/>
      </c>
      <c r="V1343" s="314">
        <f>SUM('RES. CENTRAL PARK:RUA_FINAL'!N1343)</f>
        <v>0</v>
      </c>
      <c r="W1343" s="315">
        <f t="shared" si="370"/>
        <v>0</v>
      </c>
    </row>
    <row r="1344" spans="1:23" ht="30" hidden="1" customHeight="1" x14ac:dyDescent="0.2">
      <c r="A1344" s="63">
        <v>92026</v>
      </c>
      <c r="B1344" s="895">
        <v>92026</v>
      </c>
      <c r="C1344" s="896" t="s">
        <v>596</v>
      </c>
      <c r="D1344" s="906" t="s">
        <v>1274</v>
      </c>
      <c r="E1344" s="907"/>
      <c r="F1344" s="908"/>
      <c r="G1344" s="912"/>
      <c r="H1344" s="901">
        <v>63.34</v>
      </c>
      <c r="I1344" s="901">
        <f t="shared" si="363"/>
        <v>63.34</v>
      </c>
      <c r="J1344" s="902">
        <f t="shared" si="364"/>
        <v>76.05</v>
      </c>
      <c r="K1344" s="903" t="s">
        <v>1516</v>
      </c>
      <c r="L1344" s="904">
        <f>ROUND(SUM('RES. CENTRAL PARK:RUA_FINAL'!L1344),2)</f>
        <v>0</v>
      </c>
      <c r="M1344" s="904">
        <f t="shared" si="365"/>
        <v>0</v>
      </c>
      <c r="N1344" s="893">
        <f t="shared" si="366"/>
        <v>0</v>
      </c>
      <c r="O1344" s="905"/>
      <c r="Q1344" s="317" t="str">
        <f t="shared" si="367"/>
        <v/>
      </c>
      <c r="R1344" s="317" t="str">
        <f t="shared" si="368"/>
        <v/>
      </c>
      <c r="S1344" s="317" t="str">
        <f t="shared" si="369"/>
        <v/>
      </c>
      <c r="V1344" s="314">
        <f>SUM('RES. CENTRAL PARK:RUA_FINAL'!N1344)</f>
        <v>0</v>
      </c>
      <c r="W1344" s="315">
        <f t="shared" si="370"/>
        <v>0</v>
      </c>
    </row>
    <row r="1345" spans="1:23" ht="30" hidden="1" customHeight="1" x14ac:dyDescent="0.2">
      <c r="A1345" s="63">
        <v>92027</v>
      </c>
      <c r="B1345" s="895">
        <v>92027</v>
      </c>
      <c r="C1345" s="896" t="s">
        <v>596</v>
      </c>
      <c r="D1345" s="906" t="s">
        <v>1275</v>
      </c>
      <c r="E1345" s="907"/>
      <c r="F1345" s="908"/>
      <c r="G1345" s="912"/>
      <c r="H1345" s="901">
        <v>72.569999999999993</v>
      </c>
      <c r="I1345" s="901">
        <f t="shared" si="363"/>
        <v>72.569999999999993</v>
      </c>
      <c r="J1345" s="902">
        <f t="shared" si="364"/>
        <v>87.13</v>
      </c>
      <c r="K1345" s="903" t="s">
        <v>1516</v>
      </c>
      <c r="L1345" s="904">
        <f>ROUND(SUM('RES. CENTRAL PARK:RUA_FINAL'!L1345),2)</f>
        <v>0</v>
      </c>
      <c r="M1345" s="904">
        <f t="shared" si="365"/>
        <v>0</v>
      </c>
      <c r="N1345" s="893">
        <f t="shared" si="366"/>
        <v>0</v>
      </c>
      <c r="O1345" s="905"/>
      <c r="Q1345" s="317" t="str">
        <f t="shared" si="367"/>
        <v/>
      </c>
      <c r="R1345" s="317" t="str">
        <f t="shared" si="368"/>
        <v/>
      </c>
      <c r="S1345" s="317" t="str">
        <f t="shared" si="369"/>
        <v/>
      </c>
      <c r="V1345" s="314">
        <f>SUM('RES. CENTRAL PARK:RUA_FINAL'!N1345)</f>
        <v>0</v>
      </c>
      <c r="W1345" s="315">
        <f t="shared" si="370"/>
        <v>0</v>
      </c>
    </row>
    <row r="1346" spans="1:23" ht="34.5" hidden="1" thickBot="1" x14ac:dyDescent="0.25">
      <c r="A1346" s="63">
        <v>92034</v>
      </c>
      <c r="B1346" s="895">
        <v>92034</v>
      </c>
      <c r="C1346" s="896" t="s">
        <v>596</v>
      </c>
      <c r="D1346" s="906" t="s">
        <v>1276</v>
      </c>
      <c r="E1346" s="907"/>
      <c r="F1346" s="908"/>
      <c r="G1346" s="912"/>
      <c r="H1346" s="901">
        <v>70.75</v>
      </c>
      <c r="I1346" s="901">
        <f t="shared" si="363"/>
        <v>70.75</v>
      </c>
      <c r="J1346" s="902">
        <f t="shared" si="364"/>
        <v>84.95</v>
      </c>
      <c r="K1346" s="903" t="s">
        <v>1516</v>
      </c>
      <c r="L1346" s="904">
        <f>ROUND(SUM('RES. CENTRAL PARK:RUA_FINAL'!L1346),2)</f>
        <v>0</v>
      </c>
      <c r="M1346" s="904">
        <f t="shared" si="365"/>
        <v>0</v>
      </c>
      <c r="N1346" s="893">
        <f t="shared" si="366"/>
        <v>0</v>
      </c>
      <c r="O1346" s="905"/>
      <c r="Q1346" s="317" t="str">
        <f t="shared" si="367"/>
        <v/>
      </c>
      <c r="R1346" s="317" t="str">
        <f t="shared" si="368"/>
        <v/>
      </c>
      <c r="S1346" s="317" t="str">
        <f t="shared" si="369"/>
        <v/>
      </c>
      <c r="V1346" s="314">
        <f>SUM('RES. CENTRAL PARK:RUA_FINAL'!N1346)</f>
        <v>0</v>
      </c>
      <c r="W1346" s="315">
        <f t="shared" si="370"/>
        <v>0</v>
      </c>
    </row>
    <row r="1347" spans="1:23" ht="34.5" hidden="1" thickBot="1" x14ac:dyDescent="0.25">
      <c r="A1347" s="63">
        <v>92035</v>
      </c>
      <c r="B1347" s="895">
        <v>92035</v>
      </c>
      <c r="C1347" s="896" t="s">
        <v>596</v>
      </c>
      <c r="D1347" s="906" t="s">
        <v>1277</v>
      </c>
      <c r="E1347" s="907"/>
      <c r="F1347" s="908"/>
      <c r="G1347" s="912"/>
      <c r="H1347" s="901">
        <v>79.98</v>
      </c>
      <c r="I1347" s="901">
        <f t="shared" si="363"/>
        <v>79.98</v>
      </c>
      <c r="J1347" s="902">
        <f t="shared" si="364"/>
        <v>96.03</v>
      </c>
      <c r="K1347" s="903" t="s">
        <v>1516</v>
      </c>
      <c r="L1347" s="904">
        <f>ROUND(SUM('RES. CENTRAL PARK:RUA_FINAL'!L1347),2)</f>
        <v>0</v>
      </c>
      <c r="M1347" s="904">
        <f t="shared" si="365"/>
        <v>0</v>
      </c>
      <c r="N1347" s="893">
        <f t="shared" si="366"/>
        <v>0</v>
      </c>
      <c r="O1347" s="905"/>
      <c r="Q1347" s="317" t="str">
        <f t="shared" si="367"/>
        <v/>
      </c>
      <c r="R1347" s="317" t="str">
        <f t="shared" si="368"/>
        <v/>
      </c>
      <c r="S1347" s="317" t="str">
        <f t="shared" si="369"/>
        <v/>
      </c>
      <c r="V1347" s="314">
        <f>SUM('RES. CENTRAL PARK:RUA_FINAL'!N1347)</f>
        <v>0</v>
      </c>
      <c r="W1347" s="315">
        <f t="shared" si="370"/>
        <v>0</v>
      </c>
    </row>
    <row r="1348" spans="1:23" ht="30" hidden="1" customHeight="1" x14ac:dyDescent="0.2">
      <c r="A1348" s="63">
        <v>91954</v>
      </c>
      <c r="B1348" s="895">
        <v>91954</v>
      </c>
      <c r="C1348" s="896" t="s">
        <v>596</v>
      </c>
      <c r="D1348" s="906" t="s">
        <v>1278</v>
      </c>
      <c r="E1348" s="907"/>
      <c r="F1348" s="908"/>
      <c r="G1348" s="912"/>
      <c r="H1348" s="901">
        <v>28.9</v>
      </c>
      <c r="I1348" s="901">
        <f t="shared" ref="I1348:I1411" si="371">IF(ISBLANK(H1348),"",SUM(G1348:H1348))</f>
        <v>28.9</v>
      </c>
      <c r="J1348" s="902">
        <f t="shared" si="364"/>
        <v>34.700000000000003</v>
      </c>
      <c r="K1348" s="903" t="s">
        <v>1516</v>
      </c>
      <c r="L1348" s="904">
        <f>ROUND(SUM('RES. CENTRAL PARK:RUA_FINAL'!L1348),2)</f>
        <v>0</v>
      </c>
      <c r="M1348" s="904">
        <f t="shared" si="365"/>
        <v>0</v>
      </c>
      <c r="N1348" s="893">
        <f t="shared" si="366"/>
        <v>0</v>
      </c>
      <c r="O1348" s="905"/>
      <c r="Q1348" s="317" t="str">
        <f t="shared" si="367"/>
        <v/>
      </c>
      <c r="R1348" s="317" t="str">
        <f t="shared" si="368"/>
        <v/>
      </c>
      <c r="S1348" s="317" t="str">
        <f t="shared" si="369"/>
        <v/>
      </c>
      <c r="V1348" s="314">
        <f>SUM('RES. CENTRAL PARK:RUA_FINAL'!N1348)</f>
        <v>0</v>
      </c>
      <c r="W1348" s="315">
        <f t="shared" si="370"/>
        <v>0</v>
      </c>
    </row>
    <row r="1349" spans="1:23" ht="30" hidden="1" customHeight="1" x14ac:dyDescent="0.2">
      <c r="A1349" s="63">
        <v>91955</v>
      </c>
      <c r="B1349" s="895">
        <v>91955</v>
      </c>
      <c r="C1349" s="896" t="s">
        <v>596</v>
      </c>
      <c r="D1349" s="906" t="s">
        <v>1279</v>
      </c>
      <c r="E1349" s="907"/>
      <c r="F1349" s="908"/>
      <c r="G1349" s="912"/>
      <c r="H1349" s="901">
        <v>38.130000000000003</v>
      </c>
      <c r="I1349" s="901">
        <f t="shared" si="371"/>
        <v>38.130000000000003</v>
      </c>
      <c r="J1349" s="902">
        <f t="shared" si="364"/>
        <v>45.78</v>
      </c>
      <c r="K1349" s="903" t="s">
        <v>1516</v>
      </c>
      <c r="L1349" s="904">
        <f>ROUND(SUM('RES. CENTRAL PARK:RUA_FINAL'!L1349),2)</f>
        <v>0</v>
      </c>
      <c r="M1349" s="904">
        <f t="shared" si="365"/>
        <v>0</v>
      </c>
      <c r="N1349" s="893">
        <f t="shared" si="366"/>
        <v>0</v>
      </c>
      <c r="O1349" s="905"/>
      <c r="Q1349" s="317" t="str">
        <f t="shared" si="367"/>
        <v/>
      </c>
      <c r="R1349" s="317" t="str">
        <f t="shared" si="368"/>
        <v/>
      </c>
      <c r="S1349" s="317" t="str">
        <f t="shared" si="369"/>
        <v/>
      </c>
      <c r="V1349" s="314">
        <f>SUM('RES. CENTRAL PARK:RUA_FINAL'!N1349)</f>
        <v>0</v>
      </c>
      <c r="W1349" s="315">
        <f t="shared" si="370"/>
        <v>0</v>
      </c>
    </row>
    <row r="1350" spans="1:23" ht="30" hidden="1" customHeight="1" x14ac:dyDescent="0.2">
      <c r="A1350" s="63">
        <v>91960</v>
      </c>
      <c r="B1350" s="895">
        <v>91960</v>
      </c>
      <c r="C1350" s="896" t="s">
        <v>596</v>
      </c>
      <c r="D1350" s="906" t="s">
        <v>1280</v>
      </c>
      <c r="E1350" s="907"/>
      <c r="F1350" s="908"/>
      <c r="G1350" s="912"/>
      <c r="H1350" s="901">
        <v>54.15</v>
      </c>
      <c r="I1350" s="901">
        <f t="shared" si="371"/>
        <v>54.15</v>
      </c>
      <c r="J1350" s="902">
        <f t="shared" si="364"/>
        <v>65.02</v>
      </c>
      <c r="K1350" s="903" t="s">
        <v>1516</v>
      </c>
      <c r="L1350" s="904">
        <f>ROUND(SUM('RES. CENTRAL PARK:RUA_FINAL'!L1350),2)</f>
        <v>0</v>
      </c>
      <c r="M1350" s="904">
        <f t="shared" si="365"/>
        <v>0</v>
      </c>
      <c r="N1350" s="893">
        <f t="shared" si="366"/>
        <v>0</v>
      </c>
      <c r="O1350" s="905"/>
      <c r="Q1350" s="317" t="str">
        <f t="shared" si="367"/>
        <v/>
      </c>
      <c r="R1350" s="317" t="str">
        <f t="shared" si="368"/>
        <v/>
      </c>
      <c r="S1350" s="317" t="str">
        <f t="shared" si="369"/>
        <v/>
      </c>
      <c r="V1350" s="314">
        <f>SUM('RES. CENTRAL PARK:RUA_FINAL'!N1350)</f>
        <v>0</v>
      </c>
      <c r="W1350" s="315">
        <f t="shared" si="370"/>
        <v>0</v>
      </c>
    </row>
    <row r="1351" spans="1:23" ht="30" hidden="1" customHeight="1" x14ac:dyDescent="0.2">
      <c r="A1351" s="63">
        <v>91961</v>
      </c>
      <c r="B1351" s="895">
        <v>91961</v>
      </c>
      <c r="C1351" s="896" t="s">
        <v>596</v>
      </c>
      <c r="D1351" s="906" t="s">
        <v>1281</v>
      </c>
      <c r="E1351" s="907"/>
      <c r="F1351" s="908"/>
      <c r="G1351" s="912"/>
      <c r="H1351" s="901">
        <v>63.38</v>
      </c>
      <c r="I1351" s="901">
        <f t="shared" si="371"/>
        <v>63.38</v>
      </c>
      <c r="J1351" s="902">
        <f t="shared" si="364"/>
        <v>76.099999999999994</v>
      </c>
      <c r="K1351" s="903" t="s">
        <v>1516</v>
      </c>
      <c r="L1351" s="904">
        <f>ROUND(SUM('RES. CENTRAL PARK:RUA_FINAL'!L1351),2)</f>
        <v>0</v>
      </c>
      <c r="M1351" s="904">
        <f t="shared" si="365"/>
        <v>0</v>
      </c>
      <c r="N1351" s="893">
        <f t="shared" si="366"/>
        <v>0</v>
      </c>
      <c r="O1351" s="905"/>
      <c r="Q1351" s="317" t="str">
        <f t="shared" si="367"/>
        <v/>
      </c>
      <c r="R1351" s="317" t="str">
        <f t="shared" si="368"/>
        <v/>
      </c>
      <c r="S1351" s="317" t="str">
        <f t="shared" si="369"/>
        <v/>
      </c>
      <c r="V1351" s="314">
        <f>SUM('RES. CENTRAL PARK:RUA_FINAL'!N1351)</f>
        <v>0</v>
      </c>
      <c r="W1351" s="315">
        <f t="shared" si="370"/>
        <v>0</v>
      </c>
    </row>
    <row r="1352" spans="1:23" ht="30" hidden="1" customHeight="1" x14ac:dyDescent="0.2">
      <c r="A1352" s="63">
        <v>91968</v>
      </c>
      <c r="B1352" s="895">
        <v>91968</v>
      </c>
      <c r="C1352" s="896" t="s">
        <v>596</v>
      </c>
      <c r="D1352" s="906" t="s">
        <v>1282</v>
      </c>
      <c r="E1352" s="907"/>
      <c r="F1352" s="908"/>
      <c r="G1352" s="912"/>
      <c r="H1352" s="901">
        <v>79.41</v>
      </c>
      <c r="I1352" s="901">
        <f t="shared" si="371"/>
        <v>79.41</v>
      </c>
      <c r="J1352" s="902">
        <f t="shared" si="364"/>
        <v>95.35</v>
      </c>
      <c r="K1352" s="903" t="s">
        <v>1516</v>
      </c>
      <c r="L1352" s="904">
        <f>ROUND(SUM('RES. CENTRAL PARK:RUA_FINAL'!L1352),2)</f>
        <v>0</v>
      </c>
      <c r="M1352" s="904">
        <f t="shared" si="365"/>
        <v>0</v>
      </c>
      <c r="N1352" s="893">
        <f t="shared" si="366"/>
        <v>0</v>
      </c>
      <c r="O1352" s="905"/>
      <c r="Q1352" s="317" t="str">
        <f t="shared" si="367"/>
        <v/>
      </c>
      <c r="R1352" s="317" t="str">
        <f t="shared" si="368"/>
        <v/>
      </c>
      <c r="S1352" s="317" t="str">
        <f t="shared" si="369"/>
        <v/>
      </c>
      <c r="V1352" s="314">
        <f>SUM('RES. CENTRAL PARK:RUA_FINAL'!N1352)</f>
        <v>0</v>
      </c>
      <c r="W1352" s="315">
        <f t="shared" si="370"/>
        <v>0</v>
      </c>
    </row>
    <row r="1353" spans="1:23" ht="30" hidden="1" customHeight="1" x14ac:dyDescent="0.2">
      <c r="A1353" s="63">
        <v>91969</v>
      </c>
      <c r="B1353" s="895">
        <v>91969</v>
      </c>
      <c r="C1353" s="896" t="s">
        <v>596</v>
      </c>
      <c r="D1353" s="906" t="s">
        <v>1283</v>
      </c>
      <c r="E1353" s="907"/>
      <c r="F1353" s="908"/>
      <c r="G1353" s="912"/>
      <c r="H1353" s="901">
        <v>88.64</v>
      </c>
      <c r="I1353" s="901">
        <f t="shared" si="371"/>
        <v>88.64</v>
      </c>
      <c r="J1353" s="902">
        <f t="shared" ref="J1353:J1416" si="372">IF(ISBLANK(H1353),0,ROUND(I1353*(1+$E$10),2))</f>
        <v>106.43</v>
      </c>
      <c r="K1353" s="903" t="s">
        <v>1516</v>
      </c>
      <c r="L1353" s="904">
        <f>ROUND(SUM('RES. CENTRAL PARK:RUA_FINAL'!L1353),2)</f>
        <v>0</v>
      </c>
      <c r="M1353" s="904">
        <f t="shared" si="365"/>
        <v>0</v>
      </c>
      <c r="N1353" s="893">
        <f t="shared" si="366"/>
        <v>0</v>
      </c>
      <c r="O1353" s="905"/>
      <c r="Q1353" s="317" t="str">
        <f t="shared" si="367"/>
        <v/>
      </c>
      <c r="R1353" s="317" t="str">
        <f t="shared" si="368"/>
        <v/>
      </c>
      <c r="S1353" s="317" t="str">
        <f t="shared" si="369"/>
        <v/>
      </c>
      <c r="V1353" s="314">
        <f>SUM('RES. CENTRAL PARK:RUA_FINAL'!N1353)</f>
        <v>0</v>
      </c>
      <c r="W1353" s="315">
        <f t="shared" si="370"/>
        <v>0</v>
      </c>
    </row>
    <row r="1354" spans="1:23" ht="30" hidden="1" customHeight="1" x14ac:dyDescent="0.2">
      <c r="A1354" s="63">
        <v>92028</v>
      </c>
      <c r="B1354" s="895">
        <v>92028</v>
      </c>
      <c r="C1354" s="896" t="s">
        <v>596</v>
      </c>
      <c r="D1354" s="906" t="s">
        <v>1284</v>
      </c>
      <c r="E1354" s="907"/>
      <c r="F1354" s="908"/>
      <c r="G1354" s="912"/>
      <c r="H1354" s="901">
        <v>52.83</v>
      </c>
      <c r="I1354" s="901">
        <f t="shared" si="371"/>
        <v>52.83</v>
      </c>
      <c r="J1354" s="902">
        <f t="shared" si="372"/>
        <v>63.43</v>
      </c>
      <c r="K1354" s="903" t="s">
        <v>1516</v>
      </c>
      <c r="L1354" s="904">
        <f>ROUND(SUM('RES. CENTRAL PARK:RUA_FINAL'!L1354),2)</f>
        <v>0</v>
      </c>
      <c r="M1354" s="904">
        <f t="shared" si="365"/>
        <v>0</v>
      </c>
      <c r="N1354" s="893">
        <f t="shared" si="366"/>
        <v>0</v>
      </c>
      <c r="O1354" s="905"/>
      <c r="Q1354" s="317" t="str">
        <f t="shared" si="367"/>
        <v/>
      </c>
      <c r="R1354" s="317" t="str">
        <f t="shared" si="368"/>
        <v/>
      </c>
      <c r="S1354" s="317" t="str">
        <f t="shared" si="369"/>
        <v/>
      </c>
      <c r="V1354" s="314">
        <f>SUM('RES. CENTRAL PARK:RUA_FINAL'!N1354)</f>
        <v>0</v>
      </c>
      <c r="W1354" s="315">
        <f t="shared" si="370"/>
        <v>0</v>
      </c>
    </row>
    <row r="1355" spans="1:23" ht="30" hidden="1" customHeight="1" x14ac:dyDescent="0.2">
      <c r="A1355" s="63">
        <v>92029</v>
      </c>
      <c r="B1355" s="895">
        <v>92029</v>
      </c>
      <c r="C1355" s="896" t="s">
        <v>596</v>
      </c>
      <c r="D1355" s="906" t="s">
        <v>1285</v>
      </c>
      <c r="E1355" s="907"/>
      <c r="F1355" s="908"/>
      <c r="G1355" s="912"/>
      <c r="H1355" s="901">
        <v>62.06</v>
      </c>
      <c r="I1355" s="901">
        <f t="shared" si="371"/>
        <v>62.06</v>
      </c>
      <c r="J1355" s="902">
        <f t="shared" si="372"/>
        <v>74.52</v>
      </c>
      <c r="K1355" s="903" t="s">
        <v>1516</v>
      </c>
      <c r="L1355" s="904">
        <f>ROUND(SUM('RES. CENTRAL PARK:RUA_FINAL'!L1355),2)</f>
        <v>0</v>
      </c>
      <c r="M1355" s="904">
        <f t="shared" si="365"/>
        <v>0</v>
      </c>
      <c r="N1355" s="893">
        <f t="shared" si="366"/>
        <v>0</v>
      </c>
      <c r="O1355" s="905"/>
      <c r="Q1355" s="317" t="str">
        <f t="shared" si="367"/>
        <v/>
      </c>
      <c r="R1355" s="317" t="str">
        <f t="shared" si="368"/>
        <v/>
      </c>
      <c r="S1355" s="317" t="str">
        <f t="shared" si="369"/>
        <v/>
      </c>
      <c r="V1355" s="314">
        <f>SUM('RES. CENTRAL PARK:RUA_FINAL'!N1355)</f>
        <v>0</v>
      </c>
      <c r="W1355" s="315">
        <f t="shared" si="370"/>
        <v>0</v>
      </c>
    </row>
    <row r="1356" spans="1:23" ht="30" hidden="1" customHeight="1" x14ac:dyDescent="0.2">
      <c r="A1356" s="63">
        <v>92030</v>
      </c>
      <c r="B1356" s="895">
        <v>92030</v>
      </c>
      <c r="C1356" s="896" t="s">
        <v>596</v>
      </c>
      <c r="D1356" s="906" t="s">
        <v>1286</v>
      </c>
      <c r="E1356" s="907"/>
      <c r="F1356" s="908"/>
      <c r="G1356" s="912"/>
      <c r="H1356" s="901">
        <v>76.77</v>
      </c>
      <c r="I1356" s="901">
        <f t="shared" si="371"/>
        <v>76.77</v>
      </c>
      <c r="J1356" s="902">
        <f t="shared" si="372"/>
        <v>92.18</v>
      </c>
      <c r="K1356" s="903" t="s">
        <v>1516</v>
      </c>
      <c r="L1356" s="904">
        <f>ROUND(SUM('RES. CENTRAL PARK:RUA_FINAL'!L1356),2)</f>
        <v>0</v>
      </c>
      <c r="M1356" s="904">
        <f t="shared" si="365"/>
        <v>0</v>
      </c>
      <c r="N1356" s="893">
        <f t="shared" si="366"/>
        <v>0</v>
      </c>
      <c r="O1356" s="905"/>
      <c r="Q1356" s="317" t="str">
        <f t="shared" si="367"/>
        <v/>
      </c>
      <c r="R1356" s="317" t="str">
        <f t="shared" si="368"/>
        <v/>
      </c>
      <c r="S1356" s="317" t="str">
        <f t="shared" si="369"/>
        <v/>
      </c>
      <c r="V1356" s="314">
        <f>SUM('RES. CENTRAL PARK:RUA_FINAL'!N1356)</f>
        <v>0</v>
      </c>
      <c r="W1356" s="315">
        <f t="shared" si="370"/>
        <v>0</v>
      </c>
    </row>
    <row r="1357" spans="1:23" ht="30" hidden="1" customHeight="1" x14ac:dyDescent="0.2">
      <c r="A1357" s="63">
        <v>92031</v>
      </c>
      <c r="B1357" s="895">
        <v>92031</v>
      </c>
      <c r="C1357" s="896" t="s">
        <v>596</v>
      </c>
      <c r="D1357" s="906" t="s">
        <v>1287</v>
      </c>
      <c r="E1357" s="907"/>
      <c r="F1357" s="908"/>
      <c r="G1357" s="912"/>
      <c r="H1357" s="901">
        <v>86</v>
      </c>
      <c r="I1357" s="901">
        <f t="shared" si="371"/>
        <v>86</v>
      </c>
      <c r="J1357" s="902">
        <f t="shared" si="372"/>
        <v>103.26</v>
      </c>
      <c r="K1357" s="903" t="s">
        <v>1516</v>
      </c>
      <c r="L1357" s="904">
        <f>ROUND(SUM('RES. CENTRAL PARK:RUA_FINAL'!L1357),2)</f>
        <v>0</v>
      </c>
      <c r="M1357" s="904">
        <f t="shared" si="365"/>
        <v>0</v>
      </c>
      <c r="N1357" s="893">
        <f t="shared" si="366"/>
        <v>0</v>
      </c>
      <c r="O1357" s="905"/>
      <c r="Q1357" s="317" t="str">
        <f t="shared" si="367"/>
        <v/>
      </c>
      <c r="R1357" s="317" t="str">
        <f t="shared" si="368"/>
        <v/>
      </c>
      <c r="S1357" s="317" t="str">
        <f t="shared" si="369"/>
        <v/>
      </c>
      <c r="V1357" s="314">
        <f>SUM('RES. CENTRAL PARK:RUA_FINAL'!N1357)</f>
        <v>0</v>
      </c>
      <c r="W1357" s="315">
        <f t="shared" si="370"/>
        <v>0</v>
      </c>
    </row>
    <row r="1358" spans="1:23" ht="30" hidden="1" customHeight="1" x14ac:dyDescent="0.2">
      <c r="A1358" s="63">
        <v>92032</v>
      </c>
      <c r="B1358" s="895">
        <v>92032</v>
      </c>
      <c r="C1358" s="896" t="s">
        <v>596</v>
      </c>
      <c r="D1358" s="906" t="s">
        <v>1288</v>
      </c>
      <c r="E1358" s="907"/>
      <c r="F1358" s="908"/>
      <c r="G1358" s="912"/>
      <c r="H1358" s="901">
        <v>78.09</v>
      </c>
      <c r="I1358" s="901">
        <f t="shared" si="371"/>
        <v>78.09</v>
      </c>
      <c r="J1358" s="902">
        <f t="shared" si="372"/>
        <v>93.76</v>
      </c>
      <c r="K1358" s="903" t="s">
        <v>1516</v>
      </c>
      <c r="L1358" s="904">
        <f>ROUND(SUM('RES. CENTRAL PARK:RUA_FINAL'!L1358),2)</f>
        <v>0</v>
      </c>
      <c r="M1358" s="904">
        <f t="shared" si="365"/>
        <v>0</v>
      </c>
      <c r="N1358" s="893">
        <f t="shared" si="366"/>
        <v>0</v>
      </c>
      <c r="O1358" s="905"/>
      <c r="Q1358" s="317" t="str">
        <f t="shared" si="367"/>
        <v/>
      </c>
      <c r="R1358" s="317" t="str">
        <f t="shared" si="368"/>
        <v/>
      </c>
      <c r="S1358" s="317" t="str">
        <f t="shared" si="369"/>
        <v/>
      </c>
      <c r="V1358" s="314">
        <f>SUM('RES. CENTRAL PARK:RUA_FINAL'!N1358)</f>
        <v>0</v>
      </c>
      <c r="W1358" s="315">
        <f t="shared" si="370"/>
        <v>0</v>
      </c>
    </row>
    <row r="1359" spans="1:23" ht="30" hidden="1" customHeight="1" x14ac:dyDescent="0.2">
      <c r="A1359" s="63">
        <v>92033</v>
      </c>
      <c r="B1359" s="895">
        <v>92033</v>
      </c>
      <c r="C1359" s="896" t="s">
        <v>596</v>
      </c>
      <c r="D1359" s="906" t="s">
        <v>1289</v>
      </c>
      <c r="E1359" s="907"/>
      <c r="F1359" s="908"/>
      <c r="G1359" s="912"/>
      <c r="H1359" s="901">
        <v>87.32</v>
      </c>
      <c r="I1359" s="901">
        <f t="shared" si="371"/>
        <v>87.32</v>
      </c>
      <c r="J1359" s="902">
        <f t="shared" si="372"/>
        <v>104.85</v>
      </c>
      <c r="K1359" s="903" t="s">
        <v>1516</v>
      </c>
      <c r="L1359" s="904">
        <f>ROUND(SUM('RES. CENTRAL PARK:RUA_FINAL'!L1359),2)</f>
        <v>0</v>
      </c>
      <c r="M1359" s="904">
        <f t="shared" si="365"/>
        <v>0</v>
      </c>
      <c r="N1359" s="893">
        <f t="shared" si="366"/>
        <v>0</v>
      </c>
      <c r="O1359" s="905"/>
      <c r="Q1359" s="317" t="str">
        <f t="shared" si="367"/>
        <v/>
      </c>
      <c r="R1359" s="317" t="str">
        <f t="shared" si="368"/>
        <v/>
      </c>
      <c r="S1359" s="317" t="str">
        <f t="shared" si="369"/>
        <v/>
      </c>
      <c r="V1359" s="314">
        <f>SUM('RES. CENTRAL PARK:RUA_FINAL'!N1359)</f>
        <v>0</v>
      </c>
      <c r="W1359" s="315">
        <f t="shared" si="370"/>
        <v>0</v>
      </c>
    </row>
    <row r="1360" spans="1:23" ht="30" hidden="1" customHeight="1" x14ac:dyDescent="0.2">
      <c r="A1360" s="63">
        <v>91978</v>
      </c>
      <c r="B1360" s="895">
        <v>91978</v>
      </c>
      <c r="C1360" s="896" t="s">
        <v>596</v>
      </c>
      <c r="D1360" s="906" t="s">
        <v>1290</v>
      </c>
      <c r="E1360" s="907"/>
      <c r="F1360" s="908"/>
      <c r="G1360" s="912"/>
      <c r="H1360" s="901">
        <v>45.56</v>
      </c>
      <c r="I1360" s="901">
        <f t="shared" si="371"/>
        <v>45.56</v>
      </c>
      <c r="J1360" s="902">
        <f t="shared" si="372"/>
        <v>54.7</v>
      </c>
      <c r="K1360" s="903" t="s">
        <v>1516</v>
      </c>
      <c r="L1360" s="904">
        <f>ROUND(SUM('RES. CENTRAL PARK:RUA_FINAL'!L1360),2)</f>
        <v>0</v>
      </c>
      <c r="M1360" s="904">
        <f t="shared" si="365"/>
        <v>0</v>
      </c>
      <c r="N1360" s="893">
        <f t="shared" si="366"/>
        <v>0</v>
      </c>
      <c r="O1360" s="905"/>
      <c r="Q1360" s="317" t="str">
        <f t="shared" si="367"/>
        <v/>
      </c>
      <c r="R1360" s="317" t="str">
        <f t="shared" si="368"/>
        <v/>
      </c>
      <c r="S1360" s="317" t="str">
        <f t="shared" si="369"/>
        <v/>
      </c>
      <c r="V1360" s="314">
        <f>SUM('RES. CENTRAL PARK:RUA_FINAL'!N1360)</f>
        <v>0</v>
      </c>
      <c r="W1360" s="315">
        <f t="shared" si="370"/>
        <v>0</v>
      </c>
    </row>
    <row r="1361" spans="1:23" ht="30" hidden="1" customHeight="1" x14ac:dyDescent="0.2">
      <c r="A1361" s="63">
        <v>91979</v>
      </c>
      <c r="B1361" s="895">
        <v>91979</v>
      </c>
      <c r="C1361" s="896" t="s">
        <v>596</v>
      </c>
      <c r="D1361" s="906" t="s">
        <v>1291</v>
      </c>
      <c r="E1361" s="907"/>
      <c r="F1361" s="908"/>
      <c r="G1361" s="912"/>
      <c r="H1361" s="901">
        <v>54.79</v>
      </c>
      <c r="I1361" s="901">
        <f t="shared" si="371"/>
        <v>54.79</v>
      </c>
      <c r="J1361" s="902">
        <f t="shared" si="372"/>
        <v>65.790000000000006</v>
      </c>
      <c r="K1361" s="903" t="s">
        <v>1516</v>
      </c>
      <c r="L1361" s="904">
        <f>ROUND(SUM('RES. CENTRAL PARK:RUA_FINAL'!L1361),2)</f>
        <v>0</v>
      </c>
      <c r="M1361" s="904">
        <f t="shared" si="365"/>
        <v>0</v>
      </c>
      <c r="N1361" s="893">
        <f t="shared" si="366"/>
        <v>0</v>
      </c>
      <c r="O1361" s="905"/>
      <c r="Q1361" s="317" t="str">
        <f t="shared" si="367"/>
        <v/>
      </c>
      <c r="R1361" s="317" t="str">
        <f t="shared" si="368"/>
        <v/>
      </c>
      <c r="S1361" s="317" t="str">
        <f t="shared" si="369"/>
        <v/>
      </c>
      <c r="V1361" s="314">
        <f>SUM('RES. CENTRAL PARK:RUA_FINAL'!N1361)</f>
        <v>0</v>
      </c>
      <c r="W1361" s="315">
        <f t="shared" si="370"/>
        <v>0</v>
      </c>
    </row>
    <row r="1362" spans="1:23" ht="30" hidden="1" customHeight="1" x14ac:dyDescent="0.2">
      <c r="A1362" s="63">
        <v>91980</v>
      </c>
      <c r="B1362" s="895">
        <v>91980</v>
      </c>
      <c r="C1362" s="896" t="s">
        <v>596</v>
      </c>
      <c r="D1362" s="906" t="s">
        <v>1292</v>
      </c>
      <c r="E1362" s="907"/>
      <c r="F1362" s="908"/>
      <c r="G1362" s="912"/>
      <c r="H1362" s="901">
        <v>44.15</v>
      </c>
      <c r="I1362" s="901">
        <f t="shared" si="371"/>
        <v>44.15</v>
      </c>
      <c r="J1362" s="902">
        <f t="shared" si="372"/>
        <v>53.01</v>
      </c>
      <c r="K1362" s="903" t="s">
        <v>1516</v>
      </c>
      <c r="L1362" s="904">
        <f>ROUND(SUM('RES. CENTRAL PARK:RUA_FINAL'!L1362),2)</f>
        <v>0</v>
      </c>
      <c r="M1362" s="904">
        <f t="shared" ref="M1362:M1425" si="373">IF(L1362=0,0,ROUND(J1362,2))</f>
        <v>0</v>
      </c>
      <c r="N1362" s="893">
        <f t="shared" ref="N1362:N1425" si="374">IF(ISBLANK(L1362),0,ROUND(L1362*M1362,2))</f>
        <v>0</v>
      </c>
      <c r="O1362" s="905"/>
      <c r="Q1362" s="317" t="str">
        <f t="shared" ref="Q1362:Q1425" si="375">IF(P1362="X","x",IF(P1362="xx","x",IF(P1362="xy","x",IF(P1362="y","x",IF(OR(N1362&gt;0,N1362&gt;0),"x","")))))</f>
        <v/>
      </c>
      <c r="R1362" s="317" t="str">
        <f t="shared" ref="R1362:R1425" si="376">IF(P1362="X","x",IF(P1362="y","x",IF(P1362="xx","x",IF(N1362&gt;0,"x",""))))</f>
        <v/>
      </c>
      <c r="S1362" s="317" t="str">
        <f t="shared" ref="S1362:S1425" si="377">IF(P1362="X","x",IF(N1362&gt;0,"x",""))</f>
        <v/>
      </c>
      <c r="V1362" s="314">
        <f>SUM('RES. CENTRAL PARK:RUA_FINAL'!N1362)</f>
        <v>0</v>
      </c>
      <c r="W1362" s="315">
        <f t="shared" si="370"/>
        <v>0</v>
      </c>
    </row>
    <row r="1363" spans="1:23" ht="30" hidden="1" customHeight="1" x14ac:dyDescent="0.2">
      <c r="A1363" s="63">
        <v>91981</v>
      </c>
      <c r="B1363" s="895">
        <v>91981</v>
      </c>
      <c r="C1363" s="896" t="s">
        <v>596</v>
      </c>
      <c r="D1363" s="906" t="s">
        <v>1293</v>
      </c>
      <c r="E1363" s="907"/>
      <c r="F1363" s="908"/>
      <c r="G1363" s="912"/>
      <c r="H1363" s="901">
        <v>53.38</v>
      </c>
      <c r="I1363" s="901">
        <f t="shared" si="371"/>
        <v>53.38</v>
      </c>
      <c r="J1363" s="902">
        <f t="shared" si="372"/>
        <v>64.09</v>
      </c>
      <c r="K1363" s="903" t="s">
        <v>1516</v>
      </c>
      <c r="L1363" s="904">
        <f>ROUND(SUM('RES. CENTRAL PARK:RUA_FINAL'!L1363),2)</f>
        <v>0</v>
      </c>
      <c r="M1363" s="904">
        <f t="shared" si="373"/>
        <v>0</v>
      </c>
      <c r="N1363" s="893">
        <f t="shared" si="374"/>
        <v>0</v>
      </c>
      <c r="O1363" s="905"/>
      <c r="Q1363" s="317" t="str">
        <f t="shared" si="375"/>
        <v/>
      </c>
      <c r="R1363" s="317" t="str">
        <f t="shared" si="376"/>
        <v/>
      </c>
      <c r="S1363" s="317" t="str">
        <f t="shared" si="377"/>
        <v/>
      </c>
      <c r="V1363" s="314">
        <f>SUM('RES. CENTRAL PARK:RUA_FINAL'!N1363)</f>
        <v>0</v>
      </c>
      <c r="W1363" s="315">
        <f t="shared" si="370"/>
        <v>0</v>
      </c>
    </row>
    <row r="1364" spans="1:23" ht="30" hidden="1" customHeight="1" x14ac:dyDescent="0.2">
      <c r="A1364" s="63">
        <v>91978</v>
      </c>
      <c r="B1364" s="895">
        <v>91978</v>
      </c>
      <c r="C1364" s="896" t="s">
        <v>596</v>
      </c>
      <c r="D1364" s="906" t="s">
        <v>1290</v>
      </c>
      <c r="E1364" s="907"/>
      <c r="F1364" s="908"/>
      <c r="G1364" s="912"/>
      <c r="H1364" s="901">
        <v>45.56</v>
      </c>
      <c r="I1364" s="901">
        <f t="shared" si="371"/>
        <v>45.56</v>
      </c>
      <c r="J1364" s="902">
        <f t="shared" si="372"/>
        <v>54.7</v>
      </c>
      <c r="K1364" s="903" t="s">
        <v>1516</v>
      </c>
      <c r="L1364" s="904">
        <f>ROUND(SUM('RES. CENTRAL PARK:RUA_FINAL'!L1364),2)</f>
        <v>0</v>
      </c>
      <c r="M1364" s="904">
        <f t="shared" si="373"/>
        <v>0</v>
      </c>
      <c r="N1364" s="893">
        <f t="shared" si="374"/>
        <v>0</v>
      </c>
      <c r="O1364" s="905"/>
      <c r="Q1364" s="317" t="str">
        <f t="shared" si="375"/>
        <v/>
      </c>
      <c r="R1364" s="317" t="str">
        <f t="shared" si="376"/>
        <v/>
      </c>
      <c r="S1364" s="317" t="str">
        <f t="shared" si="377"/>
        <v/>
      </c>
      <c r="V1364" s="314">
        <f>SUM('RES. CENTRAL PARK:RUA_FINAL'!N1364)</f>
        <v>0</v>
      </c>
      <c r="W1364" s="315">
        <f t="shared" si="370"/>
        <v>0</v>
      </c>
    </row>
    <row r="1365" spans="1:23" ht="30" hidden="1" customHeight="1" x14ac:dyDescent="0.2">
      <c r="A1365" s="63">
        <v>91979</v>
      </c>
      <c r="B1365" s="895">
        <v>91979</v>
      </c>
      <c r="C1365" s="896" t="s">
        <v>596</v>
      </c>
      <c r="D1365" s="906" t="s">
        <v>1291</v>
      </c>
      <c r="E1365" s="907"/>
      <c r="F1365" s="908"/>
      <c r="G1365" s="912"/>
      <c r="H1365" s="901">
        <v>54.79</v>
      </c>
      <c r="I1365" s="901">
        <f t="shared" si="371"/>
        <v>54.79</v>
      </c>
      <c r="J1365" s="902">
        <f t="shared" si="372"/>
        <v>65.790000000000006</v>
      </c>
      <c r="K1365" s="903" t="s">
        <v>1516</v>
      </c>
      <c r="L1365" s="904">
        <f>ROUND(SUM('RES. CENTRAL PARK:RUA_FINAL'!L1365),2)</f>
        <v>0</v>
      </c>
      <c r="M1365" s="904">
        <f t="shared" si="373"/>
        <v>0</v>
      </c>
      <c r="N1365" s="893">
        <f t="shared" si="374"/>
        <v>0</v>
      </c>
      <c r="O1365" s="905"/>
      <c r="Q1365" s="317" t="str">
        <f t="shared" si="375"/>
        <v/>
      </c>
      <c r="R1365" s="317" t="str">
        <f t="shared" si="376"/>
        <v/>
      </c>
      <c r="S1365" s="317" t="str">
        <f t="shared" si="377"/>
        <v/>
      </c>
      <c r="V1365" s="314">
        <f>SUM('RES. CENTRAL PARK:RUA_FINAL'!N1365)</f>
        <v>0</v>
      </c>
      <c r="W1365" s="315">
        <f t="shared" ref="W1365:W1428" si="378">N1365-V1365</f>
        <v>0</v>
      </c>
    </row>
    <row r="1366" spans="1:23" ht="30" hidden="1" customHeight="1" x14ac:dyDescent="0.2">
      <c r="A1366" s="63">
        <v>91980</v>
      </c>
      <c r="B1366" s="895">
        <v>91980</v>
      </c>
      <c r="C1366" s="896" t="s">
        <v>596</v>
      </c>
      <c r="D1366" s="906" t="s">
        <v>1292</v>
      </c>
      <c r="E1366" s="907"/>
      <c r="F1366" s="908"/>
      <c r="G1366" s="912"/>
      <c r="H1366" s="901">
        <v>44.15</v>
      </c>
      <c r="I1366" s="901">
        <f t="shared" si="371"/>
        <v>44.15</v>
      </c>
      <c r="J1366" s="902">
        <f t="shared" si="372"/>
        <v>53.01</v>
      </c>
      <c r="K1366" s="903" t="s">
        <v>1516</v>
      </c>
      <c r="L1366" s="904">
        <f>ROUND(SUM('RES. CENTRAL PARK:RUA_FINAL'!L1366),2)</f>
        <v>0</v>
      </c>
      <c r="M1366" s="904">
        <f t="shared" si="373"/>
        <v>0</v>
      </c>
      <c r="N1366" s="893">
        <f t="shared" si="374"/>
        <v>0</v>
      </c>
      <c r="O1366" s="905"/>
      <c r="Q1366" s="317" t="str">
        <f t="shared" si="375"/>
        <v/>
      </c>
      <c r="R1366" s="317" t="str">
        <f t="shared" si="376"/>
        <v/>
      </c>
      <c r="S1366" s="317" t="str">
        <f t="shared" si="377"/>
        <v/>
      </c>
      <c r="V1366" s="314">
        <f>SUM('RES. CENTRAL PARK:RUA_FINAL'!N1366)</f>
        <v>0</v>
      </c>
      <c r="W1366" s="315">
        <f t="shared" si="378"/>
        <v>0</v>
      </c>
    </row>
    <row r="1367" spans="1:23" ht="30" hidden="1" customHeight="1" x14ac:dyDescent="0.2">
      <c r="A1367" s="63">
        <v>91981</v>
      </c>
      <c r="B1367" s="895">
        <v>91981</v>
      </c>
      <c r="C1367" s="896" t="s">
        <v>596</v>
      </c>
      <c r="D1367" s="906" t="s">
        <v>1293</v>
      </c>
      <c r="E1367" s="907"/>
      <c r="F1367" s="908"/>
      <c r="G1367" s="912"/>
      <c r="H1367" s="901">
        <v>53.38</v>
      </c>
      <c r="I1367" s="901">
        <f t="shared" si="371"/>
        <v>53.38</v>
      </c>
      <c r="J1367" s="902">
        <f t="shared" si="372"/>
        <v>64.09</v>
      </c>
      <c r="K1367" s="903" t="s">
        <v>1516</v>
      </c>
      <c r="L1367" s="904">
        <f>ROUND(SUM('RES. CENTRAL PARK:RUA_FINAL'!L1367),2)</f>
        <v>0</v>
      </c>
      <c r="M1367" s="904">
        <f t="shared" si="373"/>
        <v>0</v>
      </c>
      <c r="N1367" s="893">
        <f t="shared" si="374"/>
        <v>0</v>
      </c>
      <c r="O1367" s="905"/>
      <c r="Q1367" s="317" t="str">
        <f t="shared" si="375"/>
        <v/>
      </c>
      <c r="R1367" s="317" t="str">
        <f t="shared" si="376"/>
        <v/>
      </c>
      <c r="S1367" s="317" t="str">
        <f t="shared" si="377"/>
        <v/>
      </c>
      <c r="V1367" s="314">
        <f>SUM('RES. CENTRAL PARK:RUA_FINAL'!N1367)</f>
        <v>0</v>
      </c>
      <c r="W1367" s="315">
        <f t="shared" si="378"/>
        <v>0</v>
      </c>
    </row>
    <row r="1368" spans="1:23" ht="30" hidden="1" customHeight="1" x14ac:dyDescent="0.2">
      <c r="A1368" s="63">
        <v>91982</v>
      </c>
      <c r="B1368" s="895">
        <v>91982</v>
      </c>
      <c r="C1368" s="896" t="s">
        <v>596</v>
      </c>
      <c r="D1368" s="906" t="s">
        <v>1294</v>
      </c>
      <c r="E1368" s="907"/>
      <c r="F1368" s="908"/>
      <c r="G1368" s="912"/>
      <c r="H1368" s="901">
        <v>102.63</v>
      </c>
      <c r="I1368" s="901">
        <f t="shared" si="371"/>
        <v>102.63</v>
      </c>
      <c r="J1368" s="902">
        <f t="shared" si="372"/>
        <v>123.23</v>
      </c>
      <c r="K1368" s="903" t="s">
        <v>1516</v>
      </c>
      <c r="L1368" s="904">
        <f>ROUND(SUM('RES. CENTRAL PARK:RUA_FINAL'!L1368),2)</f>
        <v>0</v>
      </c>
      <c r="M1368" s="904">
        <f t="shared" si="373"/>
        <v>0</v>
      </c>
      <c r="N1368" s="893">
        <f t="shared" si="374"/>
        <v>0</v>
      </c>
      <c r="O1368" s="905"/>
      <c r="Q1368" s="317" t="str">
        <f t="shared" si="375"/>
        <v/>
      </c>
      <c r="R1368" s="317" t="str">
        <f t="shared" si="376"/>
        <v/>
      </c>
      <c r="S1368" s="317" t="str">
        <f t="shared" si="377"/>
        <v/>
      </c>
      <c r="V1368" s="314">
        <f>SUM('RES. CENTRAL PARK:RUA_FINAL'!N1368)</f>
        <v>0</v>
      </c>
      <c r="W1368" s="315">
        <f t="shared" si="378"/>
        <v>0</v>
      </c>
    </row>
    <row r="1369" spans="1:23" ht="30" hidden="1" customHeight="1" x14ac:dyDescent="0.2">
      <c r="A1369" s="63">
        <v>91983</v>
      </c>
      <c r="B1369" s="895">
        <v>91983</v>
      </c>
      <c r="C1369" s="896" t="s">
        <v>596</v>
      </c>
      <c r="D1369" s="906" t="s">
        <v>1295</v>
      </c>
      <c r="E1369" s="907"/>
      <c r="F1369" s="908"/>
      <c r="G1369" s="912"/>
      <c r="H1369" s="901">
        <v>111.86</v>
      </c>
      <c r="I1369" s="901">
        <f t="shared" si="371"/>
        <v>111.86</v>
      </c>
      <c r="J1369" s="902">
        <f t="shared" si="372"/>
        <v>134.31</v>
      </c>
      <c r="K1369" s="903" t="s">
        <v>1516</v>
      </c>
      <c r="L1369" s="904">
        <f>ROUND(SUM('RES. CENTRAL PARK:RUA_FINAL'!L1369),2)</f>
        <v>0</v>
      </c>
      <c r="M1369" s="904">
        <f t="shared" si="373"/>
        <v>0</v>
      </c>
      <c r="N1369" s="893">
        <f t="shared" si="374"/>
        <v>0</v>
      </c>
      <c r="O1369" s="905"/>
      <c r="Q1369" s="317" t="str">
        <f t="shared" si="375"/>
        <v/>
      </c>
      <c r="R1369" s="317" t="str">
        <f t="shared" si="376"/>
        <v/>
      </c>
      <c r="S1369" s="317" t="str">
        <f t="shared" si="377"/>
        <v/>
      </c>
      <c r="V1369" s="314">
        <f>SUM('RES. CENTRAL PARK:RUA_FINAL'!N1369)</f>
        <v>0</v>
      </c>
      <c r="W1369" s="315">
        <f t="shared" si="378"/>
        <v>0</v>
      </c>
    </row>
    <row r="1370" spans="1:23" ht="30" hidden="1" customHeight="1" x14ac:dyDescent="0.2">
      <c r="A1370" s="63">
        <v>91984</v>
      </c>
      <c r="B1370" s="895">
        <v>91984</v>
      </c>
      <c r="C1370" s="896" t="s">
        <v>596</v>
      </c>
      <c r="D1370" s="906" t="s">
        <v>1296</v>
      </c>
      <c r="E1370" s="907"/>
      <c r="F1370" s="908"/>
      <c r="G1370" s="912"/>
      <c r="H1370" s="901">
        <v>20.2</v>
      </c>
      <c r="I1370" s="901">
        <f t="shared" si="371"/>
        <v>20.2</v>
      </c>
      <c r="J1370" s="902">
        <f t="shared" si="372"/>
        <v>24.25</v>
      </c>
      <c r="K1370" s="903" t="s">
        <v>1516</v>
      </c>
      <c r="L1370" s="904">
        <f>ROUND(SUM('RES. CENTRAL PARK:RUA_FINAL'!L1370),2)</f>
        <v>0</v>
      </c>
      <c r="M1370" s="904">
        <f t="shared" si="373"/>
        <v>0</v>
      </c>
      <c r="N1370" s="893">
        <f t="shared" si="374"/>
        <v>0</v>
      </c>
      <c r="O1370" s="905"/>
      <c r="Q1370" s="317" t="str">
        <f t="shared" si="375"/>
        <v/>
      </c>
      <c r="R1370" s="317" t="str">
        <f t="shared" si="376"/>
        <v/>
      </c>
      <c r="S1370" s="317" t="str">
        <f t="shared" si="377"/>
        <v/>
      </c>
      <c r="V1370" s="314">
        <f>SUM('RES. CENTRAL PARK:RUA_FINAL'!N1370)</f>
        <v>0</v>
      </c>
      <c r="W1370" s="315">
        <f t="shared" si="378"/>
        <v>0</v>
      </c>
    </row>
    <row r="1371" spans="1:23" ht="30" hidden="1" customHeight="1" x14ac:dyDescent="0.2">
      <c r="A1371" s="63">
        <v>91985</v>
      </c>
      <c r="B1371" s="895">
        <v>91985</v>
      </c>
      <c r="C1371" s="896" t="s">
        <v>596</v>
      </c>
      <c r="D1371" s="906" t="s">
        <v>1297</v>
      </c>
      <c r="E1371" s="907"/>
      <c r="F1371" s="908"/>
      <c r="G1371" s="912"/>
      <c r="H1371" s="901">
        <v>29.43</v>
      </c>
      <c r="I1371" s="901">
        <f t="shared" si="371"/>
        <v>29.43</v>
      </c>
      <c r="J1371" s="902">
        <f t="shared" si="372"/>
        <v>35.340000000000003</v>
      </c>
      <c r="K1371" s="903" t="s">
        <v>1516</v>
      </c>
      <c r="L1371" s="904">
        <f>ROUND(SUM('RES. CENTRAL PARK:RUA_FINAL'!L1371),2)</f>
        <v>0</v>
      </c>
      <c r="M1371" s="904">
        <f t="shared" si="373"/>
        <v>0</v>
      </c>
      <c r="N1371" s="893">
        <f t="shared" si="374"/>
        <v>0</v>
      </c>
      <c r="O1371" s="905"/>
      <c r="Q1371" s="317" t="str">
        <f t="shared" si="375"/>
        <v/>
      </c>
      <c r="R1371" s="317" t="str">
        <f t="shared" si="376"/>
        <v/>
      </c>
      <c r="S1371" s="317" t="str">
        <f t="shared" si="377"/>
        <v/>
      </c>
      <c r="V1371" s="314">
        <f>SUM('RES. CENTRAL PARK:RUA_FINAL'!N1371)</f>
        <v>0</v>
      </c>
      <c r="W1371" s="315">
        <f t="shared" si="378"/>
        <v>0</v>
      </c>
    </row>
    <row r="1372" spans="1:23" ht="30" hidden="1" customHeight="1" x14ac:dyDescent="0.2">
      <c r="A1372" s="63">
        <v>91986</v>
      </c>
      <c r="B1372" s="895">
        <v>91986</v>
      </c>
      <c r="C1372" s="896" t="s">
        <v>596</v>
      </c>
      <c r="D1372" s="906" t="s">
        <v>1298</v>
      </c>
      <c r="E1372" s="907"/>
      <c r="F1372" s="908"/>
      <c r="G1372" s="912"/>
      <c r="H1372" s="901">
        <v>42.51</v>
      </c>
      <c r="I1372" s="901">
        <f t="shared" si="371"/>
        <v>42.51</v>
      </c>
      <c r="J1372" s="902">
        <f t="shared" si="372"/>
        <v>51.04</v>
      </c>
      <c r="K1372" s="903" t="s">
        <v>1516</v>
      </c>
      <c r="L1372" s="904">
        <f>ROUND(SUM('RES. CENTRAL PARK:RUA_FINAL'!L1372),2)</f>
        <v>0</v>
      </c>
      <c r="M1372" s="904">
        <f t="shared" si="373"/>
        <v>0</v>
      </c>
      <c r="N1372" s="893">
        <f t="shared" si="374"/>
        <v>0</v>
      </c>
      <c r="O1372" s="905"/>
      <c r="Q1372" s="317" t="str">
        <f t="shared" si="375"/>
        <v/>
      </c>
      <c r="R1372" s="317" t="str">
        <f t="shared" si="376"/>
        <v/>
      </c>
      <c r="S1372" s="317" t="str">
        <f t="shared" si="377"/>
        <v/>
      </c>
      <c r="V1372" s="314">
        <f>SUM('RES. CENTRAL PARK:RUA_FINAL'!N1372)</f>
        <v>0</v>
      </c>
      <c r="W1372" s="315">
        <f t="shared" si="378"/>
        <v>0</v>
      </c>
    </row>
    <row r="1373" spans="1:23" ht="30" hidden="1" customHeight="1" x14ac:dyDescent="0.2">
      <c r="A1373" s="63">
        <v>91987</v>
      </c>
      <c r="B1373" s="895">
        <v>91987</v>
      </c>
      <c r="C1373" s="896" t="s">
        <v>596</v>
      </c>
      <c r="D1373" s="906" t="s">
        <v>1299</v>
      </c>
      <c r="E1373" s="907"/>
      <c r="F1373" s="908"/>
      <c r="G1373" s="912"/>
      <c r="H1373" s="901">
        <v>51.74</v>
      </c>
      <c r="I1373" s="901">
        <f t="shared" si="371"/>
        <v>51.74</v>
      </c>
      <c r="J1373" s="902">
        <f t="shared" si="372"/>
        <v>62.12</v>
      </c>
      <c r="K1373" s="903" t="s">
        <v>1516</v>
      </c>
      <c r="L1373" s="904">
        <f>ROUND(SUM('RES. CENTRAL PARK:RUA_FINAL'!L1373),2)</f>
        <v>0</v>
      </c>
      <c r="M1373" s="904">
        <f t="shared" si="373"/>
        <v>0</v>
      </c>
      <c r="N1373" s="893">
        <f t="shared" si="374"/>
        <v>0</v>
      </c>
      <c r="O1373" s="905"/>
      <c r="Q1373" s="317" t="str">
        <f t="shared" si="375"/>
        <v/>
      </c>
      <c r="R1373" s="317" t="str">
        <f t="shared" si="376"/>
        <v/>
      </c>
      <c r="S1373" s="317" t="str">
        <f t="shared" si="377"/>
        <v/>
      </c>
      <c r="V1373" s="314">
        <f>SUM('RES. CENTRAL PARK:RUA_FINAL'!N1373)</f>
        <v>0</v>
      </c>
      <c r="W1373" s="315">
        <f t="shared" si="378"/>
        <v>0</v>
      </c>
    </row>
    <row r="1374" spans="1:23" ht="30" hidden="1" customHeight="1" x14ac:dyDescent="0.2">
      <c r="A1374" s="63">
        <v>91988</v>
      </c>
      <c r="B1374" s="895">
        <v>91988</v>
      </c>
      <c r="C1374" s="896" t="s">
        <v>596</v>
      </c>
      <c r="D1374" s="906" t="s">
        <v>1300</v>
      </c>
      <c r="E1374" s="907"/>
      <c r="F1374" s="908"/>
      <c r="G1374" s="912"/>
      <c r="H1374" s="901">
        <v>24.92</v>
      </c>
      <c r="I1374" s="901">
        <f t="shared" si="371"/>
        <v>24.92</v>
      </c>
      <c r="J1374" s="902">
        <f t="shared" si="372"/>
        <v>29.92</v>
      </c>
      <c r="K1374" s="903" t="s">
        <v>1516</v>
      </c>
      <c r="L1374" s="904">
        <f>ROUND(SUM('RES. CENTRAL PARK:RUA_FINAL'!L1374),2)</f>
        <v>0</v>
      </c>
      <c r="M1374" s="904">
        <f t="shared" si="373"/>
        <v>0</v>
      </c>
      <c r="N1374" s="893">
        <f t="shared" si="374"/>
        <v>0</v>
      </c>
      <c r="O1374" s="905"/>
      <c r="Q1374" s="317" t="str">
        <f t="shared" si="375"/>
        <v/>
      </c>
      <c r="R1374" s="317" t="str">
        <f t="shared" si="376"/>
        <v/>
      </c>
      <c r="S1374" s="317" t="str">
        <f t="shared" si="377"/>
        <v/>
      </c>
      <c r="V1374" s="314">
        <f>SUM('RES. CENTRAL PARK:RUA_FINAL'!N1374)</f>
        <v>0</v>
      </c>
      <c r="W1374" s="315">
        <f t="shared" si="378"/>
        <v>0</v>
      </c>
    </row>
    <row r="1375" spans="1:23" ht="30" hidden="1" customHeight="1" x14ac:dyDescent="0.2">
      <c r="A1375" s="63">
        <v>91989</v>
      </c>
      <c r="B1375" s="895">
        <v>91989</v>
      </c>
      <c r="C1375" s="896" t="s">
        <v>596</v>
      </c>
      <c r="D1375" s="906" t="s">
        <v>1301</v>
      </c>
      <c r="E1375" s="907"/>
      <c r="F1375" s="908"/>
      <c r="G1375" s="912"/>
      <c r="H1375" s="901">
        <v>34.15</v>
      </c>
      <c r="I1375" s="901">
        <f t="shared" si="371"/>
        <v>34.15</v>
      </c>
      <c r="J1375" s="902">
        <f t="shared" si="372"/>
        <v>41</v>
      </c>
      <c r="K1375" s="903" t="s">
        <v>1516</v>
      </c>
      <c r="L1375" s="904">
        <f>ROUND(SUM('RES. CENTRAL PARK:RUA_FINAL'!L1375),2)</f>
        <v>0</v>
      </c>
      <c r="M1375" s="904">
        <f t="shared" si="373"/>
        <v>0</v>
      </c>
      <c r="N1375" s="893">
        <f t="shared" si="374"/>
        <v>0</v>
      </c>
      <c r="O1375" s="905"/>
      <c r="Q1375" s="317" t="str">
        <f t="shared" si="375"/>
        <v/>
      </c>
      <c r="R1375" s="317" t="str">
        <f t="shared" si="376"/>
        <v/>
      </c>
      <c r="S1375" s="317" t="str">
        <f t="shared" si="377"/>
        <v/>
      </c>
      <c r="V1375" s="314">
        <f>SUM('RES. CENTRAL PARK:RUA_FINAL'!N1375)</f>
        <v>0</v>
      </c>
      <c r="W1375" s="315">
        <f t="shared" si="378"/>
        <v>0</v>
      </c>
    </row>
    <row r="1376" spans="1:23" ht="30" hidden="1" customHeight="1" x14ac:dyDescent="0.2">
      <c r="A1376" s="63">
        <v>91990</v>
      </c>
      <c r="B1376" s="895">
        <v>91990</v>
      </c>
      <c r="C1376" s="896" t="s">
        <v>596</v>
      </c>
      <c r="D1376" s="906" t="s">
        <v>1302</v>
      </c>
      <c r="E1376" s="907"/>
      <c r="F1376" s="908"/>
      <c r="G1376" s="912"/>
      <c r="H1376" s="901">
        <v>38.869999999999997</v>
      </c>
      <c r="I1376" s="901">
        <f t="shared" si="371"/>
        <v>38.869999999999997</v>
      </c>
      <c r="J1376" s="902">
        <f t="shared" si="372"/>
        <v>46.67</v>
      </c>
      <c r="K1376" s="903" t="s">
        <v>1516</v>
      </c>
      <c r="L1376" s="904">
        <f>ROUND(SUM('RES. CENTRAL PARK:RUA_FINAL'!L1376),2)</f>
        <v>0</v>
      </c>
      <c r="M1376" s="904">
        <f t="shared" si="373"/>
        <v>0</v>
      </c>
      <c r="N1376" s="893">
        <f t="shared" si="374"/>
        <v>0</v>
      </c>
      <c r="O1376" s="905"/>
      <c r="Q1376" s="317" t="str">
        <f t="shared" si="375"/>
        <v/>
      </c>
      <c r="R1376" s="317" t="str">
        <f t="shared" si="376"/>
        <v/>
      </c>
      <c r="S1376" s="317" t="str">
        <f t="shared" si="377"/>
        <v/>
      </c>
      <c r="V1376" s="314">
        <f>SUM('RES. CENTRAL PARK:RUA_FINAL'!N1376)</f>
        <v>0</v>
      </c>
      <c r="W1376" s="315">
        <f t="shared" si="378"/>
        <v>0</v>
      </c>
    </row>
    <row r="1377" spans="1:23" ht="30" hidden="1" customHeight="1" x14ac:dyDescent="0.2">
      <c r="A1377" s="63">
        <v>91991</v>
      </c>
      <c r="B1377" s="895">
        <v>91991</v>
      </c>
      <c r="C1377" s="896" t="s">
        <v>596</v>
      </c>
      <c r="D1377" s="906" t="s">
        <v>1303</v>
      </c>
      <c r="E1377" s="907"/>
      <c r="F1377" s="908"/>
      <c r="G1377" s="912"/>
      <c r="H1377" s="901">
        <v>41.42</v>
      </c>
      <c r="I1377" s="901">
        <f t="shared" si="371"/>
        <v>41.42</v>
      </c>
      <c r="J1377" s="902">
        <f t="shared" si="372"/>
        <v>49.73</v>
      </c>
      <c r="K1377" s="903" t="s">
        <v>1516</v>
      </c>
      <c r="L1377" s="904">
        <f>ROUND(SUM('RES. CENTRAL PARK:RUA_FINAL'!L1377),2)</f>
        <v>0</v>
      </c>
      <c r="M1377" s="904">
        <f t="shared" si="373"/>
        <v>0</v>
      </c>
      <c r="N1377" s="893">
        <f t="shared" si="374"/>
        <v>0</v>
      </c>
      <c r="O1377" s="905"/>
      <c r="Q1377" s="317" t="str">
        <f t="shared" si="375"/>
        <v/>
      </c>
      <c r="R1377" s="317" t="str">
        <f t="shared" si="376"/>
        <v/>
      </c>
      <c r="S1377" s="317" t="str">
        <f t="shared" si="377"/>
        <v/>
      </c>
      <c r="V1377" s="314">
        <f>SUM('RES. CENTRAL PARK:RUA_FINAL'!N1377)</f>
        <v>0</v>
      </c>
      <c r="W1377" s="315">
        <f t="shared" si="378"/>
        <v>0</v>
      </c>
    </row>
    <row r="1378" spans="1:23" ht="30" hidden="1" customHeight="1" x14ac:dyDescent="0.2">
      <c r="A1378" s="63">
        <v>91992</v>
      </c>
      <c r="B1378" s="895">
        <v>91992</v>
      </c>
      <c r="C1378" s="896" t="s">
        <v>596</v>
      </c>
      <c r="D1378" s="906" t="s">
        <v>1304</v>
      </c>
      <c r="E1378" s="907"/>
      <c r="F1378" s="908"/>
      <c r="G1378" s="912"/>
      <c r="H1378" s="901">
        <v>48.1</v>
      </c>
      <c r="I1378" s="901">
        <f t="shared" si="371"/>
        <v>48.1</v>
      </c>
      <c r="J1378" s="902">
        <f t="shared" si="372"/>
        <v>57.75</v>
      </c>
      <c r="K1378" s="903" t="s">
        <v>1516</v>
      </c>
      <c r="L1378" s="904">
        <f>ROUND(SUM('RES. CENTRAL PARK:RUA_FINAL'!L1378),2)</f>
        <v>0</v>
      </c>
      <c r="M1378" s="904">
        <f t="shared" si="373"/>
        <v>0</v>
      </c>
      <c r="N1378" s="893">
        <f t="shared" si="374"/>
        <v>0</v>
      </c>
      <c r="O1378" s="905"/>
      <c r="Q1378" s="317" t="str">
        <f t="shared" si="375"/>
        <v/>
      </c>
      <c r="R1378" s="317" t="str">
        <f t="shared" si="376"/>
        <v/>
      </c>
      <c r="S1378" s="317" t="str">
        <f t="shared" si="377"/>
        <v/>
      </c>
      <c r="V1378" s="314">
        <f>SUM('RES. CENTRAL PARK:RUA_FINAL'!N1378)</f>
        <v>0</v>
      </c>
      <c r="W1378" s="315">
        <f t="shared" si="378"/>
        <v>0</v>
      </c>
    </row>
    <row r="1379" spans="1:23" ht="30" hidden="1" customHeight="1" x14ac:dyDescent="0.2">
      <c r="A1379" s="63">
        <v>91993</v>
      </c>
      <c r="B1379" s="895">
        <v>91993</v>
      </c>
      <c r="C1379" s="896" t="s">
        <v>596</v>
      </c>
      <c r="D1379" s="906" t="s">
        <v>1305</v>
      </c>
      <c r="E1379" s="907"/>
      <c r="F1379" s="908"/>
      <c r="G1379" s="912"/>
      <c r="H1379" s="901">
        <v>50.65</v>
      </c>
      <c r="I1379" s="901">
        <f t="shared" si="371"/>
        <v>50.65</v>
      </c>
      <c r="J1379" s="902">
        <f t="shared" si="372"/>
        <v>60.82</v>
      </c>
      <c r="K1379" s="903" t="s">
        <v>1516</v>
      </c>
      <c r="L1379" s="904">
        <f>ROUND(SUM('RES. CENTRAL PARK:RUA_FINAL'!L1379),2)</f>
        <v>0</v>
      </c>
      <c r="M1379" s="904">
        <f t="shared" si="373"/>
        <v>0</v>
      </c>
      <c r="N1379" s="893">
        <f t="shared" si="374"/>
        <v>0</v>
      </c>
      <c r="O1379" s="905"/>
      <c r="Q1379" s="317" t="str">
        <f t="shared" si="375"/>
        <v/>
      </c>
      <c r="R1379" s="317" t="str">
        <f t="shared" si="376"/>
        <v/>
      </c>
      <c r="S1379" s="317" t="str">
        <f t="shared" si="377"/>
        <v/>
      </c>
      <c r="V1379" s="314">
        <f>SUM('RES. CENTRAL PARK:RUA_FINAL'!N1379)</f>
        <v>0</v>
      </c>
      <c r="W1379" s="315">
        <f t="shared" si="378"/>
        <v>0</v>
      </c>
    </row>
    <row r="1380" spans="1:23" ht="30" hidden="1" customHeight="1" x14ac:dyDescent="0.2">
      <c r="A1380" s="63">
        <v>91994</v>
      </c>
      <c r="B1380" s="895">
        <v>91994</v>
      </c>
      <c r="C1380" s="896" t="s">
        <v>596</v>
      </c>
      <c r="D1380" s="906" t="s">
        <v>1306</v>
      </c>
      <c r="E1380" s="907"/>
      <c r="F1380" s="908"/>
      <c r="G1380" s="912"/>
      <c r="H1380" s="901">
        <v>27.58</v>
      </c>
      <c r="I1380" s="901">
        <f t="shared" si="371"/>
        <v>27.58</v>
      </c>
      <c r="J1380" s="902">
        <f t="shared" si="372"/>
        <v>33.119999999999997</v>
      </c>
      <c r="K1380" s="903" t="s">
        <v>1516</v>
      </c>
      <c r="L1380" s="904">
        <f>ROUND(SUM('RES. CENTRAL PARK:RUA_FINAL'!L1380),2)</f>
        <v>0</v>
      </c>
      <c r="M1380" s="904">
        <f t="shared" si="373"/>
        <v>0</v>
      </c>
      <c r="N1380" s="893">
        <f t="shared" si="374"/>
        <v>0</v>
      </c>
      <c r="O1380" s="905"/>
      <c r="Q1380" s="317" t="str">
        <f t="shared" si="375"/>
        <v/>
      </c>
      <c r="R1380" s="317" t="str">
        <f t="shared" si="376"/>
        <v/>
      </c>
      <c r="S1380" s="317" t="str">
        <f t="shared" si="377"/>
        <v/>
      </c>
      <c r="V1380" s="314">
        <f>SUM('RES. CENTRAL PARK:RUA_FINAL'!N1380)</f>
        <v>0</v>
      </c>
      <c r="W1380" s="315">
        <f t="shared" si="378"/>
        <v>0</v>
      </c>
    </row>
    <row r="1381" spans="1:23" ht="30" hidden="1" customHeight="1" x14ac:dyDescent="0.2">
      <c r="A1381" s="63">
        <v>91995</v>
      </c>
      <c r="B1381" s="895">
        <v>91995</v>
      </c>
      <c r="C1381" s="896" t="s">
        <v>596</v>
      </c>
      <c r="D1381" s="906" t="s">
        <v>1307</v>
      </c>
      <c r="E1381" s="907"/>
      <c r="F1381" s="908"/>
      <c r="G1381" s="912"/>
      <c r="H1381" s="901">
        <v>30.13</v>
      </c>
      <c r="I1381" s="901">
        <f t="shared" si="371"/>
        <v>30.13</v>
      </c>
      <c r="J1381" s="902">
        <f t="shared" si="372"/>
        <v>36.18</v>
      </c>
      <c r="K1381" s="903" t="s">
        <v>1516</v>
      </c>
      <c r="L1381" s="904">
        <f>ROUND(SUM('RES. CENTRAL PARK:RUA_FINAL'!L1381),2)</f>
        <v>0</v>
      </c>
      <c r="M1381" s="904">
        <f t="shared" si="373"/>
        <v>0</v>
      </c>
      <c r="N1381" s="893">
        <f t="shared" si="374"/>
        <v>0</v>
      </c>
      <c r="O1381" s="905"/>
      <c r="Q1381" s="317" t="str">
        <f t="shared" si="375"/>
        <v/>
      </c>
      <c r="R1381" s="317" t="str">
        <f t="shared" si="376"/>
        <v/>
      </c>
      <c r="S1381" s="317" t="str">
        <f t="shared" si="377"/>
        <v/>
      </c>
      <c r="V1381" s="314">
        <f>SUM('RES. CENTRAL PARK:RUA_FINAL'!N1381)</f>
        <v>0</v>
      </c>
      <c r="W1381" s="315">
        <f t="shared" si="378"/>
        <v>0</v>
      </c>
    </row>
    <row r="1382" spans="1:23" ht="30" hidden="1" customHeight="1" x14ac:dyDescent="0.2">
      <c r="A1382" s="63">
        <v>91996</v>
      </c>
      <c r="B1382" s="895">
        <v>91996</v>
      </c>
      <c r="C1382" s="896" t="s">
        <v>596</v>
      </c>
      <c r="D1382" s="906" t="s">
        <v>1308</v>
      </c>
      <c r="E1382" s="907"/>
      <c r="F1382" s="908"/>
      <c r="G1382" s="912"/>
      <c r="H1382" s="901">
        <v>36.81</v>
      </c>
      <c r="I1382" s="901">
        <f t="shared" si="371"/>
        <v>36.81</v>
      </c>
      <c r="J1382" s="902">
        <f t="shared" si="372"/>
        <v>44.2</v>
      </c>
      <c r="K1382" s="903" t="s">
        <v>1516</v>
      </c>
      <c r="L1382" s="904">
        <f>ROUND(SUM('RES. CENTRAL PARK:RUA_FINAL'!L1382),2)</f>
        <v>0</v>
      </c>
      <c r="M1382" s="904">
        <f t="shared" si="373"/>
        <v>0</v>
      </c>
      <c r="N1382" s="893">
        <f t="shared" si="374"/>
        <v>0</v>
      </c>
      <c r="O1382" s="905"/>
      <c r="Q1382" s="317" t="str">
        <f t="shared" si="375"/>
        <v/>
      </c>
      <c r="R1382" s="317" t="str">
        <f t="shared" si="376"/>
        <v/>
      </c>
      <c r="S1382" s="317" t="str">
        <f t="shared" si="377"/>
        <v/>
      </c>
      <c r="V1382" s="314">
        <f>SUM('RES. CENTRAL PARK:RUA_FINAL'!N1382)</f>
        <v>0</v>
      </c>
      <c r="W1382" s="315">
        <f t="shared" si="378"/>
        <v>0</v>
      </c>
    </row>
    <row r="1383" spans="1:23" ht="30" hidden="1" customHeight="1" x14ac:dyDescent="0.2">
      <c r="A1383" s="63">
        <v>91997</v>
      </c>
      <c r="B1383" s="895">
        <v>91997</v>
      </c>
      <c r="C1383" s="896" t="s">
        <v>596</v>
      </c>
      <c r="D1383" s="906" t="s">
        <v>1309</v>
      </c>
      <c r="E1383" s="907"/>
      <c r="F1383" s="908"/>
      <c r="G1383" s="912"/>
      <c r="H1383" s="901">
        <v>39.36</v>
      </c>
      <c r="I1383" s="901">
        <f t="shared" si="371"/>
        <v>39.36</v>
      </c>
      <c r="J1383" s="902">
        <f t="shared" si="372"/>
        <v>47.26</v>
      </c>
      <c r="K1383" s="903" t="s">
        <v>1516</v>
      </c>
      <c r="L1383" s="904">
        <f>ROUND(SUM('RES. CENTRAL PARK:RUA_FINAL'!L1383),2)</f>
        <v>0</v>
      </c>
      <c r="M1383" s="904">
        <f t="shared" si="373"/>
        <v>0</v>
      </c>
      <c r="N1383" s="893">
        <f t="shared" si="374"/>
        <v>0</v>
      </c>
      <c r="O1383" s="905"/>
      <c r="Q1383" s="317" t="str">
        <f t="shared" si="375"/>
        <v/>
      </c>
      <c r="R1383" s="317" t="str">
        <f t="shared" si="376"/>
        <v/>
      </c>
      <c r="S1383" s="317" t="str">
        <f t="shared" si="377"/>
        <v/>
      </c>
      <c r="V1383" s="314">
        <f>SUM('RES. CENTRAL PARK:RUA_FINAL'!N1383)</f>
        <v>0</v>
      </c>
      <c r="W1383" s="315">
        <f t="shared" si="378"/>
        <v>0</v>
      </c>
    </row>
    <row r="1384" spans="1:23" ht="30" hidden="1" customHeight="1" x14ac:dyDescent="0.2">
      <c r="A1384" s="63">
        <v>91998</v>
      </c>
      <c r="B1384" s="895">
        <v>91998</v>
      </c>
      <c r="C1384" s="896" t="s">
        <v>596</v>
      </c>
      <c r="D1384" s="906" t="s">
        <v>1310</v>
      </c>
      <c r="E1384" s="907"/>
      <c r="F1384" s="908"/>
      <c r="G1384" s="912"/>
      <c r="H1384" s="901">
        <v>23.2</v>
      </c>
      <c r="I1384" s="901">
        <f t="shared" si="371"/>
        <v>23.2</v>
      </c>
      <c r="J1384" s="902">
        <f t="shared" si="372"/>
        <v>27.86</v>
      </c>
      <c r="K1384" s="903" t="s">
        <v>1516</v>
      </c>
      <c r="L1384" s="904">
        <f>ROUND(SUM('RES. CENTRAL PARK:RUA_FINAL'!L1384),2)</f>
        <v>0</v>
      </c>
      <c r="M1384" s="904">
        <f t="shared" si="373"/>
        <v>0</v>
      </c>
      <c r="N1384" s="893">
        <f t="shared" si="374"/>
        <v>0</v>
      </c>
      <c r="O1384" s="905"/>
      <c r="Q1384" s="317" t="str">
        <f t="shared" si="375"/>
        <v/>
      </c>
      <c r="R1384" s="317" t="str">
        <f t="shared" si="376"/>
        <v/>
      </c>
      <c r="S1384" s="317" t="str">
        <f t="shared" si="377"/>
        <v/>
      </c>
      <c r="V1384" s="314">
        <f>SUM('RES. CENTRAL PARK:RUA_FINAL'!N1384)</f>
        <v>0</v>
      </c>
      <c r="W1384" s="315">
        <f t="shared" si="378"/>
        <v>0</v>
      </c>
    </row>
    <row r="1385" spans="1:23" ht="30" hidden="1" customHeight="1" x14ac:dyDescent="0.2">
      <c r="A1385" s="63">
        <v>91999</v>
      </c>
      <c r="B1385" s="895">
        <v>91999</v>
      </c>
      <c r="C1385" s="896" t="s">
        <v>596</v>
      </c>
      <c r="D1385" s="906" t="s">
        <v>1311</v>
      </c>
      <c r="E1385" s="907"/>
      <c r="F1385" s="908"/>
      <c r="G1385" s="912"/>
      <c r="H1385" s="901">
        <v>25.75</v>
      </c>
      <c r="I1385" s="901">
        <f t="shared" si="371"/>
        <v>25.75</v>
      </c>
      <c r="J1385" s="902">
        <f t="shared" si="372"/>
        <v>30.92</v>
      </c>
      <c r="K1385" s="903" t="s">
        <v>1516</v>
      </c>
      <c r="L1385" s="904">
        <f>ROUND(SUM('RES. CENTRAL PARK:RUA_FINAL'!L1385),2)</f>
        <v>0</v>
      </c>
      <c r="M1385" s="904">
        <f t="shared" si="373"/>
        <v>0</v>
      </c>
      <c r="N1385" s="893">
        <f t="shared" si="374"/>
        <v>0</v>
      </c>
      <c r="O1385" s="905"/>
      <c r="Q1385" s="317" t="str">
        <f t="shared" si="375"/>
        <v/>
      </c>
      <c r="R1385" s="317" t="str">
        <f t="shared" si="376"/>
        <v/>
      </c>
      <c r="S1385" s="317" t="str">
        <f t="shared" si="377"/>
        <v/>
      </c>
      <c r="V1385" s="314">
        <f>SUM('RES. CENTRAL PARK:RUA_FINAL'!N1385)</f>
        <v>0</v>
      </c>
      <c r="W1385" s="315">
        <f t="shared" si="378"/>
        <v>0</v>
      </c>
    </row>
    <row r="1386" spans="1:23" ht="30" hidden="1" customHeight="1" x14ac:dyDescent="0.2">
      <c r="A1386" s="63">
        <v>92000</v>
      </c>
      <c r="B1386" s="895">
        <v>92000</v>
      </c>
      <c r="C1386" s="896" t="s">
        <v>596</v>
      </c>
      <c r="D1386" s="906" t="s">
        <v>1312</v>
      </c>
      <c r="E1386" s="907"/>
      <c r="F1386" s="908"/>
      <c r="G1386" s="912"/>
      <c r="H1386" s="901">
        <v>32.43</v>
      </c>
      <c r="I1386" s="901">
        <f t="shared" si="371"/>
        <v>32.43</v>
      </c>
      <c r="J1386" s="902">
        <f t="shared" si="372"/>
        <v>38.94</v>
      </c>
      <c r="K1386" s="903" t="s">
        <v>1516</v>
      </c>
      <c r="L1386" s="904">
        <f>ROUND(SUM('RES. CENTRAL PARK:RUA_FINAL'!L1386),2)</f>
        <v>0</v>
      </c>
      <c r="M1386" s="904">
        <f t="shared" si="373"/>
        <v>0</v>
      </c>
      <c r="N1386" s="893">
        <f t="shared" si="374"/>
        <v>0</v>
      </c>
      <c r="O1386" s="905"/>
      <c r="Q1386" s="317" t="str">
        <f t="shared" si="375"/>
        <v/>
      </c>
      <c r="R1386" s="317" t="str">
        <f t="shared" si="376"/>
        <v/>
      </c>
      <c r="S1386" s="317" t="str">
        <f t="shared" si="377"/>
        <v/>
      </c>
      <c r="V1386" s="314">
        <f>SUM('RES. CENTRAL PARK:RUA_FINAL'!N1386)</f>
        <v>0</v>
      </c>
      <c r="W1386" s="315">
        <f t="shared" si="378"/>
        <v>0</v>
      </c>
    </row>
    <row r="1387" spans="1:23" ht="30" hidden="1" customHeight="1" x14ac:dyDescent="0.2">
      <c r="A1387" s="63">
        <v>92001</v>
      </c>
      <c r="B1387" s="895">
        <v>92001</v>
      </c>
      <c r="C1387" s="896" t="s">
        <v>596</v>
      </c>
      <c r="D1387" s="906" t="s">
        <v>1313</v>
      </c>
      <c r="E1387" s="907"/>
      <c r="F1387" s="908"/>
      <c r="G1387" s="912"/>
      <c r="H1387" s="901">
        <v>34.979999999999997</v>
      </c>
      <c r="I1387" s="901">
        <f t="shared" si="371"/>
        <v>34.979999999999997</v>
      </c>
      <c r="J1387" s="902">
        <f t="shared" si="372"/>
        <v>42</v>
      </c>
      <c r="K1387" s="903" t="s">
        <v>1516</v>
      </c>
      <c r="L1387" s="904">
        <f>ROUND(SUM('RES. CENTRAL PARK:RUA_FINAL'!L1387),2)</f>
        <v>0</v>
      </c>
      <c r="M1387" s="904">
        <f t="shared" si="373"/>
        <v>0</v>
      </c>
      <c r="N1387" s="893">
        <f t="shared" si="374"/>
        <v>0</v>
      </c>
      <c r="O1387" s="905"/>
      <c r="Q1387" s="317" t="str">
        <f t="shared" si="375"/>
        <v/>
      </c>
      <c r="R1387" s="317" t="str">
        <f t="shared" si="376"/>
        <v/>
      </c>
      <c r="S1387" s="317" t="str">
        <f t="shared" si="377"/>
        <v/>
      </c>
      <c r="V1387" s="314">
        <f>SUM('RES. CENTRAL PARK:RUA_FINAL'!N1387)</f>
        <v>0</v>
      </c>
      <c r="W1387" s="315">
        <f t="shared" si="378"/>
        <v>0</v>
      </c>
    </row>
    <row r="1388" spans="1:23" ht="30" hidden="1" customHeight="1" x14ac:dyDescent="0.2">
      <c r="A1388" s="63">
        <v>92002</v>
      </c>
      <c r="B1388" s="895">
        <v>92002</v>
      </c>
      <c r="C1388" s="896" t="s">
        <v>596</v>
      </c>
      <c r="D1388" s="906" t="s">
        <v>1314</v>
      </c>
      <c r="E1388" s="907"/>
      <c r="F1388" s="908"/>
      <c r="G1388" s="912"/>
      <c r="H1388" s="901">
        <v>51.51</v>
      </c>
      <c r="I1388" s="901">
        <f t="shared" si="371"/>
        <v>51.51</v>
      </c>
      <c r="J1388" s="902">
        <f t="shared" si="372"/>
        <v>61.85</v>
      </c>
      <c r="K1388" s="903" t="s">
        <v>1516</v>
      </c>
      <c r="L1388" s="904">
        <f>ROUND(SUM('RES. CENTRAL PARK:RUA_FINAL'!L1388),2)</f>
        <v>0</v>
      </c>
      <c r="M1388" s="904">
        <f t="shared" si="373"/>
        <v>0</v>
      </c>
      <c r="N1388" s="893">
        <f t="shared" si="374"/>
        <v>0</v>
      </c>
      <c r="O1388" s="905"/>
      <c r="Q1388" s="317" t="str">
        <f t="shared" si="375"/>
        <v/>
      </c>
      <c r="R1388" s="317" t="str">
        <f t="shared" si="376"/>
        <v/>
      </c>
      <c r="S1388" s="317" t="str">
        <f t="shared" si="377"/>
        <v/>
      </c>
      <c r="V1388" s="314">
        <f>SUM('RES. CENTRAL PARK:RUA_FINAL'!N1388)</f>
        <v>0</v>
      </c>
      <c r="W1388" s="315">
        <f t="shared" si="378"/>
        <v>0</v>
      </c>
    </row>
    <row r="1389" spans="1:23" ht="30" hidden="1" customHeight="1" x14ac:dyDescent="0.2">
      <c r="A1389" s="63">
        <v>92003</v>
      </c>
      <c r="B1389" s="895">
        <v>92003</v>
      </c>
      <c r="C1389" s="896" t="s">
        <v>596</v>
      </c>
      <c r="D1389" s="906" t="s">
        <v>1315</v>
      </c>
      <c r="E1389" s="907"/>
      <c r="F1389" s="908"/>
      <c r="G1389" s="912"/>
      <c r="H1389" s="901">
        <v>56.61</v>
      </c>
      <c r="I1389" s="901">
        <f t="shared" si="371"/>
        <v>56.61</v>
      </c>
      <c r="J1389" s="902">
        <f t="shared" si="372"/>
        <v>67.97</v>
      </c>
      <c r="K1389" s="903" t="s">
        <v>1516</v>
      </c>
      <c r="L1389" s="904">
        <f>ROUND(SUM('RES. CENTRAL PARK:RUA_FINAL'!L1389),2)</f>
        <v>0</v>
      </c>
      <c r="M1389" s="904">
        <f t="shared" si="373"/>
        <v>0</v>
      </c>
      <c r="N1389" s="893">
        <f t="shared" si="374"/>
        <v>0</v>
      </c>
      <c r="O1389" s="905"/>
      <c r="Q1389" s="317" t="str">
        <f t="shared" si="375"/>
        <v/>
      </c>
      <c r="R1389" s="317" t="str">
        <f t="shared" si="376"/>
        <v/>
      </c>
      <c r="S1389" s="317" t="str">
        <f t="shared" si="377"/>
        <v/>
      </c>
      <c r="V1389" s="314">
        <f>SUM('RES. CENTRAL PARK:RUA_FINAL'!N1389)</f>
        <v>0</v>
      </c>
      <c r="W1389" s="315">
        <f t="shared" si="378"/>
        <v>0</v>
      </c>
    </row>
    <row r="1390" spans="1:23" ht="30" hidden="1" customHeight="1" x14ac:dyDescent="0.2">
      <c r="A1390" s="63">
        <v>92004</v>
      </c>
      <c r="B1390" s="895">
        <v>92004</v>
      </c>
      <c r="C1390" s="896" t="s">
        <v>596</v>
      </c>
      <c r="D1390" s="906" t="s">
        <v>1316</v>
      </c>
      <c r="E1390" s="907"/>
      <c r="F1390" s="908"/>
      <c r="G1390" s="912"/>
      <c r="H1390" s="901">
        <v>60.74</v>
      </c>
      <c r="I1390" s="901">
        <f t="shared" si="371"/>
        <v>60.74</v>
      </c>
      <c r="J1390" s="902">
        <f t="shared" si="372"/>
        <v>72.930000000000007</v>
      </c>
      <c r="K1390" s="903" t="s">
        <v>1516</v>
      </c>
      <c r="L1390" s="904">
        <f>ROUND(SUM('RES. CENTRAL PARK:RUA_FINAL'!L1390),2)</f>
        <v>0</v>
      </c>
      <c r="M1390" s="904">
        <f t="shared" si="373"/>
        <v>0</v>
      </c>
      <c r="N1390" s="893">
        <f t="shared" si="374"/>
        <v>0</v>
      </c>
      <c r="O1390" s="905"/>
      <c r="Q1390" s="317" t="str">
        <f t="shared" si="375"/>
        <v/>
      </c>
      <c r="R1390" s="317" t="str">
        <f t="shared" si="376"/>
        <v/>
      </c>
      <c r="S1390" s="317" t="str">
        <f t="shared" si="377"/>
        <v/>
      </c>
      <c r="V1390" s="314">
        <f>SUM('RES. CENTRAL PARK:RUA_FINAL'!N1390)</f>
        <v>0</v>
      </c>
      <c r="W1390" s="315">
        <f t="shared" si="378"/>
        <v>0</v>
      </c>
    </row>
    <row r="1391" spans="1:23" ht="30" hidden="1" customHeight="1" x14ac:dyDescent="0.2">
      <c r="A1391" s="63">
        <v>92005</v>
      </c>
      <c r="B1391" s="895">
        <v>92005</v>
      </c>
      <c r="C1391" s="896" t="s">
        <v>596</v>
      </c>
      <c r="D1391" s="906" t="s">
        <v>1317</v>
      </c>
      <c r="E1391" s="907"/>
      <c r="F1391" s="908"/>
      <c r="G1391" s="912"/>
      <c r="H1391" s="901">
        <v>65.84</v>
      </c>
      <c r="I1391" s="901">
        <f t="shared" si="371"/>
        <v>65.84</v>
      </c>
      <c r="J1391" s="902">
        <f t="shared" si="372"/>
        <v>79.05</v>
      </c>
      <c r="K1391" s="903" t="s">
        <v>1516</v>
      </c>
      <c r="L1391" s="904">
        <f>ROUND(SUM('RES. CENTRAL PARK:RUA_FINAL'!L1391),2)</f>
        <v>0</v>
      </c>
      <c r="M1391" s="904">
        <f t="shared" si="373"/>
        <v>0</v>
      </c>
      <c r="N1391" s="893">
        <f t="shared" si="374"/>
        <v>0</v>
      </c>
      <c r="O1391" s="905"/>
      <c r="Q1391" s="317" t="str">
        <f t="shared" si="375"/>
        <v/>
      </c>
      <c r="R1391" s="317" t="str">
        <f t="shared" si="376"/>
        <v/>
      </c>
      <c r="S1391" s="317" t="str">
        <f t="shared" si="377"/>
        <v/>
      </c>
      <c r="V1391" s="314">
        <f>SUM('RES. CENTRAL PARK:RUA_FINAL'!N1391)</f>
        <v>0</v>
      </c>
      <c r="W1391" s="315">
        <f t="shared" si="378"/>
        <v>0</v>
      </c>
    </row>
    <row r="1392" spans="1:23" ht="30" hidden="1" customHeight="1" x14ac:dyDescent="0.2">
      <c r="A1392" s="63">
        <v>92006</v>
      </c>
      <c r="B1392" s="895">
        <v>92006</v>
      </c>
      <c r="C1392" s="896" t="s">
        <v>596</v>
      </c>
      <c r="D1392" s="906" t="s">
        <v>1318</v>
      </c>
      <c r="E1392" s="907"/>
      <c r="F1392" s="908"/>
      <c r="G1392" s="912"/>
      <c r="H1392" s="901">
        <v>42.75</v>
      </c>
      <c r="I1392" s="901">
        <f t="shared" si="371"/>
        <v>42.75</v>
      </c>
      <c r="J1392" s="902">
        <f t="shared" si="372"/>
        <v>51.33</v>
      </c>
      <c r="K1392" s="903" t="s">
        <v>1516</v>
      </c>
      <c r="L1392" s="904">
        <f>ROUND(SUM('RES. CENTRAL PARK:RUA_FINAL'!L1392),2)</f>
        <v>0</v>
      </c>
      <c r="M1392" s="904">
        <f t="shared" si="373"/>
        <v>0</v>
      </c>
      <c r="N1392" s="893">
        <f t="shared" si="374"/>
        <v>0</v>
      </c>
      <c r="O1392" s="905"/>
      <c r="Q1392" s="317" t="str">
        <f t="shared" si="375"/>
        <v/>
      </c>
      <c r="R1392" s="317" t="str">
        <f t="shared" si="376"/>
        <v/>
      </c>
      <c r="S1392" s="317" t="str">
        <f t="shared" si="377"/>
        <v/>
      </c>
      <c r="V1392" s="314">
        <f>SUM('RES. CENTRAL PARK:RUA_FINAL'!N1392)</f>
        <v>0</v>
      </c>
      <c r="W1392" s="315">
        <f t="shared" si="378"/>
        <v>0</v>
      </c>
    </row>
    <row r="1393" spans="1:23" ht="30" hidden="1" customHeight="1" x14ac:dyDescent="0.2">
      <c r="A1393" s="63">
        <v>92007</v>
      </c>
      <c r="B1393" s="895">
        <v>92007</v>
      </c>
      <c r="C1393" s="896" t="s">
        <v>596</v>
      </c>
      <c r="D1393" s="906" t="s">
        <v>1319</v>
      </c>
      <c r="E1393" s="907"/>
      <c r="F1393" s="908"/>
      <c r="G1393" s="912"/>
      <c r="H1393" s="901">
        <v>47.85</v>
      </c>
      <c r="I1393" s="901">
        <f t="shared" si="371"/>
        <v>47.85</v>
      </c>
      <c r="J1393" s="902">
        <f t="shared" si="372"/>
        <v>57.45</v>
      </c>
      <c r="K1393" s="903" t="s">
        <v>1516</v>
      </c>
      <c r="L1393" s="904">
        <f>ROUND(SUM('RES. CENTRAL PARK:RUA_FINAL'!L1393),2)</f>
        <v>0</v>
      </c>
      <c r="M1393" s="904">
        <f t="shared" si="373"/>
        <v>0</v>
      </c>
      <c r="N1393" s="893">
        <f t="shared" si="374"/>
        <v>0</v>
      </c>
      <c r="O1393" s="905"/>
      <c r="Q1393" s="317" t="str">
        <f t="shared" si="375"/>
        <v/>
      </c>
      <c r="R1393" s="317" t="str">
        <f t="shared" si="376"/>
        <v/>
      </c>
      <c r="S1393" s="317" t="str">
        <f t="shared" si="377"/>
        <v/>
      </c>
      <c r="V1393" s="314">
        <f>SUM('RES. CENTRAL PARK:RUA_FINAL'!N1393)</f>
        <v>0</v>
      </c>
      <c r="W1393" s="315">
        <f t="shared" si="378"/>
        <v>0</v>
      </c>
    </row>
    <row r="1394" spans="1:23" ht="30" hidden="1" customHeight="1" x14ac:dyDescent="0.2">
      <c r="A1394" s="63">
        <v>92008</v>
      </c>
      <c r="B1394" s="895">
        <v>92008</v>
      </c>
      <c r="C1394" s="896" t="s">
        <v>596</v>
      </c>
      <c r="D1394" s="906" t="s">
        <v>1320</v>
      </c>
      <c r="E1394" s="907"/>
      <c r="F1394" s="908"/>
      <c r="G1394" s="912"/>
      <c r="H1394" s="901">
        <v>51.98</v>
      </c>
      <c r="I1394" s="901">
        <f t="shared" si="371"/>
        <v>51.98</v>
      </c>
      <c r="J1394" s="902">
        <f t="shared" si="372"/>
        <v>62.41</v>
      </c>
      <c r="K1394" s="903" t="s">
        <v>1516</v>
      </c>
      <c r="L1394" s="904">
        <f>ROUND(SUM('RES. CENTRAL PARK:RUA_FINAL'!L1394),2)</f>
        <v>0</v>
      </c>
      <c r="M1394" s="904">
        <f t="shared" si="373"/>
        <v>0</v>
      </c>
      <c r="N1394" s="893">
        <f t="shared" si="374"/>
        <v>0</v>
      </c>
      <c r="O1394" s="905"/>
      <c r="Q1394" s="317" t="str">
        <f t="shared" si="375"/>
        <v/>
      </c>
      <c r="R1394" s="317" t="str">
        <f t="shared" si="376"/>
        <v/>
      </c>
      <c r="S1394" s="317" t="str">
        <f t="shared" si="377"/>
        <v/>
      </c>
      <c r="V1394" s="314">
        <f>SUM('RES. CENTRAL PARK:RUA_FINAL'!N1394)</f>
        <v>0</v>
      </c>
      <c r="W1394" s="315">
        <f t="shared" si="378"/>
        <v>0</v>
      </c>
    </row>
    <row r="1395" spans="1:23" ht="30" hidden="1" customHeight="1" x14ac:dyDescent="0.2">
      <c r="A1395" s="63">
        <v>92009</v>
      </c>
      <c r="B1395" s="895">
        <v>92009</v>
      </c>
      <c r="C1395" s="896" t="s">
        <v>596</v>
      </c>
      <c r="D1395" s="906" t="s">
        <v>1321</v>
      </c>
      <c r="E1395" s="907"/>
      <c r="F1395" s="908"/>
      <c r="G1395" s="912"/>
      <c r="H1395" s="901">
        <v>57.08</v>
      </c>
      <c r="I1395" s="901">
        <f t="shared" si="371"/>
        <v>57.08</v>
      </c>
      <c r="J1395" s="902">
        <f t="shared" si="372"/>
        <v>68.540000000000006</v>
      </c>
      <c r="K1395" s="903" t="s">
        <v>1516</v>
      </c>
      <c r="L1395" s="904">
        <f>ROUND(SUM('RES. CENTRAL PARK:RUA_FINAL'!L1395),2)</f>
        <v>0</v>
      </c>
      <c r="M1395" s="904">
        <f t="shared" si="373"/>
        <v>0</v>
      </c>
      <c r="N1395" s="893">
        <f t="shared" si="374"/>
        <v>0</v>
      </c>
      <c r="O1395" s="905"/>
      <c r="Q1395" s="317" t="str">
        <f t="shared" si="375"/>
        <v/>
      </c>
      <c r="R1395" s="317" t="str">
        <f t="shared" si="376"/>
        <v/>
      </c>
      <c r="S1395" s="317" t="str">
        <f t="shared" si="377"/>
        <v/>
      </c>
      <c r="V1395" s="314">
        <f>SUM('RES. CENTRAL PARK:RUA_FINAL'!N1395)</f>
        <v>0</v>
      </c>
      <c r="W1395" s="315">
        <f t="shared" si="378"/>
        <v>0</v>
      </c>
    </row>
    <row r="1396" spans="1:23" ht="30" hidden="1" customHeight="1" x14ac:dyDescent="0.2">
      <c r="A1396" s="63">
        <v>92010</v>
      </c>
      <c r="B1396" s="895">
        <v>92010</v>
      </c>
      <c r="C1396" s="896" t="s">
        <v>596</v>
      </c>
      <c r="D1396" s="906" t="s">
        <v>1322</v>
      </c>
      <c r="E1396" s="907"/>
      <c r="F1396" s="908"/>
      <c r="G1396" s="912"/>
      <c r="H1396" s="901">
        <v>75.45</v>
      </c>
      <c r="I1396" s="901">
        <f t="shared" si="371"/>
        <v>75.45</v>
      </c>
      <c r="J1396" s="902">
        <f t="shared" si="372"/>
        <v>90.59</v>
      </c>
      <c r="K1396" s="903" t="s">
        <v>1516</v>
      </c>
      <c r="L1396" s="904">
        <f>ROUND(SUM('RES. CENTRAL PARK:RUA_FINAL'!L1396),2)</f>
        <v>0</v>
      </c>
      <c r="M1396" s="904">
        <f t="shared" si="373"/>
        <v>0</v>
      </c>
      <c r="N1396" s="893">
        <f t="shared" si="374"/>
        <v>0</v>
      </c>
      <c r="O1396" s="905"/>
      <c r="Q1396" s="317" t="str">
        <f t="shared" si="375"/>
        <v/>
      </c>
      <c r="R1396" s="317" t="str">
        <f t="shared" si="376"/>
        <v/>
      </c>
      <c r="S1396" s="317" t="str">
        <f t="shared" si="377"/>
        <v/>
      </c>
      <c r="V1396" s="314">
        <f>SUM('RES. CENTRAL PARK:RUA_FINAL'!N1396)</f>
        <v>0</v>
      </c>
      <c r="W1396" s="315">
        <f t="shared" si="378"/>
        <v>0</v>
      </c>
    </row>
    <row r="1397" spans="1:23" ht="30" hidden="1" customHeight="1" x14ac:dyDescent="0.2">
      <c r="A1397" s="63">
        <v>92011</v>
      </c>
      <c r="B1397" s="895">
        <v>92011</v>
      </c>
      <c r="C1397" s="896" t="s">
        <v>596</v>
      </c>
      <c r="D1397" s="906" t="s">
        <v>1323</v>
      </c>
      <c r="E1397" s="907"/>
      <c r="F1397" s="908"/>
      <c r="G1397" s="912"/>
      <c r="H1397" s="901">
        <v>83.1</v>
      </c>
      <c r="I1397" s="901">
        <f t="shared" si="371"/>
        <v>83.1</v>
      </c>
      <c r="J1397" s="902">
        <f t="shared" si="372"/>
        <v>99.78</v>
      </c>
      <c r="K1397" s="903" t="s">
        <v>1516</v>
      </c>
      <c r="L1397" s="904">
        <f>ROUND(SUM('RES. CENTRAL PARK:RUA_FINAL'!L1397),2)</f>
        <v>0</v>
      </c>
      <c r="M1397" s="904">
        <f t="shared" si="373"/>
        <v>0</v>
      </c>
      <c r="N1397" s="893">
        <f t="shared" si="374"/>
        <v>0</v>
      </c>
      <c r="O1397" s="905"/>
      <c r="Q1397" s="317" t="str">
        <f t="shared" si="375"/>
        <v/>
      </c>
      <c r="R1397" s="317" t="str">
        <f t="shared" si="376"/>
        <v/>
      </c>
      <c r="S1397" s="317" t="str">
        <f t="shared" si="377"/>
        <v/>
      </c>
      <c r="V1397" s="314">
        <f>SUM('RES. CENTRAL PARK:RUA_FINAL'!N1397)</f>
        <v>0</v>
      </c>
      <c r="W1397" s="315">
        <f t="shared" si="378"/>
        <v>0</v>
      </c>
    </row>
    <row r="1398" spans="1:23" ht="30" hidden="1" customHeight="1" x14ac:dyDescent="0.2">
      <c r="A1398" s="63">
        <v>92012</v>
      </c>
      <c r="B1398" s="895">
        <v>92012</v>
      </c>
      <c r="C1398" s="896" t="s">
        <v>596</v>
      </c>
      <c r="D1398" s="906" t="s">
        <v>1324</v>
      </c>
      <c r="E1398" s="907"/>
      <c r="F1398" s="908"/>
      <c r="G1398" s="912"/>
      <c r="H1398" s="901">
        <v>84.68</v>
      </c>
      <c r="I1398" s="901">
        <f t="shared" si="371"/>
        <v>84.68</v>
      </c>
      <c r="J1398" s="902">
        <f t="shared" si="372"/>
        <v>101.68</v>
      </c>
      <c r="K1398" s="903" t="s">
        <v>1516</v>
      </c>
      <c r="L1398" s="904">
        <f>ROUND(SUM('RES. CENTRAL PARK:RUA_FINAL'!L1398),2)</f>
        <v>0</v>
      </c>
      <c r="M1398" s="904">
        <f t="shared" si="373"/>
        <v>0</v>
      </c>
      <c r="N1398" s="893">
        <f t="shared" si="374"/>
        <v>0</v>
      </c>
      <c r="O1398" s="905"/>
      <c r="Q1398" s="317" t="str">
        <f t="shared" si="375"/>
        <v/>
      </c>
      <c r="R1398" s="317" t="str">
        <f t="shared" si="376"/>
        <v/>
      </c>
      <c r="S1398" s="317" t="str">
        <f t="shared" si="377"/>
        <v/>
      </c>
      <c r="V1398" s="314">
        <f>SUM('RES. CENTRAL PARK:RUA_FINAL'!N1398)</f>
        <v>0</v>
      </c>
      <c r="W1398" s="315">
        <f t="shared" si="378"/>
        <v>0</v>
      </c>
    </row>
    <row r="1399" spans="1:23" ht="30" hidden="1" customHeight="1" x14ac:dyDescent="0.2">
      <c r="A1399" s="63">
        <v>92013</v>
      </c>
      <c r="B1399" s="895">
        <v>92013</v>
      </c>
      <c r="C1399" s="896" t="s">
        <v>596</v>
      </c>
      <c r="D1399" s="906" t="s">
        <v>1325</v>
      </c>
      <c r="E1399" s="907"/>
      <c r="F1399" s="908"/>
      <c r="G1399" s="912"/>
      <c r="H1399" s="901">
        <v>92.33</v>
      </c>
      <c r="I1399" s="901">
        <f t="shared" si="371"/>
        <v>92.33</v>
      </c>
      <c r="J1399" s="902">
        <f t="shared" si="372"/>
        <v>110.86</v>
      </c>
      <c r="K1399" s="903" t="s">
        <v>1516</v>
      </c>
      <c r="L1399" s="904">
        <f>ROUND(SUM('RES. CENTRAL PARK:RUA_FINAL'!L1399),2)</f>
        <v>0</v>
      </c>
      <c r="M1399" s="904">
        <f t="shared" si="373"/>
        <v>0</v>
      </c>
      <c r="N1399" s="893">
        <f t="shared" si="374"/>
        <v>0</v>
      </c>
      <c r="O1399" s="905"/>
      <c r="Q1399" s="317" t="str">
        <f t="shared" si="375"/>
        <v/>
      </c>
      <c r="R1399" s="317" t="str">
        <f t="shared" si="376"/>
        <v/>
      </c>
      <c r="S1399" s="317" t="str">
        <f t="shared" si="377"/>
        <v/>
      </c>
      <c r="V1399" s="314">
        <f>SUM('RES. CENTRAL PARK:RUA_FINAL'!N1399)</f>
        <v>0</v>
      </c>
      <c r="W1399" s="315">
        <f t="shared" si="378"/>
        <v>0</v>
      </c>
    </row>
    <row r="1400" spans="1:23" ht="30" hidden="1" customHeight="1" x14ac:dyDescent="0.2">
      <c r="A1400" s="63">
        <v>92014</v>
      </c>
      <c r="B1400" s="895">
        <v>92014</v>
      </c>
      <c r="C1400" s="896" t="s">
        <v>596</v>
      </c>
      <c r="D1400" s="906" t="s">
        <v>1326</v>
      </c>
      <c r="E1400" s="907"/>
      <c r="F1400" s="908"/>
      <c r="G1400" s="912"/>
      <c r="H1400" s="901">
        <v>62.3</v>
      </c>
      <c r="I1400" s="901">
        <f t="shared" si="371"/>
        <v>62.3</v>
      </c>
      <c r="J1400" s="902">
        <f t="shared" si="372"/>
        <v>74.8</v>
      </c>
      <c r="K1400" s="903" t="s">
        <v>1516</v>
      </c>
      <c r="L1400" s="904">
        <f>ROUND(SUM('RES. CENTRAL PARK:RUA_FINAL'!L1400),2)</f>
        <v>0</v>
      </c>
      <c r="M1400" s="904">
        <f t="shared" si="373"/>
        <v>0</v>
      </c>
      <c r="N1400" s="893">
        <f t="shared" si="374"/>
        <v>0</v>
      </c>
      <c r="O1400" s="905"/>
      <c r="Q1400" s="317" t="str">
        <f t="shared" si="375"/>
        <v/>
      </c>
      <c r="R1400" s="317" t="str">
        <f t="shared" si="376"/>
        <v/>
      </c>
      <c r="S1400" s="317" t="str">
        <f t="shared" si="377"/>
        <v/>
      </c>
      <c r="V1400" s="314">
        <f>SUM('RES. CENTRAL PARK:RUA_FINAL'!N1400)</f>
        <v>0</v>
      </c>
      <c r="W1400" s="315">
        <f t="shared" si="378"/>
        <v>0</v>
      </c>
    </row>
    <row r="1401" spans="1:23" ht="30" hidden="1" customHeight="1" x14ac:dyDescent="0.2">
      <c r="A1401" s="63">
        <v>92015</v>
      </c>
      <c r="B1401" s="895">
        <v>92015</v>
      </c>
      <c r="C1401" s="896" t="s">
        <v>596</v>
      </c>
      <c r="D1401" s="906" t="s">
        <v>1327</v>
      </c>
      <c r="E1401" s="907"/>
      <c r="F1401" s="908"/>
      <c r="G1401" s="912"/>
      <c r="H1401" s="901">
        <v>69.95</v>
      </c>
      <c r="I1401" s="901">
        <f t="shared" si="371"/>
        <v>69.95</v>
      </c>
      <c r="J1401" s="902">
        <f t="shared" si="372"/>
        <v>83.99</v>
      </c>
      <c r="K1401" s="903" t="s">
        <v>1516</v>
      </c>
      <c r="L1401" s="904">
        <f>ROUND(SUM('RES. CENTRAL PARK:RUA_FINAL'!L1401),2)</f>
        <v>0</v>
      </c>
      <c r="M1401" s="904">
        <f t="shared" si="373"/>
        <v>0</v>
      </c>
      <c r="N1401" s="893">
        <f t="shared" si="374"/>
        <v>0</v>
      </c>
      <c r="O1401" s="905"/>
      <c r="Q1401" s="317" t="str">
        <f t="shared" si="375"/>
        <v/>
      </c>
      <c r="R1401" s="317" t="str">
        <f t="shared" si="376"/>
        <v/>
      </c>
      <c r="S1401" s="317" t="str">
        <f t="shared" si="377"/>
        <v/>
      </c>
      <c r="V1401" s="314">
        <f>SUM('RES. CENTRAL PARK:RUA_FINAL'!N1401)</f>
        <v>0</v>
      </c>
      <c r="W1401" s="315">
        <f t="shared" si="378"/>
        <v>0</v>
      </c>
    </row>
    <row r="1402" spans="1:23" ht="30" hidden="1" customHeight="1" x14ac:dyDescent="0.2">
      <c r="A1402" s="63">
        <v>92016</v>
      </c>
      <c r="B1402" s="895">
        <v>92016</v>
      </c>
      <c r="C1402" s="896" t="s">
        <v>596</v>
      </c>
      <c r="D1402" s="906" t="s">
        <v>1328</v>
      </c>
      <c r="E1402" s="907"/>
      <c r="F1402" s="908"/>
      <c r="G1402" s="912"/>
      <c r="H1402" s="901">
        <v>71.53</v>
      </c>
      <c r="I1402" s="901">
        <f t="shared" si="371"/>
        <v>71.53</v>
      </c>
      <c r="J1402" s="902">
        <f t="shared" si="372"/>
        <v>85.89</v>
      </c>
      <c r="K1402" s="903" t="s">
        <v>1516</v>
      </c>
      <c r="L1402" s="904">
        <f>ROUND(SUM('RES. CENTRAL PARK:RUA_FINAL'!L1402),2)</f>
        <v>0</v>
      </c>
      <c r="M1402" s="904">
        <f t="shared" si="373"/>
        <v>0</v>
      </c>
      <c r="N1402" s="893">
        <f t="shared" si="374"/>
        <v>0</v>
      </c>
      <c r="O1402" s="905"/>
      <c r="Q1402" s="317" t="str">
        <f t="shared" si="375"/>
        <v/>
      </c>
      <c r="R1402" s="317" t="str">
        <f t="shared" si="376"/>
        <v/>
      </c>
      <c r="S1402" s="317" t="str">
        <f t="shared" si="377"/>
        <v/>
      </c>
      <c r="V1402" s="314">
        <f>SUM('RES. CENTRAL PARK:RUA_FINAL'!N1402)</f>
        <v>0</v>
      </c>
      <c r="W1402" s="315">
        <f t="shared" si="378"/>
        <v>0</v>
      </c>
    </row>
    <row r="1403" spans="1:23" ht="30" hidden="1" customHeight="1" x14ac:dyDescent="0.2">
      <c r="A1403" s="63">
        <v>92017</v>
      </c>
      <c r="B1403" s="895">
        <v>92017</v>
      </c>
      <c r="C1403" s="896" t="s">
        <v>596</v>
      </c>
      <c r="D1403" s="906" t="s">
        <v>1329</v>
      </c>
      <c r="E1403" s="907"/>
      <c r="F1403" s="908"/>
      <c r="G1403" s="912"/>
      <c r="H1403" s="901">
        <v>79.180000000000007</v>
      </c>
      <c r="I1403" s="901">
        <f t="shared" si="371"/>
        <v>79.180000000000007</v>
      </c>
      <c r="J1403" s="902">
        <f t="shared" si="372"/>
        <v>95.07</v>
      </c>
      <c r="K1403" s="903" t="s">
        <v>1516</v>
      </c>
      <c r="L1403" s="904">
        <f>ROUND(SUM('RES. CENTRAL PARK:RUA_FINAL'!L1403),2)</f>
        <v>0</v>
      </c>
      <c r="M1403" s="904">
        <f t="shared" si="373"/>
        <v>0</v>
      </c>
      <c r="N1403" s="893">
        <f t="shared" si="374"/>
        <v>0</v>
      </c>
      <c r="O1403" s="905"/>
      <c r="Q1403" s="317" t="str">
        <f t="shared" si="375"/>
        <v/>
      </c>
      <c r="R1403" s="317" t="str">
        <f t="shared" si="376"/>
        <v/>
      </c>
      <c r="S1403" s="317" t="str">
        <f t="shared" si="377"/>
        <v/>
      </c>
      <c r="V1403" s="314">
        <f>SUM('RES. CENTRAL PARK:RUA_FINAL'!N1403)</f>
        <v>0</v>
      </c>
      <c r="W1403" s="315">
        <f t="shared" si="378"/>
        <v>0</v>
      </c>
    </row>
    <row r="1404" spans="1:23" ht="30" hidden="1" customHeight="1" x14ac:dyDescent="0.2">
      <c r="A1404" s="63">
        <v>92018</v>
      </c>
      <c r="B1404" s="895">
        <v>92018</v>
      </c>
      <c r="C1404" s="896" t="s">
        <v>596</v>
      </c>
      <c r="D1404" s="906" t="s">
        <v>1330</v>
      </c>
      <c r="E1404" s="907"/>
      <c r="F1404" s="908"/>
      <c r="G1404" s="912"/>
      <c r="H1404" s="901">
        <v>82.46</v>
      </c>
      <c r="I1404" s="901">
        <f t="shared" si="371"/>
        <v>82.46</v>
      </c>
      <c r="J1404" s="902">
        <f t="shared" si="372"/>
        <v>99.01</v>
      </c>
      <c r="K1404" s="903" t="s">
        <v>1516</v>
      </c>
      <c r="L1404" s="904">
        <f>ROUND(SUM('RES. CENTRAL PARK:RUA_FINAL'!L1404),2)</f>
        <v>0</v>
      </c>
      <c r="M1404" s="904">
        <f t="shared" si="373"/>
        <v>0</v>
      </c>
      <c r="N1404" s="893">
        <f t="shared" si="374"/>
        <v>0</v>
      </c>
      <c r="O1404" s="905"/>
      <c r="Q1404" s="317" t="str">
        <f t="shared" si="375"/>
        <v/>
      </c>
      <c r="R1404" s="317" t="str">
        <f t="shared" si="376"/>
        <v/>
      </c>
      <c r="S1404" s="317" t="str">
        <f t="shared" si="377"/>
        <v/>
      </c>
      <c r="V1404" s="314">
        <f>SUM('RES. CENTRAL PARK:RUA_FINAL'!N1404)</f>
        <v>0</v>
      </c>
      <c r="W1404" s="315">
        <f t="shared" si="378"/>
        <v>0</v>
      </c>
    </row>
    <row r="1405" spans="1:23" ht="30" hidden="1" customHeight="1" x14ac:dyDescent="0.2">
      <c r="A1405" s="63">
        <v>92019</v>
      </c>
      <c r="B1405" s="895">
        <v>92019</v>
      </c>
      <c r="C1405" s="896" t="s">
        <v>596</v>
      </c>
      <c r="D1405" s="906" t="s">
        <v>1331</v>
      </c>
      <c r="E1405" s="907"/>
      <c r="F1405" s="908"/>
      <c r="G1405" s="912"/>
      <c r="H1405" s="901">
        <v>97.04</v>
      </c>
      <c r="I1405" s="901">
        <f t="shared" si="371"/>
        <v>97.04</v>
      </c>
      <c r="J1405" s="902">
        <f t="shared" si="372"/>
        <v>116.52</v>
      </c>
      <c r="K1405" s="903" t="s">
        <v>1516</v>
      </c>
      <c r="L1405" s="904">
        <f>ROUND(SUM('RES. CENTRAL PARK:RUA_FINAL'!L1405),2)</f>
        <v>0</v>
      </c>
      <c r="M1405" s="904">
        <f t="shared" si="373"/>
        <v>0</v>
      </c>
      <c r="N1405" s="893">
        <f t="shared" si="374"/>
        <v>0</v>
      </c>
      <c r="O1405" s="905"/>
      <c r="Q1405" s="317" t="str">
        <f t="shared" si="375"/>
        <v/>
      </c>
      <c r="R1405" s="317" t="str">
        <f t="shared" si="376"/>
        <v/>
      </c>
      <c r="S1405" s="317" t="str">
        <f t="shared" si="377"/>
        <v/>
      </c>
      <c r="V1405" s="314">
        <f>SUM('RES. CENTRAL PARK:RUA_FINAL'!N1405)</f>
        <v>0</v>
      </c>
      <c r="W1405" s="315">
        <f t="shared" si="378"/>
        <v>0</v>
      </c>
    </row>
    <row r="1406" spans="1:23" ht="30" hidden="1" customHeight="1" x14ac:dyDescent="0.2">
      <c r="A1406" s="63">
        <v>92020</v>
      </c>
      <c r="B1406" s="895">
        <v>92020</v>
      </c>
      <c r="C1406" s="896" t="s">
        <v>596</v>
      </c>
      <c r="D1406" s="906" t="s">
        <v>1332</v>
      </c>
      <c r="E1406" s="907"/>
      <c r="F1406" s="908"/>
      <c r="G1406" s="912"/>
      <c r="H1406" s="901">
        <v>121.86</v>
      </c>
      <c r="I1406" s="901">
        <f t="shared" si="371"/>
        <v>121.86</v>
      </c>
      <c r="J1406" s="902">
        <f t="shared" si="372"/>
        <v>146.32</v>
      </c>
      <c r="K1406" s="903" t="s">
        <v>1516</v>
      </c>
      <c r="L1406" s="904">
        <f>ROUND(SUM('RES. CENTRAL PARK:RUA_FINAL'!L1406),2)</f>
        <v>0</v>
      </c>
      <c r="M1406" s="904">
        <f t="shared" si="373"/>
        <v>0</v>
      </c>
      <c r="N1406" s="893">
        <f t="shared" si="374"/>
        <v>0</v>
      </c>
      <c r="O1406" s="905"/>
      <c r="Q1406" s="317" t="str">
        <f t="shared" si="375"/>
        <v/>
      </c>
      <c r="R1406" s="317" t="str">
        <f t="shared" si="376"/>
        <v/>
      </c>
      <c r="S1406" s="317" t="str">
        <f t="shared" si="377"/>
        <v/>
      </c>
      <c r="V1406" s="314">
        <f>SUM('RES. CENTRAL PARK:RUA_FINAL'!N1406)</f>
        <v>0</v>
      </c>
      <c r="W1406" s="315">
        <f t="shared" si="378"/>
        <v>0</v>
      </c>
    </row>
    <row r="1407" spans="1:23" ht="30" hidden="1" customHeight="1" x14ac:dyDescent="0.2">
      <c r="A1407" s="63">
        <v>92021</v>
      </c>
      <c r="B1407" s="895">
        <v>92021</v>
      </c>
      <c r="C1407" s="896" t="s">
        <v>596</v>
      </c>
      <c r="D1407" s="906" t="s">
        <v>1333</v>
      </c>
      <c r="E1407" s="907"/>
      <c r="F1407" s="908"/>
      <c r="G1407" s="912"/>
      <c r="H1407" s="901">
        <v>136.44</v>
      </c>
      <c r="I1407" s="901">
        <f t="shared" si="371"/>
        <v>136.44</v>
      </c>
      <c r="J1407" s="902">
        <f t="shared" si="372"/>
        <v>163.82</v>
      </c>
      <c r="K1407" s="903" t="s">
        <v>1516</v>
      </c>
      <c r="L1407" s="904">
        <f>ROUND(SUM('RES. CENTRAL PARK:RUA_FINAL'!L1407),2)</f>
        <v>0</v>
      </c>
      <c r="M1407" s="904">
        <f t="shared" si="373"/>
        <v>0</v>
      </c>
      <c r="N1407" s="893">
        <f t="shared" si="374"/>
        <v>0</v>
      </c>
      <c r="O1407" s="905"/>
      <c r="Q1407" s="317" t="str">
        <f t="shared" si="375"/>
        <v/>
      </c>
      <c r="R1407" s="317" t="str">
        <f t="shared" si="376"/>
        <v/>
      </c>
      <c r="S1407" s="317" t="str">
        <f t="shared" si="377"/>
        <v/>
      </c>
      <c r="V1407" s="314">
        <f>SUM('RES. CENTRAL PARK:RUA_FINAL'!N1407)</f>
        <v>0</v>
      </c>
      <c r="W1407" s="315">
        <f t="shared" si="378"/>
        <v>0</v>
      </c>
    </row>
    <row r="1408" spans="1:23" ht="30" hidden="1" customHeight="1" x14ac:dyDescent="0.2">
      <c r="A1408" s="63">
        <v>93141</v>
      </c>
      <c r="B1408" s="895">
        <v>93141</v>
      </c>
      <c r="C1408" s="896" t="s">
        <v>596</v>
      </c>
      <c r="D1408" s="906" t="s">
        <v>1334</v>
      </c>
      <c r="E1408" s="907"/>
      <c r="F1408" s="908"/>
      <c r="G1408" s="912"/>
      <c r="H1408" s="901">
        <v>200.2</v>
      </c>
      <c r="I1408" s="901">
        <f t="shared" si="371"/>
        <v>200.2</v>
      </c>
      <c r="J1408" s="902">
        <f t="shared" si="372"/>
        <v>240.38</v>
      </c>
      <c r="K1408" s="903" t="s">
        <v>1516</v>
      </c>
      <c r="L1408" s="904">
        <f>ROUND(SUM('RES. CENTRAL PARK:RUA_FINAL'!L1408),2)</f>
        <v>0</v>
      </c>
      <c r="M1408" s="904">
        <f t="shared" si="373"/>
        <v>0</v>
      </c>
      <c r="N1408" s="893">
        <f t="shared" si="374"/>
        <v>0</v>
      </c>
      <c r="O1408" s="905"/>
      <c r="Q1408" s="317" t="str">
        <f t="shared" si="375"/>
        <v/>
      </c>
      <c r="R1408" s="317" t="str">
        <f t="shared" si="376"/>
        <v/>
      </c>
      <c r="S1408" s="317" t="str">
        <f t="shared" si="377"/>
        <v/>
      </c>
      <c r="V1408" s="314">
        <f>SUM('RES. CENTRAL PARK:RUA_FINAL'!N1408)</f>
        <v>0</v>
      </c>
      <c r="W1408" s="315">
        <f t="shared" si="378"/>
        <v>0</v>
      </c>
    </row>
    <row r="1409" spans="1:23" ht="30" hidden="1" customHeight="1" x14ac:dyDescent="0.2">
      <c r="A1409" s="63">
        <v>93142</v>
      </c>
      <c r="B1409" s="895">
        <v>93142</v>
      </c>
      <c r="C1409" s="896" t="s">
        <v>596</v>
      </c>
      <c r="D1409" s="906" t="s">
        <v>1335</v>
      </c>
      <c r="E1409" s="907"/>
      <c r="F1409" s="908"/>
      <c r="G1409" s="912"/>
      <c r="H1409" s="901">
        <v>224.18</v>
      </c>
      <c r="I1409" s="901">
        <f t="shared" si="371"/>
        <v>224.18</v>
      </c>
      <c r="J1409" s="902">
        <f t="shared" si="372"/>
        <v>269.17</v>
      </c>
      <c r="K1409" s="903" t="s">
        <v>1516</v>
      </c>
      <c r="L1409" s="904">
        <f>ROUND(SUM('RES. CENTRAL PARK:RUA_FINAL'!L1409),2)</f>
        <v>0</v>
      </c>
      <c r="M1409" s="904">
        <f t="shared" si="373"/>
        <v>0</v>
      </c>
      <c r="N1409" s="893">
        <f t="shared" si="374"/>
        <v>0</v>
      </c>
      <c r="O1409" s="905"/>
      <c r="Q1409" s="317" t="str">
        <f t="shared" si="375"/>
        <v/>
      </c>
      <c r="R1409" s="317" t="str">
        <f t="shared" si="376"/>
        <v/>
      </c>
      <c r="S1409" s="317" t="str">
        <f t="shared" si="377"/>
        <v/>
      </c>
      <c r="V1409" s="314">
        <f>SUM('RES. CENTRAL PARK:RUA_FINAL'!N1409)</f>
        <v>0</v>
      </c>
      <c r="W1409" s="315">
        <f t="shared" si="378"/>
        <v>0</v>
      </c>
    </row>
    <row r="1410" spans="1:23" ht="30" hidden="1" customHeight="1" x14ac:dyDescent="0.2">
      <c r="A1410" s="63">
        <v>93143</v>
      </c>
      <c r="B1410" s="895">
        <v>93143</v>
      </c>
      <c r="C1410" s="896" t="s">
        <v>596</v>
      </c>
      <c r="D1410" s="906" t="s">
        <v>1336</v>
      </c>
      <c r="E1410" s="907"/>
      <c r="F1410" s="908"/>
      <c r="G1410" s="912"/>
      <c r="H1410" s="901">
        <v>203.26</v>
      </c>
      <c r="I1410" s="901">
        <f t="shared" si="371"/>
        <v>203.26</v>
      </c>
      <c r="J1410" s="902">
        <f t="shared" si="372"/>
        <v>244.05</v>
      </c>
      <c r="K1410" s="903" t="s">
        <v>1516</v>
      </c>
      <c r="L1410" s="904">
        <f>ROUND(SUM('RES. CENTRAL PARK:RUA_FINAL'!L1410),2)</f>
        <v>0</v>
      </c>
      <c r="M1410" s="904">
        <f t="shared" si="373"/>
        <v>0</v>
      </c>
      <c r="N1410" s="893">
        <f t="shared" si="374"/>
        <v>0</v>
      </c>
      <c r="O1410" s="905"/>
      <c r="Q1410" s="317" t="str">
        <f t="shared" si="375"/>
        <v/>
      </c>
      <c r="R1410" s="317" t="str">
        <f t="shared" si="376"/>
        <v/>
      </c>
      <c r="S1410" s="317" t="str">
        <f t="shared" si="377"/>
        <v/>
      </c>
      <c r="V1410" s="314">
        <f>SUM('RES. CENTRAL PARK:RUA_FINAL'!N1410)</f>
        <v>0</v>
      </c>
      <c r="W1410" s="315">
        <f t="shared" si="378"/>
        <v>0</v>
      </c>
    </row>
    <row r="1411" spans="1:23" ht="34.5" hidden="1" thickBot="1" x14ac:dyDescent="0.25">
      <c r="A1411" s="63">
        <v>93144</v>
      </c>
      <c r="B1411" s="895">
        <v>93144</v>
      </c>
      <c r="C1411" s="896" t="s">
        <v>596</v>
      </c>
      <c r="D1411" s="906" t="s">
        <v>1337</v>
      </c>
      <c r="E1411" s="907"/>
      <c r="F1411" s="908"/>
      <c r="G1411" s="912"/>
      <c r="H1411" s="901">
        <v>258.51</v>
      </c>
      <c r="I1411" s="901">
        <f t="shared" si="371"/>
        <v>258.51</v>
      </c>
      <c r="J1411" s="902">
        <f t="shared" si="372"/>
        <v>310.39</v>
      </c>
      <c r="K1411" s="903" t="s">
        <v>1516</v>
      </c>
      <c r="L1411" s="904">
        <f>ROUND(SUM('RES. CENTRAL PARK:RUA_FINAL'!L1411),2)</f>
        <v>0</v>
      </c>
      <c r="M1411" s="904">
        <f t="shared" si="373"/>
        <v>0</v>
      </c>
      <c r="N1411" s="893">
        <f t="shared" si="374"/>
        <v>0</v>
      </c>
      <c r="O1411" s="905"/>
      <c r="Q1411" s="317" t="str">
        <f t="shared" si="375"/>
        <v/>
      </c>
      <c r="R1411" s="317" t="str">
        <f t="shared" si="376"/>
        <v/>
      </c>
      <c r="S1411" s="317" t="str">
        <f t="shared" si="377"/>
        <v/>
      </c>
      <c r="V1411" s="314">
        <f>SUM('RES. CENTRAL PARK:RUA_FINAL'!N1411)</f>
        <v>0</v>
      </c>
      <c r="W1411" s="315">
        <f t="shared" si="378"/>
        <v>0</v>
      </c>
    </row>
    <row r="1412" spans="1:23" ht="34.5" hidden="1" thickBot="1" x14ac:dyDescent="0.25">
      <c r="A1412" s="63">
        <v>93145</v>
      </c>
      <c r="B1412" s="895">
        <v>93145</v>
      </c>
      <c r="C1412" s="896" t="s">
        <v>596</v>
      </c>
      <c r="D1412" s="906" t="s">
        <v>1338</v>
      </c>
      <c r="E1412" s="907"/>
      <c r="F1412" s="908"/>
      <c r="G1412" s="912"/>
      <c r="H1412" s="901">
        <v>243.22</v>
      </c>
      <c r="I1412" s="901">
        <f t="shared" ref="I1412:I1473" si="379">IF(ISBLANK(H1412),"",SUM(G1412:H1412))</f>
        <v>243.22</v>
      </c>
      <c r="J1412" s="902">
        <f t="shared" si="372"/>
        <v>292.02999999999997</v>
      </c>
      <c r="K1412" s="903" t="s">
        <v>1516</v>
      </c>
      <c r="L1412" s="904">
        <f>ROUND(SUM('RES. CENTRAL PARK:RUA_FINAL'!L1412),2)</f>
        <v>0</v>
      </c>
      <c r="M1412" s="904">
        <f t="shared" si="373"/>
        <v>0</v>
      </c>
      <c r="N1412" s="893">
        <f t="shared" si="374"/>
        <v>0</v>
      </c>
      <c r="O1412" s="905"/>
      <c r="Q1412" s="317" t="str">
        <f t="shared" si="375"/>
        <v/>
      </c>
      <c r="R1412" s="317" t="str">
        <f t="shared" si="376"/>
        <v/>
      </c>
      <c r="S1412" s="317" t="str">
        <f t="shared" si="377"/>
        <v/>
      </c>
      <c r="V1412" s="314">
        <f>SUM('RES. CENTRAL PARK:RUA_FINAL'!N1412)</f>
        <v>0</v>
      </c>
      <c r="W1412" s="315">
        <f t="shared" si="378"/>
        <v>0</v>
      </c>
    </row>
    <row r="1413" spans="1:23" ht="34.5" hidden="1" thickBot="1" x14ac:dyDescent="0.25">
      <c r="A1413" s="63">
        <v>93146</v>
      </c>
      <c r="B1413" s="895">
        <v>93146</v>
      </c>
      <c r="C1413" s="896" t="s">
        <v>596</v>
      </c>
      <c r="D1413" s="906" t="s">
        <v>1339</v>
      </c>
      <c r="E1413" s="907"/>
      <c r="F1413" s="908"/>
      <c r="G1413" s="912"/>
      <c r="H1413" s="901">
        <v>262.87</v>
      </c>
      <c r="I1413" s="901">
        <f t="shared" si="379"/>
        <v>262.87</v>
      </c>
      <c r="J1413" s="902">
        <f t="shared" si="372"/>
        <v>315.63</v>
      </c>
      <c r="K1413" s="903" t="s">
        <v>1516</v>
      </c>
      <c r="L1413" s="904">
        <f>ROUND(SUM('RES. CENTRAL PARK:RUA_FINAL'!L1413),2)</f>
        <v>0</v>
      </c>
      <c r="M1413" s="904">
        <f t="shared" si="373"/>
        <v>0</v>
      </c>
      <c r="N1413" s="893">
        <f t="shared" si="374"/>
        <v>0</v>
      </c>
      <c r="O1413" s="905"/>
      <c r="Q1413" s="317" t="str">
        <f t="shared" si="375"/>
        <v/>
      </c>
      <c r="R1413" s="317" t="str">
        <f t="shared" si="376"/>
        <v/>
      </c>
      <c r="S1413" s="317" t="str">
        <f t="shared" si="377"/>
        <v/>
      </c>
      <c r="V1413" s="314">
        <f>SUM('RES. CENTRAL PARK:RUA_FINAL'!N1413)</f>
        <v>0</v>
      </c>
      <c r="W1413" s="315">
        <f t="shared" si="378"/>
        <v>0</v>
      </c>
    </row>
    <row r="1414" spans="1:23" ht="45.75" hidden="1" thickBot="1" x14ac:dyDescent="0.25">
      <c r="A1414" s="63">
        <v>93147</v>
      </c>
      <c r="B1414" s="895">
        <v>93147</v>
      </c>
      <c r="C1414" s="896" t="s">
        <v>596</v>
      </c>
      <c r="D1414" s="906" t="s">
        <v>1340</v>
      </c>
      <c r="E1414" s="907"/>
      <c r="F1414" s="908"/>
      <c r="G1414" s="912"/>
      <c r="H1414" s="901">
        <v>299.76</v>
      </c>
      <c r="I1414" s="901">
        <f t="shared" si="379"/>
        <v>299.76</v>
      </c>
      <c r="J1414" s="902">
        <f t="shared" si="372"/>
        <v>359.92</v>
      </c>
      <c r="K1414" s="903" t="s">
        <v>1516</v>
      </c>
      <c r="L1414" s="904">
        <f>ROUND(SUM('RES. CENTRAL PARK:RUA_FINAL'!L1414),2)</f>
        <v>0</v>
      </c>
      <c r="M1414" s="904">
        <f t="shared" si="373"/>
        <v>0</v>
      </c>
      <c r="N1414" s="893">
        <f t="shared" si="374"/>
        <v>0</v>
      </c>
      <c r="O1414" s="905"/>
      <c r="Q1414" s="317" t="str">
        <f t="shared" si="375"/>
        <v/>
      </c>
      <c r="R1414" s="317" t="str">
        <f t="shared" si="376"/>
        <v/>
      </c>
      <c r="S1414" s="317" t="str">
        <f t="shared" si="377"/>
        <v/>
      </c>
      <c r="V1414" s="314">
        <f>SUM('RES. CENTRAL PARK:RUA_FINAL'!N1414)</f>
        <v>0</v>
      </c>
      <c r="W1414" s="315">
        <f t="shared" si="378"/>
        <v>0</v>
      </c>
    </row>
    <row r="1415" spans="1:23" ht="34.5" hidden="1" thickBot="1" x14ac:dyDescent="0.25">
      <c r="A1415" s="63">
        <v>93128</v>
      </c>
      <c r="B1415" s="895">
        <v>93128</v>
      </c>
      <c r="C1415" s="896" t="s">
        <v>596</v>
      </c>
      <c r="D1415" s="906" t="s">
        <v>1341</v>
      </c>
      <c r="E1415" s="907"/>
      <c r="F1415" s="908"/>
      <c r="G1415" s="912"/>
      <c r="H1415" s="901">
        <v>165.8</v>
      </c>
      <c r="I1415" s="901">
        <f t="shared" si="379"/>
        <v>165.8</v>
      </c>
      <c r="J1415" s="902">
        <f t="shared" si="372"/>
        <v>199.08</v>
      </c>
      <c r="K1415" s="903" t="s">
        <v>1516</v>
      </c>
      <c r="L1415" s="904">
        <f>ROUND(SUM('RES. CENTRAL PARK:RUA_FINAL'!L1415),2)</f>
        <v>0</v>
      </c>
      <c r="M1415" s="904">
        <f t="shared" si="373"/>
        <v>0</v>
      </c>
      <c r="N1415" s="893">
        <f t="shared" si="374"/>
        <v>0</v>
      </c>
      <c r="O1415" s="905"/>
      <c r="Q1415" s="317" t="str">
        <f t="shared" si="375"/>
        <v/>
      </c>
      <c r="R1415" s="317" t="str">
        <f t="shared" si="376"/>
        <v/>
      </c>
      <c r="S1415" s="317" t="str">
        <f t="shared" si="377"/>
        <v/>
      </c>
      <c r="V1415" s="314">
        <f>SUM('RES. CENTRAL PARK:RUA_FINAL'!N1415)</f>
        <v>0</v>
      </c>
      <c r="W1415" s="315">
        <f t="shared" si="378"/>
        <v>0</v>
      </c>
    </row>
    <row r="1416" spans="1:23" ht="34.5" hidden="1" thickBot="1" x14ac:dyDescent="0.25">
      <c r="A1416" s="63">
        <v>93137</v>
      </c>
      <c r="B1416" s="895">
        <v>93137</v>
      </c>
      <c r="C1416" s="896" t="s">
        <v>596</v>
      </c>
      <c r="D1416" s="906" t="s">
        <v>1342</v>
      </c>
      <c r="E1416" s="907"/>
      <c r="F1416" s="908"/>
      <c r="G1416" s="912"/>
      <c r="H1416" s="901">
        <v>196.5</v>
      </c>
      <c r="I1416" s="901">
        <f t="shared" si="379"/>
        <v>196.5</v>
      </c>
      <c r="J1416" s="902">
        <f t="shared" si="372"/>
        <v>235.94</v>
      </c>
      <c r="K1416" s="903" t="s">
        <v>1516</v>
      </c>
      <c r="L1416" s="904">
        <f>ROUND(SUM('RES. CENTRAL PARK:RUA_FINAL'!L1416),2)</f>
        <v>0</v>
      </c>
      <c r="M1416" s="904">
        <f t="shared" si="373"/>
        <v>0</v>
      </c>
      <c r="N1416" s="893">
        <f t="shared" si="374"/>
        <v>0</v>
      </c>
      <c r="O1416" s="905"/>
      <c r="Q1416" s="317" t="str">
        <f t="shared" si="375"/>
        <v/>
      </c>
      <c r="R1416" s="317" t="str">
        <f t="shared" si="376"/>
        <v/>
      </c>
      <c r="S1416" s="317" t="str">
        <f t="shared" si="377"/>
        <v/>
      </c>
      <c r="V1416" s="314">
        <f>SUM('RES. CENTRAL PARK:RUA_FINAL'!N1416)</f>
        <v>0</v>
      </c>
      <c r="W1416" s="315">
        <f t="shared" si="378"/>
        <v>0</v>
      </c>
    </row>
    <row r="1417" spans="1:23" ht="34.5" hidden="1" thickBot="1" x14ac:dyDescent="0.25">
      <c r="A1417" s="63">
        <v>93138</v>
      </c>
      <c r="B1417" s="895">
        <v>93138</v>
      </c>
      <c r="C1417" s="896" t="s">
        <v>596</v>
      </c>
      <c r="D1417" s="906" t="s">
        <v>1343</v>
      </c>
      <c r="E1417" s="907"/>
      <c r="F1417" s="908"/>
      <c r="G1417" s="912"/>
      <c r="H1417" s="901">
        <v>185.46</v>
      </c>
      <c r="I1417" s="901">
        <f t="shared" si="379"/>
        <v>185.46</v>
      </c>
      <c r="J1417" s="902">
        <f t="shared" ref="J1417:J1480" si="380">IF(ISBLANK(H1417),0,ROUND(I1417*(1+$E$10),2))</f>
        <v>222.68</v>
      </c>
      <c r="K1417" s="903" t="s">
        <v>1516</v>
      </c>
      <c r="L1417" s="904">
        <f>ROUND(SUM('RES. CENTRAL PARK:RUA_FINAL'!L1417),2)</f>
        <v>0</v>
      </c>
      <c r="M1417" s="904">
        <f t="shared" si="373"/>
        <v>0</v>
      </c>
      <c r="N1417" s="893">
        <f t="shared" si="374"/>
        <v>0</v>
      </c>
      <c r="O1417" s="905"/>
      <c r="Q1417" s="317" t="str">
        <f t="shared" si="375"/>
        <v/>
      </c>
      <c r="R1417" s="317" t="str">
        <f t="shared" si="376"/>
        <v/>
      </c>
      <c r="S1417" s="317" t="str">
        <f t="shared" si="377"/>
        <v/>
      </c>
      <c r="V1417" s="314">
        <f>SUM('RES. CENTRAL PARK:RUA_FINAL'!N1417)</f>
        <v>0</v>
      </c>
      <c r="W1417" s="315">
        <f t="shared" si="378"/>
        <v>0</v>
      </c>
    </row>
    <row r="1418" spans="1:23" ht="34.5" hidden="1" thickBot="1" x14ac:dyDescent="0.25">
      <c r="A1418" s="63">
        <v>93139</v>
      </c>
      <c r="B1418" s="895">
        <v>93139</v>
      </c>
      <c r="C1418" s="896" t="s">
        <v>596</v>
      </c>
      <c r="D1418" s="906" t="s">
        <v>1344</v>
      </c>
      <c r="E1418" s="907"/>
      <c r="F1418" s="908"/>
      <c r="G1418" s="912"/>
      <c r="H1418" s="901">
        <v>235.76</v>
      </c>
      <c r="I1418" s="901">
        <f t="shared" si="379"/>
        <v>235.76</v>
      </c>
      <c r="J1418" s="902">
        <f t="shared" si="380"/>
        <v>283.08</v>
      </c>
      <c r="K1418" s="903" t="s">
        <v>1516</v>
      </c>
      <c r="L1418" s="904">
        <f>ROUND(SUM('RES. CENTRAL PARK:RUA_FINAL'!L1418),2)</f>
        <v>0</v>
      </c>
      <c r="M1418" s="904">
        <f t="shared" si="373"/>
        <v>0</v>
      </c>
      <c r="N1418" s="893">
        <f t="shared" si="374"/>
        <v>0</v>
      </c>
      <c r="O1418" s="905"/>
      <c r="Q1418" s="317" t="str">
        <f t="shared" si="375"/>
        <v/>
      </c>
      <c r="R1418" s="317" t="str">
        <f t="shared" si="376"/>
        <v/>
      </c>
      <c r="S1418" s="317" t="str">
        <f t="shared" si="377"/>
        <v/>
      </c>
      <c r="V1418" s="314">
        <f>SUM('RES. CENTRAL PARK:RUA_FINAL'!N1418)</f>
        <v>0</v>
      </c>
      <c r="W1418" s="315">
        <f t="shared" si="378"/>
        <v>0</v>
      </c>
    </row>
    <row r="1419" spans="1:23" ht="34.5" hidden="1" thickBot="1" x14ac:dyDescent="0.25">
      <c r="A1419" s="63">
        <v>93140</v>
      </c>
      <c r="B1419" s="895">
        <v>93140</v>
      </c>
      <c r="C1419" s="896" t="s">
        <v>596</v>
      </c>
      <c r="D1419" s="906" t="s">
        <v>1345</v>
      </c>
      <c r="E1419" s="907"/>
      <c r="F1419" s="908"/>
      <c r="G1419" s="912"/>
      <c r="H1419" s="901">
        <v>222.29</v>
      </c>
      <c r="I1419" s="901">
        <f t="shared" si="379"/>
        <v>222.29</v>
      </c>
      <c r="J1419" s="902">
        <f t="shared" si="380"/>
        <v>266.89999999999998</v>
      </c>
      <c r="K1419" s="903" t="s">
        <v>1516</v>
      </c>
      <c r="L1419" s="904">
        <f>ROUND(SUM('RES. CENTRAL PARK:RUA_FINAL'!L1419),2)</f>
        <v>0</v>
      </c>
      <c r="M1419" s="904">
        <f t="shared" si="373"/>
        <v>0</v>
      </c>
      <c r="N1419" s="893">
        <f t="shared" si="374"/>
        <v>0</v>
      </c>
      <c r="O1419" s="905"/>
      <c r="Q1419" s="317" t="str">
        <f t="shared" si="375"/>
        <v/>
      </c>
      <c r="R1419" s="317" t="str">
        <f t="shared" si="376"/>
        <v/>
      </c>
      <c r="S1419" s="317" t="str">
        <f t="shared" si="377"/>
        <v/>
      </c>
      <c r="V1419" s="314">
        <f>SUM('RES. CENTRAL PARK:RUA_FINAL'!N1419)</f>
        <v>0</v>
      </c>
      <c r="W1419" s="315">
        <f t="shared" si="378"/>
        <v>0</v>
      </c>
    </row>
    <row r="1420" spans="1:23" ht="30" hidden="1" customHeight="1" x14ac:dyDescent="0.2">
      <c r="A1420" s="63">
        <v>97595</v>
      </c>
      <c r="B1420" s="895">
        <v>97595</v>
      </c>
      <c r="C1420" s="896" t="s">
        <v>596</v>
      </c>
      <c r="D1420" s="906" t="s">
        <v>1346</v>
      </c>
      <c r="E1420" s="907"/>
      <c r="F1420" s="908"/>
      <c r="G1420" s="912"/>
      <c r="H1420" s="901">
        <v>118.06</v>
      </c>
      <c r="I1420" s="901">
        <f t="shared" si="379"/>
        <v>118.06</v>
      </c>
      <c r="J1420" s="902">
        <f t="shared" si="380"/>
        <v>141.75</v>
      </c>
      <c r="K1420" s="903" t="s">
        <v>1516</v>
      </c>
      <c r="L1420" s="904">
        <f>ROUND(SUM('RES. CENTRAL PARK:RUA_FINAL'!L1420),2)</f>
        <v>0</v>
      </c>
      <c r="M1420" s="904">
        <f t="shared" si="373"/>
        <v>0</v>
      </c>
      <c r="N1420" s="893">
        <f t="shared" si="374"/>
        <v>0</v>
      </c>
      <c r="O1420" s="905"/>
      <c r="Q1420" s="317" t="str">
        <f t="shared" si="375"/>
        <v/>
      </c>
      <c r="R1420" s="317" t="str">
        <f t="shared" si="376"/>
        <v/>
      </c>
      <c r="S1420" s="317" t="str">
        <f t="shared" si="377"/>
        <v/>
      </c>
      <c r="V1420" s="314">
        <f>SUM('RES. CENTRAL PARK:RUA_FINAL'!N1420)</f>
        <v>0</v>
      </c>
      <c r="W1420" s="315">
        <f t="shared" si="378"/>
        <v>0</v>
      </c>
    </row>
    <row r="1421" spans="1:23" ht="30" hidden="1" customHeight="1" x14ac:dyDescent="0.2">
      <c r="A1421" s="63">
        <v>97596</v>
      </c>
      <c r="B1421" s="895">
        <v>97596</v>
      </c>
      <c r="C1421" s="896" t="s">
        <v>596</v>
      </c>
      <c r="D1421" s="906" t="s">
        <v>1347</v>
      </c>
      <c r="E1421" s="907"/>
      <c r="F1421" s="908"/>
      <c r="G1421" s="912"/>
      <c r="H1421" s="901">
        <v>82.53</v>
      </c>
      <c r="I1421" s="901">
        <f t="shared" si="379"/>
        <v>82.53</v>
      </c>
      <c r="J1421" s="902">
        <f t="shared" si="380"/>
        <v>99.09</v>
      </c>
      <c r="K1421" s="903" t="s">
        <v>1516</v>
      </c>
      <c r="L1421" s="904">
        <f>ROUND(SUM('RES. CENTRAL PARK:RUA_FINAL'!L1421),2)</f>
        <v>0</v>
      </c>
      <c r="M1421" s="904">
        <f t="shared" si="373"/>
        <v>0</v>
      </c>
      <c r="N1421" s="893">
        <f t="shared" si="374"/>
        <v>0</v>
      </c>
      <c r="O1421" s="905"/>
      <c r="Q1421" s="317" t="str">
        <f t="shared" si="375"/>
        <v/>
      </c>
      <c r="R1421" s="317" t="str">
        <f t="shared" si="376"/>
        <v/>
      </c>
      <c r="S1421" s="317" t="str">
        <f t="shared" si="377"/>
        <v/>
      </c>
      <c r="V1421" s="314">
        <f>SUM('RES. CENTRAL PARK:RUA_FINAL'!N1421)</f>
        <v>0</v>
      </c>
      <c r="W1421" s="315">
        <f t="shared" si="378"/>
        <v>0</v>
      </c>
    </row>
    <row r="1422" spans="1:23" ht="30" hidden="1" customHeight="1" x14ac:dyDescent="0.2">
      <c r="A1422" s="63">
        <v>97597</v>
      </c>
      <c r="B1422" s="895">
        <v>97597</v>
      </c>
      <c r="C1422" s="896" t="s">
        <v>596</v>
      </c>
      <c r="D1422" s="906" t="s">
        <v>1348</v>
      </c>
      <c r="E1422" s="907"/>
      <c r="F1422" s="908"/>
      <c r="G1422" s="912"/>
      <c r="H1422" s="901">
        <v>81.42</v>
      </c>
      <c r="I1422" s="901">
        <f t="shared" si="379"/>
        <v>81.42</v>
      </c>
      <c r="J1422" s="902">
        <f t="shared" si="380"/>
        <v>97.76</v>
      </c>
      <c r="K1422" s="903" t="s">
        <v>1516</v>
      </c>
      <c r="L1422" s="904">
        <f>ROUND(SUM('RES. CENTRAL PARK:RUA_FINAL'!L1422),2)</f>
        <v>0</v>
      </c>
      <c r="M1422" s="904">
        <f t="shared" si="373"/>
        <v>0</v>
      </c>
      <c r="N1422" s="893">
        <f t="shared" si="374"/>
        <v>0</v>
      </c>
      <c r="O1422" s="905"/>
      <c r="Q1422" s="317" t="str">
        <f t="shared" si="375"/>
        <v/>
      </c>
      <c r="R1422" s="317" t="str">
        <f t="shared" si="376"/>
        <v/>
      </c>
      <c r="S1422" s="317" t="str">
        <f t="shared" si="377"/>
        <v/>
      </c>
      <c r="V1422" s="314">
        <f>SUM('RES. CENTRAL PARK:RUA_FINAL'!N1422)</f>
        <v>0</v>
      </c>
      <c r="W1422" s="315">
        <f t="shared" si="378"/>
        <v>0</v>
      </c>
    </row>
    <row r="1423" spans="1:23" ht="30" hidden="1" customHeight="1" x14ac:dyDescent="0.2">
      <c r="A1423" s="63">
        <v>97598</v>
      </c>
      <c r="B1423" s="895">
        <v>97598</v>
      </c>
      <c r="C1423" s="896" t="s">
        <v>596</v>
      </c>
      <c r="D1423" s="906" t="s">
        <v>1349</v>
      </c>
      <c r="E1423" s="907"/>
      <c r="F1423" s="908"/>
      <c r="G1423" s="912"/>
      <c r="H1423" s="901">
        <v>76.88</v>
      </c>
      <c r="I1423" s="901">
        <f t="shared" si="379"/>
        <v>76.88</v>
      </c>
      <c r="J1423" s="902">
        <f t="shared" si="380"/>
        <v>92.31</v>
      </c>
      <c r="K1423" s="903" t="s">
        <v>1516</v>
      </c>
      <c r="L1423" s="904">
        <f>ROUND(SUM('RES. CENTRAL PARK:RUA_FINAL'!L1423),2)</f>
        <v>0</v>
      </c>
      <c r="M1423" s="904">
        <f t="shared" si="373"/>
        <v>0</v>
      </c>
      <c r="N1423" s="893">
        <f t="shared" si="374"/>
        <v>0</v>
      </c>
      <c r="O1423" s="905"/>
      <c r="Q1423" s="317" t="str">
        <f t="shared" si="375"/>
        <v/>
      </c>
      <c r="R1423" s="317" t="str">
        <f t="shared" si="376"/>
        <v/>
      </c>
      <c r="S1423" s="317" t="str">
        <f t="shared" si="377"/>
        <v/>
      </c>
      <c r="V1423" s="314">
        <f>SUM('RES. CENTRAL PARK:RUA_FINAL'!N1423)</f>
        <v>0</v>
      </c>
      <c r="W1423" s="315">
        <f t="shared" si="378"/>
        <v>0</v>
      </c>
    </row>
    <row r="1424" spans="1:23" ht="30" hidden="1" customHeight="1" x14ac:dyDescent="0.2">
      <c r="A1424" s="63">
        <v>97599</v>
      </c>
      <c r="B1424" s="895">
        <v>97599</v>
      </c>
      <c r="C1424" s="896" t="s">
        <v>596</v>
      </c>
      <c r="D1424" s="906" t="s">
        <v>1350</v>
      </c>
      <c r="E1424" s="907"/>
      <c r="F1424" s="908"/>
      <c r="G1424" s="912"/>
      <c r="H1424" s="901">
        <v>28.78</v>
      </c>
      <c r="I1424" s="901">
        <f t="shared" si="379"/>
        <v>28.78</v>
      </c>
      <c r="J1424" s="902">
        <f t="shared" si="380"/>
        <v>34.56</v>
      </c>
      <c r="K1424" s="903" t="s">
        <v>1516</v>
      </c>
      <c r="L1424" s="904">
        <f>ROUND(SUM('RES. CENTRAL PARK:RUA_FINAL'!L1424),2)</f>
        <v>0</v>
      </c>
      <c r="M1424" s="904">
        <f t="shared" si="373"/>
        <v>0</v>
      </c>
      <c r="N1424" s="893">
        <f t="shared" si="374"/>
        <v>0</v>
      </c>
      <c r="O1424" s="905"/>
      <c r="Q1424" s="317" t="str">
        <f t="shared" si="375"/>
        <v/>
      </c>
      <c r="R1424" s="317" t="str">
        <f t="shared" si="376"/>
        <v/>
      </c>
      <c r="S1424" s="317" t="str">
        <f t="shared" si="377"/>
        <v/>
      </c>
      <c r="V1424" s="314">
        <f>SUM('RES. CENTRAL PARK:RUA_FINAL'!N1424)</f>
        <v>0</v>
      </c>
      <c r="W1424" s="315">
        <f t="shared" si="378"/>
        <v>0</v>
      </c>
    </row>
    <row r="1425" spans="1:23" ht="30" hidden="1" customHeight="1" x14ac:dyDescent="0.2">
      <c r="A1425" s="63">
        <v>97583</v>
      </c>
      <c r="B1425" s="895">
        <v>97583</v>
      </c>
      <c r="C1425" s="896" t="s">
        <v>596</v>
      </c>
      <c r="D1425" s="906" t="s">
        <v>1351</v>
      </c>
      <c r="E1425" s="907"/>
      <c r="F1425" s="908"/>
      <c r="G1425" s="912"/>
      <c r="H1425" s="901">
        <v>99.02</v>
      </c>
      <c r="I1425" s="901">
        <f t="shared" si="379"/>
        <v>99.02</v>
      </c>
      <c r="J1425" s="902">
        <f t="shared" si="380"/>
        <v>118.89</v>
      </c>
      <c r="K1425" s="903" t="s">
        <v>1516</v>
      </c>
      <c r="L1425" s="904">
        <f>ROUND(SUM('RES. CENTRAL PARK:RUA_FINAL'!L1425),2)</f>
        <v>0</v>
      </c>
      <c r="M1425" s="904">
        <f t="shared" si="373"/>
        <v>0</v>
      </c>
      <c r="N1425" s="893">
        <f t="shared" si="374"/>
        <v>0</v>
      </c>
      <c r="O1425" s="905"/>
      <c r="Q1425" s="317" t="str">
        <f t="shared" si="375"/>
        <v/>
      </c>
      <c r="R1425" s="317" t="str">
        <f t="shared" si="376"/>
        <v/>
      </c>
      <c r="S1425" s="317" t="str">
        <f t="shared" si="377"/>
        <v/>
      </c>
      <c r="V1425" s="314">
        <f>SUM('RES. CENTRAL PARK:RUA_FINAL'!N1425)</f>
        <v>0</v>
      </c>
      <c r="W1425" s="315">
        <f t="shared" si="378"/>
        <v>0</v>
      </c>
    </row>
    <row r="1426" spans="1:23" ht="30" hidden="1" customHeight="1" x14ac:dyDescent="0.2">
      <c r="A1426" s="63">
        <v>101662</v>
      </c>
      <c r="B1426" s="895">
        <v>101662</v>
      </c>
      <c r="C1426" s="896" t="s">
        <v>596</v>
      </c>
      <c r="D1426" s="906" t="s">
        <v>1352</v>
      </c>
      <c r="E1426" s="907"/>
      <c r="F1426" s="908"/>
      <c r="G1426" s="912"/>
      <c r="H1426" s="901">
        <v>794.92</v>
      </c>
      <c r="I1426" s="901">
        <f t="shared" si="379"/>
        <v>794.92</v>
      </c>
      <c r="J1426" s="902">
        <f t="shared" si="380"/>
        <v>954.46</v>
      </c>
      <c r="K1426" s="903" t="s">
        <v>1516</v>
      </c>
      <c r="L1426" s="904">
        <f>ROUND(SUM('RES. CENTRAL PARK:RUA_FINAL'!L1426),2)</f>
        <v>0</v>
      </c>
      <c r="M1426" s="904">
        <f t="shared" ref="M1426:M1489" si="381">IF(L1426=0,0,ROUND(J1426,2))</f>
        <v>0</v>
      </c>
      <c r="N1426" s="893">
        <f t="shared" ref="N1426:N1489" si="382">IF(ISBLANK(L1426),0,ROUND(L1426*M1426,2))</f>
        <v>0</v>
      </c>
      <c r="O1426" s="905"/>
      <c r="Q1426" s="317" t="str">
        <f t="shared" ref="Q1426:Q1489" si="383">IF(P1426="X","x",IF(P1426="xx","x",IF(P1426="xy","x",IF(P1426="y","x",IF(OR(N1426&gt;0,N1426&gt;0),"x","")))))</f>
        <v/>
      </c>
      <c r="R1426" s="317" t="str">
        <f t="shared" ref="R1426:R1489" si="384">IF(P1426="X","x",IF(P1426="y","x",IF(P1426="xx","x",IF(N1426&gt;0,"x",""))))</f>
        <v/>
      </c>
      <c r="S1426" s="317" t="str">
        <f t="shared" ref="S1426:S1489" si="385">IF(P1426="X","x",IF(N1426&gt;0,"x",""))</f>
        <v/>
      </c>
      <c r="V1426" s="314">
        <f>SUM('RES. CENTRAL PARK:RUA_FINAL'!N1426)</f>
        <v>0</v>
      </c>
      <c r="W1426" s="315">
        <f t="shared" si="378"/>
        <v>0</v>
      </c>
    </row>
    <row r="1427" spans="1:23" ht="30" hidden="1" customHeight="1" x14ac:dyDescent="0.2">
      <c r="A1427" s="63">
        <v>101652</v>
      </c>
      <c r="B1427" s="895">
        <v>101652</v>
      </c>
      <c r="C1427" s="896" t="s">
        <v>596</v>
      </c>
      <c r="D1427" s="906" t="s">
        <v>1353</v>
      </c>
      <c r="E1427" s="907"/>
      <c r="F1427" s="908"/>
      <c r="G1427" s="912"/>
      <c r="H1427" s="901">
        <v>576.32000000000005</v>
      </c>
      <c r="I1427" s="901">
        <f t="shared" si="379"/>
        <v>576.32000000000005</v>
      </c>
      <c r="J1427" s="902">
        <f t="shared" si="380"/>
        <v>691.99</v>
      </c>
      <c r="K1427" s="903" t="s">
        <v>1516</v>
      </c>
      <c r="L1427" s="904">
        <f>ROUND(SUM('RES. CENTRAL PARK:RUA_FINAL'!L1427),2)</f>
        <v>0</v>
      </c>
      <c r="M1427" s="904">
        <f t="shared" si="381"/>
        <v>0</v>
      </c>
      <c r="N1427" s="893">
        <f t="shared" si="382"/>
        <v>0</v>
      </c>
      <c r="O1427" s="905"/>
      <c r="Q1427" s="317" t="str">
        <f t="shared" si="383"/>
        <v/>
      </c>
      <c r="R1427" s="317" t="str">
        <f t="shared" si="384"/>
        <v/>
      </c>
      <c r="S1427" s="317" t="str">
        <f t="shared" si="385"/>
        <v/>
      </c>
      <c r="V1427" s="314">
        <f>SUM('RES. CENTRAL PARK:RUA_FINAL'!N1427)</f>
        <v>0</v>
      </c>
      <c r="W1427" s="315">
        <f t="shared" si="378"/>
        <v>0</v>
      </c>
    </row>
    <row r="1428" spans="1:23" ht="45.75" hidden="1" thickBot="1" x14ac:dyDescent="0.25">
      <c r="A1428" s="63">
        <v>101653</v>
      </c>
      <c r="B1428" s="895">
        <v>101653</v>
      </c>
      <c r="C1428" s="896" t="s">
        <v>596</v>
      </c>
      <c r="D1428" s="906" t="s">
        <v>1354</v>
      </c>
      <c r="E1428" s="907"/>
      <c r="F1428" s="908"/>
      <c r="G1428" s="912"/>
      <c r="H1428" s="901">
        <v>311.74</v>
      </c>
      <c r="I1428" s="901">
        <f t="shared" si="379"/>
        <v>311.74</v>
      </c>
      <c r="J1428" s="902">
        <f t="shared" si="380"/>
        <v>374.31</v>
      </c>
      <c r="K1428" s="903" t="s">
        <v>1516</v>
      </c>
      <c r="L1428" s="904">
        <f>ROUND(SUM('RES. CENTRAL PARK:RUA_FINAL'!L1428),2)</f>
        <v>0</v>
      </c>
      <c r="M1428" s="904">
        <f t="shared" si="381"/>
        <v>0</v>
      </c>
      <c r="N1428" s="893">
        <f t="shared" si="382"/>
        <v>0</v>
      </c>
      <c r="O1428" s="905"/>
      <c r="Q1428" s="317" t="str">
        <f t="shared" si="383"/>
        <v/>
      </c>
      <c r="R1428" s="317" t="str">
        <f t="shared" si="384"/>
        <v/>
      </c>
      <c r="S1428" s="317" t="str">
        <f t="shared" si="385"/>
        <v/>
      </c>
      <c r="V1428" s="314">
        <f>SUM('RES. CENTRAL PARK:RUA_FINAL'!N1428)</f>
        <v>0</v>
      </c>
      <c r="W1428" s="315">
        <f t="shared" si="378"/>
        <v>0</v>
      </c>
    </row>
    <row r="1429" spans="1:23" ht="38.1" hidden="1" customHeight="1" x14ac:dyDescent="0.2">
      <c r="A1429" s="63">
        <v>97584</v>
      </c>
      <c r="B1429" s="895">
        <v>97584</v>
      </c>
      <c r="C1429" s="896" t="s">
        <v>596</v>
      </c>
      <c r="D1429" s="906" t="s">
        <v>1355</v>
      </c>
      <c r="E1429" s="907"/>
      <c r="F1429" s="908"/>
      <c r="G1429" s="912"/>
      <c r="H1429" s="901">
        <v>138.43</v>
      </c>
      <c r="I1429" s="901">
        <f t="shared" si="379"/>
        <v>138.43</v>
      </c>
      <c r="J1429" s="902">
        <f t="shared" si="380"/>
        <v>166.21</v>
      </c>
      <c r="K1429" s="903" t="s">
        <v>1516</v>
      </c>
      <c r="L1429" s="904">
        <f>ROUND(SUM('RES. CENTRAL PARK:RUA_FINAL'!L1429),2)</f>
        <v>0</v>
      </c>
      <c r="M1429" s="904">
        <f t="shared" si="381"/>
        <v>0</v>
      </c>
      <c r="N1429" s="893">
        <f t="shared" si="382"/>
        <v>0</v>
      </c>
      <c r="O1429" s="905"/>
      <c r="Q1429" s="317" t="str">
        <f t="shared" si="383"/>
        <v/>
      </c>
      <c r="R1429" s="317" t="str">
        <f t="shared" si="384"/>
        <v/>
      </c>
      <c r="S1429" s="317" t="str">
        <f t="shared" si="385"/>
        <v/>
      </c>
      <c r="V1429" s="314">
        <f>SUM('RES. CENTRAL PARK:RUA_FINAL'!N1429)</f>
        <v>0</v>
      </c>
      <c r="W1429" s="315">
        <f t="shared" ref="W1429:W1492" si="386">N1429-V1429</f>
        <v>0</v>
      </c>
    </row>
    <row r="1430" spans="1:23" ht="38.1" hidden="1" customHeight="1" x14ac:dyDescent="0.2">
      <c r="A1430" s="63">
        <v>97585</v>
      </c>
      <c r="B1430" s="895">
        <v>97585</v>
      </c>
      <c r="C1430" s="896" t="s">
        <v>596</v>
      </c>
      <c r="D1430" s="906" t="s">
        <v>1356</v>
      </c>
      <c r="E1430" s="907"/>
      <c r="F1430" s="908"/>
      <c r="G1430" s="912"/>
      <c r="H1430" s="901">
        <v>133.19999999999999</v>
      </c>
      <c r="I1430" s="901">
        <f t="shared" si="379"/>
        <v>133.19999999999999</v>
      </c>
      <c r="J1430" s="902">
        <f t="shared" si="380"/>
        <v>159.93</v>
      </c>
      <c r="K1430" s="903" t="s">
        <v>1516</v>
      </c>
      <c r="L1430" s="904">
        <f>ROUND(SUM('RES. CENTRAL PARK:RUA_FINAL'!L1430),2)</f>
        <v>0</v>
      </c>
      <c r="M1430" s="904">
        <f t="shared" si="381"/>
        <v>0</v>
      </c>
      <c r="N1430" s="893">
        <f t="shared" si="382"/>
        <v>0</v>
      </c>
      <c r="O1430" s="905"/>
      <c r="Q1430" s="317" t="str">
        <f t="shared" si="383"/>
        <v/>
      </c>
      <c r="R1430" s="317" t="str">
        <f t="shared" si="384"/>
        <v/>
      </c>
      <c r="S1430" s="317" t="str">
        <f t="shared" si="385"/>
        <v/>
      </c>
      <c r="V1430" s="314">
        <f>SUM('RES. CENTRAL PARK:RUA_FINAL'!N1430)</f>
        <v>0</v>
      </c>
      <c r="W1430" s="315">
        <f t="shared" si="386"/>
        <v>0</v>
      </c>
    </row>
    <row r="1431" spans="1:23" ht="38.1" hidden="1" customHeight="1" x14ac:dyDescent="0.2">
      <c r="A1431" s="63">
        <v>97586</v>
      </c>
      <c r="B1431" s="895">
        <v>97586</v>
      </c>
      <c r="C1431" s="896" t="s">
        <v>596</v>
      </c>
      <c r="D1431" s="906" t="s">
        <v>1357</v>
      </c>
      <c r="E1431" s="907"/>
      <c r="F1431" s="908"/>
      <c r="G1431" s="912"/>
      <c r="H1431" s="901">
        <v>180.8</v>
      </c>
      <c r="I1431" s="901">
        <f t="shared" si="379"/>
        <v>180.8</v>
      </c>
      <c r="J1431" s="902">
        <f t="shared" si="380"/>
        <v>217.09</v>
      </c>
      <c r="K1431" s="903" t="s">
        <v>1516</v>
      </c>
      <c r="L1431" s="904">
        <f>ROUND(SUM('RES. CENTRAL PARK:RUA_FINAL'!L1431),2)</f>
        <v>0</v>
      </c>
      <c r="M1431" s="904">
        <f t="shared" si="381"/>
        <v>0</v>
      </c>
      <c r="N1431" s="893">
        <f t="shared" si="382"/>
        <v>0</v>
      </c>
      <c r="O1431" s="905"/>
      <c r="Q1431" s="317" t="str">
        <f t="shared" si="383"/>
        <v/>
      </c>
      <c r="R1431" s="317" t="str">
        <f t="shared" si="384"/>
        <v/>
      </c>
      <c r="S1431" s="317" t="str">
        <f t="shared" si="385"/>
        <v/>
      </c>
      <c r="V1431" s="314">
        <f>SUM('RES. CENTRAL PARK:RUA_FINAL'!N1431)</f>
        <v>0</v>
      </c>
      <c r="W1431" s="315">
        <f t="shared" si="386"/>
        <v>0</v>
      </c>
    </row>
    <row r="1432" spans="1:23" ht="30" hidden="1" customHeight="1" x14ac:dyDescent="0.2">
      <c r="A1432" s="63">
        <v>97587</v>
      </c>
      <c r="B1432" s="895">
        <v>97587</v>
      </c>
      <c r="C1432" s="896" t="s">
        <v>596</v>
      </c>
      <c r="D1432" s="906" t="s">
        <v>1358</v>
      </c>
      <c r="E1432" s="907"/>
      <c r="F1432" s="908"/>
      <c r="G1432" s="912"/>
      <c r="H1432" s="901">
        <v>329.67</v>
      </c>
      <c r="I1432" s="901">
        <f t="shared" si="379"/>
        <v>329.67</v>
      </c>
      <c r="J1432" s="902">
        <f t="shared" si="380"/>
        <v>395.83</v>
      </c>
      <c r="K1432" s="903" t="s">
        <v>1516</v>
      </c>
      <c r="L1432" s="904">
        <f>ROUND(SUM('RES. CENTRAL PARK:RUA_FINAL'!L1432),2)</f>
        <v>0</v>
      </c>
      <c r="M1432" s="904">
        <f t="shared" si="381"/>
        <v>0</v>
      </c>
      <c r="N1432" s="893">
        <f t="shared" si="382"/>
        <v>0</v>
      </c>
      <c r="O1432" s="905"/>
      <c r="Q1432" s="317" t="str">
        <f t="shared" si="383"/>
        <v/>
      </c>
      <c r="R1432" s="317" t="str">
        <f t="shared" si="384"/>
        <v/>
      </c>
      <c r="S1432" s="317" t="str">
        <f t="shared" si="385"/>
        <v/>
      </c>
      <c r="V1432" s="314">
        <f>SUM('RES. CENTRAL PARK:RUA_FINAL'!N1432)</f>
        <v>0</v>
      </c>
      <c r="W1432" s="315">
        <f t="shared" si="386"/>
        <v>0</v>
      </c>
    </row>
    <row r="1433" spans="1:23" ht="30" hidden="1" customHeight="1" x14ac:dyDescent="0.2">
      <c r="A1433" s="63">
        <v>97589</v>
      </c>
      <c r="B1433" s="895">
        <v>97589</v>
      </c>
      <c r="C1433" s="896" t="s">
        <v>596</v>
      </c>
      <c r="D1433" s="906" t="s">
        <v>1359</v>
      </c>
      <c r="E1433" s="907"/>
      <c r="F1433" s="908"/>
      <c r="G1433" s="912"/>
      <c r="H1433" s="901">
        <v>47.54</v>
      </c>
      <c r="I1433" s="901">
        <f t="shared" si="379"/>
        <v>47.54</v>
      </c>
      <c r="J1433" s="902">
        <f t="shared" si="380"/>
        <v>57.08</v>
      </c>
      <c r="K1433" s="903" t="s">
        <v>1516</v>
      </c>
      <c r="L1433" s="904">
        <f>ROUND(SUM('RES. CENTRAL PARK:RUA_FINAL'!L1433),2)</f>
        <v>0</v>
      </c>
      <c r="M1433" s="904">
        <f t="shared" si="381"/>
        <v>0</v>
      </c>
      <c r="N1433" s="893">
        <f t="shared" si="382"/>
        <v>0</v>
      </c>
      <c r="O1433" s="905"/>
      <c r="Q1433" s="317" t="str">
        <f t="shared" si="383"/>
        <v/>
      </c>
      <c r="R1433" s="317" t="str">
        <f t="shared" si="384"/>
        <v/>
      </c>
      <c r="S1433" s="317" t="str">
        <f t="shared" si="385"/>
        <v/>
      </c>
      <c r="V1433" s="314">
        <f>SUM('RES. CENTRAL PARK:RUA_FINAL'!N1433)</f>
        <v>0</v>
      </c>
      <c r="W1433" s="315">
        <f t="shared" si="386"/>
        <v>0</v>
      </c>
    </row>
    <row r="1434" spans="1:23" ht="38.1" hidden="1" customHeight="1" x14ac:dyDescent="0.2">
      <c r="A1434" s="63">
        <v>97590</v>
      </c>
      <c r="B1434" s="895">
        <v>97590</v>
      </c>
      <c r="C1434" s="896" t="s">
        <v>596</v>
      </c>
      <c r="D1434" s="906" t="s">
        <v>1360</v>
      </c>
      <c r="E1434" s="907"/>
      <c r="F1434" s="908"/>
      <c r="G1434" s="912"/>
      <c r="H1434" s="901">
        <v>113.3</v>
      </c>
      <c r="I1434" s="901">
        <f t="shared" si="379"/>
        <v>113.3</v>
      </c>
      <c r="J1434" s="902">
        <f t="shared" si="380"/>
        <v>136.04</v>
      </c>
      <c r="K1434" s="903" t="s">
        <v>1516</v>
      </c>
      <c r="L1434" s="904">
        <f>ROUND(SUM('RES. CENTRAL PARK:RUA_FINAL'!L1434),2)</f>
        <v>0</v>
      </c>
      <c r="M1434" s="904">
        <f t="shared" si="381"/>
        <v>0</v>
      </c>
      <c r="N1434" s="893">
        <f t="shared" si="382"/>
        <v>0</v>
      </c>
      <c r="O1434" s="905"/>
      <c r="Q1434" s="317" t="str">
        <f t="shared" si="383"/>
        <v/>
      </c>
      <c r="R1434" s="317" t="str">
        <f t="shared" si="384"/>
        <v/>
      </c>
      <c r="S1434" s="317" t="str">
        <f t="shared" si="385"/>
        <v/>
      </c>
      <c r="V1434" s="314">
        <f>SUM('RES. CENTRAL PARK:RUA_FINAL'!N1434)</f>
        <v>0</v>
      </c>
      <c r="W1434" s="315">
        <f t="shared" si="386"/>
        <v>0</v>
      </c>
    </row>
    <row r="1435" spans="1:23" ht="38.1" hidden="1" customHeight="1" x14ac:dyDescent="0.2">
      <c r="A1435" s="63">
        <v>97591</v>
      </c>
      <c r="B1435" s="895">
        <v>97591</v>
      </c>
      <c r="C1435" s="896" t="s">
        <v>596</v>
      </c>
      <c r="D1435" s="906" t="s">
        <v>1361</v>
      </c>
      <c r="E1435" s="907"/>
      <c r="F1435" s="908"/>
      <c r="G1435" s="912"/>
      <c r="H1435" s="901">
        <v>147.91999999999999</v>
      </c>
      <c r="I1435" s="901">
        <f t="shared" si="379"/>
        <v>147.91999999999999</v>
      </c>
      <c r="J1435" s="902">
        <f t="shared" si="380"/>
        <v>177.61</v>
      </c>
      <c r="K1435" s="903" t="s">
        <v>1516</v>
      </c>
      <c r="L1435" s="904">
        <f>ROUND(SUM('RES. CENTRAL PARK:RUA_FINAL'!L1435),2)</f>
        <v>0</v>
      </c>
      <c r="M1435" s="904">
        <f t="shared" si="381"/>
        <v>0</v>
      </c>
      <c r="N1435" s="893">
        <f t="shared" si="382"/>
        <v>0</v>
      </c>
      <c r="O1435" s="905"/>
      <c r="Q1435" s="317" t="str">
        <f t="shared" si="383"/>
        <v/>
      </c>
      <c r="R1435" s="317" t="str">
        <f t="shared" si="384"/>
        <v/>
      </c>
      <c r="S1435" s="317" t="str">
        <f t="shared" si="385"/>
        <v/>
      </c>
      <c r="V1435" s="314">
        <f>SUM('RES. CENTRAL PARK:RUA_FINAL'!N1435)</f>
        <v>0</v>
      </c>
      <c r="W1435" s="315">
        <f t="shared" si="386"/>
        <v>0</v>
      </c>
    </row>
    <row r="1436" spans="1:23" ht="30" hidden="1" customHeight="1" x14ac:dyDescent="0.2">
      <c r="A1436" s="63">
        <v>103782</v>
      </c>
      <c r="B1436" s="895">
        <v>103782</v>
      </c>
      <c r="C1436" s="896" t="s">
        <v>596</v>
      </c>
      <c r="D1436" s="906" t="s">
        <v>1992</v>
      </c>
      <c r="E1436" s="907"/>
      <c r="F1436" s="908"/>
      <c r="G1436" s="912"/>
      <c r="H1436" s="901">
        <v>41.27</v>
      </c>
      <c r="I1436" s="901">
        <f t="shared" si="379"/>
        <v>41.27</v>
      </c>
      <c r="J1436" s="902">
        <f t="shared" si="380"/>
        <v>49.55</v>
      </c>
      <c r="K1436" s="903" t="s">
        <v>1516</v>
      </c>
      <c r="L1436" s="904">
        <f>ROUND(SUM('RES. CENTRAL PARK:RUA_FINAL'!L1436),2)</f>
        <v>0</v>
      </c>
      <c r="M1436" s="904">
        <f t="shared" si="381"/>
        <v>0</v>
      </c>
      <c r="N1436" s="893">
        <f t="shared" si="382"/>
        <v>0</v>
      </c>
      <c r="O1436" s="905"/>
      <c r="Q1436" s="317" t="str">
        <f t="shared" si="383"/>
        <v/>
      </c>
      <c r="R1436" s="317" t="str">
        <f t="shared" si="384"/>
        <v/>
      </c>
      <c r="S1436" s="317" t="str">
        <f t="shared" si="385"/>
        <v/>
      </c>
      <c r="V1436" s="314">
        <f>SUM('RES. CENTRAL PARK:RUA_FINAL'!N1436)</f>
        <v>0</v>
      </c>
      <c r="W1436" s="315">
        <f t="shared" si="386"/>
        <v>0</v>
      </c>
    </row>
    <row r="1437" spans="1:23" ht="30" hidden="1" customHeight="1" x14ac:dyDescent="0.2">
      <c r="A1437" s="63">
        <v>97593</v>
      </c>
      <c r="B1437" s="895">
        <v>97593</v>
      </c>
      <c r="C1437" s="896" t="s">
        <v>596</v>
      </c>
      <c r="D1437" s="906" t="s">
        <v>1362</v>
      </c>
      <c r="E1437" s="907"/>
      <c r="F1437" s="908"/>
      <c r="G1437" s="912"/>
      <c r="H1437" s="901">
        <v>163.66999999999999</v>
      </c>
      <c r="I1437" s="901">
        <f t="shared" si="379"/>
        <v>163.66999999999999</v>
      </c>
      <c r="J1437" s="902">
        <f t="shared" si="380"/>
        <v>196.52</v>
      </c>
      <c r="K1437" s="903" t="s">
        <v>1516</v>
      </c>
      <c r="L1437" s="904">
        <f>ROUND(SUM('RES. CENTRAL PARK:RUA_FINAL'!L1437),2)</f>
        <v>0</v>
      </c>
      <c r="M1437" s="904">
        <f t="shared" si="381"/>
        <v>0</v>
      </c>
      <c r="N1437" s="893">
        <f t="shared" si="382"/>
        <v>0</v>
      </c>
      <c r="O1437" s="905"/>
      <c r="Q1437" s="317" t="str">
        <f t="shared" si="383"/>
        <v/>
      </c>
      <c r="R1437" s="317" t="str">
        <f t="shared" si="384"/>
        <v/>
      </c>
      <c r="S1437" s="317" t="str">
        <f t="shared" si="385"/>
        <v/>
      </c>
      <c r="V1437" s="314">
        <f>SUM('RES. CENTRAL PARK:RUA_FINAL'!N1437)</f>
        <v>0</v>
      </c>
      <c r="W1437" s="315">
        <f t="shared" si="386"/>
        <v>0</v>
      </c>
    </row>
    <row r="1438" spans="1:23" ht="30" hidden="1" customHeight="1" x14ac:dyDescent="0.2">
      <c r="A1438" s="63">
        <v>97594</v>
      </c>
      <c r="B1438" s="895">
        <v>97594</v>
      </c>
      <c r="C1438" s="896" t="s">
        <v>596</v>
      </c>
      <c r="D1438" s="906" t="s">
        <v>1363</v>
      </c>
      <c r="E1438" s="907"/>
      <c r="F1438" s="908"/>
      <c r="G1438" s="912"/>
      <c r="H1438" s="901">
        <v>148.53</v>
      </c>
      <c r="I1438" s="901">
        <f t="shared" si="379"/>
        <v>148.53</v>
      </c>
      <c r="J1438" s="902">
        <f t="shared" si="380"/>
        <v>178.34</v>
      </c>
      <c r="K1438" s="903" t="s">
        <v>1516</v>
      </c>
      <c r="L1438" s="904">
        <f>ROUND(SUM('RES. CENTRAL PARK:RUA_FINAL'!L1438),2)</f>
        <v>0</v>
      </c>
      <c r="M1438" s="904">
        <f t="shared" si="381"/>
        <v>0</v>
      </c>
      <c r="N1438" s="893">
        <f t="shared" si="382"/>
        <v>0</v>
      </c>
      <c r="O1438" s="905"/>
      <c r="Q1438" s="317" t="str">
        <f t="shared" si="383"/>
        <v/>
      </c>
      <c r="R1438" s="317" t="str">
        <f t="shared" si="384"/>
        <v/>
      </c>
      <c r="S1438" s="317" t="str">
        <f t="shared" si="385"/>
        <v/>
      </c>
      <c r="V1438" s="314">
        <f>SUM('RES. CENTRAL PARK:RUA_FINAL'!N1438)</f>
        <v>0</v>
      </c>
      <c r="W1438" s="315">
        <f t="shared" si="386"/>
        <v>0</v>
      </c>
    </row>
    <row r="1439" spans="1:23" ht="30" hidden="1" customHeight="1" x14ac:dyDescent="0.2">
      <c r="A1439" s="63">
        <v>101666</v>
      </c>
      <c r="B1439" s="895">
        <v>101666</v>
      </c>
      <c r="C1439" s="896" t="s">
        <v>596</v>
      </c>
      <c r="D1439" s="906" t="s">
        <v>1364</v>
      </c>
      <c r="E1439" s="907"/>
      <c r="F1439" s="908"/>
      <c r="G1439" s="912"/>
      <c r="H1439" s="901">
        <v>450.92</v>
      </c>
      <c r="I1439" s="901">
        <f t="shared" si="379"/>
        <v>450.92</v>
      </c>
      <c r="J1439" s="902">
        <f t="shared" si="380"/>
        <v>541.41999999999996</v>
      </c>
      <c r="K1439" s="903" t="s">
        <v>1516</v>
      </c>
      <c r="L1439" s="904">
        <f>ROUND(SUM('RES. CENTRAL PARK:RUA_FINAL'!L1439),2)</f>
        <v>0</v>
      </c>
      <c r="M1439" s="904">
        <f t="shared" si="381"/>
        <v>0</v>
      </c>
      <c r="N1439" s="893">
        <f t="shared" si="382"/>
        <v>0</v>
      </c>
      <c r="O1439" s="905"/>
      <c r="Q1439" s="317" t="str">
        <f t="shared" si="383"/>
        <v/>
      </c>
      <c r="R1439" s="317" t="str">
        <f t="shared" si="384"/>
        <v/>
      </c>
      <c r="S1439" s="317" t="str">
        <f t="shared" si="385"/>
        <v/>
      </c>
      <c r="V1439" s="314">
        <f>SUM('RES. CENTRAL PARK:RUA_FINAL'!N1439)</f>
        <v>0</v>
      </c>
      <c r="W1439" s="315">
        <f t="shared" si="386"/>
        <v>0</v>
      </c>
    </row>
    <row r="1440" spans="1:23" ht="38.1" hidden="1" customHeight="1" x14ac:dyDescent="0.2">
      <c r="A1440" s="63">
        <v>97600</v>
      </c>
      <c r="B1440" s="895">
        <v>97600</v>
      </c>
      <c r="C1440" s="896" t="s">
        <v>596</v>
      </c>
      <c r="D1440" s="906" t="s">
        <v>1365</v>
      </c>
      <c r="E1440" s="907"/>
      <c r="F1440" s="908"/>
      <c r="G1440" s="912"/>
      <c r="H1440" s="901">
        <v>360.17</v>
      </c>
      <c r="I1440" s="901">
        <f t="shared" si="379"/>
        <v>360.17</v>
      </c>
      <c r="J1440" s="902">
        <f t="shared" si="380"/>
        <v>432.46</v>
      </c>
      <c r="K1440" s="903" t="s">
        <v>1516</v>
      </c>
      <c r="L1440" s="904">
        <f>ROUND(SUM('RES. CENTRAL PARK:RUA_FINAL'!L1440),2)</f>
        <v>0</v>
      </c>
      <c r="M1440" s="904">
        <f t="shared" si="381"/>
        <v>0</v>
      </c>
      <c r="N1440" s="893">
        <f t="shared" si="382"/>
        <v>0</v>
      </c>
      <c r="O1440" s="905"/>
      <c r="Q1440" s="317" t="str">
        <f t="shared" si="383"/>
        <v/>
      </c>
      <c r="R1440" s="317" t="str">
        <f t="shared" si="384"/>
        <v/>
      </c>
      <c r="S1440" s="317" t="str">
        <f t="shared" si="385"/>
        <v/>
      </c>
      <c r="V1440" s="314">
        <f>SUM('RES. CENTRAL PARK:RUA_FINAL'!N1440)</f>
        <v>0</v>
      </c>
      <c r="W1440" s="315">
        <f t="shared" si="386"/>
        <v>0</v>
      </c>
    </row>
    <row r="1441" spans="1:23" ht="38.1" hidden="1" customHeight="1" x14ac:dyDescent="0.2">
      <c r="A1441" s="63">
        <v>97601</v>
      </c>
      <c r="B1441" s="895">
        <v>97601</v>
      </c>
      <c r="C1441" s="896" t="s">
        <v>596</v>
      </c>
      <c r="D1441" s="906" t="s">
        <v>1366</v>
      </c>
      <c r="E1441" s="907"/>
      <c r="F1441" s="908"/>
      <c r="G1441" s="912"/>
      <c r="H1441" s="901">
        <v>380.4</v>
      </c>
      <c r="I1441" s="901">
        <f t="shared" si="379"/>
        <v>380.4</v>
      </c>
      <c r="J1441" s="902">
        <f t="shared" si="380"/>
        <v>456.75</v>
      </c>
      <c r="K1441" s="903" t="s">
        <v>1516</v>
      </c>
      <c r="L1441" s="904">
        <f>ROUND(SUM('RES. CENTRAL PARK:RUA_FINAL'!L1441),2)</f>
        <v>0</v>
      </c>
      <c r="M1441" s="904">
        <f t="shared" si="381"/>
        <v>0</v>
      </c>
      <c r="N1441" s="893">
        <f t="shared" si="382"/>
        <v>0</v>
      </c>
      <c r="O1441" s="905"/>
      <c r="Q1441" s="317" t="str">
        <f t="shared" si="383"/>
        <v/>
      </c>
      <c r="R1441" s="317" t="str">
        <f t="shared" si="384"/>
        <v/>
      </c>
      <c r="S1441" s="317" t="str">
        <f t="shared" si="385"/>
        <v/>
      </c>
      <c r="V1441" s="314">
        <f>SUM('RES. CENTRAL PARK:RUA_FINAL'!N1441)</f>
        <v>0</v>
      </c>
      <c r="W1441" s="315">
        <f t="shared" si="386"/>
        <v>0</v>
      </c>
    </row>
    <row r="1442" spans="1:23" ht="30" hidden="1" customHeight="1" x14ac:dyDescent="0.2">
      <c r="A1442" s="63">
        <v>97611</v>
      </c>
      <c r="B1442" s="895">
        <v>97611</v>
      </c>
      <c r="C1442" s="896" t="s">
        <v>596</v>
      </c>
      <c r="D1442" s="906" t="s">
        <v>1367</v>
      </c>
      <c r="E1442" s="907"/>
      <c r="F1442" s="908"/>
      <c r="G1442" s="912"/>
      <c r="H1442" s="901">
        <v>27.22</v>
      </c>
      <c r="I1442" s="901">
        <f t="shared" si="379"/>
        <v>27.22</v>
      </c>
      <c r="J1442" s="902">
        <f t="shared" si="380"/>
        <v>32.68</v>
      </c>
      <c r="K1442" s="903" t="s">
        <v>1516</v>
      </c>
      <c r="L1442" s="904">
        <f>ROUND(SUM('RES. CENTRAL PARK:RUA_FINAL'!L1442),2)</f>
        <v>0</v>
      </c>
      <c r="M1442" s="904">
        <f t="shared" si="381"/>
        <v>0</v>
      </c>
      <c r="N1442" s="893">
        <f t="shared" si="382"/>
        <v>0</v>
      </c>
      <c r="O1442" s="905"/>
      <c r="Q1442" s="317" t="str">
        <f t="shared" si="383"/>
        <v/>
      </c>
      <c r="R1442" s="317" t="str">
        <f t="shared" si="384"/>
        <v/>
      </c>
      <c r="S1442" s="317" t="str">
        <f t="shared" si="385"/>
        <v/>
      </c>
      <c r="V1442" s="314">
        <f>SUM('RES. CENTRAL PARK:RUA_FINAL'!N1442)</f>
        <v>0</v>
      </c>
      <c r="W1442" s="315">
        <f t="shared" si="386"/>
        <v>0</v>
      </c>
    </row>
    <row r="1443" spans="1:23" ht="30" hidden="1" customHeight="1" x14ac:dyDescent="0.2">
      <c r="A1443" s="63">
        <v>97612</v>
      </c>
      <c r="B1443" s="895">
        <v>97612</v>
      </c>
      <c r="C1443" s="896" t="s">
        <v>596</v>
      </c>
      <c r="D1443" s="906" t="s">
        <v>1368</v>
      </c>
      <c r="E1443" s="907"/>
      <c r="F1443" s="908"/>
      <c r="G1443" s="912"/>
      <c r="H1443" s="901">
        <v>29.48</v>
      </c>
      <c r="I1443" s="901">
        <f t="shared" si="379"/>
        <v>29.48</v>
      </c>
      <c r="J1443" s="902">
        <f t="shared" si="380"/>
        <v>35.4</v>
      </c>
      <c r="K1443" s="903" t="s">
        <v>1516</v>
      </c>
      <c r="L1443" s="904">
        <f>ROUND(SUM('RES. CENTRAL PARK:RUA_FINAL'!L1443),2)</f>
        <v>0</v>
      </c>
      <c r="M1443" s="904">
        <f t="shared" si="381"/>
        <v>0</v>
      </c>
      <c r="N1443" s="893">
        <f t="shared" si="382"/>
        <v>0</v>
      </c>
      <c r="O1443" s="905"/>
      <c r="Q1443" s="317" t="str">
        <f t="shared" si="383"/>
        <v/>
      </c>
      <c r="R1443" s="317" t="str">
        <f t="shared" si="384"/>
        <v/>
      </c>
      <c r="S1443" s="317" t="str">
        <f t="shared" si="385"/>
        <v/>
      </c>
      <c r="V1443" s="314">
        <f>SUM('RES. CENTRAL PARK:RUA_FINAL'!N1443)</f>
        <v>0</v>
      </c>
      <c r="W1443" s="315">
        <f t="shared" si="386"/>
        <v>0</v>
      </c>
    </row>
    <row r="1444" spans="1:23" ht="30" hidden="1" customHeight="1" x14ac:dyDescent="0.2">
      <c r="A1444" s="63">
        <v>97615</v>
      </c>
      <c r="B1444" s="895">
        <v>97615</v>
      </c>
      <c r="C1444" s="896" t="s">
        <v>596</v>
      </c>
      <c r="D1444" s="906" t="s">
        <v>1369</v>
      </c>
      <c r="E1444" s="907"/>
      <c r="F1444" s="908"/>
      <c r="G1444" s="912"/>
      <c r="H1444" s="901">
        <v>62.31</v>
      </c>
      <c r="I1444" s="901">
        <f t="shared" si="379"/>
        <v>62.31</v>
      </c>
      <c r="J1444" s="902">
        <f t="shared" si="380"/>
        <v>74.819999999999993</v>
      </c>
      <c r="K1444" s="903" t="s">
        <v>1516</v>
      </c>
      <c r="L1444" s="904">
        <f>ROUND(SUM('RES. CENTRAL PARK:RUA_FINAL'!L1444),2)</f>
        <v>0</v>
      </c>
      <c r="M1444" s="904">
        <f t="shared" si="381"/>
        <v>0</v>
      </c>
      <c r="N1444" s="893">
        <f t="shared" si="382"/>
        <v>0</v>
      </c>
      <c r="O1444" s="905"/>
      <c r="Q1444" s="317" t="str">
        <f t="shared" si="383"/>
        <v/>
      </c>
      <c r="R1444" s="317" t="str">
        <f t="shared" si="384"/>
        <v/>
      </c>
      <c r="S1444" s="317" t="str">
        <f t="shared" si="385"/>
        <v/>
      </c>
      <c r="V1444" s="314">
        <f>SUM('RES. CENTRAL PARK:RUA_FINAL'!N1444)</f>
        <v>0</v>
      </c>
      <c r="W1444" s="315">
        <f t="shared" si="386"/>
        <v>0</v>
      </c>
    </row>
    <row r="1445" spans="1:23" ht="30" hidden="1" customHeight="1" x14ac:dyDescent="0.2">
      <c r="A1445" s="63">
        <v>97616</v>
      </c>
      <c r="B1445" s="895">
        <v>97616</v>
      </c>
      <c r="C1445" s="896" t="s">
        <v>596</v>
      </c>
      <c r="D1445" s="906" t="s">
        <v>1370</v>
      </c>
      <c r="E1445" s="907"/>
      <c r="F1445" s="908"/>
      <c r="G1445" s="912"/>
      <c r="H1445" s="901">
        <v>71.38</v>
      </c>
      <c r="I1445" s="901">
        <f t="shared" si="379"/>
        <v>71.38</v>
      </c>
      <c r="J1445" s="902">
        <f t="shared" si="380"/>
        <v>85.71</v>
      </c>
      <c r="K1445" s="903" t="s">
        <v>1516</v>
      </c>
      <c r="L1445" s="904">
        <f>ROUND(SUM('RES. CENTRAL PARK:RUA_FINAL'!L1445),2)</f>
        <v>0</v>
      </c>
      <c r="M1445" s="904">
        <f t="shared" si="381"/>
        <v>0</v>
      </c>
      <c r="N1445" s="893">
        <f t="shared" si="382"/>
        <v>0</v>
      </c>
      <c r="O1445" s="905"/>
      <c r="Q1445" s="317" t="str">
        <f t="shared" si="383"/>
        <v/>
      </c>
      <c r="R1445" s="317" t="str">
        <f t="shared" si="384"/>
        <v/>
      </c>
      <c r="S1445" s="317" t="str">
        <f t="shared" si="385"/>
        <v/>
      </c>
      <c r="V1445" s="314">
        <f>SUM('RES. CENTRAL PARK:RUA_FINAL'!N1445)</f>
        <v>0</v>
      </c>
      <c r="W1445" s="315">
        <f t="shared" si="386"/>
        <v>0</v>
      </c>
    </row>
    <row r="1446" spans="1:23" ht="30" hidden="1" customHeight="1" x14ac:dyDescent="0.2">
      <c r="A1446" s="63">
        <v>97617</v>
      </c>
      <c r="B1446" s="895">
        <v>97617</v>
      </c>
      <c r="C1446" s="896" t="s">
        <v>596</v>
      </c>
      <c r="D1446" s="906" t="s">
        <v>1371</v>
      </c>
      <c r="E1446" s="907"/>
      <c r="F1446" s="908"/>
      <c r="G1446" s="912"/>
      <c r="H1446" s="901">
        <v>71.03</v>
      </c>
      <c r="I1446" s="901">
        <f t="shared" si="379"/>
        <v>71.03</v>
      </c>
      <c r="J1446" s="902">
        <f t="shared" si="380"/>
        <v>85.29</v>
      </c>
      <c r="K1446" s="903" t="s">
        <v>1516</v>
      </c>
      <c r="L1446" s="904">
        <f>ROUND(SUM('RES. CENTRAL PARK:RUA_FINAL'!L1446),2)</f>
        <v>0</v>
      </c>
      <c r="M1446" s="904">
        <f t="shared" si="381"/>
        <v>0</v>
      </c>
      <c r="N1446" s="893">
        <f t="shared" si="382"/>
        <v>0</v>
      </c>
      <c r="O1446" s="905"/>
      <c r="Q1446" s="317" t="str">
        <f t="shared" si="383"/>
        <v/>
      </c>
      <c r="R1446" s="317" t="str">
        <f t="shared" si="384"/>
        <v/>
      </c>
      <c r="S1446" s="317" t="str">
        <f t="shared" si="385"/>
        <v/>
      </c>
      <c r="V1446" s="314">
        <f>SUM('RES. CENTRAL PARK:RUA_FINAL'!N1446)</f>
        <v>0</v>
      </c>
      <c r="W1446" s="315">
        <f t="shared" si="386"/>
        <v>0</v>
      </c>
    </row>
    <row r="1447" spans="1:23" ht="30" hidden="1" customHeight="1" x14ac:dyDescent="0.2">
      <c r="A1447" s="63">
        <v>97618</v>
      </c>
      <c r="B1447" s="895">
        <v>97618</v>
      </c>
      <c r="C1447" s="896" t="s">
        <v>596</v>
      </c>
      <c r="D1447" s="906" t="s">
        <v>1372</v>
      </c>
      <c r="E1447" s="907"/>
      <c r="F1447" s="908"/>
      <c r="G1447" s="912"/>
      <c r="H1447" s="901">
        <v>65.489999999999995</v>
      </c>
      <c r="I1447" s="901">
        <f t="shared" si="379"/>
        <v>65.489999999999995</v>
      </c>
      <c r="J1447" s="902">
        <f t="shared" si="380"/>
        <v>78.63</v>
      </c>
      <c r="K1447" s="903" t="s">
        <v>1516</v>
      </c>
      <c r="L1447" s="904">
        <f>ROUND(SUM('RES. CENTRAL PARK:RUA_FINAL'!L1447),2)</f>
        <v>0</v>
      </c>
      <c r="M1447" s="904">
        <f t="shared" si="381"/>
        <v>0</v>
      </c>
      <c r="N1447" s="893">
        <f t="shared" si="382"/>
        <v>0</v>
      </c>
      <c r="O1447" s="905"/>
      <c r="Q1447" s="317" t="str">
        <f t="shared" si="383"/>
        <v/>
      </c>
      <c r="R1447" s="317" t="str">
        <f t="shared" si="384"/>
        <v/>
      </c>
      <c r="S1447" s="317" t="str">
        <f t="shared" si="385"/>
        <v/>
      </c>
      <c r="V1447" s="314">
        <f>SUM('RES. CENTRAL PARK:RUA_FINAL'!N1447)</f>
        <v>0</v>
      </c>
      <c r="W1447" s="315">
        <f t="shared" si="386"/>
        <v>0</v>
      </c>
    </row>
    <row r="1448" spans="1:23" ht="30" hidden="1" customHeight="1" x14ac:dyDescent="0.2">
      <c r="A1448" s="63">
        <v>97613</v>
      </c>
      <c r="B1448" s="895">
        <v>97613</v>
      </c>
      <c r="C1448" s="896" t="s">
        <v>596</v>
      </c>
      <c r="D1448" s="906" t="s">
        <v>1373</v>
      </c>
      <c r="E1448" s="907"/>
      <c r="F1448" s="908"/>
      <c r="G1448" s="912"/>
      <c r="H1448" s="901">
        <v>37.01</v>
      </c>
      <c r="I1448" s="901">
        <f t="shared" si="379"/>
        <v>37.01</v>
      </c>
      <c r="J1448" s="902">
        <f t="shared" si="380"/>
        <v>44.44</v>
      </c>
      <c r="K1448" s="903" t="s">
        <v>1516</v>
      </c>
      <c r="L1448" s="904">
        <f>ROUND(SUM('RES. CENTRAL PARK:RUA_FINAL'!L1448),2)</f>
        <v>0</v>
      </c>
      <c r="M1448" s="904">
        <f t="shared" si="381"/>
        <v>0</v>
      </c>
      <c r="N1448" s="893">
        <f t="shared" si="382"/>
        <v>0</v>
      </c>
      <c r="O1448" s="905"/>
      <c r="Q1448" s="317" t="str">
        <f t="shared" si="383"/>
        <v/>
      </c>
      <c r="R1448" s="317" t="str">
        <f t="shared" si="384"/>
        <v/>
      </c>
      <c r="S1448" s="317" t="str">
        <f t="shared" si="385"/>
        <v/>
      </c>
      <c r="V1448" s="314">
        <f>SUM('RES. CENTRAL PARK:RUA_FINAL'!N1448)</f>
        <v>0</v>
      </c>
      <c r="W1448" s="315">
        <f t="shared" si="386"/>
        <v>0</v>
      </c>
    </row>
    <row r="1449" spans="1:23" ht="30" hidden="1" customHeight="1" x14ac:dyDescent="0.2">
      <c r="A1449" s="63">
        <v>97614</v>
      </c>
      <c r="B1449" s="895">
        <v>97614</v>
      </c>
      <c r="C1449" s="896" t="s">
        <v>596</v>
      </c>
      <c r="D1449" s="906" t="s">
        <v>1374</v>
      </c>
      <c r="E1449" s="907"/>
      <c r="F1449" s="908"/>
      <c r="G1449" s="912"/>
      <c r="H1449" s="901">
        <v>64.17</v>
      </c>
      <c r="I1449" s="901">
        <f t="shared" si="379"/>
        <v>64.17</v>
      </c>
      <c r="J1449" s="902">
        <f t="shared" si="380"/>
        <v>77.05</v>
      </c>
      <c r="K1449" s="903" t="s">
        <v>1516</v>
      </c>
      <c r="L1449" s="904">
        <f>ROUND(SUM('RES. CENTRAL PARK:RUA_FINAL'!L1449),2)</f>
        <v>0</v>
      </c>
      <c r="M1449" s="904">
        <f t="shared" si="381"/>
        <v>0</v>
      </c>
      <c r="N1449" s="893">
        <f t="shared" si="382"/>
        <v>0</v>
      </c>
      <c r="O1449" s="905"/>
      <c r="Q1449" s="317" t="str">
        <f t="shared" si="383"/>
        <v/>
      </c>
      <c r="R1449" s="317" t="str">
        <f t="shared" si="384"/>
        <v/>
      </c>
      <c r="S1449" s="317" t="str">
        <f t="shared" si="385"/>
        <v/>
      </c>
      <c r="V1449" s="314">
        <f>SUM('RES. CENTRAL PARK:RUA_FINAL'!N1449)</f>
        <v>0</v>
      </c>
      <c r="W1449" s="315">
        <f t="shared" si="386"/>
        <v>0</v>
      </c>
    </row>
    <row r="1450" spans="1:23" ht="15" hidden="1" customHeight="1" x14ac:dyDescent="0.2">
      <c r="A1450" s="63">
        <v>101648</v>
      </c>
      <c r="B1450" s="895">
        <v>101648</v>
      </c>
      <c r="C1450" s="896" t="s">
        <v>596</v>
      </c>
      <c r="D1450" s="906" t="s">
        <v>1375</v>
      </c>
      <c r="E1450" s="907"/>
      <c r="F1450" s="908"/>
      <c r="G1450" s="912"/>
      <c r="H1450" s="901">
        <v>57.65</v>
      </c>
      <c r="I1450" s="901">
        <f t="shared" si="379"/>
        <v>57.65</v>
      </c>
      <c r="J1450" s="902">
        <f t="shared" si="380"/>
        <v>69.22</v>
      </c>
      <c r="K1450" s="903" t="s">
        <v>1516</v>
      </c>
      <c r="L1450" s="904">
        <f>ROUND(SUM('RES. CENTRAL PARK:RUA_FINAL'!L1450),2)</f>
        <v>0</v>
      </c>
      <c r="M1450" s="904">
        <f t="shared" si="381"/>
        <v>0</v>
      </c>
      <c r="N1450" s="893">
        <f t="shared" si="382"/>
        <v>0</v>
      </c>
      <c r="O1450" s="905"/>
      <c r="Q1450" s="317" t="str">
        <f t="shared" si="383"/>
        <v/>
      </c>
      <c r="R1450" s="317" t="str">
        <f t="shared" si="384"/>
        <v/>
      </c>
      <c r="S1450" s="317" t="str">
        <f t="shared" si="385"/>
        <v/>
      </c>
      <c r="V1450" s="314">
        <f>SUM('RES. CENTRAL PARK:RUA_FINAL'!N1450)</f>
        <v>0</v>
      </c>
      <c r="W1450" s="315">
        <f t="shared" si="386"/>
        <v>0</v>
      </c>
    </row>
    <row r="1451" spans="1:23" ht="15" hidden="1" customHeight="1" x14ac:dyDescent="0.2">
      <c r="A1451" s="63">
        <v>101649</v>
      </c>
      <c r="B1451" s="895">
        <v>101649</v>
      </c>
      <c r="C1451" s="896" t="s">
        <v>596</v>
      </c>
      <c r="D1451" s="906" t="s">
        <v>1376</v>
      </c>
      <c r="E1451" s="907"/>
      <c r="F1451" s="908"/>
      <c r="G1451" s="912"/>
      <c r="H1451" s="901">
        <v>66.41</v>
      </c>
      <c r="I1451" s="901">
        <f t="shared" si="379"/>
        <v>66.41</v>
      </c>
      <c r="J1451" s="902">
        <f t="shared" si="380"/>
        <v>79.739999999999995</v>
      </c>
      <c r="K1451" s="903" t="s">
        <v>1516</v>
      </c>
      <c r="L1451" s="904">
        <f>ROUND(SUM('RES. CENTRAL PARK:RUA_FINAL'!L1451),2)</f>
        <v>0</v>
      </c>
      <c r="M1451" s="904">
        <f t="shared" si="381"/>
        <v>0</v>
      </c>
      <c r="N1451" s="893">
        <f t="shared" si="382"/>
        <v>0</v>
      </c>
      <c r="O1451" s="905"/>
      <c r="Q1451" s="317" t="str">
        <f t="shared" si="383"/>
        <v/>
      </c>
      <c r="R1451" s="317" t="str">
        <f t="shared" si="384"/>
        <v/>
      </c>
      <c r="S1451" s="317" t="str">
        <f t="shared" si="385"/>
        <v/>
      </c>
      <c r="V1451" s="314">
        <f>SUM('RES. CENTRAL PARK:RUA_FINAL'!N1451)</f>
        <v>0</v>
      </c>
      <c r="W1451" s="315">
        <f t="shared" si="386"/>
        <v>0</v>
      </c>
    </row>
    <row r="1452" spans="1:23" ht="15" hidden="1" customHeight="1" x14ac:dyDescent="0.2">
      <c r="A1452" s="63">
        <v>101650</v>
      </c>
      <c r="B1452" s="895">
        <v>101650</v>
      </c>
      <c r="C1452" s="896" t="s">
        <v>596</v>
      </c>
      <c r="D1452" s="906" t="s">
        <v>1377</v>
      </c>
      <c r="E1452" s="907"/>
      <c r="F1452" s="908"/>
      <c r="G1452" s="912"/>
      <c r="H1452" s="901">
        <v>77.16</v>
      </c>
      <c r="I1452" s="901">
        <f t="shared" si="379"/>
        <v>77.16</v>
      </c>
      <c r="J1452" s="902">
        <f t="shared" si="380"/>
        <v>92.65</v>
      </c>
      <c r="K1452" s="903" t="s">
        <v>1516</v>
      </c>
      <c r="L1452" s="904">
        <f>ROUND(SUM('RES. CENTRAL PARK:RUA_FINAL'!L1452),2)</f>
        <v>0</v>
      </c>
      <c r="M1452" s="904">
        <f t="shared" si="381"/>
        <v>0</v>
      </c>
      <c r="N1452" s="893">
        <f t="shared" si="382"/>
        <v>0</v>
      </c>
      <c r="O1452" s="905"/>
      <c r="Q1452" s="317" t="str">
        <f t="shared" si="383"/>
        <v/>
      </c>
      <c r="R1452" s="317" t="str">
        <f t="shared" si="384"/>
        <v/>
      </c>
      <c r="S1452" s="317" t="str">
        <f t="shared" si="385"/>
        <v/>
      </c>
      <c r="V1452" s="314">
        <f>SUM('RES. CENTRAL PARK:RUA_FINAL'!N1452)</f>
        <v>0</v>
      </c>
      <c r="W1452" s="315">
        <f t="shared" si="386"/>
        <v>0</v>
      </c>
    </row>
    <row r="1453" spans="1:23" ht="15" hidden="1" customHeight="1" x14ac:dyDescent="0.2">
      <c r="A1453" s="63">
        <v>101640</v>
      </c>
      <c r="B1453" s="895">
        <v>101640</v>
      </c>
      <c r="C1453" s="896" t="s">
        <v>596</v>
      </c>
      <c r="D1453" s="906" t="s">
        <v>1378</v>
      </c>
      <c r="E1453" s="907"/>
      <c r="F1453" s="908"/>
      <c r="G1453" s="912"/>
      <c r="H1453" s="901">
        <v>105.4</v>
      </c>
      <c r="I1453" s="901">
        <f t="shared" si="379"/>
        <v>105.4</v>
      </c>
      <c r="J1453" s="902">
        <f t="shared" si="380"/>
        <v>126.55</v>
      </c>
      <c r="K1453" s="903" t="s">
        <v>1516</v>
      </c>
      <c r="L1453" s="904">
        <f>ROUND(SUM('RES. CENTRAL PARK:RUA_FINAL'!L1453),2)</f>
        <v>0</v>
      </c>
      <c r="M1453" s="904">
        <f t="shared" si="381"/>
        <v>0</v>
      </c>
      <c r="N1453" s="893">
        <f t="shared" si="382"/>
        <v>0</v>
      </c>
      <c r="O1453" s="905"/>
      <c r="Q1453" s="317" t="str">
        <f t="shared" si="383"/>
        <v/>
      </c>
      <c r="R1453" s="317" t="str">
        <f t="shared" si="384"/>
        <v/>
      </c>
      <c r="S1453" s="317" t="str">
        <f t="shared" si="385"/>
        <v/>
      </c>
      <c r="V1453" s="314">
        <f>SUM('RES. CENTRAL PARK:RUA_FINAL'!N1453)</f>
        <v>0</v>
      </c>
      <c r="W1453" s="315">
        <f t="shared" si="386"/>
        <v>0</v>
      </c>
    </row>
    <row r="1454" spans="1:23" ht="15" hidden="1" customHeight="1" x14ac:dyDescent="0.2">
      <c r="A1454" s="63">
        <v>101641</v>
      </c>
      <c r="B1454" s="895">
        <v>101641</v>
      </c>
      <c r="C1454" s="896" t="s">
        <v>596</v>
      </c>
      <c r="D1454" s="906" t="s">
        <v>1379</v>
      </c>
      <c r="E1454" s="907"/>
      <c r="F1454" s="908"/>
      <c r="G1454" s="912"/>
      <c r="H1454" s="901">
        <v>54.66</v>
      </c>
      <c r="I1454" s="901">
        <f t="shared" si="379"/>
        <v>54.66</v>
      </c>
      <c r="J1454" s="902">
        <f t="shared" si="380"/>
        <v>65.63</v>
      </c>
      <c r="K1454" s="903" t="s">
        <v>1516</v>
      </c>
      <c r="L1454" s="904">
        <f>ROUND(SUM('RES. CENTRAL PARK:RUA_FINAL'!L1454),2)</f>
        <v>0</v>
      </c>
      <c r="M1454" s="904">
        <f t="shared" si="381"/>
        <v>0</v>
      </c>
      <c r="N1454" s="893">
        <f t="shared" si="382"/>
        <v>0</v>
      </c>
      <c r="O1454" s="905"/>
      <c r="Q1454" s="317" t="str">
        <f t="shared" si="383"/>
        <v/>
      </c>
      <c r="R1454" s="317" t="str">
        <f t="shared" si="384"/>
        <v/>
      </c>
      <c r="S1454" s="317" t="str">
        <f t="shared" si="385"/>
        <v/>
      </c>
      <c r="V1454" s="314">
        <f>SUM('RES. CENTRAL PARK:RUA_FINAL'!N1454)</f>
        <v>0</v>
      </c>
      <c r="W1454" s="315">
        <f t="shared" si="386"/>
        <v>0</v>
      </c>
    </row>
    <row r="1455" spans="1:23" ht="15" hidden="1" customHeight="1" x14ac:dyDescent="0.2">
      <c r="A1455" s="63">
        <v>101642</v>
      </c>
      <c r="B1455" s="895">
        <v>101642</v>
      </c>
      <c r="C1455" s="896" t="s">
        <v>596</v>
      </c>
      <c r="D1455" s="906" t="s">
        <v>1380</v>
      </c>
      <c r="E1455" s="907"/>
      <c r="F1455" s="908"/>
      <c r="G1455" s="912"/>
      <c r="H1455" s="901">
        <v>27.5</v>
      </c>
      <c r="I1455" s="901">
        <f t="shared" si="379"/>
        <v>27.5</v>
      </c>
      <c r="J1455" s="902">
        <f t="shared" si="380"/>
        <v>33.020000000000003</v>
      </c>
      <c r="K1455" s="903" t="s">
        <v>1516</v>
      </c>
      <c r="L1455" s="904">
        <f>ROUND(SUM('RES. CENTRAL PARK:RUA_FINAL'!L1455),2)</f>
        <v>0</v>
      </c>
      <c r="M1455" s="904">
        <f t="shared" si="381"/>
        <v>0</v>
      </c>
      <c r="N1455" s="893">
        <f t="shared" si="382"/>
        <v>0</v>
      </c>
      <c r="O1455" s="905"/>
      <c r="Q1455" s="317" t="str">
        <f t="shared" si="383"/>
        <v/>
      </c>
      <c r="R1455" s="317" t="str">
        <f t="shared" si="384"/>
        <v/>
      </c>
      <c r="S1455" s="317" t="str">
        <f t="shared" si="385"/>
        <v/>
      </c>
      <c r="V1455" s="314">
        <f>SUM('RES. CENTRAL PARK:RUA_FINAL'!N1455)</f>
        <v>0</v>
      </c>
      <c r="W1455" s="315">
        <f t="shared" si="386"/>
        <v>0</v>
      </c>
    </row>
    <row r="1456" spans="1:23" ht="15" hidden="1" customHeight="1" x14ac:dyDescent="0.2">
      <c r="A1456" s="63">
        <v>101643</v>
      </c>
      <c r="B1456" s="895">
        <v>101643</v>
      </c>
      <c r="C1456" s="896" t="s">
        <v>596</v>
      </c>
      <c r="D1456" s="906" t="s">
        <v>1381</v>
      </c>
      <c r="E1456" s="907"/>
      <c r="F1456" s="908"/>
      <c r="G1456" s="912"/>
      <c r="H1456" s="901">
        <v>47.73</v>
      </c>
      <c r="I1456" s="901">
        <f t="shared" si="379"/>
        <v>47.73</v>
      </c>
      <c r="J1456" s="902">
        <f t="shared" si="380"/>
        <v>57.31</v>
      </c>
      <c r="K1456" s="903" t="s">
        <v>1516</v>
      </c>
      <c r="L1456" s="904">
        <f>ROUND(SUM('RES. CENTRAL PARK:RUA_FINAL'!L1456),2)</f>
        <v>0</v>
      </c>
      <c r="M1456" s="904">
        <f t="shared" si="381"/>
        <v>0</v>
      </c>
      <c r="N1456" s="893">
        <f t="shared" si="382"/>
        <v>0</v>
      </c>
      <c r="O1456" s="905"/>
      <c r="Q1456" s="317" t="str">
        <f t="shared" si="383"/>
        <v/>
      </c>
      <c r="R1456" s="317" t="str">
        <f t="shared" si="384"/>
        <v/>
      </c>
      <c r="S1456" s="317" t="str">
        <f t="shared" si="385"/>
        <v/>
      </c>
      <c r="V1456" s="314">
        <f>SUM('RES. CENTRAL PARK:RUA_FINAL'!N1456)</f>
        <v>0</v>
      </c>
      <c r="W1456" s="315">
        <f t="shared" si="386"/>
        <v>0</v>
      </c>
    </row>
    <row r="1457" spans="1:23" ht="15" hidden="1" customHeight="1" x14ac:dyDescent="0.2">
      <c r="A1457" s="63">
        <v>101644</v>
      </c>
      <c r="B1457" s="895">
        <v>101644</v>
      </c>
      <c r="C1457" s="896" t="s">
        <v>596</v>
      </c>
      <c r="D1457" s="906" t="s">
        <v>1382</v>
      </c>
      <c r="E1457" s="907"/>
      <c r="F1457" s="908"/>
      <c r="G1457" s="912"/>
      <c r="H1457" s="901">
        <v>64.540000000000006</v>
      </c>
      <c r="I1457" s="901">
        <f t="shared" si="379"/>
        <v>64.540000000000006</v>
      </c>
      <c r="J1457" s="902">
        <f t="shared" si="380"/>
        <v>77.489999999999995</v>
      </c>
      <c r="K1457" s="903" t="s">
        <v>1516</v>
      </c>
      <c r="L1457" s="904">
        <f>ROUND(SUM('RES. CENTRAL PARK:RUA_FINAL'!L1457),2)</f>
        <v>0</v>
      </c>
      <c r="M1457" s="904">
        <f t="shared" si="381"/>
        <v>0</v>
      </c>
      <c r="N1457" s="893">
        <f t="shared" si="382"/>
        <v>0</v>
      </c>
      <c r="O1457" s="905"/>
      <c r="Q1457" s="317" t="str">
        <f t="shared" si="383"/>
        <v/>
      </c>
      <c r="R1457" s="317" t="str">
        <f t="shared" si="384"/>
        <v/>
      </c>
      <c r="S1457" s="317" t="str">
        <f t="shared" si="385"/>
        <v/>
      </c>
      <c r="V1457" s="314">
        <f>SUM('RES. CENTRAL PARK:RUA_FINAL'!N1457)</f>
        <v>0</v>
      </c>
      <c r="W1457" s="315">
        <f t="shared" si="386"/>
        <v>0</v>
      </c>
    </row>
    <row r="1458" spans="1:23" ht="15" hidden="1" customHeight="1" x14ac:dyDescent="0.2">
      <c r="A1458" s="63">
        <v>101645</v>
      </c>
      <c r="B1458" s="895">
        <v>101645</v>
      </c>
      <c r="C1458" s="896" t="s">
        <v>596</v>
      </c>
      <c r="D1458" s="906" t="s">
        <v>1383</v>
      </c>
      <c r="E1458" s="907"/>
      <c r="F1458" s="908"/>
      <c r="G1458" s="912"/>
      <c r="H1458" s="901">
        <v>30.63</v>
      </c>
      <c r="I1458" s="901">
        <f t="shared" si="379"/>
        <v>30.63</v>
      </c>
      <c r="J1458" s="902">
        <f t="shared" si="380"/>
        <v>36.78</v>
      </c>
      <c r="K1458" s="903" t="s">
        <v>1516</v>
      </c>
      <c r="L1458" s="904">
        <f>ROUND(SUM('RES. CENTRAL PARK:RUA_FINAL'!L1458),2)</f>
        <v>0</v>
      </c>
      <c r="M1458" s="904">
        <f t="shared" si="381"/>
        <v>0</v>
      </c>
      <c r="N1458" s="893">
        <f t="shared" si="382"/>
        <v>0</v>
      </c>
      <c r="O1458" s="905"/>
      <c r="Q1458" s="317" t="str">
        <f t="shared" si="383"/>
        <v/>
      </c>
      <c r="R1458" s="317" t="str">
        <f t="shared" si="384"/>
        <v/>
      </c>
      <c r="S1458" s="317" t="str">
        <f t="shared" si="385"/>
        <v/>
      </c>
      <c r="V1458" s="314">
        <f>SUM('RES. CENTRAL PARK:RUA_FINAL'!N1458)</f>
        <v>0</v>
      </c>
      <c r="W1458" s="315">
        <f t="shared" si="386"/>
        <v>0</v>
      </c>
    </row>
    <row r="1459" spans="1:23" ht="15" hidden="1" customHeight="1" x14ac:dyDescent="0.2">
      <c r="A1459" s="63">
        <v>101646</v>
      </c>
      <c r="B1459" s="895">
        <v>101646</v>
      </c>
      <c r="C1459" s="896" t="s">
        <v>596</v>
      </c>
      <c r="D1459" s="906" t="s">
        <v>1384</v>
      </c>
      <c r="E1459" s="907"/>
      <c r="F1459" s="908"/>
      <c r="G1459" s="912"/>
      <c r="H1459" s="901">
        <v>40.630000000000003</v>
      </c>
      <c r="I1459" s="901">
        <f t="shared" si="379"/>
        <v>40.630000000000003</v>
      </c>
      <c r="J1459" s="902">
        <f t="shared" si="380"/>
        <v>48.78</v>
      </c>
      <c r="K1459" s="903" t="s">
        <v>1516</v>
      </c>
      <c r="L1459" s="904">
        <f>ROUND(SUM('RES. CENTRAL PARK:RUA_FINAL'!L1459),2)</f>
        <v>0</v>
      </c>
      <c r="M1459" s="904">
        <f t="shared" si="381"/>
        <v>0</v>
      </c>
      <c r="N1459" s="893">
        <f t="shared" si="382"/>
        <v>0</v>
      </c>
      <c r="O1459" s="905"/>
      <c r="Q1459" s="317" t="str">
        <f t="shared" si="383"/>
        <v/>
      </c>
      <c r="R1459" s="317" t="str">
        <f t="shared" si="384"/>
        <v/>
      </c>
      <c r="S1459" s="317" t="str">
        <f t="shared" si="385"/>
        <v/>
      </c>
      <c r="V1459" s="314">
        <f>SUM('RES. CENTRAL PARK:RUA_FINAL'!N1459)</f>
        <v>0</v>
      </c>
      <c r="W1459" s="315">
        <f t="shared" si="386"/>
        <v>0</v>
      </c>
    </row>
    <row r="1460" spans="1:23" ht="15" hidden="1" customHeight="1" x14ac:dyDescent="0.2">
      <c r="A1460" s="63">
        <v>101647</v>
      </c>
      <c r="B1460" s="895">
        <v>101647</v>
      </c>
      <c r="C1460" s="896" t="s">
        <v>596</v>
      </c>
      <c r="D1460" s="906" t="s">
        <v>1385</v>
      </c>
      <c r="E1460" s="907"/>
      <c r="F1460" s="908"/>
      <c r="G1460" s="912"/>
      <c r="H1460" s="901">
        <v>74.489999999999995</v>
      </c>
      <c r="I1460" s="901">
        <f t="shared" si="379"/>
        <v>74.489999999999995</v>
      </c>
      <c r="J1460" s="902">
        <f t="shared" si="380"/>
        <v>89.44</v>
      </c>
      <c r="K1460" s="903" t="s">
        <v>1516</v>
      </c>
      <c r="L1460" s="904">
        <f>ROUND(SUM('RES. CENTRAL PARK:RUA_FINAL'!L1460),2)</f>
        <v>0</v>
      </c>
      <c r="M1460" s="904">
        <f t="shared" si="381"/>
        <v>0</v>
      </c>
      <c r="N1460" s="893">
        <f t="shared" si="382"/>
        <v>0</v>
      </c>
      <c r="O1460" s="905"/>
      <c r="Q1460" s="317" t="str">
        <f t="shared" si="383"/>
        <v/>
      </c>
      <c r="R1460" s="317" t="str">
        <f t="shared" si="384"/>
        <v/>
      </c>
      <c r="S1460" s="317" t="str">
        <f t="shared" si="385"/>
        <v/>
      </c>
      <c r="V1460" s="314">
        <f>SUM('RES. CENTRAL PARK:RUA_FINAL'!N1460)</f>
        <v>0</v>
      </c>
      <c r="W1460" s="315">
        <f t="shared" si="386"/>
        <v>0</v>
      </c>
    </row>
    <row r="1461" spans="1:23" ht="30" hidden="1" customHeight="1" x14ac:dyDescent="0.2">
      <c r="A1461" s="63">
        <v>102085</v>
      </c>
      <c r="B1461" s="895">
        <v>102085</v>
      </c>
      <c r="C1461" s="896" t="s">
        <v>596</v>
      </c>
      <c r="D1461" s="906" t="s">
        <v>1386</v>
      </c>
      <c r="E1461" s="907"/>
      <c r="F1461" s="908"/>
      <c r="G1461" s="912"/>
      <c r="H1461" s="901">
        <v>228.92</v>
      </c>
      <c r="I1461" s="901">
        <f t="shared" si="379"/>
        <v>228.92</v>
      </c>
      <c r="J1461" s="902">
        <f t="shared" si="380"/>
        <v>274.86</v>
      </c>
      <c r="K1461" s="903" t="s">
        <v>1516</v>
      </c>
      <c r="L1461" s="904">
        <f>ROUND(SUM('RES. CENTRAL PARK:RUA_FINAL'!L1461),2)</f>
        <v>0</v>
      </c>
      <c r="M1461" s="904">
        <f t="shared" si="381"/>
        <v>0</v>
      </c>
      <c r="N1461" s="893">
        <f t="shared" si="382"/>
        <v>0</v>
      </c>
      <c r="O1461" s="905"/>
      <c r="Q1461" s="317" t="str">
        <f t="shared" si="383"/>
        <v/>
      </c>
      <c r="R1461" s="317" t="str">
        <f t="shared" si="384"/>
        <v/>
      </c>
      <c r="S1461" s="317" t="str">
        <f t="shared" si="385"/>
        <v/>
      </c>
      <c r="V1461" s="314">
        <f>SUM('RES. CENTRAL PARK:RUA_FINAL'!N1461)</f>
        <v>0</v>
      </c>
      <c r="W1461" s="315">
        <f t="shared" si="386"/>
        <v>0</v>
      </c>
    </row>
    <row r="1462" spans="1:23" ht="30" hidden="1" customHeight="1" x14ac:dyDescent="0.2">
      <c r="A1462" s="63">
        <v>97605</v>
      </c>
      <c r="B1462" s="895">
        <v>97605</v>
      </c>
      <c r="C1462" s="896" t="s">
        <v>596</v>
      </c>
      <c r="D1462" s="906" t="s">
        <v>1387</v>
      </c>
      <c r="E1462" s="907"/>
      <c r="F1462" s="908"/>
      <c r="G1462" s="912"/>
      <c r="H1462" s="901">
        <v>105.71</v>
      </c>
      <c r="I1462" s="901">
        <f t="shared" si="379"/>
        <v>105.71</v>
      </c>
      <c r="J1462" s="902">
        <f t="shared" si="380"/>
        <v>126.93</v>
      </c>
      <c r="K1462" s="903" t="s">
        <v>1516</v>
      </c>
      <c r="L1462" s="904">
        <f>ROUND(SUM('RES. CENTRAL PARK:RUA_FINAL'!L1462),2)</f>
        <v>0</v>
      </c>
      <c r="M1462" s="904">
        <f t="shared" si="381"/>
        <v>0</v>
      </c>
      <c r="N1462" s="893">
        <f t="shared" si="382"/>
        <v>0</v>
      </c>
      <c r="O1462" s="905"/>
      <c r="Q1462" s="317" t="str">
        <f t="shared" si="383"/>
        <v/>
      </c>
      <c r="R1462" s="317" t="str">
        <f t="shared" si="384"/>
        <v/>
      </c>
      <c r="S1462" s="317" t="str">
        <f t="shared" si="385"/>
        <v/>
      </c>
      <c r="V1462" s="314">
        <f>SUM('RES. CENTRAL PARK:RUA_FINAL'!N1462)</f>
        <v>0</v>
      </c>
      <c r="W1462" s="315">
        <f t="shared" si="386"/>
        <v>0</v>
      </c>
    </row>
    <row r="1463" spans="1:23" ht="30" hidden="1" customHeight="1" x14ac:dyDescent="0.2">
      <c r="A1463" s="63">
        <v>101654</v>
      </c>
      <c r="B1463" s="895">
        <v>101654</v>
      </c>
      <c r="C1463" s="896" t="s">
        <v>596</v>
      </c>
      <c r="D1463" s="906" t="s">
        <v>1388</v>
      </c>
      <c r="E1463" s="907"/>
      <c r="F1463" s="908"/>
      <c r="G1463" s="912"/>
      <c r="H1463" s="901">
        <v>292.29000000000002</v>
      </c>
      <c r="I1463" s="901">
        <f t="shared" si="379"/>
        <v>292.29000000000002</v>
      </c>
      <c r="J1463" s="902">
        <f t="shared" si="380"/>
        <v>350.95</v>
      </c>
      <c r="K1463" s="903" t="s">
        <v>1516</v>
      </c>
      <c r="L1463" s="904">
        <f>ROUND(SUM('RES. CENTRAL PARK:RUA_FINAL'!L1463),2)</f>
        <v>0</v>
      </c>
      <c r="M1463" s="904">
        <f t="shared" si="381"/>
        <v>0</v>
      </c>
      <c r="N1463" s="893">
        <f t="shared" si="382"/>
        <v>0</v>
      </c>
      <c r="O1463" s="905"/>
      <c r="Q1463" s="317" t="str">
        <f t="shared" si="383"/>
        <v/>
      </c>
      <c r="R1463" s="317" t="str">
        <f t="shared" si="384"/>
        <v/>
      </c>
      <c r="S1463" s="317" t="str">
        <f t="shared" si="385"/>
        <v/>
      </c>
      <c r="V1463" s="314">
        <f>SUM('RES. CENTRAL PARK:RUA_FINAL'!N1463)</f>
        <v>0</v>
      </c>
      <c r="W1463" s="315">
        <f t="shared" si="386"/>
        <v>0</v>
      </c>
    </row>
    <row r="1464" spans="1:23" ht="30" hidden="1" customHeight="1" x14ac:dyDescent="0.2">
      <c r="A1464" s="63">
        <v>101655</v>
      </c>
      <c r="B1464" s="895">
        <v>101655</v>
      </c>
      <c r="C1464" s="896" t="s">
        <v>596</v>
      </c>
      <c r="D1464" s="906" t="s">
        <v>1389</v>
      </c>
      <c r="E1464" s="907"/>
      <c r="F1464" s="908"/>
      <c r="G1464" s="912"/>
      <c r="H1464" s="901">
        <v>473.09</v>
      </c>
      <c r="I1464" s="901">
        <f t="shared" si="379"/>
        <v>473.09</v>
      </c>
      <c r="J1464" s="902">
        <f t="shared" si="380"/>
        <v>568.04</v>
      </c>
      <c r="K1464" s="903" t="s">
        <v>1516</v>
      </c>
      <c r="L1464" s="904">
        <f>ROUND(SUM('RES. CENTRAL PARK:RUA_FINAL'!L1464),2)</f>
        <v>0</v>
      </c>
      <c r="M1464" s="904">
        <f t="shared" si="381"/>
        <v>0</v>
      </c>
      <c r="N1464" s="893">
        <f t="shared" si="382"/>
        <v>0</v>
      </c>
      <c r="O1464" s="905"/>
      <c r="Q1464" s="317" t="str">
        <f t="shared" si="383"/>
        <v/>
      </c>
      <c r="R1464" s="317" t="str">
        <f t="shared" si="384"/>
        <v/>
      </c>
      <c r="S1464" s="317" t="str">
        <f t="shared" si="385"/>
        <v/>
      </c>
      <c r="V1464" s="314">
        <f>SUM('RES. CENTRAL PARK:RUA_FINAL'!N1464)</f>
        <v>0</v>
      </c>
      <c r="W1464" s="315">
        <f t="shared" si="386"/>
        <v>0</v>
      </c>
    </row>
    <row r="1465" spans="1:23" ht="30" hidden="1" customHeight="1" x14ac:dyDescent="0.2">
      <c r="A1465" s="63">
        <v>101656</v>
      </c>
      <c r="B1465" s="895">
        <v>101656</v>
      </c>
      <c r="C1465" s="896" t="s">
        <v>596</v>
      </c>
      <c r="D1465" s="906" t="s">
        <v>1390</v>
      </c>
      <c r="E1465" s="907"/>
      <c r="F1465" s="908"/>
      <c r="G1465" s="912"/>
      <c r="H1465" s="901">
        <v>515.30999999999995</v>
      </c>
      <c r="I1465" s="901">
        <f t="shared" si="379"/>
        <v>515.30999999999995</v>
      </c>
      <c r="J1465" s="902">
        <f t="shared" si="380"/>
        <v>618.73</v>
      </c>
      <c r="K1465" s="903" t="s">
        <v>1516</v>
      </c>
      <c r="L1465" s="904">
        <f>ROUND(SUM('RES. CENTRAL PARK:RUA_FINAL'!L1465),2)</f>
        <v>0</v>
      </c>
      <c r="M1465" s="904">
        <f t="shared" si="381"/>
        <v>0</v>
      </c>
      <c r="N1465" s="893">
        <f t="shared" si="382"/>
        <v>0</v>
      </c>
      <c r="O1465" s="905"/>
      <c r="Q1465" s="317" t="str">
        <f t="shared" si="383"/>
        <v/>
      </c>
      <c r="R1465" s="317" t="str">
        <f t="shared" si="384"/>
        <v/>
      </c>
      <c r="S1465" s="317" t="str">
        <f t="shared" si="385"/>
        <v/>
      </c>
      <c r="V1465" s="314">
        <f>SUM('RES. CENTRAL PARK:RUA_FINAL'!N1465)</f>
        <v>0</v>
      </c>
      <c r="W1465" s="315">
        <f t="shared" si="386"/>
        <v>0</v>
      </c>
    </row>
    <row r="1466" spans="1:23" ht="30" hidden="1" customHeight="1" x14ac:dyDescent="0.2">
      <c r="A1466" s="63">
        <v>101657</v>
      </c>
      <c r="B1466" s="895">
        <v>101657</v>
      </c>
      <c r="C1466" s="896" t="s">
        <v>596</v>
      </c>
      <c r="D1466" s="906" t="s">
        <v>1391</v>
      </c>
      <c r="E1466" s="907"/>
      <c r="F1466" s="908"/>
      <c r="G1466" s="912"/>
      <c r="H1466" s="901">
        <v>605.23</v>
      </c>
      <c r="I1466" s="901">
        <f t="shared" si="379"/>
        <v>605.23</v>
      </c>
      <c r="J1466" s="902">
        <f t="shared" si="380"/>
        <v>726.7</v>
      </c>
      <c r="K1466" s="903" t="s">
        <v>1516</v>
      </c>
      <c r="L1466" s="904">
        <f>ROUND(SUM('RES. CENTRAL PARK:RUA_FINAL'!L1466),2)</f>
        <v>0</v>
      </c>
      <c r="M1466" s="904">
        <f t="shared" si="381"/>
        <v>0</v>
      </c>
      <c r="N1466" s="893">
        <f t="shared" si="382"/>
        <v>0</v>
      </c>
      <c r="O1466" s="905"/>
      <c r="Q1466" s="317" t="str">
        <f t="shared" si="383"/>
        <v/>
      </c>
      <c r="R1466" s="317" t="str">
        <f t="shared" si="384"/>
        <v/>
      </c>
      <c r="S1466" s="317" t="str">
        <f t="shared" si="385"/>
        <v/>
      </c>
      <c r="V1466" s="314">
        <f>SUM('RES. CENTRAL PARK:RUA_FINAL'!N1466)</f>
        <v>0</v>
      </c>
      <c r="W1466" s="315">
        <f t="shared" si="386"/>
        <v>0</v>
      </c>
    </row>
    <row r="1467" spans="1:23" ht="30" hidden="1" customHeight="1" x14ac:dyDescent="0.2">
      <c r="A1467" s="63">
        <v>101658</v>
      </c>
      <c r="B1467" s="895">
        <v>101658</v>
      </c>
      <c r="C1467" s="896" t="s">
        <v>596</v>
      </c>
      <c r="D1467" s="906" t="s">
        <v>1392</v>
      </c>
      <c r="E1467" s="907"/>
      <c r="F1467" s="908"/>
      <c r="G1467" s="912"/>
      <c r="H1467" s="901">
        <v>790.12</v>
      </c>
      <c r="I1467" s="901">
        <f t="shared" si="379"/>
        <v>790.12</v>
      </c>
      <c r="J1467" s="902">
        <f t="shared" si="380"/>
        <v>948.7</v>
      </c>
      <c r="K1467" s="903" t="s">
        <v>1516</v>
      </c>
      <c r="L1467" s="904">
        <f>ROUND(SUM('RES. CENTRAL PARK:RUA_FINAL'!L1467),2)</f>
        <v>0</v>
      </c>
      <c r="M1467" s="904">
        <f t="shared" si="381"/>
        <v>0</v>
      </c>
      <c r="N1467" s="893">
        <f t="shared" si="382"/>
        <v>0</v>
      </c>
      <c r="O1467" s="905"/>
      <c r="Q1467" s="317" t="str">
        <f t="shared" si="383"/>
        <v/>
      </c>
      <c r="R1467" s="317" t="str">
        <f t="shared" si="384"/>
        <v/>
      </c>
      <c r="S1467" s="317" t="str">
        <f t="shared" si="385"/>
        <v/>
      </c>
      <c r="V1467" s="314">
        <f>SUM('RES. CENTRAL PARK:RUA_FINAL'!N1467)</f>
        <v>0</v>
      </c>
      <c r="W1467" s="315">
        <f t="shared" si="386"/>
        <v>0</v>
      </c>
    </row>
    <row r="1468" spans="1:23" ht="30" hidden="1" customHeight="1" x14ac:dyDescent="0.2">
      <c r="A1468" s="63">
        <v>101659</v>
      </c>
      <c r="B1468" s="895">
        <v>101659</v>
      </c>
      <c r="C1468" s="896" t="s">
        <v>596</v>
      </c>
      <c r="D1468" s="906" t="s">
        <v>1393</v>
      </c>
      <c r="E1468" s="907"/>
      <c r="F1468" s="908"/>
      <c r="G1468" s="912"/>
      <c r="H1468" s="901">
        <v>905.12</v>
      </c>
      <c r="I1468" s="901">
        <f t="shared" si="379"/>
        <v>905.12</v>
      </c>
      <c r="J1468" s="902">
        <f t="shared" si="380"/>
        <v>1086.78</v>
      </c>
      <c r="K1468" s="903" t="s">
        <v>1516</v>
      </c>
      <c r="L1468" s="904">
        <f>ROUND(SUM('RES. CENTRAL PARK:RUA_FINAL'!L1468),2)</f>
        <v>0</v>
      </c>
      <c r="M1468" s="904">
        <f t="shared" si="381"/>
        <v>0</v>
      </c>
      <c r="N1468" s="893">
        <f t="shared" si="382"/>
        <v>0</v>
      </c>
      <c r="O1468" s="905"/>
      <c r="Q1468" s="317" t="str">
        <f t="shared" si="383"/>
        <v/>
      </c>
      <c r="R1468" s="317" t="str">
        <f t="shared" si="384"/>
        <v/>
      </c>
      <c r="S1468" s="317" t="str">
        <f t="shared" si="385"/>
        <v/>
      </c>
      <c r="V1468" s="314">
        <f>SUM('RES. CENTRAL PARK:RUA_FINAL'!N1468)</f>
        <v>0</v>
      </c>
      <c r="W1468" s="315">
        <f t="shared" si="386"/>
        <v>0</v>
      </c>
    </row>
    <row r="1469" spans="1:23" ht="30" hidden="1" customHeight="1" x14ac:dyDescent="0.2">
      <c r="A1469" s="63">
        <v>101660</v>
      </c>
      <c r="B1469" s="895">
        <v>101660</v>
      </c>
      <c r="C1469" s="896" t="s">
        <v>596</v>
      </c>
      <c r="D1469" s="906" t="s">
        <v>1394</v>
      </c>
      <c r="E1469" s="907"/>
      <c r="F1469" s="908"/>
      <c r="G1469" s="912"/>
      <c r="H1469" s="901">
        <v>1447.98</v>
      </c>
      <c r="I1469" s="901">
        <f t="shared" si="379"/>
        <v>1447.98</v>
      </c>
      <c r="J1469" s="902">
        <f t="shared" si="380"/>
        <v>1738.59</v>
      </c>
      <c r="K1469" s="903" t="s">
        <v>1516</v>
      </c>
      <c r="L1469" s="904">
        <f>ROUND(SUM('RES. CENTRAL PARK:RUA_FINAL'!L1469),2)</f>
        <v>0</v>
      </c>
      <c r="M1469" s="904">
        <f t="shared" si="381"/>
        <v>0</v>
      </c>
      <c r="N1469" s="893">
        <f t="shared" si="382"/>
        <v>0</v>
      </c>
      <c r="O1469" s="905"/>
      <c r="Q1469" s="317" t="str">
        <f t="shared" si="383"/>
        <v/>
      </c>
      <c r="R1469" s="317" t="str">
        <f t="shared" si="384"/>
        <v/>
      </c>
      <c r="S1469" s="317" t="str">
        <f t="shared" si="385"/>
        <v/>
      </c>
      <c r="V1469" s="314">
        <f>SUM('RES. CENTRAL PARK:RUA_FINAL'!N1469)</f>
        <v>0</v>
      </c>
      <c r="W1469" s="315">
        <f t="shared" si="386"/>
        <v>0</v>
      </c>
    </row>
    <row r="1470" spans="1:23" ht="30" hidden="1" customHeight="1" x14ac:dyDescent="0.2">
      <c r="A1470" s="63">
        <v>97606</v>
      </c>
      <c r="B1470" s="895">
        <v>97606</v>
      </c>
      <c r="C1470" s="896" t="s">
        <v>596</v>
      </c>
      <c r="D1470" s="906" t="s">
        <v>1395</v>
      </c>
      <c r="E1470" s="907"/>
      <c r="F1470" s="908"/>
      <c r="G1470" s="912"/>
      <c r="H1470" s="901">
        <v>114.57</v>
      </c>
      <c r="I1470" s="901">
        <f t="shared" si="379"/>
        <v>114.57</v>
      </c>
      <c r="J1470" s="902">
        <f t="shared" si="380"/>
        <v>137.56</v>
      </c>
      <c r="K1470" s="903" t="s">
        <v>1516</v>
      </c>
      <c r="L1470" s="904">
        <f>ROUND(SUM('RES. CENTRAL PARK:RUA_FINAL'!L1470),2)</f>
        <v>0</v>
      </c>
      <c r="M1470" s="904">
        <f t="shared" si="381"/>
        <v>0</v>
      </c>
      <c r="N1470" s="893">
        <f t="shared" si="382"/>
        <v>0</v>
      </c>
      <c r="O1470" s="905"/>
      <c r="Q1470" s="317" t="str">
        <f t="shared" si="383"/>
        <v/>
      </c>
      <c r="R1470" s="317" t="str">
        <f t="shared" si="384"/>
        <v/>
      </c>
      <c r="S1470" s="317" t="str">
        <f t="shared" si="385"/>
        <v/>
      </c>
      <c r="V1470" s="314">
        <f>SUM('RES. CENTRAL PARK:RUA_FINAL'!N1470)</f>
        <v>0</v>
      </c>
      <c r="W1470" s="315">
        <f t="shared" si="386"/>
        <v>0</v>
      </c>
    </row>
    <row r="1471" spans="1:23" ht="30" hidden="1" customHeight="1" x14ac:dyDescent="0.2">
      <c r="A1471" s="63">
        <v>97607</v>
      </c>
      <c r="B1471" s="895">
        <v>97607</v>
      </c>
      <c r="C1471" s="896" t="s">
        <v>596</v>
      </c>
      <c r="D1471" s="906" t="s">
        <v>1396</v>
      </c>
      <c r="E1471" s="907"/>
      <c r="F1471" s="908"/>
      <c r="G1471" s="912"/>
      <c r="H1471" s="901">
        <v>127.64</v>
      </c>
      <c r="I1471" s="901">
        <f t="shared" si="379"/>
        <v>127.64</v>
      </c>
      <c r="J1471" s="902">
        <f t="shared" si="380"/>
        <v>153.26</v>
      </c>
      <c r="K1471" s="903" t="s">
        <v>1516</v>
      </c>
      <c r="L1471" s="904">
        <f>ROUND(SUM('RES. CENTRAL PARK:RUA_FINAL'!L1471),2)</f>
        <v>0</v>
      </c>
      <c r="M1471" s="904">
        <f t="shared" si="381"/>
        <v>0</v>
      </c>
      <c r="N1471" s="893">
        <f t="shared" si="382"/>
        <v>0</v>
      </c>
      <c r="O1471" s="905"/>
      <c r="Q1471" s="317" t="str">
        <f t="shared" si="383"/>
        <v/>
      </c>
      <c r="R1471" s="317" t="str">
        <f t="shared" si="384"/>
        <v/>
      </c>
      <c r="S1471" s="317" t="str">
        <f t="shared" si="385"/>
        <v/>
      </c>
      <c r="V1471" s="314">
        <f>SUM('RES. CENTRAL PARK:RUA_FINAL'!N1471)</f>
        <v>0</v>
      </c>
      <c r="W1471" s="315">
        <f t="shared" si="386"/>
        <v>0</v>
      </c>
    </row>
    <row r="1472" spans="1:23" ht="38.1" hidden="1" customHeight="1" x14ac:dyDescent="0.2">
      <c r="A1472" s="63">
        <v>97608</v>
      </c>
      <c r="B1472" s="895">
        <v>97608</v>
      </c>
      <c r="C1472" s="896" t="s">
        <v>596</v>
      </c>
      <c r="D1472" s="906" t="s">
        <v>1397</v>
      </c>
      <c r="E1472" s="907"/>
      <c r="F1472" s="908"/>
      <c r="G1472" s="912"/>
      <c r="H1472" s="901">
        <v>136.5</v>
      </c>
      <c r="I1472" s="901">
        <f t="shared" si="379"/>
        <v>136.5</v>
      </c>
      <c r="J1472" s="902">
        <f t="shared" si="380"/>
        <v>163.9</v>
      </c>
      <c r="K1472" s="903" t="s">
        <v>1516</v>
      </c>
      <c r="L1472" s="904">
        <f>ROUND(SUM('RES. CENTRAL PARK:RUA_FINAL'!L1472),2)</f>
        <v>0</v>
      </c>
      <c r="M1472" s="904">
        <f t="shared" si="381"/>
        <v>0</v>
      </c>
      <c r="N1472" s="893">
        <f t="shared" si="382"/>
        <v>0</v>
      </c>
      <c r="O1472" s="905"/>
      <c r="Q1472" s="317" t="str">
        <f t="shared" si="383"/>
        <v/>
      </c>
      <c r="R1472" s="317" t="str">
        <f t="shared" si="384"/>
        <v/>
      </c>
      <c r="S1472" s="317" t="str">
        <f t="shared" si="385"/>
        <v/>
      </c>
      <c r="V1472" s="314">
        <f>SUM('RES. CENTRAL PARK:RUA_FINAL'!N1472)</f>
        <v>0</v>
      </c>
      <c r="W1472" s="315">
        <f t="shared" si="386"/>
        <v>0</v>
      </c>
    </row>
    <row r="1473" spans="1:23" ht="30" hidden="1" customHeight="1" x14ac:dyDescent="0.2">
      <c r="A1473" s="63">
        <v>100902</v>
      </c>
      <c r="B1473" s="895">
        <v>100902</v>
      </c>
      <c r="C1473" s="896" t="s">
        <v>596</v>
      </c>
      <c r="D1473" s="906" t="s">
        <v>1398</v>
      </c>
      <c r="E1473" s="907"/>
      <c r="F1473" s="908"/>
      <c r="G1473" s="912"/>
      <c r="H1473" s="901">
        <v>29.72</v>
      </c>
      <c r="I1473" s="901">
        <f t="shared" si="379"/>
        <v>29.72</v>
      </c>
      <c r="J1473" s="902">
        <f t="shared" si="380"/>
        <v>35.68</v>
      </c>
      <c r="K1473" s="903" t="s">
        <v>1516</v>
      </c>
      <c r="L1473" s="904">
        <f>ROUND(SUM('RES. CENTRAL PARK:RUA_FINAL'!L1473),2)</f>
        <v>0</v>
      </c>
      <c r="M1473" s="904">
        <f t="shared" si="381"/>
        <v>0</v>
      </c>
      <c r="N1473" s="893">
        <f t="shared" si="382"/>
        <v>0</v>
      </c>
      <c r="O1473" s="905"/>
      <c r="Q1473" s="317" t="str">
        <f t="shared" si="383"/>
        <v/>
      </c>
      <c r="R1473" s="317" t="str">
        <f t="shared" si="384"/>
        <v/>
      </c>
      <c r="S1473" s="317" t="str">
        <f t="shared" si="385"/>
        <v/>
      </c>
      <c r="V1473" s="314">
        <f>SUM('RES. CENTRAL PARK:RUA_FINAL'!N1473)</f>
        <v>0</v>
      </c>
      <c r="W1473" s="315">
        <f t="shared" si="386"/>
        <v>0</v>
      </c>
    </row>
    <row r="1474" spans="1:23" ht="30" hidden="1" customHeight="1" x14ac:dyDescent="0.2">
      <c r="A1474" s="63">
        <v>100903</v>
      </c>
      <c r="B1474" s="895">
        <v>100903</v>
      </c>
      <c r="C1474" s="896" t="s">
        <v>596</v>
      </c>
      <c r="D1474" s="906" t="s">
        <v>1399</v>
      </c>
      <c r="E1474" s="907"/>
      <c r="F1474" s="908"/>
      <c r="G1474" s="912"/>
      <c r="H1474" s="901">
        <v>34.54</v>
      </c>
      <c r="I1474" s="901">
        <f t="shared" ref="I1474:I1537" si="387">IF(ISBLANK(H1474),"",SUM(G1474:H1474))</f>
        <v>34.54</v>
      </c>
      <c r="J1474" s="902">
        <f t="shared" si="380"/>
        <v>41.47</v>
      </c>
      <c r="K1474" s="903" t="s">
        <v>1516</v>
      </c>
      <c r="L1474" s="904">
        <f>ROUND(SUM('RES. CENTRAL PARK:RUA_FINAL'!L1474),2)</f>
        <v>0</v>
      </c>
      <c r="M1474" s="904">
        <f t="shared" si="381"/>
        <v>0</v>
      </c>
      <c r="N1474" s="893">
        <f t="shared" si="382"/>
        <v>0</v>
      </c>
      <c r="O1474" s="905"/>
      <c r="Q1474" s="317" t="str">
        <f t="shared" si="383"/>
        <v/>
      </c>
      <c r="R1474" s="317" t="str">
        <f t="shared" si="384"/>
        <v/>
      </c>
      <c r="S1474" s="317" t="str">
        <f t="shared" si="385"/>
        <v/>
      </c>
      <c r="V1474" s="314">
        <f>SUM('RES. CENTRAL PARK:RUA_FINAL'!N1474)</f>
        <v>0</v>
      </c>
      <c r="W1474" s="315">
        <f t="shared" si="386"/>
        <v>0</v>
      </c>
    </row>
    <row r="1475" spans="1:23" ht="38.1" hidden="1" customHeight="1" x14ac:dyDescent="0.2">
      <c r="A1475" s="63">
        <v>100904</v>
      </c>
      <c r="B1475" s="895">
        <v>100904</v>
      </c>
      <c r="C1475" s="896" t="s">
        <v>596</v>
      </c>
      <c r="D1475" s="906" t="s">
        <v>1400</v>
      </c>
      <c r="E1475" s="907"/>
      <c r="F1475" s="908"/>
      <c r="G1475" s="912"/>
      <c r="H1475" s="901">
        <v>99.02</v>
      </c>
      <c r="I1475" s="901">
        <f t="shared" si="387"/>
        <v>99.02</v>
      </c>
      <c r="J1475" s="902">
        <f t="shared" si="380"/>
        <v>118.89</v>
      </c>
      <c r="K1475" s="903" t="s">
        <v>1516</v>
      </c>
      <c r="L1475" s="904">
        <f>ROUND(SUM('RES. CENTRAL PARK:RUA_FINAL'!L1475),2)</f>
        <v>0</v>
      </c>
      <c r="M1475" s="904">
        <f t="shared" si="381"/>
        <v>0</v>
      </c>
      <c r="N1475" s="893">
        <f t="shared" si="382"/>
        <v>0</v>
      </c>
      <c r="O1475" s="905"/>
      <c r="Q1475" s="317" t="str">
        <f t="shared" si="383"/>
        <v/>
      </c>
      <c r="R1475" s="317" t="str">
        <f t="shared" si="384"/>
        <v/>
      </c>
      <c r="S1475" s="317" t="str">
        <f t="shared" si="385"/>
        <v/>
      </c>
      <c r="V1475" s="314">
        <f>SUM('RES. CENTRAL PARK:RUA_FINAL'!N1475)</f>
        <v>0</v>
      </c>
      <c r="W1475" s="315">
        <f t="shared" si="386"/>
        <v>0</v>
      </c>
    </row>
    <row r="1476" spans="1:23" ht="34.5" hidden="1" thickBot="1" x14ac:dyDescent="0.25">
      <c r="A1476" s="63">
        <v>100905</v>
      </c>
      <c r="B1476" s="895">
        <v>100905</v>
      </c>
      <c r="C1476" s="896" t="s">
        <v>596</v>
      </c>
      <c r="D1476" s="906" t="s">
        <v>1401</v>
      </c>
      <c r="E1476" s="907"/>
      <c r="F1476" s="908"/>
      <c r="G1476" s="912"/>
      <c r="H1476" s="901">
        <v>266.39999999999998</v>
      </c>
      <c r="I1476" s="901">
        <f t="shared" si="387"/>
        <v>266.39999999999998</v>
      </c>
      <c r="J1476" s="902">
        <f t="shared" si="380"/>
        <v>319.87</v>
      </c>
      <c r="K1476" s="903" t="s">
        <v>1516</v>
      </c>
      <c r="L1476" s="904">
        <f>ROUND(SUM('RES. CENTRAL PARK:RUA_FINAL'!L1476),2)</f>
        <v>0</v>
      </c>
      <c r="M1476" s="904">
        <f t="shared" si="381"/>
        <v>0</v>
      </c>
      <c r="N1476" s="893">
        <f t="shared" si="382"/>
        <v>0</v>
      </c>
      <c r="O1476" s="905"/>
      <c r="Q1476" s="317" t="str">
        <f t="shared" si="383"/>
        <v/>
      </c>
      <c r="R1476" s="317" t="str">
        <f t="shared" si="384"/>
        <v/>
      </c>
      <c r="S1476" s="317" t="str">
        <f t="shared" si="385"/>
        <v/>
      </c>
      <c r="V1476" s="314">
        <f>SUM('RES. CENTRAL PARK:RUA_FINAL'!N1476)</f>
        <v>0</v>
      </c>
      <c r="W1476" s="315">
        <f t="shared" si="386"/>
        <v>0</v>
      </c>
    </row>
    <row r="1477" spans="1:23" ht="34.5" hidden="1" thickBot="1" x14ac:dyDescent="0.25">
      <c r="A1477" s="63">
        <v>100906</v>
      </c>
      <c r="B1477" s="895">
        <v>100906</v>
      </c>
      <c r="C1477" s="896" t="s">
        <v>596</v>
      </c>
      <c r="D1477" s="906" t="s">
        <v>1402</v>
      </c>
      <c r="E1477" s="907"/>
      <c r="F1477" s="908"/>
      <c r="G1477" s="912"/>
      <c r="H1477" s="901">
        <v>361.6</v>
      </c>
      <c r="I1477" s="901">
        <f t="shared" si="387"/>
        <v>361.6</v>
      </c>
      <c r="J1477" s="902">
        <f t="shared" si="380"/>
        <v>434.17</v>
      </c>
      <c r="K1477" s="903" t="s">
        <v>1516</v>
      </c>
      <c r="L1477" s="904">
        <f>ROUND(SUM('RES. CENTRAL PARK:RUA_FINAL'!L1477),2)</f>
        <v>0</v>
      </c>
      <c r="M1477" s="904">
        <f t="shared" si="381"/>
        <v>0</v>
      </c>
      <c r="N1477" s="893">
        <f t="shared" si="382"/>
        <v>0</v>
      </c>
      <c r="O1477" s="905"/>
      <c r="Q1477" s="317" t="str">
        <f t="shared" si="383"/>
        <v/>
      </c>
      <c r="R1477" s="317" t="str">
        <f t="shared" si="384"/>
        <v/>
      </c>
      <c r="S1477" s="317" t="str">
        <f t="shared" si="385"/>
        <v/>
      </c>
      <c r="V1477" s="314">
        <f>SUM('RES. CENTRAL PARK:RUA_FINAL'!N1477)</f>
        <v>0</v>
      </c>
      <c r="W1477" s="315">
        <f t="shared" si="386"/>
        <v>0</v>
      </c>
    </row>
    <row r="1478" spans="1:23" ht="23.25" hidden="1" thickBot="1" x14ac:dyDescent="0.25">
      <c r="A1478" s="63">
        <v>100919</v>
      </c>
      <c r="B1478" s="895">
        <v>100919</v>
      </c>
      <c r="C1478" s="896" t="s">
        <v>596</v>
      </c>
      <c r="D1478" s="906" t="s">
        <v>1403</v>
      </c>
      <c r="E1478" s="907"/>
      <c r="F1478" s="908"/>
      <c r="G1478" s="912"/>
      <c r="H1478" s="901">
        <v>73.05</v>
      </c>
      <c r="I1478" s="901">
        <f t="shared" si="387"/>
        <v>73.05</v>
      </c>
      <c r="J1478" s="902">
        <f t="shared" si="380"/>
        <v>87.71</v>
      </c>
      <c r="K1478" s="903" t="s">
        <v>1516</v>
      </c>
      <c r="L1478" s="904">
        <f>ROUND(SUM('RES. CENTRAL PARK:RUA_FINAL'!L1478),2)</f>
        <v>0</v>
      </c>
      <c r="M1478" s="904">
        <f t="shared" si="381"/>
        <v>0</v>
      </c>
      <c r="N1478" s="893">
        <f t="shared" si="382"/>
        <v>0</v>
      </c>
      <c r="O1478" s="905"/>
      <c r="Q1478" s="317" t="str">
        <f t="shared" si="383"/>
        <v/>
      </c>
      <c r="R1478" s="317" t="str">
        <f t="shared" si="384"/>
        <v/>
      </c>
      <c r="S1478" s="317" t="str">
        <f t="shared" si="385"/>
        <v/>
      </c>
      <c r="V1478" s="314">
        <f>SUM('RES. CENTRAL PARK:RUA_FINAL'!N1478)</f>
        <v>0</v>
      </c>
      <c r="W1478" s="315">
        <f t="shared" si="386"/>
        <v>0</v>
      </c>
    </row>
    <row r="1479" spans="1:23" ht="23.25" hidden="1" thickBot="1" x14ac:dyDescent="0.25">
      <c r="A1479" s="63">
        <v>100920</v>
      </c>
      <c r="B1479" s="895">
        <v>100920</v>
      </c>
      <c r="C1479" s="896" t="s">
        <v>596</v>
      </c>
      <c r="D1479" s="906" t="s">
        <v>1404</v>
      </c>
      <c r="E1479" s="907"/>
      <c r="F1479" s="908"/>
      <c r="G1479" s="912"/>
      <c r="H1479" s="901">
        <v>123.15</v>
      </c>
      <c r="I1479" s="901">
        <f t="shared" si="387"/>
        <v>123.15</v>
      </c>
      <c r="J1479" s="902">
        <f t="shared" si="380"/>
        <v>147.87</v>
      </c>
      <c r="K1479" s="903" t="s">
        <v>1516</v>
      </c>
      <c r="L1479" s="904">
        <f>ROUND(SUM('RES. CENTRAL PARK:RUA_FINAL'!L1479),2)</f>
        <v>0</v>
      </c>
      <c r="M1479" s="904">
        <f t="shared" si="381"/>
        <v>0</v>
      </c>
      <c r="N1479" s="893">
        <f t="shared" si="382"/>
        <v>0</v>
      </c>
      <c r="O1479" s="905"/>
      <c r="Q1479" s="317" t="str">
        <f t="shared" si="383"/>
        <v/>
      </c>
      <c r="R1479" s="317" t="str">
        <f t="shared" si="384"/>
        <v/>
      </c>
      <c r="S1479" s="317" t="str">
        <f t="shared" si="385"/>
        <v/>
      </c>
      <c r="V1479" s="314">
        <f>SUM('RES. CENTRAL PARK:RUA_FINAL'!N1479)</f>
        <v>0</v>
      </c>
      <c r="W1479" s="315">
        <f t="shared" si="386"/>
        <v>0</v>
      </c>
    </row>
    <row r="1480" spans="1:23" ht="23.25" hidden="1" thickBot="1" x14ac:dyDescent="0.25">
      <c r="A1480" s="63">
        <v>97609</v>
      </c>
      <c r="B1480" s="895">
        <v>97609</v>
      </c>
      <c r="C1480" s="896" t="s">
        <v>596</v>
      </c>
      <c r="D1480" s="906" t="s">
        <v>1405</v>
      </c>
      <c r="E1480" s="907"/>
      <c r="F1480" s="908"/>
      <c r="G1480" s="912"/>
      <c r="H1480" s="901">
        <v>18.36</v>
      </c>
      <c r="I1480" s="901">
        <f t="shared" si="387"/>
        <v>18.36</v>
      </c>
      <c r="J1480" s="902">
        <f t="shared" si="380"/>
        <v>22.04</v>
      </c>
      <c r="K1480" s="903" t="s">
        <v>1516</v>
      </c>
      <c r="L1480" s="904">
        <f>ROUND(SUM('RES. CENTRAL PARK:RUA_FINAL'!L1480),2)</f>
        <v>0</v>
      </c>
      <c r="M1480" s="904">
        <f t="shared" si="381"/>
        <v>0</v>
      </c>
      <c r="N1480" s="893">
        <f t="shared" si="382"/>
        <v>0</v>
      </c>
      <c r="O1480" s="905"/>
      <c r="Q1480" s="317" t="str">
        <f t="shared" si="383"/>
        <v/>
      </c>
      <c r="R1480" s="317" t="str">
        <f t="shared" si="384"/>
        <v/>
      </c>
      <c r="S1480" s="317" t="str">
        <f t="shared" si="385"/>
        <v/>
      </c>
      <c r="V1480" s="314">
        <f>SUM('RES. CENTRAL PARK:RUA_FINAL'!N1480)</f>
        <v>0</v>
      </c>
      <c r="W1480" s="315">
        <f t="shared" si="386"/>
        <v>0</v>
      </c>
    </row>
    <row r="1481" spans="1:23" ht="23.25" hidden="1" thickBot="1" x14ac:dyDescent="0.25">
      <c r="A1481" s="63">
        <v>97610</v>
      </c>
      <c r="B1481" s="895">
        <v>97610</v>
      </c>
      <c r="C1481" s="896" t="s">
        <v>596</v>
      </c>
      <c r="D1481" s="906" t="s">
        <v>1406</v>
      </c>
      <c r="E1481" s="907"/>
      <c r="F1481" s="908"/>
      <c r="G1481" s="912"/>
      <c r="H1481" s="901">
        <v>19.45</v>
      </c>
      <c r="I1481" s="901">
        <f t="shared" si="387"/>
        <v>19.45</v>
      </c>
      <c r="J1481" s="902">
        <f t="shared" ref="J1481:J1544" si="388">IF(ISBLANK(H1481),0,ROUND(I1481*(1+$E$10),2))</f>
        <v>23.35</v>
      </c>
      <c r="K1481" s="903" t="s">
        <v>1516</v>
      </c>
      <c r="L1481" s="904">
        <f>ROUND(SUM('RES. CENTRAL PARK:RUA_FINAL'!L1481),2)</f>
        <v>0</v>
      </c>
      <c r="M1481" s="904">
        <f t="shared" si="381"/>
        <v>0</v>
      </c>
      <c r="N1481" s="893">
        <f t="shared" si="382"/>
        <v>0</v>
      </c>
      <c r="O1481" s="905"/>
      <c r="Q1481" s="317" t="str">
        <f t="shared" si="383"/>
        <v/>
      </c>
      <c r="R1481" s="317" t="str">
        <f t="shared" si="384"/>
        <v/>
      </c>
      <c r="S1481" s="317" t="str">
        <f t="shared" si="385"/>
        <v/>
      </c>
      <c r="V1481" s="314">
        <f>SUM('RES. CENTRAL PARK:RUA_FINAL'!N1481)</f>
        <v>0</v>
      </c>
      <c r="W1481" s="315">
        <f t="shared" si="386"/>
        <v>0</v>
      </c>
    </row>
    <row r="1482" spans="1:23" ht="23.25" hidden="1" thickBot="1" x14ac:dyDescent="0.25">
      <c r="A1482" s="63">
        <v>101537</v>
      </c>
      <c r="B1482" s="895">
        <v>101537</v>
      </c>
      <c r="C1482" s="896" t="s">
        <v>596</v>
      </c>
      <c r="D1482" s="906" t="s">
        <v>1407</v>
      </c>
      <c r="E1482" s="907"/>
      <c r="F1482" s="908"/>
      <c r="G1482" s="912"/>
      <c r="H1482" s="901">
        <v>139.63999999999999</v>
      </c>
      <c r="I1482" s="901">
        <f t="shared" si="387"/>
        <v>139.63999999999999</v>
      </c>
      <c r="J1482" s="902">
        <f t="shared" si="388"/>
        <v>167.67</v>
      </c>
      <c r="K1482" s="903" t="s">
        <v>1516</v>
      </c>
      <c r="L1482" s="904">
        <f>ROUND(SUM('RES. CENTRAL PARK:RUA_FINAL'!L1482),2)</f>
        <v>0</v>
      </c>
      <c r="M1482" s="904">
        <f t="shared" si="381"/>
        <v>0</v>
      </c>
      <c r="N1482" s="893">
        <f t="shared" si="382"/>
        <v>0</v>
      </c>
      <c r="O1482" s="905"/>
      <c r="Q1482" s="317" t="str">
        <f t="shared" si="383"/>
        <v/>
      </c>
      <c r="R1482" s="317" t="str">
        <f t="shared" si="384"/>
        <v/>
      </c>
      <c r="S1482" s="317" t="str">
        <f t="shared" si="385"/>
        <v/>
      </c>
      <c r="V1482" s="314">
        <f>SUM('RES. CENTRAL PARK:RUA_FINAL'!N1482)</f>
        <v>0</v>
      </c>
      <c r="W1482" s="315">
        <f t="shared" si="386"/>
        <v>0</v>
      </c>
    </row>
    <row r="1483" spans="1:23" ht="13.5" hidden="1" thickBot="1" x14ac:dyDescent="0.25">
      <c r="A1483" s="63">
        <v>97054</v>
      </c>
      <c r="B1483" s="895">
        <v>97054</v>
      </c>
      <c r="C1483" s="896" t="s">
        <v>596</v>
      </c>
      <c r="D1483" s="906" t="s">
        <v>1408</v>
      </c>
      <c r="E1483" s="907"/>
      <c r="F1483" s="908"/>
      <c r="G1483" s="912"/>
      <c r="H1483" s="901">
        <v>28.63</v>
      </c>
      <c r="I1483" s="901">
        <f t="shared" si="387"/>
        <v>28.63</v>
      </c>
      <c r="J1483" s="902">
        <f t="shared" si="388"/>
        <v>34.380000000000003</v>
      </c>
      <c r="K1483" s="903" t="s">
        <v>1516</v>
      </c>
      <c r="L1483" s="904">
        <f>ROUND(SUM('RES. CENTRAL PARK:RUA_FINAL'!L1483),2)</f>
        <v>0</v>
      </c>
      <c r="M1483" s="904">
        <f t="shared" si="381"/>
        <v>0</v>
      </c>
      <c r="N1483" s="893">
        <f t="shared" si="382"/>
        <v>0</v>
      </c>
      <c r="O1483" s="905"/>
      <c r="Q1483" s="317" t="str">
        <f t="shared" si="383"/>
        <v/>
      </c>
      <c r="R1483" s="317" t="str">
        <f t="shared" si="384"/>
        <v/>
      </c>
      <c r="S1483" s="317" t="str">
        <f t="shared" si="385"/>
        <v/>
      </c>
      <c r="V1483" s="314">
        <f>SUM('RES. CENTRAL PARK:RUA_FINAL'!N1483)</f>
        <v>0</v>
      </c>
      <c r="W1483" s="315">
        <f t="shared" si="386"/>
        <v>0</v>
      </c>
    </row>
    <row r="1484" spans="1:23" ht="23.25" hidden="1" thickBot="1" x14ac:dyDescent="0.25">
      <c r="A1484" s="63">
        <v>101538</v>
      </c>
      <c r="B1484" s="895">
        <v>101538</v>
      </c>
      <c r="C1484" s="896" t="s">
        <v>596</v>
      </c>
      <c r="D1484" s="906" t="s">
        <v>1409</v>
      </c>
      <c r="E1484" s="907"/>
      <c r="F1484" s="908"/>
      <c r="G1484" s="912"/>
      <c r="H1484" s="901">
        <v>33.369999999999997</v>
      </c>
      <c r="I1484" s="901">
        <f t="shared" si="387"/>
        <v>33.369999999999997</v>
      </c>
      <c r="J1484" s="902">
        <f t="shared" si="388"/>
        <v>40.07</v>
      </c>
      <c r="K1484" s="903" t="s">
        <v>1516</v>
      </c>
      <c r="L1484" s="904">
        <f>ROUND(SUM('RES. CENTRAL PARK:RUA_FINAL'!L1484),2)</f>
        <v>0</v>
      </c>
      <c r="M1484" s="904">
        <f t="shared" si="381"/>
        <v>0</v>
      </c>
      <c r="N1484" s="893">
        <f t="shared" si="382"/>
        <v>0</v>
      </c>
      <c r="O1484" s="905"/>
      <c r="Q1484" s="317" t="str">
        <f t="shared" si="383"/>
        <v/>
      </c>
      <c r="R1484" s="317" t="str">
        <f t="shared" si="384"/>
        <v/>
      </c>
      <c r="S1484" s="317" t="str">
        <f t="shared" si="385"/>
        <v/>
      </c>
      <c r="V1484" s="314">
        <f>SUM('RES. CENTRAL PARK:RUA_FINAL'!N1484)</f>
        <v>0</v>
      </c>
      <c r="W1484" s="315">
        <f t="shared" si="386"/>
        <v>0</v>
      </c>
    </row>
    <row r="1485" spans="1:23" ht="23.25" hidden="1" thickBot="1" x14ac:dyDescent="0.25">
      <c r="A1485" s="63">
        <v>101539</v>
      </c>
      <c r="B1485" s="895">
        <v>101539</v>
      </c>
      <c r="C1485" s="896" t="s">
        <v>596</v>
      </c>
      <c r="D1485" s="906" t="s">
        <v>1410</v>
      </c>
      <c r="E1485" s="907"/>
      <c r="F1485" s="908"/>
      <c r="G1485" s="912"/>
      <c r="H1485" s="901">
        <v>58.76</v>
      </c>
      <c r="I1485" s="901">
        <f t="shared" si="387"/>
        <v>58.76</v>
      </c>
      <c r="J1485" s="902">
        <f t="shared" si="388"/>
        <v>70.55</v>
      </c>
      <c r="K1485" s="903" t="s">
        <v>1516</v>
      </c>
      <c r="L1485" s="904">
        <f>ROUND(SUM('RES. CENTRAL PARK:RUA_FINAL'!L1485),2)</f>
        <v>0</v>
      </c>
      <c r="M1485" s="904">
        <f t="shared" si="381"/>
        <v>0</v>
      </c>
      <c r="N1485" s="893">
        <f t="shared" si="382"/>
        <v>0</v>
      </c>
      <c r="O1485" s="905"/>
      <c r="Q1485" s="317" t="str">
        <f t="shared" si="383"/>
        <v/>
      </c>
      <c r="R1485" s="317" t="str">
        <f t="shared" si="384"/>
        <v/>
      </c>
      <c r="S1485" s="317" t="str">
        <f t="shared" si="385"/>
        <v/>
      </c>
      <c r="V1485" s="314">
        <f>SUM('RES. CENTRAL PARK:RUA_FINAL'!N1485)</f>
        <v>0</v>
      </c>
      <c r="W1485" s="315">
        <f t="shared" si="386"/>
        <v>0</v>
      </c>
    </row>
    <row r="1486" spans="1:23" ht="23.25" hidden="1" thickBot="1" x14ac:dyDescent="0.25">
      <c r="A1486" s="63">
        <v>101540</v>
      </c>
      <c r="B1486" s="895">
        <v>101540</v>
      </c>
      <c r="C1486" s="896" t="s">
        <v>596</v>
      </c>
      <c r="D1486" s="906" t="s">
        <v>1411</v>
      </c>
      <c r="E1486" s="907"/>
      <c r="F1486" s="908"/>
      <c r="G1486" s="912"/>
      <c r="H1486" s="901">
        <v>95.26</v>
      </c>
      <c r="I1486" s="901">
        <f t="shared" si="387"/>
        <v>95.26</v>
      </c>
      <c r="J1486" s="902">
        <f t="shared" si="388"/>
        <v>114.38</v>
      </c>
      <c r="K1486" s="903" t="s">
        <v>1516</v>
      </c>
      <c r="L1486" s="904">
        <f>ROUND(SUM('RES. CENTRAL PARK:RUA_FINAL'!L1486),2)</f>
        <v>0</v>
      </c>
      <c r="M1486" s="904">
        <f t="shared" si="381"/>
        <v>0</v>
      </c>
      <c r="N1486" s="893">
        <f t="shared" si="382"/>
        <v>0</v>
      </c>
      <c r="O1486" s="905"/>
      <c r="Q1486" s="317" t="str">
        <f t="shared" si="383"/>
        <v/>
      </c>
      <c r="R1486" s="317" t="str">
        <f t="shared" si="384"/>
        <v/>
      </c>
      <c r="S1486" s="317" t="str">
        <f t="shared" si="385"/>
        <v/>
      </c>
      <c r="V1486" s="314">
        <f>SUM('RES. CENTRAL PARK:RUA_FINAL'!N1486)</f>
        <v>0</v>
      </c>
      <c r="W1486" s="315">
        <f t="shared" si="386"/>
        <v>0</v>
      </c>
    </row>
    <row r="1487" spans="1:23" ht="23.25" hidden="1" thickBot="1" x14ac:dyDescent="0.25">
      <c r="A1487" s="63">
        <v>101541</v>
      </c>
      <c r="B1487" s="895">
        <v>101541</v>
      </c>
      <c r="C1487" s="896" t="s">
        <v>596</v>
      </c>
      <c r="D1487" s="906" t="s">
        <v>1412</v>
      </c>
      <c r="E1487" s="907"/>
      <c r="F1487" s="908"/>
      <c r="G1487" s="912"/>
      <c r="H1487" s="901">
        <v>125.15</v>
      </c>
      <c r="I1487" s="901">
        <f t="shared" si="387"/>
        <v>125.15</v>
      </c>
      <c r="J1487" s="902">
        <f t="shared" si="388"/>
        <v>150.27000000000001</v>
      </c>
      <c r="K1487" s="903" t="s">
        <v>1516</v>
      </c>
      <c r="L1487" s="904">
        <f>ROUND(SUM('RES. CENTRAL PARK:RUA_FINAL'!L1487),2)</f>
        <v>0</v>
      </c>
      <c r="M1487" s="904">
        <f t="shared" si="381"/>
        <v>0</v>
      </c>
      <c r="N1487" s="893">
        <f t="shared" si="382"/>
        <v>0</v>
      </c>
      <c r="O1487" s="905"/>
      <c r="Q1487" s="317" t="str">
        <f t="shared" si="383"/>
        <v/>
      </c>
      <c r="R1487" s="317" t="str">
        <f t="shared" si="384"/>
        <v/>
      </c>
      <c r="S1487" s="317" t="str">
        <f t="shared" si="385"/>
        <v/>
      </c>
      <c r="V1487" s="314">
        <f>SUM('RES. CENTRAL PARK:RUA_FINAL'!N1487)</f>
        <v>0</v>
      </c>
      <c r="W1487" s="315">
        <f t="shared" si="386"/>
        <v>0</v>
      </c>
    </row>
    <row r="1488" spans="1:23" ht="23.25" hidden="1" thickBot="1" x14ac:dyDescent="0.25">
      <c r="A1488" s="63">
        <v>101542</v>
      </c>
      <c r="B1488" s="895">
        <v>101542</v>
      </c>
      <c r="C1488" s="896" t="s">
        <v>596</v>
      </c>
      <c r="D1488" s="906" t="s">
        <v>1413</v>
      </c>
      <c r="E1488" s="907"/>
      <c r="F1488" s="908"/>
      <c r="G1488" s="912"/>
      <c r="H1488" s="901">
        <v>26.46</v>
      </c>
      <c r="I1488" s="901">
        <f t="shared" si="387"/>
        <v>26.46</v>
      </c>
      <c r="J1488" s="902">
        <f t="shared" si="388"/>
        <v>31.77</v>
      </c>
      <c r="K1488" s="903" t="s">
        <v>1516</v>
      </c>
      <c r="L1488" s="904">
        <f>ROUND(SUM('RES. CENTRAL PARK:RUA_FINAL'!L1488),2)</f>
        <v>0</v>
      </c>
      <c r="M1488" s="904">
        <f t="shared" si="381"/>
        <v>0</v>
      </c>
      <c r="N1488" s="893">
        <f t="shared" si="382"/>
        <v>0</v>
      </c>
      <c r="O1488" s="905"/>
      <c r="Q1488" s="317" t="str">
        <f t="shared" si="383"/>
        <v/>
      </c>
      <c r="R1488" s="317" t="str">
        <f t="shared" si="384"/>
        <v/>
      </c>
      <c r="S1488" s="317" t="str">
        <f t="shared" si="385"/>
        <v/>
      </c>
      <c r="V1488" s="314">
        <f>SUM('RES. CENTRAL PARK:RUA_FINAL'!N1488)</f>
        <v>0</v>
      </c>
      <c r="W1488" s="315">
        <f t="shared" si="386"/>
        <v>0</v>
      </c>
    </row>
    <row r="1489" spans="1:23" ht="23.25" hidden="1" thickBot="1" x14ac:dyDescent="0.25">
      <c r="A1489" s="63">
        <v>101543</v>
      </c>
      <c r="B1489" s="895">
        <v>101543</v>
      </c>
      <c r="C1489" s="896" t="s">
        <v>596</v>
      </c>
      <c r="D1489" s="906" t="s">
        <v>1414</v>
      </c>
      <c r="E1489" s="907"/>
      <c r="F1489" s="908"/>
      <c r="G1489" s="912"/>
      <c r="H1489" s="901">
        <v>49.08</v>
      </c>
      <c r="I1489" s="901">
        <f t="shared" si="387"/>
        <v>49.08</v>
      </c>
      <c r="J1489" s="902">
        <f t="shared" si="388"/>
        <v>58.93</v>
      </c>
      <c r="K1489" s="903" t="s">
        <v>1516</v>
      </c>
      <c r="L1489" s="904">
        <f>ROUND(SUM('RES. CENTRAL PARK:RUA_FINAL'!L1489),2)</f>
        <v>0</v>
      </c>
      <c r="M1489" s="904">
        <f t="shared" si="381"/>
        <v>0</v>
      </c>
      <c r="N1489" s="893">
        <f t="shared" si="382"/>
        <v>0</v>
      </c>
      <c r="O1489" s="905"/>
      <c r="Q1489" s="317" t="str">
        <f t="shared" si="383"/>
        <v/>
      </c>
      <c r="R1489" s="317" t="str">
        <f t="shared" si="384"/>
        <v/>
      </c>
      <c r="S1489" s="317" t="str">
        <f t="shared" si="385"/>
        <v/>
      </c>
      <c r="V1489" s="314">
        <f>SUM('RES. CENTRAL PARK:RUA_FINAL'!N1489)</f>
        <v>0</v>
      </c>
      <c r="W1489" s="315">
        <f t="shared" si="386"/>
        <v>0</v>
      </c>
    </row>
    <row r="1490" spans="1:23" ht="23.25" hidden="1" thickBot="1" x14ac:dyDescent="0.25">
      <c r="A1490" s="63">
        <v>101544</v>
      </c>
      <c r="B1490" s="895">
        <v>101544</v>
      </c>
      <c r="C1490" s="896" t="s">
        <v>596</v>
      </c>
      <c r="D1490" s="906" t="s">
        <v>1415</v>
      </c>
      <c r="E1490" s="907"/>
      <c r="F1490" s="908"/>
      <c r="G1490" s="912"/>
      <c r="H1490" s="901">
        <v>76.709999999999994</v>
      </c>
      <c r="I1490" s="901">
        <f t="shared" si="387"/>
        <v>76.709999999999994</v>
      </c>
      <c r="J1490" s="902">
        <f t="shared" si="388"/>
        <v>92.11</v>
      </c>
      <c r="K1490" s="903" t="s">
        <v>1516</v>
      </c>
      <c r="L1490" s="904">
        <f>ROUND(SUM('RES. CENTRAL PARK:RUA_FINAL'!L1490),2)</f>
        <v>0</v>
      </c>
      <c r="M1490" s="904">
        <f t="shared" ref="M1490:M1553" si="389">IF(L1490=0,0,ROUND(J1490,2))</f>
        <v>0</v>
      </c>
      <c r="N1490" s="893">
        <f t="shared" ref="N1490:N1553" si="390">IF(ISBLANK(L1490),0,ROUND(L1490*M1490,2))</f>
        <v>0</v>
      </c>
      <c r="O1490" s="905"/>
      <c r="Q1490" s="317" t="str">
        <f t="shared" ref="Q1490:Q1553" si="391">IF(P1490="X","x",IF(P1490="xx","x",IF(P1490="xy","x",IF(P1490="y","x",IF(OR(N1490&gt;0,N1490&gt;0),"x","")))))</f>
        <v/>
      </c>
      <c r="R1490" s="317" t="str">
        <f t="shared" ref="R1490:R1553" si="392">IF(P1490="X","x",IF(P1490="y","x",IF(P1490="xx","x",IF(N1490&gt;0,"x",""))))</f>
        <v/>
      </c>
      <c r="S1490" s="317" t="str">
        <f t="shared" ref="S1490:S1553" si="393">IF(P1490="X","x",IF(N1490&gt;0,"x",""))</f>
        <v/>
      </c>
      <c r="V1490" s="314">
        <f>SUM('RES. CENTRAL PARK:RUA_FINAL'!N1490)</f>
        <v>0</v>
      </c>
      <c r="W1490" s="315">
        <f t="shared" si="386"/>
        <v>0</v>
      </c>
    </row>
    <row r="1491" spans="1:23" ht="23.25" hidden="1" thickBot="1" x14ac:dyDescent="0.25">
      <c r="A1491" s="63">
        <v>101545</v>
      </c>
      <c r="B1491" s="895">
        <v>101545</v>
      </c>
      <c r="C1491" s="896" t="s">
        <v>596</v>
      </c>
      <c r="D1491" s="906" t="s">
        <v>1416</v>
      </c>
      <c r="E1491" s="907"/>
      <c r="F1491" s="908"/>
      <c r="G1491" s="912"/>
      <c r="H1491" s="901">
        <v>108.1</v>
      </c>
      <c r="I1491" s="901">
        <f t="shared" si="387"/>
        <v>108.1</v>
      </c>
      <c r="J1491" s="902">
        <f t="shared" si="388"/>
        <v>129.80000000000001</v>
      </c>
      <c r="K1491" s="903" t="s">
        <v>1516</v>
      </c>
      <c r="L1491" s="904">
        <f>ROUND(SUM('RES. CENTRAL PARK:RUA_FINAL'!L1491),2)</f>
        <v>0</v>
      </c>
      <c r="M1491" s="904">
        <f t="shared" si="389"/>
        <v>0</v>
      </c>
      <c r="N1491" s="893">
        <f t="shared" si="390"/>
        <v>0</v>
      </c>
      <c r="O1491" s="905"/>
      <c r="Q1491" s="317" t="str">
        <f t="shared" si="391"/>
        <v/>
      </c>
      <c r="R1491" s="317" t="str">
        <f t="shared" si="392"/>
        <v/>
      </c>
      <c r="S1491" s="317" t="str">
        <f t="shared" si="393"/>
        <v/>
      </c>
      <c r="V1491" s="314">
        <f>SUM('RES. CENTRAL PARK:RUA_FINAL'!N1491)</f>
        <v>0</v>
      </c>
      <c r="W1491" s="315">
        <f t="shared" si="386"/>
        <v>0</v>
      </c>
    </row>
    <row r="1492" spans="1:23" ht="23.25" hidden="1" thickBot="1" x14ac:dyDescent="0.25">
      <c r="A1492" s="63">
        <v>101546</v>
      </c>
      <c r="B1492" s="895">
        <v>101546</v>
      </c>
      <c r="C1492" s="896" t="s">
        <v>596</v>
      </c>
      <c r="D1492" s="906" t="s">
        <v>1417</v>
      </c>
      <c r="E1492" s="907"/>
      <c r="F1492" s="908"/>
      <c r="G1492" s="912"/>
      <c r="H1492" s="901">
        <v>28.34</v>
      </c>
      <c r="I1492" s="901">
        <f t="shared" si="387"/>
        <v>28.34</v>
      </c>
      <c r="J1492" s="902">
        <f t="shared" si="388"/>
        <v>34.03</v>
      </c>
      <c r="K1492" s="903" t="s">
        <v>1516</v>
      </c>
      <c r="L1492" s="904">
        <f>ROUND(SUM('RES. CENTRAL PARK:RUA_FINAL'!L1492),2)</f>
        <v>0</v>
      </c>
      <c r="M1492" s="904">
        <f t="shared" si="389"/>
        <v>0</v>
      </c>
      <c r="N1492" s="893">
        <f t="shared" si="390"/>
        <v>0</v>
      </c>
      <c r="O1492" s="905"/>
      <c r="Q1492" s="317" t="str">
        <f t="shared" si="391"/>
        <v/>
      </c>
      <c r="R1492" s="317" t="str">
        <f t="shared" si="392"/>
        <v/>
      </c>
      <c r="S1492" s="317" t="str">
        <f t="shared" si="393"/>
        <v/>
      </c>
      <c r="V1492" s="314">
        <f>SUM('RES. CENTRAL PARK:RUA_FINAL'!N1492)</f>
        <v>0</v>
      </c>
      <c r="W1492" s="315">
        <f t="shared" si="386"/>
        <v>0</v>
      </c>
    </row>
    <row r="1493" spans="1:23" ht="23.25" hidden="1" thickBot="1" x14ac:dyDescent="0.25">
      <c r="A1493" s="63">
        <v>101547</v>
      </c>
      <c r="B1493" s="895">
        <v>101547</v>
      </c>
      <c r="C1493" s="896" t="s">
        <v>596</v>
      </c>
      <c r="D1493" s="906" t="s">
        <v>1418</v>
      </c>
      <c r="E1493" s="907"/>
      <c r="F1493" s="908"/>
      <c r="G1493" s="912"/>
      <c r="H1493" s="901">
        <v>87.57</v>
      </c>
      <c r="I1493" s="901">
        <f t="shared" si="387"/>
        <v>87.57</v>
      </c>
      <c r="J1493" s="902">
        <f t="shared" si="388"/>
        <v>105.15</v>
      </c>
      <c r="K1493" s="903" t="s">
        <v>1516</v>
      </c>
      <c r="L1493" s="904">
        <f>ROUND(SUM('RES. CENTRAL PARK:RUA_FINAL'!L1493),2)</f>
        <v>0</v>
      </c>
      <c r="M1493" s="904">
        <f t="shared" si="389"/>
        <v>0</v>
      </c>
      <c r="N1493" s="893">
        <f t="shared" si="390"/>
        <v>0</v>
      </c>
      <c r="O1493" s="905"/>
      <c r="Q1493" s="317" t="str">
        <f t="shared" si="391"/>
        <v/>
      </c>
      <c r="R1493" s="317" t="str">
        <f t="shared" si="392"/>
        <v/>
      </c>
      <c r="S1493" s="317" t="str">
        <f t="shared" si="393"/>
        <v/>
      </c>
      <c r="V1493" s="314">
        <f>SUM('RES. CENTRAL PARK:RUA_FINAL'!N1493)</f>
        <v>0</v>
      </c>
      <c r="W1493" s="315">
        <f t="shared" ref="W1493:W1556" si="394">N1493-V1493</f>
        <v>0</v>
      </c>
    </row>
    <row r="1494" spans="1:23" ht="23.25" hidden="1" thickBot="1" x14ac:dyDescent="0.25">
      <c r="A1494" s="63">
        <v>101548</v>
      </c>
      <c r="B1494" s="895">
        <v>101548</v>
      </c>
      <c r="C1494" s="896" t="s">
        <v>596</v>
      </c>
      <c r="D1494" s="906" t="s">
        <v>1419</v>
      </c>
      <c r="E1494" s="907"/>
      <c r="F1494" s="908"/>
      <c r="G1494" s="912"/>
      <c r="H1494" s="901">
        <v>7.45</v>
      </c>
      <c r="I1494" s="901">
        <f t="shared" si="387"/>
        <v>7.45</v>
      </c>
      <c r="J1494" s="902">
        <f t="shared" si="388"/>
        <v>8.9499999999999993</v>
      </c>
      <c r="K1494" s="903" t="s">
        <v>1516</v>
      </c>
      <c r="L1494" s="904">
        <f>ROUND(SUM('RES. CENTRAL PARK:RUA_FINAL'!L1494),2)</f>
        <v>0</v>
      </c>
      <c r="M1494" s="904">
        <f t="shared" si="389"/>
        <v>0</v>
      </c>
      <c r="N1494" s="893">
        <f t="shared" si="390"/>
        <v>0</v>
      </c>
      <c r="O1494" s="905"/>
      <c r="Q1494" s="317" t="str">
        <f t="shared" si="391"/>
        <v/>
      </c>
      <c r="R1494" s="317" t="str">
        <f t="shared" si="392"/>
        <v/>
      </c>
      <c r="S1494" s="317" t="str">
        <f t="shared" si="393"/>
        <v/>
      </c>
      <c r="V1494" s="314">
        <f>SUM('RES. CENTRAL PARK:RUA_FINAL'!N1494)</f>
        <v>0</v>
      </c>
      <c r="W1494" s="315">
        <f t="shared" si="394"/>
        <v>0</v>
      </c>
    </row>
    <row r="1495" spans="1:23" ht="23.25" hidden="1" thickBot="1" x14ac:dyDescent="0.25">
      <c r="A1495" s="63">
        <v>101549</v>
      </c>
      <c r="B1495" s="895">
        <v>101549</v>
      </c>
      <c r="C1495" s="896" t="s">
        <v>596</v>
      </c>
      <c r="D1495" s="906" t="s">
        <v>1420</v>
      </c>
      <c r="E1495" s="907"/>
      <c r="F1495" s="908"/>
      <c r="G1495" s="912"/>
      <c r="H1495" s="901">
        <v>22.14</v>
      </c>
      <c r="I1495" s="901">
        <f t="shared" si="387"/>
        <v>22.14</v>
      </c>
      <c r="J1495" s="902">
        <f t="shared" si="388"/>
        <v>26.58</v>
      </c>
      <c r="K1495" s="903" t="s">
        <v>1516</v>
      </c>
      <c r="L1495" s="904">
        <f>ROUND(SUM('RES. CENTRAL PARK:RUA_FINAL'!L1495),2)</f>
        <v>0</v>
      </c>
      <c r="M1495" s="904">
        <f t="shared" si="389"/>
        <v>0</v>
      </c>
      <c r="N1495" s="893">
        <f t="shared" si="390"/>
        <v>0</v>
      </c>
      <c r="O1495" s="905"/>
      <c r="Q1495" s="317" t="str">
        <f t="shared" si="391"/>
        <v/>
      </c>
      <c r="R1495" s="317" t="str">
        <f t="shared" si="392"/>
        <v/>
      </c>
      <c r="S1495" s="317" t="str">
        <f t="shared" si="393"/>
        <v/>
      </c>
      <c r="V1495" s="314">
        <f>SUM('RES. CENTRAL PARK:RUA_FINAL'!N1495)</f>
        <v>0</v>
      </c>
      <c r="W1495" s="315">
        <f t="shared" si="394"/>
        <v>0</v>
      </c>
    </row>
    <row r="1496" spans="1:23" ht="23.25" hidden="1" thickBot="1" x14ac:dyDescent="0.25">
      <c r="A1496" s="63">
        <v>101553</v>
      </c>
      <c r="B1496" s="895">
        <v>101553</v>
      </c>
      <c r="C1496" s="896" t="s">
        <v>596</v>
      </c>
      <c r="D1496" s="906" t="s">
        <v>1421</v>
      </c>
      <c r="E1496" s="907"/>
      <c r="F1496" s="908"/>
      <c r="G1496" s="912"/>
      <c r="H1496" s="901">
        <v>11.35</v>
      </c>
      <c r="I1496" s="901">
        <f t="shared" si="387"/>
        <v>11.35</v>
      </c>
      <c r="J1496" s="902">
        <f t="shared" si="388"/>
        <v>13.63</v>
      </c>
      <c r="K1496" s="903" t="s">
        <v>1516</v>
      </c>
      <c r="L1496" s="904">
        <f>ROUND(SUM('RES. CENTRAL PARK:RUA_FINAL'!L1496),2)</f>
        <v>0</v>
      </c>
      <c r="M1496" s="904">
        <f t="shared" si="389"/>
        <v>0</v>
      </c>
      <c r="N1496" s="893">
        <f t="shared" si="390"/>
        <v>0</v>
      </c>
      <c r="O1496" s="905"/>
      <c r="Q1496" s="317" t="str">
        <f t="shared" si="391"/>
        <v/>
      </c>
      <c r="R1496" s="317" t="str">
        <f t="shared" si="392"/>
        <v/>
      </c>
      <c r="S1496" s="317" t="str">
        <f t="shared" si="393"/>
        <v/>
      </c>
      <c r="V1496" s="314">
        <f>SUM('RES. CENTRAL PARK:RUA_FINAL'!N1496)</f>
        <v>0</v>
      </c>
      <c r="W1496" s="315">
        <f t="shared" si="394"/>
        <v>0</v>
      </c>
    </row>
    <row r="1497" spans="1:23" ht="23.25" hidden="1" thickBot="1" x14ac:dyDescent="0.25">
      <c r="A1497" s="63">
        <v>101554</v>
      </c>
      <c r="B1497" s="895">
        <v>101554</v>
      </c>
      <c r="C1497" s="896" t="s">
        <v>596</v>
      </c>
      <c r="D1497" s="906" t="s">
        <v>1422</v>
      </c>
      <c r="E1497" s="907"/>
      <c r="F1497" s="908"/>
      <c r="G1497" s="912"/>
      <c r="H1497" s="901">
        <v>9.09</v>
      </c>
      <c r="I1497" s="901">
        <f t="shared" si="387"/>
        <v>9.09</v>
      </c>
      <c r="J1497" s="902">
        <f t="shared" si="388"/>
        <v>10.91</v>
      </c>
      <c r="K1497" s="903" t="s">
        <v>1516</v>
      </c>
      <c r="L1497" s="904">
        <f>ROUND(SUM('RES. CENTRAL PARK:RUA_FINAL'!L1497),2)</f>
        <v>0</v>
      </c>
      <c r="M1497" s="904">
        <f t="shared" si="389"/>
        <v>0</v>
      </c>
      <c r="N1497" s="893">
        <f t="shared" si="390"/>
        <v>0</v>
      </c>
      <c r="O1497" s="905"/>
      <c r="Q1497" s="317" t="str">
        <f t="shared" si="391"/>
        <v/>
      </c>
      <c r="R1497" s="317" t="str">
        <f t="shared" si="392"/>
        <v/>
      </c>
      <c r="S1497" s="317" t="str">
        <f t="shared" si="393"/>
        <v/>
      </c>
      <c r="V1497" s="314">
        <f>SUM('RES. CENTRAL PARK:RUA_FINAL'!N1497)</f>
        <v>0</v>
      </c>
      <c r="W1497" s="315">
        <f t="shared" si="394"/>
        <v>0</v>
      </c>
    </row>
    <row r="1498" spans="1:23" ht="23.25" hidden="1" thickBot="1" x14ac:dyDescent="0.25">
      <c r="A1498" s="63">
        <v>101555</v>
      </c>
      <c r="B1498" s="895">
        <v>101555</v>
      </c>
      <c r="C1498" s="896" t="s">
        <v>596</v>
      </c>
      <c r="D1498" s="906" t="s">
        <v>1423</v>
      </c>
      <c r="E1498" s="907"/>
      <c r="F1498" s="908"/>
      <c r="G1498" s="912"/>
      <c r="H1498" s="901">
        <v>7.02</v>
      </c>
      <c r="I1498" s="901">
        <f t="shared" si="387"/>
        <v>7.02</v>
      </c>
      <c r="J1498" s="902">
        <f t="shared" si="388"/>
        <v>8.43</v>
      </c>
      <c r="K1498" s="903" t="s">
        <v>1516</v>
      </c>
      <c r="L1498" s="904">
        <f>ROUND(SUM('RES. CENTRAL PARK:RUA_FINAL'!L1498),2)</f>
        <v>0</v>
      </c>
      <c r="M1498" s="904">
        <f t="shared" si="389"/>
        <v>0</v>
      </c>
      <c r="N1498" s="893">
        <f t="shared" si="390"/>
        <v>0</v>
      </c>
      <c r="O1498" s="905"/>
      <c r="Q1498" s="317" t="str">
        <f t="shared" si="391"/>
        <v/>
      </c>
      <c r="R1498" s="317" t="str">
        <f t="shared" si="392"/>
        <v/>
      </c>
      <c r="S1498" s="317" t="str">
        <f t="shared" si="393"/>
        <v/>
      </c>
      <c r="V1498" s="314">
        <f>SUM('RES. CENTRAL PARK:RUA_FINAL'!N1498)</f>
        <v>0</v>
      </c>
      <c r="W1498" s="315">
        <f t="shared" si="394"/>
        <v>0</v>
      </c>
    </row>
    <row r="1499" spans="1:23" ht="23.25" hidden="1" thickBot="1" x14ac:dyDescent="0.25">
      <c r="A1499" s="63">
        <v>101556</v>
      </c>
      <c r="B1499" s="895">
        <v>101556</v>
      </c>
      <c r="C1499" s="896" t="s">
        <v>596</v>
      </c>
      <c r="D1499" s="906" t="s">
        <v>1424</v>
      </c>
      <c r="E1499" s="907"/>
      <c r="F1499" s="908"/>
      <c r="G1499" s="912"/>
      <c r="H1499" s="901">
        <v>6.69</v>
      </c>
      <c r="I1499" s="901">
        <f t="shared" si="387"/>
        <v>6.69</v>
      </c>
      <c r="J1499" s="902">
        <f t="shared" si="388"/>
        <v>8.0299999999999994</v>
      </c>
      <c r="K1499" s="903" t="s">
        <v>1516</v>
      </c>
      <c r="L1499" s="904">
        <f>ROUND(SUM('RES. CENTRAL PARK:RUA_FINAL'!L1499),2)</f>
        <v>0</v>
      </c>
      <c r="M1499" s="904">
        <f t="shared" si="389"/>
        <v>0</v>
      </c>
      <c r="N1499" s="893">
        <f t="shared" si="390"/>
        <v>0</v>
      </c>
      <c r="O1499" s="905"/>
      <c r="Q1499" s="317" t="str">
        <f t="shared" si="391"/>
        <v/>
      </c>
      <c r="R1499" s="317" t="str">
        <f t="shared" si="392"/>
        <v/>
      </c>
      <c r="S1499" s="317" t="str">
        <f t="shared" si="393"/>
        <v/>
      </c>
      <c r="V1499" s="314">
        <f>SUM('RES. CENTRAL PARK:RUA_FINAL'!N1499)</f>
        <v>0</v>
      </c>
      <c r="W1499" s="315">
        <f t="shared" si="394"/>
        <v>0</v>
      </c>
    </row>
    <row r="1500" spans="1:23" ht="23.25" hidden="1" thickBot="1" x14ac:dyDescent="0.25">
      <c r="A1500" s="63">
        <v>101626</v>
      </c>
      <c r="B1500" s="895">
        <v>101626</v>
      </c>
      <c r="C1500" s="896" t="s">
        <v>596</v>
      </c>
      <c r="D1500" s="906" t="s">
        <v>1425</v>
      </c>
      <c r="E1500" s="907"/>
      <c r="F1500" s="908"/>
      <c r="G1500" s="912"/>
      <c r="H1500" s="901">
        <v>195.03</v>
      </c>
      <c r="I1500" s="901">
        <f t="shared" si="387"/>
        <v>195.03</v>
      </c>
      <c r="J1500" s="902">
        <f t="shared" si="388"/>
        <v>234.17</v>
      </c>
      <c r="K1500" s="903" t="s">
        <v>1516</v>
      </c>
      <c r="L1500" s="904">
        <f>ROUND(SUM('RES. CENTRAL PARK:RUA_FINAL'!L1500),2)</f>
        <v>0</v>
      </c>
      <c r="M1500" s="904">
        <f t="shared" si="389"/>
        <v>0</v>
      </c>
      <c r="N1500" s="893">
        <f t="shared" si="390"/>
        <v>0</v>
      </c>
      <c r="O1500" s="905"/>
      <c r="Q1500" s="317" t="str">
        <f t="shared" si="391"/>
        <v/>
      </c>
      <c r="R1500" s="317" t="str">
        <f t="shared" si="392"/>
        <v/>
      </c>
      <c r="S1500" s="317" t="str">
        <f t="shared" si="393"/>
        <v/>
      </c>
      <c r="V1500" s="314">
        <f>SUM('RES. CENTRAL PARK:RUA_FINAL'!N1500)</f>
        <v>0</v>
      </c>
      <c r="W1500" s="315">
        <f t="shared" si="394"/>
        <v>0</v>
      </c>
    </row>
    <row r="1501" spans="1:23" ht="23.25" hidden="1" thickBot="1" x14ac:dyDescent="0.25">
      <c r="A1501" s="63">
        <v>101627</v>
      </c>
      <c r="B1501" s="895">
        <v>101627</v>
      </c>
      <c r="C1501" s="896" t="s">
        <v>596</v>
      </c>
      <c r="D1501" s="906" t="s">
        <v>1426</v>
      </c>
      <c r="E1501" s="907"/>
      <c r="F1501" s="908"/>
      <c r="G1501" s="912"/>
      <c r="H1501" s="901">
        <v>302.79000000000002</v>
      </c>
      <c r="I1501" s="901">
        <f t="shared" si="387"/>
        <v>302.79000000000002</v>
      </c>
      <c r="J1501" s="902">
        <f t="shared" si="388"/>
        <v>363.56</v>
      </c>
      <c r="K1501" s="903" t="s">
        <v>1516</v>
      </c>
      <c r="L1501" s="904">
        <f>ROUND(SUM('RES. CENTRAL PARK:RUA_FINAL'!L1501),2)</f>
        <v>0</v>
      </c>
      <c r="M1501" s="904">
        <f t="shared" si="389"/>
        <v>0</v>
      </c>
      <c r="N1501" s="893">
        <f t="shared" si="390"/>
        <v>0</v>
      </c>
      <c r="O1501" s="905"/>
      <c r="Q1501" s="317" t="str">
        <f t="shared" si="391"/>
        <v/>
      </c>
      <c r="R1501" s="317" t="str">
        <f t="shared" si="392"/>
        <v/>
      </c>
      <c r="S1501" s="317" t="str">
        <f t="shared" si="393"/>
        <v/>
      </c>
      <c r="V1501" s="314">
        <f>SUM('RES. CENTRAL PARK:RUA_FINAL'!N1501)</f>
        <v>0</v>
      </c>
      <c r="W1501" s="315">
        <f t="shared" si="394"/>
        <v>0</v>
      </c>
    </row>
    <row r="1502" spans="1:23" ht="23.25" hidden="1" thickBot="1" x14ac:dyDescent="0.25">
      <c r="A1502" s="63">
        <v>101628</v>
      </c>
      <c r="B1502" s="895">
        <v>101628</v>
      </c>
      <c r="C1502" s="896" t="s">
        <v>596</v>
      </c>
      <c r="D1502" s="906" t="s">
        <v>1427</v>
      </c>
      <c r="E1502" s="907"/>
      <c r="F1502" s="908"/>
      <c r="G1502" s="912"/>
      <c r="H1502" s="901">
        <v>145.18</v>
      </c>
      <c r="I1502" s="901">
        <f t="shared" si="387"/>
        <v>145.18</v>
      </c>
      <c r="J1502" s="902">
        <f t="shared" si="388"/>
        <v>174.32</v>
      </c>
      <c r="K1502" s="903" t="s">
        <v>1516</v>
      </c>
      <c r="L1502" s="904">
        <f>ROUND(SUM('RES. CENTRAL PARK:RUA_FINAL'!L1502),2)</f>
        <v>0</v>
      </c>
      <c r="M1502" s="904">
        <f t="shared" si="389"/>
        <v>0</v>
      </c>
      <c r="N1502" s="893">
        <f t="shared" si="390"/>
        <v>0</v>
      </c>
      <c r="O1502" s="905"/>
      <c r="Q1502" s="317" t="str">
        <f t="shared" si="391"/>
        <v/>
      </c>
      <c r="R1502" s="317" t="str">
        <f t="shared" si="392"/>
        <v/>
      </c>
      <c r="S1502" s="317" t="str">
        <f t="shared" si="393"/>
        <v/>
      </c>
      <c r="V1502" s="314">
        <f>SUM('RES. CENTRAL PARK:RUA_FINAL'!N1502)</f>
        <v>0</v>
      </c>
      <c r="W1502" s="315">
        <f t="shared" si="394"/>
        <v>0</v>
      </c>
    </row>
    <row r="1503" spans="1:23" ht="23.25" hidden="1" thickBot="1" x14ac:dyDescent="0.25">
      <c r="A1503" s="63">
        <v>101629</v>
      </c>
      <c r="B1503" s="895">
        <v>101629</v>
      </c>
      <c r="C1503" s="896" t="s">
        <v>596</v>
      </c>
      <c r="D1503" s="906" t="s">
        <v>1428</v>
      </c>
      <c r="E1503" s="907"/>
      <c r="F1503" s="908"/>
      <c r="G1503" s="912"/>
      <c r="H1503" s="901">
        <v>170.85</v>
      </c>
      <c r="I1503" s="901">
        <f t="shared" si="387"/>
        <v>170.85</v>
      </c>
      <c r="J1503" s="902">
        <f t="shared" si="388"/>
        <v>205.14</v>
      </c>
      <c r="K1503" s="903" t="s">
        <v>1516</v>
      </c>
      <c r="L1503" s="904">
        <f>ROUND(SUM('RES. CENTRAL PARK:RUA_FINAL'!L1503),2)</f>
        <v>0</v>
      </c>
      <c r="M1503" s="904">
        <f t="shared" si="389"/>
        <v>0</v>
      </c>
      <c r="N1503" s="893">
        <f t="shared" si="390"/>
        <v>0</v>
      </c>
      <c r="O1503" s="905"/>
      <c r="Q1503" s="317" t="str">
        <f t="shared" si="391"/>
        <v/>
      </c>
      <c r="R1503" s="317" t="str">
        <f t="shared" si="392"/>
        <v/>
      </c>
      <c r="S1503" s="317" t="str">
        <f t="shared" si="393"/>
        <v/>
      </c>
      <c r="V1503" s="314">
        <f>SUM('RES. CENTRAL PARK:RUA_FINAL'!N1503)</f>
        <v>0</v>
      </c>
      <c r="W1503" s="315">
        <f t="shared" si="394"/>
        <v>0</v>
      </c>
    </row>
    <row r="1504" spans="1:23" ht="23.25" hidden="1" thickBot="1" x14ac:dyDescent="0.25">
      <c r="A1504" s="63">
        <v>100921</v>
      </c>
      <c r="B1504" s="895">
        <v>100921</v>
      </c>
      <c r="C1504" s="896" t="s">
        <v>596</v>
      </c>
      <c r="D1504" s="906" t="s">
        <v>1429</v>
      </c>
      <c r="E1504" s="907"/>
      <c r="F1504" s="908"/>
      <c r="G1504" s="912"/>
      <c r="H1504" s="901">
        <v>76.739999999999995</v>
      </c>
      <c r="I1504" s="901">
        <f t="shared" si="387"/>
        <v>76.739999999999995</v>
      </c>
      <c r="J1504" s="902">
        <f t="shared" si="388"/>
        <v>92.14</v>
      </c>
      <c r="K1504" s="903" t="s">
        <v>1516</v>
      </c>
      <c r="L1504" s="904">
        <f>ROUND(SUM('RES. CENTRAL PARK:RUA_FINAL'!L1504),2)</f>
        <v>0</v>
      </c>
      <c r="M1504" s="904">
        <f t="shared" si="389"/>
        <v>0</v>
      </c>
      <c r="N1504" s="893">
        <f t="shared" si="390"/>
        <v>0</v>
      </c>
      <c r="O1504" s="905"/>
      <c r="Q1504" s="317" t="str">
        <f t="shared" si="391"/>
        <v/>
      </c>
      <c r="R1504" s="317" t="str">
        <f t="shared" si="392"/>
        <v/>
      </c>
      <c r="S1504" s="317" t="str">
        <f t="shared" si="393"/>
        <v/>
      </c>
      <c r="V1504" s="314">
        <f>SUM('RES. CENTRAL PARK:RUA_FINAL'!N1504)</f>
        <v>0</v>
      </c>
      <c r="W1504" s="315">
        <f t="shared" si="394"/>
        <v>0</v>
      </c>
    </row>
    <row r="1505" spans="1:23" ht="23.25" hidden="1" thickBot="1" x14ac:dyDescent="0.25">
      <c r="A1505" s="63">
        <v>100922</v>
      </c>
      <c r="B1505" s="895">
        <v>100922</v>
      </c>
      <c r="C1505" s="896" t="s">
        <v>596</v>
      </c>
      <c r="D1505" s="906" t="s">
        <v>1430</v>
      </c>
      <c r="E1505" s="907"/>
      <c r="F1505" s="908"/>
      <c r="G1505" s="912"/>
      <c r="H1505" s="901">
        <v>55.07</v>
      </c>
      <c r="I1505" s="901">
        <f t="shared" si="387"/>
        <v>55.07</v>
      </c>
      <c r="J1505" s="902">
        <f t="shared" si="388"/>
        <v>66.12</v>
      </c>
      <c r="K1505" s="903" t="s">
        <v>1516</v>
      </c>
      <c r="L1505" s="904">
        <f>ROUND(SUM('RES. CENTRAL PARK:RUA_FINAL'!L1505),2)</f>
        <v>0</v>
      </c>
      <c r="M1505" s="904">
        <f t="shared" si="389"/>
        <v>0</v>
      </c>
      <c r="N1505" s="893">
        <f t="shared" si="390"/>
        <v>0</v>
      </c>
      <c r="O1505" s="905"/>
      <c r="Q1505" s="317" t="str">
        <f t="shared" si="391"/>
        <v/>
      </c>
      <c r="R1505" s="317" t="str">
        <f t="shared" si="392"/>
        <v/>
      </c>
      <c r="S1505" s="317" t="str">
        <f t="shared" si="393"/>
        <v/>
      </c>
      <c r="V1505" s="314">
        <f>SUM('RES. CENTRAL PARK:RUA_FINAL'!N1505)</f>
        <v>0</v>
      </c>
      <c r="W1505" s="315">
        <f t="shared" si="394"/>
        <v>0</v>
      </c>
    </row>
    <row r="1506" spans="1:23" ht="23.25" hidden="1" thickBot="1" x14ac:dyDescent="0.25">
      <c r="A1506" s="63">
        <v>100923</v>
      </c>
      <c r="B1506" s="895">
        <v>100923</v>
      </c>
      <c r="C1506" s="896" t="s">
        <v>596</v>
      </c>
      <c r="D1506" s="906" t="s">
        <v>1431</v>
      </c>
      <c r="E1506" s="907"/>
      <c r="F1506" s="908"/>
      <c r="G1506" s="912"/>
      <c r="H1506" s="901">
        <v>63.57</v>
      </c>
      <c r="I1506" s="901">
        <f t="shared" si="387"/>
        <v>63.57</v>
      </c>
      <c r="J1506" s="902">
        <f t="shared" si="388"/>
        <v>76.33</v>
      </c>
      <c r="K1506" s="903" t="s">
        <v>1516</v>
      </c>
      <c r="L1506" s="904">
        <f>ROUND(SUM('RES. CENTRAL PARK:RUA_FINAL'!L1506),2)</f>
        <v>0</v>
      </c>
      <c r="M1506" s="904">
        <f t="shared" si="389"/>
        <v>0</v>
      </c>
      <c r="N1506" s="893">
        <f t="shared" si="390"/>
        <v>0</v>
      </c>
      <c r="O1506" s="905"/>
      <c r="Q1506" s="317" t="str">
        <f t="shared" si="391"/>
        <v/>
      </c>
      <c r="R1506" s="317" t="str">
        <f t="shared" si="392"/>
        <v/>
      </c>
      <c r="S1506" s="317" t="str">
        <f t="shared" si="393"/>
        <v/>
      </c>
      <c r="V1506" s="314">
        <f>SUM('RES. CENTRAL PARK:RUA_FINAL'!N1506)</f>
        <v>0</v>
      </c>
      <c r="W1506" s="315">
        <f t="shared" si="394"/>
        <v>0</v>
      </c>
    </row>
    <row r="1507" spans="1:23" ht="34.5" hidden="1" thickBot="1" x14ac:dyDescent="0.25">
      <c r="A1507" s="63">
        <v>101661</v>
      </c>
      <c r="B1507" s="895">
        <v>101661</v>
      </c>
      <c r="C1507" s="896" t="s">
        <v>596</v>
      </c>
      <c r="D1507" s="906" t="s">
        <v>1432</v>
      </c>
      <c r="E1507" s="907"/>
      <c r="F1507" s="908"/>
      <c r="G1507" s="912"/>
      <c r="H1507" s="901">
        <v>126.97</v>
      </c>
      <c r="I1507" s="901">
        <f t="shared" si="387"/>
        <v>126.97</v>
      </c>
      <c r="J1507" s="902">
        <f t="shared" si="388"/>
        <v>152.44999999999999</v>
      </c>
      <c r="K1507" s="903" t="s">
        <v>1516</v>
      </c>
      <c r="L1507" s="904">
        <f>ROUND(SUM('RES. CENTRAL PARK:RUA_FINAL'!L1507),2)</f>
        <v>0</v>
      </c>
      <c r="M1507" s="904">
        <f t="shared" si="389"/>
        <v>0</v>
      </c>
      <c r="N1507" s="893">
        <f t="shared" si="390"/>
        <v>0</v>
      </c>
      <c r="O1507" s="905"/>
      <c r="Q1507" s="317" t="str">
        <f t="shared" si="391"/>
        <v/>
      </c>
      <c r="R1507" s="317" t="str">
        <f t="shared" si="392"/>
        <v/>
      </c>
      <c r="S1507" s="317" t="str">
        <f t="shared" si="393"/>
        <v/>
      </c>
      <c r="V1507" s="314">
        <f>SUM('RES. CENTRAL PARK:RUA_FINAL'!N1507)</f>
        <v>0</v>
      </c>
      <c r="W1507" s="315">
        <f t="shared" si="394"/>
        <v>0</v>
      </c>
    </row>
    <row r="1508" spans="1:23" ht="23.25" hidden="1" thickBot="1" x14ac:dyDescent="0.25">
      <c r="A1508" s="63">
        <v>101651</v>
      </c>
      <c r="B1508" s="895">
        <v>101651</v>
      </c>
      <c r="C1508" s="896" t="s">
        <v>596</v>
      </c>
      <c r="D1508" s="906" t="s">
        <v>1433</v>
      </c>
      <c r="E1508" s="907"/>
      <c r="F1508" s="908"/>
      <c r="G1508" s="912"/>
      <c r="H1508" s="901">
        <v>67.55</v>
      </c>
      <c r="I1508" s="901">
        <f t="shared" si="387"/>
        <v>67.55</v>
      </c>
      <c r="J1508" s="902">
        <f t="shared" si="388"/>
        <v>81.11</v>
      </c>
      <c r="K1508" s="903" t="s">
        <v>1516</v>
      </c>
      <c r="L1508" s="904">
        <f>ROUND(SUM('RES. CENTRAL PARK:RUA_FINAL'!L1508),2)</f>
        <v>0</v>
      </c>
      <c r="M1508" s="904">
        <f t="shared" si="389"/>
        <v>0</v>
      </c>
      <c r="N1508" s="893">
        <f t="shared" si="390"/>
        <v>0</v>
      </c>
      <c r="O1508" s="905"/>
      <c r="Q1508" s="317" t="str">
        <f t="shared" si="391"/>
        <v/>
      </c>
      <c r="R1508" s="317" t="str">
        <f t="shared" si="392"/>
        <v/>
      </c>
      <c r="S1508" s="317" t="str">
        <f t="shared" si="393"/>
        <v/>
      </c>
      <c r="V1508" s="314">
        <f>SUM('RES. CENTRAL PARK:RUA_FINAL'!N1508)</f>
        <v>0</v>
      </c>
      <c r="W1508" s="315">
        <f t="shared" si="394"/>
        <v>0</v>
      </c>
    </row>
    <row r="1509" spans="1:23" ht="23.25" hidden="1" thickBot="1" x14ac:dyDescent="0.25">
      <c r="A1509" s="63">
        <v>101630</v>
      </c>
      <c r="B1509" s="895">
        <v>101630</v>
      </c>
      <c r="C1509" s="896" t="s">
        <v>596</v>
      </c>
      <c r="D1509" s="906" t="s">
        <v>1434</v>
      </c>
      <c r="E1509" s="907"/>
      <c r="F1509" s="908"/>
      <c r="G1509" s="912"/>
      <c r="H1509" s="901">
        <v>80.7</v>
      </c>
      <c r="I1509" s="901">
        <f t="shared" si="387"/>
        <v>80.7</v>
      </c>
      <c r="J1509" s="902">
        <f t="shared" si="388"/>
        <v>96.9</v>
      </c>
      <c r="K1509" s="903" t="s">
        <v>1516</v>
      </c>
      <c r="L1509" s="904">
        <f>ROUND(SUM('RES. CENTRAL PARK:RUA_FINAL'!L1509),2)</f>
        <v>0</v>
      </c>
      <c r="M1509" s="904">
        <f t="shared" si="389"/>
        <v>0</v>
      </c>
      <c r="N1509" s="893">
        <f t="shared" si="390"/>
        <v>0</v>
      </c>
      <c r="O1509" s="905"/>
      <c r="Q1509" s="317" t="str">
        <f t="shared" si="391"/>
        <v/>
      </c>
      <c r="R1509" s="317" t="str">
        <f t="shared" si="392"/>
        <v/>
      </c>
      <c r="S1509" s="317" t="str">
        <f t="shared" si="393"/>
        <v/>
      </c>
      <c r="V1509" s="314">
        <f>SUM('RES. CENTRAL PARK:RUA_FINAL'!N1509)</f>
        <v>0</v>
      </c>
      <c r="W1509" s="315">
        <f t="shared" si="394"/>
        <v>0</v>
      </c>
    </row>
    <row r="1510" spans="1:23" ht="23.25" hidden="1" thickBot="1" x14ac:dyDescent="0.25">
      <c r="A1510" s="63">
        <v>101631</v>
      </c>
      <c r="B1510" s="895">
        <v>101631</v>
      </c>
      <c r="C1510" s="896" t="s">
        <v>596</v>
      </c>
      <c r="D1510" s="906" t="s">
        <v>1435</v>
      </c>
      <c r="E1510" s="907"/>
      <c r="F1510" s="908"/>
      <c r="G1510" s="912"/>
      <c r="H1510" s="901">
        <v>39.08</v>
      </c>
      <c r="I1510" s="901">
        <f t="shared" si="387"/>
        <v>39.08</v>
      </c>
      <c r="J1510" s="902">
        <f t="shared" si="388"/>
        <v>46.92</v>
      </c>
      <c r="K1510" s="903" t="s">
        <v>1516</v>
      </c>
      <c r="L1510" s="904">
        <f>ROUND(SUM('RES. CENTRAL PARK:RUA_FINAL'!L1510),2)</f>
        <v>0</v>
      </c>
      <c r="M1510" s="904">
        <f t="shared" si="389"/>
        <v>0</v>
      </c>
      <c r="N1510" s="893">
        <f t="shared" si="390"/>
        <v>0</v>
      </c>
      <c r="O1510" s="905"/>
      <c r="Q1510" s="317" t="str">
        <f t="shared" si="391"/>
        <v/>
      </c>
      <c r="R1510" s="317" t="str">
        <f t="shared" si="392"/>
        <v/>
      </c>
      <c r="S1510" s="317" t="str">
        <f t="shared" si="393"/>
        <v/>
      </c>
      <c r="V1510" s="314">
        <f>SUM('RES. CENTRAL PARK:RUA_FINAL'!N1510)</f>
        <v>0</v>
      </c>
      <c r="W1510" s="315">
        <f t="shared" si="394"/>
        <v>0</v>
      </c>
    </row>
    <row r="1511" spans="1:23" ht="23.25" hidden="1" thickBot="1" x14ac:dyDescent="0.25">
      <c r="A1511" s="63">
        <v>101632</v>
      </c>
      <c r="B1511" s="895">
        <v>101632</v>
      </c>
      <c r="C1511" s="896" t="s">
        <v>596</v>
      </c>
      <c r="D1511" s="906" t="s">
        <v>1436</v>
      </c>
      <c r="E1511" s="907"/>
      <c r="F1511" s="908"/>
      <c r="G1511" s="912"/>
      <c r="H1511" s="901">
        <v>43.27</v>
      </c>
      <c r="I1511" s="901">
        <f t="shared" si="387"/>
        <v>43.27</v>
      </c>
      <c r="J1511" s="902">
        <f t="shared" si="388"/>
        <v>51.95</v>
      </c>
      <c r="K1511" s="903" t="s">
        <v>1516</v>
      </c>
      <c r="L1511" s="904">
        <f>ROUND(SUM('RES. CENTRAL PARK:RUA_FINAL'!L1511),2)</f>
        <v>0</v>
      </c>
      <c r="M1511" s="904">
        <f t="shared" si="389"/>
        <v>0</v>
      </c>
      <c r="N1511" s="893">
        <f t="shared" si="390"/>
        <v>0</v>
      </c>
      <c r="O1511" s="905"/>
      <c r="Q1511" s="317" t="str">
        <f t="shared" si="391"/>
        <v/>
      </c>
      <c r="R1511" s="317" t="str">
        <f t="shared" si="392"/>
        <v/>
      </c>
      <c r="S1511" s="317" t="str">
        <f t="shared" si="393"/>
        <v/>
      </c>
      <c r="V1511" s="314">
        <f>SUM('RES. CENTRAL PARK:RUA_FINAL'!N1511)</f>
        <v>0</v>
      </c>
      <c r="W1511" s="315">
        <f t="shared" si="394"/>
        <v>0</v>
      </c>
    </row>
    <row r="1512" spans="1:23" ht="23.25" hidden="1" thickBot="1" x14ac:dyDescent="0.25">
      <c r="A1512" s="63">
        <v>101633</v>
      </c>
      <c r="B1512" s="895">
        <v>101633</v>
      </c>
      <c r="C1512" s="896" t="s">
        <v>596</v>
      </c>
      <c r="D1512" s="906" t="s">
        <v>1437</v>
      </c>
      <c r="E1512" s="907"/>
      <c r="F1512" s="908"/>
      <c r="G1512" s="912"/>
      <c r="H1512" s="901">
        <v>108.32</v>
      </c>
      <c r="I1512" s="901">
        <f t="shared" si="387"/>
        <v>108.32</v>
      </c>
      <c r="J1512" s="902">
        <f t="shared" si="388"/>
        <v>130.06</v>
      </c>
      <c r="K1512" s="903" t="s">
        <v>1516</v>
      </c>
      <c r="L1512" s="904">
        <f>ROUND(SUM('RES. CENTRAL PARK:RUA_FINAL'!L1512),2)</f>
        <v>0</v>
      </c>
      <c r="M1512" s="904">
        <f t="shared" si="389"/>
        <v>0</v>
      </c>
      <c r="N1512" s="893">
        <f t="shared" si="390"/>
        <v>0</v>
      </c>
      <c r="O1512" s="905"/>
      <c r="Q1512" s="317" t="str">
        <f t="shared" si="391"/>
        <v/>
      </c>
      <c r="R1512" s="317" t="str">
        <f t="shared" si="392"/>
        <v/>
      </c>
      <c r="S1512" s="317" t="str">
        <f t="shared" si="393"/>
        <v/>
      </c>
      <c r="V1512" s="314">
        <f>SUM('RES. CENTRAL PARK:RUA_FINAL'!N1512)</f>
        <v>0</v>
      </c>
      <c r="W1512" s="315">
        <f t="shared" si="394"/>
        <v>0</v>
      </c>
    </row>
    <row r="1513" spans="1:23" ht="34.5" hidden="1" thickBot="1" x14ac:dyDescent="0.25">
      <c r="A1513" s="63">
        <v>101636</v>
      </c>
      <c r="B1513" s="895">
        <v>101636</v>
      </c>
      <c r="C1513" s="896" t="s">
        <v>596</v>
      </c>
      <c r="D1513" s="906" t="s">
        <v>1438</v>
      </c>
      <c r="E1513" s="907"/>
      <c r="F1513" s="908"/>
      <c r="G1513" s="912"/>
      <c r="H1513" s="901">
        <v>163.68</v>
      </c>
      <c r="I1513" s="901">
        <f t="shared" si="387"/>
        <v>163.68</v>
      </c>
      <c r="J1513" s="902">
        <f t="shared" si="388"/>
        <v>196.53</v>
      </c>
      <c r="K1513" s="903" t="s">
        <v>1516</v>
      </c>
      <c r="L1513" s="904">
        <f>ROUND(SUM('RES. CENTRAL PARK:RUA_FINAL'!L1513),2)</f>
        <v>0</v>
      </c>
      <c r="M1513" s="904">
        <f t="shared" si="389"/>
        <v>0</v>
      </c>
      <c r="N1513" s="893">
        <f t="shared" si="390"/>
        <v>0</v>
      </c>
      <c r="O1513" s="905"/>
      <c r="Q1513" s="317" t="str">
        <f t="shared" si="391"/>
        <v/>
      </c>
      <c r="R1513" s="317" t="str">
        <f t="shared" si="392"/>
        <v/>
      </c>
      <c r="S1513" s="317" t="str">
        <f t="shared" si="393"/>
        <v/>
      </c>
      <c r="V1513" s="314">
        <f>SUM('RES. CENTRAL PARK:RUA_FINAL'!N1513)</f>
        <v>0</v>
      </c>
      <c r="W1513" s="315">
        <f t="shared" si="394"/>
        <v>0</v>
      </c>
    </row>
    <row r="1514" spans="1:23" ht="34.5" hidden="1" thickBot="1" x14ac:dyDescent="0.25">
      <c r="A1514" s="63">
        <v>101637</v>
      </c>
      <c r="B1514" s="895">
        <v>101637</v>
      </c>
      <c r="C1514" s="896" t="s">
        <v>596</v>
      </c>
      <c r="D1514" s="906" t="s">
        <v>1439</v>
      </c>
      <c r="E1514" s="907"/>
      <c r="F1514" s="908"/>
      <c r="G1514" s="912"/>
      <c r="H1514" s="901">
        <v>158.52000000000001</v>
      </c>
      <c r="I1514" s="901">
        <f t="shared" si="387"/>
        <v>158.52000000000001</v>
      </c>
      <c r="J1514" s="902">
        <f t="shared" si="388"/>
        <v>190.33</v>
      </c>
      <c r="K1514" s="903" t="s">
        <v>1516</v>
      </c>
      <c r="L1514" s="904">
        <f>ROUND(SUM('RES. CENTRAL PARK:RUA_FINAL'!L1514),2)</f>
        <v>0</v>
      </c>
      <c r="M1514" s="904">
        <f t="shared" si="389"/>
        <v>0</v>
      </c>
      <c r="N1514" s="893">
        <f t="shared" si="390"/>
        <v>0</v>
      </c>
      <c r="O1514" s="905"/>
      <c r="Q1514" s="317" t="str">
        <f t="shared" si="391"/>
        <v/>
      </c>
      <c r="R1514" s="317" t="str">
        <f t="shared" si="392"/>
        <v/>
      </c>
      <c r="S1514" s="317" t="str">
        <f t="shared" si="393"/>
        <v/>
      </c>
      <c r="V1514" s="314">
        <f>SUM('RES. CENTRAL PARK:RUA_FINAL'!N1514)</f>
        <v>0</v>
      </c>
      <c r="W1514" s="315">
        <f t="shared" si="394"/>
        <v>0</v>
      </c>
    </row>
    <row r="1515" spans="1:23" ht="23.25" hidden="1" thickBot="1" x14ac:dyDescent="0.25">
      <c r="A1515" s="63">
        <v>96985</v>
      </c>
      <c r="B1515" s="895">
        <v>96985</v>
      </c>
      <c r="C1515" s="896" t="s">
        <v>596</v>
      </c>
      <c r="D1515" s="906" t="s">
        <v>1440</v>
      </c>
      <c r="E1515" s="907"/>
      <c r="F1515" s="908"/>
      <c r="G1515" s="912"/>
      <c r="H1515" s="901">
        <v>91.92</v>
      </c>
      <c r="I1515" s="901">
        <f t="shared" si="387"/>
        <v>91.92</v>
      </c>
      <c r="J1515" s="902">
        <f t="shared" si="388"/>
        <v>110.37</v>
      </c>
      <c r="K1515" s="903" t="s">
        <v>1516</v>
      </c>
      <c r="L1515" s="904">
        <f>ROUND(SUM('RES. CENTRAL PARK:RUA_FINAL'!L1515),2)</f>
        <v>0</v>
      </c>
      <c r="M1515" s="904">
        <f t="shared" si="389"/>
        <v>0</v>
      </c>
      <c r="N1515" s="893">
        <f t="shared" si="390"/>
        <v>0</v>
      </c>
      <c r="O1515" s="905"/>
      <c r="Q1515" s="317" t="str">
        <f t="shared" si="391"/>
        <v/>
      </c>
      <c r="R1515" s="317" t="str">
        <f t="shared" si="392"/>
        <v/>
      </c>
      <c r="S1515" s="317" t="str">
        <f t="shared" si="393"/>
        <v/>
      </c>
      <c r="V1515" s="314">
        <f>SUM('RES. CENTRAL PARK:RUA_FINAL'!N1515)</f>
        <v>0</v>
      </c>
      <c r="W1515" s="315">
        <f t="shared" si="394"/>
        <v>0</v>
      </c>
    </row>
    <row r="1516" spans="1:23" ht="23.25" hidden="1" thickBot="1" x14ac:dyDescent="0.25">
      <c r="A1516" s="63">
        <v>96986</v>
      </c>
      <c r="B1516" s="895">
        <v>96986</v>
      </c>
      <c r="C1516" s="896" t="s">
        <v>596</v>
      </c>
      <c r="D1516" s="906" t="s">
        <v>1441</v>
      </c>
      <c r="E1516" s="907"/>
      <c r="F1516" s="908"/>
      <c r="G1516" s="912"/>
      <c r="H1516" s="901">
        <v>137.30000000000001</v>
      </c>
      <c r="I1516" s="901">
        <f t="shared" si="387"/>
        <v>137.30000000000001</v>
      </c>
      <c r="J1516" s="902">
        <f t="shared" si="388"/>
        <v>164.86</v>
      </c>
      <c r="K1516" s="903" t="s">
        <v>1516</v>
      </c>
      <c r="L1516" s="904">
        <f>ROUND(SUM('RES. CENTRAL PARK:RUA_FINAL'!L1516),2)</f>
        <v>0</v>
      </c>
      <c r="M1516" s="904">
        <f t="shared" si="389"/>
        <v>0</v>
      </c>
      <c r="N1516" s="893">
        <f t="shared" si="390"/>
        <v>0</v>
      </c>
      <c r="O1516" s="905"/>
      <c r="Q1516" s="317" t="str">
        <f t="shared" si="391"/>
        <v/>
      </c>
      <c r="R1516" s="317" t="str">
        <f t="shared" si="392"/>
        <v/>
      </c>
      <c r="S1516" s="317" t="str">
        <f t="shared" si="393"/>
        <v/>
      </c>
      <c r="V1516" s="314">
        <f>SUM('RES. CENTRAL PARK:RUA_FINAL'!N1516)</f>
        <v>0</v>
      </c>
      <c r="W1516" s="315">
        <f t="shared" si="394"/>
        <v>0</v>
      </c>
    </row>
    <row r="1517" spans="1:23" ht="23.25" hidden="1" thickBot="1" x14ac:dyDescent="0.25">
      <c r="A1517" s="63">
        <v>96987</v>
      </c>
      <c r="B1517" s="895">
        <v>96987</v>
      </c>
      <c r="C1517" s="896" t="s">
        <v>596</v>
      </c>
      <c r="D1517" s="906" t="s">
        <v>1442</v>
      </c>
      <c r="E1517" s="907"/>
      <c r="F1517" s="908"/>
      <c r="G1517" s="912"/>
      <c r="H1517" s="901">
        <v>118</v>
      </c>
      <c r="I1517" s="901">
        <f t="shared" si="387"/>
        <v>118</v>
      </c>
      <c r="J1517" s="902">
        <f t="shared" si="388"/>
        <v>141.68</v>
      </c>
      <c r="K1517" s="903" t="s">
        <v>1516</v>
      </c>
      <c r="L1517" s="904">
        <f>ROUND(SUM('RES. CENTRAL PARK:RUA_FINAL'!L1517),2)</f>
        <v>0</v>
      </c>
      <c r="M1517" s="904">
        <f t="shared" si="389"/>
        <v>0</v>
      </c>
      <c r="N1517" s="893">
        <f t="shared" si="390"/>
        <v>0</v>
      </c>
      <c r="O1517" s="905"/>
      <c r="Q1517" s="317" t="str">
        <f t="shared" si="391"/>
        <v/>
      </c>
      <c r="R1517" s="317" t="str">
        <f t="shared" si="392"/>
        <v/>
      </c>
      <c r="S1517" s="317" t="str">
        <f t="shared" si="393"/>
        <v/>
      </c>
      <c r="V1517" s="314">
        <f>SUM('RES. CENTRAL PARK:RUA_FINAL'!N1517)</f>
        <v>0</v>
      </c>
      <c r="W1517" s="315">
        <f t="shared" si="394"/>
        <v>0</v>
      </c>
    </row>
    <row r="1518" spans="1:23" ht="13.5" hidden="1" thickBot="1" x14ac:dyDescent="0.25">
      <c r="A1518" s="63">
        <v>96988</v>
      </c>
      <c r="B1518" s="895">
        <v>96988</v>
      </c>
      <c r="C1518" s="896" t="s">
        <v>596</v>
      </c>
      <c r="D1518" s="906" t="s">
        <v>1443</v>
      </c>
      <c r="E1518" s="907"/>
      <c r="F1518" s="908"/>
      <c r="G1518" s="912"/>
      <c r="H1518" s="901">
        <v>157.33000000000001</v>
      </c>
      <c r="I1518" s="901">
        <f t="shared" si="387"/>
        <v>157.33000000000001</v>
      </c>
      <c r="J1518" s="902">
        <f t="shared" si="388"/>
        <v>188.91</v>
      </c>
      <c r="K1518" s="903" t="s">
        <v>1516</v>
      </c>
      <c r="L1518" s="904">
        <f>ROUND(SUM('RES. CENTRAL PARK:RUA_FINAL'!L1518),2)</f>
        <v>0</v>
      </c>
      <c r="M1518" s="904">
        <f t="shared" si="389"/>
        <v>0</v>
      </c>
      <c r="N1518" s="893">
        <f t="shared" si="390"/>
        <v>0</v>
      </c>
      <c r="O1518" s="905"/>
      <c r="Q1518" s="317" t="str">
        <f t="shared" si="391"/>
        <v/>
      </c>
      <c r="R1518" s="317" t="str">
        <f t="shared" si="392"/>
        <v/>
      </c>
      <c r="S1518" s="317" t="str">
        <f t="shared" si="393"/>
        <v/>
      </c>
      <c r="V1518" s="314">
        <f>SUM('RES. CENTRAL PARK:RUA_FINAL'!N1518)</f>
        <v>0</v>
      </c>
      <c r="W1518" s="315">
        <f t="shared" si="394"/>
        <v>0</v>
      </c>
    </row>
    <row r="1519" spans="1:23" ht="23.25" hidden="1" thickBot="1" x14ac:dyDescent="0.25">
      <c r="A1519" s="63">
        <v>96971</v>
      </c>
      <c r="B1519" s="895">
        <v>96971</v>
      </c>
      <c r="C1519" s="896" t="s">
        <v>596</v>
      </c>
      <c r="D1519" s="906" t="s">
        <v>1444</v>
      </c>
      <c r="E1519" s="907"/>
      <c r="F1519" s="908"/>
      <c r="G1519" s="912"/>
      <c r="H1519" s="901">
        <v>37.03</v>
      </c>
      <c r="I1519" s="901">
        <f t="shared" si="387"/>
        <v>37.03</v>
      </c>
      <c r="J1519" s="902">
        <f t="shared" si="388"/>
        <v>44.46</v>
      </c>
      <c r="K1519" s="903" t="s">
        <v>62</v>
      </c>
      <c r="L1519" s="904">
        <f>ROUND(SUM('RES. CENTRAL PARK:RUA_FINAL'!L1519),2)</f>
        <v>0</v>
      </c>
      <c r="M1519" s="904">
        <f t="shared" si="389"/>
        <v>0</v>
      </c>
      <c r="N1519" s="893">
        <f t="shared" si="390"/>
        <v>0</v>
      </c>
      <c r="O1519" s="905"/>
      <c r="Q1519" s="317" t="str">
        <f t="shared" si="391"/>
        <v/>
      </c>
      <c r="R1519" s="317" t="str">
        <f t="shared" si="392"/>
        <v/>
      </c>
      <c r="S1519" s="317" t="str">
        <f t="shared" si="393"/>
        <v/>
      </c>
      <c r="V1519" s="314">
        <f>SUM('RES. CENTRAL PARK:RUA_FINAL'!N1519)</f>
        <v>0</v>
      </c>
      <c r="W1519" s="315">
        <f t="shared" si="394"/>
        <v>0</v>
      </c>
    </row>
    <row r="1520" spans="1:23" ht="23.25" hidden="1" thickBot="1" x14ac:dyDescent="0.25">
      <c r="A1520" s="63">
        <v>96972</v>
      </c>
      <c r="B1520" s="895">
        <v>96972</v>
      </c>
      <c r="C1520" s="896" t="s">
        <v>596</v>
      </c>
      <c r="D1520" s="906" t="s">
        <v>1445</v>
      </c>
      <c r="E1520" s="907"/>
      <c r="F1520" s="908"/>
      <c r="G1520" s="912"/>
      <c r="H1520" s="901">
        <v>50.05</v>
      </c>
      <c r="I1520" s="901">
        <f t="shared" si="387"/>
        <v>50.05</v>
      </c>
      <c r="J1520" s="902">
        <f t="shared" si="388"/>
        <v>60.1</v>
      </c>
      <c r="K1520" s="903" t="s">
        <v>62</v>
      </c>
      <c r="L1520" s="904">
        <f>ROUND(SUM('RES. CENTRAL PARK:RUA_FINAL'!L1520),2)</f>
        <v>0</v>
      </c>
      <c r="M1520" s="904">
        <f t="shared" si="389"/>
        <v>0</v>
      </c>
      <c r="N1520" s="893">
        <f t="shared" si="390"/>
        <v>0</v>
      </c>
      <c r="O1520" s="905"/>
      <c r="Q1520" s="317" t="str">
        <f t="shared" si="391"/>
        <v/>
      </c>
      <c r="R1520" s="317" t="str">
        <f t="shared" si="392"/>
        <v/>
      </c>
      <c r="S1520" s="317" t="str">
        <f t="shared" si="393"/>
        <v/>
      </c>
      <c r="V1520" s="314">
        <f>SUM('RES. CENTRAL PARK:RUA_FINAL'!N1520)</f>
        <v>0</v>
      </c>
      <c r="W1520" s="315">
        <f t="shared" si="394"/>
        <v>0</v>
      </c>
    </row>
    <row r="1521" spans="1:23" ht="23.25" hidden="1" thickBot="1" x14ac:dyDescent="0.25">
      <c r="A1521" s="63">
        <v>96973</v>
      </c>
      <c r="B1521" s="895">
        <v>96973</v>
      </c>
      <c r="C1521" s="896" t="s">
        <v>596</v>
      </c>
      <c r="D1521" s="906" t="s">
        <v>1446</v>
      </c>
      <c r="E1521" s="907"/>
      <c r="F1521" s="908"/>
      <c r="G1521" s="912"/>
      <c r="H1521" s="901">
        <v>66.23</v>
      </c>
      <c r="I1521" s="901">
        <f t="shared" si="387"/>
        <v>66.23</v>
      </c>
      <c r="J1521" s="902">
        <f t="shared" si="388"/>
        <v>79.52</v>
      </c>
      <c r="K1521" s="903" t="s">
        <v>62</v>
      </c>
      <c r="L1521" s="904">
        <f>ROUND(SUM('RES. CENTRAL PARK:RUA_FINAL'!L1521),2)</f>
        <v>0</v>
      </c>
      <c r="M1521" s="904">
        <f t="shared" si="389"/>
        <v>0</v>
      </c>
      <c r="N1521" s="893">
        <f t="shared" si="390"/>
        <v>0</v>
      </c>
      <c r="O1521" s="905"/>
      <c r="Q1521" s="317" t="str">
        <f t="shared" si="391"/>
        <v/>
      </c>
      <c r="R1521" s="317" t="str">
        <f t="shared" si="392"/>
        <v/>
      </c>
      <c r="S1521" s="317" t="str">
        <f t="shared" si="393"/>
        <v/>
      </c>
      <c r="V1521" s="314">
        <f>SUM('RES. CENTRAL PARK:RUA_FINAL'!N1521)</f>
        <v>0</v>
      </c>
      <c r="W1521" s="315">
        <f t="shared" si="394"/>
        <v>0</v>
      </c>
    </row>
    <row r="1522" spans="1:23" ht="23.25" hidden="1" thickBot="1" x14ac:dyDescent="0.25">
      <c r="A1522" s="63">
        <v>96974</v>
      </c>
      <c r="B1522" s="895">
        <v>96974</v>
      </c>
      <c r="C1522" s="896" t="s">
        <v>596</v>
      </c>
      <c r="D1522" s="906" t="s">
        <v>1447</v>
      </c>
      <c r="E1522" s="907"/>
      <c r="F1522" s="908"/>
      <c r="G1522" s="912"/>
      <c r="H1522" s="901">
        <v>86.55</v>
      </c>
      <c r="I1522" s="901">
        <f t="shared" si="387"/>
        <v>86.55</v>
      </c>
      <c r="J1522" s="902">
        <f t="shared" si="388"/>
        <v>103.92</v>
      </c>
      <c r="K1522" s="903" t="s">
        <v>62</v>
      </c>
      <c r="L1522" s="904">
        <f>ROUND(SUM('RES. CENTRAL PARK:RUA_FINAL'!L1522),2)</f>
        <v>0</v>
      </c>
      <c r="M1522" s="904">
        <f t="shared" si="389"/>
        <v>0</v>
      </c>
      <c r="N1522" s="893">
        <f t="shared" si="390"/>
        <v>0</v>
      </c>
      <c r="O1522" s="905"/>
      <c r="Q1522" s="317" t="str">
        <f t="shared" si="391"/>
        <v/>
      </c>
      <c r="R1522" s="317" t="str">
        <f t="shared" si="392"/>
        <v/>
      </c>
      <c r="S1522" s="317" t="str">
        <f t="shared" si="393"/>
        <v/>
      </c>
      <c r="V1522" s="314">
        <f>SUM('RES. CENTRAL PARK:RUA_FINAL'!N1522)</f>
        <v>0</v>
      </c>
      <c r="W1522" s="315">
        <f t="shared" si="394"/>
        <v>0</v>
      </c>
    </row>
    <row r="1523" spans="1:23" ht="23.25" hidden="1" thickBot="1" x14ac:dyDescent="0.25">
      <c r="A1523" s="63">
        <v>96975</v>
      </c>
      <c r="B1523" s="895">
        <v>96975</v>
      </c>
      <c r="C1523" s="896" t="s">
        <v>596</v>
      </c>
      <c r="D1523" s="906" t="s">
        <v>1448</v>
      </c>
      <c r="E1523" s="907"/>
      <c r="F1523" s="908"/>
      <c r="G1523" s="912"/>
      <c r="H1523" s="901">
        <v>107.85</v>
      </c>
      <c r="I1523" s="901">
        <f t="shared" si="387"/>
        <v>107.85</v>
      </c>
      <c r="J1523" s="902">
        <f t="shared" si="388"/>
        <v>129.5</v>
      </c>
      <c r="K1523" s="903" t="s">
        <v>62</v>
      </c>
      <c r="L1523" s="904">
        <f>ROUND(SUM('RES. CENTRAL PARK:RUA_FINAL'!L1523),2)</f>
        <v>0</v>
      </c>
      <c r="M1523" s="904">
        <f t="shared" si="389"/>
        <v>0</v>
      </c>
      <c r="N1523" s="893">
        <f t="shared" si="390"/>
        <v>0</v>
      </c>
      <c r="O1523" s="905"/>
      <c r="Q1523" s="317" t="str">
        <f t="shared" si="391"/>
        <v/>
      </c>
      <c r="R1523" s="317" t="str">
        <f t="shared" si="392"/>
        <v/>
      </c>
      <c r="S1523" s="317" t="str">
        <f t="shared" si="393"/>
        <v/>
      </c>
      <c r="V1523" s="314">
        <f>SUM('RES. CENTRAL PARK:RUA_FINAL'!N1523)</f>
        <v>0</v>
      </c>
      <c r="W1523" s="315">
        <f t="shared" si="394"/>
        <v>0</v>
      </c>
    </row>
    <row r="1524" spans="1:23" ht="23.25" hidden="1" thickBot="1" x14ac:dyDescent="0.25">
      <c r="A1524" s="63">
        <v>96976</v>
      </c>
      <c r="B1524" s="895">
        <v>96976</v>
      </c>
      <c r="C1524" s="896" t="s">
        <v>596</v>
      </c>
      <c r="D1524" s="906" t="s">
        <v>1449</v>
      </c>
      <c r="E1524" s="907"/>
      <c r="F1524" s="908"/>
      <c r="G1524" s="912"/>
      <c r="H1524" s="901">
        <v>142.65</v>
      </c>
      <c r="I1524" s="901">
        <f t="shared" si="387"/>
        <v>142.65</v>
      </c>
      <c r="J1524" s="902">
        <f t="shared" si="388"/>
        <v>171.28</v>
      </c>
      <c r="K1524" s="903" t="s">
        <v>62</v>
      </c>
      <c r="L1524" s="904">
        <f>ROUND(SUM('RES. CENTRAL PARK:RUA_FINAL'!L1524),2)</f>
        <v>0</v>
      </c>
      <c r="M1524" s="904">
        <f t="shared" si="389"/>
        <v>0</v>
      </c>
      <c r="N1524" s="893">
        <f t="shared" si="390"/>
        <v>0</v>
      </c>
      <c r="O1524" s="905"/>
      <c r="Q1524" s="317" t="str">
        <f t="shared" si="391"/>
        <v/>
      </c>
      <c r="R1524" s="317" t="str">
        <f t="shared" si="392"/>
        <v/>
      </c>
      <c r="S1524" s="317" t="str">
        <f t="shared" si="393"/>
        <v/>
      </c>
      <c r="V1524" s="314">
        <f>SUM('RES. CENTRAL PARK:RUA_FINAL'!N1524)</f>
        <v>0</v>
      </c>
      <c r="W1524" s="315">
        <f t="shared" si="394"/>
        <v>0</v>
      </c>
    </row>
    <row r="1525" spans="1:23" ht="23.25" hidden="1" thickBot="1" x14ac:dyDescent="0.25">
      <c r="A1525" s="63">
        <v>96977</v>
      </c>
      <c r="B1525" s="895">
        <v>96977</v>
      </c>
      <c r="C1525" s="896" t="s">
        <v>596</v>
      </c>
      <c r="D1525" s="906" t="s">
        <v>1450</v>
      </c>
      <c r="E1525" s="907"/>
      <c r="F1525" s="908"/>
      <c r="G1525" s="912"/>
      <c r="H1525" s="901">
        <v>58.29</v>
      </c>
      <c r="I1525" s="901">
        <f t="shared" si="387"/>
        <v>58.29</v>
      </c>
      <c r="J1525" s="902">
        <f t="shared" si="388"/>
        <v>69.989999999999995</v>
      </c>
      <c r="K1525" s="903" t="s">
        <v>62</v>
      </c>
      <c r="L1525" s="904">
        <f>ROUND(SUM('RES. CENTRAL PARK:RUA_FINAL'!L1525),2)</f>
        <v>0</v>
      </c>
      <c r="M1525" s="904">
        <f t="shared" si="389"/>
        <v>0</v>
      </c>
      <c r="N1525" s="893">
        <f t="shared" si="390"/>
        <v>0</v>
      </c>
      <c r="O1525" s="905"/>
      <c r="Q1525" s="317" t="str">
        <f t="shared" si="391"/>
        <v/>
      </c>
      <c r="R1525" s="317" t="str">
        <f t="shared" si="392"/>
        <v/>
      </c>
      <c r="S1525" s="317" t="str">
        <f t="shared" si="393"/>
        <v/>
      </c>
      <c r="V1525" s="314">
        <f>SUM('RES. CENTRAL PARK:RUA_FINAL'!N1525)</f>
        <v>0</v>
      </c>
      <c r="W1525" s="315">
        <f t="shared" si="394"/>
        <v>0</v>
      </c>
    </row>
    <row r="1526" spans="1:23" ht="23.25" hidden="1" thickBot="1" x14ac:dyDescent="0.25">
      <c r="A1526" s="63">
        <v>96978</v>
      </c>
      <c r="B1526" s="895">
        <v>96978</v>
      </c>
      <c r="C1526" s="896" t="s">
        <v>596</v>
      </c>
      <c r="D1526" s="906" t="s">
        <v>1451</v>
      </c>
      <c r="E1526" s="907"/>
      <c r="F1526" s="908"/>
      <c r="G1526" s="912"/>
      <c r="H1526" s="901">
        <v>76.77</v>
      </c>
      <c r="I1526" s="901">
        <f t="shared" si="387"/>
        <v>76.77</v>
      </c>
      <c r="J1526" s="902">
        <f t="shared" si="388"/>
        <v>92.18</v>
      </c>
      <c r="K1526" s="903" t="s">
        <v>62</v>
      </c>
      <c r="L1526" s="904">
        <f>ROUND(SUM('RES. CENTRAL PARK:RUA_FINAL'!L1526),2)</f>
        <v>0</v>
      </c>
      <c r="M1526" s="904">
        <f t="shared" si="389"/>
        <v>0</v>
      </c>
      <c r="N1526" s="893">
        <f t="shared" si="390"/>
        <v>0</v>
      </c>
      <c r="O1526" s="905"/>
      <c r="Q1526" s="317" t="str">
        <f t="shared" si="391"/>
        <v/>
      </c>
      <c r="R1526" s="317" t="str">
        <f t="shared" si="392"/>
        <v/>
      </c>
      <c r="S1526" s="317" t="str">
        <f t="shared" si="393"/>
        <v/>
      </c>
      <c r="V1526" s="314">
        <f>SUM('RES. CENTRAL PARK:RUA_FINAL'!N1526)</f>
        <v>0</v>
      </c>
      <c r="W1526" s="315">
        <f t="shared" si="394"/>
        <v>0</v>
      </c>
    </row>
    <row r="1527" spans="1:23" ht="23.25" hidden="1" thickBot="1" x14ac:dyDescent="0.25">
      <c r="A1527" s="63">
        <v>96979</v>
      </c>
      <c r="B1527" s="895">
        <v>96979</v>
      </c>
      <c r="C1527" s="896" t="s">
        <v>596</v>
      </c>
      <c r="D1527" s="906" t="s">
        <v>1452</v>
      </c>
      <c r="E1527" s="907"/>
      <c r="F1527" s="908"/>
      <c r="G1527" s="912"/>
      <c r="H1527" s="901">
        <v>109.74</v>
      </c>
      <c r="I1527" s="901">
        <f t="shared" si="387"/>
        <v>109.74</v>
      </c>
      <c r="J1527" s="902">
        <f t="shared" si="388"/>
        <v>131.76</v>
      </c>
      <c r="K1527" s="903" t="s">
        <v>62</v>
      </c>
      <c r="L1527" s="904">
        <f>ROUND(SUM('RES. CENTRAL PARK:RUA_FINAL'!L1527),2)</f>
        <v>0</v>
      </c>
      <c r="M1527" s="904">
        <f t="shared" si="389"/>
        <v>0</v>
      </c>
      <c r="N1527" s="893">
        <f t="shared" si="390"/>
        <v>0</v>
      </c>
      <c r="O1527" s="905"/>
      <c r="Q1527" s="317" t="str">
        <f t="shared" si="391"/>
        <v/>
      </c>
      <c r="R1527" s="317" t="str">
        <f t="shared" si="392"/>
        <v/>
      </c>
      <c r="S1527" s="317" t="str">
        <f t="shared" si="393"/>
        <v/>
      </c>
      <c r="V1527" s="314">
        <f>SUM('RES. CENTRAL PARK:RUA_FINAL'!N1527)</f>
        <v>0</v>
      </c>
      <c r="W1527" s="315">
        <f t="shared" si="394"/>
        <v>0</v>
      </c>
    </row>
    <row r="1528" spans="1:23" ht="13.5" hidden="1" thickBot="1" x14ac:dyDescent="0.25">
      <c r="A1528" s="63">
        <v>96989</v>
      </c>
      <c r="B1528" s="895">
        <v>96989</v>
      </c>
      <c r="C1528" s="896" t="s">
        <v>596</v>
      </c>
      <c r="D1528" s="906" t="s">
        <v>1453</v>
      </c>
      <c r="E1528" s="907"/>
      <c r="F1528" s="908"/>
      <c r="G1528" s="912"/>
      <c r="H1528" s="901">
        <v>131.58000000000001</v>
      </c>
      <c r="I1528" s="901">
        <f t="shared" si="387"/>
        <v>131.58000000000001</v>
      </c>
      <c r="J1528" s="902">
        <f t="shared" si="388"/>
        <v>157.99</v>
      </c>
      <c r="K1528" s="903" t="s">
        <v>1516</v>
      </c>
      <c r="L1528" s="904">
        <f>ROUND(SUM('RES. CENTRAL PARK:RUA_FINAL'!L1528),2)</f>
        <v>0</v>
      </c>
      <c r="M1528" s="904">
        <f t="shared" si="389"/>
        <v>0</v>
      </c>
      <c r="N1528" s="893">
        <f t="shared" si="390"/>
        <v>0</v>
      </c>
      <c r="O1528" s="905"/>
      <c r="Q1528" s="317" t="str">
        <f t="shared" si="391"/>
        <v/>
      </c>
      <c r="R1528" s="317" t="str">
        <f t="shared" si="392"/>
        <v/>
      </c>
      <c r="S1528" s="317" t="str">
        <f t="shared" si="393"/>
        <v/>
      </c>
      <c r="V1528" s="314">
        <f>SUM('RES. CENTRAL PARK:RUA_FINAL'!N1528)</f>
        <v>0</v>
      </c>
      <c r="W1528" s="315">
        <f t="shared" si="394"/>
        <v>0</v>
      </c>
    </row>
    <row r="1529" spans="1:23" ht="23.25" hidden="1" thickBot="1" x14ac:dyDescent="0.25">
      <c r="A1529" s="63">
        <v>98463</v>
      </c>
      <c r="B1529" s="895">
        <v>98463</v>
      </c>
      <c r="C1529" s="896" t="s">
        <v>596</v>
      </c>
      <c r="D1529" s="906" t="s">
        <v>1454</v>
      </c>
      <c r="E1529" s="907"/>
      <c r="F1529" s="908"/>
      <c r="G1529" s="912"/>
      <c r="H1529" s="901">
        <v>26.69</v>
      </c>
      <c r="I1529" s="901">
        <f t="shared" si="387"/>
        <v>26.69</v>
      </c>
      <c r="J1529" s="902">
        <f t="shared" si="388"/>
        <v>32.049999999999997</v>
      </c>
      <c r="K1529" s="903" t="s">
        <v>1516</v>
      </c>
      <c r="L1529" s="904">
        <f>ROUND(SUM('RES. CENTRAL PARK:RUA_FINAL'!L1529),2)</f>
        <v>0</v>
      </c>
      <c r="M1529" s="904">
        <f t="shared" si="389"/>
        <v>0</v>
      </c>
      <c r="N1529" s="893">
        <f t="shared" si="390"/>
        <v>0</v>
      </c>
      <c r="O1529" s="905"/>
      <c r="Q1529" s="317" t="str">
        <f t="shared" si="391"/>
        <v/>
      </c>
      <c r="R1529" s="317" t="str">
        <f t="shared" si="392"/>
        <v/>
      </c>
      <c r="S1529" s="317" t="str">
        <f t="shared" si="393"/>
        <v/>
      </c>
      <c r="V1529" s="314">
        <f>SUM('RES. CENTRAL PARK:RUA_FINAL'!N1529)</f>
        <v>0</v>
      </c>
      <c r="W1529" s="315">
        <f t="shared" si="394"/>
        <v>0</v>
      </c>
    </row>
    <row r="1530" spans="1:23" ht="34.5" hidden="1" thickBot="1" x14ac:dyDescent="0.25">
      <c r="A1530" s="63">
        <v>100560</v>
      </c>
      <c r="B1530" s="895">
        <v>100560</v>
      </c>
      <c r="C1530" s="896" t="s">
        <v>596</v>
      </c>
      <c r="D1530" s="906" t="s">
        <v>1455</v>
      </c>
      <c r="E1530" s="907"/>
      <c r="F1530" s="908"/>
      <c r="G1530" s="912"/>
      <c r="H1530" s="901">
        <v>139.51</v>
      </c>
      <c r="I1530" s="901">
        <f t="shared" si="387"/>
        <v>139.51</v>
      </c>
      <c r="J1530" s="902">
        <f t="shared" si="388"/>
        <v>167.51</v>
      </c>
      <c r="K1530" s="903" t="s">
        <v>1516</v>
      </c>
      <c r="L1530" s="904">
        <f>ROUND(SUM('RES. CENTRAL PARK:RUA_FINAL'!L1530),2)</f>
        <v>0</v>
      </c>
      <c r="M1530" s="904">
        <f t="shared" si="389"/>
        <v>0</v>
      </c>
      <c r="N1530" s="893">
        <f t="shared" si="390"/>
        <v>0</v>
      </c>
      <c r="O1530" s="905"/>
      <c r="Q1530" s="317" t="str">
        <f t="shared" si="391"/>
        <v/>
      </c>
      <c r="R1530" s="317" t="str">
        <f t="shared" si="392"/>
        <v/>
      </c>
      <c r="S1530" s="317" t="str">
        <f t="shared" si="393"/>
        <v/>
      </c>
      <c r="V1530" s="314">
        <f>SUM('RES. CENTRAL PARK:RUA_FINAL'!N1530)</f>
        <v>0</v>
      </c>
      <c r="W1530" s="315">
        <f t="shared" si="394"/>
        <v>0</v>
      </c>
    </row>
    <row r="1531" spans="1:23" ht="34.5" hidden="1" thickBot="1" x14ac:dyDescent="0.25">
      <c r="A1531" s="63">
        <v>100561</v>
      </c>
      <c r="B1531" s="895">
        <v>100561</v>
      </c>
      <c r="C1531" s="896" t="s">
        <v>596</v>
      </c>
      <c r="D1531" s="906" t="s">
        <v>1456</v>
      </c>
      <c r="E1531" s="907"/>
      <c r="F1531" s="908"/>
      <c r="G1531" s="912"/>
      <c r="H1531" s="901">
        <v>252.88</v>
      </c>
      <c r="I1531" s="901">
        <f t="shared" si="387"/>
        <v>252.88</v>
      </c>
      <c r="J1531" s="902">
        <f t="shared" si="388"/>
        <v>303.63</v>
      </c>
      <c r="K1531" s="903" t="s">
        <v>1516</v>
      </c>
      <c r="L1531" s="904">
        <f>ROUND(SUM('RES. CENTRAL PARK:RUA_FINAL'!L1531),2)</f>
        <v>0</v>
      </c>
      <c r="M1531" s="904">
        <f t="shared" si="389"/>
        <v>0</v>
      </c>
      <c r="N1531" s="893">
        <f t="shared" si="390"/>
        <v>0</v>
      </c>
      <c r="O1531" s="905"/>
      <c r="Q1531" s="317" t="str">
        <f t="shared" si="391"/>
        <v/>
      </c>
      <c r="R1531" s="317" t="str">
        <f t="shared" si="392"/>
        <v/>
      </c>
      <c r="S1531" s="317" t="str">
        <f t="shared" si="393"/>
        <v/>
      </c>
      <c r="V1531" s="314">
        <f>SUM('RES. CENTRAL PARK:RUA_FINAL'!N1531)</f>
        <v>0</v>
      </c>
      <c r="W1531" s="315">
        <f t="shared" si="394"/>
        <v>0</v>
      </c>
    </row>
    <row r="1532" spans="1:23" ht="34.5" hidden="1" thickBot="1" x14ac:dyDescent="0.25">
      <c r="A1532" s="63">
        <v>100562</v>
      </c>
      <c r="B1532" s="895">
        <v>100562</v>
      </c>
      <c r="C1532" s="896" t="s">
        <v>596</v>
      </c>
      <c r="D1532" s="906" t="s">
        <v>1457</v>
      </c>
      <c r="E1532" s="907"/>
      <c r="F1532" s="908"/>
      <c r="G1532" s="912"/>
      <c r="H1532" s="901">
        <v>389.51</v>
      </c>
      <c r="I1532" s="901">
        <f t="shared" si="387"/>
        <v>389.51</v>
      </c>
      <c r="J1532" s="902">
        <f t="shared" si="388"/>
        <v>467.68</v>
      </c>
      <c r="K1532" s="903" t="s">
        <v>1516</v>
      </c>
      <c r="L1532" s="904">
        <f>ROUND(SUM('RES. CENTRAL PARK:RUA_FINAL'!L1532),2)</f>
        <v>0</v>
      </c>
      <c r="M1532" s="904">
        <f t="shared" si="389"/>
        <v>0</v>
      </c>
      <c r="N1532" s="893">
        <f t="shared" si="390"/>
        <v>0</v>
      </c>
      <c r="O1532" s="905"/>
      <c r="Q1532" s="317" t="str">
        <f t="shared" si="391"/>
        <v/>
      </c>
      <c r="R1532" s="317" t="str">
        <f t="shared" si="392"/>
        <v/>
      </c>
      <c r="S1532" s="317" t="str">
        <f t="shared" si="393"/>
        <v/>
      </c>
      <c r="V1532" s="314">
        <f>SUM('RES. CENTRAL PARK:RUA_FINAL'!N1532)</f>
        <v>0</v>
      </c>
      <c r="W1532" s="315">
        <f t="shared" si="394"/>
        <v>0</v>
      </c>
    </row>
    <row r="1533" spans="1:23" ht="23.25" hidden="1" thickBot="1" x14ac:dyDescent="0.25">
      <c r="A1533" s="63">
        <v>100563</v>
      </c>
      <c r="B1533" s="895">
        <v>100563</v>
      </c>
      <c r="C1533" s="896" t="s">
        <v>596</v>
      </c>
      <c r="D1533" s="906" t="s">
        <v>1458</v>
      </c>
      <c r="E1533" s="907"/>
      <c r="F1533" s="908"/>
      <c r="G1533" s="912"/>
      <c r="H1533" s="901">
        <v>559.6</v>
      </c>
      <c r="I1533" s="901">
        <f t="shared" si="387"/>
        <v>559.6</v>
      </c>
      <c r="J1533" s="902">
        <f t="shared" si="388"/>
        <v>671.91</v>
      </c>
      <c r="K1533" s="903" t="s">
        <v>1516</v>
      </c>
      <c r="L1533" s="904">
        <f>ROUND(SUM('RES. CENTRAL PARK:RUA_FINAL'!L1533),2)</f>
        <v>0</v>
      </c>
      <c r="M1533" s="904">
        <f t="shared" si="389"/>
        <v>0</v>
      </c>
      <c r="N1533" s="893">
        <f t="shared" si="390"/>
        <v>0</v>
      </c>
      <c r="O1533" s="905"/>
      <c r="Q1533" s="317" t="str">
        <f t="shared" si="391"/>
        <v/>
      </c>
      <c r="R1533" s="317" t="str">
        <f t="shared" si="392"/>
        <v/>
      </c>
      <c r="S1533" s="317" t="str">
        <f t="shared" si="393"/>
        <v/>
      </c>
      <c r="V1533" s="314">
        <f>SUM('RES. CENTRAL PARK:RUA_FINAL'!N1533)</f>
        <v>0</v>
      </c>
      <c r="W1533" s="315">
        <f t="shared" si="394"/>
        <v>0</v>
      </c>
    </row>
    <row r="1534" spans="1:23" ht="23.25" hidden="1" thickBot="1" x14ac:dyDescent="0.25">
      <c r="A1534" s="63">
        <v>100556</v>
      </c>
      <c r="B1534" s="895">
        <v>100556</v>
      </c>
      <c r="C1534" s="896" t="s">
        <v>596</v>
      </c>
      <c r="D1534" s="906" t="s">
        <v>1459</v>
      </c>
      <c r="E1534" s="907"/>
      <c r="F1534" s="908"/>
      <c r="G1534" s="912"/>
      <c r="H1534" s="901">
        <v>51.63</v>
      </c>
      <c r="I1534" s="901">
        <f t="shared" si="387"/>
        <v>51.63</v>
      </c>
      <c r="J1534" s="902">
        <f t="shared" si="388"/>
        <v>61.99</v>
      </c>
      <c r="K1534" s="903" t="s">
        <v>1516</v>
      </c>
      <c r="L1534" s="904">
        <f>ROUND(SUM('RES. CENTRAL PARK:RUA_FINAL'!L1534),2)</f>
        <v>0</v>
      </c>
      <c r="M1534" s="904">
        <f t="shared" si="389"/>
        <v>0</v>
      </c>
      <c r="N1534" s="893">
        <f t="shared" si="390"/>
        <v>0</v>
      </c>
      <c r="O1534" s="905"/>
      <c r="Q1534" s="317" t="str">
        <f t="shared" si="391"/>
        <v/>
      </c>
      <c r="R1534" s="317" t="str">
        <f t="shared" si="392"/>
        <v/>
      </c>
      <c r="S1534" s="317" t="str">
        <f t="shared" si="393"/>
        <v/>
      </c>
      <c r="V1534" s="314">
        <f>SUM('RES. CENTRAL PARK:RUA_FINAL'!N1534)</f>
        <v>0</v>
      </c>
      <c r="W1534" s="315">
        <f t="shared" si="394"/>
        <v>0</v>
      </c>
    </row>
    <row r="1535" spans="1:23" ht="23.25" hidden="1" thickBot="1" x14ac:dyDescent="0.25">
      <c r="A1535" s="63">
        <v>100557</v>
      </c>
      <c r="B1535" s="895">
        <v>100557</v>
      </c>
      <c r="C1535" s="896" t="s">
        <v>596</v>
      </c>
      <c r="D1535" s="906" t="s">
        <v>1460</v>
      </c>
      <c r="E1535" s="907"/>
      <c r="F1535" s="908"/>
      <c r="G1535" s="912"/>
      <c r="H1535" s="901">
        <v>638.92999999999995</v>
      </c>
      <c r="I1535" s="901">
        <f t="shared" si="387"/>
        <v>638.92999999999995</v>
      </c>
      <c r="J1535" s="902">
        <f t="shared" si="388"/>
        <v>767.16</v>
      </c>
      <c r="K1535" s="903" t="s">
        <v>1516</v>
      </c>
      <c r="L1535" s="904">
        <f>ROUND(SUM('RES. CENTRAL PARK:RUA_FINAL'!L1535),2)</f>
        <v>0</v>
      </c>
      <c r="M1535" s="904">
        <f t="shared" si="389"/>
        <v>0</v>
      </c>
      <c r="N1535" s="893">
        <f t="shared" si="390"/>
        <v>0</v>
      </c>
      <c r="O1535" s="905"/>
      <c r="Q1535" s="317" t="str">
        <f t="shared" si="391"/>
        <v/>
      </c>
      <c r="R1535" s="317" t="str">
        <f t="shared" si="392"/>
        <v/>
      </c>
      <c r="S1535" s="317" t="str">
        <f t="shared" si="393"/>
        <v/>
      </c>
      <c r="V1535" s="314">
        <f>SUM('RES. CENTRAL PARK:RUA_FINAL'!N1535)</f>
        <v>0</v>
      </c>
      <c r="W1535" s="315">
        <f t="shared" si="394"/>
        <v>0</v>
      </c>
    </row>
    <row r="1536" spans="1:23" ht="23.25" hidden="1" thickBot="1" x14ac:dyDescent="0.25">
      <c r="A1536" s="63">
        <v>98294</v>
      </c>
      <c r="B1536" s="895">
        <v>98294</v>
      </c>
      <c r="C1536" s="896" t="s">
        <v>596</v>
      </c>
      <c r="D1536" s="906" t="s">
        <v>1461</v>
      </c>
      <c r="E1536" s="907"/>
      <c r="F1536" s="908"/>
      <c r="G1536" s="912"/>
      <c r="H1536" s="901">
        <v>8.24</v>
      </c>
      <c r="I1536" s="901">
        <f t="shared" si="387"/>
        <v>8.24</v>
      </c>
      <c r="J1536" s="902">
        <f t="shared" si="388"/>
        <v>9.89</v>
      </c>
      <c r="K1536" s="903" t="s">
        <v>62</v>
      </c>
      <c r="L1536" s="904">
        <f>ROUND(SUM('RES. CENTRAL PARK:RUA_FINAL'!L1536),2)</f>
        <v>0</v>
      </c>
      <c r="M1536" s="904">
        <f t="shared" si="389"/>
        <v>0</v>
      </c>
      <c r="N1536" s="893">
        <f t="shared" si="390"/>
        <v>0</v>
      </c>
      <c r="O1536" s="905"/>
      <c r="Q1536" s="317" t="str">
        <f t="shared" si="391"/>
        <v/>
      </c>
      <c r="R1536" s="317" t="str">
        <f t="shared" si="392"/>
        <v/>
      </c>
      <c r="S1536" s="317" t="str">
        <f t="shared" si="393"/>
        <v/>
      </c>
      <c r="V1536" s="314">
        <f>SUM('RES. CENTRAL PARK:RUA_FINAL'!N1536)</f>
        <v>0</v>
      </c>
      <c r="W1536" s="315">
        <f t="shared" si="394"/>
        <v>0</v>
      </c>
    </row>
    <row r="1537" spans="1:23" ht="23.25" hidden="1" thickBot="1" x14ac:dyDescent="0.25">
      <c r="A1537" s="63">
        <v>98295</v>
      </c>
      <c r="B1537" s="895">
        <v>98295</v>
      </c>
      <c r="C1537" s="896" t="s">
        <v>596</v>
      </c>
      <c r="D1537" s="906" t="s">
        <v>1462</v>
      </c>
      <c r="E1537" s="907"/>
      <c r="F1537" s="908"/>
      <c r="G1537" s="912"/>
      <c r="H1537" s="901">
        <v>7.4</v>
      </c>
      <c r="I1537" s="901">
        <f t="shared" si="387"/>
        <v>7.4</v>
      </c>
      <c r="J1537" s="902">
        <f t="shared" si="388"/>
        <v>8.89</v>
      </c>
      <c r="K1537" s="903" t="s">
        <v>62</v>
      </c>
      <c r="L1537" s="904">
        <f>ROUND(SUM('RES. CENTRAL PARK:RUA_FINAL'!L1537),2)</f>
        <v>0</v>
      </c>
      <c r="M1537" s="904">
        <f t="shared" si="389"/>
        <v>0</v>
      </c>
      <c r="N1537" s="893">
        <f t="shared" si="390"/>
        <v>0</v>
      </c>
      <c r="O1537" s="905"/>
      <c r="Q1537" s="317" t="str">
        <f t="shared" si="391"/>
        <v/>
      </c>
      <c r="R1537" s="317" t="str">
        <f t="shared" si="392"/>
        <v/>
      </c>
      <c r="S1537" s="317" t="str">
        <f t="shared" si="393"/>
        <v/>
      </c>
      <c r="V1537" s="314">
        <f>SUM('RES. CENTRAL PARK:RUA_FINAL'!N1537)</f>
        <v>0</v>
      </c>
      <c r="W1537" s="315">
        <f t="shared" si="394"/>
        <v>0</v>
      </c>
    </row>
    <row r="1538" spans="1:23" ht="23.25" hidden="1" thickBot="1" x14ac:dyDescent="0.25">
      <c r="A1538" s="63">
        <v>98296</v>
      </c>
      <c r="B1538" s="895">
        <v>98296</v>
      </c>
      <c r="C1538" s="896" t="s">
        <v>596</v>
      </c>
      <c r="D1538" s="906" t="s">
        <v>1463</v>
      </c>
      <c r="E1538" s="907"/>
      <c r="F1538" s="908"/>
      <c r="G1538" s="912"/>
      <c r="H1538" s="901">
        <v>12.01</v>
      </c>
      <c r="I1538" s="901">
        <f t="shared" ref="I1538:I1590" si="395">IF(ISBLANK(H1538),"",SUM(G1538:H1538))</f>
        <v>12.01</v>
      </c>
      <c r="J1538" s="902">
        <f t="shared" si="388"/>
        <v>14.42</v>
      </c>
      <c r="K1538" s="903" t="s">
        <v>62</v>
      </c>
      <c r="L1538" s="904">
        <f>ROUND(SUM('RES. CENTRAL PARK:RUA_FINAL'!L1538),2)</f>
        <v>0</v>
      </c>
      <c r="M1538" s="904">
        <f t="shared" si="389"/>
        <v>0</v>
      </c>
      <c r="N1538" s="893">
        <f t="shared" si="390"/>
        <v>0</v>
      </c>
      <c r="O1538" s="905"/>
      <c r="Q1538" s="317" t="str">
        <f t="shared" si="391"/>
        <v/>
      </c>
      <c r="R1538" s="317" t="str">
        <f t="shared" si="392"/>
        <v/>
      </c>
      <c r="S1538" s="317" t="str">
        <f t="shared" si="393"/>
        <v/>
      </c>
      <c r="V1538" s="314">
        <f>SUM('RES. CENTRAL PARK:RUA_FINAL'!N1538)</f>
        <v>0</v>
      </c>
      <c r="W1538" s="315">
        <f t="shared" si="394"/>
        <v>0</v>
      </c>
    </row>
    <row r="1539" spans="1:23" ht="23.25" hidden="1" thickBot="1" x14ac:dyDescent="0.25">
      <c r="A1539" s="63">
        <v>98297</v>
      </c>
      <c r="B1539" s="895">
        <v>98297</v>
      </c>
      <c r="C1539" s="896" t="s">
        <v>596</v>
      </c>
      <c r="D1539" s="906" t="s">
        <v>1464</v>
      </c>
      <c r="E1539" s="907"/>
      <c r="F1539" s="908"/>
      <c r="G1539" s="912"/>
      <c r="H1539" s="901">
        <v>10.67</v>
      </c>
      <c r="I1539" s="901">
        <f t="shared" si="395"/>
        <v>10.67</v>
      </c>
      <c r="J1539" s="902">
        <f t="shared" si="388"/>
        <v>12.81</v>
      </c>
      <c r="K1539" s="903" t="s">
        <v>62</v>
      </c>
      <c r="L1539" s="904">
        <f>ROUND(SUM('RES. CENTRAL PARK:RUA_FINAL'!L1539),2)</f>
        <v>0</v>
      </c>
      <c r="M1539" s="904">
        <f t="shared" si="389"/>
        <v>0</v>
      </c>
      <c r="N1539" s="893">
        <f t="shared" si="390"/>
        <v>0</v>
      </c>
      <c r="O1539" s="905"/>
      <c r="Q1539" s="317" t="str">
        <f t="shared" si="391"/>
        <v/>
      </c>
      <c r="R1539" s="317" t="str">
        <f t="shared" si="392"/>
        <v/>
      </c>
      <c r="S1539" s="317" t="str">
        <f t="shared" si="393"/>
        <v/>
      </c>
      <c r="V1539" s="314">
        <f>SUM('RES. CENTRAL PARK:RUA_FINAL'!N1539)</f>
        <v>0</v>
      </c>
      <c r="W1539" s="315">
        <f t="shared" si="394"/>
        <v>0</v>
      </c>
    </row>
    <row r="1540" spans="1:23" ht="23.25" hidden="1" thickBot="1" x14ac:dyDescent="0.25">
      <c r="A1540" s="63">
        <v>98301</v>
      </c>
      <c r="B1540" s="895">
        <v>98301</v>
      </c>
      <c r="C1540" s="896" t="s">
        <v>596</v>
      </c>
      <c r="D1540" s="906" t="s">
        <v>1465</v>
      </c>
      <c r="E1540" s="907"/>
      <c r="F1540" s="908"/>
      <c r="G1540" s="912"/>
      <c r="H1540" s="901">
        <v>792.1</v>
      </c>
      <c r="I1540" s="901">
        <f t="shared" si="395"/>
        <v>792.1</v>
      </c>
      <c r="J1540" s="902">
        <f t="shared" si="388"/>
        <v>951.07</v>
      </c>
      <c r="K1540" s="903" t="s">
        <v>1516</v>
      </c>
      <c r="L1540" s="904">
        <f>ROUND(SUM('RES. CENTRAL PARK:RUA_FINAL'!L1540),2)</f>
        <v>0</v>
      </c>
      <c r="M1540" s="904">
        <f t="shared" si="389"/>
        <v>0</v>
      </c>
      <c r="N1540" s="893">
        <f t="shared" si="390"/>
        <v>0</v>
      </c>
      <c r="O1540" s="905"/>
      <c r="Q1540" s="317" t="str">
        <f t="shared" si="391"/>
        <v/>
      </c>
      <c r="R1540" s="317" t="str">
        <f t="shared" si="392"/>
        <v/>
      </c>
      <c r="S1540" s="317" t="str">
        <f t="shared" si="393"/>
        <v/>
      </c>
      <c r="V1540" s="314">
        <f>SUM('RES. CENTRAL PARK:RUA_FINAL'!N1540)</f>
        <v>0</v>
      </c>
      <c r="W1540" s="315">
        <f t="shared" si="394"/>
        <v>0</v>
      </c>
    </row>
    <row r="1541" spans="1:23" ht="23.25" hidden="1" thickBot="1" x14ac:dyDescent="0.25">
      <c r="A1541" s="63">
        <v>98302</v>
      </c>
      <c r="B1541" s="895">
        <v>98302</v>
      </c>
      <c r="C1541" s="896" t="s">
        <v>596</v>
      </c>
      <c r="D1541" s="906" t="s">
        <v>1466</v>
      </c>
      <c r="E1541" s="907"/>
      <c r="F1541" s="908"/>
      <c r="G1541" s="912"/>
      <c r="H1541" s="901">
        <v>1496.89</v>
      </c>
      <c r="I1541" s="901">
        <f t="shared" si="395"/>
        <v>1496.89</v>
      </c>
      <c r="J1541" s="902">
        <f t="shared" si="388"/>
        <v>1797.32</v>
      </c>
      <c r="K1541" s="903" t="s">
        <v>1516</v>
      </c>
      <c r="L1541" s="904">
        <f>ROUND(SUM('RES. CENTRAL PARK:RUA_FINAL'!L1541),2)</f>
        <v>0</v>
      </c>
      <c r="M1541" s="904">
        <f t="shared" si="389"/>
        <v>0</v>
      </c>
      <c r="N1541" s="893">
        <f t="shared" si="390"/>
        <v>0</v>
      </c>
      <c r="O1541" s="905"/>
      <c r="Q1541" s="317" t="str">
        <f t="shared" si="391"/>
        <v/>
      </c>
      <c r="R1541" s="317" t="str">
        <f t="shared" si="392"/>
        <v/>
      </c>
      <c r="S1541" s="317" t="str">
        <f t="shared" si="393"/>
        <v/>
      </c>
      <c r="V1541" s="314">
        <f>SUM('RES. CENTRAL PARK:RUA_FINAL'!N1541)</f>
        <v>0</v>
      </c>
      <c r="W1541" s="315">
        <f t="shared" si="394"/>
        <v>0</v>
      </c>
    </row>
    <row r="1542" spans="1:23" ht="23.25" hidden="1" thickBot="1" x14ac:dyDescent="0.25">
      <c r="A1542" s="63">
        <v>98304</v>
      </c>
      <c r="B1542" s="895">
        <v>98304</v>
      </c>
      <c r="C1542" s="896" t="s">
        <v>596</v>
      </c>
      <c r="D1542" s="906" t="s">
        <v>1467</v>
      </c>
      <c r="E1542" s="907"/>
      <c r="F1542" s="908"/>
      <c r="G1542" s="912"/>
      <c r="H1542" s="901">
        <v>4703.87</v>
      </c>
      <c r="I1542" s="901">
        <f t="shared" si="395"/>
        <v>4703.87</v>
      </c>
      <c r="J1542" s="902">
        <f t="shared" si="388"/>
        <v>5647.94</v>
      </c>
      <c r="K1542" s="903" t="s">
        <v>1516</v>
      </c>
      <c r="L1542" s="904">
        <f>ROUND(SUM('RES. CENTRAL PARK:RUA_FINAL'!L1542),2)</f>
        <v>0</v>
      </c>
      <c r="M1542" s="904">
        <f t="shared" si="389"/>
        <v>0</v>
      </c>
      <c r="N1542" s="893">
        <f t="shared" si="390"/>
        <v>0</v>
      </c>
      <c r="O1542" s="905"/>
      <c r="Q1542" s="317" t="str">
        <f t="shared" si="391"/>
        <v/>
      </c>
      <c r="R1542" s="317" t="str">
        <f t="shared" si="392"/>
        <v/>
      </c>
      <c r="S1542" s="317" t="str">
        <f t="shared" si="393"/>
        <v/>
      </c>
      <c r="V1542" s="314">
        <f>SUM('RES. CENTRAL PARK:RUA_FINAL'!N1542)</f>
        <v>0</v>
      </c>
      <c r="W1542" s="315">
        <f t="shared" si="394"/>
        <v>0</v>
      </c>
    </row>
    <row r="1543" spans="1:23" ht="13.5" hidden="1" thickBot="1" x14ac:dyDescent="0.25">
      <c r="A1543" s="63">
        <v>98307</v>
      </c>
      <c r="B1543" s="895">
        <v>98307</v>
      </c>
      <c r="C1543" s="896" t="s">
        <v>596</v>
      </c>
      <c r="D1543" s="906" t="s">
        <v>1468</v>
      </c>
      <c r="E1543" s="907"/>
      <c r="F1543" s="908"/>
      <c r="G1543" s="912"/>
      <c r="H1543" s="901">
        <v>54.02</v>
      </c>
      <c r="I1543" s="901">
        <f t="shared" si="395"/>
        <v>54.02</v>
      </c>
      <c r="J1543" s="902">
        <f t="shared" si="388"/>
        <v>64.86</v>
      </c>
      <c r="K1543" s="903" t="s">
        <v>1516</v>
      </c>
      <c r="L1543" s="904">
        <f>ROUND(SUM('RES. CENTRAL PARK:RUA_FINAL'!L1543),2)</f>
        <v>0</v>
      </c>
      <c r="M1543" s="904">
        <f t="shared" si="389"/>
        <v>0</v>
      </c>
      <c r="N1543" s="893">
        <f t="shared" si="390"/>
        <v>0</v>
      </c>
      <c r="O1543" s="905"/>
      <c r="Q1543" s="317" t="str">
        <f t="shared" si="391"/>
        <v/>
      </c>
      <c r="R1543" s="317" t="str">
        <f t="shared" si="392"/>
        <v/>
      </c>
      <c r="S1543" s="317" t="str">
        <f t="shared" si="393"/>
        <v/>
      </c>
      <c r="V1543" s="314">
        <f>SUM('RES. CENTRAL PARK:RUA_FINAL'!N1543)</f>
        <v>0</v>
      </c>
      <c r="W1543" s="315">
        <f t="shared" si="394"/>
        <v>0</v>
      </c>
    </row>
    <row r="1544" spans="1:23" ht="13.5" hidden="1" thickBot="1" x14ac:dyDescent="0.25">
      <c r="A1544" s="63">
        <v>98308</v>
      </c>
      <c r="B1544" s="895">
        <v>98308</v>
      </c>
      <c r="C1544" s="896" t="s">
        <v>596</v>
      </c>
      <c r="D1544" s="906" t="s">
        <v>1469</v>
      </c>
      <c r="E1544" s="907"/>
      <c r="F1544" s="908"/>
      <c r="G1544" s="912"/>
      <c r="H1544" s="901">
        <v>35.97</v>
      </c>
      <c r="I1544" s="901">
        <f t="shared" si="395"/>
        <v>35.97</v>
      </c>
      <c r="J1544" s="902">
        <f t="shared" si="388"/>
        <v>43.19</v>
      </c>
      <c r="K1544" s="903" t="s">
        <v>1516</v>
      </c>
      <c r="L1544" s="904">
        <f>ROUND(SUM('RES. CENTRAL PARK:RUA_FINAL'!L1544),2)</f>
        <v>0</v>
      </c>
      <c r="M1544" s="904">
        <f t="shared" si="389"/>
        <v>0</v>
      </c>
      <c r="N1544" s="893">
        <f t="shared" si="390"/>
        <v>0</v>
      </c>
      <c r="O1544" s="905"/>
      <c r="Q1544" s="317" t="str">
        <f t="shared" si="391"/>
        <v/>
      </c>
      <c r="R1544" s="317" t="str">
        <f t="shared" si="392"/>
        <v/>
      </c>
      <c r="S1544" s="317" t="str">
        <f t="shared" si="393"/>
        <v/>
      </c>
      <c r="V1544" s="314">
        <f>SUM('RES. CENTRAL PARK:RUA_FINAL'!N1544)</f>
        <v>0</v>
      </c>
      <c r="W1544" s="315">
        <f t="shared" si="394"/>
        <v>0</v>
      </c>
    </row>
    <row r="1545" spans="1:23" ht="23.25" hidden="1" thickBot="1" x14ac:dyDescent="0.25">
      <c r="A1545" s="63">
        <v>98593</v>
      </c>
      <c r="B1545" s="895">
        <v>98593</v>
      </c>
      <c r="C1545" s="896" t="s">
        <v>596</v>
      </c>
      <c r="D1545" s="906" t="s">
        <v>1470</v>
      </c>
      <c r="E1545" s="907"/>
      <c r="F1545" s="908"/>
      <c r="G1545" s="912"/>
      <c r="H1545" s="901">
        <v>3266.78</v>
      </c>
      <c r="I1545" s="901">
        <f t="shared" si="395"/>
        <v>3266.78</v>
      </c>
      <c r="J1545" s="902">
        <f t="shared" ref="J1545:J1592" si="396">IF(ISBLANK(H1545),0,ROUND(I1545*(1+$E$10),2))</f>
        <v>3922.42</v>
      </c>
      <c r="K1545" s="903" t="s">
        <v>1516</v>
      </c>
      <c r="L1545" s="904">
        <f>ROUND(SUM('RES. CENTRAL PARK:RUA_FINAL'!L1545),2)</f>
        <v>0</v>
      </c>
      <c r="M1545" s="904">
        <f t="shared" si="389"/>
        <v>0</v>
      </c>
      <c r="N1545" s="893">
        <f t="shared" si="390"/>
        <v>0</v>
      </c>
      <c r="O1545" s="905"/>
      <c r="Q1545" s="317" t="str">
        <f t="shared" si="391"/>
        <v/>
      </c>
      <c r="R1545" s="317" t="str">
        <f t="shared" si="392"/>
        <v/>
      </c>
      <c r="S1545" s="317" t="str">
        <f t="shared" si="393"/>
        <v/>
      </c>
      <c r="V1545" s="314">
        <f>SUM('RES. CENTRAL PARK:RUA_FINAL'!N1545)</f>
        <v>0</v>
      </c>
      <c r="W1545" s="315">
        <f t="shared" si="394"/>
        <v>0</v>
      </c>
    </row>
    <row r="1546" spans="1:23" ht="23.25" hidden="1" thickBot="1" x14ac:dyDescent="0.25">
      <c r="A1546" s="63">
        <v>98400</v>
      </c>
      <c r="B1546" s="895">
        <v>98400</v>
      </c>
      <c r="C1546" s="896" t="s">
        <v>596</v>
      </c>
      <c r="D1546" s="906" t="s">
        <v>1471</v>
      </c>
      <c r="E1546" s="907"/>
      <c r="F1546" s="908"/>
      <c r="G1546" s="912"/>
      <c r="H1546" s="901">
        <v>16.71</v>
      </c>
      <c r="I1546" s="901">
        <f t="shared" si="395"/>
        <v>16.71</v>
      </c>
      <c r="J1546" s="902">
        <f t="shared" si="396"/>
        <v>20.059999999999999</v>
      </c>
      <c r="K1546" s="903" t="s">
        <v>62</v>
      </c>
      <c r="L1546" s="904">
        <f>ROUND(SUM('RES. CENTRAL PARK:RUA_FINAL'!L1546),2)</f>
        <v>0</v>
      </c>
      <c r="M1546" s="904">
        <f t="shared" si="389"/>
        <v>0</v>
      </c>
      <c r="N1546" s="893">
        <f t="shared" si="390"/>
        <v>0</v>
      </c>
      <c r="O1546" s="905"/>
      <c r="Q1546" s="317" t="str">
        <f t="shared" si="391"/>
        <v/>
      </c>
      <c r="R1546" s="317" t="str">
        <f t="shared" si="392"/>
        <v/>
      </c>
      <c r="S1546" s="317" t="str">
        <f t="shared" si="393"/>
        <v/>
      </c>
      <c r="V1546" s="314">
        <f>SUM('RES. CENTRAL PARK:RUA_FINAL'!N1546)</f>
        <v>0</v>
      </c>
      <c r="W1546" s="315">
        <f t="shared" si="394"/>
        <v>0</v>
      </c>
    </row>
    <row r="1547" spans="1:23" ht="23.25" hidden="1" thickBot="1" x14ac:dyDescent="0.25">
      <c r="A1547" s="63">
        <v>98401</v>
      </c>
      <c r="B1547" s="895">
        <v>98401</v>
      </c>
      <c r="C1547" s="896" t="s">
        <v>596</v>
      </c>
      <c r="D1547" s="906" t="s">
        <v>1472</v>
      </c>
      <c r="E1547" s="907"/>
      <c r="F1547" s="908"/>
      <c r="G1547" s="912"/>
      <c r="H1547" s="901">
        <v>25.99</v>
      </c>
      <c r="I1547" s="901">
        <f t="shared" si="395"/>
        <v>25.99</v>
      </c>
      <c r="J1547" s="902">
        <f t="shared" si="396"/>
        <v>31.21</v>
      </c>
      <c r="K1547" s="903" t="s">
        <v>62</v>
      </c>
      <c r="L1547" s="904">
        <f>ROUND(SUM('RES. CENTRAL PARK:RUA_FINAL'!L1547),2)</f>
        <v>0</v>
      </c>
      <c r="M1547" s="904">
        <f t="shared" si="389"/>
        <v>0</v>
      </c>
      <c r="N1547" s="893">
        <f t="shared" si="390"/>
        <v>0</v>
      </c>
      <c r="O1547" s="905"/>
      <c r="Q1547" s="317" t="str">
        <f t="shared" si="391"/>
        <v/>
      </c>
      <c r="R1547" s="317" t="str">
        <f t="shared" si="392"/>
        <v/>
      </c>
      <c r="S1547" s="317" t="str">
        <f t="shared" si="393"/>
        <v/>
      </c>
      <c r="V1547" s="314">
        <f>SUM('RES. CENTRAL PARK:RUA_FINAL'!N1547)</f>
        <v>0</v>
      </c>
      <c r="W1547" s="315">
        <f t="shared" si="394"/>
        <v>0</v>
      </c>
    </row>
    <row r="1548" spans="1:23" ht="23.25" hidden="1" thickBot="1" x14ac:dyDescent="0.25">
      <c r="A1548" s="63">
        <v>98402</v>
      </c>
      <c r="B1548" s="895">
        <v>98402</v>
      </c>
      <c r="C1548" s="896" t="s">
        <v>596</v>
      </c>
      <c r="D1548" s="906" t="s">
        <v>1473</v>
      </c>
      <c r="E1548" s="907"/>
      <c r="F1548" s="908"/>
      <c r="G1548" s="912"/>
      <c r="H1548" s="901">
        <v>30.27</v>
      </c>
      <c r="I1548" s="901">
        <f t="shared" si="395"/>
        <v>30.27</v>
      </c>
      <c r="J1548" s="902">
        <f t="shared" si="396"/>
        <v>36.35</v>
      </c>
      <c r="K1548" s="903" t="s">
        <v>62</v>
      </c>
      <c r="L1548" s="904">
        <f>ROUND(SUM('RES. CENTRAL PARK:RUA_FINAL'!L1548),2)</f>
        <v>0</v>
      </c>
      <c r="M1548" s="904">
        <f t="shared" si="389"/>
        <v>0</v>
      </c>
      <c r="N1548" s="893">
        <f t="shared" si="390"/>
        <v>0</v>
      </c>
      <c r="O1548" s="905"/>
      <c r="Q1548" s="317" t="str">
        <f t="shared" si="391"/>
        <v/>
      </c>
      <c r="R1548" s="317" t="str">
        <f t="shared" si="392"/>
        <v/>
      </c>
      <c r="S1548" s="317" t="str">
        <f t="shared" si="393"/>
        <v/>
      </c>
      <c r="V1548" s="314">
        <f>SUM('RES. CENTRAL PARK:RUA_FINAL'!N1548)</f>
        <v>0</v>
      </c>
      <c r="W1548" s="315">
        <f t="shared" si="394"/>
        <v>0</v>
      </c>
    </row>
    <row r="1549" spans="1:23" ht="23.25" hidden="1" thickBot="1" x14ac:dyDescent="0.25">
      <c r="A1549" s="63">
        <v>98267</v>
      </c>
      <c r="B1549" s="895">
        <v>98267</v>
      </c>
      <c r="C1549" s="896" t="s">
        <v>596</v>
      </c>
      <c r="D1549" s="906" t="s">
        <v>1474</v>
      </c>
      <c r="E1549" s="907"/>
      <c r="F1549" s="908"/>
      <c r="G1549" s="912"/>
      <c r="H1549" s="901">
        <v>13.69</v>
      </c>
      <c r="I1549" s="901">
        <f t="shared" si="395"/>
        <v>13.69</v>
      </c>
      <c r="J1549" s="902">
        <f t="shared" si="396"/>
        <v>16.440000000000001</v>
      </c>
      <c r="K1549" s="903" t="s">
        <v>62</v>
      </c>
      <c r="L1549" s="904">
        <f>ROUND(SUM('RES. CENTRAL PARK:RUA_FINAL'!L1549),2)</f>
        <v>0</v>
      </c>
      <c r="M1549" s="904">
        <f t="shared" si="389"/>
        <v>0</v>
      </c>
      <c r="N1549" s="893">
        <f t="shared" si="390"/>
        <v>0</v>
      </c>
      <c r="O1549" s="905"/>
      <c r="Q1549" s="317" t="str">
        <f t="shared" si="391"/>
        <v/>
      </c>
      <c r="R1549" s="317" t="str">
        <f t="shared" si="392"/>
        <v/>
      </c>
      <c r="S1549" s="317" t="str">
        <f t="shared" si="393"/>
        <v/>
      </c>
      <c r="V1549" s="314">
        <f>SUM('RES. CENTRAL PARK:RUA_FINAL'!N1549)</f>
        <v>0</v>
      </c>
      <c r="W1549" s="315">
        <f t="shared" si="394"/>
        <v>0</v>
      </c>
    </row>
    <row r="1550" spans="1:23" ht="23.25" hidden="1" thickBot="1" x14ac:dyDescent="0.25">
      <c r="A1550" s="63">
        <v>98268</v>
      </c>
      <c r="B1550" s="895">
        <v>98268</v>
      </c>
      <c r="C1550" s="896" t="s">
        <v>596</v>
      </c>
      <c r="D1550" s="906" t="s">
        <v>1475</v>
      </c>
      <c r="E1550" s="907"/>
      <c r="F1550" s="908"/>
      <c r="G1550" s="912"/>
      <c r="H1550" s="901">
        <v>21.8</v>
      </c>
      <c r="I1550" s="901">
        <f t="shared" si="395"/>
        <v>21.8</v>
      </c>
      <c r="J1550" s="902">
        <f t="shared" si="396"/>
        <v>26.18</v>
      </c>
      <c r="K1550" s="903" t="s">
        <v>62</v>
      </c>
      <c r="L1550" s="904">
        <f>ROUND(SUM('RES. CENTRAL PARK:RUA_FINAL'!L1550),2)</f>
        <v>0</v>
      </c>
      <c r="M1550" s="904">
        <f t="shared" si="389"/>
        <v>0</v>
      </c>
      <c r="N1550" s="893">
        <f t="shared" si="390"/>
        <v>0</v>
      </c>
      <c r="O1550" s="905"/>
      <c r="Q1550" s="317" t="str">
        <f t="shared" si="391"/>
        <v/>
      </c>
      <c r="R1550" s="317" t="str">
        <f t="shared" si="392"/>
        <v/>
      </c>
      <c r="S1550" s="317" t="str">
        <f t="shared" si="393"/>
        <v/>
      </c>
      <c r="V1550" s="314">
        <f>SUM('RES. CENTRAL PARK:RUA_FINAL'!N1550)</f>
        <v>0</v>
      </c>
      <c r="W1550" s="315">
        <f t="shared" si="394"/>
        <v>0</v>
      </c>
    </row>
    <row r="1551" spans="1:23" ht="23.25" hidden="1" thickBot="1" x14ac:dyDescent="0.25">
      <c r="A1551" s="63">
        <v>98269</v>
      </c>
      <c r="B1551" s="895">
        <v>98269</v>
      </c>
      <c r="C1551" s="896" t="s">
        <v>596</v>
      </c>
      <c r="D1551" s="906" t="s">
        <v>1476</v>
      </c>
      <c r="E1551" s="907"/>
      <c r="F1551" s="908"/>
      <c r="G1551" s="912"/>
      <c r="H1551" s="901">
        <v>29.62</v>
      </c>
      <c r="I1551" s="901">
        <f t="shared" si="395"/>
        <v>29.62</v>
      </c>
      <c r="J1551" s="902">
        <f t="shared" si="396"/>
        <v>35.56</v>
      </c>
      <c r="K1551" s="903" t="s">
        <v>62</v>
      </c>
      <c r="L1551" s="904">
        <f>ROUND(SUM('RES. CENTRAL PARK:RUA_FINAL'!L1551),2)</f>
        <v>0</v>
      </c>
      <c r="M1551" s="904">
        <f t="shared" si="389"/>
        <v>0</v>
      </c>
      <c r="N1551" s="893">
        <f t="shared" si="390"/>
        <v>0</v>
      </c>
      <c r="O1551" s="905"/>
      <c r="Q1551" s="317" t="str">
        <f t="shared" si="391"/>
        <v/>
      </c>
      <c r="R1551" s="317" t="str">
        <f t="shared" si="392"/>
        <v/>
      </c>
      <c r="S1551" s="317" t="str">
        <f t="shared" si="393"/>
        <v/>
      </c>
      <c r="V1551" s="314">
        <f>SUM('RES. CENTRAL PARK:RUA_FINAL'!N1551)</f>
        <v>0</v>
      </c>
      <c r="W1551" s="315">
        <f t="shared" si="394"/>
        <v>0</v>
      </c>
    </row>
    <row r="1552" spans="1:23" ht="23.25" hidden="1" thickBot="1" x14ac:dyDescent="0.25">
      <c r="A1552" s="63">
        <v>98270</v>
      </c>
      <c r="B1552" s="895">
        <v>98270</v>
      </c>
      <c r="C1552" s="896" t="s">
        <v>596</v>
      </c>
      <c r="D1552" s="906" t="s">
        <v>1477</v>
      </c>
      <c r="E1552" s="907"/>
      <c r="F1552" s="908"/>
      <c r="G1552" s="912"/>
      <c r="H1552" s="901">
        <v>44.42</v>
      </c>
      <c r="I1552" s="901">
        <f t="shared" si="395"/>
        <v>44.42</v>
      </c>
      <c r="J1552" s="902">
        <f t="shared" si="396"/>
        <v>53.34</v>
      </c>
      <c r="K1552" s="903" t="s">
        <v>62</v>
      </c>
      <c r="L1552" s="904">
        <f>ROUND(SUM('RES. CENTRAL PARK:RUA_FINAL'!L1552),2)</f>
        <v>0</v>
      </c>
      <c r="M1552" s="904">
        <f t="shared" si="389"/>
        <v>0</v>
      </c>
      <c r="N1552" s="893">
        <f t="shared" si="390"/>
        <v>0</v>
      </c>
      <c r="O1552" s="905"/>
      <c r="Q1552" s="317" t="str">
        <f t="shared" si="391"/>
        <v/>
      </c>
      <c r="R1552" s="317" t="str">
        <f t="shared" si="392"/>
        <v/>
      </c>
      <c r="S1552" s="317" t="str">
        <f t="shared" si="393"/>
        <v/>
      </c>
      <c r="V1552" s="314">
        <f>SUM('RES. CENTRAL PARK:RUA_FINAL'!N1552)</f>
        <v>0</v>
      </c>
      <c r="W1552" s="315">
        <f t="shared" si="394"/>
        <v>0</v>
      </c>
    </row>
    <row r="1553" spans="1:23" ht="23.25" hidden="1" thickBot="1" x14ac:dyDescent="0.25">
      <c r="A1553" s="63">
        <v>98271</v>
      </c>
      <c r="B1553" s="895">
        <v>98271</v>
      </c>
      <c r="C1553" s="896" t="s">
        <v>596</v>
      </c>
      <c r="D1553" s="906" t="s">
        <v>1478</v>
      </c>
      <c r="E1553" s="907"/>
      <c r="F1553" s="908"/>
      <c r="G1553" s="912"/>
      <c r="H1553" s="901">
        <v>62.23</v>
      </c>
      <c r="I1553" s="901">
        <f t="shared" si="395"/>
        <v>62.23</v>
      </c>
      <c r="J1553" s="902">
        <f t="shared" si="396"/>
        <v>74.72</v>
      </c>
      <c r="K1553" s="903" t="s">
        <v>62</v>
      </c>
      <c r="L1553" s="904">
        <f>ROUND(SUM('RES. CENTRAL PARK:RUA_FINAL'!L1553),2)</f>
        <v>0</v>
      </c>
      <c r="M1553" s="904">
        <f t="shared" si="389"/>
        <v>0</v>
      </c>
      <c r="N1553" s="893">
        <f t="shared" si="390"/>
        <v>0</v>
      </c>
      <c r="O1553" s="905"/>
      <c r="Q1553" s="317" t="str">
        <f t="shared" si="391"/>
        <v/>
      </c>
      <c r="R1553" s="317" t="str">
        <f t="shared" si="392"/>
        <v/>
      </c>
      <c r="S1553" s="317" t="str">
        <f t="shared" si="393"/>
        <v/>
      </c>
      <c r="V1553" s="314">
        <f>SUM('RES. CENTRAL PARK:RUA_FINAL'!N1553)</f>
        <v>0</v>
      </c>
      <c r="W1553" s="315">
        <f t="shared" si="394"/>
        <v>0</v>
      </c>
    </row>
    <row r="1554" spans="1:23" ht="23.25" hidden="1" thickBot="1" x14ac:dyDescent="0.25">
      <c r="A1554" s="63">
        <v>98272</v>
      </c>
      <c r="B1554" s="895">
        <v>98272</v>
      </c>
      <c r="C1554" s="896" t="s">
        <v>596</v>
      </c>
      <c r="D1554" s="906" t="s">
        <v>1479</v>
      </c>
      <c r="E1554" s="907"/>
      <c r="F1554" s="908"/>
      <c r="G1554" s="912"/>
      <c r="H1554" s="901">
        <v>142.05000000000001</v>
      </c>
      <c r="I1554" s="901">
        <f t="shared" si="395"/>
        <v>142.05000000000001</v>
      </c>
      <c r="J1554" s="902">
        <f t="shared" si="396"/>
        <v>170.56</v>
      </c>
      <c r="K1554" s="903" t="s">
        <v>62</v>
      </c>
      <c r="L1554" s="904">
        <f>ROUND(SUM('RES. CENTRAL PARK:RUA_FINAL'!L1554),2)</f>
        <v>0</v>
      </c>
      <c r="M1554" s="904">
        <f t="shared" ref="M1554:M1617" si="397">IF(L1554=0,0,ROUND(J1554,2))</f>
        <v>0</v>
      </c>
      <c r="N1554" s="893">
        <f t="shared" ref="N1554:N1617" si="398">IF(ISBLANK(L1554),0,ROUND(L1554*M1554,2))</f>
        <v>0</v>
      </c>
      <c r="O1554" s="905"/>
      <c r="Q1554" s="317" t="str">
        <f t="shared" ref="Q1554:Q1617" si="399">IF(P1554="X","x",IF(P1554="xx","x",IF(P1554="xy","x",IF(P1554="y","x",IF(OR(N1554&gt;0,N1554&gt;0),"x","")))))</f>
        <v/>
      </c>
      <c r="R1554" s="317" t="str">
        <f t="shared" ref="R1554:R1617" si="400">IF(P1554="X","x",IF(P1554="y","x",IF(P1554="xx","x",IF(N1554&gt;0,"x",""))))</f>
        <v/>
      </c>
      <c r="S1554" s="317" t="str">
        <f t="shared" ref="S1554:S1617" si="401">IF(P1554="X","x",IF(N1554&gt;0,"x",""))</f>
        <v/>
      </c>
      <c r="V1554" s="314">
        <f>SUM('RES. CENTRAL PARK:RUA_FINAL'!N1554)</f>
        <v>0</v>
      </c>
      <c r="W1554" s="315">
        <f t="shared" si="394"/>
        <v>0</v>
      </c>
    </row>
    <row r="1555" spans="1:23" ht="23.25" hidden="1" thickBot="1" x14ac:dyDescent="0.25">
      <c r="A1555" s="63">
        <v>98276</v>
      </c>
      <c r="B1555" s="895">
        <v>98276</v>
      </c>
      <c r="C1555" s="896" t="s">
        <v>596</v>
      </c>
      <c r="D1555" s="906" t="s">
        <v>1480</v>
      </c>
      <c r="E1555" s="907"/>
      <c r="F1555" s="908"/>
      <c r="G1555" s="912"/>
      <c r="H1555" s="901">
        <v>10.08</v>
      </c>
      <c r="I1555" s="901">
        <f t="shared" si="395"/>
        <v>10.08</v>
      </c>
      <c r="J1555" s="902">
        <f t="shared" si="396"/>
        <v>12.1</v>
      </c>
      <c r="K1555" s="903" t="s">
        <v>62</v>
      </c>
      <c r="L1555" s="904">
        <f>ROUND(SUM('RES. CENTRAL PARK:RUA_FINAL'!L1555),2)</f>
        <v>0</v>
      </c>
      <c r="M1555" s="904">
        <f t="shared" si="397"/>
        <v>0</v>
      </c>
      <c r="N1555" s="893">
        <f t="shared" si="398"/>
        <v>0</v>
      </c>
      <c r="O1555" s="905"/>
      <c r="Q1555" s="317" t="str">
        <f t="shared" si="399"/>
        <v/>
      </c>
      <c r="R1555" s="317" t="str">
        <f t="shared" si="400"/>
        <v/>
      </c>
      <c r="S1555" s="317" t="str">
        <f t="shared" si="401"/>
        <v/>
      </c>
      <c r="V1555" s="314">
        <f>SUM('RES. CENTRAL PARK:RUA_FINAL'!N1555)</f>
        <v>0</v>
      </c>
      <c r="W1555" s="315">
        <f t="shared" si="394"/>
        <v>0</v>
      </c>
    </row>
    <row r="1556" spans="1:23" ht="23.25" hidden="1" thickBot="1" x14ac:dyDescent="0.25">
      <c r="A1556" s="63">
        <v>98277</v>
      </c>
      <c r="B1556" s="895">
        <v>98277</v>
      </c>
      <c r="C1556" s="896" t="s">
        <v>596</v>
      </c>
      <c r="D1556" s="906" t="s">
        <v>1481</v>
      </c>
      <c r="E1556" s="907"/>
      <c r="F1556" s="908"/>
      <c r="G1556" s="912"/>
      <c r="H1556" s="901">
        <v>18.18</v>
      </c>
      <c r="I1556" s="901">
        <f t="shared" si="395"/>
        <v>18.18</v>
      </c>
      <c r="J1556" s="902">
        <f t="shared" si="396"/>
        <v>21.83</v>
      </c>
      <c r="K1556" s="903" t="s">
        <v>62</v>
      </c>
      <c r="L1556" s="904">
        <f>ROUND(SUM('RES. CENTRAL PARK:RUA_FINAL'!L1556),2)</f>
        <v>0</v>
      </c>
      <c r="M1556" s="904">
        <f t="shared" si="397"/>
        <v>0</v>
      </c>
      <c r="N1556" s="893">
        <f t="shared" si="398"/>
        <v>0</v>
      </c>
      <c r="O1556" s="905"/>
      <c r="Q1556" s="317" t="str">
        <f t="shared" si="399"/>
        <v/>
      </c>
      <c r="R1556" s="317" t="str">
        <f t="shared" si="400"/>
        <v/>
      </c>
      <c r="S1556" s="317" t="str">
        <f t="shared" si="401"/>
        <v/>
      </c>
      <c r="V1556" s="314">
        <f>SUM('RES. CENTRAL PARK:RUA_FINAL'!N1556)</f>
        <v>0</v>
      </c>
      <c r="W1556" s="315">
        <f t="shared" si="394"/>
        <v>0</v>
      </c>
    </row>
    <row r="1557" spans="1:23" ht="23.25" hidden="1" thickBot="1" x14ac:dyDescent="0.25">
      <c r="A1557" s="63">
        <v>98278</v>
      </c>
      <c r="B1557" s="895">
        <v>98278</v>
      </c>
      <c r="C1557" s="896" t="s">
        <v>596</v>
      </c>
      <c r="D1557" s="906" t="s">
        <v>1482</v>
      </c>
      <c r="E1557" s="907"/>
      <c r="F1557" s="908"/>
      <c r="G1557" s="912"/>
      <c r="H1557" s="901">
        <v>26.01</v>
      </c>
      <c r="I1557" s="901">
        <f t="shared" si="395"/>
        <v>26.01</v>
      </c>
      <c r="J1557" s="902">
        <f t="shared" si="396"/>
        <v>31.23</v>
      </c>
      <c r="K1557" s="903" t="s">
        <v>62</v>
      </c>
      <c r="L1557" s="904">
        <f>ROUND(SUM('RES. CENTRAL PARK:RUA_FINAL'!L1557),2)</f>
        <v>0</v>
      </c>
      <c r="M1557" s="904">
        <f t="shared" si="397"/>
        <v>0</v>
      </c>
      <c r="N1557" s="893">
        <f t="shared" si="398"/>
        <v>0</v>
      </c>
      <c r="O1557" s="905"/>
      <c r="Q1557" s="317" t="str">
        <f t="shared" si="399"/>
        <v/>
      </c>
      <c r="R1557" s="317" t="str">
        <f t="shared" si="400"/>
        <v/>
      </c>
      <c r="S1557" s="317" t="str">
        <f t="shared" si="401"/>
        <v/>
      </c>
      <c r="V1557" s="314">
        <f>SUM('RES. CENTRAL PARK:RUA_FINAL'!N1557)</f>
        <v>0</v>
      </c>
      <c r="W1557" s="315">
        <f t="shared" ref="W1557:W1620" si="402">N1557-V1557</f>
        <v>0</v>
      </c>
    </row>
    <row r="1558" spans="1:23" ht="23.25" hidden="1" thickBot="1" x14ac:dyDescent="0.25">
      <c r="A1558" s="63">
        <v>98279</v>
      </c>
      <c r="B1558" s="895">
        <v>98279</v>
      </c>
      <c r="C1558" s="896" t="s">
        <v>596</v>
      </c>
      <c r="D1558" s="906" t="s">
        <v>1483</v>
      </c>
      <c r="E1558" s="907"/>
      <c r="F1558" s="908"/>
      <c r="G1558" s="912"/>
      <c r="H1558" s="901">
        <v>40.799999999999997</v>
      </c>
      <c r="I1558" s="901">
        <f t="shared" si="395"/>
        <v>40.799999999999997</v>
      </c>
      <c r="J1558" s="902">
        <f t="shared" si="396"/>
        <v>48.99</v>
      </c>
      <c r="K1558" s="903" t="s">
        <v>62</v>
      </c>
      <c r="L1558" s="904">
        <f>ROUND(SUM('RES. CENTRAL PARK:RUA_FINAL'!L1558),2)</f>
        <v>0</v>
      </c>
      <c r="M1558" s="904">
        <f t="shared" si="397"/>
        <v>0</v>
      </c>
      <c r="N1558" s="893">
        <f t="shared" si="398"/>
        <v>0</v>
      </c>
      <c r="O1558" s="905"/>
      <c r="Q1558" s="317" t="str">
        <f t="shared" si="399"/>
        <v/>
      </c>
      <c r="R1558" s="317" t="str">
        <f t="shared" si="400"/>
        <v/>
      </c>
      <c r="S1558" s="317" t="str">
        <f t="shared" si="401"/>
        <v/>
      </c>
      <c r="V1558" s="314">
        <f>SUM('RES. CENTRAL PARK:RUA_FINAL'!N1558)</f>
        <v>0</v>
      </c>
      <c r="W1558" s="315">
        <f t="shared" si="402"/>
        <v>0</v>
      </c>
    </row>
    <row r="1559" spans="1:23" ht="23.25" hidden="1" thickBot="1" x14ac:dyDescent="0.25">
      <c r="A1559" s="63">
        <v>98286</v>
      </c>
      <c r="B1559" s="895">
        <v>98286</v>
      </c>
      <c r="C1559" s="896" t="s">
        <v>596</v>
      </c>
      <c r="D1559" s="906" t="s">
        <v>1484</v>
      </c>
      <c r="E1559" s="907"/>
      <c r="F1559" s="908"/>
      <c r="G1559" s="912"/>
      <c r="H1559" s="901">
        <v>18.350000000000001</v>
      </c>
      <c r="I1559" s="901">
        <f t="shared" si="395"/>
        <v>18.350000000000001</v>
      </c>
      <c r="J1559" s="902">
        <f t="shared" si="396"/>
        <v>22.03</v>
      </c>
      <c r="K1559" s="903" t="s">
        <v>62</v>
      </c>
      <c r="L1559" s="904">
        <f>ROUND(SUM('RES. CENTRAL PARK:RUA_FINAL'!L1559),2)</f>
        <v>0</v>
      </c>
      <c r="M1559" s="904">
        <f t="shared" si="397"/>
        <v>0</v>
      </c>
      <c r="N1559" s="893">
        <f t="shared" si="398"/>
        <v>0</v>
      </c>
      <c r="O1559" s="905"/>
      <c r="Q1559" s="317" t="str">
        <f t="shared" si="399"/>
        <v/>
      </c>
      <c r="R1559" s="317" t="str">
        <f t="shared" si="400"/>
        <v/>
      </c>
      <c r="S1559" s="317" t="str">
        <f t="shared" si="401"/>
        <v/>
      </c>
      <c r="V1559" s="314">
        <f>SUM('RES. CENTRAL PARK:RUA_FINAL'!N1559)</f>
        <v>0</v>
      </c>
      <c r="W1559" s="315">
        <f t="shared" si="402"/>
        <v>0</v>
      </c>
    </row>
    <row r="1560" spans="1:23" ht="23.25" hidden="1" thickBot="1" x14ac:dyDescent="0.25">
      <c r="A1560" s="63">
        <v>98293</v>
      </c>
      <c r="B1560" s="895">
        <v>98293</v>
      </c>
      <c r="C1560" s="896" t="s">
        <v>596</v>
      </c>
      <c r="D1560" s="906" t="s">
        <v>1485</v>
      </c>
      <c r="E1560" s="907"/>
      <c r="F1560" s="908"/>
      <c r="G1560" s="912"/>
      <c r="H1560" s="901">
        <v>10.9</v>
      </c>
      <c r="I1560" s="901">
        <f t="shared" si="395"/>
        <v>10.9</v>
      </c>
      <c r="J1560" s="902">
        <f t="shared" si="396"/>
        <v>13.09</v>
      </c>
      <c r="K1560" s="903" t="s">
        <v>62</v>
      </c>
      <c r="L1560" s="904">
        <f>ROUND(SUM('RES. CENTRAL PARK:RUA_FINAL'!L1560),2)</f>
        <v>0</v>
      </c>
      <c r="M1560" s="904">
        <f t="shared" si="397"/>
        <v>0</v>
      </c>
      <c r="N1560" s="893">
        <f t="shared" si="398"/>
        <v>0</v>
      </c>
      <c r="O1560" s="905"/>
      <c r="Q1560" s="317" t="str">
        <f t="shared" si="399"/>
        <v/>
      </c>
      <c r="R1560" s="317" t="str">
        <f t="shared" si="400"/>
        <v/>
      </c>
      <c r="S1560" s="317" t="str">
        <f t="shared" si="401"/>
        <v/>
      </c>
      <c r="V1560" s="314">
        <f>SUM('RES. CENTRAL PARK:RUA_FINAL'!N1560)</f>
        <v>0</v>
      </c>
      <c r="W1560" s="315">
        <f t="shared" si="402"/>
        <v>0</v>
      </c>
    </row>
    <row r="1561" spans="1:23" ht="23.25" hidden="1" thickBot="1" x14ac:dyDescent="0.25">
      <c r="A1561" s="63">
        <v>98261</v>
      </c>
      <c r="B1561" s="895">
        <v>98261</v>
      </c>
      <c r="C1561" s="896" t="s">
        <v>596</v>
      </c>
      <c r="D1561" s="906" t="s">
        <v>1486</v>
      </c>
      <c r="E1561" s="907"/>
      <c r="F1561" s="908"/>
      <c r="G1561" s="912"/>
      <c r="H1561" s="901">
        <v>4.59</v>
      </c>
      <c r="I1561" s="901">
        <f t="shared" si="395"/>
        <v>4.59</v>
      </c>
      <c r="J1561" s="902">
        <f t="shared" si="396"/>
        <v>5.51</v>
      </c>
      <c r="K1561" s="903" t="s">
        <v>62</v>
      </c>
      <c r="L1561" s="904">
        <f>ROUND(SUM('RES. CENTRAL PARK:RUA_FINAL'!L1561),2)</f>
        <v>0</v>
      </c>
      <c r="M1561" s="904">
        <f t="shared" si="397"/>
        <v>0</v>
      </c>
      <c r="N1561" s="893">
        <f t="shared" si="398"/>
        <v>0</v>
      </c>
      <c r="O1561" s="905"/>
      <c r="Q1561" s="317" t="str">
        <f t="shared" si="399"/>
        <v/>
      </c>
      <c r="R1561" s="317" t="str">
        <f t="shared" si="400"/>
        <v/>
      </c>
      <c r="S1561" s="317" t="str">
        <f t="shared" si="401"/>
        <v/>
      </c>
      <c r="V1561" s="314">
        <f>SUM('RES. CENTRAL PARK:RUA_FINAL'!N1561)</f>
        <v>0</v>
      </c>
      <c r="W1561" s="315">
        <f t="shared" si="402"/>
        <v>0</v>
      </c>
    </row>
    <row r="1562" spans="1:23" ht="23.25" hidden="1" thickBot="1" x14ac:dyDescent="0.25">
      <c r="A1562" s="63">
        <v>98262</v>
      </c>
      <c r="B1562" s="895">
        <v>98262</v>
      </c>
      <c r="C1562" s="896" t="s">
        <v>596</v>
      </c>
      <c r="D1562" s="906" t="s">
        <v>1487</v>
      </c>
      <c r="E1562" s="907"/>
      <c r="F1562" s="908"/>
      <c r="G1562" s="912"/>
      <c r="H1562" s="901">
        <v>5.63</v>
      </c>
      <c r="I1562" s="901">
        <f t="shared" si="395"/>
        <v>5.63</v>
      </c>
      <c r="J1562" s="902">
        <f t="shared" si="396"/>
        <v>6.76</v>
      </c>
      <c r="K1562" s="903" t="s">
        <v>62</v>
      </c>
      <c r="L1562" s="904">
        <f>ROUND(SUM('RES. CENTRAL PARK:RUA_FINAL'!L1562),2)</f>
        <v>0</v>
      </c>
      <c r="M1562" s="904">
        <f t="shared" si="397"/>
        <v>0</v>
      </c>
      <c r="N1562" s="893">
        <f t="shared" si="398"/>
        <v>0</v>
      </c>
      <c r="O1562" s="905"/>
      <c r="Q1562" s="317" t="str">
        <f t="shared" si="399"/>
        <v/>
      </c>
      <c r="R1562" s="317" t="str">
        <f t="shared" si="400"/>
        <v/>
      </c>
      <c r="S1562" s="317" t="str">
        <f t="shared" si="401"/>
        <v/>
      </c>
      <c r="V1562" s="314">
        <f>SUM('RES. CENTRAL PARK:RUA_FINAL'!N1562)</f>
        <v>0</v>
      </c>
      <c r="W1562" s="315">
        <f t="shared" si="402"/>
        <v>0</v>
      </c>
    </row>
    <row r="1563" spans="1:23" ht="23.25" hidden="1" thickBot="1" x14ac:dyDescent="0.25">
      <c r="A1563" s="63">
        <v>98263</v>
      </c>
      <c r="B1563" s="895">
        <v>98263</v>
      </c>
      <c r="C1563" s="896" t="s">
        <v>596</v>
      </c>
      <c r="D1563" s="906" t="s">
        <v>1488</v>
      </c>
      <c r="E1563" s="907"/>
      <c r="F1563" s="908"/>
      <c r="G1563" s="912"/>
      <c r="H1563" s="901">
        <v>5.89</v>
      </c>
      <c r="I1563" s="901">
        <f t="shared" si="395"/>
        <v>5.89</v>
      </c>
      <c r="J1563" s="902">
        <f t="shared" si="396"/>
        <v>7.07</v>
      </c>
      <c r="K1563" s="903" t="s">
        <v>62</v>
      </c>
      <c r="L1563" s="904">
        <f>ROUND(SUM('RES. CENTRAL PARK:RUA_FINAL'!L1563),2)</f>
        <v>0</v>
      </c>
      <c r="M1563" s="904">
        <f t="shared" si="397"/>
        <v>0</v>
      </c>
      <c r="N1563" s="893">
        <f t="shared" si="398"/>
        <v>0</v>
      </c>
      <c r="O1563" s="905"/>
      <c r="Q1563" s="317" t="str">
        <f t="shared" si="399"/>
        <v/>
      </c>
      <c r="R1563" s="317" t="str">
        <f t="shared" si="400"/>
        <v/>
      </c>
      <c r="S1563" s="317" t="str">
        <f t="shared" si="401"/>
        <v/>
      </c>
      <c r="V1563" s="314">
        <f>SUM('RES. CENTRAL PARK:RUA_FINAL'!N1563)</f>
        <v>0</v>
      </c>
      <c r="W1563" s="315">
        <f t="shared" si="402"/>
        <v>0</v>
      </c>
    </row>
    <row r="1564" spans="1:23" ht="23.25" hidden="1" thickBot="1" x14ac:dyDescent="0.25">
      <c r="A1564" s="63">
        <v>98264</v>
      </c>
      <c r="B1564" s="895">
        <v>98264</v>
      </c>
      <c r="C1564" s="896" t="s">
        <v>596</v>
      </c>
      <c r="D1564" s="906" t="s">
        <v>1489</v>
      </c>
      <c r="E1564" s="907"/>
      <c r="F1564" s="908"/>
      <c r="G1564" s="912"/>
      <c r="H1564" s="901">
        <v>6.99</v>
      </c>
      <c r="I1564" s="901">
        <f t="shared" si="395"/>
        <v>6.99</v>
      </c>
      <c r="J1564" s="902">
        <f t="shared" si="396"/>
        <v>8.39</v>
      </c>
      <c r="K1564" s="903" t="s">
        <v>62</v>
      </c>
      <c r="L1564" s="904">
        <f>ROUND(SUM('RES. CENTRAL PARK:RUA_FINAL'!L1564),2)</f>
        <v>0</v>
      </c>
      <c r="M1564" s="904">
        <f t="shared" si="397"/>
        <v>0</v>
      </c>
      <c r="N1564" s="893">
        <f t="shared" si="398"/>
        <v>0</v>
      </c>
      <c r="O1564" s="905"/>
      <c r="Q1564" s="317" t="str">
        <f t="shared" si="399"/>
        <v/>
      </c>
      <c r="R1564" s="317" t="str">
        <f t="shared" si="400"/>
        <v/>
      </c>
      <c r="S1564" s="317" t="str">
        <f t="shared" si="401"/>
        <v/>
      </c>
      <c r="V1564" s="314">
        <f>SUM('RES. CENTRAL PARK:RUA_FINAL'!N1564)</f>
        <v>0</v>
      </c>
      <c r="W1564" s="315">
        <f t="shared" si="402"/>
        <v>0</v>
      </c>
    </row>
    <row r="1565" spans="1:23" ht="23.25" hidden="1" thickBot="1" x14ac:dyDescent="0.25">
      <c r="A1565" s="63">
        <v>98265</v>
      </c>
      <c r="B1565" s="895">
        <v>98265</v>
      </c>
      <c r="C1565" s="896" t="s">
        <v>596</v>
      </c>
      <c r="D1565" s="906" t="s">
        <v>1490</v>
      </c>
      <c r="E1565" s="907"/>
      <c r="F1565" s="908"/>
      <c r="G1565" s="912"/>
      <c r="H1565" s="901">
        <v>7.72</v>
      </c>
      <c r="I1565" s="901">
        <f t="shared" si="395"/>
        <v>7.72</v>
      </c>
      <c r="J1565" s="902">
        <f t="shared" si="396"/>
        <v>9.27</v>
      </c>
      <c r="K1565" s="903" t="s">
        <v>62</v>
      </c>
      <c r="L1565" s="904">
        <f>ROUND(SUM('RES. CENTRAL PARK:RUA_FINAL'!L1565),2)</f>
        <v>0</v>
      </c>
      <c r="M1565" s="904">
        <f t="shared" si="397"/>
        <v>0</v>
      </c>
      <c r="N1565" s="893">
        <f t="shared" si="398"/>
        <v>0</v>
      </c>
      <c r="O1565" s="905"/>
      <c r="Q1565" s="317" t="str">
        <f t="shared" si="399"/>
        <v/>
      </c>
      <c r="R1565" s="317" t="str">
        <f t="shared" si="400"/>
        <v/>
      </c>
      <c r="S1565" s="317" t="str">
        <f t="shared" si="401"/>
        <v/>
      </c>
      <c r="V1565" s="314">
        <f>SUM('RES. CENTRAL PARK:RUA_FINAL'!N1565)</f>
        <v>0</v>
      </c>
      <c r="W1565" s="315">
        <f t="shared" si="402"/>
        <v>0</v>
      </c>
    </row>
    <row r="1566" spans="1:23" ht="23.25" hidden="1" thickBot="1" x14ac:dyDescent="0.25">
      <c r="A1566" s="63">
        <v>98266</v>
      </c>
      <c r="B1566" s="895">
        <v>98266</v>
      </c>
      <c r="C1566" s="896" t="s">
        <v>596</v>
      </c>
      <c r="D1566" s="906" t="s">
        <v>1491</v>
      </c>
      <c r="E1566" s="907"/>
      <c r="F1566" s="908"/>
      <c r="G1566" s="912"/>
      <c r="H1566" s="901">
        <v>8.73</v>
      </c>
      <c r="I1566" s="901">
        <f t="shared" si="395"/>
        <v>8.73</v>
      </c>
      <c r="J1566" s="902">
        <f t="shared" si="396"/>
        <v>10.48</v>
      </c>
      <c r="K1566" s="903" t="s">
        <v>62</v>
      </c>
      <c r="L1566" s="904">
        <f>ROUND(SUM('RES. CENTRAL PARK:RUA_FINAL'!L1566),2)</f>
        <v>0</v>
      </c>
      <c r="M1566" s="904">
        <f t="shared" si="397"/>
        <v>0</v>
      </c>
      <c r="N1566" s="893">
        <f t="shared" si="398"/>
        <v>0</v>
      </c>
      <c r="O1566" s="905"/>
      <c r="Q1566" s="317" t="str">
        <f t="shared" si="399"/>
        <v/>
      </c>
      <c r="R1566" s="317" t="str">
        <f t="shared" si="400"/>
        <v/>
      </c>
      <c r="S1566" s="317" t="str">
        <f t="shared" si="401"/>
        <v/>
      </c>
      <c r="V1566" s="314">
        <f>SUM('RES. CENTRAL PARK:RUA_FINAL'!N1566)</f>
        <v>0</v>
      </c>
      <c r="W1566" s="315">
        <f t="shared" si="402"/>
        <v>0</v>
      </c>
    </row>
    <row r="1567" spans="1:23" ht="23.25" hidden="1" thickBot="1" x14ac:dyDescent="0.25">
      <c r="A1567" s="63">
        <v>98273</v>
      </c>
      <c r="B1567" s="895">
        <v>98273</v>
      </c>
      <c r="C1567" s="896" t="s">
        <v>596</v>
      </c>
      <c r="D1567" s="906" t="s">
        <v>1492</v>
      </c>
      <c r="E1567" s="907"/>
      <c r="F1567" s="908"/>
      <c r="G1567" s="912"/>
      <c r="H1567" s="901">
        <v>3.37</v>
      </c>
      <c r="I1567" s="901">
        <f t="shared" si="395"/>
        <v>3.37</v>
      </c>
      <c r="J1567" s="902">
        <f t="shared" si="396"/>
        <v>4.05</v>
      </c>
      <c r="K1567" s="903" t="s">
        <v>62</v>
      </c>
      <c r="L1567" s="904">
        <f>ROUND(SUM('RES. CENTRAL PARK:RUA_FINAL'!L1567),2)</f>
        <v>0</v>
      </c>
      <c r="M1567" s="904">
        <f t="shared" si="397"/>
        <v>0</v>
      </c>
      <c r="N1567" s="893">
        <f t="shared" si="398"/>
        <v>0</v>
      </c>
      <c r="O1567" s="905"/>
      <c r="Q1567" s="317" t="str">
        <f t="shared" si="399"/>
        <v/>
      </c>
      <c r="R1567" s="317" t="str">
        <f t="shared" si="400"/>
        <v/>
      </c>
      <c r="S1567" s="317" t="str">
        <f t="shared" si="401"/>
        <v/>
      </c>
      <c r="V1567" s="314">
        <f>SUM('RES. CENTRAL PARK:RUA_FINAL'!N1567)</f>
        <v>0</v>
      </c>
      <c r="W1567" s="315">
        <f t="shared" si="402"/>
        <v>0</v>
      </c>
    </row>
    <row r="1568" spans="1:23" ht="23.25" hidden="1" thickBot="1" x14ac:dyDescent="0.25">
      <c r="A1568" s="63">
        <v>98274</v>
      </c>
      <c r="B1568" s="895">
        <v>98274</v>
      </c>
      <c r="C1568" s="896" t="s">
        <v>596</v>
      </c>
      <c r="D1568" s="906" t="s">
        <v>1493</v>
      </c>
      <c r="E1568" s="907"/>
      <c r="F1568" s="908"/>
      <c r="G1568" s="912"/>
      <c r="H1568" s="901">
        <v>4.0999999999999996</v>
      </c>
      <c r="I1568" s="901">
        <f t="shared" si="395"/>
        <v>4.0999999999999996</v>
      </c>
      <c r="J1568" s="902">
        <f t="shared" si="396"/>
        <v>4.92</v>
      </c>
      <c r="K1568" s="903" t="s">
        <v>62</v>
      </c>
      <c r="L1568" s="904">
        <f>ROUND(SUM('RES. CENTRAL PARK:RUA_FINAL'!L1568),2)</f>
        <v>0</v>
      </c>
      <c r="M1568" s="904">
        <f t="shared" si="397"/>
        <v>0</v>
      </c>
      <c r="N1568" s="893">
        <f t="shared" si="398"/>
        <v>0</v>
      </c>
      <c r="O1568" s="905"/>
      <c r="Q1568" s="317" t="str">
        <f t="shared" si="399"/>
        <v/>
      </c>
      <c r="R1568" s="317" t="str">
        <f t="shared" si="400"/>
        <v/>
      </c>
      <c r="S1568" s="317" t="str">
        <f t="shared" si="401"/>
        <v/>
      </c>
      <c r="V1568" s="314">
        <f>SUM('RES. CENTRAL PARK:RUA_FINAL'!N1568)</f>
        <v>0</v>
      </c>
      <c r="W1568" s="315">
        <f t="shared" si="402"/>
        <v>0</v>
      </c>
    </row>
    <row r="1569" spans="1:23" ht="23.25" hidden="1" thickBot="1" x14ac:dyDescent="0.25">
      <c r="A1569" s="63">
        <v>98275</v>
      </c>
      <c r="B1569" s="895">
        <v>98275</v>
      </c>
      <c r="C1569" s="896" t="s">
        <v>596</v>
      </c>
      <c r="D1569" s="906" t="s">
        <v>1494</v>
      </c>
      <c r="E1569" s="907"/>
      <c r="F1569" s="908"/>
      <c r="G1569" s="912"/>
      <c r="H1569" s="901">
        <v>5.1100000000000003</v>
      </c>
      <c r="I1569" s="901">
        <f t="shared" si="395"/>
        <v>5.1100000000000003</v>
      </c>
      <c r="J1569" s="902">
        <f t="shared" si="396"/>
        <v>6.14</v>
      </c>
      <c r="K1569" s="903" t="s">
        <v>62</v>
      </c>
      <c r="L1569" s="904">
        <f>ROUND(SUM('RES. CENTRAL PARK:RUA_FINAL'!L1569),2)</f>
        <v>0</v>
      </c>
      <c r="M1569" s="904">
        <f t="shared" si="397"/>
        <v>0</v>
      </c>
      <c r="N1569" s="893">
        <f t="shared" si="398"/>
        <v>0</v>
      </c>
      <c r="O1569" s="905"/>
      <c r="Q1569" s="317" t="str">
        <f t="shared" si="399"/>
        <v/>
      </c>
      <c r="R1569" s="317" t="str">
        <f t="shared" si="400"/>
        <v/>
      </c>
      <c r="S1569" s="317" t="str">
        <f t="shared" si="401"/>
        <v/>
      </c>
      <c r="V1569" s="314">
        <f>SUM('RES. CENTRAL PARK:RUA_FINAL'!N1569)</f>
        <v>0</v>
      </c>
      <c r="W1569" s="315">
        <f t="shared" si="402"/>
        <v>0</v>
      </c>
    </row>
    <row r="1570" spans="1:23" ht="23.25" hidden="1" thickBot="1" x14ac:dyDescent="0.25">
      <c r="A1570" s="63">
        <v>98280</v>
      </c>
      <c r="B1570" s="895">
        <v>98280</v>
      </c>
      <c r="C1570" s="896" t="s">
        <v>596</v>
      </c>
      <c r="D1570" s="906" t="s">
        <v>1495</v>
      </c>
      <c r="E1570" s="907"/>
      <c r="F1570" s="908"/>
      <c r="G1570" s="912"/>
      <c r="H1570" s="901">
        <v>9.25</v>
      </c>
      <c r="I1570" s="901">
        <f t="shared" si="395"/>
        <v>9.25</v>
      </c>
      <c r="J1570" s="902">
        <f t="shared" si="396"/>
        <v>11.11</v>
      </c>
      <c r="K1570" s="903" t="s">
        <v>62</v>
      </c>
      <c r="L1570" s="904">
        <f>ROUND(SUM('RES. CENTRAL PARK:RUA_FINAL'!L1570),2)</f>
        <v>0</v>
      </c>
      <c r="M1570" s="904">
        <f t="shared" si="397"/>
        <v>0</v>
      </c>
      <c r="N1570" s="893">
        <f t="shared" si="398"/>
        <v>0</v>
      </c>
      <c r="O1570" s="905"/>
      <c r="Q1570" s="317" t="str">
        <f t="shared" si="399"/>
        <v/>
      </c>
      <c r="R1570" s="317" t="str">
        <f t="shared" si="400"/>
        <v/>
      </c>
      <c r="S1570" s="317" t="str">
        <f t="shared" si="401"/>
        <v/>
      </c>
      <c r="V1570" s="314">
        <f>SUM('RES. CENTRAL PARK:RUA_FINAL'!N1570)</f>
        <v>0</v>
      </c>
      <c r="W1570" s="315">
        <f t="shared" si="402"/>
        <v>0</v>
      </c>
    </row>
    <row r="1571" spans="1:23" ht="23.25" hidden="1" thickBot="1" x14ac:dyDescent="0.25">
      <c r="A1571" s="63">
        <v>98281</v>
      </c>
      <c r="B1571" s="895">
        <v>98281</v>
      </c>
      <c r="C1571" s="896" t="s">
        <v>596</v>
      </c>
      <c r="D1571" s="906" t="s">
        <v>1496</v>
      </c>
      <c r="E1571" s="907"/>
      <c r="F1571" s="908"/>
      <c r="G1571" s="912"/>
      <c r="H1571" s="901">
        <v>10.28</v>
      </c>
      <c r="I1571" s="901">
        <f t="shared" si="395"/>
        <v>10.28</v>
      </c>
      <c r="J1571" s="902">
        <f t="shared" si="396"/>
        <v>12.34</v>
      </c>
      <c r="K1571" s="903" t="s">
        <v>62</v>
      </c>
      <c r="L1571" s="904">
        <f>ROUND(SUM('RES. CENTRAL PARK:RUA_FINAL'!L1571),2)</f>
        <v>0</v>
      </c>
      <c r="M1571" s="904">
        <f t="shared" si="397"/>
        <v>0</v>
      </c>
      <c r="N1571" s="893">
        <f t="shared" si="398"/>
        <v>0</v>
      </c>
      <c r="O1571" s="905"/>
      <c r="Q1571" s="317" t="str">
        <f t="shared" si="399"/>
        <v/>
      </c>
      <c r="R1571" s="317" t="str">
        <f t="shared" si="400"/>
        <v/>
      </c>
      <c r="S1571" s="317" t="str">
        <f t="shared" si="401"/>
        <v/>
      </c>
      <c r="V1571" s="314">
        <f>SUM('RES. CENTRAL PARK:RUA_FINAL'!N1571)</f>
        <v>0</v>
      </c>
      <c r="W1571" s="315">
        <f t="shared" si="402"/>
        <v>0</v>
      </c>
    </row>
    <row r="1572" spans="1:23" ht="23.25" hidden="1" thickBot="1" x14ac:dyDescent="0.25">
      <c r="A1572" s="63">
        <v>98282</v>
      </c>
      <c r="B1572" s="895">
        <v>98282</v>
      </c>
      <c r="C1572" s="896" t="s">
        <v>596</v>
      </c>
      <c r="D1572" s="906" t="s">
        <v>1497</v>
      </c>
      <c r="E1572" s="907"/>
      <c r="F1572" s="908"/>
      <c r="G1572" s="912"/>
      <c r="H1572" s="901">
        <v>10.53</v>
      </c>
      <c r="I1572" s="901">
        <f t="shared" si="395"/>
        <v>10.53</v>
      </c>
      <c r="J1572" s="902">
        <f t="shared" si="396"/>
        <v>12.64</v>
      </c>
      <c r="K1572" s="903" t="s">
        <v>62</v>
      </c>
      <c r="L1572" s="904">
        <f>ROUND(SUM('RES. CENTRAL PARK:RUA_FINAL'!L1572),2)</f>
        <v>0</v>
      </c>
      <c r="M1572" s="904">
        <f t="shared" si="397"/>
        <v>0</v>
      </c>
      <c r="N1572" s="893">
        <f t="shared" si="398"/>
        <v>0</v>
      </c>
      <c r="O1572" s="905"/>
      <c r="Q1572" s="317" t="str">
        <f t="shared" si="399"/>
        <v/>
      </c>
      <c r="R1572" s="317" t="str">
        <f t="shared" si="400"/>
        <v/>
      </c>
      <c r="S1572" s="317" t="str">
        <f t="shared" si="401"/>
        <v/>
      </c>
      <c r="V1572" s="314">
        <f>SUM('RES. CENTRAL PARK:RUA_FINAL'!N1572)</f>
        <v>0</v>
      </c>
      <c r="W1572" s="315">
        <f t="shared" si="402"/>
        <v>0</v>
      </c>
    </row>
    <row r="1573" spans="1:23" ht="23.25" hidden="1" thickBot="1" x14ac:dyDescent="0.25">
      <c r="A1573" s="63">
        <v>98283</v>
      </c>
      <c r="B1573" s="895">
        <v>98283</v>
      </c>
      <c r="C1573" s="896" t="s">
        <v>596</v>
      </c>
      <c r="D1573" s="906" t="s">
        <v>1498</v>
      </c>
      <c r="E1573" s="907"/>
      <c r="F1573" s="908"/>
      <c r="G1573" s="912"/>
      <c r="H1573" s="901">
        <v>11.64</v>
      </c>
      <c r="I1573" s="901">
        <f t="shared" si="395"/>
        <v>11.64</v>
      </c>
      <c r="J1573" s="902">
        <f t="shared" si="396"/>
        <v>13.98</v>
      </c>
      <c r="K1573" s="903" t="s">
        <v>62</v>
      </c>
      <c r="L1573" s="904">
        <f>ROUND(SUM('RES. CENTRAL PARK:RUA_FINAL'!L1573),2)</f>
        <v>0</v>
      </c>
      <c r="M1573" s="904">
        <f t="shared" si="397"/>
        <v>0</v>
      </c>
      <c r="N1573" s="893">
        <f t="shared" si="398"/>
        <v>0</v>
      </c>
      <c r="O1573" s="905"/>
      <c r="Q1573" s="317" t="str">
        <f t="shared" si="399"/>
        <v/>
      </c>
      <c r="R1573" s="317" t="str">
        <f t="shared" si="400"/>
        <v/>
      </c>
      <c r="S1573" s="317" t="str">
        <f t="shared" si="401"/>
        <v/>
      </c>
      <c r="V1573" s="314">
        <f>SUM('RES. CENTRAL PARK:RUA_FINAL'!N1573)</f>
        <v>0</v>
      </c>
      <c r="W1573" s="315">
        <f t="shared" si="402"/>
        <v>0</v>
      </c>
    </row>
    <row r="1574" spans="1:23" ht="23.25" hidden="1" thickBot="1" x14ac:dyDescent="0.25">
      <c r="A1574" s="63">
        <v>98284</v>
      </c>
      <c r="B1574" s="895">
        <v>98284</v>
      </c>
      <c r="C1574" s="896" t="s">
        <v>596</v>
      </c>
      <c r="D1574" s="906" t="s">
        <v>1499</v>
      </c>
      <c r="E1574" s="907"/>
      <c r="F1574" s="908"/>
      <c r="G1574" s="912"/>
      <c r="H1574" s="901">
        <v>12.36</v>
      </c>
      <c r="I1574" s="901">
        <f t="shared" si="395"/>
        <v>12.36</v>
      </c>
      <c r="J1574" s="902">
        <f t="shared" si="396"/>
        <v>14.84</v>
      </c>
      <c r="K1574" s="903" t="s">
        <v>62</v>
      </c>
      <c r="L1574" s="904">
        <f>ROUND(SUM('RES. CENTRAL PARK:RUA_FINAL'!L1574),2)</f>
        <v>0</v>
      </c>
      <c r="M1574" s="904">
        <f t="shared" si="397"/>
        <v>0</v>
      </c>
      <c r="N1574" s="893">
        <f t="shared" si="398"/>
        <v>0</v>
      </c>
      <c r="O1574" s="905"/>
      <c r="Q1574" s="317" t="str">
        <f t="shared" si="399"/>
        <v/>
      </c>
      <c r="R1574" s="317" t="str">
        <f t="shared" si="400"/>
        <v/>
      </c>
      <c r="S1574" s="317" t="str">
        <f t="shared" si="401"/>
        <v/>
      </c>
      <c r="V1574" s="314">
        <f>SUM('RES. CENTRAL PARK:RUA_FINAL'!N1574)</f>
        <v>0</v>
      </c>
      <c r="W1574" s="315">
        <f t="shared" si="402"/>
        <v>0</v>
      </c>
    </row>
    <row r="1575" spans="1:23" ht="23.25" hidden="1" thickBot="1" x14ac:dyDescent="0.25">
      <c r="A1575" s="63">
        <v>98285</v>
      </c>
      <c r="B1575" s="895">
        <v>98285</v>
      </c>
      <c r="C1575" s="896" t="s">
        <v>596</v>
      </c>
      <c r="D1575" s="906" t="s">
        <v>1500</v>
      </c>
      <c r="E1575" s="907"/>
      <c r="F1575" s="908"/>
      <c r="G1575" s="912"/>
      <c r="H1575" s="901">
        <v>13.38</v>
      </c>
      <c r="I1575" s="901">
        <f t="shared" si="395"/>
        <v>13.38</v>
      </c>
      <c r="J1575" s="902">
        <f t="shared" si="396"/>
        <v>16.07</v>
      </c>
      <c r="K1575" s="903" t="s">
        <v>62</v>
      </c>
      <c r="L1575" s="904">
        <f>ROUND(SUM('RES. CENTRAL PARK:RUA_FINAL'!L1575),2)</f>
        <v>0</v>
      </c>
      <c r="M1575" s="904">
        <f t="shared" si="397"/>
        <v>0</v>
      </c>
      <c r="N1575" s="893">
        <f t="shared" si="398"/>
        <v>0</v>
      </c>
      <c r="O1575" s="905"/>
      <c r="Q1575" s="317" t="str">
        <f t="shared" si="399"/>
        <v/>
      </c>
      <c r="R1575" s="317" t="str">
        <f t="shared" si="400"/>
        <v/>
      </c>
      <c r="S1575" s="317" t="str">
        <f t="shared" si="401"/>
        <v/>
      </c>
      <c r="V1575" s="314">
        <f>SUM('RES. CENTRAL PARK:RUA_FINAL'!N1575)</f>
        <v>0</v>
      </c>
      <c r="W1575" s="315">
        <f t="shared" si="402"/>
        <v>0</v>
      </c>
    </row>
    <row r="1576" spans="1:23" ht="23.25" hidden="1" thickBot="1" x14ac:dyDescent="0.25">
      <c r="A1576" s="63">
        <v>98287</v>
      </c>
      <c r="B1576" s="895">
        <v>98287</v>
      </c>
      <c r="C1576" s="896" t="s">
        <v>596</v>
      </c>
      <c r="D1576" s="906" t="s">
        <v>1501</v>
      </c>
      <c r="E1576" s="907"/>
      <c r="F1576" s="908"/>
      <c r="G1576" s="912"/>
      <c r="H1576" s="901">
        <v>1.81</v>
      </c>
      <c r="I1576" s="901">
        <f t="shared" si="395"/>
        <v>1.81</v>
      </c>
      <c r="J1576" s="902">
        <f t="shared" si="396"/>
        <v>2.17</v>
      </c>
      <c r="K1576" s="903" t="s">
        <v>62</v>
      </c>
      <c r="L1576" s="904">
        <f>ROUND(SUM('RES. CENTRAL PARK:RUA_FINAL'!L1576),2)</f>
        <v>0</v>
      </c>
      <c r="M1576" s="904">
        <f t="shared" si="397"/>
        <v>0</v>
      </c>
      <c r="N1576" s="893">
        <f t="shared" si="398"/>
        <v>0</v>
      </c>
      <c r="O1576" s="905"/>
      <c r="Q1576" s="317" t="str">
        <f t="shared" si="399"/>
        <v/>
      </c>
      <c r="R1576" s="317" t="str">
        <f t="shared" si="400"/>
        <v/>
      </c>
      <c r="S1576" s="317" t="str">
        <f t="shared" si="401"/>
        <v/>
      </c>
      <c r="V1576" s="314">
        <f>SUM('RES. CENTRAL PARK:RUA_FINAL'!N1576)</f>
        <v>0</v>
      </c>
      <c r="W1576" s="315">
        <f t="shared" si="402"/>
        <v>0</v>
      </c>
    </row>
    <row r="1577" spans="1:23" ht="23.25" hidden="1" thickBot="1" x14ac:dyDescent="0.25">
      <c r="A1577" s="63">
        <v>98288</v>
      </c>
      <c r="B1577" s="895">
        <v>98288</v>
      </c>
      <c r="C1577" s="896" t="s">
        <v>596</v>
      </c>
      <c r="D1577" s="906" t="s">
        <v>1502</v>
      </c>
      <c r="E1577" s="907"/>
      <c r="F1577" s="908"/>
      <c r="G1577" s="912"/>
      <c r="H1577" s="901">
        <v>2.83</v>
      </c>
      <c r="I1577" s="901">
        <f t="shared" si="395"/>
        <v>2.83</v>
      </c>
      <c r="J1577" s="902">
        <f t="shared" si="396"/>
        <v>3.4</v>
      </c>
      <c r="K1577" s="903" t="s">
        <v>62</v>
      </c>
      <c r="L1577" s="904">
        <f>ROUND(SUM('RES. CENTRAL PARK:RUA_FINAL'!L1577),2)</f>
        <v>0</v>
      </c>
      <c r="M1577" s="904">
        <f t="shared" si="397"/>
        <v>0</v>
      </c>
      <c r="N1577" s="893">
        <f t="shared" si="398"/>
        <v>0</v>
      </c>
      <c r="O1577" s="905"/>
      <c r="Q1577" s="317" t="str">
        <f t="shared" si="399"/>
        <v/>
      </c>
      <c r="R1577" s="317" t="str">
        <f t="shared" si="400"/>
        <v/>
      </c>
      <c r="S1577" s="317" t="str">
        <f t="shared" si="401"/>
        <v/>
      </c>
      <c r="V1577" s="314">
        <f>SUM('RES. CENTRAL PARK:RUA_FINAL'!N1577)</f>
        <v>0</v>
      </c>
      <c r="W1577" s="315">
        <f t="shared" si="402"/>
        <v>0</v>
      </c>
    </row>
    <row r="1578" spans="1:23" ht="23.25" hidden="1" thickBot="1" x14ac:dyDescent="0.25">
      <c r="A1578" s="63">
        <v>98289</v>
      </c>
      <c r="B1578" s="895">
        <v>98289</v>
      </c>
      <c r="C1578" s="896" t="s">
        <v>596</v>
      </c>
      <c r="D1578" s="906" t="s">
        <v>1503</v>
      </c>
      <c r="E1578" s="907"/>
      <c r="F1578" s="908"/>
      <c r="G1578" s="912"/>
      <c r="H1578" s="901">
        <v>3.1</v>
      </c>
      <c r="I1578" s="901">
        <f t="shared" si="395"/>
        <v>3.1</v>
      </c>
      <c r="J1578" s="902">
        <f t="shared" si="396"/>
        <v>3.72</v>
      </c>
      <c r="K1578" s="903" t="s">
        <v>62</v>
      </c>
      <c r="L1578" s="904">
        <f>ROUND(SUM('RES. CENTRAL PARK:RUA_FINAL'!L1578),2)</f>
        <v>0</v>
      </c>
      <c r="M1578" s="904">
        <f t="shared" si="397"/>
        <v>0</v>
      </c>
      <c r="N1578" s="893">
        <f t="shared" si="398"/>
        <v>0</v>
      </c>
      <c r="O1578" s="905"/>
      <c r="Q1578" s="317" t="str">
        <f t="shared" si="399"/>
        <v/>
      </c>
      <c r="R1578" s="317" t="str">
        <f t="shared" si="400"/>
        <v/>
      </c>
      <c r="S1578" s="317" t="str">
        <f t="shared" si="401"/>
        <v/>
      </c>
      <c r="V1578" s="314">
        <f>SUM('RES. CENTRAL PARK:RUA_FINAL'!N1578)</f>
        <v>0</v>
      </c>
      <c r="W1578" s="315">
        <f t="shared" si="402"/>
        <v>0</v>
      </c>
    </row>
    <row r="1579" spans="1:23" ht="23.25" hidden="1" thickBot="1" x14ac:dyDescent="0.25">
      <c r="A1579" s="63">
        <v>98290</v>
      </c>
      <c r="B1579" s="895">
        <v>98290</v>
      </c>
      <c r="C1579" s="896" t="s">
        <v>596</v>
      </c>
      <c r="D1579" s="906" t="s">
        <v>1504</v>
      </c>
      <c r="E1579" s="907"/>
      <c r="F1579" s="908"/>
      <c r="G1579" s="912"/>
      <c r="H1579" s="901">
        <v>4.1900000000000004</v>
      </c>
      <c r="I1579" s="901">
        <f t="shared" si="395"/>
        <v>4.1900000000000004</v>
      </c>
      <c r="J1579" s="902">
        <f t="shared" si="396"/>
        <v>5.03</v>
      </c>
      <c r="K1579" s="903" t="s">
        <v>62</v>
      </c>
      <c r="L1579" s="904">
        <f>ROUND(SUM('RES. CENTRAL PARK:RUA_FINAL'!L1579),2)</f>
        <v>0</v>
      </c>
      <c r="M1579" s="904">
        <f t="shared" si="397"/>
        <v>0</v>
      </c>
      <c r="N1579" s="893">
        <f t="shared" si="398"/>
        <v>0</v>
      </c>
      <c r="O1579" s="905"/>
      <c r="Q1579" s="317" t="str">
        <f t="shared" si="399"/>
        <v/>
      </c>
      <c r="R1579" s="317" t="str">
        <f t="shared" si="400"/>
        <v/>
      </c>
      <c r="S1579" s="317" t="str">
        <f t="shared" si="401"/>
        <v/>
      </c>
      <c r="V1579" s="314">
        <f>SUM('RES. CENTRAL PARK:RUA_FINAL'!N1579)</f>
        <v>0</v>
      </c>
      <c r="W1579" s="315">
        <f t="shared" si="402"/>
        <v>0</v>
      </c>
    </row>
    <row r="1580" spans="1:23" ht="23.25" hidden="1" thickBot="1" x14ac:dyDescent="0.25">
      <c r="A1580" s="63">
        <v>98291</v>
      </c>
      <c r="B1580" s="895">
        <v>98291</v>
      </c>
      <c r="C1580" s="896" t="s">
        <v>596</v>
      </c>
      <c r="D1580" s="906" t="s">
        <v>1505</v>
      </c>
      <c r="E1580" s="907"/>
      <c r="F1580" s="908"/>
      <c r="G1580" s="912"/>
      <c r="H1580" s="901">
        <v>4.93</v>
      </c>
      <c r="I1580" s="901">
        <f t="shared" si="395"/>
        <v>4.93</v>
      </c>
      <c r="J1580" s="902">
        <f t="shared" si="396"/>
        <v>5.92</v>
      </c>
      <c r="K1580" s="903" t="s">
        <v>62</v>
      </c>
      <c r="L1580" s="904">
        <f>ROUND(SUM('RES. CENTRAL PARK:RUA_FINAL'!L1580),2)</f>
        <v>0</v>
      </c>
      <c r="M1580" s="904">
        <f t="shared" si="397"/>
        <v>0</v>
      </c>
      <c r="N1580" s="893">
        <f t="shared" si="398"/>
        <v>0</v>
      </c>
      <c r="O1580" s="905"/>
      <c r="Q1580" s="317" t="str">
        <f t="shared" si="399"/>
        <v/>
      </c>
      <c r="R1580" s="317" t="str">
        <f t="shared" si="400"/>
        <v/>
      </c>
      <c r="S1580" s="317" t="str">
        <f t="shared" si="401"/>
        <v/>
      </c>
      <c r="V1580" s="314">
        <f>SUM('RES. CENTRAL PARK:RUA_FINAL'!N1580)</f>
        <v>0</v>
      </c>
      <c r="W1580" s="315">
        <f t="shared" si="402"/>
        <v>0</v>
      </c>
    </row>
    <row r="1581" spans="1:23" ht="23.25" hidden="1" thickBot="1" x14ac:dyDescent="0.25">
      <c r="A1581" s="63">
        <v>98292</v>
      </c>
      <c r="B1581" s="895">
        <v>98292</v>
      </c>
      <c r="C1581" s="896" t="s">
        <v>596</v>
      </c>
      <c r="D1581" s="906" t="s">
        <v>1506</v>
      </c>
      <c r="E1581" s="907"/>
      <c r="F1581" s="908"/>
      <c r="G1581" s="912"/>
      <c r="H1581" s="901">
        <v>5.94</v>
      </c>
      <c r="I1581" s="901">
        <f t="shared" si="395"/>
        <v>5.94</v>
      </c>
      <c r="J1581" s="902">
        <f t="shared" si="396"/>
        <v>7.13</v>
      </c>
      <c r="K1581" s="903" t="s">
        <v>62</v>
      </c>
      <c r="L1581" s="904">
        <f>ROUND(SUM('RES. CENTRAL PARK:RUA_FINAL'!L1581),2)</f>
        <v>0</v>
      </c>
      <c r="M1581" s="904">
        <f t="shared" si="397"/>
        <v>0</v>
      </c>
      <c r="N1581" s="893">
        <f t="shared" si="398"/>
        <v>0</v>
      </c>
      <c r="O1581" s="905"/>
      <c r="Q1581" s="317" t="str">
        <f t="shared" si="399"/>
        <v/>
      </c>
      <c r="R1581" s="317" t="str">
        <f t="shared" si="400"/>
        <v/>
      </c>
      <c r="S1581" s="317" t="str">
        <f t="shared" si="401"/>
        <v/>
      </c>
      <c r="V1581" s="314">
        <f>SUM('RES. CENTRAL PARK:RUA_FINAL'!N1581)</f>
        <v>0</v>
      </c>
      <c r="W1581" s="315">
        <f t="shared" si="402"/>
        <v>0</v>
      </c>
    </row>
    <row r="1582" spans="1:23" ht="15" hidden="1" customHeight="1" x14ac:dyDescent="0.2">
      <c r="A1582" s="63">
        <v>98397</v>
      </c>
      <c r="B1582" s="895">
        <v>98397</v>
      </c>
      <c r="C1582" s="896" t="s">
        <v>596</v>
      </c>
      <c r="D1582" s="906" t="s">
        <v>1507</v>
      </c>
      <c r="E1582" s="907"/>
      <c r="F1582" s="908"/>
      <c r="G1582" s="912"/>
      <c r="H1582" s="901">
        <v>13.82</v>
      </c>
      <c r="I1582" s="901">
        <f t="shared" si="395"/>
        <v>13.82</v>
      </c>
      <c r="J1582" s="902">
        <f t="shared" si="396"/>
        <v>16.59</v>
      </c>
      <c r="K1582" s="903" t="s">
        <v>1517</v>
      </c>
      <c r="L1582" s="904">
        <f>ROUND(SUM('RES. CENTRAL PARK:RUA_FINAL'!L1582),2)</f>
        <v>0</v>
      </c>
      <c r="M1582" s="904">
        <f t="shared" si="397"/>
        <v>0</v>
      </c>
      <c r="N1582" s="893">
        <f t="shared" si="398"/>
        <v>0</v>
      </c>
      <c r="O1582" s="905"/>
      <c r="Q1582" s="317" t="str">
        <f t="shared" si="399"/>
        <v/>
      </c>
      <c r="R1582" s="317" t="str">
        <f t="shared" si="400"/>
        <v/>
      </c>
      <c r="S1582" s="317" t="str">
        <f t="shared" si="401"/>
        <v/>
      </c>
      <c r="V1582" s="314">
        <f>SUM('RES. CENTRAL PARK:RUA_FINAL'!N1582)</f>
        <v>0</v>
      </c>
      <c r="W1582" s="315">
        <f t="shared" si="402"/>
        <v>0</v>
      </c>
    </row>
    <row r="1583" spans="1:23" ht="34.5" hidden="1" thickBot="1" x14ac:dyDescent="0.25">
      <c r="A1583" s="63">
        <v>97327</v>
      </c>
      <c r="B1583" s="895">
        <v>97327</v>
      </c>
      <c r="C1583" s="896" t="s">
        <v>596</v>
      </c>
      <c r="D1583" s="906" t="s">
        <v>1508</v>
      </c>
      <c r="E1583" s="907"/>
      <c r="F1583" s="908"/>
      <c r="G1583" s="912"/>
      <c r="H1583" s="901">
        <v>30.58</v>
      </c>
      <c r="I1583" s="901">
        <f t="shared" si="395"/>
        <v>30.58</v>
      </c>
      <c r="J1583" s="902">
        <f t="shared" si="396"/>
        <v>36.72</v>
      </c>
      <c r="K1583" s="903" t="s">
        <v>62</v>
      </c>
      <c r="L1583" s="904">
        <f>ROUND(SUM('RES. CENTRAL PARK:RUA_FINAL'!L1583),2)</f>
        <v>0</v>
      </c>
      <c r="M1583" s="904">
        <f t="shared" si="397"/>
        <v>0</v>
      </c>
      <c r="N1583" s="893">
        <f t="shared" si="398"/>
        <v>0</v>
      </c>
      <c r="O1583" s="905"/>
      <c r="Q1583" s="317" t="str">
        <f t="shared" si="399"/>
        <v/>
      </c>
      <c r="R1583" s="317" t="str">
        <f t="shared" si="400"/>
        <v/>
      </c>
      <c r="S1583" s="317" t="str">
        <f t="shared" si="401"/>
        <v/>
      </c>
      <c r="V1583" s="314">
        <f>SUM('RES. CENTRAL PARK:RUA_FINAL'!N1583)</f>
        <v>0</v>
      </c>
      <c r="W1583" s="315">
        <f t="shared" si="402"/>
        <v>0</v>
      </c>
    </row>
    <row r="1584" spans="1:23" ht="34.5" hidden="1" thickBot="1" x14ac:dyDescent="0.25">
      <c r="A1584" s="63">
        <v>97328</v>
      </c>
      <c r="B1584" s="895">
        <v>97328</v>
      </c>
      <c r="C1584" s="896" t="s">
        <v>596</v>
      </c>
      <c r="D1584" s="906" t="s">
        <v>1509</v>
      </c>
      <c r="E1584" s="907"/>
      <c r="F1584" s="908"/>
      <c r="G1584" s="912"/>
      <c r="H1584" s="901">
        <v>53.95</v>
      </c>
      <c r="I1584" s="901">
        <f t="shared" si="395"/>
        <v>53.95</v>
      </c>
      <c r="J1584" s="902">
        <f t="shared" si="396"/>
        <v>64.78</v>
      </c>
      <c r="K1584" s="903" t="s">
        <v>62</v>
      </c>
      <c r="L1584" s="904">
        <f>ROUND(SUM('RES. CENTRAL PARK:RUA_FINAL'!L1584),2)</f>
        <v>0</v>
      </c>
      <c r="M1584" s="904">
        <f t="shared" si="397"/>
        <v>0</v>
      </c>
      <c r="N1584" s="893">
        <f t="shared" si="398"/>
        <v>0</v>
      </c>
      <c r="O1584" s="905"/>
      <c r="Q1584" s="317" t="str">
        <f t="shared" si="399"/>
        <v/>
      </c>
      <c r="R1584" s="317" t="str">
        <f t="shared" si="400"/>
        <v/>
      </c>
      <c r="S1584" s="317" t="str">
        <f t="shared" si="401"/>
        <v/>
      </c>
      <c r="V1584" s="314">
        <f>SUM('RES. CENTRAL PARK:RUA_FINAL'!N1584)</f>
        <v>0</v>
      </c>
      <c r="W1584" s="315">
        <f t="shared" si="402"/>
        <v>0</v>
      </c>
    </row>
    <row r="1585" spans="1:23" ht="34.5" hidden="1" thickBot="1" x14ac:dyDescent="0.25">
      <c r="A1585" s="63">
        <v>97329</v>
      </c>
      <c r="B1585" s="895">
        <v>97329</v>
      </c>
      <c r="C1585" s="896" t="s">
        <v>596</v>
      </c>
      <c r="D1585" s="906" t="s">
        <v>1510</v>
      </c>
      <c r="E1585" s="907"/>
      <c r="F1585" s="908"/>
      <c r="G1585" s="912"/>
      <c r="H1585" s="901">
        <v>66.78</v>
      </c>
      <c r="I1585" s="901">
        <f t="shared" si="395"/>
        <v>66.78</v>
      </c>
      <c r="J1585" s="902">
        <f t="shared" si="396"/>
        <v>80.180000000000007</v>
      </c>
      <c r="K1585" s="903" t="s">
        <v>62</v>
      </c>
      <c r="L1585" s="904">
        <f>ROUND(SUM('RES. CENTRAL PARK:RUA_FINAL'!L1585),2)</f>
        <v>0</v>
      </c>
      <c r="M1585" s="904">
        <f t="shared" si="397"/>
        <v>0</v>
      </c>
      <c r="N1585" s="893">
        <f t="shared" si="398"/>
        <v>0</v>
      </c>
      <c r="O1585" s="905"/>
      <c r="Q1585" s="317" t="str">
        <f t="shared" si="399"/>
        <v/>
      </c>
      <c r="R1585" s="317" t="str">
        <f t="shared" si="400"/>
        <v/>
      </c>
      <c r="S1585" s="317" t="str">
        <f t="shared" si="401"/>
        <v/>
      </c>
      <c r="V1585" s="314">
        <f>SUM('RES. CENTRAL PARK:RUA_FINAL'!N1585)</f>
        <v>0</v>
      </c>
      <c r="W1585" s="315">
        <f t="shared" si="402"/>
        <v>0</v>
      </c>
    </row>
    <row r="1586" spans="1:23" ht="34.5" hidden="1" thickBot="1" x14ac:dyDescent="0.25">
      <c r="A1586" s="63">
        <v>97330</v>
      </c>
      <c r="B1586" s="895">
        <v>97330</v>
      </c>
      <c r="C1586" s="896" t="s">
        <v>596</v>
      </c>
      <c r="D1586" s="906" t="s">
        <v>1511</v>
      </c>
      <c r="E1586" s="907"/>
      <c r="F1586" s="908"/>
      <c r="G1586" s="912"/>
      <c r="H1586" s="901">
        <v>81.25</v>
      </c>
      <c r="I1586" s="901">
        <f t="shared" si="395"/>
        <v>81.25</v>
      </c>
      <c r="J1586" s="902">
        <f t="shared" si="396"/>
        <v>97.56</v>
      </c>
      <c r="K1586" s="903" t="s">
        <v>62</v>
      </c>
      <c r="L1586" s="904">
        <f>ROUND(SUM('RES. CENTRAL PARK:RUA_FINAL'!L1586),2)</f>
        <v>0</v>
      </c>
      <c r="M1586" s="904">
        <f t="shared" si="397"/>
        <v>0</v>
      </c>
      <c r="N1586" s="893">
        <f t="shared" si="398"/>
        <v>0</v>
      </c>
      <c r="O1586" s="905"/>
      <c r="Q1586" s="317" t="str">
        <f t="shared" si="399"/>
        <v/>
      </c>
      <c r="R1586" s="317" t="str">
        <f t="shared" si="400"/>
        <v/>
      </c>
      <c r="S1586" s="317" t="str">
        <f t="shared" si="401"/>
        <v/>
      </c>
      <c r="V1586" s="314">
        <f>SUM('RES. CENTRAL PARK:RUA_FINAL'!N1586)</f>
        <v>0</v>
      </c>
      <c r="W1586" s="315">
        <f t="shared" si="402"/>
        <v>0</v>
      </c>
    </row>
    <row r="1587" spans="1:23" ht="34.5" hidden="1" thickBot="1" x14ac:dyDescent="0.25">
      <c r="A1587" s="63">
        <v>97331</v>
      </c>
      <c r="B1587" s="895">
        <v>97331</v>
      </c>
      <c r="C1587" s="896" t="s">
        <v>596</v>
      </c>
      <c r="D1587" s="906" t="s">
        <v>1512</v>
      </c>
      <c r="E1587" s="907"/>
      <c r="F1587" s="908"/>
      <c r="G1587" s="912"/>
      <c r="H1587" s="901">
        <v>30.98</v>
      </c>
      <c r="I1587" s="901">
        <f t="shared" si="395"/>
        <v>30.98</v>
      </c>
      <c r="J1587" s="902">
        <f t="shared" si="396"/>
        <v>37.200000000000003</v>
      </c>
      <c r="K1587" s="903" t="s">
        <v>62</v>
      </c>
      <c r="L1587" s="904">
        <f>ROUND(SUM('RES. CENTRAL PARK:RUA_FINAL'!L1587),2)</f>
        <v>0</v>
      </c>
      <c r="M1587" s="904">
        <f t="shared" si="397"/>
        <v>0</v>
      </c>
      <c r="N1587" s="893">
        <f t="shared" si="398"/>
        <v>0</v>
      </c>
      <c r="O1587" s="905"/>
      <c r="Q1587" s="317" t="str">
        <f t="shared" si="399"/>
        <v/>
      </c>
      <c r="R1587" s="317" t="str">
        <f t="shared" si="400"/>
        <v/>
      </c>
      <c r="S1587" s="317" t="str">
        <f t="shared" si="401"/>
        <v/>
      </c>
      <c r="V1587" s="314">
        <f>SUM('RES. CENTRAL PARK:RUA_FINAL'!N1587)</f>
        <v>0</v>
      </c>
      <c r="W1587" s="315">
        <f t="shared" si="402"/>
        <v>0</v>
      </c>
    </row>
    <row r="1588" spans="1:23" ht="34.5" hidden="1" thickBot="1" x14ac:dyDescent="0.25">
      <c r="A1588" s="63">
        <v>97332</v>
      </c>
      <c r="B1588" s="895">
        <v>97332</v>
      </c>
      <c r="C1588" s="896" t="s">
        <v>596</v>
      </c>
      <c r="D1588" s="906" t="s">
        <v>1513</v>
      </c>
      <c r="E1588" s="907"/>
      <c r="F1588" s="908"/>
      <c r="G1588" s="912"/>
      <c r="H1588" s="901">
        <v>54.41</v>
      </c>
      <c r="I1588" s="901">
        <f t="shared" si="395"/>
        <v>54.41</v>
      </c>
      <c r="J1588" s="902">
        <f t="shared" si="396"/>
        <v>65.33</v>
      </c>
      <c r="K1588" s="903" t="s">
        <v>62</v>
      </c>
      <c r="L1588" s="904">
        <f>ROUND(SUM('RES. CENTRAL PARK:RUA_FINAL'!L1588),2)</f>
        <v>0</v>
      </c>
      <c r="M1588" s="904">
        <f t="shared" si="397"/>
        <v>0</v>
      </c>
      <c r="N1588" s="893">
        <f t="shared" si="398"/>
        <v>0</v>
      </c>
      <c r="O1588" s="905"/>
      <c r="Q1588" s="317" t="str">
        <f t="shared" si="399"/>
        <v/>
      </c>
      <c r="R1588" s="317" t="str">
        <f t="shared" si="400"/>
        <v/>
      </c>
      <c r="S1588" s="317" t="str">
        <f t="shared" si="401"/>
        <v/>
      </c>
      <c r="V1588" s="314">
        <f>SUM('RES. CENTRAL PARK:RUA_FINAL'!N1588)</f>
        <v>0</v>
      </c>
      <c r="W1588" s="315">
        <f t="shared" si="402"/>
        <v>0</v>
      </c>
    </row>
    <row r="1589" spans="1:23" ht="34.5" hidden="1" thickBot="1" x14ac:dyDescent="0.25">
      <c r="A1589" s="63">
        <v>97333</v>
      </c>
      <c r="B1589" s="895">
        <v>97333</v>
      </c>
      <c r="C1589" s="896" t="s">
        <v>596</v>
      </c>
      <c r="D1589" s="906" t="s">
        <v>1514</v>
      </c>
      <c r="E1589" s="907"/>
      <c r="F1589" s="908"/>
      <c r="G1589" s="912"/>
      <c r="H1589" s="901">
        <v>67.36</v>
      </c>
      <c r="I1589" s="901">
        <f t="shared" si="395"/>
        <v>67.36</v>
      </c>
      <c r="J1589" s="902">
        <f t="shared" si="396"/>
        <v>80.88</v>
      </c>
      <c r="K1589" s="903" t="s">
        <v>62</v>
      </c>
      <c r="L1589" s="904">
        <f>ROUND(SUM('RES. CENTRAL PARK:RUA_FINAL'!L1589),2)</f>
        <v>0</v>
      </c>
      <c r="M1589" s="904">
        <f t="shared" si="397"/>
        <v>0</v>
      </c>
      <c r="N1589" s="893">
        <f t="shared" si="398"/>
        <v>0</v>
      </c>
      <c r="O1589" s="905"/>
      <c r="Q1589" s="317" t="str">
        <f t="shared" si="399"/>
        <v/>
      </c>
      <c r="R1589" s="317" t="str">
        <f t="shared" si="400"/>
        <v/>
      </c>
      <c r="S1589" s="317" t="str">
        <f t="shared" si="401"/>
        <v/>
      </c>
      <c r="V1589" s="314">
        <f>SUM('RES. CENTRAL PARK:RUA_FINAL'!N1589)</f>
        <v>0</v>
      </c>
      <c r="W1589" s="315">
        <f t="shared" si="402"/>
        <v>0</v>
      </c>
    </row>
    <row r="1590" spans="1:23" ht="34.5" hidden="1" thickBot="1" x14ac:dyDescent="0.25">
      <c r="A1590" s="63">
        <v>97334</v>
      </c>
      <c r="B1590" s="895">
        <v>97334</v>
      </c>
      <c r="C1590" s="896" t="s">
        <v>596</v>
      </c>
      <c r="D1590" s="906" t="s">
        <v>1515</v>
      </c>
      <c r="E1590" s="907"/>
      <c r="F1590" s="908"/>
      <c r="G1590" s="912"/>
      <c r="H1590" s="901">
        <v>81.89</v>
      </c>
      <c r="I1590" s="901">
        <f t="shared" si="395"/>
        <v>81.89</v>
      </c>
      <c r="J1590" s="902">
        <f t="shared" si="396"/>
        <v>98.33</v>
      </c>
      <c r="K1590" s="903" t="s">
        <v>62</v>
      </c>
      <c r="L1590" s="904">
        <f>ROUND(SUM('RES. CENTRAL PARK:RUA_FINAL'!L1590),2)</f>
        <v>0</v>
      </c>
      <c r="M1590" s="904">
        <f t="shared" si="397"/>
        <v>0</v>
      </c>
      <c r="N1590" s="893">
        <f t="shared" si="398"/>
        <v>0</v>
      </c>
      <c r="O1590" s="905"/>
      <c r="Q1590" s="317" t="str">
        <f t="shared" si="399"/>
        <v/>
      </c>
      <c r="R1590" s="317" t="str">
        <f t="shared" si="400"/>
        <v/>
      </c>
      <c r="S1590" s="317" t="str">
        <f t="shared" si="401"/>
        <v/>
      </c>
      <c r="V1590" s="314">
        <f>SUM('RES. CENTRAL PARK:RUA_FINAL'!N1590)</f>
        <v>0</v>
      </c>
      <c r="W1590" s="315">
        <f t="shared" si="402"/>
        <v>0</v>
      </c>
    </row>
    <row r="1591" spans="1:23" ht="15.6" hidden="1" customHeight="1" x14ac:dyDescent="0.2">
      <c r="A1591" s="63">
        <v>844000</v>
      </c>
      <c r="B1591" s="895">
        <v>844000</v>
      </c>
      <c r="C1591" s="896" t="s">
        <v>184</v>
      </c>
      <c r="D1591" s="906" t="s">
        <v>486</v>
      </c>
      <c r="E1591" s="907"/>
      <c r="F1591" s="908"/>
      <c r="G1591" s="912"/>
      <c r="H1591" s="901">
        <v>5276</v>
      </c>
      <c r="I1591" s="901">
        <f>IF(ISBLANK(H1591),"",SUM(G1591:H1591))</f>
        <v>5276</v>
      </c>
      <c r="J1591" s="902">
        <f t="shared" si="396"/>
        <v>6334.89</v>
      </c>
      <c r="K1591" s="903" t="s">
        <v>15</v>
      </c>
      <c r="L1591" s="904">
        <f>ROUND(SUM('RES. CENTRAL PARK:RUA_FINAL'!L1591),2)</f>
        <v>0</v>
      </c>
      <c r="M1591" s="904">
        <f t="shared" si="397"/>
        <v>0</v>
      </c>
      <c r="N1591" s="893">
        <f t="shared" si="398"/>
        <v>0</v>
      </c>
      <c r="O1591" s="905"/>
      <c r="Q1591" s="317" t="str">
        <f t="shared" si="399"/>
        <v/>
      </c>
      <c r="R1591" s="317" t="str">
        <f t="shared" si="400"/>
        <v/>
      </c>
      <c r="S1591" s="317" t="str">
        <f t="shared" si="401"/>
        <v/>
      </c>
      <c r="V1591" s="314">
        <f>SUM('RES. CENTRAL PARK:RUA_FINAL'!N1591)</f>
        <v>0</v>
      </c>
      <c r="W1591" s="315">
        <f t="shared" si="402"/>
        <v>0</v>
      </c>
    </row>
    <row r="1592" spans="1:23" ht="13.5" hidden="1" thickBot="1" x14ac:dyDescent="0.25">
      <c r="A1592" s="565" t="s">
        <v>165</v>
      </c>
      <c r="B1592" s="913" t="s">
        <v>165</v>
      </c>
      <c r="C1592" s="914"/>
      <c r="D1592" s="915" t="s">
        <v>475</v>
      </c>
      <c r="E1592" s="916"/>
      <c r="F1592" s="917"/>
      <c r="G1592" s="918"/>
      <c r="H1592" s="919">
        <v>0</v>
      </c>
      <c r="I1592" s="919"/>
      <c r="J1592" s="919">
        <f t="shared" si="396"/>
        <v>0</v>
      </c>
      <c r="K1592" s="920" t="s">
        <v>507</v>
      </c>
      <c r="L1592" s="921">
        <f>ROUND(SUM('RES. CENTRAL PARK:RUA_FINAL'!L1592),2)</f>
        <v>0</v>
      </c>
      <c r="M1592" s="922">
        <f t="shared" si="397"/>
        <v>0</v>
      </c>
      <c r="N1592" s="923">
        <f t="shared" si="398"/>
        <v>0</v>
      </c>
      <c r="O1592" s="905"/>
      <c r="P1592" s="58" t="str">
        <f>IF(OR(SUM(N1593:N1624)&gt;0,SUM(N1593:N1624)&gt;0),"y","")</f>
        <v/>
      </c>
      <c r="Q1592" s="317" t="str">
        <f t="shared" si="399"/>
        <v/>
      </c>
      <c r="R1592" s="317" t="str">
        <f t="shared" si="400"/>
        <v/>
      </c>
      <c r="S1592" s="317" t="str">
        <f t="shared" si="401"/>
        <v/>
      </c>
      <c r="V1592" s="314">
        <f>SUM('RES. CENTRAL PARK:RUA_FINAL'!N1592)</f>
        <v>0</v>
      </c>
      <c r="W1592" s="315">
        <f t="shared" si="402"/>
        <v>0</v>
      </c>
    </row>
    <row r="1593" spans="1:23" ht="13.5" hidden="1" thickBot="1" x14ac:dyDescent="0.25">
      <c r="A1593" s="565" t="s">
        <v>165</v>
      </c>
      <c r="B1593" s="924" t="s">
        <v>165</v>
      </c>
      <c r="C1593" s="925" t="s">
        <v>165</v>
      </c>
      <c r="D1593" s="931"/>
      <c r="E1593" s="927"/>
      <c r="F1593" s="928"/>
      <c r="G1593" s="929"/>
      <c r="H1593" s="930"/>
      <c r="I1593" s="901" t="str">
        <f t="shared" ref="I1593:I1624" si="403">IF(ISBLANK(H1593),"",SUM(G1593:H1593))</f>
        <v/>
      </c>
      <c r="J1593" s="890">
        <f t="shared" ref="J1593:J1624" si="404">IF(ISBLANK(H1593),0,ROUND(I1593*(1+$E$10),2))</f>
        <v>0</v>
      </c>
      <c r="K1593" s="928" t="s">
        <v>507</v>
      </c>
      <c r="L1593" s="910">
        <f>ROUND(SUM('RES. CENTRAL PARK:RUA_FINAL'!L1593),2)</f>
        <v>0</v>
      </c>
      <c r="M1593" s="911">
        <f t="shared" si="397"/>
        <v>0</v>
      </c>
      <c r="N1593" s="893">
        <f t="shared" si="398"/>
        <v>0</v>
      </c>
      <c r="O1593" s="905"/>
      <c r="Q1593" s="317" t="str">
        <f t="shared" si="399"/>
        <v/>
      </c>
      <c r="R1593" s="317" t="str">
        <f t="shared" si="400"/>
        <v/>
      </c>
      <c r="S1593" s="317" t="str">
        <f t="shared" si="401"/>
        <v/>
      </c>
      <c r="V1593" s="314">
        <f>SUM('RES. CENTRAL PARK:RUA_FINAL'!N1593)</f>
        <v>0</v>
      </c>
      <c r="W1593" s="315">
        <f t="shared" si="402"/>
        <v>0</v>
      </c>
    </row>
    <row r="1594" spans="1:23" ht="13.5" hidden="1" thickBot="1" x14ac:dyDescent="0.25">
      <c r="A1594" s="565" t="s">
        <v>165</v>
      </c>
      <c r="B1594" s="924" t="s">
        <v>165</v>
      </c>
      <c r="C1594" s="925" t="s">
        <v>165</v>
      </c>
      <c r="D1594" s="931"/>
      <c r="E1594" s="927"/>
      <c r="F1594" s="928"/>
      <c r="G1594" s="929"/>
      <c r="H1594" s="930"/>
      <c r="I1594" s="901" t="str">
        <f t="shared" si="403"/>
        <v/>
      </c>
      <c r="J1594" s="890">
        <f t="shared" si="404"/>
        <v>0</v>
      </c>
      <c r="K1594" s="928" t="s">
        <v>507</v>
      </c>
      <c r="L1594" s="904">
        <f>ROUND(SUM('RES. CENTRAL PARK:RUA_FINAL'!L1594),2)</f>
        <v>0</v>
      </c>
      <c r="M1594" s="904">
        <f t="shared" si="397"/>
        <v>0</v>
      </c>
      <c r="N1594" s="932">
        <f t="shared" si="398"/>
        <v>0</v>
      </c>
      <c r="O1594" s="905"/>
      <c r="Q1594" s="317" t="str">
        <f t="shared" si="399"/>
        <v/>
      </c>
      <c r="R1594" s="317" t="str">
        <f t="shared" si="400"/>
        <v/>
      </c>
      <c r="S1594" s="317" t="str">
        <f t="shared" si="401"/>
        <v/>
      </c>
      <c r="V1594" s="314">
        <f>SUM('RES. CENTRAL PARK:RUA_FINAL'!N1594)</f>
        <v>0</v>
      </c>
      <c r="W1594" s="315">
        <f t="shared" si="402"/>
        <v>0</v>
      </c>
    </row>
    <row r="1595" spans="1:23" ht="13.5" hidden="1" thickBot="1" x14ac:dyDescent="0.25">
      <c r="A1595" s="565" t="s">
        <v>165</v>
      </c>
      <c r="B1595" s="924" t="s">
        <v>165</v>
      </c>
      <c r="C1595" s="925" t="s">
        <v>165</v>
      </c>
      <c r="D1595" s="931"/>
      <c r="E1595" s="927"/>
      <c r="F1595" s="928"/>
      <c r="G1595" s="929"/>
      <c r="H1595" s="930"/>
      <c r="I1595" s="901" t="str">
        <f t="shared" si="403"/>
        <v/>
      </c>
      <c r="J1595" s="890">
        <f t="shared" si="404"/>
        <v>0</v>
      </c>
      <c r="K1595" s="928" t="s">
        <v>507</v>
      </c>
      <c r="L1595" s="904">
        <f>ROUND(SUM('RES. CENTRAL PARK:RUA_FINAL'!L1595),2)</f>
        <v>0</v>
      </c>
      <c r="M1595" s="904">
        <f t="shared" si="397"/>
        <v>0</v>
      </c>
      <c r="N1595" s="893">
        <f t="shared" si="398"/>
        <v>0</v>
      </c>
      <c r="O1595" s="905"/>
      <c r="Q1595" s="317" t="str">
        <f t="shared" si="399"/>
        <v/>
      </c>
      <c r="R1595" s="317" t="str">
        <f t="shared" si="400"/>
        <v/>
      </c>
      <c r="S1595" s="317" t="str">
        <f t="shared" si="401"/>
        <v/>
      </c>
      <c r="V1595" s="314">
        <f>SUM('RES. CENTRAL PARK:RUA_FINAL'!N1595)</f>
        <v>0</v>
      </c>
      <c r="W1595" s="315">
        <f t="shared" si="402"/>
        <v>0</v>
      </c>
    </row>
    <row r="1596" spans="1:23" ht="13.5" hidden="1" thickBot="1" x14ac:dyDescent="0.25">
      <c r="A1596" s="565" t="s">
        <v>165</v>
      </c>
      <c r="B1596" s="924" t="s">
        <v>165</v>
      </c>
      <c r="C1596" s="925" t="s">
        <v>165</v>
      </c>
      <c r="D1596" s="931"/>
      <c r="E1596" s="927"/>
      <c r="F1596" s="928"/>
      <c r="G1596" s="929"/>
      <c r="H1596" s="930"/>
      <c r="I1596" s="901" t="str">
        <f t="shared" si="403"/>
        <v/>
      </c>
      <c r="J1596" s="890">
        <f t="shared" si="404"/>
        <v>0</v>
      </c>
      <c r="K1596" s="928" t="s">
        <v>507</v>
      </c>
      <c r="L1596" s="904">
        <f>ROUND(SUM('RES. CENTRAL PARK:RUA_FINAL'!L1596),2)</f>
        <v>0</v>
      </c>
      <c r="M1596" s="904">
        <f t="shared" si="397"/>
        <v>0</v>
      </c>
      <c r="N1596" s="893">
        <f t="shared" si="398"/>
        <v>0</v>
      </c>
      <c r="O1596" s="905"/>
      <c r="Q1596" s="317" t="str">
        <f t="shared" si="399"/>
        <v/>
      </c>
      <c r="R1596" s="317" t="str">
        <f t="shared" si="400"/>
        <v/>
      </c>
      <c r="S1596" s="317" t="str">
        <f t="shared" si="401"/>
        <v/>
      </c>
      <c r="V1596" s="314">
        <f>SUM('RES. CENTRAL PARK:RUA_FINAL'!N1596)</f>
        <v>0</v>
      </c>
      <c r="W1596" s="315">
        <f t="shared" si="402"/>
        <v>0</v>
      </c>
    </row>
    <row r="1597" spans="1:23" ht="13.5" hidden="1" thickBot="1" x14ac:dyDescent="0.25">
      <c r="A1597" s="565" t="s">
        <v>165</v>
      </c>
      <c r="B1597" s="924" t="s">
        <v>165</v>
      </c>
      <c r="C1597" s="925" t="s">
        <v>165</v>
      </c>
      <c r="D1597" s="931"/>
      <c r="E1597" s="927"/>
      <c r="F1597" s="928"/>
      <c r="G1597" s="929"/>
      <c r="H1597" s="930"/>
      <c r="I1597" s="901" t="str">
        <f t="shared" si="403"/>
        <v/>
      </c>
      <c r="J1597" s="890">
        <f t="shared" si="404"/>
        <v>0</v>
      </c>
      <c r="K1597" s="928" t="s">
        <v>507</v>
      </c>
      <c r="L1597" s="904">
        <f>ROUND(SUM('RES. CENTRAL PARK:RUA_FINAL'!L1597),2)</f>
        <v>0</v>
      </c>
      <c r="M1597" s="904">
        <f t="shared" si="397"/>
        <v>0</v>
      </c>
      <c r="N1597" s="893">
        <f t="shared" si="398"/>
        <v>0</v>
      </c>
      <c r="O1597" s="905"/>
      <c r="Q1597" s="317" t="str">
        <f t="shared" si="399"/>
        <v/>
      </c>
      <c r="R1597" s="317" t="str">
        <f t="shared" si="400"/>
        <v/>
      </c>
      <c r="S1597" s="317" t="str">
        <f t="shared" si="401"/>
        <v/>
      </c>
      <c r="V1597" s="314">
        <f>SUM('RES. CENTRAL PARK:RUA_FINAL'!N1597)</f>
        <v>0</v>
      </c>
      <c r="W1597" s="315">
        <f t="shared" si="402"/>
        <v>0</v>
      </c>
    </row>
    <row r="1598" spans="1:23" ht="13.5" hidden="1" thickBot="1" x14ac:dyDescent="0.25">
      <c r="A1598" s="565" t="s">
        <v>165</v>
      </c>
      <c r="B1598" s="924" t="s">
        <v>165</v>
      </c>
      <c r="C1598" s="925" t="s">
        <v>165</v>
      </c>
      <c r="D1598" s="931"/>
      <c r="E1598" s="927"/>
      <c r="F1598" s="928"/>
      <c r="G1598" s="929"/>
      <c r="H1598" s="930"/>
      <c r="I1598" s="901" t="str">
        <f t="shared" si="403"/>
        <v/>
      </c>
      <c r="J1598" s="890">
        <f t="shared" si="404"/>
        <v>0</v>
      </c>
      <c r="K1598" s="928" t="s">
        <v>507</v>
      </c>
      <c r="L1598" s="904">
        <f>ROUND(SUM('RES. CENTRAL PARK:RUA_FINAL'!L1598),2)</f>
        <v>0</v>
      </c>
      <c r="M1598" s="904">
        <f t="shared" si="397"/>
        <v>0</v>
      </c>
      <c r="N1598" s="893">
        <f t="shared" si="398"/>
        <v>0</v>
      </c>
      <c r="O1598" s="905"/>
      <c r="Q1598" s="317" t="str">
        <f t="shared" si="399"/>
        <v/>
      </c>
      <c r="R1598" s="317" t="str">
        <f t="shared" si="400"/>
        <v/>
      </c>
      <c r="S1598" s="317" t="str">
        <f t="shared" si="401"/>
        <v/>
      </c>
      <c r="V1598" s="314">
        <f>SUM('RES. CENTRAL PARK:RUA_FINAL'!N1598)</f>
        <v>0</v>
      </c>
      <c r="W1598" s="315">
        <f t="shared" si="402"/>
        <v>0</v>
      </c>
    </row>
    <row r="1599" spans="1:23" ht="13.5" hidden="1" thickBot="1" x14ac:dyDescent="0.25">
      <c r="A1599" s="565" t="s">
        <v>165</v>
      </c>
      <c r="B1599" s="924" t="s">
        <v>165</v>
      </c>
      <c r="C1599" s="925" t="s">
        <v>165</v>
      </c>
      <c r="D1599" s="931"/>
      <c r="E1599" s="927"/>
      <c r="F1599" s="928"/>
      <c r="G1599" s="929"/>
      <c r="H1599" s="930"/>
      <c r="I1599" s="901" t="str">
        <f t="shared" si="403"/>
        <v/>
      </c>
      <c r="J1599" s="890">
        <f t="shared" si="404"/>
        <v>0</v>
      </c>
      <c r="K1599" s="928" t="s">
        <v>507</v>
      </c>
      <c r="L1599" s="904">
        <f>ROUND(SUM('RES. CENTRAL PARK:RUA_FINAL'!L1599),2)</f>
        <v>0</v>
      </c>
      <c r="M1599" s="904">
        <f t="shared" si="397"/>
        <v>0</v>
      </c>
      <c r="N1599" s="893">
        <f t="shared" si="398"/>
        <v>0</v>
      </c>
      <c r="O1599" s="905"/>
      <c r="Q1599" s="317" t="str">
        <f t="shared" si="399"/>
        <v/>
      </c>
      <c r="R1599" s="317" t="str">
        <f t="shared" si="400"/>
        <v/>
      </c>
      <c r="S1599" s="317" t="str">
        <f t="shared" si="401"/>
        <v/>
      </c>
      <c r="V1599" s="314">
        <f>SUM('RES. CENTRAL PARK:RUA_FINAL'!N1599)</f>
        <v>0</v>
      </c>
      <c r="W1599" s="315">
        <f t="shared" si="402"/>
        <v>0</v>
      </c>
    </row>
    <row r="1600" spans="1:23" ht="13.5" hidden="1" thickBot="1" x14ac:dyDescent="0.25">
      <c r="A1600" s="565" t="s">
        <v>165</v>
      </c>
      <c r="B1600" s="924" t="s">
        <v>165</v>
      </c>
      <c r="C1600" s="925" t="s">
        <v>165</v>
      </c>
      <c r="D1600" s="931"/>
      <c r="E1600" s="927"/>
      <c r="F1600" s="928"/>
      <c r="G1600" s="929"/>
      <c r="H1600" s="930"/>
      <c r="I1600" s="901" t="str">
        <f t="shared" si="403"/>
        <v/>
      </c>
      <c r="J1600" s="890">
        <f t="shared" si="404"/>
        <v>0</v>
      </c>
      <c r="K1600" s="928" t="s">
        <v>507</v>
      </c>
      <c r="L1600" s="904">
        <f>ROUND(SUM('RES. CENTRAL PARK:RUA_FINAL'!L1600),2)</f>
        <v>0</v>
      </c>
      <c r="M1600" s="904">
        <f t="shared" si="397"/>
        <v>0</v>
      </c>
      <c r="N1600" s="893">
        <f t="shared" si="398"/>
        <v>0</v>
      </c>
      <c r="O1600" s="905"/>
      <c r="Q1600" s="317" t="str">
        <f t="shared" si="399"/>
        <v/>
      </c>
      <c r="R1600" s="317" t="str">
        <f t="shared" si="400"/>
        <v/>
      </c>
      <c r="S1600" s="317" t="str">
        <f t="shared" si="401"/>
        <v/>
      </c>
      <c r="V1600" s="314">
        <f>SUM('RES. CENTRAL PARK:RUA_FINAL'!N1600)</f>
        <v>0</v>
      </c>
      <c r="W1600" s="315">
        <f t="shared" si="402"/>
        <v>0</v>
      </c>
    </row>
    <row r="1601" spans="1:23" ht="13.5" hidden="1" thickBot="1" x14ac:dyDescent="0.25">
      <c r="A1601" s="565" t="s">
        <v>165</v>
      </c>
      <c r="B1601" s="924" t="s">
        <v>165</v>
      </c>
      <c r="C1601" s="925" t="s">
        <v>165</v>
      </c>
      <c r="D1601" s="931"/>
      <c r="E1601" s="927"/>
      <c r="F1601" s="928"/>
      <c r="G1601" s="929"/>
      <c r="H1601" s="930"/>
      <c r="I1601" s="901" t="str">
        <f t="shared" si="403"/>
        <v/>
      </c>
      <c r="J1601" s="890">
        <f t="shared" si="404"/>
        <v>0</v>
      </c>
      <c r="K1601" s="928" t="s">
        <v>507</v>
      </c>
      <c r="L1601" s="904">
        <f>ROUND(SUM('RES. CENTRAL PARK:RUA_FINAL'!L1601),2)</f>
        <v>0</v>
      </c>
      <c r="M1601" s="904">
        <f t="shared" si="397"/>
        <v>0</v>
      </c>
      <c r="N1601" s="893">
        <f t="shared" si="398"/>
        <v>0</v>
      </c>
      <c r="O1601" s="905"/>
      <c r="Q1601" s="317" t="str">
        <f t="shared" si="399"/>
        <v/>
      </c>
      <c r="R1601" s="317" t="str">
        <f t="shared" si="400"/>
        <v/>
      </c>
      <c r="S1601" s="317" t="str">
        <f t="shared" si="401"/>
        <v/>
      </c>
      <c r="V1601" s="314">
        <f>SUM('RES. CENTRAL PARK:RUA_FINAL'!N1601)</f>
        <v>0</v>
      </c>
      <c r="W1601" s="315">
        <f t="shared" si="402"/>
        <v>0</v>
      </c>
    </row>
    <row r="1602" spans="1:23" ht="13.5" hidden="1" thickBot="1" x14ac:dyDescent="0.25">
      <c r="A1602" s="565" t="s">
        <v>165</v>
      </c>
      <c r="B1602" s="924" t="s">
        <v>165</v>
      </c>
      <c r="C1602" s="925" t="s">
        <v>165</v>
      </c>
      <c r="D1602" s="931"/>
      <c r="E1602" s="927"/>
      <c r="F1602" s="928"/>
      <c r="G1602" s="929"/>
      <c r="H1602" s="930"/>
      <c r="I1602" s="901" t="str">
        <f t="shared" si="403"/>
        <v/>
      </c>
      <c r="J1602" s="890">
        <f t="shared" si="404"/>
        <v>0</v>
      </c>
      <c r="K1602" s="928" t="s">
        <v>507</v>
      </c>
      <c r="L1602" s="904">
        <f>ROUND(SUM('RES. CENTRAL PARK:RUA_FINAL'!L1602),2)</f>
        <v>0</v>
      </c>
      <c r="M1602" s="904">
        <f t="shared" si="397"/>
        <v>0</v>
      </c>
      <c r="N1602" s="893">
        <f t="shared" si="398"/>
        <v>0</v>
      </c>
      <c r="O1602" s="905"/>
      <c r="Q1602" s="317" t="str">
        <f t="shared" si="399"/>
        <v/>
      </c>
      <c r="R1602" s="317" t="str">
        <f t="shared" si="400"/>
        <v/>
      </c>
      <c r="S1602" s="317" t="str">
        <f t="shared" si="401"/>
        <v/>
      </c>
      <c r="V1602" s="314">
        <f>SUM('RES. CENTRAL PARK:RUA_FINAL'!N1602)</f>
        <v>0</v>
      </c>
      <c r="W1602" s="315">
        <f t="shared" si="402"/>
        <v>0</v>
      </c>
    </row>
    <row r="1603" spans="1:23" ht="13.5" hidden="1" thickBot="1" x14ac:dyDescent="0.25">
      <c r="A1603" s="565" t="s">
        <v>165</v>
      </c>
      <c r="B1603" s="924" t="s">
        <v>165</v>
      </c>
      <c r="C1603" s="925" t="s">
        <v>165</v>
      </c>
      <c r="D1603" s="931"/>
      <c r="E1603" s="927"/>
      <c r="F1603" s="928"/>
      <c r="G1603" s="929"/>
      <c r="H1603" s="930"/>
      <c r="I1603" s="901" t="str">
        <f t="shared" si="403"/>
        <v/>
      </c>
      <c r="J1603" s="890">
        <f t="shared" si="404"/>
        <v>0</v>
      </c>
      <c r="K1603" s="928" t="s">
        <v>507</v>
      </c>
      <c r="L1603" s="904">
        <f>ROUND(SUM('RES. CENTRAL PARK:RUA_FINAL'!L1603),2)</f>
        <v>0</v>
      </c>
      <c r="M1603" s="904">
        <f t="shared" si="397"/>
        <v>0</v>
      </c>
      <c r="N1603" s="893">
        <f t="shared" si="398"/>
        <v>0</v>
      </c>
      <c r="O1603" s="905"/>
      <c r="Q1603" s="317" t="str">
        <f t="shared" si="399"/>
        <v/>
      </c>
      <c r="R1603" s="317" t="str">
        <f t="shared" si="400"/>
        <v/>
      </c>
      <c r="S1603" s="317" t="str">
        <f t="shared" si="401"/>
        <v/>
      </c>
      <c r="V1603" s="314">
        <f>SUM('RES. CENTRAL PARK:RUA_FINAL'!N1603)</f>
        <v>0</v>
      </c>
      <c r="W1603" s="315">
        <f t="shared" si="402"/>
        <v>0</v>
      </c>
    </row>
    <row r="1604" spans="1:23" ht="13.5" hidden="1" thickBot="1" x14ac:dyDescent="0.25">
      <c r="A1604" s="565" t="s">
        <v>165</v>
      </c>
      <c r="B1604" s="924" t="s">
        <v>165</v>
      </c>
      <c r="C1604" s="925" t="s">
        <v>165</v>
      </c>
      <c r="D1604" s="931"/>
      <c r="E1604" s="927"/>
      <c r="F1604" s="928"/>
      <c r="G1604" s="929"/>
      <c r="H1604" s="930"/>
      <c r="I1604" s="901" t="str">
        <f t="shared" si="403"/>
        <v/>
      </c>
      <c r="J1604" s="890">
        <f t="shared" si="404"/>
        <v>0</v>
      </c>
      <c r="K1604" s="928" t="s">
        <v>507</v>
      </c>
      <c r="L1604" s="904">
        <f>ROUND(SUM('RES. CENTRAL PARK:RUA_FINAL'!L1604),2)</f>
        <v>0</v>
      </c>
      <c r="M1604" s="904">
        <f t="shared" si="397"/>
        <v>0</v>
      </c>
      <c r="N1604" s="893">
        <f t="shared" si="398"/>
        <v>0</v>
      </c>
      <c r="O1604" s="905"/>
      <c r="Q1604" s="317" t="str">
        <f t="shared" si="399"/>
        <v/>
      </c>
      <c r="R1604" s="317" t="str">
        <f t="shared" si="400"/>
        <v/>
      </c>
      <c r="S1604" s="317" t="str">
        <f t="shared" si="401"/>
        <v/>
      </c>
      <c r="V1604" s="314">
        <f>SUM('RES. CENTRAL PARK:RUA_FINAL'!N1604)</f>
        <v>0</v>
      </c>
      <c r="W1604" s="315">
        <f t="shared" si="402"/>
        <v>0</v>
      </c>
    </row>
    <row r="1605" spans="1:23" ht="13.5" hidden="1" thickBot="1" x14ac:dyDescent="0.25">
      <c r="A1605" s="565" t="s">
        <v>165</v>
      </c>
      <c r="B1605" s="924" t="s">
        <v>165</v>
      </c>
      <c r="C1605" s="925" t="s">
        <v>165</v>
      </c>
      <c r="D1605" s="931"/>
      <c r="E1605" s="927"/>
      <c r="F1605" s="928"/>
      <c r="G1605" s="929"/>
      <c r="H1605" s="930"/>
      <c r="I1605" s="901" t="str">
        <f t="shared" si="403"/>
        <v/>
      </c>
      <c r="J1605" s="890">
        <f t="shared" si="404"/>
        <v>0</v>
      </c>
      <c r="K1605" s="928" t="s">
        <v>507</v>
      </c>
      <c r="L1605" s="904">
        <f>ROUND(SUM('RES. CENTRAL PARK:RUA_FINAL'!L1605),2)</f>
        <v>0</v>
      </c>
      <c r="M1605" s="904">
        <f t="shared" si="397"/>
        <v>0</v>
      </c>
      <c r="N1605" s="893">
        <f t="shared" si="398"/>
        <v>0</v>
      </c>
      <c r="O1605" s="905"/>
      <c r="Q1605" s="317" t="str">
        <f t="shared" si="399"/>
        <v/>
      </c>
      <c r="R1605" s="317" t="str">
        <f t="shared" si="400"/>
        <v/>
      </c>
      <c r="S1605" s="317" t="str">
        <f t="shared" si="401"/>
        <v/>
      </c>
      <c r="V1605" s="314">
        <f>SUM('RES. CENTRAL PARK:RUA_FINAL'!N1605)</f>
        <v>0</v>
      </c>
      <c r="W1605" s="315">
        <f t="shared" si="402"/>
        <v>0</v>
      </c>
    </row>
    <row r="1606" spans="1:23" ht="13.5" hidden="1" thickBot="1" x14ac:dyDescent="0.25">
      <c r="A1606" s="565" t="s">
        <v>165</v>
      </c>
      <c r="B1606" s="924" t="s">
        <v>165</v>
      </c>
      <c r="C1606" s="925" t="s">
        <v>165</v>
      </c>
      <c r="D1606" s="931"/>
      <c r="E1606" s="927"/>
      <c r="F1606" s="928"/>
      <c r="G1606" s="929"/>
      <c r="H1606" s="930"/>
      <c r="I1606" s="901" t="str">
        <f t="shared" si="403"/>
        <v/>
      </c>
      <c r="J1606" s="890">
        <f t="shared" si="404"/>
        <v>0</v>
      </c>
      <c r="K1606" s="928" t="s">
        <v>507</v>
      </c>
      <c r="L1606" s="904">
        <f>ROUND(SUM('RES. CENTRAL PARK:RUA_FINAL'!L1606),2)</f>
        <v>0</v>
      </c>
      <c r="M1606" s="904">
        <f t="shared" si="397"/>
        <v>0</v>
      </c>
      <c r="N1606" s="893">
        <f t="shared" si="398"/>
        <v>0</v>
      </c>
      <c r="O1606" s="905"/>
      <c r="Q1606" s="317" t="str">
        <f t="shared" si="399"/>
        <v/>
      </c>
      <c r="R1606" s="317" t="str">
        <f t="shared" si="400"/>
        <v/>
      </c>
      <c r="S1606" s="317" t="str">
        <f t="shared" si="401"/>
        <v/>
      </c>
      <c r="V1606" s="314">
        <f>SUM('RES. CENTRAL PARK:RUA_FINAL'!N1606)</f>
        <v>0</v>
      </c>
      <c r="W1606" s="315">
        <f t="shared" si="402"/>
        <v>0</v>
      </c>
    </row>
    <row r="1607" spans="1:23" ht="13.5" hidden="1" thickBot="1" x14ac:dyDescent="0.25">
      <c r="A1607" s="565" t="s">
        <v>165</v>
      </c>
      <c r="B1607" s="924" t="s">
        <v>165</v>
      </c>
      <c r="C1607" s="925" t="s">
        <v>165</v>
      </c>
      <c r="D1607" s="931"/>
      <c r="E1607" s="927"/>
      <c r="F1607" s="928"/>
      <c r="G1607" s="929"/>
      <c r="H1607" s="930"/>
      <c r="I1607" s="901" t="str">
        <f t="shared" si="403"/>
        <v/>
      </c>
      <c r="J1607" s="890">
        <f t="shared" si="404"/>
        <v>0</v>
      </c>
      <c r="K1607" s="928" t="s">
        <v>507</v>
      </c>
      <c r="L1607" s="904">
        <f>ROUND(SUM('RES. CENTRAL PARK:RUA_FINAL'!L1607),2)</f>
        <v>0</v>
      </c>
      <c r="M1607" s="904">
        <f t="shared" si="397"/>
        <v>0</v>
      </c>
      <c r="N1607" s="893">
        <f t="shared" si="398"/>
        <v>0</v>
      </c>
      <c r="O1607" s="905"/>
      <c r="Q1607" s="317" t="str">
        <f t="shared" si="399"/>
        <v/>
      </c>
      <c r="R1607" s="317" t="str">
        <f t="shared" si="400"/>
        <v/>
      </c>
      <c r="S1607" s="317" t="str">
        <f t="shared" si="401"/>
        <v/>
      </c>
      <c r="V1607" s="314">
        <f>SUM('RES. CENTRAL PARK:RUA_FINAL'!N1607)</f>
        <v>0</v>
      </c>
      <c r="W1607" s="315">
        <f t="shared" si="402"/>
        <v>0</v>
      </c>
    </row>
    <row r="1608" spans="1:23" ht="13.5" hidden="1" thickBot="1" x14ac:dyDescent="0.25">
      <c r="A1608" s="565" t="s">
        <v>165</v>
      </c>
      <c r="B1608" s="924" t="s">
        <v>165</v>
      </c>
      <c r="C1608" s="925" t="s">
        <v>165</v>
      </c>
      <c r="D1608" s="931"/>
      <c r="E1608" s="927"/>
      <c r="F1608" s="928"/>
      <c r="G1608" s="929"/>
      <c r="H1608" s="930"/>
      <c r="I1608" s="901" t="str">
        <f t="shared" si="403"/>
        <v/>
      </c>
      <c r="J1608" s="890">
        <f t="shared" si="404"/>
        <v>0</v>
      </c>
      <c r="K1608" s="928" t="s">
        <v>507</v>
      </c>
      <c r="L1608" s="904">
        <f>ROUND(SUM('RES. CENTRAL PARK:RUA_FINAL'!L1608),2)</f>
        <v>0</v>
      </c>
      <c r="M1608" s="904">
        <f t="shared" si="397"/>
        <v>0</v>
      </c>
      <c r="N1608" s="893">
        <f t="shared" si="398"/>
        <v>0</v>
      </c>
      <c r="O1608" s="905"/>
      <c r="Q1608" s="317" t="str">
        <f t="shared" si="399"/>
        <v/>
      </c>
      <c r="R1608" s="317" t="str">
        <f t="shared" si="400"/>
        <v/>
      </c>
      <c r="S1608" s="317" t="str">
        <f t="shared" si="401"/>
        <v/>
      </c>
      <c r="V1608" s="314">
        <f>SUM('RES. CENTRAL PARK:RUA_FINAL'!N1608)</f>
        <v>0</v>
      </c>
      <c r="W1608" s="315">
        <f t="shared" si="402"/>
        <v>0</v>
      </c>
    </row>
    <row r="1609" spans="1:23" ht="13.5" hidden="1" thickBot="1" x14ac:dyDescent="0.25">
      <c r="A1609" s="565" t="s">
        <v>165</v>
      </c>
      <c r="B1609" s="924" t="s">
        <v>165</v>
      </c>
      <c r="C1609" s="925" t="s">
        <v>165</v>
      </c>
      <c r="D1609" s="931"/>
      <c r="E1609" s="927"/>
      <c r="F1609" s="928"/>
      <c r="G1609" s="929"/>
      <c r="H1609" s="930"/>
      <c r="I1609" s="901" t="str">
        <f t="shared" si="403"/>
        <v/>
      </c>
      <c r="J1609" s="890">
        <f t="shared" si="404"/>
        <v>0</v>
      </c>
      <c r="K1609" s="928" t="s">
        <v>507</v>
      </c>
      <c r="L1609" s="904">
        <f>ROUND(SUM('RES. CENTRAL PARK:RUA_FINAL'!L1609),2)</f>
        <v>0</v>
      </c>
      <c r="M1609" s="904">
        <f t="shared" si="397"/>
        <v>0</v>
      </c>
      <c r="N1609" s="893">
        <f t="shared" si="398"/>
        <v>0</v>
      </c>
      <c r="O1609" s="905"/>
      <c r="Q1609" s="317" t="str">
        <f t="shared" si="399"/>
        <v/>
      </c>
      <c r="R1609" s="317" t="str">
        <f t="shared" si="400"/>
        <v/>
      </c>
      <c r="S1609" s="317" t="str">
        <f t="shared" si="401"/>
        <v/>
      </c>
      <c r="V1609" s="314">
        <f>SUM('RES. CENTRAL PARK:RUA_FINAL'!N1609)</f>
        <v>0</v>
      </c>
      <c r="W1609" s="315">
        <f t="shared" si="402"/>
        <v>0</v>
      </c>
    </row>
    <row r="1610" spans="1:23" ht="13.5" hidden="1" thickBot="1" x14ac:dyDescent="0.25">
      <c r="A1610" s="565" t="s">
        <v>165</v>
      </c>
      <c r="B1610" s="924" t="s">
        <v>165</v>
      </c>
      <c r="C1610" s="925" t="s">
        <v>165</v>
      </c>
      <c r="D1610" s="931"/>
      <c r="E1610" s="927"/>
      <c r="F1610" s="928"/>
      <c r="G1610" s="929"/>
      <c r="H1610" s="930"/>
      <c r="I1610" s="901" t="str">
        <f t="shared" si="403"/>
        <v/>
      </c>
      <c r="J1610" s="890">
        <f t="shared" si="404"/>
        <v>0</v>
      </c>
      <c r="K1610" s="928" t="s">
        <v>507</v>
      </c>
      <c r="L1610" s="904">
        <f>ROUND(SUM('RES. CENTRAL PARK:RUA_FINAL'!L1610),2)</f>
        <v>0</v>
      </c>
      <c r="M1610" s="904">
        <f t="shared" si="397"/>
        <v>0</v>
      </c>
      <c r="N1610" s="893">
        <f t="shared" si="398"/>
        <v>0</v>
      </c>
      <c r="O1610" s="905"/>
      <c r="Q1610" s="317" t="str">
        <f t="shared" si="399"/>
        <v/>
      </c>
      <c r="R1610" s="317" t="str">
        <f t="shared" si="400"/>
        <v/>
      </c>
      <c r="S1610" s="317" t="str">
        <f t="shared" si="401"/>
        <v/>
      </c>
      <c r="V1610" s="314">
        <f>SUM('RES. CENTRAL PARK:RUA_FINAL'!N1610)</f>
        <v>0</v>
      </c>
      <c r="W1610" s="315">
        <f t="shared" si="402"/>
        <v>0</v>
      </c>
    </row>
    <row r="1611" spans="1:23" ht="13.5" hidden="1" thickBot="1" x14ac:dyDescent="0.25">
      <c r="A1611" s="565" t="s">
        <v>165</v>
      </c>
      <c r="B1611" s="924" t="s">
        <v>165</v>
      </c>
      <c r="C1611" s="925" t="s">
        <v>165</v>
      </c>
      <c r="D1611" s="931"/>
      <c r="E1611" s="927"/>
      <c r="F1611" s="928"/>
      <c r="G1611" s="929"/>
      <c r="H1611" s="930"/>
      <c r="I1611" s="901" t="str">
        <f t="shared" si="403"/>
        <v/>
      </c>
      <c r="J1611" s="890">
        <f t="shared" si="404"/>
        <v>0</v>
      </c>
      <c r="K1611" s="928" t="s">
        <v>507</v>
      </c>
      <c r="L1611" s="904">
        <f>ROUND(SUM('RES. CENTRAL PARK:RUA_FINAL'!L1611),2)</f>
        <v>0</v>
      </c>
      <c r="M1611" s="904">
        <f t="shared" si="397"/>
        <v>0</v>
      </c>
      <c r="N1611" s="893">
        <f t="shared" si="398"/>
        <v>0</v>
      </c>
      <c r="O1611" s="905"/>
      <c r="Q1611" s="317" t="str">
        <f t="shared" si="399"/>
        <v/>
      </c>
      <c r="R1611" s="317" t="str">
        <f t="shared" si="400"/>
        <v/>
      </c>
      <c r="S1611" s="317" t="str">
        <f t="shared" si="401"/>
        <v/>
      </c>
      <c r="V1611" s="314">
        <f>SUM('RES. CENTRAL PARK:RUA_FINAL'!N1611)</f>
        <v>0</v>
      </c>
      <c r="W1611" s="315">
        <f t="shared" si="402"/>
        <v>0</v>
      </c>
    </row>
    <row r="1612" spans="1:23" ht="13.5" hidden="1" thickBot="1" x14ac:dyDescent="0.25">
      <c r="A1612" s="565" t="s">
        <v>165</v>
      </c>
      <c r="B1612" s="924" t="s">
        <v>165</v>
      </c>
      <c r="C1612" s="925" t="s">
        <v>165</v>
      </c>
      <c r="D1612" s="931"/>
      <c r="E1612" s="927"/>
      <c r="F1612" s="928"/>
      <c r="G1612" s="929"/>
      <c r="H1612" s="930"/>
      <c r="I1612" s="901" t="str">
        <f t="shared" si="403"/>
        <v/>
      </c>
      <c r="J1612" s="890">
        <f t="shared" si="404"/>
        <v>0</v>
      </c>
      <c r="K1612" s="928" t="s">
        <v>507</v>
      </c>
      <c r="L1612" s="904">
        <f>ROUND(SUM('RES. CENTRAL PARK:RUA_FINAL'!L1612),2)</f>
        <v>0</v>
      </c>
      <c r="M1612" s="904">
        <f t="shared" si="397"/>
        <v>0</v>
      </c>
      <c r="N1612" s="893">
        <f t="shared" si="398"/>
        <v>0</v>
      </c>
      <c r="O1612" s="905"/>
      <c r="Q1612" s="317" t="str">
        <f t="shared" si="399"/>
        <v/>
      </c>
      <c r="R1612" s="317" t="str">
        <f t="shared" si="400"/>
        <v/>
      </c>
      <c r="S1612" s="317" t="str">
        <f t="shared" si="401"/>
        <v/>
      </c>
      <c r="V1612" s="314">
        <f>SUM('RES. CENTRAL PARK:RUA_FINAL'!N1612)</f>
        <v>0</v>
      </c>
      <c r="W1612" s="315">
        <f t="shared" si="402"/>
        <v>0</v>
      </c>
    </row>
    <row r="1613" spans="1:23" ht="13.5" hidden="1" thickBot="1" x14ac:dyDescent="0.25">
      <c r="A1613" s="565" t="s">
        <v>165</v>
      </c>
      <c r="B1613" s="924" t="s">
        <v>165</v>
      </c>
      <c r="C1613" s="925" t="s">
        <v>165</v>
      </c>
      <c r="D1613" s="931"/>
      <c r="E1613" s="927"/>
      <c r="F1613" s="928"/>
      <c r="G1613" s="929"/>
      <c r="H1613" s="930"/>
      <c r="I1613" s="901" t="str">
        <f t="shared" si="403"/>
        <v/>
      </c>
      <c r="J1613" s="890">
        <f t="shared" si="404"/>
        <v>0</v>
      </c>
      <c r="K1613" s="928" t="s">
        <v>507</v>
      </c>
      <c r="L1613" s="904">
        <f>ROUND(SUM('RES. CENTRAL PARK:RUA_FINAL'!L1613),2)</f>
        <v>0</v>
      </c>
      <c r="M1613" s="904">
        <f t="shared" si="397"/>
        <v>0</v>
      </c>
      <c r="N1613" s="893">
        <f t="shared" si="398"/>
        <v>0</v>
      </c>
      <c r="O1613" s="905"/>
      <c r="Q1613" s="317" t="str">
        <f t="shared" si="399"/>
        <v/>
      </c>
      <c r="R1613" s="317" t="str">
        <f t="shared" si="400"/>
        <v/>
      </c>
      <c r="S1613" s="317" t="str">
        <f t="shared" si="401"/>
        <v/>
      </c>
      <c r="V1613" s="314">
        <f>SUM('RES. CENTRAL PARK:RUA_FINAL'!N1613)</f>
        <v>0</v>
      </c>
      <c r="W1613" s="315">
        <f t="shared" si="402"/>
        <v>0</v>
      </c>
    </row>
    <row r="1614" spans="1:23" ht="13.5" hidden="1" thickBot="1" x14ac:dyDescent="0.25">
      <c r="A1614" s="565" t="s">
        <v>165</v>
      </c>
      <c r="B1614" s="924" t="s">
        <v>165</v>
      </c>
      <c r="C1614" s="925" t="s">
        <v>165</v>
      </c>
      <c r="D1614" s="931"/>
      <c r="E1614" s="927"/>
      <c r="F1614" s="928"/>
      <c r="G1614" s="929"/>
      <c r="H1614" s="930"/>
      <c r="I1614" s="901" t="str">
        <f t="shared" si="403"/>
        <v/>
      </c>
      <c r="J1614" s="890">
        <f t="shared" si="404"/>
        <v>0</v>
      </c>
      <c r="K1614" s="928" t="s">
        <v>507</v>
      </c>
      <c r="L1614" s="904">
        <f>ROUND(SUM('RES. CENTRAL PARK:RUA_FINAL'!L1614),2)</f>
        <v>0</v>
      </c>
      <c r="M1614" s="904">
        <f t="shared" si="397"/>
        <v>0</v>
      </c>
      <c r="N1614" s="893">
        <f t="shared" si="398"/>
        <v>0</v>
      </c>
      <c r="O1614" s="905"/>
      <c r="Q1614" s="317" t="str">
        <f t="shared" si="399"/>
        <v/>
      </c>
      <c r="R1614" s="317" t="str">
        <f t="shared" si="400"/>
        <v/>
      </c>
      <c r="S1614" s="317" t="str">
        <f t="shared" si="401"/>
        <v/>
      </c>
      <c r="V1614" s="314">
        <f>SUM('RES. CENTRAL PARK:RUA_FINAL'!N1614)</f>
        <v>0</v>
      </c>
      <c r="W1614" s="315">
        <f t="shared" si="402"/>
        <v>0</v>
      </c>
    </row>
    <row r="1615" spans="1:23" ht="13.5" hidden="1" thickBot="1" x14ac:dyDescent="0.25">
      <c r="A1615" s="565" t="s">
        <v>165</v>
      </c>
      <c r="B1615" s="924" t="s">
        <v>165</v>
      </c>
      <c r="C1615" s="925" t="s">
        <v>165</v>
      </c>
      <c r="D1615" s="931"/>
      <c r="E1615" s="927"/>
      <c r="F1615" s="928"/>
      <c r="G1615" s="929"/>
      <c r="H1615" s="930"/>
      <c r="I1615" s="901" t="str">
        <f t="shared" si="403"/>
        <v/>
      </c>
      <c r="J1615" s="890">
        <f t="shared" si="404"/>
        <v>0</v>
      </c>
      <c r="K1615" s="928" t="s">
        <v>507</v>
      </c>
      <c r="L1615" s="904">
        <f>ROUND(SUM('RES. CENTRAL PARK:RUA_FINAL'!L1615),2)</f>
        <v>0</v>
      </c>
      <c r="M1615" s="904">
        <f t="shared" si="397"/>
        <v>0</v>
      </c>
      <c r="N1615" s="893">
        <f t="shared" si="398"/>
        <v>0</v>
      </c>
      <c r="O1615" s="905"/>
      <c r="Q1615" s="317" t="str">
        <f t="shared" si="399"/>
        <v/>
      </c>
      <c r="R1615" s="317" t="str">
        <f t="shared" si="400"/>
        <v/>
      </c>
      <c r="S1615" s="317" t="str">
        <f t="shared" si="401"/>
        <v/>
      </c>
      <c r="V1615" s="314">
        <f>SUM('RES. CENTRAL PARK:RUA_FINAL'!N1615)</f>
        <v>0</v>
      </c>
      <c r="W1615" s="315">
        <f t="shared" si="402"/>
        <v>0</v>
      </c>
    </row>
    <row r="1616" spans="1:23" ht="13.5" hidden="1" thickBot="1" x14ac:dyDescent="0.25">
      <c r="A1616" s="565" t="s">
        <v>165</v>
      </c>
      <c r="B1616" s="924" t="s">
        <v>165</v>
      </c>
      <c r="C1616" s="925" t="s">
        <v>165</v>
      </c>
      <c r="D1616" s="931"/>
      <c r="E1616" s="927"/>
      <c r="F1616" s="928"/>
      <c r="G1616" s="929"/>
      <c r="H1616" s="930"/>
      <c r="I1616" s="901" t="str">
        <f t="shared" si="403"/>
        <v/>
      </c>
      <c r="J1616" s="890">
        <f t="shared" si="404"/>
        <v>0</v>
      </c>
      <c r="K1616" s="928" t="s">
        <v>507</v>
      </c>
      <c r="L1616" s="904">
        <f>ROUND(SUM('RES. CENTRAL PARK:RUA_FINAL'!L1616),2)</f>
        <v>0</v>
      </c>
      <c r="M1616" s="904">
        <f t="shared" si="397"/>
        <v>0</v>
      </c>
      <c r="N1616" s="893">
        <f t="shared" si="398"/>
        <v>0</v>
      </c>
      <c r="O1616" s="905"/>
      <c r="Q1616" s="317" t="str">
        <f t="shared" si="399"/>
        <v/>
      </c>
      <c r="R1616" s="317" t="str">
        <f t="shared" si="400"/>
        <v/>
      </c>
      <c r="S1616" s="317" t="str">
        <f t="shared" si="401"/>
        <v/>
      </c>
      <c r="V1616" s="314">
        <f>SUM('RES. CENTRAL PARK:RUA_FINAL'!N1616)</f>
        <v>0</v>
      </c>
      <c r="W1616" s="315">
        <f t="shared" si="402"/>
        <v>0</v>
      </c>
    </row>
    <row r="1617" spans="1:23" ht="13.5" hidden="1" thickBot="1" x14ac:dyDescent="0.25">
      <c r="A1617" s="565" t="s">
        <v>165</v>
      </c>
      <c r="B1617" s="924" t="s">
        <v>165</v>
      </c>
      <c r="C1617" s="925" t="s">
        <v>165</v>
      </c>
      <c r="D1617" s="931"/>
      <c r="E1617" s="927"/>
      <c r="F1617" s="928"/>
      <c r="G1617" s="929"/>
      <c r="H1617" s="930"/>
      <c r="I1617" s="901" t="str">
        <f t="shared" si="403"/>
        <v/>
      </c>
      <c r="J1617" s="890">
        <f t="shared" si="404"/>
        <v>0</v>
      </c>
      <c r="K1617" s="928" t="s">
        <v>507</v>
      </c>
      <c r="L1617" s="904">
        <f>ROUND(SUM('RES. CENTRAL PARK:RUA_FINAL'!L1617),2)</f>
        <v>0</v>
      </c>
      <c r="M1617" s="904">
        <f t="shared" si="397"/>
        <v>0</v>
      </c>
      <c r="N1617" s="893">
        <f t="shared" si="398"/>
        <v>0</v>
      </c>
      <c r="O1617" s="905"/>
      <c r="Q1617" s="317" t="str">
        <f t="shared" si="399"/>
        <v/>
      </c>
      <c r="R1617" s="317" t="str">
        <f t="shared" si="400"/>
        <v/>
      </c>
      <c r="S1617" s="317" t="str">
        <f t="shared" si="401"/>
        <v/>
      </c>
      <c r="V1617" s="314">
        <f>SUM('RES. CENTRAL PARK:RUA_FINAL'!N1617)</f>
        <v>0</v>
      </c>
      <c r="W1617" s="315">
        <f t="shared" si="402"/>
        <v>0</v>
      </c>
    </row>
    <row r="1618" spans="1:23" ht="13.5" hidden="1" thickBot="1" x14ac:dyDescent="0.25">
      <c r="A1618" s="565" t="s">
        <v>165</v>
      </c>
      <c r="B1618" s="924" t="s">
        <v>165</v>
      </c>
      <c r="C1618" s="925" t="s">
        <v>165</v>
      </c>
      <c r="D1618" s="931"/>
      <c r="E1618" s="927"/>
      <c r="F1618" s="928"/>
      <c r="G1618" s="929"/>
      <c r="H1618" s="930"/>
      <c r="I1618" s="901" t="str">
        <f t="shared" si="403"/>
        <v/>
      </c>
      <c r="J1618" s="890">
        <f t="shared" si="404"/>
        <v>0</v>
      </c>
      <c r="K1618" s="928" t="s">
        <v>507</v>
      </c>
      <c r="L1618" s="904">
        <f>ROUND(SUM('RES. CENTRAL PARK:RUA_FINAL'!L1618),2)</f>
        <v>0</v>
      </c>
      <c r="M1618" s="904">
        <f t="shared" ref="M1618:M1681" si="405">IF(L1618=0,0,ROUND(J1618,2))</f>
        <v>0</v>
      </c>
      <c r="N1618" s="893">
        <f t="shared" ref="N1618:N1681" si="406">IF(ISBLANK(L1618),0,ROUND(L1618*M1618,2))</f>
        <v>0</v>
      </c>
      <c r="O1618" s="905"/>
      <c r="Q1618" s="317" t="str">
        <f t="shared" ref="Q1618:Q1681" si="407">IF(P1618="X","x",IF(P1618="xx","x",IF(P1618="xy","x",IF(P1618="y","x",IF(OR(N1618&gt;0,N1618&gt;0),"x","")))))</f>
        <v/>
      </c>
      <c r="R1618" s="317" t="str">
        <f t="shared" ref="R1618:R1681" si="408">IF(P1618="X","x",IF(P1618="y","x",IF(P1618="xx","x",IF(N1618&gt;0,"x",""))))</f>
        <v/>
      </c>
      <c r="S1618" s="317" t="str">
        <f t="shared" ref="S1618:S1681" si="409">IF(P1618="X","x",IF(N1618&gt;0,"x",""))</f>
        <v/>
      </c>
      <c r="V1618" s="314">
        <f>SUM('RES. CENTRAL PARK:RUA_FINAL'!N1618)</f>
        <v>0</v>
      </c>
      <c r="W1618" s="315">
        <f t="shared" si="402"/>
        <v>0</v>
      </c>
    </row>
    <row r="1619" spans="1:23" ht="13.5" hidden="1" thickBot="1" x14ac:dyDescent="0.25">
      <c r="A1619" s="565" t="s">
        <v>165</v>
      </c>
      <c r="B1619" s="924" t="s">
        <v>165</v>
      </c>
      <c r="C1619" s="925" t="s">
        <v>165</v>
      </c>
      <c r="D1619" s="931"/>
      <c r="E1619" s="927"/>
      <c r="F1619" s="928"/>
      <c r="G1619" s="929"/>
      <c r="H1619" s="930"/>
      <c r="I1619" s="901" t="str">
        <f t="shared" si="403"/>
        <v/>
      </c>
      <c r="J1619" s="890">
        <f t="shared" si="404"/>
        <v>0</v>
      </c>
      <c r="K1619" s="928" t="s">
        <v>507</v>
      </c>
      <c r="L1619" s="904">
        <f>ROUND(SUM('RES. CENTRAL PARK:RUA_FINAL'!L1619),2)</f>
        <v>0</v>
      </c>
      <c r="M1619" s="904">
        <f t="shared" si="405"/>
        <v>0</v>
      </c>
      <c r="N1619" s="893">
        <f t="shared" si="406"/>
        <v>0</v>
      </c>
      <c r="O1619" s="905"/>
      <c r="Q1619" s="317" t="str">
        <f t="shared" si="407"/>
        <v/>
      </c>
      <c r="R1619" s="317" t="str">
        <f t="shared" si="408"/>
        <v/>
      </c>
      <c r="S1619" s="317" t="str">
        <f t="shared" si="409"/>
        <v/>
      </c>
      <c r="V1619" s="314">
        <f>SUM('RES. CENTRAL PARK:RUA_FINAL'!N1619)</f>
        <v>0</v>
      </c>
      <c r="W1619" s="315">
        <f t="shared" si="402"/>
        <v>0</v>
      </c>
    </row>
    <row r="1620" spans="1:23" ht="13.5" hidden="1" thickBot="1" x14ac:dyDescent="0.25">
      <c r="A1620" s="565" t="s">
        <v>165</v>
      </c>
      <c r="B1620" s="924" t="s">
        <v>165</v>
      </c>
      <c r="C1620" s="925" t="s">
        <v>165</v>
      </c>
      <c r="D1620" s="931"/>
      <c r="E1620" s="927"/>
      <c r="F1620" s="928"/>
      <c r="G1620" s="929"/>
      <c r="H1620" s="930"/>
      <c r="I1620" s="901" t="str">
        <f t="shared" si="403"/>
        <v/>
      </c>
      <c r="J1620" s="890">
        <f t="shared" si="404"/>
        <v>0</v>
      </c>
      <c r="K1620" s="928" t="s">
        <v>507</v>
      </c>
      <c r="L1620" s="904">
        <f>ROUND(SUM('RES. CENTRAL PARK:RUA_FINAL'!L1620),2)</f>
        <v>0</v>
      </c>
      <c r="M1620" s="904">
        <f t="shared" si="405"/>
        <v>0</v>
      </c>
      <c r="N1620" s="893">
        <f t="shared" si="406"/>
        <v>0</v>
      </c>
      <c r="O1620" s="905"/>
      <c r="Q1620" s="317" t="str">
        <f t="shared" si="407"/>
        <v/>
      </c>
      <c r="R1620" s="317" t="str">
        <f t="shared" si="408"/>
        <v/>
      </c>
      <c r="S1620" s="317" t="str">
        <f t="shared" si="409"/>
        <v/>
      </c>
      <c r="V1620" s="314">
        <f>SUM('RES. CENTRAL PARK:RUA_FINAL'!N1620)</f>
        <v>0</v>
      </c>
      <c r="W1620" s="315">
        <f t="shared" si="402"/>
        <v>0</v>
      </c>
    </row>
    <row r="1621" spans="1:23" ht="13.5" hidden="1" thickBot="1" x14ac:dyDescent="0.25">
      <c r="A1621" s="565" t="s">
        <v>165</v>
      </c>
      <c r="B1621" s="924" t="s">
        <v>165</v>
      </c>
      <c r="C1621" s="925" t="s">
        <v>165</v>
      </c>
      <c r="D1621" s="931"/>
      <c r="E1621" s="927"/>
      <c r="F1621" s="928"/>
      <c r="G1621" s="929"/>
      <c r="H1621" s="930"/>
      <c r="I1621" s="901" t="str">
        <f t="shared" si="403"/>
        <v/>
      </c>
      <c r="J1621" s="890">
        <f t="shared" si="404"/>
        <v>0</v>
      </c>
      <c r="K1621" s="928" t="s">
        <v>507</v>
      </c>
      <c r="L1621" s="904">
        <f>ROUND(SUM('RES. CENTRAL PARK:RUA_FINAL'!L1621),2)</f>
        <v>0</v>
      </c>
      <c r="M1621" s="904">
        <f t="shared" si="405"/>
        <v>0</v>
      </c>
      <c r="N1621" s="893">
        <f t="shared" si="406"/>
        <v>0</v>
      </c>
      <c r="O1621" s="905"/>
      <c r="Q1621" s="317" t="str">
        <f t="shared" si="407"/>
        <v/>
      </c>
      <c r="R1621" s="317" t="str">
        <f t="shared" si="408"/>
        <v/>
      </c>
      <c r="S1621" s="317" t="str">
        <f t="shared" si="409"/>
        <v/>
      </c>
      <c r="V1621" s="314">
        <f>SUM('RES. CENTRAL PARK:RUA_FINAL'!N1621)</f>
        <v>0</v>
      </c>
      <c r="W1621" s="315">
        <f t="shared" ref="W1621:W1684" si="410">N1621-V1621</f>
        <v>0</v>
      </c>
    </row>
    <row r="1622" spans="1:23" ht="13.5" hidden="1" thickBot="1" x14ac:dyDescent="0.25">
      <c r="A1622" s="565" t="s">
        <v>165</v>
      </c>
      <c r="B1622" s="924" t="s">
        <v>165</v>
      </c>
      <c r="C1622" s="925" t="s">
        <v>165</v>
      </c>
      <c r="D1622" s="931"/>
      <c r="E1622" s="927"/>
      <c r="F1622" s="928"/>
      <c r="G1622" s="929"/>
      <c r="H1622" s="930"/>
      <c r="I1622" s="901" t="str">
        <f t="shared" si="403"/>
        <v/>
      </c>
      <c r="J1622" s="890">
        <f t="shared" si="404"/>
        <v>0</v>
      </c>
      <c r="K1622" s="928" t="s">
        <v>507</v>
      </c>
      <c r="L1622" s="904">
        <f>ROUND(SUM('RES. CENTRAL PARK:RUA_FINAL'!L1622),2)</f>
        <v>0</v>
      </c>
      <c r="M1622" s="904">
        <f t="shared" si="405"/>
        <v>0</v>
      </c>
      <c r="N1622" s="893">
        <f t="shared" si="406"/>
        <v>0</v>
      </c>
      <c r="O1622" s="905"/>
      <c r="Q1622" s="317" t="str">
        <f t="shared" si="407"/>
        <v/>
      </c>
      <c r="R1622" s="317" t="str">
        <f t="shared" si="408"/>
        <v/>
      </c>
      <c r="S1622" s="317" t="str">
        <f t="shared" si="409"/>
        <v/>
      </c>
      <c r="V1622" s="314">
        <f>SUM('RES. CENTRAL PARK:RUA_FINAL'!N1622)</f>
        <v>0</v>
      </c>
      <c r="W1622" s="315">
        <f t="shared" si="410"/>
        <v>0</v>
      </c>
    </row>
    <row r="1623" spans="1:23" ht="13.5" hidden="1" thickBot="1" x14ac:dyDescent="0.25">
      <c r="A1623" s="565" t="s">
        <v>165</v>
      </c>
      <c r="B1623" s="924" t="s">
        <v>165</v>
      </c>
      <c r="C1623" s="925" t="s">
        <v>165</v>
      </c>
      <c r="D1623" s="931"/>
      <c r="E1623" s="927"/>
      <c r="F1623" s="928"/>
      <c r="G1623" s="929"/>
      <c r="H1623" s="930"/>
      <c r="I1623" s="901" t="str">
        <f t="shared" si="403"/>
        <v/>
      </c>
      <c r="J1623" s="890">
        <f t="shared" si="404"/>
        <v>0</v>
      </c>
      <c r="K1623" s="928" t="s">
        <v>507</v>
      </c>
      <c r="L1623" s="904">
        <f>ROUND(SUM('RES. CENTRAL PARK:RUA_FINAL'!L1623),2)</f>
        <v>0</v>
      </c>
      <c r="M1623" s="904">
        <f t="shared" si="405"/>
        <v>0</v>
      </c>
      <c r="N1623" s="893">
        <f t="shared" si="406"/>
        <v>0</v>
      </c>
      <c r="O1623" s="905"/>
      <c r="Q1623" s="317" t="str">
        <f t="shared" si="407"/>
        <v/>
      </c>
      <c r="R1623" s="317" t="str">
        <f t="shared" si="408"/>
        <v/>
      </c>
      <c r="S1623" s="317" t="str">
        <f t="shared" si="409"/>
        <v/>
      </c>
      <c r="V1623" s="314">
        <f>SUM('RES. CENTRAL PARK:RUA_FINAL'!N1623)</f>
        <v>0</v>
      </c>
      <c r="W1623" s="315">
        <f t="shared" si="410"/>
        <v>0</v>
      </c>
    </row>
    <row r="1624" spans="1:23" ht="13.5" hidden="1" thickBot="1" x14ac:dyDescent="0.25">
      <c r="A1624" s="565" t="s">
        <v>165</v>
      </c>
      <c r="B1624" s="924" t="s">
        <v>165</v>
      </c>
      <c r="C1624" s="925" t="s">
        <v>165</v>
      </c>
      <c r="D1624" s="931"/>
      <c r="E1624" s="927"/>
      <c r="F1624" s="928"/>
      <c r="G1624" s="929"/>
      <c r="H1624" s="930"/>
      <c r="I1624" s="901" t="str">
        <f t="shared" si="403"/>
        <v/>
      </c>
      <c r="J1624" s="890">
        <f t="shared" si="404"/>
        <v>0</v>
      </c>
      <c r="K1624" s="928" t="s">
        <v>507</v>
      </c>
      <c r="L1624" s="904">
        <f>ROUND(SUM('RES. CENTRAL PARK:RUA_FINAL'!L1624),2)</f>
        <v>0</v>
      </c>
      <c r="M1624" s="904">
        <f t="shared" si="405"/>
        <v>0</v>
      </c>
      <c r="N1624" s="942">
        <f t="shared" si="406"/>
        <v>0</v>
      </c>
      <c r="O1624" s="905"/>
      <c r="Q1624" s="317" t="str">
        <f t="shared" si="407"/>
        <v/>
      </c>
      <c r="R1624" s="317" t="str">
        <f t="shared" si="408"/>
        <v/>
      </c>
      <c r="S1624" s="317" t="str">
        <f t="shared" si="409"/>
        <v/>
      </c>
      <c r="V1624" s="314">
        <f>SUM('RES. CENTRAL PARK:RUA_FINAL'!N1624)</f>
        <v>0</v>
      </c>
      <c r="W1624" s="315">
        <f t="shared" si="410"/>
        <v>0</v>
      </c>
    </row>
    <row r="1625" spans="1:23" ht="13.5" hidden="1" thickBot="1" x14ac:dyDescent="0.25">
      <c r="A1625" s="63">
        <v>9</v>
      </c>
      <c r="B1625" s="950" t="s">
        <v>439</v>
      </c>
      <c r="C1625" s="951"/>
      <c r="D1625" s="952" t="s">
        <v>440</v>
      </c>
      <c r="E1625" s="943"/>
      <c r="F1625" s="876"/>
      <c r="G1625" s="944"/>
      <c r="H1625" s="945">
        <v>0</v>
      </c>
      <c r="I1625" s="945"/>
      <c r="J1625" s="945"/>
      <c r="K1625" s="878" t="s">
        <v>507</v>
      </c>
      <c r="L1625" s="1037">
        <f>ROUND(SUM('RES. CENTRAL PARK:RUA_FINAL'!L1625),2)</f>
        <v>0</v>
      </c>
      <c r="M1625" s="1038">
        <f t="shared" si="405"/>
        <v>0</v>
      </c>
      <c r="N1625" s="881">
        <f t="shared" si="406"/>
        <v>0</v>
      </c>
      <c r="O1625" s="882">
        <f>SUM(N1626:N1719)</f>
        <v>0</v>
      </c>
      <c r="P1625" s="58" t="str">
        <f>IF(OR(O1625&gt;0,O1625&gt;0),"X","")</f>
        <v/>
      </c>
      <c r="Q1625" s="317" t="str">
        <f t="shared" si="407"/>
        <v/>
      </c>
      <c r="R1625" s="317" t="str">
        <f t="shared" si="408"/>
        <v/>
      </c>
      <c r="S1625" s="317" t="str">
        <f t="shared" si="409"/>
        <v/>
      </c>
      <c r="V1625" s="314">
        <f>SUM('RES. CENTRAL PARK:RUA_FINAL'!N1625)</f>
        <v>0</v>
      </c>
      <c r="W1625" s="315">
        <f t="shared" si="410"/>
        <v>0</v>
      </c>
    </row>
    <row r="1626" spans="1:23" ht="13.5" hidden="1" thickBot="1" x14ac:dyDescent="0.25">
      <c r="A1626" s="63">
        <v>850000</v>
      </c>
      <c r="B1626" s="895">
        <v>850000</v>
      </c>
      <c r="C1626" s="896" t="s">
        <v>184</v>
      </c>
      <c r="D1626" s="906" t="s">
        <v>279</v>
      </c>
      <c r="E1626" s="898">
        <f>DMT!F7</f>
        <v>0</v>
      </c>
      <c r="F1626" s="908">
        <v>1.73</v>
      </c>
      <c r="G1626" s="909">
        <f t="shared" ref="G1626" si="411">IF(E1626&lt;=30,(1.07*E1626+2.68)*F1626,((1.07*30+2.68)+1.07*(E1626-30))*F1626)</f>
        <v>4.6364000000000001</v>
      </c>
      <c r="H1626" s="901">
        <v>7254.91</v>
      </c>
      <c r="I1626" s="901">
        <f t="shared" ref="I1626:I1631" si="412">IF(ISBLANK(H1626),"",SUM(G1626:H1626))</f>
        <v>7259.5464000000002</v>
      </c>
      <c r="J1626" s="902">
        <f>IF(ISBLANK(H1626),0,ROUND(I1626*(1+$E$10),2))</f>
        <v>8716.5400000000009</v>
      </c>
      <c r="K1626" s="903" t="s">
        <v>15</v>
      </c>
      <c r="L1626" s="1039">
        <f>ROUND(SUM('RES. CENTRAL PARK:RUA_FINAL'!L1626),2)</f>
        <v>0</v>
      </c>
      <c r="M1626" s="1039">
        <f t="shared" si="405"/>
        <v>0</v>
      </c>
      <c r="N1626" s="893">
        <f t="shared" si="406"/>
        <v>0</v>
      </c>
      <c r="O1626" s="905"/>
      <c r="Q1626" s="317" t="str">
        <f t="shared" si="407"/>
        <v/>
      </c>
      <c r="R1626" s="317" t="str">
        <f t="shared" si="408"/>
        <v/>
      </c>
      <c r="S1626" s="317" t="str">
        <f t="shared" si="409"/>
        <v/>
      </c>
      <c r="V1626" s="314">
        <f>SUM('RES. CENTRAL PARK:RUA_FINAL'!N1626)</f>
        <v>0</v>
      </c>
      <c r="W1626" s="315">
        <f t="shared" si="410"/>
        <v>0</v>
      </c>
    </row>
    <row r="1627" spans="1:23" ht="13.5" hidden="1" thickBot="1" x14ac:dyDescent="0.25">
      <c r="A1627" s="63">
        <v>603000</v>
      </c>
      <c r="B1627" s="895" t="s">
        <v>1769</v>
      </c>
      <c r="C1627" s="896" t="s">
        <v>184</v>
      </c>
      <c r="D1627" s="906" t="s">
        <v>261</v>
      </c>
      <c r="E1627" s="907"/>
      <c r="F1627" s="908"/>
      <c r="G1627" s="949"/>
      <c r="H1627" s="901">
        <v>18.34</v>
      </c>
      <c r="I1627" s="901">
        <f t="shared" si="412"/>
        <v>18.34</v>
      </c>
      <c r="J1627" s="902">
        <f t="shared" ref="J1627:J1687" si="413">IF(ISBLANK(H1627),0,ROUND(I1627*(1+$E$10),2))</f>
        <v>22.02</v>
      </c>
      <c r="K1627" s="903" t="s">
        <v>16</v>
      </c>
      <c r="L1627" s="1039">
        <f>ROUND(SUM('RES. CENTRAL PARK:RUA_FINAL'!L1627),2)</f>
        <v>0</v>
      </c>
      <c r="M1627" s="1039">
        <f t="shared" si="405"/>
        <v>0</v>
      </c>
      <c r="N1627" s="893">
        <f t="shared" si="406"/>
        <v>0</v>
      </c>
      <c r="O1627" s="905"/>
      <c r="Q1627" s="317" t="str">
        <f t="shared" si="407"/>
        <v/>
      </c>
      <c r="R1627" s="317" t="str">
        <f t="shared" si="408"/>
        <v/>
      </c>
      <c r="S1627" s="317" t="str">
        <f t="shared" si="409"/>
        <v/>
      </c>
      <c r="V1627" s="314">
        <f>SUM('RES. CENTRAL PARK:RUA_FINAL'!N1627)</f>
        <v>0</v>
      </c>
      <c r="W1627" s="315">
        <f t="shared" si="410"/>
        <v>0</v>
      </c>
    </row>
    <row r="1628" spans="1:23" ht="13.5" hidden="1" thickBot="1" x14ac:dyDescent="0.25">
      <c r="A1628" s="63">
        <v>603300</v>
      </c>
      <c r="B1628" s="895" t="s">
        <v>1772</v>
      </c>
      <c r="C1628" s="896" t="s">
        <v>184</v>
      </c>
      <c r="D1628" s="906" t="s">
        <v>262</v>
      </c>
      <c r="E1628" s="907"/>
      <c r="F1628" s="908"/>
      <c r="G1628" s="949"/>
      <c r="H1628" s="901">
        <v>20.91</v>
      </c>
      <c r="I1628" s="901">
        <f t="shared" si="412"/>
        <v>20.91</v>
      </c>
      <c r="J1628" s="902">
        <f t="shared" si="413"/>
        <v>25.11</v>
      </c>
      <c r="K1628" s="903" t="s">
        <v>16</v>
      </c>
      <c r="L1628" s="1039">
        <f>ROUND(SUM('RES. CENTRAL PARK:RUA_FINAL'!L1628),2)</f>
        <v>0</v>
      </c>
      <c r="M1628" s="1039">
        <f t="shared" si="405"/>
        <v>0</v>
      </c>
      <c r="N1628" s="893">
        <f t="shared" si="406"/>
        <v>0</v>
      </c>
      <c r="O1628" s="905"/>
      <c r="Q1628" s="317" t="str">
        <f t="shared" si="407"/>
        <v/>
      </c>
      <c r="R1628" s="317" t="str">
        <f t="shared" si="408"/>
        <v/>
      </c>
      <c r="S1628" s="317" t="str">
        <f t="shared" si="409"/>
        <v/>
      </c>
      <c r="V1628" s="314">
        <f>SUM('RES. CENTRAL PARK:RUA_FINAL'!N1628)</f>
        <v>0</v>
      </c>
      <c r="W1628" s="315">
        <f t="shared" si="410"/>
        <v>0</v>
      </c>
    </row>
    <row r="1629" spans="1:23" ht="13.5" hidden="1" thickBot="1" x14ac:dyDescent="0.25">
      <c r="A1629" s="63">
        <v>601100</v>
      </c>
      <c r="B1629" s="895" t="s">
        <v>1767</v>
      </c>
      <c r="C1629" s="896" t="s">
        <v>184</v>
      </c>
      <c r="D1629" s="906" t="s">
        <v>324</v>
      </c>
      <c r="E1629" s="907"/>
      <c r="F1629" s="908"/>
      <c r="G1629" s="912"/>
      <c r="H1629" s="901">
        <v>54.05</v>
      </c>
      <c r="I1629" s="901">
        <f t="shared" si="412"/>
        <v>54.05</v>
      </c>
      <c r="J1629" s="902">
        <f t="shared" si="413"/>
        <v>64.900000000000006</v>
      </c>
      <c r="K1629" s="903" t="s">
        <v>10</v>
      </c>
      <c r="L1629" s="1039">
        <f>ROUND(SUM('RES. CENTRAL PARK:RUA_FINAL'!L1629),2)</f>
        <v>0</v>
      </c>
      <c r="M1629" s="1039">
        <f t="shared" si="405"/>
        <v>0</v>
      </c>
      <c r="N1629" s="893">
        <f t="shared" si="406"/>
        <v>0</v>
      </c>
      <c r="O1629" s="905"/>
      <c r="Q1629" s="317" t="str">
        <f t="shared" si="407"/>
        <v/>
      </c>
      <c r="R1629" s="317" t="str">
        <f t="shared" si="408"/>
        <v/>
      </c>
      <c r="S1629" s="317" t="str">
        <f t="shared" si="409"/>
        <v/>
      </c>
      <c r="V1629" s="314">
        <f>SUM('RES. CENTRAL PARK:RUA_FINAL'!N1629)</f>
        <v>0</v>
      </c>
      <c r="W1629" s="315">
        <f t="shared" si="410"/>
        <v>0</v>
      </c>
    </row>
    <row r="1630" spans="1:23" ht="13.5" hidden="1" thickBot="1" x14ac:dyDescent="0.25">
      <c r="A1630" s="63">
        <v>520100</v>
      </c>
      <c r="B1630" s="895" t="s">
        <v>1562</v>
      </c>
      <c r="C1630" s="896" t="s">
        <v>184</v>
      </c>
      <c r="D1630" s="906" t="s">
        <v>270</v>
      </c>
      <c r="E1630" s="961">
        <v>1</v>
      </c>
      <c r="F1630" s="899">
        <f>1.5*1.4</f>
        <v>2.0999999999999996</v>
      </c>
      <c r="G1630" s="909">
        <f t="shared" ref="G1630:G1633" si="414">IF(E1630&lt;=30,(1.07*E1630+2.68)*F1630,((1.07*30+2.68)+1.07*(E1630-30))*F1630)</f>
        <v>7.8749999999999982</v>
      </c>
      <c r="H1630" s="954">
        <v>5.45</v>
      </c>
      <c r="I1630" s="901">
        <f t="shared" si="412"/>
        <v>13.324999999999999</v>
      </c>
      <c r="J1630" s="902">
        <f t="shared" si="413"/>
        <v>16</v>
      </c>
      <c r="K1630" s="903" t="s">
        <v>10</v>
      </c>
      <c r="L1630" s="1039">
        <f>ROUND(SUM('RES. CENTRAL PARK:RUA_FINAL'!L1630),2)</f>
        <v>0</v>
      </c>
      <c r="M1630" s="1039">
        <f t="shared" si="405"/>
        <v>0</v>
      </c>
      <c r="N1630" s="893">
        <f t="shared" si="406"/>
        <v>0</v>
      </c>
      <c r="O1630" s="905"/>
      <c r="Q1630" s="317" t="str">
        <f t="shared" si="407"/>
        <v/>
      </c>
      <c r="R1630" s="317" t="str">
        <f t="shared" si="408"/>
        <v/>
      </c>
      <c r="S1630" s="317" t="str">
        <f t="shared" si="409"/>
        <v/>
      </c>
      <c r="V1630" s="314">
        <f>SUM('RES. CENTRAL PARK:RUA_FINAL'!N1630)</f>
        <v>0</v>
      </c>
      <c r="W1630" s="315">
        <f t="shared" si="410"/>
        <v>0</v>
      </c>
    </row>
    <row r="1631" spans="1:23" ht="13.5" hidden="1" thickBot="1" x14ac:dyDescent="0.25">
      <c r="A1631" s="63">
        <v>520100</v>
      </c>
      <c r="B1631" s="895" t="s">
        <v>1563</v>
      </c>
      <c r="C1631" s="896" t="s">
        <v>184</v>
      </c>
      <c r="D1631" s="906" t="s">
        <v>271</v>
      </c>
      <c r="E1631" s="961">
        <v>10</v>
      </c>
      <c r="F1631" s="899">
        <f>1.5*1.4</f>
        <v>2.0999999999999996</v>
      </c>
      <c r="G1631" s="909">
        <f t="shared" si="414"/>
        <v>28.097999999999995</v>
      </c>
      <c r="H1631" s="954">
        <v>5.45</v>
      </c>
      <c r="I1631" s="901">
        <f t="shared" si="412"/>
        <v>33.547999999999995</v>
      </c>
      <c r="J1631" s="902">
        <f t="shared" si="413"/>
        <v>40.28</v>
      </c>
      <c r="K1631" s="903" t="s">
        <v>10</v>
      </c>
      <c r="L1631" s="1039">
        <f>ROUND(SUM('RES. CENTRAL PARK:RUA_FINAL'!L1631),2)</f>
        <v>0</v>
      </c>
      <c r="M1631" s="1039">
        <f t="shared" si="405"/>
        <v>0</v>
      </c>
      <c r="N1631" s="893">
        <f t="shared" si="406"/>
        <v>0</v>
      </c>
      <c r="O1631" s="905"/>
      <c r="Q1631" s="317" t="str">
        <f t="shared" si="407"/>
        <v/>
      </c>
      <c r="R1631" s="317" t="str">
        <f t="shared" si="408"/>
        <v/>
      </c>
      <c r="S1631" s="317" t="str">
        <f t="shared" si="409"/>
        <v/>
      </c>
      <c r="V1631" s="314">
        <f>SUM('RES. CENTRAL PARK:RUA_FINAL'!N1631)</f>
        <v>0</v>
      </c>
      <c r="W1631" s="315">
        <f t="shared" si="410"/>
        <v>0</v>
      </c>
    </row>
    <row r="1632" spans="1:23" ht="13.5" hidden="1" thickBot="1" x14ac:dyDescent="0.25">
      <c r="A1632" s="63">
        <v>532500</v>
      </c>
      <c r="B1632" s="895" t="s">
        <v>1737</v>
      </c>
      <c r="C1632" s="896" t="s">
        <v>184</v>
      </c>
      <c r="D1632" s="957" t="s">
        <v>329</v>
      </c>
      <c r="E1632" s="907">
        <f>DMT!$F$8</f>
        <v>150</v>
      </c>
      <c r="F1632" s="908">
        <v>1.7250000000000001</v>
      </c>
      <c r="G1632" s="909">
        <f t="shared" si="414"/>
        <v>281.4855</v>
      </c>
      <c r="H1632" s="901">
        <v>102.38</v>
      </c>
      <c r="I1632" s="901">
        <f>IF(ISBLANK(H1632),"",SUM(G1632:H1632))</f>
        <v>383.8655</v>
      </c>
      <c r="J1632" s="902">
        <f t="shared" si="413"/>
        <v>460.91</v>
      </c>
      <c r="K1632" s="903" t="s">
        <v>10</v>
      </c>
      <c r="L1632" s="1039">
        <f>ROUND(SUM('RES. CENTRAL PARK:RUA_FINAL'!L1632),2)</f>
        <v>0</v>
      </c>
      <c r="M1632" s="1039">
        <f t="shared" si="405"/>
        <v>0</v>
      </c>
      <c r="N1632" s="893">
        <f t="shared" si="406"/>
        <v>0</v>
      </c>
      <c r="O1632" s="905"/>
      <c r="Q1632" s="317" t="str">
        <f t="shared" si="407"/>
        <v/>
      </c>
      <c r="R1632" s="317" t="str">
        <f t="shared" si="408"/>
        <v/>
      </c>
      <c r="S1632" s="317" t="str">
        <f t="shared" si="409"/>
        <v/>
      </c>
      <c r="V1632" s="314">
        <f>SUM('RES. CENTRAL PARK:RUA_FINAL'!N1632)</f>
        <v>0</v>
      </c>
      <c r="W1632" s="315">
        <f t="shared" si="410"/>
        <v>0</v>
      </c>
    </row>
    <row r="1633" spans="1:23" ht="14.45" hidden="1" customHeight="1" x14ac:dyDescent="0.2">
      <c r="A1633" s="63">
        <v>603900</v>
      </c>
      <c r="B1633" s="895" t="s">
        <v>1742</v>
      </c>
      <c r="C1633" s="896" t="s">
        <v>184</v>
      </c>
      <c r="D1633" s="957" t="s">
        <v>330</v>
      </c>
      <c r="E1633" s="907">
        <f>DMT!$F$10</f>
        <v>0.2</v>
      </c>
      <c r="F1633" s="908">
        <v>1.5</v>
      </c>
      <c r="G1633" s="909">
        <f t="shared" si="414"/>
        <v>4.3410000000000002</v>
      </c>
      <c r="H1633" s="901">
        <v>131.84</v>
      </c>
      <c r="I1633" s="901">
        <f>IF(ISBLANK(H1633),"",SUM(G1633:H1633))</f>
        <v>136.18100000000001</v>
      </c>
      <c r="J1633" s="902">
        <f t="shared" si="413"/>
        <v>163.51</v>
      </c>
      <c r="K1633" s="903" t="s">
        <v>10</v>
      </c>
      <c r="L1633" s="1039">
        <f>ROUND(SUM('RES. CENTRAL PARK:RUA_FINAL'!L1633),2)</f>
        <v>0</v>
      </c>
      <c r="M1633" s="1039">
        <f t="shared" si="405"/>
        <v>0</v>
      </c>
      <c r="N1633" s="893">
        <f t="shared" si="406"/>
        <v>0</v>
      </c>
      <c r="O1633" s="905"/>
      <c r="Q1633" s="317" t="str">
        <f t="shared" si="407"/>
        <v/>
      </c>
      <c r="R1633" s="317" t="str">
        <f t="shared" si="408"/>
        <v/>
      </c>
      <c r="S1633" s="317" t="str">
        <f t="shared" si="409"/>
        <v/>
      </c>
      <c r="V1633" s="314">
        <f>SUM('RES. CENTRAL PARK:RUA_FINAL'!N1633)</f>
        <v>0</v>
      </c>
      <c r="W1633" s="315">
        <f t="shared" si="410"/>
        <v>0</v>
      </c>
    </row>
    <row r="1634" spans="1:23" ht="13.5" hidden="1" thickBot="1" x14ac:dyDescent="0.25">
      <c r="A1634" s="63">
        <v>605000</v>
      </c>
      <c r="B1634" s="895" t="s">
        <v>1781</v>
      </c>
      <c r="C1634" s="896" t="s">
        <v>184</v>
      </c>
      <c r="D1634" s="906" t="s">
        <v>259</v>
      </c>
      <c r="E1634" s="907"/>
      <c r="F1634" s="908"/>
      <c r="G1634" s="912">
        <f>SUM(G1635:G1637)</f>
        <v>220.83394000000004</v>
      </c>
      <c r="H1634" s="901">
        <v>425.25</v>
      </c>
      <c r="I1634" s="901">
        <f>IF(ISBLANK(H1634),"",SUM(G1634:H1634))</f>
        <v>646.08393999999998</v>
      </c>
      <c r="J1634" s="902">
        <f t="shared" si="413"/>
        <v>775.75</v>
      </c>
      <c r="K1634" s="903" t="s">
        <v>10</v>
      </c>
      <c r="L1634" s="1039">
        <f>ROUND(SUM('RES. CENTRAL PARK:RUA_FINAL'!L1634),2)</f>
        <v>0</v>
      </c>
      <c r="M1634" s="1039">
        <f t="shared" si="405"/>
        <v>0</v>
      </c>
      <c r="N1634" s="893">
        <f t="shared" si="406"/>
        <v>0</v>
      </c>
      <c r="O1634" s="905"/>
      <c r="Q1634" s="317" t="str">
        <f t="shared" si="407"/>
        <v/>
      </c>
      <c r="R1634" s="317" t="str">
        <f t="shared" si="408"/>
        <v/>
      </c>
      <c r="S1634" s="317" t="str">
        <f t="shared" si="409"/>
        <v/>
      </c>
      <c r="V1634" s="314">
        <f>SUM('RES. CENTRAL PARK:RUA_FINAL'!N1634)</f>
        <v>0</v>
      </c>
      <c r="W1634" s="315">
        <f t="shared" si="410"/>
        <v>0</v>
      </c>
    </row>
    <row r="1635" spans="1:23" ht="13.5" hidden="1" thickBot="1" x14ac:dyDescent="0.25">
      <c r="A1635" s="63" t="s">
        <v>147</v>
      </c>
      <c r="B1635" s="895" t="s">
        <v>147</v>
      </c>
      <c r="C1635" s="896"/>
      <c r="D1635" s="957" t="s">
        <v>190</v>
      </c>
      <c r="E1635" s="907">
        <f>DMT!$D$20</f>
        <v>308</v>
      </c>
      <c r="F1635" s="908">
        <v>0.18</v>
      </c>
      <c r="G1635" s="909">
        <f>IF(E1635&lt;=30,(0.78*E1635+7.82)*F1635,((0.78*30+7.82)+0.78*(E1635-30))*F1635)</f>
        <v>44.650799999999997</v>
      </c>
      <c r="H1635" s="901">
        <v>0</v>
      </c>
      <c r="I1635" s="901"/>
      <c r="J1635" s="902">
        <v>0</v>
      </c>
      <c r="K1635" s="958" t="s">
        <v>507</v>
      </c>
      <c r="L1635" s="1040">
        <f>ROUND(SUM('RES. CENTRAL PARK:RUA_FINAL'!L1635),2)</f>
        <v>0</v>
      </c>
      <c r="M1635" s="1041">
        <f t="shared" si="405"/>
        <v>0</v>
      </c>
      <c r="N1635" s="893">
        <f t="shared" si="406"/>
        <v>0</v>
      </c>
      <c r="O1635" s="905"/>
      <c r="P1635" s="58" t="str">
        <f>IF(N1634&gt;0,"xx",IF(N1634&gt;0,"xy",""))</f>
        <v/>
      </c>
      <c r="Q1635" s="317" t="str">
        <f t="shared" si="407"/>
        <v/>
      </c>
      <c r="R1635" s="317" t="str">
        <f t="shared" si="408"/>
        <v/>
      </c>
      <c r="S1635" s="317" t="str">
        <f t="shared" si="409"/>
        <v/>
      </c>
      <c r="V1635" s="314">
        <f>SUM('RES. CENTRAL PARK:RUA_FINAL'!N1635)</f>
        <v>0</v>
      </c>
      <c r="W1635" s="315">
        <f t="shared" si="410"/>
        <v>0</v>
      </c>
    </row>
    <row r="1636" spans="1:23" ht="13.5" hidden="1" thickBot="1" x14ac:dyDescent="0.25">
      <c r="A1636" s="63" t="s">
        <v>147</v>
      </c>
      <c r="B1636" s="895" t="s">
        <v>147</v>
      </c>
      <c r="C1636" s="896"/>
      <c r="D1636" s="957" t="s">
        <v>229</v>
      </c>
      <c r="E1636" s="907">
        <f>DMT!$F$8</f>
        <v>150</v>
      </c>
      <c r="F1636" s="908">
        <v>1.06</v>
      </c>
      <c r="G1636" s="949">
        <f t="shared" ref="G1636:G1641" si="415">IF(E1636&lt;=30,(1.07*E1636+2.68)*F1636,((1.07*30+2.68)+1.07*(E1636-30))*F1636)</f>
        <v>172.97080000000003</v>
      </c>
      <c r="H1636" s="901">
        <v>0</v>
      </c>
      <c r="I1636" s="901"/>
      <c r="J1636" s="902">
        <v>0</v>
      </c>
      <c r="K1636" s="958" t="s">
        <v>507</v>
      </c>
      <c r="L1636" s="1040">
        <f>ROUND(SUM('RES. CENTRAL PARK:RUA_FINAL'!L1636),2)</f>
        <v>0</v>
      </c>
      <c r="M1636" s="1041">
        <f t="shared" si="405"/>
        <v>0</v>
      </c>
      <c r="N1636" s="893">
        <f t="shared" si="406"/>
        <v>0</v>
      </c>
      <c r="O1636" s="905"/>
      <c r="P1636" s="58" t="str">
        <f>IF(N1634&gt;0,"xx",IF(N1634&gt;0,"xy",""))</f>
        <v/>
      </c>
      <c r="Q1636" s="317" t="str">
        <f t="shared" si="407"/>
        <v/>
      </c>
      <c r="R1636" s="317" t="str">
        <f t="shared" si="408"/>
        <v/>
      </c>
      <c r="S1636" s="317" t="str">
        <f t="shared" si="409"/>
        <v/>
      </c>
      <c r="V1636" s="314">
        <f>SUM('RES. CENTRAL PARK:RUA_FINAL'!N1636)</f>
        <v>0</v>
      </c>
      <c r="W1636" s="315">
        <f t="shared" si="410"/>
        <v>0</v>
      </c>
    </row>
    <row r="1637" spans="1:23" ht="13.5" hidden="1" thickBot="1" x14ac:dyDescent="0.25">
      <c r="A1637" s="63" t="s">
        <v>147</v>
      </c>
      <c r="B1637" s="895" t="s">
        <v>147</v>
      </c>
      <c r="C1637" s="896"/>
      <c r="D1637" s="957" t="s">
        <v>233</v>
      </c>
      <c r="E1637" s="907">
        <f>DMT!$F$10</f>
        <v>0.2</v>
      </c>
      <c r="F1637" s="908">
        <v>1.1100000000000001</v>
      </c>
      <c r="G1637" s="949">
        <f t="shared" si="415"/>
        <v>3.2123400000000006</v>
      </c>
      <c r="H1637" s="901">
        <v>0</v>
      </c>
      <c r="I1637" s="901"/>
      <c r="J1637" s="902">
        <v>0</v>
      </c>
      <c r="K1637" s="958" t="s">
        <v>507</v>
      </c>
      <c r="L1637" s="1040">
        <f>ROUND(SUM('RES. CENTRAL PARK:RUA_FINAL'!L1637),2)</f>
        <v>0</v>
      </c>
      <c r="M1637" s="1041">
        <f t="shared" si="405"/>
        <v>0</v>
      </c>
      <c r="N1637" s="893">
        <f t="shared" si="406"/>
        <v>0</v>
      </c>
      <c r="O1637" s="905"/>
      <c r="P1637" s="58" t="str">
        <f>IF(N1634&gt;0,"xx",IF(N1634&gt;0,"xy",""))</f>
        <v/>
      </c>
      <c r="Q1637" s="317" t="str">
        <f t="shared" si="407"/>
        <v/>
      </c>
      <c r="R1637" s="317" t="str">
        <f t="shared" si="408"/>
        <v/>
      </c>
      <c r="S1637" s="317" t="str">
        <f t="shared" si="409"/>
        <v/>
      </c>
      <c r="V1637" s="314">
        <f>SUM('RES. CENTRAL PARK:RUA_FINAL'!N1637)</f>
        <v>0</v>
      </c>
      <c r="W1637" s="315">
        <f t="shared" si="410"/>
        <v>0</v>
      </c>
    </row>
    <row r="1638" spans="1:23" ht="13.5" hidden="1" thickBot="1" x14ac:dyDescent="0.25">
      <c r="A1638" s="63">
        <v>400500</v>
      </c>
      <c r="B1638" s="895" t="s">
        <v>1736</v>
      </c>
      <c r="C1638" s="896" t="s">
        <v>184</v>
      </c>
      <c r="D1638" s="906" t="s">
        <v>1732</v>
      </c>
      <c r="E1638" s="907">
        <f>DMT!$F$8</f>
        <v>150</v>
      </c>
      <c r="F1638" s="908">
        <v>1.73</v>
      </c>
      <c r="G1638" s="949">
        <f t="shared" si="415"/>
        <v>282.3014</v>
      </c>
      <c r="H1638" s="901">
        <v>83.83</v>
      </c>
      <c r="I1638" s="901">
        <f>IF(ISBLANK(H1638),"",SUM(G1638:H1638))</f>
        <v>366.13139999999999</v>
      </c>
      <c r="J1638" s="902">
        <f t="shared" si="413"/>
        <v>439.61</v>
      </c>
      <c r="K1638" s="903" t="s">
        <v>10</v>
      </c>
      <c r="L1638" s="1039">
        <f>ROUND(SUM('RES. CENTRAL PARK:RUA_FINAL'!L1638),2)</f>
        <v>0</v>
      </c>
      <c r="M1638" s="1039">
        <f t="shared" si="405"/>
        <v>0</v>
      </c>
      <c r="N1638" s="893">
        <f t="shared" si="406"/>
        <v>0</v>
      </c>
      <c r="O1638" s="905"/>
      <c r="Q1638" s="317" t="str">
        <f t="shared" si="407"/>
        <v/>
      </c>
      <c r="R1638" s="317" t="str">
        <f t="shared" si="408"/>
        <v/>
      </c>
      <c r="S1638" s="317" t="str">
        <f t="shared" si="409"/>
        <v/>
      </c>
      <c r="V1638" s="314">
        <f>SUM('RES. CENTRAL PARK:RUA_FINAL'!N1638)</f>
        <v>0</v>
      </c>
      <c r="W1638" s="315">
        <f t="shared" si="410"/>
        <v>0</v>
      </c>
    </row>
    <row r="1639" spans="1:23" ht="13.5" hidden="1" thickBot="1" x14ac:dyDescent="0.25">
      <c r="A1639" s="63">
        <v>532500</v>
      </c>
      <c r="B1639" s="895" t="s">
        <v>1738</v>
      </c>
      <c r="C1639" s="896" t="s">
        <v>184</v>
      </c>
      <c r="D1639" s="906" t="s">
        <v>1735</v>
      </c>
      <c r="E1639" s="907">
        <f>DMT!$F$8</f>
        <v>150</v>
      </c>
      <c r="F1639" s="908">
        <v>1.7250000000000001</v>
      </c>
      <c r="G1639" s="949">
        <f t="shared" si="415"/>
        <v>281.4855</v>
      </c>
      <c r="H1639" s="901">
        <v>102.38</v>
      </c>
      <c r="I1639" s="901">
        <f>IF(ISBLANK(H1639),"",SUM(G1639:H1639))</f>
        <v>383.8655</v>
      </c>
      <c r="J1639" s="902">
        <f t="shared" si="413"/>
        <v>460.91</v>
      </c>
      <c r="K1639" s="903" t="s">
        <v>10</v>
      </c>
      <c r="L1639" s="1039">
        <f>ROUND(SUM('RES. CENTRAL PARK:RUA_FINAL'!L1639),2)</f>
        <v>0</v>
      </c>
      <c r="M1639" s="1039">
        <f t="shared" si="405"/>
        <v>0</v>
      </c>
      <c r="N1639" s="893">
        <f t="shared" si="406"/>
        <v>0</v>
      </c>
      <c r="O1639" s="905"/>
      <c r="Q1639" s="317" t="str">
        <f t="shared" si="407"/>
        <v/>
      </c>
      <c r="R1639" s="317" t="str">
        <f t="shared" si="408"/>
        <v/>
      </c>
      <c r="S1639" s="317" t="str">
        <f t="shared" si="409"/>
        <v/>
      </c>
      <c r="V1639" s="314">
        <f>SUM('RES. CENTRAL PARK:RUA_FINAL'!N1639)</f>
        <v>0</v>
      </c>
      <c r="W1639" s="315">
        <f t="shared" si="410"/>
        <v>0</v>
      </c>
    </row>
    <row r="1640" spans="1:23" ht="13.5" hidden="1" thickBot="1" x14ac:dyDescent="0.25">
      <c r="A1640" s="562">
        <v>532600</v>
      </c>
      <c r="B1640" s="895" t="s">
        <v>1567</v>
      </c>
      <c r="C1640" s="896" t="s">
        <v>184</v>
      </c>
      <c r="D1640" s="906" t="s">
        <v>1733</v>
      </c>
      <c r="E1640" s="907">
        <f>DMT!$F$12</f>
        <v>0</v>
      </c>
      <c r="F1640" s="908">
        <f>ROUND(1.5*1.5,4)</f>
        <v>2.25</v>
      </c>
      <c r="G1640" s="949">
        <f t="shared" si="415"/>
        <v>6.03</v>
      </c>
      <c r="H1640" s="901">
        <v>16.07</v>
      </c>
      <c r="I1640" s="901">
        <f>IF(ISBLANK(H1640),"",SUM(G1640:H1640))</f>
        <v>22.1</v>
      </c>
      <c r="J1640" s="902">
        <f t="shared" si="413"/>
        <v>26.54</v>
      </c>
      <c r="K1640" s="903" t="s">
        <v>10</v>
      </c>
      <c r="L1640" s="1039">
        <f>ROUND(SUM('RES. CENTRAL PARK:RUA_FINAL'!L1640),2)</f>
        <v>0</v>
      </c>
      <c r="M1640" s="1039">
        <f t="shared" si="405"/>
        <v>0</v>
      </c>
      <c r="N1640" s="893">
        <f t="shared" si="406"/>
        <v>0</v>
      </c>
      <c r="O1640" s="905"/>
      <c r="Q1640" s="317" t="str">
        <f t="shared" si="407"/>
        <v/>
      </c>
      <c r="R1640" s="317" t="str">
        <f t="shared" si="408"/>
        <v/>
      </c>
      <c r="S1640" s="317" t="str">
        <f t="shared" si="409"/>
        <v/>
      </c>
      <c r="V1640" s="314">
        <f>SUM('RES. CENTRAL PARK:RUA_FINAL'!N1640)</f>
        <v>0</v>
      </c>
      <c r="W1640" s="315">
        <f t="shared" si="410"/>
        <v>0</v>
      </c>
    </row>
    <row r="1641" spans="1:23" ht="13.5" hidden="1" thickBot="1" x14ac:dyDescent="0.25">
      <c r="A1641" s="63">
        <v>603900</v>
      </c>
      <c r="B1641" s="895" t="s">
        <v>1743</v>
      </c>
      <c r="C1641" s="896" t="s">
        <v>184</v>
      </c>
      <c r="D1641" s="906" t="s">
        <v>1734</v>
      </c>
      <c r="E1641" s="907">
        <f>DMT!$F$11</f>
        <v>0.2</v>
      </c>
      <c r="F1641" s="908">
        <v>1.5</v>
      </c>
      <c r="G1641" s="949">
        <f t="shared" si="415"/>
        <v>4.3410000000000002</v>
      </c>
      <c r="H1641" s="901">
        <v>131.84</v>
      </c>
      <c r="I1641" s="901">
        <f>IF(ISBLANK(H1641),"",SUM(G1641:H1641))</f>
        <v>136.18100000000001</v>
      </c>
      <c r="J1641" s="902">
        <f t="shared" si="413"/>
        <v>163.51</v>
      </c>
      <c r="K1641" s="903" t="s">
        <v>10</v>
      </c>
      <c r="L1641" s="1039">
        <f>ROUND(SUM('RES. CENTRAL PARK:RUA_FINAL'!L1641),2)</f>
        <v>0</v>
      </c>
      <c r="M1641" s="1039">
        <f t="shared" si="405"/>
        <v>0</v>
      </c>
      <c r="N1641" s="893">
        <f t="shared" si="406"/>
        <v>0</v>
      </c>
      <c r="O1641" s="905"/>
      <c r="Q1641" s="317" t="str">
        <f t="shared" si="407"/>
        <v/>
      </c>
      <c r="R1641" s="317" t="str">
        <f t="shared" si="408"/>
        <v/>
      </c>
      <c r="S1641" s="317" t="str">
        <f t="shared" si="409"/>
        <v/>
      </c>
      <c r="V1641" s="314">
        <f>SUM('RES. CENTRAL PARK:RUA_FINAL'!N1641)</f>
        <v>0</v>
      </c>
      <c r="W1641" s="315">
        <f t="shared" si="410"/>
        <v>0</v>
      </c>
    </row>
    <row r="1642" spans="1:23" ht="13.5" hidden="1" thickBot="1" x14ac:dyDescent="0.25">
      <c r="A1642" s="63">
        <v>605000</v>
      </c>
      <c r="B1642" s="895" t="s">
        <v>1782</v>
      </c>
      <c r="C1642" s="896" t="s">
        <v>184</v>
      </c>
      <c r="D1642" s="906" t="s">
        <v>337</v>
      </c>
      <c r="E1642" s="907"/>
      <c r="F1642" s="908"/>
      <c r="G1642" s="912">
        <f>SUM(G1643:G1645)</f>
        <v>220.83394000000004</v>
      </c>
      <c r="H1642" s="901">
        <v>425.25</v>
      </c>
      <c r="I1642" s="901">
        <f>IF(ISBLANK(H1642),"",SUM(G1642:H1642))</f>
        <v>646.08393999999998</v>
      </c>
      <c r="J1642" s="902">
        <f t="shared" si="413"/>
        <v>775.75</v>
      </c>
      <c r="K1642" s="903" t="s">
        <v>10</v>
      </c>
      <c r="L1642" s="1039">
        <f>ROUND(SUM('RES. CENTRAL PARK:RUA_FINAL'!L1642),2)</f>
        <v>0</v>
      </c>
      <c r="M1642" s="1039">
        <f t="shared" si="405"/>
        <v>0</v>
      </c>
      <c r="N1642" s="893">
        <f t="shared" si="406"/>
        <v>0</v>
      </c>
      <c r="O1642" s="905"/>
      <c r="Q1642" s="317" t="str">
        <f t="shared" si="407"/>
        <v/>
      </c>
      <c r="R1642" s="317" t="str">
        <f t="shared" si="408"/>
        <v/>
      </c>
      <c r="S1642" s="317" t="str">
        <f t="shared" si="409"/>
        <v/>
      </c>
      <c r="V1642" s="314">
        <f>SUM('RES. CENTRAL PARK:RUA_FINAL'!N1642)</f>
        <v>0</v>
      </c>
      <c r="W1642" s="315">
        <f t="shared" si="410"/>
        <v>0</v>
      </c>
    </row>
    <row r="1643" spans="1:23" ht="13.5" hidden="1" thickBot="1" x14ac:dyDescent="0.25">
      <c r="A1643" s="63" t="s">
        <v>147</v>
      </c>
      <c r="B1643" s="895" t="s">
        <v>147</v>
      </c>
      <c r="C1643" s="896"/>
      <c r="D1643" s="957" t="s">
        <v>190</v>
      </c>
      <c r="E1643" s="907">
        <f>DMT!$D$20</f>
        <v>308</v>
      </c>
      <c r="F1643" s="908">
        <v>0.18</v>
      </c>
      <c r="G1643" s="909">
        <f>IF(E1643&lt;=30,(0.78*E1643+7.82)*F1643,((0.78*30+7.82)+0.78*(E1643-30))*F1643)</f>
        <v>44.650799999999997</v>
      </c>
      <c r="H1643" s="901">
        <v>0</v>
      </c>
      <c r="I1643" s="901"/>
      <c r="J1643" s="902">
        <v>0</v>
      </c>
      <c r="K1643" s="958" t="s">
        <v>507</v>
      </c>
      <c r="L1643" s="1040">
        <f>ROUND(SUM('RES. CENTRAL PARK:RUA_FINAL'!L1643),2)</f>
        <v>0</v>
      </c>
      <c r="M1643" s="1041">
        <f t="shared" si="405"/>
        <v>0</v>
      </c>
      <c r="N1643" s="893">
        <f t="shared" si="406"/>
        <v>0</v>
      </c>
      <c r="O1643" s="905"/>
      <c r="P1643" s="58" t="str">
        <f>IF(N1642&gt;0,"xx",IF(N1642&gt;0,"xy",""))</f>
        <v/>
      </c>
      <c r="Q1643" s="317" t="str">
        <f t="shared" si="407"/>
        <v/>
      </c>
      <c r="R1643" s="317" t="str">
        <f t="shared" si="408"/>
        <v/>
      </c>
      <c r="S1643" s="317" t="str">
        <f t="shared" si="409"/>
        <v/>
      </c>
      <c r="V1643" s="314">
        <f>SUM('RES. CENTRAL PARK:RUA_FINAL'!N1643)</f>
        <v>0</v>
      </c>
      <c r="W1643" s="315">
        <f t="shared" si="410"/>
        <v>0</v>
      </c>
    </row>
    <row r="1644" spans="1:23" ht="13.5" hidden="1" thickBot="1" x14ac:dyDescent="0.25">
      <c r="A1644" s="63" t="s">
        <v>147</v>
      </c>
      <c r="B1644" s="895" t="s">
        <v>147</v>
      </c>
      <c r="C1644" s="896"/>
      <c r="D1644" s="957" t="s">
        <v>229</v>
      </c>
      <c r="E1644" s="907">
        <f>DMT!$F$8</f>
        <v>150</v>
      </c>
      <c r="F1644" s="908">
        <v>1.06</v>
      </c>
      <c r="G1644" s="949">
        <f t="shared" ref="G1644:G1645" si="416">IF(E1644&lt;=30,(1.07*E1644+2.68)*F1644,((1.07*30+2.68)+1.07*(E1644-30))*F1644)</f>
        <v>172.97080000000003</v>
      </c>
      <c r="H1644" s="901">
        <v>0</v>
      </c>
      <c r="I1644" s="901"/>
      <c r="J1644" s="902">
        <v>0</v>
      </c>
      <c r="K1644" s="958" t="s">
        <v>507</v>
      </c>
      <c r="L1644" s="1040">
        <f>ROUND(SUM('RES. CENTRAL PARK:RUA_FINAL'!L1644),2)</f>
        <v>0</v>
      </c>
      <c r="M1644" s="1041">
        <f t="shared" si="405"/>
        <v>0</v>
      </c>
      <c r="N1644" s="893">
        <f t="shared" si="406"/>
        <v>0</v>
      </c>
      <c r="O1644" s="905"/>
      <c r="P1644" s="58" t="str">
        <f>IF(N1642&gt;0,"xx",IF(N1642&gt;0,"xy",""))</f>
        <v/>
      </c>
      <c r="Q1644" s="317" t="str">
        <f t="shared" si="407"/>
        <v/>
      </c>
      <c r="R1644" s="317" t="str">
        <f t="shared" si="408"/>
        <v/>
      </c>
      <c r="S1644" s="317" t="str">
        <f t="shared" si="409"/>
        <v/>
      </c>
      <c r="V1644" s="314">
        <f>SUM('RES. CENTRAL PARK:RUA_FINAL'!N1644)</f>
        <v>0</v>
      </c>
      <c r="W1644" s="315">
        <f t="shared" si="410"/>
        <v>0</v>
      </c>
    </row>
    <row r="1645" spans="1:23" ht="13.5" hidden="1" thickBot="1" x14ac:dyDescent="0.25">
      <c r="A1645" s="63" t="s">
        <v>147</v>
      </c>
      <c r="B1645" s="895" t="s">
        <v>147</v>
      </c>
      <c r="C1645" s="896"/>
      <c r="D1645" s="957" t="s">
        <v>233</v>
      </c>
      <c r="E1645" s="907">
        <f>DMT!$F$10</f>
        <v>0.2</v>
      </c>
      <c r="F1645" s="908">
        <v>1.1100000000000001</v>
      </c>
      <c r="G1645" s="949">
        <f t="shared" si="416"/>
        <v>3.2123400000000006</v>
      </c>
      <c r="H1645" s="901">
        <v>0</v>
      </c>
      <c r="I1645" s="901"/>
      <c r="J1645" s="902">
        <v>0</v>
      </c>
      <c r="K1645" s="958" t="s">
        <v>507</v>
      </c>
      <c r="L1645" s="1040">
        <f>ROUND(SUM('RES. CENTRAL PARK:RUA_FINAL'!L1645),2)</f>
        <v>0</v>
      </c>
      <c r="M1645" s="1041">
        <f t="shared" si="405"/>
        <v>0</v>
      </c>
      <c r="N1645" s="893">
        <f t="shared" si="406"/>
        <v>0</v>
      </c>
      <c r="O1645" s="905"/>
      <c r="P1645" s="58" t="str">
        <f>IF(N1642&gt;0,"xx",IF(N1642&gt;0,"xy",""))</f>
        <v/>
      </c>
      <c r="Q1645" s="317" t="str">
        <f t="shared" si="407"/>
        <v/>
      </c>
      <c r="R1645" s="317" t="str">
        <f t="shared" si="408"/>
        <v/>
      </c>
      <c r="S1645" s="317" t="str">
        <f t="shared" si="409"/>
        <v/>
      </c>
      <c r="V1645" s="314">
        <f>SUM('RES. CENTRAL PARK:RUA_FINAL'!N1645)</f>
        <v>0</v>
      </c>
      <c r="W1645" s="315">
        <f t="shared" si="410"/>
        <v>0</v>
      </c>
    </row>
    <row r="1646" spans="1:23" ht="13.5" hidden="1" thickBot="1" x14ac:dyDescent="0.25">
      <c r="A1646" s="63">
        <v>606000</v>
      </c>
      <c r="B1646" s="895" t="s">
        <v>1791</v>
      </c>
      <c r="C1646" s="896" t="s">
        <v>184</v>
      </c>
      <c r="D1646" s="906" t="s">
        <v>338</v>
      </c>
      <c r="E1646" s="907"/>
      <c r="F1646" s="908"/>
      <c r="G1646" s="912">
        <f>SUM(G1647:G1649)</f>
        <v>159.82866000000001</v>
      </c>
      <c r="H1646" s="901">
        <v>378.9</v>
      </c>
      <c r="I1646" s="901">
        <f>IF(ISBLANK(H1646),"",SUM(G1646:H1646))</f>
        <v>538.72865999999999</v>
      </c>
      <c r="J1646" s="902">
        <f t="shared" si="413"/>
        <v>646.85</v>
      </c>
      <c r="K1646" s="903" t="s">
        <v>10</v>
      </c>
      <c r="L1646" s="1039">
        <f>ROUND(SUM('RES. CENTRAL PARK:RUA_FINAL'!L1646),2)</f>
        <v>0</v>
      </c>
      <c r="M1646" s="1039">
        <f t="shared" si="405"/>
        <v>0</v>
      </c>
      <c r="N1646" s="893">
        <f t="shared" si="406"/>
        <v>0</v>
      </c>
      <c r="O1646" s="905"/>
      <c r="Q1646" s="317" t="str">
        <f t="shared" si="407"/>
        <v/>
      </c>
      <c r="R1646" s="317" t="str">
        <f t="shared" si="408"/>
        <v/>
      </c>
      <c r="S1646" s="317" t="str">
        <f t="shared" si="409"/>
        <v/>
      </c>
      <c r="V1646" s="314">
        <f>SUM('RES. CENTRAL PARK:RUA_FINAL'!N1646)</f>
        <v>0</v>
      </c>
      <c r="W1646" s="315">
        <f t="shared" si="410"/>
        <v>0</v>
      </c>
    </row>
    <row r="1647" spans="1:23" ht="13.5" hidden="1" thickBot="1" x14ac:dyDescent="0.25">
      <c r="A1647" s="63" t="s">
        <v>147</v>
      </c>
      <c r="B1647" s="895" t="s">
        <v>147</v>
      </c>
      <c r="C1647" s="896"/>
      <c r="D1647" s="957" t="s">
        <v>190</v>
      </c>
      <c r="E1647" s="907">
        <f>DMT!$D$20</f>
        <v>308</v>
      </c>
      <c r="F1647" s="908">
        <v>0.189</v>
      </c>
      <c r="G1647" s="909">
        <f>IF(E1647&lt;=30,(0.78*E1647+7.82)*F1647,((0.78*30+7.82)+0.78*(E1647-30))*F1647)</f>
        <v>46.883340000000004</v>
      </c>
      <c r="H1647" s="901">
        <v>0</v>
      </c>
      <c r="I1647" s="901"/>
      <c r="J1647" s="902">
        <v>0</v>
      </c>
      <c r="K1647" s="958" t="s">
        <v>507</v>
      </c>
      <c r="L1647" s="1040">
        <f>ROUND(SUM('RES. CENTRAL PARK:RUA_FINAL'!L1647),2)</f>
        <v>0</v>
      </c>
      <c r="M1647" s="1041">
        <f t="shared" si="405"/>
        <v>0</v>
      </c>
      <c r="N1647" s="893">
        <f t="shared" si="406"/>
        <v>0</v>
      </c>
      <c r="O1647" s="905"/>
      <c r="P1647" s="58" t="str">
        <f>IF(N1646&gt;0,"xx",IF(N1646&gt;0,"xy",""))</f>
        <v/>
      </c>
      <c r="Q1647" s="317" t="str">
        <f t="shared" si="407"/>
        <v/>
      </c>
      <c r="R1647" s="317" t="str">
        <f t="shared" si="408"/>
        <v/>
      </c>
      <c r="S1647" s="317" t="str">
        <f t="shared" si="409"/>
        <v/>
      </c>
      <c r="V1647" s="314">
        <f>SUM('RES. CENTRAL PARK:RUA_FINAL'!N1647)</f>
        <v>0</v>
      </c>
      <c r="W1647" s="315">
        <f t="shared" si="410"/>
        <v>0</v>
      </c>
    </row>
    <row r="1648" spans="1:23" ht="13.5" hidden="1" thickBot="1" x14ac:dyDescent="0.25">
      <c r="A1648" s="63" t="s">
        <v>147</v>
      </c>
      <c r="B1648" s="895" t="s">
        <v>147</v>
      </c>
      <c r="C1648" s="896"/>
      <c r="D1648" s="957" t="s">
        <v>229</v>
      </c>
      <c r="E1648" s="907">
        <f>DMT!$F$8</f>
        <v>150</v>
      </c>
      <c r="F1648" s="908">
        <v>0.67200000000000004</v>
      </c>
      <c r="G1648" s="949">
        <f t="shared" ref="G1648:G1649" si="417">IF(E1648&lt;=30,(1.07*E1648+2.68)*F1648,((1.07*30+2.68)+1.07*(E1648-30))*F1648)</f>
        <v>109.65696000000001</v>
      </c>
      <c r="H1648" s="901">
        <v>0</v>
      </c>
      <c r="I1648" s="901"/>
      <c r="J1648" s="902">
        <v>0</v>
      </c>
      <c r="K1648" s="958" t="s">
        <v>507</v>
      </c>
      <c r="L1648" s="1040">
        <f>ROUND(SUM('RES. CENTRAL PARK:RUA_FINAL'!L1648),2)</f>
        <v>0</v>
      </c>
      <c r="M1648" s="1041">
        <f t="shared" si="405"/>
        <v>0</v>
      </c>
      <c r="N1648" s="893">
        <f t="shared" si="406"/>
        <v>0</v>
      </c>
      <c r="O1648" s="905"/>
      <c r="P1648" s="58" t="str">
        <f>IF(N1646&gt;0,"xx",IF(N1646&gt;0,"xy",""))</f>
        <v/>
      </c>
      <c r="Q1648" s="317" t="str">
        <f t="shared" si="407"/>
        <v/>
      </c>
      <c r="R1648" s="317" t="str">
        <f t="shared" si="408"/>
        <v/>
      </c>
      <c r="S1648" s="317" t="str">
        <f t="shared" si="409"/>
        <v/>
      </c>
      <c r="V1648" s="314">
        <f>SUM('RES. CENTRAL PARK:RUA_FINAL'!N1648)</f>
        <v>0</v>
      </c>
      <c r="W1648" s="315">
        <f t="shared" si="410"/>
        <v>0</v>
      </c>
    </row>
    <row r="1649" spans="1:23" ht="13.5" hidden="1" thickBot="1" x14ac:dyDescent="0.25">
      <c r="A1649" s="63" t="s">
        <v>147</v>
      </c>
      <c r="B1649" s="895" t="s">
        <v>147</v>
      </c>
      <c r="C1649" s="896"/>
      <c r="D1649" s="957" t="s">
        <v>339</v>
      </c>
      <c r="E1649" s="907">
        <f>DMT!$F$14</f>
        <v>0</v>
      </c>
      <c r="F1649" s="908">
        <v>1.2270000000000001</v>
      </c>
      <c r="G1649" s="949">
        <f t="shared" si="417"/>
        <v>3.2883600000000004</v>
      </c>
      <c r="H1649" s="901">
        <v>0</v>
      </c>
      <c r="I1649" s="901"/>
      <c r="J1649" s="902">
        <v>0</v>
      </c>
      <c r="K1649" s="958" t="s">
        <v>507</v>
      </c>
      <c r="L1649" s="1040">
        <f>ROUND(SUM('RES. CENTRAL PARK:RUA_FINAL'!L1649),2)</f>
        <v>0</v>
      </c>
      <c r="M1649" s="1041">
        <f t="shared" si="405"/>
        <v>0</v>
      </c>
      <c r="N1649" s="893">
        <f t="shared" si="406"/>
        <v>0</v>
      </c>
      <c r="O1649" s="905"/>
      <c r="P1649" s="58" t="str">
        <f>IF(N1646&gt;0,"xx",IF(N1646&gt;0,"xy",""))</f>
        <v/>
      </c>
      <c r="Q1649" s="317" t="str">
        <f t="shared" si="407"/>
        <v/>
      </c>
      <c r="R1649" s="317" t="str">
        <f t="shared" si="408"/>
        <v/>
      </c>
      <c r="S1649" s="317" t="str">
        <f t="shared" si="409"/>
        <v/>
      </c>
      <c r="V1649" s="314">
        <f>SUM('RES. CENTRAL PARK:RUA_FINAL'!N1649)</f>
        <v>0</v>
      </c>
      <c r="W1649" s="315">
        <f t="shared" si="410"/>
        <v>0</v>
      </c>
    </row>
    <row r="1650" spans="1:23" ht="13.5" hidden="1" thickBot="1" x14ac:dyDescent="0.25">
      <c r="A1650" s="63">
        <v>605200</v>
      </c>
      <c r="B1650" s="895" t="s">
        <v>1793</v>
      </c>
      <c r="C1650" s="896" t="s">
        <v>184</v>
      </c>
      <c r="D1650" s="906" t="s">
        <v>340</v>
      </c>
      <c r="E1650" s="907"/>
      <c r="F1650" s="908"/>
      <c r="G1650" s="912">
        <f>SUM(G1651:G1653)</f>
        <v>226.84134000000003</v>
      </c>
      <c r="H1650" s="901">
        <v>471.16</v>
      </c>
      <c r="I1650" s="901">
        <f>IF(ISBLANK(H1650),"",SUM(G1650:H1650))</f>
        <v>698.00134000000003</v>
      </c>
      <c r="J1650" s="902">
        <f t="shared" si="413"/>
        <v>838.09</v>
      </c>
      <c r="K1650" s="903" t="s">
        <v>10</v>
      </c>
      <c r="L1650" s="1039">
        <f>ROUND(SUM('RES. CENTRAL PARK:RUA_FINAL'!L1650),2)</f>
        <v>0</v>
      </c>
      <c r="M1650" s="1039">
        <f t="shared" si="405"/>
        <v>0</v>
      </c>
      <c r="N1650" s="893">
        <f t="shared" si="406"/>
        <v>0</v>
      </c>
      <c r="O1650" s="905"/>
      <c r="Q1650" s="317" t="str">
        <f t="shared" si="407"/>
        <v/>
      </c>
      <c r="R1650" s="317" t="str">
        <f t="shared" si="408"/>
        <v/>
      </c>
      <c r="S1650" s="317" t="str">
        <f t="shared" si="409"/>
        <v/>
      </c>
      <c r="V1650" s="314">
        <f>SUM('RES. CENTRAL PARK:RUA_FINAL'!N1650)</f>
        <v>0</v>
      </c>
      <c r="W1650" s="315">
        <f t="shared" si="410"/>
        <v>0</v>
      </c>
    </row>
    <row r="1651" spans="1:23" ht="13.5" hidden="1" thickBot="1" x14ac:dyDescent="0.25">
      <c r="A1651" s="63" t="s">
        <v>147</v>
      </c>
      <c r="B1651" s="895" t="s">
        <v>147</v>
      </c>
      <c r="C1651" s="896"/>
      <c r="D1651" s="957" t="s">
        <v>190</v>
      </c>
      <c r="E1651" s="907">
        <f>DMT!$D$20</f>
        <v>308</v>
      </c>
      <c r="F1651" s="908">
        <v>0.27</v>
      </c>
      <c r="G1651" s="909">
        <f>IF(E1651&lt;=30,(0.78*E1651+7.82)*F1651,((0.78*30+7.82)+0.78*(E1651-30))*F1651)</f>
        <v>66.976200000000006</v>
      </c>
      <c r="H1651" s="901">
        <v>0</v>
      </c>
      <c r="I1651" s="901"/>
      <c r="J1651" s="902">
        <v>0</v>
      </c>
      <c r="K1651" s="958" t="s">
        <v>507</v>
      </c>
      <c r="L1651" s="1040">
        <f>ROUND(SUM('RES. CENTRAL PARK:RUA_FINAL'!L1651),2)</f>
        <v>0</v>
      </c>
      <c r="M1651" s="1041">
        <f t="shared" si="405"/>
        <v>0</v>
      </c>
      <c r="N1651" s="893">
        <f t="shared" si="406"/>
        <v>0</v>
      </c>
      <c r="O1651" s="905"/>
      <c r="P1651" s="58" t="str">
        <f>IF(N1650&gt;0,"xx",IF(N1650&gt;0,"xy",""))</f>
        <v/>
      </c>
      <c r="Q1651" s="317" t="str">
        <f t="shared" si="407"/>
        <v/>
      </c>
      <c r="R1651" s="317" t="str">
        <f t="shared" si="408"/>
        <v/>
      </c>
      <c r="S1651" s="317" t="str">
        <f t="shared" si="409"/>
        <v/>
      </c>
      <c r="V1651" s="314">
        <f>SUM('RES. CENTRAL PARK:RUA_FINAL'!N1651)</f>
        <v>0</v>
      </c>
      <c r="W1651" s="315">
        <f t="shared" si="410"/>
        <v>0</v>
      </c>
    </row>
    <row r="1652" spans="1:23" ht="13.5" hidden="1" thickBot="1" x14ac:dyDescent="0.25">
      <c r="A1652" s="63" t="s">
        <v>147</v>
      </c>
      <c r="B1652" s="895" t="s">
        <v>147</v>
      </c>
      <c r="C1652" s="896"/>
      <c r="D1652" s="957" t="s">
        <v>229</v>
      </c>
      <c r="E1652" s="907">
        <f>DMT!$F$8</f>
        <v>150</v>
      </c>
      <c r="F1652" s="908">
        <v>0.96</v>
      </c>
      <c r="G1652" s="949">
        <f t="shared" ref="G1652:G1653" si="418">IF(E1652&lt;=30,(1.07*E1652+2.68)*F1652,((1.07*30+2.68)+1.07*(E1652-30))*F1652)</f>
        <v>156.65280000000001</v>
      </c>
      <c r="H1652" s="901">
        <v>0</v>
      </c>
      <c r="I1652" s="901"/>
      <c r="J1652" s="902">
        <v>0</v>
      </c>
      <c r="K1652" s="958" t="s">
        <v>507</v>
      </c>
      <c r="L1652" s="1040">
        <f>ROUND(SUM('RES. CENTRAL PARK:RUA_FINAL'!L1652),2)</f>
        <v>0</v>
      </c>
      <c r="M1652" s="1041">
        <f t="shared" si="405"/>
        <v>0</v>
      </c>
      <c r="N1652" s="893">
        <f t="shared" si="406"/>
        <v>0</v>
      </c>
      <c r="O1652" s="905"/>
      <c r="P1652" s="58" t="str">
        <f>IF(N1650&gt;0,"xx",IF(N1650&gt;0,"xy",""))</f>
        <v/>
      </c>
      <c r="Q1652" s="317" t="str">
        <f t="shared" si="407"/>
        <v/>
      </c>
      <c r="R1652" s="317" t="str">
        <f t="shared" si="408"/>
        <v/>
      </c>
      <c r="S1652" s="317" t="str">
        <f t="shared" si="409"/>
        <v/>
      </c>
      <c r="V1652" s="314">
        <f>SUM('RES. CENTRAL PARK:RUA_FINAL'!N1652)</f>
        <v>0</v>
      </c>
      <c r="W1652" s="315">
        <f t="shared" si="410"/>
        <v>0</v>
      </c>
    </row>
    <row r="1653" spans="1:23" ht="13.5" hidden="1" thickBot="1" x14ac:dyDescent="0.25">
      <c r="A1653" s="63" t="s">
        <v>147</v>
      </c>
      <c r="B1653" s="895" t="s">
        <v>147</v>
      </c>
      <c r="C1653" s="896"/>
      <c r="D1653" s="957" t="s">
        <v>233</v>
      </c>
      <c r="E1653" s="907">
        <f>DMT!$F$10</f>
        <v>0.2</v>
      </c>
      <c r="F1653" s="908">
        <v>1.1100000000000001</v>
      </c>
      <c r="G1653" s="949">
        <f t="shared" si="418"/>
        <v>3.2123400000000006</v>
      </c>
      <c r="H1653" s="901">
        <v>0</v>
      </c>
      <c r="I1653" s="901"/>
      <c r="J1653" s="902">
        <v>0</v>
      </c>
      <c r="K1653" s="958" t="s">
        <v>507</v>
      </c>
      <c r="L1653" s="1040">
        <f>ROUND(SUM('RES. CENTRAL PARK:RUA_FINAL'!L1653),2)</f>
        <v>0</v>
      </c>
      <c r="M1653" s="1041">
        <f t="shared" si="405"/>
        <v>0</v>
      </c>
      <c r="N1653" s="893">
        <f t="shared" si="406"/>
        <v>0</v>
      </c>
      <c r="O1653" s="905"/>
      <c r="P1653" s="58" t="str">
        <f>IF(N1650&gt;0,"xx",IF(N1650&gt;0,"xy",""))</f>
        <v/>
      </c>
      <c r="Q1653" s="317" t="str">
        <f t="shared" si="407"/>
        <v/>
      </c>
      <c r="R1653" s="317" t="str">
        <f t="shared" si="408"/>
        <v/>
      </c>
      <c r="S1653" s="317" t="str">
        <f t="shared" si="409"/>
        <v/>
      </c>
      <c r="V1653" s="314">
        <f>SUM('RES. CENTRAL PARK:RUA_FINAL'!N1653)</f>
        <v>0</v>
      </c>
      <c r="W1653" s="315">
        <f t="shared" si="410"/>
        <v>0</v>
      </c>
    </row>
    <row r="1654" spans="1:23" ht="13.5" hidden="1" thickBot="1" x14ac:dyDescent="0.25">
      <c r="A1654" s="63">
        <v>605300</v>
      </c>
      <c r="B1654" s="895" t="s">
        <v>1795</v>
      </c>
      <c r="C1654" s="896" t="s">
        <v>184</v>
      </c>
      <c r="D1654" s="906" t="s">
        <v>341</v>
      </c>
      <c r="E1654" s="907"/>
      <c r="F1654" s="908"/>
      <c r="G1654" s="912">
        <f>SUM(G1655:G1657)</f>
        <v>235.36092000000002</v>
      </c>
      <c r="H1654" s="901">
        <v>503.25</v>
      </c>
      <c r="I1654" s="901">
        <f>IF(ISBLANK(H1654),"",SUM(G1654:H1654))</f>
        <v>738.61092000000008</v>
      </c>
      <c r="J1654" s="902">
        <f t="shared" si="413"/>
        <v>886.85</v>
      </c>
      <c r="K1654" s="903" t="s">
        <v>10</v>
      </c>
      <c r="L1654" s="1039">
        <f>ROUND(SUM('RES. CENTRAL PARK:RUA_FINAL'!L1654),2)</f>
        <v>0</v>
      </c>
      <c r="M1654" s="1039">
        <f t="shared" si="405"/>
        <v>0</v>
      </c>
      <c r="N1654" s="893">
        <f t="shared" si="406"/>
        <v>0</v>
      </c>
      <c r="O1654" s="905"/>
      <c r="Q1654" s="317" t="str">
        <f t="shared" si="407"/>
        <v/>
      </c>
      <c r="R1654" s="317" t="str">
        <f t="shared" si="408"/>
        <v/>
      </c>
      <c r="S1654" s="317" t="str">
        <f t="shared" si="409"/>
        <v/>
      </c>
      <c r="V1654" s="314">
        <f>SUM('RES. CENTRAL PARK:RUA_FINAL'!N1654)</f>
        <v>0</v>
      </c>
      <c r="W1654" s="315">
        <f t="shared" si="410"/>
        <v>0</v>
      </c>
    </row>
    <row r="1655" spans="1:23" ht="13.5" hidden="1" thickBot="1" x14ac:dyDescent="0.25">
      <c r="A1655" s="63" t="s">
        <v>147</v>
      </c>
      <c r="B1655" s="895" t="s">
        <v>147</v>
      </c>
      <c r="C1655" s="896"/>
      <c r="D1655" s="957" t="s">
        <v>190</v>
      </c>
      <c r="E1655" s="907">
        <f>DMT!$D$20</f>
        <v>308</v>
      </c>
      <c r="F1655" s="908">
        <v>0.33</v>
      </c>
      <c r="G1655" s="909">
        <f>IF(E1655&lt;=30,(0.78*E1655+7.82)*F1655,((0.78*30+7.82)+0.78*(E1655-30))*F1655)</f>
        <v>81.859800000000007</v>
      </c>
      <c r="H1655" s="901">
        <v>0</v>
      </c>
      <c r="I1655" s="901"/>
      <c r="J1655" s="902">
        <v>0</v>
      </c>
      <c r="K1655" s="958" t="s">
        <v>507</v>
      </c>
      <c r="L1655" s="1040">
        <f>ROUND(SUM('RES. CENTRAL PARK:RUA_FINAL'!L1655),2)</f>
        <v>0</v>
      </c>
      <c r="M1655" s="1041">
        <f t="shared" si="405"/>
        <v>0</v>
      </c>
      <c r="N1655" s="893">
        <f t="shared" si="406"/>
        <v>0</v>
      </c>
      <c r="O1655" s="905"/>
      <c r="P1655" s="58" t="str">
        <f>IF(N1654&gt;0,"xx",IF(N1654&gt;0,"xy",""))</f>
        <v/>
      </c>
      <c r="Q1655" s="317" t="str">
        <f t="shared" si="407"/>
        <v/>
      </c>
      <c r="R1655" s="317" t="str">
        <f t="shared" si="408"/>
        <v/>
      </c>
      <c r="S1655" s="317" t="str">
        <f t="shared" si="409"/>
        <v/>
      </c>
      <c r="V1655" s="314">
        <f>SUM('RES. CENTRAL PARK:RUA_FINAL'!N1655)</f>
        <v>0</v>
      </c>
      <c r="W1655" s="315">
        <f t="shared" si="410"/>
        <v>0</v>
      </c>
    </row>
    <row r="1656" spans="1:23" ht="13.5" hidden="1" thickBot="1" x14ac:dyDescent="0.25">
      <c r="A1656" s="63" t="s">
        <v>147</v>
      </c>
      <c r="B1656" s="895" t="s">
        <v>147</v>
      </c>
      <c r="C1656" s="896"/>
      <c r="D1656" s="957" t="s">
        <v>229</v>
      </c>
      <c r="E1656" s="907">
        <f>DMT!$F$8</f>
        <v>150</v>
      </c>
      <c r="F1656" s="908">
        <v>0.92100000000000004</v>
      </c>
      <c r="G1656" s="949">
        <f t="shared" ref="G1656:G1657" si="419">IF(E1656&lt;=30,(1.07*E1656+2.68)*F1656,((1.07*30+2.68)+1.07*(E1656-30))*F1656)</f>
        <v>150.28878</v>
      </c>
      <c r="H1656" s="901">
        <v>0</v>
      </c>
      <c r="I1656" s="901"/>
      <c r="J1656" s="902">
        <v>0</v>
      </c>
      <c r="K1656" s="958" t="s">
        <v>507</v>
      </c>
      <c r="L1656" s="1040">
        <f>ROUND(SUM('RES. CENTRAL PARK:RUA_FINAL'!L1656),2)</f>
        <v>0</v>
      </c>
      <c r="M1656" s="1041">
        <f t="shared" si="405"/>
        <v>0</v>
      </c>
      <c r="N1656" s="893">
        <f t="shared" si="406"/>
        <v>0</v>
      </c>
      <c r="O1656" s="905"/>
      <c r="P1656" s="58" t="str">
        <f>IF(N1654&gt;0,"xx",IF(N1654&gt;0,"xy",""))</f>
        <v/>
      </c>
      <c r="Q1656" s="317" t="str">
        <f t="shared" si="407"/>
        <v/>
      </c>
      <c r="R1656" s="317" t="str">
        <f t="shared" si="408"/>
        <v/>
      </c>
      <c r="S1656" s="317" t="str">
        <f t="shared" si="409"/>
        <v/>
      </c>
      <c r="V1656" s="314">
        <f>SUM('RES. CENTRAL PARK:RUA_FINAL'!N1656)</f>
        <v>0</v>
      </c>
      <c r="W1656" s="315">
        <f t="shared" si="410"/>
        <v>0</v>
      </c>
    </row>
    <row r="1657" spans="1:23" ht="13.5" hidden="1" thickBot="1" x14ac:dyDescent="0.25">
      <c r="A1657" s="63" t="s">
        <v>147</v>
      </c>
      <c r="B1657" s="895" t="s">
        <v>147</v>
      </c>
      <c r="C1657" s="896"/>
      <c r="D1657" s="957" t="s">
        <v>233</v>
      </c>
      <c r="E1657" s="907">
        <f>DMT!$F$10</f>
        <v>0.2</v>
      </c>
      <c r="F1657" s="908">
        <v>1.1100000000000001</v>
      </c>
      <c r="G1657" s="949">
        <f t="shared" si="419"/>
        <v>3.2123400000000006</v>
      </c>
      <c r="H1657" s="901">
        <v>0</v>
      </c>
      <c r="I1657" s="901"/>
      <c r="J1657" s="902">
        <v>0</v>
      </c>
      <c r="K1657" s="958" t="s">
        <v>507</v>
      </c>
      <c r="L1657" s="1040">
        <f>ROUND(SUM('RES. CENTRAL PARK:RUA_FINAL'!L1657),2)</f>
        <v>0</v>
      </c>
      <c r="M1657" s="1041">
        <f t="shared" si="405"/>
        <v>0</v>
      </c>
      <c r="N1657" s="893">
        <f t="shared" si="406"/>
        <v>0</v>
      </c>
      <c r="O1657" s="905"/>
      <c r="P1657" s="58" t="str">
        <f>IF(N1654&gt;0,"xx",IF(N1654&gt;0,"xy",""))</f>
        <v/>
      </c>
      <c r="Q1657" s="317" t="str">
        <f t="shared" si="407"/>
        <v/>
      </c>
      <c r="R1657" s="317" t="str">
        <f t="shared" si="408"/>
        <v/>
      </c>
      <c r="S1657" s="317" t="str">
        <f t="shared" si="409"/>
        <v/>
      </c>
      <c r="V1657" s="314">
        <f>SUM('RES. CENTRAL PARK:RUA_FINAL'!N1657)</f>
        <v>0</v>
      </c>
      <c r="W1657" s="315">
        <f t="shared" si="410"/>
        <v>0</v>
      </c>
    </row>
    <row r="1658" spans="1:23" ht="13.5" hidden="1" thickBot="1" x14ac:dyDescent="0.25">
      <c r="A1658" s="63">
        <v>605400</v>
      </c>
      <c r="B1658" s="895" t="s">
        <v>1797</v>
      </c>
      <c r="C1658" s="896" t="s">
        <v>184</v>
      </c>
      <c r="D1658" s="906" t="s">
        <v>342</v>
      </c>
      <c r="E1658" s="907"/>
      <c r="F1658" s="908"/>
      <c r="G1658" s="912">
        <f>SUM(G1659:G1661)</f>
        <v>254.98858000000001</v>
      </c>
      <c r="H1658" s="901">
        <v>510.89</v>
      </c>
      <c r="I1658" s="901">
        <f>IF(ISBLANK(H1658),"",SUM(G1658:H1658))</f>
        <v>765.87858000000006</v>
      </c>
      <c r="J1658" s="902">
        <f t="shared" si="413"/>
        <v>919.59</v>
      </c>
      <c r="K1658" s="903" t="s">
        <v>10</v>
      </c>
      <c r="L1658" s="1039">
        <f>ROUND(SUM('RES. CENTRAL PARK:RUA_FINAL'!L1658),2)</f>
        <v>0</v>
      </c>
      <c r="M1658" s="1039">
        <f t="shared" si="405"/>
        <v>0</v>
      </c>
      <c r="N1658" s="893">
        <f t="shared" si="406"/>
        <v>0</v>
      </c>
      <c r="O1658" s="905"/>
      <c r="Q1658" s="317" t="str">
        <f t="shared" si="407"/>
        <v/>
      </c>
      <c r="R1658" s="317" t="str">
        <f t="shared" si="408"/>
        <v/>
      </c>
      <c r="S1658" s="317" t="str">
        <f t="shared" si="409"/>
        <v/>
      </c>
      <c r="V1658" s="314">
        <f>SUM('RES. CENTRAL PARK:RUA_FINAL'!N1658)</f>
        <v>0</v>
      </c>
      <c r="W1658" s="315">
        <f t="shared" si="410"/>
        <v>0</v>
      </c>
    </row>
    <row r="1659" spans="1:23" ht="13.5" hidden="1" thickBot="1" x14ac:dyDescent="0.25">
      <c r="A1659" s="63" t="s">
        <v>147</v>
      </c>
      <c r="B1659" s="895" t="s">
        <v>147</v>
      </c>
      <c r="C1659" s="896"/>
      <c r="D1659" s="957" t="s">
        <v>190</v>
      </c>
      <c r="E1659" s="907">
        <f>DMT!$D$20</f>
        <v>308</v>
      </c>
      <c r="F1659" s="908">
        <v>0.34399999999999997</v>
      </c>
      <c r="G1659" s="909">
        <f>IF(E1659&lt;=30,(0.78*E1659+7.82)*F1659,((0.78*30+7.82)+0.78*(E1659-30))*F1659)</f>
        <v>85.332639999999998</v>
      </c>
      <c r="H1659" s="901">
        <v>0</v>
      </c>
      <c r="I1659" s="901"/>
      <c r="J1659" s="902">
        <v>0</v>
      </c>
      <c r="K1659" s="958" t="s">
        <v>507</v>
      </c>
      <c r="L1659" s="1040">
        <f>ROUND(SUM('RES. CENTRAL PARK:RUA_FINAL'!L1659),2)</f>
        <v>0</v>
      </c>
      <c r="M1659" s="1041">
        <f t="shared" si="405"/>
        <v>0</v>
      </c>
      <c r="N1659" s="893">
        <f t="shared" si="406"/>
        <v>0</v>
      </c>
      <c r="O1659" s="905"/>
      <c r="P1659" s="58" t="str">
        <f>IF(N1658&gt;0,"xx",IF(N1658&gt;0,"xy",""))</f>
        <v/>
      </c>
      <c r="Q1659" s="317" t="str">
        <f t="shared" si="407"/>
        <v/>
      </c>
      <c r="R1659" s="317" t="str">
        <f t="shared" si="408"/>
        <v/>
      </c>
      <c r="S1659" s="317" t="str">
        <f t="shared" si="409"/>
        <v/>
      </c>
      <c r="V1659" s="314">
        <f>SUM('RES. CENTRAL PARK:RUA_FINAL'!N1659)</f>
        <v>0</v>
      </c>
      <c r="W1659" s="315">
        <f t="shared" si="410"/>
        <v>0</v>
      </c>
    </row>
    <row r="1660" spans="1:23" ht="13.5" hidden="1" thickBot="1" x14ac:dyDescent="0.25">
      <c r="A1660" s="63" t="s">
        <v>147</v>
      </c>
      <c r="B1660" s="895" t="s">
        <v>147</v>
      </c>
      <c r="C1660" s="896"/>
      <c r="D1660" s="957" t="s">
        <v>229</v>
      </c>
      <c r="E1660" s="907">
        <f>DMT!$F$8</f>
        <v>150</v>
      </c>
      <c r="F1660" s="908">
        <v>1.02</v>
      </c>
      <c r="G1660" s="949">
        <f t="shared" ref="G1660:G1661" si="420">IF(E1660&lt;=30,(1.07*E1660+2.68)*F1660,((1.07*30+2.68)+1.07*(E1660-30))*F1660)</f>
        <v>166.4436</v>
      </c>
      <c r="H1660" s="901">
        <v>0</v>
      </c>
      <c r="I1660" s="901"/>
      <c r="J1660" s="902">
        <v>0</v>
      </c>
      <c r="K1660" s="958" t="s">
        <v>507</v>
      </c>
      <c r="L1660" s="1040">
        <f>ROUND(SUM('RES. CENTRAL PARK:RUA_FINAL'!L1660),2)</f>
        <v>0</v>
      </c>
      <c r="M1660" s="1041">
        <f t="shared" si="405"/>
        <v>0</v>
      </c>
      <c r="N1660" s="893">
        <f t="shared" si="406"/>
        <v>0</v>
      </c>
      <c r="O1660" s="905"/>
      <c r="P1660" s="58" t="str">
        <f>IF(N1658&gt;0,"xx",IF(N1658&gt;0,"xy",""))</f>
        <v/>
      </c>
      <c r="Q1660" s="317" t="str">
        <f t="shared" si="407"/>
        <v/>
      </c>
      <c r="R1660" s="317" t="str">
        <f t="shared" si="408"/>
        <v/>
      </c>
      <c r="S1660" s="317" t="str">
        <f t="shared" si="409"/>
        <v/>
      </c>
      <c r="V1660" s="314">
        <f>SUM('RES. CENTRAL PARK:RUA_FINAL'!N1660)</f>
        <v>0</v>
      </c>
      <c r="W1660" s="315">
        <f t="shared" si="410"/>
        <v>0</v>
      </c>
    </row>
    <row r="1661" spans="1:23" ht="13.5" hidden="1" thickBot="1" x14ac:dyDescent="0.25">
      <c r="A1661" s="63" t="s">
        <v>147</v>
      </c>
      <c r="B1661" s="895" t="s">
        <v>147</v>
      </c>
      <c r="C1661" s="896"/>
      <c r="D1661" s="957" t="s">
        <v>233</v>
      </c>
      <c r="E1661" s="907">
        <f>DMT!$F$10</f>
        <v>0.2</v>
      </c>
      <c r="F1661" s="908">
        <v>1.1100000000000001</v>
      </c>
      <c r="G1661" s="949">
        <f t="shared" si="420"/>
        <v>3.2123400000000006</v>
      </c>
      <c r="H1661" s="901">
        <v>0</v>
      </c>
      <c r="I1661" s="901"/>
      <c r="J1661" s="902">
        <v>0</v>
      </c>
      <c r="K1661" s="958" t="s">
        <v>507</v>
      </c>
      <c r="L1661" s="1040">
        <f>ROUND(SUM('RES. CENTRAL PARK:RUA_FINAL'!L1661),2)</f>
        <v>0</v>
      </c>
      <c r="M1661" s="1041">
        <f t="shared" si="405"/>
        <v>0</v>
      </c>
      <c r="N1661" s="893">
        <f t="shared" si="406"/>
        <v>0</v>
      </c>
      <c r="O1661" s="905"/>
      <c r="P1661" s="58" t="str">
        <f>IF(N1658&gt;0,"xx",IF(N1658&gt;0,"xy",""))</f>
        <v/>
      </c>
      <c r="Q1661" s="317" t="str">
        <f t="shared" si="407"/>
        <v/>
      </c>
      <c r="R1661" s="317" t="str">
        <f t="shared" si="408"/>
        <v/>
      </c>
      <c r="S1661" s="317" t="str">
        <f t="shared" si="409"/>
        <v/>
      </c>
      <c r="V1661" s="314">
        <f>SUM('RES. CENTRAL PARK:RUA_FINAL'!N1661)</f>
        <v>0</v>
      </c>
      <c r="W1661" s="315">
        <f t="shared" si="410"/>
        <v>0</v>
      </c>
    </row>
    <row r="1662" spans="1:23" ht="13.5" hidden="1" thickBot="1" x14ac:dyDescent="0.25">
      <c r="A1662" s="63">
        <v>831000</v>
      </c>
      <c r="B1662" s="895" t="s">
        <v>1699</v>
      </c>
      <c r="C1662" s="896" t="s">
        <v>184</v>
      </c>
      <c r="D1662" s="906" t="s">
        <v>265</v>
      </c>
      <c r="E1662" s="907"/>
      <c r="F1662" s="908"/>
      <c r="G1662" s="912"/>
      <c r="H1662" s="901">
        <v>41.45</v>
      </c>
      <c r="I1662" s="901">
        <f t="shared" ref="I1662:I1669" si="421">IF(ISBLANK(H1662),"",SUM(G1662:H1662))</f>
        <v>41.45</v>
      </c>
      <c r="J1662" s="902">
        <f t="shared" si="413"/>
        <v>49.77</v>
      </c>
      <c r="K1662" s="903" t="s">
        <v>13</v>
      </c>
      <c r="L1662" s="1039">
        <f>ROUND(SUM('RES. CENTRAL PARK:RUA_FINAL'!L1662),2)</f>
        <v>0</v>
      </c>
      <c r="M1662" s="1039">
        <f t="shared" si="405"/>
        <v>0</v>
      </c>
      <c r="N1662" s="893">
        <f t="shared" si="406"/>
        <v>0</v>
      </c>
      <c r="O1662" s="905"/>
      <c r="Q1662" s="317" t="str">
        <f t="shared" si="407"/>
        <v/>
      </c>
      <c r="R1662" s="317" t="str">
        <f t="shared" si="408"/>
        <v/>
      </c>
      <c r="S1662" s="317" t="str">
        <f t="shared" si="409"/>
        <v/>
      </c>
      <c r="V1662" s="314">
        <f>SUM('RES. CENTRAL PARK:RUA_FINAL'!N1662)</f>
        <v>0</v>
      </c>
      <c r="W1662" s="315">
        <f t="shared" si="410"/>
        <v>0</v>
      </c>
    </row>
    <row r="1663" spans="1:23" ht="13.5" hidden="1" thickBot="1" x14ac:dyDescent="0.25">
      <c r="A1663" s="63">
        <v>830000</v>
      </c>
      <c r="B1663" s="895" t="s">
        <v>1700</v>
      </c>
      <c r="C1663" s="896" t="s">
        <v>184</v>
      </c>
      <c r="D1663" s="906" t="s">
        <v>266</v>
      </c>
      <c r="E1663" s="907"/>
      <c r="F1663" s="908"/>
      <c r="G1663" s="912"/>
      <c r="H1663" s="901">
        <v>36.44</v>
      </c>
      <c r="I1663" s="901">
        <f t="shared" si="421"/>
        <v>36.44</v>
      </c>
      <c r="J1663" s="902">
        <f t="shared" si="413"/>
        <v>43.75</v>
      </c>
      <c r="K1663" s="903" t="s">
        <v>13</v>
      </c>
      <c r="L1663" s="1039">
        <f>ROUND(SUM('RES. CENTRAL PARK:RUA_FINAL'!L1663),2)</f>
        <v>0</v>
      </c>
      <c r="M1663" s="1039">
        <f t="shared" si="405"/>
        <v>0</v>
      </c>
      <c r="N1663" s="893">
        <f t="shared" si="406"/>
        <v>0</v>
      </c>
      <c r="O1663" s="905"/>
      <c r="Q1663" s="317" t="str">
        <f t="shared" si="407"/>
        <v/>
      </c>
      <c r="R1663" s="317" t="str">
        <f t="shared" si="408"/>
        <v/>
      </c>
      <c r="S1663" s="317" t="str">
        <f t="shared" si="409"/>
        <v/>
      </c>
      <c r="V1663" s="314">
        <f>SUM('RES. CENTRAL PARK:RUA_FINAL'!N1663)</f>
        <v>0</v>
      </c>
      <c r="W1663" s="315">
        <f t="shared" si="410"/>
        <v>0</v>
      </c>
    </row>
    <row r="1664" spans="1:23" ht="13.5" hidden="1" thickBot="1" x14ac:dyDescent="0.25">
      <c r="A1664" s="63">
        <v>823000</v>
      </c>
      <c r="B1664" s="895" t="s">
        <v>1789</v>
      </c>
      <c r="C1664" s="896" t="s">
        <v>184</v>
      </c>
      <c r="D1664" s="906" t="s">
        <v>267</v>
      </c>
      <c r="E1664" s="907"/>
      <c r="F1664" s="908"/>
      <c r="G1664" s="912"/>
      <c r="H1664" s="901">
        <v>490.71</v>
      </c>
      <c r="I1664" s="901">
        <f t="shared" si="421"/>
        <v>490.71</v>
      </c>
      <c r="J1664" s="902">
        <f t="shared" si="413"/>
        <v>589.20000000000005</v>
      </c>
      <c r="K1664" s="903" t="s">
        <v>13</v>
      </c>
      <c r="L1664" s="1039">
        <f>ROUND(SUM('RES. CENTRAL PARK:RUA_FINAL'!L1664),2)</f>
        <v>0</v>
      </c>
      <c r="M1664" s="1039">
        <f t="shared" si="405"/>
        <v>0</v>
      </c>
      <c r="N1664" s="893">
        <f t="shared" si="406"/>
        <v>0</v>
      </c>
      <c r="O1664" s="905"/>
      <c r="Q1664" s="317" t="str">
        <f t="shared" si="407"/>
        <v/>
      </c>
      <c r="R1664" s="317" t="str">
        <f t="shared" si="408"/>
        <v/>
      </c>
      <c r="S1664" s="317" t="str">
        <f t="shared" si="409"/>
        <v/>
      </c>
      <c r="V1664" s="314">
        <f>SUM('RES. CENTRAL PARK:RUA_FINAL'!N1664)</f>
        <v>0</v>
      </c>
      <c r="W1664" s="315">
        <f t="shared" si="410"/>
        <v>0</v>
      </c>
    </row>
    <row r="1665" spans="1:23" ht="13.5" hidden="1" thickBot="1" x14ac:dyDescent="0.25">
      <c r="A1665" s="63">
        <v>97623</v>
      </c>
      <c r="B1665" s="895" t="s">
        <v>1723</v>
      </c>
      <c r="C1665" s="896" t="s">
        <v>596</v>
      </c>
      <c r="D1665" s="897" t="s">
        <v>1724</v>
      </c>
      <c r="E1665" s="898"/>
      <c r="F1665" s="899"/>
      <c r="G1665" s="900"/>
      <c r="H1665" s="901">
        <v>201.31</v>
      </c>
      <c r="I1665" s="901">
        <f t="shared" si="421"/>
        <v>201.31</v>
      </c>
      <c r="J1665" s="902">
        <f t="shared" si="413"/>
        <v>241.71</v>
      </c>
      <c r="K1665" s="903" t="s">
        <v>10</v>
      </c>
      <c r="L1665" s="1042">
        <f>ROUND(SUM('RES. CENTRAL PARK:RUA_FINAL'!L1665),2)</f>
        <v>0</v>
      </c>
      <c r="M1665" s="1043">
        <f t="shared" si="405"/>
        <v>0</v>
      </c>
      <c r="N1665" s="893">
        <f t="shared" si="406"/>
        <v>0</v>
      </c>
      <c r="O1665" s="905"/>
      <c r="Q1665" s="317" t="str">
        <f t="shared" si="407"/>
        <v/>
      </c>
      <c r="R1665" s="317" t="str">
        <f t="shared" si="408"/>
        <v/>
      </c>
      <c r="S1665" s="317" t="str">
        <f t="shared" si="409"/>
        <v/>
      </c>
      <c r="V1665" s="314">
        <f>SUM('RES. CENTRAL PARK:RUA_FINAL'!N1665)</f>
        <v>0</v>
      </c>
      <c r="W1665" s="315">
        <f t="shared" si="410"/>
        <v>0</v>
      </c>
    </row>
    <row r="1666" spans="1:23" ht="13.5" hidden="1" thickBot="1" x14ac:dyDescent="0.25">
      <c r="A1666" s="63">
        <v>97624</v>
      </c>
      <c r="B1666" s="895" t="s">
        <v>1720</v>
      </c>
      <c r="C1666" s="896" t="s">
        <v>596</v>
      </c>
      <c r="D1666" s="897" t="s">
        <v>1721</v>
      </c>
      <c r="E1666" s="898"/>
      <c r="F1666" s="899"/>
      <c r="G1666" s="900"/>
      <c r="H1666" s="901">
        <v>123.54</v>
      </c>
      <c r="I1666" s="901">
        <f t="shared" si="421"/>
        <v>123.54</v>
      </c>
      <c r="J1666" s="902">
        <f t="shared" si="413"/>
        <v>148.33000000000001</v>
      </c>
      <c r="K1666" s="903" t="s">
        <v>10</v>
      </c>
      <c r="L1666" s="1042">
        <f>ROUND(SUM('RES. CENTRAL PARK:RUA_FINAL'!L1666),2)</f>
        <v>0</v>
      </c>
      <c r="M1666" s="1043">
        <f t="shared" si="405"/>
        <v>0</v>
      </c>
      <c r="N1666" s="893">
        <f t="shared" si="406"/>
        <v>0</v>
      </c>
      <c r="O1666" s="905"/>
      <c r="Q1666" s="317" t="str">
        <f t="shared" si="407"/>
        <v/>
      </c>
      <c r="R1666" s="317" t="str">
        <f t="shared" si="408"/>
        <v/>
      </c>
      <c r="S1666" s="317" t="str">
        <f t="shared" si="409"/>
        <v/>
      </c>
      <c r="V1666" s="314">
        <f>SUM('RES. CENTRAL PARK:RUA_FINAL'!N1666)</f>
        <v>0</v>
      </c>
      <c r="W1666" s="315">
        <f t="shared" si="410"/>
        <v>0</v>
      </c>
    </row>
    <row r="1667" spans="1:23" ht="13.5" hidden="1" thickBot="1" x14ac:dyDescent="0.25">
      <c r="A1667" s="63">
        <v>606500</v>
      </c>
      <c r="B1667" s="895" t="s">
        <v>1726</v>
      </c>
      <c r="C1667" s="896" t="s">
        <v>184</v>
      </c>
      <c r="D1667" s="897" t="s">
        <v>466</v>
      </c>
      <c r="E1667" s="898"/>
      <c r="F1667" s="899"/>
      <c r="G1667" s="900"/>
      <c r="H1667" s="901">
        <v>182.46</v>
      </c>
      <c r="I1667" s="901">
        <f t="shared" si="421"/>
        <v>182.46</v>
      </c>
      <c r="J1667" s="902">
        <f t="shared" si="413"/>
        <v>219.08</v>
      </c>
      <c r="K1667" s="903" t="s">
        <v>10</v>
      </c>
      <c r="L1667" s="1042">
        <f>ROUND(SUM('RES. CENTRAL PARK:RUA_FINAL'!L1667),2)</f>
        <v>0</v>
      </c>
      <c r="M1667" s="1043">
        <f t="shared" si="405"/>
        <v>0</v>
      </c>
      <c r="N1667" s="893">
        <f t="shared" si="406"/>
        <v>0</v>
      </c>
      <c r="O1667" s="905"/>
      <c r="Q1667" s="317" t="str">
        <f t="shared" si="407"/>
        <v/>
      </c>
      <c r="R1667" s="317" t="str">
        <f t="shared" si="408"/>
        <v/>
      </c>
      <c r="S1667" s="317" t="str">
        <f t="shared" si="409"/>
        <v/>
      </c>
      <c r="V1667" s="314">
        <f>SUM('RES. CENTRAL PARK:RUA_FINAL'!N1667)</f>
        <v>0</v>
      </c>
      <c r="W1667" s="315">
        <f t="shared" si="410"/>
        <v>0</v>
      </c>
    </row>
    <row r="1668" spans="1:23" ht="13.5" hidden="1" thickBot="1" x14ac:dyDescent="0.25">
      <c r="A1668" s="63">
        <v>841000</v>
      </c>
      <c r="B1668" s="895" t="s">
        <v>1716</v>
      </c>
      <c r="C1668" s="896" t="s">
        <v>184</v>
      </c>
      <c r="D1668" s="906" t="s">
        <v>445</v>
      </c>
      <c r="E1668" s="907"/>
      <c r="F1668" s="908"/>
      <c r="G1668" s="912"/>
      <c r="H1668" s="901">
        <v>12.51</v>
      </c>
      <c r="I1668" s="901">
        <f t="shared" si="421"/>
        <v>12.51</v>
      </c>
      <c r="J1668" s="902">
        <f t="shared" si="413"/>
        <v>15.02</v>
      </c>
      <c r="K1668" s="903" t="s">
        <v>13</v>
      </c>
      <c r="L1668" s="1039">
        <f>ROUND(SUM('RES. CENTRAL PARK:RUA_FINAL'!L1668),2)</f>
        <v>0</v>
      </c>
      <c r="M1668" s="1039">
        <f t="shared" si="405"/>
        <v>0</v>
      </c>
      <c r="N1668" s="893">
        <f t="shared" si="406"/>
        <v>0</v>
      </c>
      <c r="O1668" s="905"/>
      <c r="Q1668" s="317" t="str">
        <f t="shared" si="407"/>
        <v/>
      </c>
      <c r="R1668" s="317" t="str">
        <f t="shared" si="408"/>
        <v/>
      </c>
      <c r="S1668" s="317" t="str">
        <f t="shared" si="409"/>
        <v/>
      </c>
      <c r="V1668" s="314">
        <f>SUM('RES. CENTRAL PARK:RUA_FINAL'!N1668)</f>
        <v>0</v>
      </c>
      <c r="W1668" s="315">
        <f t="shared" si="410"/>
        <v>0</v>
      </c>
    </row>
    <row r="1669" spans="1:23" ht="13.5" hidden="1" thickBot="1" x14ac:dyDescent="0.25">
      <c r="A1669" s="63">
        <v>840000</v>
      </c>
      <c r="B1669" s="895" t="s">
        <v>1718</v>
      </c>
      <c r="C1669" s="896" t="s">
        <v>184</v>
      </c>
      <c r="D1669" s="906" t="s">
        <v>264</v>
      </c>
      <c r="E1669" s="907"/>
      <c r="F1669" s="908"/>
      <c r="G1669" s="912"/>
      <c r="H1669" s="901">
        <v>34.53</v>
      </c>
      <c r="I1669" s="901">
        <f t="shared" si="421"/>
        <v>34.53</v>
      </c>
      <c r="J1669" s="902">
        <f t="shared" si="413"/>
        <v>41.46</v>
      </c>
      <c r="K1669" s="903" t="s">
        <v>13</v>
      </c>
      <c r="L1669" s="1039">
        <f>ROUND(SUM('RES. CENTRAL PARK:RUA_FINAL'!L1669),2)</f>
        <v>0</v>
      </c>
      <c r="M1669" s="1039">
        <f t="shared" si="405"/>
        <v>0</v>
      </c>
      <c r="N1669" s="893">
        <f t="shared" si="406"/>
        <v>0</v>
      </c>
      <c r="O1669" s="905"/>
      <c r="Q1669" s="317" t="str">
        <f t="shared" si="407"/>
        <v/>
      </c>
      <c r="R1669" s="317" t="str">
        <f t="shared" si="408"/>
        <v/>
      </c>
      <c r="S1669" s="317" t="str">
        <f t="shared" si="409"/>
        <v/>
      </c>
      <c r="V1669" s="314">
        <f>SUM('RES. CENTRAL PARK:RUA_FINAL'!N1669)</f>
        <v>0</v>
      </c>
      <c r="W1669" s="315">
        <f t="shared" si="410"/>
        <v>0</v>
      </c>
    </row>
    <row r="1670" spans="1:23" ht="13.5" hidden="1" thickBot="1" x14ac:dyDescent="0.25">
      <c r="A1670" s="63">
        <v>606600</v>
      </c>
      <c r="B1670" s="895" t="s">
        <v>1702</v>
      </c>
      <c r="C1670" s="896" t="s">
        <v>184</v>
      </c>
      <c r="D1670" s="906" t="s">
        <v>178</v>
      </c>
      <c r="E1670" s="907"/>
      <c r="F1670" s="908"/>
      <c r="G1670" s="912"/>
      <c r="H1670" s="901">
        <v>309.52999999999997</v>
      </c>
      <c r="I1670" s="901">
        <f t="shared" ref="I1670:I1675" si="422">IF(ISBLANK(H1670),"",SUM(G1670:H1670))</f>
        <v>309.52999999999997</v>
      </c>
      <c r="J1670" s="902">
        <f t="shared" si="413"/>
        <v>371.65</v>
      </c>
      <c r="K1670" s="903" t="s">
        <v>10</v>
      </c>
      <c r="L1670" s="1039">
        <f>ROUND(SUM('RES. CENTRAL PARK:RUA_FINAL'!L1670),2)</f>
        <v>0</v>
      </c>
      <c r="M1670" s="1039">
        <f t="shared" si="405"/>
        <v>0</v>
      </c>
      <c r="N1670" s="893">
        <f t="shared" si="406"/>
        <v>0</v>
      </c>
      <c r="O1670" s="905"/>
      <c r="Q1670" s="317" t="str">
        <f t="shared" si="407"/>
        <v/>
      </c>
      <c r="R1670" s="317" t="str">
        <f t="shared" si="408"/>
        <v/>
      </c>
      <c r="S1670" s="317" t="str">
        <f t="shared" si="409"/>
        <v/>
      </c>
      <c r="V1670" s="314">
        <f>SUM('RES. CENTRAL PARK:RUA_FINAL'!N1670)</f>
        <v>0</v>
      </c>
      <c r="W1670" s="315">
        <f t="shared" si="410"/>
        <v>0</v>
      </c>
    </row>
    <row r="1671" spans="1:23" ht="13.5" hidden="1" thickBot="1" x14ac:dyDescent="0.25">
      <c r="A1671" s="63">
        <v>606700</v>
      </c>
      <c r="B1671" s="895" t="s">
        <v>1705</v>
      </c>
      <c r="C1671" s="896" t="s">
        <v>184</v>
      </c>
      <c r="D1671" s="906" t="s">
        <v>258</v>
      </c>
      <c r="E1671" s="907"/>
      <c r="F1671" s="908"/>
      <c r="G1671" s="912"/>
      <c r="H1671" s="901">
        <v>148.04</v>
      </c>
      <c r="I1671" s="901">
        <f t="shared" si="422"/>
        <v>148.04</v>
      </c>
      <c r="J1671" s="902">
        <f t="shared" si="413"/>
        <v>177.75</v>
      </c>
      <c r="K1671" s="903" t="s">
        <v>10</v>
      </c>
      <c r="L1671" s="1039">
        <f>ROUND(SUM('RES. CENTRAL PARK:RUA_FINAL'!L1671),2)</f>
        <v>0</v>
      </c>
      <c r="M1671" s="1039">
        <f t="shared" si="405"/>
        <v>0</v>
      </c>
      <c r="N1671" s="893">
        <f t="shared" si="406"/>
        <v>0</v>
      </c>
      <c r="O1671" s="905"/>
      <c r="Q1671" s="317" t="str">
        <f t="shared" si="407"/>
        <v/>
      </c>
      <c r="R1671" s="317" t="str">
        <f t="shared" si="408"/>
        <v/>
      </c>
      <c r="S1671" s="317" t="str">
        <f t="shared" si="409"/>
        <v/>
      </c>
      <c r="V1671" s="314">
        <f>SUM('RES. CENTRAL PARK:RUA_FINAL'!N1671)</f>
        <v>0</v>
      </c>
      <c r="W1671" s="315">
        <f t="shared" si="410"/>
        <v>0</v>
      </c>
    </row>
    <row r="1672" spans="1:23" ht="13.5" hidden="1" thickBot="1" x14ac:dyDescent="0.25">
      <c r="A1672" s="63">
        <v>603700</v>
      </c>
      <c r="B1672" s="895" t="s">
        <v>1799</v>
      </c>
      <c r="C1672" s="896" t="s">
        <v>184</v>
      </c>
      <c r="D1672" s="906" t="s">
        <v>327</v>
      </c>
      <c r="E1672" s="907">
        <f>DMT!$F$14</f>
        <v>0</v>
      </c>
      <c r="F1672" s="908">
        <v>1.8</v>
      </c>
      <c r="G1672" s="949">
        <f t="shared" ref="G1672:G1673" si="423">IF(E1672&lt;=30,(1.07*E1672+2.68)*F1672,((1.07*30+2.68)+1.07*(E1672-30))*F1672)</f>
        <v>4.8240000000000007</v>
      </c>
      <c r="H1672" s="901">
        <v>213.87</v>
      </c>
      <c r="I1672" s="901">
        <f t="shared" si="422"/>
        <v>218.69400000000002</v>
      </c>
      <c r="J1672" s="902">
        <f t="shared" si="413"/>
        <v>262.58999999999997</v>
      </c>
      <c r="K1672" s="903" t="s">
        <v>10</v>
      </c>
      <c r="L1672" s="1039">
        <f>ROUND(SUM('RES. CENTRAL PARK:RUA_FINAL'!L1672),2)</f>
        <v>0</v>
      </c>
      <c r="M1672" s="1039">
        <f t="shared" si="405"/>
        <v>0</v>
      </c>
      <c r="N1672" s="893">
        <f t="shared" si="406"/>
        <v>0</v>
      </c>
      <c r="O1672" s="905"/>
      <c r="P1672" s="58"/>
      <c r="Q1672" s="317" t="str">
        <f t="shared" si="407"/>
        <v/>
      </c>
      <c r="R1672" s="317" t="str">
        <f t="shared" si="408"/>
        <v/>
      </c>
      <c r="S1672" s="317" t="str">
        <f t="shared" si="409"/>
        <v/>
      </c>
      <c r="V1672" s="314">
        <f>SUM('RES. CENTRAL PARK:RUA_FINAL'!N1672)</f>
        <v>0</v>
      </c>
      <c r="W1672" s="315">
        <f t="shared" si="410"/>
        <v>0</v>
      </c>
    </row>
    <row r="1673" spans="1:23" ht="13.5" hidden="1" thickBot="1" x14ac:dyDescent="0.25">
      <c r="A1673" s="63">
        <v>603800</v>
      </c>
      <c r="B1673" s="895" t="s">
        <v>1800</v>
      </c>
      <c r="C1673" s="896" t="s">
        <v>184</v>
      </c>
      <c r="D1673" s="906" t="s">
        <v>328</v>
      </c>
      <c r="E1673" s="907">
        <f>DMT!$F$14</f>
        <v>0</v>
      </c>
      <c r="F1673" s="908">
        <v>1.5</v>
      </c>
      <c r="G1673" s="949">
        <f t="shared" si="423"/>
        <v>4.0200000000000005</v>
      </c>
      <c r="H1673" s="901">
        <v>126.05</v>
      </c>
      <c r="I1673" s="901">
        <f t="shared" si="422"/>
        <v>130.07</v>
      </c>
      <c r="J1673" s="902">
        <f t="shared" si="413"/>
        <v>156.18</v>
      </c>
      <c r="K1673" s="903" t="s">
        <v>10</v>
      </c>
      <c r="L1673" s="1039">
        <f>ROUND(SUM('RES. CENTRAL PARK:RUA_FINAL'!L1673),2)</f>
        <v>0</v>
      </c>
      <c r="M1673" s="1039">
        <f t="shared" si="405"/>
        <v>0</v>
      </c>
      <c r="N1673" s="893">
        <f t="shared" si="406"/>
        <v>0</v>
      </c>
      <c r="O1673" s="905"/>
      <c r="Q1673" s="317" t="str">
        <f t="shared" si="407"/>
        <v/>
      </c>
      <c r="R1673" s="317" t="str">
        <f t="shared" si="408"/>
        <v/>
      </c>
      <c r="S1673" s="317" t="str">
        <f t="shared" si="409"/>
        <v/>
      </c>
      <c r="V1673" s="314">
        <f>SUM('RES. CENTRAL PARK:RUA_FINAL'!N1673)</f>
        <v>0</v>
      </c>
      <c r="W1673" s="315">
        <f t="shared" si="410"/>
        <v>0</v>
      </c>
    </row>
    <row r="1674" spans="1:23" ht="13.5" hidden="1" thickBot="1" x14ac:dyDescent="0.25">
      <c r="A1674" s="63">
        <v>600000</v>
      </c>
      <c r="B1674" s="895" t="s">
        <v>1803</v>
      </c>
      <c r="C1674" s="896" t="s">
        <v>184</v>
      </c>
      <c r="D1674" s="906" t="s">
        <v>311</v>
      </c>
      <c r="E1674" s="907"/>
      <c r="F1674" s="908"/>
      <c r="G1674" s="912"/>
      <c r="H1674" s="901">
        <v>49.54</v>
      </c>
      <c r="I1674" s="901">
        <f t="shared" si="422"/>
        <v>49.54</v>
      </c>
      <c r="J1674" s="902">
        <f t="shared" si="413"/>
        <v>59.48</v>
      </c>
      <c r="K1674" s="903" t="s">
        <v>10</v>
      </c>
      <c r="L1674" s="1039">
        <f>ROUND(SUM('RES. CENTRAL PARK:RUA_FINAL'!L1674),2)</f>
        <v>0</v>
      </c>
      <c r="M1674" s="1039">
        <f t="shared" si="405"/>
        <v>0</v>
      </c>
      <c r="N1674" s="893">
        <f t="shared" si="406"/>
        <v>0</v>
      </c>
      <c r="O1674" s="905"/>
      <c r="Q1674" s="317" t="str">
        <f t="shared" si="407"/>
        <v/>
      </c>
      <c r="R1674" s="317" t="str">
        <f t="shared" si="408"/>
        <v/>
      </c>
      <c r="S1674" s="317" t="str">
        <f t="shared" si="409"/>
        <v/>
      </c>
      <c r="V1674" s="314">
        <f>SUM('RES. CENTRAL PARK:RUA_FINAL'!N1674)</f>
        <v>0</v>
      </c>
      <c r="W1674" s="315">
        <f t="shared" si="410"/>
        <v>0</v>
      </c>
    </row>
    <row r="1675" spans="1:23" ht="13.5" hidden="1" thickBot="1" x14ac:dyDescent="0.25">
      <c r="A1675" s="63">
        <v>602000</v>
      </c>
      <c r="B1675" s="895" t="s">
        <v>1995</v>
      </c>
      <c r="C1675" s="896" t="s">
        <v>184</v>
      </c>
      <c r="D1675" s="906" t="s">
        <v>1994</v>
      </c>
      <c r="E1675" s="907"/>
      <c r="F1675" s="908"/>
      <c r="G1675" s="912"/>
      <c r="H1675" s="901">
        <v>62.53</v>
      </c>
      <c r="I1675" s="901">
        <f t="shared" si="422"/>
        <v>62.53</v>
      </c>
      <c r="J1675" s="902">
        <f t="shared" si="413"/>
        <v>75.08</v>
      </c>
      <c r="K1675" s="903" t="s">
        <v>12</v>
      </c>
      <c r="L1675" s="1039">
        <f>ROUND(SUM('RES. CENTRAL PARK:RUA_FINAL'!L1675),2)</f>
        <v>0</v>
      </c>
      <c r="M1675" s="1039">
        <f t="shared" si="405"/>
        <v>0</v>
      </c>
      <c r="N1675" s="893">
        <f t="shared" si="406"/>
        <v>0</v>
      </c>
      <c r="O1675" s="905"/>
      <c r="Q1675" s="317" t="str">
        <f t="shared" si="407"/>
        <v/>
      </c>
      <c r="R1675" s="317" t="str">
        <f t="shared" si="408"/>
        <v/>
      </c>
      <c r="S1675" s="317" t="str">
        <f t="shared" si="409"/>
        <v/>
      </c>
      <c r="V1675" s="314">
        <f>SUM('RES. CENTRAL PARK:RUA_FINAL'!N1675)</f>
        <v>0</v>
      </c>
      <c r="W1675" s="315">
        <f t="shared" si="410"/>
        <v>0</v>
      </c>
    </row>
    <row r="1676" spans="1:23" ht="13.5" hidden="1" thickBot="1" x14ac:dyDescent="0.25">
      <c r="A1676" s="63">
        <v>600310</v>
      </c>
      <c r="B1676" s="895" t="s">
        <v>1711</v>
      </c>
      <c r="C1676" s="896" t="s">
        <v>184</v>
      </c>
      <c r="D1676" s="897" t="s">
        <v>442</v>
      </c>
      <c r="E1676" s="898"/>
      <c r="F1676" s="899"/>
      <c r="G1676" s="900"/>
      <c r="H1676" s="901">
        <v>142.88</v>
      </c>
      <c r="I1676" s="901">
        <f t="shared" ref="I1676:I1686" si="424">IF(ISBLANK(H1676),"",SUM(G1676:H1676))</f>
        <v>142.88</v>
      </c>
      <c r="J1676" s="902">
        <f t="shared" si="413"/>
        <v>171.56</v>
      </c>
      <c r="K1676" s="903" t="s">
        <v>15</v>
      </c>
      <c r="L1676" s="1039">
        <f>ROUND(SUM('RES. CENTRAL PARK:RUA_FINAL'!L1676),2)</f>
        <v>0</v>
      </c>
      <c r="M1676" s="1039">
        <f t="shared" si="405"/>
        <v>0</v>
      </c>
      <c r="N1676" s="893">
        <f t="shared" si="406"/>
        <v>0</v>
      </c>
      <c r="O1676" s="905"/>
      <c r="Q1676" s="317" t="str">
        <f t="shared" si="407"/>
        <v/>
      </c>
      <c r="R1676" s="317" t="str">
        <f t="shared" si="408"/>
        <v/>
      </c>
      <c r="S1676" s="317" t="str">
        <f t="shared" si="409"/>
        <v/>
      </c>
      <c r="V1676" s="314">
        <f>SUM('RES. CENTRAL PARK:RUA_FINAL'!N1676)</f>
        <v>0</v>
      </c>
      <c r="W1676" s="315">
        <f t="shared" si="410"/>
        <v>0</v>
      </c>
    </row>
    <row r="1677" spans="1:23" ht="13.5" hidden="1" thickBot="1" x14ac:dyDescent="0.25">
      <c r="A1677" s="63">
        <v>633000</v>
      </c>
      <c r="B1677" s="895" t="s">
        <v>1805</v>
      </c>
      <c r="C1677" s="896" t="s">
        <v>184</v>
      </c>
      <c r="D1677" s="897" t="s">
        <v>518</v>
      </c>
      <c r="E1677" s="898"/>
      <c r="F1677" s="899"/>
      <c r="G1677" s="900"/>
      <c r="H1677" s="901">
        <v>82.58</v>
      </c>
      <c r="I1677" s="901">
        <f>IF(ISBLANK(H1677),"",SUM(G1677:H1677))</f>
        <v>82.58</v>
      </c>
      <c r="J1677" s="902">
        <f t="shared" si="413"/>
        <v>99.15</v>
      </c>
      <c r="K1677" s="903" t="s">
        <v>13</v>
      </c>
      <c r="L1677" s="1039">
        <f>ROUND(SUM('RES. CENTRAL PARK:RUA_FINAL'!L1677),2)</f>
        <v>0</v>
      </c>
      <c r="M1677" s="1039">
        <f t="shared" si="405"/>
        <v>0</v>
      </c>
      <c r="N1677" s="893">
        <f t="shared" si="406"/>
        <v>0</v>
      </c>
      <c r="O1677" s="905"/>
      <c r="Q1677" s="317" t="str">
        <f t="shared" si="407"/>
        <v/>
      </c>
      <c r="R1677" s="317" t="str">
        <f t="shared" si="408"/>
        <v/>
      </c>
      <c r="S1677" s="317" t="str">
        <f t="shared" si="409"/>
        <v/>
      </c>
      <c r="V1677" s="314">
        <f>SUM('RES. CENTRAL PARK:RUA_FINAL'!N1677)</f>
        <v>0</v>
      </c>
      <c r="W1677" s="315">
        <f t="shared" si="410"/>
        <v>0</v>
      </c>
    </row>
    <row r="1678" spans="1:23" ht="13.5" hidden="1" thickBot="1" x14ac:dyDescent="0.25">
      <c r="A1678" s="63">
        <v>633100</v>
      </c>
      <c r="B1678" s="895" t="s">
        <v>1807</v>
      </c>
      <c r="C1678" s="896" t="s">
        <v>184</v>
      </c>
      <c r="D1678" s="897" t="s">
        <v>519</v>
      </c>
      <c r="E1678" s="898"/>
      <c r="F1678" s="899"/>
      <c r="G1678" s="900"/>
      <c r="H1678" s="901">
        <v>165.16</v>
      </c>
      <c r="I1678" s="901">
        <f>IF(ISBLANK(H1678),"",SUM(G1678:H1678))</f>
        <v>165.16</v>
      </c>
      <c r="J1678" s="902">
        <f t="shared" si="413"/>
        <v>198.31</v>
      </c>
      <c r="K1678" s="903" t="s">
        <v>13</v>
      </c>
      <c r="L1678" s="1039">
        <f>ROUND(SUM('RES. CENTRAL PARK:RUA_FINAL'!L1678),2)</f>
        <v>0</v>
      </c>
      <c r="M1678" s="1039">
        <f t="shared" si="405"/>
        <v>0</v>
      </c>
      <c r="N1678" s="893">
        <f t="shared" si="406"/>
        <v>0</v>
      </c>
      <c r="O1678" s="905"/>
      <c r="Q1678" s="317" t="str">
        <f t="shared" si="407"/>
        <v/>
      </c>
      <c r="R1678" s="317" t="str">
        <f t="shared" si="408"/>
        <v/>
      </c>
      <c r="S1678" s="317" t="str">
        <f t="shared" si="409"/>
        <v/>
      </c>
      <c r="V1678" s="314">
        <f>SUM('RES. CENTRAL PARK:RUA_FINAL'!N1678)</f>
        <v>0</v>
      </c>
      <c r="W1678" s="315">
        <f t="shared" si="410"/>
        <v>0</v>
      </c>
    </row>
    <row r="1679" spans="1:23" ht="13.5" hidden="1" thickBot="1" x14ac:dyDescent="0.25">
      <c r="A1679" s="63">
        <v>633200</v>
      </c>
      <c r="B1679" s="895" t="s">
        <v>1808</v>
      </c>
      <c r="C1679" s="896" t="s">
        <v>184</v>
      </c>
      <c r="D1679" s="897" t="s">
        <v>520</v>
      </c>
      <c r="E1679" s="898"/>
      <c r="F1679" s="899"/>
      <c r="G1679" s="900"/>
      <c r="H1679" s="901">
        <v>247.74</v>
      </c>
      <c r="I1679" s="901">
        <f>IF(ISBLANK(H1679),"",SUM(G1679:H1679))</f>
        <v>247.74</v>
      </c>
      <c r="J1679" s="902">
        <f t="shared" si="413"/>
        <v>297.45999999999998</v>
      </c>
      <c r="K1679" s="903" t="s">
        <v>13</v>
      </c>
      <c r="L1679" s="1039">
        <f>ROUND(SUM('RES. CENTRAL PARK:RUA_FINAL'!L1679),2)</f>
        <v>0</v>
      </c>
      <c r="M1679" s="1039">
        <f t="shared" si="405"/>
        <v>0</v>
      </c>
      <c r="N1679" s="893">
        <f t="shared" si="406"/>
        <v>0</v>
      </c>
      <c r="O1679" s="905"/>
      <c r="Q1679" s="317" t="str">
        <f t="shared" si="407"/>
        <v/>
      </c>
      <c r="R1679" s="317" t="str">
        <f t="shared" si="408"/>
        <v/>
      </c>
      <c r="S1679" s="317" t="str">
        <f t="shared" si="409"/>
        <v/>
      </c>
      <c r="V1679" s="314">
        <f>SUM('RES. CENTRAL PARK:RUA_FINAL'!N1679)</f>
        <v>0</v>
      </c>
      <c r="W1679" s="315">
        <f t="shared" si="410"/>
        <v>0</v>
      </c>
    </row>
    <row r="1680" spans="1:23" ht="13.5" hidden="1" thickBot="1" x14ac:dyDescent="0.25">
      <c r="A1680" s="63">
        <v>800900</v>
      </c>
      <c r="B1680" s="895" t="s">
        <v>1713</v>
      </c>
      <c r="C1680" s="896" t="s">
        <v>184</v>
      </c>
      <c r="D1680" s="897" t="s">
        <v>443</v>
      </c>
      <c r="E1680" s="898"/>
      <c r="F1680" s="899"/>
      <c r="G1680" s="900"/>
      <c r="H1680" s="901">
        <v>13.25</v>
      </c>
      <c r="I1680" s="901">
        <f t="shared" si="424"/>
        <v>13.25</v>
      </c>
      <c r="J1680" s="902">
        <f t="shared" si="413"/>
        <v>15.91</v>
      </c>
      <c r="K1680" s="903" t="s">
        <v>12</v>
      </c>
      <c r="L1680" s="1039">
        <f>ROUND(SUM('RES. CENTRAL PARK:RUA_FINAL'!L1680),2)</f>
        <v>0</v>
      </c>
      <c r="M1680" s="1039">
        <f t="shared" si="405"/>
        <v>0</v>
      </c>
      <c r="N1680" s="893">
        <f t="shared" si="406"/>
        <v>0</v>
      </c>
      <c r="O1680" s="905"/>
      <c r="Q1680" s="317" t="str">
        <f t="shared" si="407"/>
        <v/>
      </c>
      <c r="R1680" s="317" t="str">
        <f t="shared" si="408"/>
        <v/>
      </c>
      <c r="S1680" s="317" t="str">
        <f t="shared" si="409"/>
        <v/>
      </c>
      <c r="V1680" s="314">
        <f>SUM('RES. CENTRAL PARK:RUA_FINAL'!N1680)</f>
        <v>0</v>
      </c>
      <c r="W1680" s="315">
        <f t="shared" si="410"/>
        <v>0</v>
      </c>
    </row>
    <row r="1681" spans="1:23" ht="13.5" hidden="1" thickBot="1" x14ac:dyDescent="0.25">
      <c r="A1681" s="63">
        <v>801100</v>
      </c>
      <c r="B1681" s="895" t="s">
        <v>1714</v>
      </c>
      <c r="C1681" s="896" t="s">
        <v>184</v>
      </c>
      <c r="D1681" s="897" t="s">
        <v>278</v>
      </c>
      <c r="E1681" s="898"/>
      <c r="F1681" s="899"/>
      <c r="G1681" s="900"/>
      <c r="H1681" s="901">
        <v>19.149999999999999</v>
      </c>
      <c r="I1681" s="901">
        <f t="shared" si="424"/>
        <v>19.149999999999999</v>
      </c>
      <c r="J1681" s="902">
        <f t="shared" si="413"/>
        <v>22.99</v>
      </c>
      <c r="K1681" s="903" t="s">
        <v>12</v>
      </c>
      <c r="L1681" s="1042">
        <f>ROUND(SUM('RES. CENTRAL PARK:RUA_FINAL'!L1681),2)</f>
        <v>0</v>
      </c>
      <c r="M1681" s="1043">
        <f t="shared" si="405"/>
        <v>0</v>
      </c>
      <c r="N1681" s="893">
        <f t="shared" si="406"/>
        <v>0</v>
      </c>
      <c r="O1681" s="905"/>
      <c r="Q1681" s="317" t="str">
        <f t="shared" si="407"/>
        <v/>
      </c>
      <c r="R1681" s="317" t="str">
        <f t="shared" si="408"/>
        <v/>
      </c>
      <c r="S1681" s="317" t="str">
        <f t="shared" si="409"/>
        <v/>
      </c>
      <c r="V1681" s="314">
        <f>SUM('RES. CENTRAL PARK:RUA_FINAL'!N1681)</f>
        <v>0</v>
      </c>
      <c r="W1681" s="315">
        <f t="shared" si="410"/>
        <v>0</v>
      </c>
    </row>
    <row r="1682" spans="1:23" ht="13.5" hidden="1" thickBot="1" x14ac:dyDescent="0.25">
      <c r="A1682" s="63">
        <v>600510</v>
      </c>
      <c r="B1682" s="895" t="s">
        <v>1715</v>
      </c>
      <c r="C1682" s="896" t="s">
        <v>184</v>
      </c>
      <c r="D1682" s="897" t="s">
        <v>444</v>
      </c>
      <c r="E1682" s="898"/>
      <c r="F1682" s="899"/>
      <c r="G1682" s="900"/>
      <c r="H1682" s="901">
        <v>2.52</v>
      </c>
      <c r="I1682" s="901">
        <f t="shared" si="424"/>
        <v>2.52</v>
      </c>
      <c r="J1682" s="902">
        <f t="shared" si="413"/>
        <v>3.03</v>
      </c>
      <c r="K1682" s="903" t="s">
        <v>13</v>
      </c>
      <c r="L1682" s="1042">
        <f>ROUND(SUM('RES. CENTRAL PARK:RUA_FINAL'!L1682),2)</f>
        <v>0</v>
      </c>
      <c r="M1682" s="1043">
        <f t="shared" ref="M1682:M1745" si="425">IF(L1682=0,0,ROUND(J1682,2))</f>
        <v>0</v>
      </c>
      <c r="N1682" s="893">
        <f t="shared" ref="N1682:N1745" si="426">IF(ISBLANK(L1682),0,ROUND(L1682*M1682,2))</f>
        <v>0</v>
      </c>
      <c r="O1682" s="905"/>
      <c r="Q1682" s="317" t="str">
        <f t="shared" ref="Q1682:Q1745" si="427">IF(P1682="X","x",IF(P1682="xx","x",IF(P1682="xy","x",IF(P1682="y","x",IF(OR(N1682&gt;0,N1682&gt;0),"x","")))))</f>
        <v/>
      </c>
      <c r="R1682" s="317" t="str">
        <f t="shared" ref="R1682:R1745" si="428">IF(P1682="X","x",IF(P1682="y","x",IF(P1682="xx","x",IF(N1682&gt;0,"x",""))))</f>
        <v/>
      </c>
      <c r="S1682" s="317" t="str">
        <f t="shared" ref="S1682:S1745" si="429">IF(P1682="X","x",IF(N1682&gt;0,"x",""))</f>
        <v/>
      </c>
      <c r="V1682" s="314">
        <f>SUM('RES. CENTRAL PARK:RUA_FINAL'!N1682)</f>
        <v>0</v>
      </c>
      <c r="W1682" s="315">
        <f t="shared" si="410"/>
        <v>0</v>
      </c>
    </row>
    <row r="1683" spans="1:23" ht="13.5" hidden="1" thickBot="1" x14ac:dyDescent="0.25">
      <c r="A1683" s="63">
        <v>521450</v>
      </c>
      <c r="B1683" s="955" t="s">
        <v>1616</v>
      </c>
      <c r="C1683" s="956" t="s">
        <v>184</v>
      </c>
      <c r="D1683" s="906" t="s">
        <v>219</v>
      </c>
      <c r="E1683" s="907">
        <f>DMT!$F$15</f>
        <v>0</v>
      </c>
      <c r="F1683" s="899">
        <v>0.3</v>
      </c>
      <c r="G1683" s="949">
        <f t="shared" ref="G1683" si="430">IF(E1683&lt;=30,(1.07*E1683+2.68)*F1683,((1.07*30+2.68)+1.07*(E1683-30))*F1683)</f>
        <v>0.80400000000000005</v>
      </c>
      <c r="H1683" s="901">
        <v>25.31</v>
      </c>
      <c r="I1683" s="901">
        <f>IF(ISBLANK(H1683),"",SUM(G1683:H1683))</f>
        <v>26.113999999999997</v>
      </c>
      <c r="J1683" s="902">
        <f t="shared" si="413"/>
        <v>31.36</v>
      </c>
      <c r="K1683" s="903" t="s">
        <v>12</v>
      </c>
      <c r="L1683" s="1039">
        <f>ROUND(SUM('RES. CENTRAL PARK:RUA_FINAL'!L1683),2)</f>
        <v>0</v>
      </c>
      <c r="M1683" s="1039">
        <f t="shared" si="425"/>
        <v>0</v>
      </c>
      <c r="N1683" s="893">
        <f t="shared" si="426"/>
        <v>0</v>
      </c>
      <c r="O1683" s="905"/>
      <c r="Q1683" s="317" t="str">
        <f t="shared" si="427"/>
        <v/>
      </c>
      <c r="R1683" s="317" t="str">
        <f t="shared" si="428"/>
        <v/>
      </c>
      <c r="S1683" s="317" t="str">
        <f t="shared" si="429"/>
        <v/>
      </c>
      <c r="V1683" s="314">
        <f>SUM('RES. CENTRAL PARK:RUA_FINAL'!N1683)</f>
        <v>0</v>
      </c>
      <c r="W1683" s="315">
        <f t="shared" si="410"/>
        <v>0</v>
      </c>
    </row>
    <row r="1684" spans="1:23" ht="13.5" hidden="1" thickBot="1" x14ac:dyDescent="0.25">
      <c r="A1684" s="63">
        <v>511300</v>
      </c>
      <c r="B1684" s="895" t="s">
        <v>1571</v>
      </c>
      <c r="C1684" s="896" t="s">
        <v>184</v>
      </c>
      <c r="D1684" s="906" t="s">
        <v>180</v>
      </c>
      <c r="E1684" s="907"/>
      <c r="F1684" s="908"/>
      <c r="G1684" s="912"/>
      <c r="H1684" s="901">
        <v>0.28999999999999998</v>
      </c>
      <c r="I1684" s="901">
        <f t="shared" si="424"/>
        <v>0.28999999999999998</v>
      </c>
      <c r="J1684" s="902">
        <f t="shared" si="413"/>
        <v>0.35</v>
      </c>
      <c r="K1684" s="903" t="s">
        <v>12</v>
      </c>
      <c r="L1684" s="1039">
        <f>ROUND(SUM('RES. CENTRAL PARK:RUA_FINAL'!L1684),2)</f>
        <v>0</v>
      </c>
      <c r="M1684" s="1039">
        <f t="shared" si="425"/>
        <v>0</v>
      </c>
      <c r="N1684" s="893">
        <f t="shared" si="426"/>
        <v>0</v>
      </c>
      <c r="O1684" s="905"/>
      <c r="Q1684" s="317" t="str">
        <f t="shared" si="427"/>
        <v/>
      </c>
      <c r="R1684" s="317" t="str">
        <f t="shared" si="428"/>
        <v/>
      </c>
      <c r="S1684" s="317" t="str">
        <f t="shared" si="429"/>
        <v/>
      </c>
      <c r="V1684" s="314">
        <f>SUM('RES. CENTRAL PARK:RUA_FINAL'!N1684)</f>
        <v>0</v>
      </c>
      <c r="W1684" s="315">
        <f t="shared" si="410"/>
        <v>0</v>
      </c>
    </row>
    <row r="1685" spans="1:23" ht="13.5" hidden="1" thickBot="1" x14ac:dyDescent="0.25">
      <c r="A1685" s="63">
        <v>521450</v>
      </c>
      <c r="B1685" s="895" t="s">
        <v>1617</v>
      </c>
      <c r="C1685" s="896" t="s">
        <v>184</v>
      </c>
      <c r="D1685" s="906" t="s">
        <v>454</v>
      </c>
      <c r="E1685" s="907"/>
      <c r="F1685" s="899"/>
      <c r="G1685" s="912"/>
      <c r="H1685" s="901">
        <v>25.31</v>
      </c>
      <c r="I1685" s="901">
        <f t="shared" si="424"/>
        <v>25.31</v>
      </c>
      <c r="J1685" s="902">
        <f t="shared" si="413"/>
        <v>30.39</v>
      </c>
      <c r="K1685" s="903" t="s">
        <v>12</v>
      </c>
      <c r="L1685" s="1039">
        <f>ROUND(SUM('RES. CENTRAL PARK:RUA_FINAL'!L1685),2)</f>
        <v>0</v>
      </c>
      <c r="M1685" s="1039">
        <f t="shared" si="425"/>
        <v>0</v>
      </c>
      <c r="N1685" s="893">
        <f t="shared" si="426"/>
        <v>0</v>
      </c>
      <c r="O1685" s="905"/>
      <c r="Q1685" s="317" t="str">
        <f t="shared" si="427"/>
        <v/>
      </c>
      <c r="R1685" s="317" t="str">
        <f t="shared" si="428"/>
        <v/>
      </c>
      <c r="S1685" s="317" t="str">
        <f t="shared" si="429"/>
        <v/>
      </c>
      <c r="V1685" s="314">
        <f>SUM('RES. CENTRAL PARK:RUA_FINAL'!N1685)</f>
        <v>0</v>
      </c>
      <c r="W1685" s="315">
        <f t="shared" ref="W1685:W1748" si="431">N1685-V1685</f>
        <v>0</v>
      </c>
    </row>
    <row r="1686" spans="1:23" ht="13.5" hidden="1" thickBot="1" x14ac:dyDescent="0.25">
      <c r="A1686" s="63">
        <v>521450</v>
      </c>
      <c r="B1686" s="895" t="s">
        <v>1619</v>
      </c>
      <c r="C1686" s="896" t="s">
        <v>184</v>
      </c>
      <c r="D1686" s="906" t="s">
        <v>221</v>
      </c>
      <c r="E1686" s="907"/>
      <c r="F1686" s="899"/>
      <c r="G1686" s="912"/>
      <c r="H1686" s="901">
        <v>25.31</v>
      </c>
      <c r="I1686" s="901">
        <f t="shared" si="424"/>
        <v>25.31</v>
      </c>
      <c r="J1686" s="902">
        <f t="shared" si="413"/>
        <v>30.39</v>
      </c>
      <c r="K1686" s="903" t="s">
        <v>12</v>
      </c>
      <c r="L1686" s="1039">
        <f>ROUND(SUM('RES. CENTRAL PARK:RUA_FINAL'!L1686),2)</f>
        <v>0</v>
      </c>
      <c r="M1686" s="1039">
        <f t="shared" si="425"/>
        <v>0</v>
      </c>
      <c r="N1686" s="893">
        <f t="shared" si="426"/>
        <v>0</v>
      </c>
      <c r="O1686" s="905"/>
      <c r="Q1686" s="317" t="str">
        <f t="shared" si="427"/>
        <v/>
      </c>
      <c r="R1686" s="317" t="str">
        <f t="shared" si="428"/>
        <v/>
      </c>
      <c r="S1686" s="317" t="str">
        <f t="shared" si="429"/>
        <v/>
      </c>
      <c r="V1686" s="314">
        <f>SUM('RES. CENTRAL PARK:RUA_FINAL'!N1686)</f>
        <v>0</v>
      </c>
      <c r="W1686" s="315">
        <f t="shared" si="431"/>
        <v>0</v>
      </c>
    </row>
    <row r="1687" spans="1:23" ht="13.5" hidden="1" thickBot="1" x14ac:dyDescent="0.25">
      <c r="A1687" s="565" t="s">
        <v>165</v>
      </c>
      <c r="B1687" s="913" t="s">
        <v>165</v>
      </c>
      <c r="C1687" s="914"/>
      <c r="D1687" s="915" t="s">
        <v>485</v>
      </c>
      <c r="E1687" s="916"/>
      <c r="F1687" s="917"/>
      <c r="G1687" s="918"/>
      <c r="H1687" s="919">
        <v>0</v>
      </c>
      <c r="I1687" s="919"/>
      <c r="J1687" s="919">
        <f t="shared" si="413"/>
        <v>0</v>
      </c>
      <c r="K1687" s="920" t="s">
        <v>507</v>
      </c>
      <c r="L1687" s="1044">
        <f>ROUND(SUM('RES. CENTRAL PARK:RUA_FINAL'!L1687),2)</f>
        <v>0</v>
      </c>
      <c r="M1687" s="1045">
        <f t="shared" si="425"/>
        <v>0</v>
      </c>
      <c r="N1687" s="923">
        <f t="shared" si="426"/>
        <v>0</v>
      </c>
      <c r="O1687" s="905"/>
      <c r="P1687" s="58" t="str">
        <f>IF(OR(SUM(N1688:N1719)&gt;0,SUM(N1688:N1719)&gt;0),"y","")</f>
        <v/>
      </c>
      <c r="Q1687" s="317" t="str">
        <f t="shared" si="427"/>
        <v/>
      </c>
      <c r="R1687" s="317" t="str">
        <f t="shared" si="428"/>
        <v/>
      </c>
      <c r="S1687" s="317" t="str">
        <f t="shared" si="429"/>
        <v/>
      </c>
      <c r="V1687" s="314">
        <f>SUM('RES. CENTRAL PARK:RUA_FINAL'!N1687)</f>
        <v>0</v>
      </c>
      <c r="W1687" s="315">
        <f t="shared" si="431"/>
        <v>0</v>
      </c>
    </row>
    <row r="1688" spans="1:23" ht="39" hidden="1" thickBot="1" x14ac:dyDescent="0.25">
      <c r="A1688" s="565" t="s">
        <v>165</v>
      </c>
      <c r="B1688" s="924" t="s">
        <v>2288</v>
      </c>
      <c r="C1688" s="925" t="s">
        <v>596</v>
      </c>
      <c r="D1688" s="1306" t="s">
        <v>2293</v>
      </c>
      <c r="E1688" s="927">
        <v>62.91</v>
      </c>
      <c r="F1688" s="928">
        <v>62.91</v>
      </c>
      <c r="G1688" s="929">
        <v>75.540000000000006</v>
      </c>
      <c r="H1688" s="930">
        <v>0</v>
      </c>
      <c r="I1688" s="901">
        <f t="shared" ref="I1688:I1719" si="432">IF(ISBLANK(H1688),"",SUM(G1688:H1688))</f>
        <v>75.540000000000006</v>
      </c>
      <c r="J1688" s="890">
        <f t="shared" ref="J1688:J1719" si="433">IF(ISBLANK(H1688),0,ROUND(I1688*(1+$E$10),2))</f>
        <v>90.7</v>
      </c>
      <c r="K1688" s="928" t="s">
        <v>13</v>
      </c>
      <c r="L1688" s="1042">
        <f>ROUND(SUM('RES. CENTRAL PARK:RUA_FINAL'!L1688),2)</f>
        <v>0</v>
      </c>
      <c r="M1688" s="1043">
        <f t="shared" si="425"/>
        <v>0</v>
      </c>
      <c r="N1688" s="893">
        <f t="shared" si="426"/>
        <v>0</v>
      </c>
      <c r="O1688" s="905"/>
      <c r="Q1688" s="317" t="str">
        <f t="shared" si="427"/>
        <v/>
      </c>
      <c r="R1688" s="317" t="str">
        <f t="shared" si="428"/>
        <v/>
      </c>
      <c r="S1688" s="317" t="str">
        <f t="shared" si="429"/>
        <v/>
      </c>
      <c r="V1688" s="314">
        <f>SUM('RES. CENTRAL PARK:RUA_FINAL'!N1688)</f>
        <v>0</v>
      </c>
      <c r="W1688" s="315">
        <f t="shared" si="431"/>
        <v>0</v>
      </c>
    </row>
    <row r="1689" spans="1:23" ht="26.25" hidden="1" thickBot="1" x14ac:dyDescent="0.25">
      <c r="A1689" s="565" t="s">
        <v>165</v>
      </c>
      <c r="B1689" s="924" t="s">
        <v>2289</v>
      </c>
      <c r="C1689" s="925" t="s">
        <v>596</v>
      </c>
      <c r="D1689" s="1306" t="s">
        <v>2294</v>
      </c>
      <c r="E1689" s="927">
        <v>11.5</v>
      </c>
      <c r="F1689" s="928">
        <v>11.5</v>
      </c>
      <c r="G1689" s="929">
        <v>13.81</v>
      </c>
      <c r="H1689" s="930">
        <v>0</v>
      </c>
      <c r="I1689" s="901">
        <f t="shared" si="432"/>
        <v>13.81</v>
      </c>
      <c r="J1689" s="890">
        <f t="shared" si="433"/>
        <v>16.579999999999998</v>
      </c>
      <c r="K1689" s="928" t="s">
        <v>13</v>
      </c>
      <c r="L1689" s="1039">
        <f>ROUND(SUM('RES. CENTRAL PARK:RUA_FINAL'!L1689),2)</f>
        <v>0</v>
      </c>
      <c r="M1689" s="1039">
        <f t="shared" si="425"/>
        <v>0</v>
      </c>
      <c r="N1689" s="932">
        <f t="shared" si="426"/>
        <v>0</v>
      </c>
      <c r="O1689" s="905"/>
      <c r="Q1689" s="317" t="str">
        <f t="shared" si="427"/>
        <v/>
      </c>
      <c r="R1689" s="317" t="str">
        <f t="shared" si="428"/>
        <v/>
      </c>
      <c r="S1689" s="317" t="str">
        <f t="shared" si="429"/>
        <v/>
      </c>
      <c r="V1689" s="314">
        <f>SUM('RES. CENTRAL PARK:RUA_FINAL'!N1689)</f>
        <v>0</v>
      </c>
      <c r="W1689" s="315">
        <f t="shared" si="431"/>
        <v>0</v>
      </c>
    </row>
    <row r="1690" spans="1:23" ht="26.25" hidden="1" thickBot="1" x14ac:dyDescent="0.25">
      <c r="A1690" s="565" t="s">
        <v>165</v>
      </c>
      <c r="B1690" s="924" t="s">
        <v>2290</v>
      </c>
      <c r="C1690" s="925" t="s">
        <v>596</v>
      </c>
      <c r="D1690" s="1306" t="s">
        <v>2295</v>
      </c>
      <c r="E1690" s="927">
        <v>17.59</v>
      </c>
      <c r="F1690" s="928">
        <v>17.59</v>
      </c>
      <c r="G1690" s="929">
        <v>21.12</v>
      </c>
      <c r="H1690" s="930">
        <v>0</v>
      </c>
      <c r="I1690" s="901">
        <f t="shared" si="432"/>
        <v>21.12</v>
      </c>
      <c r="J1690" s="890">
        <f t="shared" si="433"/>
        <v>25.36</v>
      </c>
      <c r="K1690" s="928" t="s">
        <v>16</v>
      </c>
      <c r="L1690" s="1039">
        <f>ROUND(SUM('RES. CENTRAL PARK:RUA_FINAL'!L1690),2)</f>
        <v>0</v>
      </c>
      <c r="M1690" s="1039">
        <f t="shared" si="425"/>
        <v>0</v>
      </c>
      <c r="N1690" s="893">
        <f t="shared" si="426"/>
        <v>0</v>
      </c>
      <c r="O1690" s="905"/>
      <c r="Q1690" s="317" t="str">
        <f t="shared" si="427"/>
        <v/>
      </c>
      <c r="R1690" s="317" t="str">
        <f t="shared" si="428"/>
        <v/>
      </c>
      <c r="S1690" s="317" t="str">
        <f t="shared" si="429"/>
        <v/>
      </c>
      <c r="V1690" s="314">
        <f>SUM('RES. CENTRAL PARK:RUA_FINAL'!N1690)</f>
        <v>0</v>
      </c>
      <c r="W1690" s="315">
        <f t="shared" si="431"/>
        <v>0</v>
      </c>
    </row>
    <row r="1691" spans="1:23" ht="13.5" hidden="1" thickBot="1" x14ac:dyDescent="0.25">
      <c r="A1691" s="565" t="s">
        <v>165</v>
      </c>
      <c r="B1691" s="924" t="s">
        <v>2291</v>
      </c>
      <c r="C1691" s="925" t="s">
        <v>596</v>
      </c>
      <c r="D1691" s="1306" t="s">
        <v>2296</v>
      </c>
      <c r="E1691" s="927">
        <v>8.52</v>
      </c>
      <c r="F1691" s="928">
        <v>8.52</v>
      </c>
      <c r="G1691" s="929">
        <v>10.23</v>
      </c>
      <c r="H1691" s="930">
        <v>0</v>
      </c>
      <c r="I1691" s="901">
        <f t="shared" si="432"/>
        <v>10.23</v>
      </c>
      <c r="J1691" s="890">
        <f t="shared" si="433"/>
        <v>12.28</v>
      </c>
      <c r="K1691" s="928" t="s">
        <v>16</v>
      </c>
      <c r="L1691" s="1039">
        <f>ROUND(SUM('RES. CENTRAL PARK:RUA_FINAL'!L1691),2)</f>
        <v>0</v>
      </c>
      <c r="M1691" s="1039">
        <f t="shared" si="425"/>
        <v>0</v>
      </c>
      <c r="N1691" s="893">
        <f t="shared" si="426"/>
        <v>0</v>
      </c>
      <c r="O1691" s="905"/>
      <c r="Q1691" s="317" t="str">
        <f t="shared" si="427"/>
        <v/>
      </c>
      <c r="R1691" s="317" t="str">
        <f t="shared" si="428"/>
        <v/>
      </c>
      <c r="S1691" s="317" t="str">
        <f t="shared" si="429"/>
        <v/>
      </c>
      <c r="V1691" s="314">
        <f>SUM('RES. CENTRAL PARK:RUA_FINAL'!N1691)</f>
        <v>0</v>
      </c>
      <c r="W1691" s="315">
        <f t="shared" si="431"/>
        <v>0</v>
      </c>
    </row>
    <row r="1692" spans="1:23" ht="39" hidden="1" thickBot="1" x14ac:dyDescent="0.25">
      <c r="A1692" s="565" t="s">
        <v>165</v>
      </c>
      <c r="B1692" s="924" t="s">
        <v>2292</v>
      </c>
      <c r="C1692" s="925" t="s">
        <v>596</v>
      </c>
      <c r="D1692" s="1306" t="s">
        <v>2297</v>
      </c>
      <c r="E1692" s="927">
        <v>560.14</v>
      </c>
      <c r="F1692" s="928">
        <v>560.14</v>
      </c>
      <c r="G1692" s="929">
        <v>672.56</v>
      </c>
      <c r="H1692" s="930">
        <v>0</v>
      </c>
      <c r="I1692" s="901">
        <f t="shared" si="432"/>
        <v>672.56</v>
      </c>
      <c r="J1692" s="890">
        <f t="shared" si="433"/>
        <v>807.54</v>
      </c>
      <c r="K1692" s="928" t="s">
        <v>10</v>
      </c>
      <c r="L1692" s="1039">
        <f>ROUND(SUM('RES. CENTRAL PARK:RUA_FINAL'!L1692),2)</f>
        <v>0</v>
      </c>
      <c r="M1692" s="1039">
        <f t="shared" si="425"/>
        <v>0</v>
      </c>
      <c r="N1692" s="893">
        <f t="shared" si="426"/>
        <v>0</v>
      </c>
      <c r="O1692" s="905"/>
      <c r="Q1692" s="317" t="str">
        <f t="shared" si="427"/>
        <v/>
      </c>
      <c r="R1692" s="317" t="str">
        <f t="shared" si="428"/>
        <v/>
      </c>
      <c r="S1692" s="317" t="str">
        <f t="shared" si="429"/>
        <v/>
      </c>
      <c r="V1692" s="314">
        <f>SUM('RES. CENTRAL PARK:RUA_FINAL'!N1692)</f>
        <v>0</v>
      </c>
      <c r="W1692" s="315">
        <f t="shared" si="431"/>
        <v>0</v>
      </c>
    </row>
    <row r="1693" spans="1:23" ht="13.5" hidden="1" thickBot="1" x14ac:dyDescent="0.25">
      <c r="A1693" s="565" t="s">
        <v>165</v>
      </c>
      <c r="B1693" s="924" t="s">
        <v>165</v>
      </c>
      <c r="C1693" s="925" t="s">
        <v>165</v>
      </c>
      <c r="D1693" s="931"/>
      <c r="E1693" s="927"/>
      <c r="F1693" s="928"/>
      <c r="G1693" s="929"/>
      <c r="H1693" s="930">
        <v>0</v>
      </c>
      <c r="I1693" s="901">
        <f t="shared" si="432"/>
        <v>0</v>
      </c>
      <c r="J1693" s="890">
        <f t="shared" si="433"/>
        <v>0</v>
      </c>
      <c r="K1693" s="928" t="s">
        <v>507</v>
      </c>
      <c r="L1693" s="1039">
        <f>ROUND(SUM('RES. CENTRAL PARK:RUA_FINAL'!L1693),2)</f>
        <v>0</v>
      </c>
      <c r="M1693" s="1039">
        <f t="shared" si="425"/>
        <v>0</v>
      </c>
      <c r="N1693" s="893">
        <f t="shared" si="426"/>
        <v>0</v>
      </c>
      <c r="O1693" s="905"/>
      <c r="Q1693" s="317" t="str">
        <f t="shared" si="427"/>
        <v/>
      </c>
      <c r="R1693" s="317" t="str">
        <f t="shared" si="428"/>
        <v/>
      </c>
      <c r="S1693" s="317" t="str">
        <f t="shared" si="429"/>
        <v/>
      </c>
      <c r="V1693" s="314">
        <f>SUM('RES. CENTRAL PARK:RUA_FINAL'!N1693)</f>
        <v>0</v>
      </c>
      <c r="W1693" s="315">
        <f t="shared" si="431"/>
        <v>0</v>
      </c>
    </row>
    <row r="1694" spans="1:23" ht="13.5" hidden="1" thickBot="1" x14ac:dyDescent="0.25">
      <c r="A1694" s="565" t="s">
        <v>165</v>
      </c>
      <c r="B1694" s="924" t="s">
        <v>165</v>
      </c>
      <c r="C1694" s="925" t="s">
        <v>165</v>
      </c>
      <c r="D1694" s="931"/>
      <c r="E1694" s="927"/>
      <c r="F1694" s="928"/>
      <c r="G1694" s="929"/>
      <c r="H1694" s="930">
        <v>0</v>
      </c>
      <c r="I1694" s="901">
        <f t="shared" si="432"/>
        <v>0</v>
      </c>
      <c r="J1694" s="890">
        <f t="shared" si="433"/>
        <v>0</v>
      </c>
      <c r="K1694" s="928" t="s">
        <v>507</v>
      </c>
      <c r="L1694" s="1039">
        <f>ROUND(SUM('RES. CENTRAL PARK:RUA_FINAL'!L1694),2)</f>
        <v>0</v>
      </c>
      <c r="M1694" s="1039">
        <f t="shared" si="425"/>
        <v>0</v>
      </c>
      <c r="N1694" s="893">
        <f t="shared" si="426"/>
        <v>0</v>
      </c>
      <c r="O1694" s="905"/>
      <c r="Q1694" s="317" t="str">
        <f t="shared" si="427"/>
        <v/>
      </c>
      <c r="R1694" s="317" t="str">
        <f t="shared" si="428"/>
        <v/>
      </c>
      <c r="S1694" s="317" t="str">
        <f t="shared" si="429"/>
        <v/>
      </c>
      <c r="V1694" s="314">
        <f>SUM('RES. CENTRAL PARK:RUA_FINAL'!N1694)</f>
        <v>0</v>
      </c>
      <c r="W1694" s="315">
        <f t="shared" si="431"/>
        <v>0</v>
      </c>
    </row>
    <row r="1695" spans="1:23" ht="13.5" hidden="1" thickBot="1" x14ac:dyDescent="0.25">
      <c r="A1695" s="565" t="s">
        <v>165</v>
      </c>
      <c r="B1695" s="924" t="s">
        <v>165</v>
      </c>
      <c r="C1695" s="925" t="s">
        <v>165</v>
      </c>
      <c r="D1695" s="931"/>
      <c r="E1695" s="927"/>
      <c r="F1695" s="928"/>
      <c r="G1695" s="929"/>
      <c r="H1695" s="930">
        <v>0</v>
      </c>
      <c r="I1695" s="901">
        <f t="shared" si="432"/>
        <v>0</v>
      </c>
      <c r="J1695" s="890">
        <f t="shared" si="433"/>
        <v>0</v>
      </c>
      <c r="K1695" s="928" t="s">
        <v>507</v>
      </c>
      <c r="L1695" s="1039">
        <f>ROUND(SUM('RES. CENTRAL PARK:RUA_FINAL'!L1695),2)</f>
        <v>0</v>
      </c>
      <c r="M1695" s="1039">
        <f t="shared" si="425"/>
        <v>0</v>
      </c>
      <c r="N1695" s="893">
        <f t="shared" si="426"/>
        <v>0</v>
      </c>
      <c r="O1695" s="905"/>
      <c r="Q1695" s="317" t="str">
        <f t="shared" si="427"/>
        <v/>
      </c>
      <c r="R1695" s="317" t="str">
        <f t="shared" si="428"/>
        <v/>
      </c>
      <c r="S1695" s="317" t="str">
        <f t="shared" si="429"/>
        <v/>
      </c>
      <c r="V1695" s="314">
        <f>SUM('RES. CENTRAL PARK:RUA_FINAL'!N1695)</f>
        <v>0</v>
      </c>
      <c r="W1695" s="315">
        <f t="shared" si="431"/>
        <v>0</v>
      </c>
    </row>
    <row r="1696" spans="1:23" ht="13.5" hidden="1" thickBot="1" x14ac:dyDescent="0.25">
      <c r="A1696" s="565" t="s">
        <v>165</v>
      </c>
      <c r="B1696" s="924" t="s">
        <v>165</v>
      </c>
      <c r="C1696" s="925" t="s">
        <v>165</v>
      </c>
      <c r="D1696" s="931"/>
      <c r="E1696" s="927"/>
      <c r="F1696" s="928"/>
      <c r="G1696" s="929"/>
      <c r="H1696" s="930">
        <v>0</v>
      </c>
      <c r="I1696" s="901">
        <f t="shared" si="432"/>
        <v>0</v>
      </c>
      <c r="J1696" s="890">
        <f t="shared" si="433"/>
        <v>0</v>
      </c>
      <c r="K1696" s="928" t="s">
        <v>507</v>
      </c>
      <c r="L1696" s="1039">
        <f>ROUND(SUM('RES. CENTRAL PARK:RUA_FINAL'!L1696),2)</f>
        <v>0</v>
      </c>
      <c r="M1696" s="1039">
        <f t="shared" si="425"/>
        <v>0</v>
      </c>
      <c r="N1696" s="893">
        <f t="shared" si="426"/>
        <v>0</v>
      </c>
      <c r="O1696" s="905"/>
      <c r="Q1696" s="317" t="str">
        <f t="shared" si="427"/>
        <v/>
      </c>
      <c r="R1696" s="317" t="str">
        <f t="shared" si="428"/>
        <v/>
      </c>
      <c r="S1696" s="317" t="str">
        <f t="shared" si="429"/>
        <v/>
      </c>
      <c r="V1696" s="314">
        <f>SUM('RES. CENTRAL PARK:RUA_FINAL'!N1696)</f>
        <v>0</v>
      </c>
      <c r="W1696" s="315">
        <f t="shared" si="431"/>
        <v>0</v>
      </c>
    </row>
    <row r="1697" spans="1:23" ht="13.5" hidden="1" thickBot="1" x14ac:dyDescent="0.25">
      <c r="A1697" s="565" t="s">
        <v>165</v>
      </c>
      <c r="B1697" s="924" t="s">
        <v>165</v>
      </c>
      <c r="C1697" s="925" t="s">
        <v>165</v>
      </c>
      <c r="D1697" s="931"/>
      <c r="E1697" s="927"/>
      <c r="F1697" s="928"/>
      <c r="G1697" s="929"/>
      <c r="H1697" s="930">
        <v>0</v>
      </c>
      <c r="I1697" s="901">
        <f t="shared" si="432"/>
        <v>0</v>
      </c>
      <c r="J1697" s="890">
        <f t="shared" si="433"/>
        <v>0</v>
      </c>
      <c r="K1697" s="928" t="s">
        <v>507</v>
      </c>
      <c r="L1697" s="1039">
        <f>ROUND(SUM('RES. CENTRAL PARK:RUA_FINAL'!L1697),2)</f>
        <v>0</v>
      </c>
      <c r="M1697" s="1039">
        <f t="shared" si="425"/>
        <v>0</v>
      </c>
      <c r="N1697" s="893">
        <f t="shared" si="426"/>
        <v>0</v>
      </c>
      <c r="O1697" s="905"/>
      <c r="Q1697" s="317" t="str">
        <f t="shared" si="427"/>
        <v/>
      </c>
      <c r="R1697" s="317" t="str">
        <f t="shared" si="428"/>
        <v/>
      </c>
      <c r="S1697" s="317" t="str">
        <f t="shared" si="429"/>
        <v/>
      </c>
      <c r="V1697" s="314">
        <f>SUM('RES. CENTRAL PARK:RUA_FINAL'!N1697)</f>
        <v>0</v>
      </c>
      <c r="W1697" s="315">
        <f t="shared" si="431"/>
        <v>0</v>
      </c>
    </row>
    <row r="1698" spans="1:23" ht="13.5" hidden="1" thickBot="1" x14ac:dyDescent="0.25">
      <c r="A1698" s="565" t="s">
        <v>165</v>
      </c>
      <c r="B1698" s="924" t="s">
        <v>165</v>
      </c>
      <c r="C1698" s="925" t="s">
        <v>165</v>
      </c>
      <c r="D1698" s="931"/>
      <c r="E1698" s="927"/>
      <c r="F1698" s="928"/>
      <c r="G1698" s="929"/>
      <c r="H1698" s="930">
        <v>0</v>
      </c>
      <c r="I1698" s="901">
        <f t="shared" si="432"/>
        <v>0</v>
      </c>
      <c r="J1698" s="890">
        <f t="shared" si="433"/>
        <v>0</v>
      </c>
      <c r="K1698" s="928" t="s">
        <v>507</v>
      </c>
      <c r="L1698" s="1039">
        <f>ROUND(SUM('RES. CENTRAL PARK:RUA_FINAL'!L1698),2)</f>
        <v>0</v>
      </c>
      <c r="M1698" s="1039">
        <f t="shared" si="425"/>
        <v>0</v>
      </c>
      <c r="N1698" s="893">
        <f t="shared" si="426"/>
        <v>0</v>
      </c>
      <c r="O1698" s="905"/>
      <c r="Q1698" s="317" t="str">
        <f t="shared" si="427"/>
        <v/>
      </c>
      <c r="R1698" s="317" t="str">
        <f t="shared" si="428"/>
        <v/>
      </c>
      <c r="S1698" s="317" t="str">
        <f t="shared" si="429"/>
        <v/>
      </c>
      <c r="V1698" s="314">
        <f>SUM('RES. CENTRAL PARK:RUA_FINAL'!N1698)</f>
        <v>0</v>
      </c>
      <c r="W1698" s="315">
        <f t="shared" si="431"/>
        <v>0</v>
      </c>
    </row>
    <row r="1699" spans="1:23" ht="13.5" hidden="1" thickBot="1" x14ac:dyDescent="0.25">
      <c r="A1699" s="565" t="s">
        <v>165</v>
      </c>
      <c r="B1699" s="924" t="s">
        <v>165</v>
      </c>
      <c r="C1699" s="925" t="s">
        <v>165</v>
      </c>
      <c r="D1699" s="931"/>
      <c r="E1699" s="927"/>
      <c r="F1699" s="928"/>
      <c r="G1699" s="929"/>
      <c r="H1699" s="930">
        <v>0</v>
      </c>
      <c r="I1699" s="901">
        <f t="shared" si="432"/>
        <v>0</v>
      </c>
      <c r="J1699" s="890">
        <f t="shared" si="433"/>
        <v>0</v>
      </c>
      <c r="K1699" s="928" t="s">
        <v>507</v>
      </c>
      <c r="L1699" s="1039">
        <f>ROUND(SUM('RES. CENTRAL PARK:RUA_FINAL'!L1699),2)</f>
        <v>0</v>
      </c>
      <c r="M1699" s="1039">
        <f t="shared" si="425"/>
        <v>0</v>
      </c>
      <c r="N1699" s="893">
        <f t="shared" si="426"/>
        <v>0</v>
      </c>
      <c r="O1699" s="905"/>
      <c r="Q1699" s="317" t="str">
        <f t="shared" si="427"/>
        <v/>
      </c>
      <c r="R1699" s="317" t="str">
        <f t="shared" si="428"/>
        <v/>
      </c>
      <c r="S1699" s="317" t="str">
        <f t="shared" si="429"/>
        <v/>
      </c>
      <c r="V1699" s="314">
        <f>SUM('RES. CENTRAL PARK:RUA_FINAL'!N1699)</f>
        <v>0</v>
      </c>
      <c r="W1699" s="315">
        <f t="shared" si="431"/>
        <v>0</v>
      </c>
    </row>
    <row r="1700" spans="1:23" ht="13.5" hidden="1" thickBot="1" x14ac:dyDescent="0.25">
      <c r="A1700" s="565" t="s">
        <v>165</v>
      </c>
      <c r="B1700" s="924" t="s">
        <v>165</v>
      </c>
      <c r="C1700" s="925" t="s">
        <v>165</v>
      </c>
      <c r="D1700" s="931"/>
      <c r="E1700" s="927"/>
      <c r="F1700" s="928"/>
      <c r="G1700" s="929"/>
      <c r="H1700" s="930">
        <v>0</v>
      </c>
      <c r="I1700" s="901">
        <f t="shared" si="432"/>
        <v>0</v>
      </c>
      <c r="J1700" s="890">
        <f t="shared" si="433"/>
        <v>0</v>
      </c>
      <c r="K1700" s="928" t="s">
        <v>507</v>
      </c>
      <c r="L1700" s="1039">
        <f>ROUND(SUM('RES. CENTRAL PARK:RUA_FINAL'!L1700),2)</f>
        <v>0</v>
      </c>
      <c r="M1700" s="1039">
        <f t="shared" si="425"/>
        <v>0</v>
      </c>
      <c r="N1700" s="893">
        <f t="shared" si="426"/>
        <v>0</v>
      </c>
      <c r="O1700" s="905"/>
      <c r="Q1700" s="317" t="str">
        <f t="shared" si="427"/>
        <v/>
      </c>
      <c r="R1700" s="317" t="str">
        <f t="shared" si="428"/>
        <v/>
      </c>
      <c r="S1700" s="317" t="str">
        <f t="shared" si="429"/>
        <v/>
      </c>
      <c r="V1700" s="314">
        <f>SUM('RES. CENTRAL PARK:RUA_FINAL'!N1700)</f>
        <v>0</v>
      </c>
      <c r="W1700" s="315">
        <f t="shared" si="431"/>
        <v>0</v>
      </c>
    </row>
    <row r="1701" spans="1:23" ht="13.5" hidden="1" thickBot="1" x14ac:dyDescent="0.25">
      <c r="A1701" s="565" t="s">
        <v>165</v>
      </c>
      <c r="B1701" s="924" t="s">
        <v>165</v>
      </c>
      <c r="C1701" s="925" t="s">
        <v>165</v>
      </c>
      <c r="D1701" s="931"/>
      <c r="E1701" s="927"/>
      <c r="F1701" s="928"/>
      <c r="G1701" s="929"/>
      <c r="H1701" s="930">
        <v>0</v>
      </c>
      <c r="I1701" s="901">
        <f t="shared" si="432"/>
        <v>0</v>
      </c>
      <c r="J1701" s="890">
        <f t="shared" si="433"/>
        <v>0</v>
      </c>
      <c r="K1701" s="928" t="s">
        <v>507</v>
      </c>
      <c r="L1701" s="1039">
        <f>ROUND(SUM('RES. CENTRAL PARK:RUA_FINAL'!L1701),2)</f>
        <v>0</v>
      </c>
      <c r="M1701" s="1039">
        <f t="shared" si="425"/>
        <v>0</v>
      </c>
      <c r="N1701" s="893">
        <f t="shared" si="426"/>
        <v>0</v>
      </c>
      <c r="O1701" s="905"/>
      <c r="Q1701" s="317" t="str">
        <f t="shared" si="427"/>
        <v/>
      </c>
      <c r="R1701" s="317" t="str">
        <f t="shared" si="428"/>
        <v/>
      </c>
      <c r="S1701" s="317" t="str">
        <f t="shared" si="429"/>
        <v/>
      </c>
      <c r="V1701" s="314">
        <f>SUM('RES. CENTRAL PARK:RUA_FINAL'!N1701)</f>
        <v>0</v>
      </c>
      <c r="W1701" s="315">
        <f t="shared" si="431"/>
        <v>0</v>
      </c>
    </row>
    <row r="1702" spans="1:23" ht="13.5" hidden="1" thickBot="1" x14ac:dyDescent="0.25">
      <c r="A1702" s="565" t="s">
        <v>165</v>
      </c>
      <c r="B1702" s="924" t="s">
        <v>165</v>
      </c>
      <c r="C1702" s="925" t="s">
        <v>165</v>
      </c>
      <c r="D1702" s="931"/>
      <c r="E1702" s="927"/>
      <c r="F1702" s="928"/>
      <c r="G1702" s="929"/>
      <c r="H1702" s="930">
        <v>0</v>
      </c>
      <c r="I1702" s="901">
        <f t="shared" si="432"/>
        <v>0</v>
      </c>
      <c r="J1702" s="890">
        <f t="shared" si="433"/>
        <v>0</v>
      </c>
      <c r="K1702" s="928" t="s">
        <v>507</v>
      </c>
      <c r="L1702" s="1039">
        <f>ROUND(SUM('RES. CENTRAL PARK:RUA_FINAL'!L1702),2)</f>
        <v>0</v>
      </c>
      <c r="M1702" s="1039">
        <f t="shared" si="425"/>
        <v>0</v>
      </c>
      <c r="N1702" s="893">
        <f t="shared" si="426"/>
        <v>0</v>
      </c>
      <c r="O1702" s="905"/>
      <c r="Q1702" s="317" t="str">
        <f t="shared" si="427"/>
        <v/>
      </c>
      <c r="R1702" s="317" t="str">
        <f t="shared" si="428"/>
        <v/>
      </c>
      <c r="S1702" s="317" t="str">
        <f t="shared" si="429"/>
        <v/>
      </c>
      <c r="V1702" s="314">
        <f>SUM('RES. CENTRAL PARK:RUA_FINAL'!N1702)</f>
        <v>0</v>
      </c>
      <c r="W1702" s="315">
        <f t="shared" si="431"/>
        <v>0</v>
      </c>
    </row>
    <row r="1703" spans="1:23" ht="13.5" hidden="1" thickBot="1" x14ac:dyDescent="0.25">
      <c r="A1703" s="565" t="s">
        <v>165</v>
      </c>
      <c r="B1703" s="924" t="s">
        <v>165</v>
      </c>
      <c r="C1703" s="925" t="s">
        <v>165</v>
      </c>
      <c r="D1703" s="931"/>
      <c r="E1703" s="927"/>
      <c r="F1703" s="928"/>
      <c r="G1703" s="929"/>
      <c r="H1703" s="930">
        <v>0</v>
      </c>
      <c r="I1703" s="901">
        <f t="shared" si="432"/>
        <v>0</v>
      </c>
      <c r="J1703" s="890">
        <f t="shared" si="433"/>
        <v>0</v>
      </c>
      <c r="K1703" s="928" t="s">
        <v>507</v>
      </c>
      <c r="L1703" s="1039">
        <f>ROUND(SUM('RES. CENTRAL PARK:RUA_FINAL'!L1703),2)</f>
        <v>0</v>
      </c>
      <c r="M1703" s="1039">
        <f t="shared" si="425"/>
        <v>0</v>
      </c>
      <c r="N1703" s="893">
        <f t="shared" si="426"/>
        <v>0</v>
      </c>
      <c r="O1703" s="905"/>
      <c r="Q1703" s="317" t="str">
        <f t="shared" si="427"/>
        <v/>
      </c>
      <c r="R1703" s="317" t="str">
        <f t="shared" si="428"/>
        <v/>
      </c>
      <c r="S1703" s="317" t="str">
        <f t="shared" si="429"/>
        <v/>
      </c>
      <c r="V1703" s="314">
        <f>SUM('RES. CENTRAL PARK:RUA_FINAL'!N1703)</f>
        <v>0</v>
      </c>
      <c r="W1703" s="315">
        <f t="shared" si="431"/>
        <v>0</v>
      </c>
    </row>
    <row r="1704" spans="1:23" ht="13.5" hidden="1" thickBot="1" x14ac:dyDescent="0.25">
      <c r="A1704" s="565" t="s">
        <v>165</v>
      </c>
      <c r="B1704" s="924" t="s">
        <v>165</v>
      </c>
      <c r="C1704" s="925" t="s">
        <v>165</v>
      </c>
      <c r="D1704" s="931"/>
      <c r="E1704" s="927"/>
      <c r="F1704" s="928"/>
      <c r="G1704" s="929"/>
      <c r="H1704" s="930">
        <v>0</v>
      </c>
      <c r="I1704" s="901">
        <f t="shared" si="432"/>
        <v>0</v>
      </c>
      <c r="J1704" s="890">
        <f t="shared" si="433"/>
        <v>0</v>
      </c>
      <c r="K1704" s="928" t="s">
        <v>507</v>
      </c>
      <c r="L1704" s="1039">
        <f>ROUND(SUM('RES. CENTRAL PARK:RUA_FINAL'!L1704),2)</f>
        <v>0</v>
      </c>
      <c r="M1704" s="1039">
        <f t="shared" si="425"/>
        <v>0</v>
      </c>
      <c r="N1704" s="893">
        <f t="shared" si="426"/>
        <v>0</v>
      </c>
      <c r="O1704" s="905"/>
      <c r="Q1704" s="317" t="str">
        <f t="shared" si="427"/>
        <v/>
      </c>
      <c r="R1704" s="317" t="str">
        <f t="shared" si="428"/>
        <v/>
      </c>
      <c r="S1704" s="317" t="str">
        <f t="shared" si="429"/>
        <v/>
      </c>
      <c r="V1704" s="314">
        <f>SUM('RES. CENTRAL PARK:RUA_FINAL'!N1704)</f>
        <v>0</v>
      </c>
      <c r="W1704" s="315">
        <f t="shared" si="431"/>
        <v>0</v>
      </c>
    </row>
    <row r="1705" spans="1:23" ht="13.5" hidden="1" thickBot="1" x14ac:dyDescent="0.25">
      <c r="A1705" s="565" t="s">
        <v>165</v>
      </c>
      <c r="B1705" s="924" t="s">
        <v>165</v>
      </c>
      <c r="C1705" s="925" t="s">
        <v>165</v>
      </c>
      <c r="D1705" s="931"/>
      <c r="E1705" s="927"/>
      <c r="F1705" s="928"/>
      <c r="G1705" s="929"/>
      <c r="H1705" s="930">
        <v>0</v>
      </c>
      <c r="I1705" s="901">
        <f t="shared" si="432"/>
        <v>0</v>
      </c>
      <c r="J1705" s="890">
        <f t="shared" si="433"/>
        <v>0</v>
      </c>
      <c r="K1705" s="928" t="s">
        <v>507</v>
      </c>
      <c r="L1705" s="1039">
        <f>ROUND(SUM('RES. CENTRAL PARK:RUA_FINAL'!L1705),2)</f>
        <v>0</v>
      </c>
      <c r="M1705" s="1039">
        <f t="shared" si="425"/>
        <v>0</v>
      </c>
      <c r="N1705" s="893">
        <f t="shared" si="426"/>
        <v>0</v>
      </c>
      <c r="O1705" s="905"/>
      <c r="Q1705" s="317" t="str">
        <f t="shared" si="427"/>
        <v/>
      </c>
      <c r="R1705" s="317" t="str">
        <f t="shared" si="428"/>
        <v/>
      </c>
      <c r="S1705" s="317" t="str">
        <f t="shared" si="429"/>
        <v/>
      </c>
      <c r="V1705" s="314">
        <f>SUM('RES. CENTRAL PARK:RUA_FINAL'!N1705)</f>
        <v>0</v>
      </c>
      <c r="W1705" s="315">
        <f t="shared" si="431"/>
        <v>0</v>
      </c>
    </row>
    <row r="1706" spans="1:23" ht="13.5" hidden="1" thickBot="1" x14ac:dyDescent="0.25">
      <c r="A1706" s="565" t="s">
        <v>165</v>
      </c>
      <c r="B1706" s="924" t="s">
        <v>165</v>
      </c>
      <c r="C1706" s="925" t="s">
        <v>165</v>
      </c>
      <c r="D1706" s="931"/>
      <c r="E1706" s="927"/>
      <c r="F1706" s="928"/>
      <c r="G1706" s="929"/>
      <c r="H1706" s="930">
        <v>0</v>
      </c>
      <c r="I1706" s="901">
        <f t="shared" si="432"/>
        <v>0</v>
      </c>
      <c r="J1706" s="890">
        <f t="shared" si="433"/>
        <v>0</v>
      </c>
      <c r="K1706" s="928" t="s">
        <v>507</v>
      </c>
      <c r="L1706" s="1039">
        <f>ROUND(SUM('RES. CENTRAL PARK:RUA_FINAL'!L1706),2)</f>
        <v>0</v>
      </c>
      <c r="M1706" s="1039">
        <f t="shared" si="425"/>
        <v>0</v>
      </c>
      <c r="N1706" s="893">
        <f t="shared" si="426"/>
        <v>0</v>
      </c>
      <c r="O1706" s="905"/>
      <c r="Q1706" s="317" t="str">
        <f t="shared" si="427"/>
        <v/>
      </c>
      <c r="R1706" s="317" t="str">
        <f t="shared" si="428"/>
        <v/>
      </c>
      <c r="S1706" s="317" t="str">
        <f t="shared" si="429"/>
        <v/>
      </c>
      <c r="V1706" s="314">
        <f>SUM('RES. CENTRAL PARK:RUA_FINAL'!N1706)</f>
        <v>0</v>
      </c>
      <c r="W1706" s="315">
        <f t="shared" si="431"/>
        <v>0</v>
      </c>
    </row>
    <row r="1707" spans="1:23" ht="13.5" hidden="1" thickBot="1" x14ac:dyDescent="0.25">
      <c r="A1707" s="565" t="s">
        <v>165</v>
      </c>
      <c r="B1707" s="924" t="s">
        <v>165</v>
      </c>
      <c r="C1707" s="925" t="s">
        <v>165</v>
      </c>
      <c r="D1707" s="931"/>
      <c r="E1707" s="927"/>
      <c r="F1707" s="928"/>
      <c r="G1707" s="929"/>
      <c r="H1707" s="930">
        <v>0</v>
      </c>
      <c r="I1707" s="901">
        <f t="shared" si="432"/>
        <v>0</v>
      </c>
      <c r="J1707" s="890">
        <f t="shared" si="433"/>
        <v>0</v>
      </c>
      <c r="K1707" s="928" t="s">
        <v>507</v>
      </c>
      <c r="L1707" s="1039">
        <f>ROUND(SUM('RES. CENTRAL PARK:RUA_FINAL'!L1707),2)</f>
        <v>0</v>
      </c>
      <c r="M1707" s="1039">
        <f t="shared" si="425"/>
        <v>0</v>
      </c>
      <c r="N1707" s="893">
        <f t="shared" si="426"/>
        <v>0</v>
      </c>
      <c r="O1707" s="905"/>
      <c r="Q1707" s="317" t="str">
        <f t="shared" si="427"/>
        <v/>
      </c>
      <c r="R1707" s="317" t="str">
        <f t="shared" si="428"/>
        <v/>
      </c>
      <c r="S1707" s="317" t="str">
        <f t="shared" si="429"/>
        <v/>
      </c>
      <c r="V1707" s="314">
        <f>SUM('RES. CENTRAL PARK:RUA_FINAL'!N1707)</f>
        <v>0</v>
      </c>
      <c r="W1707" s="315">
        <f t="shared" si="431"/>
        <v>0</v>
      </c>
    </row>
    <row r="1708" spans="1:23" ht="13.5" hidden="1" thickBot="1" x14ac:dyDescent="0.25">
      <c r="A1708" s="565" t="s">
        <v>165</v>
      </c>
      <c r="B1708" s="924" t="s">
        <v>165</v>
      </c>
      <c r="C1708" s="925" t="s">
        <v>165</v>
      </c>
      <c r="D1708" s="931"/>
      <c r="E1708" s="927"/>
      <c r="F1708" s="928"/>
      <c r="G1708" s="929"/>
      <c r="H1708" s="930">
        <v>0</v>
      </c>
      <c r="I1708" s="901">
        <f t="shared" si="432"/>
        <v>0</v>
      </c>
      <c r="J1708" s="890">
        <f t="shared" si="433"/>
        <v>0</v>
      </c>
      <c r="K1708" s="928" t="s">
        <v>507</v>
      </c>
      <c r="L1708" s="1039">
        <f>ROUND(SUM('RES. CENTRAL PARK:RUA_FINAL'!L1708),2)</f>
        <v>0</v>
      </c>
      <c r="M1708" s="1039">
        <f t="shared" si="425"/>
        <v>0</v>
      </c>
      <c r="N1708" s="893">
        <f t="shared" si="426"/>
        <v>0</v>
      </c>
      <c r="O1708" s="905"/>
      <c r="Q1708" s="317" t="str">
        <f t="shared" si="427"/>
        <v/>
      </c>
      <c r="R1708" s="317" t="str">
        <f t="shared" si="428"/>
        <v/>
      </c>
      <c r="S1708" s="317" t="str">
        <f t="shared" si="429"/>
        <v/>
      </c>
      <c r="V1708" s="314">
        <f>SUM('RES. CENTRAL PARK:RUA_FINAL'!N1708)</f>
        <v>0</v>
      </c>
      <c r="W1708" s="315">
        <f t="shared" si="431"/>
        <v>0</v>
      </c>
    </row>
    <row r="1709" spans="1:23" ht="13.5" hidden="1" thickBot="1" x14ac:dyDescent="0.25">
      <c r="A1709" s="565" t="s">
        <v>165</v>
      </c>
      <c r="B1709" s="924" t="s">
        <v>165</v>
      </c>
      <c r="C1709" s="925" t="s">
        <v>165</v>
      </c>
      <c r="D1709" s="931"/>
      <c r="E1709" s="927"/>
      <c r="F1709" s="928"/>
      <c r="G1709" s="929"/>
      <c r="H1709" s="930">
        <v>0</v>
      </c>
      <c r="I1709" s="901">
        <f t="shared" si="432"/>
        <v>0</v>
      </c>
      <c r="J1709" s="890">
        <f t="shared" si="433"/>
        <v>0</v>
      </c>
      <c r="K1709" s="928" t="s">
        <v>507</v>
      </c>
      <c r="L1709" s="1039">
        <f>ROUND(SUM('RES. CENTRAL PARK:RUA_FINAL'!L1709),2)</f>
        <v>0</v>
      </c>
      <c r="M1709" s="1039">
        <f t="shared" si="425"/>
        <v>0</v>
      </c>
      <c r="N1709" s="893">
        <f t="shared" si="426"/>
        <v>0</v>
      </c>
      <c r="O1709" s="905"/>
      <c r="Q1709" s="317" t="str">
        <f t="shared" si="427"/>
        <v/>
      </c>
      <c r="R1709" s="317" t="str">
        <f t="shared" si="428"/>
        <v/>
      </c>
      <c r="S1709" s="317" t="str">
        <f t="shared" si="429"/>
        <v/>
      </c>
      <c r="V1709" s="314">
        <f>SUM('RES. CENTRAL PARK:RUA_FINAL'!N1709)</f>
        <v>0</v>
      </c>
      <c r="W1709" s="315">
        <f t="shared" si="431"/>
        <v>0</v>
      </c>
    </row>
    <row r="1710" spans="1:23" ht="13.5" hidden="1" thickBot="1" x14ac:dyDescent="0.25">
      <c r="A1710" s="565" t="s">
        <v>165</v>
      </c>
      <c r="B1710" s="924" t="s">
        <v>165</v>
      </c>
      <c r="C1710" s="925" t="s">
        <v>165</v>
      </c>
      <c r="D1710" s="931"/>
      <c r="E1710" s="927"/>
      <c r="F1710" s="928"/>
      <c r="G1710" s="929"/>
      <c r="H1710" s="930">
        <v>0</v>
      </c>
      <c r="I1710" s="901">
        <f t="shared" si="432"/>
        <v>0</v>
      </c>
      <c r="J1710" s="890">
        <f t="shared" si="433"/>
        <v>0</v>
      </c>
      <c r="K1710" s="928" t="s">
        <v>507</v>
      </c>
      <c r="L1710" s="1039">
        <f>ROUND(SUM('RES. CENTRAL PARK:RUA_FINAL'!L1710),2)</f>
        <v>0</v>
      </c>
      <c r="M1710" s="1039">
        <f t="shared" si="425"/>
        <v>0</v>
      </c>
      <c r="N1710" s="893">
        <f t="shared" si="426"/>
        <v>0</v>
      </c>
      <c r="O1710" s="905"/>
      <c r="Q1710" s="317" t="str">
        <f t="shared" si="427"/>
        <v/>
      </c>
      <c r="R1710" s="317" t="str">
        <f t="shared" si="428"/>
        <v/>
      </c>
      <c r="S1710" s="317" t="str">
        <f t="shared" si="429"/>
        <v/>
      </c>
      <c r="V1710" s="314">
        <f>SUM('RES. CENTRAL PARK:RUA_FINAL'!N1710)</f>
        <v>0</v>
      </c>
      <c r="W1710" s="315">
        <f t="shared" si="431"/>
        <v>0</v>
      </c>
    </row>
    <row r="1711" spans="1:23" ht="13.5" hidden="1" thickBot="1" x14ac:dyDescent="0.25">
      <c r="A1711" s="565" t="s">
        <v>165</v>
      </c>
      <c r="B1711" s="924" t="s">
        <v>165</v>
      </c>
      <c r="C1711" s="925" t="s">
        <v>165</v>
      </c>
      <c r="D1711" s="931"/>
      <c r="E1711" s="927"/>
      <c r="F1711" s="928"/>
      <c r="G1711" s="929"/>
      <c r="H1711" s="930">
        <v>0</v>
      </c>
      <c r="I1711" s="901">
        <f t="shared" si="432"/>
        <v>0</v>
      </c>
      <c r="J1711" s="890">
        <f t="shared" si="433"/>
        <v>0</v>
      </c>
      <c r="K1711" s="928" t="s">
        <v>507</v>
      </c>
      <c r="L1711" s="1039">
        <f>ROUND(SUM('RES. CENTRAL PARK:RUA_FINAL'!L1711),2)</f>
        <v>0</v>
      </c>
      <c r="M1711" s="1039">
        <f t="shared" si="425"/>
        <v>0</v>
      </c>
      <c r="N1711" s="893">
        <f t="shared" si="426"/>
        <v>0</v>
      </c>
      <c r="O1711" s="905"/>
      <c r="Q1711" s="317" t="str">
        <f t="shared" si="427"/>
        <v/>
      </c>
      <c r="R1711" s="317" t="str">
        <f t="shared" si="428"/>
        <v/>
      </c>
      <c r="S1711" s="317" t="str">
        <f t="shared" si="429"/>
        <v/>
      </c>
      <c r="V1711" s="314">
        <f>SUM('RES. CENTRAL PARK:RUA_FINAL'!N1711)</f>
        <v>0</v>
      </c>
      <c r="W1711" s="315">
        <f t="shared" si="431"/>
        <v>0</v>
      </c>
    </row>
    <row r="1712" spans="1:23" ht="13.5" hidden="1" thickBot="1" x14ac:dyDescent="0.25">
      <c r="A1712" s="565" t="s">
        <v>165</v>
      </c>
      <c r="B1712" s="924" t="s">
        <v>165</v>
      </c>
      <c r="C1712" s="925" t="s">
        <v>165</v>
      </c>
      <c r="D1712" s="931"/>
      <c r="E1712" s="927"/>
      <c r="F1712" s="928"/>
      <c r="G1712" s="929"/>
      <c r="H1712" s="930">
        <v>0</v>
      </c>
      <c r="I1712" s="901">
        <f t="shared" si="432"/>
        <v>0</v>
      </c>
      <c r="J1712" s="890">
        <f t="shared" si="433"/>
        <v>0</v>
      </c>
      <c r="K1712" s="928" t="s">
        <v>507</v>
      </c>
      <c r="L1712" s="1039">
        <f>ROUND(SUM('RES. CENTRAL PARK:RUA_FINAL'!L1712),2)</f>
        <v>0</v>
      </c>
      <c r="M1712" s="1039">
        <f t="shared" si="425"/>
        <v>0</v>
      </c>
      <c r="N1712" s="893">
        <f t="shared" si="426"/>
        <v>0</v>
      </c>
      <c r="O1712" s="905"/>
      <c r="Q1712" s="317" t="str">
        <f t="shared" si="427"/>
        <v/>
      </c>
      <c r="R1712" s="317" t="str">
        <f t="shared" si="428"/>
        <v/>
      </c>
      <c r="S1712" s="317" t="str">
        <f t="shared" si="429"/>
        <v/>
      </c>
      <c r="V1712" s="314">
        <f>SUM('RES. CENTRAL PARK:RUA_FINAL'!N1712)</f>
        <v>0</v>
      </c>
      <c r="W1712" s="315">
        <f t="shared" si="431"/>
        <v>0</v>
      </c>
    </row>
    <row r="1713" spans="1:23" ht="13.5" hidden="1" thickBot="1" x14ac:dyDescent="0.25">
      <c r="A1713" s="565" t="s">
        <v>165</v>
      </c>
      <c r="B1713" s="924" t="s">
        <v>165</v>
      </c>
      <c r="C1713" s="925" t="s">
        <v>165</v>
      </c>
      <c r="D1713" s="931"/>
      <c r="E1713" s="927"/>
      <c r="F1713" s="928"/>
      <c r="G1713" s="929"/>
      <c r="H1713" s="930">
        <v>0</v>
      </c>
      <c r="I1713" s="901">
        <f t="shared" si="432"/>
        <v>0</v>
      </c>
      <c r="J1713" s="890">
        <f t="shared" si="433"/>
        <v>0</v>
      </c>
      <c r="K1713" s="928" t="s">
        <v>507</v>
      </c>
      <c r="L1713" s="1039">
        <f>ROUND(SUM('RES. CENTRAL PARK:RUA_FINAL'!L1713),2)</f>
        <v>0</v>
      </c>
      <c r="M1713" s="1039">
        <f t="shared" si="425"/>
        <v>0</v>
      </c>
      <c r="N1713" s="893">
        <f t="shared" si="426"/>
        <v>0</v>
      </c>
      <c r="O1713" s="905"/>
      <c r="Q1713" s="317" t="str">
        <f t="shared" si="427"/>
        <v/>
      </c>
      <c r="R1713" s="317" t="str">
        <f t="shared" si="428"/>
        <v/>
      </c>
      <c r="S1713" s="317" t="str">
        <f t="shared" si="429"/>
        <v/>
      </c>
      <c r="V1713" s="314">
        <f>SUM('RES. CENTRAL PARK:RUA_FINAL'!N1713)</f>
        <v>0</v>
      </c>
      <c r="W1713" s="315">
        <f t="shared" si="431"/>
        <v>0</v>
      </c>
    </row>
    <row r="1714" spans="1:23" ht="13.5" hidden="1" thickBot="1" x14ac:dyDescent="0.25">
      <c r="A1714" s="565" t="s">
        <v>165</v>
      </c>
      <c r="B1714" s="924" t="s">
        <v>165</v>
      </c>
      <c r="C1714" s="925" t="s">
        <v>165</v>
      </c>
      <c r="D1714" s="931"/>
      <c r="E1714" s="927"/>
      <c r="F1714" s="928"/>
      <c r="G1714" s="929"/>
      <c r="H1714" s="930">
        <v>0</v>
      </c>
      <c r="I1714" s="901">
        <f t="shared" si="432"/>
        <v>0</v>
      </c>
      <c r="J1714" s="890">
        <f t="shared" si="433"/>
        <v>0</v>
      </c>
      <c r="K1714" s="928" t="s">
        <v>507</v>
      </c>
      <c r="L1714" s="1039">
        <f>ROUND(SUM('RES. CENTRAL PARK:RUA_FINAL'!L1714),2)</f>
        <v>0</v>
      </c>
      <c r="M1714" s="1039">
        <f t="shared" si="425"/>
        <v>0</v>
      </c>
      <c r="N1714" s="893">
        <f t="shared" si="426"/>
        <v>0</v>
      </c>
      <c r="O1714" s="905"/>
      <c r="Q1714" s="317" t="str">
        <f t="shared" si="427"/>
        <v/>
      </c>
      <c r="R1714" s="317" t="str">
        <f t="shared" si="428"/>
        <v/>
      </c>
      <c r="S1714" s="317" t="str">
        <f t="shared" si="429"/>
        <v/>
      </c>
      <c r="V1714" s="314">
        <f>SUM('RES. CENTRAL PARK:RUA_FINAL'!N1714)</f>
        <v>0</v>
      </c>
      <c r="W1714" s="315">
        <f t="shared" si="431"/>
        <v>0</v>
      </c>
    </row>
    <row r="1715" spans="1:23" ht="13.5" hidden="1" thickBot="1" x14ac:dyDescent="0.25">
      <c r="A1715" s="565" t="s">
        <v>165</v>
      </c>
      <c r="B1715" s="924" t="s">
        <v>165</v>
      </c>
      <c r="C1715" s="925" t="s">
        <v>165</v>
      </c>
      <c r="D1715" s="931"/>
      <c r="E1715" s="927"/>
      <c r="F1715" s="928"/>
      <c r="G1715" s="929"/>
      <c r="H1715" s="930">
        <v>0</v>
      </c>
      <c r="I1715" s="901">
        <f t="shared" si="432"/>
        <v>0</v>
      </c>
      <c r="J1715" s="890">
        <f t="shared" si="433"/>
        <v>0</v>
      </c>
      <c r="K1715" s="928" t="s">
        <v>507</v>
      </c>
      <c r="L1715" s="1039">
        <f>ROUND(SUM('RES. CENTRAL PARK:RUA_FINAL'!L1715),2)</f>
        <v>0</v>
      </c>
      <c r="M1715" s="1039">
        <f t="shared" si="425"/>
        <v>0</v>
      </c>
      <c r="N1715" s="893">
        <f t="shared" si="426"/>
        <v>0</v>
      </c>
      <c r="O1715" s="905"/>
      <c r="Q1715" s="317" t="str">
        <f t="shared" si="427"/>
        <v/>
      </c>
      <c r="R1715" s="317" t="str">
        <f t="shared" si="428"/>
        <v/>
      </c>
      <c r="S1715" s="317" t="str">
        <f t="shared" si="429"/>
        <v/>
      </c>
      <c r="V1715" s="314">
        <f>SUM('RES. CENTRAL PARK:RUA_FINAL'!N1715)</f>
        <v>0</v>
      </c>
      <c r="W1715" s="315">
        <f t="shared" si="431"/>
        <v>0</v>
      </c>
    </row>
    <row r="1716" spans="1:23" ht="13.5" hidden="1" thickBot="1" x14ac:dyDescent="0.25">
      <c r="A1716" s="565" t="s">
        <v>165</v>
      </c>
      <c r="B1716" s="924" t="s">
        <v>165</v>
      </c>
      <c r="C1716" s="925" t="s">
        <v>165</v>
      </c>
      <c r="D1716" s="931"/>
      <c r="E1716" s="927"/>
      <c r="F1716" s="928"/>
      <c r="G1716" s="929"/>
      <c r="H1716" s="930">
        <v>0</v>
      </c>
      <c r="I1716" s="901">
        <f t="shared" si="432"/>
        <v>0</v>
      </c>
      <c r="J1716" s="890">
        <f t="shared" si="433"/>
        <v>0</v>
      </c>
      <c r="K1716" s="928" t="s">
        <v>507</v>
      </c>
      <c r="L1716" s="1039">
        <f>ROUND(SUM('RES. CENTRAL PARK:RUA_FINAL'!L1716),2)</f>
        <v>0</v>
      </c>
      <c r="M1716" s="1039">
        <f t="shared" si="425"/>
        <v>0</v>
      </c>
      <c r="N1716" s="893">
        <f t="shared" si="426"/>
        <v>0</v>
      </c>
      <c r="O1716" s="905"/>
      <c r="Q1716" s="317" t="str">
        <f t="shared" si="427"/>
        <v/>
      </c>
      <c r="R1716" s="317" t="str">
        <f t="shared" si="428"/>
        <v/>
      </c>
      <c r="S1716" s="317" t="str">
        <f t="shared" si="429"/>
        <v/>
      </c>
      <c r="V1716" s="314">
        <f>SUM('RES. CENTRAL PARK:RUA_FINAL'!N1716)</f>
        <v>0</v>
      </c>
      <c r="W1716" s="315">
        <f t="shared" si="431"/>
        <v>0</v>
      </c>
    </row>
    <row r="1717" spans="1:23" ht="13.5" hidden="1" thickBot="1" x14ac:dyDescent="0.25">
      <c r="A1717" s="565" t="s">
        <v>165</v>
      </c>
      <c r="B1717" s="924" t="s">
        <v>165</v>
      </c>
      <c r="C1717" s="925" t="s">
        <v>165</v>
      </c>
      <c r="D1717" s="931"/>
      <c r="E1717" s="927"/>
      <c r="F1717" s="928"/>
      <c r="G1717" s="929"/>
      <c r="H1717" s="930">
        <v>0</v>
      </c>
      <c r="I1717" s="901">
        <f t="shared" si="432"/>
        <v>0</v>
      </c>
      <c r="J1717" s="890">
        <f t="shared" si="433"/>
        <v>0</v>
      </c>
      <c r="K1717" s="928" t="s">
        <v>507</v>
      </c>
      <c r="L1717" s="1039">
        <f>ROUND(SUM('RES. CENTRAL PARK:RUA_FINAL'!L1717),2)</f>
        <v>0</v>
      </c>
      <c r="M1717" s="1039">
        <f t="shared" si="425"/>
        <v>0</v>
      </c>
      <c r="N1717" s="893">
        <f t="shared" si="426"/>
        <v>0</v>
      </c>
      <c r="O1717" s="905"/>
      <c r="Q1717" s="317" t="str">
        <f t="shared" si="427"/>
        <v/>
      </c>
      <c r="R1717" s="317" t="str">
        <f t="shared" si="428"/>
        <v/>
      </c>
      <c r="S1717" s="317" t="str">
        <f t="shared" si="429"/>
        <v/>
      </c>
      <c r="V1717" s="314">
        <f>SUM('RES. CENTRAL PARK:RUA_FINAL'!N1717)</f>
        <v>0</v>
      </c>
      <c r="W1717" s="315">
        <f t="shared" si="431"/>
        <v>0</v>
      </c>
    </row>
    <row r="1718" spans="1:23" ht="13.5" hidden="1" thickBot="1" x14ac:dyDescent="0.25">
      <c r="A1718" s="565" t="s">
        <v>165</v>
      </c>
      <c r="B1718" s="924" t="s">
        <v>165</v>
      </c>
      <c r="C1718" s="925" t="s">
        <v>165</v>
      </c>
      <c r="D1718" s="931"/>
      <c r="E1718" s="927"/>
      <c r="F1718" s="928"/>
      <c r="G1718" s="929"/>
      <c r="H1718" s="930">
        <v>0</v>
      </c>
      <c r="I1718" s="901">
        <f t="shared" si="432"/>
        <v>0</v>
      </c>
      <c r="J1718" s="890">
        <f t="shared" si="433"/>
        <v>0</v>
      </c>
      <c r="K1718" s="928" t="s">
        <v>507</v>
      </c>
      <c r="L1718" s="1039">
        <f>ROUND(SUM('RES. CENTRAL PARK:RUA_FINAL'!L1718),2)</f>
        <v>0</v>
      </c>
      <c r="M1718" s="1039">
        <f t="shared" si="425"/>
        <v>0</v>
      </c>
      <c r="N1718" s="893">
        <f t="shared" si="426"/>
        <v>0</v>
      </c>
      <c r="O1718" s="905"/>
      <c r="Q1718" s="317" t="str">
        <f t="shared" si="427"/>
        <v/>
      </c>
      <c r="R1718" s="317" t="str">
        <f t="shared" si="428"/>
        <v/>
      </c>
      <c r="S1718" s="317" t="str">
        <f t="shared" si="429"/>
        <v/>
      </c>
      <c r="V1718" s="314">
        <f>SUM('RES. CENTRAL PARK:RUA_FINAL'!N1718)</f>
        <v>0</v>
      </c>
      <c r="W1718" s="315">
        <f t="shared" si="431"/>
        <v>0</v>
      </c>
    </row>
    <row r="1719" spans="1:23" ht="13.5" hidden="1" thickBot="1" x14ac:dyDescent="0.25">
      <c r="A1719" s="565" t="s">
        <v>165</v>
      </c>
      <c r="B1719" s="924" t="s">
        <v>165</v>
      </c>
      <c r="C1719" s="925" t="s">
        <v>165</v>
      </c>
      <c r="D1719" s="931"/>
      <c r="E1719" s="927"/>
      <c r="F1719" s="928"/>
      <c r="G1719" s="929"/>
      <c r="H1719" s="930">
        <v>0</v>
      </c>
      <c r="I1719" s="901">
        <f t="shared" si="432"/>
        <v>0</v>
      </c>
      <c r="J1719" s="890">
        <f t="shared" si="433"/>
        <v>0</v>
      </c>
      <c r="K1719" s="928" t="s">
        <v>507</v>
      </c>
      <c r="L1719" s="1039">
        <f>ROUND(SUM('RES. CENTRAL PARK:RUA_FINAL'!L1719),2)</f>
        <v>0</v>
      </c>
      <c r="M1719" s="1039">
        <f t="shared" si="425"/>
        <v>0</v>
      </c>
      <c r="N1719" s="942">
        <f t="shared" si="426"/>
        <v>0</v>
      </c>
      <c r="O1719" s="905"/>
      <c r="Q1719" s="317" t="str">
        <f t="shared" si="427"/>
        <v/>
      </c>
      <c r="R1719" s="317" t="str">
        <f t="shared" si="428"/>
        <v/>
      </c>
      <c r="S1719" s="317" t="str">
        <f t="shared" si="429"/>
        <v/>
      </c>
      <c r="V1719" s="314">
        <f>SUM('RES. CENTRAL PARK:RUA_FINAL'!N1719)</f>
        <v>0</v>
      </c>
      <c r="W1719" s="315">
        <f t="shared" si="431"/>
        <v>0</v>
      </c>
    </row>
    <row r="1720" spans="1:23" ht="13.5" hidden="1" thickBot="1" x14ac:dyDescent="0.25">
      <c r="A1720" s="565">
        <v>10</v>
      </c>
      <c r="B1720" s="950" t="s">
        <v>441</v>
      </c>
      <c r="C1720" s="951"/>
      <c r="D1720" s="952" t="s">
        <v>431</v>
      </c>
      <c r="E1720" s="943"/>
      <c r="F1720" s="876"/>
      <c r="G1720" s="944"/>
      <c r="H1720" s="945">
        <v>0</v>
      </c>
      <c r="I1720" s="945"/>
      <c r="J1720" s="945"/>
      <c r="K1720" s="878" t="s">
        <v>507</v>
      </c>
      <c r="L1720" s="1037">
        <f>ROUND(SUM('RES. CENTRAL PARK:RUA_FINAL'!L1720),2)</f>
        <v>0</v>
      </c>
      <c r="M1720" s="1038">
        <f t="shared" si="425"/>
        <v>0</v>
      </c>
      <c r="N1720" s="881">
        <f t="shared" si="426"/>
        <v>0</v>
      </c>
      <c r="O1720" s="882">
        <f>SUM(N1721:N2499)</f>
        <v>0</v>
      </c>
      <c r="P1720" s="58" t="str">
        <f>IF(OR(O1720&gt;0,O1720&gt;0),"X","")</f>
        <v/>
      </c>
      <c r="Q1720" s="317" t="str">
        <f t="shared" si="427"/>
        <v/>
      </c>
      <c r="R1720" s="317" t="str">
        <f t="shared" si="428"/>
        <v/>
      </c>
      <c r="S1720" s="317" t="str">
        <f t="shared" si="429"/>
        <v/>
      </c>
      <c r="V1720" s="314">
        <f>SUM('RES. CENTRAL PARK:RUA_FINAL'!N1720)</f>
        <v>0</v>
      </c>
      <c r="W1720" s="315">
        <f t="shared" si="431"/>
        <v>0</v>
      </c>
    </row>
    <row r="1721" spans="1:23" ht="13.5" hidden="1" thickBot="1" x14ac:dyDescent="0.25">
      <c r="A1721" s="63">
        <v>600000</v>
      </c>
      <c r="B1721" s="895" t="s">
        <v>1804</v>
      </c>
      <c r="C1721" s="896" t="s">
        <v>184</v>
      </c>
      <c r="D1721" s="906" t="s">
        <v>311</v>
      </c>
      <c r="E1721" s="907"/>
      <c r="F1721" s="908"/>
      <c r="G1721" s="912">
        <f t="shared" ref="G1721:G1736" si="434">IF(E1721&lt;=30,(0.62*E1721+6.29)*F1721,((0.62*30+6.29)+0.62*(E1721-30))*F1721)</f>
        <v>0</v>
      </c>
      <c r="H1721" s="901">
        <v>49.54</v>
      </c>
      <c r="I1721" s="901">
        <f>IF(ISBLANK(H1721),"",SUM(G1721:H1721))</f>
        <v>49.54</v>
      </c>
      <c r="J1721" s="902">
        <f>IF(ISBLANK(H1721),0,ROUND(I1721*(1+$E$10),2))</f>
        <v>59.48</v>
      </c>
      <c r="K1721" s="903" t="s">
        <v>10</v>
      </c>
      <c r="L1721" s="1039">
        <f>ROUND(SUM('RES. CENTRAL PARK:RUA_FINAL'!L1721),2)</f>
        <v>0</v>
      </c>
      <c r="M1721" s="1039">
        <f t="shared" si="425"/>
        <v>0</v>
      </c>
      <c r="N1721" s="893">
        <f t="shared" si="426"/>
        <v>0</v>
      </c>
      <c r="O1721" s="905"/>
      <c r="Q1721" s="317" t="str">
        <f t="shared" si="427"/>
        <v/>
      </c>
      <c r="R1721" s="317" t="str">
        <f t="shared" si="428"/>
        <v/>
      </c>
      <c r="S1721" s="317" t="str">
        <f t="shared" si="429"/>
        <v/>
      </c>
      <c r="V1721" s="314">
        <f>SUM('RES. CENTRAL PARK:RUA_FINAL'!N1721)</f>
        <v>0</v>
      </c>
      <c r="W1721" s="315">
        <f t="shared" si="431"/>
        <v>0</v>
      </c>
    </row>
    <row r="1722" spans="1:23" ht="13.5" hidden="1" thickBot="1" x14ac:dyDescent="0.25">
      <c r="A1722" s="63">
        <v>600300</v>
      </c>
      <c r="B1722" s="895">
        <v>600300</v>
      </c>
      <c r="C1722" s="896" t="s">
        <v>184</v>
      </c>
      <c r="D1722" s="906" t="s">
        <v>312</v>
      </c>
      <c r="E1722" s="907"/>
      <c r="F1722" s="908"/>
      <c r="G1722" s="912">
        <f t="shared" si="434"/>
        <v>0</v>
      </c>
      <c r="H1722" s="901">
        <v>11.83</v>
      </c>
      <c r="I1722" s="901">
        <f t="shared" ref="I1722:I1736" si="435">IF(ISBLANK(H1722),"",SUM(G1722:H1722))</f>
        <v>11.83</v>
      </c>
      <c r="J1722" s="902">
        <f t="shared" ref="J1722:J1785" si="436">IF(ISBLANK(H1722),0,ROUND(I1722*(1+$E$10),2))</f>
        <v>14.2</v>
      </c>
      <c r="K1722" s="903" t="s">
        <v>10</v>
      </c>
      <c r="L1722" s="1039">
        <f>ROUND(SUM('RES. CENTRAL PARK:RUA_FINAL'!L1722),2)</f>
        <v>0</v>
      </c>
      <c r="M1722" s="1039">
        <f t="shared" si="425"/>
        <v>0</v>
      </c>
      <c r="N1722" s="893">
        <f t="shared" si="426"/>
        <v>0</v>
      </c>
      <c r="O1722" s="905"/>
      <c r="Q1722" s="317" t="str">
        <f t="shared" si="427"/>
        <v/>
      </c>
      <c r="R1722" s="317" t="str">
        <f t="shared" si="428"/>
        <v/>
      </c>
      <c r="S1722" s="317" t="str">
        <f t="shared" si="429"/>
        <v/>
      </c>
      <c r="V1722" s="314">
        <f>SUM('RES. CENTRAL PARK:RUA_FINAL'!N1722)</f>
        <v>0</v>
      </c>
      <c r="W1722" s="315">
        <f t="shared" si="431"/>
        <v>0</v>
      </c>
    </row>
    <row r="1723" spans="1:23" ht="13.5" hidden="1" thickBot="1" x14ac:dyDescent="0.25">
      <c r="A1723" s="63">
        <v>600400</v>
      </c>
      <c r="B1723" s="895">
        <v>600400</v>
      </c>
      <c r="C1723" s="896" t="s">
        <v>184</v>
      </c>
      <c r="D1723" s="906" t="s">
        <v>313</v>
      </c>
      <c r="E1723" s="907"/>
      <c r="F1723" s="908"/>
      <c r="G1723" s="912">
        <f t="shared" si="434"/>
        <v>0</v>
      </c>
      <c r="H1723" s="901">
        <v>12.15</v>
      </c>
      <c r="I1723" s="901">
        <f t="shared" si="435"/>
        <v>12.15</v>
      </c>
      <c r="J1723" s="902">
        <f t="shared" si="436"/>
        <v>14.59</v>
      </c>
      <c r="K1723" s="903" t="s">
        <v>10</v>
      </c>
      <c r="L1723" s="1039">
        <f>ROUND(SUM('RES. CENTRAL PARK:RUA_FINAL'!L1723),2)</f>
        <v>0</v>
      </c>
      <c r="M1723" s="1039">
        <f t="shared" si="425"/>
        <v>0</v>
      </c>
      <c r="N1723" s="893">
        <f t="shared" si="426"/>
        <v>0</v>
      </c>
      <c r="O1723" s="905"/>
      <c r="Q1723" s="317" t="str">
        <f t="shared" si="427"/>
        <v/>
      </c>
      <c r="R1723" s="317" t="str">
        <f t="shared" si="428"/>
        <v/>
      </c>
      <c r="S1723" s="317" t="str">
        <f t="shared" si="429"/>
        <v/>
      </c>
      <c r="V1723" s="314">
        <f>SUM('RES. CENTRAL PARK:RUA_FINAL'!N1723)</f>
        <v>0</v>
      </c>
      <c r="W1723" s="315">
        <f t="shared" si="431"/>
        <v>0</v>
      </c>
    </row>
    <row r="1724" spans="1:23" ht="13.5" hidden="1" thickBot="1" x14ac:dyDescent="0.25">
      <c r="A1724" s="63">
        <v>600500</v>
      </c>
      <c r="B1724" s="895">
        <v>600500</v>
      </c>
      <c r="C1724" s="896" t="s">
        <v>184</v>
      </c>
      <c r="D1724" s="906" t="s">
        <v>314</v>
      </c>
      <c r="E1724" s="907"/>
      <c r="F1724" s="908"/>
      <c r="G1724" s="912">
        <f t="shared" si="434"/>
        <v>0</v>
      </c>
      <c r="H1724" s="901">
        <v>123.95</v>
      </c>
      <c r="I1724" s="901">
        <f t="shared" si="435"/>
        <v>123.95</v>
      </c>
      <c r="J1724" s="902">
        <f t="shared" si="436"/>
        <v>148.83000000000001</v>
      </c>
      <c r="K1724" s="903" t="s">
        <v>10</v>
      </c>
      <c r="L1724" s="1039">
        <f>ROUND(SUM('RES. CENTRAL PARK:RUA_FINAL'!L1724),2)</f>
        <v>0</v>
      </c>
      <c r="M1724" s="1039">
        <f t="shared" si="425"/>
        <v>0</v>
      </c>
      <c r="N1724" s="893">
        <f t="shared" si="426"/>
        <v>0</v>
      </c>
      <c r="O1724" s="905"/>
      <c r="Q1724" s="317" t="str">
        <f t="shared" si="427"/>
        <v/>
      </c>
      <c r="R1724" s="317" t="str">
        <f t="shared" si="428"/>
        <v/>
      </c>
      <c r="S1724" s="317" t="str">
        <f t="shared" si="429"/>
        <v/>
      </c>
      <c r="V1724" s="314">
        <f>SUM('RES. CENTRAL PARK:RUA_FINAL'!N1724)</f>
        <v>0</v>
      </c>
      <c r="W1724" s="315">
        <f t="shared" si="431"/>
        <v>0</v>
      </c>
    </row>
    <row r="1725" spans="1:23" ht="13.5" hidden="1" thickBot="1" x14ac:dyDescent="0.25">
      <c r="A1725" s="63">
        <v>600310</v>
      </c>
      <c r="B1725" s="895" t="s">
        <v>1712</v>
      </c>
      <c r="C1725" s="896" t="s">
        <v>184</v>
      </c>
      <c r="D1725" s="897" t="s">
        <v>442</v>
      </c>
      <c r="E1725" s="898"/>
      <c r="F1725" s="899"/>
      <c r="G1725" s="900">
        <f t="shared" si="434"/>
        <v>0</v>
      </c>
      <c r="H1725" s="901">
        <v>142.88</v>
      </c>
      <c r="I1725" s="901">
        <f>IF(ISBLANK(H1725),"",SUM(G1725:H1725))</f>
        <v>142.88</v>
      </c>
      <c r="J1725" s="902">
        <f t="shared" si="436"/>
        <v>171.56</v>
      </c>
      <c r="K1725" s="903" t="s">
        <v>15</v>
      </c>
      <c r="L1725" s="1039">
        <f>ROUND(SUM('RES. CENTRAL PARK:RUA_FINAL'!L1725),2)</f>
        <v>0</v>
      </c>
      <c r="M1725" s="1039">
        <f t="shared" si="425"/>
        <v>0</v>
      </c>
      <c r="N1725" s="893">
        <f t="shared" si="426"/>
        <v>0</v>
      </c>
      <c r="O1725" s="905"/>
      <c r="Q1725" s="317" t="str">
        <f t="shared" si="427"/>
        <v/>
      </c>
      <c r="R1725" s="317" t="str">
        <f t="shared" si="428"/>
        <v/>
      </c>
      <c r="S1725" s="317" t="str">
        <f t="shared" si="429"/>
        <v/>
      </c>
      <c r="V1725" s="314">
        <f>SUM('RES. CENTRAL PARK:RUA_FINAL'!N1725)</f>
        <v>0</v>
      </c>
      <c r="W1725" s="315">
        <f t="shared" si="431"/>
        <v>0</v>
      </c>
    </row>
    <row r="1726" spans="1:23" ht="13.5" hidden="1" thickBot="1" x14ac:dyDescent="0.25">
      <c r="A1726" s="63">
        <v>633000</v>
      </c>
      <c r="B1726" s="895" t="s">
        <v>1806</v>
      </c>
      <c r="C1726" s="896" t="s">
        <v>184</v>
      </c>
      <c r="D1726" s="897" t="s">
        <v>518</v>
      </c>
      <c r="E1726" s="898"/>
      <c r="F1726" s="899"/>
      <c r="G1726" s="900">
        <f t="shared" si="434"/>
        <v>0</v>
      </c>
      <c r="H1726" s="901">
        <v>82.58</v>
      </c>
      <c r="I1726" s="901">
        <f>IF(ISBLANK(H1726),"",SUM(G1726:H1726))</f>
        <v>82.58</v>
      </c>
      <c r="J1726" s="902">
        <f t="shared" si="436"/>
        <v>99.15</v>
      </c>
      <c r="K1726" s="903" t="s">
        <v>13</v>
      </c>
      <c r="L1726" s="1039">
        <f>ROUND(SUM('RES. CENTRAL PARK:RUA_FINAL'!L1726),2)</f>
        <v>0</v>
      </c>
      <c r="M1726" s="1039">
        <f t="shared" si="425"/>
        <v>0</v>
      </c>
      <c r="N1726" s="893">
        <f t="shared" si="426"/>
        <v>0</v>
      </c>
      <c r="O1726" s="905"/>
      <c r="Q1726" s="317" t="str">
        <f t="shared" si="427"/>
        <v/>
      </c>
      <c r="R1726" s="317" t="str">
        <f t="shared" si="428"/>
        <v/>
      </c>
      <c r="S1726" s="317" t="str">
        <f t="shared" si="429"/>
        <v/>
      </c>
      <c r="V1726" s="314">
        <f>SUM('RES. CENTRAL PARK:RUA_FINAL'!N1726)</f>
        <v>0</v>
      </c>
      <c r="W1726" s="315">
        <f t="shared" si="431"/>
        <v>0</v>
      </c>
    </row>
    <row r="1727" spans="1:23" ht="13.5" hidden="1" thickBot="1" x14ac:dyDescent="0.25">
      <c r="A1727" s="63">
        <v>633100</v>
      </c>
      <c r="B1727" s="895" t="s">
        <v>1809</v>
      </c>
      <c r="C1727" s="896" t="s">
        <v>184</v>
      </c>
      <c r="D1727" s="897" t="s">
        <v>519</v>
      </c>
      <c r="E1727" s="898"/>
      <c r="F1727" s="899"/>
      <c r="G1727" s="900">
        <f t="shared" si="434"/>
        <v>0</v>
      </c>
      <c r="H1727" s="901">
        <v>165.16</v>
      </c>
      <c r="I1727" s="901">
        <f>IF(ISBLANK(H1727),"",SUM(G1727:H1727))</f>
        <v>165.16</v>
      </c>
      <c r="J1727" s="902">
        <f t="shared" si="436"/>
        <v>198.31</v>
      </c>
      <c r="K1727" s="903" t="s">
        <v>13</v>
      </c>
      <c r="L1727" s="1039">
        <f>ROUND(SUM('RES. CENTRAL PARK:RUA_FINAL'!L1727),2)</f>
        <v>0</v>
      </c>
      <c r="M1727" s="1039">
        <f t="shared" si="425"/>
        <v>0</v>
      </c>
      <c r="N1727" s="893">
        <f t="shared" si="426"/>
        <v>0</v>
      </c>
      <c r="O1727" s="905"/>
      <c r="Q1727" s="317" t="str">
        <f t="shared" si="427"/>
        <v/>
      </c>
      <c r="R1727" s="317" t="str">
        <f t="shared" si="428"/>
        <v/>
      </c>
      <c r="S1727" s="317" t="str">
        <f t="shared" si="429"/>
        <v/>
      </c>
      <c r="V1727" s="314">
        <f>SUM('RES. CENTRAL PARK:RUA_FINAL'!N1727)</f>
        <v>0</v>
      </c>
      <c r="W1727" s="315">
        <f t="shared" si="431"/>
        <v>0</v>
      </c>
    </row>
    <row r="1728" spans="1:23" ht="13.5" hidden="1" thickBot="1" x14ac:dyDescent="0.25">
      <c r="A1728" s="63">
        <v>633200</v>
      </c>
      <c r="B1728" s="895" t="s">
        <v>1810</v>
      </c>
      <c r="C1728" s="896" t="s">
        <v>184</v>
      </c>
      <c r="D1728" s="897" t="s">
        <v>520</v>
      </c>
      <c r="E1728" s="898"/>
      <c r="F1728" s="899"/>
      <c r="G1728" s="900">
        <f t="shared" si="434"/>
        <v>0</v>
      </c>
      <c r="H1728" s="901">
        <v>247.74</v>
      </c>
      <c r="I1728" s="901">
        <f>IF(ISBLANK(H1728),"",SUM(G1728:H1728))</f>
        <v>247.74</v>
      </c>
      <c r="J1728" s="902">
        <f t="shared" si="436"/>
        <v>297.45999999999998</v>
      </c>
      <c r="K1728" s="903" t="s">
        <v>13</v>
      </c>
      <c r="L1728" s="1039">
        <f>ROUND(SUM('RES. CENTRAL PARK:RUA_FINAL'!L1728),2)</f>
        <v>0</v>
      </c>
      <c r="M1728" s="1039">
        <f t="shared" si="425"/>
        <v>0</v>
      </c>
      <c r="N1728" s="893">
        <f t="shared" si="426"/>
        <v>0</v>
      </c>
      <c r="O1728" s="905"/>
      <c r="Q1728" s="317" t="str">
        <f t="shared" si="427"/>
        <v/>
      </c>
      <c r="R1728" s="317" t="str">
        <f t="shared" si="428"/>
        <v/>
      </c>
      <c r="S1728" s="317" t="str">
        <f t="shared" si="429"/>
        <v/>
      </c>
      <c r="V1728" s="314">
        <f>SUM('RES. CENTRAL PARK:RUA_FINAL'!N1728)</f>
        <v>0</v>
      </c>
      <c r="W1728" s="315">
        <f t="shared" si="431"/>
        <v>0</v>
      </c>
    </row>
    <row r="1729" spans="1:23" ht="13.5" hidden="1" thickBot="1" x14ac:dyDescent="0.25">
      <c r="A1729" s="63">
        <v>630300</v>
      </c>
      <c r="B1729" s="895">
        <v>630300</v>
      </c>
      <c r="C1729" s="896" t="s">
        <v>184</v>
      </c>
      <c r="D1729" s="906" t="s">
        <v>315</v>
      </c>
      <c r="E1729" s="907"/>
      <c r="F1729" s="908"/>
      <c r="G1729" s="900">
        <f t="shared" si="434"/>
        <v>0</v>
      </c>
      <c r="H1729" s="901">
        <v>15.85</v>
      </c>
      <c r="I1729" s="901">
        <f t="shared" si="435"/>
        <v>15.85</v>
      </c>
      <c r="J1729" s="902">
        <f t="shared" si="436"/>
        <v>19.03</v>
      </c>
      <c r="K1729" s="903" t="s">
        <v>13</v>
      </c>
      <c r="L1729" s="1039">
        <f>ROUND(SUM('RES. CENTRAL PARK:RUA_FINAL'!L1729),2)</f>
        <v>0</v>
      </c>
      <c r="M1729" s="1039">
        <f t="shared" si="425"/>
        <v>0</v>
      </c>
      <c r="N1729" s="893">
        <f t="shared" si="426"/>
        <v>0</v>
      </c>
      <c r="O1729" s="905"/>
      <c r="Q1729" s="317" t="str">
        <f t="shared" si="427"/>
        <v/>
      </c>
      <c r="R1729" s="317" t="str">
        <f t="shared" si="428"/>
        <v/>
      </c>
      <c r="S1729" s="317" t="str">
        <f t="shared" si="429"/>
        <v/>
      </c>
      <c r="V1729" s="314">
        <f>SUM('RES. CENTRAL PARK:RUA_FINAL'!N1729)</f>
        <v>0</v>
      </c>
      <c r="W1729" s="315">
        <f t="shared" si="431"/>
        <v>0</v>
      </c>
    </row>
    <row r="1730" spans="1:23" ht="13.5" hidden="1" thickBot="1" x14ac:dyDescent="0.25">
      <c r="A1730" s="63">
        <v>630400</v>
      </c>
      <c r="B1730" s="895">
        <v>630400</v>
      </c>
      <c r="C1730" s="896" t="s">
        <v>184</v>
      </c>
      <c r="D1730" s="957" t="s">
        <v>316</v>
      </c>
      <c r="E1730" s="907"/>
      <c r="F1730" s="908"/>
      <c r="G1730" s="900">
        <f t="shared" si="434"/>
        <v>0</v>
      </c>
      <c r="H1730" s="901">
        <v>19.809999999999999</v>
      </c>
      <c r="I1730" s="901">
        <f t="shared" si="435"/>
        <v>19.809999999999999</v>
      </c>
      <c r="J1730" s="902">
        <f t="shared" si="436"/>
        <v>23.79</v>
      </c>
      <c r="K1730" s="903" t="s">
        <v>13</v>
      </c>
      <c r="L1730" s="1039">
        <f>ROUND(SUM('RES. CENTRAL PARK:RUA_FINAL'!L1730),2)</f>
        <v>0</v>
      </c>
      <c r="M1730" s="1039">
        <f t="shared" si="425"/>
        <v>0</v>
      </c>
      <c r="N1730" s="893">
        <f t="shared" si="426"/>
        <v>0</v>
      </c>
      <c r="O1730" s="905"/>
      <c r="Q1730" s="317" t="str">
        <f t="shared" si="427"/>
        <v/>
      </c>
      <c r="R1730" s="317" t="str">
        <f t="shared" si="428"/>
        <v/>
      </c>
      <c r="S1730" s="317" t="str">
        <f t="shared" si="429"/>
        <v/>
      </c>
      <c r="V1730" s="314">
        <f>SUM('RES. CENTRAL PARK:RUA_FINAL'!N1730)</f>
        <v>0</v>
      </c>
      <c r="W1730" s="315">
        <f t="shared" si="431"/>
        <v>0</v>
      </c>
    </row>
    <row r="1731" spans="1:23" ht="13.5" hidden="1" thickBot="1" x14ac:dyDescent="0.25">
      <c r="A1731" s="63">
        <v>630500</v>
      </c>
      <c r="B1731" s="895">
        <v>630500</v>
      </c>
      <c r="C1731" s="896" t="s">
        <v>184</v>
      </c>
      <c r="D1731" s="957" t="s">
        <v>317</v>
      </c>
      <c r="E1731" s="907"/>
      <c r="F1731" s="908"/>
      <c r="G1731" s="912">
        <f t="shared" si="434"/>
        <v>0</v>
      </c>
      <c r="H1731" s="901">
        <v>21.61</v>
      </c>
      <c r="I1731" s="901">
        <f t="shared" si="435"/>
        <v>21.61</v>
      </c>
      <c r="J1731" s="902">
        <f t="shared" si="436"/>
        <v>25.95</v>
      </c>
      <c r="K1731" s="903" t="s">
        <v>13</v>
      </c>
      <c r="L1731" s="1039">
        <f>ROUND(SUM('RES. CENTRAL PARK:RUA_FINAL'!L1731),2)</f>
        <v>0</v>
      </c>
      <c r="M1731" s="1039">
        <f t="shared" si="425"/>
        <v>0</v>
      </c>
      <c r="N1731" s="893">
        <f t="shared" si="426"/>
        <v>0</v>
      </c>
      <c r="O1731" s="905"/>
      <c r="Q1731" s="317" t="str">
        <f t="shared" si="427"/>
        <v/>
      </c>
      <c r="R1731" s="317" t="str">
        <f t="shared" si="428"/>
        <v/>
      </c>
      <c r="S1731" s="317" t="str">
        <f t="shared" si="429"/>
        <v/>
      </c>
      <c r="V1731" s="314">
        <f>SUM('RES. CENTRAL PARK:RUA_FINAL'!N1731)</f>
        <v>0</v>
      </c>
      <c r="W1731" s="315">
        <f t="shared" si="431"/>
        <v>0</v>
      </c>
    </row>
    <row r="1732" spans="1:23" ht="13.5" hidden="1" thickBot="1" x14ac:dyDescent="0.25">
      <c r="A1732" s="63">
        <v>630600</v>
      </c>
      <c r="B1732" s="895">
        <v>630600</v>
      </c>
      <c r="C1732" s="896" t="s">
        <v>184</v>
      </c>
      <c r="D1732" s="957" t="s">
        <v>318</v>
      </c>
      <c r="E1732" s="907"/>
      <c r="F1732" s="908"/>
      <c r="G1732" s="912">
        <f t="shared" si="434"/>
        <v>0</v>
      </c>
      <c r="H1732" s="901">
        <v>23.77</v>
      </c>
      <c r="I1732" s="901">
        <f t="shared" si="435"/>
        <v>23.77</v>
      </c>
      <c r="J1732" s="902">
        <f t="shared" si="436"/>
        <v>28.54</v>
      </c>
      <c r="K1732" s="903" t="s">
        <v>13</v>
      </c>
      <c r="L1732" s="1039">
        <f>ROUND(SUM('RES. CENTRAL PARK:RUA_FINAL'!L1732),2)</f>
        <v>0</v>
      </c>
      <c r="M1732" s="1039">
        <f t="shared" si="425"/>
        <v>0</v>
      </c>
      <c r="N1732" s="893">
        <f t="shared" si="426"/>
        <v>0</v>
      </c>
      <c r="O1732" s="905"/>
      <c r="Q1732" s="317" t="str">
        <f t="shared" si="427"/>
        <v/>
      </c>
      <c r="R1732" s="317" t="str">
        <f t="shared" si="428"/>
        <v/>
      </c>
      <c r="S1732" s="317" t="str">
        <f t="shared" si="429"/>
        <v/>
      </c>
      <c r="V1732" s="314">
        <f>SUM('RES. CENTRAL PARK:RUA_FINAL'!N1732)</f>
        <v>0</v>
      </c>
      <c r="W1732" s="315">
        <f t="shared" si="431"/>
        <v>0</v>
      </c>
    </row>
    <row r="1733" spans="1:23" ht="13.5" hidden="1" thickBot="1" x14ac:dyDescent="0.25">
      <c r="A1733" s="63">
        <v>630800</v>
      </c>
      <c r="B1733" s="895">
        <v>630800</v>
      </c>
      <c r="C1733" s="896" t="s">
        <v>184</v>
      </c>
      <c r="D1733" s="906" t="s">
        <v>319</v>
      </c>
      <c r="E1733" s="907"/>
      <c r="F1733" s="908"/>
      <c r="G1733" s="912">
        <f t="shared" si="434"/>
        <v>0</v>
      </c>
      <c r="H1733" s="901">
        <v>47.55</v>
      </c>
      <c r="I1733" s="901">
        <f t="shared" si="435"/>
        <v>47.55</v>
      </c>
      <c r="J1733" s="902">
        <f t="shared" si="436"/>
        <v>57.09</v>
      </c>
      <c r="K1733" s="903" t="s">
        <v>13</v>
      </c>
      <c r="L1733" s="1039">
        <f>ROUND(SUM('RES. CENTRAL PARK:RUA_FINAL'!L1733),2)</f>
        <v>0</v>
      </c>
      <c r="M1733" s="1039">
        <f t="shared" si="425"/>
        <v>0</v>
      </c>
      <c r="N1733" s="893">
        <f t="shared" si="426"/>
        <v>0</v>
      </c>
      <c r="O1733" s="905"/>
      <c r="Q1733" s="317" t="str">
        <f t="shared" si="427"/>
        <v/>
      </c>
      <c r="R1733" s="317" t="str">
        <f t="shared" si="428"/>
        <v/>
      </c>
      <c r="S1733" s="317" t="str">
        <f t="shared" si="429"/>
        <v/>
      </c>
      <c r="V1733" s="314">
        <f>SUM('RES. CENTRAL PARK:RUA_FINAL'!N1733)</f>
        <v>0</v>
      </c>
      <c r="W1733" s="315">
        <f t="shared" si="431"/>
        <v>0</v>
      </c>
    </row>
    <row r="1734" spans="1:23" ht="13.5" hidden="1" thickBot="1" x14ac:dyDescent="0.25">
      <c r="A1734" s="63">
        <v>631000</v>
      </c>
      <c r="B1734" s="895">
        <v>631000</v>
      </c>
      <c r="C1734" s="896" t="s">
        <v>184</v>
      </c>
      <c r="D1734" s="906" t="s">
        <v>320</v>
      </c>
      <c r="E1734" s="907"/>
      <c r="F1734" s="908"/>
      <c r="G1734" s="912">
        <f t="shared" si="434"/>
        <v>0</v>
      </c>
      <c r="H1734" s="901">
        <v>47.7</v>
      </c>
      <c r="I1734" s="901">
        <f t="shared" si="435"/>
        <v>47.7</v>
      </c>
      <c r="J1734" s="902">
        <f t="shared" si="436"/>
        <v>57.27</v>
      </c>
      <c r="K1734" s="903" t="s">
        <v>13</v>
      </c>
      <c r="L1734" s="1039">
        <f>ROUND(SUM('RES. CENTRAL PARK:RUA_FINAL'!L1734),2)</f>
        <v>0</v>
      </c>
      <c r="M1734" s="1039">
        <f t="shared" si="425"/>
        <v>0</v>
      </c>
      <c r="N1734" s="893">
        <f t="shared" si="426"/>
        <v>0</v>
      </c>
      <c r="O1734" s="905"/>
      <c r="Q1734" s="317" t="str">
        <f t="shared" si="427"/>
        <v/>
      </c>
      <c r="R1734" s="317" t="str">
        <f t="shared" si="428"/>
        <v/>
      </c>
      <c r="S1734" s="317" t="str">
        <f t="shared" si="429"/>
        <v/>
      </c>
      <c r="V1734" s="314">
        <f>SUM('RES. CENTRAL PARK:RUA_FINAL'!N1734)</f>
        <v>0</v>
      </c>
      <c r="W1734" s="315">
        <f t="shared" si="431"/>
        <v>0</v>
      </c>
    </row>
    <row r="1735" spans="1:23" ht="13.5" hidden="1" thickBot="1" x14ac:dyDescent="0.25">
      <c r="A1735" s="63">
        <v>631200</v>
      </c>
      <c r="B1735" s="895">
        <v>631200</v>
      </c>
      <c r="C1735" s="896" t="s">
        <v>184</v>
      </c>
      <c r="D1735" s="906" t="s">
        <v>321</v>
      </c>
      <c r="E1735" s="907"/>
      <c r="F1735" s="908"/>
      <c r="G1735" s="912">
        <f t="shared" si="434"/>
        <v>0</v>
      </c>
      <c r="H1735" s="901">
        <v>57.25</v>
      </c>
      <c r="I1735" s="901">
        <f t="shared" si="435"/>
        <v>57.25</v>
      </c>
      <c r="J1735" s="902">
        <f t="shared" si="436"/>
        <v>68.739999999999995</v>
      </c>
      <c r="K1735" s="903" t="s">
        <v>13</v>
      </c>
      <c r="L1735" s="1039">
        <f>ROUND(SUM('RES. CENTRAL PARK:RUA_FINAL'!L1735),2)</f>
        <v>0</v>
      </c>
      <c r="M1735" s="1039">
        <f t="shared" si="425"/>
        <v>0</v>
      </c>
      <c r="N1735" s="893">
        <f t="shared" si="426"/>
        <v>0</v>
      </c>
      <c r="O1735" s="905"/>
      <c r="Q1735" s="317" t="str">
        <f t="shared" si="427"/>
        <v/>
      </c>
      <c r="R1735" s="317" t="str">
        <f t="shared" si="428"/>
        <v/>
      </c>
      <c r="S1735" s="317" t="str">
        <f t="shared" si="429"/>
        <v/>
      </c>
      <c r="V1735" s="314">
        <f>SUM('RES. CENTRAL PARK:RUA_FINAL'!N1735)</f>
        <v>0</v>
      </c>
      <c r="W1735" s="315">
        <f t="shared" si="431"/>
        <v>0</v>
      </c>
    </row>
    <row r="1736" spans="1:23" ht="13.5" hidden="1" thickBot="1" x14ac:dyDescent="0.25">
      <c r="A1736" s="63">
        <v>631500</v>
      </c>
      <c r="B1736" s="895">
        <v>631500</v>
      </c>
      <c r="C1736" s="896" t="s">
        <v>184</v>
      </c>
      <c r="D1736" s="906" t="s">
        <v>322</v>
      </c>
      <c r="E1736" s="907"/>
      <c r="F1736" s="908"/>
      <c r="G1736" s="912">
        <f t="shared" si="434"/>
        <v>0</v>
      </c>
      <c r="H1736" s="901">
        <v>71.56</v>
      </c>
      <c r="I1736" s="901">
        <f t="shared" si="435"/>
        <v>71.56</v>
      </c>
      <c r="J1736" s="902">
        <f t="shared" si="436"/>
        <v>85.92</v>
      </c>
      <c r="K1736" s="903" t="s">
        <v>13</v>
      </c>
      <c r="L1736" s="1039">
        <f>ROUND(SUM('RES. CENTRAL PARK:RUA_FINAL'!L1736),2)</f>
        <v>0</v>
      </c>
      <c r="M1736" s="1039">
        <f t="shared" si="425"/>
        <v>0</v>
      </c>
      <c r="N1736" s="893">
        <f t="shared" si="426"/>
        <v>0</v>
      </c>
      <c r="O1736" s="905"/>
      <c r="Q1736" s="317" t="str">
        <f t="shared" si="427"/>
        <v/>
      </c>
      <c r="R1736" s="317" t="str">
        <f t="shared" si="428"/>
        <v/>
      </c>
      <c r="S1736" s="317" t="str">
        <f t="shared" si="429"/>
        <v/>
      </c>
      <c r="V1736" s="314">
        <f>SUM('RES. CENTRAL PARK:RUA_FINAL'!N1736)</f>
        <v>0</v>
      </c>
      <c r="W1736" s="315">
        <f t="shared" si="431"/>
        <v>0</v>
      </c>
    </row>
    <row r="1737" spans="1:23" ht="13.5" hidden="1" thickBot="1" x14ac:dyDescent="0.25">
      <c r="A1737" s="63">
        <v>860200</v>
      </c>
      <c r="B1737" s="895">
        <v>860200</v>
      </c>
      <c r="C1737" s="896" t="s">
        <v>184</v>
      </c>
      <c r="D1737" s="906" t="s">
        <v>817</v>
      </c>
      <c r="E1737" s="907"/>
      <c r="F1737" s="908"/>
      <c r="G1737" s="912">
        <f>SUM(G1738:G1739)</f>
        <v>5.2482090000000001</v>
      </c>
      <c r="H1737" s="901">
        <v>858.72</v>
      </c>
      <c r="I1737" s="901">
        <f>IF(ISBLANK(H1737),"",SUM(G1737:H1737))</f>
        <v>863.968209</v>
      </c>
      <c r="J1737" s="902">
        <f t="shared" si="436"/>
        <v>1037.3699999999999</v>
      </c>
      <c r="K1737" s="903" t="s">
        <v>10</v>
      </c>
      <c r="L1737" s="1039">
        <f>ROUND(SUM('RES. CENTRAL PARK:RUA_FINAL'!L1737),2)</f>
        <v>0</v>
      </c>
      <c r="M1737" s="1039">
        <f t="shared" si="425"/>
        <v>0</v>
      </c>
      <c r="N1737" s="893">
        <f t="shared" si="426"/>
        <v>0</v>
      </c>
      <c r="O1737" s="905"/>
      <c r="Q1737" s="317" t="str">
        <f t="shared" si="427"/>
        <v/>
      </c>
      <c r="R1737" s="317" t="str">
        <f t="shared" si="428"/>
        <v/>
      </c>
      <c r="S1737" s="317" t="str">
        <f t="shared" si="429"/>
        <v/>
      </c>
      <c r="V1737" s="314">
        <f>SUM('RES. CENTRAL PARK:RUA_FINAL'!N1737)</f>
        <v>0</v>
      </c>
      <c r="W1737" s="315">
        <f t="shared" si="431"/>
        <v>0</v>
      </c>
    </row>
    <row r="1738" spans="1:23" ht="13.5" hidden="1" thickBot="1" x14ac:dyDescent="0.25">
      <c r="A1738" s="63" t="s">
        <v>147</v>
      </c>
      <c r="B1738" s="895" t="s">
        <v>147</v>
      </c>
      <c r="C1738" s="896"/>
      <c r="D1738" s="957" t="s">
        <v>818</v>
      </c>
      <c r="E1738" s="907">
        <f>DMT!$F$14</f>
        <v>0</v>
      </c>
      <c r="F1738" s="908">
        <v>1.7250000000000001</v>
      </c>
      <c r="G1738" s="949">
        <f t="shared" ref="G1738:G1757" si="437">IF(E1738&lt;=30,(1.07*E1738+2.68)*F1738,((1.07*30+2.68)+1.07*(E1738-30))*F1738)</f>
        <v>4.6230000000000002</v>
      </c>
      <c r="H1738" s="901">
        <v>0</v>
      </c>
      <c r="I1738" s="901"/>
      <c r="J1738" s="902">
        <v>0</v>
      </c>
      <c r="K1738" s="958" t="s">
        <v>507</v>
      </c>
      <c r="L1738" s="1040">
        <f>ROUND(SUM('RES. CENTRAL PARK:RUA_FINAL'!L1738),2)</f>
        <v>0</v>
      </c>
      <c r="M1738" s="1041">
        <f t="shared" si="425"/>
        <v>0</v>
      </c>
      <c r="N1738" s="893">
        <f t="shared" si="426"/>
        <v>0</v>
      </c>
      <c r="O1738" s="905"/>
      <c r="P1738" s="58" t="str">
        <f>IF(N1737&gt;0,"xx",IF(N1737&gt;0,"xy",""))</f>
        <v/>
      </c>
      <c r="Q1738" s="317" t="str">
        <f t="shared" si="427"/>
        <v/>
      </c>
      <c r="R1738" s="317" t="str">
        <f t="shared" si="428"/>
        <v/>
      </c>
      <c r="S1738" s="317" t="str">
        <f t="shared" si="429"/>
        <v/>
      </c>
      <c r="V1738" s="314">
        <f>SUM('RES. CENTRAL PARK:RUA_FINAL'!N1738)</f>
        <v>0</v>
      </c>
      <c r="W1738" s="315">
        <f t="shared" si="431"/>
        <v>0</v>
      </c>
    </row>
    <row r="1739" spans="1:23" ht="13.5" hidden="1" thickBot="1" x14ac:dyDescent="0.25">
      <c r="A1739" s="63" t="s">
        <v>147</v>
      </c>
      <c r="B1739" s="895" t="s">
        <v>147</v>
      </c>
      <c r="C1739" s="896"/>
      <c r="D1739" s="957" t="s">
        <v>323</v>
      </c>
      <c r="E1739" s="907">
        <f>DMT!$D$25</f>
        <v>45</v>
      </c>
      <c r="F1739" s="908">
        <v>1.23E-2</v>
      </c>
      <c r="G1739" s="949">
        <f t="shared" si="437"/>
        <v>0.62520900000000001</v>
      </c>
      <c r="H1739" s="901">
        <v>0</v>
      </c>
      <c r="I1739" s="901"/>
      <c r="J1739" s="902">
        <v>0</v>
      </c>
      <c r="K1739" s="958" t="s">
        <v>507</v>
      </c>
      <c r="L1739" s="1040">
        <f>ROUND(SUM('RES. CENTRAL PARK:RUA_FINAL'!L1739),2)</f>
        <v>0</v>
      </c>
      <c r="M1739" s="1041">
        <f t="shared" si="425"/>
        <v>0</v>
      </c>
      <c r="N1739" s="893">
        <f t="shared" si="426"/>
        <v>0</v>
      </c>
      <c r="O1739" s="905"/>
      <c r="P1739" s="58" t="str">
        <f>IF(N1737&gt;0,"xx",IF(N1737&gt;0,"xy",""))</f>
        <v/>
      </c>
      <c r="Q1739" s="317" t="str">
        <f t="shared" si="427"/>
        <v/>
      </c>
      <c r="R1739" s="317" t="str">
        <f t="shared" si="428"/>
        <v/>
      </c>
      <c r="S1739" s="317" t="str">
        <f t="shared" si="429"/>
        <v/>
      </c>
      <c r="V1739" s="314">
        <f>SUM('RES. CENTRAL PARK:RUA_FINAL'!N1739)</f>
        <v>0</v>
      </c>
      <c r="W1739" s="315">
        <f t="shared" si="431"/>
        <v>0</v>
      </c>
    </row>
    <row r="1740" spans="1:23" ht="13.5" hidden="1" thickBot="1" x14ac:dyDescent="0.25">
      <c r="A1740" s="63">
        <v>860100</v>
      </c>
      <c r="B1740" s="895">
        <v>860100</v>
      </c>
      <c r="C1740" s="896" t="s">
        <v>184</v>
      </c>
      <c r="D1740" s="906" t="s">
        <v>819</v>
      </c>
      <c r="E1740" s="907"/>
      <c r="F1740" s="908"/>
      <c r="G1740" s="912">
        <f>SUM(G1741:G1742)</f>
        <v>5.2787069999999998</v>
      </c>
      <c r="H1740" s="901">
        <v>769.37</v>
      </c>
      <c r="I1740" s="901">
        <f>IF(ISBLANK(H1740),"",SUM(G1740:H1740))</f>
        <v>774.64870700000006</v>
      </c>
      <c r="J1740" s="902">
        <f t="shared" si="436"/>
        <v>930.12</v>
      </c>
      <c r="K1740" s="903" t="s">
        <v>10</v>
      </c>
      <c r="L1740" s="1039">
        <f>ROUND(SUM('RES. CENTRAL PARK:RUA_FINAL'!L1740),2)</f>
        <v>0</v>
      </c>
      <c r="M1740" s="1039">
        <f t="shared" si="425"/>
        <v>0</v>
      </c>
      <c r="N1740" s="893">
        <f t="shared" si="426"/>
        <v>0</v>
      </c>
      <c r="O1740" s="905"/>
      <c r="Q1740" s="317" t="str">
        <f t="shared" si="427"/>
        <v/>
      </c>
      <c r="R1740" s="317" t="str">
        <f t="shared" si="428"/>
        <v/>
      </c>
      <c r="S1740" s="317" t="str">
        <f t="shared" si="429"/>
        <v/>
      </c>
      <c r="V1740" s="314">
        <f>SUM('RES. CENTRAL PARK:RUA_FINAL'!N1740)</f>
        <v>0</v>
      </c>
      <c r="W1740" s="315">
        <f t="shared" si="431"/>
        <v>0</v>
      </c>
    </row>
    <row r="1741" spans="1:23" ht="13.5" hidden="1" thickBot="1" x14ac:dyDescent="0.25">
      <c r="A1741" s="63" t="s">
        <v>147</v>
      </c>
      <c r="B1741" s="895" t="s">
        <v>147</v>
      </c>
      <c r="C1741" s="896"/>
      <c r="D1741" s="957" t="s">
        <v>818</v>
      </c>
      <c r="E1741" s="907">
        <f>DMT!$F$14</f>
        <v>0</v>
      </c>
      <c r="F1741" s="908">
        <v>1.7250000000000001</v>
      </c>
      <c r="G1741" s="949">
        <f t="shared" si="437"/>
        <v>4.6230000000000002</v>
      </c>
      <c r="H1741" s="901">
        <v>0</v>
      </c>
      <c r="I1741" s="901"/>
      <c r="J1741" s="902">
        <v>0</v>
      </c>
      <c r="K1741" s="958" t="s">
        <v>507</v>
      </c>
      <c r="L1741" s="1040">
        <f>ROUND(SUM('RES. CENTRAL PARK:RUA_FINAL'!L1741),2)</f>
        <v>0</v>
      </c>
      <c r="M1741" s="1041">
        <f t="shared" si="425"/>
        <v>0</v>
      </c>
      <c r="N1741" s="893">
        <f t="shared" si="426"/>
        <v>0</v>
      </c>
      <c r="O1741" s="905"/>
      <c r="P1741" s="58" t="str">
        <f>IF(N1740&gt;0,"xx",IF(N1740&gt;0,"xy",""))</f>
        <v/>
      </c>
      <c r="Q1741" s="317" t="str">
        <f t="shared" si="427"/>
        <v/>
      </c>
      <c r="R1741" s="317" t="str">
        <f t="shared" si="428"/>
        <v/>
      </c>
      <c r="S1741" s="317" t="str">
        <f t="shared" si="429"/>
        <v/>
      </c>
      <c r="V1741" s="314">
        <f>SUM('RES. CENTRAL PARK:RUA_FINAL'!N1741)</f>
        <v>0</v>
      </c>
      <c r="W1741" s="315">
        <f t="shared" si="431"/>
        <v>0</v>
      </c>
    </row>
    <row r="1742" spans="1:23" ht="13.5" hidden="1" thickBot="1" x14ac:dyDescent="0.25">
      <c r="A1742" s="63" t="s">
        <v>147</v>
      </c>
      <c r="B1742" s="895" t="s">
        <v>147</v>
      </c>
      <c r="C1742" s="896"/>
      <c r="D1742" s="957" t="s">
        <v>323</v>
      </c>
      <c r="E1742" s="907">
        <f>DMT!$D$25</f>
        <v>45</v>
      </c>
      <c r="F1742" s="908">
        <v>1.29E-2</v>
      </c>
      <c r="G1742" s="949">
        <f t="shared" si="437"/>
        <v>0.65570699999999993</v>
      </c>
      <c r="H1742" s="901">
        <v>0</v>
      </c>
      <c r="I1742" s="901"/>
      <c r="J1742" s="902">
        <v>0</v>
      </c>
      <c r="K1742" s="958" t="s">
        <v>507</v>
      </c>
      <c r="L1742" s="1040">
        <f>ROUND(SUM('RES. CENTRAL PARK:RUA_FINAL'!L1742),2)</f>
        <v>0</v>
      </c>
      <c r="M1742" s="1041">
        <f t="shared" si="425"/>
        <v>0</v>
      </c>
      <c r="N1742" s="893">
        <f t="shared" si="426"/>
        <v>0</v>
      </c>
      <c r="O1742" s="905"/>
      <c r="P1742" s="58" t="str">
        <f>IF(N1740&gt;0,"xx",IF(N1740&gt;0,"xy",""))</f>
        <v/>
      </c>
      <c r="Q1742" s="317" t="str">
        <f t="shared" si="427"/>
        <v/>
      </c>
      <c r="R1742" s="317" t="str">
        <f t="shared" si="428"/>
        <v/>
      </c>
      <c r="S1742" s="317" t="str">
        <f t="shared" si="429"/>
        <v/>
      </c>
      <c r="V1742" s="314">
        <f>SUM('RES. CENTRAL PARK:RUA_FINAL'!N1742)</f>
        <v>0</v>
      </c>
      <c r="W1742" s="315">
        <f t="shared" si="431"/>
        <v>0</v>
      </c>
    </row>
    <row r="1743" spans="1:23" ht="13.5" hidden="1" thickBot="1" x14ac:dyDescent="0.25">
      <c r="A1743" s="63">
        <v>860150</v>
      </c>
      <c r="B1743" s="895">
        <v>860150</v>
      </c>
      <c r="C1743" s="896" t="s">
        <v>184</v>
      </c>
      <c r="D1743" s="906" t="s">
        <v>820</v>
      </c>
      <c r="E1743" s="907"/>
      <c r="F1743" s="908"/>
      <c r="G1743" s="912">
        <f>SUM(G1744:G1745)</f>
        <v>5.0550550000000003</v>
      </c>
      <c r="H1743" s="901">
        <v>688.53</v>
      </c>
      <c r="I1743" s="901">
        <f>IF(ISBLANK(H1743),"",SUM(G1743:H1743))</f>
        <v>693.58505500000001</v>
      </c>
      <c r="J1743" s="902">
        <f t="shared" si="436"/>
        <v>832.79</v>
      </c>
      <c r="K1743" s="903" t="s">
        <v>10</v>
      </c>
      <c r="L1743" s="1039">
        <f>ROUND(SUM('RES. CENTRAL PARK:RUA_FINAL'!L1743),2)</f>
        <v>0</v>
      </c>
      <c r="M1743" s="1039">
        <f t="shared" si="425"/>
        <v>0</v>
      </c>
      <c r="N1743" s="893">
        <f t="shared" si="426"/>
        <v>0</v>
      </c>
      <c r="O1743" s="905"/>
      <c r="Q1743" s="317" t="str">
        <f t="shared" si="427"/>
        <v/>
      </c>
      <c r="R1743" s="317" t="str">
        <f t="shared" si="428"/>
        <v/>
      </c>
      <c r="S1743" s="317" t="str">
        <f t="shared" si="429"/>
        <v/>
      </c>
      <c r="V1743" s="314">
        <f>SUM('RES. CENTRAL PARK:RUA_FINAL'!N1743)</f>
        <v>0</v>
      </c>
      <c r="W1743" s="315">
        <f t="shared" si="431"/>
        <v>0</v>
      </c>
    </row>
    <row r="1744" spans="1:23" ht="13.5" hidden="1" thickBot="1" x14ac:dyDescent="0.25">
      <c r="A1744" s="63" t="s">
        <v>147</v>
      </c>
      <c r="B1744" s="895" t="s">
        <v>147</v>
      </c>
      <c r="C1744" s="896"/>
      <c r="D1744" s="957" t="s">
        <v>818</v>
      </c>
      <c r="E1744" s="907">
        <f>DMT!$F$14</f>
        <v>0</v>
      </c>
      <c r="F1744" s="908">
        <v>1.7250000000000001</v>
      </c>
      <c r="G1744" s="949">
        <f t="shared" si="437"/>
        <v>4.6230000000000002</v>
      </c>
      <c r="H1744" s="901">
        <v>0</v>
      </c>
      <c r="I1744" s="901"/>
      <c r="J1744" s="902">
        <f t="shared" si="436"/>
        <v>0</v>
      </c>
      <c r="K1744" s="958" t="s">
        <v>507</v>
      </c>
      <c r="L1744" s="1040">
        <f>ROUND(SUM('RES. CENTRAL PARK:RUA_FINAL'!L1744),2)</f>
        <v>0</v>
      </c>
      <c r="M1744" s="1041">
        <f t="shared" si="425"/>
        <v>0</v>
      </c>
      <c r="N1744" s="893">
        <f t="shared" si="426"/>
        <v>0</v>
      </c>
      <c r="O1744" s="905"/>
      <c r="P1744" s="58" t="str">
        <f>IF(N1743&gt;0,"xx",IF(N1743&gt;0,"xy",""))</f>
        <v/>
      </c>
      <c r="Q1744" s="317" t="str">
        <f t="shared" si="427"/>
        <v/>
      </c>
      <c r="R1744" s="317" t="str">
        <f t="shared" si="428"/>
        <v/>
      </c>
      <c r="S1744" s="317" t="str">
        <f t="shared" si="429"/>
        <v/>
      </c>
      <c r="V1744" s="314">
        <f>SUM('RES. CENTRAL PARK:RUA_FINAL'!N1744)</f>
        <v>0</v>
      </c>
      <c r="W1744" s="315">
        <f t="shared" si="431"/>
        <v>0</v>
      </c>
    </row>
    <row r="1745" spans="1:23" ht="13.5" hidden="1" thickBot="1" x14ac:dyDescent="0.25">
      <c r="A1745" s="63" t="s">
        <v>147</v>
      </c>
      <c r="B1745" s="895" t="s">
        <v>147</v>
      </c>
      <c r="C1745" s="896"/>
      <c r="D1745" s="957" t="s">
        <v>323</v>
      </c>
      <c r="E1745" s="907">
        <f>DMT!$D$25</f>
        <v>45</v>
      </c>
      <c r="F1745" s="908">
        <v>8.5000000000000006E-3</v>
      </c>
      <c r="G1745" s="949">
        <f t="shared" si="437"/>
        <v>0.43205500000000002</v>
      </c>
      <c r="H1745" s="901">
        <v>0</v>
      </c>
      <c r="I1745" s="901"/>
      <c r="J1745" s="902">
        <f t="shared" si="436"/>
        <v>0</v>
      </c>
      <c r="K1745" s="958" t="s">
        <v>507</v>
      </c>
      <c r="L1745" s="1040">
        <f>ROUND(SUM('RES. CENTRAL PARK:RUA_FINAL'!L1745),2)</f>
        <v>0</v>
      </c>
      <c r="M1745" s="1041">
        <f t="shared" si="425"/>
        <v>0</v>
      </c>
      <c r="N1745" s="893">
        <f t="shared" si="426"/>
        <v>0</v>
      </c>
      <c r="O1745" s="905"/>
      <c r="P1745" s="58" t="str">
        <f>IF(N1743&gt;0,"xx",IF(N1743&gt;0,"xy",""))</f>
        <v/>
      </c>
      <c r="Q1745" s="317" t="str">
        <f t="shared" si="427"/>
        <v/>
      </c>
      <c r="R1745" s="317" t="str">
        <f t="shared" si="428"/>
        <v/>
      </c>
      <c r="S1745" s="317" t="str">
        <f t="shared" si="429"/>
        <v/>
      </c>
      <c r="V1745" s="314">
        <f>SUM('RES. CENTRAL PARK:RUA_FINAL'!N1745)</f>
        <v>0</v>
      </c>
      <c r="W1745" s="315">
        <f t="shared" si="431"/>
        <v>0</v>
      </c>
    </row>
    <row r="1746" spans="1:23" ht="13.5" hidden="1" thickBot="1" x14ac:dyDescent="0.25">
      <c r="A1746" s="63">
        <v>860000</v>
      </c>
      <c r="B1746" s="895">
        <v>860000</v>
      </c>
      <c r="C1746" s="896" t="s">
        <v>184</v>
      </c>
      <c r="D1746" s="906" t="s">
        <v>821</v>
      </c>
      <c r="E1746" s="907"/>
      <c r="F1746" s="908"/>
      <c r="G1746" s="912">
        <f>SUM(G1747:G1748)</f>
        <v>5.085553</v>
      </c>
      <c r="H1746" s="901">
        <v>622.92999999999995</v>
      </c>
      <c r="I1746" s="901">
        <f>IF(ISBLANK(H1746),"",SUM(G1746:H1746))</f>
        <v>628.01555299999995</v>
      </c>
      <c r="J1746" s="902">
        <f t="shared" si="436"/>
        <v>754.06</v>
      </c>
      <c r="K1746" s="903" t="s">
        <v>10</v>
      </c>
      <c r="L1746" s="1039">
        <f>ROUND(SUM('RES. CENTRAL PARK:RUA_FINAL'!L1746),2)</f>
        <v>0</v>
      </c>
      <c r="M1746" s="1039">
        <f t="shared" ref="M1746:M1809" si="438">IF(L1746=0,0,ROUND(J1746,2))</f>
        <v>0</v>
      </c>
      <c r="N1746" s="893">
        <f t="shared" ref="N1746:N1809" si="439">IF(ISBLANK(L1746),0,ROUND(L1746*M1746,2))</f>
        <v>0</v>
      </c>
      <c r="O1746" s="905"/>
      <c r="Q1746" s="317" t="str">
        <f t="shared" ref="Q1746:Q1809" si="440">IF(P1746="X","x",IF(P1746="xx","x",IF(P1746="xy","x",IF(P1746="y","x",IF(OR(N1746&gt;0,N1746&gt;0),"x","")))))</f>
        <v/>
      </c>
      <c r="R1746" s="317" t="str">
        <f t="shared" ref="R1746:R1809" si="441">IF(P1746="X","x",IF(P1746="y","x",IF(P1746="xx","x",IF(N1746&gt;0,"x",""))))</f>
        <v/>
      </c>
      <c r="S1746" s="317" t="str">
        <f t="shared" ref="S1746:S1809" si="442">IF(P1746="X","x",IF(N1746&gt;0,"x",""))</f>
        <v/>
      </c>
      <c r="V1746" s="314">
        <f>SUM('RES. CENTRAL PARK:RUA_FINAL'!N1746)</f>
        <v>0</v>
      </c>
      <c r="W1746" s="315">
        <f t="shared" si="431"/>
        <v>0</v>
      </c>
    </row>
    <row r="1747" spans="1:23" ht="13.5" hidden="1" thickBot="1" x14ac:dyDescent="0.25">
      <c r="A1747" s="63" t="s">
        <v>147</v>
      </c>
      <c r="B1747" s="895" t="s">
        <v>147</v>
      </c>
      <c r="C1747" s="896"/>
      <c r="D1747" s="957" t="s">
        <v>818</v>
      </c>
      <c r="E1747" s="907">
        <f>DMT!$F$14</f>
        <v>0</v>
      </c>
      <c r="F1747" s="908">
        <v>1.7250000000000001</v>
      </c>
      <c r="G1747" s="949">
        <f t="shared" si="437"/>
        <v>4.6230000000000002</v>
      </c>
      <c r="H1747" s="901">
        <v>0</v>
      </c>
      <c r="I1747" s="901"/>
      <c r="J1747" s="902">
        <f t="shared" si="436"/>
        <v>0</v>
      </c>
      <c r="K1747" s="958" t="s">
        <v>507</v>
      </c>
      <c r="L1747" s="1040">
        <f>ROUND(SUM('RES. CENTRAL PARK:RUA_FINAL'!L1747),2)</f>
        <v>0</v>
      </c>
      <c r="M1747" s="1041">
        <f t="shared" si="438"/>
        <v>0</v>
      </c>
      <c r="N1747" s="893">
        <f t="shared" si="439"/>
        <v>0</v>
      </c>
      <c r="O1747" s="905"/>
      <c r="P1747" s="58" t="str">
        <f>IF(N1746&gt;0,"xx",IF(N1746&gt;0,"xy",""))</f>
        <v/>
      </c>
      <c r="Q1747" s="317" t="str">
        <f t="shared" si="440"/>
        <v/>
      </c>
      <c r="R1747" s="317" t="str">
        <f t="shared" si="441"/>
        <v/>
      </c>
      <c r="S1747" s="317" t="str">
        <f t="shared" si="442"/>
        <v/>
      </c>
      <c r="V1747" s="314">
        <f>SUM('RES. CENTRAL PARK:RUA_FINAL'!N1747)</f>
        <v>0</v>
      </c>
      <c r="W1747" s="315">
        <f t="shared" si="431"/>
        <v>0</v>
      </c>
    </row>
    <row r="1748" spans="1:23" ht="13.5" hidden="1" thickBot="1" x14ac:dyDescent="0.25">
      <c r="A1748" s="63" t="s">
        <v>147</v>
      </c>
      <c r="B1748" s="895" t="s">
        <v>147</v>
      </c>
      <c r="C1748" s="896"/>
      <c r="D1748" s="957" t="s">
        <v>323</v>
      </c>
      <c r="E1748" s="907">
        <f>DMT!$D$25</f>
        <v>45</v>
      </c>
      <c r="F1748" s="908">
        <v>9.1000000000000004E-3</v>
      </c>
      <c r="G1748" s="949">
        <f t="shared" si="437"/>
        <v>0.46255299999999999</v>
      </c>
      <c r="H1748" s="901">
        <v>0</v>
      </c>
      <c r="I1748" s="901"/>
      <c r="J1748" s="902">
        <f t="shared" si="436"/>
        <v>0</v>
      </c>
      <c r="K1748" s="958" t="s">
        <v>507</v>
      </c>
      <c r="L1748" s="1040">
        <f>ROUND(SUM('RES. CENTRAL PARK:RUA_FINAL'!L1748),2)</f>
        <v>0</v>
      </c>
      <c r="M1748" s="1041">
        <f t="shared" si="438"/>
        <v>0</v>
      </c>
      <c r="N1748" s="893">
        <f t="shared" si="439"/>
        <v>0</v>
      </c>
      <c r="O1748" s="905"/>
      <c r="P1748" s="58" t="str">
        <f>IF(N1746&gt;0,"xx",IF(N1746&gt;0,"xy",""))</f>
        <v/>
      </c>
      <c r="Q1748" s="317" t="str">
        <f t="shared" si="440"/>
        <v/>
      </c>
      <c r="R1748" s="317" t="str">
        <f t="shared" si="441"/>
        <v/>
      </c>
      <c r="S1748" s="317" t="str">
        <f t="shared" si="442"/>
        <v/>
      </c>
      <c r="V1748" s="314">
        <f>SUM('RES. CENTRAL PARK:RUA_FINAL'!N1748)</f>
        <v>0</v>
      </c>
      <c r="W1748" s="315">
        <f t="shared" si="431"/>
        <v>0</v>
      </c>
    </row>
    <row r="1749" spans="1:23" ht="13.5" hidden="1" thickBot="1" x14ac:dyDescent="0.25">
      <c r="A1749" s="63">
        <v>860017</v>
      </c>
      <c r="B1749" s="895">
        <v>860017</v>
      </c>
      <c r="C1749" s="896" t="s">
        <v>184</v>
      </c>
      <c r="D1749" s="906" t="s">
        <v>822</v>
      </c>
      <c r="E1749" s="907"/>
      <c r="F1749" s="908"/>
      <c r="G1749" s="912">
        <f>SUM(G1750:G1751)</f>
        <v>0.98190500000000003</v>
      </c>
      <c r="H1749" s="901">
        <v>213.32</v>
      </c>
      <c r="I1749" s="901">
        <f>IF(ISBLANK(H1749),"",SUM(G1749:H1749))</f>
        <v>214.301905</v>
      </c>
      <c r="J1749" s="902">
        <f t="shared" si="436"/>
        <v>257.31</v>
      </c>
      <c r="K1749" s="903" t="s">
        <v>10</v>
      </c>
      <c r="L1749" s="1039">
        <f>ROUND(SUM('RES. CENTRAL PARK:RUA_FINAL'!L1749),2)</f>
        <v>0</v>
      </c>
      <c r="M1749" s="1039">
        <f t="shared" si="438"/>
        <v>0</v>
      </c>
      <c r="N1749" s="893">
        <f t="shared" si="439"/>
        <v>0</v>
      </c>
      <c r="O1749" s="905"/>
      <c r="Q1749" s="317" t="str">
        <f t="shared" si="440"/>
        <v/>
      </c>
      <c r="R1749" s="317" t="str">
        <f t="shared" si="441"/>
        <v/>
      </c>
      <c r="S1749" s="317" t="str">
        <f t="shared" si="442"/>
        <v/>
      </c>
      <c r="V1749" s="314">
        <f>SUM('RES. CENTRAL PARK:RUA_FINAL'!N1749)</f>
        <v>0</v>
      </c>
      <c r="W1749" s="315">
        <f t="shared" ref="W1749:W1812" si="443">N1749-V1749</f>
        <v>0</v>
      </c>
    </row>
    <row r="1750" spans="1:23" ht="13.5" hidden="1" thickBot="1" x14ac:dyDescent="0.25">
      <c r="A1750" s="63" t="s">
        <v>147</v>
      </c>
      <c r="B1750" s="895" t="s">
        <v>147</v>
      </c>
      <c r="C1750" s="896"/>
      <c r="D1750" s="957" t="s">
        <v>818</v>
      </c>
      <c r="E1750" s="907">
        <f>DMT!$F$14</f>
        <v>0</v>
      </c>
      <c r="F1750" s="908">
        <v>0.3</v>
      </c>
      <c r="G1750" s="949">
        <f t="shared" si="437"/>
        <v>0.80400000000000005</v>
      </c>
      <c r="H1750" s="901">
        <v>0</v>
      </c>
      <c r="I1750" s="901"/>
      <c r="J1750" s="902">
        <f t="shared" si="436"/>
        <v>0</v>
      </c>
      <c r="K1750" s="958" t="s">
        <v>507</v>
      </c>
      <c r="L1750" s="1040">
        <f>ROUND(SUM('RES. CENTRAL PARK:RUA_FINAL'!L1750),2)</f>
        <v>0</v>
      </c>
      <c r="M1750" s="1041">
        <f t="shared" si="438"/>
        <v>0</v>
      </c>
      <c r="N1750" s="893">
        <f t="shared" si="439"/>
        <v>0</v>
      </c>
      <c r="O1750" s="905"/>
      <c r="P1750" s="58" t="str">
        <f>IF(N1749&gt;0,"xx",IF(N1749&gt;0,"xy",""))</f>
        <v/>
      </c>
      <c r="Q1750" s="317" t="str">
        <f t="shared" si="440"/>
        <v/>
      </c>
      <c r="R1750" s="317" t="str">
        <f t="shared" si="441"/>
        <v/>
      </c>
      <c r="S1750" s="317" t="str">
        <f t="shared" si="442"/>
        <v/>
      </c>
      <c r="V1750" s="314">
        <f>SUM('RES. CENTRAL PARK:RUA_FINAL'!N1750)</f>
        <v>0</v>
      </c>
      <c r="W1750" s="315">
        <f t="shared" si="443"/>
        <v>0</v>
      </c>
    </row>
    <row r="1751" spans="1:23" ht="13.5" hidden="1" thickBot="1" x14ac:dyDescent="0.25">
      <c r="A1751" s="63" t="s">
        <v>147</v>
      </c>
      <c r="B1751" s="895" t="s">
        <v>147</v>
      </c>
      <c r="C1751" s="896"/>
      <c r="D1751" s="957" t="s">
        <v>323</v>
      </c>
      <c r="E1751" s="907">
        <f>DMT!$D$25</f>
        <v>45</v>
      </c>
      <c r="F1751" s="908">
        <v>3.5000000000000001E-3</v>
      </c>
      <c r="G1751" s="949">
        <f t="shared" si="437"/>
        <v>0.17790500000000001</v>
      </c>
      <c r="H1751" s="901">
        <v>0</v>
      </c>
      <c r="I1751" s="901"/>
      <c r="J1751" s="902">
        <f t="shared" si="436"/>
        <v>0</v>
      </c>
      <c r="K1751" s="958" t="s">
        <v>507</v>
      </c>
      <c r="L1751" s="1040">
        <f>ROUND(SUM('RES. CENTRAL PARK:RUA_FINAL'!L1751),2)</f>
        <v>0</v>
      </c>
      <c r="M1751" s="1041">
        <f t="shared" si="438"/>
        <v>0</v>
      </c>
      <c r="N1751" s="893">
        <f t="shared" si="439"/>
        <v>0</v>
      </c>
      <c r="O1751" s="905"/>
      <c r="P1751" s="58" t="str">
        <f>IF(N1749&gt;0,"xx",IF(N1749&gt;0,"xy",""))</f>
        <v/>
      </c>
      <c r="Q1751" s="317" t="str">
        <f t="shared" si="440"/>
        <v/>
      </c>
      <c r="R1751" s="317" t="str">
        <f t="shared" si="441"/>
        <v/>
      </c>
      <c r="S1751" s="317" t="str">
        <f t="shared" si="442"/>
        <v/>
      </c>
      <c r="V1751" s="314">
        <f>SUM('RES. CENTRAL PARK:RUA_FINAL'!N1751)</f>
        <v>0</v>
      </c>
      <c r="W1751" s="315">
        <f t="shared" si="443"/>
        <v>0</v>
      </c>
    </row>
    <row r="1752" spans="1:23" ht="13.5" hidden="1" thickBot="1" x14ac:dyDescent="0.25">
      <c r="A1752" s="63">
        <v>860023</v>
      </c>
      <c r="B1752" s="895">
        <v>860023</v>
      </c>
      <c r="C1752" s="896" t="s">
        <v>184</v>
      </c>
      <c r="D1752" s="906" t="s">
        <v>823</v>
      </c>
      <c r="E1752" s="907"/>
      <c r="F1752" s="908"/>
      <c r="G1752" s="912">
        <f>SUM(G1753:G1754)</f>
        <v>1.6003860000000001</v>
      </c>
      <c r="H1752" s="901">
        <v>257.19</v>
      </c>
      <c r="I1752" s="901">
        <f>IF(ISBLANK(H1752),"",SUM(G1752:H1752))</f>
        <v>258.79038600000001</v>
      </c>
      <c r="J1752" s="902">
        <f t="shared" si="436"/>
        <v>310.73</v>
      </c>
      <c r="K1752" s="903" t="s">
        <v>10</v>
      </c>
      <c r="L1752" s="1039">
        <f>ROUND(SUM('RES. CENTRAL PARK:RUA_FINAL'!L1752),2)</f>
        <v>0</v>
      </c>
      <c r="M1752" s="1039">
        <f t="shared" si="438"/>
        <v>0</v>
      </c>
      <c r="N1752" s="893">
        <f t="shared" si="439"/>
        <v>0</v>
      </c>
      <c r="O1752" s="905"/>
      <c r="Q1752" s="317" t="str">
        <f t="shared" si="440"/>
        <v/>
      </c>
      <c r="R1752" s="317" t="str">
        <f t="shared" si="441"/>
        <v/>
      </c>
      <c r="S1752" s="317" t="str">
        <f t="shared" si="442"/>
        <v/>
      </c>
      <c r="V1752" s="314">
        <f>SUM('RES. CENTRAL PARK:RUA_FINAL'!N1752)</f>
        <v>0</v>
      </c>
      <c r="W1752" s="315">
        <f t="shared" si="443"/>
        <v>0</v>
      </c>
    </row>
    <row r="1753" spans="1:23" ht="13.5" hidden="1" thickBot="1" x14ac:dyDescent="0.25">
      <c r="A1753" s="63" t="s">
        <v>147</v>
      </c>
      <c r="B1753" s="895" t="s">
        <v>147</v>
      </c>
      <c r="C1753" s="896"/>
      <c r="D1753" s="957" t="s">
        <v>818</v>
      </c>
      <c r="E1753" s="907">
        <f>DMT!$F$14</f>
        <v>0</v>
      </c>
      <c r="F1753" s="908">
        <v>0.51749999999999996</v>
      </c>
      <c r="G1753" s="949">
        <f t="shared" si="437"/>
        <v>1.3869</v>
      </c>
      <c r="H1753" s="901">
        <v>0</v>
      </c>
      <c r="I1753" s="901"/>
      <c r="J1753" s="902">
        <f t="shared" si="436"/>
        <v>0</v>
      </c>
      <c r="K1753" s="958" t="s">
        <v>507</v>
      </c>
      <c r="L1753" s="1040">
        <f>ROUND(SUM('RES. CENTRAL PARK:RUA_FINAL'!L1753),2)</f>
        <v>0</v>
      </c>
      <c r="M1753" s="1041">
        <f t="shared" si="438"/>
        <v>0</v>
      </c>
      <c r="N1753" s="893">
        <f t="shared" si="439"/>
        <v>0</v>
      </c>
      <c r="O1753" s="905"/>
      <c r="P1753" s="58" t="str">
        <f>IF(N1752&gt;0,"xx",IF(N1752&gt;0,"xy",""))</f>
        <v/>
      </c>
      <c r="Q1753" s="317" t="str">
        <f t="shared" si="440"/>
        <v/>
      </c>
      <c r="R1753" s="317" t="str">
        <f t="shared" si="441"/>
        <v/>
      </c>
      <c r="S1753" s="317" t="str">
        <f t="shared" si="442"/>
        <v/>
      </c>
      <c r="V1753" s="314">
        <f>SUM('RES. CENTRAL PARK:RUA_FINAL'!N1753)</f>
        <v>0</v>
      </c>
      <c r="W1753" s="315">
        <f t="shared" si="443"/>
        <v>0</v>
      </c>
    </row>
    <row r="1754" spans="1:23" ht="13.5" hidden="1" thickBot="1" x14ac:dyDescent="0.25">
      <c r="A1754" s="63" t="s">
        <v>147</v>
      </c>
      <c r="B1754" s="895" t="s">
        <v>147</v>
      </c>
      <c r="C1754" s="896"/>
      <c r="D1754" s="957" t="s">
        <v>323</v>
      </c>
      <c r="E1754" s="907">
        <f>DMT!$D$25</f>
        <v>45</v>
      </c>
      <c r="F1754" s="908">
        <v>4.1999999999999997E-3</v>
      </c>
      <c r="G1754" s="949">
        <f t="shared" si="437"/>
        <v>0.21348599999999998</v>
      </c>
      <c r="H1754" s="901">
        <v>0</v>
      </c>
      <c r="I1754" s="901"/>
      <c r="J1754" s="902">
        <f t="shared" si="436"/>
        <v>0</v>
      </c>
      <c r="K1754" s="958" t="s">
        <v>507</v>
      </c>
      <c r="L1754" s="1040">
        <f>ROUND(SUM('RES. CENTRAL PARK:RUA_FINAL'!L1754),2)</f>
        <v>0</v>
      </c>
      <c r="M1754" s="1041">
        <f t="shared" si="438"/>
        <v>0</v>
      </c>
      <c r="N1754" s="893">
        <f t="shared" si="439"/>
        <v>0</v>
      </c>
      <c r="O1754" s="905"/>
      <c r="P1754" s="58" t="str">
        <f>IF(N1752&gt;0,"xx",IF(N1752&gt;0,"xy",""))</f>
        <v/>
      </c>
      <c r="Q1754" s="317" t="str">
        <f t="shared" si="440"/>
        <v/>
      </c>
      <c r="R1754" s="317" t="str">
        <f t="shared" si="441"/>
        <v/>
      </c>
      <c r="S1754" s="317" t="str">
        <f t="shared" si="442"/>
        <v/>
      </c>
      <c r="V1754" s="314">
        <f>SUM('RES. CENTRAL PARK:RUA_FINAL'!N1754)</f>
        <v>0</v>
      </c>
      <c r="W1754" s="315">
        <f t="shared" si="443"/>
        <v>0</v>
      </c>
    </row>
    <row r="1755" spans="1:23" ht="13.5" hidden="1" thickBot="1" x14ac:dyDescent="0.25">
      <c r="A1755" s="63">
        <v>861030</v>
      </c>
      <c r="B1755" s="895">
        <v>861030</v>
      </c>
      <c r="C1755" s="896" t="s">
        <v>184</v>
      </c>
      <c r="D1755" s="906" t="s">
        <v>824</v>
      </c>
      <c r="E1755" s="907"/>
      <c r="F1755" s="908"/>
      <c r="G1755" s="912">
        <f>SUM(G1756:G1757)</f>
        <v>5.2482090000000001</v>
      </c>
      <c r="H1755" s="901">
        <v>286.49</v>
      </c>
      <c r="I1755" s="901">
        <f>IF(ISBLANK(H1755),"",SUM(G1755:H1755))</f>
        <v>291.73820899999998</v>
      </c>
      <c r="J1755" s="902">
        <f t="shared" si="436"/>
        <v>350.29</v>
      </c>
      <c r="K1755" s="903" t="s">
        <v>10</v>
      </c>
      <c r="L1755" s="1039">
        <f>ROUND(SUM('RES. CENTRAL PARK:RUA_FINAL'!L1755),2)</f>
        <v>0</v>
      </c>
      <c r="M1755" s="1039">
        <f t="shared" si="438"/>
        <v>0</v>
      </c>
      <c r="N1755" s="893">
        <f t="shared" si="439"/>
        <v>0</v>
      </c>
      <c r="O1755" s="905"/>
      <c r="Q1755" s="317" t="str">
        <f t="shared" si="440"/>
        <v/>
      </c>
      <c r="R1755" s="317" t="str">
        <f t="shared" si="441"/>
        <v/>
      </c>
      <c r="S1755" s="317" t="str">
        <f t="shared" si="442"/>
        <v/>
      </c>
      <c r="V1755" s="314">
        <f>SUM('RES. CENTRAL PARK:RUA_FINAL'!N1755)</f>
        <v>0</v>
      </c>
      <c r="W1755" s="315">
        <f t="shared" si="443"/>
        <v>0</v>
      </c>
    </row>
    <row r="1756" spans="1:23" ht="13.5" hidden="1" thickBot="1" x14ac:dyDescent="0.25">
      <c r="A1756" s="63" t="s">
        <v>147</v>
      </c>
      <c r="B1756" s="895" t="s">
        <v>147</v>
      </c>
      <c r="C1756" s="896"/>
      <c r="D1756" s="957" t="s">
        <v>818</v>
      </c>
      <c r="E1756" s="907">
        <f>DMT!$F$14</f>
        <v>0</v>
      </c>
      <c r="F1756" s="908">
        <v>1.7250000000000001</v>
      </c>
      <c r="G1756" s="949">
        <f t="shared" si="437"/>
        <v>4.6230000000000002</v>
      </c>
      <c r="H1756" s="901">
        <v>0</v>
      </c>
      <c r="I1756" s="901"/>
      <c r="J1756" s="902">
        <f t="shared" si="436"/>
        <v>0</v>
      </c>
      <c r="K1756" s="958" t="s">
        <v>507</v>
      </c>
      <c r="L1756" s="1040">
        <f>ROUND(SUM('RES. CENTRAL PARK:RUA_FINAL'!L1756),2)</f>
        <v>0</v>
      </c>
      <c r="M1756" s="1041">
        <f t="shared" si="438"/>
        <v>0</v>
      </c>
      <c r="N1756" s="893">
        <f t="shared" si="439"/>
        <v>0</v>
      </c>
      <c r="O1756" s="905"/>
      <c r="P1756" s="58" t="str">
        <f>IF(N1755&gt;0,"xx",IF(N1755&gt;0,"xy",""))</f>
        <v/>
      </c>
      <c r="Q1756" s="317" t="str">
        <f t="shared" si="440"/>
        <v/>
      </c>
      <c r="R1756" s="317" t="str">
        <f t="shared" si="441"/>
        <v/>
      </c>
      <c r="S1756" s="317" t="str">
        <f t="shared" si="442"/>
        <v/>
      </c>
      <c r="V1756" s="314">
        <f>SUM('RES. CENTRAL PARK:RUA_FINAL'!N1756)</f>
        <v>0</v>
      </c>
      <c r="W1756" s="315">
        <f t="shared" si="443"/>
        <v>0</v>
      </c>
    </row>
    <row r="1757" spans="1:23" ht="13.5" hidden="1" thickBot="1" x14ac:dyDescent="0.25">
      <c r="A1757" s="63" t="s">
        <v>147</v>
      </c>
      <c r="B1757" s="895" t="s">
        <v>147</v>
      </c>
      <c r="C1757" s="896"/>
      <c r="D1757" s="957" t="s">
        <v>323</v>
      </c>
      <c r="E1757" s="907">
        <f>DMT!$D$25</f>
        <v>45</v>
      </c>
      <c r="F1757" s="908">
        <v>1.23E-2</v>
      </c>
      <c r="G1757" s="949">
        <f t="shared" si="437"/>
        <v>0.62520900000000001</v>
      </c>
      <c r="H1757" s="901">
        <v>0</v>
      </c>
      <c r="I1757" s="901"/>
      <c r="J1757" s="902">
        <f t="shared" si="436"/>
        <v>0</v>
      </c>
      <c r="K1757" s="958" t="s">
        <v>507</v>
      </c>
      <c r="L1757" s="1040">
        <f>ROUND(SUM('RES. CENTRAL PARK:RUA_FINAL'!L1757),2)</f>
        <v>0</v>
      </c>
      <c r="M1757" s="1041">
        <f t="shared" si="438"/>
        <v>0</v>
      </c>
      <c r="N1757" s="893">
        <f t="shared" si="439"/>
        <v>0</v>
      </c>
      <c r="O1757" s="905"/>
      <c r="P1757" s="58" t="str">
        <f>IF(N1755&gt;0,"xx",IF(N1755&gt;0,"xy",""))</f>
        <v/>
      </c>
      <c r="Q1757" s="317" t="str">
        <f t="shared" si="440"/>
        <v/>
      </c>
      <c r="R1757" s="317" t="str">
        <f t="shared" si="441"/>
        <v/>
      </c>
      <c r="S1757" s="317" t="str">
        <f t="shared" si="442"/>
        <v/>
      </c>
      <c r="V1757" s="314">
        <f>SUM('RES. CENTRAL PARK:RUA_FINAL'!N1757)</f>
        <v>0</v>
      </c>
      <c r="W1757" s="315">
        <f t="shared" si="443"/>
        <v>0</v>
      </c>
    </row>
    <row r="1758" spans="1:23" ht="13.5" hidden="1" thickBot="1" x14ac:dyDescent="0.25">
      <c r="A1758" s="63">
        <v>601200</v>
      </c>
      <c r="B1758" s="895" t="s">
        <v>1811</v>
      </c>
      <c r="C1758" s="896" t="s">
        <v>184</v>
      </c>
      <c r="D1758" s="906" t="s">
        <v>1519</v>
      </c>
      <c r="E1758" s="907"/>
      <c r="F1758" s="908"/>
      <c r="G1758" s="912"/>
      <c r="H1758" s="901">
        <v>34.119999999999997</v>
      </c>
      <c r="I1758" s="901">
        <f>IF(ISBLANK(H1758),"",SUM(G1758:H1758))*0.9</f>
        <v>30.707999999999998</v>
      </c>
      <c r="J1758" s="902">
        <f t="shared" si="436"/>
        <v>36.869999999999997</v>
      </c>
      <c r="K1758" s="903" t="s">
        <v>10</v>
      </c>
      <c r="L1758" s="1039">
        <f>ROUND(SUM('RES. CENTRAL PARK:RUA_FINAL'!L1758),2)</f>
        <v>0</v>
      </c>
      <c r="M1758" s="1039">
        <f t="shared" si="438"/>
        <v>0</v>
      </c>
      <c r="N1758" s="893">
        <f t="shared" si="439"/>
        <v>0</v>
      </c>
      <c r="O1758" s="905"/>
      <c r="Q1758" s="317" t="str">
        <f t="shared" si="440"/>
        <v/>
      </c>
      <c r="R1758" s="317" t="str">
        <f t="shared" si="441"/>
        <v/>
      </c>
      <c r="S1758" s="317" t="str">
        <f t="shared" si="442"/>
        <v/>
      </c>
      <c r="V1758" s="314">
        <f>SUM('RES. CENTRAL PARK:RUA_FINAL'!N1758)</f>
        <v>0</v>
      </c>
      <c r="W1758" s="315">
        <f t="shared" si="443"/>
        <v>0</v>
      </c>
    </row>
    <row r="1759" spans="1:23" ht="13.5" hidden="1" thickBot="1" x14ac:dyDescent="0.25">
      <c r="A1759" s="63">
        <v>601200</v>
      </c>
      <c r="B1759" s="895" t="s">
        <v>1812</v>
      </c>
      <c r="C1759" s="896" t="s">
        <v>184</v>
      </c>
      <c r="D1759" s="906" t="s">
        <v>325</v>
      </c>
      <c r="E1759" s="907"/>
      <c r="F1759" s="908"/>
      <c r="G1759" s="912"/>
      <c r="H1759" s="901">
        <v>34.119999999999997</v>
      </c>
      <c r="I1759" s="901">
        <f>IF(ISBLANK(H1759),"",SUM(G1759:H1759))*0.9</f>
        <v>30.707999999999998</v>
      </c>
      <c r="J1759" s="902">
        <f t="shared" si="436"/>
        <v>36.869999999999997</v>
      </c>
      <c r="K1759" s="903" t="s">
        <v>1520</v>
      </c>
      <c r="L1759" s="1039">
        <f>ROUND(SUM('RES. CENTRAL PARK:RUA_FINAL'!L1759),2)</f>
        <v>0</v>
      </c>
      <c r="M1759" s="1039">
        <f t="shared" si="438"/>
        <v>0</v>
      </c>
      <c r="N1759" s="893">
        <f t="shared" si="439"/>
        <v>0</v>
      </c>
      <c r="O1759" s="905"/>
      <c r="Q1759" s="317" t="str">
        <f t="shared" si="440"/>
        <v/>
      </c>
      <c r="R1759" s="317" t="str">
        <f t="shared" si="441"/>
        <v/>
      </c>
      <c r="S1759" s="317" t="str">
        <f t="shared" si="442"/>
        <v/>
      </c>
      <c r="V1759" s="314">
        <f>SUM('RES. CENTRAL PARK:RUA_FINAL'!N1759)</f>
        <v>0</v>
      </c>
      <c r="W1759" s="315">
        <f t="shared" si="443"/>
        <v>0</v>
      </c>
    </row>
    <row r="1760" spans="1:23" ht="13.5" hidden="1" thickBot="1" x14ac:dyDescent="0.25">
      <c r="A1760" s="63">
        <v>97623</v>
      </c>
      <c r="B1760" s="895" t="s">
        <v>1728</v>
      </c>
      <c r="C1760" s="896" t="s">
        <v>596</v>
      </c>
      <c r="D1760" s="897" t="s">
        <v>1724</v>
      </c>
      <c r="E1760" s="898"/>
      <c r="F1760" s="899"/>
      <c r="G1760" s="900"/>
      <c r="H1760" s="901">
        <v>201.31</v>
      </c>
      <c r="I1760" s="901">
        <f t="shared" ref="I1760:I1768" si="444">IF(ISBLANK(H1760),"",SUM(G1760:H1760))</f>
        <v>201.31</v>
      </c>
      <c r="J1760" s="902">
        <f t="shared" si="436"/>
        <v>241.71</v>
      </c>
      <c r="K1760" s="903" t="s">
        <v>10</v>
      </c>
      <c r="L1760" s="1042">
        <f>ROUND(SUM('RES. CENTRAL PARK:RUA_FINAL'!L1760),2)</f>
        <v>0</v>
      </c>
      <c r="M1760" s="1043">
        <f t="shared" si="438"/>
        <v>0</v>
      </c>
      <c r="N1760" s="893">
        <f t="shared" si="439"/>
        <v>0</v>
      </c>
      <c r="O1760" s="905"/>
      <c r="Q1760" s="317" t="str">
        <f t="shared" si="440"/>
        <v/>
      </c>
      <c r="R1760" s="317" t="str">
        <f t="shared" si="441"/>
        <v/>
      </c>
      <c r="S1760" s="317" t="str">
        <f t="shared" si="442"/>
        <v/>
      </c>
      <c r="V1760" s="314">
        <f>SUM('RES. CENTRAL PARK:RUA_FINAL'!N1760)</f>
        <v>0</v>
      </c>
      <c r="W1760" s="315">
        <f t="shared" si="443"/>
        <v>0</v>
      </c>
    </row>
    <row r="1761" spans="1:23" ht="13.5" hidden="1" thickBot="1" x14ac:dyDescent="0.25">
      <c r="A1761" s="63">
        <v>97624</v>
      </c>
      <c r="B1761" s="895" t="s">
        <v>1727</v>
      </c>
      <c r="C1761" s="896" t="s">
        <v>596</v>
      </c>
      <c r="D1761" s="897" t="s">
        <v>1721</v>
      </c>
      <c r="E1761" s="898"/>
      <c r="F1761" s="899"/>
      <c r="G1761" s="900"/>
      <c r="H1761" s="901">
        <v>123.54</v>
      </c>
      <c r="I1761" s="901">
        <f t="shared" si="444"/>
        <v>123.54</v>
      </c>
      <c r="J1761" s="902">
        <f t="shared" si="436"/>
        <v>148.33000000000001</v>
      </c>
      <c r="K1761" s="903" t="s">
        <v>10</v>
      </c>
      <c r="L1761" s="1042">
        <f>ROUND(SUM('RES. CENTRAL PARK:RUA_FINAL'!L1761),2)</f>
        <v>0</v>
      </c>
      <c r="M1761" s="1043">
        <f t="shared" si="438"/>
        <v>0</v>
      </c>
      <c r="N1761" s="893">
        <f t="shared" si="439"/>
        <v>0</v>
      </c>
      <c r="O1761" s="905"/>
      <c r="Q1761" s="317" t="str">
        <f t="shared" si="440"/>
        <v/>
      </c>
      <c r="R1761" s="317" t="str">
        <f t="shared" si="441"/>
        <v/>
      </c>
      <c r="S1761" s="317" t="str">
        <f t="shared" si="442"/>
        <v/>
      </c>
      <c r="V1761" s="314">
        <f>SUM('RES. CENTRAL PARK:RUA_FINAL'!N1761)</f>
        <v>0</v>
      </c>
      <c r="W1761" s="315">
        <f t="shared" si="443"/>
        <v>0</v>
      </c>
    </row>
    <row r="1762" spans="1:23" ht="13.5" hidden="1" thickBot="1" x14ac:dyDescent="0.25">
      <c r="A1762" s="63">
        <v>606500</v>
      </c>
      <c r="B1762" s="895" t="s">
        <v>1729</v>
      </c>
      <c r="C1762" s="896" t="s">
        <v>184</v>
      </c>
      <c r="D1762" s="906" t="s">
        <v>466</v>
      </c>
      <c r="E1762" s="907"/>
      <c r="F1762" s="908"/>
      <c r="G1762" s="912"/>
      <c r="H1762" s="901">
        <v>182.46</v>
      </c>
      <c r="I1762" s="901">
        <f t="shared" si="444"/>
        <v>182.46</v>
      </c>
      <c r="J1762" s="902">
        <f t="shared" si="436"/>
        <v>219.08</v>
      </c>
      <c r="K1762" s="903" t="s">
        <v>10</v>
      </c>
      <c r="L1762" s="1039">
        <f>ROUND(SUM('RES. CENTRAL PARK:RUA_FINAL'!L1762),2)</f>
        <v>0</v>
      </c>
      <c r="M1762" s="1039">
        <f t="shared" si="438"/>
        <v>0</v>
      </c>
      <c r="N1762" s="893">
        <f t="shared" si="439"/>
        <v>0</v>
      </c>
      <c r="O1762" s="905"/>
      <c r="Q1762" s="317" t="str">
        <f t="shared" si="440"/>
        <v/>
      </c>
      <c r="R1762" s="317" t="str">
        <f t="shared" si="441"/>
        <v/>
      </c>
      <c r="S1762" s="317" t="str">
        <f t="shared" si="442"/>
        <v/>
      </c>
      <c r="V1762" s="314">
        <f>SUM('RES. CENTRAL PARK:RUA_FINAL'!N1762)</f>
        <v>0</v>
      </c>
      <c r="W1762" s="315">
        <f t="shared" si="443"/>
        <v>0</v>
      </c>
    </row>
    <row r="1763" spans="1:23" ht="13.5" hidden="1" thickBot="1" x14ac:dyDescent="0.25">
      <c r="A1763" s="63">
        <v>606700</v>
      </c>
      <c r="B1763" s="895" t="s">
        <v>1706</v>
      </c>
      <c r="C1763" s="896" t="s">
        <v>184</v>
      </c>
      <c r="D1763" s="906" t="s">
        <v>177</v>
      </c>
      <c r="E1763" s="907"/>
      <c r="F1763" s="908"/>
      <c r="G1763" s="912">
        <f>IF(E1763&lt;=30,(0.31*E1763+0.77)*F1763,((0.31*30+0.77)+0.31*(E1763-30))*F1763)</f>
        <v>0</v>
      </c>
      <c r="H1763" s="901">
        <v>148.04</v>
      </c>
      <c r="I1763" s="901">
        <f t="shared" si="444"/>
        <v>148.04</v>
      </c>
      <c r="J1763" s="902">
        <f t="shared" si="436"/>
        <v>177.75</v>
      </c>
      <c r="K1763" s="903" t="s">
        <v>10</v>
      </c>
      <c r="L1763" s="1039">
        <f>ROUND(SUM('RES. CENTRAL PARK:RUA_FINAL'!L1763),2)</f>
        <v>0</v>
      </c>
      <c r="M1763" s="1039">
        <f t="shared" si="438"/>
        <v>0</v>
      </c>
      <c r="N1763" s="893">
        <f t="shared" si="439"/>
        <v>0</v>
      </c>
      <c r="O1763" s="905"/>
      <c r="Q1763" s="317" t="str">
        <f t="shared" si="440"/>
        <v/>
      </c>
      <c r="R1763" s="317" t="str">
        <f t="shared" si="441"/>
        <v/>
      </c>
      <c r="S1763" s="317" t="str">
        <f t="shared" si="442"/>
        <v/>
      </c>
      <c r="V1763" s="314">
        <f>SUM('RES. CENTRAL PARK:RUA_FINAL'!N1763)</f>
        <v>0</v>
      </c>
      <c r="W1763" s="315">
        <f t="shared" si="443"/>
        <v>0</v>
      </c>
    </row>
    <row r="1764" spans="1:23" ht="13.5" hidden="1" thickBot="1" x14ac:dyDescent="0.25">
      <c r="A1764" s="63">
        <v>606600</v>
      </c>
      <c r="B1764" s="895" t="s">
        <v>1703</v>
      </c>
      <c r="C1764" s="896" t="s">
        <v>184</v>
      </c>
      <c r="D1764" s="906" t="s">
        <v>178</v>
      </c>
      <c r="E1764" s="907"/>
      <c r="F1764" s="908"/>
      <c r="G1764" s="912">
        <f>IF(E1764&lt;=30,(0.31*E1764+0.77)*F1764,((0.31*30+0.77)+0.31*(E1764-30))*F1764)</f>
        <v>0</v>
      </c>
      <c r="H1764" s="901">
        <v>309.52999999999997</v>
      </c>
      <c r="I1764" s="901">
        <f t="shared" si="444"/>
        <v>309.52999999999997</v>
      </c>
      <c r="J1764" s="902">
        <f t="shared" si="436"/>
        <v>371.65</v>
      </c>
      <c r="K1764" s="903" t="s">
        <v>10</v>
      </c>
      <c r="L1764" s="1039">
        <f>ROUND(SUM('RES. CENTRAL PARK:RUA_FINAL'!L1764),2)</f>
        <v>0</v>
      </c>
      <c r="M1764" s="1039">
        <f t="shared" si="438"/>
        <v>0</v>
      </c>
      <c r="N1764" s="893">
        <f t="shared" si="439"/>
        <v>0</v>
      </c>
      <c r="O1764" s="905"/>
      <c r="Q1764" s="317" t="str">
        <f t="shared" si="440"/>
        <v/>
      </c>
      <c r="R1764" s="317" t="str">
        <f t="shared" si="441"/>
        <v/>
      </c>
      <c r="S1764" s="317" t="str">
        <f t="shared" si="442"/>
        <v/>
      </c>
      <c r="V1764" s="314">
        <f>SUM('RES. CENTRAL PARK:RUA_FINAL'!N1764)</f>
        <v>0</v>
      </c>
      <c r="W1764" s="315">
        <f t="shared" si="443"/>
        <v>0</v>
      </c>
    </row>
    <row r="1765" spans="1:23" ht="13.5" hidden="1" thickBot="1" x14ac:dyDescent="0.25">
      <c r="A1765" s="63">
        <v>602000</v>
      </c>
      <c r="B1765" s="895" t="s">
        <v>1997</v>
      </c>
      <c r="C1765" s="896" t="s">
        <v>184</v>
      </c>
      <c r="D1765" s="906" t="s">
        <v>1994</v>
      </c>
      <c r="E1765" s="907"/>
      <c r="F1765" s="908"/>
      <c r="G1765" s="912">
        <f>IF(E1765&lt;=30,(0.31*E1765+0.77)*F1765,((0.31*30+0.77)+0.31*(E1765-30))*F1765)</f>
        <v>0</v>
      </c>
      <c r="H1765" s="901">
        <v>62.53</v>
      </c>
      <c r="I1765" s="901">
        <f t="shared" si="444"/>
        <v>62.53</v>
      </c>
      <c r="J1765" s="902">
        <f t="shared" si="436"/>
        <v>75.08</v>
      </c>
      <c r="K1765" s="903" t="s">
        <v>12</v>
      </c>
      <c r="L1765" s="1039">
        <f>ROUND(SUM('RES. CENTRAL PARK:RUA_FINAL'!L1765),2)</f>
        <v>0</v>
      </c>
      <c r="M1765" s="1039">
        <f t="shared" si="438"/>
        <v>0</v>
      </c>
      <c r="N1765" s="893">
        <f t="shared" si="439"/>
        <v>0</v>
      </c>
      <c r="O1765" s="905"/>
      <c r="Q1765" s="317" t="str">
        <f t="shared" si="440"/>
        <v/>
      </c>
      <c r="R1765" s="317" t="str">
        <f t="shared" si="441"/>
        <v/>
      </c>
      <c r="S1765" s="317" t="str">
        <f t="shared" si="442"/>
        <v/>
      </c>
      <c r="V1765" s="314">
        <f>SUM('RES. CENTRAL PARK:RUA_FINAL'!N1765)</f>
        <v>0</v>
      </c>
      <c r="W1765" s="315">
        <f t="shared" si="443"/>
        <v>0</v>
      </c>
    </row>
    <row r="1766" spans="1:23" ht="13.5" hidden="1" thickBot="1" x14ac:dyDescent="0.25">
      <c r="A1766" s="63">
        <v>603000</v>
      </c>
      <c r="B1766" s="895" t="s">
        <v>1770</v>
      </c>
      <c r="C1766" s="896" t="s">
        <v>184</v>
      </c>
      <c r="D1766" s="906" t="s">
        <v>261</v>
      </c>
      <c r="E1766" s="907"/>
      <c r="F1766" s="908"/>
      <c r="G1766" s="912">
        <f>IF(E1766&lt;=30,(0.31*E1766+0.77)*F1766,((0.31*30+0.77)+0.31*(E1766-30))*F1766)</f>
        <v>0</v>
      </c>
      <c r="H1766" s="901">
        <v>18.34</v>
      </c>
      <c r="I1766" s="901">
        <f t="shared" si="444"/>
        <v>18.34</v>
      </c>
      <c r="J1766" s="902">
        <f t="shared" si="436"/>
        <v>22.02</v>
      </c>
      <c r="K1766" s="903" t="s">
        <v>16</v>
      </c>
      <c r="L1766" s="1039">
        <f>ROUND(SUM('RES. CENTRAL PARK:RUA_FINAL'!L1766),2)</f>
        <v>0</v>
      </c>
      <c r="M1766" s="1039">
        <f t="shared" si="438"/>
        <v>0</v>
      </c>
      <c r="N1766" s="893">
        <f t="shared" si="439"/>
        <v>0</v>
      </c>
      <c r="O1766" s="905"/>
      <c r="Q1766" s="317" t="str">
        <f t="shared" si="440"/>
        <v/>
      </c>
      <c r="R1766" s="317" t="str">
        <f t="shared" si="441"/>
        <v/>
      </c>
      <c r="S1766" s="317" t="str">
        <f t="shared" si="442"/>
        <v/>
      </c>
      <c r="V1766" s="314">
        <f>SUM('RES. CENTRAL PARK:RUA_FINAL'!N1766)</f>
        <v>0</v>
      </c>
      <c r="W1766" s="315">
        <f t="shared" si="443"/>
        <v>0</v>
      </c>
    </row>
    <row r="1767" spans="1:23" ht="13.5" hidden="1" thickBot="1" x14ac:dyDescent="0.25">
      <c r="A1767" s="63">
        <v>603300</v>
      </c>
      <c r="B1767" s="895" t="s">
        <v>1773</v>
      </c>
      <c r="C1767" s="896" t="s">
        <v>184</v>
      </c>
      <c r="D1767" s="906" t="s">
        <v>262</v>
      </c>
      <c r="E1767" s="907"/>
      <c r="F1767" s="908"/>
      <c r="G1767" s="912">
        <f>IF(E1767&lt;=30,(0.31*E1767+0.77)*F1767,((0.31*30+0.77)+0.31*(E1767-30))*F1767)</f>
        <v>0</v>
      </c>
      <c r="H1767" s="901">
        <v>20.91</v>
      </c>
      <c r="I1767" s="901">
        <f t="shared" si="444"/>
        <v>20.91</v>
      </c>
      <c r="J1767" s="902">
        <f t="shared" si="436"/>
        <v>25.11</v>
      </c>
      <c r="K1767" s="903" t="s">
        <v>16</v>
      </c>
      <c r="L1767" s="1039">
        <f>ROUND(SUM('RES. CENTRAL PARK:RUA_FINAL'!L1767),2)</f>
        <v>0</v>
      </c>
      <c r="M1767" s="1039">
        <f t="shared" si="438"/>
        <v>0</v>
      </c>
      <c r="N1767" s="893">
        <f t="shared" si="439"/>
        <v>0</v>
      </c>
      <c r="O1767" s="905"/>
      <c r="Q1767" s="317" t="str">
        <f t="shared" si="440"/>
        <v/>
      </c>
      <c r="R1767" s="317" t="str">
        <f t="shared" si="441"/>
        <v/>
      </c>
      <c r="S1767" s="317" t="str">
        <f t="shared" si="442"/>
        <v/>
      </c>
      <c r="V1767" s="314">
        <f>SUM('RES. CENTRAL PARK:RUA_FINAL'!N1767)</f>
        <v>0</v>
      </c>
      <c r="W1767" s="315">
        <f t="shared" si="443"/>
        <v>0</v>
      </c>
    </row>
    <row r="1768" spans="1:23" ht="13.5" hidden="1" thickBot="1" x14ac:dyDescent="0.25">
      <c r="A1768" s="63">
        <v>603600</v>
      </c>
      <c r="B1768" s="895">
        <v>603600</v>
      </c>
      <c r="C1768" s="896" t="s">
        <v>184</v>
      </c>
      <c r="D1768" s="906" t="s">
        <v>326</v>
      </c>
      <c r="E1768" s="907"/>
      <c r="F1768" s="908"/>
      <c r="G1768" s="912">
        <f>SUM(G1769:G1771)</f>
        <v>112.0478</v>
      </c>
      <c r="H1768" s="901">
        <v>291.92</v>
      </c>
      <c r="I1768" s="901">
        <f t="shared" si="444"/>
        <v>403.96780000000001</v>
      </c>
      <c r="J1768" s="902">
        <f t="shared" si="436"/>
        <v>485.04</v>
      </c>
      <c r="K1768" s="903" t="s">
        <v>10</v>
      </c>
      <c r="L1768" s="1039">
        <f>ROUND(SUM('RES. CENTRAL PARK:RUA_FINAL'!L1768),2)</f>
        <v>0</v>
      </c>
      <c r="M1768" s="1039">
        <f t="shared" si="438"/>
        <v>0</v>
      </c>
      <c r="N1768" s="893">
        <f t="shared" si="439"/>
        <v>0</v>
      </c>
      <c r="O1768" s="905"/>
      <c r="Q1768" s="317" t="str">
        <f t="shared" si="440"/>
        <v/>
      </c>
      <c r="R1768" s="317" t="str">
        <f t="shared" si="441"/>
        <v/>
      </c>
      <c r="S1768" s="317" t="str">
        <f t="shared" si="442"/>
        <v/>
      </c>
      <c r="V1768" s="314">
        <f>SUM('RES. CENTRAL PARK:RUA_FINAL'!N1768)</f>
        <v>0</v>
      </c>
      <c r="W1768" s="315">
        <f t="shared" si="443"/>
        <v>0</v>
      </c>
    </row>
    <row r="1769" spans="1:23" ht="13.5" hidden="1" thickBot="1" x14ac:dyDescent="0.25">
      <c r="A1769" s="63" t="s">
        <v>147</v>
      </c>
      <c r="B1769" s="895" t="s">
        <v>147</v>
      </c>
      <c r="C1769" s="896"/>
      <c r="D1769" s="906" t="s">
        <v>190</v>
      </c>
      <c r="E1769" s="907">
        <f>DMT!$D$20</f>
        <v>308</v>
      </c>
      <c r="F1769" s="908">
        <v>0.1</v>
      </c>
      <c r="G1769" s="909">
        <f>IF(E1769&lt;=30,(0.78*E1769+7.82)*F1769,((0.78*30+7.82)+0.78*(E1769-30))*F1769)</f>
        <v>24.806000000000001</v>
      </c>
      <c r="H1769" s="901"/>
      <c r="I1769" s="901"/>
      <c r="J1769" s="902">
        <f t="shared" si="436"/>
        <v>0</v>
      </c>
      <c r="K1769" s="903"/>
      <c r="L1769" s="1039">
        <f>ROUND(SUM('RES. CENTRAL PARK:RUA_FINAL'!L1769),2)</f>
        <v>0</v>
      </c>
      <c r="M1769" s="1039">
        <f t="shared" si="438"/>
        <v>0</v>
      </c>
      <c r="N1769" s="893">
        <f t="shared" si="439"/>
        <v>0</v>
      </c>
      <c r="O1769" s="905"/>
      <c r="P1769" s="36" t="str">
        <f>IF(N1768&gt;0,"xx",IF(N1768&gt;0,"xy",""))</f>
        <v/>
      </c>
      <c r="Q1769" s="317" t="str">
        <f t="shared" si="440"/>
        <v/>
      </c>
      <c r="R1769" s="317" t="str">
        <f t="shared" si="441"/>
        <v/>
      </c>
      <c r="S1769" s="317" t="str">
        <f t="shared" si="442"/>
        <v/>
      </c>
      <c r="V1769" s="314">
        <f>SUM('RES. CENTRAL PARK:RUA_FINAL'!N1769)</f>
        <v>0</v>
      </c>
      <c r="W1769" s="315">
        <f t="shared" si="443"/>
        <v>0</v>
      </c>
    </row>
    <row r="1770" spans="1:23" ht="13.5" hidden="1" thickBot="1" x14ac:dyDescent="0.25">
      <c r="A1770" s="63" t="s">
        <v>147</v>
      </c>
      <c r="B1770" s="895" t="s">
        <v>147</v>
      </c>
      <c r="C1770" s="896"/>
      <c r="D1770" s="906" t="s">
        <v>229</v>
      </c>
      <c r="E1770" s="907">
        <f>DMT!$F$8</f>
        <v>150</v>
      </c>
      <c r="F1770" s="908">
        <v>0.51</v>
      </c>
      <c r="G1770" s="949">
        <f t="shared" ref="G1770:G1775" si="445">IF(E1770&lt;=30,(1.07*E1770+2.68)*F1770,((1.07*30+2.68)+1.07*(E1770-30))*F1770)</f>
        <v>83.221800000000002</v>
      </c>
      <c r="H1770" s="901"/>
      <c r="I1770" s="901"/>
      <c r="J1770" s="902">
        <f t="shared" si="436"/>
        <v>0</v>
      </c>
      <c r="K1770" s="903"/>
      <c r="L1770" s="1039">
        <f>ROUND(SUM('RES. CENTRAL PARK:RUA_FINAL'!L1770),2)</f>
        <v>0</v>
      </c>
      <c r="M1770" s="1039">
        <f t="shared" si="438"/>
        <v>0</v>
      </c>
      <c r="N1770" s="893">
        <f t="shared" si="439"/>
        <v>0</v>
      </c>
      <c r="O1770" s="905"/>
      <c r="P1770" s="36" t="str">
        <f>IF(N1768&gt;0,"xx",IF(N1768&gt;0,"xy",""))</f>
        <v/>
      </c>
      <c r="Q1770" s="317" t="str">
        <f t="shared" si="440"/>
        <v/>
      </c>
      <c r="R1770" s="317" t="str">
        <f t="shared" si="441"/>
        <v/>
      </c>
      <c r="S1770" s="317" t="str">
        <f t="shared" si="442"/>
        <v/>
      </c>
      <c r="V1770" s="314">
        <f>SUM('RES. CENTRAL PARK:RUA_FINAL'!N1770)</f>
        <v>0</v>
      </c>
      <c r="W1770" s="315">
        <f t="shared" si="443"/>
        <v>0</v>
      </c>
    </row>
    <row r="1771" spans="1:23" ht="13.5" hidden="1" thickBot="1" x14ac:dyDescent="0.25">
      <c r="A1771" s="63" t="s">
        <v>147</v>
      </c>
      <c r="B1771" s="895" t="s">
        <v>147</v>
      </c>
      <c r="C1771" s="896"/>
      <c r="D1771" s="906" t="s">
        <v>233</v>
      </c>
      <c r="E1771" s="907">
        <f>DMT!$F$14</f>
        <v>0</v>
      </c>
      <c r="F1771" s="908">
        <v>1.5</v>
      </c>
      <c r="G1771" s="949">
        <f t="shared" si="445"/>
        <v>4.0200000000000005</v>
      </c>
      <c r="H1771" s="901"/>
      <c r="I1771" s="901"/>
      <c r="J1771" s="902">
        <f t="shared" si="436"/>
        <v>0</v>
      </c>
      <c r="K1771" s="903"/>
      <c r="L1771" s="1039">
        <f>ROUND(SUM('RES. CENTRAL PARK:RUA_FINAL'!L1771),2)</f>
        <v>0</v>
      </c>
      <c r="M1771" s="1039">
        <f t="shared" si="438"/>
        <v>0</v>
      </c>
      <c r="N1771" s="893">
        <f t="shared" si="439"/>
        <v>0</v>
      </c>
      <c r="O1771" s="905"/>
      <c r="P1771" s="36" t="str">
        <f>IF(N1768&gt;0,"xx",IF(N1768&gt;0,"xy",""))</f>
        <v/>
      </c>
      <c r="Q1771" s="317" t="str">
        <f t="shared" si="440"/>
        <v/>
      </c>
      <c r="R1771" s="317" t="str">
        <f t="shared" si="441"/>
        <v/>
      </c>
      <c r="S1771" s="317" t="str">
        <f t="shared" si="442"/>
        <v/>
      </c>
      <c r="V1771" s="314">
        <f>SUM('RES. CENTRAL PARK:RUA_FINAL'!N1771)</f>
        <v>0</v>
      </c>
      <c r="W1771" s="315">
        <f t="shared" si="443"/>
        <v>0</v>
      </c>
    </row>
    <row r="1772" spans="1:23" ht="13.5" hidden="1" thickBot="1" x14ac:dyDescent="0.25">
      <c r="A1772" s="63">
        <v>603700</v>
      </c>
      <c r="B1772" s="895" t="s">
        <v>1801</v>
      </c>
      <c r="C1772" s="896" t="s">
        <v>184</v>
      </c>
      <c r="D1772" s="906" t="s">
        <v>327</v>
      </c>
      <c r="E1772" s="907">
        <f>DMT!$F$14</f>
        <v>0</v>
      </c>
      <c r="F1772" s="908">
        <v>1.8</v>
      </c>
      <c r="G1772" s="949">
        <f t="shared" si="445"/>
        <v>4.8240000000000007</v>
      </c>
      <c r="H1772" s="901">
        <v>213.87</v>
      </c>
      <c r="I1772" s="901">
        <f>IF(ISBLANK(H1772),"",SUM(G1772:H1772))</f>
        <v>218.69400000000002</v>
      </c>
      <c r="J1772" s="902">
        <f t="shared" si="436"/>
        <v>262.58999999999997</v>
      </c>
      <c r="K1772" s="903" t="s">
        <v>10</v>
      </c>
      <c r="L1772" s="1039">
        <f>ROUND(SUM('RES. CENTRAL PARK:RUA_FINAL'!L1772),2)</f>
        <v>0</v>
      </c>
      <c r="M1772" s="1039">
        <f t="shared" si="438"/>
        <v>0</v>
      </c>
      <c r="N1772" s="893">
        <f t="shared" si="439"/>
        <v>0</v>
      </c>
      <c r="O1772" s="905"/>
      <c r="Q1772" s="317" t="str">
        <f t="shared" si="440"/>
        <v/>
      </c>
      <c r="R1772" s="317" t="str">
        <f t="shared" si="441"/>
        <v/>
      </c>
      <c r="S1772" s="317" t="str">
        <f t="shared" si="442"/>
        <v/>
      </c>
      <c r="V1772" s="314">
        <f>SUM('RES. CENTRAL PARK:RUA_FINAL'!N1772)</f>
        <v>0</v>
      </c>
      <c r="W1772" s="315">
        <f t="shared" si="443"/>
        <v>0</v>
      </c>
    </row>
    <row r="1773" spans="1:23" ht="13.5" hidden="1" thickBot="1" x14ac:dyDescent="0.25">
      <c r="A1773" s="63">
        <v>603800</v>
      </c>
      <c r="B1773" s="895" t="s">
        <v>1802</v>
      </c>
      <c r="C1773" s="896" t="s">
        <v>184</v>
      </c>
      <c r="D1773" s="906" t="s">
        <v>328</v>
      </c>
      <c r="E1773" s="907">
        <f>DMT!$F$14</f>
        <v>0</v>
      </c>
      <c r="F1773" s="908">
        <v>1.5</v>
      </c>
      <c r="G1773" s="949">
        <f t="shared" si="445"/>
        <v>4.0200000000000005</v>
      </c>
      <c r="H1773" s="901">
        <v>126.05</v>
      </c>
      <c r="I1773" s="901">
        <f>IF(ISBLANK(H1773),"",SUM(G1773:H1773))</f>
        <v>130.07</v>
      </c>
      <c r="J1773" s="902">
        <f t="shared" si="436"/>
        <v>156.18</v>
      </c>
      <c r="K1773" s="903" t="s">
        <v>10</v>
      </c>
      <c r="L1773" s="1039">
        <f>ROUND(SUM('RES. CENTRAL PARK:RUA_FINAL'!L1773),2)</f>
        <v>0</v>
      </c>
      <c r="M1773" s="1039">
        <f t="shared" si="438"/>
        <v>0</v>
      </c>
      <c r="N1773" s="893">
        <f t="shared" si="439"/>
        <v>0</v>
      </c>
      <c r="O1773" s="905"/>
      <c r="Q1773" s="317" t="str">
        <f t="shared" si="440"/>
        <v/>
      </c>
      <c r="R1773" s="317" t="str">
        <f t="shared" si="441"/>
        <v/>
      </c>
      <c r="S1773" s="317" t="str">
        <f t="shared" si="442"/>
        <v/>
      </c>
      <c r="V1773" s="314">
        <f>SUM('RES. CENTRAL PARK:RUA_FINAL'!N1773)</f>
        <v>0</v>
      </c>
      <c r="W1773" s="315">
        <f t="shared" si="443"/>
        <v>0</v>
      </c>
    </row>
    <row r="1774" spans="1:23" ht="13.5" hidden="1" thickBot="1" x14ac:dyDescent="0.25">
      <c r="A1774" s="63">
        <v>532500</v>
      </c>
      <c r="B1774" s="895" t="s">
        <v>1739</v>
      </c>
      <c r="C1774" s="896" t="s">
        <v>184</v>
      </c>
      <c r="D1774" s="957" t="s">
        <v>329</v>
      </c>
      <c r="E1774" s="907">
        <f>DMT!$F$8</f>
        <v>150</v>
      </c>
      <c r="F1774" s="908">
        <v>1.7250000000000001</v>
      </c>
      <c r="G1774" s="949">
        <f t="shared" si="445"/>
        <v>281.4855</v>
      </c>
      <c r="H1774" s="901">
        <v>102.38</v>
      </c>
      <c r="I1774" s="901">
        <f>IF(ISBLANK(H1774),"",SUM(G1774:H1774))</f>
        <v>383.8655</v>
      </c>
      <c r="J1774" s="902">
        <f t="shared" si="436"/>
        <v>460.91</v>
      </c>
      <c r="K1774" s="903" t="s">
        <v>10</v>
      </c>
      <c r="L1774" s="1039">
        <f>ROUND(SUM('RES. CENTRAL PARK:RUA_FINAL'!L1774),2)</f>
        <v>0</v>
      </c>
      <c r="M1774" s="1039">
        <f t="shared" si="438"/>
        <v>0</v>
      </c>
      <c r="N1774" s="893">
        <f t="shared" si="439"/>
        <v>0</v>
      </c>
      <c r="O1774" s="905"/>
      <c r="Q1774" s="317" t="str">
        <f t="shared" si="440"/>
        <v/>
      </c>
      <c r="R1774" s="317" t="str">
        <f t="shared" si="441"/>
        <v/>
      </c>
      <c r="S1774" s="317" t="str">
        <f t="shared" si="442"/>
        <v/>
      </c>
      <c r="V1774" s="314">
        <f>SUM('RES. CENTRAL PARK:RUA_FINAL'!N1774)</f>
        <v>0</v>
      </c>
      <c r="W1774" s="315">
        <f t="shared" si="443"/>
        <v>0</v>
      </c>
    </row>
    <row r="1775" spans="1:23" ht="13.5" hidden="1" thickBot="1" x14ac:dyDescent="0.25">
      <c r="A1775" s="63">
        <v>603900</v>
      </c>
      <c r="B1775" s="895" t="s">
        <v>1774</v>
      </c>
      <c r="C1775" s="896" t="s">
        <v>184</v>
      </c>
      <c r="D1775" s="906" t="s">
        <v>330</v>
      </c>
      <c r="E1775" s="907">
        <f>DMT!$F$10</f>
        <v>0.2</v>
      </c>
      <c r="F1775" s="908">
        <v>1.5</v>
      </c>
      <c r="G1775" s="949">
        <f t="shared" si="445"/>
        <v>4.3410000000000002</v>
      </c>
      <c r="H1775" s="901">
        <v>131.84</v>
      </c>
      <c r="I1775" s="901">
        <f>IF(ISBLANK(H1775),"",SUM(G1775:H1775))</f>
        <v>136.18100000000001</v>
      </c>
      <c r="J1775" s="902">
        <f t="shared" si="436"/>
        <v>163.51</v>
      </c>
      <c r="K1775" s="903" t="s">
        <v>10</v>
      </c>
      <c r="L1775" s="1039">
        <f>ROUND(SUM('RES. CENTRAL PARK:RUA_FINAL'!L1775),2)</f>
        <v>0</v>
      </c>
      <c r="M1775" s="1039">
        <f t="shared" si="438"/>
        <v>0</v>
      </c>
      <c r="N1775" s="893">
        <f t="shared" si="439"/>
        <v>0</v>
      </c>
      <c r="O1775" s="905"/>
      <c r="Q1775" s="317" t="str">
        <f t="shared" si="440"/>
        <v/>
      </c>
      <c r="R1775" s="317" t="str">
        <f t="shared" si="441"/>
        <v/>
      </c>
      <c r="S1775" s="317" t="str">
        <f t="shared" si="442"/>
        <v/>
      </c>
      <c r="V1775" s="314">
        <f>SUM('RES. CENTRAL PARK:RUA_FINAL'!N1775)</f>
        <v>0</v>
      </c>
      <c r="W1775" s="315">
        <f t="shared" si="443"/>
        <v>0</v>
      </c>
    </row>
    <row r="1776" spans="1:23" ht="13.5" hidden="1" thickBot="1" x14ac:dyDescent="0.25">
      <c r="A1776" s="63">
        <v>605000</v>
      </c>
      <c r="B1776" s="895" t="s">
        <v>1783</v>
      </c>
      <c r="C1776" s="896" t="s">
        <v>184</v>
      </c>
      <c r="D1776" s="906" t="s">
        <v>259</v>
      </c>
      <c r="E1776" s="907"/>
      <c r="F1776" s="908"/>
      <c r="G1776" s="912">
        <f>SUM(G1777:G1779)</f>
        <v>220.83394000000004</v>
      </c>
      <c r="H1776" s="901">
        <v>425.25</v>
      </c>
      <c r="I1776" s="901">
        <f>IF(ISBLANK(H1776),"",SUM(G1776:H1776))</f>
        <v>646.08393999999998</v>
      </c>
      <c r="J1776" s="902">
        <f t="shared" si="436"/>
        <v>775.75</v>
      </c>
      <c r="K1776" s="903" t="s">
        <v>10</v>
      </c>
      <c r="L1776" s="1039">
        <f>ROUND(SUM('RES. CENTRAL PARK:RUA_FINAL'!L1776),2)</f>
        <v>0</v>
      </c>
      <c r="M1776" s="1039">
        <f t="shared" si="438"/>
        <v>0</v>
      </c>
      <c r="N1776" s="893">
        <f t="shared" si="439"/>
        <v>0</v>
      </c>
      <c r="O1776" s="905"/>
      <c r="Q1776" s="317" t="str">
        <f t="shared" si="440"/>
        <v/>
      </c>
      <c r="R1776" s="317" t="str">
        <f t="shared" si="441"/>
        <v/>
      </c>
      <c r="S1776" s="317" t="str">
        <f t="shared" si="442"/>
        <v/>
      </c>
      <c r="V1776" s="314">
        <f>SUM('RES. CENTRAL PARK:RUA_FINAL'!N1776)</f>
        <v>0</v>
      </c>
      <c r="W1776" s="315">
        <f t="shared" si="443"/>
        <v>0</v>
      </c>
    </row>
    <row r="1777" spans="1:23" ht="13.5" hidden="1" thickBot="1" x14ac:dyDescent="0.25">
      <c r="A1777" s="63" t="s">
        <v>147</v>
      </c>
      <c r="B1777" s="895" t="s">
        <v>147</v>
      </c>
      <c r="C1777" s="896"/>
      <c r="D1777" s="957" t="s">
        <v>190</v>
      </c>
      <c r="E1777" s="907">
        <f>DMT!$D$20</f>
        <v>308</v>
      </c>
      <c r="F1777" s="908">
        <v>0.18</v>
      </c>
      <c r="G1777" s="909">
        <f>IF(E1777&lt;=30,(0.78*E1777+7.82)*F1777,((0.78*30+7.82)+0.78*(E1777-30))*F1777)</f>
        <v>44.650799999999997</v>
      </c>
      <c r="H1777" s="901">
        <v>0</v>
      </c>
      <c r="I1777" s="901"/>
      <c r="J1777" s="902">
        <f t="shared" si="436"/>
        <v>0</v>
      </c>
      <c r="K1777" s="958" t="s">
        <v>507</v>
      </c>
      <c r="L1777" s="1040">
        <f>ROUND(SUM('RES. CENTRAL PARK:RUA_FINAL'!L1777),2)</f>
        <v>0</v>
      </c>
      <c r="M1777" s="1041">
        <f t="shared" si="438"/>
        <v>0</v>
      </c>
      <c r="N1777" s="893">
        <f t="shared" si="439"/>
        <v>0</v>
      </c>
      <c r="O1777" s="905"/>
      <c r="P1777" s="58" t="str">
        <f>IF(N1776&gt;0,"xx",IF(N1776&gt;0,"xy",""))</f>
        <v/>
      </c>
      <c r="Q1777" s="317" t="str">
        <f t="shared" si="440"/>
        <v/>
      </c>
      <c r="R1777" s="317" t="str">
        <f t="shared" si="441"/>
        <v/>
      </c>
      <c r="S1777" s="317" t="str">
        <f t="shared" si="442"/>
        <v/>
      </c>
      <c r="V1777" s="314">
        <f>SUM('RES. CENTRAL PARK:RUA_FINAL'!N1777)</f>
        <v>0</v>
      </c>
      <c r="W1777" s="315">
        <f t="shared" si="443"/>
        <v>0</v>
      </c>
    </row>
    <row r="1778" spans="1:23" ht="13.5" hidden="1" thickBot="1" x14ac:dyDescent="0.25">
      <c r="A1778" s="63" t="s">
        <v>147</v>
      </c>
      <c r="B1778" s="895" t="s">
        <v>147</v>
      </c>
      <c r="C1778" s="896"/>
      <c r="D1778" s="957" t="s">
        <v>229</v>
      </c>
      <c r="E1778" s="907">
        <f>DMT!$F$8</f>
        <v>150</v>
      </c>
      <c r="F1778" s="908">
        <v>1.06</v>
      </c>
      <c r="G1778" s="949">
        <f t="shared" ref="G1778:G1779" si="446">IF(E1778&lt;=30,(1.07*E1778+2.68)*F1778,((1.07*30+2.68)+1.07*(E1778-30))*F1778)</f>
        <v>172.97080000000003</v>
      </c>
      <c r="H1778" s="901">
        <v>0</v>
      </c>
      <c r="I1778" s="901"/>
      <c r="J1778" s="902">
        <f t="shared" si="436"/>
        <v>0</v>
      </c>
      <c r="K1778" s="958" t="s">
        <v>507</v>
      </c>
      <c r="L1778" s="1040">
        <f>ROUND(SUM('RES. CENTRAL PARK:RUA_FINAL'!L1778),2)</f>
        <v>0</v>
      </c>
      <c r="M1778" s="1041">
        <f t="shared" si="438"/>
        <v>0</v>
      </c>
      <c r="N1778" s="893">
        <f t="shared" si="439"/>
        <v>0</v>
      </c>
      <c r="O1778" s="905"/>
      <c r="P1778" s="58" t="str">
        <f>IF(N1776&gt;0,"xx",IF(N1776&gt;0,"xy",""))</f>
        <v/>
      </c>
      <c r="Q1778" s="317" t="str">
        <f t="shared" si="440"/>
        <v/>
      </c>
      <c r="R1778" s="317" t="str">
        <f t="shared" si="441"/>
        <v/>
      </c>
      <c r="S1778" s="317" t="str">
        <f t="shared" si="442"/>
        <v/>
      </c>
      <c r="V1778" s="314">
        <f>SUM('RES. CENTRAL PARK:RUA_FINAL'!N1778)</f>
        <v>0</v>
      </c>
      <c r="W1778" s="315">
        <f t="shared" si="443"/>
        <v>0</v>
      </c>
    </row>
    <row r="1779" spans="1:23" ht="13.5" hidden="1" thickBot="1" x14ac:dyDescent="0.25">
      <c r="A1779" s="63" t="s">
        <v>147</v>
      </c>
      <c r="B1779" s="895" t="s">
        <v>147</v>
      </c>
      <c r="C1779" s="896"/>
      <c r="D1779" s="957" t="s">
        <v>233</v>
      </c>
      <c r="E1779" s="907">
        <f>DMT!$F$10</f>
        <v>0.2</v>
      </c>
      <c r="F1779" s="908">
        <v>1.1100000000000001</v>
      </c>
      <c r="G1779" s="949">
        <f t="shared" si="446"/>
        <v>3.2123400000000006</v>
      </c>
      <c r="H1779" s="901">
        <v>0</v>
      </c>
      <c r="I1779" s="901"/>
      <c r="J1779" s="902">
        <f t="shared" si="436"/>
        <v>0</v>
      </c>
      <c r="K1779" s="958" t="s">
        <v>507</v>
      </c>
      <c r="L1779" s="1040">
        <f>ROUND(SUM('RES. CENTRAL PARK:RUA_FINAL'!L1779),2)</f>
        <v>0</v>
      </c>
      <c r="M1779" s="1041">
        <f t="shared" si="438"/>
        <v>0</v>
      </c>
      <c r="N1779" s="893">
        <f t="shared" si="439"/>
        <v>0</v>
      </c>
      <c r="O1779" s="905"/>
      <c r="P1779" s="58" t="str">
        <f>IF(N1776&gt;0,"xx",IF(N1776&gt;0,"xy",""))</f>
        <v/>
      </c>
      <c r="Q1779" s="317" t="str">
        <f t="shared" si="440"/>
        <v/>
      </c>
      <c r="R1779" s="317" t="str">
        <f t="shared" si="441"/>
        <v/>
      </c>
      <c r="S1779" s="317" t="str">
        <f t="shared" si="442"/>
        <v/>
      </c>
      <c r="V1779" s="314">
        <f>SUM('RES. CENTRAL PARK:RUA_FINAL'!N1779)</f>
        <v>0</v>
      </c>
      <c r="W1779" s="315">
        <f t="shared" si="443"/>
        <v>0</v>
      </c>
    </row>
    <row r="1780" spans="1:23" ht="13.5" hidden="1" thickBot="1" x14ac:dyDescent="0.25">
      <c r="A1780" s="63">
        <v>603500</v>
      </c>
      <c r="B1780" s="895">
        <v>603500</v>
      </c>
      <c r="C1780" s="896" t="s">
        <v>184</v>
      </c>
      <c r="D1780" s="906" t="s">
        <v>331</v>
      </c>
      <c r="E1780" s="907"/>
      <c r="F1780" s="908"/>
      <c r="G1780" s="912">
        <f>IF(E1780&lt;=30,(0.31*E1780+0.77)*F1780,((0.31*30+0.77)+0.31*(E1780-30))*F1780)</f>
        <v>0</v>
      </c>
      <c r="H1780" s="901">
        <v>1378.26</v>
      </c>
      <c r="I1780" s="901">
        <f>IF(ISBLANK(H1780),"",SUM(G1780:H1780))</f>
        <v>1378.26</v>
      </c>
      <c r="J1780" s="902">
        <f t="shared" si="436"/>
        <v>1654.88</v>
      </c>
      <c r="K1780" s="903" t="s">
        <v>10</v>
      </c>
      <c r="L1780" s="1039">
        <f>ROUND(SUM('RES. CENTRAL PARK:RUA_FINAL'!L1780),2)</f>
        <v>0</v>
      </c>
      <c r="M1780" s="1039">
        <f t="shared" si="438"/>
        <v>0</v>
      </c>
      <c r="N1780" s="893">
        <f t="shared" si="439"/>
        <v>0</v>
      </c>
      <c r="O1780" s="905"/>
      <c r="Q1780" s="317" t="str">
        <f t="shared" si="440"/>
        <v/>
      </c>
      <c r="R1780" s="317" t="str">
        <f t="shared" si="441"/>
        <v/>
      </c>
      <c r="S1780" s="317" t="str">
        <f t="shared" si="442"/>
        <v/>
      </c>
      <c r="V1780" s="314">
        <f>SUM('RES. CENTRAL PARK:RUA_FINAL'!N1780)</f>
        <v>0</v>
      </c>
      <c r="W1780" s="315">
        <f t="shared" si="443"/>
        <v>0</v>
      </c>
    </row>
    <row r="1781" spans="1:23" ht="13.5" hidden="1" thickBot="1" x14ac:dyDescent="0.25">
      <c r="A1781" s="63">
        <v>603500</v>
      </c>
      <c r="B1781" s="895" t="s">
        <v>1898</v>
      </c>
      <c r="C1781" s="896" t="s">
        <v>184</v>
      </c>
      <c r="D1781" s="906" t="s">
        <v>332</v>
      </c>
      <c r="E1781" s="907"/>
      <c r="F1781" s="908"/>
      <c r="G1781" s="912">
        <f>IF(E1781&lt;=30,(0.31*E1781+0.77)*F1781,((0.31*30+0.77)+0.31*(E1781-30))*F1781)</f>
        <v>0</v>
      </c>
      <c r="H1781" s="901">
        <v>1378.26</v>
      </c>
      <c r="I1781" s="901">
        <f>IF(ISBLANK(H1781),"",SUM(G1781:H1781))*0.86</f>
        <v>1185.3036</v>
      </c>
      <c r="J1781" s="902">
        <f t="shared" si="436"/>
        <v>1423.19</v>
      </c>
      <c r="K1781" s="903" t="s">
        <v>10</v>
      </c>
      <c r="L1781" s="1039">
        <f>ROUND(SUM('RES. CENTRAL PARK:RUA_FINAL'!L1781),2)</f>
        <v>0</v>
      </c>
      <c r="M1781" s="1039">
        <f t="shared" si="438"/>
        <v>0</v>
      </c>
      <c r="N1781" s="893">
        <f t="shared" si="439"/>
        <v>0</v>
      </c>
      <c r="O1781" s="905"/>
      <c r="Q1781" s="317" t="str">
        <f t="shared" si="440"/>
        <v/>
      </c>
      <c r="R1781" s="317" t="str">
        <f t="shared" si="441"/>
        <v/>
      </c>
      <c r="S1781" s="317" t="str">
        <f t="shared" si="442"/>
        <v/>
      </c>
      <c r="V1781" s="314">
        <f>SUM('RES. CENTRAL PARK:RUA_FINAL'!N1781)</f>
        <v>0</v>
      </c>
      <c r="W1781" s="315">
        <f t="shared" si="443"/>
        <v>0</v>
      </c>
    </row>
    <row r="1782" spans="1:23" ht="13.5" hidden="1" thickBot="1" x14ac:dyDescent="0.25">
      <c r="A1782" s="63">
        <v>604000</v>
      </c>
      <c r="B1782" s="895">
        <v>604000</v>
      </c>
      <c r="C1782" s="896" t="s">
        <v>184</v>
      </c>
      <c r="D1782" s="906" t="s">
        <v>333</v>
      </c>
      <c r="E1782" s="907"/>
      <c r="F1782" s="908"/>
      <c r="G1782" s="912">
        <f>SUM(G1783:G1784)</f>
        <v>364.66654000000005</v>
      </c>
      <c r="H1782" s="901">
        <v>523.20000000000005</v>
      </c>
      <c r="I1782" s="901">
        <f>IF(ISBLANK(H1782),"",SUM(G1782:H1782))</f>
        <v>887.8665400000001</v>
      </c>
      <c r="J1782" s="902">
        <f t="shared" si="436"/>
        <v>1066.06</v>
      </c>
      <c r="K1782" s="903" t="s">
        <v>10</v>
      </c>
      <c r="L1782" s="1039">
        <f>ROUND(SUM('RES. CENTRAL PARK:RUA_FINAL'!L1782),2)</f>
        <v>0</v>
      </c>
      <c r="M1782" s="1039">
        <f t="shared" si="438"/>
        <v>0</v>
      </c>
      <c r="N1782" s="893">
        <f t="shared" si="439"/>
        <v>0</v>
      </c>
      <c r="O1782" s="905"/>
      <c r="Q1782" s="317" t="str">
        <f t="shared" si="440"/>
        <v/>
      </c>
      <c r="R1782" s="317" t="str">
        <f t="shared" si="441"/>
        <v/>
      </c>
      <c r="S1782" s="317" t="str">
        <f t="shared" si="442"/>
        <v/>
      </c>
      <c r="V1782" s="314">
        <f>SUM('RES. CENTRAL PARK:RUA_FINAL'!N1782)</f>
        <v>0</v>
      </c>
      <c r="W1782" s="315">
        <f t="shared" si="443"/>
        <v>0</v>
      </c>
    </row>
    <row r="1783" spans="1:23" ht="13.5" hidden="1" thickBot="1" x14ac:dyDescent="0.25">
      <c r="A1783" s="63" t="s">
        <v>147</v>
      </c>
      <c r="B1783" s="895" t="s">
        <v>147</v>
      </c>
      <c r="C1783" s="896"/>
      <c r="D1783" s="906" t="s">
        <v>190</v>
      </c>
      <c r="E1783" s="907">
        <f>DMT!$D$20</f>
        <v>308</v>
      </c>
      <c r="F1783" s="908">
        <v>0.434</v>
      </c>
      <c r="G1783" s="909">
        <f>IF(E1783&lt;=30,(0.78*E1783+7.82)*F1783,((0.78*30+7.82)+0.78*(E1783-30))*F1783)</f>
        <v>107.65804</v>
      </c>
      <c r="H1783" s="901"/>
      <c r="I1783" s="901"/>
      <c r="J1783" s="902">
        <f t="shared" si="436"/>
        <v>0</v>
      </c>
      <c r="K1783" s="903"/>
      <c r="L1783" s="1039">
        <f>ROUND(SUM('RES. CENTRAL PARK:RUA_FINAL'!L1783),2)</f>
        <v>0</v>
      </c>
      <c r="M1783" s="1039">
        <f t="shared" si="438"/>
        <v>0</v>
      </c>
      <c r="N1783" s="893">
        <f t="shared" si="439"/>
        <v>0</v>
      </c>
      <c r="O1783" s="905"/>
      <c r="P1783" s="36" t="str">
        <f>IF(N1782&gt;0,"xx",IF(N1782&gt;0,"xy",""))</f>
        <v/>
      </c>
      <c r="Q1783" s="317" t="str">
        <f t="shared" si="440"/>
        <v/>
      </c>
      <c r="R1783" s="317" t="str">
        <f t="shared" si="441"/>
        <v/>
      </c>
      <c r="S1783" s="317" t="str">
        <f t="shared" si="442"/>
        <v/>
      </c>
      <c r="V1783" s="314">
        <f>SUM('RES. CENTRAL PARK:RUA_FINAL'!N1783)</f>
        <v>0</v>
      </c>
      <c r="W1783" s="315">
        <f t="shared" si="443"/>
        <v>0</v>
      </c>
    </row>
    <row r="1784" spans="1:23" ht="13.5" hidden="1" thickBot="1" x14ac:dyDescent="0.25">
      <c r="A1784" s="63" t="s">
        <v>147</v>
      </c>
      <c r="B1784" s="895" t="s">
        <v>147</v>
      </c>
      <c r="C1784" s="896"/>
      <c r="D1784" s="906" t="s">
        <v>229</v>
      </c>
      <c r="E1784" s="907">
        <f>DMT!$F$8</f>
        <v>150</v>
      </c>
      <c r="F1784" s="908">
        <v>1.575</v>
      </c>
      <c r="G1784" s="949">
        <f t="shared" ref="G1784" si="447">IF(E1784&lt;=30,(1.07*E1784+2.68)*F1784,((1.07*30+2.68)+1.07*(E1784-30))*F1784)</f>
        <v>257.00850000000003</v>
      </c>
      <c r="H1784" s="901"/>
      <c r="I1784" s="901"/>
      <c r="J1784" s="902">
        <f t="shared" si="436"/>
        <v>0</v>
      </c>
      <c r="K1784" s="903"/>
      <c r="L1784" s="1039">
        <f>ROUND(SUM('RES. CENTRAL PARK:RUA_FINAL'!L1784),2)</f>
        <v>0</v>
      </c>
      <c r="M1784" s="1039">
        <f t="shared" si="438"/>
        <v>0</v>
      </c>
      <c r="N1784" s="893">
        <f t="shared" si="439"/>
        <v>0</v>
      </c>
      <c r="O1784" s="905"/>
      <c r="P1784" s="36" t="str">
        <f>IF(N1782&gt;0,"xx",IF(N1782&gt;0,"xy",""))</f>
        <v/>
      </c>
      <c r="Q1784" s="317" t="str">
        <f t="shared" si="440"/>
        <v/>
      </c>
      <c r="R1784" s="317" t="str">
        <f t="shared" si="441"/>
        <v/>
      </c>
      <c r="S1784" s="317" t="str">
        <f t="shared" si="442"/>
        <v/>
      </c>
      <c r="V1784" s="314">
        <f>SUM('RES. CENTRAL PARK:RUA_FINAL'!N1784)</f>
        <v>0</v>
      </c>
      <c r="W1784" s="315">
        <f t="shared" si="443"/>
        <v>0</v>
      </c>
    </row>
    <row r="1785" spans="1:23" ht="13.5" hidden="1" thickBot="1" x14ac:dyDescent="0.25">
      <c r="A1785" s="63">
        <v>604100</v>
      </c>
      <c r="B1785" s="895">
        <v>604100</v>
      </c>
      <c r="C1785" s="896" t="s">
        <v>184</v>
      </c>
      <c r="D1785" s="906" t="s">
        <v>334</v>
      </c>
      <c r="E1785" s="907"/>
      <c r="F1785" s="908"/>
      <c r="G1785" s="912">
        <f>SUM(G1786:G1787)</f>
        <v>379.56790000000001</v>
      </c>
      <c r="H1785" s="901">
        <v>466.54</v>
      </c>
      <c r="I1785" s="901">
        <f>IF(ISBLANK(H1785),"",SUM(G1785:H1785))</f>
        <v>846.10789999999997</v>
      </c>
      <c r="J1785" s="902">
        <f t="shared" si="436"/>
        <v>1015.92</v>
      </c>
      <c r="K1785" s="903" t="s">
        <v>10</v>
      </c>
      <c r="L1785" s="1039">
        <f>ROUND(SUM('RES. CENTRAL PARK:RUA_FINAL'!L1785),2)</f>
        <v>0</v>
      </c>
      <c r="M1785" s="1039">
        <f t="shared" si="438"/>
        <v>0</v>
      </c>
      <c r="N1785" s="893">
        <f t="shared" si="439"/>
        <v>0</v>
      </c>
      <c r="O1785" s="905"/>
      <c r="Q1785" s="317" t="str">
        <f t="shared" si="440"/>
        <v/>
      </c>
      <c r="R1785" s="317" t="str">
        <f t="shared" si="441"/>
        <v/>
      </c>
      <c r="S1785" s="317" t="str">
        <f t="shared" si="442"/>
        <v/>
      </c>
      <c r="V1785" s="314">
        <f>SUM('RES. CENTRAL PARK:RUA_FINAL'!N1785)</f>
        <v>0</v>
      </c>
      <c r="W1785" s="315">
        <f t="shared" si="443"/>
        <v>0</v>
      </c>
    </row>
    <row r="1786" spans="1:23" ht="13.5" hidden="1" thickBot="1" x14ac:dyDescent="0.25">
      <c r="A1786" s="63" t="s">
        <v>147</v>
      </c>
      <c r="B1786" s="895" t="s">
        <v>147</v>
      </c>
      <c r="C1786" s="896"/>
      <c r="D1786" s="906" t="s">
        <v>190</v>
      </c>
      <c r="E1786" s="907">
        <f>DMT!$D$20</f>
        <v>308</v>
      </c>
      <c r="F1786" s="908">
        <v>0.42499999999999999</v>
      </c>
      <c r="G1786" s="909">
        <f>IF(E1786&lt;=30,(0.78*E1786+7.82)*F1786,((0.78*30+7.82)+0.78*(E1786-30))*F1786)</f>
        <v>105.4255</v>
      </c>
      <c r="H1786" s="901"/>
      <c r="I1786" s="901"/>
      <c r="J1786" s="902">
        <f t="shared" ref="J1786:J1849" si="448">IF(ISBLANK(H1786),0,ROUND(I1786*(1+$E$10),2))</f>
        <v>0</v>
      </c>
      <c r="K1786" s="903"/>
      <c r="L1786" s="1039">
        <f>ROUND(SUM('RES. CENTRAL PARK:RUA_FINAL'!L1786),2)</f>
        <v>0</v>
      </c>
      <c r="M1786" s="1039">
        <f t="shared" si="438"/>
        <v>0</v>
      </c>
      <c r="N1786" s="893">
        <f t="shared" si="439"/>
        <v>0</v>
      </c>
      <c r="O1786" s="905"/>
      <c r="P1786" s="36" t="str">
        <f>IF(N1785&gt;0,"xx",IF(N1785&gt;0,"xy",""))</f>
        <v/>
      </c>
      <c r="Q1786" s="317" t="str">
        <f t="shared" si="440"/>
        <v/>
      </c>
      <c r="R1786" s="317" t="str">
        <f t="shared" si="441"/>
        <v/>
      </c>
      <c r="S1786" s="317" t="str">
        <f t="shared" si="442"/>
        <v/>
      </c>
      <c r="V1786" s="314">
        <f>SUM('RES. CENTRAL PARK:RUA_FINAL'!N1786)</f>
        <v>0</v>
      </c>
      <c r="W1786" s="315">
        <f t="shared" si="443"/>
        <v>0</v>
      </c>
    </row>
    <row r="1787" spans="1:23" ht="13.5" hidden="1" thickBot="1" x14ac:dyDescent="0.25">
      <c r="A1787" s="63" t="s">
        <v>147</v>
      </c>
      <c r="B1787" s="895" t="s">
        <v>147</v>
      </c>
      <c r="C1787" s="896"/>
      <c r="D1787" s="906" t="s">
        <v>229</v>
      </c>
      <c r="E1787" s="907">
        <f>DMT!$F$8</f>
        <v>150</v>
      </c>
      <c r="F1787" s="908">
        <v>1.68</v>
      </c>
      <c r="G1787" s="949">
        <f t="shared" ref="G1787:G1790" si="449">IF(E1787&lt;=30,(1.07*E1787+2.68)*F1787,((1.07*30+2.68)+1.07*(E1787-30))*F1787)</f>
        <v>274.14240000000001</v>
      </c>
      <c r="H1787" s="901"/>
      <c r="I1787" s="901"/>
      <c r="J1787" s="902">
        <f t="shared" si="448"/>
        <v>0</v>
      </c>
      <c r="K1787" s="903"/>
      <c r="L1787" s="1039">
        <f>ROUND(SUM('RES. CENTRAL PARK:RUA_FINAL'!L1787),2)</f>
        <v>0</v>
      </c>
      <c r="M1787" s="1039">
        <f t="shared" si="438"/>
        <v>0</v>
      </c>
      <c r="N1787" s="893">
        <f t="shared" si="439"/>
        <v>0</v>
      </c>
      <c r="O1787" s="905"/>
      <c r="P1787" s="36" t="str">
        <f>IF(N1785&gt;0,"xx",IF(N1785&gt;0,"xy",""))</f>
        <v/>
      </c>
      <c r="Q1787" s="317" t="str">
        <f t="shared" si="440"/>
        <v/>
      </c>
      <c r="R1787" s="317" t="str">
        <f t="shared" si="441"/>
        <v/>
      </c>
      <c r="S1787" s="317" t="str">
        <f t="shared" si="442"/>
        <v/>
      </c>
      <c r="V1787" s="314">
        <f>SUM('RES. CENTRAL PARK:RUA_FINAL'!N1787)</f>
        <v>0</v>
      </c>
      <c r="W1787" s="315">
        <f t="shared" si="443"/>
        <v>0</v>
      </c>
    </row>
    <row r="1788" spans="1:23" ht="13.5" hidden="1" thickBot="1" x14ac:dyDescent="0.25">
      <c r="A1788" s="63">
        <v>640000</v>
      </c>
      <c r="B1788" s="895">
        <v>640000</v>
      </c>
      <c r="C1788" s="896" t="s">
        <v>184</v>
      </c>
      <c r="D1788" s="906" t="s">
        <v>335</v>
      </c>
      <c r="E1788" s="907"/>
      <c r="F1788" s="908"/>
      <c r="G1788" s="912">
        <f>SUM(G1789:G1790)</f>
        <v>85.097220000000007</v>
      </c>
      <c r="H1788" s="901">
        <v>104.04</v>
      </c>
      <c r="I1788" s="901">
        <f>IF(ISBLANK(H1788),"",SUM(G1788:H1788))</f>
        <v>189.13722000000001</v>
      </c>
      <c r="J1788" s="902">
        <f t="shared" si="448"/>
        <v>227.1</v>
      </c>
      <c r="K1788" s="903" t="s">
        <v>13</v>
      </c>
      <c r="L1788" s="1039">
        <f>ROUND(SUM('RES. CENTRAL PARK:RUA_FINAL'!L1788),2)</f>
        <v>0</v>
      </c>
      <c r="M1788" s="1039">
        <f t="shared" si="438"/>
        <v>0</v>
      </c>
      <c r="N1788" s="893">
        <f t="shared" si="439"/>
        <v>0</v>
      </c>
      <c r="O1788" s="905"/>
      <c r="Q1788" s="317" t="str">
        <f t="shared" si="440"/>
        <v/>
      </c>
      <c r="R1788" s="317" t="str">
        <f t="shared" si="441"/>
        <v/>
      </c>
      <c r="S1788" s="317" t="str">
        <f t="shared" si="442"/>
        <v/>
      </c>
      <c r="V1788" s="314">
        <f>SUM('RES. CENTRAL PARK:RUA_FINAL'!N1788)</f>
        <v>0</v>
      </c>
      <c r="W1788" s="315">
        <f t="shared" si="443"/>
        <v>0</v>
      </c>
    </row>
    <row r="1789" spans="1:23" ht="13.5" hidden="1" thickBot="1" x14ac:dyDescent="0.25">
      <c r="A1789" s="63" t="s">
        <v>147</v>
      </c>
      <c r="B1789" s="895" t="s">
        <v>147</v>
      </c>
      <c r="C1789" s="896"/>
      <c r="D1789" s="906" t="s">
        <v>229</v>
      </c>
      <c r="E1789" s="907">
        <f>DMT!$F$8</f>
        <v>150</v>
      </c>
      <c r="F1789" s="908">
        <v>0.50700000000000001</v>
      </c>
      <c r="G1789" s="949">
        <f t="shared" si="449"/>
        <v>82.732260000000011</v>
      </c>
      <c r="H1789" s="901"/>
      <c r="I1789" s="901"/>
      <c r="J1789" s="902">
        <f t="shared" si="448"/>
        <v>0</v>
      </c>
      <c r="K1789" s="903"/>
      <c r="L1789" s="1039">
        <f>ROUND(SUM('RES. CENTRAL PARK:RUA_FINAL'!L1789),2)</f>
        <v>0</v>
      </c>
      <c r="M1789" s="1039">
        <f t="shared" si="438"/>
        <v>0</v>
      </c>
      <c r="N1789" s="893">
        <f t="shared" si="439"/>
        <v>0</v>
      </c>
      <c r="O1789" s="905"/>
      <c r="P1789" s="36" t="str">
        <f>IF(N1788&gt;0,"xx",IF(N1788&gt;0,"xy",""))</f>
        <v/>
      </c>
      <c r="Q1789" s="317" t="str">
        <f t="shared" si="440"/>
        <v/>
      </c>
      <c r="R1789" s="317" t="str">
        <f t="shared" si="441"/>
        <v/>
      </c>
      <c r="S1789" s="317" t="str">
        <f t="shared" si="442"/>
        <v/>
      </c>
      <c r="V1789" s="314">
        <f>SUM('RES. CENTRAL PARK:RUA_FINAL'!N1789)</f>
        <v>0</v>
      </c>
      <c r="W1789" s="315">
        <f t="shared" si="443"/>
        <v>0</v>
      </c>
    </row>
    <row r="1790" spans="1:23" ht="13.5" hidden="1" thickBot="1" x14ac:dyDescent="0.25">
      <c r="A1790" s="63" t="s">
        <v>147</v>
      </c>
      <c r="B1790" s="895" t="s">
        <v>147</v>
      </c>
      <c r="C1790" s="896"/>
      <c r="D1790" s="906" t="s">
        <v>336</v>
      </c>
      <c r="E1790" s="907">
        <f>DMT!$F$38</f>
        <v>40</v>
      </c>
      <c r="F1790" s="908">
        <v>5.1999999999999998E-2</v>
      </c>
      <c r="G1790" s="949">
        <f t="shared" si="449"/>
        <v>2.36496</v>
      </c>
      <c r="H1790" s="901"/>
      <c r="I1790" s="901"/>
      <c r="J1790" s="902">
        <f t="shared" si="448"/>
        <v>0</v>
      </c>
      <c r="K1790" s="903"/>
      <c r="L1790" s="1039">
        <f>ROUND(SUM('RES. CENTRAL PARK:RUA_FINAL'!L1790),2)</f>
        <v>0</v>
      </c>
      <c r="M1790" s="1039">
        <f t="shared" si="438"/>
        <v>0</v>
      </c>
      <c r="N1790" s="893">
        <f t="shared" si="439"/>
        <v>0</v>
      </c>
      <c r="O1790" s="905"/>
      <c r="P1790" s="36" t="str">
        <f>IF(N1788&gt;0,"xx",IF(N1788&gt;0,"xy",""))</f>
        <v/>
      </c>
      <c r="Q1790" s="317" t="str">
        <f t="shared" si="440"/>
        <v/>
      </c>
      <c r="R1790" s="317" t="str">
        <f t="shared" si="441"/>
        <v/>
      </c>
      <c r="S1790" s="317" t="str">
        <f t="shared" si="442"/>
        <v/>
      </c>
      <c r="V1790" s="314">
        <f>SUM('RES. CENTRAL PARK:RUA_FINAL'!N1790)</f>
        <v>0</v>
      </c>
      <c r="W1790" s="315">
        <f t="shared" si="443"/>
        <v>0</v>
      </c>
    </row>
    <row r="1791" spans="1:23" ht="13.5" hidden="1" thickBot="1" x14ac:dyDescent="0.25">
      <c r="A1791" s="63">
        <v>605000</v>
      </c>
      <c r="B1791" s="895" t="s">
        <v>1784</v>
      </c>
      <c r="C1791" s="896" t="s">
        <v>184</v>
      </c>
      <c r="D1791" s="906" t="s">
        <v>337</v>
      </c>
      <c r="E1791" s="907"/>
      <c r="F1791" s="908"/>
      <c r="G1791" s="912">
        <f>SUM(G1792:G1794)</f>
        <v>220.83394000000004</v>
      </c>
      <c r="H1791" s="901">
        <v>425.25</v>
      </c>
      <c r="I1791" s="901">
        <f>IF(ISBLANK(H1791),"",SUM(G1791:H1791))</f>
        <v>646.08393999999998</v>
      </c>
      <c r="J1791" s="902">
        <f t="shared" si="448"/>
        <v>775.75</v>
      </c>
      <c r="K1791" s="903" t="s">
        <v>10</v>
      </c>
      <c r="L1791" s="1039">
        <f>ROUND(SUM('RES. CENTRAL PARK:RUA_FINAL'!L1791),2)</f>
        <v>0</v>
      </c>
      <c r="M1791" s="1039">
        <f t="shared" si="438"/>
        <v>0</v>
      </c>
      <c r="N1791" s="893">
        <f t="shared" si="439"/>
        <v>0</v>
      </c>
      <c r="O1791" s="905"/>
      <c r="Q1791" s="317" t="str">
        <f t="shared" si="440"/>
        <v/>
      </c>
      <c r="R1791" s="317" t="str">
        <f t="shared" si="441"/>
        <v/>
      </c>
      <c r="S1791" s="317" t="str">
        <f t="shared" si="442"/>
        <v/>
      </c>
      <c r="V1791" s="314">
        <f>SUM('RES. CENTRAL PARK:RUA_FINAL'!N1791)</f>
        <v>0</v>
      </c>
      <c r="W1791" s="315">
        <f t="shared" si="443"/>
        <v>0</v>
      </c>
    </row>
    <row r="1792" spans="1:23" ht="13.5" hidden="1" thickBot="1" x14ac:dyDescent="0.25">
      <c r="A1792" s="63" t="s">
        <v>147</v>
      </c>
      <c r="B1792" s="895" t="s">
        <v>147</v>
      </c>
      <c r="C1792" s="896"/>
      <c r="D1792" s="906" t="s">
        <v>190</v>
      </c>
      <c r="E1792" s="907">
        <f>DMT!$D$20</f>
        <v>308</v>
      </c>
      <c r="F1792" s="908">
        <v>0.18</v>
      </c>
      <c r="G1792" s="909">
        <f>IF(E1792&lt;=30,(0.78*E1792+7.82)*F1792,((0.78*30+7.82)+0.78*(E1792-30))*F1792)</f>
        <v>44.650799999999997</v>
      </c>
      <c r="H1792" s="901"/>
      <c r="I1792" s="901"/>
      <c r="J1792" s="902">
        <f t="shared" si="448"/>
        <v>0</v>
      </c>
      <c r="K1792" s="903"/>
      <c r="L1792" s="1039">
        <f>ROUND(SUM('RES. CENTRAL PARK:RUA_FINAL'!L1792),2)</f>
        <v>0</v>
      </c>
      <c r="M1792" s="1039">
        <f t="shared" si="438"/>
        <v>0</v>
      </c>
      <c r="N1792" s="893">
        <f t="shared" si="439"/>
        <v>0</v>
      </c>
      <c r="O1792" s="905"/>
      <c r="P1792" s="36" t="str">
        <f>IF(N1791&gt;0,"xx",IF(N1791&gt;0,"xy",""))</f>
        <v/>
      </c>
      <c r="Q1792" s="317" t="str">
        <f t="shared" si="440"/>
        <v/>
      </c>
      <c r="R1792" s="317" t="str">
        <f t="shared" si="441"/>
        <v/>
      </c>
      <c r="S1792" s="317" t="str">
        <f t="shared" si="442"/>
        <v/>
      </c>
      <c r="V1792" s="314">
        <f>SUM('RES. CENTRAL PARK:RUA_FINAL'!N1792)</f>
        <v>0</v>
      </c>
      <c r="W1792" s="315">
        <f t="shared" si="443"/>
        <v>0</v>
      </c>
    </row>
    <row r="1793" spans="1:23" ht="13.5" hidden="1" thickBot="1" x14ac:dyDescent="0.25">
      <c r="A1793" s="63" t="s">
        <v>147</v>
      </c>
      <c r="B1793" s="895" t="s">
        <v>147</v>
      </c>
      <c r="C1793" s="896"/>
      <c r="D1793" s="906" t="s">
        <v>229</v>
      </c>
      <c r="E1793" s="907">
        <f>DMT!$F$8</f>
        <v>150</v>
      </c>
      <c r="F1793" s="908">
        <v>1.06</v>
      </c>
      <c r="G1793" s="949">
        <f t="shared" ref="G1793:G1794" si="450">IF(E1793&lt;=30,(1.07*E1793+2.68)*F1793,((1.07*30+2.68)+1.07*(E1793-30))*F1793)</f>
        <v>172.97080000000003</v>
      </c>
      <c r="H1793" s="901"/>
      <c r="I1793" s="901"/>
      <c r="J1793" s="902">
        <f t="shared" si="448"/>
        <v>0</v>
      </c>
      <c r="K1793" s="903"/>
      <c r="L1793" s="1039">
        <f>ROUND(SUM('RES. CENTRAL PARK:RUA_FINAL'!L1793),2)</f>
        <v>0</v>
      </c>
      <c r="M1793" s="1039">
        <f t="shared" si="438"/>
        <v>0</v>
      </c>
      <c r="N1793" s="893">
        <f t="shared" si="439"/>
        <v>0</v>
      </c>
      <c r="O1793" s="905"/>
      <c r="P1793" s="36" t="str">
        <f>IF(N1791&gt;0,"xx",IF(N1791&gt;0,"xy",""))</f>
        <v/>
      </c>
      <c r="Q1793" s="317" t="str">
        <f t="shared" si="440"/>
        <v/>
      </c>
      <c r="R1793" s="317" t="str">
        <f t="shared" si="441"/>
        <v/>
      </c>
      <c r="S1793" s="317" t="str">
        <f t="shared" si="442"/>
        <v/>
      </c>
      <c r="V1793" s="314">
        <f>SUM('RES. CENTRAL PARK:RUA_FINAL'!N1793)</f>
        <v>0</v>
      </c>
      <c r="W1793" s="315">
        <f t="shared" si="443"/>
        <v>0</v>
      </c>
    </row>
    <row r="1794" spans="1:23" ht="13.5" hidden="1" thickBot="1" x14ac:dyDescent="0.25">
      <c r="A1794" s="63" t="s">
        <v>147</v>
      </c>
      <c r="B1794" s="895" t="s">
        <v>147</v>
      </c>
      <c r="C1794" s="896"/>
      <c r="D1794" s="906" t="s">
        <v>233</v>
      </c>
      <c r="E1794" s="907">
        <f>DMT!$F$10</f>
        <v>0.2</v>
      </c>
      <c r="F1794" s="908">
        <v>1.1100000000000001</v>
      </c>
      <c r="G1794" s="949">
        <f t="shared" si="450"/>
        <v>3.2123400000000006</v>
      </c>
      <c r="H1794" s="901"/>
      <c r="I1794" s="901"/>
      <c r="J1794" s="902">
        <f t="shared" si="448"/>
        <v>0</v>
      </c>
      <c r="K1794" s="903"/>
      <c r="L1794" s="1039">
        <f>ROUND(SUM('RES. CENTRAL PARK:RUA_FINAL'!L1794),2)</f>
        <v>0</v>
      </c>
      <c r="M1794" s="1039">
        <f t="shared" si="438"/>
        <v>0</v>
      </c>
      <c r="N1794" s="893">
        <f t="shared" si="439"/>
        <v>0</v>
      </c>
      <c r="O1794" s="905"/>
      <c r="P1794" s="36" t="str">
        <f>IF(N1791&gt;0,"xx",IF(N1791&gt;0,"xy",""))</f>
        <v/>
      </c>
      <c r="Q1794" s="317" t="str">
        <f t="shared" si="440"/>
        <v/>
      </c>
      <c r="R1794" s="317" t="str">
        <f t="shared" si="441"/>
        <v/>
      </c>
      <c r="S1794" s="317" t="str">
        <f t="shared" si="442"/>
        <v/>
      </c>
      <c r="V1794" s="314">
        <f>SUM('RES. CENTRAL PARK:RUA_FINAL'!N1794)</f>
        <v>0</v>
      </c>
      <c r="W1794" s="315">
        <f t="shared" si="443"/>
        <v>0</v>
      </c>
    </row>
    <row r="1795" spans="1:23" ht="13.5" hidden="1" thickBot="1" x14ac:dyDescent="0.25">
      <c r="A1795" s="63">
        <v>606000</v>
      </c>
      <c r="B1795" s="895" t="s">
        <v>1792</v>
      </c>
      <c r="C1795" s="896" t="s">
        <v>184</v>
      </c>
      <c r="D1795" s="906" t="s">
        <v>530</v>
      </c>
      <c r="E1795" s="907"/>
      <c r="F1795" s="908"/>
      <c r="G1795" s="912">
        <f>SUM(G1796:G1798)</f>
        <v>159.82866000000001</v>
      </c>
      <c r="H1795" s="901">
        <v>378.9</v>
      </c>
      <c r="I1795" s="901">
        <f>IF(ISBLANK(H1795),"",SUM(G1795:H1795))</f>
        <v>538.72865999999999</v>
      </c>
      <c r="J1795" s="902">
        <f t="shared" si="448"/>
        <v>646.85</v>
      </c>
      <c r="K1795" s="903" t="s">
        <v>10</v>
      </c>
      <c r="L1795" s="1039">
        <f>ROUND(SUM('RES. CENTRAL PARK:RUA_FINAL'!L1795),2)</f>
        <v>0</v>
      </c>
      <c r="M1795" s="1039">
        <f t="shared" si="438"/>
        <v>0</v>
      </c>
      <c r="N1795" s="893">
        <f t="shared" si="439"/>
        <v>0</v>
      </c>
      <c r="O1795" s="905"/>
      <c r="Q1795" s="317" t="str">
        <f t="shared" si="440"/>
        <v/>
      </c>
      <c r="R1795" s="317" t="str">
        <f t="shared" si="441"/>
        <v/>
      </c>
      <c r="S1795" s="317" t="str">
        <f t="shared" si="442"/>
        <v/>
      </c>
      <c r="V1795" s="314">
        <f>SUM('RES. CENTRAL PARK:RUA_FINAL'!N1795)</f>
        <v>0</v>
      </c>
      <c r="W1795" s="315">
        <f t="shared" si="443"/>
        <v>0</v>
      </c>
    </row>
    <row r="1796" spans="1:23" ht="13.5" hidden="1" thickBot="1" x14ac:dyDescent="0.25">
      <c r="A1796" s="63" t="s">
        <v>147</v>
      </c>
      <c r="B1796" s="895" t="s">
        <v>147</v>
      </c>
      <c r="C1796" s="896"/>
      <c r="D1796" s="906" t="s">
        <v>190</v>
      </c>
      <c r="E1796" s="907">
        <f>DMT!$D$20</f>
        <v>308</v>
      </c>
      <c r="F1796" s="908">
        <v>0.189</v>
      </c>
      <c r="G1796" s="909">
        <f>IF(E1796&lt;=30,(0.78*E1796+7.82)*F1796,((0.78*30+7.82)+0.78*(E1796-30))*F1796)</f>
        <v>46.883340000000004</v>
      </c>
      <c r="H1796" s="901"/>
      <c r="I1796" s="901"/>
      <c r="J1796" s="902">
        <f t="shared" si="448"/>
        <v>0</v>
      </c>
      <c r="K1796" s="903"/>
      <c r="L1796" s="1039">
        <f>ROUND(SUM('RES. CENTRAL PARK:RUA_FINAL'!L1796),2)</f>
        <v>0</v>
      </c>
      <c r="M1796" s="1039">
        <f t="shared" si="438"/>
        <v>0</v>
      </c>
      <c r="N1796" s="893">
        <f t="shared" si="439"/>
        <v>0</v>
      </c>
      <c r="O1796" s="905"/>
      <c r="P1796" s="36" t="str">
        <f>IF(N1795&gt;0,"xx",IF(N1795&gt;0,"xy",""))</f>
        <v/>
      </c>
      <c r="Q1796" s="317" t="str">
        <f t="shared" si="440"/>
        <v/>
      </c>
      <c r="R1796" s="317" t="str">
        <f t="shared" si="441"/>
        <v/>
      </c>
      <c r="S1796" s="317" t="str">
        <f t="shared" si="442"/>
        <v/>
      </c>
      <c r="V1796" s="314">
        <f>SUM('RES. CENTRAL PARK:RUA_FINAL'!N1796)</f>
        <v>0</v>
      </c>
      <c r="W1796" s="315">
        <f t="shared" si="443"/>
        <v>0</v>
      </c>
    </row>
    <row r="1797" spans="1:23" ht="13.5" hidden="1" thickBot="1" x14ac:dyDescent="0.25">
      <c r="A1797" s="63" t="s">
        <v>147</v>
      </c>
      <c r="B1797" s="895" t="s">
        <v>147</v>
      </c>
      <c r="C1797" s="896"/>
      <c r="D1797" s="906" t="s">
        <v>229</v>
      </c>
      <c r="E1797" s="907">
        <f>DMT!$F$8</f>
        <v>150</v>
      </c>
      <c r="F1797" s="908">
        <v>0.67200000000000004</v>
      </c>
      <c r="G1797" s="949">
        <f t="shared" ref="G1797:G1798" si="451">IF(E1797&lt;=30,(1.07*E1797+2.68)*F1797,((1.07*30+2.68)+1.07*(E1797-30))*F1797)</f>
        <v>109.65696000000001</v>
      </c>
      <c r="H1797" s="901"/>
      <c r="I1797" s="901"/>
      <c r="J1797" s="902">
        <f t="shared" si="448"/>
        <v>0</v>
      </c>
      <c r="K1797" s="903"/>
      <c r="L1797" s="1039">
        <f>ROUND(SUM('RES. CENTRAL PARK:RUA_FINAL'!L1797),2)</f>
        <v>0</v>
      </c>
      <c r="M1797" s="1039">
        <f t="shared" si="438"/>
        <v>0</v>
      </c>
      <c r="N1797" s="893">
        <f t="shared" si="439"/>
        <v>0</v>
      </c>
      <c r="O1797" s="905"/>
      <c r="P1797" s="36" t="str">
        <f>IF(N1795&gt;0,"xx",IF(N1795&gt;0,"xy",""))</f>
        <v/>
      </c>
      <c r="Q1797" s="317" t="str">
        <f t="shared" si="440"/>
        <v/>
      </c>
      <c r="R1797" s="317" t="str">
        <f t="shared" si="441"/>
        <v/>
      </c>
      <c r="S1797" s="317" t="str">
        <f t="shared" si="442"/>
        <v/>
      </c>
      <c r="V1797" s="314">
        <f>SUM('RES. CENTRAL PARK:RUA_FINAL'!N1797)</f>
        <v>0</v>
      </c>
      <c r="W1797" s="315">
        <f t="shared" si="443"/>
        <v>0</v>
      </c>
    </row>
    <row r="1798" spans="1:23" ht="13.5" hidden="1" thickBot="1" x14ac:dyDescent="0.25">
      <c r="A1798" s="63" t="s">
        <v>147</v>
      </c>
      <c r="B1798" s="895" t="s">
        <v>147</v>
      </c>
      <c r="C1798" s="896"/>
      <c r="D1798" s="906" t="s">
        <v>339</v>
      </c>
      <c r="E1798" s="907">
        <f>DMT!$F$14</f>
        <v>0</v>
      </c>
      <c r="F1798" s="908">
        <v>1.2270000000000001</v>
      </c>
      <c r="G1798" s="949">
        <f t="shared" si="451"/>
        <v>3.2883600000000004</v>
      </c>
      <c r="H1798" s="901"/>
      <c r="I1798" s="901"/>
      <c r="J1798" s="902">
        <f t="shared" si="448"/>
        <v>0</v>
      </c>
      <c r="K1798" s="903"/>
      <c r="L1798" s="1039">
        <f>ROUND(SUM('RES. CENTRAL PARK:RUA_FINAL'!L1798),2)</f>
        <v>0</v>
      </c>
      <c r="M1798" s="1039">
        <f t="shared" si="438"/>
        <v>0</v>
      </c>
      <c r="N1798" s="893">
        <f t="shared" si="439"/>
        <v>0</v>
      </c>
      <c r="O1798" s="905"/>
      <c r="P1798" s="36" t="str">
        <f>IF(N1795&gt;0,"xx",IF(N1795&gt;0,"xy",""))</f>
        <v/>
      </c>
      <c r="Q1798" s="317" t="str">
        <f t="shared" si="440"/>
        <v/>
      </c>
      <c r="R1798" s="317" t="str">
        <f t="shared" si="441"/>
        <v/>
      </c>
      <c r="S1798" s="317" t="str">
        <f t="shared" si="442"/>
        <v/>
      </c>
      <c r="V1798" s="314">
        <f>SUM('RES. CENTRAL PARK:RUA_FINAL'!N1798)</f>
        <v>0</v>
      </c>
      <c r="W1798" s="315">
        <f t="shared" si="443"/>
        <v>0</v>
      </c>
    </row>
    <row r="1799" spans="1:23" ht="13.5" hidden="1" thickBot="1" x14ac:dyDescent="0.25">
      <c r="A1799" s="63">
        <v>605100</v>
      </c>
      <c r="B1799" s="895">
        <v>605100</v>
      </c>
      <c r="C1799" s="896" t="s">
        <v>184</v>
      </c>
      <c r="D1799" s="906" t="s">
        <v>810</v>
      </c>
      <c r="E1799" s="907"/>
      <c r="F1799" s="908"/>
      <c r="G1799" s="912">
        <f>SUM(G1800:G1802)</f>
        <v>225.79514000000003</v>
      </c>
      <c r="H1799" s="901">
        <v>436.57</v>
      </c>
      <c r="I1799" s="901">
        <f>IF(ISBLANK(H1799),"",SUM(G1799:H1799))</f>
        <v>662.36514</v>
      </c>
      <c r="J1799" s="902">
        <f t="shared" si="448"/>
        <v>795.3</v>
      </c>
      <c r="K1799" s="903" t="s">
        <v>10</v>
      </c>
      <c r="L1799" s="1039">
        <f>ROUND(SUM('RES. CENTRAL PARK:RUA_FINAL'!L1799),2)</f>
        <v>0</v>
      </c>
      <c r="M1799" s="1039">
        <f t="shared" si="438"/>
        <v>0</v>
      </c>
      <c r="N1799" s="893">
        <f t="shared" si="439"/>
        <v>0</v>
      </c>
      <c r="O1799" s="905"/>
      <c r="Q1799" s="317" t="str">
        <f t="shared" si="440"/>
        <v/>
      </c>
      <c r="R1799" s="317" t="str">
        <f t="shared" si="441"/>
        <v/>
      </c>
      <c r="S1799" s="317" t="str">
        <f t="shared" si="442"/>
        <v/>
      </c>
      <c r="V1799" s="314">
        <f>SUM('RES. CENTRAL PARK:RUA_FINAL'!N1799)</f>
        <v>0</v>
      </c>
      <c r="W1799" s="315">
        <f t="shared" si="443"/>
        <v>0</v>
      </c>
    </row>
    <row r="1800" spans="1:23" ht="13.5" hidden="1" thickBot="1" x14ac:dyDescent="0.25">
      <c r="A1800" s="63" t="s">
        <v>147</v>
      </c>
      <c r="B1800" s="895" t="s">
        <v>147</v>
      </c>
      <c r="C1800" s="896"/>
      <c r="D1800" s="906" t="s">
        <v>190</v>
      </c>
      <c r="E1800" s="907">
        <f>DMT!$D$20</f>
        <v>308</v>
      </c>
      <c r="F1800" s="908">
        <v>0.2</v>
      </c>
      <c r="G1800" s="909">
        <f>IF(E1800&lt;=30,(0.78*E1800+7.82)*F1800,((0.78*30+7.82)+0.78*(E1800-30))*F1800)</f>
        <v>49.612000000000002</v>
      </c>
      <c r="H1800" s="901"/>
      <c r="I1800" s="901"/>
      <c r="J1800" s="902">
        <f t="shared" si="448"/>
        <v>0</v>
      </c>
      <c r="K1800" s="903"/>
      <c r="L1800" s="1039">
        <f>ROUND(SUM('RES. CENTRAL PARK:RUA_FINAL'!L1800),2)</f>
        <v>0</v>
      </c>
      <c r="M1800" s="1039">
        <f t="shared" si="438"/>
        <v>0</v>
      </c>
      <c r="N1800" s="893">
        <f t="shared" si="439"/>
        <v>0</v>
      </c>
      <c r="O1800" s="905"/>
      <c r="P1800" s="36" t="str">
        <f>IF(N1799&gt;0,"xx",IF(N1799&gt;0,"xy",""))</f>
        <v/>
      </c>
      <c r="Q1800" s="317" t="str">
        <f t="shared" si="440"/>
        <v/>
      </c>
      <c r="R1800" s="317" t="str">
        <f t="shared" si="441"/>
        <v/>
      </c>
      <c r="S1800" s="317" t="str">
        <f t="shared" si="442"/>
        <v/>
      </c>
      <c r="V1800" s="314">
        <f>SUM('RES. CENTRAL PARK:RUA_FINAL'!N1800)</f>
        <v>0</v>
      </c>
      <c r="W1800" s="315">
        <f t="shared" si="443"/>
        <v>0</v>
      </c>
    </row>
    <row r="1801" spans="1:23" ht="13.5" hidden="1" thickBot="1" x14ac:dyDescent="0.25">
      <c r="A1801" s="63" t="s">
        <v>147</v>
      </c>
      <c r="B1801" s="895" t="s">
        <v>147</v>
      </c>
      <c r="C1801" s="896"/>
      <c r="D1801" s="906" t="s">
        <v>229</v>
      </c>
      <c r="E1801" s="907">
        <f>DMT!$F$8</f>
        <v>150</v>
      </c>
      <c r="F1801" s="908">
        <v>1.06</v>
      </c>
      <c r="G1801" s="949">
        <f t="shared" ref="G1801:G1802" si="452">IF(E1801&lt;=30,(1.07*E1801+2.68)*F1801,((1.07*30+2.68)+1.07*(E1801-30))*F1801)</f>
        <v>172.97080000000003</v>
      </c>
      <c r="H1801" s="901"/>
      <c r="I1801" s="901"/>
      <c r="J1801" s="902">
        <f t="shared" si="448"/>
        <v>0</v>
      </c>
      <c r="K1801" s="903"/>
      <c r="L1801" s="1039">
        <f>ROUND(SUM('RES. CENTRAL PARK:RUA_FINAL'!L1801),2)</f>
        <v>0</v>
      </c>
      <c r="M1801" s="1039">
        <f t="shared" si="438"/>
        <v>0</v>
      </c>
      <c r="N1801" s="893">
        <f t="shared" si="439"/>
        <v>0</v>
      </c>
      <c r="O1801" s="905"/>
      <c r="P1801" s="36" t="str">
        <f>IF(N1799&gt;0,"xx",IF(N1799&gt;0,"xy",""))</f>
        <v/>
      </c>
      <c r="Q1801" s="317" t="str">
        <f t="shared" si="440"/>
        <v/>
      </c>
      <c r="R1801" s="317" t="str">
        <f t="shared" si="441"/>
        <v/>
      </c>
      <c r="S1801" s="317" t="str">
        <f t="shared" si="442"/>
        <v/>
      </c>
      <c r="V1801" s="314">
        <f>SUM('RES. CENTRAL PARK:RUA_FINAL'!N1801)</f>
        <v>0</v>
      </c>
      <c r="W1801" s="315">
        <f t="shared" si="443"/>
        <v>0</v>
      </c>
    </row>
    <row r="1802" spans="1:23" ht="13.5" hidden="1" thickBot="1" x14ac:dyDescent="0.25">
      <c r="A1802" s="63" t="s">
        <v>147</v>
      </c>
      <c r="B1802" s="895" t="s">
        <v>147</v>
      </c>
      <c r="C1802" s="896"/>
      <c r="D1802" s="906" t="s">
        <v>233</v>
      </c>
      <c r="E1802" s="907">
        <f>DMT!$F$10</f>
        <v>0.2</v>
      </c>
      <c r="F1802" s="908">
        <v>1.1100000000000001</v>
      </c>
      <c r="G1802" s="949">
        <f t="shared" si="452"/>
        <v>3.2123400000000006</v>
      </c>
      <c r="H1802" s="901"/>
      <c r="I1802" s="901"/>
      <c r="J1802" s="902">
        <f t="shared" si="448"/>
        <v>0</v>
      </c>
      <c r="K1802" s="903"/>
      <c r="L1802" s="1039">
        <f>ROUND(SUM('RES. CENTRAL PARK:RUA_FINAL'!L1802),2)</f>
        <v>0</v>
      </c>
      <c r="M1802" s="1039">
        <f t="shared" si="438"/>
        <v>0</v>
      </c>
      <c r="N1802" s="893">
        <f t="shared" si="439"/>
        <v>0</v>
      </c>
      <c r="O1802" s="905"/>
      <c r="P1802" s="36" t="str">
        <f>IF(N1799&gt;0,"xx",IF(N1799&gt;0,"xy",""))</f>
        <v/>
      </c>
      <c r="Q1802" s="317" t="str">
        <f t="shared" si="440"/>
        <v/>
      </c>
      <c r="R1802" s="317" t="str">
        <f t="shared" si="441"/>
        <v/>
      </c>
      <c r="S1802" s="317" t="str">
        <f t="shared" si="442"/>
        <v/>
      </c>
      <c r="V1802" s="314">
        <f>SUM('RES. CENTRAL PARK:RUA_FINAL'!N1802)</f>
        <v>0</v>
      </c>
      <c r="W1802" s="315">
        <f t="shared" si="443"/>
        <v>0</v>
      </c>
    </row>
    <row r="1803" spans="1:23" ht="13.5" hidden="1" thickBot="1" x14ac:dyDescent="0.25">
      <c r="A1803" s="63">
        <v>605200</v>
      </c>
      <c r="B1803" s="895" t="s">
        <v>1794</v>
      </c>
      <c r="C1803" s="896" t="s">
        <v>184</v>
      </c>
      <c r="D1803" s="906" t="s">
        <v>340</v>
      </c>
      <c r="E1803" s="907"/>
      <c r="F1803" s="908"/>
      <c r="G1803" s="912">
        <f>SUM(G1804:G1806)</f>
        <v>226.84134000000003</v>
      </c>
      <c r="H1803" s="901">
        <v>471.16</v>
      </c>
      <c r="I1803" s="901">
        <f>IF(ISBLANK(H1803),"",SUM(G1803:H1803))</f>
        <v>698.00134000000003</v>
      </c>
      <c r="J1803" s="902">
        <f t="shared" si="448"/>
        <v>838.09</v>
      </c>
      <c r="K1803" s="903" t="s">
        <v>10</v>
      </c>
      <c r="L1803" s="1039">
        <f>ROUND(SUM('RES. CENTRAL PARK:RUA_FINAL'!L1803),2)</f>
        <v>0</v>
      </c>
      <c r="M1803" s="1039">
        <f t="shared" si="438"/>
        <v>0</v>
      </c>
      <c r="N1803" s="893">
        <f t="shared" si="439"/>
        <v>0</v>
      </c>
      <c r="O1803" s="905"/>
      <c r="Q1803" s="317" t="str">
        <f t="shared" si="440"/>
        <v/>
      </c>
      <c r="R1803" s="317" t="str">
        <f t="shared" si="441"/>
        <v/>
      </c>
      <c r="S1803" s="317" t="str">
        <f t="shared" si="442"/>
        <v/>
      </c>
      <c r="V1803" s="314">
        <f>SUM('RES. CENTRAL PARK:RUA_FINAL'!N1803)</f>
        <v>0</v>
      </c>
      <c r="W1803" s="315">
        <f t="shared" si="443"/>
        <v>0</v>
      </c>
    </row>
    <row r="1804" spans="1:23" ht="13.5" hidden="1" thickBot="1" x14ac:dyDescent="0.25">
      <c r="A1804" s="63" t="s">
        <v>147</v>
      </c>
      <c r="B1804" s="895" t="s">
        <v>147</v>
      </c>
      <c r="C1804" s="896"/>
      <c r="D1804" s="906" t="s">
        <v>190</v>
      </c>
      <c r="E1804" s="907">
        <f>DMT!$D$20</f>
        <v>308</v>
      </c>
      <c r="F1804" s="908">
        <v>0.27</v>
      </c>
      <c r="G1804" s="909">
        <f>IF(E1804&lt;=30,(0.78*E1804+7.82)*F1804,((0.78*30+7.82)+0.78*(E1804-30))*F1804)</f>
        <v>66.976200000000006</v>
      </c>
      <c r="H1804" s="901"/>
      <c r="I1804" s="901"/>
      <c r="J1804" s="902">
        <f t="shared" si="448"/>
        <v>0</v>
      </c>
      <c r="K1804" s="903"/>
      <c r="L1804" s="1039">
        <f>ROUND(SUM('RES. CENTRAL PARK:RUA_FINAL'!L1804),2)</f>
        <v>0</v>
      </c>
      <c r="M1804" s="1039">
        <f t="shared" si="438"/>
        <v>0</v>
      </c>
      <c r="N1804" s="893">
        <f t="shared" si="439"/>
        <v>0</v>
      </c>
      <c r="O1804" s="905"/>
      <c r="P1804" s="36" t="str">
        <f>IF(N1803&gt;0,"xx",IF(N1803&gt;0,"xy",""))</f>
        <v/>
      </c>
      <c r="Q1804" s="317" t="str">
        <f t="shared" si="440"/>
        <v/>
      </c>
      <c r="R1804" s="317" t="str">
        <f t="shared" si="441"/>
        <v/>
      </c>
      <c r="S1804" s="317" t="str">
        <f t="shared" si="442"/>
        <v/>
      </c>
      <c r="V1804" s="314">
        <f>SUM('RES. CENTRAL PARK:RUA_FINAL'!N1804)</f>
        <v>0</v>
      </c>
      <c r="W1804" s="315">
        <f t="shared" si="443"/>
        <v>0</v>
      </c>
    </row>
    <row r="1805" spans="1:23" ht="13.5" hidden="1" thickBot="1" x14ac:dyDescent="0.25">
      <c r="A1805" s="63" t="s">
        <v>147</v>
      </c>
      <c r="B1805" s="895" t="s">
        <v>147</v>
      </c>
      <c r="C1805" s="896"/>
      <c r="D1805" s="906" t="s">
        <v>229</v>
      </c>
      <c r="E1805" s="907">
        <f>DMT!$F$8</f>
        <v>150</v>
      </c>
      <c r="F1805" s="908">
        <v>0.96</v>
      </c>
      <c r="G1805" s="949">
        <f t="shared" ref="G1805:G1806" si="453">IF(E1805&lt;=30,(1.07*E1805+2.68)*F1805,((1.07*30+2.68)+1.07*(E1805-30))*F1805)</f>
        <v>156.65280000000001</v>
      </c>
      <c r="H1805" s="901"/>
      <c r="I1805" s="901"/>
      <c r="J1805" s="902">
        <f t="shared" si="448"/>
        <v>0</v>
      </c>
      <c r="K1805" s="903"/>
      <c r="L1805" s="1039">
        <f>ROUND(SUM('RES. CENTRAL PARK:RUA_FINAL'!L1805),2)</f>
        <v>0</v>
      </c>
      <c r="M1805" s="1039">
        <f t="shared" si="438"/>
        <v>0</v>
      </c>
      <c r="N1805" s="893">
        <f t="shared" si="439"/>
        <v>0</v>
      </c>
      <c r="O1805" s="905"/>
      <c r="P1805" s="36" t="str">
        <f>IF(N1803&gt;0,"xx",IF(N1803&gt;0,"xy",""))</f>
        <v/>
      </c>
      <c r="Q1805" s="317" t="str">
        <f t="shared" si="440"/>
        <v/>
      </c>
      <c r="R1805" s="317" t="str">
        <f t="shared" si="441"/>
        <v/>
      </c>
      <c r="S1805" s="317" t="str">
        <f t="shared" si="442"/>
        <v/>
      </c>
      <c r="V1805" s="314">
        <f>SUM('RES. CENTRAL PARK:RUA_FINAL'!N1805)</f>
        <v>0</v>
      </c>
      <c r="W1805" s="315">
        <f t="shared" si="443"/>
        <v>0</v>
      </c>
    </row>
    <row r="1806" spans="1:23" ht="13.5" hidden="1" thickBot="1" x14ac:dyDescent="0.25">
      <c r="A1806" s="63" t="s">
        <v>147</v>
      </c>
      <c r="B1806" s="895" t="s">
        <v>147</v>
      </c>
      <c r="C1806" s="896"/>
      <c r="D1806" s="906" t="s">
        <v>233</v>
      </c>
      <c r="E1806" s="907">
        <f>DMT!$F$10</f>
        <v>0.2</v>
      </c>
      <c r="F1806" s="908">
        <v>1.1100000000000001</v>
      </c>
      <c r="G1806" s="949">
        <f t="shared" si="453"/>
        <v>3.2123400000000006</v>
      </c>
      <c r="H1806" s="901"/>
      <c r="I1806" s="901"/>
      <c r="J1806" s="902">
        <f t="shared" si="448"/>
        <v>0</v>
      </c>
      <c r="K1806" s="903"/>
      <c r="L1806" s="1039">
        <f>ROUND(SUM('RES. CENTRAL PARK:RUA_FINAL'!L1806),2)</f>
        <v>0</v>
      </c>
      <c r="M1806" s="1039">
        <f t="shared" si="438"/>
        <v>0</v>
      </c>
      <c r="N1806" s="893">
        <f t="shared" si="439"/>
        <v>0</v>
      </c>
      <c r="O1806" s="905"/>
      <c r="P1806" s="36" t="str">
        <f>IF(N1803&gt;0,"xx",IF(N1803&gt;0,"xy",""))</f>
        <v/>
      </c>
      <c r="Q1806" s="317" t="str">
        <f t="shared" si="440"/>
        <v/>
      </c>
      <c r="R1806" s="317" t="str">
        <f t="shared" si="441"/>
        <v/>
      </c>
      <c r="S1806" s="317" t="str">
        <f t="shared" si="442"/>
        <v/>
      </c>
      <c r="V1806" s="314">
        <f>SUM('RES. CENTRAL PARK:RUA_FINAL'!N1806)</f>
        <v>0</v>
      </c>
      <c r="W1806" s="315">
        <f t="shared" si="443"/>
        <v>0</v>
      </c>
    </row>
    <row r="1807" spans="1:23" ht="13.5" hidden="1" thickBot="1" x14ac:dyDescent="0.25">
      <c r="A1807" s="63">
        <v>605300</v>
      </c>
      <c r="B1807" s="895" t="s">
        <v>1796</v>
      </c>
      <c r="C1807" s="896" t="s">
        <v>184</v>
      </c>
      <c r="D1807" s="906" t="s">
        <v>341</v>
      </c>
      <c r="E1807" s="907"/>
      <c r="F1807" s="908"/>
      <c r="G1807" s="912">
        <f>SUM(G1808:G1810)</f>
        <v>235.36092000000002</v>
      </c>
      <c r="H1807" s="901">
        <v>503.25</v>
      </c>
      <c r="I1807" s="901">
        <f>IF(ISBLANK(H1807),"",SUM(G1807:H1807))</f>
        <v>738.61092000000008</v>
      </c>
      <c r="J1807" s="902">
        <f t="shared" si="448"/>
        <v>886.85</v>
      </c>
      <c r="K1807" s="903" t="s">
        <v>10</v>
      </c>
      <c r="L1807" s="1039">
        <f>ROUND(SUM('RES. CENTRAL PARK:RUA_FINAL'!L1807),2)</f>
        <v>0</v>
      </c>
      <c r="M1807" s="1039">
        <f t="shared" si="438"/>
        <v>0</v>
      </c>
      <c r="N1807" s="893">
        <f t="shared" si="439"/>
        <v>0</v>
      </c>
      <c r="O1807" s="905"/>
      <c r="Q1807" s="317" t="str">
        <f t="shared" si="440"/>
        <v/>
      </c>
      <c r="R1807" s="317" t="str">
        <f t="shared" si="441"/>
        <v/>
      </c>
      <c r="S1807" s="317" t="str">
        <f t="shared" si="442"/>
        <v/>
      </c>
      <c r="V1807" s="314">
        <f>SUM('RES. CENTRAL PARK:RUA_FINAL'!N1807)</f>
        <v>0</v>
      </c>
      <c r="W1807" s="315">
        <f t="shared" si="443"/>
        <v>0</v>
      </c>
    </row>
    <row r="1808" spans="1:23" ht="13.5" hidden="1" thickBot="1" x14ac:dyDescent="0.25">
      <c r="A1808" s="63" t="s">
        <v>147</v>
      </c>
      <c r="B1808" s="895" t="s">
        <v>147</v>
      </c>
      <c r="C1808" s="896"/>
      <c r="D1808" s="906" t="s">
        <v>190</v>
      </c>
      <c r="E1808" s="907">
        <f>DMT!$D$20</f>
        <v>308</v>
      </c>
      <c r="F1808" s="908">
        <v>0.33</v>
      </c>
      <c r="G1808" s="909">
        <f>IF(E1808&lt;=30,(0.78*E1808+7.82)*F1808,((0.78*30+7.82)+0.78*(E1808-30))*F1808)</f>
        <v>81.859800000000007</v>
      </c>
      <c r="H1808" s="901"/>
      <c r="I1808" s="901"/>
      <c r="J1808" s="902">
        <f t="shared" si="448"/>
        <v>0</v>
      </c>
      <c r="K1808" s="903"/>
      <c r="L1808" s="1039">
        <f>ROUND(SUM('RES. CENTRAL PARK:RUA_FINAL'!L1808),2)</f>
        <v>0</v>
      </c>
      <c r="M1808" s="1039">
        <f t="shared" si="438"/>
        <v>0</v>
      </c>
      <c r="N1808" s="893">
        <f t="shared" si="439"/>
        <v>0</v>
      </c>
      <c r="O1808" s="905"/>
      <c r="P1808" s="36" t="str">
        <f>IF(N1807&gt;0,"xx",IF(N1807&gt;0,"xy",""))</f>
        <v/>
      </c>
      <c r="Q1808" s="317" t="str">
        <f t="shared" si="440"/>
        <v/>
      </c>
      <c r="R1808" s="317" t="str">
        <f t="shared" si="441"/>
        <v/>
      </c>
      <c r="S1808" s="317" t="str">
        <f t="shared" si="442"/>
        <v/>
      </c>
      <c r="V1808" s="314">
        <f>SUM('RES. CENTRAL PARK:RUA_FINAL'!N1808)</f>
        <v>0</v>
      </c>
      <c r="W1808" s="315">
        <f t="shared" si="443"/>
        <v>0</v>
      </c>
    </row>
    <row r="1809" spans="1:23" ht="13.5" hidden="1" thickBot="1" x14ac:dyDescent="0.25">
      <c r="A1809" s="63" t="s">
        <v>147</v>
      </c>
      <c r="B1809" s="895" t="s">
        <v>147</v>
      </c>
      <c r="C1809" s="896"/>
      <c r="D1809" s="906" t="s">
        <v>229</v>
      </c>
      <c r="E1809" s="907">
        <f>DMT!$F$8</f>
        <v>150</v>
      </c>
      <c r="F1809" s="908">
        <v>0.92100000000000004</v>
      </c>
      <c r="G1809" s="949">
        <f t="shared" ref="G1809:G1810" si="454">IF(E1809&lt;=30,(1.07*E1809+2.68)*F1809,((1.07*30+2.68)+1.07*(E1809-30))*F1809)</f>
        <v>150.28878</v>
      </c>
      <c r="H1809" s="901"/>
      <c r="I1809" s="901"/>
      <c r="J1809" s="902">
        <f t="shared" si="448"/>
        <v>0</v>
      </c>
      <c r="K1809" s="903"/>
      <c r="L1809" s="1039">
        <f>ROUND(SUM('RES. CENTRAL PARK:RUA_FINAL'!L1809),2)</f>
        <v>0</v>
      </c>
      <c r="M1809" s="1039">
        <f t="shared" si="438"/>
        <v>0</v>
      </c>
      <c r="N1809" s="893">
        <f t="shared" si="439"/>
        <v>0</v>
      </c>
      <c r="O1809" s="905"/>
      <c r="P1809" s="36" t="str">
        <f>IF(N1807&gt;0,"xx",IF(N1807&gt;0,"xy",""))</f>
        <v/>
      </c>
      <c r="Q1809" s="317" t="str">
        <f t="shared" si="440"/>
        <v/>
      </c>
      <c r="R1809" s="317" t="str">
        <f t="shared" si="441"/>
        <v/>
      </c>
      <c r="S1809" s="317" t="str">
        <f t="shared" si="442"/>
        <v/>
      </c>
      <c r="V1809" s="314">
        <f>SUM('RES. CENTRAL PARK:RUA_FINAL'!N1809)</f>
        <v>0</v>
      </c>
      <c r="W1809" s="315">
        <f t="shared" si="443"/>
        <v>0</v>
      </c>
    </row>
    <row r="1810" spans="1:23" ht="13.5" hidden="1" thickBot="1" x14ac:dyDescent="0.25">
      <c r="A1810" s="63" t="s">
        <v>147</v>
      </c>
      <c r="B1810" s="895" t="s">
        <v>147</v>
      </c>
      <c r="C1810" s="896"/>
      <c r="D1810" s="906" t="s">
        <v>233</v>
      </c>
      <c r="E1810" s="907">
        <f>DMT!$F$10</f>
        <v>0.2</v>
      </c>
      <c r="F1810" s="908">
        <v>1.1100000000000001</v>
      </c>
      <c r="G1810" s="949">
        <f t="shared" si="454"/>
        <v>3.2123400000000006</v>
      </c>
      <c r="H1810" s="901"/>
      <c r="I1810" s="901"/>
      <c r="J1810" s="902">
        <f t="shared" si="448"/>
        <v>0</v>
      </c>
      <c r="K1810" s="903"/>
      <c r="L1810" s="1039">
        <f>ROUND(SUM('RES. CENTRAL PARK:RUA_FINAL'!L1810),2)</f>
        <v>0</v>
      </c>
      <c r="M1810" s="1039">
        <f t="shared" ref="M1810:M1873" si="455">IF(L1810=0,0,ROUND(J1810,2))</f>
        <v>0</v>
      </c>
      <c r="N1810" s="893">
        <f t="shared" ref="N1810:N1873" si="456">IF(ISBLANK(L1810),0,ROUND(L1810*M1810,2))</f>
        <v>0</v>
      </c>
      <c r="O1810" s="905"/>
      <c r="P1810" s="36" t="str">
        <f>IF(N1807&gt;0,"xx",IF(N1807&gt;0,"xy",""))</f>
        <v/>
      </c>
      <c r="Q1810" s="317" t="str">
        <f t="shared" ref="Q1810:Q1873" si="457">IF(P1810="X","x",IF(P1810="xx","x",IF(P1810="xy","x",IF(P1810="y","x",IF(OR(N1810&gt;0,N1810&gt;0),"x","")))))</f>
        <v/>
      </c>
      <c r="R1810" s="317" t="str">
        <f t="shared" ref="R1810:R1873" si="458">IF(P1810="X","x",IF(P1810="y","x",IF(P1810="xx","x",IF(N1810&gt;0,"x",""))))</f>
        <v/>
      </c>
      <c r="S1810" s="317" t="str">
        <f t="shared" ref="S1810:S1873" si="459">IF(P1810="X","x",IF(N1810&gt;0,"x",""))</f>
        <v/>
      </c>
      <c r="V1810" s="314">
        <f>SUM('RES. CENTRAL PARK:RUA_FINAL'!N1810)</f>
        <v>0</v>
      </c>
      <c r="W1810" s="315">
        <f t="shared" si="443"/>
        <v>0</v>
      </c>
    </row>
    <row r="1811" spans="1:23" ht="13.5" hidden="1" thickBot="1" x14ac:dyDescent="0.25">
      <c r="A1811" s="63">
        <v>605400</v>
      </c>
      <c r="B1811" s="895" t="s">
        <v>1798</v>
      </c>
      <c r="C1811" s="896" t="s">
        <v>184</v>
      </c>
      <c r="D1811" s="906" t="s">
        <v>342</v>
      </c>
      <c r="E1811" s="907"/>
      <c r="F1811" s="908"/>
      <c r="G1811" s="912">
        <f>SUM(G1812:G1814)</f>
        <v>254.98858000000001</v>
      </c>
      <c r="H1811" s="901">
        <v>510.89</v>
      </c>
      <c r="I1811" s="901">
        <f>IF(ISBLANK(H1811),"",SUM(G1811:H1811))</f>
        <v>765.87858000000006</v>
      </c>
      <c r="J1811" s="902">
        <f t="shared" si="448"/>
        <v>919.59</v>
      </c>
      <c r="K1811" s="903" t="s">
        <v>10</v>
      </c>
      <c r="L1811" s="1039">
        <f>ROUND(SUM('RES. CENTRAL PARK:RUA_FINAL'!L1811),2)</f>
        <v>0</v>
      </c>
      <c r="M1811" s="1039">
        <f t="shared" si="455"/>
        <v>0</v>
      </c>
      <c r="N1811" s="893">
        <f t="shared" si="456"/>
        <v>0</v>
      </c>
      <c r="O1811" s="905"/>
      <c r="Q1811" s="317" t="str">
        <f t="shared" si="457"/>
        <v/>
      </c>
      <c r="R1811" s="317" t="str">
        <f t="shared" si="458"/>
        <v/>
      </c>
      <c r="S1811" s="317" t="str">
        <f t="shared" si="459"/>
        <v/>
      </c>
      <c r="V1811" s="314">
        <f>SUM('RES. CENTRAL PARK:RUA_FINAL'!N1811)</f>
        <v>0</v>
      </c>
      <c r="W1811" s="315">
        <f t="shared" si="443"/>
        <v>0</v>
      </c>
    </row>
    <row r="1812" spans="1:23" ht="13.5" hidden="1" thickBot="1" x14ac:dyDescent="0.25">
      <c r="A1812" s="63" t="s">
        <v>147</v>
      </c>
      <c r="B1812" s="895" t="s">
        <v>147</v>
      </c>
      <c r="C1812" s="896"/>
      <c r="D1812" s="906" t="s">
        <v>190</v>
      </c>
      <c r="E1812" s="907">
        <f>DMT!$D$20</f>
        <v>308</v>
      </c>
      <c r="F1812" s="908">
        <v>0.34399999999999997</v>
      </c>
      <c r="G1812" s="909">
        <f>IF(E1812&lt;=30,(0.78*E1812+7.82)*F1812,((0.78*30+7.82)+0.78*(E1812-30))*F1812)</f>
        <v>85.332639999999998</v>
      </c>
      <c r="H1812" s="901"/>
      <c r="I1812" s="901"/>
      <c r="J1812" s="902">
        <f t="shared" si="448"/>
        <v>0</v>
      </c>
      <c r="K1812" s="903"/>
      <c r="L1812" s="1039">
        <f>ROUND(SUM('RES. CENTRAL PARK:RUA_FINAL'!L1812),2)</f>
        <v>0</v>
      </c>
      <c r="M1812" s="1039">
        <f t="shared" si="455"/>
        <v>0</v>
      </c>
      <c r="N1812" s="893">
        <f t="shared" si="456"/>
        <v>0</v>
      </c>
      <c r="O1812" s="905"/>
      <c r="P1812" s="36" t="str">
        <f>IF(N1811&gt;0,"xx",IF(N1811&gt;0,"xy",""))</f>
        <v/>
      </c>
      <c r="Q1812" s="317" t="str">
        <f t="shared" si="457"/>
        <v/>
      </c>
      <c r="R1812" s="317" t="str">
        <f t="shared" si="458"/>
        <v/>
      </c>
      <c r="S1812" s="317" t="str">
        <f t="shared" si="459"/>
        <v/>
      </c>
      <c r="V1812" s="314">
        <f>SUM('RES. CENTRAL PARK:RUA_FINAL'!N1812)</f>
        <v>0</v>
      </c>
      <c r="W1812" s="315">
        <f t="shared" si="443"/>
        <v>0</v>
      </c>
    </row>
    <row r="1813" spans="1:23" ht="13.5" hidden="1" thickBot="1" x14ac:dyDescent="0.25">
      <c r="A1813" s="63" t="s">
        <v>147</v>
      </c>
      <c r="B1813" s="895" t="s">
        <v>147</v>
      </c>
      <c r="C1813" s="896"/>
      <c r="D1813" s="906" t="s">
        <v>229</v>
      </c>
      <c r="E1813" s="907">
        <f>DMT!$F$8</f>
        <v>150</v>
      </c>
      <c r="F1813" s="908">
        <v>1.02</v>
      </c>
      <c r="G1813" s="949">
        <f t="shared" ref="G1813:G1814" si="460">IF(E1813&lt;=30,(1.07*E1813+2.68)*F1813,((1.07*30+2.68)+1.07*(E1813-30))*F1813)</f>
        <v>166.4436</v>
      </c>
      <c r="H1813" s="901"/>
      <c r="I1813" s="901"/>
      <c r="J1813" s="902">
        <f t="shared" si="448"/>
        <v>0</v>
      </c>
      <c r="K1813" s="903"/>
      <c r="L1813" s="1039">
        <f>ROUND(SUM('RES. CENTRAL PARK:RUA_FINAL'!L1813),2)</f>
        <v>0</v>
      </c>
      <c r="M1813" s="1039">
        <f t="shared" si="455"/>
        <v>0</v>
      </c>
      <c r="N1813" s="893">
        <f t="shared" si="456"/>
        <v>0</v>
      </c>
      <c r="O1813" s="905"/>
      <c r="P1813" s="36" t="str">
        <f>IF(N1811&gt;0,"xx",IF(N1811&gt;0,"xy",""))</f>
        <v/>
      </c>
      <c r="Q1813" s="317" t="str">
        <f t="shared" si="457"/>
        <v/>
      </c>
      <c r="R1813" s="317" t="str">
        <f t="shared" si="458"/>
        <v/>
      </c>
      <c r="S1813" s="317" t="str">
        <f t="shared" si="459"/>
        <v/>
      </c>
      <c r="V1813" s="314">
        <f>SUM('RES. CENTRAL PARK:RUA_FINAL'!N1813)</f>
        <v>0</v>
      </c>
      <c r="W1813" s="315">
        <f t="shared" ref="W1813:W1876" si="461">N1813-V1813</f>
        <v>0</v>
      </c>
    </row>
    <row r="1814" spans="1:23" ht="13.5" hidden="1" thickBot="1" x14ac:dyDescent="0.25">
      <c r="A1814" s="63" t="s">
        <v>147</v>
      </c>
      <c r="B1814" s="895" t="s">
        <v>147</v>
      </c>
      <c r="C1814" s="896"/>
      <c r="D1814" s="906" t="s">
        <v>233</v>
      </c>
      <c r="E1814" s="907">
        <f>DMT!$F$10</f>
        <v>0.2</v>
      </c>
      <c r="F1814" s="908">
        <v>1.1100000000000001</v>
      </c>
      <c r="G1814" s="949">
        <f t="shared" si="460"/>
        <v>3.2123400000000006</v>
      </c>
      <c r="H1814" s="901"/>
      <c r="I1814" s="901"/>
      <c r="J1814" s="902">
        <f t="shared" si="448"/>
        <v>0</v>
      </c>
      <c r="K1814" s="903"/>
      <c r="L1814" s="1039">
        <f>ROUND(SUM('RES. CENTRAL PARK:RUA_FINAL'!L1814),2)</f>
        <v>0</v>
      </c>
      <c r="M1814" s="1039">
        <f t="shared" si="455"/>
        <v>0</v>
      </c>
      <c r="N1814" s="893">
        <f t="shared" si="456"/>
        <v>0</v>
      </c>
      <c r="O1814" s="905"/>
      <c r="P1814" s="36" t="str">
        <f>IF(N1811&gt;0,"xx",IF(N1811&gt;0,"xy",""))</f>
        <v/>
      </c>
      <c r="Q1814" s="317" t="str">
        <f t="shared" si="457"/>
        <v/>
      </c>
      <c r="R1814" s="317" t="str">
        <f t="shared" si="458"/>
        <v/>
      </c>
      <c r="S1814" s="317" t="str">
        <f t="shared" si="459"/>
        <v/>
      </c>
      <c r="V1814" s="314">
        <f>SUM('RES. CENTRAL PARK:RUA_FINAL'!N1814)</f>
        <v>0</v>
      </c>
      <c r="W1814" s="315">
        <f t="shared" si="461"/>
        <v>0</v>
      </c>
    </row>
    <row r="1815" spans="1:23" ht="13.5" hidden="1" thickBot="1" x14ac:dyDescent="0.25">
      <c r="A1815" s="63">
        <v>605500</v>
      </c>
      <c r="B1815" s="895">
        <v>605500</v>
      </c>
      <c r="C1815" s="896" t="s">
        <v>184</v>
      </c>
      <c r="D1815" s="906" t="s">
        <v>811</v>
      </c>
      <c r="E1815" s="907"/>
      <c r="F1815" s="908"/>
      <c r="G1815" s="912">
        <f>SUM(G1816:G1818)</f>
        <v>241.41964000000002</v>
      </c>
      <c r="H1815" s="901">
        <v>532.64</v>
      </c>
      <c r="I1815" s="901">
        <f>IF(ISBLANK(H1815),"",SUM(G1815:H1815))</f>
        <v>774.05963999999994</v>
      </c>
      <c r="J1815" s="902">
        <f t="shared" si="448"/>
        <v>929.41</v>
      </c>
      <c r="K1815" s="903" t="s">
        <v>10</v>
      </c>
      <c r="L1815" s="1039">
        <f>ROUND(SUM('RES. CENTRAL PARK:RUA_FINAL'!L1815),2)</f>
        <v>0</v>
      </c>
      <c r="M1815" s="1039">
        <f t="shared" si="455"/>
        <v>0</v>
      </c>
      <c r="N1815" s="893">
        <f t="shared" si="456"/>
        <v>0</v>
      </c>
      <c r="O1815" s="905"/>
      <c r="Q1815" s="317" t="str">
        <f t="shared" si="457"/>
        <v/>
      </c>
      <c r="R1815" s="317" t="str">
        <f t="shared" si="458"/>
        <v/>
      </c>
      <c r="S1815" s="317" t="str">
        <f t="shared" si="459"/>
        <v/>
      </c>
      <c r="V1815" s="314">
        <f>SUM('RES. CENTRAL PARK:RUA_FINAL'!N1815)</f>
        <v>0</v>
      </c>
      <c r="W1815" s="315">
        <f t="shared" si="461"/>
        <v>0</v>
      </c>
    </row>
    <row r="1816" spans="1:23" ht="13.5" hidden="1" thickBot="1" x14ac:dyDescent="0.25">
      <c r="A1816" s="63" t="s">
        <v>147</v>
      </c>
      <c r="B1816" s="895" t="s">
        <v>147</v>
      </c>
      <c r="C1816" s="896"/>
      <c r="D1816" s="906" t="s">
        <v>190</v>
      </c>
      <c r="E1816" s="907">
        <f>DMT!$D$20</f>
        <v>308</v>
      </c>
      <c r="F1816" s="908">
        <v>0.38600000000000001</v>
      </c>
      <c r="G1816" s="909">
        <f>IF(E1816&lt;=30,(0.78*E1816+7.82)*F1816,((0.78*30+7.82)+0.78*(E1816-30))*F1816)</f>
        <v>95.751159999999999</v>
      </c>
      <c r="H1816" s="901"/>
      <c r="I1816" s="901"/>
      <c r="J1816" s="902">
        <f t="shared" si="448"/>
        <v>0</v>
      </c>
      <c r="K1816" s="903"/>
      <c r="L1816" s="1039">
        <f>ROUND(SUM('RES. CENTRAL PARK:RUA_FINAL'!L1816),2)</f>
        <v>0</v>
      </c>
      <c r="M1816" s="1039">
        <f t="shared" si="455"/>
        <v>0</v>
      </c>
      <c r="N1816" s="893">
        <f t="shared" si="456"/>
        <v>0</v>
      </c>
      <c r="O1816" s="905"/>
      <c r="P1816" s="36" t="str">
        <f>IF(N1815&gt;0,"xx",IF(N1815&gt;0,"xy",""))</f>
        <v/>
      </c>
      <c r="Q1816" s="317" t="str">
        <f t="shared" si="457"/>
        <v/>
      </c>
      <c r="R1816" s="317" t="str">
        <f t="shared" si="458"/>
        <v/>
      </c>
      <c r="S1816" s="317" t="str">
        <f t="shared" si="459"/>
        <v/>
      </c>
      <c r="V1816" s="314">
        <f>SUM('RES. CENTRAL PARK:RUA_FINAL'!N1816)</f>
        <v>0</v>
      </c>
      <c r="W1816" s="315">
        <f t="shared" si="461"/>
        <v>0</v>
      </c>
    </row>
    <row r="1817" spans="1:23" ht="13.5" hidden="1" thickBot="1" x14ac:dyDescent="0.25">
      <c r="A1817" s="63" t="s">
        <v>147</v>
      </c>
      <c r="B1817" s="895" t="s">
        <v>147</v>
      </c>
      <c r="C1817" s="896"/>
      <c r="D1817" s="906" t="s">
        <v>229</v>
      </c>
      <c r="E1817" s="907">
        <f>DMT!$F$8</f>
        <v>150</v>
      </c>
      <c r="F1817" s="908">
        <v>0.873</v>
      </c>
      <c r="G1817" s="949">
        <f t="shared" ref="G1817:G1818" si="462">IF(E1817&lt;=30,(1.07*E1817+2.68)*F1817,((1.07*30+2.68)+1.07*(E1817-30))*F1817)</f>
        <v>142.45614</v>
      </c>
      <c r="H1817" s="901"/>
      <c r="I1817" s="901"/>
      <c r="J1817" s="902">
        <f t="shared" si="448"/>
        <v>0</v>
      </c>
      <c r="K1817" s="903"/>
      <c r="L1817" s="1039">
        <f>ROUND(SUM('RES. CENTRAL PARK:RUA_FINAL'!L1817),2)</f>
        <v>0</v>
      </c>
      <c r="M1817" s="1039">
        <f t="shared" si="455"/>
        <v>0</v>
      </c>
      <c r="N1817" s="893">
        <f t="shared" si="456"/>
        <v>0</v>
      </c>
      <c r="O1817" s="905"/>
      <c r="P1817" s="36" t="str">
        <f>IF(N1815&gt;0,"xx",IF(N1815&gt;0,"xy",""))</f>
        <v/>
      </c>
      <c r="Q1817" s="317" t="str">
        <f t="shared" si="457"/>
        <v/>
      </c>
      <c r="R1817" s="317" t="str">
        <f t="shared" si="458"/>
        <v/>
      </c>
      <c r="S1817" s="317" t="str">
        <f t="shared" si="459"/>
        <v/>
      </c>
      <c r="V1817" s="314">
        <f>SUM('RES. CENTRAL PARK:RUA_FINAL'!N1817)</f>
        <v>0</v>
      </c>
      <c r="W1817" s="315">
        <f t="shared" si="461"/>
        <v>0</v>
      </c>
    </row>
    <row r="1818" spans="1:23" ht="13.5" hidden="1" thickBot="1" x14ac:dyDescent="0.25">
      <c r="A1818" s="63" t="s">
        <v>147</v>
      </c>
      <c r="B1818" s="895" t="s">
        <v>147</v>
      </c>
      <c r="C1818" s="896"/>
      <c r="D1818" s="906" t="s">
        <v>233</v>
      </c>
      <c r="E1818" s="907">
        <f>DMT!$F$10</f>
        <v>0.2</v>
      </c>
      <c r="F1818" s="908">
        <v>1.1100000000000001</v>
      </c>
      <c r="G1818" s="949">
        <f t="shared" si="462"/>
        <v>3.2123400000000006</v>
      </c>
      <c r="H1818" s="901"/>
      <c r="I1818" s="901"/>
      <c r="J1818" s="902">
        <f t="shared" si="448"/>
        <v>0</v>
      </c>
      <c r="K1818" s="903"/>
      <c r="L1818" s="1039">
        <f>ROUND(SUM('RES. CENTRAL PARK:RUA_FINAL'!L1818),2)</f>
        <v>0</v>
      </c>
      <c r="M1818" s="1039">
        <f t="shared" si="455"/>
        <v>0</v>
      </c>
      <c r="N1818" s="893">
        <f t="shared" si="456"/>
        <v>0</v>
      </c>
      <c r="O1818" s="905"/>
      <c r="P1818" s="36" t="str">
        <f>IF(N1815&gt;0,"xx",IF(N1815&gt;0,"xy",""))</f>
        <v/>
      </c>
      <c r="Q1818" s="317" t="str">
        <f t="shared" si="457"/>
        <v/>
      </c>
      <c r="R1818" s="317" t="str">
        <f t="shared" si="458"/>
        <v/>
      </c>
      <c r="S1818" s="317" t="str">
        <f t="shared" si="459"/>
        <v/>
      </c>
      <c r="V1818" s="314">
        <f>SUM('RES. CENTRAL PARK:RUA_FINAL'!N1818)</f>
        <v>0</v>
      </c>
      <c r="W1818" s="315">
        <f t="shared" si="461"/>
        <v>0</v>
      </c>
    </row>
    <row r="1819" spans="1:23" ht="13.5" hidden="1" thickBot="1" x14ac:dyDescent="0.25">
      <c r="A1819" s="63">
        <v>605600</v>
      </c>
      <c r="B1819" s="895">
        <v>605600</v>
      </c>
      <c r="C1819" s="896" t="s">
        <v>184</v>
      </c>
      <c r="D1819" s="906" t="s">
        <v>812</v>
      </c>
      <c r="E1819" s="907"/>
      <c r="F1819" s="908"/>
      <c r="G1819" s="912">
        <f>SUM(G1820:G1822)</f>
        <v>241.98814000000002</v>
      </c>
      <c r="H1819" s="901">
        <v>544.65</v>
      </c>
      <c r="I1819" s="901">
        <f>IF(ISBLANK(H1819),"",SUM(G1819:H1819))</f>
        <v>786.63814000000002</v>
      </c>
      <c r="J1819" s="902">
        <f t="shared" si="448"/>
        <v>944.52</v>
      </c>
      <c r="K1819" s="903" t="s">
        <v>10</v>
      </c>
      <c r="L1819" s="1039">
        <f>ROUND(SUM('RES. CENTRAL PARK:RUA_FINAL'!L1819),2)</f>
        <v>0</v>
      </c>
      <c r="M1819" s="1039">
        <f t="shared" si="455"/>
        <v>0</v>
      </c>
      <c r="N1819" s="893">
        <f t="shared" si="456"/>
        <v>0</v>
      </c>
      <c r="O1819" s="905"/>
      <c r="Q1819" s="317" t="str">
        <f t="shared" si="457"/>
        <v/>
      </c>
      <c r="R1819" s="317" t="str">
        <f t="shared" si="458"/>
        <v/>
      </c>
      <c r="S1819" s="317" t="str">
        <f t="shared" si="459"/>
        <v/>
      </c>
      <c r="V1819" s="314">
        <f>SUM('RES. CENTRAL PARK:RUA_FINAL'!N1819)</f>
        <v>0</v>
      </c>
      <c r="W1819" s="315">
        <f t="shared" si="461"/>
        <v>0</v>
      </c>
    </row>
    <row r="1820" spans="1:23" ht="13.5" hidden="1" thickBot="1" x14ac:dyDescent="0.25">
      <c r="A1820" s="63" t="s">
        <v>147</v>
      </c>
      <c r="B1820" s="895" t="s">
        <v>147</v>
      </c>
      <c r="C1820" s="896"/>
      <c r="D1820" s="906" t="s">
        <v>190</v>
      </c>
      <c r="E1820" s="907">
        <f>DMT!$D$20</f>
        <v>308</v>
      </c>
      <c r="F1820" s="908">
        <v>0.41</v>
      </c>
      <c r="G1820" s="909">
        <f>IF(E1820&lt;=30,(0.78*E1820+7.82)*F1820,((0.78*30+7.82)+0.78*(E1820-30))*F1820)</f>
        <v>101.7046</v>
      </c>
      <c r="H1820" s="901"/>
      <c r="I1820" s="901"/>
      <c r="J1820" s="902">
        <f t="shared" si="448"/>
        <v>0</v>
      </c>
      <c r="K1820" s="903"/>
      <c r="L1820" s="1039">
        <f>ROUND(SUM('RES. CENTRAL PARK:RUA_FINAL'!L1820),2)</f>
        <v>0</v>
      </c>
      <c r="M1820" s="1039">
        <f t="shared" si="455"/>
        <v>0</v>
      </c>
      <c r="N1820" s="893">
        <f t="shared" si="456"/>
        <v>0</v>
      </c>
      <c r="O1820" s="905"/>
      <c r="P1820" s="36" t="str">
        <f>IF(N1819&gt;0,"xx",IF(N1819&gt;0,"xy",""))</f>
        <v/>
      </c>
      <c r="Q1820" s="317" t="str">
        <f t="shared" si="457"/>
        <v/>
      </c>
      <c r="R1820" s="317" t="str">
        <f t="shared" si="458"/>
        <v/>
      </c>
      <c r="S1820" s="317" t="str">
        <f t="shared" si="459"/>
        <v/>
      </c>
      <c r="V1820" s="314">
        <f>SUM('RES. CENTRAL PARK:RUA_FINAL'!N1820)</f>
        <v>0</v>
      </c>
      <c r="W1820" s="315">
        <f t="shared" si="461"/>
        <v>0</v>
      </c>
    </row>
    <row r="1821" spans="1:23" ht="13.5" hidden="1" thickBot="1" x14ac:dyDescent="0.25">
      <c r="A1821" s="63" t="s">
        <v>147</v>
      </c>
      <c r="B1821" s="895" t="s">
        <v>147</v>
      </c>
      <c r="C1821" s="896"/>
      <c r="D1821" s="906" t="s">
        <v>229</v>
      </c>
      <c r="E1821" s="907">
        <f>DMT!$F$8</f>
        <v>150</v>
      </c>
      <c r="F1821" s="908">
        <v>0.84</v>
      </c>
      <c r="G1821" s="949">
        <f t="shared" ref="G1821:G1822" si="463">IF(E1821&lt;=30,(1.07*E1821+2.68)*F1821,((1.07*30+2.68)+1.07*(E1821-30))*F1821)</f>
        <v>137.0712</v>
      </c>
      <c r="H1821" s="901"/>
      <c r="I1821" s="901"/>
      <c r="J1821" s="902">
        <f t="shared" si="448"/>
        <v>0</v>
      </c>
      <c r="K1821" s="903"/>
      <c r="L1821" s="1039">
        <f>ROUND(SUM('RES. CENTRAL PARK:RUA_FINAL'!L1821),2)</f>
        <v>0</v>
      </c>
      <c r="M1821" s="1039">
        <f t="shared" si="455"/>
        <v>0</v>
      </c>
      <c r="N1821" s="893">
        <f t="shared" si="456"/>
        <v>0</v>
      </c>
      <c r="O1821" s="905"/>
      <c r="P1821" s="36" t="str">
        <f>IF(N1819&gt;0,"xx",IF(N1819&gt;0,"xy",""))</f>
        <v/>
      </c>
      <c r="Q1821" s="317" t="str">
        <f t="shared" si="457"/>
        <v/>
      </c>
      <c r="R1821" s="317" t="str">
        <f t="shared" si="458"/>
        <v/>
      </c>
      <c r="S1821" s="317" t="str">
        <f t="shared" si="459"/>
        <v/>
      </c>
      <c r="V1821" s="314">
        <f>SUM('RES. CENTRAL PARK:RUA_FINAL'!N1821)</f>
        <v>0</v>
      </c>
      <c r="W1821" s="315">
        <f t="shared" si="461"/>
        <v>0</v>
      </c>
    </row>
    <row r="1822" spans="1:23" ht="13.5" hidden="1" thickBot="1" x14ac:dyDescent="0.25">
      <c r="A1822" s="63" t="s">
        <v>147</v>
      </c>
      <c r="B1822" s="895" t="s">
        <v>147</v>
      </c>
      <c r="C1822" s="896"/>
      <c r="D1822" s="906" t="s">
        <v>233</v>
      </c>
      <c r="E1822" s="907">
        <f>DMT!$F$10</f>
        <v>0.2</v>
      </c>
      <c r="F1822" s="908">
        <v>1.1100000000000001</v>
      </c>
      <c r="G1822" s="949">
        <f t="shared" si="463"/>
        <v>3.2123400000000006</v>
      </c>
      <c r="H1822" s="901"/>
      <c r="I1822" s="901"/>
      <c r="J1822" s="902">
        <f t="shared" si="448"/>
        <v>0</v>
      </c>
      <c r="K1822" s="903"/>
      <c r="L1822" s="1039">
        <f>ROUND(SUM('RES. CENTRAL PARK:RUA_FINAL'!L1822),2)</f>
        <v>0</v>
      </c>
      <c r="M1822" s="1039">
        <f t="shared" si="455"/>
        <v>0</v>
      </c>
      <c r="N1822" s="893">
        <f t="shared" si="456"/>
        <v>0</v>
      </c>
      <c r="O1822" s="905"/>
      <c r="P1822" s="36" t="str">
        <f>IF(N1819&gt;0,"xx",IF(N1819&gt;0,"xy",""))</f>
        <v/>
      </c>
      <c r="Q1822" s="317" t="str">
        <f t="shared" si="457"/>
        <v/>
      </c>
      <c r="R1822" s="317" t="str">
        <f t="shared" si="458"/>
        <v/>
      </c>
      <c r="S1822" s="317" t="str">
        <f t="shared" si="459"/>
        <v/>
      </c>
      <c r="V1822" s="314">
        <f>SUM('RES. CENTRAL PARK:RUA_FINAL'!N1822)</f>
        <v>0</v>
      </c>
      <c r="W1822" s="315">
        <f t="shared" si="461"/>
        <v>0</v>
      </c>
    </row>
    <row r="1823" spans="1:23" ht="13.5" hidden="1" thickBot="1" x14ac:dyDescent="0.25">
      <c r="A1823" s="63">
        <v>605700</v>
      </c>
      <c r="B1823" s="895">
        <v>605700</v>
      </c>
      <c r="C1823" s="896" t="s">
        <v>184</v>
      </c>
      <c r="D1823" s="906" t="s">
        <v>813</v>
      </c>
      <c r="E1823" s="907"/>
      <c r="F1823" s="908"/>
      <c r="G1823" s="912">
        <f>SUM(G1824:G1826)</f>
        <v>244.50164000000004</v>
      </c>
      <c r="H1823" s="901">
        <v>555.25</v>
      </c>
      <c r="I1823" s="901">
        <f>IF(ISBLANK(H1823),"",SUM(G1823:H1823))</f>
        <v>799.75164000000007</v>
      </c>
      <c r="J1823" s="902">
        <f t="shared" si="448"/>
        <v>960.26</v>
      </c>
      <c r="K1823" s="903" t="s">
        <v>10</v>
      </c>
      <c r="L1823" s="1039">
        <f>ROUND(SUM('RES. CENTRAL PARK:RUA_FINAL'!L1823),2)</f>
        <v>0</v>
      </c>
      <c r="M1823" s="1039">
        <f t="shared" si="455"/>
        <v>0</v>
      </c>
      <c r="N1823" s="893">
        <f t="shared" si="456"/>
        <v>0</v>
      </c>
      <c r="O1823" s="905"/>
      <c r="Q1823" s="317" t="str">
        <f t="shared" si="457"/>
        <v/>
      </c>
      <c r="R1823" s="317" t="str">
        <f t="shared" si="458"/>
        <v/>
      </c>
      <c r="S1823" s="317" t="str">
        <f t="shared" si="459"/>
        <v/>
      </c>
      <c r="V1823" s="314">
        <f>SUM('RES. CENTRAL PARK:RUA_FINAL'!N1823)</f>
        <v>0</v>
      </c>
      <c r="W1823" s="315">
        <f t="shared" si="461"/>
        <v>0</v>
      </c>
    </row>
    <row r="1824" spans="1:23" ht="13.5" hidden="1" thickBot="1" x14ac:dyDescent="0.25">
      <c r="A1824" s="63" t="s">
        <v>147</v>
      </c>
      <c r="B1824" s="895" t="s">
        <v>147</v>
      </c>
      <c r="C1824" s="896"/>
      <c r="D1824" s="906" t="s">
        <v>190</v>
      </c>
      <c r="E1824" s="907">
        <f>DMT!$D$20</f>
        <v>308</v>
      </c>
      <c r="F1824" s="908">
        <v>0.43</v>
      </c>
      <c r="G1824" s="909">
        <f>IF(E1824&lt;=30,(0.78*E1824+7.82)*F1824,((0.78*30+7.82)+0.78*(E1824-30))*F1824)</f>
        <v>106.6658</v>
      </c>
      <c r="H1824" s="901"/>
      <c r="I1824" s="901"/>
      <c r="J1824" s="902">
        <f t="shared" si="448"/>
        <v>0</v>
      </c>
      <c r="K1824" s="903"/>
      <c r="L1824" s="1039">
        <f>ROUND(SUM('RES. CENTRAL PARK:RUA_FINAL'!L1824),2)</f>
        <v>0</v>
      </c>
      <c r="M1824" s="1039">
        <f t="shared" si="455"/>
        <v>0</v>
      </c>
      <c r="N1824" s="893">
        <f t="shared" si="456"/>
        <v>0</v>
      </c>
      <c r="O1824" s="905"/>
      <c r="P1824" s="36" t="str">
        <f>IF(N1823&gt;0,"xx",IF(N1823&gt;0,"xy",""))</f>
        <v/>
      </c>
      <c r="Q1824" s="317" t="str">
        <f t="shared" si="457"/>
        <v/>
      </c>
      <c r="R1824" s="317" t="str">
        <f t="shared" si="458"/>
        <v/>
      </c>
      <c r="S1824" s="317" t="str">
        <f t="shared" si="459"/>
        <v/>
      </c>
      <c r="V1824" s="314">
        <f>SUM('RES. CENTRAL PARK:RUA_FINAL'!N1824)</f>
        <v>0</v>
      </c>
      <c r="W1824" s="315">
        <f t="shared" si="461"/>
        <v>0</v>
      </c>
    </row>
    <row r="1825" spans="1:23" ht="13.5" hidden="1" thickBot="1" x14ac:dyDescent="0.25">
      <c r="A1825" s="63" t="s">
        <v>147</v>
      </c>
      <c r="B1825" s="895" t="s">
        <v>147</v>
      </c>
      <c r="C1825" s="896"/>
      <c r="D1825" s="906" t="s">
        <v>229</v>
      </c>
      <c r="E1825" s="907">
        <f>DMT!$F$8</f>
        <v>150</v>
      </c>
      <c r="F1825" s="908">
        <v>0.82499999999999996</v>
      </c>
      <c r="G1825" s="949">
        <f t="shared" ref="G1825:G1826" si="464">IF(E1825&lt;=30,(1.07*E1825+2.68)*F1825,((1.07*30+2.68)+1.07*(E1825-30))*F1825)</f>
        <v>134.62350000000001</v>
      </c>
      <c r="H1825" s="901"/>
      <c r="I1825" s="901"/>
      <c r="J1825" s="902">
        <f t="shared" si="448"/>
        <v>0</v>
      </c>
      <c r="K1825" s="903"/>
      <c r="L1825" s="1039">
        <f>ROUND(SUM('RES. CENTRAL PARK:RUA_FINAL'!L1825),2)</f>
        <v>0</v>
      </c>
      <c r="M1825" s="1039">
        <f t="shared" si="455"/>
        <v>0</v>
      </c>
      <c r="N1825" s="893">
        <f t="shared" si="456"/>
        <v>0</v>
      </c>
      <c r="O1825" s="905"/>
      <c r="P1825" s="36" t="str">
        <f>IF(N1823&gt;0,"xx",IF(N1823&gt;0,"xy",""))</f>
        <v/>
      </c>
      <c r="Q1825" s="317" t="str">
        <f t="shared" si="457"/>
        <v/>
      </c>
      <c r="R1825" s="317" t="str">
        <f t="shared" si="458"/>
        <v/>
      </c>
      <c r="S1825" s="317" t="str">
        <f t="shared" si="459"/>
        <v/>
      </c>
      <c r="V1825" s="314">
        <f>SUM('RES. CENTRAL PARK:RUA_FINAL'!N1825)</f>
        <v>0</v>
      </c>
      <c r="W1825" s="315">
        <f t="shared" si="461"/>
        <v>0</v>
      </c>
    </row>
    <row r="1826" spans="1:23" ht="13.5" hidden="1" thickBot="1" x14ac:dyDescent="0.25">
      <c r="A1826" s="63" t="s">
        <v>147</v>
      </c>
      <c r="B1826" s="895" t="s">
        <v>147</v>
      </c>
      <c r="C1826" s="896"/>
      <c r="D1826" s="906" t="s">
        <v>233</v>
      </c>
      <c r="E1826" s="907">
        <f>DMT!$F$10</f>
        <v>0.2</v>
      </c>
      <c r="F1826" s="908">
        <v>1.1100000000000001</v>
      </c>
      <c r="G1826" s="949">
        <f t="shared" si="464"/>
        <v>3.2123400000000006</v>
      </c>
      <c r="H1826" s="901"/>
      <c r="I1826" s="901"/>
      <c r="J1826" s="902">
        <f t="shared" si="448"/>
        <v>0</v>
      </c>
      <c r="K1826" s="903"/>
      <c r="L1826" s="1039">
        <f>ROUND(SUM('RES. CENTRAL PARK:RUA_FINAL'!L1826),2)</f>
        <v>0</v>
      </c>
      <c r="M1826" s="1039">
        <f t="shared" si="455"/>
        <v>0</v>
      </c>
      <c r="N1826" s="893">
        <f t="shared" si="456"/>
        <v>0</v>
      </c>
      <c r="O1826" s="905"/>
      <c r="P1826" s="36" t="str">
        <f>IF(N1823&gt;0,"xx",IF(N1823&gt;0,"xy",""))</f>
        <v/>
      </c>
      <c r="Q1826" s="317" t="str">
        <f t="shared" si="457"/>
        <v/>
      </c>
      <c r="R1826" s="317" t="str">
        <f t="shared" si="458"/>
        <v/>
      </c>
      <c r="S1826" s="317" t="str">
        <f t="shared" si="459"/>
        <v/>
      </c>
      <c r="V1826" s="314">
        <f>SUM('RES. CENTRAL PARK:RUA_FINAL'!N1826)</f>
        <v>0</v>
      </c>
      <c r="W1826" s="315">
        <f t="shared" si="461"/>
        <v>0</v>
      </c>
    </row>
    <row r="1827" spans="1:23" ht="13.5" hidden="1" thickBot="1" x14ac:dyDescent="0.25">
      <c r="A1827" s="63">
        <v>605800</v>
      </c>
      <c r="B1827" s="895">
        <v>605800</v>
      </c>
      <c r="C1827" s="896" t="s">
        <v>184</v>
      </c>
      <c r="D1827" s="906" t="s">
        <v>814</v>
      </c>
      <c r="E1827" s="907"/>
      <c r="F1827" s="908"/>
      <c r="G1827" s="912">
        <f>SUM(G1828:G1830)</f>
        <v>245.74194000000003</v>
      </c>
      <c r="H1827" s="901">
        <v>558.08000000000004</v>
      </c>
      <c r="I1827" s="901">
        <f>IF(ISBLANK(H1827),"",SUM(G1827:H1827))</f>
        <v>803.82194000000004</v>
      </c>
      <c r="J1827" s="902">
        <f t="shared" si="448"/>
        <v>965.15</v>
      </c>
      <c r="K1827" s="903" t="s">
        <v>10</v>
      </c>
      <c r="L1827" s="1039">
        <f>ROUND(SUM('RES. CENTRAL PARK:RUA_FINAL'!L1827),2)</f>
        <v>0</v>
      </c>
      <c r="M1827" s="1039">
        <f t="shared" si="455"/>
        <v>0</v>
      </c>
      <c r="N1827" s="893">
        <f t="shared" si="456"/>
        <v>0</v>
      </c>
      <c r="O1827" s="905"/>
      <c r="Q1827" s="317" t="str">
        <f t="shared" si="457"/>
        <v/>
      </c>
      <c r="R1827" s="317" t="str">
        <f t="shared" si="458"/>
        <v/>
      </c>
      <c r="S1827" s="317" t="str">
        <f t="shared" si="459"/>
        <v/>
      </c>
      <c r="V1827" s="314">
        <f>SUM('RES. CENTRAL PARK:RUA_FINAL'!N1827)</f>
        <v>0</v>
      </c>
      <c r="W1827" s="315">
        <f t="shared" si="461"/>
        <v>0</v>
      </c>
    </row>
    <row r="1828" spans="1:23" ht="13.5" hidden="1" thickBot="1" x14ac:dyDescent="0.25">
      <c r="A1828" s="63" t="s">
        <v>147</v>
      </c>
      <c r="B1828" s="895" t="s">
        <v>147</v>
      </c>
      <c r="C1828" s="896"/>
      <c r="D1828" s="906" t="s">
        <v>190</v>
      </c>
      <c r="E1828" s="907">
        <f>DMT!$D$20</f>
        <v>308</v>
      </c>
      <c r="F1828" s="908">
        <v>0.435</v>
      </c>
      <c r="G1828" s="909">
        <f>IF(E1828&lt;=30,(0.78*E1828+7.82)*F1828,((0.78*30+7.82)+0.78*(E1828-30))*F1828)</f>
        <v>107.9061</v>
      </c>
      <c r="H1828" s="901"/>
      <c r="I1828" s="901"/>
      <c r="J1828" s="902">
        <f t="shared" si="448"/>
        <v>0</v>
      </c>
      <c r="K1828" s="903"/>
      <c r="L1828" s="1039">
        <f>ROUND(SUM('RES. CENTRAL PARK:RUA_FINAL'!L1828),2)</f>
        <v>0</v>
      </c>
      <c r="M1828" s="1039">
        <f t="shared" si="455"/>
        <v>0</v>
      </c>
      <c r="N1828" s="893">
        <f t="shared" si="456"/>
        <v>0</v>
      </c>
      <c r="O1828" s="905"/>
      <c r="P1828" s="36" t="str">
        <f>IF(N1827&gt;0,"xx",IF(N1827&gt;0,"xy",""))</f>
        <v/>
      </c>
      <c r="Q1828" s="317" t="str">
        <f t="shared" si="457"/>
        <v/>
      </c>
      <c r="R1828" s="317" t="str">
        <f t="shared" si="458"/>
        <v/>
      </c>
      <c r="S1828" s="317" t="str">
        <f t="shared" si="459"/>
        <v/>
      </c>
      <c r="V1828" s="314">
        <f>SUM('RES. CENTRAL PARK:RUA_FINAL'!N1828)</f>
        <v>0</v>
      </c>
      <c r="W1828" s="315">
        <f t="shared" si="461"/>
        <v>0</v>
      </c>
    </row>
    <row r="1829" spans="1:23" ht="13.5" hidden="1" thickBot="1" x14ac:dyDescent="0.25">
      <c r="A1829" s="63" t="s">
        <v>147</v>
      </c>
      <c r="B1829" s="895" t="s">
        <v>147</v>
      </c>
      <c r="C1829" s="896"/>
      <c r="D1829" s="906" t="s">
        <v>229</v>
      </c>
      <c r="E1829" s="907">
        <f>DMT!$F$8</f>
        <v>150</v>
      </c>
      <c r="F1829" s="908">
        <v>0.82499999999999996</v>
      </c>
      <c r="G1829" s="949">
        <f t="shared" ref="G1829:G1830" si="465">IF(E1829&lt;=30,(1.07*E1829+2.68)*F1829,((1.07*30+2.68)+1.07*(E1829-30))*F1829)</f>
        <v>134.62350000000001</v>
      </c>
      <c r="H1829" s="901"/>
      <c r="I1829" s="901"/>
      <c r="J1829" s="902">
        <f t="shared" si="448"/>
        <v>0</v>
      </c>
      <c r="K1829" s="903"/>
      <c r="L1829" s="1039">
        <f>ROUND(SUM('RES. CENTRAL PARK:RUA_FINAL'!L1829),2)</f>
        <v>0</v>
      </c>
      <c r="M1829" s="1039">
        <f t="shared" si="455"/>
        <v>0</v>
      </c>
      <c r="N1829" s="893">
        <f t="shared" si="456"/>
        <v>0</v>
      </c>
      <c r="O1829" s="905"/>
      <c r="P1829" s="36" t="str">
        <f>IF(N1827&gt;0,"xx",IF(N1827&gt;0,"xy",""))</f>
        <v/>
      </c>
      <c r="Q1829" s="317" t="str">
        <f t="shared" si="457"/>
        <v/>
      </c>
      <c r="R1829" s="317" t="str">
        <f t="shared" si="458"/>
        <v/>
      </c>
      <c r="S1829" s="317" t="str">
        <f t="shared" si="459"/>
        <v/>
      </c>
      <c r="V1829" s="314">
        <f>SUM('RES. CENTRAL PARK:RUA_FINAL'!N1829)</f>
        <v>0</v>
      </c>
      <c r="W1829" s="315">
        <f t="shared" si="461"/>
        <v>0</v>
      </c>
    </row>
    <row r="1830" spans="1:23" ht="13.5" hidden="1" thickBot="1" x14ac:dyDescent="0.25">
      <c r="A1830" s="63" t="s">
        <v>147</v>
      </c>
      <c r="B1830" s="895" t="s">
        <v>147</v>
      </c>
      <c r="C1830" s="896"/>
      <c r="D1830" s="906" t="s">
        <v>233</v>
      </c>
      <c r="E1830" s="907">
        <f>DMT!$F$10</f>
        <v>0.2</v>
      </c>
      <c r="F1830" s="908">
        <v>1.1100000000000001</v>
      </c>
      <c r="G1830" s="949">
        <f t="shared" si="465"/>
        <v>3.2123400000000006</v>
      </c>
      <c r="H1830" s="901"/>
      <c r="I1830" s="901"/>
      <c r="J1830" s="902">
        <f t="shared" si="448"/>
        <v>0</v>
      </c>
      <c r="K1830" s="903"/>
      <c r="L1830" s="1039">
        <f>ROUND(SUM('RES. CENTRAL PARK:RUA_FINAL'!L1830),2)</f>
        <v>0</v>
      </c>
      <c r="M1830" s="1039">
        <f t="shared" si="455"/>
        <v>0</v>
      </c>
      <c r="N1830" s="893">
        <f t="shared" si="456"/>
        <v>0</v>
      </c>
      <c r="O1830" s="905"/>
      <c r="P1830" s="36" t="str">
        <f>IF(N1827&gt;0,"xx",IF(N1827&gt;0,"xy",""))</f>
        <v/>
      </c>
      <c r="Q1830" s="317" t="str">
        <f t="shared" si="457"/>
        <v/>
      </c>
      <c r="R1830" s="317" t="str">
        <f t="shared" si="458"/>
        <v/>
      </c>
      <c r="S1830" s="317" t="str">
        <f t="shared" si="459"/>
        <v/>
      </c>
      <c r="V1830" s="314">
        <f>SUM('RES. CENTRAL PARK:RUA_FINAL'!N1830)</f>
        <v>0</v>
      </c>
      <c r="W1830" s="315">
        <f t="shared" si="461"/>
        <v>0</v>
      </c>
    </row>
    <row r="1831" spans="1:23" ht="13.5" hidden="1" thickBot="1" x14ac:dyDescent="0.25">
      <c r="A1831" s="63">
        <v>605900</v>
      </c>
      <c r="B1831" s="895">
        <v>605900</v>
      </c>
      <c r="C1831" s="896" t="s">
        <v>184</v>
      </c>
      <c r="D1831" s="906" t="s">
        <v>815</v>
      </c>
      <c r="E1831" s="907"/>
      <c r="F1831" s="908"/>
      <c r="G1831" s="912">
        <f>SUM(G1832:G1834)</f>
        <v>249.56154000000001</v>
      </c>
      <c r="H1831" s="901">
        <v>581.4</v>
      </c>
      <c r="I1831" s="901">
        <f>IF(ISBLANK(H1831),"",SUM(G1831:H1831))</f>
        <v>830.96154000000001</v>
      </c>
      <c r="J1831" s="902">
        <f t="shared" si="448"/>
        <v>997.74</v>
      </c>
      <c r="K1831" s="903" t="s">
        <v>10</v>
      </c>
      <c r="L1831" s="1039">
        <f>ROUND(SUM('RES. CENTRAL PARK:RUA_FINAL'!L1831),2)</f>
        <v>0</v>
      </c>
      <c r="M1831" s="1039">
        <f t="shared" si="455"/>
        <v>0</v>
      </c>
      <c r="N1831" s="893">
        <f t="shared" si="456"/>
        <v>0</v>
      </c>
      <c r="O1831" s="905"/>
      <c r="Q1831" s="317" t="str">
        <f t="shared" si="457"/>
        <v/>
      </c>
      <c r="R1831" s="317" t="str">
        <f t="shared" si="458"/>
        <v/>
      </c>
      <c r="S1831" s="317" t="str">
        <f t="shared" si="459"/>
        <v/>
      </c>
      <c r="V1831" s="314">
        <f>SUM('RES. CENTRAL PARK:RUA_FINAL'!N1831)</f>
        <v>0</v>
      </c>
      <c r="W1831" s="315">
        <f t="shared" si="461"/>
        <v>0</v>
      </c>
    </row>
    <row r="1832" spans="1:23" ht="13.5" hidden="1" thickBot="1" x14ac:dyDescent="0.25">
      <c r="A1832" s="63" t="s">
        <v>147</v>
      </c>
      <c r="B1832" s="895" t="s">
        <v>147</v>
      </c>
      <c r="C1832" s="896"/>
      <c r="D1832" s="906" t="s">
        <v>190</v>
      </c>
      <c r="E1832" s="907">
        <f>DMT!$D$20</f>
        <v>308</v>
      </c>
      <c r="F1832" s="908">
        <v>0.48</v>
      </c>
      <c r="G1832" s="909">
        <f>IF(E1832&lt;=30,(0.78*E1832+7.82)*F1832,((0.78*30+7.82)+0.78*(E1832-30))*F1832)</f>
        <v>119.0688</v>
      </c>
      <c r="H1832" s="901"/>
      <c r="I1832" s="901"/>
      <c r="J1832" s="902">
        <f t="shared" si="448"/>
        <v>0</v>
      </c>
      <c r="K1832" s="903"/>
      <c r="L1832" s="1039">
        <f>ROUND(SUM('RES. CENTRAL PARK:RUA_FINAL'!L1832),2)</f>
        <v>0</v>
      </c>
      <c r="M1832" s="1039">
        <f t="shared" si="455"/>
        <v>0</v>
      </c>
      <c r="N1832" s="893">
        <f t="shared" si="456"/>
        <v>0</v>
      </c>
      <c r="O1832" s="905"/>
      <c r="P1832" s="36" t="str">
        <f>IF(N1831&gt;0,"xx",IF(N1831&gt;0,"xy",""))</f>
        <v/>
      </c>
      <c r="Q1832" s="317" t="str">
        <f t="shared" si="457"/>
        <v/>
      </c>
      <c r="R1832" s="317" t="str">
        <f t="shared" si="458"/>
        <v/>
      </c>
      <c r="S1832" s="317" t="str">
        <f t="shared" si="459"/>
        <v/>
      </c>
      <c r="V1832" s="314">
        <f>SUM('RES. CENTRAL PARK:RUA_FINAL'!N1832)</f>
        <v>0</v>
      </c>
      <c r="W1832" s="315">
        <f t="shared" si="461"/>
        <v>0</v>
      </c>
    </row>
    <row r="1833" spans="1:23" ht="13.5" hidden="1" thickBot="1" x14ac:dyDescent="0.25">
      <c r="A1833" s="63" t="s">
        <v>147</v>
      </c>
      <c r="B1833" s="895" t="s">
        <v>147</v>
      </c>
      <c r="C1833" s="896"/>
      <c r="D1833" s="906" t="s">
        <v>229</v>
      </c>
      <c r="E1833" s="907">
        <f>DMT!$F$8</f>
        <v>150</v>
      </c>
      <c r="F1833" s="908">
        <v>0.78</v>
      </c>
      <c r="G1833" s="949">
        <f t="shared" ref="G1833:G1834" si="466">IF(E1833&lt;=30,(1.07*E1833+2.68)*F1833,((1.07*30+2.68)+1.07*(E1833-30))*F1833)</f>
        <v>127.28040000000001</v>
      </c>
      <c r="H1833" s="901"/>
      <c r="I1833" s="901"/>
      <c r="J1833" s="902">
        <f t="shared" si="448"/>
        <v>0</v>
      </c>
      <c r="K1833" s="903"/>
      <c r="L1833" s="1039">
        <f>ROUND(SUM('RES. CENTRAL PARK:RUA_FINAL'!L1833),2)</f>
        <v>0</v>
      </c>
      <c r="M1833" s="1039">
        <f t="shared" si="455"/>
        <v>0</v>
      </c>
      <c r="N1833" s="893">
        <f t="shared" si="456"/>
        <v>0</v>
      </c>
      <c r="O1833" s="905"/>
      <c r="P1833" s="36" t="str">
        <f>IF(N1831&gt;0,"xx",IF(N1831&gt;0,"xy",""))</f>
        <v/>
      </c>
      <c r="Q1833" s="317" t="str">
        <f t="shared" si="457"/>
        <v/>
      </c>
      <c r="R1833" s="317" t="str">
        <f t="shared" si="458"/>
        <v/>
      </c>
      <c r="S1833" s="317" t="str">
        <f t="shared" si="459"/>
        <v/>
      </c>
      <c r="V1833" s="314">
        <f>SUM('RES. CENTRAL PARK:RUA_FINAL'!N1833)</f>
        <v>0</v>
      </c>
      <c r="W1833" s="315">
        <f t="shared" si="461"/>
        <v>0</v>
      </c>
    </row>
    <row r="1834" spans="1:23" ht="13.5" hidden="1" thickBot="1" x14ac:dyDescent="0.25">
      <c r="A1834" s="63" t="s">
        <v>147</v>
      </c>
      <c r="B1834" s="895" t="s">
        <v>147</v>
      </c>
      <c r="C1834" s="896"/>
      <c r="D1834" s="906" t="s">
        <v>233</v>
      </c>
      <c r="E1834" s="907">
        <f>DMT!$F$10</f>
        <v>0.2</v>
      </c>
      <c r="F1834" s="908">
        <v>1.1100000000000001</v>
      </c>
      <c r="G1834" s="949">
        <f t="shared" si="466"/>
        <v>3.2123400000000006</v>
      </c>
      <c r="H1834" s="901"/>
      <c r="I1834" s="901"/>
      <c r="J1834" s="902">
        <f t="shared" si="448"/>
        <v>0</v>
      </c>
      <c r="K1834" s="903"/>
      <c r="L1834" s="1039">
        <f>ROUND(SUM('RES. CENTRAL PARK:RUA_FINAL'!L1834),2)</f>
        <v>0</v>
      </c>
      <c r="M1834" s="1039">
        <f t="shared" si="455"/>
        <v>0</v>
      </c>
      <c r="N1834" s="893">
        <f t="shared" si="456"/>
        <v>0</v>
      </c>
      <c r="O1834" s="905"/>
      <c r="P1834" s="36" t="str">
        <f>IF(N1831&gt;0,"xx",IF(N1831&gt;0,"xy",""))</f>
        <v/>
      </c>
      <c r="Q1834" s="317" t="str">
        <f t="shared" si="457"/>
        <v/>
      </c>
      <c r="R1834" s="317" t="str">
        <f t="shared" si="458"/>
        <v/>
      </c>
      <c r="S1834" s="317" t="str">
        <f t="shared" si="459"/>
        <v/>
      </c>
      <c r="V1834" s="314">
        <f>SUM('RES. CENTRAL PARK:RUA_FINAL'!N1834)</f>
        <v>0</v>
      </c>
      <c r="W1834" s="315">
        <f t="shared" si="461"/>
        <v>0</v>
      </c>
    </row>
    <row r="1835" spans="1:23" ht="13.5" hidden="1" thickBot="1" x14ac:dyDescent="0.25">
      <c r="A1835" s="63">
        <v>606200</v>
      </c>
      <c r="B1835" s="895">
        <v>606200</v>
      </c>
      <c r="C1835" s="896" t="s">
        <v>184</v>
      </c>
      <c r="D1835" s="906" t="s">
        <v>816</v>
      </c>
      <c r="E1835" s="907"/>
      <c r="F1835" s="908"/>
      <c r="G1835" s="912">
        <f>SUM(G1836:G1838)</f>
        <v>252.60406000000003</v>
      </c>
      <c r="H1835" s="901">
        <v>598.07000000000005</v>
      </c>
      <c r="I1835" s="901">
        <f>IF(ISBLANK(H1835),"",SUM(G1835:H1835))</f>
        <v>850.67406000000005</v>
      </c>
      <c r="J1835" s="902">
        <f t="shared" si="448"/>
        <v>1021.4</v>
      </c>
      <c r="K1835" s="903" t="s">
        <v>10</v>
      </c>
      <c r="L1835" s="1039">
        <f>ROUND(SUM('RES. CENTRAL PARK:RUA_FINAL'!L1835),2)</f>
        <v>0</v>
      </c>
      <c r="M1835" s="1039">
        <f t="shared" si="455"/>
        <v>0</v>
      </c>
      <c r="N1835" s="893">
        <f t="shared" si="456"/>
        <v>0</v>
      </c>
      <c r="O1835" s="905"/>
      <c r="Q1835" s="317" t="str">
        <f t="shared" si="457"/>
        <v/>
      </c>
      <c r="R1835" s="317" t="str">
        <f t="shared" si="458"/>
        <v/>
      </c>
      <c r="S1835" s="317" t="str">
        <f t="shared" si="459"/>
        <v/>
      </c>
      <c r="V1835" s="314">
        <f>SUM('RES. CENTRAL PARK:RUA_FINAL'!N1835)</f>
        <v>0</v>
      </c>
      <c r="W1835" s="315">
        <f t="shared" si="461"/>
        <v>0</v>
      </c>
    </row>
    <row r="1836" spans="1:23" ht="13.5" hidden="1" thickBot="1" x14ac:dyDescent="0.25">
      <c r="A1836" s="63" t="s">
        <v>147</v>
      </c>
      <c r="B1836" s="895" t="s">
        <v>147</v>
      </c>
      <c r="C1836" s="896"/>
      <c r="D1836" s="906" t="s">
        <v>190</v>
      </c>
      <c r="E1836" s="907">
        <f>DMT!$D$20</f>
        <v>308</v>
      </c>
      <c r="F1836" s="908">
        <v>0.51200000000000001</v>
      </c>
      <c r="G1836" s="909">
        <f>IF(E1836&lt;=30,(0.78*E1836+7.82)*F1836,((0.78*30+7.82)+0.78*(E1836-30))*F1836)</f>
        <v>127.00672</v>
      </c>
      <c r="H1836" s="901"/>
      <c r="I1836" s="901"/>
      <c r="J1836" s="902">
        <f t="shared" si="448"/>
        <v>0</v>
      </c>
      <c r="K1836" s="903"/>
      <c r="L1836" s="1039">
        <f>ROUND(SUM('RES. CENTRAL PARK:RUA_FINAL'!L1836),2)</f>
        <v>0</v>
      </c>
      <c r="M1836" s="1039">
        <f t="shared" si="455"/>
        <v>0</v>
      </c>
      <c r="N1836" s="893">
        <f t="shared" si="456"/>
        <v>0</v>
      </c>
      <c r="O1836" s="905"/>
      <c r="P1836" s="36" t="str">
        <f>IF(N1835&gt;0,"xx",IF(N1835&gt;0,"xy",""))</f>
        <v/>
      </c>
      <c r="Q1836" s="317" t="str">
        <f t="shared" si="457"/>
        <v/>
      </c>
      <c r="R1836" s="317" t="str">
        <f t="shared" si="458"/>
        <v/>
      </c>
      <c r="S1836" s="317" t="str">
        <f t="shared" si="459"/>
        <v/>
      </c>
      <c r="V1836" s="314">
        <f>SUM('RES. CENTRAL PARK:RUA_FINAL'!N1836)</f>
        <v>0</v>
      </c>
      <c r="W1836" s="315">
        <f t="shared" si="461"/>
        <v>0</v>
      </c>
    </row>
    <row r="1837" spans="1:23" ht="13.5" hidden="1" thickBot="1" x14ac:dyDescent="0.25">
      <c r="A1837" s="63" t="s">
        <v>147</v>
      </c>
      <c r="B1837" s="895" t="s">
        <v>147</v>
      </c>
      <c r="C1837" s="896"/>
      <c r="D1837" s="906" t="s">
        <v>229</v>
      </c>
      <c r="E1837" s="907">
        <f>DMT!$F$8</f>
        <v>150</v>
      </c>
      <c r="F1837" s="908">
        <v>0.75</v>
      </c>
      <c r="G1837" s="949">
        <f t="shared" ref="G1837:G1838" si="467">IF(E1837&lt;=30,(1.07*E1837+2.68)*F1837,((1.07*30+2.68)+1.07*(E1837-30))*F1837)</f>
        <v>122.38500000000001</v>
      </c>
      <c r="H1837" s="901"/>
      <c r="I1837" s="901"/>
      <c r="J1837" s="902">
        <f t="shared" si="448"/>
        <v>0</v>
      </c>
      <c r="K1837" s="903"/>
      <c r="L1837" s="1039">
        <f>ROUND(SUM('RES. CENTRAL PARK:RUA_FINAL'!L1837),2)</f>
        <v>0</v>
      </c>
      <c r="M1837" s="1039">
        <f t="shared" si="455"/>
        <v>0</v>
      </c>
      <c r="N1837" s="893">
        <f t="shared" si="456"/>
        <v>0</v>
      </c>
      <c r="O1837" s="905"/>
      <c r="P1837" s="36" t="str">
        <f>IF(N1835&gt;0,"xx",IF(N1835&gt;0,"xy",""))</f>
        <v/>
      </c>
      <c r="Q1837" s="317" t="str">
        <f t="shared" si="457"/>
        <v/>
      </c>
      <c r="R1837" s="317" t="str">
        <f t="shared" si="458"/>
        <v/>
      </c>
      <c r="S1837" s="317" t="str">
        <f t="shared" si="459"/>
        <v/>
      </c>
      <c r="V1837" s="314">
        <f>SUM('RES. CENTRAL PARK:RUA_FINAL'!N1837)</f>
        <v>0</v>
      </c>
      <c r="W1837" s="315">
        <f t="shared" si="461"/>
        <v>0</v>
      </c>
    </row>
    <row r="1838" spans="1:23" ht="13.5" hidden="1" thickBot="1" x14ac:dyDescent="0.25">
      <c r="A1838" s="63" t="s">
        <v>147</v>
      </c>
      <c r="B1838" s="895" t="s">
        <v>147</v>
      </c>
      <c r="C1838" s="896"/>
      <c r="D1838" s="906" t="s">
        <v>233</v>
      </c>
      <c r="E1838" s="907">
        <f>DMT!$F$10</f>
        <v>0.2</v>
      </c>
      <c r="F1838" s="908">
        <v>1.1100000000000001</v>
      </c>
      <c r="G1838" s="949">
        <f t="shared" si="467"/>
        <v>3.2123400000000006</v>
      </c>
      <c r="H1838" s="901"/>
      <c r="I1838" s="901"/>
      <c r="J1838" s="902">
        <f t="shared" si="448"/>
        <v>0</v>
      </c>
      <c r="K1838" s="903"/>
      <c r="L1838" s="1039">
        <f>ROUND(SUM('RES. CENTRAL PARK:RUA_FINAL'!L1838),2)</f>
        <v>0</v>
      </c>
      <c r="M1838" s="1039">
        <f t="shared" si="455"/>
        <v>0</v>
      </c>
      <c r="N1838" s="893">
        <f t="shared" si="456"/>
        <v>0</v>
      </c>
      <c r="O1838" s="905"/>
      <c r="P1838" s="36" t="str">
        <f>IF(N1835&gt;0,"xx",IF(N1835&gt;0,"xy",""))</f>
        <v/>
      </c>
      <c r="Q1838" s="317" t="str">
        <f t="shared" si="457"/>
        <v/>
      </c>
      <c r="R1838" s="317" t="str">
        <f t="shared" si="458"/>
        <v/>
      </c>
      <c r="S1838" s="317" t="str">
        <f t="shared" si="459"/>
        <v/>
      </c>
      <c r="V1838" s="314">
        <f>SUM('RES. CENTRAL PARK:RUA_FINAL'!N1838)</f>
        <v>0</v>
      </c>
      <c r="W1838" s="315">
        <f t="shared" si="461"/>
        <v>0</v>
      </c>
    </row>
    <row r="1839" spans="1:23" ht="13.5" hidden="1" thickBot="1" x14ac:dyDescent="0.25">
      <c r="A1839" s="63">
        <v>622000</v>
      </c>
      <c r="B1839" s="895">
        <v>622000</v>
      </c>
      <c r="C1839" s="896" t="s">
        <v>184</v>
      </c>
      <c r="D1839" s="906" t="s">
        <v>521</v>
      </c>
      <c r="E1839" s="907"/>
      <c r="F1839" s="908"/>
      <c r="G1839" s="912">
        <f>SUM(G1840:G1843)</f>
        <v>37.478794200000003</v>
      </c>
      <c r="H1839" s="901">
        <v>240.43</v>
      </c>
      <c r="I1839" s="901">
        <f>IF(ISBLANK(H1839),"",SUM(G1839:H1839))</f>
        <v>277.90879419999999</v>
      </c>
      <c r="J1839" s="902">
        <f t="shared" si="448"/>
        <v>333.69</v>
      </c>
      <c r="K1839" s="903" t="s">
        <v>15</v>
      </c>
      <c r="L1839" s="1039">
        <f>ROUND(SUM('RES. CENTRAL PARK:RUA_FINAL'!L1839),2)</f>
        <v>0</v>
      </c>
      <c r="M1839" s="1039">
        <f t="shared" si="455"/>
        <v>0</v>
      </c>
      <c r="N1839" s="893">
        <f t="shared" si="456"/>
        <v>0</v>
      </c>
      <c r="O1839" s="905"/>
      <c r="Q1839" s="317" t="str">
        <f t="shared" si="457"/>
        <v/>
      </c>
      <c r="R1839" s="317" t="str">
        <f t="shared" si="458"/>
        <v/>
      </c>
      <c r="S1839" s="317" t="str">
        <f t="shared" si="459"/>
        <v/>
      </c>
      <c r="V1839" s="314">
        <f>SUM('RES. CENTRAL PARK:RUA_FINAL'!N1839)</f>
        <v>0</v>
      </c>
      <c r="W1839" s="315">
        <f t="shared" si="461"/>
        <v>0</v>
      </c>
    </row>
    <row r="1840" spans="1:23" ht="13.5" hidden="1" thickBot="1" x14ac:dyDescent="0.25">
      <c r="A1840" s="63" t="s">
        <v>147</v>
      </c>
      <c r="B1840" s="895" t="s">
        <v>147</v>
      </c>
      <c r="C1840" s="896"/>
      <c r="D1840" s="906" t="s">
        <v>190</v>
      </c>
      <c r="E1840" s="907">
        <f>DMT!$D$20</f>
        <v>308</v>
      </c>
      <c r="F1840" s="908">
        <v>4.24E-2</v>
      </c>
      <c r="G1840" s="909">
        <f>IF(E1840&lt;=30,(0.78*E1840+7.82)*F1840,((0.78*30+7.82)+0.78*(E1840-30))*F1840)</f>
        <v>10.517744</v>
      </c>
      <c r="H1840" s="901"/>
      <c r="I1840" s="901"/>
      <c r="J1840" s="902">
        <f t="shared" si="448"/>
        <v>0</v>
      </c>
      <c r="K1840" s="903"/>
      <c r="L1840" s="1039">
        <f>ROUND(SUM('RES. CENTRAL PARK:RUA_FINAL'!L1840),2)</f>
        <v>0</v>
      </c>
      <c r="M1840" s="1039">
        <f t="shared" si="455"/>
        <v>0</v>
      </c>
      <c r="N1840" s="893">
        <f t="shared" si="456"/>
        <v>0</v>
      </c>
      <c r="O1840" s="905"/>
      <c r="P1840" s="36" t="str">
        <f>IF(N1839&gt;0,"xx",IF(N1839&gt;0,"xy",""))</f>
        <v/>
      </c>
      <c r="Q1840" s="317" t="str">
        <f t="shared" si="457"/>
        <v/>
      </c>
      <c r="R1840" s="317" t="str">
        <f t="shared" si="458"/>
        <v/>
      </c>
      <c r="S1840" s="317" t="str">
        <f t="shared" si="459"/>
        <v/>
      </c>
      <c r="V1840" s="314">
        <f>SUM('RES. CENTRAL PARK:RUA_FINAL'!N1840)</f>
        <v>0</v>
      </c>
      <c r="W1840" s="315">
        <f t="shared" si="461"/>
        <v>0</v>
      </c>
    </row>
    <row r="1841" spans="1:23" ht="13.5" hidden="1" thickBot="1" x14ac:dyDescent="0.25">
      <c r="A1841" s="63" t="s">
        <v>147</v>
      </c>
      <c r="B1841" s="895" t="s">
        <v>147</v>
      </c>
      <c r="C1841" s="896"/>
      <c r="D1841" s="906" t="s">
        <v>229</v>
      </c>
      <c r="E1841" s="907">
        <f>DMT!$F$8</f>
        <v>150</v>
      </c>
      <c r="F1841" s="908">
        <v>0.1507</v>
      </c>
      <c r="G1841" s="949">
        <f t="shared" ref="G1841:G1842" si="468">IF(E1841&lt;=30,(1.07*E1841+2.68)*F1841,((1.07*30+2.68)+1.07*(E1841-30))*F1841)</f>
        <v>24.591226000000002</v>
      </c>
      <c r="H1841" s="901"/>
      <c r="I1841" s="901"/>
      <c r="J1841" s="902">
        <f t="shared" si="448"/>
        <v>0</v>
      </c>
      <c r="K1841" s="903"/>
      <c r="L1841" s="1039">
        <f>ROUND(SUM('RES. CENTRAL PARK:RUA_FINAL'!L1841),2)</f>
        <v>0</v>
      </c>
      <c r="M1841" s="1039">
        <f t="shared" si="455"/>
        <v>0</v>
      </c>
      <c r="N1841" s="893">
        <f t="shared" si="456"/>
        <v>0</v>
      </c>
      <c r="O1841" s="905"/>
      <c r="P1841" s="36" t="str">
        <f>IF(N1839&gt;0,"xx",IF(N1839&gt;0,"xy",""))</f>
        <v/>
      </c>
      <c r="Q1841" s="317" t="str">
        <f t="shared" si="457"/>
        <v/>
      </c>
      <c r="R1841" s="317" t="str">
        <f t="shared" si="458"/>
        <v/>
      </c>
      <c r="S1841" s="317" t="str">
        <f t="shared" si="459"/>
        <v/>
      </c>
      <c r="V1841" s="314">
        <f>SUM('RES. CENTRAL PARK:RUA_FINAL'!N1841)</f>
        <v>0</v>
      </c>
      <c r="W1841" s="315">
        <f t="shared" si="461"/>
        <v>0</v>
      </c>
    </row>
    <row r="1842" spans="1:23" ht="13.5" hidden="1" thickBot="1" x14ac:dyDescent="0.25">
      <c r="A1842" s="63" t="s">
        <v>147</v>
      </c>
      <c r="B1842" s="895" t="s">
        <v>147</v>
      </c>
      <c r="C1842" s="896"/>
      <c r="D1842" s="906" t="s">
        <v>233</v>
      </c>
      <c r="E1842" s="907">
        <f>DMT!$F$10</f>
        <v>0.2</v>
      </c>
      <c r="F1842" s="908">
        <v>0.17430000000000001</v>
      </c>
      <c r="G1842" s="949">
        <f t="shared" si="468"/>
        <v>0.5044242000000001</v>
      </c>
      <c r="H1842" s="901"/>
      <c r="I1842" s="901"/>
      <c r="J1842" s="902">
        <f t="shared" si="448"/>
        <v>0</v>
      </c>
      <c r="K1842" s="903"/>
      <c r="L1842" s="1039">
        <f>ROUND(SUM('RES. CENTRAL PARK:RUA_FINAL'!L1842),2)</f>
        <v>0</v>
      </c>
      <c r="M1842" s="1039">
        <f t="shared" si="455"/>
        <v>0</v>
      </c>
      <c r="N1842" s="893">
        <f t="shared" si="456"/>
        <v>0</v>
      </c>
      <c r="O1842" s="905"/>
      <c r="P1842" s="36" t="str">
        <f>IF(N1839&gt;0,"xx",IF(N1839&gt;0,"xy",""))</f>
        <v/>
      </c>
      <c r="Q1842" s="317" t="str">
        <f t="shared" si="457"/>
        <v/>
      </c>
      <c r="R1842" s="317" t="str">
        <f t="shared" si="458"/>
        <v/>
      </c>
      <c r="S1842" s="317" t="str">
        <f t="shared" si="459"/>
        <v/>
      </c>
      <c r="V1842" s="314">
        <f>SUM('RES. CENTRAL PARK:RUA_FINAL'!N1842)</f>
        <v>0</v>
      </c>
      <c r="W1842" s="315">
        <f t="shared" si="461"/>
        <v>0</v>
      </c>
    </row>
    <row r="1843" spans="1:23" ht="13.5" hidden="1" thickBot="1" x14ac:dyDescent="0.25">
      <c r="A1843" s="63" t="s">
        <v>147</v>
      </c>
      <c r="B1843" s="895" t="s">
        <v>147</v>
      </c>
      <c r="C1843" s="896"/>
      <c r="D1843" s="906" t="s">
        <v>336</v>
      </c>
      <c r="E1843" s="907">
        <f>DMT!$F$38</f>
        <v>40</v>
      </c>
      <c r="F1843" s="908">
        <v>0.06</v>
      </c>
      <c r="G1843" s="949">
        <f>IF(E1843&lt;=30,(0.62*E1843+6.29)*F1843,((0.62*30+6.29)+0.62*(E1843-30))*F1843)</f>
        <v>1.8653999999999999</v>
      </c>
      <c r="H1843" s="901"/>
      <c r="I1843" s="901"/>
      <c r="J1843" s="902">
        <f t="shared" si="448"/>
        <v>0</v>
      </c>
      <c r="K1843" s="903"/>
      <c r="L1843" s="1039">
        <f>ROUND(SUM('RES. CENTRAL PARK:RUA_FINAL'!L1843),2)</f>
        <v>0</v>
      </c>
      <c r="M1843" s="1039">
        <f t="shared" si="455"/>
        <v>0</v>
      </c>
      <c r="N1843" s="893">
        <f t="shared" si="456"/>
        <v>0</v>
      </c>
      <c r="O1843" s="905"/>
      <c r="P1843" s="36" t="str">
        <f>IF(N1839&gt;0,"xx",IF(N1839&gt;0,"xy",""))</f>
        <v/>
      </c>
      <c r="Q1843" s="317" t="str">
        <f t="shared" si="457"/>
        <v/>
      </c>
      <c r="R1843" s="317" t="str">
        <f t="shared" si="458"/>
        <v/>
      </c>
      <c r="S1843" s="317" t="str">
        <f t="shared" si="459"/>
        <v/>
      </c>
      <c r="V1843" s="314">
        <f>SUM('RES. CENTRAL PARK:RUA_FINAL'!N1843)</f>
        <v>0</v>
      </c>
      <c r="W1843" s="315">
        <f t="shared" si="461"/>
        <v>0</v>
      </c>
    </row>
    <row r="1844" spans="1:23" ht="13.5" hidden="1" thickBot="1" x14ac:dyDescent="0.25">
      <c r="A1844" s="63">
        <v>620000</v>
      </c>
      <c r="B1844" s="895" t="s">
        <v>1813</v>
      </c>
      <c r="C1844" s="896" t="s">
        <v>184</v>
      </c>
      <c r="D1844" s="906" t="s">
        <v>522</v>
      </c>
      <c r="E1844" s="907"/>
      <c r="F1844" s="908"/>
      <c r="G1844" s="912">
        <f>SUM(G1845:G1847)</f>
        <v>53.428395000000002</v>
      </c>
      <c r="H1844" s="901">
        <v>643.26</v>
      </c>
      <c r="I1844" s="901">
        <f>IF(ISBLANK(H1844),"",SUM(G1844:H1844))</f>
        <v>696.68839500000001</v>
      </c>
      <c r="J1844" s="902">
        <f t="shared" si="448"/>
        <v>836.51</v>
      </c>
      <c r="K1844" s="903" t="s">
        <v>15</v>
      </c>
      <c r="L1844" s="1039">
        <f>ROUND(SUM('RES. CENTRAL PARK:RUA_FINAL'!L1844),2)</f>
        <v>0</v>
      </c>
      <c r="M1844" s="1039">
        <f t="shared" si="455"/>
        <v>0</v>
      </c>
      <c r="N1844" s="893">
        <f t="shared" si="456"/>
        <v>0</v>
      </c>
      <c r="O1844" s="905"/>
      <c r="Q1844" s="317" t="str">
        <f t="shared" si="457"/>
        <v/>
      </c>
      <c r="R1844" s="317" t="str">
        <f t="shared" si="458"/>
        <v/>
      </c>
      <c r="S1844" s="317" t="str">
        <f t="shared" si="459"/>
        <v/>
      </c>
      <c r="V1844" s="314">
        <f>SUM('RES. CENTRAL PARK:RUA_FINAL'!N1844)</f>
        <v>0</v>
      </c>
      <c r="W1844" s="315">
        <f t="shared" si="461"/>
        <v>0</v>
      </c>
    </row>
    <row r="1845" spans="1:23" ht="13.5" hidden="1" thickBot="1" x14ac:dyDescent="0.25">
      <c r="A1845" s="63" t="s">
        <v>147</v>
      </c>
      <c r="B1845" s="895" t="s">
        <v>147</v>
      </c>
      <c r="C1845" s="896"/>
      <c r="D1845" s="906" t="s">
        <v>190</v>
      </c>
      <c r="E1845" s="907">
        <f>DMT!$D$20</f>
        <v>308</v>
      </c>
      <c r="F1845" s="908">
        <v>6.3600000000000004E-2</v>
      </c>
      <c r="G1845" s="909">
        <f>IF(E1845&lt;=30,(0.78*E1845+7.82)*F1845,((0.78*30+7.82)+0.78*(E1845-30))*F1845)</f>
        <v>15.776616000000001</v>
      </c>
      <c r="H1845" s="901"/>
      <c r="I1845" s="901"/>
      <c r="J1845" s="902">
        <f t="shared" si="448"/>
        <v>0</v>
      </c>
      <c r="K1845" s="903"/>
      <c r="L1845" s="1039">
        <f>ROUND(SUM('RES. CENTRAL PARK:RUA_FINAL'!L1845),2)</f>
        <v>0</v>
      </c>
      <c r="M1845" s="1039">
        <f t="shared" si="455"/>
        <v>0</v>
      </c>
      <c r="N1845" s="893">
        <f t="shared" si="456"/>
        <v>0</v>
      </c>
      <c r="O1845" s="905"/>
      <c r="P1845" s="36" t="str">
        <f>IF(N1844&gt;0,"xx",IF(N1844&gt;0,"xy",""))</f>
        <v/>
      </c>
      <c r="Q1845" s="317" t="str">
        <f t="shared" si="457"/>
        <v/>
      </c>
      <c r="R1845" s="317" t="str">
        <f t="shared" si="458"/>
        <v/>
      </c>
      <c r="S1845" s="317" t="str">
        <f t="shared" si="459"/>
        <v/>
      </c>
      <c r="V1845" s="314">
        <f>SUM('RES. CENTRAL PARK:RUA_FINAL'!N1845)</f>
        <v>0</v>
      </c>
      <c r="W1845" s="315">
        <f t="shared" si="461"/>
        <v>0</v>
      </c>
    </row>
    <row r="1846" spans="1:23" ht="13.5" hidden="1" thickBot="1" x14ac:dyDescent="0.25">
      <c r="A1846" s="63" t="s">
        <v>147</v>
      </c>
      <c r="B1846" s="895" t="s">
        <v>147</v>
      </c>
      <c r="C1846" s="896"/>
      <c r="D1846" s="906" t="s">
        <v>229</v>
      </c>
      <c r="E1846" s="907">
        <f>DMT!$F$8</f>
        <v>150</v>
      </c>
      <c r="F1846" s="908">
        <v>0.2261</v>
      </c>
      <c r="G1846" s="949">
        <f t="shared" ref="G1846:G1847" si="469">IF(E1846&lt;=30,(1.07*E1846+2.68)*F1846,((1.07*30+2.68)+1.07*(E1846-30))*F1846)</f>
        <v>36.894998000000001</v>
      </c>
      <c r="H1846" s="901"/>
      <c r="I1846" s="901"/>
      <c r="J1846" s="902">
        <f t="shared" si="448"/>
        <v>0</v>
      </c>
      <c r="K1846" s="903"/>
      <c r="L1846" s="1039">
        <f>ROUND(SUM('RES. CENTRAL PARK:RUA_FINAL'!L1846),2)</f>
        <v>0</v>
      </c>
      <c r="M1846" s="1039">
        <f t="shared" si="455"/>
        <v>0</v>
      </c>
      <c r="N1846" s="893">
        <f t="shared" si="456"/>
        <v>0</v>
      </c>
      <c r="O1846" s="905"/>
      <c r="P1846" s="36" t="str">
        <f>IF(N1844&gt;0,"xx",IF(N1844&gt;0,"xy",""))</f>
        <v/>
      </c>
      <c r="Q1846" s="317" t="str">
        <f t="shared" si="457"/>
        <v/>
      </c>
      <c r="R1846" s="317" t="str">
        <f t="shared" si="458"/>
        <v/>
      </c>
      <c r="S1846" s="317" t="str">
        <f t="shared" si="459"/>
        <v/>
      </c>
      <c r="V1846" s="314">
        <f>SUM('RES. CENTRAL PARK:RUA_FINAL'!N1846)</f>
        <v>0</v>
      </c>
      <c r="W1846" s="315">
        <f t="shared" si="461"/>
        <v>0</v>
      </c>
    </row>
    <row r="1847" spans="1:23" ht="13.5" hidden="1" thickBot="1" x14ac:dyDescent="0.25">
      <c r="A1847" s="63" t="s">
        <v>147</v>
      </c>
      <c r="B1847" s="895" t="s">
        <v>147</v>
      </c>
      <c r="C1847" s="896"/>
      <c r="D1847" s="906" t="s">
        <v>233</v>
      </c>
      <c r="E1847" s="907">
        <f>DMT!$F$10</f>
        <v>0.2</v>
      </c>
      <c r="F1847" s="908">
        <v>0.26150000000000001</v>
      </c>
      <c r="G1847" s="949">
        <f t="shared" si="469"/>
        <v>0.75678100000000004</v>
      </c>
      <c r="H1847" s="901"/>
      <c r="I1847" s="901"/>
      <c r="J1847" s="902">
        <f t="shared" si="448"/>
        <v>0</v>
      </c>
      <c r="K1847" s="903"/>
      <c r="L1847" s="1039">
        <f>ROUND(SUM('RES. CENTRAL PARK:RUA_FINAL'!L1847),2)</f>
        <v>0</v>
      </c>
      <c r="M1847" s="1039">
        <f t="shared" si="455"/>
        <v>0</v>
      </c>
      <c r="N1847" s="893">
        <f t="shared" si="456"/>
        <v>0</v>
      </c>
      <c r="O1847" s="905"/>
      <c r="P1847" s="36" t="str">
        <f>IF(N1844&gt;0,"xx",IF(N1844&gt;0,"xy",""))</f>
        <v/>
      </c>
      <c r="Q1847" s="317" t="str">
        <f t="shared" si="457"/>
        <v/>
      </c>
      <c r="R1847" s="317" t="str">
        <f t="shared" si="458"/>
        <v/>
      </c>
      <c r="S1847" s="317" t="str">
        <f t="shared" si="459"/>
        <v/>
      </c>
      <c r="V1847" s="314">
        <f>SUM('RES. CENTRAL PARK:RUA_FINAL'!N1847)</f>
        <v>0</v>
      </c>
      <c r="W1847" s="315">
        <f t="shared" si="461"/>
        <v>0</v>
      </c>
    </row>
    <row r="1848" spans="1:23" ht="13.5" hidden="1" thickBot="1" x14ac:dyDescent="0.25">
      <c r="A1848" s="63">
        <v>620000</v>
      </c>
      <c r="B1848" s="895" t="s">
        <v>1814</v>
      </c>
      <c r="C1848" s="896" t="s">
        <v>184</v>
      </c>
      <c r="D1848" s="906" t="s">
        <v>343</v>
      </c>
      <c r="E1848" s="907"/>
      <c r="F1848" s="908"/>
      <c r="G1848" s="912">
        <f>SUM(G1849:G1851)</f>
        <v>97.780856400000005</v>
      </c>
      <c r="H1848" s="901">
        <v>643.26</v>
      </c>
      <c r="I1848" s="901">
        <f>IF(ISBLANK(H1848),"",SUM(G1848:H1848))</f>
        <v>741.04085639999994</v>
      </c>
      <c r="J1848" s="902">
        <f t="shared" si="448"/>
        <v>889.77</v>
      </c>
      <c r="K1848" s="903" t="s">
        <v>15</v>
      </c>
      <c r="L1848" s="1039">
        <f>ROUND(SUM('RES. CENTRAL PARK:RUA_FINAL'!L1848),2)</f>
        <v>0</v>
      </c>
      <c r="M1848" s="1039">
        <f t="shared" si="455"/>
        <v>0</v>
      </c>
      <c r="N1848" s="893">
        <f t="shared" si="456"/>
        <v>0</v>
      </c>
      <c r="O1848" s="905"/>
      <c r="Q1848" s="317" t="str">
        <f t="shared" si="457"/>
        <v/>
      </c>
      <c r="R1848" s="317" t="str">
        <f t="shared" si="458"/>
        <v/>
      </c>
      <c r="S1848" s="317" t="str">
        <f t="shared" si="459"/>
        <v/>
      </c>
      <c r="V1848" s="314">
        <f>SUM('RES. CENTRAL PARK:RUA_FINAL'!N1848)</f>
        <v>0</v>
      </c>
      <c r="W1848" s="315">
        <f t="shared" si="461"/>
        <v>0</v>
      </c>
    </row>
    <row r="1849" spans="1:23" ht="13.5" hidden="1" thickBot="1" x14ac:dyDescent="0.25">
      <c r="A1849" s="63" t="s">
        <v>147</v>
      </c>
      <c r="B1849" s="895" t="s">
        <v>147</v>
      </c>
      <c r="C1849" s="896"/>
      <c r="D1849" s="906" t="s">
        <v>190</v>
      </c>
      <c r="E1849" s="907">
        <f>DMT!$D$20</f>
        <v>308</v>
      </c>
      <c r="F1849" s="908">
        <v>0.1154</v>
      </c>
      <c r="G1849" s="909">
        <f>IF(E1849&lt;=30,(0.78*E1849+7.82)*F1849,((0.78*30+7.82)+0.78*(E1849-30))*F1849)</f>
        <v>28.626124000000001</v>
      </c>
      <c r="H1849" s="901"/>
      <c r="I1849" s="901"/>
      <c r="J1849" s="902">
        <f t="shared" si="448"/>
        <v>0</v>
      </c>
      <c r="K1849" s="903"/>
      <c r="L1849" s="1039">
        <f>ROUND(SUM('RES. CENTRAL PARK:RUA_FINAL'!L1849),2)</f>
        <v>0</v>
      </c>
      <c r="M1849" s="1039">
        <f t="shared" si="455"/>
        <v>0</v>
      </c>
      <c r="N1849" s="893">
        <f t="shared" si="456"/>
        <v>0</v>
      </c>
      <c r="O1849" s="905"/>
      <c r="P1849" s="36" t="str">
        <f>IF(N1848&gt;0,"xx",IF(N1848&gt;0,"xy",""))</f>
        <v/>
      </c>
      <c r="Q1849" s="317" t="str">
        <f t="shared" si="457"/>
        <v/>
      </c>
      <c r="R1849" s="317" t="str">
        <f t="shared" si="458"/>
        <v/>
      </c>
      <c r="S1849" s="317" t="str">
        <f t="shared" si="459"/>
        <v/>
      </c>
      <c r="V1849" s="314">
        <f>SUM('RES. CENTRAL PARK:RUA_FINAL'!N1849)</f>
        <v>0</v>
      </c>
      <c r="W1849" s="315">
        <f t="shared" si="461"/>
        <v>0</v>
      </c>
    </row>
    <row r="1850" spans="1:23" ht="13.5" hidden="1" thickBot="1" x14ac:dyDescent="0.25">
      <c r="A1850" s="63" t="s">
        <v>147</v>
      </c>
      <c r="B1850" s="895" t="s">
        <v>147</v>
      </c>
      <c r="C1850" s="896"/>
      <c r="D1850" s="906" t="s">
        <v>229</v>
      </c>
      <c r="E1850" s="907">
        <f>DMT!$F$8</f>
        <v>150</v>
      </c>
      <c r="F1850" s="908">
        <v>0.41049999999999998</v>
      </c>
      <c r="G1850" s="949">
        <f t="shared" ref="G1850:G1851" si="470">IF(E1850&lt;=30,(1.07*E1850+2.68)*F1850,((1.07*30+2.68)+1.07*(E1850-30))*F1850)</f>
        <v>66.985389999999995</v>
      </c>
      <c r="H1850" s="901"/>
      <c r="I1850" s="901"/>
      <c r="J1850" s="902">
        <f t="shared" ref="J1850:J1913" si="471">IF(ISBLANK(H1850),0,ROUND(I1850*(1+$E$10),2))</f>
        <v>0</v>
      </c>
      <c r="K1850" s="903"/>
      <c r="L1850" s="1039">
        <f>ROUND(SUM('RES. CENTRAL PARK:RUA_FINAL'!L1850),2)</f>
        <v>0</v>
      </c>
      <c r="M1850" s="1039">
        <f t="shared" si="455"/>
        <v>0</v>
      </c>
      <c r="N1850" s="893">
        <f t="shared" si="456"/>
        <v>0</v>
      </c>
      <c r="O1850" s="905"/>
      <c r="P1850" s="36" t="str">
        <f>IF(N1848&gt;0,"xx",IF(N1848&gt;0,"xy",""))</f>
        <v/>
      </c>
      <c r="Q1850" s="317" t="str">
        <f t="shared" si="457"/>
        <v/>
      </c>
      <c r="R1850" s="317" t="str">
        <f t="shared" si="458"/>
        <v/>
      </c>
      <c r="S1850" s="317" t="str">
        <f t="shared" si="459"/>
        <v/>
      </c>
      <c r="V1850" s="314">
        <f>SUM('RES. CENTRAL PARK:RUA_FINAL'!N1850)</f>
        <v>0</v>
      </c>
      <c r="W1850" s="315">
        <f t="shared" si="461"/>
        <v>0</v>
      </c>
    </row>
    <row r="1851" spans="1:23" ht="13.5" hidden="1" thickBot="1" x14ac:dyDescent="0.25">
      <c r="A1851" s="63" t="s">
        <v>147</v>
      </c>
      <c r="B1851" s="895" t="s">
        <v>147</v>
      </c>
      <c r="C1851" s="896"/>
      <c r="D1851" s="906" t="s">
        <v>233</v>
      </c>
      <c r="E1851" s="907">
        <f>DMT!$F$10</f>
        <v>0.2</v>
      </c>
      <c r="F1851" s="908">
        <v>0.74960000000000004</v>
      </c>
      <c r="G1851" s="949">
        <f t="shared" si="470"/>
        <v>2.1693424000000001</v>
      </c>
      <c r="H1851" s="901"/>
      <c r="I1851" s="901"/>
      <c r="J1851" s="902">
        <f t="shared" si="471"/>
        <v>0</v>
      </c>
      <c r="K1851" s="903"/>
      <c r="L1851" s="1039">
        <f>ROUND(SUM('RES. CENTRAL PARK:RUA_FINAL'!L1851),2)</f>
        <v>0</v>
      </c>
      <c r="M1851" s="1039">
        <f t="shared" si="455"/>
        <v>0</v>
      </c>
      <c r="N1851" s="893">
        <f t="shared" si="456"/>
        <v>0</v>
      </c>
      <c r="O1851" s="905"/>
      <c r="P1851" s="36" t="str">
        <f>IF(N1848&gt;0,"xx",IF(N1848&gt;0,"xy",""))</f>
        <v/>
      </c>
      <c r="Q1851" s="317" t="str">
        <f t="shared" si="457"/>
        <v/>
      </c>
      <c r="R1851" s="317" t="str">
        <f t="shared" si="458"/>
        <v/>
      </c>
      <c r="S1851" s="317" t="str">
        <f t="shared" si="459"/>
        <v/>
      </c>
      <c r="V1851" s="314">
        <f>SUM('RES. CENTRAL PARK:RUA_FINAL'!N1851)</f>
        <v>0</v>
      </c>
      <c r="W1851" s="315">
        <f t="shared" si="461"/>
        <v>0</v>
      </c>
    </row>
    <row r="1852" spans="1:23" ht="13.5" hidden="1" thickBot="1" x14ac:dyDescent="0.25">
      <c r="A1852" s="63">
        <v>620000</v>
      </c>
      <c r="B1852" s="895" t="s">
        <v>1815</v>
      </c>
      <c r="C1852" s="896" t="s">
        <v>184</v>
      </c>
      <c r="D1852" s="906" t="s">
        <v>523</v>
      </c>
      <c r="E1852" s="907"/>
      <c r="F1852" s="908"/>
      <c r="G1852" s="912">
        <f>SUM(G1853:G1855)</f>
        <v>132.68094340000002</v>
      </c>
      <c r="H1852" s="901">
        <v>643.26</v>
      </c>
      <c r="I1852" s="901">
        <f>IF(ISBLANK(H1852),"",SUM(G1852:H1852))</f>
        <v>775.94094340000004</v>
      </c>
      <c r="J1852" s="902">
        <f t="shared" si="471"/>
        <v>931.67</v>
      </c>
      <c r="K1852" s="903" t="s">
        <v>15</v>
      </c>
      <c r="L1852" s="1039">
        <f>ROUND(SUM('RES. CENTRAL PARK:RUA_FINAL'!L1852),2)</f>
        <v>0</v>
      </c>
      <c r="M1852" s="1039">
        <f t="shared" si="455"/>
        <v>0</v>
      </c>
      <c r="N1852" s="893">
        <f t="shared" si="456"/>
        <v>0</v>
      </c>
      <c r="O1852" s="905"/>
      <c r="Q1852" s="317" t="str">
        <f t="shared" si="457"/>
        <v/>
      </c>
      <c r="R1852" s="317" t="str">
        <f t="shared" si="458"/>
        <v/>
      </c>
      <c r="S1852" s="317" t="str">
        <f t="shared" si="459"/>
        <v/>
      </c>
      <c r="V1852" s="314">
        <f>SUM('RES. CENTRAL PARK:RUA_FINAL'!N1852)</f>
        <v>0</v>
      </c>
      <c r="W1852" s="315">
        <f t="shared" si="461"/>
        <v>0</v>
      </c>
    </row>
    <row r="1853" spans="1:23" ht="13.5" hidden="1" thickBot="1" x14ac:dyDescent="0.25">
      <c r="A1853" s="63" t="s">
        <v>147</v>
      </c>
      <c r="B1853" s="895" t="s">
        <v>147</v>
      </c>
      <c r="C1853" s="896"/>
      <c r="D1853" s="906" t="s">
        <v>190</v>
      </c>
      <c r="E1853" s="907">
        <f>DMT!$D$20</f>
        <v>308</v>
      </c>
      <c r="F1853" s="908">
        <v>0.15659999999999999</v>
      </c>
      <c r="G1853" s="909">
        <f>IF(E1853&lt;=30,(0.78*E1853+7.82)*F1853,((0.78*30+7.82)+0.78*(E1853-30))*F1853)</f>
        <v>38.846195999999999</v>
      </c>
      <c r="H1853" s="901"/>
      <c r="I1853" s="901"/>
      <c r="J1853" s="902">
        <f t="shared" si="471"/>
        <v>0</v>
      </c>
      <c r="K1853" s="903"/>
      <c r="L1853" s="1039">
        <f>ROUND(SUM('RES. CENTRAL PARK:RUA_FINAL'!L1853),2)</f>
        <v>0</v>
      </c>
      <c r="M1853" s="1039">
        <f t="shared" si="455"/>
        <v>0</v>
      </c>
      <c r="N1853" s="893">
        <f t="shared" si="456"/>
        <v>0</v>
      </c>
      <c r="O1853" s="905"/>
      <c r="P1853" s="36" t="str">
        <f>IF(N1852&gt;0,"xx",IF(N1852&gt;0,"xy",""))</f>
        <v/>
      </c>
      <c r="Q1853" s="317" t="str">
        <f t="shared" si="457"/>
        <v/>
      </c>
      <c r="R1853" s="317" t="str">
        <f t="shared" si="458"/>
        <v/>
      </c>
      <c r="S1853" s="317" t="str">
        <f t="shared" si="459"/>
        <v/>
      </c>
      <c r="V1853" s="314">
        <f>SUM('RES. CENTRAL PARK:RUA_FINAL'!N1853)</f>
        <v>0</v>
      </c>
      <c r="W1853" s="315">
        <f t="shared" si="461"/>
        <v>0</v>
      </c>
    </row>
    <row r="1854" spans="1:23" ht="13.5" hidden="1" thickBot="1" x14ac:dyDescent="0.25">
      <c r="A1854" s="63" t="s">
        <v>147</v>
      </c>
      <c r="B1854" s="895" t="s">
        <v>147</v>
      </c>
      <c r="C1854" s="896"/>
      <c r="D1854" s="906" t="s">
        <v>229</v>
      </c>
      <c r="E1854" s="907">
        <f>DMT!$F$8</f>
        <v>150</v>
      </c>
      <c r="F1854" s="908">
        <v>0.55700000000000005</v>
      </c>
      <c r="G1854" s="949">
        <f t="shared" ref="G1854:G1855" si="472">IF(E1854&lt;=30,(1.07*E1854+2.68)*F1854,((1.07*30+2.68)+1.07*(E1854-30))*F1854)</f>
        <v>90.891260000000017</v>
      </c>
      <c r="H1854" s="901"/>
      <c r="I1854" s="901"/>
      <c r="J1854" s="902">
        <f t="shared" si="471"/>
        <v>0</v>
      </c>
      <c r="K1854" s="903"/>
      <c r="L1854" s="1039">
        <f>ROUND(SUM('RES. CENTRAL PARK:RUA_FINAL'!L1854),2)</f>
        <v>0</v>
      </c>
      <c r="M1854" s="1039">
        <f t="shared" si="455"/>
        <v>0</v>
      </c>
      <c r="N1854" s="893">
        <f t="shared" si="456"/>
        <v>0</v>
      </c>
      <c r="O1854" s="905"/>
      <c r="P1854" s="36" t="str">
        <f>IF(N1852&gt;0,"xx",IF(N1852&gt;0,"xy",""))</f>
        <v/>
      </c>
      <c r="Q1854" s="317" t="str">
        <f t="shared" si="457"/>
        <v/>
      </c>
      <c r="R1854" s="317" t="str">
        <f t="shared" si="458"/>
        <v/>
      </c>
      <c r="S1854" s="317" t="str">
        <f t="shared" si="459"/>
        <v/>
      </c>
      <c r="V1854" s="314">
        <f>SUM('RES. CENTRAL PARK:RUA_FINAL'!N1854)</f>
        <v>0</v>
      </c>
      <c r="W1854" s="315">
        <f t="shared" si="461"/>
        <v>0</v>
      </c>
    </row>
    <row r="1855" spans="1:23" ht="13.5" hidden="1" thickBot="1" x14ac:dyDescent="0.25">
      <c r="A1855" s="63" t="s">
        <v>147</v>
      </c>
      <c r="B1855" s="895" t="s">
        <v>147</v>
      </c>
      <c r="C1855" s="896"/>
      <c r="D1855" s="906" t="s">
        <v>233</v>
      </c>
      <c r="E1855" s="907">
        <f>DMT!$F$10</f>
        <v>0.2</v>
      </c>
      <c r="F1855" s="908">
        <v>1.0170999999999999</v>
      </c>
      <c r="G1855" s="949">
        <f t="shared" si="472"/>
        <v>2.9434874</v>
      </c>
      <c r="H1855" s="901"/>
      <c r="I1855" s="901"/>
      <c r="J1855" s="902">
        <f t="shared" si="471"/>
        <v>0</v>
      </c>
      <c r="K1855" s="903"/>
      <c r="L1855" s="1039">
        <f>ROUND(SUM('RES. CENTRAL PARK:RUA_FINAL'!L1855),2)</f>
        <v>0</v>
      </c>
      <c r="M1855" s="1039">
        <f t="shared" si="455"/>
        <v>0</v>
      </c>
      <c r="N1855" s="893">
        <f t="shared" si="456"/>
        <v>0</v>
      </c>
      <c r="O1855" s="905"/>
      <c r="P1855" s="36" t="str">
        <f>IF(N1852&gt;0,"xx",IF(N1852&gt;0,"xy",""))</f>
        <v/>
      </c>
      <c r="Q1855" s="317" t="str">
        <f t="shared" si="457"/>
        <v/>
      </c>
      <c r="R1855" s="317" t="str">
        <f t="shared" si="458"/>
        <v/>
      </c>
      <c r="S1855" s="317" t="str">
        <f t="shared" si="459"/>
        <v/>
      </c>
      <c r="V1855" s="314">
        <f>SUM('RES. CENTRAL PARK:RUA_FINAL'!N1855)</f>
        <v>0</v>
      </c>
      <c r="W1855" s="315">
        <f t="shared" si="461"/>
        <v>0</v>
      </c>
    </row>
    <row r="1856" spans="1:23" ht="13.5" hidden="1" thickBot="1" x14ac:dyDescent="0.25">
      <c r="A1856" s="63">
        <v>620100</v>
      </c>
      <c r="B1856" s="895" t="s">
        <v>1816</v>
      </c>
      <c r="C1856" s="896" t="s">
        <v>184</v>
      </c>
      <c r="D1856" s="906" t="s">
        <v>344</v>
      </c>
      <c r="E1856" s="907"/>
      <c r="F1856" s="908"/>
      <c r="G1856" s="912">
        <f>SUM(G1857:G1859)</f>
        <v>167.58103040000003</v>
      </c>
      <c r="H1856" s="901">
        <v>954.15</v>
      </c>
      <c r="I1856" s="901">
        <f>IF(ISBLANK(H1856),"",SUM(G1856:H1856))</f>
        <v>1121.7310304</v>
      </c>
      <c r="J1856" s="902">
        <f t="shared" si="471"/>
        <v>1346.86</v>
      </c>
      <c r="K1856" s="903" t="s">
        <v>15</v>
      </c>
      <c r="L1856" s="1039">
        <f>ROUND(SUM('RES. CENTRAL PARK:RUA_FINAL'!L1856),2)</f>
        <v>0</v>
      </c>
      <c r="M1856" s="1039">
        <f t="shared" si="455"/>
        <v>0</v>
      </c>
      <c r="N1856" s="893">
        <f t="shared" si="456"/>
        <v>0</v>
      </c>
      <c r="O1856" s="905"/>
      <c r="Q1856" s="317" t="str">
        <f t="shared" si="457"/>
        <v/>
      </c>
      <c r="R1856" s="317" t="str">
        <f t="shared" si="458"/>
        <v/>
      </c>
      <c r="S1856" s="317" t="str">
        <f t="shared" si="459"/>
        <v/>
      </c>
      <c r="V1856" s="314">
        <f>SUM('RES. CENTRAL PARK:RUA_FINAL'!N1856)</f>
        <v>0</v>
      </c>
      <c r="W1856" s="315">
        <f t="shared" si="461"/>
        <v>0</v>
      </c>
    </row>
    <row r="1857" spans="1:23" ht="13.5" hidden="1" thickBot="1" x14ac:dyDescent="0.25">
      <c r="A1857" s="63" t="s">
        <v>147</v>
      </c>
      <c r="B1857" s="895" t="s">
        <v>147</v>
      </c>
      <c r="C1857" s="896"/>
      <c r="D1857" s="906" t="s">
        <v>190</v>
      </c>
      <c r="E1857" s="907">
        <f>DMT!$D$20</f>
        <v>308</v>
      </c>
      <c r="F1857" s="908">
        <v>0.1978</v>
      </c>
      <c r="G1857" s="909">
        <f>IF(E1857&lt;=30,(0.78*E1857+7.82)*F1857,((0.78*30+7.82)+0.78*(E1857-30))*F1857)</f>
        <v>49.066268000000001</v>
      </c>
      <c r="H1857" s="901"/>
      <c r="I1857" s="901"/>
      <c r="J1857" s="902">
        <f t="shared" si="471"/>
        <v>0</v>
      </c>
      <c r="K1857" s="903"/>
      <c r="L1857" s="1039">
        <f>ROUND(SUM('RES. CENTRAL PARK:RUA_FINAL'!L1857),2)</f>
        <v>0</v>
      </c>
      <c r="M1857" s="1039">
        <f t="shared" si="455"/>
        <v>0</v>
      </c>
      <c r="N1857" s="893">
        <f t="shared" si="456"/>
        <v>0</v>
      </c>
      <c r="O1857" s="905"/>
      <c r="P1857" s="36" t="str">
        <f>IF(N1856&gt;0,"xx",IF(N1856&gt;0,"xy",""))</f>
        <v/>
      </c>
      <c r="Q1857" s="317" t="str">
        <f t="shared" si="457"/>
        <v/>
      </c>
      <c r="R1857" s="317" t="str">
        <f t="shared" si="458"/>
        <v/>
      </c>
      <c r="S1857" s="317" t="str">
        <f t="shared" si="459"/>
        <v/>
      </c>
      <c r="V1857" s="314">
        <f>SUM('RES. CENTRAL PARK:RUA_FINAL'!N1857)</f>
        <v>0</v>
      </c>
      <c r="W1857" s="315">
        <f t="shared" si="461"/>
        <v>0</v>
      </c>
    </row>
    <row r="1858" spans="1:23" ht="13.5" hidden="1" thickBot="1" x14ac:dyDescent="0.25">
      <c r="A1858" s="63" t="s">
        <v>147</v>
      </c>
      <c r="B1858" s="895" t="s">
        <v>147</v>
      </c>
      <c r="C1858" s="896"/>
      <c r="D1858" s="906" t="s">
        <v>229</v>
      </c>
      <c r="E1858" s="907">
        <f>DMT!$F$8</f>
        <v>150</v>
      </c>
      <c r="F1858" s="908">
        <v>0.70350000000000001</v>
      </c>
      <c r="G1858" s="949">
        <f t="shared" ref="G1858:G1859" si="473">IF(E1858&lt;=30,(1.07*E1858+2.68)*F1858,((1.07*30+2.68)+1.07*(E1858-30))*F1858)</f>
        <v>114.79713000000001</v>
      </c>
      <c r="H1858" s="901"/>
      <c r="I1858" s="901"/>
      <c r="J1858" s="902">
        <f t="shared" si="471"/>
        <v>0</v>
      </c>
      <c r="K1858" s="903"/>
      <c r="L1858" s="1039">
        <f>ROUND(SUM('RES. CENTRAL PARK:RUA_FINAL'!L1858),2)</f>
        <v>0</v>
      </c>
      <c r="M1858" s="1039">
        <f t="shared" si="455"/>
        <v>0</v>
      </c>
      <c r="N1858" s="893">
        <f t="shared" si="456"/>
        <v>0</v>
      </c>
      <c r="O1858" s="905"/>
      <c r="P1858" s="36" t="str">
        <f>IF(N1856&gt;0,"xx",IF(N1856&gt;0,"xy",""))</f>
        <v/>
      </c>
      <c r="Q1858" s="317" t="str">
        <f t="shared" si="457"/>
        <v/>
      </c>
      <c r="R1858" s="317" t="str">
        <f t="shared" si="458"/>
        <v/>
      </c>
      <c r="S1858" s="317" t="str">
        <f t="shared" si="459"/>
        <v/>
      </c>
      <c r="V1858" s="314">
        <f>SUM('RES. CENTRAL PARK:RUA_FINAL'!N1858)</f>
        <v>0</v>
      </c>
      <c r="W1858" s="315">
        <f t="shared" si="461"/>
        <v>0</v>
      </c>
    </row>
    <row r="1859" spans="1:23" ht="13.5" hidden="1" thickBot="1" x14ac:dyDescent="0.25">
      <c r="A1859" s="63" t="s">
        <v>147</v>
      </c>
      <c r="B1859" s="895" t="s">
        <v>147</v>
      </c>
      <c r="C1859" s="896"/>
      <c r="D1859" s="906" t="s">
        <v>233</v>
      </c>
      <c r="E1859" s="907">
        <f>DMT!$F$10</f>
        <v>0.2</v>
      </c>
      <c r="F1859" s="908">
        <v>1.2846</v>
      </c>
      <c r="G1859" s="949">
        <f t="shared" si="473"/>
        <v>3.7176324000000003</v>
      </c>
      <c r="H1859" s="901"/>
      <c r="I1859" s="901"/>
      <c r="J1859" s="902">
        <f t="shared" si="471"/>
        <v>0</v>
      </c>
      <c r="K1859" s="903"/>
      <c r="L1859" s="1039">
        <f>ROUND(SUM('RES. CENTRAL PARK:RUA_FINAL'!L1859),2)</f>
        <v>0</v>
      </c>
      <c r="M1859" s="1039">
        <f t="shared" si="455"/>
        <v>0</v>
      </c>
      <c r="N1859" s="893">
        <f t="shared" si="456"/>
        <v>0</v>
      </c>
      <c r="O1859" s="905"/>
      <c r="P1859" s="36" t="str">
        <f>IF(N1856&gt;0,"xx",IF(N1856&gt;0,"xy",""))</f>
        <v/>
      </c>
      <c r="Q1859" s="317" t="str">
        <f t="shared" si="457"/>
        <v/>
      </c>
      <c r="R1859" s="317" t="str">
        <f t="shared" si="458"/>
        <v/>
      </c>
      <c r="S1859" s="317" t="str">
        <f t="shared" si="459"/>
        <v/>
      </c>
      <c r="V1859" s="314">
        <f>SUM('RES. CENTRAL PARK:RUA_FINAL'!N1859)</f>
        <v>0</v>
      </c>
      <c r="W1859" s="315">
        <f t="shared" si="461"/>
        <v>0</v>
      </c>
    </row>
    <row r="1860" spans="1:23" ht="13.5" hidden="1" thickBot="1" x14ac:dyDescent="0.25">
      <c r="A1860" s="63">
        <v>620100</v>
      </c>
      <c r="B1860" s="895" t="s">
        <v>1817</v>
      </c>
      <c r="C1860" s="896" t="s">
        <v>184</v>
      </c>
      <c r="D1860" s="906" t="s">
        <v>524</v>
      </c>
      <c r="E1860" s="907"/>
      <c r="F1860" s="908"/>
      <c r="G1860" s="912">
        <f>SUM(G1861:G1863)</f>
        <v>202.41826639999999</v>
      </c>
      <c r="H1860" s="901">
        <v>954.15</v>
      </c>
      <c r="I1860" s="901">
        <f>IF(ISBLANK(H1860),"",SUM(G1860:H1860))</f>
        <v>1156.5682664000001</v>
      </c>
      <c r="J1860" s="902">
        <f t="shared" si="471"/>
        <v>1388.69</v>
      </c>
      <c r="K1860" s="903" t="s">
        <v>15</v>
      </c>
      <c r="L1860" s="1039">
        <f>ROUND(SUM('RES. CENTRAL PARK:RUA_FINAL'!L1860),2)</f>
        <v>0</v>
      </c>
      <c r="M1860" s="1039">
        <f t="shared" si="455"/>
        <v>0</v>
      </c>
      <c r="N1860" s="893">
        <f t="shared" si="456"/>
        <v>0</v>
      </c>
      <c r="O1860" s="905"/>
      <c r="Q1860" s="317" t="str">
        <f t="shared" si="457"/>
        <v/>
      </c>
      <c r="R1860" s="317" t="str">
        <f t="shared" si="458"/>
        <v/>
      </c>
      <c r="S1860" s="317" t="str">
        <f t="shared" si="459"/>
        <v/>
      </c>
      <c r="V1860" s="314">
        <f>SUM('RES. CENTRAL PARK:RUA_FINAL'!N1860)</f>
        <v>0</v>
      </c>
      <c r="W1860" s="315">
        <f t="shared" si="461"/>
        <v>0</v>
      </c>
    </row>
    <row r="1861" spans="1:23" ht="13.5" hidden="1" thickBot="1" x14ac:dyDescent="0.25">
      <c r="A1861" s="63" t="s">
        <v>147</v>
      </c>
      <c r="B1861" s="895" t="s">
        <v>147</v>
      </c>
      <c r="C1861" s="896"/>
      <c r="D1861" s="906" t="s">
        <v>190</v>
      </c>
      <c r="E1861" s="907">
        <f>DMT!$D$20</f>
        <v>308</v>
      </c>
      <c r="F1861" s="908">
        <v>0.2424</v>
      </c>
      <c r="G1861" s="909">
        <f>IF(E1861&lt;=30,(0.78*E1861+7.82)*F1861,((0.78*30+7.82)+0.78*(E1861-30))*F1861)</f>
        <v>60.129744000000002</v>
      </c>
      <c r="H1861" s="901"/>
      <c r="I1861" s="901"/>
      <c r="J1861" s="902">
        <f t="shared" si="471"/>
        <v>0</v>
      </c>
      <c r="K1861" s="903"/>
      <c r="L1861" s="1039">
        <f>ROUND(SUM('RES. CENTRAL PARK:RUA_FINAL'!L1861),2)</f>
        <v>0</v>
      </c>
      <c r="M1861" s="1039">
        <f t="shared" si="455"/>
        <v>0</v>
      </c>
      <c r="N1861" s="893">
        <f t="shared" si="456"/>
        <v>0</v>
      </c>
      <c r="O1861" s="905"/>
      <c r="P1861" s="36" t="str">
        <f>IF(N1860&gt;0,"xx",IF(N1860&gt;0,"xy",""))</f>
        <v/>
      </c>
      <c r="Q1861" s="317" t="str">
        <f t="shared" si="457"/>
        <v/>
      </c>
      <c r="R1861" s="317" t="str">
        <f t="shared" si="458"/>
        <v/>
      </c>
      <c r="S1861" s="317" t="str">
        <f t="shared" si="459"/>
        <v/>
      </c>
      <c r="V1861" s="314">
        <f>SUM('RES. CENTRAL PARK:RUA_FINAL'!N1861)</f>
        <v>0</v>
      </c>
      <c r="W1861" s="315">
        <f t="shared" si="461"/>
        <v>0</v>
      </c>
    </row>
    <row r="1862" spans="1:23" ht="13.5" hidden="1" thickBot="1" x14ac:dyDescent="0.25">
      <c r="A1862" s="63" t="s">
        <v>147</v>
      </c>
      <c r="B1862" s="895" t="s">
        <v>147</v>
      </c>
      <c r="C1862" s="896"/>
      <c r="D1862" s="906" t="s">
        <v>229</v>
      </c>
      <c r="E1862" s="907">
        <f>DMT!$F$8</f>
        <v>150</v>
      </c>
      <c r="F1862" s="908">
        <v>0.86180000000000001</v>
      </c>
      <c r="G1862" s="949">
        <f t="shared" ref="G1862:G1863" si="474">IF(E1862&lt;=30,(1.07*E1862+2.68)*F1862,((1.07*30+2.68)+1.07*(E1862-30))*F1862)</f>
        <v>140.628524</v>
      </c>
      <c r="H1862" s="901"/>
      <c r="I1862" s="901"/>
      <c r="J1862" s="902">
        <f t="shared" si="471"/>
        <v>0</v>
      </c>
      <c r="K1862" s="903"/>
      <c r="L1862" s="1039">
        <f>ROUND(SUM('RES. CENTRAL PARK:RUA_FINAL'!L1862),2)</f>
        <v>0</v>
      </c>
      <c r="M1862" s="1039">
        <f t="shared" si="455"/>
        <v>0</v>
      </c>
      <c r="N1862" s="893">
        <f t="shared" si="456"/>
        <v>0</v>
      </c>
      <c r="O1862" s="905"/>
      <c r="P1862" s="36" t="str">
        <f>IF(N1860&gt;0,"xx",IF(N1860&gt;0,"xy",""))</f>
        <v/>
      </c>
      <c r="Q1862" s="317" t="str">
        <f t="shared" si="457"/>
        <v/>
      </c>
      <c r="R1862" s="317" t="str">
        <f t="shared" si="458"/>
        <v/>
      </c>
      <c r="S1862" s="317" t="str">
        <f t="shared" si="459"/>
        <v/>
      </c>
      <c r="V1862" s="314">
        <f>SUM('RES. CENTRAL PARK:RUA_FINAL'!N1862)</f>
        <v>0</v>
      </c>
      <c r="W1862" s="315">
        <f t="shared" si="461"/>
        <v>0</v>
      </c>
    </row>
    <row r="1863" spans="1:23" ht="13.5" hidden="1" thickBot="1" x14ac:dyDescent="0.25">
      <c r="A1863" s="63" t="s">
        <v>147</v>
      </c>
      <c r="B1863" s="895" t="s">
        <v>147</v>
      </c>
      <c r="C1863" s="896"/>
      <c r="D1863" s="906" t="s">
        <v>233</v>
      </c>
      <c r="E1863" s="907">
        <f>DMT!$F$10</f>
        <v>0.2</v>
      </c>
      <c r="F1863" s="908">
        <v>0.5736</v>
      </c>
      <c r="G1863" s="949">
        <f t="shared" si="474"/>
        <v>1.6599984000000001</v>
      </c>
      <c r="H1863" s="901"/>
      <c r="I1863" s="901"/>
      <c r="J1863" s="902">
        <f t="shared" si="471"/>
        <v>0</v>
      </c>
      <c r="K1863" s="903"/>
      <c r="L1863" s="1039">
        <f>ROUND(SUM('RES. CENTRAL PARK:RUA_FINAL'!L1863),2)</f>
        <v>0</v>
      </c>
      <c r="M1863" s="1039">
        <f t="shared" si="455"/>
        <v>0</v>
      </c>
      <c r="N1863" s="893">
        <f t="shared" si="456"/>
        <v>0</v>
      </c>
      <c r="O1863" s="905"/>
      <c r="P1863" s="36" t="str">
        <f>IF(N1860&gt;0,"xx",IF(N1860&gt;0,"xy",""))</f>
        <v/>
      </c>
      <c r="Q1863" s="317" t="str">
        <f t="shared" si="457"/>
        <v/>
      </c>
      <c r="R1863" s="317" t="str">
        <f t="shared" si="458"/>
        <v/>
      </c>
      <c r="S1863" s="317" t="str">
        <f t="shared" si="459"/>
        <v/>
      </c>
      <c r="V1863" s="314">
        <f>SUM('RES. CENTRAL PARK:RUA_FINAL'!N1863)</f>
        <v>0</v>
      </c>
      <c r="W1863" s="315">
        <f t="shared" si="461"/>
        <v>0</v>
      </c>
    </row>
    <row r="1864" spans="1:23" ht="13.5" hidden="1" thickBot="1" x14ac:dyDescent="0.25">
      <c r="A1864" s="63">
        <v>620200</v>
      </c>
      <c r="B1864" s="895" t="s">
        <v>1820</v>
      </c>
      <c r="C1864" s="896" t="s">
        <v>184</v>
      </c>
      <c r="D1864" s="906" t="s">
        <v>345</v>
      </c>
      <c r="E1864" s="907"/>
      <c r="F1864" s="908"/>
      <c r="G1864" s="912">
        <f>SUM(G1865:G1867)</f>
        <v>243.00208899999998</v>
      </c>
      <c r="H1864" s="901">
        <v>1321.46</v>
      </c>
      <c r="I1864" s="901">
        <f>IF(ISBLANK(H1864),"",SUM(G1864:H1864))</f>
        <v>1564.4620890000001</v>
      </c>
      <c r="J1864" s="902">
        <f t="shared" si="471"/>
        <v>1878.45</v>
      </c>
      <c r="K1864" s="903" t="s">
        <v>15</v>
      </c>
      <c r="L1864" s="1039">
        <f>ROUND(SUM('RES. CENTRAL PARK:RUA_FINAL'!L1864),2)</f>
        <v>0</v>
      </c>
      <c r="M1864" s="1039">
        <f t="shared" si="455"/>
        <v>0</v>
      </c>
      <c r="N1864" s="893">
        <f t="shared" si="456"/>
        <v>0</v>
      </c>
      <c r="O1864" s="905"/>
      <c r="Q1864" s="317" t="str">
        <f t="shared" si="457"/>
        <v/>
      </c>
      <c r="R1864" s="317" t="str">
        <f t="shared" si="458"/>
        <v/>
      </c>
      <c r="S1864" s="317" t="str">
        <f t="shared" si="459"/>
        <v/>
      </c>
      <c r="V1864" s="314">
        <f>SUM('RES. CENTRAL PARK:RUA_FINAL'!N1864)</f>
        <v>0</v>
      </c>
      <c r="W1864" s="315">
        <f t="shared" si="461"/>
        <v>0</v>
      </c>
    </row>
    <row r="1865" spans="1:23" ht="13.5" hidden="1" thickBot="1" x14ac:dyDescent="0.25">
      <c r="A1865" s="63" t="s">
        <v>147</v>
      </c>
      <c r="B1865" s="895" t="s">
        <v>147</v>
      </c>
      <c r="C1865" s="896"/>
      <c r="D1865" s="906" t="s">
        <v>190</v>
      </c>
      <c r="E1865" s="907">
        <f>DMT!$D$20</f>
        <v>308</v>
      </c>
      <c r="F1865" s="908">
        <v>0.28689999999999999</v>
      </c>
      <c r="G1865" s="909">
        <f>IF(E1865&lt;=30,(0.78*E1865+7.82)*F1865,((0.78*30+7.82)+0.78*(E1865-30))*F1865)</f>
        <v>71.168413999999999</v>
      </c>
      <c r="H1865" s="901"/>
      <c r="I1865" s="901"/>
      <c r="J1865" s="902">
        <f t="shared" si="471"/>
        <v>0</v>
      </c>
      <c r="K1865" s="903"/>
      <c r="L1865" s="1039">
        <f>ROUND(SUM('RES. CENTRAL PARK:RUA_FINAL'!L1865),2)</f>
        <v>0</v>
      </c>
      <c r="M1865" s="1039">
        <f t="shared" si="455"/>
        <v>0</v>
      </c>
      <c r="N1865" s="893">
        <f t="shared" si="456"/>
        <v>0</v>
      </c>
      <c r="O1865" s="905"/>
      <c r="P1865" s="36" t="str">
        <f>IF(N1864&gt;0,"xx",IF(N1864&gt;0,"xy",""))</f>
        <v/>
      </c>
      <c r="Q1865" s="317" t="str">
        <f t="shared" si="457"/>
        <v/>
      </c>
      <c r="R1865" s="317" t="str">
        <f t="shared" si="458"/>
        <v/>
      </c>
      <c r="S1865" s="317" t="str">
        <f t="shared" si="459"/>
        <v/>
      </c>
      <c r="V1865" s="314">
        <f>SUM('RES. CENTRAL PARK:RUA_FINAL'!N1865)</f>
        <v>0</v>
      </c>
      <c r="W1865" s="315">
        <f t="shared" si="461"/>
        <v>0</v>
      </c>
    </row>
    <row r="1866" spans="1:23" ht="13.5" hidden="1" thickBot="1" x14ac:dyDescent="0.25">
      <c r="A1866" s="63" t="s">
        <v>147</v>
      </c>
      <c r="B1866" s="895" t="s">
        <v>147</v>
      </c>
      <c r="C1866" s="896"/>
      <c r="D1866" s="906" t="s">
        <v>229</v>
      </c>
      <c r="E1866" s="907">
        <f>DMT!$F$8</f>
        <v>150</v>
      </c>
      <c r="F1866" s="908">
        <v>1.02</v>
      </c>
      <c r="G1866" s="949">
        <f t="shared" ref="G1866:G1867" si="475">IF(E1866&lt;=30,(1.07*E1866+2.68)*F1866,((1.07*30+2.68)+1.07*(E1866-30))*F1866)</f>
        <v>166.4436</v>
      </c>
      <c r="H1866" s="901"/>
      <c r="I1866" s="901"/>
      <c r="J1866" s="902">
        <f t="shared" si="471"/>
        <v>0</v>
      </c>
      <c r="K1866" s="903"/>
      <c r="L1866" s="1039">
        <f>ROUND(SUM('RES. CENTRAL PARK:RUA_FINAL'!L1866),2)</f>
        <v>0</v>
      </c>
      <c r="M1866" s="1039">
        <f t="shared" si="455"/>
        <v>0</v>
      </c>
      <c r="N1866" s="893">
        <f t="shared" si="456"/>
        <v>0</v>
      </c>
      <c r="O1866" s="905"/>
      <c r="P1866" s="36" t="str">
        <f>IF(N1864&gt;0,"xx",IF(N1864&gt;0,"xy",""))</f>
        <v/>
      </c>
      <c r="Q1866" s="317" t="str">
        <f t="shared" si="457"/>
        <v/>
      </c>
      <c r="R1866" s="317" t="str">
        <f t="shared" si="458"/>
        <v/>
      </c>
      <c r="S1866" s="317" t="str">
        <f t="shared" si="459"/>
        <v/>
      </c>
      <c r="V1866" s="314">
        <f>SUM('RES. CENTRAL PARK:RUA_FINAL'!N1866)</f>
        <v>0</v>
      </c>
      <c r="W1866" s="315">
        <f t="shared" si="461"/>
        <v>0</v>
      </c>
    </row>
    <row r="1867" spans="1:23" ht="13.5" hidden="1" thickBot="1" x14ac:dyDescent="0.25">
      <c r="A1867" s="63" t="s">
        <v>147</v>
      </c>
      <c r="B1867" s="895" t="s">
        <v>147</v>
      </c>
      <c r="C1867" s="896"/>
      <c r="D1867" s="906" t="s">
        <v>233</v>
      </c>
      <c r="E1867" s="907">
        <f>DMT!$F$10</f>
        <v>0.2</v>
      </c>
      <c r="F1867" s="908">
        <v>1.8625</v>
      </c>
      <c r="G1867" s="949">
        <f t="shared" si="475"/>
        <v>5.3900750000000004</v>
      </c>
      <c r="H1867" s="901"/>
      <c r="I1867" s="901"/>
      <c r="J1867" s="902">
        <f t="shared" si="471"/>
        <v>0</v>
      </c>
      <c r="K1867" s="903"/>
      <c r="L1867" s="1039">
        <f>ROUND(SUM('RES. CENTRAL PARK:RUA_FINAL'!L1867),2)</f>
        <v>0</v>
      </c>
      <c r="M1867" s="1039">
        <f t="shared" si="455"/>
        <v>0</v>
      </c>
      <c r="N1867" s="893">
        <f t="shared" si="456"/>
        <v>0</v>
      </c>
      <c r="O1867" s="905"/>
      <c r="P1867" s="36" t="str">
        <f>IF(N1864&gt;0,"xx",IF(N1864&gt;0,"xy",""))</f>
        <v/>
      </c>
      <c r="Q1867" s="317" t="str">
        <f t="shared" si="457"/>
        <v/>
      </c>
      <c r="R1867" s="317" t="str">
        <f t="shared" si="458"/>
        <v/>
      </c>
      <c r="S1867" s="317" t="str">
        <f t="shared" si="459"/>
        <v/>
      </c>
      <c r="V1867" s="314">
        <f>SUM('RES. CENTRAL PARK:RUA_FINAL'!N1867)</f>
        <v>0</v>
      </c>
      <c r="W1867" s="315">
        <f t="shared" si="461"/>
        <v>0</v>
      </c>
    </row>
    <row r="1868" spans="1:23" ht="13.5" hidden="1" thickBot="1" x14ac:dyDescent="0.25">
      <c r="A1868" s="63">
        <v>620300</v>
      </c>
      <c r="B1868" s="895">
        <v>620300</v>
      </c>
      <c r="C1868" s="896" t="s">
        <v>184</v>
      </c>
      <c r="D1868" s="906" t="s">
        <v>346</v>
      </c>
      <c r="E1868" s="907"/>
      <c r="F1868" s="908"/>
      <c r="G1868" s="912">
        <f>SUM(G1869:G1871)</f>
        <v>364.6747934</v>
      </c>
      <c r="H1868" s="901">
        <v>1880.07</v>
      </c>
      <c r="I1868" s="901">
        <f>IF(ISBLANK(H1868),"",SUM(G1868:H1868))</f>
        <v>2244.7447934000002</v>
      </c>
      <c r="J1868" s="902">
        <f t="shared" si="471"/>
        <v>2695.27</v>
      </c>
      <c r="K1868" s="903" t="s">
        <v>15</v>
      </c>
      <c r="L1868" s="1039">
        <f>ROUND(SUM('RES. CENTRAL PARK:RUA_FINAL'!L1868),2)</f>
        <v>0</v>
      </c>
      <c r="M1868" s="1039">
        <f t="shared" si="455"/>
        <v>0</v>
      </c>
      <c r="N1868" s="893">
        <f t="shared" si="456"/>
        <v>0</v>
      </c>
      <c r="O1868" s="905"/>
      <c r="Q1868" s="317" t="str">
        <f t="shared" si="457"/>
        <v/>
      </c>
      <c r="R1868" s="317" t="str">
        <f t="shared" si="458"/>
        <v/>
      </c>
      <c r="S1868" s="317" t="str">
        <f t="shared" si="459"/>
        <v/>
      </c>
      <c r="V1868" s="314">
        <f>SUM('RES. CENTRAL PARK:RUA_FINAL'!N1868)</f>
        <v>0</v>
      </c>
      <c r="W1868" s="315">
        <f t="shared" si="461"/>
        <v>0</v>
      </c>
    </row>
    <row r="1869" spans="1:23" ht="13.5" hidden="1" thickBot="1" x14ac:dyDescent="0.25">
      <c r="A1869" s="63" t="s">
        <v>147</v>
      </c>
      <c r="B1869" s="895" t="s">
        <v>147</v>
      </c>
      <c r="C1869" s="896"/>
      <c r="D1869" s="906" t="s">
        <v>190</v>
      </c>
      <c r="E1869" s="907">
        <f>DMT!$D$20</f>
        <v>308</v>
      </c>
      <c r="F1869" s="908">
        <v>0.43049999999999999</v>
      </c>
      <c r="G1869" s="909">
        <f>IF(E1869&lt;=30,(0.78*E1869+7.82)*F1869,((0.78*30+7.82)+0.78*(E1869-30))*F1869)</f>
        <v>106.78982999999999</v>
      </c>
      <c r="H1869" s="901"/>
      <c r="I1869" s="901"/>
      <c r="J1869" s="902">
        <f t="shared" si="471"/>
        <v>0</v>
      </c>
      <c r="K1869" s="903"/>
      <c r="L1869" s="1039">
        <f>ROUND(SUM('RES. CENTRAL PARK:RUA_FINAL'!L1869),2)</f>
        <v>0</v>
      </c>
      <c r="M1869" s="1039">
        <f t="shared" si="455"/>
        <v>0</v>
      </c>
      <c r="N1869" s="893">
        <f t="shared" si="456"/>
        <v>0</v>
      </c>
      <c r="O1869" s="905"/>
      <c r="P1869" s="36" t="str">
        <f>IF(N1868&gt;0,"xx",IF(N1868&gt;0,"xy",""))</f>
        <v/>
      </c>
      <c r="Q1869" s="317" t="str">
        <f t="shared" si="457"/>
        <v/>
      </c>
      <c r="R1869" s="317" t="str">
        <f t="shared" si="458"/>
        <v/>
      </c>
      <c r="S1869" s="317" t="str">
        <f t="shared" si="459"/>
        <v/>
      </c>
      <c r="V1869" s="314">
        <f>SUM('RES. CENTRAL PARK:RUA_FINAL'!N1869)</f>
        <v>0</v>
      </c>
      <c r="W1869" s="315">
        <f t="shared" si="461"/>
        <v>0</v>
      </c>
    </row>
    <row r="1870" spans="1:23" ht="13.5" hidden="1" thickBot="1" x14ac:dyDescent="0.25">
      <c r="A1870" s="63" t="s">
        <v>147</v>
      </c>
      <c r="B1870" s="895" t="s">
        <v>147</v>
      </c>
      <c r="C1870" s="896"/>
      <c r="D1870" s="906" t="s">
        <v>229</v>
      </c>
      <c r="E1870" s="907">
        <f>DMT!$F$8</f>
        <v>150</v>
      </c>
      <c r="F1870" s="908">
        <v>1.5307999999999999</v>
      </c>
      <c r="G1870" s="949">
        <f t="shared" ref="G1870:G1871" si="476">IF(E1870&lt;=30,(1.07*E1870+2.68)*F1870,((1.07*30+2.68)+1.07*(E1870-30))*F1870)</f>
        <v>249.79594399999999</v>
      </c>
      <c r="H1870" s="901"/>
      <c r="I1870" s="901"/>
      <c r="J1870" s="902">
        <f t="shared" si="471"/>
        <v>0</v>
      </c>
      <c r="K1870" s="903"/>
      <c r="L1870" s="1039">
        <f>ROUND(SUM('RES. CENTRAL PARK:RUA_FINAL'!L1870),2)</f>
        <v>0</v>
      </c>
      <c r="M1870" s="1039">
        <f t="shared" si="455"/>
        <v>0</v>
      </c>
      <c r="N1870" s="893">
        <f t="shared" si="456"/>
        <v>0</v>
      </c>
      <c r="O1870" s="905"/>
      <c r="P1870" s="36" t="str">
        <f>IF(N1868&gt;0,"xx",IF(N1868&gt;0,"xy",""))</f>
        <v/>
      </c>
      <c r="Q1870" s="317" t="str">
        <f t="shared" si="457"/>
        <v/>
      </c>
      <c r="R1870" s="317" t="str">
        <f t="shared" si="458"/>
        <v/>
      </c>
      <c r="S1870" s="317" t="str">
        <f t="shared" si="459"/>
        <v/>
      </c>
      <c r="V1870" s="314">
        <f>SUM('RES. CENTRAL PARK:RUA_FINAL'!N1870)</f>
        <v>0</v>
      </c>
      <c r="W1870" s="315">
        <f t="shared" si="461"/>
        <v>0</v>
      </c>
    </row>
    <row r="1871" spans="1:23" ht="13.5" hidden="1" thickBot="1" x14ac:dyDescent="0.25">
      <c r="A1871" s="63" t="s">
        <v>147</v>
      </c>
      <c r="B1871" s="895" t="s">
        <v>147</v>
      </c>
      <c r="C1871" s="896"/>
      <c r="D1871" s="906" t="s">
        <v>233</v>
      </c>
      <c r="E1871" s="907">
        <f>DMT!$F$10</f>
        <v>0.2</v>
      </c>
      <c r="F1871" s="908">
        <v>2.7951000000000001</v>
      </c>
      <c r="G1871" s="949">
        <f t="shared" si="476"/>
        <v>8.0890194000000015</v>
      </c>
      <c r="H1871" s="901"/>
      <c r="I1871" s="901"/>
      <c r="J1871" s="902">
        <f t="shared" si="471"/>
        <v>0</v>
      </c>
      <c r="K1871" s="903"/>
      <c r="L1871" s="1039">
        <f>ROUND(SUM('RES. CENTRAL PARK:RUA_FINAL'!L1871),2)</f>
        <v>0</v>
      </c>
      <c r="M1871" s="1039">
        <f t="shared" si="455"/>
        <v>0</v>
      </c>
      <c r="N1871" s="893">
        <f t="shared" si="456"/>
        <v>0</v>
      </c>
      <c r="O1871" s="905"/>
      <c r="P1871" s="36" t="str">
        <f>IF(N1868&gt;0,"xx",IF(N1868&gt;0,"xy",""))</f>
        <v/>
      </c>
      <c r="Q1871" s="317" t="str">
        <f t="shared" si="457"/>
        <v/>
      </c>
      <c r="R1871" s="317" t="str">
        <f t="shared" si="458"/>
        <v/>
      </c>
      <c r="S1871" s="317" t="str">
        <f t="shared" si="459"/>
        <v/>
      </c>
      <c r="V1871" s="314">
        <f>SUM('RES. CENTRAL PARK:RUA_FINAL'!N1871)</f>
        <v>0</v>
      </c>
      <c r="W1871" s="315">
        <f t="shared" si="461"/>
        <v>0</v>
      </c>
    </row>
    <row r="1872" spans="1:23" ht="13.5" hidden="1" thickBot="1" x14ac:dyDescent="0.25">
      <c r="A1872" s="63">
        <v>620400</v>
      </c>
      <c r="B1872" s="895">
        <v>620400</v>
      </c>
      <c r="C1872" s="896" t="s">
        <v>184</v>
      </c>
      <c r="D1872" s="906" t="s">
        <v>347</v>
      </c>
      <c r="E1872" s="907"/>
      <c r="F1872" s="908"/>
      <c r="G1872" s="912">
        <f>SUM(G1873:G1875)</f>
        <v>492.41287280000006</v>
      </c>
      <c r="H1872" s="901">
        <v>2407.5300000000002</v>
      </c>
      <c r="I1872" s="901">
        <f>IF(ISBLANK(H1872),"",SUM(G1872:H1872))</f>
        <v>2899.9428728000003</v>
      </c>
      <c r="J1872" s="902">
        <f t="shared" si="471"/>
        <v>3481.96</v>
      </c>
      <c r="K1872" s="903" t="s">
        <v>15</v>
      </c>
      <c r="L1872" s="1039">
        <f>ROUND(SUM('RES. CENTRAL PARK:RUA_FINAL'!L1872),2)</f>
        <v>0</v>
      </c>
      <c r="M1872" s="1039">
        <f t="shared" si="455"/>
        <v>0</v>
      </c>
      <c r="N1872" s="893">
        <f t="shared" si="456"/>
        <v>0</v>
      </c>
      <c r="O1872" s="905"/>
      <c r="Q1872" s="317" t="str">
        <f t="shared" si="457"/>
        <v/>
      </c>
      <c r="R1872" s="317" t="str">
        <f t="shared" si="458"/>
        <v/>
      </c>
      <c r="S1872" s="317" t="str">
        <f t="shared" si="459"/>
        <v/>
      </c>
      <c r="V1872" s="314">
        <f>SUM('RES. CENTRAL PARK:RUA_FINAL'!N1872)</f>
        <v>0</v>
      </c>
      <c r="W1872" s="315">
        <f t="shared" si="461"/>
        <v>0</v>
      </c>
    </row>
    <row r="1873" spans="1:23" ht="13.5" hidden="1" thickBot="1" x14ac:dyDescent="0.25">
      <c r="A1873" s="63" t="s">
        <v>147</v>
      </c>
      <c r="B1873" s="895" t="s">
        <v>147</v>
      </c>
      <c r="C1873" s="896"/>
      <c r="D1873" s="906" t="s">
        <v>190</v>
      </c>
      <c r="E1873" s="907">
        <f>DMT!$D$20</f>
        <v>308</v>
      </c>
      <c r="F1873" s="908">
        <v>0.58130000000000004</v>
      </c>
      <c r="G1873" s="909">
        <f>IF(E1873&lt;=30,(0.78*E1873+7.82)*F1873,((0.78*30+7.82)+0.78*(E1873-30))*F1873)</f>
        <v>144.19727800000001</v>
      </c>
      <c r="H1873" s="901"/>
      <c r="I1873" s="901"/>
      <c r="J1873" s="902">
        <f t="shared" si="471"/>
        <v>0</v>
      </c>
      <c r="K1873" s="903"/>
      <c r="L1873" s="1039">
        <f>ROUND(SUM('RES. CENTRAL PARK:RUA_FINAL'!L1873),2)</f>
        <v>0</v>
      </c>
      <c r="M1873" s="1039">
        <f t="shared" si="455"/>
        <v>0</v>
      </c>
      <c r="N1873" s="893">
        <f t="shared" si="456"/>
        <v>0</v>
      </c>
      <c r="O1873" s="905"/>
      <c r="P1873" s="36" t="str">
        <f>IF(N1872&gt;0,"xx",IF(N1872&gt;0,"xy",""))</f>
        <v/>
      </c>
      <c r="Q1873" s="317" t="str">
        <f t="shared" si="457"/>
        <v/>
      </c>
      <c r="R1873" s="317" t="str">
        <f t="shared" si="458"/>
        <v/>
      </c>
      <c r="S1873" s="317" t="str">
        <f t="shared" si="459"/>
        <v/>
      </c>
      <c r="V1873" s="314">
        <f>SUM('RES. CENTRAL PARK:RUA_FINAL'!N1873)</f>
        <v>0</v>
      </c>
      <c r="W1873" s="315">
        <f t="shared" si="461"/>
        <v>0</v>
      </c>
    </row>
    <row r="1874" spans="1:23" ht="13.5" hidden="1" thickBot="1" x14ac:dyDescent="0.25">
      <c r="A1874" s="63" t="s">
        <v>147</v>
      </c>
      <c r="B1874" s="895" t="s">
        <v>147</v>
      </c>
      <c r="C1874" s="896"/>
      <c r="D1874" s="906" t="s">
        <v>229</v>
      </c>
      <c r="E1874" s="907">
        <f>DMT!$F$8</f>
        <v>150</v>
      </c>
      <c r="F1874" s="908">
        <v>2.0670000000000002</v>
      </c>
      <c r="G1874" s="949">
        <f t="shared" ref="G1874:G1875" si="477">IF(E1874&lt;=30,(1.07*E1874+2.68)*F1874,((1.07*30+2.68)+1.07*(E1874-30))*F1874)</f>
        <v>337.29306000000003</v>
      </c>
      <c r="H1874" s="901"/>
      <c r="I1874" s="901"/>
      <c r="J1874" s="902">
        <f t="shared" si="471"/>
        <v>0</v>
      </c>
      <c r="K1874" s="903"/>
      <c r="L1874" s="1039">
        <f>ROUND(SUM('RES. CENTRAL PARK:RUA_FINAL'!L1874),2)</f>
        <v>0</v>
      </c>
      <c r="M1874" s="1039">
        <f t="shared" ref="M1874:M1937" si="478">IF(L1874=0,0,ROUND(J1874,2))</f>
        <v>0</v>
      </c>
      <c r="N1874" s="893">
        <f t="shared" ref="N1874:N1937" si="479">IF(ISBLANK(L1874),0,ROUND(L1874*M1874,2))</f>
        <v>0</v>
      </c>
      <c r="O1874" s="905"/>
      <c r="P1874" s="36" t="str">
        <f>IF(N1872&gt;0,"xx",IF(N1872&gt;0,"xy",""))</f>
        <v/>
      </c>
      <c r="Q1874" s="317" t="str">
        <f t="shared" ref="Q1874:Q1937" si="480">IF(P1874="X","x",IF(P1874="xx","x",IF(P1874="xy","x",IF(P1874="y","x",IF(OR(N1874&gt;0,N1874&gt;0),"x","")))))</f>
        <v/>
      </c>
      <c r="R1874" s="317" t="str">
        <f t="shared" ref="R1874:R1937" si="481">IF(P1874="X","x",IF(P1874="y","x",IF(P1874="xx","x",IF(N1874&gt;0,"x",""))))</f>
        <v/>
      </c>
      <c r="S1874" s="317" t="str">
        <f t="shared" ref="S1874:S1937" si="482">IF(P1874="X","x",IF(N1874&gt;0,"x",""))</f>
        <v/>
      </c>
      <c r="V1874" s="314">
        <f>SUM('RES. CENTRAL PARK:RUA_FINAL'!N1874)</f>
        <v>0</v>
      </c>
      <c r="W1874" s="315">
        <f t="shared" si="461"/>
        <v>0</v>
      </c>
    </row>
    <row r="1875" spans="1:23" ht="13.5" hidden="1" thickBot="1" x14ac:dyDescent="0.25">
      <c r="A1875" s="63" t="s">
        <v>147</v>
      </c>
      <c r="B1875" s="895" t="s">
        <v>147</v>
      </c>
      <c r="C1875" s="896"/>
      <c r="D1875" s="906" t="s">
        <v>233</v>
      </c>
      <c r="E1875" s="907">
        <f>DMT!$F$10</f>
        <v>0.2</v>
      </c>
      <c r="F1875" s="908">
        <v>3.7742</v>
      </c>
      <c r="G1875" s="949">
        <f t="shared" si="477"/>
        <v>10.922534800000001</v>
      </c>
      <c r="H1875" s="901"/>
      <c r="I1875" s="901"/>
      <c r="J1875" s="902">
        <f t="shared" si="471"/>
        <v>0</v>
      </c>
      <c r="K1875" s="903"/>
      <c r="L1875" s="1039">
        <f>ROUND(SUM('RES. CENTRAL PARK:RUA_FINAL'!L1875),2)</f>
        <v>0</v>
      </c>
      <c r="M1875" s="1039">
        <f t="shared" si="478"/>
        <v>0</v>
      </c>
      <c r="N1875" s="893">
        <f t="shared" si="479"/>
        <v>0</v>
      </c>
      <c r="O1875" s="905"/>
      <c r="P1875" s="36" t="str">
        <f>IF(N1872&gt;0,"xx",IF(N1872&gt;0,"xy",""))</f>
        <v/>
      </c>
      <c r="Q1875" s="317" t="str">
        <f t="shared" si="480"/>
        <v/>
      </c>
      <c r="R1875" s="317" t="str">
        <f t="shared" si="481"/>
        <v/>
      </c>
      <c r="S1875" s="317" t="str">
        <f t="shared" si="482"/>
        <v/>
      </c>
      <c r="V1875" s="314">
        <f>SUM('RES. CENTRAL PARK:RUA_FINAL'!N1875)</f>
        <v>0</v>
      </c>
      <c r="W1875" s="315">
        <f t="shared" si="461"/>
        <v>0</v>
      </c>
    </row>
    <row r="1876" spans="1:23" ht="13.5" hidden="1" thickBot="1" x14ac:dyDescent="0.25">
      <c r="A1876" s="63">
        <v>620500</v>
      </c>
      <c r="B1876" s="895">
        <v>620500</v>
      </c>
      <c r="C1876" s="896" t="s">
        <v>184</v>
      </c>
      <c r="D1876" s="906" t="s">
        <v>348</v>
      </c>
      <c r="E1876" s="907"/>
      <c r="F1876" s="908"/>
      <c r="G1876" s="912">
        <f>SUM(G1877:G1879)</f>
        <v>988.6957106000001</v>
      </c>
      <c r="H1876" s="901">
        <v>4302.26</v>
      </c>
      <c r="I1876" s="901">
        <f>IF(ISBLANK(H1876),"",SUM(G1876:H1876))</f>
        <v>5290.9557106000002</v>
      </c>
      <c r="J1876" s="902">
        <f t="shared" si="471"/>
        <v>6352.85</v>
      </c>
      <c r="K1876" s="903" t="s">
        <v>15</v>
      </c>
      <c r="L1876" s="1039">
        <f>ROUND(SUM('RES. CENTRAL PARK:RUA_FINAL'!L1876),2)</f>
        <v>0</v>
      </c>
      <c r="M1876" s="1039">
        <f t="shared" si="478"/>
        <v>0</v>
      </c>
      <c r="N1876" s="893">
        <f t="shared" si="479"/>
        <v>0</v>
      </c>
      <c r="O1876" s="905"/>
      <c r="Q1876" s="317" t="str">
        <f t="shared" si="480"/>
        <v/>
      </c>
      <c r="R1876" s="317" t="str">
        <f t="shared" si="481"/>
        <v/>
      </c>
      <c r="S1876" s="317" t="str">
        <f t="shared" si="482"/>
        <v/>
      </c>
      <c r="V1876" s="314">
        <f>SUM('RES. CENTRAL PARK:RUA_FINAL'!N1876)</f>
        <v>0</v>
      </c>
      <c r="W1876" s="315">
        <f t="shared" si="461"/>
        <v>0</v>
      </c>
    </row>
    <row r="1877" spans="1:23" ht="13.5" hidden="1" thickBot="1" x14ac:dyDescent="0.25">
      <c r="A1877" s="63" t="s">
        <v>147</v>
      </c>
      <c r="B1877" s="895" t="s">
        <v>147</v>
      </c>
      <c r="C1877" s="896"/>
      <c r="D1877" s="906" t="s">
        <v>190</v>
      </c>
      <c r="E1877" s="907">
        <f>DMT!$D$20</f>
        <v>308</v>
      </c>
      <c r="F1877" s="908">
        <v>1.1672</v>
      </c>
      <c r="G1877" s="909">
        <f>IF(E1877&lt;=30,(0.78*E1877+7.82)*F1877,((0.78*30+7.82)+0.78*(E1877-30))*F1877)</f>
        <v>289.53563200000002</v>
      </c>
      <c r="H1877" s="901"/>
      <c r="I1877" s="901"/>
      <c r="J1877" s="902">
        <f t="shared" si="471"/>
        <v>0</v>
      </c>
      <c r="K1877" s="903"/>
      <c r="L1877" s="1039">
        <f>ROUND(SUM('RES. CENTRAL PARK:RUA_FINAL'!L1877),2)</f>
        <v>0</v>
      </c>
      <c r="M1877" s="1039">
        <f t="shared" si="478"/>
        <v>0</v>
      </c>
      <c r="N1877" s="893">
        <f t="shared" si="479"/>
        <v>0</v>
      </c>
      <c r="O1877" s="905"/>
      <c r="P1877" s="36" t="str">
        <f>IF(N1876&gt;0,"xx",IF(N1876&gt;0,"xy",""))</f>
        <v/>
      </c>
      <c r="Q1877" s="317" t="str">
        <f t="shared" si="480"/>
        <v/>
      </c>
      <c r="R1877" s="317" t="str">
        <f t="shared" si="481"/>
        <v/>
      </c>
      <c r="S1877" s="317" t="str">
        <f t="shared" si="482"/>
        <v/>
      </c>
      <c r="V1877" s="314">
        <f>SUM('RES. CENTRAL PARK:RUA_FINAL'!N1877)</f>
        <v>0</v>
      </c>
      <c r="W1877" s="315">
        <f t="shared" ref="W1877:W1940" si="483">N1877-V1877</f>
        <v>0</v>
      </c>
    </row>
    <row r="1878" spans="1:23" ht="13.5" hidden="1" thickBot="1" x14ac:dyDescent="0.25">
      <c r="A1878" s="63" t="s">
        <v>147</v>
      </c>
      <c r="B1878" s="895" t="s">
        <v>147</v>
      </c>
      <c r="C1878" s="896"/>
      <c r="D1878" s="906" t="s">
        <v>229</v>
      </c>
      <c r="E1878" s="907">
        <f>DMT!$F$8</f>
        <v>150</v>
      </c>
      <c r="F1878" s="908">
        <v>4.1501999999999999</v>
      </c>
      <c r="G1878" s="949">
        <f t="shared" ref="G1878:G1879" si="484">IF(E1878&lt;=30,(1.07*E1878+2.68)*F1878,((1.07*30+2.68)+1.07*(E1878-30))*F1878)</f>
        <v>677.22963600000003</v>
      </c>
      <c r="H1878" s="901"/>
      <c r="I1878" s="901"/>
      <c r="J1878" s="902">
        <f t="shared" si="471"/>
        <v>0</v>
      </c>
      <c r="K1878" s="903"/>
      <c r="L1878" s="1039">
        <f>ROUND(SUM('RES. CENTRAL PARK:RUA_FINAL'!L1878),2)</f>
        <v>0</v>
      </c>
      <c r="M1878" s="1039">
        <f t="shared" si="478"/>
        <v>0</v>
      </c>
      <c r="N1878" s="893">
        <f t="shared" si="479"/>
        <v>0</v>
      </c>
      <c r="O1878" s="905"/>
      <c r="P1878" s="36" t="str">
        <f>IF(N1876&gt;0,"xx",IF(N1876&gt;0,"xy",""))</f>
        <v/>
      </c>
      <c r="Q1878" s="317" t="str">
        <f t="shared" si="480"/>
        <v/>
      </c>
      <c r="R1878" s="317" t="str">
        <f t="shared" si="481"/>
        <v/>
      </c>
      <c r="S1878" s="317" t="str">
        <f t="shared" si="482"/>
        <v/>
      </c>
      <c r="V1878" s="314">
        <f>SUM('RES. CENTRAL PARK:RUA_FINAL'!N1878)</f>
        <v>0</v>
      </c>
      <c r="W1878" s="315">
        <f t="shared" si="483"/>
        <v>0</v>
      </c>
    </row>
    <row r="1879" spans="1:23" ht="13.5" hidden="1" thickBot="1" x14ac:dyDescent="0.25">
      <c r="A1879" s="63" t="s">
        <v>147</v>
      </c>
      <c r="B1879" s="895" t="s">
        <v>147</v>
      </c>
      <c r="C1879" s="896"/>
      <c r="D1879" s="906" t="s">
        <v>233</v>
      </c>
      <c r="E1879" s="907">
        <f>DMT!$F$10</f>
        <v>0.2</v>
      </c>
      <c r="F1879" s="908">
        <v>7.5778999999999996</v>
      </c>
      <c r="G1879" s="949">
        <f t="shared" si="484"/>
        <v>21.930442599999999</v>
      </c>
      <c r="H1879" s="901"/>
      <c r="I1879" s="901"/>
      <c r="J1879" s="902">
        <f t="shared" si="471"/>
        <v>0</v>
      </c>
      <c r="K1879" s="903"/>
      <c r="L1879" s="1039">
        <f>ROUND(SUM('RES. CENTRAL PARK:RUA_FINAL'!L1879),2)</f>
        <v>0</v>
      </c>
      <c r="M1879" s="1039">
        <f t="shared" si="478"/>
        <v>0</v>
      </c>
      <c r="N1879" s="893">
        <f t="shared" si="479"/>
        <v>0</v>
      </c>
      <c r="O1879" s="905"/>
      <c r="P1879" s="36" t="str">
        <f>IF(N1876&gt;0,"xx",IF(N1876&gt;0,"xy",""))</f>
        <v/>
      </c>
      <c r="Q1879" s="317" t="str">
        <f t="shared" si="480"/>
        <v/>
      </c>
      <c r="R1879" s="317" t="str">
        <f t="shared" si="481"/>
        <v/>
      </c>
      <c r="S1879" s="317" t="str">
        <f t="shared" si="482"/>
        <v/>
      </c>
      <c r="V1879" s="314">
        <f>SUM('RES. CENTRAL PARK:RUA_FINAL'!N1879)</f>
        <v>0</v>
      </c>
      <c r="W1879" s="315">
        <f t="shared" si="483"/>
        <v>0</v>
      </c>
    </row>
    <row r="1880" spans="1:23" ht="13.5" hidden="1" thickBot="1" x14ac:dyDescent="0.25">
      <c r="A1880" s="63">
        <v>620600</v>
      </c>
      <c r="B1880" s="895">
        <v>620600</v>
      </c>
      <c r="C1880" s="896" t="s">
        <v>184</v>
      </c>
      <c r="D1880" s="906" t="s">
        <v>349</v>
      </c>
      <c r="E1880" s="907"/>
      <c r="F1880" s="908"/>
      <c r="G1880" s="912">
        <f>SUM(G1881:G1883)</f>
        <v>1900.7298634000001</v>
      </c>
      <c r="H1880" s="901">
        <v>7668.6</v>
      </c>
      <c r="I1880" s="901">
        <f>IF(ISBLANK(H1880),"",SUM(G1880:H1880))</f>
        <v>9569.3298634000002</v>
      </c>
      <c r="J1880" s="902">
        <f t="shared" si="471"/>
        <v>11489.89</v>
      </c>
      <c r="K1880" s="903" t="s">
        <v>15</v>
      </c>
      <c r="L1880" s="1039">
        <f>ROUND(SUM('RES. CENTRAL PARK:RUA_FINAL'!L1880),2)</f>
        <v>0</v>
      </c>
      <c r="M1880" s="1039">
        <f t="shared" si="478"/>
        <v>0</v>
      </c>
      <c r="N1880" s="893">
        <f t="shared" si="479"/>
        <v>0</v>
      </c>
      <c r="O1880" s="905"/>
      <c r="Q1880" s="317" t="str">
        <f t="shared" si="480"/>
        <v/>
      </c>
      <c r="R1880" s="317" t="str">
        <f t="shared" si="481"/>
        <v/>
      </c>
      <c r="S1880" s="317" t="str">
        <f t="shared" si="482"/>
        <v/>
      </c>
      <c r="V1880" s="314">
        <f>SUM('RES. CENTRAL PARK:RUA_FINAL'!N1880)</f>
        <v>0</v>
      </c>
      <c r="W1880" s="315">
        <f t="shared" si="483"/>
        <v>0</v>
      </c>
    </row>
    <row r="1881" spans="1:23" ht="13.5" hidden="1" thickBot="1" x14ac:dyDescent="0.25">
      <c r="A1881" s="63" t="s">
        <v>147</v>
      </c>
      <c r="B1881" s="895" t="s">
        <v>147</v>
      </c>
      <c r="C1881" s="896"/>
      <c r="D1881" s="906" t="s">
        <v>190</v>
      </c>
      <c r="E1881" s="907">
        <f>DMT!$D$20</f>
        <v>308</v>
      </c>
      <c r="F1881" s="908">
        <v>2.2439</v>
      </c>
      <c r="G1881" s="909">
        <f>IF(E1881&lt;=30,(0.78*E1881+7.82)*F1881,((0.78*30+7.82)+0.78*(E1881-30))*F1881)</f>
        <v>556.62183400000004</v>
      </c>
      <c r="H1881" s="901"/>
      <c r="I1881" s="901"/>
      <c r="J1881" s="902">
        <f t="shared" si="471"/>
        <v>0</v>
      </c>
      <c r="K1881" s="903"/>
      <c r="L1881" s="1039">
        <f>ROUND(SUM('RES. CENTRAL PARK:RUA_FINAL'!L1881),2)</f>
        <v>0</v>
      </c>
      <c r="M1881" s="1039">
        <f t="shared" si="478"/>
        <v>0</v>
      </c>
      <c r="N1881" s="893">
        <f t="shared" si="479"/>
        <v>0</v>
      </c>
      <c r="O1881" s="905"/>
      <c r="P1881" s="36" t="str">
        <f>IF(N1880&gt;0,"xx",IF(N1880&gt;0,"xy",""))</f>
        <v/>
      </c>
      <c r="Q1881" s="317" t="str">
        <f t="shared" si="480"/>
        <v/>
      </c>
      <c r="R1881" s="317" t="str">
        <f t="shared" si="481"/>
        <v/>
      </c>
      <c r="S1881" s="317" t="str">
        <f t="shared" si="482"/>
        <v/>
      </c>
      <c r="V1881" s="314">
        <f>SUM('RES. CENTRAL PARK:RUA_FINAL'!N1881)</f>
        <v>0</v>
      </c>
      <c r="W1881" s="315">
        <f t="shared" si="483"/>
        <v>0</v>
      </c>
    </row>
    <row r="1882" spans="1:23" ht="13.5" hidden="1" thickBot="1" x14ac:dyDescent="0.25">
      <c r="A1882" s="63" t="s">
        <v>147</v>
      </c>
      <c r="B1882" s="895" t="s">
        <v>147</v>
      </c>
      <c r="C1882" s="896"/>
      <c r="D1882" s="906" t="s">
        <v>229</v>
      </c>
      <c r="E1882" s="907">
        <f>DMT!$F$8</f>
        <v>150</v>
      </c>
      <c r="F1882" s="908">
        <v>7.9786000000000001</v>
      </c>
      <c r="G1882" s="949">
        <f t="shared" ref="G1882:G1883" si="485">IF(E1882&lt;=30,(1.07*E1882+2.68)*F1882,((1.07*30+2.68)+1.07*(E1882-30))*F1882)</f>
        <v>1301.947948</v>
      </c>
      <c r="H1882" s="901"/>
      <c r="I1882" s="901"/>
      <c r="J1882" s="902">
        <f t="shared" si="471"/>
        <v>0</v>
      </c>
      <c r="K1882" s="903"/>
      <c r="L1882" s="1039">
        <f>ROUND(SUM('RES. CENTRAL PARK:RUA_FINAL'!L1882),2)</f>
        <v>0</v>
      </c>
      <c r="M1882" s="1039">
        <f t="shared" si="478"/>
        <v>0</v>
      </c>
      <c r="N1882" s="893">
        <f t="shared" si="479"/>
        <v>0</v>
      </c>
      <c r="O1882" s="905"/>
      <c r="P1882" s="36" t="str">
        <f>IF(N1880&gt;0,"xx",IF(N1880&gt;0,"xy",""))</f>
        <v/>
      </c>
      <c r="Q1882" s="317" t="str">
        <f t="shared" si="480"/>
        <v/>
      </c>
      <c r="R1882" s="317" t="str">
        <f t="shared" si="481"/>
        <v/>
      </c>
      <c r="S1882" s="317" t="str">
        <f t="shared" si="482"/>
        <v/>
      </c>
      <c r="V1882" s="314">
        <f>SUM('RES. CENTRAL PARK:RUA_FINAL'!N1882)</f>
        <v>0</v>
      </c>
      <c r="W1882" s="315">
        <f t="shared" si="483"/>
        <v>0</v>
      </c>
    </row>
    <row r="1883" spans="1:23" ht="13.5" hidden="1" thickBot="1" x14ac:dyDescent="0.25">
      <c r="A1883" s="63" t="s">
        <v>147</v>
      </c>
      <c r="B1883" s="895" t="s">
        <v>147</v>
      </c>
      <c r="C1883" s="896"/>
      <c r="D1883" s="906" t="s">
        <v>233</v>
      </c>
      <c r="E1883" s="907">
        <f>DMT!$F$10</f>
        <v>0.2</v>
      </c>
      <c r="F1883" s="908">
        <v>14.568099999999999</v>
      </c>
      <c r="G1883" s="949">
        <f t="shared" si="485"/>
        <v>42.160081400000003</v>
      </c>
      <c r="H1883" s="901"/>
      <c r="I1883" s="901"/>
      <c r="J1883" s="902">
        <f t="shared" si="471"/>
        <v>0</v>
      </c>
      <c r="K1883" s="903"/>
      <c r="L1883" s="1039">
        <f>ROUND(SUM('RES. CENTRAL PARK:RUA_FINAL'!L1883),2)</f>
        <v>0</v>
      </c>
      <c r="M1883" s="1039">
        <f t="shared" si="478"/>
        <v>0</v>
      </c>
      <c r="N1883" s="893">
        <f t="shared" si="479"/>
        <v>0</v>
      </c>
      <c r="O1883" s="905"/>
      <c r="P1883" s="36" t="str">
        <f>IF(N1880&gt;0,"xx",IF(N1880&gt;0,"xy",""))</f>
        <v/>
      </c>
      <c r="Q1883" s="317" t="str">
        <f t="shared" si="480"/>
        <v/>
      </c>
      <c r="R1883" s="317" t="str">
        <f t="shared" si="481"/>
        <v/>
      </c>
      <c r="S1883" s="317" t="str">
        <f t="shared" si="482"/>
        <v/>
      </c>
      <c r="V1883" s="314">
        <f>SUM('RES. CENTRAL PARK:RUA_FINAL'!N1883)</f>
        <v>0</v>
      </c>
      <c r="W1883" s="315">
        <f t="shared" si="483"/>
        <v>0</v>
      </c>
    </row>
    <row r="1884" spans="1:23" ht="13.5" hidden="1" thickBot="1" x14ac:dyDescent="0.25">
      <c r="A1884" s="63">
        <v>620100</v>
      </c>
      <c r="B1884" s="895" t="s">
        <v>1818</v>
      </c>
      <c r="C1884" s="896" t="s">
        <v>184</v>
      </c>
      <c r="D1884" s="906" t="s">
        <v>350</v>
      </c>
      <c r="E1884" s="907"/>
      <c r="F1884" s="908"/>
      <c r="G1884" s="912">
        <f>SUM(G1885:G1887)</f>
        <v>242.5502682</v>
      </c>
      <c r="H1884" s="901">
        <v>954.15</v>
      </c>
      <c r="I1884" s="901">
        <f>IF(ISBLANK(H1884),"",SUM(G1884:H1884))</f>
        <v>1196.7002682</v>
      </c>
      <c r="J1884" s="902">
        <f t="shared" si="471"/>
        <v>1436.88</v>
      </c>
      <c r="K1884" s="903" t="s">
        <v>15</v>
      </c>
      <c r="L1884" s="1039">
        <f>ROUND(SUM('RES. CENTRAL PARK:RUA_FINAL'!L1884),2)</f>
        <v>0</v>
      </c>
      <c r="M1884" s="1039">
        <f t="shared" si="478"/>
        <v>0</v>
      </c>
      <c r="N1884" s="893">
        <f t="shared" si="479"/>
        <v>0</v>
      </c>
      <c r="O1884" s="905"/>
      <c r="Q1884" s="317" t="str">
        <f t="shared" si="480"/>
        <v/>
      </c>
      <c r="R1884" s="317" t="str">
        <f t="shared" si="481"/>
        <v/>
      </c>
      <c r="S1884" s="317" t="str">
        <f t="shared" si="482"/>
        <v/>
      </c>
      <c r="V1884" s="314">
        <f>SUM('RES. CENTRAL PARK:RUA_FINAL'!N1884)</f>
        <v>0</v>
      </c>
      <c r="W1884" s="315">
        <f t="shared" si="483"/>
        <v>0</v>
      </c>
    </row>
    <row r="1885" spans="1:23" ht="13.5" hidden="1" thickBot="1" x14ac:dyDescent="0.25">
      <c r="A1885" s="63" t="s">
        <v>147</v>
      </c>
      <c r="B1885" s="895" t="s">
        <v>147</v>
      </c>
      <c r="C1885" s="896"/>
      <c r="D1885" s="906" t="s">
        <v>190</v>
      </c>
      <c r="E1885" s="907">
        <f>DMT!$D$20</f>
        <v>308</v>
      </c>
      <c r="F1885" s="908">
        <v>0.2863</v>
      </c>
      <c r="G1885" s="909">
        <f>IF(E1885&lt;=30,(0.78*E1885+7.82)*F1885,((0.78*30+7.82)+0.78*(E1885-30))*F1885)</f>
        <v>71.019577999999996</v>
      </c>
      <c r="H1885" s="901"/>
      <c r="I1885" s="901"/>
      <c r="J1885" s="902">
        <f t="shared" si="471"/>
        <v>0</v>
      </c>
      <c r="K1885" s="903"/>
      <c r="L1885" s="1039">
        <f>ROUND(SUM('RES. CENTRAL PARK:RUA_FINAL'!L1885),2)</f>
        <v>0</v>
      </c>
      <c r="M1885" s="1039">
        <f t="shared" si="478"/>
        <v>0</v>
      </c>
      <c r="N1885" s="893">
        <f t="shared" si="479"/>
        <v>0</v>
      </c>
      <c r="O1885" s="905"/>
      <c r="P1885" s="36" t="str">
        <f>IF(N1884&gt;0,"xx",IF(N1884&gt;0,"xy",""))</f>
        <v/>
      </c>
      <c r="Q1885" s="317" t="str">
        <f t="shared" si="480"/>
        <v/>
      </c>
      <c r="R1885" s="317" t="str">
        <f t="shared" si="481"/>
        <v/>
      </c>
      <c r="S1885" s="317" t="str">
        <f t="shared" si="482"/>
        <v/>
      </c>
      <c r="V1885" s="314">
        <f>SUM('RES. CENTRAL PARK:RUA_FINAL'!N1885)</f>
        <v>0</v>
      </c>
      <c r="W1885" s="315">
        <f t="shared" si="483"/>
        <v>0</v>
      </c>
    </row>
    <row r="1886" spans="1:23" ht="13.5" hidden="1" thickBot="1" x14ac:dyDescent="0.25">
      <c r="A1886" s="63" t="s">
        <v>147</v>
      </c>
      <c r="B1886" s="895" t="s">
        <v>147</v>
      </c>
      <c r="C1886" s="896"/>
      <c r="D1886" s="906" t="s">
        <v>229</v>
      </c>
      <c r="E1886" s="907">
        <f>DMT!$F$8</f>
        <v>150</v>
      </c>
      <c r="F1886" s="908">
        <v>1.0182</v>
      </c>
      <c r="G1886" s="949">
        <f t="shared" ref="G1886:G1887" si="486">IF(E1886&lt;=30,(1.07*E1886+2.68)*F1886,((1.07*30+2.68)+1.07*(E1886-30))*F1886)</f>
        <v>166.14987600000001</v>
      </c>
      <c r="H1886" s="901"/>
      <c r="I1886" s="901"/>
      <c r="J1886" s="902">
        <f t="shared" si="471"/>
        <v>0</v>
      </c>
      <c r="K1886" s="903"/>
      <c r="L1886" s="1039">
        <f>ROUND(SUM('RES. CENTRAL PARK:RUA_FINAL'!L1886),2)</f>
        <v>0</v>
      </c>
      <c r="M1886" s="1039">
        <f t="shared" si="478"/>
        <v>0</v>
      </c>
      <c r="N1886" s="893">
        <f t="shared" si="479"/>
        <v>0</v>
      </c>
      <c r="O1886" s="905"/>
      <c r="P1886" s="36" t="str">
        <f>IF(N1884&gt;0,"xx",IF(N1884&gt;0,"xy",""))</f>
        <v/>
      </c>
      <c r="Q1886" s="317" t="str">
        <f t="shared" si="480"/>
        <v/>
      </c>
      <c r="R1886" s="317" t="str">
        <f t="shared" si="481"/>
        <v/>
      </c>
      <c r="S1886" s="317" t="str">
        <f t="shared" si="482"/>
        <v/>
      </c>
      <c r="V1886" s="314">
        <f>SUM('RES. CENTRAL PARK:RUA_FINAL'!N1886)</f>
        <v>0</v>
      </c>
      <c r="W1886" s="315">
        <f t="shared" si="483"/>
        <v>0</v>
      </c>
    </row>
    <row r="1887" spans="1:23" ht="13.5" hidden="1" thickBot="1" x14ac:dyDescent="0.25">
      <c r="A1887" s="63" t="s">
        <v>147</v>
      </c>
      <c r="B1887" s="895" t="s">
        <v>147</v>
      </c>
      <c r="C1887" s="896"/>
      <c r="D1887" s="906" t="s">
        <v>233</v>
      </c>
      <c r="E1887" s="907">
        <f>DMT!$F$10</f>
        <v>0.2</v>
      </c>
      <c r="F1887" s="908">
        <v>1.8593</v>
      </c>
      <c r="G1887" s="949">
        <f t="shared" si="486"/>
        <v>5.3808141999999997</v>
      </c>
      <c r="H1887" s="901"/>
      <c r="I1887" s="901"/>
      <c r="J1887" s="902">
        <f t="shared" si="471"/>
        <v>0</v>
      </c>
      <c r="K1887" s="903"/>
      <c r="L1887" s="1039">
        <f>ROUND(SUM('RES. CENTRAL PARK:RUA_FINAL'!L1887),2)</f>
        <v>0</v>
      </c>
      <c r="M1887" s="1039">
        <f t="shared" si="478"/>
        <v>0</v>
      </c>
      <c r="N1887" s="893">
        <f t="shared" si="479"/>
        <v>0</v>
      </c>
      <c r="O1887" s="905"/>
      <c r="P1887" s="36" t="str">
        <f>IF(N1884&gt;0,"xx",IF(N1884&gt;0,"xy",""))</f>
        <v/>
      </c>
      <c r="Q1887" s="317" t="str">
        <f t="shared" si="480"/>
        <v/>
      </c>
      <c r="R1887" s="317" t="str">
        <f t="shared" si="481"/>
        <v/>
      </c>
      <c r="S1887" s="317" t="str">
        <f t="shared" si="482"/>
        <v/>
      </c>
      <c r="V1887" s="314">
        <f>SUM('RES. CENTRAL PARK:RUA_FINAL'!N1887)</f>
        <v>0</v>
      </c>
      <c r="W1887" s="315">
        <f t="shared" si="483"/>
        <v>0</v>
      </c>
    </row>
    <row r="1888" spans="1:23" ht="13.5" hidden="1" thickBot="1" x14ac:dyDescent="0.25">
      <c r="A1888" s="63">
        <v>620200</v>
      </c>
      <c r="B1888" s="895" t="s">
        <v>1821</v>
      </c>
      <c r="C1888" s="896" t="s">
        <v>184</v>
      </c>
      <c r="D1888" s="906" t="s">
        <v>351</v>
      </c>
      <c r="E1888" s="907"/>
      <c r="F1888" s="908"/>
      <c r="G1888" s="912">
        <f>SUM(G1889:G1891)</f>
        <v>351.72359720000003</v>
      </c>
      <c r="H1888" s="901">
        <v>1321.46</v>
      </c>
      <c r="I1888" s="901">
        <f>IF(ISBLANK(H1888),"",SUM(G1888:H1888))</f>
        <v>1673.1835972000001</v>
      </c>
      <c r="J1888" s="902">
        <f t="shared" si="471"/>
        <v>2008.99</v>
      </c>
      <c r="K1888" s="903" t="s">
        <v>15</v>
      </c>
      <c r="L1888" s="1039">
        <f>ROUND(SUM('RES. CENTRAL PARK:RUA_FINAL'!L1888),2)</f>
        <v>0</v>
      </c>
      <c r="M1888" s="1039">
        <f t="shared" si="478"/>
        <v>0</v>
      </c>
      <c r="N1888" s="893">
        <f t="shared" si="479"/>
        <v>0</v>
      </c>
      <c r="O1888" s="905"/>
      <c r="Q1888" s="317" t="str">
        <f t="shared" si="480"/>
        <v/>
      </c>
      <c r="R1888" s="317" t="str">
        <f t="shared" si="481"/>
        <v/>
      </c>
      <c r="S1888" s="317" t="str">
        <f t="shared" si="482"/>
        <v/>
      </c>
      <c r="V1888" s="314">
        <f>SUM('RES. CENTRAL PARK:RUA_FINAL'!N1888)</f>
        <v>0</v>
      </c>
      <c r="W1888" s="315">
        <f t="shared" si="483"/>
        <v>0</v>
      </c>
    </row>
    <row r="1889" spans="1:23" ht="13.5" hidden="1" thickBot="1" x14ac:dyDescent="0.25">
      <c r="A1889" s="63" t="s">
        <v>147</v>
      </c>
      <c r="B1889" s="895" t="s">
        <v>147</v>
      </c>
      <c r="C1889" s="896"/>
      <c r="D1889" s="906" t="s">
        <v>190</v>
      </c>
      <c r="E1889" s="907">
        <f>DMT!$D$20</f>
        <v>308</v>
      </c>
      <c r="F1889" s="908">
        <v>0.4153</v>
      </c>
      <c r="G1889" s="909">
        <f>IF(E1889&lt;=30,(0.78*E1889+7.82)*F1889,((0.78*30+7.82)+0.78*(E1889-30))*F1889)</f>
        <v>103.019318</v>
      </c>
      <c r="H1889" s="901"/>
      <c r="I1889" s="901"/>
      <c r="J1889" s="902">
        <f t="shared" si="471"/>
        <v>0</v>
      </c>
      <c r="K1889" s="903"/>
      <c r="L1889" s="1039">
        <f>ROUND(SUM('RES. CENTRAL PARK:RUA_FINAL'!L1889),2)</f>
        <v>0</v>
      </c>
      <c r="M1889" s="1039">
        <f t="shared" si="478"/>
        <v>0</v>
      </c>
      <c r="N1889" s="893">
        <f t="shared" si="479"/>
        <v>0</v>
      </c>
      <c r="O1889" s="905"/>
      <c r="P1889" s="36" t="str">
        <f>IF(N1888&gt;0,"xx",IF(N1888&gt;0,"xy",""))</f>
        <v/>
      </c>
      <c r="Q1889" s="317" t="str">
        <f t="shared" si="480"/>
        <v/>
      </c>
      <c r="R1889" s="317" t="str">
        <f t="shared" si="481"/>
        <v/>
      </c>
      <c r="S1889" s="317" t="str">
        <f t="shared" si="482"/>
        <v/>
      </c>
      <c r="V1889" s="314">
        <f>SUM('RES. CENTRAL PARK:RUA_FINAL'!N1889)</f>
        <v>0</v>
      </c>
      <c r="W1889" s="315">
        <f t="shared" si="483"/>
        <v>0</v>
      </c>
    </row>
    <row r="1890" spans="1:23" ht="13.5" hidden="1" thickBot="1" x14ac:dyDescent="0.25">
      <c r="A1890" s="63" t="s">
        <v>147</v>
      </c>
      <c r="B1890" s="895" t="s">
        <v>147</v>
      </c>
      <c r="C1890" s="896"/>
      <c r="D1890" s="906" t="s">
        <v>229</v>
      </c>
      <c r="E1890" s="907">
        <f>DMT!$F$8</f>
        <v>150</v>
      </c>
      <c r="F1890" s="908">
        <v>1.4762999999999999</v>
      </c>
      <c r="G1890" s="949">
        <f t="shared" ref="G1890:G1891" si="487">IF(E1890&lt;=30,(1.07*E1890+2.68)*F1890,((1.07*30+2.68)+1.07*(E1890-30))*F1890)</f>
        <v>240.90263400000001</v>
      </c>
      <c r="H1890" s="901"/>
      <c r="I1890" s="901"/>
      <c r="J1890" s="902">
        <f t="shared" si="471"/>
        <v>0</v>
      </c>
      <c r="K1890" s="903"/>
      <c r="L1890" s="1039">
        <f>ROUND(SUM('RES. CENTRAL PARK:RUA_FINAL'!L1890),2)</f>
        <v>0</v>
      </c>
      <c r="M1890" s="1039">
        <f t="shared" si="478"/>
        <v>0</v>
      </c>
      <c r="N1890" s="893">
        <f t="shared" si="479"/>
        <v>0</v>
      </c>
      <c r="O1890" s="905"/>
      <c r="P1890" s="36" t="str">
        <f>IF(N1888&gt;0,"xx",IF(N1888&gt;0,"xy",""))</f>
        <v/>
      </c>
      <c r="Q1890" s="317" t="str">
        <f t="shared" si="480"/>
        <v/>
      </c>
      <c r="R1890" s="317" t="str">
        <f t="shared" si="481"/>
        <v/>
      </c>
      <c r="S1890" s="317" t="str">
        <f t="shared" si="482"/>
        <v/>
      </c>
      <c r="V1890" s="314">
        <f>SUM('RES. CENTRAL PARK:RUA_FINAL'!N1890)</f>
        <v>0</v>
      </c>
      <c r="W1890" s="315">
        <f t="shared" si="483"/>
        <v>0</v>
      </c>
    </row>
    <row r="1891" spans="1:23" ht="13.5" hidden="1" thickBot="1" x14ac:dyDescent="0.25">
      <c r="A1891" s="63" t="s">
        <v>147</v>
      </c>
      <c r="B1891" s="895" t="s">
        <v>147</v>
      </c>
      <c r="C1891" s="896"/>
      <c r="D1891" s="906" t="s">
        <v>233</v>
      </c>
      <c r="E1891" s="907">
        <f>DMT!$F$10</f>
        <v>0.2</v>
      </c>
      <c r="F1891" s="908">
        <v>2.6958000000000002</v>
      </c>
      <c r="G1891" s="949">
        <f t="shared" si="487"/>
        <v>7.8016452000000012</v>
      </c>
      <c r="H1891" s="901"/>
      <c r="I1891" s="901"/>
      <c r="J1891" s="902">
        <f t="shared" si="471"/>
        <v>0</v>
      </c>
      <c r="K1891" s="903"/>
      <c r="L1891" s="1039">
        <f>ROUND(SUM('RES. CENTRAL PARK:RUA_FINAL'!L1891),2)</f>
        <v>0</v>
      </c>
      <c r="M1891" s="1039">
        <f t="shared" si="478"/>
        <v>0</v>
      </c>
      <c r="N1891" s="893">
        <f t="shared" si="479"/>
        <v>0</v>
      </c>
      <c r="O1891" s="905"/>
      <c r="P1891" s="36" t="str">
        <f>IF(N1888&gt;0,"xx",IF(N1888&gt;0,"xy",""))</f>
        <v/>
      </c>
      <c r="Q1891" s="317" t="str">
        <f t="shared" si="480"/>
        <v/>
      </c>
      <c r="R1891" s="317" t="str">
        <f t="shared" si="481"/>
        <v/>
      </c>
      <c r="S1891" s="317" t="str">
        <f t="shared" si="482"/>
        <v/>
      </c>
      <c r="V1891" s="314">
        <f>SUM('RES. CENTRAL PARK:RUA_FINAL'!N1891)</f>
        <v>0</v>
      </c>
      <c r="W1891" s="315">
        <f t="shared" si="483"/>
        <v>0</v>
      </c>
    </row>
    <row r="1892" spans="1:23" ht="13.5" hidden="1" thickBot="1" x14ac:dyDescent="0.25">
      <c r="A1892" s="63">
        <v>620700</v>
      </c>
      <c r="B1892" s="895">
        <v>620700</v>
      </c>
      <c r="C1892" s="896" t="s">
        <v>184</v>
      </c>
      <c r="D1892" s="906" t="s">
        <v>352</v>
      </c>
      <c r="E1892" s="907"/>
      <c r="F1892" s="908"/>
      <c r="G1892" s="912">
        <f>SUM(G1893:G1895)</f>
        <v>527.79857420000008</v>
      </c>
      <c r="H1892" s="901">
        <v>2601.2199999999998</v>
      </c>
      <c r="I1892" s="901">
        <f>IF(ISBLANK(H1892),"",SUM(G1892:H1892))</f>
        <v>3129.0185741999999</v>
      </c>
      <c r="J1892" s="902">
        <f t="shared" si="471"/>
        <v>3757.01</v>
      </c>
      <c r="K1892" s="903" t="s">
        <v>15</v>
      </c>
      <c r="L1892" s="1039">
        <f>ROUND(SUM('RES. CENTRAL PARK:RUA_FINAL'!L1892),2)</f>
        <v>0</v>
      </c>
      <c r="M1892" s="1039">
        <f t="shared" si="478"/>
        <v>0</v>
      </c>
      <c r="N1892" s="893">
        <f t="shared" si="479"/>
        <v>0</v>
      </c>
      <c r="O1892" s="905"/>
      <c r="Q1892" s="317" t="str">
        <f t="shared" si="480"/>
        <v/>
      </c>
      <c r="R1892" s="317" t="str">
        <f t="shared" si="481"/>
        <v/>
      </c>
      <c r="S1892" s="317" t="str">
        <f t="shared" si="482"/>
        <v/>
      </c>
      <c r="V1892" s="314">
        <f>SUM('RES. CENTRAL PARK:RUA_FINAL'!N1892)</f>
        <v>0</v>
      </c>
      <c r="W1892" s="315">
        <f t="shared" si="483"/>
        <v>0</v>
      </c>
    </row>
    <row r="1893" spans="1:23" ht="13.5" hidden="1" thickBot="1" x14ac:dyDescent="0.25">
      <c r="A1893" s="63" t="s">
        <v>147</v>
      </c>
      <c r="B1893" s="895" t="s">
        <v>147</v>
      </c>
      <c r="C1893" s="896"/>
      <c r="D1893" s="906" t="s">
        <v>190</v>
      </c>
      <c r="E1893" s="907">
        <f>DMT!$D$20</f>
        <v>308</v>
      </c>
      <c r="F1893" s="908" t="s">
        <v>79</v>
      </c>
      <c r="G1893" s="909">
        <f>IF(E1893&lt;=30,(0.78*E1893+7.82)*F1893,((0.78*30+7.82)+0.78*(E1893-30))*F1893)</f>
        <v>154.56618599999999</v>
      </c>
      <c r="H1893" s="901"/>
      <c r="I1893" s="901"/>
      <c r="J1893" s="902">
        <f t="shared" si="471"/>
        <v>0</v>
      </c>
      <c r="K1893" s="903"/>
      <c r="L1893" s="1039">
        <f>ROUND(SUM('RES. CENTRAL PARK:RUA_FINAL'!L1893),2)</f>
        <v>0</v>
      </c>
      <c r="M1893" s="1039">
        <f t="shared" si="478"/>
        <v>0</v>
      </c>
      <c r="N1893" s="893">
        <f t="shared" si="479"/>
        <v>0</v>
      </c>
      <c r="O1893" s="905"/>
      <c r="P1893" s="36" t="str">
        <f>IF(N1892&gt;0,"xx",IF(N1892&gt;0,"xy",""))</f>
        <v/>
      </c>
      <c r="Q1893" s="317" t="str">
        <f t="shared" si="480"/>
        <v/>
      </c>
      <c r="R1893" s="317" t="str">
        <f t="shared" si="481"/>
        <v/>
      </c>
      <c r="S1893" s="317" t="str">
        <f t="shared" si="482"/>
        <v/>
      </c>
      <c r="V1893" s="314">
        <f>SUM('RES. CENTRAL PARK:RUA_FINAL'!N1893)</f>
        <v>0</v>
      </c>
      <c r="W1893" s="315">
        <f t="shared" si="483"/>
        <v>0</v>
      </c>
    </row>
    <row r="1894" spans="1:23" ht="13.5" hidden="1" thickBot="1" x14ac:dyDescent="0.25">
      <c r="A1894" s="63" t="s">
        <v>147</v>
      </c>
      <c r="B1894" s="895" t="s">
        <v>147</v>
      </c>
      <c r="C1894" s="896"/>
      <c r="D1894" s="906" t="s">
        <v>229</v>
      </c>
      <c r="E1894" s="907">
        <f>DMT!$F$8</f>
        <v>150</v>
      </c>
      <c r="F1894" s="908" t="s">
        <v>80</v>
      </c>
      <c r="G1894" s="949">
        <f t="shared" ref="G1894:G1895" si="488">IF(E1894&lt;=30,(1.07*E1894+2.68)*F1894,((1.07*30+2.68)+1.07*(E1894-30))*F1894)</f>
        <v>361.52529000000004</v>
      </c>
      <c r="H1894" s="901"/>
      <c r="I1894" s="901"/>
      <c r="J1894" s="902">
        <f t="shared" si="471"/>
        <v>0</v>
      </c>
      <c r="K1894" s="903"/>
      <c r="L1894" s="1039">
        <f>ROUND(SUM('RES. CENTRAL PARK:RUA_FINAL'!L1894),2)</f>
        <v>0</v>
      </c>
      <c r="M1894" s="1039">
        <f t="shared" si="478"/>
        <v>0</v>
      </c>
      <c r="N1894" s="893">
        <f t="shared" si="479"/>
        <v>0</v>
      </c>
      <c r="O1894" s="905"/>
      <c r="P1894" s="36" t="str">
        <f>IF(N1892&gt;0,"xx",IF(N1892&gt;0,"xy",""))</f>
        <v/>
      </c>
      <c r="Q1894" s="317" t="str">
        <f t="shared" si="480"/>
        <v/>
      </c>
      <c r="R1894" s="317" t="str">
        <f t="shared" si="481"/>
        <v/>
      </c>
      <c r="S1894" s="317" t="str">
        <f t="shared" si="482"/>
        <v/>
      </c>
      <c r="V1894" s="314">
        <f>SUM('RES. CENTRAL PARK:RUA_FINAL'!N1894)</f>
        <v>0</v>
      </c>
      <c r="W1894" s="315">
        <f t="shared" si="483"/>
        <v>0</v>
      </c>
    </row>
    <row r="1895" spans="1:23" ht="13.5" hidden="1" thickBot="1" x14ac:dyDescent="0.25">
      <c r="A1895" s="63" t="s">
        <v>147</v>
      </c>
      <c r="B1895" s="895" t="s">
        <v>147</v>
      </c>
      <c r="C1895" s="896"/>
      <c r="D1895" s="906" t="s">
        <v>233</v>
      </c>
      <c r="E1895" s="907">
        <f>DMT!$F$10</f>
        <v>0.2</v>
      </c>
      <c r="F1895" s="908">
        <v>4.0453000000000001</v>
      </c>
      <c r="G1895" s="949">
        <f t="shared" si="488"/>
        <v>11.707098200000001</v>
      </c>
      <c r="H1895" s="901"/>
      <c r="I1895" s="901"/>
      <c r="J1895" s="902">
        <f t="shared" si="471"/>
        <v>0</v>
      </c>
      <c r="K1895" s="903"/>
      <c r="L1895" s="1039">
        <f>ROUND(SUM('RES. CENTRAL PARK:RUA_FINAL'!L1895),2)</f>
        <v>0</v>
      </c>
      <c r="M1895" s="1039">
        <f t="shared" si="478"/>
        <v>0</v>
      </c>
      <c r="N1895" s="893">
        <f t="shared" si="479"/>
        <v>0</v>
      </c>
      <c r="O1895" s="905"/>
      <c r="P1895" s="36" t="str">
        <f>IF(N1892&gt;0,"xx",IF(N1892&gt;0,"xy",""))</f>
        <v/>
      </c>
      <c r="Q1895" s="317" t="str">
        <f t="shared" si="480"/>
        <v/>
      </c>
      <c r="R1895" s="317" t="str">
        <f t="shared" si="481"/>
        <v/>
      </c>
      <c r="S1895" s="317" t="str">
        <f t="shared" si="482"/>
        <v/>
      </c>
      <c r="V1895" s="314">
        <f>SUM('RES. CENTRAL PARK:RUA_FINAL'!N1895)</f>
        <v>0</v>
      </c>
      <c r="W1895" s="315">
        <f t="shared" si="483"/>
        <v>0</v>
      </c>
    </row>
    <row r="1896" spans="1:23" ht="13.5" hidden="1" thickBot="1" x14ac:dyDescent="0.25">
      <c r="A1896" s="63">
        <v>620800</v>
      </c>
      <c r="B1896" s="895">
        <v>620800</v>
      </c>
      <c r="C1896" s="896" t="s">
        <v>184</v>
      </c>
      <c r="D1896" s="906" t="s">
        <v>353</v>
      </c>
      <c r="E1896" s="907"/>
      <c r="F1896" s="908"/>
      <c r="G1896" s="912">
        <f>SUM(G1897:G1899)</f>
        <v>693.98811260000002</v>
      </c>
      <c r="H1896" s="901">
        <v>3307.79</v>
      </c>
      <c r="I1896" s="901">
        <f>IF(ISBLANK(H1896),"",SUM(G1896:H1896))</f>
        <v>4001.7781126</v>
      </c>
      <c r="J1896" s="902">
        <f t="shared" si="471"/>
        <v>4804.93</v>
      </c>
      <c r="K1896" s="903" t="s">
        <v>15</v>
      </c>
      <c r="L1896" s="1039">
        <f>ROUND(SUM('RES. CENTRAL PARK:RUA_FINAL'!L1896),2)</f>
        <v>0</v>
      </c>
      <c r="M1896" s="1039">
        <f t="shared" si="478"/>
        <v>0</v>
      </c>
      <c r="N1896" s="893">
        <f t="shared" si="479"/>
        <v>0</v>
      </c>
      <c r="O1896" s="905"/>
      <c r="Q1896" s="317" t="str">
        <f t="shared" si="480"/>
        <v/>
      </c>
      <c r="R1896" s="317" t="str">
        <f t="shared" si="481"/>
        <v/>
      </c>
      <c r="S1896" s="317" t="str">
        <f t="shared" si="482"/>
        <v/>
      </c>
      <c r="V1896" s="314">
        <f>SUM('RES. CENTRAL PARK:RUA_FINAL'!N1896)</f>
        <v>0</v>
      </c>
      <c r="W1896" s="315">
        <f t="shared" si="483"/>
        <v>0</v>
      </c>
    </row>
    <row r="1897" spans="1:23" ht="13.5" hidden="1" thickBot="1" x14ac:dyDescent="0.25">
      <c r="A1897" s="63" t="s">
        <v>147</v>
      </c>
      <c r="B1897" s="895" t="s">
        <v>147</v>
      </c>
      <c r="C1897" s="896"/>
      <c r="D1897" s="906" t="s">
        <v>190</v>
      </c>
      <c r="E1897" s="907">
        <f>DMT!$D$20</f>
        <v>308</v>
      </c>
      <c r="F1897" s="908">
        <v>0.81930000000000003</v>
      </c>
      <c r="G1897" s="909">
        <f>IF(E1897&lt;=30,(0.78*E1897+7.82)*F1897,((0.78*30+7.82)+0.78*(E1897-30))*F1897)</f>
        <v>203.235558</v>
      </c>
      <c r="H1897" s="901"/>
      <c r="I1897" s="901"/>
      <c r="J1897" s="902">
        <f t="shared" si="471"/>
        <v>0</v>
      </c>
      <c r="K1897" s="903"/>
      <c r="L1897" s="1039">
        <f>ROUND(SUM('RES. CENTRAL PARK:RUA_FINAL'!L1897),2)</f>
        <v>0</v>
      </c>
      <c r="M1897" s="1039">
        <f t="shared" si="478"/>
        <v>0</v>
      </c>
      <c r="N1897" s="893">
        <f t="shared" si="479"/>
        <v>0</v>
      </c>
      <c r="O1897" s="905"/>
      <c r="P1897" s="36" t="str">
        <f>IF(N1896&gt;0,"xx",IF(N1896&gt;0,"xy",""))</f>
        <v/>
      </c>
      <c r="Q1897" s="317" t="str">
        <f t="shared" si="480"/>
        <v/>
      </c>
      <c r="R1897" s="317" t="str">
        <f t="shared" si="481"/>
        <v/>
      </c>
      <c r="S1897" s="317" t="str">
        <f t="shared" si="482"/>
        <v/>
      </c>
      <c r="V1897" s="314">
        <f>SUM('RES. CENTRAL PARK:RUA_FINAL'!N1897)</f>
        <v>0</v>
      </c>
      <c r="W1897" s="315">
        <f t="shared" si="483"/>
        <v>0</v>
      </c>
    </row>
    <row r="1898" spans="1:23" ht="13.5" hidden="1" thickBot="1" x14ac:dyDescent="0.25">
      <c r="A1898" s="63" t="s">
        <v>147</v>
      </c>
      <c r="B1898" s="895" t="s">
        <v>147</v>
      </c>
      <c r="C1898" s="896"/>
      <c r="D1898" s="906" t="s">
        <v>229</v>
      </c>
      <c r="E1898" s="907">
        <f>DMT!$F$8</f>
        <v>150</v>
      </c>
      <c r="F1898" s="908">
        <v>2.9131</v>
      </c>
      <c r="G1898" s="949">
        <f t="shared" ref="G1898:G1899" si="489">IF(E1898&lt;=30,(1.07*E1898+2.68)*F1898,((1.07*30+2.68)+1.07*(E1898-30))*F1898)</f>
        <v>475.35965800000002</v>
      </c>
      <c r="H1898" s="901"/>
      <c r="I1898" s="901"/>
      <c r="J1898" s="902">
        <f t="shared" si="471"/>
        <v>0</v>
      </c>
      <c r="K1898" s="903"/>
      <c r="L1898" s="1039">
        <f>ROUND(SUM('RES. CENTRAL PARK:RUA_FINAL'!L1898),2)</f>
        <v>0</v>
      </c>
      <c r="M1898" s="1039">
        <f t="shared" si="478"/>
        <v>0</v>
      </c>
      <c r="N1898" s="893">
        <f t="shared" si="479"/>
        <v>0</v>
      </c>
      <c r="O1898" s="905"/>
      <c r="P1898" s="36" t="str">
        <f>IF(N1896&gt;0,"xx",IF(N1896&gt;0,"xy",""))</f>
        <v/>
      </c>
      <c r="Q1898" s="317" t="str">
        <f t="shared" si="480"/>
        <v/>
      </c>
      <c r="R1898" s="317" t="str">
        <f t="shared" si="481"/>
        <v/>
      </c>
      <c r="S1898" s="317" t="str">
        <f t="shared" si="482"/>
        <v/>
      </c>
      <c r="V1898" s="314">
        <f>SUM('RES. CENTRAL PARK:RUA_FINAL'!N1898)</f>
        <v>0</v>
      </c>
      <c r="W1898" s="315">
        <f t="shared" si="483"/>
        <v>0</v>
      </c>
    </row>
    <row r="1899" spans="1:23" ht="13.5" hidden="1" thickBot="1" x14ac:dyDescent="0.25">
      <c r="A1899" s="63" t="s">
        <v>147</v>
      </c>
      <c r="B1899" s="895" t="s">
        <v>147</v>
      </c>
      <c r="C1899" s="896"/>
      <c r="D1899" s="906" t="s">
        <v>233</v>
      </c>
      <c r="E1899" s="907">
        <f>DMT!$F$10</f>
        <v>0.2</v>
      </c>
      <c r="F1899" s="908">
        <v>5.3189000000000002</v>
      </c>
      <c r="G1899" s="949">
        <f t="shared" si="489"/>
        <v>15.392896600000002</v>
      </c>
      <c r="H1899" s="901"/>
      <c r="I1899" s="901"/>
      <c r="J1899" s="902">
        <f t="shared" si="471"/>
        <v>0</v>
      </c>
      <c r="K1899" s="903"/>
      <c r="L1899" s="1039">
        <f>ROUND(SUM('RES. CENTRAL PARK:RUA_FINAL'!L1899),2)</f>
        <v>0</v>
      </c>
      <c r="M1899" s="1039">
        <f t="shared" si="478"/>
        <v>0</v>
      </c>
      <c r="N1899" s="893">
        <f t="shared" si="479"/>
        <v>0</v>
      </c>
      <c r="O1899" s="905"/>
      <c r="P1899" s="36" t="str">
        <f>IF(N1896&gt;0,"xx",IF(N1896&gt;0,"xy",""))</f>
        <v/>
      </c>
      <c r="Q1899" s="317" t="str">
        <f t="shared" si="480"/>
        <v/>
      </c>
      <c r="R1899" s="317" t="str">
        <f t="shared" si="481"/>
        <v/>
      </c>
      <c r="S1899" s="317" t="str">
        <f t="shared" si="482"/>
        <v/>
      </c>
      <c r="V1899" s="314">
        <f>SUM('RES. CENTRAL PARK:RUA_FINAL'!N1899)</f>
        <v>0</v>
      </c>
      <c r="W1899" s="315">
        <f t="shared" si="483"/>
        <v>0</v>
      </c>
    </row>
    <row r="1900" spans="1:23" ht="13.5" hidden="1" thickBot="1" x14ac:dyDescent="0.25">
      <c r="A1900" s="63">
        <v>620900</v>
      </c>
      <c r="B1900" s="895">
        <v>620900</v>
      </c>
      <c r="C1900" s="896" t="s">
        <v>184</v>
      </c>
      <c r="D1900" s="906" t="s">
        <v>354</v>
      </c>
      <c r="E1900" s="907"/>
      <c r="F1900" s="908"/>
      <c r="G1900" s="912">
        <f>SUM(G1901:G1903)</f>
        <v>1364.1181708000001</v>
      </c>
      <c r="H1900" s="901">
        <v>5805.6</v>
      </c>
      <c r="I1900" s="901">
        <f>IF(ISBLANK(H1900),"",SUM(G1900:H1900))</f>
        <v>7169.7181708000007</v>
      </c>
      <c r="J1900" s="902">
        <f t="shared" si="471"/>
        <v>8608.68</v>
      </c>
      <c r="K1900" s="903" t="s">
        <v>15</v>
      </c>
      <c r="L1900" s="1039">
        <f>ROUND(SUM('RES. CENTRAL PARK:RUA_FINAL'!L1900),2)</f>
        <v>0</v>
      </c>
      <c r="M1900" s="1039">
        <f t="shared" si="478"/>
        <v>0</v>
      </c>
      <c r="N1900" s="893">
        <f t="shared" si="479"/>
        <v>0</v>
      </c>
      <c r="O1900" s="905"/>
      <c r="Q1900" s="317" t="str">
        <f t="shared" si="480"/>
        <v/>
      </c>
      <c r="R1900" s="317" t="str">
        <f t="shared" si="481"/>
        <v/>
      </c>
      <c r="S1900" s="317" t="str">
        <f t="shared" si="482"/>
        <v/>
      </c>
      <c r="V1900" s="314">
        <f>SUM('RES. CENTRAL PARK:RUA_FINAL'!N1900)</f>
        <v>0</v>
      </c>
      <c r="W1900" s="315">
        <f t="shared" si="483"/>
        <v>0</v>
      </c>
    </row>
    <row r="1901" spans="1:23" ht="13.5" hidden="1" thickBot="1" x14ac:dyDescent="0.25">
      <c r="A1901" s="63" t="s">
        <v>147</v>
      </c>
      <c r="B1901" s="895" t="s">
        <v>147</v>
      </c>
      <c r="C1901" s="896"/>
      <c r="D1901" s="906" t="s">
        <v>190</v>
      </c>
      <c r="E1901" s="907">
        <f>DMT!$D$20</f>
        <v>308</v>
      </c>
      <c r="F1901" s="908">
        <v>1.6104000000000001</v>
      </c>
      <c r="G1901" s="909">
        <f>IF(E1901&lt;=30,(0.78*E1901+7.82)*F1901,((0.78*30+7.82)+0.78*(E1901-30))*F1901)</f>
        <v>399.47582399999999</v>
      </c>
      <c r="H1901" s="901"/>
      <c r="I1901" s="901"/>
      <c r="J1901" s="902">
        <f t="shared" si="471"/>
        <v>0</v>
      </c>
      <c r="K1901" s="903"/>
      <c r="L1901" s="1039">
        <f>ROUND(SUM('RES. CENTRAL PARK:RUA_FINAL'!L1901),2)</f>
        <v>0</v>
      </c>
      <c r="M1901" s="1039">
        <f t="shared" si="478"/>
        <v>0</v>
      </c>
      <c r="N1901" s="893">
        <f t="shared" si="479"/>
        <v>0</v>
      </c>
      <c r="O1901" s="905"/>
      <c r="P1901" s="36" t="str">
        <f>IF(N1900&gt;0,"xx",IF(N1900&gt;0,"xy",""))</f>
        <v/>
      </c>
      <c r="Q1901" s="317" t="str">
        <f t="shared" si="480"/>
        <v/>
      </c>
      <c r="R1901" s="317" t="str">
        <f t="shared" si="481"/>
        <v/>
      </c>
      <c r="S1901" s="317" t="str">
        <f t="shared" si="482"/>
        <v/>
      </c>
      <c r="V1901" s="314">
        <f>SUM('RES. CENTRAL PARK:RUA_FINAL'!N1901)</f>
        <v>0</v>
      </c>
      <c r="W1901" s="315">
        <f t="shared" si="483"/>
        <v>0</v>
      </c>
    </row>
    <row r="1902" spans="1:23" ht="13.5" hidden="1" thickBot="1" x14ac:dyDescent="0.25">
      <c r="A1902" s="63" t="s">
        <v>147</v>
      </c>
      <c r="B1902" s="895" t="s">
        <v>147</v>
      </c>
      <c r="C1902" s="896"/>
      <c r="D1902" s="906" t="s">
        <v>229</v>
      </c>
      <c r="E1902" s="907">
        <f>DMT!$F$8</f>
        <v>150</v>
      </c>
      <c r="F1902" s="908">
        <v>5.7260999999999997</v>
      </c>
      <c r="G1902" s="949">
        <f t="shared" ref="G1902:G1903" si="490">IF(E1902&lt;=30,(1.07*E1902+2.68)*F1902,((1.07*30+2.68)+1.07*(E1902-30))*F1902)</f>
        <v>934.384998</v>
      </c>
      <c r="H1902" s="901"/>
      <c r="I1902" s="901"/>
      <c r="J1902" s="902">
        <f t="shared" si="471"/>
        <v>0</v>
      </c>
      <c r="K1902" s="903"/>
      <c r="L1902" s="1039">
        <f>ROUND(SUM('RES. CENTRAL PARK:RUA_FINAL'!L1902),2)</f>
        <v>0</v>
      </c>
      <c r="M1902" s="1039">
        <f t="shared" si="478"/>
        <v>0</v>
      </c>
      <c r="N1902" s="893">
        <f t="shared" si="479"/>
        <v>0</v>
      </c>
      <c r="O1902" s="905"/>
      <c r="P1902" s="36" t="str">
        <f>IF(N1900&gt;0,"xx",IF(N1900&gt;0,"xy",""))</f>
        <v/>
      </c>
      <c r="Q1902" s="317" t="str">
        <f t="shared" si="480"/>
        <v/>
      </c>
      <c r="R1902" s="317" t="str">
        <f t="shared" si="481"/>
        <v/>
      </c>
      <c r="S1902" s="317" t="str">
        <f t="shared" si="482"/>
        <v/>
      </c>
      <c r="V1902" s="314">
        <f>SUM('RES. CENTRAL PARK:RUA_FINAL'!N1902)</f>
        <v>0</v>
      </c>
      <c r="W1902" s="315">
        <f t="shared" si="483"/>
        <v>0</v>
      </c>
    </row>
    <row r="1903" spans="1:23" ht="13.5" hidden="1" thickBot="1" x14ac:dyDescent="0.25">
      <c r="A1903" s="63" t="s">
        <v>147</v>
      </c>
      <c r="B1903" s="895" t="s">
        <v>147</v>
      </c>
      <c r="C1903" s="896"/>
      <c r="D1903" s="906" t="s">
        <v>233</v>
      </c>
      <c r="E1903" s="907">
        <f>DMT!$F$10</f>
        <v>0.2</v>
      </c>
      <c r="F1903" s="908">
        <v>10.4552</v>
      </c>
      <c r="G1903" s="949">
        <f t="shared" si="490"/>
        <v>30.257348799999999</v>
      </c>
      <c r="H1903" s="901"/>
      <c r="I1903" s="901"/>
      <c r="J1903" s="902">
        <f t="shared" si="471"/>
        <v>0</v>
      </c>
      <c r="K1903" s="903"/>
      <c r="L1903" s="1039">
        <f>ROUND(SUM('RES. CENTRAL PARK:RUA_FINAL'!L1903),2)</f>
        <v>0</v>
      </c>
      <c r="M1903" s="1039">
        <f t="shared" si="478"/>
        <v>0</v>
      </c>
      <c r="N1903" s="893">
        <f t="shared" si="479"/>
        <v>0</v>
      </c>
      <c r="O1903" s="905"/>
      <c r="P1903" s="36" t="str">
        <f>IF(N1900&gt;0,"xx",IF(N1900&gt;0,"xy",""))</f>
        <v/>
      </c>
      <c r="Q1903" s="317" t="str">
        <f t="shared" si="480"/>
        <v/>
      </c>
      <c r="R1903" s="317" t="str">
        <f t="shared" si="481"/>
        <v/>
      </c>
      <c r="S1903" s="317" t="str">
        <f t="shared" si="482"/>
        <v/>
      </c>
      <c r="V1903" s="314">
        <f>SUM('RES. CENTRAL PARK:RUA_FINAL'!N1903)</f>
        <v>0</v>
      </c>
      <c r="W1903" s="315">
        <f t="shared" si="483"/>
        <v>0</v>
      </c>
    </row>
    <row r="1904" spans="1:23" ht="13.5" hidden="1" thickBot="1" x14ac:dyDescent="0.25">
      <c r="A1904" s="63">
        <v>621000</v>
      </c>
      <c r="B1904" s="895">
        <v>621000</v>
      </c>
      <c r="C1904" s="896" t="s">
        <v>184</v>
      </c>
      <c r="D1904" s="906" t="s">
        <v>355</v>
      </c>
      <c r="E1904" s="907"/>
      <c r="F1904" s="908"/>
      <c r="G1904" s="912">
        <f>SUM(G1905:G1907)</f>
        <v>2609.7806770000002</v>
      </c>
      <c r="H1904" s="901">
        <v>10293.86</v>
      </c>
      <c r="I1904" s="901">
        <f>IF(ISBLANK(H1904),"",SUM(G1904:H1904))</f>
        <v>12903.640677000001</v>
      </c>
      <c r="J1904" s="902">
        <f t="shared" si="471"/>
        <v>15493.4</v>
      </c>
      <c r="K1904" s="903" t="s">
        <v>15</v>
      </c>
      <c r="L1904" s="1039">
        <f>ROUND(SUM('RES. CENTRAL PARK:RUA_FINAL'!L1904),2)</f>
        <v>0</v>
      </c>
      <c r="M1904" s="1039">
        <f t="shared" si="478"/>
        <v>0</v>
      </c>
      <c r="N1904" s="893">
        <f t="shared" si="479"/>
        <v>0</v>
      </c>
      <c r="O1904" s="905"/>
      <c r="Q1904" s="317" t="str">
        <f t="shared" si="480"/>
        <v/>
      </c>
      <c r="R1904" s="317" t="str">
        <f t="shared" si="481"/>
        <v/>
      </c>
      <c r="S1904" s="317" t="str">
        <f t="shared" si="482"/>
        <v/>
      </c>
      <c r="V1904" s="314">
        <f>SUM('RES. CENTRAL PARK:RUA_FINAL'!N1904)</f>
        <v>0</v>
      </c>
      <c r="W1904" s="315">
        <f t="shared" si="483"/>
        <v>0</v>
      </c>
    </row>
    <row r="1905" spans="1:23" ht="13.5" hidden="1" thickBot="1" x14ac:dyDescent="0.25">
      <c r="A1905" s="63" t="s">
        <v>147</v>
      </c>
      <c r="B1905" s="895" t="s">
        <v>147</v>
      </c>
      <c r="C1905" s="896"/>
      <c r="D1905" s="906" t="s">
        <v>190</v>
      </c>
      <c r="E1905" s="907">
        <f>DMT!$D$20</f>
        <v>308</v>
      </c>
      <c r="F1905" s="908">
        <v>3.081</v>
      </c>
      <c r="G1905" s="909">
        <f>IF(E1905&lt;=30,(0.78*E1905+7.82)*F1905,((0.78*30+7.82)+0.78*(E1905-30))*F1905)</f>
        <v>764.27286000000004</v>
      </c>
      <c r="H1905" s="901"/>
      <c r="I1905" s="901"/>
      <c r="J1905" s="902">
        <f t="shared" si="471"/>
        <v>0</v>
      </c>
      <c r="K1905" s="903"/>
      <c r="L1905" s="1039">
        <f>ROUND(SUM('RES. CENTRAL PARK:RUA_FINAL'!L1905),2)</f>
        <v>0</v>
      </c>
      <c r="M1905" s="1039">
        <f t="shared" si="478"/>
        <v>0</v>
      </c>
      <c r="N1905" s="893">
        <f t="shared" si="479"/>
        <v>0</v>
      </c>
      <c r="O1905" s="905"/>
      <c r="P1905" s="36" t="str">
        <f>IF(N1904&gt;0,"xx",IF(N1904&gt;0,"xy",""))</f>
        <v/>
      </c>
      <c r="Q1905" s="317" t="str">
        <f t="shared" si="480"/>
        <v/>
      </c>
      <c r="R1905" s="317" t="str">
        <f t="shared" si="481"/>
        <v/>
      </c>
      <c r="S1905" s="317" t="str">
        <f t="shared" si="482"/>
        <v/>
      </c>
      <c r="V1905" s="314">
        <f>SUM('RES. CENTRAL PARK:RUA_FINAL'!N1905)</f>
        <v>0</v>
      </c>
      <c r="W1905" s="315">
        <f t="shared" si="483"/>
        <v>0</v>
      </c>
    </row>
    <row r="1906" spans="1:23" ht="13.5" hidden="1" thickBot="1" x14ac:dyDescent="0.25">
      <c r="A1906" s="63" t="s">
        <v>147</v>
      </c>
      <c r="B1906" s="895" t="s">
        <v>147</v>
      </c>
      <c r="C1906" s="896"/>
      <c r="D1906" s="906" t="s">
        <v>229</v>
      </c>
      <c r="E1906" s="907">
        <f>DMT!$F$8</f>
        <v>150</v>
      </c>
      <c r="F1906" s="908">
        <v>10.9549</v>
      </c>
      <c r="G1906" s="949">
        <f t="shared" ref="G1906:G1907" si="491">IF(E1906&lt;=30,(1.07*E1906+2.68)*F1906,((1.07*30+2.68)+1.07*(E1906-30))*F1906)</f>
        <v>1787.620582</v>
      </c>
      <c r="H1906" s="901"/>
      <c r="I1906" s="901"/>
      <c r="J1906" s="902">
        <f t="shared" si="471"/>
        <v>0</v>
      </c>
      <c r="K1906" s="903"/>
      <c r="L1906" s="1039">
        <f>ROUND(SUM('RES. CENTRAL PARK:RUA_FINAL'!L1906),2)</f>
        <v>0</v>
      </c>
      <c r="M1906" s="1039">
        <f t="shared" si="478"/>
        <v>0</v>
      </c>
      <c r="N1906" s="893">
        <f t="shared" si="479"/>
        <v>0</v>
      </c>
      <c r="O1906" s="905"/>
      <c r="P1906" s="36" t="str">
        <f>IF(N1904&gt;0,"xx",IF(N1904&gt;0,"xy",""))</f>
        <v/>
      </c>
      <c r="Q1906" s="317" t="str">
        <f t="shared" si="480"/>
        <v/>
      </c>
      <c r="R1906" s="317" t="str">
        <f t="shared" si="481"/>
        <v/>
      </c>
      <c r="S1906" s="317" t="str">
        <f t="shared" si="482"/>
        <v/>
      </c>
      <c r="V1906" s="314">
        <f>SUM('RES. CENTRAL PARK:RUA_FINAL'!N1906)</f>
        <v>0</v>
      </c>
      <c r="W1906" s="315">
        <f t="shared" si="483"/>
        <v>0</v>
      </c>
    </row>
    <row r="1907" spans="1:23" ht="13.5" hidden="1" thickBot="1" x14ac:dyDescent="0.25">
      <c r="A1907" s="63" t="s">
        <v>147</v>
      </c>
      <c r="B1907" s="895" t="s">
        <v>147</v>
      </c>
      <c r="C1907" s="896"/>
      <c r="D1907" s="906" t="s">
        <v>233</v>
      </c>
      <c r="E1907" s="907">
        <f>DMT!$F$10</f>
        <v>0.2</v>
      </c>
      <c r="F1907" s="908">
        <v>20.002500000000001</v>
      </c>
      <c r="G1907" s="949">
        <f t="shared" si="491"/>
        <v>57.887235000000004</v>
      </c>
      <c r="H1907" s="901"/>
      <c r="I1907" s="901"/>
      <c r="J1907" s="902">
        <f t="shared" si="471"/>
        <v>0</v>
      </c>
      <c r="K1907" s="903"/>
      <c r="L1907" s="1039">
        <f>ROUND(SUM('RES. CENTRAL PARK:RUA_FINAL'!L1907),2)</f>
        <v>0</v>
      </c>
      <c r="M1907" s="1039">
        <f t="shared" si="478"/>
        <v>0</v>
      </c>
      <c r="N1907" s="893">
        <f t="shared" si="479"/>
        <v>0</v>
      </c>
      <c r="O1907" s="905"/>
      <c r="P1907" s="36" t="str">
        <f>IF(N1904&gt;0,"xx",IF(N1904&gt;0,"xy",""))</f>
        <v/>
      </c>
      <c r="Q1907" s="317" t="str">
        <f t="shared" si="480"/>
        <v/>
      </c>
      <c r="R1907" s="317" t="str">
        <f t="shared" si="481"/>
        <v/>
      </c>
      <c r="S1907" s="317" t="str">
        <f t="shared" si="482"/>
        <v/>
      </c>
      <c r="V1907" s="314">
        <f>SUM('RES. CENTRAL PARK:RUA_FINAL'!N1907)</f>
        <v>0</v>
      </c>
      <c r="W1907" s="315">
        <f t="shared" si="483"/>
        <v>0</v>
      </c>
    </row>
    <row r="1908" spans="1:23" ht="13.5" hidden="1" thickBot="1" x14ac:dyDescent="0.25">
      <c r="A1908" s="63">
        <v>620100</v>
      </c>
      <c r="B1908" s="895" t="s">
        <v>1819</v>
      </c>
      <c r="C1908" s="896" t="s">
        <v>184</v>
      </c>
      <c r="D1908" s="906" t="s">
        <v>356</v>
      </c>
      <c r="E1908" s="907"/>
      <c r="F1908" s="908"/>
      <c r="G1908" s="912">
        <f>SUM(G1909:G1911)</f>
        <v>317.53582400000005</v>
      </c>
      <c r="H1908" s="901">
        <v>954.15</v>
      </c>
      <c r="I1908" s="901">
        <f>IF(ISBLANK(H1908),"",SUM(G1908:H1908))</f>
        <v>1271.6858240000001</v>
      </c>
      <c r="J1908" s="902">
        <f t="shared" si="471"/>
        <v>1526.91</v>
      </c>
      <c r="K1908" s="903" t="s">
        <v>15</v>
      </c>
      <c r="L1908" s="1039">
        <f>ROUND(SUM('RES. CENTRAL PARK:RUA_FINAL'!L1908),2)</f>
        <v>0</v>
      </c>
      <c r="M1908" s="1039">
        <f t="shared" si="478"/>
        <v>0</v>
      </c>
      <c r="N1908" s="893">
        <f t="shared" si="479"/>
        <v>0</v>
      </c>
      <c r="O1908" s="905"/>
      <c r="Q1908" s="317" t="str">
        <f t="shared" si="480"/>
        <v/>
      </c>
      <c r="R1908" s="317" t="str">
        <f t="shared" si="481"/>
        <v/>
      </c>
      <c r="S1908" s="317" t="str">
        <f t="shared" si="482"/>
        <v/>
      </c>
      <c r="V1908" s="314">
        <f>SUM('RES. CENTRAL PARK:RUA_FINAL'!N1908)</f>
        <v>0</v>
      </c>
      <c r="W1908" s="315">
        <f t="shared" si="483"/>
        <v>0</v>
      </c>
    </row>
    <row r="1909" spans="1:23" ht="13.5" hidden="1" thickBot="1" x14ac:dyDescent="0.25">
      <c r="A1909" s="63" t="s">
        <v>147</v>
      </c>
      <c r="B1909" s="895" t="s">
        <v>147</v>
      </c>
      <c r="C1909" s="896"/>
      <c r="D1909" s="906" t="s">
        <v>190</v>
      </c>
      <c r="E1909" s="907">
        <f>DMT!$D$20</f>
        <v>308</v>
      </c>
      <c r="F1909" s="908">
        <v>0.37480000000000002</v>
      </c>
      <c r="G1909" s="909">
        <f>IF(E1909&lt;=30,(0.78*E1909+7.82)*F1909,((0.78*30+7.82)+0.78*(E1909-30))*F1909)</f>
        <v>92.972888000000012</v>
      </c>
      <c r="H1909" s="901"/>
      <c r="I1909" s="901"/>
      <c r="J1909" s="902">
        <f t="shared" si="471"/>
        <v>0</v>
      </c>
      <c r="K1909" s="903"/>
      <c r="L1909" s="1039">
        <f>ROUND(SUM('RES. CENTRAL PARK:RUA_FINAL'!L1909),2)</f>
        <v>0</v>
      </c>
      <c r="M1909" s="1039">
        <f t="shared" si="478"/>
        <v>0</v>
      </c>
      <c r="N1909" s="893">
        <f t="shared" si="479"/>
        <v>0</v>
      </c>
      <c r="O1909" s="905"/>
      <c r="P1909" s="36" t="str">
        <f>IF(N1908&gt;0,"xx",IF(N1908&gt;0,"xy",""))</f>
        <v/>
      </c>
      <c r="Q1909" s="317" t="str">
        <f t="shared" si="480"/>
        <v/>
      </c>
      <c r="R1909" s="317" t="str">
        <f t="shared" si="481"/>
        <v/>
      </c>
      <c r="S1909" s="317" t="str">
        <f t="shared" si="482"/>
        <v/>
      </c>
      <c r="V1909" s="314">
        <f>SUM('RES. CENTRAL PARK:RUA_FINAL'!N1909)</f>
        <v>0</v>
      </c>
      <c r="W1909" s="315">
        <f t="shared" si="483"/>
        <v>0</v>
      </c>
    </row>
    <row r="1910" spans="1:23" ht="13.5" hidden="1" thickBot="1" x14ac:dyDescent="0.25">
      <c r="A1910" s="63" t="s">
        <v>147</v>
      </c>
      <c r="B1910" s="895" t="s">
        <v>147</v>
      </c>
      <c r="C1910" s="896"/>
      <c r="D1910" s="906" t="s">
        <v>229</v>
      </c>
      <c r="E1910" s="907">
        <f>DMT!$F$8</f>
        <v>150</v>
      </c>
      <c r="F1910" s="908">
        <v>1.333</v>
      </c>
      <c r="G1910" s="949">
        <f t="shared" ref="G1910:G1911" si="492">IF(E1910&lt;=30,(1.07*E1910+2.68)*F1910,((1.07*30+2.68)+1.07*(E1910-30))*F1910)</f>
        <v>217.51894000000001</v>
      </c>
      <c r="H1910" s="901"/>
      <c r="I1910" s="901"/>
      <c r="J1910" s="902">
        <f t="shared" si="471"/>
        <v>0</v>
      </c>
      <c r="K1910" s="903"/>
      <c r="L1910" s="1039">
        <f>ROUND(SUM('RES. CENTRAL PARK:RUA_FINAL'!L1910),2)</f>
        <v>0</v>
      </c>
      <c r="M1910" s="1039">
        <f t="shared" si="478"/>
        <v>0</v>
      </c>
      <c r="N1910" s="893">
        <f t="shared" si="479"/>
        <v>0</v>
      </c>
      <c r="O1910" s="905"/>
      <c r="P1910" s="36" t="str">
        <f>IF(N1908&gt;0,"xx",IF(N1908&gt;0,"xy",""))</f>
        <v/>
      </c>
      <c r="Q1910" s="317" t="str">
        <f t="shared" si="480"/>
        <v/>
      </c>
      <c r="R1910" s="317" t="str">
        <f t="shared" si="481"/>
        <v/>
      </c>
      <c r="S1910" s="317" t="str">
        <f t="shared" si="482"/>
        <v/>
      </c>
      <c r="V1910" s="314">
        <f>SUM('RES. CENTRAL PARK:RUA_FINAL'!N1910)</f>
        <v>0</v>
      </c>
      <c r="W1910" s="315">
        <f t="shared" si="483"/>
        <v>0</v>
      </c>
    </row>
    <row r="1911" spans="1:23" ht="13.5" hidden="1" thickBot="1" x14ac:dyDescent="0.25">
      <c r="A1911" s="63" t="s">
        <v>147</v>
      </c>
      <c r="B1911" s="895" t="s">
        <v>147</v>
      </c>
      <c r="C1911" s="896"/>
      <c r="D1911" s="906" t="s">
        <v>233</v>
      </c>
      <c r="E1911" s="907">
        <f>DMT!$F$10</f>
        <v>0.2</v>
      </c>
      <c r="F1911" s="908">
        <v>2.4340000000000002</v>
      </c>
      <c r="G1911" s="949">
        <f t="shared" si="492"/>
        <v>7.0439960000000008</v>
      </c>
      <c r="H1911" s="901"/>
      <c r="I1911" s="901"/>
      <c r="J1911" s="902">
        <f t="shared" si="471"/>
        <v>0</v>
      </c>
      <c r="K1911" s="903"/>
      <c r="L1911" s="1039">
        <f>ROUND(SUM('RES. CENTRAL PARK:RUA_FINAL'!L1911),2)</f>
        <v>0</v>
      </c>
      <c r="M1911" s="1039">
        <f t="shared" si="478"/>
        <v>0</v>
      </c>
      <c r="N1911" s="893">
        <f t="shared" si="479"/>
        <v>0</v>
      </c>
      <c r="O1911" s="905"/>
      <c r="P1911" s="36" t="str">
        <f>IF(N1908&gt;0,"xx",IF(N1908&gt;0,"xy",""))</f>
        <v/>
      </c>
      <c r="Q1911" s="317" t="str">
        <f t="shared" si="480"/>
        <v/>
      </c>
      <c r="R1911" s="317" t="str">
        <f t="shared" si="481"/>
        <v/>
      </c>
      <c r="S1911" s="317" t="str">
        <f t="shared" si="482"/>
        <v/>
      </c>
      <c r="V1911" s="314">
        <f>SUM('RES. CENTRAL PARK:RUA_FINAL'!N1911)</f>
        <v>0</v>
      </c>
      <c r="W1911" s="315">
        <f t="shared" si="483"/>
        <v>0</v>
      </c>
    </row>
    <row r="1912" spans="1:23" ht="13.5" hidden="1" thickBot="1" x14ac:dyDescent="0.25">
      <c r="A1912" s="63">
        <v>620200</v>
      </c>
      <c r="B1912" s="895" t="s">
        <v>1822</v>
      </c>
      <c r="C1912" s="896" t="s">
        <v>184</v>
      </c>
      <c r="D1912" s="906" t="s">
        <v>357</v>
      </c>
      <c r="E1912" s="907"/>
      <c r="F1912" s="908">
        <v>0</v>
      </c>
      <c r="G1912" s="912">
        <f>SUM(G1913:G1915)</f>
        <v>460.436328</v>
      </c>
      <c r="H1912" s="901">
        <v>1321.46</v>
      </c>
      <c r="I1912" s="901">
        <f>IF(ISBLANK(H1912),"",SUM(G1912:H1912))</f>
        <v>1781.896328</v>
      </c>
      <c r="J1912" s="902">
        <f t="shared" si="471"/>
        <v>2139.52</v>
      </c>
      <c r="K1912" s="903" t="s">
        <v>15</v>
      </c>
      <c r="L1912" s="1039">
        <f>ROUND(SUM('RES. CENTRAL PARK:RUA_FINAL'!L1912),2)</f>
        <v>0</v>
      </c>
      <c r="M1912" s="1039">
        <f t="shared" si="478"/>
        <v>0</v>
      </c>
      <c r="N1912" s="893">
        <f t="shared" si="479"/>
        <v>0</v>
      </c>
      <c r="O1912" s="905"/>
      <c r="Q1912" s="317" t="str">
        <f t="shared" si="480"/>
        <v/>
      </c>
      <c r="R1912" s="317" t="str">
        <f t="shared" si="481"/>
        <v/>
      </c>
      <c r="S1912" s="317" t="str">
        <f t="shared" si="482"/>
        <v/>
      </c>
      <c r="V1912" s="314">
        <f>SUM('RES. CENTRAL PARK:RUA_FINAL'!N1912)</f>
        <v>0</v>
      </c>
      <c r="W1912" s="315">
        <f t="shared" si="483"/>
        <v>0</v>
      </c>
    </row>
    <row r="1913" spans="1:23" ht="13.5" hidden="1" thickBot="1" x14ac:dyDescent="0.25">
      <c r="A1913" s="63" t="s">
        <v>147</v>
      </c>
      <c r="B1913" s="895" t="s">
        <v>147</v>
      </c>
      <c r="C1913" s="896"/>
      <c r="D1913" s="906" t="s">
        <v>190</v>
      </c>
      <c r="E1913" s="907">
        <f>DMT!$D$20</f>
        <v>308</v>
      </c>
      <c r="F1913" s="908">
        <v>0.54359999999999997</v>
      </c>
      <c r="G1913" s="909">
        <f>IF(E1913&lt;=30,(0.78*E1913+7.82)*F1913,((0.78*30+7.82)+0.78*(E1913-30))*F1913)</f>
        <v>134.845416</v>
      </c>
      <c r="H1913" s="901"/>
      <c r="I1913" s="901"/>
      <c r="J1913" s="902">
        <f t="shared" si="471"/>
        <v>0</v>
      </c>
      <c r="K1913" s="903"/>
      <c r="L1913" s="1039">
        <f>ROUND(SUM('RES. CENTRAL PARK:RUA_FINAL'!L1913),2)</f>
        <v>0</v>
      </c>
      <c r="M1913" s="1039">
        <f t="shared" si="478"/>
        <v>0</v>
      </c>
      <c r="N1913" s="893">
        <f t="shared" si="479"/>
        <v>0</v>
      </c>
      <c r="O1913" s="905"/>
      <c r="P1913" s="36" t="str">
        <f>IF(N1912&gt;0,"xx",IF(N1912&gt;0,"xy",""))</f>
        <v/>
      </c>
      <c r="Q1913" s="317" t="str">
        <f t="shared" si="480"/>
        <v/>
      </c>
      <c r="R1913" s="317" t="str">
        <f t="shared" si="481"/>
        <v/>
      </c>
      <c r="S1913" s="317" t="str">
        <f t="shared" si="482"/>
        <v/>
      </c>
      <c r="V1913" s="314">
        <f>SUM('RES. CENTRAL PARK:RUA_FINAL'!N1913)</f>
        <v>0</v>
      </c>
      <c r="W1913" s="315">
        <f t="shared" si="483"/>
        <v>0</v>
      </c>
    </row>
    <row r="1914" spans="1:23" ht="13.5" hidden="1" thickBot="1" x14ac:dyDescent="0.25">
      <c r="A1914" s="63" t="s">
        <v>147</v>
      </c>
      <c r="B1914" s="895" t="s">
        <v>147</v>
      </c>
      <c r="C1914" s="896"/>
      <c r="D1914" s="906" t="s">
        <v>229</v>
      </c>
      <c r="E1914" s="907">
        <f>DMT!$F$8</f>
        <v>150</v>
      </c>
      <c r="F1914" s="908">
        <v>1.9327000000000001</v>
      </c>
      <c r="G1914" s="949">
        <f t="shared" ref="G1914:G1915" si="493">IF(E1914&lt;=30,(1.07*E1914+2.68)*F1914,((1.07*30+2.68)+1.07*(E1914-30))*F1914)</f>
        <v>315.37798600000002</v>
      </c>
      <c r="H1914" s="901"/>
      <c r="I1914" s="901"/>
      <c r="J1914" s="902">
        <f t="shared" ref="J1914:J1977" si="494">IF(ISBLANK(H1914),0,ROUND(I1914*(1+$E$10),2))</f>
        <v>0</v>
      </c>
      <c r="K1914" s="903"/>
      <c r="L1914" s="1039">
        <f>ROUND(SUM('RES. CENTRAL PARK:RUA_FINAL'!L1914),2)</f>
        <v>0</v>
      </c>
      <c r="M1914" s="1039">
        <f t="shared" si="478"/>
        <v>0</v>
      </c>
      <c r="N1914" s="893">
        <f t="shared" si="479"/>
        <v>0</v>
      </c>
      <c r="O1914" s="905"/>
      <c r="P1914" s="36" t="str">
        <f>IF(N1912&gt;0,"xx",IF(N1912&gt;0,"xy",""))</f>
        <v/>
      </c>
      <c r="Q1914" s="317" t="str">
        <f t="shared" si="480"/>
        <v/>
      </c>
      <c r="R1914" s="317" t="str">
        <f t="shared" si="481"/>
        <v/>
      </c>
      <c r="S1914" s="317" t="str">
        <f t="shared" si="482"/>
        <v/>
      </c>
      <c r="V1914" s="314">
        <f>SUM('RES. CENTRAL PARK:RUA_FINAL'!N1914)</f>
        <v>0</v>
      </c>
      <c r="W1914" s="315">
        <f t="shared" si="483"/>
        <v>0</v>
      </c>
    </row>
    <row r="1915" spans="1:23" ht="13.5" hidden="1" thickBot="1" x14ac:dyDescent="0.25">
      <c r="A1915" s="63" t="s">
        <v>147</v>
      </c>
      <c r="B1915" s="895" t="s">
        <v>147</v>
      </c>
      <c r="C1915" s="896"/>
      <c r="D1915" s="906" t="s">
        <v>233</v>
      </c>
      <c r="E1915" s="907">
        <f>DMT!$F$10</f>
        <v>0.2</v>
      </c>
      <c r="F1915" s="908">
        <v>3.5289999999999999</v>
      </c>
      <c r="G1915" s="949">
        <f t="shared" si="493"/>
        <v>10.212926</v>
      </c>
      <c r="H1915" s="901"/>
      <c r="I1915" s="901"/>
      <c r="J1915" s="902">
        <f t="shared" si="494"/>
        <v>0</v>
      </c>
      <c r="K1915" s="903"/>
      <c r="L1915" s="1039">
        <f>ROUND(SUM('RES. CENTRAL PARK:RUA_FINAL'!L1915),2)</f>
        <v>0</v>
      </c>
      <c r="M1915" s="1039">
        <f t="shared" si="478"/>
        <v>0</v>
      </c>
      <c r="N1915" s="893">
        <f t="shared" si="479"/>
        <v>0</v>
      </c>
      <c r="O1915" s="905"/>
      <c r="P1915" s="36" t="str">
        <f>IF(N1912&gt;0,"xx",IF(N1912&gt;0,"xy",""))</f>
        <v/>
      </c>
      <c r="Q1915" s="317" t="str">
        <f t="shared" si="480"/>
        <v/>
      </c>
      <c r="R1915" s="317" t="str">
        <f t="shared" si="481"/>
        <v/>
      </c>
      <c r="S1915" s="317" t="str">
        <f t="shared" si="482"/>
        <v/>
      </c>
      <c r="V1915" s="314">
        <f>SUM('RES. CENTRAL PARK:RUA_FINAL'!N1915)</f>
        <v>0</v>
      </c>
      <c r="W1915" s="315">
        <f t="shared" si="483"/>
        <v>0</v>
      </c>
    </row>
    <row r="1916" spans="1:23" ht="13.5" hidden="1" thickBot="1" x14ac:dyDescent="0.25">
      <c r="A1916" s="63">
        <v>621100</v>
      </c>
      <c r="B1916" s="895">
        <v>621100</v>
      </c>
      <c r="C1916" s="896" t="s">
        <v>184</v>
      </c>
      <c r="D1916" s="906" t="s">
        <v>358</v>
      </c>
      <c r="E1916" s="907"/>
      <c r="F1916" s="908"/>
      <c r="G1916" s="912">
        <f>SUM(G1917:G1919)</f>
        <v>690.93925180000008</v>
      </c>
      <c r="H1916" s="901">
        <v>3322.38</v>
      </c>
      <c r="I1916" s="901">
        <f>IF(ISBLANK(H1916),"",SUM(G1916:H1916))</f>
        <v>4013.3192518000001</v>
      </c>
      <c r="J1916" s="902">
        <f t="shared" si="494"/>
        <v>4818.79</v>
      </c>
      <c r="K1916" s="903" t="s">
        <v>15</v>
      </c>
      <c r="L1916" s="1039">
        <f>ROUND(SUM('RES. CENTRAL PARK:RUA_FINAL'!L1916),2)</f>
        <v>0</v>
      </c>
      <c r="M1916" s="1039">
        <f t="shared" si="478"/>
        <v>0</v>
      </c>
      <c r="N1916" s="893">
        <f t="shared" si="479"/>
        <v>0</v>
      </c>
      <c r="O1916" s="905"/>
      <c r="Q1916" s="317" t="str">
        <f t="shared" si="480"/>
        <v/>
      </c>
      <c r="R1916" s="317" t="str">
        <f t="shared" si="481"/>
        <v/>
      </c>
      <c r="S1916" s="317" t="str">
        <f t="shared" si="482"/>
        <v/>
      </c>
      <c r="V1916" s="314">
        <f>SUM('RES. CENTRAL PARK:RUA_FINAL'!N1916)</f>
        <v>0</v>
      </c>
      <c r="W1916" s="315">
        <f t="shared" si="483"/>
        <v>0</v>
      </c>
    </row>
    <row r="1917" spans="1:23" ht="13.5" hidden="1" thickBot="1" x14ac:dyDescent="0.25">
      <c r="A1917" s="63" t="s">
        <v>147</v>
      </c>
      <c r="B1917" s="895" t="s">
        <v>147</v>
      </c>
      <c r="C1917" s="896"/>
      <c r="D1917" s="906" t="s">
        <v>190</v>
      </c>
      <c r="E1917" s="907">
        <f>DMT!$D$20</f>
        <v>308</v>
      </c>
      <c r="F1917" s="908">
        <v>0.81569999999999998</v>
      </c>
      <c r="G1917" s="909">
        <f>IF(E1917&lt;=30,(0.78*E1917+7.82)*F1917,((0.78*30+7.82)+0.78*(E1917-30))*F1917)</f>
        <v>202.34254200000001</v>
      </c>
      <c r="H1917" s="901"/>
      <c r="I1917" s="901"/>
      <c r="J1917" s="902">
        <f t="shared" si="494"/>
        <v>0</v>
      </c>
      <c r="K1917" s="903"/>
      <c r="L1917" s="1039">
        <f>ROUND(SUM('RES. CENTRAL PARK:RUA_FINAL'!L1917),2)</f>
        <v>0</v>
      </c>
      <c r="M1917" s="1039">
        <f t="shared" si="478"/>
        <v>0</v>
      </c>
      <c r="N1917" s="893">
        <f t="shared" si="479"/>
        <v>0</v>
      </c>
      <c r="O1917" s="905"/>
      <c r="P1917" s="36" t="str">
        <f>IF(N1916&gt;0,"xx",IF(N1916&gt;0,"xy",""))</f>
        <v/>
      </c>
      <c r="Q1917" s="317" t="str">
        <f t="shared" si="480"/>
        <v/>
      </c>
      <c r="R1917" s="317" t="str">
        <f t="shared" si="481"/>
        <v/>
      </c>
      <c r="S1917" s="317" t="str">
        <f t="shared" si="482"/>
        <v/>
      </c>
      <c r="V1917" s="314">
        <f>SUM('RES. CENTRAL PARK:RUA_FINAL'!N1917)</f>
        <v>0</v>
      </c>
      <c r="W1917" s="315">
        <f t="shared" si="483"/>
        <v>0</v>
      </c>
    </row>
    <row r="1918" spans="1:23" ht="13.5" hidden="1" thickBot="1" x14ac:dyDescent="0.25">
      <c r="A1918" s="63" t="s">
        <v>147</v>
      </c>
      <c r="B1918" s="895" t="s">
        <v>147</v>
      </c>
      <c r="C1918" s="896"/>
      <c r="D1918" s="906" t="s">
        <v>229</v>
      </c>
      <c r="E1918" s="907">
        <f>DMT!$F$8</f>
        <v>150</v>
      </c>
      <c r="F1918" s="908">
        <v>2.9003000000000001</v>
      </c>
      <c r="G1918" s="949">
        <f t="shared" ref="G1918:G1919" si="495">IF(E1918&lt;=30,(1.07*E1918+2.68)*F1918,((1.07*30+2.68)+1.07*(E1918-30))*F1918)</f>
        <v>473.27095400000002</v>
      </c>
      <c r="H1918" s="901"/>
      <c r="I1918" s="901"/>
      <c r="J1918" s="902">
        <f t="shared" si="494"/>
        <v>0</v>
      </c>
      <c r="K1918" s="903"/>
      <c r="L1918" s="1039">
        <f>ROUND(SUM('RES. CENTRAL PARK:RUA_FINAL'!L1918),2)</f>
        <v>0</v>
      </c>
      <c r="M1918" s="1039">
        <f t="shared" si="478"/>
        <v>0</v>
      </c>
      <c r="N1918" s="893">
        <f t="shared" si="479"/>
        <v>0</v>
      </c>
      <c r="O1918" s="905"/>
      <c r="P1918" s="36" t="str">
        <f>IF(N1916&gt;0,"xx",IF(N1916&gt;0,"xy",""))</f>
        <v/>
      </c>
      <c r="Q1918" s="317" t="str">
        <f t="shared" si="480"/>
        <v/>
      </c>
      <c r="R1918" s="317" t="str">
        <f t="shared" si="481"/>
        <v/>
      </c>
      <c r="S1918" s="317" t="str">
        <f t="shared" si="482"/>
        <v/>
      </c>
      <c r="V1918" s="314">
        <f>SUM('RES. CENTRAL PARK:RUA_FINAL'!N1918)</f>
        <v>0</v>
      </c>
      <c r="W1918" s="315">
        <f t="shared" si="483"/>
        <v>0</v>
      </c>
    </row>
    <row r="1919" spans="1:23" ht="13.5" hidden="1" thickBot="1" x14ac:dyDescent="0.25">
      <c r="A1919" s="63" t="s">
        <v>147</v>
      </c>
      <c r="B1919" s="895" t="s">
        <v>147</v>
      </c>
      <c r="C1919" s="896"/>
      <c r="D1919" s="906" t="s">
        <v>233</v>
      </c>
      <c r="E1919" s="907">
        <f>DMT!$F$10</f>
        <v>0.2</v>
      </c>
      <c r="F1919" s="908">
        <v>5.2957000000000001</v>
      </c>
      <c r="G1919" s="949">
        <f t="shared" si="495"/>
        <v>15.325755800000001</v>
      </c>
      <c r="H1919" s="901"/>
      <c r="I1919" s="901"/>
      <c r="J1919" s="902">
        <f t="shared" si="494"/>
        <v>0</v>
      </c>
      <c r="K1919" s="903"/>
      <c r="L1919" s="1039">
        <f>ROUND(SUM('RES. CENTRAL PARK:RUA_FINAL'!L1919),2)</f>
        <v>0</v>
      </c>
      <c r="M1919" s="1039">
        <f t="shared" si="478"/>
        <v>0</v>
      </c>
      <c r="N1919" s="893">
        <f t="shared" si="479"/>
        <v>0</v>
      </c>
      <c r="O1919" s="905"/>
      <c r="P1919" s="36" t="str">
        <f>IF(N1916&gt;0,"xx",IF(N1916&gt;0,"xy",""))</f>
        <v/>
      </c>
      <c r="Q1919" s="317" t="str">
        <f t="shared" si="480"/>
        <v/>
      </c>
      <c r="R1919" s="317" t="str">
        <f t="shared" si="481"/>
        <v/>
      </c>
      <c r="S1919" s="317" t="str">
        <f t="shared" si="482"/>
        <v/>
      </c>
      <c r="V1919" s="314">
        <f>SUM('RES. CENTRAL PARK:RUA_FINAL'!N1919)</f>
        <v>0</v>
      </c>
      <c r="W1919" s="315">
        <f t="shared" si="483"/>
        <v>0</v>
      </c>
    </row>
    <row r="1920" spans="1:23" ht="13.5" hidden="1" thickBot="1" x14ac:dyDescent="0.25">
      <c r="A1920" s="63">
        <v>621200</v>
      </c>
      <c r="B1920" s="895">
        <v>621200</v>
      </c>
      <c r="C1920" s="896" t="s">
        <v>184</v>
      </c>
      <c r="D1920" s="906" t="s">
        <v>359</v>
      </c>
      <c r="E1920" s="907"/>
      <c r="F1920" s="908"/>
      <c r="G1920" s="912">
        <f>SUM(G1921:G1923)</f>
        <v>895.69011799999998</v>
      </c>
      <c r="H1920" s="901">
        <v>4208.43</v>
      </c>
      <c r="I1920" s="901">
        <f>IF(ISBLANK(H1920),"",SUM(G1920:H1920))</f>
        <v>5104.1201180000007</v>
      </c>
      <c r="J1920" s="902">
        <f t="shared" si="494"/>
        <v>6128.52</v>
      </c>
      <c r="K1920" s="903" t="s">
        <v>15</v>
      </c>
      <c r="L1920" s="1039">
        <f>ROUND(SUM('RES. CENTRAL PARK:RUA_FINAL'!L1920),2)</f>
        <v>0</v>
      </c>
      <c r="M1920" s="1039">
        <f t="shared" si="478"/>
        <v>0</v>
      </c>
      <c r="N1920" s="893">
        <f t="shared" si="479"/>
        <v>0</v>
      </c>
      <c r="O1920" s="905"/>
      <c r="Q1920" s="317" t="str">
        <f t="shared" si="480"/>
        <v/>
      </c>
      <c r="R1920" s="317" t="str">
        <f t="shared" si="481"/>
        <v/>
      </c>
      <c r="S1920" s="317" t="str">
        <f t="shared" si="482"/>
        <v/>
      </c>
      <c r="V1920" s="314">
        <f>SUM('RES. CENTRAL PARK:RUA_FINAL'!N1920)</f>
        <v>0</v>
      </c>
      <c r="W1920" s="315">
        <f t="shared" si="483"/>
        <v>0</v>
      </c>
    </row>
    <row r="1921" spans="1:23" ht="13.5" hidden="1" thickBot="1" x14ac:dyDescent="0.25">
      <c r="A1921" s="63" t="s">
        <v>147</v>
      </c>
      <c r="B1921" s="895" t="s">
        <v>147</v>
      </c>
      <c r="C1921" s="896"/>
      <c r="D1921" s="906" t="s">
        <v>190</v>
      </c>
      <c r="E1921" s="907">
        <f>DMT!$D$20</f>
        <v>308</v>
      </c>
      <c r="F1921" s="908">
        <v>1.0573999999999999</v>
      </c>
      <c r="G1921" s="909">
        <f>IF(E1921&lt;=30,(0.78*E1921+7.82)*F1921,((0.78*30+7.82)+0.78*(E1921-30))*F1921)</f>
        <v>262.29864399999997</v>
      </c>
      <c r="H1921" s="901"/>
      <c r="I1921" s="901"/>
      <c r="J1921" s="902">
        <f t="shared" si="494"/>
        <v>0</v>
      </c>
      <c r="K1921" s="903"/>
      <c r="L1921" s="1039">
        <f>ROUND(SUM('RES. CENTRAL PARK:RUA_FINAL'!L1921),2)</f>
        <v>0</v>
      </c>
      <c r="M1921" s="1039">
        <f t="shared" si="478"/>
        <v>0</v>
      </c>
      <c r="N1921" s="893">
        <f t="shared" si="479"/>
        <v>0</v>
      </c>
      <c r="O1921" s="905"/>
      <c r="P1921" s="36" t="str">
        <f>IF(N1920&gt;0,"xx",IF(N1920&gt;0,"xy",""))</f>
        <v/>
      </c>
      <c r="Q1921" s="317" t="str">
        <f t="shared" si="480"/>
        <v/>
      </c>
      <c r="R1921" s="317" t="str">
        <f t="shared" si="481"/>
        <v/>
      </c>
      <c r="S1921" s="317" t="str">
        <f t="shared" si="482"/>
        <v/>
      </c>
      <c r="V1921" s="314">
        <f>SUM('RES. CENTRAL PARK:RUA_FINAL'!N1921)</f>
        <v>0</v>
      </c>
      <c r="W1921" s="315">
        <f t="shared" si="483"/>
        <v>0</v>
      </c>
    </row>
    <row r="1922" spans="1:23" ht="13.5" hidden="1" thickBot="1" x14ac:dyDescent="0.25">
      <c r="A1922" s="63" t="s">
        <v>147</v>
      </c>
      <c r="B1922" s="895" t="s">
        <v>147</v>
      </c>
      <c r="C1922" s="896"/>
      <c r="D1922" s="906" t="s">
        <v>229</v>
      </c>
      <c r="E1922" s="907">
        <f>DMT!$F$8</f>
        <v>150</v>
      </c>
      <c r="F1922" s="908">
        <v>3.7597999999999998</v>
      </c>
      <c r="G1922" s="949">
        <f t="shared" ref="G1922:G1923" si="496">IF(E1922&lt;=30,(1.07*E1922+2.68)*F1922,((1.07*30+2.68)+1.07*(E1922-30))*F1922)</f>
        <v>613.52416400000004</v>
      </c>
      <c r="H1922" s="901"/>
      <c r="I1922" s="901"/>
      <c r="J1922" s="902">
        <f t="shared" si="494"/>
        <v>0</v>
      </c>
      <c r="K1922" s="903"/>
      <c r="L1922" s="1039">
        <f>ROUND(SUM('RES. CENTRAL PARK:RUA_FINAL'!L1922),2)</f>
        <v>0</v>
      </c>
      <c r="M1922" s="1039">
        <f t="shared" si="478"/>
        <v>0</v>
      </c>
      <c r="N1922" s="893">
        <f t="shared" si="479"/>
        <v>0</v>
      </c>
      <c r="O1922" s="905"/>
      <c r="P1922" s="36" t="str">
        <f>IF(N1920&gt;0,"xx",IF(N1920&gt;0,"xy",""))</f>
        <v/>
      </c>
      <c r="Q1922" s="317" t="str">
        <f t="shared" si="480"/>
        <v/>
      </c>
      <c r="R1922" s="317" t="str">
        <f t="shared" si="481"/>
        <v/>
      </c>
      <c r="S1922" s="317" t="str">
        <f t="shared" si="482"/>
        <v/>
      </c>
      <c r="V1922" s="314">
        <f>SUM('RES. CENTRAL PARK:RUA_FINAL'!N1922)</f>
        <v>0</v>
      </c>
      <c r="W1922" s="315">
        <f t="shared" si="483"/>
        <v>0</v>
      </c>
    </row>
    <row r="1923" spans="1:23" ht="13.5" hidden="1" thickBot="1" x14ac:dyDescent="0.25">
      <c r="A1923" s="63" t="s">
        <v>147</v>
      </c>
      <c r="B1923" s="895" t="s">
        <v>147</v>
      </c>
      <c r="C1923" s="896"/>
      <c r="D1923" s="906" t="s">
        <v>233</v>
      </c>
      <c r="E1923" s="907">
        <f>DMT!$F$10</f>
        <v>0.2</v>
      </c>
      <c r="F1923" s="908">
        <v>6.8650000000000002</v>
      </c>
      <c r="G1923" s="949">
        <f t="shared" si="496"/>
        <v>19.86731</v>
      </c>
      <c r="H1923" s="901"/>
      <c r="I1923" s="901"/>
      <c r="J1923" s="902">
        <f t="shared" si="494"/>
        <v>0</v>
      </c>
      <c r="K1923" s="903"/>
      <c r="L1923" s="1039">
        <f>ROUND(SUM('RES. CENTRAL PARK:RUA_FINAL'!L1923),2)</f>
        <v>0</v>
      </c>
      <c r="M1923" s="1039">
        <f t="shared" si="478"/>
        <v>0</v>
      </c>
      <c r="N1923" s="893">
        <f t="shared" si="479"/>
        <v>0</v>
      </c>
      <c r="O1923" s="905"/>
      <c r="P1923" s="36" t="str">
        <f>IF(N1920&gt;0,"xx",IF(N1920&gt;0,"xy",""))</f>
        <v/>
      </c>
      <c r="Q1923" s="317" t="str">
        <f t="shared" si="480"/>
        <v/>
      </c>
      <c r="R1923" s="317" t="str">
        <f t="shared" si="481"/>
        <v/>
      </c>
      <c r="S1923" s="317" t="str">
        <f t="shared" si="482"/>
        <v/>
      </c>
      <c r="V1923" s="314">
        <f>SUM('RES. CENTRAL PARK:RUA_FINAL'!N1923)</f>
        <v>0</v>
      </c>
      <c r="W1923" s="315">
        <f t="shared" si="483"/>
        <v>0</v>
      </c>
    </row>
    <row r="1924" spans="1:23" ht="13.5" hidden="1" thickBot="1" x14ac:dyDescent="0.25">
      <c r="A1924" s="63">
        <v>621300</v>
      </c>
      <c r="B1924" s="895">
        <v>621300</v>
      </c>
      <c r="C1924" s="896" t="s">
        <v>184</v>
      </c>
      <c r="D1924" s="906" t="s">
        <v>360</v>
      </c>
      <c r="E1924" s="907"/>
      <c r="F1924" s="908"/>
      <c r="G1924" s="912">
        <f>SUM(G1925:G1927)</f>
        <v>1740.3448384000001</v>
      </c>
      <c r="H1924" s="901">
        <v>7311.47</v>
      </c>
      <c r="I1924" s="901">
        <f>IF(ISBLANK(H1924),"",SUM(G1924:H1924))</f>
        <v>9051.8148383999996</v>
      </c>
      <c r="J1924" s="902">
        <f t="shared" si="494"/>
        <v>10868.51</v>
      </c>
      <c r="K1924" s="903" t="s">
        <v>15</v>
      </c>
      <c r="L1924" s="1039">
        <f>ROUND(SUM('RES. CENTRAL PARK:RUA_FINAL'!L1924),2)</f>
        <v>0</v>
      </c>
      <c r="M1924" s="1039">
        <f t="shared" si="478"/>
        <v>0</v>
      </c>
      <c r="N1924" s="893">
        <f t="shared" si="479"/>
        <v>0</v>
      </c>
      <c r="O1924" s="905"/>
      <c r="Q1924" s="317" t="str">
        <f t="shared" si="480"/>
        <v/>
      </c>
      <c r="R1924" s="317" t="str">
        <f t="shared" si="481"/>
        <v/>
      </c>
      <c r="S1924" s="317" t="str">
        <f t="shared" si="482"/>
        <v/>
      </c>
      <c r="V1924" s="314">
        <f>SUM('RES. CENTRAL PARK:RUA_FINAL'!N1924)</f>
        <v>0</v>
      </c>
      <c r="W1924" s="315">
        <f t="shared" si="483"/>
        <v>0</v>
      </c>
    </row>
    <row r="1925" spans="1:23" ht="13.5" hidden="1" thickBot="1" x14ac:dyDescent="0.25">
      <c r="A1925" s="63" t="s">
        <v>147</v>
      </c>
      <c r="B1925" s="895" t="s">
        <v>147</v>
      </c>
      <c r="C1925" s="896"/>
      <c r="D1925" s="906" t="s">
        <v>190</v>
      </c>
      <c r="E1925" s="907">
        <f>DMT!$D$20</f>
        <v>308</v>
      </c>
      <c r="F1925" s="908">
        <v>2.0546000000000002</v>
      </c>
      <c r="G1925" s="909">
        <f>IF(E1925&lt;=30,(0.78*E1925+7.82)*F1925,((0.78*30+7.82)+0.78*(E1925-30))*F1925)</f>
        <v>509.66407600000008</v>
      </c>
      <c r="H1925" s="901"/>
      <c r="I1925" s="901"/>
      <c r="J1925" s="902">
        <f t="shared" si="494"/>
        <v>0</v>
      </c>
      <c r="K1925" s="903"/>
      <c r="L1925" s="1039">
        <f>ROUND(SUM('RES. CENTRAL PARK:RUA_FINAL'!L1925),2)</f>
        <v>0</v>
      </c>
      <c r="M1925" s="1039">
        <f t="shared" si="478"/>
        <v>0</v>
      </c>
      <c r="N1925" s="893">
        <f t="shared" si="479"/>
        <v>0</v>
      </c>
      <c r="O1925" s="905"/>
      <c r="P1925" s="36" t="str">
        <f>IF(N1924&gt;0,"xx",IF(N1924&gt;0,"xy",""))</f>
        <v/>
      </c>
      <c r="Q1925" s="317" t="str">
        <f t="shared" si="480"/>
        <v/>
      </c>
      <c r="R1925" s="317" t="str">
        <f t="shared" si="481"/>
        <v/>
      </c>
      <c r="S1925" s="317" t="str">
        <f t="shared" si="482"/>
        <v/>
      </c>
      <c r="V1925" s="314">
        <f>SUM('RES. CENTRAL PARK:RUA_FINAL'!N1925)</f>
        <v>0</v>
      </c>
      <c r="W1925" s="315">
        <f t="shared" si="483"/>
        <v>0</v>
      </c>
    </row>
    <row r="1926" spans="1:23" ht="13.5" hidden="1" thickBot="1" x14ac:dyDescent="0.25">
      <c r="A1926" s="63" t="s">
        <v>147</v>
      </c>
      <c r="B1926" s="895" t="s">
        <v>147</v>
      </c>
      <c r="C1926" s="896"/>
      <c r="D1926" s="906" t="s">
        <v>229</v>
      </c>
      <c r="E1926" s="907">
        <f>DMT!$F$8</f>
        <v>150</v>
      </c>
      <c r="F1926" s="908">
        <v>7.3052999999999999</v>
      </c>
      <c r="G1926" s="949">
        <f t="shared" ref="G1926:G1927" si="497">IF(E1926&lt;=30,(1.07*E1926+2.68)*F1926,((1.07*30+2.68)+1.07*(E1926-30))*F1926)</f>
        <v>1192.0788540000001</v>
      </c>
      <c r="H1926" s="901"/>
      <c r="I1926" s="901"/>
      <c r="J1926" s="902">
        <f t="shared" si="494"/>
        <v>0</v>
      </c>
      <c r="K1926" s="903"/>
      <c r="L1926" s="1039">
        <f>ROUND(SUM('RES. CENTRAL PARK:RUA_FINAL'!L1926),2)</f>
        <v>0</v>
      </c>
      <c r="M1926" s="1039">
        <f t="shared" si="478"/>
        <v>0</v>
      </c>
      <c r="N1926" s="893">
        <f t="shared" si="479"/>
        <v>0</v>
      </c>
      <c r="O1926" s="905"/>
      <c r="P1926" s="36" t="str">
        <f>IF(N1924&gt;0,"xx",IF(N1924&gt;0,"xy",""))</f>
        <v/>
      </c>
      <c r="Q1926" s="317" t="str">
        <f t="shared" si="480"/>
        <v/>
      </c>
      <c r="R1926" s="317" t="str">
        <f t="shared" si="481"/>
        <v/>
      </c>
      <c r="S1926" s="317" t="str">
        <f t="shared" si="482"/>
        <v/>
      </c>
      <c r="V1926" s="314">
        <f>SUM('RES. CENTRAL PARK:RUA_FINAL'!N1926)</f>
        <v>0</v>
      </c>
      <c r="W1926" s="315">
        <f t="shared" si="483"/>
        <v>0</v>
      </c>
    </row>
    <row r="1927" spans="1:23" ht="13.5" hidden="1" thickBot="1" x14ac:dyDescent="0.25">
      <c r="A1927" s="63" t="s">
        <v>147</v>
      </c>
      <c r="B1927" s="895" t="s">
        <v>147</v>
      </c>
      <c r="C1927" s="896"/>
      <c r="D1927" s="906" t="s">
        <v>233</v>
      </c>
      <c r="E1927" s="907">
        <f>DMT!$F$10</f>
        <v>0.2</v>
      </c>
      <c r="F1927" s="908">
        <v>13.3386</v>
      </c>
      <c r="G1927" s="949">
        <f t="shared" si="497"/>
        <v>38.601908399999999</v>
      </c>
      <c r="H1927" s="901"/>
      <c r="I1927" s="901"/>
      <c r="J1927" s="902">
        <f t="shared" si="494"/>
        <v>0</v>
      </c>
      <c r="K1927" s="903"/>
      <c r="L1927" s="1039">
        <f>ROUND(SUM('RES. CENTRAL PARK:RUA_FINAL'!L1927),2)</f>
        <v>0</v>
      </c>
      <c r="M1927" s="1039">
        <f t="shared" si="478"/>
        <v>0</v>
      </c>
      <c r="N1927" s="893">
        <f t="shared" si="479"/>
        <v>0</v>
      </c>
      <c r="O1927" s="905"/>
      <c r="P1927" s="36" t="str">
        <f>IF(N1924&gt;0,"xx",IF(N1924&gt;0,"xy",""))</f>
        <v/>
      </c>
      <c r="Q1927" s="317" t="str">
        <f t="shared" si="480"/>
        <v/>
      </c>
      <c r="R1927" s="317" t="str">
        <f t="shared" si="481"/>
        <v/>
      </c>
      <c r="S1927" s="317" t="str">
        <f t="shared" si="482"/>
        <v/>
      </c>
      <c r="V1927" s="314">
        <f>SUM('RES. CENTRAL PARK:RUA_FINAL'!N1927)</f>
        <v>0</v>
      </c>
      <c r="W1927" s="315">
        <f t="shared" si="483"/>
        <v>0</v>
      </c>
    </row>
    <row r="1928" spans="1:23" ht="13.5" hidden="1" thickBot="1" x14ac:dyDescent="0.25">
      <c r="A1928" s="63">
        <v>621400</v>
      </c>
      <c r="B1928" s="895">
        <v>621400</v>
      </c>
      <c r="C1928" s="896" t="s">
        <v>184</v>
      </c>
      <c r="D1928" s="906" t="s">
        <v>361</v>
      </c>
      <c r="E1928" s="907"/>
      <c r="F1928" s="908"/>
      <c r="G1928" s="912">
        <f>SUM(G1929:G1931)</f>
        <v>3318.6641798000001</v>
      </c>
      <c r="H1928" s="901">
        <v>12918.12</v>
      </c>
      <c r="I1928" s="901">
        <f>IF(ISBLANK(H1928),"",SUM(G1928:H1928))</f>
        <v>16236.784179800001</v>
      </c>
      <c r="J1928" s="902">
        <f t="shared" si="494"/>
        <v>19495.509999999998</v>
      </c>
      <c r="K1928" s="903" t="s">
        <v>15</v>
      </c>
      <c r="L1928" s="1039">
        <f>ROUND(SUM('RES. CENTRAL PARK:RUA_FINAL'!L1928),2)</f>
        <v>0</v>
      </c>
      <c r="M1928" s="1039">
        <f t="shared" si="478"/>
        <v>0</v>
      </c>
      <c r="N1928" s="893">
        <f t="shared" si="479"/>
        <v>0</v>
      </c>
      <c r="O1928" s="905"/>
      <c r="Q1928" s="317" t="str">
        <f t="shared" si="480"/>
        <v/>
      </c>
      <c r="R1928" s="317" t="str">
        <f t="shared" si="481"/>
        <v/>
      </c>
      <c r="S1928" s="317" t="str">
        <f t="shared" si="482"/>
        <v/>
      </c>
      <c r="V1928" s="314">
        <f>SUM('RES. CENTRAL PARK:RUA_FINAL'!N1928)</f>
        <v>0</v>
      </c>
      <c r="W1928" s="315">
        <f t="shared" si="483"/>
        <v>0</v>
      </c>
    </row>
    <row r="1929" spans="1:23" ht="13.5" hidden="1" thickBot="1" x14ac:dyDescent="0.25">
      <c r="A1929" s="63" t="s">
        <v>147</v>
      </c>
      <c r="B1929" s="895" t="s">
        <v>147</v>
      </c>
      <c r="C1929" s="896"/>
      <c r="D1929" s="906" t="s">
        <v>190</v>
      </c>
      <c r="E1929" s="907">
        <f>DMT!$D$20</f>
        <v>308</v>
      </c>
      <c r="F1929" s="908">
        <v>3.9178999999999999</v>
      </c>
      <c r="G1929" s="909">
        <f>IF(E1929&lt;=30,(0.78*E1929+7.82)*F1929,((0.78*30+7.82)+0.78*(E1929-30))*F1929)</f>
        <v>971.87427400000001</v>
      </c>
      <c r="H1929" s="901"/>
      <c r="I1929" s="901"/>
      <c r="J1929" s="902">
        <f t="shared" si="494"/>
        <v>0</v>
      </c>
      <c r="K1929" s="903"/>
      <c r="L1929" s="1039">
        <f>ROUND(SUM('RES. CENTRAL PARK:RUA_FINAL'!L1929),2)</f>
        <v>0</v>
      </c>
      <c r="M1929" s="1039">
        <f t="shared" si="478"/>
        <v>0</v>
      </c>
      <c r="N1929" s="893">
        <f t="shared" si="479"/>
        <v>0</v>
      </c>
      <c r="O1929" s="905"/>
      <c r="P1929" s="36" t="str">
        <f>IF(N1928&gt;0,"xx",IF(N1928&gt;0,"xy",""))</f>
        <v/>
      </c>
      <c r="Q1929" s="317" t="str">
        <f t="shared" si="480"/>
        <v/>
      </c>
      <c r="R1929" s="317" t="str">
        <f t="shared" si="481"/>
        <v/>
      </c>
      <c r="S1929" s="317" t="str">
        <f t="shared" si="482"/>
        <v/>
      </c>
      <c r="V1929" s="314">
        <f>SUM('RES. CENTRAL PARK:RUA_FINAL'!N1929)</f>
        <v>0</v>
      </c>
      <c r="W1929" s="315">
        <f t="shared" si="483"/>
        <v>0</v>
      </c>
    </row>
    <row r="1930" spans="1:23" ht="13.5" hidden="1" thickBot="1" x14ac:dyDescent="0.25">
      <c r="A1930" s="63" t="s">
        <v>147</v>
      </c>
      <c r="B1930" s="895" t="s">
        <v>147</v>
      </c>
      <c r="C1930" s="896"/>
      <c r="D1930" s="906" t="s">
        <v>229</v>
      </c>
      <c r="E1930" s="907">
        <f>DMT!$F$8</f>
        <v>150</v>
      </c>
      <c r="F1930" s="908">
        <v>13.9305</v>
      </c>
      <c r="G1930" s="949">
        <f t="shared" ref="G1930:G1931" si="498">IF(E1930&lt;=30,(1.07*E1930+2.68)*F1930,((1.07*30+2.68)+1.07*(E1930-30))*F1930)</f>
        <v>2273.1789900000003</v>
      </c>
      <c r="H1930" s="901"/>
      <c r="I1930" s="901"/>
      <c r="J1930" s="902">
        <f t="shared" si="494"/>
        <v>0</v>
      </c>
      <c r="K1930" s="903"/>
      <c r="L1930" s="1039">
        <f>ROUND(SUM('RES. CENTRAL PARK:RUA_FINAL'!L1930),2)</f>
        <v>0</v>
      </c>
      <c r="M1930" s="1039">
        <f t="shared" si="478"/>
        <v>0</v>
      </c>
      <c r="N1930" s="893">
        <f t="shared" si="479"/>
        <v>0</v>
      </c>
      <c r="O1930" s="905"/>
      <c r="P1930" s="36" t="str">
        <f>IF(N1928&gt;0,"xx",IF(N1928&gt;0,"xy",""))</f>
        <v/>
      </c>
      <c r="Q1930" s="317" t="str">
        <f t="shared" si="480"/>
        <v/>
      </c>
      <c r="R1930" s="317" t="str">
        <f t="shared" si="481"/>
        <v/>
      </c>
      <c r="S1930" s="317" t="str">
        <f t="shared" si="482"/>
        <v/>
      </c>
      <c r="V1930" s="314">
        <f>SUM('RES. CENTRAL PARK:RUA_FINAL'!N1930)</f>
        <v>0</v>
      </c>
      <c r="W1930" s="315">
        <f t="shared" si="483"/>
        <v>0</v>
      </c>
    </row>
    <row r="1931" spans="1:23" ht="13.5" hidden="1" thickBot="1" x14ac:dyDescent="0.25">
      <c r="A1931" s="63" t="s">
        <v>147</v>
      </c>
      <c r="B1931" s="895" t="s">
        <v>147</v>
      </c>
      <c r="C1931" s="896"/>
      <c r="D1931" s="906" t="s">
        <v>233</v>
      </c>
      <c r="E1931" s="907">
        <f>DMT!$F$10</f>
        <v>0.2</v>
      </c>
      <c r="F1931" s="908">
        <v>25.435699999999997</v>
      </c>
      <c r="G1931" s="949">
        <f t="shared" si="498"/>
        <v>73.610915800000001</v>
      </c>
      <c r="H1931" s="901"/>
      <c r="I1931" s="901"/>
      <c r="J1931" s="902">
        <f t="shared" si="494"/>
        <v>0</v>
      </c>
      <c r="K1931" s="903"/>
      <c r="L1931" s="1039">
        <f>ROUND(SUM('RES. CENTRAL PARK:RUA_FINAL'!L1931),2)</f>
        <v>0</v>
      </c>
      <c r="M1931" s="1039">
        <f t="shared" si="478"/>
        <v>0</v>
      </c>
      <c r="N1931" s="893">
        <f t="shared" si="479"/>
        <v>0</v>
      </c>
      <c r="O1931" s="905"/>
      <c r="P1931" s="36" t="str">
        <f>IF(N1928&gt;0,"xx",IF(N1928&gt;0,"xy",""))</f>
        <v/>
      </c>
      <c r="Q1931" s="317" t="str">
        <f t="shared" si="480"/>
        <v/>
      </c>
      <c r="R1931" s="317" t="str">
        <f t="shared" si="481"/>
        <v/>
      </c>
      <c r="S1931" s="317" t="str">
        <f t="shared" si="482"/>
        <v/>
      </c>
      <c r="V1931" s="314">
        <f>SUM('RES. CENTRAL PARK:RUA_FINAL'!N1931)</f>
        <v>0</v>
      </c>
      <c r="W1931" s="315">
        <f t="shared" si="483"/>
        <v>0</v>
      </c>
    </row>
    <row r="1932" spans="1:23" ht="13.5" hidden="1" thickBot="1" x14ac:dyDescent="0.25">
      <c r="A1932" s="63">
        <v>607500</v>
      </c>
      <c r="B1932" s="895">
        <v>607500</v>
      </c>
      <c r="C1932" s="896" t="s">
        <v>184</v>
      </c>
      <c r="D1932" s="906" t="s">
        <v>2049</v>
      </c>
      <c r="E1932" s="907"/>
      <c r="F1932" s="908"/>
      <c r="G1932" s="912">
        <f>SUM(G1933:G1935)</f>
        <v>3.015352</v>
      </c>
      <c r="H1932" s="901">
        <v>48.74</v>
      </c>
      <c r="I1932" s="901">
        <f>IF(ISBLANK(H1932),"",SUM(G1932:H1932))</f>
        <v>51.755352000000002</v>
      </c>
      <c r="J1932" s="902">
        <f t="shared" si="494"/>
        <v>62.14</v>
      </c>
      <c r="K1932" s="903" t="s">
        <v>13</v>
      </c>
      <c r="L1932" s="1039">
        <f>ROUND(SUM('RES. CENTRAL PARK:RUA_FINAL'!L1932),2)</f>
        <v>0</v>
      </c>
      <c r="M1932" s="1039">
        <f t="shared" si="478"/>
        <v>0</v>
      </c>
      <c r="N1932" s="893">
        <f t="shared" si="479"/>
        <v>0</v>
      </c>
      <c r="O1932" s="905"/>
      <c r="Q1932" s="317" t="str">
        <f t="shared" si="480"/>
        <v/>
      </c>
      <c r="R1932" s="317" t="str">
        <f t="shared" si="481"/>
        <v/>
      </c>
      <c r="S1932" s="317" t="str">
        <f t="shared" si="482"/>
        <v/>
      </c>
      <c r="V1932" s="314">
        <f>SUM('RES. CENTRAL PARK:RUA_FINAL'!N1932)</f>
        <v>0</v>
      </c>
      <c r="W1932" s="315">
        <f t="shared" si="483"/>
        <v>0</v>
      </c>
    </row>
    <row r="1933" spans="1:23" ht="13.5" hidden="1" thickBot="1" x14ac:dyDescent="0.25">
      <c r="A1933" s="63" t="s">
        <v>147</v>
      </c>
      <c r="B1933" s="895" t="s">
        <v>147</v>
      </c>
      <c r="C1933" s="896"/>
      <c r="D1933" s="906" t="s">
        <v>190</v>
      </c>
      <c r="E1933" s="907">
        <f>DMT!$D$41</f>
        <v>308</v>
      </c>
      <c r="F1933" s="908">
        <v>2.9999999999999997E-4</v>
      </c>
      <c r="G1933" s="909">
        <f>IF(E1933&lt;=30,(0.78*E1933+7.82)*F1933,((0.78*30+7.82)+0.78*(E1933-30))*F1933)</f>
        <v>7.4417999999999998E-2</v>
      </c>
      <c r="H1933" s="901"/>
      <c r="I1933" s="901"/>
      <c r="J1933" s="902">
        <f t="shared" si="494"/>
        <v>0</v>
      </c>
      <c r="K1933" s="903"/>
      <c r="L1933" s="1039">
        <f>ROUND(SUM('RES. CENTRAL PARK:RUA_FINAL'!L1933),2)</f>
        <v>0</v>
      </c>
      <c r="M1933" s="1039">
        <f t="shared" si="478"/>
        <v>0</v>
      </c>
      <c r="N1933" s="893">
        <f t="shared" si="479"/>
        <v>0</v>
      </c>
      <c r="O1933" s="905"/>
      <c r="P1933" s="36" t="str">
        <f>IF(N1932&gt;0,"xx",IF(N1932&gt;0,"xy",""))</f>
        <v/>
      </c>
      <c r="Q1933" s="317" t="str">
        <f t="shared" si="480"/>
        <v/>
      </c>
      <c r="R1933" s="317" t="str">
        <f t="shared" si="481"/>
        <v/>
      </c>
      <c r="S1933" s="317" t="str">
        <f t="shared" si="482"/>
        <v/>
      </c>
      <c r="V1933" s="314">
        <f>SUM('RES. CENTRAL PARK:RUA_FINAL'!N1933)</f>
        <v>0</v>
      </c>
      <c r="W1933" s="315">
        <f t="shared" si="483"/>
        <v>0</v>
      </c>
    </row>
    <row r="1934" spans="1:23" ht="13.5" hidden="1" thickBot="1" x14ac:dyDescent="0.25">
      <c r="A1934" s="63" t="s">
        <v>147</v>
      </c>
      <c r="B1934" s="895" t="s">
        <v>147</v>
      </c>
      <c r="C1934" s="896"/>
      <c r="D1934" s="906" t="s">
        <v>229</v>
      </c>
      <c r="E1934" s="907">
        <f>DMT!$F$39</f>
        <v>150</v>
      </c>
      <c r="F1934" s="908">
        <v>1.2999999999999999E-3</v>
      </c>
      <c r="G1934" s="949">
        <f t="shared" ref="G1934:G1935" si="499">IF(E1934&lt;=30,(1.07*E1934+2.68)*F1934,((1.07*30+2.68)+1.07*(E1934-30))*F1934)</f>
        <v>0.21213399999999999</v>
      </c>
      <c r="H1934" s="901"/>
      <c r="I1934" s="901"/>
      <c r="J1934" s="902">
        <f t="shared" si="494"/>
        <v>0</v>
      </c>
      <c r="K1934" s="903"/>
      <c r="L1934" s="1039">
        <f>ROUND(SUM('RES. CENTRAL PARK:RUA_FINAL'!L1934),2)</f>
        <v>0</v>
      </c>
      <c r="M1934" s="1039">
        <f t="shared" si="478"/>
        <v>0</v>
      </c>
      <c r="N1934" s="893">
        <f t="shared" si="479"/>
        <v>0</v>
      </c>
      <c r="O1934" s="905"/>
      <c r="P1934" s="36" t="str">
        <f>IF(N1932&gt;0,"xx",IF(N1932&gt;0,"xy",""))</f>
        <v/>
      </c>
      <c r="Q1934" s="317" t="str">
        <f t="shared" si="480"/>
        <v/>
      </c>
      <c r="R1934" s="317" t="str">
        <f t="shared" si="481"/>
        <v/>
      </c>
      <c r="S1934" s="317" t="str">
        <f t="shared" si="482"/>
        <v/>
      </c>
      <c r="V1934" s="314">
        <f>SUM('RES. CENTRAL PARK:RUA_FINAL'!N1934)</f>
        <v>0</v>
      </c>
      <c r="W1934" s="315">
        <f t="shared" si="483"/>
        <v>0</v>
      </c>
    </row>
    <row r="1935" spans="1:23" ht="13.5" hidden="1" thickBot="1" x14ac:dyDescent="0.25">
      <c r="A1935" s="63" t="s">
        <v>147</v>
      </c>
      <c r="B1935" s="895" t="s">
        <v>147</v>
      </c>
      <c r="C1935" s="896"/>
      <c r="D1935" s="906" t="s">
        <v>336</v>
      </c>
      <c r="E1935" s="907">
        <f>DMT!$F$38</f>
        <v>40</v>
      </c>
      <c r="F1935" s="908">
        <v>0.06</v>
      </c>
      <c r="G1935" s="949">
        <f t="shared" si="499"/>
        <v>2.7288000000000001</v>
      </c>
      <c r="H1935" s="901"/>
      <c r="I1935" s="901"/>
      <c r="J1935" s="902">
        <f t="shared" si="494"/>
        <v>0</v>
      </c>
      <c r="K1935" s="903"/>
      <c r="L1935" s="1039">
        <f>ROUND(SUM('RES. CENTRAL PARK:RUA_FINAL'!L1935),2)</f>
        <v>0</v>
      </c>
      <c r="M1935" s="1039">
        <f t="shared" si="478"/>
        <v>0</v>
      </c>
      <c r="N1935" s="893">
        <f t="shared" si="479"/>
        <v>0</v>
      </c>
      <c r="O1935" s="905"/>
      <c r="P1935" s="36" t="str">
        <f>IF(N1932&gt;0,"xx",IF(N1932&gt;0,"xy",""))</f>
        <v/>
      </c>
      <c r="Q1935" s="317" t="str">
        <f t="shared" si="480"/>
        <v/>
      </c>
      <c r="R1935" s="317" t="str">
        <f t="shared" si="481"/>
        <v/>
      </c>
      <c r="S1935" s="317" t="str">
        <f t="shared" si="482"/>
        <v/>
      </c>
      <c r="V1935" s="314">
        <f>SUM('RES. CENTRAL PARK:RUA_FINAL'!N1935)</f>
        <v>0</v>
      </c>
      <c r="W1935" s="315">
        <f t="shared" si="483"/>
        <v>0</v>
      </c>
    </row>
    <row r="1936" spans="1:23" ht="13.5" hidden="1" thickBot="1" x14ac:dyDescent="0.25">
      <c r="A1936" s="63">
        <v>607600</v>
      </c>
      <c r="B1936" s="895">
        <v>607600</v>
      </c>
      <c r="C1936" s="896" t="s">
        <v>184</v>
      </c>
      <c r="D1936" s="906" t="s">
        <v>2048</v>
      </c>
      <c r="E1936" s="907"/>
      <c r="F1936" s="908"/>
      <c r="G1936" s="912">
        <f>SUM(G1937:G1939)</f>
        <v>4.8371440000000003</v>
      </c>
      <c r="H1936" s="901">
        <v>65.040000000000006</v>
      </c>
      <c r="I1936" s="901">
        <f>IF(ISBLANK(H1936),"",SUM(G1936:H1936))</f>
        <v>69.877144000000001</v>
      </c>
      <c r="J1936" s="902">
        <f t="shared" si="494"/>
        <v>83.9</v>
      </c>
      <c r="K1936" s="903" t="s">
        <v>13</v>
      </c>
      <c r="L1936" s="1039">
        <f>ROUND(SUM('RES. CENTRAL PARK:RUA_FINAL'!L1936),2)</f>
        <v>0</v>
      </c>
      <c r="M1936" s="1039">
        <f t="shared" si="478"/>
        <v>0</v>
      </c>
      <c r="N1936" s="893">
        <f t="shared" si="479"/>
        <v>0</v>
      </c>
      <c r="O1936" s="905"/>
      <c r="Q1936" s="317" t="str">
        <f t="shared" si="480"/>
        <v/>
      </c>
      <c r="R1936" s="317" t="str">
        <f t="shared" si="481"/>
        <v/>
      </c>
      <c r="S1936" s="317" t="str">
        <f t="shared" si="482"/>
        <v/>
      </c>
      <c r="V1936" s="314">
        <f>SUM('RES. CENTRAL PARK:RUA_FINAL'!N1936)</f>
        <v>0</v>
      </c>
      <c r="W1936" s="315">
        <f t="shared" si="483"/>
        <v>0</v>
      </c>
    </row>
    <row r="1937" spans="1:23" ht="13.5" hidden="1" thickBot="1" x14ac:dyDescent="0.25">
      <c r="A1937" s="63" t="s">
        <v>147</v>
      </c>
      <c r="B1937" s="895" t="s">
        <v>147</v>
      </c>
      <c r="C1937" s="896"/>
      <c r="D1937" s="906" t="s">
        <v>190</v>
      </c>
      <c r="E1937" s="907">
        <f>DMT!$D$41</f>
        <v>308</v>
      </c>
      <c r="F1937" s="908">
        <v>4.0000000000000002E-4</v>
      </c>
      <c r="G1937" s="909">
        <f>IF(E1937&lt;=30,(0.78*E1937+7.82)*F1937,((0.78*30+7.82)+0.78*(E1937-30))*F1937)</f>
        <v>9.9224000000000007E-2</v>
      </c>
      <c r="H1937" s="901"/>
      <c r="I1937" s="901"/>
      <c r="J1937" s="902">
        <f t="shared" si="494"/>
        <v>0</v>
      </c>
      <c r="K1937" s="903"/>
      <c r="L1937" s="1039">
        <f>ROUND(SUM('RES. CENTRAL PARK:RUA_FINAL'!L1937),2)</f>
        <v>0</v>
      </c>
      <c r="M1937" s="1039">
        <f t="shared" si="478"/>
        <v>0</v>
      </c>
      <c r="N1937" s="893">
        <f t="shared" si="479"/>
        <v>0</v>
      </c>
      <c r="O1937" s="905"/>
      <c r="P1937" s="36" t="str">
        <f>IF(N1936&gt;0,"xx",IF(N1936&gt;0,"xy",""))</f>
        <v/>
      </c>
      <c r="Q1937" s="317" t="str">
        <f t="shared" si="480"/>
        <v/>
      </c>
      <c r="R1937" s="317" t="str">
        <f t="shared" si="481"/>
        <v/>
      </c>
      <c r="S1937" s="317" t="str">
        <f t="shared" si="482"/>
        <v/>
      </c>
      <c r="V1937" s="314">
        <f>SUM('RES. CENTRAL PARK:RUA_FINAL'!N1937)</f>
        <v>0</v>
      </c>
      <c r="W1937" s="315">
        <f t="shared" si="483"/>
        <v>0</v>
      </c>
    </row>
    <row r="1938" spans="1:23" ht="13.5" hidden="1" thickBot="1" x14ac:dyDescent="0.25">
      <c r="A1938" s="63" t="s">
        <v>147</v>
      </c>
      <c r="B1938" s="895" t="s">
        <v>147</v>
      </c>
      <c r="C1938" s="896"/>
      <c r="D1938" s="906" t="s">
        <v>229</v>
      </c>
      <c r="E1938" s="907">
        <f>DMT!$F$39</f>
        <v>150</v>
      </c>
      <c r="F1938" s="908">
        <v>2E-3</v>
      </c>
      <c r="G1938" s="949">
        <f t="shared" ref="G1938:G1939" si="500">IF(E1938&lt;=30,(1.07*E1938+2.68)*F1938,((1.07*30+2.68)+1.07*(E1938-30))*F1938)</f>
        <v>0.32636000000000004</v>
      </c>
      <c r="H1938" s="901"/>
      <c r="I1938" s="901"/>
      <c r="J1938" s="902">
        <f t="shared" si="494"/>
        <v>0</v>
      </c>
      <c r="K1938" s="903"/>
      <c r="L1938" s="1039">
        <f>ROUND(SUM('RES. CENTRAL PARK:RUA_FINAL'!L1938),2)</f>
        <v>0</v>
      </c>
      <c r="M1938" s="1039">
        <f t="shared" ref="M1938:M2001" si="501">IF(L1938=0,0,ROUND(J1938,2))</f>
        <v>0</v>
      </c>
      <c r="N1938" s="893">
        <f t="shared" ref="N1938:N2001" si="502">IF(ISBLANK(L1938),0,ROUND(L1938*M1938,2))</f>
        <v>0</v>
      </c>
      <c r="O1938" s="905"/>
      <c r="P1938" s="36" t="str">
        <f>IF(N1936&gt;0,"xx",IF(N1936&gt;0,"xy",""))</f>
        <v/>
      </c>
      <c r="Q1938" s="317" t="str">
        <f t="shared" ref="Q1938:Q2001" si="503">IF(P1938="X","x",IF(P1938="xx","x",IF(P1938="xy","x",IF(P1938="y","x",IF(OR(N1938&gt;0,N1938&gt;0),"x","")))))</f>
        <v/>
      </c>
      <c r="R1938" s="317" t="str">
        <f t="shared" ref="R1938:R2001" si="504">IF(P1938="X","x",IF(P1938="y","x",IF(P1938="xx","x",IF(N1938&gt;0,"x",""))))</f>
        <v/>
      </c>
      <c r="S1938" s="317" t="str">
        <f t="shared" ref="S1938:S2001" si="505">IF(P1938="X","x",IF(N1938&gt;0,"x",""))</f>
        <v/>
      </c>
      <c r="V1938" s="314">
        <f>SUM('RES. CENTRAL PARK:RUA_FINAL'!N1938)</f>
        <v>0</v>
      </c>
      <c r="W1938" s="315">
        <f t="shared" si="483"/>
        <v>0</v>
      </c>
    </row>
    <row r="1939" spans="1:23" ht="13.5" hidden="1" thickBot="1" x14ac:dyDescent="0.25">
      <c r="A1939" s="63" t="s">
        <v>147</v>
      </c>
      <c r="B1939" s="895" t="s">
        <v>147</v>
      </c>
      <c r="C1939" s="896"/>
      <c r="D1939" s="906" t="s">
        <v>336</v>
      </c>
      <c r="E1939" s="907">
        <f>DMT!$F$38</f>
        <v>40</v>
      </c>
      <c r="F1939" s="908">
        <v>9.7000000000000003E-2</v>
      </c>
      <c r="G1939" s="949">
        <f t="shared" si="500"/>
        <v>4.4115600000000006</v>
      </c>
      <c r="H1939" s="901"/>
      <c r="I1939" s="901"/>
      <c r="J1939" s="902">
        <f t="shared" si="494"/>
        <v>0</v>
      </c>
      <c r="K1939" s="903"/>
      <c r="L1939" s="1039">
        <f>ROUND(SUM('RES. CENTRAL PARK:RUA_FINAL'!L1939),2)</f>
        <v>0</v>
      </c>
      <c r="M1939" s="1039">
        <f t="shared" si="501"/>
        <v>0</v>
      </c>
      <c r="N1939" s="893">
        <f t="shared" si="502"/>
        <v>0</v>
      </c>
      <c r="O1939" s="905"/>
      <c r="P1939" s="36" t="str">
        <f>IF(N1936&gt;0,"xx",IF(N1936&gt;0,"xy",""))</f>
        <v/>
      </c>
      <c r="Q1939" s="317" t="str">
        <f t="shared" si="503"/>
        <v/>
      </c>
      <c r="R1939" s="317" t="str">
        <f t="shared" si="504"/>
        <v/>
      </c>
      <c r="S1939" s="317" t="str">
        <f t="shared" si="505"/>
        <v/>
      </c>
      <c r="V1939" s="314">
        <f>SUM('RES. CENTRAL PARK:RUA_FINAL'!N1939)</f>
        <v>0</v>
      </c>
      <c r="W1939" s="315">
        <f t="shared" si="483"/>
        <v>0</v>
      </c>
    </row>
    <row r="1940" spans="1:23" ht="13.5" hidden="1" thickBot="1" x14ac:dyDescent="0.25">
      <c r="A1940" s="63">
        <v>610400</v>
      </c>
      <c r="B1940" s="895" t="s">
        <v>1823</v>
      </c>
      <c r="C1940" s="896" t="s">
        <v>184</v>
      </c>
      <c r="D1940" s="906" t="s">
        <v>2047</v>
      </c>
      <c r="E1940" s="907"/>
      <c r="F1940" s="908"/>
      <c r="G1940" s="912">
        <f>SUM(G1941:G1943)</f>
        <v>7.1059140000000003</v>
      </c>
      <c r="H1940" s="901">
        <v>137.47</v>
      </c>
      <c r="I1940" s="901">
        <f>IF(ISBLANK(H1940),"",SUM(G1940:H1940))</f>
        <v>144.57591400000001</v>
      </c>
      <c r="J1940" s="902">
        <f t="shared" si="494"/>
        <v>173.59</v>
      </c>
      <c r="K1940" s="903" t="s">
        <v>13</v>
      </c>
      <c r="L1940" s="1039">
        <f>ROUND(SUM('RES. CENTRAL PARK:RUA_FINAL'!L1940),2)</f>
        <v>0</v>
      </c>
      <c r="M1940" s="1039">
        <f t="shared" si="501"/>
        <v>0</v>
      </c>
      <c r="N1940" s="893">
        <f t="shared" si="502"/>
        <v>0</v>
      </c>
      <c r="O1940" s="905"/>
      <c r="Q1940" s="317" t="str">
        <f t="shared" si="503"/>
        <v/>
      </c>
      <c r="R1940" s="317" t="str">
        <f t="shared" si="504"/>
        <v/>
      </c>
      <c r="S1940" s="317" t="str">
        <f t="shared" si="505"/>
        <v/>
      </c>
      <c r="V1940" s="314">
        <f>SUM('RES. CENTRAL PARK:RUA_FINAL'!N1940)</f>
        <v>0</v>
      </c>
      <c r="W1940" s="315">
        <f t="shared" si="483"/>
        <v>0</v>
      </c>
    </row>
    <row r="1941" spans="1:23" ht="13.5" hidden="1" thickBot="1" x14ac:dyDescent="0.25">
      <c r="A1941" s="63" t="s">
        <v>147</v>
      </c>
      <c r="B1941" s="895" t="s">
        <v>147</v>
      </c>
      <c r="C1941" s="896"/>
      <c r="D1941" s="906" t="s">
        <v>190</v>
      </c>
      <c r="E1941" s="907">
        <f>DMT!$D$41</f>
        <v>308</v>
      </c>
      <c r="F1941" s="908">
        <v>1.9E-3</v>
      </c>
      <c r="G1941" s="909">
        <f>IF(E1941&lt;=30,(0.78*E1941+7.82)*F1941,((0.78*30+7.82)+0.78*(E1941-30))*F1941)</f>
        <v>0.47131400000000001</v>
      </c>
      <c r="H1941" s="1046"/>
      <c r="I1941" s="901"/>
      <c r="J1941" s="902">
        <f t="shared" si="494"/>
        <v>0</v>
      </c>
      <c r="K1941" s="903"/>
      <c r="L1941" s="1039">
        <f>ROUND(SUM('RES. CENTRAL PARK:RUA_FINAL'!L1941),2)</f>
        <v>0</v>
      </c>
      <c r="M1941" s="1039">
        <f t="shared" si="501"/>
        <v>0</v>
      </c>
      <c r="N1941" s="893">
        <f t="shared" si="502"/>
        <v>0</v>
      </c>
      <c r="O1941" s="905"/>
      <c r="P1941" s="36" t="str">
        <f>IF(N1940&gt;0,"xx",IF(N1940&gt;0,"xy",""))</f>
        <v/>
      </c>
      <c r="Q1941" s="317" t="str">
        <f t="shared" si="503"/>
        <v/>
      </c>
      <c r="R1941" s="317" t="str">
        <f t="shared" si="504"/>
        <v/>
      </c>
      <c r="S1941" s="317" t="str">
        <f t="shared" si="505"/>
        <v/>
      </c>
      <c r="V1941" s="314">
        <f>SUM('RES. CENTRAL PARK:RUA_FINAL'!N1941)</f>
        <v>0</v>
      </c>
      <c r="W1941" s="315">
        <f t="shared" ref="W1941:W2004" si="506">N1941-V1941</f>
        <v>0</v>
      </c>
    </row>
    <row r="1942" spans="1:23" ht="13.5" hidden="1" thickBot="1" x14ac:dyDescent="0.25">
      <c r="A1942" s="63" t="s">
        <v>147</v>
      </c>
      <c r="B1942" s="895" t="s">
        <v>147</v>
      </c>
      <c r="C1942" s="896"/>
      <c r="D1942" s="906" t="s">
        <v>229</v>
      </c>
      <c r="E1942" s="907">
        <f>DMT!$F$39</f>
        <v>150</v>
      </c>
      <c r="F1942" s="908">
        <v>0.01</v>
      </c>
      <c r="G1942" s="949">
        <f t="shared" ref="G1942:G1943" si="507">IF(E1942&lt;=30,(1.07*E1942+2.68)*F1942,((1.07*30+2.68)+1.07*(E1942-30))*F1942)</f>
        <v>1.6318000000000001</v>
      </c>
      <c r="H1942" s="901"/>
      <c r="I1942" s="901"/>
      <c r="J1942" s="902">
        <f t="shared" si="494"/>
        <v>0</v>
      </c>
      <c r="K1942" s="903"/>
      <c r="L1942" s="1039">
        <f>ROUND(SUM('RES. CENTRAL PARK:RUA_FINAL'!L1942),2)</f>
        <v>0</v>
      </c>
      <c r="M1942" s="1039">
        <f t="shared" si="501"/>
        <v>0</v>
      </c>
      <c r="N1942" s="893">
        <f t="shared" si="502"/>
        <v>0</v>
      </c>
      <c r="O1942" s="905"/>
      <c r="P1942" s="36" t="str">
        <f>IF(N1940&gt;0,"xx",IF(N1940&gt;0,"xy",""))</f>
        <v/>
      </c>
      <c r="Q1942" s="317" t="str">
        <f t="shared" si="503"/>
        <v/>
      </c>
      <c r="R1942" s="317" t="str">
        <f t="shared" si="504"/>
        <v/>
      </c>
      <c r="S1942" s="317" t="str">
        <f t="shared" si="505"/>
        <v/>
      </c>
      <c r="V1942" s="314">
        <f>SUM('RES. CENTRAL PARK:RUA_FINAL'!N1942)</f>
        <v>0</v>
      </c>
      <c r="W1942" s="315">
        <f t="shared" si="506"/>
        <v>0</v>
      </c>
    </row>
    <row r="1943" spans="1:23" ht="13.5" hidden="1" thickBot="1" x14ac:dyDescent="0.25">
      <c r="A1943" s="63" t="s">
        <v>147</v>
      </c>
      <c r="B1943" s="895" t="s">
        <v>147</v>
      </c>
      <c r="C1943" s="896"/>
      <c r="D1943" s="906" t="s">
        <v>336</v>
      </c>
      <c r="E1943" s="907">
        <f>DMT!$F$38</f>
        <v>40</v>
      </c>
      <c r="F1943" s="908">
        <v>0.11</v>
      </c>
      <c r="G1943" s="949">
        <f t="shared" si="507"/>
        <v>5.0028000000000006</v>
      </c>
      <c r="H1943" s="901"/>
      <c r="I1943" s="901"/>
      <c r="J1943" s="902">
        <f t="shared" si="494"/>
        <v>0</v>
      </c>
      <c r="K1943" s="903"/>
      <c r="L1943" s="1039">
        <f>ROUND(SUM('RES. CENTRAL PARK:RUA_FINAL'!L1943),2)</f>
        <v>0</v>
      </c>
      <c r="M1943" s="1039">
        <f t="shared" si="501"/>
        <v>0</v>
      </c>
      <c r="N1943" s="893">
        <f t="shared" si="502"/>
        <v>0</v>
      </c>
      <c r="O1943" s="905"/>
      <c r="P1943" s="36" t="str">
        <f>IF(N1940&gt;0,"xx",IF(N1940&gt;0,"xy",""))</f>
        <v/>
      </c>
      <c r="Q1943" s="317" t="str">
        <f t="shared" si="503"/>
        <v/>
      </c>
      <c r="R1943" s="317" t="str">
        <f t="shared" si="504"/>
        <v/>
      </c>
      <c r="S1943" s="317" t="str">
        <f t="shared" si="505"/>
        <v/>
      </c>
      <c r="V1943" s="314">
        <f>SUM('RES. CENTRAL PARK:RUA_FINAL'!N1943)</f>
        <v>0</v>
      </c>
      <c r="W1943" s="315">
        <f t="shared" si="506"/>
        <v>0</v>
      </c>
    </row>
    <row r="1944" spans="1:23" ht="13.5" hidden="1" thickBot="1" x14ac:dyDescent="0.25">
      <c r="A1944" s="63">
        <v>610400</v>
      </c>
      <c r="B1944" s="895" t="s">
        <v>1824</v>
      </c>
      <c r="C1944" s="896" t="s">
        <v>184</v>
      </c>
      <c r="D1944" s="906" t="s">
        <v>2050</v>
      </c>
      <c r="E1944" s="907"/>
      <c r="F1944" s="908"/>
      <c r="G1944" s="912">
        <f>SUM(G1945:G1947)</f>
        <v>13.849744000000001</v>
      </c>
      <c r="H1944" s="901">
        <v>137.47</v>
      </c>
      <c r="I1944" s="901">
        <f>IF(ISBLANK(H1944),"",SUM(G1944:H1944))</f>
        <v>151.31974400000001</v>
      </c>
      <c r="J1944" s="902">
        <f t="shared" si="494"/>
        <v>181.69</v>
      </c>
      <c r="K1944" s="903" t="s">
        <v>13</v>
      </c>
      <c r="L1944" s="1039">
        <f>ROUND(SUM('RES. CENTRAL PARK:RUA_FINAL'!L1944),2)</f>
        <v>0</v>
      </c>
      <c r="M1944" s="1039">
        <f t="shared" si="501"/>
        <v>0</v>
      </c>
      <c r="N1944" s="893">
        <f t="shared" si="502"/>
        <v>0</v>
      </c>
      <c r="O1944" s="905"/>
      <c r="Q1944" s="317" t="str">
        <f t="shared" si="503"/>
        <v/>
      </c>
      <c r="R1944" s="317" t="str">
        <f t="shared" si="504"/>
        <v/>
      </c>
      <c r="S1944" s="317" t="str">
        <f t="shared" si="505"/>
        <v/>
      </c>
      <c r="V1944" s="314">
        <f>SUM('RES. CENTRAL PARK:RUA_FINAL'!N1944)</f>
        <v>0</v>
      </c>
      <c r="W1944" s="315">
        <f t="shared" si="506"/>
        <v>0</v>
      </c>
    </row>
    <row r="1945" spans="1:23" ht="13.5" hidden="1" thickBot="1" x14ac:dyDescent="0.25">
      <c r="A1945" s="63" t="s">
        <v>147</v>
      </c>
      <c r="B1945" s="895" t="s">
        <v>147</v>
      </c>
      <c r="C1945" s="896"/>
      <c r="D1945" s="906" t="s">
        <v>190</v>
      </c>
      <c r="E1945" s="907">
        <f>DMT!$D$41</f>
        <v>308</v>
      </c>
      <c r="F1945" s="908">
        <v>2.3E-3</v>
      </c>
      <c r="G1945" s="909">
        <f>IF(E1945&lt;=30,(0.78*E1945+7.82)*F1945,((0.78*30+7.82)+0.78*(E1945-30))*F1945)</f>
        <v>0.57053799999999999</v>
      </c>
      <c r="H1945" s="901"/>
      <c r="I1945" s="901"/>
      <c r="J1945" s="902">
        <f t="shared" si="494"/>
        <v>0</v>
      </c>
      <c r="K1945" s="903"/>
      <c r="L1945" s="1039">
        <f>ROUND(SUM('RES. CENTRAL PARK:RUA_FINAL'!L1945),2)</f>
        <v>0</v>
      </c>
      <c r="M1945" s="1039">
        <f t="shared" si="501"/>
        <v>0</v>
      </c>
      <c r="N1945" s="893">
        <f t="shared" si="502"/>
        <v>0</v>
      </c>
      <c r="O1945" s="905"/>
      <c r="P1945" s="36" t="str">
        <f>IF(N1944&gt;0,"xx",IF(N1944&gt;0,"xy",""))</f>
        <v/>
      </c>
      <c r="Q1945" s="317" t="str">
        <f t="shared" si="503"/>
        <v/>
      </c>
      <c r="R1945" s="317" t="str">
        <f t="shared" si="504"/>
        <v/>
      </c>
      <c r="S1945" s="317" t="str">
        <f t="shared" si="505"/>
        <v/>
      </c>
      <c r="V1945" s="314">
        <f>SUM('RES. CENTRAL PARK:RUA_FINAL'!N1945)</f>
        <v>0</v>
      </c>
      <c r="W1945" s="315">
        <f t="shared" si="506"/>
        <v>0</v>
      </c>
    </row>
    <row r="1946" spans="1:23" ht="13.5" hidden="1" thickBot="1" x14ac:dyDescent="0.25">
      <c r="A1946" s="63" t="s">
        <v>147</v>
      </c>
      <c r="B1946" s="895" t="s">
        <v>147</v>
      </c>
      <c r="C1946" s="896"/>
      <c r="D1946" s="906" t="s">
        <v>229</v>
      </c>
      <c r="E1946" s="907">
        <f>DMT!$F$39</f>
        <v>150</v>
      </c>
      <c r="F1946" s="908">
        <v>1.17E-2</v>
      </c>
      <c r="G1946" s="949">
        <f t="shared" ref="G1946:G1947" si="508">IF(E1946&lt;=30,(1.07*E1946+2.68)*F1946,((1.07*30+2.68)+1.07*(E1946-30))*F1946)</f>
        <v>1.9092060000000002</v>
      </c>
      <c r="H1946" s="901"/>
      <c r="I1946" s="901"/>
      <c r="J1946" s="902">
        <f t="shared" si="494"/>
        <v>0</v>
      </c>
      <c r="K1946" s="903"/>
      <c r="L1946" s="1039">
        <f>ROUND(SUM('RES. CENTRAL PARK:RUA_FINAL'!L1946),2)</f>
        <v>0</v>
      </c>
      <c r="M1946" s="1039">
        <f t="shared" si="501"/>
        <v>0</v>
      </c>
      <c r="N1946" s="893">
        <f t="shared" si="502"/>
        <v>0</v>
      </c>
      <c r="O1946" s="905"/>
      <c r="P1946" s="36" t="str">
        <f>IF(N1944&gt;0,"xx",IF(N1944&gt;0,"xy",""))</f>
        <v/>
      </c>
      <c r="Q1946" s="317" t="str">
        <f t="shared" si="503"/>
        <v/>
      </c>
      <c r="R1946" s="317" t="str">
        <f t="shared" si="504"/>
        <v/>
      </c>
      <c r="S1946" s="317" t="str">
        <f t="shared" si="505"/>
        <v/>
      </c>
      <c r="V1946" s="314">
        <f>SUM('RES. CENTRAL PARK:RUA_FINAL'!N1946)</f>
        <v>0</v>
      </c>
      <c r="W1946" s="315">
        <f t="shared" si="506"/>
        <v>0</v>
      </c>
    </row>
    <row r="1947" spans="1:23" ht="13.5" hidden="1" thickBot="1" x14ac:dyDescent="0.25">
      <c r="A1947" s="63" t="s">
        <v>147</v>
      </c>
      <c r="B1947" s="895" t="s">
        <v>147</v>
      </c>
      <c r="C1947" s="896"/>
      <c r="D1947" s="906" t="s">
        <v>336</v>
      </c>
      <c r="E1947" s="907">
        <f>DMT!$F$38</f>
        <v>40</v>
      </c>
      <c r="F1947" s="908">
        <v>0.25</v>
      </c>
      <c r="G1947" s="949">
        <f t="shared" si="508"/>
        <v>11.370000000000001</v>
      </c>
      <c r="H1947" s="901"/>
      <c r="I1947" s="901"/>
      <c r="J1947" s="902">
        <f t="shared" si="494"/>
        <v>0</v>
      </c>
      <c r="K1947" s="903"/>
      <c r="L1947" s="1039">
        <f>ROUND(SUM('RES. CENTRAL PARK:RUA_FINAL'!L1947),2)</f>
        <v>0</v>
      </c>
      <c r="M1947" s="1039">
        <f t="shared" si="501"/>
        <v>0</v>
      </c>
      <c r="N1947" s="893">
        <f t="shared" si="502"/>
        <v>0</v>
      </c>
      <c r="O1947" s="905"/>
      <c r="P1947" s="36" t="str">
        <f>IF(N1944&gt;0,"xx",IF(N1944&gt;0,"xy",""))</f>
        <v/>
      </c>
      <c r="Q1947" s="317" t="str">
        <f t="shared" si="503"/>
        <v/>
      </c>
      <c r="R1947" s="317" t="str">
        <f t="shared" si="504"/>
        <v/>
      </c>
      <c r="S1947" s="317" t="str">
        <f t="shared" si="505"/>
        <v/>
      </c>
      <c r="V1947" s="314">
        <f>SUM('RES. CENTRAL PARK:RUA_FINAL'!N1947)</f>
        <v>0</v>
      </c>
      <c r="W1947" s="315">
        <f t="shared" si="506"/>
        <v>0</v>
      </c>
    </row>
    <row r="1948" spans="1:23" ht="13.5" hidden="1" thickBot="1" x14ac:dyDescent="0.25">
      <c r="A1948" s="63">
        <v>610600</v>
      </c>
      <c r="B1948" s="895" t="s">
        <v>1827</v>
      </c>
      <c r="C1948" s="896" t="s">
        <v>184</v>
      </c>
      <c r="D1948" s="906" t="s">
        <v>2051</v>
      </c>
      <c r="E1948" s="907"/>
      <c r="F1948" s="908"/>
      <c r="G1948" s="912">
        <f>SUM(G1949:G1951)</f>
        <v>20.568768000000002</v>
      </c>
      <c r="H1948" s="901">
        <v>313.26</v>
      </c>
      <c r="I1948" s="901">
        <f>IF(ISBLANK(H1948),"",SUM(G1948:H1948))</f>
        <v>333.82876799999997</v>
      </c>
      <c r="J1948" s="902">
        <f t="shared" si="494"/>
        <v>400.83</v>
      </c>
      <c r="K1948" s="903" t="s">
        <v>13</v>
      </c>
      <c r="L1948" s="1039">
        <f>ROUND(SUM('RES. CENTRAL PARK:RUA_FINAL'!L1948),2)</f>
        <v>0</v>
      </c>
      <c r="M1948" s="1039">
        <f t="shared" si="501"/>
        <v>0</v>
      </c>
      <c r="N1948" s="893">
        <f t="shared" si="502"/>
        <v>0</v>
      </c>
      <c r="O1948" s="905"/>
      <c r="Q1948" s="317" t="str">
        <f t="shared" si="503"/>
        <v/>
      </c>
      <c r="R1948" s="317" t="str">
        <f t="shared" si="504"/>
        <v/>
      </c>
      <c r="S1948" s="317" t="str">
        <f t="shared" si="505"/>
        <v/>
      </c>
      <c r="V1948" s="314">
        <f>SUM('RES. CENTRAL PARK:RUA_FINAL'!N1948)</f>
        <v>0</v>
      </c>
      <c r="W1948" s="315">
        <f t="shared" si="506"/>
        <v>0</v>
      </c>
    </row>
    <row r="1949" spans="1:23" ht="13.5" hidden="1" thickBot="1" x14ac:dyDescent="0.25">
      <c r="A1949" s="63" t="s">
        <v>147</v>
      </c>
      <c r="B1949" s="895" t="s">
        <v>147</v>
      </c>
      <c r="C1949" s="896"/>
      <c r="D1949" s="906" t="s">
        <v>190</v>
      </c>
      <c r="E1949" s="907">
        <f>DMT!$D$41</f>
        <v>308</v>
      </c>
      <c r="F1949" s="908">
        <v>2.5999999999999999E-3</v>
      </c>
      <c r="G1949" s="909">
        <f>IF(E1949&lt;=30,(0.78*E1949+7.82)*F1949,((0.78*30+7.82)+0.78*(E1949-30))*F1949)</f>
        <v>0.64495599999999997</v>
      </c>
      <c r="H1949" s="901"/>
      <c r="I1949" s="901"/>
      <c r="J1949" s="902">
        <f t="shared" si="494"/>
        <v>0</v>
      </c>
      <c r="K1949" s="903"/>
      <c r="L1949" s="1039">
        <f>ROUND(SUM('RES. CENTRAL PARK:RUA_FINAL'!L1949),2)</f>
        <v>0</v>
      </c>
      <c r="M1949" s="1039">
        <f t="shared" si="501"/>
        <v>0</v>
      </c>
      <c r="N1949" s="893">
        <f t="shared" si="502"/>
        <v>0</v>
      </c>
      <c r="O1949" s="905"/>
      <c r="P1949" s="36" t="str">
        <f>IF(N1948&gt;0,"xx",IF(N1948&gt;0,"xy",""))</f>
        <v/>
      </c>
      <c r="Q1949" s="317" t="str">
        <f t="shared" si="503"/>
        <v/>
      </c>
      <c r="R1949" s="317" t="str">
        <f t="shared" si="504"/>
        <v/>
      </c>
      <c r="S1949" s="317" t="str">
        <f t="shared" si="505"/>
        <v/>
      </c>
      <c r="V1949" s="314">
        <f>SUM('RES. CENTRAL PARK:RUA_FINAL'!N1949)</f>
        <v>0</v>
      </c>
      <c r="W1949" s="315">
        <f t="shared" si="506"/>
        <v>0</v>
      </c>
    </row>
    <row r="1950" spans="1:23" ht="13.5" hidden="1" thickBot="1" x14ac:dyDescent="0.25">
      <c r="A1950" s="63" t="s">
        <v>147</v>
      </c>
      <c r="B1950" s="895" t="s">
        <v>147</v>
      </c>
      <c r="C1950" s="896"/>
      <c r="D1950" s="906" t="s">
        <v>229</v>
      </c>
      <c r="E1950" s="907">
        <f>DMT!$F$39</f>
        <v>150</v>
      </c>
      <c r="F1950" s="908">
        <v>1.34E-2</v>
      </c>
      <c r="G1950" s="949">
        <f t="shared" ref="G1950:G1951" si="509">IF(E1950&lt;=30,(1.07*E1950+2.68)*F1950,((1.07*30+2.68)+1.07*(E1950-30))*F1950)</f>
        <v>2.1866120000000002</v>
      </c>
      <c r="H1950" s="901"/>
      <c r="I1950" s="901"/>
      <c r="J1950" s="902">
        <f t="shared" si="494"/>
        <v>0</v>
      </c>
      <c r="K1950" s="903"/>
      <c r="L1950" s="1039">
        <f>ROUND(SUM('RES. CENTRAL PARK:RUA_FINAL'!L1950),2)</f>
        <v>0</v>
      </c>
      <c r="M1950" s="1039">
        <f t="shared" si="501"/>
        <v>0</v>
      </c>
      <c r="N1950" s="893">
        <f t="shared" si="502"/>
        <v>0</v>
      </c>
      <c r="O1950" s="905"/>
      <c r="P1950" s="36" t="str">
        <f>IF(N1948&gt;0,"xx",IF(N1948&gt;0,"xy",""))</f>
        <v/>
      </c>
      <c r="Q1950" s="317" t="str">
        <f t="shared" si="503"/>
        <v/>
      </c>
      <c r="R1950" s="317" t="str">
        <f t="shared" si="504"/>
        <v/>
      </c>
      <c r="S1950" s="317" t="str">
        <f t="shared" si="505"/>
        <v/>
      </c>
      <c r="V1950" s="314">
        <f>SUM('RES. CENTRAL PARK:RUA_FINAL'!N1950)</f>
        <v>0</v>
      </c>
      <c r="W1950" s="315">
        <f t="shared" si="506"/>
        <v>0</v>
      </c>
    </row>
    <row r="1951" spans="1:23" ht="13.5" hidden="1" thickBot="1" x14ac:dyDescent="0.25">
      <c r="A1951" s="63" t="s">
        <v>147</v>
      </c>
      <c r="B1951" s="895" t="s">
        <v>147</v>
      </c>
      <c r="C1951" s="896"/>
      <c r="D1951" s="906" t="s">
        <v>336</v>
      </c>
      <c r="E1951" s="907">
        <f>DMT!$F$38</f>
        <v>40</v>
      </c>
      <c r="F1951" s="908">
        <v>0.39</v>
      </c>
      <c r="G1951" s="949">
        <f t="shared" si="509"/>
        <v>17.737200000000001</v>
      </c>
      <c r="H1951" s="901"/>
      <c r="I1951" s="901"/>
      <c r="J1951" s="902">
        <f t="shared" si="494"/>
        <v>0</v>
      </c>
      <c r="K1951" s="903"/>
      <c r="L1951" s="1039">
        <f>ROUND(SUM('RES. CENTRAL PARK:RUA_FINAL'!L1951),2)</f>
        <v>0</v>
      </c>
      <c r="M1951" s="1039">
        <f t="shared" si="501"/>
        <v>0</v>
      </c>
      <c r="N1951" s="893">
        <f t="shared" si="502"/>
        <v>0</v>
      </c>
      <c r="O1951" s="905"/>
      <c r="P1951" s="36" t="str">
        <f>IF(N1948&gt;0,"xx",IF(N1948&gt;0,"xy",""))</f>
        <v/>
      </c>
      <c r="Q1951" s="317" t="str">
        <f t="shared" si="503"/>
        <v/>
      </c>
      <c r="R1951" s="317" t="str">
        <f t="shared" si="504"/>
        <v/>
      </c>
      <c r="S1951" s="317" t="str">
        <f t="shared" si="505"/>
        <v/>
      </c>
      <c r="V1951" s="314">
        <f>SUM('RES. CENTRAL PARK:RUA_FINAL'!N1951)</f>
        <v>0</v>
      </c>
      <c r="W1951" s="315">
        <f t="shared" si="506"/>
        <v>0</v>
      </c>
    </row>
    <row r="1952" spans="1:23" ht="13.5" hidden="1" thickBot="1" x14ac:dyDescent="0.25">
      <c r="A1952" s="63">
        <v>610600</v>
      </c>
      <c r="B1952" s="895" t="s">
        <v>1828</v>
      </c>
      <c r="C1952" s="896" t="s">
        <v>184</v>
      </c>
      <c r="D1952" s="906" t="s">
        <v>2052</v>
      </c>
      <c r="E1952" s="907"/>
      <c r="F1952" s="908"/>
      <c r="G1952" s="912">
        <f>SUM(G1953:G1955)</f>
        <v>27.287792000000003</v>
      </c>
      <c r="H1952" s="901">
        <v>313.26</v>
      </c>
      <c r="I1952" s="901">
        <f>IF(ISBLANK(H1952),"",SUM(G1952:H1952))</f>
        <v>340.54779200000002</v>
      </c>
      <c r="J1952" s="902">
        <f t="shared" si="494"/>
        <v>408.9</v>
      </c>
      <c r="K1952" s="903" t="s">
        <v>13</v>
      </c>
      <c r="L1952" s="1039">
        <f>ROUND(SUM('RES. CENTRAL PARK:RUA_FINAL'!L1952),2)</f>
        <v>0</v>
      </c>
      <c r="M1952" s="1039">
        <f t="shared" si="501"/>
        <v>0</v>
      </c>
      <c r="N1952" s="893">
        <f t="shared" si="502"/>
        <v>0</v>
      </c>
      <c r="O1952" s="905"/>
      <c r="Q1952" s="317" t="str">
        <f t="shared" si="503"/>
        <v/>
      </c>
      <c r="R1952" s="317" t="str">
        <f t="shared" si="504"/>
        <v/>
      </c>
      <c r="S1952" s="317" t="str">
        <f t="shared" si="505"/>
        <v/>
      </c>
      <c r="V1952" s="314">
        <f>SUM('RES. CENTRAL PARK:RUA_FINAL'!N1952)</f>
        <v>0</v>
      </c>
      <c r="W1952" s="315">
        <f t="shared" si="506"/>
        <v>0</v>
      </c>
    </row>
    <row r="1953" spans="1:23" ht="13.5" hidden="1" thickBot="1" x14ac:dyDescent="0.25">
      <c r="A1953" s="63" t="s">
        <v>147</v>
      </c>
      <c r="B1953" s="895" t="s">
        <v>147</v>
      </c>
      <c r="C1953" s="896"/>
      <c r="D1953" s="906" t="s">
        <v>190</v>
      </c>
      <c r="E1953" s="907">
        <f>DMT!$D$41</f>
        <v>308</v>
      </c>
      <c r="F1953" s="908">
        <v>2.8999999999999998E-3</v>
      </c>
      <c r="G1953" s="909">
        <f>IF(E1953&lt;=30,(0.78*E1953+7.82)*F1953,((0.78*30+7.82)+0.78*(E1953-30))*F1953)</f>
        <v>0.71937399999999996</v>
      </c>
      <c r="H1953" s="901"/>
      <c r="I1953" s="901"/>
      <c r="J1953" s="902">
        <f t="shared" si="494"/>
        <v>0</v>
      </c>
      <c r="K1953" s="903"/>
      <c r="L1953" s="1039">
        <f>ROUND(SUM('RES. CENTRAL PARK:RUA_FINAL'!L1953),2)</f>
        <v>0</v>
      </c>
      <c r="M1953" s="1039">
        <f t="shared" si="501"/>
        <v>0</v>
      </c>
      <c r="N1953" s="893">
        <f t="shared" si="502"/>
        <v>0</v>
      </c>
      <c r="O1953" s="905"/>
      <c r="P1953" s="36" t="str">
        <f>IF(N1952&gt;0,"xx",IF(N1952&gt;0,"xy",""))</f>
        <v/>
      </c>
      <c r="Q1953" s="317" t="str">
        <f t="shared" si="503"/>
        <v/>
      </c>
      <c r="R1953" s="317" t="str">
        <f t="shared" si="504"/>
        <v/>
      </c>
      <c r="S1953" s="317" t="str">
        <f t="shared" si="505"/>
        <v/>
      </c>
      <c r="V1953" s="314">
        <f>SUM('RES. CENTRAL PARK:RUA_FINAL'!N1953)</f>
        <v>0</v>
      </c>
      <c r="W1953" s="315">
        <f t="shared" si="506"/>
        <v>0</v>
      </c>
    </row>
    <row r="1954" spans="1:23" ht="13.5" hidden="1" thickBot="1" x14ac:dyDescent="0.25">
      <c r="A1954" s="63" t="s">
        <v>147</v>
      </c>
      <c r="B1954" s="895" t="s">
        <v>147</v>
      </c>
      <c r="C1954" s="896"/>
      <c r="D1954" s="906" t="s">
        <v>229</v>
      </c>
      <c r="E1954" s="907">
        <f>DMT!$F$39</f>
        <v>150</v>
      </c>
      <c r="F1954" s="908">
        <v>1.5100000000000001E-2</v>
      </c>
      <c r="G1954" s="949">
        <f t="shared" ref="G1954:G1955" si="510">IF(E1954&lt;=30,(1.07*E1954+2.68)*F1954,((1.07*30+2.68)+1.07*(E1954-30))*F1954)</f>
        <v>2.4640180000000003</v>
      </c>
      <c r="H1954" s="901"/>
      <c r="I1954" s="901"/>
      <c r="J1954" s="902">
        <f t="shared" si="494"/>
        <v>0</v>
      </c>
      <c r="K1954" s="903"/>
      <c r="L1954" s="1039">
        <f>ROUND(SUM('RES. CENTRAL PARK:RUA_FINAL'!L1954),2)</f>
        <v>0</v>
      </c>
      <c r="M1954" s="1039">
        <f t="shared" si="501"/>
        <v>0</v>
      </c>
      <c r="N1954" s="893">
        <f t="shared" si="502"/>
        <v>0</v>
      </c>
      <c r="O1954" s="905"/>
      <c r="P1954" s="36" t="str">
        <f>IF(N1952&gt;0,"xx",IF(N1952&gt;0,"xy",""))</f>
        <v/>
      </c>
      <c r="Q1954" s="317" t="str">
        <f t="shared" si="503"/>
        <v/>
      </c>
      <c r="R1954" s="317" t="str">
        <f t="shared" si="504"/>
        <v/>
      </c>
      <c r="S1954" s="317" t="str">
        <f t="shared" si="505"/>
        <v/>
      </c>
      <c r="V1954" s="314">
        <f>SUM('RES. CENTRAL PARK:RUA_FINAL'!N1954)</f>
        <v>0</v>
      </c>
      <c r="W1954" s="315">
        <f t="shared" si="506"/>
        <v>0</v>
      </c>
    </row>
    <row r="1955" spans="1:23" ht="13.5" hidden="1" thickBot="1" x14ac:dyDescent="0.25">
      <c r="A1955" s="63" t="s">
        <v>147</v>
      </c>
      <c r="B1955" s="895" t="s">
        <v>147</v>
      </c>
      <c r="C1955" s="896"/>
      <c r="D1955" s="906" t="s">
        <v>336</v>
      </c>
      <c r="E1955" s="907">
        <f>DMT!$F$38</f>
        <v>40</v>
      </c>
      <c r="F1955" s="908">
        <v>0.53</v>
      </c>
      <c r="G1955" s="949">
        <f t="shared" si="510"/>
        <v>24.104400000000002</v>
      </c>
      <c r="H1955" s="901"/>
      <c r="I1955" s="901"/>
      <c r="J1955" s="902">
        <f t="shared" si="494"/>
        <v>0</v>
      </c>
      <c r="K1955" s="903"/>
      <c r="L1955" s="1039">
        <f>ROUND(SUM('RES. CENTRAL PARK:RUA_FINAL'!L1955),2)</f>
        <v>0</v>
      </c>
      <c r="M1955" s="1039">
        <f t="shared" si="501"/>
        <v>0</v>
      </c>
      <c r="N1955" s="893">
        <f t="shared" si="502"/>
        <v>0</v>
      </c>
      <c r="O1955" s="905"/>
      <c r="P1955" s="36" t="str">
        <f>IF(N1952&gt;0,"xx",IF(N1952&gt;0,"xy",""))</f>
        <v/>
      </c>
      <c r="Q1955" s="317" t="str">
        <f t="shared" si="503"/>
        <v/>
      </c>
      <c r="R1955" s="317" t="str">
        <f t="shared" si="504"/>
        <v/>
      </c>
      <c r="S1955" s="317" t="str">
        <f t="shared" si="505"/>
        <v/>
      </c>
      <c r="V1955" s="314">
        <f>SUM('RES. CENTRAL PARK:RUA_FINAL'!N1955)</f>
        <v>0</v>
      </c>
      <c r="W1955" s="315">
        <f t="shared" si="506"/>
        <v>0</v>
      </c>
    </row>
    <row r="1956" spans="1:23" ht="13.5" hidden="1" thickBot="1" x14ac:dyDescent="0.25">
      <c r="A1956" s="63">
        <v>610800</v>
      </c>
      <c r="B1956" s="895" t="s">
        <v>1833</v>
      </c>
      <c r="C1956" s="896" t="s">
        <v>184</v>
      </c>
      <c r="D1956" s="906" t="s">
        <v>2053</v>
      </c>
      <c r="E1956" s="907"/>
      <c r="F1956" s="908"/>
      <c r="G1956" s="912">
        <f>SUM(G1957:G1959)</f>
        <v>34.006816000000008</v>
      </c>
      <c r="H1956" s="901">
        <v>514.41999999999996</v>
      </c>
      <c r="I1956" s="901">
        <f>IF(ISBLANK(H1956),"",SUM(G1956:H1956))</f>
        <v>548.42681599999992</v>
      </c>
      <c r="J1956" s="902">
        <f t="shared" si="494"/>
        <v>658.5</v>
      </c>
      <c r="K1956" s="903" t="s">
        <v>13</v>
      </c>
      <c r="L1956" s="1039">
        <f>ROUND(SUM('RES. CENTRAL PARK:RUA_FINAL'!L1956),2)</f>
        <v>0</v>
      </c>
      <c r="M1956" s="1039">
        <f t="shared" si="501"/>
        <v>0</v>
      </c>
      <c r="N1956" s="893">
        <f t="shared" si="502"/>
        <v>0</v>
      </c>
      <c r="O1956" s="905"/>
      <c r="Q1956" s="317" t="str">
        <f t="shared" si="503"/>
        <v/>
      </c>
      <c r="R1956" s="317" t="str">
        <f t="shared" si="504"/>
        <v/>
      </c>
      <c r="S1956" s="317" t="str">
        <f t="shared" si="505"/>
        <v/>
      </c>
      <c r="V1956" s="314">
        <f>SUM('RES. CENTRAL PARK:RUA_FINAL'!N1956)</f>
        <v>0</v>
      </c>
      <c r="W1956" s="315">
        <f t="shared" si="506"/>
        <v>0</v>
      </c>
    </row>
    <row r="1957" spans="1:23" ht="13.5" hidden="1" thickBot="1" x14ac:dyDescent="0.25">
      <c r="A1957" s="63" t="s">
        <v>147</v>
      </c>
      <c r="B1957" s="895" t="s">
        <v>147</v>
      </c>
      <c r="C1957" s="896"/>
      <c r="D1957" s="906" t="s">
        <v>190</v>
      </c>
      <c r="E1957" s="907">
        <f>DMT!$D$41</f>
        <v>308</v>
      </c>
      <c r="F1957" s="908">
        <v>3.2000000000000002E-3</v>
      </c>
      <c r="G1957" s="909">
        <f>IF(E1957&lt;=30,(0.78*E1957+7.82)*F1957,((0.78*30+7.82)+0.78*(E1957-30))*F1957)</f>
        <v>0.79379200000000005</v>
      </c>
      <c r="H1957" s="901"/>
      <c r="I1957" s="901"/>
      <c r="J1957" s="902">
        <f t="shared" si="494"/>
        <v>0</v>
      </c>
      <c r="K1957" s="903"/>
      <c r="L1957" s="1039">
        <f>ROUND(SUM('RES. CENTRAL PARK:RUA_FINAL'!L1957),2)</f>
        <v>0</v>
      </c>
      <c r="M1957" s="1039">
        <f t="shared" si="501"/>
        <v>0</v>
      </c>
      <c r="N1957" s="893">
        <f t="shared" si="502"/>
        <v>0</v>
      </c>
      <c r="O1957" s="905"/>
      <c r="P1957" s="36" t="str">
        <f>IF(N1956&gt;0,"xx",IF(N1956&gt;0,"xy",""))</f>
        <v/>
      </c>
      <c r="Q1957" s="317" t="str">
        <f t="shared" si="503"/>
        <v/>
      </c>
      <c r="R1957" s="317" t="str">
        <f t="shared" si="504"/>
        <v/>
      </c>
      <c r="S1957" s="317" t="str">
        <f t="shared" si="505"/>
        <v/>
      </c>
      <c r="V1957" s="314">
        <f>SUM('RES. CENTRAL PARK:RUA_FINAL'!N1957)</f>
        <v>0</v>
      </c>
      <c r="W1957" s="315">
        <f t="shared" si="506"/>
        <v>0</v>
      </c>
    </row>
    <row r="1958" spans="1:23" ht="13.5" hidden="1" thickBot="1" x14ac:dyDescent="0.25">
      <c r="A1958" s="63" t="s">
        <v>147</v>
      </c>
      <c r="B1958" s="895" t="s">
        <v>147</v>
      </c>
      <c r="C1958" s="896"/>
      <c r="D1958" s="906" t="s">
        <v>229</v>
      </c>
      <c r="E1958" s="907">
        <f>DMT!$F$39</f>
        <v>150</v>
      </c>
      <c r="F1958" s="908">
        <v>1.6799999999999999E-2</v>
      </c>
      <c r="G1958" s="949">
        <f t="shared" ref="G1958:G1959" si="511">IF(E1958&lt;=30,(1.07*E1958+2.68)*F1958,((1.07*30+2.68)+1.07*(E1958-30))*F1958)</f>
        <v>2.7414239999999999</v>
      </c>
      <c r="H1958" s="901"/>
      <c r="I1958" s="901"/>
      <c r="J1958" s="902">
        <f t="shared" si="494"/>
        <v>0</v>
      </c>
      <c r="K1958" s="903"/>
      <c r="L1958" s="1039">
        <f>ROUND(SUM('RES. CENTRAL PARK:RUA_FINAL'!L1958),2)</f>
        <v>0</v>
      </c>
      <c r="M1958" s="1039">
        <f t="shared" si="501"/>
        <v>0</v>
      </c>
      <c r="N1958" s="893">
        <f t="shared" si="502"/>
        <v>0</v>
      </c>
      <c r="O1958" s="905"/>
      <c r="P1958" s="36" t="str">
        <f>IF(N1956&gt;0,"xx",IF(N1956&gt;0,"xy",""))</f>
        <v/>
      </c>
      <c r="Q1958" s="317" t="str">
        <f t="shared" si="503"/>
        <v/>
      </c>
      <c r="R1958" s="317" t="str">
        <f t="shared" si="504"/>
        <v/>
      </c>
      <c r="S1958" s="317" t="str">
        <f t="shared" si="505"/>
        <v/>
      </c>
      <c r="V1958" s="314">
        <f>SUM('RES. CENTRAL PARK:RUA_FINAL'!N1958)</f>
        <v>0</v>
      </c>
      <c r="W1958" s="315">
        <f t="shared" si="506"/>
        <v>0</v>
      </c>
    </row>
    <row r="1959" spans="1:23" ht="13.5" hidden="1" thickBot="1" x14ac:dyDescent="0.25">
      <c r="A1959" s="63" t="s">
        <v>147</v>
      </c>
      <c r="B1959" s="895" t="s">
        <v>147</v>
      </c>
      <c r="C1959" s="896"/>
      <c r="D1959" s="906" t="s">
        <v>336</v>
      </c>
      <c r="E1959" s="907">
        <f>DMT!$F$38</f>
        <v>40</v>
      </c>
      <c r="F1959" s="908">
        <v>0.67</v>
      </c>
      <c r="G1959" s="949">
        <f t="shared" si="511"/>
        <v>30.471600000000006</v>
      </c>
      <c r="H1959" s="901"/>
      <c r="I1959" s="901"/>
      <c r="J1959" s="902">
        <f t="shared" si="494"/>
        <v>0</v>
      </c>
      <c r="K1959" s="903"/>
      <c r="L1959" s="1039">
        <f>ROUND(SUM('RES. CENTRAL PARK:RUA_FINAL'!L1959),2)</f>
        <v>0</v>
      </c>
      <c r="M1959" s="1039">
        <f t="shared" si="501"/>
        <v>0</v>
      </c>
      <c r="N1959" s="893">
        <f t="shared" si="502"/>
        <v>0</v>
      </c>
      <c r="O1959" s="905"/>
      <c r="P1959" s="36" t="str">
        <f>IF(N1956&gt;0,"xx",IF(N1956&gt;0,"xy",""))</f>
        <v/>
      </c>
      <c r="Q1959" s="317" t="str">
        <f t="shared" si="503"/>
        <v/>
      </c>
      <c r="R1959" s="317" t="str">
        <f t="shared" si="504"/>
        <v/>
      </c>
      <c r="S1959" s="317" t="str">
        <f t="shared" si="505"/>
        <v/>
      </c>
      <c r="V1959" s="314">
        <f>SUM('RES. CENTRAL PARK:RUA_FINAL'!N1959)</f>
        <v>0</v>
      </c>
      <c r="W1959" s="315">
        <f t="shared" si="506"/>
        <v>0</v>
      </c>
    </row>
    <row r="1960" spans="1:23" ht="13.5" hidden="1" thickBot="1" x14ac:dyDescent="0.25">
      <c r="A1960" s="63">
        <v>610400</v>
      </c>
      <c r="B1960" s="895" t="s">
        <v>1825</v>
      </c>
      <c r="C1960" s="896" t="s">
        <v>184</v>
      </c>
      <c r="D1960" s="906" t="s">
        <v>2014</v>
      </c>
      <c r="E1960" s="907"/>
      <c r="F1960" s="908"/>
      <c r="G1960" s="912">
        <f>SUM(G1961:G1963)</f>
        <v>7.1059140000000003</v>
      </c>
      <c r="H1960" s="901">
        <v>137.47</v>
      </c>
      <c r="I1960" s="901">
        <f>IF(ISBLANK(H1960),"",SUM(G1960:H1960))</f>
        <v>144.57591400000001</v>
      </c>
      <c r="J1960" s="902">
        <f t="shared" si="494"/>
        <v>173.59</v>
      </c>
      <c r="K1960" s="903" t="s">
        <v>13</v>
      </c>
      <c r="L1960" s="1039">
        <f>ROUND(SUM('RES. CENTRAL PARK:RUA_FINAL'!L1960),2)</f>
        <v>0</v>
      </c>
      <c r="M1960" s="1039">
        <f t="shared" si="501"/>
        <v>0</v>
      </c>
      <c r="N1960" s="893">
        <f t="shared" si="502"/>
        <v>0</v>
      </c>
      <c r="O1960" s="905"/>
      <c r="Q1960" s="317" t="str">
        <f t="shared" si="503"/>
        <v/>
      </c>
      <c r="R1960" s="317" t="str">
        <f t="shared" si="504"/>
        <v/>
      </c>
      <c r="S1960" s="317" t="str">
        <f t="shared" si="505"/>
        <v/>
      </c>
      <c r="V1960" s="314">
        <f>SUM('RES. CENTRAL PARK:RUA_FINAL'!N1960)</f>
        <v>0</v>
      </c>
      <c r="W1960" s="315">
        <f t="shared" si="506"/>
        <v>0</v>
      </c>
    </row>
    <row r="1961" spans="1:23" ht="13.5" hidden="1" thickBot="1" x14ac:dyDescent="0.25">
      <c r="A1961" s="63" t="s">
        <v>147</v>
      </c>
      <c r="B1961" s="895" t="s">
        <v>147</v>
      </c>
      <c r="C1961" s="896"/>
      <c r="D1961" s="906" t="s">
        <v>190</v>
      </c>
      <c r="E1961" s="907">
        <f>DMT!$D$41</f>
        <v>308</v>
      </c>
      <c r="F1961" s="908">
        <v>1.9E-3</v>
      </c>
      <c r="G1961" s="909">
        <f>IF(E1961&lt;=30,(0.78*E1961+7.82)*F1961,((0.78*30+7.82)+0.78*(E1961-30))*F1961)</f>
        <v>0.47131400000000001</v>
      </c>
      <c r="H1961" s="1046"/>
      <c r="I1961" s="901"/>
      <c r="J1961" s="902">
        <f t="shared" si="494"/>
        <v>0</v>
      </c>
      <c r="K1961" s="903"/>
      <c r="L1961" s="1039">
        <f>ROUND(SUM('RES. CENTRAL PARK:RUA_FINAL'!L1961),2)</f>
        <v>0</v>
      </c>
      <c r="M1961" s="1039">
        <f t="shared" si="501"/>
        <v>0</v>
      </c>
      <c r="N1961" s="893">
        <f t="shared" si="502"/>
        <v>0</v>
      </c>
      <c r="O1961" s="905"/>
      <c r="P1961" s="36" t="str">
        <f>IF(N1960&gt;0,"xx",IF(N1960&gt;0,"xy",""))</f>
        <v/>
      </c>
      <c r="Q1961" s="317" t="str">
        <f t="shared" si="503"/>
        <v/>
      </c>
      <c r="R1961" s="317" t="str">
        <f t="shared" si="504"/>
        <v/>
      </c>
      <c r="S1961" s="317" t="str">
        <f t="shared" si="505"/>
        <v/>
      </c>
      <c r="V1961" s="314">
        <f>SUM('RES. CENTRAL PARK:RUA_FINAL'!N1961)</f>
        <v>0</v>
      </c>
      <c r="W1961" s="315">
        <f t="shared" si="506"/>
        <v>0</v>
      </c>
    </row>
    <row r="1962" spans="1:23" ht="13.5" hidden="1" thickBot="1" x14ac:dyDescent="0.25">
      <c r="A1962" s="63" t="s">
        <v>147</v>
      </c>
      <c r="B1962" s="895" t="s">
        <v>147</v>
      </c>
      <c r="C1962" s="896"/>
      <c r="D1962" s="906" t="s">
        <v>229</v>
      </c>
      <c r="E1962" s="907">
        <f>DMT!$F$39</f>
        <v>150</v>
      </c>
      <c r="F1962" s="908">
        <v>0.01</v>
      </c>
      <c r="G1962" s="949">
        <f t="shared" ref="G1962:G1963" si="512">IF(E1962&lt;=30,(1.07*E1962+2.68)*F1962,((1.07*30+2.68)+1.07*(E1962-30))*F1962)</f>
        <v>1.6318000000000001</v>
      </c>
      <c r="H1962" s="901"/>
      <c r="I1962" s="901"/>
      <c r="J1962" s="902">
        <f t="shared" si="494"/>
        <v>0</v>
      </c>
      <c r="K1962" s="903"/>
      <c r="L1962" s="1039">
        <f>ROUND(SUM('RES. CENTRAL PARK:RUA_FINAL'!L1962),2)</f>
        <v>0</v>
      </c>
      <c r="M1962" s="1039">
        <f t="shared" si="501"/>
        <v>0</v>
      </c>
      <c r="N1962" s="893">
        <f t="shared" si="502"/>
        <v>0</v>
      </c>
      <c r="O1962" s="905"/>
      <c r="P1962" s="36" t="str">
        <f>IF(N1960&gt;0,"xx",IF(N1960&gt;0,"xy",""))</f>
        <v/>
      </c>
      <c r="Q1962" s="317" t="str">
        <f t="shared" si="503"/>
        <v/>
      </c>
      <c r="R1962" s="317" t="str">
        <f t="shared" si="504"/>
        <v/>
      </c>
      <c r="S1962" s="317" t="str">
        <f t="shared" si="505"/>
        <v/>
      </c>
      <c r="V1962" s="314">
        <f>SUM('RES. CENTRAL PARK:RUA_FINAL'!N1962)</f>
        <v>0</v>
      </c>
      <c r="W1962" s="315">
        <f t="shared" si="506"/>
        <v>0</v>
      </c>
    </row>
    <row r="1963" spans="1:23" ht="13.5" hidden="1" thickBot="1" x14ac:dyDescent="0.25">
      <c r="A1963" s="63" t="s">
        <v>147</v>
      </c>
      <c r="B1963" s="895" t="s">
        <v>147</v>
      </c>
      <c r="C1963" s="896"/>
      <c r="D1963" s="906" t="s">
        <v>336</v>
      </c>
      <c r="E1963" s="907">
        <f>DMT!$F$38</f>
        <v>40</v>
      </c>
      <c r="F1963" s="908">
        <v>0.11</v>
      </c>
      <c r="G1963" s="949">
        <f t="shared" si="512"/>
        <v>5.0028000000000006</v>
      </c>
      <c r="H1963" s="901"/>
      <c r="I1963" s="901"/>
      <c r="J1963" s="902">
        <f t="shared" si="494"/>
        <v>0</v>
      </c>
      <c r="K1963" s="903"/>
      <c r="L1963" s="1039">
        <f>ROUND(SUM('RES. CENTRAL PARK:RUA_FINAL'!L1963),2)</f>
        <v>0</v>
      </c>
      <c r="M1963" s="1039">
        <f t="shared" si="501"/>
        <v>0</v>
      </c>
      <c r="N1963" s="893">
        <f t="shared" si="502"/>
        <v>0</v>
      </c>
      <c r="O1963" s="905"/>
      <c r="P1963" s="36" t="str">
        <f>IF(N1960&gt;0,"xx",IF(N1960&gt;0,"xy",""))</f>
        <v/>
      </c>
      <c r="Q1963" s="317" t="str">
        <f t="shared" si="503"/>
        <v/>
      </c>
      <c r="R1963" s="317" t="str">
        <f t="shared" si="504"/>
        <v/>
      </c>
      <c r="S1963" s="317" t="str">
        <f t="shared" si="505"/>
        <v/>
      </c>
      <c r="V1963" s="314">
        <f>SUM('RES. CENTRAL PARK:RUA_FINAL'!N1963)</f>
        <v>0</v>
      </c>
      <c r="W1963" s="315">
        <f t="shared" si="506"/>
        <v>0</v>
      </c>
    </row>
    <row r="1964" spans="1:23" ht="13.5" hidden="1" thickBot="1" x14ac:dyDescent="0.25">
      <c r="A1964" s="63">
        <v>610600</v>
      </c>
      <c r="B1964" s="895" t="s">
        <v>1829</v>
      </c>
      <c r="C1964" s="896" t="s">
        <v>184</v>
      </c>
      <c r="D1964" s="906" t="s">
        <v>2015</v>
      </c>
      <c r="E1964" s="907"/>
      <c r="F1964" s="908"/>
      <c r="G1964" s="912">
        <f>SUM(G1965:G1967)</f>
        <v>13.849744000000001</v>
      </c>
      <c r="H1964" s="901">
        <v>313.26</v>
      </c>
      <c r="I1964" s="901">
        <f>IF(ISBLANK(H1964),"",SUM(G1964:H1964))</f>
        <v>327.10974399999998</v>
      </c>
      <c r="J1964" s="902">
        <f t="shared" si="494"/>
        <v>392.76</v>
      </c>
      <c r="K1964" s="903" t="s">
        <v>13</v>
      </c>
      <c r="L1964" s="1039">
        <f>ROUND(SUM('RES. CENTRAL PARK:RUA_FINAL'!L1964),2)</f>
        <v>0</v>
      </c>
      <c r="M1964" s="1039">
        <f t="shared" si="501"/>
        <v>0</v>
      </c>
      <c r="N1964" s="893">
        <f t="shared" si="502"/>
        <v>0</v>
      </c>
      <c r="O1964" s="905"/>
      <c r="Q1964" s="317" t="str">
        <f t="shared" si="503"/>
        <v/>
      </c>
      <c r="R1964" s="317" t="str">
        <f t="shared" si="504"/>
        <v/>
      </c>
      <c r="S1964" s="317" t="str">
        <f t="shared" si="505"/>
        <v/>
      </c>
      <c r="V1964" s="314">
        <f>SUM('RES. CENTRAL PARK:RUA_FINAL'!N1964)</f>
        <v>0</v>
      </c>
      <c r="W1964" s="315">
        <f t="shared" si="506"/>
        <v>0</v>
      </c>
    </row>
    <row r="1965" spans="1:23" ht="13.5" hidden="1" thickBot="1" x14ac:dyDescent="0.25">
      <c r="A1965" s="63" t="s">
        <v>147</v>
      </c>
      <c r="B1965" s="895" t="s">
        <v>147</v>
      </c>
      <c r="C1965" s="896"/>
      <c r="D1965" s="906" t="s">
        <v>190</v>
      </c>
      <c r="E1965" s="907">
        <f>DMT!$D$41</f>
        <v>308</v>
      </c>
      <c r="F1965" s="908">
        <v>2.3E-3</v>
      </c>
      <c r="G1965" s="909">
        <f>IF(E1965&lt;=30,(0.78*E1965+7.82)*F1965,((0.78*30+7.82)+0.78*(E1965-30))*F1965)</f>
        <v>0.57053799999999999</v>
      </c>
      <c r="H1965" s="901"/>
      <c r="I1965" s="901"/>
      <c r="J1965" s="902">
        <f t="shared" si="494"/>
        <v>0</v>
      </c>
      <c r="K1965" s="903"/>
      <c r="L1965" s="1039">
        <f>ROUND(SUM('RES. CENTRAL PARK:RUA_FINAL'!L1965),2)</f>
        <v>0</v>
      </c>
      <c r="M1965" s="1039">
        <f t="shared" si="501"/>
        <v>0</v>
      </c>
      <c r="N1965" s="893">
        <f t="shared" si="502"/>
        <v>0</v>
      </c>
      <c r="O1965" s="905"/>
      <c r="P1965" s="36" t="str">
        <f>IF(N1964&gt;0,"xx",IF(N1964&gt;0,"xy",""))</f>
        <v/>
      </c>
      <c r="Q1965" s="317" t="str">
        <f t="shared" si="503"/>
        <v/>
      </c>
      <c r="R1965" s="317" t="str">
        <f t="shared" si="504"/>
        <v/>
      </c>
      <c r="S1965" s="317" t="str">
        <f t="shared" si="505"/>
        <v/>
      </c>
      <c r="V1965" s="314">
        <f>SUM('RES. CENTRAL PARK:RUA_FINAL'!N1965)</f>
        <v>0</v>
      </c>
      <c r="W1965" s="315">
        <f t="shared" si="506"/>
        <v>0</v>
      </c>
    </row>
    <row r="1966" spans="1:23" ht="13.5" hidden="1" thickBot="1" x14ac:dyDescent="0.25">
      <c r="A1966" s="63" t="s">
        <v>147</v>
      </c>
      <c r="B1966" s="895" t="s">
        <v>147</v>
      </c>
      <c r="C1966" s="896"/>
      <c r="D1966" s="906" t="s">
        <v>229</v>
      </c>
      <c r="E1966" s="907">
        <f>DMT!$F$39</f>
        <v>150</v>
      </c>
      <c r="F1966" s="908">
        <v>1.17E-2</v>
      </c>
      <c r="G1966" s="949">
        <f t="shared" ref="G1966:G1967" si="513">IF(E1966&lt;=30,(1.07*E1966+2.68)*F1966,((1.07*30+2.68)+1.07*(E1966-30))*F1966)</f>
        <v>1.9092060000000002</v>
      </c>
      <c r="H1966" s="901"/>
      <c r="I1966" s="901"/>
      <c r="J1966" s="902">
        <f t="shared" si="494"/>
        <v>0</v>
      </c>
      <c r="K1966" s="903"/>
      <c r="L1966" s="1039">
        <f>ROUND(SUM('RES. CENTRAL PARK:RUA_FINAL'!L1966),2)</f>
        <v>0</v>
      </c>
      <c r="M1966" s="1039">
        <f t="shared" si="501"/>
        <v>0</v>
      </c>
      <c r="N1966" s="893">
        <f t="shared" si="502"/>
        <v>0</v>
      </c>
      <c r="O1966" s="905"/>
      <c r="P1966" s="36" t="str">
        <f>IF(N1964&gt;0,"xx",IF(N1964&gt;0,"xy",""))</f>
        <v/>
      </c>
      <c r="Q1966" s="317" t="str">
        <f t="shared" si="503"/>
        <v/>
      </c>
      <c r="R1966" s="317" t="str">
        <f t="shared" si="504"/>
        <v/>
      </c>
      <c r="S1966" s="317" t="str">
        <f t="shared" si="505"/>
        <v/>
      </c>
      <c r="V1966" s="314">
        <f>SUM('RES. CENTRAL PARK:RUA_FINAL'!N1966)</f>
        <v>0</v>
      </c>
      <c r="W1966" s="315">
        <f t="shared" si="506"/>
        <v>0</v>
      </c>
    </row>
    <row r="1967" spans="1:23" ht="13.5" hidden="1" thickBot="1" x14ac:dyDescent="0.25">
      <c r="A1967" s="63" t="s">
        <v>147</v>
      </c>
      <c r="B1967" s="895" t="s">
        <v>147</v>
      </c>
      <c r="C1967" s="896"/>
      <c r="D1967" s="906" t="s">
        <v>336</v>
      </c>
      <c r="E1967" s="907">
        <f>DMT!$F$38</f>
        <v>40</v>
      </c>
      <c r="F1967" s="908">
        <v>0.25</v>
      </c>
      <c r="G1967" s="949">
        <f t="shared" si="513"/>
        <v>11.370000000000001</v>
      </c>
      <c r="H1967" s="901"/>
      <c r="I1967" s="901"/>
      <c r="J1967" s="902">
        <f t="shared" si="494"/>
        <v>0</v>
      </c>
      <c r="K1967" s="903"/>
      <c r="L1967" s="1039">
        <f>ROUND(SUM('RES. CENTRAL PARK:RUA_FINAL'!L1967),2)</f>
        <v>0</v>
      </c>
      <c r="M1967" s="1039">
        <f t="shared" si="501"/>
        <v>0</v>
      </c>
      <c r="N1967" s="893">
        <f t="shared" si="502"/>
        <v>0</v>
      </c>
      <c r="O1967" s="905"/>
      <c r="P1967" s="36" t="str">
        <f>IF(N1964&gt;0,"xx",IF(N1964&gt;0,"xy",""))</f>
        <v/>
      </c>
      <c r="Q1967" s="317" t="str">
        <f t="shared" si="503"/>
        <v/>
      </c>
      <c r="R1967" s="317" t="str">
        <f t="shared" si="504"/>
        <v/>
      </c>
      <c r="S1967" s="317" t="str">
        <f t="shared" si="505"/>
        <v/>
      </c>
      <c r="V1967" s="314">
        <f>SUM('RES. CENTRAL PARK:RUA_FINAL'!N1967)</f>
        <v>0</v>
      </c>
      <c r="W1967" s="315">
        <f t="shared" si="506"/>
        <v>0</v>
      </c>
    </row>
    <row r="1968" spans="1:23" ht="13.5" hidden="1" thickBot="1" x14ac:dyDescent="0.25">
      <c r="A1968" s="63">
        <v>610600</v>
      </c>
      <c r="B1968" s="895" t="s">
        <v>1830</v>
      </c>
      <c r="C1968" s="896" t="s">
        <v>184</v>
      </c>
      <c r="D1968" s="906" t="s">
        <v>2016</v>
      </c>
      <c r="E1968" s="907"/>
      <c r="F1968" s="908"/>
      <c r="G1968" s="912">
        <f>SUM(G1969:G1971)</f>
        <v>20.568768000000002</v>
      </c>
      <c r="H1968" s="901">
        <v>313.26</v>
      </c>
      <c r="I1968" s="901">
        <f>IF(ISBLANK(H1968),"",SUM(G1968:H1968))</f>
        <v>333.82876799999997</v>
      </c>
      <c r="J1968" s="902">
        <f t="shared" si="494"/>
        <v>400.83</v>
      </c>
      <c r="K1968" s="903" t="s">
        <v>13</v>
      </c>
      <c r="L1968" s="1039">
        <f>ROUND(SUM('RES. CENTRAL PARK:RUA_FINAL'!L1968),2)</f>
        <v>0</v>
      </c>
      <c r="M1968" s="1039">
        <f t="shared" si="501"/>
        <v>0</v>
      </c>
      <c r="N1968" s="893">
        <f t="shared" si="502"/>
        <v>0</v>
      </c>
      <c r="O1968" s="905"/>
      <c r="Q1968" s="317" t="str">
        <f t="shared" si="503"/>
        <v/>
      </c>
      <c r="R1968" s="317" t="str">
        <f t="shared" si="504"/>
        <v/>
      </c>
      <c r="S1968" s="317" t="str">
        <f t="shared" si="505"/>
        <v/>
      </c>
      <c r="V1968" s="314">
        <f>SUM('RES. CENTRAL PARK:RUA_FINAL'!N1968)</f>
        <v>0</v>
      </c>
      <c r="W1968" s="315">
        <f t="shared" si="506"/>
        <v>0</v>
      </c>
    </row>
    <row r="1969" spans="1:23" ht="13.5" hidden="1" thickBot="1" x14ac:dyDescent="0.25">
      <c r="A1969" s="63" t="s">
        <v>147</v>
      </c>
      <c r="B1969" s="895" t="s">
        <v>147</v>
      </c>
      <c r="C1969" s="896"/>
      <c r="D1969" s="906" t="s">
        <v>190</v>
      </c>
      <c r="E1969" s="907">
        <f>DMT!$D$41</f>
        <v>308</v>
      </c>
      <c r="F1969" s="908">
        <v>2.5999999999999999E-3</v>
      </c>
      <c r="G1969" s="909">
        <f>IF(E1969&lt;=30,(0.78*E1969+7.82)*F1969,((0.78*30+7.82)+0.78*(E1969-30))*F1969)</f>
        <v>0.64495599999999997</v>
      </c>
      <c r="H1969" s="901"/>
      <c r="I1969" s="901"/>
      <c r="J1969" s="902">
        <f t="shared" si="494"/>
        <v>0</v>
      </c>
      <c r="K1969" s="903"/>
      <c r="L1969" s="1039">
        <f>ROUND(SUM('RES. CENTRAL PARK:RUA_FINAL'!L1969),2)</f>
        <v>0</v>
      </c>
      <c r="M1969" s="1039">
        <f t="shared" si="501"/>
        <v>0</v>
      </c>
      <c r="N1969" s="893">
        <f t="shared" si="502"/>
        <v>0</v>
      </c>
      <c r="O1969" s="905"/>
      <c r="P1969" s="36" t="str">
        <f>IF(N1968&gt;0,"xx",IF(N1968&gt;0,"xy",""))</f>
        <v/>
      </c>
      <c r="Q1969" s="317" t="str">
        <f t="shared" si="503"/>
        <v/>
      </c>
      <c r="R1969" s="317" t="str">
        <f t="shared" si="504"/>
        <v/>
      </c>
      <c r="S1969" s="317" t="str">
        <f t="shared" si="505"/>
        <v/>
      </c>
      <c r="V1969" s="314">
        <f>SUM('RES. CENTRAL PARK:RUA_FINAL'!N1969)</f>
        <v>0</v>
      </c>
      <c r="W1969" s="315">
        <f t="shared" si="506"/>
        <v>0</v>
      </c>
    </row>
    <row r="1970" spans="1:23" ht="13.5" hidden="1" thickBot="1" x14ac:dyDescent="0.25">
      <c r="A1970" s="63" t="s">
        <v>147</v>
      </c>
      <c r="B1970" s="895" t="s">
        <v>147</v>
      </c>
      <c r="C1970" s="896"/>
      <c r="D1970" s="906" t="s">
        <v>229</v>
      </c>
      <c r="E1970" s="907">
        <f>DMT!$F$39</f>
        <v>150</v>
      </c>
      <c r="F1970" s="908">
        <v>1.34E-2</v>
      </c>
      <c r="G1970" s="949">
        <f t="shared" ref="G1970:G1971" si="514">IF(E1970&lt;=30,(1.07*E1970+2.68)*F1970,((1.07*30+2.68)+1.07*(E1970-30))*F1970)</f>
        <v>2.1866120000000002</v>
      </c>
      <c r="H1970" s="901"/>
      <c r="I1970" s="901"/>
      <c r="J1970" s="902">
        <f t="shared" si="494"/>
        <v>0</v>
      </c>
      <c r="K1970" s="903"/>
      <c r="L1970" s="1039">
        <f>ROUND(SUM('RES. CENTRAL PARK:RUA_FINAL'!L1970),2)</f>
        <v>0</v>
      </c>
      <c r="M1970" s="1039">
        <f t="shared" si="501"/>
        <v>0</v>
      </c>
      <c r="N1970" s="893">
        <f t="shared" si="502"/>
        <v>0</v>
      </c>
      <c r="O1970" s="905"/>
      <c r="P1970" s="36" t="str">
        <f>IF(N1968&gt;0,"xx",IF(N1968&gt;0,"xy",""))</f>
        <v/>
      </c>
      <c r="Q1970" s="317" t="str">
        <f t="shared" si="503"/>
        <v/>
      </c>
      <c r="R1970" s="317" t="str">
        <f t="shared" si="504"/>
        <v/>
      </c>
      <c r="S1970" s="317" t="str">
        <f t="shared" si="505"/>
        <v/>
      </c>
      <c r="V1970" s="314">
        <f>SUM('RES. CENTRAL PARK:RUA_FINAL'!N1970)</f>
        <v>0</v>
      </c>
      <c r="W1970" s="315">
        <f t="shared" si="506"/>
        <v>0</v>
      </c>
    </row>
    <row r="1971" spans="1:23" ht="13.5" hidden="1" thickBot="1" x14ac:dyDescent="0.25">
      <c r="A1971" s="63" t="s">
        <v>147</v>
      </c>
      <c r="B1971" s="895" t="s">
        <v>147</v>
      </c>
      <c r="C1971" s="896"/>
      <c r="D1971" s="906" t="s">
        <v>336</v>
      </c>
      <c r="E1971" s="907">
        <f>DMT!$F$38</f>
        <v>40</v>
      </c>
      <c r="F1971" s="908">
        <v>0.39</v>
      </c>
      <c r="G1971" s="949">
        <f t="shared" si="514"/>
        <v>17.737200000000001</v>
      </c>
      <c r="H1971" s="901"/>
      <c r="I1971" s="901"/>
      <c r="J1971" s="902">
        <f t="shared" si="494"/>
        <v>0</v>
      </c>
      <c r="K1971" s="903"/>
      <c r="L1971" s="1039">
        <f>ROUND(SUM('RES. CENTRAL PARK:RUA_FINAL'!L1971),2)</f>
        <v>0</v>
      </c>
      <c r="M1971" s="1039">
        <f t="shared" si="501"/>
        <v>0</v>
      </c>
      <c r="N1971" s="893">
        <f t="shared" si="502"/>
        <v>0</v>
      </c>
      <c r="O1971" s="905"/>
      <c r="P1971" s="36" t="str">
        <f>IF(N1968&gt;0,"xx",IF(N1968&gt;0,"xy",""))</f>
        <v/>
      </c>
      <c r="Q1971" s="317" t="str">
        <f t="shared" si="503"/>
        <v/>
      </c>
      <c r="R1971" s="317" t="str">
        <f t="shared" si="504"/>
        <v/>
      </c>
      <c r="S1971" s="317" t="str">
        <f t="shared" si="505"/>
        <v/>
      </c>
      <c r="V1971" s="314">
        <f>SUM('RES. CENTRAL PARK:RUA_FINAL'!N1971)</f>
        <v>0</v>
      </c>
      <c r="W1971" s="315">
        <f t="shared" si="506"/>
        <v>0</v>
      </c>
    </row>
    <row r="1972" spans="1:23" ht="13.5" hidden="1" thickBot="1" x14ac:dyDescent="0.25">
      <c r="A1972" s="63">
        <v>610800</v>
      </c>
      <c r="B1972" s="895" t="s">
        <v>1834</v>
      </c>
      <c r="C1972" s="896" t="s">
        <v>184</v>
      </c>
      <c r="D1972" s="906" t="s">
        <v>2017</v>
      </c>
      <c r="E1972" s="907"/>
      <c r="F1972" s="908"/>
      <c r="G1972" s="912">
        <f>SUM(G1973:G1975)</f>
        <v>27.287792000000003</v>
      </c>
      <c r="H1972" s="901">
        <v>514.41999999999996</v>
      </c>
      <c r="I1972" s="901">
        <f>IF(ISBLANK(H1972),"",SUM(G1972:H1972))</f>
        <v>541.70779199999993</v>
      </c>
      <c r="J1972" s="902">
        <f t="shared" si="494"/>
        <v>650.42999999999995</v>
      </c>
      <c r="K1972" s="903" t="s">
        <v>13</v>
      </c>
      <c r="L1972" s="1039">
        <f>ROUND(SUM('RES. CENTRAL PARK:RUA_FINAL'!L1972),2)</f>
        <v>0</v>
      </c>
      <c r="M1972" s="1039">
        <f t="shared" si="501"/>
        <v>0</v>
      </c>
      <c r="N1972" s="893">
        <f t="shared" si="502"/>
        <v>0</v>
      </c>
      <c r="O1972" s="905"/>
      <c r="Q1972" s="317" t="str">
        <f t="shared" si="503"/>
        <v/>
      </c>
      <c r="R1972" s="317" t="str">
        <f t="shared" si="504"/>
        <v/>
      </c>
      <c r="S1972" s="317" t="str">
        <f t="shared" si="505"/>
        <v/>
      </c>
      <c r="V1972" s="314">
        <f>SUM('RES. CENTRAL PARK:RUA_FINAL'!N1972)</f>
        <v>0</v>
      </c>
      <c r="W1972" s="315">
        <f t="shared" si="506"/>
        <v>0</v>
      </c>
    </row>
    <row r="1973" spans="1:23" ht="13.5" hidden="1" thickBot="1" x14ac:dyDescent="0.25">
      <c r="A1973" s="63" t="s">
        <v>147</v>
      </c>
      <c r="B1973" s="895" t="s">
        <v>147</v>
      </c>
      <c r="C1973" s="896"/>
      <c r="D1973" s="906" t="s">
        <v>190</v>
      </c>
      <c r="E1973" s="907">
        <f>DMT!$D$41</f>
        <v>308</v>
      </c>
      <c r="F1973" s="908">
        <v>2.8999999999999998E-3</v>
      </c>
      <c r="G1973" s="909">
        <f>IF(E1973&lt;=30,(0.78*E1973+7.82)*F1973,((0.78*30+7.82)+0.78*(E1973-30))*F1973)</f>
        <v>0.71937399999999996</v>
      </c>
      <c r="H1973" s="901"/>
      <c r="I1973" s="901"/>
      <c r="J1973" s="902">
        <f t="shared" si="494"/>
        <v>0</v>
      </c>
      <c r="K1973" s="903"/>
      <c r="L1973" s="1039">
        <f>ROUND(SUM('RES. CENTRAL PARK:RUA_FINAL'!L1973),2)</f>
        <v>0</v>
      </c>
      <c r="M1973" s="1039">
        <f t="shared" si="501"/>
        <v>0</v>
      </c>
      <c r="N1973" s="893">
        <f t="shared" si="502"/>
        <v>0</v>
      </c>
      <c r="O1973" s="905"/>
      <c r="P1973" s="36" t="str">
        <f>IF(N1972&gt;0,"xx",IF(N1972&gt;0,"xy",""))</f>
        <v/>
      </c>
      <c r="Q1973" s="317" t="str">
        <f t="shared" si="503"/>
        <v/>
      </c>
      <c r="R1973" s="317" t="str">
        <f t="shared" si="504"/>
        <v/>
      </c>
      <c r="S1973" s="317" t="str">
        <f t="shared" si="505"/>
        <v/>
      </c>
      <c r="V1973" s="314">
        <f>SUM('RES. CENTRAL PARK:RUA_FINAL'!N1973)</f>
        <v>0</v>
      </c>
      <c r="W1973" s="315">
        <f t="shared" si="506"/>
        <v>0</v>
      </c>
    </row>
    <row r="1974" spans="1:23" ht="13.5" hidden="1" thickBot="1" x14ac:dyDescent="0.25">
      <c r="A1974" s="63" t="s">
        <v>147</v>
      </c>
      <c r="B1974" s="895" t="s">
        <v>147</v>
      </c>
      <c r="C1974" s="896"/>
      <c r="D1974" s="906" t="s">
        <v>229</v>
      </c>
      <c r="E1974" s="907">
        <f>DMT!$F$39</f>
        <v>150</v>
      </c>
      <c r="F1974" s="908">
        <v>1.5100000000000001E-2</v>
      </c>
      <c r="G1974" s="949">
        <f t="shared" ref="G1974:G1975" si="515">IF(E1974&lt;=30,(1.07*E1974+2.68)*F1974,((1.07*30+2.68)+1.07*(E1974-30))*F1974)</f>
        <v>2.4640180000000003</v>
      </c>
      <c r="H1974" s="901"/>
      <c r="I1974" s="901"/>
      <c r="J1974" s="902">
        <f t="shared" si="494"/>
        <v>0</v>
      </c>
      <c r="K1974" s="903"/>
      <c r="L1974" s="1039">
        <f>ROUND(SUM('RES. CENTRAL PARK:RUA_FINAL'!L1974),2)</f>
        <v>0</v>
      </c>
      <c r="M1974" s="1039">
        <f t="shared" si="501"/>
        <v>0</v>
      </c>
      <c r="N1974" s="893">
        <f t="shared" si="502"/>
        <v>0</v>
      </c>
      <c r="O1974" s="905"/>
      <c r="P1974" s="36" t="str">
        <f>IF(N1972&gt;0,"xx",IF(N1972&gt;0,"xy",""))</f>
        <v/>
      </c>
      <c r="Q1974" s="317" t="str">
        <f t="shared" si="503"/>
        <v/>
      </c>
      <c r="R1974" s="317" t="str">
        <f t="shared" si="504"/>
        <v/>
      </c>
      <c r="S1974" s="317" t="str">
        <f t="shared" si="505"/>
        <v/>
      </c>
      <c r="V1974" s="314">
        <f>SUM('RES. CENTRAL PARK:RUA_FINAL'!N1974)</f>
        <v>0</v>
      </c>
      <c r="W1974" s="315">
        <f t="shared" si="506"/>
        <v>0</v>
      </c>
    </row>
    <row r="1975" spans="1:23" ht="13.5" hidden="1" thickBot="1" x14ac:dyDescent="0.25">
      <c r="A1975" s="63" t="s">
        <v>147</v>
      </c>
      <c r="B1975" s="895" t="s">
        <v>147</v>
      </c>
      <c r="C1975" s="896"/>
      <c r="D1975" s="906" t="s">
        <v>336</v>
      </c>
      <c r="E1975" s="907">
        <f>DMT!$F$38</f>
        <v>40</v>
      </c>
      <c r="F1975" s="908">
        <v>0.53</v>
      </c>
      <c r="G1975" s="949">
        <f t="shared" si="515"/>
        <v>24.104400000000002</v>
      </c>
      <c r="H1975" s="901"/>
      <c r="I1975" s="901"/>
      <c r="J1975" s="902">
        <f t="shared" si="494"/>
        <v>0</v>
      </c>
      <c r="K1975" s="903"/>
      <c r="L1975" s="1039">
        <f>ROUND(SUM('RES. CENTRAL PARK:RUA_FINAL'!L1975),2)</f>
        <v>0</v>
      </c>
      <c r="M1975" s="1039">
        <f t="shared" si="501"/>
        <v>0</v>
      </c>
      <c r="N1975" s="893">
        <f t="shared" si="502"/>
        <v>0</v>
      </c>
      <c r="O1975" s="905"/>
      <c r="P1975" s="36" t="str">
        <f>IF(N1972&gt;0,"xx",IF(N1972&gt;0,"xy",""))</f>
        <v/>
      </c>
      <c r="Q1975" s="317" t="str">
        <f t="shared" si="503"/>
        <v/>
      </c>
      <c r="R1975" s="317" t="str">
        <f t="shared" si="504"/>
        <v/>
      </c>
      <c r="S1975" s="317" t="str">
        <f t="shared" si="505"/>
        <v/>
      </c>
      <c r="V1975" s="314">
        <f>SUM('RES. CENTRAL PARK:RUA_FINAL'!N1975)</f>
        <v>0</v>
      </c>
      <c r="W1975" s="315">
        <f t="shared" si="506"/>
        <v>0</v>
      </c>
    </row>
    <row r="1976" spans="1:23" ht="13.5" hidden="1" thickBot="1" x14ac:dyDescent="0.25">
      <c r="A1976" s="63">
        <v>610800</v>
      </c>
      <c r="B1976" s="895" t="s">
        <v>1835</v>
      </c>
      <c r="C1976" s="896" t="s">
        <v>184</v>
      </c>
      <c r="D1976" s="906" t="s">
        <v>2018</v>
      </c>
      <c r="E1976" s="907"/>
      <c r="F1976" s="908"/>
      <c r="G1976" s="912">
        <f>SUM(G1977:G1979)</f>
        <v>34.006816000000008</v>
      </c>
      <c r="H1976" s="901">
        <v>514.41999999999996</v>
      </c>
      <c r="I1976" s="901">
        <f>IF(ISBLANK(H1976),"",SUM(G1976:H1976))</f>
        <v>548.42681599999992</v>
      </c>
      <c r="J1976" s="902">
        <f t="shared" si="494"/>
        <v>658.5</v>
      </c>
      <c r="K1976" s="903" t="s">
        <v>13</v>
      </c>
      <c r="L1976" s="1039">
        <f>ROUND(SUM('RES. CENTRAL PARK:RUA_FINAL'!L1976),2)</f>
        <v>0</v>
      </c>
      <c r="M1976" s="1039">
        <f t="shared" si="501"/>
        <v>0</v>
      </c>
      <c r="N1976" s="893">
        <f t="shared" si="502"/>
        <v>0</v>
      </c>
      <c r="O1976" s="905"/>
      <c r="Q1976" s="317" t="str">
        <f t="shared" si="503"/>
        <v/>
      </c>
      <c r="R1976" s="317" t="str">
        <f t="shared" si="504"/>
        <v/>
      </c>
      <c r="S1976" s="317" t="str">
        <f t="shared" si="505"/>
        <v/>
      </c>
      <c r="V1976" s="314">
        <f>SUM('RES. CENTRAL PARK:RUA_FINAL'!N1976)</f>
        <v>0</v>
      </c>
      <c r="W1976" s="315">
        <f t="shared" si="506"/>
        <v>0</v>
      </c>
    </row>
    <row r="1977" spans="1:23" ht="13.5" hidden="1" thickBot="1" x14ac:dyDescent="0.25">
      <c r="A1977" s="63" t="s">
        <v>147</v>
      </c>
      <c r="B1977" s="895" t="s">
        <v>147</v>
      </c>
      <c r="C1977" s="896"/>
      <c r="D1977" s="906" t="s">
        <v>190</v>
      </c>
      <c r="E1977" s="907">
        <f>DMT!$D$41</f>
        <v>308</v>
      </c>
      <c r="F1977" s="908">
        <v>3.2000000000000002E-3</v>
      </c>
      <c r="G1977" s="909">
        <f>IF(E1977&lt;=30,(0.78*E1977+7.82)*F1977,((0.78*30+7.82)+0.78*(E1977-30))*F1977)</f>
        <v>0.79379200000000005</v>
      </c>
      <c r="H1977" s="901"/>
      <c r="I1977" s="901"/>
      <c r="J1977" s="902">
        <f t="shared" si="494"/>
        <v>0</v>
      </c>
      <c r="K1977" s="903"/>
      <c r="L1977" s="1039">
        <f>ROUND(SUM('RES. CENTRAL PARK:RUA_FINAL'!L1977),2)</f>
        <v>0</v>
      </c>
      <c r="M1977" s="1039">
        <f t="shared" si="501"/>
        <v>0</v>
      </c>
      <c r="N1977" s="893">
        <f t="shared" si="502"/>
        <v>0</v>
      </c>
      <c r="O1977" s="905"/>
      <c r="P1977" s="36" t="str">
        <f>IF(N1976&gt;0,"xx",IF(N1976&gt;0,"xy",""))</f>
        <v/>
      </c>
      <c r="Q1977" s="317" t="str">
        <f t="shared" si="503"/>
        <v/>
      </c>
      <c r="R1977" s="317" t="str">
        <f t="shared" si="504"/>
        <v/>
      </c>
      <c r="S1977" s="317" t="str">
        <f t="shared" si="505"/>
        <v/>
      </c>
      <c r="V1977" s="314">
        <f>SUM('RES. CENTRAL PARK:RUA_FINAL'!N1977)</f>
        <v>0</v>
      </c>
      <c r="W1977" s="315">
        <f t="shared" si="506"/>
        <v>0</v>
      </c>
    </row>
    <row r="1978" spans="1:23" ht="13.5" hidden="1" thickBot="1" x14ac:dyDescent="0.25">
      <c r="A1978" s="63" t="s">
        <v>147</v>
      </c>
      <c r="B1978" s="895" t="s">
        <v>147</v>
      </c>
      <c r="C1978" s="896"/>
      <c r="D1978" s="906" t="s">
        <v>229</v>
      </c>
      <c r="E1978" s="907">
        <f>DMT!$F$39</f>
        <v>150</v>
      </c>
      <c r="F1978" s="908">
        <v>1.6799999999999999E-2</v>
      </c>
      <c r="G1978" s="949">
        <f t="shared" ref="G1978:G1979" si="516">IF(E1978&lt;=30,(1.07*E1978+2.68)*F1978,((1.07*30+2.68)+1.07*(E1978-30))*F1978)</f>
        <v>2.7414239999999999</v>
      </c>
      <c r="H1978" s="901"/>
      <c r="I1978" s="901"/>
      <c r="J1978" s="902">
        <f t="shared" ref="J1978:J2041" si="517">IF(ISBLANK(H1978),0,ROUND(I1978*(1+$E$10),2))</f>
        <v>0</v>
      </c>
      <c r="K1978" s="903"/>
      <c r="L1978" s="1039">
        <f>ROUND(SUM('RES. CENTRAL PARK:RUA_FINAL'!L1978),2)</f>
        <v>0</v>
      </c>
      <c r="M1978" s="1039">
        <f t="shared" si="501"/>
        <v>0</v>
      </c>
      <c r="N1978" s="893">
        <f t="shared" si="502"/>
        <v>0</v>
      </c>
      <c r="O1978" s="905"/>
      <c r="P1978" s="36" t="str">
        <f>IF(N1976&gt;0,"xx",IF(N1976&gt;0,"xy",""))</f>
        <v/>
      </c>
      <c r="Q1978" s="317" t="str">
        <f t="shared" si="503"/>
        <v/>
      </c>
      <c r="R1978" s="317" t="str">
        <f t="shared" si="504"/>
        <v/>
      </c>
      <c r="S1978" s="317" t="str">
        <f t="shared" si="505"/>
        <v/>
      </c>
      <c r="V1978" s="314">
        <f>SUM('RES. CENTRAL PARK:RUA_FINAL'!N1978)</f>
        <v>0</v>
      </c>
      <c r="W1978" s="315">
        <f t="shared" si="506"/>
        <v>0</v>
      </c>
    </row>
    <row r="1979" spans="1:23" ht="13.5" hidden="1" thickBot="1" x14ac:dyDescent="0.25">
      <c r="A1979" s="63" t="s">
        <v>147</v>
      </c>
      <c r="B1979" s="895" t="s">
        <v>147</v>
      </c>
      <c r="C1979" s="896"/>
      <c r="D1979" s="906" t="s">
        <v>336</v>
      </c>
      <c r="E1979" s="907">
        <f>DMT!$F$38</f>
        <v>40</v>
      </c>
      <c r="F1979" s="908">
        <v>0.67</v>
      </c>
      <c r="G1979" s="949">
        <f t="shared" si="516"/>
        <v>30.471600000000006</v>
      </c>
      <c r="H1979" s="901"/>
      <c r="I1979" s="901"/>
      <c r="J1979" s="902">
        <f t="shared" si="517"/>
        <v>0</v>
      </c>
      <c r="K1979" s="903"/>
      <c r="L1979" s="1039">
        <f>ROUND(SUM('RES. CENTRAL PARK:RUA_FINAL'!L1979),2)</f>
        <v>0</v>
      </c>
      <c r="M1979" s="1039">
        <f t="shared" si="501"/>
        <v>0</v>
      </c>
      <c r="N1979" s="893">
        <f t="shared" si="502"/>
        <v>0</v>
      </c>
      <c r="O1979" s="905"/>
      <c r="P1979" s="36" t="str">
        <f>IF(N1976&gt;0,"xx",IF(N1976&gt;0,"xy",""))</f>
        <v/>
      </c>
      <c r="Q1979" s="317" t="str">
        <f t="shared" si="503"/>
        <v/>
      </c>
      <c r="R1979" s="317" t="str">
        <f t="shared" si="504"/>
        <v/>
      </c>
      <c r="S1979" s="317" t="str">
        <f t="shared" si="505"/>
        <v/>
      </c>
      <c r="V1979" s="314">
        <f>SUM('RES. CENTRAL PARK:RUA_FINAL'!N1979)</f>
        <v>0</v>
      </c>
      <c r="W1979" s="315">
        <f t="shared" si="506"/>
        <v>0</v>
      </c>
    </row>
    <row r="1980" spans="1:23" ht="13.5" hidden="1" thickBot="1" x14ac:dyDescent="0.25">
      <c r="A1980" s="63">
        <v>611000</v>
      </c>
      <c r="B1980" s="895" t="s">
        <v>1842</v>
      </c>
      <c r="C1980" s="896" t="s">
        <v>184</v>
      </c>
      <c r="D1980" s="906" t="s">
        <v>2019</v>
      </c>
      <c r="E1980" s="907"/>
      <c r="F1980" s="908"/>
      <c r="G1980" s="912">
        <f>SUM(G1981:G1983)</f>
        <v>42.394820000000003</v>
      </c>
      <c r="H1980" s="901">
        <v>803.98</v>
      </c>
      <c r="I1980" s="901">
        <f>IF(ISBLANK(H1980),"",SUM(G1980:H1980))</f>
        <v>846.37482</v>
      </c>
      <c r="J1980" s="902">
        <f t="shared" si="517"/>
        <v>1016.24</v>
      </c>
      <c r="K1980" s="903" t="s">
        <v>13</v>
      </c>
      <c r="L1980" s="1039">
        <f>ROUND(SUM('RES. CENTRAL PARK:RUA_FINAL'!L1980),2)</f>
        <v>0</v>
      </c>
      <c r="M1980" s="1039">
        <f t="shared" si="501"/>
        <v>0</v>
      </c>
      <c r="N1980" s="893">
        <f t="shared" si="502"/>
        <v>0</v>
      </c>
      <c r="O1980" s="905"/>
      <c r="Q1980" s="317" t="str">
        <f t="shared" si="503"/>
        <v/>
      </c>
      <c r="R1980" s="317" t="str">
        <f t="shared" si="504"/>
        <v/>
      </c>
      <c r="S1980" s="317" t="str">
        <f t="shared" si="505"/>
        <v/>
      </c>
      <c r="V1980" s="314">
        <f>SUM('RES. CENTRAL PARK:RUA_FINAL'!N1980)</f>
        <v>0</v>
      </c>
      <c r="W1980" s="315">
        <f t="shared" si="506"/>
        <v>0</v>
      </c>
    </row>
    <row r="1981" spans="1:23" ht="13.5" hidden="1" thickBot="1" x14ac:dyDescent="0.25">
      <c r="A1981" s="63" t="s">
        <v>147</v>
      </c>
      <c r="B1981" s="895" t="s">
        <v>147</v>
      </c>
      <c r="C1981" s="896"/>
      <c r="D1981" s="906" t="s">
        <v>190</v>
      </c>
      <c r="E1981" s="907">
        <f>DMT!$D$41</f>
        <v>308</v>
      </c>
      <c r="F1981" s="908">
        <v>4.0000000000000001E-3</v>
      </c>
      <c r="G1981" s="909">
        <f>IF(E1981&lt;=30,(0.78*E1981+7.82)*F1981,((0.78*30+7.82)+0.78*(E1981-30))*F1981)</f>
        <v>0.99224000000000001</v>
      </c>
      <c r="H1981" s="901"/>
      <c r="I1981" s="901"/>
      <c r="J1981" s="902">
        <f t="shared" si="517"/>
        <v>0</v>
      </c>
      <c r="K1981" s="903"/>
      <c r="L1981" s="1039">
        <f>ROUND(SUM('RES. CENTRAL PARK:RUA_FINAL'!L1981),2)</f>
        <v>0</v>
      </c>
      <c r="M1981" s="1039">
        <f t="shared" si="501"/>
        <v>0</v>
      </c>
      <c r="N1981" s="893">
        <f t="shared" si="502"/>
        <v>0</v>
      </c>
      <c r="O1981" s="905"/>
      <c r="P1981" s="36" t="str">
        <f>IF(N1980&gt;0,"xx",IF(N1980&gt;0,"xy",""))</f>
        <v/>
      </c>
      <c r="Q1981" s="317" t="str">
        <f t="shared" si="503"/>
        <v/>
      </c>
      <c r="R1981" s="317" t="str">
        <f t="shared" si="504"/>
        <v/>
      </c>
      <c r="S1981" s="317" t="str">
        <f t="shared" si="505"/>
        <v/>
      </c>
      <c r="V1981" s="314">
        <f>SUM('RES. CENTRAL PARK:RUA_FINAL'!N1981)</f>
        <v>0</v>
      </c>
      <c r="W1981" s="315">
        <f t="shared" si="506"/>
        <v>0</v>
      </c>
    </row>
    <row r="1982" spans="1:23" ht="13.5" hidden="1" thickBot="1" x14ac:dyDescent="0.25">
      <c r="A1982" s="63" t="s">
        <v>147</v>
      </c>
      <c r="B1982" s="895" t="s">
        <v>147</v>
      </c>
      <c r="C1982" s="896"/>
      <c r="D1982" s="906" t="s">
        <v>229</v>
      </c>
      <c r="E1982" s="907">
        <f>DMT!$F$39</f>
        <v>150</v>
      </c>
      <c r="F1982" s="908">
        <v>2.1000000000000001E-2</v>
      </c>
      <c r="G1982" s="949">
        <f t="shared" ref="G1982:G1983" si="518">IF(E1982&lt;=30,(1.07*E1982+2.68)*F1982,((1.07*30+2.68)+1.07*(E1982-30))*F1982)</f>
        <v>3.4267800000000004</v>
      </c>
      <c r="H1982" s="901"/>
      <c r="I1982" s="901"/>
      <c r="J1982" s="902">
        <f t="shared" si="517"/>
        <v>0</v>
      </c>
      <c r="K1982" s="903"/>
      <c r="L1982" s="1039">
        <f>ROUND(SUM('RES. CENTRAL PARK:RUA_FINAL'!L1982),2)</f>
        <v>0</v>
      </c>
      <c r="M1982" s="1039">
        <f t="shared" si="501"/>
        <v>0</v>
      </c>
      <c r="N1982" s="893">
        <f t="shared" si="502"/>
        <v>0</v>
      </c>
      <c r="O1982" s="905"/>
      <c r="P1982" s="36" t="str">
        <f>IF(N1980&gt;0,"xx",IF(N1980&gt;0,"xy",""))</f>
        <v/>
      </c>
      <c r="Q1982" s="317" t="str">
        <f t="shared" si="503"/>
        <v/>
      </c>
      <c r="R1982" s="317" t="str">
        <f t="shared" si="504"/>
        <v/>
      </c>
      <c r="S1982" s="317" t="str">
        <f t="shared" si="505"/>
        <v/>
      </c>
      <c r="V1982" s="314">
        <f>SUM('RES. CENTRAL PARK:RUA_FINAL'!N1982)</f>
        <v>0</v>
      </c>
      <c r="W1982" s="315">
        <f t="shared" si="506"/>
        <v>0</v>
      </c>
    </row>
    <row r="1983" spans="1:23" ht="13.5" hidden="1" thickBot="1" x14ac:dyDescent="0.25">
      <c r="A1983" s="63" t="s">
        <v>147</v>
      </c>
      <c r="B1983" s="895" t="s">
        <v>147</v>
      </c>
      <c r="C1983" s="896"/>
      <c r="D1983" s="906" t="s">
        <v>336</v>
      </c>
      <c r="E1983" s="907">
        <f>DMT!$F$38</f>
        <v>40</v>
      </c>
      <c r="F1983" s="908">
        <v>0.83499999999999996</v>
      </c>
      <c r="G1983" s="949">
        <f t="shared" si="518"/>
        <v>37.9758</v>
      </c>
      <c r="H1983" s="901"/>
      <c r="I1983" s="901"/>
      <c r="J1983" s="902">
        <f t="shared" si="517"/>
        <v>0</v>
      </c>
      <c r="K1983" s="903"/>
      <c r="L1983" s="1039">
        <f>ROUND(SUM('RES. CENTRAL PARK:RUA_FINAL'!L1983),2)</f>
        <v>0</v>
      </c>
      <c r="M1983" s="1039">
        <f t="shared" si="501"/>
        <v>0</v>
      </c>
      <c r="N1983" s="893">
        <f t="shared" si="502"/>
        <v>0</v>
      </c>
      <c r="O1983" s="905"/>
      <c r="P1983" s="36" t="str">
        <f>IF(N1980&gt;0,"xx",IF(N1980&gt;0,"xy",""))</f>
        <v/>
      </c>
      <c r="Q1983" s="317" t="str">
        <f t="shared" si="503"/>
        <v/>
      </c>
      <c r="R1983" s="317" t="str">
        <f t="shared" si="504"/>
        <v/>
      </c>
      <c r="S1983" s="317" t="str">
        <f t="shared" si="505"/>
        <v/>
      </c>
      <c r="V1983" s="314">
        <f>SUM('RES. CENTRAL PARK:RUA_FINAL'!N1983)</f>
        <v>0</v>
      </c>
      <c r="W1983" s="315">
        <f t="shared" si="506"/>
        <v>0</v>
      </c>
    </row>
    <row r="1984" spans="1:23" ht="13.5" hidden="1" thickBot="1" x14ac:dyDescent="0.25">
      <c r="A1984" s="63">
        <v>611000</v>
      </c>
      <c r="B1984" s="895" t="s">
        <v>1843</v>
      </c>
      <c r="C1984" s="896" t="s">
        <v>184</v>
      </c>
      <c r="D1984" s="906" t="s">
        <v>2020</v>
      </c>
      <c r="E1984" s="907"/>
      <c r="F1984" s="908"/>
      <c r="G1984" s="912">
        <f>SUM(G1985:G1987)</f>
        <v>50.782824000000005</v>
      </c>
      <c r="H1984" s="901">
        <v>803.98</v>
      </c>
      <c r="I1984" s="901">
        <f>IF(ISBLANK(H1984),"",SUM(G1984:H1984))</f>
        <v>854.76282400000002</v>
      </c>
      <c r="J1984" s="902">
        <f t="shared" si="517"/>
        <v>1026.31</v>
      </c>
      <c r="K1984" s="903" t="s">
        <v>13</v>
      </c>
      <c r="L1984" s="1039">
        <f>ROUND(SUM('RES. CENTRAL PARK:RUA_FINAL'!L1984),2)</f>
        <v>0</v>
      </c>
      <c r="M1984" s="1039">
        <f t="shared" si="501"/>
        <v>0</v>
      </c>
      <c r="N1984" s="893">
        <f t="shared" si="502"/>
        <v>0</v>
      </c>
      <c r="O1984" s="905"/>
      <c r="Q1984" s="317" t="str">
        <f t="shared" si="503"/>
        <v/>
      </c>
      <c r="R1984" s="317" t="str">
        <f t="shared" si="504"/>
        <v/>
      </c>
      <c r="S1984" s="317" t="str">
        <f t="shared" si="505"/>
        <v/>
      </c>
      <c r="V1984" s="314">
        <f>SUM('RES. CENTRAL PARK:RUA_FINAL'!N1984)</f>
        <v>0</v>
      </c>
      <c r="W1984" s="315">
        <f t="shared" si="506"/>
        <v>0</v>
      </c>
    </row>
    <row r="1985" spans="1:23" ht="13.5" hidden="1" thickBot="1" x14ac:dyDescent="0.25">
      <c r="A1985" s="63" t="s">
        <v>147</v>
      </c>
      <c r="B1985" s="895" t="s">
        <v>147</v>
      </c>
      <c r="C1985" s="896"/>
      <c r="D1985" s="906" t="s">
        <v>190</v>
      </c>
      <c r="E1985" s="907">
        <f>DMT!$D$41</f>
        <v>308</v>
      </c>
      <c r="F1985" s="908">
        <v>4.7999999999999996E-3</v>
      </c>
      <c r="G1985" s="909">
        <f>IF(E1985&lt;=30,(0.78*E1985+7.82)*F1985,((0.78*30+7.82)+0.78*(E1985-30))*F1985)</f>
        <v>1.190688</v>
      </c>
      <c r="H1985" s="901"/>
      <c r="I1985" s="901"/>
      <c r="J1985" s="902">
        <f t="shared" si="517"/>
        <v>0</v>
      </c>
      <c r="K1985" s="903"/>
      <c r="L1985" s="1039">
        <f>ROUND(SUM('RES. CENTRAL PARK:RUA_FINAL'!L1985),2)</f>
        <v>0</v>
      </c>
      <c r="M1985" s="1039">
        <f t="shared" si="501"/>
        <v>0</v>
      </c>
      <c r="N1985" s="893">
        <f t="shared" si="502"/>
        <v>0</v>
      </c>
      <c r="O1985" s="905"/>
      <c r="P1985" s="36" t="str">
        <f>IF(N1984&gt;0,"xx",IF(N1984&gt;0,"xy",""))</f>
        <v/>
      </c>
      <c r="Q1985" s="317" t="str">
        <f t="shared" si="503"/>
        <v/>
      </c>
      <c r="R1985" s="317" t="str">
        <f t="shared" si="504"/>
        <v/>
      </c>
      <c r="S1985" s="317" t="str">
        <f t="shared" si="505"/>
        <v/>
      </c>
      <c r="V1985" s="314">
        <f>SUM('RES. CENTRAL PARK:RUA_FINAL'!N1985)</f>
        <v>0</v>
      </c>
      <c r="W1985" s="315">
        <f t="shared" si="506"/>
        <v>0</v>
      </c>
    </row>
    <row r="1986" spans="1:23" ht="13.5" hidden="1" thickBot="1" x14ac:dyDescent="0.25">
      <c r="A1986" s="63" t="s">
        <v>147</v>
      </c>
      <c r="B1986" s="895" t="s">
        <v>147</v>
      </c>
      <c r="C1986" s="896"/>
      <c r="D1986" s="906" t="s">
        <v>229</v>
      </c>
      <c r="E1986" s="907">
        <f>DMT!$F$39</f>
        <v>150</v>
      </c>
      <c r="F1986" s="908">
        <v>2.52E-2</v>
      </c>
      <c r="G1986" s="949">
        <f t="shared" ref="G1986:G1987" si="519">IF(E1986&lt;=30,(1.07*E1986+2.68)*F1986,((1.07*30+2.68)+1.07*(E1986-30))*F1986)</f>
        <v>4.1121360000000005</v>
      </c>
      <c r="H1986" s="901"/>
      <c r="I1986" s="901"/>
      <c r="J1986" s="902">
        <f t="shared" si="517"/>
        <v>0</v>
      </c>
      <c r="K1986" s="903"/>
      <c r="L1986" s="1039">
        <f>ROUND(SUM('RES. CENTRAL PARK:RUA_FINAL'!L1986),2)</f>
        <v>0</v>
      </c>
      <c r="M1986" s="1039">
        <f t="shared" si="501"/>
        <v>0</v>
      </c>
      <c r="N1986" s="893">
        <f t="shared" si="502"/>
        <v>0</v>
      </c>
      <c r="O1986" s="905"/>
      <c r="P1986" s="36" t="str">
        <f>IF(N1984&gt;0,"xx",IF(N1984&gt;0,"xy",""))</f>
        <v/>
      </c>
      <c r="Q1986" s="317" t="str">
        <f t="shared" si="503"/>
        <v/>
      </c>
      <c r="R1986" s="317" t="str">
        <f t="shared" si="504"/>
        <v/>
      </c>
      <c r="S1986" s="317" t="str">
        <f t="shared" si="505"/>
        <v/>
      </c>
      <c r="V1986" s="314">
        <f>SUM('RES. CENTRAL PARK:RUA_FINAL'!N1986)</f>
        <v>0</v>
      </c>
      <c r="W1986" s="315">
        <f t="shared" si="506"/>
        <v>0</v>
      </c>
    </row>
    <row r="1987" spans="1:23" ht="13.5" hidden="1" thickBot="1" x14ac:dyDescent="0.25">
      <c r="A1987" s="63" t="s">
        <v>147</v>
      </c>
      <c r="B1987" s="895" t="s">
        <v>147</v>
      </c>
      <c r="C1987" s="896"/>
      <c r="D1987" s="906" t="s">
        <v>336</v>
      </c>
      <c r="E1987" s="907">
        <f>DMT!$F$38</f>
        <v>40</v>
      </c>
      <c r="F1987" s="908">
        <v>1</v>
      </c>
      <c r="G1987" s="949">
        <f t="shared" si="519"/>
        <v>45.480000000000004</v>
      </c>
      <c r="H1987" s="901"/>
      <c r="I1987" s="901"/>
      <c r="J1987" s="902">
        <f t="shared" si="517"/>
        <v>0</v>
      </c>
      <c r="K1987" s="903"/>
      <c r="L1987" s="1039">
        <f>ROUND(SUM('RES. CENTRAL PARK:RUA_FINAL'!L1987),2)</f>
        <v>0</v>
      </c>
      <c r="M1987" s="1039">
        <f t="shared" si="501"/>
        <v>0</v>
      </c>
      <c r="N1987" s="893">
        <f t="shared" si="502"/>
        <v>0</v>
      </c>
      <c r="O1987" s="905"/>
      <c r="P1987" s="36" t="str">
        <f>IF(N1984&gt;0,"xx",IF(N1984&gt;0,"xy",""))</f>
        <v/>
      </c>
      <c r="Q1987" s="317" t="str">
        <f t="shared" si="503"/>
        <v/>
      </c>
      <c r="R1987" s="317" t="str">
        <f t="shared" si="504"/>
        <v/>
      </c>
      <c r="S1987" s="317" t="str">
        <f t="shared" si="505"/>
        <v/>
      </c>
      <c r="V1987" s="314">
        <f>SUM('RES. CENTRAL PARK:RUA_FINAL'!N1987)</f>
        <v>0</v>
      </c>
      <c r="W1987" s="315">
        <f t="shared" si="506"/>
        <v>0</v>
      </c>
    </row>
    <row r="1988" spans="1:23" ht="13.5" hidden="1" thickBot="1" x14ac:dyDescent="0.25">
      <c r="A1988" s="63">
        <v>611200</v>
      </c>
      <c r="B1988" s="895" t="s">
        <v>1846</v>
      </c>
      <c r="C1988" s="896" t="s">
        <v>184</v>
      </c>
      <c r="D1988" s="906" t="s">
        <v>2021</v>
      </c>
      <c r="E1988" s="907"/>
      <c r="F1988" s="908"/>
      <c r="G1988" s="912">
        <f>SUM(G1989:G1991)</f>
        <v>72.586438000000001</v>
      </c>
      <c r="H1988" s="901">
        <v>1026.27</v>
      </c>
      <c r="I1988" s="901">
        <f>IF(ISBLANK(H1988),"",SUM(G1988:H1988))</f>
        <v>1098.856438</v>
      </c>
      <c r="J1988" s="902">
        <f t="shared" si="517"/>
        <v>1319.4</v>
      </c>
      <c r="K1988" s="903" t="s">
        <v>13</v>
      </c>
      <c r="L1988" s="1039">
        <f>ROUND(SUM('RES. CENTRAL PARK:RUA_FINAL'!L1988),2)</f>
        <v>0</v>
      </c>
      <c r="M1988" s="1039">
        <f t="shared" si="501"/>
        <v>0</v>
      </c>
      <c r="N1988" s="893">
        <f t="shared" si="502"/>
        <v>0</v>
      </c>
      <c r="O1988" s="905"/>
      <c r="Q1988" s="317" t="str">
        <f t="shared" si="503"/>
        <v/>
      </c>
      <c r="R1988" s="317" t="str">
        <f t="shared" si="504"/>
        <v/>
      </c>
      <c r="S1988" s="317" t="str">
        <f t="shared" si="505"/>
        <v/>
      </c>
      <c r="V1988" s="314">
        <f>SUM('RES. CENTRAL PARK:RUA_FINAL'!N1988)</f>
        <v>0</v>
      </c>
      <c r="W1988" s="315">
        <f t="shared" si="506"/>
        <v>0</v>
      </c>
    </row>
    <row r="1989" spans="1:23" ht="13.5" hidden="1" thickBot="1" x14ac:dyDescent="0.25">
      <c r="A1989" s="63" t="s">
        <v>147</v>
      </c>
      <c r="B1989" s="895" t="s">
        <v>147</v>
      </c>
      <c r="C1989" s="896"/>
      <c r="D1989" s="906" t="s">
        <v>190</v>
      </c>
      <c r="E1989" s="907">
        <f>DMT!$D$41</f>
        <v>308</v>
      </c>
      <c r="F1989" s="908">
        <v>6.4999999999999997E-3</v>
      </c>
      <c r="G1989" s="909">
        <f>IF(E1989&lt;=30,(0.78*E1989+7.82)*F1989,((0.78*30+7.82)+0.78*(E1989-30))*F1989)</f>
        <v>1.61239</v>
      </c>
      <c r="H1989" s="901"/>
      <c r="I1989" s="901"/>
      <c r="J1989" s="902">
        <f t="shared" si="517"/>
        <v>0</v>
      </c>
      <c r="K1989" s="903"/>
      <c r="L1989" s="1039">
        <f>ROUND(SUM('RES. CENTRAL PARK:RUA_FINAL'!L1989),2)</f>
        <v>0</v>
      </c>
      <c r="M1989" s="1039">
        <f t="shared" si="501"/>
        <v>0</v>
      </c>
      <c r="N1989" s="893">
        <f t="shared" si="502"/>
        <v>0</v>
      </c>
      <c r="O1989" s="905"/>
      <c r="P1989" s="36" t="str">
        <f>IF(N1988&gt;0,"xx",IF(N1988&gt;0,"xy",""))</f>
        <v/>
      </c>
      <c r="Q1989" s="317" t="str">
        <f t="shared" si="503"/>
        <v/>
      </c>
      <c r="R1989" s="317" t="str">
        <f t="shared" si="504"/>
        <v/>
      </c>
      <c r="S1989" s="317" t="str">
        <f t="shared" si="505"/>
        <v/>
      </c>
      <c r="V1989" s="314">
        <f>SUM('RES. CENTRAL PARK:RUA_FINAL'!N1989)</f>
        <v>0</v>
      </c>
      <c r="W1989" s="315">
        <f t="shared" si="506"/>
        <v>0</v>
      </c>
    </row>
    <row r="1990" spans="1:23" ht="13.5" hidden="1" thickBot="1" x14ac:dyDescent="0.25">
      <c r="A1990" s="63" t="s">
        <v>147</v>
      </c>
      <c r="B1990" s="895" t="s">
        <v>147</v>
      </c>
      <c r="C1990" s="896"/>
      <c r="D1990" s="906" t="s">
        <v>229</v>
      </c>
      <c r="E1990" s="907">
        <f>DMT!$F$39</f>
        <v>150</v>
      </c>
      <c r="F1990" s="908">
        <v>3.3599999999999998E-2</v>
      </c>
      <c r="G1990" s="949">
        <f t="shared" ref="G1990:G1991" si="520">IF(E1990&lt;=30,(1.07*E1990+2.68)*F1990,((1.07*30+2.68)+1.07*(E1990-30))*F1990)</f>
        <v>5.4828479999999997</v>
      </c>
      <c r="H1990" s="901"/>
      <c r="I1990" s="901"/>
      <c r="J1990" s="902">
        <f t="shared" si="517"/>
        <v>0</v>
      </c>
      <c r="K1990" s="903"/>
      <c r="L1990" s="1039">
        <f>ROUND(SUM('RES. CENTRAL PARK:RUA_FINAL'!L1990),2)</f>
        <v>0</v>
      </c>
      <c r="M1990" s="1039">
        <f t="shared" si="501"/>
        <v>0</v>
      </c>
      <c r="N1990" s="893">
        <f t="shared" si="502"/>
        <v>0</v>
      </c>
      <c r="O1990" s="905"/>
      <c r="P1990" s="36" t="str">
        <f>IF(N1988&gt;0,"xx",IF(N1988&gt;0,"xy",""))</f>
        <v/>
      </c>
      <c r="Q1990" s="317" t="str">
        <f t="shared" si="503"/>
        <v/>
      </c>
      <c r="R1990" s="317" t="str">
        <f t="shared" si="504"/>
        <v/>
      </c>
      <c r="S1990" s="317" t="str">
        <f t="shared" si="505"/>
        <v/>
      </c>
      <c r="V1990" s="314">
        <f>SUM('RES. CENTRAL PARK:RUA_FINAL'!N1990)</f>
        <v>0</v>
      </c>
      <c r="W1990" s="315">
        <f t="shared" si="506"/>
        <v>0</v>
      </c>
    </row>
    <row r="1991" spans="1:23" ht="13.5" hidden="1" thickBot="1" x14ac:dyDescent="0.25">
      <c r="A1991" s="63" t="s">
        <v>147</v>
      </c>
      <c r="B1991" s="895" t="s">
        <v>147</v>
      </c>
      <c r="C1991" s="896"/>
      <c r="D1991" s="906" t="s">
        <v>336</v>
      </c>
      <c r="E1991" s="907">
        <f>DMT!$F$38</f>
        <v>40</v>
      </c>
      <c r="F1991" s="908">
        <v>1.44</v>
      </c>
      <c r="G1991" s="949">
        <f t="shared" si="520"/>
        <v>65.491200000000006</v>
      </c>
      <c r="H1991" s="901"/>
      <c r="I1991" s="901"/>
      <c r="J1991" s="902">
        <f t="shared" si="517"/>
        <v>0</v>
      </c>
      <c r="K1991" s="903"/>
      <c r="L1991" s="1039">
        <f>ROUND(SUM('RES. CENTRAL PARK:RUA_FINAL'!L1991),2)</f>
        <v>0</v>
      </c>
      <c r="M1991" s="1039">
        <f t="shared" si="501"/>
        <v>0</v>
      </c>
      <c r="N1991" s="893">
        <f t="shared" si="502"/>
        <v>0</v>
      </c>
      <c r="O1991" s="905"/>
      <c r="P1991" s="36" t="str">
        <f>IF(N1988&gt;0,"xx",IF(N1988&gt;0,"xy",""))</f>
        <v/>
      </c>
      <c r="Q1991" s="317" t="str">
        <f t="shared" si="503"/>
        <v/>
      </c>
      <c r="R1991" s="317" t="str">
        <f t="shared" si="504"/>
        <v/>
      </c>
      <c r="S1991" s="317" t="str">
        <f t="shared" si="505"/>
        <v/>
      </c>
      <c r="V1991" s="314">
        <f>SUM('RES. CENTRAL PARK:RUA_FINAL'!N1991)</f>
        <v>0</v>
      </c>
      <c r="W1991" s="315">
        <f t="shared" si="506"/>
        <v>0</v>
      </c>
    </row>
    <row r="1992" spans="1:23" ht="13.5" hidden="1" thickBot="1" x14ac:dyDescent="0.25">
      <c r="A1992" s="63">
        <v>611400</v>
      </c>
      <c r="B1992" s="895" t="s">
        <v>1848</v>
      </c>
      <c r="C1992" s="896" t="s">
        <v>184</v>
      </c>
      <c r="D1992" s="906" t="s">
        <v>2022</v>
      </c>
      <c r="E1992" s="907"/>
      <c r="F1992" s="908"/>
      <c r="G1992" s="912">
        <f>SUM(G1993:G1995)</f>
        <v>83.904846000000006</v>
      </c>
      <c r="H1992" s="901">
        <v>1267.57</v>
      </c>
      <c r="I1992" s="901">
        <f>IF(ISBLANK(H1992),"",SUM(G1992:H1992))</f>
        <v>1351.4748459999998</v>
      </c>
      <c r="J1992" s="902">
        <f t="shared" si="517"/>
        <v>1622.72</v>
      </c>
      <c r="K1992" s="903" t="s">
        <v>13</v>
      </c>
      <c r="L1992" s="1039">
        <f>ROUND(SUM('RES. CENTRAL PARK:RUA_FINAL'!L1992),2)</f>
        <v>0</v>
      </c>
      <c r="M1992" s="1039">
        <f t="shared" si="501"/>
        <v>0</v>
      </c>
      <c r="N1992" s="893">
        <f t="shared" si="502"/>
        <v>0</v>
      </c>
      <c r="O1992" s="905"/>
      <c r="Q1992" s="317" t="str">
        <f t="shared" si="503"/>
        <v/>
      </c>
      <c r="R1992" s="317" t="str">
        <f t="shared" si="504"/>
        <v/>
      </c>
      <c r="S1992" s="317" t="str">
        <f t="shared" si="505"/>
        <v/>
      </c>
      <c r="V1992" s="314">
        <f>SUM('RES. CENTRAL PARK:RUA_FINAL'!N1992)</f>
        <v>0</v>
      </c>
      <c r="W1992" s="315">
        <f t="shared" si="506"/>
        <v>0</v>
      </c>
    </row>
    <row r="1993" spans="1:23" ht="13.5" hidden="1" thickBot="1" x14ac:dyDescent="0.25">
      <c r="A1993" s="63" t="s">
        <v>147</v>
      </c>
      <c r="B1993" s="895" t="s">
        <v>147</v>
      </c>
      <c r="C1993" s="896"/>
      <c r="D1993" s="906" t="s">
        <v>190</v>
      </c>
      <c r="E1993" s="907">
        <f>DMT!$D$41</f>
        <v>308</v>
      </c>
      <c r="F1993" s="908">
        <v>8.0999999999999996E-3</v>
      </c>
      <c r="G1993" s="909">
        <f>IF(E1993&lt;=30,(0.78*E1993+7.82)*F1993,((0.78*30+7.82)+0.78*(E1993-30))*F1993)</f>
        <v>2.0092859999999999</v>
      </c>
      <c r="H1993" s="901"/>
      <c r="I1993" s="901"/>
      <c r="J1993" s="902">
        <f t="shared" si="517"/>
        <v>0</v>
      </c>
      <c r="K1993" s="903"/>
      <c r="L1993" s="1039">
        <f>ROUND(SUM('RES. CENTRAL PARK:RUA_FINAL'!L1993),2)</f>
        <v>0</v>
      </c>
      <c r="M1993" s="1039">
        <f t="shared" si="501"/>
        <v>0</v>
      </c>
      <c r="N1993" s="893">
        <f t="shared" si="502"/>
        <v>0</v>
      </c>
      <c r="O1993" s="905"/>
      <c r="P1993" s="36" t="str">
        <f>IF(N1992&gt;0,"xx",IF(N1992&gt;0,"xy",""))</f>
        <v/>
      </c>
      <c r="Q1993" s="317" t="str">
        <f t="shared" si="503"/>
        <v/>
      </c>
      <c r="R1993" s="317" t="str">
        <f t="shared" si="504"/>
        <v/>
      </c>
      <c r="S1993" s="317" t="str">
        <f t="shared" si="505"/>
        <v/>
      </c>
      <c r="V1993" s="314">
        <f>SUM('RES. CENTRAL PARK:RUA_FINAL'!N1993)</f>
        <v>0</v>
      </c>
      <c r="W1993" s="315">
        <f t="shared" si="506"/>
        <v>0</v>
      </c>
    </row>
    <row r="1994" spans="1:23" ht="13.5" hidden="1" thickBot="1" x14ac:dyDescent="0.25">
      <c r="A1994" s="63" t="s">
        <v>147</v>
      </c>
      <c r="B1994" s="895" t="s">
        <v>147</v>
      </c>
      <c r="C1994" s="896"/>
      <c r="D1994" s="906" t="s">
        <v>229</v>
      </c>
      <c r="E1994" s="907">
        <f>DMT!$F$39</f>
        <v>150</v>
      </c>
      <c r="F1994" s="908">
        <v>4.2000000000000003E-2</v>
      </c>
      <c r="G1994" s="949">
        <f t="shared" ref="G1994:G1995" si="521">IF(E1994&lt;=30,(1.07*E1994+2.68)*F1994,((1.07*30+2.68)+1.07*(E1994-30))*F1994)</f>
        <v>6.8535600000000008</v>
      </c>
      <c r="H1994" s="901"/>
      <c r="I1994" s="901"/>
      <c r="J1994" s="902">
        <f t="shared" si="517"/>
        <v>0</v>
      </c>
      <c r="K1994" s="903"/>
      <c r="L1994" s="1039">
        <f>ROUND(SUM('RES. CENTRAL PARK:RUA_FINAL'!L1994),2)</f>
        <v>0</v>
      </c>
      <c r="M1994" s="1039">
        <f t="shared" si="501"/>
        <v>0</v>
      </c>
      <c r="N1994" s="893">
        <f t="shared" si="502"/>
        <v>0</v>
      </c>
      <c r="O1994" s="905"/>
      <c r="P1994" s="36" t="str">
        <f>IF(N1992&gt;0,"xx",IF(N1992&gt;0,"xy",""))</f>
        <v/>
      </c>
      <c r="Q1994" s="317" t="str">
        <f t="shared" si="503"/>
        <v/>
      </c>
      <c r="R1994" s="317" t="str">
        <f t="shared" si="504"/>
        <v/>
      </c>
      <c r="S1994" s="317" t="str">
        <f t="shared" si="505"/>
        <v/>
      </c>
      <c r="V1994" s="314">
        <f>SUM('RES. CENTRAL PARK:RUA_FINAL'!N1994)</f>
        <v>0</v>
      </c>
      <c r="W1994" s="315">
        <f t="shared" si="506"/>
        <v>0</v>
      </c>
    </row>
    <row r="1995" spans="1:23" ht="13.5" hidden="1" thickBot="1" x14ac:dyDescent="0.25">
      <c r="A1995" s="63" t="s">
        <v>147</v>
      </c>
      <c r="B1995" s="895" t="s">
        <v>147</v>
      </c>
      <c r="C1995" s="896"/>
      <c r="D1995" s="906" t="s">
        <v>336</v>
      </c>
      <c r="E1995" s="907">
        <f>DMT!$F$38</f>
        <v>40</v>
      </c>
      <c r="F1995" s="908">
        <v>1.65</v>
      </c>
      <c r="G1995" s="949">
        <f t="shared" si="521"/>
        <v>75.042000000000002</v>
      </c>
      <c r="H1995" s="901"/>
      <c r="I1995" s="901"/>
      <c r="J1995" s="902">
        <f t="shared" si="517"/>
        <v>0</v>
      </c>
      <c r="K1995" s="903"/>
      <c r="L1995" s="1039">
        <f>ROUND(SUM('RES. CENTRAL PARK:RUA_FINAL'!L1995),2)</f>
        <v>0</v>
      </c>
      <c r="M1995" s="1039">
        <f t="shared" si="501"/>
        <v>0</v>
      </c>
      <c r="N1995" s="893">
        <f t="shared" si="502"/>
        <v>0</v>
      </c>
      <c r="O1995" s="905"/>
      <c r="P1995" s="36" t="str">
        <f>IF(N1992&gt;0,"xx",IF(N1992&gt;0,"xy",""))</f>
        <v/>
      </c>
      <c r="Q1995" s="317" t="str">
        <f t="shared" si="503"/>
        <v/>
      </c>
      <c r="R1995" s="317" t="str">
        <f t="shared" si="504"/>
        <v/>
      </c>
      <c r="S1995" s="317" t="str">
        <f t="shared" si="505"/>
        <v/>
      </c>
      <c r="V1995" s="314">
        <f>SUM('RES. CENTRAL PARK:RUA_FINAL'!N1995)</f>
        <v>0</v>
      </c>
      <c r="W1995" s="315">
        <f t="shared" si="506"/>
        <v>0</v>
      </c>
    </row>
    <row r="1996" spans="1:23" ht="13.5" hidden="1" thickBot="1" x14ac:dyDescent="0.25">
      <c r="A1996" s="63">
        <v>611400</v>
      </c>
      <c r="B1996" s="895" t="s">
        <v>1849</v>
      </c>
      <c r="C1996" s="896" t="s">
        <v>184</v>
      </c>
      <c r="D1996" s="906" t="s">
        <v>2023</v>
      </c>
      <c r="E1996" s="907"/>
      <c r="F1996" s="908"/>
      <c r="G1996" s="912">
        <f>SUM(G1997:G1999)</f>
        <v>101.90895</v>
      </c>
      <c r="H1996" s="901">
        <v>1267.57</v>
      </c>
      <c r="I1996" s="901">
        <f>IF(ISBLANK(H1996),"",SUM(G1996:H1996))</f>
        <v>1369.4789499999999</v>
      </c>
      <c r="J1996" s="902">
        <f t="shared" si="517"/>
        <v>1644.33</v>
      </c>
      <c r="K1996" s="903" t="s">
        <v>13</v>
      </c>
      <c r="L1996" s="1039">
        <f>ROUND(SUM('RES. CENTRAL PARK:RUA_FINAL'!L1996),2)</f>
        <v>0</v>
      </c>
      <c r="M1996" s="1039">
        <f t="shared" si="501"/>
        <v>0</v>
      </c>
      <c r="N1996" s="893">
        <f t="shared" si="502"/>
        <v>0</v>
      </c>
      <c r="O1996" s="905"/>
      <c r="Q1996" s="317" t="str">
        <f t="shared" si="503"/>
        <v/>
      </c>
      <c r="R1996" s="317" t="str">
        <f t="shared" si="504"/>
        <v/>
      </c>
      <c r="S1996" s="317" t="str">
        <f t="shared" si="505"/>
        <v/>
      </c>
      <c r="V1996" s="314">
        <f>SUM('RES. CENTRAL PARK:RUA_FINAL'!N1996)</f>
        <v>0</v>
      </c>
      <c r="W1996" s="315">
        <f t="shared" si="506"/>
        <v>0</v>
      </c>
    </row>
    <row r="1997" spans="1:23" ht="13.5" hidden="1" thickBot="1" x14ac:dyDescent="0.25">
      <c r="A1997" s="63" t="s">
        <v>147</v>
      </c>
      <c r="B1997" s="895" t="s">
        <v>147</v>
      </c>
      <c r="C1997" s="896"/>
      <c r="D1997" s="906" t="s">
        <v>190</v>
      </c>
      <c r="E1997" s="907">
        <f>DMT!$D$41</f>
        <v>308</v>
      </c>
      <c r="F1997" s="908">
        <v>9.1999999999999998E-3</v>
      </c>
      <c r="G1997" s="909">
        <f>IF(E1997&lt;=30,(0.78*E1997+7.82)*F1997,((0.78*30+7.82)+0.78*(E1997-30))*F1997)</f>
        <v>2.282152</v>
      </c>
      <c r="H1997" s="901"/>
      <c r="I1997" s="901"/>
      <c r="J1997" s="902">
        <f t="shared" si="517"/>
        <v>0</v>
      </c>
      <c r="K1997" s="903"/>
      <c r="L1997" s="1039">
        <f>ROUND(SUM('RES. CENTRAL PARK:RUA_FINAL'!L1997),2)</f>
        <v>0</v>
      </c>
      <c r="M1997" s="1039">
        <f t="shared" si="501"/>
        <v>0</v>
      </c>
      <c r="N1997" s="893">
        <f t="shared" si="502"/>
        <v>0</v>
      </c>
      <c r="O1997" s="905"/>
      <c r="P1997" s="36" t="str">
        <f>IF(N1996&gt;0,"xx",IF(N1996&gt;0,"xy",""))</f>
        <v/>
      </c>
      <c r="Q1997" s="317" t="str">
        <f t="shared" si="503"/>
        <v/>
      </c>
      <c r="R1997" s="317" t="str">
        <f t="shared" si="504"/>
        <v/>
      </c>
      <c r="S1997" s="317" t="str">
        <f t="shared" si="505"/>
        <v/>
      </c>
      <c r="V1997" s="314">
        <f>SUM('RES. CENTRAL PARK:RUA_FINAL'!N1997)</f>
        <v>0</v>
      </c>
      <c r="W1997" s="315">
        <f t="shared" si="506"/>
        <v>0</v>
      </c>
    </row>
    <row r="1998" spans="1:23" ht="13.5" hidden="1" thickBot="1" x14ac:dyDescent="0.25">
      <c r="A1998" s="63" t="s">
        <v>147</v>
      </c>
      <c r="B1998" s="895" t="s">
        <v>147</v>
      </c>
      <c r="C1998" s="896"/>
      <c r="D1998" s="906" t="s">
        <v>229</v>
      </c>
      <c r="E1998" s="907">
        <f>DMT!$F$39</f>
        <v>150</v>
      </c>
      <c r="F1998" s="908">
        <v>4.7899999999999998E-2</v>
      </c>
      <c r="G1998" s="949">
        <f t="shared" ref="G1998:G1999" si="522">IF(E1998&lt;=30,(1.07*E1998+2.68)*F1998,((1.07*30+2.68)+1.07*(E1998-30))*F1998)</f>
        <v>7.8163220000000004</v>
      </c>
      <c r="H1998" s="901"/>
      <c r="I1998" s="901"/>
      <c r="J1998" s="902">
        <f t="shared" si="517"/>
        <v>0</v>
      </c>
      <c r="K1998" s="903"/>
      <c r="L1998" s="1039">
        <f>ROUND(SUM('RES. CENTRAL PARK:RUA_FINAL'!L1998),2)</f>
        <v>0</v>
      </c>
      <c r="M1998" s="1039">
        <f t="shared" si="501"/>
        <v>0</v>
      </c>
      <c r="N1998" s="893">
        <f t="shared" si="502"/>
        <v>0</v>
      </c>
      <c r="O1998" s="905"/>
      <c r="P1998" s="36" t="str">
        <f>IF(N1996&gt;0,"xx",IF(N1996&gt;0,"xy",""))</f>
        <v/>
      </c>
      <c r="Q1998" s="317" t="str">
        <f t="shared" si="503"/>
        <v/>
      </c>
      <c r="R1998" s="317" t="str">
        <f t="shared" si="504"/>
        <v/>
      </c>
      <c r="S1998" s="317" t="str">
        <f t="shared" si="505"/>
        <v/>
      </c>
      <c r="V1998" s="314">
        <f>SUM('RES. CENTRAL PARK:RUA_FINAL'!N1998)</f>
        <v>0</v>
      </c>
      <c r="W1998" s="315">
        <f t="shared" si="506"/>
        <v>0</v>
      </c>
    </row>
    <row r="1999" spans="1:23" ht="13.5" hidden="1" thickBot="1" x14ac:dyDescent="0.25">
      <c r="A1999" s="63" t="s">
        <v>147</v>
      </c>
      <c r="B1999" s="895" t="s">
        <v>147</v>
      </c>
      <c r="C1999" s="896"/>
      <c r="D1999" s="906" t="s">
        <v>336</v>
      </c>
      <c r="E1999" s="907">
        <f>DMT!$F$38</f>
        <v>40</v>
      </c>
      <c r="F1999" s="908">
        <v>2.0186999999999999</v>
      </c>
      <c r="G1999" s="949">
        <f t="shared" si="522"/>
        <v>91.810476000000008</v>
      </c>
      <c r="H1999" s="901"/>
      <c r="I1999" s="901"/>
      <c r="J1999" s="902">
        <f t="shared" si="517"/>
        <v>0</v>
      </c>
      <c r="K1999" s="903"/>
      <c r="L1999" s="1039">
        <f>ROUND(SUM('RES. CENTRAL PARK:RUA_FINAL'!L1999),2)</f>
        <v>0</v>
      </c>
      <c r="M1999" s="1039">
        <f t="shared" si="501"/>
        <v>0</v>
      </c>
      <c r="N1999" s="893">
        <f t="shared" si="502"/>
        <v>0</v>
      </c>
      <c r="O1999" s="905"/>
      <c r="P1999" s="36" t="str">
        <f>IF(N1996&gt;0,"xx",IF(N1996&gt;0,"xy",""))</f>
        <v/>
      </c>
      <c r="Q1999" s="317" t="str">
        <f t="shared" si="503"/>
        <v/>
      </c>
      <c r="R1999" s="317" t="str">
        <f t="shared" si="504"/>
        <v/>
      </c>
      <c r="S1999" s="317" t="str">
        <f t="shared" si="505"/>
        <v/>
      </c>
      <c r="V1999" s="314">
        <f>SUM('RES. CENTRAL PARK:RUA_FINAL'!N1999)</f>
        <v>0</v>
      </c>
      <c r="W1999" s="315">
        <f t="shared" si="506"/>
        <v>0</v>
      </c>
    </row>
    <row r="2000" spans="1:23" ht="13.5" hidden="1" thickBot="1" x14ac:dyDescent="0.25">
      <c r="A2000" s="63">
        <v>611600</v>
      </c>
      <c r="B2000" s="895" t="s">
        <v>1852</v>
      </c>
      <c r="C2000" s="896" t="s">
        <v>184</v>
      </c>
      <c r="D2000" s="906" t="s">
        <v>2024</v>
      </c>
      <c r="E2000" s="907"/>
      <c r="F2000" s="908"/>
      <c r="G2000" s="912">
        <f>SUM(G2001:G2003)</f>
        <v>108.41245400000001</v>
      </c>
      <c r="H2000" s="901">
        <v>3058.31</v>
      </c>
      <c r="I2000" s="901">
        <f>IF(ISBLANK(H2000),"",SUM(G2000:H2000))</f>
        <v>3166.7224539999997</v>
      </c>
      <c r="J2000" s="902">
        <f t="shared" si="517"/>
        <v>3802.28</v>
      </c>
      <c r="K2000" s="903" t="s">
        <v>13</v>
      </c>
      <c r="L2000" s="1039">
        <f>ROUND(SUM('RES. CENTRAL PARK:RUA_FINAL'!L2000),2)</f>
        <v>0</v>
      </c>
      <c r="M2000" s="1039">
        <f t="shared" si="501"/>
        <v>0</v>
      </c>
      <c r="N2000" s="893">
        <f t="shared" si="502"/>
        <v>0</v>
      </c>
      <c r="O2000" s="905"/>
      <c r="Q2000" s="317" t="str">
        <f t="shared" si="503"/>
        <v/>
      </c>
      <c r="R2000" s="317" t="str">
        <f t="shared" si="504"/>
        <v/>
      </c>
      <c r="S2000" s="317" t="str">
        <f t="shared" si="505"/>
        <v/>
      </c>
      <c r="V2000" s="314">
        <f>SUM('RES. CENTRAL PARK:RUA_FINAL'!N2000)</f>
        <v>0</v>
      </c>
      <c r="W2000" s="315">
        <f t="shared" si="506"/>
        <v>0</v>
      </c>
    </row>
    <row r="2001" spans="1:23" ht="13.5" hidden="1" thickBot="1" x14ac:dyDescent="0.25">
      <c r="A2001" s="63" t="s">
        <v>147</v>
      </c>
      <c r="B2001" s="895" t="s">
        <v>147</v>
      </c>
      <c r="C2001" s="896"/>
      <c r="D2001" s="906" t="s">
        <v>190</v>
      </c>
      <c r="E2001" s="907">
        <f>DMT!$D$41</f>
        <v>308</v>
      </c>
      <c r="F2001" s="908">
        <v>9.7000000000000003E-3</v>
      </c>
      <c r="G2001" s="909">
        <f>IF(E2001&lt;=30,(0.78*E2001+7.82)*F2001,((0.78*30+7.82)+0.78*(E2001-30))*F2001)</f>
        <v>2.4061820000000003</v>
      </c>
      <c r="H2001" s="901"/>
      <c r="I2001" s="901"/>
      <c r="J2001" s="902">
        <f t="shared" si="517"/>
        <v>0</v>
      </c>
      <c r="K2001" s="903"/>
      <c r="L2001" s="1039">
        <f>ROUND(SUM('RES. CENTRAL PARK:RUA_FINAL'!L2001),2)</f>
        <v>0</v>
      </c>
      <c r="M2001" s="1039">
        <f t="shared" si="501"/>
        <v>0</v>
      </c>
      <c r="N2001" s="893">
        <f t="shared" si="502"/>
        <v>0</v>
      </c>
      <c r="O2001" s="905"/>
      <c r="P2001" s="36" t="str">
        <f>IF(N2000&gt;0,"xx",IF(N2000&gt;0,"xy",""))</f>
        <v/>
      </c>
      <c r="Q2001" s="317" t="str">
        <f t="shared" si="503"/>
        <v/>
      </c>
      <c r="R2001" s="317" t="str">
        <f t="shared" si="504"/>
        <v/>
      </c>
      <c r="S2001" s="317" t="str">
        <f t="shared" si="505"/>
        <v/>
      </c>
      <c r="V2001" s="314">
        <f>SUM('RES. CENTRAL PARK:RUA_FINAL'!N2001)</f>
        <v>0</v>
      </c>
      <c r="W2001" s="315">
        <f t="shared" si="506"/>
        <v>0</v>
      </c>
    </row>
    <row r="2002" spans="1:23" ht="13.5" hidden="1" thickBot="1" x14ac:dyDescent="0.25">
      <c r="A2002" s="63" t="s">
        <v>147</v>
      </c>
      <c r="B2002" s="895" t="s">
        <v>147</v>
      </c>
      <c r="C2002" s="896"/>
      <c r="D2002" s="906" t="s">
        <v>229</v>
      </c>
      <c r="E2002" s="907">
        <f>DMT!$F$39</f>
        <v>150</v>
      </c>
      <c r="F2002" s="908">
        <v>5.04E-2</v>
      </c>
      <c r="G2002" s="949">
        <f t="shared" ref="G2002:G2003" si="523">IF(E2002&lt;=30,(1.07*E2002+2.68)*F2002,((1.07*30+2.68)+1.07*(E2002-30))*F2002)</f>
        <v>8.2242720000000009</v>
      </c>
      <c r="H2002" s="901"/>
      <c r="I2002" s="901"/>
      <c r="J2002" s="902">
        <f t="shared" si="517"/>
        <v>0</v>
      </c>
      <c r="K2002" s="903"/>
      <c r="L2002" s="1039">
        <f>ROUND(SUM('RES. CENTRAL PARK:RUA_FINAL'!L2002),2)</f>
        <v>0</v>
      </c>
      <c r="M2002" s="1039">
        <f t="shared" ref="M2002:M2065" si="524">IF(L2002=0,0,ROUND(J2002,2))</f>
        <v>0</v>
      </c>
      <c r="N2002" s="893">
        <f t="shared" ref="N2002:N2065" si="525">IF(ISBLANK(L2002),0,ROUND(L2002*M2002,2))</f>
        <v>0</v>
      </c>
      <c r="O2002" s="905"/>
      <c r="P2002" s="36" t="str">
        <f>IF(N2000&gt;0,"xx",IF(N2000&gt;0,"xy",""))</f>
        <v/>
      </c>
      <c r="Q2002" s="317" t="str">
        <f t="shared" ref="Q2002:Q2065" si="526">IF(P2002="X","x",IF(P2002="xx","x",IF(P2002="xy","x",IF(P2002="y","x",IF(OR(N2002&gt;0,N2002&gt;0),"x","")))))</f>
        <v/>
      </c>
      <c r="R2002" s="317" t="str">
        <f t="shared" ref="R2002:R2065" si="527">IF(P2002="X","x",IF(P2002="y","x",IF(P2002="xx","x",IF(N2002&gt;0,"x",""))))</f>
        <v/>
      </c>
      <c r="S2002" s="317" t="str">
        <f t="shared" ref="S2002:S2065" si="528">IF(P2002="X","x",IF(N2002&gt;0,"x",""))</f>
        <v/>
      </c>
      <c r="V2002" s="314">
        <f>SUM('RES. CENTRAL PARK:RUA_FINAL'!N2002)</f>
        <v>0</v>
      </c>
      <c r="W2002" s="315">
        <f t="shared" si="506"/>
        <v>0</v>
      </c>
    </row>
    <row r="2003" spans="1:23" ht="13.5" hidden="1" thickBot="1" x14ac:dyDescent="0.25">
      <c r="A2003" s="63" t="s">
        <v>147</v>
      </c>
      <c r="B2003" s="895" t="s">
        <v>147</v>
      </c>
      <c r="C2003" s="896"/>
      <c r="D2003" s="906" t="s">
        <v>336</v>
      </c>
      <c r="E2003" s="907">
        <f>DMT!$F$38</f>
        <v>40</v>
      </c>
      <c r="F2003" s="908">
        <v>2.15</v>
      </c>
      <c r="G2003" s="949">
        <f t="shared" si="523"/>
        <v>97.782000000000011</v>
      </c>
      <c r="H2003" s="901"/>
      <c r="I2003" s="901"/>
      <c r="J2003" s="902">
        <f t="shared" si="517"/>
        <v>0</v>
      </c>
      <c r="K2003" s="903"/>
      <c r="L2003" s="1039">
        <f>ROUND(SUM('RES. CENTRAL PARK:RUA_FINAL'!L2003),2)</f>
        <v>0</v>
      </c>
      <c r="M2003" s="1039">
        <f t="shared" si="524"/>
        <v>0</v>
      </c>
      <c r="N2003" s="893">
        <f t="shared" si="525"/>
        <v>0</v>
      </c>
      <c r="O2003" s="905"/>
      <c r="P2003" s="36" t="str">
        <f>IF(N2000&gt;0,"xx",IF(N2000&gt;0,"xy",""))</f>
        <v/>
      </c>
      <c r="Q2003" s="317" t="str">
        <f t="shared" si="526"/>
        <v/>
      </c>
      <c r="R2003" s="317" t="str">
        <f t="shared" si="527"/>
        <v/>
      </c>
      <c r="S2003" s="317" t="str">
        <f t="shared" si="528"/>
        <v/>
      </c>
      <c r="V2003" s="314">
        <f>SUM('RES. CENTRAL PARK:RUA_FINAL'!N2003)</f>
        <v>0</v>
      </c>
      <c r="W2003" s="315">
        <f t="shared" si="506"/>
        <v>0</v>
      </c>
    </row>
    <row r="2004" spans="1:23" ht="13.5" hidden="1" thickBot="1" x14ac:dyDescent="0.25">
      <c r="A2004" s="63">
        <v>610400</v>
      </c>
      <c r="B2004" s="895" t="s">
        <v>1826</v>
      </c>
      <c r="C2004" s="896" t="s">
        <v>184</v>
      </c>
      <c r="D2004" s="906" t="s">
        <v>2025</v>
      </c>
      <c r="E2004" s="907"/>
      <c r="F2004" s="908"/>
      <c r="G2004" s="912">
        <f>SUM(G2005:G2007)</f>
        <v>9.2434740000000009</v>
      </c>
      <c r="H2004" s="901">
        <v>137.47</v>
      </c>
      <c r="I2004" s="901">
        <f>IF(ISBLANK(H2004),"",SUM(G2004:H2004))</f>
        <v>146.71347399999999</v>
      </c>
      <c r="J2004" s="902">
        <f t="shared" si="517"/>
        <v>176.16</v>
      </c>
      <c r="K2004" s="903" t="s">
        <v>13</v>
      </c>
      <c r="L2004" s="1039">
        <f>ROUND(SUM('RES. CENTRAL PARK:RUA_FINAL'!L2004),2)</f>
        <v>0</v>
      </c>
      <c r="M2004" s="1039">
        <f t="shared" si="524"/>
        <v>0</v>
      </c>
      <c r="N2004" s="893">
        <f t="shared" si="525"/>
        <v>0</v>
      </c>
      <c r="O2004" s="905"/>
      <c r="Q2004" s="317" t="str">
        <f t="shared" si="526"/>
        <v/>
      </c>
      <c r="R2004" s="317" t="str">
        <f t="shared" si="527"/>
        <v/>
      </c>
      <c r="S2004" s="317" t="str">
        <f t="shared" si="528"/>
        <v/>
      </c>
      <c r="V2004" s="314">
        <f>SUM('RES. CENTRAL PARK:RUA_FINAL'!N2004)</f>
        <v>0</v>
      </c>
      <c r="W2004" s="315">
        <f t="shared" si="506"/>
        <v>0</v>
      </c>
    </row>
    <row r="2005" spans="1:23" ht="13.5" hidden="1" thickBot="1" x14ac:dyDescent="0.25">
      <c r="A2005" s="63" t="s">
        <v>147</v>
      </c>
      <c r="B2005" s="895" t="s">
        <v>147</v>
      </c>
      <c r="C2005" s="896"/>
      <c r="D2005" s="906" t="s">
        <v>190</v>
      </c>
      <c r="E2005" s="907">
        <f>DMT!$D$41</f>
        <v>308</v>
      </c>
      <c r="F2005" s="908">
        <v>1.9E-3</v>
      </c>
      <c r="G2005" s="909">
        <f>IF(E2005&lt;=30,(0.78*E2005+7.82)*F2005,((0.78*30+7.82)+0.78*(E2005-30))*F2005)</f>
        <v>0.47131400000000001</v>
      </c>
      <c r="H2005" s="901"/>
      <c r="I2005" s="901"/>
      <c r="J2005" s="902">
        <f t="shared" si="517"/>
        <v>0</v>
      </c>
      <c r="K2005" s="903"/>
      <c r="L2005" s="1039">
        <f>ROUND(SUM('RES. CENTRAL PARK:RUA_FINAL'!L2005),2)</f>
        <v>0</v>
      </c>
      <c r="M2005" s="1039">
        <f t="shared" si="524"/>
        <v>0</v>
      </c>
      <c r="N2005" s="893">
        <f t="shared" si="525"/>
        <v>0</v>
      </c>
      <c r="O2005" s="905"/>
      <c r="P2005" s="36" t="str">
        <f>IF(N2004&gt;0,"xx",IF(N2004&gt;0,"xy",""))</f>
        <v/>
      </c>
      <c r="Q2005" s="317" t="str">
        <f t="shared" si="526"/>
        <v/>
      </c>
      <c r="R2005" s="317" t="str">
        <f t="shared" si="527"/>
        <v/>
      </c>
      <c r="S2005" s="317" t="str">
        <f t="shared" si="528"/>
        <v/>
      </c>
      <c r="V2005" s="314">
        <f>SUM('RES. CENTRAL PARK:RUA_FINAL'!N2005)</f>
        <v>0</v>
      </c>
      <c r="W2005" s="315">
        <f t="shared" ref="W2005:W2068" si="529">N2005-V2005</f>
        <v>0</v>
      </c>
    </row>
    <row r="2006" spans="1:23" ht="13.5" hidden="1" thickBot="1" x14ac:dyDescent="0.25">
      <c r="A2006" s="63" t="s">
        <v>147</v>
      </c>
      <c r="B2006" s="895" t="s">
        <v>147</v>
      </c>
      <c r="C2006" s="896"/>
      <c r="D2006" s="906" t="s">
        <v>229</v>
      </c>
      <c r="E2006" s="907">
        <f>DMT!$F$39</f>
        <v>150</v>
      </c>
      <c r="F2006" s="908">
        <v>0.01</v>
      </c>
      <c r="G2006" s="949">
        <f t="shared" ref="G2006:G2007" si="530">IF(E2006&lt;=30,(1.07*E2006+2.68)*F2006,((1.07*30+2.68)+1.07*(E2006-30))*F2006)</f>
        <v>1.6318000000000001</v>
      </c>
      <c r="H2006" s="901"/>
      <c r="I2006" s="901"/>
      <c r="J2006" s="902">
        <f t="shared" si="517"/>
        <v>0</v>
      </c>
      <c r="K2006" s="903"/>
      <c r="L2006" s="1039">
        <f>ROUND(SUM('RES. CENTRAL PARK:RUA_FINAL'!L2006),2)</f>
        <v>0</v>
      </c>
      <c r="M2006" s="1039">
        <f t="shared" si="524"/>
        <v>0</v>
      </c>
      <c r="N2006" s="893">
        <f t="shared" si="525"/>
        <v>0</v>
      </c>
      <c r="O2006" s="905"/>
      <c r="P2006" s="36" t="str">
        <f>IF(N2004&gt;0,"xx",IF(N2004&gt;0,"xy",""))</f>
        <v/>
      </c>
      <c r="Q2006" s="317" t="str">
        <f t="shared" si="526"/>
        <v/>
      </c>
      <c r="R2006" s="317" t="str">
        <f t="shared" si="527"/>
        <v/>
      </c>
      <c r="S2006" s="317" t="str">
        <f t="shared" si="528"/>
        <v/>
      </c>
      <c r="V2006" s="314">
        <f>SUM('RES. CENTRAL PARK:RUA_FINAL'!N2006)</f>
        <v>0</v>
      </c>
      <c r="W2006" s="315">
        <f t="shared" si="529"/>
        <v>0</v>
      </c>
    </row>
    <row r="2007" spans="1:23" ht="13.5" hidden="1" thickBot="1" x14ac:dyDescent="0.25">
      <c r="A2007" s="63" t="s">
        <v>147</v>
      </c>
      <c r="B2007" s="895" t="s">
        <v>147</v>
      </c>
      <c r="C2007" s="896"/>
      <c r="D2007" s="906" t="s">
        <v>336</v>
      </c>
      <c r="E2007" s="907">
        <f>DMT!$F$38</f>
        <v>40</v>
      </c>
      <c r="F2007" s="908">
        <v>0.157</v>
      </c>
      <c r="G2007" s="949">
        <f t="shared" si="530"/>
        <v>7.1403600000000003</v>
      </c>
      <c r="H2007" s="901"/>
      <c r="I2007" s="901"/>
      <c r="J2007" s="902">
        <f t="shared" si="517"/>
        <v>0</v>
      </c>
      <c r="K2007" s="903"/>
      <c r="L2007" s="1039">
        <f>ROUND(SUM('RES. CENTRAL PARK:RUA_FINAL'!L2007),2)</f>
        <v>0</v>
      </c>
      <c r="M2007" s="1039">
        <f t="shared" si="524"/>
        <v>0</v>
      </c>
      <c r="N2007" s="893">
        <f t="shared" si="525"/>
        <v>0</v>
      </c>
      <c r="O2007" s="905"/>
      <c r="P2007" s="36" t="str">
        <f>IF(N2004&gt;0,"xx",IF(N2004&gt;0,"xy",""))</f>
        <v/>
      </c>
      <c r="Q2007" s="317" t="str">
        <f t="shared" si="526"/>
        <v/>
      </c>
      <c r="R2007" s="317" t="str">
        <f t="shared" si="527"/>
        <v/>
      </c>
      <c r="S2007" s="317" t="str">
        <f t="shared" si="528"/>
        <v/>
      </c>
      <c r="V2007" s="314">
        <f>SUM('RES. CENTRAL PARK:RUA_FINAL'!N2007)</f>
        <v>0</v>
      </c>
      <c r="W2007" s="315">
        <f t="shared" si="529"/>
        <v>0</v>
      </c>
    </row>
    <row r="2008" spans="1:23" ht="13.5" hidden="1" thickBot="1" x14ac:dyDescent="0.25">
      <c r="A2008" s="63">
        <v>610600</v>
      </c>
      <c r="B2008" s="895" t="s">
        <v>1831</v>
      </c>
      <c r="C2008" s="896" t="s">
        <v>184</v>
      </c>
      <c r="D2008" s="906" t="s">
        <v>2026</v>
      </c>
      <c r="E2008" s="907"/>
      <c r="F2008" s="908"/>
      <c r="G2008" s="912">
        <f>SUM(G2009:G2011)</f>
        <v>13.849744000000001</v>
      </c>
      <c r="H2008" s="901">
        <v>313.26</v>
      </c>
      <c r="I2008" s="901">
        <f>IF(ISBLANK(H2008),"",SUM(G2008:H2008))</f>
        <v>327.10974399999998</v>
      </c>
      <c r="J2008" s="902">
        <f t="shared" si="517"/>
        <v>392.76</v>
      </c>
      <c r="K2008" s="903" t="s">
        <v>13</v>
      </c>
      <c r="L2008" s="1039">
        <f>ROUND(SUM('RES. CENTRAL PARK:RUA_FINAL'!L2008),2)</f>
        <v>0</v>
      </c>
      <c r="M2008" s="1039">
        <f t="shared" si="524"/>
        <v>0</v>
      </c>
      <c r="N2008" s="893">
        <f t="shared" si="525"/>
        <v>0</v>
      </c>
      <c r="O2008" s="905"/>
      <c r="Q2008" s="317" t="str">
        <f t="shared" si="526"/>
        <v/>
      </c>
      <c r="R2008" s="317" t="str">
        <f t="shared" si="527"/>
        <v/>
      </c>
      <c r="S2008" s="317" t="str">
        <f t="shared" si="528"/>
        <v/>
      </c>
      <c r="V2008" s="314">
        <f>SUM('RES. CENTRAL PARK:RUA_FINAL'!N2008)</f>
        <v>0</v>
      </c>
      <c r="W2008" s="315">
        <f t="shared" si="529"/>
        <v>0</v>
      </c>
    </row>
    <row r="2009" spans="1:23" ht="13.5" hidden="1" thickBot="1" x14ac:dyDescent="0.25">
      <c r="A2009" s="63" t="s">
        <v>147</v>
      </c>
      <c r="B2009" s="895" t="s">
        <v>147</v>
      </c>
      <c r="C2009" s="896"/>
      <c r="D2009" s="906" t="s">
        <v>190</v>
      </c>
      <c r="E2009" s="907">
        <f>DMT!$D$41</f>
        <v>308</v>
      </c>
      <c r="F2009" s="908">
        <v>2.3E-3</v>
      </c>
      <c r="G2009" s="909">
        <f>IF(E2009&lt;=30,(0.78*E2009+7.82)*F2009,((0.78*30+7.82)+0.78*(E2009-30))*F2009)</f>
        <v>0.57053799999999999</v>
      </c>
      <c r="H2009" s="901"/>
      <c r="I2009" s="901"/>
      <c r="J2009" s="902">
        <f t="shared" si="517"/>
        <v>0</v>
      </c>
      <c r="K2009" s="903"/>
      <c r="L2009" s="1039">
        <f>ROUND(SUM('RES. CENTRAL PARK:RUA_FINAL'!L2009),2)</f>
        <v>0</v>
      </c>
      <c r="M2009" s="1039">
        <f t="shared" si="524"/>
        <v>0</v>
      </c>
      <c r="N2009" s="893">
        <f t="shared" si="525"/>
        <v>0</v>
      </c>
      <c r="O2009" s="905"/>
      <c r="P2009" s="36" t="str">
        <f>IF(N2008&gt;0,"xx",IF(N2008&gt;0,"xy",""))</f>
        <v/>
      </c>
      <c r="Q2009" s="317" t="str">
        <f t="shared" si="526"/>
        <v/>
      </c>
      <c r="R2009" s="317" t="str">
        <f t="shared" si="527"/>
        <v/>
      </c>
      <c r="S2009" s="317" t="str">
        <f t="shared" si="528"/>
        <v/>
      </c>
      <c r="V2009" s="314">
        <f>SUM('RES. CENTRAL PARK:RUA_FINAL'!N2009)</f>
        <v>0</v>
      </c>
      <c r="W2009" s="315">
        <f t="shared" si="529"/>
        <v>0</v>
      </c>
    </row>
    <row r="2010" spans="1:23" ht="13.5" hidden="1" thickBot="1" x14ac:dyDescent="0.25">
      <c r="A2010" s="63" t="s">
        <v>147</v>
      </c>
      <c r="B2010" s="895" t="s">
        <v>147</v>
      </c>
      <c r="C2010" s="896"/>
      <c r="D2010" s="906" t="s">
        <v>229</v>
      </c>
      <c r="E2010" s="907">
        <f>DMT!$F$39</f>
        <v>150</v>
      </c>
      <c r="F2010" s="908">
        <v>1.17E-2</v>
      </c>
      <c r="G2010" s="949">
        <f t="shared" ref="G2010:G2011" si="531">IF(E2010&lt;=30,(1.07*E2010+2.68)*F2010,((1.07*30+2.68)+1.07*(E2010-30))*F2010)</f>
        <v>1.9092060000000002</v>
      </c>
      <c r="H2010" s="901"/>
      <c r="I2010" s="901"/>
      <c r="J2010" s="902">
        <f t="shared" si="517"/>
        <v>0</v>
      </c>
      <c r="K2010" s="903"/>
      <c r="L2010" s="1039">
        <f>ROUND(SUM('RES. CENTRAL PARK:RUA_FINAL'!L2010),2)</f>
        <v>0</v>
      </c>
      <c r="M2010" s="1039">
        <f t="shared" si="524"/>
        <v>0</v>
      </c>
      <c r="N2010" s="893">
        <f t="shared" si="525"/>
        <v>0</v>
      </c>
      <c r="O2010" s="905"/>
      <c r="P2010" s="36" t="str">
        <f>IF(N2008&gt;0,"xx",IF(N2008&gt;0,"xy",""))</f>
        <v/>
      </c>
      <c r="Q2010" s="317" t="str">
        <f t="shared" si="526"/>
        <v/>
      </c>
      <c r="R2010" s="317" t="str">
        <f t="shared" si="527"/>
        <v/>
      </c>
      <c r="S2010" s="317" t="str">
        <f t="shared" si="528"/>
        <v/>
      </c>
      <c r="V2010" s="314">
        <f>SUM('RES. CENTRAL PARK:RUA_FINAL'!N2010)</f>
        <v>0</v>
      </c>
      <c r="W2010" s="315">
        <f t="shared" si="529"/>
        <v>0</v>
      </c>
    </row>
    <row r="2011" spans="1:23" ht="13.5" hidden="1" thickBot="1" x14ac:dyDescent="0.25">
      <c r="A2011" s="63" t="s">
        <v>147</v>
      </c>
      <c r="B2011" s="895" t="s">
        <v>147</v>
      </c>
      <c r="C2011" s="896"/>
      <c r="D2011" s="906" t="s">
        <v>336</v>
      </c>
      <c r="E2011" s="907">
        <f>DMT!$F$38</f>
        <v>40</v>
      </c>
      <c r="F2011" s="908">
        <v>0.25</v>
      </c>
      <c r="G2011" s="949">
        <f t="shared" si="531"/>
        <v>11.370000000000001</v>
      </c>
      <c r="H2011" s="901"/>
      <c r="I2011" s="901"/>
      <c r="J2011" s="902">
        <f t="shared" si="517"/>
        <v>0</v>
      </c>
      <c r="K2011" s="903"/>
      <c r="L2011" s="1039">
        <f>ROUND(SUM('RES. CENTRAL PARK:RUA_FINAL'!L2011),2)</f>
        <v>0</v>
      </c>
      <c r="M2011" s="1039">
        <f t="shared" si="524"/>
        <v>0</v>
      </c>
      <c r="N2011" s="893">
        <f t="shared" si="525"/>
        <v>0</v>
      </c>
      <c r="O2011" s="905"/>
      <c r="P2011" s="36" t="str">
        <f>IF(N2008&gt;0,"xx",IF(N2008&gt;0,"xy",""))</f>
        <v/>
      </c>
      <c r="Q2011" s="317" t="str">
        <f t="shared" si="526"/>
        <v/>
      </c>
      <c r="R2011" s="317" t="str">
        <f t="shared" si="527"/>
        <v/>
      </c>
      <c r="S2011" s="317" t="str">
        <f t="shared" si="528"/>
        <v/>
      </c>
      <c r="V2011" s="314">
        <f>SUM('RES. CENTRAL PARK:RUA_FINAL'!N2011)</f>
        <v>0</v>
      </c>
      <c r="W2011" s="315">
        <f t="shared" si="529"/>
        <v>0</v>
      </c>
    </row>
    <row r="2012" spans="1:23" ht="13.5" hidden="1" thickBot="1" x14ac:dyDescent="0.25">
      <c r="A2012" s="63">
        <v>610600</v>
      </c>
      <c r="B2012" s="895" t="s">
        <v>1832</v>
      </c>
      <c r="C2012" s="896" t="s">
        <v>184</v>
      </c>
      <c r="D2012" s="906" t="s">
        <v>2027</v>
      </c>
      <c r="E2012" s="907"/>
      <c r="F2012" s="908"/>
      <c r="G2012" s="912">
        <f>SUM(G2013:G2015)</f>
        <v>20.568768000000002</v>
      </c>
      <c r="H2012" s="901">
        <v>313.26</v>
      </c>
      <c r="I2012" s="901">
        <f>IF(ISBLANK(H2012),"",SUM(G2012:H2012))</f>
        <v>333.82876799999997</v>
      </c>
      <c r="J2012" s="902">
        <f t="shared" si="517"/>
        <v>400.83</v>
      </c>
      <c r="K2012" s="903" t="s">
        <v>13</v>
      </c>
      <c r="L2012" s="1039">
        <f>ROUND(SUM('RES. CENTRAL PARK:RUA_FINAL'!L2012),2)</f>
        <v>0</v>
      </c>
      <c r="M2012" s="1039">
        <f t="shared" si="524"/>
        <v>0</v>
      </c>
      <c r="N2012" s="893">
        <f t="shared" si="525"/>
        <v>0</v>
      </c>
      <c r="O2012" s="905"/>
      <c r="Q2012" s="317" t="str">
        <f t="shared" si="526"/>
        <v/>
      </c>
      <c r="R2012" s="317" t="str">
        <f t="shared" si="527"/>
        <v/>
      </c>
      <c r="S2012" s="317" t="str">
        <f t="shared" si="528"/>
        <v/>
      </c>
      <c r="V2012" s="314">
        <f>SUM('RES. CENTRAL PARK:RUA_FINAL'!N2012)</f>
        <v>0</v>
      </c>
      <c r="W2012" s="315">
        <f t="shared" si="529"/>
        <v>0</v>
      </c>
    </row>
    <row r="2013" spans="1:23" ht="13.5" hidden="1" thickBot="1" x14ac:dyDescent="0.25">
      <c r="A2013" s="63" t="s">
        <v>147</v>
      </c>
      <c r="B2013" s="895" t="s">
        <v>147</v>
      </c>
      <c r="C2013" s="896"/>
      <c r="D2013" s="906" t="s">
        <v>190</v>
      </c>
      <c r="E2013" s="907">
        <f>DMT!$D$41</f>
        <v>308</v>
      </c>
      <c r="F2013" s="908">
        <v>2.5999999999999999E-3</v>
      </c>
      <c r="G2013" s="909">
        <f>IF(E2013&lt;=30,(0.78*E2013+7.82)*F2013,((0.78*30+7.82)+0.78*(E2013-30))*F2013)</f>
        <v>0.64495599999999997</v>
      </c>
      <c r="H2013" s="901"/>
      <c r="I2013" s="901"/>
      <c r="J2013" s="902">
        <f t="shared" si="517"/>
        <v>0</v>
      </c>
      <c r="K2013" s="903"/>
      <c r="L2013" s="1039">
        <f>ROUND(SUM('RES. CENTRAL PARK:RUA_FINAL'!L2013),2)</f>
        <v>0</v>
      </c>
      <c r="M2013" s="1039">
        <f t="shared" si="524"/>
        <v>0</v>
      </c>
      <c r="N2013" s="893">
        <f t="shared" si="525"/>
        <v>0</v>
      </c>
      <c r="O2013" s="905"/>
      <c r="P2013" s="36" t="str">
        <f>IF(N2012&gt;0,"xx",IF(N2012&gt;0,"xy",""))</f>
        <v/>
      </c>
      <c r="Q2013" s="317" t="str">
        <f t="shared" si="526"/>
        <v/>
      </c>
      <c r="R2013" s="317" t="str">
        <f t="shared" si="527"/>
        <v/>
      </c>
      <c r="S2013" s="317" t="str">
        <f t="shared" si="528"/>
        <v/>
      </c>
      <c r="V2013" s="314">
        <f>SUM('RES. CENTRAL PARK:RUA_FINAL'!N2013)</f>
        <v>0</v>
      </c>
      <c r="W2013" s="315">
        <f t="shared" si="529"/>
        <v>0</v>
      </c>
    </row>
    <row r="2014" spans="1:23" ht="13.5" hidden="1" thickBot="1" x14ac:dyDescent="0.25">
      <c r="A2014" s="63" t="s">
        <v>147</v>
      </c>
      <c r="B2014" s="895" t="s">
        <v>147</v>
      </c>
      <c r="C2014" s="896"/>
      <c r="D2014" s="906" t="s">
        <v>229</v>
      </c>
      <c r="E2014" s="907">
        <f>DMT!$F$39</f>
        <v>150</v>
      </c>
      <c r="F2014" s="908">
        <v>1.34E-2</v>
      </c>
      <c r="G2014" s="949">
        <f t="shared" ref="G2014:G2015" si="532">IF(E2014&lt;=30,(1.07*E2014+2.68)*F2014,((1.07*30+2.68)+1.07*(E2014-30))*F2014)</f>
        <v>2.1866120000000002</v>
      </c>
      <c r="H2014" s="901"/>
      <c r="I2014" s="901"/>
      <c r="J2014" s="902">
        <f t="shared" si="517"/>
        <v>0</v>
      </c>
      <c r="K2014" s="903"/>
      <c r="L2014" s="1039">
        <f>ROUND(SUM('RES. CENTRAL PARK:RUA_FINAL'!L2014),2)</f>
        <v>0</v>
      </c>
      <c r="M2014" s="1039">
        <f t="shared" si="524"/>
        <v>0</v>
      </c>
      <c r="N2014" s="893">
        <f t="shared" si="525"/>
        <v>0</v>
      </c>
      <c r="O2014" s="905"/>
      <c r="P2014" s="36" t="str">
        <f>IF(N2012&gt;0,"xx",IF(N2012&gt;0,"xy",""))</f>
        <v/>
      </c>
      <c r="Q2014" s="317" t="str">
        <f t="shared" si="526"/>
        <v/>
      </c>
      <c r="R2014" s="317" t="str">
        <f t="shared" si="527"/>
        <v/>
      </c>
      <c r="S2014" s="317" t="str">
        <f t="shared" si="528"/>
        <v/>
      </c>
      <c r="V2014" s="314">
        <f>SUM('RES. CENTRAL PARK:RUA_FINAL'!N2014)</f>
        <v>0</v>
      </c>
      <c r="W2014" s="315">
        <f t="shared" si="529"/>
        <v>0</v>
      </c>
    </row>
    <row r="2015" spans="1:23" ht="13.5" hidden="1" thickBot="1" x14ac:dyDescent="0.25">
      <c r="A2015" s="63" t="s">
        <v>147</v>
      </c>
      <c r="B2015" s="895" t="s">
        <v>147</v>
      </c>
      <c r="C2015" s="896"/>
      <c r="D2015" s="906" t="s">
        <v>336</v>
      </c>
      <c r="E2015" s="907">
        <f>DMT!$F$38</f>
        <v>40</v>
      </c>
      <c r="F2015" s="908">
        <v>0.39</v>
      </c>
      <c r="G2015" s="949">
        <f t="shared" si="532"/>
        <v>17.737200000000001</v>
      </c>
      <c r="H2015" s="901"/>
      <c r="I2015" s="901"/>
      <c r="J2015" s="902">
        <f t="shared" si="517"/>
        <v>0</v>
      </c>
      <c r="K2015" s="903"/>
      <c r="L2015" s="1039">
        <f>ROUND(SUM('RES. CENTRAL PARK:RUA_FINAL'!L2015),2)</f>
        <v>0</v>
      </c>
      <c r="M2015" s="1039">
        <f t="shared" si="524"/>
        <v>0</v>
      </c>
      <c r="N2015" s="893">
        <f t="shared" si="525"/>
        <v>0</v>
      </c>
      <c r="O2015" s="905"/>
      <c r="P2015" s="36" t="str">
        <f>IF(N2012&gt;0,"xx",IF(N2012&gt;0,"xy",""))</f>
        <v/>
      </c>
      <c r="Q2015" s="317" t="str">
        <f t="shared" si="526"/>
        <v/>
      </c>
      <c r="R2015" s="317" t="str">
        <f t="shared" si="527"/>
        <v/>
      </c>
      <c r="S2015" s="317" t="str">
        <f t="shared" si="528"/>
        <v/>
      </c>
      <c r="V2015" s="314">
        <f>SUM('RES. CENTRAL PARK:RUA_FINAL'!N2015)</f>
        <v>0</v>
      </c>
      <c r="W2015" s="315">
        <f t="shared" si="529"/>
        <v>0</v>
      </c>
    </row>
    <row r="2016" spans="1:23" ht="13.5" hidden="1" thickBot="1" x14ac:dyDescent="0.25">
      <c r="A2016" s="63">
        <v>610800</v>
      </c>
      <c r="B2016" s="895" t="s">
        <v>1836</v>
      </c>
      <c r="C2016" s="896" t="s">
        <v>184</v>
      </c>
      <c r="D2016" s="906" t="s">
        <v>2028</v>
      </c>
      <c r="E2016" s="907"/>
      <c r="F2016" s="908"/>
      <c r="G2016" s="912">
        <f>SUM(G2017:G2019)</f>
        <v>27.287792000000003</v>
      </c>
      <c r="H2016" s="901">
        <v>514.41999999999996</v>
      </c>
      <c r="I2016" s="901">
        <f>IF(ISBLANK(H2016),"",SUM(G2016:H2016))</f>
        <v>541.70779199999993</v>
      </c>
      <c r="J2016" s="902">
        <f t="shared" si="517"/>
        <v>650.42999999999995</v>
      </c>
      <c r="K2016" s="903" t="s">
        <v>13</v>
      </c>
      <c r="L2016" s="1039">
        <f>ROUND(SUM('RES. CENTRAL PARK:RUA_FINAL'!L2016),2)</f>
        <v>0</v>
      </c>
      <c r="M2016" s="1039">
        <f t="shared" si="524"/>
        <v>0</v>
      </c>
      <c r="N2016" s="893">
        <f t="shared" si="525"/>
        <v>0</v>
      </c>
      <c r="O2016" s="905"/>
      <c r="Q2016" s="317" t="str">
        <f t="shared" si="526"/>
        <v/>
      </c>
      <c r="R2016" s="317" t="str">
        <f t="shared" si="527"/>
        <v/>
      </c>
      <c r="S2016" s="317" t="str">
        <f t="shared" si="528"/>
        <v/>
      </c>
      <c r="V2016" s="314">
        <f>SUM('RES. CENTRAL PARK:RUA_FINAL'!N2016)</f>
        <v>0</v>
      </c>
      <c r="W2016" s="315">
        <f t="shared" si="529"/>
        <v>0</v>
      </c>
    </row>
    <row r="2017" spans="1:23" ht="13.5" hidden="1" thickBot="1" x14ac:dyDescent="0.25">
      <c r="A2017" s="63" t="s">
        <v>147</v>
      </c>
      <c r="B2017" s="895" t="s">
        <v>147</v>
      </c>
      <c r="C2017" s="896"/>
      <c r="D2017" s="906" t="s">
        <v>190</v>
      </c>
      <c r="E2017" s="907">
        <f>DMT!$D$41</f>
        <v>308</v>
      </c>
      <c r="F2017" s="908">
        <v>2.8999999999999998E-3</v>
      </c>
      <c r="G2017" s="909">
        <f>IF(E2017&lt;=30,(0.78*E2017+7.82)*F2017,((0.78*30+7.82)+0.78*(E2017-30))*F2017)</f>
        <v>0.71937399999999996</v>
      </c>
      <c r="H2017" s="901"/>
      <c r="I2017" s="901"/>
      <c r="J2017" s="902">
        <f t="shared" si="517"/>
        <v>0</v>
      </c>
      <c r="K2017" s="903"/>
      <c r="L2017" s="1039">
        <f>ROUND(SUM('RES. CENTRAL PARK:RUA_FINAL'!L2017),2)</f>
        <v>0</v>
      </c>
      <c r="M2017" s="1039">
        <f t="shared" si="524"/>
        <v>0</v>
      </c>
      <c r="N2017" s="893">
        <f t="shared" si="525"/>
        <v>0</v>
      </c>
      <c r="O2017" s="905"/>
      <c r="P2017" s="36" t="str">
        <f>IF(N2016&gt;0,"xx",IF(N2016&gt;0,"xy",""))</f>
        <v/>
      </c>
      <c r="Q2017" s="317" t="str">
        <f t="shared" si="526"/>
        <v/>
      </c>
      <c r="R2017" s="317" t="str">
        <f t="shared" si="527"/>
        <v/>
      </c>
      <c r="S2017" s="317" t="str">
        <f t="shared" si="528"/>
        <v/>
      </c>
      <c r="V2017" s="314">
        <f>SUM('RES. CENTRAL PARK:RUA_FINAL'!N2017)</f>
        <v>0</v>
      </c>
      <c r="W2017" s="315">
        <f t="shared" si="529"/>
        <v>0</v>
      </c>
    </row>
    <row r="2018" spans="1:23" ht="13.5" hidden="1" thickBot="1" x14ac:dyDescent="0.25">
      <c r="A2018" s="63" t="s">
        <v>147</v>
      </c>
      <c r="B2018" s="895" t="s">
        <v>147</v>
      </c>
      <c r="C2018" s="896"/>
      <c r="D2018" s="906" t="s">
        <v>229</v>
      </c>
      <c r="E2018" s="907">
        <f>DMT!$F$39</f>
        <v>150</v>
      </c>
      <c r="F2018" s="908">
        <v>1.5100000000000001E-2</v>
      </c>
      <c r="G2018" s="949">
        <f t="shared" ref="G2018:G2019" si="533">IF(E2018&lt;=30,(1.07*E2018+2.68)*F2018,((1.07*30+2.68)+1.07*(E2018-30))*F2018)</f>
        <v>2.4640180000000003</v>
      </c>
      <c r="H2018" s="901"/>
      <c r="I2018" s="901"/>
      <c r="J2018" s="902">
        <f t="shared" si="517"/>
        <v>0</v>
      </c>
      <c r="K2018" s="903"/>
      <c r="L2018" s="1039">
        <f>ROUND(SUM('RES. CENTRAL PARK:RUA_FINAL'!L2018),2)</f>
        <v>0</v>
      </c>
      <c r="M2018" s="1039">
        <f t="shared" si="524"/>
        <v>0</v>
      </c>
      <c r="N2018" s="893">
        <f t="shared" si="525"/>
        <v>0</v>
      </c>
      <c r="O2018" s="905"/>
      <c r="P2018" s="36" t="str">
        <f>IF(N2016&gt;0,"xx",IF(N2016&gt;0,"xy",""))</f>
        <v/>
      </c>
      <c r="Q2018" s="317" t="str">
        <f t="shared" si="526"/>
        <v/>
      </c>
      <c r="R2018" s="317" t="str">
        <f t="shared" si="527"/>
        <v/>
      </c>
      <c r="S2018" s="317" t="str">
        <f t="shared" si="528"/>
        <v/>
      </c>
      <c r="V2018" s="314">
        <f>SUM('RES. CENTRAL PARK:RUA_FINAL'!N2018)</f>
        <v>0</v>
      </c>
      <c r="W2018" s="315">
        <f t="shared" si="529"/>
        <v>0</v>
      </c>
    </row>
    <row r="2019" spans="1:23" ht="13.5" hidden="1" thickBot="1" x14ac:dyDescent="0.25">
      <c r="A2019" s="63" t="s">
        <v>147</v>
      </c>
      <c r="B2019" s="895" t="s">
        <v>147</v>
      </c>
      <c r="C2019" s="896"/>
      <c r="D2019" s="906" t="s">
        <v>336</v>
      </c>
      <c r="E2019" s="907">
        <f>DMT!$F$38</f>
        <v>40</v>
      </c>
      <c r="F2019" s="908">
        <v>0.53</v>
      </c>
      <c r="G2019" s="949">
        <f t="shared" si="533"/>
        <v>24.104400000000002</v>
      </c>
      <c r="H2019" s="901"/>
      <c r="I2019" s="901"/>
      <c r="J2019" s="902">
        <f t="shared" si="517"/>
        <v>0</v>
      </c>
      <c r="K2019" s="903"/>
      <c r="L2019" s="1039">
        <f>ROUND(SUM('RES. CENTRAL PARK:RUA_FINAL'!L2019),2)</f>
        <v>0</v>
      </c>
      <c r="M2019" s="1039">
        <f t="shared" si="524"/>
        <v>0</v>
      </c>
      <c r="N2019" s="893">
        <f t="shared" si="525"/>
        <v>0</v>
      </c>
      <c r="O2019" s="905"/>
      <c r="P2019" s="36" t="str">
        <f>IF(N2016&gt;0,"xx",IF(N2016&gt;0,"xy",""))</f>
        <v/>
      </c>
      <c r="Q2019" s="317" t="str">
        <f t="shared" si="526"/>
        <v/>
      </c>
      <c r="R2019" s="317" t="str">
        <f t="shared" si="527"/>
        <v/>
      </c>
      <c r="S2019" s="317" t="str">
        <f t="shared" si="528"/>
        <v/>
      </c>
      <c r="V2019" s="314">
        <f>SUM('RES. CENTRAL PARK:RUA_FINAL'!N2019)</f>
        <v>0</v>
      </c>
      <c r="W2019" s="315">
        <f t="shared" si="529"/>
        <v>0</v>
      </c>
    </row>
    <row r="2020" spans="1:23" ht="13.5" hidden="1" thickBot="1" x14ac:dyDescent="0.25">
      <c r="A2020" s="63">
        <v>610800</v>
      </c>
      <c r="B2020" s="895" t="s">
        <v>1837</v>
      </c>
      <c r="C2020" s="896" t="s">
        <v>184</v>
      </c>
      <c r="D2020" s="906" t="s">
        <v>2029</v>
      </c>
      <c r="E2020" s="907"/>
      <c r="F2020" s="908"/>
      <c r="G2020" s="912">
        <f>SUM(G2021:G2023)</f>
        <v>34.006816000000008</v>
      </c>
      <c r="H2020" s="901">
        <v>514.41999999999996</v>
      </c>
      <c r="I2020" s="901">
        <f>IF(ISBLANK(H2020),"",SUM(G2020:H2020))</f>
        <v>548.42681599999992</v>
      </c>
      <c r="J2020" s="902">
        <f t="shared" si="517"/>
        <v>658.5</v>
      </c>
      <c r="K2020" s="903" t="s">
        <v>13</v>
      </c>
      <c r="L2020" s="1039">
        <f>ROUND(SUM('RES. CENTRAL PARK:RUA_FINAL'!L2020),2)</f>
        <v>0</v>
      </c>
      <c r="M2020" s="1039">
        <f t="shared" si="524"/>
        <v>0</v>
      </c>
      <c r="N2020" s="893">
        <f t="shared" si="525"/>
        <v>0</v>
      </c>
      <c r="O2020" s="905"/>
      <c r="Q2020" s="317" t="str">
        <f t="shared" si="526"/>
        <v/>
      </c>
      <c r="R2020" s="317" t="str">
        <f t="shared" si="527"/>
        <v/>
      </c>
      <c r="S2020" s="317" t="str">
        <f t="shared" si="528"/>
        <v/>
      </c>
      <c r="V2020" s="314">
        <f>SUM('RES. CENTRAL PARK:RUA_FINAL'!N2020)</f>
        <v>0</v>
      </c>
      <c r="W2020" s="315">
        <f t="shared" si="529"/>
        <v>0</v>
      </c>
    </row>
    <row r="2021" spans="1:23" ht="13.5" hidden="1" thickBot="1" x14ac:dyDescent="0.25">
      <c r="A2021" s="63" t="s">
        <v>147</v>
      </c>
      <c r="B2021" s="895" t="s">
        <v>147</v>
      </c>
      <c r="C2021" s="896"/>
      <c r="D2021" s="906" t="s">
        <v>190</v>
      </c>
      <c r="E2021" s="907">
        <f>DMT!$D$41</f>
        <v>308</v>
      </c>
      <c r="F2021" s="908">
        <v>3.2000000000000002E-3</v>
      </c>
      <c r="G2021" s="909">
        <f>IF(E2021&lt;=30,(0.78*E2021+7.82)*F2021,((0.78*30+7.82)+0.78*(E2021-30))*F2021)</f>
        <v>0.79379200000000005</v>
      </c>
      <c r="H2021" s="901"/>
      <c r="I2021" s="901"/>
      <c r="J2021" s="902">
        <f t="shared" si="517"/>
        <v>0</v>
      </c>
      <c r="K2021" s="903"/>
      <c r="L2021" s="1039">
        <f>ROUND(SUM('RES. CENTRAL PARK:RUA_FINAL'!L2021),2)</f>
        <v>0</v>
      </c>
      <c r="M2021" s="1039">
        <f t="shared" si="524"/>
        <v>0</v>
      </c>
      <c r="N2021" s="893">
        <f t="shared" si="525"/>
        <v>0</v>
      </c>
      <c r="O2021" s="905"/>
      <c r="P2021" s="36" t="str">
        <f>IF(N2020&gt;0,"xx",IF(N2020&gt;0,"xy",""))</f>
        <v/>
      </c>
      <c r="Q2021" s="317" t="str">
        <f t="shared" si="526"/>
        <v/>
      </c>
      <c r="R2021" s="317" t="str">
        <f t="shared" si="527"/>
        <v/>
      </c>
      <c r="S2021" s="317" t="str">
        <f t="shared" si="528"/>
        <v/>
      </c>
      <c r="V2021" s="314">
        <f>SUM('RES. CENTRAL PARK:RUA_FINAL'!N2021)</f>
        <v>0</v>
      </c>
      <c r="W2021" s="315">
        <f t="shared" si="529"/>
        <v>0</v>
      </c>
    </row>
    <row r="2022" spans="1:23" ht="13.5" hidden="1" thickBot="1" x14ac:dyDescent="0.25">
      <c r="A2022" s="63" t="s">
        <v>147</v>
      </c>
      <c r="B2022" s="895" t="s">
        <v>147</v>
      </c>
      <c r="C2022" s="896"/>
      <c r="D2022" s="906" t="s">
        <v>229</v>
      </c>
      <c r="E2022" s="907">
        <f>DMT!$F$39</f>
        <v>150</v>
      </c>
      <c r="F2022" s="908">
        <v>1.6799999999999999E-2</v>
      </c>
      <c r="G2022" s="949">
        <f t="shared" ref="G2022:G2023" si="534">IF(E2022&lt;=30,(1.07*E2022+2.68)*F2022,((1.07*30+2.68)+1.07*(E2022-30))*F2022)</f>
        <v>2.7414239999999999</v>
      </c>
      <c r="H2022" s="901"/>
      <c r="I2022" s="901"/>
      <c r="J2022" s="902">
        <f t="shared" si="517"/>
        <v>0</v>
      </c>
      <c r="K2022" s="903"/>
      <c r="L2022" s="1039">
        <f>ROUND(SUM('RES. CENTRAL PARK:RUA_FINAL'!L2022),2)</f>
        <v>0</v>
      </c>
      <c r="M2022" s="1039">
        <f t="shared" si="524"/>
        <v>0</v>
      </c>
      <c r="N2022" s="893">
        <f t="shared" si="525"/>
        <v>0</v>
      </c>
      <c r="O2022" s="905"/>
      <c r="P2022" s="36" t="str">
        <f>IF(N2020&gt;0,"xx",IF(N2020&gt;0,"xy",""))</f>
        <v/>
      </c>
      <c r="Q2022" s="317" t="str">
        <f t="shared" si="526"/>
        <v/>
      </c>
      <c r="R2022" s="317" t="str">
        <f t="shared" si="527"/>
        <v/>
      </c>
      <c r="S2022" s="317" t="str">
        <f t="shared" si="528"/>
        <v/>
      </c>
      <c r="V2022" s="314">
        <f>SUM('RES. CENTRAL PARK:RUA_FINAL'!N2022)</f>
        <v>0</v>
      </c>
      <c r="W2022" s="315">
        <f t="shared" si="529"/>
        <v>0</v>
      </c>
    </row>
    <row r="2023" spans="1:23" ht="13.5" hidden="1" thickBot="1" x14ac:dyDescent="0.25">
      <c r="A2023" s="63" t="s">
        <v>147</v>
      </c>
      <c r="B2023" s="895" t="s">
        <v>147</v>
      </c>
      <c r="C2023" s="896"/>
      <c r="D2023" s="906" t="s">
        <v>336</v>
      </c>
      <c r="E2023" s="907">
        <f>DMT!$F$38</f>
        <v>40</v>
      </c>
      <c r="F2023" s="908">
        <v>0.67</v>
      </c>
      <c r="G2023" s="949">
        <f t="shared" si="534"/>
        <v>30.471600000000006</v>
      </c>
      <c r="H2023" s="901"/>
      <c r="I2023" s="901"/>
      <c r="J2023" s="902">
        <f t="shared" si="517"/>
        <v>0</v>
      </c>
      <c r="K2023" s="903"/>
      <c r="L2023" s="1039">
        <f>ROUND(SUM('RES. CENTRAL PARK:RUA_FINAL'!L2023),2)</f>
        <v>0</v>
      </c>
      <c r="M2023" s="1039">
        <f t="shared" si="524"/>
        <v>0</v>
      </c>
      <c r="N2023" s="893">
        <f t="shared" si="525"/>
        <v>0</v>
      </c>
      <c r="O2023" s="905"/>
      <c r="P2023" s="36" t="str">
        <f>IF(N2020&gt;0,"xx",IF(N2020&gt;0,"xy",""))</f>
        <v/>
      </c>
      <c r="Q2023" s="317" t="str">
        <f t="shared" si="526"/>
        <v/>
      </c>
      <c r="R2023" s="317" t="str">
        <f t="shared" si="527"/>
        <v/>
      </c>
      <c r="S2023" s="317" t="str">
        <f t="shared" si="528"/>
        <v/>
      </c>
      <c r="V2023" s="314">
        <f>SUM('RES. CENTRAL PARK:RUA_FINAL'!N2023)</f>
        <v>0</v>
      </c>
      <c r="W2023" s="315">
        <f t="shared" si="529"/>
        <v>0</v>
      </c>
    </row>
    <row r="2024" spans="1:23" ht="13.5" hidden="1" thickBot="1" x14ac:dyDescent="0.25">
      <c r="A2024" s="63">
        <v>611000</v>
      </c>
      <c r="B2024" s="895" t="s">
        <v>1844</v>
      </c>
      <c r="C2024" s="896" t="s">
        <v>184</v>
      </c>
      <c r="D2024" s="906" t="s">
        <v>2030</v>
      </c>
      <c r="E2024" s="907"/>
      <c r="F2024" s="908"/>
      <c r="G2024" s="912">
        <f>SUM(G2025:G2027)</f>
        <v>42.394820000000003</v>
      </c>
      <c r="H2024" s="901">
        <v>803.98</v>
      </c>
      <c r="I2024" s="901">
        <f>IF(ISBLANK(H2024),"",SUM(G2024:H2024))</f>
        <v>846.37482</v>
      </c>
      <c r="J2024" s="902">
        <f t="shared" si="517"/>
        <v>1016.24</v>
      </c>
      <c r="K2024" s="903" t="s">
        <v>13</v>
      </c>
      <c r="L2024" s="1039">
        <f>ROUND(SUM('RES. CENTRAL PARK:RUA_FINAL'!L2024),2)</f>
        <v>0</v>
      </c>
      <c r="M2024" s="1039">
        <f t="shared" si="524"/>
        <v>0</v>
      </c>
      <c r="N2024" s="893">
        <f t="shared" si="525"/>
        <v>0</v>
      </c>
      <c r="O2024" s="905"/>
      <c r="Q2024" s="317" t="str">
        <f t="shared" si="526"/>
        <v/>
      </c>
      <c r="R2024" s="317" t="str">
        <f t="shared" si="527"/>
        <v/>
      </c>
      <c r="S2024" s="317" t="str">
        <f t="shared" si="528"/>
        <v/>
      </c>
      <c r="V2024" s="314">
        <f>SUM('RES. CENTRAL PARK:RUA_FINAL'!N2024)</f>
        <v>0</v>
      </c>
      <c r="W2024" s="315">
        <f t="shared" si="529"/>
        <v>0</v>
      </c>
    </row>
    <row r="2025" spans="1:23" ht="13.5" hidden="1" thickBot="1" x14ac:dyDescent="0.25">
      <c r="A2025" s="63" t="s">
        <v>147</v>
      </c>
      <c r="B2025" s="895" t="s">
        <v>147</v>
      </c>
      <c r="C2025" s="896"/>
      <c r="D2025" s="906" t="s">
        <v>190</v>
      </c>
      <c r="E2025" s="907">
        <f>DMT!$D$41</f>
        <v>308</v>
      </c>
      <c r="F2025" s="908">
        <v>4.0000000000000001E-3</v>
      </c>
      <c r="G2025" s="909">
        <f>IF(E2025&lt;=30,(0.78*E2025+7.82)*F2025,((0.78*30+7.82)+0.78*(E2025-30))*F2025)</f>
        <v>0.99224000000000001</v>
      </c>
      <c r="H2025" s="901"/>
      <c r="I2025" s="901"/>
      <c r="J2025" s="902">
        <f t="shared" si="517"/>
        <v>0</v>
      </c>
      <c r="K2025" s="903"/>
      <c r="L2025" s="1039">
        <f>ROUND(SUM('RES. CENTRAL PARK:RUA_FINAL'!L2025),2)</f>
        <v>0</v>
      </c>
      <c r="M2025" s="1039">
        <f t="shared" si="524"/>
        <v>0</v>
      </c>
      <c r="N2025" s="893">
        <f t="shared" si="525"/>
        <v>0</v>
      </c>
      <c r="O2025" s="905"/>
      <c r="P2025" s="36" t="str">
        <f>IF(N2024&gt;0,"xx",IF(N2024&gt;0,"xy",""))</f>
        <v/>
      </c>
      <c r="Q2025" s="317" t="str">
        <f t="shared" si="526"/>
        <v/>
      </c>
      <c r="R2025" s="317" t="str">
        <f t="shared" si="527"/>
        <v/>
      </c>
      <c r="S2025" s="317" t="str">
        <f t="shared" si="528"/>
        <v/>
      </c>
      <c r="V2025" s="314">
        <f>SUM('RES. CENTRAL PARK:RUA_FINAL'!N2025)</f>
        <v>0</v>
      </c>
      <c r="W2025" s="315">
        <f t="shared" si="529"/>
        <v>0</v>
      </c>
    </row>
    <row r="2026" spans="1:23" ht="13.5" hidden="1" thickBot="1" x14ac:dyDescent="0.25">
      <c r="A2026" s="63" t="s">
        <v>147</v>
      </c>
      <c r="B2026" s="895" t="s">
        <v>147</v>
      </c>
      <c r="C2026" s="896"/>
      <c r="D2026" s="906" t="s">
        <v>229</v>
      </c>
      <c r="E2026" s="907">
        <f>DMT!$F$39</f>
        <v>150</v>
      </c>
      <c r="F2026" s="908">
        <v>2.1000000000000001E-2</v>
      </c>
      <c r="G2026" s="949">
        <f t="shared" ref="G2026:G2027" si="535">IF(E2026&lt;=30,(1.07*E2026+2.68)*F2026,((1.07*30+2.68)+1.07*(E2026-30))*F2026)</f>
        <v>3.4267800000000004</v>
      </c>
      <c r="H2026" s="901"/>
      <c r="I2026" s="901"/>
      <c r="J2026" s="902">
        <f t="shared" si="517"/>
        <v>0</v>
      </c>
      <c r="K2026" s="903"/>
      <c r="L2026" s="1039">
        <f>ROUND(SUM('RES. CENTRAL PARK:RUA_FINAL'!L2026),2)</f>
        <v>0</v>
      </c>
      <c r="M2026" s="1039">
        <f t="shared" si="524"/>
        <v>0</v>
      </c>
      <c r="N2026" s="893">
        <f t="shared" si="525"/>
        <v>0</v>
      </c>
      <c r="O2026" s="905"/>
      <c r="P2026" s="36" t="str">
        <f>IF(N2024&gt;0,"xx",IF(N2024&gt;0,"xy",""))</f>
        <v/>
      </c>
      <c r="Q2026" s="317" t="str">
        <f t="shared" si="526"/>
        <v/>
      </c>
      <c r="R2026" s="317" t="str">
        <f t="shared" si="527"/>
        <v/>
      </c>
      <c r="S2026" s="317" t="str">
        <f t="shared" si="528"/>
        <v/>
      </c>
      <c r="V2026" s="314">
        <f>SUM('RES. CENTRAL PARK:RUA_FINAL'!N2026)</f>
        <v>0</v>
      </c>
      <c r="W2026" s="315">
        <f t="shared" si="529"/>
        <v>0</v>
      </c>
    </row>
    <row r="2027" spans="1:23" ht="13.5" hidden="1" thickBot="1" x14ac:dyDescent="0.25">
      <c r="A2027" s="63" t="s">
        <v>147</v>
      </c>
      <c r="B2027" s="895" t="s">
        <v>147</v>
      </c>
      <c r="C2027" s="896"/>
      <c r="D2027" s="906" t="s">
        <v>336</v>
      </c>
      <c r="E2027" s="907">
        <f>DMT!$F$38</f>
        <v>40</v>
      </c>
      <c r="F2027" s="908">
        <v>0.83499999999999996</v>
      </c>
      <c r="G2027" s="949">
        <f t="shared" si="535"/>
        <v>37.9758</v>
      </c>
      <c r="H2027" s="901"/>
      <c r="I2027" s="901"/>
      <c r="J2027" s="902">
        <f t="shared" si="517"/>
        <v>0</v>
      </c>
      <c r="K2027" s="903"/>
      <c r="L2027" s="1039">
        <f>ROUND(SUM('RES. CENTRAL PARK:RUA_FINAL'!L2027),2)</f>
        <v>0</v>
      </c>
      <c r="M2027" s="1039">
        <f t="shared" si="524"/>
        <v>0</v>
      </c>
      <c r="N2027" s="893">
        <f t="shared" si="525"/>
        <v>0</v>
      </c>
      <c r="O2027" s="905"/>
      <c r="P2027" s="36" t="str">
        <f>IF(N2024&gt;0,"xx",IF(N2024&gt;0,"xy",""))</f>
        <v/>
      </c>
      <c r="Q2027" s="317" t="str">
        <f t="shared" si="526"/>
        <v/>
      </c>
      <c r="R2027" s="317" t="str">
        <f t="shared" si="527"/>
        <v/>
      </c>
      <c r="S2027" s="317" t="str">
        <f t="shared" si="528"/>
        <v/>
      </c>
      <c r="V2027" s="314">
        <f>SUM('RES. CENTRAL PARK:RUA_FINAL'!N2027)</f>
        <v>0</v>
      </c>
      <c r="W2027" s="315">
        <f t="shared" si="529"/>
        <v>0</v>
      </c>
    </row>
    <row r="2028" spans="1:23" ht="13.5" hidden="1" thickBot="1" x14ac:dyDescent="0.25">
      <c r="A2028" s="63">
        <v>611000</v>
      </c>
      <c r="B2028" s="895" t="s">
        <v>1845</v>
      </c>
      <c r="C2028" s="896" t="s">
        <v>184</v>
      </c>
      <c r="D2028" s="906" t="s">
        <v>2031</v>
      </c>
      <c r="E2028" s="907"/>
      <c r="F2028" s="908"/>
      <c r="G2028" s="912">
        <f>SUM(G2029:G2031)</f>
        <v>50.782824000000005</v>
      </c>
      <c r="H2028" s="901">
        <v>803.98</v>
      </c>
      <c r="I2028" s="901">
        <f>IF(ISBLANK(H2028),"",SUM(G2028:H2028))</f>
        <v>854.76282400000002</v>
      </c>
      <c r="J2028" s="902">
        <f t="shared" si="517"/>
        <v>1026.31</v>
      </c>
      <c r="K2028" s="903" t="s">
        <v>13</v>
      </c>
      <c r="L2028" s="1039">
        <f>ROUND(SUM('RES. CENTRAL PARK:RUA_FINAL'!L2028),2)</f>
        <v>0</v>
      </c>
      <c r="M2028" s="1039">
        <f t="shared" si="524"/>
        <v>0</v>
      </c>
      <c r="N2028" s="893">
        <f t="shared" si="525"/>
        <v>0</v>
      </c>
      <c r="O2028" s="905"/>
      <c r="Q2028" s="317" t="str">
        <f t="shared" si="526"/>
        <v/>
      </c>
      <c r="R2028" s="317" t="str">
        <f t="shared" si="527"/>
        <v/>
      </c>
      <c r="S2028" s="317" t="str">
        <f t="shared" si="528"/>
        <v/>
      </c>
      <c r="V2028" s="314">
        <f>SUM('RES. CENTRAL PARK:RUA_FINAL'!N2028)</f>
        <v>0</v>
      </c>
      <c r="W2028" s="315">
        <f t="shared" si="529"/>
        <v>0</v>
      </c>
    </row>
    <row r="2029" spans="1:23" ht="13.5" hidden="1" thickBot="1" x14ac:dyDescent="0.25">
      <c r="A2029" s="63" t="s">
        <v>147</v>
      </c>
      <c r="B2029" s="895" t="s">
        <v>147</v>
      </c>
      <c r="C2029" s="896"/>
      <c r="D2029" s="906" t="s">
        <v>190</v>
      </c>
      <c r="E2029" s="907">
        <f>DMT!$D$41</f>
        <v>308</v>
      </c>
      <c r="F2029" s="908">
        <v>4.7999999999999996E-3</v>
      </c>
      <c r="G2029" s="909">
        <f>IF(E2029&lt;=30,(0.78*E2029+7.82)*F2029,((0.78*30+7.82)+0.78*(E2029-30))*F2029)</f>
        <v>1.190688</v>
      </c>
      <c r="H2029" s="901"/>
      <c r="I2029" s="901"/>
      <c r="J2029" s="902">
        <f t="shared" si="517"/>
        <v>0</v>
      </c>
      <c r="K2029" s="903"/>
      <c r="L2029" s="1039">
        <f>ROUND(SUM('RES. CENTRAL PARK:RUA_FINAL'!L2029),2)</f>
        <v>0</v>
      </c>
      <c r="M2029" s="1039">
        <f t="shared" si="524"/>
        <v>0</v>
      </c>
      <c r="N2029" s="893">
        <f t="shared" si="525"/>
        <v>0</v>
      </c>
      <c r="O2029" s="905"/>
      <c r="P2029" s="36" t="str">
        <f>IF(N2028&gt;0,"xx",IF(N2028&gt;0,"xy",""))</f>
        <v/>
      </c>
      <c r="Q2029" s="317" t="str">
        <f t="shared" si="526"/>
        <v/>
      </c>
      <c r="R2029" s="317" t="str">
        <f t="shared" si="527"/>
        <v/>
      </c>
      <c r="S2029" s="317" t="str">
        <f t="shared" si="528"/>
        <v/>
      </c>
      <c r="V2029" s="314">
        <f>SUM('RES. CENTRAL PARK:RUA_FINAL'!N2029)</f>
        <v>0</v>
      </c>
      <c r="W2029" s="315">
        <f t="shared" si="529"/>
        <v>0</v>
      </c>
    </row>
    <row r="2030" spans="1:23" ht="13.5" hidden="1" thickBot="1" x14ac:dyDescent="0.25">
      <c r="A2030" s="63" t="s">
        <v>147</v>
      </c>
      <c r="B2030" s="895" t="s">
        <v>147</v>
      </c>
      <c r="C2030" s="896"/>
      <c r="D2030" s="906" t="s">
        <v>229</v>
      </c>
      <c r="E2030" s="907">
        <f>DMT!$F$39</f>
        <v>150</v>
      </c>
      <c r="F2030" s="908">
        <v>2.52E-2</v>
      </c>
      <c r="G2030" s="949">
        <f t="shared" ref="G2030:G2031" si="536">IF(E2030&lt;=30,(1.07*E2030+2.68)*F2030,((1.07*30+2.68)+1.07*(E2030-30))*F2030)</f>
        <v>4.1121360000000005</v>
      </c>
      <c r="H2030" s="901"/>
      <c r="I2030" s="901"/>
      <c r="J2030" s="902">
        <f t="shared" si="517"/>
        <v>0</v>
      </c>
      <c r="K2030" s="903"/>
      <c r="L2030" s="1039">
        <f>ROUND(SUM('RES. CENTRAL PARK:RUA_FINAL'!L2030),2)</f>
        <v>0</v>
      </c>
      <c r="M2030" s="1039">
        <f t="shared" si="524"/>
        <v>0</v>
      </c>
      <c r="N2030" s="893">
        <f t="shared" si="525"/>
        <v>0</v>
      </c>
      <c r="O2030" s="905"/>
      <c r="P2030" s="36" t="str">
        <f>IF(N2028&gt;0,"xx",IF(N2028&gt;0,"xy",""))</f>
        <v/>
      </c>
      <c r="Q2030" s="317" t="str">
        <f t="shared" si="526"/>
        <v/>
      </c>
      <c r="R2030" s="317" t="str">
        <f t="shared" si="527"/>
        <v/>
      </c>
      <c r="S2030" s="317" t="str">
        <f t="shared" si="528"/>
        <v/>
      </c>
      <c r="V2030" s="314">
        <f>SUM('RES. CENTRAL PARK:RUA_FINAL'!N2030)</f>
        <v>0</v>
      </c>
      <c r="W2030" s="315">
        <f t="shared" si="529"/>
        <v>0</v>
      </c>
    </row>
    <row r="2031" spans="1:23" ht="13.5" hidden="1" thickBot="1" x14ac:dyDescent="0.25">
      <c r="A2031" s="63" t="s">
        <v>147</v>
      </c>
      <c r="B2031" s="895" t="s">
        <v>147</v>
      </c>
      <c r="C2031" s="896"/>
      <c r="D2031" s="906" t="s">
        <v>336</v>
      </c>
      <c r="E2031" s="907">
        <f>DMT!$F$38</f>
        <v>40</v>
      </c>
      <c r="F2031" s="908">
        <v>1</v>
      </c>
      <c r="G2031" s="949">
        <f t="shared" si="536"/>
        <v>45.480000000000004</v>
      </c>
      <c r="H2031" s="901"/>
      <c r="I2031" s="901"/>
      <c r="J2031" s="902">
        <f t="shared" si="517"/>
        <v>0</v>
      </c>
      <c r="K2031" s="903"/>
      <c r="L2031" s="1039">
        <f>ROUND(SUM('RES. CENTRAL PARK:RUA_FINAL'!L2031),2)</f>
        <v>0</v>
      </c>
      <c r="M2031" s="1039">
        <f t="shared" si="524"/>
        <v>0</v>
      </c>
      <c r="N2031" s="893">
        <f t="shared" si="525"/>
        <v>0</v>
      </c>
      <c r="O2031" s="905"/>
      <c r="P2031" s="36" t="str">
        <f>IF(N2028&gt;0,"xx",IF(N2028&gt;0,"xy",""))</f>
        <v/>
      </c>
      <c r="Q2031" s="317" t="str">
        <f t="shared" si="526"/>
        <v/>
      </c>
      <c r="R2031" s="317" t="str">
        <f t="shared" si="527"/>
        <v/>
      </c>
      <c r="S2031" s="317" t="str">
        <f t="shared" si="528"/>
        <v/>
      </c>
      <c r="V2031" s="314">
        <f>SUM('RES. CENTRAL PARK:RUA_FINAL'!N2031)</f>
        <v>0</v>
      </c>
      <c r="W2031" s="315">
        <f t="shared" si="529"/>
        <v>0</v>
      </c>
    </row>
    <row r="2032" spans="1:23" ht="13.5" hidden="1" thickBot="1" x14ac:dyDescent="0.25">
      <c r="A2032" s="63">
        <v>611200</v>
      </c>
      <c r="B2032" s="895" t="s">
        <v>1847</v>
      </c>
      <c r="C2032" s="896" t="s">
        <v>184</v>
      </c>
      <c r="D2032" s="906" t="s">
        <v>2032</v>
      </c>
      <c r="E2032" s="907"/>
      <c r="F2032" s="908"/>
      <c r="G2032" s="912">
        <f>SUM(G2033:G2035)</f>
        <v>72.586438000000001</v>
      </c>
      <c r="H2032" s="901">
        <v>1026.27</v>
      </c>
      <c r="I2032" s="901">
        <f>IF(ISBLANK(H2032),"",SUM(G2032:H2032))</f>
        <v>1098.856438</v>
      </c>
      <c r="J2032" s="902">
        <f t="shared" si="517"/>
        <v>1319.4</v>
      </c>
      <c r="K2032" s="903" t="s">
        <v>13</v>
      </c>
      <c r="L2032" s="1039">
        <f>ROUND(SUM('RES. CENTRAL PARK:RUA_FINAL'!L2032),2)</f>
        <v>0</v>
      </c>
      <c r="M2032" s="1039">
        <f t="shared" si="524"/>
        <v>0</v>
      </c>
      <c r="N2032" s="893">
        <f t="shared" si="525"/>
        <v>0</v>
      </c>
      <c r="O2032" s="905"/>
      <c r="Q2032" s="317" t="str">
        <f t="shared" si="526"/>
        <v/>
      </c>
      <c r="R2032" s="317" t="str">
        <f t="shared" si="527"/>
        <v/>
      </c>
      <c r="S2032" s="317" t="str">
        <f t="shared" si="528"/>
        <v/>
      </c>
      <c r="V2032" s="314">
        <f>SUM('RES. CENTRAL PARK:RUA_FINAL'!N2032)</f>
        <v>0</v>
      </c>
      <c r="W2032" s="315">
        <f t="shared" si="529"/>
        <v>0</v>
      </c>
    </row>
    <row r="2033" spans="1:23" ht="13.5" hidden="1" thickBot="1" x14ac:dyDescent="0.25">
      <c r="A2033" s="63" t="s">
        <v>147</v>
      </c>
      <c r="B2033" s="895" t="s">
        <v>147</v>
      </c>
      <c r="C2033" s="896"/>
      <c r="D2033" s="906" t="s">
        <v>190</v>
      </c>
      <c r="E2033" s="907">
        <f>DMT!$D$41</f>
        <v>308</v>
      </c>
      <c r="F2033" s="908">
        <v>6.4999999999999997E-3</v>
      </c>
      <c r="G2033" s="909">
        <f>IF(E2033&lt;=30,(0.78*E2033+7.82)*F2033,((0.78*30+7.82)+0.78*(E2033-30))*F2033)</f>
        <v>1.61239</v>
      </c>
      <c r="H2033" s="901"/>
      <c r="I2033" s="901"/>
      <c r="J2033" s="902">
        <f t="shared" si="517"/>
        <v>0</v>
      </c>
      <c r="K2033" s="903"/>
      <c r="L2033" s="1039">
        <f>ROUND(SUM('RES. CENTRAL PARK:RUA_FINAL'!L2033),2)</f>
        <v>0</v>
      </c>
      <c r="M2033" s="1039">
        <f t="shared" si="524"/>
        <v>0</v>
      </c>
      <c r="N2033" s="893">
        <f t="shared" si="525"/>
        <v>0</v>
      </c>
      <c r="O2033" s="905"/>
      <c r="P2033" s="36" t="str">
        <f>IF(N2032&gt;0,"xx",IF(N2032&gt;0,"xy",""))</f>
        <v/>
      </c>
      <c r="Q2033" s="317" t="str">
        <f t="shared" si="526"/>
        <v/>
      </c>
      <c r="R2033" s="317" t="str">
        <f t="shared" si="527"/>
        <v/>
      </c>
      <c r="S2033" s="317" t="str">
        <f t="shared" si="528"/>
        <v/>
      </c>
      <c r="V2033" s="314">
        <f>SUM('RES. CENTRAL PARK:RUA_FINAL'!N2033)</f>
        <v>0</v>
      </c>
      <c r="W2033" s="315">
        <f t="shared" si="529"/>
        <v>0</v>
      </c>
    </row>
    <row r="2034" spans="1:23" ht="13.5" hidden="1" thickBot="1" x14ac:dyDescent="0.25">
      <c r="A2034" s="63" t="s">
        <v>147</v>
      </c>
      <c r="B2034" s="895" t="s">
        <v>147</v>
      </c>
      <c r="C2034" s="896"/>
      <c r="D2034" s="906" t="s">
        <v>229</v>
      </c>
      <c r="E2034" s="907">
        <f>DMT!$F$39</f>
        <v>150</v>
      </c>
      <c r="F2034" s="908">
        <v>3.3599999999999998E-2</v>
      </c>
      <c r="G2034" s="949">
        <f t="shared" ref="G2034:G2035" si="537">IF(E2034&lt;=30,(1.07*E2034+2.68)*F2034,((1.07*30+2.68)+1.07*(E2034-30))*F2034)</f>
        <v>5.4828479999999997</v>
      </c>
      <c r="H2034" s="901"/>
      <c r="I2034" s="901"/>
      <c r="J2034" s="902">
        <f t="shared" si="517"/>
        <v>0</v>
      </c>
      <c r="K2034" s="903"/>
      <c r="L2034" s="1039">
        <f>ROUND(SUM('RES. CENTRAL PARK:RUA_FINAL'!L2034),2)</f>
        <v>0</v>
      </c>
      <c r="M2034" s="1039">
        <f t="shared" si="524"/>
        <v>0</v>
      </c>
      <c r="N2034" s="893">
        <f t="shared" si="525"/>
        <v>0</v>
      </c>
      <c r="O2034" s="905"/>
      <c r="P2034" s="36" t="str">
        <f>IF(N2032&gt;0,"xx",IF(N2032&gt;0,"xy",""))</f>
        <v/>
      </c>
      <c r="Q2034" s="317" t="str">
        <f t="shared" si="526"/>
        <v/>
      </c>
      <c r="R2034" s="317" t="str">
        <f t="shared" si="527"/>
        <v/>
      </c>
      <c r="S2034" s="317" t="str">
        <f t="shared" si="528"/>
        <v/>
      </c>
      <c r="V2034" s="314">
        <f>SUM('RES. CENTRAL PARK:RUA_FINAL'!N2034)</f>
        <v>0</v>
      </c>
      <c r="W2034" s="315">
        <f t="shared" si="529"/>
        <v>0</v>
      </c>
    </row>
    <row r="2035" spans="1:23" ht="13.5" hidden="1" thickBot="1" x14ac:dyDescent="0.25">
      <c r="A2035" s="63" t="s">
        <v>147</v>
      </c>
      <c r="B2035" s="895" t="s">
        <v>147</v>
      </c>
      <c r="C2035" s="896"/>
      <c r="D2035" s="906" t="s">
        <v>336</v>
      </c>
      <c r="E2035" s="907">
        <f>DMT!$F$38</f>
        <v>40</v>
      </c>
      <c r="F2035" s="908">
        <v>1.44</v>
      </c>
      <c r="G2035" s="949">
        <f t="shared" si="537"/>
        <v>65.491200000000006</v>
      </c>
      <c r="H2035" s="901"/>
      <c r="I2035" s="901"/>
      <c r="J2035" s="902">
        <f t="shared" si="517"/>
        <v>0</v>
      </c>
      <c r="K2035" s="903"/>
      <c r="L2035" s="1039">
        <f>ROUND(SUM('RES. CENTRAL PARK:RUA_FINAL'!L2035),2)</f>
        <v>0</v>
      </c>
      <c r="M2035" s="1039">
        <f t="shared" si="524"/>
        <v>0</v>
      </c>
      <c r="N2035" s="893">
        <f t="shared" si="525"/>
        <v>0</v>
      </c>
      <c r="O2035" s="905"/>
      <c r="P2035" s="36" t="str">
        <f>IF(N2032&gt;0,"xx",IF(N2032&gt;0,"xy",""))</f>
        <v/>
      </c>
      <c r="Q2035" s="317" t="str">
        <f t="shared" si="526"/>
        <v/>
      </c>
      <c r="R2035" s="317" t="str">
        <f t="shared" si="527"/>
        <v/>
      </c>
      <c r="S2035" s="317" t="str">
        <f t="shared" si="528"/>
        <v/>
      </c>
      <c r="V2035" s="314">
        <f>SUM('RES. CENTRAL PARK:RUA_FINAL'!N2035)</f>
        <v>0</v>
      </c>
      <c r="W2035" s="315">
        <f t="shared" si="529"/>
        <v>0</v>
      </c>
    </row>
    <row r="2036" spans="1:23" ht="13.5" hidden="1" thickBot="1" x14ac:dyDescent="0.25">
      <c r="A2036" s="63">
        <v>611400</v>
      </c>
      <c r="B2036" s="895" t="s">
        <v>1850</v>
      </c>
      <c r="C2036" s="896" t="s">
        <v>184</v>
      </c>
      <c r="D2036" s="906" t="s">
        <v>2033</v>
      </c>
      <c r="E2036" s="907"/>
      <c r="F2036" s="908"/>
      <c r="G2036" s="912">
        <f>SUM(G2037:G2039)</f>
        <v>83.904846000000006</v>
      </c>
      <c r="H2036" s="901">
        <v>1267.57</v>
      </c>
      <c r="I2036" s="901">
        <f>IF(ISBLANK(H2036),"",SUM(G2036:H2036))</f>
        <v>1351.4748459999998</v>
      </c>
      <c r="J2036" s="902">
        <f t="shared" si="517"/>
        <v>1622.72</v>
      </c>
      <c r="K2036" s="903" t="s">
        <v>13</v>
      </c>
      <c r="L2036" s="1039">
        <f>ROUND(SUM('RES. CENTRAL PARK:RUA_FINAL'!L2036),2)</f>
        <v>0</v>
      </c>
      <c r="M2036" s="1039">
        <f t="shared" si="524"/>
        <v>0</v>
      </c>
      <c r="N2036" s="893">
        <f t="shared" si="525"/>
        <v>0</v>
      </c>
      <c r="O2036" s="905"/>
      <c r="Q2036" s="317" t="str">
        <f t="shared" si="526"/>
        <v/>
      </c>
      <c r="R2036" s="317" t="str">
        <f t="shared" si="527"/>
        <v/>
      </c>
      <c r="S2036" s="317" t="str">
        <f t="shared" si="528"/>
        <v/>
      </c>
      <c r="V2036" s="314">
        <f>SUM('RES. CENTRAL PARK:RUA_FINAL'!N2036)</f>
        <v>0</v>
      </c>
      <c r="W2036" s="315">
        <f t="shared" si="529"/>
        <v>0</v>
      </c>
    </row>
    <row r="2037" spans="1:23" ht="13.5" hidden="1" thickBot="1" x14ac:dyDescent="0.25">
      <c r="A2037" s="63" t="s">
        <v>147</v>
      </c>
      <c r="B2037" s="895" t="s">
        <v>147</v>
      </c>
      <c r="C2037" s="896"/>
      <c r="D2037" s="906" t="s">
        <v>190</v>
      </c>
      <c r="E2037" s="907">
        <f>DMT!$D$41</f>
        <v>308</v>
      </c>
      <c r="F2037" s="908">
        <v>8.0999999999999996E-3</v>
      </c>
      <c r="G2037" s="909">
        <f>IF(E2037&lt;=30,(0.78*E2037+7.82)*F2037,((0.78*30+7.82)+0.78*(E2037-30))*F2037)</f>
        <v>2.0092859999999999</v>
      </c>
      <c r="H2037" s="901"/>
      <c r="I2037" s="901" t="str">
        <f>IF(ISBLANK(H2037),"",SUM(G2037:H2037))</f>
        <v/>
      </c>
      <c r="J2037" s="902">
        <f t="shared" si="517"/>
        <v>0</v>
      </c>
      <c r="K2037" s="903"/>
      <c r="L2037" s="1039">
        <f>ROUND(SUM('RES. CENTRAL PARK:RUA_FINAL'!L2037),2)</f>
        <v>0</v>
      </c>
      <c r="M2037" s="1039">
        <f t="shared" si="524"/>
        <v>0</v>
      </c>
      <c r="N2037" s="893">
        <f t="shared" si="525"/>
        <v>0</v>
      </c>
      <c r="O2037" s="905"/>
      <c r="P2037" s="36" t="str">
        <f>IF(N2036&gt;0,"xx",IF(N2036&gt;0,"xy",""))</f>
        <v/>
      </c>
      <c r="Q2037" s="317" t="str">
        <f t="shared" si="526"/>
        <v/>
      </c>
      <c r="R2037" s="317" t="str">
        <f t="shared" si="527"/>
        <v/>
      </c>
      <c r="S2037" s="317" t="str">
        <f t="shared" si="528"/>
        <v/>
      </c>
      <c r="V2037" s="314">
        <f>SUM('RES. CENTRAL PARK:RUA_FINAL'!N2037)</f>
        <v>0</v>
      </c>
      <c r="W2037" s="315">
        <f t="shared" si="529"/>
        <v>0</v>
      </c>
    </row>
    <row r="2038" spans="1:23" ht="13.5" hidden="1" thickBot="1" x14ac:dyDescent="0.25">
      <c r="A2038" s="63" t="s">
        <v>147</v>
      </c>
      <c r="B2038" s="895" t="s">
        <v>147</v>
      </c>
      <c r="C2038" s="896"/>
      <c r="D2038" s="906" t="s">
        <v>229</v>
      </c>
      <c r="E2038" s="907">
        <f>DMT!$F$39</f>
        <v>150</v>
      </c>
      <c r="F2038" s="908">
        <v>4.2000000000000003E-2</v>
      </c>
      <c r="G2038" s="949">
        <f t="shared" ref="G2038:G2039" si="538">IF(E2038&lt;=30,(1.07*E2038+2.68)*F2038,((1.07*30+2.68)+1.07*(E2038-30))*F2038)</f>
        <v>6.8535600000000008</v>
      </c>
      <c r="H2038" s="901"/>
      <c r="I2038" s="901" t="str">
        <f>IF(ISBLANK(H2038),"",SUM(G2038:H2038))</f>
        <v/>
      </c>
      <c r="J2038" s="902">
        <f t="shared" si="517"/>
        <v>0</v>
      </c>
      <c r="K2038" s="903"/>
      <c r="L2038" s="1039">
        <f>ROUND(SUM('RES. CENTRAL PARK:RUA_FINAL'!L2038),2)</f>
        <v>0</v>
      </c>
      <c r="M2038" s="1039">
        <f t="shared" si="524"/>
        <v>0</v>
      </c>
      <c r="N2038" s="893">
        <f t="shared" si="525"/>
        <v>0</v>
      </c>
      <c r="O2038" s="905"/>
      <c r="P2038" s="36" t="str">
        <f>IF(N2036&gt;0,"xx",IF(N2036&gt;0,"xy",""))</f>
        <v/>
      </c>
      <c r="Q2038" s="317" t="str">
        <f t="shared" si="526"/>
        <v/>
      </c>
      <c r="R2038" s="317" t="str">
        <f t="shared" si="527"/>
        <v/>
      </c>
      <c r="S2038" s="317" t="str">
        <f t="shared" si="528"/>
        <v/>
      </c>
      <c r="V2038" s="314">
        <f>SUM('RES. CENTRAL PARK:RUA_FINAL'!N2038)</f>
        <v>0</v>
      </c>
      <c r="W2038" s="315">
        <f t="shared" si="529"/>
        <v>0</v>
      </c>
    </row>
    <row r="2039" spans="1:23" ht="13.5" hidden="1" thickBot="1" x14ac:dyDescent="0.25">
      <c r="A2039" s="63" t="s">
        <v>147</v>
      </c>
      <c r="B2039" s="895" t="s">
        <v>147</v>
      </c>
      <c r="C2039" s="896"/>
      <c r="D2039" s="906" t="s">
        <v>336</v>
      </c>
      <c r="E2039" s="907">
        <f>DMT!$F$38</f>
        <v>40</v>
      </c>
      <c r="F2039" s="908">
        <v>1.65</v>
      </c>
      <c r="G2039" s="949">
        <f t="shared" si="538"/>
        <v>75.042000000000002</v>
      </c>
      <c r="H2039" s="901"/>
      <c r="I2039" s="901" t="str">
        <f>IF(ISBLANK(H2039),"",SUM(G2039:H2039))</f>
        <v/>
      </c>
      <c r="J2039" s="902">
        <f t="shared" si="517"/>
        <v>0</v>
      </c>
      <c r="K2039" s="903"/>
      <c r="L2039" s="1039">
        <f>ROUND(SUM('RES. CENTRAL PARK:RUA_FINAL'!L2039),2)</f>
        <v>0</v>
      </c>
      <c r="M2039" s="1039">
        <f t="shared" si="524"/>
        <v>0</v>
      </c>
      <c r="N2039" s="893">
        <f t="shared" si="525"/>
        <v>0</v>
      </c>
      <c r="O2039" s="905"/>
      <c r="P2039" s="36" t="str">
        <f>IF(N2036&gt;0,"xx",IF(N2036&gt;0,"xy",""))</f>
        <v/>
      </c>
      <c r="Q2039" s="317" t="str">
        <f t="shared" si="526"/>
        <v/>
      </c>
      <c r="R2039" s="317" t="str">
        <f t="shared" si="527"/>
        <v/>
      </c>
      <c r="S2039" s="317" t="str">
        <f t="shared" si="528"/>
        <v/>
      </c>
      <c r="V2039" s="314">
        <f>SUM('RES. CENTRAL PARK:RUA_FINAL'!N2039)</f>
        <v>0</v>
      </c>
      <c r="W2039" s="315">
        <f t="shared" si="529"/>
        <v>0</v>
      </c>
    </row>
    <row r="2040" spans="1:23" ht="13.5" hidden="1" thickBot="1" x14ac:dyDescent="0.25">
      <c r="A2040" s="63">
        <v>611400</v>
      </c>
      <c r="B2040" s="895" t="s">
        <v>1851</v>
      </c>
      <c r="C2040" s="896" t="s">
        <v>184</v>
      </c>
      <c r="D2040" s="906" t="s">
        <v>2034</v>
      </c>
      <c r="E2040" s="907"/>
      <c r="F2040" s="908"/>
      <c r="G2040" s="912">
        <f>SUM(G2041:G2043)</f>
        <v>101.90895</v>
      </c>
      <c r="H2040" s="901">
        <v>1267.57</v>
      </c>
      <c r="I2040" s="901">
        <f>IF(ISBLANK(H2040),"",SUM(G2040:H2040))</f>
        <v>1369.4789499999999</v>
      </c>
      <c r="J2040" s="902">
        <f t="shared" si="517"/>
        <v>1644.33</v>
      </c>
      <c r="K2040" s="903" t="s">
        <v>13</v>
      </c>
      <c r="L2040" s="1039">
        <f>ROUND(SUM('RES. CENTRAL PARK:RUA_FINAL'!L2040),2)</f>
        <v>0</v>
      </c>
      <c r="M2040" s="1039">
        <f t="shared" si="524"/>
        <v>0</v>
      </c>
      <c r="N2040" s="893">
        <f t="shared" si="525"/>
        <v>0</v>
      </c>
      <c r="O2040" s="905"/>
      <c r="Q2040" s="317" t="str">
        <f t="shared" si="526"/>
        <v/>
      </c>
      <c r="R2040" s="317" t="str">
        <f t="shared" si="527"/>
        <v/>
      </c>
      <c r="S2040" s="317" t="str">
        <f t="shared" si="528"/>
        <v/>
      </c>
      <c r="V2040" s="314">
        <f>SUM('RES. CENTRAL PARK:RUA_FINAL'!N2040)</f>
        <v>0</v>
      </c>
      <c r="W2040" s="315">
        <f t="shared" si="529"/>
        <v>0</v>
      </c>
    </row>
    <row r="2041" spans="1:23" ht="13.5" hidden="1" thickBot="1" x14ac:dyDescent="0.25">
      <c r="A2041" s="63" t="s">
        <v>147</v>
      </c>
      <c r="B2041" s="895" t="s">
        <v>147</v>
      </c>
      <c r="C2041" s="896"/>
      <c r="D2041" s="906" t="s">
        <v>190</v>
      </c>
      <c r="E2041" s="907">
        <f>DMT!$D$41</f>
        <v>308</v>
      </c>
      <c r="F2041" s="908">
        <v>9.1999999999999998E-3</v>
      </c>
      <c r="G2041" s="909">
        <f>IF(E2041&lt;=30,(0.78*E2041+7.82)*F2041,((0.78*30+7.82)+0.78*(E2041-30))*F2041)</f>
        <v>2.282152</v>
      </c>
      <c r="H2041" s="901"/>
      <c r="I2041" s="901"/>
      <c r="J2041" s="902">
        <f t="shared" si="517"/>
        <v>0</v>
      </c>
      <c r="K2041" s="903"/>
      <c r="L2041" s="1039">
        <f>ROUND(SUM('RES. CENTRAL PARK:RUA_FINAL'!L2041),2)</f>
        <v>0</v>
      </c>
      <c r="M2041" s="1039">
        <f t="shared" si="524"/>
        <v>0</v>
      </c>
      <c r="N2041" s="893">
        <f t="shared" si="525"/>
        <v>0</v>
      </c>
      <c r="O2041" s="905"/>
      <c r="P2041" s="36" t="str">
        <f>IF(N2040&gt;0,"xx",IF(N2040&gt;0,"xy",""))</f>
        <v/>
      </c>
      <c r="Q2041" s="317" t="str">
        <f t="shared" si="526"/>
        <v/>
      </c>
      <c r="R2041" s="317" t="str">
        <f t="shared" si="527"/>
        <v/>
      </c>
      <c r="S2041" s="317" t="str">
        <f t="shared" si="528"/>
        <v/>
      </c>
      <c r="V2041" s="314">
        <f>SUM('RES. CENTRAL PARK:RUA_FINAL'!N2041)</f>
        <v>0</v>
      </c>
      <c r="W2041" s="315">
        <f t="shared" si="529"/>
        <v>0</v>
      </c>
    </row>
    <row r="2042" spans="1:23" ht="13.5" hidden="1" thickBot="1" x14ac:dyDescent="0.25">
      <c r="A2042" s="63" t="s">
        <v>147</v>
      </c>
      <c r="B2042" s="895" t="s">
        <v>147</v>
      </c>
      <c r="C2042" s="896"/>
      <c r="D2042" s="906" t="s">
        <v>229</v>
      </c>
      <c r="E2042" s="907">
        <f>DMT!$F$39</f>
        <v>150</v>
      </c>
      <c r="F2042" s="908">
        <v>4.7899999999999998E-2</v>
      </c>
      <c r="G2042" s="949">
        <f t="shared" ref="G2042:G2043" si="539">IF(E2042&lt;=30,(1.07*E2042+2.68)*F2042,((1.07*30+2.68)+1.07*(E2042-30))*F2042)</f>
        <v>7.8163220000000004</v>
      </c>
      <c r="H2042" s="901"/>
      <c r="I2042" s="901"/>
      <c r="J2042" s="902">
        <f t="shared" ref="J2042:J2105" si="540">IF(ISBLANK(H2042),0,ROUND(I2042*(1+$E$10),2))</f>
        <v>0</v>
      </c>
      <c r="K2042" s="903"/>
      <c r="L2042" s="1039">
        <f>ROUND(SUM('RES. CENTRAL PARK:RUA_FINAL'!L2042),2)</f>
        <v>0</v>
      </c>
      <c r="M2042" s="1039">
        <f t="shared" si="524"/>
        <v>0</v>
      </c>
      <c r="N2042" s="893">
        <f t="shared" si="525"/>
        <v>0</v>
      </c>
      <c r="O2042" s="905"/>
      <c r="P2042" s="36" t="str">
        <f>IF(N2040&gt;0,"xx",IF(N2040&gt;0,"xy",""))</f>
        <v/>
      </c>
      <c r="Q2042" s="317" t="str">
        <f t="shared" si="526"/>
        <v/>
      </c>
      <c r="R2042" s="317" t="str">
        <f t="shared" si="527"/>
        <v/>
      </c>
      <c r="S2042" s="317" t="str">
        <f t="shared" si="528"/>
        <v/>
      </c>
      <c r="V2042" s="314">
        <f>SUM('RES. CENTRAL PARK:RUA_FINAL'!N2042)</f>
        <v>0</v>
      </c>
      <c r="W2042" s="315">
        <f t="shared" si="529"/>
        <v>0</v>
      </c>
    </row>
    <row r="2043" spans="1:23" ht="13.5" hidden="1" thickBot="1" x14ac:dyDescent="0.25">
      <c r="A2043" s="63" t="s">
        <v>147</v>
      </c>
      <c r="B2043" s="895" t="s">
        <v>147</v>
      </c>
      <c r="C2043" s="896"/>
      <c r="D2043" s="906" t="s">
        <v>336</v>
      </c>
      <c r="E2043" s="907">
        <f>DMT!$F$38</f>
        <v>40</v>
      </c>
      <c r="F2043" s="908">
        <v>2.0186999999999999</v>
      </c>
      <c r="G2043" s="949">
        <f t="shared" si="539"/>
        <v>91.810476000000008</v>
      </c>
      <c r="H2043" s="901"/>
      <c r="I2043" s="901"/>
      <c r="J2043" s="902">
        <f t="shared" si="540"/>
        <v>0</v>
      </c>
      <c r="K2043" s="903"/>
      <c r="L2043" s="1039">
        <f>ROUND(SUM('RES. CENTRAL PARK:RUA_FINAL'!L2043),2)</f>
        <v>0</v>
      </c>
      <c r="M2043" s="1039">
        <f t="shared" si="524"/>
        <v>0</v>
      </c>
      <c r="N2043" s="893">
        <f t="shared" si="525"/>
        <v>0</v>
      </c>
      <c r="O2043" s="905"/>
      <c r="P2043" s="36" t="str">
        <f>IF(N2040&gt;0,"xx",IF(N2040&gt;0,"xy",""))</f>
        <v/>
      </c>
      <c r="Q2043" s="317" t="str">
        <f t="shared" si="526"/>
        <v/>
      </c>
      <c r="R2043" s="317" t="str">
        <f t="shared" si="527"/>
        <v/>
      </c>
      <c r="S2043" s="317" t="str">
        <f t="shared" si="528"/>
        <v/>
      </c>
      <c r="V2043" s="314">
        <f>SUM('RES. CENTRAL PARK:RUA_FINAL'!N2043)</f>
        <v>0</v>
      </c>
      <c r="W2043" s="315">
        <f t="shared" si="529"/>
        <v>0</v>
      </c>
    </row>
    <row r="2044" spans="1:23" ht="13.5" hidden="1" thickBot="1" x14ac:dyDescent="0.25">
      <c r="A2044" s="63">
        <v>611600</v>
      </c>
      <c r="B2044" s="895" t="s">
        <v>1853</v>
      </c>
      <c r="C2044" s="896" t="s">
        <v>184</v>
      </c>
      <c r="D2044" s="906" t="s">
        <v>2035</v>
      </c>
      <c r="E2044" s="907"/>
      <c r="F2044" s="908"/>
      <c r="G2044" s="912">
        <f>SUM(G2045:G2047)</f>
        <v>108.41245400000001</v>
      </c>
      <c r="H2044" s="901">
        <v>3058.31</v>
      </c>
      <c r="I2044" s="901">
        <f>IF(ISBLANK(H2044),"",SUM(G2044:H2044))</f>
        <v>3166.7224539999997</v>
      </c>
      <c r="J2044" s="902">
        <f t="shared" si="540"/>
        <v>3802.28</v>
      </c>
      <c r="K2044" s="903" t="s">
        <v>13</v>
      </c>
      <c r="L2044" s="1039">
        <f>ROUND(SUM('RES. CENTRAL PARK:RUA_FINAL'!L2044),2)</f>
        <v>0</v>
      </c>
      <c r="M2044" s="1039">
        <f t="shared" si="524"/>
        <v>0</v>
      </c>
      <c r="N2044" s="893">
        <f t="shared" si="525"/>
        <v>0</v>
      </c>
      <c r="O2044" s="905"/>
      <c r="Q2044" s="317" t="str">
        <f t="shared" si="526"/>
        <v/>
      </c>
      <c r="R2044" s="317" t="str">
        <f t="shared" si="527"/>
        <v/>
      </c>
      <c r="S2044" s="317" t="str">
        <f t="shared" si="528"/>
        <v/>
      </c>
      <c r="V2044" s="314">
        <f>SUM('RES. CENTRAL PARK:RUA_FINAL'!N2044)</f>
        <v>0</v>
      </c>
      <c r="W2044" s="315">
        <f t="shared" si="529"/>
        <v>0</v>
      </c>
    </row>
    <row r="2045" spans="1:23" ht="13.5" hidden="1" thickBot="1" x14ac:dyDescent="0.25">
      <c r="A2045" s="63" t="s">
        <v>147</v>
      </c>
      <c r="B2045" s="895" t="s">
        <v>147</v>
      </c>
      <c r="C2045" s="896"/>
      <c r="D2045" s="906" t="s">
        <v>190</v>
      </c>
      <c r="E2045" s="907">
        <f>DMT!$D$41</f>
        <v>308</v>
      </c>
      <c r="F2045" s="908">
        <v>9.7000000000000003E-3</v>
      </c>
      <c r="G2045" s="909">
        <f>IF(E2045&lt;=30,(0.78*E2045+7.82)*F2045,((0.78*30+7.82)+0.78*(E2045-30))*F2045)</f>
        <v>2.4061820000000003</v>
      </c>
      <c r="H2045" s="901"/>
      <c r="I2045" s="901"/>
      <c r="J2045" s="902">
        <f t="shared" si="540"/>
        <v>0</v>
      </c>
      <c r="K2045" s="903"/>
      <c r="L2045" s="1039">
        <f>ROUND(SUM('RES. CENTRAL PARK:RUA_FINAL'!L2045),2)</f>
        <v>0</v>
      </c>
      <c r="M2045" s="1039">
        <f t="shared" si="524"/>
        <v>0</v>
      </c>
      <c r="N2045" s="893">
        <f t="shared" si="525"/>
        <v>0</v>
      </c>
      <c r="O2045" s="905"/>
      <c r="P2045" s="36" t="str">
        <f>IF(N2044&gt;0,"xx",IF(N2044&gt;0,"xy",""))</f>
        <v/>
      </c>
      <c r="Q2045" s="317" t="str">
        <f t="shared" si="526"/>
        <v/>
      </c>
      <c r="R2045" s="317" t="str">
        <f t="shared" si="527"/>
        <v/>
      </c>
      <c r="S2045" s="317" t="str">
        <f t="shared" si="528"/>
        <v/>
      </c>
      <c r="V2045" s="314">
        <f>SUM('RES. CENTRAL PARK:RUA_FINAL'!N2045)</f>
        <v>0</v>
      </c>
      <c r="W2045" s="315">
        <f t="shared" si="529"/>
        <v>0</v>
      </c>
    </row>
    <row r="2046" spans="1:23" ht="13.5" hidden="1" thickBot="1" x14ac:dyDescent="0.25">
      <c r="A2046" s="63" t="s">
        <v>147</v>
      </c>
      <c r="B2046" s="895" t="s">
        <v>147</v>
      </c>
      <c r="C2046" s="896"/>
      <c r="D2046" s="906" t="s">
        <v>229</v>
      </c>
      <c r="E2046" s="907">
        <f>DMT!$F$39</f>
        <v>150</v>
      </c>
      <c r="F2046" s="908">
        <v>5.04E-2</v>
      </c>
      <c r="G2046" s="949">
        <f t="shared" ref="G2046:G2047" si="541">IF(E2046&lt;=30,(1.07*E2046+2.68)*F2046,((1.07*30+2.68)+1.07*(E2046-30))*F2046)</f>
        <v>8.2242720000000009</v>
      </c>
      <c r="H2046" s="901"/>
      <c r="I2046" s="901"/>
      <c r="J2046" s="902">
        <f t="shared" si="540"/>
        <v>0</v>
      </c>
      <c r="K2046" s="903"/>
      <c r="L2046" s="1039">
        <f>ROUND(SUM('RES. CENTRAL PARK:RUA_FINAL'!L2046),2)</f>
        <v>0</v>
      </c>
      <c r="M2046" s="1039">
        <f t="shared" si="524"/>
        <v>0</v>
      </c>
      <c r="N2046" s="893">
        <f t="shared" si="525"/>
        <v>0</v>
      </c>
      <c r="O2046" s="905"/>
      <c r="P2046" s="36" t="str">
        <f>IF(N2044&gt;0,"xx",IF(N2044&gt;0,"xy",""))</f>
        <v/>
      </c>
      <c r="Q2046" s="317" t="str">
        <f t="shared" si="526"/>
        <v/>
      </c>
      <c r="R2046" s="317" t="str">
        <f t="shared" si="527"/>
        <v/>
      </c>
      <c r="S2046" s="317" t="str">
        <f t="shared" si="528"/>
        <v/>
      </c>
      <c r="V2046" s="314">
        <f>SUM('RES. CENTRAL PARK:RUA_FINAL'!N2046)</f>
        <v>0</v>
      </c>
      <c r="W2046" s="315">
        <f t="shared" si="529"/>
        <v>0</v>
      </c>
    </row>
    <row r="2047" spans="1:23" ht="13.5" hidden="1" thickBot="1" x14ac:dyDescent="0.25">
      <c r="A2047" s="63" t="s">
        <v>147</v>
      </c>
      <c r="B2047" s="895" t="s">
        <v>147</v>
      </c>
      <c r="C2047" s="896"/>
      <c r="D2047" s="906" t="s">
        <v>336</v>
      </c>
      <c r="E2047" s="907">
        <f>DMT!$F$38</f>
        <v>40</v>
      </c>
      <c r="F2047" s="908">
        <v>2.15</v>
      </c>
      <c r="G2047" s="949">
        <f t="shared" si="541"/>
        <v>97.782000000000011</v>
      </c>
      <c r="H2047" s="901"/>
      <c r="I2047" s="901"/>
      <c r="J2047" s="902">
        <f t="shared" si="540"/>
        <v>0</v>
      </c>
      <c r="K2047" s="903"/>
      <c r="L2047" s="1039">
        <f>ROUND(SUM('RES. CENTRAL PARK:RUA_FINAL'!L2047),2)</f>
        <v>0</v>
      </c>
      <c r="M2047" s="1039">
        <f t="shared" si="524"/>
        <v>0</v>
      </c>
      <c r="N2047" s="893">
        <f t="shared" si="525"/>
        <v>0</v>
      </c>
      <c r="O2047" s="905"/>
      <c r="P2047" s="36" t="str">
        <f>IF(N2044&gt;0,"xx",IF(N2044&gt;0,"xy",""))</f>
        <v/>
      </c>
      <c r="Q2047" s="317" t="str">
        <f t="shared" si="526"/>
        <v/>
      </c>
      <c r="R2047" s="317" t="str">
        <f t="shared" si="527"/>
        <v/>
      </c>
      <c r="S2047" s="317" t="str">
        <f t="shared" si="528"/>
        <v/>
      </c>
      <c r="V2047" s="314">
        <f>SUM('RES. CENTRAL PARK:RUA_FINAL'!N2047)</f>
        <v>0</v>
      </c>
      <c r="W2047" s="315">
        <f t="shared" si="529"/>
        <v>0</v>
      </c>
    </row>
    <row r="2048" spans="1:23" ht="13.5" hidden="1" thickBot="1" x14ac:dyDescent="0.25">
      <c r="A2048" s="63">
        <v>610500</v>
      </c>
      <c r="B2048" s="895">
        <v>610500</v>
      </c>
      <c r="C2048" s="896" t="s">
        <v>184</v>
      </c>
      <c r="D2048" s="906" t="s">
        <v>2036</v>
      </c>
      <c r="E2048" s="907"/>
      <c r="F2048" s="908"/>
      <c r="G2048" s="912">
        <f>SUM(G2049:G2052)</f>
        <v>26.827718600000001</v>
      </c>
      <c r="H2048" s="901">
        <v>206.29</v>
      </c>
      <c r="I2048" s="901">
        <f>IF(ISBLANK(H2048),"",SUM(G2048:H2048))</f>
        <v>233.11771859999999</v>
      </c>
      <c r="J2048" s="902">
        <f t="shared" si="540"/>
        <v>279.89999999999998</v>
      </c>
      <c r="K2048" s="903" t="s">
        <v>13</v>
      </c>
      <c r="L2048" s="1039">
        <f>ROUND(SUM('RES. CENTRAL PARK:RUA_FINAL'!L2048),2)</f>
        <v>0</v>
      </c>
      <c r="M2048" s="1039">
        <f t="shared" si="524"/>
        <v>0</v>
      </c>
      <c r="N2048" s="893">
        <f t="shared" si="525"/>
        <v>0</v>
      </c>
      <c r="O2048" s="905"/>
      <c r="Q2048" s="317" t="str">
        <f t="shared" si="526"/>
        <v/>
      </c>
      <c r="R2048" s="317" t="str">
        <f t="shared" si="527"/>
        <v/>
      </c>
      <c r="S2048" s="317" t="str">
        <f t="shared" si="528"/>
        <v/>
      </c>
      <c r="V2048" s="314">
        <f>SUM('RES. CENTRAL PARK:RUA_FINAL'!N2048)</f>
        <v>0</v>
      </c>
      <c r="W2048" s="315">
        <f t="shared" si="529"/>
        <v>0</v>
      </c>
    </row>
    <row r="2049" spans="1:23" ht="13.5" hidden="1" thickBot="1" x14ac:dyDescent="0.25">
      <c r="A2049" s="63" t="s">
        <v>147</v>
      </c>
      <c r="B2049" s="895" t="s">
        <v>147</v>
      </c>
      <c r="C2049" s="896"/>
      <c r="D2049" s="906" t="s">
        <v>190</v>
      </c>
      <c r="E2049" s="907">
        <f>DMT!$D$41</f>
        <v>308</v>
      </c>
      <c r="F2049" s="908">
        <v>2.2599999999999999E-2</v>
      </c>
      <c r="G2049" s="909">
        <f>IF(E2049&lt;=30,(0.78*E2049+7.82)*F2049,((0.78*30+7.82)+0.78*(E2049-30))*F2049)</f>
        <v>5.6061559999999995</v>
      </c>
      <c r="H2049" s="901"/>
      <c r="I2049" s="901"/>
      <c r="J2049" s="902">
        <f t="shared" si="540"/>
        <v>0</v>
      </c>
      <c r="K2049" s="903"/>
      <c r="L2049" s="1039">
        <f>ROUND(SUM('RES. CENTRAL PARK:RUA_FINAL'!L2049),2)</f>
        <v>0</v>
      </c>
      <c r="M2049" s="1039">
        <f t="shared" si="524"/>
        <v>0</v>
      </c>
      <c r="N2049" s="893">
        <f t="shared" si="525"/>
        <v>0</v>
      </c>
      <c r="O2049" s="905"/>
      <c r="P2049" s="36" t="str">
        <f>IF(N2048&gt;0,"xx",IF(N2048&gt;0,"xy",""))</f>
        <v/>
      </c>
      <c r="Q2049" s="317" t="str">
        <f t="shared" si="526"/>
        <v/>
      </c>
      <c r="R2049" s="317" t="str">
        <f t="shared" si="527"/>
        <v/>
      </c>
      <c r="S2049" s="317" t="str">
        <f t="shared" si="528"/>
        <v/>
      </c>
      <c r="V2049" s="314">
        <f>SUM('RES. CENTRAL PARK:RUA_FINAL'!N2049)</f>
        <v>0</v>
      </c>
      <c r="W2049" s="315">
        <f t="shared" si="529"/>
        <v>0</v>
      </c>
    </row>
    <row r="2050" spans="1:23" ht="13.5" hidden="1" thickBot="1" x14ac:dyDescent="0.25">
      <c r="A2050" s="63" t="s">
        <v>147</v>
      </c>
      <c r="B2050" s="895" t="s">
        <v>147</v>
      </c>
      <c r="C2050" s="896"/>
      <c r="D2050" s="906" t="s">
        <v>229</v>
      </c>
      <c r="E2050" s="907">
        <f>DMT!$F$39</f>
        <v>150</v>
      </c>
      <c r="F2050" s="908">
        <v>8.3900000000000002E-2</v>
      </c>
      <c r="G2050" s="949">
        <f t="shared" ref="G2050:G2052" si="542">IF(E2050&lt;=30,(1.07*E2050+2.68)*F2050,((1.07*30+2.68)+1.07*(E2050-30))*F2050)</f>
        <v>13.690802000000001</v>
      </c>
      <c r="H2050" s="901"/>
      <c r="I2050" s="901"/>
      <c r="J2050" s="902">
        <f t="shared" si="540"/>
        <v>0</v>
      </c>
      <c r="K2050" s="903"/>
      <c r="L2050" s="1039">
        <f>ROUND(SUM('RES. CENTRAL PARK:RUA_FINAL'!L2050),2)</f>
        <v>0</v>
      </c>
      <c r="M2050" s="1039">
        <f t="shared" si="524"/>
        <v>0</v>
      </c>
      <c r="N2050" s="893">
        <f t="shared" si="525"/>
        <v>0</v>
      </c>
      <c r="O2050" s="905"/>
      <c r="P2050" s="36" t="str">
        <f>IF(N2048&gt;0,"xx",IF(N2048&gt;0,"xy",""))</f>
        <v/>
      </c>
      <c r="Q2050" s="317" t="str">
        <f t="shared" si="526"/>
        <v/>
      </c>
      <c r="R2050" s="317" t="str">
        <f t="shared" si="527"/>
        <v/>
      </c>
      <c r="S2050" s="317" t="str">
        <f t="shared" si="528"/>
        <v/>
      </c>
      <c r="V2050" s="314">
        <f>SUM('RES. CENTRAL PARK:RUA_FINAL'!N2050)</f>
        <v>0</v>
      </c>
      <c r="W2050" s="315">
        <f t="shared" si="529"/>
        <v>0</v>
      </c>
    </row>
    <row r="2051" spans="1:23" ht="13.5" hidden="1" thickBot="1" x14ac:dyDescent="0.25">
      <c r="A2051" s="63" t="s">
        <v>147</v>
      </c>
      <c r="B2051" s="895" t="s">
        <v>147</v>
      </c>
      <c r="C2051" s="896"/>
      <c r="D2051" s="906" t="s">
        <v>233</v>
      </c>
      <c r="E2051" s="907">
        <f>DMT!$F$40</f>
        <v>0.2</v>
      </c>
      <c r="F2051" s="908">
        <v>0.13490000000000002</v>
      </c>
      <c r="G2051" s="949">
        <f t="shared" si="542"/>
        <v>0.3904006000000001</v>
      </c>
      <c r="H2051" s="901"/>
      <c r="I2051" s="901"/>
      <c r="J2051" s="902">
        <f t="shared" si="540"/>
        <v>0</v>
      </c>
      <c r="K2051" s="903"/>
      <c r="L2051" s="1039">
        <f>ROUND(SUM('RES. CENTRAL PARK:RUA_FINAL'!L2051),2)</f>
        <v>0</v>
      </c>
      <c r="M2051" s="1039">
        <f t="shared" si="524"/>
        <v>0</v>
      </c>
      <c r="N2051" s="893">
        <f t="shared" si="525"/>
        <v>0</v>
      </c>
      <c r="O2051" s="905"/>
      <c r="P2051" s="36" t="str">
        <f>IF(N2048&gt;0,"xx",IF(N2048&gt;0,"xy",""))</f>
        <v/>
      </c>
      <c r="Q2051" s="317" t="str">
        <f t="shared" si="526"/>
        <v/>
      </c>
      <c r="R2051" s="317" t="str">
        <f t="shared" si="527"/>
        <v/>
      </c>
      <c r="S2051" s="317" t="str">
        <f t="shared" si="528"/>
        <v/>
      </c>
      <c r="V2051" s="314">
        <f>SUM('RES. CENTRAL PARK:RUA_FINAL'!N2051)</f>
        <v>0</v>
      </c>
      <c r="W2051" s="315">
        <f t="shared" si="529"/>
        <v>0</v>
      </c>
    </row>
    <row r="2052" spans="1:23" ht="13.5" hidden="1" thickBot="1" x14ac:dyDescent="0.25">
      <c r="A2052" s="63" t="s">
        <v>147</v>
      </c>
      <c r="B2052" s="895" t="s">
        <v>147</v>
      </c>
      <c r="C2052" s="896"/>
      <c r="D2052" s="906" t="s">
        <v>336</v>
      </c>
      <c r="E2052" s="907">
        <f>DMT!$F$38</f>
        <v>40</v>
      </c>
      <c r="F2052" s="908">
        <v>0.157</v>
      </c>
      <c r="G2052" s="949">
        <f t="shared" si="542"/>
        <v>7.1403600000000003</v>
      </c>
      <c r="H2052" s="901"/>
      <c r="I2052" s="901"/>
      <c r="J2052" s="902">
        <f t="shared" si="540"/>
        <v>0</v>
      </c>
      <c r="K2052" s="903"/>
      <c r="L2052" s="1039">
        <f>ROUND(SUM('RES. CENTRAL PARK:RUA_FINAL'!L2052),2)</f>
        <v>0</v>
      </c>
      <c r="M2052" s="1039">
        <f t="shared" si="524"/>
        <v>0</v>
      </c>
      <c r="N2052" s="893">
        <f t="shared" si="525"/>
        <v>0</v>
      </c>
      <c r="O2052" s="905"/>
      <c r="P2052" s="36" t="str">
        <f>IF(N2048&gt;0,"xx",IF(N2048&gt;0,"xy",""))</f>
        <v/>
      </c>
      <c r="Q2052" s="317" t="str">
        <f t="shared" si="526"/>
        <v/>
      </c>
      <c r="R2052" s="317" t="str">
        <f t="shared" si="527"/>
        <v/>
      </c>
      <c r="S2052" s="317" t="str">
        <f t="shared" si="528"/>
        <v/>
      </c>
      <c r="V2052" s="314">
        <f>SUM('RES. CENTRAL PARK:RUA_FINAL'!N2052)</f>
        <v>0</v>
      </c>
      <c r="W2052" s="315">
        <f t="shared" si="529"/>
        <v>0</v>
      </c>
    </row>
    <row r="2053" spans="1:23" ht="13.5" hidden="1" thickBot="1" x14ac:dyDescent="0.25">
      <c r="A2053" s="63">
        <v>610700</v>
      </c>
      <c r="B2053" s="895" t="s">
        <v>1838</v>
      </c>
      <c r="C2053" s="896" t="s">
        <v>184</v>
      </c>
      <c r="D2053" s="906" t="s">
        <v>2037</v>
      </c>
      <c r="E2053" s="907"/>
      <c r="F2053" s="908"/>
      <c r="G2053" s="912">
        <f>SUM(G2054:G2057)</f>
        <v>36.158851400000003</v>
      </c>
      <c r="H2053" s="901">
        <v>412.12</v>
      </c>
      <c r="I2053" s="901">
        <f>IF(ISBLANK(H2053),"",SUM(G2053:H2053))</f>
        <v>448.27885140000001</v>
      </c>
      <c r="J2053" s="902">
        <f t="shared" si="540"/>
        <v>538.25</v>
      </c>
      <c r="K2053" s="903" t="s">
        <v>13</v>
      </c>
      <c r="L2053" s="1039">
        <f>ROUND(SUM('RES. CENTRAL PARK:RUA_FINAL'!L2053),2)</f>
        <v>0</v>
      </c>
      <c r="M2053" s="1039">
        <f t="shared" si="524"/>
        <v>0</v>
      </c>
      <c r="N2053" s="893">
        <f t="shared" si="525"/>
        <v>0</v>
      </c>
      <c r="O2053" s="905"/>
      <c r="Q2053" s="317" t="str">
        <f t="shared" si="526"/>
        <v/>
      </c>
      <c r="R2053" s="317" t="str">
        <f t="shared" si="527"/>
        <v/>
      </c>
      <c r="S2053" s="317" t="str">
        <f t="shared" si="528"/>
        <v/>
      </c>
      <c r="V2053" s="314">
        <f>SUM('RES. CENTRAL PARK:RUA_FINAL'!N2053)</f>
        <v>0</v>
      </c>
      <c r="W2053" s="315">
        <f t="shared" si="529"/>
        <v>0</v>
      </c>
    </row>
    <row r="2054" spans="1:23" ht="13.5" hidden="1" thickBot="1" x14ac:dyDescent="0.25">
      <c r="A2054" s="63" t="s">
        <v>147</v>
      </c>
      <c r="B2054" s="895" t="s">
        <v>147</v>
      </c>
      <c r="C2054" s="896"/>
      <c r="D2054" s="906" t="s">
        <v>190</v>
      </c>
      <c r="E2054" s="907">
        <f>DMT!$D$41</f>
        <v>308</v>
      </c>
      <c r="F2054" s="908">
        <v>2.86E-2</v>
      </c>
      <c r="G2054" s="909">
        <f>IF(E2054&lt;=30,(0.78*E2054+7.82)*F2054,((0.78*30+7.82)+0.78*(E2054-30))*F2054)</f>
        <v>7.0945160000000005</v>
      </c>
      <c r="H2054" s="901"/>
      <c r="I2054" s="901"/>
      <c r="J2054" s="902">
        <f t="shared" si="540"/>
        <v>0</v>
      </c>
      <c r="K2054" s="903"/>
      <c r="L2054" s="1039">
        <f>ROUND(SUM('RES. CENTRAL PARK:RUA_FINAL'!L2054),2)</f>
        <v>0</v>
      </c>
      <c r="M2054" s="1039">
        <f t="shared" si="524"/>
        <v>0</v>
      </c>
      <c r="N2054" s="893">
        <f t="shared" si="525"/>
        <v>0</v>
      </c>
      <c r="O2054" s="905"/>
      <c r="P2054" s="36" t="str">
        <f>IF(N2053&gt;0,"xx",IF(N2053&gt;0,"xy",""))</f>
        <v/>
      </c>
      <c r="Q2054" s="317" t="str">
        <f t="shared" si="526"/>
        <v/>
      </c>
      <c r="R2054" s="317" t="str">
        <f t="shared" si="527"/>
        <v/>
      </c>
      <c r="S2054" s="317" t="str">
        <f t="shared" si="528"/>
        <v/>
      </c>
      <c r="V2054" s="314">
        <f>SUM('RES. CENTRAL PARK:RUA_FINAL'!N2054)</f>
        <v>0</v>
      </c>
      <c r="W2054" s="315">
        <f t="shared" si="529"/>
        <v>0</v>
      </c>
    </row>
    <row r="2055" spans="1:23" ht="13.5" hidden="1" thickBot="1" x14ac:dyDescent="0.25">
      <c r="A2055" s="63" t="s">
        <v>147</v>
      </c>
      <c r="B2055" s="895" t="s">
        <v>147</v>
      </c>
      <c r="C2055" s="896"/>
      <c r="D2055" s="906" t="s">
        <v>229</v>
      </c>
      <c r="E2055" s="907">
        <f>DMT!$F$39</f>
        <v>150</v>
      </c>
      <c r="F2055" s="908">
        <v>0.10539999999999999</v>
      </c>
      <c r="G2055" s="949">
        <f t="shared" ref="G2055:G2057" si="543">IF(E2055&lt;=30,(1.07*E2055+2.68)*F2055,((1.07*30+2.68)+1.07*(E2055-30))*F2055)</f>
        <v>17.199172000000001</v>
      </c>
      <c r="H2055" s="901"/>
      <c r="I2055" s="901"/>
      <c r="J2055" s="902">
        <f t="shared" si="540"/>
        <v>0</v>
      </c>
      <c r="K2055" s="903"/>
      <c r="L2055" s="1039">
        <f>ROUND(SUM('RES. CENTRAL PARK:RUA_FINAL'!L2055),2)</f>
        <v>0</v>
      </c>
      <c r="M2055" s="1039">
        <f t="shared" si="524"/>
        <v>0</v>
      </c>
      <c r="N2055" s="893">
        <f t="shared" si="525"/>
        <v>0</v>
      </c>
      <c r="O2055" s="905"/>
      <c r="P2055" s="36" t="str">
        <f>IF(N2053&gt;0,"xx",IF(N2053&gt;0,"xy",""))</f>
        <v/>
      </c>
      <c r="Q2055" s="317" t="str">
        <f t="shared" si="526"/>
        <v/>
      </c>
      <c r="R2055" s="317" t="str">
        <f t="shared" si="527"/>
        <v/>
      </c>
      <c r="S2055" s="317" t="str">
        <f t="shared" si="528"/>
        <v/>
      </c>
      <c r="V2055" s="314">
        <f>SUM('RES. CENTRAL PARK:RUA_FINAL'!N2055)</f>
        <v>0</v>
      </c>
      <c r="W2055" s="315">
        <f t="shared" si="529"/>
        <v>0</v>
      </c>
    </row>
    <row r="2056" spans="1:23" ht="13.5" hidden="1" thickBot="1" x14ac:dyDescent="0.25">
      <c r="A2056" s="63" t="s">
        <v>147</v>
      </c>
      <c r="B2056" s="895" t="s">
        <v>147</v>
      </c>
      <c r="C2056" s="896"/>
      <c r="D2056" s="906" t="s">
        <v>233</v>
      </c>
      <c r="E2056" s="907">
        <f>DMT!$F$40</f>
        <v>0.2</v>
      </c>
      <c r="F2056" s="908">
        <v>0.1711</v>
      </c>
      <c r="G2056" s="949">
        <f t="shared" si="543"/>
        <v>0.49516340000000003</v>
      </c>
      <c r="H2056" s="901"/>
      <c r="I2056" s="901"/>
      <c r="J2056" s="902">
        <f t="shared" si="540"/>
        <v>0</v>
      </c>
      <c r="K2056" s="903"/>
      <c r="L2056" s="1039">
        <f>ROUND(SUM('RES. CENTRAL PARK:RUA_FINAL'!L2056),2)</f>
        <v>0</v>
      </c>
      <c r="M2056" s="1039">
        <f t="shared" si="524"/>
        <v>0</v>
      </c>
      <c r="N2056" s="893">
        <f t="shared" si="525"/>
        <v>0</v>
      </c>
      <c r="O2056" s="905"/>
      <c r="P2056" s="36" t="str">
        <f>IF(N2053&gt;0,"xx",IF(N2053&gt;0,"xy",""))</f>
        <v/>
      </c>
      <c r="Q2056" s="317" t="str">
        <f t="shared" si="526"/>
        <v/>
      </c>
      <c r="R2056" s="317" t="str">
        <f t="shared" si="527"/>
        <v/>
      </c>
      <c r="S2056" s="317" t="str">
        <f t="shared" si="528"/>
        <v/>
      </c>
      <c r="V2056" s="314">
        <f>SUM('RES. CENTRAL PARK:RUA_FINAL'!N2056)</f>
        <v>0</v>
      </c>
      <c r="W2056" s="315">
        <f t="shared" si="529"/>
        <v>0</v>
      </c>
    </row>
    <row r="2057" spans="1:23" ht="13.5" hidden="1" thickBot="1" x14ac:dyDescent="0.25">
      <c r="A2057" s="63" t="s">
        <v>147</v>
      </c>
      <c r="B2057" s="895" t="s">
        <v>147</v>
      </c>
      <c r="C2057" s="896"/>
      <c r="D2057" s="906" t="s">
        <v>336</v>
      </c>
      <c r="E2057" s="907">
        <f>DMT!$F$38</f>
        <v>40</v>
      </c>
      <c r="F2057" s="908">
        <v>0.25</v>
      </c>
      <c r="G2057" s="949">
        <f t="shared" si="543"/>
        <v>11.370000000000001</v>
      </c>
      <c r="H2057" s="901"/>
      <c r="I2057" s="901"/>
      <c r="J2057" s="902">
        <f t="shared" si="540"/>
        <v>0</v>
      </c>
      <c r="K2057" s="903"/>
      <c r="L2057" s="1039">
        <f>ROUND(SUM('RES. CENTRAL PARK:RUA_FINAL'!L2057),2)</f>
        <v>0</v>
      </c>
      <c r="M2057" s="1039">
        <f t="shared" si="524"/>
        <v>0</v>
      </c>
      <c r="N2057" s="893">
        <f t="shared" si="525"/>
        <v>0</v>
      </c>
      <c r="O2057" s="905"/>
      <c r="P2057" s="36" t="str">
        <f>IF(N2053&gt;0,"xx",IF(N2053&gt;0,"xy",""))</f>
        <v/>
      </c>
      <c r="Q2057" s="317" t="str">
        <f t="shared" si="526"/>
        <v/>
      </c>
      <c r="R2057" s="317" t="str">
        <f t="shared" si="527"/>
        <v/>
      </c>
      <c r="S2057" s="317" t="str">
        <f t="shared" si="528"/>
        <v/>
      </c>
      <c r="V2057" s="314">
        <f>SUM('RES. CENTRAL PARK:RUA_FINAL'!N2057)</f>
        <v>0</v>
      </c>
      <c r="W2057" s="315">
        <f t="shared" si="529"/>
        <v>0</v>
      </c>
    </row>
    <row r="2058" spans="1:23" ht="13.5" hidden="1" thickBot="1" x14ac:dyDescent="0.25">
      <c r="A2058" s="63">
        <v>610700</v>
      </c>
      <c r="B2058" s="895" t="s">
        <v>1839</v>
      </c>
      <c r="C2058" s="896" t="s">
        <v>184</v>
      </c>
      <c r="D2058" s="906" t="s">
        <v>2038</v>
      </c>
      <c r="E2058" s="907"/>
      <c r="F2058" s="908"/>
      <c r="G2058" s="912">
        <f>SUM(G2059:G2062)</f>
        <v>42.690898200000007</v>
      </c>
      <c r="H2058" s="901">
        <v>412.12</v>
      </c>
      <c r="I2058" s="901">
        <f>IF(ISBLANK(H2058),"",SUM(G2058:H2058))</f>
        <v>454.8108982</v>
      </c>
      <c r="J2058" s="902">
        <f t="shared" si="540"/>
        <v>546.09</v>
      </c>
      <c r="K2058" s="903" t="s">
        <v>13</v>
      </c>
      <c r="L2058" s="1039">
        <f>ROUND(SUM('RES. CENTRAL PARK:RUA_FINAL'!L2058),2)</f>
        <v>0</v>
      </c>
      <c r="M2058" s="1039">
        <f t="shared" si="524"/>
        <v>0</v>
      </c>
      <c r="N2058" s="893">
        <f t="shared" si="525"/>
        <v>0</v>
      </c>
      <c r="O2058" s="905"/>
      <c r="Q2058" s="317" t="str">
        <f t="shared" si="526"/>
        <v/>
      </c>
      <c r="R2058" s="317" t="str">
        <f t="shared" si="527"/>
        <v/>
      </c>
      <c r="S2058" s="317" t="str">
        <f t="shared" si="528"/>
        <v/>
      </c>
      <c r="V2058" s="314">
        <f>SUM('RES. CENTRAL PARK:RUA_FINAL'!N2058)</f>
        <v>0</v>
      </c>
      <c r="W2058" s="315">
        <f t="shared" si="529"/>
        <v>0</v>
      </c>
    </row>
    <row r="2059" spans="1:23" ht="13.5" hidden="1" thickBot="1" x14ac:dyDescent="0.25">
      <c r="A2059" s="63" t="s">
        <v>147</v>
      </c>
      <c r="B2059" s="895" t="s">
        <v>147</v>
      </c>
      <c r="C2059" s="896"/>
      <c r="D2059" s="906" t="s">
        <v>190</v>
      </c>
      <c r="E2059" s="907">
        <f>DMT!$D$41</f>
        <v>308</v>
      </c>
      <c r="F2059" s="908">
        <v>3.4500000000000003E-2</v>
      </c>
      <c r="G2059" s="909">
        <f>IF(E2059&lt;=30,(0.78*E2059+7.82)*F2059,((0.78*30+7.82)+0.78*(E2059-30))*F2059)</f>
        <v>8.5580700000000007</v>
      </c>
      <c r="H2059" s="901"/>
      <c r="I2059" s="901"/>
      <c r="J2059" s="902">
        <f t="shared" si="540"/>
        <v>0</v>
      </c>
      <c r="K2059" s="903"/>
      <c r="L2059" s="1039">
        <f>ROUND(SUM('RES. CENTRAL PARK:RUA_FINAL'!L2059),2)</f>
        <v>0</v>
      </c>
      <c r="M2059" s="1039">
        <f t="shared" si="524"/>
        <v>0</v>
      </c>
      <c r="N2059" s="893">
        <f t="shared" si="525"/>
        <v>0</v>
      </c>
      <c r="O2059" s="905"/>
      <c r="P2059" s="36" t="str">
        <f>IF(N2058&gt;0,"xx",IF(N2058&gt;0,"xy",""))</f>
        <v/>
      </c>
      <c r="Q2059" s="317" t="str">
        <f t="shared" si="526"/>
        <v/>
      </c>
      <c r="R2059" s="317" t="str">
        <f t="shared" si="527"/>
        <v/>
      </c>
      <c r="S2059" s="317" t="str">
        <f t="shared" si="528"/>
        <v/>
      </c>
      <c r="V2059" s="314">
        <f>SUM('RES. CENTRAL PARK:RUA_FINAL'!N2059)</f>
        <v>0</v>
      </c>
      <c r="W2059" s="315">
        <f t="shared" si="529"/>
        <v>0</v>
      </c>
    </row>
    <row r="2060" spans="1:23" ht="13.5" hidden="1" thickBot="1" x14ac:dyDescent="0.25">
      <c r="A2060" s="63" t="s">
        <v>147</v>
      </c>
      <c r="B2060" s="895" t="s">
        <v>147</v>
      </c>
      <c r="C2060" s="896"/>
      <c r="D2060" s="906" t="s">
        <v>229</v>
      </c>
      <c r="E2060" s="907">
        <f>DMT!$F$39</f>
        <v>150</v>
      </c>
      <c r="F2060" s="908">
        <v>0.12690000000000001</v>
      </c>
      <c r="G2060" s="949">
        <f t="shared" ref="G2060:G2062" si="544">IF(E2060&lt;=30,(1.07*E2060+2.68)*F2060,((1.07*30+2.68)+1.07*(E2060-30))*F2060)</f>
        <v>20.707542000000004</v>
      </c>
      <c r="H2060" s="901"/>
      <c r="I2060" s="901"/>
      <c r="J2060" s="902">
        <f t="shared" si="540"/>
        <v>0</v>
      </c>
      <c r="K2060" s="903"/>
      <c r="L2060" s="1039">
        <f>ROUND(SUM('RES. CENTRAL PARK:RUA_FINAL'!L2060),2)</f>
        <v>0</v>
      </c>
      <c r="M2060" s="1039">
        <f t="shared" si="524"/>
        <v>0</v>
      </c>
      <c r="N2060" s="893">
        <f t="shared" si="525"/>
        <v>0</v>
      </c>
      <c r="O2060" s="905"/>
      <c r="P2060" s="36" t="str">
        <f>IF(N2058&gt;0,"xx",IF(N2058&gt;0,"xy",""))</f>
        <v/>
      </c>
      <c r="Q2060" s="317" t="str">
        <f t="shared" si="526"/>
        <v/>
      </c>
      <c r="R2060" s="317" t="str">
        <f t="shared" si="527"/>
        <v/>
      </c>
      <c r="S2060" s="317" t="str">
        <f t="shared" si="528"/>
        <v/>
      </c>
      <c r="V2060" s="314">
        <f>SUM('RES. CENTRAL PARK:RUA_FINAL'!N2060)</f>
        <v>0</v>
      </c>
      <c r="W2060" s="315">
        <f t="shared" si="529"/>
        <v>0</v>
      </c>
    </row>
    <row r="2061" spans="1:23" ht="13.5" hidden="1" thickBot="1" x14ac:dyDescent="0.25">
      <c r="A2061" s="63" t="s">
        <v>147</v>
      </c>
      <c r="B2061" s="895" t="s">
        <v>147</v>
      </c>
      <c r="C2061" s="896"/>
      <c r="D2061" s="906" t="s">
        <v>233</v>
      </c>
      <c r="E2061" s="907">
        <f>DMT!$F$40</f>
        <v>0.2</v>
      </c>
      <c r="F2061" s="908">
        <v>0.20729999999999998</v>
      </c>
      <c r="G2061" s="949">
        <f t="shared" si="544"/>
        <v>0.59992619999999997</v>
      </c>
      <c r="H2061" s="901"/>
      <c r="I2061" s="901"/>
      <c r="J2061" s="902">
        <f t="shared" si="540"/>
        <v>0</v>
      </c>
      <c r="K2061" s="903"/>
      <c r="L2061" s="1039">
        <f>ROUND(SUM('RES. CENTRAL PARK:RUA_FINAL'!L2061),2)</f>
        <v>0</v>
      </c>
      <c r="M2061" s="1039">
        <f t="shared" si="524"/>
        <v>0</v>
      </c>
      <c r="N2061" s="893">
        <f t="shared" si="525"/>
        <v>0</v>
      </c>
      <c r="O2061" s="905"/>
      <c r="P2061" s="36" t="str">
        <f>IF(N2058&gt;0,"xx",IF(N2058&gt;0,"xy",""))</f>
        <v/>
      </c>
      <c r="Q2061" s="317" t="str">
        <f t="shared" si="526"/>
        <v/>
      </c>
      <c r="R2061" s="317" t="str">
        <f t="shared" si="527"/>
        <v/>
      </c>
      <c r="S2061" s="317" t="str">
        <f t="shared" si="528"/>
        <v/>
      </c>
      <c r="V2061" s="314">
        <f>SUM('RES. CENTRAL PARK:RUA_FINAL'!N2061)</f>
        <v>0</v>
      </c>
      <c r="W2061" s="315">
        <f t="shared" si="529"/>
        <v>0</v>
      </c>
    </row>
    <row r="2062" spans="1:23" ht="13.5" hidden="1" thickBot="1" x14ac:dyDescent="0.25">
      <c r="A2062" s="63" t="s">
        <v>147</v>
      </c>
      <c r="B2062" s="895" t="s">
        <v>147</v>
      </c>
      <c r="C2062" s="896"/>
      <c r="D2062" s="906" t="s">
        <v>336</v>
      </c>
      <c r="E2062" s="907">
        <f>DMT!$F$38</f>
        <v>40</v>
      </c>
      <c r="F2062" s="908">
        <v>0.28199999999999997</v>
      </c>
      <c r="G2062" s="949">
        <f t="shared" si="544"/>
        <v>12.82536</v>
      </c>
      <c r="H2062" s="901"/>
      <c r="I2062" s="901"/>
      <c r="J2062" s="902">
        <f t="shared" si="540"/>
        <v>0</v>
      </c>
      <c r="K2062" s="903"/>
      <c r="L2062" s="1039">
        <f>ROUND(SUM('RES. CENTRAL PARK:RUA_FINAL'!L2062),2)</f>
        <v>0</v>
      </c>
      <c r="M2062" s="1039">
        <f t="shared" si="524"/>
        <v>0</v>
      </c>
      <c r="N2062" s="893">
        <f t="shared" si="525"/>
        <v>0</v>
      </c>
      <c r="O2062" s="905"/>
      <c r="P2062" s="36" t="str">
        <f>IF(N2058&gt;0,"xx",IF(N2058&gt;0,"xy",""))</f>
        <v/>
      </c>
      <c r="Q2062" s="317" t="str">
        <f t="shared" si="526"/>
        <v/>
      </c>
      <c r="R2062" s="317" t="str">
        <f t="shared" si="527"/>
        <v/>
      </c>
      <c r="S2062" s="317" t="str">
        <f t="shared" si="528"/>
        <v/>
      </c>
      <c r="V2062" s="314">
        <f>SUM('RES. CENTRAL PARK:RUA_FINAL'!N2062)</f>
        <v>0</v>
      </c>
      <c r="W2062" s="315">
        <f t="shared" si="529"/>
        <v>0</v>
      </c>
    </row>
    <row r="2063" spans="1:23" ht="13.5" hidden="1" thickBot="1" x14ac:dyDescent="0.25">
      <c r="A2063" s="63">
        <v>610900</v>
      </c>
      <c r="B2063" s="895" t="s">
        <v>1840</v>
      </c>
      <c r="C2063" s="896" t="s">
        <v>184</v>
      </c>
      <c r="D2063" s="906" t="s">
        <v>2039</v>
      </c>
      <c r="E2063" s="907"/>
      <c r="F2063" s="908"/>
      <c r="G2063" s="912">
        <f>SUM(G2064:G2067)</f>
        <v>64.826621799999998</v>
      </c>
      <c r="H2063" s="901">
        <v>677.21</v>
      </c>
      <c r="I2063" s="901">
        <f>IF(ISBLANK(H2063),"",SUM(G2063:H2063))</f>
        <v>742.03662180000003</v>
      </c>
      <c r="J2063" s="902">
        <f t="shared" si="540"/>
        <v>890.96</v>
      </c>
      <c r="K2063" s="903" t="s">
        <v>13</v>
      </c>
      <c r="L2063" s="1039">
        <f>ROUND(SUM('RES. CENTRAL PARK:RUA_FINAL'!L2063),2)</f>
        <v>0</v>
      </c>
      <c r="M2063" s="1039">
        <f t="shared" si="524"/>
        <v>0</v>
      </c>
      <c r="N2063" s="893">
        <f t="shared" si="525"/>
        <v>0</v>
      </c>
      <c r="O2063" s="905"/>
      <c r="Q2063" s="317" t="str">
        <f t="shared" si="526"/>
        <v/>
      </c>
      <c r="R2063" s="317" t="str">
        <f t="shared" si="527"/>
        <v/>
      </c>
      <c r="S2063" s="317" t="str">
        <f t="shared" si="528"/>
        <v/>
      </c>
      <c r="V2063" s="314">
        <f>SUM('RES. CENTRAL PARK:RUA_FINAL'!N2063)</f>
        <v>0</v>
      </c>
      <c r="W2063" s="315">
        <f t="shared" si="529"/>
        <v>0</v>
      </c>
    </row>
    <row r="2064" spans="1:23" ht="13.5" hidden="1" thickBot="1" x14ac:dyDescent="0.25">
      <c r="A2064" s="63" t="s">
        <v>147</v>
      </c>
      <c r="B2064" s="895" t="s">
        <v>147</v>
      </c>
      <c r="C2064" s="896"/>
      <c r="D2064" s="906" t="s">
        <v>190</v>
      </c>
      <c r="E2064" s="907">
        <f>DMT!$D$41</f>
        <v>308</v>
      </c>
      <c r="F2064" s="908">
        <v>4.7199999999999999E-2</v>
      </c>
      <c r="G2064" s="909">
        <f>IF(E2064&lt;=30,(0.78*E2064+7.82)*F2064,((0.78*30+7.82)+0.78*(E2064-30))*F2064)</f>
        <v>11.708432</v>
      </c>
      <c r="H2064" s="901"/>
      <c r="I2064" s="901"/>
      <c r="J2064" s="902">
        <f t="shared" si="540"/>
        <v>0</v>
      </c>
      <c r="K2064" s="903"/>
      <c r="L2064" s="1039">
        <f>ROUND(SUM('RES. CENTRAL PARK:RUA_FINAL'!L2064),2)</f>
        <v>0</v>
      </c>
      <c r="M2064" s="1039">
        <f t="shared" si="524"/>
        <v>0</v>
      </c>
      <c r="N2064" s="893">
        <f t="shared" si="525"/>
        <v>0</v>
      </c>
      <c r="O2064" s="905"/>
      <c r="P2064" s="36" t="str">
        <f>IF(N2063&gt;0,"xx",IF(N2063&gt;0,"xy",""))</f>
        <v/>
      </c>
      <c r="Q2064" s="317" t="str">
        <f t="shared" si="526"/>
        <v/>
      </c>
      <c r="R2064" s="317" t="str">
        <f t="shared" si="527"/>
        <v/>
      </c>
      <c r="S2064" s="317" t="str">
        <f t="shared" si="528"/>
        <v/>
      </c>
      <c r="V2064" s="314">
        <f>SUM('RES. CENTRAL PARK:RUA_FINAL'!N2064)</f>
        <v>0</v>
      </c>
      <c r="W2064" s="315">
        <f t="shared" si="529"/>
        <v>0</v>
      </c>
    </row>
    <row r="2065" spans="1:23" ht="13.5" hidden="1" thickBot="1" x14ac:dyDescent="0.25">
      <c r="A2065" s="63" t="s">
        <v>147</v>
      </c>
      <c r="B2065" s="895" t="s">
        <v>147</v>
      </c>
      <c r="C2065" s="896"/>
      <c r="D2065" s="906" t="s">
        <v>229</v>
      </c>
      <c r="E2065" s="907">
        <f>DMT!$F$39</f>
        <v>150</v>
      </c>
      <c r="F2065" s="908">
        <v>0.17269999999999999</v>
      </c>
      <c r="G2065" s="949">
        <f t="shared" ref="G2065:G2067" si="545">IF(E2065&lt;=30,(1.07*E2065+2.68)*F2065,((1.07*30+2.68)+1.07*(E2065-30))*F2065)</f>
        <v>28.181186</v>
      </c>
      <c r="H2065" s="901"/>
      <c r="I2065" s="901"/>
      <c r="J2065" s="902">
        <f t="shared" si="540"/>
        <v>0</v>
      </c>
      <c r="K2065" s="903"/>
      <c r="L2065" s="1039">
        <f>ROUND(SUM('RES. CENTRAL PARK:RUA_FINAL'!L2065),2)</f>
        <v>0</v>
      </c>
      <c r="M2065" s="1039">
        <f t="shared" si="524"/>
        <v>0</v>
      </c>
      <c r="N2065" s="893">
        <f t="shared" si="525"/>
        <v>0</v>
      </c>
      <c r="O2065" s="905"/>
      <c r="P2065" s="36" t="str">
        <f>IF(N2063&gt;0,"xx",IF(N2063&gt;0,"xy",""))</f>
        <v/>
      </c>
      <c r="Q2065" s="317" t="str">
        <f t="shared" si="526"/>
        <v/>
      </c>
      <c r="R2065" s="317" t="str">
        <f t="shared" si="527"/>
        <v/>
      </c>
      <c r="S2065" s="317" t="str">
        <f t="shared" si="528"/>
        <v/>
      </c>
      <c r="V2065" s="314">
        <f>SUM('RES. CENTRAL PARK:RUA_FINAL'!N2065)</f>
        <v>0</v>
      </c>
      <c r="W2065" s="315">
        <f t="shared" si="529"/>
        <v>0</v>
      </c>
    </row>
    <row r="2066" spans="1:23" ht="13.5" hidden="1" thickBot="1" x14ac:dyDescent="0.25">
      <c r="A2066" s="63" t="s">
        <v>147</v>
      </c>
      <c r="B2066" s="895" t="s">
        <v>147</v>
      </c>
      <c r="C2066" s="896"/>
      <c r="D2066" s="906" t="s">
        <v>233</v>
      </c>
      <c r="E2066" s="907">
        <f>DMT!$F$40</f>
        <v>0.2</v>
      </c>
      <c r="F2066" s="908">
        <v>0.28770000000000001</v>
      </c>
      <c r="G2066" s="949">
        <f t="shared" si="545"/>
        <v>0.83260380000000012</v>
      </c>
      <c r="H2066" s="901"/>
      <c r="I2066" s="901"/>
      <c r="J2066" s="902">
        <f t="shared" si="540"/>
        <v>0</v>
      </c>
      <c r="K2066" s="903"/>
      <c r="L2066" s="1039">
        <f>ROUND(SUM('RES. CENTRAL PARK:RUA_FINAL'!L2066),2)</f>
        <v>0</v>
      </c>
      <c r="M2066" s="1039">
        <f t="shared" ref="M2066:M2129" si="546">IF(L2066=0,0,ROUND(J2066,2))</f>
        <v>0</v>
      </c>
      <c r="N2066" s="893">
        <f t="shared" ref="N2066:N2129" si="547">IF(ISBLANK(L2066),0,ROUND(L2066*M2066,2))</f>
        <v>0</v>
      </c>
      <c r="O2066" s="905"/>
      <c r="P2066" s="36" t="str">
        <f>IF(N2063&gt;0,"xx",IF(N2063&gt;0,"xy",""))</f>
        <v/>
      </c>
      <c r="Q2066" s="317" t="str">
        <f t="shared" ref="Q2066:Q2129" si="548">IF(P2066="X","x",IF(P2066="xx","x",IF(P2066="xy","x",IF(P2066="y","x",IF(OR(N2066&gt;0,N2066&gt;0),"x","")))))</f>
        <v/>
      </c>
      <c r="R2066" s="317" t="str">
        <f t="shared" ref="R2066:R2129" si="549">IF(P2066="X","x",IF(P2066="y","x",IF(P2066="xx","x",IF(N2066&gt;0,"x",""))))</f>
        <v/>
      </c>
      <c r="S2066" s="317" t="str">
        <f t="shared" ref="S2066:S2129" si="550">IF(P2066="X","x",IF(N2066&gt;0,"x",""))</f>
        <v/>
      </c>
      <c r="V2066" s="314">
        <f>SUM('RES. CENTRAL PARK:RUA_FINAL'!N2066)</f>
        <v>0</v>
      </c>
      <c r="W2066" s="315">
        <f t="shared" si="529"/>
        <v>0</v>
      </c>
    </row>
    <row r="2067" spans="1:23" ht="13.5" hidden="1" thickBot="1" x14ac:dyDescent="0.25">
      <c r="A2067" s="63" t="s">
        <v>147</v>
      </c>
      <c r="B2067" s="895" t="s">
        <v>147</v>
      </c>
      <c r="C2067" s="896"/>
      <c r="D2067" s="906" t="s">
        <v>336</v>
      </c>
      <c r="E2067" s="907">
        <f>DMT!$F$38</f>
        <v>40</v>
      </c>
      <c r="F2067" s="908">
        <v>0.53</v>
      </c>
      <c r="G2067" s="949">
        <f t="shared" si="545"/>
        <v>24.104400000000002</v>
      </c>
      <c r="H2067" s="901"/>
      <c r="I2067" s="901"/>
      <c r="J2067" s="902">
        <f t="shared" si="540"/>
        <v>0</v>
      </c>
      <c r="K2067" s="903"/>
      <c r="L2067" s="1039">
        <f>ROUND(SUM('RES. CENTRAL PARK:RUA_FINAL'!L2067),2)</f>
        <v>0</v>
      </c>
      <c r="M2067" s="1039">
        <f t="shared" si="546"/>
        <v>0</v>
      </c>
      <c r="N2067" s="893">
        <f t="shared" si="547"/>
        <v>0</v>
      </c>
      <c r="O2067" s="905"/>
      <c r="P2067" s="36" t="str">
        <f>IF(N2063&gt;0,"xx",IF(N2063&gt;0,"xy",""))</f>
        <v/>
      </c>
      <c r="Q2067" s="317" t="str">
        <f t="shared" si="548"/>
        <v/>
      </c>
      <c r="R2067" s="317" t="str">
        <f t="shared" si="549"/>
        <v/>
      </c>
      <c r="S2067" s="317" t="str">
        <f t="shared" si="550"/>
        <v/>
      </c>
      <c r="V2067" s="314">
        <f>SUM('RES. CENTRAL PARK:RUA_FINAL'!N2067)</f>
        <v>0</v>
      </c>
      <c r="W2067" s="315">
        <f t="shared" si="529"/>
        <v>0</v>
      </c>
    </row>
    <row r="2068" spans="1:23" ht="13.5" hidden="1" thickBot="1" x14ac:dyDescent="0.25">
      <c r="A2068" s="63">
        <v>610900</v>
      </c>
      <c r="B2068" s="895" t="s">
        <v>1841</v>
      </c>
      <c r="C2068" s="896" t="s">
        <v>184</v>
      </c>
      <c r="D2068" s="906" t="s">
        <v>2040</v>
      </c>
      <c r="E2068" s="907"/>
      <c r="F2068" s="908"/>
      <c r="G2068" s="912">
        <f>SUM(G2069:G2072)</f>
        <v>82.943787400000019</v>
      </c>
      <c r="H2068" s="901">
        <v>677.21</v>
      </c>
      <c r="I2068" s="901">
        <f>IF(ISBLANK(H2068),"",SUM(G2068:H2068))</f>
        <v>760.15378740000006</v>
      </c>
      <c r="J2068" s="902">
        <f t="shared" si="540"/>
        <v>912.72</v>
      </c>
      <c r="K2068" s="903" t="s">
        <v>13</v>
      </c>
      <c r="L2068" s="1039">
        <f>ROUND(SUM('RES. CENTRAL PARK:RUA_FINAL'!L2068),2)</f>
        <v>0</v>
      </c>
      <c r="M2068" s="1039">
        <f t="shared" si="546"/>
        <v>0</v>
      </c>
      <c r="N2068" s="893">
        <f t="shared" si="547"/>
        <v>0</v>
      </c>
      <c r="O2068" s="905"/>
      <c r="Q2068" s="317" t="str">
        <f t="shared" si="548"/>
        <v/>
      </c>
      <c r="R2068" s="317" t="str">
        <f t="shared" si="549"/>
        <v/>
      </c>
      <c r="S2068" s="317" t="str">
        <f t="shared" si="550"/>
        <v/>
      </c>
      <c r="V2068" s="314">
        <f>SUM('RES. CENTRAL PARK:RUA_FINAL'!N2068)</f>
        <v>0</v>
      </c>
      <c r="W2068" s="315">
        <f t="shared" si="529"/>
        <v>0</v>
      </c>
    </row>
    <row r="2069" spans="1:23" ht="13.5" hidden="1" thickBot="1" x14ac:dyDescent="0.25">
      <c r="A2069" s="63" t="s">
        <v>147</v>
      </c>
      <c r="B2069" s="895" t="s">
        <v>147</v>
      </c>
      <c r="C2069" s="896"/>
      <c r="D2069" s="906" t="s">
        <v>190</v>
      </c>
      <c r="E2069" s="907">
        <f>DMT!$D$41</f>
        <v>308</v>
      </c>
      <c r="F2069" s="908">
        <v>5.9900000000000002E-2</v>
      </c>
      <c r="G2069" s="909">
        <f>IF(E2069&lt;=30,(0.78*E2069+7.82)*F2069,((0.78*30+7.82)+0.78*(E2069-30))*F2069)</f>
        <v>14.858794000000001</v>
      </c>
      <c r="H2069" s="901"/>
      <c r="I2069" s="901"/>
      <c r="J2069" s="902">
        <f t="shared" si="540"/>
        <v>0</v>
      </c>
      <c r="K2069" s="903"/>
      <c r="L2069" s="1039">
        <f>ROUND(SUM('RES. CENTRAL PARK:RUA_FINAL'!L2069),2)</f>
        <v>0</v>
      </c>
      <c r="M2069" s="1039">
        <f t="shared" si="546"/>
        <v>0</v>
      </c>
      <c r="N2069" s="893">
        <f t="shared" si="547"/>
        <v>0</v>
      </c>
      <c r="O2069" s="905"/>
      <c r="P2069" s="36" t="str">
        <f>IF(N2068&gt;0,"xx",IF(N2068&gt;0,"xy",""))</f>
        <v/>
      </c>
      <c r="Q2069" s="317" t="str">
        <f t="shared" si="548"/>
        <v/>
      </c>
      <c r="R2069" s="317" t="str">
        <f t="shared" si="549"/>
        <v/>
      </c>
      <c r="S2069" s="317" t="str">
        <f t="shared" si="550"/>
        <v/>
      </c>
      <c r="V2069" s="314">
        <f>SUM('RES. CENTRAL PARK:RUA_FINAL'!N2069)</f>
        <v>0</v>
      </c>
      <c r="W2069" s="315">
        <f t="shared" ref="W2069:W2132" si="551">N2069-V2069</f>
        <v>0</v>
      </c>
    </row>
    <row r="2070" spans="1:23" ht="13.5" hidden="1" thickBot="1" x14ac:dyDescent="0.25">
      <c r="A2070" s="63" t="s">
        <v>147</v>
      </c>
      <c r="B2070" s="895" t="s">
        <v>147</v>
      </c>
      <c r="C2070" s="896"/>
      <c r="D2070" s="906" t="s">
        <v>229</v>
      </c>
      <c r="E2070" s="907">
        <f>DMT!$F$39</f>
        <v>150</v>
      </c>
      <c r="F2070" s="908">
        <v>0.21840000000000001</v>
      </c>
      <c r="G2070" s="949">
        <f t="shared" ref="G2070:G2072" si="552">IF(E2070&lt;=30,(1.07*E2070+2.68)*F2070,((1.07*30+2.68)+1.07*(E2070-30))*F2070)</f>
        <v>35.638512000000006</v>
      </c>
      <c r="H2070" s="901"/>
      <c r="I2070" s="901"/>
      <c r="J2070" s="902">
        <f t="shared" si="540"/>
        <v>0</v>
      </c>
      <c r="K2070" s="903"/>
      <c r="L2070" s="1039">
        <f>ROUND(SUM('RES. CENTRAL PARK:RUA_FINAL'!L2070),2)</f>
        <v>0</v>
      </c>
      <c r="M2070" s="1039">
        <f t="shared" si="546"/>
        <v>0</v>
      </c>
      <c r="N2070" s="893">
        <f t="shared" si="547"/>
        <v>0</v>
      </c>
      <c r="O2070" s="905"/>
      <c r="P2070" s="36" t="str">
        <f>IF(N2068&gt;0,"xx",IF(N2068&gt;0,"xy",""))</f>
        <v/>
      </c>
      <c r="Q2070" s="317" t="str">
        <f t="shared" si="548"/>
        <v/>
      </c>
      <c r="R2070" s="317" t="str">
        <f t="shared" si="549"/>
        <v/>
      </c>
      <c r="S2070" s="317" t="str">
        <f t="shared" si="550"/>
        <v/>
      </c>
      <c r="V2070" s="314">
        <f>SUM('RES. CENTRAL PARK:RUA_FINAL'!N2070)</f>
        <v>0</v>
      </c>
      <c r="W2070" s="315">
        <f t="shared" si="551"/>
        <v>0</v>
      </c>
    </row>
    <row r="2071" spans="1:23" ht="13.5" hidden="1" thickBot="1" x14ac:dyDescent="0.25">
      <c r="A2071" s="63" t="s">
        <v>147</v>
      </c>
      <c r="B2071" s="895" t="s">
        <v>147</v>
      </c>
      <c r="C2071" s="896"/>
      <c r="D2071" s="906" t="s">
        <v>233</v>
      </c>
      <c r="E2071" s="907">
        <f>DMT!$F$40</f>
        <v>0.2</v>
      </c>
      <c r="F2071" s="908">
        <v>0.36809999999999998</v>
      </c>
      <c r="G2071" s="949">
        <f t="shared" si="552"/>
        <v>1.0652813999999999</v>
      </c>
      <c r="H2071" s="901"/>
      <c r="I2071" s="901"/>
      <c r="J2071" s="902">
        <f t="shared" si="540"/>
        <v>0</v>
      </c>
      <c r="K2071" s="903"/>
      <c r="L2071" s="1039">
        <f>ROUND(SUM('RES. CENTRAL PARK:RUA_FINAL'!L2071),2)</f>
        <v>0</v>
      </c>
      <c r="M2071" s="1039">
        <f t="shared" si="546"/>
        <v>0</v>
      </c>
      <c r="N2071" s="893">
        <f t="shared" si="547"/>
        <v>0</v>
      </c>
      <c r="O2071" s="905"/>
      <c r="P2071" s="36" t="str">
        <f>IF(N2068&gt;0,"xx",IF(N2068&gt;0,"xy",""))</f>
        <v/>
      </c>
      <c r="Q2071" s="317" t="str">
        <f t="shared" si="548"/>
        <v/>
      </c>
      <c r="R2071" s="317" t="str">
        <f t="shared" si="549"/>
        <v/>
      </c>
      <c r="S2071" s="317" t="str">
        <f t="shared" si="550"/>
        <v/>
      </c>
      <c r="V2071" s="314">
        <f>SUM('RES. CENTRAL PARK:RUA_FINAL'!N2071)</f>
        <v>0</v>
      </c>
      <c r="W2071" s="315">
        <f t="shared" si="551"/>
        <v>0</v>
      </c>
    </row>
    <row r="2072" spans="1:23" ht="13.5" hidden="1" thickBot="1" x14ac:dyDescent="0.25">
      <c r="A2072" s="63" t="s">
        <v>147</v>
      </c>
      <c r="B2072" s="895" t="s">
        <v>147</v>
      </c>
      <c r="C2072" s="896"/>
      <c r="D2072" s="906" t="s">
        <v>336</v>
      </c>
      <c r="E2072" s="907">
        <f>DMT!$F$38</f>
        <v>40</v>
      </c>
      <c r="F2072" s="908">
        <v>0.69</v>
      </c>
      <c r="G2072" s="949">
        <f t="shared" si="552"/>
        <v>31.3812</v>
      </c>
      <c r="H2072" s="901"/>
      <c r="I2072" s="901"/>
      <c r="J2072" s="902">
        <f t="shared" si="540"/>
        <v>0</v>
      </c>
      <c r="K2072" s="903"/>
      <c r="L2072" s="1039">
        <f>ROUND(SUM('RES. CENTRAL PARK:RUA_FINAL'!L2072),2)</f>
        <v>0</v>
      </c>
      <c r="M2072" s="1039">
        <f t="shared" si="546"/>
        <v>0</v>
      </c>
      <c r="N2072" s="893">
        <f t="shared" si="547"/>
        <v>0</v>
      </c>
      <c r="O2072" s="905"/>
      <c r="P2072" s="36" t="str">
        <f>IF(N2068&gt;0,"xx",IF(N2068&gt;0,"xy",""))</f>
        <v/>
      </c>
      <c r="Q2072" s="317" t="str">
        <f t="shared" si="548"/>
        <v/>
      </c>
      <c r="R2072" s="317" t="str">
        <f t="shared" si="549"/>
        <v/>
      </c>
      <c r="S2072" s="317" t="str">
        <f t="shared" si="550"/>
        <v/>
      </c>
      <c r="V2072" s="314">
        <f>SUM('RES. CENTRAL PARK:RUA_FINAL'!N2072)</f>
        <v>0</v>
      </c>
      <c r="W2072" s="315">
        <f t="shared" si="551"/>
        <v>0</v>
      </c>
    </row>
    <row r="2073" spans="1:23" ht="13.5" hidden="1" thickBot="1" x14ac:dyDescent="0.25">
      <c r="A2073" s="63">
        <v>611100</v>
      </c>
      <c r="B2073" s="895" t="s">
        <v>1854</v>
      </c>
      <c r="C2073" s="896" t="s">
        <v>184</v>
      </c>
      <c r="D2073" s="906" t="s">
        <v>2041</v>
      </c>
      <c r="E2073" s="907"/>
      <c r="F2073" s="908"/>
      <c r="G2073" s="912">
        <f>SUM(G2074:G2077)</f>
        <v>103.2311722</v>
      </c>
      <c r="H2073" s="901">
        <v>1053.49</v>
      </c>
      <c r="I2073" s="901">
        <f>IF(ISBLANK(H2073),"",SUM(G2073:H2073))</f>
        <v>1156.7211722</v>
      </c>
      <c r="J2073" s="902">
        <f t="shared" si="540"/>
        <v>1388.88</v>
      </c>
      <c r="K2073" s="903" t="s">
        <v>13</v>
      </c>
      <c r="L2073" s="1039">
        <f>ROUND(SUM('RES. CENTRAL PARK:RUA_FINAL'!L2073),2)</f>
        <v>0</v>
      </c>
      <c r="M2073" s="1039">
        <f t="shared" si="546"/>
        <v>0</v>
      </c>
      <c r="N2073" s="893">
        <f t="shared" si="547"/>
        <v>0</v>
      </c>
      <c r="O2073" s="905"/>
      <c r="Q2073" s="317" t="str">
        <f t="shared" si="548"/>
        <v/>
      </c>
      <c r="R2073" s="317" t="str">
        <f t="shared" si="549"/>
        <v/>
      </c>
      <c r="S2073" s="317" t="str">
        <f t="shared" si="550"/>
        <v/>
      </c>
      <c r="V2073" s="314">
        <f>SUM('RES. CENTRAL PARK:RUA_FINAL'!N2073)</f>
        <v>0</v>
      </c>
      <c r="W2073" s="315">
        <f t="shared" si="551"/>
        <v>0</v>
      </c>
    </row>
    <row r="2074" spans="1:23" ht="13.5" hidden="1" thickBot="1" x14ac:dyDescent="0.25">
      <c r="A2074" s="63" t="s">
        <v>147</v>
      </c>
      <c r="B2074" s="895" t="s">
        <v>147</v>
      </c>
      <c r="C2074" s="896"/>
      <c r="D2074" s="906" t="s">
        <v>190</v>
      </c>
      <c r="E2074" s="907">
        <f>DMT!$D$41</f>
        <v>308</v>
      </c>
      <c r="F2074" s="908">
        <v>7.5800000000000006E-2</v>
      </c>
      <c r="G2074" s="909">
        <f>IF(E2074&lt;=30,(0.78*E2074+7.82)*F2074,((0.78*30+7.82)+0.78*(E2074-30))*F2074)</f>
        <v>18.802948000000001</v>
      </c>
      <c r="H2074" s="901"/>
      <c r="I2074" s="901"/>
      <c r="J2074" s="902">
        <f t="shared" si="540"/>
        <v>0</v>
      </c>
      <c r="K2074" s="903"/>
      <c r="L2074" s="1039">
        <f>ROUND(SUM('RES. CENTRAL PARK:RUA_FINAL'!L2074),2)</f>
        <v>0</v>
      </c>
      <c r="M2074" s="1039">
        <f t="shared" si="546"/>
        <v>0</v>
      </c>
      <c r="N2074" s="893">
        <f t="shared" si="547"/>
        <v>0</v>
      </c>
      <c r="O2074" s="905"/>
      <c r="P2074" s="36" t="str">
        <f>IF(N2073&gt;0,"xx",IF(N2073&gt;0,"xy",""))</f>
        <v/>
      </c>
      <c r="Q2074" s="317" t="str">
        <f t="shared" si="548"/>
        <v/>
      </c>
      <c r="R2074" s="317" t="str">
        <f t="shared" si="549"/>
        <v/>
      </c>
      <c r="S2074" s="317" t="str">
        <f t="shared" si="550"/>
        <v/>
      </c>
      <c r="V2074" s="314">
        <f>SUM('RES. CENTRAL PARK:RUA_FINAL'!N2074)</f>
        <v>0</v>
      </c>
      <c r="W2074" s="315">
        <f t="shared" si="551"/>
        <v>0</v>
      </c>
    </row>
    <row r="2075" spans="1:23" ht="13.5" hidden="1" thickBot="1" x14ac:dyDescent="0.25">
      <c r="A2075" s="63" t="s">
        <v>147</v>
      </c>
      <c r="B2075" s="895" t="s">
        <v>147</v>
      </c>
      <c r="C2075" s="896"/>
      <c r="D2075" s="906" t="s">
        <v>229</v>
      </c>
      <c r="E2075" s="907">
        <f>DMT!$F$39</f>
        <v>150</v>
      </c>
      <c r="F2075" s="908">
        <v>0.27639999999999998</v>
      </c>
      <c r="G2075" s="949">
        <f t="shared" ref="G2075:G2077" si="553">IF(E2075&lt;=30,(1.07*E2075+2.68)*F2075,((1.07*30+2.68)+1.07*(E2075-30))*F2075)</f>
        <v>45.102952000000002</v>
      </c>
      <c r="H2075" s="901"/>
      <c r="I2075" s="901"/>
      <c r="J2075" s="902">
        <f t="shared" si="540"/>
        <v>0</v>
      </c>
      <c r="K2075" s="903"/>
      <c r="L2075" s="1039">
        <f>ROUND(SUM('RES. CENTRAL PARK:RUA_FINAL'!L2075),2)</f>
        <v>0</v>
      </c>
      <c r="M2075" s="1039">
        <f t="shared" si="546"/>
        <v>0</v>
      </c>
      <c r="N2075" s="893">
        <f t="shared" si="547"/>
        <v>0</v>
      </c>
      <c r="O2075" s="905"/>
      <c r="P2075" s="36" t="str">
        <f>IF(N2073&gt;0,"xx",IF(N2073&gt;0,"xy",""))</f>
        <v/>
      </c>
      <c r="Q2075" s="317" t="str">
        <f t="shared" si="548"/>
        <v/>
      </c>
      <c r="R2075" s="317" t="str">
        <f t="shared" si="549"/>
        <v/>
      </c>
      <c r="S2075" s="317" t="str">
        <f t="shared" si="550"/>
        <v/>
      </c>
      <c r="V2075" s="314">
        <f>SUM('RES. CENTRAL PARK:RUA_FINAL'!N2075)</f>
        <v>0</v>
      </c>
      <c r="W2075" s="315">
        <f t="shared" si="551"/>
        <v>0</v>
      </c>
    </row>
    <row r="2076" spans="1:23" ht="13.5" hidden="1" thickBot="1" x14ac:dyDescent="0.25">
      <c r="A2076" s="63" t="s">
        <v>147</v>
      </c>
      <c r="B2076" s="895" t="s">
        <v>147</v>
      </c>
      <c r="C2076" s="896"/>
      <c r="D2076" s="906" t="s">
        <v>233</v>
      </c>
      <c r="E2076" s="907">
        <f>DMT!$F$40</f>
        <v>0.2</v>
      </c>
      <c r="F2076" s="908">
        <v>0.46629999999999999</v>
      </c>
      <c r="G2076" s="949">
        <f t="shared" si="553"/>
        <v>1.3494722000000001</v>
      </c>
      <c r="H2076" s="901"/>
      <c r="I2076" s="901"/>
      <c r="J2076" s="902">
        <f t="shared" si="540"/>
        <v>0</v>
      </c>
      <c r="K2076" s="903"/>
      <c r="L2076" s="1039">
        <f>ROUND(SUM('RES. CENTRAL PARK:RUA_FINAL'!L2076),2)</f>
        <v>0</v>
      </c>
      <c r="M2076" s="1039">
        <f t="shared" si="546"/>
        <v>0</v>
      </c>
      <c r="N2076" s="893">
        <f t="shared" si="547"/>
        <v>0</v>
      </c>
      <c r="O2076" s="905"/>
      <c r="P2076" s="36" t="str">
        <f>IF(N2073&gt;0,"xx",IF(N2073&gt;0,"xy",""))</f>
        <v/>
      </c>
      <c r="Q2076" s="317" t="str">
        <f t="shared" si="548"/>
        <v/>
      </c>
      <c r="R2076" s="317" t="str">
        <f t="shared" si="549"/>
        <v/>
      </c>
      <c r="S2076" s="317" t="str">
        <f t="shared" si="550"/>
        <v/>
      </c>
      <c r="V2076" s="314">
        <f>SUM('RES. CENTRAL PARK:RUA_FINAL'!N2076)</f>
        <v>0</v>
      </c>
      <c r="W2076" s="315">
        <f t="shared" si="551"/>
        <v>0</v>
      </c>
    </row>
    <row r="2077" spans="1:23" ht="13.5" hidden="1" thickBot="1" x14ac:dyDescent="0.25">
      <c r="A2077" s="63" t="s">
        <v>147</v>
      </c>
      <c r="B2077" s="895" t="s">
        <v>147</v>
      </c>
      <c r="C2077" s="896"/>
      <c r="D2077" s="906" t="s">
        <v>336</v>
      </c>
      <c r="E2077" s="907">
        <f>DMT!$F$38</f>
        <v>40</v>
      </c>
      <c r="F2077" s="908">
        <v>0.83499999999999996</v>
      </c>
      <c r="G2077" s="949">
        <f t="shared" si="553"/>
        <v>37.9758</v>
      </c>
      <c r="H2077" s="901"/>
      <c r="I2077" s="901"/>
      <c r="J2077" s="902">
        <f t="shared" si="540"/>
        <v>0</v>
      </c>
      <c r="K2077" s="903"/>
      <c r="L2077" s="1039">
        <f>ROUND(SUM('RES. CENTRAL PARK:RUA_FINAL'!L2077),2)</f>
        <v>0</v>
      </c>
      <c r="M2077" s="1039">
        <f t="shared" si="546"/>
        <v>0</v>
      </c>
      <c r="N2077" s="893">
        <f t="shared" si="547"/>
        <v>0</v>
      </c>
      <c r="O2077" s="905"/>
      <c r="P2077" s="36" t="str">
        <f>IF(N2073&gt;0,"xx",IF(N2073&gt;0,"xy",""))</f>
        <v/>
      </c>
      <c r="Q2077" s="317" t="str">
        <f t="shared" si="548"/>
        <v/>
      </c>
      <c r="R2077" s="317" t="str">
        <f t="shared" si="549"/>
        <v/>
      </c>
      <c r="S2077" s="317" t="str">
        <f t="shared" si="550"/>
        <v/>
      </c>
      <c r="V2077" s="314">
        <f>SUM('RES. CENTRAL PARK:RUA_FINAL'!N2077)</f>
        <v>0</v>
      </c>
      <c r="W2077" s="315">
        <f t="shared" si="551"/>
        <v>0</v>
      </c>
    </row>
    <row r="2078" spans="1:23" ht="13.5" hidden="1" thickBot="1" x14ac:dyDescent="0.25">
      <c r="A2078" s="63">
        <v>611100</v>
      </c>
      <c r="B2078" s="895" t="s">
        <v>1855</v>
      </c>
      <c r="C2078" s="896" t="s">
        <v>184</v>
      </c>
      <c r="D2078" s="906" t="s">
        <v>2042</v>
      </c>
      <c r="E2078" s="907"/>
      <c r="F2078" s="908"/>
      <c r="G2078" s="912">
        <f>SUM(G2079:G2082)</f>
        <v>124.4115496</v>
      </c>
      <c r="H2078" s="901">
        <v>1053.49</v>
      </c>
      <c r="I2078" s="901">
        <f>IF(ISBLANK(H2078),"",SUM(G2078:H2078))</f>
        <v>1177.9015496</v>
      </c>
      <c r="J2078" s="902">
        <f t="shared" si="540"/>
        <v>1414.31</v>
      </c>
      <c r="K2078" s="903" t="s">
        <v>13</v>
      </c>
      <c r="L2078" s="1039">
        <f>ROUND(SUM('RES. CENTRAL PARK:RUA_FINAL'!L2078),2)</f>
        <v>0</v>
      </c>
      <c r="M2078" s="1039">
        <f t="shared" si="546"/>
        <v>0</v>
      </c>
      <c r="N2078" s="893">
        <f t="shared" si="547"/>
        <v>0</v>
      </c>
      <c r="O2078" s="905"/>
      <c r="Q2078" s="317" t="str">
        <f t="shared" si="548"/>
        <v/>
      </c>
      <c r="R2078" s="317" t="str">
        <f t="shared" si="549"/>
        <v/>
      </c>
      <c r="S2078" s="317" t="str">
        <f t="shared" si="550"/>
        <v/>
      </c>
      <c r="V2078" s="314">
        <f>SUM('RES. CENTRAL PARK:RUA_FINAL'!N2078)</f>
        <v>0</v>
      </c>
      <c r="W2078" s="315">
        <f t="shared" si="551"/>
        <v>0</v>
      </c>
    </row>
    <row r="2079" spans="1:23" ht="13.5" hidden="1" thickBot="1" x14ac:dyDescent="0.25">
      <c r="A2079" s="63" t="s">
        <v>147</v>
      </c>
      <c r="B2079" s="895" t="s">
        <v>147</v>
      </c>
      <c r="C2079" s="896"/>
      <c r="D2079" s="906" t="s">
        <v>190</v>
      </c>
      <c r="E2079" s="907">
        <f>DMT!$D$41</f>
        <v>308</v>
      </c>
      <c r="F2079" s="908">
        <v>9.1700000000000004E-2</v>
      </c>
      <c r="G2079" s="909">
        <f>IF(E2079&lt;=30,(0.78*E2079+7.82)*F2079,((0.78*30+7.82)+0.78*(E2079-30))*F2079)</f>
        <v>22.747102000000002</v>
      </c>
      <c r="H2079" s="901"/>
      <c r="I2079" s="901"/>
      <c r="J2079" s="902">
        <f t="shared" si="540"/>
        <v>0</v>
      </c>
      <c r="K2079" s="903"/>
      <c r="L2079" s="1039">
        <f>ROUND(SUM('RES. CENTRAL PARK:RUA_FINAL'!L2079),2)</f>
        <v>0</v>
      </c>
      <c r="M2079" s="1039">
        <f t="shared" si="546"/>
        <v>0</v>
      </c>
      <c r="N2079" s="893">
        <f t="shared" si="547"/>
        <v>0</v>
      </c>
      <c r="O2079" s="905"/>
      <c r="P2079" s="36" t="str">
        <f>IF(N2078&gt;0,"xx",IF(N2078&gt;0,"xy",""))</f>
        <v/>
      </c>
      <c r="Q2079" s="317" t="str">
        <f t="shared" si="548"/>
        <v/>
      </c>
      <c r="R2079" s="317" t="str">
        <f t="shared" si="549"/>
        <v/>
      </c>
      <c r="S2079" s="317" t="str">
        <f t="shared" si="550"/>
        <v/>
      </c>
      <c r="V2079" s="314">
        <f>SUM('RES. CENTRAL PARK:RUA_FINAL'!N2079)</f>
        <v>0</v>
      </c>
      <c r="W2079" s="315">
        <f t="shared" si="551"/>
        <v>0</v>
      </c>
    </row>
    <row r="2080" spans="1:23" ht="13.5" hidden="1" thickBot="1" x14ac:dyDescent="0.25">
      <c r="A2080" s="63" t="s">
        <v>147</v>
      </c>
      <c r="B2080" s="895" t="s">
        <v>147</v>
      </c>
      <c r="C2080" s="896"/>
      <c r="D2080" s="906" t="s">
        <v>229</v>
      </c>
      <c r="E2080" s="907">
        <f>DMT!$F$39</f>
        <v>150</v>
      </c>
      <c r="F2080" s="908">
        <v>0.33429999999999999</v>
      </c>
      <c r="G2080" s="949">
        <f t="shared" ref="G2080:G2082" si="554">IF(E2080&lt;=30,(1.07*E2080+2.68)*F2080,((1.07*30+2.68)+1.07*(E2080-30))*F2080)</f>
        <v>54.551074</v>
      </c>
      <c r="H2080" s="901"/>
      <c r="I2080" s="901"/>
      <c r="J2080" s="902">
        <f t="shared" si="540"/>
        <v>0</v>
      </c>
      <c r="K2080" s="903"/>
      <c r="L2080" s="1039">
        <f>ROUND(SUM('RES. CENTRAL PARK:RUA_FINAL'!L2080),2)</f>
        <v>0</v>
      </c>
      <c r="M2080" s="1039">
        <f t="shared" si="546"/>
        <v>0</v>
      </c>
      <c r="N2080" s="893">
        <f t="shared" si="547"/>
        <v>0</v>
      </c>
      <c r="O2080" s="905"/>
      <c r="P2080" s="36" t="str">
        <f>IF(N2078&gt;0,"xx",IF(N2078&gt;0,"xy",""))</f>
        <v/>
      </c>
      <c r="Q2080" s="317" t="str">
        <f t="shared" si="548"/>
        <v/>
      </c>
      <c r="R2080" s="317" t="str">
        <f t="shared" si="549"/>
        <v/>
      </c>
      <c r="S2080" s="317" t="str">
        <f t="shared" si="550"/>
        <v/>
      </c>
      <c r="V2080" s="314">
        <f>SUM('RES. CENTRAL PARK:RUA_FINAL'!N2080)</f>
        <v>0</v>
      </c>
      <c r="W2080" s="315">
        <f t="shared" si="551"/>
        <v>0</v>
      </c>
    </row>
    <row r="2081" spans="1:23" ht="13.5" hidden="1" thickBot="1" x14ac:dyDescent="0.25">
      <c r="A2081" s="63" t="s">
        <v>147</v>
      </c>
      <c r="B2081" s="895" t="s">
        <v>147</v>
      </c>
      <c r="C2081" s="896"/>
      <c r="D2081" s="906" t="s">
        <v>233</v>
      </c>
      <c r="E2081" s="907">
        <f>DMT!$F$40</f>
        <v>0.2</v>
      </c>
      <c r="F2081" s="908">
        <v>0.56440000000000001</v>
      </c>
      <c r="G2081" s="949">
        <f t="shared" si="554"/>
        <v>1.6333736000000001</v>
      </c>
      <c r="H2081" s="901"/>
      <c r="I2081" s="901"/>
      <c r="J2081" s="902">
        <f t="shared" si="540"/>
        <v>0</v>
      </c>
      <c r="K2081" s="903"/>
      <c r="L2081" s="1039">
        <f>ROUND(SUM('RES. CENTRAL PARK:RUA_FINAL'!L2081),2)</f>
        <v>0</v>
      </c>
      <c r="M2081" s="1039">
        <f t="shared" si="546"/>
        <v>0</v>
      </c>
      <c r="N2081" s="893">
        <f t="shared" si="547"/>
        <v>0</v>
      </c>
      <c r="O2081" s="905"/>
      <c r="P2081" s="36" t="str">
        <f>IF(N2078&gt;0,"xx",IF(N2078&gt;0,"xy",""))</f>
        <v/>
      </c>
      <c r="Q2081" s="317" t="str">
        <f t="shared" si="548"/>
        <v/>
      </c>
      <c r="R2081" s="317" t="str">
        <f t="shared" si="549"/>
        <v/>
      </c>
      <c r="S2081" s="317" t="str">
        <f t="shared" si="550"/>
        <v/>
      </c>
      <c r="V2081" s="314">
        <f>SUM('RES. CENTRAL PARK:RUA_FINAL'!N2081)</f>
        <v>0</v>
      </c>
      <c r="W2081" s="315">
        <f t="shared" si="551"/>
        <v>0</v>
      </c>
    </row>
    <row r="2082" spans="1:23" ht="13.5" hidden="1" thickBot="1" x14ac:dyDescent="0.25">
      <c r="A2082" s="63" t="s">
        <v>147</v>
      </c>
      <c r="B2082" s="895" t="s">
        <v>147</v>
      </c>
      <c r="C2082" s="896"/>
      <c r="D2082" s="906" t="s">
        <v>336</v>
      </c>
      <c r="E2082" s="907">
        <f>DMT!$F$38</f>
        <v>40</v>
      </c>
      <c r="F2082" s="908">
        <v>1</v>
      </c>
      <c r="G2082" s="949">
        <f t="shared" si="554"/>
        <v>45.480000000000004</v>
      </c>
      <c r="H2082" s="901"/>
      <c r="I2082" s="901"/>
      <c r="J2082" s="902">
        <f t="shared" si="540"/>
        <v>0</v>
      </c>
      <c r="K2082" s="903"/>
      <c r="L2082" s="1039">
        <f>ROUND(SUM('RES. CENTRAL PARK:RUA_FINAL'!L2082),2)</f>
        <v>0</v>
      </c>
      <c r="M2082" s="1039">
        <f t="shared" si="546"/>
        <v>0</v>
      </c>
      <c r="N2082" s="893">
        <f t="shared" si="547"/>
        <v>0</v>
      </c>
      <c r="O2082" s="905"/>
      <c r="P2082" s="36" t="str">
        <f>IF(N2078&gt;0,"xx",IF(N2078&gt;0,"xy",""))</f>
        <v/>
      </c>
      <c r="Q2082" s="317" t="str">
        <f t="shared" si="548"/>
        <v/>
      </c>
      <c r="R2082" s="317" t="str">
        <f t="shared" si="549"/>
        <v/>
      </c>
      <c r="S2082" s="317" t="str">
        <f t="shared" si="550"/>
        <v/>
      </c>
      <c r="V2082" s="314">
        <f>SUM('RES. CENTRAL PARK:RUA_FINAL'!N2082)</f>
        <v>0</v>
      </c>
      <c r="W2082" s="315">
        <f t="shared" si="551"/>
        <v>0</v>
      </c>
    </row>
    <row r="2083" spans="1:23" ht="13.5" hidden="1" thickBot="1" x14ac:dyDescent="0.25">
      <c r="A2083" s="63">
        <v>611300</v>
      </c>
      <c r="B2083" s="895">
        <v>611300</v>
      </c>
      <c r="C2083" s="896" t="s">
        <v>184</v>
      </c>
      <c r="D2083" s="906" t="s">
        <v>2043</v>
      </c>
      <c r="E2083" s="907"/>
      <c r="F2083" s="908"/>
      <c r="G2083" s="912">
        <f>SUM(G2084:G2087)</f>
        <v>174.865668</v>
      </c>
      <c r="H2083" s="901">
        <v>1362.43</v>
      </c>
      <c r="I2083" s="901">
        <f>IF(ISBLANK(H2083),"",SUM(G2083:H2083))</f>
        <v>1537.295668</v>
      </c>
      <c r="J2083" s="902">
        <f t="shared" si="540"/>
        <v>1845.83</v>
      </c>
      <c r="K2083" s="903" t="s">
        <v>13</v>
      </c>
      <c r="L2083" s="1039">
        <f>ROUND(SUM('RES. CENTRAL PARK:RUA_FINAL'!L2083),2)</f>
        <v>0</v>
      </c>
      <c r="M2083" s="1039">
        <f t="shared" si="546"/>
        <v>0</v>
      </c>
      <c r="N2083" s="893">
        <f t="shared" si="547"/>
        <v>0</v>
      </c>
      <c r="O2083" s="905"/>
      <c r="Q2083" s="317" t="str">
        <f t="shared" si="548"/>
        <v/>
      </c>
      <c r="R2083" s="317" t="str">
        <f t="shared" si="549"/>
        <v/>
      </c>
      <c r="S2083" s="317" t="str">
        <f t="shared" si="550"/>
        <v/>
      </c>
      <c r="V2083" s="314">
        <f>SUM('RES. CENTRAL PARK:RUA_FINAL'!N2083)</f>
        <v>0</v>
      </c>
      <c r="W2083" s="315">
        <f t="shared" si="551"/>
        <v>0</v>
      </c>
    </row>
    <row r="2084" spans="1:23" ht="13.5" hidden="1" thickBot="1" x14ac:dyDescent="0.25">
      <c r="A2084" s="63" t="s">
        <v>147</v>
      </c>
      <c r="B2084" s="895" t="s">
        <v>147</v>
      </c>
      <c r="C2084" s="896"/>
      <c r="D2084" s="906" t="s">
        <v>190</v>
      </c>
      <c r="E2084" s="907">
        <f>DMT!$D$41</f>
        <v>308</v>
      </c>
      <c r="F2084" s="908">
        <v>0.12720000000000001</v>
      </c>
      <c r="G2084" s="909">
        <f>IF(E2084&lt;=30,(0.78*E2084+7.82)*F2084,((0.78*30+7.82)+0.78*(E2084-30))*F2084)</f>
        <v>31.553232000000001</v>
      </c>
      <c r="H2084" s="901"/>
      <c r="I2084" s="901"/>
      <c r="J2084" s="902">
        <f t="shared" si="540"/>
        <v>0</v>
      </c>
      <c r="K2084" s="903"/>
      <c r="L2084" s="1039">
        <f>ROUND(SUM('RES. CENTRAL PARK:RUA_FINAL'!L2084),2)</f>
        <v>0</v>
      </c>
      <c r="M2084" s="1039">
        <f t="shared" si="546"/>
        <v>0</v>
      </c>
      <c r="N2084" s="893">
        <f t="shared" si="547"/>
        <v>0</v>
      </c>
      <c r="O2084" s="905"/>
      <c r="P2084" s="36" t="str">
        <f>IF(N2083&gt;0,"xx",IF(N2083&gt;0,"xy",""))</f>
        <v/>
      </c>
      <c r="Q2084" s="317" t="str">
        <f t="shared" si="548"/>
        <v/>
      </c>
      <c r="R2084" s="317" t="str">
        <f t="shared" si="549"/>
        <v/>
      </c>
      <c r="S2084" s="317" t="str">
        <f t="shared" si="550"/>
        <v/>
      </c>
      <c r="V2084" s="314">
        <f>SUM('RES. CENTRAL PARK:RUA_FINAL'!N2084)</f>
        <v>0</v>
      </c>
      <c r="W2084" s="315">
        <f t="shared" si="551"/>
        <v>0</v>
      </c>
    </row>
    <row r="2085" spans="1:23" ht="13.5" hidden="1" thickBot="1" x14ac:dyDescent="0.25">
      <c r="A2085" s="63" t="s">
        <v>147</v>
      </c>
      <c r="B2085" s="895" t="s">
        <v>147</v>
      </c>
      <c r="C2085" s="896"/>
      <c r="D2085" s="906" t="s">
        <v>229</v>
      </c>
      <c r="E2085" s="907">
        <f>DMT!$F$39</f>
        <v>150</v>
      </c>
      <c r="F2085" s="908">
        <v>0.46300000000000002</v>
      </c>
      <c r="G2085" s="949">
        <f t="shared" ref="G2085:G2087" si="555">IF(E2085&lt;=30,(1.07*E2085+2.68)*F2085,((1.07*30+2.68)+1.07*(E2085-30))*F2085)</f>
        <v>75.552340000000001</v>
      </c>
      <c r="H2085" s="901"/>
      <c r="I2085" s="901"/>
      <c r="J2085" s="902">
        <f t="shared" si="540"/>
        <v>0</v>
      </c>
      <c r="K2085" s="903"/>
      <c r="L2085" s="1039">
        <f>ROUND(SUM('RES. CENTRAL PARK:RUA_FINAL'!L2085),2)</f>
        <v>0</v>
      </c>
      <c r="M2085" s="1039">
        <f t="shared" si="546"/>
        <v>0</v>
      </c>
      <c r="N2085" s="893">
        <f t="shared" si="547"/>
        <v>0</v>
      </c>
      <c r="O2085" s="905"/>
      <c r="P2085" s="36" t="str">
        <f>IF(N2083&gt;0,"xx",IF(N2083&gt;0,"xy",""))</f>
        <v/>
      </c>
      <c r="Q2085" s="317" t="str">
        <f t="shared" si="548"/>
        <v/>
      </c>
      <c r="R2085" s="317" t="str">
        <f t="shared" si="549"/>
        <v/>
      </c>
      <c r="S2085" s="317" t="str">
        <f t="shared" si="550"/>
        <v/>
      </c>
      <c r="V2085" s="314">
        <f>SUM('RES. CENTRAL PARK:RUA_FINAL'!N2085)</f>
        <v>0</v>
      </c>
      <c r="W2085" s="315">
        <f t="shared" si="551"/>
        <v>0</v>
      </c>
    </row>
    <row r="2086" spans="1:23" ht="13.5" hidden="1" thickBot="1" x14ac:dyDescent="0.25">
      <c r="A2086" s="63" t="s">
        <v>147</v>
      </c>
      <c r="B2086" s="895" t="s">
        <v>147</v>
      </c>
      <c r="C2086" s="896"/>
      <c r="D2086" s="906" t="s">
        <v>233</v>
      </c>
      <c r="E2086" s="907">
        <f>DMT!$F$40</f>
        <v>0.2</v>
      </c>
      <c r="F2086" s="908">
        <v>0.78400000000000003</v>
      </c>
      <c r="G2086" s="949">
        <f t="shared" si="555"/>
        <v>2.2688960000000002</v>
      </c>
      <c r="H2086" s="901"/>
      <c r="I2086" s="901"/>
      <c r="J2086" s="902">
        <f t="shared" si="540"/>
        <v>0</v>
      </c>
      <c r="K2086" s="903"/>
      <c r="L2086" s="1039">
        <f>ROUND(SUM('RES. CENTRAL PARK:RUA_FINAL'!L2086),2)</f>
        <v>0</v>
      </c>
      <c r="M2086" s="1039">
        <f t="shared" si="546"/>
        <v>0</v>
      </c>
      <c r="N2086" s="893">
        <f t="shared" si="547"/>
        <v>0</v>
      </c>
      <c r="O2086" s="905"/>
      <c r="P2086" s="36" t="str">
        <f>IF(N2083&gt;0,"xx",IF(N2083&gt;0,"xy",""))</f>
        <v/>
      </c>
      <c r="Q2086" s="317" t="str">
        <f t="shared" si="548"/>
        <v/>
      </c>
      <c r="R2086" s="317" t="str">
        <f t="shared" si="549"/>
        <v/>
      </c>
      <c r="S2086" s="317" t="str">
        <f t="shared" si="550"/>
        <v/>
      </c>
      <c r="V2086" s="314">
        <f>SUM('RES. CENTRAL PARK:RUA_FINAL'!N2086)</f>
        <v>0</v>
      </c>
      <c r="W2086" s="315">
        <f t="shared" si="551"/>
        <v>0</v>
      </c>
    </row>
    <row r="2087" spans="1:23" ht="13.5" hidden="1" thickBot="1" x14ac:dyDescent="0.25">
      <c r="A2087" s="63" t="s">
        <v>147</v>
      </c>
      <c r="B2087" s="895" t="s">
        <v>147</v>
      </c>
      <c r="C2087" s="896"/>
      <c r="D2087" s="906" t="s">
        <v>336</v>
      </c>
      <c r="E2087" s="907">
        <f>DMT!$F$38</f>
        <v>40</v>
      </c>
      <c r="F2087" s="908">
        <v>1.44</v>
      </c>
      <c r="G2087" s="949">
        <f t="shared" si="555"/>
        <v>65.491200000000006</v>
      </c>
      <c r="H2087" s="901"/>
      <c r="I2087" s="901"/>
      <c r="J2087" s="902">
        <f t="shared" si="540"/>
        <v>0</v>
      </c>
      <c r="K2087" s="903"/>
      <c r="L2087" s="1039">
        <f>ROUND(SUM('RES. CENTRAL PARK:RUA_FINAL'!L2087),2)</f>
        <v>0</v>
      </c>
      <c r="M2087" s="1039">
        <f t="shared" si="546"/>
        <v>0</v>
      </c>
      <c r="N2087" s="893">
        <f t="shared" si="547"/>
        <v>0</v>
      </c>
      <c r="O2087" s="905"/>
      <c r="P2087" s="36" t="str">
        <f>IF(N2083&gt;0,"xx",IF(N2083&gt;0,"xy",""))</f>
        <v/>
      </c>
      <c r="Q2087" s="317" t="str">
        <f t="shared" si="548"/>
        <v/>
      </c>
      <c r="R2087" s="317" t="str">
        <f t="shared" si="549"/>
        <v/>
      </c>
      <c r="S2087" s="317" t="str">
        <f t="shared" si="550"/>
        <v/>
      </c>
      <c r="V2087" s="314">
        <f>SUM('RES. CENTRAL PARK:RUA_FINAL'!N2087)</f>
        <v>0</v>
      </c>
      <c r="W2087" s="315">
        <f t="shared" si="551"/>
        <v>0</v>
      </c>
    </row>
    <row r="2088" spans="1:23" ht="13.5" hidden="1" thickBot="1" x14ac:dyDescent="0.25">
      <c r="A2088" s="63">
        <v>611500</v>
      </c>
      <c r="B2088" s="895" t="s">
        <v>1856</v>
      </c>
      <c r="C2088" s="896" t="s">
        <v>184</v>
      </c>
      <c r="D2088" s="906" t="s">
        <v>2044</v>
      </c>
      <c r="E2088" s="907"/>
      <c r="F2088" s="908"/>
      <c r="G2088" s="912">
        <f>SUM(G2089:G2092)</f>
        <v>235.4767526</v>
      </c>
      <c r="H2088" s="901">
        <v>1749.33</v>
      </c>
      <c r="I2088" s="901">
        <f>IF(ISBLANK(H2088),"",SUM(G2088:H2088))</f>
        <v>1984.8067526</v>
      </c>
      <c r="J2088" s="902">
        <f t="shared" si="540"/>
        <v>2383.16</v>
      </c>
      <c r="K2088" s="903" t="s">
        <v>13</v>
      </c>
      <c r="L2088" s="1039">
        <f>ROUND(SUM('RES. CENTRAL PARK:RUA_FINAL'!L2088),2)</f>
        <v>0</v>
      </c>
      <c r="M2088" s="1039">
        <f t="shared" si="546"/>
        <v>0</v>
      </c>
      <c r="N2088" s="893">
        <f t="shared" si="547"/>
        <v>0</v>
      </c>
      <c r="O2088" s="905"/>
      <c r="Q2088" s="317" t="str">
        <f t="shared" si="548"/>
        <v/>
      </c>
      <c r="R2088" s="317" t="str">
        <f t="shared" si="549"/>
        <v/>
      </c>
      <c r="S2088" s="317" t="str">
        <f t="shared" si="550"/>
        <v/>
      </c>
      <c r="V2088" s="314">
        <f>SUM('RES. CENTRAL PARK:RUA_FINAL'!N2088)</f>
        <v>0</v>
      </c>
      <c r="W2088" s="315">
        <f t="shared" si="551"/>
        <v>0</v>
      </c>
    </row>
    <row r="2089" spans="1:23" ht="13.5" hidden="1" thickBot="1" x14ac:dyDescent="0.25">
      <c r="A2089" s="63" t="s">
        <v>147</v>
      </c>
      <c r="B2089" s="895" t="s">
        <v>147</v>
      </c>
      <c r="C2089" s="896"/>
      <c r="D2089" s="906" t="s">
        <v>190</v>
      </c>
      <c r="E2089" s="907">
        <f>DMT!$D$41</f>
        <v>308</v>
      </c>
      <c r="F2089" s="908">
        <v>0.187</v>
      </c>
      <c r="G2089" s="909">
        <f>IF(E2089&lt;=30,(0.78*E2089+7.82)*F2089,((0.78*30+7.82)+0.78*(E2089-30))*F2089)</f>
        <v>46.387219999999999</v>
      </c>
      <c r="H2089" s="901"/>
      <c r="I2089" s="901"/>
      <c r="J2089" s="902">
        <f t="shared" si="540"/>
        <v>0</v>
      </c>
      <c r="K2089" s="903"/>
      <c r="L2089" s="1039">
        <f>ROUND(SUM('RES. CENTRAL PARK:RUA_FINAL'!L2089),2)</f>
        <v>0</v>
      </c>
      <c r="M2089" s="1039">
        <f t="shared" si="546"/>
        <v>0</v>
      </c>
      <c r="N2089" s="893">
        <f t="shared" si="547"/>
        <v>0</v>
      </c>
      <c r="O2089" s="905"/>
      <c r="P2089" s="36" t="str">
        <f>IF(N2088&gt;0,"xx",IF(N2088&gt;0,"xy",""))</f>
        <v/>
      </c>
      <c r="Q2089" s="317" t="str">
        <f t="shared" si="548"/>
        <v/>
      </c>
      <c r="R2089" s="317" t="str">
        <f t="shared" si="549"/>
        <v/>
      </c>
      <c r="S2089" s="317" t="str">
        <f t="shared" si="550"/>
        <v/>
      </c>
      <c r="V2089" s="314">
        <f>SUM('RES. CENTRAL PARK:RUA_FINAL'!N2089)</f>
        <v>0</v>
      </c>
      <c r="W2089" s="315">
        <f t="shared" si="551"/>
        <v>0</v>
      </c>
    </row>
    <row r="2090" spans="1:23" ht="13.5" hidden="1" thickBot="1" x14ac:dyDescent="0.25">
      <c r="A2090" s="63" t="s">
        <v>147</v>
      </c>
      <c r="B2090" s="895" t="s">
        <v>147</v>
      </c>
      <c r="C2090" s="896"/>
      <c r="D2090" s="906" t="s">
        <v>229</v>
      </c>
      <c r="E2090" s="907">
        <f>DMT!$F$39</f>
        <v>150</v>
      </c>
      <c r="F2090" s="908">
        <v>0.67830000000000001</v>
      </c>
      <c r="G2090" s="949">
        <f t="shared" ref="G2090:G2092" si="556">IF(E2090&lt;=30,(1.07*E2090+2.68)*F2090,((1.07*30+2.68)+1.07*(E2090-30))*F2090)</f>
        <v>110.684994</v>
      </c>
      <c r="H2090" s="901"/>
      <c r="I2090" s="901"/>
      <c r="J2090" s="902">
        <f t="shared" si="540"/>
        <v>0</v>
      </c>
      <c r="K2090" s="903"/>
      <c r="L2090" s="1039">
        <f>ROUND(SUM('RES. CENTRAL PARK:RUA_FINAL'!L2090),2)</f>
        <v>0</v>
      </c>
      <c r="M2090" s="1039">
        <f t="shared" si="546"/>
        <v>0</v>
      </c>
      <c r="N2090" s="893">
        <f t="shared" si="547"/>
        <v>0</v>
      </c>
      <c r="O2090" s="905"/>
      <c r="P2090" s="36" t="str">
        <f>IF(N2088&gt;0,"xx",IF(N2088&gt;0,"xy",""))</f>
        <v/>
      </c>
      <c r="Q2090" s="317" t="str">
        <f t="shared" si="548"/>
        <v/>
      </c>
      <c r="R2090" s="317" t="str">
        <f t="shared" si="549"/>
        <v/>
      </c>
      <c r="S2090" s="317" t="str">
        <f t="shared" si="550"/>
        <v/>
      </c>
      <c r="V2090" s="314">
        <f>SUM('RES. CENTRAL PARK:RUA_FINAL'!N2090)</f>
        <v>0</v>
      </c>
      <c r="W2090" s="315">
        <f t="shared" si="551"/>
        <v>0</v>
      </c>
    </row>
    <row r="2091" spans="1:23" ht="13.5" hidden="1" thickBot="1" x14ac:dyDescent="0.25">
      <c r="A2091" s="63" t="s">
        <v>147</v>
      </c>
      <c r="B2091" s="895" t="s">
        <v>147</v>
      </c>
      <c r="C2091" s="896"/>
      <c r="D2091" s="906" t="s">
        <v>233</v>
      </c>
      <c r="E2091" s="907">
        <f>DMT!$F$40</f>
        <v>0.2</v>
      </c>
      <c r="F2091" s="908">
        <v>1.1618999999999999</v>
      </c>
      <c r="G2091" s="949">
        <f t="shared" si="556"/>
        <v>3.3625386000000002</v>
      </c>
      <c r="H2091" s="901"/>
      <c r="I2091" s="901"/>
      <c r="J2091" s="902">
        <f t="shared" si="540"/>
        <v>0</v>
      </c>
      <c r="K2091" s="903"/>
      <c r="L2091" s="1039">
        <f>ROUND(SUM('RES. CENTRAL PARK:RUA_FINAL'!L2091),2)</f>
        <v>0</v>
      </c>
      <c r="M2091" s="1039">
        <f t="shared" si="546"/>
        <v>0</v>
      </c>
      <c r="N2091" s="893">
        <f t="shared" si="547"/>
        <v>0</v>
      </c>
      <c r="O2091" s="905"/>
      <c r="P2091" s="36" t="str">
        <f>IF(N2088&gt;0,"xx",IF(N2088&gt;0,"xy",""))</f>
        <v/>
      </c>
      <c r="Q2091" s="317" t="str">
        <f t="shared" si="548"/>
        <v/>
      </c>
      <c r="R2091" s="317" t="str">
        <f t="shared" si="549"/>
        <v/>
      </c>
      <c r="S2091" s="317" t="str">
        <f t="shared" si="550"/>
        <v/>
      </c>
      <c r="V2091" s="314">
        <f>SUM('RES. CENTRAL PARK:RUA_FINAL'!N2091)</f>
        <v>0</v>
      </c>
      <c r="W2091" s="315">
        <f t="shared" si="551"/>
        <v>0</v>
      </c>
    </row>
    <row r="2092" spans="1:23" ht="13.5" hidden="1" thickBot="1" x14ac:dyDescent="0.25">
      <c r="A2092" s="63" t="s">
        <v>147</v>
      </c>
      <c r="B2092" s="895" t="s">
        <v>147</v>
      </c>
      <c r="C2092" s="896"/>
      <c r="D2092" s="906" t="s">
        <v>336</v>
      </c>
      <c r="E2092" s="907">
        <f>DMT!$F$38</f>
        <v>40</v>
      </c>
      <c r="F2092" s="908">
        <v>1.65</v>
      </c>
      <c r="G2092" s="949">
        <f t="shared" si="556"/>
        <v>75.042000000000002</v>
      </c>
      <c r="H2092" s="901"/>
      <c r="I2092" s="901"/>
      <c r="J2092" s="902">
        <f t="shared" si="540"/>
        <v>0</v>
      </c>
      <c r="K2092" s="903"/>
      <c r="L2092" s="1039">
        <f>ROUND(SUM('RES. CENTRAL PARK:RUA_FINAL'!L2092),2)</f>
        <v>0</v>
      </c>
      <c r="M2092" s="1039">
        <f t="shared" si="546"/>
        <v>0</v>
      </c>
      <c r="N2092" s="893">
        <f t="shared" si="547"/>
        <v>0</v>
      </c>
      <c r="O2092" s="905"/>
      <c r="P2092" s="36" t="str">
        <f>IF(N2088&gt;0,"xx",IF(N2088&gt;0,"xy",""))</f>
        <v/>
      </c>
      <c r="Q2092" s="317" t="str">
        <f t="shared" si="548"/>
        <v/>
      </c>
      <c r="R2092" s="317" t="str">
        <f t="shared" si="549"/>
        <v/>
      </c>
      <c r="S2092" s="317" t="str">
        <f t="shared" si="550"/>
        <v/>
      </c>
      <c r="V2092" s="314">
        <f>SUM('RES. CENTRAL PARK:RUA_FINAL'!N2092)</f>
        <v>0</v>
      </c>
      <c r="W2092" s="315">
        <f t="shared" si="551"/>
        <v>0</v>
      </c>
    </row>
    <row r="2093" spans="1:23" ht="13.5" hidden="1" thickBot="1" x14ac:dyDescent="0.25">
      <c r="A2093" s="63">
        <v>611500</v>
      </c>
      <c r="B2093" s="895" t="s">
        <v>1857</v>
      </c>
      <c r="C2093" s="896" t="s">
        <v>184</v>
      </c>
      <c r="D2093" s="906" t="s">
        <v>2045</v>
      </c>
      <c r="E2093" s="907"/>
      <c r="F2093" s="908"/>
      <c r="G2093" s="912">
        <f>SUM(G2094:G2097)</f>
        <v>279.06360720000004</v>
      </c>
      <c r="H2093" s="901">
        <v>1749.33</v>
      </c>
      <c r="I2093" s="901">
        <f>IF(ISBLANK(H2093),"",SUM(G2093:H2093))</f>
        <v>2028.3936071999999</v>
      </c>
      <c r="J2093" s="902">
        <f t="shared" si="540"/>
        <v>2435.4899999999998</v>
      </c>
      <c r="K2093" s="903" t="s">
        <v>13</v>
      </c>
      <c r="L2093" s="1039">
        <f>ROUND(SUM('RES. CENTRAL PARK:RUA_FINAL'!L2093),2)</f>
        <v>0</v>
      </c>
      <c r="M2093" s="1039">
        <f t="shared" si="546"/>
        <v>0</v>
      </c>
      <c r="N2093" s="893">
        <f t="shared" si="547"/>
        <v>0</v>
      </c>
      <c r="O2093" s="905"/>
      <c r="Q2093" s="317" t="str">
        <f t="shared" si="548"/>
        <v/>
      </c>
      <c r="R2093" s="317" t="str">
        <f t="shared" si="549"/>
        <v/>
      </c>
      <c r="S2093" s="317" t="str">
        <f t="shared" si="550"/>
        <v/>
      </c>
      <c r="V2093" s="314">
        <f>SUM('RES. CENTRAL PARK:RUA_FINAL'!N2093)</f>
        <v>0</v>
      </c>
      <c r="W2093" s="315">
        <f t="shared" si="551"/>
        <v>0</v>
      </c>
    </row>
    <row r="2094" spans="1:23" ht="13.5" hidden="1" thickBot="1" x14ac:dyDescent="0.25">
      <c r="A2094" s="63" t="s">
        <v>147</v>
      </c>
      <c r="B2094" s="895" t="s">
        <v>147</v>
      </c>
      <c r="C2094" s="896"/>
      <c r="D2094" s="906" t="s">
        <v>190</v>
      </c>
      <c r="E2094" s="907">
        <f>DMT!$D$41</f>
        <v>308</v>
      </c>
      <c r="F2094" s="908">
        <v>0.27410000000000001</v>
      </c>
      <c r="G2094" s="909">
        <f>IF(E2094&lt;=30,(0.78*E2094+7.82)*F2094,((0.78*30+7.82)+0.78*(E2094-30))*F2094)</f>
        <v>67.993245999999999</v>
      </c>
      <c r="H2094" s="901"/>
      <c r="I2094" s="901"/>
      <c r="J2094" s="902">
        <f t="shared" si="540"/>
        <v>0</v>
      </c>
      <c r="K2094" s="903"/>
      <c r="L2094" s="1039">
        <f>ROUND(SUM('RES. CENTRAL PARK:RUA_FINAL'!L2094),2)</f>
        <v>0</v>
      </c>
      <c r="M2094" s="1039">
        <f t="shared" si="546"/>
        <v>0</v>
      </c>
      <c r="N2094" s="893">
        <f t="shared" si="547"/>
        <v>0</v>
      </c>
      <c r="O2094" s="905"/>
      <c r="P2094" s="36" t="str">
        <f>IF(N2093&gt;0,"xx",IF(N2093&gt;0,"xy",""))</f>
        <v/>
      </c>
      <c r="Q2094" s="317" t="str">
        <f t="shared" si="548"/>
        <v/>
      </c>
      <c r="R2094" s="317" t="str">
        <f t="shared" si="549"/>
        <v/>
      </c>
      <c r="S2094" s="317" t="str">
        <f t="shared" si="550"/>
        <v/>
      </c>
      <c r="V2094" s="314">
        <f>SUM('RES. CENTRAL PARK:RUA_FINAL'!N2094)</f>
        <v>0</v>
      </c>
      <c r="W2094" s="315">
        <f t="shared" si="551"/>
        <v>0</v>
      </c>
    </row>
    <row r="2095" spans="1:23" ht="13.5" hidden="1" thickBot="1" x14ac:dyDescent="0.25">
      <c r="A2095" s="63" t="s">
        <v>147</v>
      </c>
      <c r="B2095" s="895" t="s">
        <v>147</v>
      </c>
      <c r="C2095" s="896"/>
      <c r="D2095" s="906" t="s">
        <v>229</v>
      </c>
      <c r="E2095" s="907">
        <f>DMT!$F$39</f>
        <v>150</v>
      </c>
      <c r="F2095" s="908">
        <v>0.9748</v>
      </c>
      <c r="G2095" s="949">
        <f t="shared" ref="G2095:G2097" si="557">IF(E2095&lt;=30,(1.07*E2095+2.68)*F2095,((1.07*30+2.68)+1.07*(E2095-30))*F2095)</f>
        <v>159.06786400000001</v>
      </c>
      <c r="H2095" s="901"/>
      <c r="I2095" s="901"/>
      <c r="J2095" s="902">
        <f t="shared" si="540"/>
        <v>0</v>
      </c>
      <c r="K2095" s="903"/>
      <c r="L2095" s="1039">
        <f>ROUND(SUM('RES. CENTRAL PARK:RUA_FINAL'!L2095),2)</f>
        <v>0</v>
      </c>
      <c r="M2095" s="1039">
        <f t="shared" si="546"/>
        <v>0</v>
      </c>
      <c r="N2095" s="893">
        <f t="shared" si="547"/>
        <v>0</v>
      </c>
      <c r="O2095" s="905"/>
      <c r="P2095" s="36" t="str">
        <f>IF(N2093&gt;0,"xx",IF(N2093&gt;0,"xy",""))</f>
        <v/>
      </c>
      <c r="Q2095" s="317" t="str">
        <f t="shared" si="548"/>
        <v/>
      </c>
      <c r="R2095" s="317" t="str">
        <f t="shared" si="549"/>
        <v/>
      </c>
      <c r="S2095" s="317" t="str">
        <f t="shared" si="550"/>
        <v/>
      </c>
      <c r="V2095" s="314">
        <f>SUM('RES. CENTRAL PARK:RUA_FINAL'!N2095)</f>
        <v>0</v>
      </c>
      <c r="W2095" s="315">
        <f t="shared" si="551"/>
        <v>0</v>
      </c>
    </row>
    <row r="2096" spans="1:23" ht="13.5" hidden="1" thickBot="1" x14ac:dyDescent="0.25">
      <c r="A2096" s="63" t="s">
        <v>147</v>
      </c>
      <c r="B2096" s="895" t="s">
        <v>147</v>
      </c>
      <c r="C2096" s="896"/>
      <c r="D2096" s="906" t="s">
        <v>233</v>
      </c>
      <c r="E2096" s="907">
        <f>DMT!$F$40</f>
        <v>0.2</v>
      </c>
      <c r="F2096" s="908">
        <v>2.2538</v>
      </c>
      <c r="G2096" s="949">
        <f t="shared" si="557"/>
        <v>6.5224972000000001</v>
      </c>
      <c r="H2096" s="901"/>
      <c r="I2096" s="901"/>
      <c r="J2096" s="902">
        <f t="shared" si="540"/>
        <v>0</v>
      </c>
      <c r="K2096" s="903"/>
      <c r="L2096" s="1039">
        <f>ROUND(SUM('RES. CENTRAL PARK:RUA_FINAL'!L2096),2)</f>
        <v>0</v>
      </c>
      <c r="M2096" s="1039">
        <f t="shared" si="546"/>
        <v>0</v>
      </c>
      <c r="N2096" s="893">
        <f t="shared" si="547"/>
        <v>0</v>
      </c>
      <c r="O2096" s="905"/>
      <c r="P2096" s="36" t="str">
        <f>IF(N2093&gt;0,"xx",IF(N2093&gt;0,"xy",""))</f>
        <v/>
      </c>
      <c r="Q2096" s="317" t="str">
        <f t="shared" si="548"/>
        <v/>
      </c>
      <c r="R2096" s="317" t="str">
        <f t="shared" si="549"/>
        <v/>
      </c>
      <c r="S2096" s="317" t="str">
        <f t="shared" si="550"/>
        <v/>
      </c>
      <c r="V2096" s="314">
        <f>SUM('RES. CENTRAL PARK:RUA_FINAL'!N2096)</f>
        <v>0</v>
      </c>
      <c r="W2096" s="315">
        <f t="shared" si="551"/>
        <v>0</v>
      </c>
    </row>
    <row r="2097" spans="1:23" ht="13.5" hidden="1" thickBot="1" x14ac:dyDescent="0.25">
      <c r="A2097" s="63" t="s">
        <v>147</v>
      </c>
      <c r="B2097" s="895" t="s">
        <v>147</v>
      </c>
      <c r="C2097" s="896"/>
      <c r="D2097" s="906" t="s">
        <v>336</v>
      </c>
      <c r="E2097" s="907">
        <f>DMT!$F$38</f>
        <v>40</v>
      </c>
      <c r="F2097" s="908">
        <v>1</v>
      </c>
      <c r="G2097" s="949">
        <f t="shared" si="557"/>
        <v>45.480000000000004</v>
      </c>
      <c r="H2097" s="901"/>
      <c r="I2097" s="901"/>
      <c r="J2097" s="902">
        <f t="shared" si="540"/>
        <v>0</v>
      </c>
      <c r="K2097" s="903"/>
      <c r="L2097" s="1039">
        <f>ROUND(SUM('RES. CENTRAL PARK:RUA_FINAL'!L2097),2)</f>
        <v>0</v>
      </c>
      <c r="M2097" s="1039">
        <f t="shared" si="546"/>
        <v>0</v>
      </c>
      <c r="N2097" s="893">
        <f t="shared" si="547"/>
        <v>0</v>
      </c>
      <c r="O2097" s="905"/>
      <c r="P2097" s="36" t="str">
        <f>IF(N2093&gt;0,"xx",IF(N2093&gt;0,"xy",""))</f>
        <v/>
      </c>
      <c r="Q2097" s="317" t="str">
        <f t="shared" si="548"/>
        <v/>
      </c>
      <c r="R2097" s="317" t="str">
        <f t="shared" si="549"/>
        <v/>
      </c>
      <c r="S2097" s="317" t="str">
        <f t="shared" si="550"/>
        <v/>
      </c>
      <c r="V2097" s="314">
        <f>SUM('RES. CENTRAL PARK:RUA_FINAL'!N2097)</f>
        <v>0</v>
      </c>
      <c r="W2097" s="315">
        <f t="shared" si="551"/>
        <v>0</v>
      </c>
    </row>
    <row r="2098" spans="1:23" ht="13.5" hidden="1" thickBot="1" x14ac:dyDescent="0.25">
      <c r="A2098" s="63">
        <v>611700</v>
      </c>
      <c r="B2098" s="895">
        <v>611700</v>
      </c>
      <c r="C2098" s="896" t="s">
        <v>184</v>
      </c>
      <c r="D2098" s="906" t="s">
        <v>2046</v>
      </c>
      <c r="E2098" s="907"/>
      <c r="F2098" s="908"/>
      <c r="G2098" s="912">
        <f>SUM(G2099:G2102)</f>
        <v>359.57415739999999</v>
      </c>
      <c r="H2098" s="901">
        <v>3874.21</v>
      </c>
      <c r="I2098" s="901">
        <f>IF(ISBLANK(H2098),"",SUM(G2098:H2098))</f>
        <v>4233.7841574000004</v>
      </c>
      <c r="J2098" s="902">
        <f t="shared" si="540"/>
        <v>5083.5</v>
      </c>
      <c r="K2098" s="903" t="s">
        <v>13</v>
      </c>
      <c r="L2098" s="1039">
        <f>ROUND(SUM('RES. CENTRAL PARK:RUA_FINAL'!L2098),2)</f>
        <v>0</v>
      </c>
      <c r="M2098" s="1039">
        <f t="shared" si="546"/>
        <v>0</v>
      </c>
      <c r="N2098" s="893">
        <f t="shared" si="547"/>
        <v>0</v>
      </c>
      <c r="O2098" s="905"/>
      <c r="Q2098" s="317" t="str">
        <f t="shared" si="548"/>
        <v/>
      </c>
      <c r="R2098" s="317" t="str">
        <f t="shared" si="549"/>
        <v/>
      </c>
      <c r="S2098" s="317" t="str">
        <f t="shared" si="550"/>
        <v/>
      </c>
      <c r="V2098" s="314">
        <f>SUM('RES. CENTRAL PARK:RUA_FINAL'!N2098)</f>
        <v>0</v>
      </c>
      <c r="W2098" s="315">
        <f t="shared" si="551"/>
        <v>0</v>
      </c>
    </row>
    <row r="2099" spans="1:23" ht="13.5" hidden="1" thickBot="1" x14ac:dyDescent="0.25">
      <c r="A2099" s="63" t="s">
        <v>147</v>
      </c>
      <c r="B2099" s="895" t="s">
        <v>147</v>
      </c>
      <c r="C2099" s="896"/>
      <c r="D2099" s="906" t="s">
        <v>190</v>
      </c>
      <c r="E2099" s="907">
        <f>DMT!$D$41</f>
        <v>308</v>
      </c>
      <c r="F2099" s="908">
        <v>0.30620000000000003</v>
      </c>
      <c r="G2099" s="909">
        <f>IF(E2099&lt;=30,(0.78*E2099+7.82)*F2099,((0.78*30+7.82)+0.78*(E2099-30))*F2099)</f>
        <v>75.955972000000003</v>
      </c>
      <c r="H2099" s="901"/>
      <c r="I2099" s="901"/>
      <c r="J2099" s="902">
        <f t="shared" si="540"/>
        <v>0</v>
      </c>
      <c r="K2099" s="903"/>
      <c r="L2099" s="1039">
        <f>ROUND(SUM('RES. CENTRAL PARK:RUA_FINAL'!L2099),2)</f>
        <v>0</v>
      </c>
      <c r="M2099" s="1039">
        <f t="shared" si="546"/>
        <v>0</v>
      </c>
      <c r="N2099" s="893">
        <f t="shared" si="547"/>
        <v>0</v>
      </c>
      <c r="O2099" s="905"/>
      <c r="P2099" s="36" t="str">
        <f>IF(N2098&gt;0,"xx",IF(N2098&gt;0,"xy",""))</f>
        <v/>
      </c>
      <c r="Q2099" s="317" t="str">
        <f t="shared" si="548"/>
        <v/>
      </c>
      <c r="R2099" s="317" t="str">
        <f t="shared" si="549"/>
        <v/>
      </c>
      <c r="S2099" s="317" t="str">
        <f t="shared" si="550"/>
        <v/>
      </c>
      <c r="V2099" s="314">
        <f>SUM('RES. CENTRAL PARK:RUA_FINAL'!N2099)</f>
        <v>0</v>
      </c>
      <c r="W2099" s="315">
        <f t="shared" si="551"/>
        <v>0</v>
      </c>
    </row>
    <row r="2100" spans="1:23" ht="13.5" hidden="1" thickBot="1" x14ac:dyDescent="0.25">
      <c r="A2100" s="63" t="s">
        <v>147</v>
      </c>
      <c r="B2100" s="895" t="s">
        <v>147</v>
      </c>
      <c r="C2100" s="896"/>
      <c r="D2100" s="906" t="s">
        <v>229</v>
      </c>
      <c r="E2100" s="907">
        <f>DMT!$F$39</f>
        <v>150</v>
      </c>
      <c r="F2100" s="908">
        <v>1.1047</v>
      </c>
      <c r="G2100" s="949">
        <f t="shared" ref="G2100:G2102" si="558">IF(E2100&lt;=30,(1.07*E2100+2.68)*F2100,((1.07*30+2.68)+1.07*(E2100-30))*F2100)</f>
        <v>180.26494600000001</v>
      </c>
      <c r="H2100" s="901"/>
      <c r="I2100" s="901"/>
      <c r="J2100" s="902">
        <f t="shared" si="540"/>
        <v>0</v>
      </c>
      <c r="K2100" s="903"/>
      <c r="L2100" s="1039">
        <f>ROUND(SUM('RES. CENTRAL PARK:RUA_FINAL'!L2100),2)</f>
        <v>0</v>
      </c>
      <c r="M2100" s="1039">
        <f t="shared" si="546"/>
        <v>0</v>
      </c>
      <c r="N2100" s="893">
        <f t="shared" si="547"/>
        <v>0</v>
      </c>
      <c r="O2100" s="905"/>
      <c r="P2100" s="36" t="str">
        <f>IF(N2098&gt;0,"xx",IF(N2098&gt;0,"xy",""))</f>
        <v/>
      </c>
      <c r="Q2100" s="317" t="str">
        <f t="shared" si="548"/>
        <v/>
      </c>
      <c r="R2100" s="317" t="str">
        <f t="shared" si="549"/>
        <v/>
      </c>
      <c r="S2100" s="317" t="str">
        <f t="shared" si="550"/>
        <v/>
      </c>
      <c r="V2100" s="314">
        <f>SUM('RES. CENTRAL PARK:RUA_FINAL'!N2100)</f>
        <v>0</v>
      </c>
      <c r="W2100" s="315">
        <f t="shared" si="551"/>
        <v>0</v>
      </c>
    </row>
    <row r="2101" spans="1:23" ht="13.5" hidden="1" thickBot="1" x14ac:dyDescent="0.25">
      <c r="A2101" s="63" t="s">
        <v>147</v>
      </c>
      <c r="B2101" s="895" t="s">
        <v>147</v>
      </c>
      <c r="C2101" s="896"/>
      <c r="D2101" s="906" t="s">
        <v>233</v>
      </c>
      <c r="E2101" s="907">
        <f>DMT!$F$40</f>
        <v>0.2</v>
      </c>
      <c r="F2101" s="908">
        <v>1.9251</v>
      </c>
      <c r="G2101" s="949">
        <f t="shared" si="558"/>
        <v>5.5712394000000005</v>
      </c>
      <c r="H2101" s="901"/>
      <c r="I2101" s="901"/>
      <c r="J2101" s="902">
        <f t="shared" si="540"/>
        <v>0</v>
      </c>
      <c r="K2101" s="903"/>
      <c r="L2101" s="1039">
        <f>ROUND(SUM('RES. CENTRAL PARK:RUA_FINAL'!L2101),2)</f>
        <v>0</v>
      </c>
      <c r="M2101" s="1039">
        <f t="shared" si="546"/>
        <v>0</v>
      </c>
      <c r="N2101" s="893">
        <f t="shared" si="547"/>
        <v>0</v>
      </c>
      <c r="O2101" s="905"/>
      <c r="P2101" s="36" t="str">
        <f>IF(N2098&gt;0,"xx",IF(N2098&gt;0,"xy",""))</f>
        <v/>
      </c>
      <c r="Q2101" s="317" t="str">
        <f t="shared" si="548"/>
        <v/>
      </c>
      <c r="R2101" s="317" t="str">
        <f t="shared" si="549"/>
        <v/>
      </c>
      <c r="S2101" s="317" t="str">
        <f t="shared" si="550"/>
        <v/>
      </c>
      <c r="V2101" s="314">
        <f>SUM('RES. CENTRAL PARK:RUA_FINAL'!N2101)</f>
        <v>0</v>
      </c>
      <c r="W2101" s="315">
        <f t="shared" si="551"/>
        <v>0</v>
      </c>
    </row>
    <row r="2102" spans="1:23" ht="13.5" hidden="1" thickBot="1" x14ac:dyDescent="0.25">
      <c r="A2102" s="63" t="s">
        <v>147</v>
      </c>
      <c r="B2102" s="895" t="s">
        <v>147</v>
      </c>
      <c r="C2102" s="896"/>
      <c r="D2102" s="906" t="s">
        <v>336</v>
      </c>
      <c r="E2102" s="907">
        <f>DMT!$F$38</f>
        <v>40</v>
      </c>
      <c r="F2102" s="908">
        <v>2.15</v>
      </c>
      <c r="G2102" s="949">
        <f t="shared" si="558"/>
        <v>97.782000000000011</v>
      </c>
      <c r="H2102" s="901"/>
      <c r="I2102" s="901"/>
      <c r="J2102" s="902">
        <f t="shared" si="540"/>
        <v>0</v>
      </c>
      <c r="K2102" s="903"/>
      <c r="L2102" s="1039">
        <f>ROUND(SUM('RES. CENTRAL PARK:RUA_FINAL'!L2102),2)</f>
        <v>0</v>
      </c>
      <c r="M2102" s="1039">
        <f t="shared" si="546"/>
        <v>0</v>
      </c>
      <c r="N2102" s="893">
        <f t="shared" si="547"/>
        <v>0</v>
      </c>
      <c r="O2102" s="905"/>
      <c r="P2102" s="36" t="str">
        <f>IF(N2098&gt;0,"xx",IF(N2098&gt;0,"xy",""))</f>
        <v/>
      </c>
      <c r="Q2102" s="317" t="str">
        <f t="shared" si="548"/>
        <v/>
      </c>
      <c r="R2102" s="317" t="str">
        <f t="shared" si="549"/>
        <v/>
      </c>
      <c r="S2102" s="317" t="str">
        <f t="shared" si="550"/>
        <v/>
      </c>
      <c r="V2102" s="314">
        <f>SUM('RES. CENTRAL PARK:RUA_FINAL'!N2102)</f>
        <v>0</v>
      </c>
      <c r="W2102" s="315">
        <f t="shared" si="551"/>
        <v>0</v>
      </c>
    </row>
    <row r="2103" spans="1:23" ht="13.5" hidden="1" thickBot="1" x14ac:dyDescent="0.25">
      <c r="A2103" s="63" t="s">
        <v>17</v>
      </c>
      <c r="B2103" s="895" t="s">
        <v>17</v>
      </c>
      <c r="C2103" s="896" t="s">
        <v>184</v>
      </c>
      <c r="D2103" s="906" t="s">
        <v>54</v>
      </c>
      <c r="E2103" s="907"/>
      <c r="F2103" s="908"/>
      <c r="G2103" s="912">
        <f>SUM(G2104:G2108)</f>
        <v>150.80919626400001</v>
      </c>
      <c r="H2103" s="901">
        <v>1441.24</v>
      </c>
      <c r="I2103" s="901">
        <f>IF(ISBLANK(H2103),"",SUM(G2103:H2103))</f>
        <v>1592.0491962640001</v>
      </c>
      <c r="J2103" s="902">
        <f t="shared" si="540"/>
        <v>1911.57</v>
      </c>
      <c r="K2103" s="903" t="s">
        <v>15</v>
      </c>
      <c r="L2103" s="1039">
        <f>ROUND(SUM('RES. CENTRAL PARK:RUA_FINAL'!L2103),2)</f>
        <v>0</v>
      </c>
      <c r="M2103" s="1039">
        <f t="shared" si="546"/>
        <v>0</v>
      </c>
      <c r="N2103" s="893">
        <f t="shared" si="547"/>
        <v>0</v>
      </c>
      <c r="O2103" s="905"/>
      <c r="Q2103" s="317" t="str">
        <f t="shared" si="548"/>
        <v/>
      </c>
      <c r="R2103" s="317" t="str">
        <f t="shared" si="549"/>
        <v/>
      </c>
      <c r="S2103" s="317" t="str">
        <f t="shared" si="550"/>
        <v/>
      </c>
      <c r="V2103" s="314">
        <f>SUM('RES. CENTRAL PARK:RUA_FINAL'!N2103)</f>
        <v>0</v>
      </c>
      <c r="W2103" s="315">
        <f t="shared" si="551"/>
        <v>0</v>
      </c>
    </row>
    <row r="2104" spans="1:23" ht="13.5" hidden="1" thickBot="1" x14ac:dyDescent="0.25">
      <c r="A2104" s="63" t="s">
        <v>147</v>
      </c>
      <c r="B2104" s="895" t="s">
        <v>147</v>
      </c>
      <c r="C2104" s="896"/>
      <c r="D2104" s="906" t="s">
        <v>190</v>
      </c>
      <c r="E2104" s="907">
        <f>DMT!$D$20</f>
        <v>308</v>
      </c>
      <c r="F2104" s="908">
        <f>VLOOKUP(D2103,'ENSAIOS DE ORÇAMENTO'!$C$5:$L$81,4,FALSE)</f>
        <v>0.11541040000000001</v>
      </c>
      <c r="G2104" s="909">
        <f>IF(E2104&lt;=30,(0.78*E2104+7.82)*F2104,((0.78*30+7.82)+0.78*(E2104-30))*F2104)</f>
        <v>28.628703824000002</v>
      </c>
      <c r="H2104" s="901"/>
      <c r="I2104" s="901"/>
      <c r="J2104" s="902">
        <f t="shared" si="540"/>
        <v>0</v>
      </c>
      <c r="K2104" s="903"/>
      <c r="L2104" s="1039">
        <f>ROUND(SUM('RES. CENTRAL PARK:RUA_FINAL'!L2104),2)</f>
        <v>0</v>
      </c>
      <c r="M2104" s="1039">
        <f t="shared" si="546"/>
        <v>0</v>
      </c>
      <c r="N2104" s="893">
        <f t="shared" si="547"/>
        <v>0</v>
      </c>
      <c r="O2104" s="905"/>
      <c r="P2104" s="36" t="str">
        <f>IF(N2103&gt;0,"xx",IF(N2103&gt;0,"xy",""))</f>
        <v/>
      </c>
      <c r="Q2104" s="317" t="str">
        <f t="shared" si="548"/>
        <v/>
      </c>
      <c r="R2104" s="317" t="str">
        <f t="shared" si="549"/>
        <v/>
      </c>
      <c r="S2104" s="317" t="str">
        <f t="shared" si="550"/>
        <v/>
      </c>
      <c r="V2104" s="314">
        <f>SUM('RES. CENTRAL PARK:RUA_FINAL'!N2104)</f>
        <v>0</v>
      </c>
      <c r="W2104" s="315">
        <f t="shared" si="551"/>
        <v>0</v>
      </c>
    </row>
    <row r="2105" spans="1:23" ht="13.5" hidden="1" thickBot="1" x14ac:dyDescent="0.25">
      <c r="A2105" s="63" t="s">
        <v>147</v>
      </c>
      <c r="B2105" s="895" t="s">
        <v>147</v>
      </c>
      <c r="C2105" s="896"/>
      <c r="D2105" s="906" t="s">
        <v>229</v>
      </c>
      <c r="E2105" s="907">
        <f>DMT!$F$8</f>
        <v>150</v>
      </c>
      <c r="F2105" s="908">
        <f>VLOOKUP(D2103,'ENSAIOS DE ORÇAMENTO'!$C$5:$L$81,5,FALSE)</f>
        <v>0.62209000000000003</v>
      </c>
      <c r="G2105" s="949">
        <f t="shared" ref="G2105:G2107" si="559">IF(E2105&lt;=30,(1.07*E2105+2.68)*F2105,((1.07*30+2.68)+1.07*(E2105-30))*F2105)</f>
        <v>101.51264620000001</v>
      </c>
      <c r="H2105" s="901"/>
      <c r="I2105" s="901"/>
      <c r="J2105" s="902">
        <f t="shared" si="540"/>
        <v>0</v>
      </c>
      <c r="K2105" s="903"/>
      <c r="L2105" s="1039">
        <f>ROUND(SUM('RES. CENTRAL PARK:RUA_FINAL'!L2105),2)</f>
        <v>0</v>
      </c>
      <c r="M2105" s="1039">
        <f t="shared" si="546"/>
        <v>0</v>
      </c>
      <c r="N2105" s="893">
        <f t="shared" si="547"/>
        <v>0</v>
      </c>
      <c r="O2105" s="905"/>
      <c r="P2105" s="36" t="str">
        <f>IF(N2103&gt;0,"xx",IF(N2103&gt;0,"xy",""))</f>
        <v/>
      </c>
      <c r="Q2105" s="317" t="str">
        <f t="shared" si="548"/>
        <v/>
      </c>
      <c r="R2105" s="317" t="str">
        <f t="shared" si="549"/>
        <v/>
      </c>
      <c r="S2105" s="317" t="str">
        <f t="shared" si="550"/>
        <v/>
      </c>
      <c r="V2105" s="314">
        <f>SUM('RES. CENTRAL PARK:RUA_FINAL'!N2105)</f>
        <v>0</v>
      </c>
      <c r="W2105" s="315">
        <f t="shared" si="551"/>
        <v>0</v>
      </c>
    </row>
    <row r="2106" spans="1:23" ht="13.5" hidden="1" thickBot="1" x14ac:dyDescent="0.25">
      <c r="A2106" s="63" t="s">
        <v>147</v>
      </c>
      <c r="B2106" s="895" t="s">
        <v>147</v>
      </c>
      <c r="C2106" s="896"/>
      <c r="D2106" s="906" t="s">
        <v>233</v>
      </c>
      <c r="E2106" s="907">
        <f>DMT!$F$10</f>
        <v>0.2</v>
      </c>
      <c r="F2106" s="908">
        <f>VLOOKUP(D2103,'ENSAIOS DE ORÇAMENTO'!$C$5:$L$81,6,FALSE)</f>
        <v>0.20424000000000003</v>
      </c>
      <c r="G2106" s="949">
        <f t="shared" si="559"/>
        <v>0.59107056000000013</v>
      </c>
      <c r="H2106" s="901"/>
      <c r="I2106" s="901"/>
      <c r="J2106" s="902">
        <f t="shared" ref="J2106:J2155" si="560">IF(ISBLANK(H2106),0,ROUND(I2106*(1+$E$10),2))</f>
        <v>0</v>
      </c>
      <c r="K2106" s="903"/>
      <c r="L2106" s="1039">
        <f>ROUND(SUM('RES. CENTRAL PARK:RUA_FINAL'!L2106),2)</f>
        <v>0</v>
      </c>
      <c r="M2106" s="1039">
        <f t="shared" si="546"/>
        <v>0</v>
      </c>
      <c r="N2106" s="893">
        <f t="shared" si="547"/>
        <v>0</v>
      </c>
      <c r="O2106" s="905"/>
      <c r="P2106" s="36" t="str">
        <f>IF(N2103&gt;0,"xx",IF(N2103&gt;0,"xy",""))</f>
        <v/>
      </c>
      <c r="Q2106" s="317" t="str">
        <f t="shared" si="548"/>
        <v/>
      </c>
      <c r="R2106" s="317" t="str">
        <f t="shared" si="549"/>
        <v/>
      </c>
      <c r="S2106" s="317" t="str">
        <f t="shared" si="550"/>
        <v/>
      </c>
      <c r="V2106" s="314">
        <f>SUM('RES. CENTRAL PARK:RUA_FINAL'!N2106)</f>
        <v>0</v>
      </c>
      <c r="W2106" s="315">
        <f t="shared" si="551"/>
        <v>0</v>
      </c>
    </row>
    <row r="2107" spans="1:23" ht="13.5" hidden="1" thickBot="1" x14ac:dyDescent="0.25">
      <c r="A2107" s="63" t="s">
        <v>147</v>
      </c>
      <c r="B2107" s="895" t="s">
        <v>147</v>
      </c>
      <c r="C2107" s="896"/>
      <c r="D2107" s="906" t="s">
        <v>365</v>
      </c>
      <c r="E2107" s="907">
        <f>DMT!$F$32</f>
        <v>10</v>
      </c>
      <c r="F2107" s="908">
        <f>VLOOKUP(D2103,'ENSAIOS DE ORÇAMENTO'!$C$5:$L$81,3,FALSE)</f>
        <v>0.87983999999999996</v>
      </c>
      <c r="G2107" s="949">
        <f t="shared" si="559"/>
        <v>11.772259200000001</v>
      </c>
      <c r="H2107" s="901"/>
      <c r="I2107" s="901"/>
      <c r="J2107" s="902">
        <f t="shared" si="560"/>
        <v>0</v>
      </c>
      <c r="K2107" s="903"/>
      <c r="L2107" s="1039">
        <f>ROUND(SUM('RES. CENTRAL PARK:RUA_FINAL'!L2107),2)</f>
        <v>0</v>
      </c>
      <c r="M2107" s="1039">
        <f t="shared" si="546"/>
        <v>0</v>
      </c>
      <c r="N2107" s="893">
        <f t="shared" si="547"/>
        <v>0</v>
      </c>
      <c r="O2107" s="905"/>
      <c r="P2107" s="36" t="str">
        <f>IF(N2103&gt;0,"xx",IF(N2103&gt;0,"xy",""))</f>
        <v/>
      </c>
      <c r="Q2107" s="317" t="str">
        <f t="shared" si="548"/>
        <v/>
      </c>
      <c r="R2107" s="317" t="str">
        <f t="shared" si="549"/>
        <v/>
      </c>
      <c r="S2107" s="317" t="str">
        <f t="shared" si="550"/>
        <v/>
      </c>
      <c r="V2107" s="314">
        <f>SUM('RES. CENTRAL PARK:RUA_FINAL'!N2107)</f>
        <v>0</v>
      </c>
      <c r="W2107" s="315">
        <f t="shared" si="551"/>
        <v>0</v>
      </c>
    </row>
    <row r="2108" spans="1:23" ht="13.5" hidden="1" thickBot="1" x14ac:dyDescent="0.25">
      <c r="A2108" s="63" t="s">
        <v>147</v>
      </c>
      <c r="B2108" s="895" t="s">
        <v>147</v>
      </c>
      <c r="C2108" s="896"/>
      <c r="D2108" s="906" t="s">
        <v>366</v>
      </c>
      <c r="E2108" s="907">
        <f>DMT!$D$18</f>
        <v>353</v>
      </c>
      <c r="F2108" s="908">
        <f>VLOOKUP(D2103,'ENSAIOS DE ORÇAMENTO'!$C$5:$L$81,10,FALSE)</f>
        <v>2.9328E-2</v>
      </c>
      <c r="G2108" s="909">
        <f>IF(E2108&lt;=30,(0.78*E2108+7.82)*F2108,((0.78*30+7.82)+0.78*(E2108-30))*F2108)</f>
        <v>8.3045164800000002</v>
      </c>
      <c r="H2108" s="901"/>
      <c r="I2108" s="901"/>
      <c r="J2108" s="902">
        <f t="shared" si="560"/>
        <v>0</v>
      </c>
      <c r="K2108" s="903"/>
      <c r="L2108" s="1039">
        <f>ROUND(SUM('RES. CENTRAL PARK:RUA_FINAL'!L2108),2)</f>
        <v>0</v>
      </c>
      <c r="M2108" s="1039">
        <f t="shared" si="546"/>
        <v>0</v>
      </c>
      <c r="N2108" s="893">
        <f t="shared" si="547"/>
        <v>0</v>
      </c>
      <c r="O2108" s="905"/>
      <c r="P2108" s="36" t="str">
        <f>IF(N2103&gt;0,"xx",IF(N2103&gt;0,"xy",""))</f>
        <v/>
      </c>
      <c r="Q2108" s="317" t="str">
        <f t="shared" si="548"/>
        <v/>
      </c>
      <c r="R2108" s="317" t="str">
        <f t="shared" si="549"/>
        <v/>
      </c>
      <c r="S2108" s="317" t="str">
        <f t="shared" si="550"/>
        <v/>
      </c>
      <c r="V2108" s="314">
        <f>SUM('RES. CENTRAL PARK:RUA_FINAL'!N2108)</f>
        <v>0</v>
      </c>
      <c r="W2108" s="315">
        <f t="shared" si="551"/>
        <v>0</v>
      </c>
    </row>
    <row r="2109" spans="1:23" ht="13.5" hidden="1" thickBot="1" x14ac:dyDescent="0.25">
      <c r="A2109" s="63" t="s">
        <v>18</v>
      </c>
      <c r="B2109" s="895" t="s">
        <v>18</v>
      </c>
      <c r="C2109" s="896" t="s">
        <v>184</v>
      </c>
      <c r="D2109" s="906" t="s">
        <v>55</v>
      </c>
      <c r="E2109" s="907"/>
      <c r="F2109" s="908"/>
      <c r="G2109" s="912">
        <f>SUM(G2110:G2114)</f>
        <v>178.02627704000002</v>
      </c>
      <c r="H2109" s="901">
        <v>1595.65</v>
      </c>
      <c r="I2109" s="901">
        <f>IF(ISBLANK(H2109),"",SUM(G2109:H2109))</f>
        <v>1773.6762770400001</v>
      </c>
      <c r="J2109" s="902">
        <f t="shared" si="560"/>
        <v>2129.65</v>
      </c>
      <c r="K2109" s="903" t="s">
        <v>15</v>
      </c>
      <c r="L2109" s="1039">
        <f>ROUND(SUM('RES. CENTRAL PARK:RUA_FINAL'!L2109),2)</f>
        <v>0</v>
      </c>
      <c r="M2109" s="1039">
        <f t="shared" si="546"/>
        <v>0</v>
      </c>
      <c r="N2109" s="893">
        <f t="shared" si="547"/>
        <v>0</v>
      </c>
      <c r="O2109" s="905"/>
      <c r="Q2109" s="317" t="str">
        <f t="shared" si="548"/>
        <v/>
      </c>
      <c r="R2109" s="317" t="str">
        <f t="shared" si="549"/>
        <v/>
      </c>
      <c r="S2109" s="317" t="str">
        <f t="shared" si="550"/>
        <v/>
      </c>
      <c r="V2109" s="314">
        <f>SUM('RES. CENTRAL PARK:RUA_FINAL'!N2109)</f>
        <v>0</v>
      </c>
      <c r="W2109" s="315">
        <f t="shared" si="551"/>
        <v>0</v>
      </c>
    </row>
    <row r="2110" spans="1:23" ht="13.5" hidden="1" thickBot="1" x14ac:dyDescent="0.25">
      <c r="A2110" s="63" t="s">
        <v>147</v>
      </c>
      <c r="B2110" s="895" t="s">
        <v>147</v>
      </c>
      <c r="C2110" s="896"/>
      <c r="D2110" s="906" t="s">
        <v>190</v>
      </c>
      <c r="E2110" s="907">
        <f>DMT!$D$20</f>
        <v>308</v>
      </c>
      <c r="F2110" s="908">
        <f>VLOOKUP(D2109,'ENSAIOS DE ORÇAMENTO'!$C$5:$L$81,4,FALSE)</f>
        <v>0.132608</v>
      </c>
      <c r="G2110" s="909">
        <f>IF(E2110&lt;=30,(0.78*E2110+7.82)*F2110,((0.78*30+7.82)+0.78*(E2110-30))*F2110)</f>
        <v>32.894740480000003</v>
      </c>
      <c r="H2110" s="901"/>
      <c r="I2110" s="901"/>
      <c r="J2110" s="902">
        <f t="shared" si="560"/>
        <v>0</v>
      </c>
      <c r="K2110" s="903"/>
      <c r="L2110" s="1039">
        <f>ROUND(SUM('RES. CENTRAL PARK:RUA_FINAL'!L2110),2)</f>
        <v>0</v>
      </c>
      <c r="M2110" s="1039">
        <f t="shared" si="546"/>
        <v>0</v>
      </c>
      <c r="N2110" s="893">
        <f t="shared" si="547"/>
        <v>0</v>
      </c>
      <c r="O2110" s="905"/>
      <c r="P2110" s="36" t="str">
        <f>IF(N2109&gt;0,"xx",IF(N2109&gt;0,"xy",""))</f>
        <v/>
      </c>
      <c r="Q2110" s="317" t="str">
        <f t="shared" si="548"/>
        <v/>
      </c>
      <c r="R2110" s="317" t="str">
        <f t="shared" si="549"/>
        <v/>
      </c>
      <c r="S2110" s="317" t="str">
        <f t="shared" si="550"/>
        <v/>
      </c>
      <c r="V2110" s="314">
        <f>SUM('RES. CENTRAL PARK:RUA_FINAL'!N2110)</f>
        <v>0</v>
      </c>
      <c r="W2110" s="315">
        <f t="shared" si="551"/>
        <v>0</v>
      </c>
    </row>
    <row r="2111" spans="1:23" ht="13.5" hidden="1" thickBot="1" x14ac:dyDescent="0.25">
      <c r="A2111" s="63" t="s">
        <v>147</v>
      </c>
      <c r="B2111" s="895" t="s">
        <v>147</v>
      </c>
      <c r="C2111" s="896"/>
      <c r="D2111" s="906" t="s">
        <v>229</v>
      </c>
      <c r="E2111" s="907">
        <f>DMT!$F$8</f>
        <v>150</v>
      </c>
      <c r="F2111" s="908">
        <f>VLOOKUP(D2109,'ENSAIOS DE ORÇAMENTO'!$C$5:$L$81,5,FALSE)</f>
        <v>0.73198000000000008</v>
      </c>
      <c r="G2111" s="949">
        <f t="shared" ref="G2111:G2113" si="561">IF(E2111&lt;=30,(1.07*E2111+2.68)*F2111,((1.07*30+2.68)+1.07*(E2111-30))*F2111)</f>
        <v>119.44449640000002</v>
      </c>
      <c r="H2111" s="901"/>
      <c r="I2111" s="901"/>
      <c r="J2111" s="902">
        <f t="shared" si="560"/>
        <v>0</v>
      </c>
      <c r="K2111" s="903"/>
      <c r="L2111" s="1039">
        <f>ROUND(SUM('RES. CENTRAL PARK:RUA_FINAL'!L2111),2)</f>
        <v>0</v>
      </c>
      <c r="M2111" s="1039">
        <f t="shared" si="546"/>
        <v>0</v>
      </c>
      <c r="N2111" s="893">
        <f t="shared" si="547"/>
        <v>0</v>
      </c>
      <c r="O2111" s="905"/>
      <c r="P2111" s="36" t="str">
        <f>IF(N2109&gt;0,"xx",IF(N2109&gt;0,"xy",""))</f>
        <v/>
      </c>
      <c r="Q2111" s="317" t="str">
        <f t="shared" si="548"/>
        <v/>
      </c>
      <c r="R2111" s="317" t="str">
        <f t="shared" si="549"/>
        <v/>
      </c>
      <c r="S2111" s="317" t="str">
        <f t="shared" si="550"/>
        <v/>
      </c>
      <c r="V2111" s="314">
        <f>SUM('RES. CENTRAL PARK:RUA_FINAL'!N2111)</f>
        <v>0</v>
      </c>
      <c r="W2111" s="315">
        <f t="shared" si="551"/>
        <v>0</v>
      </c>
    </row>
    <row r="2112" spans="1:23" ht="13.5" hidden="1" thickBot="1" x14ac:dyDescent="0.25">
      <c r="A2112" s="63" t="s">
        <v>147</v>
      </c>
      <c r="B2112" s="895" t="s">
        <v>147</v>
      </c>
      <c r="C2112" s="896"/>
      <c r="D2112" s="906" t="s">
        <v>233</v>
      </c>
      <c r="E2112" s="907">
        <f>DMT!$F$10</f>
        <v>0.2</v>
      </c>
      <c r="F2112" s="908">
        <f>VLOOKUP(D2109,'ENSAIOS DE ORÇAMENTO'!$C$5:$L$81,6,FALSE)</f>
        <v>0.20424000000000003</v>
      </c>
      <c r="G2112" s="949">
        <f t="shared" si="561"/>
        <v>0.59107056000000013</v>
      </c>
      <c r="H2112" s="901"/>
      <c r="I2112" s="901"/>
      <c r="J2112" s="902">
        <f t="shared" si="560"/>
        <v>0</v>
      </c>
      <c r="K2112" s="903"/>
      <c r="L2112" s="1039">
        <f>ROUND(SUM('RES. CENTRAL PARK:RUA_FINAL'!L2112),2)</f>
        <v>0</v>
      </c>
      <c r="M2112" s="1039">
        <f t="shared" si="546"/>
        <v>0</v>
      </c>
      <c r="N2112" s="893">
        <f t="shared" si="547"/>
        <v>0</v>
      </c>
      <c r="O2112" s="905"/>
      <c r="P2112" s="36" t="str">
        <f>IF(N2109&gt;0,"xx",IF(N2109&gt;0,"xy",""))</f>
        <v/>
      </c>
      <c r="Q2112" s="317" t="str">
        <f t="shared" si="548"/>
        <v/>
      </c>
      <c r="R2112" s="317" t="str">
        <f t="shared" si="549"/>
        <v/>
      </c>
      <c r="S2112" s="317" t="str">
        <f t="shared" si="550"/>
        <v/>
      </c>
      <c r="V2112" s="314">
        <f>SUM('RES. CENTRAL PARK:RUA_FINAL'!N2112)</f>
        <v>0</v>
      </c>
      <c r="W2112" s="315">
        <f t="shared" si="551"/>
        <v>0</v>
      </c>
    </row>
    <row r="2113" spans="1:23" ht="13.5" hidden="1" thickBot="1" x14ac:dyDescent="0.25">
      <c r="A2113" s="63" t="s">
        <v>147</v>
      </c>
      <c r="B2113" s="895" t="s">
        <v>147</v>
      </c>
      <c r="C2113" s="896"/>
      <c r="D2113" s="906" t="s">
        <v>365</v>
      </c>
      <c r="E2113" s="907">
        <f>DMT!$F$32</f>
        <v>10</v>
      </c>
      <c r="F2113" s="908">
        <f>VLOOKUP(D2109,'ENSAIOS DE ORÇAMENTO'!$C$5:$L$81,3,FALSE)</f>
        <v>1.0998000000000001</v>
      </c>
      <c r="G2113" s="949">
        <f t="shared" si="561"/>
        <v>14.715324000000003</v>
      </c>
      <c r="H2113" s="901"/>
      <c r="I2113" s="901"/>
      <c r="J2113" s="902">
        <f t="shared" si="560"/>
        <v>0</v>
      </c>
      <c r="K2113" s="903"/>
      <c r="L2113" s="1039">
        <f>ROUND(SUM('RES. CENTRAL PARK:RUA_FINAL'!L2113),2)</f>
        <v>0</v>
      </c>
      <c r="M2113" s="1039">
        <f t="shared" si="546"/>
        <v>0</v>
      </c>
      <c r="N2113" s="893">
        <f t="shared" si="547"/>
        <v>0</v>
      </c>
      <c r="O2113" s="905"/>
      <c r="P2113" s="36" t="str">
        <f>IF(N2109&gt;0,"xx",IF(N2109&gt;0,"xy",""))</f>
        <v/>
      </c>
      <c r="Q2113" s="317" t="str">
        <f t="shared" si="548"/>
        <v/>
      </c>
      <c r="R2113" s="317" t="str">
        <f t="shared" si="549"/>
        <v/>
      </c>
      <c r="S2113" s="317" t="str">
        <f t="shared" si="550"/>
        <v/>
      </c>
      <c r="V2113" s="314">
        <f>SUM('RES. CENTRAL PARK:RUA_FINAL'!N2113)</f>
        <v>0</v>
      </c>
      <c r="W2113" s="315">
        <f t="shared" si="551"/>
        <v>0</v>
      </c>
    </row>
    <row r="2114" spans="1:23" ht="13.5" hidden="1" thickBot="1" x14ac:dyDescent="0.25">
      <c r="A2114" s="63" t="s">
        <v>147</v>
      </c>
      <c r="B2114" s="895" t="s">
        <v>147</v>
      </c>
      <c r="C2114" s="896"/>
      <c r="D2114" s="906" t="s">
        <v>366</v>
      </c>
      <c r="E2114" s="907">
        <f>DMT!$D$18</f>
        <v>353</v>
      </c>
      <c r="F2114" s="908">
        <f>VLOOKUP(D2109,'ENSAIOS DE ORÇAMENTO'!$C$5:$L$81,10,FALSE)</f>
        <v>3.6659999999999998E-2</v>
      </c>
      <c r="G2114" s="909">
        <f>IF(E2114&lt;=30,(0.78*E2114+7.82)*F2114,((0.78*30+7.82)+0.78*(E2114-30))*F2114)</f>
        <v>10.380645600000001</v>
      </c>
      <c r="H2114" s="901"/>
      <c r="I2114" s="901"/>
      <c r="J2114" s="902">
        <f t="shared" si="560"/>
        <v>0</v>
      </c>
      <c r="K2114" s="903"/>
      <c r="L2114" s="1039">
        <f>ROUND(SUM('RES. CENTRAL PARK:RUA_FINAL'!L2114),2)</f>
        <v>0</v>
      </c>
      <c r="M2114" s="1039">
        <f t="shared" si="546"/>
        <v>0</v>
      </c>
      <c r="N2114" s="893">
        <f t="shared" si="547"/>
        <v>0</v>
      </c>
      <c r="O2114" s="905"/>
      <c r="P2114" s="36" t="str">
        <f>IF(N2109&gt;0,"xx",IF(N2109&gt;0,"xy",""))</f>
        <v/>
      </c>
      <c r="Q2114" s="317" t="str">
        <f t="shared" si="548"/>
        <v/>
      </c>
      <c r="R2114" s="317" t="str">
        <f t="shared" si="549"/>
        <v/>
      </c>
      <c r="S2114" s="317" t="str">
        <f t="shared" si="550"/>
        <v/>
      </c>
      <c r="V2114" s="314">
        <f>SUM('RES. CENTRAL PARK:RUA_FINAL'!N2114)</f>
        <v>0</v>
      </c>
      <c r="W2114" s="315">
        <f t="shared" si="551"/>
        <v>0</v>
      </c>
    </row>
    <row r="2115" spans="1:23" ht="13.5" hidden="1" thickBot="1" x14ac:dyDescent="0.25">
      <c r="A2115" s="63" t="s">
        <v>19</v>
      </c>
      <c r="B2115" s="895" t="s">
        <v>19</v>
      </c>
      <c r="C2115" s="896" t="s">
        <v>184</v>
      </c>
      <c r="D2115" s="906" t="s">
        <v>56</v>
      </c>
      <c r="E2115" s="907"/>
      <c r="F2115" s="908"/>
      <c r="G2115" s="912">
        <f>SUM(G2116:G2120)</f>
        <v>223.06579010900001</v>
      </c>
      <c r="H2115" s="901">
        <v>1851.05</v>
      </c>
      <c r="I2115" s="901">
        <f>IF(ISBLANK(H2115),"",SUM(G2115:H2115))</f>
        <v>2074.115790109</v>
      </c>
      <c r="J2115" s="902">
        <f t="shared" si="560"/>
        <v>2490.39</v>
      </c>
      <c r="K2115" s="903" t="s">
        <v>15</v>
      </c>
      <c r="L2115" s="1039">
        <f>ROUND(SUM('RES. CENTRAL PARK:RUA_FINAL'!L2115),2)</f>
        <v>0</v>
      </c>
      <c r="M2115" s="1039">
        <f t="shared" si="546"/>
        <v>0</v>
      </c>
      <c r="N2115" s="893">
        <f t="shared" si="547"/>
        <v>0</v>
      </c>
      <c r="O2115" s="905"/>
      <c r="Q2115" s="317" t="str">
        <f t="shared" si="548"/>
        <v/>
      </c>
      <c r="R2115" s="317" t="str">
        <f t="shared" si="549"/>
        <v/>
      </c>
      <c r="S2115" s="317" t="str">
        <f t="shared" si="550"/>
        <v/>
      </c>
      <c r="V2115" s="314">
        <f>SUM('RES. CENTRAL PARK:RUA_FINAL'!N2115)</f>
        <v>0</v>
      </c>
      <c r="W2115" s="315">
        <f t="shared" si="551"/>
        <v>0</v>
      </c>
    </row>
    <row r="2116" spans="1:23" ht="13.5" hidden="1" thickBot="1" x14ac:dyDescent="0.25">
      <c r="A2116" s="63" t="s">
        <v>147</v>
      </c>
      <c r="B2116" s="895" t="s">
        <v>147</v>
      </c>
      <c r="C2116" s="896"/>
      <c r="D2116" s="906" t="s">
        <v>190</v>
      </c>
      <c r="E2116" s="907">
        <f>DMT!$D$20</f>
        <v>308</v>
      </c>
      <c r="F2116" s="908">
        <f>VLOOKUP(D2115,'ENSAIOS DE ORÇAMENTO'!$C$5:$L$81,4,FALSE)</f>
        <v>0.1610819</v>
      </c>
      <c r="G2116" s="909">
        <f>IF(E2116&lt;=30,(0.78*E2116+7.82)*F2116,((0.78*30+7.82)+0.78*(E2116-30))*F2116)</f>
        <v>39.957976113999997</v>
      </c>
      <c r="H2116" s="901"/>
      <c r="I2116" s="901"/>
      <c r="J2116" s="902">
        <f t="shared" si="560"/>
        <v>0</v>
      </c>
      <c r="K2116" s="903"/>
      <c r="L2116" s="1039">
        <f>ROUND(SUM('RES. CENTRAL PARK:RUA_FINAL'!L2116),2)</f>
        <v>0</v>
      </c>
      <c r="M2116" s="1039">
        <f t="shared" si="546"/>
        <v>0</v>
      </c>
      <c r="N2116" s="893">
        <f t="shared" si="547"/>
        <v>0</v>
      </c>
      <c r="O2116" s="905"/>
      <c r="P2116" s="36" t="str">
        <f>IF(N2115&gt;0,"xx",IF(N2115&gt;0,"xy",""))</f>
        <v/>
      </c>
      <c r="Q2116" s="317" t="str">
        <f t="shared" si="548"/>
        <v/>
      </c>
      <c r="R2116" s="317" t="str">
        <f t="shared" si="549"/>
        <v/>
      </c>
      <c r="S2116" s="317" t="str">
        <f t="shared" si="550"/>
        <v/>
      </c>
      <c r="V2116" s="314">
        <f>SUM('RES. CENTRAL PARK:RUA_FINAL'!N2116)</f>
        <v>0</v>
      </c>
      <c r="W2116" s="315">
        <f t="shared" si="551"/>
        <v>0</v>
      </c>
    </row>
    <row r="2117" spans="1:23" ht="13.5" hidden="1" thickBot="1" x14ac:dyDescent="0.25">
      <c r="A2117" s="63" t="s">
        <v>147</v>
      </c>
      <c r="B2117" s="895" t="s">
        <v>147</v>
      </c>
      <c r="C2117" s="896"/>
      <c r="D2117" s="906" t="s">
        <v>229</v>
      </c>
      <c r="E2117" s="907">
        <f>DMT!$F$8</f>
        <v>150</v>
      </c>
      <c r="F2117" s="908">
        <f>VLOOKUP(D2115,'ENSAIOS DE ORÇAMENTO'!$C$5:$L$81,5,FALSE)</f>
        <v>0.91383625000000013</v>
      </c>
      <c r="G2117" s="949">
        <f t="shared" ref="G2117:G2119" si="562">IF(E2117&lt;=30,(1.07*E2117+2.68)*F2117,((1.07*30+2.68)+1.07*(E2117-30))*F2117)</f>
        <v>149.11979927500002</v>
      </c>
      <c r="H2117" s="901"/>
      <c r="I2117" s="901"/>
      <c r="J2117" s="902">
        <f t="shared" si="560"/>
        <v>0</v>
      </c>
      <c r="K2117" s="903"/>
      <c r="L2117" s="1039">
        <f>ROUND(SUM('RES. CENTRAL PARK:RUA_FINAL'!L2117),2)</f>
        <v>0</v>
      </c>
      <c r="M2117" s="1039">
        <f t="shared" si="546"/>
        <v>0</v>
      </c>
      <c r="N2117" s="893">
        <f t="shared" si="547"/>
        <v>0</v>
      </c>
      <c r="O2117" s="905"/>
      <c r="P2117" s="36" t="str">
        <f>IF(N2115&gt;0,"xx",IF(N2115&gt;0,"xy",""))</f>
        <v/>
      </c>
      <c r="Q2117" s="317" t="str">
        <f t="shared" si="548"/>
        <v/>
      </c>
      <c r="R2117" s="317" t="str">
        <f t="shared" si="549"/>
        <v/>
      </c>
      <c r="S2117" s="317" t="str">
        <f t="shared" si="550"/>
        <v/>
      </c>
      <c r="V2117" s="314">
        <f>SUM('RES. CENTRAL PARK:RUA_FINAL'!N2117)</f>
        <v>0</v>
      </c>
      <c r="W2117" s="315">
        <f t="shared" si="551"/>
        <v>0</v>
      </c>
    </row>
    <row r="2118" spans="1:23" ht="13.5" hidden="1" thickBot="1" x14ac:dyDescent="0.25">
      <c r="A2118" s="63" t="s">
        <v>147</v>
      </c>
      <c r="B2118" s="895" t="s">
        <v>147</v>
      </c>
      <c r="C2118" s="896"/>
      <c r="D2118" s="906" t="s">
        <v>233</v>
      </c>
      <c r="E2118" s="907">
        <f>DMT!$F$10</f>
        <v>0.2</v>
      </c>
      <c r="F2118" s="908">
        <f>VLOOKUP(D2115,'ENSAIOS DE ORÇAMENTO'!$C$5:$L$81,6,FALSE)</f>
        <v>0.20424000000000003</v>
      </c>
      <c r="G2118" s="949">
        <f t="shared" si="562"/>
        <v>0.59107056000000013</v>
      </c>
      <c r="H2118" s="901"/>
      <c r="I2118" s="901"/>
      <c r="J2118" s="902">
        <f t="shared" si="560"/>
        <v>0</v>
      </c>
      <c r="K2118" s="903"/>
      <c r="L2118" s="1039">
        <f>ROUND(SUM('RES. CENTRAL PARK:RUA_FINAL'!L2118),2)</f>
        <v>0</v>
      </c>
      <c r="M2118" s="1039">
        <f t="shared" si="546"/>
        <v>0</v>
      </c>
      <c r="N2118" s="893">
        <f t="shared" si="547"/>
        <v>0</v>
      </c>
      <c r="O2118" s="905"/>
      <c r="P2118" s="36" t="str">
        <f>IF(N2115&gt;0,"xx",IF(N2115&gt;0,"xy",""))</f>
        <v/>
      </c>
      <c r="Q2118" s="317" t="str">
        <f t="shared" si="548"/>
        <v/>
      </c>
      <c r="R2118" s="317" t="str">
        <f t="shared" si="549"/>
        <v/>
      </c>
      <c r="S2118" s="317" t="str">
        <f t="shared" si="550"/>
        <v/>
      </c>
      <c r="V2118" s="314">
        <f>SUM('RES. CENTRAL PARK:RUA_FINAL'!N2118)</f>
        <v>0</v>
      </c>
      <c r="W2118" s="315">
        <f t="shared" si="551"/>
        <v>0</v>
      </c>
    </row>
    <row r="2119" spans="1:23" ht="13.5" hidden="1" thickBot="1" x14ac:dyDescent="0.25">
      <c r="A2119" s="63" t="s">
        <v>147</v>
      </c>
      <c r="B2119" s="895" t="s">
        <v>147</v>
      </c>
      <c r="C2119" s="896"/>
      <c r="D2119" s="906" t="s">
        <v>365</v>
      </c>
      <c r="E2119" s="907">
        <f>DMT!$F$32</f>
        <v>10</v>
      </c>
      <c r="F2119" s="908">
        <f>VLOOKUP(D2115,'ENSAIOS DE ORÇAMENTO'!$C$5:$L$81,3,FALSE)</f>
        <v>1.4635799999999999</v>
      </c>
      <c r="G2119" s="949">
        <f t="shared" si="562"/>
        <v>19.5827004</v>
      </c>
      <c r="H2119" s="901"/>
      <c r="I2119" s="901"/>
      <c r="J2119" s="902">
        <f t="shared" si="560"/>
        <v>0</v>
      </c>
      <c r="K2119" s="903"/>
      <c r="L2119" s="1039">
        <f>ROUND(SUM('RES. CENTRAL PARK:RUA_FINAL'!L2119),2)</f>
        <v>0</v>
      </c>
      <c r="M2119" s="1039">
        <f t="shared" si="546"/>
        <v>0</v>
      </c>
      <c r="N2119" s="893">
        <f t="shared" si="547"/>
        <v>0</v>
      </c>
      <c r="O2119" s="905"/>
      <c r="P2119" s="36" t="str">
        <f>IF(N2115&gt;0,"xx",IF(N2115&gt;0,"xy",""))</f>
        <v/>
      </c>
      <c r="Q2119" s="317" t="str">
        <f t="shared" si="548"/>
        <v/>
      </c>
      <c r="R2119" s="317" t="str">
        <f t="shared" si="549"/>
        <v/>
      </c>
      <c r="S2119" s="317" t="str">
        <f t="shared" si="550"/>
        <v/>
      </c>
      <c r="V2119" s="314">
        <f>SUM('RES. CENTRAL PARK:RUA_FINAL'!N2119)</f>
        <v>0</v>
      </c>
      <c r="W2119" s="315">
        <f t="shared" si="551"/>
        <v>0</v>
      </c>
    </row>
    <row r="2120" spans="1:23" ht="13.5" hidden="1" thickBot="1" x14ac:dyDescent="0.25">
      <c r="A2120" s="63" t="s">
        <v>147</v>
      </c>
      <c r="B2120" s="895" t="s">
        <v>147</v>
      </c>
      <c r="C2120" s="896"/>
      <c r="D2120" s="906" t="s">
        <v>366</v>
      </c>
      <c r="E2120" s="907">
        <f>DMT!$D$18</f>
        <v>353</v>
      </c>
      <c r="F2120" s="908">
        <f>VLOOKUP(D2115,'ENSAIOS DE ORÇAMENTO'!$C$5:$L$81,10,FALSE)</f>
        <v>4.8785999999999996E-2</v>
      </c>
      <c r="G2120" s="909">
        <f>IF(E2120&lt;=30,(0.78*E2120+7.82)*F2120,((0.78*30+7.82)+0.78*(E2120-30))*F2120)</f>
        <v>13.81424376</v>
      </c>
      <c r="H2120" s="901"/>
      <c r="I2120" s="901"/>
      <c r="J2120" s="902">
        <f t="shared" si="560"/>
        <v>0</v>
      </c>
      <c r="K2120" s="903"/>
      <c r="L2120" s="1039">
        <f>ROUND(SUM('RES. CENTRAL PARK:RUA_FINAL'!L2120),2)</f>
        <v>0</v>
      </c>
      <c r="M2120" s="1039">
        <f t="shared" si="546"/>
        <v>0</v>
      </c>
      <c r="N2120" s="893">
        <f t="shared" si="547"/>
        <v>0</v>
      </c>
      <c r="O2120" s="905"/>
      <c r="P2120" s="36" t="str">
        <f>IF(N2115&gt;0,"xx",IF(N2115&gt;0,"xy",""))</f>
        <v/>
      </c>
      <c r="Q2120" s="317" t="str">
        <f t="shared" si="548"/>
        <v/>
      </c>
      <c r="R2120" s="317" t="str">
        <f t="shared" si="549"/>
        <v/>
      </c>
      <c r="S2120" s="317" t="str">
        <f t="shared" si="550"/>
        <v/>
      </c>
      <c r="V2120" s="314">
        <f>SUM('RES. CENTRAL PARK:RUA_FINAL'!N2120)</f>
        <v>0</v>
      </c>
      <c r="W2120" s="315">
        <f t="shared" si="551"/>
        <v>0</v>
      </c>
    </row>
    <row r="2121" spans="1:23" ht="13.5" hidden="1" thickBot="1" x14ac:dyDescent="0.25">
      <c r="A2121" s="63" t="s">
        <v>20</v>
      </c>
      <c r="B2121" s="895" t="s">
        <v>20</v>
      </c>
      <c r="C2121" s="896" t="s">
        <v>184</v>
      </c>
      <c r="D2121" s="906" t="s">
        <v>57</v>
      </c>
      <c r="E2121" s="907"/>
      <c r="F2121" s="908"/>
      <c r="G2121" s="912">
        <f>SUM(G2122:G2126)</f>
        <v>269.07216785100002</v>
      </c>
      <c r="H2121" s="901">
        <v>2112.3000000000002</v>
      </c>
      <c r="I2121" s="901">
        <f>IF(ISBLANK(H2121),"",SUM(G2121:H2121))</f>
        <v>2381.3721678510001</v>
      </c>
      <c r="J2121" s="902">
        <f t="shared" si="560"/>
        <v>2859.31</v>
      </c>
      <c r="K2121" s="903" t="s">
        <v>15</v>
      </c>
      <c r="L2121" s="1039">
        <f>ROUND(SUM('RES. CENTRAL PARK:RUA_FINAL'!L2121),2)</f>
        <v>0</v>
      </c>
      <c r="M2121" s="1039">
        <f t="shared" si="546"/>
        <v>0</v>
      </c>
      <c r="N2121" s="893">
        <f t="shared" si="547"/>
        <v>0</v>
      </c>
      <c r="O2121" s="905"/>
      <c r="Q2121" s="317" t="str">
        <f t="shared" si="548"/>
        <v/>
      </c>
      <c r="R2121" s="317" t="str">
        <f t="shared" si="549"/>
        <v/>
      </c>
      <c r="S2121" s="317" t="str">
        <f t="shared" si="550"/>
        <v/>
      </c>
      <c r="V2121" s="314">
        <f>SUM('RES. CENTRAL PARK:RUA_FINAL'!N2121)</f>
        <v>0</v>
      </c>
      <c r="W2121" s="315">
        <f t="shared" si="551"/>
        <v>0</v>
      </c>
    </row>
    <row r="2122" spans="1:23" ht="13.5" hidden="1" thickBot="1" x14ac:dyDescent="0.25">
      <c r="A2122" s="63" t="s">
        <v>147</v>
      </c>
      <c r="B2122" s="895" t="s">
        <v>147</v>
      </c>
      <c r="C2122" s="896"/>
      <c r="D2122" s="906" t="s">
        <v>190</v>
      </c>
      <c r="E2122" s="907">
        <f>DMT!$D$20</f>
        <v>308</v>
      </c>
      <c r="F2122" s="908">
        <f>VLOOKUP(D2121,'ENSAIOS DE ORÇAMENTO'!$C$5:$L$81,4,FALSE)</f>
        <v>0.19012209999999999</v>
      </c>
      <c r="G2122" s="909">
        <f>IF(E2122&lt;=30,(0.78*E2122+7.82)*F2122,((0.78*30+7.82)+0.78*(E2122-30))*F2122)</f>
        <v>47.161688125999994</v>
      </c>
      <c r="H2122" s="901"/>
      <c r="I2122" s="901"/>
      <c r="J2122" s="902">
        <f t="shared" si="560"/>
        <v>0</v>
      </c>
      <c r="K2122" s="903"/>
      <c r="L2122" s="1039">
        <f>ROUND(SUM('RES. CENTRAL PARK:RUA_FINAL'!L2122),2)</f>
        <v>0</v>
      </c>
      <c r="M2122" s="1039">
        <f t="shared" si="546"/>
        <v>0</v>
      </c>
      <c r="N2122" s="893">
        <f t="shared" si="547"/>
        <v>0</v>
      </c>
      <c r="O2122" s="905"/>
      <c r="P2122" s="36" t="str">
        <f>IF(N2121&gt;0,"xx",IF(N2121&gt;0,"xy",""))</f>
        <v/>
      </c>
      <c r="Q2122" s="317" t="str">
        <f t="shared" si="548"/>
        <v/>
      </c>
      <c r="R2122" s="317" t="str">
        <f t="shared" si="549"/>
        <v/>
      </c>
      <c r="S2122" s="317" t="str">
        <f t="shared" si="550"/>
        <v/>
      </c>
      <c r="V2122" s="314">
        <f>SUM('RES. CENTRAL PARK:RUA_FINAL'!N2122)</f>
        <v>0</v>
      </c>
      <c r="W2122" s="315">
        <f t="shared" si="551"/>
        <v>0</v>
      </c>
    </row>
    <row r="2123" spans="1:23" ht="13.5" hidden="1" thickBot="1" x14ac:dyDescent="0.25">
      <c r="A2123" s="63" t="s">
        <v>147</v>
      </c>
      <c r="B2123" s="895" t="s">
        <v>147</v>
      </c>
      <c r="C2123" s="896"/>
      <c r="D2123" s="906" t="s">
        <v>229</v>
      </c>
      <c r="E2123" s="907">
        <f>DMT!$F$8</f>
        <v>150</v>
      </c>
      <c r="F2123" s="908">
        <f>VLOOKUP(D2121,'ENSAIOS DE ORÇAMENTO'!$C$5:$L$81,5,FALSE)</f>
        <v>1.09957375</v>
      </c>
      <c r="G2123" s="949">
        <f t="shared" ref="G2123:G2125" si="563">IF(E2123&lt;=30,(1.07*E2123+2.68)*F2123,((1.07*30+2.68)+1.07*(E2123-30))*F2123)</f>
        <v>179.428444525</v>
      </c>
      <c r="H2123" s="901"/>
      <c r="I2123" s="901"/>
      <c r="J2123" s="902">
        <f t="shared" si="560"/>
        <v>0</v>
      </c>
      <c r="K2123" s="903"/>
      <c r="L2123" s="1039">
        <f>ROUND(SUM('RES. CENTRAL PARK:RUA_FINAL'!L2123),2)</f>
        <v>0</v>
      </c>
      <c r="M2123" s="1039">
        <f t="shared" si="546"/>
        <v>0</v>
      </c>
      <c r="N2123" s="893">
        <f t="shared" si="547"/>
        <v>0</v>
      </c>
      <c r="O2123" s="905"/>
      <c r="P2123" s="36" t="str">
        <f>IF(N2121&gt;0,"xx",IF(N2121&gt;0,"xy",""))</f>
        <v/>
      </c>
      <c r="Q2123" s="317" t="str">
        <f t="shared" si="548"/>
        <v/>
      </c>
      <c r="R2123" s="317" t="str">
        <f t="shared" si="549"/>
        <v/>
      </c>
      <c r="S2123" s="317" t="str">
        <f t="shared" si="550"/>
        <v/>
      </c>
      <c r="V2123" s="314">
        <f>SUM('RES. CENTRAL PARK:RUA_FINAL'!N2123)</f>
        <v>0</v>
      </c>
      <c r="W2123" s="315">
        <f t="shared" si="551"/>
        <v>0</v>
      </c>
    </row>
    <row r="2124" spans="1:23" ht="13.5" hidden="1" thickBot="1" x14ac:dyDescent="0.25">
      <c r="A2124" s="63" t="s">
        <v>147</v>
      </c>
      <c r="B2124" s="895" t="s">
        <v>147</v>
      </c>
      <c r="C2124" s="896"/>
      <c r="D2124" s="906" t="s">
        <v>233</v>
      </c>
      <c r="E2124" s="907">
        <f>DMT!$F$10</f>
        <v>0.2</v>
      </c>
      <c r="F2124" s="908">
        <f>VLOOKUP(D2121,'ENSAIOS DE ORÇAMENTO'!$C$5:$L$81,6,FALSE)</f>
        <v>0.20424000000000003</v>
      </c>
      <c r="G2124" s="949">
        <f t="shared" si="563"/>
        <v>0.59107056000000013</v>
      </c>
      <c r="H2124" s="901"/>
      <c r="I2124" s="901"/>
      <c r="J2124" s="902">
        <f t="shared" si="560"/>
        <v>0</v>
      </c>
      <c r="K2124" s="903"/>
      <c r="L2124" s="1039">
        <f>ROUND(SUM('RES. CENTRAL PARK:RUA_FINAL'!L2124),2)</f>
        <v>0</v>
      </c>
      <c r="M2124" s="1039">
        <f t="shared" si="546"/>
        <v>0</v>
      </c>
      <c r="N2124" s="893">
        <f t="shared" si="547"/>
        <v>0</v>
      </c>
      <c r="O2124" s="905"/>
      <c r="P2124" s="36" t="str">
        <f>IF(N2121&gt;0,"xx",IF(N2121&gt;0,"xy",""))</f>
        <v/>
      </c>
      <c r="Q2124" s="317" t="str">
        <f t="shared" si="548"/>
        <v/>
      </c>
      <c r="R2124" s="317" t="str">
        <f t="shared" si="549"/>
        <v/>
      </c>
      <c r="S2124" s="317" t="str">
        <f t="shared" si="550"/>
        <v/>
      </c>
      <c r="V2124" s="314">
        <f>SUM('RES. CENTRAL PARK:RUA_FINAL'!N2124)</f>
        <v>0</v>
      </c>
      <c r="W2124" s="315">
        <f t="shared" si="551"/>
        <v>0</v>
      </c>
    </row>
    <row r="2125" spans="1:23" ht="13.5" hidden="1" thickBot="1" x14ac:dyDescent="0.25">
      <c r="A2125" s="63" t="s">
        <v>147</v>
      </c>
      <c r="B2125" s="895" t="s">
        <v>147</v>
      </c>
      <c r="C2125" s="896"/>
      <c r="D2125" s="906" t="s">
        <v>365</v>
      </c>
      <c r="E2125" s="907">
        <f>DMT!$F$32</f>
        <v>10</v>
      </c>
      <c r="F2125" s="908">
        <f>VLOOKUP(D2121,'ENSAIOS DE ORÇAMENTO'!$C$5:$L$81,3,FALSE)</f>
        <v>1.8358199999999998</v>
      </c>
      <c r="G2125" s="949">
        <f t="shared" si="563"/>
        <v>24.5632716</v>
      </c>
      <c r="H2125" s="901"/>
      <c r="I2125" s="901"/>
      <c r="J2125" s="902">
        <f t="shared" si="560"/>
        <v>0</v>
      </c>
      <c r="K2125" s="903"/>
      <c r="L2125" s="1039">
        <f>ROUND(SUM('RES. CENTRAL PARK:RUA_FINAL'!L2125),2)</f>
        <v>0</v>
      </c>
      <c r="M2125" s="1039">
        <f t="shared" si="546"/>
        <v>0</v>
      </c>
      <c r="N2125" s="893">
        <f t="shared" si="547"/>
        <v>0</v>
      </c>
      <c r="O2125" s="905"/>
      <c r="P2125" s="36" t="str">
        <f>IF(N2121&gt;0,"xx",IF(N2121&gt;0,"xy",""))</f>
        <v/>
      </c>
      <c r="Q2125" s="317" t="str">
        <f t="shared" si="548"/>
        <v/>
      </c>
      <c r="R2125" s="317" t="str">
        <f t="shared" si="549"/>
        <v/>
      </c>
      <c r="S2125" s="317" t="str">
        <f t="shared" si="550"/>
        <v/>
      </c>
      <c r="V2125" s="314">
        <f>SUM('RES. CENTRAL PARK:RUA_FINAL'!N2125)</f>
        <v>0</v>
      </c>
      <c r="W2125" s="315">
        <f t="shared" si="551"/>
        <v>0</v>
      </c>
    </row>
    <row r="2126" spans="1:23" ht="13.5" hidden="1" thickBot="1" x14ac:dyDescent="0.25">
      <c r="A2126" s="63" t="s">
        <v>147</v>
      </c>
      <c r="B2126" s="895" t="s">
        <v>147</v>
      </c>
      <c r="C2126" s="896"/>
      <c r="D2126" s="906" t="s">
        <v>366</v>
      </c>
      <c r="E2126" s="907">
        <f>DMT!$D$18</f>
        <v>353</v>
      </c>
      <c r="F2126" s="908">
        <f>VLOOKUP(D2121,'ENSAIOS DE ORÇAMENTO'!$C$5:$L$81,10,FALSE)</f>
        <v>6.1193999999999998E-2</v>
      </c>
      <c r="G2126" s="909">
        <f>IF(E2126&lt;=30,(0.78*E2126+7.82)*F2126,((0.78*30+7.82)+0.78*(E2126-30))*F2126)</f>
        <v>17.32769304</v>
      </c>
      <c r="H2126" s="901"/>
      <c r="I2126" s="901"/>
      <c r="J2126" s="902">
        <f t="shared" si="560"/>
        <v>0</v>
      </c>
      <c r="K2126" s="903"/>
      <c r="L2126" s="1039">
        <f>ROUND(SUM('RES. CENTRAL PARK:RUA_FINAL'!L2126),2)</f>
        <v>0</v>
      </c>
      <c r="M2126" s="1039">
        <f t="shared" si="546"/>
        <v>0</v>
      </c>
      <c r="N2126" s="893">
        <f t="shared" si="547"/>
        <v>0</v>
      </c>
      <c r="O2126" s="905"/>
      <c r="P2126" s="36" t="str">
        <f>IF(N2121&gt;0,"xx",IF(N2121&gt;0,"xy",""))</f>
        <v/>
      </c>
      <c r="Q2126" s="317" t="str">
        <f t="shared" si="548"/>
        <v/>
      </c>
      <c r="R2126" s="317" t="str">
        <f t="shared" si="549"/>
        <v/>
      </c>
      <c r="S2126" s="317" t="str">
        <f t="shared" si="550"/>
        <v/>
      </c>
      <c r="V2126" s="314">
        <f>SUM('RES. CENTRAL PARK:RUA_FINAL'!N2126)</f>
        <v>0</v>
      </c>
      <c r="W2126" s="315">
        <f t="shared" si="551"/>
        <v>0</v>
      </c>
    </row>
    <row r="2127" spans="1:23" ht="13.5" hidden="1" thickBot="1" x14ac:dyDescent="0.25">
      <c r="A2127" s="63" t="s">
        <v>95</v>
      </c>
      <c r="B2127" s="895" t="s">
        <v>95</v>
      </c>
      <c r="C2127" s="896" t="s">
        <v>184</v>
      </c>
      <c r="D2127" s="906" t="s">
        <v>367</v>
      </c>
      <c r="E2127" s="907"/>
      <c r="F2127" s="908"/>
      <c r="G2127" s="912">
        <f>SUM(G2128:G2130)</f>
        <v>318.93455128000005</v>
      </c>
      <c r="H2127" s="901">
        <v>1144.18</v>
      </c>
      <c r="I2127" s="901">
        <f>IF(ISBLANK(H2127),"",SUM(G2127:H2127))</f>
        <v>1463.1145512800001</v>
      </c>
      <c r="J2127" s="902">
        <f t="shared" si="560"/>
        <v>1756.76</v>
      </c>
      <c r="K2127" s="903" t="s">
        <v>15</v>
      </c>
      <c r="L2127" s="1039">
        <f>ROUND(SUM('RES. CENTRAL PARK:RUA_FINAL'!L2127),2)</f>
        <v>0</v>
      </c>
      <c r="M2127" s="1039">
        <f t="shared" si="546"/>
        <v>0</v>
      </c>
      <c r="N2127" s="893">
        <f t="shared" si="547"/>
        <v>0</v>
      </c>
      <c r="O2127" s="905"/>
      <c r="Q2127" s="317" t="str">
        <f t="shared" si="548"/>
        <v/>
      </c>
      <c r="R2127" s="317" t="str">
        <f t="shared" si="549"/>
        <v/>
      </c>
      <c r="S2127" s="317" t="str">
        <f t="shared" si="550"/>
        <v/>
      </c>
      <c r="V2127" s="314">
        <f>SUM('RES. CENTRAL PARK:RUA_FINAL'!N2127)</f>
        <v>0</v>
      </c>
      <c r="W2127" s="315">
        <f t="shared" si="551"/>
        <v>0</v>
      </c>
    </row>
    <row r="2128" spans="1:23" ht="13.5" hidden="1" thickBot="1" x14ac:dyDescent="0.25">
      <c r="A2128" s="63" t="s">
        <v>147</v>
      </c>
      <c r="B2128" s="895" t="s">
        <v>147</v>
      </c>
      <c r="C2128" s="896"/>
      <c r="D2128" s="906" t="s">
        <v>190</v>
      </c>
      <c r="E2128" s="907">
        <f>DMT!$D$20</f>
        <v>308</v>
      </c>
      <c r="F2128" s="908">
        <f>VLOOKUP(D2127,'ENSAIOS DE ORÇAMENTO'!$C$5:$L$81,4,FALSE)</f>
        <v>0.43266000000000004</v>
      </c>
      <c r="G2128" s="909">
        <f>IF(E2128&lt;=30,(0.78*E2128+7.82)*F2128,((0.78*30+7.82)+0.78*(E2128-30))*F2128)</f>
        <v>107.32563960000002</v>
      </c>
      <c r="H2128" s="901"/>
      <c r="I2128" s="901"/>
      <c r="J2128" s="902">
        <f t="shared" si="560"/>
        <v>0</v>
      </c>
      <c r="K2128" s="903"/>
      <c r="L2128" s="1039">
        <f>ROUND(SUM('RES. CENTRAL PARK:RUA_FINAL'!L2128),2)</f>
        <v>0</v>
      </c>
      <c r="M2128" s="1039">
        <f t="shared" si="546"/>
        <v>0</v>
      </c>
      <c r="N2128" s="893">
        <f t="shared" si="547"/>
        <v>0</v>
      </c>
      <c r="O2128" s="905"/>
      <c r="P2128" s="36" t="str">
        <f>IF(N2127&gt;0,"xx",IF(N2127&gt;0,"xy",""))</f>
        <v/>
      </c>
      <c r="Q2128" s="317" t="str">
        <f t="shared" si="548"/>
        <v/>
      </c>
      <c r="R2128" s="317" t="str">
        <f t="shared" si="549"/>
        <v/>
      </c>
      <c r="S2128" s="317" t="str">
        <f t="shared" si="550"/>
        <v/>
      </c>
      <c r="V2128" s="314">
        <f>SUM('RES. CENTRAL PARK:RUA_FINAL'!N2128)</f>
        <v>0</v>
      </c>
      <c r="W2128" s="315">
        <f t="shared" si="551"/>
        <v>0</v>
      </c>
    </row>
    <row r="2129" spans="1:23" ht="13.5" hidden="1" thickBot="1" x14ac:dyDescent="0.25">
      <c r="A2129" s="63" t="s">
        <v>147</v>
      </c>
      <c r="B2129" s="895" t="s">
        <v>147</v>
      </c>
      <c r="C2129" s="896"/>
      <c r="D2129" s="906" t="s">
        <v>229</v>
      </c>
      <c r="E2129" s="907">
        <f>DMT!$F$8</f>
        <v>150</v>
      </c>
      <c r="F2129" s="908">
        <f>VLOOKUP(D2127,'ENSAIOS DE ORÇAMENTO'!$C$5:$L$81,5,FALSE)</f>
        <v>1.26997</v>
      </c>
      <c r="G2129" s="949">
        <f t="shared" ref="G2129:G2130" si="564">IF(E2129&lt;=30,(1.07*E2129+2.68)*F2129,((1.07*30+2.68)+1.07*(E2129-30))*F2129)</f>
        <v>207.23370460000001</v>
      </c>
      <c r="H2129" s="901"/>
      <c r="I2129" s="901"/>
      <c r="J2129" s="902">
        <f t="shared" si="560"/>
        <v>0</v>
      </c>
      <c r="K2129" s="903"/>
      <c r="L2129" s="1039">
        <f>ROUND(SUM('RES. CENTRAL PARK:RUA_FINAL'!L2129),2)</f>
        <v>0</v>
      </c>
      <c r="M2129" s="1039">
        <f t="shared" si="546"/>
        <v>0</v>
      </c>
      <c r="N2129" s="893">
        <f t="shared" si="547"/>
        <v>0</v>
      </c>
      <c r="O2129" s="905"/>
      <c r="P2129" s="36" t="str">
        <f>IF(N2127&gt;0,"xx",IF(N2127&gt;0,"xy",""))</f>
        <v/>
      </c>
      <c r="Q2129" s="317" t="str">
        <f t="shared" si="548"/>
        <v/>
      </c>
      <c r="R2129" s="317" t="str">
        <f t="shared" si="549"/>
        <v/>
      </c>
      <c r="S2129" s="317" t="str">
        <f t="shared" si="550"/>
        <v/>
      </c>
      <c r="V2129" s="314">
        <f>SUM('RES. CENTRAL PARK:RUA_FINAL'!N2129)</f>
        <v>0</v>
      </c>
      <c r="W2129" s="315">
        <f t="shared" si="551"/>
        <v>0</v>
      </c>
    </row>
    <row r="2130" spans="1:23" ht="13.5" hidden="1" thickBot="1" x14ac:dyDescent="0.25">
      <c r="A2130" s="63" t="s">
        <v>147</v>
      </c>
      <c r="B2130" s="895" t="s">
        <v>147</v>
      </c>
      <c r="C2130" s="896"/>
      <c r="D2130" s="906" t="s">
        <v>233</v>
      </c>
      <c r="E2130" s="907">
        <f>DMT!$F$10</f>
        <v>0.2</v>
      </c>
      <c r="F2130" s="908">
        <f>VLOOKUP(D2127,'ENSAIOS DE ORÇAMENTO'!$C$5:$L$81,6,FALSE)</f>
        <v>1.5118200000000002</v>
      </c>
      <c r="G2130" s="949">
        <f t="shared" si="564"/>
        <v>4.3752070800000009</v>
      </c>
      <c r="H2130" s="901"/>
      <c r="I2130" s="901"/>
      <c r="J2130" s="902">
        <f t="shared" si="560"/>
        <v>0</v>
      </c>
      <c r="K2130" s="903"/>
      <c r="L2130" s="1039">
        <f>ROUND(SUM('RES. CENTRAL PARK:RUA_FINAL'!L2130),2)</f>
        <v>0</v>
      </c>
      <c r="M2130" s="1039">
        <f t="shared" ref="M2130:M2193" si="565">IF(L2130=0,0,ROUND(J2130,2))</f>
        <v>0</v>
      </c>
      <c r="N2130" s="893">
        <f t="shared" ref="N2130:N2193" si="566">IF(ISBLANK(L2130),0,ROUND(L2130*M2130,2))</f>
        <v>0</v>
      </c>
      <c r="O2130" s="905"/>
      <c r="P2130" s="36" t="str">
        <f>IF(N2127&gt;0,"xx",IF(N2127&gt;0,"xy",""))</f>
        <v/>
      </c>
      <c r="Q2130" s="317" t="str">
        <f t="shared" ref="Q2130:Q2177" si="567">IF(P2130="X","x",IF(P2130="xx","x",IF(P2130="xy","x",IF(P2130="y","x",IF(OR(N2130&gt;0,N2130&gt;0),"x","")))))</f>
        <v/>
      </c>
      <c r="R2130" s="317" t="str">
        <f t="shared" ref="R2130:R2177" si="568">IF(P2130="X","x",IF(P2130="y","x",IF(P2130="xx","x",IF(N2130&gt;0,"x",""))))</f>
        <v/>
      </c>
      <c r="S2130" s="317" t="str">
        <f t="shared" ref="S2130:S2177" si="569">IF(P2130="X","x",IF(N2130&gt;0,"x",""))</f>
        <v/>
      </c>
      <c r="V2130" s="314">
        <f>SUM('RES. CENTRAL PARK:RUA_FINAL'!N2130)</f>
        <v>0</v>
      </c>
      <c r="W2130" s="315">
        <f t="shared" si="551"/>
        <v>0</v>
      </c>
    </row>
    <row r="2131" spans="1:23" ht="13.5" hidden="1" thickBot="1" x14ac:dyDescent="0.25">
      <c r="A2131" s="63" t="s">
        <v>96</v>
      </c>
      <c r="B2131" s="895" t="s">
        <v>96</v>
      </c>
      <c r="C2131" s="896" t="s">
        <v>184</v>
      </c>
      <c r="D2131" s="906" t="s">
        <v>368</v>
      </c>
      <c r="E2131" s="907"/>
      <c r="F2131" s="908"/>
      <c r="G2131" s="912">
        <f>SUM(G2132:G2134)</f>
        <v>396.60365487999997</v>
      </c>
      <c r="H2131" s="901">
        <v>1331.51</v>
      </c>
      <c r="I2131" s="901">
        <f>IF(ISBLANK(H2131),"",SUM(G2131:H2131))</f>
        <v>1728.11365488</v>
      </c>
      <c r="J2131" s="902">
        <f t="shared" si="560"/>
        <v>2074.9499999999998</v>
      </c>
      <c r="K2131" s="903" t="s">
        <v>15</v>
      </c>
      <c r="L2131" s="1039">
        <f>ROUND(SUM('RES. CENTRAL PARK:RUA_FINAL'!L2131),2)</f>
        <v>0</v>
      </c>
      <c r="M2131" s="1039">
        <f t="shared" si="565"/>
        <v>0</v>
      </c>
      <c r="N2131" s="893">
        <f t="shared" si="566"/>
        <v>0</v>
      </c>
      <c r="O2131" s="905"/>
      <c r="Q2131" s="317" t="str">
        <f t="shared" si="567"/>
        <v/>
      </c>
      <c r="R2131" s="317" t="str">
        <f t="shared" si="568"/>
        <v/>
      </c>
      <c r="S2131" s="317" t="str">
        <f t="shared" si="569"/>
        <v/>
      </c>
      <c r="V2131" s="314">
        <f>SUM('RES. CENTRAL PARK:RUA_FINAL'!N2131)</f>
        <v>0</v>
      </c>
      <c r="W2131" s="315">
        <f t="shared" si="551"/>
        <v>0</v>
      </c>
    </row>
    <row r="2132" spans="1:23" ht="13.5" hidden="1" thickBot="1" x14ac:dyDescent="0.25">
      <c r="A2132" s="63" t="s">
        <v>147</v>
      </c>
      <c r="B2132" s="895" t="s">
        <v>147</v>
      </c>
      <c r="C2132" s="896"/>
      <c r="D2132" s="906" t="s">
        <v>190</v>
      </c>
      <c r="E2132" s="907">
        <f>DMT!$D$20</f>
        <v>308</v>
      </c>
      <c r="F2132" s="908">
        <f>VLOOKUP(D2131,'ENSAIOS DE ORÇAMENTO'!$C$5:$L$81,4,FALSE)</f>
        <v>0.54156000000000004</v>
      </c>
      <c r="G2132" s="909">
        <f>IF(E2132&lt;=30,(0.78*E2132+7.82)*F2132,((0.78*30+7.82)+0.78*(E2132-30))*F2132)</f>
        <v>134.33937360000002</v>
      </c>
      <c r="H2132" s="901"/>
      <c r="I2132" s="901"/>
      <c r="J2132" s="902">
        <f t="shared" si="560"/>
        <v>0</v>
      </c>
      <c r="K2132" s="903"/>
      <c r="L2132" s="1039">
        <f>ROUND(SUM('RES. CENTRAL PARK:RUA_FINAL'!L2132),2)</f>
        <v>0</v>
      </c>
      <c r="M2132" s="1039">
        <f t="shared" si="565"/>
        <v>0</v>
      </c>
      <c r="N2132" s="893">
        <f t="shared" si="566"/>
        <v>0</v>
      </c>
      <c r="O2132" s="905"/>
      <c r="P2132" s="36" t="str">
        <f>IF(N2131&gt;0,"xx",IF(N2131&gt;0,"xy",""))</f>
        <v/>
      </c>
      <c r="Q2132" s="317" t="str">
        <f t="shared" si="567"/>
        <v/>
      </c>
      <c r="R2132" s="317" t="str">
        <f t="shared" si="568"/>
        <v/>
      </c>
      <c r="S2132" s="317" t="str">
        <f t="shared" si="569"/>
        <v/>
      </c>
      <c r="V2132" s="314">
        <f>SUM('RES. CENTRAL PARK:RUA_FINAL'!N2132)</f>
        <v>0</v>
      </c>
      <c r="W2132" s="315">
        <f t="shared" si="551"/>
        <v>0</v>
      </c>
    </row>
    <row r="2133" spans="1:23" ht="13.5" hidden="1" thickBot="1" x14ac:dyDescent="0.25">
      <c r="A2133" s="63" t="s">
        <v>147</v>
      </c>
      <c r="B2133" s="895" t="s">
        <v>147</v>
      </c>
      <c r="C2133" s="896"/>
      <c r="D2133" s="906" t="s">
        <v>229</v>
      </c>
      <c r="E2133" s="907">
        <f>DMT!$F$8</f>
        <v>150</v>
      </c>
      <c r="F2133" s="908">
        <f>VLOOKUP(D2131,'ENSAIOS DE ORÇAMENTO'!$C$5:$L$81,5,FALSE)</f>
        <v>1.5739000000000001</v>
      </c>
      <c r="G2133" s="949">
        <f t="shared" ref="G2133:G2134" si="570">IF(E2133&lt;=30,(1.07*E2133+2.68)*F2133,((1.07*30+2.68)+1.07*(E2133-30))*F2133)</f>
        <v>256.829002</v>
      </c>
      <c r="H2133" s="901"/>
      <c r="I2133" s="901"/>
      <c r="J2133" s="902">
        <f t="shared" si="560"/>
        <v>0</v>
      </c>
      <c r="K2133" s="903"/>
      <c r="L2133" s="1039">
        <f>ROUND(SUM('RES. CENTRAL PARK:RUA_FINAL'!L2133),2)</f>
        <v>0</v>
      </c>
      <c r="M2133" s="1039">
        <f t="shared" si="565"/>
        <v>0</v>
      </c>
      <c r="N2133" s="893">
        <f t="shared" si="566"/>
        <v>0</v>
      </c>
      <c r="O2133" s="905"/>
      <c r="P2133" s="36" t="str">
        <f>IF(N2131&gt;0,"xx",IF(N2131&gt;0,"xy",""))</f>
        <v/>
      </c>
      <c r="Q2133" s="317" t="str">
        <f t="shared" si="567"/>
        <v/>
      </c>
      <c r="R2133" s="317" t="str">
        <f t="shared" si="568"/>
        <v/>
      </c>
      <c r="S2133" s="317" t="str">
        <f t="shared" si="569"/>
        <v/>
      </c>
      <c r="V2133" s="314">
        <f>SUM('RES. CENTRAL PARK:RUA_FINAL'!N2133)</f>
        <v>0</v>
      </c>
      <c r="W2133" s="315">
        <f t="shared" ref="W2133:W2196" si="571">N2133-V2133</f>
        <v>0</v>
      </c>
    </row>
    <row r="2134" spans="1:23" ht="13.5" hidden="1" thickBot="1" x14ac:dyDescent="0.25">
      <c r="A2134" s="63" t="s">
        <v>147</v>
      </c>
      <c r="B2134" s="895" t="s">
        <v>147</v>
      </c>
      <c r="C2134" s="896"/>
      <c r="D2134" s="906" t="s">
        <v>233</v>
      </c>
      <c r="E2134" s="907">
        <f>DMT!$F$10</f>
        <v>0.2</v>
      </c>
      <c r="F2134" s="908">
        <f>VLOOKUP(D2131,'ENSAIOS DE ORÇAMENTO'!$C$5:$L$81,6,FALSE)</f>
        <v>1.8781200000000002</v>
      </c>
      <c r="G2134" s="949">
        <f t="shared" si="570"/>
        <v>5.4352792800000005</v>
      </c>
      <c r="H2134" s="901"/>
      <c r="I2134" s="901"/>
      <c r="J2134" s="902">
        <f t="shared" si="560"/>
        <v>0</v>
      </c>
      <c r="K2134" s="903"/>
      <c r="L2134" s="1039">
        <f>ROUND(SUM('RES. CENTRAL PARK:RUA_FINAL'!L2134),2)</f>
        <v>0</v>
      </c>
      <c r="M2134" s="1039">
        <f t="shared" si="565"/>
        <v>0</v>
      </c>
      <c r="N2134" s="893">
        <f t="shared" si="566"/>
        <v>0</v>
      </c>
      <c r="O2134" s="905"/>
      <c r="P2134" s="36" t="str">
        <f>IF(N2131&gt;0,"xx",IF(N2131&gt;0,"xy",""))</f>
        <v/>
      </c>
      <c r="Q2134" s="317" t="str">
        <f t="shared" si="567"/>
        <v/>
      </c>
      <c r="R2134" s="317" t="str">
        <f t="shared" si="568"/>
        <v/>
      </c>
      <c r="S2134" s="317" t="str">
        <f t="shared" si="569"/>
        <v/>
      </c>
      <c r="V2134" s="314">
        <f>SUM('RES. CENTRAL PARK:RUA_FINAL'!N2134)</f>
        <v>0</v>
      </c>
      <c r="W2134" s="315">
        <f t="shared" si="571"/>
        <v>0</v>
      </c>
    </row>
    <row r="2135" spans="1:23" ht="13.5" hidden="1" thickBot="1" x14ac:dyDescent="0.25">
      <c r="A2135" s="63" t="s">
        <v>97</v>
      </c>
      <c r="B2135" s="895" t="s">
        <v>97</v>
      </c>
      <c r="C2135" s="896" t="s">
        <v>184</v>
      </c>
      <c r="D2135" s="906" t="s">
        <v>369</v>
      </c>
      <c r="E2135" s="907"/>
      <c r="F2135" s="908"/>
      <c r="G2135" s="912">
        <f>SUM(G2136:G2138)</f>
        <v>523.69855168000015</v>
      </c>
      <c r="H2135" s="901">
        <v>1638.59</v>
      </c>
      <c r="I2135" s="901">
        <f>IF(ISBLANK(H2135),"",SUM(G2135:H2135))</f>
        <v>2162.2885516800002</v>
      </c>
      <c r="J2135" s="902">
        <f t="shared" si="560"/>
        <v>2596.2600000000002</v>
      </c>
      <c r="K2135" s="903" t="s">
        <v>15</v>
      </c>
      <c r="L2135" s="1039">
        <f>ROUND(SUM('RES. CENTRAL PARK:RUA_FINAL'!L2135),2)</f>
        <v>0</v>
      </c>
      <c r="M2135" s="1039">
        <f t="shared" si="565"/>
        <v>0</v>
      </c>
      <c r="N2135" s="893">
        <f t="shared" si="566"/>
        <v>0</v>
      </c>
      <c r="O2135" s="905"/>
      <c r="Q2135" s="317" t="str">
        <f t="shared" si="567"/>
        <v/>
      </c>
      <c r="R2135" s="317" t="str">
        <f t="shared" si="568"/>
        <v/>
      </c>
      <c r="S2135" s="317" t="str">
        <f t="shared" si="569"/>
        <v/>
      </c>
      <c r="V2135" s="314">
        <f>SUM('RES. CENTRAL PARK:RUA_FINAL'!N2135)</f>
        <v>0</v>
      </c>
      <c r="W2135" s="315">
        <f t="shared" si="571"/>
        <v>0</v>
      </c>
    </row>
    <row r="2136" spans="1:23" ht="13.5" hidden="1" thickBot="1" x14ac:dyDescent="0.25">
      <c r="A2136" s="63" t="s">
        <v>147</v>
      </c>
      <c r="B2136" s="895" t="s">
        <v>147</v>
      </c>
      <c r="C2136" s="896"/>
      <c r="D2136" s="906" t="s">
        <v>190</v>
      </c>
      <c r="E2136" s="907">
        <f>DMT!$D$20</f>
        <v>308</v>
      </c>
      <c r="F2136" s="908">
        <f>VLOOKUP(D2135,'ENSAIOS DE ORÇAMENTO'!$C$5:$L$81,4,FALSE)</f>
        <v>0.71976000000000007</v>
      </c>
      <c r="G2136" s="909">
        <f>IF(E2136&lt;=30,(0.78*E2136+7.82)*F2136,((0.78*30+7.82)+0.78*(E2136-30))*F2136)</f>
        <v>178.54366560000003</v>
      </c>
      <c r="H2136" s="901"/>
      <c r="I2136" s="901"/>
      <c r="J2136" s="902">
        <f t="shared" si="560"/>
        <v>0</v>
      </c>
      <c r="K2136" s="903"/>
      <c r="L2136" s="1039">
        <f>ROUND(SUM('RES. CENTRAL PARK:RUA_FINAL'!L2136),2)</f>
        <v>0</v>
      </c>
      <c r="M2136" s="1039">
        <f t="shared" si="565"/>
        <v>0</v>
      </c>
      <c r="N2136" s="893">
        <f t="shared" si="566"/>
        <v>0</v>
      </c>
      <c r="O2136" s="905"/>
      <c r="P2136" s="36" t="str">
        <f>IF(N2135&gt;0,"xx",IF(N2135&gt;0,"xy",""))</f>
        <v/>
      </c>
      <c r="Q2136" s="317" t="str">
        <f t="shared" si="567"/>
        <v/>
      </c>
      <c r="R2136" s="317" t="str">
        <f t="shared" si="568"/>
        <v/>
      </c>
      <c r="S2136" s="317" t="str">
        <f t="shared" si="569"/>
        <v/>
      </c>
      <c r="V2136" s="314">
        <f>SUM('RES. CENTRAL PARK:RUA_FINAL'!N2136)</f>
        <v>0</v>
      </c>
      <c r="W2136" s="315">
        <f t="shared" si="571"/>
        <v>0</v>
      </c>
    </row>
    <row r="2137" spans="1:23" ht="13.5" hidden="1" thickBot="1" x14ac:dyDescent="0.25">
      <c r="A2137" s="63" t="s">
        <v>147</v>
      </c>
      <c r="B2137" s="895" t="s">
        <v>147</v>
      </c>
      <c r="C2137" s="896"/>
      <c r="D2137" s="906" t="s">
        <v>229</v>
      </c>
      <c r="E2137" s="907">
        <f>DMT!$F$8</f>
        <v>150</v>
      </c>
      <c r="F2137" s="908">
        <f>VLOOKUP(D2135,'ENSAIOS DE ORÇAMENTO'!$C$5:$L$81,5,FALSE)</f>
        <v>2.0712400000000004</v>
      </c>
      <c r="G2137" s="949">
        <f t="shared" ref="G2137:G2138" si="572">IF(E2137&lt;=30,(1.07*E2137+2.68)*F2137,((1.07*30+2.68)+1.07*(E2137-30))*F2137)</f>
        <v>337.98494320000009</v>
      </c>
      <c r="H2137" s="901"/>
      <c r="I2137" s="901"/>
      <c r="J2137" s="902">
        <f t="shared" si="560"/>
        <v>0</v>
      </c>
      <c r="K2137" s="903"/>
      <c r="L2137" s="1039">
        <f>ROUND(SUM('RES. CENTRAL PARK:RUA_FINAL'!L2137),2)</f>
        <v>0</v>
      </c>
      <c r="M2137" s="1039">
        <f t="shared" si="565"/>
        <v>0</v>
      </c>
      <c r="N2137" s="893">
        <f t="shared" si="566"/>
        <v>0</v>
      </c>
      <c r="O2137" s="905"/>
      <c r="P2137" s="36" t="str">
        <f>IF(N2135&gt;0,"xx",IF(N2135&gt;0,"xy",""))</f>
        <v/>
      </c>
      <c r="Q2137" s="317" t="str">
        <f t="shared" si="567"/>
        <v/>
      </c>
      <c r="R2137" s="317" t="str">
        <f t="shared" si="568"/>
        <v/>
      </c>
      <c r="S2137" s="317" t="str">
        <f t="shared" si="569"/>
        <v/>
      </c>
      <c r="V2137" s="314">
        <f>SUM('RES. CENTRAL PARK:RUA_FINAL'!N2137)</f>
        <v>0</v>
      </c>
      <c r="W2137" s="315">
        <f t="shared" si="571"/>
        <v>0</v>
      </c>
    </row>
    <row r="2138" spans="1:23" ht="13.5" hidden="1" thickBot="1" x14ac:dyDescent="0.25">
      <c r="A2138" s="63" t="s">
        <v>147</v>
      </c>
      <c r="B2138" s="895" t="s">
        <v>147</v>
      </c>
      <c r="C2138" s="896"/>
      <c r="D2138" s="906" t="s">
        <v>233</v>
      </c>
      <c r="E2138" s="907">
        <f>DMT!$F$10</f>
        <v>0.2</v>
      </c>
      <c r="F2138" s="908">
        <f>VLOOKUP(D2135,'ENSAIOS DE ORÇAMENTO'!$C$5:$L$81,6,FALSE)</f>
        <v>2.4775200000000002</v>
      </c>
      <c r="G2138" s="949">
        <f t="shared" si="572"/>
        <v>7.1699428800000007</v>
      </c>
      <c r="H2138" s="901"/>
      <c r="I2138" s="901"/>
      <c r="J2138" s="902">
        <f t="shared" si="560"/>
        <v>0</v>
      </c>
      <c r="K2138" s="903"/>
      <c r="L2138" s="1039">
        <f>ROUND(SUM('RES. CENTRAL PARK:RUA_FINAL'!L2138),2)</f>
        <v>0</v>
      </c>
      <c r="M2138" s="1039">
        <f t="shared" si="565"/>
        <v>0</v>
      </c>
      <c r="N2138" s="893">
        <f t="shared" si="566"/>
        <v>0</v>
      </c>
      <c r="O2138" s="905"/>
      <c r="P2138" s="36" t="str">
        <f>IF(N2135&gt;0,"xx",IF(N2135&gt;0,"xy",""))</f>
        <v/>
      </c>
      <c r="Q2138" s="317" t="str">
        <f t="shared" si="567"/>
        <v/>
      </c>
      <c r="R2138" s="317" t="str">
        <f t="shared" si="568"/>
        <v/>
      </c>
      <c r="S2138" s="317" t="str">
        <f t="shared" si="569"/>
        <v/>
      </c>
      <c r="V2138" s="314">
        <f>SUM('RES. CENTRAL PARK:RUA_FINAL'!N2138)</f>
        <v>0</v>
      </c>
      <c r="W2138" s="315">
        <f t="shared" si="571"/>
        <v>0</v>
      </c>
    </row>
    <row r="2139" spans="1:23" ht="13.5" hidden="1" thickBot="1" x14ac:dyDescent="0.25">
      <c r="A2139" s="63" t="s">
        <v>98</v>
      </c>
      <c r="B2139" s="895" t="s">
        <v>98</v>
      </c>
      <c r="C2139" s="896" t="s">
        <v>184</v>
      </c>
      <c r="D2139" s="906" t="s">
        <v>370</v>
      </c>
      <c r="E2139" s="907"/>
      <c r="F2139" s="908"/>
      <c r="G2139" s="912">
        <f>IF(E2139&lt;=30,(0.62*E2139+6.29)*F2139,((0.62*30+6.29)+0.62*(E2139-30))*F2139)</f>
        <v>0</v>
      </c>
      <c r="H2139" s="901">
        <v>1950.71</v>
      </c>
      <c r="I2139" s="901">
        <f>IF(ISBLANK(H2139),"",SUM(G2139:H2139))</f>
        <v>1950.71</v>
      </c>
      <c r="J2139" s="902">
        <f t="shared" si="560"/>
        <v>2342.2199999999998</v>
      </c>
      <c r="K2139" s="903" t="s">
        <v>15</v>
      </c>
      <c r="L2139" s="1039">
        <f>ROUND(SUM('RES. CENTRAL PARK:RUA_FINAL'!L2139),2)</f>
        <v>0</v>
      </c>
      <c r="M2139" s="1039">
        <f t="shared" si="565"/>
        <v>0</v>
      </c>
      <c r="N2139" s="893">
        <f t="shared" si="566"/>
        <v>0</v>
      </c>
      <c r="O2139" s="905"/>
      <c r="Q2139" s="317" t="str">
        <f t="shared" si="567"/>
        <v/>
      </c>
      <c r="R2139" s="317" t="str">
        <f t="shared" si="568"/>
        <v/>
      </c>
      <c r="S2139" s="317" t="str">
        <f t="shared" si="569"/>
        <v/>
      </c>
      <c r="V2139" s="314">
        <f>SUM('RES. CENTRAL PARK:RUA_FINAL'!N2139)</f>
        <v>0</v>
      </c>
      <c r="W2139" s="315">
        <f t="shared" si="571"/>
        <v>0</v>
      </c>
    </row>
    <row r="2140" spans="1:23" ht="13.5" hidden="1" thickBot="1" x14ac:dyDescent="0.25">
      <c r="A2140" s="63" t="s">
        <v>147</v>
      </c>
      <c r="B2140" s="895" t="s">
        <v>147</v>
      </c>
      <c r="C2140" s="896"/>
      <c r="D2140" s="906" t="s">
        <v>190</v>
      </c>
      <c r="E2140" s="907">
        <f>DMT!$D$20</f>
        <v>308</v>
      </c>
      <c r="F2140" s="908">
        <f>VLOOKUP(D2139,'ENSAIOS DE ORÇAMENTO'!$C$5:$L$81,4,FALSE)</f>
        <v>0.90125999999999995</v>
      </c>
      <c r="G2140" s="909">
        <f>IF(E2140&lt;=30,(0.78*E2140+7.82)*F2140,((0.78*30+7.82)+0.78*(E2140-30))*F2140)</f>
        <v>223.56655559999999</v>
      </c>
      <c r="H2140" s="901"/>
      <c r="I2140" s="901"/>
      <c r="J2140" s="902">
        <f t="shared" si="560"/>
        <v>0</v>
      </c>
      <c r="K2140" s="903"/>
      <c r="L2140" s="1039">
        <f>ROUND(SUM('RES. CENTRAL PARK:RUA_FINAL'!L2140),2)</f>
        <v>0</v>
      </c>
      <c r="M2140" s="1039">
        <f t="shared" si="565"/>
        <v>0</v>
      </c>
      <c r="N2140" s="893">
        <f t="shared" si="566"/>
        <v>0</v>
      </c>
      <c r="O2140" s="905"/>
      <c r="P2140" s="36" t="str">
        <f>IF(N2139&gt;0,"xx",IF(N2139&gt;0,"xy",""))</f>
        <v/>
      </c>
      <c r="Q2140" s="317" t="str">
        <f t="shared" si="567"/>
        <v/>
      </c>
      <c r="R2140" s="317" t="str">
        <f t="shared" si="568"/>
        <v/>
      </c>
      <c r="S2140" s="317" t="str">
        <f t="shared" si="569"/>
        <v/>
      </c>
      <c r="V2140" s="314">
        <f>SUM('RES. CENTRAL PARK:RUA_FINAL'!N2140)</f>
        <v>0</v>
      </c>
      <c r="W2140" s="315">
        <f t="shared" si="571"/>
        <v>0</v>
      </c>
    </row>
    <row r="2141" spans="1:23" ht="13.5" hidden="1" thickBot="1" x14ac:dyDescent="0.25">
      <c r="A2141" s="63" t="s">
        <v>147</v>
      </c>
      <c r="B2141" s="895" t="s">
        <v>147</v>
      </c>
      <c r="C2141" s="896"/>
      <c r="D2141" s="906" t="s">
        <v>229</v>
      </c>
      <c r="E2141" s="907">
        <f>DMT!$F$8</f>
        <v>150</v>
      </c>
      <c r="F2141" s="908">
        <f>VLOOKUP(D2139,'ENSAIOS DE ORÇAMENTO'!$C$5:$L$81,5,FALSE)</f>
        <v>2.5777900000000002</v>
      </c>
      <c r="G2141" s="949">
        <f t="shared" ref="G2141:G2142" si="573">IF(E2141&lt;=30,(1.07*E2141+2.68)*F2141,((1.07*30+2.68)+1.07*(E2141-30))*F2141)</f>
        <v>420.64377220000006</v>
      </c>
      <c r="H2141" s="901"/>
      <c r="I2141" s="901"/>
      <c r="J2141" s="902">
        <f t="shared" si="560"/>
        <v>0</v>
      </c>
      <c r="K2141" s="903"/>
      <c r="L2141" s="1039">
        <f>ROUND(SUM('RES. CENTRAL PARK:RUA_FINAL'!L2141),2)</f>
        <v>0</v>
      </c>
      <c r="M2141" s="1039">
        <f t="shared" si="565"/>
        <v>0</v>
      </c>
      <c r="N2141" s="893">
        <f t="shared" si="566"/>
        <v>0</v>
      </c>
      <c r="O2141" s="905"/>
      <c r="P2141" s="36" t="str">
        <f>IF(N2139&gt;0,"xx",IF(N2139&gt;0,"xy",""))</f>
        <v/>
      </c>
      <c r="Q2141" s="317" t="str">
        <f t="shared" si="567"/>
        <v/>
      </c>
      <c r="R2141" s="317" t="str">
        <f t="shared" si="568"/>
        <v/>
      </c>
      <c r="S2141" s="317" t="str">
        <f t="shared" si="569"/>
        <v/>
      </c>
      <c r="V2141" s="314">
        <f>SUM('RES. CENTRAL PARK:RUA_FINAL'!N2141)</f>
        <v>0</v>
      </c>
      <c r="W2141" s="315">
        <f t="shared" si="571"/>
        <v>0</v>
      </c>
    </row>
    <row r="2142" spans="1:23" ht="13.5" hidden="1" thickBot="1" x14ac:dyDescent="0.25">
      <c r="A2142" s="63" t="s">
        <v>147</v>
      </c>
      <c r="B2142" s="895" t="s">
        <v>147</v>
      </c>
      <c r="C2142" s="896"/>
      <c r="D2142" s="906" t="s">
        <v>233</v>
      </c>
      <c r="E2142" s="907">
        <f>DMT!$F$10</f>
        <v>0.2</v>
      </c>
      <c r="F2142" s="908">
        <f>VLOOKUP(D2139,'ENSAIOS DE ORÇAMENTO'!$C$5:$L$81,6,FALSE)</f>
        <v>3.0880200000000002</v>
      </c>
      <c r="G2142" s="949">
        <f t="shared" si="573"/>
        <v>8.9367298800000015</v>
      </c>
      <c r="H2142" s="901"/>
      <c r="I2142" s="901"/>
      <c r="J2142" s="902">
        <f t="shared" si="560"/>
        <v>0</v>
      </c>
      <c r="K2142" s="903"/>
      <c r="L2142" s="1039">
        <f>ROUND(SUM('RES. CENTRAL PARK:RUA_FINAL'!L2142),2)</f>
        <v>0</v>
      </c>
      <c r="M2142" s="1039">
        <f t="shared" si="565"/>
        <v>0</v>
      </c>
      <c r="N2142" s="893">
        <f t="shared" si="566"/>
        <v>0</v>
      </c>
      <c r="O2142" s="905"/>
      <c r="P2142" s="36" t="str">
        <f>IF(N2139&gt;0,"xx",IF(N2139&gt;0,"xy",""))</f>
        <v/>
      </c>
      <c r="Q2142" s="317" t="str">
        <f t="shared" si="567"/>
        <v/>
      </c>
      <c r="R2142" s="317" t="str">
        <f t="shared" si="568"/>
        <v/>
      </c>
      <c r="S2142" s="317" t="str">
        <f t="shared" si="569"/>
        <v/>
      </c>
      <c r="V2142" s="314">
        <f>SUM('RES. CENTRAL PARK:RUA_FINAL'!N2142)</f>
        <v>0</v>
      </c>
      <c r="W2142" s="315">
        <f t="shared" si="571"/>
        <v>0</v>
      </c>
    </row>
    <row r="2143" spans="1:23" ht="13.5" hidden="1" thickBot="1" x14ac:dyDescent="0.25">
      <c r="A2143" s="63" t="s">
        <v>21</v>
      </c>
      <c r="B2143" s="895" t="s">
        <v>21</v>
      </c>
      <c r="C2143" s="896" t="s">
        <v>184</v>
      </c>
      <c r="D2143" s="906" t="s">
        <v>90</v>
      </c>
      <c r="E2143" s="907"/>
      <c r="F2143" s="908"/>
      <c r="G2143" s="912">
        <f>SUM(G2144:G2146)</f>
        <v>151.22964344000002</v>
      </c>
      <c r="H2143" s="901">
        <v>1946.06</v>
      </c>
      <c r="I2143" s="901">
        <f>IF(ISBLANK(H2143),"",SUM(G2143:H2143))</f>
        <v>2097.28964344</v>
      </c>
      <c r="J2143" s="902">
        <f t="shared" si="560"/>
        <v>2518.2199999999998</v>
      </c>
      <c r="K2143" s="903" t="s">
        <v>15</v>
      </c>
      <c r="L2143" s="1039">
        <f>ROUND(SUM('RES. CENTRAL PARK:RUA_FINAL'!L2143),2)</f>
        <v>0</v>
      </c>
      <c r="M2143" s="1039">
        <f t="shared" si="565"/>
        <v>0</v>
      </c>
      <c r="N2143" s="893">
        <f t="shared" si="566"/>
        <v>0</v>
      </c>
      <c r="O2143" s="905"/>
      <c r="Q2143" s="317" t="str">
        <f t="shared" si="567"/>
        <v/>
      </c>
      <c r="R2143" s="317" t="str">
        <f t="shared" si="568"/>
        <v/>
      </c>
      <c r="S2143" s="317" t="str">
        <f t="shared" si="569"/>
        <v/>
      </c>
      <c r="V2143" s="314">
        <f>SUM('RES. CENTRAL PARK:RUA_FINAL'!N2143)</f>
        <v>0</v>
      </c>
      <c r="W2143" s="315">
        <f t="shared" si="571"/>
        <v>0</v>
      </c>
    </row>
    <row r="2144" spans="1:23" ht="13.5" hidden="1" thickBot="1" x14ac:dyDescent="0.25">
      <c r="A2144" s="63" t="s">
        <v>147</v>
      </c>
      <c r="B2144" s="895" t="s">
        <v>147</v>
      </c>
      <c r="C2144" s="896"/>
      <c r="D2144" s="906" t="s">
        <v>190</v>
      </c>
      <c r="E2144" s="907">
        <f>DMT!$D$20</f>
        <v>308</v>
      </c>
      <c r="F2144" s="908">
        <f>VLOOKUP(D2143,'ENSAIOS DE ORÇAMENTO'!$C$5:$L$81,4,FALSE)</f>
        <v>0.20478000000000002</v>
      </c>
      <c r="G2144" s="909">
        <f>IF(E2144&lt;=30,(0.78*E2144+7.82)*F2144,((0.78*30+7.82)+0.78*(E2144-30))*F2144)</f>
        <v>50.797726800000007</v>
      </c>
      <c r="H2144" s="901"/>
      <c r="I2144" s="901"/>
      <c r="J2144" s="902">
        <f t="shared" si="560"/>
        <v>0</v>
      </c>
      <c r="K2144" s="903"/>
      <c r="L2144" s="1039">
        <f>ROUND(SUM('RES. CENTRAL PARK:RUA_FINAL'!L2144),2)</f>
        <v>0</v>
      </c>
      <c r="M2144" s="1039">
        <f t="shared" si="565"/>
        <v>0</v>
      </c>
      <c r="N2144" s="893">
        <f t="shared" si="566"/>
        <v>0</v>
      </c>
      <c r="O2144" s="905"/>
      <c r="P2144" s="36" t="str">
        <f>IF(N2143&gt;0,"xx",IF(N2143&gt;0,"xy",""))</f>
        <v/>
      </c>
      <c r="Q2144" s="317" t="str">
        <f t="shared" si="567"/>
        <v/>
      </c>
      <c r="R2144" s="317" t="str">
        <f t="shared" si="568"/>
        <v/>
      </c>
      <c r="S2144" s="317" t="str">
        <f t="shared" si="569"/>
        <v/>
      </c>
      <c r="V2144" s="314">
        <f>SUM('RES. CENTRAL PARK:RUA_FINAL'!N2144)</f>
        <v>0</v>
      </c>
      <c r="W2144" s="315">
        <f t="shared" si="571"/>
        <v>0</v>
      </c>
    </row>
    <row r="2145" spans="1:23" ht="13.5" hidden="1" thickBot="1" x14ac:dyDescent="0.25">
      <c r="A2145" s="63" t="s">
        <v>147</v>
      </c>
      <c r="B2145" s="895" t="s">
        <v>147</v>
      </c>
      <c r="C2145" s="896"/>
      <c r="D2145" s="906" t="s">
        <v>229</v>
      </c>
      <c r="E2145" s="907">
        <f>DMT!$F$8</f>
        <v>150</v>
      </c>
      <c r="F2145" s="908">
        <f>VLOOKUP(D2143,'ENSAIOS DE ORÇAMENTO'!$C$5:$L$81,5,FALSE)</f>
        <v>0.60275000000000001</v>
      </c>
      <c r="G2145" s="949">
        <f t="shared" ref="G2145:G2146" si="574">IF(E2145&lt;=30,(1.07*E2145+2.68)*F2145,((1.07*30+2.68)+1.07*(E2145-30))*F2145)</f>
        <v>98.356745000000004</v>
      </c>
      <c r="H2145" s="901"/>
      <c r="I2145" s="901"/>
      <c r="J2145" s="902">
        <f t="shared" si="560"/>
        <v>0</v>
      </c>
      <c r="K2145" s="903"/>
      <c r="L2145" s="1039">
        <f>ROUND(SUM('RES. CENTRAL PARK:RUA_FINAL'!L2145),2)</f>
        <v>0</v>
      </c>
      <c r="M2145" s="1039">
        <f t="shared" si="565"/>
        <v>0</v>
      </c>
      <c r="N2145" s="893">
        <f t="shared" si="566"/>
        <v>0</v>
      </c>
      <c r="O2145" s="905"/>
      <c r="P2145" s="36" t="str">
        <f>IF(N2143&gt;0,"xx",IF(N2143&gt;0,"xy",""))</f>
        <v/>
      </c>
      <c r="Q2145" s="317" t="str">
        <f t="shared" si="567"/>
        <v/>
      </c>
      <c r="R2145" s="317" t="str">
        <f t="shared" si="568"/>
        <v/>
      </c>
      <c r="S2145" s="317" t="str">
        <f t="shared" si="569"/>
        <v/>
      </c>
      <c r="V2145" s="314">
        <f>SUM('RES. CENTRAL PARK:RUA_FINAL'!N2145)</f>
        <v>0</v>
      </c>
      <c r="W2145" s="315">
        <f t="shared" si="571"/>
        <v>0</v>
      </c>
    </row>
    <row r="2146" spans="1:23" ht="13.5" hidden="1" thickBot="1" x14ac:dyDescent="0.25">
      <c r="A2146" s="63" t="s">
        <v>147</v>
      </c>
      <c r="B2146" s="895" t="s">
        <v>147</v>
      </c>
      <c r="C2146" s="896"/>
      <c r="D2146" s="906" t="s">
        <v>233</v>
      </c>
      <c r="E2146" s="907">
        <f>DMT!$F$10</f>
        <v>0.2</v>
      </c>
      <c r="F2146" s="908">
        <f>VLOOKUP(D2143,'ENSAIOS DE ORÇAMENTO'!$C$5:$L$81,6,FALSE)</f>
        <v>0.71706000000000003</v>
      </c>
      <c r="G2146" s="949">
        <f t="shared" si="574"/>
        <v>2.0751716400000002</v>
      </c>
      <c r="H2146" s="901"/>
      <c r="I2146" s="901"/>
      <c r="J2146" s="902">
        <f t="shared" si="560"/>
        <v>0</v>
      </c>
      <c r="K2146" s="903"/>
      <c r="L2146" s="1039">
        <f>ROUND(SUM('RES. CENTRAL PARK:RUA_FINAL'!L2146),2)</f>
        <v>0</v>
      </c>
      <c r="M2146" s="1039">
        <f t="shared" si="565"/>
        <v>0</v>
      </c>
      <c r="N2146" s="893">
        <f t="shared" si="566"/>
        <v>0</v>
      </c>
      <c r="O2146" s="905"/>
      <c r="P2146" s="36" t="str">
        <f>IF(N2143&gt;0,"xx",IF(N2143&gt;0,"xy",""))</f>
        <v/>
      </c>
      <c r="Q2146" s="317" t="str">
        <f t="shared" si="567"/>
        <v/>
      </c>
      <c r="R2146" s="317" t="str">
        <f t="shared" si="568"/>
        <v/>
      </c>
      <c r="S2146" s="317" t="str">
        <f t="shared" si="569"/>
        <v/>
      </c>
      <c r="V2146" s="314">
        <f>SUM('RES. CENTRAL PARK:RUA_FINAL'!N2146)</f>
        <v>0</v>
      </c>
      <c r="W2146" s="315">
        <f t="shared" si="571"/>
        <v>0</v>
      </c>
    </row>
    <row r="2147" spans="1:23" ht="13.5" hidden="1" thickBot="1" x14ac:dyDescent="0.25">
      <c r="A2147" s="63" t="s">
        <v>22</v>
      </c>
      <c r="B2147" s="895" t="s">
        <v>22</v>
      </c>
      <c r="C2147" s="896" t="s">
        <v>184</v>
      </c>
      <c r="D2147" s="906" t="s">
        <v>87</v>
      </c>
      <c r="E2147" s="907"/>
      <c r="F2147" s="908"/>
      <c r="G2147" s="912">
        <f>SUM(G2148:G2150)</f>
        <v>188.88739064000001</v>
      </c>
      <c r="H2147" s="901">
        <v>2350.13</v>
      </c>
      <c r="I2147" s="901">
        <f>IF(ISBLANK(H2147),"",SUM(G2147:H2147))</f>
        <v>2539.01739064</v>
      </c>
      <c r="J2147" s="902">
        <f t="shared" si="560"/>
        <v>3048.6</v>
      </c>
      <c r="K2147" s="903" t="s">
        <v>15</v>
      </c>
      <c r="L2147" s="1039">
        <f>ROUND(SUM('RES. CENTRAL PARK:RUA_FINAL'!L2147),2)</f>
        <v>0</v>
      </c>
      <c r="M2147" s="1039">
        <f t="shared" si="565"/>
        <v>0</v>
      </c>
      <c r="N2147" s="893">
        <f t="shared" si="566"/>
        <v>0</v>
      </c>
      <c r="O2147" s="905"/>
      <c r="Q2147" s="317" t="str">
        <f t="shared" si="567"/>
        <v/>
      </c>
      <c r="R2147" s="317" t="str">
        <f t="shared" si="568"/>
        <v/>
      </c>
      <c r="S2147" s="317" t="str">
        <f t="shared" si="569"/>
        <v/>
      </c>
      <c r="V2147" s="314">
        <f>SUM('RES. CENTRAL PARK:RUA_FINAL'!N2147)</f>
        <v>0</v>
      </c>
      <c r="W2147" s="315">
        <f t="shared" si="571"/>
        <v>0</v>
      </c>
    </row>
    <row r="2148" spans="1:23" ht="13.5" hidden="1" thickBot="1" x14ac:dyDescent="0.25">
      <c r="A2148" s="63" t="s">
        <v>147</v>
      </c>
      <c r="B2148" s="895" t="s">
        <v>147</v>
      </c>
      <c r="C2148" s="896"/>
      <c r="D2148" s="906" t="s">
        <v>190</v>
      </c>
      <c r="E2148" s="907">
        <f>DMT!$D$20</f>
        <v>308</v>
      </c>
      <c r="F2148" s="908">
        <f>VLOOKUP(D2147,'ENSAIOS DE ORÇAMENTO'!$C$5:$L$81,4,FALSE)</f>
        <v>0.25757999999999998</v>
      </c>
      <c r="G2148" s="909">
        <f>IF(E2148&lt;=30,(0.78*E2148+7.82)*F2148,((0.78*30+7.82)+0.78*(E2148-30))*F2148)</f>
        <v>63.895294799999995</v>
      </c>
      <c r="H2148" s="901"/>
      <c r="I2148" s="901"/>
      <c r="J2148" s="902">
        <f t="shared" si="560"/>
        <v>0</v>
      </c>
      <c r="K2148" s="903"/>
      <c r="L2148" s="1039">
        <f>ROUND(SUM('RES. CENTRAL PARK:RUA_FINAL'!L2148),2)</f>
        <v>0</v>
      </c>
      <c r="M2148" s="1039">
        <f t="shared" si="565"/>
        <v>0</v>
      </c>
      <c r="N2148" s="893">
        <f t="shared" si="566"/>
        <v>0</v>
      </c>
      <c r="O2148" s="905"/>
      <c r="P2148" s="36" t="str">
        <f>IF(N2147&gt;0,"xx",IF(N2147&gt;0,"xy",""))</f>
        <v/>
      </c>
      <c r="Q2148" s="317" t="str">
        <f t="shared" si="567"/>
        <v/>
      </c>
      <c r="R2148" s="317" t="str">
        <f t="shared" si="568"/>
        <v/>
      </c>
      <c r="S2148" s="317" t="str">
        <f t="shared" si="569"/>
        <v/>
      </c>
      <c r="V2148" s="314">
        <f>SUM('RES. CENTRAL PARK:RUA_FINAL'!N2148)</f>
        <v>0</v>
      </c>
      <c r="W2148" s="315">
        <f t="shared" si="571"/>
        <v>0</v>
      </c>
    </row>
    <row r="2149" spans="1:23" ht="13.5" hidden="1" thickBot="1" x14ac:dyDescent="0.25">
      <c r="A2149" s="63" t="s">
        <v>147</v>
      </c>
      <c r="B2149" s="895" t="s">
        <v>147</v>
      </c>
      <c r="C2149" s="896"/>
      <c r="D2149" s="906" t="s">
        <v>229</v>
      </c>
      <c r="E2149" s="907">
        <f>DMT!$F$8</f>
        <v>150</v>
      </c>
      <c r="F2149" s="908">
        <f>VLOOKUP(D2147,'ENSAIOS DE ORÇAMENTO'!$C$5:$L$81,5,FALSE)</f>
        <v>0.75010999999999994</v>
      </c>
      <c r="G2149" s="949">
        <f t="shared" ref="G2149:G2150" si="575">IF(E2149&lt;=30,(1.07*E2149+2.68)*F2149,((1.07*30+2.68)+1.07*(E2149-30))*F2149)</f>
        <v>122.4029498</v>
      </c>
      <c r="H2149" s="901"/>
      <c r="I2149" s="901"/>
      <c r="J2149" s="902">
        <f t="shared" si="560"/>
        <v>0</v>
      </c>
      <c r="K2149" s="903"/>
      <c r="L2149" s="1039">
        <f>ROUND(SUM('RES. CENTRAL PARK:RUA_FINAL'!L2149),2)</f>
        <v>0</v>
      </c>
      <c r="M2149" s="1039">
        <f t="shared" si="565"/>
        <v>0</v>
      </c>
      <c r="N2149" s="893">
        <f t="shared" si="566"/>
        <v>0</v>
      </c>
      <c r="O2149" s="905"/>
      <c r="P2149" s="36" t="str">
        <f>IF(N2147&gt;0,"xx",IF(N2147&gt;0,"xy",""))</f>
        <v/>
      </c>
      <c r="Q2149" s="317" t="str">
        <f t="shared" si="567"/>
        <v/>
      </c>
      <c r="R2149" s="317" t="str">
        <f t="shared" si="568"/>
        <v/>
      </c>
      <c r="S2149" s="317" t="str">
        <f t="shared" si="569"/>
        <v/>
      </c>
      <c r="V2149" s="314">
        <f>SUM('RES. CENTRAL PARK:RUA_FINAL'!N2149)</f>
        <v>0</v>
      </c>
      <c r="W2149" s="315">
        <f t="shared" si="571"/>
        <v>0</v>
      </c>
    </row>
    <row r="2150" spans="1:23" ht="13.5" hidden="1" thickBot="1" x14ac:dyDescent="0.25">
      <c r="A2150" s="63" t="s">
        <v>147</v>
      </c>
      <c r="B2150" s="895" t="s">
        <v>147</v>
      </c>
      <c r="C2150" s="896"/>
      <c r="D2150" s="906" t="s">
        <v>233</v>
      </c>
      <c r="E2150" s="907">
        <f>DMT!$F$10</f>
        <v>0.2</v>
      </c>
      <c r="F2150" s="908">
        <f>VLOOKUP(D2147,'ENSAIOS DE ORÇAMENTO'!$C$5:$L$81,6,FALSE)</f>
        <v>0.89466000000000001</v>
      </c>
      <c r="G2150" s="949">
        <f t="shared" si="575"/>
        <v>2.5891460400000001</v>
      </c>
      <c r="H2150" s="901"/>
      <c r="I2150" s="901"/>
      <c r="J2150" s="902">
        <f t="shared" si="560"/>
        <v>0</v>
      </c>
      <c r="K2150" s="903"/>
      <c r="L2150" s="1039">
        <f>ROUND(SUM('RES. CENTRAL PARK:RUA_FINAL'!L2150),2)</f>
        <v>0</v>
      </c>
      <c r="M2150" s="1039">
        <f t="shared" si="565"/>
        <v>0</v>
      </c>
      <c r="N2150" s="893">
        <f t="shared" si="566"/>
        <v>0</v>
      </c>
      <c r="O2150" s="905"/>
      <c r="P2150" s="36" t="str">
        <f>IF(N2147&gt;0,"xx",IF(N2147&gt;0,"xy",""))</f>
        <v/>
      </c>
      <c r="Q2150" s="317" t="str">
        <f t="shared" si="567"/>
        <v/>
      </c>
      <c r="R2150" s="317" t="str">
        <f t="shared" si="568"/>
        <v/>
      </c>
      <c r="S2150" s="317" t="str">
        <f t="shared" si="569"/>
        <v/>
      </c>
      <c r="V2150" s="314">
        <f>SUM('RES. CENTRAL PARK:RUA_FINAL'!N2150)</f>
        <v>0</v>
      </c>
      <c r="W2150" s="315">
        <f t="shared" si="571"/>
        <v>0</v>
      </c>
    </row>
    <row r="2151" spans="1:23" ht="13.5" hidden="1" thickBot="1" x14ac:dyDescent="0.25">
      <c r="A2151" s="63" t="s">
        <v>23</v>
      </c>
      <c r="B2151" s="895" t="s">
        <v>23</v>
      </c>
      <c r="C2151" s="896" t="s">
        <v>184</v>
      </c>
      <c r="D2151" s="906" t="s">
        <v>88</v>
      </c>
      <c r="E2151" s="907"/>
      <c r="F2151" s="908"/>
      <c r="G2151" s="912">
        <f>SUM(G2152:G2154)</f>
        <v>250.08122984000002</v>
      </c>
      <c r="H2151" s="901">
        <v>2551.63</v>
      </c>
      <c r="I2151" s="901">
        <f>IF(ISBLANK(H2151),"",SUM(G2151:H2151))</f>
        <v>2801.7112298400002</v>
      </c>
      <c r="J2151" s="902">
        <f t="shared" si="560"/>
        <v>3364.01</v>
      </c>
      <c r="K2151" s="903" t="s">
        <v>15</v>
      </c>
      <c r="L2151" s="1039">
        <f>ROUND(SUM('RES. CENTRAL PARK:RUA_FINAL'!L2151),2)</f>
        <v>0</v>
      </c>
      <c r="M2151" s="1039">
        <f t="shared" si="565"/>
        <v>0</v>
      </c>
      <c r="N2151" s="893">
        <f t="shared" si="566"/>
        <v>0</v>
      </c>
      <c r="O2151" s="905"/>
      <c r="Q2151" s="317" t="str">
        <f t="shared" si="567"/>
        <v/>
      </c>
      <c r="R2151" s="317" t="str">
        <f t="shared" si="568"/>
        <v/>
      </c>
      <c r="S2151" s="317" t="str">
        <f t="shared" si="569"/>
        <v/>
      </c>
      <c r="V2151" s="314">
        <f>SUM('RES. CENTRAL PARK:RUA_FINAL'!N2151)</f>
        <v>0</v>
      </c>
      <c r="W2151" s="315">
        <f t="shared" si="571"/>
        <v>0</v>
      </c>
    </row>
    <row r="2152" spans="1:23" ht="13.5" hidden="1" thickBot="1" x14ac:dyDescent="0.25">
      <c r="A2152" s="63" t="s">
        <v>147</v>
      </c>
      <c r="B2152" s="895" t="s">
        <v>147</v>
      </c>
      <c r="C2152" s="896"/>
      <c r="D2152" s="906" t="s">
        <v>190</v>
      </c>
      <c r="E2152" s="907">
        <f>DMT!$D$20</f>
        <v>308</v>
      </c>
      <c r="F2152" s="908">
        <f>VLOOKUP(D2151,'ENSAIOS DE ORÇAMENTO'!$C$5:$L$81,4,FALSE)</f>
        <v>0.34338000000000002</v>
      </c>
      <c r="G2152" s="909">
        <f>IF(E2152&lt;=30,(0.78*E2152+7.82)*F2152,((0.78*30+7.82)+0.78*(E2152-30))*F2152)</f>
        <v>85.178842800000012</v>
      </c>
      <c r="H2152" s="901"/>
      <c r="I2152" s="901"/>
      <c r="J2152" s="902">
        <f t="shared" si="560"/>
        <v>0</v>
      </c>
      <c r="K2152" s="903"/>
      <c r="L2152" s="1039">
        <f>ROUND(SUM('RES. CENTRAL PARK:RUA_FINAL'!L2152),2)</f>
        <v>0</v>
      </c>
      <c r="M2152" s="1039">
        <f t="shared" si="565"/>
        <v>0</v>
      </c>
      <c r="N2152" s="893">
        <f t="shared" si="566"/>
        <v>0</v>
      </c>
      <c r="O2152" s="905"/>
      <c r="P2152" s="36" t="str">
        <f>IF(N2151&gt;0,"xx",IF(N2151&gt;0,"xy",""))</f>
        <v/>
      </c>
      <c r="Q2152" s="317" t="str">
        <f t="shared" si="567"/>
        <v/>
      </c>
      <c r="R2152" s="317" t="str">
        <f t="shared" si="568"/>
        <v/>
      </c>
      <c r="S2152" s="317" t="str">
        <f t="shared" si="569"/>
        <v/>
      </c>
      <c r="V2152" s="314">
        <f>SUM('RES. CENTRAL PARK:RUA_FINAL'!N2152)</f>
        <v>0</v>
      </c>
      <c r="W2152" s="315">
        <f t="shared" si="571"/>
        <v>0</v>
      </c>
    </row>
    <row r="2153" spans="1:23" ht="13.5" hidden="1" thickBot="1" x14ac:dyDescent="0.25">
      <c r="A2153" s="63" t="s">
        <v>147</v>
      </c>
      <c r="B2153" s="895" t="s">
        <v>147</v>
      </c>
      <c r="C2153" s="896"/>
      <c r="D2153" s="906" t="s">
        <v>229</v>
      </c>
      <c r="E2153" s="907">
        <f>DMT!$F$8</f>
        <v>150</v>
      </c>
      <c r="F2153" s="908">
        <f>VLOOKUP(D2151,'ENSAIOS DE ORÇAMENTO'!$C$5:$L$81,5,FALSE)</f>
        <v>0.98957000000000006</v>
      </c>
      <c r="G2153" s="949">
        <f t="shared" ref="G2153:G2154" si="576">IF(E2153&lt;=30,(1.07*E2153+2.68)*F2153,((1.07*30+2.68)+1.07*(E2153-30))*F2153)</f>
        <v>161.47803260000001</v>
      </c>
      <c r="H2153" s="901"/>
      <c r="I2153" s="901"/>
      <c r="J2153" s="902">
        <f t="shared" si="560"/>
        <v>0</v>
      </c>
      <c r="K2153" s="903"/>
      <c r="L2153" s="1039">
        <f>ROUND(SUM('RES. CENTRAL PARK:RUA_FINAL'!L2153),2)</f>
        <v>0</v>
      </c>
      <c r="M2153" s="1039">
        <f t="shared" si="565"/>
        <v>0</v>
      </c>
      <c r="N2153" s="893">
        <f t="shared" si="566"/>
        <v>0</v>
      </c>
      <c r="O2153" s="905"/>
      <c r="P2153" s="36" t="str">
        <f>IF(N2151&gt;0,"xx",IF(N2151&gt;0,"xy",""))</f>
        <v/>
      </c>
      <c r="Q2153" s="317" t="str">
        <f t="shared" si="567"/>
        <v/>
      </c>
      <c r="R2153" s="317" t="str">
        <f t="shared" si="568"/>
        <v/>
      </c>
      <c r="S2153" s="317" t="str">
        <f t="shared" si="569"/>
        <v/>
      </c>
      <c r="V2153" s="314">
        <f>SUM('RES. CENTRAL PARK:RUA_FINAL'!N2153)</f>
        <v>0</v>
      </c>
      <c r="W2153" s="315">
        <f t="shared" si="571"/>
        <v>0</v>
      </c>
    </row>
    <row r="2154" spans="1:23" ht="13.5" hidden="1" thickBot="1" x14ac:dyDescent="0.25">
      <c r="A2154" s="63" t="s">
        <v>147</v>
      </c>
      <c r="B2154" s="895" t="s">
        <v>147</v>
      </c>
      <c r="C2154" s="896"/>
      <c r="D2154" s="906" t="s">
        <v>233</v>
      </c>
      <c r="E2154" s="907">
        <f>DMT!$F$10</f>
        <v>0.2</v>
      </c>
      <c r="F2154" s="908">
        <f>VLOOKUP(D2151,'ENSAIOS DE ORÇAMENTO'!$C$5:$L$81,6,FALSE)</f>
        <v>1.1832600000000002</v>
      </c>
      <c r="G2154" s="949">
        <f t="shared" si="576"/>
        <v>3.4243544400000006</v>
      </c>
      <c r="H2154" s="901"/>
      <c r="I2154" s="901"/>
      <c r="J2154" s="902">
        <f t="shared" si="560"/>
        <v>0</v>
      </c>
      <c r="K2154" s="903"/>
      <c r="L2154" s="1039">
        <f>ROUND(SUM('RES. CENTRAL PARK:RUA_FINAL'!L2154),2)</f>
        <v>0</v>
      </c>
      <c r="M2154" s="1039">
        <f t="shared" si="565"/>
        <v>0</v>
      </c>
      <c r="N2154" s="893">
        <f t="shared" si="566"/>
        <v>0</v>
      </c>
      <c r="O2154" s="905"/>
      <c r="P2154" s="36" t="str">
        <f>IF(N2151&gt;0,"xx",IF(N2151&gt;0,"xy",""))</f>
        <v/>
      </c>
      <c r="Q2154" s="317" t="str">
        <f t="shared" si="567"/>
        <v/>
      </c>
      <c r="R2154" s="317" t="str">
        <f t="shared" si="568"/>
        <v/>
      </c>
      <c r="S2154" s="317" t="str">
        <f t="shared" si="569"/>
        <v/>
      </c>
      <c r="V2154" s="314">
        <f>SUM('RES. CENTRAL PARK:RUA_FINAL'!N2154)</f>
        <v>0</v>
      </c>
      <c r="W2154" s="315">
        <f t="shared" si="571"/>
        <v>0</v>
      </c>
    </row>
    <row r="2155" spans="1:23" ht="13.5" hidden="1" thickBot="1" x14ac:dyDescent="0.25">
      <c r="A2155" s="63" t="s">
        <v>24</v>
      </c>
      <c r="B2155" s="895" t="s">
        <v>24</v>
      </c>
      <c r="C2155" s="896" t="s">
        <v>184</v>
      </c>
      <c r="D2155" s="906" t="s">
        <v>89</v>
      </c>
      <c r="E2155" s="907"/>
      <c r="F2155" s="908"/>
      <c r="G2155" s="912">
        <f>SUM(G2156:G2158)</f>
        <v>311.27506904000001</v>
      </c>
      <c r="H2155" s="901">
        <v>3101.29</v>
      </c>
      <c r="I2155" s="901">
        <f>IF(ISBLANK(H2155),"",SUM(G2155:H2155))</f>
        <v>3412.5650690399998</v>
      </c>
      <c r="J2155" s="902">
        <f t="shared" si="560"/>
        <v>4097.47</v>
      </c>
      <c r="K2155" s="903" t="s">
        <v>15</v>
      </c>
      <c r="L2155" s="1039">
        <f>ROUND(SUM('RES. CENTRAL PARK:RUA_FINAL'!L2155),2)</f>
        <v>0</v>
      </c>
      <c r="M2155" s="1039">
        <f t="shared" si="565"/>
        <v>0</v>
      </c>
      <c r="N2155" s="893">
        <f t="shared" si="566"/>
        <v>0</v>
      </c>
      <c r="O2155" s="905"/>
      <c r="Q2155" s="317" t="str">
        <f t="shared" si="567"/>
        <v/>
      </c>
      <c r="R2155" s="317" t="str">
        <f t="shared" si="568"/>
        <v/>
      </c>
      <c r="S2155" s="317" t="str">
        <f t="shared" si="569"/>
        <v/>
      </c>
      <c r="V2155" s="314">
        <f>SUM('RES. CENTRAL PARK:RUA_FINAL'!N2155)</f>
        <v>0</v>
      </c>
      <c r="W2155" s="315">
        <f t="shared" si="571"/>
        <v>0</v>
      </c>
    </row>
    <row r="2156" spans="1:23" ht="13.5" hidden="1" thickBot="1" x14ac:dyDescent="0.25">
      <c r="A2156" s="63" t="s">
        <v>147</v>
      </c>
      <c r="B2156" s="895" t="s">
        <v>147</v>
      </c>
      <c r="C2156" s="896"/>
      <c r="D2156" s="906" t="s">
        <v>190</v>
      </c>
      <c r="E2156" s="907">
        <f>DMT!$D$20</f>
        <v>308</v>
      </c>
      <c r="F2156" s="908">
        <f>VLOOKUP(D2155,'ENSAIOS DE ORÇAMENTO'!$C$5:$L$81,4,FALSE)</f>
        <v>0.42918000000000001</v>
      </c>
      <c r="G2156" s="909">
        <f>IF(E2156&lt;=30,(0.78*E2156+7.82)*F2156,((0.78*30+7.82)+0.78*(E2156-30))*F2156)</f>
        <v>106.46239080000001</v>
      </c>
      <c r="H2156" s="901"/>
      <c r="I2156" s="901"/>
      <c r="J2156" s="902">
        <f t="shared" ref="J2156:J2206" si="577">IF(ISBLANK(H2156),0,ROUND(I2156*(1+$E$10),2))</f>
        <v>0</v>
      </c>
      <c r="K2156" s="903"/>
      <c r="L2156" s="1039">
        <f>ROUND(SUM('RES. CENTRAL PARK:RUA_FINAL'!L2156),2)</f>
        <v>0</v>
      </c>
      <c r="M2156" s="1039">
        <f t="shared" si="565"/>
        <v>0</v>
      </c>
      <c r="N2156" s="893">
        <f t="shared" si="566"/>
        <v>0</v>
      </c>
      <c r="O2156" s="905"/>
      <c r="P2156" s="36" t="str">
        <f>IF(N2155&gt;0,"xx",IF(N2155&gt;0,"xy",""))</f>
        <v/>
      </c>
      <c r="Q2156" s="317" t="str">
        <f t="shared" si="567"/>
        <v/>
      </c>
      <c r="R2156" s="317" t="str">
        <f t="shared" si="568"/>
        <v/>
      </c>
      <c r="S2156" s="317" t="str">
        <f t="shared" si="569"/>
        <v/>
      </c>
      <c r="V2156" s="314">
        <f>SUM('RES. CENTRAL PARK:RUA_FINAL'!N2156)</f>
        <v>0</v>
      </c>
      <c r="W2156" s="315">
        <f t="shared" si="571"/>
        <v>0</v>
      </c>
    </row>
    <row r="2157" spans="1:23" ht="13.5" hidden="1" thickBot="1" x14ac:dyDescent="0.25">
      <c r="A2157" s="63" t="s">
        <v>147</v>
      </c>
      <c r="B2157" s="895" t="s">
        <v>147</v>
      </c>
      <c r="C2157" s="896"/>
      <c r="D2157" s="906" t="s">
        <v>229</v>
      </c>
      <c r="E2157" s="907">
        <f>DMT!$F$8</f>
        <v>150</v>
      </c>
      <c r="F2157" s="908">
        <f>VLOOKUP(D2155,'ENSAIOS DE ORÇAMENTO'!$C$5:$L$81,5,FALSE)</f>
        <v>1.2290300000000001</v>
      </c>
      <c r="G2157" s="949">
        <f t="shared" ref="G2157:G2158" si="578">IF(E2157&lt;=30,(1.07*E2157+2.68)*F2157,((1.07*30+2.68)+1.07*(E2157-30))*F2157)</f>
        <v>200.55311540000002</v>
      </c>
      <c r="H2157" s="901"/>
      <c r="I2157" s="901"/>
      <c r="J2157" s="902">
        <f t="shared" si="577"/>
        <v>0</v>
      </c>
      <c r="K2157" s="903"/>
      <c r="L2157" s="1039">
        <f>ROUND(SUM('RES. CENTRAL PARK:RUA_FINAL'!L2157),2)</f>
        <v>0</v>
      </c>
      <c r="M2157" s="1039">
        <f t="shared" si="565"/>
        <v>0</v>
      </c>
      <c r="N2157" s="893">
        <f t="shared" si="566"/>
        <v>0</v>
      </c>
      <c r="O2157" s="905"/>
      <c r="P2157" s="36" t="str">
        <f>IF(N2155&gt;0,"xx",IF(N2155&gt;0,"xy",""))</f>
        <v/>
      </c>
      <c r="Q2157" s="317" t="str">
        <f t="shared" si="567"/>
        <v/>
      </c>
      <c r="R2157" s="317" t="str">
        <f t="shared" si="568"/>
        <v/>
      </c>
      <c r="S2157" s="317" t="str">
        <f t="shared" si="569"/>
        <v/>
      </c>
      <c r="V2157" s="314">
        <f>SUM('RES. CENTRAL PARK:RUA_FINAL'!N2157)</f>
        <v>0</v>
      </c>
      <c r="W2157" s="315">
        <f t="shared" si="571"/>
        <v>0</v>
      </c>
    </row>
    <row r="2158" spans="1:23" ht="13.5" hidden="1" thickBot="1" x14ac:dyDescent="0.25">
      <c r="A2158" s="63" t="s">
        <v>147</v>
      </c>
      <c r="B2158" s="895" t="s">
        <v>147</v>
      </c>
      <c r="C2158" s="896"/>
      <c r="D2158" s="906" t="s">
        <v>233</v>
      </c>
      <c r="E2158" s="907">
        <f>DMT!$F$10</f>
        <v>0.2</v>
      </c>
      <c r="F2158" s="908">
        <f>VLOOKUP(D2155,'ENSAIOS DE ORÇAMENTO'!$C$5:$L$81,6,FALSE)</f>
        <v>1.4718600000000002</v>
      </c>
      <c r="G2158" s="949">
        <f t="shared" si="578"/>
        <v>4.259562840000001</v>
      </c>
      <c r="H2158" s="901"/>
      <c r="I2158" s="901"/>
      <c r="J2158" s="902">
        <f t="shared" si="577"/>
        <v>0</v>
      </c>
      <c r="K2158" s="903"/>
      <c r="L2158" s="1039">
        <f>ROUND(SUM('RES. CENTRAL PARK:RUA_FINAL'!L2158),2)</f>
        <v>0</v>
      </c>
      <c r="M2158" s="1039">
        <f t="shared" si="565"/>
        <v>0</v>
      </c>
      <c r="N2158" s="893">
        <f t="shared" si="566"/>
        <v>0</v>
      </c>
      <c r="O2158" s="905"/>
      <c r="P2158" s="36" t="str">
        <f>IF(N2155&gt;0,"xx",IF(N2155&gt;0,"xy",""))</f>
        <v/>
      </c>
      <c r="Q2158" s="317" t="str">
        <f t="shared" si="567"/>
        <v/>
      </c>
      <c r="R2158" s="317" t="str">
        <f t="shared" si="568"/>
        <v/>
      </c>
      <c r="S2158" s="317" t="str">
        <f t="shared" si="569"/>
        <v/>
      </c>
      <c r="V2158" s="314">
        <f>SUM('RES. CENTRAL PARK:RUA_FINAL'!N2158)</f>
        <v>0</v>
      </c>
      <c r="W2158" s="315">
        <f t="shared" si="571"/>
        <v>0</v>
      </c>
    </row>
    <row r="2159" spans="1:23" ht="13.5" hidden="1" thickBot="1" x14ac:dyDescent="0.25">
      <c r="A2159" s="63" t="s">
        <v>25</v>
      </c>
      <c r="B2159" s="895" t="s">
        <v>25</v>
      </c>
      <c r="C2159" s="896" t="s">
        <v>184</v>
      </c>
      <c r="D2159" s="906" t="s">
        <v>83</v>
      </c>
      <c r="E2159" s="907"/>
      <c r="F2159" s="908"/>
      <c r="G2159" s="912">
        <f>SUM(G2160:G2164)</f>
        <v>274.34302380400004</v>
      </c>
      <c r="H2159" s="901">
        <v>2761.42</v>
      </c>
      <c r="I2159" s="901">
        <f>IF(ISBLANK(H2159),"",SUM(G2159:H2159))</f>
        <v>3035.7630238040001</v>
      </c>
      <c r="J2159" s="902">
        <f t="shared" si="577"/>
        <v>3645.04</v>
      </c>
      <c r="K2159" s="903" t="s">
        <v>15</v>
      </c>
      <c r="L2159" s="1039">
        <f>ROUND(SUM('RES. CENTRAL PARK:RUA_FINAL'!L2159),2)</f>
        <v>0</v>
      </c>
      <c r="M2159" s="1039">
        <f t="shared" si="565"/>
        <v>0</v>
      </c>
      <c r="N2159" s="893">
        <f t="shared" si="566"/>
        <v>0</v>
      </c>
      <c r="O2159" s="905"/>
      <c r="Q2159" s="317" t="str">
        <f t="shared" si="567"/>
        <v/>
      </c>
      <c r="R2159" s="317" t="str">
        <f t="shared" si="568"/>
        <v/>
      </c>
      <c r="S2159" s="317" t="str">
        <f t="shared" si="569"/>
        <v/>
      </c>
      <c r="V2159" s="314">
        <f>SUM('RES. CENTRAL PARK:RUA_FINAL'!N2159)</f>
        <v>0</v>
      </c>
      <c r="W2159" s="315">
        <f t="shared" si="571"/>
        <v>0</v>
      </c>
    </row>
    <row r="2160" spans="1:23" ht="13.5" hidden="1" thickBot="1" x14ac:dyDescent="0.25">
      <c r="A2160" s="63" t="s">
        <v>147</v>
      </c>
      <c r="B2160" s="895" t="s">
        <v>147</v>
      </c>
      <c r="C2160" s="896"/>
      <c r="D2160" s="906" t="s">
        <v>190</v>
      </c>
      <c r="E2160" s="907">
        <f>DMT!$D$20</f>
        <v>308</v>
      </c>
      <c r="F2160" s="908">
        <f>VLOOKUP(D2159,'ENSAIOS DE ORÇAMENTO'!$C$5:$L$81,4,FALSE)</f>
        <v>0.2047668</v>
      </c>
      <c r="G2160" s="909">
        <f>IF(E2160&lt;=30,(0.78*E2160+7.82)*F2160,((0.78*30+7.82)+0.78*(E2160-30))*F2160)</f>
        <v>50.794452407999998</v>
      </c>
      <c r="H2160" s="901"/>
      <c r="I2160" s="901"/>
      <c r="J2160" s="902">
        <f t="shared" si="577"/>
        <v>0</v>
      </c>
      <c r="K2160" s="903"/>
      <c r="L2160" s="1039">
        <f>ROUND(SUM('RES. CENTRAL PARK:RUA_FINAL'!L2160),2)</f>
        <v>0</v>
      </c>
      <c r="M2160" s="1039">
        <f t="shared" si="565"/>
        <v>0</v>
      </c>
      <c r="N2160" s="893">
        <f t="shared" si="566"/>
        <v>0</v>
      </c>
      <c r="O2160" s="905"/>
      <c r="P2160" s="36" t="str">
        <f>IF(N2159&gt;0,"xx",IF(N2159&gt;0,"xy",""))</f>
        <v/>
      </c>
      <c r="Q2160" s="317" t="str">
        <f t="shared" si="567"/>
        <v/>
      </c>
      <c r="R2160" s="317" t="str">
        <f t="shared" si="568"/>
        <v/>
      </c>
      <c r="S2160" s="317" t="str">
        <f t="shared" si="569"/>
        <v/>
      </c>
      <c r="V2160" s="314">
        <f>SUM('RES. CENTRAL PARK:RUA_FINAL'!N2160)</f>
        <v>0</v>
      </c>
      <c r="W2160" s="315">
        <f t="shared" si="571"/>
        <v>0</v>
      </c>
    </row>
    <row r="2161" spans="1:23" ht="13.5" hidden="1" thickBot="1" x14ac:dyDescent="0.25">
      <c r="A2161" s="63" t="s">
        <v>147</v>
      </c>
      <c r="B2161" s="895" t="s">
        <v>147</v>
      </c>
      <c r="C2161" s="896"/>
      <c r="D2161" s="906" t="s">
        <v>229</v>
      </c>
      <c r="E2161" s="907">
        <f>DMT!$F$8</f>
        <v>150</v>
      </c>
      <c r="F2161" s="908">
        <f>VLOOKUP(D2159,'ENSAIOS DE ORÇAMENTO'!$C$5:$L$81,5,FALSE)</f>
        <v>1.1293030000000002</v>
      </c>
      <c r="G2161" s="949">
        <f t="shared" ref="G2161:G2163" si="579">IF(E2161&lt;=30,(1.07*E2161+2.68)*F2161,((1.07*30+2.68)+1.07*(E2161-30))*F2161)</f>
        <v>184.27966354000003</v>
      </c>
      <c r="H2161" s="901"/>
      <c r="I2161" s="901"/>
      <c r="J2161" s="902">
        <f t="shared" si="577"/>
        <v>0</v>
      </c>
      <c r="K2161" s="903"/>
      <c r="L2161" s="1039">
        <f>ROUND(SUM('RES. CENTRAL PARK:RUA_FINAL'!L2161),2)</f>
        <v>0</v>
      </c>
      <c r="M2161" s="1039">
        <f t="shared" si="565"/>
        <v>0</v>
      </c>
      <c r="N2161" s="893">
        <f t="shared" si="566"/>
        <v>0</v>
      </c>
      <c r="O2161" s="905"/>
      <c r="P2161" s="36" t="str">
        <f>IF(N2159&gt;0,"xx",IF(N2159&gt;0,"xy",""))</f>
        <v/>
      </c>
      <c r="Q2161" s="317" t="str">
        <f t="shared" si="567"/>
        <v/>
      </c>
      <c r="R2161" s="317" t="str">
        <f t="shared" si="568"/>
        <v/>
      </c>
      <c r="S2161" s="317" t="str">
        <f t="shared" si="569"/>
        <v/>
      </c>
      <c r="V2161" s="314">
        <f>SUM('RES. CENTRAL PARK:RUA_FINAL'!N2161)</f>
        <v>0</v>
      </c>
      <c r="W2161" s="315">
        <f t="shared" si="571"/>
        <v>0</v>
      </c>
    </row>
    <row r="2162" spans="1:23" ht="13.5" hidden="1" thickBot="1" x14ac:dyDescent="0.25">
      <c r="A2162" s="63" t="s">
        <v>147</v>
      </c>
      <c r="B2162" s="895" t="s">
        <v>147</v>
      </c>
      <c r="C2162" s="896"/>
      <c r="D2162" s="906" t="s">
        <v>233</v>
      </c>
      <c r="E2162" s="907">
        <f>DMT!$F$10</f>
        <v>0.2</v>
      </c>
      <c r="F2162" s="908">
        <f>VLOOKUP(D2159,'ENSAIOS DE ORÇAMENTO'!$C$5:$L$81,6,FALSE)</f>
        <v>0.38805600000000001</v>
      </c>
      <c r="G2162" s="949">
        <f t="shared" si="579"/>
        <v>1.1230340640000001</v>
      </c>
      <c r="H2162" s="901"/>
      <c r="I2162" s="901"/>
      <c r="J2162" s="902">
        <f t="shared" si="577"/>
        <v>0</v>
      </c>
      <c r="K2162" s="903"/>
      <c r="L2162" s="1039">
        <f>ROUND(SUM('RES. CENTRAL PARK:RUA_FINAL'!L2162),2)</f>
        <v>0</v>
      </c>
      <c r="M2162" s="1039">
        <f t="shared" si="565"/>
        <v>0</v>
      </c>
      <c r="N2162" s="893">
        <f t="shared" si="566"/>
        <v>0</v>
      </c>
      <c r="O2162" s="905"/>
      <c r="P2162" s="36" t="str">
        <f>IF(N2159&gt;0,"xx",IF(N2159&gt;0,"xy",""))</f>
        <v/>
      </c>
      <c r="Q2162" s="317" t="str">
        <f t="shared" si="567"/>
        <v/>
      </c>
      <c r="R2162" s="317" t="str">
        <f t="shared" si="568"/>
        <v/>
      </c>
      <c r="S2162" s="317" t="str">
        <f t="shared" si="569"/>
        <v/>
      </c>
      <c r="V2162" s="314">
        <f>SUM('RES. CENTRAL PARK:RUA_FINAL'!N2162)</f>
        <v>0</v>
      </c>
      <c r="W2162" s="315">
        <f t="shared" si="571"/>
        <v>0</v>
      </c>
    </row>
    <row r="2163" spans="1:23" ht="13.5" hidden="1" thickBot="1" x14ac:dyDescent="0.25">
      <c r="A2163" s="63" t="s">
        <v>147</v>
      </c>
      <c r="B2163" s="895" t="s">
        <v>147</v>
      </c>
      <c r="C2163" s="896"/>
      <c r="D2163" s="906" t="s">
        <v>365</v>
      </c>
      <c r="E2163" s="907">
        <f>DMT!$F$32</f>
        <v>10</v>
      </c>
      <c r="F2163" s="908">
        <f>VLOOKUP(D2159,'ENSAIOS DE ORÇAMENTO'!$C$5:$L$81,3,FALSE)</f>
        <v>1.6716959999999998</v>
      </c>
      <c r="G2163" s="949">
        <f t="shared" si="579"/>
        <v>22.36729248</v>
      </c>
      <c r="H2163" s="901"/>
      <c r="I2163" s="901"/>
      <c r="J2163" s="902">
        <f t="shared" si="577"/>
        <v>0</v>
      </c>
      <c r="K2163" s="903"/>
      <c r="L2163" s="1039">
        <f>ROUND(SUM('RES. CENTRAL PARK:RUA_FINAL'!L2163),2)</f>
        <v>0</v>
      </c>
      <c r="M2163" s="1039">
        <f t="shared" si="565"/>
        <v>0</v>
      </c>
      <c r="N2163" s="893">
        <f t="shared" si="566"/>
        <v>0</v>
      </c>
      <c r="O2163" s="905"/>
      <c r="P2163" s="36" t="str">
        <f>IF(N2159&gt;0,"xx",IF(N2159&gt;0,"xy",""))</f>
        <v/>
      </c>
      <c r="Q2163" s="317" t="str">
        <f t="shared" si="567"/>
        <v/>
      </c>
      <c r="R2163" s="317" t="str">
        <f t="shared" si="568"/>
        <v/>
      </c>
      <c r="S2163" s="317" t="str">
        <f t="shared" si="569"/>
        <v/>
      </c>
      <c r="V2163" s="314">
        <f>SUM('RES. CENTRAL PARK:RUA_FINAL'!N2163)</f>
        <v>0</v>
      </c>
      <c r="W2163" s="315">
        <f t="shared" si="571"/>
        <v>0</v>
      </c>
    </row>
    <row r="2164" spans="1:23" ht="13.5" hidden="1" thickBot="1" x14ac:dyDescent="0.25">
      <c r="A2164" s="63" t="s">
        <v>147</v>
      </c>
      <c r="B2164" s="895" t="s">
        <v>147</v>
      </c>
      <c r="C2164" s="896"/>
      <c r="D2164" s="906" t="s">
        <v>366</v>
      </c>
      <c r="E2164" s="907">
        <f>DMT!$D$18</f>
        <v>353</v>
      </c>
      <c r="F2164" s="908">
        <f>VLOOKUP(D2159,'ENSAIOS DE ORÇAMENTO'!$C$5:$L$81,10,FALSE)</f>
        <v>5.5723200000000001E-2</v>
      </c>
      <c r="G2164" s="909">
        <f>IF(E2164&lt;=30,(0.78*E2164+7.82)*F2164,((0.78*30+7.82)+0.78*(E2164-30))*F2164)</f>
        <v>15.778581312000002</v>
      </c>
      <c r="H2164" s="901"/>
      <c r="I2164" s="901"/>
      <c r="J2164" s="902">
        <f t="shared" si="577"/>
        <v>0</v>
      </c>
      <c r="K2164" s="903"/>
      <c r="L2164" s="1039">
        <f>ROUND(SUM('RES. CENTRAL PARK:RUA_FINAL'!L2164),2)</f>
        <v>0</v>
      </c>
      <c r="M2164" s="1039">
        <f t="shared" si="565"/>
        <v>0</v>
      </c>
      <c r="N2164" s="893">
        <f t="shared" si="566"/>
        <v>0</v>
      </c>
      <c r="O2164" s="905"/>
      <c r="P2164" s="36" t="str">
        <f>IF(N2159&gt;0,"xx",IF(N2159&gt;0,"xy",""))</f>
        <v/>
      </c>
      <c r="Q2164" s="317" t="str">
        <f t="shared" si="567"/>
        <v/>
      </c>
      <c r="R2164" s="317" t="str">
        <f t="shared" si="568"/>
        <v/>
      </c>
      <c r="S2164" s="317" t="str">
        <f t="shared" si="569"/>
        <v/>
      </c>
      <c r="V2164" s="314">
        <f>SUM('RES. CENTRAL PARK:RUA_FINAL'!N2164)</f>
        <v>0</v>
      </c>
      <c r="W2164" s="315">
        <f t="shared" si="571"/>
        <v>0</v>
      </c>
    </row>
    <row r="2165" spans="1:23" ht="13.5" hidden="1" thickBot="1" x14ac:dyDescent="0.25">
      <c r="A2165" s="63" t="s">
        <v>26</v>
      </c>
      <c r="B2165" s="895" t="s">
        <v>26</v>
      </c>
      <c r="C2165" s="896" t="s">
        <v>184</v>
      </c>
      <c r="D2165" s="906" t="s">
        <v>84</v>
      </c>
      <c r="E2165" s="907"/>
      <c r="F2165" s="908"/>
      <c r="G2165" s="912">
        <f>SUM(G2166:G2170)</f>
        <v>323.00686500400002</v>
      </c>
      <c r="H2165" s="901">
        <v>3050.91</v>
      </c>
      <c r="I2165" s="901">
        <f>IF(ISBLANK(H2165),"",SUM(G2165:H2165))</f>
        <v>3373.9168650040001</v>
      </c>
      <c r="J2165" s="902">
        <f t="shared" si="577"/>
        <v>4051.06</v>
      </c>
      <c r="K2165" s="903" t="s">
        <v>15</v>
      </c>
      <c r="L2165" s="1039">
        <f>ROUND(SUM('RES. CENTRAL PARK:RUA_FINAL'!L2165),2)</f>
        <v>0</v>
      </c>
      <c r="M2165" s="1039">
        <f t="shared" si="565"/>
        <v>0</v>
      </c>
      <c r="N2165" s="893">
        <f t="shared" si="566"/>
        <v>0</v>
      </c>
      <c r="O2165" s="905"/>
      <c r="Q2165" s="317" t="str">
        <f t="shared" si="567"/>
        <v/>
      </c>
      <c r="R2165" s="317" t="str">
        <f t="shared" si="568"/>
        <v/>
      </c>
      <c r="S2165" s="317" t="str">
        <f t="shared" si="569"/>
        <v/>
      </c>
      <c r="V2165" s="314">
        <f>SUM('RES. CENTRAL PARK:RUA_FINAL'!N2165)</f>
        <v>0</v>
      </c>
      <c r="W2165" s="315">
        <f t="shared" si="571"/>
        <v>0</v>
      </c>
    </row>
    <row r="2166" spans="1:23" ht="13.5" hidden="1" thickBot="1" x14ac:dyDescent="0.25">
      <c r="A2166" s="63" t="s">
        <v>147</v>
      </c>
      <c r="B2166" s="895" t="s">
        <v>147</v>
      </c>
      <c r="C2166" s="896"/>
      <c r="D2166" s="906" t="s">
        <v>190</v>
      </c>
      <c r="E2166" s="907">
        <f>DMT!$D$20</f>
        <v>308</v>
      </c>
      <c r="F2166" s="908">
        <f>VLOOKUP(D2165,'ENSAIOS DE ORÇAMENTO'!$C$5:$L$81,4,FALSE)</f>
        <v>0.23381399999999999</v>
      </c>
      <c r="G2166" s="909">
        <f>IF(E2166&lt;=30,(0.78*E2166+7.82)*F2166,((0.78*30+7.82)+0.78*(E2166-30))*F2166)</f>
        <v>57.999900840000002</v>
      </c>
      <c r="H2166" s="901"/>
      <c r="I2166" s="901"/>
      <c r="J2166" s="902">
        <f t="shared" si="577"/>
        <v>0</v>
      </c>
      <c r="K2166" s="903"/>
      <c r="L2166" s="1039">
        <f>ROUND(SUM('RES. CENTRAL PARK:RUA_FINAL'!L2166),2)</f>
        <v>0</v>
      </c>
      <c r="M2166" s="1039">
        <f t="shared" si="565"/>
        <v>0</v>
      </c>
      <c r="N2166" s="893">
        <f t="shared" si="566"/>
        <v>0</v>
      </c>
      <c r="O2166" s="905"/>
      <c r="P2166" s="36" t="str">
        <f>IF(N2165&gt;0,"xx",IF(N2165&gt;0,"xy",""))</f>
        <v/>
      </c>
      <c r="Q2166" s="317" t="str">
        <f t="shared" si="567"/>
        <v/>
      </c>
      <c r="R2166" s="317" t="str">
        <f t="shared" si="568"/>
        <v/>
      </c>
      <c r="S2166" s="317" t="str">
        <f t="shared" si="569"/>
        <v/>
      </c>
      <c r="V2166" s="314">
        <f>SUM('RES. CENTRAL PARK:RUA_FINAL'!N2166)</f>
        <v>0</v>
      </c>
      <c r="W2166" s="315">
        <f t="shared" si="571"/>
        <v>0</v>
      </c>
    </row>
    <row r="2167" spans="1:23" ht="13.5" hidden="1" thickBot="1" x14ac:dyDescent="0.25">
      <c r="A2167" s="63" t="s">
        <v>147</v>
      </c>
      <c r="B2167" s="895" t="s">
        <v>147</v>
      </c>
      <c r="C2167" s="896"/>
      <c r="D2167" s="906" t="s">
        <v>229</v>
      </c>
      <c r="E2167" s="907">
        <f>DMT!$F$8</f>
        <v>150</v>
      </c>
      <c r="F2167" s="908">
        <f>VLOOKUP(D2165,'ENSAIOS DE ORÇAMENTO'!$C$5:$L$81,5,FALSE)</f>
        <v>1.324927</v>
      </c>
      <c r="G2167" s="949">
        <f t="shared" ref="G2167:G2169" si="580">IF(E2167&lt;=30,(1.07*E2167+2.68)*F2167,((1.07*30+2.68)+1.07*(E2167-30))*F2167)</f>
        <v>216.20158785999999</v>
      </c>
      <c r="H2167" s="901"/>
      <c r="I2167" s="901"/>
      <c r="J2167" s="902">
        <f t="shared" si="577"/>
        <v>0</v>
      </c>
      <c r="K2167" s="903"/>
      <c r="L2167" s="1039">
        <f>ROUND(SUM('RES. CENTRAL PARK:RUA_FINAL'!L2167),2)</f>
        <v>0</v>
      </c>
      <c r="M2167" s="1039">
        <f t="shared" si="565"/>
        <v>0</v>
      </c>
      <c r="N2167" s="893">
        <f t="shared" si="566"/>
        <v>0</v>
      </c>
      <c r="O2167" s="905"/>
      <c r="P2167" s="36" t="str">
        <f>IF(N2165&gt;0,"xx",IF(N2165&gt;0,"xy",""))</f>
        <v/>
      </c>
      <c r="Q2167" s="317" t="str">
        <f t="shared" si="567"/>
        <v/>
      </c>
      <c r="R2167" s="317" t="str">
        <f t="shared" si="568"/>
        <v/>
      </c>
      <c r="S2167" s="317" t="str">
        <f t="shared" si="569"/>
        <v/>
      </c>
      <c r="V2167" s="314">
        <f>SUM('RES. CENTRAL PARK:RUA_FINAL'!N2167)</f>
        <v>0</v>
      </c>
      <c r="W2167" s="315">
        <f t="shared" si="571"/>
        <v>0</v>
      </c>
    </row>
    <row r="2168" spans="1:23" ht="13.5" hidden="1" thickBot="1" x14ac:dyDescent="0.25">
      <c r="A2168" s="63" t="s">
        <v>147</v>
      </c>
      <c r="B2168" s="895" t="s">
        <v>147</v>
      </c>
      <c r="C2168" s="896"/>
      <c r="D2168" s="906" t="s">
        <v>233</v>
      </c>
      <c r="E2168" s="907">
        <f>DMT!$F$10</f>
        <v>0.2</v>
      </c>
      <c r="F2168" s="908">
        <f>VLOOKUP(D2165,'ENSAIOS DE ORÇAMENTO'!$C$5:$L$81,6,FALSE)</f>
        <v>0.38805600000000001</v>
      </c>
      <c r="G2168" s="949">
        <f t="shared" si="580"/>
        <v>1.1230340640000001</v>
      </c>
      <c r="H2168" s="901"/>
      <c r="I2168" s="901"/>
      <c r="J2168" s="902">
        <f t="shared" si="577"/>
        <v>0</v>
      </c>
      <c r="K2168" s="903"/>
      <c r="L2168" s="1039">
        <f>ROUND(SUM('RES. CENTRAL PARK:RUA_FINAL'!L2168),2)</f>
        <v>0</v>
      </c>
      <c r="M2168" s="1039">
        <f t="shared" si="565"/>
        <v>0</v>
      </c>
      <c r="N2168" s="893">
        <f t="shared" si="566"/>
        <v>0</v>
      </c>
      <c r="O2168" s="905"/>
      <c r="P2168" s="36" t="str">
        <f>IF(N2165&gt;0,"xx",IF(N2165&gt;0,"xy",""))</f>
        <v/>
      </c>
      <c r="Q2168" s="317" t="str">
        <f t="shared" si="567"/>
        <v/>
      </c>
      <c r="R2168" s="317" t="str">
        <f t="shared" si="568"/>
        <v/>
      </c>
      <c r="S2168" s="317" t="str">
        <f t="shared" si="569"/>
        <v/>
      </c>
      <c r="V2168" s="314">
        <f>SUM('RES. CENTRAL PARK:RUA_FINAL'!N2168)</f>
        <v>0</v>
      </c>
      <c r="W2168" s="315">
        <f t="shared" si="571"/>
        <v>0</v>
      </c>
    </row>
    <row r="2169" spans="1:23" ht="13.5" hidden="1" thickBot="1" x14ac:dyDescent="0.25">
      <c r="A2169" s="63" t="s">
        <v>147</v>
      </c>
      <c r="B2169" s="895" t="s">
        <v>147</v>
      </c>
      <c r="C2169" s="896"/>
      <c r="D2169" s="906" t="s">
        <v>365</v>
      </c>
      <c r="E2169" s="907">
        <f>DMT!$F$32</f>
        <v>10</v>
      </c>
      <c r="F2169" s="908">
        <f>VLOOKUP(D2165,'ENSAIOS DE ORÇAMENTO'!$C$5:$L$81,3,FALSE)</f>
        <v>2.0896199999999996</v>
      </c>
      <c r="G2169" s="949">
        <f t="shared" si="580"/>
        <v>27.959115599999997</v>
      </c>
      <c r="H2169" s="901"/>
      <c r="I2169" s="901"/>
      <c r="J2169" s="902">
        <f t="shared" si="577"/>
        <v>0</v>
      </c>
      <c r="K2169" s="903"/>
      <c r="L2169" s="1039">
        <f>ROUND(SUM('RES. CENTRAL PARK:RUA_FINAL'!L2169),2)</f>
        <v>0</v>
      </c>
      <c r="M2169" s="1039">
        <f t="shared" si="565"/>
        <v>0</v>
      </c>
      <c r="N2169" s="893">
        <f t="shared" si="566"/>
        <v>0</v>
      </c>
      <c r="O2169" s="905"/>
      <c r="P2169" s="36" t="str">
        <f>IF(N2165&gt;0,"xx",IF(N2165&gt;0,"xy",""))</f>
        <v/>
      </c>
      <c r="Q2169" s="317" t="str">
        <f t="shared" si="567"/>
        <v/>
      </c>
      <c r="R2169" s="317" t="str">
        <f t="shared" si="568"/>
        <v/>
      </c>
      <c r="S2169" s="317" t="str">
        <f t="shared" si="569"/>
        <v/>
      </c>
      <c r="V2169" s="314">
        <f>SUM('RES. CENTRAL PARK:RUA_FINAL'!N2169)</f>
        <v>0</v>
      </c>
      <c r="W2169" s="315">
        <f t="shared" si="571"/>
        <v>0</v>
      </c>
    </row>
    <row r="2170" spans="1:23" ht="13.5" hidden="1" thickBot="1" x14ac:dyDescent="0.25">
      <c r="A2170" s="63" t="s">
        <v>147</v>
      </c>
      <c r="B2170" s="895" t="s">
        <v>147</v>
      </c>
      <c r="C2170" s="896"/>
      <c r="D2170" s="906" t="s">
        <v>366</v>
      </c>
      <c r="E2170" s="907">
        <f>DMT!$D$18</f>
        <v>353</v>
      </c>
      <c r="F2170" s="908">
        <f>VLOOKUP(D2165,'ENSAIOS DE ORÇAMENTO'!$C$5:$L$81,10,FALSE)</f>
        <v>6.9653999999999994E-2</v>
      </c>
      <c r="G2170" s="909">
        <f>IF(E2170&lt;=30,(0.78*E2170+7.82)*F2170,((0.78*30+7.82)+0.78*(E2170-30))*F2170)</f>
        <v>19.72322664</v>
      </c>
      <c r="H2170" s="901"/>
      <c r="I2170" s="901"/>
      <c r="J2170" s="902">
        <f t="shared" si="577"/>
        <v>0</v>
      </c>
      <c r="K2170" s="903"/>
      <c r="L2170" s="1039">
        <f>ROUND(SUM('RES. CENTRAL PARK:RUA_FINAL'!L2170),2)</f>
        <v>0</v>
      </c>
      <c r="M2170" s="1039">
        <f t="shared" si="565"/>
        <v>0</v>
      </c>
      <c r="N2170" s="893">
        <f t="shared" si="566"/>
        <v>0</v>
      </c>
      <c r="O2170" s="905"/>
      <c r="P2170" s="36" t="str">
        <f>IF(N2165&gt;0,"xx",IF(N2165&gt;0,"xy",""))</f>
        <v/>
      </c>
      <c r="Q2170" s="317" t="str">
        <f t="shared" si="567"/>
        <v/>
      </c>
      <c r="R2170" s="317" t="str">
        <f t="shared" si="568"/>
        <v/>
      </c>
      <c r="S2170" s="317" t="str">
        <f t="shared" si="569"/>
        <v/>
      </c>
      <c r="V2170" s="314">
        <f>SUM('RES. CENTRAL PARK:RUA_FINAL'!N2170)</f>
        <v>0</v>
      </c>
      <c r="W2170" s="315">
        <f t="shared" si="571"/>
        <v>0</v>
      </c>
    </row>
    <row r="2171" spans="1:23" ht="13.5" hidden="1" thickBot="1" x14ac:dyDescent="0.25">
      <c r="A2171" s="63" t="s">
        <v>99</v>
      </c>
      <c r="B2171" s="895" t="s">
        <v>99</v>
      </c>
      <c r="C2171" s="896" t="s">
        <v>184</v>
      </c>
      <c r="D2171" s="906" t="s">
        <v>85</v>
      </c>
      <c r="E2171" s="907"/>
      <c r="F2171" s="908"/>
      <c r="G2171" s="912">
        <f>SUM(G2172:G2176)</f>
        <v>403.48937160400004</v>
      </c>
      <c r="H2171" s="901">
        <v>3529.67</v>
      </c>
      <c r="I2171" s="901">
        <f>IF(ISBLANK(H2171),"",SUM(G2171:H2171))</f>
        <v>3933.1593716040002</v>
      </c>
      <c r="J2171" s="902">
        <f t="shared" si="577"/>
        <v>4722.54</v>
      </c>
      <c r="K2171" s="903" t="s">
        <v>15</v>
      </c>
      <c r="L2171" s="1039">
        <f>ROUND(SUM('RES. CENTRAL PARK:RUA_FINAL'!L2171),2)</f>
        <v>0</v>
      </c>
      <c r="M2171" s="1039">
        <f t="shared" si="565"/>
        <v>0</v>
      </c>
      <c r="N2171" s="893">
        <f t="shared" si="566"/>
        <v>0</v>
      </c>
      <c r="O2171" s="905"/>
      <c r="Q2171" s="317" t="str">
        <f t="shared" si="567"/>
        <v/>
      </c>
      <c r="R2171" s="317" t="str">
        <f t="shared" si="568"/>
        <v/>
      </c>
      <c r="S2171" s="317" t="str">
        <f t="shared" si="569"/>
        <v/>
      </c>
      <c r="V2171" s="314">
        <f>SUM('RES. CENTRAL PARK:RUA_FINAL'!N2171)</f>
        <v>0</v>
      </c>
      <c r="W2171" s="315">
        <f t="shared" si="571"/>
        <v>0</v>
      </c>
    </row>
    <row r="2172" spans="1:23" ht="13.5" hidden="1" thickBot="1" x14ac:dyDescent="0.25">
      <c r="A2172" s="63" t="s">
        <v>147</v>
      </c>
      <c r="B2172" s="895" t="s">
        <v>147</v>
      </c>
      <c r="C2172" s="896"/>
      <c r="D2172" s="906" t="s">
        <v>190</v>
      </c>
      <c r="E2172" s="907">
        <f>DMT!$D$20</f>
        <v>308</v>
      </c>
      <c r="F2172" s="908">
        <f>VLOOKUP(D2171,'ENSAIOS DE ORÇAMENTO'!$C$5:$L$81,4,FALSE)</f>
        <v>0.28185359999999998</v>
      </c>
      <c r="G2172" s="909">
        <f>IF(E2172&lt;=30,(0.78*E2172+7.82)*F2172,((0.78*30+7.82)+0.78*(E2172-30))*F2172)</f>
        <v>69.916604015999994</v>
      </c>
      <c r="H2172" s="901"/>
      <c r="I2172" s="901"/>
      <c r="J2172" s="902">
        <f t="shared" si="577"/>
        <v>0</v>
      </c>
      <c r="K2172" s="903"/>
      <c r="L2172" s="1039">
        <f>ROUND(SUM('RES. CENTRAL PARK:RUA_FINAL'!L2172),2)</f>
        <v>0</v>
      </c>
      <c r="M2172" s="1039">
        <f t="shared" si="565"/>
        <v>0</v>
      </c>
      <c r="N2172" s="893">
        <f t="shared" si="566"/>
        <v>0</v>
      </c>
      <c r="O2172" s="905"/>
      <c r="P2172" s="36" t="str">
        <f>IF(N2171&gt;0,"xx",IF(N2171&gt;0,"xy",""))</f>
        <v/>
      </c>
      <c r="Q2172" s="317" t="str">
        <f t="shared" si="567"/>
        <v/>
      </c>
      <c r="R2172" s="317" t="str">
        <f t="shared" si="568"/>
        <v/>
      </c>
      <c r="S2172" s="317" t="str">
        <f t="shared" si="569"/>
        <v/>
      </c>
      <c r="V2172" s="314">
        <f>SUM('RES. CENTRAL PARK:RUA_FINAL'!N2172)</f>
        <v>0</v>
      </c>
      <c r="W2172" s="315">
        <f t="shared" si="571"/>
        <v>0</v>
      </c>
    </row>
    <row r="2173" spans="1:23" ht="13.5" hidden="1" thickBot="1" x14ac:dyDescent="0.25">
      <c r="A2173" s="63" t="s">
        <v>147</v>
      </c>
      <c r="B2173" s="895" t="s">
        <v>147</v>
      </c>
      <c r="C2173" s="896"/>
      <c r="D2173" s="906" t="s">
        <v>229</v>
      </c>
      <c r="E2173" s="907">
        <f>DMT!$F$8</f>
        <v>150</v>
      </c>
      <c r="F2173" s="908">
        <f>VLOOKUP(D2171,'ENSAIOS DE ORÇAMENTO'!$C$5:$L$81,5,FALSE)</f>
        <v>1.6484590000000001</v>
      </c>
      <c r="G2173" s="949">
        <f t="shared" ref="G2173:G2175" si="581">IF(E2173&lt;=30,(1.07*E2173+2.68)*F2173,((1.07*30+2.68)+1.07*(E2173-30))*F2173)</f>
        <v>268.99553962000005</v>
      </c>
      <c r="H2173" s="901"/>
      <c r="I2173" s="901"/>
      <c r="J2173" s="902">
        <f t="shared" si="577"/>
        <v>0</v>
      </c>
      <c r="K2173" s="903"/>
      <c r="L2173" s="1039">
        <f>ROUND(SUM('RES. CENTRAL PARK:RUA_FINAL'!L2173),2)</f>
        <v>0</v>
      </c>
      <c r="M2173" s="1039">
        <f t="shared" si="565"/>
        <v>0</v>
      </c>
      <c r="N2173" s="893">
        <f t="shared" si="566"/>
        <v>0</v>
      </c>
      <c r="O2173" s="905"/>
      <c r="P2173" s="36" t="str">
        <f>IF(N2171&gt;0,"xx",IF(N2171&gt;0,"xy",""))</f>
        <v/>
      </c>
      <c r="Q2173" s="317" t="str">
        <f t="shared" si="567"/>
        <v/>
      </c>
      <c r="R2173" s="317" t="str">
        <f t="shared" si="568"/>
        <v/>
      </c>
      <c r="S2173" s="317" t="str">
        <f t="shared" si="569"/>
        <v/>
      </c>
      <c r="V2173" s="314">
        <f>SUM('RES. CENTRAL PARK:RUA_FINAL'!N2173)</f>
        <v>0</v>
      </c>
      <c r="W2173" s="315">
        <f t="shared" si="571"/>
        <v>0</v>
      </c>
    </row>
    <row r="2174" spans="1:23" ht="13.5" hidden="1" thickBot="1" x14ac:dyDescent="0.25">
      <c r="A2174" s="63" t="s">
        <v>147</v>
      </c>
      <c r="B2174" s="895" t="s">
        <v>147</v>
      </c>
      <c r="C2174" s="896"/>
      <c r="D2174" s="906" t="s">
        <v>233</v>
      </c>
      <c r="E2174" s="907">
        <f>DMT!$F$10</f>
        <v>0.2</v>
      </c>
      <c r="F2174" s="908">
        <f>VLOOKUP(D2171,'ENSAIOS DE ORÇAMENTO'!$C$5:$L$81,6,FALSE)</f>
        <v>0.38805600000000001</v>
      </c>
      <c r="G2174" s="949">
        <f t="shared" si="581"/>
        <v>1.1230340640000001</v>
      </c>
      <c r="H2174" s="901"/>
      <c r="I2174" s="901"/>
      <c r="J2174" s="902">
        <f t="shared" si="577"/>
        <v>0</v>
      </c>
      <c r="K2174" s="903"/>
      <c r="L2174" s="1039">
        <f>ROUND(SUM('RES. CENTRAL PARK:RUA_FINAL'!L2174),2)</f>
        <v>0</v>
      </c>
      <c r="M2174" s="1039">
        <f t="shared" si="565"/>
        <v>0</v>
      </c>
      <c r="N2174" s="893">
        <f t="shared" si="566"/>
        <v>0</v>
      </c>
      <c r="O2174" s="905"/>
      <c r="P2174" s="36" t="str">
        <f>IF(N2171&gt;0,"xx",IF(N2171&gt;0,"xy",""))</f>
        <v/>
      </c>
      <c r="Q2174" s="317" t="str">
        <f t="shared" si="567"/>
        <v/>
      </c>
      <c r="R2174" s="317" t="str">
        <f t="shared" si="568"/>
        <v/>
      </c>
      <c r="S2174" s="317" t="str">
        <f t="shared" si="569"/>
        <v/>
      </c>
      <c r="V2174" s="314">
        <f>SUM('RES. CENTRAL PARK:RUA_FINAL'!N2174)</f>
        <v>0</v>
      </c>
      <c r="W2174" s="315">
        <f t="shared" si="571"/>
        <v>0</v>
      </c>
    </row>
    <row r="2175" spans="1:23" ht="13.5" hidden="1" thickBot="1" x14ac:dyDescent="0.25">
      <c r="A2175" s="63" t="s">
        <v>147</v>
      </c>
      <c r="B2175" s="895" t="s">
        <v>147</v>
      </c>
      <c r="C2175" s="896"/>
      <c r="D2175" s="906" t="s">
        <v>365</v>
      </c>
      <c r="E2175" s="907">
        <f>DMT!$F$32</f>
        <v>10</v>
      </c>
      <c r="F2175" s="908">
        <f>VLOOKUP(D2171,'ENSAIOS DE ORÇAMENTO'!$C$5:$L$81,3,FALSE)</f>
        <v>2.780802</v>
      </c>
      <c r="G2175" s="949">
        <f t="shared" si="581"/>
        <v>37.207130760000005</v>
      </c>
      <c r="H2175" s="901"/>
      <c r="I2175" s="901"/>
      <c r="J2175" s="902">
        <f t="shared" si="577"/>
        <v>0</v>
      </c>
      <c r="K2175" s="903"/>
      <c r="L2175" s="1039">
        <f>ROUND(SUM('RES. CENTRAL PARK:RUA_FINAL'!L2175),2)</f>
        <v>0</v>
      </c>
      <c r="M2175" s="1039">
        <f t="shared" si="565"/>
        <v>0</v>
      </c>
      <c r="N2175" s="893">
        <f t="shared" si="566"/>
        <v>0</v>
      </c>
      <c r="O2175" s="905"/>
      <c r="P2175" s="36" t="str">
        <f>IF(N2171&gt;0,"xx",IF(N2171&gt;0,"xy",""))</f>
        <v/>
      </c>
      <c r="Q2175" s="317" t="str">
        <f t="shared" si="567"/>
        <v/>
      </c>
      <c r="R2175" s="317" t="str">
        <f t="shared" si="568"/>
        <v/>
      </c>
      <c r="S2175" s="317" t="str">
        <f t="shared" si="569"/>
        <v/>
      </c>
      <c r="V2175" s="314">
        <f>SUM('RES. CENTRAL PARK:RUA_FINAL'!N2175)</f>
        <v>0</v>
      </c>
      <c r="W2175" s="315">
        <f t="shared" si="571"/>
        <v>0</v>
      </c>
    </row>
    <row r="2176" spans="1:23" ht="13.5" hidden="1" thickBot="1" x14ac:dyDescent="0.25">
      <c r="A2176" s="63" t="s">
        <v>147</v>
      </c>
      <c r="B2176" s="895" t="s">
        <v>147</v>
      </c>
      <c r="C2176" s="896"/>
      <c r="D2176" s="906" t="s">
        <v>366</v>
      </c>
      <c r="E2176" s="907">
        <f>DMT!$D$18</f>
        <v>353</v>
      </c>
      <c r="F2176" s="908">
        <f>VLOOKUP(D2171,'ENSAIOS DE ORÇAMENTO'!$C$5:$L$81,10,FALSE)</f>
        <v>9.2693399999999995E-2</v>
      </c>
      <c r="G2176" s="909">
        <f>IF(E2176&lt;=30,(0.78*E2176+7.82)*F2176,((0.78*30+7.82)+0.78*(E2176-30))*F2176)</f>
        <v>26.247063144000002</v>
      </c>
      <c r="H2176" s="901"/>
      <c r="I2176" s="901"/>
      <c r="J2176" s="902">
        <f t="shared" si="577"/>
        <v>0</v>
      </c>
      <c r="K2176" s="903"/>
      <c r="L2176" s="1039">
        <f>ROUND(SUM('RES. CENTRAL PARK:RUA_FINAL'!L2176),2)</f>
        <v>0</v>
      </c>
      <c r="M2176" s="1039">
        <f t="shared" si="565"/>
        <v>0</v>
      </c>
      <c r="N2176" s="893">
        <f t="shared" si="566"/>
        <v>0</v>
      </c>
      <c r="O2176" s="905"/>
      <c r="P2176" s="36" t="str">
        <f>IF(N2171&gt;0,"xx",IF(N2171&gt;0,"xy",""))</f>
        <v/>
      </c>
      <c r="Q2176" s="317" t="str">
        <f t="shared" si="567"/>
        <v/>
      </c>
      <c r="R2176" s="317" t="str">
        <f t="shared" si="568"/>
        <v/>
      </c>
      <c r="S2176" s="317" t="str">
        <f t="shared" si="569"/>
        <v/>
      </c>
      <c r="V2176" s="314">
        <f>SUM('RES. CENTRAL PARK:RUA_FINAL'!N2176)</f>
        <v>0</v>
      </c>
      <c r="W2176" s="315">
        <f t="shared" si="571"/>
        <v>0</v>
      </c>
    </row>
    <row r="2177" spans="1:23" ht="13.5" hidden="1" thickBot="1" x14ac:dyDescent="0.25">
      <c r="A2177" s="63" t="s">
        <v>100</v>
      </c>
      <c r="B2177" s="895" t="s">
        <v>100</v>
      </c>
      <c r="C2177" s="896" t="s">
        <v>184</v>
      </c>
      <c r="D2177" s="906" t="s">
        <v>86</v>
      </c>
      <c r="E2177" s="907"/>
      <c r="F2177" s="908"/>
      <c r="G2177" s="912">
        <f>SUM(G2178:G2182)</f>
        <v>485.84356440400001</v>
      </c>
      <c r="H2177" s="901">
        <v>4019.56</v>
      </c>
      <c r="I2177" s="901">
        <f>IF(ISBLANK(H2177),"",SUM(G2177:H2177))</f>
        <v>4505.4035644039996</v>
      </c>
      <c r="J2177" s="902">
        <f t="shared" si="577"/>
        <v>5409.64</v>
      </c>
      <c r="K2177" s="903" t="s">
        <v>15</v>
      </c>
      <c r="L2177" s="1039">
        <f>ROUND(SUM('RES. CENTRAL PARK:RUA_FINAL'!L2177),2)</f>
        <v>0</v>
      </c>
      <c r="M2177" s="1039">
        <f t="shared" si="565"/>
        <v>0</v>
      </c>
      <c r="N2177" s="893">
        <f t="shared" si="566"/>
        <v>0</v>
      </c>
      <c r="O2177" s="905"/>
      <c r="Q2177" s="317" t="str">
        <f t="shared" si="567"/>
        <v/>
      </c>
      <c r="R2177" s="317" t="str">
        <f t="shared" si="568"/>
        <v/>
      </c>
      <c r="S2177" s="317" t="str">
        <f t="shared" si="569"/>
        <v/>
      </c>
      <c r="V2177" s="314">
        <f>SUM('RES. CENTRAL PARK:RUA_FINAL'!N2177)</f>
        <v>0</v>
      </c>
      <c r="W2177" s="315">
        <f t="shared" si="571"/>
        <v>0</v>
      </c>
    </row>
    <row r="2178" spans="1:23" ht="13.5" hidden="1" thickBot="1" x14ac:dyDescent="0.25">
      <c r="A2178" s="63" t="s">
        <v>147</v>
      </c>
      <c r="B2178" s="895" t="s">
        <v>147</v>
      </c>
      <c r="C2178" s="896"/>
      <c r="D2178" s="906" t="s">
        <v>190</v>
      </c>
      <c r="E2178" s="907">
        <f>DMT!$D$20</f>
        <v>308</v>
      </c>
      <c r="F2178" s="908">
        <f>VLOOKUP(D2177,'ENSAIOS DE ORÇAMENTO'!$C$5:$L$81,4,FALSE)</f>
        <v>0.33101039999999993</v>
      </c>
      <c r="G2178" s="909">
        <f>IF(E2178&lt;=30,(0.78*E2178+7.82)*F2178,((0.78*30+7.82)+0.78*(E2178-30))*F2178)</f>
        <v>82.110439823999982</v>
      </c>
      <c r="H2178" s="901"/>
      <c r="I2178" s="901"/>
      <c r="J2178" s="902">
        <f t="shared" si="577"/>
        <v>0</v>
      </c>
      <c r="K2178" s="903"/>
      <c r="L2178" s="1039">
        <f>ROUND(SUM('RES. CENTRAL PARK:RUA_FINAL'!L2178),2)</f>
        <v>0</v>
      </c>
      <c r="M2178" s="1039">
        <f t="shared" si="565"/>
        <v>0</v>
      </c>
      <c r="N2178" s="893">
        <f t="shared" si="566"/>
        <v>0</v>
      </c>
      <c r="O2178" s="905"/>
      <c r="P2178" s="36" t="str">
        <f>IF(N2177&gt;0,"xx",IF(N2177&gt;0,"xy",""))</f>
        <v/>
      </c>
      <c r="Q2178" s="317" t="str">
        <f t="shared" ref="Q2178:Q2225" si="582">IF(P2178="X","x",IF(P2178="xx","x",IF(P2178="xy","x",IF(P2178="y","x",IF(OR(N2178&gt;0,N2178&gt;0),"x","")))))</f>
        <v/>
      </c>
      <c r="R2178" s="317" t="str">
        <f t="shared" ref="R2178:R2225" si="583">IF(P2178="X","x",IF(P2178="y","x",IF(P2178="xx","x",IF(N2178&gt;0,"x",""))))</f>
        <v/>
      </c>
      <c r="S2178" s="317" t="str">
        <f t="shared" ref="S2178:S2225" si="584">IF(P2178="X","x",IF(N2178&gt;0,"x",""))</f>
        <v/>
      </c>
      <c r="V2178" s="314">
        <f>SUM('RES. CENTRAL PARK:RUA_FINAL'!N2178)</f>
        <v>0</v>
      </c>
      <c r="W2178" s="315">
        <f t="shared" si="571"/>
        <v>0</v>
      </c>
    </row>
    <row r="2179" spans="1:23" ht="13.5" hidden="1" thickBot="1" x14ac:dyDescent="0.25">
      <c r="A2179" s="63" t="s">
        <v>147</v>
      </c>
      <c r="B2179" s="895" t="s">
        <v>147</v>
      </c>
      <c r="C2179" s="896"/>
      <c r="D2179" s="906" t="s">
        <v>229</v>
      </c>
      <c r="E2179" s="907">
        <f>DMT!$F$8</f>
        <v>150</v>
      </c>
      <c r="F2179" s="908">
        <f>VLOOKUP(D2177,'ENSAIOS DE ORÇAMENTO'!$C$5:$L$81,5,FALSE)</f>
        <v>1.9795149999999999</v>
      </c>
      <c r="G2179" s="949">
        <f t="shared" ref="G2179:G2181" si="585">IF(E2179&lt;=30,(1.07*E2179+2.68)*F2179,((1.07*30+2.68)+1.07*(E2179-30))*F2179)</f>
        <v>323.01725770000002</v>
      </c>
      <c r="H2179" s="901"/>
      <c r="I2179" s="901"/>
      <c r="J2179" s="902">
        <f t="shared" si="577"/>
        <v>0</v>
      </c>
      <c r="K2179" s="903"/>
      <c r="L2179" s="1039">
        <f>ROUND(SUM('RES. CENTRAL PARK:RUA_FINAL'!L2179),2)</f>
        <v>0</v>
      </c>
      <c r="M2179" s="1039">
        <f t="shared" si="565"/>
        <v>0</v>
      </c>
      <c r="N2179" s="893">
        <f t="shared" si="566"/>
        <v>0</v>
      </c>
      <c r="O2179" s="905"/>
      <c r="P2179" s="36" t="str">
        <f>IF(N2177&gt;0,"xx",IF(N2177&gt;0,"xy",""))</f>
        <v/>
      </c>
      <c r="Q2179" s="317" t="str">
        <f t="shared" si="582"/>
        <v/>
      </c>
      <c r="R2179" s="317" t="str">
        <f t="shared" si="583"/>
        <v/>
      </c>
      <c r="S2179" s="317" t="str">
        <f t="shared" si="584"/>
        <v/>
      </c>
      <c r="V2179" s="314">
        <f>SUM('RES. CENTRAL PARK:RUA_FINAL'!N2179)</f>
        <v>0</v>
      </c>
      <c r="W2179" s="315">
        <f t="shared" si="571"/>
        <v>0</v>
      </c>
    </row>
    <row r="2180" spans="1:23" ht="13.5" hidden="1" thickBot="1" x14ac:dyDescent="0.25">
      <c r="A2180" s="63" t="s">
        <v>147</v>
      </c>
      <c r="B2180" s="895" t="s">
        <v>147</v>
      </c>
      <c r="C2180" s="896"/>
      <c r="D2180" s="906" t="s">
        <v>233</v>
      </c>
      <c r="E2180" s="907">
        <f>DMT!$F$10</f>
        <v>0.2</v>
      </c>
      <c r="F2180" s="908">
        <f>VLOOKUP(D2177,'ENSAIOS DE ORÇAMENTO'!$C$5:$L$81,6,FALSE)</f>
        <v>0.38805600000000001</v>
      </c>
      <c r="G2180" s="949">
        <f t="shared" si="585"/>
        <v>1.1230340640000001</v>
      </c>
      <c r="H2180" s="901"/>
      <c r="I2180" s="901"/>
      <c r="J2180" s="902">
        <f t="shared" si="577"/>
        <v>0</v>
      </c>
      <c r="K2180" s="903"/>
      <c r="L2180" s="1039">
        <f>ROUND(SUM('RES. CENTRAL PARK:RUA_FINAL'!L2180),2)</f>
        <v>0</v>
      </c>
      <c r="M2180" s="1039">
        <f t="shared" si="565"/>
        <v>0</v>
      </c>
      <c r="N2180" s="893">
        <f t="shared" si="566"/>
        <v>0</v>
      </c>
      <c r="O2180" s="905"/>
      <c r="P2180" s="36" t="str">
        <f>IF(N2177&gt;0,"xx",IF(N2177&gt;0,"xy",""))</f>
        <v/>
      </c>
      <c r="Q2180" s="317" t="str">
        <f t="shared" si="582"/>
        <v/>
      </c>
      <c r="R2180" s="317" t="str">
        <f t="shared" si="583"/>
        <v/>
      </c>
      <c r="S2180" s="317" t="str">
        <f t="shared" si="584"/>
        <v/>
      </c>
      <c r="V2180" s="314">
        <f>SUM('RES. CENTRAL PARK:RUA_FINAL'!N2180)</f>
        <v>0</v>
      </c>
      <c r="W2180" s="315">
        <f t="shared" si="571"/>
        <v>0</v>
      </c>
    </row>
    <row r="2181" spans="1:23" ht="13.5" hidden="1" thickBot="1" x14ac:dyDescent="0.25">
      <c r="A2181" s="63" t="s">
        <v>147</v>
      </c>
      <c r="B2181" s="895" t="s">
        <v>147</v>
      </c>
      <c r="C2181" s="896"/>
      <c r="D2181" s="906" t="s">
        <v>365</v>
      </c>
      <c r="E2181" s="907">
        <f>DMT!$F$32</f>
        <v>10</v>
      </c>
      <c r="F2181" s="908">
        <f>VLOOKUP(D2177,'ENSAIOS DE ORÇAMENTO'!$C$5:$L$81,3,FALSE)</f>
        <v>3.4880579999999992</v>
      </c>
      <c r="G2181" s="949">
        <f t="shared" si="585"/>
        <v>46.670216039999993</v>
      </c>
      <c r="H2181" s="901"/>
      <c r="I2181" s="901"/>
      <c r="J2181" s="902">
        <f t="shared" si="577"/>
        <v>0</v>
      </c>
      <c r="K2181" s="903"/>
      <c r="L2181" s="1039">
        <f>ROUND(SUM('RES. CENTRAL PARK:RUA_FINAL'!L2181),2)</f>
        <v>0</v>
      </c>
      <c r="M2181" s="1039">
        <f t="shared" si="565"/>
        <v>0</v>
      </c>
      <c r="N2181" s="893">
        <f t="shared" si="566"/>
        <v>0</v>
      </c>
      <c r="O2181" s="905"/>
      <c r="P2181" s="36" t="str">
        <f>IF(N2177&gt;0,"xx",IF(N2177&gt;0,"xy",""))</f>
        <v/>
      </c>
      <c r="Q2181" s="317" t="str">
        <f t="shared" si="582"/>
        <v/>
      </c>
      <c r="R2181" s="317" t="str">
        <f t="shared" si="583"/>
        <v/>
      </c>
      <c r="S2181" s="317" t="str">
        <f t="shared" si="584"/>
        <v/>
      </c>
      <c r="V2181" s="314">
        <f>SUM('RES. CENTRAL PARK:RUA_FINAL'!N2181)</f>
        <v>0</v>
      </c>
      <c r="W2181" s="315">
        <f t="shared" si="571"/>
        <v>0</v>
      </c>
    </row>
    <row r="2182" spans="1:23" ht="13.5" hidden="1" thickBot="1" x14ac:dyDescent="0.25">
      <c r="A2182" s="63" t="s">
        <v>147</v>
      </c>
      <c r="B2182" s="895" t="s">
        <v>147</v>
      </c>
      <c r="C2182" s="896"/>
      <c r="D2182" s="906" t="s">
        <v>366</v>
      </c>
      <c r="E2182" s="907">
        <f>DMT!$D$18</f>
        <v>353</v>
      </c>
      <c r="F2182" s="908">
        <f>VLOOKUP(D2177,'ENSAIOS DE ORÇAMENTO'!$C$5:$L$81,10,FALSE)</f>
        <v>0.11626859999999997</v>
      </c>
      <c r="G2182" s="909">
        <f>IF(E2182&lt;=30,(0.78*E2182+7.82)*F2182,((0.78*30+7.82)+0.78*(E2182-30))*F2182)</f>
        <v>32.922616775999998</v>
      </c>
      <c r="H2182" s="901"/>
      <c r="I2182" s="901"/>
      <c r="J2182" s="902">
        <f t="shared" si="577"/>
        <v>0</v>
      </c>
      <c r="K2182" s="903"/>
      <c r="L2182" s="1039">
        <f>ROUND(SUM('RES. CENTRAL PARK:RUA_FINAL'!L2182),2)</f>
        <v>0</v>
      </c>
      <c r="M2182" s="1039">
        <f t="shared" si="565"/>
        <v>0</v>
      </c>
      <c r="N2182" s="893">
        <f t="shared" si="566"/>
        <v>0</v>
      </c>
      <c r="O2182" s="905"/>
      <c r="P2182" s="36" t="str">
        <f>IF(N2177&gt;0,"xx",IF(N2177&gt;0,"xy",""))</f>
        <v/>
      </c>
      <c r="Q2182" s="317" t="str">
        <f t="shared" si="582"/>
        <v/>
      </c>
      <c r="R2182" s="317" t="str">
        <f t="shared" si="583"/>
        <v/>
      </c>
      <c r="S2182" s="317" t="str">
        <f t="shared" si="584"/>
        <v/>
      </c>
      <c r="V2182" s="314">
        <f>SUM('RES. CENTRAL PARK:RUA_FINAL'!N2182)</f>
        <v>0</v>
      </c>
      <c r="W2182" s="315">
        <f t="shared" si="571"/>
        <v>0</v>
      </c>
    </row>
    <row r="2183" spans="1:23" ht="13.5" hidden="1" thickBot="1" x14ac:dyDescent="0.25">
      <c r="A2183" s="63" t="s">
        <v>101</v>
      </c>
      <c r="B2183" s="895" t="s">
        <v>101</v>
      </c>
      <c r="C2183" s="896" t="s">
        <v>184</v>
      </c>
      <c r="D2183" s="906" t="s">
        <v>371</v>
      </c>
      <c r="E2183" s="907"/>
      <c r="F2183" s="908"/>
      <c r="G2183" s="912">
        <f>SUM(G2184:G2186)</f>
        <v>605.97564743200007</v>
      </c>
      <c r="H2183" s="901">
        <v>2212.59</v>
      </c>
      <c r="I2183" s="901">
        <f>IF(ISBLANK(H2183),"",SUM(G2183:H2183))</f>
        <v>2818.5656474320003</v>
      </c>
      <c r="J2183" s="902">
        <f t="shared" si="577"/>
        <v>3384.25</v>
      </c>
      <c r="K2183" s="903" t="s">
        <v>15</v>
      </c>
      <c r="L2183" s="1039">
        <f>ROUND(SUM('RES. CENTRAL PARK:RUA_FINAL'!L2183),2)</f>
        <v>0</v>
      </c>
      <c r="M2183" s="1039">
        <f t="shared" si="565"/>
        <v>0</v>
      </c>
      <c r="N2183" s="893">
        <f t="shared" si="566"/>
        <v>0</v>
      </c>
      <c r="O2183" s="905"/>
      <c r="Q2183" s="317" t="str">
        <f t="shared" si="582"/>
        <v/>
      </c>
      <c r="R2183" s="317" t="str">
        <f t="shared" si="583"/>
        <v/>
      </c>
      <c r="S2183" s="317" t="str">
        <f t="shared" si="584"/>
        <v/>
      </c>
      <c r="V2183" s="314">
        <f>SUM('RES. CENTRAL PARK:RUA_FINAL'!N2183)</f>
        <v>0</v>
      </c>
      <c r="W2183" s="315">
        <f t="shared" si="571"/>
        <v>0</v>
      </c>
    </row>
    <row r="2184" spans="1:23" ht="13.5" hidden="1" thickBot="1" x14ac:dyDescent="0.25">
      <c r="A2184" s="63" t="s">
        <v>147</v>
      </c>
      <c r="B2184" s="895" t="s">
        <v>147</v>
      </c>
      <c r="C2184" s="896"/>
      <c r="D2184" s="906" t="s">
        <v>190</v>
      </c>
      <c r="E2184" s="907">
        <f>DMT!$D$20</f>
        <v>308</v>
      </c>
      <c r="F2184" s="908">
        <f>VLOOKUP(D2183,'ENSAIOS DE ORÇAMENTO'!$C$5:$L$81,4,FALSE)</f>
        <v>0.82205400000000006</v>
      </c>
      <c r="G2184" s="909">
        <f>IF(E2184&lt;=30,(0.78*E2184+7.82)*F2184,((0.78*30+7.82)+0.78*(E2184-30))*F2184)</f>
        <v>203.91871524000001</v>
      </c>
      <c r="H2184" s="901"/>
      <c r="I2184" s="901"/>
      <c r="J2184" s="902">
        <f t="shared" si="577"/>
        <v>0</v>
      </c>
      <c r="K2184" s="903"/>
      <c r="L2184" s="1039">
        <f>ROUND(SUM('RES. CENTRAL PARK:RUA_FINAL'!L2184),2)</f>
        <v>0</v>
      </c>
      <c r="M2184" s="1039">
        <f t="shared" si="565"/>
        <v>0</v>
      </c>
      <c r="N2184" s="893">
        <f t="shared" si="566"/>
        <v>0</v>
      </c>
      <c r="O2184" s="905"/>
      <c r="P2184" s="36" t="str">
        <f>IF(N2183&gt;0,"xx",IF(N2183&gt;0,"xy",""))</f>
        <v/>
      </c>
      <c r="Q2184" s="317" t="str">
        <f t="shared" si="582"/>
        <v/>
      </c>
      <c r="R2184" s="317" t="str">
        <f t="shared" si="583"/>
        <v/>
      </c>
      <c r="S2184" s="317" t="str">
        <f t="shared" si="584"/>
        <v/>
      </c>
      <c r="V2184" s="314">
        <f>SUM('RES. CENTRAL PARK:RUA_FINAL'!N2184)</f>
        <v>0</v>
      </c>
      <c r="W2184" s="315">
        <f t="shared" si="571"/>
        <v>0</v>
      </c>
    </row>
    <row r="2185" spans="1:23" ht="13.5" hidden="1" thickBot="1" x14ac:dyDescent="0.25">
      <c r="A2185" s="63" t="s">
        <v>147</v>
      </c>
      <c r="B2185" s="895" t="s">
        <v>147</v>
      </c>
      <c r="C2185" s="896"/>
      <c r="D2185" s="906" t="s">
        <v>229</v>
      </c>
      <c r="E2185" s="907">
        <f>DMT!$F$8</f>
        <v>150</v>
      </c>
      <c r="F2185" s="908">
        <f>VLOOKUP(D2183,'ENSAIOS DE ORÇAMENTO'!$C$5:$L$81,5,FALSE)</f>
        <v>2.4129430000000003</v>
      </c>
      <c r="G2185" s="949">
        <f t="shared" ref="G2185:G2186" si="586">IF(E2185&lt;=30,(1.07*E2185+2.68)*F2185,((1.07*30+2.68)+1.07*(E2185-30))*F2185)</f>
        <v>393.74403874000006</v>
      </c>
      <c r="H2185" s="901"/>
      <c r="I2185" s="901"/>
      <c r="J2185" s="902">
        <f t="shared" si="577"/>
        <v>0</v>
      </c>
      <c r="K2185" s="903"/>
      <c r="L2185" s="1039">
        <f>ROUND(SUM('RES. CENTRAL PARK:RUA_FINAL'!L2185),2)</f>
        <v>0</v>
      </c>
      <c r="M2185" s="1039">
        <f t="shared" si="565"/>
        <v>0</v>
      </c>
      <c r="N2185" s="893">
        <f t="shared" si="566"/>
        <v>0</v>
      </c>
      <c r="O2185" s="905"/>
      <c r="P2185" s="36" t="str">
        <f>IF(N2183&gt;0,"xx",IF(N2183&gt;0,"xy",""))</f>
        <v/>
      </c>
      <c r="Q2185" s="317" t="str">
        <f t="shared" si="582"/>
        <v/>
      </c>
      <c r="R2185" s="317" t="str">
        <f t="shared" si="583"/>
        <v/>
      </c>
      <c r="S2185" s="317" t="str">
        <f t="shared" si="584"/>
        <v/>
      </c>
      <c r="V2185" s="314">
        <f>SUM('RES. CENTRAL PARK:RUA_FINAL'!N2185)</f>
        <v>0</v>
      </c>
      <c r="W2185" s="315">
        <f t="shared" si="571"/>
        <v>0</v>
      </c>
    </row>
    <row r="2186" spans="1:23" ht="13.5" hidden="1" thickBot="1" x14ac:dyDescent="0.25">
      <c r="A2186" s="63" t="s">
        <v>147</v>
      </c>
      <c r="B2186" s="895" t="s">
        <v>147</v>
      </c>
      <c r="C2186" s="896"/>
      <c r="D2186" s="906" t="s">
        <v>233</v>
      </c>
      <c r="E2186" s="907">
        <f>DMT!$F$10</f>
        <v>0.2</v>
      </c>
      <c r="F2186" s="908">
        <f>VLOOKUP(D2183,'ENSAIOS DE ORÇAMENTO'!$C$5:$L$81,6,FALSE)</f>
        <v>2.8724580000000004</v>
      </c>
      <c r="G2186" s="949">
        <f t="shared" si="586"/>
        <v>8.3128934520000008</v>
      </c>
      <c r="H2186" s="901"/>
      <c r="I2186" s="901"/>
      <c r="J2186" s="902">
        <f t="shared" si="577"/>
        <v>0</v>
      </c>
      <c r="K2186" s="903"/>
      <c r="L2186" s="1039">
        <f>ROUND(SUM('RES. CENTRAL PARK:RUA_FINAL'!L2186),2)</f>
        <v>0</v>
      </c>
      <c r="M2186" s="1039">
        <f t="shared" si="565"/>
        <v>0</v>
      </c>
      <c r="N2186" s="893">
        <f t="shared" si="566"/>
        <v>0</v>
      </c>
      <c r="O2186" s="905"/>
      <c r="P2186" s="36" t="str">
        <f>IF(N2183&gt;0,"xx",IF(N2183&gt;0,"xy",""))</f>
        <v/>
      </c>
      <c r="Q2186" s="317" t="str">
        <f t="shared" si="582"/>
        <v/>
      </c>
      <c r="R2186" s="317" t="str">
        <f t="shared" si="583"/>
        <v/>
      </c>
      <c r="S2186" s="317" t="str">
        <f t="shared" si="584"/>
        <v/>
      </c>
      <c r="V2186" s="314">
        <f>SUM('RES. CENTRAL PARK:RUA_FINAL'!N2186)</f>
        <v>0</v>
      </c>
      <c r="W2186" s="315">
        <f t="shared" si="571"/>
        <v>0</v>
      </c>
    </row>
    <row r="2187" spans="1:23" ht="13.5" hidden="1" thickBot="1" x14ac:dyDescent="0.25">
      <c r="A2187" s="63" t="s">
        <v>102</v>
      </c>
      <c r="B2187" s="895" t="s">
        <v>102</v>
      </c>
      <c r="C2187" s="896" t="s">
        <v>184</v>
      </c>
      <c r="D2187" s="906" t="s">
        <v>372</v>
      </c>
      <c r="E2187" s="907"/>
      <c r="F2187" s="908"/>
      <c r="G2187" s="912">
        <f>SUM(G2188:G2190)</f>
        <v>753.54694427199991</v>
      </c>
      <c r="H2187" s="901">
        <v>2568.52</v>
      </c>
      <c r="I2187" s="901">
        <f>IF(ISBLANK(H2187),"",SUM(G2187:H2187))</f>
        <v>3322.066944272</v>
      </c>
      <c r="J2187" s="902">
        <f t="shared" si="577"/>
        <v>3988.81</v>
      </c>
      <c r="K2187" s="903" t="s">
        <v>15</v>
      </c>
      <c r="L2187" s="1039">
        <f>ROUND(SUM('RES. CENTRAL PARK:RUA_FINAL'!L2187),2)</f>
        <v>0</v>
      </c>
      <c r="M2187" s="1039">
        <f t="shared" si="565"/>
        <v>0</v>
      </c>
      <c r="N2187" s="893">
        <f t="shared" si="566"/>
        <v>0</v>
      </c>
      <c r="O2187" s="905"/>
      <c r="Q2187" s="317" t="str">
        <f t="shared" si="582"/>
        <v/>
      </c>
      <c r="R2187" s="317" t="str">
        <f t="shared" si="583"/>
        <v/>
      </c>
      <c r="S2187" s="317" t="str">
        <f t="shared" si="584"/>
        <v/>
      </c>
      <c r="V2187" s="314">
        <f>SUM('RES. CENTRAL PARK:RUA_FINAL'!N2187)</f>
        <v>0</v>
      </c>
      <c r="W2187" s="315">
        <f t="shared" si="571"/>
        <v>0</v>
      </c>
    </row>
    <row r="2188" spans="1:23" ht="13.5" hidden="1" thickBot="1" x14ac:dyDescent="0.25">
      <c r="A2188" s="63" t="s">
        <v>147</v>
      </c>
      <c r="B2188" s="895" t="s">
        <v>147</v>
      </c>
      <c r="C2188" s="896"/>
      <c r="D2188" s="906" t="s">
        <v>190</v>
      </c>
      <c r="E2188" s="907">
        <f>DMT!$D$20</f>
        <v>308</v>
      </c>
      <c r="F2188" s="908">
        <f>VLOOKUP(D2187,'ENSAIOS DE ORÇAMENTO'!$C$5:$L$81,4,FALSE)</f>
        <v>1.028964</v>
      </c>
      <c r="G2188" s="909">
        <f>IF(E2188&lt;=30,(0.78*E2188+7.82)*F2188,((0.78*30+7.82)+0.78*(E2188-30))*F2188)</f>
        <v>255.24480983999999</v>
      </c>
      <c r="H2188" s="901"/>
      <c r="I2188" s="901"/>
      <c r="J2188" s="902">
        <f t="shared" si="577"/>
        <v>0</v>
      </c>
      <c r="K2188" s="903"/>
      <c r="L2188" s="1039">
        <f>ROUND(SUM('RES. CENTRAL PARK:RUA_FINAL'!L2188),2)</f>
        <v>0</v>
      </c>
      <c r="M2188" s="1039">
        <f t="shared" si="565"/>
        <v>0</v>
      </c>
      <c r="N2188" s="893">
        <f t="shared" si="566"/>
        <v>0</v>
      </c>
      <c r="O2188" s="905"/>
      <c r="P2188" s="36" t="str">
        <f>IF(N2187&gt;0,"xx",IF(N2187&gt;0,"xy",""))</f>
        <v/>
      </c>
      <c r="Q2188" s="317" t="str">
        <f t="shared" si="582"/>
        <v/>
      </c>
      <c r="R2188" s="317" t="str">
        <f t="shared" si="583"/>
        <v/>
      </c>
      <c r="S2188" s="317" t="str">
        <f t="shared" si="584"/>
        <v/>
      </c>
      <c r="V2188" s="314">
        <f>SUM('RES. CENTRAL PARK:RUA_FINAL'!N2188)</f>
        <v>0</v>
      </c>
      <c r="W2188" s="315">
        <f t="shared" si="571"/>
        <v>0</v>
      </c>
    </row>
    <row r="2189" spans="1:23" ht="13.5" hidden="1" thickBot="1" x14ac:dyDescent="0.25">
      <c r="A2189" s="63" t="s">
        <v>147</v>
      </c>
      <c r="B2189" s="895" t="s">
        <v>147</v>
      </c>
      <c r="C2189" s="896"/>
      <c r="D2189" s="906" t="s">
        <v>229</v>
      </c>
      <c r="E2189" s="907">
        <f>DMT!$F$8</f>
        <v>150</v>
      </c>
      <c r="F2189" s="908">
        <f>VLOOKUP(D2187,'ENSAIOS DE ORÇAMENTO'!$C$5:$L$81,5,FALSE)</f>
        <v>2.9904099999999998</v>
      </c>
      <c r="G2189" s="949">
        <f t="shared" ref="G2189:G2190" si="587">IF(E2189&lt;=30,(1.07*E2189+2.68)*F2189,((1.07*30+2.68)+1.07*(E2189-30))*F2189)</f>
        <v>487.9751038</v>
      </c>
      <c r="H2189" s="901"/>
      <c r="I2189" s="901"/>
      <c r="J2189" s="902">
        <f t="shared" si="577"/>
        <v>0</v>
      </c>
      <c r="K2189" s="903"/>
      <c r="L2189" s="1039">
        <f>ROUND(SUM('RES. CENTRAL PARK:RUA_FINAL'!L2189),2)</f>
        <v>0</v>
      </c>
      <c r="M2189" s="1039">
        <f t="shared" si="565"/>
        <v>0</v>
      </c>
      <c r="N2189" s="893">
        <f t="shared" si="566"/>
        <v>0</v>
      </c>
      <c r="O2189" s="905"/>
      <c r="P2189" s="36" t="str">
        <f>IF(N2187&gt;0,"xx",IF(N2187&gt;0,"xy",""))</f>
        <v/>
      </c>
      <c r="Q2189" s="317" t="str">
        <f t="shared" si="582"/>
        <v/>
      </c>
      <c r="R2189" s="317" t="str">
        <f t="shared" si="583"/>
        <v/>
      </c>
      <c r="S2189" s="317" t="str">
        <f t="shared" si="584"/>
        <v/>
      </c>
      <c r="V2189" s="314">
        <f>SUM('RES. CENTRAL PARK:RUA_FINAL'!N2189)</f>
        <v>0</v>
      </c>
      <c r="W2189" s="315">
        <f t="shared" si="571"/>
        <v>0</v>
      </c>
    </row>
    <row r="2190" spans="1:23" ht="13.5" hidden="1" thickBot="1" x14ac:dyDescent="0.25">
      <c r="A2190" s="63" t="s">
        <v>147</v>
      </c>
      <c r="B2190" s="895" t="s">
        <v>147</v>
      </c>
      <c r="C2190" s="896"/>
      <c r="D2190" s="906" t="s">
        <v>233</v>
      </c>
      <c r="E2190" s="907">
        <f>DMT!$F$10</f>
        <v>0.2</v>
      </c>
      <c r="F2190" s="908">
        <f>VLOOKUP(D2187,'ENSAIOS DE ORÇAMENTO'!$C$5:$L$81,6,FALSE)</f>
        <v>3.5684279999999999</v>
      </c>
      <c r="G2190" s="949">
        <f t="shared" si="587"/>
        <v>10.327030632</v>
      </c>
      <c r="H2190" s="901"/>
      <c r="I2190" s="901"/>
      <c r="J2190" s="902">
        <f t="shared" si="577"/>
        <v>0</v>
      </c>
      <c r="K2190" s="903"/>
      <c r="L2190" s="1039">
        <f>ROUND(SUM('RES. CENTRAL PARK:RUA_FINAL'!L2190),2)</f>
        <v>0</v>
      </c>
      <c r="M2190" s="1039">
        <f t="shared" si="565"/>
        <v>0</v>
      </c>
      <c r="N2190" s="893">
        <f t="shared" si="566"/>
        <v>0</v>
      </c>
      <c r="O2190" s="905"/>
      <c r="P2190" s="36" t="str">
        <f>IF(N2187&gt;0,"xx",IF(N2187&gt;0,"xy",""))</f>
        <v/>
      </c>
      <c r="Q2190" s="317" t="str">
        <f t="shared" si="582"/>
        <v/>
      </c>
      <c r="R2190" s="317" t="str">
        <f t="shared" si="583"/>
        <v/>
      </c>
      <c r="S2190" s="317" t="str">
        <f t="shared" si="584"/>
        <v/>
      </c>
      <c r="V2190" s="314">
        <f>SUM('RES. CENTRAL PARK:RUA_FINAL'!N2190)</f>
        <v>0</v>
      </c>
      <c r="W2190" s="315">
        <f t="shared" si="571"/>
        <v>0</v>
      </c>
    </row>
    <row r="2191" spans="1:23" ht="13.5" hidden="1" thickBot="1" x14ac:dyDescent="0.25">
      <c r="A2191" s="63" t="s">
        <v>103</v>
      </c>
      <c r="B2191" s="895" t="s">
        <v>103</v>
      </c>
      <c r="C2191" s="896" t="s">
        <v>184</v>
      </c>
      <c r="D2191" s="906" t="s">
        <v>373</v>
      </c>
      <c r="E2191" s="907"/>
      <c r="F2191" s="908"/>
      <c r="G2191" s="912">
        <f>SUM(G2192:G2194)</f>
        <v>995.02724819199989</v>
      </c>
      <c r="H2191" s="901">
        <v>3151.98</v>
      </c>
      <c r="I2191" s="901">
        <f>IF(ISBLANK(H2191),"",SUM(G2191:H2191))</f>
        <v>4147.0072481919997</v>
      </c>
      <c r="J2191" s="902">
        <f t="shared" si="577"/>
        <v>4979.3100000000004</v>
      </c>
      <c r="K2191" s="903" t="s">
        <v>15</v>
      </c>
      <c r="L2191" s="1039">
        <f>ROUND(SUM('RES. CENTRAL PARK:RUA_FINAL'!L2191),2)</f>
        <v>0</v>
      </c>
      <c r="M2191" s="1039">
        <f t="shared" si="565"/>
        <v>0</v>
      </c>
      <c r="N2191" s="893">
        <f t="shared" si="566"/>
        <v>0</v>
      </c>
      <c r="O2191" s="905"/>
      <c r="Q2191" s="317" t="str">
        <f t="shared" si="582"/>
        <v/>
      </c>
      <c r="R2191" s="317" t="str">
        <f t="shared" si="583"/>
        <v/>
      </c>
      <c r="S2191" s="317" t="str">
        <f t="shared" si="584"/>
        <v/>
      </c>
      <c r="V2191" s="314">
        <f>SUM('RES. CENTRAL PARK:RUA_FINAL'!N2191)</f>
        <v>0</v>
      </c>
      <c r="W2191" s="315">
        <f t="shared" si="571"/>
        <v>0</v>
      </c>
    </row>
    <row r="2192" spans="1:23" ht="13.5" hidden="1" thickBot="1" x14ac:dyDescent="0.25">
      <c r="A2192" s="63" t="s">
        <v>147</v>
      </c>
      <c r="B2192" s="895" t="s">
        <v>147</v>
      </c>
      <c r="C2192" s="896"/>
      <c r="D2192" s="906" t="s">
        <v>190</v>
      </c>
      <c r="E2192" s="907">
        <f>DMT!$D$20</f>
        <v>308</v>
      </c>
      <c r="F2192" s="908">
        <f>VLOOKUP(D2191,'ENSAIOS DE ORÇAMENTO'!$C$5:$L$81,4,FALSE)</f>
        <v>1.3675439999999999</v>
      </c>
      <c r="G2192" s="909">
        <f>IF(E2192&lt;=30,(0.78*E2192+7.82)*F2192,((0.78*30+7.82)+0.78*(E2192-30))*F2192)</f>
        <v>339.23296463999998</v>
      </c>
      <c r="H2192" s="901"/>
      <c r="I2192" s="901"/>
      <c r="J2192" s="902">
        <f t="shared" si="577"/>
        <v>0</v>
      </c>
      <c r="K2192" s="903"/>
      <c r="L2192" s="1039">
        <f>ROUND(SUM('RES. CENTRAL PARK:RUA_FINAL'!L2192),2)</f>
        <v>0</v>
      </c>
      <c r="M2192" s="1039">
        <f t="shared" si="565"/>
        <v>0</v>
      </c>
      <c r="N2192" s="893">
        <f t="shared" si="566"/>
        <v>0</v>
      </c>
      <c r="O2192" s="905"/>
      <c r="P2192" s="36" t="str">
        <f>IF(N2191&gt;0,"xx",IF(N2191&gt;0,"xy",""))</f>
        <v/>
      </c>
      <c r="Q2192" s="317" t="str">
        <f t="shared" si="582"/>
        <v/>
      </c>
      <c r="R2192" s="317" t="str">
        <f t="shared" si="583"/>
        <v/>
      </c>
      <c r="S2192" s="317" t="str">
        <f t="shared" si="584"/>
        <v/>
      </c>
      <c r="V2192" s="314">
        <f>SUM('RES. CENTRAL PARK:RUA_FINAL'!N2192)</f>
        <v>0</v>
      </c>
      <c r="W2192" s="315">
        <f t="shared" si="571"/>
        <v>0</v>
      </c>
    </row>
    <row r="2193" spans="1:23" ht="13.5" hidden="1" thickBot="1" x14ac:dyDescent="0.25">
      <c r="A2193" s="63" t="s">
        <v>147</v>
      </c>
      <c r="B2193" s="895" t="s">
        <v>147</v>
      </c>
      <c r="C2193" s="896"/>
      <c r="D2193" s="906" t="s">
        <v>229</v>
      </c>
      <c r="E2193" s="907">
        <f>DMT!$F$8</f>
        <v>150</v>
      </c>
      <c r="F2193" s="908">
        <f>VLOOKUP(D2191,'ENSAIOS DE ORÇAMENTO'!$C$5:$L$81,5,FALSE)</f>
        <v>3.9353559999999996</v>
      </c>
      <c r="G2193" s="949">
        <f t="shared" ref="G2193:G2194" si="588">IF(E2193&lt;=30,(1.07*E2193+2.68)*F2193,((1.07*30+2.68)+1.07*(E2193-30))*F2193)</f>
        <v>642.17139207999992</v>
      </c>
      <c r="H2193" s="901"/>
      <c r="I2193" s="901"/>
      <c r="J2193" s="902">
        <f t="shared" si="577"/>
        <v>0</v>
      </c>
      <c r="K2193" s="903"/>
      <c r="L2193" s="1039">
        <f>ROUND(SUM('RES. CENTRAL PARK:RUA_FINAL'!L2193),2)</f>
        <v>0</v>
      </c>
      <c r="M2193" s="1039">
        <f t="shared" si="565"/>
        <v>0</v>
      </c>
      <c r="N2193" s="893">
        <f t="shared" si="566"/>
        <v>0</v>
      </c>
      <c r="O2193" s="905"/>
      <c r="P2193" s="36" t="str">
        <f>IF(N2191&gt;0,"xx",IF(N2191&gt;0,"xy",""))</f>
        <v/>
      </c>
      <c r="Q2193" s="317" t="str">
        <f t="shared" si="582"/>
        <v/>
      </c>
      <c r="R2193" s="317" t="str">
        <f t="shared" si="583"/>
        <v/>
      </c>
      <c r="S2193" s="317" t="str">
        <f t="shared" si="584"/>
        <v/>
      </c>
      <c r="V2193" s="314">
        <f>SUM('RES. CENTRAL PARK:RUA_FINAL'!N2193)</f>
        <v>0</v>
      </c>
      <c r="W2193" s="315">
        <f t="shared" si="571"/>
        <v>0</v>
      </c>
    </row>
    <row r="2194" spans="1:23" ht="13.5" hidden="1" thickBot="1" x14ac:dyDescent="0.25">
      <c r="A2194" s="63" t="s">
        <v>147</v>
      </c>
      <c r="B2194" s="895" t="s">
        <v>147</v>
      </c>
      <c r="C2194" s="896"/>
      <c r="D2194" s="906" t="s">
        <v>233</v>
      </c>
      <c r="E2194" s="907">
        <f>DMT!$F$10</f>
        <v>0.2</v>
      </c>
      <c r="F2194" s="908">
        <f>VLOOKUP(D2191,'ENSAIOS DE ORÇAMENTO'!$C$5:$L$81,6,FALSE)</f>
        <v>4.7072880000000001</v>
      </c>
      <c r="G2194" s="949">
        <f t="shared" si="588"/>
        <v>13.622891472000001</v>
      </c>
      <c r="H2194" s="901"/>
      <c r="I2194" s="901"/>
      <c r="J2194" s="902">
        <f t="shared" si="577"/>
        <v>0</v>
      </c>
      <c r="K2194" s="903"/>
      <c r="L2194" s="1039">
        <f>ROUND(SUM('RES. CENTRAL PARK:RUA_FINAL'!L2194),2)</f>
        <v>0</v>
      </c>
      <c r="M2194" s="1039">
        <f t="shared" ref="M2194:M2257" si="589">IF(L2194=0,0,ROUND(J2194,2))</f>
        <v>0</v>
      </c>
      <c r="N2194" s="893">
        <f t="shared" ref="N2194:N2257" si="590">IF(ISBLANK(L2194),0,ROUND(L2194*M2194,2))</f>
        <v>0</v>
      </c>
      <c r="O2194" s="905"/>
      <c r="P2194" s="36" t="str">
        <f>IF(N2191&gt;0,"xx",IF(N2191&gt;0,"xy",""))</f>
        <v/>
      </c>
      <c r="Q2194" s="317" t="str">
        <f t="shared" si="582"/>
        <v/>
      </c>
      <c r="R2194" s="317" t="str">
        <f t="shared" si="583"/>
        <v/>
      </c>
      <c r="S2194" s="317" t="str">
        <f t="shared" si="584"/>
        <v/>
      </c>
      <c r="V2194" s="314">
        <f>SUM('RES. CENTRAL PARK:RUA_FINAL'!N2194)</f>
        <v>0</v>
      </c>
      <c r="W2194" s="315">
        <f t="shared" si="571"/>
        <v>0</v>
      </c>
    </row>
    <row r="2195" spans="1:23" ht="13.5" hidden="1" thickBot="1" x14ac:dyDescent="0.25">
      <c r="A2195" s="63" t="s">
        <v>104</v>
      </c>
      <c r="B2195" s="895" t="s">
        <v>104</v>
      </c>
      <c r="C2195" s="896" t="s">
        <v>184</v>
      </c>
      <c r="D2195" s="906" t="s">
        <v>374</v>
      </c>
      <c r="E2195" s="907"/>
      <c r="F2195" s="908"/>
      <c r="G2195" s="912">
        <f>SUM(G2196:G2198)</f>
        <v>1240.9794095919997</v>
      </c>
      <c r="H2195" s="901">
        <v>3745</v>
      </c>
      <c r="I2195" s="901">
        <f>IF(ISBLANK(H2195),"",SUM(G2195:H2195))</f>
        <v>4985.9794095919997</v>
      </c>
      <c r="J2195" s="902">
        <f t="shared" si="577"/>
        <v>5986.67</v>
      </c>
      <c r="K2195" s="903" t="s">
        <v>15</v>
      </c>
      <c r="L2195" s="1039">
        <f>ROUND(SUM('RES. CENTRAL PARK:RUA_FINAL'!L2195),2)</f>
        <v>0</v>
      </c>
      <c r="M2195" s="1039">
        <f t="shared" si="589"/>
        <v>0</v>
      </c>
      <c r="N2195" s="893">
        <f t="shared" si="590"/>
        <v>0</v>
      </c>
      <c r="O2195" s="905"/>
      <c r="Q2195" s="317" t="str">
        <f t="shared" si="582"/>
        <v/>
      </c>
      <c r="R2195" s="317" t="str">
        <f t="shared" si="583"/>
        <v/>
      </c>
      <c r="S2195" s="317" t="str">
        <f t="shared" si="584"/>
        <v/>
      </c>
      <c r="V2195" s="314">
        <f>SUM('RES. CENTRAL PARK:RUA_FINAL'!N2195)</f>
        <v>0</v>
      </c>
      <c r="W2195" s="315">
        <f t="shared" si="571"/>
        <v>0</v>
      </c>
    </row>
    <row r="2196" spans="1:23" ht="13.5" hidden="1" thickBot="1" x14ac:dyDescent="0.25">
      <c r="A2196" s="63" t="s">
        <v>147</v>
      </c>
      <c r="B2196" s="895" t="s">
        <v>147</v>
      </c>
      <c r="C2196" s="896"/>
      <c r="D2196" s="906" t="s">
        <v>190</v>
      </c>
      <c r="E2196" s="907">
        <f>DMT!$D$20</f>
        <v>308</v>
      </c>
      <c r="F2196" s="908">
        <f>VLOOKUP(D2195,'ENSAIOS DE ORÇAMENTO'!$C$5:$L$81,4,FALSE)</f>
        <v>1.7123939999999997</v>
      </c>
      <c r="G2196" s="909">
        <f>IF(E2196&lt;=30,(0.78*E2196+7.82)*F2196,((0.78*30+7.82)+0.78*(E2196-30))*F2196)</f>
        <v>424.77645563999994</v>
      </c>
      <c r="H2196" s="901"/>
      <c r="I2196" s="901"/>
      <c r="J2196" s="902">
        <f t="shared" si="577"/>
        <v>0</v>
      </c>
      <c r="K2196" s="903"/>
      <c r="L2196" s="1039">
        <f>ROUND(SUM('RES. CENTRAL PARK:RUA_FINAL'!L2196),2)</f>
        <v>0</v>
      </c>
      <c r="M2196" s="1039">
        <f t="shared" si="589"/>
        <v>0</v>
      </c>
      <c r="N2196" s="893">
        <f t="shared" si="590"/>
        <v>0</v>
      </c>
      <c r="O2196" s="905"/>
      <c r="P2196" s="36" t="str">
        <f>IF(N2195&gt;0,"xx",IF(N2195&gt;0,"xy",""))</f>
        <v/>
      </c>
      <c r="Q2196" s="317" t="str">
        <f t="shared" si="582"/>
        <v/>
      </c>
      <c r="R2196" s="317" t="str">
        <f t="shared" si="583"/>
        <v/>
      </c>
      <c r="S2196" s="317" t="str">
        <f t="shared" si="584"/>
        <v/>
      </c>
      <c r="V2196" s="314">
        <f>SUM('RES. CENTRAL PARK:RUA_FINAL'!N2196)</f>
        <v>0</v>
      </c>
      <c r="W2196" s="315">
        <f t="shared" si="571"/>
        <v>0</v>
      </c>
    </row>
    <row r="2197" spans="1:23" ht="13.5" hidden="1" thickBot="1" x14ac:dyDescent="0.25">
      <c r="A2197" s="63" t="s">
        <v>147</v>
      </c>
      <c r="B2197" s="895" t="s">
        <v>147</v>
      </c>
      <c r="C2197" s="896"/>
      <c r="D2197" s="906" t="s">
        <v>229</v>
      </c>
      <c r="E2197" s="907">
        <f>DMT!$F$8</f>
        <v>150</v>
      </c>
      <c r="F2197" s="908">
        <f>VLOOKUP(D2195,'ENSAIOS DE ORÇAMENTO'!$C$5:$L$81,5,FALSE)</f>
        <v>4.8978009999999994</v>
      </c>
      <c r="G2197" s="949">
        <f t="shared" ref="G2197:G2198" si="591">IF(E2197&lt;=30,(1.07*E2197+2.68)*F2197,((1.07*30+2.68)+1.07*(E2197-30))*F2197)</f>
        <v>799.2231671799999</v>
      </c>
      <c r="H2197" s="901"/>
      <c r="I2197" s="901"/>
      <c r="J2197" s="902">
        <f t="shared" si="577"/>
        <v>0</v>
      </c>
      <c r="K2197" s="903"/>
      <c r="L2197" s="1039">
        <f>ROUND(SUM('RES. CENTRAL PARK:RUA_FINAL'!L2197),2)</f>
        <v>0</v>
      </c>
      <c r="M2197" s="1039">
        <f t="shared" si="589"/>
        <v>0</v>
      </c>
      <c r="N2197" s="893">
        <f t="shared" si="590"/>
        <v>0</v>
      </c>
      <c r="O2197" s="905"/>
      <c r="P2197" s="36" t="str">
        <f>IF(N2195&gt;0,"xx",IF(N2195&gt;0,"xy",""))</f>
        <v/>
      </c>
      <c r="Q2197" s="317" t="str">
        <f t="shared" si="582"/>
        <v/>
      </c>
      <c r="R2197" s="317" t="str">
        <f t="shared" si="583"/>
        <v/>
      </c>
      <c r="S2197" s="317" t="str">
        <f t="shared" si="584"/>
        <v/>
      </c>
      <c r="V2197" s="314">
        <f>SUM('RES. CENTRAL PARK:RUA_FINAL'!N2197)</f>
        <v>0</v>
      </c>
      <c r="W2197" s="315">
        <f t="shared" ref="W2197:W2260" si="592">N2197-V2197</f>
        <v>0</v>
      </c>
    </row>
    <row r="2198" spans="1:23" ht="13.5" hidden="1" thickBot="1" x14ac:dyDescent="0.25">
      <c r="A2198" s="63" t="s">
        <v>147</v>
      </c>
      <c r="B2198" s="895" t="s">
        <v>147</v>
      </c>
      <c r="C2198" s="896"/>
      <c r="D2198" s="906" t="s">
        <v>233</v>
      </c>
      <c r="E2198" s="907">
        <f>DMT!$F$10</f>
        <v>0.2</v>
      </c>
      <c r="F2198" s="908">
        <f>VLOOKUP(D2195,'ENSAIOS DE ORÇAMENTO'!$C$5:$L$81,6,FALSE)</f>
        <v>5.8672380000000004</v>
      </c>
      <c r="G2198" s="949">
        <f t="shared" si="591"/>
        <v>16.979786772000001</v>
      </c>
      <c r="H2198" s="901"/>
      <c r="I2198" s="901"/>
      <c r="J2198" s="902">
        <f t="shared" si="577"/>
        <v>0</v>
      </c>
      <c r="K2198" s="903"/>
      <c r="L2198" s="1039">
        <f>ROUND(SUM('RES. CENTRAL PARK:RUA_FINAL'!L2198),2)</f>
        <v>0</v>
      </c>
      <c r="M2198" s="1039">
        <f t="shared" si="589"/>
        <v>0</v>
      </c>
      <c r="N2198" s="893">
        <f t="shared" si="590"/>
        <v>0</v>
      </c>
      <c r="O2198" s="905"/>
      <c r="P2198" s="36" t="str">
        <f>IF(N2195&gt;0,"xx",IF(N2195&gt;0,"xy",""))</f>
        <v/>
      </c>
      <c r="Q2198" s="317" t="str">
        <f t="shared" si="582"/>
        <v/>
      </c>
      <c r="R2198" s="317" t="str">
        <f t="shared" si="583"/>
        <v/>
      </c>
      <c r="S2198" s="317" t="str">
        <f t="shared" si="584"/>
        <v/>
      </c>
      <c r="V2198" s="314">
        <f>SUM('RES. CENTRAL PARK:RUA_FINAL'!N2198)</f>
        <v>0</v>
      </c>
      <c r="W2198" s="315">
        <f t="shared" si="592"/>
        <v>0</v>
      </c>
    </row>
    <row r="2199" spans="1:23" ht="13.5" hidden="1" thickBot="1" x14ac:dyDescent="0.25">
      <c r="A2199" s="63" t="s">
        <v>27</v>
      </c>
      <c r="B2199" s="895" t="s">
        <v>27</v>
      </c>
      <c r="C2199" s="896" t="s">
        <v>184</v>
      </c>
      <c r="D2199" s="906" t="s">
        <v>94</v>
      </c>
      <c r="E2199" s="907"/>
      <c r="F2199" s="908"/>
      <c r="G2199" s="912">
        <f>SUM(G2200:G2202)</f>
        <v>287.33632253600001</v>
      </c>
      <c r="H2199" s="901">
        <v>3736.16</v>
      </c>
      <c r="I2199" s="901">
        <f>IF(ISBLANK(H2199),"",SUM(G2199:H2199))</f>
        <v>4023.4963225359998</v>
      </c>
      <c r="J2199" s="902">
        <f t="shared" si="577"/>
        <v>4831.01</v>
      </c>
      <c r="K2199" s="903" t="s">
        <v>15</v>
      </c>
      <c r="L2199" s="1039">
        <f>ROUND(SUM('RES. CENTRAL PARK:RUA_FINAL'!L2199),2)</f>
        <v>0</v>
      </c>
      <c r="M2199" s="1039">
        <f t="shared" si="589"/>
        <v>0</v>
      </c>
      <c r="N2199" s="893">
        <f t="shared" si="590"/>
        <v>0</v>
      </c>
      <c r="O2199" s="905"/>
      <c r="Q2199" s="317" t="str">
        <f t="shared" si="582"/>
        <v/>
      </c>
      <c r="R2199" s="317" t="str">
        <f t="shared" si="583"/>
        <v/>
      </c>
      <c r="S2199" s="317" t="str">
        <f t="shared" si="584"/>
        <v/>
      </c>
      <c r="V2199" s="314">
        <f>SUM('RES. CENTRAL PARK:RUA_FINAL'!N2199)</f>
        <v>0</v>
      </c>
      <c r="W2199" s="315">
        <f t="shared" si="592"/>
        <v>0</v>
      </c>
    </row>
    <row r="2200" spans="1:23" ht="13.5" hidden="1" thickBot="1" x14ac:dyDescent="0.25">
      <c r="A2200" s="63" t="s">
        <v>147</v>
      </c>
      <c r="B2200" s="895" t="s">
        <v>147</v>
      </c>
      <c r="C2200" s="896"/>
      <c r="D2200" s="906" t="s">
        <v>190</v>
      </c>
      <c r="E2200" s="907">
        <f>DMT!$D$20</f>
        <v>308</v>
      </c>
      <c r="F2200" s="908">
        <f>VLOOKUP(D2199,'ENSAIOS DE ORÇAMENTO'!$C$5:$L$81,4,FALSE)</f>
        <v>0.38908200000000004</v>
      </c>
      <c r="G2200" s="909">
        <f>IF(E2200&lt;=30,(0.78*E2200+7.82)*F2200,((0.78*30+7.82)+0.78*(E2200-30))*F2200)</f>
        <v>96.515680920000008</v>
      </c>
      <c r="H2200" s="901"/>
      <c r="I2200" s="901"/>
      <c r="J2200" s="902">
        <f t="shared" si="577"/>
        <v>0</v>
      </c>
      <c r="K2200" s="903"/>
      <c r="L2200" s="1039">
        <f>ROUND(SUM('RES. CENTRAL PARK:RUA_FINAL'!L2200),2)</f>
        <v>0</v>
      </c>
      <c r="M2200" s="1039">
        <f t="shared" si="589"/>
        <v>0</v>
      </c>
      <c r="N2200" s="893">
        <f t="shared" si="590"/>
        <v>0</v>
      </c>
      <c r="O2200" s="905"/>
      <c r="P2200" s="36" t="str">
        <f>IF(N2199&gt;0,"xx",IF(N2199&gt;0,"xy",""))</f>
        <v/>
      </c>
      <c r="Q2200" s="317" t="str">
        <f t="shared" si="582"/>
        <v/>
      </c>
      <c r="R2200" s="317" t="str">
        <f t="shared" si="583"/>
        <v/>
      </c>
      <c r="S2200" s="317" t="str">
        <f t="shared" si="584"/>
        <v/>
      </c>
      <c r="V2200" s="314">
        <f>SUM('RES. CENTRAL PARK:RUA_FINAL'!N2200)</f>
        <v>0</v>
      </c>
      <c r="W2200" s="315">
        <f t="shared" si="592"/>
        <v>0</v>
      </c>
    </row>
    <row r="2201" spans="1:23" ht="13.5" hidden="1" thickBot="1" x14ac:dyDescent="0.25">
      <c r="A2201" s="63" t="s">
        <v>147</v>
      </c>
      <c r="B2201" s="895" t="s">
        <v>147</v>
      </c>
      <c r="C2201" s="896"/>
      <c r="D2201" s="906" t="s">
        <v>229</v>
      </c>
      <c r="E2201" s="907">
        <f>DMT!$F$8</f>
        <v>150</v>
      </c>
      <c r="F2201" s="908">
        <f>VLOOKUP(D2199,'ENSAIOS DE ORÇAMENTO'!$C$5:$L$81,5,FALSE)</f>
        <v>1.1452249999999999</v>
      </c>
      <c r="G2201" s="949">
        <f t="shared" ref="G2201:G2202" si="593">IF(E2201&lt;=30,(1.07*E2201+2.68)*F2201,((1.07*30+2.68)+1.07*(E2201-30))*F2201)</f>
        <v>186.8778155</v>
      </c>
      <c r="H2201" s="901"/>
      <c r="I2201" s="901"/>
      <c r="J2201" s="902">
        <f t="shared" si="577"/>
        <v>0</v>
      </c>
      <c r="K2201" s="903"/>
      <c r="L2201" s="1039">
        <f>ROUND(SUM('RES. CENTRAL PARK:RUA_FINAL'!L2201),2)</f>
        <v>0</v>
      </c>
      <c r="M2201" s="1039">
        <f t="shared" si="589"/>
        <v>0</v>
      </c>
      <c r="N2201" s="893">
        <f t="shared" si="590"/>
        <v>0</v>
      </c>
      <c r="O2201" s="905"/>
      <c r="P2201" s="36" t="str">
        <f>IF(N2199&gt;0,"xx",IF(N2199&gt;0,"xy",""))</f>
        <v/>
      </c>
      <c r="Q2201" s="317" t="str">
        <f t="shared" si="582"/>
        <v/>
      </c>
      <c r="R2201" s="317" t="str">
        <f t="shared" si="583"/>
        <v/>
      </c>
      <c r="S2201" s="317" t="str">
        <f t="shared" si="584"/>
        <v/>
      </c>
      <c r="V2201" s="314">
        <f>SUM('RES. CENTRAL PARK:RUA_FINAL'!N2201)</f>
        <v>0</v>
      </c>
      <c r="W2201" s="315">
        <f t="shared" si="592"/>
        <v>0</v>
      </c>
    </row>
    <row r="2202" spans="1:23" ht="13.5" hidden="1" thickBot="1" x14ac:dyDescent="0.25">
      <c r="A2202" s="63" t="s">
        <v>147</v>
      </c>
      <c r="B2202" s="895" t="s">
        <v>147</v>
      </c>
      <c r="C2202" s="896"/>
      <c r="D2202" s="906" t="s">
        <v>233</v>
      </c>
      <c r="E2202" s="907">
        <f>DMT!$F$10</f>
        <v>0.2</v>
      </c>
      <c r="F2202" s="908">
        <f>VLOOKUP(D2199,'ENSAIOS DE ORÇAMENTO'!$C$5:$L$81,6,FALSE)</f>
        <v>1.362414</v>
      </c>
      <c r="G2202" s="949">
        <f t="shared" si="593"/>
        <v>3.9428261160000004</v>
      </c>
      <c r="H2202" s="901"/>
      <c r="I2202" s="901"/>
      <c r="J2202" s="902">
        <f t="shared" si="577"/>
        <v>0</v>
      </c>
      <c r="K2202" s="903"/>
      <c r="L2202" s="1039">
        <f>ROUND(SUM('RES. CENTRAL PARK:RUA_FINAL'!L2202),2)</f>
        <v>0</v>
      </c>
      <c r="M2202" s="1039">
        <f t="shared" si="589"/>
        <v>0</v>
      </c>
      <c r="N2202" s="893">
        <f t="shared" si="590"/>
        <v>0</v>
      </c>
      <c r="O2202" s="905"/>
      <c r="P2202" s="36" t="str">
        <f>IF(N2199&gt;0,"xx",IF(N2199&gt;0,"xy",""))</f>
        <v/>
      </c>
      <c r="Q2202" s="317" t="str">
        <f t="shared" si="582"/>
        <v/>
      </c>
      <c r="R2202" s="317" t="str">
        <f t="shared" si="583"/>
        <v/>
      </c>
      <c r="S2202" s="317" t="str">
        <f t="shared" si="584"/>
        <v/>
      </c>
      <c r="V2202" s="314">
        <f>SUM('RES. CENTRAL PARK:RUA_FINAL'!N2202)</f>
        <v>0</v>
      </c>
      <c r="W2202" s="315">
        <f t="shared" si="592"/>
        <v>0</v>
      </c>
    </row>
    <row r="2203" spans="1:23" ht="13.5" hidden="1" thickBot="1" x14ac:dyDescent="0.25">
      <c r="A2203" s="63" t="s">
        <v>28</v>
      </c>
      <c r="B2203" s="895" t="s">
        <v>28</v>
      </c>
      <c r="C2203" s="896" t="s">
        <v>184</v>
      </c>
      <c r="D2203" s="906" t="s">
        <v>91</v>
      </c>
      <c r="E2203" s="907"/>
      <c r="F2203" s="908"/>
      <c r="G2203" s="912">
        <f>SUM(G2204:G2206)</f>
        <v>358.88604221599996</v>
      </c>
      <c r="H2203" s="901">
        <v>4503.8999999999996</v>
      </c>
      <c r="I2203" s="901">
        <f>IF(ISBLANK(H2203),"",SUM(G2203:H2203))</f>
        <v>4862.7860422159993</v>
      </c>
      <c r="J2203" s="902">
        <f t="shared" si="577"/>
        <v>5838.75</v>
      </c>
      <c r="K2203" s="903" t="s">
        <v>15</v>
      </c>
      <c r="L2203" s="1039">
        <f>ROUND(SUM('RES. CENTRAL PARK:RUA_FINAL'!L2203),2)</f>
        <v>0</v>
      </c>
      <c r="M2203" s="1039">
        <f t="shared" si="589"/>
        <v>0</v>
      </c>
      <c r="N2203" s="893">
        <f t="shared" si="590"/>
        <v>0</v>
      </c>
      <c r="O2203" s="905"/>
      <c r="Q2203" s="317" t="str">
        <f t="shared" si="582"/>
        <v/>
      </c>
      <c r="R2203" s="317" t="str">
        <f t="shared" si="583"/>
        <v/>
      </c>
      <c r="S2203" s="317" t="str">
        <f t="shared" si="584"/>
        <v/>
      </c>
      <c r="V2203" s="314">
        <f>SUM('RES. CENTRAL PARK:RUA_FINAL'!N2203)</f>
        <v>0</v>
      </c>
      <c r="W2203" s="315">
        <f t="shared" si="592"/>
        <v>0</v>
      </c>
    </row>
    <row r="2204" spans="1:23" ht="13.5" hidden="1" thickBot="1" x14ac:dyDescent="0.25">
      <c r="A2204" s="63" t="s">
        <v>147</v>
      </c>
      <c r="B2204" s="895" t="s">
        <v>147</v>
      </c>
      <c r="C2204" s="896"/>
      <c r="D2204" s="906" t="s">
        <v>190</v>
      </c>
      <c r="E2204" s="907">
        <f>DMT!$D$20</f>
        <v>308</v>
      </c>
      <c r="F2204" s="908">
        <f>VLOOKUP(D2203,'ENSAIOS DE ORÇAMENTO'!$C$5:$L$81,4,FALSE)</f>
        <v>0.48940199999999995</v>
      </c>
      <c r="G2204" s="909">
        <f>IF(E2204&lt;=30,(0.78*E2204+7.82)*F2204,((0.78*30+7.82)+0.78*(E2204-30))*F2204)</f>
        <v>121.40106011999998</v>
      </c>
      <c r="H2204" s="901"/>
      <c r="I2204" s="901"/>
      <c r="J2204" s="902">
        <f t="shared" si="577"/>
        <v>0</v>
      </c>
      <c r="K2204" s="903"/>
      <c r="L2204" s="1039">
        <f>ROUND(SUM('RES. CENTRAL PARK:RUA_FINAL'!L2204),2)</f>
        <v>0</v>
      </c>
      <c r="M2204" s="1039">
        <f t="shared" si="589"/>
        <v>0</v>
      </c>
      <c r="N2204" s="893">
        <f t="shared" si="590"/>
        <v>0</v>
      </c>
      <c r="O2204" s="905"/>
      <c r="P2204" s="36" t="str">
        <f>IF(N2203&gt;0,"xx",IF(N2203&gt;0,"xy",""))</f>
        <v/>
      </c>
      <c r="Q2204" s="317" t="str">
        <f t="shared" si="582"/>
        <v/>
      </c>
      <c r="R2204" s="317" t="str">
        <f t="shared" si="583"/>
        <v/>
      </c>
      <c r="S2204" s="317" t="str">
        <f t="shared" si="584"/>
        <v/>
      </c>
      <c r="V2204" s="314">
        <f>SUM('RES. CENTRAL PARK:RUA_FINAL'!N2204)</f>
        <v>0</v>
      </c>
      <c r="W2204" s="315">
        <f t="shared" si="592"/>
        <v>0</v>
      </c>
    </row>
    <row r="2205" spans="1:23" ht="13.5" hidden="1" thickBot="1" x14ac:dyDescent="0.25">
      <c r="A2205" s="63" t="s">
        <v>147</v>
      </c>
      <c r="B2205" s="895" t="s">
        <v>147</v>
      </c>
      <c r="C2205" s="896"/>
      <c r="D2205" s="906" t="s">
        <v>229</v>
      </c>
      <c r="E2205" s="907">
        <f>DMT!$F$8</f>
        <v>150</v>
      </c>
      <c r="F2205" s="908">
        <f>VLOOKUP(D2203,'ENSAIOS DE ORÇAMENTO'!$C$5:$L$81,5,FALSE)</f>
        <v>1.4252089999999999</v>
      </c>
      <c r="G2205" s="949">
        <f t="shared" ref="G2205:G2206" si="594">IF(E2205&lt;=30,(1.07*E2205+2.68)*F2205,((1.07*30+2.68)+1.07*(E2205-30))*F2205)</f>
        <v>232.56560461999999</v>
      </c>
      <c r="H2205" s="901"/>
      <c r="I2205" s="901"/>
      <c r="J2205" s="902">
        <f t="shared" si="577"/>
        <v>0</v>
      </c>
      <c r="K2205" s="903"/>
      <c r="L2205" s="1039">
        <f>ROUND(SUM('RES. CENTRAL PARK:RUA_FINAL'!L2205),2)</f>
        <v>0</v>
      </c>
      <c r="M2205" s="1039">
        <f t="shared" si="589"/>
        <v>0</v>
      </c>
      <c r="N2205" s="893">
        <f t="shared" si="590"/>
        <v>0</v>
      </c>
      <c r="O2205" s="905"/>
      <c r="P2205" s="36" t="str">
        <f>IF(N2203&gt;0,"xx",IF(N2203&gt;0,"xy",""))</f>
        <v/>
      </c>
      <c r="Q2205" s="317" t="str">
        <f t="shared" si="582"/>
        <v/>
      </c>
      <c r="R2205" s="317" t="str">
        <f t="shared" si="583"/>
        <v/>
      </c>
      <c r="S2205" s="317" t="str">
        <f t="shared" si="584"/>
        <v/>
      </c>
      <c r="V2205" s="314">
        <f>SUM('RES. CENTRAL PARK:RUA_FINAL'!N2205)</f>
        <v>0</v>
      </c>
      <c r="W2205" s="315">
        <f t="shared" si="592"/>
        <v>0</v>
      </c>
    </row>
    <row r="2206" spans="1:23" ht="13.5" hidden="1" thickBot="1" x14ac:dyDescent="0.25">
      <c r="A2206" s="63" t="s">
        <v>147</v>
      </c>
      <c r="B2206" s="895" t="s">
        <v>147</v>
      </c>
      <c r="C2206" s="896"/>
      <c r="D2206" s="906" t="s">
        <v>233</v>
      </c>
      <c r="E2206" s="907">
        <f>DMT!$F$10</f>
        <v>0.2</v>
      </c>
      <c r="F2206" s="908">
        <f>VLOOKUP(D2203,'ENSAIOS DE ORÇAMENTO'!$C$5:$L$81,6,FALSE)</f>
        <v>1.699854</v>
      </c>
      <c r="G2206" s="949">
        <f t="shared" si="594"/>
        <v>4.9193774760000002</v>
      </c>
      <c r="H2206" s="901"/>
      <c r="I2206" s="901"/>
      <c r="J2206" s="902">
        <f t="shared" si="577"/>
        <v>0</v>
      </c>
      <c r="K2206" s="903"/>
      <c r="L2206" s="1039">
        <f>ROUND(SUM('RES. CENTRAL PARK:RUA_FINAL'!L2206),2)</f>
        <v>0</v>
      </c>
      <c r="M2206" s="1039">
        <f t="shared" si="589"/>
        <v>0</v>
      </c>
      <c r="N2206" s="893">
        <f t="shared" si="590"/>
        <v>0</v>
      </c>
      <c r="O2206" s="905"/>
      <c r="P2206" s="36" t="str">
        <f>IF(N2203&gt;0,"xx",IF(N2203&gt;0,"xy",""))</f>
        <v/>
      </c>
      <c r="Q2206" s="317" t="str">
        <f t="shared" si="582"/>
        <v/>
      </c>
      <c r="R2206" s="317" t="str">
        <f t="shared" si="583"/>
        <v/>
      </c>
      <c r="S2206" s="317" t="str">
        <f t="shared" si="584"/>
        <v/>
      </c>
      <c r="V2206" s="314">
        <f>SUM('RES. CENTRAL PARK:RUA_FINAL'!N2206)</f>
        <v>0</v>
      </c>
      <c r="W2206" s="315">
        <f t="shared" si="592"/>
        <v>0</v>
      </c>
    </row>
    <row r="2207" spans="1:23" ht="13.5" hidden="1" thickBot="1" x14ac:dyDescent="0.25">
      <c r="A2207" s="63" t="s">
        <v>105</v>
      </c>
      <c r="B2207" s="895" t="s">
        <v>105</v>
      </c>
      <c r="C2207" s="896" t="s">
        <v>184</v>
      </c>
      <c r="D2207" s="906" t="s">
        <v>92</v>
      </c>
      <c r="E2207" s="907"/>
      <c r="F2207" s="908"/>
      <c r="G2207" s="912">
        <f>SUM(G2208:G2210)</f>
        <v>475.15433669600003</v>
      </c>
      <c r="H2207" s="901">
        <v>4886.76</v>
      </c>
      <c r="I2207" s="901">
        <f>IF(ISBLANK(H2207),"",SUM(G2207:H2207))</f>
        <v>5361.9143366960006</v>
      </c>
      <c r="J2207" s="902">
        <f t="shared" ref="J2207:J2259" si="595">IF(ISBLANK(H2207),0,ROUND(I2207*(1+$E$10),2))</f>
        <v>6438.05</v>
      </c>
      <c r="K2207" s="903" t="s">
        <v>15</v>
      </c>
      <c r="L2207" s="1039">
        <f>ROUND(SUM('RES. CENTRAL PARK:RUA_FINAL'!L2207),2)</f>
        <v>0</v>
      </c>
      <c r="M2207" s="1039">
        <f t="shared" si="589"/>
        <v>0</v>
      </c>
      <c r="N2207" s="893">
        <f t="shared" si="590"/>
        <v>0</v>
      </c>
      <c r="O2207" s="905"/>
      <c r="Q2207" s="317" t="str">
        <f t="shared" si="582"/>
        <v/>
      </c>
      <c r="R2207" s="317" t="str">
        <f t="shared" si="583"/>
        <v/>
      </c>
      <c r="S2207" s="317" t="str">
        <f t="shared" si="584"/>
        <v/>
      </c>
      <c r="V2207" s="314">
        <f>SUM('RES. CENTRAL PARK:RUA_FINAL'!N2207)</f>
        <v>0</v>
      </c>
      <c r="W2207" s="315">
        <f t="shared" si="592"/>
        <v>0</v>
      </c>
    </row>
    <row r="2208" spans="1:23" ht="13.5" hidden="1" thickBot="1" x14ac:dyDescent="0.25">
      <c r="A2208" s="63" t="s">
        <v>147</v>
      </c>
      <c r="B2208" s="895" t="s">
        <v>147</v>
      </c>
      <c r="C2208" s="896"/>
      <c r="D2208" s="906" t="s">
        <v>190</v>
      </c>
      <c r="E2208" s="907">
        <f>DMT!$D$20</f>
        <v>308</v>
      </c>
      <c r="F2208" s="908">
        <f>VLOOKUP(D2207,'ENSAIOS DE ORÇAMENTO'!$C$5:$L$81,4,FALSE)</f>
        <v>0.65242199999999995</v>
      </c>
      <c r="G2208" s="909">
        <f>IF(E2208&lt;=30,(0.78*E2208+7.82)*F2208,((0.78*30+7.82)+0.78*(E2208-30))*F2208)</f>
        <v>161.83980131999999</v>
      </c>
      <c r="H2208" s="901"/>
      <c r="I2208" s="901"/>
      <c r="J2208" s="902">
        <f t="shared" si="595"/>
        <v>0</v>
      </c>
      <c r="K2208" s="903"/>
      <c r="L2208" s="1039">
        <f>ROUND(SUM('RES. CENTRAL PARK:RUA_FINAL'!L2208),2)</f>
        <v>0</v>
      </c>
      <c r="M2208" s="1039">
        <f t="shared" si="589"/>
        <v>0</v>
      </c>
      <c r="N2208" s="893">
        <f t="shared" si="590"/>
        <v>0</v>
      </c>
      <c r="O2208" s="905"/>
      <c r="P2208" s="36" t="str">
        <f>IF(N2207&gt;0,"xx",IF(N2207&gt;0,"xy",""))</f>
        <v/>
      </c>
      <c r="Q2208" s="317" t="str">
        <f t="shared" si="582"/>
        <v/>
      </c>
      <c r="R2208" s="317" t="str">
        <f t="shared" si="583"/>
        <v/>
      </c>
      <c r="S2208" s="317" t="str">
        <f t="shared" si="584"/>
        <v/>
      </c>
      <c r="V2208" s="314">
        <f>SUM('RES. CENTRAL PARK:RUA_FINAL'!N2208)</f>
        <v>0</v>
      </c>
      <c r="W2208" s="315">
        <f t="shared" si="592"/>
        <v>0</v>
      </c>
    </row>
    <row r="2209" spans="1:23" ht="13.5" hidden="1" thickBot="1" x14ac:dyDescent="0.25">
      <c r="A2209" s="63" t="s">
        <v>147</v>
      </c>
      <c r="B2209" s="895" t="s">
        <v>147</v>
      </c>
      <c r="C2209" s="896"/>
      <c r="D2209" s="906" t="s">
        <v>229</v>
      </c>
      <c r="E2209" s="907">
        <f>DMT!$F$8</f>
        <v>150</v>
      </c>
      <c r="F2209" s="908">
        <f>VLOOKUP(D2207,'ENSAIOS DE ORÇAMENTO'!$C$5:$L$81,5,FALSE)</f>
        <v>1.8801829999999999</v>
      </c>
      <c r="G2209" s="949">
        <f t="shared" ref="G2209:G2210" si="596">IF(E2209&lt;=30,(1.07*E2209+2.68)*F2209,((1.07*30+2.68)+1.07*(E2209-30))*F2209)</f>
        <v>306.80826194000002</v>
      </c>
      <c r="H2209" s="901"/>
      <c r="I2209" s="901"/>
      <c r="J2209" s="902">
        <f t="shared" si="595"/>
        <v>0</v>
      </c>
      <c r="K2209" s="903"/>
      <c r="L2209" s="1039">
        <f>ROUND(SUM('RES. CENTRAL PARK:RUA_FINAL'!L2209),2)</f>
        <v>0</v>
      </c>
      <c r="M2209" s="1039">
        <f t="shared" si="589"/>
        <v>0</v>
      </c>
      <c r="N2209" s="893">
        <f t="shared" si="590"/>
        <v>0</v>
      </c>
      <c r="O2209" s="905"/>
      <c r="P2209" s="36" t="str">
        <f>IF(N2207&gt;0,"xx",IF(N2207&gt;0,"xy",""))</f>
        <v/>
      </c>
      <c r="Q2209" s="317" t="str">
        <f t="shared" si="582"/>
        <v/>
      </c>
      <c r="R2209" s="317" t="str">
        <f t="shared" si="583"/>
        <v/>
      </c>
      <c r="S2209" s="317" t="str">
        <f t="shared" si="584"/>
        <v/>
      </c>
      <c r="V2209" s="314">
        <f>SUM('RES. CENTRAL PARK:RUA_FINAL'!N2209)</f>
        <v>0</v>
      </c>
      <c r="W2209" s="315">
        <f t="shared" si="592"/>
        <v>0</v>
      </c>
    </row>
    <row r="2210" spans="1:23" ht="13.5" hidden="1" thickBot="1" x14ac:dyDescent="0.25">
      <c r="A2210" s="63" t="s">
        <v>147</v>
      </c>
      <c r="B2210" s="895" t="s">
        <v>147</v>
      </c>
      <c r="C2210" s="896"/>
      <c r="D2210" s="906" t="s">
        <v>233</v>
      </c>
      <c r="E2210" s="907">
        <f>DMT!$F$10</f>
        <v>0.2</v>
      </c>
      <c r="F2210" s="908">
        <f>VLOOKUP(D2207,'ENSAIOS DE ORÇAMENTO'!$C$5:$L$81,6,FALSE)</f>
        <v>2.2481940000000002</v>
      </c>
      <c r="G2210" s="949">
        <f t="shared" si="596"/>
        <v>6.5062734360000007</v>
      </c>
      <c r="H2210" s="901"/>
      <c r="I2210" s="901"/>
      <c r="J2210" s="902">
        <f t="shared" si="595"/>
        <v>0</v>
      </c>
      <c r="K2210" s="903"/>
      <c r="L2210" s="1039">
        <f>ROUND(SUM('RES. CENTRAL PARK:RUA_FINAL'!L2210),2)</f>
        <v>0</v>
      </c>
      <c r="M2210" s="1039">
        <f t="shared" si="589"/>
        <v>0</v>
      </c>
      <c r="N2210" s="893">
        <f t="shared" si="590"/>
        <v>0</v>
      </c>
      <c r="O2210" s="905"/>
      <c r="P2210" s="36" t="str">
        <f>IF(N2207&gt;0,"xx",IF(N2207&gt;0,"xy",""))</f>
        <v/>
      </c>
      <c r="Q2210" s="317" t="str">
        <f t="shared" si="582"/>
        <v/>
      </c>
      <c r="R2210" s="317" t="str">
        <f t="shared" si="583"/>
        <v/>
      </c>
      <c r="S2210" s="317" t="str">
        <f t="shared" si="584"/>
        <v/>
      </c>
      <c r="V2210" s="314">
        <f>SUM('RES. CENTRAL PARK:RUA_FINAL'!N2210)</f>
        <v>0</v>
      </c>
      <c r="W2210" s="315">
        <f t="shared" si="592"/>
        <v>0</v>
      </c>
    </row>
    <row r="2211" spans="1:23" ht="13.5" hidden="1" thickBot="1" x14ac:dyDescent="0.25">
      <c r="A2211" s="63" t="s">
        <v>106</v>
      </c>
      <c r="B2211" s="895" t="s">
        <v>106</v>
      </c>
      <c r="C2211" s="896" t="s">
        <v>184</v>
      </c>
      <c r="D2211" s="906" t="s">
        <v>93</v>
      </c>
      <c r="E2211" s="907"/>
      <c r="F2211" s="908"/>
      <c r="G2211" s="912">
        <f>SUM(G2212:G2214)</f>
        <v>591.42263117599998</v>
      </c>
      <c r="H2211" s="901">
        <v>5931.1</v>
      </c>
      <c r="I2211" s="901">
        <f>IF(ISBLANK(H2211),"",SUM(G2211:H2211))</f>
        <v>6522.5226311760007</v>
      </c>
      <c r="J2211" s="902">
        <f t="shared" si="595"/>
        <v>7831.59</v>
      </c>
      <c r="K2211" s="903" t="s">
        <v>15</v>
      </c>
      <c r="L2211" s="1039">
        <f>ROUND(SUM('RES. CENTRAL PARK:RUA_FINAL'!L2211),2)</f>
        <v>0</v>
      </c>
      <c r="M2211" s="1039">
        <f t="shared" si="589"/>
        <v>0</v>
      </c>
      <c r="N2211" s="893">
        <f t="shared" si="590"/>
        <v>0</v>
      </c>
      <c r="O2211" s="905"/>
      <c r="Q2211" s="317" t="str">
        <f t="shared" si="582"/>
        <v/>
      </c>
      <c r="R2211" s="317" t="str">
        <f t="shared" si="583"/>
        <v/>
      </c>
      <c r="S2211" s="317" t="str">
        <f t="shared" si="584"/>
        <v/>
      </c>
      <c r="V2211" s="314">
        <f>SUM('RES. CENTRAL PARK:RUA_FINAL'!N2211)</f>
        <v>0</v>
      </c>
      <c r="W2211" s="315">
        <f t="shared" si="592"/>
        <v>0</v>
      </c>
    </row>
    <row r="2212" spans="1:23" ht="13.5" hidden="1" thickBot="1" x14ac:dyDescent="0.25">
      <c r="A2212" s="63" t="s">
        <v>147</v>
      </c>
      <c r="B2212" s="895" t="s">
        <v>147</v>
      </c>
      <c r="C2212" s="896"/>
      <c r="D2212" s="906" t="s">
        <v>190</v>
      </c>
      <c r="E2212" s="907">
        <f>DMT!$D$20</f>
        <v>308</v>
      </c>
      <c r="F2212" s="908">
        <f>VLOOKUP(D2211,'ENSAIOS DE ORÇAMENTO'!$C$5:$L$81,4,FALSE)</f>
        <v>0.81544199999999989</v>
      </c>
      <c r="G2212" s="909">
        <f>IF(E2212&lt;=30,(0.78*E2212+7.82)*F2212,((0.78*30+7.82)+0.78*(E2212-30))*F2212)</f>
        <v>202.27854251999997</v>
      </c>
      <c r="H2212" s="901"/>
      <c r="I2212" s="901"/>
      <c r="J2212" s="902">
        <f t="shared" si="595"/>
        <v>0</v>
      </c>
      <c r="K2212" s="903"/>
      <c r="L2212" s="1039">
        <f>ROUND(SUM('RES. CENTRAL PARK:RUA_FINAL'!L2212),2)</f>
        <v>0</v>
      </c>
      <c r="M2212" s="1039">
        <f t="shared" si="589"/>
        <v>0</v>
      </c>
      <c r="N2212" s="893">
        <f t="shared" si="590"/>
        <v>0</v>
      </c>
      <c r="O2212" s="905"/>
      <c r="P2212" s="36" t="str">
        <f>IF(N2211&gt;0,"xx",IF(N2211&gt;0,"xy",""))</f>
        <v/>
      </c>
      <c r="Q2212" s="317" t="str">
        <f t="shared" si="582"/>
        <v/>
      </c>
      <c r="R2212" s="317" t="str">
        <f t="shared" si="583"/>
        <v/>
      </c>
      <c r="S2212" s="317" t="str">
        <f t="shared" si="584"/>
        <v/>
      </c>
      <c r="V2212" s="314">
        <f>SUM('RES. CENTRAL PARK:RUA_FINAL'!N2212)</f>
        <v>0</v>
      </c>
      <c r="W2212" s="315">
        <f t="shared" si="592"/>
        <v>0</v>
      </c>
    </row>
    <row r="2213" spans="1:23" ht="13.5" hidden="1" thickBot="1" x14ac:dyDescent="0.25">
      <c r="A2213" s="63" t="s">
        <v>147</v>
      </c>
      <c r="B2213" s="895" t="s">
        <v>147</v>
      </c>
      <c r="C2213" s="896"/>
      <c r="D2213" s="906" t="s">
        <v>229</v>
      </c>
      <c r="E2213" s="907">
        <f>DMT!$F$8</f>
        <v>150</v>
      </c>
      <c r="F2213" s="908">
        <f>VLOOKUP(D2211,'ENSAIOS DE ORÇAMENTO'!$C$5:$L$81,5,FALSE)</f>
        <v>2.3351569999999997</v>
      </c>
      <c r="G2213" s="949">
        <f t="shared" ref="G2213:G2214" si="597">IF(E2213&lt;=30,(1.07*E2213+2.68)*F2213,((1.07*30+2.68)+1.07*(E2213-30))*F2213)</f>
        <v>381.05091925999994</v>
      </c>
      <c r="H2213" s="901"/>
      <c r="I2213" s="901"/>
      <c r="J2213" s="902">
        <f t="shared" si="595"/>
        <v>0</v>
      </c>
      <c r="K2213" s="903"/>
      <c r="L2213" s="1039">
        <f>ROUND(SUM('RES. CENTRAL PARK:RUA_FINAL'!L2213),2)</f>
        <v>0</v>
      </c>
      <c r="M2213" s="1039">
        <f t="shared" si="589"/>
        <v>0</v>
      </c>
      <c r="N2213" s="893">
        <f t="shared" si="590"/>
        <v>0</v>
      </c>
      <c r="O2213" s="905"/>
      <c r="P2213" s="36" t="str">
        <f>IF(N2211&gt;0,"xx",IF(N2211&gt;0,"xy",""))</f>
        <v/>
      </c>
      <c r="Q2213" s="317" t="str">
        <f t="shared" si="582"/>
        <v/>
      </c>
      <c r="R2213" s="317" t="str">
        <f t="shared" si="583"/>
        <v/>
      </c>
      <c r="S2213" s="317" t="str">
        <f t="shared" si="584"/>
        <v/>
      </c>
      <c r="V2213" s="314">
        <f>SUM('RES. CENTRAL PARK:RUA_FINAL'!N2213)</f>
        <v>0</v>
      </c>
      <c r="W2213" s="315">
        <f t="shared" si="592"/>
        <v>0</v>
      </c>
    </row>
    <row r="2214" spans="1:23" ht="13.5" hidden="1" thickBot="1" x14ac:dyDescent="0.25">
      <c r="A2214" s="63" t="s">
        <v>147</v>
      </c>
      <c r="B2214" s="895" t="s">
        <v>147</v>
      </c>
      <c r="C2214" s="896"/>
      <c r="D2214" s="906" t="s">
        <v>233</v>
      </c>
      <c r="E2214" s="907">
        <f>DMT!$F$10</f>
        <v>0.2</v>
      </c>
      <c r="F2214" s="908">
        <f>VLOOKUP(D2211,'ENSAIOS DE ORÇAMENTO'!$C$5:$L$81,6,FALSE)</f>
        <v>2.7965340000000003</v>
      </c>
      <c r="G2214" s="949">
        <f t="shared" si="597"/>
        <v>8.0931693960000004</v>
      </c>
      <c r="H2214" s="901"/>
      <c r="I2214" s="901"/>
      <c r="J2214" s="902">
        <f t="shared" si="595"/>
        <v>0</v>
      </c>
      <c r="K2214" s="903"/>
      <c r="L2214" s="1039">
        <f>ROUND(SUM('RES. CENTRAL PARK:RUA_FINAL'!L2214),2)</f>
        <v>0</v>
      </c>
      <c r="M2214" s="1039">
        <f t="shared" si="589"/>
        <v>0</v>
      </c>
      <c r="N2214" s="893">
        <f t="shared" si="590"/>
        <v>0</v>
      </c>
      <c r="O2214" s="905"/>
      <c r="P2214" s="36" t="str">
        <f>IF(N2211&gt;0,"xx",IF(N2211&gt;0,"xy",""))</f>
        <v/>
      </c>
      <c r="Q2214" s="317" t="str">
        <f t="shared" si="582"/>
        <v/>
      </c>
      <c r="R2214" s="317" t="str">
        <f t="shared" si="583"/>
        <v/>
      </c>
      <c r="S2214" s="317" t="str">
        <f t="shared" si="584"/>
        <v/>
      </c>
      <c r="V2214" s="314">
        <f>SUM('RES. CENTRAL PARK:RUA_FINAL'!N2214)</f>
        <v>0</v>
      </c>
      <c r="W2214" s="315">
        <f t="shared" si="592"/>
        <v>0</v>
      </c>
    </row>
    <row r="2215" spans="1:23" ht="13.5" hidden="1" thickBot="1" x14ac:dyDescent="0.25">
      <c r="A2215" s="63" t="s">
        <v>107</v>
      </c>
      <c r="B2215" s="895" t="s">
        <v>107</v>
      </c>
      <c r="C2215" s="896" t="s">
        <v>184</v>
      </c>
      <c r="D2215" s="906" t="s">
        <v>81</v>
      </c>
      <c r="E2215" s="907"/>
      <c r="F2215" s="908"/>
      <c r="G2215" s="912">
        <f>SUM(G2216:G2220)</f>
        <v>88.501804733055991</v>
      </c>
      <c r="H2215" s="901">
        <v>460.93</v>
      </c>
      <c r="I2215" s="901">
        <f>IF(ISBLANK(H2215),"",SUM(G2215:H2215))</f>
        <v>549.43180473305597</v>
      </c>
      <c r="J2215" s="902">
        <f t="shared" si="595"/>
        <v>659.7</v>
      </c>
      <c r="K2215" s="903" t="s">
        <v>15</v>
      </c>
      <c r="L2215" s="1039">
        <f>ROUND(SUM('RES. CENTRAL PARK:RUA_FINAL'!L2215),2)</f>
        <v>0</v>
      </c>
      <c r="M2215" s="1039">
        <f t="shared" si="589"/>
        <v>0</v>
      </c>
      <c r="N2215" s="893">
        <f t="shared" si="590"/>
        <v>0</v>
      </c>
      <c r="O2215" s="905"/>
      <c r="Q2215" s="317" t="str">
        <f t="shared" si="582"/>
        <v/>
      </c>
      <c r="R2215" s="317" t="str">
        <f t="shared" si="583"/>
        <v/>
      </c>
      <c r="S2215" s="317" t="str">
        <f t="shared" si="584"/>
        <v/>
      </c>
      <c r="V2215" s="314">
        <f>SUM('RES. CENTRAL PARK:RUA_FINAL'!N2215)</f>
        <v>0</v>
      </c>
      <c r="W2215" s="315">
        <f t="shared" si="592"/>
        <v>0</v>
      </c>
    </row>
    <row r="2216" spans="1:23" ht="13.5" hidden="1" thickBot="1" x14ac:dyDescent="0.25">
      <c r="A2216" s="63" t="s">
        <v>147</v>
      </c>
      <c r="B2216" s="895" t="s">
        <v>147</v>
      </c>
      <c r="C2216" s="896"/>
      <c r="D2216" s="906" t="s">
        <v>190</v>
      </c>
      <c r="E2216" s="907">
        <f>DMT!$D$20</f>
        <v>308</v>
      </c>
      <c r="F2216" s="908">
        <f>VLOOKUP(D2215,'ENSAIOS DE ORÇAMENTO'!$C$5:$L$81,4,FALSE)</f>
        <v>9.9453823999999996E-2</v>
      </c>
      <c r="G2216" s="909">
        <f>IF(E2216&lt;=30,(0.78*E2216+7.82)*F2216,((0.78*30+7.82)+0.78*(E2216-30))*F2216)</f>
        <v>24.67051558144</v>
      </c>
      <c r="H2216" s="901"/>
      <c r="I2216" s="901"/>
      <c r="J2216" s="902">
        <f t="shared" si="595"/>
        <v>0</v>
      </c>
      <c r="K2216" s="903"/>
      <c r="L2216" s="1039">
        <f>ROUND(SUM('RES. CENTRAL PARK:RUA_FINAL'!L2216),2)</f>
        <v>0</v>
      </c>
      <c r="M2216" s="1039">
        <f t="shared" si="589"/>
        <v>0</v>
      </c>
      <c r="N2216" s="893">
        <f t="shared" si="590"/>
        <v>0</v>
      </c>
      <c r="O2216" s="905"/>
      <c r="P2216" s="36" t="str">
        <f>IF(N2215&gt;0,"xx",IF(N2215&gt;0,"xy",""))</f>
        <v/>
      </c>
      <c r="Q2216" s="317" t="str">
        <f t="shared" si="582"/>
        <v/>
      </c>
      <c r="R2216" s="317" t="str">
        <f t="shared" si="583"/>
        <v/>
      </c>
      <c r="S2216" s="317" t="str">
        <f t="shared" si="584"/>
        <v/>
      </c>
      <c r="V2216" s="314">
        <f>SUM('RES. CENTRAL PARK:RUA_FINAL'!N2216)</f>
        <v>0</v>
      </c>
      <c r="W2216" s="315">
        <f t="shared" si="592"/>
        <v>0</v>
      </c>
    </row>
    <row r="2217" spans="1:23" ht="13.5" hidden="1" thickBot="1" x14ac:dyDescent="0.25">
      <c r="A2217" s="63" t="s">
        <v>147</v>
      </c>
      <c r="B2217" s="895" t="s">
        <v>147</v>
      </c>
      <c r="C2217" s="896"/>
      <c r="D2217" s="906" t="s">
        <v>229</v>
      </c>
      <c r="E2217" s="907">
        <f>DMT!$F$8</f>
        <v>150</v>
      </c>
      <c r="F2217" s="908">
        <f>VLOOKUP(D2215,'ENSAIOS DE ORÇAMENTO'!$C$5:$L$81,5,FALSE)</f>
        <v>0.3618486528</v>
      </c>
      <c r="G2217" s="949">
        <f t="shared" ref="G2217:G2219" si="598">IF(E2217&lt;=30,(1.07*E2217+2.68)*F2217,((1.07*30+2.68)+1.07*(E2217-30))*F2217)</f>
        <v>59.046463163904001</v>
      </c>
      <c r="H2217" s="901"/>
      <c r="I2217" s="901"/>
      <c r="J2217" s="902">
        <f t="shared" si="595"/>
        <v>0</v>
      </c>
      <c r="K2217" s="903"/>
      <c r="L2217" s="1039">
        <f>ROUND(SUM('RES. CENTRAL PARK:RUA_FINAL'!L2217),2)</f>
        <v>0</v>
      </c>
      <c r="M2217" s="1039">
        <f t="shared" si="589"/>
        <v>0</v>
      </c>
      <c r="N2217" s="893">
        <f t="shared" si="590"/>
        <v>0</v>
      </c>
      <c r="O2217" s="905"/>
      <c r="P2217" s="36" t="str">
        <f>IF(N2215&gt;0,"xx",IF(N2215&gt;0,"xy",""))</f>
        <v/>
      </c>
      <c r="Q2217" s="317" t="str">
        <f t="shared" si="582"/>
        <v/>
      </c>
      <c r="R2217" s="317" t="str">
        <f t="shared" si="583"/>
        <v/>
      </c>
      <c r="S2217" s="317" t="str">
        <f t="shared" si="584"/>
        <v/>
      </c>
      <c r="V2217" s="314">
        <f>SUM('RES. CENTRAL PARK:RUA_FINAL'!N2217)</f>
        <v>0</v>
      </c>
      <c r="W2217" s="315">
        <f t="shared" si="592"/>
        <v>0</v>
      </c>
    </row>
    <row r="2218" spans="1:23" ht="13.5" hidden="1" thickBot="1" x14ac:dyDescent="0.25">
      <c r="A2218" s="63" t="s">
        <v>147</v>
      </c>
      <c r="B2218" s="895" t="s">
        <v>147</v>
      </c>
      <c r="C2218" s="896"/>
      <c r="D2218" s="906" t="s">
        <v>233</v>
      </c>
      <c r="E2218" s="907">
        <f>DMT!$F$10</f>
        <v>0.2</v>
      </c>
      <c r="F2218" s="908">
        <f>VLOOKUP(D2215,'ENSAIOS DE ORÇAMENTO'!$C$5:$L$81,6,FALSE)</f>
        <v>0.308576448</v>
      </c>
      <c r="G2218" s="949">
        <f t="shared" si="598"/>
        <v>0.89302024051200002</v>
      </c>
      <c r="H2218" s="901"/>
      <c r="I2218" s="901"/>
      <c r="J2218" s="902">
        <f t="shared" si="595"/>
        <v>0</v>
      </c>
      <c r="K2218" s="903"/>
      <c r="L2218" s="1039">
        <f>ROUND(SUM('RES. CENTRAL PARK:RUA_FINAL'!L2218),2)</f>
        <v>0</v>
      </c>
      <c r="M2218" s="1039">
        <f t="shared" si="589"/>
        <v>0</v>
      </c>
      <c r="N2218" s="893">
        <f t="shared" si="590"/>
        <v>0</v>
      </c>
      <c r="O2218" s="905"/>
      <c r="P2218" s="36" t="str">
        <f>IF(N2215&gt;0,"xx",IF(N2215&gt;0,"xy",""))</f>
        <v/>
      </c>
      <c r="Q2218" s="317" t="str">
        <f t="shared" si="582"/>
        <v/>
      </c>
      <c r="R2218" s="317" t="str">
        <f t="shared" si="583"/>
        <v/>
      </c>
      <c r="S2218" s="317" t="str">
        <f t="shared" si="584"/>
        <v/>
      </c>
      <c r="V2218" s="314">
        <f>SUM('RES. CENTRAL PARK:RUA_FINAL'!N2218)</f>
        <v>0</v>
      </c>
      <c r="W2218" s="315">
        <f t="shared" si="592"/>
        <v>0</v>
      </c>
    </row>
    <row r="2219" spans="1:23" ht="13.5" hidden="1" thickBot="1" x14ac:dyDescent="0.25">
      <c r="A2219" s="63" t="s">
        <v>147</v>
      </c>
      <c r="B2219" s="895" t="s">
        <v>147</v>
      </c>
      <c r="C2219" s="896"/>
      <c r="D2219" s="906" t="s">
        <v>365</v>
      </c>
      <c r="E2219" s="907">
        <f>DMT!$F$32</f>
        <v>10</v>
      </c>
      <c r="F2219" s="908">
        <f>VLOOKUP(D2215,'ENSAIOS DE ORÇAMENTO'!$C$5:$L$81,3,FALSE)</f>
        <v>0.17055359999999997</v>
      </c>
      <c r="G2219" s="949">
        <f t="shared" si="598"/>
        <v>2.2820071679999998</v>
      </c>
      <c r="H2219" s="901"/>
      <c r="I2219" s="901"/>
      <c r="J2219" s="902">
        <f t="shared" si="595"/>
        <v>0</v>
      </c>
      <c r="K2219" s="903"/>
      <c r="L2219" s="1039">
        <f>ROUND(SUM('RES. CENTRAL PARK:RUA_FINAL'!L2219),2)</f>
        <v>0</v>
      </c>
      <c r="M2219" s="1039">
        <f t="shared" si="589"/>
        <v>0</v>
      </c>
      <c r="N2219" s="893">
        <f t="shared" si="590"/>
        <v>0</v>
      </c>
      <c r="O2219" s="905"/>
      <c r="P2219" s="36" t="str">
        <f>IF(N2215&gt;0,"xx",IF(N2215&gt;0,"xy",""))</f>
        <v/>
      </c>
      <c r="Q2219" s="317" t="str">
        <f t="shared" si="582"/>
        <v/>
      </c>
      <c r="R2219" s="317" t="str">
        <f t="shared" si="583"/>
        <v/>
      </c>
      <c r="S2219" s="317" t="str">
        <f t="shared" si="584"/>
        <v/>
      </c>
      <c r="V2219" s="314">
        <f>SUM('RES. CENTRAL PARK:RUA_FINAL'!N2219)</f>
        <v>0</v>
      </c>
      <c r="W2219" s="315">
        <f t="shared" si="592"/>
        <v>0</v>
      </c>
    </row>
    <row r="2220" spans="1:23" ht="13.5" hidden="1" thickBot="1" x14ac:dyDescent="0.25">
      <c r="A2220" s="63" t="s">
        <v>147</v>
      </c>
      <c r="B2220" s="895" t="s">
        <v>147</v>
      </c>
      <c r="C2220" s="896"/>
      <c r="D2220" s="906" t="s">
        <v>366</v>
      </c>
      <c r="E2220" s="907">
        <f>DMT!$D$18</f>
        <v>353</v>
      </c>
      <c r="F2220" s="908">
        <f>VLOOKUP(D2215,'ENSAIOS DE ORÇAMENTO'!$C$5:$L$81,10,FALSE)</f>
        <v>5.6851199999999992E-3</v>
      </c>
      <c r="G2220" s="909">
        <f>IF(E2220&lt;=30,(0.78*E2220+7.82)*F2220,((0.78*30+7.82)+0.78*(E2220-30))*F2220)</f>
        <v>1.6097985792</v>
      </c>
      <c r="H2220" s="901"/>
      <c r="I2220" s="901"/>
      <c r="J2220" s="902">
        <f t="shared" si="595"/>
        <v>0</v>
      </c>
      <c r="K2220" s="903"/>
      <c r="L2220" s="1039">
        <f>ROUND(SUM('RES. CENTRAL PARK:RUA_FINAL'!L2220),2)</f>
        <v>0</v>
      </c>
      <c r="M2220" s="1039">
        <f t="shared" si="589"/>
        <v>0</v>
      </c>
      <c r="N2220" s="893">
        <f t="shared" si="590"/>
        <v>0</v>
      </c>
      <c r="O2220" s="905"/>
      <c r="P2220" s="36" t="str">
        <f>IF(N2215&gt;0,"xx",IF(N2215&gt;0,"xy",""))</f>
        <v/>
      </c>
      <c r="Q2220" s="317" t="str">
        <f t="shared" si="582"/>
        <v/>
      </c>
      <c r="R2220" s="317" t="str">
        <f t="shared" si="583"/>
        <v/>
      </c>
      <c r="S2220" s="317" t="str">
        <f t="shared" si="584"/>
        <v/>
      </c>
      <c r="V2220" s="314">
        <f>SUM('RES. CENTRAL PARK:RUA_FINAL'!N2220)</f>
        <v>0</v>
      </c>
      <c r="W2220" s="315">
        <f t="shared" si="592"/>
        <v>0</v>
      </c>
    </row>
    <row r="2221" spans="1:23" ht="13.5" hidden="1" thickBot="1" x14ac:dyDescent="0.25">
      <c r="A2221" s="63" t="s">
        <v>29</v>
      </c>
      <c r="B2221" s="895" t="s">
        <v>29</v>
      </c>
      <c r="C2221" s="896" t="s">
        <v>184</v>
      </c>
      <c r="D2221" s="906" t="s">
        <v>82</v>
      </c>
      <c r="E2221" s="907"/>
      <c r="F2221" s="908"/>
      <c r="G2221" s="912">
        <f>SUM(G2222:G2226)</f>
        <v>130.39101798592</v>
      </c>
      <c r="H2221" s="901">
        <v>702.1</v>
      </c>
      <c r="I2221" s="901">
        <f>IF(ISBLANK(H2221),"",SUM(G2221:H2221))</f>
        <v>832.49101798592005</v>
      </c>
      <c r="J2221" s="902">
        <f t="shared" si="595"/>
        <v>999.57</v>
      </c>
      <c r="K2221" s="903" t="s">
        <v>15</v>
      </c>
      <c r="L2221" s="1039">
        <f>ROUND(SUM('RES. CENTRAL PARK:RUA_FINAL'!L2221),2)</f>
        <v>0</v>
      </c>
      <c r="M2221" s="1039">
        <f t="shared" si="589"/>
        <v>0</v>
      </c>
      <c r="N2221" s="893">
        <f t="shared" si="590"/>
        <v>0</v>
      </c>
      <c r="O2221" s="905"/>
      <c r="Q2221" s="317" t="str">
        <f t="shared" si="582"/>
        <v/>
      </c>
      <c r="R2221" s="317" t="str">
        <f t="shared" si="583"/>
        <v/>
      </c>
      <c r="S2221" s="317" t="str">
        <f t="shared" si="584"/>
        <v/>
      </c>
      <c r="V2221" s="314">
        <f>SUM('RES. CENTRAL PARK:RUA_FINAL'!N2221)</f>
        <v>0</v>
      </c>
      <c r="W2221" s="315">
        <f t="shared" si="592"/>
        <v>0</v>
      </c>
    </row>
    <row r="2222" spans="1:23" ht="13.5" hidden="1" thickBot="1" x14ac:dyDescent="0.25">
      <c r="A2222" s="63" t="s">
        <v>147</v>
      </c>
      <c r="B2222" s="895" t="s">
        <v>147</v>
      </c>
      <c r="C2222" s="896"/>
      <c r="D2222" s="906" t="s">
        <v>190</v>
      </c>
      <c r="E2222" s="907">
        <f>DMT!$D$20</f>
        <v>308</v>
      </c>
      <c r="F2222" s="908">
        <f>VLOOKUP(D2221,'ENSAIOS DE ORÇAMENTO'!$C$5:$L$81,4,FALSE)</f>
        <v>0.14735024000000002</v>
      </c>
      <c r="G2222" s="909">
        <f>IF(E2222&lt;=30,(0.78*E2222+7.82)*F2222,((0.78*30+7.82)+0.78*(E2222-30))*F2222)</f>
        <v>36.551700534400005</v>
      </c>
      <c r="H2222" s="901"/>
      <c r="I2222" s="901"/>
      <c r="J2222" s="902">
        <f t="shared" si="595"/>
        <v>0</v>
      </c>
      <c r="K2222" s="903"/>
      <c r="L2222" s="1039">
        <f>ROUND(SUM('RES. CENTRAL PARK:RUA_FINAL'!L2222),2)</f>
        <v>0</v>
      </c>
      <c r="M2222" s="1039">
        <f t="shared" si="589"/>
        <v>0</v>
      </c>
      <c r="N2222" s="893">
        <f t="shared" si="590"/>
        <v>0</v>
      </c>
      <c r="O2222" s="905"/>
      <c r="P2222" s="36" t="str">
        <f>IF(N2221&gt;0,"xx",IF(N2221&gt;0,"xy",""))</f>
        <v/>
      </c>
      <c r="Q2222" s="317" t="str">
        <f t="shared" si="582"/>
        <v/>
      </c>
      <c r="R2222" s="317" t="str">
        <f t="shared" si="583"/>
        <v/>
      </c>
      <c r="S2222" s="317" t="str">
        <f t="shared" si="584"/>
        <v/>
      </c>
      <c r="V2222" s="314">
        <f>SUM('RES. CENTRAL PARK:RUA_FINAL'!N2222)</f>
        <v>0</v>
      </c>
      <c r="W2222" s="315">
        <f t="shared" si="592"/>
        <v>0</v>
      </c>
    </row>
    <row r="2223" spans="1:23" ht="13.5" hidden="1" thickBot="1" x14ac:dyDescent="0.25">
      <c r="A2223" s="63" t="s">
        <v>147</v>
      </c>
      <c r="B2223" s="895" t="s">
        <v>147</v>
      </c>
      <c r="C2223" s="896"/>
      <c r="D2223" s="906" t="s">
        <v>229</v>
      </c>
      <c r="E2223" s="907">
        <f>DMT!$F$8</f>
        <v>150</v>
      </c>
      <c r="F2223" s="908">
        <f>VLOOKUP(D2221,'ENSAIOS DE ORÇAMENTO'!$C$5:$L$81,5,FALSE)</f>
        <v>0.52819569600000005</v>
      </c>
      <c r="G2223" s="949">
        <f t="shared" ref="G2223:G2225" si="599">IF(E2223&lt;=30,(1.07*E2223+2.68)*F2223,((1.07*30+2.68)+1.07*(E2223-30))*F2223)</f>
        <v>86.190973673280013</v>
      </c>
      <c r="H2223" s="901"/>
      <c r="I2223" s="901"/>
      <c r="J2223" s="902">
        <f t="shared" si="595"/>
        <v>0</v>
      </c>
      <c r="K2223" s="903"/>
      <c r="L2223" s="1039">
        <f>ROUND(SUM('RES. CENTRAL PARK:RUA_FINAL'!L2223),2)</f>
        <v>0</v>
      </c>
      <c r="M2223" s="1039">
        <f t="shared" si="589"/>
        <v>0</v>
      </c>
      <c r="N2223" s="893">
        <f t="shared" si="590"/>
        <v>0</v>
      </c>
      <c r="O2223" s="905"/>
      <c r="P2223" s="36" t="str">
        <f>IF(N2221&gt;0,"xx",IF(N2221&gt;0,"xy",""))</f>
        <v/>
      </c>
      <c r="Q2223" s="317" t="str">
        <f t="shared" si="582"/>
        <v/>
      </c>
      <c r="R2223" s="317" t="str">
        <f t="shared" si="583"/>
        <v/>
      </c>
      <c r="S2223" s="317" t="str">
        <f t="shared" si="584"/>
        <v/>
      </c>
      <c r="V2223" s="314">
        <f>SUM('RES. CENTRAL PARK:RUA_FINAL'!N2223)</f>
        <v>0</v>
      </c>
      <c r="W2223" s="315">
        <f t="shared" si="592"/>
        <v>0</v>
      </c>
    </row>
    <row r="2224" spans="1:23" ht="13.5" hidden="1" thickBot="1" x14ac:dyDescent="0.25">
      <c r="A2224" s="63" t="s">
        <v>147</v>
      </c>
      <c r="B2224" s="895" t="s">
        <v>147</v>
      </c>
      <c r="C2224" s="896"/>
      <c r="D2224" s="906" t="s">
        <v>233</v>
      </c>
      <c r="E2224" s="907">
        <f>DMT!$F$10</f>
        <v>0.2</v>
      </c>
      <c r="F2224" s="908">
        <f>VLOOKUP(D2221,'ENSAIOS DE ORÇAMENTO'!$C$5:$L$81,6,FALSE)</f>
        <v>0.43353936000000004</v>
      </c>
      <c r="G2224" s="949">
        <f t="shared" si="599"/>
        <v>1.2546629078400002</v>
      </c>
      <c r="H2224" s="901"/>
      <c r="I2224" s="901"/>
      <c r="J2224" s="902">
        <f t="shared" si="595"/>
        <v>0</v>
      </c>
      <c r="K2224" s="903"/>
      <c r="L2224" s="1039">
        <f>ROUND(SUM('RES. CENTRAL PARK:RUA_FINAL'!L2224),2)</f>
        <v>0</v>
      </c>
      <c r="M2224" s="1039">
        <f t="shared" si="589"/>
        <v>0</v>
      </c>
      <c r="N2224" s="893">
        <f t="shared" si="590"/>
        <v>0</v>
      </c>
      <c r="O2224" s="905"/>
      <c r="P2224" s="36" t="str">
        <f>IF(N2221&gt;0,"xx",IF(N2221&gt;0,"xy",""))</f>
        <v/>
      </c>
      <c r="Q2224" s="317" t="str">
        <f t="shared" si="582"/>
        <v/>
      </c>
      <c r="R2224" s="317" t="str">
        <f t="shared" si="583"/>
        <v/>
      </c>
      <c r="S2224" s="317" t="str">
        <f t="shared" si="584"/>
        <v/>
      </c>
      <c r="V2224" s="314">
        <f>SUM('RES. CENTRAL PARK:RUA_FINAL'!N2224)</f>
        <v>0</v>
      </c>
      <c r="W2224" s="315">
        <f t="shared" si="592"/>
        <v>0</v>
      </c>
    </row>
    <row r="2225" spans="1:23" ht="13.5" hidden="1" thickBot="1" x14ac:dyDescent="0.25">
      <c r="A2225" s="63" t="s">
        <v>147</v>
      </c>
      <c r="B2225" s="895" t="s">
        <v>147</v>
      </c>
      <c r="C2225" s="896"/>
      <c r="D2225" s="906" t="s">
        <v>365</v>
      </c>
      <c r="E2225" s="907">
        <f>DMT!$F$32</f>
        <v>10</v>
      </c>
      <c r="F2225" s="908">
        <f>VLOOKUP(D2221,'ENSAIOS DE ORÇAMENTO'!$C$5:$L$81,3,FALSE)</f>
        <v>0.28019519999999998</v>
      </c>
      <c r="G2225" s="949">
        <f t="shared" si="599"/>
        <v>3.7490117760000001</v>
      </c>
      <c r="H2225" s="901"/>
      <c r="I2225" s="901"/>
      <c r="J2225" s="902">
        <f t="shared" si="595"/>
        <v>0</v>
      </c>
      <c r="K2225" s="903"/>
      <c r="L2225" s="1039">
        <f>ROUND(SUM('RES. CENTRAL PARK:RUA_FINAL'!L2225),2)</f>
        <v>0</v>
      </c>
      <c r="M2225" s="1039">
        <f t="shared" si="589"/>
        <v>0</v>
      </c>
      <c r="N2225" s="893">
        <f t="shared" si="590"/>
        <v>0</v>
      </c>
      <c r="O2225" s="905"/>
      <c r="P2225" s="36" t="str">
        <f>IF(N2221&gt;0,"xx",IF(N2221&gt;0,"xy",""))</f>
        <v/>
      </c>
      <c r="Q2225" s="317" t="str">
        <f t="shared" si="582"/>
        <v/>
      </c>
      <c r="R2225" s="317" t="str">
        <f t="shared" si="583"/>
        <v/>
      </c>
      <c r="S2225" s="317" t="str">
        <f t="shared" si="584"/>
        <v/>
      </c>
      <c r="V2225" s="314">
        <f>SUM('RES. CENTRAL PARK:RUA_FINAL'!N2225)</f>
        <v>0</v>
      </c>
      <c r="W2225" s="315">
        <f t="shared" si="592"/>
        <v>0</v>
      </c>
    </row>
    <row r="2226" spans="1:23" ht="13.5" hidden="1" thickBot="1" x14ac:dyDescent="0.25">
      <c r="A2226" s="63" t="s">
        <v>147</v>
      </c>
      <c r="B2226" s="895" t="s">
        <v>147</v>
      </c>
      <c r="C2226" s="896"/>
      <c r="D2226" s="906" t="s">
        <v>366</v>
      </c>
      <c r="E2226" s="907">
        <f>DMT!$D$18</f>
        <v>353</v>
      </c>
      <c r="F2226" s="908">
        <f>VLOOKUP(D2221,'ENSAIOS DE ORÇAMENTO'!$C$5:$L$81,10,FALSE)</f>
        <v>9.3398400000000003E-3</v>
      </c>
      <c r="G2226" s="909">
        <f>IF(E2226&lt;=30,(0.78*E2226+7.82)*F2226,((0.78*30+7.82)+0.78*(E2226-30))*F2226)</f>
        <v>2.6446690944000002</v>
      </c>
      <c r="H2226" s="901"/>
      <c r="I2226" s="901"/>
      <c r="J2226" s="902">
        <f t="shared" si="595"/>
        <v>0</v>
      </c>
      <c r="K2226" s="903"/>
      <c r="L2226" s="1039">
        <f>ROUND(SUM('RES. CENTRAL PARK:RUA_FINAL'!L2226),2)</f>
        <v>0</v>
      </c>
      <c r="M2226" s="1039">
        <f t="shared" si="589"/>
        <v>0</v>
      </c>
      <c r="N2226" s="893">
        <f t="shared" si="590"/>
        <v>0</v>
      </c>
      <c r="O2226" s="905"/>
      <c r="P2226" s="36" t="str">
        <f>IF(N2221&gt;0,"xx",IF(N2221&gt;0,"xy",""))</f>
        <v/>
      </c>
      <c r="Q2226" s="317" t="str">
        <f t="shared" ref="Q2226:Q2275" si="600">IF(P2226="X","x",IF(P2226="xx","x",IF(P2226="xy","x",IF(P2226="y","x",IF(OR(N2226&gt;0,N2226&gt;0),"x","")))))</f>
        <v/>
      </c>
      <c r="R2226" s="317" t="str">
        <f t="shared" ref="R2226:R2275" si="601">IF(P2226="X","x",IF(P2226="y","x",IF(P2226="xx","x",IF(N2226&gt;0,"x",""))))</f>
        <v/>
      </c>
      <c r="S2226" s="317" t="str">
        <f t="shared" ref="S2226:S2275" si="602">IF(P2226="X","x",IF(N2226&gt;0,"x",""))</f>
        <v/>
      </c>
      <c r="V2226" s="314">
        <f>SUM('RES. CENTRAL PARK:RUA_FINAL'!N2226)</f>
        <v>0</v>
      </c>
      <c r="W2226" s="315">
        <f t="shared" si="592"/>
        <v>0</v>
      </c>
    </row>
    <row r="2227" spans="1:23" ht="13.5" hidden="1" thickBot="1" x14ac:dyDescent="0.25">
      <c r="A2227" s="63" t="s">
        <v>30</v>
      </c>
      <c r="B2227" s="895" t="s">
        <v>30</v>
      </c>
      <c r="C2227" s="896" t="s">
        <v>184</v>
      </c>
      <c r="D2227" s="906" t="s">
        <v>58</v>
      </c>
      <c r="E2227" s="907"/>
      <c r="F2227" s="908"/>
      <c r="G2227" s="912">
        <f>SUM(G2228:G2232)</f>
        <v>237.28563252992004</v>
      </c>
      <c r="H2227" s="901">
        <v>1305.72</v>
      </c>
      <c r="I2227" s="901">
        <f>IF(ISBLANK(H2227),"",SUM(G2227:H2227))</f>
        <v>1543.0056325299201</v>
      </c>
      <c r="J2227" s="902">
        <f t="shared" si="595"/>
        <v>1852.69</v>
      </c>
      <c r="K2227" s="903" t="s">
        <v>15</v>
      </c>
      <c r="L2227" s="1039">
        <f>ROUND(SUM('RES. CENTRAL PARK:RUA_FINAL'!L2227),2)</f>
        <v>0</v>
      </c>
      <c r="M2227" s="1039">
        <f t="shared" si="589"/>
        <v>0</v>
      </c>
      <c r="N2227" s="893">
        <f t="shared" si="590"/>
        <v>0</v>
      </c>
      <c r="O2227" s="905"/>
      <c r="Q2227" s="317" t="str">
        <f t="shared" si="600"/>
        <v/>
      </c>
      <c r="R2227" s="317" t="str">
        <f t="shared" si="601"/>
        <v/>
      </c>
      <c r="S2227" s="317" t="str">
        <f t="shared" si="602"/>
        <v/>
      </c>
      <c r="V2227" s="314">
        <f>SUM('RES. CENTRAL PARK:RUA_FINAL'!N2227)</f>
        <v>0</v>
      </c>
      <c r="W2227" s="315">
        <f t="shared" si="592"/>
        <v>0</v>
      </c>
    </row>
    <row r="2228" spans="1:23" ht="13.5" hidden="1" thickBot="1" x14ac:dyDescent="0.25">
      <c r="A2228" s="63" t="s">
        <v>147</v>
      </c>
      <c r="B2228" s="895" t="s">
        <v>147</v>
      </c>
      <c r="C2228" s="896"/>
      <c r="D2228" s="906" t="s">
        <v>190</v>
      </c>
      <c r="E2228" s="907">
        <f>DMT!$D$20</f>
        <v>308</v>
      </c>
      <c r="F2228" s="908">
        <f>VLOOKUP(D2227,'ENSAIOS DE ORÇAMENTO'!$C$5:$L$81,4,FALSE)</f>
        <v>0.25613760000000002</v>
      </c>
      <c r="G2228" s="909">
        <f>IF(E2228&lt;=30,(0.78*E2228+7.82)*F2228,((0.78*30+7.82)+0.78*(E2228-30))*F2228)</f>
        <v>63.537493056000002</v>
      </c>
      <c r="H2228" s="901"/>
      <c r="I2228" s="901"/>
      <c r="J2228" s="902">
        <f t="shared" si="595"/>
        <v>0</v>
      </c>
      <c r="K2228" s="903"/>
      <c r="L2228" s="1039">
        <f>ROUND(SUM('RES. CENTRAL PARK:RUA_FINAL'!L2228),2)</f>
        <v>0</v>
      </c>
      <c r="M2228" s="1039">
        <f t="shared" si="589"/>
        <v>0</v>
      </c>
      <c r="N2228" s="893">
        <f t="shared" si="590"/>
        <v>0</v>
      </c>
      <c r="O2228" s="905"/>
      <c r="P2228" s="36" t="str">
        <f>IF(N2227&gt;0,"xx",IF(N2227&gt;0,"xy",""))</f>
        <v/>
      </c>
      <c r="Q2228" s="317" t="str">
        <f t="shared" si="600"/>
        <v/>
      </c>
      <c r="R2228" s="317" t="str">
        <f t="shared" si="601"/>
        <v/>
      </c>
      <c r="S2228" s="317" t="str">
        <f t="shared" si="602"/>
        <v/>
      </c>
      <c r="V2228" s="314">
        <f>SUM('RES. CENTRAL PARK:RUA_FINAL'!N2228)</f>
        <v>0</v>
      </c>
      <c r="W2228" s="315">
        <f t="shared" si="592"/>
        <v>0</v>
      </c>
    </row>
    <row r="2229" spans="1:23" ht="13.5" hidden="1" thickBot="1" x14ac:dyDescent="0.25">
      <c r="A2229" s="63" t="s">
        <v>147</v>
      </c>
      <c r="B2229" s="895" t="s">
        <v>147</v>
      </c>
      <c r="C2229" s="896"/>
      <c r="D2229" s="906" t="s">
        <v>229</v>
      </c>
      <c r="E2229" s="907">
        <f>DMT!$F$8</f>
        <v>150</v>
      </c>
      <c r="F2229" s="908">
        <f>VLOOKUP(D2227,'ENSAIOS DE ORÇAMENTO'!$C$5:$L$81,5,FALSE)</f>
        <v>0.95694329600000005</v>
      </c>
      <c r="G2229" s="949">
        <f t="shared" ref="G2229:G2231" si="603">IF(E2229&lt;=30,(1.07*E2229+2.68)*F2229,((1.07*30+2.68)+1.07*(E2229-30))*F2229)</f>
        <v>156.15400704128001</v>
      </c>
      <c r="H2229" s="901"/>
      <c r="I2229" s="901"/>
      <c r="J2229" s="902">
        <f t="shared" si="595"/>
        <v>0</v>
      </c>
      <c r="K2229" s="903"/>
      <c r="L2229" s="1039">
        <f>ROUND(SUM('RES. CENTRAL PARK:RUA_FINAL'!L2229),2)</f>
        <v>0</v>
      </c>
      <c r="M2229" s="1039">
        <f t="shared" si="589"/>
        <v>0</v>
      </c>
      <c r="N2229" s="893">
        <f t="shared" si="590"/>
        <v>0</v>
      </c>
      <c r="O2229" s="905"/>
      <c r="P2229" s="36" t="str">
        <f>IF(N2227&gt;0,"xx",IF(N2227&gt;0,"xy",""))</f>
        <v/>
      </c>
      <c r="Q2229" s="317" t="str">
        <f t="shared" si="600"/>
        <v/>
      </c>
      <c r="R2229" s="317" t="str">
        <f t="shared" si="601"/>
        <v/>
      </c>
      <c r="S2229" s="317" t="str">
        <f t="shared" si="602"/>
        <v/>
      </c>
      <c r="V2229" s="314">
        <f>SUM('RES. CENTRAL PARK:RUA_FINAL'!N2229)</f>
        <v>0</v>
      </c>
      <c r="W2229" s="315">
        <f t="shared" si="592"/>
        <v>0</v>
      </c>
    </row>
    <row r="2230" spans="1:23" ht="13.5" hidden="1" thickBot="1" x14ac:dyDescent="0.25">
      <c r="A2230" s="63" t="s">
        <v>147</v>
      </c>
      <c r="B2230" s="895" t="s">
        <v>147</v>
      </c>
      <c r="C2230" s="896"/>
      <c r="D2230" s="906" t="s">
        <v>233</v>
      </c>
      <c r="E2230" s="907">
        <f>DMT!$F$10</f>
        <v>0.2</v>
      </c>
      <c r="F2230" s="908">
        <f>VLOOKUP(D2227,'ENSAIOS DE ORÇAMENTO'!$C$5:$L$81,6,FALSE)</f>
        <v>0.70038336000000012</v>
      </c>
      <c r="G2230" s="949">
        <f t="shared" si="603"/>
        <v>2.0269094438400006</v>
      </c>
      <c r="H2230" s="901"/>
      <c r="I2230" s="901"/>
      <c r="J2230" s="902">
        <f t="shared" si="595"/>
        <v>0</v>
      </c>
      <c r="K2230" s="903"/>
      <c r="L2230" s="1039">
        <f>ROUND(SUM('RES. CENTRAL PARK:RUA_FINAL'!L2230),2)</f>
        <v>0</v>
      </c>
      <c r="M2230" s="1039">
        <f t="shared" si="589"/>
        <v>0</v>
      </c>
      <c r="N2230" s="893">
        <f t="shared" si="590"/>
        <v>0</v>
      </c>
      <c r="O2230" s="905"/>
      <c r="P2230" s="36" t="str">
        <f>IF(N2227&gt;0,"xx",IF(N2227&gt;0,"xy",""))</f>
        <v/>
      </c>
      <c r="Q2230" s="317" t="str">
        <f t="shared" si="600"/>
        <v/>
      </c>
      <c r="R2230" s="317" t="str">
        <f t="shared" si="601"/>
        <v/>
      </c>
      <c r="S2230" s="317" t="str">
        <f t="shared" si="602"/>
        <v/>
      </c>
      <c r="V2230" s="314">
        <f>SUM('RES. CENTRAL PARK:RUA_FINAL'!N2230)</f>
        <v>0</v>
      </c>
      <c r="W2230" s="315">
        <f t="shared" si="592"/>
        <v>0</v>
      </c>
    </row>
    <row r="2231" spans="1:23" ht="13.5" hidden="1" thickBot="1" x14ac:dyDescent="0.25">
      <c r="A2231" s="63" t="s">
        <v>147</v>
      </c>
      <c r="B2231" s="895" t="s">
        <v>147</v>
      </c>
      <c r="C2231" s="896"/>
      <c r="D2231" s="906" t="s">
        <v>365</v>
      </c>
      <c r="E2231" s="907">
        <f>DMT!$F$32</f>
        <v>10</v>
      </c>
      <c r="F2231" s="908">
        <f>VLOOKUP(D2227,'ENSAIOS DE ORÇAMENTO'!$C$5:$L$81,3,FALSE)</f>
        <v>0.6822144</v>
      </c>
      <c r="G2231" s="949">
        <f t="shared" si="603"/>
        <v>9.128028672000001</v>
      </c>
      <c r="H2231" s="901"/>
      <c r="I2231" s="901"/>
      <c r="J2231" s="902">
        <f t="shared" si="595"/>
        <v>0</v>
      </c>
      <c r="K2231" s="903"/>
      <c r="L2231" s="1039">
        <f>ROUND(SUM('RES. CENTRAL PARK:RUA_FINAL'!L2231),2)</f>
        <v>0</v>
      </c>
      <c r="M2231" s="1039">
        <f t="shared" si="589"/>
        <v>0</v>
      </c>
      <c r="N2231" s="893">
        <f t="shared" si="590"/>
        <v>0</v>
      </c>
      <c r="O2231" s="905"/>
      <c r="P2231" s="36" t="str">
        <f>IF(N2227&gt;0,"xx",IF(N2227&gt;0,"xy",""))</f>
        <v/>
      </c>
      <c r="Q2231" s="317" t="str">
        <f t="shared" si="600"/>
        <v/>
      </c>
      <c r="R2231" s="317" t="str">
        <f t="shared" si="601"/>
        <v/>
      </c>
      <c r="S2231" s="317" t="str">
        <f t="shared" si="602"/>
        <v/>
      </c>
      <c r="V2231" s="314">
        <f>SUM('RES. CENTRAL PARK:RUA_FINAL'!N2231)</f>
        <v>0</v>
      </c>
      <c r="W2231" s="315">
        <f t="shared" si="592"/>
        <v>0</v>
      </c>
    </row>
    <row r="2232" spans="1:23" ht="13.5" hidden="1" thickBot="1" x14ac:dyDescent="0.25">
      <c r="A2232" s="63" t="s">
        <v>147</v>
      </c>
      <c r="B2232" s="895" t="s">
        <v>147</v>
      </c>
      <c r="C2232" s="896"/>
      <c r="D2232" s="906" t="s">
        <v>366</v>
      </c>
      <c r="E2232" s="907">
        <f>DMT!$D$18</f>
        <v>353</v>
      </c>
      <c r="F2232" s="908">
        <f>VLOOKUP(D2227,'ENSAIOS DE ORÇAMENTO'!$C$5:$L$81,10,FALSE)</f>
        <v>2.274048E-2</v>
      </c>
      <c r="G2232" s="909">
        <f>IF(E2232&lt;=30,(0.78*E2232+7.82)*F2232,((0.78*30+7.82)+0.78*(E2232-30))*F2232)</f>
        <v>6.439194316800001</v>
      </c>
      <c r="H2232" s="901"/>
      <c r="I2232" s="901"/>
      <c r="J2232" s="902">
        <f t="shared" si="595"/>
        <v>0</v>
      </c>
      <c r="K2232" s="903"/>
      <c r="L2232" s="1039">
        <f>ROUND(SUM('RES. CENTRAL PARK:RUA_FINAL'!L2232),2)</f>
        <v>0</v>
      </c>
      <c r="M2232" s="1039">
        <f t="shared" si="589"/>
        <v>0</v>
      </c>
      <c r="N2232" s="893">
        <f t="shared" si="590"/>
        <v>0</v>
      </c>
      <c r="O2232" s="905"/>
      <c r="P2232" s="36" t="str">
        <f>IF(N2227&gt;0,"xx",IF(N2227&gt;0,"xy",""))</f>
        <v/>
      </c>
      <c r="Q2232" s="317" t="str">
        <f t="shared" si="600"/>
        <v/>
      </c>
      <c r="R2232" s="317" t="str">
        <f t="shared" si="601"/>
        <v/>
      </c>
      <c r="S2232" s="317" t="str">
        <f t="shared" si="602"/>
        <v/>
      </c>
      <c r="V2232" s="314">
        <f>SUM('RES. CENTRAL PARK:RUA_FINAL'!N2232)</f>
        <v>0</v>
      </c>
      <c r="W2232" s="315">
        <f t="shared" si="592"/>
        <v>0</v>
      </c>
    </row>
    <row r="2233" spans="1:23" ht="13.5" hidden="1" thickBot="1" x14ac:dyDescent="0.25">
      <c r="A2233" s="63" t="s">
        <v>31</v>
      </c>
      <c r="B2233" s="895" t="s">
        <v>31</v>
      </c>
      <c r="C2233" s="896" t="s">
        <v>184</v>
      </c>
      <c r="D2233" s="906" t="s">
        <v>59</v>
      </c>
      <c r="E2233" s="907"/>
      <c r="F2233" s="908"/>
      <c r="G2233" s="912">
        <f>SUM(G2234:G2238)</f>
        <v>310.56740786463996</v>
      </c>
      <c r="H2233" s="901">
        <v>1702.01</v>
      </c>
      <c r="I2233" s="901">
        <f>IF(ISBLANK(H2233),"",SUM(G2233:H2233))</f>
        <v>2012.57740786464</v>
      </c>
      <c r="J2233" s="902">
        <f t="shared" si="595"/>
        <v>2416.5</v>
      </c>
      <c r="K2233" s="903" t="s">
        <v>15</v>
      </c>
      <c r="L2233" s="1039">
        <f>ROUND(SUM('RES. CENTRAL PARK:RUA_FINAL'!L2233),2)</f>
        <v>0</v>
      </c>
      <c r="M2233" s="1039">
        <f t="shared" si="589"/>
        <v>0</v>
      </c>
      <c r="N2233" s="893">
        <f t="shared" si="590"/>
        <v>0</v>
      </c>
      <c r="O2233" s="905"/>
      <c r="Q2233" s="317" t="str">
        <f t="shared" si="600"/>
        <v/>
      </c>
      <c r="R2233" s="317" t="str">
        <f t="shared" si="601"/>
        <v/>
      </c>
      <c r="S2233" s="317" t="str">
        <f t="shared" si="602"/>
        <v/>
      </c>
      <c r="V2233" s="314">
        <f>SUM('RES. CENTRAL PARK:RUA_FINAL'!N2233)</f>
        <v>0</v>
      </c>
      <c r="W2233" s="315">
        <f t="shared" si="592"/>
        <v>0</v>
      </c>
    </row>
    <row r="2234" spans="1:23" ht="13.5" hidden="1" thickBot="1" x14ac:dyDescent="0.25">
      <c r="A2234" s="63" t="s">
        <v>147</v>
      </c>
      <c r="B2234" s="895" t="s">
        <v>147</v>
      </c>
      <c r="C2234" s="896"/>
      <c r="D2234" s="906" t="s">
        <v>190</v>
      </c>
      <c r="E2234" s="907">
        <f>DMT!$D$20</f>
        <v>308</v>
      </c>
      <c r="F2234" s="908">
        <f>VLOOKUP(D2233,'ENSAIOS DE ORÇAMENTO'!$C$5:$L$81,4,FALSE)</f>
        <v>0.33109503999999995</v>
      </c>
      <c r="G2234" s="909">
        <f>IF(E2234&lt;=30,(0.78*E2234+7.82)*F2234,((0.78*30+7.82)+0.78*(E2234-30))*F2234)</f>
        <v>82.131435622399991</v>
      </c>
      <c r="H2234" s="901"/>
      <c r="I2234" s="901"/>
      <c r="J2234" s="902">
        <f t="shared" si="595"/>
        <v>0</v>
      </c>
      <c r="K2234" s="903"/>
      <c r="L2234" s="1039">
        <f>ROUND(SUM('RES. CENTRAL PARK:RUA_FINAL'!L2234),2)</f>
        <v>0</v>
      </c>
      <c r="M2234" s="1039">
        <f t="shared" si="589"/>
        <v>0</v>
      </c>
      <c r="N2234" s="893">
        <f t="shared" si="590"/>
        <v>0</v>
      </c>
      <c r="O2234" s="905"/>
      <c r="P2234" s="36" t="str">
        <f>IF(N2233&gt;0,"xx",IF(N2233&gt;0,"xy",""))</f>
        <v/>
      </c>
      <c r="Q2234" s="317" t="str">
        <f t="shared" si="600"/>
        <v/>
      </c>
      <c r="R2234" s="317" t="str">
        <f t="shared" si="601"/>
        <v/>
      </c>
      <c r="S2234" s="317" t="str">
        <f t="shared" si="602"/>
        <v/>
      </c>
      <c r="V2234" s="314">
        <f>SUM('RES. CENTRAL PARK:RUA_FINAL'!N2234)</f>
        <v>0</v>
      </c>
      <c r="W2234" s="315">
        <f t="shared" si="592"/>
        <v>0</v>
      </c>
    </row>
    <row r="2235" spans="1:23" ht="13.5" hidden="1" thickBot="1" x14ac:dyDescent="0.25">
      <c r="A2235" s="63" t="s">
        <v>147</v>
      </c>
      <c r="B2235" s="895" t="s">
        <v>147</v>
      </c>
      <c r="C2235" s="896"/>
      <c r="D2235" s="906" t="s">
        <v>229</v>
      </c>
      <c r="E2235" s="907">
        <f>DMT!$F$8</f>
        <v>150</v>
      </c>
      <c r="F2235" s="908">
        <f>VLOOKUP(D2233,'ENSAIOS DE ORÇAMENTO'!$C$5:$L$81,5,FALSE)</f>
        <v>1.2541824319999999</v>
      </c>
      <c r="G2235" s="949">
        <f t="shared" ref="G2235:G2237" si="604">IF(E2235&lt;=30,(1.07*E2235+2.68)*F2235,((1.07*30+2.68)+1.07*(E2235-30))*F2235)</f>
        <v>204.65748925375999</v>
      </c>
      <c r="H2235" s="901"/>
      <c r="I2235" s="901"/>
      <c r="J2235" s="902">
        <f t="shared" si="595"/>
        <v>0</v>
      </c>
      <c r="K2235" s="903"/>
      <c r="L2235" s="1039">
        <f>ROUND(SUM('RES. CENTRAL PARK:RUA_FINAL'!L2235),2)</f>
        <v>0</v>
      </c>
      <c r="M2235" s="1039">
        <f t="shared" si="589"/>
        <v>0</v>
      </c>
      <c r="N2235" s="893">
        <f t="shared" si="590"/>
        <v>0</v>
      </c>
      <c r="O2235" s="905"/>
      <c r="P2235" s="36" t="str">
        <f>IF(N2233&gt;0,"xx",IF(N2233&gt;0,"xy",""))</f>
        <v/>
      </c>
      <c r="Q2235" s="317" t="str">
        <f t="shared" si="600"/>
        <v/>
      </c>
      <c r="R2235" s="317" t="str">
        <f t="shared" si="601"/>
        <v/>
      </c>
      <c r="S2235" s="317" t="str">
        <f t="shared" si="602"/>
        <v/>
      </c>
      <c r="V2235" s="314">
        <f>SUM('RES. CENTRAL PARK:RUA_FINAL'!N2235)</f>
        <v>0</v>
      </c>
      <c r="W2235" s="315">
        <f t="shared" si="592"/>
        <v>0</v>
      </c>
    </row>
    <row r="2236" spans="1:23" ht="13.5" hidden="1" thickBot="1" x14ac:dyDescent="0.25">
      <c r="A2236" s="63" t="s">
        <v>147</v>
      </c>
      <c r="B2236" s="895" t="s">
        <v>147</v>
      </c>
      <c r="C2236" s="896"/>
      <c r="D2236" s="906" t="s">
        <v>233</v>
      </c>
      <c r="E2236" s="907">
        <f>DMT!$F$10</f>
        <v>0.2</v>
      </c>
      <c r="F2236" s="908">
        <f>VLOOKUP(D2233,'ENSAIOS DE ORÇAMENTO'!$C$5:$L$81,6,FALSE)</f>
        <v>0.89487311999999997</v>
      </c>
      <c r="G2236" s="949">
        <f t="shared" si="604"/>
        <v>2.5897628092799998</v>
      </c>
      <c r="H2236" s="901"/>
      <c r="I2236" s="901"/>
      <c r="J2236" s="902">
        <f t="shared" si="595"/>
        <v>0</v>
      </c>
      <c r="K2236" s="903"/>
      <c r="L2236" s="1039">
        <f>ROUND(SUM('RES. CENTRAL PARK:RUA_FINAL'!L2236),2)</f>
        <v>0</v>
      </c>
      <c r="M2236" s="1039">
        <f t="shared" si="589"/>
        <v>0</v>
      </c>
      <c r="N2236" s="893">
        <f t="shared" si="590"/>
        <v>0</v>
      </c>
      <c r="O2236" s="905"/>
      <c r="P2236" s="36" t="str">
        <f>IF(N2233&gt;0,"xx",IF(N2233&gt;0,"xy",""))</f>
        <v/>
      </c>
      <c r="Q2236" s="317" t="str">
        <f t="shared" si="600"/>
        <v/>
      </c>
      <c r="R2236" s="317" t="str">
        <f t="shared" si="601"/>
        <v/>
      </c>
      <c r="S2236" s="317" t="str">
        <f t="shared" si="602"/>
        <v/>
      </c>
      <c r="V2236" s="314">
        <f>SUM('RES. CENTRAL PARK:RUA_FINAL'!N2236)</f>
        <v>0</v>
      </c>
      <c r="W2236" s="315">
        <f t="shared" si="592"/>
        <v>0</v>
      </c>
    </row>
    <row r="2237" spans="1:23" ht="13.5" hidden="1" thickBot="1" x14ac:dyDescent="0.25">
      <c r="A2237" s="63" t="s">
        <v>147</v>
      </c>
      <c r="B2237" s="895" t="s">
        <v>147</v>
      </c>
      <c r="C2237" s="896"/>
      <c r="D2237" s="906" t="s">
        <v>365</v>
      </c>
      <c r="E2237" s="907">
        <f>DMT!$F$32</f>
        <v>10</v>
      </c>
      <c r="F2237" s="908">
        <f>VLOOKUP(D2233,'ENSAIOS DE ORÇAMENTO'!$C$5:$L$81,3,FALSE)</f>
        <v>0.92856959999999988</v>
      </c>
      <c r="G2237" s="949">
        <f t="shared" si="604"/>
        <v>12.424261247999999</v>
      </c>
      <c r="H2237" s="901"/>
      <c r="I2237" s="901"/>
      <c r="J2237" s="902">
        <f t="shared" si="595"/>
        <v>0</v>
      </c>
      <c r="K2237" s="903"/>
      <c r="L2237" s="1039">
        <f>ROUND(SUM('RES. CENTRAL PARK:RUA_FINAL'!L2237),2)</f>
        <v>0</v>
      </c>
      <c r="M2237" s="1039">
        <f t="shared" si="589"/>
        <v>0</v>
      </c>
      <c r="N2237" s="893">
        <f t="shared" si="590"/>
        <v>0</v>
      </c>
      <c r="O2237" s="905"/>
      <c r="P2237" s="36" t="str">
        <f>IF(N2233&gt;0,"xx",IF(N2233&gt;0,"xy",""))</f>
        <v/>
      </c>
      <c r="Q2237" s="317" t="str">
        <f t="shared" si="600"/>
        <v/>
      </c>
      <c r="R2237" s="317" t="str">
        <f t="shared" si="601"/>
        <v/>
      </c>
      <c r="S2237" s="317" t="str">
        <f t="shared" si="602"/>
        <v/>
      </c>
      <c r="V2237" s="314">
        <f>SUM('RES. CENTRAL PARK:RUA_FINAL'!N2237)</f>
        <v>0</v>
      </c>
      <c r="W2237" s="315">
        <f t="shared" si="592"/>
        <v>0</v>
      </c>
    </row>
    <row r="2238" spans="1:23" ht="13.5" hidden="1" thickBot="1" x14ac:dyDescent="0.25">
      <c r="A2238" s="63" t="s">
        <v>147</v>
      </c>
      <c r="B2238" s="895" t="s">
        <v>147</v>
      </c>
      <c r="C2238" s="896"/>
      <c r="D2238" s="906" t="s">
        <v>366</v>
      </c>
      <c r="E2238" s="907">
        <f>DMT!$D$18</f>
        <v>353</v>
      </c>
      <c r="F2238" s="908">
        <f>VLOOKUP(D2233,'ENSAIOS DE ORÇAMENTO'!$C$5:$L$81,10,FALSE)</f>
        <v>3.0952319999999998E-2</v>
      </c>
      <c r="G2238" s="909">
        <f>IF(E2238&lt;=30,(0.78*E2238+7.82)*F2238,((0.78*30+7.82)+0.78*(E2238-30))*F2238)</f>
        <v>8.7644589312000001</v>
      </c>
      <c r="H2238" s="901"/>
      <c r="I2238" s="901"/>
      <c r="J2238" s="902">
        <f t="shared" si="595"/>
        <v>0</v>
      </c>
      <c r="K2238" s="903"/>
      <c r="L2238" s="1039">
        <f>ROUND(SUM('RES. CENTRAL PARK:RUA_FINAL'!L2238),2)</f>
        <v>0</v>
      </c>
      <c r="M2238" s="1039">
        <f t="shared" si="589"/>
        <v>0</v>
      </c>
      <c r="N2238" s="893">
        <f t="shared" si="590"/>
        <v>0</v>
      </c>
      <c r="O2238" s="905"/>
      <c r="P2238" s="36" t="str">
        <f>IF(N2233&gt;0,"xx",IF(N2233&gt;0,"xy",""))</f>
        <v/>
      </c>
      <c r="Q2238" s="317" t="str">
        <f t="shared" si="600"/>
        <v/>
      </c>
      <c r="R2238" s="317" t="str">
        <f t="shared" si="601"/>
        <v/>
      </c>
      <c r="S2238" s="317" t="str">
        <f t="shared" si="602"/>
        <v/>
      </c>
      <c r="V2238" s="314">
        <f>SUM('RES. CENTRAL PARK:RUA_FINAL'!N2238)</f>
        <v>0</v>
      </c>
      <c r="W2238" s="315">
        <f t="shared" si="592"/>
        <v>0</v>
      </c>
    </row>
    <row r="2239" spans="1:23" ht="13.5" hidden="1" thickBot="1" x14ac:dyDescent="0.25">
      <c r="A2239" s="63" t="s">
        <v>32</v>
      </c>
      <c r="B2239" s="895" t="s">
        <v>32</v>
      </c>
      <c r="C2239" s="896" t="s">
        <v>184</v>
      </c>
      <c r="D2239" s="906" t="s">
        <v>60</v>
      </c>
      <c r="E2239" s="907"/>
      <c r="F2239" s="908"/>
      <c r="G2239" s="912">
        <f>SUM(G2240:G2244)</f>
        <v>428.72220748736009</v>
      </c>
      <c r="H2239" s="901">
        <v>2343.36</v>
      </c>
      <c r="I2239" s="901">
        <f>IF(ISBLANK(H2239),"",SUM(G2239:H2239))</f>
        <v>2772.0822074873604</v>
      </c>
      <c r="J2239" s="902">
        <f t="shared" si="595"/>
        <v>3328.44</v>
      </c>
      <c r="K2239" s="903" t="s">
        <v>15</v>
      </c>
      <c r="L2239" s="1039">
        <f>ROUND(SUM('RES. CENTRAL PARK:RUA_FINAL'!L2239),2)</f>
        <v>0</v>
      </c>
      <c r="M2239" s="1039">
        <f t="shared" si="589"/>
        <v>0</v>
      </c>
      <c r="N2239" s="893">
        <f t="shared" si="590"/>
        <v>0</v>
      </c>
      <c r="O2239" s="905"/>
      <c r="Q2239" s="317" t="str">
        <f t="shared" si="600"/>
        <v/>
      </c>
      <c r="R2239" s="317" t="str">
        <f t="shared" si="601"/>
        <v/>
      </c>
      <c r="S2239" s="317" t="str">
        <f t="shared" si="602"/>
        <v/>
      </c>
      <c r="V2239" s="314">
        <f>SUM('RES. CENTRAL PARK:RUA_FINAL'!N2239)</f>
        <v>0</v>
      </c>
      <c r="W2239" s="315">
        <f t="shared" si="592"/>
        <v>0</v>
      </c>
    </row>
    <row r="2240" spans="1:23" ht="13.5" hidden="1" thickBot="1" x14ac:dyDescent="0.25">
      <c r="A2240" s="63" t="s">
        <v>147</v>
      </c>
      <c r="B2240" s="895" t="s">
        <v>147</v>
      </c>
      <c r="C2240" s="896"/>
      <c r="D2240" s="906" t="s">
        <v>190</v>
      </c>
      <c r="E2240" s="907">
        <f>DMT!$D$20</f>
        <v>308</v>
      </c>
      <c r="F2240" s="908">
        <f>VLOOKUP(D2239,'ENSAIOS DE ORÇAMENTO'!$C$5:$L$81,4,FALSE)</f>
        <v>0.45250179200000007</v>
      </c>
      <c r="G2240" s="909">
        <f>IF(E2240&lt;=30,(0.78*E2240+7.82)*F2240,((0.78*30+7.82)+0.78*(E2240-30))*F2240)</f>
        <v>112.24759452352002</v>
      </c>
      <c r="H2240" s="901"/>
      <c r="I2240" s="901"/>
      <c r="J2240" s="902">
        <f t="shared" si="595"/>
        <v>0</v>
      </c>
      <c r="K2240" s="903"/>
      <c r="L2240" s="1039">
        <f>ROUND(SUM('RES. CENTRAL PARK:RUA_FINAL'!L2240),2)</f>
        <v>0</v>
      </c>
      <c r="M2240" s="1039">
        <f t="shared" si="589"/>
        <v>0</v>
      </c>
      <c r="N2240" s="893">
        <f t="shared" si="590"/>
        <v>0</v>
      </c>
      <c r="O2240" s="905"/>
      <c r="P2240" s="36" t="str">
        <f>IF(N2239&gt;0,"xx",IF(N2239&gt;0,"xy",""))</f>
        <v/>
      </c>
      <c r="Q2240" s="317" t="str">
        <f t="shared" si="600"/>
        <v/>
      </c>
      <c r="R2240" s="317" t="str">
        <f t="shared" si="601"/>
        <v/>
      </c>
      <c r="S2240" s="317" t="str">
        <f t="shared" si="602"/>
        <v/>
      </c>
      <c r="V2240" s="314">
        <f>SUM('RES. CENTRAL PARK:RUA_FINAL'!N2240)</f>
        <v>0</v>
      </c>
      <c r="W2240" s="315">
        <f t="shared" si="592"/>
        <v>0</v>
      </c>
    </row>
    <row r="2241" spans="1:23" ht="13.5" hidden="1" thickBot="1" x14ac:dyDescent="0.25">
      <c r="A2241" s="63" t="s">
        <v>147</v>
      </c>
      <c r="B2241" s="895" t="s">
        <v>147</v>
      </c>
      <c r="C2241" s="896"/>
      <c r="D2241" s="906" t="s">
        <v>229</v>
      </c>
      <c r="E2241" s="907">
        <f>DMT!$F$8</f>
        <v>150</v>
      </c>
      <c r="F2241" s="908">
        <f>VLOOKUP(D2239,'ENSAIOS DE ORÇAMENTO'!$C$5:$L$81,5,FALSE)</f>
        <v>1.7334338080000002</v>
      </c>
      <c r="G2241" s="949">
        <f t="shared" ref="G2241:G2243" si="605">IF(E2241&lt;=30,(1.07*E2241+2.68)*F2241,((1.07*30+2.68)+1.07*(E2241-30))*F2241)</f>
        <v>282.86172878944006</v>
      </c>
      <c r="H2241" s="901"/>
      <c r="I2241" s="901"/>
      <c r="J2241" s="902">
        <f t="shared" si="595"/>
        <v>0</v>
      </c>
      <c r="K2241" s="903"/>
      <c r="L2241" s="1039">
        <f>ROUND(SUM('RES. CENTRAL PARK:RUA_FINAL'!L2241),2)</f>
        <v>0</v>
      </c>
      <c r="M2241" s="1039">
        <f t="shared" si="589"/>
        <v>0</v>
      </c>
      <c r="N2241" s="893">
        <f t="shared" si="590"/>
        <v>0</v>
      </c>
      <c r="O2241" s="905"/>
      <c r="P2241" s="36" t="str">
        <f>IF(N2239&gt;0,"xx",IF(N2239&gt;0,"xy",""))</f>
        <v/>
      </c>
      <c r="Q2241" s="317" t="str">
        <f t="shared" si="600"/>
        <v/>
      </c>
      <c r="R2241" s="317" t="str">
        <f t="shared" si="601"/>
        <v/>
      </c>
      <c r="S2241" s="317" t="str">
        <f t="shared" si="602"/>
        <v/>
      </c>
      <c r="V2241" s="314">
        <f>SUM('RES. CENTRAL PARK:RUA_FINAL'!N2241)</f>
        <v>0</v>
      </c>
      <c r="W2241" s="315">
        <f t="shared" si="592"/>
        <v>0</v>
      </c>
    </row>
    <row r="2242" spans="1:23" ht="13.5" hidden="1" thickBot="1" x14ac:dyDescent="0.25">
      <c r="A2242" s="63" t="s">
        <v>147</v>
      </c>
      <c r="B2242" s="895" t="s">
        <v>147</v>
      </c>
      <c r="C2242" s="896"/>
      <c r="D2242" s="906" t="s">
        <v>233</v>
      </c>
      <c r="E2242" s="907">
        <f>DMT!$F$10</f>
        <v>0.2</v>
      </c>
      <c r="F2242" s="908">
        <f>VLOOKUP(D2239,'ENSAIOS DE ORÇAMENTO'!$C$5:$L$81,6,FALSE)</f>
        <v>1.2150148800000002</v>
      </c>
      <c r="G2242" s="949">
        <f t="shared" si="605"/>
        <v>3.516253062720001</v>
      </c>
      <c r="H2242" s="901"/>
      <c r="I2242" s="901"/>
      <c r="J2242" s="902">
        <f t="shared" si="595"/>
        <v>0</v>
      </c>
      <c r="K2242" s="903"/>
      <c r="L2242" s="1039">
        <f>ROUND(SUM('RES. CENTRAL PARK:RUA_FINAL'!L2242),2)</f>
        <v>0</v>
      </c>
      <c r="M2242" s="1039">
        <f t="shared" si="589"/>
        <v>0</v>
      </c>
      <c r="N2242" s="893">
        <f t="shared" si="590"/>
        <v>0</v>
      </c>
      <c r="O2242" s="905"/>
      <c r="P2242" s="36" t="str">
        <f>IF(N2239&gt;0,"xx",IF(N2239&gt;0,"xy",""))</f>
        <v/>
      </c>
      <c r="Q2242" s="317" t="str">
        <f t="shared" si="600"/>
        <v/>
      </c>
      <c r="R2242" s="317" t="str">
        <f t="shared" si="601"/>
        <v/>
      </c>
      <c r="S2242" s="317" t="str">
        <f t="shared" si="602"/>
        <v/>
      </c>
      <c r="V2242" s="314">
        <f>SUM('RES. CENTRAL PARK:RUA_FINAL'!N2242)</f>
        <v>0</v>
      </c>
      <c r="W2242" s="315">
        <f t="shared" si="592"/>
        <v>0</v>
      </c>
    </row>
    <row r="2243" spans="1:23" ht="13.5" hidden="1" thickBot="1" x14ac:dyDescent="0.25">
      <c r="A2243" s="63" t="s">
        <v>147</v>
      </c>
      <c r="B2243" s="895" t="s">
        <v>147</v>
      </c>
      <c r="C2243" s="896"/>
      <c r="D2243" s="906" t="s">
        <v>365</v>
      </c>
      <c r="E2243" s="907">
        <f>DMT!$F$32</f>
        <v>10</v>
      </c>
      <c r="F2243" s="908">
        <f>VLOOKUP(D2239,'ENSAIOS DE ORÇAMENTO'!$C$5:$L$81,3,FALSE)</f>
        <v>1.3189478400000001</v>
      </c>
      <c r="G2243" s="949">
        <f t="shared" si="605"/>
        <v>17.647522099200003</v>
      </c>
      <c r="H2243" s="901"/>
      <c r="I2243" s="901"/>
      <c r="J2243" s="902">
        <f t="shared" si="595"/>
        <v>0</v>
      </c>
      <c r="K2243" s="903"/>
      <c r="L2243" s="1039">
        <f>ROUND(SUM('RES. CENTRAL PARK:RUA_FINAL'!L2243),2)</f>
        <v>0</v>
      </c>
      <c r="M2243" s="1039">
        <f t="shared" si="589"/>
        <v>0</v>
      </c>
      <c r="N2243" s="893">
        <f t="shared" si="590"/>
        <v>0</v>
      </c>
      <c r="O2243" s="905"/>
      <c r="P2243" s="36" t="str">
        <f>IF(N2239&gt;0,"xx",IF(N2239&gt;0,"xy",""))</f>
        <v/>
      </c>
      <c r="Q2243" s="317" t="str">
        <f t="shared" si="600"/>
        <v/>
      </c>
      <c r="R2243" s="317" t="str">
        <f t="shared" si="601"/>
        <v/>
      </c>
      <c r="S2243" s="317" t="str">
        <f t="shared" si="602"/>
        <v/>
      </c>
      <c r="V2243" s="314">
        <f>SUM('RES. CENTRAL PARK:RUA_FINAL'!N2243)</f>
        <v>0</v>
      </c>
      <c r="W2243" s="315">
        <f t="shared" si="592"/>
        <v>0</v>
      </c>
    </row>
    <row r="2244" spans="1:23" ht="13.5" hidden="1" thickBot="1" x14ac:dyDescent="0.25">
      <c r="A2244" s="63" t="s">
        <v>147</v>
      </c>
      <c r="B2244" s="895" t="s">
        <v>147</v>
      </c>
      <c r="C2244" s="896"/>
      <c r="D2244" s="906" t="s">
        <v>366</v>
      </c>
      <c r="E2244" s="907">
        <f>DMT!$D$18</f>
        <v>353</v>
      </c>
      <c r="F2244" s="908">
        <f>VLOOKUP(D2239,'ENSAIOS DE ORÇAMENTO'!$C$5:$L$81,10,FALSE)</f>
        <v>4.3964928000000007E-2</v>
      </c>
      <c r="G2244" s="909">
        <f>IF(E2244&lt;=30,(0.78*E2244+7.82)*F2244,((0.78*30+7.82)+0.78*(E2244-30))*F2244)</f>
        <v>12.449109012480003</v>
      </c>
      <c r="H2244" s="901"/>
      <c r="I2244" s="901"/>
      <c r="J2244" s="902">
        <f t="shared" si="595"/>
        <v>0</v>
      </c>
      <c r="K2244" s="903"/>
      <c r="L2244" s="1039">
        <f>ROUND(SUM('RES. CENTRAL PARK:RUA_FINAL'!L2244),2)</f>
        <v>0</v>
      </c>
      <c r="M2244" s="1039">
        <f t="shared" si="589"/>
        <v>0</v>
      </c>
      <c r="N2244" s="893">
        <f t="shared" si="590"/>
        <v>0</v>
      </c>
      <c r="O2244" s="905"/>
      <c r="P2244" s="36" t="str">
        <f>IF(N2239&gt;0,"xx",IF(N2239&gt;0,"xy",""))</f>
        <v/>
      </c>
      <c r="Q2244" s="317" t="str">
        <f t="shared" si="600"/>
        <v/>
      </c>
      <c r="R2244" s="317" t="str">
        <f t="shared" si="601"/>
        <v/>
      </c>
      <c r="S2244" s="317" t="str">
        <f t="shared" si="602"/>
        <v/>
      </c>
      <c r="V2244" s="314">
        <f>SUM('RES. CENTRAL PARK:RUA_FINAL'!N2244)</f>
        <v>0</v>
      </c>
      <c r="W2244" s="315">
        <f t="shared" si="592"/>
        <v>0</v>
      </c>
    </row>
    <row r="2245" spans="1:23" ht="13.5" hidden="1" thickBot="1" x14ac:dyDescent="0.25">
      <c r="A2245" s="63" t="s">
        <v>108</v>
      </c>
      <c r="B2245" s="895" t="s">
        <v>108</v>
      </c>
      <c r="C2245" s="896" t="s">
        <v>184</v>
      </c>
      <c r="D2245" s="906" t="s">
        <v>375</v>
      </c>
      <c r="E2245" s="907"/>
      <c r="F2245" s="908"/>
      <c r="G2245" s="912">
        <f>SUM(G2246:G2248)</f>
        <v>99.712223971200018</v>
      </c>
      <c r="H2245" s="901">
        <v>452.08</v>
      </c>
      <c r="I2245" s="901">
        <f>IF(ISBLANK(H2245),"",SUM(G2245:H2245))</f>
        <v>551.79222397119997</v>
      </c>
      <c r="J2245" s="902">
        <f t="shared" si="595"/>
        <v>662.54</v>
      </c>
      <c r="K2245" s="903" t="s">
        <v>15</v>
      </c>
      <c r="L2245" s="1039">
        <f>ROUND(SUM('RES. CENTRAL PARK:RUA_FINAL'!L2245),2)</f>
        <v>0</v>
      </c>
      <c r="M2245" s="1039">
        <f t="shared" si="589"/>
        <v>0</v>
      </c>
      <c r="N2245" s="893">
        <f t="shared" si="590"/>
        <v>0</v>
      </c>
      <c r="O2245" s="905"/>
      <c r="Q2245" s="317" t="str">
        <f t="shared" si="600"/>
        <v/>
      </c>
      <c r="R2245" s="317" t="str">
        <f t="shared" si="601"/>
        <v/>
      </c>
      <c r="S2245" s="317" t="str">
        <f t="shared" si="602"/>
        <v/>
      </c>
      <c r="V2245" s="314">
        <f>SUM('RES. CENTRAL PARK:RUA_FINAL'!N2245)</f>
        <v>0</v>
      </c>
      <c r="W2245" s="315">
        <f t="shared" si="592"/>
        <v>0</v>
      </c>
    </row>
    <row r="2246" spans="1:23" ht="13.5" hidden="1" thickBot="1" x14ac:dyDescent="0.25">
      <c r="A2246" s="63" t="s">
        <v>147</v>
      </c>
      <c r="B2246" s="895" t="s">
        <v>147</v>
      </c>
      <c r="C2246" s="896"/>
      <c r="D2246" s="906" t="s">
        <v>190</v>
      </c>
      <c r="E2246" s="907">
        <f>DMT!$D$20</f>
        <v>308</v>
      </c>
      <c r="F2246" s="908">
        <f>VLOOKUP(D2245,'ENSAIOS DE ORÇAMENTO'!$C$5:$L$81,4,FALSE)</f>
        <v>0.1320288</v>
      </c>
      <c r="G2246" s="909">
        <f>IF(E2246&lt;=30,(0.78*E2246+7.82)*F2246,((0.78*30+7.82)+0.78*(E2246-30))*F2246)</f>
        <v>32.751064128000003</v>
      </c>
      <c r="H2246" s="901"/>
      <c r="I2246" s="901"/>
      <c r="J2246" s="902">
        <f t="shared" si="595"/>
        <v>0</v>
      </c>
      <c r="K2246" s="903"/>
      <c r="L2246" s="1039">
        <f>ROUND(SUM('RES. CENTRAL PARK:RUA_FINAL'!L2246),2)</f>
        <v>0</v>
      </c>
      <c r="M2246" s="1039">
        <f t="shared" si="589"/>
        <v>0</v>
      </c>
      <c r="N2246" s="893">
        <f t="shared" si="590"/>
        <v>0</v>
      </c>
      <c r="O2246" s="905"/>
      <c r="P2246" s="36" t="str">
        <f>IF(N2245&gt;0,"xx",IF(N2245&gt;0,"xy",""))</f>
        <v/>
      </c>
      <c r="Q2246" s="317" t="str">
        <f t="shared" si="600"/>
        <v/>
      </c>
      <c r="R2246" s="317" t="str">
        <f t="shared" si="601"/>
        <v/>
      </c>
      <c r="S2246" s="317" t="str">
        <f t="shared" si="602"/>
        <v/>
      </c>
      <c r="V2246" s="314">
        <f>SUM('RES. CENTRAL PARK:RUA_FINAL'!N2246)</f>
        <v>0</v>
      </c>
      <c r="W2246" s="315">
        <f t="shared" si="592"/>
        <v>0</v>
      </c>
    </row>
    <row r="2247" spans="1:23" ht="13.5" hidden="1" thickBot="1" x14ac:dyDescent="0.25">
      <c r="A2247" s="63" t="s">
        <v>147</v>
      </c>
      <c r="B2247" s="895" t="s">
        <v>147</v>
      </c>
      <c r="C2247" s="896"/>
      <c r="D2247" s="906" t="s">
        <v>229</v>
      </c>
      <c r="E2247" s="907">
        <f>DMT!$F$8</f>
        <v>150</v>
      </c>
      <c r="F2247" s="908">
        <f>VLOOKUP(D2245,'ENSAIOS DE ORÇAMENTO'!$C$5:$L$81,5,FALSE)</f>
        <v>0.40193856</v>
      </c>
      <c r="G2247" s="949">
        <f t="shared" ref="G2247:G2248" si="606">IF(E2247&lt;=30,(1.07*E2247+2.68)*F2247,((1.07*30+2.68)+1.07*(E2247-30))*F2247)</f>
        <v>65.588334220800007</v>
      </c>
      <c r="H2247" s="901"/>
      <c r="I2247" s="901"/>
      <c r="J2247" s="902">
        <f t="shared" si="595"/>
        <v>0</v>
      </c>
      <c r="K2247" s="903"/>
      <c r="L2247" s="1039">
        <f>ROUND(SUM('RES. CENTRAL PARK:RUA_FINAL'!L2247),2)</f>
        <v>0</v>
      </c>
      <c r="M2247" s="1039">
        <f t="shared" si="589"/>
        <v>0</v>
      </c>
      <c r="N2247" s="893">
        <f t="shared" si="590"/>
        <v>0</v>
      </c>
      <c r="O2247" s="905"/>
      <c r="P2247" s="36" t="str">
        <f>IF(N2245&gt;0,"xx",IF(N2245&gt;0,"xy",""))</f>
        <v/>
      </c>
      <c r="Q2247" s="317" t="str">
        <f t="shared" si="600"/>
        <v/>
      </c>
      <c r="R2247" s="317" t="str">
        <f t="shared" si="601"/>
        <v/>
      </c>
      <c r="S2247" s="317" t="str">
        <f t="shared" si="602"/>
        <v/>
      </c>
      <c r="V2247" s="314">
        <f>SUM('RES. CENTRAL PARK:RUA_FINAL'!N2247)</f>
        <v>0</v>
      </c>
      <c r="W2247" s="315">
        <f t="shared" si="592"/>
        <v>0</v>
      </c>
    </row>
    <row r="2248" spans="1:23" ht="13.5" hidden="1" thickBot="1" x14ac:dyDescent="0.25">
      <c r="A2248" s="63" t="s">
        <v>147</v>
      </c>
      <c r="B2248" s="895" t="s">
        <v>147</v>
      </c>
      <c r="C2248" s="896"/>
      <c r="D2248" s="906" t="s">
        <v>233</v>
      </c>
      <c r="E2248" s="907">
        <f>DMT!$F$10</f>
        <v>0.2</v>
      </c>
      <c r="F2248" s="908">
        <f>VLOOKUP(D2245,'ENSAIOS DE ORÇAMENTO'!$C$5:$L$81,6,FALSE)</f>
        <v>0.47436960000000006</v>
      </c>
      <c r="G2248" s="949">
        <f t="shared" si="606"/>
        <v>1.3728256224000002</v>
      </c>
      <c r="H2248" s="901"/>
      <c r="I2248" s="901"/>
      <c r="J2248" s="902">
        <f t="shared" si="595"/>
        <v>0</v>
      </c>
      <c r="K2248" s="903"/>
      <c r="L2248" s="1039">
        <f>ROUND(SUM('RES. CENTRAL PARK:RUA_FINAL'!L2248),2)</f>
        <v>0</v>
      </c>
      <c r="M2248" s="1039">
        <f t="shared" si="589"/>
        <v>0</v>
      </c>
      <c r="N2248" s="893">
        <f t="shared" si="590"/>
        <v>0</v>
      </c>
      <c r="O2248" s="905"/>
      <c r="P2248" s="36" t="str">
        <f>IF(N2245&gt;0,"xx",IF(N2245&gt;0,"xy",""))</f>
        <v/>
      </c>
      <c r="Q2248" s="317" t="str">
        <f t="shared" si="600"/>
        <v/>
      </c>
      <c r="R2248" s="317" t="str">
        <f t="shared" si="601"/>
        <v/>
      </c>
      <c r="S2248" s="317" t="str">
        <f t="shared" si="602"/>
        <v/>
      </c>
      <c r="V2248" s="314">
        <f>SUM('RES. CENTRAL PARK:RUA_FINAL'!N2248)</f>
        <v>0</v>
      </c>
      <c r="W2248" s="315">
        <f t="shared" si="592"/>
        <v>0</v>
      </c>
    </row>
    <row r="2249" spans="1:23" ht="13.5" hidden="1" thickBot="1" x14ac:dyDescent="0.25">
      <c r="A2249" s="63" t="s">
        <v>109</v>
      </c>
      <c r="B2249" s="895" t="s">
        <v>109</v>
      </c>
      <c r="C2249" s="896" t="s">
        <v>184</v>
      </c>
      <c r="D2249" s="906" t="s">
        <v>376</v>
      </c>
      <c r="E2249" s="907"/>
      <c r="F2249" s="908"/>
      <c r="G2249" s="912">
        <f>SUM(G2250:G2252)</f>
        <v>151.36217786520004</v>
      </c>
      <c r="H2249" s="901">
        <v>692.16</v>
      </c>
      <c r="I2249" s="901">
        <f>IF(ISBLANK(H2249),"",SUM(G2249:H2249))</f>
        <v>843.52217786519998</v>
      </c>
      <c r="J2249" s="902">
        <f t="shared" si="595"/>
        <v>1012.82</v>
      </c>
      <c r="K2249" s="903" t="s">
        <v>15</v>
      </c>
      <c r="L2249" s="1039">
        <f>ROUND(SUM('RES. CENTRAL PARK:RUA_FINAL'!L2249),2)</f>
        <v>0</v>
      </c>
      <c r="M2249" s="1039">
        <f t="shared" si="589"/>
        <v>0</v>
      </c>
      <c r="N2249" s="893">
        <f t="shared" si="590"/>
        <v>0</v>
      </c>
      <c r="O2249" s="905"/>
      <c r="Q2249" s="317" t="str">
        <f t="shared" si="600"/>
        <v/>
      </c>
      <c r="R2249" s="317" t="str">
        <f t="shared" si="601"/>
        <v/>
      </c>
      <c r="S2249" s="317" t="str">
        <f t="shared" si="602"/>
        <v/>
      </c>
      <c r="V2249" s="314">
        <f>SUM('RES. CENTRAL PARK:RUA_FINAL'!N2249)</f>
        <v>0</v>
      </c>
      <c r="W2249" s="315">
        <f t="shared" si="592"/>
        <v>0</v>
      </c>
    </row>
    <row r="2250" spans="1:23" ht="13.5" hidden="1" thickBot="1" x14ac:dyDescent="0.25">
      <c r="A2250" s="63" t="s">
        <v>147</v>
      </c>
      <c r="B2250" s="895" t="s">
        <v>147</v>
      </c>
      <c r="C2250" s="896"/>
      <c r="D2250" s="906" t="s">
        <v>190</v>
      </c>
      <c r="E2250" s="907">
        <f>DMT!$D$20</f>
        <v>308</v>
      </c>
      <c r="F2250" s="908">
        <f>VLOOKUP(D2249,'ENSAIOS DE ORÇAMENTO'!$C$5:$L$81,4,FALSE)</f>
        <v>0.20444730000000003</v>
      </c>
      <c r="G2250" s="909">
        <f>IF(E2250&lt;=30,(0.78*E2250+7.82)*F2250,((0.78*30+7.82)+0.78*(E2250-30))*F2250)</f>
        <v>50.715197238000009</v>
      </c>
      <c r="H2250" s="901"/>
      <c r="I2250" s="901"/>
      <c r="J2250" s="902">
        <f t="shared" si="595"/>
        <v>0</v>
      </c>
      <c r="K2250" s="903"/>
      <c r="L2250" s="1039">
        <f>ROUND(SUM('RES. CENTRAL PARK:RUA_FINAL'!L2250),2)</f>
        <v>0</v>
      </c>
      <c r="M2250" s="1039">
        <f t="shared" si="589"/>
        <v>0</v>
      </c>
      <c r="N2250" s="893">
        <f t="shared" si="590"/>
        <v>0</v>
      </c>
      <c r="O2250" s="905"/>
      <c r="P2250" s="36" t="str">
        <f>IF(N2249&gt;0,"xx",IF(N2249&gt;0,"xy",""))</f>
        <v/>
      </c>
      <c r="Q2250" s="317" t="str">
        <f t="shared" si="600"/>
        <v/>
      </c>
      <c r="R2250" s="317" t="str">
        <f t="shared" si="601"/>
        <v/>
      </c>
      <c r="S2250" s="317" t="str">
        <f t="shared" si="602"/>
        <v/>
      </c>
      <c r="V2250" s="314">
        <f>SUM('RES. CENTRAL PARK:RUA_FINAL'!N2250)</f>
        <v>0</v>
      </c>
      <c r="W2250" s="315">
        <f t="shared" si="592"/>
        <v>0</v>
      </c>
    </row>
    <row r="2251" spans="1:23" ht="13.5" hidden="1" thickBot="1" x14ac:dyDescent="0.25">
      <c r="A2251" s="63" t="s">
        <v>147</v>
      </c>
      <c r="B2251" s="895" t="s">
        <v>147</v>
      </c>
      <c r="C2251" s="896"/>
      <c r="D2251" s="906" t="s">
        <v>229</v>
      </c>
      <c r="E2251" s="907">
        <f>DMT!$F$8</f>
        <v>150</v>
      </c>
      <c r="F2251" s="908">
        <f>VLOOKUP(D2249,'ENSAIOS DE ORÇAMENTO'!$C$5:$L$81,5,FALSE)</f>
        <v>0.60405201000000008</v>
      </c>
      <c r="G2251" s="949">
        <f t="shared" ref="G2251:G2252" si="607">IF(E2251&lt;=30,(1.07*E2251+2.68)*F2251,((1.07*30+2.68)+1.07*(E2251-30))*F2251)</f>
        <v>98.569206991800016</v>
      </c>
      <c r="H2251" s="901"/>
      <c r="I2251" s="901"/>
      <c r="J2251" s="902">
        <f t="shared" si="595"/>
        <v>0</v>
      </c>
      <c r="K2251" s="903"/>
      <c r="L2251" s="1039">
        <f>ROUND(SUM('RES. CENTRAL PARK:RUA_FINAL'!L2251),2)</f>
        <v>0</v>
      </c>
      <c r="M2251" s="1039">
        <f t="shared" si="589"/>
        <v>0</v>
      </c>
      <c r="N2251" s="893">
        <f t="shared" si="590"/>
        <v>0</v>
      </c>
      <c r="O2251" s="905"/>
      <c r="P2251" s="36" t="str">
        <f>IF(N2249&gt;0,"xx",IF(N2249&gt;0,"xy",""))</f>
        <v/>
      </c>
      <c r="Q2251" s="317" t="str">
        <f t="shared" si="600"/>
        <v/>
      </c>
      <c r="R2251" s="317" t="str">
        <f t="shared" si="601"/>
        <v/>
      </c>
      <c r="S2251" s="317" t="str">
        <f t="shared" si="602"/>
        <v/>
      </c>
      <c r="V2251" s="314">
        <f>SUM('RES. CENTRAL PARK:RUA_FINAL'!N2251)</f>
        <v>0</v>
      </c>
      <c r="W2251" s="315">
        <f t="shared" si="592"/>
        <v>0</v>
      </c>
    </row>
    <row r="2252" spans="1:23" ht="13.5" hidden="1" thickBot="1" x14ac:dyDescent="0.25">
      <c r="A2252" s="63" t="s">
        <v>147</v>
      </c>
      <c r="B2252" s="895" t="s">
        <v>147</v>
      </c>
      <c r="C2252" s="896"/>
      <c r="D2252" s="906" t="s">
        <v>233</v>
      </c>
      <c r="E2252" s="907">
        <f>DMT!$F$10</f>
        <v>0.2</v>
      </c>
      <c r="F2252" s="908">
        <f>VLOOKUP(D2249,'ENSAIOS DE ORÇAMENTO'!$C$5:$L$81,6,FALSE)</f>
        <v>0.71795910000000007</v>
      </c>
      <c r="G2252" s="949">
        <f t="shared" si="607"/>
        <v>2.0777736354000003</v>
      </c>
      <c r="H2252" s="901"/>
      <c r="I2252" s="901"/>
      <c r="J2252" s="902">
        <f t="shared" si="595"/>
        <v>0</v>
      </c>
      <c r="K2252" s="903"/>
      <c r="L2252" s="1039">
        <f>ROUND(SUM('RES. CENTRAL PARK:RUA_FINAL'!L2252),2)</f>
        <v>0</v>
      </c>
      <c r="M2252" s="1039">
        <f t="shared" si="589"/>
        <v>0</v>
      </c>
      <c r="N2252" s="893">
        <f t="shared" si="590"/>
        <v>0</v>
      </c>
      <c r="O2252" s="905"/>
      <c r="P2252" s="36" t="str">
        <f>IF(N2249&gt;0,"xx",IF(N2249&gt;0,"xy",""))</f>
        <v/>
      </c>
      <c r="Q2252" s="317" t="str">
        <f t="shared" si="600"/>
        <v/>
      </c>
      <c r="R2252" s="317" t="str">
        <f t="shared" si="601"/>
        <v/>
      </c>
      <c r="S2252" s="317" t="str">
        <f t="shared" si="602"/>
        <v/>
      </c>
      <c r="V2252" s="314">
        <f>SUM('RES. CENTRAL PARK:RUA_FINAL'!N2252)</f>
        <v>0</v>
      </c>
      <c r="W2252" s="315">
        <f t="shared" si="592"/>
        <v>0</v>
      </c>
    </row>
    <row r="2253" spans="1:23" ht="13.5" hidden="1" thickBot="1" x14ac:dyDescent="0.25">
      <c r="A2253" s="63" t="s">
        <v>110</v>
      </c>
      <c r="B2253" s="895" t="s">
        <v>110</v>
      </c>
      <c r="C2253" s="896" t="s">
        <v>184</v>
      </c>
      <c r="D2253" s="906" t="s">
        <v>377</v>
      </c>
      <c r="E2253" s="907"/>
      <c r="F2253" s="908"/>
      <c r="G2253" s="912">
        <f>SUM(G2254:G2256)</f>
        <v>280.75668198979992</v>
      </c>
      <c r="H2253" s="901">
        <v>1210.17</v>
      </c>
      <c r="I2253" s="901">
        <f>IF(ISBLANK(H2253),"",SUM(G2253:H2253))</f>
        <v>1490.9266819898</v>
      </c>
      <c r="J2253" s="902">
        <f t="shared" si="595"/>
        <v>1790.16</v>
      </c>
      <c r="K2253" s="903" t="s">
        <v>15</v>
      </c>
      <c r="L2253" s="1039">
        <f>ROUND(SUM('RES. CENTRAL PARK:RUA_FINAL'!L2253),2)</f>
        <v>0</v>
      </c>
      <c r="M2253" s="1039">
        <f t="shared" si="589"/>
        <v>0</v>
      </c>
      <c r="N2253" s="893">
        <f t="shared" si="590"/>
        <v>0</v>
      </c>
      <c r="O2253" s="905"/>
      <c r="Q2253" s="317" t="str">
        <f t="shared" si="600"/>
        <v/>
      </c>
      <c r="R2253" s="317" t="str">
        <f t="shared" si="601"/>
        <v/>
      </c>
      <c r="S2253" s="317" t="str">
        <f t="shared" si="602"/>
        <v/>
      </c>
      <c r="V2253" s="314">
        <f>SUM('RES. CENTRAL PARK:RUA_FINAL'!N2253)</f>
        <v>0</v>
      </c>
      <c r="W2253" s="315">
        <f t="shared" si="592"/>
        <v>0</v>
      </c>
    </row>
    <row r="2254" spans="1:23" ht="13.5" hidden="1" thickBot="1" x14ac:dyDescent="0.25">
      <c r="A2254" s="63" t="s">
        <v>147</v>
      </c>
      <c r="B2254" s="895" t="s">
        <v>147</v>
      </c>
      <c r="C2254" s="896"/>
      <c r="D2254" s="906" t="s">
        <v>190</v>
      </c>
      <c r="E2254" s="907">
        <f>DMT!$D$20</f>
        <v>308</v>
      </c>
      <c r="F2254" s="908">
        <f>VLOOKUP(D2253,'ENSAIOS DE ORÇAMENTO'!$C$5:$L$81,4,FALSE)</f>
        <v>0.38327894999999995</v>
      </c>
      <c r="G2254" s="909">
        <f>IF(E2254&lt;=30,(0.78*E2254+7.82)*F2254,((0.78*30+7.82)+0.78*(E2254-30))*F2254)</f>
        <v>95.076176336999993</v>
      </c>
      <c r="H2254" s="901"/>
      <c r="I2254" s="901"/>
      <c r="J2254" s="902">
        <f t="shared" si="595"/>
        <v>0</v>
      </c>
      <c r="K2254" s="903"/>
      <c r="L2254" s="1039">
        <f>ROUND(SUM('RES. CENTRAL PARK:RUA_FINAL'!L2254),2)</f>
        <v>0</v>
      </c>
      <c r="M2254" s="1039">
        <f t="shared" si="589"/>
        <v>0</v>
      </c>
      <c r="N2254" s="893">
        <f t="shared" si="590"/>
        <v>0</v>
      </c>
      <c r="O2254" s="905"/>
      <c r="P2254" s="36" t="str">
        <f>IF(N2253&gt;0,"xx",IF(N2253&gt;0,"xy",""))</f>
        <v/>
      </c>
      <c r="Q2254" s="317" t="str">
        <f t="shared" si="600"/>
        <v/>
      </c>
      <c r="R2254" s="317" t="str">
        <f t="shared" si="601"/>
        <v/>
      </c>
      <c r="S2254" s="317" t="str">
        <f t="shared" si="602"/>
        <v/>
      </c>
      <c r="V2254" s="314">
        <f>SUM('RES. CENTRAL PARK:RUA_FINAL'!N2254)</f>
        <v>0</v>
      </c>
      <c r="W2254" s="315">
        <f t="shared" si="592"/>
        <v>0</v>
      </c>
    </row>
    <row r="2255" spans="1:23" ht="13.5" hidden="1" thickBot="1" x14ac:dyDescent="0.25">
      <c r="A2255" s="63" t="s">
        <v>147</v>
      </c>
      <c r="B2255" s="895" t="s">
        <v>147</v>
      </c>
      <c r="C2255" s="896"/>
      <c r="D2255" s="906" t="s">
        <v>229</v>
      </c>
      <c r="E2255" s="907">
        <f>DMT!$F$8</f>
        <v>150</v>
      </c>
      <c r="F2255" s="908">
        <f>VLOOKUP(D2253,'ENSAIOS DE ORÇAMENTO'!$C$5:$L$81,5,FALSE)</f>
        <v>1.1143076149999998</v>
      </c>
      <c r="G2255" s="949">
        <f t="shared" ref="G2255:G2256" si="608">IF(E2255&lt;=30,(1.07*E2255+2.68)*F2255,((1.07*30+2.68)+1.07*(E2255-30))*F2255)</f>
        <v>181.83271661569998</v>
      </c>
      <c r="H2255" s="901"/>
      <c r="I2255" s="901"/>
      <c r="J2255" s="902">
        <f t="shared" si="595"/>
        <v>0</v>
      </c>
      <c r="K2255" s="903"/>
      <c r="L2255" s="1039">
        <f>ROUND(SUM('RES. CENTRAL PARK:RUA_FINAL'!L2255),2)</f>
        <v>0</v>
      </c>
      <c r="M2255" s="1039">
        <f t="shared" si="589"/>
        <v>0</v>
      </c>
      <c r="N2255" s="893">
        <f t="shared" si="590"/>
        <v>0</v>
      </c>
      <c r="O2255" s="905"/>
      <c r="P2255" s="36" t="str">
        <f>IF(N2253&gt;0,"xx",IF(N2253&gt;0,"xy",""))</f>
        <v/>
      </c>
      <c r="Q2255" s="317" t="str">
        <f t="shared" si="600"/>
        <v/>
      </c>
      <c r="R2255" s="317" t="str">
        <f t="shared" si="601"/>
        <v/>
      </c>
      <c r="S2255" s="317" t="str">
        <f t="shared" si="602"/>
        <v/>
      </c>
      <c r="V2255" s="314">
        <f>SUM('RES. CENTRAL PARK:RUA_FINAL'!N2255)</f>
        <v>0</v>
      </c>
      <c r="W2255" s="315">
        <f t="shared" si="592"/>
        <v>0</v>
      </c>
    </row>
    <row r="2256" spans="1:23" ht="13.5" hidden="1" thickBot="1" x14ac:dyDescent="0.25">
      <c r="A2256" s="63" t="s">
        <v>147</v>
      </c>
      <c r="B2256" s="895" t="s">
        <v>147</v>
      </c>
      <c r="C2256" s="896"/>
      <c r="D2256" s="906" t="s">
        <v>233</v>
      </c>
      <c r="E2256" s="907">
        <f>DMT!$F$10</f>
        <v>0.2</v>
      </c>
      <c r="F2256" s="908">
        <f>VLOOKUP(D2253,'ENSAIOS DE ORÇAMENTO'!$C$5:$L$81,6,FALSE)</f>
        <v>1.3295746499999999</v>
      </c>
      <c r="G2256" s="949">
        <f t="shared" si="608"/>
        <v>3.8477890370999996</v>
      </c>
      <c r="H2256" s="901"/>
      <c r="I2256" s="901"/>
      <c r="J2256" s="902">
        <f t="shared" si="595"/>
        <v>0</v>
      </c>
      <c r="K2256" s="903"/>
      <c r="L2256" s="1039">
        <f>ROUND(SUM('RES. CENTRAL PARK:RUA_FINAL'!L2256),2)</f>
        <v>0</v>
      </c>
      <c r="M2256" s="1039">
        <f t="shared" si="589"/>
        <v>0</v>
      </c>
      <c r="N2256" s="893">
        <f t="shared" si="590"/>
        <v>0</v>
      </c>
      <c r="O2256" s="905"/>
      <c r="P2256" s="36" t="str">
        <f>IF(N2253&gt;0,"xx",IF(N2253&gt;0,"xy",""))</f>
        <v/>
      </c>
      <c r="Q2256" s="317" t="str">
        <f t="shared" si="600"/>
        <v/>
      </c>
      <c r="R2256" s="317" t="str">
        <f t="shared" si="601"/>
        <v/>
      </c>
      <c r="S2256" s="317" t="str">
        <f t="shared" si="602"/>
        <v/>
      </c>
      <c r="V2256" s="314">
        <f>SUM('RES. CENTRAL PARK:RUA_FINAL'!N2256)</f>
        <v>0</v>
      </c>
      <c r="W2256" s="315">
        <f t="shared" si="592"/>
        <v>0</v>
      </c>
    </row>
    <row r="2257" spans="1:23" ht="13.5" hidden="1" thickBot="1" x14ac:dyDescent="0.25">
      <c r="A2257" s="63" t="s">
        <v>111</v>
      </c>
      <c r="B2257" s="895" t="s">
        <v>111</v>
      </c>
      <c r="C2257" s="896" t="s">
        <v>184</v>
      </c>
      <c r="D2257" s="906" t="s">
        <v>378</v>
      </c>
      <c r="E2257" s="907"/>
      <c r="F2257" s="908"/>
      <c r="G2257" s="912">
        <f>SUM(G2258:G2260)</f>
        <v>412.48191319280005</v>
      </c>
      <c r="H2257" s="901">
        <v>1663.57</v>
      </c>
      <c r="I2257" s="901">
        <f>IF(ISBLANK(H2257),"",SUM(G2257:H2257))</f>
        <v>2076.0519131927999</v>
      </c>
      <c r="J2257" s="902">
        <f t="shared" si="595"/>
        <v>2492.7199999999998</v>
      </c>
      <c r="K2257" s="903" t="s">
        <v>15</v>
      </c>
      <c r="L2257" s="1039">
        <f>ROUND(SUM('RES. CENTRAL PARK:RUA_FINAL'!L2257),2)</f>
        <v>0</v>
      </c>
      <c r="M2257" s="1039">
        <f t="shared" si="589"/>
        <v>0</v>
      </c>
      <c r="N2257" s="893">
        <f t="shared" si="590"/>
        <v>0</v>
      </c>
      <c r="O2257" s="905"/>
      <c r="Q2257" s="317" t="str">
        <f t="shared" si="600"/>
        <v/>
      </c>
      <c r="R2257" s="317" t="str">
        <f t="shared" si="601"/>
        <v/>
      </c>
      <c r="S2257" s="317" t="str">
        <f t="shared" si="602"/>
        <v/>
      </c>
      <c r="V2257" s="314">
        <f>SUM('RES. CENTRAL PARK:RUA_FINAL'!N2257)</f>
        <v>0</v>
      </c>
      <c r="W2257" s="315">
        <f t="shared" si="592"/>
        <v>0</v>
      </c>
    </row>
    <row r="2258" spans="1:23" ht="13.5" hidden="1" thickBot="1" x14ac:dyDescent="0.25">
      <c r="A2258" s="63" t="s">
        <v>147</v>
      </c>
      <c r="B2258" s="895" t="s">
        <v>147</v>
      </c>
      <c r="C2258" s="896"/>
      <c r="D2258" s="906" t="s">
        <v>190</v>
      </c>
      <c r="E2258" s="907">
        <f>DMT!$D$20</f>
        <v>308</v>
      </c>
      <c r="F2258" s="908">
        <f>VLOOKUP(D2257,'ENSAIOS DE ORÇAMENTO'!$C$5:$L$81,4,FALSE)</f>
        <v>0.56408220000000009</v>
      </c>
      <c r="G2258" s="909">
        <f>IF(E2258&lt;=30,(0.78*E2258+7.82)*F2258,((0.78*30+7.82)+0.78*(E2258-30))*F2258)</f>
        <v>139.92623053200003</v>
      </c>
      <c r="H2258" s="901"/>
      <c r="I2258" s="901"/>
      <c r="J2258" s="902">
        <f t="shared" si="595"/>
        <v>0</v>
      </c>
      <c r="K2258" s="903"/>
      <c r="L2258" s="1039">
        <f>ROUND(SUM('RES. CENTRAL PARK:RUA_FINAL'!L2258),2)</f>
        <v>0</v>
      </c>
      <c r="M2258" s="1039">
        <f t="shared" ref="M2258:M2321" si="609">IF(L2258=0,0,ROUND(J2258,2))</f>
        <v>0</v>
      </c>
      <c r="N2258" s="893">
        <f t="shared" ref="N2258:N2321" si="610">IF(ISBLANK(L2258),0,ROUND(L2258*M2258,2))</f>
        <v>0</v>
      </c>
      <c r="O2258" s="905"/>
      <c r="P2258" s="36" t="str">
        <f>IF(N2257&gt;0,"xx",IF(N2257&gt;0,"xy",""))</f>
        <v/>
      </c>
      <c r="Q2258" s="317" t="str">
        <f t="shared" si="600"/>
        <v/>
      </c>
      <c r="R2258" s="317" t="str">
        <f t="shared" si="601"/>
        <v/>
      </c>
      <c r="S2258" s="317" t="str">
        <f t="shared" si="602"/>
        <v/>
      </c>
      <c r="V2258" s="314">
        <f>SUM('RES. CENTRAL PARK:RUA_FINAL'!N2258)</f>
        <v>0</v>
      </c>
      <c r="W2258" s="315">
        <f t="shared" si="592"/>
        <v>0</v>
      </c>
    </row>
    <row r="2259" spans="1:23" ht="13.5" hidden="1" thickBot="1" x14ac:dyDescent="0.25">
      <c r="A2259" s="63" t="s">
        <v>147</v>
      </c>
      <c r="B2259" s="895" t="s">
        <v>147</v>
      </c>
      <c r="C2259" s="896"/>
      <c r="D2259" s="906" t="s">
        <v>229</v>
      </c>
      <c r="E2259" s="907">
        <f>DMT!$F$8</f>
        <v>150</v>
      </c>
      <c r="F2259" s="908">
        <f>VLOOKUP(D2257,'ENSAIOS DE ORÇAMENTO'!$C$5:$L$81,5,FALSE)</f>
        <v>1.6356421400000001</v>
      </c>
      <c r="G2259" s="949">
        <f t="shared" ref="G2259:G2260" si="611">IF(E2259&lt;=30,(1.07*E2259+2.68)*F2259,((1.07*30+2.68)+1.07*(E2259-30))*F2259)</f>
        <v>266.90408440520002</v>
      </c>
      <c r="H2259" s="901"/>
      <c r="I2259" s="901"/>
      <c r="J2259" s="902">
        <f t="shared" si="595"/>
        <v>0</v>
      </c>
      <c r="K2259" s="903"/>
      <c r="L2259" s="1039">
        <f>ROUND(SUM('RES. CENTRAL PARK:RUA_FINAL'!L2259),2)</f>
        <v>0</v>
      </c>
      <c r="M2259" s="1039">
        <f t="shared" si="609"/>
        <v>0</v>
      </c>
      <c r="N2259" s="893">
        <f t="shared" si="610"/>
        <v>0</v>
      </c>
      <c r="O2259" s="905"/>
      <c r="P2259" s="36" t="str">
        <f>IF(N2257&gt;0,"xx",IF(N2257&gt;0,"xy",""))</f>
        <v/>
      </c>
      <c r="Q2259" s="317" t="str">
        <f t="shared" si="600"/>
        <v/>
      </c>
      <c r="R2259" s="317" t="str">
        <f t="shared" si="601"/>
        <v/>
      </c>
      <c r="S2259" s="317" t="str">
        <f t="shared" si="602"/>
        <v/>
      </c>
      <c r="V2259" s="314">
        <f>SUM('RES. CENTRAL PARK:RUA_FINAL'!N2259)</f>
        <v>0</v>
      </c>
      <c r="W2259" s="315">
        <f t="shared" si="592"/>
        <v>0</v>
      </c>
    </row>
    <row r="2260" spans="1:23" ht="13.5" hidden="1" thickBot="1" x14ac:dyDescent="0.25">
      <c r="A2260" s="63" t="s">
        <v>147</v>
      </c>
      <c r="B2260" s="895" t="s">
        <v>147</v>
      </c>
      <c r="C2260" s="896"/>
      <c r="D2260" s="906" t="s">
        <v>233</v>
      </c>
      <c r="E2260" s="907">
        <f>DMT!$F$10</f>
        <v>0.2</v>
      </c>
      <c r="F2260" s="908">
        <f>VLOOKUP(D2257,'ENSAIOS DE ORÇAMENTO'!$C$5:$L$81,6,FALSE)</f>
        <v>1.9528674000000004</v>
      </c>
      <c r="G2260" s="949">
        <f t="shared" si="611"/>
        <v>5.6515982556000015</v>
      </c>
      <c r="H2260" s="901"/>
      <c r="I2260" s="901"/>
      <c r="J2260" s="902">
        <f t="shared" ref="J2260:J2305" si="612">IF(ISBLANK(H2260),0,ROUND(I2260*(1+$E$10),2))</f>
        <v>0</v>
      </c>
      <c r="K2260" s="903"/>
      <c r="L2260" s="1039">
        <f>ROUND(SUM('RES. CENTRAL PARK:RUA_FINAL'!L2260),2)</f>
        <v>0</v>
      </c>
      <c r="M2260" s="1039">
        <f t="shared" si="609"/>
        <v>0</v>
      </c>
      <c r="N2260" s="893">
        <f t="shared" si="610"/>
        <v>0</v>
      </c>
      <c r="O2260" s="905"/>
      <c r="P2260" s="36" t="str">
        <f>IF(N2257&gt;0,"xx",IF(N2257&gt;0,"xy",""))</f>
        <v/>
      </c>
      <c r="Q2260" s="317" t="str">
        <f t="shared" si="600"/>
        <v/>
      </c>
      <c r="R2260" s="317" t="str">
        <f t="shared" si="601"/>
        <v/>
      </c>
      <c r="S2260" s="317" t="str">
        <f t="shared" si="602"/>
        <v/>
      </c>
      <c r="V2260" s="314">
        <f>SUM('RES. CENTRAL PARK:RUA_FINAL'!N2260)</f>
        <v>0</v>
      </c>
      <c r="W2260" s="315">
        <f t="shared" si="592"/>
        <v>0</v>
      </c>
    </row>
    <row r="2261" spans="1:23" ht="13.5" hidden="1" thickBot="1" x14ac:dyDescent="0.25">
      <c r="A2261" s="63" t="s">
        <v>112</v>
      </c>
      <c r="B2261" s="895" t="s">
        <v>112</v>
      </c>
      <c r="C2261" s="896" t="s">
        <v>184</v>
      </c>
      <c r="D2261" s="906" t="s">
        <v>379</v>
      </c>
      <c r="E2261" s="907"/>
      <c r="F2261" s="908"/>
      <c r="G2261" s="912">
        <f>SUM(G2262:G2264)</f>
        <v>570.60064910079996</v>
      </c>
      <c r="H2261" s="901">
        <v>2274.9899999999998</v>
      </c>
      <c r="I2261" s="901">
        <f>IF(ISBLANK(H2261),"",SUM(G2261:H2261))</f>
        <v>2845.5906491008</v>
      </c>
      <c r="J2261" s="902">
        <f t="shared" si="612"/>
        <v>3416.7</v>
      </c>
      <c r="K2261" s="903" t="s">
        <v>15</v>
      </c>
      <c r="L2261" s="1039">
        <f>ROUND(SUM('RES. CENTRAL PARK:RUA_FINAL'!L2261),2)</f>
        <v>0</v>
      </c>
      <c r="M2261" s="1039">
        <f t="shared" si="609"/>
        <v>0</v>
      </c>
      <c r="N2261" s="893">
        <f t="shared" si="610"/>
        <v>0</v>
      </c>
      <c r="O2261" s="905"/>
      <c r="Q2261" s="317" t="str">
        <f t="shared" si="600"/>
        <v/>
      </c>
      <c r="R2261" s="317" t="str">
        <f t="shared" si="601"/>
        <v/>
      </c>
      <c r="S2261" s="317" t="str">
        <f t="shared" si="602"/>
        <v/>
      </c>
      <c r="V2261" s="314">
        <f>SUM('RES. CENTRAL PARK:RUA_FINAL'!N2261)</f>
        <v>0</v>
      </c>
      <c r="W2261" s="315">
        <f t="shared" ref="W2261:W2324" si="613">N2261-V2261</f>
        <v>0</v>
      </c>
    </row>
    <row r="2262" spans="1:23" ht="13.5" hidden="1" thickBot="1" x14ac:dyDescent="0.25">
      <c r="A2262" s="63" t="s">
        <v>147</v>
      </c>
      <c r="B2262" s="895" t="s">
        <v>147</v>
      </c>
      <c r="C2262" s="896"/>
      <c r="D2262" s="906" t="s">
        <v>190</v>
      </c>
      <c r="E2262" s="907">
        <f>DMT!$D$20</f>
        <v>308</v>
      </c>
      <c r="F2262" s="908">
        <f>VLOOKUP(D2261,'ENSAIOS DE ORÇAMENTO'!$C$5:$L$81,4,FALSE)</f>
        <v>0.77929919999999997</v>
      </c>
      <c r="G2262" s="909">
        <f>IF(E2262&lt;=30,(0.78*E2262+7.82)*F2262,((0.78*30+7.82)+0.78*(E2262-30))*F2262)</f>
        <v>193.312959552</v>
      </c>
      <c r="H2262" s="901"/>
      <c r="I2262" s="901"/>
      <c r="J2262" s="902">
        <f t="shared" si="612"/>
        <v>0</v>
      </c>
      <c r="K2262" s="903"/>
      <c r="L2262" s="1039">
        <f>ROUND(SUM('RES. CENTRAL PARK:RUA_FINAL'!L2262),2)</f>
        <v>0</v>
      </c>
      <c r="M2262" s="1039">
        <f t="shared" si="609"/>
        <v>0</v>
      </c>
      <c r="N2262" s="893">
        <f t="shared" si="610"/>
        <v>0</v>
      </c>
      <c r="O2262" s="905"/>
      <c r="P2262" s="36" t="str">
        <f>IF(N2261&gt;0,"xx",IF(N2261&gt;0,"xy",""))</f>
        <v/>
      </c>
      <c r="Q2262" s="317" t="str">
        <f t="shared" si="600"/>
        <v/>
      </c>
      <c r="R2262" s="317" t="str">
        <f t="shared" si="601"/>
        <v/>
      </c>
      <c r="S2262" s="317" t="str">
        <f t="shared" si="602"/>
        <v/>
      </c>
      <c r="V2262" s="314">
        <f>SUM('RES. CENTRAL PARK:RUA_FINAL'!N2262)</f>
        <v>0</v>
      </c>
      <c r="W2262" s="315">
        <f t="shared" si="613"/>
        <v>0</v>
      </c>
    </row>
    <row r="2263" spans="1:23" ht="13.5" hidden="1" thickBot="1" x14ac:dyDescent="0.25">
      <c r="A2263" s="63" t="s">
        <v>147</v>
      </c>
      <c r="B2263" s="895" t="s">
        <v>147</v>
      </c>
      <c r="C2263" s="896"/>
      <c r="D2263" s="906" t="s">
        <v>229</v>
      </c>
      <c r="E2263" s="907">
        <f>DMT!$F$8</f>
        <v>150</v>
      </c>
      <c r="F2263" s="908">
        <f>VLOOKUP(D2261,'ENSAIOS DE ORÇAMENTO'!$C$5:$L$81,5,FALSE)</f>
        <v>2.26417504</v>
      </c>
      <c r="G2263" s="949">
        <f t="shared" ref="G2263:G2264" si="614">IF(E2263&lt;=30,(1.07*E2263+2.68)*F2263,((1.07*30+2.68)+1.07*(E2263-30))*F2263)</f>
        <v>369.46808302720001</v>
      </c>
      <c r="H2263" s="901"/>
      <c r="I2263" s="901"/>
      <c r="J2263" s="902">
        <f t="shared" si="612"/>
        <v>0</v>
      </c>
      <c r="K2263" s="903"/>
      <c r="L2263" s="1039">
        <f>ROUND(SUM('RES. CENTRAL PARK:RUA_FINAL'!L2263),2)</f>
        <v>0</v>
      </c>
      <c r="M2263" s="1039">
        <f t="shared" si="609"/>
        <v>0</v>
      </c>
      <c r="N2263" s="893">
        <f t="shared" si="610"/>
        <v>0</v>
      </c>
      <c r="O2263" s="905"/>
      <c r="P2263" s="36" t="str">
        <f>IF(N2261&gt;0,"xx",IF(N2261&gt;0,"xy",""))</f>
        <v/>
      </c>
      <c r="Q2263" s="317" t="str">
        <f t="shared" si="600"/>
        <v/>
      </c>
      <c r="R2263" s="317" t="str">
        <f t="shared" si="601"/>
        <v/>
      </c>
      <c r="S2263" s="317" t="str">
        <f t="shared" si="602"/>
        <v/>
      </c>
      <c r="V2263" s="314">
        <f>SUM('RES. CENTRAL PARK:RUA_FINAL'!N2263)</f>
        <v>0</v>
      </c>
      <c r="W2263" s="315">
        <f t="shared" si="613"/>
        <v>0</v>
      </c>
    </row>
    <row r="2264" spans="1:23" ht="13.5" hidden="1" thickBot="1" x14ac:dyDescent="0.25">
      <c r="A2264" s="63" t="s">
        <v>147</v>
      </c>
      <c r="B2264" s="895" t="s">
        <v>147</v>
      </c>
      <c r="C2264" s="896"/>
      <c r="D2264" s="906" t="s">
        <v>233</v>
      </c>
      <c r="E2264" s="907">
        <f>DMT!$F$10</f>
        <v>0.2</v>
      </c>
      <c r="F2264" s="908">
        <f>VLOOKUP(D2261,'ENSAIOS DE ORÇAMENTO'!$C$5:$L$81,6,FALSE)</f>
        <v>2.7020064000000001</v>
      </c>
      <c r="G2264" s="949">
        <f t="shared" si="614"/>
        <v>7.8196065216000008</v>
      </c>
      <c r="H2264" s="901"/>
      <c r="I2264" s="901"/>
      <c r="J2264" s="902">
        <f t="shared" si="612"/>
        <v>0</v>
      </c>
      <c r="K2264" s="903"/>
      <c r="L2264" s="1039">
        <f>ROUND(SUM('RES. CENTRAL PARK:RUA_FINAL'!L2264),2)</f>
        <v>0</v>
      </c>
      <c r="M2264" s="1039">
        <f t="shared" si="609"/>
        <v>0</v>
      </c>
      <c r="N2264" s="893">
        <f t="shared" si="610"/>
        <v>0</v>
      </c>
      <c r="O2264" s="905"/>
      <c r="P2264" s="36" t="str">
        <f>IF(N2261&gt;0,"xx",IF(N2261&gt;0,"xy",""))</f>
        <v/>
      </c>
      <c r="Q2264" s="317" t="str">
        <f t="shared" si="600"/>
        <v/>
      </c>
      <c r="R2264" s="317" t="str">
        <f t="shared" si="601"/>
        <v/>
      </c>
      <c r="S2264" s="317" t="str">
        <f t="shared" si="602"/>
        <v/>
      </c>
      <c r="V2264" s="314">
        <f>SUM('RES. CENTRAL PARK:RUA_FINAL'!N2264)</f>
        <v>0</v>
      </c>
      <c r="W2264" s="315">
        <f t="shared" si="613"/>
        <v>0</v>
      </c>
    </row>
    <row r="2265" spans="1:23" ht="13.5" hidden="1" thickBot="1" x14ac:dyDescent="0.25">
      <c r="A2265" s="63" t="s">
        <v>113</v>
      </c>
      <c r="B2265" s="895" t="s">
        <v>113</v>
      </c>
      <c r="C2265" s="896" t="s">
        <v>184</v>
      </c>
      <c r="D2265" s="906" t="s">
        <v>380</v>
      </c>
      <c r="E2265" s="907"/>
      <c r="F2265" s="908"/>
      <c r="G2265" s="912">
        <f>SUM(G2266:G2268)</f>
        <v>102.72484374720001</v>
      </c>
      <c r="H2265" s="901">
        <v>931.7</v>
      </c>
      <c r="I2265" s="901">
        <f>IF(ISBLANK(H2265),"",SUM(G2265:H2265))</f>
        <v>1034.4248437472002</v>
      </c>
      <c r="J2265" s="902">
        <f t="shared" si="612"/>
        <v>1242.03</v>
      </c>
      <c r="K2265" s="903" t="s">
        <v>15</v>
      </c>
      <c r="L2265" s="1039">
        <f>ROUND(SUM('RES. CENTRAL PARK:RUA_FINAL'!L2265),2)</f>
        <v>0</v>
      </c>
      <c r="M2265" s="1039">
        <f t="shared" si="609"/>
        <v>0</v>
      </c>
      <c r="N2265" s="893">
        <f t="shared" si="610"/>
        <v>0</v>
      </c>
      <c r="O2265" s="905"/>
      <c r="Q2265" s="317" t="str">
        <f t="shared" si="600"/>
        <v/>
      </c>
      <c r="R2265" s="317" t="str">
        <f t="shared" si="601"/>
        <v/>
      </c>
      <c r="S2265" s="317" t="str">
        <f t="shared" si="602"/>
        <v/>
      </c>
      <c r="V2265" s="314">
        <f>SUM('RES. CENTRAL PARK:RUA_FINAL'!N2265)</f>
        <v>0</v>
      </c>
      <c r="W2265" s="315">
        <f t="shared" si="613"/>
        <v>0</v>
      </c>
    </row>
    <row r="2266" spans="1:23" ht="13.5" hidden="1" thickBot="1" x14ac:dyDescent="0.25">
      <c r="A2266" s="63" t="s">
        <v>147</v>
      </c>
      <c r="B2266" s="895" t="s">
        <v>147</v>
      </c>
      <c r="C2266" s="896"/>
      <c r="D2266" s="906" t="s">
        <v>190</v>
      </c>
      <c r="E2266" s="907">
        <f>DMT!$D$20</f>
        <v>308</v>
      </c>
      <c r="F2266" s="908">
        <f>VLOOKUP(D2265,'ENSAIOS DE ORÇAMENTO'!$C$5:$L$81,4,FALSE)</f>
        <v>0.13625280000000003</v>
      </c>
      <c r="G2266" s="909">
        <f>IF(E2266&lt;=30,(0.78*E2266+7.82)*F2266,((0.78*30+7.82)+0.78*(E2266-30))*F2266)</f>
        <v>33.798869568000008</v>
      </c>
      <c r="H2266" s="901"/>
      <c r="I2266" s="901"/>
      <c r="J2266" s="902">
        <f t="shared" si="612"/>
        <v>0</v>
      </c>
      <c r="K2266" s="903"/>
      <c r="L2266" s="1039">
        <f>ROUND(SUM('RES. CENTRAL PARK:RUA_FINAL'!L2266),2)</f>
        <v>0</v>
      </c>
      <c r="M2266" s="1039">
        <f t="shared" si="609"/>
        <v>0</v>
      </c>
      <c r="N2266" s="893">
        <f t="shared" si="610"/>
        <v>0</v>
      </c>
      <c r="O2266" s="905"/>
      <c r="P2266" s="36" t="str">
        <f>IF(N2265&gt;0,"xx",IF(N2265&gt;0,"xy",""))</f>
        <v/>
      </c>
      <c r="Q2266" s="317" t="str">
        <f t="shared" si="600"/>
        <v/>
      </c>
      <c r="R2266" s="317" t="str">
        <f t="shared" si="601"/>
        <v/>
      </c>
      <c r="S2266" s="317" t="str">
        <f t="shared" si="602"/>
        <v/>
      </c>
      <c r="V2266" s="314">
        <f>SUM('RES. CENTRAL PARK:RUA_FINAL'!N2266)</f>
        <v>0</v>
      </c>
      <c r="W2266" s="315">
        <f t="shared" si="613"/>
        <v>0</v>
      </c>
    </row>
    <row r="2267" spans="1:23" ht="13.5" hidden="1" thickBot="1" x14ac:dyDescent="0.25">
      <c r="A2267" s="63" t="s">
        <v>147</v>
      </c>
      <c r="B2267" s="895" t="s">
        <v>147</v>
      </c>
      <c r="C2267" s="896"/>
      <c r="D2267" s="906" t="s">
        <v>229</v>
      </c>
      <c r="E2267" s="907">
        <f>DMT!$F$8</f>
        <v>150</v>
      </c>
      <c r="F2267" s="908">
        <f>VLOOKUP(D2265,'ENSAIOS DE ORÇAMENTO'!$C$5:$L$81,5,FALSE)</f>
        <v>0.41372736000000004</v>
      </c>
      <c r="G2267" s="949">
        <f t="shared" ref="G2267:G2268" si="615">IF(E2267&lt;=30,(1.07*E2267+2.68)*F2267,((1.07*30+2.68)+1.07*(E2267-30))*F2267)</f>
        <v>67.512030604800003</v>
      </c>
      <c r="H2267" s="901"/>
      <c r="I2267" s="901"/>
      <c r="J2267" s="902">
        <f t="shared" si="612"/>
        <v>0</v>
      </c>
      <c r="K2267" s="903"/>
      <c r="L2267" s="1039">
        <f>ROUND(SUM('RES. CENTRAL PARK:RUA_FINAL'!L2267),2)</f>
        <v>0</v>
      </c>
      <c r="M2267" s="1039">
        <f t="shared" si="609"/>
        <v>0</v>
      </c>
      <c r="N2267" s="893">
        <f t="shared" si="610"/>
        <v>0</v>
      </c>
      <c r="O2267" s="905"/>
      <c r="P2267" s="36" t="str">
        <f>IF(N2265&gt;0,"xx",IF(N2265&gt;0,"xy",""))</f>
        <v/>
      </c>
      <c r="Q2267" s="317" t="str">
        <f t="shared" si="600"/>
        <v/>
      </c>
      <c r="R2267" s="317" t="str">
        <f t="shared" si="601"/>
        <v/>
      </c>
      <c r="S2267" s="317" t="str">
        <f t="shared" si="602"/>
        <v/>
      </c>
      <c r="V2267" s="314">
        <f>SUM('RES. CENTRAL PARK:RUA_FINAL'!N2267)</f>
        <v>0</v>
      </c>
      <c r="W2267" s="315">
        <f t="shared" si="613"/>
        <v>0</v>
      </c>
    </row>
    <row r="2268" spans="1:23" ht="13.5" hidden="1" thickBot="1" x14ac:dyDescent="0.25">
      <c r="A2268" s="63" t="s">
        <v>147</v>
      </c>
      <c r="B2268" s="895" t="s">
        <v>147</v>
      </c>
      <c r="C2268" s="896"/>
      <c r="D2268" s="906" t="s">
        <v>233</v>
      </c>
      <c r="E2268" s="907">
        <f>DMT!$F$10</f>
        <v>0.2</v>
      </c>
      <c r="F2268" s="908">
        <f>VLOOKUP(D2265,'ENSAIOS DE ORÇAMENTO'!$C$5:$L$81,6,FALSE)</f>
        <v>0.48857760000000011</v>
      </c>
      <c r="G2268" s="949">
        <f t="shared" si="615"/>
        <v>1.4139435744000004</v>
      </c>
      <c r="H2268" s="901"/>
      <c r="I2268" s="901"/>
      <c r="J2268" s="902">
        <f t="shared" si="612"/>
        <v>0</v>
      </c>
      <c r="K2268" s="903"/>
      <c r="L2268" s="1039">
        <f>ROUND(SUM('RES. CENTRAL PARK:RUA_FINAL'!L2268),2)</f>
        <v>0</v>
      </c>
      <c r="M2268" s="1039">
        <f t="shared" si="609"/>
        <v>0</v>
      </c>
      <c r="N2268" s="893">
        <f t="shared" si="610"/>
        <v>0</v>
      </c>
      <c r="O2268" s="905"/>
      <c r="P2268" s="36" t="str">
        <f>IF(N2265&gt;0,"xx",IF(N2265&gt;0,"xy",""))</f>
        <v/>
      </c>
      <c r="Q2268" s="317" t="str">
        <f t="shared" si="600"/>
        <v/>
      </c>
      <c r="R2268" s="317" t="str">
        <f t="shared" si="601"/>
        <v/>
      </c>
      <c r="S2268" s="317" t="str">
        <f t="shared" si="602"/>
        <v/>
      </c>
      <c r="V2268" s="314">
        <f>SUM('RES. CENTRAL PARK:RUA_FINAL'!N2268)</f>
        <v>0</v>
      </c>
      <c r="W2268" s="315">
        <f t="shared" si="613"/>
        <v>0</v>
      </c>
    </row>
    <row r="2269" spans="1:23" ht="13.5" hidden="1" thickBot="1" x14ac:dyDescent="0.25">
      <c r="A2269" s="63" t="s">
        <v>33</v>
      </c>
      <c r="B2269" s="895" t="s">
        <v>33</v>
      </c>
      <c r="C2269" s="896" t="s">
        <v>184</v>
      </c>
      <c r="D2269" s="906" t="s">
        <v>381</v>
      </c>
      <c r="E2269" s="907"/>
      <c r="F2269" s="908"/>
      <c r="G2269" s="912">
        <f>SUM(G2270:G2272)</f>
        <v>156.16401135504003</v>
      </c>
      <c r="H2269" s="901">
        <v>1473.01</v>
      </c>
      <c r="I2269" s="901">
        <f>IF(ISBLANK(H2269),"",SUM(G2269:H2269))</f>
        <v>1629.17401135504</v>
      </c>
      <c r="J2269" s="902">
        <f t="shared" si="612"/>
        <v>1956.15</v>
      </c>
      <c r="K2269" s="903" t="s">
        <v>15</v>
      </c>
      <c r="L2269" s="1039">
        <f>ROUND(SUM('RES. CENTRAL PARK:RUA_FINAL'!L2269),2)</f>
        <v>0</v>
      </c>
      <c r="M2269" s="1039">
        <f t="shared" si="609"/>
        <v>0</v>
      </c>
      <c r="N2269" s="893">
        <f t="shared" si="610"/>
        <v>0</v>
      </c>
      <c r="O2269" s="905"/>
      <c r="Q2269" s="317" t="str">
        <f t="shared" si="600"/>
        <v/>
      </c>
      <c r="R2269" s="317" t="str">
        <f t="shared" si="601"/>
        <v/>
      </c>
      <c r="S2269" s="317" t="str">
        <f t="shared" si="602"/>
        <v/>
      </c>
      <c r="V2269" s="314">
        <f>SUM('RES. CENTRAL PARK:RUA_FINAL'!N2269)</f>
        <v>0</v>
      </c>
      <c r="W2269" s="315">
        <f t="shared" si="613"/>
        <v>0</v>
      </c>
    </row>
    <row r="2270" spans="1:23" ht="13.5" hidden="1" thickBot="1" x14ac:dyDescent="0.25">
      <c r="A2270" s="63" t="s">
        <v>147</v>
      </c>
      <c r="B2270" s="895" t="s">
        <v>147</v>
      </c>
      <c r="C2270" s="896"/>
      <c r="D2270" s="906" t="s">
        <v>190</v>
      </c>
      <c r="E2270" s="907">
        <f>DMT!$D$20</f>
        <v>308</v>
      </c>
      <c r="F2270" s="908">
        <f>VLOOKUP(D2269,'ENSAIOS DE ORÇAMENTO'!$C$5:$L$81,4,FALSE)</f>
        <v>0.21117996</v>
      </c>
      <c r="G2270" s="909">
        <f>IF(E2270&lt;=30,(0.78*E2270+7.82)*F2270,((0.78*30+7.82)+0.78*(E2270-30))*F2270)</f>
        <v>52.385300877600002</v>
      </c>
      <c r="H2270" s="901"/>
      <c r="I2270" s="901"/>
      <c r="J2270" s="902">
        <f t="shared" si="612"/>
        <v>0</v>
      </c>
      <c r="K2270" s="903"/>
      <c r="L2270" s="1039">
        <f>ROUND(SUM('RES. CENTRAL PARK:RUA_FINAL'!L2270),2)</f>
        <v>0</v>
      </c>
      <c r="M2270" s="1039">
        <f t="shared" si="609"/>
        <v>0</v>
      </c>
      <c r="N2270" s="893">
        <f t="shared" si="610"/>
        <v>0</v>
      </c>
      <c r="O2270" s="905"/>
      <c r="P2270" s="36" t="str">
        <f>IF(N2269&gt;0,"xx",IF(N2269&gt;0,"xy",""))</f>
        <v/>
      </c>
      <c r="Q2270" s="317" t="str">
        <f t="shared" si="600"/>
        <v/>
      </c>
      <c r="R2270" s="317" t="str">
        <f t="shared" si="601"/>
        <v/>
      </c>
      <c r="S2270" s="317" t="str">
        <f t="shared" si="602"/>
        <v/>
      </c>
      <c r="V2270" s="314">
        <f>SUM('RES. CENTRAL PARK:RUA_FINAL'!N2270)</f>
        <v>0</v>
      </c>
      <c r="W2270" s="315">
        <f t="shared" si="613"/>
        <v>0</v>
      </c>
    </row>
    <row r="2271" spans="1:23" ht="13.5" hidden="1" thickBot="1" x14ac:dyDescent="0.25">
      <c r="A2271" s="63" t="s">
        <v>147</v>
      </c>
      <c r="B2271" s="895" t="s">
        <v>147</v>
      </c>
      <c r="C2271" s="896"/>
      <c r="D2271" s="906" t="s">
        <v>229</v>
      </c>
      <c r="E2271" s="907">
        <f>DMT!$F$8</f>
        <v>150</v>
      </c>
      <c r="F2271" s="908">
        <f>VLOOKUP(D2269,'ENSAIOS DE ORÇAMENTO'!$C$5:$L$81,5,FALSE)</f>
        <v>0.62284225199999999</v>
      </c>
      <c r="G2271" s="949">
        <f t="shared" ref="G2271:G2272" si="616">IF(E2271&lt;=30,(1.07*E2271+2.68)*F2271,((1.07*30+2.68)+1.07*(E2271-30))*F2271)</f>
        <v>101.63539868136</v>
      </c>
      <c r="H2271" s="901"/>
      <c r="I2271" s="901"/>
      <c r="J2271" s="902">
        <f t="shared" si="612"/>
        <v>0</v>
      </c>
      <c r="K2271" s="903"/>
      <c r="L2271" s="1039">
        <f>ROUND(SUM('RES. CENTRAL PARK:RUA_FINAL'!L2271),2)</f>
        <v>0</v>
      </c>
      <c r="M2271" s="1039">
        <f t="shared" si="609"/>
        <v>0</v>
      </c>
      <c r="N2271" s="893">
        <f t="shared" si="610"/>
        <v>0</v>
      </c>
      <c r="O2271" s="905"/>
      <c r="P2271" s="36" t="str">
        <f>IF(N2269&gt;0,"xx",IF(N2269&gt;0,"xy",""))</f>
        <v/>
      </c>
      <c r="Q2271" s="317" t="str">
        <f t="shared" si="600"/>
        <v/>
      </c>
      <c r="R2271" s="317" t="str">
        <f t="shared" si="601"/>
        <v/>
      </c>
      <c r="S2271" s="317" t="str">
        <f t="shared" si="602"/>
        <v/>
      </c>
      <c r="V2271" s="314">
        <f>SUM('RES. CENTRAL PARK:RUA_FINAL'!N2271)</f>
        <v>0</v>
      </c>
      <c r="W2271" s="315">
        <f t="shared" si="613"/>
        <v>0</v>
      </c>
    </row>
    <row r="2272" spans="1:23" ht="13.5" hidden="1" thickBot="1" x14ac:dyDescent="0.25">
      <c r="A2272" s="63" t="s">
        <v>147</v>
      </c>
      <c r="B2272" s="895" t="s">
        <v>147</v>
      </c>
      <c r="C2272" s="896"/>
      <c r="D2272" s="906" t="s">
        <v>233</v>
      </c>
      <c r="E2272" s="907">
        <f>DMT!$F$10</f>
        <v>0.2</v>
      </c>
      <c r="F2272" s="908">
        <f>VLOOKUP(D2269,'ENSAIOS DE ORÇAMENTO'!$C$5:$L$81,6,FALSE)</f>
        <v>0.74060532000000001</v>
      </c>
      <c r="G2272" s="949">
        <f t="shared" si="616"/>
        <v>2.1433117960800003</v>
      </c>
      <c r="H2272" s="901"/>
      <c r="I2272" s="901"/>
      <c r="J2272" s="902">
        <f t="shared" si="612"/>
        <v>0</v>
      </c>
      <c r="K2272" s="903"/>
      <c r="L2272" s="1039">
        <f>ROUND(SUM('RES. CENTRAL PARK:RUA_FINAL'!L2272),2)</f>
        <v>0</v>
      </c>
      <c r="M2272" s="1039">
        <f t="shared" si="609"/>
        <v>0</v>
      </c>
      <c r="N2272" s="893">
        <f t="shared" si="610"/>
        <v>0</v>
      </c>
      <c r="O2272" s="905"/>
      <c r="P2272" s="36" t="str">
        <f>IF(N2269&gt;0,"xx",IF(N2269&gt;0,"xy",""))</f>
        <v/>
      </c>
      <c r="Q2272" s="317" t="str">
        <f t="shared" si="600"/>
        <v/>
      </c>
      <c r="R2272" s="317" t="str">
        <f t="shared" si="601"/>
        <v/>
      </c>
      <c r="S2272" s="317" t="str">
        <f t="shared" si="602"/>
        <v/>
      </c>
      <c r="V2272" s="314">
        <f>SUM('RES. CENTRAL PARK:RUA_FINAL'!N2272)</f>
        <v>0</v>
      </c>
      <c r="W2272" s="315">
        <f t="shared" si="613"/>
        <v>0</v>
      </c>
    </row>
    <row r="2273" spans="1:23" ht="13.5" hidden="1" thickBot="1" x14ac:dyDescent="0.25">
      <c r="A2273" s="63" t="s">
        <v>34</v>
      </c>
      <c r="B2273" s="895" t="s">
        <v>34</v>
      </c>
      <c r="C2273" s="896" t="s">
        <v>184</v>
      </c>
      <c r="D2273" s="906" t="s">
        <v>382</v>
      </c>
      <c r="E2273" s="907"/>
      <c r="F2273" s="908"/>
      <c r="G2273" s="912">
        <f>SUM(G2274:G2276)</f>
        <v>280.75668198979992</v>
      </c>
      <c r="H2273" s="901">
        <v>2538.3200000000002</v>
      </c>
      <c r="I2273" s="901">
        <f>IF(ISBLANK(H2273),"",SUM(G2273:H2273))</f>
        <v>2819.0766819897999</v>
      </c>
      <c r="J2273" s="902">
        <f t="shared" si="612"/>
        <v>3384.87</v>
      </c>
      <c r="K2273" s="903" t="s">
        <v>15</v>
      </c>
      <c r="L2273" s="1039">
        <f>ROUND(SUM('RES. CENTRAL PARK:RUA_FINAL'!L2273),2)</f>
        <v>0</v>
      </c>
      <c r="M2273" s="1039">
        <f t="shared" si="609"/>
        <v>0</v>
      </c>
      <c r="N2273" s="893">
        <f t="shared" si="610"/>
        <v>0</v>
      </c>
      <c r="O2273" s="905"/>
      <c r="Q2273" s="317" t="str">
        <f t="shared" si="600"/>
        <v/>
      </c>
      <c r="R2273" s="317" t="str">
        <f t="shared" si="601"/>
        <v/>
      </c>
      <c r="S2273" s="317" t="str">
        <f t="shared" si="602"/>
        <v/>
      </c>
      <c r="V2273" s="314">
        <f>SUM('RES. CENTRAL PARK:RUA_FINAL'!N2273)</f>
        <v>0</v>
      </c>
      <c r="W2273" s="315">
        <f t="shared" si="613"/>
        <v>0</v>
      </c>
    </row>
    <row r="2274" spans="1:23" ht="13.5" hidden="1" thickBot="1" x14ac:dyDescent="0.25">
      <c r="A2274" s="63" t="s">
        <v>147</v>
      </c>
      <c r="B2274" s="895" t="s">
        <v>147</v>
      </c>
      <c r="C2274" s="896"/>
      <c r="D2274" s="906" t="s">
        <v>190</v>
      </c>
      <c r="E2274" s="907">
        <f>DMT!$D$20</f>
        <v>308</v>
      </c>
      <c r="F2274" s="908">
        <f>VLOOKUP(D2273,'ENSAIOS DE ORÇAMENTO'!$C$5:$L$81,4,FALSE)</f>
        <v>0.38327894999999995</v>
      </c>
      <c r="G2274" s="909">
        <f>IF(E2274&lt;=30,(0.78*E2274+7.82)*F2274,((0.78*30+7.82)+0.78*(E2274-30))*F2274)</f>
        <v>95.076176336999993</v>
      </c>
      <c r="H2274" s="901"/>
      <c r="I2274" s="901"/>
      <c r="J2274" s="902">
        <f t="shared" si="612"/>
        <v>0</v>
      </c>
      <c r="K2274" s="903"/>
      <c r="L2274" s="1039">
        <f>ROUND(SUM('RES. CENTRAL PARK:RUA_FINAL'!L2274),2)</f>
        <v>0</v>
      </c>
      <c r="M2274" s="1039">
        <f t="shared" si="609"/>
        <v>0</v>
      </c>
      <c r="N2274" s="893">
        <f t="shared" si="610"/>
        <v>0</v>
      </c>
      <c r="O2274" s="905"/>
      <c r="P2274" s="36" t="str">
        <f>IF(N2273&gt;0,"xx",IF(N2273&gt;0,"xy",""))</f>
        <v/>
      </c>
      <c r="Q2274" s="317" t="str">
        <f t="shared" si="600"/>
        <v/>
      </c>
      <c r="R2274" s="317" t="str">
        <f t="shared" si="601"/>
        <v/>
      </c>
      <c r="S2274" s="317" t="str">
        <f t="shared" si="602"/>
        <v/>
      </c>
      <c r="V2274" s="314">
        <f>SUM('RES. CENTRAL PARK:RUA_FINAL'!N2274)</f>
        <v>0</v>
      </c>
      <c r="W2274" s="315">
        <f t="shared" si="613"/>
        <v>0</v>
      </c>
    </row>
    <row r="2275" spans="1:23" ht="13.5" hidden="1" thickBot="1" x14ac:dyDescent="0.25">
      <c r="A2275" s="63" t="s">
        <v>147</v>
      </c>
      <c r="B2275" s="895" t="s">
        <v>147</v>
      </c>
      <c r="C2275" s="896"/>
      <c r="D2275" s="906" t="s">
        <v>229</v>
      </c>
      <c r="E2275" s="907">
        <f>DMT!$F$8</f>
        <v>150</v>
      </c>
      <c r="F2275" s="908">
        <f>VLOOKUP(D2273,'ENSAIOS DE ORÇAMENTO'!$C$5:$L$81,5,FALSE)</f>
        <v>1.1143076149999998</v>
      </c>
      <c r="G2275" s="949">
        <f t="shared" ref="G2275:G2276" si="617">IF(E2275&lt;=30,(1.07*E2275+2.68)*F2275,((1.07*30+2.68)+1.07*(E2275-30))*F2275)</f>
        <v>181.83271661569998</v>
      </c>
      <c r="H2275" s="901"/>
      <c r="I2275" s="901"/>
      <c r="J2275" s="902">
        <f t="shared" si="612"/>
        <v>0</v>
      </c>
      <c r="K2275" s="903"/>
      <c r="L2275" s="1039">
        <f>ROUND(SUM('RES. CENTRAL PARK:RUA_FINAL'!L2275),2)</f>
        <v>0</v>
      </c>
      <c r="M2275" s="1039">
        <f t="shared" si="609"/>
        <v>0</v>
      </c>
      <c r="N2275" s="893">
        <f t="shared" si="610"/>
        <v>0</v>
      </c>
      <c r="O2275" s="905"/>
      <c r="P2275" s="36" t="str">
        <f>IF(N2273&gt;0,"xx",IF(N2273&gt;0,"xy",""))</f>
        <v/>
      </c>
      <c r="Q2275" s="317" t="str">
        <f t="shared" si="600"/>
        <v/>
      </c>
      <c r="R2275" s="317" t="str">
        <f t="shared" si="601"/>
        <v/>
      </c>
      <c r="S2275" s="317" t="str">
        <f t="shared" si="602"/>
        <v/>
      </c>
      <c r="V2275" s="314">
        <f>SUM('RES. CENTRAL PARK:RUA_FINAL'!N2275)</f>
        <v>0</v>
      </c>
      <c r="W2275" s="315">
        <f t="shared" si="613"/>
        <v>0</v>
      </c>
    </row>
    <row r="2276" spans="1:23" ht="13.5" hidden="1" thickBot="1" x14ac:dyDescent="0.25">
      <c r="A2276" s="63" t="s">
        <v>147</v>
      </c>
      <c r="B2276" s="895" t="s">
        <v>147</v>
      </c>
      <c r="C2276" s="896"/>
      <c r="D2276" s="906" t="s">
        <v>233</v>
      </c>
      <c r="E2276" s="907">
        <f>DMT!$F$10</f>
        <v>0.2</v>
      </c>
      <c r="F2276" s="908">
        <f>VLOOKUP(D2273,'ENSAIOS DE ORÇAMENTO'!$C$5:$L$81,6,FALSE)</f>
        <v>1.3295746499999999</v>
      </c>
      <c r="G2276" s="949">
        <f t="shared" si="617"/>
        <v>3.8477890370999996</v>
      </c>
      <c r="H2276" s="901"/>
      <c r="I2276" s="901"/>
      <c r="J2276" s="902">
        <f t="shared" si="612"/>
        <v>0</v>
      </c>
      <c r="K2276" s="903"/>
      <c r="L2276" s="1039">
        <f>ROUND(SUM('RES. CENTRAL PARK:RUA_FINAL'!L2276),2)</f>
        <v>0</v>
      </c>
      <c r="M2276" s="1039">
        <f t="shared" si="609"/>
        <v>0</v>
      </c>
      <c r="N2276" s="893">
        <f t="shared" si="610"/>
        <v>0</v>
      </c>
      <c r="O2276" s="905"/>
      <c r="P2276" s="36" t="str">
        <f>IF(N2273&gt;0,"xx",IF(N2273&gt;0,"xy",""))</f>
        <v/>
      </c>
      <c r="Q2276" s="317" t="str">
        <f t="shared" ref="Q2276:Q2327" si="618">IF(P2276="X","x",IF(P2276="xx","x",IF(P2276="xy","x",IF(P2276="y","x",IF(OR(N2276&gt;0,N2276&gt;0),"x","")))))</f>
        <v/>
      </c>
      <c r="R2276" s="317" t="str">
        <f t="shared" ref="R2276:R2327" si="619">IF(P2276="X","x",IF(P2276="y","x",IF(P2276="xx","x",IF(N2276&gt;0,"x",""))))</f>
        <v/>
      </c>
      <c r="S2276" s="317" t="str">
        <f t="shared" ref="S2276:S2327" si="620">IF(P2276="X","x",IF(N2276&gt;0,"x",""))</f>
        <v/>
      </c>
      <c r="V2276" s="314">
        <f>SUM('RES. CENTRAL PARK:RUA_FINAL'!N2276)</f>
        <v>0</v>
      </c>
      <c r="W2276" s="315">
        <f t="shared" si="613"/>
        <v>0</v>
      </c>
    </row>
    <row r="2277" spans="1:23" ht="13.5" hidden="1" thickBot="1" x14ac:dyDescent="0.25">
      <c r="A2277" s="63" t="s">
        <v>35</v>
      </c>
      <c r="B2277" s="895" t="s">
        <v>35</v>
      </c>
      <c r="C2277" s="896" t="s">
        <v>184</v>
      </c>
      <c r="D2277" s="906" t="s">
        <v>383</v>
      </c>
      <c r="E2277" s="907"/>
      <c r="F2277" s="908"/>
      <c r="G2277" s="912">
        <f>SUM(G2278:G2280)</f>
        <v>412.48191319280005</v>
      </c>
      <c r="H2277" s="901">
        <v>3699.81</v>
      </c>
      <c r="I2277" s="901">
        <f>IF(ISBLANK(H2277),"",SUM(G2277:H2277))</f>
        <v>4112.2919131928002</v>
      </c>
      <c r="J2277" s="902">
        <f t="shared" si="612"/>
        <v>4937.63</v>
      </c>
      <c r="K2277" s="903" t="s">
        <v>15</v>
      </c>
      <c r="L2277" s="1039">
        <f>ROUND(SUM('RES. CENTRAL PARK:RUA_FINAL'!L2277),2)</f>
        <v>0</v>
      </c>
      <c r="M2277" s="1039">
        <f t="shared" si="609"/>
        <v>0</v>
      </c>
      <c r="N2277" s="893">
        <f t="shared" si="610"/>
        <v>0</v>
      </c>
      <c r="O2277" s="905"/>
      <c r="Q2277" s="317" t="str">
        <f t="shared" si="618"/>
        <v/>
      </c>
      <c r="R2277" s="317" t="str">
        <f t="shared" si="619"/>
        <v/>
      </c>
      <c r="S2277" s="317" t="str">
        <f t="shared" si="620"/>
        <v/>
      </c>
      <c r="V2277" s="314">
        <f>SUM('RES. CENTRAL PARK:RUA_FINAL'!N2277)</f>
        <v>0</v>
      </c>
      <c r="W2277" s="315">
        <f t="shared" si="613"/>
        <v>0</v>
      </c>
    </row>
    <row r="2278" spans="1:23" ht="13.5" hidden="1" thickBot="1" x14ac:dyDescent="0.25">
      <c r="A2278" s="63" t="s">
        <v>147</v>
      </c>
      <c r="B2278" s="895" t="s">
        <v>147</v>
      </c>
      <c r="C2278" s="896"/>
      <c r="D2278" s="906" t="s">
        <v>190</v>
      </c>
      <c r="E2278" s="907">
        <f>DMT!$D$20</f>
        <v>308</v>
      </c>
      <c r="F2278" s="908">
        <f>VLOOKUP(D2277,'ENSAIOS DE ORÇAMENTO'!$C$5:$L$81,4,FALSE)</f>
        <v>0.56408220000000009</v>
      </c>
      <c r="G2278" s="909">
        <f>IF(E2278&lt;=30,(0.78*E2278+7.82)*F2278,((0.78*30+7.82)+0.78*(E2278-30))*F2278)</f>
        <v>139.92623053200003</v>
      </c>
      <c r="H2278" s="901"/>
      <c r="I2278" s="901"/>
      <c r="J2278" s="902">
        <f t="shared" si="612"/>
        <v>0</v>
      </c>
      <c r="K2278" s="903"/>
      <c r="L2278" s="1039">
        <f>ROUND(SUM('RES. CENTRAL PARK:RUA_FINAL'!L2278),2)</f>
        <v>0</v>
      </c>
      <c r="M2278" s="1039">
        <f t="shared" si="609"/>
        <v>0</v>
      </c>
      <c r="N2278" s="893">
        <f t="shared" si="610"/>
        <v>0</v>
      </c>
      <c r="O2278" s="905"/>
      <c r="P2278" s="36" t="str">
        <f>IF(N2277&gt;0,"xx",IF(N2277&gt;0,"xy",""))</f>
        <v/>
      </c>
      <c r="Q2278" s="317" t="str">
        <f t="shared" si="618"/>
        <v/>
      </c>
      <c r="R2278" s="317" t="str">
        <f t="shared" si="619"/>
        <v/>
      </c>
      <c r="S2278" s="317" t="str">
        <f t="shared" si="620"/>
        <v/>
      </c>
      <c r="V2278" s="314">
        <f>SUM('RES. CENTRAL PARK:RUA_FINAL'!N2278)</f>
        <v>0</v>
      </c>
      <c r="W2278" s="315">
        <f t="shared" si="613"/>
        <v>0</v>
      </c>
    </row>
    <row r="2279" spans="1:23" ht="13.5" hidden="1" thickBot="1" x14ac:dyDescent="0.25">
      <c r="A2279" s="63" t="s">
        <v>147</v>
      </c>
      <c r="B2279" s="895" t="s">
        <v>147</v>
      </c>
      <c r="C2279" s="896"/>
      <c r="D2279" s="906" t="s">
        <v>229</v>
      </c>
      <c r="E2279" s="907">
        <f>DMT!$F$8</f>
        <v>150</v>
      </c>
      <c r="F2279" s="908">
        <f>VLOOKUP(D2277,'ENSAIOS DE ORÇAMENTO'!$C$5:$L$81,5,FALSE)</f>
        <v>1.6356421400000001</v>
      </c>
      <c r="G2279" s="949">
        <f t="shared" ref="G2279:G2280" si="621">IF(E2279&lt;=30,(1.07*E2279+2.68)*F2279,((1.07*30+2.68)+1.07*(E2279-30))*F2279)</f>
        <v>266.90408440520002</v>
      </c>
      <c r="H2279" s="901"/>
      <c r="I2279" s="901"/>
      <c r="J2279" s="902">
        <f t="shared" si="612"/>
        <v>0</v>
      </c>
      <c r="K2279" s="903"/>
      <c r="L2279" s="1039">
        <f>ROUND(SUM('RES. CENTRAL PARK:RUA_FINAL'!L2279),2)</f>
        <v>0</v>
      </c>
      <c r="M2279" s="1039">
        <f t="shared" si="609"/>
        <v>0</v>
      </c>
      <c r="N2279" s="893">
        <f t="shared" si="610"/>
        <v>0</v>
      </c>
      <c r="O2279" s="905"/>
      <c r="P2279" s="36" t="str">
        <f>IF(N2277&gt;0,"xx",IF(N2277&gt;0,"xy",""))</f>
        <v/>
      </c>
      <c r="Q2279" s="317" t="str">
        <f t="shared" si="618"/>
        <v/>
      </c>
      <c r="R2279" s="317" t="str">
        <f t="shared" si="619"/>
        <v/>
      </c>
      <c r="S2279" s="317" t="str">
        <f t="shared" si="620"/>
        <v/>
      </c>
      <c r="V2279" s="314">
        <f>SUM('RES. CENTRAL PARK:RUA_FINAL'!N2279)</f>
        <v>0</v>
      </c>
      <c r="W2279" s="315">
        <f t="shared" si="613"/>
        <v>0</v>
      </c>
    </row>
    <row r="2280" spans="1:23" ht="13.5" hidden="1" thickBot="1" x14ac:dyDescent="0.25">
      <c r="A2280" s="63" t="s">
        <v>147</v>
      </c>
      <c r="B2280" s="895" t="s">
        <v>147</v>
      </c>
      <c r="C2280" s="896"/>
      <c r="D2280" s="906" t="s">
        <v>233</v>
      </c>
      <c r="E2280" s="907">
        <f>DMT!$F$10</f>
        <v>0.2</v>
      </c>
      <c r="F2280" s="908">
        <f>VLOOKUP(D2277,'ENSAIOS DE ORÇAMENTO'!$C$5:$L$81,6,FALSE)</f>
        <v>1.9528674000000004</v>
      </c>
      <c r="G2280" s="949">
        <f t="shared" si="621"/>
        <v>5.6515982556000015</v>
      </c>
      <c r="H2280" s="901"/>
      <c r="I2280" s="901"/>
      <c r="J2280" s="902">
        <f t="shared" si="612"/>
        <v>0</v>
      </c>
      <c r="K2280" s="903"/>
      <c r="L2280" s="1039">
        <f>ROUND(SUM('RES. CENTRAL PARK:RUA_FINAL'!L2280),2)</f>
        <v>0</v>
      </c>
      <c r="M2280" s="1039">
        <f t="shared" si="609"/>
        <v>0</v>
      </c>
      <c r="N2280" s="893">
        <f t="shared" si="610"/>
        <v>0</v>
      </c>
      <c r="O2280" s="905"/>
      <c r="P2280" s="36" t="str">
        <f>IF(N2277&gt;0,"xx",IF(N2277&gt;0,"xy",""))</f>
        <v/>
      </c>
      <c r="Q2280" s="317" t="str">
        <f t="shared" si="618"/>
        <v/>
      </c>
      <c r="R2280" s="317" t="str">
        <f t="shared" si="619"/>
        <v/>
      </c>
      <c r="S2280" s="317" t="str">
        <f t="shared" si="620"/>
        <v/>
      </c>
      <c r="V2280" s="314">
        <f>SUM('RES. CENTRAL PARK:RUA_FINAL'!N2280)</f>
        <v>0</v>
      </c>
      <c r="W2280" s="315">
        <f t="shared" si="613"/>
        <v>0</v>
      </c>
    </row>
    <row r="2281" spans="1:23" ht="13.5" hidden="1" thickBot="1" x14ac:dyDescent="0.25">
      <c r="A2281" s="63" t="s">
        <v>36</v>
      </c>
      <c r="B2281" s="895" t="s">
        <v>36</v>
      </c>
      <c r="C2281" s="896" t="s">
        <v>184</v>
      </c>
      <c r="D2281" s="906" t="s">
        <v>384</v>
      </c>
      <c r="E2281" s="907"/>
      <c r="F2281" s="908"/>
      <c r="G2281" s="912">
        <f>SUM(G2282:G2284)</f>
        <v>570.60064910079996</v>
      </c>
      <c r="H2281" s="901">
        <v>5102.8900000000003</v>
      </c>
      <c r="I2281" s="901">
        <f>IF(ISBLANK(H2281),"",SUM(G2281:H2281))</f>
        <v>5673.4906491008005</v>
      </c>
      <c r="J2281" s="902">
        <f t="shared" si="612"/>
        <v>6812.16</v>
      </c>
      <c r="K2281" s="903" t="s">
        <v>15</v>
      </c>
      <c r="L2281" s="1039">
        <f>ROUND(SUM('RES. CENTRAL PARK:RUA_FINAL'!L2281),2)</f>
        <v>0</v>
      </c>
      <c r="M2281" s="1039">
        <f t="shared" si="609"/>
        <v>0</v>
      </c>
      <c r="N2281" s="893">
        <f t="shared" si="610"/>
        <v>0</v>
      </c>
      <c r="O2281" s="905"/>
      <c r="Q2281" s="317" t="str">
        <f t="shared" si="618"/>
        <v/>
      </c>
      <c r="R2281" s="317" t="str">
        <f t="shared" si="619"/>
        <v/>
      </c>
      <c r="S2281" s="317" t="str">
        <f t="shared" si="620"/>
        <v/>
      </c>
      <c r="V2281" s="314">
        <f>SUM('RES. CENTRAL PARK:RUA_FINAL'!N2281)</f>
        <v>0</v>
      </c>
      <c r="W2281" s="315">
        <f t="shared" si="613"/>
        <v>0</v>
      </c>
    </row>
    <row r="2282" spans="1:23" ht="13.5" hidden="1" thickBot="1" x14ac:dyDescent="0.25">
      <c r="A2282" s="63" t="s">
        <v>147</v>
      </c>
      <c r="B2282" s="895" t="s">
        <v>147</v>
      </c>
      <c r="C2282" s="896"/>
      <c r="D2282" s="906" t="s">
        <v>190</v>
      </c>
      <c r="E2282" s="907">
        <f>DMT!$D$20</f>
        <v>308</v>
      </c>
      <c r="F2282" s="908">
        <f>VLOOKUP(D2281,'ENSAIOS DE ORÇAMENTO'!$C$5:$L$81,4,FALSE)</f>
        <v>0.77929919999999997</v>
      </c>
      <c r="G2282" s="909">
        <f>IF(E2282&lt;=30,(0.78*E2282+7.82)*F2282,((0.78*30+7.82)+0.78*(E2282-30))*F2282)</f>
        <v>193.312959552</v>
      </c>
      <c r="H2282" s="901"/>
      <c r="I2282" s="901"/>
      <c r="J2282" s="902">
        <f t="shared" si="612"/>
        <v>0</v>
      </c>
      <c r="K2282" s="903"/>
      <c r="L2282" s="1039">
        <f>ROUND(SUM('RES. CENTRAL PARK:RUA_FINAL'!L2282),2)</f>
        <v>0</v>
      </c>
      <c r="M2282" s="1039">
        <f t="shared" si="609"/>
        <v>0</v>
      </c>
      <c r="N2282" s="893">
        <f t="shared" si="610"/>
        <v>0</v>
      </c>
      <c r="O2282" s="905"/>
      <c r="P2282" s="36" t="str">
        <f>IF(N2281&gt;0,"xx",IF(N2281&gt;0,"xy",""))</f>
        <v/>
      </c>
      <c r="Q2282" s="317" t="str">
        <f t="shared" si="618"/>
        <v/>
      </c>
      <c r="R2282" s="317" t="str">
        <f t="shared" si="619"/>
        <v/>
      </c>
      <c r="S2282" s="317" t="str">
        <f t="shared" si="620"/>
        <v/>
      </c>
      <c r="V2282" s="314">
        <f>SUM('RES. CENTRAL PARK:RUA_FINAL'!N2282)</f>
        <v>0</v>
      </c>
      <c r="W2282" s="315">
        <f t="shared" si="613"/>
        <v>0</v>
      </c>
    </row>
    <row r="2283" spans="1:23" ht="13.5" hidden="1" thickBot="1" x14ac:dyDescent="0.25">
      <c r="A2283" s="63" t="s">
        <v>147</v>
      </c>
      <c r="B2283" s="895" t="s">
        <v>147</v>
      </c>
      <c r="C2283" s="896"/>
      <c r="D2283" s="906" t="s">
        <v>229</v>
      </c>
      <c r="E2283" s="907">
        <f>DMT!$F$8</f>
        <v>150</v>
      </c>
      <c r="F2283" s="908">
        <f>VLOOKUP(D2281,'ENSAIOS DE ORÇAMENTO'!$C$5:$L$81,5,FALSE)</f>
        <v>2.26417504</v>
      </c>
      <c r="G2283" s="949">
        <f t="shared" ref="G2283:G2284" si="622">IF(E2283&lt;=30,(1.07*E2283+2.68)*F2283,((1.07*30+2.68)+1.07*(E2283-30))*F2283)</f>
        <v>369.46808302720001</v>
      </c>
      <c r="H2283" s="901"/>
      <c r="I2283" s="901"/>
      <c r="J2283" s="902">
        <f t="shared" si="612"/>
        <v>0</v>
      </c>
      <c r="K2283" s="903"/>
      <c r="L2283" s="1039">
        <f>ROUND(SUM('RES. CENTRAL PARK:RUA_FINAL'!L2283),2)</f>
        <v>0</v>
      </c>
      <c r="M2283" s="1039">
        <f t="shared" si="609"/>
        <v>0</v>
      </c>
      <c r="N2283" s="893">
        <f t="shared" si="610"/>
        <v>0</v>
      </c>
      <c r="O2283" s="905"/>
      <c r="P2283" s="36" t="str">
        <f>IF(N2281&gt;0,"xx",IF(N2281&gt;0,"xy",""))</f>
        <v/>
      </c>
      <c r="Q2283" s="317" t="str">
        <f t="shared" si="618"/>
        <v/>
      </c>
      <c r="R2283" s="317" t="str">
        <f t="shared" si="619"/>
        <v/>
      </c>
      <c r="S2283" s="317" t="str">
        <f t="shared" si="620"/>
        <v/>
      </c>
      <c r="V2283" s="314">
        <f>SUM('RES. CENTRAL PARK:RUA_FINAL'!N2283)</f>
        <v>0</v>
      </c>
      <c r="W2283" s="315">
        <f t="shared" si="613"/>
        <v>0</v>
      </c>
    </row>
    <row r="2284" spans="1:23" ht="13.5" hidden="1" thickBot="1" x14ac:dyDescent="0.25">
      <c r="A2284" s="63" t="s">
        <v>147</v>
      </c>
      <c r="B2284" s="895" t="s">
        <v>147</v>
      </c>
      <c r="C2284" s="896"/>
      <c r="D2284" s="906" t="s">
        <v>233</v>
      </c>
      <c r="E2284" s="907">
        <f>DMT!$F$10</f>
        <v>0.2</v>
      </c>
      <c r="F2284" s="908">
        <f>VLOOKUP(D2281,'ENSAIOS DE ORÇAMENTO'!$C$5:$L$81,6,FALSE)</f>
        <v>2.7020064000000001</v>
      </c>
      <c r="G2284" s="949">
        <f t="shared" si="622"/>
        <v>7.8196065216000008</v>
      </c>
      <c r="H2284" s="901"/>
      <c r="I2284" s="901"/>
      <c r="J2284" s="902">
        <f t="shared" si="612"/>
        <v>0</v>
      </c>
      <c r="K2284" s="903"/>
      <c r="L2284" s="1039">
        <f>ROUND(SUM('RES. CENTRAL PARK:RUA_FINAL'!L2284),2)</f>
        <v>0</v>
      </c>
      <c r="M2284" s="1039">
        <f t="shared" si="609"/>
        <v>0</v>
      </c>
      <c r="N2284" s="893">
        <f t="shared" si="610"/>
        <v>0</v>
      </c>
      <c r="O2284" s="905"/>
      <c r="P2284" s="36" t="str">
        <f>IF(N2281&gt;0,"xx",IF(N2281&gt;0,"xy",""))</f>
        <v/>
      </c>
      <c r="Q2284" s="317" t="str">
        <f t="shared" si="618"/>
        <v/>
      </c>
      <c r="R2284" s="317" t="str">
        <f t="shared" si="619"/>
        <v/>
      </c>
      <c r="S2284" s="317" t="str">
        <f t="shared" si="620"/>
        <v/>
      </c>
      <c r="V2284" s="314">
        <f>SUM('RES. CENTRAL PARK:RUA_FINAL'!N2284)</f>
        <v>0</v>
      </c>
      <c r="W2284" s="315">
        <f t="shared" si="613"/>
        <v>0</v>
      </c>
    </row>
    <row r="2285" spans="1:23" ht="13.5" hidden="1" thickBot="1" x14ac:dyDescent="0.25">
      <c r="A2285" s="63" t="s">
        <v>37</v>
      </c>
      <c r="B2285" s="895" t="s">
        <v>37</v>
      </c>
      <c r="C2285" s="896" t="s">
        <v>184</v>
      </c>
      <c r="D2285" s="906" t="s">
        <v>385</v>
      </c>
      <c r="E2285" s="907"/>
      <c r="F2285" s="908"/>
      <c r="G2285" s="912">
        <f>SUM(G2286:G2288)</f>
        <v>884.91038384579997</v>
      </c>
      <c r="H2285" s="901">
        <v>7709.16</v>
      </c>
      <c r="I2285" s="901">
        <f>IF(ISBLANK(H2285),"",SUM(G2285:H2285))</f>
        <v>8594.0703838457994</v>
      </c>
      <c r="J2285" s="902">
        <f t="shared" si="612"/>
        <v>10318.9</v>
      </c>
      <c r="K2285" s="903" t="s">
        <v>15</v>
      </c>
      <c r="L2285" s="1039">
        <f>ROUND(SUM('RES. CENTRAL PARK:RUA_FINAL'!L2285),2)</f>
        <v>0</v>
      </c>
      <c r="M2285" s="1039">
        <f t="shared" si="609"/>
        <v>0</v>
      </c>
      <c r="N2285" s="893">
        <f t="shared" si="610"/>
        <v>0</v>
      </c>
      <c r="O2285" s="905"/>
      <c r="Q2285" s="317" t="str">
        <f t="shared" si="618"/>
        <v/>
      </c>
      <c r="R2285" s="317" t="str">
        <f t="shared" si="619"/>
        <v/>
      </c>
      <c r="S2285" s="317" t="str">
        <f t="shared" si="620"/>
        <v/>
      </c>
      <c r="V2285" s="314">
        <f>SUM('RES. CENTRAL PARK:RUA_FINAL'!N2285)</f>
        <v>0</v>
      </c>
      <c r="W2285" s="315">
        <f t="shared" si="613"/>
        <v>0</v>
      </c>
    </row>
    <row r="2286" spans="1:23" ht="13.5" hidden="1" thickBot="1" x14ac:dyDescent="0.25">
      <c r="A2286" s="63" t="s">
        <v>147</v>
      </c>
      <c r="B2286" s="895" t="s">
        <v>147</v>
      </c>
      <c r="C2286" s="896"/>
      <c r="D2286" s="906" t="s">
        <v>190</v>
      </c>
      <c r="E2286" s="907">
        <f>DMT!$D$20</f>
        <v>308</v>
      </c>
      <c r="F2286" s="908">
        <f>VLOOKUP(D2285,'ENSAIOS DE ORÇAMENTO'!$C$5:$L$81,4,FALSE)</f>
        <v>1.2096229499999998</v>
      </c>
      <c r="G2286" s="909">
        <f>IF(E2286&lt;=30,(0.78*E2286+7.82)*F2286,((0.78*30+7.82)+0.78*(E2286-30))*F2286)</f>
        <v>300.05906897699992</v>
      </c>
      <c r="H2286" s="901"/>
      <c r="I2286" s="901"/>
      <c r="J2286" s="902">
        <f t="shared" si="612"/>
        <v>0</v>
      </c>
      <c r="K2286" s="903"/>
      <c r="L2286" s="1039">
        <f>ROUND(SUM('RES. CENTRAL PARK:RUA_FINAL'!L2286),2)</f>
        <v>0</v>
      </c>
      <c r="M2286" s="1039">
        <f t="shared" si="609"/>
        <v>0</v>
      </c>
      <c r="N2286" s="893">
        <f t="shared" si="610"/>
        <v>0</v>
      </c>
      <c r="O2286" s="905"/>
      <c r="P2286" s="36" t="str">
        <f>IF(N2285&gt;0,"xx",IF(N2285&gt;0,"xy",""))</f>
        <v/>
      </c>
      <c r="Q2286" s="317" t="str">
        <f t="shared" si="618"/>
        <v/>
      </c>
      <c r="R2286" s="317" t="str">
        <f t="shared" si="619"/>
        <v/>
      </c>
      <c r="S2286" s="317" t="str">
        <f t="shared" si="620"/>
        <v/>
      </c>
      <c r="V2286" s="314">
        <f>SUM('RES. CENTRAL PARK:RUA_FINAL'!N2286)</f>
        <v>0</v>
      </c>
      <c r="W2286" s="315">
        <f t="shared" si="613"/>
        <v>0</v>
      </c>
    </row>
    <row r="2287" spans="1:23" ht="13.5" hidden="1" thickBot="1" x14ac:dyDescent="0.25">
      <c r="A2287" s="63" t="s">
        <v>147</v>
      </c>
      <c r="B2287" s="895" t="s">
        <v>147</v>
      </c>
      <c r="C2287" s="896"/>
      <c r="D2287" s="906" t="s">
        <v>229</v>
      </c>
      <c r="E2287" s="907">
        <f>DMT!$F$8</f>
        <v>150</v>
      </c>
      <c r="F2287" s="908">
        <f>VLOOKUP(D2285,'ENSAIOS DE ORÇAMENTO'!$C$5:$L$81,5,FALSE)</f>
        <v>3.5097804149999998</v>
      </c>
      <c r="G2287" s="949">
        <f t="shared" ref="G2287:G2288" si="623">IF(E2287&lt;=30,(1.07*E2287+2.68)*F2287,((1.07*30+2.68)+1.07*(E2287-30))*F2287)</f>
        <v>572.72596811970004</v>
      </c>
      <c r="H2287" s="901"/>
      <c r="I2287" s="901"/>
      <c r="J2287" s="902">
        <f t="shared" si="612"/>
        <v>0</v>
      </c>
      <c r="K2287" s="903"/>
      <c r="L2287" s="1039">
        <f>ROUND(SUM('RES. CENTRAL PARK:RUA_FINAL'!L2287),2)</f>
        <v>0</v>
      </c>
      <c r="M2287" s="1039">
        <f t="shared" si="609"/>
        <v>0</v>
      </c>
      <c r="N2287" s="893">
        <f t="shared" si="610"/>
        <v>0</v>
      </c>
      <c r="O2287" s="905"/>
      <c r="P2287" s="36" t="str">
        <f>IF(N2285&gt;0,"xx",IF(N2285&gt;0,"xy",""))</f>
        <v/>
      </c>
      <c r="Q2287" s="317" t="str">
        <f t="shared" si="618"/>
        <v/>
      </c>
      <c r="R2287" s="317" t="str">
        <f t="shared" si="619"/>
        <v/>
      </c>
      <c r="S2287" s="317" t="str">
        <f t="shared" si="620"/>
        <v/>
      </c>
      <c r="V2287" s="314">
        <f>SUM('RES. CENTRAL PARK:RUA_FINAL'!N2287)</f>
        <v>0</v>
      </c>
      <c r="W2287" s="315">
        <f t="shared" si="613"/>
        <v>0</v>
      </c>
    </row>
    <row r="2288" spans="1:23" ht="13.5" hidden="1" thickBot="1" x14ac:dyDescent="0.25">
      <c r="A2288" s="63" t="s">
        <v>147</v>
      </c>
      <c r="B2288" s="895" t="s">
        <v>147</v>
      </c>
      <c r="C2288" s="896"/>
      <c r="D2288" s="906" t="s">
        <v>233</v>
      </c>
      <c r="E2288" s="907">
        <f>DMT!$F$10</f>
        <v>0.2</v>
      </c>
      <c r="F2288" s="908">
        <f>VLOOKUP(D2285,'ENSAIOS DE ORÇAMENTO'!$C$5:$L$81,6,FALSE)</f>
        <v>4.18982265</v>
      </c>
      <c r="G2288" s="949">
        <f t="shared" si="623"/>
        <v>12.1253467491</v>
      </c>
      <c r="H2288" s="901"/>
      <c r="I2288" s="901"/>
      <c r="J2288" s="902">
        <f t="shared" si="612"/>
        <v>0</v>
      </c>
      <c r="K2288" s="903"/>
      <c r="L2288" s="1039">
        <f>ROUND(SUM('RES. CENTRAL PARK:RUA_FINAL'!L2288),2)</f>
        <v>0</v>
      </c>
      <c r="M2288" s="1039">
        <f t="shared" si="609"/>
        <v>0</v>
      </c>
      <c r="N2288" s="893">
        <f t="shared" si="610"/>
        <v>0</v>
      </c>
      <c r="O2288" s="905"/>
      <c r="P2288" s="36" t="str">
        <f>IF(N2285&gt;0,"xx",IF(N2285&gt;0,"xy",""))</f>
        <v/>
      </c>
      <c r="Q2288" s="317" t="str">
        <f t="shared" si="618"/>
        <v/>
      </c>
      <c r="R2288" s="317" t="str">
        <f t="shared" si="619"/>
        <v/>
      </c>
      <c r="S2288" s="317" t="str">
        <f t="shared" si="620"/>
        <v/>
      </c>
      <c r="V2288" s="314">
        <f>SUM('RES. CENTRAL PARK:RUA_FINAL'!N2288)</f>
        <v>0</v>
      </c>
      <c r="W2288" s="315">
        <f t="shared" si="613"/>
        <v>0</v>
      </c>
    </row>
    <row r="2289" spans="1:23" ht="13.5" hidden="1" thickBot="1" x14ac:dyDescent="0.25">
      <c r="A2289" s="63" t="s">
        <v>38</v>
      </c>
      <c r="B2289" s="895" t="s">
        <v>38</v>
      </c>
      <c r="C2289" s="896" t="s">
        <v>184</v>
      </c>
      <c r="D2289" s="906" t="s">
        <v>386</v>
      </c>
      <c r="E2289" s="907"/>
      <c r="F2289" s="908"/>
      <c r="G2289" s="912">
        <f>SUM(G2290:G2292)</f>
        <v>1394.6534975898001</v>
      </c>
      <c r="H2289" s="901">
        <v>12178.23</v>
      </c>
      <c r="I2289" s="901">
        <f>IF(ISBLANK(H2289),"",SUM(G2289:H2289))</f>
        <v>13572.883497589799</v>
      </c>
      <c r="J2289" s="902">
        <f t="shared" si="612"/>
        <v>16296.96</v>
      </c>
      <c r="K2289" s="903" t="s">
        <v>15</v>
      </c>
      <c r="L2289" s="1039">
        <f>ROUND(SUM('RES. CENTRAL PARK:RUA_FINAL'!L2289),2)</f>
        <v>0</v>
      </c>
      <c r="M2289" s="1039">
        <f t="shared" si="609"/>
        <v>0</v>
      </c>
      <c r="N2289" s="893">
        <f t="shared" si="610"/>
        <v>0</v>
      </c>
      <c r="O2289" s="905"/>
      <c r="Q2289" s="317" t="str">
        <f t="shared" si="618"/>
        <v/>
      </c>
      <c r="R2289" s="317" t="str">
        <f t="shared" si="619"/>
        <v/>
      </c>
      <c r="S2289" s="317" t="str">
        <f t="shared" si="620"/>
        <v/>
      </c>
      <c r="V2289" s="314">
        <f>SUM('RES. CENTRAL PARK:RUA_FINAL'!N2289)</f>
        <v>0</v>
      </c>
      <c r="W2289" s="315">
        <f t="shared" si="613"/>
        <v>0</v>
      </c>
    </row>
    <row r="2290" spans="1:23" ht="13.5" hidden="1" thickBot="1" x14ac:dyDescent="0.25">
      <c r="A2290" s="63" t="s">
        <v>147</v>
      </c>
      <c r="B2290" s="895" t="s">
        <v>147</v>
      </c>
      <c r="C2290" s="896"/>
      <c r="D2290" s="906" t="s">
        <v>190</v>
      </c>
      <c r="E2290" s="907">
        <f>DMT!$D$20</f>
        <v>308</v>
      </c>
      <c r="F2290" s="908">
        <f>VLOOKUP(D2289,'ENSAIOS DE ORÇAMENTO'!$C$5:$L$81,4,FALSE)</f>
        <v>1.9087789500000001</v>
      </c>
      <c r="G2290" s="909">
        <f>IF(E2290&lt;=30,(0.78*E2290+7.82)*F2290,((0.78*30+7.82)+0.78*(E2290-30))*F2290)</f>
        <v>473.49170633700004</v>
      </c>
      <c r="H2290" s="901"/>
      <c r="I2290" s="901"/>
      <c r="J2290" s="902">
        <f t="shared" si="612"/>
        <v>0</v>
      </c>
      <c r="K2290" s="903"/>
      <c r="L2290" s="1039">
        <f>ROUND(SUM('RES. CENTRAL PARK:RUA_FINAL'!L2290),2)</f>
        <v>0</v>
      </c>
      <c r="M2290" s="1039">
        <f t="shared" si="609"/>
        <v>0</v>
      </c>
      <c r="N2290" s="893">
        <f t="shared" si="610"/>
        <v>0</v>
      </c>
      <c r="O2290" s="905"/>
      <c r="P2290" s="36" t="str">
        <f>IF(N2289&gt;0,"xx",IF(N2289&gt;0,"xy",""))</f>
        <v/>
      </c>
      <c r="Q2290" s="317" t="str">
        <f t="shared" si="618"/>
        <v/>
      </c>
      <c r="R2290" s="317" t="str">
        <f t="shared" si="619"/>
        <v/>
      </c>
      <c r="S2290" s="317" t="str">
        <f t="shared" si="620"/>
        <v/>
      </c>
      <c r="V2290" s="314">
        <f>SUM('RES. CENTRAL PARK:RUA_FINAL'!N2290)</f>
        <v>0</v>
      </c>
      <c r="W2290" s="315">
        <f t="shared" si="613"/>
        <v>0</v>
      </c>
    </row>
    <row r="2291" spans="1:23" ht="13.5" hidden="1" thickBot="1" x14ac:dyDescent="0.25">
      <c r="A2291" s="63" t="s">
        <v>147</v>
      </c>
      <c r="B2291" s="895" t="s">
        <v>147</v>
      </c>
      <c r="C2291" s="896"/>
      <c r="D2291" s="906" t="s">
        <v>229</v>
      </c>
      <c r="E2291" s="907">
        <f>DMT!$F$8</f>
        <v>150</v>
      </c>
      <c r="F2291" s="908">
        <f>VLOOKUP(D2289,'ENSAIOS DE ORÇAMENTO'!$C$5:$L$81,5,FALSE)</f>
        <v>5.5279776150000002</v>
      </c>
      <c r="G2291" s="949">
        <f t="shared" ref="G2291:G2292" si="624">IF(E2291&lt;=30,(1.07*E2291+2.68)*F2291,((1.07*30+2.68)+1.07*(E2291-30))*F2291)</f>
        <v>902.05538721570008</v>
      </c>
      <c r="H2291" s="901"/>
      <c r="I2291" s="901"/>
      <c r="J2291" s="902">
        <f t="shared" si="612"/>
        <v>0</v>
      </c>
      <c r="K2291" s="903"/>
      <c r="L2291" s="1039">
        <f>ROUND(SUM('RES. CENTRAL PARK:RUA_FINAL'!L2291),2)</f>
        <v>0</v>
      </c>
      <c r="M2291" s="1039">
        <f t="shared" si="609"/>
        <v>0</v>
      </c>
      <c r="N2291" s="893">
        <f t="shared" si="610"/>
        <v>0</v>
      </c>
      <c r="O2291" s="905"/>
      <c r="P2291" s="36" t="str">
        <f>IF(N2289&gt;0,"xx",IF(N2289&gt;0,"xy",""))</f>
        <v/>
      </c>
      <c r="Q2291" s="317" t="str">
        <f t="shared" si="618"/>
        <v/>
      </c>
      <c r="R2291" s="317" t="str">
        <f t="shared" si="619"/>
        <v/>
      </c>
      <c r="S2291" s="317" t="str">
        <f t="shared" si="620"/>
        <v/>
      </c>
      <c r="V2291" s="314">
        <f>SUM('RES. CENTRAL PARK:RUA_FINAL'!N2291)</f>
        <v>0</v>
      </c>
      <c r="W2291" s="315">
        <f t="shared" si="613"/>
        <v>0</v>
      </c>
    </row>
    <row r="2292" spans="1:23" ht="13.5" hidden="1" thickBot="1" x14ac:dyDescent="0.25">
      <c r="A2292" s="63" t="s">
        <v>147</v>
      </c>
      <c r="B2292" s="895" t="s">
        <v>147</v>
      </c>
      <c r="C2292" s="896"/>
      <c r="D2292" s="906" t="s">
        <v>233</v>
      </c>
      <c r="E2292" s="907">
        <f>DMT!$F$10</f>
        <v>0.2</v>
      </c>
      <c r="F2292" s="908">
        <f>VLOOKUP(D2289,'ENSAIOS DE ORÇAMENTO'!$C$5:$L$81,6,FALSE)</f>
        <v>6.6020746500000005</v>
      </c>
      <c r="G2292" s="949">
        <f t="shared" si="624"/>
        <v>19.106404037100003</v>
      </c>
      <c r="H2292" s="901"/>
      <c r="I2292" s="901"/>
      <c r="J2292" s="902">
        <f t="shared" si="612"/>
        <v>0</v>
      </c>
      <c r="K2292" s="903"/>
      <c r="L2292" s="1039">
        <f>ROUND(SUM('RES. CENTRAL PARK:RUA_FINAL'!L2292),2)</f>
        <v>0</v>
      </c>
      <c r="M2292" s="1039">
        <f t="shared" si="609"/>
        <v>0</v>
      </c>
      <c r="N2292" s="893">
        <f t="shared" si="610"/>
        <v>0</v>
      </c>
      <c r="O2292" s="905"/>
      <c r="P2292" s="36" t="str">
        <f>IF(N2289&gt;0,"xx",IF(N2289&gt;0,"xy",""))</f>
        <v/>
      </c>
      <c r="Q2292" s="317" t="str">
        <f t="shared" si="618"/>
        <v/>
      </c>
      <c r="R2292" s="317" t="str">
        <f t="shared" si="619"/>
        <v/>
      </c>
      <c r="S2292" s="317" t="str">
        <f t="shared" si="620"/>
        <v/>
      </c>
      <c r="V2292" s="314">
        <f>SUM('RES. CENTRAL PARK:RUA_FINAL'!N2292)</f>
        <v>0</v>
      </c>
      <c r="W2292" s="315">
        <f t="shared" si="613"/>
        <v>0</v>
      </c>
    </row>
    <row r="2293" spans="1:23" ht="13.5" hidden="1" thickBot="1" x14ac:dyDescent="0.25">
      <c r="A2293" s="63" t="s">
        <v>115</v>
      </c>
      <c r="B2293" s="895" t="s">
        <v>115</v>
      </c>
      <c r="C2293" s="896" t="s">
        <v>184</v>
      </c>
      <c r="D2293" s="906" t="s">
        <v>127</v>
      </c>
      <c r="E2293" s="907"/>
      <c r="F2293" s="908"/>
      <c r="G2293" s="912">
        <f>SUM(G2294:G2298)</f>
        <v>297.06389396200001</v>
      </c>
      <c r="H2293" s="901">
        <v>2203.7800000000002</v>
      </c>
      <c r="I2293" s="901">
        <f>IF(ISBLANK(H2293),"",SUM(G2293:H2293))</f>
        <v>2500.843893962</v>
      </c>
      <c r="J2293" s="902">
        <f t="shared" si="612"/>
        <v>3002.76</v>
      </c>
      <c r="K2293" s="903" t="s">
        <v>15</v>
      </c>
      <c r="L2293" s="1039">
        <f>ROUND(SUM('RES. CENTRAL PARK:RUA_FINAL'!L2293),2)</f>
        <v>0</v>
      </c>
      <c r="M2293" s="1039">
        <f t="shared" si="609"/>
        <v>0</v>
      </c>
      <c r="N2293" s="893">
        <f t="shared" si="610"/>
        <v>0</v>
      </c>
      <c r="O2293" s="905"/>
      <c r="Q2293" s="317" t="str">
        <f t="shared" si="618"/>
        <v/>
      </c>
      <c r="R2293" s="317" t="str">
        <f t="shared" si="619"/>
        <v/>
      </c>
      <c r="S2293" s="317" t="str">
        <f t="shared" si="620"/>
        <v/>
      </c>
      <c r="V2293" s="314">
        <f>SUM('RES. CENTRAL PARK:RUA_FINAL'!N2293)</f>
        <v>0</v>
      </c>
      <c r="W2293" s="315">
        <f t="shared" si="613"/>
        <v>0</v>
      </c>
    </row>
    <row r="2294" spans="1:23" ht="13.5" hidden="1" thickBot="1" x14ac:dyDescent="0.25">
      <c r="A2294" s="63" t="s">
        <v>147</v>
      </c>
      <c r="B2294" s="895" t="s">
        <v>147</v>
      </c>
      <c r="C2294" s="896"/>
      <c r="D2294" s="906" t="s">
        <v>190</v>
      </c>
      <c r="E2294" s="907">
        <f>DMT!$D$20</f>
        <v>308</v>
      </c>
      <c r="F2294" s="908">
        <f>VLOOKUP(D2293,'ENSAIOS DE ORÇAMENTO'!$C$5:$L$81,4,FALSE)</f>
        <v>0.35276220000000008</v>
      </c>
      <c r="G2294" s="909">
        <f>IF(E2294&lt;=30,(0.78*E2294+7.82)*F2294,((0.78*30+7.82)+0.78*(E2294-30))*F2294)</f>
        <v>87.506191332000014</v>
      </c>
      <c r="H2294" s="901"/>
      <c r="I2294" s="901"/>
      <c r="J2294" s="902">
        <f t="shared" si="612"/>
        <v>0</v>
      </c>
      <c r="K2294" s="903"/>
      <c r="L2294" s="1039">
        <f>ROUND(SUM('RES. CENTRAL PARK:RUA_FINAL'!L2294),2)</f>
        <v>0</v>
      </c>
      <c r="M2294" s="1039">
        <f t="shared" si="609"/>
        <v>0</v>
      </c>
      <c r="N2294" s="893">
        <f t="shared" si="610"/>
        <v>0</v>
      </c>
      <c r="O2294" s="905"/>
      <c r="P2294" s="36" t="str">
        <f>IF(N2293&gt;0,"xx",IF(N2293&gt;0,"xy",""))</f>
        <v/>
      </c>
      <c r="Q2294" s="317" t="str">
        <f t="shared" si="618"/>
        <v/>
      </c>
      <c r="R2294" s="317" t="str">
        <f t="shared" si="619"/>
        <v/>
      </c>
      <c r="S2294" s="317" t="str">
        <f t="shared" si="620"/>
        <v/>
      </c>
      <c r="V2294" s="314">
        <f>SUM('RES. CENTRAL PARK:RUA_FINAL'!N2294)</f>
        <v>0</v>
      </c>
      <c r="W2294" s="315">
        <f t="shared" si="613"/>
        <v>0</v>
      </c>
    </row>
    <row r="2295" spans="1:23" ht="13.5" hidden="1" thickBot="1" x14ac:dyDescent="0.25">
      <c r="A2295" s="63" t="s">
        <v>147</v>
      </c>
      <c r="B2295" s="895" t="s">
        <v>147</v>
      </c>
      <c r="C2295" s="896"/>
      <c r="D2295" s="906" t="s">
        <v>229</v>
      </c>
      <c r="E2295" s="907">
        <f>DMT!$F$8</f>
        <v>150</v>
      </c>
      <c r="F2295" s="908">
        <f>VLOOKUP(D2293,'ENSAIOS DE ORÇAMENTO'!$C$5:$L$81,5,FALSE)</f>
        <v>1.1888125000000003</v>
      </c>
      <c r="G2295" s="949">
        <f t="shared" ref="G2295:G2297" si="625">IF(E2295&lt;=30,(1.07*E2295+2.68)*F2295,((1.07*30+2.68)+1.07*(E2295-30))*F2295)</f>
        <v>193.99042375000005</v>
      </c>
      <c r="H2295" s="901"/>
      <c r="I2295" s="901"/>
      <c r="J2295" s="902">
        <f t="shared" si="612"/>
        <v>0</v>
      </c>
      <c r="K2295" s="903"/>
      <c r="L2295" s="1039">
        <f>ROUND(SUM('RES. CENTRAL PARK:RUA_FINAL'!L2295),2)</f>
        <v>0</v>
      </c>
      <c r="M2295" s="1039">
        <f t="shared" si="609"/>
        <v>0</v>
      </c>
      <c r="N2295" s="893">
        <f t="shared" si="610"/>
        <v>0</v>
      </c>
      <c r="O2295" s="905"/>
      <c r="P2295" s="36" t="str">
        <f>IF(N2293&gt;0,"xx",IF(N2293&gt;0,"xy",""))</f>
        <v/>
      </c>
      <c r="Q2295" s="317" t="str">
        <f t="shared" si="618"/>
        <v/>
      </c>
      <c r="R2295" s="317" t="str">
        <f t="shared" si="619"/>
        <v/>
      </c>
      <c r="S2295" s="317" t="str">
        <f t="shared" si="620"/>
        <v/>
      </c>
      <c r="V2295" s="314">
        <f>SUM('RES. CENTRAL PARK:RUA_FINAL'!N2295)</f>
        <v>0</v>
      </c>
      <c r="W2295" s="315">
        <f t="shared" si="613"/>
        <v>0</v>
      </c>
    </row>
    <row r="2296" spans="1:23" ht="13.5" hidden="1" thickBot="1" x14ac:dyDescent="0.25">
      <c r="A2296" s="63" t="s">
        <v>147</v>
      </c>
      <c r="B2296" s="895" t="s">
        <v>147</v>
      </c>
      <c r="C2296" s="896"/>
      <c r="D2296" s="906" t="s">
        <v>233</v>
      </c>
      <c r="E2296" s="907">
        <f>DMT!$F$10</f>
        <v>0.2</v>
      </c>
      <c r="F2296" s="908">
        <f>VLOOKUP(D2293,'ENSAIOS DE ORÇAMENTO'!$C$5:$L$81,6,FALSE)</f>
        <v>1.1100000000000001</v>
      </c>
      <c r="G2296" s="949">
        <f t="shared" si="625"/>
        <v>3.2123400000000006</v>
      </c>
      <c r="H2296" s="901"/>
      <c r="I2296" s="901"/>
      <c r="J2296" s="902">
        <f t="shared" si="612"/>
        <v>0</v>
      </c>
      <c r="K2296" s="903"/>
      <c r="L2296" s="1039">
        <f>ROUND(SUM('RES. CENTRAL PARK:RUA_FINAL'!L2296),2)</f>
        <v>0</v>
      </c>
      <c r="M2296" s="1039">
        <f t="shared" si="609"/>
        <v>0</v>
      </c>
      <c r="N2296" s="893">
        <f t="shared" si="610"/>
        <v>0</v>
      </c>
      <c r="O2296" s="905"/>
      <c r="P2296" s="36" t="str">
        <f>IF(N2293&gt;0,"xx",IF(N2293&gt;0,"xy",""))</f>
        <v/>
      </c>
      <c r="Q2296" s="317" t="str">
        <f t="shared" si="618"/>
        <v/>
      </c>
      <c r="R2296" s="317" t="str">
        <f t="shared" si="619"/>
        <v/>
      </c>
      <c r="S2296" s="317" t="str">
        <f t="shared" si="620"/>
        <v/>
      </c>
      <c r="V2296" s="314">
        <f>SUM('RES. CENTRAL PARK:RUA_FINAL'!N2296)</f>
        <v>0</v>
      </c>
      <c r="W2296" s="315">
        <f t="shared" si="613"/>
        <v>0</v>
      </c>
    </row>
    <row r="2297" spans="1:23" ht="13.5" hidden="1" thickBot="1" x14ac:dyDescent="0.25">
      <c r="A2297" s="63" t="s">
        <v>147</v>
      </c>
      <c r="B2297" s="895" t="s">
        <v>147</v>
      </c>
      <c r="C2297" s="896"/>
      <c r="D2297" s="906" t="s">
        <v>365</v>
      </c>
      <c r="E2297" s="907">
        <f>DMT!$F$32</f>
        <v>10</v>
      </c>
      <c r="F2297" s="908">
        <f>VLOOKUP(D2293,'ENSAIOS DE ORÇAMENTO'!$C$5:$L$81,3,FALSE)</f>
        <v>0.54144000000000003</v>
      </c>
      <c r="G2297" s="949">
        <f t="shared" si="625"/>
        <v>7.2444672000000008</v>
      </c>
      <c r="H2297" s="901"/>
      <c r="I2297" s="901"/>
      <c r="J2297" s="902">
        <f t="shared" si="612"/>
        <v>0</v>
      </c>
      <c r="K2297" s="903"/>
      <c r="L2297" s="1039">
        <f>ROUND(SUM('RES. CENTRAL PARK:RUA_FINAL'!L2297),2)</f>
        <v>0</v>
      </c>
      <c r="M2297" s="1039">
        <f t="shared" si="609"/>
        <v>0</v>
      </c>
      <c r="N2297" s="893">
        <f t="shared" si="610"/>
        <v>0</v>
      </c>
      <c r="O2297" s="905"/>
      <c r="P2297" s="36" t="str">
        <f>IF(N2293&gt;0,"xx",IF(N2293&gt;0,"xy",""))</f>
        <v/>
      </c>
      <c r="Q2297" s="317" t="str">
        <f t="shared" si="618"/>
        <v/>
      </c>
      <c r="R2297" s="317" t="str">
        <f t="shared" si="619"/>
        <v/>
      </c>
      <c r="S2297" s="317" t="str">
        <f t="shared" si="620"/>
        <v/>
      </c>
      <c r="V2297" s="314">
        <f>SUM('RES. CENTRAL PARK:RUA_FINAL'!N2297)</f>
        <v>0</v>
      </c>
      <c r="W2297" s="315">
        <f t="shared" si="613"/>
        <v>0</v>
      </c>
    </row>
    <row r="2298" spans="1:23" ht="13.5" hidden="1" thickBot="1" x14ac:dyDescent="0.25">
      <c r="A2298" s="63" t="s">
        <v>147</v>
      </c>
      <c r="B2298" s="895" t="s">
        <v>147</v>
      </c>
      <c r="C2298" s="896"/>
      <c r="D2298" s="906" t="s">
        <v>366</v>
      </c>
      <c r="E2298" s="907">
        <f>DMT!$D$18</f>
        <v>353</v>
      </c>
      <c r="F2298" s="908">
        <f>VLOOKUP(D2293,'ENSAIOS DE ORÇAMENTO'!$C$5:$L$81,10,FALSE)</f>
        <v>1.8048000000000002E-2</v>
      </c>
      <c r="G2298" s="909">
        <f>IF(E2298&lt;=30,(0.78*E2298+7.82)*F2298,((0.78*30+7.82)+0.78*(E2298-30))*F2298)</f>
        <v>5.1104716800000007</v>
      </c>
      <c r="H2298" s="901"/>
      <c r="I2298" s="901"/>
      <c r="J2298" s="902">
        <f t="shared" si="612"/>
        <v>0</v>
      </c>
      <c r="K2298" s="903"/>
      <c r="L2298" s="1039">
        <f>ROUND(SUM('RES. CENTRAL PARK:RUA_FINAL'!L2298),2)</f>
        <v>0</v>
      </c>
      <c r="M2298" s="1039">
        <f t="shared" si="609"/>
        <v>0</v>
      </c>
      <c r="N2298" s="893">
        <f t="shared" si="610"/>
        <v>0</v>
      </c>
      <c r="O2298" s="905"/>
      <c r="P2298" s="36" t="str">
        <f>IF(N2293&gt;0,"xx",IF(N2293&gt;0,"xy",""))</f>
        <v/>
      </c>
      <c r="Q2298" s="317" t="str">
        <f t="shared" si="618"/>
        <v/>
      </c>
      <c r="R2298" s="317" t="str">
        <f t="shared" si="619"/>
        <v/>
      </c>
      <c r="S2298" s="317" t="str">
        <f t="shared" si="620"/>
        <v/>
      </c>
      <c r="V2298" s="314">
        <f>SUM('RES. CENTRAL PARK:RUA_FINAL'!N2298)</f>
        <v>0</v>
      </c>
      <c r="W2298" s="315">
        <f t="shared" si="613"/>
        <v>0</v>
      </c>
    </row>
    <row r="2299" spans="1:23" ht="13.5" hidden="1" thickBot="1" x14ac:dyDescent="0.25">
      <c r="A2299" s="63" t="s">
        <v>116</v>
      </c>
      <c r="B2299" s="895" t="s">
        <v>116</v>
      </c>
      <c r="C2299" s="896" t="s">
        <v>184</v>
      </c>
      <c r="D2299" s="906" t="s">
        <v>128</v>
      </c>
      <c r="E2299" s="907"/>
      <c r="F2299" s="908"/>
      <c r="G2299" s="912">
        <f>SUM(G2300:G2304)</f>
        <v>336.54402421599991</v>
      </c>
      <c r="H2299" s="901">
        <v>2425.58</v>
      </c>
      <c r="I2299" s="901">
        <f>IF(ISBLANK(H2299),"",SUM(G2299:H2299))</f>
        <v>2762.1240242159997</v>
      </c>
      <c r="J2299" s="902">
        <f t="shared" si="612"/>
        <v>3316.48</v>
      </c>
      <c r="K2299" s="903" t="s">
        <v>15</v>
      </c>
      <c r="L2299" s="1039">
        <f>ROUND(SUM('RES. CENTRAL PARK:RUA_FINAL'!L2299),2)</f>
        <v>0</v>
      </c>
      <c r="M2299" s="1039">
        <f t="shared" si="609"/>
        <v>0</v>
      </c>
      <c r="N2299" s="893">
        <f t="shared" si="610"/>
        <v>0</v>
      </c>
      <c r="O2299" s="905"/>
      <c r="Q2299" s="317" t="str">
        <f t="shared" si="618"/>
        <v/>
      </c>
      <c r="R2299" s="317" t="str">
        <f t="shared" si="619"/>
        <v/>
      </c>
      <c r="S2299" s="317" t="str">
        <f t="shared" si="620"/>
        <v/>
      </c>
      <c r="V2299" s="314">
        <f>SUM('RES. CENTRAL PARK:RUA_FINAL'!N2299)</f>
        <v>0</v>
      </c>
      <c r="W2299" s="315">
        <f t="shared" si="613"/>
        <v>0</v>
      </c>
    </row>
    <row r="2300" spans="1:23" ht="13.5" hidden="1" thickBot="1" x14ac:dyDescent="0.25">
      <c r="A2300" s="63" t="s">
        <v>147</v>
      </c>
      <c r="B2300" s="895" t="s">
        <v>147</v>
      </c>
      <c r="C2300" s="896"/>
      <c r="D2300" s="906" t="s">
        <v>190</v>
      </c>
      <c r="E2300" s="907">
        <f>DMT!$D$20</f>
        <v>308</v>
      </c>
      <c r="F2300" s="908">
        <f>VLOOKUP(D2299,'ENSAIOS DE ORÇAMENTO'!$C$5:$L$81,4,FALSE)</f>
        <v>0.38489359999999995</v>
      </c>
      <c r="G2300" s="909">
        <f>IF(E2300&lt;=30,(0.78*E2300+7.82)*F2300,((0.78*30+7.82)+0.78*(E2300-30))*F2300)</f>
        <v>95.476706415999985</v>
      </c>
      <c r="H2300" s="901"/>
      <c r="I2300" s="901"/>
      <c r="J2300" s="902">
        <f t="shared" si="612"/>
        <v>0</v>
      </c>
      <c r="K2300" s="903"/>
      <c r="L2300" s="1039">
        <f>ROUND(SUM('RES. CENTRAL PARK:RUA_FINAL'!L2300),2)</f>
        <v>0</v>
      </c>
      <c r="M2300" s="1039">
        <f t="shared" si="609"/>
        <v>0</v>
      </c>
      <c r="N2300" s="893">
        <f t="shared" si="610"/>
        <v>0</v>
      </c>
      <c r="O2300" s="905"/>
      <c r="P2300" s="36" t="str">
        <f>IF(N2299&gt;0,"xx",IF(N2299&gt;0,"xy",""))</f>
        <v/>
      </c>
      <c r="Q2300" s="317" t="str">
        <f t="shared" si="618"/>
        <v/>
      </c>
      <c r="R2300" s="317" t="str">
        <f t="shared" si="619"/>
        <v/>
      </c>
      <c r="S2300" s="317" t="str">
        <f t="shared" si="620"/>
        <v/>
      </c>
      <c r="V2300" s="314">
        <f>SUM('RES. CENTRAL PARK:RUA_FINAL'!N2300)</f>
        <v>0</v>
      </c>
      <c r="W2300" s="315">
        <f t="shared" si="613"/>
        <v>0</v>
      </c>
    </row>
    <row r="2301" spans="1:23" ht="13.5" hidden="1" thickBot="1" x14ac:dyDescent="0.25">
      <c r="A2301" s="63" t="s">
        <v>147</v>
      </c>
      <c r="B2301" s="895" t="s">
        <v>147</v>
      </c>
      <c r="C2301" s="896"/>
      <c r="D2301" s="906" t="s">
        <v>229</v>
      </c>
      <c r="E2301" s="907">
        <f>DMT!$F$8</f>
        <v>150</v>
      </c>
      <c r="F2301" s="908">
        <f>VLOOKUP(D2299,'ENSAIOS DE ORÇAMENTO'!$C$5:$L$81,5,FALSE)</f>
        <v>1.3499699999999999</v>
      </c>
      <c r="G2301" s="949">
        <f t="shared" ref="G2301:G2303" si="626">IF(E2301&lt;=30,(1.07*E2301+2.68)*F2301,((1.07*30+2.68)+1.07*(E2301-30))*F2301)</f>
        <v>220.2881046</v>
      </c>
      <c r="H2301" s="901"/>
      <c r="I2301" s="901"/>
      <c r="J2301" s="902">
        <f t="shared" si="612"/>
        <v>0</v>
      </c>
      <c r="K2301" s="903"/>
      <c r="L2301" s="1039">
        <f>ROUND(SUM('RES. CENTRAL PARK:RUA_FINAL'!L2301),2)</f>
        <v>0</v>
      </c>
      <c r="M2301" s="1039">
        <f t="shared" si="609"/>
        <v>0</v>
      </c>
      <c r="N2301" s="893">
        <f t="shared" si="610"/>
        <v>0</v>
      </c>
      <c r="O2301" s="905"/>
      <c r="P2301" s="36" t="str">
        <f>IF(N2299&gt;0,"xx",IF(N2299&gt;0,"xy",""))</f>
        <v/>
      </c>
      <c r="Q2301" s="317" t="str">
        <f t="shared" si="618"/>
        <v/>
      </c>
      <c r="R2301" s="317" t="str">
        <f t="shared" si="619"/>
        <v/>
      </c>
      <c r="S2301" s="317" t="str">
        <f t="shared" si="620"/>
        <v/>
      </c>
      <c r="V2301" s="314">
        <f>SUM('RES. CENTRAL PARK:RUA_FINAL'!N2301)</f>
        <v>0</v>
      </c>
      <c r="W2301" s="315">
        <f t="shared" si="613"/>
        <v>0</v>
      </c>
    </row>
    <row r="2302" spans="1:23" ht="13.5" hidden="1" thickBot="1" x14ac:dyDescent="0.25">
      <c r="A2302" s="63" t="s">
        <v>147</v>
      </c>
      <c r="B2302" s="895" t="s">
        <v>147</v>
      </c>
      <c r="C2302" s="896"/>
      <c r="D2302" s="906" t="s">
        <v>233</v>
      </c>
      <c r="E2302" s="907">
        <f>DMT!$F$10</f>
        <v>0.2</v>
      </c>
      <c r="F2302" s="908">
        <f>VLOOKUP(D2299,'ENSAIOS DE ORÇAMENTO'!$C$5:$L$81,6,FALSE)</f>
        <v>1.1766000000000001</v>
      </c>
      <c r="G2302" s="949">
        <f t="shared" si="626"/>
        <v>3.4050804000000006</v>
      </c>
      <c r="H2302" s="901"/>
      <c r="I2302" s="901"/>
      <c r="J2302" s="902">
        <f t="shared" si="612"/>
        <v>0</v>
      </c>
      <c r="K2302" s="903"/>
      <c r="L2302" s="1039">
        <f>ROUND(SUM('RES. CENTRAL PARK:RUA_FINAL'!L2302),2)</f>
        <v>0</v>
      </c>
      <c r="M2302" s="1039">
        <f t="shared" si="609"/>
        <v>0</v>
      </c>
      <c r="N2302" s="893">
        <f t="shared" si="610"/>
        <v>0</v>
      </c>
      <c r="O2302" s="905"/>
      <c r="P2302" s="36" t="str">
        <f>IF(N2299&gt;0,"xx",IF(N2299&gt;0,"xy",""))</f>
        <v/>
      </c>
      <c r="Q2302" s="317" t="str">
        <f t="shared" si="618"/>
        <v/>
      </c>
      <c r="R2302" s="317" t="str">
        <f t="shared" si="619"/>
        <v/>
      </c>
      <c r="S2302" s="317" t="str">
        <f t="shared" si="620"/>
        <v/>
      </c>
      <c r="V2302" s="314">
        <f>SUM('RES. CENTRAL PARK:RUA_FINAL'!N2302)</f>
        <v>0</v>
      </c>
      <c r="W2302" s="315">
        <f t="shared" si="613"/>
        <v>0</v>
      </c>
    </row>
    <row r="2303" spans="1:23" ht="13.5" hidden="1" thickBot="1" x14ac:dyDescent="0.25">
      <c r="A2303" s="63" t="s">
        <v>147</v>
      </c>
      <c r="B2303" s="895" t="s">
        <v>147</v>
      </c>
      <c r="C2303" s="896"/>
      <c r="D2303" s="906" t="s">
        <v>365</v>
      </c>
      <c r="E2303" s="907">
        <f>DMT!$F$32</f>
        <v>10</v>
      </c>
      <c r="F2303" s="908">
        <f>VLOOKUP(D2299,'ENSAIOS DE ORÇAMENTO'!$C$5:$L$81,3,FALSE)</f>
        <v>0.76139999999999997</v>
      </c>
      <c r="G2303" s="949">
        <f t="shared" si="626"/>
        <v>10.187532000000001</v>
      </c>
      <c r="H2303" s="901"/>
      <c r="I2303" s="901"/>
      <c r="J2303" s="902">
        <f t="shared" si="612"/>
        <v>0</v>
      </c>
      <c r="K2303" s="903"/>
      <c r="L2303" s="1039">
        <f>ROUND(SUM('RES. CENTRAL PARK:RUA_FINAL'!L2303),2)</f>
        <v>0</v>
      </c>
      <c r="M2303" s="1039">
        <f t="shared" si="609"/>
        <v>0</v>
      </c>
      <c r="N2303" s="893">
        <f t="shared" si="610"/>
        <v>0</v>
      </c>
      <c r="O2303" s="905"/>
      <c r="P2303" s="36" t="str">
        <f>IF(N2299&gt;0,"xx",IF(N2299&gt;0,"xy",""))</f>
        <v/>
      </c>
      <c r="Q2303" s="317" t="str">
        <f t="shared" si="618"/>
        <v/>
      </c>
      <c r="R2303" s="317" t="str">
        <f t="shared" si="619"/>
        <v/>
      </c>
      <c r="S2303" s="317" t="str">
        <f t="shared" si="620"/>
        <v/>
      </c>
      <c r="V2303" s="314">
        <f>SUM('RES. CENTRAL PARK:RUA_FINAL'!N2303)</f>
        <v>0</v>
      </c>
      <c r="W2303" s="315">
        <f t="shared" si="613"/>
        <v>0</v>
      </c>
    </row>
    <row r="2304" spans="1:23" ht="13.5" hidden="1" thickBot="1" x14ac:dyDescent="0.25">
      <c r="A2304" s="63" t="s">
        <v>147</v>
      </c>
      <c r="B2304" s="895" t="s">
        <v>147</v>
      </c>
      <c r="C2304" s="896"/>
      <c r="D2304" s="906" t="s">
        <v>366</v>
      </c>
      <c r="E2304" s="907">
        <f>DMT!$D$18</f>
        <v>353</v>
      </c>
      <c r="F2304" s="908">
        <f>VLOOKUP(D2299,'ENSAIOS DE ORÇAMENTO'!$C$5:$L$81,10,FALSE)</f>
        <v>2.538E-2</v>
      </c>
      <c r="G2304" s="909">
        <f>IF(E2304&lt;=30,(0.78*E2304+7.82)*F2304,((0.78*30+7.82)+0.78*(E2304-30))*F2304)</f>
        <v>7.1866008000000008</v>
      </c>
      <c r="H2304" s="901"/>
      <c r="I2304" s="901"/>
      <c r="J2304" s="902">
        <f t="shared" si="612"/>
        <v>0</v>
      </c>
      <c r="K2304" s="903"/>
      <c r="L2304" s="1039">
        <f>ROUND(SUM('RES. CENTRAL PARK:RUA_FINAL'!L2304),2)</f>
        <v>0</v>
      </c>
      <c r="M2304" s="1039">
        <f t="shared" si="609"/>
        <v>0</v>
      </c>
      <c r="N2304" s="893">
        <f t="shared" si="610"/>
        <v>0</v>
      </c>
      <c r="O2304" s="905"/>
      <c r="P2304" s="36" t="str">
        <f>IF(N2299&gt;0,"xx",IF(N2299&gt;0,"xy",""))</f>
        <v/>
      </c>
      <c r="Q2304" s="317" t="str">
        <f t="shared" si="618"/>
        <v/>
      </c>
      <c r="R2304" s="317" t="str">
        <f t="shared" si="619"/>
        <v/>
      </c>
      <c r="S2304" s="317" t="str">
        <f t="shared" si="620"/>
        <v/>
      </c>
      <c r="V2304" s="314">
        <f>SUM('RES. CENTRAL PARK:RUA_FINAL'!N2304)</f>
        <v>0</v>
      </c>
      <c r="W2304" s="315">
        <f t="shared" si="613"/>
        <v>0</v>
      </c>
    </row>
    <row r="2305" spans="1:23" ht="13.5" hidden="1" thickBot="1" x14ac:dyDescent="0.25">
      <c r="A2305" s="63" t="s">
        <v>117</v>
      </c>
      <c r="B2305" s="895" t="s">
        <v>117</v>
      </c>
      <c r="C2305" s="896" t="s">
        <v>184</v>
      </c>
      <c r="D2305" s="906" t="s">
        <v>129</v>
      </c>
      <c r="E2305" s="907"/>
      <c r="F2305" s="908"/>
      <c r="G2305" s="912">
        <f>SUM(G2306:G2310)</f>
        <v>393.71938332399998</v>
      </c>
      <c r="H2305" s="901">
        <v>2754.73</v>
      </c>
      <c r="I2305" s="901">
        <f>IF(ISBLANK(H2305),"",SUM(G2305:H2305))</f>
        <v>3148.4493833239999</v>
      </c>
      <c r="J2305" s="902">
        <f t="shared" si="612"/>
        <v>3780.34</v>
      </c>
      <c r="K2305" s="903" t="s">
        <v>15</v>
      </c>
      <c r="L2305" s="1039">
        <f>ROUND(SUM('RES. CENTRAL PARK:RUA_FINAL'!L2305),2)</f>
        <v>0</v>
      </c>
      <c r="M2305" s="1039">
        <f t="shared" si="609"/>
        <v>0</v>
      </c>
      <c r="N2305" s="893">
        <f t="shared" si="610"/>
        <v>0</v>
      </c>
      <c r="O2305" s="905"/>
      <c r="Q2305" s="317" t="str">
        <f t="shared" si="618"/>
        <v/>
      </c>
      <c r="R2305" s="317" t="str">
        <f t="shared" si="619"/>
        <v/>
      </c>
      <c r="S2305" s="317" t="str">
        <f t="shared" si="620"/>
        <v/>
      </c>
      <c r="V2305" s="314">
        <f>SUM('RES. CENTRAL PARK:RUA_FINAL'!N2305)</f>
        <v>0</v>
      </c>
      <c r="W2305" s="315">
        <f t="shared" si="613"/>
        <v>0</v>
      </c>
    </row>
    <row r="2306" spans="1:23" ht="13.5" hidden="1" thickBot="1" x14ac:dyDescent="0.25">
      <c r="A2306" s="63" t="s">
        <v>147</v>
      </c>
      <c r="B2306" s="895" t="s">
        <v>147</v>
      </c>
      <c r="C2306" s="896"/>
      <c r="D2306" s="906" t="s">
        <v>190</v>
      </c>
      <c r="E2306" s="907">
        <f>DMT!$D$20</f>
        <v>308</v>
      </c>
      <c r="F2306" s="908">
        <f>VLOOKUP(D2305,'ENSAIOS DE ORÇAMENTO'!$C$5:$L$81,4,FALSE)</f>
        <v>0.43281240000000004</v>
      </c>
      <c r="G2306" s="909">
        <f>IF(E2306&lt;=30,(0.78*E2306+7.82)*F2306,((0.78*30+7.82)+0.78*(E2306-30))*F2306)</f>
        <v>107.36344394400001</v>
      </c>
      <c r="H2306" s="901"/>
      <c r="I2306" s="901"/>
      <c r="J2306" s="902">
        <f t="shared" ref="J2306:J2354" si="627">IF(ISBLANK(H2306),0,ROUND(I2306*(1+$E$10),2))</f>
        <v>0</v>
      </c>
      <c r="K2306" s="903"/>
      <c r="L2306" s="1039">
        <f>ROUND(SUM('RES. CENTRAL PARK:RUA_FINAL'!L2306),2)</f>
        <v>0</v>
      </c>
      <c r="M2306" s="1039">
        <f t="shared" si="609"/>
        <v>0</v>
      </c>
      <c r="N2306" s="893">
        <f t="shared" si="610"/>
        <v>0</v>
      </c>
      <c r="O2306" s="905"/>
      <c r="P2306" s="36" t="str">
        <f>IF(N2305&gt;0,"xx",IF(N2305&gt;0,"xy",""))</f>
        <v/>
      </c>
      <c r="Q2306" s="317" t="str">
        <f t="shared" si="618"/>
        <v/>
      </c>
      <c r="R2306" s="317" t="str">
        <f t="shared" si="619"/>
        <v/>
      </c>
      <c r="S2306" s="317" t="str">
        <f t="shared" si="620"/>
        <v/>
      </c>
      <c r="V2306" s="314">
        <f>SUM('RES. CENTRAL PARK:RUA_FINAL'!N2306)</f>
        <v>0</v>
      </c>
      <c r="W2306" s="315">
        <f t="shared" si="613"/>
        <v>0</v>
      </c>
    </row>
    <row r="2307" spans="1:23" ht="13.5" hidden="1" thickBot="1" x14ac:dyDescent="0.25">
      <c r="A2307" s="63" t="s">
        <v>147</v>
      </c>
      <c r="B2307" s="895" t="s">
        <v>147</v>
      </c>
      <c r="C2307" s="896"/>
      <c r="D2307" s="906" t="s">
        <v>229</v>
      </c>
      <c r="E2307" s="907">
        <f>DMT!$F$8</f>
        <v>150</v>
      </c>
      <c r="F2307" s="908">
        <f>VLOOKUP(D2305,'ENSAIOS DE ORÇAMENTO'!$C$5:$L$81,5,FALSE)</f>
        <v>1.5797950000000001</v>
      </c>
      <c r="G2307" s="949">
        <f t="shared" ref="G2307:G2309" si="628">IF(E2307&lt;=30,(1.07*E2307+2.68)*F2307,((1.07*30+2.68)+1.07*(E2307-30))*F2307)</f>
        <v>257.79094810000004</v>
      </c>
      <c r="H2307" s="901"/>
      <c r="I2307" s="901"/>
      <c r="J2307" s="902">
        <f t="shared" si="627"/>
        <v>0</v>
      </c>
      <c r="K2307" s="903"/>
      <c r="L2307" s="1039">
        <f>ROUND(SUM('RES. CENTRAL PARK:RUA_FINAL'!L2307),2)</f>
        <v>0</v>
      </c>
      <c r="M2307" s="1039">
        <f t="shared" si="609"/>
        <v>0</v>
      </c>
      <c r="N2307" s="893">
        <f t="shared" si="610"/>
        <v>0</v>
      </c>
      <c r="O2307" s="905"/>
      <c r="P2307" s="36" t="str">
        <f>IF(N2305&gt;0,"xx",IF(N2305&gt;0,"xy",""))</f>
        <v/>
      </c>
      <c r="Q2307" s="317" t="str">
        <f t="shared" si="618"/>
        <v/>
      </c>
      <c r="R2307" s="317" t="str">
        <f t="shared" si="619"/>
        <v/>
      </c>
      <c r="S2307" s="317" t="str">
        <f t="shared" si="620"/>
        <v/>
      </c>
      <c r="V2307" s="314">
        <f>SUM('RES. CENTRAL PARK:RUA_FINAL'!N2307)</f>
        <v>0</v>
      </c>
      <c r="W2307" s="315">
        <f t="shared" si="613"/>
        <v>0</v>
      </c>
    </row>
    <row r="2308" spans="1:23" ht="13.5" hidden="1" thickBot="1" x14ac:dyDescent="0.25">
      <c r="A2308" s="63" t="s">
        <v>147</v>
      </c>
      <c r="B2308" s="895" t="s">
        <v>147</v>
      </c>
      <c r="C2308" s="896"/>
      <c r="D2308" s="906" t="s">
        <v>233</v>
      </c>
      <c r="E2308" s="907">
        <f>DMT!$F$10</f>
        <v>0.2</v>
      </c>
      <c r="F2308" s="908">
        <f>VLOOKUP(D2305,'ENSAIOS DE ORÇAMENTO'!$C$5:$L$81,6,FALSE)</f>
        <v>1.2654000000000003</v>
      </c>
      <c r="G2308" s="949">
        <f t="shared" si="628"/>
        <v>3.6620676000000012</v>
      </c>
      <c r="H2308" s="901"/>
      <c r="I2308" s="901"/>
      <c r="J2308" s="902">
        <f t="shared" si="627"/>
        <v>0</v>
      </c>
      <c r="K2308" s="903"/>
      <c r="L2308" s="1039">
        <f>ROUND(SUM('RES. CENTRAL PARK:RUA_FINAL'!L2308),2)</f>
        <v>0</v>
      </c>
      <c r="M2308" s="1039">
        <f t="shared" si="609"/>
        <v>0</v>
      </c>
      <c r="N2308" s="893">
        <f t="shared" si="610"/>
        <v>0</v>
      </c>
      <c r="O2308" s="905"/>
      <c r="P2308" s="36" t="str">
        <f>IF(N2305&gt;0,"xx",IF(N2305&gt;0,"xy",""))</f>
        <v/>
      </c>
      <c r="Q2308" s="317" t="str">
        <f t="shared" si="618"/>
        <v/>
      </c>
      <c r="R2308" s="317" t="str">
        <f t="shared" si="619"/>
        <v/>
      </c>
      <c r="S2308" s="317" t="str">
        <f t="shared" si="620"/>
        <v/>
      </c>
      <c r="V2308" s="314">
        <f>SUM('RES. CENTRAL PARK:RUA_FINAL'!N2308)</f>
        <v>0</v>
      </c>
      <c r="W2308" s="315">
        <f t="shared" si="613"/>
        <v>0</v>
      </c>
    </row>
    <row r="2309" spans="1:23" ht="13.5" hidden="1" thickBot="1" x14ac:dyDescent="0.25">
      <c r="A2309" s="63" t="s">
        <v>147</v>
      </c>
      <c r="B2309" s="895" t="s">
        <v>147</v>
      </c>
      <c r="C2309" s="896"/>
      <c r="D2309" s="906" t="s">
        <v>365</v>
      </c>
      <c r="E2309" s="907">
        <f>DMT!$F$32</f>
        <v>10</v>
      </c>
      <c r="F2309" s="908">
        <f>VLOOKUP(D2305,'ENSAIOS DE ORÇAMENTO'!$C$5:$L$81,3,FALSE)</f>
        <v>1.09134</v>
      </c>
      <c r="G2309" s="949">
        <f t="shared" si="628"/>
        <v>14.6021292</v>
      </c>
      <c r="H2309" s="901"/>
      <c r="I2309" s="901"/>
      <c r="J2309" s="902">
        <f t="shared" si="627"/>
        <v>0</v>
      </c>
      <c r="K2309" s="903"/>
      <c r="L2309" s="1039">
        <f>ROUND(SUM('RES. CENTRAL PARK:RUA_FINAL'!L2309),2)</f>
        <v>0</v>
      </c>
      <c r="M2309" s="1039">
        <f t="shared" si="609"/>
        <v>0</v>
      </c>
      <c r="N2309" s="893">
        <f t="shared" si="610"/>
        <v>0</v>
      </c>
      <c r="O2309" s="905"/>
      <c r="P2309" s="36" t="str">
        <f>IF(N2305&gt;0,"xx",IF(N2305&gt;0,"xy",""))</f>
        <v/>
      </c>
      <c r="Q2309" s="317" t="str">
        <f t="shared" si="618"/>
        <v/>
      </c>
      <c r="R2309" s="317" t="str">
        <f t="shared" si="619"/>
        <v/>
      </c>
      <c r="S2309" s="317" t="str">
        <f t="shared" si="620"/>
        <v/>
      </c>
      <c r="V2309" s="314">
        <f>SUM('RES. CENTRAL PARK:RUA_FINAL'!N2309)</f>
        <v>0</v>
      </c>
      <c r="W2309" s="315">
        <f t="shared" si="613"/>
        <v>0</v>
      </c>
    </row>
    <row r="2310" spans="1:23" ht="13.5" hidden="1" thickBot="1" x14ac:dyDescent="0.25">
      <c r="A2310" s="63" t="s">
        <v>147</v>
      </c>
      <c r="B2310" s="895" t="s">
        <v>147</v>
      </c>
      <c r="C2310" s="896"/>
      <c r="D2310" s="906" t="s">
        <v>366</v>
      </c>
      <c r="E2310" s="907">
        <f>DMT!$D$18</f>
        <v>353</v>
      </c>
      <c r="F2310" s="908">
        <f>VLOOKUP(D2305,'ENSAIOS DE ORÇAMENTO'!$C$5:$L$81,10,FALSE)</f>
        <v>3.6378000000000001E-2</v>
      </c>
      <c r="G2310" s="909">
        <f>IF(E2310&lt;=30,(0.78*E2310+7.82)*F2310,((0.78*30+7.82)+0.78*(E2310-30))*F2310)</f>
        <v>10.30079448</v>
      </c>
      <c r="H2310" s="901"/>
      <c r="I2310" s="901"/>
      <c r="J2310" s="902">
        <f t="shared" si="627"/>
        <v>0</v>
      </c>
      <c r="K2310" s="903"/>
      <c r="L2310" s="1039">
        <f>ROUND(SUM('RES. CENTRAL PARK:RUA_FINAL'!L2310),2)</f>
        <v>0</v>
      </c>
      <c r="M2310" s="1039">
        <f t="shared" si="609"/>
        <v>0</v>
      </c>
      <c r="N2310" s="893">
        <f t="shared" si="610"/>
        <v>0</v>
      </c>
      <c r="O2310" s="905"/>
      <c r="P2310" s="36" t="str">
        <f>IF(N2305&gt;0,"xx",IF(N2305&gt;0,"xy",""))</f>
        <v/>
      </c>
      <c r="Q2310" s="317" t="str">
        <f t="shared" si="618"/>
        <v/>
      </c>
      <c r="R2310" s="317" t="str">
        <f t="shared" si="619"/>
        <v/>
      </c>
      <c r="S2310" s="317" t="str">
        <f t="shared" si="620"/>
        <v/>
      </c>
      <c r="V2310" s="314">
        <f>SUM('RES. CENTRAL PARK:RUA_FINAL'!N2310)</f>
        <v>0</v>
      </c>
      <c r="W2310" s="315">
        <f t="shared" si="613"/>
        <v>0</v>
      </c>
    </row>
    <row r="2311" spans="1:23" ht="13.5" hidden="1" thickBot="1" x14ac:dyDescent="0.25">
      <c r="A2311" s="63" t="s">
        <v>39</v>
      </c>
      <c r="B2311" s="895" t="s">
        <v>39</v>
      </c>
      <c r="C2311" s="896" t="s">
        <v>184</v>
      </c>
      <c r="D2311" s="906" t="s">
        <v>130</v>
      </c>
      <c r="E2311" s="907"/>
      <c r="F2311" s="908"/>
      <c r="G2311" s="912">
        <f>SUM(G2312:G2316)</f>
        <v>430.00607617800006</v>
      </c>
      <c r="H2311" s="901">
        <v>2966.42</v>
      </c>
      <c r="I2311" s="901">
        <f>IF(ISBLANK(H2311),"",SUM(G2311:H2311))</f>
        <v>3396.4260761780001</v>
      </c>
      <c r="J2311" s="902">
        <f t="shared" si="627"/>
        <v>4078.09</v>
      </c>
      <c r="K2311" s="903" t="s">
        <v>15</v>
      </c>
      <c r="L2311" s="1039">
        <f>ROUND(SUM('RES. CENTRAL PARK:RUA_FINAL'!L2311),2)</f>
        <v>0</v>
      </c>
      <c r="M2311" s="1039">
        <f t="shared" si="609"/>
        <v>0</v>
      </c>
      <c r="N2311" s="893">
        <f t="shared" si="610"/>
        <v>0</v>
      </c>
      <c r="O2311" s="905"/>
      <c r="Q2311" s="317" t="str">
        <f t="shared" si="618"/>
        <v/>
      </c>
      <c r="R2311" s="317" t="str">
        <f t="shared" si="619"/>
        <v/>
      </c>
      <c r="S2311" s="317" t="str">
        <f t="shared" si="620"/>
        <v/>
      </c>
      <c r="V2311" s="314">
        <f>SUM('RES. CENTRAL PARK:RUA_FINAL'!N2311)</f>
        <v>0</v>
      </c>
      <c r="W2311" s="315">
        <f t="shared" si="613"/>
        <v>0</v>
      </c>
    </row>
    <row r="2312" spans="1:23" ht="13.5" hidden="1" thickBot="1" x14ac:dyDescent="0.25">
      <c r="A2312" s="63" t="s">
        <v>147</v>
      </c>
      <c r="B2312" s="895" t="s">
        <v>147</v>
      </c>
      <c r="C2312" s="896"/>
      <c r="D2312" s="906" t="s">
        <v>190</v>
      </c>
      <c r="E2312" s="907">
        <f>DMT!$D$20</f>
        <v>308</v>
      </c>
      <c r="F2312" s="908">
        <f>VLOOKUP(D2311,'ENSAIOS DE ORÇAMENTO'!$C$5:$L$81,4,FALSE)</f>
        <v>0.46255580000000002</v>
      </c>
      <c r="G2312" s="909">
        <f>IF(E2312&lt;=30,(0.78*E2312+7.82)*F2312,((0.78*30+7.82)+0.78*(E2312-30))*F2312)</f>
        <v>114.741591748</v>
      </c>
      <c r="H2312" s="901"/>
      <c r="I2312" s="901"/>
      <c r="J2312" s="902">
        <f t="shared" si="627"/>
        <v>0</v>
      </c>
      <c r="K2312" s="903"/>
      <c r="L2312" s="1039">
        <f>ROUND(SUM('RES. CENTRAL PARK:RUA_FINAL'!L2312),2)</f>
        <v>0</v>
      </c>
      <c r="M2312" s="1039">
        <f t="shared" si="609"/>
        <v>0</v>
      </c>
      <c r="N2312" s="893">
        <f t="shared" si="610"/>
        <v>0</v>
      </c>
      <c r="O2312" s="905"/>
      <c r="P2312" s="36" t="str">
        <f>IF(N2311&gt;0,"xx",IF(N2311&gt;0,"xy",""))</f>
        <v/>
      </c>
      <c r="Q2312" s="317" t="str">
        <f t="shared" si="618"/>
        <v/>
      </c>
      <c r="R2312" s="317" t="str">
        <f t="shared" si="619"/>
        <v/>
      </c>
      <c r="S2312" s="317" t="str">
        <f t="shared" si="620"/>
        <v/>
      </c>
      <c r="V2312" s="314">
        <f>SUM('RES. CENTRAL PARK:RUA_FINAL'!N2312)</f>
        <v>0</v>
      </c>
      <c r="W2312" s="315">
        <f t="shared" si="613"/>
        <v>0</v>
      </c>
    </row>
    <row r="2313" spans="1:23" ht="13.5" hidden="1" thickBot="1" x14ac:dyDescent="0.25">
      <c r="A2313" s="63" t="s">
        <v>147</v>
      </c>
      <c r="B2313" s="895" t="s">
        <v>147</v>
      </c>
      <c r="C2313" s="896"/>
      <c r="D2313" s="906" t="s">
        <v>229</v>
      </c>
      <c r="E2313" s="907">
        <f>DMT!$F$8</f>
        <v>150</v>
      </c>
      <c r="F2313" s="908">
        <f>VLOOKUP(D2311,'ENSAIOS DE ORÇAMENTO'!$C$5:$L$81,5,FALSE)</f>
        <v>1.7263925000000002</v>
      </c>
      <c r="G2313" s="949">
        <f t="shared" ref="G2313:G2315" si="629">IF(E2313&lt;=30,(1.07*E2313+2.68)*F2313,((1.07*30+2.68)+1.07*(E2313-30))*F2313)</f>
        <v>281.71272815000003</v>
      </c>
      <c r="H2313" s="901"/>
      <c r="I2313" s="901"/>
      <c r="J2313" s="902">
        <f t="shared" si="627"/>
        <v>0</v>
      </c>
      <c r="K2313" s="903"/>
      <c r="L2313" s="1039">
        <f>ROUND(SUM('RES. CENTRAL PARK:RUA_FINAL'!L2313),2)</f>
        <v>0</v>
      </c>
      <c r="M2313" s="1039">
        <f t="shared" si="609"/>
        <v>0</v>
      </c>
      <c r="N2313" s="893">
        <f t="shared" si="610"/>
        <v>0</v>
      </c>
      <c r="O2313" s="905"/>
      <c r="P2313" s="36" t="str">
        <f>IF(N2311&gt;0,"xx",IF(N2311&gt;0,"xy",""))</f>
        <v/>
      </c>
      <c r="Q2313" s="317" t="str">
        <f t="shared" si="618"/>
        <v/>
      </c>
      <c r="R2313" s="317" t="str">
        <f t="shared" si="619"/>
        <v/>
      </c>
      <c r="S2313" s="317" t="str">
        <f t="shared" si="620"/>
        <v/>
      </c>
      <c r="V2313" s="314">
        <f>SUM('RES. CENTRAL PARK:RUA_FINAL'!N2313)</f>
        <v>0</v>
      </c>
      <c r="W2313" s="315">
        <f t="shared" si="613"/>
        <v>0</v>
      </c>
    </row>
    <row r="2314" spans="1:23" ht="13.5" hidden="1" thickBot="1" x14ac:dyDescent="0.25">
      <c r="A2314" s="63" t="s">
        <v>147</v>
      </c>
      <c r="B2314" s="895" t="s">
        <v>147</v>
      </c>
      <c r="C2314" s="896"/>
      <c r="D2314" s="906" t="s">
        <v>233</v>
      </c>
      <c r="E2314" s="907">
        <f>DMT!$F$10</f>
        <v>0.2</v>
      </c>
      <c r="F2314" s="908">
        <f>VLOOKUP(D2311,'ENSAIOS DE ORÇAMENTO'!$C$5:$L$81,6,FALSE)</f>
        <v>1.3209000000000002</v>
      </c>
      <c r="G2314" s="949">
        <f t="shared" si="629"/>
        <v>3.8226846000000005</v>
      </c>
      <c r="H2314" s="901"/>
      <c r="I2314" s="901"/>
      <c r="J2314" s="902">
        <f t="shared" si="627"/>
        <v>0</v>
      </c>
      <c r="K2314" s="903"/>
      <c r="L2314" s="1039">
        <f>ROUND(SUM('RES. CENTRAL PARK:RUA_FINAL'!L2314),2)</f>
        <v>0</v>
      </c>
      <c r="M2314" s="1039">
        <f t="shared" si="609"/>
        <v>0</v>
      </c>
      <c r="N2314" s="893">
        <f t="shared" si="610"/>
        <v>0</v>
      </c>
      <c r="O2314" s="905"/>
      <c r="P2314" s="36" t="str">
        <f>IF(N2311&gt;0,"xx",IF(N2311&gt;0,"xy",""))</f>
        <v/>
      </c>
      <c r="Q2314" s="317" t="str">
        <f t="shared" si="618"/>
        <v/>
      </c>
      <c r="R2314" s="317" t="str">
        <f t="shared" si="619"/>
        <v/>
      </c>
      <c r="S2314" s="317" t="str">
        <f t="shared" si="620"/>
        <v/>
      </c>
      <c r="V2314" s="314">
        <f>SUM('RES. CENTRAL PARK:RUA_FINAL'!N2314)</f>
        <v>0</v>
      </c>
      <c r="W2314" s="315">
        <f t="shared" si="613"/>
        <v>0</v>
      </c>
    </row>
    <row r="2315" spans="1:23" ht="13.5" hidden="1" thickBot="1" x14ac:dyDescent="0.25">
      <c r="A2315" s="63" t="s">
        <v>147</v>
      </c>
      <c r="B2315" s="895" t="s">
        <v>147</v>
      </c>
      <c r="C2315" s="896"/>
      <c r="D2315" s="906" t="s">
        <v>365</v>
      </c>
      <c r="E2315" s="907">
        <f>DMT!$F$32</f>
        <v>10</v>
      </c>
      <c r="F2315" s="908">
        <f>VLOOKUP(D2311,'ENSAIOS DE ORÇAMENTO'!$C$5:$L$81,3,FALSE)</f>
        <v>1.30284</v>
      </c>
      <c r="G2315" s="949">
        <f t="shared" si="629"/>
        <v>17.4319992</v>
      </c>
      <c r="H2315" s="901"/>
      <c r="I2315" s="901"/>
      <c r="J2315" s="902">
        <f t="shared" si="627"/>
        <v>0</v>
      </c>
      <c r="K2315" s="903"/>
      <c r="L2315" s="1039">
        <f>ROUND(SUM('RES. CENTRAL PARK:RUA_FINAL'!L2315),2)</f>
        <v>0</v>
      </c>
      <c r="M2315" s="1039">
        <f t="shared" si="609"/>
        <v>0</v>
      </c>
      <c r="N2315" s="893">
        <f t="shared" si="610"/>
        <v>0</v>
      </c>
      <c r="O2315" s="905"/>
      <c r="P2315" s="36" t="str">
        <f>IF(N2311&gt;0,"xx",IF(N2311&gt;0,"xy",""))</f>
        <v/>
      </c>
      <c r="Q2315" s="317" t="str">
        <f t="shared" si="618"/>
        <v/>
      </c>
      <c r="R2315" s="317" t="str">
        <f t="shared" si="619"/>
        <v/>
      </c>
      <c r="S2315" s="317" t="str">
        <f t="shared" si="620"/>
        <v/>
      </c>
      <c r="V2315" s="314">
        <f>SUM('RES. CENTRAL PARK:RUA_FINAL'!N2315)</f>
        <v>0</v>
      </c>
      <c r="W2315" s="315">
        <f t="shared" si="613"/>
        <v>0</v>
      </c>
    </row>
    <row r="2316" spans="1:23" ht="13.5" hidden="1" thickBot="1" x14ac:dyDescent="0.25">
      <c r="A2316" s="63" t="s">
        <v>147</v>
      </c>
      <c r="B2316" s="895" t="s">
        <v>147</v>
      </c>
      <c r="C2316" s="896"/>
      <c r="D2316" s="906" t="s">
        <v>366</v>
      </c>
      <c r="E2316" s="907">
        <f>DMT!$D$18</f>
        <v>353</v>
      </c>
      <c r="F2316" s="908">
        <f>VLOOKUP(D2311,'ENSAIOS DE ORÇAMENTO'!$C$5:$L$81,10,FALSE)</f>
        <v>4.3428000000000001E-2</v>
      </c>
      <c r="G2316" s="909">
        <f>IF(E2316&lt;=30,(0.78*E2316+7.82)*F2316,((0.78*30+7.82)+0.78*(E2316-30))*F2316)</f>
        <v>12.297072480000001</v>
      </c>
      <c r="H2316" s="901"/>
      <c r="I2316" s="901"/>
      <c r="J2316" s="902">
        <f t="shared" si="627"/>
        <v>0</v>
      </c>
      <c r="K2316" s="903"/>
      <c r="L2316" s="1039">
        <f>ROUND(SUM('RES. CENTRAL PARK:RUA_FINAL'!L2316),2)</f>
        <v>0</v>
      </c>
      <c r="M2316" s="1039">
        <f t="shared" si="609"/>
        <v>0</v>
      </c>
      <c r="N2316" s="893">
        <f t="shared" si="610"/>
        <v>0</v>
      </c>
      <c r="O2316" s="905"/>
      <c r="P2316" s="36" t="str">
        <f>IF(N2311&gt;0,"xx",IF(N2311&gt;0,"xy",""))</f>
        <v/>
      </c>
      <c r="Q2316" s="317" t="str">
        <f t="shared" si="618"/>
        <v/>
      </c>
      <c r="R2316" s="317" t="str">
        <f t="shared" si="619"/>
        <v/>
      </c>
      <c r="S2316" s="317" t="str">
        <f t="shared" si="620"/>
        <v/>
      </c>
      <c r="V2316" s="314">
        <f>SUM('RES. CENTRAL PARK:RUA_FINAL'!N2316)</f>
        <v>0</v>
      </c>
      <c r="W2316" s="315">
        <f t="shared" si="613"/>
        <v>0</v>
      </c>
    </row>
    <row r="2317" spans="1:23" ht="13.5" hidden="1" thickBot="1" x14ac:dyDescent="0.25">
      <c r="A2317" s="63" t="s">
        <v>114</v>
      </c>
      <c r="B2317" s="895" t="s">
        <v>114</v>
      </c>
      <c r="C2317" s="896" t="s">
        <v>184</v>
      </c>
      <c r="D2317" s="906" t="s">
        <v>131</v>
      </c>
      <c r="E2317" s="907"/>
      <c r="F2317" s="908"/>
      <c r="G2317" s="912">
        <f>SUM(G2318:G2322)</f>
        <v>482.61948668600007</v>
      </c>
      <c r="H2317" s="901">
        <v>3286.28</v>
      </c>
      <c r="I2317" s="901">
        <f>IF(ISBLANK(H2317),"",SUM(G2317:H2317))</f>
        <v>3768.8994866860003</v>
      </c>
      <c r="J2317" s="902">
        <f t="shared" si="627"/>
        <v>4525.32</v>
      </c>
      <c r="K2317" s="903" t="s">
        <v>15</v>
      </c>
      <c r="L2317" s="1039">
        <f>ROUND(SUM('RES. CENTRAL PARK:RUA_FINAL'!L2317),2)</f>
        <v>0</v>
      </c>
      <c r="M2317" s="1039">
        <f t="shared" si="609"/>
        <v>0</v>
      </c>
      <c r="N2317" s="893">
        <f t="shared" si="610"/>
        <v>0</v>
      </c>
      <c r="O2317" s="905"/>
      <c r="Q2317" s="317" t="str">
        <f t="shared" si="618"/>
        <v/>
      </c>
      <c r="R2317" s="317" t="str">
        <f t="shared" si="619"/>
        <v/>
      </c>
      <c r="S2317" s="317" t="str">
        <f t="shared" si="620"/>
        <v/>
      </c>
      <c r="V2317" s="314">
        <f>SUM('RES. CENTRAL PARK:RUA_FINAL'!N2317)</f>
        <v>0</v>
      </c>
      <c r="W2317" s="315">
        <f t="shared" si="613"/>
        <v>0</v>
      </c>
    </row>
    <row r="2318" spans="1:23" ht="13.5" hidden="1" thickBot="1" x14ac:dyDescent="0.25">
      <c r="A2318" s="63" t="s">
        <v>147</v>
      </c>
      <c r="B2318" s="895" t="s">
        <v>147</v>
      </c>
      <c r="C2318" s="896"/>
      <c r="D2318" s="906" t="s">
        <v>190</v>
      </c>
      <c r="E2318" s="907">
        <f>DMT!$D$20</f>
        <v>308</v>
      </c>
      <c r="F2318" s="908">
        <f>VLOOKUP(D2317,'ENSAIOS DE ORÇAMENTO'!$C$5:$L$81,4,FALSE)</f>
        <v>0.50537460000000012</v>
      </c>
      <c r="G2318" s="909">
        <f>IF(E2318&lt;=30,(0.78*E2318+7.82)*F2318,((0.78*30+7.82)+0.78*(E2318-30))*F2318)</f>
        <v>125.36322327600003</v>
      </c>
      <c r="H2318" s="901"/>
      <c r="I2318" s="901"/>
      <c r="J2318" s="902">
        <f t="shared" si="627"/>
        <v>0</v>
      </c>
      <c r="K2318" s="903"/>
      <c r="L2318" s="1039">
        <f>ROUND(SUM('RES. CENTRAL PARK:RUA_FINAL'!L2318),2)</f>
        <v>0</v>
      </c>
      <c r="M2318" s="1039">
        <f t="shared" si="609"/>
        <v>0</v>
      </c>
      <c r="N2318" s="893">
        <f t="shared" si="610"/>
        <v>0</v>
      </c>
      <c r="O2318" s="905"/>
      <c r="P2318" s="36" t="str">
        <f>IF(N2317&gt;0,"xx",IF(N2317&gt;0,"xy",""))</f>
        <v/>
      </c>
      <c r="Q2318" s="317" t="str">
        <f t="shared" si="618"/>
        <v/>
      </c>
      <c r="R2318" s="317" t="str">
        <f t="shared" si="619"/>
        <v/>
      </c>
      <c r="S2318" s="317" t="str">
        <f t="shared" si="620"/>
        <v/>
      </c>
      <c r="V2318" s="314">
        <f>SUM('RES. CENTRAL PARK:RUA_FINAL'!N2318)</f>
        <v>0</v>
      </c>
      <c r="W2318" s="315">
        <f t="shared" si="613"/>
        <v>0</v>
      </c>
    </row>
    <row r="2319" spans="1:23" ht="13.5" hidden="1" thickBot="1" x14ac:dyDescent="0.25">
      <c r="A2319" s="63" t="s">
        <v>147</v>
      </c>
      <c r="B2319" s="895" t="s">
        <v>147</v>
      </c>
      <c r="C2319" s="896"/>
      <c r="D2319" s="906" t="s">
        <v>229</v>
      </c>
      <c r="E2319" s="907">
        <f>DMT!$F$8</f>
        <v>150</v>
      </c>
      <c r="F2319" s="908">
        <f>VLOOKUP(D2317,'ENSAIOS DE ORÇAMENTO'!$C$5:$L$81,5,FALSE)</f>
        <v>1.9364075000000001</v>
      </c>
      <c r="G2319" s="949">
        <f t="shared" ref="G2319:G2321" si="630">IF(E2319&lt;=30,(1.07*E2319+2.68)*F2319,((1.07*30+2.68)+1.07*(E2319-30))*F2319)</f>
        <v>315.98297585</v>
      </c>
      <c r="H2319" s="901"/>
      <c r="I2319" s="901"/>
      <c r="J2319" s="902">
        <f t="shared" si="627"/>
        <v>0</v>
      </c>
      <c r="K2319" s="903"/>
      <c r="L2319" s="1039">
        <f>ROUND(SUM('RES. CENTRAL PARK:RUA_FINAL'!L2319),2)</f>
        <v>0</v>
      </c>
      <c r="M2319" s="1039">
        <f t="shared" si="609"/>
        <v>0</v>
      </c>
      <c r="N2319" s="893">
        <f t="shared" si="610"/>
        <v>0</v>
      </c>
      <c r="O2319" s="905"/>
      <c r="P2319" s="36" t="str">
        <f>IF(N2317&gt;0,"xx",IF(N2317&gt;0,"xy",""))</f>
        <v/>
      </c>
      <c r="Q2319" s="317" t="str">
        <f t="shared" si="618"/>
        <v/>
      </c>
      <c r="R2319" s="317" t="str">
        <f t="shared" si="619"/>
        <v/>
      </c>
      <c r="S2319" s="317" t="str">
        <f t="shared" si="620"/>
        <v/>
      </c>
      <c r="V2319" s="314">
        <f>SUM('RES. CENTRAL PARK:RUA_FINAL'!N2319)</f>
        <v>0</v>
      </c>
      <c r="W2319" s="315">
        <f t="shared" si="613"/>
        <v>0</v>
      </c>
    </row>
    <row r="2320" spans="1:23" ht="13.5" hidden="1" thickBot="1" x14ac:dyDescent="0.25">
      <c r="A2320" s="63" t="s">
        <v>147</v>
      </c>
      <c r="B2320" s="895" t="s">
        <v>147</v>
      </c>
      <c r="C2320" s="896"/>
      <c r="D2320" s="906" t="s">
        <v>233</v>
      </c>
      <c r="E2320" s="907">
        <f>DMT!$F$10</f>
        <v>0.2</v>
      </c>
      <c r="F2320" s="908">
        <f>VLOOKUP(D2317,'ENSAIOS DE ORÇAMENTO'!$C$5:$L$81,6,FALSE)</f>
        <v>1.3875000000000002</v>
      </c>
      <c r="G2320" s="949">
        <f t="shared" si="630"/>
        <v>4.0154250000000005</v>
      </c>
      <c r="H2320" s="901"/>
      <c r="I2320" s="901"/>
      <c r="J2320" s="902">
        <f t="shared" si="627"/>
        <v>0</v>
      </c>
      <c r="K2320" s="903"/>
      <c r="L2320" s="1039">
        <f>ROUND(SUM('RES. CENTRAL PARK:RUA_FINAL'!L2320),2)</f>
        <v>0</v>
      </c>
      <c r="M2320" s="1039">
        <f t="shared" si="609"/>
        <v>0</v>
      </c>
      <c r="N2320" s="893">
        <f t="shared" si="610"/>
        <v>0</v>
      </c>
      <c r="O2320" s="905"/>
      <c r="P2320" s="36" t="str">
        <f>IF(N2317&gt;0,"xx",IF(N2317&gt;0,"xy",""))</f>
        <v/>
      </c>
      <c r="Q2320" s="317" t="str">
        <f t="shared" si="618"/>
        <v/>
      </c>
      <c r="R2320" s="317" t="str">
        <f t="shared" si="619"/>
        <v/>
      </c>
      <c r="S2320" s="317" t="str">
        <f t="shared" si="620"/>
        <v/>
      </c>
      <c r="V2320" s="314">
        <f>SUM('RES. CENTRAL PARK:RUA_FINAL'!N2320)</f>
        <v>0</v>
      </c>
      <c r="W2320" s="315">
        <f t="shared" si="613"/>
        <v>0</v>
      </c>
    </row>
    <row r="2321" spans="1:23" ht="13.5" hidden="1" thickBot="1" x14ac:dyDescent="0.25">
      <c r="A2321" s="63" t="s">
        <v>147</v>
      </c>
      <c r="B2321" s="895" t="s">
        <v>147</v>
      </c>
      <c r="C2321" s="896"/>
      <c r="D2321" s="906" t="s">
        <v>365</v>
      </c>
      <c r="E2321" s="907">
        <f>DMT!$F$32</f>
        <v>10</v>
      </c>
      <c r="F2321" s="908">
        <f>VLOOKUP(D2317,'ENSAIOS DE ORÇAMENTO'!$C$5:$L$81,3,FALSE)</f>
        <v>1.6327799999999999</v>
      </c>
      <c r="G2321" s="949">
        <f t="shared" si="630"/>
        <v>21.846596399999999</v>
      </c>
      <c r="H2321" s="901"/>
      <c r="I2321" s="901"/>
      <c r="J2321" s="902">
        <f t="shared" si="627"/>
        <v>0</v>
      </c>
      <c r="K2321" s="903"/>
      <c r="L2321" s="1039">
        <f>ROUND(SUM('RES. CENTRAL PARK:RUA_FINAL'!L2321),2)</f>
        <v>0</v>
      </c>
      <c r="M2321" s="1039">
        <f t="shared" si="609"/>
        <v>0</v>
      </c>
      <c r="N2321" s="893">
        <f t="shared" si="610"/>
        <v>0</v>
      </c>
      <c r="O2321" s="905"/>
      <c r="P2321" s="36" t="str">
        <f>IF(N2317&gt;0,"xx",IF(N2317&gt;0,"xy",""))</f>
        <v/>
      </c>
      <c r="Q2321" s="317" t="str">
        <f t="shared" si="618"/>
        <v/>
      </c>
      <c r="R2321" s="317" t="str">
        <f t="shared" si="619"/>
        <v/>
      </c>
      <c r="S2321" s="317" t="str">
        <f t="shared" si="620"/>
        <v/>
      </c>
      <c r="V2321" s="314">
        <f>SUM('RES. CENTRAL PARK:RUA_FINAL'!N2321)</f>
        <v>0</v>
      </c>
      <c r="W2321" s="315">
        <f t="shared" si="613"/>
        <v>0</v>
      </c>
    </row>
    <row r="2322" spans="1:23" ht="13.5" hidden="1" thickBot="1" x14ac:dyDescent="0.25">
      <c r="A2322" s="63" t="s">
        <v>147</v>
      </c>
      <c r="B2322" s="895" t="s">
        <v>147</v>
      </c>
      <c r="C2322" s="896"/>
      <c r="D2322" s="906" t="s">
        <v>366</v>
      </c>
      <c r="E2322" s="907">
        <f>DMT!$D$18</f>
        <v>353</v>
      </c>
      <c r="F2322" s="908">
        <f>VLOOKUP(D2317,'ENSAIOS DE ORÇAMENTO'!$C$5:$L$81,10,FALSE)</f>
        <v>5.4425999999999995E-2</v>
      </c>
      <c r="G2322" s="909">
        <f>IF(E2322&lt;=30,(0.78*E2322+7.82)*F2322,((0.78*30+7.82)+0.78*(E2322-30))*F2322)</f>
        <v>15.41126616</v>
      </c>
      <c r="H2322" s="901"/>
      <c r="I2322" s="901"/>
      <c r="J2322" s="902">
        <f t="shared" si="627"/>
        <v>0</v>
      </c>
      <c r="K2322" s="903"/>
      <c r="L2322" s="1039">
        <f>ROUND(SUM('RES. CENTRAL PARK:RUA_FINAL'!L2322),2)</f>
        <v>0</v>
      </c>
      <c r="M2322" s="1039">
        <f t="shared" ref="M2322:M2385" si="631">IF(L2322=0,0,ROUND(J2322,2))</f>
        <v>0</v>
      </c>
      <c r="N2322" s="893">
        <f t="shared" ref="N2322:N2385" si="632">IF(ISBLANK(L2322),0,ROUND(L2322*M2322,2))</f>
        <v>0</v>
      </c>
      <c r="O2322" s="905"/>
      <c r="P2322" s="36" t="str">
        <f>IF(N2317&gt;0,"xx",IF(N2317&gt;0,"xy",""))</f>
        <v/>
      </c>
      <c r="Q2322" s="317" t="str">
        <f t="shared" si="618"/>
        <v/>
      </c>
      <c r="R2322" s="317" t="str">
        <f t="shared" si="619"/>
        <v/>
      </c>
      <c r="S2322" s="317" t="str">
        <f t="shared" si="620"/>
        <v/>
      </c>
      <c r="V2322" s="314">
        <f>SUM('RES. CENTRAL PARK:RUA_FINAL'!N2322)</f>
        <v>0</v>
      </c>
      <c r="W2322" s="315">
        <f t="shared" si="613"/>
        <v>0</v>
      </c>
    </row>
    <row r="2323" spans="1:23" ht="13.5" hidden="1" thickBot="1" x14ac:dyDescent="0.25">
      <c r="A2323" s="63" t="s">
        <v>118</v>
      </c>
      <c r="B2323" s="895" t="s">
        <v>118</v>
      </c>
      <c r="C2323" s="896" t="s">
        <v>184</v>
      </c>
      <c r="D2323" s="906" t="s">
        <v>132</v>
      </c>
      <c r="E2323" s="907"/>
      <c r="F2323" s="908"/>
      <c r="G2323" s="912">
        <f>SUM(G2324:G2326)</f>
        <v>286.21071490000003</v>
      </c>
      <c r="H2323" s="901">
        <v>1401.9</v>
      </c>
      <c r="I2323" s="901">
        <f>IF(ISBLANK(H2323),"",SUM(G2323:H2323))</f>
        <v>1688.1107149000002</v>
      </c>
      <c r="J2323" s="902">
        <f t="shared" si="627"/>
        <v>2026.91</v>
      </c>
      <c r="K2323" s="903" t="s">
        <v>15</v>
      </c>
      <c r="L2323" s="1039">
        <f>ROUND(SUM('RES. CENTRAL PARK:RUA_FINAL'!L2323),2)</f>
        <v>0</v>
      </c>
      <c r="M2323" s="1039">
        <f t="shared" si="631"/>
        <v>0</v>
      </c>
      <c r="N2323" s="893">
        <f t="shared" si="632"/>
        <v>0</v>
      </c>
      <c r="O2323" s="905"/>
      <c r="Q2323" s="317" t="str">
        <f t="shared" si="618"/>
        <v/>
      </c>
      <c r="R2323" s="317" t="str">
        <f t="shared" si="619"/>
        <v/>
      </c>
      <c r="S2323" s="317" t="str">
        <f t="shared" si="620"/>
        <v/>
      </c>
      <c r="V2323" s="314">
        <f>SUM('RES. CENTRAL PARK:RUA_FINAL'!N2323)</f>
        <v>0</v>
      </c>
      <c r="W2323" s="315">
        <f t="shared" si="613"/>
        <v>0</v>
      </c>
    </row>
    <row r="2324" spans="1:23" ht="13.5" hidden="1" thickBot="1" x14ac:dyDescent="0.25">
      <c r="A2324" s="63" t="s">
        <v>147</v>
      </c>
      <c r="B2324" s="895" t="s">
        <v>147</v>
      </c>
      <c r="C2324" s="896"/>
      <c r="D2324" s="906" t="s">
        <v>190</v>
      </c>
      <c r="E2324" s="907">
        <f>DMT!$D$20</f>
        <v>308</v>
      </c>
      <c r="F2324" s="908">
        <f>VLOOKUP(D2323,'ENSAIOS DE ORÇAMENTO'!$C$5:$L$81,4,FALSE)</f>
        <v>0.38250000000000006</v>
      </c>
      <c r="G2324" s="909">
        <f>IF(E2324&lt;=30,(0.78*E2324+7.82)*F2324,((0.78*30+7.82)+0.78*(E2324-30))*F2324)</f>
        <v>94.882950000000022</v>
      </c>
      <c r="H2324" s="901"/>
      <c r="I2324" s="901"/>
      <c r="J2324" s="902">
        <f t="shared" si="627"/>
        <v>0</v>
      </c>
      <c r="K2324" s="903"/>
      <c r="L2324" s="1039">
        <f>ROUND(SUM('RES. CENTRAL PARK:RUA_FINAL'!L2324),2)</f>
        <v>0</v>
      </c>
      <c r="M2324" s="1039">
        <f t="shared" si="631"/>
        <v>0</v>
      </c>
      <c r="N2324" s="893">
        <f t="shared" si="632"/>
        <v>0</v>
      </c>
      <c r="O2324" s="905"/>
      <c r="P2324" s="36" t="str">
        <f>IF(N2323&gt;0,"xx",IF(N2323&gt;0,"xy",""))</f>
        <v/>
      </c>
      <c r="Q2324" s="317" t="str">
        <f t="shared" si="618"/>
        <v/>
      </c>
      <c r="R2324" s="317" t="str">
        <f t="shared" si="619"/>
        <v/>
      </c>
      <c r="S2324" s="317" t="str">
        <f t="shared" si="620"/>
        <v/>
      </c>
      <c r="V2324" s="314">
        <f>SUM('RES. CENTRAL PARK:RUA_FINAL'!N2324)</f>
        <v>0</v>
      </c>
      <c r="W2324" s="315">
        <f t="shared" si="613"/>
        <v>0</v>
      </c>
    </row>
    <row r="2325" spans="1:23" ht="13.5" hidden="1" thickBot="1" x14ac:dyDescent="0.25">
      <c r="A2325" s="63" t="s">
        <v>147</v>
      </c>
      <c r="B2325" s="895" t="s">
        <v>147</v>
      </c>
      <c r="C2325" s="896"/>
      <c r="D2325" s="906" t="s">
        <v>229</v>
      </c>
      <c r="E2325" s="907">
        <f>DMT!$F$8</f>
        <v>150</v>
      </c>
      <c r="F2325" s="908">
        <f>VLOOKUP(D2323,'ENSAIOS DE ORÇAMENTO'!$C$5:$L$81,5,FALSE)</f>
        <v>1.1483800000000002</v>
      </c>
      <c r="G2325" s="949">
        <f t="shared" ref="G2325:G2326" si="633">IF(E2325&lt;=30,(1.07*E2325+2.68)*F2325,((1.07*30+2.68)+1.07*(E2325-30))*F2325)</f>
        <v>187.39264840000004</v>
      </c>
      <c r="H2325" s="901"/>
      <c r="I2325" s="901"/>
      <c r="J2325" s="902">
        <f t="shared" si="627"/>
        <v>0</v>
      </c>
      <c r="K2325" s="903"/>
      <c r="L2325" s="1039">
        <f>ROUND(SUM('RES. CENTRAL PARK:RUA_FINAL'!L2325),2)</f>
        <v>0</v>
      </c>
      <c r="M2325" s="1039">
        <f t="shared" si="631"/>
        <v>0</v>
      </c>
      <c r="N2325" s="893">
        <f t="shared" si="632"/>
        <v>0</v>
      </c>
      <c r="O2325" s="905"/>
      <c r="P2325" s="36" t="str">
        <f>IF(N2323&gt;0,"xx",IF(N2323&gt;0,"xy",""))</f>
        <v/>
      </c>
      <c r="Q2325" s="317" t="str">
        <f t="shared" si="618"/>
        <v/>
      </c>
      <c r="R2325" s="317" t="str">
        <f t="shared" si="619"/>
        <v/>
      </c>
      <c r="S2325" s="317" t="str">
        <f t="shared" si="620"/>
        <v/>
      </c>
      <c r="V2325" s="314">
        <f>SUM('RES. CENTRAL PARK:RUA_FINAL'!N2325)</f>
        <v>0</v>
      </c>
      <c r="W2325" s="315">
        <f t="shared" ref="W2325:W2388" si="634">N2325-V2325</f>
        <v>0</v>
      </c>
    </row>
    <row r="2326" spans="1:23" ht="13.5" hidden="1" thickBot="1" x14ac:dyDescent="0.25">
      <c r="A2326" s="63" t="s">
        <v>147</v>
      </c>
      <c r="B2326" s="895" t="s">
        <v>147</v>
      </c>
      <c r="C2326" s="896"/>
      <c r="D2326" s="906" t="s">
        <v>233</v>
      </c>
      <c r="E2326" s="907">
        <f>DMT!$F$10</f>
        <v>0.2</v>
      </c>
      <c r="F2326" s="908">
        <f>VLOOKUP(D2323,'ENSAIOS DE ORÇAMENTO'!$C$5:$L$81,6,FALSE)</f>
        <v>1.35975</v>
      </c>
      <c r="G2326" s="949">
        <f t="shared" si="633"/>
        <v>3.9351165000000004</v>
      </c>
      <c r="H2326" s="901"/>
      <c r="I2326" s="901"/>
      <c r="J2326" s="902">
        <f t="shared" si="627"/>
        <v>0</v>
      </c>
      <c r="K2326" s="903"/>
      <c r="L2326" s="1039">
        <f>ROUND(SUM('RES. CENTRAL PARK:RUA_FINAL'!L2326),2)</f>
        <v>0</v>
      </c>
      <c r="M2326" s="1039">
        <f t="shared" si="631"/>
        <v>0</v>
      </c>
      <c r="N2326" s="893">
        <f t="shared" si="632"/>
        <v>0</v>
      </c>
      <c r="O2326" s="905"/>
      <c r="P2326" s="36" t="str">
        <f>IF(N2323&gt;0,"xx",IF(N2323&gt;0,"xy",""))</f>
        <v/>
      </c>
      <c r="Q2326" s="317" t="str">
        <f t="shared" si="618"/>
        <v/>
      </c>
      <c r="R2326" s="317" t="str">
        <f t="shared" si="619"/>
        <v/>
      </c>
      <c r="S2326" s="317" t="str">
        <f t="shared" si="620"/>
        <v/>
      </c>
      <c r="V2326" s="314">
        <f>SUM('RES. CENTRAL PARK:RUA_FINAL'!N2326)</f>
        <v>0</v>
      </c>
      <c r="W2326" s="315">
        <f t="shared" si="634"/>
        <v>0</v>
      </c>
    </row>
    <row r="2327" spans="1:23" ht="13.5" hidden="1" thickBot="1" x14ac:dyDescent="0.25">
      <c r="A2327" s="63" t="s">
        <v>119</v>
      </c>
      <c r="B2327" s="895" t="s">
        <v>119</v>
      </c>
      <c r="C2327" s="896" t="s">
        <v>184</v>
      </c>
      <c r="D2327" s="906" t="s">
        <v>133</v>
      </c>
      <c r="E2327" s="907"/>
      <c r="F2327" s="908"/>
      <c r="G2327" s="912">
        <f>SUM(G2328:G2330)</f>
        <v>321.51485289999999</v>
      </c>
      <c r="H2327" s="901">
        <v>1493.02</v>
      </c>
      <c r="I2327" s="901">
        <f>IF(ISBLANK(H2327),"",SUM(G2327:H2327))</f>
        <v>1814.5348529</v>
      </c>
      <c r="J2327" s="902">
        <f t="shared" si="627"/>
        <v>2178.71</v>
      </c>
      <c r="K2327" s="903" t="s">
        <v>15</v>
      </c>
      <c r="L2327" s="1039">
        <f>ROUND(SUM('RES. CENTRAL PARK:RUA_FINAL'!L2327),2)</f>
        <v>0</v>
      </c>
      <c r="M2327" s="1039">
        <f t="shared" si="631"/>
        <v>0</v>
      </c>
      <c r="N2327" s="893">
        <f t="shared" si="632"/>
        <v>0</v>
      </c>
      <c r="O2327" s="905"/>
      <c r="Q2327" s="317" t="str">
        <f t="shared" si="618"/>
        <v/>
      </c>
      <c r="R2327" s="317" t="str">
        <f t="shared" si="619"/>
        <v/>
      </c>
      <c r="S2327" s="317" t="str">
        <f t="shared" si="620"/>
        <v/>
      </c>
      <c r="V2327" s="314">
        <f>SUM('RES. CENTRAL PARK:RUA_FINAL'!N2327)</f>
        <v>0</v>
      </c>
      <c r="W2327" s="315">
        <f t="shared" si="634"/>
        <v>0</v>
      </c>
    </row>
    <row r="2328" spans="1:23" ht="13.5" hidden="1" thickBot="1" x14ac:dyDescent="0.25">
      <c r="A2328" s="63" t="s">
        <v>147</v>
      </c>
      <c r="B2328" s="895" t="s">
        <v>147</v>
      </c>
      <c r="C2328" s="896"/>
      <c r="D2328" s="906" t="s">
        <v>190</v>
      </c>
      <c r="E2328" s="907">
        <f>DMT!$D$20</f>
        <v>308</v>
      </c>
      <c r="F2328" s="908">
        <f>VLOOKUP(D2327,'ENSAIOS DE ORÇAMENTO'!$C$5:$L$81,4,FALSE)</f>
        <v>0.43200000000000005</v>
      </c>
      <c r="G2328" s="909">
        <f>IF(E2328&lt;=30,(0.78*E2328+7.82)*F2328,((0.78*30+7.82)+0.78*(E2328-30))*F2328)</f>
        <v>107.16192000000001</v>
      </c>
      <c r="H2328" s="901"/>
      <c r="I2328" s="901"/>
      <c r="J2328" s="902">
        <f t="shared" si="627"/>
        <v>0</v>
      </c>
      <c r="K2328" s="903"/>
      <c r="L2328" s="1039">
        <f>ROUND(SUM('RES. CENTRAL PARK:RUA_FINAL'!L2328),2)</f>
        <v>0</v>
      </c>
      <c r="M2328" s="1039">
        <f t="shared" si="631"/>
        <v>0</v>
      </c>
      <c r="N2328" s="893">
        <f t="shared" si="632"/>
        <v>0</v>
      </c>
      <c r="O2328" s="905"/>
      <c r="P2328" s="36" t="str">
        <f>IF(N2327&gt;0,"xx",IF(N2327&gt;0,"xy",""))</f>
        <v/>
      </c>
      <c r="Q2328" s="317" t="str">
        <f t="shared" ref="Q2328:Q2370" si="635">IF(P2328="X","x",IF(P2328="xx","x",IF(P2328="xy","x",IF(P2328="y","x",IF(OR(N2328&gt;0,N2328&gt;0),"x","")))))</f>
        <v/>
      </c>
      <c r="R2328" s="317" t="str">
        <f t="shared" ref="R2328:R2370" si="636">IF(P2328="X","x",IF(P2328="y","x",IF(P2328="xx","x",IF(N2328&gt;0,"x",""))))</f>
        <v/>
      </c>
      <c r="S2328" s="317" t="str">
        <f t="shared" ref="S2328:S2370" si="637">IF(P2328="X","x",IF(N2328&gt;0,"x",""))</f>
        <v/>
      </c>
      <c r="V2328" s="314">
        <f>SUM('RES. CENTRAL PARK:RUA_FINAL'!N2328)</f>
        <v>0</v>
      </c>
      <c r="W2328" s="315">
        <f t="shared" si="634"/>
        <v>0</v>
      </c>
    </row>
    <row r="2329" spans="1:23" ht="13.5" hidden="1" thickBot="1" x14ac:dyDescent="0.25">
      <c r="A2329" s="63" t="s">
        <v>147</v>
      </c>
      <c r="B2329" s="895" t="s">
        <v>147</v>
      </c>
      <c r="C2329" s="896"/>
      <c r="D2329" s="906" t="s">
        <v>229</v>
      </c>
      <c r="E2329" s="907">
        <f>DMT!$F$8</f>
        <v>150</v>
      </c>
      <c r="F2329" s="908">
        <f>VLOOKUP(D2327,'ENSAIOS DE ORÇAMENTO'!$C$5:$L$81,5,FALSE)</f>
        <v>1.28653</v>
      </c>
      <c r="G2329" s="949">
        <f t="shared" ref="G2329:G2330" si="638">IF(E2329&lt;=30,(1.07*E2329+2.68)*F2329,((1.07*30+2.68)+1.07*(E2329-30))*F2329)</f>
        <v>209.93596540000001</v>
      </c>
      <c r="H2329" s="901"/>
      <c r="I2329" s="901"/>
      <c r="J2329" s="902">
        <f t="shared" si="627"/>
        <v>0</v>
      </c>
      <c r="K2329" s="903"/>
      <c r="L2329" s="1039">
        <f>ROUND(SUM('RES. CENTRAL PARK:RUA_FINAL'!L2329),2)</f>
        <v>0</v>
      </c>
      <c r="M2329" s="1039">
        <f t="shared" si="631"/>
        <v>0</v>
      </c>
      <c r="N2329" s="893">
        <f t="shared" si="632"/>
        <v>0</v>
      </c>
      <c r="O2329" s="905"/>
      <c r="P2329" s="36" t="str">
        <f>IF(N2327&gt;0,"xx",IF(N2327&gt;0,"xy",""))</f>
        <v/>
      </c>
      <c r="Q2329" s="317" t="str">
        <f t="shared" si="635"/>
        <v/>
      </c>
      <c r="R2329" s="317" t="str">
        <f t="shared" si="636"/>
        <v/>
      </c>
      <c r="S2329" s="317" t="str">
        <f t="shared" si="637"/>
        <v/>
      </c>
      <c r="V2329" s="314">
        <f>SUM('RES. CENTRAL PARK:RUA_FINAL'!N2329)</f>
        <v>0</v>
      </c>
      <c r="W2329" s="315">
        <f t="shared" si="634"/>
        <v>0</v>
      </c>
    </row>
    <row r="2330" spans="1:23" ht="13.5" hidden="1" thickBot="1" x14ac:dyDescent="0.25">
      <c r="A2330" s="63" t="s">
        <v>147</v>
      </c>
      <c r="B2330" s="895" t="s">
        <v>147</v>
      </c>
      <c r="C2330" s="896"/>
      <c r="D2330" s="906" t="s">
        <v>233</v>
      </c>
      <c r="E2330" s="907">
        <f>DMT!$F$10</f>
        <v>0.2</v>
      </c>
      <c r="F2330" s="908">
        <f>VLOOKUP(D2327,'ENSAIOS DE ORÇAMENTO'!$C$5:$L$81,6,FALSE)</f>
        <v>1.5262500000000001</v>
      </c>
      <c r="G2330" s="949">
        <f t="shared" si="638"/>
        <v>4.4169675000000002</v>
      </c>
      <c r="H2330" s="901"/>
      <c r="I2330" s="901"/>
      <c r="J2330" s="902">
        <f t="shared" si="627"/>
        <v>0</v>
      </c>
      <c r="K2330" s="903"/>
      <c r="L2330" s="1039">
        <f>ROUND(SUM('RES. CENTRAL PARK:RUA_FINAL'!L2330),2)</f>
        <v>0</v>
      </c>
      <c r="M2330" s="1039">
        <f t="shared" si="631"/>
        <v>0</v>
      </c>
      <c r="N2330" s="893">
        <f t="shared" si="632"/>
        <v>0</v>
      </c>
      <c r="O2330" s="905"/>
      <c r="P2330" s="36" t="str">
        <f>IF(N2327&gt;0,"xx",IF(N2327&gt;0,"xy",""))</f>
        <v/>
      </c>
      <c r="Q2330" s="317" t="str">
        <f t="shared" si="635"/>
        <v/>
      </c>
      <c r="R2330" s="317" t="str">
        <f t="shared" si="636"/>
        <v/>
      </c>
      <c r="S2330" s="317" t="str">
        <f t="shared" si="637"/>
        <v/>
      </c>
      <c r="V2330" s="314">
        <f>SUM('RES. CENTRAL PARK:RUA_FINAL'!N2330)</f>
        <v>0</v>
      </c>
      <c r="W2330" s="315">
        <f t="shared" si="634"/>
        <v>0</v>
      </c>
    </row>
    <row r="2331" spans="1:23" ht="13.5" hidden="1" thickBot="1" x14ac:dyDescent="0.25">
      <c r="A2331" s="63" t="s">
        <v>120</v>
      </c>
      <c r="B2331" s="895" t="s">
        <v>120</v>
      </c>
      <c r="C2331" s="896" t="s">
        <v>184</v>
      </c>
      <c r="D2331" s="906" t="s">
        <v>134</v>
      </c>
      <c r="E2331" s="907"/>
      <c r="F2331" s="908"/>
      <c r="G2331" s="912">
        <f>SUM(G2332:G2334)</f>
        <v>373.29425529999997</v>
      </c>
      <c r="H2331" s="901">
        <v>1627.18</v>
      </c>
      <c r="I2331" s="901">
        <f>IF(ISBLANK(H2331),"",SUM(G2331:H2331))</f>
        <v>2000.4742553000001</v>
      </c>
      <c r="J2331" s="902">
        <f t="shared" si="627"/>
        <v>2401.9699999999998</v>
      </c>
      <c r="K2331" s="903" t="s">
        <v>15</v>
      </c>
      <c r="L2331" s="1039">
        <f>ROUND(SUM('RES. CENTRAL PARK:RUA_FINAL'!L2331),2)</f>
        <v>0</v>
      </c>
      <c r="M2331" s="1039">
        <f t="shared" si="631"/>
        <v>0</v>
      </c>
      <c r="N2331" s="893">
        <f t="shared" si="632"/>
        <v>0</v>
      </c>
      <c r="O2331" s="905"/>
      <c r="Q2331" s="317" t="str">
        <f t="shared" si="635"/>
        <v/>
      </c>
      <c r="R2331" s="317" t="str">
        <f t="shared" si="636"/>
        <v/>
      </c>
      <c r="S2331" s="317" t="str">
        <f t="shared" si="637"/>
        <v/>
      </c>
      <c r="V2331" s="314">
        <f>SUM('RES. CENTRAL PARK:RUA_FINAL'!N2331)</f>
        <v>0</v>
      </c>
      <c r="W2331" s="315">
        <f t="shared" si="634"/>
        <v>0</v>
      </c>
    </row>
    <row r="2332" spans="1:23" ht="13.5" hidden="1" thickBot="1" x14ac:dyDescent="0.25">
      <c r="A2332" s="63" t="s">
        <v>147</v>
      </c>
      <c r="B2332" s="895" t="s">
        <v>147</v>
      </c>
      <c r="C2332" s="896"/>
      <c r="D2332" s="906" t="s">
        <v>190</v>
      </c>
      <c r="E2332" s="907">
        <f>DMT!$D$20</f>
        <v>308</v>
      </c>
      <c r="F2332" s="908">
        <f>VLOOKUP(D2331,'ENSAIOS DE ORÇAMENTO'!$C$5:$L$81,4,FALSE)</f>
        <v>0.50459999999999994</v>
      </c>
      <c r="G2332" s="909">
        <f>IF(E2332&lt;=30,(0.78*E2332+7.82)*F2332,((0.78*30+7.82)+0.78*(E2332-30))*F2332)</f>
        <v>125.17107599999999</v>
      </c>
      <c r="H2332" s="901"/>
      <c r="I2332" s="901"/>
      <c r="J2332" s="902">
        <f t="shared" si="627"/>
        <v>0</v>
      </c>
      <c r="K2332" s="903"/>
      <c r="L2332" s="1039">
        <f>ROUND(SUM('RES. CENTRAL PARK:RUA_FINAL'!L2332),2)</f>
        <v>0</v>
      </c>
      <c r="M2332" s="1039">
        <f t="shared" si="631"/>
        <v>0</v>
      </c>
      <c r="N2332" s="893">
        <f t="shared" si="632"/>
        <v>0</v>
      </c>
      <c r="O2332" s="905"/>
      <c r="P2332" s="36" t="str">
        <f>IF(N2331&gt;0,"xx",IF(N2331&gt;0,"xy",""))</f>
        <v/>
      </c>
      <c r="Q2332" s="317" t="str">
        <f t="shared" si="635"/>
        <v/>
      </c>
      <c r="R2332" s="317" t="str">
        <f t="shared" si="636"/>
        <v/>
      </c>
      <c r="S2332" s="317" t="str">
        <f t="shared" si="637"/>
        <v/>
      </c>
      <c r="V2332" s="314">
        <f>SUM('RES. CENTRAL PARK:RUA_FINAL'!N2332)</f>
        <v>0</v>
      </c>
      <c r="W2332" s="315">
        <f t="shared" si="634"/>
        <v>0</v>
      </c>
    </row>
    <row r="2333" spans="1:23" ht="13.5" hidden="1" thickBot="1" x14ac:dyDescent="0.25">
      <c r="A2333" s="63" t="s">
        <v>147</v>
      </c>
      <c r="B2333" s="895" t="s">
        <v>147</v>
      </c>
      <c r="C2333" s="896"/>
      <c r="D2333" s="906" t="s">
        <v>229</v>
      </c>
      <c r="E2333" s="907">
        <f>DMT!$F$8</f>
        <v>150</v>
      </c>
      <c r="F2333" s="908">
        <f>VLOOKUP(D2331,'ENSAIOS DE ORÇAMENTO'!$C$5:$L$81,5,FALSE)</f>
        <v>1.48915</v>
      </c>
      <c r="G2333" s="949">
        <f t="shared" ref="G2333:G2334" si="639">IF(E2333&lt;=30,(1.07*E2333+2.68)*F2333,((1.07*30+2.68)+1.07*(E2333-30))*F2333)</f>
        <v>242.99949700000002</v>
      </c>
      <c r="H2333" s="901"/>
      <c r="I2333" s="901"/>
      <c r="J2333" s="902">
        <f t="shared" si="627"/>
        <v>0</v>
      </c>
      <c r="K2333" s="903"/>
      <c r="L2333" s="1039">
        <f>ROUND(SUM('RES. CENTRAL PARK:RUA_FINAL'!L2333),2)</f>
        <v>0</v>
      </c>
      <c r="M2333" s="1039">
        <f t="shared" si="631"/>
        <v>0</v>
      </c>
      <c r="N2333" s="893">
        <f t="shared" si="632"/>
        <v>0</v>
      </c>
      <c r="O2333" s="905"/>
      <c r="P2333" s="36" t="str">
        <f>IF(N2331&gt;0,"xx",IF(N2331&gt;0,"xy",""))</f>
        <v/>
      </c>
      <c r="Q2333" s="317" t="str">
        <f t="shared" si="635"/>
        <v/>
      </c>
      <c r="R2333" s="317" t="str">
        <f t="shared" si="636"/>
        <v/>
      </c>
      <c r="S2333" s="317" t="str">
        <f t="shared" si="637"/>
        <v/>
      </c>
      <c r="V2333" s="314">
        <f>SUM('RES. CENTRAL PARK:RUA_FINAL'!N2333)</f>
        <v>0</v>
      </c>
      <c r="W2333" s="315">
        <f t="shared" si="634"/>
        <v>0</v>
      </c>
    </row>
    <row r="2334" spans="1:23" ht="13.5" hidden="1" thickBot="1" x14ac:dyDescent="0.25">
      <c r="A2334" s="63" t="s">
        <v>147</v>
      </c>
      <c r="B2334" s="895" t="s">
        <v>147</v>
      </c>
      <c r="C2334" s="896"/>
      <c r="D2334" s="906" t="s">
        <v>233</v>
      </c>
      <c r="E2334" s="907">
        <f>DMT!$F$10</f>
        <v>0.2</v>
      </c>
      <c r="F2334" s="908">
        <f>VLOOKUP(D2331,'ENSAIOS DE ORÇAMENTO'!$C$5:$L$81,6,FALSE)</f>
        <v>1.7704500000000001</v>
      </c>
      <c r="G2334" s="949">
        <f t="shared" si="639"/>
        <v>5.1236823000000005</v>
      </c>
      <c r="H2334" s="901"/>
      <c r="I2334" s="901"/>
      <c r="J2334" s="902">
        <f t="shared" si="627"/>
        <v>0</v>
      </c>
      <c r="K2334" s="903"/>
      <c r="L2334" s="1039">
        <f>ROUND(SUM('RES. CENTRAL PARK:RUA_FINAL'!L2334),2)</f>
        <v>0</v>
      </c>
      <c r="M2334" s="1039">
        <f t="shared" si="631"/>
        <v>0</v>
      </c>
      <c r="N2334" s="893">
        <f t="shared" si="632"/>
        <v>0</v>
      </c>
      <c r="O2334" s="905"/>
      <c r="P2334" s="36" t="str">
        <f>IF(N2331&gt;0,"xx",IF(N2331&gt;0,"xy",""))</f>
        <v/>
      </c>
      <c r="Q2334" s="317" t="str">
        <f t="shared" si="635"/>
        <v/>
      </c>
      <c r="R2334" s="317" t="str">
        <f t="shared" si="636"/>
        <v/>
      </c>
      <c r="S2334" s="317" t="str">
        <f t="shared" si="637"/>
        <v/>
      </c>
      <c r="V2334" s="314">
        <f>SUM('RES. CENTRAL PARK:RUA_FINAL'!N2334)</f>
        <v>0</v>
      </c>
      <c r="W2334" s="315">
        <f t="shared" si="634"/>
        <v>0</v>
      </c>
    </row>
    <row r="2335" spans="1:23" ht="13.5" hidden="1" thickBot="1" x14ac:dyDescent="0.25">
      <c r="A2335" s="63" t="s">
        <v>121</v>
      </c>
      <c r="B2335" s="895" t="s">
        <v>121</v>
      </c>
      <c r="C2335" s="896" t="s">
        <v>184</v>
      </c>
      <c r="D2335" s="906" t="s">
        <v>135</v>
      </c>
      <c r="E2335" s="907"/>
      <c r="F2335" s="908"/>
      <c r="G2335" s="912">
        <f>SUM(G2336:G2338)</f>
        <v>472.95947180000007</v>
      </c>
      <c r="H2335" s="901">
        <v>1851.62</v>
      </c>
      <c r="I2335" s="901">
        <f>IF(ISBLANK(H2335),"",SUM(G2335:H2335))</f>
        <v>2324.5794717999997</v>
      </c>
      <c r="J2335" s="902">
        <f t="shared" si="627"/>
        <v>2791.12</v>
      </c>
      <c r="K2335" s="903" t="s">
        <v>15</v>
      </c>
      <c r="L2335" s="1039">
        <f>ROUND(SUM('RES. CENTRAL PARK:RUA_FINAL'!L2335),2)</f>
        <v>0</v>
      </c>
      <c r="M2335" s="1039">
        <f t="shared" si="631"/>
        <v>0</v>
      </c>
      <c r="N2335" s="893">
        <f t="shared" si="632"/>
        <v>0</v>
      </c>
      <c r="O2335" s="905"/>
      <c r="Q2335" s="317" t="str">
        <f t="shared" si="635"/>
        <v/>
      </c>
      <c r="R2335" s="317" t="str">
        <f t="shared" si="636"/>
        <v/>
      </c>
      <c r="S2335" s="317" t="str">
        <f t="shared" si="637"/>
        <v/>
      </c>
      <c r="V2335" s="314">
        <f>SUM('RES. CENTRAL PARK:RUA_FINAL'!N2335)</f>
        <v>0</v>
      </c>
      <c r="W2335" s="315">
        <f t="shared" si="634"/>
        <v>0</v>
      </c>
    </row>
    <row r="2336" spans="1:23" ht="13.5" hidden="1" thickBot="1" x14ac:dyDescent="0.25">
      <c r="A2336" s="63" t="s">
        <v>147</v>
      </c>
      <c r="B2336" s="895" t="s">
        <v>147</v>
      </c>
      <c r="C2336" s="896"/>
      <c r="D2336" s="906" t="s">
        <v>190</v>
      </c>
      <c r="E2336" s="907">
        <f>DMT!$D$20</f>
        <v>308</v>
      </c>
      <c r="F2336" s="908">
        <f>VLOOKUP(D2335,'ENSAIOS DE ORÇAMENTO'!$C$5:$L$81,4,FALSE)</f>
        <v>0.6411</v>
      </c>
      <c r="G2336" s="909">
        <f>IF(E2336&lt;=30,(0.78*E2336+7.82)*F2336,((0.78*30+7.82)+0.78*(E2336-30))*F2336)</f>
        <v>159.03126600000002</v>
      </c>
      <c r="H2336" s="901"/>
      <c r="I2336" s="901"/>
      <c r="J2336" s="902">
        <f t="shared" si="627"/>
        <v>0</v>
      </c>
      <c r="K2336" s="903"/>
      <c r="L2336" s="1039">
        <f>ROUND(SUM('RES. CENTRAL PARK:RUA_FINAL'!L2336),2)</f>
        <v>0</v>
      </c>
      <c r="M2336" s="1039">
        <f t="shared" si="631"/>
        <v>0</v>
      </c>
      <c r="N2336" s="893">
        <f t="shared" si="632"/>
        <v>0</v>
      </c>
      <c r="O2336" s="905"/>
      <c r="P2336" s="36" t="str">
        <f>IF(N2335&gt;0,"xx",IF(N2335&gt;0,"xy",""))</f>
        <v/>
      </c>
      <c r="Q2336" s="317" t="str">
        <f t="shared" si="635"/>
        <v/>
      </c>
      <c r="R2336" s="317" t="str">
        <f t="shared" si="636"/>
        <v/>
      </c>
      <c r="S2336" s="317" t="str">
        <f t="shared" si="637"/>
        <v/>
      </c>
      <c r="V2336" s="314">
        <f>SUM('RES. CENTRAL PARK:RUA_FINAL'!N2336)</f>
        <v>0</v>
      </c>
      <c r="W2336" s="315">
        <f t="shared" si="634"/>
        <v>0</v>
      </c>
    </row>
    <row r="2337" spans="1:23" ht="13.5" hidden="1" thickBot="1" x14ac:dyDescent="0.25">
      <c r="A2337" s="63" t="s">
        <v>147</v>
      </c>
      <c r="B2337" s="895" t="s">
        <v>147</v>
      </c>
      <c r="C2337" s="896"/>
      <c r="D2337" s="906" t="s">
        <v>229</v>
      </c>
      <c r="E2337" s="907">
        <f>DMT!$F$8</f>
        <v>150</v>
      </c>
      <c r="F2337" s="908">
        <f>VLOOKUP(D2335,'ENSAIOS DE ORÇAMENTO'!$C$5:$L$81,5,FALSE)</f>
        <v>1.8840500000000002</v>
      </c>
      <c r="G2337" s="949">
        <f t="shared" ref="G2337:G2338" si="640">IF(E2337&lt;=30,(1.07*E2337+2.68)*F2337,((1.07*30+2.68)+1.07*(E2337-30))*F2337)</f>
        <v>307.43927900000006</v>
      </c>
      <c r="H2337" s="901"/>
      <c r="I2337" s="901"/>
      <c r="J2337" s="902">
        <f t="shared" si="627"/>
        <v>0</v>
      </c>
      <c r="K2337" s="903"/>
      <c r="L2337" s="1039">
        <f>ROUND(SUM('RES. CENTRAL PARK:RUA_FINAL'!L2337),2)</f>
        <v>0</v>
      </c>
      <c r="M2337" s="1039">
        <f t="shared" si="631"/>
        <v>0</v>
      </c>
      <c r="N2337" s="893">
        <f t="shared" si="632"/>
        <v>0</v>
      </c>
      <c r="O2337" s="905"/>
      <c r="P2337" s="36" t="str">
        <f>IF(N2335&gt;0,"xx",IF(N2335&gt;0,"xy",""))</f>
        <v/>
      </c>
      <c r="Q2337" s="317" t="str">
        <f t="shared" si="635"/>
        <v/>
      </c>
      <c r="R2337" s="317" t="str">
        <f t="shared" si="636"/>
        <v/>
      </c>
      <c r="S2337" s="317" t="str">
        <f t="shared" si="637"/>
        <v/>
      </c>
      <c r="V2337" s="314">
        <f>SUM('RES. CENTRAL PARK:RUA_FINAL'!N2337)</f>
        <v>0</v>
      </c>
      <c r="W2337" s="315">
        <f t="shared" si="634"/>
        <v>0</v>
      </c>
    </row>
    <row r="2338" spans="1:23" ht="13.5" hidden="1" thickBot="1" x14ac:dyDescent="0.25">
      <c r="A2338" s="63" t="s">
        <v>147</v>
      </c>
      <c r="B2338" s="895" t="s">
        <v>147</v>
      </c>
      <c r="C2338" s="896"/>
      <c r="D2338" s="906" t="s">
        <v>233</v>
      </c>
      <c r="E2338" s="907">
        <f>DMT!$F$10</f>
        <v>0.2</v>
      </c>
      <c r="F2338" s="908">
        <f>VLOOKUP(D2335,'ENSAIOS DE ORÇAMENTO'!$C$5:$L$81,6,FALSE)</f>
        <v>2.2422</v>
      </c>
      <c r="G2338" s="949">
        <f t="shared" si="640"/>
        <v>6.4889267999999998</v>
      </c>
      <c r="H2338" s="901"/>
      <c r="I2338" s="901"/>
      <c r="J2338" s="902">
        <f t="shared" si="627"/>
        <v>0</v>
      </c>
      <c r="K2338" s="903"/>
      <c r="L2338" s="1039">
        <f>ROUND(SUM('RES. CENTRAL PARK:RUA_FINAL'!L2338),2)</f>
        <v>0</v>
      </c>
      <c r="M2338" s="1039">
        <f t="shared" si="631"/>
        <v>0</v>
      </c>
      <c r="N2338" s="893">
        <f t="shared" si="632"/>
        <v>0</v>
      </c>
      <c r="O2338" s="905"/>
      <c r="P2338" s="36" t="str">
        <f>IF(N2335&gt;0,"xx",IF(N2335&gt;0,"xy",""))</f>
        <v/>
      </c>
      <c r="Q2338" s="317" t="str">
        <f t="shared" si="635"/>
        <v/>
      </c>
      <c r="R2338" s="317" t="str">
        <f t="shared" si="636"/>
        <v/>
      </c>
      <c r="S2338" s="317" t="str">
        <f t="shared" si="637"/>
        <v/>
      </c>
      <c r="V2338" s="314">
        <f>SUM('RES. CENTRAL PARK:RUA_FINAL'!N2338)</f>
        <v>0</v>
      </c>
      <c r="W2338" s="315">
        <f t="shared" si="634"/>
        <v>0</v>
      </c>
    </row>
    <row r="2339" spans="1:23" ht="13.5" hidden="1" thickBot="1" x14ac:dyDescent="0.25">
      <c r="A2339" s="63" t="s">
        <v>122</v>
      </c>
      <c r="B2339" s="895" t="s">
        <v>122</v>
      </c>
      <c r="C2339" s="896" t="s">
        <v>184</v>
      </c>
      <c r="D2339" s="906" t="s">
        <v>136</v>
      </c>
      <c r="E2339" s="907"/>
      <c r="F2339" s="908"/>
      <c r="G2339" s="912">
        <f>SUM(G2340:G2342)</f>
        <v>592.92383533999998</v>
      </c>
      <c r="H2339" s="901">
        <v>2119.0300000000002</v>
      </c>
      <c r="I2339" s="901">
        <f>IF(ISBLANK(H2339),"",SUM(G2339:H2339))</f>
        <v>2711.9538353400003</v>
      </c>
      <c r="J2339" s="902">
        <f t="shared" si="627"/>
        <v>3256.24</v>
      </c>
      <c r="K2339" s="903" t="s">
        <v>15</v>
      </c>
      <c r="L2339" s="1039">
        <f>ROUND(SUM('RES. CENTRAL PARK:RUA_FINAL'!L2339),2)</f>
        <v>0</v>
      </c>
      <c r="M2339" s="1039">
        <f t="shared" si="631"/>
        <v>0</v>
      </c>
      <c r="N2339" s="893">
        <f t="shared" si="632"/>
        <v>0</v>
      </c>
      <c r="O2339" s="905"/>
      <c r="Q2339" s="317" t="str">
        <f t="shared" si="635"/>
        <v/>
      </c>
      <c r="R2339" s="317" t="str">
        <f t="shared" si="636"/>
        <v/>
      </c>
      <c r="S2339" s="317" t="str">
        <f t="shared" si="637"/>
        <v/>
      </c>
      <c r="V2339" s="314">
        <f>SUM('RES. CENTRAL PARK:RUA_FINAL'!N2339)</f>
        <v>0</v>
      </c>
      <c r="W2339" s="315">
        <f t="shared" si="634"/>
        <v>0</v>
      </c>
    </row>
    <row r="2340" spans="1:23" ht="13.5" hidden="1" thickBot="1" x14ac:dyDescent="0.25">
      <c r="A2340" s="63" t="s">
        <v>147</v>
      </c>
      <c r="B2340" s="895" t="s">
        <v>147</v>
      </c>
      <c r="C2340" s="896"/>
      <c r="D2340" s="906" t="s">
        <v>190</v>
      </c>
      <c r="E2340" s="907">
        <f>DMT!$D$20</f>
        <v>308</v>
      </c>
      <c r="F2340" s="908">
        <f>VLOOKUP(D2339,'ENSAIOS DE ORÇAMENTO'!$C$5:$L$81,4,FALSE)</f>
        <v>0.80657999999999996</v>
      </c>
      <c r="G2340" s="909">
        <f>IF(E2340&lt;=30,(0.78*E2340+7.82)*F2340,((0.78*30+7.82)+0.78*(E2340-30))*F2340)</f>
        <v>200.0802348</v>
      </c>
      <c r="H2340" s="901"/>
      <c r="I2340" s="901"/>
      <c r="J2340" s="902">
        <f t="shared" si="627"/>
        <v>0</v>
      </c>
      <c r="K2340" s="903"/>
      <c r="L2340" s="1039">
        <f>ROUND(SUM('RES. CENTRAL PARK:RUA_FINAL'!L2340),2)</f>
        <v>0</v>
      </c>
      <c r="M2340" s="1039">
        <f t="shared" si="631"/>
        <v>0</v>
      </c>
      <c r="N2340" s="893">
        <f t="shared" si="632"/>
        <v>0</v>
      </c>
      <c r="O2340" s="905"/>
      <c r="P2340" s="36" t="str">
        <f>IF(N2339&gt;0,"xx",IF(N2339&gt;0,"xy",""))</f>
        <v/>
      </c>
      <c r="Q2340" s="317" t="str">
        <f t="shared" si="635"/>
        <v/>
      </c>
      <c r="R2340" s="317" t="str">
        <f t="shared" si="636"/>
        <v/>
      </c>
      <c r="S2340" s="317" t="str">
        <f t="shared" si="637"/>
        <v/>
      </c>
      <c r="V2340" s="314">
        <f>SUM('RES. CENTRAL PARK:RUA_FINAL'!N2340)</f>
        <v>0</v>
      </c>
      <c r="W2340" s="315">
        <f t="shared" si="634"/>
        <v>0</v>
      </c>
    </row>
    <row r="2341" spans="1:23" ht="13.5" hidden="1" thickBot="1" x14ac:dyDescent="0.25">
      <c r="A2341" s="63" t="s">
        <v>147</v>
      </c>
      <c r="B2341" s="895" t="s">
        <v>147</v>
      </c>
      <c r="C2341" s="896"/>
      <c r="D2341" s="906" t="s">
        <v>229</v>
      </c>
      <c r="E2341" s="907">
        <f>DMT!$F$8</f>
        <v>150</v>
      </c>
      <c r="F2341" s="908">
        <f>VLOOKUP(D2339,'ENSAIOS DE ORÇAMENTO'!$C$5:$L$81,5,FALSE)</f>
        <v>2.3575999999999997</v>
      </c>
      <c r="G2341" s="949">
        <f t="shared" ref="G2341:G2342" si="641">IF(E2341&lt;=30,(1.07*E2341+2.68)*F2341,((1.07*30+2.68)+1.07*(E2341-30))*F2341)</f>
        <v>384.71316799999994</v>
      </c>
      <c r="H2341" s="901"/>
      <c r="I2341" s="901"/>
      <c r="J2341" s="902">
        <f t="shared" si="627"/>
        <v>0</v>
      </c>
      <c r="K2341" s="903"/>
      <c r="L2341" s="1039">
        <f>ROUND(SUM('RES. CENTRAL PARK:RUA_FINAL'!L2341),2)</f>
        <v>0</v>
      </c>
      <c r="M2341" s="1039">
        <f t="shared" si="631"/>
        <v>0</v>
      </c>
      <c r="N2341" s="893">
        <f t="shared" si="632"/>
        <v>0</v>
      </c>
      <c r="O2341" s="905"/>
      <c r="P2341" s="36" t="str">
        <f>IF(N2339&gt;0,"xx",IF(N2339&gt;0,"xy",""))</f>
        <v/>
      </c>
      <c r="Q2341" s="317" t="str">
        <f t="shared" si="635"/>
        <v/>
      </c>
      <c r="R2341" s="317" t="str">
        <f t="shared" si="636"/>
        <v/>
      </c>
      <c r="S2341" s="317" t="str">
        <f t="shared" si="637"/>
        <v/>
      </c>
      <c r="V2341" s="314">
        <f>SUM('RES. CENTRAL PARK:RUA_FINAL'!N2341)</f>
        <v>0</v>
      </c>
      <c r="W2341" s="315">
        <f t="shared" si="634"/>
        <v>0</v>
      </c>
    </row>
    <row r="2342" spans="1:23" ht="13.5" hidden="1" thickBot="1" x14ac:dyDescent="0.25">
      <c r="A2342" s="63" t="s">
        <v>147</v>
      </c>
      <c r="B2342" s="895" t="s">
        <v>147</v>
      </c>
      <c r="C2342" s="896"/>
      <c r="D2342" s="906" t="s">
        <v>233</v>
      </c>
      <c r="E2342" s="907">
        <f>DMT!$F$10</f>
        <v>0.2</v>
      </c>
      <c r="F2342" s="908">
        <f>VLOOKUP(D2339,'ENSAIOS DE ORÇAMENTO'!$C$5:$L$81,6,FALSE)</f>
        <v>2.8094099999999997</v>
      </c>
      <c r="G2342" s="949">
        <f t="shared" si="641"/>
        <v>8.1304325399999993</v>
      </c>
      <c r="H2342" s="901"/>
      <c r="I2342" s="901"/>
      <c r="J2342" s="902">
        <f t="shared" si="627"/>
        <v>0</v>
      </c>
      <c r="K2342" s="903"/>
      <c r="L2342" s="1039">
        <f>ROUND(SUM('RES. CENTRAL PARK:RUA_FINAL'!L2342),2)</f>
        <v>0</v>
      </c>
      <c r="M2342" s="1039">
        <f t="shared" si="631"/>
        <v>0</v>
      </c>
      <c r="N2342" s="893">
        <f t="shared" si="632"/>
        <v>0</v>
      </c>
      <c r="O2342" s="905"/>
      <c r="P2342" s="36" t="str">
        <f>IF(N2339&gt;0,"xx",IF(N2339&gt;0,"xy",""))</f>
        <v/>
      </c>
      <c r="Q2342" s="317" t="str">
        <f t="shared" si="635"/>
        <v/>
      </c>
      <c r="R2342" s="317" t="str">
        <f t="shared" si="636"/>
        <v/>
      </c>
      <c r="S2342" s="317" t="str">
        <f t="shared" si="637"/>
        <v/>
      </c>
      <c r="V2342" s="314">
        <f>SUM('RES. CENTRAL PARK:RUA_FINAL'!N2342)</f>
        <v>0</v>
      </c>
      <c r="W2342" s="315">
        <f t="shared" si="634"/>
        <v>0</v>
      </c>
    </row>
    <row r="2343" spans="1:23" ht="13.5" hidden="1" thickBot="1" x14ac:dyDescent="0.25">
      <c r="A2343" s="63" t="s">
        <v>123</v>
      </c>
      <c r="B2343" s="895" t="s">
        <v>123</v>
      </c>
      <c r="C2343" s="896" t="s">
        <v>184</v>
      </c>
      <c r="D2343" s="906" t="s">
        <v>137</v>
      </c>
      <c r="E2343" s="907"/>
      <c r="F2343" s="908"/>
      <c r="G2343" s="912">
        <f>SUM(G2344:G2346)</f>
        <v>286.21071490000003</v>
      </c>
      <c r="H2343" s="901">
        <v>3215.9</v>
      </c>
      <c r="I2343" s="901">
        <f>IF(ISBLANK(H2343),"",SUM(G2343:H2343))</f>
        <v>3502.1107148999999</v>
      </c>
      <c r="J2343" s="902">
        <f t="shared" si="627"/>
        <v>4204.9799999999996</v>
      </c>
      <c r="K2343" s="903" t="s">
        <v>15</v>
      </c>
      <c r="L2343" s="1039">
        <f>ROUND(SUM('RES. CENTRAL PARK:RUA_FINAL'!L2343),2)</f>
        <v>0</v>
      </c>
      <c r="M2343" s="1039">
        <f t="shared" si="631"/>
        <v>0</v>
      </c>
      <c r="N2343" s="893">
        <f t="shared" si="632"/>
        <v>0</v>
      </c>
      <c r="O2343" s="905"/>
      <c r="Q2343" s="317" t="str">
        <f t="shared" si="635"/>
        <v/>
      </c>
      <c r="R2343" s="317" t="str">
        <f t="shared" si="636"/>
        <v/>
      </c>
      <c r="S2343" s="317" t="str">
        <f t="shared" si="637"/>
        <v/>
      </c>
      <c r="V2343" s="314">
        <f>SUM('RES. CENTRAL PARK:RUA_FINAL'!N2343)</f>
        <v>0</v>
      </c>
      <c r="W2343" s="315">
        <f t="shared" si="634"/>
        <v>0</v>
      </c>
    </row>
    <row r="2344" spans="1:23" ht="13.5" hidden="1" thickBot="1" x14ac:dyDescent="0.25">
      <c r="A2344" s="63" t="s">
        <v>147</v>
      </c>
      <c r="B2344" s="895" t="s">
        <v>147</v>
      </c>
      <c r="C2344" s="896"/>
      <c r="D2344" s="906" t="s">
        <v>190</v>
      </c>
      <c r="E2344" s="907">
        <f>DMT!$D$20</f>
        <v>308</v>
      </c>
      <c r="F2344" s="908">
        <f>VLOOKUP(D2343,'ENSAIOS DE ORÇAMENTO'!$C$5:$L$81,4,FALSE)</f>
        <v>0.38250000000000006</v>
      </c>
      <c r="G2344" s="909">
        <f>IF(E2344&lt;=30,(0.78*E2344+7.82)*F2344,((0.78*30+7.82)+0.78*(E2344-30))*F2344)</f>
        <v>94.882950000000022</v>
      </c>
      <c r="H2344" s="901"/>
      <c r="I2344" s="901"/>
      <c r="J2344" s="902">
        <f t="shared" si="627"/>
        <v>0</v>
      </c>
      <c r="K2344" s="903"/>
      <c r="L2344" s="1039">
        <f>ROUND(SUM('RES. CENTRAL PARK:RUA_FINAL'!L2344),2)</f>
        <v>0</v>
      </c>
      <c r="M2344" s="1039">
        <f t="shared" si="631"/>
        <v>0</v>
      </c>
      <c r="N2344" s="893">
        <f t="shared" si="632"/>
        <v>0</v>
      </c>
      <c r="O2344" s="905"/>
      <c r="P2344" s="36" t="str">
        <f>IF(N2343&gt;0,"xx",IF(N2343&gt;0,"xy",""))</f>
        <v/>
      </c>
      <c r="Q2344" s="317" t="str">
        <f t="shared" si="635"/>
        <v/>
      </c>
      <c r="R2344" s="317" t="str">
        <f t="shared" si="636"/>
        <v/>
      </c>
      <c r="S2344" s="317" t="str">
        <f t="shared" si="637"/>
        <v/>
      </c>
      <c r="V2344" s="314">
        <f>SUM('RES. CENTRAL PARK:RUA_FINAL'!N2344)</f>
        <v>0</v>
      </c>
      <c r="W2344" s="315">
        <f t="shared" si="634"/>
        <v>0</v>
      </c>
    </row>
    <row r="2345" spans="1:23" ht="13.5" hidden="1" thickBot="1" x14ac:dyDescent="0.25">
      <c r="A2345" s="63" t="s">
        <v>147</v>
      </c>
      <c r="B2345" s="895" t="s">
        <v>147</v>
      </c>
      <c r="C2345" s="896"/>
      <c r="D2345" s="906" t="s">
        <v>229</v>
      </c>
      <c r="E2345" s="907">
        <f>DMT!$F$8</f>
        <v>150</v>
      </c>
      <c r="F2345" s="908">
        <f>VLOOKUP(D2343,'ENSAIOS DE ORÇAMENTO'!$C$5:$L$81,5,FALSE)</f>
        <v>1.1483800000000002</v>
      </c>
      <c r="G2345" s="949">
        <f t="shared" ref="G2345:G2346" si="642">IF(E2345&lt;=30,(1.07*E2345+2.68)*F2345,((1.07*30+2.68)+1.07*(E2345-30))*F2345)</f>
        <v>187.39264840000004</v>
      </c>
      <c r="H2345" s="901"/>
      <c r="I2345" s="901"/>
      <c r="J2345" s="902">
        <f t="shared" si="627"/>
        <v>0</v>
      </c>
      <c r="K2345" s="903"/>
      <c r="L2345" s="1039">
        <f>ROUND(SUM('RES. CENTRAL PARK:RUA_FINAL'!L2345),2)</f>
        <v>0</v>
      </c>
      <c r="M2345" s="1039">
        <f t="shared" si="631"/>
        <v>0</v>
      </c>
      <c r="N2345" s="893">
        <f t="shared" si="632"/>
        <v>0</v>
      </c>
      <c r="O2345" s="905"/>
      <c r="P2345" s="36" t="str">
        <f>IF(N2343&gt;0,"xx",IF(N2343&gt;0,"xy",""))</f>
        <v/>
      </c>
      <c r="Q2345" s="317" t="str">
        <f t="shared" si="635"/>
        <v/>
      </c>
      <c r="R2345" s="317" t="str">
        <f t="shared" si="636"/>
        <v/>
      </c>
      <c r="S2345" s="317" t="str">
        <f t="shared" si="637"/>
        <v/>
      </c>
      <c r="V2345" s="314">
        <f>SUM('RES. CENTRAL PARK:RUA_FINAL'!N2345)</f>
        <v>0</v>
      </c>
      <c r="W2345" s="315">
        <f t="shared" si="634"/>
        <v>0</v>
      </c>
    </row>
    <row r="2346" spans="1:23" ht="13.5" hidden="1" thickBot="1" x14ac:dyDescent="0.25">
      <c r="A2346" s="63" t="s">
        <v>147</v>
      </c>
      <c r="B2346" s="895" t="s">
        <v>147</v>
      </c>
      <c r="C2346" s="896"/>
      <c r="D2346" s="906" t="s">
        <v>233</v>
      </c>
      <c r="E2346" s="907">
        <f>DMT!$F$10</f>
        <v>0.2</v>
      </c>
      <c r="F2346" s="908">
        <f>VLOOKUP(D2343,'ENSAIOS DE ORÇAMENTO'!$C$5:$L$81,6,FALSE)</f>
        <v>1.35975</v>
      </c>
      <c r="G2346" s="949">
        <f t="shared" si="642"/>
        <v>3.9351165000000004</v>
      </c>
      <c r="H2346" s="901"/>
      <c r="I2346" s="901"/>
      <c r="J2346" s="902">
        <f t="shared" si="627"/>
        <v>0</v>
      </c>
      <c r="K2346" s="903"/>
      <c r="L2346" s="1039">
        <f>ROUND(SUM('RES. CENTRAL PARK:RUA_FINAL'!L2346),2)</f>
        <v>0</v>
      </c>
      <c r="M2346" s="1039">
        <f t="shared" si="631"/>
        <v>0</v>
      </c>
      <c r="N2346" s="893">
        <f t="shared" si="632"/>
        <v>0</v>
      </c>
      <c r="O2346" s="905"/>
      <c r="P2346" s="36" t="str">
        <f>IF(N2343&gt;0,"xx",IF(N2343&gt;0,"xy",""))</f>
        <v/>
      </c>
      <c r="Q2346" s="317" t="str">
        <f t="shared" si="635"/>
        <v/>
      </c>
      <c r="R2346" s="317" t="str">
        <f t="shared" si="636"/>
        <v/>
      </c>
      <c r="S2346" s="317" t="str">
        <f t="shared" si="637"/>
        <v/>
      </c>
      <c r="V2346" s="314">
        <f>SUM('RES. CENTRAL PARK:RUA_FINAL'!N2346)</f>
        <v>0</v>
      </c>
      <c r="W2346" s="315">
        <f t="shared" si="634"/>
        <v>0</v>
      </c>
    </row>
    <row r="2347" spans="1:23" ht="13.5" hidden="1" thickBot="1" x14ac:dyDescent="0.25">
      <c r="A2347" s="63" t="s">
        <v>124</v>
      </c>
      <c r="B2347" s="895" t="s">
        <v>124</v>
      </c>
      <c r="C2347" s="896" t="s">
        <v>184</v>
      </c>
      <c r="D2347" s="906" t="s">
        <v>138</v>
      </c>
      <c r="E2347" s="907"/>
      <c r="F2347" s="908"/>
      <c r="G2347" s="912">
        <f>SUM(G2348:G2350)</f>
        <v>321.51485289999999</v>
      </c>
      <c r="H2347" s="901">
        <v>3565.26</v>
      </c>
      <c r="I2347" s="901">
        <f>IF(ISBLANK(H2347),"",SUM(G2347:H2347))</f>
        <v>3886.7748529</v>
      </c>
      <c r="J2347" s="902">
        <f t="shared" si="627"/>
        <v>4666.8500000000004</v>
      </c>
      <c r="K2347" s="903" t="s">
        <v>15</v>
      </c>
      <c r="L2347" s="1039">
        <f>ROUND(SUM('RES. CENTRAL PARK:RUA_FINAL'!L2347),2)</f>
        <v>0</v>
      </c>
      <c r="M2347" s="1039">
        <f t="shared" si="631"/>
        <v>0</v>
      </c>
      <c r="N2347" s="893">
        <f t="shared" si="632"/>
        <v>0</v>
      </c>
      <c r="O2347" s="905"/>
      <c r="Q2347" s="317" t="str">
        <f t="shared" si="635"/>
        <v/>
      </c>
      <c r="R2347" s="317" t="str">
        <f t="shared" si="636"/>
        <v/>
      </c>
      <c r="S2347" s="317" t="str">
        <f t="shared" si="637"/>
        <v/>
      </c>
      <c r="V2347" s="314">
        <f>SUM('RES. CENTRAL PARK:RUA_FINAL'!N2347)</f>
        <v>0</v>
      </c>
      <c r="W2347" s="315">
        <f t="shared" si="634"/>
        <v>0</v>
      </c>
    </row>
    <row r="2348" spans="1:23" ht="13.5" hidden="1" thickBot="1" x14ac:dyDescent="0.25">
      <c r="A2348" s="63" t="s">
        <v>147</v>
      </c>
      <c r="B2348" s="895" t="s">
        <v>147</v>
      </c>
      <c r="C2348" s="896"/>
      <c r="D2348" s="906" t="s">
        <v>190</v>
      </c>
      <c r="E2348" s="907">
        <f>DMT!$D$20</f>
        <v>308</v>
      </c>
      <c r="F2348" s="908">
        <f>VLOOKUP(D2347,'ENSAIOS DE ORÇAMENTO'!$C$5:$L$81,4,FALSE)</f>
        <v>0.43200000000000005</v>
      </c>
      <c r="G2348" s="909">
        <f>IF(E2348&lt;=30,(0.78*E2348+7.82)*F2348,((0.78*30+7.82)+0.78*(E2348-30))*F2348)</f>
        <v>107.16192000000001</v>
      </c>
      <c r="H2348" s="901"/>
      <c r="I2348" s="901"/>
      <c r="J2348" s="902">
        <f t="shared" si="627"/>
        <v>0</v>
      </c>
      <c r="K2348" s="903"/>
      <c r="L2348" s="1039">
        <f>ROUND(SUM('RES. CENTRAL PARK:RUA_FINAL'!L2348),2)</f>
        <v>0</v>
      </c>
      <c r="M2348" s="1039">
        <f t="shared" si="631"/>
        <v>0</v>
      </c>
      <c r="N2348" s="893">
        <f t="shared" si="632"/>
        <v>0</v>
      </c>
      <c r="O2348" s="905"/>
      <c r="P2348" s="36" t="str">
        <f>IF(N2347&gt;0,"xx",IF(N2347&gt;0,"xy",""))</f>
        <v/>
      </c>
      <c r="Q2348" s="317" t="str">
        <f t="shared" si="635"/>
        <v/>
      </c>
      <c r="R2348" s="317" t="str">
        <f t="shared" si="636"/>
        <v/>
      </c>
      <c r="S2348" s="317" t="str">
        <f t="shared" si="637"/>
        <v/>
      </c>
      <c r="V2348" s="314">
        <f>SUM('RES. CENTRAL PARK:RUA_FINAL'!N2348)</f>
        <v>0</v>
      </c>
      <c r="W2348" s="315">
        <f t="shared" si="634"/>
        <v>0</v>
      </c>
    </row>
    <row r="2349" spans="1:23" ht="13.5" hidden="1" thickBot="1" x14ac:dyDescent="0.25">
      <c r="A2349" s="63" t="s">
        <v>147</v>
      </c>
      <c r="B2349" s="895" t="s">
        <v>147</v>
      </c>
      <c r="C2349" s="896"/>
      <c r="D2349" s="906" t="s">
        <v>229</v>
      </c>
      <c r="E2349" s="907">
        <f>DMT!$F$8</f>
        <v>150</v>
      </c>
      <c r="F2349" s="908">
        <f>VLOOKUP(D2347,'ENSAIOS DE ORÇAMENTO'!$C$5:$L$81,5,FALSE)</f>
        <v>1.28653</v>
      </c>
      <c r="G2349" s="949">
        <f t="shared" ref="G2349:G2350" si="643">IF(E2349&lt;=30,(1.07*E2349+2.68)*F2349,((1.07*30+2.68)+1.07*(E2349-30))*F2349)</f>
        <v>209.93596540000001</v>
      </c>
      <c r="H2349" s="901"/>
      <c r="I2349" s="901"/>
      <c r="J2349" s="902">
        <f t="shared" si="627"/>
        <v>0</v>
      </c>
      <c r="K2349" s="903"/>
      <c r="L2349" s="1039">
        <f>ROUND(SUM('RES. CENTRAL PARK:RUA_FINAL'!L2349),2)</f>
        <v>0</v>
      </c>
      <c r="M2349" s="1039">
        <f t="shared" si="631"/>
        <v>0</v>
      </c>
      <c r="N2349" s="893">
        <f t="shared" si="632"/>
        <v>0</v>
      </c>
      <c r="O2349" s="905"/>
      <c r="P2349" s="36" t="str">
        <f>IF(N2347&gt;0,"xx",IF(N2347&gt;0,"xy",""))</f>
        <v/>
      </c>
      <c r="Q2349" s="317" t="str">
        <f t="shared" si="635"/>
        <v/>
      </c>
      <c r="R2349" s="317" t="str">
        <f t="shared" si="636"/>
        <v/>
      </c>
      <c r="S2349" s="317" t="str">
        <f t="shared" si="637"/>
        <v/>
      </c>
      <c r="V2349" s="314">
        <f>SUM('RES. CENTRAL PARK:RUA_FINAL'!N2349)</f>
        <v>0</v>
      </c>
      <c r="W2349" s="315">
        <f t="shared" si="634"/>
        <v>0</v>
      </c>
    </row>
    <row r="2350" spans="1:23" ht="13.5" hidden="1" thickBot="1" x14ac:dyDescent="0.25">
      <c r="A2350" s="63" t="s">
        <v>147</v>
      </c>
      <c r="B2350" s="895" t="s">
        <v>147</v>
      </c>
      <c r="C2350" s="896"/>
      <c r="D2350" s="906" t="s">
        <v>233</v>
      </c>
      <c r="E2350" s="907">
        <f>DMT!$F$10</f>
        <v>0.2</v>
      </c>
      <c r="F2350" s="908">
        <f>VLOOKUP(D2347,'ENSAIOS DE ORÇAMENTO'!$C$5:$L$81,6,FALSE)</f>
        <v>1.5262500000000001</v>
      </c>
      <c r="G2350" s="949">
        <f t="shared" si="643"/>
        <v>4.4169675000000002</v>
      </c>
      <c r="H2350" s="901"/>
      <c r="I2350" s="901"/>
      <c r="J2350" s="902">
        <f t="shared" si="627"/>
        <v>0</v>
      </c>
      <c r="K2350" s="903"/>
      <c r="L2350" s="1039">
        <f>ROUND(SUM('RES. CENTRAL PARK:RUA_FINAL'!L2350),2)</f>
        <v>0</v>
      </c>
      <c r="M2350" s="1039">
        <f t="shared" si="631"/>
        <v>0</v>
      </c>
      <c r="N2350" s="893">
        <f t="shared" si="632"/>
        <v>0</v>
      </c>
      <c r="O2350" s="905"/>
      <c r="P2350" s="36" t="str">
        <f>IF(N2347&gt;0,"xx",IF(N2347&gt;0,"xy",""))</f>
        <v/>
      </c>
      <c r="Q2350" s="317" t="str">
        <f t="shared" si="635"/>
        <v/>
      </c>
      <c r="R2350" s="317" t="str">
        <f t="shared" si="636"/>
        <v/>
      </c>
      <c r="S2350" s="317" t="str">
        <f t="shared" si="637"/>
        <v/>
      </c>
      <c r="V2350" s="314">
        <f>SUM('RES. CENTRAL PARK:RUA_FINAL'!N2350)</f>
        <v>0</v>
      </c>
      <c r="W2350" s="315">
        <f t="shared" si="634"/>
        <v>0</v>
      </c>
    </row>
    <row r="2351" spans="1:23" ht="13.5" hidden="1" thickBot="1" x14ac:dyDescent="0.25">
      <c r="A2351" s="63" t="s">
        <v>125</v>
      </c>
      <c r="B2351" s="895" t="s">
        <v>125</v>
      </c>
      <c r="C2351" s="896" t="s">
        <v>184</v>
      </c>
      <c r="D2351" s="906" t="s">
        <v>139</v>
      </c>
      <c r="E2351" s="907"/>
      <c r="F2351" s="908"/>
      <c r="G2351" s="912">
        <f>SUM(G2352:G2354)</f>
        <v>373.29425529999997</v>
      </c>
      <c r="H2351" s="901">
        <v>4078.7</v>
      </c>
      <c r="I2351" s="901">
        <f>IF(ISBLANK(H2351),"",SUM(G2351:H2351))</f>
        <v>4451.9942553000001</v>
      </c>
      <c r="J2351" s="902">
        <f t="shared" si="627"/>
        <v>5345.51</v>
      </c>
      <c r="K2351" s="903" t="s">
        <v>15</v>
      </c>
      <c r="L2351" s="1039">
        <f>ROUND(SUM('RES. CENTRAL PARK:RUA_FINAL'!L2351),2)</f>
        <v>0</v>
      </c>
      <c r="M2351" s="1039">
        <f t="shared" si="631"/>
        <v>0</v>
      </c>
      <c r="N2351" s="893">
        <f t="shared" si="632"/>
        <v>0</v>
      </c>
      <c r="O2351" s="905"/>
      <c r="Q2351" s="317" t="str">
        <f t="shared" si="635"/>
        <v/>
      </c>
      <c r="R2351" s="317" t="str">
        <f t="shared" si="636"/>
        <v/>
      </c>
      <c r="S2351" s="317" t="str">
        <f t="shared" si="637"/>
        <v/>
      </c>
      <c r="V2351" s="314">
        <f>SUM('RES. CENTRAL PARK:RUA_FINAL'!N2351)</f>
        <v>0</v>
      </c>
      <c r="W2351" s="315">
        <f t="shared" si="634"/>
        <v>0</v>
      </c>
    </row>
    <row r="2352" spans="1:23" ht="13.5" hidden="1" thickBot="1" x14ac:dyDescent="0.25">
      <c r="A2352" s="63" t="s">
        <v>147</v>
      </c>
      <c r="B2352" s="895" t="s">
        <v>147</v>
      </c>
      <c r="C2352" s="896"/>
      <c r="D2352" s="906" t="s">
        <v>190</v>
      </c>
      <c r="E2352" s="907">
        <f>DMT!$D$20</f>
        <v>308</v>
      </c>
      <c r="F2352" s="908">
        <f>VLOOKUP(D2351,'ENSAIOS DE ORÇAMENTO'!$C$5:$L$81,4,FALSE)</f>
        <v>0.50459999999999994</v>
      </c>
      <c r="G2352" s="909">
        <f>IF(E2352&lt;=30,(0.78*E2352+7.82)*F2352,((0.78*30+7.82)+0.78*(E2352-30))*F2352)</f>
        <v>125.17107599999999</v>
      </c>
      <c r="H2352" s="901"/>
      <c r="I2352" s="901"/>
      <c r="J2352" s="902">
        <f t="shared" si="627"/>
        <v>0</v>
      </c>
      <c r="K2352" s="903"/>
      <c r="L2352" s="1039">
        <f>ROUND(SUM('RES. CENTRAL PARK:RUA_FINAL'!L2352),2)</f>
        <v>0</v>
      </c>
      <c r="M2352" s="1039">
        <f t="shared" si="631"/>
        <v>0</v>
      </c>
      <c r="N2352" s="893">
        <f t="shared" si="632"/>
        <v>0</v>
      </c>
      <c r="O2352" s="905"/>
      <c r="P2352" s="36" t="str">
        <f>IF(N2351&gt;0,"xx",IF(N2351&gt;0,"xy",""))</f>
        <v/>
      </c>
      <c r="Q2352" s="317" t="str">
        <f t="shared" si="635"/>
        <v/>
      </c>
      <c r="R2352" s="317" t="str">
        <f t="shared" si="636"/>
        <v/>
      </c>
      <c r="S2352" s="317" t="str">
        <f t="shared" si="637"/>
        <v/>
      </c>
      <c r="V2352" s="314">
        <f>SUM('RES. CENTRAL PARK:RUA_FINAL'!N2352)</f>
        <v>0</v>
      </c>
      <c r="W2352" s="315">
        <f t="shared" si="634"/>
        <v>0</v>
      </c>
    </row>
    <row r="2353" spans="1:23" ht="13.5" hidden="1" thickBot="1" x14ac:dyDescent="0.25">
      <c r="A2353" s="63" t="s">
        <v>147</v>
      </c>
      <c r="B2353" s="895" t="s">
        <v>147</v>
      </c>
      <c r="C2353" s="896"/>
      <c r="D2353" s="906" t="s">
        <v>229</v>
      </c>
      <c r="E2353" s="907">
        <f>DMT!$F$8</f>
        <v>150</v>
      </c>
      <c r="F2353" s="908">
        <f>VLOOKUP(D2351,'ENSAIOS DE ORÇAMENTO'!$C$5:$L$81,5,FALSE)</f>
        <v>1.48915</v>
      </c>
      <c r="G2353" s="949">
        <f t="shared" ref="G2353:G2354" si="644">IF(E2353&lt;=30,(1.07*E2353+2.68)*F2353,((1.07*30+2.68)+1.07*(E2353-30))*F2353)</f>
        <v>242.99949700000002</v>
      </c>
      <c r="H2353" s="901"/>
      <c r="I2353" s="901"/>
      <c r="J2353" s="902">
        <f t="shared" si="627"/>
        <v>0</v>
      </c>
      <c r="K2353" s="903"/>
      <c r="L2353" s="1039">
        <f>ROUND(SUM('RES. CENTRAL PARK:RUA_FINAL'!L2353),2)</f>
        <v>0</v>
      </c>
      <c r="M2353" s="1039">
        <f t="shared" si="631"/>
        <v>0</v>
      </c>
      <c r="N2353" s="893">
        <f t="shared" si="632"/>
        <v>0</v>
      </c>
      <c r="O2353" s="905"/>
      <c r="P2353" s="36" t="str">
        <f>IF(N2351&gt;0,"xx",IF(N2351&gt;0,"xy",""))</f>
        <v/>
      </c>
      <c r="Q2353" s="317" t="str">
        <f t="shared" si="635"/>
        <v/>
      </c>
      <c r="R2353" s="317" t="str">
        <f t="shared" si="636"/>
        <v/>
      </c>
      <c r="S2353" s="317" t="str">
        <f t="shared" si="637"/>
        <v/>
      </c>
      <c r="V2353" s="314">
        <f>SUM('RES. CENTRAL PARK:RUA_FINAL'!N2353)</f>
        <v>0</v>
      </c>
      <c r="W2353" s="315">
        <f t="shared" si="634"/>
        <v>0</v>
      </c>
    </row>
    <row r="2354" spans="1:23" ht="13.5" hidden="1" thickBot="1" x14ac:dyDescent="0.25">
      <c r="A2354" s="63" t="s">
        <v>147</v>
      </c>
      <c r="B2354" s="895" t="s">
        <v>147</v>
      </c>
      <c r="C2354" s="896"/>
      <c r="D2354" s="906" t="s">
        <v>233</v>
      </c>
      <c r="E2354" s="907">
        <f>DMT!$F$10</f>
        <v>0.2</v>
      </c>
      <c r="F2354" s="908">
        <f>VLOOKUP(D2351,'ENSAIOS DE ORÇAMENTO'!$C$5:$L$81,6,FALSE)</f>
        <v>1.7704500000000001</v>
      </c>
      <c r="G2354" s="949">
        <f t="shared" si="644"/>
        <v>5.1236823000000005</v>
      </c>
      <c r="H2354" s="901"/>
      <c r="I2354" s="901"/>
      <c r="J2354" s="902">
        <f t="shared" si="627"/>
        <v>0</v>
      </c>
      <c r="K2354" s="903"/>
      <c r="L2354" s="1039">
        <f>ROUND(SUM('RES. CENTRAL PARK:RUA_FINAL'!L2354),2)</f>
        <v>0</v>
      </c>
      <c r="M2354" s="1039">
        <f t="shared" si="631"/>
        <v>0</v>
      </c>
      <c r="N2354" s="893">
        <f t="shared" si="632"/>
        <v>0</v>
      </c>
      <c r="O2354" s="905"/>
      <c r="P2354" s="36" t="str">
        <f>IF(N2351&gt;0,"xx",IF(N2351&gt;0,"xy",""))</f>
        <v/>
      </c>
      <c r="Q2354" s="317" t="str">
        <f t="shared" si="635"/>
        <v/>
      </c>
      <c r="R2354" s="317" t="str">
        <f t="shared" si="636"/>
        <v/>
      </c>
      <c r="S2354" s="317" t="str">
        <f t="shared" si="637"/>
        <v/>
      </c>
      <c r="V2354" s="314">
        <f>SUM('RES. CENTRAL PARK:RUA_FINAL'!N2354)</f>
        <v>0</v>
      </c>
      <c r="W2354" s="315">
        <f t="shared" si="634"/>
        <v>0</v>
      </c>
    </row>
    <row r="2355" spans="1:23" ht="13.5" hidden="1" thickBot="1" x14ac:dyDescent="0.25">
      <c r="A2355" s="63" t="s">
        <v>40</v>
      </c>
      <c r="B2355" s="895" t="s">
        <v>40</v>
      </c>
      <c r="C2355" s="896" t="s">
        <v>184</v>
      </c>
      <c r="D2355" s="906" t="s">
        <v>140</v>
      </c>
      <c r="E2355" s="907"/>
      <c r="F2355" s="908"/>
      <c r="G2355" s="912">
        <f>SUM(G2356:G2358)</f>
        <v>472.95947180000007</v>
      </c>
      <c r="H2355" s="901">
        <v>4962.6000000000004</v>
      </c>
      <c r="I2355" s="901">
        <f>IF(ISBLANK(H2355),"",SUM(G2355:H2355))</f>
        <v>5435.5594718000002</v>
      </c>
      <c r="J2355" s="902">
        <f t="shared" ref="J2355:J2397" si="645">IF(ISBLANK(H2355),0,ROUND(I2355*(1+$E$10),2))</f>
        <v>6526.48</v>
      </c>
      <c r="K2355" s="903" t="s">
        <v>15</v>
      </c>
      <c r="L2355" s="1039">
        <f>ROUND(SUM('RES. CENTRAL PARK:RUA_FINAL'!L2355),2)</f>
        <v>0</v>
      </c>
      <c r="M2355" s="1039">
        <f t="shared" si="631"/>
        <v>0</v>
      </c>
      <c r="N2355" s="893">
        <f t="shared" si="632"/>
        <v>0</v>
      </c>
      <c r="O2355" s="905"/>
      <c r="Q2355" s="317" t="str">
        <f t="shared" si="635"/>
        <v/>
      </c>
      <c r="R2355" s="317" t="str">
        <f t="shared" si="636"/>
        <v/>
      </c>
      <c r="S2355" s="317" t="str">
        <f t="shared" si="637"/>
        <v/>
      </c>
      <c r="V2355" s="314">
        <f>SUM('RES. CENTRAL PARK:RUA_FINAL'!N2355)</f>
        <v>0</v>
      </c>
      <c r="W2355" s="315">
        <f t="shared" si="634"/>
        <v>0</v>
      </c>
    </row>
    <row r="2356" spans="1:23" ht="13.5" hidden="1" thickBot="1" x14ac:dyDescent="0.25">
      <c r="A2356" s="63" t="s">
        <v>147</v>
      </c>
      <c r="B2356" s="895" t="s">
        <v>147</v>
      </c>
      <c r="C2356" s="896"/>
      <c r="D2356" s="906" t="s">
        <v>190</v>
      </c>
      <c r="E2356" s="907">
        <f>DMT!$D$20</f>
        <v>308</v>
      </c>
      <c r="F2356" s="908">
        <f>VLOOKUP(D2355,'ENSAIOS DE ORÇAMENTO'!$C$5:$L$81,4,FALSE)</f>
        <v>0.6411</v>
      </c>
      <c r="G2356" s="909">
        <f>IF(E2356&lt;=30,(0.78*E2356+7.82)*F2356,((0.78*30+7.82)+0.78*(E2356-30))*F2356)</f>
        <v>159.03126600000002</v>
      </c>
      <c r="H2356" s="901"/>
      <c r="I2356" s="901"/>
      <c r="J2356" s="902">
        <f t="shared" si="645"/>
        <v>0</v>
      </c>
      <c r="K2356" s="903"/>
      <c r="L2356" s="1039">
        <f>ROUND(SUM('RES. CENTRAL PARK:RUA_FINAL'!L2356),2)</f>
        <v>0</v>
      </c>
      <c r="M2356" s="1039">
        <f t="shared" si="631"/>
        <v>0</v>
      </c>
      <c r="N2356" s="893">
        <f t="shared" si="632"/>
        <v>0</v>
      </c>
      <c r="O2356" s="905"/>
      <c r="P2356" s="36" t="str">
        <f>IF(N2355&gt;0,"xx",IF(N2355&gt;0,"xy",""))</f>
        <v/>
      </c>
      <c r="Q2356" s="317" t="str">
        <f t="shared" si="635"/>
        <v/>
      </c>
      <c r="R2356" s="317" t="str">
        <f t="shared" si="636"/>
        <v/>
      </c>
      <c r="S2356" s="317" t="str">
        <f t="shared" si="637"/>
        <v/>
      </c>
      <c r="V2356" s="314">
        <f>SUM('RES. CENTRAL PARK:RUA_FINAL'!N2356)</f>
        <v>0</v>
      </c>
      <c r="W2356" s="315">
        <f t="shared" si="634"/>
        <v>0</v>
      </c>
    </row>
    <row r="2357" spans="1:23" ht="13.5" hidden="1" thickBot="1" x14ac:dyDescent="0.25">
      <c r="A2357" s="63" t="s">
        <v>147</v>
      </c>
      <c r="B2357" s="895" t="s">
        <v>147</v>
      </c>
      <c r="C2357" s="896"/>
      <c r="D2357" s="906" t="s">
        <v>229</v>
      </c>
      <c r="E2357" s="907">
        <f>DMT!$F$8</f>
        <v>150</v>
      </c>
      <c r="F2357" s="908">
        <f>VLOOKUP(D2355,'ENSAIOS DE ORÇAMENTO'!$C$5:$L$81,5,FALSE)</f>
        <v>1.8840500000000002</v>
      </c>
      <c r="G2357" s="949">
        <f t="shared" ref="G2357:G2358" si="646">IF(E2357&lt;=30,(1.07*E2357+2.68)*F2357,((1.07*30+2.68)+1.07*(E2357-30))*F2357)</f>
        <v>307.43927900000006</v>
      </c>
      <c r="H2357" s="901"/>
      <c r="I2357" s="901"/>
      <c r="J2357" s="902">
        <f t="shared" si="645"/>
        <v>0</v>
      </c>
      <c r="K2357" s="903"/>
      <c r="L2357" s="1039">
        <f>ROUND(SUM('RES. CENTRAL PARK:RUA_FINAL'!L2357),2)</f>
        <v>0</v>
      </c>
      <c r="M2357" s="1039">
        <f t="shared" si="631"/>
        <v>0</v>
      </c>
      <c r="N2357" s="893">
        <f t="shared" si="632"/>
        <v>0</v>
      </c>
      <c r="O2357" s="905"/>
      <c r="P2357" s="36" t="str">
        <f>IF(N2355&gt;0,"xx",IF(N2355&gt;0,"xy",""))</f>
        <v/>
      </c>
      <c r="Q2357" s="317" t="str">
        <f t="shared" si="635"/>
        <v/>
      </c>
      <c r="R2357" s="317" t="str">
        <f t="shared" si="636"/>
        <v/>
      </c>
      <c r="S2357" s="317" t="str">
        <f t="shared" si="637"/>
        <v/>
      </c>
      <c r="V2357" s="314">
        <f>SUM('RES. CENTRAL PARK:RUA_FINAL'!N2357)</f>
        <v>0</v>
      </c>
      <c r="W2357" s="315">
        <f t="shared" si="634"/>
        <v>0</v>
      </c>
    </row>
    <row r="2358" spans="1:23" ht="13.5" hidden="1" thickBot="1" x14ac:dyDescent="0.25">
      <c r="A2358" s="63" t="s">
        <v>147</v>
      </c>
      <c r="B2358" s="895" t="s">
        <v>147</v>
      </c>
      <c r="C2358" s="896"/>
      <c r="D2358" s="906" t="s">
        <v>233</v>
      </c>
      <c r="E2358" s="907">
        <f>DMT!$F$10</f>
        <v>0.2</v>
      </c>
      <c r="F2358" s="908">
        <f>VLOOKUP(D2355,'ENSAIOS DE ORÇAMENTO'!$C$5:$L$81,6,FALSE)</f>
        <v>2.2422</v>
      </c>
      <c r="G2358" s="949">
        <f t="shared" si="646"/>
        <v>6.4889267999999998</v>
      </c>
      <c r="H2358" s="901"/>
      <c r="I2358" s="901"/>
      <c r="J2358" s="902">
        <f t="shared" si="645"/>
        <v>0</v>
      </c>
      <c r="K2358" s="903"/>
      <c r="L2358" s="1039">
        <f>ROUND(SUM('RES. CENTRAL PARK:RUA_FINAL'!L2358),2)</f>
        <v>0</v>
      </c>
      <c r="M2358" s="1039">
        <f t="shared" si="631"/>
        <v>0</v>
      </c>
      <c r="N2358" s="893">
        <f t="shared" si="632"/>
        <v>0</v>
      </c>
      <c r="O2358" s="905"/>
      <c r="P2358" s="36" t="str">
        <f>IF(N2355&gt;0,"xx",IF(N2355&gt;0,"xy",""))</f>
        <v/>
      </c>
      <c r="Q2358" s="317" t="str">
        <f t="shared" si="635"/>
        <v/>
      </c>
      <c r="R2358" s="317" t="str">
        <f t="shared" si="636"/>
        <v/>
      </c>
      <c r="S2358" s="317" t="str">
        <f t="shared" si="637"/>
        <v/>
      </c>
      <c r="V2358" s="314">
        <f>SUM('RES. CENTRAL PARK:RUA_FINAL'!N2358)</f>
        <v>0</v>
      </c>
      <c r="W2358" s="315">
        <f t="shared" si="634"/>
        <v>0</v>
      </c>
    </row>
    <row r="2359" spans="1:23" ht="13.5" hidden="1" thickBot="1" x14ac:dyDescent="0.25">
      <c r="A2359" s="63" t="s">
        <v>126</v>
      </c>
      <c r="B2359" s="895" t="s">
        <v>126</v>
      </c>
      <c r="C2359" s="896" t="s">
        <v>184</v>
      </c>
      <c r="D2359" s="906" t="s">
        <v>141</v>
      </c>
      <c r="E2359" s="907"/>
      <c r="F2359" s="908"/>
      <c r="G2359" s="912">
        <f>SUM(G2360:G2362)</f>
        <v>592.92383533999998</v>
      </c>
      <c r="H2359" s="901">
        <v>6034.4</v>
      </c>
      <c r="I2359" s="901">
        <f>IF(ISBLANK(H2359),"",SUM(G2359:H2359))</f>
        <v>6627.3238353399993</v>
      </c>
      <c r="J2359" s="902">
        <f t="shared" si="645"/>
        <v>7957.43</v>
      </c>
      <c r="K2359" s="903" t="s">
        <v>15</v>
      </c>
      <c r="L2359" s="1039">
        <f>ROUND(SUM('RES. CENTRAL PARK:RUA_FINAL'!L2359),2)</f>
        <v>0</v>
      </c>
      <c r="M2359" s="1039">
        <f t="shared" si="631"/>
        <v>0</v>
      </c>
      <c r="N2359" s="893">
        <f t="shared" si="632"/>
        <v>0</v>
      </c>
      <c r="O2359" s="905"/>
      <c r="Q2359" s="317" t="str">
        <f t="shared" si="635"/>
        <v/>
      </c>
      <c r="R2359" s="317" t="str">
        <f t="shared" si="636"/>
        <v/>
      </c>
      <c r="S2359" s="317" t="str">
        <f t="shared" si="637"/>
        <v/>
      </c>
      <c r="V2359" s="314">
        <f>SUM('RES. CENTRAL PARK:RUA_FINAL'!N2359)</f>
        <v>0</v>
      </c>
      <c r="W2359" s="315">
        <f t="shared" si="634"/>
        <v>0</v>
      </c>
    </row>
    <row r="2360" spans="1:23" ht="13.5" hidden="1" thickBot="1" x14ac:dyDescent="0.25">
      <c r="A2360" s="63" t="s">
        <v>147</v>
      </c>
      <c r="B2360" s="895" t="s">
        <v>147</v>
      </c>
      <c r="C2360" s="896"/>
      <c r="D2360" s="906" t="s">
        <v>190</v>
      </c>
      <c r="E2360" s="907">
        <f>DMT!$D$20</f>
        <v>308</v>
      </c>
      <c r="F2360" s="908">
        <f>VLOOKUP(D2359,'ENSAIOS DE ORÇAMENTO'!$C$5:$L$81,4,FALSE)</f>
        <v>0.80657999999999996</v>
      </c>
      <c r="G2360" s="909">
        <f>IF(E2360&lt;=30,(0.78*E2360+7.82)*F2360,((0.78*30+7.82)+0.78*(E2360-30))*F2360)</f>
        <v>200.0802348</v>
      </c>
      <c r="H2360" s="901"/>
      <c r="I2360" s="901"/>
      <c r="J2360" s="902">
        <f t="shared" si="645"/>
        <v>0</v>
      </c>
      <c r="K2360" s="903"/>
      <c r="L2360" s="1039">
        <f>ROUND(SUM('RES. CENTRAL PARK:RUA_FINAL'!L2360),2)</f>
        <v>0</v>
      </c>
      <c r="M2360" s="1039">
        <f t="shared" si="631"/>
        <v>0</v>
      </c>
      <c r="N2360" s="893">
        <f t="shared" si="632"/>
        <v>0</v>
      </c>
      <c r="O2360" s="905"/>
      <c r="P2360" s="36" t="str">
        <f>IF(N2359&gt;0,"xx",IF(N2359&gt;0,"xy",""))</f>
        <v/>
      </c>
      <c r="Q2360" s="317" t="str">
        <f t="shared" si="635"/>
        <v/>
      </c>
      <c r="R2360" s="317" t="str">
        <f t="shared" si="636"/>
        <v/>
      </c>
      <c r="S2360" s="317" t="str">
        <f t="shared" si="637"/>
        <v/>
      </c>
      <c r="V2360" s="314">
        <f>SUM('RES. CENTRAL PARK:RUA_FINAL'!N2360)</f>
        <v>0</v>
      </c>
      <c r="W2360" s="315">
        <f t="shared" si="634"/>
        <v>0</v>
      </c>
    </row>
    <row r="2361" spans="1:23" ht="13.5" hidden="1" thickBot="1" x14ac:dyDescent="0.25">
      <c r="A2361" s="63" t="s">
        <v>147</v>
      </c>
      <c r="B2361" s="895" t="s">
        <v>147</v>
      </c>
      <c r="C2361" s="896"/>
      <c r="D2361" s="906" t="s">
        <v>229</v>
      </c>
      <c r="E2361" s="907">
        <f>DMT!$F$8</f>
        <v>150</v>
      </c>
      <c r="F2361" s="908">
        <f>VLOOKUP(D2359,'ENSAIOS DE ORÇAMENTO'!$C$5:$L$81,5,FALSE)</f>
        <v>2.3575999999999997</v>
      </c>
      <c r="G2361" s="949">
        <f t="shared" ref="G2361:G2362" si="647">IF(E2361&lt;=30,(1.07*E2361+2.68)*F2361,((1.07*30+2.68)+1.07*(E2361-30))*F2361)</f>
        <v>384.71316799999994</v>
      </c>
      <c r="H2361" s="901"/>
      <c r="I2361" s="901"/>
      <c r="J2361" s="902">
        <f t="shared" si="645"/>
        <v>0</v>
      </c>
      <c r="K2361" s="903"/>
      <c r="L2361" s="1039">
        <f>ROUND(SUM('RES. CENTRAL PARK:RUA_FINAL'!L2361),2)</f>
        <v>0</v>
      </c>
      <c r="M2361" s="1039">
        <f t="shared" si="631"/>
        <v>0</v>
      </c>
      <c r="N2361" s="893">
        <f t="shared" si="632"/>
        <v>0</v>
      </c>
      <c r="O2361" s="905"/>
      <c r="P2361" s="36" t="str">
        <f>IF(N2359&gt;0,"xx",IF(N2359&gt;0,"xy",""))</f>
        <v/>
      </c>
      <c r="Q2361" s="317" t="str">
        <f t="shared" si="635"/>
        <v/>
      </c>
      <c r="R2361" s="317" t="str">
        <f t="shared" si="636"/>
        <v/>
      </c>
      <c r="S2361" s="317" t="str">
        <f t="shared" si="637"/>
        <v/>
      </c>
      <c r="V2361" s="314">
        <f>SUM('RES. CENTRAL PARK:RUA_FINAL'!N2361)</f>
        <v>0</v>
      </c>
      <c r="W2361" s="315">
        <f t="shared" si="634"/>
        <v>0</v>
      </c>
    </row>
    <row r="2362" spans="1:23" ht="13.5" hidden="1" thickBot="1" x14ac:dyDescent="0.25">
      <c r="A2362" s="63" t="s">
        <v>147</v>
      </c>
      <c r="B2362" s="895" t="s">
        <v>147</v>
      </c>
      <c r="C2362" s="896"/>
      <c r="D2362" s="906" t="s">
        <v>233</v>
      </c>
      <c r="E2362" s="907">
        <f>DMT!$F$10</f>
        <v>0.2</v>
      </c>
      <c r="F2362" s="908">
        <f>VLOOKUP(D2359,'ENSAIOS DE ORÇAMENTO'!$C$5:$L$81,6,FALSE)</f>
        <v>2.8094099999999997</v>
      </c>
      <c r="G2362" s="949">
        <f t="shared" si="647"/>
        <v>8.1304325399999993</v>
      </c>
      <c r="H2362" s="901"/>
      <c r="I2362" s="901"/>
      <c r="J2362" s="902">
        <f t="shared" si="645"/>
        <v>0</v>
      </c>
      <c r="K2362" s="903"/>
      <c r="L2362" s="1039">
        <f>ROUND(SUM('RES. CENTRAL PARK:RUA_FINAL'!L2362),2)</f>
        <v>0</v>
      </c>
      <c r="M2362" s="1039">
        <f t="shared" si="631"/>
        <v>0</v>
      </c>
      <c r="N2362" s="893">
        <f t="shared" si="632"/>
        <v>0</v>
      </c>
      <c r="O2362" s="905"/>
      <c r="P2362" s="36" t="str">
        <f>IF(N2359&gt;0,"xx",IF(N2359&gt;0,"xy",""))</f>
        <v/>
      </c>
      <c r="Q2362" s="317" t="str">
        <f t="shared" si="635"/>
        <v/>
      </c>
      <c r="R2362" s="317" t="str">
        <f t="shared" si="636"/>
        <v/>
      </c>
      <c r="S2362" s="317" t="str">
        <f t="shared" si="637"/>
        <v/>
      </c>
      <c r="V2362" s="314">
        <f>SUM('RES. CENTRAL PARK:RUA_FINAL'!N2362)</f>
        <v>0</v>
      </c>
      <c r="W2362" s="315">
        <f t="shared" si="634"/>
        <v>0</v>
      </c>
    </row>
    <row r="2363" spans="1:23" ht="13.5" hidden="1" thickBot="1" x14ac:dyDescent="0.25">
      <c r="A2363" s="63" t="s">
        <v>41</v>
      </c>
      <c r="B2363" s="895" t="s">
        <v>41</v>
      </c>
      <c r="C2363" s="896" t="s">
        <v>184</v>
      </c>
      <c r="D2363" s="906" t="s">
        <v>142</v>
      </c>
      <c r="E2363" s="907"/>
      <c r="F2363" s="908"/>
      <c r="G2363" s="912">
        <f>SUM(G2364:G2366)</f>
        <v>660.44456692100005</v>
      </c>
      <c r="H2363" s="901">
        <v>6626.99</v>
      </c>
      <c r="I2363" s="901">
        <f>IF(ISBLANK(H2363),"",SUM(G2363:H2363))</f>
        <v>7287.4345669209997</v>
      </c>
      <c r="J2363" s="902">
        <f t="shared" si="645"/>
        <v>8750.02</v>
      </c>
      <c r="K2363" s="903" t="s">
        <v>15</v>
      </c>
      <c r="L2363" s="1039">
        <f>ROUND(SUM('RES. CENTRAL PARK:RUA_FINAL'!L2363),2)</f>
        <v>0</v>
      </c>
      <c r="M2363" s="1039">
        <f t="shared" si="631"/>
        <v>0</v>
      </c>
      <c r="N2363" s="893">
        <f t="shared" si="632"/>
        <v>0</v>
      </c>
      <c r="O2363" s="905"/>
      <c r="Q2363" s="317" t="str">
        <f t="shared" si="635"/>
        <v/>
      </c>
      <c r="R2363" s="317" t="str">
        <f t="shared" si="636"/>
        <v/>
      </c>
      <c r="S2363" s="317" t="str">
        <f t="shared" si="637"/>
        <v/>
      </c>
      <c r="V2363" s="314">
        <f>SUM('RES. CENTRAL PARK:RUA_FINAL'!N2363)</f>
        <v>0</v>
      </c>
      <c r="W2363" s="315">
        <f t="shared" si="634"/>
        <v>0</v>
      </c>
    </row>
    <row r="2364" spans="1:23" ht="13.5" hidden="1" thickBot="1" x14ac:dyDescent="0.25">
      <c r="A2364" s="63" t="s">
        <v>147</v>
      </c>
      <c r="B2364" s="895" t="s">
        <v>147</v>
      </c>
      <c r="C2364" s="896"/>
      <c r="D2364" s="906" t="s">
        <v>190</v>
      </c>
      <c r="E2364" s="907">
        <f>DMT!$D$20</f>
        <v>308</v>
      </c>
      <c r="F2364" s="908">
        <f>VLOOKUP(D2363,'ENSAIOS DE ORÇAMENTO'!$C$5:$L$81,4,FALSE)</f>
        <v>0.89753699999999992</v>
      </c>
      <c r="G2364" s="909">
        <f>IF(E2364&lt;=30,(0.78*E2364+7.82)*F2364,((0.78*30+7.82)+0.78*(E2364-30))*F2364)</f>
        <v>222.64302821999999</v>
      </c>
      <c r="H2364" s="901"/>
      <c r="I2364" s="901"/>
      <c r="J2364" s="902">
        <f t="shared" si="645"/>
        <v>0</v>
      </c>
      <c r="K2364" s="903"/>
      <c r="L2364" s="1039">
        <f>ROUND(SUM('RES. CENTRAL PARK:RUA_FINAL'!L2364),2)</f>
        <v>0</v>
      </c>
      <c r="M2364" s="1039">
        <f t="shared" si="631"/>
        <v>0</v>
      </c>
      <c r="N2364" s="893">
        <f t="shared" si="632"/>
        <v>0</v>
      </c>
      <c r="O2364" s="905"/>
      <c r="P2364" s="36" t="str">
        <f>IF(N2363&gt;0,"xx",IF(N2363&gt;0,"xy",""))</f>
        <v/>
      </c>
      <c r="Q2364" s="317" t="str">
        <f t="shared" si="635"/>
        <v/>
      </c>
      <c r="R2364" s="317" t="str">
        <f t="shared" si="636"/>
        <v/>
      </c>
      <c r="S2364" s="317" t="str">
        <f t="shared" si="637"/>
        <v/>
      </c>
      <c r="V2364" s="314">
        <f>SUM('RES. CENTRAL PARK:RUA_FINAL'!N2364)</f>
        <v>0</v>
      </c>
      <c r="W2364" s="315">
        <f t="shared" si="634"/>
        <v>0</v>
      </c>
    </row>
    <row r="2365" spans="1:23" ht="13.5" hidden="1" thickBot="1" x14ac:dyDescent="0.25">
      <c r="A2365" s="63" t="s">
        <v>147</v>
      </c>
      <c r="B2365" s="895" t="s">
        <v>147</v>
      </c>
      <c r="C2365" s="896"/>
      <c r="D2365" s="906" t="s">
        <v>229</v>
      </c>
      <c r="E2365" s="907">
        <f>DMT!$F$8</f>
        <v>150</v>
      </c>
      <c r="F2365" s="908">
        <f>VLOOKUP(D2363,'ENSAIOS DE ORÇAMENTO'!$C$5:$L$81,5,FALSE)</f>
        <v>2.6274289999999998</v>
      </c>
      <c r="G2365" s="949">
        <f t="shared" ref="G2365:G2366" si="648">IF(E2365&lt;=30,(1.07*E2365+2.68)*F2365,((1.07*30+2.68)+1.07*(E2365-30))*F2365)</f>
        <v>428.74386421999998</v>
      </c>
      <c r="H2365" s="901"/>
      <c r="I2365" s="901"/>
      <c r="J2365" s="902">
        <f t="shared" si="645"/>
        <v>0</v>
      </c>
      <c r="K2365" s="903"/>
      <c r="L2365" s="1039">
        <f>ROUND(SUM('RES. CENTRAL PARK:RUA_FINAL'!L2365),2)</f>
        <v>0</v>
      </c>
      <c r="M2365" s="1039">
        <f t="shared" si="631"/>
        <v>0</v>
      </c>
      <c r="N2365" s="893">
        <f t="shared" si="632"/>
        <v>0</v>
      </c>
      <c r="O2365" s="905"/>
      <c r="P2365" s="36" t="str">
        <f>IF(N2363&gt;0,"xx",IF(N2363&gt;0,"xy",""))</f>
        <v/>
      </c>
      <c r="Q2365" s="317" t="str">
        <f t="shared" si="635"/>
        <v/>
      </c>
      <c r="R2365" s="317" t="str">
        <f t="shared" si="636"/>
        <v/>
      </c>
      <c r="S2365" s="317" t="str">
        <f t="shared" si="637"/>
        <v/>
      </c>
      <c r="V2365" s="314">
        <f>SUM('RES. CENTRAL PARK:RUA_FINAL'!N2365)</f>
        <v>0</v>
      </c>
      <c r="W2365" s="315">
        <f t="shared" si="634"/>
        <v>0</v>
      </c>
    </row>
    <row r="2366" spans="1:23" ht="13.5" hidden="1" thickBot="1" x14ac:dyDescent="0.25">
      <c r="A2366" s="63" t="s">
        <v>147</v>
      </c>
      <c r="B2366" s="895" t="s">
        <v>147</v>
      </c>
      <c r="C2366" s="896"/>
      <c r="D2366" s="906" t="s">
        <v>233</v>
      </c>
      <c r="E2366" s="907">
        <f>DMT!$F$10</f>
        <v>0.2</v>
      </c>
      <c r="F2366" s="908">
        <f>VLOOKUP(D2363,'ENSAIOS DE ORÇAMENTO'!$C$5:$L$81,6,FALSE)</f>
        <v>3.1298114999999997</v>
      </c>
      <c r="G2366" s="949">
        <f t="shared" si="648"/>
        <v>9.0576744809999994</v>
      </c>
      <c r="H2366" s="901"/>
      <c r="I2366" s="901"/>
      <c r="J2366" s="902">
        <f t="shared" si="645"/>
        <v>0</v>
      </c>
      <c r="K2366" s="903"/>
      <c r="L2366" s="1039">
        <f>ROUND(SUM('RES. CENTRAL PARK:RUA_FINAL'!L2366),2)</f>
        <v>0</v>
      </c>
      <c r="M2366" s="1039">
        <f t="shared" si="631"/>
        <v>0</v>
      </c>
      <c r="N2366" s="893">
        <f t="shared" si="632"/>
        <v>0</v>
      </c>
      <c r="O2366" s="905"/>
      <c r="P2366" s="36" t="str">
        <f>IF(N2363&gt;0,"xx",IF(N2363&gt;0,"xy",""))</f>
        <v/>
      </c>
      <c r="Q2366" s="317" t="str">
        <f t="shared" si="635"/>
        <v/>
      </c>
      <c r="R2366" s="317" t="str">
        <f t="shared" si="636"/>
        <v/>
      </c>
      <c r="S2366" s="317" t="str">
        <f t="shared" si="637"/>
        <v/>
      </c>
      <c r="V2366" s="314">
        <f>SUM('RES. CENTRAL PARK:RUA_FINAL'!N2366)</f>
        <v>0</v>
      </c>
      <c r="W2366" s="315">
        <f t="shared" si="634"/>
        <v>0</v>
      </c>
    </row>
    <row r="2367" spans="1:23" ht="13.5" hidden="1" thickBot="1" x14ac:dyDescent="0.25">
      <c r="A2367" s="63" t="s">
        <v>42</v>
      </c>
      <c r="B2367" s="895" t="s">
        <v>42</v>
      </c>
      <c r="C2367" s="896" t="s">
        <v>184</v>
      </c>
      <c r="D2367" s="906" t="s">
        <v>143</v>
      </c>
      <c r="E2367" s="907"/>
      <c r="F2367" s="908"/>
      <c r="G2367" s="912">
        <f>SUM(G2368:G2370)</f>
        <v>820.7050911591499</v>
      </c>
      <c r="H2367" s="901">
        <v>8092.02</v>
      </c>
      <c r="I2367" s="901">
        <f>IF(ISBLANK(H2367),"",SUM(G2367:H2367))</f>
        <v>8912.7250911591509</v>
      </c>
      <c r="J2367" s="902">
        <f t="shared" si="645"/>
        <v>10701.51</v>
      </c>
      <c r="K2367" s="903" t="s">
        <v>15</v>
      </c>
      <c r="L2367" s="1039">
        <f>ROUND(SUM('RES. CENTRAL PARK:RUA_FINAL'!L2367),2)</f>
        <v>0</v>
      </c>
      <c r="M2367" s="1039">
        <f t="shared" si="631"/>
        <v>0</v>
      </c>
      <c r="N2367" s="893">
        <f t="shared" si="632"/>
        <v>0</v>
      </c>
      <c r="O2367" s="905"/>
      <c r="Q2367" s="317" t="str">
        <f t="shared" si="635"/>
        <v/>
      </c>
      <c r="R2367" s="317" t="str">
        <f t="shared" si="636"/>
        <v/>
      </c>
      <c r="S2367" s="317" t="str">
        <f t="shared" si="637"/>
        <v/>
      </c>
      <c r="V2367" s="314">
        <f>SUM('RES. CENTRAL PARK:RUA_FINAL'!N2367)</f>
        <v>0</v>
      </c>
      <c r="W2367" s="315">
        <f t="shared" si="634"/>
        <v>0</v>
      </c>
    </row>
    <row r="2368" spans="1:23" ht="13.5" hidden="1" thickBot="1" x14ac:dyDescent="0.25">
      <c r="A2368" s="63" t="s">
        <v>147</v>
      </c>
      <c r="B2368" s="895" t="s">
        <v>147</v>
      </c>
      <c r="C2368" s="896"/>
      <c r="D2368" s="906" t="s">
        <v>190</v>
      </c>
      <c r="E2368" s="907">
        <f>DMT!$D$20</f>
        <v>308</v>
      </c>
      <c r="F2368" s="908">
        <f>VLOOKUP(D2367,'ENSAIOS DE ORÇAMENTO'!$C$5:$L$81,4,FALSE)</f>
        <v>1.1179675499999999</v>
      </c>
      <c r="G2368" s="909">
        <f>IF(E2368&lt;=30,(0.78*E2368+7.82)*F2368,((0.78*30+7.82)+0.78*(E2368-30))*F2368)</f>
        <v>277.323030453</v>
      </c>
      <c r="H2368" s="901"/>
      <c r="I2368" s="901"/>
      <c r="J2368" s="902">
        <f t="shared" si="645"/>
        <v>0</v>
      </c>
      <c r="K2368" s="903"/>
      <c r="L2368" s="1039">
        <f>ROUND(SUM('RES. CENTRAL PARK:RUA_FINAL'!L2368),2)</f>
        <v>0</v>
      </c>
      <c r="M2368" s="1039">
        <f t="shared" si="631"/>
        <v>0</v>
      </c>
      <c r="N2368" s="893">
        <f t="shared" si="632"/>
        <v>0</v>
      </c>
      <c r="O2368" s="905"/>
      <c r="P2368" s="36" t="str">
        <f>IF(N2367&gt;0,"xx",IF(N2367&gt;0,"xy",""))</f>
        <v/>
      </c>
      <c r="Q2368" s="317" t="str">
        <f t="shared" si="635"/>
        <v/>
      </c>
      <c r="R2368" s="317" t="str">
        <f t="shared" si="636"/>
        <v/>
      </c>
      <c r="S2368" s="317" t="str">
        <f t="shared" si="637"/>
        <v/>
      </c>
      <c r="V2368" s="314">
        <f>SUM('RES. CENTRAL PARK:RUA_FINAL'!N2368)</f>
        <v>0</v>
      </c>
      <c r="W2368" s="315">
        <f t="shared" si="634"/>
        <v>0</v>
      </c>
    </row>
    <row r="2369" spans="1:23" ht="13.5" hidden="1" thickBot="1" x14ac:dyDescent="0.25">
      <c r="A2369" s="63" t="s">
        <v>147</v>
      </c>
      <c r="B2369" s="895" t="s">
        <v>147</v>
      </c>
      <c r="C2369" s="896"/>
      <c r="D2369" s="906" t="s">
        <v>229</v>
      </c>
      <c r="E2369" s="907">
        <f>DMT!$F$8</f>
        <v>150</v>
      </c>
      <c r="F2369" s="908">
        <f>VLOOKUP(D2367,'ENSAIOS DE ORÇAMENTO'!$C$5:$L$81,5,FALSE)</f>
        <v>3.2610033499999997</v>
      </c>
      <c r="G2369" s="949">
        <f t="shared" ref="G2369:G2370" si="649">IF(E2369&lt;=30,(1.07*E2369+2.68)*F2369,((1.07*30+2.68)+1.07*(E2369-30))*F2369)</f>
        <v>532.13052665299995</v>
      </c>
      <c r="H2369" s="901"/>
      <c r="I2369" s="901"/>
      <c r="J2369" s="902">
        <f t="shared" si="645"/>
        <v>0</v>
      </c>
      <c r="K2369" s="903"/>
      <c r="L2369" s="1039">
        <f>ROUND(SUM('RES. CENTRAL PARK:RUA_FINAL'!L2369),2)</f>
        <v>0</v>
      </c>
      <c r="M2369" s="1039">
        <f t="shared" si="631"/>
        <v>0</v>
      </c>
      <c r="N2369" s="893">
        <f t="shared" si="632"/>
        <v>0</v>
      </c>
      <c r="O2369" s="905"/>
      <c r="P2369" s="36" t="str">
        <f>IF(N2367&gt;0,"xx",IF(N2367&gt;0,"xy",""))</f>
        <v/>
      </c>
      <c r="Q2369" s="317" t="str">
        <f t="shared" si="635"/>
        <v/>
      </c>
      <c r="R2369" s="317" t="str">
        <f t="shared" si="636"/>
        <v/>
      </c>
      <c r="S2369" s="317" t="str">
        <f t="shared" si="637"/>
        <v/>
      </c>
      <c r="V2369" s="314">
        <f>SUM('RES. CENTRAL PARK:RUA_FINAL'!N2369)</f>
        <v>0</v>
      </c>
      <c r="W2369" s="315">
        <f t="shared" si="634"/>
        <v>0</v>
      </c>
    </row>
    <row r="2370" spans="1:23" ht="13.5" hidden="1" thickBot="1" x14ac:dyDescent="0.25">
      <c r="A2370" s="63" t="s">
        <v>147</v>
      </c>
      <c r="B2370" s="895" t="s">
        <v>147</v>
      </c>
      <c r="C2370" s="896"/>
      <c r="D2370" s="906" t="s">
        <v>233</v>
      </c>
      <c r="E2370" s="907">
        <f>DMT!$F$10</f>
        <v>0.2</v>
      </c>
      <c r="F2370" s="908">
        <f>VLOOKUP(D2367,'ENSAIOS DE ORÇAMENTO'!$C$5:$L$81,6,FALSE)</f>
        <v>3.8878832249999999</v>
      </c>
      <c r="G2370" s="949">
        <f t="shared" si="649"/>
        <v>11.251534053150001</v>
      </c>
      <c r="H2370" s="901"/>
      <c r="I2370" s="901"/>
      <c r="J2370" s="902">
        <f t="shared" si="645"/>
        <v>0</v>
      </c>
      <c r="K2370" s="903"/>
      <c r="L2370" s="1039">
        <f>ROUND(SUM('RES. CENTRAL PARK:RUA_FINAL'!L2370),2)</f>
        <v>0</v>
      </c>
      <c r="M2370" s="1039">
        <f t="shared" si="631"/>
        <v>0</v>
      </c>
      <c r="N2370" s="893">
        <f t="shared" si="632"/>
        <v>0</v>
      </c>
      <c r="O2370" s="905"/>
      <c r="P2370" s="36" t="str">
        <f>IF(N2367&gt;0,"xx",IF(N2367&gt;0,"xy",""))</f>
        <v/>
      </c>
      <c r="Q2370" s="317" t="str">
        <f t="shared" si="635"/>
        <v/>
      </c>
      <c r="R2370" s="317" t="str">
        <f t="shared" si="636"/>
        <v/>
      </c>
      <c r="S2370" s="317" t="str">
        <f t="shared" si="637"/>
        <v/>
      </c>
      <c r="V2370" s="314">
        <f>SUM('RES. CENTRAL PARK:RUA_FINAL'!N2370)</f>
        <v>0</v>
      </c>
      <c r="W2370" s="315">
        <f t="shared" si="634"/>
        <v>0</v>
      </c>
    </row>
    <row r="2371" spans="1:23" ht="13.5" hidden="1" thickBot="1" x14ac:dyDescent="0.25">
      <c r="A2371" s="63" t="s">
        <v>43</v>
      </c>
      <c r="B2371" s="895" t="s">
        <v>43</v>
      </c>
      <c r="C2371" s="896" t="s">
        <v>184</v>
      </c>
      <c r="D2371" s="906" t="s">
        <v>387</v>
      </c>
      <c r="E2371" s="907"/>
      <c r="F2371" s="908"/>
      <c r="G2371" s="912">
        <f>SUM(G2372:G2374)</f>
        <v>80.258073720000013</v>
      </c>
      <c r="H2371" s="901">
        <v>749.96</v>
      </c>
      <c r="I2371" s="901">
        <f>IF(ISBLANK(H2371),"",SUM(G2371:H2371))</f>
        <v>830.21807372000001</v>
      </c>
      <c r="J2371" s="902">
        <f t="shared" si="645"/>
        <v>996.84</v>
      </c>
      <c r="K2371" s="903" t="s">
        <v>15</v>
      </c>
      <c r="L2371" s="1039">
        <f>ROUND(SUM('RES. CENTRAL PARK:RUA_FINAL'!L2371),2)</f>
        <v>0</v>
      </c>
      <c r="M2371" s="1039">
        <f t="shared" si="631"/>
        <v>0</v>
      </c>
      <c r="N2371" s="893">
        <f t="shared" si="632"/>
        <v>0</v>
      </c>
      <c r="O2371" s="905"/>
      <c r="Q2371" s="317" t="str">
        <f t="shared" ref="Q2371:Q2415" si="650">IF(P2371="X","x",IF(P2371="xx","x",IF(P2371="xy","x",IF(P2371="y","x",IF(OR(N2371&gt;0,N2371&gt;0),"x","")))))</f>
        <v/>
      </c>
      <c r="R2371" s="317" t="str">
        <f t="shared" ref="R2371:R2415" si="651">IF(P2371="X","x",IF(P2371="y","x",IF(P2371="xx","x",IF(N2371&gt;0,"x",""))))</f>
        <v/>
      </c>
      <c r="S2371" s="317" t="str">
        <f t="shared" ref="S2371:S2415" si="652">IF(P2371="X","x",IF(N2371&gt;0,"x",""))</f>
        <v/>
      </c>
      <c r="V2371" s="314">
        <f>SUM('RES. CENTRAL PARK:RUA_FINAL'!N2371)</f>
        <v>0</v>
      </c>
      <c r="W2371" s="315">
        <f t="shared" si="634"/>
        <v>0</v>
      </c>
    </row>
    <row r="2372" spans="1:23" ht="13.5" hidden="1" thickBot="1" x14ac:dyDescent="0.25">
      <c r="A2372" s="63" t="s">
        <v>147</v>
      </c>
      <c r="B2372" s="895" t="s">
        <v>147</v>
      </c>
      <c r="C2372" s="896"/>
      <c r="D2372" s="906" t="s">
        <v>190</v>
      </c>
      <c r="E2372" s="907">
        <f>DMT!$D$20</f>
        <v>308</v>
      </c>
      <c r="F2372" s="908">
        <f>VLOOKUP(D2371,'ENSAIOS DE ORÇAMENTO'!$C$5:$L$81,4,FALSE)</f>
        <v>0.11253000000000002</v>
      </c>
      <c r="G2372" s="909">
        <f>IF(E2372&lt;=30,(0.78*E2372+7.82)*F2372,((0.78*30+7.82)+0.78*(E2372-30))*F2372)</f>
        <v>27.914191800000005</v>
      </c>
      <c r="H2372" s="901"/>
      <c r="I2372" s="901"/>
      <c r="J2372" s="902">
        <f t="shared" si="645"/>
        <v>0</v>
      </c>
      <c r="K2372" s="903"/>
      <c r="L2372" s="1039">
        <f>ROUND(SUM('RES. CENTRAL PARK:RUA_FINAL'!L2372),2)</f>
        <v>0</v>
      </c>
      <c r="M2372" s="1039">
        <f t="shared" si="631"/>
        <v>0</v>
      </c>
      <c r="N2372" s="893">
        <f t="shared" si="632"/>
        <v>0</v>
      </c>
      <c r="O2372" s="905"/>
      <c r="P2372" s="36" t="str">
        <f>IF(N2371&gt;0,"xx",IF(N2371&gt;0,"xy",""))</f>
        <v/>
      </c>
      <c r="Q2372" s="317" t="str">
        <f t="shared" si="650"/>
        <v/>
      </c>
      <c r="R2372" s="317" t="str">
        <f t="shared" si="651"/>
        <v/>
      </c>
      <c r="S2372" s="317" t="str">
        <f t="shared" si="652"/>
        <v/>
      </c>
      <c r="V2372" s="314">
        <f>SUM('RES. CENTRAL PARK:RUA_FINAL'!N2372)</f>
        <v>0</v>
      </c>
      <c r="W2372" s="315">
        <f t="shared" si="634"/>
        <v>0</v>
      </c>
    </row>
    <row r="2373" spans="1:23" ht="13.5" hidden="1" thickBot="1" x14ac:dyDescent="0.25">
      <c r="A2373" s="63" t="s">
        <v>147</v>
      </c>
      <c r="B2373" s="895" t="s">
        <v>147</v>
      </c>
      <c r="C2373" s="896"/>
      <c r="D2373" s="906" t="s">
        <v>229</v>
      </c>
      <c r="E2373" s="907">
        <f>DMT!$F$8</f>
        <v>150</v>
      </c>
      <c r="F2373" s="908">
        <f>VLOOKUP(D2371,'ENSAIOS DE ORÇAMENTO'!$C$5:$L$81,5,FALSE)</f>
        <v>0.31406100000000003</v>
      </c>
      <c r="G2373" s="949">
        <f t="shared" ref="G2373:G2374" si="653">IF(E2373&lt;=30,(1.07*E2373+2.68)*F2373,((1.07*30+2.68)+1.07*(E2373-30))*F2373)</f>
        <v>51.248473980000007</v>
      </c>
      <c r="H2373" s="901"/>
      <c r="I2373" s="901"/>
      <c r="J2373" s="902">
        <f t="shared" si="645"/>
        <v>0</v>
      </c>
      <c r="K2373" s="903"/>
      <c r="L2373" s="1039">
        <f>ROUND(SUM('RES. CENTRAL PARK:RUA_FINAL'!L2373),2)</f>
        <v>0</v>
      </c>
      <c r="M2373" s="1039">
        <f t="shared" si="631"/>
        <v>0</v>
      </c>
      <c r="N2373" s="893">
        <f t="shared" si="632"/>
        <v>0</v>
      </c>
      <c r="O2373" s="905"/>
      <c r="P2373" s="36" t="str">
        <f>IF(N2371&gt;0,"xx",IF(N2371&gt;0,"xy",""))</f>
        <v/>
      </c>
      <c r="Q2373" s="317" t="str">
        <f t="shared" si="650"/>
        <v/>
      </c>
      <c r="R2373" s="317" t="str">
        <f t="shared" si="651"/>
        <v/>
      </c>
      <c r="S2373" s="317" t="str">
        <f t="shared" si="652"/>
        <v/>
      </c>
      <c r="V2373" s="314">
        <f>SUM('RES. CENTRAL PARK:RUA_FINAL'!N2373)</f>
        <v>0</v>
      </c>
      <c r="W2373" s="315">
        <f t="shared" si="634"/>
        <v>0</v>
      </c>
    </row>
    <row r="2374" spans="1:23" ht="13.5" hidden="1" thickBot="1" x14ac:dyDescent="0.25">
      <c r="A2374" s="63" t="s">
        <v>147</v>
      </c>
      <c r="B2374" s="895" t="s">
        <v>147</v>
      </c>
      <c r="C2374" s="896"/>
      <c r="D2374" s="906" t="s">
        <v>233</v>
      </c>
      <c r="E2374" s="907">
        <f>DMT!$F$10</f>
        <v>0.2</v>
      </c>
      <c r="F2374" s="908">
        <f>VLOOKUP(D2371,'ENSAIOS DE ORÇAMENTO'!$C$5:$L$81,6,FALSE)</f>
        <v>0.37851000000000007</v>
      </c>
      <c r="G2374" s="949">
        <f t="shared" si="653"/>
        <v>1.0954079400000003</v>
      </c>
      <c r="H2374" s="901"/>
      <c r="I2374" s="901"/>
      <c r="J2374" s="902">
        <f t="shared" si="645"/>
        <v>0</v>
      </c>
      <c r="K2374" s="903"/>
      <c r="L2374" s="1039">
        <f>ROUND(SUM('RES. CENTRAL PARK:RUA_FINAL'!L2374),2)</f>
        <v>0</v>
      </c>
      <c r="M2374" s="1039">
        <f t="shared" si="631"/>
        <v>0</v>
      </c>
      <c r="N2374" s="893">
        <f t="shared" si="632"/>
        <v>0</v>
      </c>
      <c r="O2374" s="905"/>
      <c r="P2374" s="36" t="str">
        <f>IF(N2371&gt;0,"xx",IF(N2371&gt;0,"xy",""))</f>
        <v/>
      </c>
      <c r="Q2374" s="317" t="str">
        <f t="shared" si="650"/>
        <v/>
      </c>
      <c r="R2374" s="317" t="str">
        <f t="shared" si="651"/>
        <v/>
      </c>
      <c r="S2374" s="317" t="str">
        <f t="shared" si="652"/>
        <v/>
      </c>
      <c r="V2374" s="314">
        <f>SUM('RES. CENTRAL PARK:RUA_FINAL'!N2374)</f>
        <v>0</v>
      </c>
      <c r="W2374" s="315">
        <f t="shared" si="634"/>
        <v>0</v>
      </c>
    </row>
    <row r="2375" spans="1:23" ht="13.5" hidden="1" thickBot="1" x14ac:dyDescent="0.25">
      <c r="A2375" s="63" t="s">
        <v>44</v>
      </c>
      <c r="B2375" s="895" t="s">
        <v>44</v>
      </c>
      <c r="C2375" s="896" t="s">
        <v>184</v>
      </c>
      <c r="D2375" s="906" t="s">
        <v>388</v>
      </c>
      <c r="E2375" s="907"/>
      <c r="F2375" s="908"/>
      <c r="G2375" s="912">
        <f>SUM(G2376:G2378)</f>
        <v>87.318901320000023</v>
      </c>
      <c r="H2375" s="901">
        <v>850.96</v>
      </c>
      <c r="I2375" s="901">
        <f>IF(ISBLANK(H2375),"",SUM(G2375:H2375))</f>
        <v>938.27890132000005</v>
      </c>
      <c r="J2375" s="902">
        <f t="shared" si="645"/>
        <v>1126.5899999999999</v>
      </c>
      <c r="K2375" s="903" t="s">
        <v>15</v>
      </c>
      <c r="L2375" s="1039">
        <f>ROUND(SUM('RES. CENTRAL PARK:RUA_FINAL'!L2375),2)</f>
        <v>0</v>
      </c>
      <c r="M2375" s="1039">
        <f t="shared" si="631"/>
        <v>0</v>
      </c>
      <c r="N2375" s="893">
        <f t="shared" si="632"/>
        <v>0</v>
      </c>
      <c r="O2375" s="905"/>
      <c r="Q2375" s="317" t="str">
        <f t="shared" si="650"/>
        <v/>
      </c>
      <c r="R2375" s="317" t="str">
        <f t="shared" si="651"/>
        <v/>
      </c>
      <c r="S2375" s="317" t="str">
        <f t="shared" si="652"/>
        <v/>
      </c>
      <c r="V2375" s="314">
        <f>SUM('RES. CENTRAL PARK:RUA_FINAL'!N2375)</f>
        <v>0</v>
      </c>
      <c r="W2375" s="315">
        <f t="shared" si="634"/>
        <v>0</v>
      </c>
    </row>
    <row r="2376" spans="1:23" ht="13.5" hidden="1" thickBot="1" x14ac:dyDescent="0.25">
      <c r="A2376" s="63" t="s">
        <v>147</v>
      </c>
      <c r="B2376" s="895" t="s">
        <v>147</v>
      </c>
      <c r="C2376" s="896"/>
      <c r="D2376" s="906" t="s">
        <v>190</v>
      </c>
      <c r="E2376" s="907">
        <f>DMT!$D$20</f>
        <v>308</v>
      </c>
      <c r="F2376" s="908">
        <f>VLOOKUP(D2375,'ENSAIOS DE ORÇAMENTO'!$C$5:$L$81,4,FALSE)</f>
        <v>0.12243000000000002</v>
      </c>
      <c r="G2376" s="909">
        <f>IF(E2376&lt;=30,(0.78*E2376+7.82)*F2376,((0.78*30+7.82)+0.78*(E2376-30))*F2376)</f>
        <v>30.369985800000006</v>
      </c>
      <c r="H2376" s="901"/>
      <c r="I2376" s="901"/>
      <c r="J2376" s="902">
        <f t="shared" si="645"/>
        <v>0</v>
      </c>
      <c r="K2376" s="903"/>
      <c r="L2376" s="1039">
        <f>ROUND(SUM('RES. CENTRAL PARK:RUA_FINAL'!L2376),2)</f>
        <v>0</v>
      </c>
      <c r="M2376" s="1039">
        <f t="shared" si="631"/>
        <v>0</v>
      </c>
      <c r="N2376" s="893">
        <f t="shared" si="632"/>
        <v>0</v>
      </c>
      <c r="O2376" s="905"/>
      <c r="P2376" s="36" t="str">
        <f>IF(N2375&gt;0,"xx",IF(N2375&gt;0,"xy",""))</f>
        <v/>
      </c>
      <c r="Q2376" s="317" t="str">
        <f t="shared" si="650"/>
        <v/>
      </c>
      <c r="R2376" s="317" t="str">
        <f t="shared" si="651"/>
        <v/>
      </c>
      <c r="S2376" s="317" t="str">
        <f t="shared" si="652"/>
        <v/>
      </c>
      <c r="V2376" s="314">
        <f>SUM('RES. CENTRAL PARK:RUA_FINAL'!N2376)</f>
        <v>0</v>
      </c>
      <c r="W2376" s="315">
        <f t="shared" si="634"/>
        <v>0</v>
      </c>
    </row>
    <row r="2377" spans="1:23" ht="13.5" hidden="1" thickBot="1" x14ac:dyDescent="0.25">
      <c r="A2377" s="63" t="s">
        <v>147</v>
      </c>
      <c r="B2377" s="895" t="s">
        <v>147</v>
      </c>
      <c r="C2377" s="896"/>
      <c r="D2377" s="906" t="s">
        <v>229</v>
      </c>
      <c r="E2377" s="907">
        <f>DMT!$F$8</f>
        <v>150</v>
      </c>
      <c r="F2377" s="908">
        <f>VLOOKUP(D2375,'ENSAIOS DE ORÇAMENTO'!$C$5:$L$81,5,FALSE)</f>
        <v>0.34169100000000008</v>
      </c>
      <c r="G2377" s="949">
        <f t="shared" ref="G2377:G2378" si="654">IF(E2377&lt;=30,(1.07*E2377+2.68)*F2377,((1.07*30+2.68)+1.07*(E2377-30))*F2377)</f>
        <v>55.757137380000017</v>
      </c>
      <c r="H2377" s="901"/>
      <c r="I2377" s="901"/>
      <c r="J2377" s="902">
        <f t="shared" si="645"/>
        <v>0</v>
      </c>
      <c r="K2377" s="903"/>
      <c r="L2377" s="1039">
        <f>ROUND(SUM('RES. CENTRAL PARK:RUA_FINAL'!L2377),2)</f>
        <v>0</v>
      </c>
      <c r="M2377" s="1039">
        <f t="shared" si="631"/>
        <v>0</v>
      </c>
      <c r="N2377" s="893">
        <f t="shared" si="632"/>
        <v>0</v>
      </c>
      <c r="O2377" s="905"/>
      <c r="P2377" s="36" t="str">
        <f>IF(N2375&gt;0,"xx",IF(N2375&gt;0,"xy",""))</f>
        <v/>
      </c>
      <c r="Q2377" s="317" t="str">
        <f t="shared" si="650"/>
        <v/>
      </c>
      <c r="R2377" s="317" t="str">
        <f t="shared" si="651"/>
        <v/>
      </c>
      <c r="S2377" s="317" t="str">
        <f t="shared" si="652"/>
        <v/>
      </c>
      <c r="V2377" s="314">
        <f>SUM('RES. CENTRAL PARK:RUA_FINAL'!N2377)</f>
        <v>0</v>
      </c>
      <c r="W2377" s="315">
        <f t="shared" si="634"/>
        <v>0</v>
      </c>
    </row>
    <row r="2378" spans="1:23" ht="13.5" hidden="1" thickBot="1" x14ac:dyDescent="0.25">
      <c r="A2378" s="63" t="s">
        <v>147</v>
      </c>
      <c r="B2378" s="895" t="s">
        <v>147</v>
      </c>
      <c r="C2378" s="896"/>
      <c r="D2378" s="906" t="s">
        <v>233</v>
      </c>
      <c r="E2378" s="907">
        <f>DMT!$F$10</f>
        <v>0.2</v>
      </c>
      <c r="F2378" s="908">
        <f>VLOOKUP(D2375,'ENSAIOS DE ORÇAMENTO'!$C$5:$L$81,6,FALSE)</f>
        <v>0.41181000000000012</v>
      </c>
      <c r="G2378" s="949">
        <f t="shared" si="654"/>
        <v>1.1917781400000005</v>
      </c>
      <c r="H2378" s="901"/>
      <c r="I2378" s="901"/>
      <c r="J2378" s="902">
        <f t="shared" si="645"/>
        <v>0</v>
      </c>
      <c r="K2378" s="903"/>
      <c r="L2378" s="1039">
        <f>ROUND(SUM('RES. CENTRAL PARK:RUA_FINAL'!L2378),2)</f>
        <v>0</v>
      </c>
      <c r="M2378" s="1039">
        <f t="shared" si="631"/>
        <v>0</v>
      </c>
      <c r="N2378" s="893">
        <f t="shared" si="632"/>
        <v>0</v>
      </c>
      <c r="O2378" s="905"/>
      <c r="P2378" s="36" t="str">
        <f>IF(N2375&gt;0,"xx",IF(N2375&gt;0,"xy",""))</f>
        <v/>
      </c>
      <c r="Q2378" s="317" t="str">
        <f t="shared" si="650"/>
        <v/>
      </c>
      <c r="R2378" s="317" t="str">
        <f t="shared" si="651"/>
        <v/>
      </c>
      <c r="S2378" s="317" t="str">
        <f t="shared" si="652"/>
        <v/>
      </c>
      <c r="V2378" s="314">
        <f>SUM('RES. CENTRAL PARK:RUA_FINAL'!N2378)</f>
        <v>0</v>
      </c>
      <c r="W2378" s="315">
        <f t="shared" si="634"/>
        <v>0</v>
      </c>
    </row>
    <row r="2379" spans="1:23" ht="13.5" hidden="1" thickBot="1" x14ac:dyDescent="0.25">
      <c r="A2379" s="63" t="s">
        <v>45</v>
      </c>
      <c r="B2379" s="895" t="s">
        <v>45</v>
      </c>
      <c r="C2379" s="896" t="s">
        <v>184</v>
      </c>
      <c r="D2379" s="906" t="s">
        <v>389</v>
      </c>
      <c r="E2379" s="907"/>
      <c r="F2379" s="908"/>
      <c r="G2379" s="912">
        <f>SUM(G2380:G2382)</f>
        <v>94.379728920000005</v>
      </c>
      <c r="H2379" s="901">
        <v>971.4</v>
      </c>
      <c r="I2379" s="901">
        <f>IF(ISBLANK(H2379),"",SUM(G2379:H2379))</f>
        <v>1065.77972892</v>
      </c>
      <c r="J2379" s="902">
        <f t="shared" si="645"/>
        <v>1279.68</v>
      </c>
      <c r="K2379" s="903" t="s">
        <v>15</v>
      </c>
      <c r="L2379" s="1039">
        <f>ROUND(SUM('RES. CENTRAL PARK:RUA_FINAL'!L2379),2)</f>
        <v>0</v>
      </c>
      <c r="M2379" s="1039">
        <f t="shared" si="631"/>
        <v>0</v>
      </c>
      <c r="N2379" s="893">
        <f t="shared" si="632"/>
        <v>0</v>
      </c>
      <c r="O2379" s="905"/>
      <c r="Q2379" s="317" t="str">
        <f t="shared" si="650"/>
        <v/>
      </c>
      <c r="R2379" s="317" t="str">
        <f t="shared" si="651"/>
        <v/>
      </c>
      <c r="S2379" s="317" t="str">
        <f t="shared" si="652"/>
        <v/>
      </c>
      <c r="V2379" s="314">
        <f>SUM('RES. CENTRAL PARK:RUA_FINAL'!N2379)</f>
        <v>0</v>
      </c>
      <c r="W2379" s="315">
        <f t="shared" si="634"/>
        <v>0</v>
      </c>
    </row>
    <row r="2380" spans="1:23" ht="13.5" hidden="1" thickBot="1" x14ac:dyDescent="0.25">
      <c r="A2380" s="63" t="s">
        <v>147</v>
      </c>
      <c r="B2380" s="895" t="s">
        <v>147</v>
      </c>
      <c r="C2380" s="896"/>
      <c r="D2380" s="906" t="s">
        <v>190</v>
      </c>
      <c r="E2380" s="907">
        <f>DMT!$D$20</f>
        <v>308</v>
      </c>
      <c r="F2380" s="908">
        <f>VLOOKUP(D2379,'ENSAIOS DE ORÇAMENTO'!$C$5:$L$81,4,FALSE)</f>
        <v>0.13233</v>
      </c>
      <c r="G2380" s="909">
        <f>IF(E2380&lt;=30,(0.78*E2380+7.82)*F2380,((0.78*30+7.82)+0.78*(E2380-30))*F2380)</f>
        <v>32.825779799999999</v>
      </c>
      <c r="H2380" s="901"/>
      <c r="I2380" s="901"/>
      <c r="J2380" s="902">
        <f t="shared" si="645"/>
        <v>0</v>
      </c>
      <c r="K2380" s="903"/>
      <c r="L2380" s="1039">
        <f>ROUND(SUM('RES. CENTRAL PARK:RUA_FINAL'!L2380),2)</f>
        <v>0</v>
      </c>
      <c r="M2380" s="1039">
        <f t="shared" si="631"/>
        <v>0</v>
      </c>
      <c r="N2380" s="893">
        <f t="shared" si="632"/>
        <v>0</v>
      </c>
      <c r="O2380" s="905"/>
      <c r="P2380" s="36" t="str">
        <f>IF(N2379&gt;0,"xx",IF(N2379&gt;0,"xy",""))</f>
        <v/>
      </c>
      <c r="Q2380" s="317" t="str">
        <f t="shared" si="650"/>
        <v/>
      </c>
      <c r="R2380" s="317" t="str">
        <f t="shared" si="651"/>
        <v/>
      </c>
      <c r="S2380" s="317" t="str">
        <f t="shared" si="652"/>
        <v/>
      </c>
      <c r="V2380" s="314">
        <f>SUM('RES. CENTRAL PARK:RUA_FINAL'!N2380)</f>
        <v>0</v>
      </c>
      <c r="W2380" s="315">
        <f t="shared" si="634"/>
        <v>0</v>
      </c>
    </row>
    <row r="2381" spans="1:23" ht="13.5" hidden="1" thickBot="1" x14ac:dyDescent="0.25">
      <c r="A2381" s="63" t="s">
        <v>147</v>
      </c>
      <c r="B2381" s="895" t="s">
        <v>147</v>
      </c>
      <c r="C2381" s="896"/>
      <c r="D2381" s="906" t="s">
        <v>229</v>
      </c>
      <c r="E2381" s="907">
        <f>DMT!$F$8</f>
        <v>150</v>
      </c>
      <c r="F2381" s="908">
        <f>VLOOKUP(D2379,'ENSAIOS DE ORÇAMENTO'!$C$5:$L$81,5,FALSE)</f>
        <v>0.36932100000000001</v>
      </c>
      <c r="G2381" s="949">
        <f t="shared" ref="G2381:G2382" si="655">IF(E2381&lt;=30,(1.07*E2381+2.68)*F2381,((1.07*30+2.68)+1.07*(E2381-30))*F2381)</f>
        <v>60.265800780000006</v>
      </c>
      <c r="H2381" s="901"/>
      <c r="I2381" s="901"/>
      <c r="J2381" s="902">
        <f t="shared" si="645"/>
        <v>0</v>
      </c>
      <c r="K2381" s="903"/>
      <c r="L2381" s="1039">
        <f>ROUND(SUM('RES. CENTRAL PARK:RUA_FINAL'!L2381),2)</f>
        <v>0</v>
      </c>
      <c r="M2381" s="1039">
        <f t="shared" si="631"/>
        <v>0</v>
      </c>
      <c r="N2381" s="893">
        <f t="shared" si="632"/>
        <v>0</v>
      </c>
      <c r="O2381" s="905"/>
      <c r="P2381" s="36" t="str">
        <f>IF(N2379&gt;0,"xx",IF(N2379&gt;0,"xy",""))</f>
        <v/>
      </c>
      <c r="Q2381" s="317" t="str">
        <f t="shared" si="650"/>
        <v/>
      </c>
      <c r="R2381" s="317" t="str">
        <f t="shared" si="651"/>
        <v/>
      </c>
      <c r="S2381" s="317" t="str">
        <f t="shared" si="652"/>
        <v/>
      </c>
      <c r="V2381" s="314">
        <f>SUM('RES. CENTRAL PARK:RUA_FINAL'!N2381)</f>
        <v>0</v>
      </c>
      <c r="W2381" s="315">
        <f t="shared" si="634"/>
        <v>0</v>
      </c>
    </row>
    <row r="2382" spans="1:23" ht="13.5" hidden="1" thickBot="1" x14ac:dyDescent="0.25">
      <c r="A2382" s="63" t="s">
        <v>147</v>
      </c>
      <c r="B2382" s="895" t="s">
        <v>147</v>
      </c>
      <c r="C2382" s="896"/>
      <c r="D2382" s="906" t="s">
        <v>233</v>
      </c>
      <c r="E2382" s="907">
        <f>DMT!$F$10</f>
        <v>0.2</v>
      </c>
      <c r="F2382" s="908">
        <f>VLOOKUP(D2379,'ENSAIOS DE ORÇAMENTO'!$C$5:$L$81,6,FALSE)</f>
        <v>0.44511000000000006</v>
      </c>
      <c r="G2382" s="949">
        <f t="shared" si="655"/>
        <v>1.2881483400000002</v>
      </c>
      <c r="H2382" s="901"/>
      <c r="I2382" s="901"/>
      <c r="J2382" s="902">
        <f t="shared" si="645"/>
        <v>0</v>
      </c>
      <c r="K2382" s="903"/>
      <c r="L2382" s="1039">
        <f>ROUND(SUM('RES. CENTRAL PARK:RUA_FINAL'!L2382),2)</f>
        <v>0</v>
      </c>
      <c r="M2382" s="1039">
        <f t="shared" si="631"/>
        <v>0</v>
      </c>
      <c r="N2382" s="893">
        <f t="shared" si="632"/>
        <v>0</v>
      </c>
      <c r="O2382" s="905"/>
      <c r="P2382" s="36" t="str">
        <f>IF(N2379&gt;0,"xx",IF(N2379&gt;0,"xy",""))</f>
        <v/>
      </c>
      <c r="Q2382" s="317" t="str">
        <f t="shared" si="650"/>
        <v/>
      </c>
      <c r="R2382" s="317" t="str">
        <f t="shared" si="651"/>
        <v/>
      </c>
      <c r="S2382" s="317" t="str">
        <f t="shared" si="652"/>
        <v/>
      </c>
      <c r="V2382" s="314">
        <f>SUM('RES. CENTRAL PARK:RUA_FINAL'!N2382)</f>
        <v>0</v>
      </c>
      <c r="W2382" s="315">
        <f t="shared" si="634"/>
        <v>0</v>
      </c>
    </row>
    <row r="2383" spans="1:23" ht="13.5" hidden="1" thickBot="1" x14ac:dyDescent="0.25">
      <c r="A2383" s="63" t="s">
        <v>46</v>
      </c>
      <c r="B2383" s="895" t="s">
        <v>46</v>
      </c>
      <c r="C2383" s="896" t="s">
        <v>184</v>
      </c>
      <c r="D2383" s="906" t="s">
        <v>390</v>
      </c>
      <c r="E2383" s="907"/>
      <c r="F2383" s="908"/>
      <c r="G2383" s="912">
        <f>SUM(G2384:G2386)</f>
        <v>357.35287714000003</v>
      </c>
      <c r="H2383" s="901">
        <v>968.15</v>
      </c>
      <c r="I2383" s="901">
        <f>IF(ISBLANK(H2383),"",SUM(G2383:H2383))</f>
        <v>1325.50287714</v>
      </c>
      <c r="J2383" s="902">
        <f t="shared" si="645"/>
        <v>1591.53</v>
      </c>
      <c r="K2383" s="903" t="s">
        <v>15</v>
      </c>
      <c r="L2383" s="1039">
        <f>ROUND(SUM('RES. CENTRAL PARK:RUA_FINAL'!L2383),2)</f>
        <v>0</v>
      </c>
      <c r="M2383" s="1039">
        <f t="shared" si="631"/>
        <v>0</v>
      </c>
      <c r="N2383" s="893">
        <f t="shared" si="632"/>
        <v>0</v>
      </c>
      <c r="O2383" s="905"/>
      <c r="Q2383" s="317" t="str">
        <f t="shared" si="650"/>
        <v/>
      </c>
      <c r="R2383" s="317" t="str">
        <f t="shared" si="651"/>
        <v/>
      </c>
      <c r="S2383" s="317" t="str">
        <f t="shared" si="652"/>
        <v/>
      </c>
      <c r="V2383" s="314">
        <f>SUM('RES. CENTRAL PARK:RUA_FINAL'!N2383)</f>
        <v>0</v>
      </c>
      <c r="W2383" s="315">
        <f t="shared" si="634"/>
        <v>0</v>
      </c>
    </row>
    <row r="2384" spans="1:23" ht="13.5" hidden="1" thickBot="1" x14ac:dyDescent="0.25">
      <c r="A2384" s="63" t="s">
        <v>147</v>
      </c>
      <c r="B2384" s="895" t="s">
        <v>147</v>
      </c>
      <c r="C2384" s="896"/>
      <c r="D2384" s="906" t="s">
        <v>190</v>
      </c>
      <c r="E2384" s="907">
        <f>DMT!$D$20</f>
        <v>308</v>
      </c>
      <c r="F2384" s="908">
        <f>VLOOKUP(D2383,'ENSAIOS DE ORÇAMENTO'!$C$5:$L$81,4,FALSE)</f>
        <v>0.38417000000000001</v>
      </c>
      <c r="G2384" s="909">
        <f>IF(E2384&lt;=30,(0.78*E2384+7.82)*F2384,((0.78*30+7.82)+0.78*(E2384-30))*F2384)</f>
        <v>95.297210200000009</v>
      </c>
      <c r="H2384" s="901"/>
      <c r="I2384" s="901"/>
      <c r="J2384" s="902">
        <f t="shared" si="645"/>
        <v>0</v>
      </c>
      <c r="K2384" s="903"/>
      <c r="L2384" s="1039">
        <f>ROUND(SUM('RES. CENTRAL PARK:RUA_FINAL'!L2384),2)</f>
        <v>0</v>
      </c>
      <c r="M2384" s="1039">
        <f t="shared" si="631"/>
        <v>0</v>
      </c>
      <c r="N2384" s="893">
        <f t="shared" si="632"/>
        <v>0</v>
      </c>
      <c r="O2384" s="905"/>
      <c r="P2384" s="36" t="str">
        <f>IF(N2383&gt;0,"xx",IF(N2383&gt;0,"xy",""))</f>
        <v/>
      </c>
      <c r="Q2384" s="317" t="str">
        <f t="shared" si="650"/>
        <v/>
      </c>
      <c r="R2384" s="317" t="str">
        <f t="shared" si="651"/>
        <v/>
      </c>
      <c r="S2384" s="317" t="str">
        <f t="shared" si="652"/>
        <v/>
      </c>
      <c r="V2384" s="314">
        <f>SUM('RES. CENTRAL PARK:RUA_FINAL'!N2384)</f>
        <v>0</v>
      </c>
      <c r="W2384" s="315">
        <f t="shared" si="634"/>
        <v>0</v>
      </c>
    </row>
    <row r="2385" spans="1:23" ht="13.5" hidden="1" thickBot="1" x14ac:dyDescent="0.25">
      <c r="A2385" s="63" t="s">
        <v>147</v>
      </c>
      <c r="B2385" s="895" t="s">
        <v>147</v>
      </c>
      <c r="C2385" s="896"/>
      <c r="D2385" s="906" t="s">
        <v>229</v>
      </c>
      <c r="E2385" s="907">
        <f>DMT!$F$8</f>
        <v>150</v>
      </c>
      <c r="F2385" s="908">
        <f>VLOOKUP(D2383,'ENSAIOS DE ORÇAMENTO'!$C$5:$L$81,5,FALSE)</f>
        <v>1.55436</v>
      </c>
      <c r="G2385" s="949">
        <f t="shared" ref="G2385:G2386" si="656">IF(E2385&lt;=30,(1.07*E2385+2.68)*F2385,((1.07*30+2.68)+1.07*(E2385-30))*F2385)</f>
        <v>253.64046480000002</v>
      </c>
      <c r="H2385" s="901"/>
      <c r="I2385" s="901"/>
      <c r="J2385" s="902">
        <f t="shared" si="645"/>
        <v>0</v>
      </c>
      <c r="K2385" s="903"/>
      <c r="L2385" s="1039">
        <f>ROUND(SUM('RES. CENTRAL PARK:RUA_FINAL'!L2385),2)</f>
        <v>0</v>
      </c>
      <c r="M2385" s="1039">
        <f t="shared" si="631"/>
        <v>0</v>
      </c>
      <c r="N2385" s="893">
        <f t="shared" si="632"/>
        <v>0</v>
      </c>
      <c r="O2385" s="905"/>
      <c r="P2385" s="36" t="str">
        <f>IF(N2383&gt;0,"xx",IF(N2383&gt;0,"xy",""))</f>
        <v/>
      </c>
      <c r="Q2385" s="317" t="str">
        <f t="shared" si="650"/>
        <v/>
      </c>
      <c r="R2385" s="317" t="str">
        <f t="shared" si="651"/>
        <v/>
      </c>
      <c r="S2385" s="317" t="str">
        <f t="shared" si="652"/>
        <v/>
      </c>
      <c r="V2385" s="314">
        <f>SUM('RES. CENTRAL PARK:RUA_FINAL'!N2385)</f>
        <v>0</v>
      </c>
      <c r="W2385" s="315">
        <f t="shared" si="634"/>
        <v>0</v>
      </c>
    </row>
    <row r="2386" spans="1:23" ht="13.5" hidden="1" thickBot="1" x14ac:dyDescent="0.25">
      <c r="A2386" s="63" t="s">
        <v>147</v>
      </c>
      <c r="B2386" s="895" t="s">
        <v>147</v>
      </c>
      <c r="C2386" s="896"/>
      <c r="D2386" s="906" t="s">
        <v>233</v>
      </c>
      <c r="E2386" s="907">
        <f>DMT!$F$10</f>
        <v>0.2</v>
      </c>
      <c r="F2386" s="908">
        <f>VLOOKUP(D2383,'ENSAIOS DE ORÇAMENTO'!$C$5:$L$81,6,FALSE)</f>
        <v>2.9078100000000004</v>
      </c>
      <c r="G2386" s="949">
        <f t="shared" si="656"/>
        <v>8.4152021400000017</v>
      </c>
      <c r="H2386" s="901"/>
      <c r="I2386" s="901"/>
      <c r="J2386" s="902">
        <f t="shared" si="645"/>
        <v>0</v>
      </c>
      <c r="K2386" s="903"/>
      <c r="L2386" s="1039">
        <f>ROUND(SUM('RES. CENTRAL PARK:RUA_FINAL'!L2386),2)</f>
        <v>0</v>
      </c>
      <c r="M2386" s="1039">
        <f t="shared" ref="M2386:M2449" si="657">IF(L2386=0,0,ROUND(J2386,2))</f>
        <v>0</v>
      </c>
      <c r="N2386" s="893">
        <f t="shared" ref="N2386:N2449" si="658">IF(ISBLANK(L2386),0,ROUND(L2386*M2386,2))</f>
        <v>0</v>
      </c>
      <c r="O2386" s="905"/>
      <c r="P2386" s="36" t="str">
        <f>IF(N2383&gt;0,"xx",IF(N2383&gt;0,"xy",""))</f>
        <v/>
      </c>
      <c r="Q2386" s="317" t="str">
        <f t="shared" si="650"/>
        <v/>
      </c>
      <c r="R2386" s="317" t="str">
        <f t="shared" si="651"/>
        <v/>
      </c>
      <c r="S2386" s="317" t="str">
        <f t="shared" si="652"/>
        <v/>
      </c>
      <c r="V2386" s="314">
        <f>SUM('RES. CENTRAL PARK:RUA_FINAL'!N2386)</f>
        <v>0</v>
      </c>
      <c r="W2386" s="315">
        <f t="shared" si="634"/>
        <v>0</v>
      </c>
    </row>
    <row r="2387" spans="1:23" ht="13.5" hidden="1" thickBot="1" x14ac:dyDescent="0.25">
      <c r="A2387" s="63" t="s">
        <v>46</v>
      </c>
      <c r="B2387" s="895" t="s">
        <v>46</v>
      </c>
      <c r="C2387" s="896" t="s">
        <v>184</v>
      </c>
      <c r="D2387" s="906" t="s">
        <v>391</v>
      </c>
      <c r="E2387" s="907"/>
      <c r="F2387" s="908"/>
      <c r="G2387" s="912">
        <f>SUM(G2388:G2390)</f>
        <v>440.73125189999996</v>
      </c>
      <c r="H2387" s="901">
        <v>1174.8399999999999</v>
      </c>
      <c r="I2387" s="901">
        <f>IF(ISBLANK(H2387),"",SUM(G2387:H2387))</f>
        <v>1615.5712518999999</v>
      </c>
      <c r="J2387" s="902">
        <f t="shared" si="645"/>
        <v>1939.82</v>
      </c>
      <c r="K2387" s="903" t="s">
        <v>15</v>
      </c>
      <c r="L2387" s="1039">
        <f>ROUND(SUM('RES. CENTRAL PARK:RUA_FINAL'!L2387),2)</f>
        <v>0</v>
      </c>
      <c r="M2387" s="1039">
        <f t="shared" si="657"/>
        <v>0</v>
      </c>
      <c r="N2387" s="893">
        <f t="shared" si="658"/>
        <v>0</v>
      </c>
      <c r="O2387" s="905"/>
      <c r="Q2387" s="317" t="str">
        <f t="shared" si="650"/>
        <v/>
      </c>
      <c r="R2387" s="317" t="str">
        <f t="shared" si="651"/>
        <v/>
      </c>
      <c r="S2387" s="317" t="str">
        <f t="shared" si="652"/>
        <v/>
      </c>
      <c r="V2387" s="314">
        <f>SUM('RES. CENTRAL PARK:RUA_FINAL'!N2387)</f>
        <v>0</v>
      </c>
      <c r="W2387" s="315">
        <f t="shared" si="634"/>
        <v>0</v>
      </c>
    </row>
    <row r="2388" spans="1:23" ht="13.5" hidden="1" thickBot="1" x14ac:dyDescent="0.25">
      <c r="A2388" s="63" t="s">
        <v>147</v>
      </c>
      <c r="B2388" s="895" t="s">
        <v>147</v>
      </c>
      <c r="C2388" s="896"/>
      <c r="D2388" s="906" t="s">
        <v>190</v>
      </c>
      <c r="E2388" s="907">
        <f>DMT!$D$20</f>
        <v>308</v>
      </c>
      <c r="F2388" s="908">
        <f>VLOOKUP(D2387,'ENSAIOS DE ORÇAMENTO'!$C$5:$L$81,4,FALSE)</f>
        <v>0.47295000000000004</v>
      </c>
      <c r="G2388" s="909">
        <f>IF(E2388&lt;=30,(0.78*E2388+7.82)*F2388,((0.78*30+7.82)+0.78*(E2388-30))*F2388)</f>
        <v>117.31997700000001</v>
      </c>
      <c r="H2388" s="901"/>
      <c r="I2388" s="901"/>
      <c r="J2388" s="902">
        <f t="shared" si="645"/>
        <v>0</v>
      </c>
      <c r="K2388" s="903"/>
      <c r="L2388" s="1039">
        <f>ROUND(SUM('RES. CENTRAL PARK:RUA_FINAL'!L2388),2)</f>
        <v>0</v>
      </c>
      <c r="M2388" s="1039">
        <f t="shared" si="657"/>
        <v>0</v>
      </c>
      <c r="N2388" s="893">
        <f t="shared" si="658"/>
        <v>0</v>
      </c>
      <c r="O2388" s="905"/>
      <c r="P2388" s="36" t="str">
        <f>IF(N2387&gt;0,"xx",IF(N2387&gt;0,"xy",""))</f>
        <v/>
      </c>
      <c r="Q2388" s="317" t="str">
        <f t="shared" si="650"/>
        <v/>
      </c>
      <c r="R2388" s="317" t="str">
        <f t="shared" si="651"/>
        <v/>
      </c>
      <c r="S2388" s="317" t="str">
        <f t="shared" si="652"/>
        <v/>
      </c>
      <c r="V2388" s="314">
        <f>SUM('RES. CENTRAL PARK:RUA_FINAL'!N2388)</f>
        <v>0</v>
      </c>
      <c r="W2388" s="315">
        <f t="shared" si="634"/>
        <v>0</v>
      </c>
    </row>
    <row r="2389" spans="1:23" ht="13.5" hidden="1" thickBot="1" x14ac:dyDescent="0.25">
      <c r="A2389" s="63" t="s">
        <v>147</v>
      </c>
      <c r="B2389" s="895" t="s">
        <v>147</v>
      </c>
      <c r="C2389" s="896"/>
      <c r="D2389" s="906" t="s">
        <v>229</v>
      </c>
      <c r="E2389" s="907">
        <f>DMT!$F$8</f>
        <v>150</v>
      </c>
      <c r="F2389" s="908">
        <f>VLOOKUP(D2387,'ENSAIOS DE ORÇAMENTO'!$C$5:$L$81,5,FALSE)</f>
        <v>1.9178999999999999</v>
      </c>
      <c r="G2389" s="949">
        <f t="shared" ref="G2389:G2390" si="659">IF(E2389&lt;=30,(1.07*E2389+2.68)*F2389,((1.07*30+2.68)+1.07*(E2389-30))*F2389)</f>
        <v>312.96292199999999</v>
      </c>
      <c r="H2389" s="901"/>
      <c r="I2389" s="901"/>
      <c r="J2389" s="902">
        <f t="shared" si="645"/>
        <v>0</v>
      </c>
      <c r="K2389" s="903"/>
      <c r="L2389" s="1039">
        <f>ROUND(SUM('RES. CENTRAL PARK:RUA_FINAL'!L2389),2)</f>
        <v>0</v>
      </c>
      <c r="M2389" s="1039">
        <f t="shared" si="657"/>
        <v>0</v>
      </c>
      <c r="N2389" s="893">
        <f t="shared" si="658"/>
        <v>0</v>
      </c>
      <c r="O2389" s="905"/>
      <c r="P2389" s="36" t="str">
        <f>IF(N2387&gt;0,"xx",IF(N2387&gt;0,"xy",""))</f>
        <v/>
      </c>
      <c r="Q2389" s="317" t="str">
        <f t="shared" si="650"/>
        <v/>
      </c>
      <c r="R2389" s="317" t="str">
        <f t="shared" si="651"/>
        <v/>
      </c>
      <c r="S2389" s="317" t="str">
        <f t="shared" si="652"/>
        <v/>
      </c>
      <c r="V2389" s="314">
        <f>SUM('RES. CENTRAL PARK:RUA_FINAL'!N2389)</f>
        <v>0</v>
      </c>
      <c r="W2389" s="315">
        <f t="shared" ref="W2389:W2452" si="660">N2389-V2389</f>
        <v>0</v>
      </c>
    </row>
    <row r="2390" spans="1:23" ht="13.5" hidden="1" thickBot="1" x14ac:dyDescent="0.25">
      <c r="A2390" s="63" t="s">
        <v>147</v>
      </c>
      <c r="B2390" s="895" t="s">
        <v>147</v>
      </c>
      <c r="C2390" s="896"/>
      <c r="D2390" s="906" t="s">
        <v>233</v>
      </c>
      <c r="E2390" s="907">
        <f>DMT!$F$10</f>
        <v>0.2</v>
      </c>
      <c r="F2390" s="908">
        <f>VLOOKUP(D2387,'ENSAIOS DE ORÇAMENTO'!$C$5:$L$81,6,FALSE)</f>
        <v>3.6103500000000004</v>
      </c>
      <c r="G2390" s="949">
        <f t="shared" si="659"/>
        <v>10.448352900000001</v>
      </c>
      <c r="H2390" s="901"/>
      <c r="I2390" s="901"/>
      <c r="J2390" s="902">
        <f t="shared" si="645"/>
        <v>0</v>
      </c>
      <c r="K2390" s="903"/>
      <c r="L2390" s="1039">
        <f>ROUND(SUM('RES. CENTRAL PARK:RUA_FINAL'!L2390),2)</f>
        <v>0</v>
      </c>
      <c r="M2390" s="1039">
        <f t="shared" si="657"/>
        <v>0</v>
      </c>
      <c r="N2390" s="893">
        <f t="shared" si="658"/>
        <v>0</v>
      </c>
      <c r="O2390" s="905"/>
      <c r="P2390" s="36" t="str">
        <f>IF(N2387&gt;0,"xx",IF(N2387&gt;0,"xy",""))</f>
        <v/>
      </c>
      <c r="Q2390" s="317" t="str">
        <f t="shared" si="650"/>
        <v/>
      </c>
      <c r="R2390" s="317" t="str">
        <f t="shared" si="651"/>
        <v/>
      </c>
      <c r="S2390" s="317" t="str">
        <f t="shared" si="652"/>
        <v/>
      </c>
      <c r="V2390" s="314">
        <f>SUM('RES. CENTRAL PARK:RUA_FINAL'!N2390)</f>
        <v>0</v>
      </c>
      <c r="W2390" s="315">
        <f t="shared" si="660"/>
        <v>0</v>
      </c>
    </row>
    <row r="2391" spans="1:23" ht="13.5" hidden="1" thickBot="1" x14ac:dyDescent="0.25">
      <c r="A2391" s="63" t="s">
        <v>46</v>
      </c>
      <c r="B2391" s="895" t="s">
        <v>46</v>
      </c>
      <c r="C2391" s="896" t="s">
        <v>184</v>
      </c>
      <c r="D2391" s="906" t="s">
        <v>392</v>
      </c>
      <c r="E2391" s="907"/>
      <c r="F2391" s="908"/>
      <c r="G2391" s="912">
        <f>SUM(G2392:G2394)</f>
        <v>703.49586032000002</v>
      </c>
      <c r="H2391" s="901">
        <v>1839.37</v>
      </c>
      <c r="I2391" s="901">
        <f>IF(ISBLANK(H2391),"",SUM(G2391:H2391))</f>
        <v>2542.8658603200001</v>
      </c>
      <c r="J2391" s="902">
        <f t="shared" si="645"/>
        <v>3053.22</v>
      </c>
      <c r="K2391" s="903" t="s">
        <v>15</v>
      </c>
      <c r="L2391" s="1039">
        <f>ROUND(SUM('RES. CENTRAL PARK:RUA_FINAL'!L2391),2)</f>
        <v>0</v>
      </c>
      <c r="M2391" s="1039">
        <f t="shared" si="657"/>
        <v>0</v>
      </c>
      <c r="N2391" s="893">
        <f t="shared" si="658"/>
        <v>0</v>
      </c>
      <c r="O2391" s="905"/>
      <c r="Q2391" s="317" t="str">
        <f t="shared" si="650"/>
        <v/>
      </c>
      <c r="R2391" s="317" t="str">
        <f t="shared" si="651"/>
        <v/>
      </c>
      <c r="S2391" s="317" t="str">
        <f t="shared" si="652"/>
        <v/>
      </c>
      <c r="V2391" s="314">
        <f>SUM('RES. CENTRAL PARK:RUA_FINAL'!N2391)</f>
        <v>0</v>
      </c>
      <c r="W2391" s="315">
        <f t="shared" si="660"/>
        <v>0</v>
      </c>
    </row>
    <row r="2392" spans="1:23" ht="13.5" hidden="1" thickBot="1" x14ac:dyDescent="0.25">
      <c r="A2392" s="63" t="s">
        <v>147</v>
      </c>
      <c r="B2392" s="895" t="s">
        <v>147</v>
      </c>
      <c r="C2392" s="896"/>
      <c r="D2392" s="906" t="s">
        <v>190</v>
      </c>
      <c r="E2392" s="907">
        <f>DMT!$D$20</f>
        <v>308</v>
      </c>
      <c r="F2392" s="908">
        <f>VLOOKUP(D2391,'ENSAIOS DE ORÇAMENTO'!$C$5:$L$81,4,FALSE)</f>
        <v>0.75196000000000007</v>
      </c>
      <c r="G2392" s="909">
        <f>IF(E2392&lt;=30,(0.78*E2392+7.82)*F2392,((0.78*30+7.82)+0.78*(E2392-30))*F2392)</f>
        <v>186.53119760000001</v>
      </c>
      <c r="H2392" s="901"/>
      <c r="I2392" s="901"/>
      <c r="J2392" s="902">
        <f t="shared" si="645"/>
        <v>0</v>
      </c>
      <c r="K2392" s="903"/>
      <c r="L2392" s="1039">
        <f>ROUND(SUM('RES. CENTRAL PARK:RUA_FINAL'!L2392),2)</f>
        <v>0</v>
      </c>
      <c r="M2392" s="1039">
        <f t="shared" si="657"/>
        <v>0</v>
      </c>
      <c r="N2392" s="893">
        <f t="shared" si="658"/>
        <v>0</v>
      </c>
      <c r="O2392" s="905"/>
      <c r="P2392" s="36" t="str">
        <f>IF(N2391&gt;0,"xx",IF(N2391&gt;0,"xy",""))</f>
        <v/>
      </c>
      <c r="Q2392" s="317" t="str">
        <f t="shared" si="650"/>
        <v/>
      </c>
      <c r="R2392" s="317" t="str">
        <f t="shared" si="651"/>
        <v/>
      </c>
      <c r="S2392" s="317" t="str">
        <f t="shared" si="652"/>
        <v/>
      </c>
      <c r="V2392" s="314">
        <f>SUM('RES. CENTRAL PARK:RUA_FINAL'!N2392)</f>
        <v>0</v>
      </c>
      <c r="W2392" s="315">
        <f t="shared" si="660"/>
        <v>0</v>
      </c>
    </row>
    <row r="2393" spans="1:23" ht="13.5" hidden="1" thickBot="1" x14ac:dyDescent="0.25">
      <c r="A2393" s="63" t="s">
        <v>147</v>
      </c>
      <c r="B2393" s="895" t="s">
        <v>147</v>
      </c>
      <c r="C2393" s="896"/>
      <c r="D2393" s="906" t="s">
        <v>229</v>
      </c>
      <c r="E2393" s="907">
        <f>DMT!$F$8</f>
        <v>150</v>
      </c>
      <c r="F2393" s="908">
        <f>VLOOKUP(D2391,'ENSAIOS DE ORÇAMENTO'!$C$5:$L$81,5,FALSE)</f>
        <v>3.0643799999999999</v>
      </c>
      <c r="G2393" s="949">
        <f t="shared" ref="G2393:G2394" si="661">IF(E2393&lt;=30,(1.07*E2393+2.68)*F2393,((1.07*30+2.68)+1.07*(E2393-30))*F2393)</f>
        <v>500.04552840000002</v>
      </c>
      <c r="H2393" s="901"/>
      <c r="I2393" s="901"/>
      <c r="J2393" s="902">
        <f t="shared" si="645"/>
        <v>0</v>
      </c>
      <c r="K2393" s="903"/>
      <c r="L2393" s="1039">
        <f>ROUND(SUM('RES. CENTRAL PARK:RUA_FINAL'!L2393),2)</f>
        <v>0</v>
      </c>
      <c r="M2393" s="1039">
        <f t="shared" si="657"/>
        <v>0</v>
      </c>
      <c r="N2393" s="893">
        <f t="shared" si="658"/>
        <v>0</v>
      </c>
      <c r="O2393" s="905"/>
      <c r="P2393" s="36" t="str">
        <f>IF(N2391&gt;0,"xx",IF(N2391&gt;0,"xy",""))</f>
        <v/>
      </c>
      <c r="Q2393" s="317" t="str">
        <f t="shared" si="650"/>
        <v/>
      </c>
      <c r="R2393" s="317" t="str">
        <f t="shared" si="651"/>
        <v/>
      </c>
      <c r="S2393" s="317" t="str">
        <f t="shared" si="652"/>
        <v/>
      </c>
      <c r="V2393" s="314">
        <f>SUM('RES. CENTRAL PARK:RUA_FINAL'!N2393)</f>
        <v>0</v>
      </c>
      <c r="W2393" s="315">
        <f t="shared" si="660"/>
        <v>0</v>
      </c>
    </row>
    <row r="2394" spans="1:23" ht="13.5" hidden="1" thickBot="1" x14ac:dyDescent="0.25">
      <c r="A2394" s="63" t="s">
        <v>147</v>
      </c>
      <c r="B2394" s="895" t="s">
        <v>147</v>
      </c>
      <c r="C2394" s="896"/>
      <c r="D2394" s="906" t="s">
        <v>233</v>
      </c>
      <c r="E2394" s="907">
        <f>DMT!$F$10</f>
        <v>0.2</v>
      </c>
      <c r="F2394" s="908">
        <f>VLOOKUP(D2391,'ENSAIOS DE ORÇAMENTO'!$C$5:$L$81,6,FALSE)</f>
        <v>5.8462800000000001</v>
      </c>
      <c r="G2394" s="949">
        <f t="shared" si="661"/>
        <v>16.919134320000001</v>
      </c>
      <c r="H2394" s="901"/>
      <c r="I2394" s="901"/>
      <c r="J2394" s="902">
        <f t="shared" si="645"/>
        <v>0</v>
      </c>
      <c r="K2394" s="903"/>
      <c r="L2394" s="1039">
        <f>ROUND(SUM('RES. CENTRAL PARK:RUA_FINAL'!L2394),2)</f>
        <v>0</v>
      </c>
      <c r="M2394" s="1039">
        <f t="shared" si="657"/>
        <v>0</v>
      </c>
      <c r="N2394" s="893">
        <f t="shared" si="658"/>
        <v>0</v>
      </c>
      <c r="O2394" s="905"/>
      <c r="P2394" s="36" t="str">
        <f>IF(N2391&gt;0,"xx",IF(N2391&gt;0,"xy",""))</f>
        <v/>
      </c>
      <c r="Q2394" s="317" t="str">
        <f t="shared" si="650"/>
        <v/>
      </c>
      <c r="R2394" s="317" t="str">
        <f t="shared" si="651"/>
        <v/>
      </c>
      <c r="S2394" s="317" t="str">
        <f t="shared" si="652"/>
        <v/>
      </c>
      <c r="V2394" s="314">
        <f>SUM('RES. CENTRAL PARK:RUA_FINAL'!N2394)</f>
        <v>0</v>
      </c>
      <c r="W2394" s="315">
        <f t="shared" si="660"/>
        <v>0</v>
      </c>
    </row>
    <row r="2395" spans="1:23" ht="13.5" hidden="1" thickBot="1" x14ac:dyDescent="0.25">
      <c r="A2395" s="63" t="s">
        <v>46</v>
      </c>
      <c r="B2395" s="895" t="s">
        <v>46</v>
      </c>
      <c r="C2395" s="896" t="s">
        <v>184</v>
      </c>
      <c r="D2395" s="906" t="s">
        <v>144</v>
      </c>
      <c r="E2395" s="907"/>
      <c r="F2395" s="908"/>
      <c r="G2395" s="912">
        <f>SUM(G2396:G2398)</f>
        <v>1019.8430484200001</v>
      </c>
      <c r="H2395" s="901">
        <v>2627.65</v>
      </c>
      <c r="I2395" s="901">
        <f>IF(ISBLANK(H2395),"",SUM(G2395:H2395))</f>
        <v>3647.4930484200004</v>
      </c>
      <c r="J2395" s="902">
        <f t="shared" si="645"/>
        <v>4379.54</v>
      </c>
      <c r="K2395" s="903" t="s">
        <v>15</v>
      </c>
      <c r="L2395" s="1039">
        <f>ROUND(SUM('RES. CENTRAL PARK:RUA_FINAL'!L2395),2)</f>
        <v>0</v>
      </c>
      <c r="M2395" s="1039">
        <f t="shared" si="657"/>
        <v>0</v>
      </c>
      <c r="N2395" s="893">
        <f t="shared" si="658"/>
        <v>0</v>
      </c>
      <c r="O2395" s="905"/>
      <c r="Q2395" s="317" t="str">
        <f t="shared" si="650"/>
        <v/>
      </c>
      <c r="R2395" s="317" t="str">
        <f t="shared" si="651"/>
        <v/>
      </c>
      <c r="S2395" s="317" t="str">
        <f t="shared" si="652"/>
        <v/>
      </c>
      <c r="V2395" s="314">
        <f>SUM('RES. CENTRAL PARK:RUA_FINAL'!N2395)</f>
        <v>0</v>
      </c>
      <c r="W2395" s="315">
        <f t="shared" si="660"/>
        <v>0</v>
      </c>
    </row>
    <row r="2396" spans="1:23" ht="13.5" hidden="1" thickBot="1" x14ac:dyDescent="0.25">
      <c r="A2396" s="63" t="s">
        <v>147</v>
      </c>
      <c r="B2396" s="895" t="s">
        <v>147</v>
      </c>
      <c r="C2396" s="896"/>
      <c r="D2396" s="906" t="s">
        <v>190</v>
      </c>
      <c r="E2396" s="907">
        <f>DMT!$D$20</f>
        <v>308</v>
      </c>
      <c r="F2396" s="908">
        <f>VLOOKUP(D2395,'ENSAIOS DE ORÇAMENTO'!$C$5:$L$81,4,FALSE)</f>
        <v>1.08901</v>
      </c>
      <c r="G2396" s="909">
        <f>IF(E2396&lt;=30,(0.78*E2396+7.82)*F2396,((0.78*30+7.82)+0.78*(E2396-30))*F2396)</f>
        <v>270.13982060000001</v>
      </c>
      <c r="H2396" s="901"/>
      <c r="I2396" s="901"/>
      <c r="J2396" s="902">
        <f t="shared" si="645"/>
        <v>0</v>
      </c>
      <c r="K2396" s="903"/>
      <c r="L2396" s="1039">
        <f>ROUND(SUM('RES. CENTRAL PARK:RUA_FINAL'!L2396),2)</f>
        <v>0</v>
      </c>
      <c r="M2396" s="1039">
        <f t="shared" si="657"/>
        <v>0</v>
      </c>
      <c r="N2396" s="893">
        <f t="shared" si="658"/>
        <v>0</v>
      </c>
      <c r="O2396" s="905"/>
      <c r="P2396" s="36" t="str">
        <f>IF(N2395&gt;0,"xx",IF(N2395&gt;0,"xy",""))</f>
        <v/>
      </c>
      <c r="Q2396" s="317" t="str">
        <f t="shared" si="650"/>
        <v/>
      </c>
      <c r="R2396" s="317" t="str">
        <f t="shared" si="651"/>
        <v/>
      </c>
      <c r="S2396" s="317" t="str">
        <f t="shared" si="652"/>
        <v/>
      </c>
      <c r="V2396" s="314">
        <f>SUM('RES. CENTRAL PARK:RUA_FINAL'!N2396)</f>
        <v>0</v>
      </c>
      <c r="W2396" s="315">
        <f t="shared" si="660"/>
        <v>0</v>
      </c>
    </row>
    <row r="2397" spans="1:23" ht="13.5" hidden="1" thickBot="1" x14ac:dyDescent="0.25">
      <c r="A2397" s="63" t="s">
        <v>147</v>
      </c>
      <c r="B2397" s="895" t="s">
        <v>147</v>
      </c>
      <c r="C2397" s="896"/>
      <c r="D2397" s="906" t="s">
        <v>229</v>
      </c>
      <c r="E2397" s="907">
        <f>DMT!$F$8</f>
        <v>150</v>
      </c>
      <c r="F2397" s="908">
        <f>VLOOKUP(D2395,'ENSAIOS DE ORÇAMENTO'!$C$5:$L$81,5,FALSE)</f>
        <v>4.4434800000000001</v>
      </c>
      <c r="G2397" s="949">
        <f t="shared" ref="G2397:G2398" si="662">IF(E2397&lt;=30,(1.07*E2397+2.68)*F2397,((1.07*30+2.68)+1.07*(E2397-30))*F2397)</f>
        <v>725.08706640000003</v>
      </c>
      <c r="H2397" s="901"/>
      <c r="I2397" s="901"/>
      <c r="J2397" s="902">
        <f t="shared" si="645"/>
        <v>0</v>
      </c>
      <c r="K2397" s="903"/>
      <c r="L2397" s="1039">
        <f>ROUND(SUM('RES. CENTRAL PARK:RUA_FINAL'!L2397),2)</f>
        <v>0</v>
      </c>
      <c r="M2397" s="1039">
        <f t="shared" si="657"/>
        <v>0</v>
      </c>
      <c r="N2397" s="893">
        <f t="shared" si="658"/>
        <v>0</v>
      </c>
      <c r="O2397" s="905"/>
      <c r="P2397" s="36" t="str">
        <f>IF(N2395&gt;0,"xx",IF(N2395&gt;0,"xy",""))</f>
        <v/>
      </c>
      <c r="Q2397" s="317" t="str">
        <f t="shared" si="650"/>
        <v/>
      </c>
      <c r="R2397" s="317" t="str">
        <f t="shared" si="651"/>
        <v/>
      </c>
      <c r="S2397" s="317" t="str">
        <f t="shared" si="652"/>
        <v/>
      </c>
      <c r="V2397" s="314">
        <f>SUM('RES. CENTRAL PARK:RUA_FINAL'!N2397)</f>
        <v>0</v>
      </c>
      <c r="W2397" s="315">
        <f t="shared" si="660"/>
        <v>0</v>
      </c>
    </row>
    <row r="2398" spans="1:23" ht="13.5" hidden="1" thickBot="1" x14ac:dyDescent="0.25">
      <c r="A2398" s="63" t="s">
        <v>147</v>
      </c>
      <c r="B2398" s="895" t="s">
        <v>147</v>
      </c>
      <c r="C2398" s="896"/>
      <c r="D2398" s="906" t="s">
        <v>233</v>
      </c>
      <c r="E2398" s="907">
        <f>DMT!$F$10</f>
        <v>0.2</v>
      </c>
      <c r="F2398" s="908">
        <f>VLOOKUP(D2395,'ENSAIOS DE ORÇAMENTO'!$C$5:$L$81,6,FALSE)</f>
        <v>8.5059300000000011</v>
      </c>
      <c r="G2398" s="949">
        <f t="shared" si="662"/>
        <v>24.616161420000005</v>
      </c>
      <c r="H2398" s="901"/>
      <c r="I2398" s="901"/>
      <c r="J2398" s="902">
        <f t="shared" ref="J2398:J2455" si="663">IF(ISBLANK(H2398),0,ROUND(I2398*(1+$E$10),2))</f>
        <v>0</v>
      </c>
      <c r="K2398" s="903"/>
      <c r="L2398" s="1039">
        <f>ROUND(SUM('RES. CENTRAL PARK:RUA_FINAL'!L2398),2)</f>
        <v>0</v>
      </c>
      <c r="M2398" s="1039">
        <f t="shared" si="657"/>
        <v>0</v>
      </c>
      <c r="N2398" s="893">
        <f t="shared" si="658"/>
        <v>0</v>
      </c>
      <c r="O2398" s="905"/>
      <c r="P2398" s="36" t="str">
        <f>IF(N2395&gt;0,"xx",IF(N2395&gt;0,"xy",""))</f>
        <v/>
      </c>
      <c r="Q2398" s="317" t="str">
        <f t="shared" si="650"/>
        <v/>
      </c>
      <c r="R2398" s="317" t="str">
        <f t="shared" si="651"/>
        <v/>
      </c>
      <c r="S2398" s="317" t="str">
        <f t="shared" si="652"/>
        <v/>
      </c>
      <c r="V2398" s="314">
        <f>SUM('RES. CENTRAL PARK:RUA_FINAL'!N2398)</f>
        <v>0</v>
      </c>
      <c r="W2398" s="315">
        <f t="shared" si="660"/>
        <v>0</v>
      </c>
    </row>
    <row r="2399" spans="1:23" ht="13.5" hidden="1" thickBot="1" x14ac:dyDescent="0.25">
      <c r="A2399" s="63" t="s">
        <v>46</v>
      </c>
      <c r="B2399" s="895" t="s">
        <v>46</v>
      </c>
      <c r="C2399" s="896" t="s">
        <v>184</v>
      </c>
      <c r="D2399" s="906" t="s">
        <v>145</v>
      </c>
      <c r="E2399" s="907"/>
      <c r="F2399" s="908"/>
      <c r="G2399" s="912">
        <f>SUM(G2400:G2402)</f>
        <v>1383.5639504200001</v>
      </c>
      <c r="H2399" s="901">
        <v>3538.55</v>
      </c>
      <c r="I2399" s="901">
        <f>IF(ISBLANK(H2399),"",SUM(G2399:H2399))</f>
        <v>4922.11395042</v>
      </c>
      <c r="J2399" s="902">
        <f t="shared" si="663"/>
        <v>5909.98</v>
      </c>
      <c r="K2399" s="903" t="s">
        <v>15</v>
      </c>
      <c r="L2399" s="1039">
        <f>ROUND(SUM('RES. CENTRAL PARK:RUA_FINAL'!L2399),2)</f>
        <v>0</v>
      </c>
      <c r="M2399" s="1039">
        <f t="shared" si="657"/>
        <v>0</v>
      </c>
      <c r="N2399" s="893">
        <f t="shared" si="658"/>
        <v>0</v>
      </c>
      <c r="O2399" s="905"/>
      <c r="Q2399" s="317" t="str">
        <f t="shared" si="650"/>
        <v/>
      </c>
      <c r="R2399" s="317" t="str">
        <f t="shared" si="651"/>
        <v/>
      </c>
      <c r="S2399" s="317" t="str">
        <f t="shared" si="652"/>
        <v/>
      </c>
      <c r="V2399" s="314">
        <f>SUM('RES. CENTRAL PARK:RUA_FINAL'!N2399)</f>
        <v>0</v>
      </c>
      <c r="W2399" s="315">
        <f t="shared" si="660"/>
        <v>0</v>
      </c>
    </row>
    <row r="2400" spans="1:23" ht="13.5" hidden="1" thickBot="1" x14ac:dyDescent="0.25">
      <c r="A2400" s="63" t="s">
        <v>147</v>
      </c>
      <c r="B2400" s="895" t="s">
        <v>147</v>
      </c>
      <c r="C2400" s="896"/>
      <c r="D2400" s="906" t="s">
        <v>190</v>
      </c>
      <c r="E2400" s="907">
        <f>DMT!$D$20</f>
        <v>308</v>
      </c>
      <c r="F2400" s="908">
        <f>VLOOKUP(D2399,'ENSAIOS DE ORÇAMENTO'!$C$5:$L$81,4,FALSE)</f>
        <v>1.4740100000000003</v>
      </c>
      <c r="G2400" s="909">
        <f>IF(E2400&lt;=30,(0.78*E2400+7.82)*F2400,((0.78*30+7.82)+0.78*(E2400-30))*F2400)</f>
        <v>365.64292060000008</v>
      </c>
      <c r="H2400" s="901"/>
      <c r="I2400" s="901"/>
      <c r="J2400" s="902">
        <f t="shared" si="663"/>
        <v>0</v>
      </c>
      <c r="K2400" s="903"/>
      <c r="L2400" s="1039">
        <f>ROUND(SUM('RES. CENTRAL PARK:RUA_FINAL'!L2400),2)</f>
        <v>0</v>
      </c>
      <c r="M2400" s="1039">
        <f t="shared" si="657"/>
        <v>0</v>
      </c>
      <c r="N2400" s="893">
        <f t="shared" si="658"/>
        <v>0</v>
      </c>
      <c r="O2400" s="905"/>
      <c r="P2400" s="36" t="str">
        <f>IF(N2399&gt;0,"xx",IF(N2399&gt;0,"xy",""))</f>
        <v/>
      </c>
      <c r="Q2400" s="317" t="str">
        <f t="shared" si="650"/>
        <v/>
      </c>
      <c r="R2400" s="317" t="str">
        <f t="shared" si="651"/>
        <v/>
      </c>
      <c r="S2400" s="317" t="str">
        <f t="shared" si="652"/>
        <v/>
      </c>
      <c r="V2400" s="314">
        <f>SUM('RES. CENTRAL PARK:RUA_FINAL'!N2400)</f>
        <v>0</v>
      </c>
      <c r="W2400" s="315">
        <f t="shared" si="660"/>
        <v>0</v>
      </c>
    </row>
    <row r="2401" spans="1:23" ht="13.5" hidden="1" thickBot="1" x14ac:dyDescent="0.25">
      <c r="A2401" s="63" t="s">
        <v>147</v>
      </c>
      <c r="B2401" s="895" t="s">
        <v>147</v>
      </c>
      <c r="C2401" s="896"/>
      <c r="D2401" s="906" t="s">
        <v>229</v>
      </c>
      <c r="E2401" s="907">
        <f>DMT!$F$8</f>
        <v>150</v>
      </c>
      <c r="F2401" s="908">
        <f>VLOOKUP(D2399,'ENSAIOS DE ORÇAMENTO'!$C$5:$L$81,5,FALSE)</f>
        <v>6.0316799999999997</v>
      </c>
      <c r="G2401" s="949">
        <f t="shared" ref="G2401:G2402" si="664">IF(E2401&lt;=30,(1.07*E2401+2.68)*F2401,((1.07*30+2.68)+1.07*(E2401-30))*F2401)</f>
        <v>984.2495424</v>
      </c>
      <c r="H2401" s="901"/>
      <c r="I2401" s="901"/>
      <c r="J2401" s="902">
        <f t="shared" si="663"/>
        <v>0</v>
      </c>
      <c r="K2401" s="903"/>
      <c r="L2401" s="1039">
        <f>ROUND(SUM('RES. CENTRAL PARK:RUA_FINAL'!L2401),2)</f>
        <v>0</v>
      </c>
      <c r="M2401" s="1039">
        <f t="shared" si="657"/>
        <v>0</v>
      </c>
      <c r="N2401" s="893">
        <f t="shared" si="658"/>
        <v>0</v>
      </c>
      <c r="O2401" s="905"/>
      <c r="P2401" s="36" t="str">
        <f>IF(N2399&gt;0,"xx",IF(N2399&gt;0,"xy",""))</f>
        <v/>
      </c>
      <c r="Q2401" s="317" t="str">
        <f t="shared" si="650"/>
        <v/>
      </c>
      <c r="R2401" s="317" t="str">
        <f t="shared" si="651"/>
        <v/>
      </c>
      <c r="S2401" s="317" t="str">
        <f t="shared" si="652"/>
        <v/>
      </c>
      <c r="V2401" s="314">
        <f>SUM('RES. CENTRAL PARK:RUA_FINAL'!N2401)</f>
        <v>0</v>
      </c>
      <c r="W2401" s="315">
        <f t="shared" si="660"/>
        <v>0</v>
      </c>
    </row>
    <row r="2402" spans="1:23" ht="13.5" hidden="1" thickBot="1" x14ac:dyDescent="0.25">
      <c r="A2402" s="63" t="s">
        <v>147</v>
      </c>
      <c r="B2402" s="895" t="s">
        <v>147</v>
      </c>
      <c r="C2402" s="896"/>
      <c r="D2402" s="906" t="s">
        <v>233</v>
      </c>
      <c r="E2402" s="907">
        <f>DMT!$F$10</f>
        <v>0.2</v>
      </c>
      <c r="F2402" s="908">
        <f>VLOOKUP(D2399,'ENSAIOS DE ORÇAMENTO'!$C$5:$L$81,6,FALSE)</f>
        <v>11.634930000000001</v>
      </c>
      <c r="G2402" s="949">
        <f t="shared" si="664"/>
        <v>33.671487420000005</v>
      </c>
      <c r="H2402" s="901"/>
      <c r="I2402" s="901"/>
      <c r="J2402" s="902">
        <f t="shared" si="663"/>
        <v>0</v>
      </c>
      <c r="K2402" s="903"/>
      <c r="L2402" s="1039">
        <f>ROUND(SUM('RES. CENTRAL PARK:RUA_FINAL'!L2402),2)</f>
        <v>0</v>
      </c>
      <c r="M2402" s="1039">
        <f t="shared" si="657"/>
        <v>0</v>
      </c>
      <c r="N2402" s="893">
        <f t="shared" si="658"/>
        <v>0</v>
      </c>
      <c r="O2402" s="905"/>
      <c r="P2402" s="36" t="str">
        <f>IF(N2399&gt;0,"xx",IF(N2399&gt;0,"xy",""))</f>
        <v/>
      </c>
      <c r="Q2402" s="317" t="str">
        <f t="shared" si="650"/>
        <v/>
      </c>
      <c r="R2402" s="317" t="str">
        <f t="shared" si="651"/>
        <v/>
      </c>
      <c r="S2402" s="317" t="str">
        <f t="shared" si="652"/>
        <v/>
      </c>
      <c r="V2402" s="314">
        <f>SUM('RES. CENTRAL PARK:RUA_FINAL'!N2402)</f>
        <v>0</v>
      </c>
      <c r="W2402" s="315">
        <f t="shared" si="660"/>
        <v>0</v>
      </c>
    </row>
    <row r="2403" spans="1:23" ht="13.5" hidden="1" thickBot="1" x14ac:dyDescent="0.25">
      <c r="A2403" s="63" t="s">
        <v>46</v>
      </c>
      <c r="B2403" s="895" t="s">
        <v>46</v>
      </c>
      <c r="C2403" s="896" t="s">
        <v>184</v>
      </c>
      <c r="D2403" s="906" t="s">
        <v>146</v>
      </c>
      <c r="E2403" s="907"/>
      <c r="F2403" s="908"/>
      <c r="G2403" s="912">
        <f>SUM(G2404:G2406)</f>
        <v>2280.9863061400001</v>
      </c>
      <c r="H2403" s="901">
        <v>5739.62</v>
      </c>
      <c r="I2403" s="901">
        <f>IF(ISBLANK(H2403),"",SUM(G2403:H2403))</f>
        <v>8020.60630614</v>
      </c>
      <c r="J2403" s="902">
        <f t="shared" si="663"/>
        <v>9630.34</v>
      </c>
      <c r="K2403" s="903" t="s">
        <v>15</v>
      </c>
      <c r="L2403" s="1039">
        <f>ROUND(SUM('RES. CENTRAL PARK:RUA_FINAL'!L2403),2)</f>
        <v>0</v>
      </c>
      <c r="M2403" s="1039">
        <f t="shared" si="657"/>
        <v>0</v>
      </c>
      <c r="N2403" s="893">
        <f t="shared" si="658"/>
        <v>0</v>
      </c>
      <c r="O2403" s="905"/>
      <c r="Q2403" s="317" t="str">
        <f t="shared" si="650"/>
        <v/>
      </c>
      <c r="R2403" s="317" t="str">
        <f t="shared" si="651"/>
        <v/>
      </c>
      <c r="S2403" s="317" t="str">
        <f t="shared" si="652"/>
        <v/>
      </c>
      <c r="V2403" s="314">
        <f>SUM('RES. CENTRAL PARK:RUA_FINAL'!N2403)</f>
        <v>0</v>
      </c>
      <c r="W2403" s="315">
        <f t="shared" si="660"/>
        <v>0</v>
      </c>
    </row>
    <row r="2404" spans="1:23" ht="13.5" hidden="1" thickBot="1" x14ac:dyDescent="0.25">
      <c r="A2404" s="63" t="s">
        <v>147</v>
      </c>
      <c r="B2404" s="895" t="s">
        <v>147</v>
      </c>
      <c r="C2404" s="896"/>
      <c r="D2404" s="906" t="s">
        <v>190</v>
      </c>
      <c r="E2404" s="907">
        <f>DMT!$D$20</f>
        <v>308</v>
      </c>
      <c r="F2404" s="908">
        <f>VLOOKUP(D2403,'ENSAIOS DE ORÇAMENTO'!$C$5:$L$81,4,FALSE)</f>
        <v>2.41967</v>
      </c>
      <c r="G2404" s="909">
        <f>IF(E2404&lt;=30,(0.78*E2404+7.82)*F2404,((0.78*30+7.82)+0.78*(E2404-30))*F2404)</f>
        <v>600.22334020000005</v>
      </c>
      <c r="H2404" s="901"/>
      <c r="I2404" s="901"/>
      <c r="J2404" s="902">
        <f t="shared" si="663"/>
        <v>0</v>
      </c>
      <c r="K2404" s="903"/>
      <c r="L2404" s="1039">
        <f>ROUND(SUM('RES. CENTRAL PARK:RUA_FINAL'!L2404),2)</f>
        <v>0</v>
      </c>
      <c r="M2404" s="1039">
        <f t="shared" si="657"/>
        <v>0</v>
      </c>
      <c r="N2404" s="893">
        <f t="shared" si="658"/>
        <v>0</v>
      </c>
      <c r="O2404" s="905"/>
      <c r="P2404" s="36" t="str">
        <f>IF(N2403&gt;0,"xx",IF(N2403&gt;0,"xy",""))</f>
        <v/>
      </c>
      <c r="Q2404" s="317" t="str">
        <f t="shared" si="650"/>
        <v/>
      </c>
      <c r="R2404" s="317" t="str">
        <f t="shared" si="651"/>
        <v/>
      </c>
      <c r="S2404" s="317" t="str">
        <f t="shared" si="652"/>
        <v/>
      </c>
      <c r="V2404" s="314">
        <f>SUM('RES. CENTRAL PARK:RUA_FINAL'!N2404)</f>
        <v>0</v>
      </c>
      <c r="W2404" s="315">
        <f t="shared" si="660"/>
        <v>0</v>
      </c>
    </row>
    <row r="2405" spans="1:23" ht="13.5" hidden="1" thickBot="1" x14ac:dyDescent="0.25">
      <c r="A2405" s="63" t="s">
        <v>147</v>
      </c>
      <c r="B2405" s="895" t="s">
        <v>147</v>
      </c>
      <c r="C2405" s="896"/>
      <c r="D2405" s="906" t="s">
        <v>229</v>
      </c>
      <c r="E2405" s="907">
        <f>DMT!$F$8</f>
        <v>150</v>
      </c>
      <c r="F2405" s="908">
        <f>VLOOKUP(D2403,'ENSAIOS DE ORÇAMENTO'!$C$5:$L$81,5,FALSE)</f>
        <v>9.9546600000000005</v>
      </c>
      <c r="G2405" s="949">
        <f t="shared" ref="G2405:G2406" si="665">IF(E2405&lt;=30,(1.07*E2405+2.68)*F2405,((1.07*30+2.68)+1.07*(E2405-30))*F2405)</f>
        <v>1624.4014188000001</v>
      </c>
      <c r="H2405" s="901"/>
      <c r="I2405" s="901"/>
      <c r="J2405" s="902">
        <f t="shared" si="663"/>
        <v>0</v>
      </c>
      <c r="K2405" s="903"/>
      <c r="L2405" s="1039">
        <f>ROUND(SUM('RES. CENTRAL PARK:RUA_FINAL'!L2405),2)</f>
        <v>0</v>
      </c>
      <c r="M2405" s="1039">
        <f t="shared" si="657"/>
        <v>0</v>
      </c>
      <c r="N2405" s="893">
        <f t="shared" si="658"/>
        <v>0</v>
      </c>
      <c r="O2405" s="905"/>
      <c r="P2405" s="36" t="str">
        <f>IF(N2403&gt;0,"xx",IF(N2403&gt;0,"xy",""))</f>
        <v/>
      </c>
      <c r="Q2405" s="317" t="str">
        <f t="shared" si="650"/>
        <v/>
      </c>
      <c r="R2405" s="317" t="str">
        <f t="shared" si="651"/>
        <v/>
      </c>
      <c r="S2405" s="317" t="str">
        <f t="shared" si="652"/>
        <v/>
      </c>
      <c r="V2405" s="314">
        <f>SUM('RES. CENTRAL PARK:RUA_FINAL'!N2405)</f>
        <v>0</v>
      </c>
      <c r="W2405" s="315">
        <f t="shared" si="660"/>
        <v>0</v>
      </c>
    </row>
    <row r="2406" spans="1:23" ht="13.5" hidden="1" thickBot="1" x14ac:dyDescent="0.25">
      <c r="A2406" s="63" t="s">
        <v>147</v>
      </c>
      <c r="B2406" s="895" t="s">
        <v>147</v>
      </c>
      <c r="C2406" s="896"/>
      <c r="D2406" s="906" t="s">
        <v>233</v>
      </c>
      <c r="E2406" s="907">
        <f>DMT!$F$10</f>
        <v>0.2</v>
      </c>
      <c r="F2406" s="908">
        <f>VLOOKUP(D2403,'ENSAIOS DE ORÇAMENTO'!$C$5:$L$81,6,FALSE)</f>
        <v>19.47531</v>
      </c>
      <c r="G2406" s="949">
        <f t="shared" si="665"/>
        <v>56.361547140000006</v>
      </c>
      <c r="H2406" s="901"/>
      <c r="I2406" s="901"/>
      <c r="J2406" s="902">
        <f t="shared" si="663"/>
        <v>0</v>
      </c>
      <c r="K2406" s="903"/>
      <c r="L2406" s="1039">
        <f>ROUND(SUM('RES. CENTRAL PARK:RUA_FINAL'!L2406),2)</f>
        <v>0</v>
      </c>
      <c r="M2406" s="1039">
        <f t="shared" si="657"/>
        <v>0</v>
      </c>
      <c r="N2406" s="893">
        <f t="shared" si="658"/>
        <v>0</v>
      </c>
      <c r="O2406" s="905"/>
      <c r="P2406" s="36" t="str">
        <f>IF(N2403&gt;0,"xx",IF(N2403&gt;0,"xy",""))</f>
        <v/>
      </c>
      <c r="Q2406" s="317" t="str">
        <f t="shared" si="650"/>
        <v/>
      </c>
      <c r="R2406" s="317" t="str">
        <f t="shared" si="651"/>
        <v/>
      </c>
      <c r="S2406" s="317" t="str">
        <f t="shared" si="652"/>
        <v/>
      </c>
      <c r="V2406" s="314">
        <f>SUM('RES. CENTRAL PARK:RUA_FINAL'!N2406)</f>
        <v>0</v>
      </c>
      <c r="W2406" s="315">
        <f t="shared" si="660"/>
        <v>0</v>
      </c>
    </row>
    <row r="2407" spans="1:23" ht="13.5" hidden="1" thickBot="1" x14ac:dyDescent="0.25">
      <c r="A2407" s="63" t="s">
        <v>393</v>
      </c>
      <c r="B2407" s="895" t="s">
        <v>393</v>
      </c>
      <c r="C2407" s="896" t="s">
        <v>184</v>
      </c>
      <c r="D2407" s="906" t="str">
        <f>'ENSAIOS DE ORÇAMENTO'!C72</f>
        <v>ENSAIO DE ORÇAMENTO 1</v>
      </c>
      <c r="E2407" s="907"/>
      <c r="F2407" s="908"/>
      <c r="G2407" s="912">
        <f>SUM(G2408:G2412)</f>
        <v>0</v>
      </c>
      <c r="H2407" s="901">
        <v>0</v>
      </c>
      <c r="I2407" s="901">
        <f t="shared" ref="I2407:I2425" si="666">IF(ISBLANK(H2407),"",SUM(G2407:H2407))</f>
        <v>0</v>
      </c>
      <c r="J2407" s="902">
        <f t="shared" si="663"/>
        <v>0</v>
      </c>
      <c r="K2407" s="903" t="s">
        <v>15</v>
      </c>
      <c r="L2407" s="1039">
        <f>ROUND(SUM('RES. CENTRAL PARK:RUA_FINAL'!L2407),2)</f>
        <v>0</v>
      </c>
      <c r="M2407" s="1039">
        <f t="shared" si="657"/>
        <v>0</v>
      </c>
      <c r="N2407" s="893">
        <f t="shared" si="658"/>
        <v>0</v>
      </c>
      <c r="O2407" s="905"/>
      <c r="Q2407" s="317" t="str">
        <f t="shared" si="650"/>
        <v/>
      </c>
      <c r="R2407" s="317" t="str">
        <f t="shared" si="651"/>
        <v/>
      </c>
      <c r="S2407" s="317" t="str">
        <f t="shared" si="652"/>
        <v/>
      </c>
      <c r="V2407" s="314">
        <f>SUM('RES. CENTRAL PARK:RUA_FINAL'!N2407)</f>
        <v>0</v>
      </c>
      <c r="W2407" s="315">
        <f t="shared" si="660"/>
        <v>0</v>
      </c>
    </row>
    <row r="2408" spans="1:23" ht="13.5" hidden="1" thickBot="1" x14ac:dyDescent="0.25">
      <c r="A2408" s="63" t="s">
        <v>147</v>
      </c>
      <c r="B2408" s="895" t="s">
        <v>147</v>
      </c>
      <c r="C2408" s="896"/>
      <c r="D2408" s="957" t="s">
        <v>190</v>
      </c>
      <c r="E2408" s="907">
        <f>DMT!$D$20</f>
        <v>308</v>
      </c>
      <c r="F2408" s="908">
        <f>VLOOKUP(D2407,'ENSAIOS DE ORÇAMENTO'!$C$5:$L$81,4,FALSE)</f>
        <v>0</v>
      </c>
      <c r="G2408" s="909">
        <f>IF(E2408&lt;=30,(0.78*E2408+7.82)*F2408,((0.78*30+7.82)+0.78*(E2408-30))*F2408)</f>
        <v>0</v>
      </c>
      <c r="H2408" s="901"/>
      <c r="I2408" s="901" t="str">
        <f t="shared" si="666"/>
        <v/>
      </c>
      <c r="J2408" s="902">
        <f t="shared" si="663"/>
        <v>0</v>
      </c>
      <c r="K2408" s="958" t="s">
        <v>507</v>
      </c>
      <c r="L2408" s="1040">
        <f>ROUND(SUM('RES. CENTRAL PARK:RUA_FINAL'!L2408),2)</f>
        <v>0</v>
      </c>
      <c r="M2408" s="1041">
        <f t="shared" si="657"/>
        <v>0</v>
      </c>
      <c r="N2408" s="893">
        <f t="shared" si="658"/>
        <v>0</v>
      </c>
      <c r="O2408" s="905"/>
      <c r="P2408" s="58" t="str">
        <f>IF(N2407&gt;0,"xx",IF(N2407&gt;0,"xy",""))</f>
        <v/>
      </c>
      <c r="Q2408" s="317" t="str">
        <f t="shared" si="650"/>
        <v/>
      </c>
      <c r="R2408" s="317" t="str">
        <f t="shared" si="651"/>
        <v/>
      </c>
      <c r="S2408" s="317" t="str">
        <f t="shared" si="652"/>
        <v/>
      </c>
      <c r="V2408" s="314">
        <f>SUM('RES. CENTRAL PARK:RUA_FINAL'!N2408)</f>
        <v>0</v>
      </c>
      <c r="W2408" s="315">
        <f t="shared" si="660"/>
        <v>0</v>
      </c>
    </row>
    <row r="2409" spans="1:23" ht="13.5" hidden="1" thickBot="1" x14ac:dyDescent="0.25">
      <c r="A2409" s="63" t="s">
        <v>147</v>
      </c>
      <c r="B2409" s="895" t="s">
        <v>147</v>
      </c>
      <c r="C2409" s="896"/>
      <c r="D2409" s="957" t="s">
        <v>229</v>
      </c>
      <c r="E2409" s="907">
        <f>DMT!$F$8</f>
        <v>150</v>
      </c>
      <c r="F2409" s="908">
        <f>VLOOKUP(D2407,'ENSAIOS DE ORÇAMENTO'!$C$5:$L$81,5,FALSE)</f>
        <v>0</v>
      </c>
      <c r="G2409" s="949">
        <f t="shared" ref="G2409:G2411" si="667">IF(E2409&lt;=30,(1.07*E2409+2.68)*F2409,((1.07*30+2.68)+1.07*(E2409-30))*F2409)</f>
        <v>0</v>
      </c>
      <c r="H2409" s="901"/>
      <c r="I2409" s="901" t="str">
        <f t="shared" si="666"/>
        <v/>
      </c>
      <c r="J2409" s="902">
        <f t="shared" si="663"/>
        <v>0</v>
      </c>
      <c r="K2409" s="958" t="s">
        <v>507</v>
      </c>
      <c r="L2409" s="1040">
        <f>ROUND(SUM('RES. CENTRAL PARK:RUA_FINAL'!L2409),2)</f>
        <v>0</v>
      </c>
      <c r="M2409" s="1041">
        <f t="shared" si="657"/>
        <v>0</v>
      </c>
      <c r="N2409" s="893">
        <f t="shared" si="658"/>
        <v>0</v>
      </c>
      <c r="O2409" s="905"/>
      <c r="P2409" s="58" t="str">
        <f>IF(N2407&gt;0,"xx",IF(N2407&gt;0,"xy",""))</f>
        <v/>
      </c>
      <c r="Q2409" s="317" t="str">
        <f t="shared" si="650"/>
        <v/>
      </c>
      <c r="R2409" s="317" t="str">
        <f t="shared" si="651"/>
        <v/>
      </c>
      <c r="S2409" s="317" t="str">
        <f t="shared" si="652"/>
        <v/>
      </c>
      <c r="V2409" s="314">
        <f>SUM('RES. CENTRAL PARK:RUA_FINAL'!N2409)</f>
        <v>0</v>
      </c>
      <c r="W2409" s="315">
        <f t="shared" si="660"/>
        <v>0</v>
      </c>
    </row>
    <row r="2410" spans="1:23" ht="13.5" hidden="1" thickBot="1" x14ac:dyDescent="0.25">
      <c r="A2410" s="63" t="s">
        <v>147</v>
      </c>
      <c r="B2410" s="895" t="s">
        <v>147</v>
      </c>
      <c r="C2410" s="896"/>
      <c r="D2410" s="957" t="s">
        <v>233</v>
      </c>
      <c r="E2410" s="907">
        <f>DMT!$F$10</f>
        <v>0.2</v>
      </c>
      <c r="F2410" s="908">
        <f>VLOOKUP(D2407,'ENSAIOS DE ORÇAMENTO'!$C$5:$L$81,6,FALSE)</f>
        <v>0</v>
      </c>
      <c r="G2410" s="949">
        <f t="shared" si="667"/>
        <v>0</v>
      </c>
      <c r="H2410" s="901"/>
      <c r="I2410" s="901" t="str">
        <f t="shared" si="666"/>
        <v/>
      </c>
      <c r="J2410" s="902">
        <f t="shared" si="663"/>
        <v>0</v>
      </c>
      <c r="K2410" s="958" t="s">
        <v>507</v>
      </c>
      <c r="L2410" s="1040">
        <f>ROUND(SUM('RES. CENTRAL PARK:RUA_FINAL'!L2410),2)</f>
        <v>0</v>
      </c>
      <c r="M2410" s="1041">
        <f t="shared" si="657"/>
        <v>0</v>
      </c>
      <c r="N2410" s="893">
        <f t="shared" si="658"/>
        <v>0</v>
      </c>
      <c r="O2410" s="905"/>
      <c r="P2410" s="58" t="str">
        <f>IF(N2407&gt;0,"xx",IF(N2407&gt;0,"xy",""))</f>
        <v/>
      </c>
      <c r="Q2410" s="317" t="str">
        <f t="shared" si="650"/>
        <v/>
      </c>
      <c r="R2410" s="317" t="str">
        <f t="shared" si="651"/>
        <v/>
      </c>
      <c r="S2410" s="317" t="str">
        <f t="shared" si="652"/>
        <v/>
      </c>
      <c r="V2410" s="314">
        <f>SUM('RES. CENTRAL PARK:RUA_FINAL'!N2410)</f>
        <v>0</v>
      </c>
      <c r="W2410" s="315">
        <f t="shared" si="660"/>
        <v>0</v>
      </c>
    </row>
    <row r="2411" spans="1:23" ht="13.5" hidden="1" thickBot="1" x14ac:dyDescent="0.25">
      <c r="A2411" s="63" t="s">
        <v>147</v>
      </c>
      <c r="B2411" s="895" t="s">
        <v>147</v>
      </c>
      <c r="C2411" s="896"/>
      <c r="D2411" s="957" t="s">
        <v>365</v>
      </c>
      <c r="E2411" s="907">
        <f>DMT!$F$32</f>
        <v>10</v>
      </c>
      <c r="F2411" s="908">
        <f>VLOOKUP(D2407,'ENSAIOS DE ORÇAMENTO'!$C$5:$L$81,3,FALSE)</f>
        <v>0</v>
      </c>
      <c r="G2411" s="949">
        <f t="shared" si="667"/>
        <v>0</v>
      </c>
      <c r="H2411" s="901"/>
      <c r="I2411" s="901" t="str">
        <f t="shared" si="666"/>
        <v/>
      </c>
      <c r="J2411" s="902">
        <f t="shared" si="663"/>
        <v>0</v>
      </c>
      <c r="K2411" s="958" t="s">
        <v>507</v>
      </c>
      <c r="L2411" s="1040">
        <f>ROUND(SUM('RES. CENTRAL PARK:RUA_FINAL'!L2411),2)</f>
        <v>0</v>
      </c>
      <c r="M2411" s="1041">
        <f t="shared" si="657"/>
        <v>0</v>
      </c>
      <c r="N2411" s="893">
        <f t="shared" si="658"/>
        <v>0</v>
      </c>
      <c r="O2411" s="905"/>
      <c r="P2411" s="58" t="str">
        <f>IF(N2407&gt;0,"xx",IF(N2407&gt;0,"xy",""))</f>
        <v/>
      </c>
      <c r="Q2411" s="317" t="str">
        <f t="shared" si="650"/>
        <v/>
      </c>
      <c r="R2411" s="317" t="str">
        <f t="shared" si="651"/>
        <v/>
      </c>
      <c r="S2411" s="317" t="str">
        <f t="shared" si="652"/>
        <v/>
      </c>
      <c r="V2411" s="314">
        <f>SUM('RES. CENTRAL PARK:RUA_FINAL'!N2411)</f>
        <v>0</v>
      </c>
      <c r="W2411" s="315">
        <f t="shared" si="660"/>
        <v>0</v>
      </c>
    </row>
    <row r="2412" spans="1:23" ht="13.5" hidden="1" thickBot="1" x14ac:dyDescent="0.25">
      <c r="A2412" s="63" t="s">
        <v>147</v>
      </c>
      <c r="B2412" s="895" t="s">
        <v>147</v>
      </c>
      <c r="C2412" s="896"/>
      <c r="D2412" s="957" t="s">
        <v>366</v>
      </c>
      <c r="E2412" s="907">
        <f>DMT!$D$18</f>
        <v>353</v>
      </c>
      <c r="F2412" s="908">
        <f>VLOOKUP(D2407,'ENSAIOS DE ORÇAMENTO'!$C$5:$L$81,10,FALSE)</f>
        <v>0</v>
      </c>
      <c r="G2412" s="909">
        <f>IF(E2412&lt;=30,(0.78*E2412+7.82)*F2412,((0.78*30+7.82)+0.78*(E2412-30))*F2412)</f>
        <v>0</v>
      </c>
      <c r="H2412" s="901"/>
      <c r="I2412" s="901" t="str">
        <f t="shared" si="666"/>
        <v/>
      </c>
      <c r="J2412" s="902">
        <f t="shared" si="663"/>
        <v>0</v>
      </c>
      <c r="K2412" s="958" t="s">
        <v>507</v>
      </c>
      <c r="L2412" s="1040">
        <f>ROUND(SUM('RES. CENTRAL PARK:RUA_FINAL'!L2412),2)</f>
        <v>0</v>
      </c>
      <c r="M2412" s="1041">
        <f t="shared" si="657"/>
        <v>0</v>
      </c>
      <c r="N2412" s="893">
        <f t="shared" si="658"/>
        <v>0</v>
      </c>
      <c r="O2412" s="905"/>
      <c r="P2412" s="58" t="str">
        <f>IF(N2407&gt;0,"xx",IF(N2407&gt;0,"xy",""))</f>
        <v/>
      </c>
      <c r="Q2412" s="317" t="str">
        <f t="shared" si="650"/>
        <v/>
      </c>
      <c r="R2412" s="317" t="str">
        <f t="shared" si="651"/>
        <v/>
      </c>
      <c r="S2412" s="317" t="str">
        <f t="shared" si="652"/>
        <v/>
      </c>
      <c r="V2412" s="314">
        <f>SUM('RES. CENTRAL PARK:RUA_FINAL'!N2412)</f>
        <v>0</v>
      </c>
      <c r="W2412" s="315">
        <f t="shared" si="660"/>
        <v>0</v>
      </c>
    </row>
    <row r="2413" spans="1:23" ht="13.5" hidden="1" thickBot="1" x14ac:dyDescent="0.25">
      <c r="A2413" s="63" t="s">
        <v>394</v>
      </c>
      <c r="B2413" s="895" t="s">
        <v>394</v>
      </c>
      <c r="C2413" s="896" t="s">
        <v>184</v>
      </c>
      <c r="D2413" s="906" t="str">
        <f>'ENSAIOS DE ORÇAMENTO'!C73</f>
        <v>ENSAIO DE ORÇAMENTO 2</v>
      </c>
      <c r="E2413" s="907"/>
      <c r="F2413" s="908"/>
      <c r="G2413" s="912">
        <f>SUM(G2414:G2418)</f>
        <v>0</v>
      </c>
      <c r="H2413" s="901">
        <v>0</v>
      </c>
      <c r="I2413" s="901">
        <f t="shared" si="666"/>
        <v>0</v>
      </c>
      <c r="J2413" s="902">
        <f t="shared" si="663"/>
        <v>0</v>
      </c>
      <c r="K2413" s="903" t="s">
        <v>15</v>
      </c>
      <c r="L2413" s="1039">
        <f>ROUND(SUM('RES. CENTRAL PARK:RUA_FINAL'!L2413),2)</f>
        <v>0</v>
      </c>
      <c r="M2413" s="1039">
        <f t="shared" si="657"/>
        <v>0</v>
      </c>
      <c r="N2413" s="893">
        <f t="shared" si="658"/>
        <v>0</v>
      </c>
      <c r="O2413" s="905"/>
      <c r="Q2413" s="317" t="str">
        <f t="shared" si="650"/>
        <v/>
      </c>
      <c r="R2413" s="317" t="str">
        <f t="shared" si="651"/>
        <v/>
      </c>
      <c r="S2413" s="317" t="str">
        <f t="shared" si="652"/>
        <v/>
      </c>
      <c r="V2413" s="314">
        <f>SUM('RES. CENTRAL PARK:RUA_FINAL'!N2413)</f>
        <v>0</v>
      </c>
      <c r="W2413" s="315">
        <f t="shared" si="660"/>
        <v>0</v>
      </c>
    </row>
    <row r="2414" spans="1:23" ht="13.5" hidden="1" thickBot="1" x14ac:dyDescent="0.25">
      <c r="A2414" s="63" t="s">
        <v>147</v>
      </c>
      <c r="B2414" s="895" t="s">
        <v>147</v>
      </c>
      <c r="C2414" s="896"/>
      <c r="D2414" s="957" t="s">
        <v>190</v>
      </c>
      <c r="E2414" s="907">
        <f>DMT!$D$20</f>
        <v>308</v>
      </c>
      <c r="F2414" s="908">
        <f>VLOOKUP(D2413,'ENSAIOS DE ORÇAMENTO'!$C$5:$L$81,4,FALSE)</f>
        <v>0</v>
      </c>
      <c r="G2414" s="909">
        <f>IF(E2414&lt;=30,(0.78*E2414+7.82)*F2414,((0.78*30+7.82)+0.78*(E2414-30))*F2414)</f>
        <v>0</v>
      </c>
      <c r="H2414" s="901"/>
      <c r="I2414" s="901" t="str">
        <f t="shared" si="666"/>
        <v/>
      </c>
      <c r="J2414" s="902">
        <f t="shared" si="663"/>
        <v>0</v>
      </c>
      <c r="K2414" s="958" t="s">
        <v>507</v>
      </c>
      <c r="L2414" s="1040">
        <f>ROUND(SUM('RES. CENTRAL PARK:RUA_FINAL'!L2414),2)</f>
        <v>0</v>
      </c>
      <c r="M2414" s="1041">
        <f t="shared" si="657"/>
        <v>0</v>
      </c>
      <c r="N2414" s="893">
        <f t="shared" si="658"/>
        <v>0</v>
      </c>
      <c r="O2414" s="905"/>
      <c r="P2414" s="58" t="str">
        <f>IF(N2413&gt;0,"xx",IF(N2413&gt;0,"xy",""))</f>
        <v/>
      </c>
      <c r="Q2414" s="317" t="str">
        <f t="shared" si="650"/>
        <v/>
      </c>
      <c r="R2414" s="317" t="str">
        <f t="shared" si="651"/>
        <v/>
      </c>
      <c r="S2414" s="317" t="str">
        <f t="shared" si="652"/>
        <v/>
      </c>
      <c r="V2414" s="314">
        <f>SUM('RES. CENTRAL PARK:RUA_FINAL'!N2414)</f>
        <v>0</v>
      </c>
      <c r="W2414" s="315">
        <f t="shared" si="660"/>
        <v>0</v>
      </c>
    </row>
    <row r="2415" spans="1:23" ht="13.5" hidden="1" thickBot="1" x14ac:dyDescent="0.25">
      <c r="A2415" s="63" t="s">
        <v>147</v>
      </c>
      <c r="B2415" s="895" t="s">
        <v>147</v>
      </c>
      <c r="C2415" s="896"/>
      <c r="D2415" s="957" t="s">
        <v>229</v>
      </c>
      <c r="E2415" s="907">
        <f>DMT!$F$8</f>
        <v>150</v>
      </c>
      <c r="F2415" s="908">
        <f>VLOOKUP(D2413,'ENSAIOS DE ORÇAMENTO'!$C$5:$L$81,5,FALSE)</f>
        <v>0</v>
      </c>
      <c r="G2415" s="949">
        <f t="shared" ref="G2415:G2417" si="668">IF(E2415&lt;=30,(1.07*E2415+2.68)*F2415,((1.07*30+2.68)+1.07*(E2415-30))*F2415)</f>
        <v>0</v>
      </c>
      <c r="H2415" s="901"/>
      <c r="I2415" s="901" t="str">
        <f t="shared" si="666"/>
        <v/>
      </c>
      <c r="J2415" s="902">
        <f t="shared" si="663"/>
        <v>0</v>
      </c>
      <c r="K2415" s="958" t="s">
        <v>507</v>
      </c>
      <c r="L2415" s="1040">
        <f>ROUND(SUM('RES. CENTRAL PARK:RUA_FINAL'!L2415),2)</f>
        <v>0</v>
      </c>
      <c r="M2415" s="1041">
        <f t="shared" si="657"/>
        <v>0</v>
      </c>
      <c r="N2415" s="893">
        <f t="shared" si="658"/>
        <v>0</v>
      </c>
      <c r="O2415" s="905"/>
      <c r="P2415" s="58" t="str">
        <f>IF(N2413&gt;0,"xx",IF(N2413&gt;0,"xy",""))</f>
        <v/>
      </c>
      <c r="Q2415" s="317" t="str">
        <f t="shared" si="650"/>
        <v/>
      </c>
      <c r="R2415" s="317" t="str">
        <f t="shared" si="651"/>
        <v/>
      </c>
      <c r="S2415" s="317" t="str">
        <f t="shared" si="652"/>
        <v/>
      </c>
      <c r="V2415" s="314">
        <f>SUM('RES. CENTRAL PARK:RUA_FINAL'!N2415)</f>
        <v>0</v>
      </c>
      <c r="W2415" s="315">
        <f t="shared" si="660"/>
        <v>0</v>
      </c>
    </row>
    <row r="2416" spans="1:23" ht="13.5" hidden="1" thickBot="1" x14ac:dyDescent="0.25">
      <c r="A2416" s="63" t="s">
        <v>147</v>
      </c>
      <c r="B2416" s="895" t="s">
        <v>147</v>
      </c>
      <c r="C2416" s="896"/>
      <c r="D2416" s="957" t="s">
        <v>233</v>
      </c>
      <c r="E2416" s="907">
        <f>DMT!$F$10</f>
        <v>0.2</v>
      </c>
      <c r="F2416" s="908">
        <f>VLOOKUP(D2413,'ENSAIOS DE ORÇAMENTO'!$C$5:$L$81,6,FALSE)</f>
        <v>0</v>
      </c>
      <c r="G2416" s="949">
        <f t="shared" si="668"/>
        <v>0</v>
      </c>
      <c r="H2416" s="901"/>
      <c r="I2416" s="901" t="str">
        <f t="shared" si="666"/>
        <v/>
      </c>
      <c r="J2416" s="902">
        <f t="shared" si="663"/>
        <v>0</v>
      </c>
      <c r="K2416" s="958" t="s">
        <v>507</v>
      </c>
      <c r="L2416" s="1040">
        <f>ROUND(SUM('RES. CENTRAL PARK:RUA_FINAL'!L2416),2)</f>
        <v>0</v>
      </c>
      <c r="M2416" s="1041">
        <f t="shared" si="657"/>
        <v>0</v>
      </c>
      <c r="N2416" s="893">
        <f t="shared" si="658"/>
        <v>0</v>
      </c>
      <c r="O2416" s="905"/>
      <c r="P2416" s="58" t="str">
        <f>IF(N2413&gt;0,"xx",IF(N2413&gt;0,"xy",""))</f>
        <v/>
      </c>
      <c r="Q2416" s="317" t="str">
        <f t="shared" ref="Q2416:Q2479" si="669">IF(P2416="X","x",IF(P2416="xx","x",IF(P2416="xy","x",IF(P2416="y","x",IF(OR(N2416&gt;0,N2416&gt;0),"x","")))))</f>
        <v/>
      </c>
      <c r="R2416" s="317" t="str">
        <f t="shared" ref="R2416:R2479" si="670">IF(P2416="X","x",IF(P2416="y","x",IF(P2416="xx","x",IF(N2416&gt;0,"x",""))))</f>
        <v/>
      </c>
      <c r="S2416" s="317" t="str">
        <f t="shared" ref="S2416:S2479" si="671">IF(P2416="X","x",IF(N2416&gt;0,"x",""))</f>
        <v/>
      </c>
      <c r="V2416" s="314">
        <f>SUM('RES. CENTRAL PARK:RUA_FINAL'!N2416)</f>
        <v>0</v>
      </c>
      <c r="W2416" s="315">
        <f t="shared" si="660"/>
        <v>0</v>
      </c>
    </row>
    <row r="2417" spans="1:23" ht="13.5" hidden="1" thickBot="1" x14ac:dyDescent="0.25">
      <c r="A2417" s="63" t="s">
        <v>147</v>
      </c>
      <c r="B2417" s="895" t="s">
        <v>147</v>
      </c>
      <c r="C2417" s="896"/>
      <c r="D2417" s="957" t="s">
        <v>365</v>
      </c>
      <c r="E2417" s="907">
        <f>DMT!$F$32</f>
        <v>10</v>
      </c>
      <c r="F2417" s="908">
        <f>VLOOKUP(D2413,'ENSAIOS DE ORÇAMENTO'!$C$5:$L$81,3,FALSE)</f>
        <v>0</v>
      </c>
      <c r="G2417" s="949">
        <f t="shared" si="668"/>
        <v>0</v>
      </c>
      <c r="H2417" s="901"/>
      <c r="I2417" s="901" t="str">
        <f t="shared" si="666"/>
        <v/>
      </c>
      <c r="J2417" s="902">
        <f t="shared" si="663"/>
        <v>0</v>
      </c>
      <c r="K2417" s="958" t="s">
        <v>507</v>
      </c>
      <c r="L2417" s="1040">
        <f>ROUND(SUM('RES. CENTRAL PARK:RUA_FINAL'!L2417),2)</f>
        <v>0</v>
      </c>
      <c r="M2417" s="1041">
        <f t="shared" si="657"/>
        <v>0</v>
      </c>
      <c r="N2417" s="893">
        <f t="shared" si="658"/>
        <v>0</v>
      </c>
      <c r="O2417" s="905"/>
      <c r="P2417" s="58" t="str">
        <f>IF(N2413&gt;0,"xx",IF(N2413&gt;0,"xy",""))</f>
        <v/>
      </c>
      <c r="Q2417" s="317" t="str">
        <f t="shared" si="669"/>
        <v/>
      </c>
      <c r="R2417" s="317" t="str">
        <f t="shared" si="670"/>
        <v/>
      </c>
      <c r="S2417" s="317" t="str">
        <f t="shared" si="671"/>
        <v/>
      </c>
      <c r="V2417" s="314">
        <f>SUM('RES. CENTRAL PARK:RUA_FINAL'!N2417)</f>
        <v>0</v>
      </c>
      <c r="W2417" s="315">
        <f t="shared" si="660"/>
        <v>0</v>
      </c>
    </row>
    <row r="2418" spans="1:23" ht="13.5" hidden="1" thickBot="1" x14ac:dyDescent="0.25">
      <c r="A2418" s="63" t="s">
        <v>147</v>
      </c>
      <c r="B2418" s="895" t="s">
        <v>147</v>
      </c>
      <c r="C2418" s="896"/>
      <c r="D2418" s="957" t="s">
        <v>366</v>
      </c>
      <c r="E2418" s="907">
        <f>DMT!$D$18</f>
        <v>353</v>
      </c>
      <c r="F2418" s="908">
        <f>VLOOKUP(D2413,'ENSAIOS DE ORÇAMENTO'!$C$5:$L$81,10,FALSE)</f>
        <v>0</v>
      </c>
      <c r="G2418" s="909">
        <f>IF(E2418&lt;=30,(0.78*E2418+7.82)*F2418,((0.78*30+7.82)+0.78*(E2418-30))*F2418)</f>
        <v>0</v>
      </c>
      <c r="H2418" s="901"/>
      <c r="I2418" s="901" t="str">
        <f t="shared" si="666"/>
        <v/>
      </c>
      <c r="J2418" s="902">
        <f t="shared" si="663"/>
        <v>0</v>
      </c>
      <c r="K2418" s="958" t="s">
        <v>507</v>
      </c>
      <c r="L2418" s="1040">
        <f>ROUND(SUM('RES. CENTRAL PARK:RUA_FINAL'!L2418),2)</f>
        <v>0</v>
      </c>
      <c r="M2418" s="1041">
        <f t="shared" si="657"/>
        <v>0</v>
      </c>
      <c r="N2418" s="893">
        <f t="shared" si="658"/>
        <v>0</v>
      </c>
      <c r="O2418" s="905"/>
      <c r="P2418" s="58" t="str">
        <f>IF(N2413&gt;0,"xx",IF(N2413&gt;0,"xy",""))</f>
        <v/>
      </c>
      <c r="Q2418" s="317" t="str">
        <f t="shared" si="669"/>
        <v/>
      </c>
      <c r="R2418" s="317" t="str">
        <f t="shared" si="670"/>
        <v/>
      </c>
      <c r="S2418" s="317" t="str">
        <f t="shared" si="671"/>
        <v/>
      </c>
      <c r="V2418" s="314">
        <f>SUM('RES. CENTRAL PARK:RUA_FINAL'!N2418)</f>
        <v>0</v>
      </c>
      <c r="W2418" s="315">
        <f t="shared" si="660"/>
        <v>0</v>
      </c>
    </row>
    <row r="2419" spans="1:23" ht="13.5" hidden="1" thickBot="1" x14ac:dyDescent="0.25">
      <c r="A2419" s="63" t="s">
        <v>395</v>
      </c>
      <c r="B2419" s="895" t="s">
        <v>395</v>
      </c>
      <c r="C2419" s="896" t="s">
        <v>184</v>
      </c>
      <c r="D2419" s="906" t="str">
        <f>'ENSAIOS DE ORÇAMENTO'!C74</f>
        <v>ENSAIO DE ORÇAMENTO 3</v>
      </c>
      <c r="E2419" s="907"/>
      <c r="F2419" s="908"/>
      <c r="G2419" s="912">
        <f>SUM(G2420:G2424)</f>
        <v>0</v>
      </c>
      <c r="H2419" s="901">
        <v>0</v>
      </c>
      <c r="I2419" s="901">
        <f t="shared" si="666"/>
        <v>0</v>
      </c>
      <c r="J2419" s="902">
        <f t="shared" si="663"/>
        <v>0</v>
      </c>
      <c r="K2419" s="903" t="s">
        <v>15</v>
      </c>
      <c r="L2419" s="1039">
        <f>ROUND(SUM('RES. CENTRAL PARK:RUA_FINAL'!L2419),2)</f>
        <v>0</v>
      </c>
      <c r="M2419" s="1039">
        <f t="shared" si="657"/>
        <v>0</v>
      </c>
      <c r="N2419" s="893">
        <f t="shared" si="658"/>
        <v>0</v>
      </c>
      <c r="O2419" s="905"/>
      <c r="Q2419" s="317" t="str">
        <f t="shared" si="669"/>
        <v/>
      </c>
      <c r="R2419" s="317" t="str">
        <f t="shared" si="670"/>
        <v/>
      </c>
      <c r="S2419" s="317" t="str">
        <f t="shared" si="671"/>
        <v/>
      </c>
      <c r="V2419" s="314">
        <f>SUM('RES. CENTRAL PARK:RUA_FINAL'!N2419)</f>
        <v>0</v>
      </c>
      <c r="W2419" s="315">
        <f t="shared" si="660"/>
        <v>0</v>
      </c>
    </row>
    <row r="2420" spans="1:23" ht="13.5" hidden="1" thickBot="1" x14ac:dyDescent="0.25">
      <c r="A2420" s="63" t="s">
        <v>147</v>
      </c>
      <c r="B2420" s="895" t="s">
        <v>147</v>
      </c>
      <c r="C2420" s="896"/>
      <c r="D2420" s="957" t="s">
        <v>190</v>
      </c>
      <c r="E2420" s="907">
        <f>DMT!$D$20</f>
        <v>308</v>
      </c>
      <c r="F2420" s="908">
        <f>VLOOKUP(D2419,'ENSAIOS DE ORÇAMENTO'!$C$5:$L$81,4,FALSE)</f>
        <v>0</v>
      </c>
      <c r="G2420" s="909">
        <f>IF(E2420&lt;=30,(0.78*E2420+7.82)*F2420,((0.78*30+7.82)+0.78*(E2420-30))*F2420)</f>
        <v>0</v>
      </c>
      <c r="H2420" s="901"/>
      <c r="I2420" s="901" t="str">
        <f t="shared" si="666"/>
        <v/>
      </c>
      <c r="J2420" s="902">
        <f t="shared" si="663"/>
        <v>0</v>
      </c>
      <c r="K2420" s="958" t="s">
        <v>507</v>
      </c>
      <c r="L2420" s="1040">
        <f>ROUND(SUM('RES. CENTRAL PARK:RUA_FINAL'!L2420),2)</f>
        <v>0</v>
      </c>
      <c r="M2420" s="1041">
        <f t="shared" si="657"/>
        <v>0</v>
      </c>
      <c r="N2420" s="893">
        <f t="shared" si="658"/>
        <v>0</v>
      </c>
      <c r="O2420" s="905"/>
      <c r="P2420" s="58" t="str">
        <f>IF(N2419&gt;0,"xx",IF(N2419&gt;0,"xy",""))</f>
        <v/>
      </c>
      <c r="Q2420" s="317" t="str">
        <f t="shared" si="669"/>
        <v/>
      </c>
      <c r="R2420" s="317" t="str">
        <f t="shared" si="670"/>
        <v/>
      </c>
      <c r="S2420" s="317" t="str">
        <f t="shared" si="671"/>
        <v/>
      </c>
      <c r="V2420" s="314">
        <f>SUM('RES. CENTRAL PARK:RUA_FINAL'!N2420)</f>
        <v>0</v>
      </c>
      <c r="W2420" s="315">
        <f t="shared" si="660"/>
        <v>0</v>
      </c>
    </row>
    <row r="2421" spans="1:23" ht="13.5" hidden="1" thickBot="1" x14ac:dyDescent="0.25">
      <c r="A2421" s="63" t="s">
        <v>147</v>
      </c>
      <c r="B2421" s="895" t="s">
        <v>147</v>
      </c>
      <c r="C2421" s="896"/>
      <c r="D2421" s="957" t="s">
        <v>229</v>
      </c>
      <c r="E2421" s="907">
        <f>DMT!$F$8</f>
        <v>150</v>
      </c>
      <c r="F2421" s="908">
        <f>VLOOKUP(D2419,'ENSAIOS DE ORÇAMENTO'!$C$5:$L$81,5,FALSE)</f>
        <v>0</v>
      </c>
      <c r="G2421" s="949">
        <f t="shared" ref="G2421:G2423" si="672">IF(E2421&lt;=30,(1.07*E2421+2.68)*F2421,((1.07*30+2.68)+1.07*(E2421-30))*F2421)</f>
        <v>0</v>
      </c>
      <c r="H2421" s="901"/>
      <c r="I2421" s="901" t="str">
        <f t="shared" si="666"/>
        <v/>
      </c>
      <c r="J2421" s="902">
        <f t="shared" si="663"/>
        <v>0</v>
      </c>
      <c r="K2421" s="958" t="s">
        <v>507</v>
      </c>
      <c r="L2421" s="1040">
        <f>ROUND(SUM('RES. CENTRAL PARK:RUA_FINAL'!L2421),2)</f>
        <v>0</v>
      </c>
      <c r="M2421" s="1041">
        <f t="shared" si="657"/>
        <v>0</v>
      </c>
      <c r="N2421" s="893">
        <f t="shared" si="658"/>
        <v>0</v>
      </c>
      <c r="O2421" s="905"/>
      <c r="P2421" s="58" t="str">
        <f>IF(N2419&gt;0,"xx",IF(N2419&gt;0,"xy",""))</f>
        <v/>
      </c>
      <c r="Q2421" s="317" t="str">
        <f t="shared" si="669"/>
        <v/>
      </c>
      <c r="R2421" s="317" t="str">
        <f t="shared" si="670"/>
        <v/>
      </c>
      <c r="S2421" s="317" t="str">
        <f t="shared" si="671"/>
        <v/>
      </c>
      <c r="V2421" s="314">
        <f>SUM('RES. CENTRAL PARK:RUA_FINAL'!N2421)</f>
        <v>0</v>
      </c>
      <c r="W2421" s="315">
        <f t="shared" si="660"/>
        <v>0</v>
      </c>
    </row>
    <row r="2422" spans="1:23" ht="13.5" hidden="1" thickBot="1" x14ac:dyDescent="0.25">
      <c r="A2422" s="63" t="s">
        <v>147</v>
      </c>
      <c r="B2422" s="895" t="s">
        <v>147</v>
      </c>
      <c r="C2422" s="896"/>
      <c r="D2422" s="957" t="s">
        <v>233</v>
      </c>
      <c r="E2422" s="907">
        <f>DMT!$F$10</f>
        <v>0.2</v>
      </c>
      <c r="F2422" s="908">
        <f>VLOOKUP(D2419,'ENSAIOS DE ORÇAMENTO'!$C$5:$L$81,6,FALSE)</f>
        <v>0</v>
      </c>
      <c r="G2422" s="949">
        <f t="shared" si="672"/>
        <v>0</v>
      </c>
      <c r="H2422" s="901"/>
      <c r="I2422" s="901" t="str">
        <f t="shared" si="666"/>
        <v/>
      </c>
      <c r="J2422" s="902">
        <f t="shared" si="663"/>
        <v>0</v>
      </c>
      <c r="K2422" s="958" t="s">
        <v>507</v>
      </c>
      <c r="L2422" s="1040">
        <f>ROUND(SUM('RES. CENTRAL PARK:RUA_FINAL'!L2422),2)</f>
        <v>0</v>
      </c>
      <c r="M2422" s="1041">
        <f t="shared" si="657"/>
        <v>0</v>
      </c>
      <c r="N2422" s="893">
        <f t="shared" si="658"/>
        <v>0</v>
      </c>
      <c r="O2422" s="905"/>
      <c r="P2422" s="58" t="str">
        <f>IF(N2419&gt;0,"xx",IF(N2419&gt;0,"xy",""))</f>
        <v/>
      </c>
      <c r="Q2422" s="317" t="str">
        <f t="shared" si="669"/>
        <v/>
      </c>
      <c r="R2422" s="317" t="str">
        <f t="shared" si="670"/>
        <v/>
      </c>
      <c r="S2422" s="317" t="str">
        <f t="shared" si="671"/>
        <v/>
      </c>
      <c r="V2422" s="314">
        <f>SUM('RES. CENTRAL PARK:RUA_FINAL'!N2422)</f>
        <v>0</v>
      </c>
      <c r="W2422" s="315">
        <f t="shared" si="660"/>
        <v>0</v>
      </c>
    </row>
    <row r="2423" spans="1:23" ht="13.5" hidden="1" thickBot="1" x14ac:dyDescent="0.25">
      <c r="A2423" s="63" t="s">
        <v>147</v>
      </c>
      <c r="B2423" s="895" t="s">
        <v>147</v>
      </c>
      <c r="C2423" s="896"/>
      <c r="D2423" s="957" t="s">
        <v>365</v>
      </c>
      <c r="E2423" s="907">
        <f>DMT!$F$32</f>
        <v>10</v>
      </c>
      <c r="F2423" s="908">
        <f>VLOOKUP(D2419,'ENSAIOS DE ORÇAMENTO'!$C$5:$L$81,3,FALSE)</f>
        <v>0</v>
      </c>
      <c r="G2423" s="949">
        <f t="shared" si="672"/>
        <v>0</v>
      </c>
      <c r="H2423" s="901"/>
      <c r="I2423" s="901" t="str">
        <f t="shared" si="666"/>
        <v/>
      </c>
      <c r="J2423" s="902">
        <f t="shared" si="663"/>
        <v>0</v>
      </c>
      <c r="K2423" s="958" t="s">
        <v>507</v>
      </c>
      <c r="L2423" s="1040">
        <f>ROUND(SUM('RES. CENTRAL PARK:RUA_FINAL'!L2423),2)</f>
        <v>0</v>
      </c>
      <c r="M2423" s="1041">
        <f t="shared" si="657"/>
        <v>0</v>
      </c>
      <c r="N2423" s="893">
        <f t="shared" si="658"/>
        <v>0</v>
      </c>
      <c r="O2423" s="905"/>
      <c r="P2423" s="58" t="str">
        <f>IF(N2419&gt;0,"xx",IF(N2419&gt;0,"xy",""))</f>
        <v/>
      </c>
      <c r="Q2423" s="317" t="str">
        <f t="shared" si="669"/>
        <v/>
      </c>
      <c r="R2423" s="317" t="str">
        <f t="shared" si="670"/>
        <v/>
      </c>
      <c r="S2423" s="317" t="str">
        <f t="shared" si="671"/>
        <v/>
      </c>
      <c r="V2423" s="314">
        <f>SUM('RES. CENTRAL PARK:RUA_FINAL'!N2423)</f>
        <v>0</v>
      </c>
      <c r="W2423" s="315">
        <f t="shared" si="660"/>
        <v>0</v>
      </c>
    </row>
    <row r="2424" spans="1:23" ht="13.5" hidden="1" thickBot="1" x14ac:dyDescent="0.25">
      <c r="A2424" s="63" t="s">
        <v>147</v>
      </c>
      <c r="B2424" s="895" t="s">
        <v>147</v>
      </c>
      <c r="C2424" s="896"/>
      <c r="D2424" s="957" t="s">
        <v>366</v>
      </c>
      <c r="E2424" s="907">
        <f>DMT!$D$18</f>
        <v>353</v>
      </c>
      <c r="F2424" s="908">
        <f>VLOOKUP(D2419,'ENSAIOS DE ORÇAMENTO'!$C$5:$L$81,10,FALSE)</f>
        <v>0</v>
      </c>
      <c r="G2424" s="909">
        <f>IF(E2424&lt;=30,(0.78*E2424+7.82)*F2424,((0.78*30+7.82)+0.78*(E2424-30))*F2424)</f>
        <v>0</v>
      </c>
      <c r="H2424" s="901"/>
      <c r="I2424" s="901" t="str">
        <f t="shared" si="666"/>
        <v/>
      </c>
      <c r="J2424" s="902">
        <f t="shared" si="663"/>
        <v>0</v>
      </c>
      <c r="K2424" s="958" t="s">
        <v>507</v>
      </c>
      <c r="L2424" s="1040">
        <f>ROUND(SUM('RES. CENTRAL PARK:RUA_FINAL'!L2424),2)</f>
        <v>0</v>
      </c>
      <c r="M2424" s="1041">
        <f t="shared" si="657"/>
        <v>0</v>
      </c>
      <c r="N2424" s="893">
        <f t="shared" si="658"/>
        <v>0</v>
      </c>
      <c r="O2424" s="905"/>
      <c r="P2424" s="58" t="str">
        <f>IF(N2419&gt;0,"xx",IF(N2419&gt;0,"xy",""))</f>
        <v/>
      </c>
      <c r="Q2424" s="317" t="str">
        <f t="shared" si="669"/>
        <v/>
      </c>
      <c r="R2424" s="317" t="str">
        <f t="shared" si="670"/>
        <v/>
      </c>
      <c r="S2424" s="317" t="str">
        <f t="shared" si="671"/>
        <v/>
      </c>
      <c r="V2424" s="314">
        <f>SUM('RES. CENTRAL PARK:RUA_FINAL'!N2424)</f>
        <v>0</v>
      </c>
      <c r="W2424" s="315">
        <f t="shared" si="660"/>
        <v>0</v>
      </c>
    </row>
    <row r="2425" spans="1:23" ht="13.5" hidden="1" thickBot="1" x14ac:dyDescent="0.25">
      <c r="A2425" s="63" t="s">
        <v>396</v>
      </c>
      <c r="B2425" s="895" t="s">
        <v>396</v>
      </c>
      <c r="C2425" s="896" t="s">
        <v>184</v>
      </c>
      <c r="D2425" s="906" t="str">
        <f>'ENSAIOS DE ORÇAMENTO'!C75</f>
        <v>ENSAIO DE ORÇAMENTO 4</v>
      </c>
      <c r="E2425" s="907"/>
      <c r="F2425" s="908"/>
      <c r="G2425" s="912">
        <f>SUM(G2426:G2430)</f>
        <v>0</v>
      </c>
      <c r="H2425" s="901">
        <v>0</v>
      </c>
      <c r="I2425" s="901">
        <f t="shared" si="666"/>
        <v>0</v>
      </c>
      <c r="J2425" s="902">
        <f t="shared" si="663"/>
        <v>0</v>
      </c>
      <c r="K2425" s="903" t="s">
        <v>15</v>
      </c>
      <c r="L2425" s="1039">
        <f>ROUND(SUM('RES. CENTRAL PARK:RUA_FINAL'!L2425),2)</f>
        <v>0</v>
      </c>
      <c r="M2425" s="1039">
        <f t="shared" si="657"/>
        <v>0</v>
      </c>
      <c r="N2425" s="893">
        <f t="shared" si="658"/>
        <v>0</v>
      </c>
      <c r="O2425" s="905"/>
      <c r="Q2425" s="317" t="str">
        <f t="shared" si="669"/>
        <v/>
      </c>
      <c r="R2425" s="317" t="str">
        <f t="shared" si="670"/>
        <v/>
      </c>
      <c r="S2425" s="317" t="str">
        <f t="shared" si="671"/>
        <v/>
      </c>
      <c r="V2425" s="314">
        <f>SUM('RES. CENTRAL PARK:RUA_FINAL'!N2425)</f>
        <v>0</v>
      </c>
      <c r="W2425" s="315">
        <f t="shared" si="660"/>
        <v>0</v>
      </c>
    </row>
    <row r="2426" spans="1:23" ht="13.5" hidden="1" thickBot="1" x14ac:dyDescent="0.25">
      <c r="A2426" s="63" t="s">
        <v>147</v>
      </c>
      <c r="B2426" s="895" t="s">
        <v>147</v>
      </c>
      <c r="C2426" s="896"/>
      <c r="D2426" s="957" t="s">
        <v>190</v>
      </c>
      <c r="E2426" s="907">
        <f>DMT!$D$20</f>
        <v>308</v>
      </c>
      <c r="F2426" s="908">
        <f>VLOOKUP(D2425,'ENSAIOS DE ORÇAMENTO'!$C$5:$L$81,4,FALSE)</f>
        <v>0</v>
      </c>
      <c r="G2426" s="909">
        <f>IF(E2426&lt;=30,(0.78*E2426+7.82)*F2426,((0.78*30+7.82)+0.78*(E2426-30))*F2426)</f>
        <v>0</v>
      </c>
      <c r="H2426" s="901"/>
      <c r="I2426" s="901" t="str">
        <f t="shared" ref="I2426:I2465" si="673">IF(ISBLANK(H2426),"",SUM(G2426:H2426))</f>
        <v/>
      </c>
      <c r="J2426" s="902">
        <f t="shared" si="663"/>
        <v>0</v>
      </c>
      <c r="K2426" s="958" t="s">
        <v>507</v>
      </c>
      <c r="L2426" s="1040">
        <f>ROUND(SUM('RES. CENTRAL PARK:RUA_FINAL'!L2426),2)</f>
        <v>0</v>
      </c>
      <c r="M2426" s="1041">
        <f t="shared" si="657"/>
        <v>0</v>
      </c>
      <c r="N2426" s="893">
        <f t="shared" si="658"/>
        <v>0</v>
      </c>
      <c r="O2426" s="905"/>
      <c r="P2426" s="58" t="str">
        <f>IF(N2425&gt;0,"xx",IF(N2425&gt;0,"xy",""))</f>
        <v/>
      </c>
      <c r="Q2426" s="317" t="str">
        <f t="shared" si="669"/>
        <v/>
      </c>
      <c r="R2426" s="317" t="str">
        <f t="shared" si="670"/>
        <v/>
      </c>
      <c r="S2426" s="317" t="str">
        <f t="shared" si="671"/>
        <v/>
      </c>
      <c r="V2426" s="314">
        <f>SUM('RES. CENTRAL PARK:RUA_FINAL'!N2426)</f>
        <v>0</v>
      </c>
      <c r="W2426" s="315">
        <f t="shared" si="660"/>
        <v>0</v>
      </c>
    </row>
    <row r="2427" spans="1:23" ht="13.5" hidden="1" thickBot="1" x14ac:dyDescent="0.25">
      <c r="A2427" s="63" t="s">
        <v>147</v>
      </c>
      <c r="B2427" s="895" t="s">
        <v>147</v>
      </c>
      <c r="C2427" s="896"/>
      <c r="D2427" s="957" t="s">
        <v>229</v>
      </c>
      <c r="E2427" s="907">
        <f>DMT!$F$8</f>
        <v>150</v>
      </c>
      <c r="F2427" s="908">
        <f>VLOOKUP(D2425,'ENSAIOS DE ORÇAMENTO'!$C$5:$L$81,5,FALSE)</f>
        <v>0</v>
      </c>
      <c r="G2427" s="949">
        <f t="shared" ref="G2427:G2429" si="674">IF(E2427&lt;=30,(1.07*E2427+2.68)*F2427,((1.07*30+2.68)+1.07*(E2427-30))*F2427)</f>
        <v>0</v>
      </c>
      <c r="H2427" s="901"/>
      <c r="I2427" s="901" t="str">
        <f t="shared" si="673"/>
        <v/>
      </c>
      <c r="J2427" s="902">
        <f t="shared" si="663"/>
        <v>0</v>
      </c>
      <c r="K2427" s="958" t="s">
        <v>507</v>
      </c>
      <c r="L2427" s="1040">
        <f>ROUND(SUM('RES. CENTRAL PARK:RUA_FINAL'!L2427),2)</f>
        <v>0</v>
      </c>
      <c r="M2427" s="1041">
        <f t="shared" si="657"/>
        <v>0</v>
      </c>
      <c r="N2427" s="893">
        <f t="shared" si="658"/>
        <v>0</v>
      </c>
      <c r="O2427" s="905"/>
      <c r="P2427" s="58" t="str">
        <f>IF(N2425&gt;0,"xx",IF(N2425&gt;0,"xy",""))</f>
        <v/>
      </c>
      <c r="Q2427" s="317" t="str">
        <f t="shared" si="669"/>
        <v/>
      </c>
      <c r="R2427" s="317" t="str">
        <f t="shared" si="670"/>
        <v/>
      </c>
      <c r="S2427" s="317" t="str">
        <f t="shared" si="671"/>
        <v/>
      </c>
      <c r="V2427" s="314">
        <f>SUM('RES. CENTRAL PARK:RUA_FINAL'!N2427)</f>
        <v>0</v>
      </c>
      <c r="W2427" s="315">
        <f t="shared" si="660"/>
        <v>0</v>
      </c>
    </row>
    <row r="2428" spans="1:23" ht="13.5" hidden="1" thickBot="1" x14ac:dyDescent="0.25">
      <c r="A2428" s="63" t="s">
        <v>147</v>
      </c>
      <c r="B2428" s="895" t="s">
        <v>147</v>
      </c>
      <c r="C2428" s="896"/>
      <c r="D2428" s="957" t="s">
        <v>233</v>
      </c>
      <c r="E2428" s="907">
        <f>DMT!$F$10</f>
        <v>0.2</v>
      </c>
      <c r="F2428" s="908">
        <f>VLOOKUP(D2425,'ENSAIOS DE ORÇAMENTO'!$C$5:$L$81,6,FALSE)</f>
        <v>0</v>
      </c>
      <c r="G2428" s="949">
        <f t="shared" si="674"/>
        <v>0</v>
      </c>
      <c r="H2428" s="901"/>
      <c r="I2428" s="901" t="str">
        <f t="shared" si="673"/>
        <v/>
      </c>
      <c r="J2428" s="902">
        <f t="shared" si="663"/>
        <v>0</v>
      </c>
      <c r="K2428" s="958" t="s">
        <v>507</v>
      </c>
      <c r="L2428" s="1040">
        <f>ROUND(SUM('RES. CENTRAL PARK:RUA_FINAL'!L2428),2)</f>
        <v>0</v>
      </c>
      <c r="M2428" s="1041">
        <f t="shared" si="657"/>
        <v>0</v>
      </c>
      <c r="N2428" s="893">
        <f t="shared" si="658"/>
        <v>0</v>
      </c>
      <c r="O2428" s="905"/>
      <c r="P2428" s="58" t="str">
        <f>IF(N2425&gt;0,"xx",IF(N2425&gt;0,"xy",""))</f>
        <v/>
      </c>
      <c r="Q2428" s="317" t="str">
        <f t="shared" si="669"/>
        <v/>
      </c>
      <c r="R2428" s="317" t="str">
        <f t="shared" si="670"/>
        <v/>
      </c>
      <c r="S2428" s="317" t="str">
        <f t="shared" si="671"/>
        <v/>
      </c>
      <c r="V2428" s="314">
        <f>SUM('RES. CENTRAL PARK:RUA_FINAL'!N2428)</f>
        <v>0</v>
      </c>
      <c r="W2428" s="315">
        <f t="shared" si="660"/>
        <v>0</v>
      </c>
    </row>
    <row r="2429" spans="1:23" ht="13.5" hidden="1" thickBot="1" x14ac:dyDescent="0.25">
      <c r="A2429" s="63" t="s">
        <v>147</v>
      </c>
      <c r="B2429" s="895" t="s">
        <v>147</v>
      </c>
      <c r="C2429" s="896"/>
      <c r="D2429" s="957" t="s">
        <v>365</v>
      </c>
      <c r="E2429" s="907">
        <f>DMT!$F$32</f>
        <v>10</v>
      </c>
      <c r="F2429" s="908">
        <f>VLOOKUP(D2425,'ENSAIOS DE ORÇAMENTO'!$C$5:$L$81,3,FALSE)</f>
        <v>0</v>
      </c>
      <c r="G2429" s="949">
        <f t="shared" si="674"/>
        <v>0</v>
      </c>
      <c r="H2429" s="901"/>
      <c r="I2429" s="901" t="str">
        <f t="shared" si="673"/>
        <v/>
      </c>
      <c r="J2429" s="902">
        <f t="shared" si="663"/>
        <v>0</v>
      </c>
      <c r="K2429" s="958" t="s">
        <v>507</v>
      </c>
      <c r="L2429" s="1040">
        <f>ROUND(SUM('RES. CENTRAL PARK:RUA_FINAL'!L2429),2)</f>
        <v>0</v>
      </c>
      <c r="M2429" s="1041">
        <f t="shared" si="657"/>
        <v>0</v>
      </c>
      <c r="N2429" s="893">
        <f t="shared" si="658"/>
        <v>0</v>
      </c>
      <c r="O2429" s="905"/>
      <c r="P2429" s="58" t="str">
        <f>IF(N2425&gt;0,"xx",IF(N2425&gt;0,"xy",""))</f>
        <v/>
      </c>
      <c r="Q2429" s="317" t="str">
        <f t="shared" si="669"/>
        <v/>
      </c>
      <c r="R2429" s="317" t="str">
        <f t="shared" si="670"/>
        <v/>
      </c>
      <c r="S2429" s="317" t="str">
        <f t="shared" si="671"/>
        <v/>
      </c>
      <c r="V2429" s="314">
        <f>SUM('RES. CENTRAL PARK:RUA_FINAL'!N2429)</f>
        <v>0</v>
      </c>
      <c r="W2429" s="315">
        <f t="shared" si="660"/>
        <v>0</v>
      </c>
    </row>
    <row r="2430" spans="1:23" ht="13.5" hidden="1" thickBot="1" x14ac:dyDescent="0.25">
      <c r="A2430" s="63" t="s">
        <v>147</v>
      </c>
      <c r="B2430" s="895" t="s">
        <v>147</v>
      </c>
      <c r="C2430" s="896"/>
      <c r="D2430" s="957" t="s">
        <v>366</v>
      </c>
      <c r="E2430" s="907">
        <f>DMT!$D$18</f>
        <v>353</v>
      </c>
      <c r="F2430" s="908">
        <f>VLOOKUP(D2425,'ENSAIOS DE ORÇAMENTO'!$C$5:$L$81,10,FALSE)</f>
        <v>0</v>
      </c>
      <c r="G2430" s="909">
        <f>IF(E2430&lt;=30,(0.78*E2430+7.82)*F2430,((0.78*30+7.82)+0.78*(E2430-30))*F2430)</f>
        <v>0</v>
      </c>
      <c r="H2430" s="901"/>
      <c r="I2430" s="901" t="str">
        <f t="shared" si="673"/>
        <v/>
      </c>
      <c r="J2430" s="902">
        <f t="shared" si="663"/>
        <v>0</v>
      </c>
      <c r="K2430" s="958" t="s">
        <v>507</v>
      </c>
      <c r="L2430" s="1040">
        <f>ROUND(SUM('RES. CENTRAL PARK:RUA_FINAL'!L2430),2)</f>
        <v>0</v>
      </c>
      <c r="M2430" s="1041">
        <f t="shared" si="657"/>
        <v>0</v>
      </c>
      <c r="N2430" s="893">
        <f t="shared" si="658"/>
        <v>0</v>
      </c>
      <c r="O2430" s="905"/>
      <c r="P2430" s="58" t="str">
        <f>IF(N2425&gt;0,"xx",IF(N2425&gt;0,"xy",""))</f>
        <v/>
      </c>
      <c r="Q2430" s="317" t="str">
        <f t="shared" si="669"/>
        <v/>
      </c>
      <c r="R2430" s="317" t="str">
        <f t="shared" si="670"/>
        <v/>
      </c>
      <c r="S2430" s="317" t="str">
        <f t="shared" si="671"/>
        <v/>
      </c>
      <c r="V2430" s="314">
        <f>SUM('RES. CENTRAL PARK:RUA_FINAL'!N2430)</f>
        <v>0</v>
      </c>
      <c r="W2430" s="315">
        <f t="shared" si="660"/>
        <v>0</v>
      </c>
    </row>
    <row r="2431" spans="1:23" ht="13.5" hidden="1" thickBot="1" x14ac:dyDescent="0.25">
      <c r="A2431" s="63" t="s">
        <v>397</v>
      </c>
      <c r="B2431" s="895" t="s">
        <v>397</v>
      </c>
      <c r="C2431" s="896" t="s">
        <v>184</v>
      </c>
      <c r="D2431" s="906" t="str">
        <f>'ENSAIOS DE ORÇAMENTO'!C76</f>
        <v>ENSAIO DE ORÇAMENTO 5</v>
      </c>
      <c r="E2431" s="907"/>
      <c r="F2431" s="908"/>
      <c r="G2431" s="912">
        <f>SUM(G2432:G2436)</f>
        <v>0</v>
      </c>
      <c r="H2431" s="901">
        <v>0</v>
      </c>
      <c r="I2431" s="901">
        <f t="shared" si="673"/>
        <v>0</v>
      </c>
      <c r="J2431" s="902">
        <f t="shared" si="663"/>
        <v>0</v>
      </c>
      <c r="K2431" s="903" t="s">
        <v>15</v>
      </c>
      <c r="L2431" s="1039">
        <f>ROUND(SUM('RES. CENTRAL PARK:RUA_FINAL'!L2431),2)</f>
        <v>0</v>
      </c>
      <c r="M2431" s="1039">
        <f t="shared" si="657"/>
        <v>0</v>
      </c>
      <c r="N2431" s="893">
        <f t="shared" si="658"/>
        <v>0</v>
      </c>
      <c r="O2431" s="905"/>
      <c r="Q2431" s="317" t="str">
        <f t="shared" si="669"/>
        <v/>
      </c>
      <c r="R2431" s="317" t="str">
        <f t="shared" si="670"/>
        <v/>
      </c>
      <c r="S2431" s="317" t="str">
        <f t="shared" si="671"/>
        <v/>
      </c>
      <c r="V2431" s="314">
        <f>SUM('RES. CENTRAL PARK:RUA_FINAL'!N2431)</f>
        <v>0</v>
      </c>
      <c r="W2431" s="315">
        <f t="shared" si="660"/>
        <v>0</v>
      </c>
    </row>
    <row r="2432" spans="1:23" ht="13.5" hidden="1" thickBot="1" x14ac:dyDescent="0.25">
      <c r="A2432" s="63" t="s">
        <v>147</v>
      </c>
      <c r="B2432" s="895" t="s">
        <v>147</v>
      </c>
      <c r="C2432" s="896"/>
      <c r="D2432" s="957" t="s">
        <v>190</v>
      </c>
      <c r="E2432" s="907">
        <f>DMT!$D$20</f>
        <v>308</v>
      </c>
      <c r="F2432" s="908">
        <f>VLOOKUP(D2431,'ENSAIOS DE ORÇAMENTO'!$C$5:$L$81,4,FALSE)</f>
        <v>0</v>
      </c>
      <c r="G2432" s="909">
        <f>IF(E2432&lt;=30,(0.78*E2432+7.82)*F2432,((0.78*30+7.82)+0.78*(E2432-30))*F2432)</f>
        <v>0</v>
      </c>
      <c r="H2432" s="901"/>
      <c r="I2432" s="901" t="str">
        <f t="shared" si="673"/>
        <v/>
      </c>
      <c r="J2432" s="902">
        <f t="shared" si="663"/>
        <v>0</v>
      </c>
      <c r="K2432" s="958" t="s">
        <v>507</v>
      </c>
      <c r="L2432" s="1040">
        <f>ROUND(SUM('RES. CENTRAL PARK:RUA_FINAL'!L2432),2)</f>
        <v>0</v>
      </c>
      <c r="M2432" s="1041">
        <f t="shared" si="657"/>
        <v>0</v>
      </c>
      <c r="N2432" s="893">
        <f t="shared" si="658"/>
        <v>0</v>
      </c>
      <c r="O2432" s="905"/>
      <c r="P2432" s="58" t="str">
        <f>IF(N2431&gt;0,"xx",IF(N2431&gt;0,"xy",""))</f>
        <v/>
      </c>
      <c r="Q2432" s="317" t="str">
        <f t="shared" si="669"/>
        <v/>
      </c>
      <c r="R2432" s="317" t="str">
        <f t="shared" si="670"/>
        <v/>
      </c>
      <c r="S2432" s="317" t="str">
        <f t="shared" si="671"/>
        <v/>
      </c>
      <c r="V2432" s="314">
        <f>SUM('RES. CENTRAL PARK:RUA_FINAL'!N2432)</f>
        <v>0</v>
      </c>
      <c r="W2432" s="315">
        <f t="shared" si="660"/>
        <v>0</v>
      </c>
    </row>
    <row r="2433" spans="1:23" ht="13.5" hidden="1" thickBot="1" x14ac:dyDescent="0.25">
      <c r="A2433" s="63" t="s">
        <v>147</v>
      </c>
      <c r="B2433" s="895" t="s">
        <v>147</v>
      </c>
      <c r="C2433" s="896"/>
      <c r="D2433" s="957" t="s">
        <v>229</v>
      </c>
      <c r="E2433" s="907">
        <f>DMT!$F$8</f>
        <v>150</v>
      </c>
      <c r="F2433" s="908">
        <f>VLOOKUP(D2431,'ENSAIOS DE ORÇAMENTO'!$C$5:$L$81,5,FALSE)</f>
        <v>0</v>
      </c>
      <c r="G2433" s="949">
        <f t="shared" ref="G2433:G2435" si="675">IF(E2433&lt;=30,(1.07*E2433+2.68)*F2433,((1.07*30+2.68)+1.07*(E2433-30))*F2433)</f>
        <v>0</v>
      </c>
      <c r="H2433" s="901"/>
      <c r="I2433" s="901" t="str">
        <f t="shared" si="673"/>
        <v/>
      </c>
      <c r="J2433" s="902">
        <f t="shared" si="663"/>
        <v>0</v>
      </c>
      <c r="K2433" s="958" t="s">
        <v>507</v>
      </c>
      <c r="L2433" s="1040">
        <f>ROUND(SUM('RES. CENTRAL PARK:RUA_FINAL'!L2433),2)</f>
        <v>0</v>
      </c>
      <c r="M2433" s="1041">
        <f t="shared" si="657"/>
        <v>0</v>
      </c>
      <c r="N2433" s="893">
        <f t="shared" si="658"/>
        <v>0</v>
      </c>
      <c r="O2433" s="905"/>
      <c r="P2433" s="58" t="str">
        <f>IF(N2431&gt;0,"xx",IF(N2431&gt;0,"xy",""))</f>
        <v/>
      </c>
      <c r="Q2433" s="317" t="str">
        <f t="shared" si="669"/>
        <v/>
      </c>
      <c r="R2433" s="317" t="str">
        <f t="shared" si="670"/>
        <v/>
      </c>
      <c r="S2433" s="317" t="str">
        <f t="shared" si="671"/>
        <v/>
      </c>
      <c r="V2433" s="314">
        <f>SUM('RES. CENTRAL PARK:RUA_FINAL'!N2433)</f>
        <v>0</v>
      </c>
      <c r="W2433" s="315">
        <f t="shared" si="660"/>
        <v>0</v>
      </c>
    </row>
    <row r="2434" spans="1:23" ht="13.5" hidden="1" thickBot="1" x14ac:dyDescent="0.25">
      <c r="A2434" s="63" t="s">
        <v>147</v>
      </c>
      <c r="B2434" s="895" t="s">
        <v>147</v>
      </c>
      <c r="C2434" s="896"/>
      <c r="D2434" s="957" t="s">
        <v>233</v>
      </c>
      <c r="E2434" s="907">
        <f>DMT!$F$10</f>
        <v>0.2</v>
      </c>
      <c r="F2434" s="908">
        <f>VLOOKUP(D2431,'ENSAIOS DE ORÇAMENTO'!$C$5:$L$81,6,FALSE)</f>
        <v>0</v>
      </c>
      <c r="G2434" s="949">
        <f t="shared" si="675"/>
        <v>0</v>
      </c>
      <c r="H2434" s="901"/>
      <c r="I2434" s="901" t="str">
        <f t="shared" si="673"/>
        <v/>
      </c>
      <c r="J2434" s="902">
        <f t="shared" si="663"/>
        <v>0</v>
      </c>
      <c r="K2434" s="958" t="s">
        <v>507</v>
      </c>
      <c r="L2434" s="1040">
        <f>ROUND(SUM('RES. CENTRAL PARK:RUA_FINAL'!L2434),2)</f>
        <v>0</v>
      </c>
      <c r="M2434" s="1041">
        <f t="shared" si="657"/>
        <v>0</v>
      </c>
      <c r="N2434" s="893">
        <f t="shared" si="658"/>
        <v>0</v>
      </c>
      <c r="O2434" s="905"/>
      <c r="P2434" s="58" t="str">
        <f>IF(N2431&gt;0,"xx",IF(N2431&gt;0,"xy",""))</f>
        <v/>
      </c>
      <c r="Q2434" s="317" t="str">
        <f t="shared" si="669"/>
        <v/>
      </c>
      <c r="R2434" s="317" t="str">
        <f t="shared" si="670"/>
        <v/>
      </c>
      <c r="S2434" s="317" t="str">
        <f t="shared" si="671"/>
        <v/>
      </c>
      <c r="V2434" s="314">
        <f>SUM('RES. CENTRAL PARK:RUA_FINAL'!N2434)</f>
        <v>0</v>
      </c>
      <c r="W2434" s="315">
        <f t="shared" si="660"/>
        <v>0</v>
      </c>
    </row>
    <row r="2435" spans="1:23" ht="13.5" hidden="1" thickBot="1" x14ac:dyDescent="0.25">
      <c r="A2435" s="63" t="s">
        <v>147</v>
      </c>
      <c r="B2435" s="895" t="s">
        <v>147</v>
      </c>
      <c r="C2435" s="896"/>
      <c r="D2435" s="957" t="s">
        <v>365</v>
      </c>
      <c r="E2435" s="907">
        <f>DMT!$F$32</f>
        <v>10</v>
      </c>
      <c r="F2435" s="908">
        <f>VLOOKUP(D2431,'ENSAIOS DE ORÇAMENTO'!$C$5:$L$81,3,FALSE)</f>
        <v>0</v>
      </c>
      <c r="G2435" s="949">
        <f t="shared" si="675"/>
        <v>0</v>
      </c>
      <c r="H2435" s="901"/>
      <c r="I2435" s="901" t="str">
        <f t="shared" si="673"/>
        <v/>
      </c>
      <c r="J2435" s="902">
        <f t="shared" si="663"/>
        <v>0</v>
      </c>
      <c r="K2435" s="903" t="s">
        <v>507</v>
      </c>
      <c r="L2435" s="1040">
        <f>ROUND(SUM('RES. CENTRAL PARK:RUA_FINAL'!L2435),2)</f>
        <v>0</v>
      </c>
      <c r="M2435" s="1041">
        <f t="shared" si="657"/>
        <v>0</v>
      </c>
      <c r="N2435" s="893">
        <f t="shared" si="658"/>
        <v>0</v>
      </c>
      <c r="O2435" s="905"/>
      <c r="P2435" s="36" t="str">
        <f>IF(N2431&gt;0,"xx",IF(N2431&gt;0,"xy",""))</f>
        <v/>
      </c>
      <c r="Q2435" s="317" t="str">
        <f t="shared" si="669"/>
        <v/>
      </c>
      <c r="R2435" s="317" t="str">
        <f t="shared" si="670"/>
        <v/>
      </c>
      <c r="S2435" s="317" t="str">
        <f t="shared" si="671"/>
        <v/>
      </c>
      <c r="V2435" s="314">
        <f>SUM('RES. CENTRAL PARK:RUA_FINAL'!N2435)</f>
        <v>0</v>
      </c>
      <c r="W2435" s="315">
        <f t="shared" si="660"/>
        <v>0</v>
      </c>
    </row>
    <row r="2436" spans="1:23" ht="13.5" hidden="1" thickBot="1" x14ac:dyDescent="0.25">
      <c r="A2436" s="63" t="s">
        <v>147</v>
      </c>
      <c r="B2436" s="895" t="s">
        <v>147</v>
      </c>
      <c r="C2436" s="896"/>
      <c r="D2436" s="957" t="s">
        <v>366</v>
      </c>
      <c r="E2436" s="907">
        <f>DMT!$D$18</f>
        <v>353</v>
      </c>
      <c r="F2436" s="908">
        <f>VLOOKUP(D2431,'ENSAIOS DE ORÇAMENTO'!$C$5:$L$81,10,FALSE)</f>
        <v>0</v>
      </c>
      <c r="G2436" s="909">
        <f>IF(E2436&lt;=30,(0.78*E2436+7.82)*F2436,((0.78*30+7.82)+0.78*(E2436-30))*F2436)</f>
        <v>0</v>
      </c>
      <c r="H2436" s="901"/>
      <c r="I2436" s="901" t="str">
        <f t="shared" si="673"/>
        <v/>
      </c>
      <c r="J2436" s="902">
        <f t="shared" si="663"/>
        <v>0</v>
      </c>
      <c r="K2436" s="958" t="s">
        <v>507</v>
      </c>
      <c r="L2436" s="1040">
        <f>ROUND(SUM('RES. CENTRAL PARK:RUA_FINAL'!L2436),2)</f>
        <v>0</v>
      </c>
      <c r="M2436" s="1041">
        <f t="shared" si="657"/>
        <v>0</v>
      </c>
      <c r="N2436" s="893">
        <f t="shared" si="658"/>
        <v>0</v>
      </c>
      <c r="O2436" s="905"/>
      <c r="P2436" s="58" t="str">
        <f>IF(N2431&gt;0,"xx",IF(N2431&gt;0,"xy",""))</f>
        <v/>
      </c>
      <c r="Q2436" s="317" t="str">
        <f t="shared" si="669"/>
        <v/>
      </c>
      <c r="R2436" s="317" t="str">
        <f t="shared" si="670"/>
        <v/>
      </c>
      <c r="S2436" s="317" t="str">
        <f t="shared" si="671"/>
        <v/>
      </c>
      <c r="V2436" s="314">
        <f>SUM('RES. CENTRAL PARK:RUA_FINAL'!N2436)</f>
        <v>0</v>
      </c>
      <c r="W2436" s="315">
        <f t="shared" si="660"/>
        <v>0</v>
      </c>
    </row>
    <row r="2437" spans="1:23" ht="13.5" hidden="1" thickBot="1" x14ac:dyDescent="0.25">
      <c r="A2437" s="63" t="s">
        <v>398</v>
      </c>
      <c r="B2437" s="895" t="s">
        <v>398</v>
      </c>
      <c r="C2437" s="896" t="s">
        <v>184</v>
      </c>
      <c r="D2437" s="906" t="str">
        <f>'ENSAIOS DE ORÇAMENTO'!C77</f>
        <v>ENSAIO DE ORÇAMENTO 6</v>
      </c>
      <c r="E2437" s="907"/>
      <c r="F2437" s="908"/>
      <c r="G2437" s="912">
        <f>SUM(G2438:G2442)</f>
        <v>0</v>
      </c>
      <c r="H2437" s="901">
        <v>0</v>
      </c>
      <c r="I2437" s="901">
        <f t="shared" si="673"/>
        <v>0</v>
      </c>
      <c r="J2437" s="902">
        <f t="shared" si="663"/>
        <v>0</v>
      </c>
      <c r="K2437" s="903" t="s">
        <v>15</v>
      </c>
      <c r="L2437" s="1039">
        <f>ROUND(SUM('RES. CENTRAL PARK:RUA_FINAL'!L2437),2)</f>
        <v>0</v>
      </c>
      <c r="M2437" s="1039">
        <f t="shared" si="657"/>
        <v>0</v>
      </c>
      <c r="N2437" s="893">
        <f t="shared" si="658"/>
        <v>0</v>
      </c>
      <c r="O2437" s="905"/>
      <c r="Q2437" s="317" t="str">
        <f t="shared" si="669"/>
        <v/>
      </c>
      <c r="R2437" s="317" t="str">
        <f t="shared" si="670"/>
        <v/>
      </c>
      <c r="S2437" s="317" t="str">
        <f t="shared" si="671"/>
        <v/>
      </c>
      <c r="V2437" s="314">
        <f>SUM('RES. CENTRAL PARK:RUA_FINAL'!N2437)</f>
        <v>0</v>
      </c>
      <c r="W2437" s="315">
        <f t="shared" si="660"/>
        <v>0</v>
      </c>
    </row>
    <row r="2438" spans="1:23" ht="13.5" hidden="1" thickBot="1" x14ac:dyDescent="0.25">
      <c r="A2438" s="63" t="s">
        <v>147</v>
      </c>
      <c r="B2438" s="895" t="s">
        <v>147</v>
      </c>
      <c r="C2438" s="896"/>
      <c r="D2438" s="957" t="s">
        <v>190</v>
      </c>
      <c r="E2438" s="907">
        <f>DMT!$D$20</f>
        <v>308</v>
      </c>
      <c r="F2438" s="908">
        <f>VLOOKUP(D2437,'ENSAIOS DE ORÇAMENTO'!$C$5:$L$81,4,FALSE)</f>
        <v>0</v>
      </c>
      <c r="G2438" s="909">
        <f>IF(E2438&lt;=30,(0.78*E2438+7.82)*F2438,((0.78*30+7.82)+0.78*(E2438-30))*F2438)</f>
        <v>0</v>
      </c>
      <c r="H2438" s="901"/>
      <c r="I2438" s="901" t="str">
        <f t="shared" si="673"/>
        <v/>
      </c>
      <c r="J2438" s="902">
        <f t="shared" si="663"/>
        <v>0</v>
      </c>
      <c r="K2438" s="958" t="s">
        <v>507</v>
      </c>
      <c r="L2438" s="1040">
        <f>ROUND(SUM('RES. CENTRAL PARK:RUA_FINAL'!L2438),2)</f>
        <v>0</v>
      </c>
      <c r="M2438" s="1041">
        <f t="shared" si="657"/>
        <v>0</v>
      </c>
      <c r="N2438" s="893">
        <f t="shared" si="658"/>
        <v>0</v>
      </c>
      <c r="O2438" s="905"/>
      <c r="P2438" s="58" t="str">
        <f>IF(N2437&gt;0,"xx",IF(N2437&gt;0,"xy",""))</f>
        <v/>
      </c>
      <c r="Q2438" s="317" t="str">
        <f t="shared" si="669"/>
        <v/>
      </c>
      <c r="R2438" s="317" t="str">
        <f t="shared" si="670"/>
        <v/>
      </c>
      <c r="S2438" s="317" t="str">
        <f t="shared" si="671"/>
        <v/>
      </c>
      <c r="V2438" s="314">
        <f>SUM('RES. CENTRAL PARK:RUA_FINAL'!N2438)</f>
        <v>0</v>
      </c>
      <c r="W2438" s="315">
        <f t="shared" si="660"/>
        <v>0</v>
      </c>
    </row>
    <row r="2439" spans="1:23" ht="13.5" hidden="1" thickBot="1" x14ac:dyDescent="0.25">
      <c r="A2439" s="63" t="s">
        <v>147</v>
      </c>
      <c r="B2439" s="895" t="s">
        <v>147</v>
      </c>
      <c r="C2439" s="896"/>
      <c r="D2439" s="957" t="s">
        <v>229</v>
      </c>
      <c r="E2439" s="907">
        <f>DMT!$F$8</f>
        <v>150</v>
      </c>
      <c r="F2439" s="908">
        <f>VLOOKUP(D2437,'ENSAIOS DE ORÇAMENTO'!$C$5:$L$81,5,FALSE)</f>
        <v>0</v>
      </c>
      <c r="G2439" s="949">
        <f t="shared" ref="G2439:G2441" si="676">IF(E2439&lt;=30,(1.07*E2439+2.68)*F2439,((1.07*30+2.68)+1.07*(E2439-30))*F2439)</f>
        <v>0</v>
      </c>
      <c r="H2439" s="901"/>
      <c r="I2439" s="901" t="str">
        <f t="shared" si="673"/>
        <v/>
      </c>
      <c r="J2439" s="902">
        <f t="shared" si="663"/>
        <v>0</v>
      </c>
      <c r="K2439" s="958" t="s">
        <v>507</v>
      </c>
      <c r="L2439" s="1040">
        <f>ROUND(SUM('RES. CENTRAL PARK:RUA_FINAL'!L2439),2)</f>
        <v>0</v>
      </c>
      <c r="M2439" s="1041">
        <f t="shared" si="657"/>
        <v>0</v>
      </c>
      <c r="N2439" s="893">
        <f t="shared" si="658"/>
        <v>0</v>
      </c>
      <c r="O2439" s="905"/>
      <c r="P2439" s="58" t="str">
        <f>IF(N2437&gt;0,"xx",IF(N2437&gt;0,"xy",""))</f>
        <v/>
      </c>
      <c r="Q2439" s="317" t="str">
        <f t="shared" si="669"/>
        <v/>
      </c>
      <c r="R2439" s="317" t="str">
        <f t="shared" si="670"/>
        <v/>
      </c>
      <c r="S2439" s="317" t="str">
        <f t="shared" si="671"/>
        <v/>
      </c>
      <c r="V2439" s="314">
        <f>SUM('RES. CENTRAL PARK:RUA_FINAL'!N2439)</f>
        <v>0</v>
      </c>
      <c r="W2439" s="315">
        <f t="shared" si="660"/>
        <v>0</v>
      </c>
    </row>
    <row r="2440" spans="1:23" ht="13.5" hidden="1" thickBot="1" x14ac:dyDescent="0.25">
      <c r="A2440" s="63" t="s">
        <v>147</v>
      </c>
      <c r="B2440" s="895" t="s">
        <v>147</v>
      </c>
      <c r="C2440" s="896"/>
      <c r="D2440" s="957" t="s">
        <v>233</v>
      </c>
      <c r="E2440" s="907">
        <f>DMT!$F$10</f>
        <v>0.2</v>
      </c>
      <c r="F2440" s="908">
        <f>VLOOKUP(D2437,'ENSAIOS DE ORÇAMENTO'!$C$5:$L$81,6,FALSE)</f>
        <v>0</v>
      </c>
      <c r="G2440" s="949">
        <f t="shared" si="676"/>
        <v>0</v>
      </c>
      <c r="H2440" s="901"/>
      <c r="I2440" s="901" t="str">
        <f t="shared" si="673"/>
        <v/>
      </c>
      <c r="J2440" s="902">
        <f t="shared" si="663"/>
        <v>0</v>
      </c>
      <c r="K2440" s="958" t="s">
        <v>507</v>
      </c>
      <c r="L2440" s="1040">
        <f>ROUND(SUM('RES. CENTRAL PARK:RUA_FINAL'!L2440),2)</f>
        <v>0</v>
      </c>
      <c r="M2440" s="1041">
        <f t="shared" si="657"/>
        <v>0</v>
      </c>
      <c r="N2440" s="893">
        <f t="shared" si="658"/>
        <v>0</v>
      </c>
      <c r="O2440" s="905"/>
      <c r="P2440" s="58" t="str">
        <f>IF(N2437&gt;0,"xx",IF(N2437&gt;0,"xy",""))</f>
        <v/>
      </c>
      <c r="Q2440" s="317" t="str">
        <f t="shared" si="669"/>
        <v/>
      </c>
      <c r="R2440" s="317" t="str">
        <f t="shared" si="670"/>
        <v/>
      </c>
      <c r="S2440" s="317" t="str">
        <f t="shared" si="671"/>
        <v/>
      </c>
      <c r="V2440" s="314">
        <f>SUM('RES. CENTRAL PARK:RUA_FINAL'!N2440)</f>
        <v>0</v>
      </c>
      <c r="W2440" s="315">
        <f t="shared" si="660"/>
        <v>0</v>
      </c>
    </row>
    <row r="2441" spans="1:23" ht="13.5" hidden="1" thickBot="1" x14ac:dyDescent="0.25">
      <c r="A2441" s="63" t="s">
        <v>147</v>
      </c>
      <c r="B2441" s="895" t="s">
        <v>147</v>
      </c>
      <c r="C2441" s="896"/>
      <c r="D2441" s="957" t="s">
        <v>365</v>
      </c>
      <c r="E2441" s="907">
        <f>DMT!$F$32</f>
        <v>10</v>
      </c>
      <c r="F2441" s="908">
        <f>VLOOKUP(D2437,'ENSAIOS DE ORÇAMENTO'!$C$5:$L$81,3,FALSE)</f>
        <v>0</v>
      </c>
      <c r="G2441" s="949">
        <f t="shared" si="676"/>
        <v>0</v>
      </c>
      <c r="H2441" s="901"/>
      <c r="I2441" s="901" t="str">
        <f t="shared" si="673"/>
        <v/>
      </c>
      <c r="J2441" s="902">
        <f t="shared" si="663"/>
        <v>0</v>
      </c>
      <c r="K2441" s="958" t="s">
        <v>507</v>
      </c>
      <c r="L2441" s="1040">
        <f>ROUND(SUM('RES. CENTRAL PARK:RUA_FINAL'!L2441),2)</f>
        <v>0</v>
      </c>
      <c r="M2441" s="1041">
        <f t="shared" si="657"/>
        <v>0</v>
      </c>
      <c r="N2441" s="893">
        <f t="shared" si="658"/>
        <v>0</v>
      </c>
      <c r="O2441" s="905"/>
      <c r="P2441" s="58" t="str">
        <f>IF(N2437&gt;0,"xx",IF(N2437&gt;0,"xy",""))</f>
        <v/>
      </c>
      <c r="Q2441" s="317" t="str">
        <f t="shared" si="669"/>
        <v/>
      </c>
      <c r="R2441" s="317" t="str">
        <f t="shared" si="670"/>
        <v/>
      </c>
      <c r="S2441" s="317" t="str">
        <f t="shared" si="671"/>
        <v/>
      </c>
      <c r="V2441" s="314">
        <f>SUM('RES. CENTRAL PARK:RUA_FINAL'!N2441)</f>
        <v>0</v>
      </c>
      <c r="W2441" s="315">
        <f t="shared" si="660"/>
        <v>0</v>
      </c>
    </row>
    <row r="2442" spans="1:23" ht="13.5" hidden="1" thickBot="1" x14ac:dyDescent="0.25">
      <c r="A2442" s="63" t="s">
        <v>147</v>
      </c>
      <c r="B2442" s="895" t="s">
        <v>147</v>
      </c>
      <c r="C2442" s="896"/>
      <c r="D2442" s="957" t="s">
        <v>366</v>
      </c>
      <c r="E2442" s="907">
        <f>DMT!$D$18</f>
        <v>353</v>
      </c>
      <c r="F2442" s="908">
        <f>VLOOKUP(D2437,'ENSAIOS DE ORÇAMENTO'!$C$5:$L$81,10,FALSE)</f>
        <v>0</v>
      </c>
      <c r="G2442" s="909">
        <f>IF(E2442&lt;=30,(0.78*E2442+7.82)*F2442,((0.78*30+7.82)+0.78*(E2442-30))*F2442)</f>
        <v>0</v>
      </c>
      <c r="H2442" s="901"/>
      <c r="I2442" s="901" t="str">
        <f t="shared" si="673"/>
        <v/>
      </c>
      <c r="J2442" s="902">
        <f t="shared" si="663"/>
        <v>0</v>
      </c>
      <c r="K2442" s="958" t="s">
        <v>507</v>
      </c>
      <c r="L2442" s="1040">
        <f>ROUND(SUM('RES. CENTRAL PARK:RUA_FINAL'!L2442),2)</f>
        <v>0</v>
      </c>
      <c r="M2442" s="1041">
        <f t="shared" si="657"/>
        <v>0</v>
      </c>
      <c r="N2442" s="893">
        <f t="shared" si="658"/>
        <v>0</v>
      </c>
      <c r="O2442" s="905"/>
      <c r="P2442" s="58" t="str">
        <f>IF(N2437&gt;0,"xx",IF(N2437&gt;0,"xy",""))</f>
        <v/>
      </c>
      <c r="Q2442" s="317" t="str">
        <f t="shared" si="669"/>
        <v/>
      </c>
      <c r="R2442" s="317" t="str">
        <f t="shared" si="670"/>
        <v/>
      </c>
      <c r="S2442" s="317" t="str">
        <f t="shared" si="671"/>
        <v/>
      </c>
      <c r="V2442" s="314">
        <f>SUM('RES. CENTRAL PARK:RUA_FINAL'!N2442)</f>
        <v>0</v>
      </c>
      <c r="W2442" s="315">
        <f t="shared" si="660"/>
        <v>0</v>
      </c>
    </row>
    <row r="2443" spans="1:23" ht="13.5" hidden="1" thickBot="1" x14ac:dyDescent="0.25">
      <c r="A2443" s="63" t="s">
        <v>399</v>
      </c>
      <c r="B2443" s="895" t="s">
        <v>399</v>
      </c>
      <c r="C2443" s="896" t="s">
        <v>184</v>
      </c>
      <c r="D2443" s="906" t="str">
        <f>'ENSAIOS DE ORÇAMENTO'!C78</f>
        <v>ENSAIO DE ORÇAMENTO 7</v>
      </c>
      <c r="E2443" s="907"/>
      <c r="F2443" s="908"/>
      <c r="G2443" s="912">
        <f>SUM(G2444:G2448)</f>
        <v>0</v>
      </c>
      <c r="H2443" s="901">
        <v>0</v>
      </c>
      <c r="I2443" s="901">
        <f t="shared" si="673"/>
        <v>0</v>
      </c>
      <c r="J2443" s="902">
        <f t="shared" si="663"/>
        <v>0</v>
      </c>
      <c r="K2443" s="903" t="s">
        <v>15</v>
      </c>
      <c r="L2443" s="1039">
        <f>ROUND(SUM('RES. CENTRAL PARK:RUA_FINAL'!L2443),2)</f>
        <v>0</v>
      </c>
      <c r="M2443" s="1039">
        <f t="shared" si="657"/>
        <v>0</v>
      </c>
      <c r="N2443" s="893">
        <f t="shared" si="658"/>
        <v>0</v>
      </c>
      <c r="O2443" s="905"/>
      <c r="Q2443" s="317" t="str">
        <f t="shared" si="669"/>
        <v/>
      </c>
      <c r="R2443" s="317" t="str">
        <f t="shared" si="670"/>
        <v/>
      </c>
      <c r="S2443" s="317" t="str">
        <f t="shared" si="671"/>
        <v/>
      </c>
      <c r="V2443" s="314">
        <f>SUM('RES. CENTRAL PARK:RUA_FINAL'!N2443)</f>
        <v>0</v>
      </c>
      <c r="W2443" s="315">
        <f t="shared" si="660"/>
        <v>0</v>
      </c>
    </row>
    <row r="2444" spans="1:23" ht="13.5" hidden="1" thickBot="1" x14ac:dyDescent="0.25">
      <c r="A2444" s="63" t="s">
        <v>147</v>
      </c>
      <c r="B2444" s="895" t="s">
        <v>147</v>
      </c>
      <c r="C2444" s="896"/>
      <c r="D2444" s="957" t="s">
        <v>190</v>
      </c>
      <c r="E2444" s="907">
        <f>DMT!$D$20</f>
        <v>308</v>
      </c>
      <c r="F2444" s="908">
        <f>VLOOKUP(D2443,'ENSAIOS DE ORÇAMENTO'!$C$5:$L$81,4,FALSE)</f>
        <v>0</v>
      </c>
      <c r="G2444" s="909">
        <f>IF(E2444&lt;=30,(0.78*E2444+7.82)*F2444,((0.78*30+7.82)+0.78*(E2444-30))*F2444)</f>
        <v>0</v>
      </c>
      <c r="H2444" s="901"/>
      <c r="I2444" s="901" t="str">
        <f t="shared" si="673"/>
        <v/>
      </c>
      <c r="J2444" s="902">
        <f t="shared" si="663"/>
        <v>0</v>
      </c>
      <c r="K2444" s="958" t="s">
        <v>507</v>
      </c>
      <c r="L2444" s="1040">
        <f>ROUND(SUM('RES. CENTRAL PARK:RUA_FINAL'!L2444),2)</f>
        <v>0</v>
      </c>
      <c r="M2444" s="1041">
        <f t="shared" si="657"/>
        <v>0</v>
      </c>
      <c r="N2444" s="893">
        <f t="shared" si="658"/>
        <v>0</v>
      </c>
      <c r="O2444" s="905"/>
      <c r="P2444" s="58" t="str">
        <f>IF(N2443&gt;0,"xx",IF(N2443&gt;0,"xy",""))</f>
        <v/>
      </c>
      <c r="Q2444" s="317" t="str">
        <f t="shared" si="669"/>
        <v/>
      </c>
      <c r="R2444" s="317" t="str">
        <f t="shared" si="670"/>
        <v/>
      </c>
      <c r="S2444" s="317" t="str">
        <f t="shared" si="671"/>
        <v/>
      </c>
      <c r="V2444" s="314">
        <f>SUM('RES. CENTRAL PARK:RUA_FINAL'!N2444)</f>
        <v>0</v>
      </c>
      <c r="W2444" s="315">
        <f t="shared" si="660"/>
        <v>0</v>
      </c>
    </row>
    <row r="2445" spans="1:23" ht="13.5" hidden="1" thickBot="1" x14ac:dyDescent="0.25">
      <c r="A2445" s="63" t="s">
        <v>147</v>
      </c>
      <c r="B2445" s="895" t="s">
        <v>147</v>
      </c>
      <c r="C2445" s="896"/>
      <c r="D2445" s="957" t="s">
        <v>229</v>
      </c>
      <c r="E2445" s="907">
        <f>DMT!$F$8</f>
        <v>150</v>
      </c>
      <c r="F2445" s="908">
        <f>VLOOKUP(D2443,'ENSAIOS DE ORÇAMENTO'!$C$5:$L$81,5,FALSE)</f>
        <v>0</v>
      </c>
      <c r="G2445" s="949">
        <f t="shared" ref="G2445:G2447" si="677">IF(E2445&lt;=30,(1.07*E2445+2.68)*F2445,((1.07*30+2.68)+1.07*(E2445-30))*F2445)</f>
        <v>0</v>
      </c>
      <c r="H2445" s="901"/>
      <c r="I2445" s="901" t="str">
        <f t="shared" si="673"/>
        <v/>
      </c>
      <c r="J2445" s="902">
        <f t="shared" si="663"/>
        <v>0</v>
      </c>
      <c r="K2445" s="958" t="s">
        <v>507</v>
      </c>
      <c r="L2445" s="1040">
        <f>ROUND(SUM('RES. CENTRAL PARK:RUA_FINAL'!L2445),2)</f>
        <v>0</v>
      </c>
      <c r="M2445" s="1041">
        <f t="shared" si="657"/>
        <v>0</v>
      </c>
      <c r="N2445" s="893">
        <f t="shared" si="658"/>
        <v>0</v>
      </c>
      <c r="O2445" s="905"/>
      <c r="P2445" s="58" t="str">
        <f>IF(N2443&gt;0,"xx",IF(N2443&gt;0,"xy",""))</f>
        <v/>
      </c>
      <c r="Q2445" s="317" t="str">
        <f t="shared" si="669"/>
        <v/>
      </c>
      <c r="R2445" s="317" t="str">
        <f t="shared" si="670"/>
        <v/>
      </c>
      <c r="S2445" s="317" t="str">
        <f t="shared" si="671"/>
        <v/>
      </c>
      <c r="V2445" s="314">
        <f>SUM('RES. CENTRAL PARK:RUA_FINAL'!N2445)</f>
        <v>0</v>
      </c>
      <c r="W2445" s="315">
        <f t="shared" si="660"/>
        <v>0</v>
      </c>
    </row>
    <row r="2446" spans="1:23" ht="13.5" hidden="1" thickBot="1" x14ac:dyDescent="0.25">
      <c r="A2446" s="63" t="s">
        <v>147</v>
      </c>
      <c r="B2446" s="895" t="s">
        <v>147</v>
      </c>
      <c r="C2446" s="896"/>
      <c r="D2446" s="957" t="s">
        <v>233</v>
      </c>
      <c r="E2446" s="907">
        <f>DMT!$F$10</f>
        <v>0.2</v>
      </c>
      <c r="F2446" s="908">
        <f>VLOOKUP(D2443,'ENSAIOS DE ORÇAMENTO'!$C$5:$L$81,6,FALSE)</f>
        <v>0</v>
      </c>
      <c r="G2446" s="949">
        <f t="shared" si="677"/>
        <v>0</v>
      </c>
      <c r="H2446" s="901"/>
      <c r="I2446" s="901" t="str">
        <f t="shared" si="673"/>
        <v/>
      </c>
      <c r="J2446" s="902">
        <f t="shared" si="663"/>
        <v>0</v>
      </c>
      <c r="K2446" s="958" t="s">
        <v>507</v>
      </c>
      <c r="L2446" s="1040">
        <f>ROUND(SUM('RES. CENTRAL PARK:RUA_FINAL'!L2446),2)</f>
        <v>0</v>
      </c>
      <c r="M2446" s="1041">
        <f t="shared" si="657"/>
        <v>0</v>
      </c>
      <c r="N2446" s="893">
        <f t="shared" si="658"/>
        <v>0</v>
      </c>
      <c r="O2446" s="905"/>
      <c r="P2446" s="58" t="str">
        <f>IF(N2443&gt;0,"xx",IF(N2443&gt;0,"xy",""))</f>
        <v/>
      </c>
      <c r="Q2446" s="317" t="str">
        <f t="shared" si="669"/>
        <v/>
      </c>
      <c r="R2446" s="317" t="str">
        <f t="shared" si="670"/>
        <v/>
      </c>
      <c r="S2446" s="317" t="str">
        <f t="shared" si="671"/>
        <v/>
      </c>
      <c r="V2446" s="314">
        <f>SUM('RES. CENTRAL PARK:RUA_FINAL'!N2446)</f>
        <v>0</v>
      </c>
      <c r="W2446" s="315">
        <f t="shared" si="660"/>
        <v>0</v>
      </c>
    </row>
    <row r="2447" spans="1:23" ht="13.5" hidden="1" thickBot="1" x14ac:dyDescent="0.25">
      <c r="A2447" s="63" t="s">
        <v>147</v>
      </c>
      <c r="B2447" s="895" t="s">
        <v>147</v>
      </c>
      <c r="C2447" s="896"/>
      <c r="D2447" s="957" t="s">
        <v>365</v>
      </c>
      <c r="E2447" s="907">
        <f>DMT!$F$32</f>
        <v>10</v>
      </c>
      <c r="F2447" s="908">
        <f>VLOOKUP(D2443,'ENSAIOS DE ORÇAMENTO'!$C$5:$L$81,3,FALSE)</f>
        <v>0</v>
      </c>
      <c r="G2447" s="949">
        <f t="shared" si="677"/>
        <v>0</v>
      </c>
      <c r="H2447" s="901"/>
      <c r="I2447" s="901" t="str">
        <f t="shared" si="673"/>
        <v/>
      </c>
      <c r="J2447" s="902">
        <f t="shared" si="663"/>
        <v>0</v>
      </c>
      <c r="K2447" s="958" t="s">
        <v>507</v>
      </c>
      <c r="L2447" s="1040">
        <f>ROUND(SUM('RES. CENTRAL PARK:RUA_FINAL'!L2447),2)</f>
        <v>0</v>
      </c>
      <c r="M2447" s="1041">
        <f t="shared" si="657"/>
        <v>0</v>
      </c>
      <c r="N2447" s="893">
        <f t="shared" si="658"/>
        <v>0</v>
      </c>
      <c r="O2447" s="905"/>
      <c r="P2447" s="58" t="str">
        <f>IF(N2443&gt;0,"xx",IF(N2443&gt;0,"xy",""))</f>
        <v/>
      </c>
      <c r="Q2447" s="317" t="str">
        <f t="shared" si="669"/>
        <v/>
      </c>
      <c r="R2447" s="317" t="str">
        <f t="shared" si="670"/>
        <v/>
      </c>
      <c r="S2447" s="317" t="str">
        <f t="shared" si="671"/>
        <v/>
      </c>
      <c r="V2447" s="314">
        <f>SUM('RES. CENTRAL PARK:RUA_FINAL'!N2447)</f>
        <v>0</v>
      </c>
      <c r="W2447" s="315">
        <f t="shared" si="660"/>
        <v>0</v>
      </c>
    </row>
    <row r="2448" spans="1:23" ht="13.5" hidden="1" thickBot="1" x14ac:dyDescent="0.25">
      <c r="A2448" s="63" t="s">
        <v>147</v>
      </c>
      <c r="B2448" s="895" t="s">
        <v>147</v>
      </c>
      <c r="C2448" s="896"/>
      <c r="D2448" s="957" t="s">
        <v>366</v>
      </c>
      <c r="E2448" s="907">
        <f>DMT!$D$18</f>
        <v>353</v>
      </c>
      <c r="F2448" s="908">
        <f>VLOOKUP(D2443,'ENSAIOS DE ORÇAMENTO'!$C$5:$L$81,10,FALSE)</f>
        <v>0</v>
      </c>
      <c r="G2448" s="909">
        <f>IF(E2448&lt;=30,(0.78*E2448+7.82)*F2448,((0.78*30+7.82)+0.78*(E2448-30))*F2448)</f>
        <v>0</v>
      </c>
      <c r="H2448" s="901"/>
      <c r="I2448" s="901" t="str">
        <f t="shared" si="673"/>
        <v/>
      </c>
      <c r="J2448" s="902">
        <f t="shared" si="663"/>
        <v>0</v>
      </c>
      <c r="K2448" s="958" t="s">
        <v>507</v>
      </c>
      <c r="L2448" s="1040">
        <f>ROUND(SUM('RES. CENTRAL PARK:RUA_FINAL'!L2448),2)</f>
        <v>0</v>
      </c>
      <c r="M2448" s="1041">
        <f t="shared" si="657"/>
        <v>0</v>
      </c>
      <c r="N2448" s="893">
        <f t="shared" si="658"/>
        <v>0</v>
      </c>
      <c r="O2448" s="905"/>
      <c r="P2448" s="58" t="str">
        <f>IF(N2443&gt;0,"xx",IF(N2443&gt;0,"xy",""))</f>
        <v/>
      </c>
      <c r="Q2448" s="317" t="str">
        <f t="shared" si="669"/>
        <v/>
      </c>
      <c r="R2448" s="317" t="str">
        <f t="shared" si="670"/>
        <v/>
      </c>
      <c r="S2448" s="317" t="str">
        <f t="shared" si="671"/>
        <v/>
      </c>
      <c r="V2448" s="314">
        <f>SUM('RES. CENTRAL PARK:RUA_FINAL'!N2448)</f>
        <v>0</v>
      </c>
      <c r="W2448" s="315">
        <f t="shared" si="660"/>
        <v>0</v>
      </c>
    </row>
    <row r="2449" spans="1:23" ht="13.5" hidden="1" thickBot="1" x14ac:dyDescent="0.25">
      <c r="A2449" s="63" t="s">
        <v>400</v>
      </c>
      <c r="B2449" s="895" t="s">
        <v>400</v>
      </c>
      <c r="C2449" s="896" t="s">
        <v>184</v>
      </c>
      <c r="D2449" s="906" t="str">
        <f>'ENSAIOS DE ORÇAMENTO'!C79</f>
        <v>ENSAIO DE ORÇAMENTO 8</v>
      </c>
      <c r="E2449" s="907"/>
      <c r="F2449" s="908"/>
      <c r="G2449" s="912">
        <f>SUM(G2450:G2454)</f>
        <v>0</v>
      </c>
      <c r="H2449" s="901">
        <v>0</v>
      </c>
      <c r="I2449" s="901">
        <f t="shared" si="673"/>
        <v>0</v>
      </c>
      <c r="J2449" s="902">
        <f t="shared" si="663"/>
        <v>0</v>
      </c>
      <c r="K2449" s="903" t="s">
        <v>15</v>
      </c>
      <c r="L2449" s="1039">
        <f>ROUND(SUM('RES. CENTRAL PARK:RUA_FINAL'!L2449),2)</f>
        <v>0</v>
      </c>
      <c r="M2449" s="1039">
        <f t="shared" si="657"/>
        <v>0</v>
      </c>
      <c r="N2449" s="893">
        <f t="shared" si="658"/>
        <v>0</v>
      </c>
      <c r="O2449" s="905"/>
      <c r="Q2449" s="317" t="str">
        <f t="shared" si="669"/>
        <v/>
      </c>
      <c r="R2449" s="317" t="str">
        <f t="shared" si="670"/>
        <v/>
      </c>
      <c r="S2449" s="317" t="str">
        <f t="shared" si="671"/>
        <v/>
      </c>
      <c r="V2449" s="314">
        <f>SUM('RES. CENTRAL PARK:RUA_FINAL'!N2449)</f>
        <v>0</v>
      </c>
      <c r="W2449" s="315">
        <f t="shared" si="660"/>
        <v>0</v>
      </c>
    </row>
    <row r="2450" spans="1:23" ht="13.5" hidden="1" thickBot="1" x14ac:dyDescent="0.25">
      <c r="A2450" s="63" t="s">
        <v>147</v>
      </c>
      <c r="B2450" s="895" t="s">
        <v>147</v>
      </c>
      <c r="C2450" s="896"/>
      <c r="D2450" s="957" t="s">
        <v>190</v>
      </c>
      <c r="E2450" s="907">
        <f>DMT!$D$20</f>
        <v>308</v>
      </c>
      <c r="F2450" s="908">
        <f>VLOOKUP(D2449,'ENSAIOS DE ORÇAMENTO'!$C$5:$L$81,4,FALSE)</f>
        <v>0</v>
      </c>
      <c r="G2450" s="909">
        <f>IF(E2450&lt;=30,(0.78*E2450+7.82)*F2450,((0.78*30+7.82)+0.78*(E2450-30))*F2450)</f>
        <v>0</v>
      </c>
      <c r="H2450" s="901"/>
      <c r="I2450" s="901" t="str">
        <f t="shared" si="673"/>
        <v/>
      </c>
      <c r="J2450" s="902">
        <f t="shared" si="663"/>
        <v>0</v>
      </c>
      <c r="K2450" s="958" t="s">
        <v>507</v>
      </c>
      <c r="L2450" s="1040">
        <f>ROUND(SUM('RES. CENTRAL PARK:RUA_FINAL'!L2450),2)</f>
        <v>0</v>
      </c>
      <c r="M2450" s="1041">
        <f t="shared" ref="M2450:M2499" si="678">IF(L2450=0,0,ROUND(J2450,2))</f>
        <v>0</v>
      </c>
      <c r="N2450" s="893">
        <f t="shared" ref="N2450:N2499" si="679">IF(ISBLANK(L2450),0,ROUND(L2450*M2450,2))</f>
        <v>0</v>
      </c>
      <c r="O2450" s="905"/>
      <c r="P2450" s="58" t="str">
        <f>IF(N2449&gt;0,"xx",IF(N2449&gt;0,"xy",""))</f>
        <v/>
      </c>
      <c r="Q2450" s="317" t="str">
        <f t="shared" si="669"/>
        <v/>
      </c>
      <c r="R2450" s="317" t="str">
        <f t="shared" si="670"/>
        <v/>
      </c>
      <c r="S2450" s="317" t="str">
        <f t="shared" si="671"/>
        <v/>
      </c>
      <c r="V2450" s="314">
        <f>SUM('RES. CENTRAL PARK:RUA_FINAL'!N2450)</f>
        <v>0</v>
      </c>
      <c r="W2450" s="315">
        <f t="shared" si="660"/>
        <v>0</v>
      </c>
    </row>
    <row r="2451" spans="1:23" ht="13.5" hidden="1" thickBot="1" x14ac:dyDescent="0.25">
      <c r="A2451" s="63" t="s">
        <v>147</v>
      </c>
      <c r="B2451" s="895" t="s">
        <v>147</v>
      </c>
      <c r="C2451" s="896"/>
      <c r="D2451" s="957" t="s">
        <v>229</v>
      </c>
      <c r="E2451" s="907">
        <f>DMT!$F$8</f>
        <v>150</v>
      </c>
      <c r="F2451" s="908">
        <f>VLOOKUP(D2449,'ENSAIOS DE ORÇAMENTO'!$C$5:$L$81,5,FALSE)</f>
        <v>0</v>
      </c>
      <c r="G2451" s="949">
        <f t="shared" ref="G2451:G2453" si="680">IF(E2451&lt;=30,(1.07*E2451+2.68)*F2451,((1.07*30+2.68)+1.07*(E2451-30))*F2451)</f>
        <v>0</v>
      </c>
      <c r="H2451" s="901"/>
      <c r="I2451" s="901" t="str">
        <f t="shared" si="673"/>
        <v/>
      </c>
      <c r="J2451" s="902">
        <f t="shared" si="663"/>
        <v>0</v>
      </c>
      <c r="K2451" s="958" t="s">
        <v>507</v>
      </c>
      <c r="L2451" s="1040">
        <f>ROUND(SUM('RES. CENTRAL PARK:RUA_FINAL'!L2451),2)</f>
        <v>0</v>
      </c>
      <c r="M2451" s="1041">
        <f t="shared" si="678"/>
        <v>0</v>
      </c>
      <c r="N2451" s="893">
        <f t="shared" si="679"/>
        <v>0</v>
      </c>
      <c r="O2451" s="905"/>
      <c r="P2451" s="58" t="str">
        <f>IF(N2449&gt;0,"xx",IF(N2449&gt;0,"xy",""))</f>
        <v/>
      </c>
      <c r="Q2451" s="317" t="str">
        <f t="shared" si="669"/>
        <v/>
      </c>
      <c r="R2451" s="317" t="str">
        <f t="shared" si="670"/>
        <v/>
      </c>
      <c r="S2451" s="317" t="str">
        <f t="shared" si="671"/>
        <v/>
      </c>
      <c r="V2451" s="314">
        <f>SUM('RES. CENTRAL PARK:RUA_FINAL'!N2451)</f>
        <v>0</v>
      </c>
      <c r="W2451" s="315">
        <f t="shared" si="660"/>
        <v>0</v>
      </c>
    </row>
    <row r="2452" spans="1:23" ht="13.5" hidden="1" thickBot="1" x14ac:dyDescent="0.25">
      <c r="A2452" s="63" t="s">
        <v>147</v>
      </c>
      <c r="B2452" s="895" t="s">
        <v>147</v>
      </c>
      <c r="C2452" s="896"/>
      <c r="D2452" s="957" t="s">
        <v>233</v>
      </c>
      <c r="E2452" s="907">
        <f>DMT!$F$10</f>
        <v>0.2</v>
      </c>
      <c r="F2452" s="908">
        <f>VLOOKUP(D2449,'ENSAIOS DE ORÇAMENTO'!$C$5:$L$81,6,FALSE)</f>
        <v>0</v>
      </c>
      <c r="G2452" s="949">
        <f t="shared" si="680"/>
        <v>0</v>
      </c>
      <c r="H2452" s="901"/>
      <c r="I2452" s="901" t="str">
        <f t="shared" si="673"/>
        <v/>
      </c>
      <c r="J2452" s="902">
        <f t="shared" si="663"/>
        <v>0</v>
      </c>
      <c r="K2452" s="958" t="s">
        <v>507</v>
      </c>
      <c r="L2452" s="1040">
        <f>ROUND(SUM('RES. CENTRAL PARK:RUA_FINAL'!L2452),2)</f>
        <v>0</v>
      </c>
      <c r="M2452" s="1041">
        <f t="shared" si="678"/>
        <v>0</v>
      </c>
      <c r="N2452" s="893">
        <f t="shared" si="679"/>
        <v>0</v>
      </c>
      <c r="O2452" s="905"/>
      <c r="P2452" s="58" t="str">
        <f>IF(N2449&gt;0,"xx",IF(N2449&gt;0,"xy",""))</f>
        <v/>
      </c>
      <c r="Q2452" s="317" t="str">
        <f t="shared" si="669"/>
        <v/>
      </c>
      <c r="R2452" s="317" t="str">
        <f t="shared" si="670"/>
        <v/>
      </c>
      <c r="S2452" s="317" t="str">
        <f t="shared" si="671"/>
        <v/>
      </c>
      <c r="V2452" s="314">
        <f>SUM('RES. CENTRAL PARK:RUA_FINAL'!N2452)</f>
        <v>0</v>
      </c>
      <c r="W2452" s="315">
        <f t="shared" si="660"/>
        <v>0</v>
      </c>
    </row>
    <row r="2453" spans="1:23" ht="13.5" hidden="1" thickBot="1" x14ac:dyDescent="0.25">
      <c r="A2453" s="63" t="s">
        <v>147</v>
      </c>
      <c r="B2453" s="895" t="s">
        <v>147</v>
      </c>
      <c r="C2453" s="896"/>
      <c r="D2453" s="957" t="s">
        <v>365</v>
      </c>
      <c r="E2453" s="907">
        <f>DMT!$F$32</f>
        <v>10</v>
      </c>
      <c r="F2453" s="908">
        <f>VLOOKUP(D2449,'ENSAIOS DE ORÇAMENTO'!$C$5:$L$81,3,FALSE)</f>
        <v>0</v>
      </c>
      <c r="G2453" s="949">
        <f t="shared" si="680"/>
        <v>0</v>
      </c>
      <c r="H2453" s="901"/>
      <c r="I2453" s="901" t="str">
        <f t="shared" si="673"/>
        <v/>
      </c>
      <c r="J2453" s="902">
        <f t="shared" si="663"/>
        <v>0</v>
      </c>
      <c r="K2453" s="958" t="s">
        <v>507</v>
      </c>
      <c r="L2453" s="1040">
        <f>ROUND(SUM('RES. CENTRAL PARK:RUA_FINAL'!L2453),2)</f>
        <v>0</v>
      </c>
      <c r="M2453" s="1041">
        <f t="shared" si="678"/>
        <v>0</v>
      </c>
      <c r="N2453" s="893">
        <f t="shared" si="679"/>
        <v>0</v>
      </c>
      <c r="O2453" s="905"/>
      <c r="P2453" s="58" t="str">
        <f>IF(N2449&gt;0,"xx",IF(N2449&gt;0,"xy",""))</f>
        <v/>
      </c>
      <c r="Q2453" s="317" t="str">
        <f t="shared" si="669"/>
        <v/>
      </c>
      <c r="R2453" s="317" t="str">
        <f t="shared" si="670"/>
        <v/>
      </c>
      <c r="S2453" s="317" t="str">
        <f t="shared" si="671"/>
        <v/>
      </c>
      <c r="V2453" s="314">
        <f>SUM('RES. CENTRAL PARK:RUA_FINAL'!N2453)</f>
        <v>0</v>
      </c>
      <c r="W2453" s="315">
        <f t="shared" ref="W2453:W2516" si="681">N2453-V2453</f>
        <v>0</v>
      </c>
    </row>
    <row r="2454" spans="1:23" ht="13.5" hidden="1" thickBot="1" x14ac:dyDescent="0.25">
      <c r="A2454" s="63" t="s">
        <v>147</v>
      </c>
      <c r="B2454" s="895" t="s">
        <v>147</v>
      </c>
      <c r="C2454" s="896"/>
      <c r="D2454" s="957" t="s">
        <v>366</v>
      </c>
      <c r="E2454" s="907">
        <f>DMT!$D$18</f>
        <v>353</v>
      </c>
      <c r="F2454" s="908">
        <f>VLOOKUP(D2449,'ENSAIOS DE ORÇAMENTO'!$C$5:$L$81,10,FALSE)</f>
        <v>0</v>
      </c>
      <c r="G2454" s="909">
        <f>IF(E2454&lt;=30,(0.78*E2454+7.82)*F2454,((0.78*30+7.82)+0.78*(E2454-30))*F2454)</f>
        <v>0</v>
      </c>
      <c r="H2454" s="901"/>
      <c r="I2454" s="901" t="str">
        <f t="shared" si="673"/>
        <v/>
      </c>
      <c r="J2454" s="902">
        <f t="shared" si="663"/>
        <v>0</v>
      </c>
      <c r="K2454" s="958" t="s">
        <v>507</v>
      </c>
      <c r="L2454" s="1040">
        <f>ROUND(SUM('RES. CENTRAL PARK:RUA_FINAL'!L2454),2)</f>
        <v>0</v>
      </c>
      <c r="M2454" s="1041">
        <f t="shared" si="678"/>
        <v>0</v>
      </c>
      <c r="N2454" s="893">
        <f t="shared" si="679"/>
        <v>0</v>
      </c>
      <c r="O2454" s="905"/>
      <c r="P2454" s="58" t="str">
        <f>IF(N2449&gt;0,"xx",IF(N2449&gt;0,"xy",""))</f>
        <v/>
      </c>
      <c r="Q2454" s="317" t="str">
        <f t="shared" si="669"/>
        <v/>
      </c>
      <c r="R2454" s="317" t="str">
        <f t="shared" si="670"/>
        <v/>
      </c>
      <c r="S2454" s="317" t="str">
        <f t="shared" si="671"/>
        <v/>
      </c>
      <c r="V2454" s="314">
        <f>SUM('RES. CENTRAL PARK:RUA_FINAL'!N2454)</f>
        <v>0</v>
      </c>
      <c r="W2454" s="315">
        <f t="shared" si="681"/>
        <v>0</v>
      </c>
    </row>
    <row r="2455" spans="1:23" ht="13.5" hidden="1" thickBot="1" x14ac:dyDescent="0.25">
      <c r="A2455" s="63" t="s">
        <v>401</v>
      </c>
      <c r="B2455" s="895" t="s">
        <v>401</v>
      </c>
      <c r="C2455" s="896" t="s">
        <v>184</v>
      </c>
      <c r="D2455" s="906" t="str">
        <f>'ENSAIOS DE ORÇAMENTO'!C80</f>
        <v>ENSAIO DE ORÇAMENTO 9</v>
      </c>
      <c r="E2455" s="907"/>
      <c r="F2455" s="908"/>
      <c r="G2455" s="912">
        <f>SUM(G2456:G2460)</f>
        <v>0</v>
      </c>
      <c r="H2455" s="901">
        <v>0</v>
      </c>
      <c r="I2455" s="901">
        <f t="shared" si="673"/>
        <v>0</v>
      </c>
      <c r="J2455" s="902">
        <f t="shared" si="663"/>
        <v>0</v>
      </c>
      <c r="K2455" s="903" t="s">
        <v>15</v>
      </c>
      <c r="L2455" s="1039">
        <f>ROUND(SUM('RES. CENTRAL PARK:RUA_FINAL'!L2455),2)</f>
        <v>0</v>
      </c>
      <c r="M2455" s="1039">
        <f t="shared" si="678"/>
        <v>0</v>
      </c>
      <c r="N2455" s="893">
        <f t="shared" si="679"/>
        <v>0</v>
      </c>
      <c r="O2455" s="905"/>
      <c r="Q2455" s="317" t="str">
        <f t="shared" si="669"/>
        <v/>
      </c>
      <c r="R2455" s="317" t="str">
        <f t="shared" si="670"/>
        <v/>
      </c>
      <c r="S2455" s="317" t="str">
        <f t="shared" si="671"/>
        <v/>
      </c>
      <c r="V2455" s="314">
        <f>SUM('RES. CENTRAL PARK:RUA_FINAL'!N2455)</f>
        <v>0</v>
      </c>
      <c r="W2455" s="315">
        <f t="shared" si="681"/>
        <v>0</v>
      </c>
    </row>
    <row r="2456" spans="1:23" ht="13.5" hidden="1" thickBot="1" x14ac:dyDescent="0.25">
      <c r="A2456" s="63" t="s">
        <v>147</v>
      </c>
      <c r="B2456" s="895" t="s">
        <v>147</v>
      </c>
      <c r="C2456" s="896"/>
      <c r="D2456" s="957" t="s">
        <v>190</v>
      </c>
      <c r="E2456" s="907">
        <f>DMT!$D$20</f>
        <v>308</v>
      </c>
      <c r="F2456" s="908">
        <f>VLOOKUP(D2455,'ENSAIOS DE ORÇAMENTO'!$C$5:$L$81,4,FALSE)</f>
        <v>0</v>
      </c>
      <c r="G2456" s="909">
        <f>IF(E2456&lt;=30,(0.78*E2456+7.82)*F2456,((0.78*30+7.82)+0.78*(E2456-30))*F2456)</f>
        <v>0</v>
      </c>
      <c r="H2456" s="901"/>
      <c r="I2456" s="901" t="str">
        <f t="shared" si="673"/>
        <v/>
      </c>
      <c r="J2456" s="902">
        <f t="shared" ref="J2456:J2498" si="682">IF(ISBLANK(H2456),0,ROUND(I2456*(1+$E$10),2))</f>
        <v>0</v>
      </c>
      <c r="K2456" s="958" t="s">
        <v>507</v>
      </c>
      <c r="L2456" s="1040">
        <f>ROUND(SUM('RES. CENTRAL PARK:RUA_FINAL'!L2456),2)</f>
        <v>0</v>
      </c>
      <c r="M2456" s="1041">
        <f t="shared" si="678"/>
        <v>0</v>
      </c>
      <c r="N2456" s="893">
        <f t="shared" si="679"/>
        <v>0</v>
      </c>
      <c r="O2456" s="905"/>
      <c r="P2456" s="58" t="str">
        <f>IF(N2455&gt;0,"xx",IF(N2455&gt;0,"xy",""))</f>
        <v/>
      </c>
      <c r="Q2456" s="317" t="str">
        <f t="shared" si="669"/>
        <v/>
      </c>
      <c r="R2456" s="317" t="str">
        <f t="shared" si="670"/>
        <v/>
      </c>
      <c r="S2456" s="317" t="str">
        <f t="shared" si="671"/>
        <v/>
      </c>
      <c r="V2456" s="314">
        <f>SUM('RES. CENTRAL PARK:RUA_FINAL'!N2456)</f>
        <v>0</v>
      </c>
      <c r="W2456" s="315">
        <f t="shared" si="681"/>
        <v>0</v>
      </c>
    </row>
    <row r="2457" spans="1:23" ht="13.5" hidden="1" thickBot="1" x14ac:dyDescent="0.25">
      <c r="A2457" s="63" t="s">
        <v>147</v>
      </c>
      <c r="B2457" s="895" t="s">
        <v>147</v>
      </c>
      <c r="C2457" s="896"/>
      <c r="D2457" s="957" t="s">
        <v>229</v>
      </c>
      <c r="E2457" s="907">
        <f>DMT!$F$8</f>
        <v>150</v>
      </c>
      <c r="F2457" s="908">
        <f>VLOOKUP(D2455,'ENSAIOS DE ORÇAMENTO'!$C$5:$L$81,5,FALSE)</f>
        <v>0</v>
      </c>
      <c r="G2457" s="949">
        <f t="shared" ref="G2457:G2459" si="683">IF(E2457&lt;=30,(1.07*E2457+2.68)*F2457,((1.07*30+2.68)+1.07*(E2457-30))*F2457)</f>
        <v>0</v>
      </c>
      <c r="H2457" s="901"/>
      <c r="I2457" s="901" t="str">
        <f t="shared" si="673"/>
        <v/>
      </c>
      <c r="J2457" s="902">
        <f t="shared" si="682"/>
        <v>0</v>
      </c>
      <c r="K2457" s="958" t="s">
        <v>507</v>
      </c>
      <c r="L2457" s="1040">
        <f>ROUND(SUM('RES. CENTRAL PARK:RUA_FINAL'!L2457),2)</f>
        <v>0</v>
      </c>
      <c r="M2457" s="1041">
        <f t="shared" si="678"/>
        <v>0</v>
      </c>
      <c r="N2457" s="893">
        <f t="shared" si="679"/>
        <v>0</v>
      </c>
      <c r="O2457" s="905"/>
      <c r="P2457" s="58" t="str">
        <f>IF(N2455&gt;0,"xx",IF(N2455&gt;0,"xy",""))</f>
        <v/>
      </c>
      <c r="Q2457" s="317" t="str">
        <f t="shared" si="669"/>
        <v/>
      </c>
      <c r="R2457" s="317" t="str">
        <f t="shared" si="670"/>
        <v/>
      </c>
      <c r="S2457" s="317" t="str">
        <f t="shared" si="671"/>
        <v/>
      </c>
      <c r="V2457" s="314">
        <f>SUM('RES. CENTRAL PARK:RUA_FINAL'!N2457)</f>
        <v>0</v>
      </c>
      <c r="W2457" s="315">
        <f t="shared" si="681"/>
        <v>0</v>
      </c>
    </row>
    <row r="2458" spans="1:23" ht="13.5" hidden="1" thickBot="1" x14ac:dyDescent="0.25">
      <c r="A2458" s="63" t="s">
        <v>147</v>
      </c>
      <c r="B2458" s="895" t="s">
        <v>147</v>
      </c>
      <c r="C2458" s="896"/>
      <c r="D2458" s="957" t="s">
        <v>233</v>
      </c>
      <c r="E2458" s="907">
        <f>DMT!$F$10</f>
        <v>0.2</v>
      </c>
      <c r="F2458" s="908">
        <f>VLOOKUP(D2455,'ENSAIOS DE ORÇAMENTO'!$C$5:$L$81,6,FALSE)</f>
        <v>0</v>
      </c>
      <c r="G2458" s="949">
        <f t="shared" si="683"/>
        <v>0</v>
      </c>
      <c r="H2458" s="901"/>
      <c r="I2458" s="901" t="str">
        <f t="shared" si="673"/>
        <v/>
      </c>
      <c r="J2458" s="902">
        <f t="shared" si="682"/>
        <v>0</v>
      </c>
      <c r="K2458" s="958" t="s">
        <v>507</v>
      </c>
      <c r="L2458" s="1040">
        <f>ROUND(SUM('RES. CENTRAL PARK:RUA_FINAL'!L2458),2)</f>
        <v>0</v>
      </c>
      <c r="M2458" s="1041">
        <f t="shared" si="678"/>
        <v>0</v>
      </c>
      <c r="N2458" s="893">
        <f t="shared" si="679"/>
        <v>0</v>
      </c>
      <c r="O2458" s="905"/>
      <c r="P2458" s="58" t="str">
        <f>IF(N2455&gt;0,"xx",IF(N2455&gt;0,"xy",""))</f>
        <v/>
      </c>
      <c r="Q2458" s="317" t="str">
        <f t="shared" si="669"/>
        <v/>
      </c>
      <c r="R2458" s="317" t="str">
        <f t="shared" si="670"/>
        <v/>
      </c>
      <c r="S2458" s="317" t="str">
        <f t="shared" si="671"/>
        <v/>
      </c>
      <c r="V2458" s="314">
        <f>SUM('RES. CENTRAL PARK:RUA_FINAL'!N2458)</f>
        <v>0</v>
      </c>
      <c r="W2458" s="315">
        <f t="shared" si="681"/>
        <v>0</v>
      </c>
    </row>
    <row r="2459" spans="1:23" ht="13.5" hidden="1" thickBot="1" x14ac:dyDescent="0.25">
      <c r="A2459" s="63" t="s">
        <v>147</v>
      </c>
      <c r="B2459" s="895" t="s">
        <v>147</v>
      </c>
      <c r="C2459" s="896"/>
      <c r="D2459" s="957" t="s">
        <v>365</v>
      </c>
      <c r="E2459" s="907">
        <f>DMT!$F$32</f>
        <v>10</v>
      </c>
      <c r="F2459" s="908">
        <f>VLOOKUP(D2455,'ENSAIOS DE ORÇAMENTO'!$C$5:$L$81,3,FALSE)</f>
        <v>0</v>
      </c>
      <c r="G2459" s="949">
        <f t="shared" si="683"/>
        <v>0</v>
      </c>
      <c r="H2459" s="901"/>
      <c r="I2459" s="901" t="str">
        <f t="shared" si="673"/>
        <v/>
      </c>
      <c r="J2459" s="902">
        <f t="shared" si="682"/>
        <v>0</v>
      </c>
      <c r="K2459" s="958" t="s">
        <v>507</v>
      </c>
      <c r="L2459" s="1040">
        <f>ROUND(SUM('RES. CENTRAL PARK:RUA_FINAL'!L2459),2)</f>
        <v>0</v>
      </c>
      <c r="M2459" s="1041">
        <f t="shared" si="678"/>
        <v>0</v>
      </c>
      <c r="N2459" s="893">
        <f t="shared" si="679"/>
        <v>0</v>
      </c>
      <c r="O2459" s="905"/>
      <c r="P2459" s="58" t="str">
        <f>IF(N2455&gt;0,"xx",IF(N2455&gt;0,"xy",""))</f>
        <v/>
      </c>
      <c r="Q2459" s="317" t="str">
        <f t="shared" si="669"/>
        <v/>
      </c>
      <c r="R2459" s="317" t="str">
        <f t="shared" si="670"/>
        <v/>
      </c>
      <c r="S2459" s="317" t="str">
        <f t="shared" si="671"/>
        <v/>
      </c>
      <c r="V2459" s="314">
        <f>SUM('RES. CENTRAL PARK:RUA_FINAL'!N2459)</f>
        <v>0</v>
      </c>
      <c r="W2459" s="315">
        <f t="shared" si="681"/>
        <v>0</v>
      </c>
    </row>
    <row r="2460" spans="1:23" ht="13.5" hidden="1" thickBot="1" x14ac:dyDescent="0.25">
      <c r="A2460" s="63" t="s">
        <v>147</v>
      </c>
      <c r="B2460" s="895" t="s">
        <v>147</v>
      </c>
      <c r="C2460" s="896"/>
      <c r="D2460" s="957" t="s">
        <v>366</v>
      </c>
      <c r="E2460" s="907">
        <f>DMT!$D$18</f>
        <v>353</v>
      </c>
      <c r="F2460" s="908">
        <f>VLOOKUP(D2455,'ENSAIOS DE ORÇAMENTO'!$C$5:$L$81,10,FALSE)</f>
        <v>0</v>
      </c>
      <c r="G2460" s="909">
        <f>IF(E2460&lt;=30,(0.78*E2460+7.82)*F2460,((0.78*30+7.82)+0.78*(E2460-30))*F2460)</f>
        <v>0</v>
      </c>
      <c r="H2460" s="901"/>
      <c r="I2460" s="901" t="str">
        <f t="shared" si="673"/>
        <v/>
      </c>
      <c r="J2460" s="902">
        <f t="shared" si="682"/>
        <v>0</v>
      </c>
      <c r="K2460" s="958" t="s">
        <v>507</v>
      </c>
      <c r="L2460" s="1040">
        <f>ROUND(SUM('RES. CENTRAL PARK:RUA_FINAL'!L2460),2)</f>
        <v>0</v>
      </c>
      <c r="M2460" s="1041">
        <f t="shared" si="678"/>
        <v>0</v>
      </c>
      <c r="N2460" s="893">
        <f t="shared" si="679"/>
        <v>0</v>
      </c>
      <c r="O2460" s="905"/>
      <c r="P2460" s="58" t="str">
        <f>IF(N2455&gt;0,"xx",IF(N2455&gt;0,"xy",""))</f>
        <v/>
      </c>
      <c r="Q2460" s="317" t="str">
        <f t="shared" si="669"/>
        <v/>
      </c>
      <c r="R2460" s="317" t="str">
        <f t="shared" si="670"/>
        <v/>
      </c>
      <c r="S2460" s="317" t="str">
        <f t="shared" si="671"/>
        <v/>
      </c>
      <c r="V2460" s="314">
        <f>SUM('RES. CENTRAL PARK:RUA_FINAL'!N2460)</f>
        <v>0</v>
      </c>
      <c r="W2460" s="315">
        <f t="shared" si="681"/>
        <v>0</v>
      </c>
    </row>
    <row r="2461" spans="1:23" ht="13.5" hidden="1" thickBot="1" x14ac:dyDescent="0.25">
      <c r="A2461" s="63" t="s">
        <v>402</v>
      </c>
      <c r="B2461" s="895" t="s">
        <v>402</v>
      </c>
      <c r="C2461" s="896" t="s">
        <v>184</v>
      </c>
      <c r="D2461" s="906" t="str">
        <f>'ENSAIOS DE ORÇAMENTO'!C81</f>
        <v>ENSAIO DE ORÇAMENTO 10</v>
      </c>
      <c r="E2461" s="907"/>
      <c r="F2461" s="908"/>
      <c r="G2461" s="912">
        <f>SUM(G2462:G2466)</f>
        <v>0</v>
      </c>
      <c r="H2461" s="901">
        <v>0</v>
      </c>
      <c r="I2461" s="901">
        <f t="shared" si="673"/>
        <v>0</v>
      </c>
      <c r="J2461" s="902">
        <f t="shared" si="682"/>
        <v>0</v>
      </c>
      <c r="K2461" s="903" t="s">
        <v>15</v>
      </c>
      <c r="L2461" s="1039">
        <f>ROUND(SUM('RES. CENTRAL PARK:RUA_FINAL'!L2461),2)</f>
        <v>0</v>
      </c>
      <c r="M2461" s="1039">
        <f t="shared" si="678"/>
        <v>0</v>
      </c>
      <c r="N2461" s="893">
        <f t="shared" si="679"/>
        <v>0</v>
      </c>
      <c r="O2461" s="905"/>
      <c r="Q2461" s="317" t="str">
        <f t="shared" si="669"/>
        <v/>
      </c>
      <c r="R2461" s="317" t="str">
        <f t="shared" si="670"/>
        <v/>
      </c>
      <c r="S2461" s="317" t="str">
        <f t="shared" si="671"/>
        <v/>
      </c>
      <c r="V2461" s="314">
        <f>SUM('RES. CENTRAL PARK:RUA_FINAL'!N2461)</f>
        <v>0</v>
      </c>
      <c r="W2461" s="315">
        <f t="shared" si="681"/>
        <v>0</v>
      </c>
    </row>
    <row r="2462" spans="1:23" ht="13.5" hidden="1" thickBot="1" x14ac:dyDescent="0.25">
      <c r="A2462" s="63" t="s">
        <v>147</v>
      </c>
      <c r="B2462" s="895" t="s">
        <v>147</v>
      </c>
      <c r="C2462" s="896"/>
      <c r="D2462" s="957" t="s">
        <v>190</v>
      </c>
      <c r="E2462" s="907">
        <f>DMT!$D$20</f>
        <v>308</v>
      </c>
      <c r="F2462" s="908">
        <f>VLOOKUP(D2461,'ENSAIOS DE ORÇAMENTO'!$C$5:$L$81,4,FALSE)</f>
        <v>0</v>
      </c>
      <c r="G2462" s="909">
        <f>IF(E2462&lt;=30,(0.78*E2462+7.82)*F2462,((0.78*30+7.82)+0.78*(E2462-30))*F2462)</f>
        <v>0</v>
      </c>
      <c r="H2462" s="901"/>
      <c r="I2462" s="901" t="str">
        <f t="shared" si="673"/>
        <v/>
      </c>
      <c r="J2462" s="902">
        <f t="shared" si="682"/>
        <v>0</v>
      </c>
      <c r="K2462" s="958" t="s">
        <v>507</v>
      </c>
      <c r="L2462" s="1040">
        <f>ROUND(SUM('RES. CENTRAL PARK:RUA_FINAL'!L2462),2)</f>
        <v>0</v>
      </c>
      <c r="M2462" s="1041">
        <f t="shared" si="678"/>
        <v>0</v>
      </c>
      <c r="N2462" s="893">
        <f t="shared" si="679"/>
        <v>0</v>
      </c>
      <c r="O2462" s="905"/>
      <c r="P2462" s="58" t="str">
        <f>IF(N2461&gt;0,"xx",IF(N2461&gt;0,"xy",""))</f>
        <v/>
      </c>
      <c r="Q2462" s="317" t="str">
        <f t="shared" si="669"/>
        <v/>
      </c>
      <c r="R2462" s="317" t="str">
        <f t="shared" si="670"/>
        <v/>
      </c>
      <c r="S2462" s="317" t="str">
        <f t="shared" si="671"/>
        <v/>
      </c>
      <c r="V2462" s="314">
        <f>SUM('RES. CENTRAL PARK:RUA_FINAL'!N2462)</f>
        <v>0</v>
      </c>
      <c r="W2462" s="315">
        <f t="shared" si="681"/>
        <v>0</v>
      </c>
    </row>
    <row r="2463" spans="1:23" ht="13.5" hidden="1" thickBot="1" x14ac:dyDescent="0.25">
      <c r="A2463" s="63" t="s">
        <v>147</v>
      </c>
      <c r="B2463" s="895" t="s">
        <v>147</v>
      </c>
      <c r="C2463" s="896"/>
      <c r="D2463" s="957" t="s">
        <v>229</v>
      </c>
      <c r="E2463" s="907">
        <f>DMT!$F$8</f>
        <v>150</v>
      </c>
      <c r="F2463" s="908">
        <f>VLOOKUP(D2461,'ENSAIOS DE ORÇAMENTO'!$C$5:$L$81,5,FALSE)</f>
        <v>0</v>
      </c>
      <c r="G2463" s="949">
        <f t="shared" ref="G2463:G2465" si="684">IF(E2463&lt;=30,(1.07*E2463+2.68)*F2463,((1.07*30+2.68)+1.07*(E2463-30))*F2463)</f>
        <v>0</v>
      </c>
      <c r="H2463" s="901"/>
      <c r="I2463" s="901" t="str">
        <f t="shared" si="673"/>
        <v/>
      </c>
      <c r="J2463" s="902">
        <f t="shared" si="682"/>
        <v>0</v>
      </c>
      <c r="K2463" s="958" t="s">
        <v>507</v>
      </c>
      <c r="L2463" s="1040">
        <f>ROUND(SUM('RES. CENTRAL PARK:RUA_FINAL'!L2463),2)</f>
        <v>0</v>
      </c>
      <c r="M2463" s="1041">
        <f t="shared" si="678"/>
        <v>0</v>
      </c>
      <c r="N2463" s="893">
        <f t="shared" si="679"/>
        <v>0</v>
      </c>
      <c r="O2463" s="905"/>
      <c r="P2463" s="58" t="str">
        <f>IF(N2461&gt;0,"xx",IF(N2461&gt;0,"xy",""))</f>
        <v/>
      </c>
      <c r="Q2463" s="317" t="str">
        <f t="shared" si="669"/>
        <v/>
      </c>
      <c r="R2463" s="317" t="str">
        <f t="shared" si="670"/>
        <v/>
      </c>
      <c r="S2463" s="317" t="str">
        <f t="shared" si="671"/>
        <v/>
      </c>
      <c r="V2463" s="314">
        <f>SUM('RES. CENTRAL PARK:RUA_FINAL'!N2463)</f>
        <v>0</v>
      </c>
      <c r="W2463" s="315">
        <f t="shared" si="681"/>
        <v>0</v>
      </c>
    </row>
    <row r="2464" spans="1:23" ht="13.5" hidden="1" thickBot="1" x14ac:dyDescent="0.25">
      <c r="A2464" s="63" t="s">
        <v>147</v>
      </c>
      <c r="B2464" s="895" t="s">
        <v>147</v>
      </c>
      <c r="C2464" s="896"/>
      <c r="D2464" s="957" t="s">
        <v>233</v>
      </c>
      <c r="E2464" s="907">
        <f>DMT!$F$10</f>
        <v>0.2</v>
      </c>
      <c r="F2464" s="908">
        <f>VLOOKUP(D2461,'ENSAIOS DE ORÇAMENTO'!$C$5:$L$81,6,FALSE)</f>
        <v>0</v>
      </c>
      <c r="G2464" s="949">
        <f t="shared" si="684"/>
        <v>0</v>
      </c>
      <c r="H2464" s="901"/>
      <c r="I2464" s="901" t="str">
        <f t="shared" si="673"/>
        <v/>
      </c>
      <c r="J2464" s="902">
        <f t="shared" si="682"/>
        <v>0</v>
      </c>
      <c r="K2464" s="958" t="s">
        <v>507</v>
      </c>
      <c r="L2464" s="1040">
        <f>ROUND(SUM('RES. CENTRAL PARK:RUA_FINAL'!L2464),2)</f>
        <v>0</v>
      </c>
      <c r="M2464" s="1041">
        <f t="shared" si="678"/>
        <v>0</v>
      </c>
      <c r="N2464" s="893">
        <f t="shared" si="679"/>
        <v>0</v>
      </c>
      <c r="O2464" s="905"/>
      <c r="P2464" s="58" t="str">
        <f>IF(N2461&gt;0,"xx",IF(N2461&gt;0,"xy",""))</f>
        <v/>
      </c>
      <c r="Q2464" s="317" t="str">
        <f t="shared" si="669"/>
        <v/>
      </c>
      <c r="R2464" s="317" t="str">
        <f t="shared" si="670"/>
        <v/>
      </c>
      <c r="S2464" s="317" t="str">
        <f t="shared" si="671"/>
        <v/>
      </c>
      <c r="V2464" s="314">
        <f>SUM('RES. CENTRAL PARK:RUA_FINAL'!N2464)</f>
        <v>0</v>
      </c>
      <c r="W2464" s="315">
        <f t="shared" si="681"/>
        <v>0</v>
      </c>
    </row>
    <row r="2465" spans="1:23" ht="13.5" hidden="1" thickBot="1" x14ac:dyDescent="0.25">
      <c r="A2465" s="63" t="s">
        <v>147</v>
      </c>
      <c r="B2465" s="895" t="s">
        <v>147</v>
      </c>
      <c r="C2465" s="896"/>
      <c r="D2465" s="957" t="s">
        <v>365</v>
      </c>
      <c r="E2465" s="907">
        <f>DMT!$F$32</f>
        <v>10</v>
      </c>
      <c r="F2465" s="908">
        <f>VLOOKUP(D2461,'ENSAIOS DE ORÇAMENTO'!$C$5:$L$81,3,FALSE)</f>
        <v>0</v>
      </c>
      <c r="G2465" s="949">
        <f t="shared" si="684"/>
        <v>0</v>
      </c>
      <c r="H2465" s="901"/>
      <c r="I2465" s="901" t="str">
        <f t="shared" si="673"/>
        <v/>
      </c>
      <c r="J2465" s="902">
        <f t="shared" si="682"/>
        <v>0</v>
      </c>
      <c r="K2465" s="958" t="s">
        <v>507</v>
      </c>
      <c r="L2465" s="1040">
        <f>ROUND(SUM('RES. CENTRAL PARK:RUA_FINAL'!L2465),2)</f>
        <v>0</v>
      </c>
      <c r="M2465" s="1041">
        <f t="shared" si="678"/>
        <v>0</v>
      </c>
      <c r="N2465" s="893">
        <f t="shared" si="679"/>
        <v>0</v>
      </c>
      <c r="O2465" s="905"/>
      <c r="P2465" s="58" t="str">
        <f>IF(N2461&gt;0,"xx",IF(N2461&gt;0,"xy",""))</f>
        <v/>
      </c>
      <c r="Q2465" s="317" t="str">
        <f t="shared" si="669"/>
        <v/>
      </c>
      <c r="R2465" s="317" t="str">
        <f t="shared" si="670"/>
        <v/>
      </c>
      <c r="S2465" s="317" t="str">
        <f t="shared" si="671"/>
        <v/>
      </c>
      <c r="V2465" s="314">
        <f>SUM('RES. CENTRAL PARK:RUA_FINAL'!N2465)</f>
        <v>0</v>
      </c>
      <c r="W2465" s="315">
        <f t="shared" si="681"/>
        <v>0</v>
      </c>
    </row>
    <row r="2466" spans="1:23" ht="13.5" hidden="1" thickBot="1" x14ac:dyDescent="0.25">
      <c r="A2466" s="63" t="s">
        <v>147</v>
      </c>
      <c r="B2466" s="895" t="s">
        <v>147</v>
      </c>
      <c r="C2466" s="896"/>
      <c r="D2466" s="957" t="s">
        <v>366</v>
      </c>
      <c r="E2466" s="907">
        <f>DMT!$D$18</f>
        <v>353</v>
      </c>
      <c r="F2466" s="908">
        <f>VLOOKUP(D2461,'ENSAIOS DE ORÇAMENTO'!$C$5:$L$81,10,FALSE)</f>
        <v>0</v>
      </c>
      <c r="G2466" s="909">
        <f>IF(E2466&lt;=30,(0.78*E2466+7.82)*F2466,((0.78*30+7.82)+0.78*(E2466-30))*F2466)</f>
        <v>0</v>
      </c>
      <c r="H2466" s="901"/>
      <c r="I2466" s="901" t="str">
        <f>IF(ISBLANK(H2466),"",SUM(G2466:H2466))</f>
        <v/>
      </c>
      <c r="J2466" s="902">
        <f t="shared" si="682"/>
        <v>0</v>
      </c>
      <c r="K2466" s="958" t="s">
        <v>507</v>
      </c>
      <c r="L2466" s="1040">
        <f>ROUND(SUM('RES. CENTRAL PARK:RUA_FINAL'!L2466),2)</f>
        <v>0</v>
      </c>
      <c r="M2466" s="1041">
        <f t="shared" si="678"/>
        <v>0</v>
      </c>
      <c r="N2466" s="893">
        <f t="shared" si="679"/>
        <v>0</v>
      </c>
      <c r="O2466" s="905"/>
      <c r="P2466" s="58" t="str">
        <f>IF(N2461&gt;0,"xx",IF(N2461&gt;0,"xy",""))</f>
        <v/>
      </c>
      <c r="Q2466" s="317" t="str">
        <f t="shared" si="669"/>
        <v/>
      </c>
      <c r="R2466" s="317" t="str">
        <f t="shared" si="670"/>
        <v/>
      </c>
      <c r="S2466" s="317" t="str">
        <f t="shared" si="671"/>
        <v/>
      </c>
      <c r="V2466" s="314">
        <f>SUM('RES. CENTRAL PARK:RUA_FINAL'!N2466)</f>
        <v>0</v>
      </c>
      <c r="W2466" s="315">
        <f t="shared" si="681"/>
        <v>0</v>
      </c>
    </row>
    <row r="2467" spans="1:23" ht="13.5" hidden="1" thickBot="1" x14ac:dyDescent="0.25">
      <c r="A2467" s="565" t="s">
        <v>165</v>
      </c>
      <c r="B2467" s="913" t="s">
        <v>165</v>
      </c>
      <c r="C2467" s="914"/>
      <c r="D2467" s="915" t="s">
        <v>413</v>
      </c>
      <c r="E2467" s="916"/>
      <c r="F2467" s="917"/>
      <c r="G2467" s="918"/>
      <c r="H2467" s="919"/>
      <c r="I2467" s="919"/>
      <c r="J2467" s="919">
        <v>0</v>
      </c>
      <c r="K2467" s="920" t="s">
        <v>507</v>
      </c>
      <c r="L2467" s="1044">
        <f>ROUND(SUM('RES. CENTRAL PARK:RUA_FINAL'!L2467),2)</f>
        <v>0</v>
      </c>
      <c r="M2467" s="1045">
        <f t="shared" si="678"/>
        <v>0</v>
      </c>
      <c r="N2467" s="923">
        <f t="shared" si="679"/>
        <v>0</v>
      </c>
      <c r="O2467" s="905"/>
      <c r="P2467" s="58" t="str">
        <f>IF(OR(SUM(N2468:N2498)&gt;0,SUM(N2468:N2498)&gt;0),"y","")</f>
        <v/>
      </c>
      <c r="Q2467" s="317" t="str">
        <f t="shared" si="669"/>
        <v/>
      </c>
      <c r="R2467" s="317" t="str">
        <f t="shared" si="670"/>
        <v/>
      </c>
      <c r="S2467" s="317" t="str">
        <f t="shared" si="671"/>
        <v/>
      </c>
      <c r="V2467" s="314">
        <f>SUM('RES. CENTRAL PARK:RUA_FINAL'!N2467)</f>
        <v>0</v>
      </c>
      <c r="W2467" s="315">
        <f t="shared" si="681"/>
        <v>0</v>
      </c>
    </row>
    <row r="2468" spans="1:23" ht="13.5" hidden="1" thickBot="1" x14ac:dyDescent="0.25">
      <c r="A2468" s="565" t="s">
        <v>165</v>
      </c>
      <c r="B2468" s="924" t="s">
        <v>2300</v>
      </c>
      <c r="C2468" s="925" t="s">
        <v>596</v>
      </c>
      <c r="D2468" s="931" t="s">
        <v>2304</v>
      </c>
      <c r="E2468" s="927"/>
      <c r="F2468" s="928"/>
      <c r="G2468" s="929"/>
      <c r="H2468" s="930">
        <v>13.05</v>
      </c>
      <c r="I2468" s="901">
        <f t="shared" ref="I2468:I2498" si="685">IF(ISBLANK(H2468),"",SUM(G2468:H2468))</f>
        <v>13.05</v>
      </c>
      <c r="J2468" s="890">
        <f t="shared" si="682"/>
        <v>15.67</v>
      </c>
      <c r="K2468" s="928" t="s">
        <v>2302</v>
      </c>
      <c r="L2468" s="1042">
        <f>ROUND(SUM('RES. CENTRAL PARK:RUA_FINAL'!L2468),2)</f>
        <v>0</v>
      </c>
      <c r="M2468" s="1043">
        <f t="shared" si="678"/>
        <v>0</v>
      </c>
      <c r="N2468" s="893">
        <f t="shared" si="679"/>
        <v>0</v>
      </c>
      <c r="O2468" s="905"/>
      <c r="Q2468" s="317" t="str">
        <f t="shared" si="669"/>
        <v/>
      </c>
      <c r="R2468" s="317" t="str">
        <f t="shared" si="670"/>
        <v/>
      </c>
      <c r="S2468" s="317" t="str">
        <f t="shared" si="671"/>
        <v/>
      </c>
      <c r="V2468" s="314">
        <f>SUM('RES. CENTRAL PARK:RUA_FINAL'!N2468)</f>
        <v>0</v>
      </c>
      <c r="W2468" s="315">
        <f t="shared" si="681"/>
        <v>0</v>
      </c>
    </row>
    <row r="2469" spans="1:23" ht="13.5" hidden="1" thickBot="1" x14ac:dyDescent="0.25">
      <c r="A2469" s="565" t="s">
        <v>165</v>
      </c>
      <c r="B2469" s="924" t="s">
        <v>2301</v>
      </c>
      <c r="C2469" s="925" t="s">
        <v>596</v>
      </c>
      <c r="D2469" s="931" t="s">
        <v>2303</v>
      </c>
      <c r="E2469" s="927"/>
      <c r="F2469" s="928"/>
      <c r="G2469" s="929"/>
      <c r="H2469" s="930">
        <v>16.329999999999998</v>
      </c>
      <c r="I2469" s="901">
        <f t="shared" si="685"/>
        <v>16.329999999999998</v>
      </c>
      <c r="J2469" s="890">
        <f t="shared" si="682"/>
        <v>19.61</v>
      </c>
      <c r="K2469" s="928" t="s">
        <v>2302</v>
      </c>
      <c r="L2469" s="1039">
        <f>ROUND(SUM('RES. CENTRAL PARK:RUA_FINAL'!L2469),2)</f>
        <v>0</v>
      </c>
      <c r="M2469" s="1039">
        <f t="shared" si="678"/>
        <v>0</v>
      </c>
      <c r="N2469" s="932">
        <f t="shared" si="679"/>
        <v>0</v>
      </c>
      <c r="O2469" s="905"/>
      <c r="Q2469" s="317" t="str">
        <f t="shared" si="669"/>
        <v/>
      </c>
      <c r="R2469" s="317" t="str">
        <f t="shared" si="670"/>
        <v/>
      </c>
      <c r="S2469" s="317" t="str">
        <f t="shared" si="671"/>
        <v/>
      </c>
      <c r="V2469" s="314">
        <f>SUM('RES. CENTRAL PARK:RUA_FINAL'!N2469)</f>
        <v>0</v>
      </c>
      <c r="W2469" s="315">
        <f t="shared" si="681"/>
        <v>0</v>
      </c>
    </row>
    <row r="2470" spans="1:23" ht="13.5" hidden="1" thickBot="1" x14ac:dyDescent="0.25">
      <c r="A2470" s="565" t="s">
        <v>165</v>
      </c>
      <c r="B2470" s="924" t="s">
        <v>165</v>
      </c>
      <c r="C2470" s="925" t="s">
        <v>165</v>
      </c>
      <c r="D2470" s="931"/>
      <c r="E2470" s="927"/>
      <c r="F2470" s="928"/>
      <c r="G2470" s="929"/>
      <c r="H2470" s="930"/>
      <c r="I2470" s="901" t="str">
        <f t="shared" si="685"/>
        <v/>
      </c>
      <c r="J2470" s="890">
        <f t="shared" si="682"/>
        <v>0</v>
      </c>
      <c r="K2470" s="928" t="s">
        <v>507</v>
      </c>
      <c r="L2470" s="1039">
        <f>ROUND(SUM('RES. CENTRAL PARK:RUA_FINAL'!L2470),2)</f>
        <v>0</v>
      </c>
      <c r="M2470" s="1039">
        <f t="shared" si="678"/>
        <v>0</v>
      </c>
      <c r="N2470" s="893">
        <f t="shared" si="679"/>
        <v>0</v>
      </c>
      <c r="O2470" s="905"/>
      <c r="Q2470" s="317" t="str">
        <f t="shared" si="669"/>
        <v/>
      </c>
      <c r="R2470" s="317" t="str">
        <f t="shared" si="670"/>
        <v/>
      </c>
      <c r="S2470" s="317" t="str">
        <f t="shared" si="671"/>
        <v/>
      </c>
      <c r="V2470" s="314">
        <f>SUM('RES. CENTRAL PARK:RUA_FINAL'!N2470)</f>
        <v>0</v>
      </c>
      <c r="W2470" s="315">
        <f t="shared" si="681"/>
        <v>0</v>
      </c>
    </row>
    <row r="2471" spans="1:23" ht="13.5" hidden="1" thickBot="1" x14ac:dyDescent="0.25">
      <c r="A2471" s="565" t="s">
        <v>165</v>
      </c>
      <c r="B2471" s="924" t="s">
        <v>165</v>
      </c>
      <c r="C2471" s="925" t="s">
        <v>165</v>
      </c>
      <c r="D2471" s="931"/>
      <c r="E2471" s="927"/>
      <c r="F2471" s="928"/>
      <c r="G2471" s="929"/>
      <c r="H2471" s="930"/>
      <c r="I2471" s="901" t="str">
        <f t="shared" si="685"/>
        <v/>
      </c>
      <c r="J2471" s="890">
        <f t="shared" si="682"/>
        <v>0</v>
      </c>
      <c r="K2471" s="928" t="s">
        <v>507</v>
      </c>
      <c r="L2471" s="1039">
        <f>ROUND(SUM('RES. CENTRAL PARK:RUA_FINAL'!L2471),2)</f>
        <v>0</v>
      </c>
      <c r="M2471" s="1039">
        <f t="shared" si="678"/>
        <v>0</v>
      </c>
      <c r="N2471" s="893">
        <f t="shared" si="679"/>
        <v>0</v>
      </c>
      <c r="O2471" s="905"/>
      <c r="Q2471" s="317" t="str">
        <f t="shared" si="669"/>
        <v/>
      </c>
      <c r="R2471" s="317" t="str">
        <f t="shared" si="670"/>
        <v/>
      </c>
      <c r="S2471" s="317" t="str">
        <f t="shared" si="671"/>
        <v/>
      </c>
      <c r="V2471" s="314">
        <f>SUM('RES. CENTRAL PARK:RUA_FINAL'!N2471)</f>
        <v>0</v>
      </c>
      <c r="W2471" s="315">
        <f t="shared" si="681"/>
        <v>0</v>
      </c>
    </row>
    <row r="2472" spans="1:23" ht="13.5" hidden="1" thickBot="1" x14ac:dyDescent="0.25">
      <c r="A2472" s="565" t="s">
        <v>165</v>
      </c>
      <c r="B2472" s="924" t="s">
        <v>165</v>
      </c>
      <c r="C2472" s="925" t="s">
        <v>165</v>
      </c>
      <c r="D2472" s="931"/>
      <c r="E2472" s="927"/>
      <c r="F2472" s="928"/>
      <c r="G2472" s="929"/>
      <c r="H2472" s="930"/>
      <c r="I2472" s="901" t="str">
        <f t="shared" si="685"/>
        <v/>
      </c>
      <c r="J2472" s="890">
        <f t="shared" si="682"/>
        <v>0</v>
      </c>
      <c r="K2472" s="928" t="s">
        <v>507</v>
      </c>
      <c r="L2472" s="1039">
        <f>ROUND(SUM('RES. CENTRAL PARK:RUA_FINAL'!L2472),2)</f>
        <v>0</v>
      </c>
      <c r="M2472" s="1039">
        <f t="shared" si="678"/>
        <v>0</v>
      </c>
      <c r="N2472" s="893">
        <f t="shared" si="679"/>
        <v>0</v>
      </c>
      <c r="O2472" s="905"/>
      <c r="Q2472" s="317" t="str">
        <f t="shared" si="669"/>
        <v/>
      </c>
      <c r="R2472" s="317" t="str">
        <f t="shared" si="670"/>
        <v/>
      </c>
      <c r="S2472" s="317" t="str">
        <f t="shared" si="671"/>
        <v/>
      </c>
      <c r="V2472" s="314">
        <f>SUM('RES. CENTRAL PARK:RUA_FINAL'!N2472)</f>
        <v>0</v>
      </c>
      <c r="W2472" s="315">
        <f t="shared" si="681"/>
        <v>0</v>
      </c>
    </row>
    <row r="2473" spans="1:23" ht="13.5" hidden="1" thickBot="1" x14ac:dyDescent="0.25">
      <c r="A2473" s="565" t="s">
        <v>165</v>
      </c>
      <c r="B2473" s="924" t="s">
        <v>165</v>
      </c>
      <c r="C2473" s="925" t="s">
        <v>165</v>
      </c>
      <c r="D2473" s="931"/>
      <c r="E2473" s="927"/>
      <c r="F2473" s="928"/>
      <c r="G2473" s="929"/>
      <c r="H2473" s="930"/>
      <c r="I2473" s="901" t="str">
        <f t="shared" si="685"/>
        <v/>
      </c>
      <c r="J2473" s="890">
        <f t="shared" si="682"/>
        <v>0</v>
      </c>
      <c r="K2473" s="928" t="s">
        <v>507</v>
      </c>
      <c r="L2473" s="1039">
        <f>ROUND(SUM('RES. CENTRAL PARK:RUA_FINAL'!L2473),2)</f>
        <v>0</v>
      </c>
      <c r="M2473" s="1039">
        <f t="shared" si="678"/>
        <v>0</v>
      </c>
      <c r="N2473" s="893">
        <f t="shared" si="679"/>
        <v>0</v>
      </c>
      <c r="O2473" s="905"/>
      <c r="Q2473" s="317" t="str">
        <f t="shared" si="669"/>
        <v/>
      </c>
      <c r="R2473" s="317" t="str">
        <f t="shared" si="670"/>
        <v/>
      </c>
      <c r="S2473" s="317" t="str">
        <f t="shared" si="671"/>
        <v/>
      </c>
      <c r="V2473" s="314">
        <f>SUM('RES. CENTRAL PARK:RUA_FINAL'!N2473)</f>
        <v>0</v>
      </c>
      <c r="W2473" s="315">
        <f t="shared" si="681"/>
        <v>0</v>
      </c>
    </row>
    <row r="2474" spans="1:23" ht="13.5" hidden="1" thickBot="1" x14ac:dyDescent="0.25">
      <c r="A2474" s="565" t="s">
        <v>165</v>
      </c>
      <c r="B2474" s="924" t="s">
        <v>165</v>
      </c>
      <c r="C2474" s="925" t="s">
        <v>165</v>
      </c>
      <c r="D2474" s="931"/>
      <c r="E2474" s="927"/>
      <c r="F2474" s="928"/>
      <c r="G2474" s="929"/>
      <c r="H2474" s="930"/>
      <c r="I2474" s="901" t="str">
        <f t="shared" si="685"/>
        <v/>
      </c>
      <c r="J2474" s="890">
        <f t="shared" si="682"/>
        <v>0</v>
      </c>
      <c r="K2474" s="928" t="s">
        <v>507</v>
      </c>
      <c r="L2474" s="1039">
        <f>ROUND(SUM('RES. CENTRAL PARK:RUA_FINAL'!L2474),2)</f>
        <v>0</v>
      </c>
      <c r="M2474" s="1039">
        <f t="shared" si="678"/>
        <v>0</v>
      </c>
      <c r="N2474" s="893">
        <f t="shared" si="679"/>
        <v>0</v>
      </c>
      <c r="O2474" s="905"/>
      <c r="Q2474" s="317" t="str">
        <f t="shared" si="669"/>
        <v/>
      </c>
      <c r="R2474" s="317" t="str">
        <f t="shared" si="670"/>
        <v/>
      </c>
      <c r="S2474" s="317" t="str">
        <f t="shared" si="671"/>
        <v/>
      </c>
      <c r="V2474" s="314">
        <f>SUM('RES. CENTRAL PARK:RUA_FINAL'!N2474)</f>
        <v>0</v>
      </c>
      <c r="W2474" s="315">
        <f t="shared" si="681"/>
        <v>0</v>
      </c>
    </row>
    <row r="2475" spans="1:23" ht="13.5" hidden="1" thickBot="1" x14ac:dyDescent="0.25">
      <c r="A2475" s="565" t="s">
        <v>165</v>
      </c>
      <c r="B2475" s="924" t="s">
        <v>165</v>
      </c>
      <c r="C2475" s="925" t="s">
        <v>165</v>
      </c>
      <c r="D2475" s="931"/>
      <c r="E2475" s="927"/>
      <c r="F2475" s="928"/>
      <c r="G2475" s="929"/>
      <c r="H2475" s="930"/>
      <c r="I2475" s="901" t="str">
        <f t="shared" si="685"/>
        <v/>
      </c>
      <c r="J2475" s="890">
        <f t="shared" si="682"/>
        <v>0</v>
      </c>
      <c r="K2475" s="928" t="s">
        <v>507</v>
      </c>
      <c r="L2475" s="1039">
        <f>ROUND(SUM('RES. CENTRAL PARK:RUA_FINAL'!L2475),2)</f>
        <v>0</v>
      </c>
      <c r="M2475" s="1039">
        <f t="shared" si="678"/>
        <v>0</v>
      </c>
      <c r="N2475" s="893">
        <f t="shared" si="679"/>
        <v>0</v>
      </c>
      <c r="O2475" s="905"/>
      <c r="Q2475" s="317" t="str">
        <f t="shared" si="669"/>
        <v/>
      </c>
      <c r="R2475" s="317" t="str">
        <f t="shared" si="670"/>
        <v/>
      </c>
      <c r="S2475" s="317" t="str">
        <f t="shared" si="671"/>
        <v/>
      </c>
      <c r="V2475" s="314">
        <f>SUM('RES. CENTRAL PARK:RUA_FINAL'!N2475)</f>
        <v>0</v>
      </c>
      <c r="W2475" s="315">
        <f t="shared" si="681"/>
        <v>0</v>
      </c>
    </row>
    <row r="2476" spans="1:23" ht="13.5" hidden="1" thickBot="1" x14ac:dyDescent="0.25">
      <c r="A2476" s="565" t="s">
        <v>165</v>
      </c>
      <c r="B2476" s="924" t="s">
        <v>165</v>
      </c>
      <c r="C2476" s="925" t="s">
        <v>165</v>
      </c>
      <c r="D2476" s="931"/>
      <c r="E2476" s="927"/>
      <c r="F2476" s="928"/>
      <c r="G2476" s="929"/>
      <c r="H2476" s="930"/>
      <c r="I2476" s="901" t="str">
        <f t="shared" si="685"/>
        <v/>
      </c>
      <c r="J2476" s="890">
        <f t="shared" si="682"/>
        <v>0</v>
      </c>
      <c r="K2476" s="928" t="s">
        <v>507</v>
      </c>
      <c r="L2476" s="1039">
        <f>ROUND(SUM('RES. CENTRAL PARK:RUA_FINAL'!L2476),2)</f>
        <v>0</v>
      </c>
      <c r="M2476" s="1039">
        <f t="shared" si="678"/>
        <v>0</v>
      </c>
      <c r="N2476" s="893">
        <f t="shared" si="679"/>
        <v>0</v>
      </c>
      <c r="O2476" s="905"/>
      <c r="Q2476" s="317" t="str">
        <f t="shared" si="669"/>
        <v/>
      </c>
      <c r="R2476" s="317" t="str">
        <f t="shared" si="670"/>
        <v/>
      </c>
      <c r="S2476" s="317" t="str">
        <f t="shared" si="671"/>
        <v/>
      </c>
      <c r="V2476" s="314">
        <f>SUM('RES. CENTRAL PARK:RUA_FINAL'!N2476)</f>
        <v>0</v>
      </c>
      <c r="W2476" s="315">
        <f t="shared" si="681"/>
        <v>0</v>
      </c>
    </row>
    <row r="2477" spans="1:23" ht="13.5" hidden="1" thickBot="1" x14ac:dyDescent="0.25">
      <c r="A2477" s="565" t="s">
        <v>165</v>
      </c>
      <c r="B2477" s="924" t="s">
        <v>165</v>
      </c>
      <c r="C2477" s="925" t="s">
        <v>165</v>
      </c>
      <c r="D2477" s="931"/>
      <c r="E2477" s="927"/>
      <c r="F2477" s="928"/>
      <c r="G2477" s="929"/>
      <c r="H2477" s="930"/>
      <c r="I2477" s="901" t="str">
        <f t="shared" si="685"/>
        <v/>
      </c>
      <c r="J2477" s="890">
        <f t="shared" si="682"/>
        <v>0</v>
      </c>
      <c r="K2477" s="928" t="s">
        <v>507</v>
      </c>
      <c r="L2477" s="1039">
        <f>ROUND(SUM('RES. CENTRAL PARK:RUA_FINAL'!L2477),2)</f>
        <v>0</v>
      </c>
      <c r="M2477" s="1039">
        <f t="shared" si="678"/>
        <v>0</v>
      </c>
      <c r="N2477" s="893">
        <f t="shared" si="679"/>
        <v>0</v>
      </c>
      <c r="O2477" s="905"/>
      <c r="Q2477" s="317" t="str">
        <f t="shared" si="669"/>
        <v/>
      </c>
      <c r="R2477" s="317" t="str">
        <f t="shared" si="670"/>
        <v/>
      </c>
      <c r="S2477" s="317" t="str">
        <f t="shared" si="671"/>
        <v/>
      </c>
      <c r="V2477" s="314">
        <f>SUM('RES. CENTRAL PARK:RUA_FINAL'!N2477)</f>
        <v>0</v>
      </c>
      <c r="W2477" s="315">
        <f t="shared" si="681"/>
        <v>0</v>
      </c>
    </row>
    <row r="2478" spans="1:23" ht="13.5" hidden="1" thickBot="1" x14ac:dyDescent="0.25">
      <c r="A2478" s="565" t="s">
        <v>165</v>
      </c>
      <c r="B2478" s="924" t="s">
        <v>165</v>
      </c>
      <c r="C2478" s="925" t="s">
        <v>165</v>
      </c>
      <c r="D2478" s="931"/>
      <c r="E2478" s="927"/>
      <c r="F2478" s="928"/>
      <c r="G2478" s="929"/>
      <c r="H2478" s="930"/>
      <c r="I2478" s="901" t="str">
        <f t="shared" si="685"/>
        <v/>
      </c>
      <c r="J2478" s="890">
        <f t="shared" si="682"/>
        <v>0</v>
      </c>
      <c r="K2478" s="928" t="s">
        <v>507</v>
      </c>
      <c r="L2478" s="1039">
        <f>ROUND(SUM('RES. CENTRAL PARK:RUA_FINAL'!L2478),2)</f>
        <v>0</v>
      </c>
      <c r="M2478" s="1039">
        <f t="shared" si="678"/>
        <v>0</v>
      </c>
      <c r="N2478" s="893">
        <f t="shared" si="679"/>
        <v>0</v>
      </c>
      <c r="O2478" s="905"/>
      <c r="Q2478" s="317" t="str">
        <f t="shared" si="669"/>
        <v/>
      </c>
      <c r="R2478" s="317" t="str">
        <f t="shared" si="670"/>
        <v/>
      </c>
      <c r="S2478" s="317" t="str">
        <f t="shared" si="671"/>
        <v/>
      </c>
      <c r="V2478" s="314">
        <f>SUM('RES. CENTRAL PARK:RUA_FINAL'!N2478)</f>
        <v>0</v>
      </c>
      <c r="W2478" s="315">
        <f t="shared" si="681"/>
        <v>0</v>
      </c>
    </row>
    <row r="2479" spans="1:23" ht="13.5" hidden="1" thickBot="1" x14ac:dyDescent="0.25">
      <c r="A2479" s="565" t="s">
        <v>165</v>
      </c>
      <c r="B2479" s="924" t="s">
        <v>165</v>
      </c>
      <c r="C2479" s="925" t="s">
        <v>165</v>
      </c>
      <c r="D2479" s="931"/>
      <c r="E2479" s="927"/>
      <c r="F2479" s="928"/>
      <c r="G2479" s="929"/>
      <c r="H2479" s="930"/>
      <c r="I2479" s="901" t="str">
        <f t="shared" si="685"/>
        <v/>
      </c>
      <c r="J2479" s="890">
        <f t="shared" si="682"/>
        <v>0</v>
      </c>
      <c r="K2479" s="928" t="s">
        <v>507</v>
      </c>
      <c r="L2479" s="1039">
        <f>ROUND(SUM('RES. CENTRAL PARK:RUA_FINAL'!L2479),2)</f>
        <v>0</v>
      </c>
      <c r="M2479" s="1039">
        <f t="shared" si="678"/>
        <v>0</v>
      </c>
      <c r="N2479" s="893">
        <f t="shared" si="679"/>
        <v>0</v>
      </c>
      <c r="O2479" s="905"/>
      <c r="Q2479" s="317" t="str">
        <f t="shared" si="669"/>
        <v/>
      </c>
      <c r="R2479" s="317" t="str">
        <f t="shared" si="670"/>
        <v/>
      </c>
      <c r="S2479" s="317" t="str">
        <f t="shared" si="671"/>
        <v/>
      </c>
      <c r="V2479" s="314">
        <f>SUM('RES. CENTRAL PARK:RUA_FINAL'!N2479)</f>
        <v>0</v>
      </c>
      <c r="W2479" s="315">
        <f t="shared" si="681"/>
        <v>0</v>
      </c>
    </row>
    <row r="2480" spans="1:23" ht="13.5" hidden="1" thickBot="1" x14ac:dyDescent="0.25">
      <c r="A2480" s="565" t="s">
        <v>165</v>
      </c>
      <c r="B2480" s="924" t="s">
        <v>165</v>
      </c>
      <c r="C2480" s="925" t="s">
        <v>165</v>
      </c>
      <c r="D2480" s="931"/>
      <c r="E2480" s="927"/>
      <c r="F2480" s="928"/>
      <c r="G2480" s="929"/>
      <c r="H2480" s="930"/>
      <c r="I2480" s="901" t="str">
        <f t="shared" si="685"/>
        <v/>
      </c>
      <c r="J2480" s="890">
        <f t="shared" si="682"/>
        <v>0</v>
      </c>
      <c r="K2480" s="928" t="s">
        <v>507</v>
      </c>
      <c r="L2480" s="1039">
        <f>ROUND(SUM('RES. CENTRAL PARK:RUA_FINAL'!L2480),2)</f>
        <v>0</v>
      </c>
      <c r="M2480" s="1039">
        <f t="shared" si="678"/>
        <v>0</v>
      </c>
      <c r="N2480" s="893">
        <f t="shared" si="679"/>
        <v>0</v>
      </c>
      <c r="O2480" s="905"/>
      <c r="Q2480" s="317" t="str">
        <f t="shared" ref="Q2480:Q2543" si="686">IF(P2480="X","x",IF(P2480="xx","x",IF(P2480="xy","x",IF(P2480="y","x",IF(OR(N2480&gt;0,N2480&gt;0),"x","")))))</f>
        <v/>
      </c>
      <c r="R2480" s="317" t="str">
        <f t="shared" ref="R2480:R2543" si="687">IF(P2480="X","x",IF(P2480="y","x",IF(P2480="xx","x",IF(N2480&gt;0,"x",""))))</f>
        <v/>
      </c>
      <c r="S2480" s="317" t="str">
        <f t="shared" ref="S2480:S2543" si="688">IF(P2480="X","x",IF(N2480&gt;0,"x",""))</f>
        <v/>
      </c>
      <c r="V2480" s="314">
        <f>SUM('RES. CENTRAL PARK:RUA_FINAL'!N2480)</f>
        <v>0</v>
      </c>
      <c r="W2480" s="315">
        <f t="shared" si="681"/>
        <v>0</v>
      </c>
    </row>
    <row r="2481" spans="1:23" ht="13.5" hidden="1" thickBot="1" x14ac:dyDescent="0.25">
      <c r="A2481" s="565" t="s">
        <v>165</v>
      </c>
      <c r="B2481" s="924" t="s">
        <v>165</v>
      </c>
      <c r="C2481" s="925" t="s">
        <v>165</v>
      </c>
      <c r="D2481" s="931"/>
      <c r="E2481" s="927"/>
      <c r="F2481" s="928"/>
      <c r="G2481" s="929"/>
      <c r="H2481" s="930"/>
      <c r="I2481" s="901" t="str">
        <f t="shared" si="685"/>
        <v/>
      </c>
      <c r="J2481" s="890">
        <f t="shared" si="682"/>
        <v>0</v>
      </c>
      <c r="K2481" s="928" t="s">
        <v>507</v>
      </c>
      <c r="L2481" s="1039">
        <f>ROUND(SUM('RES. CENTRAL PARK:RUA_FINAL'!L2481),2)</f>
        <v>0</v>
      </c>
      <c r="M2481" s="1039">
        <f t="shared" si="678"/>
        <v>0</v>
      </c>
      <c r="N2481" s="893">
        <f t="shared" si="679"/>
        <v>0</v>
      </c>
      <c r="O2481" s="905"/>
      <c r="Q2481" s="317" t="str">
        <f t="shared" si="686"/>
        <v/>
      </c>
      <c r="R2481" s="317" t="str">
        <f t="shared" si="687"/>
        <v/>
      </c>
      <c r="S2481" s="317" t="str">
        <f t="shared" si="688"/>
        <v/>
      </c>
      <c r="V2481" s="314">
        <f>SUM('RES. CENTRAL PARK:RUA_FINAL'!N2481)</f>
        <v>0</v>
      </c>
      <c r="W2481" s="315">
        <f t="shared" si="681"/>
        <v>0</v>
      </c>
    </row>
    <row r="2482" spans="1:23" ht="13.5" hidden="1" thickBot="1" x14ac:dyDescent="0.25">
      <c r="A2482" s="565" t="s">
        <v>165</v>
      </c>
      <c r="B2482" s="924" t="s">
        <v>165</v>
      </c>
      <c r="C2482" s="925" t="s">
        <v>165</v>
      </c>
      <c r="D2482" s="931"/>
      <c r="E2482" s="927"/>
      <c r="F2482" s="928"/>
      <c r="G2482" s="929"/>
      <c r="H2482" s="930"/>
      <c r="I2482" s="901" t="str">
        <f t="shared" si="685"/>
        <v/>
      </c>
      <c r="J2482" s="890">
        <f t="shared" si="682"/>
        <v>0</v>
      </c>
      <c r="K2482" s="928" t="s">
        <v>507</v>
      </c>
      <c r="L2482" s="1039">
        <f>ROUND(SUM('RES. CENTRAL PARK:RUA_FINAL'!L2482),2)</f>
        <v>0</v>
      </c>
      <c r="M2482" s="1039">
        <f t="shared" si="678"/>
        <v>0</v>
      </c>
      <c r="N2482" s="893">
        <f t="shared" si="679"/>
        <v>0</v>
      </c>
      <c r="O2482" s="905"/>
      <c r="Q2482" s="317" t="str">
        <f t="shared" si="686"/>
        <v/>
      </c>
      <c r="R2482" s="317" t="str">
        <f t="shared" si="687"/>
        <v/>
      </c>
      <c r="S2482" s="317" t="str">
        <f t="shared" si="688"/>
        <v/>
      </c>
      <c r="V2482" s="314">
        <f>SUM('RES. CENTRAL PARK:RUA_FINAL'!N2482)</f>
        <v>0</v>
      </c>
      <c r="W2482" s="315">
        <f t="shared" si="681"/>
        <v>0</v>
      </c>
    </row>
    <row r="2483" spans="1:23" ht="13.5" hidden="1" thickBot="1" x14ac:dyDescent="0.25">
      <c r="A2483" s="565" t="s">
        <v>165</v>
      </c>
      <c r="B2483" s="924" t="s">
        <v>165</v>
      </c>
      <c r="C2483" s="925" t="s">
        <v>165</v>
      </c>
      <c r="D2483" s="931"/>
      <c r="E2483" s="927"/>
      <c r="F2483" s="928"/>
      <c r="G2483" s="929"/>
      <c r="H2483" s="930"/>
      <c r="I2483" s="901" t="str">
        <f t="shared" si="685"/>
        <v/>
      </c>
      <c r="J2483" s="890">
        <f t="shared" si="682"/>
        <v>0</v>
      </c>
      <c r="K2483" s="928" t="s">
        <v>507</v>
      </c>
      <c r="L2483" s="1039">
        <f>ROUND(SUM('RES. CENTRAL PARK:RUA_FINAL'!L2483),2)</f>
        <v>0</v>
      </c>
      <c r="M2483" s="1039">
        <f t="shared" si="678"/>
        <v>0</v>
      </c>
      <c r="N2483" s="893">
        <f t="shared" si="679"/>
        <v>0</v>
      </c>
      <c r="O2483" s="905"/>
      <c r="Q2483" s="317" t="str">
        <f t="shared" si="686"/>
        <v/>
      </c>
      <c r="R2483" s="317" t="str">
        <f t="shared" si="687"/>
        <v/>
      </c>
      <c r="S2483" s="317" t="str">
        <f t="shared" si="688"/>
        <v/>
      </c>
      <c r="V2483" s="314">
        <f>SUM('RES. CENTRAL PARK:RUA_FINAL'!N2483)</f>
        <v>0</v>
      </c>
      <c r="W2483" s="315">
        <f t="shared" si="681"/>
        <v>0</v>
      </c>
    </row>
    <row r="2484" spans="1:23" ht="13.5" hidden="1" thickBot="1" x14ac:dyDescent="0.25">
      <c r="A2484" s="565" t="s">
        <v>165</v>
      </c>
      <c r="B2484" s="924" t="s">
        <v>165</v>
      </c>
      <c r="C2484" s="925" t="s">
        <v>165</v>
      </c>
      <c r="D2484" s="931"/>
      <c r="E2484" s="927"/>
      <c r="F2484" s="928"/>
      <c r="G2484" s="929"/>
      <c r="H2484" s="930"/>
      <c r="I2484" s="901" t="str">
        <f t="shared" si="685"/>
        <v/>
      </c>
      <c r="J2484" s="890">
        <f t="shared" si="682"/>
        <v>0</v>
      </c>
      <c r="K2484" s="928" t="s">
        <v>507</v>
      </c>
      <c r="L2484" s="1039">
        <f>ROUND(SUM('RES. CENTRAL PARK:RUA_FINAL'!L2484),2)</f>
        <v>0</v>
      </c>
      <c r="M2484" s="1039">
        <f t="shared" si="678"/>
        <v>0</v>
      </c>
      <c r="N2484" s="893">
        <f t="shared" si="679"/>
        <v>0</v>
      </c>
      <c r="O2484" s="905"/>
      <c r="Q2484" s="317" t="str">
        <f t="shared" si="686"/>
        <v/>
      </c>
      <c r="R2484" s="317" t="str">
        <f t="shared" si="687"/>
        <v/>
      </c>
      <c r="S2484" s="317" t="str">
        <f t="shared" si="688"/>
        <v/>
      </c>
      <c r="V2484" s="314">
        <f>SUM('RES. CENTRAL PARK:RUA_FINAL'!N2484)</f>
        <v>0</v>
      </c>
      <c r="W2484" s="315">
        <f t="shared" si="681"/>
        <v>0</v>
      </c>
    </row>
    <row r="2485" spans="1:23" ht="13.5" hidden="1" thickBot="1" x14ac:dyDescent="0.25">
      <c r="A2485" s="565" t="s">
        <v>165</v>
      </c>
      <c r="B2485" s="924" t="s">
        <v>165</v>
      </c>
      <c r="C2485" s="925" t="s">
        <v>165</v>
      </c>
      <c r="D2485" s="931"/>
      <c r="E2485" s="927"/>
      <c r="F2485" s="928"/>
      <c r="G2485" s="929"/>
      <c r="H2485" s="930"/>
      <c r="I2485" s="901" t="str">
        <f t="shared" si="685"/>
        <v/>
      </c>
      <c r="J2485" s="890">
        <f t="shared" si="682"/>
        <v>0</v>
      </c>
      <c r="K2485" s="928" t="s">
        <v>507</v>
      </c>
      <c r="L2485" s="1039">
        <f>ROUND(SUM('RES. CENTRAL PARK:RUA_FINAL'!L2485),2)</f>
        <v>0</v>
      </c>
      <c r="M2485" s="1039">
        <f t="shared" si="678"/>
        <v>0</v>
      </c>
      <c r="N2485" s="893">
        <f t="shared" si="679"/>
        <v>0</v>
      </c>
      <c r="O2485" s="905"/>
      <c r="Q2485" s="317" t="str">
        <f t="shared" si="686"/>
        <v/>
      </c>
      <c r="R2485" s="317" t="str">
        <f t="shared" si="687"/>
        <v/>
      </c>
      <c r="S2485" s="317" t="str">
        <f t="shared" si="688"/>
        <v/>
      </c>
      <c r="V2485" s="314">
        <f>SUM('RES. CENTRAL PARK:RUA_FINAL'!N2485)</f>
        <v>0</v>
      </c>
      <c r="W2485" s="315">
        <f t="shared" si="681"/>
        <v>0</v>
      </c>
    </row>
    <row r="2486" spans="1:23" ht="13.5" hidden="1" thickBot="1" x14ac:dyDescent="0.25">
      <c r="A2486" s="565" t="s">
        <v>165</v>
      </c>
      <c r="B2486" s="924" t="s">
        <v>165</v>
      </c>
      <c r="C2486" s="925" t="s">
        <v>165</v>
      </c>
      <c r="D2486" s="931"/>
      <c r="E2486" s="927"/>
      <c r="F2486" s="928"/>
      <c r="G2486" s="929"/>
      <c r="H2486" s="930"/>
      <c r="I2486" s="901" t="str">
        <f t="shared" si="685"/>
        <v/>
      </c>
      <c r="J2486" s="890">
        <f t="shared" si="682"/>
        <v>0</v>
      </c>
      <c r="K2486" s="928" t="s">
        <v>507</v>
      </c>
      <c r="L2486" s="1039">
        <f>ROUND(SUM('RES. CENTRAL PARK:RUA_FINAL'!L2486),2)</f>
        <v>0</v>
      </c>
      <c r="M2486" s="1039">
        <f t="shared" si="678"/>
        <v>0</v>
      </c>
      <c r="N2486" s="893">
        <f t="shared" si="679"/>
        <v>0</v>
      </c>
      <c r="O2486" s="905"/>
      <c r="Q2486" s="317" t="str">
        <f t="shared" si="686"/>
        <v/>
      </c>
      <c r="R2486" s="317" t="str">
        <f t="shared" si="687"/>
        <v/>
      </c>
      <c r="S2486" s="317" t="str">
        <f t="shared" si="688"/>
        <v/>
      </c>
      <c r="V2486" s="314">
        <f>SUM('RES. CENTRAL PARK:RUA_FINAL'!N2486)</f>
        <v>0</v>
      </c>
      <c r="W2486" s="315">
        <f t="shared" si="681"/>
        <v>0</v>
      </c>
    </row>
    <row r="2487" spans="1:23" ht="13.5" hidden="1" thickBot="1" x14ac:dyDescent="0.25">
      <c r="A2487" s="565" t="s">
        <v>165</v>
      </c>
      <c r="B2487" s="924" t="s">
        <v>165</v>
      </c>
      <c r="C2487" s="925" t="s">
        <v>165</v>
      </c>
      <c r="D2487" s="931"/>
      <c r="E2487" s="927"/>
      <c r="F2487" s="928"/>
      <c r="G2487" s="929"/>
      <c r="H2487" s="930"/>
      <c r="I2487" s="901" t="str">
        <f t="shared" si="685"/>
        <v/>
      </c>
      <c r="J2487" s="890">
        <f t="shared" si="682"/>
        <v>0</v>
      </c>
      <c r="K2487" s="928" t="s">
        <v>507</v>
      </c>
      <c r="L2487" s="1039">
        <f>ROUND(SUM('RES. CENTRAL PARK:RUA_FINAL'!L2487),2)</f>
        <v>0</v>
      </c>
      <c r="M2487" s="1039">
        <f t="shared" si="678"/>
        <v>0</v>
      </c>
      <c r="N2487" s="893">
        <f t="shared" si="679"/>
        <v>0</v>
      </c>
      <c r="O2487" s="905"/>
      <c r="Q2487" s="317" t="str">
        <f t="shared" si="686"/>
        <v/>
      </c>
      <c r="R2487" s="317" t="str">
        <f t="shared" si="687"/>
        <v/>
      </c>
      <c r="S2487" s="317" t="str">
        <f t="shared" si="688"/>
        <v/>
      </c>
      <c r="V2487" s="314">
        <f>SUM('RES. CENTRAL PARK:RUA_FINAL'!N2487)</f>
        <v>0</v>
      </c>
      <c r="W2487" s="315">
        <f t="shared" si="681"/>
        <v>0</v>
      </c>
    </row>
    <row r="2488" spans="1:23" ht="13.5" hidden="1" thickBot="1" x14ac:dyDescent="0.25">
      <c r="A2488" s="565" t="s">
        <v>165</v>
      </c>
      <c r="B2488" s="924" t="s">
        <v>165</v>
      </c>
      <c r="C2488" s="925" t="s">
        <v>165</v>
      </c>
      <c r="D2488" s="931"/>
      <c r="E2488" s="927"/>
      <c r="F2488" s="928"/>
      <c r="G2488" s="929"/>
      <c r="H2488" s="930"/>
      <c r="I2488" s="901" t="str">
        <f t="shared" si="685"/>
        <v/>
      </c>
      <c r="J2488" s="890">
        <f t="shared" si="682"/>
        <v>0</v>
      </c>
      <c r="K2488" s="928" t="s">
        <v>507</v>
      </c>
      <c r="L2488" s="1039">
        <f>ROUND(SUM('RES. CENTRAL PARK:RUA_FINAL'!L2488),2)</f>
        <v>0</v>
      </c>
      <c r="M2488" s="1039">
        <f t="shared" si="678"/>
        <v>0</v>
      </c>
      <c r="N2488" s="893">
        <f t="shared" si="679"/>
        <v>0</v>
      </c>
      <c r="O2488" s="905"/>
      <c r="Q2488" s="317" t="str">
        <f t="shared" si="686"/>
        <v/>
      </c>
      <c r="R2488" s="317" t="str">
        <f t="shared" si="687"/>
        <v/>
      </c>
      <c r="S2488" s="317" t="str">
        <f t="shared" si="688"/>
        <v/>
      </c>
      <c r="V2488" s="314">
        <f>SUM('RES. CENTRAL PARK:RUA_FINAL'!N2488)</f>
        <v>0</v>
      </c>
      <c r="W2488" s="315">
        <f t="shared" si="681"/>
        <v>0</v>
      </c>
    </row>
    <row r="2489" spans="1:23" ht="13.5" hidden="1" thickBot="1" x14ac:dyDescent="0.25">
      <c r="A2489" s="565" t="s">
        <v>165</v>
      </c>
      <c r="B2489" s="924" t="s">
        <v>165</v>
      </c>
      <c r="C2489" s="925" t="s">
        <v>165</v>
      </c>
      <c r="D2489" s="931"/>
      <c r="E2489" s="927"/>
      <c r="F2489" s="928"/>
      <c r="G2489" s="929"/>
      <c r="H2489" s="930"/>
      <c r="I2489" s="901" t="str">
        <f t="shared" si="685"/>
        <v/>
      </c>
      <c r="J2489" s="890">
        <f t="shared" si="682"/>
        <v>0</v>
      </c>
      <c r="K2489" s="928" t="s">
        <v>507</v>
      </c>
      <c r="L2489" s="1039">
        <f>ROUND(SUM('RES. CENTRAL PARK:RUA_FINAL'!L2489),2)</f>
        <v>0</v>
      </c>
      <c r="M2489" s="1039">
        <f t="shared" si="678"/>
        <v>0</v>
      </c>
      <c r="N2489" s="893">
        <f t="shared" si="679"/>
        <v>0</v>
      </c>
      <c r="O2489" s="905"/>
      <c r="Q2489" s="317" t="str">
        <f t="shared" si="686"/>
        <v/>
      </c>
      <c r="R2489" s="317" t="str">
        <f t="shared" si="687"/>
        <v/>
      </c>
      <c r="S2489" s="317" t="str">
        <f t="shared" si="688"/>
        <v/>
      </c>
      <c r="V2489" s="314">
        <f>SUM('RES. CENTRAL PARK:RUA_FINAL'!N2489)</f>
        <v>0</v>
      </c>
      <c r="W2489" s="315">
        <f t="shared" si="681"/>
        <v>0</v>
      </c>
    </row>
    <row r="2490" spans="1:23" ht="13.5" hidden="1" thickBot="1" x14ac:dyDescent="0.25">
      <c r="A2490" s="565" t="s">
        <v>165</v>
      </c>
      <c r="B2490" s="924" t="s">
        <v>165</v>
      </c>
      <c r="C2490" s="925" t="s">
        <v>165</v>
      </c>
      <c r="D2490" s="931"/>
      <c r="E2490" s="927"/>
      <c r="F2490" s="928"/>
      <c r="G2490" s="929"/>
      <c r="H2490" s="930"/>
      <c r="I2490" s="901" t="str">
        <f t="shared" si="685"/>
        <v/>
      </c>
      <c r="J2490" s="890">
        <f t="shared" si="682"/>
        <v>0</v>
      </c>
      <c r="K2490" s="928" t="s">
        <v>507</v>
      </c>
      <c r="L2490" s="1039">
        <f>ROUND(SUM('RES. CENTRAL PARK:RUA_FINAL'!L2490),2)</f>
        <v>0</v>
      </c>
      <c r="M2490" s="1039">
        <f t="shared" si="678"/>
        <v>0</v>
      </c>
      <c r="N2490" s="893">
        <f t="shared" si="679"/>
        <v>0</v>
      </c>
      <c r="O2490" s="905"/>
      <c r="Q2490" s="317" t="str">
        <f t="shared" si="686"/>
        <v/>
      </c>
      <c r="R2490" s="317" t="str">
        <f t="shared" si="687"/>
        <v/>
      </c>
      <c r="S2490" s="317" t="str">
        <f t="shared" si="688"/>
        <v/>
      </c>
      <c r="V2490" s="314">
        <f>SUM('RES. CENTRAL PARK:RUA_FINAL'!N2490)</f>
        <v>0</v>
      </c>
      <c r="W2490" s="315">
        <f t="shared" si="681"/>
        <v>0</v>
      </c>
    </row>
    <row r="2491" spans="1:23" ht="13.5" hidden="1" thickBot="1" x14ac:dyDescent="0.25">
      <c r="A2491" s="565" t="s">
        <v>165</v>
      </c>
      <c r="B2491" s="924" t="s">
        <v>165</v>
      </c>
      <c r="C2491" s="925" t="s">
        <v>165</v>
      </c>
      <c r="D2491" s="931"/>
      <c r="E2491" s="927"/>
      <c r="F2491" s="928"/>
      <c r="G2491" s="929"/>
      <c r="H2491" s="930"/>
      <c r="I2491" s="901" t="str">
        <f t="shared" si="685"/>
        <v/>
      </c>
      <c r="J2491" s="890">
        <f t="shared" si="682"/>
        <v>0</v>
      </c>
      <c r="K2491" s="928" t="s">
        <v>507</v>
      </c>
      <c r="L2491" s="1039">
        <f>ROUND(SUM('RES. CENTRAL PARK:RUA_FINAL'!L2491),2)</f>
        <v>0</v>
      </c>
      <c r="M2491" s="1039">
        <f t="shared" si="678"/>
        <v>0</v>
      </c>
      <c r="N2491" s="893">
        <f t="shared" si="679"/>
        <v>0</v>
      </c>
      <c r="O2491" s="905"/>
      <c r="Q2491" s="317" t="str">
        <f t="shared" si="686"/>
        <v/>
      </c>
      <c r="R2491" s="317" t="str">
        <f t="shared" si="687"/>
        <v/>
      </c>
      <c r="S2491" s="317" t="str">
        <f t="shared" si="688"/>
        <v/>
      </c>
      <c r="V2491" s="314">
        <f>SUM('RES. CENTRAL PARK:RUA_FINAL'!N2491)</f>
        <v>0</v>
      </c>
      <c r="W2491" s="315">
        <f t="shared" si="681"/>
        <v>0</v>
      </c>
    </row>
    <row r="2492" spans="1:23" ht="13.5" hidden="1" thickBot="1" x14ac:dyDescent="0.25">
      <c r="A2492" s="565" t="s">
        <v>165</v>
      </c>
      <c r="B2492" s="924" t="s">
        <v>165</v>
      </c>
      <c r="C2492" s="925" t="s">
        <v>165</v>
      </c>
      <c r="D2492" s="931"/>
      <c r="E2492" s="927"/>
      <c r="F2492" s="928"/>
      <c r="G2492" s="929"/>
      <c r="H2492" s="930"/>
      <c r="I2492" s="901" t="str">
        <f t="shared" si="685"/>
        <v/>
      </c>
      <c r="J2492" s="890">
        <f t="shared" si="682"/>
        <v>0</v>
      </c>
      <c r="K2492" s="928" t="s">
        <v>507</v>
      </c>
      <c r="L2492" s="1039">
        <f>ROUND(SUM('RES. CENTRAL PARK:RUA_FINAL'!L2492),2)</f>
        <v>0</v>
      </c>
      <c r="M2492" s="1039">
        <f t="shared" si="678"/>
        <v>0</v>
      </c>
      <c r="N2492" s="893">
        <f t="shared" si="679"/>
        <v>0</v>
      </c>
      <c r="O2492" s="905"/>
      <c r="Q2492" s="317" t="str">
        <f t="shared" si="686"/>
        <v/>
      </c>
      <c r="R2492" s="317" t="str">
        <f t="shared" si="687"/>
        <v/>
      </c>
      <c r="S2492" s="317" t="str">
        <f t="shared" si="688"/>
        <v/>
      </c>
      <c r="V2492" s="314">
        <f>SUM('RES. CENTRAL PARK:RUA_FINAL'!N2492)</f>
        <v>0</v>
      </c>
      <c r="W2492" s="315">
        <f t="shared" si="681"/>
        <v>0</v>
      </c>
    </row>
    <row r="2493" spans="1:23" ht="13.5" hidden="1" thickBot="1" x14ac:dyDescent="0.25">
      <c r="A2493" s="565" t="s">
        <v>165</v>
      </c>
      <c r="B2493" s="924" t="s">
        <v>165</v>
      </c>
      <c r="C2493" s="925" t="s">
        <v>165</v>
      </c>
      <c r="D2493" s="931"/>
      <c r="E2493" s="927"/>
      <c r="F2493" s="928"/>
      <c r="G2493" s="929"/>
      <c r="H2493" s="930"/>
      <c r="I2493" s="901" t="str">
        <f t="shared" si="685"/>
        <v/>
      </c>
      <c r="J2493" s="890">
        <f t="shared" si="682"/>
        <v>0</v>
      </c>
      <c r="K2493" s="928" t="s">
        <v>507</v>
      </c>
      <c r="L2493" s="1039">
        <f>ROUND(SUM('RES. CENTRAL PARK:RUA_FINAL'!L2493),2)</f>
        <v>0</v>
      </c>
      <c r="M2493" s="1039">
        <f t="shared" si="678"/>
        <v>0</v>
      </c>
      <c r="N2493" s="893">
        <f t="shared" si="679"/>
        <v>0</v>
      </c>
      <c r="O2493" s="905"/>
      <c r="Q2493" s="317" t="str">
        <f t="shared" si="686"/>
        <v/>
      </c>
      <c r="R2493" s="317" t="str">
        <f t="shared" si="687"/>
        <v/>
      </c>
      <c r="S2493" s="317" t="str">
        <f t="shared" si="688"/>
        <v/>
      </c>
      <c r="V2493" s="314">
        <f>SUM('RES. CENTRAL PARK:RUA_FINAL'!N2493)</f>
        <v>0</v>
      </c>
      <c r="W2493" s="315">
        <f t="shared" si="681"/>
        <v>0</v>
      </c>
    </row>
    <row r="2494" spans="1:23" ht="13.5" hidden="1" thickBot="1" x14ac:dyDescent="0.25">
      <c r="A2494" s="565" t="s">
        <v>165</v>
      </c>
      <c r="B2494" s="924" t="s">
        <v>165</v>
      </c>
      <c r="C2494" s="925" t="s">
        <v>165</v>
      </c>
      <c r="D2494" s="931"/>
      <c r="E2494" s="927"/>
      <c r="F2494" s="928"/>
      <c r="G2494" s="929"/>
      <c r="H2494" s="930"/>
      <c r="I2494" s="901" t="str">
        <f t="shared" si="685"/>
        <v/>
      </c>
      <c r="J2494" s="890">
        <f t="shared" si="682"/>
        <v>0</v>
      </c>
      <c r="K2494" s="928" t="s">
        <v>507</v>
      </c>
      <c r="L2494" s="1039">
        <f>ROUND(SUM('RES. CENTRAL PARK:RUA_FINAL'!L2494),2)</f>
        <v>0</v>
      </c>
      <c r="M2494" s="1039">
        <f t="shared" si="678"/>
        <v>0</v>
      </c>
      <c r="N2494" s="893">
        <f t="shared" si="679"/>
        <v>0</v>
      </c>
      <c r="O2494" s="905"/>
      <c r="Q2494" s="317" t="str">
        <f t="shared" si="686"/>
        <v/>
      </c>
      <c r="R2494" s="317" t="str">
        <f t="shared" si="687"/>
        <v/>
      </c>
      <c r="S2494" s="317" t="str">
        <f t="shared" si="688"/>
        <v/>
      </c>
      <c r="V2494" s="314">
        <f>SUM('RES. CENTRAL PARK:RUA_FINAL'!N2494)</f>
        <v>0</v>
      </c>
      <c r="W2494" s="315">
        <f t="shared" si="681"/>
        <v>0</v>
      </c>
    </row>
    <row r="2495" spans="1:23" ht="13.5" hidden="1" thickBot="1" x14ac:dyDescent="0.25">
      <c r="A2495" s="565" t="s">
        <v>165</v>
      </c>
      <c r="B2495" s="924" t="s">
        <v>165</v>
      </c>
      <c r="C2495" s="925" t="s">
        <v>165</v>
      </c>
      <c r="D2495" s="931"/>
      <c r="E2495" s="927"/>
      <c r="F2495" s="928"/>
      <c r="G2495" s="929"/>
      <c r="H2495" s="930"/>
      <c r="I2495" s="901" t="str">
        <f t="shared" si="685"/>
        <v/>
      </c>
      <c r="J2495" s="890">
        <f t="shared" si="682"/>
        <v>0</v>
      </c>
      <c r="K2495" s="928" t="s">
        <v>507</v>
      </c>
      <c r="L2495" s="1039">
        <f>ROUND(SUM('RES. CENTRAL PARK:RUA_FINAL'!L2495),2)</f>
        <v>0</v>
      </c>
      <c r="M2495" s="1039">
        <f t="shared" si="678"/>
        <v>0</v>
      </c>
      <c r="N2495" s="893">
        <f t="shared" si="679"/>
        <v>0</v>
      </c>
      <c r="O2495" s="905"/>
      <c r="Q2495" s="317" t="str">
        <f t="shared" si="686"/>
        <v/>
      </c>
      <c r="R2495" s="317" t="str">
        <f t="shared" si="687"/>
        <v/>
      </c>
      <c r="S2495" s="317" t="str">
        <f t="shared" si="688"/>
        <v/>
      </c>
      <c r="V2495" s="314">
        <f>SUM('RES. CENTRAL PARK:RUA_FINAL'!N2495)</f>
        <v>0</v>
      </c>
      <c r="W2495" s="315">
        <f t="shared" si="681"/>
        <v>0</v>
      </c>
    </row>
    <row r="2496" spans="1:23" ht="13.5" hidden="1" thickBot="1" x14ac:dyDescent="0.25">
      <c r="A2496" s="565" t="s">
        <v>165</v>
      </c>
      <c r="B2496" s="924" t="s">
        <v>165</v>
      </c>
      <c r="C2496" s="925" t="s">
        <v>165</v>
      </c>
      <c r="D2496" s="931"/>
      <c r="E2496" s="927"/>
      <c r="F2496" s="928"/>
      <c r="G2496" s="929"/>
      <c r="H2496" s="930"/>
      <c r="I2496" s="901" t="str">
        <f t="shared" si="685"/>
        <v/>
      </c>
      <c r="J2496" s="890">
        <f t="shared" si="682"/>
        <v>0</v>
      </c>
      <c r="K2496" s="928" t="s">
        <v>507</v>
      </c>
      <c r="L2496" s="1039">
        <f>ROUND(SUM('RES. CENTRAL PARK:RUA_FINAL'!L2496),2)</f>
        <v>0</v>
      </c>
      <c r="M2496" s="1039">
        <f t="shared" si="678"/>
        <v>0</v>
      </c>
      <c r="N2496" s="893">
        <f t="shared" si="679"/>
        <v>0</v>
      </c>
      <c r="O2496" s="905"/>
      <c r="Q2496" s="317" t="str">
        <f t="shared" si="686"/>
        <v/>
      </c>
      <c r="R2496" s="317" t="str">
        <f t="shared" si="687"/>
        <v/>
      </c>
      <c r="S2496" s="317" t="str">
        <f t="shared" si="688"/>
        <v/>
      </c>
      <c r="V2496" s="314">
        <f>SUM('RES. CENTRAL PARK:RUA_FINAL'!N2496)</f>
        <v>0</v>
      </c>
      <c r="W2496" s="315">
        <f t="shared" si="681"/>
        <v>0</v>
      </c>
    </row>
    <row r="2497" spans="1:29" ht="13.5" hidden="1" thickBot="1" x14ac:dyDescent="0.25">
      <c r="A2497" s="565" t="s">
        <v>165</v>
      </c>
      <c r="B2497" s="924" t="s">
        <v>165</v>
      </c>
      <c r="C2497" s="925" t="s">
        <v>165</v>
      </c>
      <c r="D2497" s="931"/>
      <c r="E2497" s="927"/>
      <c r="F2497" s="928"/>
      <c r="G2497" s="929"/>
      <c r="H2497" s="930"/>
      <c r="I2497" s="901" t="str">
        <f t="shared" si="685"/>
        <v/>
      </c>
      <c r="J2497" s="890">
        <f t="shared" si="682"/>
        <v>0</v>
      </c>
      <c r="K2497" s="928" t="s">
        <v>507</v>
      </c>
      <c r="L2497" s="1039">
        <f>ROUND(SUM('RES. CENTRAL PARK:RUA_FINAL'!L2497),2)</f>
        <v>0</v>
      </c>
      <c r="M2497" s="1039">
        <f t="shared" si="678"/>
        <v>0</v>
      </c>
      <c r="N2497" s="893">
        <f t="shared" si="679"/>
        <v>0</v>
      </c>
      <c r="O2497" s="905"/>
      <c r="Q2497" s="317" t="str">
        <f t="shared" si="686"/>
        <v/>
      </c>
      <c r="R2497" s="317" t="str">
        <f t="shared" si="687"/>
        <v/>
      </c>
      <c r="S2497" s="317" t="str">
        <f t="shared" si="688"/>
        <v/>
      </c>
      <c r="V2497" s="314">
        <f>SUM('RES. CENTRAL PARK:RUA_FINAL'!N2497)</f>
        <v>0</v>
      </c>
      <c r="W2497" s="315">
        <f t="shared" si="681"/>
        <v>0</v>
      </c>
    </row>
    <row r="2498" spans="1:29" ht="13.5" hidden="1" thickBot="1" x14ac:dyDescent="0.25">
      <c r="A2498" s="565" t="s">
        <v>165</v>
      </c>
      <c r="B2498" s="924" t="s">
        <v>165</v>
      </c>
      <c r="C2498" s="925" t="s">
        <v>165</v>
      </c>
      <c r="D2498" s="931"/>
      <c r="E2498" s="927"/>
      <c r="F2498" s="928"/>
      <c r="G2498" s="929"/>
      <c r="H2498" s="930"/>
      <c r="I2498" s="901" t="str">
        <f t="shared" si="685"/>
        <v/>
      </c>
      <c r="J2498" s="890">
        <f t="shared" si="682"/>
        <v>0</v>
      </c>
      <c r="K2498" s="928" t="s">
        <v>507</v>
      </c>
      <c r="L2498" s="1039">
        <f>ROUND(SUM('RES. CENTRAL PARK:RUA_FINAL'!L2498),2)</f>
        <v>0</v>
      </c>
      <c r="M2498" s="1039">
        <f t="shared" si="678"/>
        <v>0</v>
      </c>
      <c r="N2498" s="893">
        <f t="shared" si="679"/>
        <v>0</v>
      </c>
      <c r="O2498" s="905"/>
      <c r="Q2498" s="317" t="str">
        <f t="shared" si="686"/>
        <v/>
      </c>
      <c r="R2498" s="317" t="str">
        <f t="shared" si="687"/>
        <v/>
      </c>
      <c r="S2498" s="317" t="str">
        <f t="shared" si="688"/>
        <v/>
      </c>
      <c r="V2498" s="314">
        <f>SUM('RES. CENTRAL PARK:RUA_FINAL'!N2498)</f>
        <v>0</v>
      </c>
      <c r="W2498" s="315">
        <f t="shared" si="681"/>
        <v>0</v>
      </c>
    </row>
    <row r="2499" spans="1:29" ht="13.5" hidden="1" thickBot="1" x14ac:dyDescent="0.25">
      <c r="A2499" s="565">
        <v>11</v>
      </c>
      <c r="B2499" s="1047" t="s">
        <v>487</v>
      </c>
      <c r="C2499" s="1048"/>
      <c r="D2499" s="1049" t="s">
        <v>525</v>
      </c>
      <c r="E2499" s="1050"/>
      <c r="F2499" s="1051"/>
      <c r="G2499" s="1052"/>
      <c r="H2499" s="1053"/>
      <c r="I2499" s="1053"/>
      <c r="J2499" s="1053"/>
      <c r="K2499" s="1054" t="s">
        <v>507</v>
      </c>
      <c r="L2499" s="1055">
        <f>ROUND(SUM('RES. CENTRAL PARK:RUA_FINAL'!L2499),2)</f>
        <v>0</v>
      </c>
      <c r="M2499" s="1056">
        <f t="shared" si="678"/>
        <v>0</v>
      </c>
      <c r="N2499" s="1057">
        <f t="shared" si="679"/>
        <v>0</v>
      </c>
      <c r="O2499" s="1058">
        <f>SUM(N2501:N2546)</f>
        <v>0</v>
      </c>
      <c r="P2499" s="58" t="str">
        <f>IF(OR(O2499&gt;0,O2499&gt;0),"X","")</f>
        <v/>
      </c>
      <c r="Q2499" s="317" t="str">
        <f t="shared" si="686"/>
        <v/>
      </c>
      <c r="R2499" s="317" t="str">
        <f t="shared" si="687"/>
        <v/>
      </c>
      <c r="S2499" s="317" t="str">
        <f t="shared" si="688"/>
        <v/>
      </c>
      <c r="V2499" s="314">
        <f>SUM('RES. CENTRAL PARK:RUA_FINAL'!N2499)</f>
        <v>0</v>
      </c>
      <c r="W2499" s="315">
        <f t="shared" si="681"/>
        <v>0</v>
      </c>
    </row>
    <row r="2500" spans="1:29" ht="34.5" hidden="1" thickBot="1" x14ac:dyDescent="0.25">
      <c r="A2500" s="565"/>
      <c r="B2500" s="1059"/>
      <c r="C2500" s="1060"/>
      <c r="D2500" s="1061" t="s">
        <v>2013</v>
      </c>
      <c r="E2500" s="1062"/>
      <c r="F2500" s="1063"/>
      <c r="G2500" s="1064"/>
      <c r="H2500" s="1065"/>
      <c r="I2500" s="1065"/>
      <c r="J2500" s="1065"/>
      <c r="K2500" s="1066"/>
      <c r="L2500" s="1067">
        <f>ROUND(SUM('RES. CENTRAL PARK:RUA_FINAL'!L2500),2)</f>
        <v>0</v>
      </c>
      <c r="M2500" s="1067">
        <v>0</v>
      </c>
      <c r="N2500" s="1068">
        <v>0</v>
      </c>
      <c r="O2500" s="1069"/>
      <c r="P2500" s="577" t="str">
        <f>P2499</f>
        <v/>
      </c>
      <c r="Q2500" s="317" t="str">
        <f t="shared" si="686"/>
        <v/>
      </c>
      <c r="R2500" s="317" t="str">
        <f t="shared" si="687"/>
        <v/>
      </c>
      <c r="S2500" s="317" t="str">
        <f t="shared" si="688"/>
        <v/>
      </c>
      <c r="V2500" s="314">
        <f>SUM('RES. CENTRAL PARK:RUA_FINAL'!N2500)</f>
        <v>0</v>
      </c>
      <c r="W2500" s="315">
        <f t="shared" si="681"/>
        <v>0</v>
      </c>
    </row>
    <row r="2501" spans="1:29" s="77" customFormat="1" ht="23.25" hidden="1" thickBot="1" x14ac:dyDescent="0.25">
      <c r="A2501" s="565" t="s">
        <v>165</v>
      </c>
      <c r="B2501" s="883" t="s">
        <v>535</v>
      </c>
      <c r="C2501" s="884" t="s">
        <v>503</v>
      </c>
      <c r="D2501" s="946" t="s">
        <v>488</v>
      </c>
      <c r="E2501" s="1031"/>
      <c r="F2501" s="947"/>
      <c r="G2501" s="949"/>
      <c r="H2501" s="889">
        <v>163.62</v>
      </c>
      <c r="I2501" s="889">
        <f>IF(ISBLANK(H2501),"",SUM(G2501:H2501))</f>
        <v>163.62</v>
      </c>
      <c r="J2501" s="890">
        <f>IF(ISBLANK(H2501),0,ROUND(I2501*(1+$E$10),2))</f>
        <v>196.46</v>
      </c>
      <c r="K2501" s="891" t="s">
        <v>15</v>
      </c>
      <c r="L2501" s="1039">
        <f>ROUND(SUM('RES. CENTRAL PARK:RUA_FINAL'!L2501),2)</f>
        <v>0</v>
      </c>
      <c r="M2501" s="1039">
        <f t="shared" ref="M2501:M2546" si="689">IF(L2501=0,0,ROUND(J2501,2))</f>
        <v>0</v>
      </c>
      <c r="N2501" s="932">
        <f t="shared" ref="N2501:N2546" si="690">IF(ISBLANK(L2501),0,ROUND(L2501*M2501,2))</f>
        <v>0</v>
      </c>
      <c r="O2501" s="905"/>
      <c r="P2501" s="76"/>
      <c r="Q2501" s="317" t="str">
        <f t="shared" si="686"/>
        <v/>
      </c>
      <c r="R2501" s="317" t="str">
        <f t="shared" si="687"/>
        <v/>
      </c>
      <c r="S2501" s="317" t="str">
        <f t="shared" si="688"/>
        <v/>
      </c>
      <c r="T2501"/>
      <c r="V2501" s="314">
        <f>SUM('RES. CENTRAL PARK:RUA_FINAL'!N2501)</f>
        <v>0</v>
      </c>
      <c r="W2501" s="315">
        <f t="shared" si="681"/>
        <v>0</v>
      </c>
    </row>
    <row r="2502" spans="1:29" s="77" customFormat="1" ht="23.25" hidden="1" thickBot="1" x14ac:dyDescent="0.25">
      <c r="A2502" s="565" t="s">
        <v>165</v>
      </c>
      <c r="B2502" s="895" t="s">
        <v>535</v>
      </c>
      <c r="C2502" s="896" t="s">
        <v>503</v>
      </c>
      <c r="D2502" s="906" t="s">
        <v>489</v>
      </c>
      <c r="E2502" s="907"/>
      <c r="F2502" s="908"/>
      <c r="G2502" s="912"/>
      <c r="H2502" s="901">
        <v>163.62</v>
      </c>
      <c r="I2502" s="901">
        <f t="shared" ref="I2502:I2546" si="691">IF(ISBLANK(H2502),"",SUM(G2502:H2502))</f>
        <v>163.62</v>
      </c>
      <c r="J2502" s="902">
        <f t="shared" ref="J2502:J2546" si="692">IF(ISBLANK(H2502),0,ROUND(I2502*(1+$E$10),2))</f>
        <v>196.46</v>
      </c>
      <c r="K2502" s="903" t="s">
        <v>15</v>
      </c>
      <c r="L2502" s="1039">
        <f>ROUND(SUM('RES. CENTRAL PARK:RUA_FINAL'!L2502),2)</f>
        <v>0</v>
      </c>
      <c r="M2502" s="1039">
        <f t="shared" si="689"/>
        <v>0</v>
      </c>
      <c r="N2502" s="893">
        <f t="shared" si="690"/>
        <v>0</v>
      </c>
      <c r="O2502" s="905"/>
      <c r="P2502" s="76"/>
      <c r="Q2502" s="317" t="str">
        <f t="shared" si="686"/>
        <v/>
      </c>
      <c r="R2502" s="317" t="str">
        <f t="shared" si="687"/>
        <v/>
      </c>
      <c r="S2502" s="317" t="str">
        <f t="shared" si="688"/>
        <v/>
      </c>
      <c r="T2502"/>
      <c r="V2502" s="314">
        <f>SUM('RES. CENTRAL PARK:RUA_FINAL'!N2502)</f>
        <v>0</v>
      </c>
      <c r="W2502" s="315">
        <f t="shared" si="681"/>
        <v>0</v>
      </c>
    </row>
    <row r="2503" spans="1:29" s="77" customFormat="1" ht="23.25" hidden="1" thickBot="1" x14ac:dyDescent="0.25">
      <c r="A2503" s="565" t="s">
        <v>165</v>
      </c>
      <c r="B2503" s="895" t="s">
        <v>535</v>
      </c>
      <c r="C2503" s="896" t="s">
        <v>503</v>
      </c>
      <c r="D2503" s="906" t="s">
        <v>490</v>
      </c>
      <c r="E2503" s="907"/>
      <c r="F2503" s="908"/>
      <c r="G2503" s="912"/>
      <c r="H2503" s="901">
        <v>163.62</v>
      </c>
      <c r="I2503" s="901">
        <f t="shared" si="691"/>
        <v>163.62</v>
      </c>
      <c r="J2503" s="902">
        <f t="shared" si="692"/>
        <v>196.46</v>
      </c>
      <c r="K2503" s="903" t="s">
        <v>15</v>
      </c>
      <c r="L2503" s="1039">
        <f>ROUND(SUM('RES. CENTRAL PARK:RUA_FINAL'!L2503),2)</f>
        <v>0</v>
      </c>
      <c r="M2503" s="1039">
        <f t="shared" si="689"/>
        <v>0</v>
      </c>
      <c r="N2503" s="893">
        <f t="shared" si="690"/>
        <v>0</v>
      </c>
      <c r="O2503" s="905"/>
      <c r="P2503" s="76"/>
      <c r="Q2503" s="317" t="str">
        <f t="shared" si="686"/>
        <v/>
      </c>
      <c r="R2503" s="317" t="str">
        <f t="shared" si="687"/>
        <v/>
      </c>
      <c r="S2503" s="317" t="str">
        <f t="shared" si="688"/>
        <v/>
      </c>
      <c r="T2503"/>
      <c r="V2503" s="314">
        <f>SUM('RES. CENTRAL PARK:RUA_FINAL'!N2503)</f>
        <v>0</v>
      </c>
      <c r="W2503" s="315">
        <f t="shared" si="681"/>
        <v>0</v>
      </c>
    </row>
    <row r="2504" spans="1:29" s="77" customFormat="1" ht="23.25" hidden="1" thickBot="1" x14ac:dyDescent="0.25">
      <c r="A2504" s="565" t="s">
        <v>165</v>
      </c>
      <c r="B2504" s="895" t="s">
        <v>535</v>
      </c>
      <c r="C2504" s="896" t="s">
        <v>503</v>
      </c>
      <c r="D2504" s="906" t="s">
        <v>1999</v>
      </c>
      <c r="E2504" s="907"/>
      <c r="F2504" s="908"/>
      <c r="G2504" s="912"/>
      <c r="H2504" s="901">
        <v>163.62</v>
      </c>
      <c r="I2504" s="901">
        <f t="shared" si="691"/>
        <v>163.62</v>
      </c>
      <c r="J2504" s="902">
        <f t="shared" si="692"/>
        <v>196.46</v>
      </c>
      <c r="K2504" s="903" t="s">
        <v>15</v>
      </c>
      <c r="L2504" s="1039">
        <f>ROUND(SUM('RES. CENTRAL PARK:RUA_FINAL'!L2504),2)</f>
        <v>0</v>
      </c>
      <c r="M2504" s="1039">
        <f t="shared" si="689"/>
        <v>0</v>
      </c>
      <c r="N2504" s="893">
        <f t="shared" si="690"/>
        <v>0</v>
      </c>
      <c r="O2504" s="905"/>
      <c r="P2504" s="76"/>
      <c r="Q2504" s="317" t="str">
        <f t="shared" si="686"/>
        <v/>
      </c>
      <c r="R2504" s="317" t="str">
        <f t="shared" si="687"/>
        <v/>
      </c>
      <c r="S2504" s="317" t="str">
        <f t="shared" si="688"/>
        <v/>
      </c>
      <c r="T2504"/>
      <c r="V2504" s="314">
        <f>SUM('RES. CENTRAL PARK:RUA_FINAL'!N2504)</f>
        <v>0</v>
      </c>
      <c r="W2504" s="315">
        <f t="shared" si="681"/>
        <v>0</v>
      </c>
    </row>
    <row r="2505" spans="1:29" s="77" customFormat="1" ht="23.25" hidden="1" thickBot="1" x14ac:dyDescent="0.25">
      <c r="A2505" s="565" t="s">
        <v>165</v>
      </c>
      <c r="B2505" s="895" t="s">
        <v>535</v>
      </c>
      <c r="C2505" s="896" t="s">
        <v>503</v>
      </c>
      <c r="D2505" s="906" t="s">
        <v>2000</v>
      </c>
      <c r="E2505" s="907"/>
      <c r="F2505" s="908"/>
      <c r="G2505" s="912"/>
      <c r="H2505" s="901">
        <v>163.62</v>
      </c>
      <c r="I2505" s="901">
        <f t="shared" si="691"/>
        <v>163.62</v>
      </c>
      <c r="J2505" s="902">
        <f t="shared" si="692"/>
        <v>196.46</v>
      </c>
      <c r="K2505" s="903" t="s">
        <v>15</v>
      </c>
      <c r="L2505" s="1039">
        <f>ROUND(SUM('RES. CENTRAL PARK:RUA_FINAL'!L2505),2)</f>
        <v>0</v>
      </c>
      <c r="M2505" s="1039">
        <f t="shared" si="689"/>
        <v>0</v>
      </c>
      <c r="N2505" s="893">
        <f t="shared" si="690"/>
        <v>0</v>
      </c>
      <c r="O2505" s="905"/>
      <c r="P2505" s="76"/>
      <c r="Q2505" s="317" t="str">
        <f t="shared" si="686"/>
        <v/>
      </c>
      <c r="R2505" s="317" t="str">
        <f t="shared" si="687"/>
        <v/>
      </c>
      <c r="S2505" s="317" t="str">
        <f t="shared" si="688"/>
        <v/>
      </c>
      <c r="T2505"/>
      <c r="V2505" s="314">
        <f>SUM('RES. CENTRAL PARK:RUA_FINAL'!N2505)</f>
        <v>0</v>
      </c>
      <c r="W2505" s="315">
        <f t="shared" si="681"/>
        <v>0</v>
      </c>
    </row>
    <row r="2506" spans="1:29" s="77" customFormat="1" ht="15" hidden="1" customHeight="1" x14ac:dyDescent="0.2">
      <c r="A2506" s="565" t="s">
        <v>165</v>
      </c>
      <c r="B2506" s="895" t="s">
        <v>2248</v>
      </c>
      <c r="C2506" s="896" t="s">
        <v>503</v>
      </c>
      <c r="D2506" s="906" t="s">
        <v>491</v>
      </c>
      <c r="E2506" s="907"/>
      <c r="F2506" s="908"/>
      <c r="G2506" s="912"/>
      <c r="H2506" s="901">
        <v>148.02000000000001</v>
      </c>
      <c r="I2506" s="901">
        <f t="shared" si="691"/>
        <v>148.02000000000001</v>
      </c>
      <c r="J2506" s="902">
        <f t="shared" si="692"/>
        <v>177.73</v>
      </c>
      <c r="K2506" s="903" t="s">
        <v>15</v>
      </c>
      <c r="L2506" s="1039">
        <f>ROUND(SUM('RES. CENTRAL PARK:RUA_FINAL'!L2506),2)</f>
        <v>0</v>
      </c>
      <c r="M2506" s="1039">
        <f t="shared" si="689"/>
        <v>0</v>
      </c>
      <c r="N2506" s="893">
        <f t="shared" si="690"/>
        <v>0</v>
      </c>
      <c r="O2506" s="905"/>
      <c r="P2506" s="76"/>
      <c r="Q2506" s="317" t="str">
        <f t="shared" si="686"/>
        <v/>
      </c>
      <c r="R2506" s="317" t="str">
        <f t="shared" si="687"/>
        <v/>
      </c>
      <c r="S2506" s="317" t="str">
        <f t="shared" si="688"/>
        <v/>
      </c>
      <c r="T2506"/>
      <c r="V2506" s="314">
        <f>SUM('RES. CENTRAL PARK:RUA_FINAL'!N2506)</f>
        <v>0</v>
      </c>
      <c r="W2506" s="315">
        <f t="shared" si="681"/>
        <v>0</v>
      </c>
    </row>
    <row r="2507" spans="1:29" s="77" customFormat="1" ht="15" hidden="1" customHeight="1" x14ac:dyDescent="0.2">
      <c r="A2507" s="565" t="s">
        <v>165</v>
      </c>
      <c r="B2507" s="895" t="s">
        <v>492</v>
      </c>
      <c r="C2507" s="896" t="s">
        <v>2180</v>
      </c>
      <c r="D2507" s="957" t="s">
        <v>493</v>
      </c>
      <c r="E2507" s="907"/>
      <c r="F2507" s="908"/>
      <c r="G2507" s="912"/>
      <c r="H2507" s="901">
        <v>79.56</v>
      </c>
      <c r="I2507" s="901">
        <f t="shared" si="691"/>
        <v>79.56</v>
      </c>
      <c r="J2507" s="902">
        <f t="shared" si="692"/>
        <v>95.53</v>
      </c>
      <c r="K2507" s="903" t="s">
        <v>15</v>
      </c>
      <c r="L2507" s="1039">
        <f>ROUND(SUM('RES. CENTRAL PARK:RUA_FINAL'!L2507),2)</f>
        <v>0</v>
      </c>
      <c r="M2507" s="1039">
        <f t="shared" si="689"/>
        <v>0</v>
      </c>
      <c r="N2507" s="893">
        <f t="shared" si="690"/>
        <v>0</v>
      </c>
      <c r="O2507" s="905"/>
      <c r="P2507" s="76"/>
      <c r="Q2507" s="317" t="str">
        <f t="shared" si="686"/>
        <v/>
      </c>
      <c r="R2507" s="317" t="str">
        <f t="shared" si="687"/>
        <v/>
      </c>
      <c r="S2507" s="317" t="str">
        <f t="shared" si="688"/>
        <v/>
      </c>
      <c r="T2507"/>
      <c r="V2507" s="314">
        <f>SUM('RES. CENTRAL PARK:RUA_FINAL'!N2507)</f>
        <v>0</v>
      </c>
      <c r="W2507" s="315">
        <f t="shared" si="681"/>
        <v>0</v>
      </c>
    </row>
    <row r="2508" spans="1:29" s="77" customFormat="1" ht="15" hidden="1" customHeight="1" x14ac:dyDescent="0.2">
      <c r="A2508" s="565" t="s">
        <v>165</v>
      </c>
      <c r="B2508" s="895" t="s">
        <v>494</v>
      </c>
      <c r="C2508" s="896" t="s">
        <v>2180</v>
      </c>
      <c r="D2508" s="957" t="s">
        <v>495</v>
      </c>
      <c r="E2508" s="907"/>
      <c r="F2508" s="908"/>
      <c r="G2508" s="912"/>
      <c r="H2508" s="901">
        <v>46.59</v>
      </c>
      <c r="I2508" s="901">
        <f t="shared" si="691"/>
        <v>46.59</v>
      </c>
      <c r="J2508" s="902">
        <f t="shared" si="692"/>
        <v>55.94</v>
      </c>
      <c r="K2508" s="903" t="s">
        <v>15</v>
      </c>
      <c r="L2508" s="1039">
        <f>ROUND(SUM('RES. CENTRAL PARK:RUA_FINAL'!L2508),2)</f>
        <v>0</v>
      </c>
      <c r="M2508" s="1039">
        <f t="shared" si="689"/>
        <v>0</v>
      </c>
      <c r="N2508" s="893">
        <f t="shared" si="690"/>
        <v>0</v>
      </c>
      <c r="O2508" s="905"/>
      <c r="P2508" s="76"/>
      <c r="Q2508" s="317" t="str">
        <f t="shared" si="686"/>
        <v/>
      </c>
      <c r="R2508" s="317" t="str">
        <f t="shared" si="687"/>
        <v/>
      </c>
      <c r="S2508" s="317" t="str">
        <f t="shared" si="688"/>
        <v/>
      </c>
      <c r="T2508"/>
      <c r="V2508" s="314">
        <f>SUM('RES. CENTRAL PARK:RUA_FINAL'!N2508)</f>
        <v>0</v>
      </c>
      <c r="W2508" s="315">
        <f t="shared" si="681"/>
        <v>0</v>
      </c>
    </row>
    <row r="2509" spans="1:29" s="77" customFormat="1" ht="15" hidden="1" customHeight="1" x14ac:dyDescent="0.2">
      <c r="A2509" s="565" t="s">
        <v>165</v>
      </c>
      <c r="B2509" s="895" t="s">
        <v>2245</v>
      </c>
      <c r="C2509" s="896" t="s">
        <v>503</v>
      </c>
      <c r="D2509" s="957" t="s">
        <v>496</v>
      </c>
      <c r="E2509" s="907"/>
      <c r="F2509" s="908"/>
      <c r="G2509" s="912"/>
      <c r="H2509" s="901">
        <v>175.82</v>
      </c>
      <c r="I2509" s="901">
        <f t="shared" si="691"/>
        <v>175.82</v>
      </c>
      <c r="J2509" s="902">
        <f t="shared" si="692"/>
        <v>211.11</v>
      </c>
      <c r="K2509" s="903" t="s">
        <v>15</v>
      </c>
      <c r="L2509" s="1039">
        <f>ROUND(SUM('RES. CENTRAL PARK:RUA_FINAL'!L2509),2)</f>
        <v>0</v>
      </c>
      <c r="M2509" s="1039">
        <f t="shared" si="689"/>
        <v>0</v>
      </c>
      <c r="N2509" s="893">
        <f t="shared" si="690"/>
        <v>0</v>
      </c>
      <c r="O2509" s="905"/>
      <c r="P2509" s="76"/>
      <c r="Q2509" s="317" t="str">
        <f t="shared" si="686"/>
        <v/>
      </c>
      <c r="R2509" s="317" t="str">
        <f t="shared" si="687"/>
        <v/>
      </c>
      <c r="S2509" s="317" t="str">
        <f t="shared" si="688"/>
        <v/>
      </c>
      <c r="T2509"/>
      <c r="V2509" s="314">
        <f>SUM('RES. CENTRAL PARK:RUA_FINAL'!N2509)</f>
        <v>0</v>
      </c>
      <c r="W2509" s="315">
        <f t="shared" si="681"/>
        <v>0</v>
      </c>
    </row>
    <row r="2510" spans="1:29" s="77" customFormat="1" ht="15" hidden="1" customHeight="1" x14ac:dyDescent="0.2">
      <c r="A2510" s="565" t="s">
        <v>165</v>
      </c>
      <c r="B2510" s="895" t="s">
        <v>497</v>
      </c>
      <c r="C2510" s="896" t="s">
        <v>2180</v>
      </c>
      <c r="D2510" s="906" t="s">
        <v>498</v>
      </c>
      <c r="E2510" s="907"/>
      <c r="F2510" s="908"/>
      <c r="G2510" s="912"/>
      <c r="H2510" s="901">
        <v>83.84</v>
      </c>
      <c r="I2510" s="901">
        <f t="shared" si="691"/>
        <v>83.84</v>
      </c>
      <c r="J2510" s="902">
        <f t="shared" si="692"/>
        <v>100.67</v>
      </c>
      <c r="K2510" s="903" t="s">
        <v>15</v>
      </c>
      <c r="L2510" s="1039">
        <f>ROUND(SUM('RES. CENTRAL PARK:RUA_FINAL'!L2510),2)</f>
        <v>0</v>
      </c>
      <c r="M2510" s="1039">
        <f t="shared" si="689"/>
        <v>0</v>
      </c>
      <c r="N2510" s="893">
        <f t="shared" si="690"/>
        <v>0</v>
      </c>
      <c r="O2510" s="905"/>
      <c r="P2510" s="76"/>
      <c r="Q2510" s="317" t="str">
        <f t="shared" si="686"/>
        <v/>
      </c>
      <c r="R2510" s="317" t="str">
        <f t="shared" si="687"/>
        <v/>
      </c>
      <c r="S2510" s="317" t="str">
        <f t="shared" si="688"/>
        <v/>
      </c>
      <c r="T2510"/>
      <c r="V2510" s="314">
        <f>SUM('RES. CENTRAL PARK:RUA_FINAL'!N2510)</f>
        <v>0</v>
      </c>
      <c r="W2510" s="315">
        <f t="shared" si="681"/>
        <v>0</v>
      </c>
    </row>
    <row r="2511" spans="1:29" s="77" customFormat="1" ht="15" hidden="1" customHeight="1" x14ac:dyDescent="0.2">
      <c r="A2511" s="565" t="s">
        <v>165</v>
      </c>
      <c r="B2511" s="895" t="s">
        <v>2247</v>
      </c>
      <c r="C2511" s="896" t="s">
        <v>503</v>
      </c>
      <c r="D2511" s="906" t="s">
        <v>500</v>
      </c>
      <c r="E2511" s="907"/>
      <c r="F2511" s="908"/>
      <c r="G2511" s="912"/>
      <c r="H2511" s="901">
        <v>48.16</v>
      </c>
      <c r="I2511" s="901">
        <f t="shared" si="691"/>
        <v>48.16</v>
      </c>
      <c r="J2511" s="902">
        <f t="shared" si="692"/>
        <v>57.83</v>
      </c>
      <c r="K2511" s="903" t="s">
        <v>15</v>
      </c>
      <c r="L2511" s="1039">
        <f>ROUND(SUM('RES. CENTRAL PARK:RUA_FINAL'!L2511),2)</f>
        <v>0</v>
      </c>
      <c r="M2511" s="1039">
        <f t="shared" si="689"/>
        <v>0</v>
      </c>
      <c r="N2511" s="893">
        <f t="shared" si="690"/>
        <v>0</v>
      </c>
      <c r="O2511" s="905"/>
      <c r="P2511" s="76"/>
      <c r="Q2511" s="317" t="str">
        <f t="shared" si="686"/>
        <v/>
      </c>
      <c r="R2511" s="317" t="str">
        <f t="shared" si="687"/>
        <v/>
      </c>
      <c r="S2511" s="317" t="str">
        <f t="shared" si="688"/>
        <v/>
      </c>
      <c r="T2511"/>
      <c r="V2511" s="314">
        <f>SUM('RES. CENTRAL PARK:RUA_FINAL'!N2511)</f>
        <v>0</v>
      </c>
      <c r="W2511" s="315">
        <f t="shared" si="681"/>
        <v>0</v>
      </c>
    </row>
    <row r="2512" spans="1:29" s="77" customFormat="1" ht="15" hidden="1" customHeight="1" x14ac:dyDescent="0.2">
      <c r="A2512" s="565" t="s">
        <v>165</v>
      </c>
      <c r="B2512" s="895" t="s">
        <v>2243</v>
      </c>
      <c r="C2512" s="896" t="s">
        <v>503</v>
      </c>
      <c r="D2512" s="906" t="s">
        <v>802</v>
      </c>
      <c r="E2512" s="907"/>
      <c r="F2512" s="908"/>
      <c r="G2512" s="912"/>
      <c r="H2512" s="901">
        <v>99.15</v>
      </c>
      <c r="I2512" s="901">
        <f t="shared" si="691"/>
        <v>99.15</v>
      </c>
      <c r="J2512" s="902">
        <f t="shared" si="692"/>
        <v>119.05</v>
      </c>
      <c r="K2512" s="903" t="s">
        <v>15</v>
      </c>
      <c r="L2512" s="1039">
        <f>ROUND(SUM('RES. CENTRAL PARK:RUA_FINAL'!L2512),2)</f>
        <v>0</v>
      </c>
      <c r="M2512" s="1039">
        <f t="shared" si="689"/>
        <v>0</v>
      </c>
      <c r="N2512" s="893">
        <f t="shared" si="690"/>
        <v>0</v>
      </c>
      <c r="O2512" s="905"/>
      <c r="P2512" s="76"/>
      <c r="Q2512" s="317" t="str">
        <f t="shared" si="686"/>
        <v/>
      </c>
      <c r="R2512" s="317" t="str">
        <f t="shared" si="687"/>
        <v/>
      </c>
      <c r="S2512" s="317" t="str">
        <f t="shared" si="688"/>
        <v/>
      </c>
      <c r="T2512"/>
      <c r="V2512" s="314">
        <f>SUM('RES. CENTRAL PARK:RUA_FINAL'!N2512)</f>
        <v>0</v>
      </c>
      <c r="W2512" s="315">
        <f t="shared" si="681"/>
        <v>0</v>
      </c>
    </row>
    <row r="2513" spans="1:29" s="77" customFormat="1" ht="15" hidden="1" customHeight="1" x14ac:dyDescent="0.2">
      <c r="A2513" s="565" t="s">
        <v>165</v>
      </c>
      <c r="B2513" s="1070" t="s">
        <v>2244</v>
      </c>
      <c r="C2513" s="896" t="s">
        <v>503</v>
      </c>
      <c r="D2513" s="906" t="s">
        <v>505</v>
      </c>
      <c r="E2513" s="907"/>
      <c r="F2513" s="908"/>
      <c r="G2513" s="912"/>
      <c r="H2513" s="901">
        <v>97.91</v>
      </c>
      <c r="I2513" s="901">
        <f t="shared" si="691"/>
        <v>97.91</v>
      </c>
      <c r="J2513" s="902">
        <f t="shared" si="692"/>
        <v>117.56</v>
      </c>
      <c r="K2513" s="903" t="s">
        <v>15</v>
      </c>
      <c r="L2513" s="1039">
        <f>ROUND(SUM('RES. CENTRAL PARK:RUA_FINAL'!L2513),2)</f>
        <v>0</v>
      </c>
      <c r="M2513" s="1039">
        <f t="shared" si="689"/>
        <v>0</v>
      </c>
      <c r="N2513" s="893">
        <f t="shared" si="690"/>
        <v>0</v>
      </c>
      <c r="O2513" s="905"/>
      <c r="P2513" s="76"/>
      <c r="Q2513" s="317" t="str">
        <f t="shared" si="686"/>
        <v/>
      </c>
      <c r="R2513" s="317" t="str">
        <f t="shared" si="687"/>
        <v/>
      </c>
      <c r="S2513" s="317" t="str">
        <f t="shared" si="688"/>
        <v/>
      </c>
      <c r="T2513"/>
      <c r="V2513" s="314">
        <f>SUM('RES. CENTRAL PARK:RUA_FINAL'!N2513)</f>
        <v>0</v>
      </c>
      <c r="W2513" s="315">
        <f t="shared" si="681"/>
        <v>0</v>
      </c>
    </row>
    <row r="2514" spans="1:29" s="77" customFormat="1" ht="23.25" hidden="1" thickBot="1" x14ac:dyDescent="0.25">
      <c r="A2514" s="565" t="s">
        <v>165</v>
      </c>
      <c r="B2514" s="895" t="s">
        <v>2246</v>
      </c>
      <c r="C2514" s="896" t="s">
        <v>503</v>
      </c>
      <c r="D2514" s="906" t="s">
        <v>506</v>
      </c>
      <c r="E2514" s="907"/>
      <c r="F2514" s="908"/>
      <c r="G2514" s="949"/>
      <c r="H2514" s="901">
        <v>4850.2</v>
      </c>
      <c r="I2514" s="901">
        <f t="shared" si="691"/>
        <v>4850.2</v>
      </c>
      <c r="J2514" s="902">
        <f t="shared" si="692"/>
        <v>5823.64</v>
      </c>
      <c r="K2514" s="903" t="s">
        <v>502</v>
      </c>
      <c r="L2514" s="1039">
        <f>ROUND(SUM('RES. CENTRAL PARK:RUA_FINAL'!L2514),2)</f>
        <v>0</v>
      </c>
      <c r="M2514" s="1039">
        <f t="shared" si="689"/>
        <v>0</v>
      </c>
      <c r="N2514" s="893">
        <f t="shared" si="690"/>
        <v>0</v>
      </c>
      <c r="O2514" s="905"/>
      <c r="P2514" s="76"/>
      <c r="Q2514" s="317" t="str">
        <f t="shared" si="686"/>
        <v/>
      </c>
      <c r="R2514" s="317" t="str">
        <f t="shared" si="687"/>
        <v/>
      </c>
      <c r="S2514" s="317" t="str">
        <f t="shared" si="688"/>
        <v/>
      </c>
      <c r="T2514"/>
      <c r="V2514" s="314">
        <f>SUM('RES. CENTRAL PARK:RUA_FINAL'!N2514)</f>
        <v>0</v>
      </c>
      <c r="W2514" s="315">
        <f t="shared" si="681"/>
        <v>0</v>
      </c>
    </row>
    <row r="2515" spans="1:29" ht="15" hidden="1" customHeight="1" x14ac:dyDescent="0.2">
      <c r="A2515" s="565" t="s">
        <v>165</v>
      </c>
      <c r="B2515" s="913" t="s">
        <v>165</v>
      </c>
      <c r="C2515" s="914"/>
      <c r="D2515" s="915" t="s">
        <v>501</v>
      </c>
      <c r="E2515" s="916"/>
      <c r="F2515" s="917"/>
      <c r="G2515" s="1071"/>
      <c r="H2515" s="920"/>
      <c r="I2515" s="920"/>
      <c r="J2515" s="920"/>
      <c r="K2515" s="920" t="s">
        <v>507</v>
      </c>
      <c r="L2515" s="1044">
        <f>ROUND(SUM('RES. CENTRAL PARK:RUA_FINAL'!L2515),2)</f>
        <v>0</v>
      </c>
      <c r="M2515" s="1045">
        <f t="shared" si="689"/>
        <v>0</v>
      </c>
      <c r="N2515" s="923">
        <f t="shared" si="690"/>
        <v>0</v>
      </c>
      <c r="O2515" s="905"/>
      <c r="P2515" s="58" t="str">
        <f>IF(OR(SUM(N2516:N2546)&gt;0,SUM(N2516:N2546)&gt;0),"y","")</f>
        <v/>
      </c>
      <c r="Q2515" s="317" t="str">
        <f t="shared" si="686"/>
        <v/>
      </c>
      <c r="R2515" s="317" t="str">
        <f t="shared" si="687"/>
        <v/>
      </c>
      <c r="S2515" s="317" t="str">
        <f t="shared" si="688"/>
        <v/>
      </c>
      <c r="V2515" s="314">
        <f>SUM('RES. CENTRAL PARK:RUA_FINAL'!N2515)</f>
        <v>0</v>
      </c>
      <c r="W2515" s="315">
        <f t="shared" si="681"/>
        <v>0</v>
      </c>
    </row>
    <row r="2516" spans="1:29" ht="15" hidden="1" customHeight="1" x14ac:dyDescent="0.2">
      <c r="A2516" s="565" t="s">
        <v>165</v>
      </c>
      <c r="B2516" s="1036" t="s">
        <v>2001</v>
      </c>
      <c r="C2516" s="1072" t="s">
        <v>503</v>
      </c>
      <c r="D2516" s="1073" t="s">
        <v>2002</v>
      </c>
      <c r="E2516" s="907"/>
      <c r="F2516" s="908"/>
      <c r="G2516" s="1074"/>
      <c r="H2516" s="901">
        <v>310.23</v>
      </c>
      <c r="I2516" s="901">
        <f t="shared" si="691"/>
        <v>310.23</v>
      </c>
      <c r="J2516" s="902">
        <f t="shared" si="692"/>
        <v>372.49</v>
      </c>
      <c r="K2516" s="908" t="s">
        <v>15</v>
      </c>
      <c r="L2516" s="1042">
        <f>ROUND(SUM('RES. CENTRAL PARK:RUA_FINAL'!L2516),2)</f>
        <v>0</v>
      </c>
      <c r="M2516" s="1043">
        <f t="shared" si="689"/>
        <v>0</v>
      </c>
      <c r="N2516" s="893">
        <f t="shared" si="690"/>
        <v>0</v>
      </c>
      <c r="O2516" s="905"/>
      <c r="Q2516" s="317" t="str">
        <f t="shared" si="686"/>
        <v/>
      </c>
      <c r="R2516" s="317" t="str">
        <f t="shared" si="687"/>
        <v/>
      </c>
      <c r="S2516" s="317" t="str">
        <f t="shared" si="688"/>
        <v/>
      </c>
      <c r="V2516" s="314">
        <f>SUM('RES. CENTRAL PARK:RUA_FINAL'!N2516)</f>
        <v>0</v>
      </c>
      <c r="W2516" s="315">
        <f t="shared" si="681"/>
        <v>0</v>
      </c>
    </row>
    <row r="2517" spans="1:29" ht="15" hidden="1" customHeight="1" x14ac:dyDescent="0.2">
      <c r="A2517" s="565" t="s">
        <v>165</v>
      </c>
      <c r="B2517" s="1036" t="s">
        <v>2003</v>
      </c>
      <c r="C2517" s="1072" t="s">
        <v>503</v>
      </c>
      <c r="D2517" s="1073" t="s">
        <v>2004</v>
      </c>
      <c r="E2517" s="907"/>
      <c r="F2517" s="908"/>
      <c r="G2517" s="1074"/>
      <c r="H2517" s="901">
        <v>310.23</v>
      </c>
      <c r="I2517" s="901">
        <f t="shared" si="691"/>
        <v>310.23</v>
      </c>
      <c r="J2517" s="902">
        <f t="shared" si="692"/>
        <v>372.49</v>
      </c>
      <c r="K2517" s="908" t="s">
        <v>15</v>
      </c>
      <c r="L2517" s="1039">
        <f>ROUND(SUM('RES. CENTRAL PARK:RUA_FINAL'!L2517),2)</f>
        <v>0</v>
      </c>
      <c r="M2517" s="1039">
        <f t="shared" si="689"/>
        <v>0</v>
      </c>
      <c r="N2517" s="932">
        <f t="shared" si="690"/>
        <v>0</v>
      </c>
      <c r="O2517" s="905"/>
      <c r="Q2517" s="317" t="str">
        <f t="shared" si="686"/>
        <v/>
      </c>
      <c r="R2517" s="317" t="str">
        <f t="shared" si="687"/>
        <v/>
      </c>
      <c r="S2517" s="317" t="str">
        <f t="shared" si="688"/>
        <v/>
      </c>
      <c r="V2517" s="314">
        <f>SUM('RES. CENTRAL PARK:RUA_FINAL'!N2517)</f>
        <v>0</v>
      </c>
      <c r="W2517" s="315">
        <f t="shared" ref="W2517:W2546" si="693">N2517-V2517</f>
        <v>0</v>
      </c>
    </row>
    <row r="2518" spans="1:29" ht="15" hidden="1" customHeight="1" x14ac:dyDescent="0.2">
      <c r="A2518" s="565" t="s">
        <v>165</v>
      </c>
      <c r="B2518" s="1036" t="s">
        <v>2005</v>
      </c>
      <c r="C2518" s="1072" t="s">
        <v>503</v>
      </c>
      <c r="D2518" s="1073" t="s">
        <v>2006</v>
      </c>
      <c r="E2518" s="907"/>
      <c r="F2518" s="908"/>
      <c r="G2518" s="1074"/>
      <c r="H2518" s="901">
        <v>82.89</v>
      </c>
      <c r="I2518" s="901">
        <f t="shared" si="691"/>
        <v>82.89</v>
      </c>
      <c r="J2518" s="902">
        <f t="shared" si="692"/>
        <v>99.53</v>
      </c>
      <c r="K2518" s="908" t="s">
        <v>154</v>
      </c>
      <c r="L2518" s="1039">
        <f>ROUND(SUM('RES. CENTRAL PARK:RUA_FINAL'!L2518),2)</f>
        <v>0</v>
      </c>
      <c r="M2518" s="1039">
        <f t="shared" si="689"/>
        <v>0</v>
      </c>
      <c r="N2518" s="893">
        <f t="shared" si="690"/>
        <v>0</v>
      </c>
      <c r="O2518" s="905"/>
      <c r="Q2518" s="317" t="str">
        <f t="shared" si="686"/>
        <v/>
      </c>
      <c r="R2518" s="317" t="str">
        <f t="shared" si="687"/>
        <v/>
      </c>
      <c r="S2518" s="317" t="str">
        <f t="shared" si="688"/>
        <v/>
      </c>
      <c r="V2518" s="314">
        <f>SUM('RES. CENTRAL PARK:RUA_FINAL'!N2518)</f>
        <v>0</v>
      </c>
      <c r="W2518" s="315">
        <f t="shared" si="693"/>
        <v>0</v>
      </c>
    </row>
    <row r="2519" spans="1:29" ht="30" hidden="1" customHeight="1" x14ac:dyDescent="0.2">
      <c r="A2519" s="565" t="s">
        <v>165</v>
      </c>
      <c r="B2519" s="1075" t="s">
        <v>2150</v>
      </c>
      <c r="C2519" s="1076" t="s">
        <v>2151</v>
      </c>
      <c r="D2519" s="1073" t="s">
        <v>2146</v>
      </c>
      <c r="E2519" s="907"/>
      <c r="F2519" s="908"/>
      <c r="G2519" s="1074"/>
      <c r="H2519" s="930"/>
      <c r="I2519" s="901" t="str">
        <f t="shared" si="691"/>
        <v/>
      </c>
      <c r="J2519" s="902">
        <f t="shared" si="692"/>
        <v>0</v>
      </c>
      <c r="K2519" s="928" t="s">
        <v>15</v>
      </c>
      <c r="L2519" s="1039">
        <f>ROUND(SUM('RES. CENTRAL PARK:RUA_FINAL'!L2519),2)</f>
        <v>0</v>
      </c>
      <c r="M2519" s="1039">
        <f t="shared" si="689"/>
        <v>0</v>
      </c>
      <c r="N2519" s="893">
        <f t="shared" si="690"/>
        <v>0</v>
      </c>
      <c r="O2519" s="905"/>
      <c r="Q2519" s="317" t="str">
        <f t="shared" si="686"/>
        <v/>
      </c>
      <c r="R2519" s="317" t="str">
        <f t="shared" si="687"/>
        <v/>
      </c>
      <c r="S2519" s="317" t="str">
        <f t="shared" si="688"/>
        <v/>
      </c>
      <c r="V2519" s="314">
        <f>SUM('RES. CENTRAL PARK:RUA_FINAL'!N2519)</f>
        <v>0</v>
      </c>
      <c r="W2519" s="315">
        <f t="shared" si="693"/>
        <v>0</v>
      </c>
    </row>
    <row r="2520" spans="1:29" ht="30" hidden="1" customHeight="1" x14ac:dyDescent="0.2">
      <c r="A2520" s="565" t="s">
        <v>165</v>
      </c>
      <c r="B2520" s="1075" t="s">
        <v>2150</v>
      </c>
      <c r="C2520" s="1076" t="s">
        <v>2151</v>
      </c>
      <c r="D2520" s="1073" t="s">
        <v>2147</v>
      </c>
      <c r="E2520" s="907"/>
      <c r="F2520" s="908"/>
      <c r="G2520" s="1074"/>
      <c r="H2520" s="930"/>
      <c r="I2520" s="901" t="str">
        <f t="shared" si="691"/>
        <v/>
      </c>
      <c r="J2520" s="902">
        <f t="shared" si="692"/>
        <v>0</v>
      </c>
      <c r="K2520" s="928" t="s">
        <v>15</v>
      </c>
      <c r="L2520" s="1039">
        <f>ROUND(SUM('RES. CENTRAL PARK:RUA_FINAL'!L2520),2)</f>
        <v>0</v>
      </c>
      <c r="M2520" s="1039">
        <f t="shared" si="689"/>
        <v>0</v>
      </c>
      <c r="N2520" s="893">
        <f t="shared" si="690"/>
        <v>0</v>
      </c>
      <c r="O2520" s="905"/>
      <c r="Q2520" s="317" t="str">
        <f t="shared" si="686"/>
        <v/>
      </c>
      <c r="R2520" s="317" t="str">
        <f t="shared" si="687"/>
        <v/>
      </c>
      <c r="S2520" s="317" t="str">
        <f t="shared" si="688"/>
        <v/>
      </c>
      <c r="V2520" s="314">
        <f>SUM('RES. CENTRAL PARK:RUA_FINAL'!N2520)</f>
        <v>0</v>
      </c>
      <c r="W2520" s="315">
        <f t="shared" si="693"/>
        <v>0</v>
      </c>
    </row>
    <row r="2521" spans="1:29" ht="30" hidden="1" customHeight="1" x14ac:dyDescent="0.2">
      <c r="A2521" s="565" t="s">
        <v>165</v>
      </c>
      <c r="B2521" s="1075" t="s">
        <v>2150</v>
      </c>
      <c r="C2521" s="1076" t="s">
        <v>2151</v>
      </c>
      <c r="D2521" s="1073" t="s">
        <v>2148</v>
      </c>
      <c r="E2521" s="907"/>
      <c r="F2521" s="908"/>
      <c r="G2521" s="1074"/>
      <c r="H2521" s="930"/>
      <c r="I2521" s="901" t="str">
        <f t="shared" si="691"/>
        <v/>
      </c>
      <c r="J2521" s="902">
        <f t="shared" si="692"/>
        <v>0</v>
      </c>
      <c r="K2521" s="928" t="s">
        <v>15</v>
      </c>
      <c r="L2521" s="1039">
        <f>ROUND(SUM('RES. CENTRAL PARK:RUA_FINAL'!L2521),2)</f>
        <v>0</v>
      </c>
      <c r="M2521" s="1039">
        <f t="shared" si="689"/>
        <v>0</v>
      </c>
      <c r="N2521" s="893">
        <f t="shared" si="690"/>
        <v>0</v>
      </c>
      <c r="O2521" s="905"/>
      <c r="Q2521" s="317" t="str">
        <f t="shared" si="686"/>
        <v/>
      </c>
      <c r="R2521" s="317" t="str">
        <f t="shared" si="687"/>
        <v/>
      </c>
      <c r="S2521" s="317" t="str">
        <f t="shared" si="688"/>
        <v/>
      </c>
      <c r="V2521" s="314">
        <f>SUM('RES. CENTRAL PARK:RUA_FINAL'!N2521)</f>
        <v>0</v>
      </c>
      <c r="W2521" s="315">
        <f t="shared" si="693"/>
        <v>0</v>
      </c>
    </row>
    <row r="2522" spans="1:29" ht="39" hidden="1" customHeight="1" x14ac:dyDescent="0.2">
      <c r="A2522" s="565" t="s">
        <v>165</v>
      </c>
      <c r="B2522" s="1075" t="s">
        <v>2150</v>
      </c>
      <c r="C2522" s="1076" t="s">
        <v>2151</v>
      </c>
      <c r="D2522" s="1073" t="s">
        <v>2149</v>
      </c>
      <c r="E2522" s="907"/>
      <c r="F2522" s="908"/>
      <c r="G2522" s="1074"/>
      <c r="H2522" s="930"/>
      <c r="I2522" s="901" t="str">
        <f t="shared" si="691"/>
        <v/>
      </c>
      <c r="J2522" s="902">
        <f t="shared" si="692"/>
        <v>0</v>
      </c>
      <c r="K2522" s="928" t="s">
        <v>502</v>
      </c>
      <c r="L2522" s="1039">
        <f>ROUND(SUM('RES. CENTRAL PARK:RUA_FINAL'!L2522),2)</f>
        <v>0</v>
      </c>
      <c r="M2522" s="1039">
        <f t="shared" si="689"/>
        <v>0</v>
      </c>
      <c r="N2522" s="893">
        <f t="shared" si="690"/>
        <v>0</v>
      </c>
      <c r="O2522" s="905"/>
      <c r="Q2522" s="317" t="str">
        <f t="shared" si="686"/>
        <v/>
      </c>
      <c r="R2522" s="317" t="str">
        <f t="shared" si="687"/>
        <v/>
      </c>
      <c r="S2522" s="317" t="str">
        <f t="shared" si="688"/>
        <v/>
      </c>
      <c r="V2522" s="314">
        <f>SUM('RES. CENTRAL PARK:RUA_FINAL'!N2522)</f>
        <v>0</v>
      </c>
      <c r="W2522" s="315">
        <f t="shared" si="693"/>
        <v>0</v>
      </c>
    </row>
    <row r="2523" spans="1:29" ht="13.5" hidden="1" thickBot="1" x14ac:dyDescent="0.25">
      <c r="A2523" s="565" t="s">
        <v>165</v>
      </c>
      <c r="B2523" s="1075"/>
      <c r="C2523" s="1076"/>
      <c r="D2523" s="931"/>
      <c r="E2523" s="927"/>
      <c r="F2523" s="928"/>
      <c r="G2523" s="1077"/>
      <c r="H2523" s="930"/>
      <c r="I2523" s="901" t="str">
        <f t="shared" si="691"/>
        <v/>
      </c>
      <c r="J2523" s="902">
        <f t="shared" si="692"/>
        <v>0</v>
      </c>
      <c r="K2523" s="928"/>
      <c r="L2523" s="1039">
        <f>ROUND(SUM('RES. CENTRAL PARK:RUA_FINAL'!L2523),2)</f>
        <v>0</v>
      </c>
      <c r="M2523" s="1039">
        <f t="shared" si="689"/>
        <v>0</v>
      </c>
      <c r="N2523" s="893">
        <f t="shared" si="690"/>
        <v>0</v>
      </c>
      <c r="O2523" s="905"/>
      <c r="Q2523" s="317" t="str">
        <f t="shared" si="686"/>
        <v/>
      </c>
      <c r="R2523" s="317" t="str">
        <f t="shared" si="687"/>
        <v/>
      </c>
      <c r="S2523" s="317" t="str">
        <f t="shared" si="688"/>
        <v/>
      </c>
      <c r="V2523" s="314">
        <f>SUM('RES. CENTRAL PARK:RUA_FINAL'!N2523)</f>
        <v>0</v>
      </c>
      <c r="W2523" s="315">
        <f t="shared" si="693"/>
        <v>0</v>
      </c>
    </row>
    <row r="2524" spans="1:29" ht="13.5" hidden="1" thickBot="1" x14ac:dyDescent="0.25">
      <c r="A2524" s="565" t="s">
        <v>165</v>
      </c>
      <c r="B2524" s="1075"/>
      <c r="C2524" s="1076"/>
      <c r="D2524" s="931"/>
      <c r="E2524" s="927"/>
      <c r="F2524" s="928"/>
      <c r="G2524" s="1077"/>
      <c r="H2524" s="930"/>
      <c r="I2524" s="901" t="str">
        <f t="shared" si="691"/>
        <v/>
      </c>
      <c r="J2524" s="902">
        <f t="shared" si="692"/>
        <v>0</v>
      </c>
      <c r="K2524" s="928"/>
      <c r="L2524" s="1039">
        <f>ROUND(SUM('RES. CENTRAL PARK:RUA_FINAL'!L2524),2)</f>
        <v>0</v>
      </c>
      <c r="M2524" s="1039">
        <f t="shared" si="689"/>
        <v>0</v>
      </c>
      <c r="N2524" s="893">
        <f t="shared" si="690"/>
        <v>0</v>
      </c>
      <c r="O2524" s="905"/>
      <c r="Q2524" s="317" t="str">
        <f t="shared" si="686"/>
        <v/>
      </c>
      <c r="R2524" s="317" t="str">
        <f t="shared" si="687"/>
        <v/>
      </c>
      <c r="S2524" s="317" t="str">
        <f t="shared" si="688"/>
        <v/>
      </c>
      <c r="V2524" s="314">
        <f>SUM('RES. CENTRAL PARK:RUA_FINAL'!N2524)</f>
        <v>0</v>
      </c>
      <c r="W2524" s="315">
        <f t="shared" si="693"/>
        <v>0</v>
      </c>
    </row>
    <row r="2525" spans="1:29" ht="13.5" hidden="1" thickBot="1" x14ac:dyDescent="0.25">
      <c r="A2525" s="565" t="s">
        <v>165</v>
      </c>
      <c r="B2525" s="1075" t="s">
        <v>165</v>
      </c>
      <c r="C2525" s="1076" t="s">
        <v>165</v>
      </c>
      <c r="D2525" s="931"/>
      <c r="E2525" s="927"/>
      <c r="F2525" s="928"/>
      <c r="G2525" s="1077"/>
      <c r="H2525" s="930"/>
      <c r="I2525" s="901" t="str">
        <f t="shared" si="691"/>
        <v/>
      </c>
      <c r="J2525" s="902">
        <f t="shared" si="692"/>
        <v>0</v>
      </c>
      <c r="K2525" s="928" t="s">
        <v>507</v>
      </c>
      <c r="L2525" s="1039">
        <f>ROUND(SUM('RES. CENTRAL PARK:RUA_FINAL'!L2525),2)</f>
        <v>0</v>
      </c>
      <c r="M2525" s="1039">
        <f t="shared" si="689"/>
        <v>0</v>
      </c>
      <c r="N2525" s="893">
        <f t="shared" si="690"/>
        <v>0</v>
      </c>
      <c r="O2525" s="905"/>
      <c r="Q2525" s="317" t="str">
        <f t="shared" si="686"/>
        <v/>
      </c>
      <c r="R2525" s="317" t="str">
        <f t="shared" si="687"/>
        <v/>
      </c>
      <c r="S2525" s="317" t="str">
        <f t="shared" si="688"/>
        <v/>
      </c>
      <c r="V2525" s="314">
        <f>SUM('RES. CENTRAL PARK:RUA_FINAL'!N2525)</f>
        <v>0</v>
      </c>
      <c r="W2525" s="315">
        <f t="shared" si="693"/>
        <v>0</v>
      </c>
    </row>
    <row r="2526" spans="1:29" ht="13.5" hidden="1" thickBot="1" x14ac:dyDescent="0.25">
      <c r="A2526" s="565" t="s">
        <v>165</v>
      </c>
      <c r="B2526" s="1075" t="s">
        <v>165</v>
      </c>
      <c r="C2526" s="1076" t="s">
        <v>165</v>
      </c>
      <c r="D2526" s="931"/>
      <c r="E2526" s="927"/>
      <c r="F2526" s="928"/>
      <c r="G2526" s="1077"/>
      <c r="H2526" s="930"/>
      <c r="I2526" s="901" t="str">
        <f t="shared" si="691"/>
        <v/>
      </c>
      <c r="J2526" s="902">
        <f t="shared" si="692"/>
        <v>0</v>
      </c>
      <c r="K2526" s="928" t="s">
        <v>507</v>
      </c>
      <c r="L2526" s="1039">
        <f>ROUND(SUM('RES. CENTRAL PARK:RUA_FINAL'!L2526),2)</f>
        <v>0</v>
      </c>
      <c r="M2526" s="1039">
        <f t="shared" si="689"/>
        <v>0</v>
      </c>
      <c r="N2526" s="893">
        <f t="shared" si="690"/>
        <v>0</v>
      </c>
      <c r="O2526" s="905"/>
      <c r="Q2526" s="317" t="str">
        <f t="shared" si="686"/>
        <v/>
      </c>
      <c r="R2526" s="317" t="str">
        <f t="shared" si="687"/>
        <v/>
      </c>
      <c r="S2526" s="317" t="str">
        <f t="shared" si="688"/>
        <v/>
      </c>
      <c r="V2526" s="314">
        <f>SUM('RES. CENTRAL PARK:RUA_FINAL'!N2526)</f>
        <v>0</v>
      </c>
      <c r="W2526" s="315">
        <f t="shared" si="693"/>
        <v>0</v>
      </c>
    </row>
    <row r="2527" spans="1:29" ht="13.5" hidden="1" thickBot="1" x14ac:dyDescent="0.25">
      <c r="A2527" s="566" t="s">
        <v>152</v>
      </c>
      <c r="B2527" s="1075" t="s">
        <v>165</v>
      </c>
      <c r="C2527" s="1076" t="s">
        <v>165</v>
      </c>
      <c r="D2527" s="931"/>
      <c r="E2527" s="927"/>
      <c r="F2527" s="928"/>
      <c r="G2527" s="1077"/>
      <c r="H2527" s="930"/>
      <c r="I2527" s="901" t="str">
        <f t="shared" si="691"/>
        <v/>
      </c>
      <c r="J2527" s="902">
        <f t="shared" si="692"/>
        <v>0</v>
      </c>
      <c r="K2527" s="928" t="s">
        <v>507</v>
      </c>
      <c r="L2527" s="1039">
        <f>ROUND(SUM('RES. CENTRAL PARK:RUA_FINAL'!L2527),2)</f>
        <v>0</v>
      </c>
      <c r="M2527" s="1039">
        <f t="shared" si="689"/>
        <v>0</v>
      </c>
      <c r="N2527" s="893">
        <f t="shared" si="690"/>
        <v>0</v>
      </c>
      <c r="O2527" s="905"/>
      <c r="Q2527" s="317" t="str">
        <f t="shared" si="686"/>
        <v/>
      </c>
      <c r="R2527" s="317" t="str">
        <f t="shared" si="687"/>
        <v/>
      </c>
      <c r="S2527" s="317" t="str">
        <f t="shared" si="688"/>
        <v/>
      </c>
      <c r="V2527" s="314">
        <f>SUM('RES. CENTRAL PARK:RUA_FINAL'!N2527)</f>
        <v>0</v>
      </c>
      <c r="W2527" s="315">
        <f t="shared" si="693"/>
        <v>0</v>
      </c>
    </row>
    <row r="2528" spans="1:29" ht="13.5" hidden="1" thickBot="1" x14ac:dyDescent="0.25">
      <c r="A2528" s="566" t="s">
        <v>152</v>
      </c>
      <c r="B2528" s="1075" t="s">
        <v>165</v>
      </c>
      <c r="C2528" s="1076" t="s">
        <v>165</v>
      </c>
      <c r="D2528" s="931"/>
      <c r="E2528" s="927"/>
      <c r="F2528" s="928"/>
      <c r="G2528" s="1077"/>
      <c r="H2528" s="930"/>
      <c r="I2528" s="901" t="str">
        <f t="shared" si="691"/>
        <v/>
      </c>
      <c r="J2528" s="902">
        <f t="shared" si="692"/>
        <v>0</v>
      </c>
      <c r="K2528" s="928" t="s">
        <v>507</v>
      </c>
      <c r="L2528" s="1039">
        <f>ROUND(SUM('RES. CENTRAL PARK:RUA_FINAL'!L2528),2)</f>
        <v>0</v>
      </c>
      <c r="M2528" s="1039">
        <f t="shared" si="689"/>
        <v>0</v>
      </c>
      <c r="N2528" s="893">
        <f t="shared" si="690"/>
        <v>0</v>
      </c>
      <c r="O2528" s="905"/>
      <c r="Q2528" s="317" t="str">
        <f t="shared" si="686"/>
        <v/>
      </c>
      <c r="R2528" s="317" t="str">
        <f t="shared" si="687"/>
        <v/>
      </c>
      <c r="S2528" s="317" t="str">
        <f t="shared" si="688"/>
        <v/>
      </c>
      <c r="V2528" s="314">
        <f>SUM('RES. CENTRAL PARK:RUA_FINAL'!N2528)</f>
        <v>0</v>
      </c>
      <c r="W2528" s="315">
        <f t="shared" si="693"/>
        <v>0</v>
      </c>
    </row>
    <row r="2529" spans="1:23" ht="13.5" hidden="1" thickBot="1" x14ac:dyDescent="0.25">
      <c r="A2529" s="566" t="s">
        <v>152</v>
      </c>
      <c r="B2529" s="1075" t="s">
        <v>165</v>
      </c>
      <c r="C2529" s="1076" t="s">
        <v>165</v>
      </c>
      <c r="D2529" s="931"/>
      <c r="E2529" s="927"/>
      <c r="F2529" s="928"/>
      <c r="G2529" s="1077"/>
      <c r="H2529" s="930"/>
      <c r="I2529" s="901" t="str">
        <f t="shared" si="691"/>
        <v/>
      </c>
      <c r="J2529" s="902">
        <f t="shared" si="692"/>
        <v>0</v>
      </c>
      <c r="K2529" s="928" t="s">
        <v>507</v>
      </c>
      <c r="L2529" s="1039">
        <f>ROUND(SUM('RES. CENTRAL PARK:RUA_FINAL'!L2529),2)</f>
        <v>0</v>
      </c>
      <c r="M2529" s="1039">
        <f t="shared" si="689"/>
        <v>0</v>
      </c>
      <c r="N2529" s="893">
        <f t="shared" si="690"/>
        <v>0</v>
      </c>
      <c r="O2529" s="905"/>
      <c r="Q2529" s="317" t="str">
        <f t="shared" si="686"/>
        <v/>
      </c>
      <c r="R2529" s="317" t="str">
        <f t="shared" si="687"/>
        <v/>
      </c>
      <c r="S2529" s="317" t="str">
        <f t="shared" si="688"/>
        <v/>
      </c>
      <c r="V2529" s="314">
        <f>SUM('RES. CENTRAL PARK:RUA_FINAL'!N2529)</f>
        <v>0</v>
      </c>
      <c r="W2529" s="315">
        <f t="shared" si="693"/>
        <v>0</v>
      </c>
    </row>
    <row r="2530" spans="1:23" ht="13.5" hidden="1" thickBot="1" x14ac:dyDescent="0.25">
      <c r="A2530" s="566" t="s">
        <v>152</v>
      </c>
      <c r="B2530" s="1075" t="s">
        <v>165</v>
      </c>
      <c r="C2530" s="1076" t="s">
        <v>165</v>
      </c>
      <c r="D2530" s="931"/>
      <c r="E2530" s="927"/>
      <c r="F2530" s="928"/>
      <c r="G2530" s="1077"/>
      <c r="H2530" s="930"/>
      <c r="I2530" s="901" t="str">
        <f t="shared" si="691"/>
        <v/>
      </c>
      <c r="J2530" s="902">
        <f t="shared" si="692"/>
        <v>0</v>
      </c>
      <c r="K2530" s="928" t="s">
        <v>507</v>
      </c>
      <c r="L2530" s="1039">
        <f>ROUND(SUM('RES. CENTRAL PARK:RUA_FINAL'!L2530),2)</f>
        <v>0</v>
      </c>
      <c r="M2530" s="1039">
        <f t="shared" si="689"/>
        <v>0</v>
      </c>
      <c r="N2530" s="893">
        <f t="shared" si="690"/>
        <v>0</v>
      </c>
      <c r="O2530" s="905"/>
      <c r="Q2530" s="317" t="str">
        <f t="shared" si="686"/>
        <v/>
      </c>
      <c r="R2530" s="317" t="str">
        <f t="shared" si="687"/>
        <v/>
      </c>
      <c r="S2530" s="317" t="str">
        <f t="shared" si="688"/>
        <v/>
      </c>
      <c r="V2530" s="314">
        <f>SUM('RES. CENTRAL PARK:RUA_FINAL'!N2530)</f>
        <v>0</v>
      </c>
      <c r="W2530" s="315">
        <f t="shared" si="693"/>
        <v>0</v>
      </c>
    </row>
    <row r="2531" spans="1:23" ht="13.5" hidden="1" thickBot="1" x14ac:dyDescent="0.25">
      <c r="A2531" s="566" t="s">
        <v>152</v>
      </c>
      <c r="B2531" s="1075" t="s">
        <v>165</v>
      </c>
      <c r="C2531" s="1076" t="s">
        <v>165</v>
      </c>
      <c r="D2531" s="931"/>
      <c r="E2531" s="927"/>
      <c r="F2531" s="928"/>
      <c r="G2531" s="1077"/>
      <c r="H2531" s="930"/>
      <c r="I2531" s="901" t="str">
        <f t="shared" si="691"/>
        <v/>
      </c>
      <c r="J2531" s="902">
        <f t="shared" si="692"/>
        <v>0</v>
      </c>
      <c r="K2531" s="928" t="s">
        <v>507</v>
      </c>
      <c r="L2531" s="1039">
        <f>ROUND(SUM('RES. CENTRAL PARK:RUA_FINAL'!L2531),2)</f>
        <v>0</v>
      </c>
      <c r="M2531" s="1039">
        <f t="shared" si="689"/>
        <v>0</v>
      </c>
      <c r="N2531" s="893">
        <f t="shared" si="690"/>
        <v>0</v>
      </c>
      <c r="O2531" s="905"/>
      <c r="Q2531" s="317" t="str">
        <f t="shared" si="686"/>
        <v/>
      </c>
      <c r="R2531" s="317" t="str">
        <f t="shared" si="687"/>
        <v/>
      </c>
      <c r="S2531" s="317" t="str">
        <f t="shared" si="688"/>
        <v/>
      </c>
      <c r="V2531" s="314">
        <f>SUM('RES. CENTRAL PARK:RUA_FINAL'!N2531)</f>
        <v>0</v>
      </c>
      <c r="W2531" s="315">
        <f t="shared" si="693"/>
        <v>0</v>
      </c>
    </row>
    <row r="2532" spans="1:23" ht="13.5" hidden="1" thickBot="1" x14ac:dyDescent="0.25">
      <c r="A2532" s="566" t="s">
        <v>152</v>
      </c>
      <c r="B2532" s="1075" t="s">
        <v>165</v>
      </c>
      <c r="C2532" s="1076" t="s">
        <v>165</v>
      </c>
      <c r="D2532" s="931"/>
      <c r="E2532" s="927"/>
      <c r="F2532" s="928"/>
      <c r="G2532" s="1077"/>
      <c r="H2532" s="930"/>
      <c r="I2532" s="901" t="str">
        <f t="shared" si="691"/>
        <v/>
      </c>
      <c r="J2532" s="902">
        <f t="shared" si="692"/>
        <v>0</v>
      </c>
      <c r="K2532" s="928" t="s">
        <v>507</v>
      </c>
      <c r="L2532" s="1039">
        <f>ROUND(SUM('RES. CENTRAL PARK:RUA_FINAL'!L2532),2)</f>
        <v>0</v>
      </c>
      <c r="M2532" s="1039">
        <f t="shared" si="689"/>
        <v>0</v>
      </c>
      <c r="N2532" s="893">
        <f t="shared" si="690"/>
        <v>0</v>
      </c>
      <c r="O2532" s="905"/>
      <c r="Q2532" s="317" t="str">
        <f t="shared" si="686"/>
        <v/>
      </c>
      <c r="R2532" s="317" t="str">
        <f t="shared" si="687"/>
        <v/>
      </c>
      <c r="S2532" s="317" t="str">
        <f t="shared" si="688"/>
        <v/>
      </c>
      <c r="V2532" s="314">
        <f>SUM('RES. CENTRAL PARK:RUA_FINAL'!N2532)</f>
        <v>0</v>
      </c>
      <c r="W2532" s="315">
        <f t="shared" si="693"/>
        <v>0</v>
      </c>
    </row>
    <row r="2533" spans="1:23" ht="13.5" hidden="1" thickBot="1" x14ac:dyDescent="0.25">
      <c r="A2533" s="566" t="s">
        <v>152</v>
      </c>
      <c r="B2533" s="1075" t="s">
        <v>165</v>
      </c>
      <c r="C2533" s="1076" t="s">
        <v>165</v>
      </c>
      <c r="D2533" s="931"/>
      <c r="E2533" s="927"/>
      <c r="F2533" s="928"/>
      <c r="G2533" s="1077"/>
      <c r="H2533" s="930"/>
      <c r="I2533" s="901" t="str">
        <f t="shared" si="691"/>
        <v/>
      </c>
      <c r="J2533" s="902">
        <f t="shared" si="692"/>
        <v>0</v>
      </c>
      <c r="K2533" s="928" t="s">
        <v>507</v>
      </c>
      <c r="L2533" s="1039">
        <f>ROUND(SUM('RES. CENTRAL PARK:RUA_FINAL'!L2533),2)</f>
        <v>0</v>
      </c>
      <c r="M2533" s="1039">
        <f t="shared" si="689"/>
        <v>0</v>
      </c>
      <c r="N2533" s="893">
        <f t="shared" si="690"/>
        <v>0</v>
      </c>
      <c r="O2533" s="905"/>
      <c r="Q2533" s="317" t="str">
        <f t="shared" si="686"/>
        <v/>
      </c>
      <c r="R2533" s="317" t="str">
        <f t="shared" si="687"/>
        <v/>
      </c>
      <c r="S2533" s="317" t="str">
        <f t="shared" si="688"/>
        <v/>
      </c>
      <c r="V2533" s="314">
        <f>SUM('RES. CENTRAL PARK:RUA_FINAL'!N2533)</f>
        <v>0</v>
      </c>
      <c r="W2533" s="315">
        <f t="shared" si="693"/>
        <v>0</v>
      </c>
    </row>
    <row r="2534" spans="1:23" ht="13.5" hidden="1" thickBot="1" x14ac:dyDescent="0.25">
      <c r="A2534" s="566" t="s">
        <v>152</v>
      </c>
      <c r="B2534" s="1075" t="s">
        <v>165</v>
      </c>
      <c r="C2534" s="1076" t="s">
        <v>165</v>
      </c>
      <c r="D2534" s="931"/>
      <c r="E2534" s="927"/>
      <c r="F2534" s="928"/>
      <c r="G2534" s="1077"/>
      <c r="H2534" s="930"/>
      <c r="I2534" s="901" t="str">
        <f t="shared" si="691"/>
        <v/>
      </c>
      <c r="J2534" s="902">
        <f t="shared" si="692"/>
        <v>0</v>
      </c>
      <c r="K2534" s="928" t="s">
        <v>507</v>
      </c>
      <c r="L2534" s="1039">
        <f>ROUND(SUM('RES. CENTRAL PARK:RUA_FINAL'!L2534),2)</f>
        <v>0</v>
      </c>
      <c r="M2534" s="1039">
        <f t="shared" si="689"/>
        <v>0</v>
      </c>
      <c r="N2534" s="893">
        <f t="shared" si="690"/>
        <v>0</v>
      </c>
      <c r="O2534" s="905"/>
      <c r="Q2534" s="317" t="str">
        <f t="shared" si="686"/>
        <v/>
      </c>
      <c r="R2534" s="317" t="str">
        <f t="shared" si="687"/>
        <v/>
      </c>
      <c r="S2534" s="317" t="str">
        <f t="shared" si="688"/>
        <v/>
      </c>
      <c r="V2534" s="314">
        <f>SUM('RES. CENTRAL PARK:RUA_FINAL'!N2534)</f>
        <v>0</v>
      </c>
      <c r="W2534" s="315">
        <f t="shared" si="693"/>
        <v>0</v>
      </c>
    </row>
    <row r="2535" spans="1:23" ht="13.5" hidden="1" thickBot="1" x14ac:dyDescent="0.25">
      <c r="A2535" s="566" t="s">
        <v>152</v>
      </c>
      <c r="B2535" s="1075" t="s">
        <v>165</v>
      </c>
      <c r="C2535" s="1076" t="s">
        <v>165</v>
      </c>
      <c r="D2535" s="931"/>
      <c r="E2535" s="927"/>
      <c r="F2535" s="928"/>
      <c r="G2535" s="1077"/>
      <c r="H2535" s="930"/>
      <c r="I2535" s="901" t="str">
        <f t="shared" si="691"/>
        <v/>
      </c>
      <c r="J2535" s="902">
        <f t="shared" si="692"/>
        <v>0</v>
      </c>
      <c r="K2535" s="928" t="s">
        <v>507</v>
      </c>
      <c r="L2535" s="1039">
        <f>ROUND(SUM('RES. CENTRAL PARK:RUA_FINAL'!L2535),2)</f>
        <v>0</v>
      </c>
      <c r="M2535" s="1039">
        <f t="shared" si="689"/>
        <v>0</v>
      </c>
      <c r="N2535" s="893">
        <f t="shared" si="690"/>
        <v>0</v>
      </c>
      <c r="O2535" s="905"/>
      <c r="Q2535" s="317" t="str">
        <f t="shared" si="686"/>
        <v/>
      </c>
      <c r="R2535" s="317" t="str">
        <f t="shared" si="687"/>
        <v/>
      </c>
      <c r="S2535" s="317" t="str">
        <f t="shared" si="688"/>
        <v/>
      </c>
      <c r="V2535" s="314">
        <f>SUM('RES. CENTRAL PARK:RUA_FINAL'!N2535)</f>
        <v>0</v>
      </c>
      <c r="W2535" s="315">
        <f t="shared" si="693"/>
        <v>0</v>
      </c>
    </row>
    <row r="2536" spans="1:23" ht="13.5" hidden="1" thickBot="1" x14ac:dyDescent="0.25">
      <c r="A2536" s="566" t="s">
        <v>152</v>
      </c>
      <c r="B2536" s="1075" t="s">
        <v>165</v>
      </c>
      <c r="C2536" s="1076" t="s">
        <v>165</v>
      </c>
      <c r="D2536" s="931"/>
      <c r="E2536" s="927"/>
      <c r="F2536" s="928"/>
      <c r="G2536" s="1077"/>
      <c r="H2536" s="930"/>
      <c r="I2536" s="901" t="str">
        <f t="shared" si="691"/>
        <v/>
      </c>
      <c r="J2536" s="902">
        <f t="shared" si="692"/>
        <v>0</v>
      </c>
      <c r="K2536" s="928" t="s">
        <v>507</v>
      </c>
      <c r="L2536" s="1039">
        <f>ROUND(SUM('RES. CENTRAL PARK:RUA_FINAL'!L2536),2)</f>
        <v>0</v>
      </c>
      <c r="M2536" s="1039">
        <f t="shared" si="689"/>
        <v>0</v>
      </c>
      <c r="N2536" s="893">
        <f t="shared" si="690"/>
        <v>0</v>
      </c>
      <c r="O2536" s="905"/>
      <c r="Q2536" s="317" t="str">
        <f t="shared" si="686"/>
        <v/>
      </c>
      <c r="R2536" s="317" t="str">
        <f t="shared" si="687"/>
        <v/>
      </c>
      <c r="S2536" s="317" t="str">
        <f t="shared" si="688"/>
        <v/>
      </c>
      <c r="V2536" s="314">
        <f>SUM('RES. CENTRAL PARK:RUA_FINAL'!N2536)</f>
        <v>0</v>
      </c>
      <c r="W2536" s="315">
        <f t="shared" si="693"/>
        <v>0</v>
      </c>
    </row>
    <row r="2537" spans="1:23" ht="13.5" hidden="1" thickBot="1" x14ac:dyDescent="0.25">
      <c r="A2537" s="566" t="s">
        <v>152</v>
      </c>
      <c r="B2537" s="1075" t="s">
        <v>165</v>
      </c>
      <c r="C2537" s="1076" t="s">
        <v>165</v>
      </c>
      <c r="D2537" s="931"/>
      <c r="E2537" s="927"/>
      <c r="F2537" s="928"/>
      <c r="G2537" s="1077"/>
      <c r="H2537" s="930"/>
      <c r="I2537" s="901" t="str">
        <f t="shared" si="691"/>
        <v/>
      </c>
      <c r="J2537" s="902">
        <f t="shared" si="692"/>
        <v>0</v>
      </c>
      <c r="K2537" s="928" t="s">
        <v>507</v>
      </c>
      <c r="L2537" s="1039">
        <f>ROUND(SUM('RES. CENTRAL PARK:RUA_FINAL'!L2537),2)</f>
        <v>0</v>
      </c>
      <c r="M2537" s="1039">
        <f t="shared" si="689"/>
        <v>0</v>
      </c>
      <c r="N2537" s="893">
        <f t="shared" si="690"/>
        <v>0</v>
      </c>
      <c r="O2537" s="905"/>
      <c r="Q2537" s="317" t="str">
        <f t="shared" si="686"/>
        <v/>
      </c>
      <c r="R2537" s="317" t="str">
        <f t="shared" si="687"/>
        <v/>
      </c>
      <c r="S2537" s="317" t="str">
        <f t="shared" si="688"/>
        <v/>
      </c>
      <c r="V2537" s="314">
        <f>SUM('RES. CENTRAL PARK:RUA_FINAL'!N2537)</f>
        <v>0</v>
      </c>
      <c r="W2537" s="315">
        <f t="shared" si="693"/>
        <v>0</v>
      </c>
    </row>
    <row r="2538" spans="1:23" ht="13.5" hidden="1" thickBot="1" x14ac:dyDescent="0.25">
      <c r="A2538" s="565" t="s">
        <v>165</v>
      </c>
      <c r="B2538" s="1075" t="s">
        <v>165</v>
      </c>
      <c r="C2538" s="1076" t="s">
        <v>165</v>
      </c>
      <c r="D2538" s="931"/>
      <c r="E2538" s="927"/>
      <c r="F2538" s="928"/>
      <c r="G2538" s="1077"/>
      <c r="H2538" s="930"/>
      <c r="I2538" s="901" t="str">
        <f t="shared" si="691"/>
        <v/>
      </c>
      <c r="J2538" s="902">
        <f t="shared" si="692"/>
        <v>0</v>
      </c>
      <c r="K2538" s="928" t="s">
        <v>507</v>
      </c>
      <c r="L2538" s="1039">
        <f>ROUND(SUM('RES. CENTRAL PARK:RUA_FINAL'!L2538),2)</f>
        <v>0</v>
      </c>
      <c r="M2538" s="1039">
        <f t="shared" si="689"/>
        <v>0</v>
      </c>
      <c r="N2538" s="893">
        <f t="shared" si="690"/>
        <v>0</v>
      </c>
      <c r="O2538" s="905"/>
      <c r="Q2538" s="317" t="str">
        <f t="shared" si="686"/>
        <v/>
      </c>
      <c r="R2538" s="317" t="str">
        <f t="shared" si="687"/>
        <v/>
      </c>
      <c r="S2538" s="317" t="str">
        <f t="shared" si="688"/>
        <v/>
      </c>
      <c r="V2538" s="314">
        <f>SUM('RES. CENTRAL PARK:RUA_FINAL'!N2538)</f>
        <v>0</v>
      </c>
      <c r="W2538" s="315">
        <f t="shared" si="693"/>
        <v>0</v>
      </c>
    </row>
    <row r="2539" spans="1:23" ht="13.5" hidden="1" thickBot="1" x14ac:dyDescent="0.25">
      <c r="A2539" s="565" t="s">
        <v>165</v>
      </c>
      <c r="B2539" s="1075" t="s">
        <v>165</v>
      </c>
      <c r="C2539" s="1076" t="s">
        <v>165</v>
      </c>
      <c r="D2539" s="931"/>
      <c r="E2539" s="927"/>
      <c r="F2539" s="928"/>
      <c r="G2539" s="1077"/>
      <c r="H2539" s="930"/>
      <c r="I2539" s="901" t="str">
        <f t="shared" si="691"/>
        <v/>
      </c>
      <c r="J2539" s="902">
        <f t="shared" si="692"/>
        <v>0</v>
      </c>
      <c r="K2539" s="928" t="s">
        <v>507</v>
      </c>
      <c r="L2539" s="1039">
        <f>ROUND(SUM('RES. CENTRAL PARK:RUA_FINAL'!L2539),2)</f>
        <v>0</v>
      </c>
      <c r="M2539" s="1039">
        <f t="shared" si="689"/>
        <v>0</v>
      </c>
      <c r="N2539" s="893">
        <f t="shared" si="690"/>
        <v>0</v>
      </c>
      <c r="O2539" s="905"/>
      <c r="Q2539" s="317" t="str">
        <f t="shared" si="686"/>
        <v/>
      </c>
      <c r="R2539" s="317" t="str">
        <f t="shared" si="687"/>
        <v/>
      </c>
      <c r="S2539" s="317" t="str">
        <f t="shared" si="688"/>
        <v/>
      </c>
      <c r="V2539" s="314">
        <f>SUM('RES. CENTRAL PARK:RUA_FINAL'!N2539)</f>
        <v>0</v>
      </c>
      <c r="W2539" s="315">
        <f t="shared" si="693"/>
        <v>0</v>
      </c>
    </row>
    <row r="2540" spans="1:23" ht="13.5" hidden="1" thickBot="1" x14ac:dyDescent="0.25">
      <c r="A2540" s="565" t="s">
        <v>165</v>
      </c>
      <c r="B2540" s="1075" t="s">
        <v>165</v>
      </c>
      <c r="C2540" s="1076" t="s">
        <v>165</v>
      </c>
      <c r="D2540" s="931"/>
      <c r="E2540" s="927"/>
      <c r="F2540" s="928"/>
      <c r="G2540" s="1077"/>
      <c r="H2540" s="930"/>
      <c r="I2540" s="901" t="str">
        <f t="shared" si="691"/>
        <v/>
      </c>
      <c r="J2540" s="902">
        <f t="shared" si="692"/>
        <v>0</v>
      </c>
      <c r="K2540" s="928" t="s">
        <v>507</v>
      </c>
      <c r="L2540" s="1039">
        <f>ROUND(SUM('RES. CENTRAL PARK:RUA_FINAL'!L2540),2)</f>
        <v>0</v>
      </c>
      <c r="M2540" s="1039">
        <f t="shared" si="689"/>
        <v>0</v>
      </c>
      <c r="N2540" s="893">
        <f t="shared" si="690"/>
        <v>0</v>
      </c>
      <c r="O2540" s="905"/>
      <c r="Q2540" s="317" t="str">
        <f t="shared" si="686"/>
        <v/>
      </c>
      <c r="R2540" s="317" t="str">
        <f t="shared" si="687"/>
        <v/>
      </c>
      <c r="S2540" s="317" t="str">
        <f t="shared" si="688"/>
        <v/>
      </c>
      <c r="V2540" s="314">
        <f>SUM('RES. CENTRAL PARK:RUA_FINAL'!N2540)</f>
        <v>0</v>
      </c>
      <c r="W2540" s="315">
        <f t="shared" si="693"/>
        <v>0</v>
      </c>
    </row>
    <row r="2541" spans="1:23" ht="13.5" hidden="1" thickBot="1" x14ac:dyDescent="0.25">
      <c r="A2541" s="565" t="s">
        <v>165</v>
      </c>
      <c r="B2541" s="1075" t="s">
        <v>165</v>
      </c>
      <c r="C2541" s="1076" t="s">
        <v>165</v>
      </c>
      <c r="D2541" s="931"/>
      <c r="E2541" s="927"/>
      <c r="F2541" s="928"/>
      <c r="G2541" s="1077"/>
      <c r="H2541" s="930"/>
      <c r="I2541" s="901" t="str">
        <f t="shared" si="691"/>
        <v/>
      </c>
      <c r="J2541" s="902">
        <f t="shared" si="692"/>
        <v>0</v>
      </c>
      <c r="K2541" s="928" t="s">
        <v>507</v>
      </c>
      <c r="L2541" s="1039">
        <f>ROUND(SUM('RES. CENTRAL PARK:RUA_FINAL'!L2541),2)</f>
        <v>0</v>
      </c>
      <c r="M2541" s="1039">
        <f t="shared" si="689"/>
        <v>0</v>
      </c>
      <c r="N2541" s="893">
        <f t="shared" si="690"/>
        <v>0</v>
      </c>
      <c r="O2541" s="905"/>
      <c r="Q2541" s="317" t="str">
        <f t="shared" si="686"/>
        <v/>
      </c>
      <c r="R2541" s="317" t="str">
        <f t="shared" si="687"/>
        <v/>
      </c>
      <c r="S2541" s="317" t="str">
        <f t="shared" si="688"/>
        <v/>
      </c>
      <c r="V2541" s="314">
        <f>SUM('RES. CENTRAL PARK:RUA_FINAL'!N2541)</f>
        <v>0</v>
      </c>
      <c r="W2541" s="315">
        <f t="shared" si="693"/>
        <v>0</v>
      </c>
    </row>
    <row r="2542" spans="1:23" ht="13.5" hidden="1" thickBot="1" x14ac:dyDescent="0.25">
      <c r="A2542" s="565" t="s">
        <v>165</v>
      </c>
      <c r="B2542" s="1075" t="s">
        <v>165</v>
      </c>
      <c r="C2542" s="1076" t="s">
        <v>165</v>
      </c>
      <c r="D2542" s="931"/>
      <c r="E2542" s="927"/>
      <c r="F2542" s="928"/>
      <c r="G2542" s="1077"/>
      <c r="H2542" s="930"/>
      <c r="I2542" s="901" t="str">
        <f t="shared" si="691"/>
        <v/>
      </c>
      <c r="J2542" s="902">
        <f t="shared" si="692"/>
        <v>0</v>
      </c>
      <c r="K2542" s="928" t="s">
        <v>507</v>
      </c>
      <c r="L2542" s="1039">
        <f>ROUND(SUM('RES. CENTRAL PARK:RUA_FINAL'!L2542),2)</f>
        <v>0</v>
      </c>
      <c r="M2542" s="1039">
        <f t="shared" si="689"/>
        <v>0</v>
      </c>
      <c r="N2542" s="893">
        <f t="shared" si="690"/>
        <v>0</v>
      </c>
      <c r="O2542" s="905"/>
      <c r="Q2542" s="317" t="str">
        <f t="shared" si="686"/>
        <v/>
      </c>
      <c r="R2542" s="317" t="str">
        <f t="shared" si="687"/>
        <v/>
      </c>
      <c r="S2542" s="317" t="str">
        <f t="shared" si="688"/>
        <v/>
      </c>
      <c r="V2542" s="314">
        <f>SUM('RES. CENTRAL PARK:RUA_FINAL'!N2542)</f>
        <v>0</v>
      </c>
      <c r="W2542" s="315">
        <f t="shared" si="693"/>
        <v>0</v>
      </c>
    </row>
    <row r="2543" spans="1:23" ht="13.5" hidden="1" thickBot="1" x14ac:dyDescent="0.25">
      <c r="A2543" s="565" t="s">
        <v>165</v>
      </c>
      <c r="B2543" s="1075" t="s">
        <v>165</v>
      </c>
      <c r="C2543" s="1076" t="s">
        <v>165</v>
      </c>
      <c r="D2543" s="931"/>
      <c r="E2543" s="927"/>
      <c r="F2543" s="928"/>
      <c r="G2543" s="1077"/>
      <c r="H2543" s="930"/>
      <c r="I2543" s="901" t="str">
        <f t="shared" si="691"/>
        <v/>
      </c>
      <c r="J2543" s="902">
        <f t="shared" si="692"/>
        <v>0</v>
      </c>
      <c r="K2543" s="928" t="s">
        <v>507</v>
      </c>
      <c r="L2543" s="1039">
        <f>ROUND(SUM('RES. CENTRAL PARK:RUA_FINAL'!L2543),2)</f>
        <v>0</v>
      </c>
      <c r="M2543" s="1039">
        <f t="shared" si="689"/>
        <v>0</v>
      </c>
      <c r="N2543" s="893">
        <f t="shared" si="690"/>
        <v>0</v>
      </c>
      <c r="O2543" s="905"/>
      <c r="Q2543" s="317" t="str">
        <f t="shared" si="686"/>
        <v/>
      </c>
      <c r="R2543" s="317" t="str">
        <f t="shared" si="687"/>
        <v/>
      </c>
      <c r="S2543" s="317" t="str">
        <f t="shared" si="688"/>
        <v/>
      </c>
      <c r="V2543" s="314">
        <f>SUM('RES. CENTRAL PARK:RUA_FINAL'!N2543)</f>
        <v>0</v>
      </c>
      <c r="W2543" s="315">
        <f t="shared" si="693"/>
        <v>0</v>
      </c>
    </row>
    <row r="2544" spans="1:23" ht="13.5" hidden="1" thickBot="1" x14ac:dyDescent="0.25">
      <c r="A2544" s="565" t="s">
        <v>165</v>
      </c>
      <c r="B2544" s="1075" t="s">
        <v>165</v>
      </c>
      <c r="C2544" s="1076" t="s">
        <v>165</v>
      </c>
      <c r="D2544" s="931"/>
      <c r="E2544" s="927"/>
      <c r="F2544" s="928"/>
      <c r="G2544" s="1077"/>
      <c r="H2544" s="930"/>
      <c r="I2544" s="901" t="str">
        <f t="shared" si="691"/>
        <v/>
      </c>
      <c r="J2544" s="902">
        <f t="shared" si="692"/>
        <v>0</v>
      </c>
      <c r="K2544" s="928" t="s">
        <v>507</v>
      </c>
      <c r="L2544" s="1039">
        <f>ROUND(SUM('RES. CENTRAL PARK:RUA_FINAL'!L2544),2)</f>
        <v>0</v>
      </c>
      <c r="M2544" s="1039">
        <f t="shared" si="689"/>
        <v>0</v>
      </c>
      <c r="N2544" s="893">
        <f t="shared" si="690"/>
        <v>0</v>
      </c>
      <c r="O2544" s="905"/>
      <c r="Q2544" s="317" t="str">
        <f t="shared" ref="Q2544:Q2547" si="694">IF(P2544="X","x",IF(P2544="xx","x",IF(P2544="xy","x",IF(P2544="y","x",IF(OR(N2544&gt;0,N2544&gt;0),"x","")))))</f>
        <v/>
      </c>
      <c r="R2544" s="317" t="str">
        <f t="shared" ref="R2544:R2547" si="695">IF(P2544="X","x",IF(P2544="y","x",IF(P2544="xx","x",IF(N2544&gt;0,"x",""))))</f>
        <v/>
      </c>
      <c r="S2544" s="317" t="str">
        <f t="shared" ref="S2544:S2547" si="696">IF(P2544="X","x",IF(N2544&gt;0,"x",""))</f>
        <v/>
      </c>
      <c r="V2544" s="314">
        <f>SUM('RES. CENTRAL PARK:RUA_FINAL'!N2544)</f>
        <v>0</v>
      </c>
      <c r="W2544" s="315">
        <f t="shared" si="693"/>
        <v>0</v>
      </c>
    </row>
    <row r="2545" spans="1:23" ht="13.5" hidden="1" thickBot="1" x14ac:dyDescent="0.25">
      <c r="A2545" s="565" t="s">
        <v>165</v>
      </c>
      <c r="B2545" s="1075" t="s">
        <v>165</v>
      </c>
      <c r="C2545" s="1076" t="s">
        <v>165</v>
      </c>
      <c r="D2545" s="931"/>
      <c r="E2545" s="927"/>
      <c r="F2545" s="928"/>
      <c r="G2545" s="1077"/>
      <c r="H2545" s="930"/>
      <c r="I2545" s="901" t="str">
        <f t="shared" si="691"/>
        <v/>
      </c>
      <c r="J2545" s="902">
        <f t="shared" si="692"/>
        <v>0</v>
      </c>
      <c r="K2545" s="928" t="s">
        <v>507</v>
      </c>
      <c r="L2545" s="1039">
        <f>ROUND(SUM('RES. CENTRAL PARK:RUA_FINAL'!L2545),2)</f>
        <v>0</v>
      </c>
      <c r="M2545" s="1039">
        <f t="shared" si="689"/>
        <v>0</v>
      </c>
      <c r="N2545" s="893">
        <f t="shared" si="690"/>
        <v>0</v>
      </c>
      <c r="O2545" s="905"/>
      <c r="Q2545" s="317" t="str">
        <f t="shared" si="694"/>
        <v/>
      </c>
      <c r="R2545" s="317" t="str">
        <f t="shared" si="695"/>
        <v/>
      </c>
      <c r="S2545" s="317" t="str">
        <f t="shared" si="696"/>
        <v/>
      </c>
      <c r="V2545" s="314">
        <f>SUM('RES. CENTRAL PARK:RUA_FINAL'!N2545)</f>
        <v>0</v>
      </c>
      <c r="W2545" s="315">
        <f t="shared" si="693"/>
        <v>0</v>
      </c>
    </row>
    <row r="2546" spans="1:23" ht="13.5" hidden="1" thickBot="1" x14ac:dyDescent="0.25">
      <c r="A2546" s="565" t="s">
        <v>165</v>
      </c>
      <c r="B2546" s="1075" t="s">
        <v>165</v>
      </c>
      <c r="C2546" s="1076" t="s">
        <v>165</v>
      </c>
      <c r="D2546" s="931"/>
      <c r="E2546" s="927"/>
      <c r="F2546" s="928"/>
      <c r="G2546" s="1077"/>
      <c r="H2546" s="930"/>
      <c r="I2546" s="901" t="str">
        <f t="shared" si="691"/>
        <v/>
      </c>
      <c r="J2546" s="902">
        <f t="shared" si="692"/>
        <v>0</v>
      </c>
      <c r="K2546" s="928" t="s">
        <v>507</v>
      </c>
      <c r="L2546" s="1039">
        <f>ROUND(SUM('RES. CENTRAL PARK:RUA_FINAL'!L2546),2)</f>
        <v>0</v>
      </c>
      <c r="M2546" s="1039">
        <f t="shared" si="689"/>
        <v>0</v>
      </c>
      <c r="N2546" s="893">
        <f t="shared" si="690"/>
        <v>0</v>
      </c>
      <c r="O2546" s="905"/>
      <c r="Q2546" s="317" t="str">
        <f t="shared" si="694"/>
        <v/>
      </c>
      <c r="R2546" s="317" t="str">
        <f t="shared" si="695"/>
        <v/>
      </c>
      <c r="S2546" s="317" t="str">
        <f t="shared" si="696"/>
        <v/>
      </c>
      <c r="V2546" s="314">
        <f>SUM('RES. CENTRAL PARK:RUA_FINAL'!N2546)</f>
        <v>0</v>
      </c>
      <c r="W2546" s="315">
        <f t="shared" si="693"/>
        <v>0</v>
      </c>
    </row>
    <row r="2547" spans="1:23" ht="9.75" customHeight="1" thickBot="1" x14ac:dyDescent="0.25">
      <c r="A2547" s="565" t="s">
        <v>165</v>
      </c>
      <c r="B2547" s="1078" t="s">
        <v>152</v>
      </c>
      <c r="C2547" s="1079"/>
      <c r="D2547" s="1080"/>
      <c r="E2547" s="1081"/>
      <c r="F2547" s="1082"/>
      <c r="G2547" s="1083"/>
      <c r="H2547" s="1083"/>
      <c r="I2547" s="1083"/>
      <c r="J2547" s="1084"/>
      <c r="K2547" s="1081"/>
      <c r="L2547" s="1085"/>
      <c r="M2547" s="1085"/>
      <c r="N2547" s="1086"/>
      <c r="O2547" s="1087"/>
      <c r="P2547" s="60" t="s">
        <v>152</v>
      </c>
      <c r="Q2547" s="317" t="str">
        <f t="shared" si="694"/>
        <v>x</v>
      </c>
      <c r="R2547" s="317" t="str">
        <f t="shared" si="695"/>
        <v>x</v>
      </c>
      <c r="S2547" s="317" t="str">
        <f t="shared" si="696"/>
        <v>x</v>
      </c>
    </row>
    <row r="2548" spans="1:23" ht="21" customHeight="1" thickBot="1" x14ac:dyDescent="0.25">
      <c r="A2548" s="565" t="s">
        <v>165</v>
      </c>
      <c r="B2548" s="1088" t="str">
        <f>CONCATENATE(N16," ",DAY(O16),"/",MONTH(O16),"/",YEAR(O16))</f>
        <v>Data Base da aprovação do Orçamento (Decreto 10.086/22 do Paraná, que regulamenta a Lei 14.133/21):  14/4/2023</v>
      </c>
      <c r="C2548" s="1089"/>
      <c r="D2548" s="1090"/>
      <c r="E2548" s="1091"/>
      <c r="F2548" s="1092"/>
      <c r="G2548" s="1093"/>
      <c r="H2548" s="1093"/>
      <c r="I2548" s="1093"/>
      <c r="J2548" s="1093"/>
      <c r="K2548" s="1091"/>
      <c r="L2548" s="880"/>
      <c r="M2548" s="880"/>
      <c r="N2548" s="1094" t="s">
        <v>2145</v>
      </c>
      <c r="O2548" s="882">
        <f>SUBTOTAL(9,O19:O2546)</f>
        <v>1262521.29</v>
      </c>
      <c r="P2548" s="60" t="s">
        <v>152</v>
      </c>
      <c r="Q2548" s="317" t="s">
        <v>152</v>
      </c>
      <c r="R2548" s="317" t="s">
        <v>152</v>
      </c>
      <c r="S2548" s="317" t="s">
        <v>152</v>
      </c>
    </row>
    <row r="2549" spans="1:23" ht="15" customHeight="1" thickBot="1" x14ac:dyDescent="0.25">
      <c r="A2549" s="565" t="s">
        <v>165</v>
      </c>
      <c r="B2549" s="1095" t="s">
        <v>152</v>
      </c>
      <c r="C2549" s="1096"/>
      <c r="D2549" s="1097"/>
      <c r="E2549" s="1098"/>
      <c r="F2549" s="1099"/>
      <c r="G2549" s="1100"/>
      <c r="H2549" s="1100"/>
      <c r="I2549" s="1100"/>
      <c r="J2549" s="1101"/>
      <c r="K2549" s="1098"/>
      <c r="L2549" s="1102"/>
      <c r="M2549" s="1102"/>
      <c r="N2549" s="1103"/>
      <c r="O2549" s="1103"/>
      <c r="P2549" s="60" t="s">
        <v>152</v>
      </c>
      <c r="Q2549" s="641" t="s">
        <v>152</v>
      </c>
      <c r="R2549" s="641" t="s">
        <v>152</v>
      </c>
      <c r="S2549" s="641" t="s">
        <v>152</v>
      </c>
    </row>
    <row r="2550" spans="1:23" ht="15" hidden="1" customHeight="1" thickBot="1" x14ac:dyDescent="0.25">
      <c r="A2550" s="565"/>
      <c r="B2550" s="1104"/>
      <c r="C2550" s="1105"/>
      <c r="D2550" s="1106"/>
      <c r="E2550" s="1107"/>
      <c r="F2550" s="1108"/>
      <c r="G2550" s="1109"/>
      <c r="H2550" s="1109"/>
      <c r="I2550" s="1109"/>
      <c r="J2550" s="1110"/>
      <c r="K2550" s="1107"/>
      <c r="L2550" s="1111"/>
      <c r="M2550" s="1111"/>
      <c r="N2550" s="1112">
        <f>SUBTOTAL(9,N19:N2546)</f>
        <v>1262521.29</v>
      </c>
      <c r="O2550" s="1113"/>
      <c r="P2550" s="60"/>
      <c r="Q2550" s="641"/>
      <c r="R2550" s="641"/>
      <c r="S2550" s="641"/>
    </row>
    <row r="2551" spans="1:23" ht="18" customHeight="1" thickBot="1" x14ac:dyDescent="0.25">
      <c r="A2551" s="565" t="s">
        <v>165</v>
      </c>
      <c r="B2551" s="569" t="s">
        <v>152</v>
      </c>
      <c r="C2551" s="71"/>
      <c r="D2551" s="75" t="s">
        <v>477</v>
      </c>
      <c r="E2551" s="62"/>
      <c r="F2551" s="70"/>
      <c r="G2551" s="321"/>
      <c r="H2551" s="321"/>
      <c r="I2551" s="321" t="str">
        <f t="shared" ref="I2551:I2556" si="697">IF(ISBLANK(H2551),"",SUM(G2551:H2551))</f>
        <v/>
      </c>
      <c r="J2551" s="321"/>
      <c r="K2551" s="62"/>
      <c r="L2551" s="533"/>
      <c r="M2551" s="534"/>
      <c r="N2551" s="535">
        <f>SUM(N19:N643)</f>
        <v>1239953.76</v>
      </c>
      <c r="O2551" s="535">
        <f>SUM(O19:O643)</f>
        <v>1239953.76</v>
      </c>
      <c r="P2551" s="60"/>
      <c r="Q2551" s="641" t="s">
        <v>152</v>
      </c>
      <c r="R2551" s="641" t="s">
        <v>152</v>
      </c>
      <c r="S2551" s="641" t="s">
        <v>152</v>
      </c>
    </row>
    <row r="2552" spans="1:23" ht="18" customHeight="1" thickBot="1" x14ac:dyDescent="0.25">
      <c r="A2552" s="565" t="s">
        <v>165</v>
      </c>
      <c r="B2552" s="569" t="s">
        <v>152</v>
      </c>
      <c r="C2552" s="71"/>
      <c r="D2552" s="75" t="s">
        <v>481</v>
      </c>
      <c r="E2552" s="62"/>
      <c r="F2552" s="70"/>
      <c r="G2552" s="321"/>
      <c r="H2552" s="321"/>
      <c r="I2552" s="321" t="str">
        <f t="shared" si="697"/>
        <v/>
      </c>
      <c r="J2552" s="321"/>
      <c r="K2552" s="62"/>
      <c r="L2552" s="533"/>
      <c r="M2552" s="534"/>
      <c r="N2552" s="535">
        <f>SUM(N644:N912)</f>
        <v>22567.53</v>
      </c>
      <c r="O2552" s="535">
        <f>SUM(O644:O912)</f>
        <v>22567.53</v>
      </c>
      <c r="P2552" s="60" t="s">
        <v>152</v>
      </c>
      <c r="Q2552" s="317" t="s">
        <v>152</v>
      </c>
      <c r="R2552" s="317" t="s">
        <v>152</v>
      </c>
      <c r="S2552" s="317" t="s">
        <v>152</v>
      </c>
    </row>
    <row r="2553" spans="1:23" ht="18" customHeight="1" thickBot="1" x14ac:dyDescent="0.25">
      <c r="A2553" s="565" t="s">
        <v>165</v>
      </c>
      <c r="B2553" s="569" t="s">
        <v>152</v>
      </c>
      <c r="C2553" s="71"/>
      <c r="D2553" s="75" t="s">
        <v>478</v>
      </c>
      <c r="E2553" s="62"/>
      <c r="F2553" s="70"/>
      <c r="G2553" s="321"/>
      <c r="H2553" s="321"/>
      <c r="I2553" s="321" t="str">
        <f t="shared" si="697"/>
        <v/>
      </c>
      <c r="J2553" s="321"/>
      <c r="K2553" s="62"/>
      <c r="L2553" s="533"/>
      <c r="M2553" s="534"/>
      <c r="N2553" s="535">
        <f>SUM(N913:N1624)</f>
        <v>0</v>
      </c>
      <c r="O2553" s="535">
        <f>SUM(O913:O1624)</f>
        <v>0</v>
      </c>
      <c r="P2553" s="60" t="s">
        <v>152</v>
      </c>
      <c r="Q2553" s="317" t="s">
        <v>152</v>
      </c>
      <c r="R2553" s="317" t="s">
        <v>152</v>
      </c>
      <c r="S2553" s="317" t="s">
        <v>152</v>
      </c>
    </row>
    <row r="2554" spans="1:23" ht="18" customHeight="1" thickBot="1" x14ac:dyDescent="0.25">
      <c r="A2554" s="565" t="s">
        <v>165</v>
      </c>
      <c r="B2554" s="569" t="s">
        <v>152</v>
      </c>
      <c r="C2554" s="71"/>
      <c r="D2554" s="75" t="s">
        <v>479</v>
      </c>
      <c r="E2554" s="62"/>
      <c r="F2554" s="70"/>
      <c r="G2554" s="321"/>
      <c r="H2554" s="321"/>
      <c r="I2554" s="321" t="str">
        <f t="shared" si="697"/>
        <v/>
      </c>
      <c r="J2554" s="321"/>
      <c r="K2554" s="62"/>
      <c r="L2554" s="533"/>
      <c r="M2554" s="534"/>
      <c r="N2554" s="535">
        <f>SUM(N1625:N1719)</f>
        <v>0</v>
      </c>
      <c r="O2554" s="535">
        <f>SUM(O1625:O1719)</f>
        <v>0</v>
      </c>
      <c r="P2554" s="60" t="s">
        <v>152</v>
      </c>
      <c r="Q2554" s="317" t="s">
        <v>152</v>
      </c>
      <c r="R2554" s="317" t="s">
        <v>152</v>
      </c>
      <c r="S2554" s="317" t="s">
        <v>152</v>
      </c>
    </row>
    <row r="2555" spans="1:23" ht="18" customHeight="1" thickBot="1" x14ac:dyDescent="0.25">
      <c r="A2555" s="565" t="s">
        <v>165</v>
      </c>
      <c r="B2555" s="569" t="s">
        <v>152</v>
      </c>
      <c r="C2555" s="71"/>
      <c r="D2555" s="75" t="s">
        <v>480</v>
      </c>
      <c r="E2555" s="62"/>
      <c r="F2555" s="70"/>
      <c r="G2555" s="321"/>
      <c r="H2555" s="321"/>
      <c r="I2555" s="321" t="str">
        <f t="shared" si="697"/>
        <v/>
      </c>
      <c r="J2555" s="321"/>
      <c r="K2555" s="62"/>
      <c r="L2555" s="533"/>
      <c r="M2555" s="534"/>
      <c r="N2555" s="535">
        <f>SUM(N1720:N2498)</f>
        <v>0</v>
      </c>
      <c r="O2555" s="535">
        <f>SUM(O1720:O2498)</f>
        <v>0</v>
      </c>
      <c r="P2555" s="60" t="s">
        <v>152</v>
      </c>
      <c r="Q2555" s="317" t="s">
        <v>152</v>
      </c>
      <c r="R2555" s="317" t="s">
        <v>152</v>
      </c>
      <c r="S2555" s="317" t="s">
        <v>152</v>
      </c>
    </row>
    <row r="2556" spans="1:23" ht="18" customHeight="1" thickBot="1" x14ac:dyDescent="0.25">
      <c r="A2556" s="565" t="s">
        <v>165</v>
      </c>
      <c r="B2556" s="569" t="s">
        <v>152</v>
      </c>
      <c r="C2556" s="71"/>
      <c r="D2556" s="75" t="s">
        <v>504</v>
      </c>
      <c r="E2556" s="62"/>
      <c r="F2556" s="70"/>
      <c r="G2556" s="321"/>
      <c r="H2556" s="321"/>
      <c r="I2556" s="321" t="str">
        <f t="shared" si="697"/>
        <v/>
      </c>
      <c r="J2556" s="321"/>
      <c r="K2556" s="62"/>
      <c r="L2556" s="533"/>
      <c r="M2556" s="534"/>
      <c r="N2556" s="535">
        <f>SUM(N2499:N2546)</f>
        <v>0</v>
      </c>
      <c r="O2556" s="535">
        <f>SUM(O2499:O2546)</f>
        <v>0</v>
      </c>
      <c r="P2556" s="60" t="s">
        <v>152</v>
      </c>
      <c r="Q2556" s="317" t="s">
        <v>152</v>
      </c>
      <c r="R2556" s="317" t="s">
        <v>152</v>
      </c>
      <c r="S2556" s="317" t="s">
        <v>152</v>
      </c>
    </row>
    <row r="2557" spans="1:23" ht="18" customHeight="1" thickBot="1" x14ac:dyDescent="0.25">
      <c r="A2557" s="565" t="s">
        <v>165</v>
      </c>
      <c r="B2557" s="327" t="s">
        <v>152</v>
      </c>
      <c r="E2557" s="64"/>
      <c r="G2557" s="322"/>
      <c r="H2557" s="322"/>
      <c r="I2557" s="322"/>
      <c r="J2557" s="322"/>
      <c r="L2557" s="1352" t="s">
        <v>2054</v>
      </c>
      <c r="M2557" s="1353"/>
      <c r="N2557" s="66">
        <v>16453.63</v>
      </c>
      <c r="O2557" s="68">
        <f>IF(N2557=0,0,O2548/N2557)</f>
        <v>76.732082221369993</v>
      </c>
      <c r="P2557" s="60" t="s">
        <v>152</v>
      </c>
      <c r="Q2557" s="317" t="s">
        <v>152</v>
      </c>
      <c r="R2557" s="317" t="s">
        <v>152</v>
      </c>
      <c r="S2557" s="317" t="s">
        <v>152</v>
      </c>
    </row>
    <row r="2558" spans="1:23" x14ac:dyDescent="0.2">
      <c r="A2558" s="565" t="s">
        <v>165</v>
      </c>
      <c r="B2558" s="327" t="s">
        <v>152</v>
      </c>
      <c r="G2558" s="322"/>
      <c r="H2558" s="322"/>
      <c r="K2558" s="318"/>
      <c r="L2558" s="318"/>
      <c r="M2558" s="318"/>
      <c r="N2558" s="318"/>
      <c r="O2558" s="318"/>
      <c r="P2558" s="319" t="s">
        <v>152</v>
      </c>
      <c r="Q2558" s="317" t="s">
        <v>152</v>
      </c>
      <c r="R2558" s="317" t="s">
        <v>152</v>
      </c>
      <c r="S2558" s="317" t="s">
        <v>152</v>
      </c>
    </row>
    <row r="2559" spans="1:23" ht="13.5" thickBot="1" x14ac:dyDescent="0.25">
      <c r="A2559" s="565" t="s">
        <v>165</v>
      </c>
      <c r="B2559" s="327" t="s">
        <v>152</v>
      </c>
      <c r="G2559" s="322"/>
      <c r="H2559" s="322"/>
      <c r="K2559" s="318"/>
      <c r="L2559" s="323">
        <f>SUM(L20:L2546)</f>
        <v>52060.409999999996</v>
      </c>
      <c r="M2559" s="318"/>
      <c r="N2559" s="318"/>
      <c r="O2559" s="318"/>
      <c r="P2559" s="319" t="s">
        <v>152</v>
      </c>
      <c r="Q2559" s="317" t="s">
        <v>152</v>
      </c>
      <c r="R2559" s="317" t="s">
        <v>152</v>
      </c>
      <c r="S2559" s="317" t="s">
        <v>152</v>
      </c>
    </row>
    <row r="2560" spans="1:23" ht="18" customHeight="1" thickBot="1" x14ac:dyDescent="0.25">
      <c r="A2560" s="565" t="s">
        <v>165</v>
      </c>
      <c r="B2560" s="327" t="s">
        <v>152</v>
      </c>
      <c r="K2560" s="318"/>
      <c r="L2560" s="1352"/>
      <c r="M2560" s="1354"/>
      <c r="N2560" s="61">
        <f>SUM(N19:N2546)</f>
        <v>1262521.29</v>
      </c>
      <c r="O2560" s="61">
        <f>SUM(O19:O2546)</f>
        <v>1262521.29</v>
      </c>
      <c r="P2560" s="319" t="s">
        <v>152</v>
      </c>
      <c r="Q2560" s="317" t="s">
        <v>152</v>
      </c>
      <c r="R2560" s="317" t="s">
        <v>152</v>
      </c>
      <c r="S2560" s="317" t="s">
        <v>152</v>
      </c>
    </row>
    <row r="2561" spans="1:10" hidden="1" x14ac:dyDescent="0.2">
      <c r="A2561" s="565" t="s">
        <v>165</v>
      </c>
    </row>
    <row r="2563" spans="1:10" x14ac:dyDescent="0.2">
      <c r="H2563" s="81"/>
      <c r="I2563" s="249"/>
      <c r="J2563" s="249"/>
    </row>
    <row r="2566" spans="1:10" x14ac:dyDescent="0.2">
      <c r="D2566" s="258"/>
      <c r="J2566" s="65"/>
    </row>
    <row r="2567" spans="1:10" x14ac:dyDescent="0.2">
      <c r="D2567" s="258" t="s">
        <v>165</v>
      </c>
      <c r="J2567" s="65"/>
    </row>
    <row r="2568" spans="1:10" x14ac:dyDescent="0.2">
      <c r="D2568" s="258"/>
      <c r="J2568" s="65"/>
    </row>
    <row r="2569" spans="1:10" x14ac:dyDescent="0.2">
      <c r="J2569" s="65"/>
    </row>
    <row r="2570" spans="1:10" x14ac:dyDescent="0.2">
      <c r="J2570" s="65"/>
    </row>
    <row r="2571" spans="1:10" x14ac:dyDescent="0.2">
      <c r="J2571" s="65"/>
    </row>
    <row r="2572" spans="1:10" x14ac:dyDescent="0.2">
      <c r="J2572" s="65"/>
    </row>
    <row r="2573" spans="1:10" x14ac:dyDescent="0.2">
      <c r="J2573" s="65"/>
    </row>
    <row r="2574" spans="1:10" x14ac:dyDescent="0.2">
      <c r="D2574" s="80" t="s">
        <v>165</v>
      </c>
      <c r="J2574" s="65"/>
    </row>
    <row r="2575" spans="1:10" ht="9" customHeight="1" x14ac:dyDescent="0.2"/>
    <row r="2576" spans="1:10" x14ac:dyDescent="0.2">
      <c r="D2576" s="80"/>
    </row>
    <row r="2578" spans="6:6" x14ac:dyDescent="0.2">
      <c r="F2578" s="37" t="s">
        <v>1717</v>
      </c>
    </row>
  </sheetData>
  <sheetProtection algorithmName="SHA-512" hashValue="TVU/djysRbRPEXIxBctlJxiu8in5k1n3c2C587knAkqPhs8r6PGBtF5OWXd2CgX3nYR7E+Cu5WzBIzaVJZL2LA==" saltValue="CMT7fbDCj+xv8Wa1HZ4Cew==" spinCount="100000" sheet="1" objects="1" scenarios="1" formatColumns="0" formatRows="0" autoFilter="0"/>
  <autoFilter ref="A18:Y2561" xr:uid="{00000000-0009-0000-0000-000007000000}">
    <filterColumn colId="16">
      <customFilters>
        <customFilter operator="notEqual" val=" "/>
      </customFilters>
    </filterColumn>
  </autoFilter>
  <sortState xmlns:xlrd2="http://schemas.microsoft.com/office/spreadsheetml/2017/richdata2" ref="B1600:S1628">
    <sortCondition ref="D1600:D1628"/>
  </sortState>
  <mergeCells count="4">
    <mergeCell ref="L2557:M2557"/>
    <mergeCell ref="L2560:M2560"/>
    <mergeCell ref="S1:V9"/>
    <mergeCell ref="U17:U18"/>
  </mergeCells>
  <phoneticPr fontId="0" type="noConversion"/>
  <printOptions horizontalCentered="1"/>
  <pageMargins left="0.25" right="0.25" top="0.75" bottom="0.75" header="0.3" footer="0.3"/>
  <pageSetup paperSize="9" scale="65" fitToHeight="0" orientation="landscape" r:id="rId1"/>
  <headerFooter alignWithMargins="0"/>
  <ignoredErrors>
    <ignoredError sqref="E9:E10 N20:N116 L20:L21 N492:N706 N789:N820 N2501 E70:E120 E232 E234 E236 E258:E261 E266 E271 E276:E279 E282 E285 E288 E291 E294 E297 E300 E303 E306 E308:E312 E318 E324 E330 E355:E359 E793:E806 E855:E857 E1632:E1633 E1635:E1636 E1640:E1641 E1683 E1769:E1775 E1777:E1778 E789:E790 E1935 E2104:E2107 E126 E124 E148 E128:E142 E145 E151 E154 E157 E160 E163:E164 E168 E172 E176 E180 E24:E29 E184:E230 E122 E238:E256 E505:E508 E543:E551 E561:E562 E592:E593 E645:E656 E658:E661 E667:E669 E689:E693 E686:E687 F13:F14 N118:N270 N825:N913 E595:E597 N420:N437 N468:N485 N396:N407 N272:N383 N708:N776 N914:N2499" unlockedFormula="1"/>
    <ignoredError sqref="O14 F1893:F1894 B19:B25 A117:B117 A69 A19 A228:B228 A589:B589 A644:B644 A853:B853 A913:B913 B1625 B1720 B2499 B30:B33 B37:B69" numberStoredAsText="1"/>
    <ignoredError sqref="I78:I88 I135:I137 F774:G775 F773 F769 F763 F751 F745 F739 F733" formulaRange="1"/>
    <ignoredError sqref="I89 I232 I234 I236 I696 I698 I700 G773" formula="1" formulaRange="1"/>
    <ignoredError sqref="I188 G194:G197 F256:G256 G257:G274 I233 I235 I697 I699 I701 G767 G761 G755 G749 G2299:G2323 G1740:G1755 E127 G2109:G2183" formula="1"/>
    <ignoredError sqref="F257:F274" numberStoredAsText="1" formula="1"/>
    <ignoredError sqref="E1637 E657" formula="1" unlocked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0070C0"/>
    <pageSetUpPr fitToPage="1"/>
  </sheetPr>
  <dimension ref="A1:AY2578"/>
  <sheetViews>
    <sheetView topLeftCell="B408" zoomScale="90" zoomScaleNormal="90" workbookViewId="0">
      <selection activeCell="L867" sqref="L867"/>
    </sheetView>
  </sheetViews>
  <sheetFormatPr defaultColWidth="21.6640625" defaultRowHeight="12.75" x14ac:dyDescent="0.2"/>
  <cols>
    <col min="1" max="1" width="15.6640625" style="317" hidden="1" customWidth="1"/>
    <col min="2" max="2" width="19.83203125" style="572" customWidth="1"/>
    <col min="3" max="3" width="17.1640625" style="572" customWidth="1"/>
    <col min="4" max="4" width="76.83203125" style="37" customWidth="1"/>
    <col min="5" max="5" width="15.83203125" style="37" customWidth="1"/>
    <col min="6" max="6" width="12.83203125" style="37" customWidth="1"/>
    <col min="7" max="7" width="15.33203125" style="37" bestFit="1" customWidth="1"/>
    <col min="8" max="9" width="12.83203125" style="37" customWidth="1"/>
    <col min="10" max="10" width="13.83203125" style="37" customWidth="1"/>
    <col min="11" max="11" width="6.83203125" style="37" customWidth="1"/>
    <col min="12" max="12" width="15.83203125" style="37" customWidth="1"/>
    <col min="13" max="13" width="11.83203125" style="37" customWidth="1"/>
    <col min="14" max="15" width="22.83203125" style="37" customWidth="1"/>
    <col min="16" max="16" width="4.6640625" style="36" customWidth="1"/>
    <col min="17" max="20" width="4.6640625" style="37" customWidth="1"/>
    <col min="21" max="24" width="21.6640625" style="37"/>
    <col min="25" max="25" width="21.6640625" style="317"/>
    <col min="26" max="16384" width="21.6640625" style="37"/>
  </cols>
  <sheetData>
    <row r="1" spans="1:25" ht="26.25" customHeight="1" x14ac:dyDescent="0.2">
      <c r="B1" s="694" t="s">
        <v>418</v>
      </c>
      <c r="C1" s="695"/>
      <c r="D1" s="695"/>
      <c r="E1" s="308"/>
      <c r="F1" s="32"/>
      <c r="G1" s="35"/>
      <c r="H1" s="33"/>
      <c r="I1" s="34"/>
      <c r="J1" s="34"/>
      <c r="K1" s="528" t="s">
        <v>421</v>
      </c>
      <c r="L1" s="529" t="s">
        <v>421</v>
      </c>
      <c r="M1" s="530"/>
      <c r="N1" s="531" t="s">
        <v>421</v>
      </c>
      <c r="O1" s="532"/>
      <c r="T1"/>
    </row>
    <row r="2" spans="1:25" ht="24.75" customHeight="1" x14ac:dyDescent="0.2">
      <c r="B2" s="693" t="str">
        <f>$O$15</f>
        <v>Tabela Referência: DER/PR de FEVEREIRO/2023 sem desoneração</v>
      </c>
      <c r="C2" s="561"/>
      <c r="D2" s="554"/>
      <c r="E2" s="509"/>
      <c r="F2" s="47"/>
      <c r="G2" s="41"/>
      <c r="H2" s="38"/>
      <c r="I2" s="39"/>
      <c r="J2" s="38"/>
      <c r="K2" s="38"/>
      <c r="L2" s="40"/>
      <c r="M2" s="554"/>
      <c r="N2" s="554"/>
      <c r="O2" s="555"/>
      <c r="T2"/>
    </row>
    <row r="3" spans="1:25" ht="18" customHeight="1" x14ac:dyDescent="0.2">
      <c r="B3" s="511"/>
      <c r="C3" s="512"/>
      <c r="D3" s="513" t="s">
        <v>422</v>
      </c>
      <c r="E3" s="514" t="s">
        <v>422</v>
      </c>
      <c r="F3" s="515"/>
      <c r="G3" s="44"/>
      <c r="H3" s="42"/>
      <c r="I3" s="39"/>
      <c r="J3" s="43"/>
      <c r="K3" s="516" t="s">
        <v>422</v>
      </c>
      <c r="L3" s="516" t="s">
        <v>422</v>
      </c>
      <c r="M3" s="554"/>
      <c r="N3" s="554"/>
      <c r="O3" s="555"/>
      <c r="T3"/>
    </row>
    <row r="4" spans="1:25" x14ac:dyDescent="0.2">
      <c r="A4" s="317" t="s">
        <v>152</v>
      </c>
      <c r="B4" s="567" t="s">
        <v>152</v>
      </c>
      <c r="C4" s="573"/>
      <c r="D4" s="518"/>
      <c r="E4" s="526"/>
      <c r="F4" s="46"/>
      <c r="G4" s="44"/>
      <c r="H4" s="42"/>
      <c r="I4" s="39"/>
      <c r="J4" s="43"/>
      <c r="K4" s="43"/>
      <c r="L4" s="45"/>
      <c r="M4" s="554"/>
      <c r="N4" s="554"/>
      <c r="O4" s="555"/>
    </row>
    <row r="5" spans="1:25" x14ac:dyDescent="0.2">
      <c r="A5" s="317" t="s">
        <v>152</v>
      </c>
      <c r="B5" s="567" t="s">
        <v>152</v>
      </c>
      <c r="C5" s="573"/>
      <c r="D5" s="518"/>
      <c r="E5" s="526"/>
      <c r="F5" s="47"/>
      <c r="G5" s="44"/>
      <c r="H5" s="42"/>
      <c r="I5" s="39"/>
      <c r="J5" s="43"/>
      <c r="K5" s="43"/>
      <c r="L5" s="45"/>
      <c r="M5" s="554"/>
      <c r="N5" s="554"/>
      <c r="O5" s="555"/>
    </row>
    <row r="6" spans="1:25" x14ac:dyDescent="0.2">
      <c r="A6" s="317" t="s">
        <v>152</v>
      </c>
      <c r="B6" s="567" t="s">
        <v>152</v>
      </c>
      <c r="C6" s="573"/>
      <c r="D6" s="518"/>
      <c r="E6" s="526"/>
      <c r="F6" s="46"/>
      <c r="G6" s="44"/>
      <c r="H6" s="42"/>
      <c r="I6" s="39"/>
      <c r="J6" s="43"/>
      <c r="K6" s="43"/>
      <c r="L6" s="45"/>
      <c r="M6" s="554"/>
      <c r="N6" s="554"/>
      <c r="O6" s="555"/>
    </row>
    <row r="7" spans="1:25" x14ac:dyDescent="0.2">
      <c r="A7" s="317" t="s">
        <v>152</v>
      </c>
      <c r="B7" s="567" t="s">
        <v>152</v>
      </c>
      <c r="C7" s="573"/>
      <c r="D7" s="518"/>
      <c r="E7" s="526"/>
      <c r="F7" s="46"/>
      <c r="G7" s="44"/>
      <c r="H7" s="42"/>
      <c r="I7" s="39"/>
      <c r="J7" s="43"/>
      <c r="K7" s="43"/>
      <c r="L7" s="45"/>
      <c r="M7" s="554"/>
      <c r="N7" s="554"/>
      <c r="O7" s="555"/>
    </row>
    <row r="8" spans="1:25" ht="13.5" thickBot="1" x14ac:dyDescent="0.25">
      <c r="B8" s="519"/>
      <c r="C8" s="520"/>
      <c r="D8" s="518"/>
      <c r="E8" s="526"/>
      <c r="F8" s="46"/>
      <c r="G8" s="44"/>
      <c r="H8" s="42"/>
      <c r="I8" s="39"/>
      <c r="J8" s="43"/>
      <c r="K8" s="43"/>
      <c r="L8" s="45"/>
      <c r="M8" s="554"/>
      <c r="N8" s="554"/>
      <c r="O8" s="555"/>
    </row>
    <row r="9" spans="1:25" ht="15" thickBot="1" x14ac:dyDescent="0.25">
      <c r="B9" s="567"/>
      <c r="C9" s="573"/>
      <c r="D9" s="527" t="s">
        <v>1991</v>
      </c>
      <c r="E9" s="78">
        <f>BDI!B17</f>
        <v>0.15279999999999999</v>
      </c>
      <c r="F9" s="46"/>
      <c r="G9" s="44"/>
      <c r="H9" s="42"/>
      <c r="I9" s="39"/>
      <c r="J9" s="43"/>
      <c r="K9" s="43"/>
      <c r="L9" s="45"/>
      <c r="M9" s="554"/>
      <c r="N9" s="554"/>
      <c r="O9" s="555"/>
      <c r="Q9" s="310"/>
    </row>
    <row r="10" spans="1:25" ht="13.5" thickBot="1" x14ac:dyDescent="0.25">
      <c r="B10" s="567"/>
      <c r="C10" s="573"/>
      <c r="D10" s="527" t="s">
        <v>513</v>
      </c>
      <c r="E10" s="79">
        <f>BDI!B15</f>
        <v>0.20069999999999999</v>
      </c>
      <c r="F10" s="46"/>
      <c r="G10" s="44"/>
      <c r="H10" s="42"/>
      <c r="I10" s="39"/>
      <c r="J10" s="43"/>
      <c r="K10" s="43"/>
      <c r="L10" s="45"/>
      <c r="M10" s="554"/>
      <c r="N10" s="554"/>
      <c r="O10" s="555"/>
    </row>
    <row r="11" spans="1:25" ht="13.5" thickBot="1" x14ac:dyDescent="0.25">
      <c r="B11" s="568"/>
      <c r="C11" s="574"/>
      <c r="D11" s="522"/>
      <c r="E11" s="312"/>
      <c r="F11" s="48"/>
      <c r="G11" s="52"/>
      <c r="H11" s="49"/>
      <c r="I11" s="50"/>
      <c r="J11" s="51"/>
      <c r="K11" s="51"/>
      <c r="L11" s="53"/>
      <c r="M11" s="556"/>
      <c r="N11" s="556"/>
      <c r="O11" s="557"/>
    </row>
    <row r="12" spans="1:25" ht="25.15" customHeight="1" thickBot="1" x14ac:dyDescent="0.25">
      <c r="B12" s="69" t="s">
        <v>157</v>
      </c>
      <c r="C12" s="54"/>
      <c r="D12" s="55"/>
      <c r="E12" s="55"/>
      <c r="F12" s="56"/>
      <c r="G12" s="55"/>
      <c r="H12" s="55"/>
      <c r="I12" s="55"/>
      <c r="J12" s="55"/>
      <c r="K12" s="55"/>
      <c r="L12" s="55"/>
      <c r="M12" s="55"/>
      <c r="N12" s="55"/>
      <c r="O12" s="56"/>
    </row>
    <row r="13" spans="1:25" s="77" customFormat="1" ht="18" customHeight="1" x14ac:dyDescent="0.2">
      <c r="A13" s="317"/>
      <c r="B13" s="829" t="s">
        <v>159</v>
      </c>
      <c r="C13" s="1120" t="str">
        <f>GLOBAL_DER_FEV_2023!C13</f>
        <v>RIO BOM</v>
      </c>
      <c r="D13" s="834"/>
      <c r="E13" s="1121" t="s">
        <v>160</v>
      </c>
      <c r="F13" s="1122" t="str">
        <f>GLOBAL_DER_FEV_2023!F13</f>
        <v>XX</v>
      </c>
      <c r="G13" s="833"/>
      <c r="H13" s="834"/>
      <c r="I13" s="834"/>
      <c r="J13" s="834"/>
      <c r="K13" s="834"/>
      <c r="L13" s="834"/>
      <c r="M13" s="834"/>
      <c r="N13" s="835" t="s">
        <v>160</v>
      </c>
      <c r="O13" s="1123" t="str">
        <f>GLOBAL_DER_FEV_2023!O13</f>
        <v>XX</v>
      </c>
      <c r="P13" s="76"/>
      <c r="Y13" s="317"/>
    </row>
    <row r="14" spans="1:25" s="77" customFormat="1" ht="18" customHeight="1" x14ac:dyDescent="0.2">
      <c r="A14" s="317"/>
      <c r="B14" s="837" t="s">
        <v>161</v>
      </c>
      <c r="C14" s="1124" t="str">
        <f>GLOBAL_DER_FEV_2023!C14</f>
        <v>PAVIMENTAÇÃO DE VIAS URBANAS</v>
      </c>
      <c r="D14" s="842"/>
      <c r="E14" s="1125" t="s">
        <v>163</v>
      </c>
      <c r="F14" s="1126" t="str">
        <f>GLOBAL_DER_FEV_2023!F14</f>
        <v>1</v>
      </c>
      <c r="G14" s="841"/>
      <c r="H14" s="842"/>
      <c r="I14" s="842"/>
      <c r="J14" s="842"/>
      <c r="K14" s="842"/>
      <c r="L14" s="842"/>
      <c r="M14" s="842"/>
      <c r="N14" s="843" t="s">
        <v>162</v>
      </c>
      <c r="O14" s="1127" t="str">
        <f>GLOBAL_DER_FEV_2023!O14</f>
        <v>1</v>
      </c>
      <c r="P14" s="76"/>
      <c r="Y14" s="317"/>
    </row>
    <row r="15" spans="1:25" s="77" customFormat="1" ht="18" customHeight="1" x14ac:dyDescent="0.2">
      <c r="A15" s="317"/>
      <c r="B15" s="837" t="s">
        <v>476</v>
      </c>
      <c r="C15" s="838" t="s">
        <v>2307</v>
      </c>
      <c r="D15" s="1189"/>
      <c r="E15" s="1128"/>
      <c r="F15" s="1129"/>
      <c r="G15" s="841"/>
      <c r="H15" s="842"/>
      <c r="I15" s="842"/>
      <c r="J15" s="842"/>
      <c r="K15" s="842"/>
      <c r="L15" s="842"/>
      <c r="M15" s="842"/>
      <c r="N15" s="842"/>
      <c r="O15" s="846" t="str">
        <f>GLOBAL_DER_FEV_2023!O15</f>
        <v>Tabela Referência: DER/PR de FEVEREIRO/2023 sem desoneração</v>
      </c>
      <c r="P15" s="76"/>
      <c r="Y15" s="317"/>
    </row>
    <row r="16" spans="1:25" s="77" customFormat="1" ht="18" customHeight="1" thickBot="1" x14ac:dyDescent="0.25">
      <c r="A16" s="317"/>
      <c r="B16" s="1130"/>
      <c r="C16" s="1131"/>
      <c r="D16" s="1116"/>
      <c r="E16" s="1131"/>
      <c r="F16" s="1131"/>
      <c r="G16" s="1115"/>
      <c r="H16" s="1115"/>
      <c r="I16" s="1115"/>
      <c r="J16" s="1115"/>
      <c r="K16" s="1115"/>
      <c r="L16" s="1115"/>
      <c r="M16" s="1115"/>
      <c r="N16" s="1118" t="s">
        <v>2192</v>
      </c>
      <c r="O16" s="1119">
        <f>GLOBAL_DER_FEV_2023!O16</f>
        <v>45030</v>
      </c>
      <c r="P16" s="76"/>
      <c r="Y16" s="317"/>
    </row>
    <row r="17" spans="1:51" ht="18" customHeight="1" thickBot="1" x14ac:dyDescent="0.25">
      <c r="B17" s="1132" t="s">
        <v>414</v>
      </c>
      <c r="C17" s="848" t="s">
        <v>415</v>
      </c>
      <c r="D17" s="1133" t="s">
        <v>153</v>
      </c>
      <c r="E17" s="1134" t="s">
        <v>0</v>
      </c>
      <c r="F17" s="1135" t="s">
        <v>1</v>
      </c>
      <c r="G17" s="852" t="s">
        <v>2</v>
      </c>
      <c r="H17" s="853"/>
      <c r="I17" s="854"/>
      <c r="J17" s="853"/>
      <c r="K17" s="1136" t="s">
        <v>156</v>
      </c>
      <c r="L17" s="856" t="s">
        <v>2144</v>
      </c>
      <c r="M17" s="857"/>
      <c r="N17" s="858"/>
      <c r="O17" s="858"/>
      <c r="P17" s="29" t="s">
        <v>2011</v>
      </c>
      <c r="Q17" s="29"/>
      <c r="R17" s="30"/>
      <c r="S17" s="30"/>
      <c r="T17" s="326"/>
    </row>
    <row r="18" spans="1:51" ht="46.5" thickBot="1" x14ac:dyDescent="0.25">
      <c r="A18" s="637" t="s">
        <v>1858</v>
      </c>
      <c r="B18" s="859" t="s">
        <v>165</v>
      </c>
      <c r="C18" s="860"/>
      <c r="D18" s="861" t="s">
        <v>1859</v>
      </c>
      <c r="E18" s="862" t="s">
        <v>154</v>
      </c>
      <c r="F18" s="863" t="s">
        <v>155</v>
      </c>
      <c r="G18" s="864" t="s">
        <v>3</v>
      </c>
      <c r="H18" s="865" t="s">
        <v>4</v>
      </c>
      <c r="I18" s="865" t="s">
        <v>5</v>
      </c>
      <c r="J18" s="866" t="s">
        <v>6</v>
      </c>
      <c r="K18" s="867"/>
      <c r="L18" s="868" t="s">
        <v>7</v>
      </c>
      <c r="M18" s="869" t="s">
        <v>8</v>
      </c>
      <c r="N18" s="870" t="s">
        <v>9</v>
      </c>
      <c r="O18" s="871" t="s">
        <v>158</v>
      </c>
      <c r="P18" s="31" t="s">
        <v>416</v>
      </c>
      <c r="Q18" s="31" t="s">
        <v>419</v>
      </c>
      <c r="R18" s="31" t="s">
        <v>420</v>
      </c>
      <c r="S18" s="31" t="s">
        <v>418</v>
      </c>
      <c r="T18" s="325" t="s">
        <v>2099</v>
      </c>
      <c r="W18" s="1358" t="s">
        <v>2152</v>
      </c>
      <c r="X18" s="1359"/>
      <c r="Y18" s="579" t="s">
        <v>2153</v>
      </c>
    </row>
    <row r="19" spans="1:51" ht="13.5" hidden="1" thickBot="1" x14ac:dyDescent="0.25">
      <c r="A19" s="317" t="s">
        <v>474</v>
      </c>
      <c r="B19" s="872" t="s">
        <v>474</v>
      </c>
      <c r="C19" s="873"/>
      <c r="D19" s="874" t="s">
        <v>432</v>
      </c>
      <c r="E19" s="875"/>
      <c r="F19" s="876"/>
      <c r="G19" s="877"/>
      <c r="H19" s="878"/>
      <c r="I19" s="878"/>
      <c r="J19" s="878"/>
      <c r="K19" s="878" t="s">
        <v>507</v>
      </c>
      <c r="L19" s="879"/>
      <c r="M19" s="880"/>
      <c r="N19" s="881"/>
      <c r="O19" s="882">
        <f>SUM(N20:N68)</f>
        <v>0</v>
      </c>
      <c r="P19" s="58" t="str">
        <f>IF(OR(O19&gt;0,O19&gt;0),"X","")</f>
        <v/>
      </c>
      <c r="Q19" s="317" t="str">
        <f t="shared" ref="Q19:Q82" si="0">IF(P19="X","x",IF(P19="xx","x",IF(P19="xy","x",IF(P19="y","x",IF(OR(N19&gt;0,N19&gt;0),"x","")))))</f>
        <v/>
      </c>
      <c r="R19" s="317" t="str">
        <f t="shared" ref="R19:R84" si="1">IF(P19="X","x",IF(P19="y","x",IF(P19="xx","x",IF(N19&gt;0,"x",""))))</f>
        <v/>
      </c>
      <c r="S19" s="317" t="str">
        <f t="shared" ref="S19:S84" si="2">IF(P19="X","x",IF(N19&gt;0,"x",""))</f>
        <v/>
      </c>
      <c r="T19" s="317" t="str">
        <f>GLOBAL_DER_FEV_2023!S19</f>
        <v/>
      </c>
      <c r="W19" s="580"/>
      <c r="X19" s="580"/>
      <c r="Y19" s="581"/>
    </row>
    <row r="20" spans="1:51" ht="13.5" hidden="1" thickBot="1" x14ac:dyDescent="0.25">
      <c r="A20" s="317">
        <v>831000</v>
      </c>
      <c r="B20" s="883" t="str">
        <f>GLOBAL_DER_FEV_2023!B20</f>
        <v>831000A</v>
      </c>
      <c r="C20" s="884" t="str">
        <f>GLOBAL_DER_FEV_2023!C20</f>
        <v>DER</v>
      </c>
      <c r="D20" s="885" t="str">
        <f>GLOBAL_DER_FEV_2023!D20</f>
        <v>Construção de Cerca 4 fios c/ mourões de concreto</v>
      </c>
      <c r="E20" s="886">
        <f>GLOBAL_DER_FEV_2023!E20</f>
        <v>0</v>
      </c>
      <c r="F20" s="887">
        <f>GLOBAL_DER_FEV_2023!F20</f>
        <v>0</v>
      </c>
      <c r="G20" s="888">
        <f>GLOBAL_DER_FEV_2023!G20</f>
        <v>0</v>
      </c>
      <c r="H20" s="889">
        <f>GLOBAL_DER_FEV_2023!H20</f>
        <v>41.45</v>
      </c>
      <c r="I20" s="889">
        <f>GLOBAL_DER_FEV_2023!I20</f>
        <v>41.45</v>
      </c>
      <c r="J20" s="890">
        <f>GLOBAL_DER_FEV_2023!J20</f>
        <v>49.77</v>
      </c>
      <c r="K20" s="891" t="s">
        <v>13</v>
      </c>
      <c r="L20" s="1137"/>
      <c r="M20" s="1138">
        <f t="shared" ref="M20:M83" si="3">IF(L20=0,0,ROUND(J20,2))</f>
        <v>0</v>
      </c>
      <c r="N20" s="893">
        <f t="shared" ref="N20:N23" si="4">IF(ISBLANK(L20),0,IF(W20=0,ROUND(L20*M20,2),IF(W20="b",ROUNDDOWN(L20*M20,2),ROUNDUP(L20*M20,2))))</f>
        <v>0</v>
      </c>
      <c r="O20" s="894"/>
      <c r="P20" s="76"/>
      <c r="Q20" s="317" t="str">
        <f t="shared" si="0"/>
        <v/>
      </c>
      <c r="R20" s="317" t="str">
        <f t="shared" si="1"/>
        <v/>
      </c>
      <c r="S20" s="317" t="str">
        <f t="shared" si="2"/>
        <v/>
      </c>
      <c r="T20" s="317" t="str">
        <f>GLOBAL_DER_FEV_2023!S20</f>
        <v/>
      </c>
      <c r="W20" s="582">
        <v>0</v>
      </c>
      <c r="X20" s="580"/>
      <c r="Y20" s="583">
        <f>IF(GLOBAL_DER_FEV_2023!W20=0,0,IF(GLOBAL_DER_FEV_2023!W20&gt;0,"c","b"))</f>
        <v>0</v>
      </c>
    </row>
    <row r="21" spans="1:51" ht="13.5" hidden="1" thickBot="1" x14ac:dyDescent="0.25">
      <c r="A21" s="317">
        <v>830000</v>
      </c>
      <c r="B21" s="895" t="str">
        <f>GLOBAL_DER_FEV_2023!B21</f>
        <v>830000A</v>
      </c>
      <c r="C21" s="896" t="str">
        <f>GLOBAL_DER_FEV_2023!C21</f>
        <v>DER</v>
      </c>
      <c r="D21" s="897" t="str">
        <f>GLOBAL_DER_FEV_2023!D21</f>
        <v>Construção de Cerca 4 fios c/ mourões de madeira</v>
      </c>
      <c r="E21" s="898">
        <f>GLOBAL_DER_FEV_2023!E21</f>
        <v>0</v>
      </c>
      <c r="F21" s="899">
        <f>GLOBAL_DER_FEV_2023!F21</f>
        <v>0</v>
      </c>
      <c r="G21" s="900">
        <f>GLOBAL_DER_FEV_2023!G21</f>
        <v>0</v>
      </c>
      <c r="H21" s="889">
        <f>GLOBAL_DER_FEV_2023!H21</f>
        <v>36.44</v>
      </c>
      <c r="I21" s="901">
        <f>GLOBAL_DER_FEV_2023!I21</f>
        <v>36.44</v>
      </c>
      <c r="J21" s="902">
        <f>GLOBAL_DER_FEV_2023!J21</f>
        <v>43.75</v>
      </c>
      <c r="K21" s="903" t="s">
        <v>13</v>
      </c>
      <c r="L21" s="1137"/>
      <c r="M21" s="1138">
        <f t="shared" si="3"/>
        <v>0</v>
      </c>
      <c r="N21" s="893">
        <f t="shared" si="4"/>
        <v>0</v>
      </c>
      <c r="O21" s="905"/>
      <c r="Q21" s="317" t="str">
        <f t="shared" si="0"/>
        <v/>
      </c>
      <c r="R21" s="317" t="str">
        <f t="shared" si="1"/>
        <v/>
      </c>
      <c r="S21" s="317" t="str">
        <f t="shared" si="2"/>
        <v/>
      </c>
      <c r="T21" s="317" t="str">
        <f>GLOBAL_DER_FEV_2023!S21</f>
        <v/>
      </c>
      <c r="W21" s="582">
        <v>0</v>
      </c>
      <c r="X21" s="580"/>
      <c r="Y21" s="583">
        <f>IF(GLOBAL_DER_FEV_2023!W21=0,0,IF(GLOBAL_DER_FEV_2023!W21&gt;0,"c","b"))</f>
        <v>0</v>
      </c>
    </row>
    <row r="22" spans="1:51" ht="13.5" hidden="1" thickBot="1" x14ac:dyDescent="0.25">
      <c r="A22" s="638">
        <v>606600</v>
      </c>
      <c r="B22" s="895" t="str">
        <f>GLOBAL_DER_FEV_2023!B22</f>
        <v>606600A</v>
      </c>
      <c r="C22" s="896" t="str">
        <f>GLOBAL_DER_FEV_2023!C22</f>
        <v>DER</v>
      </c>
      <c r="D22" s="906" t="str">
        <f>GLOBAL_DER_FEV_2023!D22</f>
        <v>Demolição de Concreto Armado</v>
      </c>
      <c r="E22" s="907">
        <f>GLOBAL_DER_FEV_2023!E22</f>
        <v>0</v>
      </c>
      <c r="F22" s="899">
        <f>GLOBAL_DER_FEV_2023!F22</f>
        <v>0</v>
      </c>
      <c r="G22" s="900">
        <f>GLOBAL_DER_FEV_2023!G22</f>
        <v>0</v>
      </c>
      <c r="H22" s="889">
        <f>GLOBAL_DER_FEV_2023!H22</f>
        <v>309.52999999999997</v>
      </c>
      <c r="I22" s="901">
        <f>GLOBAL_DER_FEV_2023!I22</f>
        <v>309.52999999999997</v>
      </c>
      <c r="J22" s="902">
        <f>GLOBAL_DER_FEV_2023!J22</f>
        <v>371.65</v>
      </c>
      <c r="K22" s="903" t="s">
        <v>10</v>
      </c>
      <c r="L22" s="1137"/>
      <c r="M22" s="1138">
        <f t="shared" si="3"/>
        <v>0</v>
      </c>
      <c r="N22" s="893">
        <f t="shared" si="4"/>
        <v>0</v>
      </c>
      <c r="O22" s="905"/>
      <c r="Q22" s="317" t="str">
        <f t="shared" si="0"/>
        <v/>
      </c>
      <c r="R22" s="317" t="str">
        <f t="shared" si="1"/>
        <v/>
      </c>
      <c r="S22" s="317" t="str">
        <f t="shared" si="2"/>
        <v/>
      </c>
      <c r="T22" s="317" t="str">
        <f>GLOBAL_DER_FEV_2023!S22</f>
        <v/>
      </c>
      <c r="W22" s="582">
        <v>0</v>
      </c>
      <c r="X22" s="580"/>
      <c r="Y22" s="583">
        <f>IF(GLOBAL_DER_FEV_2023!W22=0,0,IF(GLOBAL_DER_FEV_2023!W22&gt;0,"c","b"))</f>
        <v>0</v>
      </c>
    </row>
    <row r="23" spans="1:51" ht="13.5" hidden="1" thickBot="1" x14ac:dyDescent="0.25">
      <c r="A23" s="639">
        <v>606700</v>
      </c>
      <c r="B23" s="895" t="str">
        <f>GLOBAL_DER_FEV_2023!B23</f>
        <v>606700A</v>
      </c>
      <c r="C23" s="896" t="str">
        <f>GLOBAL_DER_FEV_2023!C23</f>
        <v>DER</v>
      </c>
      <c r="D23" s="906" t="str">
        <f>GLOBAL_DER_FEV_2023!D23</f>
        <v>Demolição de Concreto Símples</v>
      </c>
      <c r="E23" s="907">
        <f>GLOBAL_DER_FEV_2023!E23</f>
        <v>0</v>
      </c>
      <c r="F23" s="899">
        <f>GLOBAL_DER_FEV_2023!F23</f>
        <v>0</v>
      </c>
      <c r="G23" s="900">
        <f>GLOBAL_DER_FEV_2023!G23</f>
        <v>0</v>
      </c>
      <c r="H23" s="889">
        <f>GLOBAL_DER_FEV_2023!H23</f>
        <v>148.04</v>
      </c>
      <c r="I23" s="901">
        <f>GLOBAL_DER_FEV_2023!I23</f>
        <v>148.04</v>
      </c>
      <c r="J23" s="902">
        <f>GLOBAL_DER_FEV_2023!J23</f>
        <v>177.75</v>
      </c>
      <c r="K23" s="903" t="s">
        <v>10</v>
      </c>
      <c r="L23" s="1137"/>
      <c r="M23" s="1138">
        <f t="shared" si="3"/>
        <v>0</v>
      </c>
      <c r="N23" s="893">
        <f t="shared" si="4"/>
        <v>0</v>
      </c>
      <c r="O23" s="905"/>
      <c r="Q23" s="317" t="str">
        <f t="shared" si="0"/>
        <v/>
      </c>
      <c r="R23" s="317" t="str">
        <f t="shared" si="1"/>
        <v/>
      </c>
      <c r="S23" s="317" t="str">
        <f t="shared" si="2"/>
        <v/>
      </c>
      <c r="T23" s="317" t="str">
        <f>GLOBAL_DER_FEV_2023!S23</f>
        <v/>
      </c>
      <c r="W23" s="582">
        <v>0</v>
      </c>
      <c r="X23" s="580"/>
      <c r="Y23" s="583">
        <f>IF(GLOBAL_DER_FEV_2023!W23=0,0,IF(GLOBAL_DER_FEV_2023!W23&gt;0,"c","b"))</f>
        <v>0</v>
      </c>
    </row>
    <row r="24" spans="1:51" ht="13.5" hidden="1" thickBot="1" x14ac:dyDescent="0.25">
      <c r="A24" s="317">
        <v>512000</v>
      </c>
      <c r="B24" s="895">
        <f>GLOBAL_DER_FEV_2023!B24</f>
        <v>512000</v>
      </c>
      <c r="C24" s="896" t="str">
        <f>GLOBAL_DER_FEV_2023!C24</f>
        <v>DER</v>
      </c>
      <c r="D24" s="906" t="str">
        <f>GLOBAL_DER_FEV_2023!D24</f>
        <v>Demolição Manual de Pavimento e Transporte</v>
      </c>
      <c r="E24" s="907">
        <f>GLOBAL_DER_FEV_2023!E24</f>
        <v>3</v>
      </c>
      <c r="F24" s="908">
        <f>GLOBAL_DER_FEV_2023!F24</f>
        <v>1.86</v>
      </c>
      <c r="G24" s="909">
        <f>GLOBAL_DER_FEV_2023!G24</f>
        <v>10.955400000000001</v>
      </c>
      <c r="H24" s="889">
        <f>GLOBAL_DER_FEV_2023!H24</f>
        <v>62.35</v>
      </c>
      <c r="I24" s="901">
        <f>GLOBAL_DER_FEV_2023!I24</f>
        <v>73.305400000000006</v>
      </c>
      <c r="J24" s="902">
        <f>GLOBAL_DER_FEV_2023!J24</f>
        <v>88.02</v>
      </c>
      <c r="K24" s="903" t="s">
        <v>10</v>
      </c>
      <c r="L24" s="1137"/>
      <c r="M24" s="1138">
        <f t="shared" si="3"/>
        <v>0</v>
      </c>
      <c r="N24" s="584">
        <f>IF(ISBLANK(L24),0,IF(W24=0,ROUND(L24*M24,2),IF(W24="b",ROUNDDOWN(L24*M24,2),ROUNDUP(L24*M24,2))))</f>
        <v>0</v>
      </c>
      <c r="O24" s="905"/>
      <c r="Q24" s="317" t="str">
        <f t="shared" si="0"/>
        <v/>
      </c>
      <c r="R24" s="317" t="str">
        <f t="shared" si="1"/>
        <v/>
      </c>
      <c r="S24" s="317" t="str">
        <f t="shared" si="2"/>
        <v/>
      </c>
      <c r="T24" s="317" t="str">
        <f>GLOBAL_DER_FEV_2023!S24</f>
        <v/>
      </c>
      <c r="W24" s="582">
        <v>0</v>
      </c>
      <c r="X24" s="580"/>
      <c r="Y24" s="583">
        <f>IF(GLOBAL_DER_FEV_2023!W24=0,0,IF(GLOBAL_DER_FEV_2023!W24&gt;0,"c","b"))</f>
        <v>0</v>
      </c>
    </row>
    <row r="25" spans="1:51" ht="13.5" hidden="1" thickBot="1" x14ac:dyDescent="0.25">
      <c r="A25" s="317">
        <v>512050</v>
      </c>
      <c r="B25" s="895">
        <f>GLOBAL_DER_FEV_2023!B25</f>
        <v>512050</v>
      </c>
      <c r="C25" s="896" t="str">
        <f>GLOBAL_DER_FEV_2023!C25</f>
        <v>DER</v>
      </c>
      <c r="D25" s="906" t="str">
        <f>GLOBAL_DER_FEV_2023!D25</f>
        <v>Demolição Mecânica de Pavimento e Transporte</v>
      </c>
      <c r="E25" s="907">
        <f>GLOBAL_DER_FEV_2023!E25</f>
        <v>3</v>
      </c>
      <c r="F25" s="908">
        <f>GLOBAL_DER_FEV_2023!F25</f>
        <v>1.86</v>
      </c>
      <c r="G25" s="909">
        <f>GLOBAL_DER_FEV_2023!G25</f>
        <v>10.955400000000001</v>
      </c>
      <c r="H25" s="889">
        <f>GLOBAL_DER_FEV_2023!H25</f>
        <v>41.9</v>
      </c>
      <c r="I25" s="901">
        <f>GLOBAL_DER_FEV_2023!I25</f>
        <v>52.855400000000003</v>
      </c>
      <c r="J25" s="902">
        <f>GLOBAL_DER_FEV_2023!J25</f>
        <v>63.46</v>
      </c>
      <c r="K25" s="903" t="s">
        <v>10</v>
      </c>
      <c r="L25" s="1137"/>
      <c r="M25" s="1138">
        <f t="shared" si="3"/>
        <v>0</v>
      </c>
      <c r="N25" s="584">
        <f t="shared" ref="N25:N88" si="5">IF(ISBLANK(L25),0,IF(W25=0,ROUND(L25*M25,2),IF(W25="b",ROUNDDOWN(L25*M25,2),ROUNDUP(L25*M25,2))))</f>
        <v>0</v>
      </c>
      <c r="O25" s="905"/>
      <c r="Q25" s="317" t="str">
        <f t="shared" si="0"/>
        <v/>
      </c>
      <c r="R25" s="317" t="str">
        <f t="shared" si="1"/>
        <v/>
      </c>
      <c r="S25" s="317" t="str">
        <f t="shared" si="2"/>
        <v/>
      </c>
      <c r="T25" s="317" t="str">
        <f>GLOBAL_DER_FEV_2023!S25</f>
        <v/>
      </c>
      <c r="W25" s="582">
        <v>0</v>
      </c>
      <c r="X25" s="580"/>
      <c r="Y25" s="583">
        <f>IF(GLOBAL_DER_FEV_2023!W25=0,0,IF(GLOBAL_DER_FEV_2023!W25&gt;0,"c","b"))</f>
        <v>0</v>
      </c>
    </row>
    <row r="26" spans="1:51" ht="13.5" hidden="1" thickBot="1" x14ac:dyDescent="0.25">
      <c r="A26" s="317">
        <v>810250</v>
      </c>
      <c r="B26" s="895" t="str">
        <f>GLOBAL_DER_FEV_2023!B26</f>
        <v>PAI-022B</v>
      </c>
      <c r="C26" s="896" t="str">
        <f>GLOBAL_DER_FEV_2023!C26</f>
        <v>PM Curitiba-abr/22</v>
      </c>
      <c r="D26" s="906" t="str">
        <f>GLOBAL_DER_FEV_2023!D26</f>
        <v>Arrancamento Fincadinha de concreto - (9x19x39cm-0,0171m3/m)</v>
      </c>
      <c r="E26" s="907">
        <f>GLOBAL_DER_FEV_2023!E26</f>
        <v>0.1</v>
      </c>
      <c r="F26" s="908">
        <f>GLOBAL_DER_FEV_2023!F26</f>
        <v>3.9800000000000002E-2</v>
      </c>
      <c r="G26" s="909">
        <f>GLOBAL_DER_FEV_2023!G26</f>
        <v>0.11092260000000002</v>
      </c>
      <c r="H26" s="889">
        <f>GLOBAL_DER_FEV_2023!H26</f>
        <v>5.05</v>
      </c>
      <c r="I26" s="901">
        <f>GLOBAL_DER_FEV_2023!I26</f>
        <v>5.1609226000000001</v>
      </c>
      <c r="J26" s="902">
        <f>GLOBAL_DER_FEV_2023!J26</f>
        <v>6.2</v>
      </c>
      <c r="K26" s="903" t="s">
        <v>13</v>
      </c>
      <c r="L26" s="1137"/>
      <c r="M26" s="1138">
        <f t="shared" si="3"/>
        <v>0</v>
      </c>
      <c r="N26" s="584">
        <f t="shared" si="5"/>
        <v>0</v>
      </c>
      <c r="O26" s="905"/>
      <c r="Q26" s="317" t="str">
        <f t="shared" si="0"/>
        <v/>
      </c>
      <c r="R26" s="317" t="str">
        <f t="shared" si="1"/>
        <v/>
      </c>
      <c r="S26" s="317" t="str">
        <f t="shared" si="2"/>
        <v/>
      </c>
      <c r="T26" s="317" t="str">
        <f>GLOBAL_DER_FEV_2023!S26</f>
        <v/>
      </c>
      <c r="W26" s="582">
        <v>0</v>
      </c>
      <c r="X26" s="580"/>
      <c r="Y26" s="583">
        <f>IF(GLOBAL_DER_FEV_2023!W26=0,0,IF(GLOBAL_DER_FEV_2023!W26&gt;0,"c","b"))</f>
        <v>0</v>
      </c>
      <c r="AX26" s="895" t="s">
        <v>2236</v>
      </c>
      <c r="AY26" s="896" t="s">
        <v>453</v>
      </c>
    </row>
    <row r="27" spans="1:51" ht="13.5" hidden="1" thickBot="1" x14ac:dyDescent="0.25">
      <c r="A27" s="317">
        <v>810250</v>
      </c>
      <c r="B27" s="895" t="str">
        <f>GLOBAL_DER_FEV_2023!B27</f>
        <v>PAI-022C</v>
      </c>
      <c r="C27" s="896" t="str">
        <f>GLOBAL_DER_FEV_2023!C27</f>
        <v>PM Curitiba-abr/22</v>
      </c>
      <c r="D27" s="906" t="str">
        <f>GLOBAL_DER_FEV_2023!D27</f>
        <v>Arrancamento Fincadinha de concreto - (5x22,5x45cm-0,01125m3/m)</v>
      </c>
      <c r="E27" s="907">
        <f>GLOBAL_DER_FEV_2023!E27</f>
        <v>0.1</v>
      </c>
      <c r="F27" s="908">
        <f>GLOBAL_DER_FEV_2023!F27</f>
        <v>2.63E-2</v>
      </c>
      <c r="G27" s="909">
        <f>GLOBAL_DER_FEV_2023!G27</f>
        <v>7.3298100000000005E-2</v>
      </c>
      <c r="H27" s="889">
        <f>GLOBAL_DER_FEV_2023!H27</f>
        <v>5.05</v>
      </c>
      <c r="I27" s="901">
        <f>GLOBAL_DER_FEV_2023!I27</f>
        <v>5.1232980999999995</v>
      </c>
      <c r="J27" s="902">
        <f>GLOBAL_DER_FEV_2023!J27</f>
        <v>6.15</v>
      </c>
      <c r="K27" s="903" t="s">
        <v>13</v>
      </c>
      <c r="L27" s="1137"/>
      <c r="M27" s="1138">
        <f t="shared" si="3"/>
        <v>0</v>
      </c>
      <c r="N27" s="584">
        <f t="shared" si="5"/>
        <v>0</v>
      </c>
      <c r="O27" s="905"/>
      <c r="Q27" s="317" t="str">
        <f t="shared" si="0"/>
        <v/>
      </c>
      <c r="R27" s="317" t="str">
        <f t="shared" si="1"/>
        <v/>
      </c>
      <c r="S27" s="317" t="str">
        <f t="shared" si="2"/>
        <v/>
      </c>
      <c r="T27" s="317" t="str">
        <f>GLOBAL_DER_FEV_2023!S27</f>
        <v/>
      </c>
      <c r="W27" s="582">
        <v>0</v>
      </c>
      <c r="X27" s="580"/>
      <c r="Y27" s="583">
        <f>IF(GLOBAL_DER_FEV_2023!W27=0,0,IF(GLOBAL_DER_FEV_2023!W27&gt;0,"c","b"))</f>
        <v>0</v>
      </c>
      <c r="AX27" s="895" t="s">
        <v>2237</v>
      </c>
      <c r="AY27" s="896" t="s">
        <v>453</v>
      </c>
    </row>
    <row r="28" spans="1:51" ht="13.5" hidden="1" thickBot="1" x14ac:dyDescent="0.25">
      <c r="A28" s="317">
        <v>810250</v>
      </c>
      <c r="B28" s="895" t="str">
        <f>GLOBAL_DER_FEV_2023!B28</f>
        <v>PAI-022D</v>
      </c>
      <c r="C28" s="896" t="str">
        <f>GLOBAL_DER_FEV_2023!C28</f>
        <v>PM Curitiba-abr/22</v>
      </c>
      <c r="D28" s="906" t="str">
        <f>GLOBAL_DER_FEV_2023!D28</f>
        <v>Arrancamento Fincadinha de concreto moldada in loco- (7x20cm-0,014m3/m)</v>
      </c>
      <c r="E28" s="907">
        <f>GLOBAL_DER_FEV_2023!E28</f>
        <v>0.1</v>
      </c>
      <c r="F28" s="908">
        <f>GLOBAL_DER_FEV_2023!F28</f>
        <v>3.2800000000000003E-2</v>
      </c>
      <c r="G28" s="909">
        <f>GLOBAL_DER_FEV_2023!G28</f>
        <v>9.1413600000000025E-2</v>
      </c>
      <c r="H28" s="889">
        <f>GLOBAL_DER_FEV_2023!H28</f>
        <v>5.05</v>
      </c>
      <c r="I28" s="901">
        <f>GLOBAL_DER_FEV_2023!I28</f>
        <v>5.1414135999999999</v>
      </c>
      <c r="J28" s="902">
        <f>GLOBAL_DER_FEV_2023!J28</f>
        <v>6.17</v>
      </c>
      <c r="K28" s="903" t="s">
        <v>13</v>
      </c>
      <c r="L28" s="1137"/>
      <c r="M28" s="1138">
        <f t="shared" si="3"/>
        <v>0</v>
      </c>
      <c r="N28" s="584">
        <f t="shared" si="5"/>
        <v>0</v>
      </c>
      <c r="O28" s="905"/>
      <c r="Q28" s="317" t="str">
        <f t="shared" si="0"/>
        <v/>
      </c>
      <c r="R28" s="317" t="str">
        <f t="shared" si="1"/>
        <v/>
      </c>
      <c r="S28" s="317" t="str">
        <f t="shared" si="2"/>
        <v/>
      </c>
      <c r="T28" s="317" t="str">
        <f>GLOBAL_DER_FEV_2023!S28</f>
        <v/>
      </c>
      <c r="W28" s="582">
        <v>0</v>
      </c>
      <c r="X28" s="580"/>
      <c r="Y28" s="583">
        <f>IF(GLOBAL_DER_FEV_2023!W28=0,0,IF(GLOBAL_DER_FEV_2023!W28&gt;0,"c","b"))</f>
        <v>0</v>
      </c>
      <c r="AX28" s="895" t="s">
        <v>2238</v>
      </c>
      <c r="AY28" s="896" t="s">
        <v>453</v>
      </c>
    </row>
    <row r="29" spans="1:51" ht="13.5" hidden="1" thickBot="1" x14ac:dyDescent="0.25">
      <c r="A29" s="317" t="s">
        <v>451</v>
      </c>
      <c r="B29" s="895" t="str">
        <f>GLOBAL_DER_FEV_2023!B29</f>
        <v>PAI-022A</v>
      </c>
      <c r="C29" s="896" t="str">
        <f>GLOBAL_DER_FEV_2023!C29</f>
        <v>PM Curitiba-abr/22</v>
      </c>
      <c r="D29" s="906" t="str">
        <f>GLOBAL_DER_FEV_2023!D29</f>
        <v>Arrancamento Fincadinha de Granito</v>
      </c>
      <c r="E29" s="907">
        <f>GLOBAL_DER_FEV_2023!E29</f>
        <v>0</v>
      </c>
      <c r="F29" s="908">
        <f>GLOBAL_DER_FEV_2023!F29</f>
        <v>2.1600000000000001E-2</v>
      </c>
      <c r="G29" s="909">
        <f>GLOBAL_DER_FEV_2023!G29</f>
        <v>5.7888000000000009E-2</v>
      </c>
      <c r="H29" s="901">
        <f>GLOBAL_DER_FEV_2023!H29</f>
        <v>5.05</v>
      </c>
      <c r="I29" s="901">
        <f>GLOBAL_DER_FEV_2023!I29</f>
        <v>5.107888</v>
      </c>
      <c r="J29" s="902">
        <f>GLOBAL_DER_FEV_2023!J29</f>
        <v>6.13</v>
      </c>
      <c r="K29" s="903" t="s">
        <v>13</v>
      </c>
      <c r="L29" s="1137"/>
      <c r="M29" s="1138">
        <f t="shared" si="3"/>
        <v>0</v>
      </c>
      <c r="N29" s="584">
        <f t="shared" si="5"/>
        <v>0</v>
      </c>
      <c r="O29" s="905"/>
      <c r="Q29" s="317" t="str">
        <f t="shared" si="0"/>
        <v/>
      </c>
      <c r="R29" s="317" t="str">
        <f t="shared" si="1"/>
        <v/>
      </c>
      <c r="S29" s="317" t="str">
        <f t="shared" si="2"/>
        <v/>
      </c>
      <c r="T29" s="317" t="str">
        <f>GLOBAL_DER_FEV_2023!S29</f>
        <v/>
      </c>
      <c r="W29" s="582">
        <v>0</v>
      </c>
      <c r="X29" s="580"/>
      <c r="Y29" s="583">
        <f>IF(GLOBAL_DER_FEV_2023!W29=0,0,IF(GLOBAL_DER_FEV_2023!W29&gt;0,"c","b"))</f>
        <v>0</v>
      </c>
      <c r="AX29" s="895" t="s">
        <v>2235</v>
      </c>
      <c r="AY29" s="896" t="s">
        <v>453</v>
      </c>
    </row>
    <row r="30" spans="1:51" ht="13.5" hidden="1" thickBot="1" x14ac:dyDescent="0.25">
      <c r="A30" s="317">
        <v>600310</v>
      </c>
      <c r="B30" s="895" t="str">
        <f>GLOBAL_DER_FEV_2023!B30</f>
        <v>600310A</v>
      </c>
      <c r="C30" s="896" t="str">
        <f>GLOBAL_DER_FEV_2023!C30</f>
        <v>DER</v>
      </c>
      <c r="D30" s="906" t="str">
        <f>GLOBAL_DER_FEV_2023!D30</f>
        <v>Limpeza de bueiro</v>
      </c>
      <c r="E30" s="898">
        <f>GLOBAL_DER_FEV_2023!E30</f>
        <v>0</v>
      </c>
      <c r="F30" s="899">
        <f>GLOBAL_DER_FEV_2023!F30</f>
        <v>0</v>
      </c>
      <c r="G30" s="900">
        <f>GLOBAL_DER_FEV_2023!G30</f>
        <v>0</v>
      </c>
      <c r="H30" s="901">
        <f>GLOBAL_DER_FEV_2023!H30</f>
        <v>142.88</v>
      </c>
      <c r="I30" s="901">
        <f>GLOBAL_DER_FEV_2023!I30</f>
        <v>142.88</v>
      </c>
      <c r="J30" s="902">
        <f>GLOBAL_DER_FEV_2023!J30</f>
        <v>171.56</v>
      </c>
      <c r="K30" s="903" t="s">
        <v>15</v>
      </c>
      <c r="L30" s="1137"/>
      <c r="M30" s="1138">
        <f t="shared" si="3"/>
        <v>0</v>
      </c>
      <c r="N30" s="584">
        <f t="shared" si="5"/>
        <v>0</v>
      </c>
      <c r="O30" s="905"/>
      <c r="Q30" s="317" t="str">
        <f t="shared" si="0"/>
        <v/>
      </c>
      <c r="R30" s="317" t="str">
        <f t="shared" si="1"/>
        <v/>
      </c>
      <c r="S30" s="317" t="str">
        <f t="shared" si="2"/>
        <v/>
      </c>
      <c r="T30" s="317" t="str">
        <f>GLOBAL_DER_FEV_2023!S30</f>
        <v/>
      </c>
      <c r="W30" s="582">
        <v>0</v>
      </c>
      <c r="X30" s="580"/>
      <c r="Y30" s="583">
        <f>IF(GLOBAL_DER_FEV_2023!W30=0,0,IF(GLOBAL_DER_FEV_2023!W30&gt;0,"c","b"))</f>
        <v>0</v>
      </c>
    </row>
    <row r="31" spans="1:51" ht="13.5" hidden="1" thickBot="1" x14ac:dyDescent="0.25">
      <c r="A31" s="317">
        <v>800900</v>
      </c>
      <c r="B31" s="895" t="str">
        <f>GLOBAL_DER_FEV_2023!B31</f>
        <v>800900A</v>
      </c>
      <c r="C31" s="896" t="str">
        <f>GLOBAL_DER_FEV_2023!C31</f>
        <v>DER</v>
      </c>
      <c r="D31" s="906" t="str">
        <f>GLOBAL_DER_FEV_2023!D31</f>
        <v>Limpeza e lavagem de sinalização vertical</v>
      </c>
      <c r="E31" s="898">
        <f>GLOBAL_DER_FEV_2023!E31</f>
        <v>0</v>
      </c>
      <c r="F31" s="899">
        <f>GLOBAL_DER_FEV_2023!F31</f>
        <v>0</v>
      </c>
      <c r="G31" s="900">
        <f>GLOBAL_DER_FEV_2023!G31</f>
        <v>0</v>
      </c>
      <c r="H31" s="901">
        <f>GLOBAL_DER_FEV_2023!H31</f>
        <v>13.25</v>
      </c>
      <c r="I31" s="901">
        <f>GLOBAL_DER_FEV_2023!I31</f>
        <v>13.25</v>
      </c>
      <c r="J31" s="902">
        <f>GLOBAL_DER_FEV_2023!J31</f>
        <v>15.91</v>
      </c>
      <c r="K31" s="903" t="s">
        <v>12</v>
      </c>
      <c r="L31" s="1137"/>
      <c r="M31" s="1138">
        <f t="shared" si="3"/>
        <v>0</v>
      </c>
      <c r="N31" s="584">
        <f t="shared" si="5"/>
        <v>0</v>
      </c>
      <c r="O31" s="905"/>
      <c r="Q31" s="317" t="str">
        <f t="shared" si="0"/>
        <v/>
      </c>
      <c r="R31" s="317" t="str">
        <f t="shared" si="1"/>
        <v/>
      </c>
      <c r="S31" s="317" t="str">
        <f t="shared" si="2"/>
        <v/>
      </c>
      <c r="T31" s="317" t="str">
        <f>GLOBAL_DER_FEV_2023!S31</f>
        <v/>
      </c>
      <c r="W31" s="582">
        <v>0</v>
      </c>
      <c r="X31" s="580"/>
      <c r="Y31" s="583">
        <f>IF(GLOBAL_DER_FEV_2023!W31=0,0,IF(GLOBAL_DER_FEV_2023!W31&gt;0,"c","b"))</f>
        <v>0</v>
      </c>
    </row>
    <row r="32" spans="1:51" ht="13.5" hidden="1" thickBot="1" x14ac:dyDescent="0.25">
      <c r="A32" s="317">
        <v>801100</v>
      </c>
      <c r="B32" s="895" t="str">
        <f>GLOBAL_DER_FEV_2023!B32</f>
        <v>801100A</v>
      </c>
      <c r="C32" s="896" t="str">
        <f>GLOBAL_DER_FEV_2023!C32</f>
        <v>DER</v>
      </c>
      <c r="D32" s="906" t="str">
        <f>GLOBAL_DER_FEV_2023!D32</f>
        <v>Limpeza e pintura de abrigo de ônibus</v>
      </c>
      <c r="E32" s="898">
        <f>GLOBAL_DER_FEV_2023!E32</f>
        <v>0</v>
      </c>
      <c r="F32" s="899">
        <f>GLOBAL_DER_FEV_2023!F32</f>
        <v>0</v>
      </c>
      <c r="G32" s="900">
        <f>GLOBAL_DER_FEV_2023!G32</f>
        <v>0</v>
      </c>
      <c r="H32" s="901">
        <f>GLOBAL_DER_FEV_2023!H32</f>
        <v>19.149999999999999</v>
      </c>
      <c r="I32" s="901">
        <f>GLOBAL_DER_FEV_2023!I32</f>
        <v>19.149999999999999</v>
      </c>
      <c r="J32" s="902">
        <f>GLOBAL_DER_FEV_2023!J32</f>
        <v>22.99</v>
      </c>
      <c r="K32" s="903" t="s">
        <v>12</v>
      </c>
      <c r="L32" s="1139"/>
      <c r="M32" s="1140">
        <f t="shared" si="3"/>
        <v>0</v>
      </c>
      <c r="N32" s="584">
        <f t="shared" si="5"/>
        <v>0</v>
      </c>
      <c r="O32" s="905"/>
      <c r="Q32" s="317" t="str">
        <f t="shared" si="0"/>
        <v/>
      </c>
      <c r="R32" s="317" t="str">
        <f t="shared" si="1"/>
        <v/>
      </c>
      <c r="S32" s="317" t="str">
        <f t="shared" si="2"/>
        <v/>
      </c>
      <c r="T32" s="317" t="str">
        <f>GLOBAL_DER_FEV_2023!S32</f>
        <v/>
      </c>
      <c r="W32" s="582">
        <v>0</v>
      </c>
      <c r="X32" s="580"/>
      <c r="Y32" s="583">
        <f>IF(GLOBAL_DER_FEV_2023!W32=0,0,IF(GLOBAL_DER_FEV_2023!W32&gt;0,"c","b"))</f>
        <v>0</v>
      </c>
    </row>
    <row r="33" spans="1:25" ht="13.5" hidden="1" thickBot="1" x14ac:dyDescent="0.25">
      <c r="A33" s="317">
        <v>600510</v>
      </c>
      <c r="B33" s="895" t="str">
        <f>GLOBAL_DER_FEV_2023!B33</f>
        <v>600510A</v>
      </c>
      <c r="C33" s="896" t="str">
        <f>GLOBAL_DER_FEV_2023!C33</f>
        <v>DER</v>
      </c>
      <c r="D33" s="906" t="str">
        <f>GLOBAL_DER_FEV_2023!D33</f>
        <v>Limpeza e pintura de meio fio</v>
      </c>
      <c r="E33" s="898">
        <f>GLOBAL_DER_FEV_2023!E33</f>
        <v>0</v>
      </c>
      <c r="F33" s="899">
        <f>GLOBAL_DER_FEV_2023!F33</f>
        <v>0</v>
      </c>
      <c r="G33" s="900">
        <f>GLOBAL_DER_FEV_2023!G33</f>
        <v>0</v>
      </c>
      <c r="H33" s="901">
        <f>GLOBAL_DER_FEV_2023!H33</f>
        <v>2.52</v>
      </c>
      <c r="I33" s="901">
        <f>GLOBAL_DER_FEV_2023!I33</f>
        <v>2.52</v>
      </c>
      <c r="J33" s="902">
        <f>GLOBAL_DER_FEV_2023!J33</f>
        <v>3.03</v>
      </c>
      <c r="K33" s="903" t="s">
        <v>13</v>
      </c>
      <c r="L33" s="1139"/>
      <c r="M33" s="1140">
        <f t="shared" si="3"/>
        <v>0</v>
      </c>
      <c r="N33" s="584">
        <f t="shared" si="5"/>
        <v>0</v>
      </c>
      <c r="O33" s="905"/>
      <c r="Q33" s="317" t="str">
        <f t="shared" si="0"/>
        <v/>
      </c>
      <c r="R33" s="317" t="str">
        <f t="shared" si="1"/>
        <v/>
      </c>
      <c r="S33" s="317" t="str">
        <f t="shared" si="2"/>
        <v/>
      </c>
      <c r="T33" s="317" t="str">
        <f>GLOBAL_DER_FEV_2023!S33</f>
        <v/>
      </c>
      <c r="W33" s="582">
        <v>0</v>
      </c>
      <c r="X33" s="580"/>
      <c r="Y33" s="583">
        <f>IF(GLOBAL_DER_FEV_2023!W33=0,0,IF(GLOBAL_DER_FEV_2023!W33&gt;0,"c","b"))</f>
        <v>0</v>
      </c>
    </row>
    <row r="34" spans="1:25" ht="23.25" hidden="1" thickBot="1" x14ac:dyDescent="0.25">
      <c r="A34" s="317" t="s">
        <v>1523</v>
      </c>
      <c r="B34" s="895" t="str">
        <f>GLOBAL_DER_FEV_2023!B34</f>
        <v>COMPOSIÇÃO 00051</v>
      </c>
      <c r="C34" s="896" t="str">
        <f>GLOBAL_DER_FEV_2023!C34</f>
        <v>ORSE - jan/23</v>
      </c>
      <c r="D34" s="906" t="str">
        <f>GLOBAL_DER_FEV_2023!D34</f>
        <v>PLACA DE OBRA 4,00 X 2,00 M, EM CHAPA DE ACO GALVANIZADO, INCLUSIVE ARMAÇÃO EM MADEIRA E PONTALETES</v>
      </c>
      <c r="E34" s="907">
        <f>GLOBAL_DER_FEV_2023!E34</f>
        <v>0</v>
      </c>
      <c r="F34" s="908">
        <f>GLOBAL_DER_FEV_2023!F34</f>
        <v>0</v>
      </c>
      <c r="G34" s="912">
        <f>GLOBAL_DER_FEV_2023!G34</f>
        <v>0</v>
      </c>
      <c r="H34" s="901">
        <f>GLOBAL_DER_FEV_2023!H34</f>
        <v>2990.88</v>
      </c>
      <c r="I34" s="901">
        <f>GLOBAL_DER_FEV_2023!I34</f>
        <v>2990.88</v>
      </c>
      <c r="J34" s="902">
        <f>GLOBAL_DER_FEV_2023!J34</f>
        <v>3591.15</v>
      </c>
      <c r="K34" s="903" t="s">
        <v>15</v>
      </c>
      <c r="L34" s="1139"/>
      <c r="M34" s="1140">
        <f t="shared" si="3"/>
        <v>0</v>
      </c>
      <c r="N34" s="584">
        <f t="shared" si="5"/>
        <v>0</v>
      </c>
      <c r="O34" s="905"/>
      <c r="P34" s="58"/>
      <c r="Q34" s="317" t="str">
        <f t="shared" si="0"/>
        <v/>
      </c>
      <c r="R34" s="317" t="str">
        <f t="shared" si="1"/>
        <v/>
      </c>
      <c r="S34" s="317" t="str">
        <f t="shared" si="2"/>
        <v/>
      </c>
      <c r="T34" s="317" t="str">
        <f>GLOBAL_DER_FEV_2023!S34</f>
        <v/>
      </c>
      <c r="W34" s="582">
        <v>0</v>
      </c>
      <c r="X34" s="580"/>
      <c r="Y34" s="583">
        <f>IF(GLOBAL_DER_FEV_2023!W34=0,0,IF(GLOBAL_DER_FEV_2023!W34&gt;0,"c","b"))</f>
        <v>0</v>
      </c>
    </row>
    <row r="35" spans="1:25" ht="23.25" hidden="1" thickBot="1" x14ac:dyDescent="0.25">
      <c r="A35" s="317" t="s">
        <v>1525</v>
      </c>
      <c r="B35" s="895" t="str">
        <f>GLOBAL_DER_FEV_2023!B35</f>
        <v>COMPOSIÇÃO 11398</v>
      </c>
      <c r="C35" s="896" t="str">
        <f>GLOBAL_DER_FEV_2023!C35</f>
        <v>ORSE - jan/23</v>
      </c>
      <c r="D35" s="906" t="str">
        <f>GLOBAL_DER_FEV_2023!D35</f>
        <v>PLACA DE OBRA TIPO BANNER, 4,00x2,00 M, EM QUADRO DE METALON 20x20 MM E LONA 360 GRS, COM IMPRESSÃO DIGITAL, FIXADA EM ESTRUTURA DE MADEIRA.</v>
      </c>
      <c r="E35" s="907">
        <f>GLOBAL_DER_FEV_2023!E35</f>
        <v>0</v>
      </c>
      <c r="F35" s="908">
        <f>GLOBAL_DER_FEV_2023!F35</f>
        <v>0</v>
      </c>
      <c r="G35" s="912">
        <f>GLOBAL_DER_FEV_2023!G35</f>
        <v>0</v>
      </c>
      <c r="H35" s="901">
        <f>GLOBAL_DER_FEV_2023!H35</f>
        <v>2542.7199999999998</v>
      </c>
      <c r="I35" s="901">
        <f>GLOBAL_DER_FEV_2023!I35</f>
        <v>2542.7199999999998</v>
      </c>
      <c r="J35" s="902">
        <f>GLOBAL_DER_FEV_2023!J35</f>
        <v>3053.04</v>
      </c>
      <c r="K35" s="903" t="s">
        <v>15</v>
      </c>
      <c r="L35" s="1139"/>
      <c r="M35" s="1140">
        <f t="shared" si="3"/>
        <v>0</v>
      </c>
      <c r="N35" s="584">
        <f t="shared" si="5"/>
        <v>0</v>
      </c>
      <c r="O35" s="905"/>
      <c r="P35" s="58"/>
      <c r="Q35" s="317" t="str">
        <f t="shared" si="0"/>
        <v/>
      </c>
      <c r="R35" s="317" t="str">
        <f t="shared" si="1"/>
        <v/>
      </c>
      <c r="S35" s="317" t="str">
        <f t="shared" si="2"/>
        <v/>
      </c>
      <c r="T35" s="317" t="str">
        <f>GLOBAL_DER_FEV_2023!S35</f>
        <v/>
      </c>
      <c r="W35" s="582">
        <v>0</v>
      </c>
      <c r="X35" s="580"/>
      <c r="Y35" s="583">
        <f>IF(GLOBAL_DER_FEV_2023!W35=0,0,IF(GLOBAL_DER_FEV_2023!W35&gt;0,"c","b"))</f>
        <v>0</v>
      </c>
    </row>
    <row r="36" spans="1:25" ht="30.75" hidden="1" customHeight="1" x14ac:dyDescent="0.2">
      <c r="A36" s="317" t="s">
        <v>1526</v>
      </c>
      <c r="B36" s="895" t="str">
        <f>GLOBAL_DER_FEV_2023!B36</f>
        <v>COMPOSIÇÃO 02555</v>
      </c>
      <c r="C36" s="896" t="str">
        <f>GLOBAL_DER_FEV_2023!C36</f>
        <v>ORSE - jan/23</v>
      </c>
      <c r="D36" s="906" t="str">
        <f>GLOBAL_DER_FEV_2023!D36</f>
        <v>PLACA 20x35cm EM CHAPA ESMALTADA PARA IDENTIFICAÇÃO DE LOGRADOUROS</v>
      </c>
      <c r="E36" s="907">
        <f>GLOBAL_DER_FEV_2023!E36</f>
        <v>0</v>
      </c>
      <c r="F36" s="908">
        <f>GLOBAL_DER_FEV_2023!F36</f>
        <v>0</v>
      </c>
      <c r="G36" s="912">
        <f>GLOBAL_DER_FEV_2023!G36</f>
        <v>0</v>
      </c>
      <c r="H36" s="901">
        <f>GLOBAL_DER_FEV_2023!H36</f>
        <v>98.05</v>
      </c>
      <c r="I36" s="901">
        <f>GLOBAL_DER_FEV_2023!I36</f>
        <v>98.05</v>
      </c>
      <c r="J36" s="902">
        <f>GLOBAL_DER_FEV_2023!J36</f>
        <v>117.73</v>
      </c>
      <c r="K36" s="903" t="s">
        <v>15</v>
      </c>
      <c r="L36" s="1139"/>
      <c r="M36" s="1140">
        <f t="shared" si="3"/>
        <v>0</v>
      </c>
      <c r="N36" s="584">
        <f t="shared" si="5"/>
        <v>0</v>
      </c>
      <c r="O36" s="905"/>
      <c r="P36" s="58"/>
      <c r="Q36" s="317" t="str">
        <f t="shared" si="0"/>
        <v/>
      </c>
      <c r="R36" s="317" t="str">
        <f t="shared" si="1"/>
        <v/>
      </c>
      <c r="S36" s="317" t="str">
        <f t="shared" si="2"/>
        <v/>
      </c>
      <c r="T36" s="317" t="str">
        <f>GLOBAL_DER_FEV_2023!S36</f>
        <v/>
      </c>
      <c r="W36" s="582">
        <v>0</v>
      </c>
      <c r="X36" s="580"/>
      <c r="Y36" s="583">
        <f>IF(GLOBAL_DER_FEV_2023!W36=0,0,IF(GLOBAL_DER_FEV_2023!W36&gt;0,"c","b"))</f>
        <v>0</v>
      </c>
    </row>
    <row r="37" spans="1:25" ht="15" hidden="1" customHeight="1" x14ac:dyDescent="0.2">
      <c r="A37" s="317">
        <v>841000</v>
      </c>
      <c r="B37" s="895" t="str">
        <f>GLOBAL_DER_FEV_2023!B37</f>
        <v>841000A</v>
      </c>
      <c r="C37" s="896" t="str">
        <f>GLOBAL_DER_FEV_2023!C37</f>
        <v>DER</v>
      </c>
      <c r="D37" s="897" t="str">
        <f>GLOBAL_DER_FEV_2023!D37</f>
        <v>Remoção de cercas</v>
      </c>
      <c r="E37" s="898">
        <f>GLOBAL_DER_FEV_2023!E37</f>
        <v>0</v>
      </c>
      <c r="F37" s="899">
        <f>GLOBAL_DER_FEV_2023!F37</f>
        <v>0</v>
      </c>
      <c r="G37" s="900">
        <f>GLOBAL_DER_FEV_2023!G37</f>
        <v>0</v>
      </c>
      <c r="H37" s="901">
        <f>GLOBAL_DER_FEV_2023!H37</f>
        <v>12.51</v>
      </c>
      <c r="I37" s="901">
        <f>GLOBAL_DER_FEV_2023!I37</f>
        <v>12.51</v>
      </c>
      <c r="J37" s="902">
        <f>GLOBAL_DER_FEV_2023!J37</f>
        <v>15.02</v>
      </c>
      <c r="K37" s="903" t="s">
        <v>13</v>
      </c>
      <c r="L37" s="1139"/>
      <c r="M37" s="1140">
        <f t="shared" si="3"/>
        <v>0</v>
      </c>
      <c r="N37" s="584">
        <f t="shared" si="5"/>
        <v>0</v>
      </c>
      <c r="O37" s="905"/>
      <c r="Q37" s="317" t="str">
        <f t="shared" si="0"/>
        <v/>
      </c>
      <c r="R37" s="317" t="str">
        <f t="shared" si="1"/>
        <v/>
      </c>
      <c r="S37" s="317" t="str">
        <f t="shared" si="2"/>
        <v/>
      </c>
      <c r="T37" s="317" t="str">
        <f>GLOBAL_DER_FEV_2023!S37</f>
        <v/>
      </c>
      <c r="W37" s="582">
        <v>0</v>
      </c>
      <c r="X37" s="580"/>
      <c r="Y37" s="583">
        <f>IF(GLOBAL_DER_FEV_2023!W37=0,0,IF(GLOBAL_DER_FEV_2023!W37&gt;0,"c","b"))</f>
        <v>0</v>
      </c>
    </row>
    <row r="38" spans="1:25" ht="15" hidden="1" customHeight="1" x14ac:dyDescent="0.2">
      <c r="A38" s="317">
        <v>840000</v>
      </c>
      <c r="B38" s="895" t="str">
        <f>GLOBAL_DER_FEV_2023!B38</f>
        <v>840000A</v>
      </c>
      <c r="C38" s="896" t="str">
        <f>GLOBAL_DER_FEV_2023!C38</f>
        <v>DER</v>
      </c>
      <c r="D38" s="897" t="str">
        <f>GLOBAL_DER_FEV_2023!D38</f>
        <v>Remoção e recolocação de cercas de arame</v>
      </c>
      <c r="E38" s="898">
        <f>GLOBAL_DER_FEV_2023!E38</f>
        <v>0</v>
      </c>
      <c r="F38" s="899">
        <f>GLOBAL_DER_FEV_2023!F38</f>
        <v>0</v>
      </c>
      <c r="G38" s="900">
        <f>GLOBAL_DER_FEV_2023!G38</f>
        <v>0</v>
      </c>
      <c r="H38" s="901">
        <f>GLOBAL_DER_FEV_2023!H38</f>
        <v>34.53</v>
      </c>
      <c r="I38" s="901">
        <f>GLOBAL_DER_FEV_2023!I38</f>
        <v>34.53</v>
      </c>
      <c r="J38" s="902">
        <f>GLOBAL_DER_FEV_2023!J38</f>
        <v>41.46</v>
      </c>
      <c r="K38" s="903" t="s">
        <v>13</v>
      </c>
      <c r="L38" s="1139"/>
      <c r="M38" s="1140">
        <f t="shared" si="3"/>
        <v>0</v>
      </c>
      <c r="N38" s="584">
        <f t="shared" si="5"/>
        <v>0</v>
      </c>
      <c r="O38" s="905"/>
      <c r="Q38" s="317" t="str">
        <f t="shared" si="0"/>
        <v/>
      </c>
      <c r="R38" s="317" t="str">
        <f t="shared" si="1"/>
        <v/>
      </c>
      <c r="S38" s="317" t="str">
        <f t="shared" si="2"/>
        <v/>
      </c>
      <c r="T38" s="317" t="str">
        <f>GLOBAL_DER_FEV_2023!S38</f>
        <v/>
      </c>
      <c r="W38" s="582">
        <v>0</v>
      </c>
      <c r="X38" s="580"/>
      <c r="Y38" s="583">
        <f>IF(GLOBAL_DER_FEV_2023!W38=0,0,IF(GLOBAL_DER_FEV_2023!W38&gt;0,"c","b"))</f>
        <v>0</v>
      </c>
    </row>
    <row r="39" spans="1:25" ht="15" hidden="1" customHeight="1" x14ac:dyDescent="0.2">
      <c r="A39" s="317">
        <v>100981</v>
      </c>
      <c r="B39" s="895">
        <f>GLOBAL_DER_FEV_2023!B39</f>
        <v>100981</v>
      </c>
      <c r="C39" s="896" t="str">
        <f>GLOBAL_DER_FEV_2023!C39</f>
        <v>SINAPI</v>
      </c>
      <c r="D39" s="897" t="str">
        <f>GLOBAL_DER_FEV_2023!D39</f>
        <v>Remoção manual de entulho</v>
      </c>
      <c r="E39" s="898">
        <f>GLOBAL_DER_FEV_2023!E39</f>
        <v>0</v>
      </c>
      <c r="F39" s="899">
        <f>GLOBAL_DER_FEV_2023!F39</f>
        <v>0</v>
      </c>
      <c r="G39" s="900">
        <f>GLOBAL_DER_FEV_2023!G39</f>
        <v>0</v>
      </c>
      <c r="H39" s="901">
        <f>GLOBAL_DER_FEV_2023!H39</f>
        <v>9.25</v>
      </c>
      <c r="I39" s="901">
        <f>GLOBAL_DER_FEV_2023!I39</f>
        <v>9.25</v>
      </c>
      <c r="J39" s="902">
        <f>GLOBAL_DER_FEV_2023!J39</f>
        <v>11.11</v>
      </c>
      <c r="K39" s="903" t="s">
        <v>10</v>
      </c>
      <c r="L39" s="1139"/>
      <c r="M39" s="1140">
        <f t="shared" si="3"/>
        <v>0</v>
      </c>
      <c r="N39" s="584">
        <f t="shared" si="5"/>
        <v>0</v>
      </c>
      <c r="O39" s="905"/>
      <c r="Q39" s="317" t="str">
        <f t="shared" si="0"/>
        <v/>
      </c>
      <c r="R39" s="317" t="str">
        <f t="shared" si="1"/>
        <v/>
      </c>
      <c r="S39" s="317" t="str">
        <f t="shared" si="2"/>
        <v/>
      </c>
      <c r="T39" s="317" t="str">
        <f>GLOBAL_DER_FEV_2023!S39</f>
        <v/>
      </c>
      <c r="W39" s="582">
        <v>0</v>
      </c>
      <c r="X39" s="580"/>
      <c r="Y39" s="583">
        <f>IF(GLOBAL_DER_FEV_2023!W39=0,0,IF(GLOBAL_DER_FEV_2023!W39&gt;0,"c","b"))</f>
        <v>0</v>
      </c>
    </row>
    <row r="40" spans="1:25" ht="15" hidden="1" customHeight="1" x14ac:dyDescent="0.2">
      <c r="A40" s="317">
        <v>97623</v>
      </c>
      <c r="B40" s="895" t="str">
        <f>GLOBAL_DER_FEV_2023!B40</f>
        <v>97623A</v>
      </c>
      <c r="C40" s="896" t="str">
        <f>GLOBAL_DER_FEV_2023!C40</f>
        <v>SINAPI</v>
      </c>
      <c r="D40" s="897" t="str">
        <f>GLOBAL_DER_FEV_2023!D40</f>
        <v xml:space="preserve">DEMOLIÇÃO DE ALVENARIA DE TIJOLO  COM REAPROVEITAMENTO. </v>
      </c>
      <c r="E40" s="898">
        <f>GLOBAL_DER_FEV_2023!E40</f>
        <v>0</v>
      </c>
      <c r="F40" s="899">
        <f>GLOBAL_DER_FEV_2023!F40</f>
        <v>0</v>
      </c>
      <c r="G40" s="900">
        <f>GLOBAL_DER_FEV_2023!G40</f>
        <v>0</v>
      </c>
      <c r="H40" s="901">
        <f>GLOBAL_DER_FEV_2023!H40</f>
        <v>201.31</v>
      </c>
      <c r="I40" s="901">
        <f>GLOBAL_DER_FEV_2023!I40</f>
        <v>201.31</v>
      </c>
      <c r="J40" s="902">
        <f>GLOBAL_DER_FEV_2023!J40</f>
        <v>241.71</v>
      </c>
      <c r="K40" s="903" t="s">
        <v>10</v>
      </c>
      <c r="L40" s="1139"/>
      <c r="M40" s="1140">
        <f t="shared" si="3"/>
        <v>0</v>
      </c>
      <c r="N40" s="584">
        <f t="shared" si="5"/>
        <v>0</v>
      </c>
      <c r="O40" s="905"/>
      <c r="Q40" s="317" t="str">
        <f t="shared" si="0"/>
        <v/>
      </c>
      <c r="R40" s="317" t="str">
        <f t="shared" si="1"/>
        <v/>
      </c>
      <c r="S40" s="317" t="str">
        <f t="shared" si="2"/>
        <v/>
      </c>
      <c r="T40" s="317" t="str">
        <f>GLOBAL_DER_FEV_2023!S40</f>
        <v/>
      </c>
      <c r="W40" s="582">
        <v>0</v>
      </c>
      <c r="X40" s="580"/>
      <c r="Y40" s="583">
        <f>IF(GLOBAL_DER_FEV_2023!W40=0,0,IF(GLOBAL_DER_FEV_2023!W40&gt;0,"c","b"))</f>
        <v>0</v>
      </c>
    </row>
    <row r="41" spans="1:25" ht="15" hidden="1" customHeight="1" x14ac:dyDescent="0.2">
      <c r="A41" s="317">
        <v>97624</v>
      </c>
      <c r="B41" s="895" t="str">
        <f>GLOBAL_DER_FEV_2023!B41</f>
        <v>97624A</v>
      </c>
      <c r="C41" s="896" t="str">
        <f>GLOBAL_DER_FEV_2023!C41</f>
        <v>SINAPI</v>
      </c>
      <c r="D41" s="897" t="str">
        <f>GLOBAL_DER_FEV_2023!D41</f>
        <v>DEMOLIÇÃO DE ALVENARIA DE TIJOLO SEM APROVEITAMENTO</v>
      </c>
      <c r="E41" s="898">
        <f>GLOBAL_DER_FEV_2023!E41</f>
        <v>0</v>
      </c>
      <c r="F41" s="899">
        <f>GLOBAL_DER_FEV_2023!F41</f>
        <v>0</v>
      </c>
      <c r="G41" s="900">
        <f>GLOBAL_DER_FEV_2023!G41</f>
        <v>0</v>
      </c>
      <c r="H41" s="901">
        <f>GLOBAL_DER_FEV_2023!H41</f>
        <v>123.54</v>
      </c>
      <c r="I41" s="901">
        <f>GLOBAL_DER_FEV_2023!I41</f>
        <v>123.54</v>
      </c>
      <c r="J41" s="902">
        <f>GLOBAL_DER_FEV_2023!J41</f>
        <v>148.33000000000001</v>
      </c>
      <c r="K41" s="903" t="s">
        <v>10</v>
      </c>
      <c r="L41" s="1139"/>
      <c r="M41" s="1140">
        <f t="shared" si="3"/>
        <v>0</v>
      </c>
      <c r="N41" s="584">
        <f t="shared" si="5"/>
        <v>0</v>
      </c>
      <c r="O41" s="905"/>
      <c r="Q41" s="317" t="str">
        <f t="shared" si="0"/>
        <v/>
      </c>
      <c r="R41" s="317" t="str">
        <f t="shared" si="1"/>
        <v/>
      </c>
      <c r="S41" s="317" t="str">
        <f t="shared" si="2"/>
        <v/>
      </c>
      <c r="T41" s="317" t="str">
        <f>GLOBAL_DER_FEV_2023!S41</f>
        <v/>
      </c>
      <c r="W41" s="582">
        <v>0</v>
      </c>
      <c r="X41" s="580"/>
      <c r="Y41" s="583">
        <f>IF(GLOBAL_DER_FEV_2023!W41=0,0,IF(GLOBAL_DER_FEV_2023!W41&gt;0,"c","b"))</f>
        <v>0</v>
      </c>
    </row>
    <row r="42" spans="1:25" ht="15" hidden="1" customHeight="1" x14ac:dyDescent="0.2">
      <c r="A42" s="317">
        <v>606500</v>
      </c>
      <c r="B42" s="895" t="str">
        <f>GLOBAL_DER_FEV_2023!B42</f>
        <v>606500A</v>
      </c>
      <c r="C42" s="896" t="str">
        <f>GLOBAL_DER_FEV_2023!C42</f>
        <v>DER</v>
      </c>
      <c r="D42" s="897" t="str">
        <f>GLOBAL_DER_FEV_2023!D42</f>
        <v>Demolição de Alvenaria</v>
      </c>
      <c r="E42" s="898">
        <f>GLOBAL_DER_FEV_2023!E42</f>
        <v>0</v>
      </c>
      <c r="F42" s="899">
        <f>GLOBAL_DER_FEV_2023!F42</f>
        <v>0</v>
      </c>
      <c r="G42" s="900">
        <f>GLOBAL_DER_FEV_2023!G42</f>
        <v>0</v>
      </c>
      <c r="H42" s="901">
        <f>GLOBAL_DER_FEV_2023!H42</f>
        <v>182.46</v>
      </c>
      <c r="I42" s="901">
        <f>GLOBAL_DER_FEV_2023!I42</f>
        <v>182.46</v>
      </c>
      <c r="J42" s="902">
        <f>GLOBAL_DER_FEV_2023!J42</f>
        <v>219.08</v>
      </c>
      <c r="K42" s="903" t="s">
        <v>10</v>
      </c>
      <c r="L42" s="1139"/>
      <c r="M42" s="1140">
        <f t="shared" si="3"/>
        <v>0</v>
      </c>
      <c r="N42" s="584">
        <f t="shared" si="5"/>
        <v>0</v>
      </c>
      <c r="O42" s="905"/>
      <c r="Q42" s="317" t="str">
        <f t="shared" si="0"/>
        <v/>
      </c>
      <c r="R42" s="317" t="str">
        <f t="shared" si="1"/>
        <v/>
      </c>
      <c r="S42" s="317" t="str">
        <f t="shared" si="2"/>
        <v/>
      </c>
      <c r="T42" s="317" t="str">
        <f>GLOBAL_DER_FEV_2023!S42</f>
        <v/>
      </c>
      <c r="W42" s="582">
        <v>0</v>
      </c>
      <c r="X42" s="580"/>
      <c r="Y42" s="583">
        <f>IF(GLOBAL_DER_FEV_2023!W42=0,0,IF(GLOBAL_DER_FEV_2023!W42&gt;0,"c","b"))</f>
        <v>0</v>
      </c>
    </row>
    <row r="43" spans="1:25" ht="15" hidden="1" customHeight="1" x14ac:dyDescent="0.2">
      <c r="A43" s="640" t="s">
        <v>165</v>
      </c>
      <c r="B43" s="913" t="str">
        <f>GLOBAL_DER_FEV_2023!B43</f>
        <v/>
      </c>
      <c r="C43" s="914">
        <f>GLOBAL_DER_FEV_2023!C43</f>
        <v>0</v>
      </c>
      <c r="D43" s="915" t="str">
        <f>GLOBAL_DER_FEV_2023!D43</f>
        <v>SERVIÇOS EXTRAS - SERVIÇOS PRELIMINARES</v>
      </c>
      <c r="E43" s="916"/>
      <c r="F43" s="1263">
        <f>GLOBAL_DER_FEV_2023!F43</f>
        <v>0</v>
      </c>
      <c r="G43" s="918">
        <f>GLOBAL_DER_FEV_2023!G43</f>
        <v>0</v>
      </c>
      <c r="H43" s="919">
        <f>GLOBAL_DER_FEV_2023!H43</f>
        <v>0</v>
      </c>
      <c r="I43" s="919">
        <f>GLOBAL_DER_FEV_2023!I43</f>
        <v>0</v>
      </c>
      <c r="J43" s="919">
        <f>GLOBAL_DER_FEV_2023!J43</f>
        <v>0</v>
      </c>
      <c r="K43" s="920" t="s">
        <v>507</v>
      </c>
      <c r="L43" s="921"/>
      <c r="M43" s="922"/>
      <c r="N43" s="584">
        <f t="shared" si="5"/>
        <v>0</v>
      </c>
      <c r="O43" s="905"/>
      <c r="P43" s="58" t="str">
        <f>IF(OR(SUM(N44:N68)&gt;0,SUM(N44:N68)&gt;0),"y","")</f>
        <v/>
      </c>
      <c r="Q43" s="317" t="str">
        <f t="shared" si="0"/>
        <v/>
      </c>
      <c r="R43" s="317" t="str">
        <f t="shared" si="1"/>
        <v/>
      </c>
      <c r="S43" s="317" t="str">
        <f t="shared" si="2"/>
        <v/>
      </c>
      <c r="T43" s="317" t="str">
        <f>GLOBAL_DER_FEV_2023!S43</f>
        <v/>
      </c>
      <c r="W43" s="582">
        <v>0</v>
      </c>
      <c r="X43" s="580"/>
      <c r="Y43" s="583">
        <f>IF(GLOBAL_DER_FEV_2023!W43=0,0,IF(GLOBAL_DER_FEV_2023!W43&gt;0,"c","b"))</f>
        <v>0</v>
      </c>
    </row>
    <row r="44" spans="1:25" ht="15" hidden="1" customHeight="1" x14ac:dyDescent="0.2">
      <c r="A44" s="640" t="s">
        <v>165</v>
      </c>
      <c r="B44" s="1036">
        <f>GLOBAL_DER_FEV_2023!B44</f>
        <v>0</v>
      </c>
      <c r="C44" s="1072">
        <f>GLOBAL_DER_FEV_2023!C44</f>
        <v>0</v>
      </c>
      <c r="D44" s="1141">
        <f>GLOBAL_DER_FEV_2023!D44</f>
        <v>0</v>
      </c>
      <c r="E44" s="907">
        <f>GLOBAL_DER_FEV_2023!E44</f>
        <v>0</v>
      </c>
      <c r="F44" s="908">
        <f>GLOBAL_DER_FEV_2023!F44</f>
        <v>0</v>
      </c>
      <c r="G44" s="912">
        <f>GLOBAL_DER_FEV_2023!G44</f>
        <v>0</v>
      </c>
      <c r="H44" s="901">
        <f>GLOBAL_DER_FEV_2023!H44</f>
        <v>0</v>
      </c>
      <c r="I44" s="901">
        <f>GLOBAL_DER_FEV_2023!I44</f>
        <v>0</v>
      </c>
      <c r="J44" s="902">
        <f>GLOBAL_DER_FEV_2023!J44</f>
        <v>0</v>
      </c>
      <c r="K44" s="903">
        <f>GLOBAL_DER_FEV_2023!K44</f>
        <v>0</v>
      </c>
      <c r="L44" s="1137"/>
      <c r="M44" s="1140">
        <f t="shared" si="3"/>
        <v>0</v>
      </c>
      <c r="N44" s="584">
        <f t="shared" si="5"/>
        <v>0</v>
      </c>
      <c r="O44" s="905"/>
      <c r="Q44" s="317" t="str">
        <f t="shared" si="0"/>
        <v/>
      </c>
      <c r="R44" s="317" t="str">
        <f t="shared" si="1"/>
        <v/>
      </c>
      <c r="S44" s="317" t="str">
        <f t="shared" si="2"/>
        <v/>
      </c>
      <c r="T44" s="317" t="str">
        <f>GLOBAL_DER_FEV_2023!S44</f>
        <v/>
      </c>
      <c r="W44" s="582">
        <v>0</v>
      </c>
      <c r="X44" s="580"/>
      <c r="Y44" s="583">
        <f>IF(GLOBAL_DER_FEV_2023!W44=0,0,IF(GLOBAL_DER_FEV_2023!W44&gt;0,"c","b"))</f>
        <v>0</v>
      </c>
    </row>
    <row r="45" spans="1:25" ht="15" hidden="1" customHeight="1" x14ac:dyDescent="0.2">
      <c r="A45" s="640" t="s">
        <v>165</v>
      </c>
      <c r="B45" s="1036" t="str">
        <f>GLOBAL_DER_FEV_2023!B45</f>
        <v/>
      </c>
      <c r="C45" s="1072" t="str">
        <f>GLOBAL_DER_FEV_2023!C45</f>
        <v/>
      </c>
      <c r="D45" s="1141">
        <f>GLOBAL_DER_FEV_2023!D45</f>
        <v>0</v>
      </c>
      <c r="E45" s="907">
        <f>GLOBAL_DER_FEV_2023!E45</f>
        <v>0</v>
      </c>
      <c r="F45" s="908">
        <f>GLOBAL_DER_FEV_2023!F45</f>
        <v>0</v>
      </c>
      <c r="G45" s="912">
        <f>GLOBAL_DER_FEV_2023!G45</f>
        <v>0</v>
      </c>
      <c r="H45" s="901">
        <f>GLOBAL_DER_FEV_2023!H45</f>
        <v>0</v>
      </c>
      <c r="I45" s="901">
        <f>GLOBAL_DER_FEV_2023!I45</f>
        <v>0</v>
      </c>
      <c r="J45" s="890">
        <f>GLOBAL_DER_FEV_2023!J45</f>
        <v>0</v>
      </c>
      <c r="K45" s="903" t="str">
        <f>GLOBAL_DER_FEV_2023!K45</f>
        <v xml:space="preserve">     </v>
      </c>
      <c r="L45" s="1137"/>
      <c r="M45" s="1140">
        <f t="shared" si="3"/>
        <v>0</v>
      </c>
      <c r="N45" s="584">
        <f t="shared" si="5"/>
        <v>0</v>
      </c>
      <c r="O45" s="905"/>
      <c r="Q45" s="317" t="str">
        <f t="shared" si="0"/>
        <v/>
      </c>
      <c r="R45" s="317" t="str">
        <f t="shared" si="1"/>
        <v/>
      </c>
      <c r="S45" s="317" t="str">
        <f t="shared" si="2"/>
        <v/>
      </c>
      <c r="T45" s="317" t="str">
        <f>GLOBAL_DER_FEV_2023!S45</f>
        <v/>
      </c>
      <c r="W45" s="582">
        <v>0</v>
      </c>
      <c r="X45" s="580"/>
      <c r="Y45" s="583">
        <f>IF(GLOBAL_DER_FEV_2023!W45=0,0,IF(GLOBAL_DER_FEV_2023!W45&gt;0,"c","b"))</f>
        <v>0</v>
      </c>
    </row>
    <row r="46" spans="1:25" ht="15" hidden="1" customHeight="1" x14ac:dyDescent="0.2">
      <c r="A46" s="640" t="s">
        <v>165</v>
      </c>
      <c r="B46" s="1036" t="str">
        <f>GLOBAL_DER_FEV_2023!B46</f>
        <v/>
      </c>
      <c r="C46" s="1072" t="str">
        <f>GLOBAL_DER_FEV_2023!C46</f>
        <v/>
      </c>
      <c r="D46" s="1141">
        <f>GLOBAL_DER_FEV_2023!D46</f>
        <v>0</v>
      </c>
      <c r="E46" s="907">
        <f>GLOBAL_DER_FEV_2023!E46</f>
        <v>0</v>
      </c>
      <c r="F46" s="908">
        <f>GLOBAL_DER_FEV_2023!F46</f>
        <v>0</v>
      </c>
      <c r="G46" s="912">
        <f>GLOBAL_DER_FEV_2023!G46</f>
        <v>0</v>
      </c>
      <c r="H46" s="901">
        <f>GLOBAL_DER_FEV_2023!H46</f>
        <v>0</v>
      </c>
      <c r="I46" s="901">
        <f>GLOBAL_DER_FEV_2023!I46</f>
        <v>0</v>
      </c>
      <c r="J46" s="890">
        <f>GLOBAL_DER_FEV_2023!J46</f>
        <v>0</v>
      </c>
      <c r="K46" s="903" t="str">
        <f>GLOBAL_DER_FEV_2023!K46</f>
        <v xml:space="preserve">     </v>
      </c>
      <c r="L46" s="1137"/>
      <c r="M46" s="1140">
        <f t="shared" si="3"/>
        <v>0</v>
      </c>
      <c r="N46" s="584">
        <f t="shared" si="5"/>
        <v>0</v>
      </c>
      <c r="O46" s="905"/>
      <c r="Q46" s="317" t="str">
        <f t="shared" si="0"/>
        <v/>
      </c>
      <c r="R46" s="317" t="str">
        <f t="shared" si="1"/>
        <v/>
      </c>
      <c r="S46" s="317" t="str">
        <f t="shared" si="2"/>
        <v/>
      </c>
      <c r="T46" s="317" t="str">
        <f>GLOBAL_DER_FEV_2023!S46</f>
        <v/>
      </c>
      <c r="W46" s="582">
        <v>0</v>
      </c>
      <c r="X46" s="580"/>
      <c r="Y46" s="583">
        <f>IF(GLOBAL_DER_FEV_2023!W46=0,0,IF(GLOBAL_DER_FEV_2023!W46&gt;0,"c","b"))</f>
        <v>0</v>
      </c>
    </row>
    <row r="47" spans="1:25" ht="15" hidden="1" customHeight="1" x14ac:dyDescent="0.2">
      <c r="A47" s="640" t="s">
        <v>165</v>
      </c>
      <c r="B47" s="1036" t="str">
        <f>GLOBAL_DER_FEV_2023!B47</f>
        <v/>
      </c>
      <c r="C47" s="1072" t="str">
        <f>GLOBAL_DER_FEV_2023!C47</f>
        <v/>
      </c>
      <c r="D47" s="1141">
        <f>GLOBAL_DER_FEV_2023!D47</f>
        <v>0</v>
      </c>
      <c r="E47" s="907">
        <f>GLOBAL_DER_FEV_2023!E47</f>
        <v>0</v>
      </c>
      <c r="F47" s="908">
        <f>GLOBAL_DER_FEV_2023!F47</f>
        <v>0</v>
      </c>
      <c r="G47" s="912">
        <f>GLOBAL_DER_FEV_2023!G47</f>
        <v>0</v>
      </c>
      <c r="H47" s="901">
        <f>GLOBAL_DER_FEV_2023!H47</f>
        <v>0</v>
      </c>
      <c r="I47" s="901">
        <f>GLOBAL_DER_FEV_2023!I47</f>
        <v>0</v>
      </c>
      <c r="J47" s="890">
        <f>GLOBAL_DER_FEV_2023!J47</f>
        <v>0</v>
      </c>
      <c r="K47" s="903" t="str">
        <f>GLOBAL_DER_FEV_2023!K47</f>
        <v xml:space="preserve">     </v>
      </c>
      <c r="L47" s="1137"/>
      <c r="M47" s="1140">
        <f t="shared" si="3"/>
        <v>0</v>
      </c>
      <c r="N47" s="584">
        <f t="shared" si="5"/>
        <v>0</v>
      </c>
      <c r="O47" s="905"/>
      <c r="Q47" s="317" t="str">
        <f t="shared" si="0"/>
        <v/>
      </c>
      <c r="R47" s="317" t="str">
        <f t="shared" si="1"/>
        <v/>
      </c>
      <c r="S47" s="317" t="str">
        <f t="shared" si="2"/>
        <v/>
      </c>
      <c r="T47" s="317" t="str">
        <f>GLOBAL_DER_FEV_2023!S47</f>
        <v/>
      </c>
      <c r="W47" s="582">
        <v>0</v>
      </c>
      <c r="X47" s="580"/>
      <c r="Y47" s="583">
        <f>IF(GLOBAL_DER_FEV_2023!W47=0,0,IF(GLOBAL_DER_FEV_2023!W47&gt;0,"c","b"))</f>
        <v>0</v>
      </c>
    </row>
    <row r="48" spans="1:25" ht="15" hidden="1" customHeight="1" x14ac:dyDescent="0.2">
      <c r="A48" s="640" t="s">
        <v>165</v>
      </c>
      <c r="B48" s="1036" t="str">
        <f>GLOBAL_DER_FEV_2023!B48</f>
        <v/>
      </c>
      <c r="C48" s="1072" t="str">
        <f>GLOBAL_DER_FEV_2023!C48</f>
        <v/>
      </c>
      <c r="D48" s="1141">
        <f>GLOBAL_DER_FEV_2023!D48</f>
        <v>0</v>
      </c>
      <c r="E48" s="907">
        <f>GLOBAL_DER_FEV_2023!E48</f>
        <v>0</v>
      </c>
      <c r="F48" s="908">
        <f>GLOBAL_DER_FEV_2023!F48</f>
        <v>0</v>
      </c>
      <c r="G48" s="912">
        <f>GLOBAL_DER_FEV_2023!G48</f>
        <v>0</v>
      </c>
      <c r="H48" s="901">
        <f>GLOBAL_DER_FEV_2023!H48</f>
        <v>0</v>
      </c>
      <c r="I48" s="901">
        <f>GLOBAL_DER_FEV_2023!I48</f>
        <v>0</v>
      </c>
      <c r="J48" s="890">
        <f>GLOBAL_DER_FEV_2023!J48</f>
        <v>0</v>
      </c>
      <c r="K48" s="903" t="str">
        <f>GLOBAL_DER_FEV_2023!K48</f>
        <v xml:space="preserve">     </v>
      </c>
      <c r="L48" s="1137"/>
      <c r="M48" s="1140">
        <f t="shared" si="3"/>
        <v>0</v>
      </c>
      <c r="N48" s="584">
        <f t="shared" si="5"/>
        <v>0</v>
      </c>
      <c r="O48" s="905"/>
      <c r="Q48" s="317" t="str">
        <f t="shared" si="0"/>
        <v/>
      </c>
      <c r="R48" s="317" t="str">
        <f t="shared" si="1"/>
        <v/>
      </c>
      <c r="S48" s="317" t="str">
        <f t="shared" si="2"/>
        <v/>
      </c>
      <c r="T48" s="317" t="str">
        <f>GLOBAL_DER_FEV_2023!S48</f>
        <v/>
      </c>
      <c r="W48" s="582">
        <v>0</v>
      </c>
      <c r="X48" s="580"/>
      <c r="Y48" s="583">
        <f>IF(GLOBAL_DER_FEV_2023!W48=0,0,IF(GLOBAL_DER_FEV_2023!W48&gt;0,"c","b"))</f>
        <v>0</v>
      </c>
    </row>
    <row r="49" spans="1:25" ht="15" hidden="1" customHeight="1" x14ac:dyDescent="0.2">
      <c r="A49" s="640" t="s">
        <v>165</v>
      </c>
      <c r="B49" s="1036" t="str">
        <f>GLOBAL_DER_FEV_2023!B49</f>
        <v/>
      </c>
      <c r="C49" s="1072" t="str">
        <f>GLOBAL_DER_FEV_2023!C49</f>
        <v/>
      </c>
      <c r="D49" s="1141">
        <f>GLOBAL_DER_FEV_2023!D49</f>
        <v>0</v>
      </c>
      <c r="E49" s="907">
        <f>GLOBAL_DER_FEV_2023!E49</f>
        <v>0</v>
      </c>
      <c r="F49" s="908">
        <f>GLOBAL_DER_FEV_2023!F49</f>
        <v>0</v>
      </c>
      <c r="G49" s="912">
        <f>GLOBAL_DER_FEV_2023!G49</f>
        <v>0</v>
      </c>
      <c r="H49" s="901">
        <f>GLOBAL_DER_FEV_2023!H49</f>
        <v>0</v>
      </c>
      <c r="I49" s="901">
        <f>GLOBAL_DER_FEV_2023!I49</f>
        <v>0</v>
      </c>
      <c r="J49" s="890">
        <f>GLOBAL_DER_FEV_2023!J49</f>
        <v>0</v>
      </c>
      <c r="K49" s="903" t="str">
        <f>GLOBAL_DER_FEV_2023!K49</f>
        <v xml:space="preserve">     </v>
      </c>
      <c r="L49" s="1137"/>
      <c r="M49" s="1140">
        <f t="shared" si="3"/>
        <v>0</v>
      </c>
      <c r="N49" s="584">
        <f t="shared" si="5"/>
        <v>0</v>
      </c>
      <c r="O49" s="905"/>
      <c r="Q49" s="317" t="str">
        <f t="shared" si="0"/>
        <v/>
      </c>
      <c r="R49" s="317" t="str">
        <f t="shared" si="1"/>
        <v/>
      </c>
      <c r="S49" s="317" t="str">
        <f t="shared" si="2"/>
        <v/>
      </c>
      <c r="T49" s="317" t="str">
        <f>GLOBAL_DER_FEV_2023!S49</f>
        <v/>
      </c>
      <c r="W49" s="582">
        <v>0</v>
      </c>
      <c r="X49" s="580"/>
      <c r="Y49" s="583">
        <f>IF(GLOBAL_DER_FEV_2023!W49=0,0,IF(GLOBAL_DER_FEV_2023!W49&gt;0,"c","b"))</f>
        <v>0</v>
      </c>
    </row>
    <row r="50" spans="1:25" ht="15" hidden="1" customHeight="1" x14ac:dyDescent="0.2">
      <c r="A50" s="640" t="s">
        <v>165</v>
      </c>
      <c r="B50" s="1036" t="str">
        <f>GLOBAL_DER_FEV_2023!B50</f>
        <v/>
      </c>
      <c r="C50" s="1072" t="str">
        <f>GLOBAL_DER_FEV_2023!C50</f>
        <v/>
      </c>
      <c r="D50" s="1141">
        <f>GLOBAL_DER_FEV_2023!D50</f>
        <v>0</v>
      </c>
      <c r="E50" s="907">
        <f>GLOBAL_DER_FEV_2023!E50</f>
        <v>0</v>
      </c>
      <c r="F50" s="908">
        <f>GLOBAL_DER_FEV_2023!F50</f>
        <v>0</v>
      </c>
      <c r="G50" s="912">
        <f>GLOBAL_DER_FEV_2023!G50</f>
        <v>0</v>
      </c>
      <c r="H50" s="901">
        <f>GLOBAL_DER_FEV_2023!H50</f>
        <v>0</v>
      </c>
      <c r="I50" s="901">
        <f>GLOBAL_DER_FEV_2023!I50</f>
        <v>0</v>
      </c>
      <c r="J50" s="890">
        <f>GLOBAL_DER_FEV_2023!J50</f>
        <v>0</v>
      </c>
      <c r="K50" s="903" t="str">
        <f>GLOBAL_DER_FEV_2023!K50</f>
        <v xml:space="preserve">     </v>
      </c>
      <c r="L50" s="1137"/>
      <c r="M50" s="1140">
        <f t="shared" si="3"/>
        <v>0</v>
      </c>
      <c r="N50" s="584">
        <f t="shared" si="5"/>
        <v>0</v>
      </c>
      <c r="O50" s="905"/>
      <c r="Q50" s="317" t="str">
        <f t="shared" si="0"/>
        <v/>
      </c>
      <c r="R50" s="317" t="str">
        <f t="shared" si="1"/>
        <v/>
      </c>
      <c r="S50" s="317" t="str">
        <f t="shared" si="2"/>
        <v/>
      </c>
      <c r="T50" s="317" t="str">
        <f>GLOBAL_DER_FEV_2023!S50</f>
        <v/>
      </c>
      <c r="W50" s="582">
        <v>0</v>
      </c>
      <c r="X50" s="580"/>
      <c r="Y50" s="583">
        <f>IF(GLOBAL_DER_FEV_2023!W50=0,0,IF(GLOBAL_DER_FEV_2023!W50&gt;0,"c","b"))</f>
        <v>0</v>
      </c>
    </row>
    <row r="51" spans="1:25" ht="15" hidden="1" customHeight="1" x14ac:dyDescent="0.2">
      <c r="A51" s="640" t="s">
        <v>165</v>
      </c>
      <c r="B51" s="1036" t="str">
        <f>GLOBAL_DER_FEV_2023!B51</f>
        <v/>
      </c>
      <c r="C51" s="1072" t="str">
        <f>GLOBAL_DER_FEV_2023!C51</f>
        <v/>
      </c>
      <c r="D51" s="1141">
        <f>GLOBAL_DER_FEV_2023!D51</f>
        <v>0</v>
      </c>
      <c r="E51" s="907">
        <f>GLOBAL_DER_FEV_2023!E51</f>
        <v>0</v>
      </c>
      <c r="F51" s="908">
        <f>GLOBAL_DER_FEV_2023!F51</f>
        <v>0</v>
      </c>
      <c r="G51" s="912">
        <f>GLOBAL_DER_FEV_2023!G51</f>
        <v>0</v>
      </c>
      <c r="H51" s="901">
        <f>GLOBAL_DER_FEV_2023!H51</f>
        <v>0</v>
      </c>
      <c r="I51" s="901">
        <f>GLOBAL_DER_FEV_2023!I51</f>
        <v>0</v>
      </c>
      <c r="J51" s="890">
        <f>GLOBAL_DER_FEV_2023!J51</f>
        <v>0</v>
      </c>
      <c r="K51" s="903" t="str">
        <f>GLOBAL_DER_FEV_2023!K51</f>
        <v xml:space="preserve">     </v>
      </c>
      <c r="L51" s="1137"/>
      <c r="M51" s="1140">
        <f t="shared" si="3"/>
        <v>0</v>
      </c>
      <c r="N51" s="584">
        <f t="shared" si="5"/>
        <v>0</v>
      </c>
      <c r="O51" s="905"/>
      <c r="Q51" s="317" t="str">
        <f t="shared" si="0"/>
        <v/>
      </c>
      <c r="R51" s="317" t="str">
        <f t="shared" si="1"/>
        <v/>
      </c>
      <c r="S51" s="317" t="str">
        <f t="shared" si="2"/>
        <v/>
      </c>
      <c r="T51" s="317" t="str">
        <f>GLOBAL_DER_FEV_2023!S51</f>
        <v/>
      </c>
      <c r="W51" s="582">
        <v>0</v>
      </c>
      <c r="X51" s="580"/>
      <c r="Y51" s="583">
        <f>IF(GLOBAL_DER_FEV_2023!W51=0,0,IF(GLOBAL_DER_FEV_2023!W51&gt;0,"c","b"))</f>
        <v>0</v>
      </c>
    </row>
    <row r="52" spans="1:25" ht="15" hidden="1" customHeight="1" x14ac:dyDescent="0.2">
      <c r="A52" s="640" t="s">
        <v>165</v>
      </c>
      <c r="B52" s="1036" t="str">
        <f>GLOBAL_DER_FEV_2023!B52</f>
        <v/>
      </c>
      <c r="C52" s="1072" t="str">
        <f>GLOBAL_DER_FEV_2023!C52</f>
        <v/>
      </c>
      <c r="D52" s="1141">
        <f>GLOBAL_DER_FEV_2023!D52</f>
        <v>0</v>
      </c>
      <c r="E52" s="907">
        <f>GLOBAL_DER_FEV_2023!E52</f>
        <v>0</v>
      </c>
      <c r="F52" s="908">
        <f>GLOBAL_DER_FEV_2023!F52</f>
        <v>0</v>
      </c>
      <c r="G52" s="912">
        <f>GLOBAL_DER_FEV_2023!G52</f>
        <v>0</v>
      </c>
      <c r="H52" s="901">
        <f>GLOBAL_DER_FEV_2023!H52</f>
        <v>0</v>
      </c>
      <c r="I52" s="901">
        <f>GLOBAL_DER_FEV_2023!I52</f>
        <v>0</v>
      </c>
      <c r="J52" s="890">
        <f>GLOBAL_DER_FEV_2023!J52</f>
        <v>0</v>
      </c>
      <c r="K52" s="903" t="str">
        <f>GLOBAL_DER_FEV_2023!K52</f>
        <v xml:space="preserve">     </v>
      </c>
      <c r="L52" s="1137"/>
      <c r="M52" s="1140">
        <f t="shared" si="3"/>
        <v>0</v>
      </c>
      <c r="N52" s="584">
        <f t="shared" si="5"/>
        <v>0</v>
      </c>
      <c r="O52" s="905"/>
      <c r="Q52" s="317" t="str">
        <f t="shared" si="0"/>
        <v/>
      </c>
      <c r="R52" s="317" t="str">
        <f t="shared" si="1"/>
        <v/>
      </c>
      <c r="S52" s="317" t="str">
        <f t="shared" si="2"/>
        <v/>
      </c>
      <c r="T52" s="317" t="str">
        <f>GLOBAL_DER_FEV_2023!S52</f>
        <v/>
      </c>
      <c r="W52" s="582">
        <v>0</v>
      </c>
      <c r="X52" s="580"/>
      <c r="Y52" s="583">
        <f>IF(GLOBAL_DER_FEV_2023!W52=0,0,IF(GLOBAL_DER_FEV_2023!W52&gt;0,"c","b"))</f>
        <v>0</v>
      </c>
    </row>
    <row r="53" spans="1:25" ht="15" hidden="1" customHeight="1" x14ac:dyDescent="0.2">
      <c r="A53" s="640" t="s">
        <v>165</v>
      </c>
      <c r="B53" s="1036" t="str">
        <f>GLOBAL_DER_FEV_2023!B53</f>
        <v/>
      </c>
      <c r="C53" s="1072" t="str">
        <f>GLOBAL_DER_FEV_2023!C53</f>
        <v/>
      </c>
      <c r="D53" s="1141">
        <f>GLOBAL_DER_FEV_2023!D53</f>
        <v>0</v>
      </c>
      <c r="E53" s="907">
        <f>GLOBAL_DER_FEV_2023!E53</f>
        <v>0</v>
      </c>
      <c r="F53" s="908">
        <f>GLOBAL_DER_FEV_2023!F53</f>
        <v>0</v>
      </c>
      <c r="G53" s="912">
        <f>GLOBAL_DER_FEV_2023!G53</f>
        <v>0</v>
      </c>
      <c r="H53" s="901">
        <f>GLOBAL_DER_FEV_2023!H53</f>
        <v>0</v>
      </c>
      <c r="I53" s="901">
        <f>GLOBAL_DER_FEV_2023!I53</f>
        <v>0</v>
      </c>
      <c r="J53" s="890">
        <f>GLOBAL_DER_FEV_2023!J53</f>
        <v>0</v>
      </c>
      <c r="K53" s="903" t="str">
        <f>GLOBAL_DER_FEV_2023!K53</f>
        <v xml:space="preserve">     </v>
      </c>
      <c r="L53" s="1137"/>
      <c r="M53" s="1140">
        <f t="shared" si="3"/>
        <v>0</v>
      </c>
      <c r="N53" s="584">
        <f t="shared" si="5"/>
        <v>0</v>
      </c>
      <c r="O53" s="905"/>
      <c r="Q53" s="317" t="str">
        <f t="shared" si="0"/>
        <v/>
      </c>
      <c r="R53" s="317" t="str">
        <f t="shared" si="1"/>
        <v/>
      </c>
      <c r="S53" s="317" t="str">
        <f t="shared" si="2"/>
        <v/>
      </c>
      <c r="T53" s="317" t="str">
        <f>GLOBAL_DER_FEV_2023!S53</f>
        <v/>
      </c>
      <c r="W53" s="582">
        <v>0</v>
      </c>
      <c r="X53" s="580"/>
      <c r="Y53" s="583">
        <f>IF(GLOBAL_DER_FEV_2023!W53=0,0,IF(GLOBAL_DER_FEV_2023!W53&gt;0,"c","b"))</f>
        <v>0</v>
      </c>
    </row>
    <row r="54" spans="1:25" ht="15" hidden="1" customHeight="1" x14ac:dyDescent="0.2">
      <c r="A54" s="640" t="s">
        <v>165</v>
      </c>
      <c r="B54" s="1036" t="str">
        <f>GLOBAL_DER_FEV_2023!B54</f>
        <v/>
      </c>
      <c r="C54" s="1072" t="str">
        <f>GLOBAL_DER_FEV_2023!C54</f>
        <v/>
      </c>
      <c r="D54" s="1141">
        <f>GLOBAL_DER_FEV_2023!D54</f>
        <v>0</v>
      </c>
      <c r="E54" s="907">
        <f>GLOBAL_DER_FEV_2023!E54</f>
        <v>0</v>
      </c>
      <c r="F54" s="908">
        <f>GLOBAL_DER_FEV_2023!F54</f>
        <v>0</v>
      </c>
      <c r="G54" s="912">
        <f>GLOBAL_DER_FEV_2023!G54</f>
        <v>0</v>
      </c>
      <c r="H54" s="901">
        <f>GLOBAL_DER_FEV_2023!H54</f>
        <v>0</v>
      </c>
      <c r="I54" s="901">
        <f>GLOBAL_DER_FEV_2023!I54</f>
        <v>0</v>
      </c>
      <c r="J54" s="890">
        <f>GLOBAL_DER_FEV_2023!J54</f>
        <v>0</v>
      </c>
      <c r="K54" s="903" t="str">
        <f>GLOBAL_DER_FEV_2023!K54</f>
        <v xml:space="preserve">     </v>
      </c>
      <c r="L54" s="1137"/>
      <c r="M54" s="1140">
        <f t="shared" si="3"/>
        <v>0</v>
      </c>
      <c r="N54" s="584">
        <f t="shared" si="5"/>
        <v>0</v>
      </c>
      <c r="O54" s="905"/>
      <c r="Q54" s="317" t="str">
        <f t="shared" si="0"/>
        <v/>
      </c>
      <c r="R54" s="317" t="str">
        <f t="shared" si="1"/>
        <v/>
      </c>
      <c r="S54" s="317" t="str">
        <f t="shared" si="2"/>
        <v/>
      </c>
      <c r="T54" s="317" t="str">
        <f>GLOBAL_DER_FEV_2023!S54</f>
        <v/>
      </c>
      <c r="W54" s="582">
        <v>0</v>
      </c>
      <c r="X54" s="580"/>
      <c r="Y54" s="583">
        <f>IF(GLOBAL_DER_FEV_2023!W54=0,0,IF(GLOBAL_DER_FEV_2023!W54&gt;0,"c","b"))</f>
        <v>0</v>
      </c>
    </row>
    <row r="55" spans="1:25" ht="15" hidden="1" customHeight="1" x14ac:dyDescent="0.2">
      <c r="A55" s="640" t="s">
        <v>165</v>
      </c>
      <c r="B55" s="1036" t="str">
        <f>GLOBAL_DER_FEV_2023!B55</f>
        <v/>
      </c>
      <c r="C55" s="1072" t="str">
        <f>GLOBAL_DER_FEV_2023!C55</f>
        <v/>
      </c>
      <c r="D55" s="1141">
        <f>GLOBAL_DER_FEV_2023!D55</f>
        <v>0</v>
      </c>
      <c r="E55" s="907">
        <f>GLOBAL_DER_FEV_2023!E55</f>
        <v>0</v>
      </c>
      <c r="F55" s="908">
        <f>GLOBAL_DER_FEV_2023!F55</f>
        <v>0</v>
      </c>
      <c r="G55" s="912">
        <f>GLOBAL_DER_FEV_2023!G55</f>
        <v>0</v>
      </c>
      <c r="H55" s="901">
        <f>GLOBAL_DER_FEV_2023!H55</f>
        <v>0</v>
      </c>
      <c r="I55" s="901">
        <f>GLOBAL_DER_FEV_2023!I55</f>
        <v>0</v>
      </c>
      <c r="J55" s="890">
        <f>GLOBAL_DER_FEV_2023!J55</f>
        <v>0</v>
      </c>
      <c r="K55" s="903" t="str">
        <f>GLOBAL_DER_FEV_2023!K55</f>
        <v xml:space="preserve">     </v>
      </c>
      <c r="L55" s="1137"/>
      <c r="M55" s="1140">
        <f t="shared" si="3"/>
        <v>0</v>
      </c>
      <c r="N55" s="584">
        <f t="shared" si="5"/>
        <v>0</v>
      </c>
      <c r="O55" s="905"/>
      <c r="Q55" s="317" t="str">
        <f t="shared" si="0"/>
        <v/>
      </c>
      <c r="R55" s="317" t="str">
        <f t="shared" si="1"/>
        <v/>
      </c>
      <c r="S55" s="317" t="str">
        <f t="shared" si="2"/>
        <v/>
      </c>
      <c r="T55" s="317" t="str">
        <f>GLOBAL_DER_FEV_2023!S55</f>
        <v/>
      </c>
      <c r="W55" s="582">
        <v>0</v>
      </c>
      <c r="X55" s="580"/>
      <c r="Y55" s="583">
        <f>IF(GLOBAL_DER_FEV_2023!W55=0,0,IF(GLOBAL_DER_FEV_2023!W55&gt;0,"c","b"))</f>
        <v>0</v>
      </c>
    </row>
    <row r="56" spans="1:25" ht="15" hidden="1" customHeight="1" x14ac:dyDescent="0.2">
      <c r="A56" s="640" t="s">
        <v>165</v>
      </c>
      <c r="B56" s="1036" t="str">
        <f>GLOBAL_DER_FEV_2023!B56</f>
        <v/>
      </c>
      <c r="C56" s="1072" t="str">
        <f>GLOBAL_DER_FEV_2023!C56</f>
        <v/>
      </c>
      <c r="D56" s="1141">
        <f>GLOBAL_DER_FEV_2023!D56</f>
        <v>0</v>
      </c>
      <c r="E56" s="907">
        <f>GLOBAL_DER_FEV_2023!E56</f>
        <v>0</v>
      </c>
      <c r="F56" s="908">
        <f>GLOBAL_DER_FEV_2023!F56</f>
        <v>0</v>
      </c>
      <c r="G56" s="912">
        <f>GLOBAL_DER_FEV_2023!G56</f>
        <v>0</v>
      </c>
      <c r="H56" s="901">
        <f>GLOBAL_DER_FEV_2023!H56</f>
        <v>0</v>
      </c>
      <c r="I56" s="901">
        <f>GLOBAL_DER_FEV_2023!I56</f>
        <v>0</v>
      </c>
      <c r="J56" s="890">
        <f>GLOBAL_DER_FEV_2023!J56</f>
        <v>0</v>
      </c>
      <c r="K56" s="903" t="str">
        <f>GLOBAL_DER_FEV_2023!K56</f>
        <v xml:space="preserve">     </v>
      </c>
      <c r="L56" s="1137"/>
      <c r="M56" s="1140">
        <f t="shared" si="3"/>
        <v>0</v>
      </c>
      <c r="N56" s="584">
        <f t="shared" si="5"/>
        <v>0</v>
      </c>
      <c r="O56" s="905"/>
      <c r="Q56" s="317" t="str">
        <f t="shared" si="0"/>
        <v/>
      </c>
      <c r="R56" s="317" t="str">
        <f t="shared" si="1"/>
        <v/>
      </c>
      <c r="S56" s="317" t="str">
        <f t="shared" si="2"/>
        <v/>
      </c>
      <c r="T56" s="317" t="str">
        <f>GLOBAL_DER_FEV_2023!S56</f>
        <v/>
      </c>
      <c r="W56" s="582">
        <v>0</v>
      </c>
      <c r="X56" s="580"/>
      <c r="Y56" s="583">
        <f>IF(GLOBAL_DER_FEV_2023!W56=0,0,IF(GLOBAL_DER_FEV_2023!W56&gt;0,"c","b"))</f>
        <v>0</v>
      </c>
    </row>
    <row r="57" spans="1:25" ht="15" hidden="1" customHeight="1" x14ac:dyDescent="0.2">
      <c r="A57" s="640" t="s">
        <v>165</v>
      </c>
      <c r="B57" s="1036" t="str">
        <f>GLOBAL_DER_FEV_2023!B57</f>
        <v/>
      </c>
      <c r="C57" s="1072" t="str">
        <f>GLOBAL_DER_FEV_2023!C57</f>
        <v/>
      </c>
      <c r="D57" s="1141">
        <f>GLOBAL_DER_FEV_2023!D57</f>
        <v>0</v>
      </c>
      <c r="E57" s="907">
        <f>GLOBAL_DER_FEV_2023!E57</f>
        <v>0</v>
      </c>
      <c r="F57" s="908">
        <f>GLOBAL_DER_FEV_2023!F57</f>
        <v>0</v>
      </c>
      <c r="G57" s="912">
        <f>GLOBAL_DER_FEV_2023!G57</f>
        <v>0</v>
      </c>
      <c r="H57" s="901">
        <f>GLOBAL_DER_FEV_2023!H57</f>
        <v>0</v>
      </c>
      <c r="I57" s="901">
        <f>GLOBAL_DER_FEV_2023!I57</f>
        <v>0</v>
      </c>
      <c r="J57" s="890">
        <f>GLOBAL_DER_FEV_2023!J57</f>
        <v>0</v>
      </c>
      <c r="K57" s="903" t="str">
        <f>GLOBAL_DER_FEV_2023!K57</f>
        <v xml:space="preserve">     </v>
      </c>
      <c r="L57" s="1137"/>
      <c r="M57" s="1140">
        <f t="shared" si="3"/>
        <v>0</v>
      </c>
      <c r="N57" s="584">
        <f t="shared" si="5"/>
        <v>0</v>
      </c>
      <c r="O57" s="905"/>
      <c r="Q57" s="317" t="str">
        <f t="shared" si="0"/>
        <v/>
      </c>
      <c r="R57" s="317" t="str">
        <f t="shared" si="1"/>
        <v/>
      </c>
      <c r="S57" s="317" t="str">
        <f t="shared" si="2"/>
        <v/>
      </c>
      <c r="T57" s="317" t="str">
        <f>GLOBAL_DER_FEV_2023!S57</f>
        <v/>
      </c>
      <c r="W57" s="582">
        <v>0</v>
      </c>
      <c r="X57" s="580"/>
      <c r="Y57" s="583">
        <f>IF(GLOBAL_DER_FEV_2023!W57=0,0,IF(GLOBAL_DER_FEV_2023!W57&gt;0,"c","b"))</f>
        <v>0</v>
      </c>
    </row>
    <row r="58" spans="1:25" ht="15" hidden="1" customHeight="1" x14ac:dyDescent="0.2">
      <c r="A58" s="640" t="s">
        <v>165</v>
      </c>
      <c r="B58" s="1036" t="str">
        <f>GLOBAL_DER_FEV_2023!B58</f>
        <v/>
      </c>
      <c r="C58" s="1072" t="str">
        <f>GLOBAL_DER_FEV_2023!C58</f>
        <v/>
      </c>
      <c r="D58" s="1141">
        <f>GLOBAL_DER_FEV_2023!D58</f>
        <v>0</v>
      </c>
      <c r="E58" s="907">
        <f>GLOBAL_DER_FEV_2023!E58</f>
        <v>0</v>
      </c>
      <c r="F58" s="908">
        <f>GLOBAL_DER_FEV_2023!F58</f>
        <v>0</v>
      </c>
      <c r="G58" s="912">
        <f>GLOBAL_DER_FEV_2023!G58</f>
        <v>0</v>
      </c>
      <c r="H58" s="901">
        <f>GLOBAL_DER_FEV_2023!H58</f>
        <v>0</v>
      </c>
      <c r="I58" s="901">
        <f>GLOBAL_DER_FEV_2023!I58</f>
        <v>0</v>
      </c>
      <c r="J58" s="890">
        <f>GLOBAL_DER_FEV_2023!J58</f>
        <v>0</v>
      </c>
      <c r="K58" s="903" t="str">
        <f>GLOBAL_DER_FEV_2023!K58</f>
        <v xml:space="preserve">     </v>
      </c>
      <c r="L58" s="1137"/>
      <c r="M58" s="1140">
        <f t="shared" si="3"/>
        <v>0</v>
      </c>
      <c r="N58" s="584">
        <f t="shared" si="5"/>
        <v>0</v>
      </c>
      <c r="O58" s="905"/>
      <c r="Q58" s="317" t="str">
        <f t="shared" si="0"/>
        <v/>
      </c>
      <c r="R58" s="317" t="str">
        <f t="shared" si="1"/>
        <v/>
      </c>
      <c r="S58" s="317" t="str">
        <f t="shared" si="2"/>
        <v/>
      </c>
      <c r="T58" s="317" t="str">
        <f>GLOBAL_DER_FEV_2023!S58</f>
        <v/>
      </c>
      <c r="W58" s="582">
        <v>0</v>
      </c>
      <c r="X58" s="580"/>
      <c r="Y58" s="583">
        <f>IF(GLOBAL_DER_FEV_2023!W58=0,0,IF(GLOBAL_DER_FEV_2023!W58&gt;0,"c","b"))</f>
        <v>0</v>
      </c>
    </row>
    <row r="59" spans="1:25" ht="15" hidden="1" customHeight="1" x14ac:dyDescent="0.2">
      <c r="A59" s="640" t="s">
        <v>165</v>
      </c>
      <c r="B59" s="1036" t="str">
        <f>GLOBAL_DER_FEV_2023!B59</f>
        <v/>
      </c>
      <c r="C59" s="1072" t="str">
        <f>GLOBAL_DER_FEV_2023!C59</f>
        <v/>
      </c>
      <c r="D59" s="1141">
        <f>GLOBAL_DER_FEV_2023!D59</f>
        <v>0</v>
      </c>
      <c r="E59" s="907">
        <f>GLOBAL_DER_FEV_2023!E59</f>
        <v>0</v>
      </c>
      <c r="F59" s="908">
        <f>GLOBAL_DER_FEV_2023!F59</f>
        <v>0</v>
      </c>
      <c r="G59" s="912">
        <f>GLOBAL_DER_FEV_2023!G59</f>
        <v>0</v>
      </c>
      <c r="H59" s="901">
        <f>GLOBAL_DER_FEV_2023!H59</f>
        <v>0</v>
      </c>
      <c r="I59" s="901">
        <f>GLOBAL_DER_FEV_2023!I59</f>
        <v>0</v>
      </c>
      <c r="J59" s="890">
        <f>GLOBAL_DER_FEV_2023!J59</f>
        <v>0</v>
      </c>
      <c r="K59" s="903" t="str">
        <f>GLOBAL_DER_FEV_2023!K59</f>
        <v xml:space="preserve">     </v>
      </c>
      <c r="L59" s="1137"/>
      <c r="M59" s="1140">
        <f t="shared" si="3"/>
        <v>0</v>
      </c>
      <c r="N59" s="584">
        <f t="shared" si="5"/>
        <v>0</v>
      </c>
      <c r="O59" s="905"/>
      <c r="Q59" s="317" t="str">
        <f t="shared" si="0"/>
        <v/>
      </c>
      <c r="R59" s="317" t="str">
        <f t="shared" si="1"/>
        <v/>
      </c>
      <c r="S59" s="317" t="str">
        <f t="shared" si="2"/>
        <v/>
      </c>
      <c r="T59" s="317" t="str">
        <f>GLOBAL_DER_FEV_2023!S59</f>
        <v/>
      </c>
      <c r="W59" s="582">
        <v>0</v>
      </c>
      <c r="X59" s="580"/>
      <c r="Y59" s="583">
        <f>IF(GLOBAL_DER_FEV_2023!W59=0,0,IF(GLOBAL_DER_FEV_2023!W59&gt;0,"c","b"))</f>
        <v>0</v>
      </c>
    </row>
    <row r="60" spans="1:25" ht="15" hidden="1" customHeight="1" x14ac:dyDescent="0.2">
      <c r="A60" s="640" t="s">
        <v>165</v>
      </c>
      <c r="B60" s="1036" t="str">
        <f>GLOBAL_DER_FEV_2023!B60</f>
        <v/>
      </c>
      <c r="C60" s="1072" t="str">
        <f>GLOBAL_DER_FEV_2023!C60</f>
        <v/>
      </c>
      <c r="D60" s="1141">
        <f>GLOBAL_DER_FEV_2023!D60</f>
        <v>0</v>
      </c>
      <c r="E60" s="907">
        <f>GLOBAL_DER_FEV_2023!E60</f>
        <v>0</v>
      </c>
      <c r="F60" s="908">
        <f>GLOBAL_DER_FEV_2023!F60</f>
        <v>0</v>
      </c>
      <c r="G60" s="912">
        <f>GLOBAL_DER_FEV_2023!G60</f>
        <v>0</v>
      </c>
      <c r="H60" s="901">
        <f>GLOBAL_DER_FEV_2023!H60</f>
        <v>0</v>
      </c>
      <c r="I60" s="901">
        <f>GLOBAL_DER_FEV_2023!I60</f>
        <v>0</v>
      </c>
      <c r="J60" s="890">
        <f>GLOBAL_DER_FEV_2023!J60</f>
        <v>0</v>
      </c>
      <c r="K60" s="903" t="str">
        <f>GLOBAL_DER_FEV_2023!K60</f>
        <v xml:space="preserve">     </v>
      </c>
      <c r="L60" s="1137"/>
      <c r="M60" s="1140">
        <f t="shared" si="3"/>
        <v>0</v>
      </c>
      <c r="N60" s="584">
        <f t="shared" si="5"/>
        <v>0</v>
      </c>
      <c r="O60" s="905"/>
      <c r="Q60" s="317" t="str">
        <f t="shared" si="0"/>
        <v/>
      </c>
      <c r="R60" s="317" t="str">
        <f t="shared" si="1"/>
        <v/>
      </c>
      <c r="S60" s="317" t="str">
        <f t="shared" si="2"/>
        <v/>
      </c>
      <c r="T60" s="317" t="str">
        <f>GLOBAL_DER_FEV_2023!S60</f>
        <v/>
      </c>
      <c r="W60" s="582">
        <v>0</v>
      </c>
      <c r="X60" s="580"/>
      <c r="Y60" s="583">
        <f>IF(GLOBAL_DER_FEV_2023!W60=0,0,IF(GLOBAL_DER_FEV_2023!W60&gt;0,"c","b"))</f>
        <v>0</v>
      </c>
    </row>
    <row r="61" spans="1:25" ht="15" hidden="1" customHeight="1" x14ac:dyDescent="0.2">
      <c r="A61" s="640" t="s">
        <v>165</v>
      </c>
      <c r="B61" s="1036" t="str">
        <f>GLOBAL_DER_FEV_2023!B61</f>
        <v/>
      </c>
      <c r="C61" s="1072" t="str">
        <f>GLOBAL_DER_FEV_2023!C61</f>
        <v/>
      </c>
      <c r="D61" s="1141">
        <f>GLOBAL_DER_FEV_2023!D61</f>
        <v>0</v>
      </c>
      <c r="E61" s="907">
        <f>GLOBAL_DER_FEV_2023!E61</f>
        <v>0</v>
      </c>
      <c r="F61" s="908">
        <f>GLOBAL_DER_FEV_2023!F61</f>
        <v>0</v>
      </c>
      <c r="G61" s="912">
        <f>GLOBAL_DER_FEV_2023!G61</f>
        <v>0</v>
      </c>
      <c r="H61" s="901">
        <f>GLOBAL_DER_FEV_2023!H61</f>
        <v>0</v>
      </c>
      <c r="I61" s="901">
        <f>GLOBAL_DER_FEV_2023!I61</f>
        <v>0</v>
      </c>
      <c r="J61" s="890">
        <f>GLOBAL_DER_FEV_2023!J61</f>
        <v>0</v>
      </c>
      <c r="K61" s="903" t="str">
        <f>GLOBAL_DER_FEV_2023!K61</f>
        <v xml:space="preserve">     </v>
      </c>
      <c r="L61" s="1137"/>
      <c r="M61" s="1140">
        <f t="shared" si="3"/>
        <v>0</v>
      </c>
      <c r="N61" s="584">
        <f t="shared" si="5"/>
        <v>0</v>
      </c>
      <c r="O61" s="905"/>
      <c r="Q61" s="317" t="str">
        <f t="shared" si="0"/>
        <v/>
      </c>
      <c r="R61" s="317" t="str">
        <f t="shared" si="1"/>
        <v/>
      </c>
      <c r="S61" s="317" t="str">
        <f t="shared" si="2"/>
        <v/>
      </c>
      <c r="T61" s="317" t="str">
        <f>GLOBAL_DER_FEV_2023!S61</f>
        <v/>
      </c>
      <c r="W61" s="582">
        <v>0</v>
      </c>
      <c r="X61" s="580"/>
      <c r="Y61" s="583">
        <f>IF(GLOBAL_DER_FEV_2023!W61=0,0,IF(GLOBAL_DER_FEV_2023!W61&gt;0,"c","b"))</f>
        <v>0</v>
      </c>
    </row>
    <row r="62" spans="1:25" ht="15" hidden="1" customHeight="1" x14ac:dyDescent="0.2">
      <c r="A62" s="640" t="s">
        <v>165</v>
      </c>
      <c r="B62" s="1036" t="str">
        <f>GLOBAL_DER_FEV_2023!B62</f>
        <v/>
      </c>
      <c r="C62" s="1072" t="str">
        <f>GLOBAL_DER_FEV_2023!C62</f>
        <v/>
      </c>
      <c r="D62" s="1141">
        <f>GLOBAL_DER_FEV_2023!D62</f>
        <v>0</v>
      </c>
      <c r="E62" s="907">
        <f>GLOBAL_DER_FEV_2023!E62</f>
        <v>0</v>
      </c>
      <c r="F62" s="908">
        <f>GLOBAL_DER_FEV_2023!F62</f>
        <v>0</v>
      </c>
      <c r="G62" s="912">
        <f>GLOBAL_DER_FEV_2023!G62</f>
        <v>0</v>
      </c>
      <c r="H62" s="901">
        <f>GLOBAL_DER_FEV_2023!H62</f>
        <v>0</v>
      </c>
      <c r="I62" s="901">
        <f>GLOBAL_DER_FEV_2023!I62</f>
        <v>0</v>
      </c>
      <c r="J62" s="890">
        <f>GLOBAL_DER_FEV_2023!J62</f>
        <v>0</v>
      </c>
      <c r="K62" s="903" t="str">
        <f>GLOBAL_DER_FEV_2023!K62</f>
        <v xml:space="preserve">     </v>
      </c>
      <c r="L62" s="1137"/>
      <c r="M62" s="1140">
        <f t="shared" si="3"/>
        <v>0</v>
      </c>
      <c r="N62" s="584">
        <f t="shared" si="5"/>
        <v>0</v>
      </c>
      <c r="O62" s="905"/>
      <c r="Q62" s="317" t="str">
        <f t="shared" si="0"/>
        <v/>
      </c>
      <c r="R62" s="317" t="str">
        <f t="shared" si="1"/>
        <v/>
      </c>
      <c r="S62" s="317" t="str">
        <f t="shared" si="2"/>
        <v/>
      </c>
      <c r="T62" s="317" t="str">
        <f>GLOBAL_DER_FEV_2023!S62</f>
        <v/>
      </c>
      <c r="W62" s="582">
        <v>0</v>
      </c>
      <c r="X62" s="580"/>
      <c r="Y62" s="583">
        <f>IF(GLOBAL_DER_FEV_2023!W62=0,0,IF(GLOBAL_DER_FEV_2023!W62&gt;0,"c","b"))</f>
        <v>0</v>
      </c>
    </row>
    <row r="63" spans="1:25" ht="15" hidden="1" customHeight="1" x14ac:dyDescent="0.2">
      <c r="A63" s="640" t="s">
        <v>165</v>
      </c>
      <c r="B63" s="1036" t="str">
        <f>GLOBAL_DER_FEV_2023!B63</f>
        <v/>
      </c>
      <c r="C63" s="1072" t="str">
        <f>GLOBAL_DER_FEV_2023!C63</f>
        <v/>
      </c>
      <c r="D63" s="1141">
        <f>GLOBAL_DER_FEV_2023!D63</f>
        <v>0</v>
      </c>
      <c r="E63" s="907">
        <f>GLOBAL_DER_FEV_2023!E63</f>
        <v>0</v>
      </c>
      <c r="F63" s="908">
        <f>GLOBAL_DER_FEV_2023!F63</f>
        <v>0</v>
      </c>
      <c r="G63" s="912">
        <f>GLOBAL_DER_FEV_2023!G63</f>
        <v>0</v>
      </c>
      <c r="H63" s="901">
        <f>GLOBAL_DER_FEV_2023!H63</f>
        <v>0</v>
      </c>
      <c r="I63" s="901">
        <f>GLOBAL_DER_FEV_2023!I63</f>
        <v>0</v>
      </c>
      <c r="J63" s="890">
        <f>GLOBAL_DER_FEV_2023!J63</f>
        <v>0</v>
      </c>
      <c r="K63" s="903" t="str">
        <f>GLOBAL_DER_FEV_2023!K63</f>
        <v xml:space="preserve">     </v>
      </c>
      <c r="L63" s="1137"/>
      <c r="M63" s="1140">
        <f t="shared" si="3"/>
        <v>0</v>
      </c>
      <c r="N63" s="584">
        <f t="shared" si="5"/>
        <v>0</v>
      </c>
      <c r="O63" s="905"/>
      <c r="Q63" s="317" t="str">
        <f t="shared" si="0"/>
        <v/>
      </c>
      <c r="R63" s="317" t="str">
        <f t="shared" si="1"/>
        <v/>
      </c>
      <c r="S63" s="317" t="str">
        <f t="shared" si="2"/>
        <v/>
      </c>
      <c r="T63" s="317" t="str">
        <f>GLOBAL_DER_FEV_2023!S63</f>
        <v/>
      </c>
      <c r="W63" s="582">
        <v>0</v>
      </c>
      <c r="X63" s="580"/>
      <c r="Y63" s="583">
        <f>IF(GLOBAL_DER_FEV_2023!W63=0,0,IF(GLOBAL_DER_FEV_2023!W63&gt;0,"c","b"))</f>
        <v>0</v>
      </c>
    </row>
    <row r="64" spans="1:25" ht="15" hidden="1" customHeight="1" x14ac:dyDescent="0.2">
      <c r="A64" s="640" t="s">
        <v>165</v>
      </c>
      <c r="B64" s="1036" t="str">
        <f>GLOBAL_DER_FEV_2023!B64</f>
        <v/>
      </c>
      <c r="C64" s="1072" t="str">
        <f>GLOBAL_DER_FEV_2023!C64</f>
        <v/>
      </c>
      <c r="D64" s="1141">
        <f>GLOBAL_DER_FEV_2023!D64</f>
        <v>0</v>
      </c>
      <c r="E64" s="907">
        <f>GLOBAL_DER_FEV_2023!E64</f>
        <v>0</v>
      </c>
      <c r="F64" s="908">
        <f>GLOBAL_DER_FEV_2023!F64</f>
        <v>0</v>
      </c>
      <c r="G64" s="912">
        <f>GLOBAL_DER_FEV_2023!G64</f>
        <v>0</v>
      </c>
      <c r="H64" s="901">
        <f>GLOBAL_DER_FEV_2023!H64</f>
        <v>0</v>
      </c>
      <c r="I64" s="901">
        <f>GLOBAL_DER_FEV_2023!I64</f>
        <v>0</v>
      </c>
      <c r="J64" s="890">
        <f>GLOBAL_DER_FEV_2023!J64</f>
        <v>0</v>
      </c>
      <c r="K64" s="903" t="str">
        <f>GLOBAL_DER_FEV_2023!K64</f>
        <v xml:space="preserve">     </v>
      </c>
      <c r="L64" s="1137"/>
      <c r="M64" s="1140">
        <f t="shared" si="3"/>
        <v>0</v>
      </c>
      <c r="N64" s="584">
        <f t="shared" si="5"/>
        <v>0</v>
      </c>
      <c r="O64" s="905"/>
      <c r="Q64" s="317" t="str">
        <f t="shared" si="0"/>
        <v/>
      </c>
      <c r="R64" s="317" t="str">
        <f t="shared" si="1"/>
        <v/>
      </c>
      <c r="S64" s="317" t="str">
        <f t="shared" si="2"/>
        <v/>
      </c>
      <c r="T64" s="317" t="str">
        <f>GLOBAL_DER_FEV_2023!S64</f>
        <v/>
      </c>
      <c r="W64" s="582">
        <v>0</v>
      </c>
      <c r="X64" s="580"/>
      <c r="Y64" s="583">
        <f>IF(GLOBAL_DER_FEV_2023!W64=0,0,IF(GLOBAL_DER_FEV_2023!W64&gt;0,"c","b"))</f>
        <v>0</v>
      </c>
    </row>
    <row r="65" spans="1:25" ht="15" hidden="1" customHeight="1" x14ac:dyDescent="0.2">
      <c r="A65" s="640" t="s">
        <v>165</v>
      </c>
      <c r="B65" s="1036" t="str">
        <f>GLOBAL_DER_FEV_2023!B65</f>
        <v/>
      </c>
      <c r="C65" s="1072" t="str">
        <f>GLOBAL_DER_FEV_2023!C65</f>
        <v/>
      </c>
      <c r="D65" s="1141">
        <f>GLOBAL_DER_FEV_2023!D65</f>
        <v>0</v>
      </c>
      <c r="E65" s="907">
        <f>GLOBAL_DER_FEV_2023!E65</f>
        <v>0</v>
      </c>
      <c r="F65" s="908">
        <f>GLOBAL_DER_FEV_2023!F65</f>
        <v>0</v>
      </c>
      <c r="G65" s="912">
        <f>GLOBAL_DER_FEV_2023!G65</f>
        <v>0</v>
      </c>
      <c r="H65" s="901">
        <f>GLOBAL_DER_FEV_2023!H65</f>
        <v>0</v>
      </c>
      <c r="I65" s="901">
        <f>GLOBAL_DER_FEV_2023!I65</f>
        <v>0</v>
      </c>
      <c r="J65" s="890">
        <f>GLOBAL_DER_FEV_2023!J65</f>
        <v>0</v>
      </c>
      <c r="K65" s="903" t="str">
        <f>GLOBAL_DER_FEV_2023!K65</f>
        <v xml:space="preserve">     </v>
      </c>
      <c r="L65" s="1137"/>
      <c r="M65" s="1140">
        <f t="shared" si="3"/>
        <v>0</v>
      </c>
      <c r="N65" s="584">
        <f t="shared" si="5"/>
        <v>0</v>
      </c>
      <c r="O65" s="905"/>
      <c r="Q65" s="317" t="str">
        <f t="shared" si="0"/>
        <v/>
      </c>
      <c r="R65" s="317" t="str">
        <f t="shared" si="1"/>
        <v/>
      </c>
      <c r="S65" s="317" t="str">
        <f t="shared" si="2"/>
        <v/>
      </c>
      <c r="T65" s="317" t="str">
        <f>GLOBAL_DER_FEV_2023!S65</f>
        <v/>
      </c>
      <c r="W65" s="582">
        <v>0</v>
      </c>
      <c r="X65" s="580"/>
      <c r="Y65" s="583">
        <f>IF(GLOBAL_DER_FEV_2023!W65=0,0,IF(GLOBAL_DER_FEV_2023!W65&gt;0,"c","b"))</f>
        <v>0</v>
      </c>
    </row>
    <row r="66" spans="1:25" ht="15" hidden="1" customHeight="1" x14ac:dyDescent="0.2">
      <c r="A66" s="640" t="s">
        <v>165</v>
      </c>
      <c r="B66" s="1036" t="str">
        <f>GLOBAL_DER_FEV_2023!B66</f>
        <v/>
      </c>
      <c r="C66" s="1072" t="str">
        <f>GLOBAL_DER_FEV_2023!C66</f>
        <v/>
      </c>
      <c r="D66" s="1141">
        <f>GLOBAL_DER_FEV_2023!D66</f>
        <v>0</v>
      </c>
      <c r="E66" s="907">
        <f>GLOBAL_DER_FEV_2023!E66</f>
        <v>0</v>
      </c>
      <c r="F66" s="908">
        <f>GLOBAL_DER_FEV_2023!F66</f>
        <v>0</v>
      </c>
      <c r="G66" s="912">
        <f>GLOBAL_DER_FEV_2023!G66</f>
        <v>0</v>
      </c>
      <c r="H66" s="901">
        <f>GLOBAL_DER_FEV_2023!H66</f>
        <v>0</v>
      </c>
      <c r="I66" s="901">
        <f>GLOBAL_DER_FEV_2023!I66</f>
        <v>0</v>
      </c>
      <c r="J66" s="890">
        <f>GLOBAL_DER_FEV_2023!J66</f>
        <v>0</v>
      </c>
      <c r="K66" s="903" t="str">
        <f>GLOBAL_DER_FEV_2023!K66</f>
        <v xml:space="preserve">     </v>
      </c>
      <c r="L66" s="1137"/>
      <c r="M66" s="1140">
        <f t="shared" si="3"/>
        <v>0</v>
      </c>
      <c r="N66" s="584">
        <f t="shared" si="5"/>
        <v>0</v>
      </c>
      <c r="O66" s="905"/>
      <c r="Q66" s="317" t="str">
        <f t="shared" si="0"/>
        <v/>
      </c>
      <c r="R66" s="317" t="str">
        <f t="shared" si="1"/>
        <v/>
      </c>
      <c r="S66" s="317" t="str">
        <f t="shared" si="2"/>
        <v/>
      </c>
      <c r="T66" s="317" t="str">
        <f>GLOBAL_DER_FEV_2023!S66</f>
        <v/>
      </c>
      <c r="W66" s="582">
        <v>0</v>
      </c>
      <c r="X66" s="580"/>
      <c r="Y66" s="583">
        <f>IF(GLOBAL_DER_FEV_2023!W66=0,0,IF(GLOBAL_DER_FEV_2023!W66&gt;0,"c","b"))</f>
        <v>0</v>
      </c>
    </row>
    <row r="67" spans="1:25" ht="15" hidden="1" customHeight="1" x14ac:dyDescent="0.2">
      <c r="A67" s="640" t="s">
        <v>165</v>
      </c>
      <c r="B67" s="1036" t="str">
        <f>GLOBAL_DER_FEV_2023!B67</f>
        <v/>
      </c>
      <c r="C67" s="1072" t="str">
        <f>GLOBAL_DER_FEV_2023!C67</f>
        <v/>
      </c>
      <c r="D67" s="1141">
        <f>GLOBAL_DER_FEV_2023!D67</f>
        <v>0</v>
      </c>
      <c r="E67" s="907">
        <f>GLOBAL_DER_FEV_2023!E67</f>
        <v>0</v>
      </c>
      <c r="F67" s="908">
        <f>GLOBAL_DER_FEV_2023!F67</f>
        <v>0</v>
      </c>
      <c r="G67" s="912">
        <f>GLOBAL_DER_FEV_2023!G67</f>
        <v>0</v>
      </c>
      <c r="H67" s="901">
        <f>GLOBAL_DER_FEV_2023!H67</f>
        <v>0</v>
      </c>
      <c r="I67" s="901">
        <f>GLOBAL_DER_FEV_2023!I67</f>
        <v>0</v>
      </c>
      <c r="J67" s="890">
        <f>GLOBAL_DER_FEV_2023!J67</f>
        <v>0</v>
      </c>
      <c r="K67" s="903" t="str">
        <f>GLOBAL_DER_FEV_2023!K67</f>
        <v xml:space="preserve">     </v>
      </c>
      <c r="L67" s="1137"/>
      <c r="M67" s="1140">
        <f t="shared" si="3"/>
        <v>0</v>
      </c>
      <c r="N67" s="584">
        <f t="shared" si="5"/>
        <v>0</v>
      </c>
      <c r="O67" s="905"/>
      <c r="Q67" s="317" t="str">
        <f t="shared" si="0"/>
        <v/>
      </c>
      <c r="R67" s="317" t="str">
        <f t="shared" si="1"/>
        <v/>
      </c>
      <c r="S67" s="317" t="str">
        <f t="shared" si="2"/>
        <v/>
      </c>
      <c r="T67" s="317" t="str">
        <f>GLOBAL_DER_FEV_2023!S67</f>
        <v/>
      </c>
      <c r="W67" s="582">
        <v>0</v>
      </c>
      <c r="X67" s="580"/>
      <c r="Y67" s="583">
        <f>IF(GLOBAL_DER_FEV_2023!W67=0,0,IF(GLOBAL_DER_FEV_2023!W67&gt;0,"c","b"))</f>
        <v>0</v>
      </c>
    </row>
    <row r="68" spans="1:25" ht="15" hidden="1" customHeight="1" thickBot="1" x14ac:dyDescent="0.25">
      <c r="A68" s="640" t="s">
        <v>165</v>
      </c>
      <c r="B68" s="1142" t="str">
        <f>GLOBAL_DER_FEV_2023!B68</f>
        <v/>
      </c>
      <c r="C68" s="1143" t="str">
        <f>GLOBAL_DER_FEV_2023!C68</f>
        <v/>
      </c>
      <c r="D68" s="1144">
        <f>GLOBAL_DER_FEV_2023!D68</f>
        <v>0</v>
      </c>
      <c r="E68" s="907">
        <f>GLOBAL_DER_FEV_2023!E68</f>
        <v>0</v>
      </c>
      <c r="F68" s="908">
        <f>GLOBAL_DER_FEV_2023!F68</f>
        <v>0</v>
      </c>
      <c r="G68" s="968">
        <f>GLOBAL_DER_FEV_2023!G68</f>
        <v>0</v>
      </c>
      <c r="H68" s="940">
        <f>GLOBAL_DER_FEV_2023!H68</f>
        <v>0</v>
      </c>
      <c r="I68" s="940">
        <f>GLOBAL_DER_FEV_2023!I68</f>
        <v>0</v>
      </c>
      <c r="J68" s="941">
        <f>GLOBAL_DER_FEV_2023!J68</f>
        <v>0</v>
      </c>
      <c r="K68" s="970" t="str">
        <f>GLOBAL_DER_FEV_2023!K68</f>
        <v xml:space="preserve">     </v>
      </c>
      <c r="L68" s="1145"/>
      <c r="M68" s="1146">
        <f t="shared" si="3"/>
        <v>0</v>
      </c>
      <c r="N68" s="584">
        <f t="shared" si="5"/>
        <v>0</v>
      </c>
      <c r="O68" s="905"/>
      <c r="Q68" s="317" t="str">
        <f t="shared" si="0"/>
        <v/>
      </c>
      <c r="R68" s="317" t="str">
        <f t="shared" si="1"/>
        <v/>
      </c>
      <c r="S68" s="317" t="str">
        <f t="shared" si="2"/>
        <v/>
      </c>
      <c r="T68" s="317" t="str">
        <f>GLOBAL_DER_FEV_2023!S68</f>
        <v/>
      </c>
      <c r="W68" s="582">
        <v>0</v>
      </c>
      <c r="X68" s="580"/>
      <c r="Y68" s="583">
        <f>IF(GLOBAL_DER_FEV_2023!W68=0,0,IF(GLOBAL_DER_FEV_2023!W68&gt;0,"c","b"))</f>
        <v>0</v>
      </c>
    </row>
    <row r="69" spans="1:25" ht="15" hidden="1" customHeight="1" thickBot="1" x14ac:dyDescent="0.25">
      <c r="A69" s="317" t="s">
        <v>167</v>
      </c>
      <c r="B69" s="1147" t="s">
        <v>167</v>
      </c>
      <c r="C69" s="873"/>
      <c r="D69" s="952" t="s">
        <v>428</v>
      </c>
      <c r="E69" s="943"/>
      <c r="F69" s="1148">
        <f>GLOBAL_DER_FEV_2023!F69</f>
        <v>0</v>
      </c>
      <c r="G69" s="944">
        <f>GLOBAL_DER_FEV_2023!G69</f>
        <v>0</v>
      </c>
      <c r="H69" s="945">
        <f>GLOBAL_DER_FEV_2023!H69</f>
        <v>0</v>
      </c>
      <c r="I69" s="945">
        <f>GLOBAL_DER_FEV_2023!I69</f>
        <v>0</v>
      </c>
      <c r="J69" s="945">
        <f>GLOBAL_DER_FEV_2023!J69</f>
        <v>0</v>
      </c>
      <c r="K69" s="878" t="s">
        <v>507</v>
      </c>
      <c r="L69" s="879"/>
      <c r="M69" s="1149">
        <f t="shared" si="3"/>
        <v>0</v>
      </c>
      <c r="N69" s="881">
        <f t="shared" si="5"/>
        <v>0</v>
      </c>
      <c r="O69" s="882">
        <f>SUM(N70:N116)</f>
        <v>0</v>
      </c>
      <c r="P69" s="58" t="str">
        <f>IF(OR(O69&gt;0,O69&gt;0),"X","")</f>
        <v/>
      </c>
      <c r="Q69" s="317" t="str">
        <f t="shared" si="0"/>
        <v/>
      </c>
      <c r="R69" s="317" t="str">
        <f t="shared" si="1"/>
        <v/>
      </c>
      <c r="S69" s="317" t="str">
        <f t="shared" si="2"/>
        <v/>
      </c>
      <c r="T69" s="317" t="str">
        <f>GLOBAL_DER_FEV_2023!S69</f>
        <v/>
      </c>
      <c r="W69" s="582">
        <v>0</v>
      </c>
      <c r="X69" s="580"/>
      <c r="Y69" s="583">
        <f>IF(GLOBAL_DER_FEV_2023!W69=0,0,IF(GLOBAL_DER_FEV_2023!W69&gt;0,"c","b"))</f>
        <v>0</v>
      </c>
    </row>
    <row r="70" spans="1:25" ht="15" hidden="1" customHeight="1" x14ac:dyDescent="0.2">
      <c r="A70" s="317">
        <v>400500</v>
      </c>
      <c r="B70" s="895" t="s">
        <v>1528</v>
      </c>
      <c r="C70" s="884" t="s">
        <v>184</v>
      </c>
      <c r="D70" s="946" t="s">
        <v>176</v>
      </c>
      <c r="E70" s="1031">
        <f>GLOBAL_DER_FEV_2023!E70</f>
        <v>150</v>
      </c>
      <c r="F70" s="947">
        <f>GLOBAL_DER_FEV_2023!F70</f>
        <v>1.73</v>
      </c>
      <c r="G70" s="948">
        <f>GLOBAL_DER_FEV_2023!G70</f>
        <v>282.3014</v>
      </c>
      <c r="H70" s="889">
        <f>GLOBAL_DER_FEV_2023!H70</f>
        <v>83.83</v>
      </c>
      <c r="I70" s="889">
        <f>GLOBAL_DER_FEV_2023!I70</f>
        <v>366.13139999999999</v>
      </c>
      <c r="J70" s="890">
        <f>GLOBAL_DER_FEV_2023!J70</f>
        <v>439.61</v>
      </c>
      <c r="K70" s="891" t="s">
        <v>10</v>
      </c>
      <c r="L70" s="1137"/>
      <c r="M70" s="1138">
        <f t="shared" si="3"/>
        <v>0</v>
      </c>
      <c r="N70" s="932">
        <f t="shared" si="5"/>
        <v>0</v>
      </c>
      <c r="O70" s="905"/>
      <c r="Q70" s="317" t="str">
        <f t="shared" si="0"/>
        <v/>
      </c>
      <c r="R70" s="317" t="str">
        <f t="shared" si="1"/>
        <v/>
      </c>
      <c r="S70" s="317" t="str">
        <f t="shared" si="2"/>
        <v/>
      </c>
      <c r="T70" s="317" t="str">
        <f>GLOBAL_DER_FEV_2023!S70</f>
        <v/>
      </c>
      <c r="W70" s="582">
        <v>0</v>
      </c>
      <c r="X70" s="580"/>
      <c r="Y70" s="583">
        <f>IF(GLOBAL_DER_FEV_2023!W70=0,0,IF(GLOBAL_DER_FEV_2023!W70&gt;0,"c","b"))</f>
        <v>0</v>
      </c>
    </row>
    <row r="71" spans="1:25" ht="15" hidden="1" customHeight="1" x14ac:dyDescent="0.2">
      <c r="A71" s="317">
        <v>401200</v>
      </c>
      <c r="B71" s="895">
        <v>401200</v>
      </c>
      <c r="C71" s="896" t="s">
        <v>184</v>
      </c>
      <c r="D71" s="906" t="s">
        <v>173</v>
      </c>
      <c r="E71" s="907">
        <f>GLOBAL_DER_FEV_2023!E71</f>
        <v>0</v>
      </c>
      <c r="F71" s="908">
        <f>GLOBAL_DER_FEV_2023!F71</f>
        <v>0</v>
      </c>
      <c r="G71" s="909">
        <f>GLOBAL_DER_FEV_2023!G71</f>
        <v>0</v>
      </c>
      <c r="H71" s="889">
        <f>GLOBAL_DER_FEV_2023!H71</f>
        <v>1.55</v>
      </c>
      <c r="I71" s="901">
        <f>GLOBAL_DER_FEV_2023!I71</f>
        <v>1.55</v>
      </c>
      <c r="J71" s="902">
        <f>GLOBAL_DER_FEV_2023!J71</f>
        <v>1.86</v>
      </c>
      <c r="K71" s="903" t="s">
        <v>10</v>
      </c>
      <c r="L71" s="1137"/>
      <c r="M71" s="1138">
        <f t="shared" si="3"/>
        <v>0</v>
      </c>
      <c r="N71" s="893">
        <f t="shared" si="5"/>
        <v>0</v>
      </c>
      <c r="O71" s="905"/>
      <c r="Q71" s="317" t="str">
        <f t="shared" si="0"/>
        <v/>
      </c>
      <c r="R71" s="317" t="str">
        <f t="shared" si="1"/>
        <v/>
      </c>
      <c r="S71" s="317" t="str">
        <f t="shared" si="2"/>
        <v/>
      </c>
      <c r="T71" s="317" t="str">
        <f>GLOBAL_DER_FEV_2023!S71</f>
        <v/>
      </c>
      <c r="W71" s="582">
        <v>0</v>
      </c>
      <c r="X71" s="580"/>
      <c r="Y71" s="583">
        <f>IF(GLOBAL_DER_FEV_2023!W71=0,0,IF(GLOBAL_DER_FEV_2023!W71&gt;0,"c","b"))</f>
        <v>0</v>
      </c>
    </row>
    <row r="72" spans="1:25" ht="15" hidden="1" customHeight="1" x14ac:dyDescent="0.2">
      <c r="A72" s="317">
        <v>401000</v>
      </c>
      <c r="B72" s="895">
        <v>401000</v>
      </c>
      <c r="C72" s="896" t="s">
        <v>184</v>
      </c>
      <c r="D72" s="906" t="s">
        <v>175</v>
      </c>
      <c r="E72" s="907">
        <f>GLOBAL_DER_FEV_2023!E72</f>
        <v>0</v>
      </c>
      <c r="F72" s="908">
        <f>GLOBAL_DER_FEV_2023!F72</f>
        <v>0</v>
      </c>
      <c r="G72" s="909">
        <f>GLOBAL_DER_FEV_2023!G72</f>
        <v>0</v>
      </c>
      <c r="H72" s="889">
        <f>GLOBAL_DER_FEV_2023!H72</f>
        <v>6.67</v>
      </c>
      <c r="I72" s="901">
        <f>GLOBAL_DER_FEV_2023!I72</f>
        <v>6.67</v>
      </c>
      <c r="J72" s="902">
        <f>GLOBAL_DER_FEV_2023!J72</f>
        <v>8.01</v>
      </c>
      <c r="K72" s="903" t="s">
        <v>10</v>
      </c>
      <c r="L72" s="1137"/>
      <c r="M72" s="1138">
        <f t="shared" si="3"/>
        <v>0</v>
      </c>
      <c r="N72" s="893">
        <f t="shared" si="5"/>
        <v>0</v>
      </c>
      <c r="O72" s="905"/>
      <c r="Q72" s="317" t="str">
        <f t="shared" si="0"/>
        <v/>
      </c>
      <c r="R72" s="317" t="str">
        <f t="shared" si="1"/>
        <v/>
      </c>
      <c r="S72" s="317" t="str">
        <f t="shared" si="2"/>
        <v/>
      </c>
      <c r="T72" s="317" t="str">
        <f>GLOBAL_DER_FEV_2023!S72</f>
        <v/>
      </c>
      <c r="W72" s="582">
        <v>0</v>
      </c>
      <c r="X72" s="580"/>
      <c r="Y72" s="583">
        <f>IF(GLOBAL_DER_FEV_2023!W72=0,0,IF(GLOBAL_DER_FEV_2023!W72&gt;0,"c","b"))</f>
        <v>0</v>
      </c>
    </row>
    <row r="73" spans="1:25" ht="15" hidden="1" customHeight="1" x14ac:dyDescent="0.2">
      <c r="A73" s="317">
        <v>401950</v>
      </c>
      <c r="B73" s="895">
        <v>401950</v>
      </c>
      <c r="C73" s="896" t="s">
        <v>184</v>
      </c>
      <c r="D73" s="906" t="s">
        <v>174</v>
      </c>
      <c r="E73" s="907">
        <f>GLOBAL_DER_FEV_2023!E73</f>
        <v>0</v>
      </c>
      <c r="F73" s="908">
        <f>GLOBAL_DER_FEV_2023!F73</f>
        <v>0</v>
      </c>
      <c r="G73" s="909">
        <f>GLOBAL_DER_FEV_2023!G73</f>
        <v>0</v>
      </c>
      <c r="H73" s="889">
        <f>GLOBAL_DER_FEV_2023!H73</f>
        <v>5.54</v>
      </c>
      <c r="I73" s="901">
        <f>GLOBAL_DER_FEV_2023!I73</f>
        <v>5.54</v>
      </c>
      <c r="J73" s="902">
        <f>GLOBAL_DER_FEV_2023!J73</f>
        <v>6.65</v>
      </c>
      <c r="K73" s="903" t="s">
        <v>10</v>
      </c>
      <c r="L73" s="1137"/>
      <c r="M73" s="1138">
        <f t="shared" si="3"/>
        <v>0</v>
      </c>
      <c r="N73" s="893">
        <f t="shared" si="5"/>
        <v>0</v>
      </c>
      <c r="O73" s="905"/>
      <c r="Q73" s="317" t="str">
        <f t="shared" si="0"/>
        <v/>
      </c>
      <c r="R73" s="317" t="str">
        <f t="shared" si="1"/>
        <v/>
      </c>
      <c r="S73" s="317" t="str">
        <f t="shared" si="2"/>
        <v/>
      </c>
      <c r="T73" s="317" t="str">
        <f>GLOBAL_DER_FEV_2023!S73</f>
        <v/>
      </c>
      <c r="W73" s="582">
        <v>0</v>
      </c>
      <c r="X73" s="580"/>
      <c r="Y73" s="583">
        <f>IF(GLOBAL_DER_FEV_2023!W73=0,0,IF(GLOBAL_DER_FEV_2023!W73&gt;0,"c","b"))</f>
        <v>0</v>
      </c>
    </row>
    <row r="74" spans="1:25" ht="15" hidden="1" customHeight="1" x14ac:dyDescent="0.2">
      <c r="A74" s="317">
        <v>400000</v>
      </c>
      <c r="B74" s="895">
        <v>400000</v>
      </c>
      <c r="C74" s="896" t="s">
        <v>184</v>
      </c>
      <c r="D74" s="906" t="s">
        <v>169</v>
      </c>
      <c r="E74" s="907">
        <f>GLOBAL_DER_FEV_2023!E74</f>
        <v>0</v>
      </c>
      <c r="F74" s="908">
        <f>GLOBAL_DER_FEV_2023!F74</f>
        <v>0</v>
      </c>
      <c r="G74" s="909">
        <f>GLOBAL_DER_FEV_2023!G74</f>
        <v>0</v>
      </c>
      <c r="H74" s="889">
        <f>GLOBAL_DER_FEV_2023!H74</f>
        <v>1.1400000000000001</v>
      </c>
      <c r="I74" s="901">
        <f>GLOBAL_DER_FEV_2023!I74</f>
        <v>1.1400000000000001</v>
      </c>
      <c r="J74" s="902">
        <f>GLOBAL_DER_FEV_2023!J74</f>
        <v>1.37</v>
      </c>
      <c r="K74" s="903" t="s">
        <v>12</v>
      </c>
      <c r="L74" s="1137"/>
      <c r="M74" s="1138">
        <f t="shared" si="3"/>
        <v>0</v>
      </c>
      <c r="N74" s="893">
        <f t="shared" si="5"/>
        <v>0</v>
      </c>
      <c r="O74" s="905"/>
      <c r="P74" s="58"/>
      <c r="Q74" s="317" t="str">
        <f t="shared" si="0"/>
        <v/>
      </c>
      <c r="R74" s="317" t="str">
        <f t="shared" si="1"/>
        <v/>
      </c>
      <c r="S74" s="317" t="str">
        <f t="shared" si="2"/>
        <v/>
      </c>
      <c r="T74" s="317" t="str">
        <f>GLOBAL_DER_FEV_2023!S74</f>
        <v/>
      </c>
      <c r="W74" s="582">
        <v>0</v>
      </c>
      <c r="X74" s="580"/>
      <c r="Y74" s="583">
        <f>IF(GLOBAL_DER_FEV_2023!W74=0,0,IF(GLOBAL_DER_FEV_2023!W74&gt;0,"c","b"))</f>
        <v>0</v>
      </c>
    </row>
    <row r="75" spans="1:25" ht="15" hidden="1" customHeight="1" x14ac:dyDescent="0.2">
      <c r="A75" s="317">
        <v>400300</v>
      </c>
      <c r="B75" s="895">
        <v>400300</v>
      </c>
      <c r="C75" s="896" t="s">
        <v>184</v>
      </c>
      <c r="D75" s="906" t="s">
        <v>170</v>
      </c>
      <c r="E75" s="907">
        <f>GLOBAL_DER_FEV_2023!E75</f>
        <v>0</v>
      </c>
      <c r="F75" s="908">
        <f>GLOBAL_DER_FEV_2023!F75</f>
        <v>0</v>
      </c>
      <c r="G75" s="909">
        <f>GLOBAL_DER_FEV_2023!G75</f>
        <v>0</v>
      </c>
      <c r="H75" s="889">
        <f>GLOBAL_DER_FEV_2023!H75</f>
        <v>49.34</v>
      </c>
      <c r="I75" s="901">
        <f>GLOBAL_DER_FEV_2023!I75</f>
        <v>49.34</v>
      </c>
      <c r="J75" s="902">
        <f>GLOBAL_DER_FEV_2023!J75</f>
        <v>59.24</v>
      </c>
      <c r="K75" s="903" t="s">
        <v>15</v>
      </c>
      <c r="L75" s="1137"/>
      <c r="M75" s="1138">
        <f t="shared" si="3"/>
        <v>0</v>
      </c>
      <c r="N75" s="893">
        <f t="shared" si="5"/>
        <v>0</v>
      </c>
      <c r="O75" s="905"/>
      <c r="P75" s="58"/>
      <c r="Q75" s="317" t="str">
        <f t="shared" si="0"/>
        <v/>
      </c>
      <c r="R75" s="317" t="str">
        <f t="shared" si="1"/>
        <v/>
      </c>
      <c r="S75" s="317" t="str">
        <f t="shared" si="2"/>
        <v/>
      </c>
      <c r="T75" s="317" t="str">
        <f>GLOBAL_DER_FEV_2023!S75</f>
        <v/>
      </c>
      <c r="W75" s="582">
        <v>0</v>
      </c>
      <c r="X75" s="580"/>
      <c r="Y75" s="583">
        <f>IF(GLOBAL_DER_FEV_2023!W75=0,0,IF(GLOBAL_DER_FEV_2023!W75&gt;0,"c","b"))</f>
        <v>0</v>
      </c>
    </row>
    <row r="76" spans="1:25" ht="15" hidden="1" customHeight="1" x14ac:dyDescent="0.2">
      <c r="A76" s="317">
        <v>511130</v>
      </c>
      <c r="B76" s="895" t="s">
        <v>1544</v>
      </c>
      <c r="C76" s="896" t="s">
        <v>184</v>
      </c>
      <c r="D76" s="906" t="s">
        <v>447</v>
      </c>
      <c r="E76" s="907">
        <f>GLOBAL_DER_FEV_2023!E76</f>
        <v>0</v>
      </c>
      <c r="F76" s="908">
        <f>GLOBAL_DER_FEV_2023!F76</f>
        <v>0</v>
      </c>
      <c r="G76" s="909">
        <f>GLOBAL_DER_FEV_2023!G76</f>
        <v>0</v>
      </c>
      <c r="H76" s="889">
        <f>GLOBAL_DER_FEV_2023!H76</f>
        <v>1.23</v>
      </c>
      <c r="I76" s="901">
        <f>GLOBAL_DER_FEV_2023!I76</f>
        <v>1.23</v>
      </c>
      <c r="J76" s="902">
        <f>GLOBAL_DER_FEV_2023!J76</f>
        <v>1.48</v>
      </c>
      <c r="K76" s="903" t="s">
        <v>10</v>
      </c>
      <c r="L76" s="1137"/>
      <c r="M76" s="1138">
        <f t="shared" si="3"/>
        <v>0</v>
      </c>
      <c r="N76" s="893">
        <f t="shared" si="5"/>
        <v>0</v>
      </c>
      <c r="O76" s="905"/>
      <c r="P76" s="59"/>
      <c r="Q76" s="317" t="str">
        <f t="shared" si="0"/>
        <v/>
      </c>
      <c r="R76" s="317" t="str">
        <f t="shared" si="1"/>
        <v/>
      </c>
      <c r="S76" s="317" t="str">
        <f t="shared" si="2"/>
        <v/>
      </c>
      <c r="T76" s="317" t="str">
        <f>GLOBAL_DER_FEV_2023!S76</f>
        <v/>
      </c>
      <c r="W76" s="582">
        <v>0</v>
      </c>
      <c r="X76" s="580"/>
      <c r="Y76" s="583">
        <f>IF(GLOBAL_DER_FEV_2023!W76=0,0,IF(GLOBAL_DER_FEV_2023!W76&gt;0,"c","b"))</f>
        <v>0</v>
      </c>
    </row>
    <row r="77" spans="1:25" ht="15" hidden="1" customHeight="1" x14ac:dyDescent="0.2">
      <c r="A77" s="317">
        <v>501000</v>
      </c>
      <c r="B77" s="895">
        <v>501000</v>
      </c>
      <c r="C77" s="896" t="s">
        <v>184</v>
      </c>
      <c r="D77" s="906" t="s">
        <v>446</v>
      </c>
      <c r="E77" s="907">
        <f>GLOBAL_DER_FEV_2023!E77</f>
        <v>2</v>
      </c>
      <c r="F77" s="908">
        <f>GLOBAL_DER_FEV_2023!F77</f>
        <v>1.8</v>
      </c>
      <c r="G77" s="909">
        <f>GLOBAL_DER_FEV_2023!G77</f>
        <v>8.6760000000000002</v>
      </c>
      <c r="H77" s="889">
        <f>GLOBAL_DER_FEV_2023!H77</f>
        <v>6.04</v>
      </c>
      <c r="I77" s="901">
        <f>GLOBAL_DER_FEV_2023!I77</f>
        <v>14.716000000000001</v>
      </c>
      <c r="J77" s="902">
        <f>GLOBAL_DER_FEV_2023!J77</f>
        <v>17.670000000000002</v>
      </c>
      <c r="K77" s="903" t="s">
        <v>10</v>
      </c>
      <c r="L77" s="1137"/>
      <c r="M77" s="1138">
        <f t="shared" si="3"/>
        <v>0</v>
      </c>
      <c r="N77" s="893">
        <f t="shared" si="5"/>
        <v>0</v>
      </c>
      <c r="O77" s="905"/>
      <c r="P77" s="59"/>
      <c r="Q77" s="317" t="str">
        <f t="shared" si="0"/>
        <v/>
      </c>
      <c r="R77" s="317" t="str">
        <f t="shared" si="1"/>
        <v/>
      </c>
      <c r="S77" s="317" t="str">
        <f t="shared" si="2"/>
        <v/>
      </c>
      <c r="T77" s="317" t="str">
        <f>GLOBAL_DER_FEV_2023!S77</f>
        <v/>
      </c>
      <c r="W77" s="582">
        <v>0</v>
      </c>
      <c r="X77" s="580"/>
      <c r="Y77" s="583">
        <f>IF(GLOBAL_DER_FEV_2023!W77=0,0,IF(GLOBAL_DER_FEV_2023!W77&gt;0,"c","b"))</f>
        <v>0</v>
      </c>
    </row>
    <row r="78" spans="1:25" ht="15" hidden="1" customHeight="1" x14ac:dyDescent="0.2">
      <c r="A78" s="317">
        <v>101114</v>
      </c>
      <c r="B78" s="895">
        <v>101114</v>
      </c>
      <c r="C78" s="896" t="s">
        <v>596</v>
      </c>
      <c r="D78" s="906" t="s">
        <v>1906</v>
      </c>
      <c r="E78" s="907">
        <f>GLOBAL_DER_FEV_2023!E78</f>
        <v>0</v>
      </c>
      <c r="F78" s="908">
        <f>GLOBAL_DER_FEV_2023!F78</f>
        <v>0</v>
      </c>
      <c r="G78" s="909">
        <f>GLOBAL_DER_FEV_2023!G78</f>
        <v>0</v>
      </c>
      <c r="H78" s="889">
        <f>GLOBAL_DER_FEV_2023!H78</f>
        <v>4.37</v>
      </c>
      <c r="I78" s="901">
        <f>GLOBAL_DER_FEV_2023!I78</f>
        <v>4.37</v>
      </c>
      <c r="J78" s="902">
        <f>GLOBAL_DER_FEV_2023!J78</f>
        <v>5.25</v>
      </c>
      <c r="K78" s="903" t="s">
        <v>10</v>
      </c>
      <c r="L78" s="1137"/>
      <c r="M78" s="1138">
        <f t="shared" si="3"/>
        <v>0</v>
      </c>
      <c r="N78" s="893">
        <f t="shared" si="5"/>
        <v>0</v>
      </c>
      <c r="O78" s="905"/>
      <c r="Q78" s="317" t="str">
        <f t="shared" si="0"/>
        <v/>
      </c>
      <c r="R78" s="317" t="str">
        <f t="shared" si="1"/>
        <v/>
      </c>
      <c r="S78" s="317" t="str">
        <f t="shared" si="2"/>
        <v/>
      </c>
      <c r="T78" s="317" t="str">
        <f>GLOBAL_DER_FEV_2023!S78</f>
        <v/>
      </c>
      <c r="W78" s="582">
        <v>0</v>
      </c>
      <c r="X78" s="580"/>
      <c r="Y78" s="583">
        <f>IF(GLOBAL_DER_FEV_2023!W78=0,0,IF(GLOBAL_DER_FEV_2023!W78&gt;0,"c","b"))</f>
        <v>0</v>
      </c>
    </row>
    <row r="79" spans="1:25" ht="15" hidden="1" customHeight="1" x14ac:dyDescent="0.2">
      <c r="A79" s="317">
        <v>101119</v>
      </c>
      <c r="B79" s="895">
        <v>101119</v>
      </c>
      <c r="C79" s="896" t="s">
        <v>596</v>
      </c>
      <c r="D79" s="906" t="s">
        <v>1907</v>
      </c>
      <c r="E79" s="907">
        <f>GLOBAL_DER_FEV_2023!E79</f>
        <v>0</v>
      </c>
      <c r="F79" s="908">
        <f>GLOBAL_DER_FEV_2023!F79</f>
        <v>0</v>
      </c>
      <c r="G79" s="909">
        <f>GLOBAL_DER_FEV_2023!G79</f>
        <v>0</v>
      </c>
      <c r="H79" s="889">
        <f>GLOBAL_DER_FEV_2023!H79</f>
        <v>8.36</v>
      </c>
      <c r="I79" s="901">
        <f>GLOBAL_DER_FEV_2023!I79</f>
        <v>8.36</v>
      </c>
      <c r="J79" s="902">
        <f>GLOBAL_DER_FEV_2023!J79</f>
        <v>10.039999999999999</v>
      </c>
      <c r="K79" s="903" t="s">
        <v>10</v>
      </c>
      <c r="L79" s="1137"/>
      <c r="M79" s="1138">
        <f t="shared" si="3"/>
        <v>0</v>
      </c>
      <c r="N79" s="893">
        <f t="shared" si="5"/>
        <v>0</v>
      </c>
      <c r="O79" s="905"/>
      <c r="Q79" s="317" t="str">
        <f t="shared" si="0"/>
        <v/>
      </c>
      <c r="R79" s="317" t="str">
        <f t="shared" si="1"/>
        <v/>
      </c>
      <c r="S79" s="317" t="str">
        <f t="shared" si="2"/>
        <v/>
      </c>
      <c r="T79" s="317" t="str">
        <f>GLOBAL_DER_FEV_2023!S79</f>
        <v/>
      </c>
      <c r="W79" s="582">
        <v>0</v>
      </c>
      <c r="X79" s="580"/>
      <c r="Y79" s="583">
        <f>IF(GLOBAL_DER_FEV_2023!W79=0,0,IF(GLOBAL_DER_FEV_2023!W79&gt;0,"c","b"))</f>
        <v>0</v>
      </c>
    </row>
    <row r="80" spans="1:25" ht="15" hidden="1" customHeight="1" x14ac:dyDescent="0.2">
      <c r="A80" s="317">
        <v>430010</v>
      </c>
      <c r="B80" s="895">
        <v>430210</v>
      </c>
      <c r="C80" s="896" t="s">
        <v>184</v>
      </c>
      <c r="D80" s="906" t="s">
        <v>1908</v>
      </c>
      <c r="E80" s="907">
        <f>GLOBAL_DER_FEV_2023!E80</f>
        <v>0</v>
      </c>
      <c r="F80" s="908">
        <f>GLOBAL_DER_FEV_2023!F80</f>
        <v>0</v>
      </c>
      <c r="G80" s="909">
        <f>GLOBAL_DER_FEV_2023!G80</f>
        <v>0</v>
      </c>
      <c r="H80" s="889">
        <f>GLOBAL_DER_FEV_2023!H80</f>
        <v>40.54</v>
      </c>
      <c r="I80" s="901">
        <f>GLOBAL_DER_FEV_2023!I80</f>
        <v>40.54</v>
      </c>
      <c r="J80" s="902">
        <f>GLOBAL_DER_FEV_2023!J80</f>
        <v>48.68</v>
      </c>
      <c r="K80" s="903" t="s">
        <v>10</v>
      </c>
      <c r="L80" s="1137"/>
      <c r="M80" s="1138">
        <f t="shared" si="3"/>
        <v>0</v>
      </c>
      <c r="N80" s="893">
        <f t="shared" si="5"/>
        <v>0</v>
      </c>
      <c r="O80" s="905"/>
      <c r="Q80" s="317" t="str">
        <f t="shared" si="0"/>
        <v/>
      </c>
      <c r="R80" s="317" t="str">
        <f t="shared" si="1"/>
        <v/>
      </c>
      <c r="S80" s="317" t="str">
        <f t="shared" si="2"/>
        <v/>
      </c>
      <c r="T80" s="317" t="str">
        <f>GLOBAL_DER_FEV_2023!S80</f>
        <v/>
      </c>
      <c r="W80" s="582">
        <v>0</v>
      </c>
      <c r="X80" s="580"/>
      <c r="Y80" s="583">
        <f>IF(GLOBAL_DER_FEV_2023!W80=0,0,IF(GLOBAL_DER_FEV_2023!W80&gt;0,"c","b"))</f>
        <v>0</v>
      </c>
    </row>
    <row r="81" spans="1:25" ht="15" hidden="1" customHeight="1" x14ac:dyDescent="0.2">
      <c r="A81" s="317" t="s">
        <v>1901</v>
      </c>
      <c r="B81" s="895" t="str">
        <f>GLOBAL_DER_FEV_2023!B81</f>
        <v>02.105.000040.SER</v>
      </c>
      <c r="C81" s="896" t="str">
        <f>GLOBAL_DER_FEV_2023!C81</f>
        <v>PINI - fev/23</v>
      </c>
      <c r="D81" s="906" t="str">
        <f>GLOBAL_DER_FEV_2023!D81</f>
        <v>Carga de mat. 1a. cat./sem transporte</v>
      </c>
      <c r="E81" s="907">
        <f>GLOBAL_DER_FEV_2023!E81</f>
        <v>0</v>
      </c>
      <c r="F81" s="908">
        <f>GLOBAL_DER_FEV_2023!F81</f>
        <v>0</v>
      </c>
      <c r="G81" s="909">
        <f>GLOBAL_DER_FEV_2023!G81</f>
        <v>0</v>
      </c>
      <c r="H81" s="901">
        <f>GLOBAL_DER_FEV_2023!H81</f>
        <v>1.01</v>
      </c>
      <c r="I81" s="901">
        <f>GLOBAL_DER_FEV_2023!I81</f>
        <v>1.01</v>
      </c>
      <c r="J81" s="902">
        <f>GLOBAL_DER_FEV_2023!J81</f>
        <v>1.21</v>
      </c>
      <c r="K81" s="903" t="s">
        <v>1516</v>
      </c>
      <c r="L81" s="1137"/>
      <c r="M81" s="1138">
        <f t="shared" si="3"/>
        <v>0</v>
      </c>
      <c r="N81" s="893">
        <f t="shared" si="5"/>
        <v>0</v>
      </c>
      <c r="O81" s="905"/>
      <c r="Q81" s="317" t="str">
        <f t="shared" si="0"/>
        <v/>
      </c>
      <c r="R81" s="317" t="str">
        <f t="shared" si="1"/>
        <v/>
      </c>
      <c r="S81" s="317" t="str">
        <f t="shared" si="2"/>
        <v/>
      </c>
      <c r="T81" s="317" t="str">
        <f>GLOBAL_DER_FEV_2023!S81</f>
        <v/>
      </c>
      <c r="W81" s="582">
        <v>0</v>
      </c>
      <c r="X81" s="580"/>
      <c r="Y81" s="583">
        <f>IF(GLOBAL_DER_FEV_2023!W81=0,0,IF(GLOBAL_DER_FEV_2023!W81&gt;0,"c","b"))</f>
        <v>0</v>
      </c>
    </row>
    <row r="82" spans="1:25" ht="15" hidden="1" customHeight="1" x14ac:dyDescent="0.2">
      <c r="A82" s="317">
        <v>520100</v>
      </c>
      <c r="B82" s="895" t="s">
        <v>1545</v>
      </c>
      <c r="C82" s="896" t="s">
        <v>184</v>
      </c>
      <c r="D82" s="906" t="s">
        <v>1903</v>
      </c>
      <c r="E82" s="907">
        <f>GLOBAL_DER_FEV_2023!E82</f>
        <v>0</v>
      </c>
      <c r="F82" s="908">
        <f>GLOBAL_DER_FEV_2023!F82</f>
        <v>0</v>
      </c>
      <c r="G82" s="909">
        <f>GLOBAL_DER_FEV_2023!G82</f>
        <v>0</v>
      </c>
      <c r="H82" s="889">
        <f>GLOBAL_DER_FEV_2023!H82</f>
        <v>5.45</v>
      </c>
      <c r="I82" s="901">
        <f>GLOBAL_DER_FEV_2023!I82</f>
        <v>5.45</v>
      </c>
      <c r="J82" s="902">
        <f>GLOBAL_DER_FEV_2023!J82</f>
        <v>6.54</v>
      </c>
      <c r="K82" s="903" t="s">
        <v>10</v>
      </c>
      <c r="L82" s="1137"/>
      <c r="M82" s="1138">
        <f t="shared" si="3"/>
        <v>0</v>
      </c>
      <c r="N82" s="893">
        <f t="shared" si="5"/>
        <v>0</v>
      </c>
      <c r="O82" s="905"/>
      <c r="Q82" s="317" t="str">
        <f t="shared" si="0"/>
        <v/>
      </c>
      <c r="R82" s="317" t="str">
        <f t="shared" si="1"/>
        <v/>
      </c>
      <c r="S82" s="317" t="str">
        <f t="shared" si="2"/>
        <v/>
      </c>
      <c r="T82" s="317" t="str">
        <f>GLOBAL_DER_FEV_2023!S82</f>
        <v/>
      </c>
      <c r="W82" s="582">
        <v>0</v>
      </c>
      <c r="X82" s="580"/>
      <c r="Y82" s="583">
        <f>IF(GLOBAL_DER_FEV_2023!W82=0,0,IF(GLOBAL_DER_FEV_2023!W82&gt;0,"c","b"))</f>
        <v>0</v>
      </c>
    </row>
    <row r="83" spans="1:25" ht="15" hidden="1" customHeight="1" x14ac:dyDescent="0.2">
      <c r="A83" s="317">
        <v>520200</v>
      </c>
      <c r="B83" s="895" t="s">
        <v>1546</v>
      </c>
      <c r="C83" s="896" t="s">
        <v>184</v>
      </c>
      <c r="D83" s="906" t="s">
        <v>1904</v>
      </c>
      <c r="E83" s="907">
        <f>GLOBAL_DER_FEV_2023!E83</f>
        <v>0</v>
      </c>
      <c r="F83" s="908">
        <f>GLOBAL_DER_FEV_2023!F83</f>
        <v>0</v>
      </c>
      <c r="G83" s="909">
        <f>GLOBAL_DER_FEV_2023!G83</f>
        <v>0</v>
      </c>
      <c r="H83" s="889">
        <f>GLOBAL_DER_FEV_2023!H83</f>
        <v>6.66</v>
      </c>
      <c r="I83" s="901">
        <f>GLOBAL_DER_FEV_2023!I83</f>
        <v>6.66</v>
      </c>
      <c r="J83" s="902">
        <f>GLOBAL_DER_FEV_2023!J83</f>
        <v>8</v>
      </c>
      <c r="K83" s="903" t="s">
        <v>10</v>
      </c>
      <c r="L83" s="1137"/>
      <c r="M83" s="1138">
        <f t="shared" si="3"/>
        <v>0</v>
      </c>
      <c r="N83" s="893">
        <f t="shared" si="5"/>
        <v>0</v>
      </c>
      <c r="O83" s="905"/>
      <c r="Q83" s="317" t="str">
        <f t="shared" ref="Q83:Q146" si="6">IF(P83="X","x",IF(P83="xx","x",IF(P83="xy","x",IF(P83="y","x",IF(OR(N83&gt;0,N83&gt;0),"x","")))))</f>
        <v/>
      </c>
      <c r="R83" s="317" t="str">
        <f t="shared" si="1"/>
        <v/>
      </c>
      <c r="S83" s="317" t="str">
        <f t="shared" si="2"/>
        <v/>
      </c>
      <c r="T83" s="317" t="str">
        <f>GLOBAL_DER_FEV_2023!S83</f>
        <v/>
      </c>
      <c r="W83" s="582">
        <v>0</v>
      </c>
      <c r="X83" s="580"/>
      <c r="Y83" s="583">
        <f>IF(GLOBAL_DER_FEV_2023!W83=0,0,IF(GLOBAL_DER_FEV_2023!W83&gt;0,"c","b"))</f>
        <v>0</v>
      </c>
    </row>
    <row r="84" spans="1:25" ht="15" hidden="1" customHeight="1" x14ac:dyDescent="0.2">
      <c r="A84" s="317">
        <v>431010</v>
      </c>
      <c r="B84" s="895">
        <v>431010</v>
      </c>
      <c r="C84" s="896" t="s">
        <v>184</v>
      </c>
      <c r="D84" s="906" t="s">
        <v>1905</v>
      </c>
      <c r="E84" s="907">
        <f>GLOBAL_DER_FEV_2023!E84</f>
        <v>0</v>
      </c>
      <c r="F84" s="908">
        <f>GLOBAL_DER_FEV_2023!F84</f>
        <v>0</v>
      </c>
      <c r="G84" s="909">
        <f>GLOBAL_DER_FEV_2023!G84</f>
        <v>0</v>
      </c>
      <c r="H84" s="889">
        <f>GLOBAL_DER_FEV_2023!H84</f>
        <v>44.4</v>
      </c>
      <c r="I84" s="901">
        <f>GLOBAL_DER_FEV_2023!I84</f>
        <v>44.4</v>
      </c>
      <c r="J84" s="902">
        <f>GLOBAL_DER_FEV_2023!J84</f>
        <v>53.31</v>
      </c>
      <c r="K84" s="903" t="s">
        <v>10</v>
      </c>
      <c r="L84" s="1137"/>
      <c r="M84" s="1138">
        <f t="shared" ref="M84:M147" si="7">IF(L84=0,0,ROUND(J84,2))</f>
        <v>0</v>
      </c>
      <c r="N84" s="893">
        <f t="shared" si="5"/>
        <v>0</v>
      </c>
      <c r="O84" s="905"/>
      <c r="Q84" s="317" t="str">
        <f t="shared" si="6"/>
        <v/>
      </c>
      <c r="R84" s="317" t="str">
        <f t="shared" si="1"/>
        <v/>
      </c>
      <c r="S84" s="317" t="str">
        <f t="shared" si="2"/>
        <v/>
      </c>
      <c r="T84" s="317" t="str">
        <f>GLOBAL_DER_FEV_2023!S84</f>
        <v/>
      </c>
      <c r="W84" s="582">
        <v>0</v>
      </c>
      <c r="X84" s="580"/>
      <c r="Y84" s="583">
        <f>IF(GLOBAL_DER_FEV_2023!W84=0,0,IF(GLOBAL_DER_FEV_2023!W84&gt;0,"c","b"))</f>
        <v>0</v>
      </c>
    </row>
    <row r="85" spans="1:25" ht="15" hidden="1" customHeight="1" x14ac:dyDescent="0.2">
      <c r="A85" s="317">
        <v>520100</v>
      </c>
      <c r="B85" s="895" t="s">
        <v>1547</v>
      </c>
      <c r="C85" s="896" t="s">
        <v>184</v>
      </c>
      <c r="D85" s="906" t="s">
        <v>1909</v>
      </c>
      <c r="E85" s="907">
        <f>GLOBAL_DER_FEV_2023!E85</f>
        <v>2</v>
      </c>
      <c r="F85" s="908">
        <f>GLOBAL_DER_FEV_2023!F85</f>
        <v>1.5</v>
      </c>
      <c r="G85" s="909">
        <f>GLOBAL_DER_FEV_2023!G85</f>
        <v>7.23</v>
      </c>
      <c r="H85" s="889">
        <f>GLOBAL_DER_FEV_2023!H85</f>
        <v>5.45</v>
      </c>
      <c r="I85" s="901">
        <f>GLOBAL_DER_FEV_2023!I85</f>
        <v>12.68</v>
      </c>
      <c r="J85" s="902">
        <f>GLOBAL_DER_FEV_2023!J85</f>
        <v>15.22</v>
      </c>
      <c r="K85" s="903" t="s">
        <v>10</v>
      </c>
      <c r="L85" s="1137"/>
      <c r="M85" s="1138">
        <f t="shared" si="7"/>
        <v>0</v>
      </c>
      <c r="N85" s="893">
        <f t="shared" si="5"/>
        <v>0</v>
      </c>
      <c r="O85" s="905"/>
      <c r="Q85" s="317" t="str">
        <f t="shared" si="6"/>
        <v/>
      </c>
      <c r="R85" s="317" t="str">
        <f t="shared" ref="R85:R148" si="8">IF(P85="X","x",IF(P85="y","x",IF(P85="xx","x",IF(N85&gt;0,"x",""))))</f>
        <v/>
      </c>
      <c r="S85" s="317" t="str">
        <f t="shared" ref="S85:S148" si="9">IF(P85="X","x",IF(N85&gt;0,"x",""))</f>
        <v/>
      </c>
      <c r="T85" s="317" t="str">
        <f>GLOBAL_DER_FEV_2023!S85</f>
        <v/>
      </c>
      <c r="W85" s="582">
        <v>0</v>
      </c>
      <c r="X85" s="580"/>
      <c r="Y85" s="583">
        <f>IF(GLOBAL_DER_FEV_2023!W85=0,0,IF(GLOBAL_DER_FEV_2023!W85&gt;0,"c","b"))</f>
        <v>0</v>
      </c>
    </row>
    <row r="86" spans="1:25" ht="15" hidden="1" customHeight="1" x14ac:dyDescent="0.2">
      <c r="A86" s="317">
        <v>520200</v>
      </c>
      <c r="B86" s="895" t="s">
        <v>1548</v>
      </c>
      <c r="C86" s="896" t="s">
        <v>184</v>
      </c>
      <c r="D86" s="906" t="s">
        <v>1910</v>
      </c>
      <c r="E86" s="907">
        <f>GLOBAL_DER_FEV_2023!E86</f>
        <v>2</v>
      </c>
      <c r="F86" s="908">
        <f>GLOBAL_DER_FEV_2023!F86</f>
        <v>1.5</v>
      </c>
      <c r="G86" s="909">
        <f>GLOBAL_DER_FEV_2023!G86</f>
        <v>7.23</v>
      </c>
      <c r="H86" s="889">
        <f>GLOBAL_DER_FEV_2023!H86</f>
        <v>6.66</v>
      </c>
      <c r="I86" s="901">
        <f>GLOBAL_DER_FEV_2023!I86</f>
        <v>13.89</v>
      </c>
      <c r="J86" s="902">
        <f>GLOBAL_DER_FEV_2023!J86</f>
        <v>16.68</v>
      </c>
      <c r="K86" s="903" t="s">
        <v>10</v>
      </c>
      <c r="L86" s="1137"/>
      <c r="M86" s="1138">
        <f t="shared" si="7"/>
        <v>0</v>
      </c>
      <c r="N86" s="893">
        <f t="shared" si="5"/>
        <v>0</v>
      </c>
      <c r="O86" s="905"/>
      <c r="Q86" s="317" t="str">
        <f t="shared" si="6"/>
        <v/>
      </c>
      <c r="R86" s="317" t="str">
        <f t="shared" si="8"/>
        <v/>
      </c>
      <c r="S86" s="317" t="str">
        <f t="shared" si="9"/>
        <v/>
      </c>
      <c r="T86" s="317" t="str">
        <f>GLOBAL_DER_FEV_2023!S86</f>
        <v/>
      </c>
      <c r="W86" s="582">
        <v>0</v>
      </c>
      <c r="X86" s="580"/>
      <c r="Y86" s="583">
        <f>IF(GLOBAL_DER_FEV_2023!W86=0,0,IF(GLOBAL_DER_FEV_2023!W86&gt;0,"c","b"))</f>
        <v>0</v>
      </c>
    </row>
    <row r="87" spans="1:25" ht="15" hidden="1" customHeight="1" x14ac:dyDescent="0.2">
      <c r="A87" s="317">
        <v>521300</v>
      </c>
      <c r="B87" s="895">
        <v>521300</v>
      </c>
      <c r="C87" s="896" t="s">
        <v>184</v>
      </c>
      <c r="D87" s="906" t="s">
        <v>1911</v>
      </c>
      <c r="E87" s="907">
        <f>GLOBAL_DER_FEV_2023!E87</f>
        <v>2</v>
      </c>
      <c r="F87" s="908">
        <f>GLOBAL_DER_FEV_2023!F87</f>
        <v>1.5</v>
      </c>
      <c r="G87" s="909">
        <f>GLOBAL_DER_FEV_2023!G87</f>
        <v>7.23</v>
      </c>
      <c r="H87" s="889">
        <f>GLOBAL_DER_FEV_2023!H87</f>
        <v>46.06</v>
      </c>
      <c r="I87" s="901">
        <f>GLOBAL_DER_FEV_2023!I87</f>
        <v>53.290000000000006</v>
      </c>
      <c r="J87" s="902">
        <f>GLOBAL_DER_FEV_2023!J87</f>
        <v>63.99</v>
      </c>
      <c r="K87" s="903" t="s">
        <v>10</v>
      </c>
      <c r="L87" s="1137"/>
      <c r="M87" s="1138">
        <f t="shared" si="7"/>
        <v>0</v>
      </c>
      <c r="N87" s="893">
        <f t="shared" si="5"/>
        <v>0</v>
      </c>
      <c r="O87" s="905"/>
      <c r="Q87" s="317" t="str">
        <f t="shared" si="6"/>
        <v/>
      </c>
      <c r="R87" s="317" t="str">
        <f t="shared" si="8"/>
        <v/>
      </c>
      <c r="S87" s="317" t="str">
        <f t="shared" si="9"/>
        <v/>
      </c>
      <c r="T87" s="317" t="str">
        <f>GLOBAL_DER_FEV_2023!S87</f>
        <v/>
      </c>
      <c r="W87" s="582">
        <v>0</v>
      </c>
      <c r="X87" s="580"/>
      <c r="Y87" s="583">
        <f>IF(GLOBAL_DER_FEV_2023!W87=0,0,IF(GLOBAL_DER_FEV_2023!W87&gt;0,"c","b"))</f>
        <v>0</v>
      </c>
    </row>
    <row r="88" spans="1:25" ht="15" hidden="1" customHeight="1" x14ac:dyDescent="0.2">
      <c r="A88" s="317">
        <v>411000</v>
      </c>
      <c r="B88" s="895">
        <v>411000</v>
      </c>
      <c r="C88" s="896" t="s">
        <v>184</v>
      </c>
      <c r="D88" s="906" t="s">
        <v>172</v>
      </c>
      <c r="E88" s="907">
        <f>GLOBAL_DER_FEV_2023!E88</f>
        <v>0</v>
      </c>
      <c r="F88" s="908">
        <f>GLOBAL_DER_FEV_2023!F88</f>
        <v>0</v>
      </c>
      <c r="G88" s="909">
        <f>GLOBAL_DER_FEV_2023!G88</f>
        <v>0</v>
      </c>
      <c r="H88" s="889">
        <f>GLOBAL_DER_FEV_2023!H88</f>
        <v>9.51</v>
      </c>
      <c r="I88" s="901">
        <f>GLOBAL_DER_FEV_2023!I88</f>
        <v>9.51</v>
      </c>
      <c r="J88" s="902">
        <f>GLOBAL_DER_FEV_2023!J88</f>
        <v>11.42</v>
      </c>
      <c r="K88" s="903" t="s">
        <v>10</v>
      </c>
      <c r="L88" s="1137"/>
      <c r="M88" s="1138">
        <f t="shared" si="7"/>
        <v>0</v>
      </c>
      <c r="N88" s="893">
        <f t="shared" si="5"/>
        <v>0</v>
      </c>
      <c r="O88" s="905"/>
      <c r="P88" s="59"/>
      <c r="Q88" s="317" t="str">
        <f t="shared" si="6"/>
        <v/>
      </c>
      <c r="R88" s="317" t="str">
        <f t="shared" si="8"/>
        <v/>
      </c>
      <c r="S88" s="317" t="str">
        <f t="shared" si="9"/>
        <v/>
      </c>
      <c r="T88" s="317" t="str">
        <f>GLOBAL_DER_FEV_2023!S88</f>
        <v/>
      </c>
      <c r="W88" s="582">
        <v>0</v>
      </c>
      <c r="X88" s="580"/>
      <c r="Y88" s="583">
        <f>IF(GLOBAL_DER_FEV_2023!W88=0,0,IF(GLOBAL_DER_FEV_2023!W88&gt;0,"c","b"))</f>
        <v>0</v>
      </c>
    </row>
    <row r="89" spans="1:25" ht="15" hidden="1" customHeight="1" x14ac:dyDescent="0.2">
      <c r="A89" s="317">
        <v>420200</v>
      </c>
      <c r="B89" s="895">
        <v>420200</v>
      </c>
      <c r="C89" s="896" t="s">
        <v>184</v>
      </c>
      <c r="D89" s="906" t="s">
        <v>483</v>
      </c>
      <c r="E89" s="907">
        <f>GLOBAL_DER_FEV_2023!E89</f>
        <v>2</v>
      </c>
      <c r="F89" s="908">
        <f>GLOBAL_DER_FEV_2023!F89</f>
        <v>0.5</v>
      </c>
      <c r="G89" s="909">
        <f>GLOBAL_DER_FEV_2023!G89</f>
        <v>2.41</v>
      </c>
      <c r="H89" s="889">
        <f>GLOBAL_DER_FEV_2023!H89</f>
        <v>11.51</v>
      </c>
      <c r="I89" s="901">
        <f>GLOBAL_DER_FEV_2023!I89</f>
        <v>12.528</v>
      </c>
      <c r="J89" s="902">
        <f>GLOBAL_DER_FEV_2023!J89</f>
        <v>15.04</v>
      </c>
      <c r="K89" s="903" t="s">
        <v>10</v>
      </c>
      <c r="L89" s="1137"/>
      <c r="M89" s="1138">
        <f t="shared" si="7"/>
        <v>0</v>
      </c>
      <c r="N89" s="893">
        <f t="shared" ref="N89:N152" si="10">IF(ISBLANK(L89),0,IF(W89=0,ROUND(L89*M89,2),IF(W89="b",ROUNDDOWN(L89*M89,2),ROUNDUP(L89*M89,2))))</f>
        <v>0</v>
      </c>
      <c r="O89" s="905"/>
      <c r="P89" s="59"/>
      <c r="Q89" s="317" t="str">
        <f t="shared" si="6"/>
        <v/>
      </c>
      <c r="R89" s="317" t="str">
        <f t="shared" si="8"/>
        <v/>
      </c>
      <c r="S89" s="317" t="str">
        <f t="shared" si="9"/>
        <v/>
      </c>
      <c r="T89" s="317" t="str">
        <f>GLOBAL_DER_FEV_2023!S89</f>
        <v/>
      </c>
      <c r="W89" s="582">
        <v>0</v>
      </c>
      <c r="X89" s="580"/>
      <c r="Y89" s="583">
        <f>IF(GLOBAL_DER_FEV_2023!W89=0,0,IF(GLOBAL_DER_FEV_2023!W89&gt;0,"c","b"))</f>
        <v>0</v>
      </c>
    </row>
    <row r="90" spans="1:25" ht="15" hidden="1" customHeight="1" x14ac:dyDescent="0.2">
      <c r="A90" s="317">
        <v>404000</v>
      </c>
      <c r="B90" s="895">
        <v>404000</v>
      </c>
      <c r="C90" s="896" t="s">
        <v>184</v>
      </c>
      <c r="D90" s="906" t="s">
        <v>171</v>
      </c>
      <c r="E90" s="907">
        <f>GLOBAL_DER_FEV_2023!E90</f>
        <v>2</v>
      </c>
      <c r="F90" s="908">
        <f>GLOBAL_DER_FEV_2023!F90</f>
        <v>1.5</v>
      </c>
      <c r="G90" s="909">
        <f>GLOBAL_DER_FEV_2023!G90</f>
        <v>7.23</v>
      </c>
      <c r="H90" s="889">
        <f>GLOBAL_DER_FEV_2023!H90</f>
        <v>11.43</v>
      </c>
      <c r="I90" s="901">
        <f>GLOBAL_DER_FEV_2023!I90</f>
        <v>18.66</v>
      </c>
      <c r="J90" s="902">
        <f>GLOBAL_DER_FEV_2023!J90</f>
        <v>22.41</v>
      </c>
      <c r="K90" s="903" t="s">
        <v>10</v>
      </c>
      <c r="L90" s="1137"/>
      <c r="M90" s="1138">
        <f t="shared" si="7"/>
        <v>0</v>
      </c>
      <c r="N90" s="893">
        <f t="shared" si="10"/>
        <v>0</v>
      </c>
      <c r="O90" s="905"/>
      <c r="P90" s="59"/>
      <c r="Q90" s="317" t="str">
        <f t="shared" si="6"/>
        <v/>
      </c>
      <c r="R90" s="317" t="str">
        <f t="shared" si="8"/>
        <v/>
      </c>
      <c r="S90" s="317" t="str">
        <f t="shared" si="9"/>
        <v/>
      </c>
      <c r="T90" s="317" t="str">
        <f>GLOBAL_DER_FEV_2023!S90</f>
        <v/>
      </c>
      <c r="W90" s="582">
        <v>0</v>
      </c>
      <c r="X90" s="580"/>
      <c r="Y90" s="583">
        <f>IF(GLOBAL_DER_FEV_2023!W90=0,0,IF(GLOBAL_DER_FEV_2023!W90&gt;0,"c","b"))</f>
        <v>0</v>
      </c>
    </row>
    <row r="91" spans="1:25" ht="15" hidden="1" customHeight="1" x14ac:dyDescent="0.2">
      <c r="A91" s="640" t="s">
        <v>165</v>
      </c>
      <c r="B91" s="913" t="s">
        <v>165</v>
      </c>
      <c r="C91" s="914"/>
      <c r="D91" s="915" t="s">
        <v>164</v>
      </c>
      <c r="E91" s="916">
        <f>GLOBAL_DER_FEV_2023!E91</f>
        <v>0</v>
      </c>
      <c r="F91" s="917">
        <f>GLOBAL_DER_FEV_2023!F91</f>
        <v>0</v>
      </c>
      <c r="G91" s="949">
        <f>GLOBAL_DER_FEV_2023!G91</f>
        <v>0</v>
      </c>
      <c r="H91" s="919">
        <f>GLOBAL_DER_FEV_2023!H91</f>
        <v>0</v>
      </c>
      <c r="I91" s="919">
        <f>GLOBAL_DER_FEV_2023!I91</f>
        <v>0</v>
      </c>
      <c r="J91" s="919">
        <f>GLOBAL_DER_FEV_2023!J91</f>
        <v>0</v>
      </c>
      <c r="K91" s="920" t="s">
        <v>507</v>
      </c>
      <c r="L91" s="921"/>
      <c r="M91" s="1138">
        <f t="shared" si="7"/>
        <v>0</v>
      </c>
      <c r="N91" s="923">
        <f t="shared" si="10"/>
        <v>0</v>
      </c>
      <c r="O91" s="905"/>
      <c r="P91" s="58" t="str">
        <f>IF(OR(SUM(N92:N116)&gt;0,SUM(N92:N116)&gt;0),"y","")</f>
        <v/>
      </c>
      <c r="Q91" s="317" t="str">
        <f t="shared" si="6"/>
        <v/>
      </c>
      <c r="R91" s="317" t="str">
        <f t="shared" si="8"/>
        <v/>
      </c>
      <c r="S91" s="317" t="str">
        <f t="shared" si="9"/>
        <v/>
      </c>
      <c r="T91" s="317" t="str">
        <f>GLOBAL_DER_FEV_2023!S91</f>
        <v/>
      </c>
      <c r="W91" s="582">
        <v>0</v>
      </c>
      <c r="X91" s="580"/>
      <c r="Y91" s="583">
        <f>IF(GLOBAL_DER_FEV_2023!W91=0,0,IF(GLOBAL_DER_FEV_2023!W91&gt;0,"c","b"))</f>
        <v>0</v>
      </c>
    </row>
    <row r="92" spans="1:25" ht="15" hidden="1" customHeight="1" x14ac:dyDescent="0.2">
      <c r="A92" s="640" t="s">
        <v>165</v>
      </c>
      <c r="B92" s="1036" t="str">
        <f>GLOBAL_DER_FEV_2023!B92</f>
        <v/>
      </c>
      <c r="C92" s="1072" t="str">
        <f>GLOBAL_DER_FEV_2023!C92</f>
        <v/>
      </c>
      <c r="D92" s="1141">
        <f>GLOBAL_DER_FEV_2023!D92</f>
        <v>0</v>
      </c>
      <c r="E92" s="907">
        <f>GLOBAL_DER_FEV_2023!E92</f>
        <v>0</v>
      </c>
      <c r="F92" s="908">
        <f>GLOBAL_DER_FEV_2023!F92</f>
        <v>0</v>
      </c>
      <c r="G92" s="912">
        <f>GLOBAL_DER_FEV_2023!G92</f>
        <v>0</v>
      </c>
      <c r="H92" s="901">
        <f>GLOBAL_DER_FEV_2023!H92</f>
        <v>0</v>
      </c>
      <c r="I92" s="901">
        <f>GLOBAL_DER_FEV_2023!I92</f>
        <v>0</v>
      </c>
      <c r="J92" s="902">
        <f>GLOBAL_DER_FEV_2023!J92</f>
        <v>0</v>
      </c>
      <c r="K92" s="903" t="str">
        <f>GLOBAL_DER_FEV_2023!K92</f>
        <v xml:space="preserve">     </v>
      </c>
      <c r="L92" s="1137"/>
      <c r="M92" s="1138">
        <f t="shared" si="7"/>
        <v>0</v>
      </c>
      <c r="N92" s="893">
        <f t="shared" si="10"/>
        <v>0</v>
      </c>
      <c r="O92" s="905"/>
      <c r="Q92" s="317" t="str">
        <f t="shared" si="6"/>
        <v/>
      </c>
      <c r="R92" s="317" t="str">
        <f t="shared" si="8"/>
        <v/>
      </c>
      <c r="S92" s="317" t="str">
        <f t="shared" si="9"/>
        <v/>
      </c>
      <c r="T92" s="317" t="str">
        <f>GLOBAL_DER_FEV_2023!S92</f>
        <v/>
      </c>
      <c r="W92" s="582">
        <v>0</v>
      </c>
      <c r="X92" s="580"/>
      <c r="Y92" s="583">
        <f>IF(GLOBAL_DER_FEV_2023!W92=0,0,IF(GLOBAL_DER_FEV_2023!W92&gt;0,"c","b"))</f>
        <v>0</v>
      </c>
    </row>
    <row r="93" spans="1:25" ht="15" hidden="1" customHeight="1" x14ac:dyDescent="0.2">
      <c r="A93" s="640" t="s">
        <v>165</v>
      </c>
      <c r="B93" s="1036" t="str">
        <f>GLOBAL_DER_FEV_2023!B93</f>
        <v/>
      </c>
      <c r="C93" s="1072" t="str">
        <f>GLOBAL_DER_FEV_2023!C93</f>
        <v/>
      </c>
      <c r="D93" s="1141">
        <f>GLOBAL_DER_FEV_2023!D93</f>
        <v>0</v>
      </c>
      <c r="E93" s="907">
        <f>GLOBAL_DER_FEV_2023!E93</f>
        <v>0</v>
      </c>
      <c r="F93" s="908">
        <f>GLOBAL_DER_FEV_2023!F93</f>
        <v>0</v>
      </c>
      <c r="G93" s="912">
        <f>GLOBAL_DER_FEV_2023!G93</f>
        <v>0</v>
      </c>
      <c r="H93" s="901">
        <f>GLOBAL_DER_FEV_2023!H93</f>
        <v>0</v>
      </c>
      <c r="I93" s="901">
        <f>GLOBAL_DER_FEV_2023!I93</f>
        <v>0</v>
      </c>
      <c r="J93" s="890">
        <f>GLOBAL_DER_FEV_2023!J93</f>
        <v>0</v>
      </c>
      <c r="K93" s="903" t="str">
        <f>GLOBAL_DER_FEV_2023!K93</f>
        <v xml:space="preserve">     </v>
      </c>
      <c r="L93" s="1137"/>
      <c r="M93" s="1138">
        <f t="shared" si="7"/>
        <v>0</v>
      </c>
      <c r="N93" s="932">
        <f t="shared" si="10"/>
        <v>0</v>
      </c>
      <c r="O93" s="905"/>
      <c r="Q93" s="317" t="str">
        <f t="shared" si="6"/>
        <v/>
      </c>
      <c r="R93" s="317" t="str">
        <f t="shared" si="8"/>
        <v/>
      </c>
      <c r="S93" s="317" t="str">
        <f t="shared" si="9"/>
        <v/>
      </c>
      <c r="T93" s="317" t="str">
        <f>GLOBAL_DER_FEV_2023!S93</f>
        <v/>
      </c>
      <c r="W93" s="582">
        <v>0</v>
      </c>
      <c r="X93" s="580"/>
      <c r="Y93" s="583">
        <f>IF(GLOBAL_DER_FEV_2023!W93=0,0,IF(GLOBAL_DER_FEV_2023!W93&gt;0,"c","b"))</f>
        <v>0</v>
      </c>
    </row>
    <row r="94" spans="1:25" ht="15" hidden="1" customHeight="1" x14ac:dyDescent="0.2">
      <c r="A94" s="640" t="s">
        <v>165</v>
      </c>
      <c r="B94" s="1036" t="str">
        <f>GLOBAL_DER_FEV_2023!B94</f>
        <v/>
      </c>
      <c r="C94" s="1072" t="str">
        <f>GLOBAL_DER_FEV_2023!C94</f>
        <v/>
      </c>
      <c r="D94" s="1141">
        <f>GLOBAL_DER_FEV_2023!D94</f>
        <v>0</v>
      </c>
      <c r="E94" s="907">
        <f>GLOBAL_DER_FEV_2023!E94</f>
        <v>0</v>
      </c>
      <c r="F94" s="908">
        <f>GLOBAL_DER_FEV_2023!F94</f>
        <v>0</v>
      </c>
      <c r="G94" s="912">
        <f>GLOBAL_DER_FEV_2023!G94</f>
        <v>0</v>
      </c>
      <c r="H94" s="901">
        <f>GLOBAL_DER_FEV_2023!H94</f>
        <v>0</v>
      </c>
      <c r="I94" s="901">
        <f>GLOBAL_DER_FEV_2023!I94</f>
        <v>0</v>
      </c>
      <c r="J94" s="890">
        <f>GLOBAL_DER_FEV_2023!J94</f>
        <v>0</v>
      </c>
      <c r="K94" s="903" t="str">
        <f>GLOBAL_DER_FEV_2023!K94</f>
        <v xml:space="preserve">     </v>
      </c>
      <c r="L94" s="1137"/>
      <c r="M94" s="1138">
        <f t="shared" si="7"/>
        <v>0</v>
      </c>
      <c r="N94" s="893">
        <f t="shared" si="10"/>
        <v>0</v>
      </c>
      <c r="O94" s="905"/>
      <c r="Q94" s="317" t="str">
        <f t="shared" si="6"/>
        <v/>
      </c>
      <c r="R94" s="317" t="str">
        <f t="shared" si="8"/>
        <v/>
      </c>
      <c r="S94" s="317" t="str">
        <f t="shared" si="9"/>
        <v/>
      </c>
      <c r="T94" s="317" t="str">
        <f>GLOBAL_DER_FEV_2023!S94</f>
        <v/>
      </c>
      <c r="W94" s="582">
        <v>0</v>
      </c>
      <c r="X94" s="580"/>
      <c r="Y94" s="583">
        <f>IF(GLOBAL_DER_FEV_2023!W94=0,0,IF(GLOBAL_DER_FEV_2023!W94&gt;0,"c","b"))</f>
        <v>0</v>
      </c>
    </row>
    <row r="95" spans="1:25" ht="15" hidden="1" customHeight="1" x14ac:dyDescent="0.2">
      <c r="A95" s="640" t="s">
        <v>165</v>
      </c>
      <c r="B95" s="1036" t="str">
        <f>GLOBAL_DER_FEV_2023!B95</f>
        <v/>
      </c>
      <c r="C95" s="1072" t="str">
        <f>GLOBAL_DER_FEV_2023!C95</f>
        <v/>
      </c>
      <c r="D95" s="1141">
        <f>GLOBAL_DER_FEV_2023!D95</f>
        <v>0</v>
      </c>
      <c r="E95" s="907">
        <f>GLOBAL_DER_FEV_2023!E95</f>
        <v>0</v>
      </c>
      <c r="F95" s="908">
        <f>GLOBAL_DER_FEV_2023!F95</f>
        <v>0</v>
      </c>
      <c r="G95" s="912">
        <f>GLOBAL_DER_FEV_2023!G95</f>
        <v>0</v>
      </c>
      <c r="H95" s="901">
        <f>GLOBAL_DER_FEV_2023!H95</f>
        <v>0</v>
      </c>
      <c r="I95" s="901">
        <f>GLOBAL_DER_FEV_2023!I95</f>
        <v>0</v>
      </c>
      <c r="J95" s="890">
        <f>GLOBAL_DER_FEV_2023!J95</f>
        <v>0</v>
      </c>
      <c r="K95" s="903" t="str">
        <f>GLOBAL_DER_FEV_2023!K95</f>
        <v xml:space="preserve">     </v>
      </c>
      <c r="L95" s="1137"/>
      <c r="M95" s="1138">
        <f t="shared" si="7"/>
        <v>0</v>
      </c>
      <c r="N95" s="893">
        <f t="shared" si="10"/>
        <v>0</v>
      </c>
      <c r="O95" s="905"/>
      <c r="Q95" s="317" t="str">
        <f t="shared" si="6"/>
        <v/>
      </c>
      <c r="R95" s="317" t="str">
        <f t="shared" si="8"/>
        <v/>
      </c>
      <c r="S95" s="317" t="str">
        <f t="shared" si="9"/>
        <v/>
      </c>
      <c r="T95" s="317" t="str">
        <f>GLOBAL_DER_FEV_2023!S95</f>
        <v/>
      </c>
      <c r="W95" s="582">
        <v>0</v>
      </c>
      <c r="X95" s="580"/>
      <c r="Y95" s="583">
        <f>IF(GLOBAL_DER_FEV_2023!W95=0,0,IF(GLOBAL_DER_FEV_2023!W95&gt;0,"c","b"))</f>
        <v>0</v>
      </c>
    </row>
    <row r="96" spans="1:25" ht="15" hidden="1" customHeight="1" x14ac:dyDescent="0.2">
      <c r="A96" s="640" t="s">
        <v>165</v>
      </c>
      <c r="B96" s="1036" t="str">
        <f>GLOBAL_DER_FEV_2023!B96</f>
        <v/>
      </c>
      <c r="C96" s="1072" t="str">
        <f>GLOBAL_DER_FEV_2023!C96</f>
        <v/>
      </c>
      <c r="D96" s="1141">
        <f>GLOBAL_DER_FEV_2023!D96</f>
        <v>0</v>
      </c>
      <c r="E96" s="907">
        <f>GLOBAL_DER_FEV_2023!E96</f>
        <v>0</v>
      </c>
      <c r="F96" s="908">
        <f>GLOBAL_DER_FEV_2023!F96</f>
        <v>0</v>
      </c>
      <c r="G96" s="912">
        <f>GLOBAL_DER_FEV_2023!G96</f>
        <v>0</v>
      </c>
      <c r="H96" s="901">
        <f>GLOBAL_DER_FEV_2023!H96</f>
        <v>0</v>
      </c>
      <c r="I96" s="901">
        <f>GLOBAL_DER_FEV_2023!I96</f>
        <v>0</v>
      </c>
      <c r="J96" s="890">
        <f>GLOBAL_DER_FEV_2023!J96</f>
        <v>0</v>
      </c>
      <c r="K96" s="903" t="str">
        <f>GLOBAL_DER_FEV_2023!K96</f>
        <v xml:space="preserve">     </v>
      </c>
      <c r="L96" s="1137"/>
      <c r="M96" s="1138">
        <f t="shared" si="7"/>
        <v>0</v>
      </c>
      <c r="N96" s="893">
        <f t="shared" si="10"/>
        <v>0</v>
      </c>
      <c r="O96" s="905"/>
      <c r="Q96" s="317" t="str">
        <f t="shared" si="6"/>
        <v/>
      </c>
      <c r="R96" s="317" t="str">
        <f t="shared" si="8"/>
        <v/>
      </c>
      <c r="S96" s="317" t="str">
        <f t="shared" si="9"/>
        <v/>
      </c>
      <c r="T96" s="317" t="str">
        <f>GLOBAL_DER_FEV_2023!S96</f>
        <v/>
      </c>
      <c r="W96" s="582">
        <v>0</v>
      </c>
      <c r="X96" s="580"/>
      <c r="Y96" s="583">
        <f>IF(GLOBAL_DER_FEV_2023!W96=0,0,IF(GLOBAL_DER_FEV_2023!W96&gt;0,"c","b"))</f>
        <v>0</v>
      </c>
    </row>
    <row r="97" spans="1:25" ht="15" hidden="1" customHeight="1" x14ac:dyDescent="0.2">
      <c r="A97" s="640" t="s">
        <v>165</v>
      </c>
      <c r="B97" s="1036" t="str">
        <f>GLOBAL_DER_FEV_2023!B97</f>
        <v/>
      </c>
      <c r="C97" s="1072" t="str">
        <f>GLOBAL_DER_FEV_2023!C97</f>
        <v/>
      </c>
      <c r="D97" s="1141">
        <f>GLOBAL_DER_FEV_2023!D97</f>
        <v>0</v>
      </c>
      <c r="E97" s="907">
        <f>GLOBAL_DER_FEV_2023!E97</f>
        <v>0</v>
      </c>
      <c r="F97" s="908">
        <f>GLOBAL_DER_FEV_2023!F97</f>
        <v>0</v>
      </c>
      <c r="G97" s="912">
        <f>GLOBAL_DER_FEV_2023!G97</f>
        <v>0</v>
      </c>
      <c r="H97" s="901">
        <f>GLOBAL_DER_FEV_2023!H97</f>
        <v>0</v>
      </c>
      <c r="I97" s="901">
        <f>GLOBAL_DER_FEV_2023!I97</f>
        <v>0</v>
      </c>
      <c r="J97" s="890">
        <f>GLOBAL_DER_FEV_2023!J97</f>
        <v>0</v>
      </c>
      <c r="K97" s="903" t="str">
        <f>GLOBAL_DER_FEV_2023!K97</f>
        <v xml:space="preserve">     </v>
      </c>
      <c r="L97" s="1137"/>
      <c r="M97" s="1138">
        <f t="shared" si="7"/>
        <v>0</v>
      </c>
      <c r="N97" s="893">
        <f t="shared" si="10"/>
        <v>0</v>
      </c>
      <c r="O97" s="905"/>
      <c r="Q97" s="317" t="str">
        <f t="shared" si="6"/>
        <v/>
      </c>
      <c r="R97" s="317" t="str">
        <f t="shared" si="8"/>
        <v/>
      </c>
      <c r="S97" s="317" t="str">
        <f t="shared" si="9"/>
        <v/>
      </c>
      <c r="T97" s="317" t="str">
        <f>GLOBAL_DER_FEV_2023!S97</f>
        <v/>
      </c>
      <c r="W97" s="582">
        <v>0</v>
      </c>
      <c r="X97" s="580"/>
      <c r="Y97" s="583">
        <f>IF(GLOBAL_DER_FEV_2023!W97=0,0,IF(GLOBAL_DER_FEV_2023!W97&gt;0,"c","b"))</f>
        <v>0</v>
      </c>
    </row>
    <row r="98" spans="1:25" ht="15" hidden="1" customHeight="1" x14ac:dyDescent="0.2">
      <c r="A98" s="640" t="s">
        <v>165</v>
      </c>
      <c r="B98" s="1036" t="str">
        <f>GLOBAL_DER_FEV_2023!B98</f>
        <v/>
      </c>
      <c r="C98" s="1072" t="str">
        <f>GLOBAL_DER_FEV_2023!C98</f>
        <v/>
      </c>
      <c r="D98" s="1141">
        <f>GLOBAL_DER_FEV_2023!D98</f>
        <v>0</v>
      </c>
      <c r="E98" s="907">
        <f>GLOBAL_DER_FEV_2023!E98</f>
        <v>0</v>
      </c>
      <c r="F98" s="908">
        <f>GLOBAL_DER_FEV_2023!F98</f>
        <v>0</v>
      </c>
      <c r="G98" s="912">
        <f>GLOBAL_DER_FEV_2023!G98</f>
        <v>0</v>
      </c>
      <c r="H98" s="901">
        <f>GLOBAL_DER_FEV_2023!H98</f>
        <v>0</v>
      </c>
      <c r="I98" s="901">
        <f>GLOBAL_DER_FEV_2023!I98</f>
        <v>0</v>
      </c>
      <c r="J98" s="890">
        <f>GLOBAL_DER_FEV_2023!J98</f>
        <v>0</v>
      </c>
      <c r="K98" s="903" t="str">
        <f>GLOBAL_DER_FEV_2023!K98</f>
        <v xml:space="preserve">     </v>
      </c>
      <c r="L98" s="1137"/>
      <c r="M98" s="1138">
        <f t="shared" si="7"/>
        <v>0</v>
      </c>
      <c r="N98" s="893">
        <f t="shared" si="10"/>
        <v>0</v>
      </c>
      <c r="O98" s="905"/>
      <c r="Q98" s="317" t="str">
        <f t="shared" si="6"/>
        <v/>
      </c>
      <c r="R98" s="317" t="str">
        <f t="shared" si="8"/>
        <v/>
      </c>
      <c r="S98" s="317" t="str">
        <f t="shared" si="9"/>
        <v/>
      </c>
      <c r="T98" s="317" t="str">
        <f>GLOBAL_DER_FEV_2023!S98</f>
        <v/>
      </c>
      <c r="W98" s="582">
        <v>0</v>
      </c>
      <c r="X98" s="580"/>
      <c r="Y98" s="583">
        <f>IF(GLOBAL_DER_FEV_2023!W98=0,0,IF(GLOBAL_DER_FEV_2023!W98&gt;0,"c","b"))</f>
        <v>0</v>
      </c>
    </row>
    <row r="99" spans="1:25" ht="15" hidden="1" customHeight="1" x14ac:dyDescent="0.2">
      <c r="A99" s="640" t="s">
        <v>165</v>
      </c>
      <c r="B99" s="1036" t="str">
        <f>GLOBAL_DER_FEV_2023!B99</f>
        <v/>
      </c>
      <c r="C99" s="1072" t="str">
        <f>GLOBAL_DER_FEV_2023!C99</f>
        <v/>
      </c>
      <c r="D99" s="1141">
        <f>GLOBAL_DER_FEV_2023!D99</f>
        <v>0</v>
      </c>
      <c r="E99" s="907">
        <f>GLOBAL_DER_FEV_2023!E99</f>
        <v>0</v>
      </c>
      <c r="F99" s="908">
        <f>GLOBAL_DER_FEV_2023!F99</f>
        <v>0</v>
      </c>
      <c r="G99" s="912">
        <f>GLOBAL_DER_FEV_2023!G99</f>
        <v>0</v>
      </c>
      <c r="H99" s="901">
        <f>GLOBAL_DER_FEV_2023!H99</f>
        <v>0</v>
      </c>
      <c r="I99" s="901">
        <f>GLOBAL_DER_FEV_2023!I99</f>
        <v>0</v>
      </c>
      <c r="J99" s="890">
        <f>GLOBAL_DER_FEV_2023!J99</f>
        <v>0</v>
      </c>
      <c r="K99" s="903" t="str">
        <f>GLOBAL_DER_FEV_2023!K99</f>
        <v xml:space="preserve">     </v>
      </c>
      <c r="L99" s="1137"/>
      <c r="M99" s="1138">
        <f t="shared" si="7"/>
        <v>0</v>
      </c>
      <c r="N99" s="893">
        <f t="shared" si="10"/>
        <v>0</v>
      </c>
      <c r="O99" s="905"/>
      <c r="Q99" s="317" t="str">
        <f t="shared" si="6"/>
        <v/>
      </c>
      <c r="R99" s="317" t="str">
        <f t="shared" si="8"/>
        <v/>
      </c>
      <c r="S99" s="317" t="str">
        <f t="shared" si="9"/>
        <v/>
      </c>
      <c r="T99" s="317" t="str">
        <f>GLOBAL_DER_FEV_2023!S99</f>
        <v/>
      </c>
      <c r="W99" s="582">
        <v>0</v>
      </c>
      <c r="X99" s="580"/>
      <c r="Y99" s="583">
        <f>IF(GLOBAL_DER_FEV_2023!W99=0,0,IF(GLOBAL_DER_FEV_2023!W99&gt;0,"c","b"))</f>
        <v>0</v>
      </c>
    </row>
    <row r="100" spans="1:25" ht="15" hidden="1" customHeight="1" x14ac:dyDescent="0.2">
      <c r="A100" s="640" t="s">
        <v>165</v>
      </c>
      <c r="B100" s="1036" t="str">
        <f>GLOBAL_DER_FEV_2023!B100</f>
        <v/>
      </c>
      <c r="C100" s="1072" t="str">
        <f>GLOBAL_DER_FEV_2023!C100</f>
        <v/>
      </c>
      <c r="D100" s="1141">
        <f>GLOBAL_DER_FEV_2023!D100</f>
        <v>0</v>
      </c>
      <c r="E100" s="907">
        <f>GLOBAL_DER_FEV_2023!E100</f>
        <v>0</v>
      </c>
      <c r="F100" s="908">
        <f>GLOBAL_DER_FEV_2023!F100</f>
        <v>0</v>
      </c>
      <c r="G100" s="912">
        <f>GLOBAL_DER_FEV_2023!G100</f>
        <v>0</v>
      </c>
      <c r="H100" s="901">
        <f>GLOBAL_DER_FEV_2023!H100</f>
        <v>0</v>
      </c>
      <c r="I100" s="901">
        <f>GLOBAL_DER_FEV_2023!I100</f>
        <v>0</v>
      </c>
      <c r="J100" s="890">
        <f>GLOBAL_DER_FEV_2023!J100</f>
        <v>0</v>
      </c>
      <c r="K100" s="903" t="str">
        <f>GLOBAL_DER_FEV_2023!K100</f>
        <v xml:space="preserve">     </v>
      </c>
      <c r="L100" s="1137"/>
      <c r="M100" s="1138">
        <f t="shared" si="7"/>
        <v>0</v>
      </c>
      <c r="N100" s="893">
        <f t="shared" si="10"/>
        <v>0</v>
      </c>
      <c r="O100" s="905"/>
      <c r="Q100" s="317" t="str">
        <f t="shared" si="6"/>
        <v/>
      </c>
      <c r="R100" s="317" t="str">
        <f t="shared" si="8"/>
        <v/>
      </c>
      <c r="S100" s="317" t="str">
        <f t="shared" si="9"/>
        <v/>
      </c>
      <c r="T100" s="317" t="str">
        <f>GLOBAL_DER_FEV_2023!S100</f>
        <v/>
      </c>
      <c r="W100" s="582">
        <v>0</v>
      </c>
      <c r="X100" s="580"/>
      <c r="Y100" s="583">
        <f>IF(GLOBAL_DER_FEV_2023!W100=0,0,IF(GLOBAL_DER_FEV_2023!W100&gt;0,"c","b"))</f>
        <v>0</v>
      </c>
    </row>
    <row r="101" spans="1:25" ht="15" hidden="1" customHeight="1" x14ac:dyDescent="0.2">
      <c r="A101" s="640" t="s">
        <v>165</v>
      </c>
      <c r="B101" s="1036" t="str">
        <f>GLOBAL_DER_FEV_2023!B101</f>
        <v/>
      </c>
      <c r="C101" s="1072" t="str">
        <f>GLOBAL_DER_FEV_2023!C101</f>
        <v/>
      </c>
      <c r="D101" s="1141">
        <f>GLOBAL_DER_FEV_2023!D101</f>
        <v>0</v>
      </c>
      <c r="E101" s="907">
        <f>GLOBAL_DER_FEV_2023!E101</f>
        <v>0</v>
      </c>
      <c r="F101" s="908">
        <f>GLOBAL_DER_FEV_2023!F101</f>
        <v>0</v>
      </c>
      <c r="G101" s="912">
        <f>GLOBAL_DER_FEV_2023!G101</f>
        <v>0</v>
      </c>
      <c r="H101" s="901">
        <f>GLOBAL_DER_FEV_2023!H101</f>
        <v>0</v>
      </c>
      <c r="I101" s="901">
        <f>GLOBAL_DER_FEV_2023!I101</f>
        <v>0</v>
      </c>
      <c r="J101" s="890">
        <f>GLOBAL_DER_FEV_2023!J101</f>
        <v>0</v>
      </c>
      <c r="K101" s="903" t="str">
        <f>GLOBAL_DER_FEV_2023!K101</f>
        <v xml:space="preserve">     </v>
      </c>
      <c r="L101" s="1137"/>
      <c r="M101" s="1138">
        <f t="shared" si="7"/>
        <v>0</v>
      </c>
      <c r="N101" s="893">
        <f t="shared" si="10"/>
        <v>0</v>
      </c>
      <c r="O101" s="905"/>
      <c r="Q101" s="317" t="str">
        <f t="shared" si="6"/>
        <v/>
      </c>
      <c r="R101" s="317" t="str">
        <f t="shared" si="8"/>
        <v/>
      </c>
      <c r="S101" s="317" t="str">
        <f t="shared" si="9"/>
        <v/>
      </c>
      <c r="T101" s="317" t="str">
        <f>GLOBAL_DER_FEV_2023!S101</f>
        <v/>
      </c>
      <c r="W101" s="582">
        <v>0</v>
      </c>
      <c r="X101" s="580"/>
      <c r="Y101" s="583">
        <f>IF(GLOBAL_DER_FEV_2023!W101=0,0,IF(GLOBAL_DER_FEV_2023!W101&gt;0,"c","b"))</f>
        <v>0</v>
      </c>
    </row>
    <row r="102" spans="1:25" ht="15" hidden="1" customHeight="1" x14ac:dyDescent="0.2">
      <c r="A102" s="640" t="s">
        <v>165</v>
      </c>
      <c r="B102" s="1036" t="str">
        <f>GLOBAL_DER_FEV_2023!B102</f>
        <v/>
      </c>
      <c r="C102" s="1072" t="str">
        <f>GLOBAL_DER_FEV_2023!C102</f>
        <v/>
      </c>
      <c r="D102" s="1141">
        <f>GLOBAL_DER_FEV_2023!D102</f>
        <v>0</v>
      </c>
      <c r="E102" s="907">
        <f>GLOBAL_DER_FEV_2023!E102</f>
        <v>0</v>
      </c>
      <c r="F102" s="908">
        <f>GLOBAL_DER_FEV_2023!F102</f>
        <v>0</v>
      </c>
      <c r="G102" s="912">
        <f>GLOBAL_DER_FEV_2023!G102</f>
        <v>0</v>
      </c>
      <c r="H102" s="901">
        <f>GLOBAL_DER_FEV_2023!H102</f>
        <v>0</v>
      </c>
      <c r="I102" s="901">
        <f>GLOBAL_DER_FEV_2023!I102</f>
        <v>0</v>
      </c>
      <c r="J102" s="890">
        <f>GLOBAL_DER_FEV_2023!J102</f>
        <v>0</v>
      </c>
      <c r="K102" s="903" t="str">
        <f>GLOBAL_DER_FEV_2023!K102</f>
        <v xml:space="preserve">     </v>
      </c>
      <c r="L102" s="1137"/>
      <c r="M102" s="1138">
        <f t="shared" si="7"/>
        <v>0</v>
      </c>
      <c r="N102" s="893">
        <f t="shared" si="10"/>
        <v>0</v>
      </c>
      <c r="O102" s="905"/>
      <c r="Q102" s="317" t="str">
        <f t="shared" si="6"/>
        <v/>
      </c>
      <c r="R102" s="317" t="str">
        <f t="shared" si="8"/>
        <v/>
      </c>
      <c r="S102" s="317" t="str">
        <f t="shared" si="9"/>
        <v/>
      </c>
      <c r="T102" s="317" t="str">
        <f>GLOBAL_DER_FEV_2023!S102</f>
        <v/>
      </c>
      <c r="W102" s="582">
        <v>0</v>
      </c>
      <c r="X102" s="580"/>
      <c r="Y102" s="583">
        <f>IF(GLOBAL_DER_FEV_2023!W102=0,0,IF(GLOBAL_DER_FEV_2023!W102&gt;0,"c","b"))</f>
        <v>0</v>
      </c>
    </row>
    <row r="103" spans="1:25" ht="15" hidden="1" customHeight="1" x14ac:dyDescent="0.2">
      <c r="A103" s="640" t="s">
        <v>165</v>
      </c>
      <c r="B103" s="1036" t="str">
        <f>GLOBAL_DER_FEV_2023!B103</f>
        <v/>
      </c>
      <c r="C103" s="1072" t="str">
        <f>GLOBAL_DER_FEV_2023!C103</f>
        <v/>
      </c>
      <c r="D103" s="1141">
        <f>GLOBAL_DER_FEV_2023!D103</f>
        <v>0</v>
      </c>
      <c r="E103" s="907">
        <f>GLOBAL_DER_FEV_2023!E103</f>
        <v>0</v>
      </c>
      <c r="F103" s="908">
        <f>GLOBAL_DER_FEV_2023!F103</f>
        <v>0</v>
      </c>
      <c r="G103" s="912">
        <f>GLOBAL_DER_FEV_2023!G103</f>
        <v>0</v>
      </c>
      <c r="H103" s="901">
        <f>GLOBAL_DER_FEV_2023!H103</f>
        <v>0</v>
      </c>
      <c r="I103" s="901">
        <f>GLOBAL_DER_FEV_2023!I103</f>
        <v>0</v>
      </c>
      <c r="J103" s="890">
        <f>GLOBAL_DER_FEV_2023!J103</f>
        <v>0</v>
      </c>
      <c r="K103" s="903" t="str">
        <f>GLOBAL_DER_FEV_2023!K103</f>
        <v xml:space="preserve">     </v>
      </c>
      <c r="L103" s="1137"/>
      <c r="M103" s="1138">
        <f t="shared" si="7"/>
        <v>0</v>
      </c>
      <c r="N103" s="893">
        <f t="shared" si="10"/>
        <v>0</v>
      </c>
      <c r="O103" s="905"/>
      <c r="Q103" s="317" t="str">
        <f t="shared" si="6"/>
        <v/>
      </c>
      <c r="R103" s="317" t="str">
        <f t="shared" si="8"/>
        <v/>
      </c>
      <c r="S103" s="317" t="str">
        <f t="shared" si="9"/>
        <v/>
      </c>
      <c r="T103" s="317" t="str">
        <f>GLOBAL_DER_FEV_2023!S103</f>
        <v/>
      </c>
      <c r="W103" s="582">
        <v>0</v>
      </c>
      <c r="X103" s="580"/>
      <c r="Y103" s="583">
        <f>IF(GLOBAL_DER_FEV_2023!W103=0,0,IF(GLOBAL_DER_FEV_2023!W103&gt;0,"c","b"))</f>
        <v>0</v>
      </c>
    </row>
    <row r="104" spans="1:25" ht="15" hidden="1" customHeight="1" x14ac:dyDescent="0.2">
      <c r="A104" s="640" t="s">
        <v>165</v>
      </c>
      <c r="B104" s="1036" t="str">
        <f>GLOBAL_DER_FEV_2023!B104</f>
        <v/>
      </c>
      <c r="C104" s="1072" t="str">
        <f>GLOBAL_DER_FEV_2023!C104</f>
        <v/>
      </c>
      <c r="D104" s="1141">
        <f>GLOBAL_DER_FEV_2023!D104</f>
        <v>0</v>
      </c>
      <c r="E104" s="907">
        <f>GLOBAL_DER_FEV_2023!E104</f>
        <v>0</v>
      </c>
      <c r="F104" s="908">
        <f>GLOBAL_DER_FEV_2023!F104</f>
        <v>0</v>
      </c>
      <c r="G104" s="912">
        <f>GLOBAL_DER_FEV_2023!G104</f>
        <v>0</v>
      </c>
      <c r="H104" s="901">
        <f>GLOBAL_DER_FEV_2023!H104</f>
        <v>0</v>
      </c>
      <c r="I104" s="901">
        <f>GLOBAL_DER_FEV_2023!I104</f>
        <v>0</v>
      </c>
      <c r="J104" s="890">
        <f>GLOBAL_DER_FEV_2023!J104</f>
        <v>0</v>
      </c>
      <c r="K104" s="903" t="str">
        <f>GLOBAL_DER_FEV_2023!K104</f>
        <v xml:space="preserve">     </v>
      </c>
      <c r="L104" s="1137"/>
      <c r="M104" s="1138">
        <f t="shared" si="7"/>
        <v>0</v>
      </c>
      <c r="N104" s="893">
        <f t="shared" si="10"/>
        <v>0</v>
      </c>
      <c r="O104" s="905"/>
      <c r="Q104" s="317" t="str">
        <f t="shared" si="6"/>
        <v/>
      </c>
      <c r="R104" s="317" t="str">
        <f t="shared" si="8"/>
        <v/>
      </c>
      <c r="S104" s="317" t="str">
        <f t="shared" si="9"/>
        <v/>
      </c>
      <c r="T104" s="317" t="str">
        <f>GLOBAL_DER_FEV_2023!S104</f>
        <v/>
      </c>
      <c r="W104" s="582">
        <v>0</v>
      </c>
      <c r="X104" s="580"/>
      <c r="Y104" s="583">
        <f>IF(GLOBAL_DER_FEV_2023!W104=0,0,IF(GLOBAL_DER_FEV_2023!W104&gt;0,"c","b"))</f>
        <v>0</v>
      </c>
    </row>
    <row r="105" spans="1:25" ht="15" hidden="1" customHeight="1" x14ac:dyDescent="0.2">
      <c r="A105" s="640" t="s">
        <v>165</v>
      </c>
      <c r="B105" s="1036" t="str">
        <f>GLOBAL_DER_FEV_2023!B105</f>
        <v/>
      </c>
      <c r="C105" s="1072" t="str">
        <f>GLOBAL_DER_FEV_2023!C105</f>
        <v/>
      </c>
      <c r="D105" s="1141">
        <f>GLOBAL_DER_FEV_2023!D105</f>
        <v>0</v>
      </c>
      <c r="E105" s="907">
        <f>GLOBAL_DER_FEV_2023!E105</f>
        <v>0</v>
      </c>
      <c r="F105" s="908">
        <f>GLOBAL_DER_FEV_2023!F105</f>
        <v>0</v>
      </c>
      <c r="G105" s="912">
        <f>GLOBAL_DER_FEV_2023!G105</f>
        <v>0</v>
      </c>
      <c r="H105" s="901">
        <f>GLOBAL_DER_FEV_2023!H105</f>
        <v>0</v>
      </c>
      <c r="I105" s="901">
        <f>GLOBAL_DER_FEV_2023!I105</f>
        <v>0</v>
      </c>
      <c r="J105" s="890">
        <f>GLOBAL_DER_FEV_2023!J105</f>
        <v>0</v>
      </c>
      <c r="K105" s="903" t="str">
        <f>GLOBAL_DER_FEV_2023!K105</f>
        <v xml:space="preserve">     </v>
      </c>
      <c r="L105" s="1137"/>
      <c r="M105" s="1138">
        <f t="shared" si="7"/>
        <v>0</v>
      </c>
      <c r="N105" s="893">
        <f t="shared" si="10"/>
        <v>0</v>
      </c>
      <c r="O105" s="905"/>
      <c r="Q105" s="317" t="str">
        <f t="shared" si="6"/>
        <v/>
      </c>
      <c r="R105" s="317" t="str">
        <f t="shared" si="8"/>
        <v/>
      </c>
      <c r="S105" s="317" t="str">
        <f t="shared" si="9"/>
        <v/>
      </c>
      <c r="T105" s="317" t="str">
        <f>GLOBAL_DER_FEV_2023!S105</f>
        <v/>
      </c>
      <c r="W105" s="582">
        <v>0</v>
      </c>
      <c r="X105" s="580"/>
      <c r="Y105" s="583">
        <f>IF(GLOBAL_DER_FEV_2023!W105=0,0,IF(GLOBAL_DER_FEV_2023!W105&gt;0,"c","b"))</f>
        <v>0</v>
      </c>
    </row>
    <row r="106" spans="1:25" ht="15" hidden="1" customHeight="1" x14ac:dyDescent="0.2">
      <c r="A106" s="640" t="s">
        <v>165</v>
      </c>
      <c r="B106" s="1036" t="str">
        <f>GLOBAL_DER_FEV_2023!B106</f>
        <v/>
      </c>
      <c r="C106" s="1072" t="str">
        <f>GLOBAL_DER_FEV_2023!C106</f>
        <v/>
      </c>
      <c r="D106" s="1141">
        <f>GLOBAL_DER_FEV_2023!D106</f>
        <v>0</v>
      </c>
      <c r="E106" s="907">
        <f>GLOBAL_DER_FEV_2023!E106</f>
        <v>0</v>
      </c>
      <c r="F106" s="908">
        <f>GLOBAL_DER_FEV_2023!F106</f>
        <v>0</v>
      </c>
      <c r="G106" s="912">
        <f>GLOBAL_DER_FEV_2023!G106</f>
        <v>0</v>
      </c>
      <c r="H106" s="901">
        <f>GLOBAL_DER_FEV_2023!H106</f>
        <v>0</v>
      </c>
      <c r="I106" s="901">
        <f>GLOBAL_DER_FEV_2023!I106</f>
        <v>0</v>
      </c>
      <c r="J106" s="890">
        <f>GLOBAL_DER_FEV_2023!J106</f>
        <v>0</v>
      </c>
      <c r="K106" s="903" t="str">
        <f>GLOBAL_DER_FEV_2023!K106</f>
        <v xml:space="preserve">     </v>
      </c>
      <c r="L106" s="1137"/>
      <c r="M106" s="1138">
        <f t="shared" si="7"/>
        <v>0</v>
      </c>
      <c r="N106" s="893">
        <f t="shared" si="10"/>
        <v>0</v>
      </c>
      <c r="O106" s="905"/>
      <c r="Q106" s="317" t="str">
        <f t="shared" si="6"/>
        <v/>
      </c>
      <c r="R106" s="317" t="str">
        <f t="shared" si="8"/>
        <v/>
      </c>
      <c r="S106" s="317" t="str">
        <f t="shared" si="9"/>
        <v/>
      </c>
      <c r="T106" s="317" t="str">
        <f>GLOBAL_DER_FEV_2023!S106</f>
        <v/>
      </c>
      <c r="W106" s="582">
        <v>0</v>
      </c>
      <c r="X106" s="580"/>
      <c r="Y106" s="583">
        <f>IF(GLOBAL_DER_FEV_2023!W106=0,0,IF(GLOBAL_DER_FEV_2023!W106&gt;0,"c","b"))</f>
        <v>0</v>
      </c>
    </row>
    <row r="107" spans="1:25" ht="15" hidden="1" customHeight="1" x14ac:dyDescent="0.2">
      <c r="A107" s="640" t="s">
        <v>165</v>
      </c>
      <c r="B107" s="1036" t="str">
        <f>GLOBAL_DER_FEV_2023!B107</f>
        <v/>
      </c>
      <c r="C107" s="1072" t="str">
        <f>GLOBAL_DER_FEV_2023!C107</f>
        <v/>
      </c>
      <c r="D107" s="1141">
        <f>GLOBAL_DER_FEV_2023!D107</f>
        <v>0</v>
      </c>
      <c r="E107" s="907">
        <f>GLOBAL_DER_FEV_2023!E107</f>
        <v>0</v>
      </c>
      <c r="F107" s="908">
        <f>GLOBAL_DER_FEV_2023!F107</f>
        <v>0</v>
      </c>
      <c r="G107" s="912">
        <f>GLOBAL_DER_FEV_2023!G107</f>
        <v>0</v>
      </c>
      <c r="H107" s="901">
        <f>GLOBAL_DER_FEV_2023!H107</f>
        <v>0</v>
      </c>
      <c r="I107" s="901">
        <f>GLOBAL_DER_FEV_2023!I107</f>
        <v>0</v>
      </c>
      <c r="J107" s="890">
        <f>GLOBAL_DER_FEV_2023!J107</f>
        <v>0</v>
      </c>
      <c r="K107" s="903" t="str">
        <f>GLOBAL_DER_FEV_2023!K107</f>
        <v xml:space="preserve">     </v>
      </c>
      <c r="L107" s="1137"/>
      <c r="M107" s="1138">
        <f t="shared" si="7"/>
        <v>0</v>
      </c>
      <c r="N107" s="893">
        <f t="shared" si="10"/>
        <v>0</v>
      </c>
      <c r="O107" s="905"/>
      <c r="Q107" s="317" t="str">
        <f t="shared" si="6"/>
        <v/>
      </c>
      <c r="R107" s="317" t="str">
        <f t="shared" si="8"/>
        <v/>
      </c>
      <c r="S107" s="317" t="str">
        <f t="shared" si="9"/>
        <v/>
      </c>
      <c r="T107" s="317" t="str">
        <f>GLOBAL_DER_FEV_2023!S107</f>
        <v/>
      </c>
      <c r="W107" s="582">
        <v>0</v>
      </c>
      <c r="X107" s="580"/>
      <c r="Y107" s="583">
        <f>IF(GLOBAL_DER_FEV_2023!W107=0,0,IF(GLOBAL_DER_FEV_2023!W107&gt;0,"c","b"))</f>
        <v>0</v>
      </c>
    </row>
    <row r="108" spans="1:25" ht="15" hidden="1" customHeight="1" x14ac:dyDescent="0.2">
      <c r="A108" s="640" t="s">
        <v>165</v>
      </c>
      <c r="B108" s="1036" t="str">
        <f>GLOBAL_DER_FEV_2023!B108</f>
        <v/>
      </c>
      <c r="C108" s="1072" t="str">
        <f>GLOBAL_DER_FEV_2023!C108</f>
        <v/>
      </c>
      <c r="D108" s="1141">
        <f>GLOBAL_DER_FEV_2023!D108</f>
        <v>0</v>
      </c>
      <c r="E108" s="907">
        <f>GLOBAL_DER_FEV_2023!E108</f>
        <v>0</v>
      </c>
      <c r="F108" s="908">
        <f>GLOBAL_DER_FEV_2023!F108</f>
        <v>0</v>
      </c>
      <c r="G108" s="912">
        <f>GLOBAL_DER_FEV_2023!G108</f>
        <v>0</v>
      </c>
      <c r="H108" s="901">
        <f>GLOBAL_DER_FEV_2023!H108</f>
        <v>0</v>
      </c>
      <c r="I108" s="901">
        <f>GLOBAL_DER_FEV_2023!I108</f>
        <v>0</v>
      </c>
      <c r="J108" s="890">
        <f>GLOBAL_DER_FEV_2023!J108</f>
        <v>0</v>
      </c>
      <c r="K108" s="903" t="str">
        <f>GLOBAL_DER_FEV_2023!K108</f>
        <v xml:space="preserve">     </v>
      </c>
      <c r="L108" s="1137"/>
      <c r="M108" s="1138">
        <f t="shared" si="7"/>
        <v>0</v>
      </c>
      <c r="N108" s="893">
        <f t="shared" si="10"/>
        <v>0</v>
      </c>
      <c r="O108" s="905"/>
      <c r="Q108" s="317" t="str">
        <f t="shared" si="6"/>
        <v/>
      </c>
      <c r="R108" s="317" t="str">
        <f t="shared" si="8"/>
        <v/>
      </c>
      <c r="S108" s="317" t="str">
        <f t="shared" si="9"/>
        <v/>
      </c>
      <c r="T108" s="317" t="str">
        <f>GLOBAL_DER_FEV_2023!S108</f>
        <v/>
      </c>
      <c r="W108" s="582">
        <v>0</v>
      </c>
      <c r="X108" s="580"/>
      <c r="Y108" s="583">
        <f>IF(GLOBAL_DER_FEV_2023!W108=0,0,IF(GLOBAL_DER_FEV_2023!W108&gt;0,"c","b"))</f>
        <v>0</v>
      </c>
    </row>
    <row r="109" spans="1:25" ht="15" hidden="1" customHeight="1" x14ac:dyDescent="0.2">
      <c r="A109" s="640" t="s">
        <v>165</v>
      </c>
      <c r="B109" s="1036" t="str">
        <f>GLOBAL_DER_FEV_2023!B109</f>
        <v/>
      </c>
      <c r="C109" s="1072" t="str">
        <f>GLOBAL_DER_FEV_2023!C109</f>
        <v/>
      </c>
      <c r="D109" s="1141">
        <f>GLOBAL_DER_FEV_2023!D109</f>
        <v>0</v>
      </c>
      <c r="E109" s="907">
        <f>GLOBAL_DER_FEV_2023!E109</f>
        <v>0</v>
      </c>
      <c r="F109" s="908">
        <f>GLOBAL_DER_FEV_2023!F109</f>
        <v>0</v>
      </c>
      <c r="G109" s="912">
        <f>GLOBAL_DER_FEV_2023!G109</f>
        <v>0</v>
      </c>
      <c r="H109" s="901">
        <f>GLOBAL_DER_FEV_2023!H109</f>
        <v>0</v>
      </c>
      <c r="I109" s="901">
        <f>GLOBAL_DER_FEV_2023!I109</f>
        <v>0</v>
      </c>
      <c r="J109" s="890">
        <f>GLOBAL_DER_FEV_2023!J109</f>
        <v>0</v>
      </c>
      <c r="K109" s="903" t="str">
        <f>GLOBAL_DER_FEV_2023!K109</f>
        <v xml:space="preserve">     </v>
      </c>
      <c r="L109" s="1137"/>
      <c r="M109" s="1138">
        <f t="shared" si="7"/>
        <v>0</v>
      </c>
      <c r="N109" s="893">
        <f t="shared" si="10"/>
        <v>0</v>
      </c>
      <c r="O109" s="905"/>
      <c r="Q109" s="317" t="str">
        <f t="shared" si="6"/>
        <v/>
      </c>
      <c r="R109" s="317" t="str">
        <f t="shared" si="8"/>
        <v/>
      </c>
      <c r="S109" s="317" t="str">
        <f t="shared" si="9"/>
        <v/>
      </c>
      <c r="T109" s="317" t="str">
        <f>GLOBAL_DER_FEV_2023!S109</f>
        <v/>
      </c>
      <c r="W109" s="582">
        <v>0</v>
      </c>
      <c r="X109" s="580"/>
      <c r="Y109" s="583">
        <f>IF(GLOBAL_DER_FEV_2023!W109=0,0,IF(GLOBAL_DER_FEV_2023!W109&gt;0,"c","b"))</f>
        <v>0</v>
      </c>
    </row>
    <row r="110" spans="1:25" ht="15" hidden="1" customHeight="1" x14ac:dyDescent="0.2">
      <c r="A110" s="640" t="s">
        <v>165</v>
      </c>
      <c r="B110" s="1036" t="str">
        <f>GLOBAL_DER_FEV_2023!B110</f>
        <v/>
      </c>
      <c r="C110" s="1072" t="str">
        <f>GLOBAL_DER_FEV_2023!C110</f>
        <v/>
      </c>
      <c r="D110" s="1141">
        <f>GLOBAL_DER_FEV_2023!D110</f>
        <v>0</v>
      </c>
      <c r="E110" s="907">
        <f>GLOBAL_DER_FEV_2023!E110</f>
        <v>0</v>
      </c>
      <c r="F110" s="908">
        <f>GLOBAL_DER_FEV_2023!F110</f>
        <v>0</v>
      </c>
      <c r="G110" s="912">
        <f>GLOBAL_DER_FEV_2023!G110</f>
        <v>0</v>
      </c>
      <c r="H110" s="901">
        <f>GLOBAL_DER_FEV_2023!H110</f>
        <v>0</v>
      </c>
      <c r="I110" s="901">
        <f>GLOBAL_DER_FEV_2023!I110</f>
        <v>0</v>
      </c>
      <c r="J110" s="890">
        <f>GLOBAL_DER_FEV_2023!J110</f>
        <v>0</v>
      </c>
      <c r="K110" s="903" t="str">
        <f>GLOBAL_DER_FEV_2023!K110</f>
        <v xml:space="preserve">     </v>
      </c>
      <c r="L110" s="1137"/>
      <c r="M110" s="1138">
        <f t="shared" si="7"/>
        <v>0</v>
      </c>
      <c r="N110" s="893">
        <f t="shared" si="10"/>
        <v>0</v>
      </c>
      <c r="O110" s="905"/>
      <c r="Q110" s="317" t="str">
        <f t="shared" si="6"/>
        <v/>
      </c>
      <c r="R110" s="317" t="str">
        <f t="shared" si="8"/>
        <v/>
      </c>
      <c r="S110" s="317" t="str">
        <f t="shared" si="9"/>
        <v/>
      </c>
      <c r="T110" s="317" t="str">
        <f>GLOBAL_DER_FEV_2023!S110</f>
        <v/>
      </c>
      <c r="W110" s="582">
        <v>0</v>
      </c>
      <c r="X110" s="580"/>
      <c r="Y110" s="583">
        <f>IF(GLOBAL_DER_FEV_2023!W110=0,0,IF(GLOBAL_DER_FEV_2023!W110&gt;0,"c","b"))</f>
        <v>0</v>
      </c>
    </row>
    <row r="111" spans="1:25" ht="15" hidden="1" customHeight="1" x14ac:dyDescent="0.2">
      <c r="A111" s="640" t="s">
        <v>165</v>
      </c>
      <c r="B111" s="1036" t="str">
        <f>GLOBAL_DER_FEV_2023!B111</f>
        <v/>
      </c>
      <c r="C111" s="1072" t="str">
        <f>GLOBAL_DER_FEV_2023!C111</f>
        <v/>
      </c>
      <c r="D111" s="1141">
        <f>GLOBAL_DER_FEV_2023!D111</f>
        <v>0</v>
      </c>
      <c r="E111" s="907">
        <f>GLOBAL_DER_FEV_2023!E111</f>
        <v>0</v>
      </c>
      <c r="F111" s="908">
        <f>GLOBAL_DER_FEV_2023!F111</f>
        <v>0</v>
      </c>
      <c r="G111" s="912">
        <f>GLOBAL_DER_FEV_2023!G111</f>
        <v>0</v>
      </c>
      <c r="H111" s="901">
        <f>GLOBAL_DER_FEV_2023!H111</f>
        <v>0</v>
      </c>
      <c r="I111" s="901">
        <f>GLOBAL_DER_FEV_2023!I111</f>
        <v>0</v>
      </c>
      <c r="J111" s="890">
        <f>GLOBAL_DER_FEV_2023!J111</f>
        <v>0</v>
      </c>
      <c r="K111" s="903" t="str">
        <f>GLOBAL_DER_FEV_2023!K111</f>
        <v xml:space="preserve">     </v>
      </c>
      <c r="L111" s="1137"/>
      <c r="M111" s="1138">
        <f t="shared" si="7"/>
        <v>0</v>
      </c>
      <c r="N111" s="893">
        <f t="shared" si="10"/>
        <v>0</v>
      </c>
      <c r="O111" s="905"/>
      <c r="Q111" s="317" t="str">
        <f t="shared" si="6"/>
        <v/>
      </c>
      <c r="R111" s="317" t="str">
        <f t="shared" si="8"/>
        <v/>
      </c>
      <c r="S111" s="317" t="str">
        <f t="shared" si="9"/>
        <v/>
      </c>
      <c r="T111" s="317" t="str">
        <f>GLOBAL_DER_FEV_2023!S111</f>
        <v/>
      </c>
      <c r="W111" s="582">
        <v>0</v>
      </c>
      <c r="X111" s="580"/>
      <c r="Y111" s="583">
        <f>IF(GLOBAL_DER_FEV_2023!W111=0,0,IF(GLOBAL_DER_FEV_2023!W111&gt;0,"c","b"))</f>
        <v>0</v>
      </c>
    </row>
    <row r="112" spans="1:25" ht="15" hidden="1" customHeight="1" x14ac:dyDescent="0.2">
      <c r="A112" s="640" t="s">
        <v>165</v>
      </c>
      <c r="B112" s="1036" t="str">
        <f>GLOBAL_DER_FEV_2023!B112</f>
        <v/>
      </c>
      <c r="C112" s="1072" t="str">
        <f>GLOBAL_DER_FEV_2023!C112</f>
        <v/>
      </c>
      <c r="D112" s="1141">
        <f>GLOBAL_DER_FEV_2023!D112</f>
        <v>0</v>
      </c>
      <c r="E112" s="907">
        <f>GLOBAL_DER_FEV_2023!E112</f>
        <v>0</v>
      </c>
      <c r="F112" s="908">
        <f>GLOBAL_DER_FEV_2023!F112</f>
        <v>0</v>
      </c>
      <c r="G112" s="912">
        <f>GLOBAL_DER_FEV_2023!G112</f>
        <v>0</v>
      </c>
      <c r="H112" s="901">
        <f>GLOBAL_DER_FEV_2023!H112</f>
        <v>0</v>
      </c>
      <c r="I112" s="901">
        <f>GLOBAL_DER_FEV_2023!I112</f>
        <v>0</v>
      </c>
      <c r="J112" s="890">
        <f>GLOBAL_DER_FEV_2023!J112</f>
        <v>0</v>
      </c>
      <c r="K112" s="903" t="str">
        <f>GLOBAL_DER_FEV_2023!K112</f>
        <v xml:space="preserve">     </v>
      </c>
      <c r="L112" s="1137"/>
      <c r="M112" s="1138">
        <f t="shared" si="7"/>
        <v>0</v>
      </c>
      <c r="N112" s="893">
        <f t="shared" si="10"/>
        <v>0</v>
      </c>
      <c r="O112" s="905"/>
      <c r="Q112" s="317" t="str">
        <f t="shared" si="6"/>
        <v/>
      </c>
      <c r="R112" s="317" t="str">
        <f t="shared" si="8"/>
        <v/>
      </c>
      <c r="S112" s="317" t="str">
        <f t="shared" si="9"/>
        <v/>
      </c>
      <c r="T112" s="317" t="str">
        <f>GLOBAL_DER_FEV_2023!S112</f>
        <v/>
      </c>
      <c r="W112" s="582">
        <v>0</v>
      </c>
      <c r="X112" s="580"/>
      <c r="Y112" s="583">
        <f>IF(GLOBAL_DER_FEV_2023!W112=0,0,IF(GLOBAL_DER_FEV_2023!W112&gt;0,"c","b"))</f>
        <v>0</v>
      </c>
    </row>
    <row r="113" spans="1:25" ht="15" hidden="1" customHeight="1" x14ac:dyDescent="0.2">
      <c r="A113" s="640" t="s">
        <v>165</v>
      </c>
      <c r="B113" s="1036" t="str">
        <f>GLOBAL_DER_FEV_2023!B113</f>
        <v/>
      </c>
      <c r="C113" s="1072" t="str">
        <f>GLOBAL_DER_FEV_2023!C113</f>
        <v/>
      </c>
      <c r="D113" s="1141">
        <f>GLOBAL_DER_FEV_2023!D113</f>
        <v>0</v>
      </c>
      <c r="E113" s="907">
        <f>GLOBAL_DER_FEV_2023!E113</f>
        <v>0</v>
      </c>
      <c r="F113" s="908">
        <f>GLOBAL_DER_FEV_2023!F113</f>
        <v>0</v>
      </c>
      <c r="G113" s="912">
        <f>GLOBAL_DER_FEV_2023!G113</f>
        <v>0</v>
      </c>
      <c r="H113" s="901">
        <f>GLOBAL_DER_FEV_2023!H113</f>
        <v>0</v>
      </c>
      <c r="I113" s="901">
        <f>GLOBAL_DER_FEV_2023!I113</f>
        <v>0</v>
      </c>
      <c r="J113" s="890">
        <f>GLOBAL_DER_FEV_2023!J113</f>
        <v>0</v>
      </c>
      <c r="K113" s="903" t="str">
        <f>GLOBAL_DER_FEV_2023!K113</f>
        <v xml:space="preserve">     </v>
      </c>
      <c r="L113" s="1137"/>
      <c r="M113" s="1138">
        <f t="shared" si="7"/>
        <v>0</v>
      </c>
      <c r="N113" s="893">
        <f t="shared" si="10"/>
        <v>0</v>
      </c>
      <c r="O113" s="905"/>
      <c r="Q113" s="317" t="str">
        <f t="shared" si="6"/>
        <v/>
      </c>
      <c r="R113" s="317" t="str">
        <f t="shared" si="8"/>
        <v/>
      </c>
      <c r="S113" s="317" t="str">
        <f t="shared" si="9"/>
        <v/>
      </c>
      <c r="T113" s="317" t="str">
        <f>GLOBAL_DER_FEV_2023!S113</f>
        <v/>
      </c>
      <c r="W113" s="582">
        <v>0</v>
      </c>
      <c r="X113" s="580"/>
      <c r="Y113" s="583">
        <f>IF(GLOBAL_DER_FEV_2023!W113=0,0,IF(GLOBAL_DER_FEV_2023!W113&gt;0,"c","b"))</f>
        <v>0</v>
      </c>
    </row>
    <row r="114" spans="1:25" ht="15" hidden="1" customHeight="1" x14ac:dyDescent="0.2">
      <c r="A114" s="640" t="s">
        <v>165</v>
      </c>
      <c r="B114" s="1036" t="str">
        <f>GLOBAL_DER_FEV_2023!B114</f>
        <v/>
      </c>
      <c r="C114" s="1072" t="str">
        <f>GLOBAL_DER_FEV_2023!C114</f>
        <v/>
      </c>
      <c r="D114" s="1141">
        <f>GLOBAL_DER_FEV_2023!D114</f>
        <v>0</v>
      </c>
      <c r="E114" s="907">
        <f>GLOBAL_DER_FEV_2023!E114</f>
        <v>0</v>
      </c>
      <c r="F114" s="908">
        <f>GLOBAL_DER_FEV_2023!F114</f>
        <v>0</v>
      </c>
      <c r="G114" s="912">
        <f>GLOBAL_DER_FEV_2023!G114</f>
        <v>0</v>
      </c>
      <c r="H114" s="901">
        <f>GLOBAL_DER_FEV_2023!H114</f>
        <v>0</v>
      </c>
      <c r="I114" s="901">
        <f>GLOBAL_DER_FEV_2023!I114</f>
        <v>0</v>
      </c>
      <c r="J114" s="890">
        <f>GLOBAL_DER_FEV_2023!J114</f>
        <v>0</v>
      </c>
      <c r="K114" s="903" t="str">
        <f>GLOBAL_DER_FEV_2023!K114</f>
        <v xml:space="preserve">     </v>
      </c>
      <c r="L114" s="1137"/>
      <c r="M114" s="1138">
        <f t="shared" si="7"/>
        <v>0</v>
      </c>
      <c r="N114" s="893">
        <f t="shared" si="10"/>
        <v>0</v>
      </c>
      <c r="O114" s="905"/>
      <c r="Q114" s="317" t="str">
        <f t="shared" si="6"/>
        <v/>
      </c>
      <c r="R114" s="317" t="str">
        <f t="shared" si="8"/>
        <v/>
      </c>
      <c r="S114" s="317" t="str">
        <f t="shared" si="9"/>
        <v/>
      </c>
      <c r="T114" s="317" t="str">
        <f>GLOBAL_DER_FEV_2023!S114</f>
        <v/>
      </c>
      <c r="W114" s="582">
        <v>0</v>
      </c>
      <c r="X114" s="580"/>
      <c r="Y114" s="583">
        <f>IF(GLOBAL_DER_FEV_2023!W114=0,0,IF(GLOBAL_DER_FEV_2023!W114&gt;0,"c","b"))</f>
        <v>0</v>
      </c>
    </row>
    <row r="115" spans="1:25" ht="15" hidden="1" customHeight="1" x14ac:dyDescent="0.2">
      <c r="A115" s="640" t="s">
        <v>165</v>
      </c>
      <c r="B115" s="1036" t="str">
        <f>GLOBAL_DER_FEV_2023!B115</f>
        <v/>
      </c>
      <c r="C115" s="1072" t="str">
        <f>GLOBAL_DER_FEV_2023!C115</f>
        <v/>
      </c>
      <c r="D115" s="1141">
        <f>GLOBAL_DER_FEV_2023!D115</f>
        <v>0</v>
      </c>
      <c r="E115" s="907">
        <f>GLOBAL_DER_FEV_2023!E115</f>
        <v>0</v>
      </c>
      <c r="F115" s="908">
        <f>GLOBAL_DER_FEV_2023!F115</f>
        <v>0</v>
      </c>
      <c r="G115" s="912">
        <f>GLOBAL_DER_FEV_2023!G115</f>
        <v>0</v>
      </c>
      <c r="H115" s="901">
        <f>GLOBAL_DER_FEV_2023!H115</f>
        <v>0</v>
      </c>
      <c r="I115" s="901">
        <f>GLOBAL_DER_FEV_2023!I115</f>
        <v>0</v>
      </c>
      <c r="J115" s="890">
        <f>GLOBAL_DER_FEV_2023!J115</f>
        <v>0</v>
      </c>
      <c r="K115" s="903" t="str">
        <f>GLOBAL_DER_FEV_2023!K115</f>
        <v xml:space="preserve">     </v>
      </c>
      <c r="L115" s="1137"/>
      <c r="M115" s="1138">
        <f t="shared" si="7"/>
        <v>0</v>
      </c>
      <c r="N115" s="893">
        <f t="shared" si="10"/>
        <v>0</v>
      </c>
      <c r="O115" s="905"/>
      <c r="Q115" s="317" t="str">
        <f t="shared" si="6"/>
        <v/>
      </c>
      <c r="R115" s="317" t="str">
        <f t="shared" si="8"/>
        <v/>
      </c>
      <c r="S115" s="317" t="str">
        <f t="shared" si="9"/>
        <v/>
      </c>
      <c r="T115" s="317" t="str">
        <f>GLOBAL_DER_FEV_2023!S115</f>
        <v/>
      </c>
      <c r="W115" s="582">
        <v>0</v>
      </c>
      <c r="X115" s="580"/>
      <c r="Y115" s="583">
        <f>IF(GLOBAL_DER_FEV_2023!W115=0,0,IF(GLOBAL_DER_FEV_2023!W115&gt;0,"c","b"))</f>
        <v>0</v>
      </c>
    </row>
    <row r="116" spans="1:25" ht="15" hidden="1" customHeight="1" thickBot="1" x14ac:dyDescent="0.25">
      <c r="A116" s="640" t="s">
        <v>165</v>
      </c>
      <c r="B116" s="1036" t="str">
        <f>GLOBAL_DER_FEV_2023!B116</f>
        <v/>
      </c>
      <c r="C116" s="1072" t="str">
        <f>GLOBAL_DER_FEV_2023!C116</f>
        <v/>
      </c>
      <c r="D116" s="1141">
        <f>GLOBAL_DER_FEV_2023!D116</f>
        <v>0</v>
      </c>
      <c r="E116" s="907">
        <f>GLOBAL_DER_FEV_2023!E116</f>
        <v>0</v>
      </c>
      <c r="F116" s="908">
        <f>GLOBAL_DER_FEV_2023!F116</f>
        <v>0</v>
      </c>
      <c r="G116" s="912">
        <f>GLOBAL_DER_FEV_2023!G116</f>
        <v>0</v>
      </c>
      <c r="H116" s="901">
        <f>GLOBAL_DER_FEV_2023!H116</f>
        <v>0</v>
      </c>
      <c r="I116" s="901">
        <f>GLOBAL_DER_FEV_2023!I116</f>
        <v>0</v>
      </c>
      <c r="J116" s="890">
        <f>GLOBAL_DER_FEV_2023!J116</f>
        <v>0</v>
      </c>
      <c r="K116" s="903" t="str">
        <f>GLOBAL_DER_FEV_2023!K116</f>
        <v xml:space="preserve">     </v>
      </c>
      <c r="L116" s="1137"/>
      <c r="M116" s="1138">
        <f t="shared" si="7"/>
        <v>0</v>
      </c>
      <c r="N116" s="893">
        <f t="shared" si="10"/>
        <v>0</v>
      </c>
      <c r="O116" s="905"/>
      <c r="Q116" s="317" t="str">
        <f t="shared" si="6"/>
        <v/>
      </c>
      <c r="R116" s="317" t="str">
        <f t="shared" si="8"/>
        <v/>
      </c>
      <c r="S116" s="317" t="str">
        <f t="shared" si="9"/>
        <v/>
      </c>
      <c r="T116" s="317" t="str">
        <f>GLOBAL_DER_FEV_2023!S116</f>
        <v/>
      </c>
      <c r="W116" s="582">
        <v>0</v>
      </c>
      <c r="X116" s="580"/>
      <c r="Y116" s="583">
        <f>IF(GLOBAL_DER_FEV_2023!W116=0,0,IF(GLOBAL_DER_FEV_2023!W116&gt;0,"c","b"))</f>
        <v>0</v>
      </c>
    </row>
    <row r="117" spans="1:25" ht="15" hidden="1" customHeight="1" thickBot="1" x14ac:dyDescent="0.25">
      <c r="A117" s="317" t="s">
        <v>185</v>
      </c>
      <c r="B117" s="950" t="s">
        <v>185</v>
      </c>
      <c r="C117" s="951"/>
      <c r="D117" s="952" t="s">
        <v>434</v>
      </c>
      <c r="E117" s="943">
        <f>GLOBAL_DER_FEV_2023!E117</f>
        <v>0</v>
      </c>
      <c r="F117" s="876"/>
      <c r="G117" s="945"/>
      <c r="H117" s="945">
        <f>GLOBAL_DER_FEV_2023!H117</f>
        <v>0</v>
      </c>
      <c r="I117" s="945">
        <f>GLOBAL_DER_FEV_2023!I117</f>
        <v>0</v>
      </c>
      <c r="J117" s="945">
        <f>GLOBAL_DER_FEV_2023!J117</f>
        <v>0</v>
      </c>
      <c r="K117" s="878" t="s">
        <v>507</v>
      </c>
      <c r="L117" s="879"/>
      <c r="M117" s="880"/>
      <c r="N117" s="881">
        <f t="shared" si="10"/>
        <v>0</v>
      </c>
      <c r="O117" s="882">
        <f>SUM(N118:N227)</f>
        <v>0</v>
      </c>
      <c r="P117" s="58" t="str">
        <f>IF(OR(O117&gt;0,O117&gt;0),"X","")</f>
        <v/>
      </c>
      <c r="Q117" s="317" t="str">
        <f t="shared" si="6"/>
        <v/>
      </c>
      <c r="R117" s="317" t="str">
        <f t="shared" si="8"/>
        <v/>
      </c>
      <c r="S117" s="317" t="str">
        <f t="shared" si="9"/>
        <v/>
      </c>
      <c r="T117" s="317" t="str">
        <f>GLOBAL_DER_FEV_2023!S117</f>
        <v/>
      </c>
      <c r="W117" s="582">
        <v>0</v>
      </c>
      <c r="X117" s="580"/>
      <c r="Y117" s="583">
        <f>IF(GLOBAL_DER_FEV_2023!W117=0,0,IF(GLOBAL_DER_FEV_2023!W117&gt;0,"c","b"))</f>
        <v>0</v>
      </c>
    </row>
    <row r="118" spans="1:25" ht="13.5" hidden="1" thickBot="1" x14ac:dyDescent="0.25">
      <c r="A118" s="317">
        <v>520100</v>
      </c>
      <c r="B118" s="895" t="s">
        <v>1558</v>
      </c>
      <c r="C118" s="896" t="s">
        <v>184</v>
      </c>
      <c r="D118" s="906" t="s">
        <v>270</v>
      </c>
      <c r="E118" s="898">
        <f>GLOBAL_DER_FEV_2023!E118</f>
        <v>0.5</v>
      </c>
      <c r="F118" s="899">
        <f>GLOBAL_DER_FEV_2023!F118</f>
        <v>2.0999999999999996</v>
      </c>
      <c r="G118" s="953">
        <f>GLOBAL_DER_FEV_2023!G118</f>
        <v>6.7514999999999992</v>
      </c>
      <c r="H118" s="954">
        <f>GLOBAL_DER_FEV_2023!H118</f>
        <v>5.45</v>
      </c>
      <c r="I118" s="901">
        <f>GLOBAL_DER_FEV_2023!I118</f>
        <v>12.201499999999999</v>
      </c>
      <c r="J118" s="902">
        <f>GLOBAL_DER_FEV_2023!J118</f>
        <v>14.65</v>
      </c>
      <c r="K118" s="903" t="s">
        <v>10</v>
      </c>
      <c r="L118" s="1137"/>
      <c r="M118" s="1150">
        <f t="shared" si="7"/>
        <v>0</v>
      </c>
      <c r="N118" s="893">
        <f t="shared" si="10"/>
        <v>0</v>
      </c>
      <c r="O118" s="905"/>
      <c r="Q118" s="317" t="str">
        <f t="shared" si="6"/>
        <v/>
      </c>
      <c r="R118" s="317" t="str">
        <f t="shared" si="8"/>
        <v/>
      </c>
      <c r="S118" s="317" t="str">
        <f t="shared" si="9"/>
        <v/>
      </c>
      <c r="T118" s="317" t="str">
        <f>GLOBAL_DER_FEV_2023!S118</f>
        <v/>
      </c>
      <c r="W118" s="582">
        <v>0</v>
      </c>
      <c r="X118" s="580"/>
      <c r="Y118" s="583">
        <f>IF(GLOBAL_DER_FEV_2023!W118=0,0,IF(GLOBAL_DER_FEV_2023!W118&gt;0,"c","b"))</f>
        <v>0</v>
      </c>
    </row>
    <row r="119" spans="1:25" ht="13.5" hidden="1" thickBot="1" x14ac:dyDescent="0.25">
      <c r="A119" s="317">
        <v>520100</v>
      </c>
      <c r="B119" s="895" t="s">
        <v>1559</v>
      </c>
      <c r="C119" s="896" t="s">
        <v>184</v>
      </c>
      <c r="D119" s="906" t="s">
        <v>271</v>
      </c>
      <c r="E119" s="898">
        <f>GLOBAL_DER_FEV_2023!E119</f>
        <v>15</v>
      </c>
      <c r="F119" s="899">
        <f>GLOBAL_DER_FEV_2023!F119</f>
        <v>2.0999999999999996</v>
      </c>
      <c r="G119" s="953">
        <f>GLOBAL_DER_FEV_2023!G119</f>
        <v>39.332999999999991</v>
      </c>
      <c r="H119" s="954">
        <f>GLOBAL_DER_FEV_2023!H119</f>
        <v>5.45</v>
      </c>
      <c r="I119" s="901">
        <f>GLOBAL_DER_FEV_2023!I119</f>
        <v>44.782999999999994</v>
      </c>
      <c r="J119" s="902">
        <f>GLOBAL_DER_FEV_2023!J119</f>
        <v>53.77</v>
      </c>
      <c r="K119" s="903" t="s">
        <v>10</v>
      </c>
      <c r="L119" s="1137"/>
      <c r="M119" s="1150">
        <f t="shared" si="7"/>
        <v>0</v>
      </c>
      <c r="N119" s="893">
        <f t="shared" si="10"/>
        <v>0</v>
      </c>
      <c r="O119" s="905"/>
      <c r="Q119" s="317" t="str">
        <f t="shared" si="6"/>
        <v/>
      </c>
      <c r="R119" s="317" t="str">
        <f t="shared" si="8"/>
        <v/>
      </c>
      <c r="S119" s="317" t="str">
        <f t="shared" si="9"/>
        <v/>
      </c>
      <c r="T119" s="317" t="str">
        <f>GLOBAL_DER_FEV_2023!S119</f>
        <v/>
      </c>
      <c r="W119" s="582">
        <v>0</v>
      </c>
      <c r="X119" s="580"/>
      <c r="Y119" s="583">
        <f>IF(GLOBAL_DER_FEV_2023!W119=0,0,IF(GLOBAL_DER_FEV_2023!W119&gt;0,"c","b"))</f>
        <v>0</v>
      </c>
    </row>
    <row r="120" spans="1:25" ht="13.5" hidden="1" thickBot="1" x14ac:dyDescent="0.25">
      <c r="A120" s="317">
        <v>532100</v>
      </c>
      <c r="B120" s="895">
        <v>532100</v>
      </c>
      <c r="C120" s="896" t="s">
        <v>184</v>
      </c>
      <c r="D120" s="906" t="s">
        <v>182</v>
      </c>
      <c r="E120" s="898">
        <f>GLOBAL_DER_FEV_2023!E120</f>
        <v>20</v>
      </c>
      <c r="F120" s="908">
        <f>GLOBAL_DER_FEV_2023!F120</f>
        <v>2.1</v>
      </c>
      <c r="G120" s="953">
        <f>GLOBAL_DER_FEV_2023!G120</f>
        <v>50.568000000000005</v>
      </c>
      <c r="H120" s="901">
        <f>GLOBAL_DER_FEV_2023!H120</f>
        <v>92.64</v>
      </c>
      <c r="I120" s="901">
        <f>GLOBAL_DER_FEV_2023!I120</f>
        <v>143.208</v>
      </c>
      <c r="J120" s="902">
        <f>GLOBAL_DER_FEV_2023!J120</f>
        <v>171.95</v>
      </c>
      <c r="K120" s="903" t="s">
        <v>10</v>
      </c>
      <c r="L120" s="1137"/>
      <c r="M120" s="1150">
        <f t="shared" si="7"/>
        <v>0</v>
      </c>
      <c r="N120" s="893">
        <f t="shared" si="10"/>
        <v>0</v>
      </c>
      <c r="O120" s="905"/>
      <c r="Q120" s="317" t="str">
        <f t="shared" si="6"/>
        <v/>
      </c>
      <c r="R120" s="317" t="str">
        <f t="shared" si="8"/>
        <v/>
      </c>
      <c r="S120" s="317" t="str">
        <f t="shared" si="9"/>
        <v/>
      </c>
      <c r="T120" s="317" t="str">
        <f>GLOBAL_DER_FEV_2023!S120</f>
        <v/>
      </c>
      <c r="W120" s="582">
        <v>0</v>
      </c>
      <c r="X120" s="580"/>
      <c r="Y120" s="583">
        <f>IF(GLOBAL_DER_FEV_2023!W120=0,0,IF(GLOBAL_DER_FEV_2023!W120&gt;0,"c","b"))</f>
        <v>0</v>
      </c>
    </row>
    <row r="121" spans="1:25" ht="13.5" hidden="1" thickBot="1" x14ac:dyDescent="0.25">
      <c r="A121" s="317">
        <v>452010</v>
      </c>
      <c r="B121" s="955">
        <v>452010</v>
      </c>
      <c r="C121" s="956" t="s">
        <v>184</v>
      </c>
      <c r="D121" s="906" t="s">
        <v>188</v>
      </c>
      <c r="E121" s="898">
        <f>GLOBAL_DER_FEV_2023!E121</f>
        <v>20</v>
      </c>
      <c r="F121" s="899">
        <f>GLOBAL_DER_FEV_2023!F121</f>
        <v>1.98</v>
      </c>
      <c r="G121" s="953">
        <f>GLOBAL_DER_FEV_2023!G121</f>
        <v>47.678400000000003</v>
      </c>
      <c r="H121" s="901">
        <f>GLOBAL_DER_FEV_2023!H121</f>
        <v>15.69</v>
      </c>
      <c r="I121" s="901">
        <f>GLOBAL_DER_FEV_2023!I121</f>
        <v>63.368400000000001</v>
      </c>
      <c r="J121" s="902">
        <f>GLOBAL_DER_FEV_2023!J121</f>
        <v>76.09</v>
      </c>
      <c r="K121" s="903" t="s">
        <v>10</v>
      </c>
      <c r="L121" s="1137"/>
      <c r="M121" s="1150">
        <f t="shared" si="7"/>
        <v>0</v>
      </c>
      <c r="N121" s="893">
        <f t="shared" si="10"/>
        <v>0</v>
      </c>
      <c r="O121" s="905"/>
      <c r="Q121" s="317" t="str">
        <f t="shared" si="6"/>
        <v/>
      </c>
      <c r="R121" s="317" t="str">
        <f t="shared" si="8"/>
        <v/>
      </c>
      <c r="S121" s="317" t="str">
        <f t="shared" si="9"/>
        <v/>
      </c>
      <c r="T121" s="317" t="str">
        <f>GLOBAL_DER_FEV_2023!S121</f>
        <v/>
      </c>
      <c r="W121" s="582">
        <v>0</v>
      </c>
      <c r="X121" s="580"/>
      <c r="Y121" s="583">
        <f>IF(GLOBAL_DER_FEV_2023!W121=0,0,IF(GLOBAL_DER_FEV_2023!W121&gt;0,"c","b"))</f>
        <v>0</v>
      </c>
    </row>
    <row r="122" spans="1:25" ht="13.5" hidden="1" thickBot="1" x14ac:dyDescent="0.25">
      <c r="A122" s="317">
        <v>532500</v>
      </c>
      <c r="B122" s="895" t="s">
        <v>1530</v>
      </c>
      <c r="C122" s="896" t="s">
        <v>184</v>
      </c>
      <c r="D122" s="957" t="s">
        <v>329</v>
      </c>
      <c r="E122" s="907">
        <f>GLOBAL_DER_FEV_2023!E122</f>
        <v>150</v>
      </c>
      <c r="F122" s="908">
        <f>GLOBAL_DER_FEV_2023!F122</f>
        <v>1.7250000000000001</v>
      </c>
      <c r="G122" s="953">
        <f>GLOBAL_DER_FEV_2023!G122</f>
        <v>281.4855</v>
      </c>
      <c r="H122" s="901">
        <f>GLOBAL_DER_FEV_2023!H122</f>
        <v>102.38</v>
      </c>
      <c r="I122" s="901">
        <f>GLOBAL_DER_FEV_2023!I122</f>
        <v>383.8655</v>
      </c>
      <c r="J122" s="902">
        <f>GLOBAL_DER_FEV_2023!J122</f>
        <v>460.91</v>
      </c>
      <c r="K122" s="903" t="s">
        <v>10</v>
      </c>
      <c r="L122" s="1137"/>
      <c r="M122" s="1150">
        <f t="shared" si="7"/>
        <v>0</v>
      </c>
      <c r="N122" s="893">
        <f t="shared" si="10"/>
        <v>0</v>
      </c>
      <c r="O122" s="905"/>
      <c r="Q122" s="317" t="str">
        <f t="shared" si="6"/>
        <v/>
      </c>
      <c r="R122" s="317" t="str">
        <f t="shared" si="8"/>
        <v/>
      </c>
      <c r="S122" s="317" t="str">
        <f t="shared" si="9"/>
        <v/>
      </c>
      <c r="T122" s="317" t="str">
        <f>GLOBAL_DER_FEV_2023!S122</f>
        <v/>
      </c>
      <c r="W122" s="582">
        <v>0</v>
      </c>
      <c r="X122" s="580"/>
      <c r="Y122" s="583">
        <f>IF(GLOBAL_DER_FEV_2023!W122=0,0,IF(GLOBAL_DER_FEV_2023!W122&gt;0,"c","b"))</f>
        <v>0</v>
      </c>
    </row>
    <row r="123" spans="1:25" ht="14.45" hidden="1" customHeight="1" x14ac:dyDescent="0.2">
      <c r="A123" s="317">
        <v>603900</v>
      </c>
      <c r="B123" s="895" t="s">
        <v>1740</v>
      </c>
      <c r="C123" s="896" t="s">
        <v>184</v>
      </c>
      <c r="D123" s="957" t="s">
        <v>330</v>
      </c>
      <c r="E123" s="907">
        <f>GLOBAL_DER_FEV_2023!E123</f>
        <v>0.2</v>
      </c>
      <c r="F123" s="908">
        <f>GLOBAL_DER_FEV_2023!F123</f>
        <v>1.5</v>
      </c>
      <c r="G123" s="953">
        <f>GLOBAL_DER_FEV_2023!G123</f>
        <v>4.3410000000000002</v>
      </c>
      <c r="H123" s="901">
        <f>GLOBAL_DER_FEV_2023!H123</f>
        <v>131.84</v>
      </c>
      <c r="I123" s="901">
        <f>GLOBAL_DER_FEV_2023!I123</f>
        <v>136.18100000000001</v>
      </c>
      <c r="J123" s="902">
        <f>GLOBAL_DER_FEV_2023!J123</f>
        <v>163.51</v>
      </c>
      <c r="K123" s="903" t="s">
        <v>10</v>
      </c>
      <c r="L123" s="1137"/>
      <c r="M123" s="1150">
        <f t="shared" si="7"/>
        <v>0</v>
      </c>
      <c r="N123" s="893">
        <f t="shared" si="10"/>
        <v>0</v>
      </c>
      <c r="O123" s="905"/>
      <c r="Q123" s="317" t="str">
        <f t="shared" si="6"/>
        <v/>
      </c>
      <c r="R123" s="317" t="str">
        <f t="shared" si="8"/>
        <v/>
      </c>
      <c r="S123" s="317" t="str">
        <f t="shared" si="9"/>
        <v/>
      </c>
      <c r="T123" s="317" t="str">
        <f>GLOBAL_DER_FEV_2023!S123</f>
        <v/>
      </c>
      <c r="W123" s="582">
        <v>0</v>
      </c>
      <c r="X123" s="580"/>
      <c r="Y123" s="583">
        <f>IF(GLOBAL_DER_FEV_2023!W123=0,0,IF(GLOBAL_DER_FEV_2023!W123&gt;0,"c","b"))</f>
        <v>0</v>
      </c>
    </row>
    <row r="124" spans="1:25" ht="13.5" hidden="1" thickBot="1" x14ac:dyDescent="0.25">
      <c r="A124" s="317">
        <v>605000</v>
      </c>
      <c r="B124" s="895" t="s">
        <v>298</v>
      </c>
      <c r="C124" s="896" t="s">
        <v>184</v>
      </c>
      <c r="D124" s="906" t="s">
        <v>259</v>
      </c>
      <c r="E124" s="907">
        <f>GLOBAL_DER_FEV_2023!E124</f>
        <v>0</v>
      </c>
      <c r="F124" s="908">
        <f>GLOBAL_DER_FEV_2023!F124</f>
        <v>0</v>
      </c>
      <c r="G124" s="909">
        <f>GLOBAL_DER_FEV_2023!G124</f>
        <v>220.83394000000004</v>
      </c>
      <c r="H124" s="901">
        <f>GLOBAL_DER_FEV_2023!H124</f>
        <v>425.25</v>
      </c>
      <c r="I124" s="901">
        <f>GLOBAL_DER_FEV_2023!I124</f>
        <v>646.08393999999998</v>
      </c>
      <c r="J124" s="902">
        <f>GLOBAL_DER_FEV_2023!J124</f>
        <v>775.75</v>
      </c>
      <c r="K124" s="903" t="s">
        <v>10</v>
      </c>
      <c r="L124" s="1137"/>
      <c r="M124" s="1150">
        <f t="shared" si="7"/>
        <v>0</v>
      </c>
      <c r="N124" s="893">
        <f t="shared" si="10"/>
        <v>0</v>
      </c>
      <c r="O124" s="905"/>
      <c r="Q124" s="317" t="str">
        <f t="shared" si="6"/>
        <v/>
      </c>
      <c r="R124" s="317" t="str">
        <f t="shared" si="8"/>
        <v/>
      </c>
      <c r="S124" s="317" t="str">
        <f t="shared" si="9"/>
        <v/>
      </c>
      <c r="T124" s="317" t="str">
        <f>GLOBAL_DER_FEV_2023!S124</f>
        <v/>
      </c>
      <c r="W124" s="582">
        <v>0</v>
      </c>
      <c r="X124" s="580"/>
      <c r="Y124" s="583">
        <f>IF(GLOBAL_DER_FEV_2023!W124=0,0,IF(GLOBAL_DER_FEV_2023!W124&gt;0,"c","b"))</f>
        <v>0</v>
      </c>
    </row>
    <row r="125" spans="1:25" ht="13.5" hidden="1" thickBot="1" x14ac:dyDescent="0.25">
      <c r="A125" s="317" t="s">
        <v>147</v>
      </c>
      <c r="B125" s="895" t="s">
        <v>147</v>
      </c>
      <c r="C125" s="896"/>
      <c r="D125" s="957" t="s">
        <v>190</v>
      </c>
      <c r="E125" s="907">
        <f>GLOBAL_DER_FEV_2023!E125</f>
        <v>308</v>
      </c>
      <c r="F125" s="908">
        <f>GLOBAL_DER_FEV_2023!F125</f>
        <v>0.18</v>
      </c>
      <c r="G125" s="909">
        <f>GLOBAL_DER_FEV_2023!G125</f>
        <v>44.650799999999997</v>
      </c>
      <c r="H125" s="901">
        <f>GLOBAL_DER_FEV_2023!H125</f>
        <v>0</v>
      </c>
      <c r="I125" s="901">
        <f>GLOBAL_DER_FEV_2023!I125</f>
        <v>0</v>
      </c>
      <c r="J125" s="902">
        <f>GLOBAL_DER_FEV_2023!J125</f>
        <v>0</v>
      </c>
      <c r="K125" s="958" t="s">
        <v>507</v>
      </c>
      <c r="L125" s="959"/>
      <c r="M125" s="1041">
        <f t="shared" si="7"/>
        <v>0</v>
      </c>
      <c r="N125" s="893">
        <f t="shared" si="10"/>
        <v>0</v>
      </c>
      <c r="O125" s="905"/>
      <c r="P125" s="58" t="str">
        <f>IF(N124&gt;0,"xx",IF(N124&gt;0,"xy",""))</f>
        <v/>
      </c>
      <c r="Q125" s="317" t="str">
        <f t="shared" si="6"/>
        <v/>
      </c>
      <c r="R125" s="317" t="str">
        <f t="shared" si="8"/>
        <v/>
      </c>
      <c r="S125" s="317" t="str">
        <f t="shared" si="9"/>
        <v/>
      </c>
      <c r="T125" s="317" t="str">
        <f>GLOBAL_DER_FEV_2023!S125</f>
        <v/>
      </c>
      <c r="W125" s="582">
        <v>0</v>
      </c>
      <c r="X125" s="580"/>
      <c r="Y125" s="583">
        <f>IF(GLOBAL_DER_FEV_2023!W125=0,0,IF(GLOBAL_DER_FEV_2023!W125&gt;0,"c","b"))</f>
        <v>0</v>
      </c>
    </row>
    <row r="126" spans="1:25" ht="13.5" hidden="1" thickBot="1" x14ac:dyDescent="0.25">
      <c r="A126" s="317" t="s">
        <v>147</v>
      </c>
      <c r="B126" s="895" t="s">
        <v>147</v>
      </c>
      <c r="C126" s="896"/>
      <c r="D126" s="957" t="s">
        <v>229</v>
      </c>
      <c r="E126" s="907">
        <f>GLOBAL_DER_FEV_2023!E126</f>
        <v>150</v>
      </c>
      <c r="F126" s="908">
        <f>GLOBAL_DER_FEV_2023!F126</f>
        <v>1.06</v>
      </c>
      <c r="G126" s="909">
        <f>GLOBAL_DER_FEV_2023!G126</f>
        <v>172.97080000000003</v>
      </c>
      <c r="H126" s="901">
        <f>GLOBAL_DER_FEV_2023!H126</f>
        <v>0</v>
      </c>
      <c r="I126" s="901">
        <f>GLOBAL_DER_FEV_2023!I126</f>
        <v>0</v>
      </c>
      <c r="J126" s="902">
        <f>GLOBAL_DER_FEV_2023!J126</f>
        <v>0</v>
      </c>
      <c r="K126" s="958" t="s">
        <v>507</v>
      </c>
      <c r="L126" s="959"/>
      <c r="M126" s="1041">
        <f t="shared" si="7"/>
        <v>0</v>
      </c>
      <c r="N126" s="893">
        <f t="shared" si="10"/>
        <v>0</v>
      </c>
      <c r="O126" s="905"/>
      <c r="P126" s="58" t="str">
        <f>IF(N124&gt;0,"xx",IF(N124&gt;0,"xy",""))</f>
        <v/>
      </c>
      <c r="Q126" s="317" t="str">
        <f t="shared" si="6"/>
        <v/>
      </c>
      <c r="R126" s="317" t="str">
        <f t="shared" si="8"/>
        <v/>
      </c>
      <c r="S126" s="317" t="str">
        <f t="shared" si="9"/>
        <v/>
      </c>
      <c r="T126" s="317" t="str">
        <f>GLOBAL_DER_FEV_2023!S126</f>
        <v/>
      </c>
      <c r="W126" s="582">
        <v>0</v>
      </c>
      <c r="X126" s="580"/>
      <c r="Y126" s="583">
        <f>IF(GLOBAL_DER_FEV_2023!W126=0,0,IF(GLOBAL_DER_FEV_2023!W126&gt;0,"c","b"))</f>
        <v>0</v>
      </c>
    </row>
    <row r="127" spans="1:25" ht="13.5" hidden="1" thickBot="1" x14ac:dyDescent="0.25">
      <c r="A127" s="317" t="s">
        <v>147</v>
      </c>
      <c r="B127" s="895" t="s">
        <v>147</v>
      </c>
      <c r="C127" s="896"/>
      <c r="D127" s="957" t="s">
        <v>233</v>
      </c>
      <c r="E127" s="907">
        <f>GLOBAL_DER_FEV_2023!E127</f>
        <v>0.2</v>
      </c>
      <c r="F127" s="908">
        <f>GLOBAL_DER_FEV_2023!F127</f>
        <v>1.1100000000000001</v>
      </c>
      <c r="G127" s="909">
        <f>GLOBAL_DER_FEV_2023!G127</f>
        <v>3.2123400000000006</v>
      </c>
      <c r="H127" s="901">
        <f>GLOBAL_DER_FEV_2023!H127</f>
        <v>0</v>
      </c>
      <c r="I127" s="901">
        <f>GLOBAL_DER_FEV_2023!I127</f>
        <v>0</v>
      </c>
      <c r="J127" s="902">
        <f>GLOBAL_DER_FEV_2023!J127</f>
        <v>0</v>
      </c>
      <c r="K127" s="958" t="s">
        <v>507</v>
      </c>
      <c r="L127" s="959"/>
      <c r="M127" s="1041">
        <f t="shared" si="7"/>
        <v>0</v>
      </c>
      <c r="N127" s="893">
        <f t="shared" si="10"/>
        <v>0</v>
      </c>
      <c r="O127" s="905"/>
      <c r="P127" s="58" t="str">
        <f>IF(N124&gt;0,"xx",IF(N124&gt;0,"xy",""))</f>
        <v/>
      </c>
      <c r="Q127" s="317" t="str">
        <f t="shared" si="6"/>
        <v/>
      </c>
      <c r="R127" s="317" t="str">
        <f t="shared" si="8"/>
        <v/>
      </c>
      <c r="S127" s="317" t="str">
        <f t="shared" si="9"/>
        <v/>
      </c>
      <c r="T127" s="317" t="str">
        <f>GLOBAL_DER_FEV_2023!S127</f>
        <v/>
      </c>
      <c r="W127" s="582">
        <v>0</v>
      </c>
      <c r="X127" s="580"/>
      <c r="Y127" s="583">
        <f>IF(GLOBAL_DER_FEV_2023!W127=0,0,IF(GLOBAL_DER_FEV_2023!W127&gt;0,"c","b"))</f>
        <v>0</v>
      </c>
    </row>
    <row r="128" spans="1:25" ht="13.5" hidden="1" thickBot="1" x14ac:dyDescent="0.25">
      <c r="A128" s="317">
        <v>400500</v>
      </c>
      <c r="B128" s="895" t="s">
        <v>1529</v>
      </c>
      <c r="C128" s="896" t="s">
        <v>184</v>
      </c>
      <c r="D128" s="906" t="s">
        <v>1732</v>
      </c>
      <c r="E128" s="907">
        <f>GLOBAL_DER_FEV_2023!E128</f>
        <v>150</v>
      </c>
      <c r="F128" s="908">
        <f>GLOBAL_DER_FEV_2023!F128</f>
        <v>1.73</v>
      </c>
      <c r="G128" s="953">
        <f>GLOBAL_DER_FEV_2023!G128</f>
        <v>282.3014</v>
      </c>
      <c r="H128" s="901">
        <f>GLOBAL_DER_FEV_2023!H128</f>
        <v>83.83</v>
      </c>
      <c r="I128" s="901">
        <f>GLOBAL_DER_FEV_2023!I128</f>
        <v>366.13139999999999</v>
      </c>
      <c r="J128" s="902">
        <f>GLOBAL_DER_FEV_2023!J128</f>
        <v>439.61</v>
      </c>
      <c r="K128" s="903" t="s">
        <v>10</v>
      </c>
      <c r="L128" s="1137"/>
      <c r="M128" s="1150">
        <f t="shared" si="7"/>
        <v>0</v>
      </c>
      <c r="N128" s="893">
        <f t="shared" si="10"/>
        <v>0</v>
      </c>
      <c r="O128" s="905"/>
      <c r="Q128" s="317" t="str">
        <f t="shared" si="6"/>
        <v/>
      </c>
      <c r="R128" s="317" t="str">
        <f t="shared" si="8"/>
        <v/>
      </c>
      <c r="S128" s="317" t="str">
        <f t="shared" si="9"/>
        <v/>
      </c>
      <c r="T128" s="317" t="str">
        <f>GLOBAL_DER_FEV_2023!S128</f>
        <v/>
      </c>
      <c r="W128" s="582">
        <v>0</v>
      </c>
      <c r="X128" s="580"/>
      <c r="Y128" s="583">
        <f>IF(GLOBAL_DER_FEV_2023!W128=0,0,IF(GLOBAL_DER_FEV_2023!W128&gt;0,"c","b"))</f>
        <v>0</v>
      </c>
    </row>
    <row r="129" spans="1:25" ht="13.5" hidden="1" thickBot="1" x14ac:dyDescent="0.25">
      <c r="A129" s="317">
        <v>532500</v>
      </c>
      <c r="B129" s="895" t="s">
        <v>1531</v>
      </c>
      <c r="C129" s="896" t="s">
        <v>184</v>
      </c>
      <c r="D129" s="906" t="s">
        <v>1735</v>
      </c>
      <c r="E129" s="907">
        <f>GLOBAL_DER_FEV_2023!E129</f>
        <v>150</v>
      </c>
      <c r="F129" s="908">
        <f>GLOBAL_DER_FEV_2023!F129</f>
        <v>1.7250000000000001</v>
      </c>
      <c r="G129" s="953">
        <f>GLOBAL_DER_FEV_2023!G129</f>
        <v>281.4855</v>
      </c>
      <c r="H129" s="901">
        <f>GLOBAL_DER_FEV_2023!H129</f>
        <v>102.38</v>
      </c>
      <c r="I129" s="901">
        <f>GLOBAL_DER_FEV_2023!I129</f>
        <v>383.8655</v>
      </c>
      <c r="J129" s="902">
        <f>GLOBAL_DER_FEV_2023!J129</f>
        <v>460.91</v>
      </c>
      <c r="K129" s="903" t="s">
        <v>10</v>
      </c>
      <c r="L129" s="1137"/>
      <c r="M129" s="1150">
        <f t="shared" si="7"/>
        <v>0</v>
      </c>
      <c r="N129" s="893">
        <f t="shared" si="10"/>
        <v>0</v>
      </c>
      <c r="O129" s="905"/>
      <c r="Q129" s="317" t="str">
        <f t="shared" si="6"/>
        <v/>
      </c>
      <c r="R129" s="317" t="str">
        <f t="shared" si="8"/>
        <v/>
      </c>
      <c r="S129" s="317" t="str">
        <f t="shared" si="9"/>
        <v/>
      </c>
      <c r="T129" s="317" t="str">
        <f>GLOBAL_DER_FEV_2023!S129</f>
        <v/>
      </c>
      <c r="W129" s="582">
        <v>0</v>
      </c>
      <c r="X129" s="580"/>
      <c r="Y129" s="583">
        <f>IF(GLOBAL_DER_FEV_2023!W129=0,0,IF(GLOBAL_DER_FEV_2023!W129&gt;0,"c","b"))</f>
        <v>0</v>
      </c>
    </row>
    <row r="130" spans="1:25" ht="13.5" hidden="1" thickBot="1" x14ac:dyDescent="0.25">
      <c r="A130" s="317">
        <v>532600</v>
      </c>
      <c r="B130" s="895" t="s">
        <v>1564</v>
      </c>
      <c r="C130" s="896" t="s">
        <v>184</v>
      </c>
      <c r="D130" s="906" t="s">
        <v>1733</v>
      </c>
      <c r="E130" s="898">
        <f>GLOBAL_DER_FEV_2023!E130</f>
        <v>0</v>
      </c>
      <c r="F130" s="908">
        <f>GLOBAL_DER_FEV_2023!F130</f>
        <v>2.25</v>
      </c>
      <c r="G130" s="953">
        <f>GLOBAL_DER_FEV_2023!G130</f>
        <v>6.03</v>
      </c>
      <c r="H130" s="901">
        <f>GLOBAL_DER_FEV_2023!H130</f>
        <v>16.07</v>
      </c>
      <c r="I130" s="901">
        <f>GLOBAL_DER_FEV_2023!I130</f>
        <v>22.1</v>
      </c>
      <c r="J130" s="902">
        <f>GLOBAL_DER_FEV_2023!J130</f>
        <v>26.54</v>
      </c>
      <c r="K130" s="903" t="s">
        <v>10</v>
      </c>
      <c r="L130" s="1137"/>
      <c r="M130" s="1150">
        <f t="shared" si="7"/>
        <v>0</v>
      </c>
      <c r="N130" s="893">
        <f t="shared" si="10"/>
        <v>0</v>
      </c>
      <c r="O130" s="905"/>
      <c r="Q130" s="317" t="str">
        <f t="shared" si="6"/>
        <v/>
      </c>
      <c r="R130" s="317" t="str">
        <f t="shared" si="8"/>
        <v/>
      </c>
      <c r="S130" s="317" t="str">
        <f t="shared" si="9"/>
        <v/>
      </c>
      <c r="T130" s="317" t="str">
        <f>GLOBAL_DER_FEV_2023!S130</f>
        <v/>
      </c>
      <c r="W130" s="582">
        <v>0</v>
      </c>
      <c r="X130" s="580"/>
      <c r="Y130" s="583">
        <f>IF(GLOBAL_DER_FEV_2023!W130=0,0,IF(GLOBAL_DER_FEV_2023!W130&gt;0,"c","b"))</f>
        <v>0</v>
      </c>
    </row>
    <row r="131" spans="1:25" ht="13.5" hidden="1" thickBot="1" x14ac:dyDescent="0.25">
      <c r="A131" s="317">
        <v>603900</v>
      </c>
      <c r="B131" s="895" t="s">
        <v>1730</v>
      </c>
      <c r="C131" s="896" t="s">
        <v>184</v>
      </c>
      <c r="D131" s="906" t="s">
        <v>1734</v>
      </c>
      <c r="E131" s="907">
        <f>GLOBAL_DER_FEV_2023!E131</f>
        <v>0.2</v>
      </c>
      <c r="F131" s="908">
        <f>GLOBAL_DER_FEV_2023!F131</f>
        <v>1.5</v>
      </c>
      <c r="G131" s="953">
        <f>GLOBAL_DER_FEV_2023!G131</f>
        <v>4.3410000000000002</v>
      </c>
      <c r="H131" s="901">
        <f>GLOBAL_DER_FEV_2023!H131</f>
        <v>131.84</v>
      </c>
      <c r="I131" s="901">
        <f>GLOBAL_DER_FEV_2023!I131</f>
        <v>136.18100000000001</v>
      </c>
      <c r="J131" s="902">
        <f>GLOBAL_DER_FEV_2023!J131</f>
        <v>163.51</v>
      </c>
      <c r="K131" s="903" t="s">
        <v>10</v>
      </c>
      <c r="L131" s="1137"/>
      <c r="M131" s="1150">
        <f t="shared" si="7"/>
        <v>0</v>
      </c>
      <c r="N131" s="893">
        <f t="shared" si="10"/>
        <v>0</v>
      </c>
      <c r="O131" s="905"/>
      <c r="Q131" s="317" t="str">
        <f t="shared" si="6"/>
        <v/>
      </c>
      <c r="R131" s="317" t="str">
        <f t="shared" si="8"/>
        <v/>
      </c>
      <c r="S131" s="317" t="str">
        <f t="shared" si="9"/>
        <v/>
      </c>
      <c r="T131" s="317" t="str">
        <f>GLOBAL_DER_FEV_2023!S131</f>
        <v/>
      </c>
      <c r="W131" s="582">
        <v>0</v>
      </c>
      <c r="X131" s="580"/>
      <c r="Y131" s="583">
        <f>IF(GLOBAL_DER_FEV_2023!W131=0,0,IF(GLOBAL_DER_FEV_2023!W131&gt;0,"c","b"))</f>
        <v>0</v>
      </c>
    </row>
    <row r="132" spans="1:25" ht="13.5" hidden="1" thickBot="1" x14ac:dyDescent="0.25">
      <c r="A132" s="317">
        <v>511130</v>
      </c>
      <c r="B132" s="895" t="s">
        <v>1549</v>
      </c>
      <c r="C132" s="896" t="s">
        <v>184</v>
      </c>
      <c r="D132" s="906" t="s">
        <v>448</v>
      </c>
      <c r="E132" s="907">
        <f>GLOBAL_DER_FEV_2023!E132</f>
        <v>0</v>
      </c>
      <c r="F132" s="908">
        <f>GLOBAL_DER_FEV_2023!F132</f>
        <v>0</v>
      </c>
      <c r="G132" s="909">
        <f>GLOBAL_DER_FEV_2023!G132</f>
        <v>0</v>
      </c>
      <c r="H132" s="954">
        <f>GLOBAL_DER_FEV_2023!H132</f>
        <v>1.23</v>
      </c>
      <c r="I132" s="901">
        <f>GLOBAL_DER_FEV_2023!I132</f>
        <v>1.23</v>
      </c>
      <c r="J132" s="902">
        <f>GLOBAL_DER_FEV_2023!J132</f>
        <v>1.48</v>
      </c>
      <c r="K132" s="903" t="s">
        <v>10</v>
      </c>
      <c r="L132" s="1137"/>
      <c r="M132" s="1150">
        <f t="shared" si="7"/>
        <v>0</v>
      </c>
      <c r="N132" s="893">
        <f t="shared" si="10"/>
        <v>0</v>
      </c>
      <c r="O132" s="905"/>
      <c r="P132" s="59"/>
      <c r="Q132" s="317" t="str">
        <f t="shared" si="6"/>
        <v/>
      </c>
      <c r="R132" s="317" t="str">
        <f t="shared" si="8"/>
        <v/>
      </c>
      <c r="S132" s="317" t="str">
        <f t="shared" si="9"/>
        <v/>
      </c>
      <c r="T132" s="317" t="str">
        <f>GLOBAL_DER_FEV_2023!S132</f>
        <v/>
      </c>
      <c r="W132" s="582">
        <v>0</v>
      </c>
      <c r="X132" s="580"/>
      <c r="Y132" s="583">
        <f>IF(GLOBAL_DER_FEV_2023!W132=0,0,IF(GLOBAL_DER_FEV_2023!W132&gt;0,"c","b"))</f>
        <v>0</v>
      </c>
    </row>
    <row r="133" spans="1:25" ht="13.5" hidden="1" thickBot="1" x14ac:dyDescent="0.25">
      <c r="A133" s="317">
        <v>533500</v>
      </c>
      <c r="B133" s="895" t="s">
        <v>1550</v>
      </c>
      <c r="C133" s="896" t="s">
        <v>184</v>
      </c>
      <c r="D133" s="906" t="s">
        <v>449</v>
      </c>
      <c r="E133" s="898">
        <f>GLOBAL_DER_FEV_2023!E133</f>
        <v>0</v>
      </c>
      <c r="F133" s="899">
        <f>GLOBAL_DER_FEV_2023!F133</f>
        <v>1.95</v>
      </c>
      <c r="G133" s="953">
        <f>GLOBAL_DER_FEV_2023!G133</f>
        <v>5.226</v>
      </c>
      <c r="H133" s="901">
        <f>GLOBAL_DER_FEV_2023!H133</f>
        <v>25.79</v>
      </c>
      <c r="I133" s="901">
        <f>GLOBAL_DER_FEV_2023!I133</f>
        <v>31.015999999999998</v>
      </c>
      <c r="J133" s="902">
        <f>GLOBAL_DER_FEV_2023!J133</f>
        <v>37.24</v>
      </c>
      <c r="K133" s="903" t="s">
        <v>10</v>
      </c>
      <c r="L133" s="1137"/>
      <c r="M133" s="1150">
        <f t="shared" si="7"/>
        <v>0</v>
      </c>
      <c r="N133" s="893">
        <f t="shared" si="10"/>
        <v>0</v>
      </c>
      <c r="O133" s="905"/>
      <c r="Q133" s="317" t="str">
        <f t="shared" si="6"/>
        <v/>
      </c>
      <c r="R133" s="317" t="str">
        <f t="shared" si="8"/>
        <v/>
      </c>
      <c r="S133" s="317" t="str">
        <f t="shared" si="9"/>
        <v/>
      </c>
      <c r="T133" s="317" t="str">
        <f>GLOBAL_DER_FEV_2023!S133</f>
        <v/>
      </c>
      <c r="W133" s="582">
        <v>0</v>
      </c>
      <c r="X133" s="580"/>
      <c r="Y133" s="583">
        <f>IF(GLOBAL_DER_FEV_2023!W133=0,0,IF(GLOBAL_DER_FEV_2023!W133&gt;0,"c","b"))</f>
        <v>0</v>
      </c>
    </row>
    <row r="134" spans="1:25" ht="13.5" hidden="1" thickBot="1" x14ac:dyDescent="0.25">
      <c r="A134" s="317">
        <v>533100</v>
      </c>
      <c r="B134" s="895" t="s">
        <v>1552</v>
      </c>
      <c r="C134" s="896" t="s">
        <v>184</v>
      </c>
      <c r="D134" s="906" t="s">
        <v>450</v>
      </c>
      <c r="E134" s="898">
        <f>GLOBAL_DER_FEV_2023!E134</f>
        <v>0</v>
      </c>
      <c r="F134" s="899">
        <f>GLOBAL_DER_FEV_2023!F134</f>
        <v>1.98</v>
      </c>
      <c r="G134" s="953">
        <f>GLOBAL_DER_FEV_2023!G134</f>
        <v>5.3064</v>
      </c>
      <c r="H134" s="901">
        <f>GLOBAL_DER_FEV_2023!H134</f>
        <v>30.58</v>
      </c>
      <c r="I134" s="901">
        <f>GLOBAL_DER_FEV_2023!I134</f>
        <v>35.886399999999995</v>
      </c>
      <c r="J134" s="902">
        <f>GLOBAL_DER_FEV_2023!J134</f>
        <v>43.09</v>
      </c>
      <c r="K134" s="903" t="s">
        <v>10</v>
      </c>
      <c r="L134" s="1137"/>
      <c r="M134" s="1150">
        <f t="shared" si="7"/>
        <v>0</v>
      </c>
      <c r="N134" s="893">
        <f t="shared" si="10"/>
        <v>0</v>
      </c>
      <c r="O134" s="905"/>
      <c r="Q134" s="317" t="str">
        <f t="shared" si="6"/>
        <v/>
      </c>
      <c r="R134" s="317" t="str">
        <f t="shared" si="8"/>
        <v/>
      </c>
      <c r="S134" s="317" t="str">
        <f t="shared" si="9"/>
        <v/>
      </c>
      <c r="T134" s="317" t="str">
        <f>GLOBAL_DER_FEV_2023!S134</f>
        <v/>
      </c>
      <c r="W134" s="582">
        <v>0</v>
      </c>
      <c r="X134" s="580"/>
      <c r="Y134" s="583">
        <f>IF(GLOBAL_DER_FEV_2023!W134=0,0,IF(GLOBAL_DER_FEV_2023!W134&gt;0,"c","b"))</f>
        <v>0</v>
      </c>
    </row>
    <row r="135" spans="1:25" ht="13.5" hidden="1" thickBot="1" x14ac:dyDescent="0.25">
      <c r="A135" s="317">
        <v>511100</v>
      </c>
      <c r="B135" s="895" t="s">
        <v>1568</v>
      </c>
      <c r="C135" s="896" t="s">
        <v>184</v>
      </c>
      <c r="D135" s="906" t="s">
        <v>181</v>
      </c>
      <c r="E135" s="898">
        <f>GLOBAL_DER_FEV_2023!E135</f>
        <v>0</v>
      </c>
      <c r="F135" s="908">
        <f>GLOBAL_DER_FEV_2023!F135</f>
        <v>0</v>
      </c>
      <c r="G135" s="953">
        <f>GLOBAL_DER_FEV_2023!G135</f>
        <v>0</v>
      </c>
      <c r="H135" s="901">
        <f>GLOBAL_DER_FEV_2023!H135</f>
        <v>4.25</v>
      </c>
      <c r="I135" s="901">
        <f>GLOBAL_DER_FEV_2023!I135</f>
        <v>4.25</v>
      </c>
      <c r="J135" s="902">
        <f>GLOBAL_DER_FEV_2023!J135</f>
        <v>5.0999999999999996</v>
      </c>
      <c r="K135" s="903" t="s">
        <v>12</v>
      </c>
      <c r="L135" s="1137"/>
      <c r="M135" s="1150">
        <f t="shared" si="7"/>
        <v>0</v>
      </c>
      <c r="N135" s="893">
        <f t="shared" si="10"/>
        <v>0</v>
      </c>
      <c r="O135" s="905"/>
      <c r="Q135" s="317" t="str">
        <f t="shared" si="6"/>
        <v/>
      </c>
      <c r="R135" s="317" t="str">
        <f t="shared" si="8"/>
        <v/>
      </c>
      <c r="S135" s="317" t="str">
        <f t="shared" si="9"/>
        <v/>
      </c>
      <c r="T135" s="317" t="str">
        <f>GLOBAL_DER_FEV_2023!S135</f>
        <v/>
      </c>
      <c r="W135" s="582">
        <v>0</v>
      </c>
      <c r="X135" s="580"/>
      <c r="Y135" s="583">
        <f>IF(GLOBAL_DER_FEV_2023!W135=0,0,IF(GLOBAL_DER_FEV_2023!W135&gt;0,"c","b"))</f>
        <v>0</v>
      </c>
    </row>
    <row r="136" spans="1:25" ht="13.5" hidden="1" thickBot="1" x14ac:dyDescent="0.25">
      <c r="A136" s="317">
        <v>511000</v>
      </c>
      <c r="B136" s="895" t="s">
        <v>1556</v>
      </c>
      <c r="C136" s="896" t="s">
        <v>184</v>
      </c>
      <c r="D136" s="906" t="s">
        <v>168</v>
      </c>
      <c r="E136" s="898">
        <f>GLOBAL_DER_FEV_2023!E136</f>
        <v>0</v>
      </c>
      <c r="F136" s="908">
        <f>GLOBAL_DER_FEV_2023!F136</f>
        <v>0</v>
      </c>
      <c r="G136" s="953">
        <f>GLOBAL_DER_FEV_2023!G136</f>
        <v>0</v>
      </c>
      <c r="H136" s="901">
        <f>GLOBAL_DER_FEV_2023!H136</f>
        <v>4.91</v>
      </c>
      <c r="I136" s="901">
        <f>GLOBAL_DER_FEV_2023!I136</f>
        <v>4.91</v>
      </c>
      <c r="J136" s="902">
        <f>GLOBAL_DER_FEV_2023!J136</f>
        <v>5.9</v>
      </c>
      <c r="K136" s="903" t="s">
        <v>12</v>
      </c>
      <c r="L136" s="1137"/>
      <c r="M136" s="1150">
        <f t="shared" si="7"/>
        <v>0</v>
      </c>
      <c r="N136" s="893">
        <f t="shared" si="10"/>
        <v>0</v>
      </c>
      <c r="O136" s="905"/>
      <c r="Q136" s="317" t="str">
        <f t="shared" si="6"/>
        <v/>
      </c>
      <c r="R136" s="317" t="str">
        <f t="shared" si="8"/>
        <v/>
      </c>
      <c r="S136" s="317" t="str">
        <f t="shared" si="9"/>
        <v/>
      </c>
      <c r="T136" s="317" t="str">
        <f>GLOBAL_DER_FEV_2023!S136</f>
        <v/>
      </c>
      <c r="W136" s="582">
        <v>0</v>
      </c>
      <c r="X136" s="580"/>
      <c r="Y136" s="583">
        <f>IF(GLOBAL_DER_FEV_2023!W136=0,0,IF(GLOBAL_DER_FEV_2023!W136&gt;0,"c","b"))</f>
        <v>0</v>
      </c>
    </row>
    <row r="137" spans="1:25" ht="13.5" hidden="1" thickBot="1" x14ac:dyDescent="0.25">
      <c r="A137" s="317">
        <v>511300</v>
      </c>
      <c r="B137" s="895" t="s">
        <v>1570</v>
      </c>
      <c r="C137" s="896" t="s">
        <v>184</v>
      </c>
      <c r="D137" s="906" t="s">
        <v>180</v>
      </c>
      <c r="E137" s="898">
        <f>GLOBAL_DER_FEV_2023!E137</f>
        <v>0</v>
      </c>
      <c r="F137" s="908">
        <f>GLOBAL_DER_FEV_2023!F137</f>
        <v>0</v>
      </c>
      <c r="G137" s="953">
        <f>GLOBAL_DER_FEV_2023!G137</f>
        <v>0</v>
      </c>
      <c r="H137" s="901">
        <f>GLOBAL_DER_FEV_2023!H137</f>
        <v>0.28999999999999998</v>
      </c>
      <c r="I137" s="901">
        <f>GLOBAL_DER_FEV_2023!I137</f>
        <v>0.28999999999999998</v>
      </c>
      <c r="J137" s="902">
        <f>GLOBAL_DER_FEV_2023!J137</f>
        <v>0.35</v>
      </c>
      <c r="K137" s="903" t="s">
        <v>12</v>
      </c>
      <c r="L137" s="1137"/>
      <c r="M137" s="1150">
        <f t="shared" si="7"/>
        <v>0</v>
      </c>
      <c r="N137" s="893">
        <f t="shared" si="10"/>
        <v>0</v>
      </c>
      <c r="O137" s="905"/>
      <c r="Q137" s="317" t="str">
        <f t="shared" si="6"/>
        <v/>
      </c>
      <c r="R137" s="317" t="str">
        <f t="shared" si="8"/>
        <v/>
      </c>
      <c r="S137" s="317" t="str">
        <f t="shared" si="9"/>
        <v/>
      </c>
      <c r="T137" s="317" t="str">
        <f>GLOBAL_DER_FEV_2023!S137</f>
        <v/>
      </c>
      <c r="W137" s="582">
        <v>0</v>
      </c>
      <c r="X137" s="580"/>
      <c r="Y137" s="583">
        <f>IF(GLOBAL_DER_FEV_2023!W137=0,0,IF(GLOBAL_DER_FEV_2023!W137&gt;0,"c","b"))</f>
        <v>0</v>
      </c>
    </row>
    <row r="138" spans="1:25" ht="13.5" hidden="1" thickBot="1" x14ac:dyDescent="0.25">
      <c r="A138" s="317">
        <v>100576</v>
      </c>
      <c r="B138" s="895" t="s">
        <v>1744</v>
      </c>
      <c r="C138" s="896" t="s">
        <v>596</v>
      </c>
      <c r="D138" s="906" t="s">
        <v>183</v>
      </c>
      <c r="E138" s="898">
        <f>GLOBAL_DER_FEV_2023!E138</f>
        <v>0</v>
      </c>
      <c r="F138" s="908">
        <f>GLOBAL_DER_FEV_2023!F138</f>
        <v>0</v>
      </c>
      <c r="G138" s="953">
        <f>GLOBAL_DER_FEV_2023!G138</f>
        <v>0</v>
      </c>
      <c r="H138" s="901">
        <f>GLOBAL_DER_FEV_2023!H138</f>
        <v>2.6</v>
      </c>
      <c r="I138" s="901">
        <f>GLOBAL_DER_FEV_2023!I138</f>
        <v>2.6</v>
      </c>
      <c r="J138" s="902">
        <f>GLOBAL_DER_FEV_2023!J138</f>
        <v>3.12</v>
      </c>
      <c r="K138" s="903" t="s">
        <v>12</v>
      </c>
      <c r="L138" s="1137"/>
      <c r="M138" s="1150">
        <f t="shared" si="7"/>
        <v>0</v>
      </c>
      <c r="N138" s="893">
        <f t="shared" si="10"/>
        <v>0</v>
      </c>
      <c r="O138" s="905"/>
      <c r="Q138" s="317" t="str">
        <f t="shared" si="6"/>
        <v/>
      </c>
      <c r="R138" s="317" t="str">
        <f t="shared" si="8"/>
        <v/>
      </c>
      <c r="S138" s="317" t="str">
        <f t="shared" si="9"/>
        <v/>
      </c>
      <c r="T138" s="317" t="str">
        <f>GLOBAL_DER_FEV_2023!S138</f>
        <v/>
      </c>
      <c r="W138" s="582">
        <v>0</v>
      </c>
      <c r="X138" s="580"/>
      <c r="Y138" s="583">
        <f>IF(GLOBAL_DER_FEV_2023!W138=0,0,IF(GLOBAL_DER_FEV_2023!W138&gt;0,"c","b"))</f>
        <v>0</v>
      </c>
    </row>
    <row r="139" spans="1:25" ht="13.5" hidden="1" thickBot="1" x14ac:dyDescent="0.25">
      <c r="A139" s="317">
        <v>450000</v>
      </c>
      <c r="B139" s="955">
        <v>450000</v>
      </c>
      <c r="C139" s="956" t="s">
        <v>184</v>
      </c>
      <c r="D139" s="906" t="s">
        <v>187</v>
      </c>
      <c r="E139" s="898">
        <f>GLOBAL_DER_FEV_2023!E139</f>
        <v>15</v>
      </c>
      <c r="F139" s="899">
        <f>GLOBAL_DER_FEV_2023!F139</f>
        <v>1.98</v>
      </c>
      <c r="G139" s="909">
        <f>GLOBAL_DER_FEV_2023!G139</f>
        <v>37.0854</v>
      </c>
      <c r="H139" s="901">
        <f>GLOBAL_DER_FEV_2023!H139</f>
        <v>15.69</v>
      </c>
      <c r="I139" s="901">
        <f>GLOBAL_DER_FEV_2023!I139</f>
        <v>52.775399999999998</v>
      </c>
      <c r="J139" s="902">
        <f>GLOBAL_DER_FEV_2023!J139</f>
        <v>63.37</v>
      </c>
      <c r="K139" s="903" t="s">
        <v>10</v>
      </c>
      <c r="L139" s="1137"/>
      <c r="M139" s="1150">
        <f t="shared" si="7"/>
        <v>0</v>
      </c>
      <c r="N139" s="893">
        <f t="shared" si="10"/>
        <v>0</v>
      </c>
      <c r="O139" s="905"/>
      <c r="Q139" s="317" t="str">
        <f t="shared" si="6"/>
        <v/>
      </c>
      <c r="R139" s="317" t="str">
        <f t="shared" si="8"/>
        <v/>
      </c>
      <c r="S139" s="317" t="str">
        <f t="shared" si="9"/>
        <v/>
      </c>
      <c r="T139" s="317" t="str">
        <f>GLOBAL_DER_FEV_2023!S139</f>
        <v/>
      </c>
      <c r="W139" s="582">
        <v>0</v>
      </c>
      <c r="X139" s="580"/>
      <c r="Y139" s="583">
        <f>IF(GLOBAL_DER_FEV_2023!W139=0,0,IF(GLOBAL_DER_FEV_2023!W139&gt;0,"c","b"))</f>
        <v>0</v>
      </c>
    </row>
    <row r="140" spans="1:25" ht="13.5" hidden="1" thickBot="1" x14ac:dyDescent="0.25">
      <c r="A140" s="317">
        <v>541000</v>
      </c>
      <c r="B140" s="895">
        <v>541000</v>
      </c>
      <c r="C140" s="896" t="s">
        <v>184</v>
      </c>
      <c r="D140" s="906" t="s">
        <v>189</v>
      </c>
      <c r="E140" s="907">
        <f>GLOBAL_DER_FEV_2023!E140</f>
        <v>15</v>
      </c>
      <c r="F140" s="908">
        <f>GLOBAL_DER_FEV_2023!F140</f>
        <v>2.02</v>
      </c>
      <c r="G140" s="909">
        <f>GLOBAL_DER_FEV_2023!G140</f>
        <v>37.834600000000002</v>
      </c>
      <c r="H140" s="901">
        <f>GLOBAL_DER_FEV_2023!H140</f>
        <v>28.94</v>
      </c>
      <c r="I140" s="901">
        <f>GLOBAL_DER_FEV_2023!I140</f>
        <v>66.774600000000007</v>
      </c>
      <c r="J140" s="902">
        <f>GLOBAL_DER_FEV_2023!J140</f>
        <v>80.180000000000007</v>
      </c>
      <c r="K140" s="903" t="s">
        <v>10</v>
      </c>
      <c r="L140" s="1137"/>
      <c r="M140" s="1150">
        <f t="shared" si="7"/>
        <v>0</v>
      </c>
      <c r="N140" s="893">
        <f t="shared" si="10"/>
        <v>0</v>
      </c>
      <c r="O140" s="905"/>
      <c r="Q140" s="317" t="str">
        <f t="shared" si="6"/>
        <v/>
      </c>
      <c r="R140" s="317" t="str">
        <f t="shared" si="8"/>
        <v/>
      </c>
      <c r="S140" s="317" t="str">
        <f t="shared" si="9"/>
        <v/>
      </c>
      <c r="T140" s="317" t="str">
        <f>GLOBAL_DER_FEV_2023!S140</f>
        <v/>
      </c>
      <c r="W140" s="582">
        <v>0</v>
      </c>
      <c r="X140" s="580"/>
      <c r="Y140" s="583">
        <f>IF(GLOBAL_DER_FEV_2023!W140=0,0,IF(GLOBAL_DER_FEV_2023!W140&gt;0,"c","b"))</f>
        <v>0</v>
      </c>
    </row>
    <row r="141" spans="1:25" ht="13.5" hidden="1" thickBot="1" x14ac:dyDescent="0.25">
      <c r="A141" s="317">
        <v>533100</v>
      </c>
      <c r="B141" s="895" t="s">
        <v>1553</v>
      </c>
      <c r="C141" s="896" t="s">
        <v>184</v>
      </c>
      <c r="D141" s="906" t="s">
        <v>186</v>
      </c>
      <c r="E141" s="898">
        <f>GLOBAL_DER_FEV_2023!E141</f>
        <v>15</v>
      </c>
      <c r="F141" s="899">
        <f>GLOBAL_DER_FEV_2023!F141</f>
        <v>2.1</v>
      </c>
      <c r="G141" s="909">
        <f>GLOBAL_DER_FEV_2023!G141</f>
        <v>39.333000000000006</v>
      </c>
      <c r="H141" s="901">
        <f>GLOBAL_DER_FEV_2023!H141</f>
        <v>30.58</v>
      </c>
      <c r="I141" s="901">
        <f>GLOBAL_DER_FEV_2023!I141</f>
        <v>69.913000000000011</v>
      </c>
      <c r="J141" s="902">
        <f>GLOBAL_DER_FEV_2023!J141</f>
        <v>83.94</v>
      </c>
      <c r="K141" s="903" t="s">
        <v>10</v>
      </c>
      <c r="L141" s="1137"/>
      <c r="M141" s="1150">
        <f t="shared" si="7"/>
        <v>0</v>
      </c>
      <c r="N141" s="893">
        <f t="shared" si="10"/>
        <v>0</v>
      </c>
      <c r="O141" s="905"/>
      <c r="Q141" s="317" t="str">
        <f t="shared" si="6"/>
        <v/>
      </c>
      <c r="R141" s="317" t="str">
        <f t="shared" si="8"/>
        <v/>
      </c>
      <c r="S141" s="317" t="str">
        <f t="shared" si="9"/>
        <v/>
      </c>
      <c r="T141" s="317" t="str">
        <f>GLOBAL_DER_FEV_2023!S141</f>
        <v/>
      </c>
      <c r="W141" s="582">
        <v>0</v>
      </c>
      <c r="X141" s="580"/>
      <c r="Y141" s="583">
        <f>IF(GLOBAL_DER_FEV_2023!W141=0,0,IF(GLOBAL_DER_FEV_2023!W141&gt;0,"c","b"))</f>
        <v>0</v>
      </c>
    </row>
    <row r="142" spans="1:25" ht="13.5" hidden="1" thickBot="1" x14ac:dyDescent="0.25">
      <c r="A142" s="317">
        <v>542000</v>
      </c>
      <c r="B142" s="895">
        <v>542000</v>
      </c>
      <c r="C142" s="896" t="s">
        <v>184</v>
      </c>
      <c r="D142" s="906" t="s">
        <v>2193</v>
      </c>
      <c r="E142" s="898">
        <f>GLOBAL_DER_FEV_2023!E142</f>
        <v>0</v>
      </c>
      <c r="F142" s="908">
        <f>GLOBAL_DER_FEV_2023!F142</f>
        <v>0</v>
      </c>
      <c r="G142" s="953">
        <f>GLOBAL_DER_FEV_2023!G142</f>
        <v>14.171060000000001</v>
      </c>
      <c r="H142" s="901">
        <f>GLOBAL_DER_FEV_2023!H142</f>
        <v>58.55</v>
      </c>
      <c r="I142" s="901">
        <f>GLOBAL_DER_FEV_2023!I142</f>
        <v>72.721059999999994</v>
      </c>
      <c r="J142" s="902">
        <f>GLOBAL_DER_FEV_2023!J142</f>
        <v>87.32</v>
      </c>
      <c r="K142" s="903" t="s">
        <v>10</v>
      </c>
      <c r="L142" s="1137"/>
      <c r="M142" s="1150">
        <f t="shared" si="7"/>
        <v>0</v>
      </c>
      <c r="N142" s="893">
        <f t="shared" si="10"/>
        <v>0</v>
      </c>
      <c r="O142" s="905"/>
      <c r="Q142" s="317" t="str">
        <f t="shared" si="6"/>
        <v/>
      </c>
      <c r="R142" s="317" t="str">
        <f t="shared" si="8"/>
        <v/>
      </c>
      <c r="S142" s="317" t="str">
        <f t="shared" si="9"/>
        <v/>
      </c>
      <c r="T142" s="317" t="str">
        <f>GLOBAL_DER_FEV_2023!S142</f>
        <v/>
      </c>
      <c r="W142" s="582">
        <v>0</v>
      </c>
      <c r="X142" s="580"/>
      <c r="Y142" s="583">
        <f>IF(GLOBAL_DER_FEV_2023!W142=0,0,IF(GLOBAL_DER_FEV_2023!W142&gt;0,"c","b"))</f>
        <v>0</v>
      </c>
    </row>
    <row r="143" spans="1:25" ht="13.5" hidden="1" thickBot="1" x14ac:dyDescent="0.25">
      <c r="A143" s="317" t="s">
        <v>147</v>
      </c>
      <c r="B143" s="895" t="s">
        <v>147</v>
      </c>
      <c r="C143" s="896"/>
      <c r="D143" s="957" t="s">
        <v>190</v>
      </c>
      <c r="E143" s="907">
        <f>GLOBAL_DER_FEV_2023!E143</f>
        <v>308</v>
      </c>
      <c r="F143" s="908">
        <f>GLOBAL_DER_FEV_2023!F143</f>
        <v>3.6999999999999998E-2</v>
      </c>
      <c r="G143" s="909">
        <f>GLOBAL_DER_FEV_2023!G143</f>
        <v>9.1782199999999996</v>
      </c>
      <c r="H143" s="901">
        <f>GLOBAL_DER_FEV_2023!H143</f>
        <v>0</v>
      </c>
      <c r="I143" s="901">
        <f>GLOBAL_DER_FEV_2023!I143</f>
        <v>0</v>
      </c>
      <c r="J143" s="902">
        <f>GLOBAL_DER_FEV_2023!J143</f>
        <v>0</v>
      </c>
      <c r="K143" s="903" t="s">
        <v>507</v>
      </c>
      <c r="L143" s="959"/>
      <c r="M143" s="1041">
        <f t="shared" si="7"/>
        <v>0</v>
      </c>
      <c r="N143" s="893">
        <f t="shared" si="10"/>
        <v>0</v>
      </c>
      <c r="O143" s="905"/>
      <c r="P143" s="58" t="str">
        <f>IF(N142&gt;0,"xx",IF(N142&gt;0,"xy",""))</f>
        <v/>
      </c>
      <c r="Q143" s="317" t="str">
        <f t="shared" si="6"/>
        <v/>
      </c>
      <c r="R143" s="317" t="str">
        <f t="shared" si="8"/>
        <v/>
      </c>
      <c r="S143" s="317" t="str">
        <f t="shared" si="9"/>
        <v/>
      </c>
      <c r="T143" s="317" t="str">
        <f>GLOBAL_DER_FEV_2023!S143</f>
        <v/>
      </c>
      <c r="W143" s="582">
        <v>0</v>
      </c>
      <c r="X143" s="580"/>
      <c r="Y143" s="583">
        <f>IF(GLOBAL_DER_FEV_2023!W143=0,0,IF(GLOBAL_DER_FEV_2023!W143&gt;0,"c","b"))</f>
        <v>0</v>
      </c>
    </row>
    <row r="144" spans="1:25" ht="13.5" hidden="1" thickBot="1" x14ac:dyDescent="0.25">
      <c r="A144" s="317" t="s">
        <v>147</v>
      </c>
      <c r="B144" s="895" t="s">
        <v>147</v>
      </c>
      <c r="C144" s="896"/>
      <c r="D144" s="957" t="s">
        <v>191</v>
      </c>
      <c r="E144" s="898">
        <f>GLOBAL_DER_FEV_2023!E144</f>
        <v>0</v>
      </c>
      <c r="F144" s="908">
        <f>GLOBAL_DER_FEV_2023!F144</f>
        <v>1.863</v>
      </c>
      <c r="G144" s="909">
        <f>GLOBAL_DER_FEV_2023!G144</f>
        <v>4.9928400000000002</v>
      </c>
      <c r="H144" s="901">
        <f>GLOBAL_DER_FEV_2023!H144</f>
        <v>0</v>
      </c>
      <c r="I144" s="901">
        <f>GLOBAL_DER_FEV_2023!I144</f>
        <v>0</v>
      </c>
      <c r="J144" s="902">
        <f>GLOBAL_DER_FEV_2023!J144</f>
        <v>0</v>
      </c>
      <c r="K144" s="903" t="s">
        <v>507</v>
      </c>
      <c r="L144" s="959"/>
      <c r="M144" s="1041">
        <f t="shared" si="7"/>
        <v>0</v>
      </c>
      <c r="N144" s="893">
        <f t="shared" si="10"/>
        <v>0</v>
      </c>
      <c r="O144" s="905"/>
      <c r="P144" s="58" t="str">
        <f>IF(N142&gt;0,"xx",IF(N142&gt;0,"xy",""))</f>
        <v/>
      </c>
      <c r="Q144" s="317" t="str">
        <f t="shared" si="6"/>
        <v/>
      </c>
      <c r="R144" s="317" t="str">
        <f t="shared" si="8"/>
        <v/>
      </c>
      <c r="S144" s="317" t="str">
        <f t="shared" si="9"/>
        <v/>
      </c>
      <c r="T144" s="317" t="str">
        <f>GLOBAL_DER_FEV_2023!S144</f>
        <v/>
      </c>
      <c r="W144" s="582">
        <v>0</v>
      </c>
      <c r="X144" s="580"/>
      <c r="Y144" s="583">
        <f>IF(GLOBAL_DER_FEV_2023!W144=0,0,IF(GLOBAL_DER_FEV_2023!W144&gt;0,"c","b"))</f>
        <v>0</v>
      </c>
    </row>
    <row r="145" spans="1:25" ht="13.5" hidden="1" thickBot="1" x14ac:dyDescent="0.25">
      <c r="A145" s="317">
        <v>543000</v>
      </c>
      <c r="B145" s="895">
        <v>543000</v>
      </c>
      <c r="C145" s="896" t="s">
        <v>184</v>
      </c>
      <c r="D145" s="906" t="s">
        <v>2194</v>
      </c>
      <c r="E145" s="898">
        <f>GLOBAL_DER_FEV_2023!E145</f>
        <v>0</v>
      </c>
      <c r="F145" s="908">
        <f>GLOBAL_DER_FEV_2023!F145</f>
        <v>0</v>
      </c>
      <c r="G145" s="953">
        <f>GLOBAL_DER_FEV_2023!G145</f>
        <v>18.587900000000001</v>
      </c>
      <c r="H145" s="901">
        <f>GLOBAL_DER_FEV_2023!H145</f>
        <v>72.05</v>
      </c>
      <c r="I145" s="901">
        <f>GLOBAL_DER_FEV_2023!I145</f>
        <v>90.637900000000002</v>
      </c>
      <c r="J145" s="902">
        <f>GLOBAL_DER_FEV_2023!J145</f>
        <v>108.83</v>
      </c>
      <c r="K145" s="903" t="s">
        <v>10</v>
      </c>
      <c r="L145" s="1137"/>
      <c r="M145" s="1150">
        <f t="shared" si="7"/>
        <v>0</v>
      </c>
      <c r="N145" s="893">
        <f t="shared" si="10"/>
        <v>0</v>
      </c>
      <c r="O145" s="905"/>
      <c r="Q145" s="317" t="str">
        <f t="shared" si="6"/>
        <v/>
      </c>
      <c r="R145" s="317" t="str">
        <f t="shared" si="8"/>
        <v/>
      </c>
      <c r="S145" s="317" t="str">
        <f t="shared" si="9"/>
        <v/>
      </c>
      <c r="T145" s="317" t="str">
        <f>GLOBAL_DER_FEV_2023!S145</f>
        <v/>
      </c>
      <c r="W145" s="582">
        <v>0</v>
      </c>
      <c r="X145" s="580"/>
      <c r="Y145" s="583">
        <f>IF(GLOBAL_DER_FEV_2023!W145=0,0,IF(GLOBAL_DER_FEV_2023!W145&gt;0,"c","b"))</f>
        <v>0</v>
      </c>
    </row>
    <row r="146" spans="1:25" ht="13.5" hidden="1" thickBot="1" x14ac:dyDescent="0.25">
      <c r="A146" s="317" t="s">
        <v>147</v>
      </c>
      <c r="B146" s="895" t="s">
        <v>147</v>
      </c>
      <c r="C146" s="896"/>
      <c r="D146" s="957" t="s">
        <v>190</v>
      </c>
      <c r="E146" s="907">
        <f>GLOBAL_DER_FEV_2023!E146</f>
        <v>308</v>
      </c>
      <c r="F146" s="908">
        <f>GLOBAL_DER_FEV_2023!F146</f>
        <v>5.5E-2</v>
      </c>
      <c r="G146" s="909">
        <f>GLOBAL_DER_FEV_2023!G146</f>
        <v>13.6433</v>
      </c>
      <c r="H146" s="901">
        <f>GLOBAL_DER_FEV_2023!H146</f>
        <v>0</v>
      </c>
      <c r="I146" s="901">
        <f>GLOBAL_DER_FEV_2023!I146</f>
        <v>0</v>
      </c>
      <c r="J146" s="902">
        <f>GLOBAL_DER_FEV_2023!J146</f>
        <v>0</v>
      </c>
      <c r="K146" s="903" t="s">
        <v>507</v>
      </c>
      <c r="L146" s="959"/>
      <c r="M146" s="1041">
        <f t="shared" si="7"/>
        <v>0</v>
      </c>
      <c r="N146" s="893">
        <f t="shared" si="10"/>
        <v>0</v>
      </c>
      <c r="O146" s="905"/>
      <c r="P146" s="58" t="str">
        <f>IF(N145&gt;0,"xx",IF(N145&gt;0,"xy",""))</f>
        <v/>
      </c>
      <c r="Q146" s="317" t="str">
        <f t="shared" si="6"/>
        <v/>
      </c>
      <c r="R146" s="317" t="str">
        <f t="shared" si="8"/>
        <v/>
      </c>
      <c r="S146" s="317" t="str">
        <f t="shared" si="9"/>
        <v/>
      </c>
      <c r="T146" s="317" t="str">
        <f>GLOBAL_DER_FEV_2023!S146</f>
        <v/>
      </c>
      <c r="W146" s="582">
        <v>0</v>
      </c>
      <c r="X146" s="580"/>
      <c r="Y146" s="583">
        <f>IF(GLOBAL_DER_FEV_2023!W146=0,0,IF(GLOBAL_DER_FEV_2023!W146&gt;0,"c","b"))</f>
        <v>0</v>
      </c>
    </row>
    <row r="147" spans="1:25" ht="13.5" hidden="1" thickBot="1" x14ac:dyDescent="0.25">
      <c r="A147" s="317" t="s">
        <v>147</v>
      </c>
      <c r="B147" s="895" t="s">
        <v>147</v>
      </c>
      <c r="C147" s="896"/>
      <c r="D147" s="957" t="s">
        <v>191</v>
      </c>
      <c r="E147" s="898">
        <f>GLOBAL_DER_FEV_2023!E147</f>
        <v>0</v>
      </c>
      <c r="F147" s="908">
        <f>GLOBAL_DER_FEV_2023!F147</f>
        <v>1.845</v>
      </c>
      <c r="G147" s="909">
        <f>GLOBAL_DER_FEV_2023!G147</f>
        <v>4.9446000000000003</v>
      </c>
      <c r="H147" s="901">
        <f>GLOBAL_DER_FEV_2023!H147</f>
        <v>0</v>
      </c>
      <c r="I147" s="901">
        <f>GLOBAL_DER_FEV_2023!I147</f>
        <v>0</v>
      </c>
      <c r="J147" s="902">
        <f>GLOBAL_DER_FEV_2023!J147</f>
        <v>0</v>
      </c>
      <c r="K147" s="903" t="s">
        <v>507</v>
      </c>
      <c r="L147" s="959"/>
      <c r="M147" s="1041">
        <f t="shared" si="7"/>
        <v>0</v>
      </c>
      <c r="N147" s="893">
        <f t="shared" si="10"/>
        <v>0</v>
      </c>
      <c r="O147" s="905"/>
      <c r="P147" s="58" t="str">
        <f>IF(N145&gt;0,"xx",IF(N145&gt;0,"xy",""))</f>
        <v/>
      </c>
      <c r="Q147" s="317" t="str">
        <f t="shared" ref="Q147:Q210" si="11">IF(P147="X","x",IF(P147="xx","x",IF(P147="xy","x",IF(P147="y","x",IF(OR(N147&gt;0,N147&gt;0),"x","")))))</f>
        <v/>
      </c>
      <c r="R147" s="317" t="str">
        <f t="shared" si="8"/>
        <v/>
      </c>
      <c r="S147" s="317" t="str">
        <f t="shared" si="9"/>
        <v/>
      </c>
      <c r="T147" s="317" t="str">
        <f>GLOBAL_DER_FEV_2023!S147</f>
        <v/>
      </c>
      <c r="W147" s="582">
        <v>0</v>
      </c>
      <c r="X147" s="580"/>
      <c r="Y147" s="583">
        <f>IF(GLOBAL_DER_FEV_2023!W147=0,0,IF(GLOBAL_DER_FEV_2023!W147&gt;0,"c","b"))</f>
        <v>0</v>
      </c>
    </row>
    <row r="148" spans="1:25" ht="13.5" hidden="1" thickBot="1" x14ac:dyDescent="0.25">
      <c r="A148" s="317">
        <v>544000</v>
      </c>
      <c r="B148" s="895">
        <v>544000</v>
      </c>
      <c r="C148" s="896" t="s">
        <v>184</v>
      </c>
      <c r="D148" s="906" t="s">
        <v>2195</v>
      </c>
      <c r="E148" s="898">
        <f>GLOBAL_DER_FEV_2023!E148</f>
        <v>0</v>
      </c>
      <c r="F148" s="908">
        <f>GLOBAL_DER_FEV_2023!F148</f>
        <v>0</v>
      </c>
      <c r="G148" s="953">
        <f>GLOBAL_DER_FEV_2023!G148</f>
        <v>22.37998</v>
      </c>
      <c r="H148" s="901">
        <f>GLOBAL_DER_FEV_2023!H148</f>
        <v>76.39</v>
      </c>
      <c r="I148" s="901">
        <f>GLOBAL_DER_FEV_2023!I148</f>
        <v>98.769980000000004</v>
      </c>
      <c r="J148" s="902">
        <f>GLOBAL_DER_FEV_2023!J148</f>
        <v>118.59</v>
      </c>
      <c r="K148" s="903" t="s">
        <v>10</v>
      </c>
      <c r="L148" s="1137"/>
      <c r="M148" s="1150">
        <f t="shared" ref="M148:M211" si="12">IF(L148=0,0,ROUND(J148,2))</f>
        <v>0</v>
      </c>
      <c r="N148" s="893">
        <f t="shared" si="10"/>
        <v>0</v>
      </c>
      <c r="O148" s="905"/>
      <c r="Q148" s="317" t="str">
        <f t="shared" si="11"/>
        <v/>
      </c>
      <c r="R148" s="317" t="str">
        <f t="shared" si="8"/>
        <v/>
      </c>
      <c r="S148" s="317" t="str">
        <f t="shared" si="9"/>
        <v/>
      </c>
      <c r="T148" s="317" t="str">
        <f>GLOBAL_DER_FEV_2023!S148</f>
        <v/>
      </c>
      <c r="W148" s="582">
        <v>0</v>
      </c>
      <c r="X148" s="580"/>
      <c r="Y148" s="583">
        <f>IF(GLOBAL_DER_FEV_2023!W148=0,0,IF(GLOBAL_DER_FEV_2023!W148&gt;0,"c","b"))</f>
        <v>0</v>
      </c>
    </row>
    <row r="149" spans="1:25" ht="13.5" hidden="1" thickBot="1" x14ac:dyDescent="0.25">
      <c r="A149" s="317" t="s">
        <v>147</v>
      </c>
      <c r="B149" s="895" t="s">
        <v>147</v>
      </c>
      <c r="C149" s="896"/>
      <c r="D149" s="957" t="s">
        <v>190</v>
      </c>
      <c r="E149" s="907">
        <f>GLOBAL_DER_FEV_2023!E149</f>
        <v>308</v>
      </c>
      <c r="F149" s="908">
        <f>GLOBAL_DER_FEV_2023!F149</f>
        <v>7.0999999999999994E-2</v>
      </c>
      <c r="G149" s="909">
        <f>GLOBAL_DER_FEV_2023!G149</f>
        <v>17.612259999999999</v>
      </c>
      <c r="H149" s="901">
        <f>GLOBAL_DER_FEV_2023!H149</f>
        <v>0</v>
      </c>
      <c r="I149" s="901">
        <f>GLOBAL_DER_FEV_2023!I149</f>
        <v>0</v>
      </c>
      <c r="J149" s="902">
        <f>GLOBAL_DER_FEV_2023!J149</f>
        <v>0</v>
      </c>
      <c r="K149" s="903" t="s">
        <v>507</v>
      </c>
      <c r="L149" s="959"/>
      <c r="M149" s="1041">
        <f t="shared" si="12"/>
        <v>0</v>
      </c>
      <c r="N149" s="893">
        <f t="shared" si="10"/>
        <v>0</v>
      </c>
      <c r="O149" s="905"/>
      <c r="P149" s="58" t="str">
        <f>IF(N148&gt;0,"xx",IF(N148&gt;0,"xy",""))</f>
        <v/>
      </c>
      <c r="Q149" s="317" t="str">
        <f t="shared" si="11"/>
        <v/>
      </c>
      <c r="R149" s="317" t="str">
        <f t="shared" ref="R149:R212" si="13">IF(P149="X","x",IF(P149="y","x",IF(P149="xx","x",IF(N149&gt;0,"x",""))))</f>
        <v/>
      </c>
      <c r="S149" s="317" t="str">
        <f t="shared" ref="S149:S212" si="14">IF(P149="X","x",IF(N149&gt;0,"x",""))</f>
        <v/>
      </c>
      <c r="T149" s="317" t="str">
        <f>GLOBAL_DER_FEV_2023!S149</f>
        <v/>
      </c>
      <c r="W149" s="582">
        <v>0</v>
      </c>
      <c r="X149" s="580"/>
      <c r="Y149" s="583">
        <f>IF(GLOBAL_DER_FEV_2023!W149=0,0,IF(GLOBAL_DER_FEV_2023!W149&gt;0,"c","b"))</f>
        <v>0</v>
      </c>
    </row>
    <row r="150" spans="1:25" ht="13.5" hidden="1" thickBot="1" x14ac:dyDescent="0.25">
      <c r="A150" s="317" t="s">
        <v>147</v>
      </c>
      <c r="B150" s="895" t="s">
        <v>147</v>
      </c>
      <c r="C150" s="896"/>
      <c r="D150" s="957" t="s">
        <v>191</v>
      </c>
      <c r="E150" s="898">
        <f>GLOBAL_DER_FEV_2023!E150</f>
        <v>0</v>
      </c>
      <c r="F150" s="908">
        <f>GLOBAL_DER_FEV_2023!F150</f>
        <v>1.7789999999999999</v>
      </c>
      <c r="G150" s="909">
        <f>GLOBAL_DER_FEV_2023!G150</f>
        <v>4.7677199999999997</v>
      </c>
      <c r="H150" s="901">
        <f>GLOBAL_DER_FEV_2023!H150</f>
        <v>0</v>
      </c>
      <c r="I150" s="901">
        <f>GLOBAL_DER_FEV_2023!I150</f>
        <v>0</v>
      </c>
      <c r="J150" s="902">
        <f>GLOBAL_DER_FEV_2023!J150</f>
        <v>0</v>
      </c>
      <c r="K150" s="903" t="s">
        <v>507</v>
      </c>
      <c r="L150" s="959"/>
      <c r="M150" s="1041">
        <f t="shared" si="12"/>
        <v>0</v>
      </c>
      <c r="N150" s="893">
        <f t="shared" si="10"/>
        <v>0</v>
      </c>
      <c r="O150" s="905"/>
      <c r="P150" s="58" t="str">
        <f>IF(N148&gt;0,"xx",IF(N148&gt;0,"xy",""))</f>
        <v/>
      </c>
      <c r="Q150" s="317" t="str">
        <f t="shared" si="11"/>
        <v/>
      </c>
      <c r="R150" s="317" t="str">
        <f t="shared" si="13"/>
        <v/>
      </c>
      <c r="S150" s="317" t="str">
        <f t="shared" si="14"/>
        <v/>
      </c>
      <c r="T150" s="317" t="str">
        <f>GLOBAL_DER_FEV_2023!S150</f>
        <v/>
      </c>
      <c r="W150" s="582">
        <v>0</v>
      </c>
      <c r="X150" s="580"/>
      <c r="Y150" s="583">
        <f>IF(GLOBAL_DER_FEV_2023!W150=0,0,IF(GLOBAL_DER_FEV_2023!W150&gt;0,"c","b"))</f>
        <v>0</v>
      </c>
    </row>
    <row r="151" spans="1:25" ht="13.5" hidden="1" thickBot="1" x14ac:dyDescent="0.25">
      <c r="A151" s="317">
        <v>545000</v>
      </c>
      <c r="B151" s="895">
        <v>545000</v>
      </c>
      <c r="C151" s="896" t="s">
        <v>184</v>
      </c>
      <c r="D151" s="906" t="s">
        <v>2196</v>
      </c>
      <c r="E151" s="898">
        <f>GLOBAL_DER_FEV_2023!E151</f>
        <v>0</v>
      </c>
      <c r="F151" s="908">
        <f>GLOBAL_DER_FEV_2023!F151</f>
        <v>0</v>
      </c>
      <c r="G151" s="953">
        <f>GLOBAL_DER_FEV_2023!G151</f>
        <v>26.551439999999999</v>
      </c>
      <c r="H151" s="901">
        <f>GLOBAL_DER_FEV_2023!H151</f>
        <v>88.51</v>
      </c>
      <c r="I151" s="901">
        <f>GLOBAL_DER_FEV_2023!I151</f>
        <v>115.06144</v>
      </c>
      <c r="J151" s="902">
        <f>GLOBAL_DER_FEV_2023!J151</f>
        <v>138.15</v>
      </c>
      <c r="K151" s="903" t="s">
        <v>10</v>
      </c>
      <c r="L151" s="1137"/>
      <c r="M151" s="1150">
        <f t="shared" si="12"/>
        <v>0</v>
      </c>
      <c r="N151" s="893">
        <f t="shared" si="10"/>
        <v>0</v>
      </c>
      <c r="O151" s="905"/>
      <c r="Q151" s="317" t="str">
        <f t="shared" si="11"/>
        <v/>
      </c>
      <c r="R151" s="317" t="str">
        <f t="shared" si="13"/>
        <v/>
      </c>
      <c r="S151" s="317" t="str">
        <f t="shared" si="14"/>
        <v/>
      </c>
      <c r="T151" s="317" t="str">
        <f>GLOBAL_DER_FEV_2023!S151</f>
        <v/>
      </c>
      <c r="W151" s="582">
        <v>0</v>
      </c>
      <c r="X151" s="580"/>
      <c r="Y151" s="583">
        <f>IF(GLOBAL_DER_FEV_2023!W151=0,0,IF(GLOBAL_DER_FEV_2023!W151&gt;0,"c","b"))</f>
        <v>0</v>
      </c>
    </row>
    <row r="152" spans="1:25" ht="13.5" hidden="1" thickBot="1" x14ac:dyDescent="0.25">
      <c r="A152" s="317" t="s">
        <v>147</v>
      </c>
      <c r="B152" s="895" t="s">
        <v>147</v>
      </c>
      <c r="C152" s="896"/>
      <c r="D152" s="957" t="s">
        <v>190</v>
      </c>
      <c r="E152" s="907">
        <f>GLOBAL_DER_FEV_2023!E152</f>
        <v>308</v>
      </c>
      <c r="F152" s="908">
        <f>GLOBAL_DER_FEV_2023!F152</f>
        <v>8.7999999999999995E-2</v>
      </c>
      <c r="G152" s="909">
        <f>GLOBAL_DER_FEV_2023!G152</f>
        <v>21.829280000000001</v>
      </c>
      <c r="H152" s="901">
        <f>GLOBAL_DER_FEV_2023!H152</f>
        <v>0</v>
      </c>
      <c r="I152" s="901">
        <f>GLOBAL_DER_FEV_2023!I152</f>
        <v>0</v>
      </c>
      <c r="J152" s="902">
        <f>GLOBAL_DER_FEV_2023!J152</f>
        <v>0</v>
      </c>
      <c r="K152" s="903" t="s">
        <v>507</v>
      </c>
      <c r="L152" s="959"/>
      <c r="M152" s="1041">
        <f t="shared" si="12"/>
        <v>0</v>
      </c>
      <c r="N152" s="893">
        <f t="shared" si="10"/>
        <v>0</v>
      </c>
      <c r="O152" s="905"/>
      <c r="P152" s="58" t="str">
        <f>IF(N151&gt;0,"xx",IF(N151&gt;0,"xy",""))</f>
        <v/>
      </c>
      <c r="Q152" s="317" t="str">
        <f t="shared" si="11"/>
        <v/>
      </c>
      <c r="R152" s="317" t="str">
        <f t="shared" si="13"/>
        <v/>
      </c>
      <c r="S152" s="317" t="str">
        <f t="shared" si="14"/>
        <v/>
      </c>
      <c r="T152" s="317" t="str">
        <f>GLOBAL_DER_FEV_2023!S152</f>
        <v/>
      </c>
      <c r="W152" s="582">
        <v>0</v>
      </c>
      <c r="X152" s="580"/>
      <c r="Y152" s="583">
        <f>IF(GLOBAL_DER_FEV_2023!W152=0,0,IF(GLOBAL_DER_FEV_2023!W152&gt;0,"c","b"))</f>
        <v>0</v>
      </c>
    </row>
    <row r="153" spans="1:25" ht="13.5" hidden="1" thickBot="1" x14ac:dyDescent="0.25">
      <c r="A153" s="317" t="s">
        <v>147</v>
      </c>
      <c r="B153" s="895" t="s">
        <v>147</v>
      </c>
      <c r="C153" s="896"/>
      <c r="D153" s="957" t="s">
        <v>191</v>
      </c>
      <c r="E153" s="898">
        <f>GLOBAL_DER_FEV_2023!E153</f>
        <v>0</v>
      </c>
      <c r="F153" s="908">
        <f>GLOBAL_DER_FEV_2023!F153</f>
        <v>1.762</v>
      </c>
      <c r="G153" s="909">
        <f>GLOBAL_DER_FEV_2023!G153</f>
        <v>4.7221600000000006</v>
      </c>
      <c r="H153" s="901">
        <f>GLOBAL_DER_FEV_2023!H153</f>
        <v>0</v>
      </c>
      <c r="I153" s="901">
        <f>GLOBAL_DER_FEV_2023!I153</f>
        <v>0</v>
      </c>
      <c r="J153" s="902">
        <f>GLOBAL_DER_FEV_2023!J153</f>
        <v>0</v>
      </c>
      <c r="K153" s="903" t="s">
        <v>507</v>
      </c>
      <c r="L153" s="959"/>
      <c r="M153" s="1041">
        <f t="shared" si="12"/>
        <v>0</v>
      </c>
      <c r="N153" s="893">
        <f t="shared" ref="N153:N216" si="15">IF(ISBLANK(L153),0,IF(W153=0,ROUND(L153*M153,2),IF(W153="b",ROUNDDOWN(L153*M153,2),ROUNDUP(L153*M153,2))))</f>
        <v>0</v>
      </c>
      <c r="O153" s="905"/>
      <c r="P153" s="58" t="str">
        <f>IF(N151&gt;0,"xx",IF(N151&gt;0,"xy",""))</f>
        <v/>
      </c>
      <c r="Q153" s="317" t="str">
        <f t="shared" si="11"/>
        <v/>
      </c>
      <c r="R153" s="317" t="str">
        <f t="shared" si="13"/>
        <v/>
      </c>
      <c r="S153" s="317" t="str">
        <f t="shared" si="14"/>
        <v/>
      </c>
      <c r="T153" s="317" t="str">
        <f>GLOBAL_DER_FEV_2023!S153</f>
        <v/>
      </c>
      <c r="W153" s="582">
        <v>0</v>
      </c>
      <c r="X153" s="580"/>
      <c r="Y153" s="583">
        <f>IF(GLOBAL_DER_FEV_2023!W153=0,0,IF(GLOBAL_DER_FEV_2023!W153&gt;0,"c","b"))</f>
        <v>0</v>
      </c>
    </row>
    <row r="154" spans="1:25" ht="13.5" hidden="1" thickBot="1" x14ac:dyDescent="0.25">
      <c r="A154" s="317">
        <v>546000</v>
      </c>
      <c r="B154" s="895">
        <v>546000</v>
      </c>
      <c r="C154" s="896" t="s">
        <v>184</v>
      </c>
      <c r="D154" s="906" t="s">
        <v>2197</v>
      </c>
      <c r="E154" s="898">
        <f>GLOBAL_DER_FEV_2023!E154</f>
        <v>0</v>
      </c>
      <c r="F154" s="908">
        <f>GLOBAL_DER_FEV_2023!F154</f>
        <v>0</v>
      </c>
      <c r="G154" s="953">
        <f>GLOBAL_DER_FEV_2023!G154</f>
        <v>30.722899999999999</v>
      </c>
      <c r="H154" s="901">
        <f>GLOBAL_DER_FEV_2023!H154</f>
        <v>100.63</v>
      </c>
      <c r="I154" s="901">
        <f>GLOBAL_DER_FEV_2023!I154</f>
        <v>131.35290000000001</v>
      </c>
      <c r="J154" s="902">
        <f>GLOBAL_DER_FEV_2023!J154</f>
        <v>157.72</v>
      </c>
      <c r="K154" s="903" t="s">
        <v>10</v>
      </c>
      <c r="L154" s="1137"/>
      <c r="M154" s="1150">
        <f t="shared" si="12"/>
        <v>0</v>
      </c>
      <c r="N154" s="893">
        <f t="shared" si="15"/>
        <v>0</v>
      </c>
      <c r="O154" s="905"/>
      <c r="Q154" s="317" t="str">
        <f t="shared" si="11"/>
        <v/>
      </c>
      <c r="R154" s="317" t="str">
        <f t="shared" si="13"/>
        <v/>
      </c>
      <c r="S154" s="317" t="str">
        <f t="shared" si="14"/>
        <v/>
      </c>
      <c r="T154" s="317" t="str">
        <f>GLOBAL_DER_FEV_2023!S154</f>
        <v/>
      </c>
      <c r="W154" s="582">
        <v>0</v>
      </c>
      <c r="X154" s="580"/>
      <c r="Y154" s="583">
        <f>IF(GLOBAL_DER_FEV_2023!W154=0,0,IF(GLOBAL_DER_FEV_2023!W154&gt;0,"c","b"))</f>
        <v>0</v>
      </c>
    </row>
    <row r="155" spans="1:25" ht="13.5" hidden="1" thickBot="1" x14ac:dyDescent="0.25">
      <c r="A155" s="317" t="s">
        <v>147</v>
      </c>
      <c r="B155" s="895" t="s">
        <v>147</v>
      </c>
      <c r="C155" s="896"/>
      <c r="D155" s="957" t="s">
        <v>190</v>
      </c>
      <c r="E155" s="907">
        <f>GLOBAL_DER_FEV_2023!E155</f>
        <v>308</v>
      </c>
      <c r="F155" s="908">
        <f>GLOBAL_DER_FEV_2023!F155</f>
        <v>0.105</v>
      </c>
      <c r="G155" s="909">
        <f>GLOBAL_DER_FEV_2023!G155</f>
        <v>26.046299999999999</v>
      </c>
      <c r="H155" s="901">
        <f>GLOBAL_DER_FEV_2023!H155</f>
        <v>0</v>
      </c>
      <c r="I155" s="901">
        <f>GLOBAL_DER_FEV_2023!I155</f>
        <v>0</v>
      </c>
      <c r="J155" s="902">
        <f>GLOBAL_DER_FEV_2023!J155</f>
        <v>0</v>
      </c>
      <c r="K155" s="903" t="s">
        <v>507</v>
      </c>
      <c r="L155" s="959"/>
      <c r="M155" s="1041">
        <f t="shared" si="12"/>
        <v>0</v>
      </c>
      <c r="N155" s="893">
        <f t="shared" si="15"/>
        <v>0</v>
      </c>
      <c r="O155" s="905"/>
      <c r="P155" s="58" t="str">
        <f>IF(N154&gt;0,"xx",IF(N154&gt;0,"xy",""))</f>
        <v/>
      </c>
      <c r="Q155" s="317" t="str">
        <f t="shared" si="11"/>
        <v/>
      </c>
      <c r="R155" s="317" t="str">
        <f t="shared" si="13"/>
        <v/>
      </c>
      <c r="S155" s="317" t="str">
        <f t="shared" si="14"/>
        <v/>
      </c>
      <c r="T155" s="317" t="str">
        <f>GLOBAL_DER_FEV_2023!S155</f>
        <v/>
      </c>
      <c r="W155" s="582">
        <v>0</v>
      </c>
      <c r="X155" s="580"/>
      <c r="Y155" s="583">
        <f>IF(GLOBAL_DER_FEV_2023!W155=0,0,IF(GLOBAL_DER_FEV_2023!W155&gt;0,"c","b"))</f>
        <v>0</v>
      </c>
    </row>
    <row r="156" spans="1:25" ht="13.5" hidden="1" thickBot="1" x14ac:dyDescent="0.25">
      <c r="A156" s="317" t="s">
        <v>147</v>
      </c>
      <c r="B156" s="895" t="s">
        <v>147</v>
      </c>
      <c r="C156" s="896"/>
      <c r="D156" s="957" t="s">
        <v>191</v>
      </c>
      <c r="E156" s="898">
        <f>GLOBAL_DER_FEV_2023!E156</f>
        <v>0</v>
      </c>
      <c r="F156" s="908">
        <f>GLOBAL_DER_FEV_2023!F156</f>
        <v>1.7450000000000001</v>
      </c>
      <c r="G156" s="909">
        <f>GLOBAL_DER_FEV_2023!G156</f>
        <v>4.6766000000000005</v>
      </c>
      <c r="H156" s="901">
        <f>GLOBAL_DER_FEV_2023!H156</f>
        <v>0</v>
      </c>
      <c r="I156" s="901">
        <f>GLOBAL_DER_FEV_2023!I156</f>
        <v>0</v>
      </c>
      <c r="J156" s="902">
        <f>GLOBAL_DER_FEV_2023!J156</f>
        <v>0</v>
      </c>
      <c r="K156" s="903" t="s">
        <v>507</v>
      </c>
      <c r="L156" s="959"/>
      <c r="M156" s="1041">
        <f t="shared" si="12"/>
        <v>0</v>
      </c>
      <c r="N156" s="893">
        <f t="shared" si="15"/>
        <v>0</v>
      </c>
      <c r="O156" s="905"/>
      <c r="P156" s="58" t="str">
        <f>IF(N154&gt;0,"xx",IF(N154&gt;0,"xy",""))</f>
        <v/>
      </c>
      <c r="Q156" s="317" t="str">
        <f t="shared" si="11"/>
        <v/>
      </c>
      <c r="R156" s="317" t="str">
        <f t="shared" si="13"/>
        <v/>
      </c>
      <c r="S156" s="317" t="str">
        <f t="shared" si="14"/>
        <v/>
      </c>
      <c r="T156" s="317" t="str">
        <f>GLOBAL_DER_FEV_2023!S156</f>
        <v/>
      </c>
      <c r="W156" s="582">
        <v>0</v>
      </c>
      <c r="X156" s="580"/>
      <c r="Y156" s="583">
        <f>IF(GLOBAL_DER_FEV_2023!W156=0,0,IF(GLOBAL_DER_FEV_2023!W156&gt;0,"c","b"))</f>
        <v>0</v>
      </c>
    </row>
    <row r="157" spans="1:25" ht="13.5" hidden="1" thickBot="1" x14ac:dyDescent="0.25">
      <c r="A157" s="317">
        <v>547000</v>
      </c>
      <c r="B157" s="895">
        <v>547000</v>
      </c>
      <c r="C157" s="896" t="s">
        <v>184</v>
      </c>
      <c r="D157" s="906" t="s">
        <v>2198</v>
      </c>
      <c r="E157" s="898">
        <f>GLOBAL_DER_FEV_2023!E157</f>
        <v>0</v>
      </c>
      <c r="F157" s="908">
        <f>GLOBAL_DER_FEV_2023!F157</f>
        <v>0</v>
      </c>
      <c r="G157" s="953">
        <f>GLOBAL_DER_FEV_2023!G157</f>
        <v>34.646299999999997</v>
      </c>
      <c r="H157" s="901">
        <f>GLOBAL_DER_FEV_2023!H157</f>
        <v>113.68</v>
      </c>
      <c r="I157" s="901">
        <f>GLOBAL_DER_FEV_2023!I157</f>
        <v>148.3263</v>
      </c>
      <c r="J157" s="902">
        <f>GLOBAL_DER_FEV_2023!J157</f>
        <v>178.1</v>
      </c>
      <c r="K157" s="903" t="s">
        <v>10</v>
      </c>
      <c r="L157" s="1137"/>
      <c r="M157" s="1150">
        <f t="shared" si="12"/>
        <v>0</v>
      </c>
      <c r="N157" s="893">
        <f t="shared" si="15"/>
        <v>0</v>
      </c>
      <c r="O157" s="905"/>
      <c r="Q157" s="317" t="str">
        <f t="shared" si="11"/>
        <v/>
      </c>
      <c r="R157" s="317" t="str">
        <f t="shared" si="13"/>
        <v/>
      </c>
      <c r="S157" s="317" t="str">
        <f t="shared" si="14"/>
        <v/>
      </c>
      <c r="T157" s="317" t="str">
        <f>GLOBAL_DER_FEV_2023!S157</f>
        <v/>
      </c>
      <c r="W157" s="582">
        <v>0</v>
      </c>
      <c r="X157" s="580"/>
      <c r="Y157" s="583">
        <f>IF(GLOBAL_DER_FEV_2023!W157=0,0,IF(GLOBAL_DER_FEV_2023!W157&gt;0,"c","b"))</f>
        <v>0</v>
      </c>
    </row>
    <row r="158" spans="1:25" ht="13.5" hidden="1" thickBot="1" x14ac:dyDescent="0.25">
      <c r="A158" s="317" t="s">
        <v>147</v>
      </c>
      <c r="B158" s="895" t="s">
        <v>147</v>
      </c>
      <c r="C158" s="896"/>
      <c r="D158" s="957" t="s">
        <v>190</v>
      </c>
      <c r="E158" s="907">
        <f>GLOBAL_DER_FEV_2023!E158</f>
        <v>308</v>
      </c>
      <c r="F158" s="908">
        <f>GLOBAL_DER_FEV_2023!F158</f>
        <v>0.121</v>
      </c>
      <c r="G158" s="909">
        <f>GLOBAL_DER_FEV_2023!G158</f>
        <v>30.015259999999998</v>
      </c>
      <c r="H158" s="901">
        <f>GLOBAL_DER_FEV_2023!H158</f>
        <v>0</v>
      </c>
      <c r="I158" s="901">
        <f>GLOBAL_DER_FEV_2023!I158</f>
        <v>0</v>
      </c>
      <c r="J158" s="902">
        <f>GLOBAL_DER_FEV_2023!J158</f>
        <v>0</v>
      </c>
      <c r="K158" s="903" t="s">
        <v>507</v>
      </c>
      <c r="L158" s="959"/>
      <c r="M158" s="1041">
        <f t="shared" si="12"/>
        <v>0</v>
      </c>
      <c r="N158" s="893">
        <f t="shared" si="15"/>
        <v>0</v>
      </c>
      <c r="O158" s="905"/>
      <c r="P158" s="58" t="str">
        <f>IF(N157&gt;0,"xx",IF(N157&gt;0,"xy",""))</f>
        <v/>
      </c>
      <c r="Q158" s="317" t="str">
        <f t="shared" si="11"/>
        <v/>
      </c>
      <c r="R158" s="317" t="str">
        <f t="shared" si="13"/>
        <v/>
      </c>
      <c r="S158" s="317" t="str">
        <f t="shared" si="14"/>
        <v/>
      </c>
      <c r="T158" s="317" t="str">
        <f>GLOBAL_DER_FEV_2023!S158</f>
        <v/>
      </c>
      <c r="W158" s="582">
        <v>0</v>
      </c>
      <c r="X158" s="580"/>
      <c r="Y158" s="583">
        <f>IF(GLOBAL_DER_FEV_2023!W158=0,0,IF(GLOBAL_DER_FEV_2023!W158&gt;0,"c","b"))</f>
        <v>0</v>
      </c>
    </row>
    <row r="159" spans="1:25" ht="13.5" hidden="1" thickBot="1" x14ac:dyDescent="0.25">
      <c r="A159" s="317" t="s">
        <v>147</v>
      </c>
      <c r="B159" s="895" t="s">
        <v>147</v>
      </c>
      <c r="C159" s="896"/>
      <c r="D159" s="957" t="s">
        <v>191</v>
      </c>
      <c r="E159" s="898">
        <f>GLOBAL_DER_FEV_2023!E159</f>
        <v>0</v>
      </c>
      <c r="F159" s="908">
        <f>GLOBAL_DER_FEV_2023!F159</f>
        <v>1.728</v>
      </c>
      <c r="G159" s="909">
        <f>GLOBAL_DER_FEV_2023!G159</f>
        <v>4.6310400000000005</v>
      </c>
      <c r="H159" s="901">
        <f>GLOBAL_DER_FEV_2023!H159</f>
        <v>0</v>
      </c>
      <c r="I159" s="901">
        <f>GLOBAL_DER_FEV_2023!I159</f>
        <v>0</v>
      </c>
      <c r="J159" s="902">
        <f>GLOBAL_DER_FEV_2023!J159</f>
        <v>0</v>
      </c>
      <c r="K159" s="903" t="s">
        <v>507</v>
      </c>
      <c r="L159" s="959"/>
      <c r="M159" s="1041">
        <f t="shared" si="12"/>
        <v>0</v>
      </c>
      <c r="N159" s="893">
        <f t="shared" si="15"/>
        <v>0</v>
      </c>
      <c r="O159" s="905"/>
      <c r="P159" s="58" t="str">
        <f>IF(N157&gt;0,"xx",IF(N157&gt;0,"xy",""))</f>
        <v/>
      </c>
      <c r="Q159" s="317" t="str">
        <f t="shared" si="11"/>
        <v/>
      </c>
      <c r="R159" s="317" t="str">
        <f t="shared" si="13"/>
        <v/>
      </c>
      <c r="S159" s="317" t="str">
        <f t="shared" si="14"/>
        <v/>
      </c>
      <c r="T159" s="317" t="str">
        <f>GLOBAL_DER_FEV_2023!S159</f>
        <v/>
      </c>
      <c r="W159" s="582">
        <v>0</v>
      </c>
      <c r="X159" s="580"/>
      <c r="Y159" s="583">
        <f>IF(GLOBAL_DER_FEV_2023!W159=0,0,IF(GLOBAL_DER_FEV_2023!W159&gt;0,"c","b"))</f>
        <v>0</v>
      </c>
    </row>
    <row r="160" spans="1:25" ht="13.5" hidden="1" thickBot="1" x14ac:dyDescent="0.25">
      <c r="A160" s="317">
        <v>542100</v>
      </c>
      <c r="B160" s="895">
        <v>542100</v>
      </c>
      <c r="C160" s="896" t="s">
        <v>184</v>
      </c>
      <c r="D160" s="906" t="s">
        <v>2199</v>
      </c>
      <c r="E160" s="898">
        <f>GLOBAL_DER_FEV_2023!E160</f>
        <v>0</v>
      </c>
      <c r="F160" s="908">
        <f>GLOBAL_DER_FEV_2023!F160</f>
        <v>0</v>
      </c>
      <c r="G160" s="953">
        <f>GLOBAL_DER_FEV_2023!G160</f>
        <v>19.263059999999999</v>
      </c>
      <c r="H160" s="901">
        <f>GLOBAL_DER_FEV_2023!H160</f>
        <v>59.6</v>
      </c>
      <c r="I160" s="901">
        <f>GLOBAL_DER_FEV_2023!I160</f>
        <v>78.863060000000004</v>
      </c>
      <c r="J160" s="902">
        <f>GLOBAL_DER_FEV_2023!J160</f>
        <v>94.69</v>
      </c>
      <c r="K160" s="903" t="s">
        <v>10</v>
      </c>
      <c r="L160" s="1137"/>
      <c r="M160" s="1150">
        <f t="shared" si="12"/>
        <v>0</v>
      </c>
      <c r="N160" s="893">
        <f t="shared" si="15"/>
        <v>0</v>
      </c>
      <c r="O160" s="905"/>
      <c r="Q160" s="317" t="str">
        <f t="shared" si="11"/>
        <v/>
      </c>
      <c r="R160" s="317" t="str">
        <f t="shared" si="13"/>
        <v/>
      </c>
      <c r="S160" s="317" t="str">
        <f t="shared" si="14"/>
        <v/>
      </c>
      <c r="T160" s="317" t="str">
        <f>GLOBAL_DER_FEV_2023!S160</f>
        <v/>
      </c>
      <c r="W160" s="582">
        <v>0</v>
      </c>
      <c r="X160" s="580"/>
      <c r="Y160" s="583">
        <f>IF(GLOBAL_DER_FEV_2023!W160=0,0,IF(GLOBAL_DER_FEV_2023!W160&gt;0,"c","b"))</f>
        <v>0</v>
      </c>
    </row>
    <row r="161" spans="1:25" ht="13.5" hidden="1" thickBot="1" x14ac:dyDescent="0.25">
      <c r="A161" s="317" t="s">
        <v>147</v>
      </c>
      <c r="B161" s="895" t="s">
        <v>147</v>
      </c>
      <c r="C161" s="896"/>
      <c r="D161" s="957" t="s">
        <v>190</v>
      </c>
      <c r="E161" s="907">
        <f>GLOBAL_DER_FEV_2023!E161</f>
        <v>308</v>
      </c>
      <c r="F161" s="908">
        <f>GLOBAL_DER_FEV_2023!F161</f>
        <v>3.6999999999999998E-2</v>
      </c>
      <c r="G161" s="909">
        <f>GLOBAL_DER_FEV_2023!G161</f>
        <v>9.1782199999999996</v>
      </c>
      <c r="H161" s="901">
        <f>GLOBAL_DER_FEV_2023!H161</f>
        <v>0</v>
      </c>
      <c r="I161" s="901">
        <f>GLOBAL_DER_FEV_2023!I161</f>
        <v>0</v>
      </c>
      <c r="J161" s="902">
        <f>GLOBAL_DER_FEV_2023!J161</f>
        <v>0</v>
      </c>
      <c r="K161" s="903" t="s">
        <v>507</v>
      </c>
      <c r="L161" s="959"/>
      <c r="M161" s="1041">
        <f t="shared" si="12"/>
        <v>0</v>
      </c>
      <c r="N161" s="893">
        <f t="shared" si="15"/>
        <v>0</v>
      </c>
      <c r="O161" s="905"/>
      <c r="P161" s="58" t="str">
        <f>IF(N160&gt;0,"xx",IF(N160&gt;0,"xy",""))</f>
        <v/>
      </c>
      <c r="Q161" s="317" t="str">
        <f t="shared" si="11"/>
        <v/>
      </c>
      <c r="R161" s="317" t="str">
        <f t="shared" si="13"/>
        <v/>
      </c>
      <c r="S161" s="317" t="str">
        <f t="shared" si="14"/>
        <v/>
      </c>
      <c r="T161" s="317" t="str">
        <f>GLOBAL_DER_FEV_2023!S161</f>
        <v/>
      </c>
      <c r="W161" s="582">
        <v>0</v>
      </c>
      <c r="X161" s="580"/>
      <c r="Y161" s="583">
        <f>IF(GLOBAL_DER_FEV_2023!W161=0,0,IF(GLOBAL_DER_FEV_2023!W161&gt;0,"c","b"))</f>
        <v>0</v>
      </c>
    </row>
    <row r="162" spans="1:25" ht="13.5" hidden="1" thickBot="1" x14ac:dyDescent="0.25">
      <c r="A162" s="317" t="s">
        <v>147</v>
      </c>
      <c r="B162" s="895" t="s">
        <v>147</v>
      </c>
      <c r="C162" s="896"/>
      <c r="D162" s="957" t="s">
        <v>191</v>
      </c>
      <c r="E162" s="898">
        <f>GLOBAL_DER_FEV_2023!E162</f>
        <v>0</v>
      </c>
      <c r="F162" s="908">
        <f>GLOBAL_DER_FEV_2023!F162</f>
        <v>1.9</v>
      </c>
      <c r="G162" s="909">
        <f>GLOBAL_DER_FEV_2023!G162</f>
        <v>5.0919999999999996</v>
      </c>
      <c r="H162" s="901">
        <f>GLOBAL_DER_FEV_2023!H162</f>
        <v>0</v>
      </c>
      <c r="I162" s="901">
        <f>GLOBAL_DER_FEV_2023!I162</f>
        <v>0</v>
      </c>
      <c r="J162" s="902">
        <f>GLOBAL_DER_FEV_2023!J162</f>
        <v>0</v>
      </c>
      <c r="K162" s="903" t="s">
        <v>507</v>
      </c>
      <c r="L162" s="959"/>
      <c r="M162" s="1041">
        <f t="shared" si="12"/>
        <v>0</v>
      </c>
      <c r="N162" s="893">
        <f t="shared" si="15"/>
        <v>0</v>
      </c>
      <c r="O162" s="905"/>
      <c r="P162" s="58" t="str">
        <f>IF(N160&gt;0,"xx",IF(N160&gt;0,"xy",""))</f>
        <v/>
      </c>
      <c r="Q162" s="317" t="str">
        <f t="shared" si="11"/>
        <v/>
      </c>
      <c r="R162" s="317" t="str">
        <f t="shared" si="13"/>
        <v/>
      </c>
      <c r="S162" s="317" t="str">
        <f t="shared" si="14"/>
        <v/>
      </c>
      <c r="T162" s="317" t="str">
        <f>GLOBAL_DER_FEV_2023!S162</f>
        <v/>
      </c>
      <c r="W162" s="582">
        <v>0</v>
      </c>
      <c r="X162" s="580"/>
      <c r="Y162" s="583">
        <f>IF(GLOBAL_DER_FEV_2023!W162=0,0,IF(GLOBAL_DER_FEV_2023!W162&gt;0,"c","b"))</f>
        <v>0</v>
      </c>
    </row>
    <row r="163" spans="1:25" ht="13.5" hidden="1" thickBot="1" x14ac:dyDescent="0.25">
      <c r="A163" s="317" t="s">
        <v>147</v>
      </c>
      <c r="B163" s="895" t="s">
        <v>147</v>
      </c>
      <c r="C163" s="896"/>
      <c r="D163" s="957" t="s">
        <v>192</v>
      </c>
      <c r="E163" s="898">
        <f>GLOBAL_DER_FEV_2023!E163</f>
        <v>0</v>
      </c>
      <c r="F163" s="908">
        <f>GLOBAL_DER_FEV_2023!F163</f>
        <v>1.863</v>
      </c>
      <c r="G163" s="909">
        <f>GLOBAL_DER_FEV_2023!G163</f>
        <v>4.9928400000000002</v>
      </c>
      <c r="H163" s="901">
        <f>GLOBAL_DER_FEV_2023!H163</f>
        <v>0</v>
      </c>
      <c r="I163" s="901">
        <f>GLOBAL_DER_FEV_2023!I163</f>
        <v>0</v>
      </c>
      <c r="J163" s="902">
        <f>GLOBAL_DER_FEV_2023!J163</f>
        <v>0</v>
      </c>
      <c r="K163" s="903" t="s">
        <v>507</v>
      </c>
      <c r="L163" s="959"/>
      <c r="M163" s="1041">
        <f t="shared" si="12"/>
        <v>0</v>
      </c>
      <c r="N163" s="893">
        <f t="shared" si="15"/>
        <v>0</v>
      </c>
      <c r="O163" s="905"/>
      <c r="P163" s="58" t="str">
        <f>IF($N$142&gt;0,"xx",IF($N$142&gt;0,"xy",""))</f>
        <v/>
      </c>
      <c r="Q163" s="317" t="str">
        <f t="shared" si="11"/>
        <v/>
      </c>
      <c r="R163" s="317" t="str">
        <f t="shared" si="13"/>
        <v/>
      </c>
      <c r="S163" s="317" t="str">
        <f t="shared" si="14"/>
        <v/>
      </c>
      <c r="T163" s="317" t="str">
        <f>GLOBAL_DER_FEV_2023!S163</f>
        <v/>
      </c>
      <c r="W163" s="582">
        <v>0</v>
      </c>
      <c r="X163" s="580"/>
      <c r="Y163" s="583">
        <f>IF(GLOBAL_DER_FEV_2023!W163=0,0,IF(GLOBAL_DER_FEV_2023!W163&gt;0,"c","b"))</f>
        <v>0</v>
      </c>
    </row>
    <row r="164" spans="1:25" ht="13.5" hidden="1" thickBot="1" x14ac:dyDescent="0.25">
      <c r="A164" s="317">
        <v>543100</v>
      </c>
      <c r="B164" s="895">
        <v>543100</v>
      </c>
      <c r="C164" s="896" t="s">
        <v>184</v>
      </c>
      <c r="D164" s="906" t="s">
        <v>2200</v>
      </c>
      <c r="E164" s="898">
        <f>GLOBAL_DER_FEV_2023!E164</f>
        <v>0</v>
      </c>
      <c r="F164" s="908">
        <f>GLOBAL_DER_FEV_2023!F164</f>
        <v>0</v>
      </c>
      <c r="G164" s="953">
        <f>GLOBAL_DER_FEV_2023!G164</f>
        <v>23.6799</v>
      </c>
      <c r="H164" s="901">
        <f>GLOBAL_DER_FEV_2023!H164</f>
        <v>70.010000000000005</v>
      </c>
      <c r="I164" s="901">
        <f>GLOBAL_DER_FEV_2023!I164</f>
        <v>93.689900000000009</v>
      </c>
      <c r="J164" s="902">
        <f>GLOBAL_DER_FEV_2023!J164</f>
        <v>112.49</v>
      </c>
      <c r="K164" s="903" t="s">
        <v>10</v>
      </c>
      <c r="L164" s="1137"/>
      <c r="M164" s="1150">
        <f t="shared" si="12"/>
        <v>0</v>
      </c>
      <c r="N164" s="893">
        <f t="shared" si="15"/>
        <v>0</v>
      </c>
      <c r="O164" s="905"/>
      <c r="Q164" s="317" t="str">
        <f t="shared" si="11"/>
        <v/>
      </c>
      <c r="R164" s="317" t="str">
        <f t="shared" si="13"/>
        <v/>
      </c>
      <c r="S164" s="317" t="str">
        <f t="shared" si="14"/>
        <v/>
      </c>
      <c r="T164" s="317" t="str">
        <f>GLOBAL_DER_FEV_2023!S164</f>
        <v/>
      </c>
      <c r="W164" s="582">
        <v>0</v>
      </c>
      <c r="X164" s="580"/>
      <c r="Y164" s="583">
        <f>IF(GLOBAL_DER_FEV_2023!W164=0,0,IF(GLOBAL_DER_FEV_2023!W164&gt;0,"c","b"))</f>
        <v>0</v>
      </c>
    </row>
    <row r="165" spans="1:25" ht="13.5" hidden="1" thickBot="1" x14ac:dyDescent="0.25">
      <c r="A165" s="317" t="s">
        <v>147</v>
      </c>
      <c r="B165" s="895" t="s">
        <v>147</v>
      </c>
      <c r="C165" s="896"/>
      <c r="D165" s="957" t="s">
        <v>190</v>
      </c>
      <c r="E165" s="907">
        <f>GLOBAL_DER_FEV_2023!E165</f>
        <v>308</v>
      </c>
      <c r="F165" s="908">
        <f>GLOBAL_DER_FEV_2023!F165</f>
        <v>5.5E-2</v>
      </c>
      <c r="G165" s="909">
        <f>GLOBAL_DER_FEV_2023!G165</f>
        <v>13.6433</v>
      </c>
      <c r="H165" s="901">
        <f>GLOBAL_DER_FEV_2023!H165</f>
        <v>0</v>
      </c>
      <c r="I165" s="901">
        <f>GLOBAL_DER_FEV_2023!I165</f>
        <v>0</v>
      </c>
      <c r="J165" s="902">
        <f>GLOBAL_DER_FEV_2023!J165</f>
        <v>0</v>
      </c>
      <c r="K165" s="903" t="s">
        <v>507</v>
      </c>
      <c r="L165" s="959"/>
      <c r="M165" s="1041">
        <f t="shared" si="12"/>
        <v>0</v>
      </c>
      <c r="N165" s="893">
        <f t="shared" si="15"/>
        <v>0</v>
      </c>
      <c r="O165" s="905"/>
      <c r="P165" s="58" t="str">
        <f>IF(N164&gt;0,"xx",IF(N164&gt;0,"xy",""))</f>
        <v/>
      </c>
      <c r="Q165" s="317" t="str">
        <f t="shared" si="11"/>
        <v/>
      </c>
      <c r="R165" s="317" t="str">
        <f t="shared" si="13"/>
        <v/>
      </c>
      <c r="S165" s="317" t="str">
        <f t="shared" si="14"/>
        <v/>
      </c>
      <c r="T165" s="317" t="str">
        <f>GLOBAL_DER_FEV_2023!S165</f>
        <v/>
      </c>
      <c r="W165" s="582">
        <v>0</v>
      </c>
      <c r="X165" s="580"/>
      <c r="Y165" s="583">
        <f>IF(GLOBAL_DER_FEV_2023!W165=0,0,IF(GLOBAL_DER_FEV_2023!W165&gt;0,"c","b"))</f>
        <v>0</v>
      </c>
    </row>
    <row r="166" spans="1:25" ht="13.5" hidden="1" thickBot="1" x14ac:dyDescent="0.25">
      <c r="A166" s="317" t="s">
        <v>147</v>
      </c>
      <c r="B166" s="895" t="s">
        <v>147</v>
      </c>
      <c r="C166" s="896"/>
      <c r="D166" s="957" t="s">
        <v>191</v>
      </c>
      <c r="E166" s="898">
        <f>GLOBAL_DER_FEV_2023!E166</f>
        <v>0</v>
      </c>
      <c r="F166" s="908">
        <f>GLOBAL_DER_FEV_2023!F166</f>
        <v>1.9</v>
      </c>
      <c r="G166" s="909">
        <f>GLOBAL_DER_FEV_2023!G166</f>
        <v>5.0919999999999996</v>
      </c>
      <c r="H166" s="901">
        <f>GLOBAL_DER_FEV_2023!H166</f>
        <v>0</v>
      </c>
      <c r="I166" s="901">
        <f>GLOBAL_DER_FEV_2023!I166</f>
        <v>0</v>
      </c>
      <c r="J166" s="902">
        <f>GLOBAL_DER_FEV_2023!J166</f>
        <v>0</v>
      </c>
      <c r="K166" s="903" t="s">
        <v>507</v>
      </c>
      <c r="L166" s="959"/>
      <c r="M166" s="1041">
        <f t="shared" si="12"/>
        <v>0</v>
      </c>
      <c r="N166" s="893">
        <f t="shared" si="15"/>
        <v>0</v>
      </c>
      <c r="O166" s="905"/>
      <c r="P166" s="58" t="str">
        <f>IF(N164&gt;0,"xx",IF(N164&gt;0,"xy",""))</f>
        <v/>
      </c>
      <c r="Q166" s="317" t="str">
        <f t="shared" si="11"/>
        <v/>
      </c>
      <c r="R166" s="317" t="str">
        <f t="shared" si="13"/>
        <v/>
      </c>
      <c r="S166" s="317" t="str">
        <f t="shared" si="14"/>
        <v/>
      </c>
      <c r="T166" s="317" t="str">
        <f>GLOBAL_DER_FEV_2023!S166</f>
        <v/>
      </c>
      <c r="W166" s="582">
        <v>0</v>
      </c>
      <c r="X166" s="580"/>
      <c r="Y166" s="583">
        <f>IF(GLOBAL_DER_FEV_2023!W166=0,0,IF(GLOBAL_DER_FEV_2023!W166&gt;0,"c","b"))</f>
        <v>0</v>
      </c>
    </row>
    <row r="167" spans="1:25" ht="13.5" hidden="1" thickBot="1" x14ac:dyDescent="0.25">
      <c r="A167" s="317" t="s">
        <v>147</v>
      </c>
      <c r="B167" s="895" t="s">
        <v>147</v>
      </c>
      <c r="C167" s="896"/>
      <c r="D167" s="957" t="s">
        <v>192</v>
      </c>
      <c r="E167" s="898">
        <f>GLOBAL_DER_FEV_2023!E167</f>
        <v>0</v>
      </c>
      <c r="F167" s="908">
        <f>GLOBAL_DER_FEV_2023!F167</f>
        <v>1.845</v>
      </c>
      <c r="G167" s="909">
        <f>GLOBAL_DER_FEV_2023!G167</f>
        <v>4.9446000000000003</v>
      </c>
      <c r="H167" s="901">
        <f>GLOBAL_DER_FEV_2023!H167</f>
        <v>0</v>
      </c>
      <c r="I167" s="901">
        <f>GLOBAL_DER_FEV_2023!I167</f>
        <v>0</v>
      </c>
      <c r="J167" s="902">
        <f>GLOBAL_DER_FEV_2023!J167</f>
        <v>0</v>
      </c>
      <c r="K167" s="903" t="s">
        <v>507</v>
      </c>
      <c r="L167" s="959"/>
      <c r="M167" s="1041">
        <f t="shared" si="12"/>
        <v>0</v>
      </c>
      <c r="N167" s="893">
        <f t="shared" si="15"/>
        <v>0</v>
      </c>
      <c r="O167" s="905"/>
      <c r="P167" s="58" t="str">
        <f>IF($N$142&gt;0,"xx",IF($N$142&gt;0,"xy",""))</f>
        <v/>
      </c>
      <c r="Q167" s="317" t="str">
        <f t="shared" si="11"/>
        <v/>
      </c>
      <c r="R167" s="317" t="str">
        <f t="shared" si="13"/>
        <v/>
      </c>
      <c r="S167" s="317" t="str">
        <f t="shared" si="14"/>
        <v/>
      </c>
      <c r="T167" s="317" t="str">
        <f>GLOBAL_DER_FEV_2023!S167</f>
        <v/>
      </c>
      <c r="W167" s="582">
        <v>0</v>
      </c>
      <c r="X167" s="580"/>
      <c r="Y167" s="583">
        <f>IF(GLOBAL_DER_FEV_2023!W167=0,0,IF(GLOBAL_DER_FEV_2023!W167&gt;0,"c","b"))</f>
        <v>0</v>
      </c>
    </row>
    <row r="168" spans="1:25" ht="13.5" hidden="1" thickBot="1" x14ac:dyDescent="0.25">
      <c r="A168" s="317">
        <v>544100</v>
      </c>
      <c r="B168" s="895">
        <v>544100</v>
      </c>
      <c r="C168" s="896" t="s">
        <v>184</v>
      </c>
      <c r="D168" s="906" t="s">
        <v>2201</v>
      </c>
      <c r="E168" s="898">
        <f>GLOBAL_DER_FEV_2023!E168</f>
        <v>0</v>
      </c>
      <c r="F168" s="908">
        <f>GLOBAL_DER_FEV_2023!F168</f>
        <v>0</v>
      </c>
      <c r="G168" s="953">
        <f>GLOBAL_DER_FEV_2023!G168</f>
        <v>27.337979999999998</v>
      </c>
      <c r="H168" s="901">
        <f>GLOBAL_DER_FEV_2023!H168</f>
        <v>72.23</v>
      </c>
      <c r="I168" s="901">
        <f>GLOBAL_DER_FEV_2023!I168</f>
        <v>99.567980000000006</v>
      </c>
      <c r="J168" s="902">
        <f>GLOBAL_DER_FEV_2023!J168</f>
        <v>119.55</v>
      </c>
      <c r="K168" s="903" t="s">
        <v>10</v>
      </c>
      <c r="L168" s="1137"/>
      <c r="M168" s="1150">
        <f t="shared" si="12"/>
        <v>0</v>
      </c>
      <c r="N168" s="893">
        <f t="shared" si="15"/>
        <v>0</v>
      </c>
      <c r="O168" s="905"/>
      <c r="Q168" s="317" t="str">
        <f t="shared" si="11"/>
        <v/>
      </c>
      <c r="R168" s="317" t="str">
        <f t="shared" si="13"/>
        <v/>
      </c>
      <c r="S168" s="317" t="str">
        <f t="shared" si="14"/>
        <v/>
      </c>
      <c r="T168" s="317" t="str">
        <f>GLOBAL_DER_FEV_2023!S168</f>
        <v/>
      </c>
      <c r="W168" s="582">
        <v>0</v>
      </c>
      <c r="X168" s="580"/>
      <c r="Y168" s="583">
        <f>IF(GLOBAL_DER_FEV_2023!W168=0,0,IF(GLOBAL_DER_FEV_2023!W168&gt;0,"c","b"))</f>
        <v>0</v>
      </c>
    </row>
    <row r="169" spans="1:25" ht="13.5" hidden="1" thickBot="1" x14ac:dyDescent="0.25">
      <c r="A169" s="317" t="s">
        <v>147</v>
      </c>
      <c r="B169" s="895" t="s">
        <v>147</v>
      </c>
      <c r="C169" s="896"/>
      <c r="D169" s="957" t="s">
        <v>190</v>
      </c>
      <c r="E169" s="907">
        <f>GLOBAL_DER_FEV_2023!E169</f>
        <v>308</v>
      </c>
      <c r="F169" s="908">
        <f>GLOBAL_DER_FEV_2023!F169</f>
        <v>7.0999999999999994E-2</v>
      </c>
      <c r="G169" s="909">
        <f>GLOBAL_DER_FEV_2023!G169</f>
        <v>17.612259999999999</v>
      </c>
      <c r="H169" s="901">
        <f>GLOBAL_DER_FEV_2023!H169</f>
        <v>0</v>
      </c>
      <c r="I169" s="901">
        <f>GLOBAL_DER_FEV_2023!I169</f>
        <v>0</v>
      </c>
      <c r="J169" s="902">
        <f>GLOBAL_DER_FEV_2023!J169</f>
        <v>0</v>
      </c>
      <c r="K169" s="903" t="s">
        <v>507</v>
      </c>
      <c r="L169" s="959"/>
      <c r="M169" s="1041">
        <f t="shared" si="12"/>
        <v>0</v>
      </c>
      <c r="N169" s="893">
        <f t="shared" si="15"/>
        <v>0</v>
      </c>
      <c r="O169" s="905"/>
      <c r="P169" s="58" t="str">
        <f>IF(N168&gt;0,"xx",IF(N168&gt;0,"xy",""))</f>
        <v/>
      </c>
      <c r="Q169" s="317" t="str">
        <f t="shared" si="11"/>
        <v/>
      </c>
      <c r="R169" s="317" t="str">
        <f t="shared" si="13"/>
        <v/>
      </c>
      <c r="S169" s="317" t="str">
        <f t="shared" si="14"/>
        <v/>
      </c>
      <c r="T169" s="317" t="str">
        <f>GLOBAL_DER_FEV_2023!S169</f>
        <v/>
      </c>
      <c r="W169" s="582">
        <v>0</v>
      </c>
      <c r="X169" s="580"/>
      <c r="Y169" s="583">
        <f>IF(GLOBAL_DER_FEV_2023!W169=0,0,IF(GLOBAL_DER_FEV_2023!W169&gt;0,"c","b"))</f>
        <v>0</v>
      </c>
    </row>
    <row r="170" spans="1:25" ht="13.5" hidden="1" thickBot="1" x14ac:dyDescent="0.25">
      <c r="A170" s="317" t="s">
        <v>147</v>
      </c>
      <c r="B170" s="895" t="s">
        <v>147</v>
      </c>
      <c r="C170" s="896"/>
      <c r="D170" s="957" t="s">
        <v>191</v>
      </c>
      <c r="E170" s="898">
        <f>GLOBAL_DER_FEV_2023!E170</f>
        <v>0</v>
      </c>
      <c r="F170" s="908">
        <f>GLOBAL_DER_FEV_2023!F170</f>
        <v>1.85</v>
      </c>
      <c r="G170" s="909">
        <f>GLOBAL_DER_FEV_2023!G170</f>
        <v>4.9580000000000002</v>
      </c>
      <c r="H170" s="901">
        <f>GLOBAL_DER_FEV_2023!H170</f>
        <v>0</v>
      </c>
      <c r="I170" s="901">
        <f>GLOBAL_DER_FEV_2023!I170</f>
        <v>0</v>
      </c>
      <c r="J170" s="902">
        <f>GLOBAL_DER_FEV_2023!J170</f>
        <v>0</v>
      </c>
      <c r="K170" s="903" t="s">
        <v>507</v>
      </c>
      <c r="L170" s="959"/>
      <c r="M170" s="1041">
        <f t="shared" si="12"/>
        <v>0</v>
      </c>
      <c r="N170" s="893">
        <f t="shared" si="15"/>
        <v>0</v>
      </c>
      <c r="O170" s="905"/>
      <c r="P170" s="58" t="str">
        <f>IF(N168&gt;0,"xx",IF(N168&gt;0,"xy",""))</f>
        <v/>
      </c>
      <c r="Q170" s="317" t="str">
        <f t="shared" si="11"/>
        <v/>
      </c>
      <c r="R170" s="317" t="str">
        <f t="shared" si="13"/>
        <v/>
      </c>
      <c r="S170" s="317" t="str">
        <f t="shared" si="14"/>
        <v/>
      </c>
      <c r="T170" s="317" t="str">
        <f>GLOBAL_DER_FEV_2023!S170</f>
        <v/>
      </c>
      <c r="W170" s="582">
        <v>0</v>
      </c>
      <c r="X170" s="580"/>
      <c r="Y170" s="583">
        <f>IF(GLOBAL_DER_FEV_2023!W170=0,0,IF(GLOBAL_DER_FEV_2023!W170&gt;0,"c","b"))</f>
        <v>0</v>
      </c>
    </row>
    <row r="171" spans="1:25" ht="13.5" hidden="1" thickBot="1" x14ac:dyDescent="0.25">
      <c r="A171" s="317" t="s">
        <v>147</v>
      </c>
      <c r="B171" s="895" t="s">
        <v>147</v>
      </c>
      <c r="C171" s="896"/>
      <c r="D171" s="957" t="s">
        <v>192</v>
      </c>
      <c r="E171" s="898">
        <f>GLOBAL_DER_FEV_2023!E171</f>
        <v>0</v>
      </c>
      <c r="F171" s="908">
        <f>GLOBAL_DER_FEV_2023!F171</f>
        <v>1.7789999999999999</v>
      </c>
      <c r="G171" s="909">
        <f>GLOBAL_DER_FEV_2023!G171</f>
        <v>4.7677199999999997</v>
      </c>
      <c r="H171" s="901">
        <f>GLOBAL_DER_FEV_2023!H171</f>
        <v>0</v>
      </c>
      <c r="I171" s="901">
        <f>GLOBAL_DER_FEV_2023!I171</f>
        <v>0</v>
      </c>
      <c r="J171" s="902">
        <f>GLOBAL_DER_FEV_2023!J171</f>
        <v>0</v>
      </c>
      <c r="K171" s="903" t="s">
        <v>507</v>
      </c>
      <c r="L171" s="959"/>
      <c r="M171" s="1041">
        <f t="shared" si="12"/>
        <v>0</v>
      </c>
      <c r="N171" s="893">
        <f t="shared" si="15"/>
        <v>0</v>
      </c>
      <c r="O171" s="905"/>
      <c r="P171" s="58" t="str">
        <f>IF($N$142&gt;0,"xx",IF($N$142&gt;0,"xy",""))</f>
        <v/>
      </c>
      <c r="Q171" s="317" t="str">
        <f t="shared" si="11"/>
        <v/>
      </c>
      <c r="R171" s="317" t="str">
        <f t="shared" si="13"/>
        <v/>
      </c>
      <c r="S171" s="317" t="str">
        <f t="shared" si="14"/>
        <v/>
      </c>
      <c r="T171" s="317" t="str">
        <f>GLOBAL_DER_FEV_2023!S171</f>
        <v/>
      </c>
      <c r="W171" s="582">
        <v>0</v>
      </c>
      <c r="X171" s="580"/>
      <c r="Y171" s="583">
        <f>IF(GLOBAL_DER_FEV_2023!W171=0,0,IF(GLOBAL_DER_FEV_2023!W171&gt;0,"c","b"))</f>
        <v>0</v>
      </c>
    </row>
    <row r="172" spans="1:25" ht="13.5" hidden="1" thickBot="1" x14ac:dyDescent="0.25">
      <c r="A172" s="317">
        <v>545100</v>
      </c>
      <c r="B172" s="895">
        <v>545100</v>
      </c>
      <c r="C172" s="896" t="s">
        <v>184</v>
      </c>
      <c r="D172" s="906" t="s">
        <v>2202</v>
      </c>
      <c r="E172" s="898">
        <f>GLOBAL_DER_FEV_2023!E172</f>
        <v>0</v>
      </c>
      <c r="F172" s="908">
        <f>GLOBAL_DER_FEV_2023!F172</f>
        <v>0</v>
      </c>
      <c r="G172" s="953">
        <f>GLOBAL_DER_FEV_2023!G172</f>
        <v>31.509440000000005</v>
      </c>
      <c r="H172" s="901">
        <f>GLOBAL_DER_FEV_2023!H172</f>
        <v>82.05</v>
      </c>
      <c r="I172" s="901">
        <f>GLOBAL_DER_FEV_2023!I172</f>
        <v>113.55944</v>
      </c>
      <c r="J172" s="902">
        <f>GLOBAL_DER_FEV_2023!J172</f>
        <v>136.35</v>
      </c>
      <c r="K172" s="903" t="s">
        <v>10</v>
      </c>
      <c r="L172" s="1137"/>
      <c r="M172" s="1150">
        <f t="shared" si="12"/>
        <v>0</v>
      </c>
      <c r="N172" s="893">
        <f t="shared" si="15"/>
        <v>0</v>
      </c>
      <c r="O172" s="905"/>
      <c r="Q172" s="317" t="str">
        <f t="shared" si="11"/>
        <v/>
      </c>
      <c r="R172" s="317" t="str">
        <f t="shared" si="13"/>
        <v/>
      </c>
      <c r="S172" s="317" t="str">
        <f t="shared" si="14"/>
        <v/>
      </c>
      <c r="T172" s="317" t="str">
        <f>GLOBAL_DER_FEV_2023!S172</f>
        <v/>
      </c>
      <c r="W172" s="582">
        <v>0</v>
      </c>
      <c r="X172" s="580"/>
      <c r="Y172" s="583">
        <f>IF(GLOBAL_DER_FEV_2023!W172=0,0,IF(GLOBAL_DER_FEV_2023!W172&gt;0,"c","b"))</f>
        <v>0</v>
      </c>
    </row>
    <row r="173" spans="1:25" ht="13.5" hidden="1" thickBot="1" x14ac:dyDescent="0.25">
      <c r="A173" s="317" t="s">
        <v>147</v>
      </c>
      <c r="B173" s="895" t="s">
        <v>147</v>
      </c>
      <c r="C173" s="896"/>
      <c r="D173" s="957" t="s">
        <v>190</v>
      </c>
      <c r="E173" s="907">
        <f>GLOBAL_DER_FEV_2023!E173</f>
        <v>308</v>
      </c>
      <c r="F173" s="908">
        <f>GLOBAL_DER_FEV_2023!F173</f>
        <v>8.7999999999999995E-2</v>
      </c>
      <c r="G173" s="909">
        <f>GLOBAL_DER_FEV_2023!G173</f>
        <v>21.829280000000001</v>
      </c>
      <c r="H173" s="901">
        <f>GLOBAL_DER_FEV_2023!H173</f>
        <v>0</v>
      </c>
      <c r="I173" s="901">
        <f>GLOBAL_DER_FEV_2023!I173</f>
        <v>0</v>
      </c>
      <c r="J173" s="902">
        <f>GLOBAL_DER_FEV_2023!J173</f>
        <v>0</v>
      </c>
      <c r="K173" s="903" t="s">
        <v>507</v>
      </c>
      <c r="L173" s="959"/>
      <c r="M173" s="1041">
        <f t="shared" si="12"/>
        <v>0</v>
      </c>
      <c r="N173" s="893">
        <f t="shared" si="15"/>
        <v>0</v>
      </c>
      <c r="O173" s="905"/>
      <c r="P173" s="58" t="str">
        <f>IF(N172&gt;0,"xx",IF(N172&gt;0,"xy",""))</f>
        <v/>
      </c>
      <c r="Q173" s="317" t="str">
        <f t="shared" si="11"/>
        <v/>
      </c>
      <c r="R173" s="317" t="str">
        <f t="shared" si="13"/>
        <v/>
      </c>
      <c r="S173" s="317" t="str">
        <f t="shared" si="14"/>
        <v/>
      </c>
      <c r="T173" s="317" t="str">
        <f>GLOBAL_DER_FEV_2023!S173</f>
        <v/>
      </c>
      <c r="W173" s="582">
        <v>0</v>
      </c>
      <c r="X173" s="580"/>
      <c r="Y173" s="583">
        <f>IF(GLOBAL_DER_FEV_2023!W173=0,0,IF(GLOBAL_DER_FEV_2023!W173&gt;0,"c","b"))</f>
        <v>0</v>
      </c>
    </row>
    <row r="174" spans="1:25" ht="13.5" hidden="1" thickBot="1" x14ac:dyDescent="0.25">
      <c r="A174" s="317" t="s">
        <v>147</v>
      </c>
      <c r="B174" s="895" t="s">
        <v>147</v>
      </c>
      <c r="C174" s="896"/>
      <c r="D174" s="957" t="s">
        <v>191</v>
      </c>
      <c r="E174" s="898">
        <f>GLOBAL_DER_FEV_2023!E174</f>
        <v>0</v>
      </c>
      <c r="F174" s="908">
        <f>GLOBAL_DER_FEV_2023!F174</f>
        <v>1.85</v>
      </c>
      <c r="G174" s="909">
        <f>GLOBAL_DER_FEV_2023!G174</f>
        <v>4.9580000000000002</v>
      </c>
      <c r="H174" s="901">
        <f>GLOBAL_DER_FEV_2023!H174</f>
        <v>0</v>
      </c>
      <c r="I174" s="901">
        <f>GLOBAL_DER_FEV_2023!I174</f>
        <v>0</v>
      </c>
      <c r="J174" s="902">
        <f>GLOBAL_DER_FEV_2023!J174</f>
        <v>0</v>
      </c>
      <c r="K174" s="903" t="s">
        <v>507</v>
      </c>
      <c r="L174" s="959"/>
      <c r="M174" s="1041">
        <f t="shared" si="12"/>
        <v>0</v>
      </c>
      <c r="N174" s="893">
        <f t="shared" si="15"/>
        <v>0</v>
      </c>
      <c r="O174" s="905"/>
      <c r="P174" s="58" t="str">
        <f>IF(N172&gt;0,"xx",IF(N172&gt;0,"xy",""))</f>
        <v/>
      </c>
      <c r="Q174" s="317" t="str">
        <f t="shared" si="11"/>
        <v/>
      </c>
      <c r="R174" s="317" t="str">
        <f t="shared" si="13"/>
        <v/>
      </c>
      <c r="S174" s="317" t="str">
        <f t="shared" si="14"/>
        <v/>
      </c>
      <c r="T174" s="317" t="str">
        <f>GLOBAL_DER_FEV_2023!S174</f>
        <v/>
      </c>
      <c r="W174" s="582">
        <v>0</v>
      </c>
      <c r="X174" s="580"/>
      <c r="Y174" s="583">
        <f>IF(GLOBAL_DER_FEV_2023!W174=0,0,IF(GLOBAL_DER_FEV_2023!W174&gt;0,"c","b"))</f>
        <v>0</v>
      </c>
    </row>
    <row r="175" spans="1:25" ht="13.5" hidden="1" thickBot="1" x14ac:dyDescent="0.25">
      <c r="A175" s="317" t="s">
        <v>147</v>
      </c>
      <c r="B175" s="895" t="s">
        <v>147</v>
      </c>
      <c r="C175" s="896"/>
      <c r="D175" s="957" t="s">
        <v>192</v>
      </c>
      <c r="E175" s="898">
        <f>GLOBAL_DER_FEV_2023!E175</f>
        <v>0</v>
      </c>
      <c r="F175" s="908">
        <f>GLOBAL_DER_FEV_2023!F175</f>
        <v>1.762</v>
      </c>
      <c r="G175" s="909">
        <f>GLOBAL_DER_FEV_2023!G175</f>
        <v>4.7221600000000006</v>
      </c>
      <c r="H175" s="901">
        <f>GLOBAL_DER_FEV_2023!H175</f>
        <v>0</v>
      </c>
      <c r="I175" s="901">
        <f>GLOBAL_DER_FEV_2023!I175</f>
        <v>0</v>
      </c>
      <c r="J175" s="902">
        <f>GLOBAL_DER_FEV_2023!J175</f>
        <v>0</v>
      </c>
      <c r="K175" s="903" t="s">
        <v>507</v>
      </c>
      <c r="L175" s="959"/>
      <c r="M175" s="1041">
        <f t="shared" si="12"/>
        <v>0</v>
      </c>
      <c r="N175" s="893">
        <f t="shared" si="15"/>
        <v>0</v>
      </c>
      <c r="O175" s="905"/>
      <c r="P175" s="58" t="str">
        <f>IF($N$142&gt;0,"xx",IF($N$142&gt;0,"xy",""))</f>
        <v/>
      </c>
      <c r="Q175" s="317" t="str">
        <f t="shared" si="11"/>
        <v/>
      </c>
      <c r="R175" s="317" t="str">
        <f t="shared" si="13"/>
        <v/>
      </c>
      <c r="S175" s="317" t="str">
        <f t="shared" si="14"/>
        <v/>
      </c>
      <c r="T175" s="317" t="str">
        <f>GLOBAL_DER_FEV_2023!S175</f>
        <v/>
      </c>
      <c r="W175" s="582">
        <v>0</v>
      </c>
      <c r="X175" s="580"/>
      <c r="Y175" s="583">
        <f>IF(GLOBAL_DER_FEV_2023!W175=0,0,IF(GLOBAL_DER_FEV_2023!W175&gt;0,"c","b"))</f>
        <v>0</v>
      </c>
    </row>
    <row r="176" spans="1:25" ht="13.5" hidden="1" thickBot="1" x14ac:dyDescent="0.25">
      <c r="A176" s="317">
        <v>546100</v>
      </c>
      <c r="B176" s="895">
        <v>546100</v>
      </c>
      <c r="C176" s="896" t="s">
        <v>184</v>
      </c>
      <c r="D176" s="906" t="s">
        <v>2203</v>
      </c>
      <c r="E176" s="898">
        <f>GLOBAL_DER_FEV_2023!E176</f>
        <v>0</v>
      </c>
      <c r="F176" s="908">
        <f>GLOBAL_DER_FEV_2023!F176</f>
        <v>0</v>
      </c>
      <c r="G176" s="953">
        <f>GLOBAL_DER_FEV_2023!G176</f>
        <v>35.680900000000001</v>
      </c>
      <c r="H176" s="901">
        <f>GLOBAL_DER_FEV_2023!H176</f>
        <v>91.87</v>
      </c>
      <c r="I176" s="901">
        <f>GLOBAL_DER_FEV_2023!I176</f>
        <v>127.55090000000001</v>
      </c>
      <c r="J176" s="902">
        <f>GLOBAL_DER_FEV_2023!J176</f>
        <v>153.15</v>
      </c>
      <c r="K176" s="903" t="s">
        <v>10</v>
      </c>
      <c r="L176" s="1137"/>
      <c r="M176" s="1150">
        <f t="shared" si="12"/>
        <v>0</v>
      </c>
      <c r="N176" s="893">
        <f t="shared" si="15"/>
        <v>0</v>
      </c>
      <c r="O176" s="905"/>
      <c r="Q176" s="317" t="str">
        <f t="shared" si="11"/>
        <v/>
      </c>
      <c r="R176" s="317" t="str">
        <f t="shared" si="13"/>
        <v/>
      </c>
      <c r="S176" s="317" t="str">
        <f t="shared" si="14"/>
        <v/>
      </c>
      <c r="T176" s="317" t="str">
        <f>GLOBAL_DER_FEV_2023!S176</f>
        <v/>
      </c>
      <c r="W176" s="582">
        <v>0</v>
      </c>
      <c r="X176" s="580"/>
      <c r="Y176" s="583">
        <f>IF(GLOBAL_DER_FEV_2023!W176=0,0,IF(GLOBAL_DER_FEV_2023!W176&gt;0,"c","b"))</f>
        <v>0</v>
      </c>
    </row>
    <row r="177" spans="1:25" ht="13.5" hidden="1" thickBot="1" x14ac:dyDescent="0.25">
      <c r="A177" s="317" t="s">
        <v>147</v>
      </c>
      <c r="B177" s="895" t="s">
        <v>147</v>
      </c>
      <c r="C177" s="896"/>
      <c r="D177" s="957" t="s">
        <v>190</v>
      </c>
      <c r="E177" s="907">
        <f>GLOBAL_DER_FEV_2023!E177</f>
        <v>308</v>
      </c>
      <c r="F177" s="908">
        <f>GLOBAL_DER_FEV_2023!F177</f>
        <v>0.105</v>
      </c>
      <c r="G177" s="909">
        <f>GLOBAL_DER_FEV_2023!G177</f>
        <v>26.046299999999999</v>
      </c>
      <c r="H177" s="901">
        <f>GLOBAL_DER_FEV_2023!H177</f>
        <v>0</v>
      </c>
      <c r="I177" s="901">
        <f>GLOBAL_DER_FEV_2023!I177</f>
        <v>0</v>
      </c>
      <c r="J177" s="902">
        <f>GLOBAL_DER_FEV_2023!J177</f>
        <v>0</v>
      </c>
      <c r="K177" s="903" t="s">
        <v>507</v>
      </c>
      <c r="L177" s="959"/>
      <c r="M177" s="1041">
        <f t="shared" si="12"/>
        <v>0</v>
      </c>
      <c r="N177" s="893">
        <f t="shared" si="15"/>
        <v>0</v>
      </c>
      <c r="O177" s="905"/>
      <c r="P177" s="58" t="str">
        <f>IF(N176&gt;0,"xx",IF(N176&gt;0,"xy",""))</f>
        <v/>
      </c>
      <c r="Q177" s="317" t="str">
        <f t="shared" si="11"/>
        <v/>
      </c>
      <c r="R177" s="317" t="str">
        <f t="shared" si="13"/>
        <v/>
      </c>
      <c r="S177" s="317" t="str">
        <f t="shared" si="14"/>
        <v/>
      </c>
      <c r="T177" s="317" t="str">
        <f>GLOBAL_DER_FEV_2023!S177</f>
        <v/>
      </c>
      <c r="W177" s="582">
        <v>0</v>
      </c>
      <c r="X177" s="580"/>
      <c r="Y177" s="583">
        <f>IF(GLOBAL_DER_FEV_2023!W177=0,0,IF(GLOBAL_DER_FEV_2023!W177&gt;0,"c","b"))</f>
        <v>0</v>
      </c>
    </row>
    <row r="178" spans="1:25" ht="13.5" hidden="1" thickBot="1" x14ac:dyDescent="0.25">
      <c r="A178" s="317" t="s">
        <v>147</v>
      </c>
      <c r="B178" s="895" t="s">
        <v>147</v>
      </c>
      <c r="C178" s="896"/>
      <c r="D178" s="957" t="s">
        <v>191</v>
      </c>
      <c r="E178" s="898">
        <f>GLOBAL_DER_FEV_2023!E178</f>
        <v>0</v>
      </c>
      <c r="F178" s="908">
        <f>GLOBAL_DER_FEV_2023!F178</f>
        <v>1.85</v>
      </c>
      <c r="G178" s="909">
        <f>GLOBAL_DER_FEV_2023!G178</f>
        <v>4.9580000000000002</v>
      </c>
      <c r="H178" s="901">
        <f>GLOBAL_DER_FEV_2023!H178</f>
        <v>0</v>
      </c>
      <c r="I178" s="901">
        <f>GLOBAL_DER_FEV_2023!I178</f>
        <v>0</v>
      </c>
      <c r="J178" s="902">
        <f>GLOBAL_DER_FEV_2023!J178</f>
        <v>0</v>
      </c>
      <c r="K178" s="903" t="s">
        <v>507</v>
      </c>
      <c r="L178" s="959"/>
      <c r="M178" s="1041">
        <f t="shared" si="12"/>
        <v>0</v>
      </c>
      <c r="N178" s="893">
        <f t="shared" si="15"/>
        <v>0</v>
      </c>
      <c r="O178" s="905"/>
      <c r="P178" s="58" t="str">
        <f>IF(N176&gt;0,"xx",IF(N176&gt;0,"xy",""))</f>
        <v/>
      </c>
      <c r="Q178" s="317" t="str">
        <f t="shared" si="11"/>
        <v/>
      </c>
      <c r="R178" s="317" t="str">
        <f t="shared" si="13"/>
        <v/>
      </c>
      <c r="S178" s="317" t="str">
        <f t="shared" si="14"/>
        <v/>
      </c>
      <c r="T178" s="317" t="str">
        <f>GLOBAL_DER_FEV_2023!S178</f>
        <v/>
      </c>
      <c r="W178" s="582">
        <v>0</v>
      </c>
      <c r="X178" s="580"/>
      <c r="Y178" s="583">
        <f>IF(GLOBAL_DER_FEV_2023!W178=0,0,IF(GLOBAL_DER_FEV_2023!W178&gt;0,"c","b"))</f>
        <v>0</v>
      </c>
    </row>
    <row r="179" spans="1:25" ht="13.5" hidden="1" thickBot="1" x14ac:dyDescent="0.25">
      <c r="A179" s="317" t="s">
        <v>147</v>
      </c>
      <c r="B179" s="895" t="s">
        <v>147</v>
      </c>
      <c r="C179" s="896"/>
      <c r="D179" s="957" t="s">
        <v>192</v>
      </c>
      <c r="E179" s="898">
        <f>GLOBAL_DER_FEV_2023!E179</f>
        <v>0</v>
      </c>
      <c r="F179" s="908">
        <f>GLOBAL_DER_FEV_2023!F179</f>
        <v>1.7450000000000001</v>
      </c>
      <c r="G179" s="909">
        <f>GLOBAL_DER_FEV_2023!G179</f>
        <v>4.6766000000000005</v>
      </c>
      <c r="H179" s="901">
        <f>GLOBAL_DER_FEV_2023!H179</f>
        <v>0</v>
      </c>
      <c r="I179" s="901">
        <f>GLOBAL_DER_FEV_2023!I179</f>
        <v>0</v>
      </c>
      <c r="J179" s="902">
        <f>GLOBAL_DER_FEV_2023!J179</f>
        <v>0</v>
      </c>
      <c r="K179" s="903" t="s">
        <v>507</v>
      </c>
      <c r="L179" s="959"/>
      <c r="M179" s="1041">
        <f t="shared" si="12"/>
        <v>0</v>
      </c>
      <c r="N179" s="893">
        <f t="shared" si="15"/>
        <v>0</v>
      </c>
      <c r="O179" s="905"/>
      <c r="P179" s="58" t="str">
        <f>IF($N$142&gt;0,"xx",IF($N$142&gt;0,"xy",""))</f>
        <v/>
      </c>
      <c r="Q179" s="317" t="str">
        <f t="shared" si="11"/>
        <v/>
      </c>
      <c r="R179" s="317" t="str">
        <f t="shared" si="13"/>
        <v/>
      </c>
      <c r="S179" s="317" t="str">
        <f t="shared" si="14"/>
        <v/>
      </c>
      <c r="T179" s="317" t="str">
        <f>GLOBAL_DER_FEV_2023!S179</f>
        <v/>
      </c>
      <c r="W179" s="582">
        <v>0</v>
      </c>
      <c r="X179" s="580"/>
      <c r="Y179" s="583">
        <f>IF(GLOBAL_DER_FEV_2023!W179=0,0,IF(GLOBAL_DER_FEV_2023!W179&gt;0,"c","b"))</f>
        <v>0</v>
      </c>
    </row>
    <row r="180" spans="1:25" ht="13.5" hidden="1" thickBot="1" x14ac:dyDescent="0.25">
      <c r="A180" s="317">
        <v>547100</v>
      </c>
      <c r="B180" s="895">
        <v>547100</v>
      </c>
      <c r="C180" s="896" t="s">
        <v>184</v>
      </c>
      <c r="D180" s="906" t="s">
        <v>2204</v>
      </c>
      <c r="E180" s="898">
        <f>GLOBAL_DER_FEV_2023!E180</f>
        <v>0</v>
      </c>
      <c r="F180" s="908">
        <f>GLOBAL_DER_FEV_2023!F180</f>
        <v>0</v>
      </c>
      <c r="G180" s="953">
        <f>GLOBAL_DER_FEV_2023!G180</f>
        <v>39.604299999999995</v>
      </c>
      <c r="H180" s="901">
        <f>GLOBAL_DER_FEV_2023!H180</f>
        <v>101.11</v>
      </c>
      <c r="I180" s="901">
        <f>GLOBAL_DER_FEV_2023!I180</f>
        <v>140.71429999999998</v>
      </c>
      <c r="J180" s="902">
        <f>GLOBAL_DER_FEV_2023!J180</f>
        <v>168.96</v>
      </c>
      <c r="K180" s="903" t="s">
        <v>10</v>
      </c>
      <c r="L180" s="1137"/>
      <c r="M180" s="1150">
        <f t="shared" si="12"/>
        <v>0</v>
      </c>
      <c r="N180" s="893">
        <f t="shared" si="15"/>
        <v>0</v>
      </c>
      <c r="O180" s="905"/>
      <c r="Q180" s="317" t="str">
        <f t="shared" si="11"/>
        <v/>
      </c>
      <c r="R180" s="317" t="str">
        <f t="shared" si="13"/>
        <v/>
      </c>
      <c r="S180" s="317" t="str">
        <f t="shared" si="14"/>
        <v/>
      </c>
      <c r="T180" s="317" t="str">
        <f>GLOBAL_DER_FEV_2023!S180</f>
        <v/>
      </c>
      <c r="W180" s="582">
        <v>0</v>
      </c>
      <c r="X180" s="580"/>
      <c r="Y180" s="583">
        <f>IF(GLOBAL_DER_FEV_2023!W180=0,0,IF(GLOBAL_DER_FEV_2023!W180&gt;0,"c","b"))</f>
        <v>0</v>
      </c>
    </row>
    <row r="181" spans="1:25" ht="13.5" hidden="1" thickBot="1" x14ac:dyDescent="0.25">
      <c r="A181" s="317" t="s">
        <v>147</v>
      </c>
      <c r="B181" s="895" t="s">
        <v>147</v>
      </c>
      <c r="C181" s="896"/>
      <c r="D181" s="957" t="s">
        <v>190</v>
      </c>
      <c r="E181" s="907">
        <f>GLOBAL_DER_FEV_2023!E181</f>
        <v>308</v>
      </c>
      <c r="F181" s="908">
        <f>GLOBAL_DER_FEV_2023!F181</f>
        <v>0.121</v>
      </c>
      <c r="G181" s="909">
        <f>GLOBAL_DER_FEV_2023!G181</f>
        <v>30.015259999999998</v>
      </c>
      <c r="H181" s="901">
        <f>GLOBAL_DER_FEV_2023!H181</f>
        <v>0</v>
      </c>
      <c r="I181" s="901">
        <f>GLOBAL_DER_FEV_2023!I181</f>
        <v>0</v>
      </c>
      <c r="J181" s="902">
        <f>GLOBAL_DER_FEV_2023!J181</f>
        <v>0</v>
      </c>
      <c r="K181" s="903" t="s">
        <v>507</v>
      </c>
      <c r="L181" s="959"/>
      <c r="M181" s="1041">
        <f t="shared" si="12"/>
        <v>0</v>
      </c>
      <c r="N181" s="893">
        <f t="shared" si="15"/>
        <v>0</v>
      </c>
      <c r="O181" s="905"/>
      <c r="P181" s="58" t="str">
        <f>IF(N180&gt;0,"xx",IF(N180&gt;0,"xy",""))</f>
        <v/>
      </c>
      <c r="Q181" s="317" t="str">
        <f t="shared" si="11"/>
        <v/>
      </c>
      <c r="R181" s="317" t="str">
        <f t="shared" si="13"/>
        <v/>
      </c>
      <c r="S181" s="317" t="str">
        <f t="shared" si="14"/>
        <v/>
      </c>
      <c r="T181" s="317" t="str">
        <f>GLOBAL_DER_FEV_2023!S181</f>
        <v/>
      </c>
      <c r="W181" s="582">
        <v>0</v>
      </c>
      <c r="X181" s="580"/>
      <c r="Y181" s="583">
        <f>IF(GLOBAL_DER_FEV_2023!W181=0,0,IF(GLOBAL_DER_FEV_2023!W181&gt;0,"c","b"))</f>
        <v>0</v>
      </c>
    </row>
    <row r="182" spans="1:25" ht="13.5" hidden="1" thickBot="1" x14ac:dyDescent="0.25">
      <c r="A182" s="317" t="s">
        <v>147</v>
      </c>
      <c r="B182" s="895" t="s">
        <v>147</v>
      </c>
      <c r="C182" s="896"/>
      <c r="D182" s="957" t="s">
        <v>191</v>
      </c>
      <c r="E182" s="898">
        <f>GLOBAL_DER_FEV_2023!E182</f>
        <v>0</v>
      </c>
      <c r="F182" s="908">
        <f>GLOBAL_DER_FEV_2023!F182</f>
        <v>1.85</v>
      </c>
      <c r="G182" s="909">
        <f>GLOBAL_DER_FEV_2023!G182</f>
        <v>4.9580000000000002</v>
      </c>
      <c r="H182" s="901">
        <f>GLOBAL_DER_FEV_2023!H182</f>
        <v>0</v>
      </c>
      <c r="I182" s="901">
        <f>GLOBAL_DER_FEV_2023!I182</f>
        <v>0</v>
      </c>
      <c r="J182" s="902">
        <f>GLOBAL_DER_FEV_2023!J182</f>
        <v>0</v>
      </c>
      <c r="K182" s="903" t="s">
        <v>507</v>
      </c>
      <c r="L182" s="959"/>
      <c r="M182" s="1041">
        <f t="shared" si="12"/>
        <v>0</v>
      </c>
      <c r="N182" s="893">
        <f t="shared" si="15"/>
        <v>0</v>
      </c>
      <c r="O182" s="905"/>
      <c r="P182" s="58" t="str">
        <f>IF(N180&gt;0,"xx",IF(N180&gt;0,"xy",""))</f>
        <v/>
      </c>
      <c r="Q182" s="317" t="str">
        <f t="shared" si="11"/>
        <v/>
      </c>
      <c r="R182" s="317" t="str">
        <f t="shared" si="13"/>
        <v/>
      </c>
      <c r="S182" s="317" t="str">
        <f t="shared" si="14"/>
        <v/>
      </c>
      <c r="T182" s="317" t="str">
        <f>GLOBAL_DER_FEV_2023!S182</f>
        <v/>
      </c>
      <c r="W182" s="582">
        <v>0</v>
      </c>
      <c r="X182" s="580"/>
      <c r="Y182" s="583">
        <f>IF(GLOBAL_DER_FEV_2023!W182=0,0,IF(GLOBAL_DER_FEV_2023!W182&gt;0,"c","b"))</f>
        <v>0</v>
      </c>
    </row>
    <row r="183" spans="1:25" ht="13.5" hidden="1" thickBot="1" x14ac:dyDescent="0.25">
      <c r="A183" s="317" t="s">
        <v>147</v>
      </c>
      <c r="B183" s="895" t="s">
        <v>147</v>
      </c>
      <c r="C183" s="896"/>
      <c r="D183" s="957" t="s">
        <v>192</v>
      </c>
      <c r="E183" s="898">
        <f>GLOBAL_DER_FEV_2023!E183</f>
        <v>0</v>
      </c>
      <c r="F183" s="908">
        <f>GLOBAL_DER_FEV_2023!F183</f>
        <v>1.728</v>
      </c>
      <c r="G183" s="909">
        <f>GLOBAL_DER_FEV_2023!G183</f>
        <v>4.6310400000000005</v>
      </c>
      <c r="H183" s="901">
        <f>GLOBAL_DER_FEV_2023!H183</f>
        <v>0</v>
      </c>
      <c r="I183" s="901">
        <f>GLOBAL_DER_FEV_2023!I183</f>
        <v>0</v>
      </c>
      <c r="J183" s="902">
        <f>GLOBAL_DER_FEV_2023!J183</f>
        <v>0</v>
      </c>
      <c r="K183" s="903" t="s">
        <v>507</v>
      </c>
      <c r="L183" s="959"/>
      <c r="M183" s="1041">
        <f t="shared" si="12"/>
        <v>0</v>
      </c>
      <c r="N183" s="893">
        <f t="shared" si="15"/>
        <v>0</v>
      </c>
      <c r="O183" s="905"/>
      <c r="P183" s="58" t="str">
        <f>IF($N$142&gt;0,"xx",IF($N$142&gt;0,"xy",""))</f>
        <v/>
      </c>
      <c r="Q183" s="317" t="str">
        <f t="shared" si="11"/>
        <v/>
      </c>
      <c r="R183" s="317" t="str">
        <f t="shared" si="13"/>
        <v/>
      </c>
      <c r="S183" s="317" t="str">
        <f t="shared" si="14"/>
        <v/>
      </c>
      <c r="T183" s="317" t="str">
        <f>GLOBAL_DER_FEV_2023!S183</f>
        <v/>
      </c>
      <c r="W183" s="582">
        <v>0</v>
      </c>
      <c r="X183" s="580"/>
      <c r="Y183" s="583">
        <f>IF(GLOBAL_DER_FEV_2023!W183=0,0,IF(GLOBAL_DER_FEV_2023!W183&gt;0,"c","b"))</f>
        <v>0</v>
      </c>
    </row>
    <row r="184" spans="1:25" ht="13.5" hidden="1" thickBot="1" x14ac:dyDescent="0.25">
      <c r="A184" s="317">
        <v>530200</v>
      </c>
      <c r="B184" s="895" t="s">
        <v>1572</v>
      </c>
      <c r="C184" s="896" t="s">
        <v>184</v>
      </c>
      <c r="D184" s="906" t="s">
        <v>193</v>
      </c>
      <c r="E184" s="898">
        <f>GLOBAL_DER_FEV_2023!E184</f>
        <v>0.2</v>
      </c>
      <c r="F184" s="899">
        <f>GLOBAL_DER_FEV_2023!F184</f>
        <v>2.2000000000000002</v>
      </c>
      <c r="G184" s="909">
        <f>GLOBAL_DER_FEV_2023!G184</f>
        <v>6.3668000000000005</v>
      </c>
      <c r="H184" s="901">
        <f>GLOBAL_DER_FEV_2023!H184</f>
        <v>98.29</v>
      </c>
      <c r="I184" s="901">
        <f>GLOBAL_DER_FEV_2023!I184</f>
        <v>104.6568</v>
      </c>
      <c r="J184" s="902">
        <f>GLOBAL_DER_FEV_2023!J184</f>
        <v>125.66</v>
      </c>
      <c r="K184" s="903" t="s">
        <v>10</v>
      </c>
      <c r="L184" s="1137"/>
      <c r="M184" s="1150">
        <f t="shared" si="12"/>
        <v>0</v>
      </c>
      <c r="N184" s="893">
        <f t="shared" si="15"/>
        <v>0</v>
      </c>
      <c r="O184" s="905"/>
      <c r="Q184" s="317" t="str">
        <f t="shared" si="11"/>
        <v/>
      </c>
      <c r="R184" s="317" t="str">
        <f t="shared" si="13"/>
        <v/>
      </c>
      <c r="S184" s="317" t="str">
        <f t="shared" si="14"/>
        <v/>
      </c>
      <c r="T184" s="317" t="str">
        <f>GLOBAL_DER_FEV_2023!S184</f>
        <v/>
      </c>
      <c r="W184" s="582">
        <v>0</v>
      </c>
      <c r="X184" s="580"/>
      <c r="Y184" s="583">
        <f>IF(GLOBAL_DER_FEV_2023!W184=0,0,IF(GLOBAL_DER_FEV_2023!W184&gt;0,"c","b"))</f>
        <v>0</v>
      </c>
    </row>
    <row r="185" spans="1:25" ht="13.5" hidden="1" thickBot="1" x14ac:dyDescent="0.25">
      <c r="A185" s="317" t="s">
        <v>830</v>
      </c>
      <c r="B185" s="895" t="str">
        <f>GLOBAL_DER_FEV_2023!B185</f>
        <v>PAV-003A</v>
      </c>
      <c r="C185" s="896" t="str">
        <f>GLOBAL_DER_FEV_2023!C185</f>
        <v>PM Curitiba-abr/22</v>
      </c>
      <c r="D185" s="906" t="str">
        <f>GLOBAL_DER_FEV_2023!D185</f>
        <v>Saibro Compactado CBR&gt;=20 (Base ou Sub-Base)</v>
      </c>
      <c r="E185" s="898">
        <f>GLOBAL_DER_FEV_2023!E185</f>
        <v>0</v>
      </c>
      <c r="F185" s="899">
        <f>GLOBAL_DER_FEV_2023!F185</f>
        <v>1.95</v>
      </c>
      <c r="G185" s="909">
        <f>GLOBAL_DER_FEV_2023!G185</f>
        <v>5.226</v>
      </c>
      <c r="H185" s="901">
        <f>GLOBAL_DER_FEV_2023!H185</f>
        <v>67.75</v>
      </c>
      <c r="I185" s="901">
        <f>GLOBAL_DER_FEV_2023!I185</f>
        <v>72.975999999999999</v>
      </c>
      <c r="J185" s="902">
        <f>GLOBAL_DER_FEV_2023!J185</f>
        <v>87.62</v>
      </c>
      <c r="K185" s="903" t="s">
        <v>10</v>
      </c>
      <c r="L185" s="1137"/>
      <c r="M185" s="1150">
        <f t="shared" si="12"/>
        <v>0</v>
      </c>
      <c r="N185" s="893">
        <f t="shared" si="15"/>
        <v>0</v>
      </c>
      <c r="O185" s="905"/>
      <c r="Q185" s="317" t="str">
        <f t="shared" si="11"/>
        <v/>
      </c>
      <c r="R185" s="317" t="str">
        <f t="shared" si="13"/>
        <v/>
      </c>
      <c r="S185" s="317" t="str">
        <f t="shared" si="14"/>
        <v/>
      </c>
      <c r="T185" s="317" t="str">
        <f>GLOBAL_DER_FEV_2023!S185</f>
        <v/>
      </c>
      <c r="W185" s="582">
        <v>0</v>
      </c>
      <c r="X185" s="580"/>
      <c r="Y185" s="583">
        <f>IF(GLOBAL_DER_FEV_2023!W185=0,0,IF(GLOBAL_DER_FEV_2023!W185&gt;0,"c","b"))</f>
        <v>0</v>
      </c>
    </row>
    <row r="186" spans="1:25" ht="13.5" hidden="1" thickBot="1" x14ac:dyDescent="0.25">
      <c r="A186" s="317" t="s">
        <v>831</v>
      </c>
      <c r="B186" s="895" t="str">
        <f>GLOBAL_DER_FEV_2023!B186</f>
        <v>PAV-005A</v>
      </c>
      <c r="C186" s="896" t="str">
        <f>GLOBAL_DER_FEV_2023!C186</f>
        <v>PM Curitiba-abr/22</v>
      </c>
      <c r="D186" s="906" t="str">
        <f>GLOBAL_DER_FEV_2023!D186</f>
        <v>Moledo Compactado CBR&gt;=20 (Base ou Sub-Base)</v>
      </c>
      <c r="E186" s="898">
        <f>GLOBAL_DER_FEV_2023!E186</f>
        <v>0</v>
      </c>
      <c r="F186" s="899">
        <f>GLOBAL_DER_FEV_2023!F186</f>
        <v>2.1</v>
      </c>
      <c r="G186" s="909">
        <f>GLOBAL_DER_FEV_2023!G186</f>
        <v>5.628000000000001</v>
      </c>
      <c r="H186" s="901">
        <f>GLOBAL_DER_FEV_2023!H186</f>
        <v>31.47</v>
      </c>
      <c r="I186" s="901">
        <f>GLOBAL_DER_FEV_2023!I186</f>
        <v>37.097999999999999</v>
      </c>
      <c r="J186" s="902">
        <f>GLOBAL_DER_FEV_2023!J186</f>
        <v>44.54</v>
      </c>
      <c r="K186" s="903" t="s">
        <v>10</v>
      </c>
      <c r="L186" s="1137"/>
      <c r="M186" s="1150">
        <f t="shared" si="12"/>
        <v>0</v>
      </c>
      <c r="N186" s="893">
        <f t="shared" si="15"/>
        <v>0</v>
      </c>
      <c r="O186" s="905"/>
      <c r="Q186" s="317" t="str">
        <f t="shared" si="11"/>
        <v/>
      </c>
      <c r="R186" s="317" t="str">
        <f t="shared" si="13"/>
        <v/>
      </c>
      <c r="S186" s="317" t="str">
        <f t="shared" si="14"/>
        <v/>
      </c>
      <c r="T186" s="317" t="str">
        <f>GLOBAL_DER_FEV_2023!S186</f>
        <v/>
      </c>
      <c r="W186" s="582">
        <v>0</v>
      </c>
      <c r="X186" s="580"/>
      <c r="Y186" s="583">
        <f>IF(GLOBAL_DER_FEV_2023!W186=0,0,IF(GLOBAL_DER_FEV_2023!W186&gt;0,"c","b"))</f>
        <v>0</v>
      </c>
    </row>
    <row r="187" spans="1:25" ht="13.5" hidden="1" thickBot="1" x14ac:dyDescent="0.25">
      <c r="A187" s="317">
        <v>530200</v>
      </c>
      <c r="B187" s="895" t="s">
        <v>1746</v>
      </c>
      <c r="C187" s="896" t="s">
        <v>184</v>
      </c>
      <c r="D187" s="906" t="s">
        <v>452</v>
      </c>
      <c r="E187" s="898">
        <f>GLOBAL_DER_FEV_2023!E187</f>
        <v>0.2</v>
      </c>
      <c r="F187" s="899">
        <f>GLOBAL_DER_FEV_2023!F187</f>
        <v>2.2000000000000002</v>
      </c>
      <c r="G187" s="909">
        <f>GLOBAL_DER_FEV_2023!G187</f>
        <v>6.3668000000000005</v>
      </c>
      <c r="H187" s="901">
        <f>GLOBAL_DER_FEV_2023!H187</f>
        <v>98.29</v>
      </c>
      <c r="I187" s="901">
        <f>GLOBAL_DER_FEV_2023!I187</f>
        <v>104.6568</v>
      </c>
      <c r="J187" s="902">
        <f>GLOBAL_DER_FEV_2023!J187</f>
        <v>125.66</v>
      </c>
      <c r="K187" s="903" t="s">
        <v>10</v>
      </c>
      <c r="L187" s="1137"/>
      <c r="M187" s="1150">
        <f t="shared" si="12"/>
        <v>0</v>
      </c>
      <c r="N187" s="893">
        <f t="shared" si="15"/>
        <v>0</v>
      </c>
      <c r="O187" s="905"/>
      <c r="Q187" s="317" t="str">
        <f t="shared" si="11"/>
        <v/>
      </c>
      <c r="R187" s="317" t="str">
        <f t="shared" si="13"/>
        <v/>
      </c>
      <c r="S187" s="317" t="str">
        <f t="shared" si="14"/>
        <v/>
      </c>
      <c r="T187" s="317" t="str">
        <f>GLOBAL_DER_FEV_2023!S187</f>
        <v/>
      </c>
      <c r="W187" s="582">
        <v>0</v>
      </c>
      <c r="X187" s="580"/>
      <c r="Y187" s="583">
        <f>IF(GLOBAL_DER_FEV_2023!W187=0,0,IF(GLOBAL_DER_FEV_2023!W187&gt;0,"c","b"))</f>
        <v>0</v>
      </c>
    </row>
    <row r="188" spans="1:25" ht="13.5" hidden="1" thickBot="1" x14ac:dyDescent="0.25">
      <c r="A188" s="317">
        <v>516200</v>
      </c>
      <c r="B188" s="895">
        <v>516200</v>
      </c>
      <c r="C188" s="896" t="s">
        <v>184</v>
      </c>
      <c r="D188" s="906" t="s">
        <v>206</v>
      </c>
      <c r="E188" s="898">
        <f>GLOBAL_DER_FEV_2023!E188</f>
        <v>0</v>
      </c>
      <c r="F188" s="899">
        <f>GLOBAL_DER_FEV_2023!F188</f>
        <v>1.95</v>
      </c>
      <c r="G188" s="909">
        <f>GLOBAL_DER_FEV_2023!G188</f>
        <v>5.226</v>
      </c>
      <c r="H188" s="901">
        <f>GLOBAL_DER_FEV_2023!H188</f>
        <v>104.14</v>
      </c>
      <c r="I188" s="901">
        <f>GLOBAL_DER_FEV_2023!I188</f>
        <v>92.961100000000002</v>
      </c>
      <c r="J188" s="902">
        <f>GLOBAL_DER_FEV_2023!J188</f>
        <v>111.62</v>
      </c>
      <c r="K188" s="903" t="s">
        <v>10</v>
      </c>
      <c r="L188" s="1137"/>
      <c r="M188" s="1150">
        <f t="shared" si="12"/>
        <v>0</v>
      </c>
      <c r="N188" s="893">
        <f t="shared" si="15"/>
        <v>0</v>
      </c>
      <c r="O188" s="905"/>
      <c r="Q188" s="317" t="str">
        <f t="shared" si="11"/>
        <v/>
      </c>
      <c r="R188" s="317" t="str">
        <f t="shared" si="13"/>
        <v/>
      </c>
      <c r="S188" s="317" t="str">
        <f t="shared" si="14"/>
        <v/>
      </c>
      <c r="T188" s="317" t="str">
        <f>GLOBAL_DER_FEV_2023!S188</f>
        <v/>
      </c>
      <c r="W188" s="582">
        <v>0</v>
      </c>
      <c r="X188" s="580"/>
      <c r="Y188" s="583">
        <f>IF(GLOBAL_DER_FEV_2023!W188=0,0,IF(GLOBAL_DER_FEV_2023!W188&gt;0,"c","b"))</f>
        <v>0</v>
      </c>
    </row>
    <row r="189" spans="1:25" ht="13.5" hidden="1" thickBot="1" x14ac:dyDescent="0.25">
      <c r="A189" s="317">
        <v>531000</v>
      </c>
      <c r="B189" s="895" t="s">
        <v>1786</v>
      </c>
      <c r="C189" s="896" t="s">
        <v>184</v>
      </c>
      <c r="D189" s="906" t="s">
        <v>194</v>
      </c>
      <c r="E189" s="898">
        <f>GLOBAL_DER_FEV_2023!E189</f>
        <v>0.2</v>
      </c>
      <c r="F189" s="908">
        <f>GLOBAL_DER_FEV_2023!F189</f>
        <v>2.4</v>
      </c>
      <c r="G189" s="909">
        <f>GLOBAL_DER_FEV_2023!G189</f>
        <v>6.9455999999999998</v>
      </c>
      <c r="H189" s="901">
        <f>GLOBAL_DER_FEV_2023!H189</f>
        <v>132.22999999999999</v>
      </c>
      <c r="I189" s="901">
        <f>GLOBAL_DER_FEV_2023!I189</f>
        <v>139.1756</v>
      </c>
      <c r="J189" s="902">
        <f>GLOBAL_DER_FEV_2023!J189</f>
        <v>167.11</v>
      </c>
      <c r="K189" s="903" t="s">
        <v>10</v>
      </c>
      <c r="L189" s="1137"/>
      <c r="M189" s="1150">
        <f t="shared" si="12"/>
        <v>0</v>
      </c>
      <c r="N189" s="893">
        <f t="shared" si="15"/>
        <v>0</v>
      </c>
      <c r="O189" s="905"/>
      <c r="Q189" s="317" t="str">
        <f t="shared" si="11"/>
        <v/>
      </c>
      <c r="R189" s="317" t="str">
        <f t="shared" si="13"/>
        <v/>
      </c>
      <c r="S189" s="317" t="str">
        <f t="shared" si="14"/>
        <v/>
      </c>
      <c r="T189" s="317" t="str">
        <f>GLOBAL_DER_FEV_2023!S189</f>
        <v/>
      </c>
      <c r="W189" s="582">
        <v>0</v>
      </c>
      <c r="X189" s="580"/>
      <c r="Y189" s="583">
        <f>IF(GLOBAL_DER_FEV_2023!W189=0,0,IF(GLOBAL_DER_FEV_2023!W189&gt;0,"c","b"))</f>
        <v>0</v>
      </c>
    </row>
    <row r="190" spans="1:25" ht="13.5" hidden="1" thickBot="1" x14ac:dyDescent="0.25">
      <c r="A190" s="317">
        <v>531120</v>
      </c>
      <c r="B190" s="895">
        <v>531120</v>
      </c>
      <c r="C190" s="896" t="s">
        <v>184</v>
      </c>
      <c r="D190" s="906" t="s">
        <v>200</v>
      </c>
      <c r="E190" s="898">
        <f>GLOBAL_DER_FEV_2023!E190</f>
        <v>0</v>
      </c>
      <c r="F190" s="908">
        <f>GLOBAL_DER_FEV_2023!F190</f>
        <v>0</v>
      </c>
      <c r="G190" s="953">
        <f>GLOBAL_DER_FEV_2023!G190</f>
        <v>95.741760000000014</v>
      </c>
      <c r="H190" s="901">
        <f>GLOBAL_DER_FEV_2023!H190</f>
        <v>186.24</v>
      </c>
      <c r="I190" s="901">
        <f>GLOBAL_DER_FEV_2023!I190</f>
        <v>253.78358400000002</v>
      </c>
      <c r="J190" s="902">
        <f>GLOBAL_DER_FEV_2023!J190</f>
        <v>304.72000000000003</v>
      </c>
      <c r="K190" s="903" t="s">
        <v>10</v>
      </c>
      <c r="L190" s="1137"/>
      <c r="M190" s="1150">
        <f t="shared" si="12"/>
        <v>0</v>
      </c>
      <c r="N190" s="893">
        <f t="shared" si="15"/>
        <v>0</v>
      </c>
      <c r="O190" s="905"/>
      <c r="Q190" s="317" t="str">
        <f t="shared" si="11"/>
        <v/>
      </c>
      <c r="R190" s="317" t="str">
        <f t="shared" si="13"/>
        <v/>
      </c>
      <c r="S190" s="317" t="str">
        <f t="shared" si="14"/>
        <v/>
      </c>
      <c r="T190" s="317" t="str">
        <f>GLOBAL_DER_FEV_2023!S190</f>
        <v/>
      </c>
      <c r="W190" s="582">
        <v>0</v>
      </c>
      <c r="X190" s="580"/>
      <c r="Y190" s="583">
        <f>IF(GLOBAL_DER_FEV_2023!W190=0,0,IF(GLOBAL_DER_FEV_2023!W190&gt;0,"c","b"))</f>
        <v>0</v>
      </c>
    </row>
    <row r="191" spans="1:25" ht="13.5" hidden="1" thickBot="1" x14ac:dyDescent="0.25">
      <c r="A191" s="317" t="s">
        <v>147</v>
      </c>
      <c r="B191" s="895" t="s">
        <v>147</v>
      </c>
      <c r="C191" s="896"/>
      <c r="D191" s="957" t="s">
        <v>190</v>
      </c>
      <c r="E191" s="907">
        <f>GLOBAL_DER_FEV_2023!E191</f>
        <v>308</v>
      </c>
      <c r="F191" s="908">
        <f>GLOBAL_DER_FEV_2023!F191</f>
        <v>9.6000000000000002E-2</v>
      </c>
      <c r="G191" s="909">
        <f>GLOBAL_DER_FEV_2023!G191</f>
        <v>23.813760000000002</v>
      </c>
      <c r="H191" s="901">
        <f>GLOBAL_DER_FEV_2023!H191</f>
        <v>0</v>
      </c>
      <c r="I191" s="901">
        <f>GLOBAL_DER_FEV_2023!I191</f>
        <v>0</v>
      </c>
      <c r="J191" s="902">
        <f>GLOBAL_DER_FEV_2023!J191</f>
        <v>0</v>
      </c>
      <c r="K191" s="903" t="s">
        <v>507</v>
      </c>
      <c r="L191" s="959"/>
      <c r="M191" s="1041">
        <f t="shared" si="12"/>
        <v>0</v>
      </c>
      <c r="N191" s="893">
        <f t="shared" si="15"/>
        <v>0</v>
      </c>
      <c r="O191" s="905"/>
      <c r="P191" s="58" t="str">
        <f>IF(N190&gt;0,"xx",IF(N190&gt;0,"xy",""))</f>
        <v/>
      </c>
      <c r="Q191" s="317" t="str">
        <f t="shared" si="11"/>
        <v/>
      </c>
      <c r="R191" s="317" t="str">
        <f t="shared" si="13"/>
        <v/>
      </c>
      <c r="S191" s="317" t="str">
        <f t="shared" si="14"/>
        <v/>
      </c>
      <c r="T191" s="317" t="str">
        <f>GLOBAL_DER_FEV_2023!S191</f>
        <v/>
      </c>
      <c r="W191" s="582">
        <v>0</v>
      </c>
      <c r="X191" s="580"/>
      <c r="Y191" s="583">
        <f>IF(GLOBAL_DER_FEV_2023!W191=0,0,IF(GLOBAL_DER_FEV_2023!W191&gt;0,"c","b"))</f>
        <v>0</v>
      </c>
    </row>
    <row r="192" spans="1:25" ht="13.5" hidden="1" thickBot="1" x14ac:dyDescent="0.25">
      <c r="A192" s="317" t="s">
        <v>147</v>
      </c>
      <c r="B192" s="895" t="s">
        <v>147</v>
      </c>
      <c r="C192" s="896"/>
      <c r="D192" s="957" t="s">
        <v>201</v>
      </c>
      <c r="E192" s="898">
        <f>GLOBAL_DER_FEV_2023!E192</f>
        <v>0</v>
      </c>
      <c r="F192" s="908">
        <f>GLOBAL_DER_FEV_2023!F192</f>
        <v>2.4</v>
      </c>
      <c r="G192" s="909">
        <f>GLOBAL_DER_FEV_2023!G192</f>
        <v>6.4320000000000004</v>
      </c>
      <c r="H192" s="901">
        <f>GLOBAL_DER_FEV_2023!H192</f>
        <v>0</v>
      </c>
      <c r="I192" s="901">
        <f>GLOBAL_DER_FEV_2023!I192</f>
        <v>0</v>
      </c>
      <c r="J192" s="902">
        <f>GLOBAL_DER_FEV_2023!J192</f>
        <v>0</v>
      </c>
      <c r="K192" s="903" t="s">
        <v>507</v>
      </c>
      <c r="L192" s="959"/>
      <c r="M192" s="1041">
        <f t="shared" si="12"/>
        <v>0</v>
      </c>
      <c r="N192" s="893">
        <f t="shared" si="15"/>
        <v>0</v>
      </c>
      <c r="O192" s="905"/>
      <c r="P192" s="58" t="str">
        <f>IF(N190&gt;0,"xx",IF(N190&gt;0,"xy",""))</f>
        <v/>
      </c>
      <c r="Q192" s="317" t="str">
        <f t="shared" si="11"/>
        <v/>
      </c>
      <c r="R192" s="317" t="str">
        <f t="shared" si="13"/>
        <v/>
      </c>
      <c r="S192" s="317" t="str">
        <f t="shared" si="14"/>
        <v/>
      </c>
      <c r="T192" s="317" t="str">
        <f>GLOBAL_DER_FEV_2023!S192</f>
        <v/>
      </c>
      <c r="W192" s="582">
        <v>0</v>
      </c>
      <c r="X192" s="580"/>
      <c r="Y192" s="583">
        <f>IF(GLOBAL_DER_FEV_2023!W192=0,0,IF(GLOBAL_DER_FEV_2023!W192&gt;0,"c","b"))</f>
        <v>0</v>
      </c>
    </row>
    <row r="193" spans="1:25" ht="13.5" hidden="1" thickBot="1" x14ac:dyDescent="0.25">
      <c r="A193" s="317" t="s">
        <v>147</v>
      </c>
      <c r="B193" s="895" t="s">
        <v>147</v>
      </c>
      <c r="C193" s="896"/>
      <c r="D193" s="957" t="s">
        <v>202</v>
      </c>
      <c r="E193" s="898">
        <f>GLOBAL_DER_FEV_2023!E193</f>
        <v>23</v>
      </c>
      <c r="F193" s="908">
        <f>GLOBAL_DER_FEV_2023!F193</f>
        <v>2.4</v>
      </c>
      <c r="G193" s="909">
        <f>GLOBAL_DER_FEV_2023!G193</f>
        <v>65.496000000000009</v>
      </c>
      <c r="H193" s="901">
        <f>GLOBAL_DER_FEV_2023!H193</f>
        <v>0</v>
      </c>
      <c r="I193" s="901">
        <f>GLOBAL_DER_FEV_2023!I193</f>
        <v>0</v>
      </c>
      <c r="J193" s="902">
        <f>GLOBAL_DER_FEV_2023!J193</f>
        <v>0</v>
      </c>
      <c r="K193" s="903" t="s">
        <v>507</v>
      </c>
      <c r="L193" s="959"/>
      <c r="M193" s="1041">
        <f t="shared" si="12"/>
        <v>0</v>
      </c>
      <c r="N193" s="893">
        <f t="shared" si="15"/>
        <v>0</v>
      </c>
      <c r="O193" s="905"/>
      <c r="P193" s="58" t="str">
        <f>IF($N$142&gt;0,"xx",IF($N$142&gt;0,"xy",""))</f>
        <v/>
      </c>
      <c r="Q193" s="317" t="str">
        <f t="shared" si="11"/>
        <v/>
      </c>
      <c r="R193" s="317" t="str">
        <f t="shared" si="13"/>
        <v/>
      </c>
      <c r="S193" s="317" t="str">
        <f t="shared" si="14"/>
        <v/>
      </c>
      <c r="T193" s="317" t="str">
        <f>GLOBAL_DER_FEV_2023!S193</f>
        <v/>
      </c>
      <c r="W193" s="582">
        <v>0</v>
      </c>
      <c r="X193" s="580"/>
      <c r="Y193" s="583">
        <f>IF(GLOBAL_DER_FEV_2023!W193=0,0,IF(GLOBAL_DER_FEV_2023!W193&gt;0,"c","b"))</f>
        <v>0</v>
      </c>
    </row>
    <row r="194" spans="1:25" ht="13.5" hidden="1" thickBot="1" x14ac:dyDescent="0.25">
      <c r="A194" s="317">
        <v>531350</v>
      </c>
      <c r="B194" s="895">
        <v>531350</v>
      </c>
      <c r="C194" s="896" t="s">
        <v>184</v>
      </c>
      <c r="D194" s="906" t="s">
        <v>195</v>
      </c>
      <c r="E194" s="898">
        <f>GLOBAL_DER_FEV_2023!E194</f>
        <v>0</v>
      </c>
      <c r="F194" s="899">
        <f>GLOBAL_DER_FEV_2023!F194</f>
        <v>0</v>
      </c>
      <c r="G194" s="953">
        <f>GLOBAL_DER_FEV_2023!G194</f>
        <v>5.5859200000000007</v>
      </c>
      <c r="H194" s="901">
        <f>GLOBAL_DER_FEV_2023!H194</f>
        <v>105.23</v>
      </c>
      <c r="I194" s="901">
        <f>GLOBAL_DER_FEV_2023!I194</f>
        <v>110.81592000000001</v>
      </c>
      <c r="J194" s="902">
        <f>GLOBAL_DER_FEV_2023!J194</f>
        <v>133.06</v>
      </c>
      <c r="K194" s="903" t="s">
        <v>10</v>
      </c>
      <c r="L194" s="1137"/>
      <c r="M194" s="1150">
        <f t="shared" si="12"/>
        <v>0</v>
      </c>
      <c r="N194" s="893">
        <f t="shared" si="15"/>
        <v>0</v>
      </c>
      <c r="O194" s="905"/>
      <c r="Q194" s="317" t="str">
        <f t="shared" si="11"/>
        <v/>
      </c>
      <c r="R194" s="317" t="str">
        <f t="shared" si="13"/>
        <v/>
      </c>
      <c r="S194" s="317" t="str">
        <f t="shared" si="14"/>
        <v/>
      </c>
      <c r="T194" s="317" t="str">
        <f>GLOBAL_DER_FEV_2023!S194</f>
        <v/>
      </c>
      <c r="W194" s="582">
        <v>0</v>
      </c>
      <c r="X194" s="580"/>
      <c r="Y194" s="583">
        <f>IF(GLOBAL_DER_FEV_2023!W194=0,0,IF(GLOBAL_DER_FEV_2023!W194&gt;0,"c","b"))</f>
        <v>0</v>
      </c>
    </row>
    <row r="195" spans="1:25" ht="13.5" hidden="1" thickBot="1" x14ac:dyDescent="0.25">
      <c r="A195" s="317" t="s">
        <v>147</v>
      </c>
      <c r="B195" s="895" t="s">
        <v>147</v>
      </c>
      <c r="C195" s="896"/>
      <c r="D195" s="957" t="s">
        <v>196</v>
      </c>
      <c r="E195" s="898">
        <f>GLOBAL_DER_FEV_2023!E195</f>
        <v>0</v>
      </c>
      <c r="F195" s="899">
        <f>GLOBAL_DER_FEV_2023!F195</f>
        <v>1.35</v>
      </c>
      <c r="G195" s="909">
        <f>GLOBAL_DER_FEV_2023!G195</f>
        <v>3.6180000000000003</v>
      </c>
      <c r="H195" s="901">
        <f>GLOBAL_DER_FEV_2023!H195</f>
        <v>0</v>
      </c>
      <c r="I195" s="901">
        <f>GLOBAL_DER_FEV_2023!I195</f>
        <v>0</v>
      </c>
      <c r="J195" s="902">
        <f>GLOBAL_DER_FEV_2023!J195</f>
        <v>0</v>
      </c>
      <c r="K195" s="903" t="s">
        <v>507</v>
      </c>
      <c r="L195" s="959"/>
      <c r="M195" s="1041">
        <f t="shared" si="12"/>
        <v>0</v>
      </c>
      <c r="N195" s="893">
        <f t="shared" si="15"/>
        <v>0</v>
      </c>
      <c r="O195" s="905"/>
      <c r="P195" s="58" t="str">
        <f>IF(N194&gt;0,"xx",IF(N194&gt;0,"xy",""))</f>
        <v/>
      </c>
      <c r="Q195" s="317" t="str">
        <f t="shared" si="11"/>
        <v/>
      </c>
      <c r="R195" s="317" t="str">
        <f t="shared" si="13"/>
        <v/>
      </c>
      <c r="S195" s="317" t="str">
        <f t="shared" si="14"/>
        <v/>
      </c>
      <c r="T195" s="317" t="str">
        <f>GLOBAL_DER_FEV_2023!S195</f>
        <v/>
      </c>
      <c r="W195" s="582">
        <v>0</v>
      </c>
      <c r="X195" s="580"/>
      <c r="Y195" s="583">
        <f>IF(GLOBAL_DER_FEV_2023!W195=0,0,IF(GLOBAL_DER_FEV_2023!W195&gt;0,"c","b"))</f>
        <v>0</v>
      </c>
    </row>
    <row r="196" spans="1:25" ht="13.5" hidden="1" thickBot="1" x14ac:dyDescent="0.25">
      <c r="A196" s="317" t="s">
        <v>147</v>
      </c>
      <c r="B196" s="895" t="s">
        <v>147</v>
      </c>
      <c r="C196" s="896"/>
      <c r="D196" s="957" t="s">
        <v>197</v>
      </c>
      <c r="E196" s="898">
        <f>GLOBAL_DER_FEV_2023!E196</f>
        <v>0.2</v>
      </c>
      <c r="F196" s="899">
        <f>GLOBAL_DER_FEV_2023!F196</f>
        <v>0.68</v>
      </c>
      <c r="G196" s="909">
        <f>GLOBAL_DER_FEV_2023!G196</f>
        <v>1.9679200000000003</v>
      </c>
      <c r="H196" s="901">
        <f>GLOBAL_DER_FEV_2023!H196</f>
        <v>0</v>
      </c>
      <c r="I196" s="901">
        <f>GLOBAL_DER_FEV_2023!I196</f>
        <v>0</v>
      </c>
      <c r="J196" s="902">
        <f>GLOBAL_DER_FEV_2023!J196</f>
        <v>0</v>
      </c>
      <c r="K196" s="903" t="s">
        <v>507</v>
      </c>
      <c r="L196" s="959"/>
      <c r="M196" s="1041">
        <f t="shared" si="12"/>
        <v>0</v>
      </c>
      <c r="N196" s="893">
        <f t="shared" si="15"/>
        <v>0</v>
      </c>
      <c r="O196" s="905"/>
      <c r="P196" s="58" t="str">
        <f>IF(N194&gt;0,"xx",IF(N194&gt;0,"xy",""))</f>
        <v/>
      </c>
      <c r="Q196" s="317" t="str">
        <f t="shared" si="11"/>
        <v/>
      </c>
      <c r="R196" s="317" t="str">
        <f t="shared" si="13"/>
        <v/>
      </c>
      <c r="S196" s="317" t="str">
        <f t="shared" si="14"/>
        <v/>
      </c>
      <c r="T196" s="317" t="str">
        <f>GLOBAL_DER_FEV_2023!S196</f>
        <v/>
      </c>
      <c r="W196" s="582">
        <v>0</v>
      </c>
      <c r="X196" s="580"/>
      <c r="Y196" s="583">
        <f>IF(GLOBAL_DER_FEV_2023!W196=0,0,IF(GLOBAL_DER_FEV_2023!W196&gt;0,"c","b"))</f>
        <v>0</v>
      </c>
    </row>
    <row r="197" spans="1:25" ht="13.5" hidden="1" thickBot="1" x14ac:dyDescent="0.25">
      <c r="A197" s="317">
        <v>531300</v>
      </c>
      <c r="B197" s="895">
        <v>531300</v>
      </c>
      <c r="C197" s="896" t="s">
        <v>184</v>
      </c>
      <c r="D197" s="906" t="s">
        <v>198</v>
      </c>
      <c r="E197" s="898">
        <f>GLOBAL_DER_FEV_2023!E197</f>
        <v>0</v>
      </c>
      <c r="F197" s="899">
        <f>GLOBAL_DER_FEV_2023!F197</f>
        <v>0</v>
      </c>
      <c r="G197" s="953">
        <f>GLOBAL_DER_FEV_2023!G197</f>
        <v>5.5859200000000007</v>
      </c>
      <c r="H197" s="901">
        <f>GLOBAL_DER_FEV_2023!H197</f>
        <v>108.49</v>
      </c>
      <c r="I197" s="901">
        <f>GLOBAL_DER_FEV_2023!I197</f>
        <v>114.07592</v>
      </c>
      <c r="J197" s="902">
        <f>GLOBAL_DER_FEV_2023!J197</f>
        <v>136.97</v>
      </c>
      <c r="K197" s="903" t="s">
        <v>10</v>
      </c>
      <c r="L197" s="1137"/>
      <c r="M197" s="1150">
        <f t="shared" si="12"/>
        <v>0</v>
      </c>
      <c r="N197" s="893">
        <f t="shared" si="15"/>
        <v>0</v>
      </c>
      <c r="O197" s="905"/>
      <c r="Q197" s="317" t="str">
        <f t="shared" si="11"/>
        <v/>
      </c>
      <c r="R197" s="317" t="str">
        <f t="shared" si="13"/>
        <v/>
      </c>
      <c r="S197" s="317" t="str">
        <f t="shared" si="14"/>
        <v/>
      </c>
      <c r="T197" s="317" t="str">
        <f>GLOBAL_DER_FEV_2023!S197</f>
        <v/>
      </c>
      <c r="W197" s="582">
        <v>0</v>
      </c>
      <c r="X197" s="580"/>
      <c r="Y197" s="583">
        <f>IF(GLOBAL_DER_FEV_2023!W197=0,0,IF(GLOBAL_DER_FEV_2023!W197&gt;0,"c","b"))</f>
        <v>0</v>
      </c>
    </row>
    <row r="198" spans="1:25" ht="13.5" hidden="1" thickBot="1" x14ac:dyDescent="0.25">
      <c r="A198" s="317" t="s">
        <v>147</v>
      </c>
      <c r="B198" s="895" t="s">
        <v>147</v>
      </c>
      <c r="C198" s="896"/>
      <c r="D198" s="957" t="s">
        <v>196</v>
      </c>
      <c r="E198" s="898">
        <f>GLOBAL_DER_FEV_2023!E198</f>
        <v>0</v>
      </c>
      <c r="F198" s="899">
        <f>GLOBAL_DER_FEV_2023!F198</f>
        <v>1.35</v>
      </c>
      <c r="G198" s="909">
        <f>GLOBAL_DER_FEV_2023!G198</f>
        <v>3.6180000000000003</v>
      </c>
      <c r="H198" s="901">
        <f>GLOBAL_DER_FEV_2023!H198</f>
        <v>0</v>
      </c>
      <c r="I198" s="901">
        <f>GLOBAL_DER_FEV_2023!I198</f>
        <v>0</v>
      </c>
      <c r="J198" s="902">
        <f>GLOBAL_DER_FEV_2023!J198</f>
        <v>0</v>
      </c>
      <c r="K198" s="903" t="s">
        <v>507</v>
      </c>
      <c r="L198" s="959"/>
      <c r="M198" s="1041">
        <f t="shared" si="12"/>
        <v>0</v>
      </c>
      <c r="N198" s="893">
        <f t="shared" si="15"/>
        <v>0</v>
      </c>
      <c r="O198" s="905"/>
      <c r="P198" s="58" t="str">
        <f>IF(N197&gt;0,"xx",IF(N197&gt;0,"xy",""))</f>
        <v/>
      </c>
      <c r="Q198" s="317" t="str">
        <f t="shared" si="11"/>
        <v/>
      </c>
      <c r="R198" s="317" t="str">
        <f t="shared" si="13"/>
        <v/>
      </c>
      <c r="S198" s="317" t="str">
        <f t="shared" si="14"/>
        <v/>
      </c>
      <c r="T198" s="317" t="str">
        <f>GLOBAL_DER_FEV_2023!S198</f>
        <v/>
      </c>
      <c r="W198" s="582">
        <v>0</v>
      </c>
      <c r="X198" s="580"/>
      <c r="Y198" s="583">
        <f>IF(GLOBAL_DER_FEV_2023!W198=0,0,IF(GLOBAL_DER_FEV_2023!W198&gt;0,"c","b"))</f>
        <v>0</v>
      </c>
    </row>
    <row r="199" spans="1:25" ht="13.5" hidden="1" thickBot="1" x14ac:dyDescent="0.25">
      <c r="A199" s="317" t="s">
        <v>147</v>
      </c>
      <c r="B199" s="895" t="s">
        <v>147</v>
      </c>
      <c r="C199" s="896"/>
      <c r="D199" s="957" t="s">
        <v>197</v>
      </c>
      <c r="E199" s="898">
        <f>GLOBAL_DER_FEV_2023!E199</f>
        <v>0.2</v>
      </c>
      <c r="F199" s="899">
        <f>GLOBAL_DER_FEV_2023!F199</f>
        <v>0.68</v>
      </c>
      <c r="G199" s="909">
        <f>GLOBAL_DER_FEV_2023!G199</f>
        <v>1.9679200000000003</v>
      </c>
      <c r="H199" s="901">
        <f>GLOBAL_DER_FEV_2023!H199</f>
        <v>0</v>
      </c>
      <c r="I199" s="901">
        <f>GLOBAL_DER_FEV_2023!I199</f>
        <v>0</v>
      </c>
      <c r="J199" s="902">
        <f>GLOBAL_DER_FEV_2023!J199</f>
        <v>0</v>
      </c>
      <c r="K199" s="903" t="s">
        <v>507</v>
      </c>
      <c r="L199" s="959"/>
      <c r="M199" s="1041">
        <f t="shared" si="12"/>
        <v>0</v>
      </c>
      <c r="N199" s="893">
        <f t="shared" si="15"/>
        <v>0</v>
      </c>
      <c r="O199" s="905"/>
      <c r="P199" s="58" t="str">
        <f>IF(N197&gt;0,"xx",IF(N197&gt;0,"xy",""))</f>
        <v/>
      </c>
      <c r="Q199" s="317" t="str">
        <f t="shared" si="11"/>
        <v/>
      </c>
      <c r="R199" s="317" t="str">
        <f t="shared" si="13"/>
        <v/>
      </c>
      <c r="S199" s="317" t="str">
        <f t="shared" si="14"/>
        <v/>
      </c>
      <c r="T199" s="317" t="str">
        <f>GLOBAL_DER_FEV_2023!S199</f>
        <v/>
      </c>
      <c r="W199" s="582">
        <v>0</v>
      </c>
      <c r="X199" s="580"/>
      <c r="Y199" s="583">
        <f>IF(GLOBAL_DER_FEV_2023!W199=0,0,IF(GLOBAL_DER_FEV_2023!W199&gt;0,"c","b"))</f>
        <v>0</v>
      </c>
    </row>
    <row r="200" spans="1:25" ht="13.5" hidden="1" thickBot="1" x14ac:dyDescent="0.25">
      <c r="A200" s="317">
        <v>532000</v>
      </c>
      <c r="B200" s="895">
        <v>532000</v>
      </c>
      <c r="C200" s="896"/>
      <c r="D200" s="906" t="s">
        <v>199</v>
      </c>
      <c r="E200" s="907">
        <f>GLOBAL_DER_FEV_2023!E200</f>
        <v>0</v>
      </c>
      <c r="F200" s="908">
        <f>GLOBAL_DER_FEV_2023!F200</f>
        <v>2.2000000000000002</v>
      </c>
      <c r="G200" s="909">
        <f>GLOBAL_DER_FEV_2023!G200</f>
        <v>5.8960000000000008</v>
      </c>
      <c r="H200" s="901">
        <f>GLOBAL_DER_FEV_2023!H200</f>
        <v>121.99</v>
      </c>
      <c r="I200" s="901">
        <f>GLOBAL_DER_FEV_2023!I200</f>
        <v>127.886</v>
      </c>
      <c r="J200" s="902">
        <f>GLOBAL_DER_FEV_2023!J200</f>
        <v>153.55000000000001</v>
      </c>
      <c r="K200" s="903" t="s">
        <v>10</v>
      </c>
      <c r="L200" s="1139"/>
      <c r="M200" s="1151">
        <f t="shared" si="12"/>
        <v>0</v>
      </c>
      <c r="N200" s="893">
        <f t="shared" si="15"/>
        <v>0</v>
      </c>
      <c r="O200" s="905"/>
      <c r="Q200" s="317" t="str">
        <f t="shared" si="11"/>
        <v/>
      </c>
      <c r="R200" s="317" t="str">
        <f t="shared" si="13"/>
        <v/>
      </c>
      <c r="S200" s="317" t="str">
        <f t="shared" si="14"/>
        <v/>
      </c>
      <c r="T200" s="317" t="str">
        <f>GLOBAL_DER_FEV_2023!S200</f>
        <v/>
      </c>
      <c r="W200" s="582">
        <v>0</v>
      </c>
      <c r="X200" s="580"/>
      <c r="Y200" s="583">
        <f>IF(GLOBAL_DER_FEV_2023!W200=0,0,IF(GLOBAL_DER_FEV_2023!W200&gt;0,"c","b"))</f>
        <v>0</v>
      </c>
    </row>
    <row r="201" spans="1:25" ht="34.5" hidden="1" thickBot="1" x14ac:dyDescent="0.25">
      <c r="A201" s="317">
        <v>96398</v>
      </c>
      <c r="B201" s="895">
        <v>96398</v>
      </c>
      <c r="C201" s="896" t="s">
        <v>596</v>
      </c>
      <c r="D201" s="906" t="s">
        <v>1914</v>
      </c>
      <c r="E201" s="907">
        <f>GLOBAL_DER_FEV_2023!E201</f>
        <v>0</v>
      </c>
      <c r="F201" s="908">
        <f>GLOBAL_DER_FEV_2023!F201</f>
        <v>2.4</v>
      </c>
      <c r="G201" s="909">
        <f>GLOBAL_DER_FEV_2023!G201</f>
        <v>6.4320000000000004</v>
      </c>
      <c r="H201" s="901">
        <f>GLOBAL_DER_FEV_2023!H201</f>
        <v>246.41</v>
      </c>
      <c r="I201" s="901">
        <f>GLOBAL_DER_FEV_2023!I201</f>
        <v>252.84199999999998</v>
      </c>
      <c r="J201" s="902">
        <f>GLOBAL_DER_FEV_2023!J201</f>
        <v>303.58999999999997</v>
      </c>
      <c r="K201" s="903" t="s">
        <v>10</v>
      </c>
      <c r="L201" s="1139"/>
      <c r="M201" s="1151">
        <f t="shared" si="12"/>
        <v>0</v>
      </c>
      <c r="N201" s="893">
        <f t="shared" si="15"/>
        <v>0</v>
      </c>
      <c r="O201" s="905"/>
      <c r="Q201" s="317" t="str">
        <f t="shared" si="11"/>
        <v/>
      </c>
      <c r="R201" s="317" t="str">
        <f t="shared" si="13"/>
        <v/>
      </c>
      <c r="S201" s="317" t="str">
        <f t="shared" si="14"/>
        <v/>
      </c>
      <c r="T201" s="317" t="str">
        <f>GLOBAL_DER_FEV_2023!S201</f>
        <v/>
      </c>
      <c r="W201" s="582">
        <v>0</v>
      </c>
      <c r="X201" s="580"/>
      <c r="Y201" s="583">
        <f>IF(GLOBAL_DER_FEV_2023!W201=0,0,IF(GLOBAL_DER_FEV_2023!W201&gt;0,"c","b"))</f>
        <v>0</v>
      </c>
    </row>
    <row r="202" spans="1:25" ht="15" hidden="1" customHeight="1" x14ac:dyDescent="0.2">
      <c r="A202" s="640" t="s">
        <v>165</v>
      </c>
      <c r="B202" s="913" t="s">
        <v>165</v>
      </c>
      <c r="C202" s="914"/>
      <c r="D202" s="915" t="s">
        <v>435</v>
      </c>
      <c r="E202" s="916">
        <f>GLOBAL_DER_FEV_2023!E202</f>
        <v>0</v>
      </c>
      <c r="F202" s="917">
        <f>GLOBAL_DER_FEV_2023!F202</f>
        <v>0</v>
      </c>
      <c r="G202" s="916">
        <f>GLOBAL_DER_FEV_2023!G202</f>
        <v>0</v>
      </c>
      <c r="H202" s="919">
        <f>GLOBAL_DER_FEV_2023!H202</f>
        <v>0</v>
      </c>
      <c r="I202" s="919">
        <f>GLOBAL_DER_FEV_2023!I202</f>
        <v>0</v>
      </c>
      <c r="J202" s="919">
        <f>GLOBAL_DER_FEV_2023!J202</f>
        <v>0</v>
      </c>
      <c r="K202" s="962" t="s">
        <v>507</v>
      </c>
      <c r="L202" s="921"/>
      <c r="M202" s="922"/>
      <c r="N202" s="923">
        <f t="shared" si="15"/>
        <v>0</v>
      </c>
      <c r="O202" s="905"/>
      <c r="P202" s="58" t="str">
        <f>IF(OR(SUM(N203:N227)&gt;0,SUM(N203:N227)&gt;0),"y","")</f>
        <v/>
      </c>
      <c r="Q202" s="317" t="str">
        <f t="shared" si="11"/>
        <v/>
      </c>
      <c r="R202" s="317" t="str">
        <f t="shared" si="13"/>
        <v/>
      </c>
      <c r="S202" s="317" t="str">
        <f t="shared" si="14"/>
        <v/>
      </c>
      <c r="T202" s="317" t="str">
        <f>GLOBAL_DER_FEV_2023!S202</f>
        <v/>
      </c>
      <c r="W202" s="582">
        <v>0</v>
      </c>
      <c r="X202" s="580"/>
      <c r="Y202" s="583">
        <f>IF(GLOBAL_DER_FEV_2023!W202=0,0,IF(GLOBAL_DER_FEV_2023!W202&gt;0,"c","b"))</f>
        <v>0</v>
      </c>
    </row>
    <row r="203" spans="1:25" ht="15" hidden="1" customHeight="1" x14ac:dyDescent="0.2">
      <c r="A203" s="640" t="s">
        <v>165</v>
      </c>
      <c r="B203" s="1036" t="str">
        <f>GLOBAL_DER_FEV_2023!B203</f>
        <v/>
      </c>
      <c r="C203" s="1072" t="str">
        <f>GLOBAL_DER_FEV_2023!C203</f>
        <v/>
      </c>
      <c r="D203" s="1141">
        <f>GLOBAL_DER_FEV_2023!D203</f>
        <v>0</v>
      </c>
      <c r="E203" s="907">
        <f>GLOBAL_DER_FEV_2023!E203</f>
        <v>0</v>
      </c>
      <c r="F203" s="908">
        <f>GLOBAL_DER_FEV_2023!F203</f>
        <v>0</v>
      </c>
      <c r="G203" s="912">
        <f>GLOBAL_DER_FEV_2023!G203</f>
        <v>0</v>
      </c>
      <c r="H203" s="901">
        <f>GLOBAL_DER_FEV_2023!H203</f>
        <v>0</v>
      </c>
      <c r="I203" s="901">
        <f>GLOBAL_DER_FEV_2023!I203</f>
        <v>0</v>
      </c>
      <c r="J203" s="902">
        <f>GLOBAL_DER_FEV_2023!J203</f>
        <v>0</v>
      </c>
      <c r="K203" s="903" t="str">
        <f>GLOBAL_DER_FEV_2023!K203</f>
        <v xml:space="preserve">     </v>
      </c>
      <c r="L203" s="1137"/>
      <c r="M203" s="1151">
        <f t="shared" si="12"/>
        <v>0</v>
      </c>
      <c r="N203" s="893">
        <f t="shared" si="15"/>
        <v>0</v>
      </c>
      <c r="O203" s="905"/>
      <c r="Q203" s="317" t="str">
        <f t="shared" si="11"/>
        <v/>
      </c>
      <c r="R203" s="317" t="str">
        <f t="shared" si="13"/>
        <v/>
      </c>
      <c r="S203" s="317" t="str">
        <f t="shared" si="14"/>
        <v/>
      </c>
      <c r="T203" s="317" t="str">
        <f>GLOBAL_DER_FEV_2023!S203</f>
        <v/>
      </c>
      <c r="W203" s="582">
        <v>0</v>
      </c>
      <c r="X203" s="580"/>
      <c r="Y203" s="583">
        <f>IF(GLOBAL_DER_FEV_2023!W203=0,0,IF(GLOBAL_DER_FEV_2023!W203&gt;0,"c","b"))</f>
        <v>0</v>
      </c>
    </row>
    <row r="204" spans="1:25" ht="15" hidden="1" customHeight="1" x14ac:dyDescent="0.2">
      <c r="A204" s="640" t="s">
        <v>165</v>
      </c>
      <c r="B204" s="1036" t="str">
        <f>GLOBAL_DER_FEV_2023!B204</f>
        <v/>
      </c>
      <c r="C204" s="1072" t="str">
        <f>GLOBAL_DER_FEV_2023!C204</f>
        <v/>
      </c>
      <c r="D204" s="1141">
        <f>GLOBAL_DER_FEV_2023!D204</f>
        <v>0</v>
      </c>
      <c r="E204" s="907">
        <f>GLOBAL_DER_FEV_2023!E204</f>
        <v>0</v>
      </c>
      <c r="F204" s="908">
        <f>GLOBAL_DER_FEV_2023!F204</f>
        <v>0</v>
      </c>
      <c r="G204" s="912">
        <f>GLOBAL_DER_FEV_2023!G204</f>
        <v>0</v>
      </c>
      <c r="H204" s="901">
        <f>GLOBAL_DER_FEV_2023!H204</f>
        <v>0</v>
      </c>
      <c r="I204" s="901">
        <f>GLOBAL_DER_FEV_2023!I204</f>
        <v>0</v>
      </c>
      <c r="J204" s="890">
        <f>GLOBAL_DER_FEV_2023!J204</f>
        <v>0</v>
      </c>
      <c r="K204" s="903" t="str">
        <f>GLOBAL_DER_FEV_2023!K204</f>
        <v xml:space="preserve">     </v>
      </c>
      <c r="L204" s="1137"/>
      <c r="M204" s="1151">
        <f t="shared" si="12"/>
        <v>0</v>
      </c>
      <c r="N204" s="932">
        <f t="shared" si="15"/>
        <v>0</v>
      </c>
      <c r="O204" s="905"/>
      <c r="Q204" s="317" t="str">
        <f t="shared" si="11"/>
        <v/>
      </c>
      <c r="R204" s="317" t="str">
        <f t="shared" si="13"/>
        <v/>
      </c>
      <c r="S204" s="317" t="str">
        <f t="shared" si="14"/>
        <v/>
      </c>
      <c r="T204" s="317" t="str">
        <f>GLOBAL_DER_FEV_2023!S204</f>
        <v/>
      </c>
      <c r="W204" s="582">
        <v>0</v>
      </c>
      <c r="X204" s="580"/>
      <c r="Y204" s="583">
        <f>IF(GLOBAL_DER_FEV_2023!W204=0,0,IF(GLOBAL_DER_FEV_2023!W204&gt;0,"c","b"))</f>
        <v>0</v>
      </c>
    </row>
    <row r="205" spans="1:25" ht="15" hidden="1" customHeight="1" x14ac:dyDescent="0.2">
      <c r="A205" s="640" t="s">
        <v>165</v>
      </c>
      <c r="B205" s="1036" t="str">
        <f>GLOBAL_DER_FEV_2023!B205</f>
        <v/>
      </c>
      <c r="C205" s="1072" t="str">
        <f>GLOBAL_DER_FEV_2023!C205</f>
        <v/>
      </c>
      <c r="D205" s="1141">
        <f>GLOBAL_DER_FEV_2023!D205</f>
        <v>0</v>
      </c>
      <c r="E205" s="907">
        <f>GLOBAL_DER_FEV_2023!E205</f>
        <v>0</v>
      </c>
      <c r="F205" s="908">
        <f>GLOBAL_DER_FEV_2023!F205</f>
        <v>0</v>
      </c>
      <c r="G205" s="912">
        <f>GLOBAL_DER_FEV_2023!G205</f>
        <v>0</v>
      </c>
      <c r="H205" s="901">
        <f>GLOBAL_DER_FEV_2023!H205</f>
        <v>0</v>
      </c>
      <c r="I205" s="901">
        <f>GLOBAL_DER_FEV_2023!I205</f>
        <v>0</v>
      </c>
      <c r="J205" s="890">
        <f>GLOBAL_DER_FEV_2023!J205</f>
        <v>0</v>
      </c>
      <c r="K205" s="903" t="str">
        <f>GLOBAL_DER_FEV_2023!K205</f>
        <v xml:space="preserve">     </v>
      </c>
      <c r="L205" s="1137"/>
      <c r="M205" s="1151">
        <f t="shared" si="12"/>
        <v>0</v>
      </c>
      <c r="N205" s="932">
        <f t="shared" si="15"/>
        <v>0</v>
      </c>
      <c r="O205" s="905"/>
      <c r="Q205" s="317" t="str">
        <f t="shared" si="11"/>
        <v/>
      </c>
      <c r="R205" s="317" t="str">
        <f t="shared" si="13"/>
        <v/>
      </c>
      <c r="S205" s="317" t="str">
        <f t="shared" si="14"/>
        <v/>
      </c>
      <c r="T205" s="317" t="str">
        <f>GLOBAL_DER_FEV_2023!S205</f>
        <v/>
      </c>
      <c r="W205" s="582">
        <v>0</v>
      </c>
      <c r="X205" s="580"/>
      <c r="Y205" s="583">
        <f>IF(GLOBAL_DER_FEV_2023!W205=0,0,IF(GLOBAL_DER_FEV_2023!W205&gt;0,"c","b"))</f>
        <v>0</v>
      </c>
    </row>
    <row r="206" spans="1:25" ht="15" hidden="1" customHeight="1" x14ac:dyDescent="0.2">
      <c r="A206" s="640" t="s">
        <v>165</v>
      </c>
      <c r="B206" s="1036" t="str">
        <f>GLOBAL_DER_FEV_2023!B206</f>
        <v/>
      </c>
      <c r="C206" s="1072" t="str">
        <f>GLOBAL_DER_FEV_2023!C206</f>
        <v/>
      </c>
      <c r="D206" s="1141">
        <f>GLOBAL_DER_FEV_2023!D206</f>
        <v>0</v>
      </c>
      <c r="E206" s="907">
        <f>GLOBAL_DER_FEV_2023!E206</f>
        <v>0</v>
      </c>
      <c r="F206" s="908">
        <f>GLOBAL_DER_FEV_2023!F206</f>
        <v>0</v>
      </c>
      <c r="G206" s="912">
        <f>GLOBAL_DER_FEV_2023!G206</f>
        <v>0</v>
      </c>
      <c r="H206" s="901">
        <f>GLOBAL_DER_FEV_2023!H206</f>
        <v>0</v>
      </c>
      <c r="I206" s="901">
        <f>GLOBAL_DER_FEV_2023!I206</f>
        <v>0</v>
      </c>
      <c r="J206" s="890">
        <f>GLOBAL_DER_FEV_2023!J206</f>
        <v>0</v>
      </c>
      <c r="K206" s="903" t="str">
        <f>GLOBAL_DER_FEV_2023!K206</f>
        <v xml:space="preserve">     </v>
      </c>
      <c r="L206" s="1137"/>
      <c r="M206" s="1151">
        <f t="shared" si="12"/>
        <v>0</v>
      </c>
      <c r="N206" s="932">
        <f t="shared" si="15"/>
        <v>0</v>
      </c>
      <c r="O206" s="905"/>
      <c r="Q206" s="317" t="str">
        <f t="shared" si="11"/>
        <v/>
      </c>
      <c r="R206" s="317" t="str">
        <f t="shared" si="13"/>
        <v/>
      </c>
      <c r="S206" s="317" t="str">
        <f t="shared" si="14"/>
        <v/>
      </c>
      <c r="T206" s="317" t="str">
        <f>GLOBAL_DER_FEV_2023!S206</f>
        <v/>
      </c>
      <c r="W206" s="582">
        <v>0</v>
      </c>
      <c r="X206" s="580"/>
      <c r="Y206" s="583">
        <f>IF(GLOBAL_DER_FEV_2023!W206=0,0,IF(GLOBAL_DER_FEV_2023!W206&gt;0,"c","b"))</f>
        <v>0</v>
      </c>
    </row>
    <row r="207" spans="1:25" ht="15" hidden="1" customHeight="1" x14ac:dyDescent="0.2">
      <c r="A207" s="640" t="s">
        <v>165</v>
      </c>
      <c r="B207" s="1036" t="str">
        <f>GLOBAL_DER_FEV_2023!B207</f>
        <v/>
      </c>
      <c r="C207" s="1072" t="str">
        <f>GLOBAL_DER_FEV_2023!C207</f>
        <v/>
      </c>
      <c r="D207" s="1141">
        <f>GLOBAL_DER_FEV_2023!D207</f>
        <v>0</v>
      </c>
      <c r="E207" s="907">
        <f>GLOBAL_DER_FEV_2023!E207</f>
        <v>0</v>
      </c>
      <c r="F207" s="908">
        <f>GLOBAL_DER_FEV_2023!F207</f>
        <v>0</v>
      </c>
      <c r="G207" s="912">
        <f>GLOBAL_DER_FEV_2023!G207</f>
        <v>0</v>
      </c>
      <c r="H207" s="901">
        <f>GLOBAL_DER_FEV_2023!H207</f>
        <v>0</v>
      </c>
      <c r="I207" s="901">
        <f>GLOBAL_DER_FEV_2023!I207</f>
        <v>0</v>
      </c>
      <c r="J207" s="890">
        <f>GLOBAL_DER_FEV_2023!J207</f>
        <v>0</v>
      </c>
      <c r="K207" s="903" t="str">
        <f>GLOBAL_DER_FEV_2023!K207</f>
        <v xml:space="preserve">     </v>
      </c>
      <c r="L207" s="1137"/>
      <c r="M207" s="1151">
        <f t="shared" si="12"/>
        <v>0</v>
      </c>
      <c r="N207" s="932">
        <f t="shared" si="15"/>
        <v>0</v>
      </c>
      <c r="O207" s="905"/>
      <c r="Q207" s="317" t="str">
        <f t="shared" si="11"/>
        <v/>
      </c>
      <c r="R207" s="317" t="str">
        <f t="shared" si="13"/>
        <v/>
      </c>
      <c r="S207" s="317" t="str">
        <f t="shared" si="14"/>
        <v/>
      </c>
      <c r="T207" s="317" t="str">
        <f>GLOBAL_DER_FEV_2023!S207</f>
        <v/>
      </c>
      <c r="W207" s="582">
        <v>0</v>
      </c>
      <c r="X207" s="580"/>
      <c r="Y207" s="583">
        <f>IF(GLOBAL_DER_FEV_2023!W207=0,0,IF(GLOBAL_DER_FEV_2023!W207&gt;0,"c","b"))</f>
        <v>0</v>
      </c>
    </row>
    <row r="208" spans="1:25" ht="15" hidden="1" customHeight="1" x14ac:dyDescent="0.2">
      <c r="A208" s="640" t="s">
        <v>165</v>
      </c>
      <c r="B208" s="1036" t="str">
        <f>GLOBAL_DER_FEV_2023!B208</f>
        <v/>
      </c>
      <c r="C208" s="1072" t="str">
        <f>GLOBAL_DER_FEV_2023!C208</f>
        <v/>
      </c>
      <c r="D208" s="1141">
        <f>GLOBAL_DER_FEV_2023!D208</f>
        <v>0</v>
      </c>
      <c r="E208" s="907">
        <f>GLOBAL_DER_FEV_2023!E208</f>
        <v>0</v>
      </c>
      <c r="F208" s="908">
        <f>GLOBAL_DER_FEV_2023!F208</f>
        <v>0</v>
      </c>
      <c r="G208" s="912">
        <f>GLOBAL_DER_FEV_2023!G208</f>
        <v>0</v>
      </c>
      <c r="H208" s="901">
        <f>GLOBAL_DER_FEV_2023!H208</f>
        <v>0</v>
      </c>
      <c r="I208" s="901">
        <f>GLOBAL_DER_FEV_2023!I208</f>
        <v>0</v>
      </c>
      <c r="J208" s="890">
        <f>GLOBAL_DER_FEV_2023!J208</f>
        <v>0</v>
      </c>
      <c r="K208" s="903" t="str">
        <f>GLOBAL_DER_FEV_2023!K208</f>
        <v xml:space="preserve">     </v>
      </c>
      <c r="L208" s="1137"/>
      <c r="M208" s="1151">
        <f t="shared" si="12"/>
        <v>0</v>
      </c>
      <c r="N208" s="932">
        <f t="shared" si="15"/>
        <v>0</v>
      </c>
      <c r="O208" s="905"/>
      <c r="Q208" s="317" t="str">
        <f t="shared" si="11"/>
        <v/>
      </c>
      <c r="R208" s="317" t="str">
        <f t="shared" si="13"/>
        <v/>
      </c>
      <c r="S208" s="317" t="str">
        <f t="shared" si="14"/>
        <v/>
      </c>
      <c r="T208" s="317" t="str">
        <f>GLOBAL_DER_FEV_2023!S208</f>
        <v/>
      </c>
      <c r="W208" s="582">
        <v>0</v>
      </c>
      <c r="X208" s="580"/>
      <c r="Y208" s="583">
        <f>IF(GLOBAL_DER_FEV_2023!W208=0,0,IF(GLOBAL_DER_FEV_2023!W208&gt;0,"c","b"))</f>
        <v>0</v>
      </c>
    </row>
    <row r="209" spans="1:25" ht="15" hidden="1" customHeight="1" x14ac:dyDescent="0.2">
      <c r="A209" s="640" t="s">
        <v>165</v>
      </c>
      <c r="B209" s="1036" t="str">
        <f>GLOBAL_DER_FEV_2023!B209</f>
        <v/>
      </c>
      <c r="C209" s="1072" t="str">
        <f>GLOBAL_DER_FEV_2023!C209</f>
        <v/>
      </c>
      <c r="D209" s="1141">
        <f>GLOBAL_DER_FEV_2023!D209</f>
        <v>0</v>
      </c>
      <c r="E209" s="907">
        <f>GLOBAL_DER_FEV_2023!E209</f>
        <v>0</v>
      </c>
      <c r="F209" s="908">
        <f>GLOBAL_DER_FEV_2023!F209</f>
        <v>0</v>
      </c>
      <c r="G209" s="912">
        <f>GLOBAL_DER_FEV_2023!G209</f>
        <v>0</v>
      </c>
      <c r="H209" s="901">
        <f>GLOBAL_DER_FEV_2023!H209</f>
        <v>0</v>
      </c>
      <c r="I209" s="901">
        <f>GLOBAL_DER_FEV_2023!I209</f>
        <v>0</v>
      </c>
      <c r="J209" s="890">
        <f>GLOBAL_DER_FEV_2023!J209</f>
        <v>0</v>
      </c>
      <c r="K209" s="903" t="str">
        <f>GLOBAL_DER_FEV_2023!K209</f>
        <v xml:space="preserve">     </v>
      </c>
      <c r="L209" s="1137"/>
      <c r="M209" s="1151">
        <f t="shared" si="12"/>
        <v>0</v>
      </c>
      <c r="N209" s="932">
        <f t="shared" si="15"/>
        <v>0</v>
      </c>
      <c r="O209" s="905"/>
      <c r="Q209" s="317" t="str">
        <f t="shared" si="11"/>
        <v/>
      </c>
      <c r="R209" s="317" t="str">
        <f t="shared" si="13"/>
        <v/>
      </c>
      <c r="S209" s="317" t="str">
        <f t="shared" si="14"/>
        <v/>
      </c>
      <c r="T209" s="317" t="str">
        <f>GLOBAL_DER_FEV_2023!S209</f>
        <v/>
      </c>
      <c r="W209" s="582">
        <v>0</v>
      </c>
      <c r="X209" s="580"/>
      <c r="Y209" s="583">
        <f>IF(GLOBAL_DER_FEV_2023!W209=0,0,IF(GLOBAL_DER_FEV_2023!W209&gt;0,"c","b"))</f>
        <v>0</v>
      </c>
    </row>
    <row r="210" spans="1:25" ht="15" hidden="1" customHeight="1" x14ac:dyDescent="0.2">
      <c r="A210" s="640" t="s">
        <v>165</v>
      </c>
      <c r="B210" s="1036" t="str">
        <f>GLOBAL_DER_FEV_2023!B210</f>
        <v/>
      </c>
      <c r="C210" s="1072" t="str">
        <f>GLOBAL_DER_FEV_2023!C210</f>
        <v/>
      </c>
      <c r="D210" s="1141">
        <f>GLOBAL_DER_FEV_2023!D210</f>
        <v>0</v>
      </c>
      <c r="E210" s="907">
        <f>GLOBAL_DER_FEV_2023!E210</f>
        <v>0</v>
      </c>
      <c r="F210" s="908">
        <f>GLOBAL_DER_FEV_2023!F210</f>
        <v>0</v>
      </c>
      <c r="G210" s="912">
        <f>GLOBAL_DER_FEV_2023!G210</f>
        <v>0</v>
      </c>
      <c r="H210" s="901">
        <f>GLOBAL_DER_FEV_2023!H210</f>
        <v>0</v>
      </c>
      <c r="I210" s="901">
        <f>GLOBAL_DER_FEV_2023!I210</f>
        <v>0</v>
      </c>
      <c r="J210" s="890">
        <f>GLOBAL_DER_FEV_2023!J210</f>
        <v>0</v>
      </c>
      <c r="K210" s="903" t="str">
        <f>GLOBAL_DER_FEV_2023!K210</f>
        <v xml:space="preserve">     </v>
      </c>
      <c r="L210" s="1137"/>
      <c r="M210" s="1151">
        <f t="shared" si="12"/>
        <v>0</v>
      </c>
      <c r="N210" s="932">
        <f t="shared" si="15"/>
        <v>0</v>
      </c>
      <c r="O210" s="905"/>
      <c r="Q210" s="317" t="str">
        <f t="shared" si="11"/>
        <v/>
      </c>
      <c r="R210" s="317" t="str">
        <f t="shared" si="13"/>
        <v/>
      </c>
      <c r="S210" s="317" t="str">
        <f t="shared" si="14"/>
        <v/>
      </c>
      <c r="T210" s="317" t="str">
        <f>GLOBAL_DER_FEV_2023!S210</f>
        <v/>
      </c>
      <c r="W210" s="582">
        <v>0</v>
      </c>
      <c r="X210" s="580"/>
      <c r="Y210" s="583">
        <f>IF(GLOBAL_DER_FEV_2023!W210=0,0,IF(GLOBAL_DER_FEV_2023!W210&gt;0,"c","b"))</f>
        <v>0</v>
      </c>
    </row>
    <row r="211" spans="1:25" ht="15" hidden="1" customHeight="1" x14ac:dyDescent="0.2">
      <c r="A211" s="640" t="s">
        <v>165</v>
      </c>
      <c r="B211" s="1036" t="str">
        <f>GLOBAL_DER_FEV_2023!B211</f>
        <v/>
      </c>
      <c r="C211" s="1072" t="str">
        <f>GLOBAL_DER_FEV_2023!C211</f>
        <v/>
      </c>
      <c r="D211" s="1141">
        <f>GLOBAL_DER_FEV_2023!D211</f>
        <v>0</v>
      </c>
      <c r="E211" s="907">
        <f>GLOBAL_DER_FEV_2023!E211</f>
        <v>0</v>
      </c>
      <c r="F211" s="908">
        <f>GLOBAL_DER_FEV_2023!F211</f>
        <v>0</v>
      </c>
      <c r="G211" s="912">
        <f>GLOBAL_DER_FEV_2023!G211</f>
        <v>0</v>
      </c>
      <c r="H211" s="901">
        <f>GLOBAL_DER_FEV_2023!H211</f>
        <v>0</v>
      </c>
      <c r="I211" s="901">
        <f>GLOBAL_DER_FEV_2023!I211</f>
        <v>0</v>
      </c>
      <c r="J211" s="890">
        <f>GLOBAL_DER_FEV_2023!J211</f>
        <v>0</v>
      </c>
      <c r="K211" s="903" t="str">
        <f>GLOBAL_DER_FEV_2023!K211</f>
        <v xml:space="preserve">     </v>
      </c>
      <c r="L211" s="1137"/>
      <c r="M211" s="1151">
        <f t="shared" si="12"/>
        <v>0</v>
      </c>
      <c r="N211" s="932">
        <f t="shared" si="15"/>
        <v>0</v>
      </c>
      <c r="O211" s="905"/>
      <c r="Q211" s="317" t="str">
        <f t="shared" ref="Q211:Q274" si="16">IF(P211="X","x",IF(P211="xx","x",IF(P211="xy","x",IF(P211="y","x",IF(OR(N211&gt;0,N211&gt;0),"x","")))))</f>
        <v/>
      </c>
      <c r="R211" s="317" t="str">
        <f t="shared" si="13"/>
        <v/>
      </c>
      <c r="S211" s="317" t="str">
        <f t="shared" si="14"/>
        <v/>
      </c>
      <c r="T211" s="317" t="str">
        <f>GLOBAL_DER_FEV_2023!S211</f>
        <v/>
      </c>
      <c r="W211" s="582">
        <v>0</v>
      </c>
      <c r="X211" s="580"/>
      <c r="Y211" s="583">
        <f>IF(GLOBAL_DER_FEV_2023!W211=0,0,IF(GLOBAL_DER_FEV_2023!W211&gt;0,"c","b"))</f>
        <v>0</v>
      </c>
    </row>
    <row r="212" spans="1:25" ht="15" hidden="1" customHeight="1" x14ac:dyDescent="0.2">
      <c r="A212" s="640" t="s">
        <v>165</v>
      </c>
      <c r="B212" s="1036" t="str">
        <f>GLOBAL_DER_FEV_2023!B212</f>
        <v/>
      </c>
      <c r="C212" s="1072" t="str">
        <f>GLOBAL_DER_FEV_2023!C212</f>
        <v/>
      </c>
      <c r="D212" s="1141">
        <f>GLOBAL_DER_FEV_2023!D212</f>
        <v>0</v>
      </c>
      <c r="E212" s="907">
        <f>GLOBAL_DER_FEV_2023!E212</f>
        <v>0</v>
      </c>
      <c r="F212" s="908">
        <f>GLOBAL_DER_FEV_2023!F212</f>
        <v>0</v>
      </c>
      <c r="G212" s="912">
        <f>GLOBAL_DER_FEV_2023!G212</f>
        <v>0</v>
      </c>
      <c r="H212" s="901">
        <f>GLOBAL_DER_FEV_2023!H212</f>
        <v>0</v>
      </c>
      <c r="I212" s="901">
        <f>GLOBAL_DER_FEV_2023!I212</f>
        <v>0</v>
      </c>
      <c r="J212" s="890">
        <f>GLOBAL_DER_FEV_2023!J212</f>
        <v>0</v>
      </c>
      <c r="K212" s="903" t="str">
        <f>GLOBAL_DER_FEV_2023!K212</f>
        <v xml:space="preserve">     </v>
      </c>
      <c r="L212" s="1137"/>
      <c r="M212" s="1151">
        <f t="shared" ref="M212:M227" si="17">IF(L212=0,0,ROUND(J212,2))</f>
        <v>0</v>
      </c>
      <c r="N212" s="932">
        <f t="shared" si="15"/>
        <v>0</v>
      </c>
      <c r="O212" s="905"/>
      <c r="Q212" s="317" t="str">
        <f t="shared" si="16"/>
        <v/>
      </c>
      <c r="R212" s="317" t="str">
        <f t="shared" si="13"/>
        <v/>
      </c>
      <c r="S212" s="317" t="str">
        <f t="shared" si="14"/>
        <v/>
      </c>
      <c r="T212" s="317" t="str">
        <f>GLOBAL_DER_FEV_2023!S212</f>
        <v/>
      </c>
      <c r="W212" s="582">
        <v>0</v>
      </c>
      <c r="X212" s="580"/>
      <c r="Y212" s="583">
        <f>IF(GLOBAL_DER_FEV_2023!W212=0,0,IF(GLOBAL_DER_FEV_2023!W212&gt;0,"c","b"))</f>
        <v>0</v>
      </c>
    </row>
    <row r="213" spans="1:25" ht="15" hidden="1" customHeight="1" x14ac:dyDescent="0.2">
      <c r="A213" s="640" t="s">
        <v>165</v>
      </c>
      <c r="B213" s="1036" t="str">
        <f>GLOBAL_DER_FEV_2023!B213</f>
        <v/>
      </c>
      <c r="C213" s="1072" t="str">
        <f>GLOBAL_DER_FEV_2023!C213</f>
        <v/>
      </c>
      <c r="D213" s="1141">
        <f>GLOBAL_DER_FEV_2023!D213</f>
        <v>0</v>
      </c>
      <c r="E213" s="907">
        <f>GLOBAL_DER_FEV_2023!E213</f>
        <v>0</v>
      </c>
      <c r="F213" s="908">
        <f>GLOBAL_DER_FEV_2023!F213</f>
        <v>0</v>
      </c>
      <c r="G213" s="912">
        <f>GLOBAL_DER_FEV_2023!G213</f>
        <v>0</v>
      </c>
      <c r="H213" s="901">
        <f>GLOBAL_DER_FEV_2023!H213</f>
        <v>0</v>
      </c>
      <c r="I213" s="901">
        <f>GLOBAL_DER_FEV_2023!I213</f>
        <v>0</v>
      </c>
      <c r="J213" s="890">
        <f>GLOBAL_DER_FEV_2023!J213</f>
        <v>0</v>
      </c>
      <c r="K213" s="903" t="str">
        <f>GLOBAL_DER_FEV_2023!K213</f>
        <v xml:space="preserve">     </v>
      </c>
      <c r="L213" s="1137"/>
      <c r="M213" s="1151">
        <f t="shared" si="17"/>
        <v>0</v>
      </c>
      <c r="N213" s="932">
        <f t="shared" si="15"/>
        <v>0</v>
      </c>
      <c r="O213" s="905"/>
      <c r="Q213" s="317" t="str">
        <f t="shared" si="16"/>
        <v/>
      </c>
      <c r="R213" s="317" t="str">
        <f t="shared" ref="R213:R276" si="18">IF(P213="X","x",IF(P213="y","x",IF(P213="xx","x",IF(N213&gt;0,"x",""))))</f>
        <v/>
      </c>
      <c r="S213" s="317" t="str">
        <f t="shared" ref="S213:S276" si="19">IF(P213="X","x",IF(N213&gt;0,"x",""))</f>
        <v/>
      </c>
      <c r="T213" s="317" t="str">
        <f>GLOBAL_DER_FEV_2023!S213</f>
        <v/>
      </c>
      <c r="W213" s="582">
        <v>0</v>
      </c>
      <c r="X213" s="580"/>
      <c r="Y213" s="583">
        <f>IF(GLOBAL_DER_FEV_2023!W213=0,0,IF(GLOBAL_DER_FEV_2023!W213&gt;0,"c","b"))</f>
        <v>0</v>
      </c>
    </row>
    <row r="214" spans="1:25" ht="15" hidden="1" customHeight="1" x14ac:dyDescent="0.2">
      <c r="A214" s="640" t="s">
        <v>165</v>
      </c>
      <c r="B214" s="1036" t="str">
        <f>GLOBAL_DER_FEV_2023!B214</f>
        <v/>
      </c>
      <c r="C214" s="1072" t="str">
        <f>GLOBAL_DER_FEV_2023!C214</f>
        <v/>
      </c>
      <c r="D214" s="1141">
        <f>GLOBAL_DER_FEV_2023!D214</f>
        <v>0</v>
      </c>
      <c r="E214" s="907">
        <f>GLOBAL_DER_FEV_2023!E214</f>
        <v>0</v>
      </c>
      <c r="F214" s="908">
        <f>GLOBAL_DER_FEV_2023!F214</f>
        <v>0</v>
      </c>
      <c r="G214" s="912">
        <f>GLOBAL_DER_FEV_2023!G214</f>
        <v>0</v>
      </c>
      <c r="H214" s="901">
        <f>GLOBAL_DER_FEV_2023!H214</f>
        <v>0</v>
      </c>
      <c r="I214" s="901">
        <f>GLOBAL_DER_FEV_2023!I214</f>
        <v>0</v>
      </c>
      <c r="J214" s="890">
        <f>GLOBAL_DER_FEV_2023!J214</f>
        <v>0</v>
      </c>
      <c r="K214" s="903" t="str">
        <f>GLOBAL_DER_FEV_2023!K214</f>
        <v xml:space="preserve">     </v>
      </c>
      <c r="L214" s="1137"/>
      <c r="M214" s="1151">
        <f t="shared" si="17"/>
        <v>0</v>
      </c>
      <c r="N214" s="932">
        <f t="shared" si="15"/>
        <v>0</v>
      </c>
      <c r="O214" s="905"/>
      <c r="Q214" s="317" t="str">
        <f t="shared" si="16"/>
        <v/>
      </c>
      <c r="R214" s="317" t="str">
        <f t="shared" si="18"/>
        <v/>
      </c>
      <c r="S214" s="317" t="str">
        <f t="shared" si="19"/>
        <v/>
      </c>
      <c r="T214" s="317" t="str">
        <f>GLOBAL_DER_FEV_2023!S214</f>
        <v/>
      </c>
      <c r="W214" s="582">
        <v>0</v>
      </c>
      <c r="X214" s="580"/>
      <c r="Y214" s="583">
        <f>IF(GLOBAL_DER_FEV_2023!W214=0,0,IF(GLOBAL_DER_FEV_2023!W214&gt;0,"c","b"))</f>
        <v>0</v>
      </c>
    </row>
    <row r="215" spans="1:25" ht="15" hidden="1" customHeight="1" x14ac:dyDescent="0.2">
      <c r="A215" s="640" t="s">
        <v>165</v>
      </c>
      <c r="B215" s="1036" t="str">
        <f>GLOBAL_DER_FEV_2023!B215</f>
        <v/>
      </c>
      <c r="C215" s="1072" t="str">
        <f>GLOBAL_DER_FEV_2023!C215</f>
        <v/>
      </c>
      <c r="D215" s="1141">
        <f>GLOBAL_DER_FEV_2023!D215</f>
        <v>0</v>
      </c>
      <c r="E215" s="907">
        <f>GLOBAL_DER_FEV_2023!E215</f>
        <v>0</v>
      </c>
      <c r="F215" s="908">
        <f>GLOBAL_DER_FEV_2023!F215</f>
        <v>0</v>
      </c>
      <c r="G215" s="912">
        <f>GLOBAL_DER_FEV_2023!G215</f>
        <v>0</v>
      </c>
      <c r="H215" s="901">
        <f>GLOBAL_DER_FEV_2023!H215</f>
        <v>0</v>
      </c>
      <c r="I215" s="901">
        <f>GLOBAL_DER_FEV_2023!I215</f>
        <v>0</v>
      </c>
      <c r="J215" s="890">
        <f>GLOBAL_DER_FEV_2023!J215</f>
        <v>0</v>
      </c>
      <c r="K215" s="903" t="str">
        <f>GLOBAL_DER_FEV_2023!K215</f>
        <v xml:space="preserve">     </v>
      </c>
      <c r="L215" s="1137"/>
      <c r="M215" s="1151">
        <f t="shared" si="17"/>
        <v>0</v>
      </c>
      <c r="N215" s="932">
        <f t="shared" si="15"/>
        <v>0</v>
      </c>
      <c r="O215" s="905"/>
      <c r="Q215" s="317" t="str">
        <f t="shared" si="16"/>
        <v/>
      </c>
      <c r="R215" s="317" t="str">
        <f t="shared" si="18"/>
        <v/>
      </c>
      <c r="S215" s="317" t="str">
        <f t="shared" si="19"/>
        <v/>
      </c>
      <c r="T215" s="317" t="str">
        <f>GLOBAL_DER_FEV_2023!S215</f>
        <v/>
      </c>
      <c r="W215" s="582">
        <v>0</v>
      </c>
      <c r="X215" s="580"/>
      <c r="Y215" s="583">
        <f>IF(GLOBAL_DER_FEV_2023!W215=0,0,IF(GLOBAL_DER_FEV_2023!W215&gt;0,"c","b"))</f>
        <v>0</v>
      </c>
    </row>
    <row r="216" spans="1:25" ht="15" hidden="1" customHeight="1" x14ac:dyDescent="0.2">
      <c r="A216" s="640" t="s">
        <v>165</v>
      </c>
      <c r="B216" s="1036" t="str">
        <f>GLOBAL_DER_FEV_2023!B216</f>
        <v/>
      </c>
      <c r="C216" s="1072" t="str">
        <f>GLOBAL_DER_FEV_2023!C216</f>
        <v/>
      </c>
      <c r="D216" s="1141">
        <f>GLOBAL_DER_FEV_2023!D216</f>
        <v>0</v>
      </c>
      <c r="E216" s="907">
        <f>GLOBAL_DER_FEV_2023!E216</f>
        <v>0</v>
      </c>
      <c r="F216" s="908">
        <f>GLOBAL_DER_FEV_2023!F216</f>
        <v>0</v>
      </c>
      <c r="G216" s="912">
        <f>GLOBAL_DER_FEV_2023!G216</f>
        <v>0</v>
      </c>
      <c r="H216" s="901">
        <f>GLOBAL_DER_FEV_2023!H216</f>
        <v>0</v>
      </c>
      <c r="I216" s="901">
        <f>GLOBAL_DER_FEV_2023!I216</f>
        <v>0</v>
      </c>
      <c r="J216" s="890">
        <f>GLOBAL_DER_FEV_2023!J216</f>
        <v>0</v>
      </c>
      <c r="K216" s="903" t="str">
        <f>GLOBAL_DER_FEV_2023!K216</f>
        <v xml:space="preserve">     </v>
      </c>
      <c r="L216" s="1137"/>
      <c r="M216" s="1151">
        <f t="shared" si="17"/>
        <v>0</v>
      </c>
      <c r="N216" s="932">
        <f t="shared" si="15"/>
        <v>0</v>
      </c>
      <c r="O216" s="905"/>
      <c r="Q216" s="317" t="str">
        <f t="shared" si="16"/>
        <v/>
      </c>
      <c r="R216" s="317" t="str">
        <f t="shared" si="18"/>
        <v/>
      </c>
      <c r="S216" s="317" t="str">
        <f t="shared" si="19"/>
        <v/>
      </c>
      <c r="T216" s="317" t="str">
        <f>GLOBAL_DER_FEV_2023!S216</f>
        <v/>
      </c>
      <c r="W216" s="582">
        <v>0</v>
      </c>
      <c r="X216" s="580"/>
      <c r="Y216" s="583">
        <f>IF(GLOBAL_DER_FEV_2023!W216=0,0,IF(GLOBAL_DER_FEV_2023!W216&gt;0,"c","b"))</f>
        <v>0</v>
      </c>
    </row>
    <row r="217" spans="1:25" ht="15" hidden="1" customHeight="1" x14ac:dyDescent="0.2">
      <c r="A217" s="640" t="s">
        <v>165</v>
      </c>
      <c r="B217" s="1036" t="str">
        <f>GLOBAL_DER_FEV_2023!B217</f>
        <v/>
      </c>
      <c r="C217" s="1072" t="str">
        <f>GLOBAL_DER_FEV_2023!C217</f>
        <v/>
      </c>
      <c r="D217" s="1141">
        <f>GLOBAL_DER_FEV_2023!D217</f>
        <v>0</v>
      </c>
      <c r="E217" s="907">
        <f>GLOBAL_DER_FEV_2023!E217</f>
        <v>0</v>
      </c>
      <c r="F217" s="908">
        <f>GLOBAL_DER_FEV_2023!F217</f>
        <v>0</v>
      </c>
      <c r="G217" s="912">
        <f>GLOBAL_DER_FEV_2023!G217</f>
        <v>0</v>
      </c>
      <c r="H217" s="901">
        <f>GLOBAL_DER_FEV_2023!H217</f>
        <v>0</v>
      </c>
      <c r="I217" s="901">
        <f>GLOBAL_DER_FEV_2023!I217</f>
        <v>0</v>
      </c>
      <c r="J217" s="890">
        <f>GLOBAL_DER_FEV_2023!J217</f>
        <v>0</v>
      </c>
      <c r="K217" s="903" t="str">
        <f>GLOBAL_DER_FEV_2023!K217</f>
        <v xml:space="preserve">     </v>
      </c>
      <c r="L217" s="1137"/>
      <c r="M217" s="1151">
        <f t="shared" si="17"/>
        <v>0</v>
      </c>
      <c r="N217" s="932">
        <f t="shared" ref="N217:N280" si="20">IF(ISBLANK(L217),0,IF(W217=0,ROUND(L217*M217,2),IF(W217="b",ROUNDDOWN(L217*M217,2),ROUNDUP(L217*M217,2))))</f>
        <v>0</v>
      </c>
      <c r="O217" s="905"/>
      <c r="Q217" s="317" t="str">
        <f t="shared" si="16"/>
        <v/>
      </c>
      <c r="R217" s="317" t="str">
        <f t="shared" si="18"/>
        <v/>
      </c>
      <c r="S217" s="317" t="str">
        <f t="shared" si="19"/>
        <v/>
      </c>
      <c r="T217" s="317" t="str">
        <f>GLOBAL_DER_FEV_2023!S217</f>
        <v/>
      </c>
      <c r="W217" s="582">
        <v>0</v>
      </c>
      <c r="X217" s="580"/>
      <c r="Y217" s="583">
        <f>IF(GLOBAL_DER_FEV_2023!W217=0,0,IF(GLOBAL_DER_FEV_2023!W217&gt;0,"c","b"))</f>
        <v>0</v>
      </c>
    </row>
    <row r="218" spans="1:25" ht="15" hidden="1" customHeight="1" x14ac:dyDescent="0.2">
      <c r="A218" s="640" t="s">
        <v>165</v>
      </c>
      <c r="B218" s="1036" t="str">
        <f>GLOBAL_DER_FEV_2023!B218</f>
        <v/>
      </c>
      <c r="C218" s="1072" t="str">
        <f>GLOBAL_DER_FEV_2023!C218</f>
        <v/>
      </c>
      <c r="D218" s="1141">
        <f>GLOBAL_DER_FEV_2023!D218</f>
        <v>0</v>
      </c>
      <c r="E218" s="907">
        <f>GLOBAL_DER_FEV_2023!E218</f>
        <v>0</v>
      </c>
      <c r="F218" s="908">
        <f>GLOBAL_DER_FEV_2023!F218</f>
        <v>0</v>
      </c>
      <c r="G218" s="912">
        <f>GLOBAL_DER_FEV_2023!G218</f>
        <v>0</v>
      </c>
      <c r="H218" s="901">
        <f>GLOBAL_DER_FEV_2023!H218</f>
        <v>0</v>
      </c>
      <c r="I218" s="901">
        <f>GLOBAL_DER_FEV_2023!I218</f>
        <v>0</v>
      </c>
      <c r="J218" s="890">
        <f>GLOBAL_DER_FEV_2023!J218</f>
        <v>0</v>
      </c>
      <c r="K218" s="903" t="str">
        <f>GLOBAL_DER_FEV_2023!K218</f>
        <v xml:space="preserve">     </v>
      </c>
      <c r="L218" s="1137"/>
      <c r="M218" s="1151">
        <f t="shared" si="17"/>
        <v>0</v>
      </c>
      <c r="N218" s="932">
        <f t="shared" si="20"/>
        <v>0</v>
      </c>
      <c r="O218" s="905"/>
      <c r="Q218" s="317" t="str">
        <f t="shared" si="16"/>
        <v/>
      </c>
      <c r="R218" s="317" t="str">
        <f t="shared" si="18"/>
        <v/>
      </c>
      <c r="S218" s="317" t="str">
        <f t="shared" si="19"/>
        <v/>
      </c>
      <c r="T218" s="317" t="str">
        <f>GLOBAL_DER_FEV_2023!S218</f>
        <v/>
      </c>
      <c r="W218" s="582">
        <v>0</v>
      </c>
      <c r="X218" s="580"/>
      <c r="Y218" s="583">
        <f>IF(GLOBAL_DER_FEV_2023!W218=0,0,IF(GLOBAL_DER_FEV_2023!W218&gt;0,"c","b"))</f>
        <v>0</v>
      </c>
    </row>
    <row r="219" spans="1:25" ht="15" hidden="1" customHeight="1" x14ac:dyDescent="0.2">
      <c r="A219" s="640" t="s">
        <v>165</v>
      </c>
      <c r="B219" s="1036" t="str">
        <f>GLOBAL_DER_FEV_2023!B219</f>
        <v/>
      </c>
      <c r="C219" s="1072" t="str">
        <f>GLOBAL_DER_FEV_2023!C219</f>
        <v/>
      </c>
      <c r="D219" s="1141">
        <f>GLOBAL_DER_FEV_2023!D219</f>
        <v>0</v>
      </c>
      <c r="E219" s="907">
        <f>GLOBAL_DER_FEV_2023!E219</f>
        <v>0</v>
      </c>
      <c r="F219" s="908">
        <f>GLOBAL_DER_FEV_2023!F219</f>
        <v>0</v>
      </c>
      <c r="G219" s="912">
        <f>GLOBAL_DER_FEV_2023!G219</f>
        <v>0</v>
      </c>
      <c r="H219" s="901">
        <f>GLOBAL_DER_FEV_2023!H219</f>
        <v>0</v>
      </c>
      <c r="I219" s="901">
        <f>GLOBAL_DER_FEV_2023!I219</f>
        <v>0</v>
      </c>
      <c r="J219" s="890">
        <f>GLOBAL_DER_FEV_2023!J219</f>
        <v>0</v>
      </c>
      <c r="K219" s="903" t="str">
        <f>GLOBAL_DER_FEV_2023!K219</f>
        <v xml:space="preserve">     </v>
      </c>
      <c r="L219" s="1137"/>
      <c r="M219" s="1151">
        <f t="shared" si="17"/>
        <v>0</v>
      </c>
      <c r="N219" s="932">
        <f t="shared" si="20"/>
        <v>0</v>
      </c>
      <c r="O219" s="905"/>
      <c r="Q219" s="317" t="str">
        <f t="shared" si="16"/>
        <v/>
      </c>
      <c r="R219" s="317" t="str">
        <f t="shared" si="18"/>
        <v/>
      </c>
      <c r="S219" s="317" t="str">
        <f t="shared" si="19"/>
        <v/>
      </c>
      <c r="T219" s="317" t="str">
        <f>GLOBAL_DER_FEV_2023!S219</f>
        <v/>
      </c>
      <c r="W219" s="582">
        <v>0</v>
      </c>
      <c r="X219" s="580"/>
      <c r="Y219" s="583">
        <f>IF(GLOBAL_DER_FEV_2023!W219=0,0,IF(GLOBAL_DER_FEV_2023!W219&gt;0,"c","b"))</f>
        <v>0</v>
      </c>
    </row>
    <row r="220" spans="1:25" ht="15" hidden="1" customHeight="1" x14ac:dyDescent="0.2">
      <c r="A220" s="640" t="s">
        <v>165</v>
      </c>
      <c r="B220" s="1036" t="str">
        <f>GLOBAL_DER_FEV_2023!B220</f>
        <v/>
      </c>
      <c r="C220" s="1072" t="str">
        <f>GLOBAL_DER_FEV_2023!C220</f>
        <v/>
      </c>
      <c r="D220" s="1141">
        <f>GLOBAL_DER_FEV_2023!D220</f>
        <v>0</v>
      </c>
      <c r="E220" s="907">
        <f>GLOBAL_DER_FEV_2023!E220</f>
        <v>0</v>
      </c>
      <c r="F220" s="908">
        <f>GLOBAL_DER_FEV_2023!F220</f>
        <v>0</v>
      </c>
      <c r="G220" s="912">
        <f>GLOBAL_DER_FEV_2023!G220</f>
        <v>0</v>
      </c>
      <c r="H220" s="901">
        <f>GLOBAL_DER_FEV_2023!H220</f>
        <v>0</v>
      </c>
      <c r="I220" s="901">
        <f>GLOBAL_DER_FEV_2023!I220</f>
        <v>0</v>
      </c>
      <c r="J220" s="890">
        <f>GLOBAL_DER_FEV_2023!J220</f>
        <v>0</v>
      </c>
      <c r="K220" s="903" t="str">
        <f>GLOBAL_DER_FEV_2023!K220</f>
        <v xml:space="preserve">     </v>
      </c>
      <c r="L220" s="1137"/>
      <c r="M220" s="1151">
        <f t="shared" si="17"/>
        <v>0</v>
      </c>
      <c r="N220" s="932">
        <f t="shared" si="20"/>
        <v>0</v>
      </c>
      <c r="O220" s="905"/>
      <c r="Q220" s="317" t="str">
        <f t="shared" si="16"/>
        <v/>
      </c>
      <c r="R220" s="317" t="str">
        <f t="shared" si="18"/>
        <v/>
      </c>
      <c r="S220" s="317" t="str">
        <f t="shared" si="19"/>
        <v/>
      </c>
      <c r="T220" s="317" t="str">
        <f>GLOBAL_DER_FEV_2023!S220</f>
        <v/>
      </c>
      <c r="W220" s="582">
        <v>0</v>
      </c>
      <c r="X220" s="580"/>
      <c r="Y220" s="583">
        <f>IF(GLOBAL_DER_FEV_2023!W220=0,0,IF(GLOBAL_DER_FEV_2023!W220&gt;0,"c","b"))</f>
        <v>0</v>
      </c>
    </row>
    <row r="221" spans="1:25" ht="15" hidden="1" customHeight="1" x14ac:dyDescent="0.2">
      <c r="A221" s="640" t="s">
        <v>165</v>
      </c>
      <c r="B221" s="1036" t="str">
        <f>GLOBAL_DER_FEV_2023!B221</f>
        <v/>
      </c>
      <c r="C221" s="1072" t="str">
        <f>GLOBAL_DER_FEV_2023!C221</f>
        <v/>
      </c>
      <c r="D221" s="1141">
        <f>GLOBAL_DER_FEV_2023!D221</f>
        <v>0</v>
      </c>
      <c r="E221" s="907">
        <f>GLOBAL_DER_FEV_2023!E221</f>
        <v>0</v>
      </c>
      <c r="F221" s="908">
        <f>GLOBAL_DER_FEV_2023!F221</f>
        <v>0</v>
      </c>
      <c r="G221" s="912">
        <f>GLOBAL_DER_FEV_2023!G221</f>
        <v>0</v>
      </c>
      <c r="H221" s="901">
        <f>GLOBAL_DER_FEV_2023!H221</f>
        <v>0</v>
      </c>
      <c r="I221" s="901">
        <f>GLOBAL_DER_FEV_2023!I221</f>
        <v>0</v>
      </c>
      <c r="J221" s="890">
        <f>GLOBAL_DER_FEV_2023!J221</f>
        <v>0</v>
      </c>
      <c r="K221" s="903" t="str">
        <f>GLOBAL_DER_FEV_2023!K221</f>
        <v xml:space="preserve">     </v>
      </c>
      <c r="L221" s="1137"/>
      <c r="M221" s="1151">
        <f t="shared" si="17"/>
        <v>0</v>
      </c>
      <c r="N221" s="932">
        <f t="shared" si="20"/>
        <v>0</v>
      </c>
      <c r="O221" s="905"/>
      <c r="Q221" s="317" t="str">
        <f t="shared" si="16"/>
        <v/>
      </c>
      <c r="R221" s="317" t="str">
        <f t="shared" si="18"/>
        <v/>
      </c>
      <c r="S221" s="317" t="str">
        <f t="shared" si="19"/>
        <v/>
      </c>
      <c r="T221" s="317" t="str">
        <f>GLOBAL_DER_FEV_2023!S221</f>
        <v/>
      </c>
      <c r="W221" s="582">
        <v>0</v>
      </c>
      <c r="X221" s="580"/>
      <c r="Y221" s="583">
        <f>IF(GLOBAL_DER_FEV_2023!W221=0,0,IF(GLOBAL_DER_FEV_2023!W221&gt;0,"c","b"))</f>
        <v>0</v>
      </c>
    </row>
    <row r="222" spans="1:25" ht="15" hidden="1" customHeight="1" x14ac:dyDescent="0.2">
      <c r="A222" s="640" t="s">
        <v>165</v>
      </c>
      <c r="B222" s="1036" t="str">
        <f>GLOBAL_DER_FEV_2023!B222</f>
        <v/>
      </c>
      <c r="C222" s="1072" t="str">
        <f>GLOBAL_DER_FEV_2023!C222</f>
        <v/>
      </c>
      <c r="D222" s="1141">
        <f>GLOBAL_DER_FEV_2023!D222</f>
        <v>0</v>
      </c>
      <c r="E222" s="907">
        <f>GLOBAL_DER_FEV_2023!E222</f>
        <v>0</v>
      </c>
      <c r="F222" s="908">
        <f>GLOBAL_DER_FEV_2023!F222</f>
        <v>0</v>
      </c>
      <c r="G222" s="912">
        <f>GLOBAL_DER_FEV_2023!G222</f>
        <v>0</v>
      </c>
      <c r="H222" s="901">
        <f>GLOBAL_DER_FEV_2023!H222</f>
        <v>0</v>
      </c>
      <c r="I222" s="901">
        <f>GLOBAL_DER_FEV_2023!I222</f>
        <v>0</v>
      </c>
      <c r="J222" s="890">
        <f>GLOBAL_DER_FEV_2023!J222</f>
        <v>0</v>
      </c>
      <c r="K222" s="903" t="str">
        <f>GLOBAL_DER_FEV_2023!K222</f>
        <v xml:space="preserve">     </v>
      </c>
      <c r="L222" s="1137"/>
      <c r="M222" s="1151">
        <f t="shared" si="17"/>
        <v>0</v>
      </c>
      <c r="N222" s="932">
        <f t="shared" si="20"/>
        <v>0</v>
      </c>
      <c r="O222" s="905"/>
      <c r="Q222" s="317" t="str">
        <f t="shared" si="16"/>
        <v/>
      </c>
      <c r="R222" s="317" t="str">
        <f t="shared" si="18"/>
        <v/>
      </c>
      <c r="S222" s="317" t="str">
        <f t="shared" si="19"/>
        <v/>
      </c>
      <c r="T222" s="317" t="str">
        <f>GLOBAL_DER_FEV_2023!S222</f>
        <v/>
      </c>
      <c r="W222" s="582">
        <v>0</v>
      </c>
      <c r="X222" s="580"/>
      <c r="Y222" s="583">
        <f>IF(GLOBAL_DER_FEV_2023!W222=0,0,IF(GLOBAL_DER_FEV_2023!W222&gt;0,"c","b"))</f>
        <v>0</v>
      </c>
    </row>
    <row r="223" spans="1:25" ht="15" hidden="1" customHeight="1" x14ac:dyDescent="0.2">
      <c r="A223" s="640" t="s">
        <v>165</v>
      </c>
      <c r="B223" s="1036" t="str">
        <f>GLOBAL_DER_FEV_2023!B223</f>
        <v/>
      </c>
      <c r="C223" s="1072" t="str">
        <f>GLOBAL_DER_FEV_2023!C223</f>
        <v/>
      </c>
      <c r="D223" s="1141">
        <f>GLOBAL_DER_FEV_2023!D223</f>
        <v>0</v>
      </c>
      <c r="E223" s="907">
        <f>GLOBAL_DER_FEV_2023!E223</f>
        <v>0</v>
      </c>
      <c r="F223" s="908">
        <f>GLOBAL_DER_FEV_2023!F223</f>
        <v>0</v>
      </c>
      <c r="G223" s="912">
        <f>GLOBAL_DER_FEV_2023!G223</f>
        <v>0</v>
      </c>
      <c r="H223" s="901">
        <f>GLOBAL_DER_FEV_2023!H223</f>
        <v>0</v>
      </c>
      <c r="I223" s="901">
        <f>GLOBAL_DER_FEV_2023!I223</f>
        <v>0</v>
      </c>
      <c r="J223" s="890">
        <f>GLOBAL_DER_FEV_2023!J223</f>
        <v>0</v>
      </c>
      <c r="K223" s="903" t="str">
        <f>GLOBAL_DER_FEV_2023!K223</f>
        <v xml:space="preserve">     </v>
      </c>
      <c r="L223" s="1137"/>
      <c r="M223" s="1151">
        <f t="shared" si="17"/>
        <v>0</v>
      </c>
      <c r="N223" s="932">
        <f t="shared" si="20"/>
        <v>0</v>
      </c>
      <c r="O223" s="905"/>
      <c r="Q223" s="317" t="str">
        <f t="shared" si="16"/>
        <v/>
      </c>
      <c r="R223" s="317" t="str">
        <f t="shared" si="18"/>
        <v/>
      </c>
      <c r="S223" s="317" t="str">
        <f t="shared" si="19"/>
        <v/>
      </c>
      <c r="T223" s="317" t="str">
        <f>GLOBAL_DER_FEV_2023!S223</f>
        <v/>
      </c>
      <c r="W223" s="582">
        <v>0</v>
      </c>
      <c r="X223" s="580"/>
      <c r="Y223" s="583">
        <f>IF(GLOBAL_DER_FEV_2023!W223=0,0,IF(GLOBAL_DER_FEV_2023!W223&gt;0,"c","b"))</f>
        <v>0</v>
      </c>
    </row>
    <row r="224" spans="1:25" ht="15" hidden="1" customHeight="1" x14ac:dyDescent="0.2">
      <c r="A224" s="640" t="s">
        <v>165</v>
      </c>
      <c r="B224" s="1036" t="str">
        <f>GLOBAL_DER_FEV_2023!B224</f>
        <v/>
      </c>
      <c r="C224" s="1072" t="str">
        <f>GLOBAL_DER_FEV_2023!C224</f>
        <v/>
      </c>
      <c r="D224" s="1141">
        <f>GLOBAL_DER_FEV_2023!D224</f>
        <v>0</v>
      </c>
      <c r="E224" s="907">
        <f>GLOBAL_DER_FEV_2023!E224</f>
        <v>0</v>
      </c>
      <c r="F224" s="908">
        <f>GLOBAL_DER_FEV_2023!F224</f>
        <v>0</v>
      </c>
      <c r="G224" s="912">
        <f>GLOBAL_DER_FEV_2023!G224</f>
        <v>0</v>
      </c>
      <c r="H224" s="901">
        <f>GLOBAL_DER_FEV_2023!H224</f>
        <v>0</v>
      </c>
      <c r="I224" s="901">
        <f>GLOBAL_DER_FEV_2023!I224</f>
        <v>0</v>
      </c>
      <c r="J224" s="890">
        <f>GLOBAL_DER_FEV_2023!J224</f>
        <v>0</v>
      </c>
      <c r="K224" s="903" t="str">
        <f>GLOBAL_DER_FEV_2023!K224</f>
        <v xml:space="preserve">     </v>
      </c>
      <c r="L224" s="1137"/>
      <c r="M224" s="1151">
        <f t="shared" si="17"/>
        <v>0</v>
      </c>
      <c r="N224" s="932">
        <f t="shared" si="20"/>
        <v>0</v>
      </c>
      <c r="O224" s="905"/>
      <c r="Q224" s="317" t="str">
        <f t="shared" si="16"/>
        <v/>
      </c>
      <c r="R224" s="317" t="str">
        <f t="shared" si="18"/>
        <v/>
      </c>
      <c r="S224" s="317" t="str">
        <f t="shared" si="19"/>
        <v/>
      </c>
      <c r="T224" s="317" t="str">
        <f>GLOBAL_DER_FEV_2023!S224</f>
        <v/>
      </c>
      <c r="W224" s="582">
        <v>0</v>
      </c>
      <c r="X224" s="580"/>
      <c r="Y224" s="583">
        <f>IF(GLOBAL_DER_FEV_2023!W224=0,0,IF(GLOBAL_DER_FEV_2023!W224&gt;0,"c","b"))</f>
        <v>0</v>
      </c>
    </row>
    <row r="225" spans="1:25" ht="15" hidden="1" customHeight="1" x14ac:dyDescent="0.2">
      <c r="A225" s="640" t="s">
        <v>165</v>
      </c>
      <c r="B225" s="1036" t="str">
        <f>GLOBAL_DER_FEV_2023!B225</f>
        <v/>
      </c>
      <c r="C225" s="1072" t="str">
        <f>GLOBAL_DER_FEV_2023!C225</f>
        <v/>
      </c>
      <c r="D225" s="1141">
        <f>GLOBAL_DER_FEV_2023!D225</f>
        <v>0</v>
      </c>
      <c r="E225" s="907">
        <f>GLOBAL_DER_FEV_2023!E225</f>
        <v>0</v>
      </c>
      <c r="F225" s="908">
        <f>GLOBAL_DER_FEV_2023!F225</f>
        <v>0</v>
      </c>
      <c r="G225" s="912">
        <f>GLOBAL_DER_FEV_2023!G225</f>
        <v>0</v>
      </c>
      <c r="H225" s="901">
        <f>GLOBAL_DER_FEV_2023!H225</f>
        <v>0</v>
      </c>
      <c r="I225" s="901">
        <f>GLOBAL_DER_FEV_2023!I225</f>
        <v>0</v>
      </c>
      <c r="J225" s="890">
        <f>GLOBAL_DER_FEV_2023!J225</f>
        <v>0</v>
      </c>
      <c r="K225" s="903" t="str">
        <f>GLOBAL_DER_FEV_2023!K225</f>
        <v xml:space="preserve">     </v>
      </c>
      <c r="L225" s="1137"/>
      <c r="M225" s="1151">
        <f t="shared" si="17"/>
        <v>0</v>
      </c>
      <c r="N225" s="932">
        <f t="shared" si="20"/>
        <v>0</v>
      </c>
      <c r="O225" s="905"/>
      <c r="Q225" s="317" t="str">
        <f t="shared" si="16"/>
        <v/>
      </c>
      <c r="R225" s="317" t="str">
        <f t="shared" si="18"/>
        <v/>
      </c>
      <c r="S225" s="317" t="str">
        <f t="shared" si="19"/>
        <v/>
      </c>
      <c r="T225" s="317" t="str">
        <f>GLOBAL_DER_FEV_2023!S225</f>
        <v/>
      </c>
      <c r="W225" s="582">
        <v>0</v>
      </c>
      <c r="X225" s="580"/>
      <c r="Y225" s="583">
        <f>IF(GLOBAL_DER_FEV_2023!W225=0,0,IF(GLOBAL_DER_FEV_2023!W225&gt;0,"c","b"))</f>
        <v>0</v>
      </c>
    </row>
    <row r="226" spans="1:25" ht="15" hidden="1" customHeight="1" x14ac:dyDescent="0.2">
      <c r="A226" s="640" t="s">
        <v>165</v>
      </c>
      <c r="B226" s="1036" t="str">
        <f>GLOBAL_DER_FEV_2023!B226</f>
        <v/>
      </c>
      <c r="C226" s="1072" t="str">
        <f>GLOBAL_DER_FEV_2023!C226</f>
        <v/>
      </c>
      <c r="D226" s="1141">
        <f>GLOBAL_DER_FEV_2023!D226</f>
        <v>0</v>
      </c>
      <c r="E226" s="907">
        <f>GLOBAL_DER_FEV_2023!E226</f>
        <v>0</v>
      </c>
      <c r="F226" s="908">
        <f>GLOBAL_DER_FEV_2023!F226</f>
        <v>0</v>
      </c>
      <c r="G226" s="912">
        <f>GLOBAL_DER_FEV_2023!G226</f>
        <v>0</v>
      </c>
      <c r="H226" s="901">
        <f>GLOBAL_DER_FEV_2023!H226</f>
        <v>0</v>
      </c>
      <c r="I226" s="901">
        <f>GLOBAL_DER_FEV_2023!I226</f>
        <v>0</v>
      </c>
      <c r="J226" s="890">
        <f>GLOBAL_DER_FEV_2023!J226</f>
        <v>0</v>
      </c>
      <c r="K226" s="903" t="str">
        <f>GLOBAL_DER_FEV_2023!K226</f>
        <v xml:space="preserve">     </v>
      </c>
      <c r="L226" s="1137"/>
      <c r="M226" s="1151">
        <f t="shared" si="17"/>
        <v>0</v>
      </c>
      <c r="N226" s="932">
        <f t="shared" si="20"/>
        <v>0</v>
      </c>
      <c r="O226" s="905"/>
      <c r="Q226" s="317" t="str">
        <f t="shared" si="16"/>
        <v/>
      </c>
      <c r="R226" s="317" t="str">
        <f t="shared" si="18"/>
        <v/>
      </c>
      <c r="S226" s="317" t="str">
        <f t="shared" si="19"/>
        <v/>
      </c>
      <c r="T226" s="317" t="str">
        <f>GLOBAL_DER_FEV_2023!S226</f>
        <v/>
      </c>
      <c r="W226" s="582">
        <v>0</v>
      </c>
      <c r="X226" s="580"/>
      <c r="Y226" s="583">
        <f>IF(GLOBAL_DER_FEV_2023!W226=0,0,IF(GLOBAL_DER_FEV_2023!W226&gt;0,"c","b"))</f>
        <v>0</v>
      </c>
    </row>
    <row r="227" spans="1:25" ht="15" hidden="1" customHeight="1" thickBot="1" x14ac:dyDescent="0.25">
      <c r="A227" s="640" t="s">
        <v>165</v>
      </c>
      <c r="B227" s="1036" t="str">
        <f>GLOBAL_DER_FEV_2023!B227</f>
        <v/>
      </c>
      <c r="C227" s="1072" t="str">
        <f>GLOBAL_DER_FEV_2023!C227</f>
        <v/>
      </c>
      <c r="D227" s="1141">
        <f>GLOBAL_DER_FEV_2023!D227</f>
        <v>0</v>
      </c>
      <c r="E227" s="907">
        <f>GLOBAL_DER_FEV_2023!E227</f>
        <v>0</v>
      </c>
      <c r="F227" s="908">
        <f>GLOBAL_DER_FEV_2023!F227</f>
        <v>0</v>
      </c>
      <c r="G227" s="912">
        <f>GLOBAL_DER_FEV_2023!G227</f>
        <v>0</v>
      </c>
      <c r="H227" s="901">
        <f>GLOBAL_DER_FEV_2023!H227</f>
        <v>0</v>
      </c>
      <c r="I227" s="901">
        <f>GLOBAL_DER_FEV_2023!I227</f>
        <v>0</v>
      </c>
      <c r="J227" s="890">
        <f>GLOBAL_DER_FEV_2023!J227</f>
        <v>0</v>
      </c>
      <c r="K227" s="903" t="str">
        <f>GLOBAL_DER_FEV_2023!K227</f>
        <v xml:space="preserve">     </v>
      </c>
      <c r="L227" s="1137"/>
      <c r="M227" s="1151">
        <f t="shared" si="17"/>
        <v>0</v>
      </c>
      <c r="N227" s="932">
        <f t="shared" si="20"/>
        <v>0</v>
      </c>
      <c r="O227" s="905"/>
      <c r="Q227" s="317" t="str">
        <f t="shared" si="16"/>
        <v/>
      </c>
      <c r="R227" s="317" t="str">
        <f t="shared" si="18"/>
        <v/>
      </c>
      <c r="S227" s="317" t="str">
        <f t="shared" si="19"/>
        <v/>
      </c>
      <c r="T227" s="317" t="str">
        <f>GLOBAL_DER_FEV_2023!S227</f>
        <v/>
      </c>
      <c r="W227" s="582">
        <v>0</v>
      </c>
      <c r="X227" s="580"/>
      <c r="Y227" s="583">
        <f>IF(GLOBAL_DER_FEV_2023!W227=0,0,IF(GLOBAL_DER_FEV_2023!W227&gt;0,"c","b"))</f>
        <v>0</v>
      </c>
    </row>
    <row r="228" spans="1:25" ht="15" customHeight="1" thickBot="1" x14ac:dyDescent="0.25">
      <c r="A228" s="317" t="s">
        <v>203</v>
      </c>
      <c r="B228" s="950" t="s">
        <v>203</v>
      </c>
      <c r="C228" s="951"/>
      <c r="D228" s="952" t="s">
        <v>429</v>
      </c>
      <c r="E228" s="943">
        <f>GLOBAL_DER_FEV_2023!E228</f>
        <v>0</v>
      </c>
      <c r="F228" s="876"/>
      <c r="G228" s="944"/>
      <c r="H228" s="945">
        <f>GLOBAL_DER_FEV_2023!H228</f>
        <v>0</v>
      </c>
      <c r="I228" s="945">
        <f>GLOBAL_DER_FEV_2023!I228</f>
        <v>0</v>
      </c>
      <c r="J228" s="945">
        <f>GLOBAL_DER_FEV_2023!J228</f>
        <v>0</v>
      </c>
      <c r="K228" s="963" t="s">
        <v>507</v>
      </c>
      <c r="L228" s="879"/>
      <c r="M228" s="880"/>
      <c r="N228" s="881">
        <f t="shared" si="20"/>
        <v>0</v>
      </c>
      <c r="O228" s="882">
        <f>SUM(N229:N588)</f>
        <v>519070.11000000004</v>
      </c>
      <c r="P228" s="58" t="str">
        <f>IF(OR(O228&gt;0,O228&gt;0),"X","")</f>
        <v>X</v>
      </c>
      <c r="Q228" s="317" t="str">
        <f t="shared" si="16"/>
        <v>x</v>
      </c>
      <c r="R228" s="317" t="str">
        <f t="shared" si="18"/>
        <v>x</v>
      </c>
      <c r="S228" s="317" t="str">
        <f t="shared" si="19"/>
        <v>x</v>
      </c>
      <c r="T228" s="317" t="str">
        <f>GLOBAL_DER_FEV_2023!S228</f>
        <v>x</v>
      </c>
      <c r="W228" s="582">
        <v>0</v>
      </c>
      <c r="X228" s="580"/>
      <c r="Y228" s="583">
        <f>IF(GLOBAL_DER_FEV_2023!W228=0,0,IF(GLOBAL_DER_FEV_2023!W228&gt;0,"c","b"))</f>
        <v>0</v>
      </c>
    </row>
    <row r="229" spans="1:25" ht="13.5" thickBot="1" x14ac:dyDescent="0.25">
      <c r="A229" s="317" t="s">
        <v>832</v>
      </c>
      <c r="B229" s="895" t="str">
        <f>GLOBAL_DER_FEV_2023!B229</f>
        <v>PAV-089</v>
      </c>
      <c r="C229" s="896" t="str">
        <f>GLOBAL_DER_FEV_2023!C229</f>
        <v>PM Curitiba-abr/22</v>
      </c>
      <c r="D229" s="906" t="str">
        <f>GLOBAL_DER_FEV_2023!D229</f>
        <v>Limpeza e Lavagem da pista ( Recape )</v>
      </c>
      <c r="E229" s="966">
        <f>GLOBAL_DER_FEV_2023!E229</f>
        <v>0</v>
      </c>
      <c r="F229" s="967">
        <f>GLOBAL_DER_FEV_2023!F229</f>
        <v>0</v>
      </c>
      <c r="G229" s="968">
        <f>GLOBAL_DER_FEV_2023!G229</f>
        <v>0</v>
      </c>
      <c r="H229" s="940">
        <f>GLOBAL_DER_FEV_2023!H229</f>
        <v>0.65</v>
      </c>
      <c r="I229" s="940">
        <f>GLOBAL_DER_FEV_2023!I229</f>
        <v>0.65</v>
      </c>
      <c r="J229" s="969">
        <f>GLOBAL_DER_FEV_2023!J229</f>
        <v>0.78</v>
      </c>
      <c r="K229" s="970" t="s">
        <v>12</v>
      </c>
      <c r="L229" s="1137">
        <v>6888.05</v>
      </c>
      <c r="M229" s="1138">
        <f t="shared" ref="M229:M271" si="21">IF(L229=0,0,ROUND(J229,2))</f>
        <v>0.78</v>
      </c>
      <c r="N229" s="893">
        <f t="shared" si="20"/>
        <v>5372.68</v>
      </c>
      <c r="O229" s="905"/>
      <c r="Q229" s="317" t="str">
        <f t="shared" si="16"/>
        <v>x</v>
      </c>
      <c r="R229" s="317" t="str">
        <f t="shared" si="18"/>
        <v>x</v>
      </c>
      <c r="S229" s="317" t="str">
        <f t="shared" si="19"/>
        <v>x</v>
      </c>
      <c r="T229" s="317" t="str">
        <f>GLOBAL_DER_FEV_2023!S229</f>
        <v>x</v>
      </c>
      <c r="W229" s="582">
        <v>0</v>
      </c>
      <c r="X229" s="580"/>
      <c r="Y229" s="583">
        <f>IF(GLOBAL_DER_FEV_2023!W229=0,0,IF(GLOBAL_DER_FEV_2023!W229&gt;0,"c","b"))</f>
        <v>0</v>
      </c>
    </row>
    <row r="230" spans="1:25" ht="13.5" hidden="1" thickBot="1" x14ac:dyDescent="0.25">
      <c r="A230" s="317">
        <v>560100</v>
      </c>
      <c r="B230" s="971" t="s">
        <v>509</v>
      </c>
      <c r="C230" s="972" t="s">
        <v>184</v>
      </c>
      <c r="D230" s="973" t="s">
        <v>1521</v>
      </c>
      <c r="E230" s="974" t="str">
        <f>GLOBAL_DER_FEV_2023!E230</f>
        <v>taxa RR-1C</v>
      </c>
      <c r="F230" s="975">
        <f>GLOBAL_DER_FEV_2023!F230</f>
        <v>1.1999999999999999E-3</v>
      </c>
      <c r="G230" s="976">
        <f>GLOBAL_DER_FEV_2023!G230</f>
        <v>0</v>
      </c>
      <c r="H230" s="977">
        <f>GLOBAL_DER_FEV_2023!H230</f>
        <v>0.49</v>
      </c>
      <c r="I230" s="977">
        <f>GLOBAL_DER_FEV_2023!I230</f>
        <v>0.49</v>
      </c>
      <c r="J230" s="978">
        <f>GLOBAL_DER_FEV_2023!J230</f>
        <v>0.59</v>
      </c>
      <c r="K230" s="979" t="s">
        <v>12</v>
      </c>
      <c r="L230" s="1152"/>
      <c r="M230" s="1153">
        <f t="shared" si="21"/>
        <v>0</v>
      </c>
      <c r="N230" s="982">
        <f t="shared" si="20"/>
        <v>0</v>
      </c>
      <c r="O230" s="905"/>
      <c r="Q230" s="317" t="str">
        <f t="shared" si="16"/>
        <v/>
      </c>
      <c r="R230" s="317" t="str">
        <f t="shared" si="18"/>
        <v/>
      </c>
      <c r="S230" s="317" t="str">
        <f t="shared" si="19"/>
        <v/>
      </c>
      <c r="T230" s="317" t="str">
        <f>GLOBAL_DER_FEV_2023!S230</f>
        <v/>
      </c>
      <c r="W230" s="582">
        <v>0</v>
      </c>
      <c r="X230" s="580"/>
      <c r="Y230" s="583">
        <f>IF(GLOBAL_DER_FEV_2023!W230=0,0,IF(GLOBAL_DER_FEV_2023!W230&gt;0,"c","b"))</f>
        <v>0</v>
      </c>
    </row>
    <row r="231" spans="1:25" ht="13.5" hidden="1" thickBot="1" x14ac:dyDescent="0.25">
      <c r="A231" s="317">
        <v>589420</v>
      </c>
      <c r="B231" s="983" t="s">
        <v>705</v>
      </c>
      <c r="C231" s="984" t="s">
        <v>213</v>
      </c>
      <c r="D231" s="985" t="s">
        <v>553</v>
      </c>
      <c r="E231" s="986">
        <f>GLOBAL_DER_FEV_2023!E231</f>
        <v>353</v>
      </c>
      <c r="F231" s="987">
        <f>GLOBAL_DER_FEV_2023!F231</f>
        <v>1</v>
      </c>
      <c r="G231" s="949">
        <f>GLOBAL_DER_FEV_2023!G231</f>
        <v>337.96999999999997</v>
      </c>
      <c r="H231" s="988">
        <f>GLOBAL_DER_FEV_2023!H231</f>
        <v>3861.37</v>
      </c>
      <c r="I231" s="988">
        <f>GLOBAL_DER_FEV_2023!I231</f>
        <v>4045.2968393437163</v>
      </c>
      <c r="J231" s="989">
        <f>GLOBAL_DER_FEV_2023!J231</f>
        <v>4857.1899999999996</v>
      </c>
      <c r="K231" s="990" t="s">
        <v>14</v>
      </c>
      <c r="L231" s="1154">
        <f>ROUND(L230*$F230,2)</f>
        <v>0</v>
      </c>
      <c r="M231" s="1155">
        <f t="shared" si="21"/>
        <v>0</v>
      </c>
      <c r="N231" s="993">
        <f t="shared" si="20"/>
        <v>0</v>
      </c>
      <c r="O231" s="905"/>
      <c r="Q231" s="317" t="str">
        <f t="shared" si="16"/>
        <v/>
      </c>
      <c r="R231" s="317" t="str">
        <f t="shared" si="18"/>
        <v/>
      </c>
      <c r="S231" s="317" t="str">
        <f t="shared" si="19"/>
        <v/>
      </c>
      <c r="T231" s="317" t="str">
        <f>GLOBAL_DER_FEV_2023!S231</f>
        <v/>
      </c>
      <c r="W231" s="582">
        <v>0</v>
      </c>
      <c r="X231" s="580"/>
      <c r="Y231" s="583">
        <f>IF(GLOBAL_DER_FEV_2023!W231=0,0,IF(GLOBAL_DER_FEV_2023!W231&gt;0,"c","b"))</f>
        <v>0</v>
      </c>
    </row>
    <row r="232" spans="1:25" ht="13.5" hidden="1" thickBot="1" x14ac:dyDescent="0.25">
      <c r="A232" s="317">
        <v>560100</v>
      </c>
      <c r="B232" s="971" t="s">
        <v>510</v>
      </c>
      <c r="C232" s="972" t="s">
        <v>184</v>
      </c>
      <c r="D232" s="973" t="s">
        <v>540</v>
      </c>
      <c r="E232" s="974" t="str">
        <f>GLOBAL_DER_FEV_2023!E232</f>
        <v>taxa RR-1C</v>
      </c>
      <c r="F232" s="975">
        <f>GLOBAL_DER_FEV_2023!F232</f>
        <v>1.1000000000000001E-3</v>
      </c>
      <c r="G232" s="976">
        <f>GLOBAL_DER_FEV_2023!G232</f>
        <v>0</v>
      </c>
      <c r="H232" s="977">
        <f>GLOBAL_DER_FEV_2023!H232</f>
        <v>0.49</v>
      </c>
      <c r="I232" s="977">
        <f>GLOBAL_DER_FEV_2023!I232</f>
        <v>0.49</v>
      </c>
      <c r="J232" s="978">
        <f>GLOBAL_DER_FEV_2023!J232</f>
        <v>0.59</v>
      </c>
      <c r="K232" s="979" t="s">
        <v>12</v>
      </c>
      <c r="L232" s="1152"/>
      <c r="M232" s="1153">
        <f t="shared" si="21"/>
        <v>0</v>
      </c>
      <c r="N232" s="982">
        <f t="shared" si="20"/>
        <v>0</v>
      </c>
      <c r="O232" s="905"/>
      <c r="Q232" s="317" t="str">
        <f t="shared" si="16"/>
        <v/>
      </c>
      <c r="R232" s="317" t="str">
        <f t="shared" si="18"/>
        <v/>
      </c>
      <c r="S232" s="317" t="str">
        <f t="shared" si="19"/>
        <v/>
      </c>
      <c r="T232" s="317" t="str">
        <f>GLOBAL_DER_FEV_2023!S232</f>
        <v/>
      </c>
      <c r="W232" s="582">
        <v>0</v>
      </c>
      <c r="X232" s="580"/>
      <c r="Y232" s="583">
        <f>IF(GLOBAL_DER_FEV_2023!W232=0,0,IF(GLOBAL_DER_FEV_2023!W232&gt;0,"c","b"))</f>
        <v>0</v>
      </c>
    </row>
    <row r="233" spans="1:25" ht="13.5" hidden="1" thickBot="1" x14ac:dyDescent="0.25">
      <c r="A233" s="317">
        <v>589190</v>
      </c>
      <c r="B233" s="983" t="s">
        <v>1697</v>
      </c>
      <c r="C233" s="984" t="s">
        <v>213</v>
      </c>
      <c r="D233" s="985" t="s">
        <v>554</v>
      </c>
      <c r="E233" s="986">
        <f>GLOBAL_DER_FEV_2023!E233</f>
        <v>45</v>
      </c>
      <c r="F233" s="987">
        <f>GLOBAL_DER_FEV_2023!F233</f>
        <v>1</v>
      </c>
      <c r="G233" s="949">
        <f>GLOBAL_DER_FEV_2023!G233</f>
        <v>79.25</v>
      </c>
      <c r="H233" s="988">
        <f>GLOBAL_DER_FEV_2023!H233</f>
        <v>4730.97</v>
      </c>
      <c r="I233" s="988">
        <f>GLOBAL_DER_FEV_2023!I233</f>
        <v>4621.4855426001504</v>
      </c>
      <c r="J233" s="989">
        <f>GLOBAL_DER_FEV_2023!J233</f>
        <v>5549.02</v>
      </c>
      <c r="K233" s="990" t="s">
        <v>14</v>
      </c>
      <c r="L233" s="1154">
        <f>ROUND(L232*$F232,2)</f>
        <v>0</v>
      </c>
      <c r="M233" s="1155">
        <f t="shared" si="21"/>
        <v>0</v>
      </c>
      <c r="N233" s="993">
        <f t="shared" si="20"/>
        <v>0</v>
      </c>
      <c r="O233" s="905"/>
      <c r="Q233" s="317" t="str">
        <f t="shared" si="16"/>
        <v/>
      </c>
      <c r="R233" s="317" t="str">
        <f t="shared" si="18"/>
        <v/>
      </c>
      <c r="S233" s="317" t="str">
        <f t="shared" si="19"/>
        <v/>
      </c>
      <c r="T233" s="317" t="str">
        <f>GLOBAL_DER_FEV_2023!S233</f>
        <v/>
      </c>
      <c r="W233" s="582">
        <v>0</v>
      </c>
      <c r="X233" s="580"/>
      <c r="Y233" s="583">
        <f>IF(GLOBAL_DER_FEV_2023!W233=0,0,IF(GLOBAL_DER_FEV_2023!W233&gt;0,"c","b"))</f>
        <v>0</v>
      </c>
    </row>
    <row r="234" spans="1:25" ht="13.5" hidden="1" thickBot="1" x14ac:dyDescent="0.25">
      <c r="A234" s="317">
        <v>560400</v>
      </c>
      <c r="B234" s="971" t="s">
        <v>702</v>
      </c>
      <c r="C234" s="972" t="s">
        <v>184</v>
      </c>
      <c r="D234" s="973" t="s">
        <v>541</v>
      </c>
      <c r="E234" s="974" t="str">
        <f>GLOBAL_DER_FEV_2023!E234</f>
        <v>taxa RR-1C</v>
      </c>
      <c r="F234" s="975">
        <f>GLOBAL_DER_FEV_2023!F234</f>
        <v>1.1999999999999999E-3</v>
      </c>
      <c r="G234" s="976">
        <f>GLOBAL_DER_FEV_2023!G234</f>
        <v>0</v>
      </c>
      <c r="H234" s="977">
        <f>GLOBAL_DER_FEV_2023!H234</f>
        <v>0.49</v>
      </c>
      <c r="I234" s="977">
        <f>GLOBAL_DER_FEV_2023!I234</f>
        <v>0.49</v>
      </c>
      <c r="J234" s="978">
        <f>GLOBAL_DER_FEV_2023!J234</f>
        <v>0.59</v>
      </c>
      <c r="K234" s="979" t="s">
        <v>12</v>
      </c>
      <c r="L234" s="1152"/>
      <c r="M234" s="1153">
        <f t="shared" si="21"/>
        <v>0</v>
      </c>
      <c r="N234" s="982">
        <f t="shared" si="20"/>
        <v>0</v>
      </c>
      <c r="O234" s="905"/>
      <c r="Q234" s="317" t="str">
        <f t="shared" si="16"/>
        <v/>
      </c>
      <c r="R234" s="317" t="str">
        <f t="shared" si="18"/>
        <v/>
      </c>
      <c r="S234" s="317" t="str">
        <f t="shared" si="19"/>
        <v/>
      </c>
      <c r="T234" s="317" t="str">
        <f>GLOBAL_DER_FEV_2023!S234</f>
        <v/>
      </c>
      <c r="W234" s="582">
        <v>0</v>
      </c>
      <c r="X234" s="580"/>
      <c r="Y234" s="583">
        <f>IF(GLOBAL_DER_FEV_2023!W234=0,0,IF(GLOBAL_DER_FEV_2023!W234&gt;0,"c","b"))</f>
        <v>0</v>
      </c>
    </row>
    <row r="235" spans="1:25" ht="13.5" hidden="1" thickBot="1" x14ac:dyDescent="0.25">
      <c r="A235" s="317">
        <v>589100</v>
      </c>
      <c r="B235" s="983" t="s">
        <v>724</v>
      </c>
      <c r="C235" s="984" t="s">
        <v>213</v>
      </c>
      <c r="D235" s="985" t="s">
        <v>555</v>
      </c>
      <c r="E235" s="986">
        <f>GLOBAL_DER_FEV_2023!E235</f>
        <v>45</v>
      </c>
      <c r="F235" s="987">
        <f>GLOBAL_DER_FEV_2023!F235</f>
        <v>1</v>
      </c>
      <c r="G235" s="949">
        <f>GLOBAL_DER_FEV_2023!G235</f>
        <v>79.25</v>
      </c>
      <c r="H235" s="988">
        <f>GLOBAL_DER_FEV_2023!H235</f>
        <v>5937.37</v>
      </c>
      <c r="I235" s="988">
        <f>GLOBAL_DER_FEV_2023!I235</f>
        <v>5779.7581502456906</v>
      </c>
      <c r="J235" s="989">
        <f>GLOBAL_DER_FEV_2023!J235</f>
        <v>6939.76</v>
      </c>
      <c r="K235" s="990" t="s">
        <v>14</v>
      </c>
      <c r="L235" s="1154">
        <f>ROUND(L234*$F234,2)</f>
        <v>0</v>
      </c>
      <c r="M235" s="1155">
        <f t="shared" si="21"/>
        <v>0</v>
      </c>
      <c r="N235" s="993">
        <f t="shared" si="20"/>
        <v>0</v>
      </c>
      <c r="O235" s="905"/>
      <c r="Q235" s="317" t="str">
        <f t="shared" si="16"/>
        <v/>
      </c>
      <c r="R235" s="317" t="str">
        <f t="shared" si="18"/>
        <v/>
      </c>
      <c r="S235" s="317" t="str">
        <f t="shared" si="19"/>
        <v/>
      </c>
      <c r="T235" s="317" t="str">
        <f>GLOBAL_DER_FEV_2023!S235</f>
        <v/>
      </c>
      <c r="W235" s="582">
        <v>0</v>
      </c>
      <c r="X235" s="580"/>
      <c r="Y235" s="583">
        <f>IF(GLOBAL_DER_FEV_2023!W235=0,0,IF(GLOBAL_DER_FEV_2023!W235&gt;0,"c","b"))</f>
        <v>0</v>
      </c>
    </row>
    <row r="236" spans="1:25" x14ac:dyDescent="0.2">
      <c r="A236" s="317">
        <v>561100</v>
      </c>
      <c r="B236" s="971" t="s">
        <v>703</v>
      </c>
      <c r="C236" s="972" t="s">
        <v>184</v>
      </c>
      <c r="D236" s="973" t="s">
        <v>542</v>
      </c>
      <c r="E236" s="974" t="str">
        <f>GLOBAL_DER_FEV_2023!E236</f>
        <v>taxa RR-1C</v>
      </c>
      <c r="F236" s="975">
        <f>GLOBAL_DER_FEV_2023!F236</f>
        <v>5.0000000000000001E-4</v>
      </c>
      <c r="G236" s="976">
        <f>GLOBAL_DER_FEV_2023!G236</f>
        <v>0</v>
      </c>
      <c r="H236" s="977">
        <f>GLOBAL_DER_FEV_2023!H236</f>
        <v>0.34</v>
      </c>
      <c r="I236" s="977">
        <f>GLOBAL_DER_FEV_2023!I236</f>
        <v>0.34</v>
      </c>
      <c r="J236" s="978">
        <f>GLOBAL_DER_FEV_2023!J236</f>
        <v>0.41</v>
      </c>
      <c r="K236" s="979" t="s">
        <v>12</v>
      </c>
      <c r="L236" s="1152">
        <v>13776.1</v>
      </c>
      <c r="M236" s="1153">
        <f t="shared" si="21"/>
        <v>0.41</v>
      </c>
      <c r="N236" s="982">
        <f t="shared" si="20"/>
        <v>5648.2</v>
      </c>
      <c r="O236" s="905"/>
      <c r="Q236" s="317" t="str">
        <f t="shared" si="16"/>
        <v>x</v>
      </c>
      <c r="R236" s="317" t="str">
        <f t="shared" si="18"/>
        <v>x</v>
      </c>
      <c r="S236" s="317" t="str">
        <f t="shared" si="19"/>
        <v>x</v>
      </c>
      <c r="T236" s="317" t="str">
        <f>GLOBAL_DER_FEV_2023!S236</f>
        <v>x</v>
      </c>
      <c r="W236" s="582">
        <v>0</v>
      </c>
      <c r="X236" s="580"/>
      <c r="Y236" s="583">
        <f>IF(GLOBAL_DER_FEV_2023!W236=0,0,IF(GLOBAL_DER_FEV_2023!W236&gt;0,"c","b"))</f>
        <v>0</v>
      </c>
    </row>
    <row r="237" spans="1:25" ht="13.5" thickBot="1" x14ac:dyDescent="0.25">
      <c r="A237" s="317">
        <v>589420</v>
      </c>
      <c r="B237" s="983" t="s">
        <v>706</v>
      </c>
      <c r="C237" s="984" t="s">
        <v>213</v>
      </c>
      <c r="D237" s="985" t="s">
        <v>556</v>
      </c>
      <c r="E237" s="986">
        <f>GLOBAL_DER_FEV_2023!E237</f>
        <v>353</v>
      </c>
      <c r="F237" s="994">
        <f>GLOBAL_DER_FEV_2023!F237</f>
        <v>1</v>
      </c>
      <c r="G237" s="949">
        <f>GLOBAL_DER_FEV_2023!G237</f>
        <v>337.96999999999997</v>
      </c>
      <c r="H237" s="988">
        <f>GLOBAL_DER_FEV_2023!H237</f>
        <v>3861.37</v>
      </c>
      <c r="I237" s="988">
        <f>GLOBAL_DER_FEV_2023!I237</f>
        <v>4045.2968393437163</v>
      </c>
      <c r="J237" s="989">
        <f>GLOBAL_DER_FEV_2023!J237</f>
        <v>4857.1899999999996</v>
      </c>
      <c r="K237" s="990" t="s">
        <v>14</v>
      </c>
      <c r="L237" s="1154">
        <f>ROUND(L236*$F236,2)</f>
        <v>6.89</v>
      </c>
      <c r="M237" s="1155">
        <f t="shared" si="21"/>
        <v>4857.1899999999996</v>
      </c>
      <c r="N237" s="993">
        <f t="shared" si="20"/>
        <v>33466.04</v>
      </c>
      <c r="O237" s="905"/>
      <c r="Q237" s="317" t="str">
        <f t="shared" si="16"/>
        <v>x</v>
      </c>
      <c r="R237" s="317" t="str">
        <f t="shared" si="18"/>
        <v>x</v>
      </c>
      <c r="S237" s="317" t="str">
        <f t="shared" si="19"/>
        <v>x</v>
      </c>
      <c r="T237" s="317" t="str">
        <f>GLOBAL_DER_FEV_2023!S237</f>
        <v>x</v>
      </c>
      <c r="W237" s="582">
        <v>0</v>
      </c>
      <c r="X237" s="580"/>
      <c r="Y237" s="583">
        <f>IF(GLOBAL_DER_FEV_2023!W237=0,0,IF(GLOBAL_DER_FEV_2023!W237&gt;0,"c","b"))</f>
        <v>0</v>
      </c>
    </row>
    <row r="238" spans="1:25" ht="13.5" hidden="1" thickBot="1" x14ac:dyDescent="0.25">
      <c r="A238" s="317">
        <v>521450</v>
      </c>
      <c r="B238" s="955" t="s">
        <v>1610</v>
      </c>
      <c r="C238" s="956" t="s">
        <v>184</v>
      </c>
      <c r="D238" s="906" t="s">
        <v>219</v>
      </c>
      <c r="E238" s="907">
        <f>GLOBAL_DER_FEV_2023!E238</f>
        <v>0</v>
      </c>
      <c r="F238" s="887">
        <f>GLOBAL_DER_FEV_2023!F238</f>
        <v>0.3</v>
      </c>
      <c r="G238" s="976">
        <f>GLOBAL_DER_FEV_2023!G238</f>
        <v>0.80400000000000005</v>
      </c>
      <c r="H238" s="901">
        <f>GLOBAL_DER_FEV_2023!H238</f>
        <v>25.31</v>
      </c>
      <c r="I238" s="901">
        <f>GLOBAL_DER_FEV_2023!I238</f>
        <v>26.113999999999997</v>
      </c>
      <c r="J238" s="902">
        <f>GLOBAL_DER_FEV_2023!J238</f>
        <v>31.36</v>
      </c>
      <c r="K238" s="903" t="s">
        <v>12</v>
      </c>
      <c r="L238" s="1137"/>
      <c r="M238" s="1138">
        <f t="shared" si="21"/>
        <v>0</v>
      </c>
      <c r="N238" s="893">
        <f t="shared" si="20"/>
        <v>0</v>
      </c>
      <c r="O238" s="905"/>
      <c r="Q238" s="317" t="str">
        <f t="shared" si="16"/>
        <v/>
      </c>
      <c r="R238" s="317" t="str">
        <f t="shared" si="18"/>
        <v/>
      </c>
      <c r="S238" s="317" t="str">
        <f t="shared" si="19"/>
        <v/>
      </c>
      <c r="T238" s="317" t="str">
        <f>GLOBAL_DER_FEV_2023!S238</f>
        <v/>
      </c>
      <c r="W238" s="582">
        <v>0</v>
      </c>
      <c r="X238" s="580"/>
      <c r="Y238" s="583">
        <f>IF(GLOBAL_DER_FEV_2023!W238=0,0,IF(GLOBAL_DER_FEV_2023!W238&gt;0,"c","b"))</f>
        <v>0</v>
      </c>
    </row>
    <row r="239" spans="1:25" ht="13.5" hidden="1" thickBot="1" x14ac:dyDescent="0.25">
      <c r="A239" s="317">
        <v>535200</v>
      </c>
      <c r="B239" s="895" t="s">
        <v>1607</v>
      </c>
      <c r="C239" s="896" t="s">
        <v>184</v>
      </c>
      <c r="D239" s="906" t="s">
        <v>220</v>
      </c>
      <c r="E239" s="907">
        <f>GLOBAL_DER_FEV_2023!E239</f>
        <v>0</v>
      </c>
      <c r="F239" s="899">
        <f>GLOBAL_DER_FEV_2023!F239</f>
        <v>7.6999999999999999E-2</v>
      </c>
      <c r="G239" s="949">
        <f>GLOBAL_DER_FEV_2023!G239</f>
        <v>0.20636000000000002</v>
      </c>
      <c r="H239" s="901">
        <f>GLOBAL_DER_FEV_2023!H239</f>
        <v>11.65</v>
      </c>
      <c r="I239" s="901">
        <f>GLOBAL_DER_FEV_2023!I239</f>
        <v>11.85636</v>
      </c>
      <c r="J239" s="902">
        <f>GLOBAL_DER_FEV_2023!J239</f>
        <v>14.24</v>
      </c>
      <c r="K239" s="903" t="s">
        <v>13</v>
      </c>
      <c r="L239" s="1137"/>
      <c r="M239" s="1138">
        <f t="shared" si="21"/>
        <v>0</v>
      </c>
      <c r="N239" s="893">
        <f t="shared" si="20"/>
        <v>0</v>
      </c>
      <c r="O239" s="905"/>
      <c r="Q239" s="317" t="str">
        <f t="shared" si="16"/>
        <v/>
      </c>
      <c r="R239" s="317" t="str">
        <f t="shared" si="18"/>
        <v/>
      </c>
      <c r="S239" s="317" t="str">
        <f t="shared" si="19"/>
        <v/>
      </c>
      <c r="T239" s="317" t="str">
        <f>GLOBAL_DER_FEV_2023!S239</f>
        <v/>
      </c>
      <c r="W239" s="582">
        <v>0</v>
      </c>
      <c r="X239" s="580"/>
      <c r="Y239" s="583">
        <f>IF(GLOBAL_DER_FEV_2023!W239=0,0,IF(GLOBAL_DER_FEV_2023!W239&gt;0,"c","b"))</f>
        <v>0</v>
      </c>
    </row>
    <row r="240" spans="1:25" ht="13.5" hidden="1" thickBot="1" x14ac:dyDescent="0.25">
      <c r="A240" s="317">
        <v>521450</v>
      </c>
      <c r="B240" s="895" t="s">
        <v>1611</v>
      </c>
      <c r="C240" s="896" t="s">
        <v>184</v>
      </c>
      <c r="D240" s="906" t="s">
        <v>454</v>
      </c>
      <c r="E240" s="907">
        <f>GLOBAL_DER_FEV_2023!E240</f>
        <v>0</v>
      </c>
      <c r="F240" s="899">
        <f>GLOBAL_DER_FEV_2023!F240</f>
        <v>0</v>
      </c>
      <c r="G240" s="912">
        <f>GLOBAL_DER_FEV_2023!G240</f>
        <v>0</v>
      </c>
      <c r="H240" s="901">
        <f>GLOBAL_DER_FEV_2023!H240</f>
        <v>25.31</v>
      </c>
      <c r="I240" s="901">
        <f>GLOBAL_DER_FEV_2023!I240</f>
        <v>25.31</v>
      </c>
      <c r="J240" s="902">
        <f>GLOBAL_DER_FEV_2023!J240</f>
        <v>30.39</v>
      </c>
      <c r="K240" s="903" t="s">
        <v>12</v>
      </c>
      <c r="L240" s="1137"/>
      <c r="M240" s="1138">
        <f t="shared" si="21"/>
        <v>0</v>
      </c>
      <c r="N240" s="893">
        <f t="shared" si="20"/>
        <v>0</v>
      </c>
      <c r="O240" s="905"/>
      <c r="Q240" s="317" t="str">
        <f t="shared" si="16"/>
        <v/>
      </c>
      <c r="R240" s="317" t="str">
        <f t="shared" si="18"/>
        <v/>
      </c>
      <c r="S240" s="317" t="str">
        <f t="shared" si="19"/>
        <v/>
      </c>
      <c r="T240" s="317" t="str">
        <f>GLOBAL_DER_FEV_2023!S240</f>
        <v/>
      </c>
      <c r="W240" s="582">
        <v>0</v>
      </c>
      <c r="X240" s="580"/>
      <c r="Y240" s="583">
        <f>IF(GLOBAL_DER_FEV_2023!W240=0,0,IF(GLOBAL_DER_FEV_2023!W240&gt;0,"c","b"))</f>
        <v>0</v>
      </c>
    </row>
    <row r="241" spans="1:25" ht="13.5" hidden="1" thickBot="1" x14ac:dyDescent="0.25">
      <c r="A241" s="317">
        <v>521450</v>
      </c>
      <c r="B241" s="895" t="s">
        <v>1612</v>
      </c>
      <c r="C241" s="896" t="s">
        <v>184</v>
      </c>
      <c r="D241" s="906" t="s">
        <v>221</v>
      </c>
      <c r="E241" s="907">
        <f>GLOBAL_DER_FEV_2023!E241</f>
        <v>0</v>
      </c>
      <c r="F241" s="899">
        <f>GLOBAL_DER_FEV_2023!F241</f>
        <v>0</v>
      </c>
      <c r="G241" s="912">
        <f>GLOBAL_DER_FEV_2023!G241</f>
        <v>0</v>
      </c>
      <c r="H241" s="901">
        <f>GLOBAL_DER_FEV_2023!H241</f>
        <v>25.31</v>
      </c>
      <c r="I241" s="901">
        <f>GLOBAL_DER_FEV_2023!I241</f>
        <v>25.31</v>
      </c>
      <c r="J241" s="902">
        <f>GLOBAL_DER_FEV_2023!J241</f>
        <v>30.39</v>
      </c>
      <c r="K241" s="903" t="s">
        <v>12</v>
      </c>
      <c r="L241" s="1137"/>
      <c r="M241" s="1138">
        <f t="shared" si="21"/>
        <v>0</v>
      </c>
      <c r="N241" s="893">
        <f t="shared" si="20"/>
        <v>0</v>
      </c>
      <c r="O241" s="905"/>
      <c r="Q241" s="317" t="str">
        <f t="shared" si="16"/>
        <v/>
      </c>
      <c r="R241" s="317" t="str">
        <f t="shared" si="18"/>
        <v/>
      </c>
      <c r="S241" s="317" t="str">
        <f t="shared" si="19"/>
        <v/>
      </c>
      <c r="T241" s="317" t="str">
        <f>GLOBAL_DER_FEV_2023!S241</f>
        <v/>
      </c>
      <c r="W241" s="582">
        <v>0</v>
      </c>
      <c r="X241" s="580"/>
      <c r="Y241" s="583">
        <f>IF(GLOBAL_DER_FEV_2023!W241=0,0,IF(GLOBAL_DER_FEV_2023!W241&gt;0,"c","b"))</f>
        <v>0</v>
      </c>
    </row>
    <row r="242" spans="1:25" ht="13.5" hidden="1" thickBot="1" x14ac:dyDescent="0.25">
      <c r="A242" s="317">
        <v>535000</v>
      </c>
      <c r="B242" s="895" t="s">
        <v>1618</v>
      </c>
      <c r="C242" s="896" t="s">
        <v>184</v>
      </c>
      <c r="D242" s="906" t="s">
        <v>222</v>
      </c>
      <c r="E242" s="907">
        <f>GLOBAL_DER_FEV_2023!E242</f>
        <v>0</v>
      </c>
      <c r="F242" s="908">
        <f>GLOBAL_DER_FEV_2023!F242</f>
        <v>0.27200000000000002</v>
      </c>
      <c r="G242" s="949">
        <f>GLOBAL_DER_FEV_2023!G242</f>
        <v>0.72896000000000005</v>
      </c>
      <c r="H242" s="901">
        <f>GLOBAL_DER_FEV_2023!H242</f>
        <v>109.55</v>
      </c>
      <c r="I242" s="901">
        <f>GLOBAL_DER_FEV_2023!I242</f>
        <v>110.27896</v>
      </c>
      <c r="J242" s="902">
        <f>GLOBAL_DER_FEV_2023!J242</f>
        <v>132.41</v>
      </c>
      <c r="K242" s="903" t="s">
        <v>12</v>
      </c>
      <c r="L242" s="1137"/>
      <c r="M242" s="1138">
        <f t="shared" si="21"/>
        <v>0</v>
      </c>
      <c r="N242" s="893">
        <f t="shared" si="20"/>
        <v>0</v>
      </c>
      <c r="O242" s="905"/>
      <c r="Q242" s="317" t="str">
        <f t="shared" si="16"/>
        <v/>
      </c>
      <c r="R242" s="317" t="str">
        <f t="shared" si="18"/>
        <v/>
      </c>
      <c r="S242" s="317" t="str">
        <f t="shared" si="19"/>
        <v/>
      </c>
      <c r="T242" s="317" t="str">
        <f>GLOBAL_DER_FEV_2023!S242</f>
        <v/>
      </c>
      <c r="W242" s="582">
        <v>0</v>
      </c>
      <c r="X242" s="580"/>
      <c r="Y242" s="583">
        <f>IF(GLOBAL_DER_FEV_2023!W242=0,0,IF(GLOBAL_DER_FEV_2023!W242&gt;0,"c","b"))</f>
        <v>0</v>
      </c>
    </row>
    <row r="243" spans="1:25" ht="13.5" hidden="1" thickBot="1" x14ac:dyDescent="0.25">
      <c r="A243" s="317">
        <v>863000</v>
      </c>
      <c r="B243" s="895" t="s">
        <v>1620</v>
      </c>
      <c r="C243" s="896" t="s">
        <v>184</v>
      </c>
      <c r="D243" s="906" t="s">
        <v>223</v>
      </c>
      <c r="E243" s="907">
        <f>GLOBAL_DER_FEV_2023!E243</f>
        <v>0.1</v>
      </c>
      <c r="F243" s="908">
        <f>GLOBAL_DER_FEV_2023!F243</f>
        <v>0.08</v>
      </c>
      <c r="G243" s="949">
        <f>GLOBAL_DER_FEV_2023!G243</f>
        <v>0.22296000000000005</v>
      </c>
      <c r="H243" s="901">
        <f>GLOBAL_DER_FEV_2023!H243</f>
        <v>105.61</v>
      </c>
      <c r="I243" s="901">
        <f>GLOBAL_DER_FEV_2023!I243</f>
        <v>105.83296</v>
      </c>
      <c r="J243" s="902">
        <f>GLOBAL_DER_FEV_2023!J243</f>
        <v>127.07</v>
      </c>
      <c r="K243" s="903" t="s">
        <v>12</v>
      </c>
      <c r="L243" s="1137"/>
      <c r="M243" s="1138">
        <f t="shared" si="21"/>
        <v>0</v>
      </c>
      <c r="N243" s="893">
        <f t="shared" si="20"/>
        <v>0</v>
      </c>
      <c r="O243" s="905"/>
      <c r="Q243" s="317" t="str">
        <f t="shared" si="16"/>
        <v/>
      </c>
      <c r="R243" s="317" t="str">
        <f t="shared" si="18"/>
        <v/>
      </c>
      <c r="S243" s="317" t="str">
        <f t="shared" si="19"/>
        <v/>
      </c>
      <c r="T243" s="317" t="str">
        <f>GLOBAL_DER_FEV_2023!S243</f>
        <v/>
      </c>
      <c r="W243" s="582">
        <v>0</v>
      </c>
      <c r="X243" s="580"/>
      <c r="Y243" s="583">
        <f>IF(GLOBAL_DER_FEV_2023!W243=0,0,IF(GLOBAL_DER_FEV_2023!W243&gt;0,"c","b"))</f>
        <v>0</v>
      </c>
    </row>
    <row r="244" spans="1:25" ht="13.5" hidden="1" thickBot="1" x14ac:dyDescent="0.25">
      <c r="A244" s="317">
        <v>863000</v>
      </c>
      <c r="B244" s="895" t="s">
        <v>1621</v>
      </c>
      <c r="C244" s="896" t="s">
        <v>184</v>
      </c>
      <c r="D244" s="906" t="s">
        <v>224</v>
      </c>
      <c r="E244" s="907">
        <f>GLOBAL_DER_FEV_2023!E244</f>
        <v>0.1</v>
      </c>
      <c r="F244" s="908">
        <f>GLOBAL_DER_FEV_2023!F244</f>
        <v>0.1</v>
      </c>
      <c r="G244" s="949">
        <f>GLOBAL_DER_FEV_2023!G244</f>
        <v>0.27870000000000006</v>
      </c>
      <c r="H244" s="901">
        <f>GLOBAL_DER_FEV_2023!H244</f>
        <v>105.61</v>
      </c>
      <c r="I244" s="901">
        <f>GLOBAL_DER_FEV_2023!I244</f>
        <v>105.8887</v>
      </c>
      <c r="J244" s="902">
        <f>GLOBAL_DER_FEV_2023!J244</f>
        <v>127.14</v>
      </c>
      <c r="K244" s="903" t="s">
        <v>12</v>
      </c>
      <c r="L244" s="1137"/>
      <c r="M244" s="1138">
        <f t="shared" si="21"/>
        <v>0</v>
      </c>
      <c r="N244" s="893">
        <f t="shared" si="20"/>
        <v>0</v>
      </c>
      <c r="O244" s="905"/>
      <c r="Q244" s="317" t="str">
        <f t="shared" si="16"/>
        <v/>
      </c>
      <c r="R244" s="317" t="str">
        <f t="shared" si="18"/>
        <v/>
      </c>
      <c r="S244" s="317" t="str">
        <f t="shared" si="19"/>
        <v/>
      </c>
      <c r="T244" s="317" t="str">
        <f>GLOBAL_DER_FEV_2023!S244</f>
        <v/>
      </c>
      <c r="W244" s="582">
        <v>0</v>
      </c>
      <c r="X244" s="580"/>
      <c r="Y244" s="583">
        <f>IF(GLOBAL_DER_FEV_2023!W244=0,0,IF(GLOBAL_DER_FEV_2023!W244&gt;0,"c","b"))</f>
        <v>0</v>
      </c>
    </row>
    <row r="245" spans="1:25" ht="13.5" hidden="1" thickBot="1" x14ac:dyDescent="0.25">
      <c r="A245" s="317">
        <v>534906</v>
      </c>
      <c r="B245" s="895" t="s">
        <v>1624</v>
      </c>
      <c r="C245" s="896" t="s">
        <v>184</v>
      </c>
      <c r="D245" s="906" t="s">
        <v>225</v>
      </c>
      <c r="E245" s="907">
        <f>GLOBAL_DER_FEV_2023!E245</f>
        <v>0.1</v>
      </c>
      <c r="F245" s="908">
        <f>GLOBAL_DER_FEV_2023!F245</f>
        <v>0.12</v>
      </c>
      <c r="G245" s="949">
        <f>GLOBAL_DER_FEV_2023!G245</f>
        <v>0.33444000000000002</v>
      </c>
      <c r="H245" s="901">
        <f>GLOBAL_DER_FEV_2023!H245</f>
        <v>76.400000000000006</v>
      </c>
      <c r="I245" s="901">
        <f>GLOBAL_DER_FEV_2023!I245</f>
        <v>76.734440000000006</v>
      </c>
      <c r="J245" s="902">
        <f>GLOBAL_DER_FEV_2023!J245</f>
        <v>92.14</v>
      </c>
      <c r="K245" s="903" t="s">
        <v>12</v>
      </c>
      <c r="L245" s="1137"/>
      <c r="M245" s="1138">
        <f t="shared" si="21"/>
        <v>0</v>
      </c>
      <c r="N245" s="893">
        <f t="shared" si="20"/>
        <v>0</v>
      </c>
      <c r="O245" s="905"/>
      <c r="Q245" s="317" t="str">
        <f t="shared" si="16"/>
        <v/>
      </c>
      <c r="R245" s="317" t="str">
        <f t="shared" si="18"/>
        <v/>
      </c>
      <c r="S245" s="317" t="str">
        <f t="shared" si="19"/>
        <v/>
      </c>
      <c r="T245" s="317" t="str">
        <f>GLOBAL_DER_FEV_2023!S245</f>
        <v/>
      </c>
      <c r="W245" s="582">
        <v>0</v>
      </c>
      <c r="X245" s="580"/>
      <c r="Y245" s="583">
        <f>IF(GLOBAL_DER_FEV_2023!W245=0,0,IF(GLOBAL_DER_FEV_2023!W245&gt;0,"c","b"))</f>
        <v>0</v>
      </c>
    </row>
    <row r="246" spans="1:25" ht="13.5" hidden="1" thickBot="1" x14ac:dyDescent="0.25">
      <c r="A246" s="317">
        <v>534906</v>
      </c>
      <c r="B246" s="895" t="s">
        <v>1625</v>
      </c>
      <c r="C246" s="896" t="s">
        <v>184</v>
      </c>
      <c r="D246" s="906" t="s">
        <v>226</v>
      </c>
      <c r="E246" s="907">
        <f>GLOBAL_DER_FEV_2023!E246</f>
        <v>0.1</v>
      </c>
      <c r="F246" s="908">
        <f>GLOBAL_DER_FEV_2023!F246</f>
        <v>0.14000000000000001</v>
      </c>
      <c r="G246" s="949">
        <f>GLOBAL_DER_FEV_2023!G246</f>
        <v>0.39018000000000008</v>
      </c>
      <c r="H246" s="901">
        <f>GLOBAL_DER_FEV_2023!H246</f>
        <v>76.400000000000006</v>
      </c>
      <c r="I246" s="901">
        <f>GLOBAL_DER_FEV_2023!I246</f>
        <v>76.790180000000007</v>
      </c>
      <c r="J246" s="902">
        <f>GLOBAL_DER_FEV_2023!J246</f>
        <v>92.2</v>
      </c>
      <c r="K246" s="903" t="s">
        <v>12</v>
      </c>
      <c r="L246" s="1137"/>
      <c r="M246" s="1138">
        <f t="shared" si="21"/>
        <v>0</v>
      </c>
      <c r="N246" s="893">
        <f t="shared" si="20"/>
        <v>0</v>
      </c>
      <c r="O246" s="905"/>
      <c r="Q246" s="317" t="str">
        <f t="shared" si="16"/>
        <v/>
      </c>
      <c r="R246" s="317" t="str">
        <f t="shared" si="18"/>
        <v/>
      </c>
      <c r="S246" s="317" t="str">
        <f t="shared" si="19"/>
        <v/>
      </c>
      <c r="T246" s="317" t="str">
        <f>GLOBAL_DER_FEV_2023!S246</f>
        <v/>
      </c>
      <c r="W246" s="582">
        <v>0</v>
      </c>
      <c r="X246" s="580"/>
      <c r="Y246" s="583">
        <f>IF(GLOBAL_DER_FEV_2023!W246=0,0,IF(GLOBAL_DER_FEV_2023!W246&gt;0,"c","b"))</f>
        <v>0</v>
      </c>
    </row>
    <row r="247" spans="1:25" ht="13.5" hidden="1" thickBot="1" x14ac:dyDescent="0.25">
      <c r="A247" s="317">
        <v>534906</v>
      </c>
      <c r="B247" s="895" t="s">
        <v>151</v>
      </c>
      <c r="C247" s="896" t="s">
        <v>184</v>
      </c>
      <c r="D247" s="906" t="s">
        <v>227</v>
      </c>
      <c r="E247" s="907">
        <f>GLOBAL_DER_FEV_2023!E247</f>
        <v>0.1</v>
      </c>
      <c r="F247" s="908">
        <f>GLOBAL_DER_FEV_2023!F247</f>
        <v>0.16</v>
      </c>
      <c r="G247" s="949">
        <f>GLOBAL_DER_FEV_2023!G247</f>
        <v>0.44592000000000009</v>
      </c>
      <c r="H247" s="901">
        <f>GLOBAL_DER_FEV_2023!H247</f>
        <v>76.400000000000006</v>
      </c>
      <c r="I247" s="901">
        <f>GLOBAL_DER_FEV_2023!I247</f>
        <v>76.845920000000007</v>
      </c>
      <c r="J247" s="902">
        <f>GLOBAL_DER_FEV_2023!J247</f>
        <v>92.27</v>
      </c>
      <c r="K247" s="903" t="s">
        <v>12</v>
      </c>
      <c r="L247" s="1137"/>
      <c r="M247" s="1138">
        <f t="shared" si="21"/>
        <v>0</v>
      </c>
      <c r="N247" s="893">
        <f t="shared" si="20"/>
        <v>0</v>
      </c>
      <c r="O247" s="905"/>
      <c r="Q247" s="317" t="str">
        <f t="shared" si="16"/>
        <v/>
      </c>
      <c r="R247" s="317" t="str">
        <f t="shared" si="18"/>
        <v/>
      </c>
      <c r="S247" s="317" t="str">
        <f t="shared" si="19"/>
        <v/>
      </c>
      <c r="T247" s="317" t="str">
        <f>GLOBAL_DER_FEV_2023!S247</f>
        <v/>
      </c>
      <c r="W247" s="582">
        <v>0</v>
      </c>
      <c r="X247" s="580"/>
      <c r="Y247" s="583">
        <f>IF(GLOBAL_DER_FEV_2023!W247=0,0,IF(GLOBAL_DER_FEV_2023!W247&gt;0,"c","b"))</f>
        <v>0</v>
      </c>
    </row>
    <row r="248" spans="1:25" ht="13.5" hidden="1" thickBot="1" x14ac:dyDescent="0.25">
      <c r="A248" s="317">
        <v>534906</v>
      </c>
      <c r="B248" s="895" t="s">
        <v>207</v>
      </c>
      <c r="C248" s="896" t="s">
        <v>184</v>
      </c>
      <c r="D248" s="906" t="s">
        <v>228</v>
      </c>
      <c r="E248" s="907">
        <f>GLOBAL_DER_FEV_2023!E248</f>
        <v>0.1</v>
      </c>
      <c r="F248" s="908">
        <f>GLOBAL_DER_FEV_2023!F248</f>
        <v>0.2</v>
      </c>
      <c r="G248" s="949">
        <f>GLOBAL_DER_FEV_2023!G248</f>
        <v>0.55740000000000012</v>
      </c>
      <c r="H248" s="901">
        <f>GLOBAL_DER_FEV_2023!H248</f>
        <v>76.400000000000006</v>
      </c>
      <c r="I248" s="901">
        <f>GLOBAL_DER_FEV_2023!I248</f>
        <v>76.957400000000007</v>
      </c>
      <c r="J248" s="902">
        <f>GLOBAL_DER_FEV_2023!J248</f>
        <v>92.4</v>
      </c>
      <c r="K248" s="903" t="s">
        <v>12</v>
      </c>
      <c r="L248" s="1137"/>
      <c r="M248" s="1138">
        <f t="shared" si="21"/>
        <v>0</v>
      </c>
      <c r="N248" s="893">
        <f t="shared" si="20"/>
        <v>0</v>
      </c>
      <c r="O248" s="905"/>
      <c r="Q248" s="317" t="str">
        <f t="shared" si="16"/>
        <v/>
      </c>
      <c r="R248" s="317" t="str">
        <f t="shared" si="18"/>
        <v/>
      </c>
      <c r="S248" s="317" t="str">
        <f t="shared" si="19"/>
        <v/>
      </c>
      <c r="T248" s="317" t="str">
        <f>GLOBAL_DER_FEV_2023!S248</f>
        <v/>
      </c>
      <c r="W248" s="582">
        <v>0</v>
      </c>
      <c r="X248" s="580"/>
      <c r="Y248" s="583">
        <f>IF(GLOBAL_DER_FEV_2023!W248=0,0,IF(GLOBAL_DER_FEV_2023!W248&gt;0,"c","b"))</f>
        <v>0</v>
      </c>
    </row>
    <row r="249" spans="1:25" ht="13.5" hidden="1" thickBot="1" x14ac:dyDescent="0.25">
      <c r="A249" s="317">
        <v>534906</v>
      </c>
      <c r="B249" s="895" t="s">
        <v>208</v>
      </c>
      <c r="C249" s="896" t="s">
        <v>184</v>
      </c>
      <c r="D249" s="906" t="s">
        <v>803</v>
      </c>
      <c r="E249" s="907">
        <f>GLOBAL_DER_FEV_2023!E249</f>
        <v>0.1</v>
      </c>
      <c r="F249" s="908">
        <f>GLOBAL_DER_FEV_2023!F249</f>
        <v>0.14000000000000001</v>
      </c>
      <c r="G249" s="949">
        <f>GLOBAL_DER_FEV_2023!G249</f>
        <v>0.39018000000000008</v>
      </c>
      <c r="H249" s="901">
        <f>GLOBAL_DER_FEV_2023!H249</f>
        <v>76.400000000000006</v>
      </c>
      <c r="I249" s="901">
        <f>GLOBAL_DER_FEV_2023!I249</f>
        <v>76.790180000000007</v>
      </c>
      <c r="J249" s="902">
        <f>GLOBAL_DER_FEV_2023!J249</f>
        <v>92.2</v>
      </c>
      <c r="K249" s="903" t="s">
        <v>12</v>
      </c>
      <c r="L249" s="1137"/>
      <c r="M249" s="1138">
        <f t="shared" si="21"/>
        <v>0</v>
      </c>
      <c r="N249" s="893">
        <f t="shared" si="20"/>
        <v>0</v>
      </c>
      <c r="O249" s="905"/>
      <c r="Q249" s="317" t="str">
        <f t="shared" si="16"/>
        <v/>
      </c>
      <c r="R249" s="317" t="str">
        <f t="shared" si="18"/>
        <v/>
      </c>
      <c r="S249" s="317" t="str">
        <f t="shared" si="19"/>
        <v/>
      </c>
      <c r="T249" s="317" t="str">
        <f>GLOBAL_DER_FEV_2023!S249</f>
        <v/>
      </c>
      <c r="W249" s="582">
        <v>0</v>
      </c>
      <c r="X249" s="580"/>
      <c r="Y249" s="583">
        <f>IF(GLOBAL_DER_FEV_2023!W249=0,0,IF(GLOBAL_DER_FEV_2023!W249&gt;0,"c","b"))</f>
        <v>0</v>
      </c>
    </row>
    <row r="250" spans="1:25" ht="13.5" hidden="1" thickBot="1" x14ac:dyDescent="0.25">
      <c r="A250" s="317">
        <v>534906</v>
      </c>
      <c r="B250" s="895" t="s">
        <v>209</v>
      </c>
      <c r="C250" s="896" t="s">
        <v>184</v>
      </c>
      <c r="D250" s="906" t="s">
        <v>804</v>
      </c>
      <c r="E250" s="907">
        <f>GLOBAL_DER_FEV_2023!E250</f>
        <v>0.1</v>
      </c>
      <c r="F250" s="908">
        <f>GLOBAL_DER_FEV_2023!F250</f>
        <v>0.14000000000000001</v>
      </c>
      <c r="G250" s="949">
        <f>GLOBAL_DER_FEV_2023!G250</f>
        <v>0.39018000000000008</v>
      </c>
      <c r="H250" s="901">
        <f>GLOBAL_DER_FEV_2023!H250</f>
        <v>76.400000000000006</v>
      </c>
      <c r="I250" s="901">
        <f>GLOBAL_DER_FEV_2023!I250</f>
        <v>76.790180000000007</v>
      </c>
      <c r="J250" s="902">
        <f>GLOBAL_DER_FEV_2023!J250</f>
        <v>92.2</v>
      </c>
      <c r="K250" s="903" t="s">
        <v>12</v>
      </c>
      <c r="L250" s="1137"/>
      <c r="M250" s="1138">
        <f t="shared" si="21"/>
        <v>0</v>
      </c>
      <c r="N250" s="893">
        <f t="shared" si="20"/>
        <v>0</v>
      </c>
      <c r="O250" s="905"/>
      <c r="Q250" s="317" t="str">
        <f t="shared" si="16"/>
        <v/>
      </c>
      <c r="R250" s="317" t="str">
        <f t="shared" si="18"/>
        <v/>
      </c>
      <c r="S250" s="317" t="str">
        <f t="shared" si="19"/>
        <v/>
      </c>
      <c r="T250" s="317" t="str">
        <f>GLOBAL_DER_FEV_2023!S250</f>
        <v/>
      </c>
      <c r="W250" s="582">
        <v>0</v>
      </c>
      <c r="X250" s="580"/>
      <c r="Y250" s="583">
        <f>IF(GLOBAL_DER_FEV_2023!W250=0,0,IF(GLOBAL_DER_FEV_2023!W250&gt;0,"c","b"))</f>
        <v>0</v>
      </c>
    </row>
    <row r="251" spans="1:25" ht="13.5" hidden="1" thickBot="1" x14ac:dyDescent="0.25">
      <c r="A251" s="317">
        <v>534908</v>
      </c>
      <c r="B251" s="895" t="s">
        <v>148</v>
      </c>
      <c r="C251" s="896" t="s">
        <v>184</v>
      </c>
      <c r="D251" s="906" t="s">
        <v>805</v>
      </c>
      <c r="E251" s="907">
        <f>GLOBAL_DER_FEV_2023!E251</f>
        <v>0.1</v>
      </c>
      <c r="F251" s="908">
        <f>GLOBAL_DER_FEV_2023!F251</f>
        <v>0.18</v>
      </c>
      <c r="G251" s="949">
        <f>GLOBAL_DER_FEV_2023!G251</f>
        <v>0.50165999999999999</v>
      </c>
      <c r="H251" s="901">
        <f>GLOBAL_DER_FEV_2023!H251</f>
        <v>89.6</v>
      </c>
      <c r="I251" s="901">
        <f>GLOBAL_DER_FEV_2023!I251</f>
        <v>90.101659999999995</v>
      </c>
      <c r="J251" s="902">
        <f>GLOBAL_DER_FEV_2023!J251</f>
        <v>108.19</v>
      </c>
      <c r="K251" s="903" t="s">
        <v>12</v>
      </c>
      <c r="L251" s="1137"/>
      <c r="M251" s="1138">
        <f t="shared" si="21"/>
        <v>0</v>
      </c>
      <c r="N251" s="893">
        <f t="shared" si="20"/>
        <v>0</v>
      </c>
      <c r="O251" s="905"/>
      <c r="Q251" s="317" t="str">
        <f t="shared" si="16"/>
        <v/>
      </c>
      <c r="R251" s="317" t="str">
        <f t="shared" si="18"/>
        <v/>
      </c>
      <c r="S251" s="317" t="str">
        <f t="shared" si="19"/>
        <v/>
      </c>
      <c r="T251" s="317" t="str">
        <f>GLOBAL_DER_FEV_2023!S251</f>
        <v/>
      </c>
      <c r="W251" s="582">
        <v>0</v>
      </c>
      <c r="X251" s="580"/>
      <c r="Y251" s="583">
        <f>IF(GLOBAL_DER_FEV_2023!W251=0,0,IF(GLOBAL_DER_FEV_2023!W251&gt;0,"c","b"))</f>
        <v>0</v>
      </c>
    </row>
    <row r="252" spans="1:25" ht="13.5" hidden="1" thickBot="1" x14ac:dyDescent="0.25">
      <c r="A252" s="317">
        <v>534908</v>
      </c>
      <c r="B252" s="895" t="s">
        <v>149</v>
      </c>
      <c r="C252" s="896" t="s">
        <v>184</v>
      </c>
      <c r="D252" s="906" t="s">
        <v>806</v>
      </c>
      <c r="E252" s="907">
        <f>GLOBAL_DER_FEV_2023!E252</f>
        <v>0.1</v>
      </c>
      <c r="F252" s="908">
        <f>GLOBAL_DER_FEV_2023!F252</f>
        <v>0.18</v>
      </c>
      <c r="G252" s="949">
        <f>GLOBAL_DER_FEV_2023!G252</f>
        <v>0.50165999999999999</v>
      </c>
      <c r="H252" s="901">
        <f>GLOBAL_DER_FEV_2023!H252</f>
        <v>89.6</v>
      </c>
      <c r="I252" s="901">
        <f>GLOBAL_DER_FEV_2023!I252</f>
        <v>90.101659999999995</v>
      </c>
      <c r="J252" s="902">
        <f>GLOBAL_DER_FEV_2023!J252</f>
        <v>108.19</v>
      </c>
      <c r="K252" s="903" t="s">
        <v>12</v>
      </c>
      <c r="L252" s="1137"/>
      <c r="M252" s="1138">
        <f t="shared" si="21"/>
        <v>0</v>
      </c>
      <c r="N252" s="893">
        <f t="shared" si="20"/>
        <v>0</v>
      </c>
      <c r="O252" s="905"/>
      <c r="Q252" s="317" t="str">
        <f t="shared" si="16"/>
        <v/>
      </c>
      <c r="R252" s="317" t="str">
        <f t="shared" si="18"/>
        <v/>
      </c>
      <c r="S252" s="317" t="str">
        <f t="shared" si="19"/>
        <v/>
      </c>
      <c r="T252" s="317" t="str">
        <f>GLOBAL_DER_FEV_2023!S252</f>
        <v/>
      </c>
      <c r="W252" s="582">
        <v>0</v>
      </c>
      <c r="X252" s="580"/>
      <c r="Y252" s="583">
        <f>IF(GLOBAL_DER_FEV_2023!W252=0,0,IF(GLOBAL_DER_FEV_2023!W252&gt;0,"c","b"))</f>
        <v>0</v>
      </c>
    </row>
    <row r="253" spans="1:25" ht="13.5" hidden="1" thickBot="1" x14ac:dyDescent="0.25">
      <c r="A253" s="317">
        <v>534908</v>
      </c>
      <c r="B253" s="895" t="s">
        <v>150</v>
      </c>
      <c r="C253" s="896" t="s">
        <v>184</v>
      </c>
      <c r="D253" s="906" t="s">
        <v>807</v>
      </c>
      <c r="E253" s="907">
        <f>GLOBAL_DER_FEV_2023!E253</f>
        <v>0.1</v>
      </c>
      <c r="F253" s="908">
        <f>GLOBAL_DER_FEV_2023!F253</f>
        <v>0.22</v>
      </c>
      <c r="G253" s="949">
        <f>GLOBAL_DER_FEV_2023!G253</f>
        <v>0.61314000000000013</v>
      </c>
      <c r="H253" s="901">
        <f>GLOBAL_DER_FEV_2023!H253</f>
        <v>89.6</v>
      </c>
      <c r="I253" s="901">
        <f>GLOBAL_DER_FEV_2023!I253</f>
        <v>90.213139999999996</v>
      </c>
      <c r="J253" s="902">
        <f>GLOBAL_DER_FEV_2023!J253</f>
        <v>108.32</v>
      </c>
      <c r="K253" s="903" t="s">
        <v>12</v>
      </c>
      <c r="L253" s="1137"/>
      <c r="M253" s="1138">
        <f t="shared" si="21"/>
        <v>0</v>
      </c>
      <c r="N253" s="893">
        <f t="shared" si="20"/>
        <v>0</v>
      </c>
      <c r="O253" s="905"/>
      <c r="Q253" s="317" t="str">
        <f t="shared" si="16"/>
        <v/>
      </c>
      <c r="R253" s="317" t="str">
        <f t="shared" si="18"/>
        <v/>
      </c>
      <c r="S253" s="317" t="str">
        <f t="shared" si="19"/>
        <v/>
      </c>
      <c r="T253" s="317" t="str">
        <f>GLOBAL_DER_FEV_2023!S253</f>
        <v/>
      </c>
      <c r="W253" s="582">
        <v>0</v>
      </c>
      <c r="X253" s="580"/>
      <c r="Y253" s="583">
        <f>IF(GLOBAL_DER_FEV_2023!W253=0,0,IF(GLOBAL_DER_FEV_2023!W253&gt;0,"c","b"))</f>
        <v>0</v>
      </c>
    </row>
    <row r="254" spans="1:25" ht="13.5" hidden="1" thickBot="1" x14ac:dyDescent="0.25">
      <c r="A254" s="317">
        <v>534908</v>
      </c>
      <c r="B254" s="895" t="s">
        <v>210</v>
      </c>
      <c r="C254" s="896" t="s">
        <v>184</v>
      </c>
      <c r="D254" s="906" t="s">
        <v>808</v>
      </c>
      <c r="E254" s="907">
        <f>GLOBAL_DER_FEV_2023!E254</f>
        <v>0.1</v>
      </c>
      <c r="F254" s="908">
        <f>GLOBAL_DER_FEV_2023!F254</f>
        <v>0.22</v>
      </c>
      <c r="G254" s="949">
        <f>GLOBAL_DER_FEV_2023!G254</f>
        <v>0.61314000000000013</v>
      </c>
      <c r="H254" s="901">
        <f>GLOBAL_DER_FEV_2023!H254</f>
        <v>89.6</v>
      </c>
      <c r="I254" s="901">
        <f>GLOBAL_DER_FEV_2023!I254</f>
        <v>90.213139999999996</v>
      </c>
      <c r="J254" s="902">
        <f>GLOBAL_DER_FEV_2023!J254</f>
        <v>108.32</v>
      </c>
      <c r="K254" s="903" t="s">
        <v>12</v>
      </c>
      <c r="L254" s="1137"/>
      <c r="M254" s="1138">
        <f t="shared" si="21"/>
        <v>0</v>
      </c>
      <c r="N254" s="893">
        <f t="shared" si="20"/>
        <v>0</v>
      </c>
      <c r="O254" s="905"/>
      <c r="Q254" s="317" t="str">
        <f t="shared" si="16"/>
        <v/>
      </c>
      <c r="R254" s="317" t="str">
        <f t="shared" si="18"/>
        <v/>
      </c>
      <c r="S254" s="317" t="str">
        <f t="shared" si="19"/>
        <v/>
      </c>
      <c r="T254" s="317" t="str">
        <f>GLOBAL_DER_FEV_2023!S254</f>
        <v/>
      </c>
      <c r="W254" s="582">
        <v>0</v>
      </c>
      <c r="X254" s="580"/>
      <c r="Y254" s="583">
        <f>IF(GLOBAL_DER_FEV_2023!W254=0,0,IF(GLOBAL_DER_FEV_2023!W254&gt;0,"c","b"))</f>
        <v>0</v>
      </c>
    </row>
    <row r="255" spans="1:25" ht="13.5" hidden="1" thickBot="1" x14ac:dyDescent="0.25">
      <c r="A255" s="317">
        <v>101090</v>
      </c>
      <c r="B255" s="995" t="s">
        <v>1634</v>
      </c>
      <c r="C255" s="996" t="s">
        <v>596</v>
      </c>
      <c r="D255" s="965" t="s">
        <v>1518</v>
      </c>
      <c r="E255" s="966">
        <f>GLOBAL_DER_FEV_2023!E255</f>
        <v>0</v>
      </c>
      <c r="F255" s="997">
        <f>GLOBAL_DER_FEV_2023!F255</f>
        <v>0.3</v>
      </c>
      <c r="G255" s="968">
        <f>GLOBAL_DER_FEV_2023!G255</f>
        <v>0.80400000000000005</v>
      </c>
      <c r="H255" s="940">
        <f>GLOBAL_DER_FEV_2023!H255</f>
        <v>291.81</v>
      </c>
      <c r="I255" s="940">
        <f>GLOBAL_DER_FEV_2023!I255</f>
        <v>292.61399999999998</v>
      </c>
      <c r="J255" s="969">
        <f>GLOBAL_DER_FEV_2023!J255</f>
        <v>351.34</v>
      </c>
      <c r="K255" s="970" t="s">
        <v>12</v>
      </c>
      <c r="L255" s="1145"/>
      <c r="M255" s="1156">
        <f t="shared" si="21"/>
        <v>0</v>
      </c>
      <c r="N255" s="942">
        <f t="shared" si="20"/>
        <v>0</v>
      </c>
      <c r="O255" s="905"/>
      <c r="Q255" s="317" t="str">
        <f t="shared" si="16"/>
        <v/>
      </c>
      <c r="R255" s="317" t="str">
        <f t="shared" si="18"/>
        <v/>
      </c>
      <c r="S255" s="317" t="str">
        <f t="shared" si="19"/>
        <v/>
      </c>
      <c r="T255" s="317" t="str">
        <f>GLOBAL_DER_FEV_2023!S255</f>
        <v/>
      </c>
      <c r="W255" s="582">
        <v>0</v>
      </c>
      <c r="X255" s="580"/>
      <c r="Y255" s="583">
        <f>IF(GLOBAL_DER_FEV_2023!W255=0,0,IF(GLOBAL_DER_FEV_2023!W255&gt;0,"c","b"))</f>
        <v>0</v>
      </c>
    </row>
    <row r="256" spans="1:25" ht="13.5" hidden="1" thickBot="1" x14ac:dyDescent="0.25">
      <c r="A256" s="317">
        <v>562100</v>
      </c>
      <c r="B256" s="999" t="s">
        <v>1636</v>
      </c>
      <c r="C256" s="1000" t="s">
        <v>184</v>
      </c>
      <c r="D256" s="973" t="s">
        <v>544</v>
      </c>
      <c r="E256" s="974" t="str">
        <f>GLOBAL_DER_FEV_2023!E256</f>
        <v>taxa RL</v>
      </c>
      <c r="F256" s="975">
        <f>GLOBAL_DER_FEV_2023!F256</f>
        <v>1.5E-3</v>
      </c>
      <c r="G256" s="976">
        <f>GLOBAL_DER_FEV_2023!G256</f>
        <v>0.44321160000000004</v>
      </c>
      <c r="H256" s="977">
        <f>GLOBAL_DER_FEV_2023!H256</f>
        <v>3.09</v>
      </c>
      <c r="I256" s="977">
        <f>GLOBAL_DER_FEV_2023!I256</f>
        <v>3.5332116</v>
      </c>
      <c r="J256" s="978">
        <f>GLOBAL_DER_FEV_2023!J256</f>
        <v>4.24</v>
      </c>
      <c r="K256" s="979" t="s">
        <v>12</v>
      </c>
      <c r="L256" s="1152"/>
      <c r="M256" s="1153">
        <f t="shared" si="21"/>
        <v>0</v>
      </c>
      <c r="N256" s="982">
        <f t="shared" si="20"/>
        <v>0</v>
      </c>
      <c r="O256" s="905"/>
      <c r="Q256" s="317" t="str">
        <f t="shared" si="16"/>
        <v/>
      </c>
      <c r="R256" s="317" t="str">
        <f t="shared" si="18"/>
        <v/>
      </c>
      <c r="S256" s="317" t="str">
        <f t="shared" si="19"/>
        <v/>
      </c>
      <c r="T256" s="317" t="str">
        <f>GLOBAL_DER_FEV_2023!S256</f>
        <v/>
      </c>
      <c r="W256" s="582">
        <v>0</v>
      </c>
      <c r="X256" s="580"/>
      <c r="Y256" s="583">
        <f>IF(GLOBAL_DER_FEV_2023!W256=0,0,IF(GLOBAL_DER_FEV_2023!W256&gt;0,"c","b"))</f>
        <v>0</v>
      </c>
    </row>
    <row r="257" spans="1:25" ht="13.5" hidden="1" thickBot="1" x14ac:dyDescent="0.25">
      <c r="A257" s="317" t="s">
        <v>147</v>
      </c>
      <c r="B257" s="895" t="s">
        <v>147</v>
      </c>
      <c r="C257" s="896"/>
      <c r="D257" s="1001" t="s">
        <v>229</v>
      </c>
      <c r="E257" s="907">
        <f>GLOBAL_DER_FEV_2023!E257</f>
        <v>150</v>
      </c>
      <c r="F257" s="1002" t="str">
        <f>GLOBAL_DER_FEV_2023!F257</f>
        <v>0,0025</v>
      </c>
      <c r="G257" s="949">
        <f>GLOBAL_DER_FEV_2023!G257</f>
        <v>0.40795000000000003</v>
      </c>
      <c r="H257" s="901">
        <f>GLOBAL_DER_FEV_2023!H257</f>
        <v>0</v>
      </c>
      <c r="I257" s="901">
        <f>GLOBAL_DER_FEV_2023!I257</f>
        <v>0</v>
      </c>
      <c r="J257" s="902">
        <f>GLOBAL_DER_FEV_2023!J257</f>
        <v>0</v>
      </c>
      <c r="K257" s="903" t="s">
        <v>507</v>
      </c>
      <c r="L257" s="1003"/>
      <c r="M257" s="1157">
        <f t="shared" si="21"/>
        <v>0</v>
      </c>
      <c r="N257" s="893">
        <f t="shared" si="20"/>
        <v>0</v>
      </c>
      <c r="O257" s="905"/>
      <c r="P257" s="58" t="str">
        <f>IF(N256&gt;0,"xx",IF(N256&gt;0,"xy",""))</f>
        <v/>
      </c>
      <c r="Q257" s="317" t="str">
        <f t="shared" si="16"/>
        <v/>
      </c>
      <c r="R257" s="317" t="str">
        <f t="shared" si="18"/>
        <v/>
      </c>
      <c r="S257" s="317" t="str">
        <f t="shared" si="19"/>
        <v/>
      </c>
      <c r="T257" s="317" t="str">
        <f>GLOBAL_DER_FEV_2023!S257</f>
        <v/>
      </c>
      <c r="W257" s="582">
        <v>0</v>
      </c>
      <c r="X257" s="580"/>
      <c r="Y257" s="583">
        <f>IF(GLOBAL_DER_FEV_2023!W257=0,0,IF(GLOBAL_DER_FEV_2023!W257&gt;0,"c","b"))</f>
        <v>0</v>
      </c>
    </row>
    <row r="258" spans="1:25" ht="13.5" hidden="1" thickBot="1" x14ac:dyDescent="0.25">
      <c r="A258" s="317" t="s">
        <v>147</v>
      </c>
      <c r="B258" s="895" t="s">
        <v>147</v>
      </c>
      <c r="C258" s="896"/>
      <c r="D258" s="1001" t="s">
        <v>230</v>
      </c>
      <c r="E258" s="907">
        <f>GLOBAL_DER_FEV_2023!E258</f>
        <v>353</v>
      </c>
      <c r="F258" s="1002" t="str">
        <f>GLOBAL_DER_FEV_2023!F258</f>
        <v>0,0001</v>
      </c>
      <c r="G258" s="909">
        <f>GLOBAL_DER_FEV_2023!G258</f>
        <v>2.8316000000000004E-2</v>
      </c>
      <c r="H258" s="901">
        <f>GLOBAL_DER_FEV_2023!H258</f>
        <v>0</v>
      </c>
      <c r="I258" s="901">
        <f>GLOBAL_DER_FEV_2023!I258</f>
        <v>0</v>
      </c>
      <c r="J258" s="902">
        <f>GLOBAL_DER_FEV_2023!J258</f>
        <v>0</v>
      </c>
      <c r="K258" s="903" t="s">
        <v>507</v>
      </c>
      <c r="L258" s="1003"/>
      <c r="M258" s="1157">
        <f t="shared" si="21"/>
        <v>0</v>
      </c>
      <c r="N258" s="893">
        <f t="shared" si="20"/>
        <v>0</v>
      </c>
      <c r="O258" s="905"/>
      <c r="P258" s="58" t="str">
        <f>IF(N256&gt;0,"xx",IF(N256&gt;0,"xy",""))</f>
        <v/>
      </c>
      <c r="Q258" s="317" t="str">
        <f t="shared" si="16"/>
        <v/>
      </c>
      <c r="R258" s="317" t="str">
        <f t="shared" si="18"/>
        <v/>
      </c>
      <c r="S258" s="317" t="str">
        <f t="shared" si="19"/>
        <v/>
      </c>
      <c r="T258" s="317" t="str">
        <f>GLOBAL_DER_FEV_2023!S258</f>
        <v/>
      </c>
      <c r="W258" s="582">
        <v>0</v>
      </c>
      <c r="X258" s="580"/>
      <c r="Y258" s="583">
        <f>IF(GLOBAL_DER_FEV_2023!W258=0,0,IF(GLOBAL_DER_FEV_2023!W258&gt;0,"c","b"))</f>
        <v>0</v>
      </c>
    </row>
    <row r="259" spans="1:25" ht="13.5" hidden="1" thickBot="1" x14ac:dyDescent="0.25">
      <c r="A259" s="317" t="s">
        <v>147</v>
      </c>
      <c r="B259" s="895" t="s">
        <v>147</v>
      </c>
      <c r="C259" s="896"/>
      <c r="D259" s="1001" t="s">
        <v>231</v>
      </c>
      <c r="E259" s="907">
        <f>GLOBAL_DER_FEV_2023!E259</f>
        <v>0.2</v>
      </c>
      <c r="F259" s="908" t="str">
        <f>GLOBAL_DER_FEV_2023!F259</f>
        <v>0,0024</v>
      </c>
      <c r="G259" s="949">
        <f>GLOBAL_DER_FEV_2023!G259</f>
        <v>6.9455999999999997E-3</v>
      </c>
      <c r="H259" s="901">
        <f>GLOBAL_DER_FEV_2023!H259</f>
        <v>0</v>
      </c>
      <c r="I259" s="901">
        <f>GLOBAL_DER_FEV_2023!I259</f>
        <v>0</v>
      </c>
      <c r="J259" s="902">
        <f>GLOBAL_DER_FEV_2023!J259</f>
        <v>0</v>
      </c>
      <c r="K259" s="903" t="s">
        <v>507</v>
      </c>
      <c r="L259" s="1003"/>
      <c r="M259" s="1157">
        <f t="shared" si="21"/>
        <v>0</v>
      </c>
      <c r="N259" s="893">
        <f t="shared" si="20"/>
        <v>0</v>
      </c>
      <c r="O259" s="905"/>
      <c r="P259" s="58" t="str">
        <f>IF(N256&gt;0,"xx",IF(N256&gt;0,"xy",""))</f>
        <v/>
      </c>
      <c r="Q259" s="317" t="str">
        <f t="shared" si="16"/>
        <v/>
      </c>
      <c r="R259" s="317" t="str">
        <f t="shared" si="18"/>
        <v/>
      </c>
      <c r="S259" s="317" t="str">
        <f t="shared" si="19"/>
        <v/>
      </c>
      <c r="T259" s="317" t="str">
        <f>GLOBAL_DER_FEV_2023!S259</f>
        <v/>
      </c>
      <c r="W259" s="582">
        <v>0</v>
      </c>
      <c r="X259" s="580"/>
      <c r="Y259" s="583">
        <f>IF(GLOBAL_DER_FEV_2023!W259=0,0,IF(GLOBAL_DER_FEV_2023!W259&gt;0,"c","b"))</f>
        <v>0</v>
      </c>
    </row>
    <row r="260" spans="1:25" ht="13.5" hidden="1" thickBot="1" x14ac:dyDescent="0.25">
      <c r="A260" s="317">
        <v>589170</v>
      </c>
      <c r="B260" s="1004" t="s">
        <v>1671</v>
      </c>
      <c r="C260" s="984" t="s">
        <v>213</v>
      </c>
      <c r="D260" s="985" t="s">
        <v>543</v>
      </c>
      <c r="E260" s="1005">
        <f>GLOBAL_DER_FEV_2023!E260</f>
        <v>45</v>
      </c>
      <c r="F260" s="1006">
        <f>GLOBAL_DER_FEV_2023!F260</f>
        <v>1</v>
      </c>
      <c r="G260" s="949">
        <f>GLOBAL_DER_FEV_2023!G260</f>
        <v>79.25</v>
      </c>
      <c r="H260" s="988">
        <f>GLOBAL_DER_FEV_2023!H260</f>
        <v>4031.59</v>
      </c>
      <c r="I260" s="988">
        <f>GLOBAL_DER_FEV_2023!I260</f>
        <v>3950.0061855584249</v>
      </c>
      <c r="J260" s="989">
        <f>GLOBAL_DER_FEV_2023!J260</f>
        <v>4742.7700000000004</v>
      </c>
      <c r="K260" s="990" t="s">
        <v>14</v>
      </c>
      <c r="L260" s="1154">
        <f>ROUND(L256*$F256,2)</f>
        <v>0</v>
      </c>
      <c r="M260" s="1156">
        <f t="shared" si="21"/>
        <v>0</v>
      </c>
      <c r="N260" s="993">
        <f t="shared" si="20"/>
        <v>0</v>
      </c>
      <c r="O260" s="905"/>
      <c r="P260" s="58" t="str">
        <f>IF(N256&gt;0,"xx",IF(N256&gt;0,"xy",""))</f>
        <v/>
      </c>
      <c r="Q260" s="317" t="str">
        <f t="shared" si="16"/>
        <v/>
      </c>
      <c r="R260" s="317" t="str">
        <f t="shared" si="18"/>
        <v/>
      </c>
      <c r="S260" s="317" t="str">
        <f t="shared" si="19"/>
        <v/>
      </c>
      <c r="T260" s="317" t="str">
        <f>GLOBAL_DER_FEV_2023!S260</f>
        <v/>
      </c>
      <c r="W260" s="582">
        <v>0</v>
      </c>
      <c r="X260" s="580"/>
      <c r="Y260" s="583">
        <f>IF(GLOBAL_DER_FEV_2023!W260=0,0,IF(GLOBAL_DER_FEV_2023!W260&gt;0,"c","b"))</f>
        <v>0</v>
      </c>
    </row>
    <row r="261" spans="1:25" ht="13.5" hidden="1" thickBot="1" x14ac:dyDescent="0.25">
      <c r="A261" s="317">
        <v>562100</v>
      </c>
      <c r="B261" s="999" t="s">
        <v>1637</v>
      </c>
      <c r="C261" s="1000" t="s">
        <v>184</v>
      </c>
      <c r="D261" s="973" t="s">
        <v>550</v>
      </c>
      <c r="E261" s="974" t="str">
        <f>GLOBAL_DER_FEV_2023!E261</f>
        <v>taxa RL</v>
      </c>
      <c r="F261" s="975">
        <f>GLOBAL_DER_FEV_2023!F261</f>
        <v>1.8E-3</v>
      </c>
      <c r="G261" s="976">
        <f>GLOBAL_DER_FEV_2023!G261</f>
        <v>0.68366160000000009</v>
      </c>
      <c r="H261" s="977">
        <f>GLOBAL_DER_FEV_2023!H261</f>
        <v>3.09</v>
      </c>
      <c r="I261" s="977">
        <f>GLOBAL_DER_FEV_2023!I261</f>
        <v>3.7736616000000001</v>
      </c>
      <c r="J261" s="978">
        <f>GLOBAL_DER_FEV_2023!J261</f>
        <v>4.53</v>
      </c>
      <c r="K261" s="979" t="s">
        <v>12</v>
      </c>
      <c r="L261" s="1152"/>
      <c r="M261" s="1153">
        <f t="shared" si="21"/>
        <v>0</v>
      </c>
      <c r="N261" s="982">
        <f t="shared" si="20"/>
        <v>0</v>
      </c>
      <c r="O261" s="905"/>
      <c r="Q261" s="317" t="str">
        <f t="shared" si="16"/>
        <v/>
      </c>
      <c r="R261" s="317" t="str">
        <f t="shared" si="18"/>
        <v/>
      </c>
      <c r="S261" s="317" t="str">
        <f t="shared" si="19"/>
        <v/>
      </c>
      <c r="T261" s="317" t="str">
        <f>GLOBAL_DER_FEV_2023!S261</f>
        <v/>
      </c>
      <c r="W261" s="582">
        <v>0</v>
      </c>
      <c r="X261" s="580"/>
      <c r="Y261" s="583">
        <f>IF(GLOBAL_DER_FEV_2023!W261=0,0,IF(GLOBAL_DER_FEV_2023!W261&gt;0,"c","b"))</f>
        <v>0</v>
      </c>
    </row>
    <row r="262" spans="1:25" ht="13.5" hidden="1" thickBot="1" x14ac:dyDescent="0.25">
      <c r="A262" s="317" t="s">
        <v>147</v>
      </c>
      <c r="B262" s="895" t="s">
        <v>147</v>
      </c>
      <c r="C262" s="896"/>
      <c r="D262" s="1001" t="s">
        <v>229</v>
      </c>
      <c r="E262" s="907">
        <f>GLOBAL_DER_FEV_2023!E262</f>
        <v>150</v>
      </c>
      <c r="F262" s="1002" t="str">
        <f>GLOBAL_DER_FEV_2023!F262</f>
        <v>0,0038</v>
      </c>
      <c r="G262" s="949">
        <f>GLOBAL_DER_FEV_2023!G262</f>
        <v>0.62008400000000008</v>
      </c>
      <c r="H262" s="901">
        <f>GLOBAL_DER_FEV_2023!H262</f>
        <v>0</v>
      </c>
      <c r="I262" s="901">
        <f>GLOBAL_DER_FEV_2023!I262</f>
        <v>0</v>
      </c>
      <c r="J262" s="902">
        <f>GLOBAL_DER_FEV_2023!J262</f>
        <v>0</v>
      </c>
      <c r="K262" s="903" t="s">
        <v>507</v>
      </c>
      <c r="L262" s="1003"/>
      <c r="M262" s="1157">
        <f t="shared" si="21"/>
        <v>0</v>
      </c>
      <c r="N262" s="893">
        <f t="shared" si="20"/>
        <v>0</v>
      </c>
      <c r="O262" s="905"/>
      <c r="P262" s="58" t="str">
        <f>IF(N261&gt;0,"xx",IF(N261&gt;0,"xy",""))</f>
        <v/>
      </c>
      <c r="Q262" s="317" t="str">
        <f t="shared" si="16"/>
        <v/>
      </c>
      <c r="R262" s="317" t="str">
        <f t="shared" si="18"/>
        <v/>
      </c>
      <c r="S262" s="317" t="str">
        <f t="shared" si="19"/>
        <v/>
      </c>
      <c r="T262" s="317" t="str">
        <f>GLOBAL_DER_FEV_2023!S262</f>
        <v/>
      </c>
      <c r="W262" s="582">
        <v>0</v>
      </c>
      <c r="X262" s="580"/>
      <c r="Y262" s="583">
        <f>IF(GLOBAL_DER_FEV_2023!W262=0,0,IF(GLOBAL_DER_FEV_2023!W262&gt;0,"c","b"))</f>
        <v>0</v>
      </c>
    </row>
    <row r="263" spans="1:25" ht="13.5" hidden="1" thickBot="1" x14ac:dyDescent="0.25">
      <c r="A263" s="317" t="s">
        <v>147</v>
      </c>
      <c r="B263" s="895" t="s">
        <v>147</v>
      </c>
      <c r="C263" s="896"/>
      <c r="D263" s="1001" t="s">
        <v>230</v>
      </c>
      <c r="E263" s="907">
        <f>GLOBAL_DER_FEV_2023!E263</f>
        <v>353</v>
      </c>
      <c r="F263" s="1002" t="str">
        <f>GLOBAL_DER_FEV_2023!F263</f>
        <v>0,0002</v>
      </c>
      <c r="G263" s="909">
        <f>GLOBAL_DER_FEV_2023!G263</f>
        <v>5.6632000000000009E-2</v>
      </c>
      <c r="H263" s="901">
        <f>GLOBAL_DER_FEV_2023!H263</f>
        <v>0</v>
      </c>
      <c r="I263" s="901">
        <f>GLOBAL_DER_FEV_2023!I263</f>
        <v>0</v>
      </c>
      <c r="J263" s="902">
        <f>GLOBAL_DER_FEV_2023!J263</f>
        <v>0</v>
      </c>
      <c r="K263" s="903" t="s">
        <v>507</v>
      </c>
      <c r="L263" s="1003"/>
      <c r="M263" s="1157">
        <f t="shared" si="21"/>
        <v>0</v>
      </c>
      <c r="N263" s="893">
        <f t="shared" si="20"/>
        <v>0</v>
      </c>
      <c r="O263" s="905"/>
      <c r="P263" s="58" t="str">
        <f>IF(N261&gt;0,"xx",IF(N261&gt;0,"xy",""))</f>
        <v/>
      </c>
      <c r="Q263" s="317" t="str">
        <f t="shared" si="16"/>
        <v/>
      </c>
      <c r="R263" s="317" t="str">
        <f t="shared" si="18"/>
        <v/>
      </c>
      <c r="S263" s="317" t="str">
        <f t="shared" si="19"/>
        <v/>
      </c>
      <c r="T263" s="317" t="str">
        <f>GLOBAL_DER_FEV_2023!S263</f>
        <v/>
      </c>
      <c r="W263" s="582">
        <v>0</v>
      </c>
      <c r="X263" s="580"/>
      <c r="Y263" s="583">
        <f>IF(GLOBAL_DER_FEV_2023!W263=0,0,IF(GLOBAL_DER_FEV_2023!W263&gt;0,"c","b"))</f>
        <v>0</v>
      </c>
    </row>
    <row r="264" spans="1:25" ht="13.5" hidden="1" thickBot="1" x14ac:dyDescent="0.25">
      <c r="A264" s="317" t="s">
        <v>147</v>
      </c>
      <c r="B264" s="895" t="s">
        <v>147</v>
      </c>
      <c r="C264" s="896"/>
      <c r="D264" s="957" t="s">
        <v>231</v>
      </c>
      <c r="E264" s="907">
        <f>GLOBAL_DER_FEV_2023!E264</f>
        <v>0.2</v>
      </c>
      <c r="F264" s="908" t="str">
        <f>GLOBAL_DER_FEV_2023!F264</f>
        <v>0,0024</v>
      </c>
      <c r="G264" s="949">
        <f>GLOBAL_DER_FEV_2023!G264</f>
        <v>6.9455999999999997E-3</v>
      </c>
      <c r="H264" s="901">
        <f>GLOBAL_DER_FEV_2023!H264</f>
        <v>0</v>
      </c>
      <c r="I264" s="901">
        <f>GLOBAL_DER_FEV_2023!I264</f>
        <v>0</v>
      </c>
      <c r="J264" s="902">
        <f>GLOBAL_DER_FEV_2023!J264</f>
        <v>0</v>
      </c>
      <c r="K264" s="903" t="s">
        <v>507</v>
      </c>
      <c r="L264" s="1003"/>
      <c r="M264" s="1157">
        <f t="shared" si="21"/>
        <v>0</v>
      </c>
      <c r="N264" s="893">
        <f t="shared" si="20"/>
        <v>0</v>
      </c>
      <c r="O264" s="905"/>
      <c r="P264" s="58" t="str">
        <f>IF(N261&gt;0,"xx",IF(N261&gt;0,"xy",""))</f>
        <v/>
      </c>
      <c r="Q264" s="317" t="str">
        <f t="shared" si="16"/>
        <v/>
      </c>
      <c r="R264" s="317" t="str">
        <f t="shared" si="18"/>
        <v/>
      </c>
      <c r="S264" s="317" t="str">
        <f t="shared" si="19"/>
        <v/>
      </c>
      <c r="T264" s="317" t="str">
        <f>GLOBAL_DER_FEV_2023!S264</f>
        <v/>
      </c>
      <c r="W264" s="582">
        <v>0</v>
      </c>
      <c r="X264" s="580"/>
      <c r="Y264" s="583">
        <f>IF(GLOBAL_DER_FEV_2023!W264=0,0,IF(GLOBAL_DER_FEV_2023!W264&gt;0,"c","b"))</f>
        <v>0</v>
      </c>
    </row>
    <row r="265" spans="1:25" ht="13.5" hidden="1" thickBot="1" x14ac:dyDescent="0.25">
      <c r="A265" s="317">
        <v>589170</v>
      </c>
      <c r="B265" s="883" t="s">
        <v>1672</v>
      </c>
      <c r="C265" s="1007" t="s">
        <v>213</v>
      </c>
      <c r="D265" s="1008" t="s">
        <v>546</v>
      </c>
      <c r="E265" s="1005">
        <f>GLOBAL_DER_FEV_2023!E265</f>
        <v>45</v>
      </c>
      <c r="F265" s="1006">
        <f>GLOBAL_DER_FEV_2023!F265</f>
        <v>1</v>
      </c>
      <c r="G265" s="949">
        <f>GLOBAL_DER_FEV_2023!G265</f>
        <v>79.25</v>
      </c>
      <c r="H265" s="988">
        <f>GLOBAL_DER_FEV_2023!H265</f>
        <v>4031.59</v>
      </c>
      <c r="I265" s="988">
        <f>GLOBAL_DER_FEV_2023!I265</f>
        <v>3950.0061855584249</v>
      </c>
      <c r="J265" s="890">
        <f>GLOBAL_DER_FEV_2023!J265</f>
        <v>4742.7700000000004</v>
      </c>
      <c r="K265" s="990" t="s">
        <v>14</v>
      </c>
      <c r="L265" s="1154">
        <f>ROUND(L261*$F261,2)</f>
        <v>0</v>
      </c>
      <c r="M265" s="1156">
        <f t="shared" si="21"/>
        <v>0</v>
      </c>
      <c r="N265" s="993">
        <f t="shared" si="20"/>
        <v>0</v>
      </c>
      <c r="O265" s="905"/>
      <c r="P265" s="58" t="str">
        <f>IF(N261&gt;0,"xx",IF(N261&gt;0,"xy",""))</f>
        <v/>
      </c>
      <c r="Q265" s="317" t="str">
        <f t="shared" si="16"/>
        <v/>
      </c>
      <c r="R265" s="317" t="str">
        <f t="shared" si="18"/>
        <v/>
      </c>
      <c r="S265" s="317" t="str">
        <f t="shared" si="19"/>
        <v/>
      </c>
      <c r="T265" s="317" t="str">
        <f>GLOBAL_DER_FEV_2023!S265</f>
        <v/>
      </c>
      <c r="W265" s="582">
        <v>0</v>
      </c>
      <c r="X265" s="580"/>
      <c r="Y265" s="583">
        <f>IF(GLOBAL_DER_FEV_2023!W265=0,0,IF(GLOBAL_DER_FEV_2023!W265&gt;0,"c","b"))</f>
        <v>0</v>
      </c>
    </row>
    <row r="266" spans="1:25" ht="13.5" hidden="1" thickBot="1" x14ac:dyDescent="0.25">
      <c r="A266" s="317">
        <v>562200</v>
      </c>
      <c r="B266" s="999" t="s">
        <v>1638</v>
      </c>
      <c r="C266" s="1000" t="s">
        <v>184</v>
      </c>
      <c r="D266" s="973" t="s">
        <v>551</v>
      </c>
      <c r="E266" s="974" t="str">
        <f>GLOBAL_DER_FEV_2023!E266</f>
        <v>taxa RL</v>
      </c>
      <c r="F266" s="975">
        <f>GLOBAL_DER_FEV_2023!F266</f>
        <v>2E-3</v>
      </c>
      <c r="G266" s="976">
        <f>GLOBAL_DER_FEV_2023!G266</f>
        <v>1.0807922000000001</v>
      </c>
      <c r="H266" s="977">
        <f>GLOBAL_DER_FEV_2023!H266</f>
        <v>4.1100000000000003</v>
      </c>
      <c r="I266" s="977">
        <f>GLOBAL_DER_FEV_2023!I266</f>
        <v>5.1907922000000006</v>
      </c>
      <c r="J266" s="978">
        <f>GLOBAL_DER_FEV_2023!J266</f>
        <v>6.23</v>
      </c>
      <c r="K266" s="979" t="s">
        <v>12</v>
      </c>
      <c r="L266" s="1152"/>
      <c r="M266" s="1153">
        <f t="shared" si="21"/>
        <v>0</v>
      </c>
      <c r="N266" s="982">
        <f t="shared" si="20"/>
        <v>0</v>
      </c>
      <c r="O266" s="905"/>
      <c r="Q266" s="317" t="str">
        <f t="shared" si="16"/>
        <v/>
      </c>
      <c r="R266" s="317" t="str">
        <f t="shared" si="18"/>
        <v/>
      </c>
      <c r="S266" s="317" t="str">
        <f t="shared" si="19"/>
        <v/>
      </c>
      <c r="T266" s="317" t="str">
        <f>GLOBAL_DER_FEV_2023!S266</f>
        <v/>
      </c>
      <c r="W266" s="582">
        <v>0</v>
      </c>
      <c r="X266" s="580"/>
      <c r="Y266" s="583">
        <f>IF(GLOBAL_DER_FEV_2023!W266=0,0,IF(GLOBAL_DER_FEV_2023!W266&gt;0,"c","b"))</f>
        <v>0</v>
      </c>
    </row>
    <row r="267" spans="1:25" ht="13.5" hidden="1" thickBot="1" x14ac:dyDescent="0.25">
      <c r="A267" s="317" t="s">
        <v>147</v>
      </c>
      <c r="B267" s="895" t="s">
        <v>147</v>
      </c>
      <c r="C267" s="896"/>
      <c r="D267" s="1001" t="s">
        <v>229</v>
      </c>
      <c r="E267" s="907">
        <f>GLOBAL_DER_FEV_2023!E267</f>
        <v>150</v>
      </c>
      <c r="F267" s="1002" t="str">
        <f>GLOBAL_DER_FEV_2023!F267</f>
        <v>0,0062</v>
      </c>
      <c r="G267" s="949">
        <f>GLOBAL_DER_FEV_2023!G267</f>
        <v>1.0117160000000001</v>
      </c>
      <c r="H267" s="901">
        <f>GLOBAL_DER_FEV_2023!H267</f>
        <v>0</v>
      </c>
      <c r="I267" s="901">
        <f>GLOBAL_DER_FEV_2023!I267</f>
        <v>0</v>
      </c>
      <c r="J267" s="902">
        <f>GLOBAL_DER_FEV_2023!J267</f>
        <v>0</v>
      </c>
      <c r="K267" s="903"/>
      <c r="L267" s="1003"/>
      <c r="M267" s="1157">
        <f t="shared" si="21"/>
        <v>0</v>
      </c>
      <c r="N267" s="893">
        <f t="shared" si="20"/>
        <v>0</v>
      </c>
      <c r="O267" s="905"/>
      <c r="P267" s="58" t="str">
        <f>IF(N266&gt;0,"xx",IF(N266&gt;0,"xy",""))</f>
        <v/>
      </c>
      <c r="Q267" s="317" t="str">
        <f t="shared" si="16"/>
        <v/>
      </c>
      <c r="R267" s="317" t="str">
        <f t="shared" si="18"/>
        <v/>
      </c>
      <c r="S267" s="317" t="str">
        <f t="shared" si="19"/>
        <v/>
      </c>
      <c r="T267" s="317" t="str">
        <f>GLOBAL_DER_FEV_2023!S267</f>
        <v/>
      </c>
      <c r="W267" s="582">
        <v>0</v>
      </c>
      <c r="X267" s="580"/>
      <c r="Y267" s="583">
        <f>IF(GLOBAL_DER_FEV_2023!W267=0,0,IF(GLOBAL_DER_FEV_2023!W267&gt;0,"c","b"))</f>
        <v>0</v>
      </c>
    </row>
    <row r="268" spans="1:25" ht="13.5" hidden="1" thickBot="1" x14ac:dyDescent="0.25">
      <c r="A268" s="317" t="s">
        <v>147</v>
      </c>
      <c r="B268" s="895" t="s">
        <v>147</v>
      </c>
      <c r="C268" s="896"/>
      <c r="D268" s="1001" t="s">
        <v>230</v>
      </c>
      <c r="E268" s="907">
        <f>GLOBAL_DER_FEV_2023!E268</f>
        <v>353</v>
      </c>
      <c r="F268" s="1002" t="str">
        <f>GLOBAL_DER_FEV_2023!F268</f>
        <v>0,0002</v>
      </c>
      <c r="G268" s="909">
        <f>GLOBAL_DER_FEV_2023!G268</f>
        <v>5.6632000000000009E-2</v>
      </c>
      <c r="H268" s="901">
        <f>GLOBAL_DER_FEV_2023!H268</f>
        <v>0</v>
      </c>
      <c r="I268" s="901">
        <f>GLOBAL_DER_FEV_2023!I268</f>
        <v>0</v>
      </c>
      <c r="J268" s="902">
        <f>GLOBAL_DER_FEV_2023!J268</f>
        <v>0</v>
      </c>
      <c r="K268" s="903" t="s">
        <v>507</v>
      </c>
      <c r="L268" s="1003"/>
      <c r="M268" s="1157">
        <f t="shared" si="21"/>
        <v>0</v>
      </c>
      <c r="N268" s="893">
        <f t="shared" si="20"/>
        <v>0</v>
      </c>
      <c r="O268" s="905"/>
      <c r="P268" s="58" t="str">
        <f>IF(N266&gt;0,"xx",IF(N266&gt;0,"xy",""))</f>
        <v/>
      </c>
      <c r="Q268" s="317" t="str">
        <f t="shared" si="16"/>
        <v/>
      </c>
      <c r="R268" s="317" t="str">
        <f t="shared" si="18"/>
        <v/>
      </c>
      <c r="S268" s="317" t="str">
        <f t="shared" si="19"/>
        <v/>
      </c>
      <c r="T268" s="317" t="str">
        <f>GLOBAL_DER_FEV_2023!S268</f>
        <v/>
      </c>
      <c r="W268" s="582">
        <v>0</v>
      </c>
      <c r="X268" s="580"/>
      <c r="Y268" s="583">
        <f>IF(GLOBAL_DER_FEV_2023!W268=0,0,IF(GLOBAL_DER_FEV_2023!W268&gt;0,"c","b"))</f>
        <v>0</v>
      </c>
    </row>
    <row r="269" spans="1:25" ht="13.5" hidden="1" thickBot="1" x14ac:dyDescent="0.25">
      <c r="A269" s="317" t="s">
        <v>147</v>
      </c>
      <c r="B269" s="895" t="s">
        <v>147</v>
      </c>
      <c r="C269" s="896"/>
      <c r="D269" s="957" t="s">
        <v>231</v>
      </c>
      <c r="E269" s="907">
        <f>GLOBAL_DER_FEV_2023!E269</f>
        <v>0.2</v>
      </c>
      <c r="F269" s="908" t="str">
        <f>GLOBAL_DER_FEV_2023!F269</f>
        <v>0,0043</v>
      </c>
      <c r="G269" s="949">
        <f>GLOBAL_DER_FEV_2023!G269</f>
        <v>1.2444200000000001E-2</v>
      </c>
      <c r="H269" s="901">
        <f>GLOBAL_DER_FEV_2023!H269</f>
        <v>0</v>
      </c>
      <c r="I269" s="901">
        <f>GLOBAL_DER_FEV_2023!I269</f>
        <v>0</v>
      </c>
      <c r="J269" s="902">
        <f>GLOBAL_DER_FEV_2023!J269</f>
        <v>0</v>
      </c>
      <c r="K269" s="903" t="s">
        <v>507</v>
      </c>
      <c r="L269" s="1003"/>
      <c r="M269" s="1157">
        <f t="shared" si="21"/>
        <v>0</v>
      </c>
      <c r="N269" s="893">
        <f t="shared" si="20"/>
        <v>0</v>
      </c>
      <c r="O269" s="905"/>
      <c r="P269" s="58" t="str">
        <f>IF(N266&gt;0,"xx",IF(N266&gt;0,"xy",""))</f>
        <v/>
      </c>
      <c r="Q269" s="317" t="str">
        <f t="shared" si="16"/>
        <v/>
      </c>
      <c r="R269" s="317" t="str">
        <f t="shared" si="18"/>
        <v/>
      </c>
      <c r="S269" s="317" t="str">
        <f t="shared" si="19"/>
        <v/>
      </c>
      <c r="T269" s="317" t="str">
        <f>GLOBAL_DER_FEV_2023!S269</f>
        <v/>
      </c>
      <c r="W269" s="582">
        <v>0</v>
      </c>
      <c r="X269" s="580"/>
      <c r="Y269" s="583">
        <f>IF(GLOBAL_DER_FEV_2023!W269=0,0,IF(GLOBAL_DER_FEV_2023!W269&gt;0,"c","b"))</f>
        <v>0</v>
      </c>
    </row>
    <row r="270" spans="1:25" ht="13.5" hidden="1" thickBot="1" x14ac:dyDescent="0.25">
      <c r="A270" s="317">
        <v>589170</v>
      </c>
      <c r="B270" s="883" t="s">
        <v>1673</v>
      </c>
      <c r="C270" s="1007" t="s">
        <v>213</v>
      </c>
      <c r="D270" s="1008" t="s">
        <v>547</v>
      </c>
      <c r="E270" s="1005">
        <f>GLOBAL_DER_FEV_2023!E270</f>
        <v>45</v>
      </c>
      <c r="F270" s="1006">
        <f>GLOBAL_DER_FEV_2023!F270</f>
        <v>1</v>
      </c>
      <c r="G270" s="949">
        <f>GLOBAL_DER_FEV_2023!G270</f>
        <v>79.25</v>
      </c>
      <c r="H270" s="988">
        <f>GLOBAL_DER_FEV_2023!H270</f>
        <v>4031.59</v>
      </c>
      <c r="I270" s="988">
        <f>GLOBAL_DER_FEV_2023!I270</f>
        <v>3950.0061855584249</v>
      </c>
      <c r="J270" s="890">
        <f>GLOBAL_DER_FEV_2023!J270</f>
        <v>4742.7700000000004</v>
      </c>
      <c r="K270" s="990" t="s">
        <v>14</v>
      </c>
      <c r="L270" s="1154">
        <f>ROUND(L266*$F266,2)</f>
        <v>0</v>
      </c>
      <c r="M270" s="1156">
        <f t="shared" si="21"/>
        <v>0</v>
      </c>
      <c r="N270" s="993">
        <f t="shared" si="20"/>
        <v>0</v>
      </c>
      <c r="O270" s="905"/>
      <c r="P270" s="58" t="str">
        <f>IF(N266&gt;0,"xx",IF(N266&gt;0,"xy",""))</f>
        <v/>
      </c>
      <c r="Q270" s="317" t="str">
        <f t="shared" si="16"/>
        <v/>
      </c>
      <c r="R270" s="317" t="str">
        <f t="shared" si="18"/>
        <v/>
      </c>
      <c r="S270" s="317" t="str">
        <f t="shared" si="19"/>
        <v/>
      </c>
      <c r="T270" s="317" t="str">
        <f>GLOBAL_DER_FEV_2023!S270</f>
        <v/>
      </c>
      <c r="W270" s="582">
        <v>0</v>
      </c>
      <c r="X270" s="580"/>
      <c r="Y270" s="583">
        <f>IF(GLOBAL_DER_FEV_2023!W270=0,0,IF(GLOBAL_DER_FEV_2023!W270&gt;0,"c","b"))</f>
        <v>0</v>
      </c>
    </row>
    <row r="271" spans="1:25" ht="13.5" hidden="1" thickBot="1" x14ac:dyDescent="0.25">
      <c r="A271" s="317">
        <v>562200</v>
      </c>
      <c r="B271" s="999" t="s">
        <v>1639</v>
      </c>
      <c r="C271" s="1000" t="s">
        <v>184</v>
      </c>
      <c r="D271" s="973" t="s">
        <v>549</v>
      </c>
      <c r="E271" s="974" t="str">
        <f>GLOBAL_DER_FEV_2023!E271</f>
        <v>taxa RL</v>
      </c>
      <c r="F271" s="975">
        <f>GLOBAL_DER_FEV_2023!F271</f>
        <v>2.5999999999999999E-3</v>
      </c>
      <c r="G271" s="976">
        <f>GLOBAL_DER_FEV_2023!G271</f>
        <v>2.0788368000000004</v>
      </c>
      <c r="H271" s="977">
        <f>GLOBAL_DER_FEV_2023!H271</f>
        <v>4.1100000000000003</v>
      </c>
      <c r="I271" s="977">
        <f>GLOBAL_DER_FEV_2023!I271</f>
        <v>6.1888368000000007</v>
      </c>
      <c r="J271" s="978">
        <f>GLOBAL_DER_FEV_2023!J271</f>
        <v>7.43</v>
      </c>
      <c r="K271" s="979" t="s">
        <v>12</v>
      </c>
      <c r="L271" s="1152"/>
      <c r="M271" s="1153">
        <f t="shared" si="21"/>
        <v>0</v>
      </c>
      <c r="N271" s="982">
        <f t="shared" si="20"/>
        <v>0</v>
      </c>
      <c r="O271" s="905"/>
      <c r="Q271" s="317" t="str">
        <f t="shared" si="16"/>
        <v/>
      </c>
      <c r="R271" s="317" t="str">
        <f t="shared" si="18"/>
        <v/>
      </c>
      <c r="S271" s="317" t="str">
        <f t="shared" si="19"/>
        <v/>
      </c>
      <c r="T271" s="317" t="str">
        <f>GLOBAL_DER_FEV_2023!S271</f>
        <v/>
      </c>
      <c r="W271" s="582">
        <v>0</v>
      </c>
      <c r="X271" s="580"/>
      <c r="Y271" s="583">
        <f>IF(GLOBAL_DER_FEV_2023!W271=0,0,IF(GLOBAL_DER_FEV_2023!W271&gt;0,"c","b"))</f>
        <v>0</v>
      </c>
    </row>
    <row r="272" spans="1:25" ht="13.5" hidden="1" thickBot="1" x14ac:dyDescent="0.25">
      <c r="A272" s="317" t="s">
        <v>147</v>
      </c>
      <c r="B272" s="895" t="s">
        <v>147</v>
      </c>
      <c r="C272" s="896"/>
      <c r="D272" s="1001" t="s">
        <v>229</v>
      </c>
      <c r="E272" s="907">
        <f>GLOBAL_DER_FEV_2023!E272</f>
        <v>150</v>
      </c>
      <c r="F272" s="1002" t="str">
        <f>GLOBAL_DER_FEV_2023!F272</f>
        <v>0,0119</v>
      </c>
      <c r="G272" s="949">
        <f>GLOBAL_DER_FEV_2023!G272</f>
        <v>1.9418420000000003</v>
      </c>
      <c r="H272" s="901">
        <f>GLOBAL_DER_FEV_2023!H272</f>
        <v>0</v>
      </c>
      <c r="I272" s="901">
        <f>GLOBAL_DER_FEV_2023!I272</f>
        <v>0</v>
      </c>
      <c r="J272" s="902">
        <f>GLOBAL_DER_FEV_2023!J272</f>
        <v>0</v>
      </c>
      <c r="K272" s="903" t="s">
        <v>507</v>
      </c>
      <c r="L272" s="1158"/>
      <c r="M272" s="1157">
        <f>IF(L271=0,0,ROUND(J272,2))</f>
        <v>0</v>
      </c>
      <c r="N272" s="893">
        <f t="shared" si="20"/>
        <v>0</v>
      </c>
      <c r="O272" s="905"/>
      <c r="P272" s="58" t="str">
        <f>IF(N271&gt;0,"xx",IF(N271&gt;0,"xy",""))</f>
        <v/>
      </c>
      <c r="Q272" s="317" t="str">
        <f t="shared" si="16"/>
        <v/>
      </c>
      <c r="R272" s="317" t="str">
        <f t="shared" si="18"/>
        <v/>
      </c>
      <c r="S272" s="317" t="str">
        <f t="shared" si="19"/>
        <v/>
      </c>
      <c r="T272" s="317" t="str">
        <f>GLOBAL_DER_FEV_2023!S272</f>
        <v/>
      </c>
      <c r="W272" s="582">
        <v>0</v>
      </c>
      <c r="X272" s="580"/>
      <c r="Y272" s="583">
        <f>IF(GLOBAL_DER_FEV_2023!W272=0,0,IF(GLOBAL_DER_FEV_2023!W272&gt;0,"c","b"))</f>
        <v>0</v>
      </c>
    </row>
    <row r="273" spans="1:25" ht="13.5" hidden="1" thickBot="1" x14ac:dyDescent="0.25">
      <c r="A273" s="317" t="s">
        <v>147</v>
      </c>
      <c r="B273" s="895" t="s">
        <v>147</v>
      </c>
      <c r="C273" s="896"/>
      <c r="D273" s="1001" t="s">
        <v>230</v>
      </c>
      <c r="E273" s="907">
        <f>GLOBAL_DER_FEV_2023!E273</f>
        <v>353</v>
      </c>
      <c r="F273" s="1002" t="str">
        <f>GLOBAL_DER_FEV_2023!F273</f>
        <v>0,0004</v>
      </c>
      <c r="G273" s="909">
        <f>GLOBAL_DER_FEV_2023!G273</f>
        <v>0.11326400000000002</v>
      </c>
      <c r="H273" s="901">
        <f>GLOBAL_DER_FEV_2023!H273</f>
        <v>0</v>
      </c>
      <c r="I273" s="901">
        <f>GLOBAL_DER_FEV_2023!I273</f>
        <v>0</v>
      </c>
      <c r="J273" s="902">
        <f>GLOBAL_DER_FEV_2023!J273</f>
        <v>0</v>
      </c>
      <c r="K273" s="903" t="s">
        <v>507</v>
      </c>
      <c r="L273" s="1003"/>
      <c r="M273" s="1157">
        <f t="shared" ref="M273:M336" si="22">IF(L273=0,0,ROUND(J273,2))</f>
        <v>0</v>
      </c>
      <c r="N273" s="893">
        <f t="shared" si="20"/>
        <v>0</v>
      </c>
      <c r="O273" s="905"/>
      <c r="P273" s="58" t="str">
        <f>IF(N271&gt;0,"xx",IF(N271&gt;0,"xy",""))</f>
        <v/>
      </c>
      <c r="Q273" s="317" t="str">
        <f t="shared" si="16"/>
        <v/>
      </c>
      <c r="R273" s="317" t="str">
        <f t="shared" si="18"/>
        <v/>
      </c>
      <c r="S273" s="317" t="str">
        <f t="shared" si="19"/>
        <v/>
      </c>
      <c r="T273" s="317" t="str">
        <f>GLOBAL_DER_FEV_2023!S273</f>
        <v/>
      </c>
      <c r="W273" s="582">
        <v>0</v>
      </c>
      <c r="X273" s="580"/>
      <c r="Y273" s="583">
        <f>IF(GLOBAL_DER_FEV_2023!W273=0,0,IF(GLOBAL_DER_FEV_2023!W273&gt;0,"c","b"))</f>
        <v>0</v>
      </c>
    </row>
    <row r="274" spans="1:25" ht="13.5" hidden="1" thickBot="1" x14ac:dyDescent="0.25">
      <c r="A274" s="317" t="s">
        <v>147</v>
      </c>
      <c r="B274" s="895" t="s">
        <v>147</v>
      </c>
      <c r="C274" s="896"/>
      <c r="D274" s="957" t="s">
        <v>231</v>
      </c>
      <c r="E274" s="907">
        <f>GLOBAL_DER_FEV_2023!E274</f>
        <v>0.2</v>
      </c>
      <c r="F274" s="908" t="str">
        <f>GLOBAL_DER_FEV_2023!F274</f>
        <v>0,0082</v>
      </c>
      <c r="G274" s="949">
        <f>GLOBAL_DER_FEV_2023!G274</f>
        <v>2.3730800000000003E-2</v>
      </c>
      <c r="H274" s="901">
        <f>GLOBAL_DER_FEV_2023!H274</f>
        <v>0</v>
      </c>
      <c r="I274" s="901">
        <f>GLOBAL_DER_FEV_2023!I274</f>
        <v>0</v>
      </c>
      <c r="J274" s="902">
        <f>GLOBAL_DER_FEV_2023!J274</f>
        <v>0</v>
      </c>
      <c r="K274" s="903" t="s">
        <v>507</v>
      </c>
      <c r="L274" s="1003"/>
      <c r="M274" s="1157">
        <f t="shared" si="22"/>
        <v>0</v>
      </c>
      <c r="N274" s="893">
        <f t="shared" si="20"/>
        <v>0</v>
      </c>
      <c r="O274" s="905"/>
      <c r="P274" s="58" t="str">
        <f>IF(N271&gt;0,"xx",IF(N271&gt;0,"xy",""))</f>
        <v/>
      </c>
      <c r="Q274" s="317" t="str">
        <f t="shared" si="16"/>
        <v/>
      </c>
      <c r="R274" s="317" t="str">
        <f t="shared" si="18"/>
        <v/>
      </c>
      <c r="S274" s="317" t="str">
        <f t="shared" si="19"/>
        <v/>
      </c>
      <c r="T274" s="317" t="str">
        <f>GLOBAL_DER_FEV_2023!S274</f>
        <v/>
      </c>
      <c r="W274" s="582">
        <v>0</v>
      </c>
      <c r="X274" s="580"/>
      <c r="Y274" s="583">
        <f>IF(GLOBAL_DER_FEV_2023!W274=0,0,IF(GLOBAL_DER_FEV_2023!W274&gt;0,"c","b"))</f>
        <v>0</v>
      </c>
    </row>
    <row r="275" spans="1:25" ht="13.5" hidden="1" thickBot="1" x14ac:dyDescent="0.25">
      <c r="A275" s="317">
        <v>589170</v>
      </c>
      <c r="B275" s="1009" t="s">
        <v>1674</v>
      </c>
      <c r="C275" s="984" t="s">
        <v>213</v>
      </c>
      <c r="D275" s="1010" t="s">
        <v>548</v>
      </c>
      <c r="E275" s="1005">
        <f>GLOBAL_DER_FEV_2023!E275</f>
        <v>45</v>
      </c>
      <c r="F275" s="1006">
        <f>GLOBAL_DER_FEV_2023!F275</f>
        <v>1</v>
      </c>
      <c r="G275" s="949">
        <f>GLOBAL_DER_FEV_2023!G275</f>
        <v>79.25</v>
      </c>
      <c r="H275" s="988">
        <f>GLOBAL_DER_FEV_2023!H275</f>
        <v>4031.59</v>
      </c>
      <c r="I275" s="988">
        <f>GLOBAL_DER_FEV_2023!I275</f>
        <v>3950.0061855584249</v>
      </c>
      <c r="J275" s="1011">
        <f>GLOBAL_DER_FEV_2023!J275</f>
        <v>4742.7700000000004</v>
      </c>
      <c r="K275" s="990" t="s">
        <v>14</v>
      </c>
      <c r="L275" s="1154">
        <f>ROUND(L271*$F271,2)</f>
        <v>0</v>
      </c>
      <c r="M275" s="1155">
        <f t="shared" si="22"/>
        <v>0</v>
      </c>
      <c r="N275" s="993">
        <f t="shared" si="20"/>
        <v>0</v>
      </c>
      <c r="O275" s="905"/>
      <c r="P275" s="58" t="str">
        <f>IF(N271&gt;0,"xx",IF(N271&gt;0,"xy",""))</f>
        <v/>
      </c>
      <c r="Q275" s="317" t="str">
        <f t="shared" ref="Q275:Q338" si="23">IF(P275="X","x",IF(P275="xx","x",IF(P275="xy","x",IF(P275="y","x",IF(OR(N275&gt;0,N275&gt;0),"x","")))))</f>
        <v/>
      </c>
      <c r="R275" s="317" t="str">
        <f t="shared" si="18"/>
        <v/>
      </c>
      <c r="S275" s="317" t="str">
        <f t="shared" si="19"/>
        <v/>
      </c>
      <c r="T275" s="317" t="str">
        <f>GLOBAL_DER_FEV_2023!S275</f>
        <v/>
      </c>
      <c r="W275" s="582">
        <v>0</v>
      </c>
      <c r="X275" s="580"/>
      <c r="Y275" s="583">
        <f>IF(GLOBAL_DER_FEV_2023!W275=0,0,IF(GLOBAL_DER_FEV_2023!W275&gt;0,"c","b"))</f>
        <v>0</v>
      </c>
    </row>
    <row r="276" spans="1:25" ht="13.5" hidden="1" thickBot="1" x14ac:dyDescent="0.25">
      <c r="A276" s="317">
        <v>587000</v>
      </c>
      <c r="B276" s="999">
        <v>587000</v>
      </c>
      <c r="C276" s="1000" t="s">
        <v>184</v>
      </c>
      <c r="D276" s="973" t="s">
        <v>232</v>
      </c>
      <c r="E276" s="974" t="str">
        <f>GLOBAL_DER_FEV_2023!E276</f>
        <v>taxa RR-2C</v>
      </c>
      <c r="F276" s="975">
        <f>GLOBAL_DER_FEV_2023!F276</f>
        <v>1.5E-3</v>
      </c>
      <c r="G276" s="976">
        <f>GLOBAL_DER_FEV_2023!G276</f>
        <v>4.3409999999999997E-2</v>
      </c>
      <c r="H276" s="977">
        <f>GLOBAL_DER_FEV_2023!H276</f>
        <v>4.53</v>
      </c>
      <c r="I276" s="977">
        <f>GLOBAL_DER_FEV_2023!I276</f>
        <v>4.57341</v>
      </c>
      <c r="J276" s="978">
        <f>GLOBAL_DER_FEV_2023!J276</f>
        <v>5.49</v>
      </c>
      <c r="K276" s="979" t="s">
        <v>12</v>
      </c>
      <c r="L276" s="1152"/>
      <c r="M276" s="1153">
        <f t="shared" si="22"/>
        <v>0</v>
      </c>
      <c r="N276" s="982">
        <f t="shared" si="20"/>
        <v>0</v>
      </c>
      <c r="O276" s="905"/>
      <c r="Q276" s="317" t="str">
        <f t="shared" si="23"/>
        <v/>
      </c>
      <c r="R276" s="317" t="str">
        <f t="shared" si="18"/>
        <v/>
      </c>
      <c r="S276" s="317" t="str">
        <f t="shared" si="19"/>
        <v/>
      </c>
      <c r="T276" s="317" t="str">
        <f>GLOBAL_DER_FEV_2023!S276</f>
        <v/>
      </c>
      <c r="W276" s="582">
        <v>0</v>
      </c>
      <c r="X276" s="580"/>
      <c r="Y276" s="583">
        <f>IF(GLOBAL_DER_FEV_2023!W276=0,0,IF(GLOBAL_DER_FEV_2023!W276&gt;0,"c","b"))</f>
        <v>0</v>
      </c>
    </row>
    <row r="277" spans="1:25" ht="13.5" hidden="1" thickBot="1" x14ac:dyDescent="0.25">
      <c r="A277" s="317" t="s">
        <v>147</v>
      </c>
      <c r="B277" s="895" t="s">
        <v>147</v>
      </c>
      <c r="C277" s="896"/>
      <c r="D277" s="957" t="s">
        <v>233</v>
      </c>
      <c r="E277" s="898">
        <f>GLOBAL_DER_FEV_2023!E277</f>
        <v>0.2</v>
      </c>
      <c r="F277" s="899">
        <f>GLOBAL_DER_FEV_2023!F277</f>
        <v>1.4999999999999999E-2</v>
      </c>
      <c r="G277" s="949">
        <f>GLOBAL_DER_FEV_2023!G277</f>
        <v>4.3409999999999997E-2</v>
      </c>
      <c r="H277" s="901">
        <f>GLOBAL_DER_FEV_2023!H277</f>
        <v>0</v>
      </c>
      <c r="I277" s="901">
        <f>GLOBAL_DER_FEV_2023!I277</f>
        <v>0</v>
      </c>
      <c r="J277" s="902">
        <f>GLOBAL_DER_FEV_2023!J277</f>
        <v>0</v>
      </c>
      <c r="K277" s="903" t="s">
        <v>507</v>
      </c>
      <c r="L277" s="1003"/>
      <c r="M277" s="1157">
        <f t="shared" si="22"/>
        <v>0</v>
      </c>
      <c r="N277" s="893">
        <f t="shared" si="20"/>
        <v>0</v>
      </c>
      <c r="O277" s="905"/>
      <c r="P277" s="58" t="str">
        <f>IF(N276&gt;0,"xx",IF(N276&gt;0,"xy",""))</f>
        <v/>
      </c>
      <c r="Q277" s="317" t="str">
        <f t="shared" si="23"/>
        <v/>
      </c>
      <c r="R277" s="317" t="str">
        <f t="shared" ref="R277:R340" si="24">IF(P277="X","x",IF(P277="y","x",IF(P277="xx","x",IF(N277&gt;0,"x",""))))</f>
        <v/>
      </c>
      <c r="S277" s="317" t="str">
        <f t="shared" ref="S277:S340" si="25">IF(P277="X","x",IF(N277&gt;0,"x",""))</f>
        <v/>
      </c>
      <c r="T277" s="317" t="str">
        <f>GLOBAL_DER_FEV_2023!S277</f>
        <v/>
      </c>
      <c r="W277" s="582">
        <v>0</v>
      </c>
      <c r="X277" s="580"/>
      <c r="Y277" s="583">
        <f>IF(GLOBAL_DER_FEV_2023!W277=0,0,IF(GLOBAL_DER_FEV_2023!W277&gt;0,"c","b"))</f>
        <v>0</v>
      </c>
    </row>
    <row r="278" spans="1:25" ht="13.5" hidden="1" thickBot="1" x14ac:dyDescent="0.25">
      <c r="A278" s="317">
        <v>589520</v>
      </c>
      <c r="B278" s="1004" t="s">
        <v>1662</v>
      </c>
      <c r="C278" s="984" t="s">
        <v>213</v>
      </c>
      <c r="D278" s="1012" t="s">
        <v>552</v>
      </c>
      <c r="E278" s="1005">
        <f>GLOBAL_DER_FEV_2023!E278</f>
        <v>353</v>
      </c>
      <c r="F278" s="1006">
        <f>GLOBAL_DER_FEV_2023!F278</f>
        <v>1</v>
      </c>
      <c r="G278" s="949">
        <f>GLOBAL_DER_FEV_2023!G278</f>
        <v>337.96999999999997</v>
      </c>
      <c r="H278" s="988">
        <f>GLOBAL_DER_FEV_2023!H278</f>
        <v>4164.04</v>
      </c>
      <c r="I278" s="988">
        <f>GLOBAL_DER_FEV_2023!I278</f>
        <v>4335.8923053218959</v>
      </c>
      <c r="J278" s="989">
        <f>GLOBAL_DER_FEV_2023!J278</f>
        <v>5206.1099999999997</v>
      </c>
      <c r="K278" s="990" t="s">
        <v>14</v>
      </c>
      <c r="L278" s="1154">
        <f>ROUND(L276*$F276,2)</f>
        <v>0</v>
      </c>
      <c r="M278" s="1159">
        <f t="shared" si="22"/>
        <v>0</v>
      </c>
      <c r="N278" s="993">
        <f t="shared" si="20"/>
        <v>0</v>
      </c>
      <c r="O278" s="905"/>
      <c r="P278" s="58" t="str">
        <f>IF(N276&gt;0,"xx",IF(N276&gt;0,"xy",""))</f>
        <v/>
      </c>
      <c r="Q278" s="317" t="str">
        <f t="shared" si="23"/>
        <v/>
      </c>
      <c r="R278" s="317" t="str">
        <f t="shared" si="24"/>
        <v/>
      </c>
      <c r="S278" s="317" t="str">
        <f t="shared" si="25"/>
        <v/>
      </c>
      <c r="T278" s="317" t="str">
        <f>GLOBAL_DER_FEV_2023!S278</f>
        <v/>
      </c>
      <c r="W278" s="582">
        <v>0</v>
      </c>
      <c r="X278" s="580"/>
      <c r="Y278" s="583">
        <f>IF(GLOBAL_DER_FEV_2023!W278=0,0,IF(GLOBAL_DER_FEV_2023!W278&gt;0,"c","b"))</f>
        <v>0</v>
      </c>
    </row>
    <row r="279" spans="1:25" ht="13.5" hidden="1" thickBot="1" x14ac:dyDescent="0.25">
      <c r="A279" s="317">
        <v>583100</v>
      </c>
      <c r="B279" s="999" t="s">
        <v>1640</v>
      </c>
      <c r="C279" s="1000" t="s">
        <v>184</v>
      </c>
      <c r="D279" s="1014" t="s">
        <v>234</v>
      </c>
      <c r="E279" s="974" t="str">
        <f>GLOBAL_DER_FEV_2023!E279</f>
        <v>taxa RR-2C</v>
      </c>
      <c r="F279" s="975">
        <f>GLOBAL_DER_FEV_2023!F279</f>
        <v>3.0999999999999999E-3</v>
      </c>
      <c r="G279" s="976">
        <f>GLOBAL_DER_FEV_2023!G279</f>
        <v>7.6112200000000005E-2</v>
      </c>
      <c r="H279" s="977">
        <f>GLOBAL_DER_FEV_2023!H279</f>
        <v>6.82</v>
      </c>
      <c r="I279" s="977">
        <f>GLOBAL_DER_FEV_2023!I279</f>
        <v>6.8961122000000001</v>
      </c>
      <c r="J279" s="978">
        <f>GLOBAL_DER_FEV_2023!J279</f>
        <v>8.2799999999999994</v>
      </c>
      <c r="K279" s="979" t="s">
        <v>12</v>
      </c>
      <c r="L279" s="1152"/>
      <c r="M279" s="1153">
        <f t="shared" si="22"/>
        <v>0</v>
      </c>
      <c r="N279" s="982">
        <f t="shared" si="20"/>
        <v>0</v>
      </c>
      <c r="O279" s="905"/>
      <c r="Q279" s="317" t="str">
        <f t="shared" si="23"/>
        <v/>
      </c>
      <c r="R279" s="317" t="str">
        <f t="shared" si="24"/>
        <v/>
      </c>
      <c r="S279" s="317" t="str">
        <f t="shared" si="25"/>
        <v/>
      </c>
      <c r="T279" s="317" t="str">
        <f>GLOBAL_DER_FEV_2023!S279</f>
        <v/>
      </c>
      <c r="W279" s="582">
        <v>0</v>
      </c>
      <c r="X279" s="580"/>
      <c r="Y279" s="583">
        <f>IF(GLOBAL_DER_FEV_2023!W279=0,0,IF(GLOBAL_DER_FEV_2023!W279&gt;0,"c","b"))</f>
        <v>0</v>
      </c>
    </row>
    <row r="280" spans="1:25" ht="13.5" hidden="1" thickBot="1" x14ac:dyDescent="0.25">
      <c r="A280" s="317" t="s">
        <v>147</v>
      </c>
      <c r="B280" s="895" t="s">
        <v>147</v>
      </c>
      <c r="C280" s="896"/>
      <c r="D280" s="1015" t="s">
        <v>233</v>
      </c>
      <c r="E280" s="898">
        <f>GLOBAL_DER_FEV_2023!E280</f>
        <v>0.2</v>
      </c>
      <c r="F280" s="908">
        <f>GLOBAL_DER_FEV_2023!F280</f>
        <v>2.63E-2</v>
      </c>
      <c r="G280" s="949">
        <f>GLOBAL_DER_FEV_2023!G280</f>
        <v>7.6112200000000005E-2</v>
      </c>
      <c r="H280" s="901">
        <f>GLOBAL_DER_FEV_2023!H280</f>
        <v>0</v>
      </c>
      <c r="I280" s="901">
        <f>GLOBAL_DER_FEV_2023!I280</f>
        <v>0</v>
      </c>
      <c r="J280" s="902">
        <f>GLOBAL_DER_FEV_2023!J280</f>
        <v>0</v>
      </c>
      <c r="K280" s="903" t="s">
        <v>507</v>
      </c>
      <c r="L280" s="1003"/>
      <c r="M280" s="1157">
        <f t="shared" si="22"/>
        <v>0</v>
      </c>
      <c r="N280" s="893">
        <f t="shared" si="20"/>
        <v>0</v>
      </c>
      <c r="O280" s="905"/>
      <c r="P280" s="58" t="str">
        <f>IF(N279&gt;0,"xx",IF(N279&gt;0,"xy",""))</f>
        <v/>
      </c>
      <c r="Q280" s="317" t="str">
        <f t="shared" si="23"/>
        <v/>
      </c>
      <c r="R280" s="317" t="str">
        <f t="shared" si="24"/>
        <v/>
      </c>
      <c r="S280" s="317" t="str">
        <f t="shared" si="25"/>
        <v/>
      </c>
      <c r="T280" s="317" t="str">
        <f>GLOBAL_DER_FEV_2023!S280</f>
        <v/>
      </c>
      <c r="W280" s="582">
        <v>0</v>
      </c>
      <c r="X280" s="580"/>
      <c r="Y280" s="583">
        <f>IF(GLOBAL_DER_FEV_2023!W280=0,0,IF(GLOBAL_DER_FEV_2023!W280&gt;0,"c","b"))</f>
        <v>0</v>
      </c>
    </row>
    <row r="281" spans="1:25" ht="13.5" hidden="1" thickBot="1" x14ac:dyDescent="0.25">
      <c r="A281" s="317">
        <v>589520</v>
      </c>
      <c r="B281" s="1004" t="s">
        <v>1663</v>
      </c>
      <c r="C281" s="984" t="s">
        <v>213</v>
      </c>
      <c r="D281" s="1016" t="s">
        <v>557</v>
      </c>
      <c r="E281" s="1005">
        <f>GLOBAL_DER_FEV_2023!E281</f>
        <v>353</v>
      </c>
      <c r="F281" s="1006">
        <f>GLOBAL_DER_FEV_2023!F281</f>
        <v>1</v>
      </c>
      <c r="G281" s="949">
        <f>GLOBAL_DER_FEV_2023!G281</f>
        <v>337.96999999999997</v>
      </c>
      <c r="H281" s="988">
        <f>GLOBAL_DER_FEV_2023!H281</f>
        <v>4164.04</v>
      </c>
      <c r="I281" s="988">
        <f>GLOBAL_DER_FEV_2023!I281</f>
        <v>4335.8923053218959</v>
      </c>
      <c r="J281" s="989">
        <f>GLOBAL_DER_FEV_2023!J281</f>
        <v>5206.1099999999997</v>
      </c>
      <c r="K281" s="990" t="s">
        <v>14</v>
      </c>
      <c r="L281" s="1154">
        <f>ROUND(L279*$F279,2)</f>
        <v>0</v>
      </c>
      <c r="M281" s="1159">
        <f t="shared" si="22"/>
        <v>0</v>
      </c>
      <c r="N281" s="993">
        <f t="shared" ref="N281:N344" si="26">IF(ISBLANK(L281),0,IF(W281=0,ROUND(L281*M281,2),IF(W281="b",ROUNDDOWN(L281*M281,2),ROUNDUP(L281*M281,2))))</f>
        <v>0</v>
      </c>
      <c r="O281" s="905"/>
      <c r="P281" s="58" t="str">
        <f>IF(N279&gt;0,"xx",IF(N279&gt;0,"xy",""))</f>
        <v/>
      </c>
      <c r="Q281" s="317" t="str">
        <f t="shared" si="23"/>
        <v/>
      </c>
      <c r="R281" s="317" t="str">
        <f t="shared" si="24"/>
        <v/>
      </c>
      <c r="S281" s="317" t="str">
        <f t="shared" si="25"/>
        <v/>
      </c>
      <c r="T281" s="317" t="str">
        <f>GLOBAL_DER_FEV_2023!S281</f>
        <v/>
      </c>
      <c r="W281" s="582">
        <v>0</v>
      </c>
      <c r="X281" s="580"/>
      <c r="Y281" s="583">
        <f>IF(GLOBAL_DER_FEV_2023!W281=0,0,IF(GLOBAL_DER_FEV_2023!W281&gt;0,"c","b"))</f>
        <v>0</v>
      </c>
    </row>
    <row r="282" spans="1:25" ht="13.5" hidden="1" thickBot="1" x14ac:dyDescent="0.25">
      <c r="A282" s="317">
        <v>583100</v>
      </c>
      <c r="B282" s="999" t="s">
        <v>1641</v>
      </c>
      <c r="C282" s="1000" t="s">
        <v>184</v>
      </c>
      <c r="D282" s="1014" t="s">
        <v>235</v>
      </c>
      <c r="E282" s="974" t="str">
        <f>GLOBAL_DER_FEV_2023!E282</f>
        <v>taxa RR-2C</v>
      </c>
      <c r="F282" s="975">
        <f>GLOBAL_DER_FEV_2023!F282</f>
        <v>3.3999999999999998E-3</v>
      </c>
      <c r="G282" s="976">
        <f>GLOBAL_DER_FEV_2023!G282</f>
        <v>8.8266999999999998E-2</v>
      </c>
      <c r="H282" s="977">
        <f>GLOBAL_DER_FEV_2023!H282</f>
        <v>6.82</v>
      </c>
      <c r="I282" s="977">
        <f>GLOBAL_DER_FEV_2023!I282</f>
        <v>6.9082670000000004</v>
      </c>
      <c r="J282" s="978">
        <f>GLOBAL_DER_FEV_2023!J282</f>
        <v>8.2899999999999991</v>
      </c>
      <c r="K282" s="979" t="s">
        <v>12</v>
      </c>
      <c r="L282" s="1152"/>
      <c r="M282" s="1153">
        <f t="shared" si="22"/>
        <v>0</v>
      </c>
      <c r="N282" s="982">
        <f t="shared" si="26"/>
        <v>0</v>
      </c>
      <c r="O282" s="905"/>
      <c r="Q282" s="317" t="str">
        <f t="shared" si="23"/>
        <v/>
      </c>
      <c r="R282" s="317" t="str">
        <f t="shared" si="24"/>
        <v/>
      </c>
      <c r="S282" s="317" t="str">
        <f t="shared" si="25"/>
        <v/>
      </c>
      <c r="T282" s="317" t="str">
        <f>GLOBAL_DER_FEV_2023!S282</f>
        <v/>
      </c>
      <c r="W282" s="582">
        <v>0</v>
      </c>
      <c r="X282" s="580"/>
      <c r="Y282" s="583">
        <f>IF(GLOBAL_DER_FEV_2023!W282=0,0,IF(GLOBAL_DER_FEV_2023!W282&gt;0,"c","b"))</f>
        <v>0</v>
      </c>
    </row>
    <row r="283" spans="1:25" ht="13.5" hidden="1" thickBot="1" x14ac:dyDescent="0.25">
      <c r="A283" s="317" t="s">
        <v>147</v>
      </c>
      <c r="B283" s="895" t="s">
        <v>147</v>
      </c>
      <c r="C283" s="896"/>
      <c r="D283" s="1015" t="s">
        <v>233</v>
      </c>
      <c r="E283" s="898">
        <f>GLOBAL_DER_FEV_2023!E283</f>
        <v>0.2</v>
      </c>
      <c r="F283" s="908">
        <f>GLOBAL_DER_FEV_2023!F283</f>
        <v>3.0499999999999999E-2</v>
      </c>
      <c r="G283" s="949">
        <f>GLOBAL_DER_FEV_2023!G283</f>
        <v>8.8266999999999998E-2</v>
      </c>
      <c r="H283" s="901">
        <f>GLOBAL_DER_FEV_2023!H283</f>
        <v>0</v>
      </c>
      <c r="I283" s="901">
        <f>GLOBAL_DER_FEV_2023!I283</f>
        <v>0</v>
      </c>
      <c r="J283" s="902">
        <f>GLOBAL_DER_FEV_2023!J283</f>
        <v>0</v>
      </c>
      <c r="K283" s="903" t="s">
        <v>507</v>
      </c>
      <c r="L283" s="1003"/>
      <c r="M283" s="1157">
        <f t="shared" si="22"/>
        <v>0</v>
      </c>
      <c r="N283" s="893">
        <f t="shared" si="26"/>
        <v>0</v>
      </c>
      <c r="O283" s="905"/>
      <c r="P283" s="58" t="str">
        <f>IF(N282&gt;0,"xx",IF(N282&gt;0,"xy",""))</f>
        <v/>
      </c>
      <c r="Q283" s="317" t="str">
        <f t="shared" si="23"/>
        <v/>
      </c>
      <c r="R283" s="317" t="str">
        <f t="shared" si="24"/>
        <v/>
      </c>
      <c r="S283" s="317" t="str">
        <f t="shared" si="25"/>
        <v/>
      </c>
      <c r="T283" s="317" t="str">
        <f>GLOBAL_DER_FEV_2023!S283</f>
        <v/>
      </c>
      <c r="W283" s="582">
        <v>0</v>
      </c>
      <c r="X283" s="580"/>
      <c r="Y283" s="583">
        <f>IF(GLOBAL_DER_FEV_2023!W283=0,0,IF(GLOBAL_DER_FEV_2023!W283&gt;0,"c","b"))</f>
        <v>0</v>
      </c>
    </row>
    <row r="284" spans="1:25" ht="13.5" hidden="1" thickBot="1" x14ac:dyDescent="0.25">
      <c r="A284" s="317">
        <v>589520</v>
      </c>
      <c r="B284" s="1004" t="s">
        <v>1664</v>
      </c>
      <c r="C284" s="984" t="s">
        <v>213</v>
      </c>
      <c r="D284" s="1016" t="s">
        <v>1675</v>
      </c>
      <c r="E284" s="1005">
        <f>GLOBAL_DER_FEV_2023!E284</f>
        <v>353</v>
      </c>
      <c r="F284" s="1006">
        <f>GLOBAL_DER_FEV_2023!F284</f>
        <v>1</v>
      </c>
      <c r="G284" s="949">
        <f>GLOBAL_DER_FEV_2023!G284</f>
        <v>337.96999999999997</v>
      </c>
      <c r="H284" s="988">
        <f>GLOBAL_DER_FEV_2023!H284</f>
        <v>4164.04</v>
      </c>
      <c r="I284" s="988">
        <f>GLOBAL_DER_FEV_2023!I284</f>
        <v>4335.8923053218959</v>
      </c>
      <c r="J284" s="989">
        <f>GLOBAL_DER_FEV_2023!J284</f>
        <v>5206.1099999999997</v>
      </c>
      <c r="K284" s="990" t="s">
        <v>14</v>
      </c>
      <c r="L284" s="1154">
        <f>ROUND(L282*$F282,2)</f>
        <v>0</v>
      </c>
      <c r="M284" s="1159">
        <f t="shared" si="22"/>
        <v>0</v>
      </c>
      <c r="N284" s="993">
        <f t="shared" si="26"/>
        <v>0</v>
      </c>
      <c r="O284" s="905"/>
      <c r="P284" s="58" t="str">
        <f>IF(N282&gt;0,"xx",IF(N282&gt;0,"xy",""))</f>
        <v/>
      </c>
      <c r="Q284" s="317" t="str">
        <f t="shared" si="23"/>
        <v/>
      </c>
      <c r="R284" s="317" t="str">
        <f t="shared" si="24"/>
        <v/>
      </c>
      <c r="S284" s="317" t="str">
        <f t="shared" si="25"/>
        <v/>
      </c>
      <c r="T284" s="317" t="str">
        <f>GLOBAL_DER_FEV_2023!S284</f>
        <v/>
      </c>
      <c r="W284" s="582">
        <v>0</v>
      </c>
      <c r="X284" s="580"/>
      <c r="Y284" s="583">
        <f>IF(GLOBAL_DER_FEV_2023!W284=0,0,IF(GLOBAL_DER_FEV_2023!W284&gt;0,"c","b"))</f>
        <v>0</v>
      </c>
    </row>
    <row r="285" spans="1:25" ht="13.5" hidden="1" thickBot="1" x14ac:dyDescent="0.25">
      <c r="A285" s="317">
        <v>583100</v>
      </c>
      <c r="B285" s="999" t="s">
        <v>1642</v>
      </c>
      <c r="C285" s="1000" t="s">
        <v>184</v>
      </c>
      <c r="D285" s="1014" t="s">
        <v>236</v>
      </c>
      <c r="E285" s="974" t="str">
        <f>GLOBAL_DER_FEV_2023!E285</f>
        <v>taxa RR-2C</v>
      </c>
      <c r="F285" s="975">
        <f>GLOBAL_DER_FEV_2023!F285</f>
        <v>3.8E-3</v>
      </c>
      <c r="G285" s="976">
        <f>GLOBAL_DER_FEV_2023!G285</f>
        <v>0.1064992</v>
      </c>
      <c r="H285" s="977">
        <f>GLOBAL_DER_FEV_2023!H285</f>
        <v>6.82</v>
      </c>
      <c r="I285" s="977">
        <f>GLOBAL_DER_FEV_2023!I285</f>
        <v>6.9264992000000003</v>
      </c>
      <c r="J285" s="978">
        <f>GLOBAL_DER_FEV_2023!J285</f>
        <v>8.32</v>
      </c>
      <c r="K285" s="979" t="s">
        <v>12</v>
      </c>
      <c r="L285" s="1152"/>
      <c r="M285" s="1153">
        <f t="shared" si="22"/>
        <v>0</v>
      </c>
      <c r="N285" s="982">
        <f t="shared" si="26"/>
        <v>0</v>
      </c>
      <c r="O285" s="905"/>
      <c r="Q285" s="317" t="str">
        <f t="shared" si="23"/>
        <v/>
      </c>
      <c r="R285" s="317" t="str">
        <f t="shared" si="24"/>
        <v/>
      </c>
      <c r="S285" s="317" t="str">
        <f t="shared" si="25"/>
        <v/>
      </c>
      <c r="T285" s="317" t="str">
        <f>GLOBAL_DER_FEV_2023!S285</f>
        <v/>
      </c>
      <c r="W285" s="582">
        <v>0</v>
      </c>
      <c r="X285" s="580"/>
      <c r="Y285" s="583">
        <f>IF(GLOBAL_DER_FEV_2023!W285=0,0,IF(GLOBAL_DER_FEV_2023!W285&gt;0,"c","b"))</f>
        <v>0</v>
      </c>
    </row>
    <row r="286" spans="1:25" ht="13.5" hidden="1" thickBot="1" x14ac:dyDescent="0.25">
      <c r="A286" s="317" t="s">
        <v>147</v>
      </c>
      <c r="B286" s="895" t="s">
        <v>147</v>
      </c>
      <c r="C286" s="896"/>
      <c r="D286" s="1015" t="s">
        <v>233</v>
      </c>
      <c r="E286" s="898">
        <f>GLOBAL_DER_FEV_2023!E286</f>
        <v>0.2</v>
      </c>
      <c r="F286" s="908">
        <f>GLOBAL_DER_FEV_2023!F286</f>
        <v>3.6799999999999999E-2</v>
      </c>
      <c r="G286" s="949">
        <f>GLOBAL_DER_FEV_2023!G286</f>
        <v>0.1064992</v>
      </c>
      <c r="H286" s="901">
        <f>GLOBAL_DER_FEV_2023!H286</f>
        <v>0</v>
      </c>
      <c r="I286" s="901">
        <f>GLOBAL_DER_FEV_2023!I286</f>
        <v>0</v>
      </c>
      <c r="J286" s="902">
        <f>GLOBAL_DER_FEV_2023!J286</f>
        <v>0</v>
      </c>
      <c r="K286" s="903" t="s">
        <v>507</v>
      </c>
      <c r="L286" s="1003"/>
      <c r="M286" s="1157">
        <f t="shared" si="22"/>
        <v>0</v>
      </c>
      <c r="N286" s="893">
        <f t="shared" si="26"/>
        <v>0</v>
      </c>
      <c r="O286" s="905"/>
      <c r="P286" s="58" t="str">
        <f>IF(N285&gt;0,"xx",IF(N285&gt;0,"xy",""))</f>
        <v/>
      </c>
      <c r="Q286" s="317" t="str">
        <f t="shared" si="23"/>
        <v/>
      </c>
      <c r="R286" s="317" t="str">
        <f t="shared" si="24"/>
        <v/>
      </c>
      <c r="S286" s="317" t="str">
        <f t="shared" si="25"/>
        <v/>
      </c>
      <c r="T286" s="317" t="str">
        <f>GLOBAL_DER_FEV_2023!S286</f>
        <v/>
      </c>
      <c r="W286" s="582">
        <v>0</v>
      </c>
      <c r="X286" s="580"/>
      <c r="Y286" s="583">
        <f>IF(GLOBAL_DER_FEV_2023!W286=0,0,IF(GLOBAL_DER_FEV_2023!W286&gt;0,"c","b"))</f>
        <v>0</v>
      </c>
    </row>
    <row r="287" spans="1:25" ht="13.5" hidden="1" thickBot="1" x14ac:dyDescent="0.25">
      <c r="A287" s="317">
        <v>589520</v>
      </c>
      <c r="B287" s="1004" t="s">
        <v>1665</v>
      </c>
      <c r="C287" s="984" t="s">
        <v>213</v>
      </c>
      <c r="D287" s="1016" t="s">
        <v>559</v>
      </c>
      <c r="E287" s="1005">
        <f>GLOBAL_DER_FEV_2023!E287</f>
        <v>353</v>
      </c>
      <c r="F287" s="1006">
        <f>GLOBAL_DER_FEV_2023!F287</f>
        <v>1</v>
      </c>
      <c r="G287" s="949">
        <f>GLOBAL_DER_FEV_2023!G287</f>
        <v>337.96999999999997</v>
      </c>
      <c r="H287" s="988">
        <f>GLOBAL_DER_FEV_2023!H287</f>
        <v>4164.04</v>
      </c>
      <c r="I287" s="988">
        <f>GLOBAL_DER_FEV_2023!I287</f>
        <v>4335.8923053218959</v>
      </c>
      <c r="J287" s="989">
        <f>GLOBAL_DER_FEV_2023!J287</f>
        <v>5206.1099999999997</v>
      </c>
      <c r="K287" s="990" t="s">
        <v>14</v>
      </c>
      <c r="L287" s="1154">
        <f>ROUND(L285*$F285,2)</f>
        <v>0</v>
      </c>
      <c r="M287" s="1159">
        <f t="shared" si="22"/>
        <v>0</v>
      </c>
      <c r="N287" s="993">
        <f t="shared" si="26"/>
        <v>0</v>
      </c>
      <c r="O287" s="905"/>
      <c r="P287" s="58" t="str">
        <f>IF(N285&gt;0,"xx",IF(N285&gt;0,"xy",""))</f>
        <v/>
      </c>
      <c r="Q287" s="317" t="str">
        <f t="shared" si="23"/>
        <v/>
      </c>
      <c r="R287" s="317" t="str">
        <f t="shared" si="24"/>
        <v/>
      </c>
      <c r="S287" s="317" t="str">
        <f t="shared" si="25"/>
        <v/>
      </c>
      <c r="T287" s="317" t="str">
        <f>GLOBAL_DER_FEV_2023!S287</f>
        <v/>
      </c>
      <c r="W287" s="582">
        <v>0</v>
      </c>
      <c r="X287" s="580"/>
      <c r="Y287" s="583">
        <f>IF(GLOBAL_DER_FEV_2023!W287=0,0,IF(GLOBAL_DER_FEV_2023!W287&gt;0,"c","b"))</f>
        <v>0</v>
      </c>
    </row>
    <row r="288" spans="1:25" ht="13.5" hidden="1" thickBot="1" x14ac:dyDescent="0.25">
      <c r="A288" s="317">
        <v>584200</v>
      </c>
      <c r="B288" s="999" t="s">
        <v>1643</v>
      </c>
      <c r="C288" s="1000" t="s">
        <v>184</v>
      </c>
      <c r="D288" s="1014" t="s">
        <v>237</v>
      </c>
      <c r="E288" s="974" t="str">
        <f>GLOBAL_DER_FEV_2023!E288</f>
        <v>taxa RR-2C</v>
      </c>
      <c r="F288" s="975">
        <f>GLOBAL_DER_FEV_2023!F288</f>
        <v>3.3E-3</v>
      </c>
      <c r="G288" s="976">
        <f>GLOBAL_DER_FEV_2023!G288</f>
        <v>8.2189600000000002E-2</v>
      </c>
      <c r="H288" s="977">
        <f>GLOBAL_DER_FEV_2023!H288</f>
        <v>8.48</v>
      </c>
      <c r="I288" s="977">
        <f>GLOBAL_DER_FEV_2023!I288</f>
        <v>8.5621896</v>
      </c>
      <c r="J288" s="978">
        <f>GLOBAL_DER_FEV_2023!J288</f>
        <v>10.28</v>
      </c>
      <c r="K288" s="979" t="s">
        <v>12</v>
      </c>
      <c r="L288" s="1152"/>
      <c r="M288" s="1153">
        <f t="shared" si="22"/>
        <v>0</v>
      </c>
      <c r="N288" s="982">
        <f t="shared" si="26"/>
        <v>0</v>
      </c>
      <c r="O288" s="905"/>
      <c r="Q288" s="317" t="str">
        <f t="shared" si="23"/>
        <v/>
      </c>
      <c r="R288" s="317" t="str">
        <f t="shared" si="24"/>
        <v/>
      </c>
      <c r="S288" s="317" t="str">
        <f t="shared" si="25"/>
        <v/>
      </c>
      <c r="T288" s="317" t="str">
        <f>GLOBAL_DER_FEV_2023!S288</f>
        <v/>
      </c>
      <c r="W288" s="582">
        <v>0</v>
      </c>
      <c r="X288" s="580"/>
      <c r="Y288" s="583">
        <f>IF(GLOBAL_DER_FEV_2023!W288=0,0,IF(GLOBAL_DER_FEV_2023!W288&gt;0,"c","b"))</f>
        <v>0</v>
      </c>
    </row>
    <row r="289" spans="1:25" ht="13.5" hidden="1" thickBot="1" x14ac:dyDescent="0.25">
      <c r="A289" s="317" t="s">
        <v>147</v>
      </c>
      <c r="B289" s="895" t="s">
        <v>147</v>
      </c>
      <c r="C289" s="896"/>
      <c r="D289" s="1015" t="s">
        <v>233</v>
      </c>
      <c r="E289" s="898">
        <f>GLOBAL_DER_FEV_2023!E289</f>
        <v>0.2</v>
      </c>
      <c r="F289" s="908">
        <f>GLOBAL_DER_FEV_2023!F289</f>
        <v>2.8400000000000002E-2</v>
      </c>
      <c r="G289" s="949">
        <f>GLOBAL_DER_FEV_2023!G289</f>
        <v>8.2189600000000002E-2</v>
      </c>
      <c r="H289" s="901">
        <f>GLOBAL_DER_FEV_2023!H289</f>
        <v>0</v>
      </c>
      <c r="I289" s="901">
        <f>GLOBAL_DER_FEV_2023!I289</f>
        <v>0</v>
      </c>
      <c r="J289" s="902">
        <f>GLOBAL_DER_FEV_2023!J289</f>
        <v>0</v>
      </c>
      <c r="K289" s="903" t="s">
        <v>507</v>
      </c>
      <c r="L289" s="1003"/>
      <c r="M289" s="1157">
        <f t="shared" si="22"/>
        <v>0</v>
      </c>
      <c r="N289" s="893">
        <f t="shared" si="26"/>
        <v>0</v>
      </c>
      <c r="O289" s="905"/>
      <c r="P289" s="58" t="str">
        <f>IF(N288&gt;0,"xx",IF(N288&gt;0,"xy",""))</f>
        <v/>
      </c>
      <c r="Q289" s="317" t="str">
        <f t="shared" si="23"/>
        <v/>
      </c>
      <c r="R289" s="317" t="str">
        <f t="shared" si="24"/>
        <v/>
      </c>
      <c r="S289" s="317" t="str">
        <f t="shared" si="25"/>
        <v/>
      </c>
      <c r="T289" s="317" t="str">
        <f>GLOBAL_DER_FEV_2023!S289</f>
        <v/>
      </c>
      <c r="W289" s="582">
        <v>0</v>
      </c>
      <c r="X289" s="580"/>
      <c r="Y289" s="583">
        <f>IF(GLOBAL_DER_FEV_2023!W289=0,0,IF(GLOBAL_DER_FEV_2023!W289&gt;0,"c","b"))</f>
        <v>0</v>
      </c>
    </row>
    <row r="290" spans="1:25" ht="13.5" hidden="1" thickBot="1" x14ac:dyDescent="0.25">
      <c r="A290" s="317">
        <v>589520</v>
      </c>
      <c r="B290" s="1004" t="s">
        <v>1666</v>
      </c>
      <c r="C290" s="984" t="s">
        <v>213</v>
      </c>
      <c r="D290" s="1016" t="s">
        <v>558</v>
      </c>
      <c r="E290" s="1005">
        <f>GLOBAL_DER_FEV_2023!E290</f>
        <v>353</v>
      </c>
      <c r="F290" s="1006">
        <f>GLOBAL_DER_FEV_2023!F290</f>
        <v>1</v>
      </c>
      <c r="G290" s="949">
        <f>GLOBAL_DER_FEV_2023!G290</f>
        <v>337.96999999999997</v>
      </c>
      <c r="H290" s="988">
        <f>GLOBAL_DER_FEV_2023!H290</f>
        <v>4164.04</v>
      </c>
      <c r="I290" s="988">
        <f>GLOBAL_DER_FEV_2023!I290</f>
        <v>4335.8923053218959</v>
      </c>
      <c r="J290" s="989">
        <f>GLOBAL_DER_FEV_2023!J290</f>
        <v>5206.1099999999997</v>
      </c>
      <c r="K290" s="990" t="s">
        <v>14</v>
      </c>
      <c r="L290" s="1154">
        <f>ROUND(L288*$F288,2)</f>
        <v>0</v>
      </c>
      <c r="M290" s="1159">
        <f t="shared" si="22"/>
        <v>0</v>
      </c>
      <c r="N290" s="993">
        <f t="shared" si="26"/>
        <v>0</v>
      </c>
      <c r="O290" s="905"/>
      <c r="P290" s="58" t="str">
        <f>IF(N288&gt;0,"xx",IF(N288&gt;0,"xy",""))</f>
        <v/>
      </c>
      <c r="Q290" s="317" t="str">
        <f t="shared" si="23"/>
        <v/>
      </c>
      <c r="R290" s="317" t="str">
        <f t="shared" si="24"/>
        <v/>
      </c>
      <c r="S290" s="317" t="str">
        <f t="shared" si="25"/>
        <v/>
      </c>
      <c r="T290" s="317" t="str">
        <f>GLOBAL_DER_FEV_2023!S290</f>
        <v/>
      </c>
      <c r="W290" s="582">
        <v>0</v>
      </c>
      <c r="X290" s="580"/>
      <c r="Y290" s="583">
        <f>IF(GLOBAL_DER_FEV_2023!W290=0,0,IF(GLOBAL_DER_FEV_2023!W290&gt;0,"c","b"))</f>
        <v>0</v>
      </c>
    </row>
    <row r="291" spans="1:25" ht="13.5" hidden="1" thickBot="1" x14ac:dyDescent="0.25">
      <c r="A291" s="317">
        <v>584200</v>
      </c>
      <c r="B291" s="999" t="s">
        <v>1644</v>
      </c>
      <c r="C291" s="1000" t="s">
        <v>184</v>
      </c>
      <c r="D291" s="1014" t="s">
        <v>238</v>
      </c>
      <c r="E291" s="974" t="str">
        <f>GLOBAL_DER_FEV_2023!E291</f>
        <v>taxa RR-2C</v>
      </c>
      <c r="F291" s="975">
        <f>GLOBAL_DER_FEV_2023!F291</f>
        <v>3.8E-3</v>
      </c>
      <c r="G291" s="976">
        <f>GLOBAL_DER_FEV_2023!G291</f>
        <v>0.10042180000000001</v>
      </c>
      <c r="H291" s="977">
        <f>GLOBAL_DER_FEV_2023!H291</f>
        <v>8.48</v>
      </c>
      <c r="I291" s="977">
        <f>GLOBAL_DER_FEV_2023!I291</f>
        <v>8.5804217999999999</v>
      </c>
      <c r="J291" s="978">
        <f>GLOBAL_DER_FEV_2023!J291</f>
        <v>10.3</v>
      </c>
      <c r="K291" s="979" t="s">
        <v>12</v>
      </c>
      <c r="L291" s="1152"/>
      <c r="M291" s="1153">
        <f t="shared" si="22"/>
        <v>0</v>
      </c>
      <c r="N291" s="982">
        <f t="shared" si="26"/>
        <v>0</v>
      </c>
      <c r="O291" s="905"/>
      <c r="Q291" s="317" t="str">
        <f t="shared" si="23"/>
        <v/>
      </c>
      <c r="R291" s="317" t="str">
        <f t="shared" si="24"/>
        <v/>
      </c>
      <c r="S291" s="317" t="str">
        <f t="shared" si="25"/>
        <v/>
      </c>
      <c r="T291" s="317" t="str">
        <f>GLOBAL_DER_FEV_2023!S291</f>
        <v/>
      </c>
      <c r="W291" s="582">
        <v>0</v>
      </c>
      <c r="X291" s="580"/>
      <c r="Y291" s="583">
        <f>IF(GLOBAL_DER_FEV_2023!W291=0,0,IF(GLOBAL_DER_FEV_2023!W291&gt;0,"c","b"))</f>
        <v>0</v>
      </c>
    </row>
    <row r="292" spans="1:25" ht="13.5" hidden="1" thickBot="1" x14ac:dyDescent="0.25">
      <c r="A292" s="317" t="s">
        <v>147</v>
      </c>
      <c r="B292" s="895" t="s">
        <v>147</v>
      </c>
      <c r="C292" s="896"/>
      <c r="D292" s="1015" t="s">
        <v>233</v>
      </c>
      <c r="E292" s="898">
        <f>GLOBAL_DER_FEV_2023!E292</f>
        <v>0.2</v>
      </c>
      <c r="F292" s="908">
        <f>GLOBAL_DER_FEV_2023!F292</f>
        <v>3.4700000000000002E-2</v>
      </c>
      <c r="G292" s="949">
        <f>GLOBAL_DER_FEV_2023!G292</f>
        <v>0.10042180000000001</v>
      </c>
      <c r="H292" s="901">
        <f>GLOBAL_DER_FEV_2023!H292</f>
        <v>0</v>
      </c>
      <c r="I292" s="901">
        <f>GLOBAL_DER_FEV_2023!I292</f>
        <v>0</v>
      </c>
      <c r="J292" s="902">
        <f>GLOBAL_DER_FEV_2023!J292</f>
        <v>0</v>
      </c>
      <c r="K292" s="903" t="s">
        <v>507</v>
      </c>
      <c r="L292" s="1003"/>
      <c r="M292" s="1157">
        <f t="shared" si="22"/>
        <v>0</v>
      </c>
      <c r="N292" s="893">
        <f t="shared" si="26"/>
        <v>0</v>
      </c>
      <c r="O292" s="905"/>
      <c r="P292" s="58" t="str">
        <f>IF(N291&gt;0,"xx",IF(N291&gt;0,"xy",""))</f>
        <v/>
      </c>
      <c r="Q292" s="317" t="str">
        <f t="shared" si="23"/>
        <v/>
      </c>
      <c r="R292" s="317" t="str">
        <f t="shared" si="24"/>
        <v/>
      </c>
      <c r="S292" s="317" t="str">
        <f t="shared" si="25"/>
        <v/>
      </c>
      <c r="T292" s="317" t="str">
        <f>GLOBAL_DER_FEV_2023!S292</f>
        <v/>
      </c>
      <c r="W292" s="582">
        <v>0</v>
      </c>
      <c r="X292" s="580"/>
      <c r="Y292" s="583">
        <f>IF(GLOBAL_DER_FEV_2023!W292=0,0,IF(GLOBAL_DER_FEV_2023!W292&gt;0,"c","b"))</f>
        <v>0</v>
      </c>
    </row>
    <row r="293" spans="1:25" ht="13.5" hidden="1" thickBot="1" x14ac:dyDescent="0.25">
      <c r="A293" s="317">
        <v>589520</v>
      </c>
      <c r="B293" s="1004" t="s">
        <v>1667</v>
      </c>
      <c r="C293" s="984" t="s">
        <v>213</v>
      </c>
      <c r="D293" s="1016" t="s">
        <v>560</v>
      </c>
      <c r="E293" s="1005">
        <f>GLOBAL_DER_FEV_2023!E293</f>
        <v>353</v>
      </c>
      <c r="F293" s="1006">
        <f>GLOBAL_DER_FEV_2023!F293</f>
        <v>1</v>
      </c>
      <c r="G293" s="949">
        <f>GLOBAL_DER_FEV_2023!G293</f>
        <v>337.96999999999997</v>
      </c>
      <c r="H293" s="988">
        <f>GLOBAL_DER_FEV_2023!H293</f>
        <v>4164.04</v>
      </c>
      <c r="I293" s="988">
        <f>GLOBAL_DER_FEV_2023!I293</f>
        <v>4335.8923053218959</v>
      </c>
      <c r="J293" s="989">
        <f>GLOBAL_DER_FEV_2023!J293</f>
        <v>5206.1099999999997</v>
      </c>
      <c r="K293" s="990" t="s">
        <v>14</v>
      </c>
      <c r="L293" s="1154">
        <f>ROUND(L291*$F291,2)</f>
        <v>0</v>
      </c>
      <c r="M293" s="1159">
        <f t="shared" si="22"/>
        <v>0</v>
      </c>
      <c r="N293" s="993">
        <f t="shared" si="26"/>
        <v>0</v>
      </c>
      <c r="O293" s="905"/>
      <c r="P293" s="58" t="str">
        <f>IF(N291&gt;0,"xx",IF(N291&gt;0,"xy",""))</f>
        <v/>
      </c>
      <c r="Q293" s="317" t="str">
        <f t="shared" si="23"/>
        <v/>
      </c>
      <c r="R293" s="317" t="str">
        <f t="shared" si="24"/>
        <v/>
      </c>
      <c r="S293" s="317" t="str">
        <f t="shared" si="25"/>
        <v/>
      </c>
      <c r="T293" s="317" t="str">
        <f>GLOBAL_DER_FEV_2023!S293</f>
        <v/>
      </c>
      <c r="W293" s="582">
        <v>0</v>
      </c>
      <c r="X293" s="580"/>
      <c r="Y293" s="583">
        <f>IF(GLOBAL_DER_FEV_2023!W293=0,0,IF(GLOBAL_DER_FEV_2023!W293&gt;0,"c","b"))</f>
        <v>0</v>
      </c>
    </row>
    <row r="294" spans="1:25" ht="13.5" hidden="1" thickBot="1" x14ac:dyDescent="0.25">
      <c r="A294" s="317">
        <v>584200</v>
      </c>
      <c r="B294" s="999" t="s">
        <v>1645</v>
      </c>
      <c r="C294" s="1000" t="s">
        <v>184</v>
      </c>
      <c r="D294" s="1014" t="s">
        <v>239</v>
      </c>
      <c r="E294" s="974" t="str">
        <f>GLOBAL_DER_FEV_2023!E294</f>
        <v>taxa RR-2C</v>
      </c>
      <c r="F294" s="975">
        <f>GLOBAL_DER_FEV_2023!F294</f>
        <v>4.0000000000000001E-3</v>
      </c>
      <c r="G294" s="976">
        <f>GLOBAL_DER_FEV_2023!G294</f>
        <v>0.13891200000000001</v>
      </c>
      <c r="H294" s="977">
        <f>GLOBAL_DER_FEV_2023!H294</f>
        <v>8.48</v>
      </c>
      <c r="I294" s="977">
        <f>GLOBAL_DER_FEV_2023!I294</f>
        <v>8.6189119999999999</v>
      </c>
      <c r="J294" s="978">
        <f>GLOBAL_DER_FEV_2023!J294</f>
        <v>10.35</v>
      </c>
      <c r="K294" s="979" t="s">
        <v>12</v>
      </c>
      <c r="L294" s="1152"/>
      <c r="M294" s="1153">
        <f t="shared" si="22"/>
        <v>0</v>
      </c>
      <c r="N294" s="982">
        <f t="shared" si="26"/>
        <v>0</v>
      </c>
      <c r="O294" s="905"/>
      <c r="Q294" s="317" t="str">
        <f t="shared" si="23"/>
        <v/>
      </c>
      <c r="R294" s="317" t="str">
        <f t="shared" si="24"/>
        <v/>
      </c>
      <c r="S294" s="317" t="str">
        <f t="shared" si="25"/>
        <v/>
      </c>
      <c r="T294" s="317" t="str">
        <f>GLOBAL_DER_FEV_2023!S294</f>
        <v/>
      </c>
      <c r="W294" s="582">
        <v>0</v>
      </c>
      <c r="X294" s="580"/>
      <c r="Y294" s="583">
        <f>IF(GLOBAL_DER_FEV_2023!W294=0,0,IF(GLOBAL_DER_FEV_2023!W294&gt;0,"c","b"))</f>
        <v>0</v>
      </c>
    </row>
    <row r="295" spans="1:25" ht="13.5" hidden="1" thickBot="1" x14ac:dyDescent="0.25">
      <c r="A295" s="317" t="s">
        <v>147</v>
      </c>
      <c r="B295" s="895" t="s">
        <v>147</v>
      </c>
      <c r="C295" s="896"/>
      <c r="D295" s="1015" t="s">
        <v>233</v>
      </c>
      <c r="E295" s="898">
        <f>GLOBAL_DER_FEV_2023!E295</f>
        <v>0.2</v>
      </c>
      <c r="F295" s="908">
        <f>GLOBAL_DER_FEV_2023!F295</f>
        <v>4.8000000000000001E-2</v>
      </c>
      <c r="G295" s="949">
        <f>GLOBAL_DER_FEV_2023!G295</f>
        <v>0.13891200000000001</v>
      </c>
      <c r="H295" s="901">
        <f>GLOBAL_DER_FEV_2023!H295</f>
        <v>0</v>
      </c>
      <c r="I295" s="901">
        <f>GLOBAL_DER_FEV_2023!I295</f>
        <v>0</v>
      </c>
      <c r="J295" s="902">
        <f>GLOBAL_DER_FEV_2023!J295</f>
        <v>0</v>
      </c>
      <c r="K295" s="903" t="s">
        <v>507</v>
      </c>
      <c r="L295" s="1003"/>
      <c r="M295" s="1157">
        <f t="shared" si="22"/>
        <v>0</v>
      </c>
      <c r="N295" s="893">
        <f t="shared" si="26"/>
        <v>0</v>
      </c>
      <c r="O295" s="905"/>
      <c r="P295" s="58" t="str">
        <f>IF(N294&gt;0,"xx",IF(N294&gt;0,"xy",""))</f>
        <v/>
      </c>
      <c r="Q295" s="317" t="str">
        <f t="shared" si="23"/>
        <v/>
      </c>
      <c r="R295" s="317" t="str">
        <f t="shared" si="24"/>
        <v/>
      </c>
      <c r="S295" s="317" t="str">
        <f t="shared" si="25"/>
        <v/>
      </c>
      <c r="T295" s="317" t="str">
        <f>GLOBAL_DER_FEV_2023!S295</f>
        <v/>
      </c>
      <c r="W295" s="582">
        <v>0</v>
      </c>
      <c r="X295" s="580"/>
      <c r="Y295" s="583">
        <f>IF(GLOBAL_DER_FEV_2023!W295=0,0,IF(GLOBAL_DER_FEV_2023!W295&gt;0,"c","b"))</f>
        <v>0</v>
      </c>
    </row>
    <row r="296" spans="1:25" ht="13.5" hidden="1" thickBot="1" x14ac:dyDescent="0.25">
      <c r="A296" s="317">
        <v>589520</v>
      </c>
      <c r="B296" s="1004" t="s">
        <v>1668</v>
      </c>
      <c r="C296" s="984" t="s">
        <v>213</v>
      </c>
      <c r="D296" s="1016" t="s">
        <v>561</v>
      </c>
      <c r="E296" s="1005">
        <f>GLOBAL_DER_FEV_2023!E296</f>
        <v>353</v>
      </c>
      <c r="F296" s="1006">
        <f>GLOBAL_DER_FEV_2023!F296</f>
        <v>1</v>
      </c>
      <c r="G296" s="949">
        <f>GLOBAL_DER_FEV_2023!G296</f>
        <v>337.96999999999997</v>
      </c>
      <c r="H296" s="988">
        <f>GLOBAL_DER_FEV_2023!H296</f>
        <v>4164.04</v>
      </c>
      <c r="I296" s="988">
        <f>GLOBAL_DER_FEV_2023!I296</f>
        <v>4335.8923053218959</v>
      </c>
      <c r="J296" s="989">
        <f>GLOBAL_DER_FEV_2023!J296</f>
        <v>5206.1099999999997</v>
      </c>
      <c r="K296" s="990" t="s">
        <v>14</v>
      </c>
      <c r="L296" s="1154">
        <f>ROUND(L294*$F294,2)</f>
        <v>0</v>
      </c>
      <c r="M296" s="1159">
        <f t="shared" si="22"/>
        <v>0</v>
      </c>
      <c r="N296" s="993">
        <f t="shared" si="26"/>
        <v>0</v>
      </c>
      <c r="O296" s="905"/>
      <c r="P296" s="58" t="str">
        <f>IF(N294&gt;0,"xx",IF(N294&gt;0,"xy",""))</f>
        <v/>
      </c>
      <c r="Q296" s="317" t="str">
        <f t="shared" si="23"/>
        <v/>
      </c>
      <c r="R296" s="317" t="str">
        <f t="shared" si="24"/>
        <v/>
      </c>
      <c r="S296" s="317" t="str">
        <f t="shared" si="25"/>
        <v/>
      </c>
      <c r="T296" s="317" t="str">
        <f>GLOBAL_DER_FEV_2023!S296</f>
        <v/>
      </c>
      <c r="W296" s="582">
        <v>0</v>
      </c>
      <c r="X296" s="580"/>
      <c r="Y296" s="583">
        <f>IF(GLOBAL_DER_FEV_2023!W296=0,0,IF(GLOBAL_DER_FEV_2023!W296&gt;0,"c","b"))</f>
        <v>0</v>
      </c>
    </row>
    <row r="297" spans="1:25" ht="13.5" hidden="1" thickBot="1" x14ac:dyDescent="0.25">
      <c r="A297" s="317">
        <v>564000</v>
      </c>
      <c r="B297" s="999">
        <v>564000</v>
      </c>
      <c r="C297" s="1000" t="s">
        <v>184</v>
      </c>
      <c r="D297" s="1014" t="s">
        <v>240</v>
      </c>
      <c r="E297" s="974" t="str">
        <f>GLOBAL_DER_FEV_2023!E297</f>
        <v>taxa RR-2C</v>
      </c>
      <c r="F297" s="975">
        <f>GLOBAL_DER_FEV_2023!F297</f>
        <v>0.125</v>
      </c>
      <c r="G297" s="976">
        <f>GLOBAL_DER_FEV_2023!G297</f>
        <v>6.3668000000000005</v>
      </c>
      <c r="H297" s="977">
        <f>GLOBAL_DER_FEV_2023!H297</f>
        <v>122.99</v>
      </c>
      <c r="I297" s="977">
        <f>GLOBAL_DER_FEV_2023!I297</f>
        <v>129.35679999999999</v>
      </c>
      <c r="J297" s="978">
        <f>GLOBAL_DER_FEV_2023!J297</f>
        <v>155.32</v>
      </c>
      <c r="K297" s="979" t="s">
        <v>10</v>
      </c>
      <c r="L297" s="1152"/>
      <c r="M297" s="1153">
        <f t="shared" si="22"/>
        <v>0</v>
      </c>
      <c r="N297" s="982">
        <f t="shared" si="26"/>
        <v>0</v>
      </c>
      <c r="O297" s="905"/>
      <c r="Q297" s="317" t="str">
        <f t="shared" si="23"/>
        <v/>
      </c>
      <c r="R297" s="317" t="str">
        <f t="shared" si="24"/>
        <v/>
      </c>
      <c r="S297" s="317" t="str">
        <f t="shared" si="25"/>
        <v/>
      </c>
      <c r="T297" s="317" t="str">
        <f>GLOBAL_DER_FEV_2023!S297</f>
        <v/>
      </c>
      <c r="W297" s="582">
        <v>0</v>
      </c>
      <c r="X297" s="580"/>
      <c r="Y297" s="583">
        <f>IF(GLOBAL_DER_FEV_2023!W297=0,0,IF(GLOBAL_DER_FEV_2023!W297&gt;0,"c","b"))</f>
        <v>0</v>
      </c>
    </row>
    <row r="298" spans="1:25" ht="13.5" hidden="1" thickBot="1" x14ac:dyDescent="0.25">
      <c r="A298" s="317" t="s">
        <v>147</v>
      </c>
      <c r="B298" s="895" t="s">
        <v>147</v>
      </c>
      <c r="C298" s="896"/>
      <c r="D298" s="1015" t="s">
        <v>233</v>
      </c>
      <c r="E298" s="898">
        <f>GLOBAL_DER_FEV_2023!E298</f>
        <v>0.2</v>
      </c>
      <c r="F298" s="908">
        <f>GLOBAL_DER_FEV_2023!F298</f>
        <v>2.2000000000000002</v>
      </c>
      <c r="G298" s="949">
        <f>GLOBAL_DER_FEV_2023!G298</f>
        <v>6.3668000000000005</v>
      </c>
      <c r="H298" s="901">
        <f>GLOBAL_DER_FEV_2023!H298</f>
        <v>0</v>
      </c>
      <c r="I298" s="901">
        <f>GLOBAL_DER_FEV_2023!I298</f>
        <v>0</v>
      </c>
      <c r="J298" s="902">
        <f>GLOBAL_DER_FEV_2023!J298</f>
        <v>0</v>
      </c>
      <c r="K298" s="903" t="s">
        <v>507</v>
      </c>
      <c r="L298" s="1003"/>
      <c r="M298" s="1157">
        <f t="shared" si="22"/>
        <v>0</v>
      </c>
      <c r="N298" s="893">
        <f t="shared" si="26"/>
        <v>0</v>
      </c>
      <c r="O298" s="905"/>
      <c r="P298" s="58" t="str">
        <f>IF(N297&gt;0,"xx",IF(N297&gt;0,"xy",""))</f>
        <v/>
      </c>
      <c r="Q298" s="317" t="str">
        <f t="shared" si="23"/>
        <v/>
      </c>
      <c r="R298" s="317" t="str">
        <f t="shared" si="24"/>
        <v/>
      </c>
      <c r="S298" s="317" t="str">
        <f t="shared" si="25"/>
        <v/>
      </c>
      <c r="T298" s="317" t="str">
        <f>GLOBAL_DER_FEV_2023!S298</f>
        <v/>
      </c>
      <c r="W298" s="582">
        <v>0</v>
      </c>
      <c r="X298" s="580"/>
      <c r="Y298" s="583">
        <f>IF(GLOBAL_DER_FEV_2023!W298=0,0,IF(GLOBAL_DER_FEV_2023!W298&gt;0,"c","b"))</f>
        <v>0</v>
      </c>
    </row>
    <row r="299" spans="1:25" ht="13.5" hidden="1" thickBot="1" x14ac:dyDescent="0.25">
      <c r="A299" s="317">
        <v>589520</v>
      </c>
      <c r="B299" s="1004" t="s">
        <v>1669</v>
      </c>
      <c r="C299" s="984" t="s">
        <v>213</v>
      </c>
      <c r="D299" s="1016" t="s">
        <v>562</v>
      </c>
      <c r="E299" s="1005">
        <f>GLOBAL_DER_FEV_2023!E299</f>
        <v>353</v>
      </c>
      <c r="F299" s="1006">
        <f>GLOBAL_DER_FEV_2023!F299</f>
        <v>1</v>
      </c>
      <c r="G299" s="949">
        <f>GLOBAL_DER_FEV_2023!G299</f>
        <v>337.96999999999997</v>
      </c>
      <c r="H299" s="988">
        <f>GLOBAL_DER_FEV_2023!H299</f>
        <v>4164.04</v>
      </c>
      <c r="I299" s="988">
        <f>GLOBAL_DER_FEV_2023!I299</f>
        <v>4335.8923053218959</v>
      </c>
      <c r="J299" s="989">
        <f>GLOBAL_DER_FEV_2023!J299</f>
        <v>5206.1099999999997</v>
      </c>
      <c r="K299" s="990" t="s">
        <v>14</v>
      </c>
      <c r="L299" s="1154">
        <f>ROUND(L297*$F297,2)</f>
        <v>0</v>
      </c>
      <c r="M299" s="1159">
        <f t="shared" si="22"/>
        <v>0</v>
      </c>
      <c r="N299" s="993">
        <f t="shared" si="26"/>
        <v>0</v>
      </c>
      <c r="O299" s="905"/>
      <c r="P299" s="58" t="str">
        <f>IF(N297&gt;0,"xx",IF(N297&gt;0,"xy",""))</f>
        <v/>
      </c>
      <c r="Q299" s="317" t="str">
        <f t="shared" si="23"/>
        <v/>
      </c>
      <c r="R299" s="317" t="str">
        <f t="shared" si="24"/>
        <v/>
      </c>
      <c r="S299" s="317" t="str">
        <f t="shared" si="25"/>
        <v/>
      </c>
      <c r="T299" s="317" t="str">
        <f>GLOBAL_DER_FEV_2023!S299</f>
        <v/>
      </c>
      <c r="W299" s="582">
        <v>0</v>
      </c>
      <c r="X299" s="580"/>
      <c r="Y299" s="583">
        <f>IF(GLOBAL_DER_FEV_2023!W299=0,0,IF(GLOBAL_DER_FEV_2023!W299&gt;0,"c","b"))</f>
        <v>0</v>
      </c>
    </row>
    <row r="300" spans="1:25" ht="13.5" hidden="1" thickBot="1" x14ac:dyDescent="0.25">
      <c r="A300" s="317">
        <v>564300</v>
      </c>
      <c r="B300" s="999">
        <v>564300</v>
      </c>
      <c r="C300" s="1000" t="s">
        <v>184</v>
      </c>
      <c r="D300" s="1014" t="s">
        <v>241</v>
      </c>
      <c r="E300" s="974" t="str">
        <f>GLOBAL_DER_FEV_2023!E300</f>
        <v>taxa CAP</v>
      </c>
      <c r="F300" s="975">
        <f>GLOBAL_DER_FEV_2023!F300</f>
        <v>0.1</v>
      </c>
      <c r="G300" s="976">
        <f>GLOBAL_DER_FEV_2023!G300</f>
        <v>6.3668000000000005</v>
      </c>
      <c r="H300" s="977">
        <f>GLOBAL_DER_FEV_2023!H300</f>
        <v>131</v>
      </c>
      <c r="I300" s="977">
        <f>GLOBAL_DER_FEV_2023!I300</f>
        <v>137.36680000000001</v>
      </c>
      <c r="J300" s="978">
        <f>GLOBAL_DER_FEV_2023!J300</f>
        <v>164.94</v>
      </c>
      <c r="K300" s="979" t="s">
        <v>10</v>
      </c>
      <c r="L300" s="1152"/>
      <c r="M300" s="1153">
        <f t="shared" si="22"/>
        <v>0</v>
      </c>
      <c r="N300" s="982">
        <f t="shared" si="26"/>
        <v>0</v>
      </c>
      <c r="O300" s="905"/>
      <c r="Q300" s="317" t="str">
        <f t="shared" si="23"/>
        <v/>
      </c>
      <c r="R300" s="317" t="str">
        <f t="shared" si="24"/>
        <v/>
      </c>
      <c r="S300" s="317" t="str">
        <f t="shared" si="25"/>
        <v/>
      </c>
      <c r="T300" s="317" t="str">
        <f>GLOBAL_DER_FEV_2023!S300</f>
        <v/>
      </c>
      <c r="W300" s="582">
        <v>0</v>
      </c>
      <c r="X300" s="580"/>
      <c r="Y300" s="583">
        <f>IF(GLOBAL_DER_FEV_2023!W300=0,0,IF(GLOBAL_DER_FEV_2023!W300&gt;0,"c","b"))</f>
        <v>0</v>
      </c>
    </row>
    <row r="301" spans="1:25" ht="13.5" hidden="1" thickBot="1" x14ac:dyDescent="0.25">
      <c r="A301" s="317" t="s">
        <v>147</v>
      </c>
      <c r="B301" s="895" t="s">
        <v>147</v>
      </c>
      <c r="C301" s="896"/>
      <c r="D301" s="1015" t="s">
        <v>233</v>
      </c>
      <c r="E301" s="898">
        <f>GLOBAL_DER_FEV_2023!E301</f>
        <v>0.2</v>
      </c>
      <c r="F301" s="908">
        <f>GLOBAL_DER_FEV_2023!F301</f>
        <v>2.2000000000000002</v>
      </c>
      <c r="G301" s="949">
        <f>GLOBAL_DER_FEV_2023!G301</f>
        <v>6.3668000000000005</v>
      </c>
      <c r="H301" s="901">
        <f>GLOBAL_DER_FEV_2023!H301</f>
        <v>0</v>
      </c>
      <c r="I301" s="901">
        <f>GLOBAL_DER_FEV_2023!I301</f>
        <v>0</v>
      </c>
      <c r="J301" s="902">
        <f>GLOBAL_DER_FEV_2023!J301</f>
        <v>0</v>
      </c>
      <c r="K301" s="903" t="s">
        <v>507</v>
      </c>
      <c r="L301" s="1003"/>
      <c r="M301" s="1157">
        <f t="shared" si="22"/>
        <v>0</v>
      </c>
      <c r="N301" s="893">
        <f t="shared" si="26"/>
        <v>0</v>
      </c>
      <c r="O301" s="905"/>
      <c r="P301" s="58" t="str">
        <f>IF(N300&gt;0,"xx",IF(N300&gt;0,"xy",""))</f>
        <v/>
      </c>
      <c r="Q301" s="317" t="str">
        <f t="shared" si="23"/>
        <v/>
      </c>
      <c r="R301" s="317" t="str">
        <f t="shared" si="24"/>
        <v/>
      </c>
      <c r="S301" s="317" t="str">
        <f t="shared" si="25"/>
        <v/>
      </c>
      <c r="T301" s="317" t="str">
        <f>GLOBAL_DER_FEV_2023!S301</f>
        <v/>
      </c>
      <c r="W301" s="582">
        <v>0</v>
      </c>
      <c r="X301" s="580"/>
      <c r="Y301" s="583">
        <f>IF(GLOBAL_DER_FEV_2023!W301=0,0,IF(GLOBAL_DER_FEV_2023!W301&gt;0,"c","b"))</f>
        <v>0</v>
      </c>
    </row>
    <row r="302" spans="1:25" ht="13.5" hidden="1" thickBot="1" x14ac:dyDescent="0.25">
      <c r="A302" s="317">
        <v>589000</v>
      </c>
      <c r="B302" s="1004" t="s">
        <v>708</v>
      </c>
      <c r="C302" s="984" t="s">
        <v>213</v>
      </c>
      <c r="D302" s="1016" t="s">
        <v>563</v>
      </c>
      <c r="E302" s="1005">
        <f>GLOBAL_DER_FEV_2023!E302</f>
        <v>45</v>
      </c>
      <c r="F302" s="1006">
        <f>GLOBAL_DER_FEV_2023!F302</f>
        <v>1</v>
      </c>
      <c r="G302" s="949">
        <f>GLOBAL_DER_FEV_2023!G302</f>
        <v>79.25</v>
      </c>
      <c r="H302" s="988">
        <f>GLOBAL_DER_FEV_2023!H302</f>
        <v>4828.8599999999997</v>
      </c>
      <c r="I302" s="988">
        <f>GLOBAL_DER_FEV_2023!I302</f>
        <v>4715.4703781127673</v>
      </c>
      <c r="J302" s="989">
        <f>GLOBAL_DER_FEV_2023!J302</f>
        <v>5661.87</v>
      </c>
      <c r="K302" s="990" t="s">
        <v>14</v>
      </c>
      <c r="L302" s="1154">
        <f>ROUND(L300*$F300,2)</f>
        <v>0</v>
      </c>
      <c r="M302" s="1159">
        <f t="shared" si="22"/>
        <v>0</v>
      </c>
      <c r="N302" s="993">
        <f t="shared" si="26"/>
        <v>0</v>
      </c>
      <c r="O302" s="905"/>
      <c r="P302" s="58" t="str">
        <f>IF(N300&gt;0,"xx",IF(N300&gt;0,"xy",""))</f>
        <v/>
      </c>
      <c r="Q302" s="317" t="str">
        <f t="shared" si="23"/>
        <v/>
      </c>
      <c r="R302" s="317" t="str">
        <f t="shared" si="24"/>
        <v/>
      </c>
      <c r="S302" s="317" t="str">
        <f t="shared" si="25"/>
        <v/>
      </c>
      <c r="T302" s="317" t="str">
        <f>GLOBAL_DER_FEV_2023!S302</f>
        <v/>
      </c>
      <c r="W302" s="582">
        <v>0</v>
      </c>
      <c r="X302" s="580"/>
      <c r="Y302" s="583">
        <f>IF(GLOBAL_DER_FEV_2023!W302=0,0,IF(GLOBAL_DER_FEV_2023!W302&gt;0,"c","b"))</f>
        <v>0</v>
      </c>
    </row>
    <row r="303" spans="1:25" ht="13.5" hidden="1" thickBot="1" x14ac:dyDescent="0.25">
      <c r="A303" s="317">
        <v>563100</v>
      </c>
      <c r="B303" s="999" t="s">
        <v>1753</v>
      </c>
      <c r="C303" s="1000" t="s">
        <v>184</v>
      </c>
      <c r="D303" s="1017" t="s">
        <v>242</v>
      </c>
      <c r="E303" s="974" t="str">
        <f>GLOBAL_DER_FEV_2023!E303</f>
        <v>taxa RR-2C</v>
      </c>
      <c r="F303" s="975">
        <f>GLOBAL_DER_FEV_2023!F303</f>
        <v>5.0000000000000001E-4</v>
      </c>
      <c r="G303" s="976">
        <f>GLOBAL_DER_FEV_2023!G303</f>
        <v>2.0258000000000002E-2</v>
      </c>
      <c r="H303" s="977">
        <f>GLOBAL_DER_FEV_2023!H303</f>
        <v>1.27</v>
      </c>
      <c r="I303" s="977">
        <f>GLOBAL_DER_FEV_2023!I303</f>
        <v>1.2902580000000001</v>
      </c>
      <c r="J303" s="978">
        <f>GLOBAL_DER_FEV_2023!J303</f>
        <v>1.55</v>
      </c>
      <c r="K303" s="979" t="s">
        <v>12</v>
      </c>
      <c r="L303" s="1152"/>
      <c r="M303" s="1153">
        <f t="shared" si="22"/>
        <v>0</v>
      </c>
      <c r="N303" s="982">
        <f t="shared" si="26"/>
        <v>0</v>
      </c>
      <c r="O303" s="905"/>
      <c r="Q303" s="317" t="str">
        <f t="shared" si="23"/>
        <v/>
      </c>
      <c r="R303" s="317" t="str">
        <f t="shared" si="24"/>
        <v/>
      </c>
      <c r="S303" s="317" t="str">
        <f t="shared" si="25"/>
        <v/>
      </c>
      <c r="T303" s="317" t="str">
        <f>GLOBAL_DER_FEV_2023!S303</f>
        <v/>
      </c>
      <c r="W303" s="582">
        <v>0</v>
      </c>
      <c r="X303" s="580"/>
      <c r="Y303" s="583">
        <f>IF(GLOBAL_DER_FEV_2023!W303=0,0,IF(GLOBAL_DER_FEV_2023!W303&gt;0,"c","b"))</f>
        <v>0</v>
      </c>
    </row>
    <row r="304" spans="1:25" ht="13.5" hidden="1" thickBot="1" x14ac:dyDescent="0.25">
      <c r="A304" s="317" t="s">
        <v>147</v>
      </c>
      <c r="B304" s="895" t="s">
        <v>147</v>
      </c>
      <c r="C304" s="896"/>
      <c r="D304" s="1018" t="s">
        <v>233</v>
      </c>
      <c r="E304" s="898">
        <f>GLOBAL_DER_FEV_2023!E304</f>
        <v>0.2</v>
      </c>
      <c r="F304" s="908">
        <f>GLOBAL_DER_FEV_2023!F304</f>
        <v>7.0000000000000001E-3</v>
      </c>
      <c r="G304" s="949">
        <f>GLOBAL_DER_FEV_2023!G304</f>
        <v>2.0258000000000002E-2</v>
      </c>
      <c r="H304" s="901">
        <f>GLOBAL_DER_FEV_2023!H304</f>
        <v>0</v>
      </c>
      <c r="I304" s="901">
        <f>GLOBAL_DER_FEV_2023!I304</f>
        <v>0</v>
      </c>
      <c r="J304" s="902">
        <f>GLOBAL_DER_FEV_2023!J304</f>
        <v>0</v>
      </c>
      <c r="K304" s="903" t="s">
        <v>507</v>
      </c>
      <c r="L304" s="1003"/>
      <c r="M304" s="1157">
        <f t="shared" si="22"/>
        <v>0</v>
      </c>
      <c r="N304" s="893">
        <f t="shared" si="26"/>
        <v>0</v>
      </c>
      <c r="O304" s="905"/>
      <c r="P304" s="58" t="str">
        <f>IF(N303&gt;0,"xx",IF(N303&gt;0,"xy",""))</f>
        <v/>
      </c>
      <c r="Q304" s="317" t="str">
        <f t="shared" si="23"/>
        <v/>
      </c>
      <c r="R304" s="317" t="str">
        <f t="shared" si="24"/>
        <v/>
      </c>
      <c r="S304" s="317" t="str">
        <f t="shared" si="25"/>
        <v/>
      </c>
      <c r="T304" s="317" t="str">
        <f>GLOBAL_DER_FEV_2023!S304</f>
        <v/>
      </c>
      <c r="W304" s="582">
        <v>0</v>
      </c>
      <c r="X304" s="580"/>
      <c r="Y304" s="583">
        <f>IF(GLOBAL_DER_FEV_2023!W304=0,0,IF(GLOBAL_DER_FEV_2023!W304&gt;0,"c","b"))</f>
        <v>0</v>
      </c>
    </row>
    <row r="305" spans="1:25" ht="13.5" hidden="1" thickBot="1" x14ac:dyDescent="0.25">
      <c r="A305" s="317">
        <v>589520</v>
      </c>
      <c r="B305" s="1004" t="s">
        <v>1670</v>
      </c>
      <c r="C305" s="984" t="s">
        <v>213</v>
      </c>
      <c r="D305" s="1012" t="s">
        <v>564</v>
      </c>
      <c r="E305" s="1005">
        <f>GLOBAL_DER_FEV_2023!E305</f>
        <v>353</v>
      </c>
      <c r="F305" s="1006">
        <f>GLOBAL_DER_FEV_2023!F305</f>
        <v>1</v>
      </c>
      <c r="G305" s="949">
        <f>GLOBAL_DER_FEV_2023!G305</f>
        <v>337.96999999999997</v>
      </c>
      <c r="H305" s="988">
        <f>GLOBAL_DER_FEV_2023!H305</f>
        <v>4164.04</v>
      </c>
      <c r="I305" s="988">
        <f>GLOBAL_DER_FEV_2023!I305</f>
        <v>4335.8923053218959</v>
      </c>
      <c r="J305" s="989">
        <f>GLOBAL_DER_FEV_2023!J305</f>
        <v>5206.1099999999997</v>
      </c>
      <c r="K305" s="990" t="s">
        <v>14</v>
      </c>
      <c r="L305" s="1154">
        <f>ROUND(L303*$F303,2)</f>
        <v>0</v>
      </c>
      <c r="M305" s="1159">
        <f t="shared" si="22"/>
        <v>0</v>
      </c>
      <c r="N305" s="993">
        <f t="shared" si="26"/>
        <v>0</v>
      </c>
      <c r="O305" s="905"/>
      <c r="P305" s="58" t="str">
        <f>IF(N303&gt;0,"xx",IF(N303&gt;0,"xy",""))</f>
        <v/>
      </c>
      <c r="Q305" s="317" t="str">
        <f t="shared" si="23"/>
        <v/>
      </c>
      <c r="R305" s="317" t="str">
        <f t="shared" si="24"/>
        <v/>
      </c>
      <c r="S305" s="317" t="str">
        <f t="shared" si="25"/>
        <v/>
      </c>
      <c r="T305" s="317" t="str">
        <f>GLOBAL_DER_FEV_2023!S305</f>
        <v/>
      </c>
      <c r="W305" s="582">
        <v>0</v>
      </c>
      <c r="X305" s="580"/>
      <c r="Y305" s="583">
        <f>IF(GLOBAL_DER_FEV_2023!W305=0,0,IF(GLOBAL_DER_FEV_2023!W305&gt;0,"c","b"))</f>
        <v>0</v>
      </c>
    </row>
    <row r="306" spans="1:25" ht="13.5" hidden="1" thickBot="1" x14ac:dyDescent="0.25">
      <c r="A306" s="317">
        <v>534000</v>
      </c>
      <c r="B306" s="999" t="s">
        <v>599</v>
      </c>
      <c r="C306" s="1000" t="s">
        <v>184</v>
      </c>
      <c r="D306" s="973" t="s">
        <v>2205</v>
      </c>
      <c r="E306" s="974" t="str">
        <f>GLOBAL_DER_FEV_2023!E306</f>
        <v>taxa RM-2C</v>
      </c>
      <c r="F306" s="975">
        <f>GLOBAL_DER_FEV_2023!F306</f>
        <v>0.08</v>
      </c>
      <c r="G306" s="976">
        <f>GLOBAL_DER_FEV_2023!G306</f>
        <v>69.737280000000013</v>
      </c>
      <c r="H306" s="977">
        <f>GLOBAL_DER_FEV_2023!H306</f>
        <v>141.84</v>
      </c>
      <c r="I306" s="977">
        <f>GLOBAL_DER_FEV_2023!I306</f>
        <v>211.57728000000003</v>
      </c>
      <c r="J306" s="978">
        <f>GLOBAL_DER_FEV_2023!J306</f>
        <v>254.04</v>
      </c>
      <c r="K306" s="979" t="s">
        <v>10</v>
      </c>
      <c r="L306" s="1152"/>
      <c r="M306" s="1153">
        <f t="shared" si="22"/>
        <v>0</v>
      </c>
      <c r="N306" s="982">
        <f t="shared" si="26"/>
        <v>0</v>
      </c>
      <c r="O306" s="905"/>
      <c r="Q306" s="317" t="str">
        <f t="shared" si="23"/>
        <v/>
      </c>
      <c r="R306" s="317" t="str">
        <f t="shared" si="24"/>
        <v/>
      </c>
      <c r="S306" s="317" t="str">
        <f t="shared" si="25"/>
        <v/>
      </c>
      <c r="T306" s="317" t="str">
        <f>GLOBAL_DER_FEV_2023!S306</f>
        <v/>
      </c>
      <c r="W306" s="582">
        <v>0</v>
      </c>
      <c r="X306" s="580"/>
      <c r="Y306" s="583">
        <f>IF(GLOBAL_DER_FEV_2023!W306=0,0,IF(GLOBAL_DER_FEV_2023!W306&gt;0,"c","b"))</f>
        <v>0</v>
      </c>
    </row>
    <row r="307" spans="1:25" ht="13.5" hidden="1" thickBot="1" x14ac:dyDescent="0.25">
      <c r="A307" s="317" t="s">
        <v>147</v>
      </c>
      <c r="B307" s="895" t="s">
        <v>147</v>
      </c>
      <c r="C307" s="896"/>
      <c r="D307" s="957" t="s">
        <v>229</v>
      </c>
      <c r="E307" s="907">
        <f>GLOBAL_DER_FEV_2023!E307</f>
        <v>150</v>
      </c>
      <c r="F307" s="908">
        <f>GLOBAL_DER_FEV_2023!F307</f>
        <v>0</v>
      </c>
      <c r="G307" s="949">
        <f>GLOBAL_DER_FEV_2023!G307</f>
        <v>0</v>
      </c>
      <c r="H307" s="901">
        <f>GLOBAL_DER_FEV_2023!H307</f>
        <v>0</v>
      </c>
      <c r="I307" s="901">
        <f>GLOBAL_DER_FEV_2023!I307</f>
        <v>0</v>
      </c>
      <c r="J307" s="902">
        <f>GLOBAL_DER_FEV_2023!J307</f>
        <v>0</v>
      </c>
      <c r="K307" s="903" t="s">
        <v>507</v>
      </c>
      <c r="L307" s="1003"/>
      <c r="M307" s="1157">
        <f t="shared" si="22"/>
        <v>0</v>
      </c>
      <c r="N307" s="893">
        <f t="shared" si="26"/>
        <v>0</v>
      </c>
      <c r="O307" s="905"/>
      <c r="P307" s="58" t="str">
        <f>IF(N306&gt;0,"xx",IF(N306&gt;0,"xy",""))</f>
        <v/>
      </c>
      <c r="Q307" s="317" t="str">
        <f t="shared" si="23"/>
        <v/>
      </c>
      <c r="R307" s="317" t="str">
        <f t="shared" si="24"/>
        <v/>
      </c>
      <c r="S307" s="317" t="str">
        <f t="shared" si="25"/>
        <v/>
      </c>
      <c r="T307" s="317" t="str">
        <f>GLOBAL_DER_FEV_2023!S307</f>
        <v/>
      </c>
      <c r="W307" s="582">
        <v>0</v>
      </c>
      <c r="X307" s="580"/>
      <c r="Y307" s="583">
        <f>IF(GLOBAL_DER_FEV_2023!W307=0,0,IF(GLOBAL_DER_FEV_2023!W307&gt;0,"c","b"))</f>
        <v>0</v>
      </c>
    </row>
    <row r="308" spans="1:25" ht="13.5" hidden="1" thickBot="1" x14ac:dyDescent="0.25">
      <c r="A308" s="317" t="s">
        <v>147</v>
      </c>
      <c r="B308" s="895" t="s">
        <v>147</v>
      </c>
      <c r="C308" s="896"/>
      <c r="D308" s="957" t="s">
        <v>230</v>
      </c>
      <c r="E308" s="907">
        <f>GLOBAL_DER_FEV_2023!E308</f>
        <v>353</v>
      </c>
      <c r="F308" s="908">
        <f>GLOBAL_DER_FEV_2023!F308</f>
        <v>0</v>
      </c>
      <c r="G308" s="909">
        <f>GLOBAL_DER_FEV_2023!G308</f>
        <v>0</v>
      </c>
      <c r="H308" s="901">
        <f>GLOBAL_DER_FEV_2023!H308</f>
        <v>0</v>
      </c>
      <c r="I308" s="901">
        <f>GLOBAL_DER_FEV_2023!I308</f>
        <v>0</v>
      </c>
      <c r="J308" s="902">
        <f>GLOBAL_DER_FEV_2023!J308</f>
        <v>0</v>
      </c>
      <c r="K308" s="903" t="s">
        <v>507</v>
      </c>
      <c r="L308" s="1003"/>
      <c r="M308" s="1157">
        <f t="shared" si="22"/>
        <v>0</v>
      </c>
      <c r="N308" s="893">
        <f t="shared" si="26"/>
        <v>0</v>
      </c>
      <c r="O308" s="905"/>
      <c r="P308" s="58" t="str">
        <f>IF(N306&gt;0,"xx",IF(N306&gt;0,"xy",""))</f>
        <v/>
      </c>
      <c r="Q308" s="317" t="str">
        <f t="shared" si="23"/>
        <v/>
      </c>
      <c r="R308" s="317" t="str">
        <f t="shared" si="24"/>
        <v/>
      </c>
      <c r="S308" s="317" t="str">
        <f t="shared" si="25"/>
        <v/>
      </c>
      <c r="T308" s="317" t="str">
        <f>GLOBAL_DER_FEV_2023!S308</f>
        <v/>
      </c>
      <c r="W308" s="582">
        <v>0</v>
      </c>
      <c r="X308" s="580"/>
      <c r="Y308" s="583">
        <f>IF(GLOBAL_DER_FEV_2023!W308=0,0,IF(GLOBAL_DER_FEV_2023!W308&gt;0,"c","b"))</f>
        <v>0</v>
      </c>
    </row>
    <row r="309" spans="1:25" ht="13.5" hidden="1" thickBot="1" x14ac:dyDescent="0.25">
      <c r="A309" s="317" t="s">
        <v>147</v>
      </c>
      <c r="B309" s="895" t="s">
        <v>147</v>
      </c>
      <c r="C309" s="896"/>
      <c r="D309" s="957" t="s">
        <v>243</v>
      </c>
      <c r="E309" s="907">
        <f>GLOBAL_DER_FEV_2023!E309</f>
        <v>0.2</v>
      </c>
      <c r="F309" s="908">
        <f>GLOBAL_DER_FEV_2023!F309</f>
        <v>2.12</v>
      </c>
      <c r="G309" s="949">
        <f>GLOBAL_DER_FEV_2023!G309</f>
        <v>6.1352800000000007</v>
      </c>
      <c r="H309" s="901">
        <f>GLOBAL_DER_FEV_2023!H309</f>
        <v>0</v>
      </c>
      <c r="I309" s="901">
        <f>GLOBAL_DER_FEV_2023!I309</f>
        <v>0</v>
      </c>
      <c r="J309" s="902">
        <f>GLOBAL_DER_FEV_2023!J309</f>
        <v>0</v>
      </c>
      <c r="K309" s="903" t="s">
        <v>507</v>
      </c>
      <c r="L309" s="1003"/>
      <c r="M309" s="1157">
        <f t="shared" si="22"/>
        <v>0</v>
      </c>
      <c r="N309" s="893">
        <f t="shared" si="26"/>
        <v>0</v>
      </c>
      <c r="O309" s="905"/>
      <c r="P309" s="58" t="str">
        <f>IF(N306&gt;0,"xx",IF(N306&gt;0,"xy",""))</f>
        <v/>
      </c>
      <c r="Q309" s="317" t="str">
        <f t="shared" si="23"/>
        <v/>
      </c>
      <c r="R309" s="317" t="str">
        <f t="shared" si="24"/>
        <v/>
      </c>
      <c r="S309" s="317" t="str">
        <f t="shared" si="25"/>
        <v/>
      </c>
      <c r="T309" s="317" t="str">
        <f>GLOBAL_DER_FEV_2023!S309</f>
        <v/>
      </c>
      <c r="W309" s="582">
        <v>0</v>
      </c>
      <c r="X309" s="580"/>
      <c r="Y309" s="583">
        <f>IF(GLOBAL_DER_FEV_2023!W309=0,0,IF(GLOBAL_DER_FEV_2023!W309&gt;0,"c","b"))</f>
        <v>0</v>
      </c>
    </row>
    <row r="310" spans="1:25" ht="13.5" hidden="1" thickBot="1" x14ac:dyDescent="0.25">
      <c r="A310" s="317" t="s">
        <v>147</v>
      </c>
      <c r="B310" s="895" t="s">
        <v>147</v>
      </c>
      <c r="C310" s="896"/>
      <c r="D310" s="957" t="s">
        <v>244</v>
      </c>
      <c r="E310" s="907">
        <f>GLOBAL_DER_FEV_2023!E310</f>
        <v>22</v>
      </c>
      <c r="F310" s="908">
        <f>GLOBAL_DER_FEV_2023!F310</f>
        <v>2.2000000000000002</v>
      </c>
      <c r="G310" s="912">
        <f>GLOBAL_DER_FEV_2023!G310</f>
        <v>63.602000000000011</v>
      </c>
      <c r="H310" s="901">
        <f>GLOBAL_DER_FEV_2023!H310</f>
        <v>0</v>
      </c>
      <c r="I310" s="901">
        <f>GLOBAL_DER_FEV_2023!I310</f>
        <v>0</v>
      </c>
      <c r="J310" s="902">
        <f>GLOBAL_DER_FEV_2023!J310</f>
        <v>0</v>
      </c>
      <c r="K310" s="903" t="s">
        <v>507</v>
      </c>
      <c r="L310" s="1003"/>
      <c r="M310" s="1157">
        <f t="shared" si="22"/>
        <v>0</v>
      </c>
      <c r="N310" s="893">
        <f t="shared" si="26"/>
        <v>0</v>
      </c>
      <c r="O310" s="905"/>
      <c r="P310" s="58" t="str">
        <f>IF(N306&gt;0,"xx",IF(N306&gt;0,"xy",""))</f>
        <v/>
      </c>
      <c r="Q310" s="317" t="str">
        <f t="shared" si="23"/>
        <v/>
      </c>
      <c r="R310" s="317" t="str">
        <f t="shared" si="24"/>
        <v/>
      </c>
      <c r="S310" s="317" t="str">
        <f t="shared" si="25"/>
        <v/>
      </c>
      <c r="T310" s="317" t="str">
        <f>GLOBAL_DER_FEV_2023!S310</f>
        <v/>
      </c>
      <c r="W310" s="582">
        <v>0</v>
      </c>
      <c r="X310" s="580"/>
      <c r="Y310" s="583">
        <f>IF(GLOBAL_DER_FEV_2023!W310=0,0,IF(GLOBAL_DER_FEV_2023!W310&gt;0,"c","b"))</f>
        <v>0</v>
      </c>
    </row>
    <row r="311" spans="1:25" ht="13.5" hidden="1" thickBot="1" x14ac:dyDescent="0.25">
      <c r="A311" s="317">
        <v>589320</v>
      </c>
      <c r="B311" s="1004" t="s">
        <v>719</v>
      </c>
      <c r="C311" s="984" t="s">
        <v>213</v>
      </c>
      <c r="D311" s="1012" t="s">
        <v>699</v>
      </c>
      <c r="E311" s="1005">
        <f>GLOBAL_DER_FEV_2023!E311</f>
        <v>45</v>
      </c>
      <c r="F311" s="1006">
        <f>GLOBAL_DER_FEV_2023!F311</f>
        <v>1</v>
      </c>
      <c r="G311" s="949">
        <f>GLOBAL_DER_FEV_2023!G311</f>
        <v>79.25</v>
      </c>
      <c r="H311" s="988">
        <f>GLOBAL_DER_FEV_2023!H311</f>
        <v>4012.83</v>
      </c>
      <c r="I311" s="988">
        <f>GLOBAL_DER_FEV_2023!I311</f>
        <v>3931.9945856583668</v>
      </c>
      <c r="J311" s="989">
        <f>GLOBAL_DER_FEV_2023!J311</f>
        <v>4721.1499999999996</v>
      </c>
      <c r="K311" s="990" t="s">
        <v>14</v>
      </c>
      <c r="L311" s="1154">
        <f>ROUND(L306*$F306,2)</f>
        <v>0</v>
      </c>
      <c r="M311" s="1159">
        <f t="shared" si="22"/>
        <v>0</v>
      </c>
      <c r="N311" s="993">
        <f t="shared" si="26"/>
        <v>0</v>
      </c>
      <c r="O311" s="905"/>
      <c r="P311" s="58" t="str">
        <f>IF(N306&gt;0,"xx",IF(N306&gt;0,"xy",""))</f>
        <v/>
      </c>
      <c r="Q311" s="317" t="str">
        <f t="shared" si="23"/>
        <v/>
      </c>
      <c r="R311" s="317" t="str">
        <f t="shared" si="24"/>
        <v/>
      </c>
      <c r="S311" s="317" t="str">
        <f t="shared" si="25"/>
        <v/>
      </c>
      <c r="T311" s="317" t="str">
        <f>GLOBAL_DER_FEV_2023!S311</f>
        <v/>
      </c>
      <c r="W311" s="582">
        <v>0</v>
      </c>
      <c r="X311" s="580"/>
      <c r="Y311" s="583">
        <f>IF(GLOBAL_DER_FEV_2023!W311=0,0,IF(GLOBAL_DER_FEV_2023!W311&gt;0,"c","b"))</f>
        <v>0</v>
      </c>
    </row>
    <row r="312" spans="1:25" ht="13.5" hidden="1" thickBot="1" x14ac:dyDescent="0.25">
      <c r="A312" s="317">
        <v>534000</v>
      </c>
      <c r="B312" s="999" t="s">
        <v>600</v>
      </c>
      <c r="C312" s="1000" t="s">
        <v>184</v>
      </c>
      <c r="D312" s="973" t="s">
        <v>2206</v>
      </c>
      <c r="E312" s="974" t="str">
        <f>GLOBAL_DER_FEV_2023!E312</f>
        <v>taxa RM-2C</v>
      </c>
      <c r="F312" s="975">
        <f>GLOBAL_DER_FEV_2023!F312</f>
        <v>0.08</v>
      </c>
      <c r="G312" s="976">
        <f>GLOBAL_DER_FEV_2023!G312</f>
        <v>69.737280000000013</v>
      </c>
      <c r="H312" s="977">
        <f>GLOBAL_DER_FEV_2023!H312</f>
        <v>141.84</v>
      </c>
      <c r="I312" s="977">
        <f>GLOBAL_DER_FEV_2023!I312</f>
        <v>211.57728000000003</v>
      </c>
      <c r="J312" s="978">
        <f>GLOBAL_DER_FEV_2023!J312</f>
        <v>254.04</v>
      </c>
      <c r="K312" s="979" t="s">
        <v>10</v>
      </c>
      <c r="L312" s="1152"/>
      <c r="M312" s="1153">
        <f t="shared" si="22"/>
        <v>0</v>
      </c>
      <c r="N312" s="982">
        <f t="shared" si="26"/>
        <v>0</v>
      </c>
      <c r="O312" s="905"/>
      <c r="Q312" s="317" t="str">
        <f t="shared" si="23"/>
        <v/>
      </c>
      <c r="R312" s="317" t="str">
        <f t="shared" si="24"/>
        <v/>
      </c>
      <c r="S312" s="317" t="str">
        <f t="shared" si="25"/>
        <v/>
      </c>
      <c r="T312" s="317" t="str">
        <f>GLOBAL_DER_FEV_2023!S312</f>
        <v/>
      </c>
      <c r="W312" s="582">
        <v>0</v>
      </c>
      <c r="X312" s="580"/>
      <c r="Y312" s="583">
        <f>IF(GLOBAL_DER_FEV_2023!W312=0,0,IF(GLOBAL_DER_FEV_2023!W312&gt;0,"c","b"))</f>
        <v>0</v>
      </c>
    </row>
    <row r="313" spans="1:25" ht="13.5" hidden="1" thickBot="1" x14ac:dyDescent="0.25">
      <c r="A313" s="317" t="s">
        <v>147</v>
      </c>
      <c r="B313" s="895" t="s">
        <v>147</v>
      </c>
      <c r="C313" s="896"/>
      <c r="D313" s="957" t="s">
        <v>229</v>
      </c>
      <c r="E313" s="907">
        <f>GLOBAL_DER_FEV_2023!E313</f>
        <v>150</v>
      </c>
      <c r="F313" s="908">
        <f>GLOBAL_DER_FEV_2023!F313</f>
        <v>0</v>
      </c>
      <c r="G313" s="949">
        <f>GLOBAL_DER_FEV_2023!G313</f>
        <v>0</v>
      </c>
      <c r="H313" s="901">
        <f>GLOBAL_DER_FEV_2023!H313</f>
        <v>0</v>
      </c>
      <c r="I313" s="901">
        <f>GLOBAL_DER_FEV_2023!I313</f>
        <v>0</v>
      </c>
      <c r="J313" s="902">
        <f>GLOBAL_DER_FEV_2023!J313</f>
        <v>0</v>
      </c>
      <c r="K313" s="903" t="s">
        <v>507</v>
      </c>
      <c r="L313" s="1003"/>
      <c r="M313" s="1157">
        <f t="shared" si="22"/>
        <v>0</v>
      </c>
      <c r="N313" s="893">
        <f t="shared" si="26"/>
        <v>0</v>
      </c>
      <c r="O313" s="905"/>
      <c r="P313" s="58" t="str">
        <f>IF(N312&gt;0,"xx",IF(N312&gt;0,"xy",""))</f>
        <v/>
      </c>
      <c r="Q313" s="317" t="str">
        <f t="shared" si="23"/>
        <v/>
      </c>
      <c r="R313" s="317" t="str">
        <f t="shared" si="24"/>
        <v/>
      </c>
      <c r="S313" s="317" t="str">
        <f t="shared" si="25"/>
        <v/>
      </c>
      <c r="T313" s="317" t="str">
        <f>GLOBAL_DER_FEV_2023!S313</f>
        <v/>
      </c>
      <c r="W313" s="582">
        <v>0</v>
      </c>
      <c r="X313" s="580"/>
      <c r="Y313" s="583">
        <f>IF(GLOBAL_DER_FEV_2023!W313=0,0,IF(GLOBAL_DER_FEV_2023!W313&gt;0,"c","b"))</f>
        <v>0</v>
      </c>
    </row>
    <row r="314" spans="1:25" ht="13.5" hidden="1" thickBot="1" x14ac:dyDescent="0.25">
      <c r="A314" s="317" t="s">
        <v>147</v>
      </c>
      <c r="B314" s="895" t="s">
        <v>147</v>
      </c>
      <c r="C314" s="896"/>
      <c r="D314" s="957" t="s">
        <v>230</v>
      </c>
      <c r="E314" s="907">
        <f>GLOBAL_DER_FEV_2023!E314</f>
        <v>353</v>
      </c>
      <c r="F314" s="908">
        <f>GLOBAL_DER_FEV_2023!F314</f>
        <v>0</v>
      </c>
      <c r="G314" s="909">
        <f>GLOBAL_DER_FEV_2023!G314</f>
        <v>0</v>
      </c>
      <c r="H314" s="901">
        <f>GLOBAL_DER_FEV_2023!H314</f>
        <v>0</v>
      </c>
      <c r="I314" s="901">
        <f>GLOBAL_DER_FEV_2023!I314</f>
        <v>0</v>
      </c>
      <c r="J314" s="902">
        <f>GLOBAL_DER_FEV_2023!J314</f>
        <v>0</v>
      </c>
      <c r="K314" s="903" t="s">
        <v>507</v>
      </c>
      <c r="L314" s="1003"/>
      <c r="M314" s="1157">
        <f t="shared" si="22"/>
        <v>0</v>
      </c>
      <c r="N314" s="893">
        <f t="shared" si="26"/>
        <v>0</v>
      </c>
      <c r="O314" s="905"/>
      <c r="P314" s="58" t="str">
        <f>IF(N312&gt;0,"xx",IF(N312&gt;0,"xy",""))</f>
        <v/>
      </c>
      <c r="Q314" s="317" t="str">
        <f t="shared" si="23"/>
        <v/>
      </c>
      <c r="R314" s="317" t="str">
        <f t="shared" si="24"/>
        <v/>
      </c>
      <c r="S314" s="317" t="str">
        <f t="shared" si="25"/>
        <v/>
      </c>
      <c r="T314" s="317" t="str">
        <f>GLOBAL_DER_FEV_2023!S314</f>
        <v/>
      </c>
      <c r="W314" s="582">
        <v>0</v>
      </c>
      <c r="X314" s="580"/>
      <c r="Y314" s="583">
        <f>IF(GLOBAL_DER_FEV_2023!W314=0,0,IF(GLOBAL_DER_FEV_2023!W314&gt;0,"c","b"))</f>
        <v>0</v>
      </c>
    </row>
    <row r="315" spans="1:25" ht="13.5" hidden="1" thickBot="1" x14ac:dyDescent="0.25">
      <c r="A315" s="317" t="s">
        <v>147</v>
      </c>
      <c r="B315" s="895" t="s">
        <v>147</v>
      </c>
      <c r="C315" s="896"/>
      <c r="D315" s="957" t="s">
        <v>243</v>
      </c>
      <c r="E315" s="907">
        <f>GLOBAL_DER_FEV_2023!E315</f>
        <v>0.2</v>
      </c>
      <c r="F315" s="908">
        <f>GLOBAL_DER_FEV_2023!F315</f>
        <v>2.12</v>
      </c>
      <c r="G315" s="949">
        <f>GLOBAL_DER_FEV_2023!G315</f>
        <v>6.1352800000000007</v>
      </c>
      <c r="H315" s="901">
        <f>GLOBAL_DER_FEV_2023!H315</f>
        <v>0</v>
      </c>
      <c r="I315" s="901">
        <f>GLOBAL_DER_FEV_2023!I315</f>
        <v>0</v>
      </c>
      <c r="J315" s="902">
        <f>GLOBAL_DER_FEV_2023!J315</f>
        <v>0</v>
      </c>
      <c r="K315" s="903" t="s">
        <v>507</v>
      </c>
      <c r="L315" s="1003"/>
      <c r="M315" s="1157">
        <f t="shared" si="22"/>
        <v>0</v>
      </c>
      <c r="N315" s="893">
        <f t="shared" si="26"/>
        <v>0</v>
      </c>
      <c r="O315" s="905"/>
      <c r="P315" s="58" t="str">
        <f>IF(N312&gt;0,"xx",IF(N312&gt;0,"xy",""))</f>
        <v/>
      </c>
      <c r="Q315" s="317" t="str">
        <f t="shared" si="23"/>
        <v/>
      </c>
      <c r="R315" s="317" t="str">
        <f t="shared" si="24"/>
        <v/>
      </c>
      <c r="S315" s="317" t="str">
        <f t="shared" si="25"/>
        <v/>
      </c>
      <c r="T315" s="317" t="str">
        <f>GLOBAL_DER_FEV_2023!S315</f>
        <v/>
      </c>
      <c r="W315" s="582">
        <v>0</v>
      </c>
      <c r="X315" s="580"/>
      <c r="Y315" s="583">
        <f>IF(GLOBAL_DER_FEV_2023!W315=0,0,IF(GLOBAL_DER_FEV_2023!W315&gt;0,"c","b"))</f>
        <v>0</v>
      </c>
    </row>
    <row r="316" spans="1:25" ht="13.5" hidden="1" thickBot="1" x14ac:dyDescent="0.25">
      <c r="A316" s="317" t="s">
        <v>147</v>
      </c>
      <c r="B316" s="895" t="s">
        <v>147</v>
      </c>
      <c r="C316" s="896"/>
      <c r="D316" s="957" t="s">
        <v>244</v>
      </c>
      <c r="E316" s="907">
        <f>GLOBAL_DER_FEV_2023!E316</f>
        <v>22</v>
      </c>
      <c r="F316" s="908">
        <f>GLOBAL_DER_FEV_2023!F316</f>
        <v>2.2000000000000002</v>
      </c>
      <c r="G316" s="912">
        <f>GLOBAL_DER_FEV_2023!G316</f>
        <v>63.602000000000011</v>
      </c>
      <c r="H316" s="901">
        <f>GLOBAL_DER_FEV_2023!H316</f>
        <v>0</v>
      </c>
      <c r="I316" s="901">
        <f>GLOBAL_DER_FEV_2023!I316</f>
        <v>0</v>
      </c>
      <c r="J316" s="902">
        <f>GLOBAL_DER_FEV_2023!J316</f>
        <v>0</v>
      </c>
      <c r="K316" s="903" t="s">
        <v>507</v>
      </c>
      <c r="L316" s="1003"/>
      <c r="M316" s="1157">
        <f t="shared" si="22"/>
        <v>0</v>
      </c>
      <c r="N316" s="893">
        <f t="shared" si="26"/>
        <v>0</v>
      </c>
      <c r="O316" s="905"/>
      <c r="P316" s="58" t="str">
        <f>IF(N312&gt;0,"xx",IF(N312&gt;0,"xy",""))</f>
        <v/>
      </c>
      <c r="Q316" s="317" t="str">
        <f t="shared" si="23"/>
        <v/>
      </c>
      <c r="R316" s="317" t="str">
        <f t="shared" si="24"/>
        <v/>
      </c>
      <c r="S316" s="317" t="str">
        <f t="shared" si="25"/>
        <v/>
      </c>
      <c r="T316" s="317" t="str">
        <f>GLOBAL_DER_FEV_2023!S316</f>
        <v/>
      </c>
      <c r="W316" s="582">
        <v>0</v>
      </c>
      <c r="X316" s="580"/>
      <c r="Y316" s="583">
        <f>IF(GLOBAL_DER_FEV_2023!W316=0,0,IF(GLOBAL_DER_FEV_2023!W316&gt;0,"c","b"))</f>
        <v>0</v>
      </c>
    </row>
    <row r="317" spans="1:25" ht="13.5" hidden="1" thickBot="1" x14ac:dyDescent="0.25">
      <c r="A317" s="317">
        <v>589320</v>
      </c>
      <c r="B317" s="1004" t="s">
        <v>720</v>
      </c>
      <c r="C317" s="984" t="s">
        <v>213</v>
      </c>
      <c r="D317" s="1012" t="s">
        <v>699</v>
      </c>
      <c r="E317" s="1005">
        <f>GLOBAL_DER_FEV_2023!E317</f>
        <v>45</v>
      </c>
      <c r="F317" s="1006">
        <f>GLOBAL_DER_FEV_2023!F317</f>
        <v>1</v>
      </c>
      <c r="G317" s="949">
        <f>GLOBAL_DER_FEV_2023!G317</f>
        <v>79.25</v>
      </c>
      <c r="H317" s="988">
        <f>GLOBAL_DER_FEV_2023!H317</f>
        <v>4012.83</v>
      </c>
      <c r="I317" s="988">
        <f>GLOBAL_DER_FEV_2023!I317</f>
        <v>3931.9945856583668</v>
      </c>
      <c r="J317" s="989">
        <f>GLOBAL_DER_FEV_2023!J317</f>
        <v>4721.1499999999996</v>
      </c>
      <c r="K317" s="990" t="s">
        <v>14</v>
      </c>
      <c r="L317" s="1154">
        <f>ROUND(L312*$F312,2)</f>
        <v>0</v>
      </c>
      <c r="M317" s="1159">
        <f t="shared" si="22"/>
        <v>0</v>
      </c>
      <c r="N317" s="993">
        <f t="shared" si="26"/>
        <v>0</v>
      </c>
      <c r="O317" s="905"/>
      <c r="P317" s="58" t="str">
        <f>IF(N312&gt;0,"xx",IF(N312&gt;0,"xy",""))</f>
        <v/>
      </c>
      <c r="Q317" s="317" t="str">
        <f t="shared" si="23"/>
        <v/>
      </c>
      <c r="R317" s="317" t="str">
        <f t="shared" si="24"/>
        <v/>
      </c>
      <c r="S317" s="317" t="str">
        <f t="shared" si="25"/>
        <v/>
      </c>
      <c r="T317" s="317" t="str">
        <f>GLOBAL_DER_FEV_2023!S317</f>
        <v/>
      </c>
      <c r="W317" s="582">
        <v>0</v>
      </c>
      <c r="X317" s="580"/>
      <c r="Y317" s="583">
        <f>IF(GLOBAL_DER_FEV_2023!W317=0,0,IF(GLOBAL_DER_FEV_2023!W317&gt;0,"c","b"))</f>
        <v>0</v>
      </c>
    </row>
    <row r="318" spans="1:25" ht="13.5" hidden="1" thickBot="1" x14ac:dyDescent="0.25">
      <c r="A318" s="317">
        <v>534000</v>
      </c>
      <c r="B318" s="999" t="s">
        <v>1646</v>
      </c>
      <c r="C318" s="1000" t="s">
        <v>184</v>
      </c>
      <c r="D318" s="973" t="s">
        <v>2207</v>
      </c>
      <c r="E318" s="974" t="str">
        <f>GLOBAL_DER_FEV_2023!E318</f>
        <v>taxa RM-2C</v>
      </c>
      <c r="F318" s="975">
        <f>GLOBAL_DER_FEV_2023!F318</f>
        <v>0.08</v>
      </c>
      <c r="G318" s="976">
        <f>GLOBAL_DER_FEV_2023!G318</f>
        <v>69.737280000000013</v>
      </c>
      <c r="H318" s="977">
        <f>GLOBAL_DER_FEV_2023!H318</f>
        <v>141.84</v>
      </c>
      <c r="I318" s="977">
        <f>GLOBAL_DER_FEV_2023!I318</f>
        <v>211.57728000000003</v>
      </c>
      <c r="J318" s="978">
        <f>GLOBAL_DER_FEV_2023!J318</f>
        <v>254.04</v>
      </c>
      <c r="K318" s="979" t="s">
        <v>10</v>
      </c>
      <c r="L318" s="1152"/>
      <c r="M318" s="1153">
        <f t="shared" si="22"/>
        <v>0</v>
      </c>
      <c r="N318" s="982">
        <f t="shared" si="26"/>
        <v>0</v>
      </c>
      <c r="O318" s="905"/>
      <c r="Q318" s="317" t="str">
        <f t="shared" si="23"/>
        <v/>
      </c>
      <c r="R318" s="317" t="str">
        <f t="shared" si="24"/>
        <v/>
      </c>
      <c r="S318" s="317" t="str">
        <f t="shared" si="25"/>
        <v/>
      </c>
      <c r="T318" s="317" t="str">
        <f>GLOBAL_DER_FEV_2023!S318</f>
        <v/>
      </c>
      <c r="W318" s="582">
        <v>0</v>
      </c>
      <c r="X318" s="580"/>
      <c r="Y318" s="583">
        <f>IF(GLOBAL_DER_FEV_2023!W318=0,0,IF(GLOBAL_DER_FEV_2023!W318&gt;0,"c","b"))</f>
        <v>0</v>
      </c>
    </row>
    <row r="319" spans="1:25" ht="13.5" hidden="1" thickBot="1" x14ac:dyDescent="0.25">
      <c r="A319" s="317" t="s">
        <v>147</v>
      </c>
      <c r="B319" s="895" t="s">
        <v>147</v>
      </c>
      <c r="C319" s="896"/>
      <c r="D319" s="957" t="s">
        <v>229</v>
      </c>
      <c r="E319" s="907">
        <f>GLOBAL_DER_FEV_2023!E319</f>
        <v>150</v>
      </c>
      <c r="F319" s="908">
        <f>GLOBAL_DER_FEV_2023!F319</f>
        <v>0</v>
      </c>
      <c r="G319" s="949">
        <f>GLOBAL_DER_FEV_2023!G319</f>
        <v>0</v>
      </c>
      <c r="H319" s="901">
        <f>GLOBAL_DER_FEV_2023!H319</f>
        <v>0</v>
      </c>
      <c r="I319" s="901">
        <f>GLOBAL_DER_FEV_2023!I319</f>
        <v>0</v>
      </c>
      <c r="J319" s="902">
        <f>GLOBAL_DER_FEV_2023!J319</f>
        <v>0</v>
      </c>
      <c r="K319" s="903" t="s">
        <v>507</v>
      </c>
      <c r="L319" s="1003"/>
      <c r="M319" s="1157">
        <f t="shared" si="22"/>
        <v>0</v>
      </c>
      <c r="N319" s="893">
        <f t="shared" si="26"/>
        <v>0</v>
      </c>
      <c r="O319" s="905"/>
      <c r="P319" s="58" t="str">
        <f>IF(N318&gt;0,"xx",IF(N318&gt;0,"xy",""))</f>
        <v/>
      </c>
      <c r="Q319" s="317" t="str">
        <f t="shared" si="23"/>
        <v/>
      </c>
      <c r="R319" s="317" t="str">
        <f t="shared" si="24"/>
        <v/>
      </c>
      <c r="S319" s="317" t="str">
        <f t="shared" si="25"/>
        <v/>
      </c>
      <c r="T319" s="317" t="str">
        <f>GLOBAL_DER_FEV_2023!S319</f>
        <v/>
      </c>
      <c r="W319" s="582">
        <v>0</v>
      </c>
      <c r="X319" s="580"/>
      <c r="Y319" s="583">
        <f>IF(GLOBAL_DER_FEV_2023!W319=0,0,IF(GLOBAL_DER_FEV_2023!W319&gt;0,"c","b"))</f>
        <v>0</v>
      </c>
    </row>
    <row r="320" spans="1:25" ht="13.5" hidden="1" thickBot="1" x14ac:dyDescent="0.25">
      <c r="A320" s="317" t="s">
        <v>147</v>
      </c>
      <c r="B320" s="895" t="s">
        <v>147</v>
      </c>
      <c r="C320" s="896"/>
      <c r="D320" s="957" t="s">
        <v>230</v>
      </c>
      <c r="E320" s="907">
        <f>GLOBAL_DER_FEV_2023!E320</f>
        <v>353</v>
      </c>
      <c r="F320" s="908">
        <f>GLOBAL_DER_FEV_2023!F320</f>
        <v>0</v>
      </c>
      <c r="G320" s="909">
        <f>GLOBAL_DER_FEV_2023!G320</f>
        <v>0</v>
      </c>
      <c r="H320" s="901">
        <f>GLOBAL_DER_FEV_2023!H320</f>
        <v>0</v>
      </c>
      <c r="I320" s="901">
        <f>GLOBAL_DER_FEV_2023!I320</f>
        <v>0</v>
      </c>
      <c r="J320" s="902">
        <f>GLOBAL_DER_FEV_2023!J320</f>
        <v>0</v>
      </c>
      <c r="K320" s="903" t="s">
        <v>507</v>
      </c>
      <c r="L320" s="1003"/>
      <c r="M320" s="1157">
        <f t="shared" si="22"/>
        <v>0</v>
      </c>
      <c r="N320" s="893">
        <f t="shared" si="26"/>
        <v>0</v>
      </c>
      <c r="O320" s="905"/>
      <c r="P320" s="58" t="str">
        <f>IF(N318&gt;0,"xx",IF(N318&gt;0,"xy",""))</f>
        <v/>
      </c>
      <c r="Q320" s="317" t="str">
        <f t="shared" si="23"/>
        <v/>
      </c>
      <c r="R320" s="317" t="str">
        <f t="shared" si="24"/>
        <v/>
      </c>
      <c r="S320" s="317" t="str">
        <f t="shared" si="25"/>
        <v/>
      </c>
      <c r="T320" s="317" t="str">
        <f>GLOBAL_DER_FEV_2023!S320</f>
        <v/>
      </c>
      <c r="W320" s="582">
        <v>0</v>
      </c>
      <c r="X320" s="580"/>
      <c r="Y320" s="583">
        <f>IF(GLOBAL_DER_FEV_2023!W320=0,0,IF(GLOBAL_DER_FEV_2023!W320&gt;0,"c","b"))</f>
        <v>0</v>
      </c>
    </row>
    <row r="321" spans="1:25" ht="13.5" hidden="1" thickBot="1" x14ac:dyDescent="0.25">
      <c r="A321" s="317" t="s">
        <v>147</v>
      </c>
      <c r="B321" s="895" t="s">
        <v>147</v>
      </c>
      <c r="C321" s="896"/>
      <c r="D321" s="957" t="s">
        <v>243</v>
      </c>
      <c r="E321" s="907">
        <f>GLOBAL_DER_FEV_2023!E321</f>
        <v>0.2</v>
      </c>
      <c r="F321" s="908">
        <f>GLOBAL_DER_FEV_2023!F321</f>
        <v>2.12</v>
      </c>
      <c r="G321" s="949">
        <f>GLOBAL_DER_FEV_2023!G321</f>
        <v>6.1352800000000007</v>
      </c>
      <c r="H321" s="901">
        <f>GLOBAL_DER_FEV_2023!H321</f>
        <v>0</v>
      </c>
      <c r="I321" s="901">
        <f>GLOBAL_DER_FEV_2023!I321</f>
        <v>0</v>
      </c>
      <c r="J321" s="902">
        <f>GLOBAL_DER_FEV_2023!J321</f>
        <v>0</v>
      </c>
      <c r="K321" s="903" t="s">
        <v>507</v>
      </c>
      <c r="L321" s="1003"/>
      <c r="M321" s="1157">
        <f t="shared" si="22"/>
        <v>0</v>
      </c>
      <c r="N321" s="893">
        <f t="shared" si="26"/>
        <v>0</v>
      </c>
      <c r="O321" s="905"/>
      <c r="P321" s="58" t="str">
        <f>IF(N318&gt;0,"xx",IF(N318&gt;0,"xy",""))</f>
        <v/>
      </c>
      <c r="Q321" s="317" t="str">
        <f t="shared" si="23"/>
        <v/>
      </c>
      <c r="R321" s="317" t="str">
        <f t="shared" si="24"/>
        <v/>
      </c>
      <c r="S321" s="317" t="str">
        <f t="shared" si="25"/>
        <v/>
      </c>
      <c r="T321" s="317" t="str">
        <f>GLOBAL_DER_FEV_2023!S321</f>
        <v/>
      </c>
      <c r="W321" s="582">
        <v>0</v>
      </c>
      <c r="X321" s="580"/>
      <c r="Y321" s="583">
        <f>IF(GLOBAL_DER_FEV_2023!W321=0,0,IF(GLOBAL_DER_FEV_2023!W321&gt;0,"c","b"))</f>
        <v>0</v>
      </c>
    </row>
    <row r="322" spans="1:25" ht="13.5" hidden="1" thickBot="1" x14ac:dyDescent="0.25">
      <c r="A322" s="317" t="s">
        <v>147</v>
      </c>
      <c r="B322" s="895" t="s">
        <v>147</v>
      </c>
      <c r="C322" s="896"/>
      <c r="D322" s="957" t="s">
        <v>244</v>
      </c>
      <c r="E322" s="907">
        <f>GLOBAL_DER_FEV_2023!E322</f>
        <v>22</v>
      </c>
      <c r="F322" s="908">
        <f>GLOBAL_DER_FEV_2023!F322</f>
        <v>2.2000000000000002</v>
      </c>
      <c r="G322" s="912">
        <f>GLOBAL_DER_FEV_2023!G322</f>
        <v>63.602000000000011</v>
      </c>
      <c r="H322" s="901">
        <f>GLOBAL_DER_FEV_2023!H322</f>
        <v>0</v>
      </c>
      <c r="I322" s="901">
        <f>GLOBAL_DER_FEV_2023!I322</f>
        <v>0</v>
      </c>
      <c r="J322" s="902">
        <f>GLOBAL_DER_FEV_2023!J322</f>
        <v>0</v>
      </c>
      <c r="K322" s="903" t="s">
        <v>507</v>
      </c>
      <c r="L322" s="1003"/>
      <c r="M322" s="1157">
        <f t="shared" si="22"/>
        <v>0</v>
      </c>
      <c r="N322" s="893">
        <f t="shared" si="26"/>
        <v>0</v>
      </c>
      <c r="O322" s="905"/>
      <c r="P322" s="58" t="str">
        <f>IF(N318&gt;0,"xx",IF(N318&gt;0,"xy",""))</f>
        <v/>
      </c>
      <c r="Q322" s="317" t="str">
        <f t="shared" si="23"/>
        <v/>
      </c>
      <c r="R322" s="317" t="str">
        <f t="shared" si="24"/>
        <v/>
      </c>
      <c r="S322" s="317" t="str">
        <f t="shared" si="25"/>
        <v/>
      </c>
      <c r="T322" s="317" t="str">
        <f>GLOBAL_DER_FEV_2023!S322</f>
        <v/>
      </c>
      <c r="W322" s="582">
        <v>0</v>
      </c>
      <c r="X322" s="580"/>
      <c r="Y322" s="583">
        <f>IF(GLOBAL_DER_FEV_2023!W322=0,0,IF(GLOBAL_DER_FEV_2023!W322&gt;0,"c","b"))</f>
        <v>0</v>
      </c>
    </row>
    <row r="323" spans="1:25" ht="13.5" hidden="1" thickBot="1" x14ac:dyDescent="0.25">
      <c r="A323" s="317">
        <v>589320</v>
      </c>
      <c r="B323" s="1004" t="s">
        <v>721</v>
      </c>
      <c r="C323" s="984" t="s">
        <v>213</v>
      </c>
      <c r="D323" s="1012" t="s">
        <v>699</v>
      </c>
      <c r="E323" s="1005">
        <f>GLOBAL_DER_FEV_2023!E323</f>
        <v>45</v>
      </c>
      <c r="F323" s="1006">
        <f>GLOBAL_DER_FEV_2023!F323</f>
        <v>1</v>
      </c>
      <c r="G323" s="949">
        <f>GLOBAL_DER_FEV_2023!G323</f>
        <v>79.25</v>
      </c>
      <c r="H323" s="988">
        <f>GLOBAL_DER_FEV_2023!H323</f>
        <v>4012.83</v>
      </c>
      <c r="I323" s="988">
        <f>GLOBAL_DER_FEV_2023!I323</f>
        <v>3931.9945856583668</v>
      </c>
      <c r="J323" s="989">
        <f>GLOBAL_DER_FEV_2023!J323</f>
        <v>4721.1499999999996</v>
      </c>
      <c r="K323" s="990" t="s">
        <v>14</v>
      </c>
      <c r="L323" s="1154">
        <f>ROUND(L318*$F318,2)</f>
        <v>0</v>
      </c>
      <c r="M323" s="1159">
        <f t="shared" si="22"/>
        <v>0</v>
      </c>
      <c r="N323" s="993">
        <f t="shared" si="26"/>
        <v>0</v>
      </c>
      <c r="O323" s="905"/>
      <c r="P323" s="58" t="str">
        <f>IF(N318&gt;0,"xx",IF(N318&gt;0,"xy",""))</f>
        <v/>
      </c>
      <c r="Q323" s="317" t="str">
        <f t="shared" si="23"/>
        <v/>
      </c>
      <c r="R323" s="317" t="str">
        <f t="shared" si="24"/>
        <v/>
      </c>
      <c r="S323" s="317" t="str">
        <f t="shared" si="25"/>
        <v/>
      </c>
      <c r="T323" s="317" t="str">
        <f>GLOBAL_DER_FEV_2023!S323</f>
        <v/>
      </c>
      <c r="W323" s="582">
        <v>0</v>
      </c>
      <c r="X323" s="580"/>
      <c r="Y323" s="583">
        <f>IF(GLOBAL_DER_FEV_2023!W323=0,0,IF(GLOBAL_DER_FEV_2023!W323&gt;0,"c","b"))</f>
        <v>0</v>
      </c>
    </row>
    <row r="324" spans="1:25" ht="13.5" hidden="1" thickBot="1" x14ac:dyDescent="0.25">
      <c r="A324" s="317">
        <v>534300</v>
      </c>
      <c r="B324" s="999" t="s">
        <v>1758</v>
      </c>
      <c r="C324" s="1000" t="s">
        <v>184</v>
      </c>
      <c r="D324" s="973" t="s">
        <v>2206</v>
      </c>
      <c r="E324" s="974" t="str">
        <f>GLOBAL_DER_FEV_2023!E324</f>
        <v>taxa RM-2C</v>
      </c>
      <c r="F324" s="975">
        <f>GLOBAL_DER_FEV_2023!F324</f>
        <v>0.11</v>
      </c>
      <c r="G324" s="976">
        <f>GLOBAL_DER_FEV_2023!G324</f>
        <v>69.65046000000001</v>
      </c>
      <c r="H324" s="977">
        <f>GLOBAL_DER_FEV_2023!H324</f>
        <v>140.30000000000001</v>
      </c>
      <c r="I324" s="977">
        <f>GLOBAL_DER_FEV_2023!I324</f>
        <v>209.95046000000002</v>
      </c>
      <c r="J324" s="978">
        <f>GLOBAL_DER_FEV_2023!J324</f>
        <v>252.09</v>
      </c>
      <c r="K324" s="979" t="s">
        <v>10</v>
      </c>
      <c r="L324" s="1152"/>
      <c r="M324" s="1153">
        <f t="shared" si="22"/>
        <v>0</v>
      </c>
      <c r="N324" s="982">
        <f t="shared" si="26"/>
        <v>0</v>
      </c>
      <c r="O324" s="905"/>
      <c r="Q324" s="317" t="str">
        <f t="shared" si="23"/>
        <v/>
      </c>
      <c r="R324" s="317" t="str">
        <f t="shared" si="24"/>
        <v/>
      </c>
      <c r="S324" s="317" t="str">
        <f t="shared" si="25"/>
        <v/>
      </c>
      <c r="T324" s="317" t="str">
        <f>GLOBAL_DER_FEV_2023!S324</f>
        <v/>
      </c>
      <c r="W324" s="582">
        <v>0</v>
      </c>
      <c r="X324" s="580"/>
      <c r="Y324" s="583">
        <f>IF(GLOBAL_DER_FEV_2023!W324=0,0,IF(GLOBAL_DER_FEV_2023!W324&gt;0,"c","b"))</f>
        <v>0</v>
      </c>
    </row>
    <row r="325" spans="1:25" ht="13.5" hidden="1" thickBot="1" x14ac:dyDescent="0.25">
      <c r="A325" s="317" t="s">
        <v>147</v>
      </c>
      <c r="B325" s="895" t="s">
        <v>147</v>
      </c>
      <c r="C325" s="896"/>
      <c r="D325" s="957" t="s">
        <v>229</v>
      </c>
      <c r="E325" s="907">
        <f>GLOBAL_DER_FEV_2023!E325</f>
        <v>150</v>
      </c>
      <c r="F325" s="908">
        <f>GLOBAL_DER_FEV_2023!F325</f>
        <v>0</v>
      </c>
      <c r="G325" s="949">
        <f>GLOBAL_DER_FEV_2023!G325</f>
        <v>0</v>
      </c>
      <c r="H325" s="901">
        <f>GLOBAL_DER_FEV_2023!H325</f>
        <v>0</v>
      </c>
      <c r="I325" s="901">
        <f>GLOBAL_DER_FEV_2023!I325</f>
        <v>0</v>
      </c>
      <c r="J325" s="902">
        <f>GLOBAL_DER_FEV_2023!J325</f>
        <v>0</v>
      </c>
      <c r="K325" s="903" t="s">
        <v>507</v>
      </c>
      <c r="L325" s="1003"/>
      <c r="M325" s="1157">
        <f t="shared" si="22"/>
        <v>0</v>
      </c>
      <c r="N325" s="893">
        <f t="shared" si="26"/>
        <v>0</v>
      </c>
      <c r="O325" s="905"/>
      <c r="P325" s="58" t="str">
        <f>IF(N324&gt;0,"xx",IF(N324&gt;0,"xy",""))</f>
        <v/>
      </c>
      <c r="Q325" s="317" t="str">
        <f t="shared" si="23"/>
        <v/>
      </c>
      <c r="R325" s="317" t="str">
        <f t="shared" si="24"/>
        <v/>
      </c>
      <c r="S325" s="317" t="str">
        <f t="shared" si="25"/>
        <v/>
      </c>
      <c r="T325" s="317" t="str">
        <f>GLOBAL_DER_FEV_2023!S325</f>
        <v/>
      </c>
      <c r="W325" s="582">
        <v>0</v>
      </c>
      <c r="X325" s="580"/>
      <c r="Y325" s="583">
        <f>IF(GLOBAL_DER_FEV_2023!W325=0,0,IF(GLOBAL_DER_FEV_2023!W325&gt;0,"c","b"))</f>
        <v>0</v>
      </c>
    </row>
    <row r="326" spans="1:25" ht="13.5" hidden="1" thickBot="1" x14ac:dyDescent="0.25">
      <c r="A326" s="317" t="s">
        <v>147</v>
      </c>
      <c r="B326" s="895" t="s">
        <v>147</v>
      </c>
      <c r="C326" s="896"/>
      <c r="D326" s="957" t="s">
        <v>230</v>
      </c>
      <c r="E326" s="907">
        <f>GLOBAL_DER_FEV_2023!E326</f>
        <v>353</v>
      </c>
      <c r="F326" s="908">
        <f>GLOBAL_DER_FEV_2023!F326</f>
        <v>0</v>
      </c>
      <c r="G326" s="909">
        <f>GLOBAL_DER_FEV_2023!G326</f>
        <v>0</v>
      </c>
      <c r="H326" s="901">
        <f>GLOBAL_DER_FEV_2023!H326</f>
        <v>0</v>
      </c>
      <c r="I326" s="901">
        <f>GLOBAL_DER_FEV_2023!I326</f>
        <v>0</v>
      </c>
      <c r="J326" s="902">
        <f>GLOBAL_DER_FEV_2023!J326</f>
        <v>0</v>
      </c>
      <c r="K326" s="903" t="s">
        <v>507</v>
      </c>
      <c r="L326" s="1003"/>
      <c r="M326" s="1157">
        <f t="shared" si="22"/>
        <v>0</v>
      </c>
      <c r="N326" s="893">
        <f t="shared" si="26"/>
        <v>0</v>
      </c>
      <c r="O326" s="905"/>
      <c r="P326" s="58" t="str">
        <f>IF(N324&gt;0,"xx",IF(N324&gt;0,"xy",""))</f>
        <v/>
      </c>
      <c r="Q326" s="317" t="str">
        <f t="shared" si="23"/>
        <v/>
      </c>
      <c r="R326" s="317" t="str">
        <f t="shared" si="24"/>
        <v/>
      </c>
      <c r="S326" s="317" t="str">
        <f t="shared" si="25"/>
        <v/>
      </c>
      <c r="T326" s="317" t="str">
        <f>GLOBAL_DER_FEV_2023!S326</f>
        <v/>
      </c>
      <c r="W326" s="582">
        <v>0</v>
      </c>
      <c r="X326" s="580"/>
      <c r="Y326" s="583">
        <f>IF(GLOBAL_DER_FEV_2023!W326=0,0,IF(GLOBAL_DER_FEV_2023!W326&gt;0,"c","b"))</f>
        <v>0</v>
      </c>
    </row>
    <row r="327" spans="1:25" ht="13.5" hidden="1" thickBot="1" x14ac:dyDescent="0.25">
      <c r="A327" s="317" t="s">
        <v>147</v>
      </c>
      <c r="B327" s="895" t="s">
        <v>147</v>
      </c>
      <c r="C327" s="896"/>
      <c r="D327" s="957" t="s">
        <v>243</v>
      </c>
      <c r="E327" s="907">
        <f>GLOBAL_DER_FEV_2023!E327</f>
        <v>0.2</v>
      </c>
      <c r="F327" s="908">
        <f>GLOBAL_DER_FEV_2023!F327</f>
        <v>2.09</v>
      </c>
      <c r="G327" s="949">
        <f>GLOBAL_DER_FEV_2023!G327</f>
        <v>6.0484599999999995</v>
      </c>
      <c r="H327" s="901">
        <f>GLOBAL_DER_FEV_2023!H327</f>
        <v>0</v>
      </c>
      <c r="I327" s="901">
        <f>GLOBAL_DER_FEV_2023!I327</f>
        <v>0</v>
      </c>
      <c r="J327" s="902">
        <f>GLOBAL_DER_FEV_2023!J327</f>
        <v>0</v>
      </c>
      <c r="K327" s="903" t="s">
        <v>507</v>
      </c>
      <c r="L327" s="1003"/>
      <c r="M327" s="1157">
        <f t="shared" si="22"/>
        <v>0</v>
      </c>
      <c r="N327" s="893">
        <f t="shared" si="26"/>
        <v>0</v>
      </c>
      <c r="O327" s="905"/>
      <c r="P327" s="58" t="str">
        <f>IF(N324&gt;0,"xx",IF(N324&gt;0,"xy",""))</f>
        <v/>
      </c>
      <c r="Q327" s="317" t="str">
        <f t="shared" si="23"/>
        <v/>
      </c>
      <c r="R327" s="317" t="str">
        <f t="shared" si="24"/>
        <v/>
      </c>
      <c r="S327" s="317" t="str">
        <f t="shared" si="25"/>
        <v/>
      </c>
      <c r="T327" s="317" t="str">
        <f>GLOBAL_DER_FEV_2023!S327</f>
        <v/>
      </c>
      <c r="W327" s="582">
        <v>0</v>
      </c>
      <c r="X327" s="580"/>
      <c r="Y327" s="583">
        <f>IF(GLOBAL_DER_FEV_2023!W327=0,0,IF(GLOBAL_DER_FEV_2023!W327&gt;0,"c","b"))</f>
        <v>0</v>
      </c>
    </row>
    <row r="328" spans="1:25" ht="13.5" hidden="1" thickBot="1" x14ac:dyDescent="0.25">
      <c r="A328" s="317" t="s">
        <v>147</v>
      </c>
      <c r="B328" s="895" t="s">
        <v>147</v>
      </c>
      <c r="C328" s="896"/>
      <c r="D328" s="957" t="s">
        <v>244</v>
      </c>
      <c r="E328" s="907">
        <f>GLOBAL_DER_FEV_2023!E328</f>
        <v>22</v>
      </c>
      <c r="F328" s="908">
        <f>GLOBAL_DER_FEV_2023!F328</f>
        <v>2.1999999999999997</v>
      </c>
      <c r="G328" s="912">
        <f>GLOBAL_DER_FEV_2023!G328</f>
        <v>63.602000000000004</v>
      </c>
      <c r="H328" s="901">
        <f>GLOBAL_DER_FEV_2023!H328</f>
        <v>0</v>
      </c>
      <c r="I328" s="901">
        <f>GLOBAL_DER_FEV_2023!I328</f>
        <v>0</v>
      </c>
      <c r="J328" s="902">
        <f>GLOBAL_DER_FEV_2023!J328</f>
        <v>0</v>
      </c>
      <c r="K328" s="903" t="s">
        <v>507</v>
      </c>
      <c r="L328" s="1003"/>
      <c r="M328" s="1157">
        <f t="shared" si="22"/>
        <v>0</v>
      </c>
      <c r="N328" s="893">
        <f t="shared" si="26"/>
        <v>0</v>
      </c>
      <c r="O328" s="905"/>
      <c r="P328" s="58" t="str">
        <f>IF(N324&gt;0,"xx",IF(N324&gt;0,"xy",""))</f>
        <v/>
      </c>
      <c r="Q328" s="317" t="str">
        <f t="shared" si="23"/>
        <v/>
      </c>
      <c r="R328" s="317" t="str">
        <f t="shared" si="24"/>
        <v/>
      </c>
      <c r="S328" s="317" t="str">
        <f t="shared" si="25"/>
        <v/>
      </c>
      <c r="T328" s="317" t="str">
        <f>GLOBAL_DER_FEV_2023!S328</f>
        <v/>
      </c>
      <c r="W328" s="582">
        <v>0</v>
      </c>
      <c r="X328" s="580"/>
      <c r="Y328" s="583">
        <f>IF(GLOBAL_DER_FEV_2023!W328=0,0,IF(GLOBAL_DER_FEV_2023!W328&gt;0,"c","b"))</f>
        <v>0</v>
      </c>
    </row>
    <row r="329" spans="1:25" ht="13.5" hidden="1" thickBot="1" x14ac:dyDescent="0.25">
      <c r="A329" s="317">
        <v>589320</v>
      </c>
      <c r="B329" s="1004" t="s">
        <v>722</v>
      </c>
      <c r="C329" s="984" t="s">
        <v>213</v>
      </c>
      <c r="D329" s="1012" t="s">
        <v>699</v>
      </c>
      <c r="E329" s="1005">
        <f>GLOBAL_DER_FEV_2023!E329</f>
        <v>45</v>
      </c>
      <c r="F329" s="1006">
        <f>GLOBAL_DER_FEV_2023!F329</f>
        <v>1</v>
      </c>
      <c r="G329" s="949">
        <f>GLOBAL_DER_FEV_2023!G329</f>
        <v>79.25</v>
      </c>
      <c r="H329" s="988">
        <f>GLOBAL_DER_FEV_2023!H329</f>
        <v>4012.83</v>
      </c>
      <c r="I329" s="988">
        <f>GLOBAL_DER_FEV_2023!I329</f>
        <v>3931.9945856583668</v>
      </c>
      <c r="J329" s="989">
        <f>GLOBAL_DER_FEV_2023!J329</f>
        <v>4721.1499999999996</v>
      </c>
      <c r="K329" s="990" t="s">
        <v>14</v>
      </c>
      <c r="L329" s="1154">
        <f>ROUND(L324*$F324,2)</f>
        <v>0</v>
      </c>
      <c r="M329" s="1159">
        <f t="shared" si="22"/>
        <v>0</v>
      </c>
      <c r="N329" s="993">
        <f t="shared" si="26"/>
        <v>0</v>
      </c>
      <c r="O329" s="905"/>
      <c r="P329" s="58" t="str">
        <f>IF(N324&gt;0,"xx",IF(N324&gt;0,"xy",""))</f>
        <v/>
      </c>
      <c r="Q329" s="317" t="str">
        <f t="shared" si="23"/>
        <v/>
      </c>
      <c r="R329" s="317" t="str">
        <f t="shared" si="24"/>
        <v/>
      </c>
      <c r="S329" s="317" t="str">
        <f t="shared" si="25"/>
        <v/>
      </c>
      <c r="T329" s="317" t="str">
        <f>GLOBAL_DER_FEV_2023!S329</f>
        <v/>
      </c>
      <c r="W329" s="582">
        <v>0</v>
      </c>
      <c r="X329" s="580"/>
      <c r="Y329" s="583">
        <f>IF(GLOBAL_DER_FEV_2023!W329=0,0,IF(GLOBAL_DER_FEV_2023!W329&gt;0,"c","b"))</f>
        <v>0</v>
      </c>
    </row>
    <row r="330" spans="1:25" ht="13.5" hidden="1" thickBot="1" x14ac:dyDescent="0.25">
      <c r="A330" s="317">
        <v>534300</v>
      </c>
      <c r="B330" s="999" t="s">
        <v>1759</v>
      </c>
      <c r="C330" s="1000" t="s">
        <v>184</v>
      </c>
      <c r="D330" s="973" t="s">
        <v>2208</v>
      </c>
      <c r="E330" s="974" t="str">
        <f>GLOBAL_DER_FEV_2023!E330</f>
        <v>taxa RM-2C</v>
      </c>
      <c r="F330" s="975">
        <f>GLOBAL_DER_FEV_2023!F330</f>
        <v>0.11</v>
      </c>
      <c r="G330" s="976">
        <f>GLOBAL_DER_FEV_2023!G330</f>
        <v>69.65046000000001</v>
      </c>
      <c r="H330" s="977">
        <f>GLOBAL_DER_FEV_2023!H330</f>
        <v>140.30000000000001</v>
      </c>
      <c r="I330" s="977">
        <f>GLOBAL_DER_FEV_2023!I330</f>
        <v>209.95046000000002</v>
      </c>
      <c r="J330" s="978">
        <f>GLOBAL_DER_FEV_2023!J330</f>
        <v>252.09</v>
      </c>
      <c r="K330" s="979" t="s">
        <v>10</v>
      </c>
      <c r="L330" s="1152"/>
      <c r="M330" s="1153">
        <f t="shared" si="22"/>
        <v>0</v>
      </c>
      <c r="N330" s="982">
        <f t="shared" si="26"/>
        <v>0</v>
      </c>
      <c r="O330" s="905"/>
      <c r="Q330" s="317" t="str">
        <f t="shared" si="23"/>
        <v/>
      </c>
      <c r="R330" s="317" t="str">
        <f t="shared" si="24"/>
        <v/>
      </c>
      <c r="S330" s="317" t="str">
        <f t="shared" si="25"/>
        <v/>
      </c>
      <c r="T330" s="317" t="str">
        <f>GLOBAL_DER_FEV_2023!S330</f>
        <v/>
      </c>
      <c r="W330" s="582">
        <v>0</v>
      </c>
      <c r="X330" s="580"/>
      <c r="Y330" s="583">
        <f>IF(GLOBAL_DER_FEV_2023!W330=0,0,IF(GLOBAL_DER_FEV_2023!W330&gt;0,"c","b"))</f>
        <v>0</v>
      </c>
    </row>
    <row r="331" spans="1:25" ht="13.5" hidden="1" thickBot="1" x14ac:dyDescent="0.25">
      <c r="A331" s="317" t="s">
        <v>147</v>
      </c>
      <c r="B331" s="895" t="s">
        <v>147</v>
      </c>
      <c r="C331" s="896"/>
      <c r="D331" s="957" t="s">
        <v>229</v>
      </c>
      <c r="E331" s="907">
        <f>GLOBAL_DER_FEV_2023!E331</f>
        <v>150</v>
      </c>
      <c r="F331" s="908">
        <f>GLOBAL_DER_FEV_2023!F331</f>
        <v>0</v>
      </c>
      <c r="G331" s="949">
        <f>GLOBAL_DER_FEV_2023!G331</f>
        <v>0</v>
      </c>
      <c r="H331" s="901">
        <f>GLOBAL_DER_FEV_2023!H331</f>
        <v>0</v>
      </c>
      <c r="I331" s="901">
        <f>GLOBAL_DER_FEV_2023!I331</f>
        <v>0</v>
      </c>
      <c r="J331" s="902">
        <f>GLOBAL_DER_FEV_2023!J331</f>
        <v>0</v>
      </c>
      <c r="K331" s="903" t="s">
        <v>507</v>
      </c>
      <c r="L331" s="1003"/>
      <c r="M331" s="1157">
        <f t="shared" si="22"/>
        <v>0</v>
      </c>
      <c r="N331" s="893">
        <f t="shared" si="26"/>
        <v>0</v>
      </c>
      <c r="O331" s="905"/>
      <c r="P331" s="58" t="str">
        <f>IF(N330&gt;0,"xx",IF(N330&gt;0,"xy",""))</f>
        <v/>
      </c>
      <c r="Q331" s="317" t="str">
        <f t="shared" si="23"/>
        <v/>
      </c>
      <c r="R331" s="317" t="str">
        <f t="shared" si="24"/>
        <v/>
      </c>
      <c r="S331" s="317" t="str">
        <f t="shared" si="25"/>
        <v/>
      </c>
      <c r="T331" s="317" t="str">
        <f>GLOBAL_DER_FEV_2023!S331</f>
        <v/>
      </c>
      <c r="W331" s="582">
        <v>0</v>
      </c>
      <c r="X331" s="580"/>
      <c r="Y331" s="583">
        <f>IF(GLOBAL_DER_FEV_2023!W331=0,0,IF(GLOBAL_DER_FEV_2023!W331&gt;0,"c","b"))</f>
        <v>0</v>
      </c>
    </row>
    <row r="332" spans="1:25" ht="13.5" hidden="1" thickBot="1" x14ac:dyDescent="0.25">
      <c r="A332" s="317" t="s">
        <v>147</v>
      </c>
      <c r="B332" s="895" t="s">
        <v>147</v>
      </c>
      <c r="C332" s="896"/>
      <c r="D332" s="957" t="s">
        <v>230</v>
      </c>
      <c r="E332" s="907">
        <f>GLOBAL_DER_FEV_2023!E332</f>
        <v>353</v>
      </c>
      <c r="F332" s="908">
        <f>GLOBAL_DER_FEV_2023!F332</f>
        <v>0</v>
      </c>
      <c r="G332" s="909">
        <f>GLOBAL_DER_FEV_2023!G332</f>
        <v>0</v>
      </c>
      <c r="H332" s="901">
        <f>GLOBAL_DER_FEV_2023!H332</f>
        <v>0</v>
      </c>
      <c r="I332" s="901">
        <f>GLOBAL_DER_FEV_2023!I332</f>
        <v>0</v>
      </c>
      <c r="J332" s="902">
        <f>GLOBAL_DER_FEV_2023!J332</f>
        <v>0</v>
      </c>
      <c r="K332" s="903" t="s">
        <v>507</v>
      </c>
      <c r="L332" s="1003"/>
      <c r="M332" s="1157">
        <f t="shared" si="22"/>
        <v>0</v>
      </c>
      <c r="N332" s="893">
        <f t="shared" si="26"/>
        <v>0</v>
      </c>
      <c r="O332" s="905"/>
      <c r="P332" s="58" t="str">
        <f>IF(N330&gt;0,"xx",IF(N330&gt;0,"xy",""))</f>
        <v/>
      </c>
      <c r="Q332" s="317" t="str">
        <f t="shared" si="23"/>
        <v/>
      </c>
      <c r="R332" s="317" t="str">
        <f t="shared" si="24"/>
        <v/>
      </c>
      <c r="S332" s="317" t="str">
        <f t="shared" si="25"/>
        <v/>
      </c>
      <c r="T332" s="317" t="str">
        <f>GLOBAL_DER_FEV_2023!S332</f>
        <v/>
      </c>
      <c r="W332" s="582">
        <v>0</v>
      </c>
      <c r="X332" s="580"/>
      <c r="Y332" s="583">
        <f>IF(GLOBAL_DER_FEV_2023!W332=0,0,IF(GLOBAL_DER_FEV_2023!W332&gt;0,"c","b"))</f>
        <v>0</v>
      </c>
    </row>
    <row r="333" spans="1:25" ht="13.5" hidden="1" thickBot="1" x14ac:dyDescent="0.25">
      <c r="A333" s="317" t="s">
        <v>147</v>
      </c>
      <c r="B333" s="895" t="s">
        <v>147</v>
      </c>
      <c r="C333" s="896"/>
      <c r="D333" s="957" t="s">
        <v>243</v>
      </c>
      <c r="E333" s="907">
        <f>GLOBAL_DER_FEV_2023!E333</f>
        <v>0.2</v>
      </c>
      <c r="F333" s="908">
        <f>GLOBAL_DER_FEV_2023!F333</f>
        <v>2.09</v>
      </c>
      <c r="G333" s="949">
        <f>GLOBAL_DER_FEV_2023!G333</f>
        <v>6.0484599999999995</v>
      </c>
      <c r="H333" s="901">
        <f>GLOBAL_DER_FEV_2023!H333</f>
        <v>0</v>
      </c>
      <c r="I333" s="901">
        <f>GLOBAL_DER_FEV_2023!I333</f>
        <v>0</v>
      </c>
      <c r="J333" s="902">
        <f>GLOBAL_DER_FEV_2023!J333</f>
        <v>0</v>
      </c>
      <c r="K333" s="903" t="s">
        <v>507</v>
      </c>
      <c r="L333" s="1003"/>
      <c r="M333" s="1157">
        <f t="shared" si="22"/>
        <v>0</v>
      </c>
      <c r="N333" s="893">
        <f t="shared" si="26"/>
        <v>0</v>
      </c>
      <c r="O333" s="905"/>
      <c r="P333" s="58" t="str">
        <f>IF(N330&gt;0,"xx",IF(N330&gt;0,"xy",""))</f>
        <v/>
      </c>
      <c r="Q333" s="317" t="str">
        <f t="shared" si="23"/>
        <v/>
      </c>
      <c r="R333" s="317" t="str">
        <f t="shared" si="24"/>
        <v/>
      </c>
      <c r="S333" s="317" t="str">
        <f t="shared" si="25"/>
        <v/>
      </c>
      <c r="T333" s="317" t="str">
        <f>GLOBAL_DER_FEV_2023!S333</f>
        <v/>
      </c>
      <c r="W333" s="582">
        <v>0</v>
      </c>
      <c r="X333" s="580"/>
      <c r="Y333" s="583">
        <f>IF(GLOBAL_DER_FEV_2023!W333=0,0,IF(GLOBAL_DER_FEV_2023!W333&gt;0,"c","b"))</f>
        <v>0</v>
      </c>
    </row>
    <row r="334" spans="1:25" ht="13.5" hidden="1" thickBot="1" x14ac:dyDescent="0.25">
      <c r="A334" s="317" t="s">
        <v>147</v>
      </c>
      <c r="B334" s="895" t="s">
        <v>147</v>
      </c>
      <c r="C334" s="896"/>
      <c r="D334" s="957" t="s">
        <v>244</v>
      </c>
      <c r="E334" s="907">
        <f>GLOBAL_DER_FEV_2023!E334</f>
        <v>22</v>
      </c>
      <c r="F334" s="908">
        <f>GLOBAL_DER_FEV_2023!F334</f>
        <v>2.1999999999999997</v>
      </c>
      <c r="G334" s="912">
        <f>GLOBAL_DER_FEV_2023!G334</f>
        <v>63.602000000000004</v>
      </c>
      <c r="H334" s="901">
        <f>GLOBAL_DER_FEV_2023!H334</f>
        <v>0</v>
      </c>
      <c r="I334" s="901">
        <f>GLOBAL_DER_FEV_2023!I334</f>
        <v>0</v>
      </c>
      <c r="J334" s="902">
        <f>GLOBAL_DER_FEV_2023!J334</f>
        <v>0</v>
      </c>
      <c r="K334" s="903" t="s">
        <v>507</v>
      </c>
      <c r="L334" s="1003"/>
      <c r="M334" s="1157">
        <f t="shared" si="22"/>
        <v>0</v>
      </c>
      <c r="N334" s="893">
        <f t="shared" si="26"/>
        <v>0</v>
      </c>
      <c r="O334" s="905"/>
      <c r="P334" s="58" t="str">
        <f>IF(N330&gt;0,"xx",IF(N330&gt;0,"xy",""))</f>
        <v/>
      </c>
      <c r="Q334" s="317" t="str">
        <f t="shared" si="23"/>
        <v/>
      </c>
      <c r="R334" s="317" t="str">
        <f t="shared" si="24"/>
        <v/>
      </c>
      <c r="S334" s="317" t="str">
        <f t="shared" si="25"/>
        <v/>
      </c>
      <c r="T334" s="317" t="str">
        <f>GLOBAL_DER_FEV_2023!S334</f>
        <v/>
      </c>
      <c r="W334" s="582">
        <v>0</v>
      </c>
      <c r="X334" s="580"/>
      <c r="Y334" s="583">
        <f>IF(GLOBAL_DER_FEV_2023!W334=0,0,IF(GLOBAL_DER_FEV_2023!W334&gt;0,"c","b"))</f>
        <v>0</v>
      </c>
    </row>
    <row r="335" spans="1:25" ht="13.5" hidden="1" thickBot="1" x14ac:dyDescent="0.25">
      <c r="A335" s="317">
        <v>589320</v>
      </c>
      <c r="B335" s="1004" t="s">
        <v>723</v>
      </c>
      <c r="C335" s="984" t="s">
        <v>213</v>
      </c>
      <c r="D335" s="1012" t="s">
        <v>700</v>
      </c>
      <c r="E335" s="1005">
        <f>GLOBAL_DER_FEV_2023!E335</f>
        <v>45</v>
      </c>
      <c r="F335" s="1006">
        <f>GLOBAL_DER_FEV_2023!F335</f>
        <v>1</v>
      </c>
      <c r="G335" s="949">
        <f>GLOBAL_DER_FEV_2023!G335</f>
        <v>79.25</v>
      </c>
      <c r="H335" s="988">
        <f>GLOBAL_DER_FEV_2023!H335</f>
        <v>4012.83</v>
      </c>
      <c r="I335" s="988">
        <f>GLOBAL_DER_FEV_2023!I335</f>
        <v>3931.9945856583668</v>
      </c>
      <c r="J335" s="989">
        <f>GLOBAL_DER_FEV_2023!J335</f>
        <v>4721.1499999999996</v>
      </c>
      <c r="K335" s="990" t="s">
        <v>14</v>
      </c>
      <c r="L335" s="1154">
        <f>ROUND(L330*$F330,2)</f>
        <v>0</v>
      </c>
      <c r="M335" s="1159">
        <f t="shared" si="22"/>
        <v>0</v>
      </c>
      <c r="N335" s="993">
        <f t="shared" si="26"/>
        <v>0</v>
      </c>
      <c r="O335" s="905"/>
      <c r="P335" s="58" t="str">
        <f>IF(N330&gt;0,"xx",IF(N330&gt;0,"xy",""))</f>
        <v/>
      </c>
      <c r="Q335" s="317" t="str">
        <f t="shared" si="23"/>
        <v/>
      </c>
      <c r="R335" s="317" t="str">
        <f t="shared" si="24"/>
        <v/>
      </c>
      <c r="S335" s="317" t="str">
        <f t="shared" si="25"/>
        <v/>
      </c>
      <c r="T335" s="317" t="str">
        <f>GLOBAL_DER_FEV_2023!S335</f>
        <v/>
      </c>
      <c r="W335" s="582">
        <v>0</v>
      </c>
      <c r="X335" s="580"/>
      <c r="Y335" s="583">
        <f>IF(GLOBAL_DER_FEV_2023!W335=0,0,IF(GLOBAL_DER_FEV_2023!W335&gt;0,"c","b"))</f>
        <v>0</v>
      </c>
    </row>
    <row r="336" spans="1:25" ht="13.5" hidden="1" thickBot="1" x14ac:dyDescent="0.25">
      <c r="A336" s="317">
        <v>534300</v>
      </c>
      <c r="B336" s="999" t="s">
        <v>1760</v>
      </c>
      <c r="C336" s="1000" t="s">
        <v>184</v>
      </c>
      <c r="D336" s="973" t="s">
        <v>2209</v>
      </c>
      <c r="E336" s="974" t="str">
        <f>GLOBAL_DER_FEV_2023!E336</f>
        <v>taxa RM-2C</v>
      </c>
      <c r="F336" s="975">
        <f>GLOBAL_DER_FEV_2023!F336</f>
        <v>0.14000000000000001</v>
      </c>
      <c r="G336" s="976">
        <f>GLOBAL_DER_FEV_2023!G336</f>
        <v>116.02126000000001</v>
      </c>
      <c r="H336" s="977">
        <f>GLOBAL_DER_FEV_2023!H336</f>
        <v>140.30000000000001</v>
      </c>
      <c r="I336" s="977">
        <f>GLOBAL_DER_FEV_2023!I336</f>
        <v>256.32126000000005</v>
      </c>
      <c r="J336" s="978">
        <f>GLOBAL_DER_FEV_2023!J336</f>
        <v>307.76</v>
      </c>
      <c r="K336" s="979" t="s">
        <v>10</v>
      </c>
      <c r="L336" s="1152"/>
      <c r="M336" s="1153">
        <f t="shared" si="22"/>
        <v>0</v>
      </c>
      <c r="N336" s="982">
        <f t="shared" si="26"/>
        <v>0</v>
      </c>
      <c r="O336" s="905"/>
      <c r="Q336" s="317" t="str">
        <f t="shared" si="23"/>
        <v/>
      </c>
      <c r="R336" s="317" t="str">
        <f t="shared" si="24"/>
        <v/>
      </c>
      <c r="S336" s="317" t="str">
        <f t="shared" si="25"/>
        <v/>
      </c>
      <c r="T336" s="317" t="str">
        <f>GLOBAL_DER_FEV_2023!S336</f>
        <v/>
      </c>
      <c r="W336" s="582">
        <v>0</v>
      </c>
      <c r="X336" s="580"/>
      <c r="Y336" s="583">
        <f>IF(GLOBAL_DER_FEV_2023!W336=0,0,IF(GLOBAL_DER_FEV_2023!W336&gt;0,"c","b"))</f>
        <v>0</v>
      </c>
    </row>
    <row r="337" spans="1:25" ht="13.5" hidden="1" thickBot="1" x14ac:dyDescent="0.25">
      <c r="A337" s="317" t="s">
        <v>147</v>
      </c>
      <c r="B337" s="895" t="s">
        <v>147</v>
      </c>
      <c r="C337" s="896"/>
      <c r="D337" s="957" t="s">
        <v>229</v>
      </c>
      <c r="E337" s="907">
        <f>GLOBAL_DER_FEV_2023!E337</f>
        <v>150</v>
      </c>
      <c r="F337" s="908">
        <f>GLOBAL_DER_FEV_2023!F337</f>
        <v>0.27</v>
      </c>
      <c r="G337" s="949">
        <f>GLOBAL_DER_FEV_2023!G337</f>
        <v>44.058600000000006</v>
      </c>
      <c r="H337" s="901">
        <f>GLOBAL_DER_FEV_2023!H337</f>
        <v>0</v>
      </c>
      <c r="I337" s="901">
        <f>GLOBAL_DER_FEV_2023!I337</f>
        <v>0</v>
      </c>
      <c r="J337" s="902">
        <f>GLOBAL_DER_FEV_2023!J337</f>
        <v>0</v>
      </c>
      <c r="K337" s="903" t="s">
        <v>507</v>
      </c>
      <c r="L337" s="1003"/>
      <c r="M337" s="1157">
        <f t="shared" ref="M337:M424" si="27">IF(L337=0,0,ROUND(J337,2))</f>
        <v>0</v>
      </c>
      <c r="N337" s="893">
        <f t="shared" si="26"/>
        <v>0</v>
      </c>
      <c r="O337" s="905"/>
      <c r="P337" s="58" t="str">
        <f>IF(N336&gt;0,"xx",IF(N336&gt;0,"xy",""))</f>
        <v/>
      </c>
      <c r="Q337" s="317" t="str">
        <f t="shared" si="23"/>
        <v/>
      </c>
      <c r="R337" s="317" t="str">
        <f t="shared" si="24"/>
        <v/>
      </c>
      <c r="S337" s="317" t="str">
        <f t="shared" si="25"/>
        <v/>
      </c>
      <c r="T337" s="317" t="str">
        <f>GLOBAL_DER_FEV_2023!S337</f>
        <v/>
      </c>
      <c r="W337" s="582">
        <v>0</v>
      </c>
      <c r="X337" s="580"/>
      <c r="Y337" s="583">
        <f>IF(GLOBAL_DER_FEV_2023!W337=0,0,IF(GLOBAL_DER_FEV_2023!W337&gt;0,"c","b"))</f>
        <v>0</v>
      </c>
    </row>
    <row r="338" spans="1:25" ht="13.5" hidden="1" thickBot="1" x14ac:dyDescent="0.25">
      <c r="A338" s="317" t="s">
        <v>147</v>
      </c>
      <c r="B338" s="895" t="s">
        <v>147</v>
      </c>
      <c r="C338" s="896"/>
      <c r="D338" s="957" t="s">
        <v>230</v>
      </c>
      <c r="E338" s="907">
        <f>GLOBAL_DER_FEV_2023!E338</f>
        <v>353</v>
      </c>
      <c r="F338" s="908">
        <f>GLOBAL_DER_FEV_2023!F338</f>
        <v>0</v>
      </c>
      <c r="G338" s="909">
        <f>GLOBAL_DER_FEV_2023!G338</f>
        <v>0</v>
      </c>
      <c r="H338" s="901">
        <f>GLOBAL_DER_FEV_2023!H338</f>
        <v>0</v>
      </c>
      <c r="I338" s="901">
        <f>GLOBAL_DER_FEV_2023!I338</f>
        <v>0</v>
      </c>
      <c r="J338" s="902">
        <f>GLOBAL_DER_FEV_2023!J338</f>
        <v>0</v>
      </c>
      <c r="K338" s="903" t="s">
        <v>507</v>
      </c>
      <c r="L338" s="1003"/>
      <c r="M338" s="1157">
        <f t="shared" si="27"/>
        <v>0</v>
      </c>
      <c r="N338" s="893">
        <f t="shared" si="26"/>
        <v>0</v>
      </c>
      <c r="O338" s="905"/>
      <c r="P338" s="58" t="str">
        <f>IF(N336&gt;0,"xx",IF(N336&gt;0,"xy",""))</f>
        <v/>
      </c>
      <c r="Q338" s="317" t="str">
        <f t="shared" si="23"/>
        <v/>
      </c>
      <c r="R338" s="317" t="str">
        <f t="shared" si="24"/>
        <v/>
      </c>
      <c r="S338" s="317" t="str">
        <f t="shared" si="25"/>
        <v/>
      </c>
      <c r="T338" s="317" t="str">
        <f>GLOBAL_DER_FEV_2023!S338</f>
        <v/>
      </c>
      <c r="W338" s="582">
        <v>0</v>
      </c>
      <c r="X338" s="580"/>
      <c r="Y338" s="583">
        <f>IF(GLOBAL_DER_FEV_2023!W338=0,0,IF(GLOBAL_DER_FEV_2023!W338&gt;0,"c","b"))</f>
        <v>0</v>
      </c>
    </row>
    <row r="339" spans="1:25" ht="13.5" hidden="1" thickBot="1" x14ac:dyDescent="0.25">
      <c r="A339" s="317" t="s">
        <v>147</v>
      </c>
      <c r="B339" s="895" t="s">
        <v>147</v>
      </c>
      <c r="C339" s="896"/>
      <c r="D339" s="957" t="s">
        <v>243</v>
      </c>
      <c r="E339" s="907">
        <f>GLOBAL_DER_FEV_2023!E339</f>
        <v>0.2</v>
      </c>
      <c r="F339" s="908">
        <f>GLOBAL_DER_FEV_2023!F339</f>
        <v>1.89</v>
      </c>
      <c r="G339" s="949">
        <f>GLOBAL_DER_FEV_2023!G339</f>
        <v>5.4696600000000002</v>
      </c>
      <c r="H339" s="901">
        <f>GLOBAL_DER_FEV_2023!H339</f>
        <v>0</v>
      </c>
      <c r="I339" s="901">
        <f>GLOBAL_DER_FEV_2023!I339</f>
        <v>0</v>
      </c>
      <c r="J339" s="902">
        <f>GLOBAL_DER_FEV_2023!J339</f>
        <v>0</v>
      </c>
      <c r="K339" s="903" t="s">
        <v>507</v>
      </c>
      <c r="L339" s="1003"/>
      <c r="M339" s="1157">
        <f t="shared" si="27"/>
        <v>0</v>
      </c>
      <c r="N339" s="893">
        <f t="shared" si="26"/>
        <v>0</v>
      </c>
      <c r="O339" s="905"/>
      <c r="P339" s="58" t="str">
        <f>IF(N336&gt;0,"xx",IF(N336&gt;0,"xy",""))</f>
        <v/>
      </c>
      <c r="Q339" s="317" t="str">
        <f t="shared" ref="Q339:Q426" si="28">IF(P339="X","x",IF(P339="xx","x",IF(P339="xy","x",IF(P339="y","x",IF(OR(N339&gt;0,N339&gt;0),"x","")))))</f>
        <v/>
      </c>
      <c r="R339" s="317" t="str">
        <f t="shared" si="24"/>
        <v/>
      </c>
      <c r="S339" s="317" t="str">
        <f t="shared" si="25"/>
        <v/>
      </c>
      <c r="T339" s="317" t="str">
        <f>GLOBAL_DER_FEV_2023!S339</f>
        <v/>
      </c>
      <c r="W339" s="582">
        <v>0</v>
      </c>
      <c r="X339" s="580"/>
      <c r="Y339" s="583">
        <f>IF(GLOBAL_DER_FEV_2023!W339=0,0,IF(GLOBAL_DER_FEV_2023!W339&gt;0,"c","b"))</f>
        <v>0</v>
      </c>
    </row>
    <row r="340" spans="1:25" ht="13.5" hidden="1" thickBot="1" x14ac:dyDescent="0.25">
      <c r="A340" s="317" t="s">
        <v>147</v>
      </c>
      <c r="B340" s="895" t="s">
        <v>147</v>
      </c>
      <c r="C340" s="896"/>
      <c r="D340" s="957" t="s">
        <v>244</v>
      </c>
      <c r="E340" s="907">
        <f>GLOBAL_DER_FEV_2023!E340</f>
        <v>22</v>
      </c>
      <c r="F340" s="908">
        <f>GLOBAL_DER_FEV_2023!F340</f>
        <v>2.2999999999999998</v>
      </c>
      <c r="G340" s="912">
        <f>GLOBAL_DER_FEV_2023!G340</f>
        <v>66.493000000000009</v>
      </c>
      <c r="H340" s="901">
        <f>GLOBAL_DER_FEV_2023!H340</f>
        <v>0</v>
      </c>
      <c r="I340" s="901">
        <f>GLOBAL_DER_FEV_2023!I340</f>
        <v>0</v>
      </c>
      <c r="J340" s="902">
        <f>GLOBAL_DER_FEV_2023!J340</f>
        <v>0</v>
      </c>
      <c r="K340" s="903" t="s">
        <v>507</v>
      </c>
      <c r="L340" s="1003"/>
      <c r="M340" s="1157">
        <f t="shared" si="27"/>
        <v>0</v>
      </c>
      <c r="N340" s="893">
        <f t="shared" si="26"/>
        <v>0</v>
      </c>
      <c r="O340" s="905"/>
      <c r="P340" s="58" t="str">
        <f>IF(N336&gt;0,"xx",IF(N336&gt;0,"xy",""))</f>
        <v/>
      </c>
      <c r="Q340" s="317" t="str">
        <f t="shared" si="28"/>
        <v/>
      </c>
      <c r="R340" s="317" t="str">
        <f t="shared" si="24"/>
        <v/>
      </c>
      <c r="S340" s="317" t="str">
        <f t="shared" si="25"/>
        <v/>
      </c>
      <c r="T340" s="317" t="str">
        <f>GLOBAL_DER_FEV_2023!S340</f>
        <v/>
      </c>
      <c r="W340" s="582">
        <v>0</v>
      </c>
      <c r="X340" s="580"/>
      <c r="Y340" s="583">
        <f>IF(GLOBAL_DER_FEV_2023!W340=0,0,IF(GLOBAL_DER_FEV_2023!W340&gt;0,"c","b"))</f>
        <v>0</v>
      </c>
    </row>
    <row r="341" spans="1:25" ht="13.5" hidden="1" thickBot="1" x14ac:dyDescent="0.25">
      <c r="A341" s="317">
        <v>589320</v>
      </c>
      <c r="B341" s="1004" t="s">
        <v>1686</v>
      </c>
      <c r="C341" s="984" t="s">
        <v>213</v>
      </c>
      <c r="D341" s="1012" t="s">
        <v>700</v>
      </c>
      <c r="E341" s="1005">
        <f>GLOBAL_DER_FEV_2023!E341</f>
        <v>45</v>
      </c>
      <c r="F341" s="1006">
        <f>GLOBAL_DER_FEV_2023!F341</f>
        <v>1</v>
      </c>
      <c r="G341" s="949">
        <f>GLOBAL_DER_FEV_2023!G341</f>
        <v>79.25</v>
      </c>
      <c r="H341" s="988">
        <f>GLOBAL_DER_FEV_2023!H341</f>
        <v>4012.83</v>
      </c>
      <c r="I341" s="988">
        <f>GLOBAL_DER_FEV_2023!I341</f>
        <v>3931.9945856583668</v>
      </c>
      <c r="J341" s="989">
        <f>GLOBAL_DER_FEV_2023!J341</f>
        <v>4721.1499999999996</v>
      </c>
      <c r="K341" s="990" t="s">
        <v>14</v>
      </c>
      <c r="L341" s="1154">
        <f>ROUND(L336*$F336,2)</f>
        <v>0</v>
      </c>
      <c r="M341" s="1159">
        <f t="shared" si="27"/>
        <v>0</v>
      </c>
      <c r="N341" s="993">
        <f t="shared" si="26"/>
        <v>0</v>
      </c>
      <c r="O341" s="905"/>
      <c r="P341" s="58" t="str">
        <f>IF(N336&gt;0,"xx",IF(N336&gt;0,"xy",""))</f>
        <v/>
      </c>
      <c r="Q341" s="317" t="str">
        <f t="shared" si="28"/>
        <v/>
      </c>
      <c r="R341" s="317" t="str">
        <f t="shared" ref="R341:R428" si="29">IF(P341="X","x",IF(P341="y","x",IF(P341="xx","x",IF(N341&gt;0,"x",""))))</f>
        <v/>
      </c>
      <c r="S341" s="317" t="str">
        <f t="shared" ref="S341:S428" si="30">IF(P341="X","x",IF(N341&gt;0,"x",""))</f>
        <v/>
      </c>
      <c r="T341" s="317" t="str">
        <f>GLOBAL_DER_FEV_2023!S341</f>
        <v/>
      </c>
      <c r="W341" s="582">
        <v>0</v>
      </c>
      <c r="X341" s="580"/>
      <c r="Y341" s="583">
        <f>IF(GLOBAL_DER_FEV_2023!W341=0,0,IF(GLOBAL_DER_FEV_2023!W341&gt;0,"c","b"))</f>
        <v>0</v>
      </c>
    </row>
    <row r="342" spans="1:25" ht="13.5" hidden="1" thickBot="1" x14ac:dyDescent="0.25">
      <c r="A342" s="317">
        <v>534300</v>
      </c>
      <c r="B342" s="999" t="s">
        <v>1647</v>
      </c>
      <c r="C342" s="1000" t="s">
        <v>184</v>
      </c>
      <c r="D342" s="973" t="s">
        <v>2208</v>
      </c>
      <c r="E342" s="974" t="str">
        <f>GLOBAL_DER_FEV_2023!E342</f>
        <v>taxa RM-2C</v>
      </c>
      <c r="F342" s="975">
        <f>GLOBAL_DER_FEV_2023!F342</f>
        <v>0.14000000000000001</v>
      </c>
      <c r="G342" s="976">
        <f>GLOBAL_DER_FEV_2023!G342</f>
        <v>116.02126000000001</v>
      </c>
      <c r="H342" s="977">
        <f>GLOBAL_DER_FEV_2023!H342</f>
        <v>140.30000000000001</v>
      </c>
      <c r="I342" s="977">
        <f>GLOBAL_DER_FEV_2023!I342</f>
        <v>256.32126000000005</v>
      </c>
      <c r="J342" s="978">
        <f>GLOBAL_DER_FEV_2023!J342</f>
        <v>307.76</v>
      </c>
      <c r="K342" s="979" t="s">
        <v>10</v>
      </c>
      <c r="L342" s="1152"/>
      <c r="M342" s="1153">
        <f t="shared" si="27"/>
        <v>0</v>
      </c>
      <c r="N342" s="982">
        <f t="shared" si="26"/>
        <v>0</v>
      </c>
      <c r="O342" s="905"/>
      <c r="Q342" s="317" t="str">
        <f t="shared" si="28"/>
        <v/>
      </c>
      <c r="R342" s="317" t="str">
        <f t="shared" si="29"/>
        <v/>
      </c>
      <c r="S342" s="317" t="str">
        <f t="shared" si="30"/>
        <v/>
      </c>
      <c r="T342" s="317" t="str">
        <f>GLOBAL_DER_FEV_2023!S342</f>
        <v/>
      </c>
      <c r="W342" s="582">
        <v>0</v>
      </c>
      <c r="X342" s="580"/>
      <c r="Y342" s="583">
        <f>IF(GLOBAL_DER_FEV_2023!W342=0,0,IF(GLOBAL_DER_FEV_2023!W342&gt;0,"c","b"))</f>
        <v>0</v>
      </c>
    </row>
    <row r="343" spans="1:25" ht="13.5" hidden="1" thickBot="1" x14ac:dyDescent="0.25">
      <c r="A343" s="317" t="s">
        <v>147</v>
      </c>
      <c r="B343" s="895" t="s">
        <v>147</v>
      </c>
      <c r="C343" s="896"/>
      <c r="D343" s="957" t="s">
        <v>229</v>
      </c>
      <c r="E343" s="907">
        <f>GLOBAL_DER_FEV_2023!E343</f>
        <v>150</v>
      </c>
      <c r="F343" s="908">
        <f>GLOBAL_DER_FEV_2023!F343</f>
        <v>0.27</v>
      </c>
      <c r="G343" s="949">
        <f>GLOBAL_DER_FEV_2023!G343</f>
        <v>44.058600000000006</v>
      </c>
      <c r="H343" s="901">
        <f>GLOBAL_DER_FEV_2023!H343</f>
        <v>0</v>
      </c>
      <c r="I343" s="901">
        <f>GLOBAL_DER_FEV_2023!I343</f>
        <v>0</v>
      </c>
      <c r="J343" s="902">
        <f>GLOBAL_DER_FEV_2023!J343</f>
        <v>0</v>
      </c>
      <c r="K343" s="903" t="s">
        <v>507</v>
      </c>
      <c r="L343" s="1003"/>
      <c r="M343" s="1157">
        <f t="shared" si="27"/>
        <v>0</v>
      </c>
      <c r="N343" s="893">
        <f t="shared" si="26"/>
        <v>0</v>
      </c>
      <c r="O343" s="905"/>
      <c r="P343" s="58" t="str">
        <f>IF(N342&gt;0,"xx",IF(N342&gt;0,"xy",""))</f>
        <v/>
      </c>
      <c r="Q343" s="317" t="str">
        <f t="shared" si="28"/>
        <v/>
      </c>
      <c r="R343" s="317" t="str">
        <f t="shared" si="29"/>
        <v/>
      </c>
      <c r="S343" s="317" t="str">
        <f t="shared" si="30"/>
        <v/>
      </c>
      <c r="T343" s="317" t="str">
        <f>GLOBAL_DER_FEV_2023!S343</f>
        <v/>
      </c>
      <c r="W343" s="582">
        <v>0</v>
      </c>
      <c r="X343" s="580"/>
      <c r="Y343" s="583">
        <f>IF(GLOBAL_DER_FEV_2023!W343=0,0,IF(GLOBAL_DER_FEV_2023!W343&gt;0,"c","b"))</f>
        <v>0</v>
      </c>
    </row>
    <row r="344" spans="1:25" ht="13.5" hidden="1" thickBot="1" x14ac:dyDescent="0.25">
      <c r="A344" s="317" t="s">
        <v>147</v>
      </c>
      <c r="B344" s="895" t="s">
        <v>147</v>
      </c>
      <c r="C344" s="896"/>
      <c r="D344" s="957" t="s">
        <v>230</v>
      </c>
      <c r="E344" s="907">
        <f>GLOBAL_DER_FEV_2023!E344</f>
        <v>353</v>
      </c>
      <c r="F344" s="908">
        <f>GLOBAL_DER_FEV_2023!F344</f>
        <v>0</v>
      </c>
      <c r="G344" s="909">
        <f>GLOBAL_DER_FEV_2023!G344</f>
        <v>0</v>
      </c>
      <c r="H344" s="901">
        <f>GLOBAL_DER_FEV_2023!H344</f>
        <v>0</v>
      </c>
      <c r="I344" s="901">
        <f>GLOBAL_DER_FEV_2023!I344</f>
        <v>0</v>
      </c>
      <c r="J344" s="902">
        <f>GLOBAL_DER_FEV_2023!J344</f>
        <v>0</v>
      </c>
      <c r="K344" s="903" t="s">
        <v>507</v>
      </c>
      <c r="L344" s="1003"/>
      <c r="M344" s="1157">
        <f t="shared" si="27"/>
        <v>0</v>
      </c>
      <c r="N344" s="893">
        <f t="shared" si="26"/>
        <v>0</v>
      </c>
      <c r="O344" s="905"/>
      <c r="P344" s="58" t="str">
        <f>IF(N342&gt;0,"xx",IF(N342&gt;0,"xy",""))</f>
        <v/>
      </c>
      <c r="Q344" s="317" t="str">
        <f t="shared" si="28"/>
        <v/>
      </c>
      <c r="R344" s="317" t="str">
        <f t="shared" si="29"/>
        <v/>
      </c>
      <c r="S344" s="317" t="str">
        <f t="shared" si="30"/>
        <v/>
      </c>
      <c r="T344" s="317" t="str">
        <f>GLOBAL_DER_FEV_2023!S344</f>
        <v/>
      </c>
      <c r="W344" s="582">
        <v>0</v>
      </c>
      <c r="X344" s="580"/>
      <c r="Y344" s="583">
        <f>IF(GLOBAL_DER_FEV_2023!W344=0,0,IF(GLOBAL_DER_FEV_2023!W344&gt;0,"c","b"))</f>
        <v>0</v>
      </c>
    </row>
    <row r="345" spans="1:25" ht="13.5" hidden="1" thickBot="1" x14ac:dyDescent="0.25">
      <c r="A345" s="317" t="s">
        <v>147</v>
      </c>
      <c r="B345" s="895" t="s">
        <v>147</v>
      </c>
      <c r="C345" s="896"/>
      <c r="D345" s="957" t="s">
        <v>243</v>
      </c>
      <c r="E345" s="907">
        <f>GLOBAL_DER_FEV_2023!E345</f>
        <v>0.2</v>
      </c>
      <c r="F345" s="908">
        <f>GLOBAL_DER_FEV_2023!F345</f>
        <v>1.89</v>
      </c>
      <c r="G345" s="949">
        <f>GLOBAL_DER_FEV_2023!G345</f>
        <v>5.4696600000000002</v>
      </c>
      <c r="H345" s="901">
        <f>GLOBAL_DER_FEV_2023!H345</f>
        <v>0</v>
      </c>
      <c r="I345" s="901">
        <f>GLOBAL_DER_FEV_2023!I345</f>
        <v>0</v>
      </c>
      <c r="J345" s="902">
        <f>GLOBAL_DER_FEV_2023!J345</f>
        <v>0</v>
      </c>
      <c r="K345" s="903" t="s">
        <v>507</v>
      </c>
      <c r="L345" s="1003"/>
      <c r="M345" s="1157">
        <f t="shared" si="27"/>
        <v>0</v>
      </c>
      <c r="N345" s="893">
        <f t="shared" ref="N345:N432" si="31">IF(ISBLANK(L345),0,IF(W345=0,ROUND(L345*M345,2),IF(W345="b",ROUNDDOWN(L345*M345,2),ROUNDUP(L345*M345,2))))</f>
        <v>0</v>
      </c>
      <c r="O345" s="905"/>
      <c r="P345" s="58" t="str">
        <f>IF(N342&gt;0,"xx",IF(N342&gt;0,"xy",""))</f>
        <v/>
      </c>
      <c r="Q345" s="317" t="str">
        <f t="shared" si="28"/>
        <v/>
      </c>
      <c r="R345" s="317" t="str">
        <f t="shared" si="29"/>
        <v/>
      </c>
      <c r="S345" s="317" t="str">
        <f t="shared" si="30"/>
        <v/>
      </c>
      <c r="T345" s="317" t="str">
        <f>GLOBAL_DER_FEV_2023!S345</f>
        <v/>
      </c>
      <c r="W345" s="582">
        <v>0</v>
      </c>
      <c r="X345" s="580"/>
      <c r="Y345" s="583">
        <f>IF(GLOBAL_DER_FEV_2023!W345=0,0,IF(GLOBAL_DER_FEV_2023!W345&gt;0,"c","b"))</f>
        <v>0</v>
      </c>
    </row>
    <row r="346" spans="1:25" ht="13.5" hidden="1" thickBot="1" x14ac:dyDescent="0.25">
      <c r="A346" s="317" t="s">
        <v>147</v>
      </c>
      <c r="B346" s="895" t="s">
        <v>147</v>
      </c>
      <c r="C346" s="896"/>
      <c r="D346" s="957" t="s">
        <v>244</v>
      </c>
      <c r="E346" s="907">
        <f>GLOBAL_DER_FEV_2023!E346</f>
        <v>22</v>
      </c>
      <c r="F346" s="908">
        <f>GLOBAL_DER_FEV_2023!F346</f>
        <v>2.2999999999999998</v>
      </c>
      <c r="G346" s="912">
        <f>GLOBAL_DER_FEV_2023!G346</f>
        <v>66.493000000000009</v>
      </c>
      <c r="H346" s="901">
        <f>GLOBAL_DER_FEV_2023!H346</f>
        <v>0</v>
      </c>
      <c r="I346" s="901">
        <f>GLOBAL_DER_FEV_2023!I346</f>
        <v>0</v>
      </c>
      <c r="J346" s="902">
        <f>GLOBAL_DER_FEV_2023!J346</f>
        <v>0</v>
      </c>
      <c r="K346" s="903" t="s">
        <v>507</v>
      </c>
      <c r="L346" s="1003"/>
      <c r="M346" s="1157">
        <f t="shared" si="27"/>
        <v>0</v>
      </c>
      <c r="N346" s="893">
        <f t="shared" si="31"/>
        <v>0</v>
      </c>
      <c r="O346" s="905"/>
      <c r="P346" s="58" t="str">
        <f>IF(N342&gt;0,"xx",IF(N342&gt;0,"xy",""))</f>
        <v/>
      </c>
      <c r="Q346" s="317" t="str">
        <f t="shared" si="28"/>
        <v/>
      </c>
      <c r="R346" s="317" t="str">
        <f t="shared" si="29"/>
        <v/>
      </c>
      <c r="S346" s="317" t="str">
        <f t="shared" si="30"/>
        <v/>
      </c>
      <c r="T346" s="317" t="str">
        <f>GLOBAL_DER_FEV_2023!S346</f>
        <v/>
      </c>
      <c r="W346" s="582">
        <v>0</v>
      </c>
      <c r="X346" s="580"/>
      <c r="Y346" s="583">
        <f>IF(GLOBAL_DER_FEV_2023!W346=0,0,IF(GLOBAL_DER_FEV_2023!W346&gt;0,"c","b"))</f>
        <v>0</v>
      </c>
    </row>
    <row r="347" spans="1:25" ht="13.5" hidden="1" thickBot="1" x14ac:dyDescent="0.25">
      <c r="A347" s="317">
        <v>589320</v>
      </c>
      <c r="B347" s="1004" t="s">
        <v>1687</v>
      </c>
      <c r="C347" s="984" t="s">
        <v>213</v>
      </c>
      <c r="D347" s="1012" t="s">
        <v>700</v>
      </c>
      <c r="E347" s="1005">
        <f>GLOBAL_DER_FEV_2023!E347</f>
        <v>45</v>
      </c>
      <c r="F347" s="1006">
        <f>GLOBAL_DER_FEV_2023!F347</f>
        <v>1</v>
      </c>
      <c r="G347" s="949">
        <f>GLOBAL_DER_FEV_2023!G347</f>
        <v>79.25</v>
      </c>
      <c r="H347" s="988">
        <f>GLOBAL_DER_FEV_2023!H347</f>
        <v>4012.83</v>
      </c>
      <c r="I347" s="988">
        <f>GLOBAL_DER_FEV_2023!I347</f>
        <v>3931.9945856583668</v>
      </c>
      <c r="J347" s="989">
        <f>GLOBAL_DER_FEV_2023!J347</f>
        <v>4721.1499999999996</v>
      </c>
      <c r="K347" s="990" t="s">
        <v>14</v>
      </c>
      <c r="L347" s="1154">
        <f>ROUND(L342*$F342,2)</f>
        <v>0</v>
      </c>
      <c r="M347" s="1159">
        <f t="shared" si="27"/>
        <v>0</v>
      </c>
      <c r="N347" s="993">
        <f t="shared" si="31"/>
        <v>0</v>
      </c>
      <c r="O347" s="905"/>
      <c r="P347" s="58" t="str">
        <f>IF(N342&gt;0,"xx",IF(N342&gt;0,"xy",""))</f>
        <v/>
      </c>
      <c r="Q347" s="317" t="str">
        <f t="shared" si="28"/>
        <v/>
      </c>
      <c r="R347" s="317" t="str">
        <f t="shared" si="29"/>
        <v/>
      </c>
      <c r="S347" s="317" t="str">
        <f t="shared" si="30"/>
        <v/>
      </c>
      <c r="T347" s="317" t="str">
        <f>GLOBAL_DER_FEV_2023!S347</f>
        <v/>
      </c>
      <c r="W347" s="582">
        <v>0</v>
      </c>
      <c r="X347" s="580"/>
      <c r="Y347" s="583">
        <f>IF(GLOBAL_DER_FEV_2023!W347=0,0,IF(GLOBAL_DER_FEV_2023!W347&gt;0,"c","b"))</f>
        <v>0</v>
      </c>
    </row>
    <row r="348" spans="1:25" ht="13.5" hidden="1" thickBot="1" x14ac:dyDescent="0.25">
      <c r="A348" s="317">
        <v>534300</v>
      </c>
      <c r="B348" s="999" t="s">
        <v>1648</v>
      </c>
      <c r="C348" s="1000" t="s">
        <v>184</v>
      </c>
      <c r="D348" s="973" t="s">
        <v>2210</v>
      </c>
      <c r="E348" s="974" t="str">
        <f>GLOBAL_DER_FEV_2023!E348</f>
        <v>taxa RM-2C</v>
      </c>
      <c r="F348" s="975">
        <f>GLOBAL_DER_FEV_2023!F348</f>
        <v>0.18240000000000001</v>
      </c>
      <c r="G348" s="976">
        <f>GLOBAL_DER_FEV_2023!G348</f>
        <v>190.80926220000003</v>
      </c>
      <c r="H348" s="977">
        <f>GLOBAL_DER_FEV_2023!H348</f>
        <v>140.30000000000001</v>
      </c>
      <c r="I348" s="977">
        <f>GLOBAL_DER_FEV_2023!I348</f>
        <v>331.10926220000005</v>
      </c>
      <c r="J348" s="978">
        <f>GLOBAL_DER_FEV_2023!J348</f>
        <v>397.56</v>
      </c>
      <c r="K348" s="979" t="s">
        <v>10</v>
      </c>
      <c r="L348" s="1152"/>
      <c r="M348" s="1153">
        <f t="shared" si="27"/>
        <v>0</v>
      </c>
      <c r="N348" s="982">
        <f t="shared" si="31"/>
        <v>0</v>
      </c>
      <c r="O348" s="905"/>
      <c r="Q348" s="317" t="str">
        <f t="shared" si="28"/>
        <v/>
      </c>
      <c r="R348" s="317" t="str">
        <f t="shared" si="29"/>
        <v/>
      </c>
      <c r="S348" s="317" t="str">
        <f t="shared" si="30"/>
        <v/>
      </c>
      <c r="T348" s="317" t="str">
        <f>GLOBAL_DER_FEV_2023!S348</f>
        <v/>
      </c>
      <c r="W348" s="582">
        <v>0</v>
      </c>
      <c r="X348" s="580"/>
      <c r="Y348" s="583">
        <f>IF(GLOBAL_DER_FEV_2023!W348=0,0,IF(GLOBAL_DER_FEV_2023!W348&gt;0,"c","b"))</f>
        <v>0</v>
      </c>
    </row>
    <row r="349" spans="1:25" ht="13.5" hidden="1" thickBot="1" x14ac:dyDescent="0.25">
      <c r="A349" s="317" t="s">
        <v>147</v>
      </c>
      <c r="B349" s="895" t="s">
        <v>147</v>
      </c>
      <c r="C349" s="896"/>
      <c r="D349" s="957" t="s">
        <v>229</v>
      </c>
      <c r="E349" s="907">
        <f>GLOBAL_DER_FEV_2023!E349</f>
        <v>150</v>
      </c>
      <c r="F349" s="908">
        <f>GLOBAL_DER_FEV_2023!F349</f>
        <v>0.56969999999999998</v>
      </c>
      <c r="G349" s="949">
        <f>GLOBAL_DER_FEV_2023!G349</f>
        <v>92.963645999999997</v>
      </c>
      <c r="H349" s="901">
        <f>GLOBAL_DER_FEV_2023!H349</f>
        <v>0</v>
      </c>
      <c r="I349" s="901">
        <f>GLOBAL_DER_FEV_2023!I349</f>
        <v>0</v>
      </c>
      <c r="J349" s="902">
        <f>GLOBAL_DER_FEV_2023!J349</f>
        <v>0</v>
      </c>
      <c r="K349" s="903" t="s">
        <v>507</v>
      </c>
      <c r="L349" s="1003"/>
      <c r="M349" s="1157">
        <f t="shared" si="27"/>
        <v>0</v>
      </c>
      <c r="N349" s="893">
        <f t="shared" si="31"/>
        <v>0</v>
      </c>
      <c r="O349" s="905"/>
      <c r="P349" s="58" t="str">
        <f>IF(N348&gt;0,"xx",IF(N348&gt;0,"xy",""))</f>
        <v/>
      </c>
      <c r="Q349" s="317" t="str">
        <f t="shared" si="28"/>
        <v/>
      </c>
      <c r="R349" s="317" t="str">
        <f t="shared" si="29"/>
        <v/>
      </c>
      <c r="S349" s="317" t="str">
        <f t="shared" si="30"/>
        <v/>
      </c>
      <c r="T349" s="317" t="str">
        <f>GLOBAL_DER_FEV_2023!S349</f>
        <v/>
      </c>
      <c r="W349" s="582">
        <v>0</v>
      </c>
      <c r="X349" s="580"/>
      <c r="Y349" s="583">
        <f>IF(GLOBAL_DER_FEV_2023!W349=0,0,IF(GLOBAL_DER_FEV_2023!W349&gt;0,"c","b"))</f>
        <v>0</v>
      </c>
    </row>
    <row r="350" spans="1:25" ht="13.5" hidden="1" thickBot="1" x14ac:dyDescent="0.25">
      <c r="A350" s="317" t="s">
        <v>147</v>
      </c>
      <c r="B350" s="895" t="s">
        <v>147</v>
      </c>
      <c r="C350" s="896"/>
      <c r="D350" s="957" t="s">
        <v>230</v>
      </c>
      <c r="E350" s="907">
        <f>GLOBAL_DER_FEV_2023!E350</f>
        <v>353</v>
      </c>
      <c r="F350" s="908">
        <f>GLOBAL_DER_FEV_2023!F350</f>
        <v>8.7599999999999997E-2</v>
      </c>
      <c r="G350" s="909">
        <f>GLOBAL_DER_FEV_2023!G350</f>
        <v>24.804816000000002</v>
      </c>
      <c r="H350" s="901">
        <f>GLOBAL_DER_FEV_2023!H350</f>
        <v>0</v>
      </c>
      <c r="I350" s="901">
        <f>GLOBAL_DER_FEV_2023!I350</f>
        <v>0</v>
      </c>
      <c r="J350" s="902">
        <f>GLOBAL_DER_FEV_2023!J350</f>
        <v>0</v>
      </c>
      <c r="K350" s="903" t="s">
        <v>507</v>
      </c>
      <c r="L350" s="1003"/>
      <c r="M350" s="1157">
        <f t="shared" si="27"/>
        <v>0</v>
      </c>
      <c r="N350" s="893">
        <f t="shared" si="31"/>
        <v>0</v>
      </c>
      <c r="O350" s="905"/>
      <c r="P350" s="58" t="str">
        <f>IF(N348&gt;0,"xx",IF(N348&gt;0,"xy",""))</f>
        <v/>
      </c>
      <c r="Q350" s="317" t="str">
        <f t="shared" si="28"/>
        <v/>
      </c>
      <c r="R350" s="317" t="str">
        <f t="shared" si="29"/>
        <v/>
      </c>
      <c r="S350" s="317" t="str">
        <f t="shared" si="30"/>
        <v/>
      </c>
      <c r="T350" s="317" t="str">
        <f>GLOBAL_DER_FEV_2023!S350</f>
        <v/>
      </c>
      <c r="W350" s="582">
        <v>0</v>
      </c>
      <c r="X350" s="580"/>
      <c r="Y350" s="583">
        <f>IF(GLOBAL_DER_FEV_2023!W350=0,0,IF(GLOBAL_DER_FEV_2023!W350&gt;0,"c","b"))</f>
        <v>0</v>
      </c>
    </row>
    <row r="351" spans="1:25" ht="13.5" hidden="1" thickBot="1" x14ac:dyDescent="0.25">
      <c r="A351" s="317" t="s">
        <v>147</v>
      </c>
      <c r="B351" s="895" t="s">
        <v>147</v>
      </c>
      <c r="C351" s="896"/>
      <c r="D351" s="957" t="s">
        <v>243</v>
      </c>
      <c r="E351" s="907">
        <f>GLOBAL_DER_FEV_2023!E351</f>
        <v>0.2</v>
      </c>
      <c r="F351" s="908">
        <f>GLOBAL_DER_FEV_2023!F351</f>
        <v>1.5333000000000001</v>
      </c>
      <c r="G351" s="949">
        <f>GLOBAL_DER_FEV_2023!G351</f>
        <v>4.4373702000000002</v>
      </c>
      <c r="H351" s="901">
        <f>GLOBAL_DER_FEV_2023!H351</f>
        <v>0</v>
      </c>
      <c r="I351" s="901">
        <f>GLOBAL_DER_FEV_2023!I351</f>
        <v>0</v>
      </c>
      <c r="J351" s="902">
        <f>GLOBAL_DER_FEV_2023!J351</f>
        <v>0</v>
      </c>
      <c r="K351" s="903" t="s">
        <v>507</v>
      </c>
      <c r="L351" s="1003"/>
      <c r="M351" s="1157">
        <f t="shared" si="27"/>
        <v>0</v>
      </c>
      <c r="N351" s="893">
        <f t="shared" si="31"/>
        <v>0</v>
      </c>
      <c r="O351" s="905"/>
      <c r="P351" s="58" t="str">
        <f>IF(N348&gt;0,"xx",IF(N348&gt;0,"xy",""))</f>
        <v/>
      </c>
      <c r="Q351" s="317" t="str">
        <f t="shared" si="28"/>
        <v/>
      </c>
      <c r="R351" s="317" t="str">
        <f t="shared" si="29"/>
        <v/>
      </c>
      <c r="S351" s="317" t="str">
        <f t="shared" si="30"/>
        <v/>
      </c>
      <c r="T351" s="317" t="str">
        <f>GLOBAL_DER_FEV_2023!S351</f>
        <v/>
      </c>
      <c r="W351" s="582">
        <v>0</v>
      </c>
      <c r="X351" s="580"/>
      <c r="Y351" s="583">
        <f>IF(GLOBAL_DER_FEV_2023!W351=0,0,IF(GLOBAL_DER_FEV_2023!W351&gt;0,"c","b"))</f>
        <v>0</v>
      </c>
    </row>
    <row r="352" spans="1:25" ht="13.5" hidden="1" thickBot="1" x14ac:dyDescent="0.25">
      <c r="A352" s="317" t="s">
        <v>147</v>
      </c>
      <c r="B352" s="895" t="s">
        <v>147</v>
      </c>
      <c r="C352" s="896"/>
      <c r="D352" s="957" t="s">
        <v>244</v>
      </c>
      <c r="E352" s="907">
        <f>GLOBAL_DER_FEV_2023!E352</f>
        <v>22</v>
      </c>
      <c r="F352" s="908">
        <f>GLOBAL_DER_FEV_2023!F352</f>
        <v>2.3730000000000002</v>
      </c>
      <c r="G352" s="912">
        <f>GLOBAL_DER_FEV_2023!G352</f>
        <v>68.603430000000017</v>
      </c>
      <c r="H352" s="901">
        <f>GLOBAL_DER_FEV_2023!H352</f>
        <v>0</v>
      </c>
      <c r="I352" s="901">
        <f>GLOBAL_DER_FEV_2023!I352</f>
        <v>0</v>
      </c>
      <c r="J352" s="902">
        <f>GLOBAL_DER_FEV_2023!J352</f>
        <v>0</v>
      </c>
      <c r="K352" s="903" t="s">
        <v>507</v>
      </c>
      <c r="L352" s="1003"/>
      <c r="M352" s="1157">
        <f t="shared" si="27"/>
        <v>0</v>
      </c>
      <c r="N352" s="893">
        <f t="shared" si="31"/>
        <v>0</v>
      </c>
      <c r="O352" s="905"/>
      <c r="P352" s="58" t="str">
        <f>IF(N348&gt;0,"xx",IF(N348&gt;0,"xy",""))</f>
        <v/>
      </c>
      <c r="Q352" s="317" t="str">
        <f t="shared" si="28"/>
        <v/>
      </c>
      <c r="R352" s="317" t="str">
        <f t="shared" si="29"/>
        <v/>
      </c>
      <c r="S352" s="317" t="str">
        <f t="shared" si="30"/>
        <v/>
      </c>
      <c r="T352" s="317" t="str">
        <f>GLOBAL_DER_FEV_2023!S352</f>
        <v/>
      </c>
      <c r="W352" s="582">
        <v>0</v>
      </c>
      <c r="X352" s="580"/>
      <c r="Y352" s="583">
        <f>IF(GLOBAL_DER_FEV_2023!W352=0,0,IF(GLOBAL_DER_FEV_2023!W352&gt;0,"c","b"))</f>
        <v>0</v>
      </c>
    </row>
    <row r="353" spans="1:25" ht="13.5" hidden="1" thickBot="1" x14ac:dyDescent="0.25">
      <c r="A353" s="317">
        <v>589320</v>
      </c>
      <c r="B353" s="1004" t="s">
        <v>1688</v>
      </c>
      <c r="C353" s="984" t="s">
        <v>213</v>
      </c>
      <c r="D353" s="1012" t="s">
        <v>1682</v>
      </c>
      <c r="E353" s="1005">
        <f>GLOBAL_DER_FEV_2023!E353</f>
        <v>45</v>
      </c>
      <c r="F353" s="1006">
        <f>GLOBAL_DER_FEV_2023!F353</f>
        <v>1</v>
      </c>
      <c r="G353" s="949">
        <f>GLOBAL_DER_FEV_2023!G353</f>
        <v>79.25</v>
      </c>
      <c r="H353" s="988">
        <f>GLOBAL_DER_FEV_2023!H353</f>
        <v>4012.83</v>
      </c>
      <c r="I353" s="988">
        <f>GLOBAL_DER_FEV_2023!I353</f>
        <v>3931.9945856583668</v>
      </c>
      <c r="J353" s="989">
        <f>GLOBAL_DER_FEV_2023!J353</f>
        <v>4721.1499999999996</v>
      </c>
      <c r="K353" s="990" t="s">
        <v>14</v>
      </c>
      <c r="L353" s="1154">
        <f>ROUND(L348*$F348,2)</f>
        <v>0</v>
      </c>
      <c r="M353" s="1159">
        <f t="shared" si="27"/>
        <v>0</v>
      </c>
      <c r="N353" s="993">
        <f t="shared" si="31"/>
        <v>0</v>
      </c>
      <c r="O353" s="905"/>
      <c r="P353" s="58" t="str">
        <f>IF(N348&gt;0,"xx",IF(N348&gt;0,"xy",""))</f>
        <v/>
      </c>
      <c r="Q353" s="317" t="str">
        <f t="shared" si="28"/>
        <v/>
      </c>
      <c r="R353" s="317" t="str">
        <f t="shared" si="29"/>
        <v/>
      </c>
      <c r="S353" s="317" t="str">
        <f t="shared" si="30"/>
        <v/>
      </c>
      <c r="T353" s="317" t="str">
        <f>GLOBAL_DER_FEV_2023!S353</f>
        <v/>
      </c>
      <c r="W353" s="582">
        <v>0</v>
      </c>
      <c r="X353" s="580"/>
      <c r="Y353" s="583">
        <f>IF(GLOBAL_DER_FEV_2023!W353=0,0,IF(GLOBAL_DER_FEV_2023!W353&gt;0,"c","b"))</f>
        <v>0</v>
      </c>
    </row>
    <row r="354" spans="1:25" ht="13.5" hidden="1" thickBot="1" x14ac:dyDescent="0.25">
      <c r="A354" s="317">
        <v>570300</v>
      </c>
      <c r="B354" s="999" t="s">
        <v>1649</v>
      </c>
      <c r="C354" s="1000" t="s">
        <v>184</v>
      </c>
      <c r="D354" s="1019" t="s">
        <v>769</v>
      </c>
      <c r="E354" s="974" t="str">
        <f>GLOBAL_DER_FEV_2023!E354</f>
        <v>taxa CAP</v>
      </c>
      <c r="F354" s="975">
        <f>GLOBAL_DER_FEV_2023!F354</f>
        <v>0.04</v>
      </c>
      <c r="G354" s="976">
        <f>GLOBAL_DER_FEV_2023!G354</f>
        <v>36.972230000000003</v>
      </c>
      <c r="H354" s="977">
        <f>GLOBAL_DER_FEV_2023!H354</f>
        <v>178.78</v>
      </c>
      <c r="I354" s="977">
        <f>GLOBAL_DER_FEV_2023!I354</f>
        <v>215.75223</v>
      </c>
      <c r="J354" s="978">
        <f>GLOBAL_DER_FEV_2023!J354</f>
        <v>259.05</v>
      </c>
      <c r="K354" s="979" t="s">
        <v>14</v>
      </c>
      <c r="L354" s="1152"/>
      <c r="M354" s="1153">
        <f t="shared" si="27"/>
        <v>0</v>
      </c>
      <c r="N354" s="982">
        <f t="shared" si="31"/>
        <v>0</v>
      </c>
      <c r="O354" s="905"/>
      <c r="Q354" s="317" t="str">
        <f t="shared" si="28"/>
        <v/>
      </c>
      <c r="R354" s="317" t="str">
        <f t="shared" si="29"/>
        <v/>
      </c>
      <c r="S354" s="317" t="str">
        <f t="shared" si="30"/>
        <v/>
      </c>
      <c r="T354" s="317" t="str">
        <f>GLOBAL_DER_FEV_2023!S354</f>
        <v/>
      </c>
      <c r="W354" s="582">
        <v>0</v>
      </c>
      <c r="X354" s="580"/>
      <c r="Y354" s="583">
        <f>IF(GLOBAL_DER_FEV_2023!W354=0,0,IF(GLOBAL_DER_FEV_2023!W354&gt;0,"c","b"))</f>
        <v>0</v>
      </c>
    </row>
    <row r="355" spans="1:25" ht="13.5" hidden="1" thickBot="1" x14ac:dyDescent="0.25">
      <c r="A355" s="317" t="s">
        <v>147</v>
      </c>
      <c r="B355" s="895" t="s">
        <v>147</v>
      </c>
      <c r="C355" s="896"/>
      <c r="D355" s="957" t="s">
        <v>229</v>
      </c>
      <c r="E355" s="907">
        <f>GLOBAL_DER_FEV_2023!E355</f>
        <v>150</v>
      </c>
      <c r="F355" s="908">
        <f>GLOBAL_DER_FEV_2023!F355</f>
        <v>0</v>
      </c>
      <c r="G355" s="949">
        <f>GLOBAL_DER_FEV_2023!G355</f>
        <v>0</v>
      </c>
      <c r="H355" s="901">
        <f>GLOBAL_DER_FEV_2023!H355</f>
        <v>0</v>
      </c>
      <c r="I355" s="901">
        <f>GLOBAL_DER_FEV_2023!I355</f>
        <v>0</v>
      </c>
      <c r="J355" s="902">
        <f>GLOBAL_DER_FEV_2023!J355</f>
        <v>0</v>
      </c>
      <c r="K355" s="903" t="s">
        <v>507</v>
      </c>
      <c r="L355" s="1003"/>
      <c r="M355" s="1157">
        <f t="shared" si="27"/>
        <v>0</v>
      </c>
      <c r="N355" s="893">
        <f t="shared" si="31"/>
        <v>0</v>
      </c>
      <c r="O355" s="905"/>
      <c r="P355" s="58" t="str">
        <f>IF(N354&gt;0,"xx",IF(N354&gt;0,"xy",""))</f>
        <v/>
      </c>
      <c r="Q355" s="317" t="str">
        <f t="shared" si="28"/>
        <v/>
      </c>
      <c r="R355" s="317" t="str">
        <f t="shared" si="29"/>
        <v/>
      </c>
      <c r="S355" s="317" t="str">
        <f t="shared" si="30"/>
        <v/>
      </c>
      <c r="T355" s="317" t="str">
        <f>GLOBAL_DER_FEV_2023!S355</f>
        <v/>
      </c>
      <c r="W355" s="582">
        <v>0</v>
      </c>
      <c r="X355" s="580"/>
      <c r="Y355" s="583">
        <f>IF(GLOBAL_DER_FEV_2023!W355=0,0,IF(GLOBAL_DER_FEV_2023!W355&gt;0,"c","b"))</f>
        <v>0</v>
      </c>
    </row>
    <row r="356" spans="1:25" ht="13.5" hidden="1" thickBot="1" x14ac:dyDescent="0.25">
      <c r="A356" s="317" t="s">
        <v>147</v>
      </c>
      <c r="B356" s="895" t="s">
        <v>147</v>
      </c>
      <c r="C356" s="896"/>
      <c r="D356" s="957" t="s">
        <v>230</v>
      </c>
      <c r="E356" s="907">
        <f>GLOBAL_DER_FEV_2023!E356</f>
        <v>353</v>
      </c>
      <c r="F356" s="908">
        <f>GLOBAL_DER_FEV_2023!F356</f>
        <v>1.4999999999999999E-2</v>
      </c>
      <c r="G356" s="909">
        <f>GLOBAL_DER_FEV_2023!G356</f>
        <v>4.2473999999999998</v>
      </c>
      <c r="H356" s="901">
        <f>GLOBAL_DER_FEV_2023!H356</f>
        <v>0</v>
      </c>
      <c r="I356" s="901">
        <f>GLOBAL_DER_FEV_2023!I356</f>
        <v>0</v>
      </c>
      <c r="J356" s="902">
        <f>GLOBAL_DER_FEV_2023!J356</f>
        <v>0</v>
      </c>
      <c r="K356" s="903" t="s">
        <v>507</v>
      </c>
      <c r="L356" s="1003"/>
      <c r="M356" s="1157">
        <f t="shared" si="27"/>
        <v>0</v>
      </c>
      <c r="N356" s="893">
        <f t="shared" si="31"/>
        <v>0</v>
      </c>
      <c r="O356" s="905"/>
      <c r="P356" s="58" t="str">
        <f>IF(N354&gt;0,"xx",IF(N354&gt;0,"xy",""))</f>
        <v/>
      </c>
      <c r="Q356" s="317" t="str">
        <f t="shared" si="28"/>
        <v/>
      </c>
      <c r="R356" s="317" t="str">
        <f t="shared" si="29"/>
        <v/>
      </c>
      <c r="S356" s="317" t="str">
        <f t="shared" si="30"/>
        <v/>
      </c>
      <c r="T356" s="317" t="str">
        <f>GLOBAL_DER_FEV_2023!S356</f>
        <v/>
      </c>
      <c r="W356" s="582">
        <v>0</v>
      </c>
      <c r="X356" s="580"/>
      <c r="Y356" s="583">
        <f>IF(GLOBAL_DER_FEV_2023!W356=0,0,IF(GLOBAL_DER_FEV_2023!W356&gt;0,"c","b"))</f>
        <v>0</v>
      </c>
    </row>
    <row r="357" spans="1:25" ht="13.5" hidden="1" thickBot="1" x14ac:dyDescent="0.25">
      <c r="A357" s="317" t="s">
        <v>147</v>
      </c>
      <c r="B357" s="895" t="s">
        <v>147</v>
      </c>
      <c r="C357" s="896"/>
      <c r="D357" s="957" t="s">
        <v>243</v>
      </c>
      <c r="E357" s="907">
        <f>GLOBAL_DER_FEV_2023!E357</f>
        <v>0.2</v>
      </c>
      <c r="F357" s="908">
        <f>GLOBAL_DER_FEV_2023!F357</f>
        <v>0.94499999999999995</v>
      </c>
      <c r="G357" s="949">
        <f>GLOBAL_DER_FEV_2023!G357</f>
        <v>2.7348300000000001</v>
      </c>
      <c r="H357" s="901">
        <f>GLOBAL_DER_FEV_2023!H357</f>
        <v>0</v>
      </c>
      <c r="I357" s="901">
        <f>GLOBAL_DER_FEV_2023!I357</f>
        <v>0</v>
      </c>
      <c r="J357" s="902">
        <f>GLOBAL_DER_FEV_2023!J357</f>
        <v>0</v>
      </c>
      <c r="K357" s="903" t="s">
        <v>507</v>
      </c>
      <c r="L357" s="1003"/>
      <c r="M357" s="1157">
        <f t="shared" si="27"/>
        <v>0</v>
      </c>
      <c r="N357" s="893">
        <f t="shared" si="31"/>
        <v>0</v>
      </c>
      <c r="O357" s="905"/>
      <c r="P357" s="58" t="str">
        <f>IF(N354&gt;0,"xx",IF(N354&gt;0,"xy",""))</f>
        <v/>
      </c>
      <c r="Q357" s="317" t="str">
        <f t="shared" si="28"/>
        <v/>
      </c>
      <c r="R357" s="317" t="str">
        <f t="shared" si="29"/>
        <v/>
      </c>
      <c r="S357" s="317" t="str">
        <f t="shared" si="30"/>
        <v/>
      </c>
      <c r="T357" s="317" t="str">
        <f>GLOBAL_DER_FEV_2023!S357</f>
        <v/>
      </c>
      <c r="W357" s="582">
        <v>0</v>
      </c>
      <c r="X357" s="580"/>
      <c r="Y357" s="583">
        <f>IF(GLOBAL_DER_FEV_2023!W357=0,0,IF(GLOBAL_DER_FEV_2023!W357&gt;0,"c","b"))</f>
        <v>0</v>
      </c>
    </row>
    <row r="358" spans="1:25" ht="13.5" hidden="1" thickBot="1" x14ac:dyDescent="0.25">
      <c r="A358" s="317" t="s">
        <v>147</v>
      </c>
      <c r="B358" s="895" t="s">
        <v>147</v>
      </c>
      <c r="C358" s="896"/>
      <c r="D358" s="957" t="s">
        <v>244</v>
      </c>
      <c r="E358" s="907">
        <f>GLOBAL_DER_FEV_2023!E358</f>
        <v>22</v>
      </c>
      <c r="F358" s="908">
        <f>GLOBAL_DER_FEV_2023!F358</f>
        <v>1</v>
      </c>
      <c r="G358" s="912">
        <f>GLOBAL_DER_FEV_2023!G358</f>
        <v>29.990000000000002</v>
      </c>
      <c r="H358" s="901">
        <f>GLOBAL_DER_FEV_2023!H358</f>
        <v>0</v>
      </c>
      <c r="I358" s="901">
        <f>GLOBAL_DER_FEV_2023!I358</f>
        <v>0</v>
      </c>
      <c r="J358" s="902">
        <f>GLOBAL_DER_FEV_2023!J358</f>
        <v>0</v>
      </c>
      <c r="K358" s="903" t="s">
        <v>507</v>
      </c>
      <c r="L358" s="1003"/>
      <c r="M358" s="1157">
        <f t="shared" si="27"/>
        <v>0</v>
      </c>
      <c r="N358" s="893">
        <f t="shared" si="31"/>
        <v>0</v>
      </c>
      <c r="O358" s="905"/>
      <c r="P358" s="58" t="str">
        <f>IF(N354&gt;0,"xx",IF(N354&gt;0,"xy",""))</f>
        <v/>
      </c>
      <c r="Q358" s="317" t="str">
        <f t="shared" si="28"/>
        <v/>
      </c>
      <c r="R358" s="317" t="str">
        <f t="shared" si="29"/>
        <v/>
      </c>
      <c r="S358" s="317" t="str">
        <f t="shared" si="30"/>
        <v/>
      </c>
      <c r="T358" s="317" t="str">
        <f>GLOBAL_DER_FEV_2023!S358</f>
        <v/>
      </c>
      <c r="W358" s="582">
        <v>0</v>
      </c>
      <c r="X358" s="580"/>
      <c r="Y358" s="583">
        <f>IF(GLOBAL_DER_FEV_2023!W358=0,0,IF(GLOBAL_DER_FEV_2023!W358&gt;0,"c","b"))</f>
        <v>0</v>
      </c>
    </row>
    <row r="359" spans="1:25" ht="13.5" hidden="1" thickBot="1" x14ac:dyDescent="0.25">
      <c r="A359" s="317">
        <v>589000</v>
      </c>
      <c r="B359" s="1009" t="s">
        <v>709</v>
      </c>
      <c r="C359" s="860" t="s">
        <v>213</v>
      </c>
      <c r="D359" s="1012" t="s">
        <v>2178</v>
      </c>
      <c r="E359" s="1020">
        <f>GLOBAL_DER_FEV_2023!E359</f>
        <v>45</v>
      </c>
      <c r="F359" s="1006">
        <f>GLOBAL_DER_FEV_2023!F359</f>
        <v>1</v>
      </c>
      <c r="G359" s="949">
        <f>GLOBAL_DER_FEV_2023!G359</f>
        <v>88.36</v>
      </c>
      <c r="H359" s="988">
        <f>GLOBAL_DER_FEV_2023!H359</f>
        <v>4828.8599999999997</v>
      </c>
      <c r="I359" s="988">
        <f>GLOBAL_DER_FEV_2023!I359</f>
        <v>4724.580378112767</v>
      </c>
      <c r="J359" s="1011">
        <f>GLOBAL_DER_FEV_2023!J359</f>
        <v>5672.8</v>
      </c>
      <c r="K359" s="867" t="s">
        <v>14</v>
      </c>
      <c r="L359" s="1154">
        <f>ROUND(L354*$F354,2)</f>
        <v>0</v>
      </c>
      <c r="M359" s="1159">
        <f t="shared" si="27"/>
        <v>0</v>
      </c>
      <c r="N359" s="993">
        <f t="shared" si="31"/>
        <v>0</v>
      </c>
      <c r="O359" s="905"/>
      <c r="P359" s="58" t="str">
        <f>IF(N354&gt;0,"xx",IF(N354&gt;0,"xy",""))</f>
        <v/>
      </c>
      <c r="Q359" s="317" t="str">
        <f t="shared" si="28"/>
        <v/>
      </c>
      <c r="R359" s="317" t="str">
        <f t="shared" si="29"/>
        <v/>
      </c>
      <c r="S359" s="317" t="str">
        <f t="shared" si="30"/>
        <v/>
      </c>
      <c r="T359" s="317" t="str">
        <f>GLOBAL_DER_FEV_2023!S359</f>
        <v/>
      </c>
      <c r="W359" s="582">
        <v>0</v>
      </c>
      <c r="X359" s="580"/>
      <c r="Y359" s="583">
        <f>IF(GLOBAL_DER_FEV_2023!W359=0,0,IF(GLOBAL_DER_FEV_2023!W359&gt;0,"c","b"))</f>
        <v>0</v>
      </c>
    </row>
    <row r="360" spans="1:25" ht="13.5" hidden="1" thickBot="1" x14ac:dyDescent="0.25">
      <c r="A360" s="317">
        <v>570310</v>
      </c>
      <c r="B360" s="999" t="s">
        <v>1764</v>
      </c>
      <c r="C360" s="1000" t="s">
        <v>184</v>
      </c>
      <c r="D360" s="1019" t="s">
        <v>770</v>
      </c>
      <c r="E360" s="974" t="str">
        <f>GLOBAL_DER_FEV_2023!E360</f>
        <v>taxa CAP</v>
      </c>
      <c r="F360" s="975">
        <f>GLOBAL_DER_FEV_2023!F360</f>
        <v>0.04</v>
      </c>
      <c r="G360" s="976">
        <f>GLOBAL_DER_FEV_2023!G360</f>
        <v>36.972230000000003</v>
      </c>
      <c r="H360" s="977">
        <f>GLOBAL_DER_FEV_2023!H360</f>
        <v>158.85</v>
      </c>
      <c r="I360" s="977">
        <f>GLOBAL_DER_FEV_2023!I360</f>
        <v>195.82222999999999</v>
      </c>
      <c r="J360" s="978">
        <f>GLOBAL_DER_FEV_2023!J360</f>
        <v>235.12</v>
      </c>
      <c r="K360" s="979" t="s">
        <v>14</v>
      </c>
      <c r="L360" s="1152"/>
      <c r="M360" s="1153">
        <f t="shared" si="27"/>
        <v>0</v>
      </c>
      <c r="N360" s="982">
        <f t="shared" si="31"/>
        <v>0</v>
      </c>
      <c r="O360" s="905"/>
      <c r="Q360" s="317" t="str">
        <f t="shared" si="28"/>
        <v/>
      </c>
      <c r="R360" s="317" t="str">
        <f t="shared" si="29"/>
        <v/>
      </c>
      <c r="S360" s="317" t="str">
        <f t="shared" si="30"/>
        <v/>
      </c>
      <c r="T360" s="317" t="str">
        <f>GLOBAL_DER_FEV_2023!S360</f>
        <v/>
      </c>
      <c r="W360" s="582">
        <v>0</v>
      </c>
      <c r="X360" s="580"/>
      <c r="Y360" s="583">
        <f>IF(GLOBAL_DER_FEV_2023!W360=0,0,IF(GLOBAL_DER_FEV_2023!W360&gt;0,"c","b"))</f>
        <v>0</v>
      </c>
    </row>
    <row r="361" spans="1:25" ht="13.5" hidden="1" thickBot="1" x14ac:dyDescent="0.25">
      <c r="A361" s="317" t="s">
        <v>147</v>
      </c>
      <c r="B361" s="895" t="s">
        <v>147</v>
      </c>
      <c r="C361" s="896"/>
      <c r="D361" s="957" t="s">
        <v>229</v>
      </c>
      <c r="E361" s="907">
        <f>GLOBAL_DER_FEV_2023!E361</f>
        <v>150</v>
      </c>
      <c r="F361" s="908">
        <f>GLOBAL_DER_FEV_2023!F361</f>
        <v>0</v>
      </c>
      <c r="G361" s="949">
        <f>GLOBAL_DER_FEV_2023!G361</f>
        <v>0</v>
      </c>
      <c r="H361" s="901">
        <f>GLOBAL_DER_FEV_2023!H361</f>
        <v>0</v>
      </c>
      <c r="I361" s="901">
        <f>GLOBAL_DER_FEV_2023!I361</f>
        <v>0</v>
      </c>
      <c r="J361" s="902">
        <f>GLOBAL_DER_FEV_2023!J361</f>
        <v>0</v>
      </c>
      <c r="K361" s="903" t="s">
        <v>507</v>
      </c>
      <c r="L361" s="1003"/>
      <c r="M361" s="1157">
        <f t="shared" si="27"/>
        <v>0</v>
      </c>
      <c r="N361" s="893">
        <f t="shared" si="31"/>
        <v>0</v>
      </c>
      <c r="O361" s="905"/>
      <c r="P361" s="58" t="str">
        <f>IF(N360&gt;0,"xx",IF(N360&gt;0,"xy",""))</f>
        <v/>
      </c>
      <c r="Q361" s="317" t="str">
        <f t="shared" si="28"/>
        <v/>
      </c>
      <c r="R361" s="317" t="str">
        <f t="shared" si="29"/>
        <v/>
      </c>
      <c r="S361" s="317" t="str">
        <f t="shared" si="30"/>
        <v/>
      </c>
      <c r="T361" s="317" t="str">
        <f>GLOBAL_DER_FEV_2023!S361</f>
        <v/>
      </c>
      <c r="W361" s="582">
        <v>0</v>
      </c>
      <c r="X361" s="580"/>
      <c r="Y361" s="583">
        <f>IF(GLOBAL_DER_FEV_2023!W361=0,0,IF(GLOBAL_DER_FEV_2023!W361&gt;0,"c","b"))</f>
        <v>0</v>
      </c>
    </row>
    <row r="362" spans="1:25" ht="13.5" hidden="1" thickBot="1" x14ac:dyDescent="0.25">
      <c r="A362" s="317" t="s">
        <v>147</v>
      </c>
      <c r="B362" s="895" t="s">
        <v>147</v>
      </c>
      <c r="C362" s="896"/>
      <c r="D362" s="957" t="s">
        <v>230</v>
      </c>
      <c r="E362" s="907">
        <f>GLOBAL_DER_FEV_2023!E362</f>
        <v>353</v>
      </c>
      <c r="F362" s="908">
        <f>GLOBAL_DER_FEV_2023!F362</f>
        <v>1.4999999999999999E-2</v>
      </c>
      <c r="G362" s="909">
        <f>GLOBAL_DER_FEV_2023!G362</f>
        <v>4.2473999999999998</v>
      </c>
      <c r="H362" s="901">
        <f>GLOBAL_DER_FEV_2023!H362</f>
        <v>0</v>
      </c>
      <c r="I362" s="901">
        <f>GLOBAL_DER_FEV_2023!I362</f>
        <v>0</v>
      </c>
      <c r="J362" s="902">
        <f>GLOBAL_DER_FEV_2023!J362</f>
        <v>0</v>
      </c>
      <c r="K362" s="903" t="s">
        <v>507</v>
      </c>
      <c r="L362" s="1003"/>
      <c r="M362" s="1157">
        <f t="shared" si="27"/>
        <v>0</v>
      </c>
      <c r="N362" s="893">
        <f t="shared" si="31"/>
        <v>0</v>
      </c>
      <c r="O362" s="905"/>
      <c r="P362" s="58" t="str">
        <f>IF(N360&gt;0,"xx",IF(N360&gt;0,"xy",""))</f>
        <v/>
      </c>
      <c r="Q362" s="317" t="str">
        <f t="shared" si="28"/>
        <v/>
      </c>
      <c r="R362" s="317" t="str">
        <f t="shared" si="29"/>
        <v/>
      </c>
      <c r="S362" s="317" t="str">
        <f t="shared" si="30"/>
        <v/>
      </c>
      <c r="T362" s="317" t="str">
        <f>GLOBAL_DER_FEV_2023!S362</f>
        <v/>
      </c>
      <c r="W362" s="582">
        <v>0</v>
      </c>
      <c r="X362" s="580"/>
      <c r="Y362" s="583">
        <f>IF(GLOBAL_DER_FEV_2023!W362=0,0,IF(GLOBAL_DER_FEV_2023!W362&gt;0,"c","b"))</f>
        <v>0</v>
      </c>
    </row>
    <row r="363" spans="1:25" ht="13.5" hidden="1" thickBot="1" x14ac:dyDescent="0.25">
      <c r="A363" s="317" t="s">
        <v>147</v>
      </c>
      <c r="B363" s="895" t="s">
        <v>147</v>
      </c>
      <c r="C363" s="896"/>
      <c r="D363" s="957" t="s">
        <v>243</v>
      </c>
      <c r="E363" s="907">
        <f>GLOBAL_DER_FEV_2023!E363</f>
        <v>0.2</v>
      </c>
      <c r="F363" s="908">
        <f>GLOBAL_DER_FEV_2023!F363</f>
        <v>0.94499999999999995</v>
      </c>
      <c r="G363" s="949">
        <f>GLOBAL_DER_FEV_2023!G363</f>
        <v>2.7348300000000001</v>
      </c>
      <c r="H363" s="901">
        <f>GLOBAL_DER_FEV_2023!H363</f>
        <v>0</v>
      </c>
      <c r="I363" s="901">
        <f>GLOBAL_DER_FEV_2023!I363</f>
        <v>0</v>
      </c>
      <c r="J363" s="902">
        <f>GLOBAL_DER_FEV_2023!J363</f>
        <v>0</v>
      </c>
      <c r="K363" s="903" t="s">
        <v>507</v>
      </c>
      <c r="L363" s="1003"/>
      <c r="M363" s="1157">
        <f t="shared" si="27"/>
        <v>0</v>
      </c>
      <c r="N363" s="893">
        <f t="shared" si="31"/>
        <v>0</v>
      </c>
      <c r="O363" s="905"/>
      <c r="P363" s="58" t="str">
        <f>IF(N360&gt;0,"xx",IF(N360&gt;0,"xy",""))</f>
        <v/>
      </c>
      <c r="Q363" s="317" t="str">
        <f t="shared" si="28"/>
        <v/>
      </c>
      <c r="R363" s="317" t="str">
        <f t="shared" si="29"/>
        <v/>
      </c>
      <c r="S363" s="317" t="str">
        <f t="shared" si="30"/>
        <v/>
      </c>
      <c r="T363" s="317" t="str">
        <f>GLOBAL_DER_FEV_2023!S363</f>
        <v/>
      </c>
      <c r="W363" s="582">
        <v>0</v>
      </c>
      <c r="X363" s="580"/>
      <c r="Y363" s="583">
        <f>IF(GLOBAL_DER_FEV_2023!W363=0,0,IF(GLOBAL_DER_FEV_2023!W363&gt;0,"c","b"))</f>
        <v>0</v>
      </c>
    </row>
    <row r="364" spans="1:25" ht="13.5" hidden="1" thickBot="1" x14ac:dyDescent="0.25">
      <c r="A364" s="317" t="s">
        <v>147</v>
      </c>
      <c r="B364" s="895" t="s">
        <v>147</v>
      </c>
      <c r="C364" s="896"/>
      <c r="D364" s="957" t="s">
        <v>244</v>
      </c>
      <c r="E364" s="907">
        <f>GLOBAL_DER_FEV_2023!E364</f>
        <v>22</v>
      </c>
      <c r="F364" s="908">
        <f>GLOBAL_DER_FEV_2023!F364</f>
        <v>1</v>
      </c>
      <c r="G364" s="912">
        <f>GLOBAL_DER_FEV_2023!G364</f>
        <v>29.990000000000002</v>
      </c>
      <c r="H364" s="901">
        <f>GLOBAL_DER_FEV_2023!H364</f>
        <v>0</v>
      </c>
      <c r="I364" s="901">
        <f>GLOBAL_DER_FEV_2023!I364</f>
        <v>0</v>
      </c>
      <c r="J364" s="902">
        <f>GLOBAL_DER_FEV_2023!J364</f>
        <v>0</v>
      </c>
      <c r="K364" s="903" t="s">
        <v>507</v>
      </c>
      <c r="L364" s="1003"/>
      <c r="M364" s="1157">
        <f t="shared" si="27"/>
        <v>0</v>
      </c>
      <c r="N364" s="893">
        <f t="shared" si="31"/>
        <v>0</v>
      </c>
      <c r="O364" s="905"/>
      <c r="P364" s="58" t="str">
        <f>IF(N360&gt;0,"xx",IF(N360&gt;0,"xy",""))</f>
        <v/>
      </c>
      <c r="Q364" s="317" t="str">
        <f t="shared" si="28"/>
        <v/>
      </c>
      <c r="R364" s="317" t="str">
        <f t="shared" si="29"/>
        <v/>
      </c>
      <c r="S364" s="317" t="str">
        <f t="shared" si="30"/>
        <v/>
      </c>
      <c r="T364" s="317" t="str">
        <f>GLOBAL_DER_FEV_2023!S364</f>
        <v/>
      </c>
      <c r="W364" s="582">
        <v>0</v>
      </c>
      <c r="X364" s="580"/>
      <c r="Y364" s="583">
        <f>IF(GLOBAL_DER_FEV_2023!W364=0,0,IF(GLOBAL_DER_FEV_2023!W364&gt;0,"c","b"))</f>
        <v>0</v>
      </c>
    </row>
    <row r="365" spans="1:25" ht="13.5" hidden="1" thickBot="1" x14ac:dyDescent="0.25">
      <c r="A365" s="317">
        <v>589000</v>
      </c>
      <c r="B365" s="1004" t="s">
        <v>710</v>
      </c>
      <c r="C365" s="984" t="s">
        <v>213</v>
      </c>
      <c r="D365" s="1012" t="s">
        <v>2177</v>
      </c>
      <c r="E365" s="1020">
        <f>GLOBAL_DER_FEV_2023!E365</f>
        <v>45</v>
      </c>
      <c r="F365" s="1006">
        <f>GLOBAL_DER_FEV_2023!F365</f>
        <v>1</v>
      </c>
      <c r="G365" s="949">
        <f>GLOBAL_DER_FEV_2023!G365</f>
        <v>88.36</v>
      </c>
      <c r="H365" s="988">
        <f>GLOBAL_DER_FEV_2023!H365</f>
        <v>4828.8599999999997</v>
      </c>
      <c r="I365" s="988">
        <f>GLOBAL_DER_FEV_2023!I365</f>
        <v>4724.580378112767</v>
      </c>
      <c r="J365" s="989">
        <f>GLOBAL_DER_FEV_2023!J365</f>
        <v>5672.8</v>
      </c>
      <c r="K365" s="990" t="s">
        <v>14</v>
      </c>
      <c r="L365" s="1154">
        <f>ROUND(L360*$F360,2)</f>
        <v>0</v>
      </c>
      <c r="M365" s="1159">
        <f t="shared" si="27"/>
        <v>0</v>
      </c>
      <c r="N365" s="993">
        <f t="shared" si="31"/>
        <v>0</v>
      </c>
      <c r="O365" s="905"/>
      <c r="P365" s="58" t="str">
        <f>IF(N360&gt;0,"xx",IF(N360&gt;0,"xy",""))</f>
        <v/>
      </c>
      <c r="Q365" s="317" t="str">
        <f t="shared" si="28"/>
        <v/>
      </c>
      <c r="R365" s="317" t="str">
        <f t="shared" si="29"/>
        <v/>
      </c>
      <c r="S365" s="317" t="str">
        <f t="shared" si="30"/>
        <v/>
      </c>
      <c r="T365" s="317" t="str">
        <f>GLOBAL_DER_FEV_2023!S365</f>
        <v/>
      </c>
      <c r="W365" s="582">
        <v>0</v>
      </c>
      <c r="X365" s="580"/>
      <c r="Y365" s="583">
        <f>IF(GLOBAL_DER_FEV_2023!W365=0,0,IF(GLOBAL_DER_FEV_2023!W365&gt;0,"c","b"))</f>
        <v>0</v>
      </c>
    </row>
    <row r="366" spans="1:25" ht="13.5" hidden="1" thickBot="1" x14ac:dyDescent="0.25">
      <c r="A366" s="317">
        <v>570140</v>
      </c>
      <c r="B366" s="999">
        <v>570140</v>
      </c>
      <c r="C366" s="1000" t="s">
        <v>184</v>
      </c>
      <c r="D366" s="1019" t="s">
        <v>597</v>
      </c>
      <c r="E366" s="974" t="str">
        <f>GLOBAL_DER_FEV_2023!E366</f>
        <v>taxa CAP</v>
      </c>
      <c r="F366" s="975">
        <f>GLOBAL_DER_FEV_2023!F366</f>
        <v>0.05</v>
      </c>
      <c r="G366" s="976">
        <f>GLOBAL_DER_FEV_2023!G366</f>
        <v>53.140143399999999</v>
      </c>
      <c r="H366" s="977">
        <f>GLOBAL_DER_FEV_2023!H366</f>
        <v>281.31</v>
      </c>
      <c r="I366" s="977">
        <f>GLOBAL_DER_FEV_2023!I366</f>
        <v>334.4501434</v>
      </c>
      <c r="J366" s="978">
        <f>GLOBAL_DER_FEV_2023!J366</f>
        <v>401.57</v>
      </c>
      <c r="K366" s="979" t="s">
        <v>14</v>
      </c>
      <c r="L366" s="1152"/>
      <c r="M366" s="1153">
        <f t="shared" si="27"/>
        <v>0</v>
      </c>
      <c r="N366" s="982">
        <f t="shared" si="31"/>
        <v>0</v>
      </c>
      <c r="O366" s="905"/>
      <c r="Q366" s="317" t="str">
        <f t="shared" si="28"/>
        <v/>
      </c>
      <c r="R366" s="317" t="str">
        <f t="shared" si="29"/>
        <v/>
      </c>
      <c r="S366" s="317" t="str">
        <f t="shared" si="30"/>
        <v/>
      </c>
      <c r="T366" s="317" t="str">
        <f>GLOBAL_DER_FEV_2023!S366</f>
        <v/>
      </c>
      <c r="W366" s="582">
        <v>0</v>
      </c>
      <c r="X366" s="580"/>
      <c r="Y366" s="583">
        <f>IF(GLOBAL_DER_FEV_2023!W366=0,0,IF(GLOBAL_DER_FEV_2023!W366&gt;0,"c","b"))</f>
        <v>0</v>
      </c>
    </row>
    <row r="367" spans="1:25" ht="13.5" hidden="1" thickBot="1" x14ac:dyDescent="0.25">
      <c r="A367" s="317" t="s">
        <v>147</v>
      </c>
      <c r="B367" s="895" t="s">
        <v>147</v>
      </c>
      <c r="C367" s="896"/>
      <c r="D367" s="957" t="s">
        <v>229</v>
      </c>
      <c r="E367" s="907">
        <f>GLOBAL_DER_FEV_2023!E367</f>
        <v>150</v>
      </c>
      <c r="F367" s="908">
        <f>GLOBAL_DER_FEV_2023!F367</f>
        <v>0.1007</v>
      </c>
      <c r="G367" s="949">
        <f>GLOBAL_DER_FEV_2023!G367</f>
        <v>16.432226</v>
      </c>
      <c r="H367" s="901">
        <f>GLOBAL_DER_FEV_2023!H367</f>
        <v>0</v>
      </c>
      <c r="I367" s="901">
        <f>GLOBAL_DER_FEV_2023!I367</f>
        <v>0</v>
      </c>
      <c r="J367" s="902">
        <f>GLOBAL_DER_FEV_2023!J367</f>
        <v>0</v>
      </c>
      <c r="K367" s="958" t="s">
        <v>507</v>
      </c>
      <c r="L367" s="1003"/>
      <c r="M367" s="1157">
        <f t="shared" si="27"/>
        <v>0</v>
      </c>
      <c r="N367" s="893">
        <f t="shared" si="31"/>
        <v>0</v>
      </c>
      <c r="O367" s="905"/>
      <c r="P367" s="58" t="str">
        <f>IF(N366&gt;0,"xx",IF(N366&gt;0,"xy",""))</f>
        <v/>
      </c>
      <c r="Q367" s="317" t="str">
        <f t="shared" si="28"/>
        <v/>
      </c>
      <c r="R367" s="317" t="str">
        <f t="shared" si="29"/>
        <v/>
      </c>
      <c r="S367" s="317" t="str">
        <f t="shared" si="30"/>
        <v/>
      </c>
      <c r="T367" s="317" t="str">
        <f>GLOBAL_DER_FEV_2023!S367</f>
        <v/>
      </c>
      <c r="W367" s="582">
        <v>0</v>
      </c>
      <c r="X367" s="580"/>
      <c r="Y367" s="583">
        <f>IF(GLOBAL_DER_FEV_2023!W367=0,0,IF(GLOBAL_DER_FEV_2023!W367&gt;0,"c","b"))</f>
        <v>0</v>
      </c>
    </row>
    <row r="368" spans="1:25" ht="13.5" hidden="1" thickBot="1" x14ac:dyDescent="0.25">
      <c r="A368" s="317" t="s">
        <v>147</v>
      </c>
      <c r="B368" s="895" t="s">
        <v>147</v>
      </c>
      <c r="C368" s="896"/>
      <c r="D368" s="957" t="s">
        <v>230</v>
      </c>
      <c r="E368" s="907">
        <f>GLOBAL_DER_FEV_2023!E368</f>
        <v>353</v>
      </c>
      <c r="F368" s="908">
        <f>GLOBAL_DER_FEV_2023!F368</f>
        <v>1.52E-2</v>
      </c>
      <c r="G368" s="909">
        <f>GLOBAL_DER_FEV_2023!G368</f>
        <v>4.3040320000000003</v>
      </c>
      <c r="H368" s="901">
        <f>GLOBAL_DER_FEV_2023!H368</f>
        <v>0</v>
      </c>
      <c r="I368" s="901">
        <f>GLOBAL_DER_FEV_2023!I368</f>
        <v>0</v>
      </c>
      <c r="J368" s="902">
        <f>GLOBAL_DER_FEV_2023!J368</f>
        <v>0</v>
      </c>
      <c r="K368" s="958" t="s">
        <v>507</v>
      </c>
      <c r="L368" s="1003"/>
      <c r="M368" s="1157">
        <f t="shared" si="27"/>
        <v>0</v>
      </c>
      <c r="N368" s="893">
        <f t="shared" si="31"/>
        <v>0</v>
      </c>
      <c r="O368" s="905"/>
      <c r="P368" s="58" t="str">
        <f>IF(N366&gt;0,"xx",IF(N366&gt;0,"xy",""))</f>
        <v/>
      </c>
      <c r="Q368" s="317" t="str">
        <f t="shared" si="28"/>
        <v/>
      </c>
      <c r="R368" s="317" t="str">
        <f t="shared" si="29"/>
        <v/>
      </c>
      <c r="S368" s="317" t="str">
        <f t="shared" si="30"/>
        <v/>
      </c>
      <c r="T368" s="317" t="str">
        <f>GLOBAL_DER_FEV_2023!S368</f>
        <v/>
      </c>
      <c r="W368" s="582">
        <v>0</v>
      </c>
      <c r="X368" s="580"/>
      <c r="Y368" s="583">
        <f>IF(GLOBAL_DER_FEV_2023!W368=0,0,IF(GLOBAL_DER_FEV_2023!W368&gt;0,"c","b"))</f>
        <v>0</v>
      </c>
    </row>
    <row r="369" spans="1:25" ht="13.5" hidden="1" thickBot="1" x14ac:dyDescent="0.25">
      <c r="A369" s="317" t="s">
        <v>147</v>
      </c>
      <c r="B369" s="895" t="s">
        <v>147</v>
      </c>
      <c r="C369" s="896"/>
      <c r="D369" s="957" t="s">
        <v>243</v>
      </c>
      <c r="E369" s="907">
        <f>GLOBAL_DER_FEV_2023!E369</f>
        <v>0.2</v>
      </c>
      <c r="F369" s="908">
        <f>GLOBAL_DER_FEV_2023!F369</f>
        <v>0.83409999999999995</v>
      </c>
      <c r="G369" s="949">
        <f>GLOBAL_DER_FEV_2023!G369</f>
        <v>2.4138853999999998</v>
      </c>
      <c r="H369" s="901">
        <f>GLOBAL_DER_FEV_2023!H369</f>
        <v>0</v>
      </c>
      <c r="I369" s="901">
        <f>GLOBAL_DER_FEV_2023!I369</f>
        <v>0</v>
      </c>
      <c r="J369" s="902">
        <f>GLOBAL_DER_FEV_2023!J369</f>
        <v>0</v>
      </c>
      <c r="K369" s="958" t="s">
        <v>507</v>
      </c>
      <c r="L369" s="1003"/>
      <c r="M369" s="1157">
        <f t="shared" si="27"/>
        <v>0</v>
      </c>
      <c r="N369" s="893">
        <f t="shared" si="31"/>
        <v>0</v>
      </c>
      <c r="O369" s="905"/>
      <c r="P369" s="58" t="str">
        <f>IF(N366&gt;0,"xx",IF(N366&gt;0,"xy",""))</f>
        <v/>
      </c>
      <c r="Q369" s="317" t="str">
        <f t="shared" si="28"/>
        <v/>
      </c>
      <c r="R369" s="317" t="str">
        <f t="shared" si="29"/>
        <v/>
      </c>
      <c r="S369" s="317" t="str">
        <f t="shared" si="30"/>
        <v/>
      </c>
      <c r="T369" s="317" t="str">
        <f>GLOBAL_DER_FEV_2023!S369</f>
        <v/>
      </c>
      <c r="W369" s="582">
        <v>0</v>
      </c>
      <c r="X369" s="580"/>
      <c r="Y369" s="583">
        <f>IF(GLOBAL_DER_FEV_2023!W369=0,0,IF(GLOBAL_DER_FEV_2023!W369&gt;0,"c","b"))</f>
        <v>0</v>
      </c>
    </row>
    <row r="370" spans="1:25" ht="13.5" hidden="1" thickBot="1" x14ac:dyDescent="0.25">
      <c r="A370" s="317" t="s">
        <v>147</v>
      </c>
      <c r="B370" s="895" t="s">
        <v>147</v>
      </c>
      <c r="C370" s="896"/>
      <c r="D370" s="957" t="s">
        <v>244</v>
      </c>
      <c r="E370" s="907">
        <f>GLOBAL_DER_FEV_2023!E370</f>
        <v>22</v>
      </c>
      <c r="F370" s="908">
        <f>GLOBAL_DER_FEV_2023!F370</f>
        <v>1</v>
      </c>
      <c r="G370" s="912">
        <f>GLOBAL_DER_FEV_2023!G370</f>
        <v>29.990000000000002</v>
      </c>
      <c r="H370" s="901">
        <f>GLOBAL_DER_FEV_2023!H370</f>
        <v>0</v>
      </c>
      <c r="I370" s="901">
        <f>GLOBAL_DER_FEV_2023!I370</f>
        <v>0</v>
      </c>
      <c r="J370" s="902">
        <f>GLOBAL_DER_FEV_2023!J370</f>
        <v>0</v>
      </c>
      <c r="K370" s="958" t="s">
        <v>507</v>
      </c>
      <c r="L370" s="1003"/>
      <c r="M370" s="1157">
        <f t="shared" si="27"/>
        <v>0</v>
      </c>
      <c r="N370" s="893">
        <f t="shared" si="31"/>
        <v>0</v>
      </c>
      <c r="O370" s="905"/>
      <c r="P370" s="58" t="str">
        <f>IF(N366&gt;0,"xx",IF(N366&gt;0,"xy",""))</f>
        <v/>
      </c>
      <c r="Q370" s="317" t="str">
        <f t="shared" si="28"/>
        <v/>
      </c>
      <c r="R370" s="317" t="str">
        <f t="shared" si="29"/>
        <v/>
      </c>
      <c r="S370" s="317" t="str">
        <f t="shared" si="30"/>
        <v/>
      </c>
      <c r="T370" s="317" t="str">
        <f>GLOBAL_DER_FEV_2023!S370</f>
        <v/>
      </c>
      <c r="W370" s="582">
        <v>0</v>
      </c>
      <c r="X370" s="580"/>
      <c r="Y370" s="583">
        <f>IF(GLOBAL_DER_FEV_2023!W370=0,0,IF(GLOBAL_DER_FEV_2023!W370&gt;0,"c","b"))</f>
        <v>0</v>
      </c>
    </row>
    <row r="371" spans="1:25" ht="13.5" hidden="1" thickBot="1" x14ac:dyDescent="0.25">
      <c r="A371" s="317">
        <v>589000</v>
      </c>
      <c r="B371" s="1004" t="s">
        <v>711</v>
      </c>
      <c r="C371" s="984" t="s">
        <v>213</v>
      </c>
      <c r="D371" s="1012" t="s">
        <v>2172</v>
      </c>
      <c r="E371" s="1005">
        <f>GLOBAL_DER_FEV_2023!E371</f>
        <v>45</v>
      </c>
      <c r="F371" s="1006">
        <f>GLOBAL_DER_FEV_2023!F371</f>
        <v>1</v>
      </c>
      <c r="G371" s="949">
        <f>GLOBAL_DER_FEV_2023!G371</f>
        <v>88.36</v>
      </c>
      <c r="H371" s="988">
        <f>GLOBAL_DER_FEV_2023!H371</f>
        <v>4828.8599999999997</v>
      </c>
      <c r="I371" s="988">
        <f>GLOBAL_DER_FEV_2023!I371</f>
        <v>4724.580378112767</v>
      </c>
      <c r="J371" s="989">
        <f>GLOBAL_DER_FEV_2023!J371</f>
        <v>5672.8</v>
      </c>
      <c r="K371" s="990" t="s">
        <v>14</v>
      </c>
      <c r="L371" s="1154">
        <f>ROUND(L366*$F366,2)</f>
        <v>0</v>
      </c>
      <c r="M371" s="1159">
        <f t="shared" si="27"/>
        <v>0</v>
      </c>
      <c r="N371" s="993">
        <f t="shared" si="31"/>
        <v>0</v>
      </c>
      <c r="O371" s="905"/>
      <c r="P371" s="58" t="str">
        <f>IF(N366&gt;0,"xx",IF(N366&gt;0,"xy",""))</f>
        <v/>
      </c>
      <c r="Q371" s="317" t="str">
        <f t="shared" si="28"/>
        <v/>
      </c>
      <c r="R371" s="317" t="str">
        <f t="shared" si="29"/>
        <v/>
      </c>
      <c r="S371" s="317" t="str">
        <f t="shared" si="30"/>
        <v/>
      </c>
      <c r="T371" s="317" t="str">
        <f>GLOBAL_DER_FEV_2023!S371</f>
        <v/>
      </c>
      <c r="W371" s="582">
        <v>0</v>
      </c>
      <c r="X371" s="580"/>
      <c r="Y371" s="583">
        <f>IF(GLOBAL_DER_FEV_2023!W371=0,0,IF(GLOBAL_DER_FEV_2023!W371&gt;0,"c","b"))</f>
        <v>0</v>
      </c>
    </row>
    <row r="372" spans="1:25" ht="13.5" hidden="1" thickBot="1" x14ac:dyDescent="0.25">
      <c r="A372" s="317">
        <v>570170</v>
      </c>
      <c r="B372" s="999">
        <v>570170</v>
      </c>
      <c r="C372" s="1000" t="s">
        <v>184</v>
      </c>
      <c r="D372" s="1019" t="s">
        <v>598</v>
      </c>
      <c r="E372" s="974" t="str">
        <f>GLOBAL_DER_FEV_2023!E372</f>
        <v>taxa CAP</v>
      </c>
      <c r="F372" s="975">
        <f>GLOBAL_DER_FEV_2023!F372</f>
        <v>0.05</v>
      </c>
      <c r="G372" s="976">
        <f>GLOBAL_DER_FEV_2023!G372</f>
        <v>53.140143399999999</v>
      </c>
      <c r="H372" s="977">
        <f>GLOBAL_DER_FEV_2023!H372</f>
        <v>209.01</v>
      </c>
      <c r="I372" s="977">
        <f>GLOBAL_DER_FEV_2023!I372</f>
        <v>262.15014339999999</v>
      </c>
      <c r="J372" s="978">
        <f>GLOBAL_DER_FEV_2023!J372</f>
        <v>314.76</v>
      </c>
      <c r="K372" s="979" t="s">
        <v>14</v>
      </c>
      <c r="L372" s="1152"/>
      <c r="M372" s="1153">
        <f t="shared" si="27"/>
        <v>0</v>
      </c>
      <c r="N372" s="982">
        <f t="shared" si="31"/>
        <v>0</v>
      </c>
      <c r="O372" s="905"/>
      <c r="Q372" s="317" t="str">
        <f t="shared" si="28"/>
        <v/>
      </c>
      <c r="R372" s="317" t="str">
        <f t="shared" si="29"/>
        <v/>
      </c>
      <c r="S372" s="317" t="str">
        <f t="shared" si="30"/>
        <v/>
      </c>
      <c r="T372" s="317" t="str">
        <f>GLOBAL_DER_FEV_2023!S372</f>
        <v/>
      </c>
      <c r="W372" s="582">
        <v>0</v>
      </c>
      <c r="X372" s="580"/>
      <c r="Y372" s="583">
        <f>IF(GLOBAL_DER_FEV_2023!W372=0,0,IF(GLOBAL_DER_FEV_2023!W372&gt;0,"c","b"))</f>
        <v>0</v>
      </c>
    </row>
    <row r="373" spans="1:25" ht="13.5" hidden="1" thickBot="1" x14ac:dyDescent="0.25">
      <c r="A373" s="317" t="s">
        <v>147</v>
      </c>
      <c r="B373" s="895" t="s">
        <v>147</v>
      </c>
      <c r="C373" s="896"/>
      <c r="D373" s="957" t="s">
        <v>229</v>
      </c>
      <c r="E373" s="907">
        <f>GLOBAL_DER_FEV_2023!E373</f>
        <v>150</v>
      </c>
      <c r="F373" s="908">
        <f>GLOBAL_DER_FEV_2023!F373</f>
        <v>0.1007</v>
      </c>
      <c r="G373" s="949">
        <f>GLOBAL_DER_FEV_2023!G373</f>
        <v>16.432226</v>
      </c>
      <c r="H373" s="901">
        <f>GLOBAL_DER_FEV_2023!H373</f>
        <v>0</v>
      </c>
      <c r="I373" s="901">
        <f>GLOBAL_DER_FEV_2023!I373</f>
        <v>0</v>
      </c>
      <c r="J373" s="902">
        <f>GLOBAL_DER_FEV_2023!J373</f>
        <v>0</v>
      </c>
      <c r="K373" s="958" t="s">
        <v>507</v>
      </c>
      <c r="L373" s="1003"/>
      <c r="M373" s="1157">
        <f t="shared" si="27"/>
        <v>0</v>
      </c>
      <c r="N373" s="893">
        <f t="shared" si="31"/>
        <v>0</v>
      </c>
      <c r="O373" s="905"/>
      <c r="P373" s="58" t="str">
        <f>IF(N372&gt;0,"xx",IF(N372&gt;0,"xy",""))</f>
        <v/>
      </c>
      <c r="Q373" s="317" t="str">
        <f t="shared" si="28"/>
        <v/>
      </c>
      <c r="R373" s="317" t="str">
        <f t="shared" si="29"/>
        <v/>
      </c>
      <c r="S373" s="317" t="str">
        <f t="shared" si="30"/>
        <v/>
      </c>
      <c r="T373" s="317" t="str">
        <f>GLOBAL_DER_FEV_2023!S373</f>
        <v/>
      </c>
      <c r="W373" s="582">
        <v>0</v>
      </c>
      <c r="X373" s="580"/>
      <c r="Y373" s="583">
        <f>IF(GLOBAL_DER_FEV_2023!W373=0,0,IF(GLOBAL_DER_FEV_2023!W373&gt;0,"c","b"))</f>
        <v>0</v>
      </c>
    </row>
    <row r="374" spans="1:25" ht="13.5" hidden="1" thickBot="1" x14ac:dyDescent="0.25">
      <c r="A374" s="317" t="s">
        <v>147</v>
      </c>
      <c r="B374" s="895" t="s">
        <v>147</v>
      </c>
      <c r="C374" s="896"/>
      <c r="D374" s="957" t="s">
        <v>230</v>
      </c>
      <c r="E374" s="907">
        <f>GLOBAL_DER_FEV_2023!E374</f>
        <v>353</v>
      </c>
      <c r="F374" s="908">
        <f>GLOBAL_DER_FEV_2023!F374</f>
        <v>1.52E-2</v>
      </c>
      <c r="G374" s="909">
        <f>GLOBAL_DER_FEV_2023!G374</f>
        <v>4.3040320000000003</v>
      </c>
      <c r="H374" s="901">
        <f>GLOBAL_DER_FEV_2023!H374</f>
        <v>0</v>
      </c>
      <c r="I374" s="901">
        <f>GLOBAL_DER_FEV_2023!I374</f>
        <v>0</v>
      </c>
      <c r="J374" s="902">
        <f>GLOBAL_DER_FEV_2023!J374</f>
        <v>0</v>
      </c>
      <c r="K374" s="958" t="s">
        <v>507</v>
      </c>
      <c r="L374" s="1003"/>
      <c r="M374" s="1157">
        <f t="shared" si="27"/>
        <v>0</v>
      </c>
      <c r="N374" s="893">
        <f t="shared" si="31"/>
        <v>0</v>
      </c>
      <c r="O374" s="905"/>
      <c r="P374" s="58" t="str">
        <f>IF(N372&gt;0,"xx",IF(N372&gt;0,"xy",""))</f>
        <v/>
      </c>
      <c r="Q374" s="317" t="str">
        <f t="shared" si="28"/>
        <v/>
      </c>
      <c r="R374" s="317" t="str">
        <f t="shared" si="29"/>
        <v/>
      </c>
      <c r="S374" s="317" t="str">
        <f t="shared" si="30"/>
        <v/>
      </c>
      <c r="T374" s="317" t="str">
        <f>GLOBAL_DER_FEV_2023!S374</f>
        <v/>
      </c>
      <c r="W374" s="582">
        <v>0</v>
      </c>
      <c r="X374" s="580"/>
      <c r="Y374" s="583">
        <f>IF(GLOBAL_DER_FEV_2023!W374=0,0,IF(GLOBAL_DER_FEV_2023!W374&gt;0,"c","b"))</f>
        <v>0</v>
      </c>
    </row>
    <row r="375" spans="1:25" ht="13.5" hidden="1" thickBot="1" x14ac:dyDescent="0.25">
      <c r="A375" s="317" t="s">
        <v>147</v>
      </c>
      <c r="B375" s="895" t="s">
        <v>147</v>
      </c>
      <c r="C375" s="896"/>
      <c r="D375" s="957" t="s">
        <v>243</v>
      </c>
      <c r="E375" s="907">
        <f>GLOBAL_DER_FEV_2023!E375</f>
        <v>0.2</v>
      </c>
      <c r="F375" s="908">
        <f>GLOBAL_DER_FEV_2023!F375</f>
        <v>0.83409999999999995</v>
      </c>
      <c r="G375" s="949">
        <f>GLOBAL_DER_FEV_2023!G375</f>
        <v>2.4138853999999998</v>
      </c>
      <c r="H375" s="901">
        <f>GLOBAL_DER_FEV_2023!H375</f>
        <v>0</v>
      </c>
      <c r="I375" s="901">
        <f>GLOBAL_DER_FEV_2023!I375</f>
        <v>0</v>
      </c>
      <c r="J375" s="902">
        <f>GLOBAL_DER_FEV_2023!J375</f>
        <v>0</v>
      </c>
      <c r="K375" s="958" t="s">
        <v>507</v>
      </c>
      <c r="L375" s="1003"/>
      <c r="M375" s="1157">
        <f t="shared" si="27"/>
        <v>0</v>
      </c>
      <c r="N375" s="893">
        <f t="shared" si="31"/>
        <v>0</v>
      </c>
      <c r="O375" s="905"/>
      <c r="P375" s="58" t="str">
        <f>IF(N372&gt;0,"xx",IF(N372&gt;0,"xy",""))</f>
        <v/>
      </c>
      <c r="Q375" s="317" t="str">
        <f t="shared" si="28"/>
        <v/>
      </c>
      <c r="R375" s="317" t="str">
        <f t="shared" si="29"/>
        <v/>
      </c>
      <c r="S375" s="317" t="str">
        <f t="shared" si="30"/>
        <v/>
      </c>
      <c r="T375" s="317" t="str">
        <f>GLOBAL_DER_FEV_2023!S375</f>
        <v/>
      </c>
      <c r="W375" s="582">
        <v>0</v>
      </c>
      <c r="X375" s="580"/>
      <c r="Y375" s="583">
        <f>IF(GLOBAL_DER_FEV_2023!W375=0,0,IF(GLOBAL_DER_FEV_2023!W375&gt;0,"c","b"))</f>
        <v>0</v>
      </c>
    </row>
    <row r="376" spans="1:25" ht="13.5" hidden="1" thickBot="1" x14ac:dyDescent="0.25">
      <c r="A376" s="317" t="s">
        <v>147</v>
      </c>
      <c r="B376" s="895" t="s">
        <v>147</v>
      </c>
      <c r="C376" s="896"/>
      <c r="D376" s="957" t="s">
        <v>244</v>
      </c>
      <c r="E376" s="907">
        <f>GLOBAL_DER_FEV_2023!E376</f>
        <v>22</v>
      </c>
      <c r="F376" s="908">
        <f>GLOBAL_DER_FEV_2023!F376</f>
        <v>1</v>
      </c>
      <c r="G376" s="912">
        <f>GLOBAL_DER_FEV_2023!G376</f>
        <v>29.990000000000002</v>
      </c>
      <c r="H376" s="901">
        <f>GLOBAL_DER_FEV_2023!H376</f>
        <v>0</v>
      </c>
      <c r="I376" s="901">
        <f>GLOBAL_DER_FEV_2023!I376</f>
        <v>0</v>
      </c>
      <c r="J376" s="902">
        <f>GLOBAL_DER_FEV_2023!J376</f>
        <v>0</v>
      </c>
      <c r="K376" s="958" t="s">
        <v>507</v>
      </c>
      <c r="L376" s="1003"/>
      <c r="M376" s="1157">
        <f t="shared" si="27"/>
        <v>0</v>
      </c>
      <c r="N376" s="893">
        <f t="shared" si="31"/>
        <v>0</v>
      </c>
      <c r="O376" s="905"/>
      <c r="P376" s="58" t="str">
        <f>IF(N372&gt;0,"xx",IF(N372&gt;0,"xy",""))</f>
        <v/>
      </c>
      <c r="Q376" s="317" t="str">
        <f t="shared" si="28"/>
        <v/>
      </c>
      <c r="R376" s="317" t="str">
        <f t="shared" si="29"/>
        <v/>
      </c>
      <c r="S376" s="317" t="str">
        <f t="shared" si="30"/>
        <v/>
      </c>
      <c r="T376" s="317" t="str">
        <f>GLOBAL_DER_FEV_2023!S376</f>
        <v/>
      </c>
      <c r="W376" s="582">
        <v>0</v>
      </c>
      <c r="X376" s="580"/>
      <c r="Y376" s="583">
        <f>IF(GLOBAL_DER_FEV_2023!W376=0,0,IF(GLOBAL_DER_FEV_2023!W376&gt;0,"c","b"))</f>
        <v>0</v>
      </c>
    </row>
    <row r="377" spans="1:25" ht="13.5" hidden="1" thickBot="1" x14ac:dyDescent="0.25">
      <c r="A377" s="317">
        <v>589000</v>
      </c>
      <c r="B377" s="1004" t="s">
        <v>712</v>
      </c>
      <c r="C377" s="984" t="s">
        <v>213</v>
      </c>
      <c r="D377" s="1012" t="s">
        <v>2172</v>
      </c>
      <c r="E377" s="1005">
        <f>GLOBAL_DER_FEV_2023!E377</f>
        <v>45</v>
      </c>
      <c r="F377" s="1006">
        <f>GLOBAL_DER_FEV_2023!F377</f>
        <v>1</v>
      </c>
      <c r="G377" s="949">
        <f>GLOBAL_DER_FEV_2023!G377</f>
        <v>88.36</v>
      </c>
      <c r="H377" s="988">
        <f>GLOBAL_DER_FEV_2023!H377</f>
        <v>4828.8599999999997</v>
      </c>
      <c r="I377" s="988">
        <f>GLOBAL_DER_FEV_2023!I377</f>
        <v>4724.580378112767</v>
      </c>
      <c r="J377" s="989">
        <f>GLOBAL_DER_FEV_2023!J377</f>
        <v>5672.8</v>
      </c>
      <c r="K377" s="990" t="s">
        <v>14</v>
      </c>
      <c r="L377" s="1154">
        <f>ROUND(L372*$F372,2)</f>
        <v>0</v>
      </c>
      <c r="M377" s="1159">
        <f t="shared" si="27"/>
        <v>0</v>
      </c>
      <c r="N377" s="993">
        <f t="shared" si="31"/>
        <v>0</v>
      </c>
      <c r="O377" s="905"/>
      <c r="P377" s="58" t="str">
        <f>IF(N372&gt;0,"xx",IF(N372&gt;0,"xy",""))</f>
        <v/>
      </c>
      <c r="Q377" s="317" t="str">
        <f t="shared" si="28"/>
        <v/>
      </c>
      <c r="R377" s="317" t="str">
        <f t="shared" si="29"/>
        <v/>
      </c>
      <c r="S377" s="317" t="str">
        <f t="shared" si="30"/>
        <v/>
      </c>
      <c r="T377" s="317" t="str">
        <f>GLOBAL_DER_FEV_2023!S377</f>
        <v/>
      </c>
      <c r="W377" s="582">
        <v>0</v>
      </c>
      <c r="X377" s="580"/>
      <c r="Y377" s="583">
        <f>IF(GLOBAL_DER_FEV_2023!W377=0,0,IF(GLOBAL_DER_FEV_2023!W377&gt;0,"c","b"))</f>
        <v>0</v>
      </c>
    </row>
    <row r="378" spans="1:25" ht="13.5" hidden="1" thickBot="1" x14ac:dyDescent="0.25">
      <c r="A378" s="317">
        <v>570200</v>
      </c>
      <c r="B378" s="999">
        <v>570200</v>
      </c>
      <c r="C378" s="1000" t="s">
        <v>184</v>
      </c>
      <c r="D378" s="1019" t="s">
        <v>2220</v>
      </c>
      <c r="E378" s="974" t="str">
        <f>GLOBAL_DER_FEV_2023!E378</f>
        <v>taxa CAP</v>
      </c>
      <c r="F378" s="975">
        <f>GLOBAL_DER_FEV_2023!F378</f>
        <v>4.4999999999999998E-2</v>
      </c>
      <c r="G378" s="976">
        <f>GLOBAL_DER_FEV_2023!G378</f>
        <v>35.158060000000006</v>
      </c>
      <c r="H378" s="977">
        <f>GLOBAL_DER_FEV_2023!H378</f>
        <v>181.43</v>
      </c>
      <c r="I378" s="977">
        <f>GLOBAL_DER_FEV_2023!I378</f>
        <v>216.58806000000001</v>
      </c>
      <c r="J378" s="978">
        <f>GLOBAL_DER_FEV_2023!J378</f>
        <v>260.06</v>
      </c>
      <c r="K378" s="979" t="s">
        <v>14</v>
      </c>
      <c r="L378" s="1152"/>
      <c r="M378" s="1153">
        <f t="shared" si="27"/>
        <v>0</v>
      </c>
      <c r="N378" s="982">
        <f t="shared" si="31"/>
        <v>0</v>
      </c>
      <c r="O378" s="905"/>
      <c r="Q378" s="317" t="str">
        <f t="shared" si="28"/>
        <v/>
      </c>
      <c r="R378" s="317" t="str">
        <f t="shared" si="29"/>
        <v/>
      </c>
      <c r="S378" s="317" t="str">
        <f t="shared" si="30"/>
        <v/>
      </c>
      <c r="T378" s="317" t="str">
        <f>GLOBAL_DER_FEV_2023!S378</f>
        <v/>
      </c>
      <c r="W378" s="582">
        <v>0</v>
      </c>
      <c r="X378" s="580"/>
      <c r="Y378" s="583">
        <f>IF(GLOBAL_DER_FEV_2023!W378=0,0,IF(GLOBAL_DER_FEV_2023!W378&gt;0,"c","b"))</f>
        <v>0</v>
      </c>
    </row>
    <row r="379" spans="1:25" ht="13.5" hidden="1" thickBot="1" x14ac:dyDescent="0.25">
      <c r="A379" s="317" t="s">
        <v>147</v>
      </c>
      <c r="B379" s="895" t="s">
        <v>147</v>
      </c>
      <c r="C379" s="896"/>
      <c r="D379" s="957" t="s">
        <v>229</v>
      </c>
      <c r="E379" s="907">
        <f>GLOBAL_DER_FEV_2023!E379</f>
        <v>150</v>
      </c>
      <c r="F379" s="908">
        <f>GLOBAL_DER_FEV_2023!F379</f>
        <v>1.4999999999999999E-2</v>
      </c>
      <c r="G379" s="949">
        <f>GLOBAL_DER_FEV_2023!G379</f>
        <v>2.4477000000000002</v>
      </c>
      <c r="H379" s="901">
        <f>GLOBAL_DER_FEV_2023!H379</f>
        <v>0</v>
      </c>
      <c r="I379" s="901">
        <f>GLOBAL_DER_FEV_2023!I379</f>
        <v>0</v>
      </c>
      <c r="J379" s="902">
        <f>GLOBAL_DER_FEV_2023!J379</f>
        <v>0</v>
      </c>
      <c r="K379" s="958" t="s">
        <v>507</v>
      </c>
      <c r="L379" s="1003"/>
      <c r="M379" s="1157">
        <f t="shared" si="27"/>
        <v>0</v>
      </c>
      <c r="N379" s="893">
        <f t="shared" si="31"/>
        <v>0</v>
      </c>
      <c r="O379" s="905"/>
      <c r="P379" s="58" t="str">
        <f>IF(N378&gt;0,"xx",IF(N378&gt;0,"xy",""))</f>
        <v/>
      </c>
      <c r="Q379" s="317" t="str">
        <f t="shared" si="28"/>
        <v/>
      </c>
      <c r="R379" s="317" t="str">
        <f t="shared" si="29"/>
        <v/>
      </c>
      <c r="S379" s="317" t="str">
        <f t="shared" si="30"/>
        <v/>
      </c>
      <c r="T379" s="317" t="str">
        <f>GLOBAL_DER_FEV_2023!S379</f>
        <v/>
      </c>
      <c r="W379" s="582">
        <v>0</v>
      </c>
      <c r="X379" s="580"/>
      <c r="Y379" s="583">
        <f>IF(GLOBAL_DER_FEV_2023!W379=0,0,IF(GLOBAL_DER_FEV_2023!W379&gt;0,"c","b"))</f>
        <v>0</v>
      </c>
    </row>
    <row r="380" spans="1:25" ht="13.5" hidden="1" thickBot="1" x14ac:dyDescent="0.25">
      <c r="A380" s="317" t="s">
        <v>147</v>
      </c>
      <c r="B380" s="895" t="s">
        <v>147</v>
      </c>
      <c r="C380" s="896"/>
      <c r="D380" s="957" t="s">
        <v>230</v>
      </c>
      <c r="E380" s="907">
        <f>GLOBAL_DER_FEV_2023!E380</f>
        <v>353</v>
      </c>
      <c r="F380" s="908">
        <f>GLOBAL_DER_FEV_2023!F380</f>
        <v>0</v>
      </c>
      <c r="G380" s="909">
        <f>GLOBAL_DER_FEV_2023!G380</f>
        <v>0</v>
      </c>
      <c r="H380" s="901">
        <f>GLOBAL_DER_FEV_2023!H380</f>
        <v>0</v>
      </c>
      <c r="I380" s="901">
        <f>GLOBAL_DER_FEV_2023!I380</f>
        <v>0</v>
      </c>
      <c r="J380" s="902">
        <f>GLOBAL_DER_FEV_2023!J380</f>
        <v>0</v>
      </c>
      <c r="K380" s="958" t="s">
        <v>507</v>
      </c>
      <c r="L380" s="1003"/>
      <c r="M380" s="1157">
        <f t="shared" si="27"/>
        <v>0</v>
      </c>
      <c r="N380" s="893">
        <f t="shared" si="31"/>
        <v>0</v>
      </c>
      <c r="O380" s="905"/>
      <c r="P380" s="58" t="str">
        <f>IF(N378&gt;0,"xx",IF(N378&gt;0,"xy",""))</f>
        <v/>
      </c>
      <c r="Q380" s="317" t="str">
        <f t="shared" si="28"/>
        <v/>
      </c>
      <c r="R380" s="317" t="str">
        <f t="shared" si="29"/>
        <v/>
      </c>
      <c r="S380" s="317" t="str">
        <f t="shared" si="30"/>
        <v/>
      </c>
      <c r="T380" s="317" t="str">
        <f>GLOBAL_DER_FEV_2023!S380</f>
        <v/>
      </c>
      <c r="W380" s="582">
        <v>0</v>
      </c>
      <c r="X380" s="580"/>
      <c r="Y380" s="583">
        <f>IF(GLOBAL_DER_FEV_2023!W380=0,0,IF(GLOBAL_DER_FEV_2023!W380&gt;0,"c","b"))</f>
        <v>0</v>
      </c>
    </row>
    <row r="381" spans="1:25" ht="13.5" hidden="1" thickBot="1" x14ac:dyDescent="0.25">
      <c r="A381" s="317" t="s">
        <v>147</v>
      </c>
      <c r="B381" s="895" t="s">
        <v>147</v>
      </c>
      <c r="C381" s="896"/>
      <c r="D381" s="957" t="s">
        <v>243</v>
      </c>
      <c r="E381" s="907">
        <f>GLOBAL_DER_FEV_2023!E381</f>
        <v>0.2</v>
      </c>
      <c r="F381" s="908">
        <f>GLOBAL_DER_FEV_2023!F381</f>
        <v>0.94</v>
      </c>
      <c r="G381" s="949">
        <f>GLOBAL_DER_FEV_2023!G381</f>
        <v>2.7203599999999999</v>
      </c>
      <c r="H381" s="901">
        <f>GLOBAL_DER_FEV_2023!H381</f>
        <v>0</v>
      </c>
      <c r="I381" s="901">
        <f>GLOBAL_DER_FEV_2023!I381</f>
        <v>0</v>
      </c>
      <c r="J381" s="902">
        <f>GLOBAL_DER_FEV_2023!J381</f>
        <v>0</v>
      </c>
      <c r="K381" s="958" t="s">
        <v>507</v>
      </c>
      <c r="L381" s="1003"/>
      <c r="M381" s="1157">
        <f t="shared" si="27"/>
        <v>0</v>
      </c>
      <c r="N381" s="893">
        <f t="shared" si="31"/>
        <v>0</v>
      </c>
      <c r="O381" s="905"/>
      <c r="P381" s="58" t="str">
        <f>IF(N378&gt;0,"xx",IF(N378&gt;0,"xy",""))</f>
        <v/>
      </c>
      <c r="Q381" s="317" t="str">
        <f t="shared" si="28"/>
        <v/>
      </c>
      <c r="R381" s="317" t="str">
        <f t="shared" si="29"/>
        <v/>
      </c>
      <c r="S381" s="317" t="str">
        <f t="shared" si="30"/>
        <v/>
      </c>
      <c r="T381" s="317" t="str">
        <f>GLOBAL_DER_FEV_2023!S381</f>
        <v/>
      </c>
      <c r="W381" s="582">
        <v>0</v>
      </c>
      <c r="X381" s="580"/>
      <c r="Y381" s="583">
        <f>IF(GLOBAL_DER_FEV_2023!W381=0,0,IF(GLOBAL_DER_FEV_2023!W381&gt;0,"c","b"))</f>
        <v>0</v>
      </c>
    </row>
    <row r="382" spans="1:25" ht="13.5" hidden="1" thickBot="1" x14ac:dyDescent="0.25">
      <c r="A382" s="317" t="s">
        <v>147</v>
      </c>
      <c r="B382" s="895" t="s">
        <v>147</v>
      </c>
      <c r="C382" s="896"/>
      <c r="D382" s="957" t="s">
        <v>244</v>
      </c>
      <c r="E382" s="907">
        <f>GLOBAL_DER_FEV_2023!E382</f>
        <v>22</v>
      </c>
      <c r="F382" s="908">
        <f>GLOBAL_DER_FEV_2023!F382</f>
        <v>1</v>
      </c>
      <c r="G382" s="912">
        <f>GLOBAL_DER_FEV_2023!G382</f>
        <v>29.990000000000002</v>
      </c>
      <c r="H382" s="901">
        <f>GLOBAL_DER_FEV_2023!H382</f>
        <v>0</v>
      </c>
      <c r="I382" s="901">
        <f>GLOBAL_DER_FEV_2023!I382</f>
        <v>0</v>
      </c>
      <c r="J382" s="902">
        <f>GLOBAL_DER_FEV_2023!J382</f>
        <v>0</v>
      </c>
      <c r="K382" s="958" t="s">
        <v>507</v>
      </c>
      <c r="L382" s="1003"/>
      <c r="M382" s="1157">
        <f t="shared" si="27"/>
        <v>0</v>
      </c>
      <c r="N382" s="893">
        <f t="shared" si="31"/>
        <v>0</v>
      </c>
      <c r="O382" s="905"/>
      <c r="P382" s="58" t="str">
        <f>IF(N378&gt;0,"xx",IF(N378&gt;0,"xy",""))</f>
        <v/>
      </c>
      <c r="Q382" s="317" t="str">
        <f t="shared" si="28"/>
        <v/>
      </c>
      <c r="R382" s="317" t="str">
        <f t="shared" si="29"/>
        <v/>
      </c>
      <c r="S382" s="317" t="str">
        <f t="shared" si="30"/>
        <v/>
      </c>
      <c r="T382" s="317" t="str">
        <f>GLOBAL_DER_FEV_2023!S382</f>
        <v/>
      </c>
      <c r="W382" s="582">
        <v>0</v>
      </c>
      <c r="X382" s="580"/>
      <c r="Y382" s="583">
        <f>IF(GLOBAL_DER_FEV_2023!W382=0,0,IF(GLOBAL_DER_FEV_2023!W382&gt;0,"c","b"))</f>
        <v>0</v>
      </c>
    </row>
    <row r="383" spans="1:25" ht="13.5" hidden="1" thickBot="1" x14ac:dyDescent="0.25">
      <c r="A383" s="317">
        <v>589000</v>
      </c>
      <c r="B383" s="1004" t="s">
        <v>713</v>
      </c>
      <c r="C383" s="984" t="s">
        <v>213</v>
      </c>
      <c r="D383" s="1012" t="s">
        <v>2172</v>
      </c>
      <c r="E383" s="1005">
        <f>GLOBAL_DER_FEV_2023!E383</f>
        <v>45</v>
      </c>
      <c r="F383" s="1006">
        <f>GLOBAL_DER_FEV_2023!F383</f>
        <v>1</v>
      </c>
      <c r="G383" s="949">
        <f>GLOBAL_DER_FEV_2023!G383</f>
        <v>88.36</v>
      </c>
      <c r="H383" s="988">
        <f>GLOBAL_DER_FEV_2023!H383</f>
        <v>4828.8599999999997</v>
      </c>
      <c r="I383" s="988">
        <f>GLOBAL_DER_FEV_2023!I383</f>
        <v>4724.580378112767</v>
      </c>
      <c r="J383" s="989">
        <f>GLOBAL_DER_FEV_2023!J383</f>
        <v>5672.8</v>
      </c>
      <c r="K383" s="990" t="s">
        <v>14</v>
      </c>
      <c r="L383" s="1154">
        <f>ROUND(L378*$F378,2)</f>
        <v>0</v>
      </c>
      <c r="M383" s="1159">
        <f t="shared" si="27"/>
        <v>0</v>
      </c>
      <c r="N383" s="993">
        <f t="shared" si="31"/>
        <v>0</v>
      </c>
      <c r="O383" s="905"/>
      <c r="P383" s="58" t="str">
        <f>IF(N378&gt;0,"xx",IF(N378&gt;0,"xy",""))</f>
        <v/>
      </c>
      <c r="Q383" s="317" t="str">
        <f t="shared" si="28"/>
        <v/>
      </c>
      <c r="R383" s="317" t="str">
        <f t="shared" si="29"/>
        <v/>
      </c>
      <c r="S383" s="317" t="str">
        <f t="shared" si="30"/>
        <v/>
      </c>
      <c r="T383" s="317" t="str">
        <f>GLOBAL_DER_FEV_2023!S383</f>
        <v/>
      </c>
      <c r="W383" s="582">
        <v>0</v>
      </c>
      <c r="X383" s="580"/>
      <c r="Y383" s="583">
        <f>IF(GLOBAL_DER_FEV_2023!W383=0,0,IF(GLOBAL_DER_FEV_2023!W383&gt;0,"c","b"))</f>
        <v>0</v>
      </c>
    </row>
    <row r="384" spans="1:25" ht="13.5" hidden="1" thickBot="1" x14ac:dyDescent="0.25">
      <c r="A384" s="317">
        <v>570200</v>
      </c>
      <c r="B384" s="999">
        <f>GLOBAL_DER_FEV_2023!B384</f>
        <v>570200</v>
      </c>
      <c r="C384" s="1000" t="str">
        <f>GLOBAL_DER_FEV_2023!C384</f>
        <v>DER</v>
      </c>
      <c r="D384" s="1024" t="str">
        <f>GLOBAL_DER_FEV_2023!D384</f>
        <v>CBUQ - Novos Traços - BINDER 2 - novo traço (Quantidade menor que 10.000 ton)</v>
      </c>
      <c r="E384" s="974" t="str">
        <f>GLOBAL_DER_FEV_2023!E384</f>
        <v>taxa CAP</v>
      </c>
      <c r="F384" s="1022">
        <f>GLOBAL_DER_FEV_2023!F384</f>
        <v>4.3999999999999997E-2</v>
      </c>
      <c r="G384" s="976">
        <f>GLOBAL_DER_FEV_2023!G384</f>
        <v>35.0487538</v>
      </c>
      <c r="H384" s="977">
        <f>GLOBAL_DER_FEV_2023!H384</f>
        <v>181.43</v>
      </c>
      <c r="I384" s="977">
        <f>GLOBAL_DER_FEV_2023!I384</f>
        <v>216.47875379999999</v>
      </c>
      <c r="J384" s="978">
        <f>GLOBAL_DER_FEV_2023!J384</f>
        <v>259.93</v>
      </c>
      <c r="K384" s="979" t="s">
        <v>14</v>
      </c>
      <c r="L384" s="1152"/>
      <c r="M384" s="1153">
        <f t="shared" si="27"/>
        <v>0</v>
      </c>
      <c r="N384" s="982">
        <f t="shared" si="31"/>
        <v>0</v>
      </c>
      <c r="O384" s="905"/>
      <c r="Q384" s="317" t="str">
        <f t="shared" si="28"/>
        <v/>
      </c>
      <c r="R384" s="317" t="str">
        <f t="shared" si="29"/>
        <v/>
      </c>
      <c r="S384" s="317" t="str">
        <f t="shared" si="30"/>
        <v/>
      </c>
      <c r="T384" s="317" t="str">
        <f>GLOBAL_DER_FEV_2023!S384</f>
        <v/>
      </c>
      <c r="W384" s="582">
        <v>0</v>
      </c>
      <c r="X384" s="580"/>
      <c r="Y384" s="583">
        <f>IF(GLOBAL_DER_FEV_2023!W384=0,0,IF(GLOBAL_DER_FEV_2023!W384&gt;0,"c","b"))</f>
        <v>0</v>
      </c>
    </row>
    <row r="385" spans="1:25" ht="13.5" hidden="1" thickBot="1" x14ac:dyDescent="0.25">
      <c r="A385" s="317" t="s">
        <v>147</v>
      </c>
      <c r="B385" s="895" t="str">
        <f>GLOBAL_DER_FEV_2023!B385</f>
        <v>transporte</v>
      </c>
      <c r="C385" s="896">
        <f>GLOBAL_DER_FEV_2023!C385</f>
        <v>0</v>
      </c>
      <c r="D385" s="957" t="str">
        <f>GLOBAL_DER_FEV_2023!D385</f>
        <v>Areia</v>
      </c>
      <c r="E385" s="907">
        <f>GLOBAL_DER_FEV_2023!E385</f>
        <v>150</v>
      </c>
      <c r="F385" s="1287">
        <f>GLOBAL_DER_FEV_2023!F385</f>
        <v>1.43E-2</v>
      </c>
      <c r="G385" s="949">
        <f>GLOBAL_DER_FEV_2023!G385</f>
        <v>2.3334740000000003</v>
      </c>
      <c r="H385" s="901">
        <f>GLOBAL_DER_FEV_2023!H385</f>
        <v>0</v>
      </c>
      <c r="I385" s="901">
        <f>GLOBAL_DER_FEV_2023!I385</f>
        <v>0</v>
      </c>
      <c r="J385" s="902">
        <f>GLOBAL_DER_FEV_2023!J385</f>
        <v>0</v>
      </c>
      <c r="K385" s="958" t="s">
        <v>507</v>
      </c>
      <c r="L385" s="1003"/>
      <c r="M385" s="1157">
        <f t="shared" si="27"/>
        <v>0</v>
      </c>
      <c r="N385" s="893">
        <f t="shared" si="31"/>
        <v>0</v>
      </c>
      <c r="O385" s="905"/>
      <c r="P385" s="58" t="str">
        <f>IF(N384&gt;0,"xx",IF(N384&gt;0,"xy",""))</f>
        <v/>
      </c>
      <c r="Q385" s="317" t="str">
        <f t="shared" si="28"/>
        <v/>
      </c>
      <c r="R385" s="317" t="str">
        <f t="shared" si="29"/>
        <v/>
      </c>
      <c r="S385" s="317" t="str">
        <f t="shared" si="30"/>
        <v/>
      </c>
      <c r="T385" s="317" t="str">
        <f>GLOBAL_DER_FEV_2023!S385</f>
        <v/>
      </c>
      <c r="W385" s="582">
        <v>0</v>
      </c>
      <c r="X385" s="580"/>
      <c r="Y385" s="583">
        <f>IF(GLOBAL_DER_FEV_2023!W385=0,0,IF(GLOBAL_DER_FEV_2023!W385&gt;0,"c","b"))</f>
        <v>0</v>
      </c>
    </row>
    <row r="386" spans="1:25" ht="13.5" hidden="1" thickBot="1" x14ac:dyDescent="0.25">
      <c r="A386" s="317" t="s">
        <v>147</v>
      </c>
      <c r="B386" s="895" t="str">
        <f>GLOBAL_DER_FEV_2023!B386</f>
        <v>transporte</v>
      </c>
      <c r="C386" s="896">
        <f>GLOBAL_DER_FEV_2023!C386</f>
        <v>0</v>
      </c>
      <c r="D386" s="957" t="str">
        <f>GLOBAL_DER_FEV_2023!D386</f>
        <v>Cal Hidratada CH-1</v>
      </c>
      <c r="E386" s="907">
        <f>GLOBAL_DER_FEV_2023!E386</f>
        <v>353</v>
      </c>
      <c r="F386" s="1287">
        <f>GLOBAL_DER_FEV_2023!F386</f>
        <v>0</v>
      </c>
      <c r="G386" s="909">
        <f>GLOBAL_DER_FEV_2023!G386</f>
        <v>0</v>
      </c>
      <c r="H386" s="901">
        <f>GLOBAL_DER_FEV_2023!H386</f>
        <v>0</v>
      </c>
      <c r="I386" s="901">
        <f>GLOBAL_DER_FEV_2023!I386</f>
        <v>0</v>
      </c>
      <c r="J386" s="902">
        <f>GLOBAL_DER_FEV_2023!J386</f>
        <v>0</v>
      </c>
      <c r="K386" s="958" t="s">
        <v>507</v>
      </c>
      <c r="L386" s="1003"/>
      <c r="M386" s="1157">
        <f t="shared" si="27"/>
        <v>0</v>
      </c>
      <c r="N386" s="893">
        <f t="shared" si="31"/>
        <v>0</v>
      </c>
      <c r="O386" s="905"/>
      <c r="P386" s="58" t="str">
        <f>IF(N384&gt;0,"xx",IF(N384&gt;0,"xy",""))</f>
        <v/>
      </c>
      <c r="Q386" s="317" t="str">
        <f t="shared" si="28"/>
        <v/>
      </c>
      <c r="R386" s="317" t="str">
        <f t="shared" si="29"/>
        <v/>
      </c>
      <c r="S386" s="317" t="str">
        <f t="shared" si="30"/>
        <v/>
      </c>
      <c r="T386" s="317" t="str">
        <f>GLOBAL_DER_FEV_2023!S386</f>
        <v/>
      </c>
      <c r="W386" s="582">
        <v>0</v>
      </c>
      <c r="X386" s="580"/>
      <c r="Y386" s="583">
        <f>IF(GLOBAL_DER_FEV_2023!W386=0,0,IF(GLOBAL_DER_FEV_2023!W386&gt;0,"c","b"))</f>
        <v>0</v>
      </c>
    </row>
    <row r="387" spans="1:25" ht="13.5" hidden="1" thickBot="1" x14ac:dyDescent="0.25">
      <c r="A387" s="317" t="s">
        <v>147</v>
      </c>
      <c r="B387" s="895" t="str">
        <f>GLOBAL_DER_FEV_2023!B387</f>
        <v>transporte</v>
      </c>
      <c r="C387" s="896">
        <f>GLOBAL_DER_FEV_2023!C387</f>
        <v>0</v>
      </c>
      <c r="D387" s="957" t="str">
        <f>GLOBAL_DER_FEV_2023!D387</f>
        <v>Brita ( usina )</v>
      </c>
      <c r="E387" s="907">
        <f>GLOBAL_DER_FEV_2023!E387</f>
        <v>0.2</v>
      </c>
      <c r="F387" s="1287">
        <f>GLOBAL_DER_FEV_2023!F387</f>
        <v>0.94169999999999998</v>
      </c>
      <c r="G387" s="949">
        <f>GLOBAL_DER_FEV_2023!G387</f>
        <v>2.7252798</v>
      </c>
      <c r="H387" s="901">
        <f>GLOBAL_DER_FEV_2023!H387</f>
        <v>0</v>
      </c>
      <c r="I387" s="901">
        <f>GLOBAL_DER_FEV_2023!I387</f>
        <v>0</v>
      </c>
      <c r="J387" s="902">
        <f>GLOBAL_DER_FEV_2023!J387</f>
        <v>0</v>
      </c>
      <c r="K387" s="958" t="s">
        <v>507</v>
      </c>
      <c r="L387" s="1003"/>
      <c r="M387" s="1157">
        <f t="shared" si="27"/>
        <v>0</v>
      </c>
      <c r="N387" s="893">
        <f t="shared" si="31"/>
        <v>0</v>
      </c>
      <c r="O387" s="905"/>
      <c r="P387" s="58" t="str">
        <f>IF(N384&gt;0,"xx",IF(N384&gt;0,"xy",""))</f>
        <v/>
      </c>
      <c r="Q387" s="317" t="str">
        <f t="shared" si="28"/>
        <v/>
      </c>
      <c r="R387" s="317" t="str">
        <f t="shared" si="29"/>
        <v/>
      </c>
      <c r="S387" s="317" t="str">
        <f t="shared" si="30"/>
        <v/>
      </c>
      <c r="T387" s="317" t="str">
        <f>GLOBAL_DER_FEV_2023!S387</f>
        <v/>
      </c>
      <c r="W387" s="582">
        <v>0</v>
      </c>
      <c r="X387" s="580"/>
      <c r="Y387" s="583">
        <f>IF(GLOBAL_DER_FEV_2023!W387=0,0,IF(GLOBAL_DER_FEV_2023!W387&gt;0,"c","b"))</f>
        <v>0</v>
      </c>
    </row>
    <row r="388" spans="1:25" ht="13.5" hidden="1" thickBot="1" x14ac:dyDescent="0.25">
      <c r="A388" s="317" t="s">
        <v>147</v>
      </c>
      <c r="B388" s="895" t="str">
        <f>GLOBAL_DER_FEV_2023!B388</f>
        <v>transporte</v>
      </c>
      <c r="C388" s="896">
        <f>GLOBAL_DER_FEV_2023!C388</f>
        <v>0</v>
      </c>
      <c r="D388" s="957" t="str">
        <f>GLOBAL_DER_FEV_2023!D388</f>
        <v>Massa</v>
      </c>
      <c r="E388" s="907">
        <f>GLOBAL_DER_FEV_2023!E388</f>
        <v>22</v>
      </c>
      <c r="F388" s="1287">
        <f>GLOBAL_DER_FEV_2023!F388</f>
        <v>1</v>
      </c>
      <c r="G388" s="912">
        <f>GLOBAL_DER_FEV_2023!G388</f>
        <v>29.990000000000002</v>
      </c>
      <c r="H388" s="901">
        <f>GLOBAL_DER_FEV_2023!H388</f>
        <v>0</v>
      </c>
      <c r="I388" s="901">
        <f>GLOBAL_DER_FEV_2023!I388</f>
        <v>0</v>
      </c>
      <c r="J388" s="902">
        <f>GLOBAL_DER_FEV_2023!J388</f>
        <v>0</v>
      </c>
      <c r="K388" s="958" t="s">
        <v>507</v>
      </c>
      <c r="L388" s="1003"/>
      <c r="M388" s="1157">
        <f t="shared" si="27"/>
        <v>0</v>
      </c>
      <c r="N388" s="893">
        <f t="shared" si="31"/>
        <v>0</v>
      </c>
      <c r="O388" s="905"/>
      <c r="P388" s="58" t="str">
        <f>IF(N384&gt;0,"xx",IF(N384&gt;0,"xy",""))</f>
        <v/>
      </c>
      <c r="Q388" s="317" t="str">
        <f t="shared" si="28"/>
        <v/>
      </c>
      <c r="R388" s="317" t="str">
        <f t="shared" si="29"/>
        <v/>
      </c>
      <c r="S388" s="317" t="str">
        <f t="shared" si="30"/>
        <v/>
      </c>
      <c r="T388" s="317" t="str">
        <f>GLOBAL_DER_FEV_2023!S388</f>
        <v/>
      </c>
      <c r="W388" s="582">
        <v>0</v>
      </c>
      <c r="X388" s="580"/>
      <c r="Y388" s="583">
        <f>IF(GLOBAL_DER_FEV_2023!W388=0,0,IF(GLOBAL_DER_FEV_2023!W388&gt;0,"c","b"))</f>
        <v>0</v>
      </c>
    </row>
    <row r="389" spans="1:25" ht="13.5" hidden="1" thickBot="1" x14ac:dyDescent="0.25">
      <c r="A389" s="317">
        <v>589000</v>
      </c>
      <c r="B389" s="1004" t="str">
        <f>GLOBAL_DER_FEV_2023!B389</f>
        <v>589000F</v>
      </c>
      <c r="C389" s="984" t="str">
        <f>GLOBAL_DER_FEV_2023!C389</f>
        <v>DER mat</v>
      </c>
      <c r="D389" s="1012" t="str">
        <f>GLOBAL_DER_FEV_2023!D389</f>
        <v>Fornecimento de CAP - CBUQ (Quantidade menor que 10.000 ton)</v>
      </c>
      <c r="E389" s="1005">
        <f>GLOBAL_DER_FEV_2023!E389</f>
        <v>45</v>
      </c>
      <c r="F389" s="1006">
        <f>GLOBAL_DER_FEV_2023!F389</f>
        <v>1</v>
      </c>
      <c r="G389" s="949">
        <f>GLOBAL_DER_FEV_2023!G389</f>
        <v>88.36</v>
      </c>
      <c r="H389" s="988">
        <f>GLOBAL_DER_FEV_2023!H389</f>
        <v>4828.8599999999997</v>
      </c>
      <c r="I389" s="988">
        <f>GLOBAL_DER_FEV_2023!I389</f>
        <v>4724.580378112767</v>
      </c>
      <c r="J389" s="989">
        <f>GLOBAL_DER_FEV_2023!J389</f>
        <v>5672.8</v>
      </c>
      <c r="K389" s="990" t="s">
        <v>14</v>
      </c>
      <c r="L389" s="1154">
        <f>ROUND(L384*$F384,2)</f>
        <v>0</v>
      </c>
      <c r="M389" s="1159">
        <f t="shared" si="27"/>
        <v>0</v>
      </c>
      <c r="N389" s="993">
        <f t="shared" si="31"/>
        <v>0</v>
      </c>
      <c r="O389" s="905"/>
      <c r="P389" s="58" t="str">
        <f>IF(N384&gt;0,"xx",IF(N384&gt;0,"xy",""))</f>
        <v/>
      </c>
      <c r="Q389" s="317" t="str">
        <f t="shared" si="28"/>
        <v/>
      </c>
      <c r="R389" s="317" t="str">
        <f t="shared" si="29"/>
        <v/>
      </c>
      <c r="S389" s="317" t="str">
        <f t="shared" si="30"/>
        <v/>
      </c>
      <c r="T389" s="317" t="str">
        <f>GLOBAL_DER_FEV_2023!S389</f>
        <v/>
      </c>
      <c r="W389" s="582">
        <v>0</v>
      </c>
      <c r="X389" s="580"/>
      <c r="Y389" s="583">
        <f>IF(GLOBAL_DER_FEV_2023!W389=0,0,IF(GLOBAL_DER_FEV_2023!W389&gt;0,"c","b"))</f>
        <v>0</v>
      </c>
    </row>
    <row r="390" spans="1:25" ht="13.5" hidden="1" thickBot="1" x14ac:dyDescent="0.25">
      <c r="A390" s="317">
        <v>570200</v>
      </c>
      <c r="B390" s="999">
        <f>GLOBAL_DER_FEV_2023!B390</f>
        <v>570200</v>
      </c>
      <c r="C390" s="1000" t="str">
        <f>GLOBAL_DER_FEV_2023!C390</f>
        <v>DER</v>
      </c>
      <c r="D390" s="1024" t="str">
        <f>GLOBAL_DER_FEV_2023!D390</f>
        <v>CBUQ -  Novos Traços - BINDER 3 - novo traço (Quantidade menor que 10.000 ton)</v>
      </c>
      <c r="E390" s="974" t="str">
        <f>GLOBAL_DER_FEV_2023!E390</f>
        <v>taxa CAP</v>
      </c>
      <c r="F390" s="1022">
        <f>Novos_Traços_CBUQ!M141</f>
        <v>4.2999999999999997E-2</v>
      </c>
      <c r="G390" s="976">
        <f>GLOBAL_DER_FEV_2023!G390</f>
        <v>35.067676400000003</v>
      </c>
      <c r="H390" s="977">
        <f>GLOBAL_DER_FEV_2023!H390</f>
        <v>181.43</v>
      </c>
      <c r="I390" s="977">
        <f>GLOBAL_DER_FEV_2023!I390</f>
        <v>216.49767640000002</v>
      </c>
      <c r="J390" s="978">
        <f>GLOBAL_DER_FEV_2023!J390</f>
        <v>259.95</v>
      </c>
      <c r="K390" s="979" t="s">
        <v>14</v>
      </c>
      <c r="L390" s="1152"/>
      <c r="M390" s="1153">
        <f t="shared" si="27"/>
        <v>0</v>
      </c>
      <c r="N390" s="982">
        <f t="shared" si="31"/>
        <v>0</v>
      </c>
      <c r="O390" s="905"/>
      <c r="Q390" s="317" t="str">
        <f t="shared" si="28"/>
        <v/>
      </c>
      <c r="R390" s="317" t="str">
        <f t="shared" si="29"/>
        <v/>
      </c>
      <c r="S390" s="317" t="str">
        <f t="shared" si="30"/>
        <v/>
      </c>
      <c r="T390" s="317" t="str">
        <f>GLOBAL_DER_FEV_2023!S390</f>
        <v/>
      </c>
      <c r="W390" s="582">
        <v>0</v>
      </c>
      <c r="X390" s="580"/>
      <c r="Y390" s="583">
        <f>IF(GLOBAL_DER_FEV_2023!W390=0,0,IF(GLOBAL_DER_FEV_2023!W390&gt;0,"c","b"))</f>
        <v>0</v>
      </c>
    </row>
    <row r="391" spans="1:25" ht="13.5" hidden="1" thickBot="1" x14ac:dyDescent="0.25">
      <c r="A391" s="317" t="s">
        <v>147</v>
      </c>
      <c r="B391" s="895" t="str">
        <f>GLOBAL_DER_FEV_2023!B391</f>
        <v>transporte</v>
      </c>
      <c r="C391" s="896">
        <f>GLOBAL_DER_FEV_2023!C391</f>
        <v>0</v>
      </c>
      <c r="D391" s="957" t="str">
        <f>GLOBAL_DER_FEV_2023!D391</f>
        <v>Areia</v>
      </c>
      <c r="E391" s="907">
        <f>GLOBAL_DER_FEV_2023!E391</f>
        <v>150</v>
      </c>
      <c r="F391" s="1287">
        <f>Novos_Traços_CBUQ!M139</f>
        <v>1.44E-2</v>
      </c>
      <c r="G391" s="949">
        <f>GLOBAL_DER_FEV_2023!G391</f>
        <v>2.3497919999999999</v>
      </c>
      <c r="H391" s="901">
        <f>GLOBAL_DER_FEV_2023!H391</f>
        <v>0</v>
      </c>
      <c r="I391" s="901">
        <f>GLOBAL_DER_FEV_2023!I391</f>
        <v>0</v>
      </c>
      <c r="J391" s="902">
        <f>GLOBAL_DER_FEV_2023!J391</f>
        <v>0</v>
      </c>
      <c r="K391" s="958" t="s">
        <v>507</v>
      </c>
      <c r="L391" s="1003"/>
      <c r="M391" s="1157">
        <f t="shared" si="27"/>
        <v>0</v>
      </c>
      <c r="N391" s="893">
        <f t="shared" si="31"/>
        <v>0</v>
      </c>
      <c r="O391" s="905"/>
      <c r="P391" s="58" t="str">
        <f>IF(N390&gt;0,"xx",IF(N390&gt;0,"xy",""))</f>
        <v/>
      </c>
      <c r="Q391" s="317" t="str">
        <f t="shared" si="28"/>
        <v/>
      </c>
      <c r="R391" s="317" t="str">
        <f t="shared" si="29"/>
        <v/>
      </c>
      <c r="S391" s="317" t="str">
        <f t="shared" si="30"/>
        <v/>
      </c>
      <c r="T391" s="317" t="str">
        <f>GLOBAL_DER_FEV_2023!S391</f>
        <v/>
      </c>
      <c r="W391" s="582">
        <v>0</v>
      </c>
      <c r="X391" s="580"/>
      <c r="Y391" s="583">
        <f>IF(GLOBAL_DER_FEV_2023!W391=0,0,IF(GLOBAL_DER_FEV_2023!W391&gt;0,"c","b"))</f>
        <v>0</v>
      </c>
    </row>
    <row r="392" spans="1:25" ht="13.5" hidden="1" thickBot="1" x14ac:dyDescent="0.25">
      <c r="A392" s="317" t="s">
        <v>147</v>
      </c>
      <c r="B392" s="895" t="str">
        <f>GLOBAL_DER_FEV_2023!B392</f>
        <v>transporte</v>
      </c>
      <c r="C392" s="896">
        <f>GLOBAL_DER_FEV_2023!C392</f>
        <v>0</v>
      </c>
      <c r="D392" s="957" t="str">
        <f>GLOBAL_DER_FEV_2023!D392</f>
        <v>Cal Hidratada CH-1</v>
      </c>
      <c r="E392" s="907">
        <f>GLOBAL_DER_FEV_2023!E392</f>
        <v>353</v>
      </c>
      <c r="F392" s="1287">
        <f>Novos_Traços_CBUQ!M140</f>
        <v>0</v>
      </c>
      <c r="G392" s="909">
        <f>GLOBAL_DER_FEV_2023!G392</f>
        <v>0</v>
      </c>
      <c r="H392" s="901">
        <f>GLOBAL_DER_FEV_2023!H392</f>
        <v>0</v>
      </c>
      <c r="I392" s="901">
        <f>GLOBAL_DER_FEV_2023!I392</f>
        <v>0</v>
      </c>
      <c r="J392" s="902">
        <f>GLOBAL_DER_FEV_2023!J392</f>
        <v>0</v>
      </c>
      <c r="K392" s="958" t="s">
        <v>507</v>
      </c>
      <c r="L392" s="1003"/>
      <c r="M392" s="1157">
        <f t="shared" si="27"/>
        <v>0</v>
      </c>
      <c r="N392" s="893">
        <f t="shared" si="31"/>
        <v>0</v>
      </c>
      <c r="O392" s="905"/>
      <c r="P392" s="58" t="str">
        <f>IF(N390&gt;0,"xx",IF(N390&gt;0,"xy",""))</f>
        <v/>
      </c>
      <c r="Q392" s="317" t="str">
        <f t="shared" si="28"/>
        <v/>
      </c>
      <c r="R392" s="317" t="str">
        <f t="shared" si="29"/>
        <v/>
      </c>
      <c r="S392" s="317" t="str">
        <f t="shared" si="30"/>
        <v/>
      </c>
      <c r="T392" s="317" t="str">
        <f>GLOBAL_DER_FEV_2023!S392</f>
        <v/>
      </c>
      <c r="W392" s="582">
        <v>0</v>
      </c>
      <c r="X392" s="580"/>
      <c r="Y392" s="583">
        <f>IF(GLOBAL_DER_FEV_2023!W392=0,0,IF(GLOBAL_DER_FEV_2023!W392&gt;0,"c","b"))</f>
        <v>0</v>
      </c>
    </row>
    <row r="393" spans="1:25" ht="13.5" hidden="1" thickBot="1" x14ac:dyDescent="0.25">
      <c r="A393" s="317" t="s">
        <v>147</v>
      </c>
      <c r="B393" s="895" t="str">
        <f>GLOBAL_DER_FEV_2023!B393</f>
        <v>transporte</v>
      </c>
      <c r="C393" s="896">
        <f>GLOBAL_DER_FEV_2023!C393</f>
        <v>0</v>
      </c>
      <c r="D393" s="957" t="str">
        <f>GLOBAL_DER_FEV_2023!D393</f>
        <v>Brita ( usina )</v>
      </c>
      <c r="E393" s="907">
        <f>GLOBAL_DER_FEV_2023!E393</f>
        <v>0.2</v>
      </c>
      <c r="F393" s="1287">
        <f>Novos_Traços_CBUQ!M137</f>
        <v>0.94259999999999999</v>
      </c>
      <c r="G393" s="949">
        <f>GLOBAL_DER_FEV_2023!G393</f>
        <v>2.7278844000000002</v>
      </c>
      <c r="H393" s="901">
        <f>GLOBAL_DER_FEV_2023!H393</f>
        <v>0</v>
      </c>
      <c r="I393" s="901">
        <f>GLOBAL_DER_FEV_2023!I393</f>
        <v>0</v>
      </c>
      <c r="J393" s="902">
        <f>GLOBAL_DER_FEV_2023!J393</f>
        <v>0</v>
      </c>
      <c r="K393" s="958" t="s">
        <v>507</v>
      </c>
      <c r="L393" s="1003"/>
      <c r="M393" s="1157">
        <f t="shared" si="27"/>
        <v>0</v>
      </c>
      <c r="N393" s="893">
        <f t="shared" si="31"/>
        <v>0</v>
      </c>
      <c r="O393" s="905"/>
      <c r="P393" s="58" t="str">
        <f>IF(N390&gt;0,"xx",IF(N390&gt;0,"xy",""))</f>
        <v/>
      </c>
      <c r="Q393" s="317" t="str">
        <f t="shared" si="28"/>
        <v/>
      </c>
      <c r="R393" s="317" t="str">
        <f t="shared" si="29"/>
        <v/>
      </c>
      <c r="S393" s="317" t="str">
        <f t="shared" si="30"/>
        <v/>
      </c>
      <c r="T393" s="317" t="str">
        <f>GLOBAL_DER_FEV_2023!S393</f>
        <v/>
      </c>
      <c r="W393" s="582">
        <v>0</v>
      </c>
      <c r="X393" s="580"/>
      <c r="Y393" s="583">
        <f>IF(GLOBAL_DER_FEV_2023!W393=0,0,IF(GLOBAL_DER_FEV_2023!W393&gt;0,"c","b"))</f>
        <v>0</v>
      </c>
    </row>
    <row r="394" spans="1:25" ht="13.5" hidden="1" thickBot="1" x14ac:dyDescent="0.25">
      <c r="A394" s="317" t="s">
        <v>147</v>
      </c>
      <c r="B394" s="895" t="str">
        <f>GLOBAL_DER_FEV_2023!B394</f>
        <v>transporte</v>
      </c>
      <c r="C394" s="896">
        <f>GLOBAL_DER_FEV_2023!C394</f>
        <v>0</v>
      </c>
      <c r="D394" s="957" t="str">
        <f>GLOBAL_DER_FEV_2023!D394</f>
        <v>Massa</v>
      </c>
      <c r="E394" s="907">
        <f>GLOBAL_DER_FEV_2023!E394</f>
        <v>22</v>
      </c>
      <c r="F394" s="1287">
        <f>GLOBAL_DER_FEV_2023!F394</f>
        <v>1</v>
      </c>
      <c r="G394" s="912">
        <f>GLOBAL_DER_FEV_2023!G394</f>
        <v>29.990000000000002</v>
      </c>
      <c r="H394" s="901">
        <f>GLOBAL_DER_FEV_2023!H394</f>
        <v>0</v>
      </c>
      <c r="I394" s="901">
        <f>GLOBAL_DER_FEV_2023!I394</f>
        <v>0</v>
      </c>
      <c r="J394" s="902">
        <f>GLOBAL_DER_FEV_2023!J394</f>
        <v>0</v>
      </c>
      <c r="K394" s="958" t="s">
        <v>507</v>
      </c>
      <c r="L394" s="1003"/>
      <c r="M394" s="1157">
        <f t="shared" si="27"/>
        <v>0</v>
      </c>
      <c r="N394" s="893">
        <f t="shared" si="31"/>
        <v>0</v>
      </c>
      <c r="O394" s="905"/>
      <c r="P394" s="58" t="str">
        <f>IF(N390&gt;0,"xx",IF(N390&gt;0,"xy",""))</f>
        <v/>
      </c>
      <c r="Q394" s="317" t="str">
        <f t="shared" si="28"/>
        <v/>
      </c>
      <c r="R394" s="317" t="str">
        <f t="shared" si="29"/>
        <v/>
      </c>
      <c r="S394" s="317" t="str">
        <f t="shared" si="30"/>
        <v/>
      </c>
      <c r="T394" s="317" t="str">
        <f>GLOBAL_DER_FEV_2023!S394</f>
        <v/>
      </c>
      <c r="W394" s="582">
        <v>0</v>
      </c>
      <c r="X394" s="580"/>
      <c r="Y394" s="583">
        <f>IF(GLOBAL_DER_FEV_2023!W394=0,0,IF(GLOBAL_DER_FEV_2023!W394&gt;0,"c","b"))</f>
        <v>0</v>
      </c>
    </row>
    <row r="395" spans="1:25" ht="13.5" hidden="1" thickBot="1" x14ac:dyDescent="0.25">
      <c r="A395" s="317">
        <v>589000</v>
      </c>
      <c r="B395" s="1004" t="str">
        <f>GLOBAL_DER_FEV_2023!B395</f>
        <v>589000F</v>
      </c>
      <c r="C395" s="984" t="str">
        <f>GLOBAL_DER_FEV_2023!C395</f>
        <v>DER mat</v>
      </c>
      <c r="D395" s="1012" t="str">
        <f>GLOBAL_DER_FEV_2023!D395</f>
        <v>Fornecimento de CAP - CBUQ (Quantidade menor que 10.000 ton)</v>
      </c>
      <c r="E395" s="1005">
        <f>GLOBAL_DER_FEV_2023!E395</f>
        <v>45</v>
      </c>
      <c r="F395" s="1006">
        <f>GLOBAL_DER_FEV_2023!F395</f>
        <v>1</v>
      </c>
      <c r="G395" s="949">
        <f>GLOBAL_DER_FEV_2023!G395</f>
        <v>88.36</v>
      </c>
      <c r="H395" s="988">
        <f>GLOBAL_DER_FEV_2023!H395</f>
        <v>4828.8599999999997</v>
      </c>
      <c r="I395" s="988">
        <f>GLOBAL_DER_FEV_2023!I395</f>
        <v>4724.580378112767</v>
      </c>
      <c r="J395" s="989">
        <f>GLOBAL_DER_FEV_2023!J395</f>
        <v>5672.8</v>
      </c>
      <c r="K395" s="990" t="s">
        <v>14</v>
      </c>
      <c r="L395" s="1154">
        <f>ROUND(L390*$F390,2)</f>
        <v>0</v>
      </c>
      <c r="M395" s="1159">
        <f t="shared" si="27"/>
        <v>0</v>
      </c>
      <c r="N395" s="993">
        <f t="shared" si="31"/>
        <v>0</v>
      </c>
      <c r="O395" s="905"/>
      <c r="P395" s="58" t="str">
        <f>IF(N390&gt;0,"xx",IF(N390&gt;0,"xy",""))</f>
        <v/>
      </c>
      <c r="Q395" s="317" t="str">
        <f t="shared" si="28"/>
        <v/>
      </c>
      <c r="R395" s="317" t="str">
        <f t="shared" si="29"/>
        <v/>
      </c>
      <c r="S395" s="317" t="str">
        <f t="shared" si="30"/>
        <v/>
      </c>
      <c r="T395" s="317" t="str">
        <f>GLOBAL_DER_FEV_2023!S395</f>
        <v/>
      </c>
      <c r="W395" s="582">
        <v>0</v>
      </c>
      <c r="X395" s="580"/>
      <c r="Y395" s="583">
        <f>IF(GLOBAL_DER_FEV_2023!W395=0,0,IF(GLOBAL_DER_FEV_2023!W395&gt;0,"c","b"))</f>
        <v>0</v>
      </c>
    </row>
    <row r="396" spans="1:25" ht="13.5" hidden="1" thickBot="1" x14ac:dyDescent="0.25">
      <c r="A396" s="317">
        <v>570210</v>
      </c>
      <c r="B396" s="999">
        <v>570210</v>
      </c>
      <c r="C396" s="1000" t="s">
        <v>184</v>
      </c>
      <c r="D396" s="1019" t="s">
        <v>2221</v>
      </c>
      <c r="E396" s="974" t="str">
        <f>GLOBAL_DER_FEV_2023!E396</f>
        <v>taxa CAP</v>
      </c>
      <c r="F396" s="975">
        <f>GLOBAL_DER_FEV_2023!F396</f>
        <v>4.4999999999999998E-2</v>
      </c>
      <c r="G396" s="976">
        <f>GLOBAL_DER_FEV_2023!G396</f>
        <v>35.158060000000006</v>
      </c>
      <c r="H396" s="977">
        <f>GLOBAL_DER_FEV_2023!H396</f>
        <v>161.52000000000001</v>
      </c>
      <c r="I396" s="977">
        <f>GLOBAL_DER_FEV_2023!I396</f>
        <v>196.67806000000002</v>
      </c>
      <c r="J396" s="978">
        <f>GLOBAL_DER_FEV_2023!J396</f>
        <v>236.15</v>
      </c>
      <c r="K396" s="979" t="s">
        <v>14</v>
      </c>
      <c r="L396" s="1152"/>
      <c r="M396" s="1153">
        <f t="shared" si="27"/>
        <v>0</v>
      </c>
      <c r="N396" s="982">
        <f t="shared" si="31"/>
        <v>0</v>
      </c>
      <c r="O396" s="905"/>
      <c r="Q396" s="317" t="str">
        <f t="shared" si="28"/>
        <v/>
      </c>
      <c r="R396" s="317" t="str">
        <f t="shared" si="29"/>
        <v/>
      </c>
      <c r="S396" s="317" t="str">
        <f t="shared" si="30"/>
        <v/>
      </c>
      <c r="T396" s="317" t="str">
        <f>GLOBAL_DER_FEV_2023!S396</f>
        <v/>
      </c>
      <c r="W396" s="582">
        <v>0</v>
      </c>
      <c r="X396" s="580"/>
      <c r="Y396" s="583">
        <f>IF(GLOBAL_DER_FEV_2023!W396=0,0,IF(GLOBAL_DER_FEV_2023!W396&gt;0,"c","b"))</f>
        <v>0</v>
      </c>
    </row>
    <row r="397" spans="1:25" ht="13.5" hidden="1" thickBot="1" x14ac:dyDescent="0.25">
      <c r="A397" s="317" t="s">
        <v>147</v>
      </c>
      <c r="B397" s="895" t="s">
        <v>147</v>
      </c>
      <c r="C397" s="896"/>
      <c r="D397" s="957" t="s">
        <v>229</v>
      </c>
      <c r="E397" s="907">
        <f>GLOBAL_DER_FEV_2023!E397</f>
        <v>150</v>
      </c>
      <c r="F397" s="908">
        <f>GLOBAL_DER_FEV_2023!F397</f>
        <v>1.4999999999999999E-2</v>
      </c>
      <c r="G397" s="949">
        <f>GLOBAL_DER_FEV_2023!G397</f>
        <v>2.4477000000000002</v>
      </c>
      <c r="H397" s="901">
        <f>GLOBAL_DER_FEV_2023!H397</f>
        <v>0</v>
      </c>
      <c r="I397" s="901">
        <f>GLOBAL_DER_FEV_2023!I397</f>
        <v>0</v>
      </c>
      <c r="J397" s="902">
        <f>GLOBAL_DER_FEV_2023!J397</f>
        <v>0</v>
      </c>
      <c r="K397" s="958" t="s">
        <v>507</v>
      </c>
      <c r="L397" s="1003"/>
      <c r="M397" s="1157">
        <f t="shared" si="27"/>
        <v>0</v>
      </c>
      <c r="N397" s="893">
        <f t="shared" si="31"/>
        <v>0</v>
      </c>
      <c r="O397" s="905"/>
      <c r="P397" s="58" t="str">
        <f>IF(N396&gt;0,"xx",IF(N396&gt;0,"xy",""))</f>
        <v/>
      </c>
      <c r="Q397" s="317" t="str">
        <f t="shared" si="28"/>
        <v/>
      </c>
      <c r="R397" s="317" t="str">
        <f t="shared" si="29"/>
        <v/>
      </c>
      <c r="S397" s="317" t="str">
        <f t="shared" si="30"/>
        <v/>
      </c>
      <c r="T397" s="317" t="str">
        <f>GLOBAL_DER_FEV_2023!S397</f>
        <v/>
      </c>
      <c r="W397" s="582">
        <v>0</v>
      </c>
      <c r="X397" s="580"/>
      <c r="Y397" s="583">
        <f>IF(GLOBAL_DER_FEV_2023!W397=0,0,IF(GLOBAL_DER_FEV_2023!W397&gt;0,"c","b"))</f>
        <v>0</v>
      </c>
    </row>
    <row r="398" spans="1:25" ht="13.5" hidden="1" thickBot="1" x14ac:dyDescent="0.25">
      <c r="A398" s="317" t="s">
        <v>147</v>
      </c>
      <c r="B398" s="895" t="s">
        <v>147</v>
      </c>
      <c r="C398" s="896"/>
      <c r="D398" s="957" t="s">
        <v>230</v>
      </c>
      <c r="E398" s="907">
        <f>GLOBAL_DER_FEV_2023!E398</f>
        <v>353</v>
      </c>
      <c r="F398" s="908">
        <f>GLOBAL_DER_FEV_2023!F398</f>
        <v>0</v>
      </c>
      <c r="G398" s="909">
        <f>GLOBAL_DER_FEV_2023!G398</f>
        <v>0</v>
      </c>
      <c r="H398" s="901">
        <f>GLOBAL_DER_FEV_2023!H398</f>
        <v>0</v>
      </c>
      <c r="I398" s="901">
        <f>GLOBAL_DER_FEV_2023!I398</f>
        <v>0</v>
      </c>
      <c r="J398" s="902">
        <f>GLOBAL_DER_FEV_2023!J398</f>
        <v>0</v>
      </c>
      <c r="K398" s="958" t="s">
        <v>507</v>
      </c>
      <c r="L398" s="1003"/>
      <c r="M398" s="1157">
        <f t="shared" si="27"/>
        <v>0</v>
      </c>
      <c r="N398" s="893">
        <f t="shared" si="31"/>
        <v>0</v>
      </c>
      <c r="O398" s="905"/>
      <c r="P398" s="58" t="str">
        <f>IF(N396&gt;0,"xx",IF(N396&gt;0,"xy",""))</f>
        <v/>
      </c>
      <c r="Q398" s="317" t="str">
        <f t="shared" si="28"/>
        <v/>
      </c>
      <c r="R398" s="317" t="str">
        <f t="shared" si="29"/>
        <v/>
      </c>
      <c r="S398" s="317" t="str">
        <f t="shared" si="30"/>
        <v/>
      </c>
      <c r="T398" s="317" t="str">
        <f>GLOBAL_DER_FEV_2023!S398</f>
        <v/>
      </c>
      <c r="W398" s="582">
        <v>0</v>
      </c>
      <c r="X398" s="580"/>
      <c r="Y398" s="583">
        <f>IF(GLOBAL_DER_FEV_2023!W398=0,0,IF(GLOBAL_DER_FEV_2023!W398&gt;0,"c","b"))</f>
        <v>0</v>
      </c>
    </row>
    <row r="399" spans="1:25" ht="13.5" hidden="1" thickBot="1" x14ac:dyDescent="0.25">
      <c r="A399" s="317" t="s">
        <v>147</v>
      </c>
      <c r="B399" s="895" t="s">
        <v>147</v>
      </c>
      <c r="C399" s="896"/>
      <c r="D399" s="957" t="s">
        <v>243</v>
      </c>
      <c r="E399" s="907">
        <f>GLOBAL_DER_FEV_2023!E399</f>
        <v>0.2</v>
      </c>
      <c r="F399" s="908">
        <f>GLOBAL_DER_FEV_2023!F399</f>
        <v>0.94</v>
      </c>
      <c r="G399" s="949">
        <f>GLOBAL_DER_FEV_2023!G399</f>
        <v>2.7203599999999999</v>
      </c>
      <c r="H399" s="901">
        <f>GLOBAL_DER_FEV_2023!H399</f>
        <v>0</v>
      </c>
      <c r="I399" s="901">
        <f>GLOBAL_DER_FEV_2023!I399</f>
        <v>0</v>
      </c>
      <c r="J399" s="902">
        <f>GLOBAL_DER_FEV_2023!J399</f>
        <v>0</v>
      </c>
      <c r="K399" s="958" t="s">
        <v>507</v>
      </c>
      <c r="L399" s="1003"/>
      <c r="M399" s="1157">
        <f t="shared" si="27"/>
        <v>0</v>
      </c>
      <c r="N399" s="893">
        <f t="shared" si="31"/>
        <v>0</v>
      </c>
      <c r="O399" s="905"/>
      <c r="P399" s="58" t="str">
        <f>IF(N396&gt;0,"xx",IF(N396&gt;0,"xy",""))</f>
        <v/>
      </c>
      <c r="Q399" s="317" t="str">
        <f t="shared" si="28"/>
        <v/>
      </c>
      <c r="R399" s="317" t="str">
        <f t="shared" si="29"/>
        <v/>
      </c>
      <c r="S399" s="317" t="str">
        <f t="shared" si="30"/>
        <v/>
      </c>
      <c r="T399" s="317" t="str">
        <f>GLOBAL_DER_FEV_2023!S399</f>
        <v/>
      </c>
      <c r="W399" s="582">
        <v>0</v>
      </c>
      <c r="X399" s="580"/>
      <c r="Y399" s="583">
        <f>IF(GLOBAL_DER_FEV_2023!W399=0,0,IF(GLOBAL_DER_FEV_2023!W399&gt;0,"c","b"))</f>
        <v>0</v>
      </c>
    </row>
    <row r="400" spans="1:25" ht="13.5" hidden="1" thickBot="1" x14ac:dyDescent="0.25">
      <c r="A400" s="317" t="s">
        <v>147</v>
      </c>
      <c r="B400" s="895" t="s">
        <v>147</v>
      </c>
      <c r="C400" s="896"/>
      <c r="D400" s="957" t="s">
        <v>244</v>
      </c>
      <c r="E400" s="907">
        <f>GLOBAL_DER_FEV_2023!E400</f>
        <v>22</v>
      </c>
      <c r="F400" s="908">
        <f>GLOBAL_DER_FEV_2023!F400</f>
        <v>1</v>
      </c>
      <c r="G400" s="912">
        <f>GLOBAL_DER_FEV_2023!G400</f>
        <v>29.990000000000002</v>
      </c>
      <c r="H400" s="901">
        <f>GLOBAL_DER_FEV_2023!H400</f>
        <v>0</v>
      </c>
      <c r="I400" s="901">
        <f>GLOBAL_DER_FEV_2023!I400</f>
        <v>0</v>
      </c>
      <c r="J400" s="902">
        <f>GLOBAL_DER_FEV_2023!J400</f>
        <v>0</v>
      </c>
      <c r="K400" s="958" t="s">
        <v>507</v>
      </c>
      <c r="L400" s="1003"/>
      <c r="M400" s="1157">
        <f t="shared" si="27"/>
        <v>0</v>
      </c>
      <c r="N400" s="893">
        <f t="shared" si="31"/>
        <v>0</v>
      </c>
      <c r="O400" s="905"/>
      <c r="P400" s="58" t="str">
        <f>IF(N396&gt;0,"xx",IF(N396&gt;0,"xy",""))</f>
        <v/>
      </c>
      <c r="Q400" s="317" t="str">
        <f t="shared" si="28"/>
        <v/>
      </c>
      <c r="R400" s="317" t="str">
        <f t="shared" si="29"/>
        <v/>
      </c>
      <c r="S400" s="317" t="str">
        <f t="shared" si="30"/>
        <v/>
      </c>
      <c r="T400" s="317" t="str">
        <f>GLOBAL_DER_FEV_2023!S400</f>
        <v/>
      </c>
      <c r="W400" s="582">
        <v>0</v>
      </c>
      <c r="X400" s="580"/>
      <c r="Y400" s="583">
        <f>IF(GLOBAL_DER_FEV_2023!W400=0,0,IF(GLOBAL_DER_FEV_2023!W400&gt;0,"c","b"))</f>
        <v>0</v>
      </c>
    </row>
    <row r="401" spans="1:25" ht="13.5" hidden="1" thickBot="1" x14ac:dyDescent="0.25">
      <c r="A401" s="317">
        <v>589000</v>
      </c>
      <c r="B401" s="1004" t="s">
        <v>714</v>
      </c>
      <c r="C401" s="984" t="s">
        <v>213</v>
      </c>
      <c r="D401" s="1012" t="s">
        <v>2172</v>
      </c>
      <c r="E401" s="1005">
        <f>GLOBAL_DER_FEV_2023!E401</f>
        <v>45</v>
      </c>
      <c r="F401" s="1006">
        <f>GLOBAL_DER_FEV_2023!F401</f>
        <v>1</v>
      </c>
      <c r="G401" s="949">
        <f>GLOBAL_DER_FEV_2023!G401</f>
        <v>88.36</v>
      </c>
      <c r="H401" s="988">
        <f>GLOBAL_DER_FEV_2023!H401</f>
        <v>4828.8599999999997</v>
      </c>
      <c r="I401" s="988">
        <f>GLOBAL_DER_FEV_2023!I401</f>
        <v>4724.580378112767</v>
      </c>
      <c r="J401" s="989">
        <f>GLOBAL_DER_FEV_2023!J401</f>
        <v>5672.8</v>
      </c>
      <c r="K401" s="990" t="s">
        <v>14</v>
      </c>
      <c r="L401" s="1154">
        <f>ROUND(L396*$F396,2)</f>
        <v>0</v>
      </c>
      <c r="M401" s="1159">
        <f t="shared" si="27"/>
        <v>0</v>
      </c>
      <c r="N401" s="993">
        <f t="shared" si="31"/>
        <v>0</v>
      </c>
      <c r="O401" s="905"/>
      <c r="P401" s="58" t="str">
        <f>IF(N396&gt;0,"xx",IF(N396&gt;0,"xy",""))</f>
        <v/>
      </c>
      <c r="Q401" s="317" t="str">
        <f t="shared" si="28"/>
        <v/>
      </c>
      <c r="R401" s="317" t="str">
        <f t="shared" si="29"/>
        <v/>
      </c>
      <c r="S401" s="317" t="str">
        <f t="shared" si="30"/>
        <v/>
      </c>
      <c r="T401" s="317" t="str">
        <f>GLOBAL_DER_FEV_2023!S401</f>
        <v/>
      </c>
      <c r="W401" s="582">
        <v>0</v>
      </c>
      <c r="X401" s="580"/>
      <c r="Y401" s="583">
        <f>IF(GLOBAL_DER_FEV_2023!W401=0,0,IF(GLOBAL_DER_FEV_2023!W401&gt;0,"c","b"))</f>
        <v>0</v>
      </c>
    </row>
    <row r="402" spans="1:25" ht="13.5" hidden="1" thickBot="1" x14ac:dyDescent="0.25">
      <c r="A402" s="317">
        <v>570000</v>
      </c>
      <c r="B402" s="999" t="s">
        <v>1651</v>
      </c>
      <c r="C402" s="1000" t="s">
        <v>184</v>
      </c>
      <c r="D402" s="973" t="s">
        <v>2222</v>
      </c>
      <c r="E402" s="974" t="str">
        <f>GLOBAL_DER_FEV_2023!E402</f>
        <v>taxa CAP</v>
      </c>
      <c r="F402" s="975">
        <f>GLOBAL_DER_FEV_2023!F402</f>
        <v>5.7000000000000002E-2</v>
      </c>
      <c r="G402" s="976">
        <f>GLOBAL_DER_FEV_2023!G402</f>
        <v>52.951632000000004</v>
      </c>
      <c r="H402" s="977">
        <f>GLOBAL_DER_FEV_2023!H402</f>
        <v>187.41</v>
      </c>
      <c r="I402" s="977">
        <f>GLOBAL_DER_FEV_2023!I402</f>
        <v>240.36163199999999</v>
      </c>
      <c r="J402" s="978">
        <f>GLOBAL_DER_FEV_2023!J402</f>
        <v>288.60000000000002</v>
      </c>
      <c r="K402" s="979" t="s">
        <v>14</v>
      </c>
      <c r="L402" s="1152"/>
      <c r="M402" s="1153">
        <f t="shared" si="27"/>
        <v>0</v>
      </c>
      <c r="N402" s="982">
        <f t="shared" si="31"/>
        <v>0</v>
      </c>
      <c r="O402" s="905"/>
      <c r="Q402" s="317" t="str">
        <f t="shared" si="28"/>
        <v/>
      </c>
      <c r="R402" s="317" t="str">
        <f t="shared" si="29"/>
        <v/>
      </c>
      <c r="S402" s="317" t="str">
        <f t="shared" si="30"/>
        <v/>
      </c>
      <c r="T402" s="317" t="str">
        <f>GLOBAL_DER_FEV_2023!S402</f>
        <v/>
      </c>
      <c r="W402" s="582">
        <v>0</v>
      </c>
      <c r="X402" s="580"/>
      <c r="Y402" s="583">
        <f>IF(GLOBAL_DER_FEV_2023!W402=0,0,IF(GLOBAL_DER_FEV_2023!W402&gt;0,"c","b"))</f>
        <v>0</v>
      </c>
    </row>
    <row r="403" spans="1:25" ht="13.5" hidden="1" thickBot="1" x14ac:dyDescent="0.25">
      <c r="A403" s="317" t="s">
        <v>147</v>
      </c>
      <c r="B403" s="895" t="s">
        <v>147</v>
      </c>
      <c r="C403" s="896"/>
      <c r="D403" s="957" t="s">
        <v>229</v>
      </c>
      <c r="E403" s="907">
        <f>GLOBAL_DER_FEV_2023!E403</f>
        <v>150</v>
      </c>
      <c r="F403" s="908">
        <f>GLOBAL_DER_FEV_2023!F403</f>
        <v>0.1</v>
      </c>
      <c r="G403" s="949">
        <f>GLOBAL_DER_FEV_2023!G403</f>
        <v>16.318000000000001</v>
      </c>
      <c r="H403" s="901">
        <f>GLOBAL_DER_FEV_2023!H403</f>
        <v>0</v>
      </c>
      <c r="I403" s="901">
        <f>GLOBAL_DER_FEV_2023!I403</f>
        <v>0</v>
      </c>
      <c r="J403" s="902">
        <f>GLOBAL_DER_FEV_2023!J403</f>
        <v>0</v>
      </c>
      <c r="K403" s="903" t="s">
        <v>507</v>
      </c>
      <c r="L403" s="1003"/>
      <c r="M403" s="1157">
        <f t="shared" si="27"/>
        <v>0</v>
      </c>
      <c r="N403" s="893">
        <f t="shared" si="31"/>
        <v>0</v>
      </c>
      <c r="O403" s="905"/>
      <c r="P403" s="58" t="str">
        <f>IF(N402&gt;0,"xx",IF(N402&gt;0,"xy",""))</f>
        <v/>
      </c>
      <c r="Q403" s="317" t="str">
        <f t="shared" si="28"/>
        <v/>
      </c>
      <c r="R403" s="317" t="str">
        <f t="shared" si="29"/>
        <v/>
      </c>
      <c r="S403" s="317" t="str">
        <f t="shared" si="30"/>
        <v/>
      </c>
      <c r="T403" s="317" t="str">
        <f>GLOBAL_DER_FEV_2023!S403</f>
        <v/>
      </c>
      <c r="W403" s="582">
        <v>0</v>
      </c>
      <c r="X403" s="580"/>
      <c r="Y403" s="583">
        <f>IF(GLOBAL_DER_FEV_2023!W403=0,0,IF(GLOBAL_DER_FEV_2023!W403&gt;0,"c","b"))</f>
        <v>0</v>
      </c>
    </row>
    <row r="404" spans="1:25" ht="13.5" hidden="1" thickBot="1" x14ac:dyDescent="0.25">
      <c r="A404" s="317" t="s">
        <v>147</v>
      </c>
      <c r="B404" s="895" t="s">
        <v>147</v>
      </c>
      <c r="C404" s="896"/>
      <c r="D404" s="957" t="s">
        <v>230</v>
      </c>
      <c r="E404" s="907">
        <f>GLOBAL_DER_FEV_2023!E404</f>
        <v>353</v>
      </c>
      <c r="F404" s="908">
        <f>GLOBAL_DER_FEV_2023!F404</f>
        <v>1.4999999999999999E-2</v>
      </c>
      <c r="G404" s="909">
        <f>GLOBAL_DER_FEV_2023!G404</f>
        <v>4.2473999999999998</v>
      </c>
      <c r="H404" s="901">
        <f>GLOBAL_DER_FEV_2023!H404</f>
        <v>0</v>
      </c>
      <c r="I404" s="901">
        <f>GLOBAL_DER_FEV_2023!I404</f>
        <v>0</v>
      </c>
      <c r="J404" s="902">
        <f>GLOBAL_DER_FEV_2023!J404</f>
        <v>0</v>
      </c>
      <c r="K404" s="903" t="s">
        <v>507</v>
      </c>
      <c r="L404" s="1003"/>
      <c r="M404" s="1157">
        <f t="shared" si="27"/>
        <v>0</v>
      </c>
      <c r="N404" s="893">
        <f t="shared" si="31"/>
        <v>0</v>
      </c>
      <c r="O404" s="905"/>
      <c r="P404" s="58" t="str">
        <f>IF(N402&gt;0,"xx",IF(N402&gt;0,"xy",""))</f>
        <v/>
      </c>
      <c r="Q404" s="317" t="str">
        <f t="shared" si="28"/>
        <v/>
      </c>
      <c r="R404" s="317" t="str">
        <f t="shared" si="29"/>
        <v/>
      </c>
      <c r="S404" s="317" t="str">
        <f t="shared" si="30"/>
        <v/>
      </c>
      <c r="T404" s="317" t="str">
        <f>GLOBAL_DER_FEV_2023!S404</f>
        <v/>
      </c>
      <c r="W404" s="582">
        <v>0</v>
      </c>
      <c r="X404" s="580"/>
      <c r="Y404" s="583">
        <f>IF(GLOBAL_DER_FEV_2023!W404=0,0,IF(GLOBAL_DER_FEV_2023!W404&gt;0,"c","b"))</f>
        <v>0</v>
      </c>
    </row>
    <row r="405" spans="1:25" ht="13.5" hidden="1" thickBot="1" x14ac:dyDescent="0.25">
      <c r="A405" s="317" t="s">
        <v>147</v>
      </c>
      <c r="B405" s="895" t="s">
        <v>147</v>
      </c>
      <c r="C405" s="896"/>
      <c r="D405" s="957" t="s">
        <v>243</v>
      </c>
      <c r="E405" s="907">
        <f>GLOBAL_DER_FEV_2023!E405</f>
        <v>0.2</v>
      </c>
      <c r="F405" s="908">
        <f>GLOBAL_DER_FEV_2023!F405</f>
        <v>0.82799999999999996</v>
      </c>
      <c r="G405" s="949">
        <f>GLOBAL_DER_FEV_2023!G405</f>
        <v>2.3962319999999999</v>
      </c>
      <c r="H405" s="901">
        <f>GLOBAL_DER_FEV_2023!H405</f>
        <v>0</v>
      </c>
      <c r="I405" s="901">
        <f>GLOBAL_DER_FEV_2023!I405</f>
        <v>0</v>
      </c>
      <c r="J405" s="902">
        <f>GLOBAL_DER_FEV_2023!J405</f>
        <v>0</v>
      </c>
      <c r="K405" s="903" t="s">
        <v>507</v>
      </c>
      <c r="L405" s="1003"/>
      <c r="M405" s="1157">
        <f t="shared" si="27"/>
        <v>0</v>
      </c>
      <c r="N405" s="893">
        <f t="shared" si="31"/>
        <v>0</v>
      </c>
      <c r="O405" s="905"/>
      <c r="P405" s="58" t="str">
        <f>IF(N402&gt;0,"xx",IF(N402&gt;0,"xy",""))</f>
        <v/>
      </c>
      <c r="Q405" s="317" t="str">
        <f t="shared" si="28"/>
        <v/>
      </c>
      <c r="R405" s="317" t="str">
        <f t="shared" si="29"/>
        <v/>
      </c>
      <c r="S405" s="317" t="str">
        <f t="shared" si="30"/>
        <v/>
      </c>
      <c r="T405" s="317" t="str">
        <f>GLOBAL_DER_FEV_2023!S405</f>
        <v/>
      </c>
      <c r="W405" s="582">
        <v>0</v>
      </c>
      <c r="X405" s="580"/>
      <c r="Y405" s="583">
        <f>IF(GLOBAL_DER_FEV_2023!W405=0,0,IF(GLOBAL_DER_FEV_2023!W405&gt;0,"c","b"))</f>
        <v>0</v>
      </c>
    </row>
    <row r="406" spans="1:25" ht="13.5" hidden="1" thickBot="1" x14ac:dyDescent="0.25">
      <c r="A406" s="317" t="s">
        <v>147</v>
      </c>
      <c r="B406" s="895" t="s">
        <v>147</v>
      </c>
      <c r="C406" s="896"/>
      <c r="D406" s="957" t="s">
        <v>244</v>
      </c>
      <c r="E406" s="907">
        <f>GLOBAL_DER_FEV_2023!E406</f>
        <v>22</v>
      </c>
      <c r="F406" s="908">
        <f>GLOBAL_DER_FEV_2023!F406</f>
        <v>1</v>
      </c>
      <c r="G406" s="912">
        <f>GLOBAL_DER_FEV_2023!G406</f>
        <v>29.990000000000002</v>
      </c>
      <c r="H406" s="901">
        <f>GLOBAL_DER_FEV_2023!H406</f>
        <v>0</v>
      </c>
      <c r="I406" s="901">
        <f>GLOBAL_DER_FEV_2023!I406</f>
        <v>0</v>
      </c>
      <c r="J406" s="902">
        <f>GLOBAL_DER_FEV_2023!J406</f>
        <v>0</v>
      </c>
      <c r="K406" s="903" t="s">
        <v>507</v>
      </c>
      <c r="L406" s="1003"/>
      <c r="M406" s="1157">
        <f t="shared" si="27"/>
        <v>0</v>
      </c>
      <c r="N406" s="893">
        <f t="shared" si="31"/>
        <v>0</v>
      </c>
      <c r="O406" s="905"/>
      <c r="P406" s="58" t="str">
        <f>IF(N402&gt;0,"xx",IF(N402&gt;0,"xy",""))</f>
        <v/>
      </c>
      <c r="Q406" s="317" t="str">
        <f t="shared" si="28"/>
        <v/>
      </c>
      <c r="R406" s="317" t="str">
        <f t="shared" si="29"/>
        <v/>
      </c>
      <c r="S406" s="317" t="str">
        <f t="shared" si="30"/>
        <v/>
      </c>
      <c r="T406" s="317" t="str">
        <f>GLOBAL_DER_FEV_2023!S406</f>
        <v/>
      </c>
      <c r="W406" s="582">
        <v>0</v>
      </c>
      <c r="X406" s="580"/>
      <c r="Y406" s="583">
        <f>IF(GLOBAL_DER_FEV_2023!W406=0,0,IF(GLOBAL_DER_FEV_2023!W406&gt;0,"c","b"))</f>
        <v>0</v>
      </c>
    </row>
    <row r="407" spans="1:25" ht="13.5" hidden="1" thickBot="1" x14ac:dyDescent="0.25">
      <c r="A407" s="317">
        <v>589000</v>
      </c>
      <c r="B407" s="1004" t="s">
        <v>715</v>
      </c>
      <c r="C407" s="984" t="s">
        <v>213</v>
      </c>
      <c r="D407" s="1012" t="s">
        <v>2172</v>
      </c>
      <c r="E407" s="1005">
        <f>GLOBAL_DER_FEV_2023!E407</f>
        <v>45</v>
      </c>
      <c r="F407" s="1006">
        <f>GLOBAL_DER_FEV_2023!F407</f>
        <v>1</v>
      </c>
      <c r="G407" s="949">
        <f>GLOBAL_DER_FEV_2023!G407</f>
        <v>88.36</v>
      </c>
      <c r="H407" s="988">
        <f>GLOBAL_DER_FEV_2023!H407</f>
        <v>4828.8599999999997</v>
      </c>
      <c r="I407" s="988">
        <f>GLOBAL_DER_FEV_2023!I407</f>
        <v>4724.580378112767</v>
      </c>
      <c r="J407" s="989">
        <f>GLOBAL_DER_FEV_2023!J407</f>
        <v>5672.8</v>
      </c>
      <c r="K407" s="990" t="s">
        <v>14</v>
      </c>
      <c r="L407" s="1154">
        <f>ROUND(L402*$F402,2)</f>
        <v>0</v>
      </c>
      <c r="M407" s="1159">
        <f t="shared" si="27"/>
        <v>0</v>
      </c>
      <c r="N407" s="993">
        <f t="shared" si="31"/>
        <v>0</v>
      </c>
      <c r="O407" s="905"/>
      <c r="P407" s="58" t="str">
        <f>IF(N402&gt;0,"xx",IF(N402&gt;0,"xy",""))</f>
        <v/>
      </c>
      <c r="Q407" s="317" t="str">
        <f t="shared" si="28"/>
        <v/>
      </c>
      <c r="R407" s="317" t="str">
        <f t="shared" si="29"/>
        <v/>
      </c>
      <c r="S407" s="317" t="str">
        <f t="shared" si="30"/>
        <v/>
      </c>
      <c r="T407" s="317" t="str">
        <f>GLOBAL_DER_FEV_2023!S407</f>
        <v/>
      </c>
      <c r="W407" s="582">
        <v>0</v>
      </c>
      <c r="X407" s="580"/>
      <c r="Y407" s="583">
        <f>IF(GLOBAL_DER_FEV_2023!W407=0,0,IF(GLOBAL_DER_FEV_2023!W407&gt;0,"c","b"))</f>
        <v>0</v>
      </c>
    </row>
    <row r="408" spans="1:25" ht="15.75" customHeight="1" x14ac:dyDescent="0.2">
      <c r="A408" s="317">
        <v>570000</v>
      </c>
      <c r="B408" s="999" t="str">
        <f>GLOBAL_DER_FEV_2023!B408</f>
        <v>570000A</v>
      </c>
      <c r="C408" s="1000" t="str">
        <f>GLOBAL_DER_FEV_2023!C408</f>
        <v>DER</v>
      </c>
      <c r="D408" s="1024" t="str">
        <f>GLOBAL_DER_FEV_2023!D408</f>
        <v>CBUQ - Novo traço - Reperfilamento 2 - "FAIXA C" - (Quant. menor que 10.000 ton)</v>
      </c>
      <c r="E408" s="974" t="str">
        <f>GLOBAL_DER_FEV_2023!E408</f>
        <v>taxa CAP</v>
      </c>
      <c r="F408" s="1022">
        <f>GLOBAL_DER_FEV_2023!F408</f>
        <v>5.0999999999999997E-2</v>
      </c>
      <c r="G408" s="976">
        <f>GLOBAL_DER_FEV_2023!G408</f>
        <v>51.927324600000006</v>
      </c>
      <c r="H408" s="977">
        <f>GLOBAL_DER_FEV_2023!H408</f>
        <v>187.41</v>
      </c>
      <c r="I408" s="977">
        <f>GLOBAL_DER_FEV_2023!I408</f>
        <v>239.33732459999999</v>
      </c>
      <c r="J408" s="978">
        <f>GLOBAL_DER_FEV_2023!J408</f>
        <v>287.37</v>
      </c>
      <c r="K408" s="979" t="s">
        <v>14</v>
      </c>
      <c r="L408" s="1152">
        <f>L236/2*0.02*2.4</f>
        <v>330.62639999999999</v>
      </c>
      <c r="M408" s="1153">
        <f t="shared" si="27"/>
        <v>287.37</v>
      </c>
      <c r="N408" s="982">
        <f t="shared" si="31"/>
        <v>95012.11</v>
      </c>
      <c r="O408" s="905"/>
      <c r="Q408" s="317" t="str">
        <f t="shared" si="28"/>
        <v>x</v>
      </c>
      <c r="R408" s="317" t="str">
        <f t="shared" si="29"/>
        <v>x</v>
      </c>
      <c r="S408" s="317" t="str">
        <f t="shared" si="30"/>
        <v>x</v>
      </c>
      <c r="T408" s="317" t="str">
        <f>GLOBAL_DER_FEV_2023!S408</f>
        <v>x</v>
      </c>
      <c r="W408" s="582">
        <v>0</v>
      </c>
      <c r="X408" s="580"/>
      <c r="Y408" s="583" t="str">
        <f>IF(GLOBAL_DER_FEV_2023!W408=0,0,IF(GLOBAL_DER_FEV_2023!W408&gt;0,"c","b"))</f>
        <v>b</v>
      </c>
    </row>
    <row r="409" spans="1:25" x14ac:dyDescent="0.2">
      <c r="A409" s="317" t="s">
        <v>147</v>
      </c>
      <c r="B409" s="895" t="str">
        <f>GLOBAL_DER_FEV_2023!B409</f>
        <v>transporte</v>
      </c>
      <c r="C409" s="896">
        <f>GLOBAL_DER_FEV_2023!C409</f>
        <v>0</v>
      </c>
      <c r="D409" s="957" t="str">
        <f>GLOBAL_DER_FEV_2023!D409</f>
        <v>Areia</v>
      </c>
      <c r="E409" s="907">
        <f>GLOBAL_DER_FEV_2023!E409</f>
        <v>150</v>
      </c>
      <c r="F409" s="1287">
        <f>GLOBAL_DER_FEV_2023!F409</f>
        <v>9.4899999999999998E-2</v>
      </c>
      <c r="G409" s="949">
        <f>GLOBAL_DER_FEV_2023!G409</f>
        <v>15.485782</v>
      </c>
      <c r="H409" s="901">
        <f>GLOBAL_DER_FEV_2023!H409</f>
        <v>0</v>
      </c>
      <c r="I409" s="901">
        <f>GLOBAL_DER_FEV_2023!I409</f>
        <v>0</v>
      </c>
      <c r="J409" s="902">
        <f>GLOBAL_DER_FEV_2023!J409</f>
        <v>0</v>
      </c>
      <c r="K409" s="903" t="s">
        <v>507</v>
      </c>
      <c r="L409" s="1003"/>
      <c r="M409" s="1157">
        <f t="shared" si="27"/>
        <v>0</v>
      </c>
      <c r="N409" s="893">
        <f t="shared" si="31"/>
        <v>0</v>
      </c>
      <c r="O409" s="905"/>
      <c r="P409" s="58" t="str">
        <f>IF(N408&gt;0,"xx",IF(N408&gt;0,"xy",""))</f>
        <v>xx</v>
      </c>
      <c r="Q409" s="317" t="str">
        <f t="shared" si="28"/>
        <v>x</v>
      </c>
      <c r="R409" s="317" t="str">
        <f t="shared" si="29"/>
        <v>x</v>
      </c>
      <c r="S409" s="317" t="str">
        <f t="shared" si="30"/>
        <v/>
      </c>
      <c r="T409" s="317" t="str">
        <f>GLOBAL_DER_FEV_2023!S409</f>
        <v/>
      </c>
      <c r="W409" s="582">
        <v>0</v>
      </c>
      <c r="X409" s="580"/>
      <c r="Y409" s="583">
        <f>IF(GLOBAL_DER_FEV_2023!W409=0,0,IF(GLOBAL_DER_FEV_2023!W409&gt;0,"c","b"))</f>
        <v>0</v>
      </c>
    </row>
    <row r="410" spans="1:25" x14ac:dyDescent="0.2">
      <c r="A410" s="317" t="s">
        <v>147</v>
      </c>
      <c r="B410" s="895" t="str">
        <f>GLOBAL_DER_FEV_2023!B410</f>
        <v>transporte</v>
      </c>
      <c r="C410" s="896">
        <f>GLOBAL_DER_FEV_2023!C410</f>
        <v>0</v>
      </c>
      <c r="D410" s="957" t="str">
        <f>GLOBAL_DER_FEV_2023!D410</f>
        <v>Cal Hidratada CH-1</v>
      </c>
      <c r="E410" s="907">
        <f>GLOBAL_DER_FEV_2023!E410</f>
        <v>353</v>
      </c>
      <c r="F410" s="1287">
        <f>GLOBAL_DER_FEV_2023!F410</f>
        <v>1.4200000000000001E-2</v>
      </c>
      <c r="G410" s="909">
        <f>GLOBAL_DER_FEV_2023!G410</f>
        <v>4.0208720000000007</v>
      </c>
      <c r="H410" s="901">
        <f>GLOBAL_DER_FEV_2023!H410</f>
        <v>0</v>
      </c>
      <c r="I410" s="901">
        <f>GLOBAL_DER_FEV_2023!I410</f>
        <v>0</v>
      </c>
      <c r="J410" s="902">
        <f>GLOBAL_DER_FEV_2023!J410</f>
        <v>0</v>
      </c>
      <c r="K410" s="903" t="s">
        <v>507</v>
      </c>
      <c r="L410" s="1003"/>
      <c r="M410" s="1157">
        <f t="shared" si="27"/>
        <v>0</v>
      </c>
      <c r="N410" s="893">
        <f t="shared" si="31"/>
        <v>0</v>
      </c>
      <c r="O410" s="905"/>
      <c r="P410" s="58" t="str">
        <f>IF(N408&gt;0,"xx",IF(N408&gt;0,"xy",""))</f>
        <v>xx</v>
      </c>
      <c r="Q410" s="317" t="str">
        <f t="shared" si="28"/>
        <v>x</v>
      </c>
      <c r="R410" s="317" t="str">
        <f t="shared" si="29"/>
        <v>x</v>
      </c>
      <c r="S410" s="317" t="str">
        <f t="shared" si="30"/>
        <v/>
      </c>
      <c r="T410" s="317" t="str">
        <f>GLOBAL_DER_FEV_2023!S410</f>
        <v/>
      </c>
      <c r="W410" s="582">
        <v>0</v>
      </c>
      <c r="X410" s="580"/>
      <c r="Y410" s="583">
        <f>IF(GLOBAL_DER_FEV_2023!W410=0,0,IF(GLOBAL_DER_FEV_2023!W410&gt;0,"c","b"))</f>
        <v>0</v>
      </c>
    </row>
    <row r="411" spans="1:25" x14ac:dyDescent="0.2">
      <c r="A411" s="317" t="s">
        <v>147</v>
      </c>
      <c r="B411" s="895" t="str">
        <f>GLOBAL_DER_FEV_2023!B411</f>
        <v>transporte</v>
      </c>
      <c r="C411" s="896">
        <f>GLOBAL_DER_FEV_2023!C411</f>
        <v>0</v>
      </c>
      <c r="D411" s="957" t="str">
        <f>GLOBAL_DER_FEV_2023!D411</f>
        <v>Brita ( usina )</v>
      </c>
      <c r="E411" s="907">
        <f>GLOBAL_DER_FEV_2023!E411</f>
        <v>0.2</v>
      </c>
      <c r="F411" s="1287">
        <f>GLOBAL_DER_FEV_2023!F411</f>
        <v>0.83989999999999998</v>
      </c>
      <c r="G411" s="949">
        <f>GLOBAL_DER_FEV_2023!G411</f>
        <v>2.4306706</v>
      </c>
      <c r="H411" s="901">
        <f>GLOBAL_DER_FEV_2023!H411</f>
        <v>0</v>
      </c>
      <c r="I411" s="901">
        <f>GLOBAL_DER_FEV_2023!I411</f>
        <v>0</v>
      </c>
      <c r="J411" s="902">
        <f>GLOBAL_DER_FEV_2023!J411</f>
        <v>0</v>
      </c>
      <c r="K411" s="903" t="s">
        <v>507</v>
      </c>
      <c r="L411" s="1003"/>
      <c r="M411" s="1157">
        <f t="shared" si="27"/>
        <v>0</v>
      </c>
      <c r="N411" s="893">
        <f t="shared" si="31"/>
        <v>0</v>
      </c>
      <c r="O411" s="905"/>
      <c r="P411" s="58" t="str">
        <f>IF(N408&gt;0,"xx",IF(N408&gt;0,"xy",""))</f>
        <v>xx</v>
      </c>
      <c r="Q411" s="317" t="str">
        <f t="shared" si="28"/>
        <v>x</v>
      </c>
      <c r="R411" s="317" t="str">
        <f t="shared" si="29"/>
        <v>x</v>
      </c>
      <c r="S411" s="317" t="str">
        <f t="shared" si="30"/>
        <v/>
      </c>
      <c r="T411" s="317" t="str">
        <f>GLOBAL_DER_FEV_2023!S411</f>
        <v/>
      </c>
      <c r="W411" s="582">
        <v>0</v>
      </c>
      <c r="X411" s="580"/>
      <c r="Y411" s="583">
        <f>IF(GLOBAL_DER_FEV_2023!W411=0,0,IF(GLOBAL_DER_FEV_2023!W411&gt;0,"c","b"))</f>
        <v>0</v>
      </c>
    </row>
    <row r="412" spans="1:25" x14ac:dyDescent="0.2">
      <c r="A412" s="317" t="s">
        <v>147</v>
      </c>
      <c r="B412" s="895" t="str">
        <f>GLOBAL_DER_FEV_2023!B412</f>
        <v>transporte</v>
      </c>
      <c r="C412" s="896">
        <f>GLOBAL_DER_FEV_2023!C412</f>
        <v>0</v>
      </c>
      <c r="D412" s="957" t="str">
        <f>GLOBAL_DER_FEV_2023!D412</f>
        <v>Massa</v>
      </c>
      <c r="E412" s="907">
        <f>GLOBAL_DER_FEV_2023!E412</f>
        <v>22</v>
      </c>
      <c r="F412" s="908">
        <f>GLOBAL_DER_FEV_2023!F412</f>
        <v>1</v>
      </c>
      <c r="G412" s="912">
        <f>GLOBAL_DER_FEV_2023!G412</f>
        <v>29.990000000000002</v>
      </c>
      <c r="H412" s="901">
        <f>GLOBAL_DER_FEV_2023!H412</f>
        <v>0</v>
      </c>
      <c r="I412" s="901">
        <f>GLOBAL_DER_FEV_2023!I412</f>
        <v>0</v>
      </c>
      <c r="J412" s="902">
        <f>GLOBAL_DER_FEV_2023!J412</f>
        <v>0</v>
      </c>
      <c r="K412" s="903" t="s">
        <v>507</v>
      </c>
      <c r="L412" s="1003"/>
      <c r="M412" s="1157">
        <f t="shared" si="27"/>
        <v>0</v>
      </c>
      <c r="N412" s="893">
        <f t="shared" si="31"/>
        <v>0</v>
      </c>
      <c r="O412" s="905"/>
      <c r="P412" s="58" t="str">
        <f>IF(N408&gt;0,"xx",IF(N408&gt;0,"xy",""))</f>
        <v>xx</v>
      </c>
      <c r="Q412" s="317" t="str">
        <f t="shared" si="28"/>
        <v>x</v>
      </c>
      <c r="R412" s="317" t="str">
        <f t="shared" si="29"/>
        <v>x</v>
      </c>
      <c r="S412" s="317" t="str">
        <f t="shared" si="30"/>
        <v/>
      </c>
      <c r="T412" s="317" t="str">
        <f>GLOBAL_DER_FEV_2023!S412</f>
        <v/>
      </c>
      <c r="W412" s="582">
        <v>0</v>
      </c>
      <c r="X412" s="580"/>
      <c r="Y412" s="583">
        <f>IF(GLOBAL_DER_FEV_2023!W412=0,0,IF(GLOBAL_DER_FEV_2023!W412&gt;0,"c","b"))</f>
        <v>0</v>
      </c>
    </row>
    <row r="413" spans="1:25" ht="13.5" thickBot="1" x14ac:dyDescent="0.25">
      <c r="A413" s="317">
        <v>589000</v>
      </c>
      <c r="B413" s="1004" t="str">
        <f>GLOBAL_DER_FEV_2023!B413</f>
        <v>589000H</v>
      </c>
      <c r="C413" s="984" t="str">
        <f>GLOBAL_DER_FEV_2023!C413</f>
        <v>DER mat</v>
      </c>
      <c r="D413" s="1012" t="str">
        <f>GLOBAL_DER_FEV_2023!D413</f>
        <v>Fornecimento de CAP - CBUQ (Quantidade menor que 10.000 ton)</v>
      </c>
      <c r="E413" s="1005">
        <f>GLOBAL_DER_FEV_2023!E413</f>
        <v>45</v>
      </c>
      <c r="F413" s="1006">
        <f>GLOBAL_DER_FEV_2023!F413</f>
        <v>1</v>
      </c>
      <c r="G413" s="949">
        <f>GLOBAL_DER_FEV_2023!G413</f>
        <v>88.36</v>
      </c>
      <c r="H413" s="988">
        <f>GLOBAL_DER_FEV_2023!H413</f>
        <v>4828.8599999999997</v>
      </c>
      <c r="I413" s="988">
        <f>GLOBAL_DER_FEV_2023!I413</f>
        <v>4724.580378112767</v>
      </c>
      <c r="J413" s="989">
        <f>GLOBAL_DER_FEV_2023!J413</f>
        <v>5672.8</v>
      </c>
      <c r="K413" s="990" t="s">
        <v>14</v>
      </c>
      <c r="L413" s="1154">
        <f>ROUND(L408*$F408,2)</f>
        <v>16.86</v>
      </c>
      <c r="M413" s="1159">
        <f t="shared" si="27"/>
        <v>5672.8</v>
      </c>
      <c r="N413" s="993">
        <f t="shared" si="31"/>
        <v>95643.41</v>
      </c>
      <c r="O413" s="905"/>
      <c r="P413" s="58" t="str">
        <f>IF(N408&gt;0,"xx",IF(N408&gt;0,"xy",""))</f>
        <v>xx</v>
      </c>
      <c r="Q413" s="317" t="str">
        <f t="shared" si="28"/>
        <v>x</v>
      </c>
      <c r="R413" s="317" t="str">
        <f t="shared" si="29"/>
        <v>x</v>
      </c>
      <c r="S413" s="317" t="str">
        <f t="shared" si="30"/>
        <v>x</v>
      </c>
      <c r="T413" s="317" t="str">
        <f>GLOBAL_DER_FEV_2023!S413</f>
        <v>x</v>
      </c>
      <c r="W413" s="582">
        <v>0</v>
      </c>
      <c r="X413" s="580"/>
      <c r="Y413" s="583" t="str">
        <f>IF(GLOBAL_DER_FEV_2023!W413=0,0,IF(GLOBAL_DER_FEV_2023!W413&gt;0,"c","b"))</f>
        <v>b</v>
      </c>
    </row>
    <row r="414" spans="1:25" ht="15.75" hidden="1" customHeight="1" x14ac:dyDescent="0.2">
      <c r="A414" s="317">
        <v>570000</v>
      </c>
      <c r="B414" s="999" t="str">
        <f>GLOBAL_DER_FEV_2023!B414</f>
        <v>570000A</v>
      </c>
      <c r="C414" s="1000" t="str">
        <f>GLOBAL_DER_FEV_2023!C414</f>
        <v>DER</v>
      </c>
      <c r="D414" s="1024" t="str">
        <f>GLOBAL_DER_FEV_2023!D414</f>
        <v>CBUQ - Novo traço - Reperfilamento 3 - "FAIXA C" - (Quant. menor que 10.000 ton)</v>
      </c>
      <c r="E414" s="974" t="str">
        <f>GLOBAL_DER_FEV_2023!E414</f>
        <v>taxa CAP</v>
      </c>
      <c r="F414" s="1022">
        <f>Novos_Traços_CBUQ!M178</f>
        <v>0.05</v>
      </c>
      <c r="G414" s="976">
        <f>GLOBAL_DER_FEV_2023!G414</f>
        <v>51.974273800000006</v>
      </c>
      <c r="H414" s="977">
        <f>GLOBAL_DER_FEV_2023!H414</f>
        <v>187.41</v>
      </c>
      <c r="I414" s="977">
        <f>GLOBAL_DER_FEV_2023!I414</f>
        <v>239.38427380000002</v>
      </c>
      <c r="J414" s="978">
        <f>GLOBAL_DER_FEV_2023!J414</f>
        <v>287.43</v>
      </c>
      <c r="K414" s="979" t="s">
        <v>14</v>
      </c>
      <c r="L414" s="1152"/>
      <c r="M414" s="1153">
        <f t="shared" si="27"/>
        <v>0</v>
      </c>
      <c r="N414" s="982">
        <f t="shared" si="31"/>
        <v>0</v>
      </c>
      <c r="O414" s="905"/>
      <c r="Q414" s="317" t="str">
        <f t="shared" si="28"/>
        <v/>
      </c>
      <c r="R414" s="317" t="str">
        <f t="shared" si="29"/>
        <v/>
      </c>
      <c r="S414" s="317" t="str">
        <f t="shared" si="30"/>
        <v/>
      </c>
      <c r="T414" s="317" t="str">
        <f>GLOBAL_DER_FEV_2023!S414</f>
        <v/>
      </c>
      <c r="W414" s="582">
        <v>0</v>
      </c>
      <c r="X414" s="580"/>
      <c r="Y414" s="583">
        <f>IF(GLOBAL_DER_FEV_2023!W414=0,0,IF(GLOBAL_DER_FEV_2023!W414&gt;0,"c","b"))</f>
        <v>0</v>
      </c>
    </row>
    <row r="415" spans="1:25" ht="13.5" hidden="1" thickBot="1" x14ac:dyDescent="0.25">
      <c r="A415" s="317" t="s">
        <v>147</v>
      </c>
      <c r="B415" s="895" t="str">
        <f>GLOBAL_DER_FEV_2023!B415</f>
        <v>transporte</v>
      </c>
      <c r="C415" s="896">
        <f>GLOBAL_DER_FEV_2023!C415</f>
        <v>0</v>
      </c>
      <c r="D415" s="957" t="str">
        <f>GLOBAL_DER_FEV_2023!D415</f>
        <v>Areia</v>
      </c>
      <c r="E415" s="907">
        <f>GLOBAL_DER_FEV_2023!E415</f>
        <v>150</v>
      </c>
      <c r="F415" s="1287">
        <f>Novos_Traços_CBUQ!M176</f>
        <v>9.5000000000000001E-2</v>
      </c>
      <c r="G415" s="949">
        <f>GLOBAL_DER_FEV_2023!G415</f>
        <v>15.5021</v>
      </c>
      <c r="H415" s="901">
        <f>GLOBAL_DER_FEV_2023!H415</f>
        <v>0</v>
      </c>
      <c r="I415" s="901">
        <f>GLOBAL_DER_FEV_2023!I415</f>
        <v>0</v>
      </c>
      <c r="J415" s="902">
        <f>GLOBAL_DER_FEV_2023!J415</f>
        <v>0</v>
      </c>
      <c r="K415" s="903" t="s">
        <v>507</v>
      </c>
      <c r="L415" s="1003"/>
      <c r="M415" s="1157">
        <f t="shared" si="27"/>
        <v>0</v>
      </c>
      <c r="N415" s="893">
        <f t="shared" si="31"/>
        <v>0</v>
      </c>
      <c r="O415" s="905"/>
      <c r="P415" s="58" t="str">
        <f>IF(N414&gt;0,"xx",IF(N414&gt;0,"xy",""))</f>
        <v/>
      </c>
      <c r="Q415" s="317" t="str">
        <f t="shared" si="28"/>
        <v/>
      </c>
      <c r="R415" s="317" t="str">
        <f t="shared" si="29"/>
        <v/>
      </c>
      <c r="S415" s="317" t="str">
        <f t="shared" si="30"/>
        <v/>
      </c>
      <c r="T415" s="317" t="str">
        <f>GLOBAL_DER_FEV_2023!S415</f>
        <v/>
      </c>
      <c r="W415" s="582">
        <v>0</v>
      </c>
      <c r="X415" s="580"/>
      <c r="Y415" s="583">
        <f>IF(GLOBAL_DER_FEV_2023!W415=0,0,IF(GLOBAL_DER_FEV_2023!W415&gt;0,"c","b"))</f>
        <v>0</v>
      </c>
    </row>
    <row r="416" spans="1:25" ht="13.5" hidden="1" thickBot="1" x14ac:dyDescent="0.25">
      <c r="A416" s="317" t="s">
        <v>147</v>
      </c>
      <c r="B416" s="895" t="str">
        <f>GLOBAL_DER_FEV_2023!B416</f>
        <v>transporte</v>
      </c>
      <c r="C416" s="896">
        <f>GLOBAL_DER_FEV_2023!C416</f>
        <v>0</v>
      </c>
      <c r="D416" s="957" t="str">
        <f>GLOBAL_DER_FEV_2023!D416</f>
        <v>Cal Hidratada CH-1</v>
      </c>
      <c r="E416" s="907">
        <f>GLOBAL_DER_FEV_2023!E416</f>
        <v>353</v>
      </c>
      <c r="F416" s="1287">
        <f>Novos_Traços_CBUQ!M177</f>
        <v>1.43E-2</v>
      </c>
      <c r="G416" s="909">
        <f>GLOBAL_DER_FEV_2023!G416</f>
        <v>4.049188</v>
      </c>
      <c r="H416" s="901">
        <f>GLOBAL_DER_FEV_2023!H416</f>
        <v>0</v>
      </c>
      <c r="I416" s="901">
        <f>GLOBAL_DER_FEV_2023!I416</f>
        <v>0</v>
      </c>
      <c r="J416" s="902">
        <f>GLOBAL_DER_FEV_2023!J416</f>
        <v>0</v>
      </c>
      <c r="K416" s="903" t="s">
        <v>507</v>
      </c>
      <c r="L416" s="1003"/>
      <c r="M416" s="1157">
        <f t="shared" si="27"/>
        <v>0</v>
      </c>
      <c r="N416" s="893">
        <f t="shared" si="31"/>
        <v>0</v>
      </c>
      <c r="O416" s="905"/>
      <c r="P416" s="58" t="str">
        <f>IF(N414&gt;0,"xx",IF(N414&gt;0,"xy",""))</f>
        <v/>
      </c>
      <c r="Q416" s="317" t="str">
        <f t="shared" si="28"/>
        <v/>
      </c>
      <c r="R416" s="317" t="str">
        <f t="shared" si="29"/>
        <v/>
      </c>
      <c r="S416" s="317" t="str">
        <f t="shared" si="30"/>
        <v/>
      </c>
      <c r="T416" s="317" t="str">
        <f>GLOBAL_DER_FEV_2023!S416</f>
        <v/>
      </c>
      <c r="W416" s="582">
        <v>0</v>
      </c>
      <c r="X416" s="580"/>
      <c r="Y416" s="583">
        <f>IF(GLOBAL_DER_FEV_2023!W416=0,0,IF(GLOBAL_DER_FEV_2023!W416&gt;0,"c","b"))</f>
        <v>0</v>
      </c>
    </row>
    <row r="417" spans="1:25" ht="13.5" hidden="1" thickBot="1" x14ac:dyDescent="0.25">
      <c r="A417" s="317" t="s">
        <v>147</v>
      </c>
      <c r="B417" s="895" t="str">
        <f>GLOBAL_DER_FEV_2023!B417</f>
        <v>transporte</v>
      </c>
      <c r="C417" s="896">
        <f>GLOBAL_DER_FEV_2023!C417</f>
        <v>0</v>
      </c>
      <c r="D417" s="957" t="str">
        <f>GLOBAL_DER_FEV_2023!D417</f>
        <v>Brita ( usina )</v>
      </c>
      <c r="E417" s="907">
        <f>GLOBAL_DER_FEV_2023!E417</f>
        <v>0.2</v>
      </c>
      <c r="F417" s="1287">
        <f>Novos_Traços_CBUQ!M174</f>
        <v>0.8407</v>
      </c>
      <c r="G417" s="949">
        <f>GLOBAL_DER_FEV_2023!G417</f>
        <v>2.4329858</v>
      </c>
      <c r="H417" s="901">
        <f>GLOBAL_DER_FEV_2023!H417</f>
        <v>0</v>
      </c>
      <c r="I417" s="901">
        <f>GLOBAL_DER_FEV_2023!I417</f>
        <v>0</v>
      </c>
      <c r="J417" s="902">
        <f>GLOBAL_DER_FEV_2023!J417</f>
        <v>0</v>
      </c>
      <c r="K417" s="903" t="s">
        <v>507</v>
      </c>
      <c r="L417" s="1003"/>
      <c r="M417" s="1157">
        <f t="shared" si="27"/>
        <v>0</v>
      </c>
      <c r="N417" s="893">
        <f t="shared" si="31"/>
        <v>0</v>
      </c>
      <c r="O417" s="905"/>
      <c r="P417" s="58" t="str">
        <f>IF(N414&gt;0,"xx",IF(N414&gt;0,"xy",""))</f>
        <v/>
      </c>
      <c r="Q417" s="317" t="str">
        <f t="shared" si="28"/>
        <v/>
      </c>
      <c r="R417" s="317" t="str">
        <f t="shared" si="29"/>
        <v/>
      </c>
      <c r="S417" s="317" t="str">
        <f t="shared" si="30"/>
        <v/>
      </c>
      <c r="T417" s="317" t="str">
        <f>GLOBAL_DER_FEV_2023!S417</f>
        <v/>
      </c>
      <c r="W417" s="582">
        <v>0</v>
      </c>
      <c r="X417" s="580"/>
      <c r="Y417" s="583">
        <f>IF(GLOBAL_DER_FEV_2023!W417=0,0,IF(GLOBAL_DER_FEV_2023!W417&gt;0,"c","b"))</f>
        <v>0</v>
      </c>
    </row>
    <row r="418" spans="1:25" ht="13.5" hidden="1" thickBot="1" x14ac:dyDescent="0.25">
      <c r="A418" s="317" t="s">
        <v>147</v>
      </c>
      <c r="B418" s="895" t="str">
        <f>GLOBAL_DER_FEV_2023!B418</f>
        <v>transporte</v>
      </c>
      <c r="C418" s="896">
        <f>GLOBAL_DER_FEV_2023!C418</f>
        <v>0</v>
      </c>
      <c r="D418" s="957" t="str">
        <f>GLOBAL_DER_FEV_2023!D418</f>
        <v>Massa</v>
      </c>
      <c r="E418" s="907">
        <f>GLOBAL_DER_FEV_2023!E418</f>
        <v>22</v>
      </c>
      <c r="F418" s="908">
        <f>GLOBAL_DER_FEV_2023!F418</f>
        <v>1</v>
      </c>
      <c r="G418" s="912">
        <f>GLOBAL_DER_FEV_2023!G418</f>
        <v>29.990000000000002</v>
      </c>
      <c r="H418" s="901">
        <f>GLOBAL_DER_FEV_2023!H418</f>
        <v>0</v>
      </c>
      <c r="I418" s="901">
        <f>GLOBAL_DER_FEV_2023!I418</f>
        <v>0</v>
      </c>
      <c r="J418" s="902">
        <f>GLOBAL_DER_FEV_2023!J418</f>
        <v>0</v>
      </c>
      <c r="K418" s="903" t="s">
        <v>507</v>
      </c>
      <c r="L418" s="1003"/>
      <c r="M418" s="1157">
        <f t="shared" si="27"/>
        <v>0</v>
      </c>
      <c r="N418" s="893">
        <f t="shared" si="31"/>
        <v>0</v>
      </c>
      <c r="O418" s="905"/>
      <c r="P418" s="58" t="str">
        <f>IF(N414&gt;0,"xx",IF(N414&gt;0,"xy",""))</f>
        <v/>
      </c>
      <c r="Q418" s="317" t="str">
        <f t="shared" si="28"/>
        <v/>
      </c>
      <c r="R418" s="317" t="str">
        <f t="shared" si="29"/>
        <v/>
      </c>
      <c r="S418" s="317" t="str">
        <f t="shared" si="30"/>
        <v/>
      </c>
      <c r="T418" s="317" t="str">
        <f>GLOBAL_DER_FEV_2023!S418</f>
        <v/>
      </c>
      <c r="W418" s="582">
        <v>0</v>
      </c>
      <c r="X418" s="580"/>
      <c r="Y418" s="583">
        <f>IF(GLOBAL_DER_FEV_2023!W418=0,0,IF(GLOBAL_DER_FEV_2023!W418&gt;0,"c","b"))</f>
        <v>0</v>
      </c>
    </row>
    <row r="419" spans="1:25" ht="13.5" hidden="1" thickBot="1" x14ac:dyDescent="0.25">
      <c r="A419" s="317">
        <v>589000</v>
      </c>
      <c r="B419" s="1004" t="str">
        <f>GLOBAL_DER_FEV_2023!B419</f>
        <v>589000H</v>
      </c>
      <c r="C419" s="984" t="str">
        <f>GLOBAL_DER_FEV_2023!C419</f>
        <v>DER mat</v>
      </c>
      <c r="D419" s="1012" t="str">
        <f>GLOBAL_DER_FEV_2023!D419</f>
        <v>Fornecimento de CAP - CBUQ (Quantidade menor que 10.000 ton)</v>
      </c>
      <c r="E419" s="1005">
        <f>GLOBAL_DER_FEV_2023!E419</f>
        <v>45</v>
      </c>
      <c r="F419" s="1006">
        <f>GLOBAL_DER_FEV_2023!F419</f>
        <v>1</v>
      </c>
      <c r="G419" s="949">
        <f>GLOBAL_DER_FEV_2023!G419</f>
        <v>88.36</v>
      </c>
      <c r="H419" s="988">
        <f>GLOBAL_DER_FEV_2023!H419</f>
        <v>4828.8599999999997</v>
      </c>
      <c r="I419" s="988">
        <f>GLOBAL_DER_FEV_2023!I419</f>
        <v>4724.580378112767</v>
      </c>
      <c r="J419" s="989">
        <f>GLOBAL_DER_FEV_2023!J419</f>
        <v>5672.8</v>
      </c>
      <c r="K419" s="990" t="s">
        <v>14</v>
      </c>
      <c r="L419" s="1154">
        <f>ROUND(L414*$F414,2)</f>
        <v>0</v>
      </c>
      <c r="M419" s="1159">
        <f t="shared" si="27"/>
        <v>0</v>
      </c>
      <c r="N419" s="993">
        <f t="shared" si="31"/>
        <v>0</v>
      </c>
      <c r="O419" s="905"/>
      <c r="P419" s="58" t="str">
        <f>IF(N414&gt;0,"xx",IF(N414&gt;0,"xy",""))</f>
        <v/>
      </c>
      <c r="Q419" s="317" t="str">
        <f t="shared" si="28"/>
        <v/>
      </c>
      <c r="R419" s="317" t="str">
        <f t="shared" si="29"/>
        <v/>
      </c>
      <c r="S419" s="317" t="str">
        <f t="shared" si="30"/>
        <v/>
      </c>
      <c r="T419" s="317" t="str">
        <f>GLOBAL_DER_FEV_2023!S419</f>
        <v/>
      </c>
      <c r="W419" s="582">
        <v>0</v>
      </c>
      <c r="X419" s="580"/>
      <c r="Y419" s="583">
        <f>IF(GLOBAL_DER_FEV_2023!W419=0,0,IF(GLOBAL_DER_FEV_2023!W419&gt;0,"c","b"))</f>
        <v>0</v>
      </c>
    </row>
    <row r="420" spans="1:25" ht="21" customHeight="1" x14ac:dyDescent="0.2">
      <c r="A420" s="317">
        <v>570000</v>
      </c>
      <c r="B420" s="999" t="str">
        <f>GLOBAL_DER_FEV_2023!B420</f>
        <v>570000B</v>
      </c>
      <c r="C420" s="1000" t="str">
        <f>GLOBAL_DER_FEV_2023!C420</f>
        <v>DER</v>
      </c>
      <c r="D420" s="1019" t="str">
        <f>GLOBAL_DER_FEV_2023!D420</f>
        <v>CBUQ - TRAÇO 1 - CAPA - Faixa "C" (Quantidade menor que 10.000 ton)</v>
      </c>
      <c r="E420" s="974" t="str">
        <f>GLOBAL_DER_FEV_2023!E420</f>
        <v>taxa CAP</v>
      </c>
      <c r="F420" s="1023">
        <f>Novos_Traços_CBUQ!M184</f>
        <v>0.05</v>
      </c>
      <c r="G420" s="976">
        <f>GLOBAL_DER_FEV_2023!G420</f>
        <v>53.140143399999999</v>
      </c>
      <c r="H420" s="977">
        <f>GLOBAL_DER_FEV_2023!H420</f>
        <v>187.41</v>
      </c>
      <c r="I420" s="977">
        <f>GLOBAL_DER_FEV_2023!I420</f>
        <v>240.5501434</v>
      </c>
      <c r="J420" s="978">
        <f>GLOBAL_DER_FEV_2023!J420</f>
        <v>288.83</v>
      </c>
      <c r="K420" s="979" t="s">
        <v>14</v>
      </c>
      <c r="L420" s="1152">
        <f>L236/2*0.03*2.4</f>
        <v>495.93959999999998</v>
      </c>
      <c r="M420" s="1153">
        <f t="shared" si="27"/>
        <v>288.83</v>
      </c>
      <c r="N420" s="982">
        <f t="shared" si="31"/>
        <v>143242.23000000001</v>
      </c>
      <c r="O420" s="905"/>
      <c r="Q420" s="317" t="str">
        <f t="shared" si="28"/>
        <v>x</v>
      </c>
      <c r="R420" s="317" t="str">
        <f t="shared" si="29"/>
        <v>x</v>
      </c>
      <c r="S420" s="317" t="str">
        <f t="shared" si="30"/>
        <v>x</v>
      </c>
      <c r="T420" s="317" t="str">
        <f>GLOBAL_DER_FEV_2023!S420</f>
        <v>x</v>
      </c>
      <c r="W420" s="582">
        <v>0</v>
      </c>
      <c r="X420" s="580"/>
      <c r="Y420" s="583" t="str">
        <f>IF(GLOBAL_DER_FEV_2023!W420=0,0,IF(GLOBAL_DER_FEV_2023!W420&gt;0,"c","b"))</f>
        <v>b</v>
      </c>
    </row>
    <row r="421" spans="1:25" x14ac:dyDescent="0.2">
      <c r="A421" s="317" t="s">
        <v>147</v>
      </c>
      <c r="B421" s="895" t="str">
        <f>GLOBAL_DER_FEV_2023!B421</f>
        <v>transporte</v>
      </c>
      <c r="C421" s="896">
        <f>GLOBAL_DER_FEV_2023!C421</f>
        <v>0</v>
      </c>
      <c r="D421" s="957" t="str">
        <f>GLOBAL_DER_FEV_2023!D421</f>
        <v>Areia</v>
      </c>
      <c r="E421" s="907">
        <f>GLOBAL_DER_FEV_2023!E421</f>
        <v>150</v>
      </c>
      <c r="F421" s="908">
        <f>Novos_Traços_CBUQ!M182</f>
        <v>0</v>
      </c>
      <c r="G421" s="949">
        <f>GLOBAL_DER_FEV_2023!G421</f>
        <v>16.432226</v>
      </c>
      <c r="H421" s="901">
        <f>GLOBAL_DER_FEV_2023!H421</f>
        <v>0</v>
      </c>
      <c r="I421" s="901">
        <f>GLOBAL_DER_FEV_2023!I421</f>
        <v>0</v>
      </c>
      <c r="J421" s="902">
        <f>GLOBAL_DER_FEV_2023!J421</f>
        <v>0</v>
      </c>
      <c r="K421" s="903" t="s">
        <v>507</v>
      </c>
      <c r="L421" s="1003"/>
      <c r="M421" s="1157">
        <f t="shared" si="27"/>
        <v>0</v>
      </c>
      <c r="N421" s="893">
        <f t="shared" si="31"/>
        <v>0</v>
      </c>
      <c r="O421" s="905"/>
      <c r="P421" s="58" t="str">
        <f>IF(N420&gt;0,"xx",IF(N420&gt;0,"xy",""))</f>
        <v>xx</v>
      </c>
      <c r="Q421" s="317" t="str">
        <f t="shared" si="28"/>
        <v>x</v>
      </c>
      <c r="R421" s="317" t="str">
        <f t="shared" si="29"/>
        <v>x</v>
      </c>
      <c r="S421" s="317" t="str">
        <f t="shared" si="30"/>
        <v/>
      </c>
      <c r="T421" s="317" t="str">
        <f>GLOBAL_DER_FEV_2023!S421</f>
        <v/>
      </c>
      <c r="W421" s="582">
        <v>0</v>
      </c>
      <c r="X421" s="580"/>
      <c r="Y421" s="583">
        <f>IF(GLOBAL_DER_FEV_2023!W421=0,0,IF(GLOBAL_DER_FEV_2023!W421&gt;0,"c","b"))</f>
        <v>0</v>
      </c>
    </row>
    <row r="422" spans="1:25" x14ac:dyDescent="0.2">
      <c r="A422" s="317" t="s">
        <v>147</v>
      </c>
      <c r="B422" s="895" t="str">
        <f>GLOBAL_DER_FEV_2023!B422</f>
        <v>transporte</v>
      </c>
      <c r="C422" s="896">
        <f>GLOBAL_DER_FEV_2023!C422</f>
        <v>0</v>
      </c>
      <c r="D422" s="957" t="str">
        <f>GLOBAL_DER_FEV_2023!D422</f>
        <v>Cal Hidratada CH-1</v>
      </c>
      <c r="E422" s="907">
        <f>GLOBAL_DER_FEV_2023!E422</f>
        <v>353</v>
      </c>
      <c r="F422" s="908">
        <f>Novos_Traços_CBUQ!M183</f>
        <v>0</v>
      </c>
      <c r="G422" s="909">
        <f>GLOBAL_DER_FEV_2023!G422</f>
        <v>4.3040320000000003</v>
      </c>
      <c r="H422" s="901">
        <f>GLOBAL_DER_FEV_2023!H422</f>
        <v>0</v>
      </c>
      <c r="I422" s="901">
        <f>GLOBAL_DER_FEV_2023!I422</f>
        <v>0</v>
      </c>
      <c r="J422" s="902">
        <f>GLOBAL_DER_FEV_2023!J422</f>
        <v>0</v>
      </c>
      <c r="K422" s="903" t="s">
        <v>507</v>
      </c>
      <c r="L422" s="1003"/>
      <c r="M422" s="1157">
        <f t="shared" si="27"/>
        <v>0</v>
      </c>
      <c r="N422" s="893">
        <f t="shared" si="31"/>
        <v>0</v>
      </c>
      <c r="O422" s="905"/>
      <c r="P422" s="58" t="str">
        <f>IF(N420&gt;0,"xx",IF(N420&gt;0,"xy",""))</f>
        <v>xx</v>
      </c>
      <c r="Q422" s="317" t="str">
        <f t="shared" si="28"/>
        <v>x</v>
      </c>
      <c r="R422" s="317" t="str">
        <f t="shared" si="29"/>
        <v>x</v>
      </c>
      <c r="S422" s="317" t="str">
        <f t="shared" si="30"/>
        <v/>
      </c>
      <c r="T422" s="317" t="str">
        <f>GLOBAL_DER_FEV_2023!S422</f>
        <v/>
      </c>
      <c r="W422" s="582">
        <v>0</v>
      </c>
      <c r="X422" s="580"/>
      <c r="Y422" s="583">
        <f>IF(GLOBAL_DER_FEV_2023!W422=0,0,IF(GLOBAL_DER_FEV_2023!W422&gt;0,"c","b"))</f>
        <v>0</v>
      </c>
    </row>
    <row r="423" spans="1:25" x14ac:dyDescent="0.2">
      <c r="A423" s="317" t="s">
        <v>147</v>
      </c>
      <c r="B423" s="895" t="str">
        <f>GLOBAL_DER_FEV_2023!B423</f>
        <v>transporte</v>
      </c>
      <c r="C423" s="896">
        <f>GLOBAL_DER_FEV_2023!C423</f>
        <v>0</v>
      </c>
      <c r="D423" s="957" t="str">
        <f>GLOBAL_DER_FEV_2023!D423</f>
        <v>Brita ( usina )</v>
      </c>
      <c r="E423" s="907">
        <f>GLOBAL_DER_FEV_2023!E423</f>
        <v>0.2</v>
      </c>
      <c r="F423" s="908" t="str">
        <f>Novos_Traços_CBUQ!M180</f>
        <v>OK</v>
      </c>
      <c r="G423" s="949">
        <f>GLOBAL_DER_FEV_2023!G423</f>
        <v>2.4138853999999998</v>
      </c>
      <c r="H423" s="901">
        <f>GLOBAL_DER_FEV_2023!H423</f>
        <v>0</v>
      </c>
      <c r="I423" s="901">
        <f>GLOBAL_DER_FEV_2023!I423</f>
        <v>0</v>
      </c>
      <c r="J423" s="902">
        <f>GLOBAL_DER_FEV_2023!J423</f>
        <v>0</v>
      </c>
      <c r="K423" s="903" t="s">
        <v>507</v>
      </c>
      <c r="L423" s="1003"/>
      <c r="M423" s="1157">
        <f t="shared" si="27"/>
        <v>0</v>
      </c>
      <c r="N423" s="893">
        <f t="shared" si="31"/>
        <v>0</v>
      </c>
      <c r="O423" s="905"/>
      <c r="P423" s="58" t="str">
        <f>IF(N420&gt;0,"xx",IF(N420&gt;0,"xy",""))</f>
        <v>xx</v>
      </c>
      <c r="Q423" s="317" t="str">
        <f t="shared" si="28"/>
        <v>x</v>
      </c>
      <c r="R423" s="317" t="str">
        <f t="shared" si="29"/>
        <v>x</v>
      </c>
      <c r="S423" s="317" t="str">
        <f t="shared" si="30"/>
        <v/>
      </c>
      <c r="T423" s="317" t="str">
        <f>GLOBAL_DER_FEV_2023!S423</f>
        <v/>
      </c>
      <c r="W423" s="582">
        <v>0</v>
      </c>
      <c r="X423" s="580"/>
      <c r="Y423" s="583">
        <f>IF(GLOBAL_DER_FEV_2023!W423=0,0,IF(GLOBAL_DER_FEV_2023!W423&gt;0,"c","b"))</f>
        <v>0</v>
      </c>
    </row>
    <row r="424" spans="1:25" x14ac:dyDescent="0.2">
      <c r="A424" s="317" t="s">
        <v>147</v>
      </c>
      <c r="B424" s="895" t="str">
        <f>GLOBAL_DER_FEV_2023!B424</f>
        <v>transporte</v>
      </c>
      <c r="C424" s="896">
        <f>GLOBAL_DER_FEV_2023!C424</f>
        <v>0</v>
      </c>
      <c r="D424" s="957" t="str">
        <f>GLOBAL_DER_FEV_2023!D424</f>
        <v>Massa</v>
      </c>
      <c r="E424" s="907">
        <f>GLOBAL_DER_FEV_2023!E424</f>
        <v>22</v>
      </c>
      <c r="F424" s="908">
        <f>GLOBAL_DER_FEV_2023!F424</f>
        <v>1</v>
      </c>
      <c r="G424" s="912">
        <f>GLOBAL_DER_FEV_2023!G424</f>
        <v>29.990000000000002</v>
      </c>
      <c r="H424" s="901">
        <f>GLOBAL_DER_FEV_2023!H424</f>
        <v>0</v>
      </c>
      <c r="I424" s="901">
        <f>GLOBAL_DER_FEV_2023!I424</f>
        <v>0</v>
      </c>
      <c r="J424" s="902">
        <f>GLOBAL_DER_FEV_2023!J424</f>
        <v>0</v>
      </c>
      <c r="K424" s="903" t="s">
        <v>507</v>
      </c>
      <c r="L424" s="1003"/>
      <c r="M424" s="1157">
        <f t="shared" si="27"/>
        <v>0</v>
      </c>
      <c r="N424" s="893">
        <f t="shared" si="31"/>
        <v>0</v>
      </c>
      <c r="O424" s="905"/>
      <c r="P424" s="58" t="str">
        <f>IF(N420&gt;0,"xx",IF(N420&gt;0,"xy",""))</f>
        <v>xx</v>
      </c>
      <c r="Q424" s="317" t="str">
        <f t="shared" si="28"/>
        <v>x</v>
      </c>
      <c r="R424" s="317" t="str">
        <f t="shared" si="29"/>
        <v>x</v>
      </c>
      <c r="S424" s="317" t="str">
        <f t="shared" si="30"/>
        <v/>
      </c>
      <c r="T424" s="317" t="str">
        <f>GLOBAL_DER_FEV_2023!S424</f>
        <v/>
      </c>
      <c r="W424" s="582">
        <v>0</v>
      </c>
      <c r="X424" s="580"/>
      <c r="Y424" s="583">
        <f>IF(GLOBAL_DER_FEV_2023!W424=0,0,IF(GLOBAL_DER_FEV_2023!W424&gt;0,"c","b"))</f>
        <v>0</v>
      </c>
    </row>
    <row r="425" spans="1:25" ht="13.5" thickBot="1" x14ac:dyDescent="0.25">
      <c r="A425" s="317">
        <v>589000</v>
      </c>
      <c r="B425" s="1004" t="str">
        <f>GLOBAL_DER_FEV_2023!B425</f>
        <v>589000I</v>
      </c>
      <c r="C425" s="984" t="str">
        <f>GLOBAL_DER_FEV_2023!C425</f>
        <v>DER mat</v>
      </c>
      <c r="D425" s="1012" t="str">
        <f>GLOBAL_DER_FEV_2023!D425</f>
        <v>Fornecimento de CAP - CBUQ (Quantidade menor que 10.000 ton)</v>
      </c>
      <c r="E425" s="1005">
        <f>GLOBAL_DER_FEV_2023!E425</f>
        <v>45</v>
      </c>
      <c r="F425" s="1006">
        <f>GLOBAL_DER_FEV_2023!F425</f>
        <v>1</v>
      </c>
      <c r="G425" s="949">
        <f>GLOBAL_DER_FEV_2023!G425</f>
        <v>88.36</v>
      </c>
      <c r="H425" s="988">
        <f>GLOBAL_DER_FEV_2023!H425</f>
        <v>4828.8599999999997</v>
      </c>
      <c r="I425" s="988">
        <f>GLOBAL_DER_FEV_2023!I425</f>
        <v>4724.580378112767</v>
      </c>
      <c r="J425" s="989">
        <f>GLOBAL_DER_FEV_2023!J425</f>
        <v>5672.8</v>
      </c>
      <c r="K425" s="990" t="s">
        <v>14</v>
      </c>
      <c r="L425" s="1154">
        <f>ROUND(L420*$F420,2)</f>
        <v>24.8</v>
      </c>
      <c r="M425" s="1159">
        <f t="shared" ref="M425:M524" si="32">IF(L425=0,0,ROUND(J425,2))</f>
        <v>5672.8</v>
      </c>
      <c r="N425" s="993">
        <f t="shared" si="31"/>
        <v>140685.44</v>
      </c>
      <c r="O425" s="905"/>
      <c r="P425" s="58" t="str">
        <f>IF(N420&gt;0,"xx",IF(N420&gt;0,"xy",""))</f>
        <v>xx</v>
      </c>
      <c r="Q425" s="317" t="str">
        <f t="shared" si="28"/>
        <v>x</v>
      </c>
      <c r="R425" s="317" t="str">
        <f t="shared" si="29"/>
        <v>x</v>
      </c>
      <c r="S425" s="317" t="str">
        <f t="shared" si="30"/>
        <v>x</v>
      </c>
      <c r="T425" s="317" t="str">
        <f>GLOBAL_DER_FEV_2023!S425</f>
        <v>x</v>
      </c>
      <c r="W425" s="582">
        <v>0</v>
      </c>
      <c r="X425" s="580"/>
      <c r="Y425" s="583">
        <f>IF(GLOBAL_DER_FEV_2023!W425=0,0,IF(GLOBAL_DER_FEV_2023!W425&gt;0,"c","b"))</f>
        <v>0</v>
      </c>
    </row>
    <row r="426" spans="1:25" ht="17.25" hidden="1" customHeight="1" x14ac:dyDescent="0.2">
      <c r="A426" s="317">
        <v>570000</v>
      </c>
      <c r="B426" s="999" t="str">
        <f>GLOBAL_DER_FEV_2023!B426</f>
        <v>570000C</v>
      </c>
      <c r="C426" s="1000" t="str">
        <f>GLOBAL_DER_FEV_2023!C426</f>
        <v>DER</v>
      </c>
      <c r="D426" s="1019" t="str">
        <f>GLOBAL_DER_FEV_2023!D426</f>
        <v>CBUQ - TRAÇO 2 - CAPA - Faixa "C" (Quantidade menor que 10.000 ton)</v>
      </c>
      <c r="E426" s="974" t="str">
        <f>GLOBAL_DER_FEV_2023!E426</f>
        <v>taxa CAP</v>
      </c>
      <c r="F426" s="1023">
        <f>GLOBAL_DER_FEV_2023!F426</f>
        <v>5.5E-2</v>
      </c>
      <c r="G426" s="976">
        <f>GLOBAL_DER_FEV_2023!G426</f>
        <v>53.017503800000007</v>
      </c>
      <c r="H426" s="977">
        <f>GLOBAL_DER_FEV_2023!H426</f>
        <v>187.41</v>
      </c>
      <c r="I426" s="977">
        <f>GLOBAL_DER_FEV_2023!I426</f>
        <v>240.42750380000001</v>
      </c>
      <c r="J426" s="978">
        <f>GLOBAL_DER_FEV_2023!J426</f>
        <v>288.68</v>
      </c>
      <c r="K426" s="979" t="s">
        <v>14</v>
      </c>
      <c r="L426" s="1152"/>
      <c r="M426" s="1153">
        <f t="shared" si="32"/>
        <v>0</v>
      </c>
      <c r="N426" s="982">
        <f t="shared" si="31"/>
        <v>0</v>
      </c>
      <c r="O426" s="905"/>
      <c r="Q426" s="317" t="str">
        <f t="shared" si="28"/>
        <v/>
      </c>
      <c r="R426" s="317" t="str">
        <f t="shared" si="29"/>
        <v/>
      </c>
      <c r="S426" s="317" t="str">
        <f t="shared" si="30"/>
        <v/>
      </c>
      <c r="T426" s="317" t="str">
        <f>GLOBAL_DER_FEV_2023!S426</f>
        <v/>
      </c>
      <c r="W426" s="582">
        <v>0</v>
      </c>
      <c r="X426" s="580"/>
      <c r="Y426" s="583">
        <f>IF(GLOBAL_DER_FEV_2023!W426=0,0,IF(GLOBAL_DER_FEV_2023!W426&gt;0,"c","b"))</f>
        <v>0</v>
      </c>
    </row>
    <row r="427" spans="1:25" ht="13.5" hidden="1" thickBot="1" x14ac:dyDescent="0.25">
      <c r="A427" s="317" t="s">
        <v>147</v>
      </c>
      <c r="B427" s="895" t="str">
        <f>GLOBAL_DER_FEV_2023!B427</f>
        <v>transporte</v>
      </c>
      <c r="C427" s="896">
        <f>GLOBAL_DER_FEV_2023!C427</f>
        <v>0</v>
      </c>
      <c r="D427" s="957" t="str">
        <f>GLOBAL_DER_FEV_2023!D427</f>
        <v>Areia</v>
      </c>
      <c r="E427" s="907">
        <f>GLOBAL_DER_FEV_2023!E427</f>
        <v>150</v>
      </c>
      <c r="F427" s="908">
        <f>GLOBAL_DER_FEV_2023!F427</f>
        <v>0.1002</v>
      </c>
      <c r="G427" s="949">
        <f>GLOBAL_DER_FEV_2023!G427</f>
        <v>16.350636000000002</v>
      </c>
      <c r="H427" s="901">
        <f>GLOBAL_DER_FEV_2023!H427</f>
        <v>0</v>
      </c>
      <c r="I427" s="901">
        <f>GLOBAL_DER_FEV_2023!I427</f>
        <v>0</v>
      </c>
      <c r="J427" s="902">
        <f>GLOBAL_DER_FEV_2023!J427</f>
        <v>0</v>
      </c>
      <c r="K427" s="903" t="s">
        <v>507</v>
      </c>
      <c r="L427" s="1003"/>
      <c r="M427" s="1157">
        <f t="shared" si="32"/>
        <v>0</v>
      </c>
      <c r="N427" s="893">
        <f t="shared" si="31"/>
        <v>0</v>
      </c>
      <c r="O427" s="905"/>
      <c r="P427" s="58" t="str">
        <f>IF(N426&gt;0,"xx",IF(N426&gt;0,"xy",""))</f>
        <v/>
      </c>
      <c r="Q427" s="317" t="str">
        <f t="shared" ref="Q427:Q526" si="33">IF(P427="X","x",IF(P427="xx","x",IF(P427="xy","x",IF(P427="y","x",IF(OR(N427&gt;0,N427&gt;0),"x","")))))</f>
        <v/>
      </c>
      <c r="R427" s="317" t="str">
        <f t="shared" si="29"/>
        <v/>
      </c>
      <c r="S427" s="317" t="str">
        <f t="shared" si="30"/>
        <v/>
      </c>
      <c r="T427" s="317" t="str">
        <f>GLOBAL_DER_FEV_2023!S427</f>
        <v/>
      </c>
      <c r="W427" s="582">
        <v>0</v>
      </c>
      <c r="X427" s="580"/>
      <c r="Y427" s="583">
        <f>IF(GLOBAL_DER_FEV_2023!W427=0,0,IF(GLOBAL_DER_FEV_2023!W427&gt;0,"c","b"))</f>
        <v>0</v>
      </c>
    </row>
    <row r="428" spans="1:25" ht="13.5" hidden="1" thickBot="1" x14ac:dyDescent="0.25">
      <c r="A428" s="317" t="s">
        <v>147</v>
      </c>
      <c r="B428" s="895" t="str">
        <f>GLOBAL_DER_FEV_2023!B428</f>
        <v>transporte</v>
      </c>
      <c r="C428" s="896">
        <f>GLOBAL_DER_FEV_2023!C428</f>
        <v>0</v>
      </c>
      <c r="D428" s="957" t="str">
        <f>GLOBAL_DER_FEV_2023!D428</f>
        <v>Cal Hidratada CH-1</v>
      </c>
      <c r="E428" s="907">
        <f>GLOBAL_DER_FEV_2023!E428</f>
        <v>353</v>
      </c>
      <c r="F428" s="908">
        <f>GLOBAL_DER_FEV_2023!F428</f>
        <v>1.5100000000000001E-2</v>
      </c>
      <c r="G428" s="909">
        <f>GLOBAL_DER_FEV_2023!G428</f>
        <v>4.275716000000001</v>
      </c>
      <c r="H428" s="901">
        <f>GLOBAL_DER_FEV_2023!H428</f>
        <v>0</v>
      </c>
      <c r="I428" s="901">
        <f>GLOBAL_DER_FEV_2023!I428</f>
        <v>0</v>
      </c>
      <c r="J428" s="902">
        <f>GLOBAL_DER_FEV_2023!J428</f>
        <v>0</v>
      </c>
      <c r="K428" s="903" t="s">
        <v>507</v>
      </c>
      <c r="L428" s="1003"/>
      <c r="M428" s="1157">
        <f t="shared" si="32"/>
        <v>0</v>
      </c>
      <c r="N428" s="893">
        <f t="shared" si="31"/>
        <v>0</v>
      </c>
      <c r="O428" s="905"/>
      <c r="P428" s="58" t="str">
        <f>IF(N426&gt;0,"xx",IF(N426&gt;0,"xy",""))</f>
        <v/>
      </c>
      <c r="Q428" s="317" t="str">
        <f t="shared" si="33"/>
        <v/>
      </c>
      <c r="R428" s="317" t="str">
        <f t="shared" si="29"/>
        <v/>
      </c>
      <c r="S428" s="317" t="str">
        <f t="shared" si="30"/>
        <v/>
      </c>
      <c r="T428" s="317" t="str">
        <f>GLOBAL_DER_FEV_2023!S428</f>
        <v/>
      </c>
      <c r="W428" s="582">
        <v>0</v>
      </c>
      <c r="X428" s="580"/>
      <c r="Y428" s="583">
        <f>IF(GLOBAL_DER_FEV_2023!W428=0,0,IF(GLOBAL_DER_FEV_2023!W428&gt;0,"c","b"))</f>
        <v>0</v>
      </c>
    </row>
    <row r="429" spans="1:25" ht="13.5" hidden="1" thickBot="1" x14ac:dyDescent="0.25">
      <c r="A429" s="317" t="s">
        <v>147</v>
      </c>
      <c r="B429" s="895" t="str">
        <f>GLOBAL_DER_FEV_2023!B429</f>
        <v>transporte</v>
      </c>
      <c r="C429" s="896">
        <f>GLOBAL_DER_FEV_2023!C429</f>
        <v>0</v>
      </c>
      <c r="D429" s="957" t="str">
        <f>GLOBAL_DER_FEV_2023!D429</f>
        <v>Brita ( usina )</v>
      </c>
      <c r="E429" s="907">
        <f>GLOBAL_DER_FEV_2023!E429</f>
        <v>0.2</v>
      </c>
      <c r="F429" s="908">
        <f>GLOBAL_DER_FEV_2023!F429</f>
        <v>0.82969999999999999</v>
      </c>
      <c r="G429" s="949">
        <f>GLOBAL_DER_FEV_2023!G429</f>
        <v>2.4011518000000001</v>
      </c>
      <c r="H429" s="901">
        <f>GLOBAL_DER_FEV_2023!H429</f>
        <v>0</v>
      </c>
      <c r="I429" s="901">
        <f>GLOBAL_DER_FEV_2023!I429</f>
        <v>0</v>
      </c>
      <c r="J429" s="902">
        <f>GLOBAL_DER_FEV_2023!J429</f>
        <v>0</v>
      </c>
      <c r="K429" s="903" t="s">
        <v>507</v>
      </c>
      <c r="L429" s="1003"/>
      <c r="M429" s="1157">
        <f t="shared" si="32"/>
        <v>0</v>
      </c>
      <c r="N429" s="893">
        <f t="shared" si="31"/>
        <v>0</v>
      </c>
      <c r="O429" s="905"/>
      <c r="P429" s="58" t="str">
        <f>IF(N426&gt;0,"xx",IF(N426&gt;0,"xy",""))</f>
        <v/>
      </c>
      <c r="Q429" s="317" t="str">
        <f t="shared" si="33"/>
        <v/>
      </c>
      <c r="R429" s="317" t="str">
        <f t="shared" ref="R429:R528" si="34">IF(P429="X","x",IF(P429="y","x",IF(P429="xx","x",IF(N429&gt;0,"x",""))))</f>
        <v/>
      </c>
      <c r="S429" s="317" t="str">
        <f t="shared" ref="S429:S528" si="35">IF(P429="X","x",IF(N429&gt;0,"x",""))</f>
        <v/>
      </c>
      <c r="T429" s="317" t="str">
        <f>GLOBAL_DER_FEV_2023!S429</f>
        <v/>
      </c>
      <c r="W429" s="582">
        <v>0</v>
      </c>
      <c r="X429" s="580"/>
      <c r="Y429" s="583">
        <f>IF(GLOBAL_DER_FEV_2023!W429=0,0,IF(GLOBAL_DER_FEV_2023!W429&gt;0,"c","b"))</f>
        <v>0</v>
      </c>
    </row>
    <row r="430" spans="1:25" ht="13.5" hidden="1" thickBot="1" x14ac:dyDescent="0.25">
      <c r="A430" s="317" t="s">
        <v>147</v>
      </c>
      <c r="B430" s="895" t="str">
        <f>GLOBAL_DER_FEV_2023!B430</f>
        <v>transporte</v>
      </c>
      <c r="C430" s="896">
        <f>GLOBAL_DER_FEV_2023!C430</f>
        <v>0</v>
      </c>
      <c r="D430" s="957" t="str">
        <f>GLOBAL_DER_FEV_2023!D430</f>
        <v>Massa</v>
      </c>
      <c r="E430" s="907">
        <f>GLOBAL_DER_FEV_2023!E430</f>
        <v>22</v>
      </c>
      <c r="F430" s="908">
        <f>GLOBAL_DER_FEV_2023!F430</f>
        <v>1</v>
      </c>
      <c r="G430" s="912">
        <f>GLOBAL_DER_FEV_2023!G430</f>
        <v>29.990000000000002</v>
      </c>
      <c r="H430" s="901">
        <f>GLOBAL_DER_FEV_2023!H430</f>
        <v>0</v>
      </c>
      <c r="I430" s="901">
        <f>GLOBAL_DER_FEV_2023!I430</f>
        <v>0</v>
      </c>
      <c r="J430" s="902">
        <f>GLOBAL_DER_FEV_2023!J430</f>
        <v>0</v>
      </c>
      <c r="K430" s="903" t="s">
        <v>507</v>
      </c>
      <c r="L430" s="1003"/>
      <c r="M430" s="1157">
        <f t="shared" si="32"/>
        <v>0</v>
      </c>
      <c r="N430" s="893">
        <f t="shared" si="31"/>
        <v>0</v>
      </c>
      <c r="O430" s="905"/>
      <c r="P430" s="58" t="str">
        <f>IF(N426&gt;0,"xx",IF(N426&gt;0,"xy",""))</f>
        <v/>
      </c>
      <c r="Q430" s="317" t="str">
        <f t="shared" si="33"/>
        <v/>
      </c>
      <c r="R430" s="317" t="str">
        <f t="shared" si="34"/>
        <v/>
      </c>
      <c r="S430" s="317" t="str">
        <f t="shared" si="35"/>
        <v/>
      </c>
      <c r="T430" s="317" t="str">
        <f>GLOBAL_DER_FEV_2023!S430</f>
        <v/>
      </c>
      <c r="W430" s="582">
        <v>0</v>
      </c>
      <c r="X430" s="580"/>
      <c r="Y430" s="583">
        <f>IF(GLOBAL_DER_FEV_2023!W430=0,0,IF(GLOBAL_DER_FEV_2023!W430&gt;0,"c","b"))</f>
        <v>0</v>
      </c>
    </row>
    <row r="431" spans="1:25" ht="13.5" hidden="1" thickBot="1" x14ac:dyDescent="0.25">
      <c r="A431" s="317">
        <v>589000</v>
      </c>
      <c r="B431" s="1004" t="str">
        <f>GLOBAL_DER_FEV_2023!B431</f>
        <v>589000J</v>
      </c>
      <c r="C431" s="984" t="str">
        <f>GLOBAL_DER_FEV_2023!C431</f>
        <v>DER mat</v>
      </c>
      <c r="D431" s="1012" t="str">
        <f>GLOBAL_DER_FEV_2023!D431</f>
        <v>Fornecimento de CAP - CBUQ (Quantidade menor que 10.000 ton)</v>
      </c>
      <c r="E431" s="1005">
        <f>GLOBAL_DER_FEV_2023!E431</f>
        <v>45</v>
      </c>
      <c r="F431" s="1006">
        <f>GLOBAL_DER_FEV_2023!F431</f>
        <v>1</v>
      </c>
      <c r="G431" s="949">
        <f>GLOBAL_DER_FEV_2023!G431</f>
        <v>88.36</v>
      </c>
      <c r="H431" s="988">
        <f>GLOBAL_DER_FEV_2023!H431</f>
        <v>4828.8599999999997</v>
      </c>
      <c r="I431" s="988">
        <f>GLOBAL_DER_FEV_2023!I431</f>
        <v>4724.580378112767</v>
      </c>
      <c r="J431" s="989">
        <f>GLOBAL_DER_FEV_2023!J431</f>
        <v>5672.8</v>
      </c>
      <c r="K431" s="990" t="s">
        <v>14</v>
      </c>
      <c r="L431" s="1154">
        <f>ROUND(L426*$F426,2)</f>
        <v>0</v>
      </c>
      <c r="M431" s="1159">
        <f t="shared" si="32"/>
        <v>0</v>
      </c>
      <c r="N431" s="993">
        <f t="shared" si="31"/>
        <v>0</v>
      </c>
      <c r="O431" s="905"/>
      <c r="P431" s="58" t="str">
        <f>IF(N426&gt;0,"xx",IF(N426&gt;0,"xy",""))</f>
        <v/>
      </c>
      <c r="Q431" s="317" t="str">
        <f t="shared" si="33"/>
        <v/>
      </c>
      <c r="R431" s="317" t="str">
        <f t="shared" si="34"/>
        <v/>
      </c>
      <c r="S431" s="317" t="str">
        <f t="shared" si="35"/>
        <v/>
      </c>
      <c r="T431" s="317" t="str">
        <f>GLOBAL_DER_FEV_2023!S431</f>
        <v/>
      </c>
      <c r="W431" s="582">
        <v>0</v>
      </c>
      <c r="X431" s="580"/>
      <c r="Y431" s="583">
        <f>IF(GLOBAL_DER_FEV_2023!W431=0,0,IF(GLOBAL_DER_FEV_2023!W431&gt;0,"c","b"))</f>
        <v>0</v>
      </c>
    </row>
    <row r="432" spans="1:25" ht="13.5" hidden="1" thickBot="1" x14ac:dyDescent="0.25">
      <c r="A432" s="317">
        <v>570000</v>
      </c>
      <c r="B432" s="999" t="str">
        <f>GLOBAL_DER_FEV_2023!B432</f>
        <v>570000D</v>
      </c>
      <c r="C432" s="1000" t="str">
        <f>GLOBAL_DER_FEV_2023!C432</f>
        <v>DER</v>
      </c>
      <c r="D432" s="1019" t="str">
        <f>GLOBAL_DER_FEV_2023!D432</f>
        <v>CBUQ - TRAÇO 3 - CAPA - Faixa "C" (Quantidade menor que 10.000 ton)</v>
      </c>
      <c r="E432" s="974" t="str">
        <f>GLOBAL_DER_FEV_2023!E432</f>
        <v>taxa CAP</v>
      </c>
      <c r="F432" s="1023">
        <f>GLOBAL_DER_FEV_2023!F432</f>
        <v>5.7000000000000002E-2</v>
      </c>
      <c r="G432" s="976">
        <f>GLOBAL_DER_FEV_2023!G432</f>
        <v>52.951632000000004</v>
      </c>
      <c r="H432" s="977">
        <f>GLOBAL_DER_FEV_2023!H432</f>
        <v>187.41</v>
      </c>
      <c r="I432" s="977">
        <f>GLOBAL_DER_FEV_2023!I432</f>
        <v>240.36163199999999</v>
      </c>
      <c r="J432" s="978">
        <f>GLOBAL_DER_FEV_2023!J432</f>
        <v>288.60000000000002</v>
      </c>
      <c r="K432" s="979" t="s">
        <v>14</v>
      </c>
      <c r="L432" s="1152"/>
      <c r="M432" s="1153">
        <f t="shared" si="32"/>
        <v>0</v>
      </c>
      <c r="N432" s="982">
        <f t="shared" si="31"/>
        <v>0</v>
      </c>
      <c r="O432" s="905"/>
      <c r="Q432" s="317" t="str">
        <f t="shared" si="33"/>
        <v/>
      </c>
      <c r="R432" s="317" t="str">
        <f t="shared" si="34"/>
        <v/>
      </c>
      <c r="S432" s="317" t="str">
        <f t="shared" si="35"/>
        <v/>
      </c>
      <c r="T432" s="317" t="str">
        <f>GLOBAL_DER_FEV_2023!S432</f>
        <v/>
      </c>
      <c r="W432" s="582">
        <v>0</v>
      </c>
      <c r="X432" s="580"/>
      <c r="Y432" s="583">
        <f>IF(GLOBAL_DER_FEV_2023!W432=0,0,IF(GLOBAL_DER_FEV_2023!W432&gt;0,"c","b"))</f>
        <v>0</v>
      </c>
    </row>
    <row r="433" spans="1:25" ht="13.5" hidden="1" thickBot="1" x14ac:dyDescent="0.25">
      <c r="A433" s="317" t="s">
        <v>147</v>
      </c>
      <c r="B433" s="895" t="str">
        <f>GLOBAL_DER_FEV_2023!B433</f>
        <v>transporte</v>
      </c>
      <c r="C433" s="896">
        <f>GLOBAL_DER_FEV_2023!C433</f>
        <v>0</v>
      </c>
      <c r="D433" s="957" t="str">
        <f>GLOBAL_DER_FEV_2023!D433</f>
        <v>Areia</v>
      </c>
      <c r="E433" s="907">
        <f>GLOBAL_DER_FEV_2023!E433</f>
        <v>150</v>
      </c>
      <c r="F433" s="908">
        <f>GLOBAL_DER_FEV_2023!F433</f>
        <v>0.1</v>
      </c>
      <c r="G433" s="949">
        <f>GLOBAL_DER_FEV_2023!G433</f>
        <v>16.318000000000001</v>
      </c>
      <c r="H433" s="901">
        <f>GLOBAL_DER_FEV_2023!H433</f>
        <v>0</v>
      </c>
      <c r="I433" s="901">
        <f>GLOBAL_DER_FEV_2023!I433</f>
        <v>0</v>
      </c>
      <c r="J433" s="902">
        <f>GLOBAL_DER_FEV_2023!J433</f>
        <v>0</v>
      </c>
      <c r="K433" s="903" t="s">
        <v>507</v>
      </c>
      <c r="L433" s="1003"/>
      <c r="M433" s="1157">
        <f t="shared" si="32"/>
        <v>0</v>
      </c>
      <c r="N433" s="893">
        <f t="shared" ref="N433:N532" si="36">IF(ISBLANK(L433),0,IF(W433=0,ROUND(L433*M433,2),IF(W433="b",ROUNDDOWN(L433*M433,2),ROUNDUP(L433*M433,2))))</f>
        <v>0</v>
      </c>
      <c r="O433" s="905"/>
      <c r="P433" s="58" t="str">
        <f>IF(N432&gt;0,"xx",IF(N432&gt;0,"xy",""))</f>
        <v/>
      </c>
      <c r="Q433" s="317" t="str">
        <f t="shared" si="33"/>
        <v/>
      </c>
      <c r="R433" s="317" t="str">
        <f t="shared" si="34"/>
        <v/>
      </c>
      <c r="S433" s="317" t="str">
        <f t="shared" si="35"/>
        <v/>
      </c>
      <c r="T433" s="317" t="str">
        <f>GLOBAL_DER_FEV_2023!S433</f>
        <v/>
      </c>
      <c r="W433" s="582">
        <v>0</v>
      </c>
      <c r="X433" s="580"/>
      <c r="Y433" s="583">
        <f>IF(GLOBAL_DER_FEV_2023!W433=0,0,IF(GLOBAL_DER_FEV_2023!W433&gt;0,"c","b"))</f>
        <v>0</v>
      </c>
    </row>
    <row r="434" spans="1:25" ht="13.5" hidden="1" thickBot="1" x14ac:dyDescent="0.25">
      <c r="A434" s="317" t="s">
        <v>147</v>
      </c>
      <c r="B434" s="895" t="str">
        <f>GLOBAL_DER_FEV_2023!B434</f>
        <v>transporte</v>
      </c>
      <c r="C434" s="896">
        <f>GLOBAL_DER_FEV_2023!C434</f>
        <v>0</v>
      </c>
      <c r="D434" s="957" t="str">
        <f>GLOBAL_DER_FEV_2023!D434</f>
        <v>Cal Hidratada CH-1</v>
      </c>
      <c r="E434" s="907">
        <f>GLOBAL_DER_FEV_2023!E434</f>
        <v>353</v>
      </c>
      <c r="F434" s="908">
        <f>GLOBAL_DER_FEV_2023!F434</f>
        <v>1.4999999999999999E-2</v>
      </c>
      <c r="G434" s="909">
        <f>GLOBAL_DER_FEV_2023!G434</f>
        <v>4.2473999999999998</v>
      </c>
      <c r="H434" s="901">
        <f>GLOBAL_DER_FEV_2023!H434</f>
        <v>0</v>
      </c>
      <c r="I434" s="901">
        <f>GLOBAL_DER_FEV_2023!I434</f>
        <v>0</v>
      </c>
      <c r="J434" s="902">
        <f>GLOBAL_DER_FEV_2023!J434</f>
        <v>0</v>
      </c>
      <c r="K434" s="903" t="s">
        <v>507</v>
      </c>
      <c r="L434" s="1003"/>
      <c r="M434" s="1157">
        <f t="shared" si="32"/>
        <v>0</v>
      </c>
      <c r="N434" s="893">
        <f t="shared" si="36"/>
        <v>0</v>
      </c>
      <c r="O434" s="905"/>
      <c r="P434" s="58" t="str">
        <f>IF(N432&gt;0,"xx",IF(N432&gt;0,"xy",""))</f>
        <v/>
      </c>
      <c r="Q434" s="317" t="str">
        <f t="shared" si="33"/>
        <v/>
      </c>
      <c r="R434" s="317" t="str">
        <f t="shared" si="34"/>
        <v/>
      </c>
      <c r="S434" s="317" t="str">
        <f t="shared" si="35"/>
        <v/>
      </c>
      <c r="T434" s="317" t="str">
        <f>GLOBAL_DER_FEV_2023!S434</f>
        <v/>
      </c>
      <c r="W434" s="582">
        <v>0</v>
      </c>
      <c r="X434" s="580"/>
      <c r="Y434" s="583">
        <f>IF(GLOBAL_DER_FEV_2023!W434=0,0,IF(GLOBAL_DER_FEV_2023!W434&gt;0,"c","b"))</f>
        <v>0</v>
      </c>
    </row>
    <row r="435" spans="1:25" ht="13.5" hidden="1" thickBot="1" x14ac:dyDescent="0.25">
      <c r="A435" s="317" t="s">
        <v>147</v>
      </c>
      <c r="B435" s="895" t="str">
        <f>GLOBAL_DER_FEV_2023!B435</f>
        <v>transporte</v>
      </c>
      <c r="C435" s="896">
        <f>GLOBAL_DER_FEV_2023!C435</f>
        <v>0</v>
      </c>
      <c r="D435" s="957" t="str">
        <f>GLOBAL_DER_FEV_2023!D435</f>
        <v>Brita ( usina )</v>
      </c>
      <c r="E435" s="907">
        <f>GLOBAL_DER_FEV_2023!E435</f>
        <v>0.2</v>
      </c>
      <c r="F435" s="908">
        <f>GLOBAL_DER_FEV_2023!F435</f>
        <v>0.82799999999999996</v>
      </c>
      <c r="G435" s="949">
        <f>GLOBAL_DER_FEV_2023!G435</f>
        <v>2.3962319999999999</v>
      </c>
      <c r="H435" s="901">
        <f>GLOBAL_DER_FEV_2023!H435</f>
        <v>0</v>
      </c>
      <c r="I435" s="901">
        <f>GLOBAL_DER_FEV_2023!I435</f>
        <v>0</v>
      </c>
      <c r="J435" s="902">
        <f>GLOBAL_DER_FEV_2023!J435</f>
        <v>0</v>
      </c>
      <c r="K435" s="903" t="s">
        <v>507</v>
      </c>
      <c r="L435" s="1003"/>
      <c r="M435" s="1157">
        <f t="shared" si="32"/>
        <v>0</v>
      </c>
      <c r="N435" s="893">
        <f t="shared" si="36"/>
        <v>0</v>
      </c>
      <c r="O435" s="905"/>
      <c r="P435" s="58" t="str">
        <f>IF(N432&gt;0,"xx",IF(N432&gt;0,"xy",""))</f>
        <v/>
      </c>
      <c r="Q435" s="317" t="str">
        <f t="shared" si="33"/>
        <v/>
      </c>
      <c r="R435" s="317" t="str">
        <f t="shared" si="34"/>
        <v/>
      </c>
      <c r="S435" s="317" t="str">
        <f t="shared" si="35"/>
        <v/>
      </c>
      <c r="T435" s="317" t="str">
        <f>GLOBAL_DER_FEV_2023!S435</f>
        <v/>
      </c>
      <c r="W435" s="582">
        <v>0</v>
      </c>
      <c r="X435" s="580"/>
      <c r="Y435" s="583">
        <f>IF(GLOBAL_DER_FEV_2023!W435=0,0,IF(GLOBAL_DER_FEV_2023!W435&gt;0,"c","b"))</f>
        <v>0</v>
      </c>
    </row>
    <row r="436" spans="1:25" ht="13.5" hidden="1" thickBot="1" x14ac:dyDescent="0.25">
      <c r="A436" s="317" t="s">
        <v>147</v>
      </c>
      <c r="B436" s="895" t="str">
        <f>GLOBAL_DER_FEV_2023!B436</f>
        <v>transporte</v>
      </c>
      <c r="C436" s="896">
        <f>GLOBAL_DER_FEV_2023!C436</f>
        <v>0</v>
      </c>
      <c r="D436" s="957" t="str">
        <f>GLOBAL_DER_FEV_2023!D436</f>
        <v>Massa</v>
      </c>
      <c r="E436" s="907">
        <f>GLOBAL_DER_FEV_2023!E436</f>
        <v>22</v>
      </c>
      <c r="F436" s="908">
        <f>GLOBAL_DER_FEV_2023!F436</f>
        <v>1</v>
      </c>
      <c r="G436" s="912">
        <f>GLOBAL_DER_FEV_2023!G436</f>
        <v>29.990000000000002</v>
      </c>
      <c r="H436" s="901">
        <f>GLOBAL_DER_FEV_2023!H436</f>
        <v>0</v>
      </c>
      <c r="I436" s="901">
        <f>GLOBAL_DER_FEV_2023!I436</f>
        <v>0</v>
      </c>
      <c r="J436" s="902">
        <f>GLOBAL_DER_FEV_2023!J436</f>
        <v>0</v>
      </c>
      <c r="K436" s="903" t="s">
        <v>507</v>
      </c>
      <c r="L436" s="1003"/>
      <c r="M436" s="1157">
        <f t="shared" si="32"/>
        <v>0</v>
      </c>
      <c r="N436" s="893">
        <f t="shared" si="36"/>
        <v>0</v>
      </c>
      <c r="O436" s="905"/>
      <c r="P436" s="58" t="str">
        <f>IF(N432&gt;0,"xx",IF(N432&gt;0,"xy",""))</f>
        <v/>
      </c>
      <c r="Q436" s="317" t="str">
        <f t="shared" si="33"/>
        <v/>
      </c>
      <c r="R436" s="317" t="str">
        <f t="shared" si="34"/>
        <v/>
      </c>
      <c r="S436" s="317" t="str">
        <f t="shared" si="35"/>
        <v/>
      </c>
      <c r="T436" s="317" t="str">
        <f>GLOBAL_DER_FEV_2023!S436</f>
        <v/>
      </c>
      <c r="W436" s="582">
        <v>0</v>
      </c>
      <c r="X436" s="580"/>
      <c r="Y436" s="583">
        <f>IF(GLOBAL_DER_FEV_2023!W436=0,0,IF(GLOBAL_DER_FEV_2023!W436&gt;0,"c","b"))</f>
        <v>0</v>
      </c>
    </row>
    <row r="437" spans="1:25" ht="13.5" hidden="1" thickBot="1" x14ac:dyDescent="0.25">
      <c r="A437" s="317">
        <v>589000</v>
      </c>
      <c r="B437" s="1004" t="str">
        <f>GLOBAL_DER_FEV_2023!B437</f>
        <v>589000K</v>
      </c>
      <c r="C437" s="984" t="str">
        <f>GLOBAL_DER_FEV_2023!C437</f>
        <v>DER mat</v>
      </c>
      <c r="D437" s="1012" t="str">
        <f>GLOBAL_DER_FEV_2023!D437</f>
        <v>Fornecimento de CAP - CBUQ (Quantidade menor que 10.000 ton)</v>
      </c>
      <c r="E437" s="1005">
        <f>GLOBAL_DER_FEV_2023!E437</f>
        <v>45</v>
      </c>
      <c r="F437" s="1006">
        <f>GLOBAL_DER_FEV_2023!F437</f>
        <v>1</v>
      </c>
      <c r="G437" s="949">
        <f>GLOBAL_DER_FEV_2023!G437</f>
        <v>88.36</v>
      </c>
      <c r="H437" s="988">
        <f>GLOBAL_DER_FEV_2023!H437</f>
        <v>4828.8599999999997</v>
      </c>
      <c r="I437" s="988">
        <f>GLOBAL_DER_FEV_2023!I437</f>
        <v>4724.580378112767</v>
      </c>
      <c r="J437" s="989">
        <f>GLOBAL_DER_FEV_2023!J437</f>
        <v>5672.8</v>
      </c>
      <c r="K437" s="990" t="s">
        <v>14</v>
      </c>
      <c r="L437" s="1154">
        <f>ROUND(L432*$F432,2)</f>
        <v>0</v>
      </c>
      <c r="M437" s="1159">
        <f t="shared" si="32"/>
        <v>0</v>
      </c>
      <c r="N437" s="993">
        <f t="shared" si="36"/>
        <v>0</v>
      </c>
      <c r="O437" s="905"/>
      <c r="P437" s="58" t="str">
        <f>IF(N432&gt;0,"xx",IF(N432&gt;0,"xy",""))</f>
        <v/>
      </c>
      <c r="Q437" s="317" t="str">
        <f t="shared" si="33"/>
        <v/>
      </c>
      <c r="R437" s="317" t="str">
        <f t="shared" si="34"/>
        <v/>
      </c>
      <c r="S437" s="317" t="str">
        <f t="shared" si="35"/>
        <v/>
      </c>
      <c r="T437" s="317" t="str">
        <f>GLOBAL_DER_FEV_2023!S437</f>
        <v/>
      </c>
      <c r="W437" s="582">
        <v>0</v>
      </c>
      <c r="X437" s="580"/>
      <c r="Y437" s="583">
        <f>IF(GLOBAL_DER_FEV_2023!W437=0,0,IF(GLOBAL_DER_FEV_2023!W437&gt;0,"c","b"))</f>
        <v>0</v>
      </c>
    </row>
    <row r="438" spans="1:25" ht="13.5" hidden="1" thickBot="1" x14ac:dyDescent="0.25">
      <c r="A438" s="317">
        <v>570000</v>
      </c>
      <c r="B438" s="999" t="str">
        <f>GLOBAL_DER_FEV_2023!B438</f>
        <v>570000D</v>
      </c>
      <c r="C438" s="1000" t="str">
        <f>GLOBAL_DER_FEV_2023!C438</f>
        <v>DER</v>
      </c>
      <c r="D438" s="1024" t="str">
        <f>GLOBAL_DER_FEV_2023!D438</f>
        <v>CBUQ - Novos traços - TRAÇO 4 - FAIXA "C" - (Quant. menor que 10.000 ton)</v>
      </c>
      <c r="E438" s="974" t="str">
        <f>GLOBAL_DER_FEV_2023!E438</f>
        <v>taxa CAP</v>
      </c>
      <c r="F438" s="1025">
        <f>GLOBAL_DER_FEV_2023!F438</f>
        <v>5.1999999999999998E-2</v>
      </c>
      <c r="G438" s="976">
        <f>GLOBAL_DER_FEV_2023!G438</f>
        <v>52.076655400000007</v>
      </c>
      <c r="H438" s="977">
        <f>GLOBAL_DER_FEV_2023!H438</f>
        <v>187.41</v>
      </c>
      <c r="I438" s="977">
        <f>GLOBAL_DER_FEV_2023!I438</f>
        <v>239.48665540000002</v>
      </c>
      <c r="J438" s="978">
        <f>GLOBAL_DER_FEV_2023!J438</f>
        <v>287.55</v>
      </c>
      <c r="K438" s="979" t="s">
        <v>14</v>
      </c>
      <c r="L438" s="1152"/>
      <c r="M438" s="1153">
        <f t="shared" si="32"/>
        <v>0</v>
      </c>
      <c r="N438" s="982">
        <f t="shared" si="36"/>
        <v>0</v>
      </c>
      <c r="O438" s="905"/>
      <c r="Q438" s="317" t="str">
        <f t="shared" si="33"/>
        <v/>
      </c>
      <c r="R438" s="317" t="str">
        <f t="shared" si="34"/>
        <v/>
      </c>
      <c r="S438" s="317" t="str">
        <f t="shared" si="35"/>
        <v/>
      </c>
      <c r="T438" s="317" t="str">
        <f>GLOBAL_DER_FEV_2023!S438</f>
        <v/>
      </c>
      <c r="W438" s="582">
        <v>0</v>
      </c>
      <c r="X438" s="580"/>
      <c r="Y438" s="583">
        <f>IF(GLOBAL_DER_FEV_2023!W438=0,0,IF(GLOBAL_DER_FEV_2023!W438&gt;0,"c","b"))</f>
        <v>0</v>
      </c>
    </row>
    <row r="439" spans="1:25" ht="13.5" hidden="1" thickBot="1" x14ac:dyDescent="0.25">
      <c r="A439" s="317" t="s">
        <v>147</v>
      </c>
      <c r="B439" s="895" t="str">
        <f>GLOBAL_DER_FEV_2023!B439</f>
        <v>transporte</v>
      </c>
      <c r="C439" s="896">
        <f>GLOBAL_DER_FEV_2023!C439</f>
        <v>0</v>
      </c>
      <c r="D439" s="957" t="str">
        <f>GLOBAL_DER_FEV_2023!D439</f>
        <v>Areia</v>
      </c>
      <c r="E439" s="907">
        <f>GLOBAL_DER_FEV_2023!E439</f>
        <v>150</v>
      </c>
      <c r="F439" s="1287">
        <f>GLOBAL_DER_FEV_2023!F439</f>
        <v>9.5500000000000002E-2</v>
      </c>
      <c r="G439" s="949">
        <f>GLOBAL_DER_FEV_2023!G439</f>
        <v>15.583690000000001</v>
      </c>
      <c r="H439" s="901">
        <f>GLOBAL_DER_FEV_2023!H439</f>
        <v>0</v>
      </c>
      <c r="I439" s="901">
        <f>GLOBAL_DER_FEV_2023!I439</f>
        <v>0</v>
      </c>
      <c r="J439" s="902">
        <f>GLOBAL_DER_FEV_2023!J439</f>
        <v>0</v>
      </c>
      <c r="K439" s="903" t="s">
        <v>507</v>
      </c>
      <c r="L439" s="1003"/>
      <c r="M439" s="1157">
        <f t="shared" si="32"/>
        <v>0</v>
      </c>
      <c r="N439" s="893">
        <f t="shared" si="36"/>
        <v>0</v>
      </c>
      <c r="O439" s="905"/>
      <c r="P439" s="58" t="str">
        <f>IF(N438&gt;0,"xx",IF(N438&gt;0,"xy",""))</f>
        <v/>
      </c>
      <c r="Q439" s="317" t="str">
        <f t="shared" si="33"/>
        <v/>
      </c>
      <c r="R439" s="317" t="str">
        <f t="shared" si="34"/>
        <v/>
      </c>
      <c r="S439" s="317" t="str">
        <f t="shared" si="35"/>
        <v/>
      </c>
      <c r="T439" s="317" t="str">
        <f>GLOBAL_DER_FEV_2023!S439</f>
        <v/>
      </c>
      <c r="W439" s="582">
        <v>0</v>
      </c>
      <c r="X439" s="580"/>
      <c r="Y439" s="583">
        <f>IF(GLOBAL_DER_FEV_2023!W439=0,0,IF(GLOBAL_DER_FEV_2023!W439&gt;0,"c","b"))</f>
        <v>0</v>
      </c>
    </row>
    <row r="440" spans="1:25" ht="13.5" hidden="1" thickBot="1" x14ac:dyDescent="0.25">
      <c r="A440" s="317" t="s">
        <v>147</v>
      </c>
      <c r="B440" s="895" t="str">
        <f>GLOBAL_DER_FEV_2023!B440</f>
        <v>transporte</v>
      </c>
      <c r="C440" s="896">
        <f>GLOBAL_DER_FEV_2023!C440</f>
        <v>0</v>
      </c>
      <c r="D440" s="957" t="str">
        <f>GLOBAL_DER_FEV_2023!D440</f>
        <v>Cal Hidratada CH-1</v>
      </c>
      <c r="E440" s="907">
        <f>GLOBAL_DER_FEV_2023!E440</f>
        <v>353</v>
      </c>
      <c r="F440" s="1287">
        <f>GLOBAL_DER_FEV_2023!F440</f>
        <v>1.44E-2</v>
      </c>
      <c r="G440" s="909">
        <f>GLOBAL_DER_FEV_2023!G440</f>
        <v>4.0775040000000002</v>
      </c>
      <c r="H440" s="901">
        <f>GLOBAL_DER_FEV_2023!H440</f>
        <v>0</v>
      </c>
      <c r="I440" s="901">
        <f>GLOBAL_DER_FEV_2023!I440</f>
        <v>0</v>
      </c>
      <c r="J440" s="902">
        <f>GLOBAL_DER_FEV_2023!J440</f>
        <v>0</v>
      </c>
      <c r="K440" s="903" t="s">
        <v>507</v>
      </c>
      <c r="L440" s="1003"/>
      <c r="M440" s="1157">
        <f t="shared" si="32"/>
        <v>0</v>
      </c>
      <c r="N440" s="893">
        <f t="shared" si="36"/>
        <v>0</v>
      </c>
      <c r="O440" s="905"/>
      <c r="P440" s="58" t="str">
        <f>IF(N438&gt;0,"xx",IF(N438&gt;0,"xy",""))</f>
        <v/>
      </c>
      <c r="Q440" s="317" t="str">
        <f t="shared" si="33"/>
        <v/>
      </c>
      <c r="R440" s="317" t="str">
        <f t="shared" si="34"/>
        <v/>
      </c>
      <c r="S440" s="317" t="str">
        <f t="shared" si="35"/>
        <v/>
      </c>
      <c r="T440" s="317" t="str">
        <f>GLOBAL_DER_FEV_2023!S440</f>
        <v/>
      </c>
      <c r="W440" s="582">
        <v>0</v>
      </c>
      <c r="X440" s="580"/>
      <c r="Y440" s="583">
        <f>IF(GLOBAL_DER_FEV_2023!W440=0,0,IF(GLOBAL_DER_FEV_2023!W440&gt;0,"c","b"))</f>
        <v>0</v>
      </c>
    </row>
    <row r="441" spans="1:25" ht="13.5" hidden="1" thickBot="1" x14ac:dyDescent="0.25">
      <c r="A441" s="317" t="s">
        <v>147</v>
      </c>
      <c r="B441" s="895" t="str">
        <f>GLOBAL_DER_FEV_2023!B441</f>
        <v>transporte</v>
      </c>
      <c r="C441" s="896">
        <f>GLOBAL_DER_FEV_2023!C441</f>
        <v>0</v>
      </c>
      <c r="D441" s="957" t="str">
        <f>GLOBAL_DER_FEV_2023!D441</f>
        <v>Brita ( usina )</v>
      </c>
      <c r="E441" s="907">
        <f>GLOBAL_DER_FEV_2023!E441</f>
        <v>0.2</v>
      </c>
      <c r="F441" s="1287">
        <f>GLOBAL_DER_FEV_2023!F441</f>
        <v>0.83809999999999996</v>
      </c>
      <c r="G441" s="949">
        <f>GLOBAL_DER_FEV_2023!G441</f>
        <v>2.4254614000000001</v>
      </c>
      <c r="H441" s="901">
        <f>GLOBAL_DER_FEV_2023!H441</f>
        <v>0</v>
      </c>
      <c r="I441" s="901">
        <f>GLOBAL_DER_FEV_2023!I441</f>
        <v>0</v>
      </c>
      <c r="J441" s="902">
        <f>GLOBAL_DER_FEV_2023!J441</f>
        <v>0</v>
      </c>
      <c r="K441" s="903" t="s">
        <v>507</v>
      </c>
      <c r="L441" s="1003"/>
      <c r="M441" s="1157">
        <f t="shared" si="32"/>
        <v>0</v>
      </c>
      <c r="N441" s="893">
        <f t="shared" si="36"/>
        <v>0</v>
      </c>
      <c r="O441" s="905"/>
      <c r="P441" s="58" t="str">
        <f>IF(N438&gt;0,"xx",IF(N438&gt;0,"xy",""))</f>
        <v/>
      </c>
      <c r="Q441" s="317" t="str">
        <f t="shared" si="33"/>
        <v/>
      </c>
      <c r="R441" s="317" t="str">
        <f t="shared" si="34"/>
        <v/>
      </c>
      <c r="S441" s="317" t="str">
        <f t="shared" si="35"/>
        <v/>
      </c>
      <c r="T441" s="317" t="str">
        <f>GLOBAL_DER_FEV_2023!S441</f>
        <v/>
      </c>
      <c r="W441" s="582">
        <v>0</v>
      </c>
      <c r="X441" s="580"/>
      <c r="Y441" s="583">
        <f>IF(GLOBAL_DER_FEV_2023!W441=0,0,IF(GLOBAL_DER_FEV_2023!W441&gt;0,"c","b"))</f>
        <v>0</v>
      </c>
    </row>
    <row r="442" spans="1:25" ht="13.5" hidden="1" thickBot="1" x14ac:dyDescent="0.25">
      <c r="A442" s="317" t="s">
        <v>147</v>
      </c>
      <c r="B442" s="895" t="str">
        <f>GLOBAL_DER_FEV_2023!B442</f>
        <v>transporte</v>
      </c>
      <c r="C442" s="896">
        <f>GLOBAL_DER_FEV_2023!C442</f>
        <v>0</v>
      </c>
      <c r="D442" s="957" t="str">
        <f>GLOBAL_DER_FEV_2023!D442</f>
        <v>Massa</v>
      </c>
      <c r="E442" s="907">
        <f>GLOBAL_DER_FEV_2023!E442</f>
        <v>22</v>
      </c>
      <c r="F442" s="908">
        <f>GLOBAL_DER_FEV_2023!F442</f>
        <v>1</v>
      </c>
      <c r="G442" s="912">
        <f>GLOBAL_DER_FEV_2023!G442</f>
        <v>29.990000000000002</v>
      </c>
      <c r="H442" s="901">
        <f>GLOBAL_DER_FEV_2023!H442</f>
        <v>0</v>
      </c>
      <c r="I442" s="901">
        <f>GLOBAL_DER_FEV_2023!I442</f>
        <v>0</v>
      </c>
      <c r="J442" s="902">
        <f>GLOBAL_DER_FEV_2023!J442</f>
        <v>0</v>
      </c>
      <c r="K442" s="903" t="s">
        <v>507</v>
      </c>
      <c r="L442" s="1003"/>
      <c r="M442" s="1157">
        <f t="shared" si="32"/>
        <v>0</v>
      </c>
      <c r="N442" s="893">
        <f t="shared" si="36"/>
        <v>0</v>
      </c>
      <c r="O442" s="905"/>
      <c r="P442" s="58" t="str">
        <f>IF(N438&gt;0,"xx",IF(N438&gt;0,"xy",""))</f>
        <v/>
      </c>
      <c r="Q442" s="317" t="str">
        <f t="shared" si="33"/>
        <v/>
      </c>
      <c r="R442" s="317" t="str">
        <f t="shared" si="34"/>
        <v/>
      </c>
      <c r="S442" s="317" t="str">
        <f t="shared" si="35"/>
        <v/>
      </c>
      <c r="T442" s="317" t="str">
        <f>GLOBAL_DER_FEV_2023!S442</f>
        <v/>
      </c>
      <c r="W442" s="582">
        <v>0</v>
      </c>
      <c r="X442" s="580"/>
      <c r="Y442" s="583">
        <f>IF(GLOBAL_DER_FEV_2023!W442=0,0,IF(GLOBAL_DER_FEV_2023!W442&gt;0,"c","b"))</f>
        <v>0</v>
      </c>
    </row>
    <row r="443" spans="1:25" ht="13.5" hidden="1" thickBot="1" x14ac:dyDescent="0.25">
      <c r="A443" s="317">
        <v>589000</v>
      </c>
      <c r="B443" s="1004" t="str">
        <f>GLOBAL_DER_FEV_2023!B443</f>
        <v>589000K</v>
      </c>
      <c r="C443" s="984" t="str">
        <f>GLOBAL_DER_FEV_2023!C443</f>
        <v>DER mat</v>
      </c>
      <c r="D443" s="1012" t="str">
        <f>GLOBAL_DER_FEV_2023!D443</f>
        <v>Fornecimento de CAP - CBUQ (Quantidade menor que 10.000 ton)</v>
      </c>
      <c r="E443" s="1005">
        <f>GLOBAL_DER_FEV_2023!E443</f>
        <v>45</v>
      </c>
      <c r="F443" s="1006">
        <f>GLOBAL_DER_FEV_2023!F443</f>
        <v>1</v>
      </c>
      <c r="G443" s="949">
        <f>GLOBAL_DER_FEV_2023!G443</f>
        <v>88.36</v>
      </c>
      <c r="H443" s="988">
        <f>GLOBAL_DER_FEV_2023!H443</f>
        <v>4828.8599999999997</v>
      </c>
      <c r="I443" s="988">
        <f>GLOBAL_DER_FEV_2023!I443</f>
        <v>4724.580378112767</v>
      </c>
      <c r="J443" s="989">
        <f>GLOBAL_DER_FEV_2023!J443</f>
        <v>5672.8</v>
      </c>
      <c r="K443" s="990" t="s">
        <v>14</v>
      </c>
      <c r="L443" s="1154">
        <f>ROUND(L438*$F438,2)</f>
        <v>0</v>
      </c>
      <c r="M443" s="1159">
        <f t="shared" si="32"/>
        <v>0</v>
      </c>
      <c r="N443" s="993">
        <f t="shared" si="36"/>
        <v>0</v>
      </c>
      <c r="O443" s="905"/>
      <c r="P443" s="58" t="str">
        <f>IF(N438&gt;0,"xx",IF(N438&gt;0,"xy",""))</f>
        <v/>
      </c>
      <c r="Q443" s="317" t="str">
        <f t="shared" si="33"/>
        <v/>
      </c>
      <c r="R443" s="317" t="str">
        <f t="shared" si="34"/>
        <v/>
      </c>
      <c r="S443" s="317" t="str">
        <f t="shared" si="35"/>
        <v/>
      </c>
      <c r="T443" s="317" t="str">
        <f>GLOBAL_DER_FEV_2023!S443</f>
        <v/>
      </c>
      <c r="W443" s="582">
        <v>0</v>
      </c>
      <c r="X443" s="580"/>
      <c r="Y443" s="583">
        <f>IF(GLOBAL_DER_FEV_2023!W443=0,0,IF(GLOBAL_DER_FEV_2023!W443&gt;0,"c","b"))</f>
        <v>0</v>
      </c>
    </row>
    <row r="444" spans="1:25" ht="13.5" hidden="1" thickBot="1" x14ac:dyDescent="0.25">
      <c r="A444" s="317">
        <v>570000</v>
      </c>
      <c r="B444" s="999" t="str">
        <f>GLOBAL_DER_FEV_2023!B444</f>
        <v>570000D</v>
      </c>
      <c r="C444" s="1000" t="str">
        <f>GLOBAL_DER_FEV_2023!C444</f>
        <v>DER</v>
      </c>
      <c r="D444" s="1024" t="str">
        <f>GLOBAL_DER_FEV_2023!D444</f>
        <v>CBUQ - Novos traços - TRAÇO 5 - FAIXA "C" - (Quant. menor que 10.000 ton)</v>
      </c>
      <c r="E444" s="974" t="str">
        <f>GLOBAL_DER_FEV_2023!E444</f>
        <v>taxa CAP</v>
      </c>
      <c r="F444" s="1025">
        <f>GLOBAL_DER_FEV_2023!F444</f>
        <v>5.0999999999999997E-2</v>
      </c>
      <c r="G444" s="976">
        <f>GLOBAL_DER_FEV_2023!G444</f>
        <v>52.095578000000003</v>
      </c>
      <c r="H444" s="977">
        <f>GLOBAL_DER_FEV_2023!H444</f>
        <v>187.41</v>
      </c>
      <c r="I444" s="977">
        <f>GLOBAL_DER_FEV_2023!I444</f>
        <v>239.50557800000001</v>
      </c>
      <c r="J444" s="978">
        <f>GLOBAL_DER_FEV_2023!J444</f>
        <v>287.57</v>
      </c>
      <c r="K444" s="979" t="s">
        <v>14</v>
      </c>
      <c r="L444" s="1152"/>
      <c r="M444" s="1153">
        <f t="shared" si="32"/>
        <v>0</v>
      </c>
      <c r="N444" s="982">
        <f t="shared" si="36"/>
        <v>0</v>
      </c>
      <c r="O444" s="905"/>
      <c r="Q444" s="317" t="str">
        <f t="shared" si="33"/>
        <v/>
      </c>
      <c r="R444" s="317" t="str">
        <f t="shared" si="34"/>
        <v/>
      </c>
      <c r="S444" s="317" t="str">
        <f t="shared" si="35"/>
        <v/>
      </c>
      <c r="T444" s="317" t="str">
        <f>GLOBAL_DER_FEV_2023!S444</f>
        <v/>
      </c>
      <c r="W444" s="582">
        <v>0</v>
      </c>
      <c r="X444" s="580"/>
      <c r="Y444" s="583">
        <f>IF(GLOBAL_DER_FEV_2023!W444=0,0,IF(GLOBAL_DER_FEV_2023!W444&gt;0,"c","b"))</f>
        <v>0</v>
      </c>
    </row>
    <row r="445" spans="1:25" ht="13.5" hidden="1" thickBot="1" x14ac:dyDescent="0.25">
      <c r="A445" s="317" t="s">
        <v>147</v>
      </c>
      <c r="B445" s="895" t="str">
        <f>GLOBAL_DER_FEV_2023!B445</f>
        <v>transporte</v>
      </c>
      <c r="C445" s="896">
        <f>GLOBAL_DER_FEV_2023!C445</f>
        <v>0</v>
      </c>
      <c r="D445" s="957" t="str">
        <f>GLOBAL_DER_FEV_2023!D445</f>
        <v>Areia</v>
      </c>
      <c r="E445" s="907">
        <f>GLOBAL_DER_FEV_2023!E445</f>
        <v>150</v>
      </c>
      <c r="F445" s="1287">
        <f>GLOBAL_DER_FEV_2023!F445</f>
        <v>9.5600000000000004E-2</v>
      </c>
      <c r="G445" s="949">
        <f>GLOBAL_DER_FEV_2023!G445</f>
        <v>15.600008000000001</v>
      </c>
      <c r="H445" s="901">
        <f>GLOBAL_DER_FEV_2023!H445</f>
        <v>0</v>
      </c>
      <c r="I445" s="901">
        <f>GLOBAL_DER_FEV_2023!I445</f>
        <v>0</v>
      </c>
      <c r="J445" s="902">
        <f>GLOBAL_DER_FEV_2023!J445</f>
        <v>0</v>
      </c>
      <c r="K445" s="903" t="s">
        <v>507</v>
      </c>
      <c r="L445" s="1003"/>
      <c r="M445" s="1157">
        <f t="shared" si="32"/>
        <v>0</v>
      </c>
      <c r="N445" s="893">
        <f t="shared" si="36"/>
        <v>0</v>
      </c>
      <c r="O445" s="905"/>
      <c r="P445" s="58" t="str">
        <f>IF(N444&gt;0,"xx",IF(N444&gt;0,"xy",""))</f>
        <v/>
      </c>
      <c r="Q445" s="317" t="str">
        <f t="shared" si="33"/>
        <v/>
      </c>
      <c r="R445" s="317" t="str">
        <f t="shared" si="34"/>
        <v/>
      </c>
      <c r="S445" s="317" t="str">
        <f t="shared" si="35"/>
        <v/>
      </c>
      <c r="T445" s="317" t="str">
        <f>GLOBAL_DER_FEV_2023!S445</f>
        <v/>
      </c>
      <c r="W445" s="582">
        <v>0</v>
      </c>
      <c r="X445" s="580"/>
      <c r="Y445" s="583">
        <f>IF(GLOBAL_DER_FEV_2023!W445=0,0,IF(GLOBAL_DER_FEV_2023!W445&gt;0,"c","b"))</f>
        <v>0</v>
      </c>
    </row>
    <row r="446" spans="1:25" ht="13.5" hidden="1" thickBot="1" x14ac:dyDescent="0.25">
      <c r="A446" s="317" t="s">
        <v>147</v>
      </c>
      <c r="B446" s="895" t="str">
        <f>GLOBAL_DER_FEV_2023!B446</f>
        <v>transporte</v>
      </c>
      <c r="C446" s="896">
        <f>GLOBAL_DER_FEV_2023!C446</f>
        <v>0</v>
      </c>
      <c r="D446" s="957" t="str">
        <f>GLOBAL_DER_FEV_2023!D446</f>
        <v>Cal Hidratada CH-1</v>
      </c>
      <c r="E446" s="907">
        <f>GLOBAL_DER_FEV_2023!E446</f>
        <v>353</v>
      </c>
      <c r="F446" s="1287">
        <f>GLOBAL_DER_FEV_2023!F446</f>
        <v>1.44E-2</v>
      </c>
      <c r="G446" s="909">
        <f>GLOBAL_DER_FEV_2023!G446</f>
        <v>4.0775040000000002</v>
      </c>
      <c r="H446" s="901">
        <f>GLOBAL_DER_FEV_2023!H446</f>
        <v>0</v>
      </c>
      <c r="I446" s="901">
        <f>GLOBAL_DER_FEV_2023!I446</f>
        <v>0</v>
      </c>
      <c r="J446" s="902">
        <f>GLOBAL_DER_FEV_2023!J446</f>
        <v>0</v>
      </c>
      <c r="K446" s="903" t="s">
        <v>507</v>
      </c>
      <c r="L446" s="1003"/>
      <c r="M446" s="1157">
        <f t="shared" si="32"/>
        <v>0</v>
      </c>
      <c r="N446" s="893">
        <f t="shared" si="36"/>
        <v>0</v>
      </c>
      <c r="O446" s="905"/>
      <c r="P446" s="58" t="str">
        <f>IF(N444&gt;0,"xx",IF(N444&gt;0,"xy",""))</f>
        <v/>
      </c>
      <c r="Q446" s="317" t="str">
        <f t="shared" si="33"/>
        <v/>
      </c>
      <c r="R446" s="317" t="str">
        <f t="shared" si="34"/>
        <v/>
      </c>
      <c r="S446" s="317" t="str">
        <f t="shared" si="35"/>
        <v/>
      </c>
      <c r="T446" s="317" t="str">
        <f>GLOBAL_DER_FEV_2023!S446</f>
        <v/>
      </c>
      <c r="W446" s="582">
        <v>0</v>
      </c>
      <c r="X446" s="580"/>
      <c r="Y446" s="583">
        <f>IF(GLOBAL_DER_FEV_2023!W446=0,0,IF(GLOBAL_DER_FEV_2023!W446&gt;0,"c","b"))</f>
        <v>0</v>
      </c>
    </row>
    <row r="447" spans="1:25" ht="13.5" hidden="1" thickBot="1" x14ac:dyDescent="0.25">
      <c r="A447" s="317" t="s">
        <v>147</v>
      </c>
      <c r="B447" s="895" t="str">
        <f>GLOBAL_DER_FEV_2023!B447</f>
        <v>transporte</v>
      </c>
      <c r="C447" s="896">
        <f>GLOBAL_DER_FEV_2023!C447</f>
        <v>0</v>
      </c>
      <c r="D447" s="957" t="str">
        <f>GLOBAL_DER_FEV_2023!D447</f>
        <v>Brita ( usina )</v>
      </c>
      <c r="E447" s="907">
        <f>GLOBAL_DER_FEV_2023!E447</f>
        <v>0.2</v>
      </c>
      <c r="F447" s="1287">
        <f>GLOBAL_DER_FEV_2023!F447</f>
        <v>0.83899999999999997</v>
      </c>
      <c r="G447" s="949">
        <f>GLOBAL_DER_FEV_2023!G447</f>
        <v>2.4280659999999998</v>
      </c>
      <c r="H447" s="901">
        <f>GLOBAL_DER_FEV_2023!H447</f>
        <v>0</v>
      </c>
      <c r="I447" s="901">
        <f>GLOBAL_DER_FEV_2023!I447</f>
        <v>0</v>
      </c>
      <c r="J447" s="902">
        <f>GLOBAL_DER_FEV_2023!J447</f>
        <v>0</v>
      </c>
      <c r="K447" s="903" t="s">
        <v>507</v>
      </c>
      <c r="L447" s="1003"/>
      <c r="M447" s="1157">
        <f t="shared" si="32"/>
        <v>0</v>
      </c>
      <c r="N447" s="893">
        <f t="shared" si="36"/>
        <v>0</v>
      </c>
      <c r="O447" s="905"/>
      <c r="P447" s="58" t="str">
        <f>IF(N444&gt;0,"xx",IF(N444&gt;0,"xy",""))</f>
        <v/>
      </c>
      <c r="Q447" s="317" t="str">
        <f t="shared" si="33"/>
        <v/>
      </c>
      <c r="R447" s="317" t="str">
        <f t="shared" si="34"/>
        <v/>
      </c>
      <c r="S447" s="317" t="str">
        <f t="shared" si="35"/>
        <v/>
      </c>
      <c r="T447" s="317" t="str">
        <f>GLOBAL_DER_FEV_2023!S447</f>
        <v/>
      </c>
      <c r="W447" s="582">
        <v>0</v>
      </c>
      <c r="X447" s="580"/>
      <c r="Y447" s="583">
        <f>IF(GLOBAL_DER_FEV_2023!W447=0,0,IF(GLOBAL_DER_FEV_2023!W447&gt;0,"c","b"))</f>
        <v>0</v>
      </c>
    </row>
    <row r="448" spans="1:25" ht="13.5" hidden="1" thickBot="1" x14ac:dyDescent="0.25">
      <c r="A448" s="317" t="s">
        <v>147</v>
      </c>
      <c r="B448" s="895" t="str">
        <f>GLOBAL_DER_FEV_2023!B448</f>
        <v>transporte</v>
      </c>
      <c r="C448" s="896">
        <f>GLOBAL_DER_FEV_2023!C448</f>
        <v>0</v>
      </c>
      <c r="D448" s="957" t="str">
        <f>GLOBAL_DER_FEV_2023!D448</f>
        <v>Massa</v>
      </c>
      <c r="E448" s="907">
        <f>GLOBAL_DER_FEV_2023!E448</f>
        <v>22</v>
      </c>
      <c r="F448" s="908">
        <f>GLOBAL_DER_FEV_2023!F448</f>
        <v>1</v>
      </c>
      <c r="G448" s="912">
        <f>GLOBAL_DER_FEV_2023!G448</f>
        <v>29.990000000000002</v>
      </c>
      <c r="H448" s="901">
        <f>GLOBAL_DER_FEV_2023!H448</f>
        <v>0</v>
      </c>
      <c r="I448" s="901">
        <f>GLOBAL_DER_FEV_2023!I448</f>
        <v>0</v>
      </c>
      <c r="J448" s="902">
        <f>GLOBAL_DER_FEV_2023!J448</f>
        <v>0</v>
      </c>
      <c r="K448" s="903" t="s">
        <v>507</v>
      </c>
      <c r="L448" s="1003"/>
      <c r="M448" s="1157">
        <f t="shared" si="32"/>
        <v>0</v>
      </c>
      <c r="N448" s="893">
        <f t="shared" si="36"/>
        <v>0</v>
      </c>
      <c r="O448" s="905"/>
      <c r="P448" s="58" t="str">
        <f>IF(N444&gt;0,"xx",IF(N444&gt;0,"xy",""))</f>
        <v/>
      </c>
      <c r="Q448" s="317" t="str">
        <f t="shared" si="33"/>
        <v/>
      </c>
      <c r="R448" s="317" t="str">
        <f t="shared" si="34"/>
        <v/>
      </c>
      <c r="S448" s="317" t="str">
        <f t="shared" si="35"/>
        <v/>
      </c>
      <c r="T448" s="317" t="str">
        <f>GLOBAL_DER_FEV_2023!S448</f>
        <v/>
      </c>
      <c r="W448" s="582">
        <v>0</v>
      </c>
      <c r="X448" s="580"/>
      <c r="Y448" s="583">
        <f>IF(GLOBAL_DER_FEV_2023!W448=0,0,IF(GLOBAL_DER_FEV_2023!W448&gt;0,"c","b"))</f>
        <v>0</v>
      </c>
    </row>
    <row r="449" spans="1:25" ht="13.5" hidden="1" thickBot="1" x14ac:dyDescent="0.25">
      <c r="A449" s="317">
        <v>589000</v>
      </c>
      <c r="B449" s="1004" t="str">
        <f>GLOBAL_DER_FEV_2023!B449</f>
        <v>589000K</v>
      </c>
      <c r="C449" s="984" t="str">
        <f>GLOBAL_DER_FEV_2023!C449</f>
        <v>DER mat</v>
      </c>
      <c r="D449" s="1012" t="str">
        <f>GLOBAL_DER_FEV_2023!D449</f>
        <v>Fornecimento de CAP - CBUQ (Quantidade menor que 10.000 ton)</v>
      </c>
      <c r="E449" s="1005">
        <f>GLOBAL_DER_FEV_2023!E449</f>
        <v>45</v>
      </c>
      <c r="F449" s="1006">
        <f>GLOBAL_DER_FEV_2023!F449</f>
        <v>1</v>
      </c>
      <c r="G449" s="949">
        <f>GLOBAL_DER_FEV_2023!G449</f>
        <v>88.36</v>
      </c>
      <c r="H449" s="988">
        <f>GLOBAL_DER_FEV_2023!H449</f>
        <v>4828.8599999999997</v>
      </c>
      <c r="I449" s="988">
        <f>GLOBAL_DER_FEV_2023!I449</f>
        <v>4724.580378112767</v>
      </c>
      <c r="J449" s="989">
        <f>GLOBAL_DER_FEV_2023!J449</f>
        <v>5672.8</v>
      </c>
      <c r="K449" s="990" t="s">
        <v>14</v>
      </c>
      <c r="L449" s="1154">
        <f>ROUND(L444*$F444,2)</f>
        <v>0</v>
      </c>
      <c r="M449" s="1159">
        <f t="shared" si="32"/>
        <v>0</v>
      </c>
      <c r="N449" s="993">
        <f t="shared" si="36"/>
        <v>0</v>
      </c>
      <c r="O449" s="905"/>
      <c r="P449" s="58" t="str">
        <f>IF(N444&gt;0,"xx",IF(N444&gt;0,"xy",""))</f>
        <v/>
      </c>
      <c r="Q449" s="317" t="str">
        <f t="shared" si="33"/>
        <v/>
      </c>
      <c r="R449" s="317" t="str">
        <f t="shared" si="34"/>
        <v/>
      </c>
      <c r="S449" s="317" t="str">
        <f t="shared" si="35"/>
        <v/>
      </c>
      <c r="T449" s="317" t="str">
        <f>GLOBAL_DER_FEV_2023!S449</f>
        <v/>
      </c>
      <c r="W449" s="582">
        <v>0</v>
      </c>
      <c r="X449" s="580"/>
      <c r="Y449" s="583">
        <f>IF(GLOBAL_DER_FEV_2023!W449=0,0,IF(GLOBAL_DER_FEV_2023!W449&gt;0,"c","b"))</f>
        <v>0</v>
      </c>
    </row>
    <row r="450" spans="1:25" ht="13.5" hidden="1" thickBot="1" x14ac:dyDescent="0.25">
      <c r="A450" s="317">
        <v>570000</v>
      </c>
      <c r="B450" s="999" t="str">
        <f>GLOBAL_DER_FEV_2023!B450</f>
        <v>570000D</v>
      </c>
      <c r="C450" s="1000" t="str">
        <f>GLOBAL_DER_FEV_2023!C450</f>
        <v>DER</v>
      </c>
      <c r="D450" s="1024" t="str">
        <f>GLOBAL_DER_FEV_2023!D450</f>
        <v>CBUQ - Novos traços - TRAÇO 6 - FAIXA "C" - (Quant. menor que 10.000 ton)</v>
      </c>
      <c r="E450" s="974" t="str">
        <f>GLOBAL_DER_FEV_2023!E450</f>
        <v>taxa CAP</v>
      </c>
      <c r="F450" s="1025">
        <f>GLOBAL_DER_FEV_2023!F450</f>
        <v>5.2999999999999999E-2</v>
      </c>
      <c r="G450" s="976">
        <f>GLOBAL_DER_FEV_2023!G450</f>
        <v>52.057732800000004</v>
      </c>
      <c r="H450" s="977">
        <f>GLOBAL_DER_FEV_2023!H450</f>
        <v>187.41</v>
      </c>
      <c r="I450" s="977">
        <f>GLOBAL_DER_FEV_2023!I450</f>
        <v>239.46773279999999</v>
      </c>
      <c r="J450" s="978">
        <f>GLOBAL_DER_FEV_2023!J450</f>
        <v>287.52999999999997</v>
      </c>
      <c r="K450" s="979" t="s">
        <v>14</v>
      </c>
      <c r="L450" s="1152"/>
      <c r="M450" s="1153">
        <f t="shared" si="32"/>
        <v>0</v>
      </c>
      <c r="N450" s="982">
        <f t="shared" si="36"/>
        <v>0</v>
      </c>
      <c r="O450" s="905"/>
      <c r="Q450" s="317" t="str">
        <f t="shared" si="33"/>
        <v/>
      </c>
      <c r="R450" s="317" t="str">
        <f t="shared" si="34"/>
        <v/>
      </c>
      <c r="S450" s="317" t="str">
        <f t="shared" si="35"/>
        <v/>
      </c>
      <c r="T450" s="317" t="str">
        <f>GLOBAL_DER_FEV_2023!S450</f>
        <v/>
      </c>
      <c r="W450" s="582">
        <v>0</v>
      </c>
      <c r="X450" s="580"/>
      <c r="Y450" s="583">
        <f>IF(GLOBAL_DER_FEV_2023!W450=0,0,IF(GLOBAL_DER_FEV_2023!W450&gt;0,"c","b"))</f>
        <v>0</v>
      </c>
    </row>
    <row r="451" spans="1:25" ht="13.5" hidden="1" thickBot="1" x14ac:dyDescent="0.25">
      <c r="A451" s="317" t="s">
        <v>147</v>
      </c>
      <c r="B451" s="895" t="str">
        <f>GLOBAL_DER_FEV_2023!B451</f>
        <v>transporte</v>
      </c>
      <c r="C451" s="896">
        <f>GLOBAL_DER_FEV_2023!C451</f>
        <v>0</v>
      </c>
      <c r="D451" s="957" t="str">
        <f>GLOBAL_DER_FEV_2023!D451</f>
        <v>Areia</v>
      </c>
      <c r="E451" s="907">
        <f>GLOBAL_DER_FEV_2023!E451</f>
        <v>150</v>
      </c>
      <c r="F451" s="1287">
        <f>GLOBAL_DER_FEV_2023!F451</f>
        <v>9.5399999999999999E-2</v>
      </c>
      <c r="G451" s="949">
        <f>GLOBAL_DER_FEV_2023!G451</f>
        <v>15.567372000000001</v>
      </c>
      <c r="H451" s="901">
        <f>GLOBAL_DER_FEV_2023!H451</f>
        <v>0</v>
      </c>
      <c r="I451" s="901">
        <f>GLOBAL_DER_FEV_2023!I451</f>
        <v>0</v>
      </c>
      <c r="J451" s="902">
        <f>GLOBAL_DER_FEV_2023!J451</f>
        <v>0</v>
      </c>
      <c r="K451" s="903" t="s">
        <v>507</v>
      </c>
      <c r="L451" s="1003"/>
      <c r="M451" s="1157">
        <f t="shared" si="32"/>
        <v>0</v>
      </c>
      <c r="N451" s="893">
        <f t="shared" si="36"/>
        <v>0</v>
      </c>
      <c r="O451" s="905"/>
      <c r="P451" s="58" t="str">
        <f>IF(N450&gt;0,"xx",IF(N450&gt;0,"xy",""))</f>
        <v/>
      </c>
      <c r="Q451" s="317" t="str">
        <f t="shared" si="33"/>
        <v/>
      </c>
      <c r="R451" s="317" t="str">
        <f t="shared" si="34"/>
        <v/>
      </c>
      <c r="S451" s="317" t="str">
        <f t="shared" si="35"/>
        <v/>
      </c>
      <c r="T451" s="317" t="str">
        <f>GLOBAL_DER_FEV_2023!S451</f>
        <v/>
      </c>
      <c r="W451" s="582">
        <v>0</v>
      </c>
      <c r="X451" s="580"/>
      <c r="Y451" s="583">
        <f>IF(GLOBAL_DER_FEV_2023!W451=0,0,IF(GLOBAL_DER_FEV_2023!W451&gt;0,"c","b"))</f>
        <v>0</v>
      </c>
    </row>
    <row r="452" spans="1:25" ht="13.5" hidden="1" thickBot="1" x14ac:dyDescent="0.25">
      <c r="A452" s="317" t="s">
        <v>147</v>
      </c>
      <c r="B452" s="895" t="str">
        <f>GLOBAL_DER_FEV_2023!B452</f>
        <v>transporte</v>
      </c>
      <c r="C452" s="896">
        <f>GLOBAL_DER_FEV_2023!C452</f>
        <v>0</v>
      </c>
      <c r="D452" s="957" t="str">
        <f>GLOBAL_DER_FEV_2023!D452</f>
        <v>Cal Hidratada CH-1</v>
      </c>
      <c r="E452" s="907">
        <f>GLOBAL_DER_FEV_2023!E452</f>
        <v>353</v>
      </c>
      <c r="F452" s="1287">
        <f>GLOBAL_DER_FEV_2023!F452</f>
        <v>1.44E-2</v>
      </c>
      <c r="G452" s="909">
        <f>GLOBAL_DER_FEV_2023!G452</f>
        <v>4.0775040000000002</v>
      </c>
      <c r="H452" s="901">
        <f>GLOBAL_DER_FEV_2023!H452</f>
        <v>0</v>
      </c>
      <c r="I452" s="901">
        <f>GLOBAL_DER_FEV_2023!I452</f>
        <v>0</v>
      </c>
      <c r="J452" s="902">
        <f>GLOBAL_DER_FEV_2023!J452</f>
        <v>0</v>
      </c>
      <c r="K452" s="903" t="s">
        <v>507</v>
      </c>
      <c r="L452" s="1003"/>
      <c r="M452" s="1157">
        <f t="shared" si="32"/>
        <v>0</v>
      </c>
      <c r="N452" s="893">
        <f t="shared" si="36"/>
        <v>0</v>
      </c>
      <c r="O452" s="905"/>
      <c r="P452" s="58" t="str">
        <f>IF(N450&gt;0,"xx",IF(N450&gt;0,"xy",""))</f>
        <v/>
      </c>
      <c r="Q452" s="317" t="str">
        <f t="shared" si="33"/>
        <v/>
      </c>
      <c r="R452" s="317" t="str">
        <f t="shared" si="34"/>
        <v/>
      </c>
      <c r="S452" s="317" t="str">
        <f t="shared" si="35"/>
        <v/>
      </c>
      <c r="T452" s="317" t="str">
        <f>GLOBAL_DER_FEV_2023!S452</f>
        <v/>
      </c>
      <c r="W452" s="582">
        <v>0</v>
      </c>
      <c r="X452" s="580"/>
      <c r="Y452" s="583">
        <f>IF(GLOBAL_DER_FEV_2023!W452=0,0,IF(GLOBAL_DER_FEV_2023!W452&gt;0,"c","b"))</f>
        <v>0</v>
      </c>
    </row>
    <row r="453" spans="1:25" ht="13.5" hidden="1" thickBot="1" x14ac:dyDescent="0.25">
      <c r="A453" s="317" t="s">
        <v>147</v>
      </c>
      <c r="B453" s="895" t="str">
        <f>GLOBAL_DER_FEV_2023!B453</f>
        <v>transporte</v>
      </c>
      <c r="C453" s="896">
        <f>GLOBAL_DER_FEV_2023!C453</f>
        <v>0</v>
      </c>
      <c r="D453" s="957" t="str">
        <f>GLOBAL_DER_FEV_2023!D453</f>
        <v>Brita ( usina )</v>
      </c>
      <c r="E453" s="907">
        <f>GLOBAL_DER_FEV_2023!E453</f>
        <v>0.2</v>
      </c>
      <c r="F453" s="1287">
        <f>GLOBAL_DER_FEV_2023!F453</f>
        <v>0.83720000000000006</v>
      </c>
      <c r="G453" s="949">
        <f>GLOBAL_DER_FEV_2023!G453</f>
        <v>2.4228568000000004</v>
      </c>
      <c r="H453" s="901">
        <f>GLOBAL_DER_FEV_2023!H453</f>
        <v>0</v>
      </c>
      <c r="I453" s="901">
        <f>GLOBAL_DER_FEV_2023!I453</f>
        <v>0</v>
      </c>
      <c r="J453" s="902">
        <f>GLOBAL_DER_FEV_2023!J453</f>
        <v>0</v>
      </c>
      <c r="K453" s="903" t="s">
        <v>507</v>
      </c>
      <c r="L453" s="1003"/>
      <c r="M453" s="1157">
        <f t="shared" si="32"/>
        <v>0</v>
      </c>
      <c r="N453" s="893">
        <f t="shared" si="36"/>
        <v>0</v>
      </c>
      <c r="O453" s="905"/>
      <c r="P453" s="58" t="str">
        <f>IF(N450&gt;0,"xx",IF(N450&gt;0,"xy",""))</f>
        <v/>
      </c>
      <c r="Q453" s="317" t="str">
        <f t="shared" si="33"/>
        <v/>
      </c>
      <c r="R453" s="317" t="str">
        <f t="shared" si="34"/>
        <v/>
      </c>
      <c r="S453" s="317" t="str">
        <f t="shared" si="35"/>
        <v/>
      </c>
      <c r="T453" s="317" t="str">
        <f>GLOBAL_DER_FEV_2023!S453</f>
        <v/>
      </c>
      <c r="W453" s="582">
        <v>0</v>
      </c>
      <c r="X453" s="580"/>
      <c r="Y453" s="583">
        <f>IF(GLOBAL_DER_FEV_2023!W453=0,0,IF(GLOBAL_DER_FEV_2023!W453&gt;0,"c","b"))</f>
        <v>0</v>
      </c>
    </row>
    <row r="454" spans="1:25" ht="13.5" hidden="1" thickBot="1" x14ac:dyDescent="0.25">
      <c r="A454" s="317" t="s">
        <v>147</v>
      </c>
      <c r="B454" s="895" t="str">
        <f>GLOBAL_DER_FEV_2023!B454</f>
        <v>transporte</v>
      </c>
      <c r="C454" s="896">
        <f>GLOBAL_DER_FEV_2023!C454</f>
        <v>0</v>
      </c>
      <c r="D454" s="957" t="str">
        <f>GLOBAL_DER_FEV_2023!D454</f>
        <v>Massa</v>
      </c>
      <c r="E454" s="907">
        <f>GLOBAL_DER_FEV_2023!E454</f>
        <v>22</v>
      </c>
      <c r="F454" s="908">
        <f>GLOBAL_DER_FEV_2023!F454</f>
        <v>1</v>
      </c>
      <c r="G454" s="912">
        <f>GLOBAL_DER_FEV_2023!G454</f>
        <v>29.990000000000002</v>
      </c>
      <c r="H454" s="901">
        <f>GLOBAL_DER_FEV_2023!H454</f>
        <v>0</v>
      </c>
      <c r="I454" s="901">
        <f>GLOBAL_DER_FEV_2023!I454</f>
        <v>0</v>
      </c>
      <c r="J454" s="902">
        <f>GLOBAL_DER_FEV_2023!J454</f>
        <v>0</v>
      </c>
      <c r="K454" s="903" t="s">
        <v>507</v>
      </c>
      <c r="L454" s="1003"/>
      <c r="M454" s="1157">
        <f t="shared" si="32"/>
        <v>0</v>
      </c>
      <c r="N454" s="893">
        <f t="shared" si="36"/>
        <v>0</v>
      </c>
      <c r="O454" s="905"/>
      <c r="P454" s="58" t="str">
        <f>IF(N450&gt;0,"xx",IF(N450&gt;0,"xy",""))</f>
        <v/>
      </c>
      <c r="Q454" s="317" t="str">
        <f t="shared" si="33"/>
        <v/>
      </c>
      <c r="R454" s="317" t="str">
        <f t="shared" si="34"/>
        <v/>
      </c>
      <c r="S454" s="317" t="str">
        <f t="shared" si="35"/>
        <v/>
      </c>
      <c r="T454" s="317" t="str">
        <f>GLOBAL_DER_FEV_2023!S454</f>
        <v/>
      </c>
      <c r="W454" s="582">
        <v>0</v>
      </c>
      <c r="X454" s="580"/>
      <c r="Y454" s="583">
        <f>IF(GLOBAL_DER_FEV_2023!W454=0,0,IF(GLOBAL_DER_FEV_2023!W454&gt;0,"c","b"))</f>
        <v>0</v>
      </c>
    </row>
    <row r="455" spans="1:25" ht="13.5" hidden="1" thickBot="1" x14ac:dyDescent="0.25">
      <c r="A455" s="317">
        <v>589000</v>
      </c>
      <c r="B455" s="1004" t="str">
        <f>GLOBAL_DER_FEV_2023!B455</f>
        <v>589000K</v>
      </c>
      <c r="C455" s="984" t="str">
        <f>GLOBAL_DER_FEV_2023!C455</f>
        <v>DER mat</v>
      </c>
      <c r="D455" s="1012" t="str">
        <f>GLOBAL_DER_FEV_2023!D455</f>
        <v>Fornecimento de CAP - CBUQ (Quantidade menor que 10.000 ton)</v>
      </c>
      <c r="E455" s="1005">
        <f>GLOBAL_DER_FEV_2023!E455</f>
        <v>45</v>
      </c>
      <c r="F455" s="1006">
        <f>GLOBAL_DER_FEV_2023!F455</f>
        <v>1</v>
      </c>
      <c r="G455" s="949">
        <f>GLOBAL_DER_FEV_2023!G455</f>
        <v>88.36</v>
      </c>
      <c r="H455" s="988">
        <f>GLOBAL_DER_FEV_2023!H455</f>
        <v>4828.8599999999997</v>
      </c>
      <c r="I455" s="988">
        <f>GLOBAL_DER_FEV_2023!I455</f>
        <v>4724.580378112767</v>
      </c>
      <c r="J455" s="989">
        <f>GLOBAL_DER_FEV_2023!J455</f>
        <v>5672.8</v>
      </c>
      <c r="K455" s="990" t="s">
        <v>14</v>
      </c>
      <c r="L455" s="1154">
        <f>ROUND(L450*$F450,2)</f>
        <v>0</v>
      </c>
      <c r="M455" s="1159">
        <f t="shared" si="32"/>
        <v>0</v>
      </c>
      <c r="N455" s="993">
        <f t="shared" si="36"/>
        <v>0</v>
      </c>
      <c r="O455" s="905"/>
      <c r="P455" s="58" t="str">
        <f>IF(N450&gt;0,"xx",IF(N450&gt;0,"xy",""))</f>
        <v/>
      </c>
      <c r="Q455" s="317" t="str">
        <f t="shared" si="33"/>
        <v/>
      </c>
      <c r="R455" s="317" t="str">
        <f t="shared" si="34"/>
        <v/>
      </c>
      <c r="S455" s="317" t="str">
        <f t="shared" si="35"/>
        <v/>
      </c>
      <c r="T455" s="317" t="str">
        <f>GLOBAL_DER_FEV_2023!S455</f>
        <v/>
      </c>
      <c r="W455" s="582">
        <v>0</v>
      </c>
      <c r="X455" s="580"/>
      <c r="Y455" s="583">
        <f>IF(GLOBAL_DER_FEV_2023!W455=0,0,IF(GLOBAL_DER_FEV_2023!W455&gt;0,"c","b"))</f>
        <v>0</v>
      </c>
    </row>
    <row r="456" spans="1:25" ht="13.5" hidden="1" thickBot="1" x14ac:dyDescent="0.25">
      <c r="A456" s="317">
        <v>570000</v>
      </c>
      <c r="B456" s="999" t="str">
        <f>GLOBAL_DER_FEV_2023!B456</f>
        <v>570000D</v>
      </c>
      <c r="C456" s="1000" t="str">
        <f>GLOBAL_DER_FEV_2023!C456</f>
        <v>DER</v>
      </c>
      <c r="D456" s="1024" t="str">
        <f>GLOBAL_DER_FEV_2023!D456</f>
        <v>CBUQ - Novos traços - TRAÇO 7 - FAIXA "C" - (Quant. menor que 10.000 ton)</v>
      </c>
      <c r="E456" s="974" t="str">
        <f>GLOBAL_DER_FEV_2023!E456</f>
        <v>taxa CAP</v>
      </c>
      <c r="F456" s="1025">
        <f>GLOBAL_DER_FEV_2023!F456</f>
        <v>4.9500000000000002E-2</v>
      </c>
      <c r="G456" s="976">
        <f>GLOBAL_DER_FEV_2023!G456</f>
        <v>52.115947599999998</v>
      </c>
      <c r="H456" s="977">
        <f>GLOBAL_DER_FEV_2023!H456</f>
        <v>187.41</v>
      </c>
      <c r="I456" s="977">
        <f>GLOBAL_DER_FEV_2023!I456</f>
        <v>239.52594759999999</v>
      </c>
      <c r="J456" s="978">
        <f>GLOBAL_DER_FEV_2023!J456</f>
        <v>287.60000000000002</v>
      </c>
      <c r="K456" s="979" t="s">
        <v>14</v>
      </c>
      <c r="L456" s="1152"/>
      <c r="M456" s="1153">
        <f t="shared" si="32"/>
        <v>0</v>
      </c>
      <c r="N456" s="982">
        <f t="shared" si="36"/>
        <v>0</v>
      </c>
      <c r="O456" s="905"/>
      <c r="Q456" s="317" t="str">
        <f t="shared" si="33"/>
        <v/>
      </c>
      <c r="R456" s="317" t="str">
        <f t="shared" si="34"/>
        <v/>
      </c>
      <c r="S456" s="317" t="str">
        <f t="shared" si="35"/>
        <v/>
      </c>
      <c r="T456" s="317" t="str">
        <f>GLOBAL_DER_FEV_2023!S456</f>
        <v/>
      </c>
      <c r="W456" s="582">
        <v>0</v>
      </c>
      <c r="X456" s="580"/>
      <c r="Y456" s="583">
        <f>IF(GLOBAL_DER_FEV_2023!W456=0,0,IF(GLOBAL_DER_FEV_2023!W456&gt;0,"c","b"))</f>
        <v>0</v>
      </c>
    </row>
    <row r="457" spans="1:25" ht="13.5" hidden="1" thickBot="1" x14ac:dyDescent="0.25">
      <c r="A457" s="317" t="s">
        <v>147</v>
      </c>
      <c r="B457" s="895" t="str">
        <f>GLOBAL_DER_FEV_2023!B457</f>
        <v>transporte</v>
      </c>
      <c r="C457" s="896">
        <f>GLOBAL_DER_FEV_2023!C457</f>
        <v>0</v>
      </c>
      <c r="D457" s="957" t="str">
        <f>GLOBAL_DER_FEV_2023!D457</f>
        <v>Areia</v>
      </c>
      <c r="E457" s="907">
        <f>GLOBAL_DER_FEV_2023!E457</f>
        <v>150</v>
      </c>
      <c r="F457" s="1287">
        <f>GLOBAL_DER_FEV_2023!F457</f>
        <v>9.5699999999999993E-2</v>
      </c>
      <c r="G457" s="949">
        <f>GLOBAL_DER_FEV_2023!G457</f>
        <v>15.616325999999999</v>
      </c>
      <c r="H457" s="901">
        <f>GLOBAL_DER_FEV_2023!H457</f>
        <v>0</v>
      </c>
      <c r="I457" s="901">
        <f>GLOBAL_DER_FEV_2023!I457</f>
        <v>0</v>
      </c>
      <c r="J457" s="902">
        <f>GLOBAL_DER_FEV_2023!J457</f>
        <v>0</v>
      </c>
      <c r="K457" s="903" t="s">
        <v>507</v>
      </c>
      <c r="L457" s="1003"/>
      <c r="M457" s="1157">
        <f t="shared" si="32"/>
        <v>0</v>
      </c>
      <c r="N457" s="893">
        <f t="shared" si="36"/>
        <v>0</v>
      </c>
      <c r="O457" s="905"/>
      <c r="P457" s="58" t="str">
        <f>IF(N456&gt;0,"xx",IF(N456&gt;0,"xy",""))</f>
        <v/>
      </c>
      <c r="Q457" s="317" t="str">
        <f t="shared" si="33"/>
        <v/>
      </c>
      <c r="R457" s="317" t="str">
        <f t="shared" si="34"/>
        <v/>
      </c>
      <c r="S457" s="317" t="str">
        <f t="shared" si="35"/>
        <v/>
      </c>
      <c r="T457" s="317" t="str">
        <f>GLOBAL_DER_FEV_2023!S457</f>
        <v/>
      </c>
      <c r="W457" s="582">
        <v>0</v>
      </c>
      <c r="X457" s="580"/>
      <c r="Y457" s="583">
        <f>IF(GLOBAL_DER_FEV_2023!W457=0,0,IF(GLOBAL_DER_FEV_2023!W457&gt;0,"c","b"))</f>
        <v>0</v>
      </c>
    </row>
    <row r="458" spans="1:25" ht="13.5" hidden="1" thickBot="1" x14ac:dyDescent="0.25">
      <c r="A458" s="317" t="s">
        <v>147</v>
      </c>
      <c r="B458" s="895" t="str">
        <f>GLOBAL_DER_FEV_2023!B458</f>
        <v>transporte</v>
      </c>
      <c r="C458" s="896">
        <f>GLOBAL_DER_FEV_2023!C458</f>
        <v>0</v>
      </c>
      <c r="D458" s="957" t="str">
        <f>GLOBAL_DER_FEV_2023!D458</f>
        <v>Cal Hidratada CH-1</v>
      </c>
      <c r="E458" s="907">
        <f>GLOBAL_DER_FEV_2023!E458</f>
        <v>353</v>
      </c>
      <c r="F458" s="1287">
        <f>GLOBAL_DER_FEV_2023!F458</f>
        <v>1.44E-2</v>
      </c>
      <c r="G458" s="909">
        <f>GLOBAL_DER_FEV_2023!G458</f>
        <v>4.0775040000000002</v>
      </c>
      <c r="H458" s="901">
        <f>GLOBAL_DER_FEV_2023!H458</f>
        <v>0</v>
      </c>
      <c r="I458" s="901">
        <f>GLOBAL_DER_FEV_2023!I458</f>
        <v>0</v>
      </c>
      <c r="J458" s="902">
        <f>GLOBAL_DER_FEV_2023!J458</f>
        <v>0</v>
      </c>
      <c r="K458" s="903" t="s">
        <v>507</v>
      </c>
      <c r="L458" s="1003"/>
      <c r="M458" s="1157">
        <f t="shared" si="32"/>
        <v>0</v>
      </c>
      <c r="N458" s="893">
        <f t="shared" si="36"/>
        <v>0</v>
      </c>
      <c r="O458" s="905"/>
      <c r="P458" s="58" t="str">
        <f>IF(N456&gt;0,"xx",IF(N456&gt;0,"xy",""))</f>
        <v/>
      </c>
      <c r="Q458" s="317" t="str">
        <f t="shared" si="33"/>
        <v/>
      </c>
      <c r="R458" s="317" t="str">
        <f t="shared" si="34"/>
        <v/>
      </c>
      <c r="S458" s="317" t="str">
        <f t="shared" si="35"/>
        <v/>
      </c>
      <c r="T458" s="317" t="str">
        <f>GLOBAL_DER_FEV_2023!S458</f>
        <v/>
      </c>
      <c r="W458" s="582">
        <v>0</v>
      </c>
      <c r="X458" s="580"/>
      <c r="Y458" s="583">
        <f>IF(GLOBAL_DER_FEV_2023!W458=0,0,IF(GLOBAL_DER_FEV_2023!W458&gt;0,"c","b"))</f>
        <v>0</v>
      </c>
    </row>
    <row r="459" spans="1:25" ht="13.5" hidden="1" thickBot="1" x14ac:dyDescent="0.25">
      <c r="A459" s="317" t="s">
        <v>147</v>
      </c>
      <c r="B459" s="895" t="str">
        <f>GLOBAL_DER_FEV_2023!B459</f>
        <v>transporte</v>
      </c>
      <c r="C459" s="896">
        <f>GLOBAL_DER_FEV_2023!C459</f>
        <v>0</v>
      </c>
      <c r="D459" s="957" t="str">
        <f>GLOBAL_DER_FEV_2023!D459</f>
        <v>Brita ( usina )</v>
      </c>
      <c r="E459" s="907">
        <f>GLOBAL_DER_FEV_2023!E459</f>
        <v>0.2</v>
      </c>
      <c r="F459" s="1287">
        <f>GLOBAL_DER_FEV_2023!F459</f>
        <v>0.84040000000000004</v>
      </c>
      <c r="G459" s="949">
        <f>GLOBAL_DER_FEV_2023!G459</f>
        <v>2.4321176000000002</v>
      </c>
      <c r="H459" s="901">
        <f>GLOBAL_DER_FEV_2023!H459</f>
        <v>0</v>
      </c>
      <c r="I459" s="901">
        <f>GLOBAL_DER_FEV_2023!I459</f>
        <v>0</v>
      </c>
      <c r="J459" s="902">
        <f>GLOBAL_DER_FEV_2023!J459</f>
        <v>0</v>
      </c>
      <c r="K459" s="903" t="s">
        <v>507</v>
      </c>
      <c r="L459" s="1003"/>
      <c r="M459" s="1157">
        <f t="shared" si="32"/>
        <v>0</v>
      </c>
      <c r="N459" s="893">
        <f t="shared" si="36"/>
        <v>0</v>
      </c>
      <c r="O459" s="905"/>
      <c r="P459" s="58" t="str">
        <f>IF(N456&gt;0,"xx",IF(N456&gt;0,"xy",""))</f>
        <v/>
      </c>
      <c r="Q459" s="317" t="str">
        <f t="shared" si="33"/>
        <v/>
      </c>
      <c r="R459" s="317" t="str">
        <f t="shared" si="34"/>
        <v/>
      </c>
      <c r="S459" s="317" t="str">
        <f t="shared" si="35"/>
        <v/>
      </c>
      <c r="T459" s="317" t="str">
        <f>GLOBAL_DER_FEV_2023!S459</f>
        <v/>
      </c>
      <c r="W459" s="582">
        <v>0</v>
      </c>
      <c r="X459" s="580"/>
      <c r="Y459" s="583">
        <f>IF(GLOBAL_DER_FEV_2023!W459=0,0,IF(GLOBAL_DER_FEV_2023!W459&gt;0,"c","b"))</f>
        <v>0</v>
      </c>
    </row>
    <row r="460" spans="1:25" ht="13.5" hidden="1" thickBot="1" x14ac:dyDescent="0.25">
      <c r="A460" s="317" t="s">
        <v>147</v>
      </c>
      <c r="B460" s="895" t="str">
        <f>GLOBAL_DER_FEV_2023!B460</f>
        <v>transporte</v>
      </c>
      <c r="C460" s="896">
        <f>GLOBAL_DER_FEV_2023!C460</f>
        <v>0</v>
      </c>
      <c r="D460" s="957" t="str">
        <f>GLOBAL_DER_FEV_2023!D460</f>
        <v>Massa</v>
      </c>
      <c r="E460" s="907">
        <f>GLOBAL_DER_FEV_2023!E460</f>
        <v>22</v>
      </c>
      <c r="F460" s="1287">
        <f>GLOBAL_DER_FEV_2023!F460</f>
        <v>1</v>
      </c>
      <c r="G460" s="912">
        <f>GLOBAL_DER_FEV_2023!G460</f>
        <v>29.990000000000002</v>
      </c>
      <c r="H460" s="901">
        <f>GLOBAL_DER_FEV_2023!H460</f>
        <v>0</v>
      </c>
      <c r="I460" s="901">
        <f>GLOBAL_DER_FEV_2023!I460</f>
        <v>0</v>
      </c>
      <c r="J460" s="902">
        <f>GLOBAL_DER_FEV_2023!J460</f>
        <v>0</v>
      </c>
      <c r="K460" s="903" t="s">
        <v>507</v>
      </c>
      <c r="L460" s="1003"/>
      <c r="M460" s="1157">
        <f t="shared" si="32"/>
        <v>0</v>
      </c>
      <c r="N460" s="893">
        <f t="shared" si="36"/>
        <v>0</v>
      </c>
      <c r="O460" s="905"/>
      <c r="P460" s="58" t="str">
        <f>IF(N456&gt;0,"xx",IF(N456&gt;0,"xy",""))</f>
        <v/>
      </c>
      <c r="Q460" s="317" t="str">
        <f t="shared" si="33"/>
        <v/>
      </c>
      <c r="R460" s="317" t="str">
        <f t="shared" si="34"/>
        <v/>
      </c>
      <c r="S460" s="317" t="str">
        <f t="shared" si="35"/>
        <v/>
      </c>
      <c r="T460" s="317" t="str">
        <f>GLOBAL_DER_FEV_2023!S460</f>
        <v/>
      </c>
      <c r="W460" s="582">
        <v>0</v>
      </c>
      <c r="X460" s="580"/>
      <c r="Y460" s="583">
        <f>IF(GLOBAL_DER_FEV_2023!W460=0,0,IF(GLOBAL_DER_FEV_2023!W460&gt;0,"c","b"))</f>
        <v>0</v>
      </c>
    </row>
    <row r="461" spans="1:25" ht="13.5" hidden="1" thickBot="1" x14ac:dyDescent="0.25">
      <c r="A461" s="317">
        <v>589000</v>
      </c>
      <c r="B461" s="1004" t="str">
        <f>GLOBAL_DER_FEV_2023!B461</f>
        <v>589000K</v>
      </c>
      <c r="C461" s="984" t="str">
        <f>GLOBAL_DER_FEV_2023!C461</f>
        <v>DER mat</v>
      </c>
      <c r="D461" s="1012" t="str">
        <f>GLOBAL_DER_FEV_2023!D461</f>
        <v>Fornecimento de CAP - CBUQ (Quantidade menor que 10.000 ton)</v>
      </c>
      <c r="E461" s="1005">
        <f>GLOBAL_DER_FEV_2023!E461</f>
        <v>45</v>
      </c>
      <c r="F461" s="1288">
        <f>GLOBAL_DER_FEV_2023!F461</f>
        <v>1</v>
      </c>
      <c r="G461" s="949">
        <f>GLOBAL_DER_FEV_2023!G461</f>
        <v>88.36</v>
      </c>
      <c r="H461" s="988">
        <f>GLOBAL_DER_FEV_2023!H461</f>
        <v>4828.8599999999997</v>
      </c>
      <c r="I461" s="988">
        <f>GLOBAL_DER_FEV_2023!I461</f>
        <v>4724.580378112767</v>
      </c>
      <c r="J461" s="989">
        <f>GLOBAL_DER_FEV_2023!J461</f>
        <v>5672.8</v>
      </c>
      <c r="K461" s="990" t="s">
        <v>14</v>
      </c>
      <c r="L461" s="1154">
        <f>ROUND(L456*$F456,2)</f>
        <v>0</v>
      </c>
      <c r="M461" s="1159">
        <f t="shared" si="32"/>
        <v>0</v>
      </c>
      <c r="N461" s="993">
        <f t="shared" si="36"/>
        <v>0</v>
      </c>
      <c r="O461" s="905"/>
      <c r="P461" s="58" t="str">
        <f>IF(N456&gt;0,"xx",IF(N456&gt;0,"xy",""))</f>
        <v/>
      </c>
      <c r="Q461" s="317" t="str">
        <f t="shared" si="33"/>
        <v/>
      </c>
      <c r="R461" s="317" t="str">
        <f t="shared" si="34"/>
        <v/>
      </c>
      <c r="S461" s="317" t="str">
        <f t="shared" si="35"/>
        <v/>
      </c>
      <c r="T461" s="317" t="str">
        <f>GLOBAL_DER_FEV_2023!S461</f>
        <v/>
      </c>
      <c r="W461" s="582">
        <v>0</v>
      </c>
      <c r="X461" s="580"/>
      <c r="Y461" s="583">
        <f>IF(GLOBAL_DER_FEV_2023!W461=0,0,IF(GLOBAL_DER_FEV_2023!W461&gt;0,"c","b"))</f>
        <v>0</v>
      </c>
    </row>
    <row r="462" spans="1:25" ht="13.5" hidden="1" thickBot="1" x14ac:dyDescent="0.25">
      <c r="A462" s="317">
        <v>570000</v>
      </c>
      <c r="B462" s="999" t="str">
        <f>GLOBAL_DER_FEV_2023!B462</f>
        <v>570000D</v>
      </c>
      <c r="C462" s="1000" t="str">
        <f>GLOBAL_DER_FEV_2023!C462</f>
        <v>DER</v>
      </c>
      <c r="D462" s="1024" t="str">
        <f>GLOBAL_DER_FEV_2023!D462</f>
        <v>CBUQ - Novos traços - TRAÇO 8 - FAIXA "C" - (Quant. menor que 10.000 ton)</v>
      </c>
      <c r="E462" s="974" t="str">
        <f>GLOBAL_DER_FEV_2023!E462</f>
        <v>taxa CAP</v>
      </c>
      <c r="F462" s="1025">
        <f>GLOBAL_DER_FEV_2023!F462</f>
        <v>4.9000000000000002E-2</v>
      </c>
      <c r="G462" s="976">
        <f>GLOBAL_DER_FEV_2023!G462</f>
        <v>52.1614498</v>
      </c>
      <c r="H462" s="977">
        <f>GLOBAL_DER_FEV_2023!H462</f>
        <v>187.41</v>
      </c>
      <c r="I462" s="977">
        <f>GLOBAL_DER_FEV_2023!I462</f>
        <v>239.57144979999998</v>
      </c>
      <c r="J462" s="978">
        <f>GLOBAL_DER_FEV_2023!J462</f>
        <v>287.64999999999998</v>
      </c>
      <c r="K462" s="979" t="s">
        <v>14</v>
      </c>
      <c r="L462" s="1152"/>
      <c r="M462" s="1153">
        <f t="shared" si="32"/>
        <v>0</v>
      </c>
      <c r="N462" s="982">
        <f t="shared" si="36"/>
        <v>0</v>
      </c>
      <c r="O462" s="905"/>
      <c r="Q462" s="317" t="str">
        <f t="shared" si="33"/>
        <v/>
      </c>
      <c r="R462" s="317" t="str">
        <f t="shared" si="34"/>
        <v/>
      </c>
      <c r="S462" s="317" t="str">
        <f t="shared" si="35"/>
        <v/>
      </c>
      <c r="T462" s="317" t="str">
        <f>GLOBAL_DER_FEV_2023!S462</f>
        <v/>
      </c>
      <c r="W462" s="582">
        <v>0</v>
      </c>
      <c r="X462" s="580"/>
      <c r="Y462" s="583">
        <f>IF(GLOBAL_DER_FEV_2023!W462=0,0,IF(GLOBAL_DER_FEV_2023!W462&gt;0,"c","b"))</f>
        <v>0</v>
      </c>
    </row>
    <row r="463" spans="1:25" ht="13.5" hidden="1" thickBot="1" x14ac:dyDescent="0.25">
      <c r="A463" s="317" t="s">
        <v>147</v>
      </c>
      <c r="B463" s="895" t="str">
        <f>GLOBAL_DER_FEV_2023!B463</f>
        <v>transporte</v>
      </c>
      <c r="C463" s="896">
        <f>GLOBAL_DER_FEV_2023!C463</f>
        <v>0</v>
      </c>
      <c r="D463" s="957" t="str">
        <f>GLOBAL_DER_FEV_2023!D463</f>
        <v>Areia</v>
      </c>
      <c r="E463" s="907">
        <f>GLOBAL_DER_FEV_2023!E463</f>
        <v>150</v>
      </c>
      <c r="F463" s="1287">
        <f>GLOBAL_DER_FEV_2023!F463</f>
        <v>9.5799999999999996E-2</v>
      </c>
      <c r="G463" s="949">
        <f>GLOBAL_DER_FEV_2023!G463</f>
        <v>15.632644000000001</v>
      </c>
      <c r="H463" s="901">
        <f>GLOBAL_DER_FEV_2023!H463</f>
        <v>0</v>
      </c>
      <c r="I463" s="901">
        <f>GLOBAL_DER_FEV_2023!I463</f>
        <v>0</v>
      </c>
      <c r="J463" s="902">
        <f>GLOBAL_DER_FEV_2023!J463</f>
        <v>0</v>
      </c>
      <c r="K463" s="903" t="s">
        <v>507</v>
      </c>
      <c r="L463" s="1003"/>
      <c r="M463" s="1157">
        <f t="shared" si="32"/>
        <v>0</v>
      </c>
      <c r="N463" s="893">
        <f t="shared" si="36"/>
        <v>0</v>
      </c>
      <c r="O463" s="905"/>
      <c r="P463" s="58" t="str">
        <f>IF(N462&gt;0,"xx",IF(N462&gt;0,"xy",""))</f>
        <v/>
      </c>
      <c r="Q463" s="317" t="str">
        <f t="shared" si="33"/>
        <v/>
      </c>
      <c r="R463" s="317" t="str">
        <f t="shared" si="34"/>
        <v/>
      </c>
      <c r="S463" s="317" t="str">
        <f t="shared" si="35"/>
        <v/>
      </c>
      <c r="T463" s="317" t="str">
        <f>GLOBAL_DER_FEV_2023!S463</f>
        <v/>
      </c>
      <c r="W463" s="582">
        <v>0</v>
      </c>
      <c r="X463" s="580"/>
      <c r="Y463" s="583">
        <f>IF(GLOBAL_DER_FEV_2023!W463=0,0,IF(GLOBAL_DER_FEV_2023!W463&gt;0,"c","b"))</f>
        <v>0</v>
      </c>
    </row>
    <row r="464" spans="1:25" ht="13.5" hidden="1" thickBot="1" x14ac:dyDescent="0.25">
      <c r="A464" s="317" t="s">
        <v>147</v>
      </c>
      <c r="B464" s="895" t="str">
        <f>GLOBAL_DER_FEV_2023!B464</f>
        <v>transporte</v>
      </c>
      <c r="C464" s="896">
        <f>GLOBAL_DER_FEV_2023!C464</f>
        <v>0</v>
      </c>
      <c r="D464" s="957" t="str">
        <f>GLOBAL_DER_FEV_2023!D464</f>
        <v>Cal Hidratada CH-1</v>
      </c>
      <c r="E464" s="907">
        <f>GLOBAL_DER_FEV_2023!E464</f>
        <v>353</v>
      </c>
      <c r="F464" s="1287">
        <f>GLOBAL_DER_FEV_2023!F464</f>
        <v>1.4500000000000001E-2</v>
      </c>
      <c r="G464" s="909">
        <f>GLOBAL_DER_FEV_2023!G464</f>
        <v>4.1058200000000005</v>
      </c>
      <c r="H464" s="901">
        <f>GLOBAL_DER_FEV_2023!H464</f>
        <v>0</v>
      </c>
      <c r="I464" s="901">
        <f>GLOBAL_DER_FEV_2023!I464</f>
        <v>0</v>
      </c>
      <c r="J464" s="902">
        <f>GLOBAL_DER_FEV_2023!J464</f>
        <v>0</v>
      </c>
      <c r="K464" s="903" t="s">
        <v>507</v>
      </c>
      <c r="L464" s="1003"/>
      <c r="M464" s="1157">
        <f t="shared" si="32"/>
        <v>0</v>
      </c>
      <c r="N464" s="893">
        <f t="shared" si="36"/>
        <v>0</v>
      </c>
      <c r="O464" s="905"/>
      <c r="P464" s="58" t="str">
        <f>IF(N462&gt;0,"xx",IF(N462&gt;0,"xy",""))</f>
        <v/>
      </c>
      <c r="Q464" s="317" t="str">
        <f t="shared" si="33"/>
        <v/>
      </c>
      <c r="R464" s="317" t="str">
        <f t="shared" si="34"/>
        <v/>
      </c>
      <c r="S464" s="317" t="str">
        <f t="shared" si="35"/>
        <v/>
      </c>
      <c r="T464" s="317" t="str">
        <f>GLOBAL_DER_FEV_2023!S464</f>
        <v/>
      </c>
      <c r="W464" s="582">
        <v>0</v>
      </c>
      <c r="X464" s="580"/>
      <c r="Y464" s="583">
        <f>IF(GLOBAL_DER_FEV_2023!W464=0,0,IF(GLOBAL_DER_FEV_2023!W464&gt;0,"c","b"))</f>
        <v>0</v>
      </c>
    </row>
    <row r="465" spans="1:25" ht="13.5" hidden="1" thickBot="1" x14ac:dyDescent="0.25">
      <c r="A465" s="317" t="s">
        <v>147</v>
      </c>
      <c r="B465" s="895" t="str">
        <f>GLOBAL_DER_FEV_2023!B465</f>
        <v>transporte</v>
      </c>
      <c r="C465" s="896">
        <f>GLOBAL_DER_FEV_2023!C465</f>
        <v>0</v>
      </c>
      <c r="D465" s="957" t="str">
        <f>GLOBAL_DER_FEV_2023!D465</f>
        <v>Brita ( usina )</v>
      </c>
      <c r="E465" s="907">
        <f>GLOBAL_DER_FEV_2023!E465</f>
        <v>0.2</v>
      </c>
      <c r="F465" s="1287">
        <f>GLOBAL_DER_FEV_2023!F465</f>
        <v>0.8407</v>
      </c>
      <c r="G465" s="949">
        <f>GLOBAL_DER_FEV_2023!G465</f>
        <v>2.4329858</v>
      </c>
      <c r="H465" s="901">
        <f>GLOBAL_DER_FEV_2023!H465</f>
        <v>0</v>
      </c>
      <c r="I465" s="901">
        <f>GLOBAL_DER_FEV_2023!I465</f>
        <v>0</v>
      </c>
      <c r="J465" s="902">
        <f>GLOBAL_DER_FEV_2023!J465</f>
        <v>0</v>
      </c>
      <c r="K465" s="903" t="s">
        <v>507</v>
      </c>
      <c r="L465" s="1003"/>
      <c r="M465" s="1157">
        <f t="shared" si="32"/>
        <v>0</v>
      </c>
      <c r="N465" s="893">
        <f t="shared" si="36"/>
        <v>0</v>
      </c>
      <c r="O465" s="905"/>
      <c r="P465" s="58" t="str">
        <f>IF(N462&gt;0,"xx",IF(N462&gt;0,"xy",""))</f>
        <v/>
      </c>
      <c r="Q465" s="317" t="str">
        <f t="shared" si="33"/>
        <v/>
      </c>
      <c r="R465" s="317" t="str">
        <f t="shared" si="34"/>
        <v/>
      </c>
      <c r="S465" s="317" t="str">
        <f t="shared" si="35"/>
        <v/>
      </c>
      <c r="T465" s="317" t="str">
        <f>GLOBAL_DER_FEV_2023!S465</f>
        <v/>
      </c>
      <c r="W465" s="582">
        <v>0</v>
      </c>
      <c r="X465" s="580"/>
      <c r="Y465" s="583">
        <f>IF(GLOBAL_DER_FEV_2023!W465=0,0,IF(GLOBAL_DER_FEV_2023!W465&gt;0,"c","b"))</f>
        <v>0</v>
      </c>
    </row>
    <row r="466" spans="1:25" ht="13.5" hidden="1" thickBot="1" x14ac:dyDescent="0.25">
      <c r="A466" s="317" t="s">
        <v>147</v>
      </c>
      <c r="B466" s="895" t="str">
        <f>GLOBAL_DER_FEV_2023!B466</f>
        <v>transporte</v>
      </c>
      <c r="C466" s="896">
        <f>GLOBAL_DER_FEV_2023!C466</f>
        <v>0</v>
      </c>
      <c r="D466" s="957" t="str">
        <f>GLOBAL_DER_FEV_2023!D466</f>
        <v>Massa</v>
      </c>
      <c r="E466" s="907">
        <f>GLOBAL_DER_FEV_2023!E466</f>
        <v>22</v>
      </c>
      <c r="F466" s="908">
        <f>GLOBAL_DER_FEV_2023!F466</f>
        <v>1</v>
      </c>
      <c r="G466" s="912">
        <f>GLOBAL_DER_FEV_2023!G466</f>
        <v>29.990000000000002</v>
      </c>
      <c r="H466" s="901">
        <f>GLOBAL_DER_FEV_2023!H466</f>
        <v>0</v>
      </c>
      <c r="I466" s="901">
        <f>GLOBAL_DER_FEV_2023!I466</f>
        <v>0</v>
      </c>
      <c r="J466" s="902">
        <f>GLOBAL_DER_FEV_2023!J466</f>
        <v>0</v>
      </c>
      <c r="K466" s="903" t="s">
        <v>507</v>
      </c>
      <c r="L466" s="1003"/>
      <c r="M466" s="1157">
        <f t="shared" si="32"/>
        <v>0</v>
      </c>
      <c r="N466" s="893">
        <f t="shared" si="36"/>
        <v>0</v>
      </c>
      <c r="O466" s="905"/>
      <c r="P466" s="58" t="str">
        <f>IF(N462&gt;0,"xx",IF(N462&gt;0,"xy",""))</f>
        <v/>
      </c>
      <c r="Q466" s="317" t="str">
        <f t="shared" si="33"/>
        <v/>
      </c>
      <c r="R466" s="317" t="str">
        <f t="shared" si="34"/>
        <v/>
      </c>
      <c r="S466" s="317" t="str">
        <f t="shared" si="35"/>
        <v/>
      </c>
      <c r="T466" s="317" t="str">
        <f>GLOBAL_DER_FEV_2023!S466</f>
        <v/>
      </c>
      <c r="W466" s="582">
        <v>0</v>
      </c>
      <c r="X466" s="580"/>
      <c r="Y466" s="583">
        <f>IF(GLOBAL_DER_FEV_2023!W466=0,0,IF(GLOBAL_DER_FEV_2023!W466&gt;0,"c","b"))</f>
        <v>0</v>
      </c>
    </row>
    <row r="467" spans="1:25" ht="13.5" hidden="1" thickBot="1" x14ac:dyDescent="0.25">
      <c r="A467" s="317">
        <v>589000</v>
      </c>
      <c r="B467" s="1004" t="str">
        <f>GLOBAL_DER_FEV_2023!B467</f>
        <v>589000K</v>
      </c>
      <c r="C467" s="984" t="str">
        <f>GLOBAL_DER_FEV_2023!C467</f>
        <v>DER mat</v>
      </c>
      <c r="D467" s="1012" t="str">
        <f>GLOBAL_DER_FEV_2023!D467</f>
        <v>Fornecimento de CAP - CBUQ (Quantidade menor que 10.000 ton)</v>
      </c>
      <c r="E467" s="1005">
        <f>GLOBAL_DER_FEV_2023!E467</f>
        <v>45</v>
      </c>
      <c r="F467" s="1006">
        <f>GLOBAL_DER_FEV_2023!F467</f>
        <v>1</v>
      </c>
      <c r="G467" s="949">
        <f>GLOBAL_DER_FEV_2023!G467</f>
        <v>88.36</v>
      </c>
      <c r="H467" s="988">
        <f>GLOBAL_DER_FEV_2023!H467</f>
        <v>4828.8599999999997</v>
      </c>
      <c r="I467" s="988">
        <f>GLOBAL_DER_FEV_2023!I467</f>
        <v>4724.580378112767</v>
      </c>
      <c r="J467" s="989">
        <f>GLOBAL_DER_FEV_2023!J467</f>
        <v>5672.8</v>
      </c>
      <c r="K467" s="990" t="s">
        <v>14</v>
      </c>
      <c r="L467" s="1154">
        <f>ROUND(L462*$F462,2)</f>
        <v>0</v>
      </c>
      <c r="M467" s="1159">
        <f t="shared" si="32"/>
        <v>0</v>
      </c>
      <c r="N467" s="993">
        <f t="shared" si="36"/>
        <v>0</v>
      </c>
      <c r="O467" s="905"/>
      <c r="P467" s="58" t="str">
        <f>IF(N462&gt;0,"xx",IF(N462&gt;0,"xy",""))</f>
        <v/>
      </c>
      <c r="Q467" s="317" t="str">
        <f t="shared" si="33"/>
        <v/>
      </c>
      <c r="R467" s="317" t="str">
        <f t="shared" si="34"/>
        <v/>
      </c>
      <c r="S467" s="317" t="str">
        <f t="shared" si="35"/>
        <v/>
      </c>
      <c r="T467" s="317" t="str">
        <f>GLOBAL_DER_FEV_2023!S467</f>
        <v/>
      </c>
      <c r="W467" s="582">
        <v>0</v>
      </c>
      <c r="X467" s="580"/>
      <c r="Y467" s="583">
        <f>IF(GLOBAL_DER_FEV_2023!W467=0,0,IF(GLOBAL_DER_FEV_2023!W467&gt;0,"c","b"))</f>
        <v>0</v>
      </c>
    </row>
    <row r="468" spans="1:25" ht="13.5" hidden="1" thickBot="1" x14ac:dyDescent="0.25">
      <c r="A468" s="317">
        <v>570400</v>
      </c>
      <c r="B468" s="999" t="s">
        <v>1655</v>
      </c>
      <c r="C468" s="1000" t="s">
        <v>184</v>
      </c>
      <c r="D468" s="1019" t="s">
        <v>2223</v>
      </c>
      <c r="E468" s="974" t="str">
        <f>GLOBAL_DER_FEV_2023!E468</f>
        <v>taxa CAP</v>
      </c>
      <c r="F468" s="975">
        <f>GLOBAL_DER_FEV_2023!F468</f>
        <v>0.05</v>
      </c>
      <c r="G468" s="976">
        <f>GLOBAL_DER_FEV_2023!G468</f>
        <v>53.140143399999999</v>
      </c>
      <c r="H468" s="977">
        <f>GLOBAL_DER_FEV_2023!H468</f>
        <v>169.12</v>
      </c>
      <c r="I468" s="977">
        <f>GLOBAL_DER_FEV_2023!I468</f>
        <v>222.2601434</v>
      </c>
      <c r="J468" s="978">
        <f>GLOBAL_DER_FEV_2023!J468</f>
        <v>266.87</v>
      </c>
      <c r="K468" s="979" t="s">
        <v>14</v>
      </c>
      <c r="L468" s="1152"/>
      <c r="M468" s="1153">
        <f t="shared" si="32"/>
        <v>0</v>
      </c>
      <c r="N468" s="982">
        <f t="shared" si="36"/>
        <v>0</v>
      </c>
      <c r="O468" s="905"/>
      <c r="Q468" s="317" t="str">
        <f t="shared" si="33"/>
        <v/>
      </c>
      <c r="R468" s="317" t="str">
        <f t="shared" si="34"/>
        <v/>
      </c>
      <c r="S468" s="317" t="str">
        <f t="shared" si="35"/>
        <v/>
      </c>
      <c r="T468" s="317" t="str">
        <f>GLOBAL_DER_FEV_2023!S468</f>
        <v/>
      </c>
      <c r="W468" s="582">
        <v>0</v>
      </c>
      <c r="X468" s="580"/>
      <c r="Y468" s="583">
        <f>IF(GLOBAL_DER_FEV_2023!W468=0,0,IF(GLOBAL_DER_FEV_2023!W468&gt;0,"c","b"))</f>
        <v>0</v>
      </c>
    </row>
    <row r="469" spans="1:25" ht="13.5" hidden="1" thickBot="1" x14ac:dyDescent="0.25">
      <c r="A469" s="317" t="s">
        <v>147</v>
      </c>
      <c r="B469" s="895" t="s">
        <v>147</v>
      </c>
      <c r="C469" s="896"/>
      <c r="D469" s="957" t="s">
        <v>229</v>
      </c>
      <c r="E469" s="907">
        <f>GLOBAL_DER_FEV_2023!E469</f>
        <v>150</v>
      </c>
      <c r="F469" s="908">
        <f>GLOBAL_DER_FEV_2023!F469</f>
        <v>0.1007</v>
      </c>
      <c r="G469" s="949">
        <f>GLOBAL_DER_FEV_2023!G469</f>
        <v>16.432226</v>
      </c>
      <c r="H469" s="901">
        <f>GLOBAL_DER_FEV_2023!H469</f>
        <v>0</v>
      </c>
      <c r="I469" s="901">
        <f>GLOBAL_DER_FEV_2023!I469</f>
        <v>0</v>
      </c>
      <c r="J469" s="902">
        <f>GLOBAL_DER_FEV_2023!J469</f>
        <v>0</v>
      </c>
      <c r="K469" s="903" t="s">
        <v>507</v>
      </c>
      <c r="L469" s="1003"/>
      <c r="M469" s="1157">
        <f t="shared" si="32"/>
        <v>0</v>
      </c>
      <c r="N469" s="893">
        <f t="shared" si="36"/>
        <v>0</v>
      </c>
      <c r="O469" s="905"/>
      <c r="P469" s="58" t="str">
        <f>IF(N468&gt;0,"xx",IF(N468&gt;0,"xy",""))</f>
        <v/>
      </c>
      <c r="Q469" s="317" t="str">
        <f t="shared" si="33"/>
        <v/>
      </c>
      <c r="R469" s="317" t="str">
        <f t="shared" si="34"/>
        <v/>
      </c>
      <c r="S469" s="317" t="str">
        <f t="shared" si="35"/>
        <v/>
      </c>
      <c r="T469" s="317" t="str">
        <f>GLOBAL_DER_FEV_2023!S469</f>
        <v/>
      </c>
      <c r="W469" s="582">
        <v>0</v>
      </c>
      <c r="X469" s="580"/>
      <c r="Y469" s="583">
        <f>IF(GLOBAL_DER_FEV_2023!W469=0,0,IF(GLOBAL_DER_FEV_2023!W469&gt;0,"c","b"))</f>
        <v>0</v>
      </c>
    </row>
    <row r="470" spans="1:25" ht="13.5" hidden="1" thickBot="1" x14ac:dyDescent="0.25">
      <c r="A470" s="317" t="s">
        <v>147</v>
      </c>
      <c r="B470" s="895" t="s">
        <v>147</v>
      </c>
      <c r="C470" s="896"/>
      <c r="D470" s="957" t="s">
        <v>230</v>
      </c>
      <c r="E470" s="907">
        <f>GLOBAL_DER_FEV_2023!E470</f>
        <v>353</v>
      </c>
      <c r="F470" s="908">
        <f>GLOBAL_DER_FEV_2023!F470</f>
        <v>1.52E-2</v>
      </c>
      <c r="G470" s="909">
        <f>GLOBAL_DER_FEV_2023!G470</f>
        <v>4.3040320000000003</v>
      </c>
      <c r="H470" s="901">
        <f>GLOBAL_DER_FEV_2023!H470</f>
        <v>0</v>
      </c>
      <c r="I470" s="901">
        <f>GLOBAL_DER_FEV_2023!I470</f>
        <v>0</v>
      </c>
      <c r="J470" s="902">
        <f>GLOBAL_DER_FEV_2023!J470</f>
        <v>0</v>
      </c>
      <c r="K470" s="903" t="s">
        <v>507</v>
      </c>
      <c r="L470" s="1003"/>
      <c r="M470" s="1157">
        <f t="shared" si="32"/>
        <v>0</v>
      </c>
      <c r="N470" s="893">
        <f t="shared" si="36"/>
        <v>0</v>
      </c>
      <c r="O470" s="905"/>
      <c r="P470" s="58" t="str">
        <f>IF(N468&gt;0,"xx",IF(N468&gt;0,"xy",""))</f>
        <v/>
      </c>
      <c r="Q470" s="317" t="str">
        <f t="shared" si="33"/>
        <v/>
      </c>
      <c r="R470" s="317" t="str">
        <f t="shared" si="34"/>
        <v/>
      </c>
      <c r="S470" s="317" t="str">
        <f t="shared" si="35"/>
        <v/>
      </c>
      <c r="T470" s="317" t="str">
        <f>GLOBAL_DER_FEV_2023!S470</f>
        <v/>
      </c>
      <c r="W470" s="582">
        <v>0</v>
      </c>
      <c r="X470" s="580"/>
      <c r="Y470" s="583">
        <f>IF(GLOBAL_DER_FEV_2023!W470=0,0,IF(GLOBAL_DER_FEV_2023!W470&gt;0,"c","b"))</f>
        <v>0</v>
      </c>
    </row>
    <row r="471" spans="1:25" ht="13.5" hidden="1" thickBot="1" x14ac:dyDescent="0.25">
      <c r="A471" s="317" t="s">
        <v>147</v>
      </c>
      <c r="B471" s="895" t="s">
        <v>147</v>
      </c>
      <c r="C471" s="896"/>
      <c r="D471" s="957" t="s">
        <v>243</v>
      </c>
      <c r="E471" s="907">
        <f>GLOBAL_DER_FEV_2023!E471</f>
        <v>0.2</v>
      </c>
      <c r="F471" s="908">
        <f>GLOBAL_DER_FEV_2023!F471</f>
        <v>0.83409999999999995</v>
      </c>
      <c r="G471" s="949">
        <f>GLOBAL_DER_FEV_2023!G471</f>
        <v>2.4138853999999998</v>
      </c>
      <c r="H471" s="901">
        <f>GLOBAL_DER_FEV_2023!H471</f>
        <v>0</v>
      </c>
      <c r="I471" s="901">
        <f>GLOBAL_DER_FEV_2023!I471</f>
        <v>0</v>
      </c>
      <c r="J471" s="902">
        <f>GLOBAL_DER_FEV_2023!J471</f>
        <v>0</v>
      </c>
      <c r="K471" s="903" t="s">
        <v>507</v>
      </c>
      <c r="L471" s="1003"/>
      <c r="M471" s="1157">
        <f t="shared" si="32"/>
        <v>0</v>
      </c>
      <c r="N471" s="893">
        <f t="shared" si="36"/>
        <v>0</v>
      </c>
      <c r="O471" s="905"/>
      <c r="P471" s="58" t="str">
        <f>IF(N468&gt;0,"xx",IF(N468&gt;0,"xy",""))</f>
        <v/>
      </c>
      <c r="Q471" s="317" t="str">
        <f t="shared" si="33"/>
        <v/>
      </c>
      <c r="R471" s="317" t="str">
        <f t="shared" si="34"/>
        <v/>
      </c>
      <c r="S471" s="317" t="str">
        <f t="shared" si="35"/>
        <v/>
      </c>
      <c r="T471" s="317" t="str">
        <f>GLOBAL_DER_FEV_2023!S471</f>
        <v/>
      </c>
      <c r="W471" s="582">
        <v>0</v>
      </c>
      <c r="X471" s="580"/>
      <c r="Y471" s="583">
        <f>IF(GLOBAL_DER_FEV_2023!W471=0,0,IF(GLOBAL_DER_FEV_2023!W471&gt;0,"c","b"))</f>
        <v>0</v>
      </c>
    </row>
    <row r="472" spans="1:25" ht="13.5" hidden="1" thickBot="1" x14ac:dyDescent="0.25">
      <c r="A472" s="317" t="s">
        <v>147</v>
      </c>
      <c r="B472" s="895" t="s">
        <v>147</v>
      </c>
      <c r="C472" s="896"/>
      <c r="D472" s="957" t="s">
        <v>244</v>
      </c>
      <c r="E472" s="907">
        <f>GLOBAL_DER_FEV_2023!E472</f>
        <v>22</v>
      </c>
      <c r="F472" s="908">
        <f>GLOBAL_DER_FEV_2023!F472</f>
        <v>1</v>
      </c>
      <c r="G472" s="912">
        <f>GLOBAL_DER_FEV_2023!G472</f>
        <v>29.990000000000002</v>
      </c>
      <c r="H472" s="901">
        <f>GLOBAL_DER_FEV_2023!H472</f>
        <v>0</v>
      </c>
      <c r="I472" s="901">
        <f>GLOBAL_DER_FEV_2023!I472</f>
        <v>0</v>
      </c>
      <c r="J472" s="902">
        <f>GLOBAL_DER_FEV_2023!J472</f>
        <v>0</v>
      </c>
      <c r="K472" s="903" t="s">
        <v>507</v>
      </c>
      <c r="L472" s="1003"/>
      <c r="M472" s="1157">
        <f t="shared" si="32"/>
        <v>0</v>
      </c>
      <c r="N472" s="893">
        <f t="shared" si="36"/>
        <v>0</v>
      </c>
      <c r="O472" s="905"/>
      <c r="P472" s="58" t="str">
        <f>IF(N468&gt;0,"xx",IF(N468&gt;0,"xy",""))</f>
        <v/>
      </c>
      <c r="Q472" s="317" t="str">
        <f t="shared" si="33"/>
        <v/>
      </c>
      <c r="R472" s="317" t="str">
        <f t="shared" si="34"/>
        <v/>
      </c>
      <c r="S472" s="317" t="str">
        <f t="shared" si="35"/>
        <v/>
      </c>
      <c r="T472" s="317" t="str">
        <f>GLOBAL_DER_FEV_2023!S472</f>
        <v/>
      </c>
      <c r="W472" s="582">
        <v>0</v>
      </c>
      <c r="X472" s="580"/>
      <c r="Y472" s="583">
        <f>IF(GLOBAL_DER_FEV_2023!W472=0,0,IF(GLOBAL_DER_FEV_2023!W472&gt;0,"c","b"))</f>
        <v>0</v>
      </c>
    </row>
    <row r="473" spans="1:25" ht="13.5" hidden="1" thickBot="1" x14ac:dyDescent="0.25">
      <c r="A473" s="317">
        <v>589000</v>
      </c>
      <c r="B473" s="1004" t="s">
        <v>1677</v>
      </c>
      <c r="C473" s="984" t="s">
        <v>213</v>
      </c>
      <c r="D473" s="1012" t="s">
        <v>2173</v>
      </c>
      <c r="E473" s="1005">
        <f>GLOBAL_DER_FEV_2023!E473</f>
        <v>45</v>
      </c>
      <c r="F473" s="1006">
        <f>GLOBAL_DER_FEV_2023!F473</f>
        <v>1</v>
      </c>
      <c r="G473" s="949">
        <f>GLOBAL_DER_FEV_2023!G473</f>
        <v>88.36</v>
      </c>
      <c r="H473" s="988">
        <f>GLOBAL_DER_FEV_2023!H473</f>
        <v>4828.8599999999997</v>
      </c>
      <c r="I473" s="988">
        <f>GLOBAL_DER_FEV_2023!I473</f>
        <v>4724.580378112767</v>
      </c>
      <c r="J473" s="989">
        <f>GLOBAL_DER_FEV_2023!J473</f>
        <v>5672.8</v>
      </c>
      <c r="K473" s="990" t="s">
        <v>14</v>
      </c>
      <c r="L473" s="1154">
        <f>ROUND(L468*$F468,2)</f>
        <v>0</v>
      </c>
      <c r="M473" s="1159">
        <f t="shared" si="32"/>
        <v>0</v>
      </c>
      <c r="N473" s="993">
        <f t="shared" si="36"/>
        <v>0</v>
      </c>
      <c r="O473" s="905"/>
      <c r="P473" s="58" t="str">
        <f>IF(N468&gt;0,"xx",IF(N468&gt;0,"xy",""))</f>
        <v/>
      </c>
      <c r="Q473" s="317" t="str">
        <f t="shared" si="33"/>
        <v/>
      </c>
      <c r="R473" s="317" t="str">
        <f t="shared" si="34"/>
        <v/>
      </c>
      <c r="S473" s="317" t="str">
        <f t="shared" si="35"/>
        <v/>
      </c>
      <c r="T473" s="317" t="str">
        <f>GLOBAL_DER_FEV_2023!S473</f>
        <v/>
      </c>
      <c r="W473" s="582">
        <v>0</v>
      </c>
      <c r="X473" s="580"/>
      <c r="Y473" s="583">
        <f>IF(GLOBAL_DER_FEV_2023!W473=0,0,IF(GLOBAL_DER_FEV_2023!W473&gt;0,"c","b"))</f>
        <v>0</v>
      </c>
    </row>
    <row r="474" spans="1:25" ht="13.5" hidden="1" thickBot="1" x14ac:dyDescent="0.25">
      <c r="A474" s="317">
        <v>570400</v>
      </c>
      <c r="B474" s="999" t="s">
        <v>1656</v>
      </c>
      <c r="C474" s="1000" t="s">
        <v>184</v>
      </c>
      <c r="D474" s="1019" t="s">
        <v>2224</v>
      </c>
      <c r="E474" s="974" t="str">
        <f>GLOBAL_DER_FEV_2023!E474</f>
        <v>taxa CAP</v>
      </c>
      <c r="F474" s="975">
        <f>GLOBAL_DER_FEV_2023!F474</f>
        <v>5.5E-2</v>
      </c>
      <c r="G474" s="976">
        <f>GLOBAL_DER_FEV_2023!G474</f>
        <v>53.017503800000007</v>
      </c>
      <c r="H474" s="977">
        <f>GLOBAL_DER_FEV_2023!H474</f>
        <v>169.12</v>
      </c>
      <c r="I474" s="977">
        <f>GLOBAL_DER_FEV_2023!I474</f>
        <v>222.13750380000002</v>
      </c>
      <c r="J474" s="978">
        <f>GLOBAL_DER_FEV_2023!J474</f>
        <v>266.72000000000003</v>
      </c>
      <c r="K474" s="979" t="s">
        <v>14</v>
      </c>
      <c r="L474" s="1152"/>
      <c r="M474" s="1153">
        <f t="shared" si="32"/>
        <v>0</v>
      </c>
      <c r="N474" s="982">
        <f t="shared" si="36"/>
        <v>0</v>
      </c>
      <c r="O474" s="905"/>
      <c r="Q474" s="317" t="str">
        <f t="shared" si="33"/>
        <v/>
      </c>
      <c r="R474" s="317" t="str">
        <f t="shared" si="34"/>
        <v/>
      </c>
      <c r="S474" s="317" t="str">
        <f t="shared" si="35"/>
        <v/>
      </c>
      <c r="T474" s="317" t="str">
        <f>GLOBAL_DER_FEV_2023!S474</f>
        <v/>
      </c>
      <c r="W474" s="582">
        <v>0</v>
      </c>
      <c r="X474" s="580"/>
      <c r="Y474" s="583">
        <f>IF(GLOBAL_DER_FEV_2023!W474=0,0,IF(GLOBAL_DER_FEV_2023!W474&gt;0,"c","b"))</f>
        <v>0</v>
      </c>
    </row>
    <row r="475" spans="1:25" ht="13.5" hidden="1" thickBot="1" x14ac:dyDescent="0.25">
      <c r="A475" s="317" t="s">
        <v>147</v>
      </c>
      <c r="B475" s="895" t="s">
        <v>147</v>
      </c>
      <c r="C475" s="896"/>
      <c r="D475" s="957" t="s">
        <v>229</v>
      </c>
      <c r="E475" s="907">
        <f>GLOBAL_DER_FEV_2023!E475</f>
        <v>150</v>
      </c>
      <c r="F475" s="908">
        <f>GLOBAL_DER_FEV_2023!F475</f>
        <v>0.1002</v>
      </c>
      <c r="G475" s="949">
        <f>GLOBAL_DER_FEV_2023!G475</f>
        <v>16.350636000000002</v>
      </c>
      <c r="H475" s="901">
        <f>GLOBAL_DER_FEV_2023!H475</f>
        <v>0</v>
      </c>
      <c r="I475" s="901">
        <f>GLOBAL_DER_FEV_2023!I475</f>
        <v>0</v>
      </c>
      <c r="J475" s="902">
        <f>GLOBAL_DER_FEV_2023!J475</f>
        <v>0</v>
      </c>
      <c r="K475" s="903" t="s">
        <v>507</v>
      </c>
      <c r="L475" s="1003"/>
      <c r="M475" s="1157">
        <f t="shared" si="32"/>
        <v>0</v>
      </c>
      <c r="N475" s="893">
        <f t="shared" si="36"/>
        <v>0</v>
      </c>
      <c r="O475" s="905"/>
      <c r="P475" s="58" t="str">
        <f>IF(N474&gt;0,"xx",IF(N474&gt;0,"xy",""))</f>
        <v/>
      </c>
      <c r="Q475" s="317" t="str">
        <f t="shared" si="33"/>
        <v/>
      </c>
      <c r="R475" s="317" t="str">
        <f t="shared" si="34"/>
        <v/>
      </c>
      <c r="S475" s="317" t="str">
        <f t="shared" si="35"/>
        <v/>
      </c>
      <c r="T475" s="317" t="str">
        <f>GLOBAL_DER_FEV_2023!S475</f>
        <v/>
      </c>
      <c r="W475" s="582">
        <v>0</v>
      </c>
      <c r="X475" s="580"/>
      <c r="Y475" s="583">
        <f>IF(GLOBAL_DER_FEV_2023!W475=0,0,IF(GLOBAL_DER_FEV_2023!W475&gt;0,"c","b"))</f>
        <v>0</v>
      </c>
    </row>
    <row r="476" spans="1:25" ht="13.5" hidden="1" thickBot="1" x14ac:dyDescent="0.25">
      <c r="A476" s="317" t="s">
        <v>147</v>
      </c>
      <c r="B476" s="895" t="s">
        <v>147</v>
      </c>
      <c r="C476" s="896"/>
      <c r="D476" s="957" t="s">
        <v>230</v>
      </c>
      <c r="E476" s="907">
        <f>GLOBAL_DER_FEV_2023!E476</f>
        <v>353</v>
      </c>
      <c r="F476" s="908">
        <f>GLOBAL_DER_FEV_2023!F476</f>
        <v>1.5100000000000001E-2</v>
      </c>
      <c r="G476" s="909">
        <f>GLOBAL_DER_FEV_2023!G476</f>
        <v>4.275716000000001</v>
      </c>
      <c r="H476" s="901">
        <f>GLOBAL_DER_FEV_2023!H476</f>
        <v>0</v>
      </c>
      <c r="I476" s="901">
        <f>GLOBAL_DER_FEV_2023!I476</f>
        <v>0</v>
      </c>
      <c r="J476" s="902">
        <f>GLOBAL_DER_FEV_2023!J476</f>
        <v>0</v>
      </c>
      <c r="K476" s="903" t="s">
        <v>507</v>
      </c>
      <c r="L476" s="1003"/>
      <c r="M476" s="1157">
        <f t="shared" si="32"/>
        <v>0</v>
      </c>
      <c r="N476" s="893">
        <f t="shared" si="36"/>
        <v>0</v>
      </c>
      <c r="O476" s="905"/>
      <c r="P476" s="58" t="str">
        <f>IF(N474&gt;0,"xx",IF(N474&gt;0,"xy",""))</f>
        <v/>
      </c>
      <c r="Q476" s="317" t="str">
        <f t="shared" si="33"/>
        <v/>
      </c>
      <c r="R476" s="317" t="str">
        <f t="shared" si="34"/>
        <v/>
      </c>
      <c r="S476" s="317" t="str">
        <f t="shared" si="35"/>
        <v/>
      </c>
      <c r="T476" s="317" t="str">
        <f>GLOBAL_DER_FEV_2023!S476</f>
        <v/>
      </c>
      <c r="W476" s="582">
        <v>0</v>
      </c>
      <c r="X476" s="580"/>
      <c r="Y476" s="583">
        <f>IF(GLOBAL_DER_FEV_2023!W476=0,0,IF(GLOBAL_DER_FEV_2023!W476&gt;0,"c","b"))</f>
        <v>0</v>
      </c>
    </row>
    <row r="477" spans="1:25" ht="13.5" hidden="1" thickBot="1" x14ac:dyDescent="0.25">
      <c r="A477" s="317" t="s">
        <v>147</v>
      </c>
      <c r="B477" s="895" t="s">
        <v>147</v>
      </c>
      <c r="C477" s="896"/>
      <c r="D477" s="957" t="s">
        <v>243</v>
      </c>
      <c r="E477" s="907">
        <f>GLOBAL_DER_FEV_2023!E477</f>
        <v>0.2</v>
      </c>
      <c r="F477" s="908">
        <f>GLOBAL_DER_FEV_2023!F477</f>
        <v>0.82969999999999999</v>
      </c>
      <c r="G477" s="949">
        <f>GLOBAL_DER_FEV_2023!G477</f>
        <v>2.4011518000000001</v>
      </c>
      <c r="H477" s="901">
        <f>GLOBAL_DER_FEV_2023!H477</f>
        <v>0</v>
      </c>
      <c r="I477" s="901">
        <f>GLOBAL_DER_FEV_2023!I477</f>
        <v>0</v>
      </c>
      <c r="J477" s="902">
        <f>GLOBAL_DER_FEV_2023!J477</f>
        <v>0</v>
      </c>
      <c r="K477" s="903" t="s">
        <v>507</v>
      </c>
      <c r="L477" s="1003"/>
      <c r="M477" s="1157">
        <f t="shared" si="32"/>
        <v>0</v>
      </c>
      <c r="N477" s="893">
        <f t="shared" si="36"/>
        <v>0</v>
      </c>
      <c r="O477" s="905"/>
      <c r="P477" s="58" t="str">
        <f>IF(N474&gt;0,"xx",IF(N474&gt;0,"xy",""))</f>
        <v/>
      </c>
      <c r="Q477" s="317" t="str">
        <f t="shared" si="33"/>
        <v/>
      </c>
      <c r="R477" s="317" t="str">
        <f t="shared" si="34"/>
        <v/>
      </c>
      <c r="S477" s="317" t="str">
        <f t="shared" si="35"/>
        <v/>
      </c>
      <c r="T477" s="317" t="str">
        <f>GLOBAL_DER_FEV_2023!S477</f>
        <v/>
      </c>
      <c r="W477" s="582">
        <v>0</v>
      </c>
      <c r="X477" s="580"/>
      <c r="Y477" s="583">
        <f>IF(GLOBAL_DER_FEV_2023!W477=0,0,IF(GLOBAL_DER_FEV_2023!W477&gt;0,"c","b"))</f>
        <v>0</v>
      </c>
    </row>
    <row r="478" spans="1:25" ht="13.5" hidden="1" thickBot="1" x14ac:dyDescent="0.25">
      <c r="A478" s="317" t="s">
        <v>147</v>
      </c>
      <c r="B478" s="895" t="s">
        <v>147</v>
      </c>
      <c r="C478" s="896"/>
      <c r="D478" s="957" t="s">
        <v>244</v>
      </c>
      <c r="E478" s="907">
        <f>GLOBAL_DER_FEV_2023!E478</f>
        <v>22</v>
      </c>
      <c r="F478" s="908">
        <f>GLOBAL_DER_FEV_2023!F478</f>
        <v>1</v>
      </c>
      <c r="G478" s="912">
        <f>GLOBAL_DER_FEV_2023!G478</f>
        <v>29.990000000000002</v>
      </c>
      <c r="H478" s="901">
        <f>GLOBAL_DER_FEV_2023!H478</f>
        <v>0</v>
      </c>
      <c r="I478" s="901">
        <f>GLOBAL_DER_FEV_2023!I478</f>
        <v>0</v>
      </c>
      <c r="J478" s="902">
        <f>GLOBAL_DER_FEV_2023!J478</f>
        <v>0</v>
      </c>
      <c r="K478" s="903" t="s">
        <v>507</v>
      </c>
      <c r="L478" s="1003"/>
      <c r="M478" s="1157">
        <f t="shared" si="32"/>
        <v>0</v>
      </c>
      <c r="N478" s="893">
        <f t="shared" si="36"/>
        <v>0</v>
      </c>
      <c r="O478" s="905"/>
      <c r="P478" s="58" t="str">
        <f>IF(N474&gt;0,"xx",IF(N474&gt;0,"xy",""))</f>
        <v/>
      </c>
      <c r="Q478" s="317" t="str">
        <f t="shared" si="33"/>
        <v/>
      </c>
      <c r="R478" s="317" t="str">
        <f t="shared" si="34"/>
        <v/>
      </c>
      <c r="S478" s="317" t="str">
        <f t="shared" si="35"/>
        <v/>
      </c>
      <c r="T478" s="317" t="str">
        <f>GLOBAL_DER_FEV_2023!S478</f>
        <v/>
      </c>
      <c r="W478" s="582">
        <v>0</v>
      </c>
      <c r="X478" s="580"/>
      <c r="Y478" s="583">
        <f>IF(GLOBAL_DER_FEV_2023!W478=0,0,IF(GLOBAL_DER_FEV_2023!W478&gt;0,"c","b"))</f>
        <v>0</v>
      </c>
    </row>
    <row r="479" spans="1:25" ht="13.5" hidden="1" thickBot="1" x14ac:dyDescent="0.25">
      <c r="A479" s="317">
        <v>589000</v>
      </c>
      <c r="B479" s="1004" t="s">
        <v>1678</v>
      </c>
      <c r="C479" s="984" t="s">
        <v>213</v>
      </c>
      <c r="D479" s="1012" t="s">
        <v>2173</v>
      </c>
      <c r="E479" s="1005">
        <f>GLOBAL_DER_FEV_2023!E479</f>
        <v>45</v>
      </c>
      <c r="F479" s="1006">
        <f>GLOBAL_DER_FEV_2023!F479</f>
        <v>1</v>
      </c>
      <c r="G479" s="949">
        <f>GLOBAL_DER_FEV_2023!G479</f>
        <v>88.36</v>
      </c>
      <c r="H479" s="988">
        <f>GLOBAL_DER_FEV_2023!H479</f>
        <v>4828.8599999999997</v>
      </c>
      <c r="I479" s="988">
        <f>GLOBAL_DER_FEV_2023!I479</f>
        <v>4724.580378112767</v>
      </c>
      <c r="J479" s="989">
        <f>GLOBAL_DER_FEV_2023!J479</f>
        <v>5672.8</v>
      </c>
      <c r="K479" s="990" t="s">
        <v>14</v>
      </c>
      <c r="L479" s="1154">
        <f>ROUND(L474*$F474,2)</f>
        <v>0</v>
      </c>
      <c r="M479" s="1159">
        <f t="shared" si="32"/>
        <v>0</v>
      </c>
      <c r="N479" s="993">
        <f t="shared" si="36"/>
        <v>0</v>
      </c>
      <c r="O479" s="905"/>
      <c r="P479" s="58" t="str">
        <f>IF(N474&gt;0,"xx",IF(N474&gt;0,"xy",""))</f>
        <v/>
      </c>
      <c r="Q479" s="317" t="str">
        <f t="shared" si="33"/>
        <v/>
      </c>
      <c r="R479" s="317" t="str">
        <f t="shared" si="34"/>
        <v/>
      </c>
      <c r="S479" s="317" t="str">
        <f t="shared" si="35"/>
        <v/>
      </c>
      <c r="T479" s="317" t="str">
        <f>GLOBAL_DER_FEV_2023!S479</f>
        <v/>
      </c>
      <c r="W479" s="582">
        <v>0</v>
      </c>
      <c r="X479" s="580"/>
      <c r="Y479" s="583">
        <f>IF(GLOBAL_DER_FEV_2023!W479=0,0,IF(GLOBAL_DER_FEV_2023!W479&gt;0,"c","b"))</f>
        <v>0</v>
      </c>
    </row>
    <row r="480" spans="1:25" ht="13.5" hidden="1" thickBot="1" x14ac:dyDescent="0.25">
      <c r="A480" s="317">
        <v>570400</v>
      </c>
      <c r="B480" s="999" t="s">
        <v>1657</v>
      </c>
      <c r="C480" s="1000" t="s">
        <v>184</v>
      </c>
      <c r="D480" s="1019" t="s">
        <v>2225</v>
      </c>
      <c r="E480" s="974" t="str">
        <f>GLOBAL_DER_FEV_2023!E480</f>
        <v>taxa CAP</v>
      </c>
      <c r="F480" s="975">
        <f>GLOBAL_DER_FEV_2023!F480</f>
        <v>5.7000000000000002E-2</v>
      </c>
      <c r="G480" s="976">
        <f>GLOBAL_DER_FEV_2023!G480</f>
        <v>52.951632000000004</v>
      </c>
      <c r="H480" s="977">
        <f>GLOBAL_DER_FEV_2023!H480</f>
        <v>169.12</v>
      </c>
      <c r="I480" s="977">
        <f>GLOBAL_DER_FEV_2023!I480</f>
        <v>222.07163200000002</v>
      </c>
      <c r="J480" s="978">
        <f>GLOBAL_DER_FEV_2023!J480</f>
        <v>266.64</v>
      </c>
      <c r="K480" s="979" t="s">
        <v>14</v>
      </c>
      <c r="L480" s="1152"/>
      <c r="M480" s="1153">
        <f t="shared" si="32"/>
        <v>0</v>
      </c>
      <c r="N480" s="982">
        <f t="shared" si="36"/>
        <v>0</v>
      </c>
      <c r="O480" s="905"/>
      <c r="Q480" s="317" t="str">
        <f t="shared" si="33"/>
        <v/>
      </c>
      <c r="R480" s="317" t="str">
        <f t="shared" si="34"/>
        <v/>
      </c>
      <c r="S480" s="317" t="str">
        <f t="shared" si="35"/>
        <v/>
      </c>
      <c r="T480" s="317" t="str">
        <f>GLOBAL_DER_FEV_2023!S480</f>
        <v/>
      </c>
      <c r="W480" s="582">
        <v>0</v>
      </c>
      <c r="X480" s="580"/>
      <c r="Y480" s="583">
        <f>IF(GLOBAL_DER_FEV_2023!W480=0,0,IF(GLOBAL_DER_FEV_2023!W480&gt;0,"c","b"))</f>
        <v>0</v>
      </c>
    </row>
    <row r="481" spans="1:25" ht="13.5" hidden="1" thickBot="1" x14ac:dyDescent="0.25">
      <c r="A481" s="317" t="s">
        <v>147</v>
      </c>
      <c r="B481" s="895" t="s">
        <v>147</v>
      </c>
      <c r="C481" s="896"/>
      <c r="D481" s="957" t="s">
        <v>229</v>
      </c>
      <c r="E481" s="907">
        <f>GLOBAL_DER_FEV_2023!E481</f>
        <v>150</v>
      </c>
      <c r="F481" s="908">
        <f>GLOBAL_DER_FEV_2023!F481</f>
        <v>0.1</v>
      </c>
      <c r="G481" s="949">
        <f>GLOBAL_DER_FEV_2023!G481</f>
        <v>16.318000000000001</v>
      </c>
      <c r="H481" s="901">
        <f>GLOBAL_DER_FEV_2023!H481</f>
        <v>0</v>
      </c>
      <c r="I481" s="901">
        <f>GLOBAL_DER_FEV_2023!I481</f>
        <v>0</v>
      </c>
      <c r="J481" s="902">
        <f>GLOBAL_DER_FEV_2023!J481</f>
        <v>0</v>
      </c>
      <c r="K481" s="903" t="s">
        <v>507</v>
      </c>
      <c r="L481" s="1003"/>
      <c r="M481" s="1157">
        <f t="shared" si="32"/>
        <v>0</v>
      </c>
      <c r="N481" s="893">
        <f t="shared" si="36"/>
        <v>0</v>
      </c>
      <c r="O481" s="905"/>
      <c r="P481" s="58" t="str">
        <f>IF(N480&gt;0,"xx",IF(N480&gt;0,"xy",""))</f>
        <v/>
      </c>
      <c r="Q481" s="317" t="str">
        <f t="shared" si="33"/>
        <v/>
      </c>
      <c r="R481" s="317" t="str">
        <f t="shared" si="34"/>
        <v/>
      </c>
      <c r="S481" s="317" t="str">
        <f t="shared" si="35"/>
        <v/>
      </c>
      <c r="T481" s="317" t="str">
        <f>GLOBAL_DER_FEV_2023!S481</f>
        <v/>
      </c>
      <c r="W481" s="582">
        <v>0</v>
      </c>
      <c r="X481" s="580"/>
      <c r="Y481" s="583">
        <f>IF(GLOBAL_DER_FEV_2023!W481=0,0,IF(GLOBAL_DER_FEV_2023!W481&gt;0,"c","b"))</f>
        <v>0</v>
      </c>
    </row>
    <row r="482" spans="1:25" ht="13.5" hidden="1" thickBot="1" x14ac:dyDescent="0.25">
      <c r="A482" s="317" t="s">
        <v>147</v>
      </c>
      <c r="B482" s="895" t="s">
        <v>147</v>
      </c>
      <c r="C482" s="896"/>
      <c r="D482" s="957" t="s">
        <v>230</v>
      </c>
      <c r="E482" s="907">
        <f>GLOBAL_DER_FEV_2023!E482</f>
        <v>353</v>
      </c>
      <c r="F482" s="908">
        <f>GLOBAL_DER_FEV_2023!F482</f>
        <v>1.4999999999999999E-2</v>
      </c>
      <c r="G482" s="909">
        <f>GLOBAL_DER_FEV_2023!G482</f>
        <v>4.2473999999999998</v>
      </c>
      <c r="H482" s="901">
        <f>GLOBAL_DER_FEV_2023!H482</f>
        <v>0</v>
      </c>
      <c r="I482" s="901">
        <f>GLOBAL_DER_FEV_2023!I482</f>
        <v>0</v>
      </c>
      <c r="J482" s="902">
        <f>GLOBAL_DER_FEV_2023!J482</f>
        <v>0</v>
      </c>
      <c r="K482" s="903" t="s">
        <v>507</v>
      </c>
      <c r="L482" s="1003"/>
      <c r="M482" s="1157">
        <f t="shared" si="32"/>
        <v>0</v>
      </c>
      <c r="N482" s="893">
        <f t="shared" si="36"/>
        <v>0</v>
      </c>
      <c r="O482" s="905"/>
      <c r="P482" s="58" t="str">
        <f>IF(N480&gt;0,"xx",IF(N480&gt;0,"xy",""))</f>
        <v/>
      </c>
      <c r="Q482" s="317" t="str">
        <f t="shared" si="33"/>
        <v/>
      </c>
      <c r="R482" s="317" t="str">
        <f t="shared" si="34"/>
        <v/>
      </c>
      <c r="S482" s="317" t="str">
        <f t="shared" si="35"/>
        <v/>
      </c>
      <c r="T482" s="317" t="str">
        <f>GLOBAL_DER_FEV_2023!S482</f>
        <v/>
      </c>
      <c r="W482" s="582">
        <v>0</v>
      </c>
      <c r="X482" s="580"/>
      <c r="Y482" s="583">
        <f>IF(GLOBAL_DER_FEV_2023!W482=0,0,IF(GLOBAL_DER_FEV_2023!W482&gt;0,"c","b"))</f>
        <v>0</v>
      </c>
    </row>
    <row r="483" spans="1:25" ht="13.5" hidden="1" thickBot="1" x14ac:dyDescent="0.25">
      <c r="A483" s="317" t="s">
        <v>147</v>
      </c>
      <c r="B483" s="895" t="s">
        <v>147</v>
      </c>
      <c r="C483" s="896"/>
      <c r="D483" s="957" t="s">
        <v>243</v>
      </c>
      <c r="E483" s="907">
        <f>GLOBAL_DER_FEV_2023!E483</f>
        <v>0.2</v>
      </c>
      <c r="F483" s="908">
        <f>GLOBAL_DER_FEV_2023!F483</f>
        <v>0.82799999999999996</v>
      </c>
      <c r="G483" s="949">
        <f>GLOBAL_DER_FEV_2023!G483</f>
        <v>2.3962319999999999</v>
      </c>
      <c r="H483" s="901">
        <f>GLOBAL_DER_FEV_2023!H483</f>
        <v>0</v>
      </c>
      <c r="I483" s="901">
        <f>GLOBAL_DER_FEV_2023!I483</f>
        <v>0</v>
      </c>
      <c r="J483" s="902">
        <f>GLOBAL_DER_FEV_2023!J483</f>
        <v>0</v>
      </c>
      <c r="K483" s="903" t="s">
        <v>507</v>
      </c>
      <c r="L483" s="1003"/>
      <c r="M483" s="1157">
        <f t="shared" si="32"/>
        <v>0</v>
      </c>
      <c r="N483" s="893">
        <f t="shared" si="36"/>
        <v>0</v>
      </c>
      <c r="O483" s="905"/>
      <c r="P483" s="58" t="str">
        <f>IF(N480&gt;0,"xx",IF(N480&gt;0,"xy",""))</f>
        <v/>
      </c>
      <c r="Q483" s="317" t="str">
        <f t="shared" si="33"/>
        <v/>
      </c>
      <c r="R483" s="317" t="str">
        <f t="shared" si="34"/>
        <v/>
      </c>
      <c r="S483" s="317" t="str">
        <f t="shared" si="35"/>
        <v/>
      </c>
      <c r="T483" s="317" t="str">
        <f>GLOBAL_DER_FEV_2023!S483</f>
        <v/>
      </c>
      <c r="W483" s="582">
        <v>0</v>
      </c>
      <c r="X483" s="580"/>
      <c r="Y483" s="583">
        <f>IF(GLOBAL_DER_FEV_2023!W483=0,0,IF(GLOBAL_DER_FEV_2023!W483&gt;0,"c","b"))</f>
        <v>0</v>
      </c>
    </row>
    <row r="484" spans="1:25" ht="13.5" hidden="1" thickBot="1" x14ac:dyDescent="0.25">
      <c r="A484" s="317" t="s">
        <v>147</v>
      </c>
      <c r="B484" s="895" t="s">
        <v>147</v>
      </c>
      <c r="C484" s="896"/>
      <c r="D484" s="957" t="s">
        <v>244</v>
      </c>
      <c r="E484" s="907">
        <f>GLOBAL_DER_FEV_2023!E484</f>
        <v>22</v>
      </c>
      <c r="F484" s="908">
        <f>GLOBAL_DER_FEV_2023!F484</f>
        <v>1</v>
      </c>
      <c r="G484" s="912">
        <f>GLOBAL_DER_FEV_2023!G484</f>
        <v>29.990000000000002</v>
      </c>
      <c r="H484" s="901">
        <f>GLOBAL_DER_FEV_2023!H484</f>
        <v>0</v>
      </c>
      <c r="I484" s="901">
        <f>GLOBAL_DER_FEV_2023!I484</f>
        <v>0</v>
      </c>
      <c r="J484" s="902">
        <f>GLOBAL_DER_FEV_2023!J484</f>
        <v>0</v>
      </c>
      <c r="K484" s="903" t="s">
        <v>507</v>
      </c>
      <c r="L484" s="1003"/>
      <c r="M484" s="1157">
        <f t="shared" si="32"/>
        <v>0</v>
      </c>
      <c r="N484" s="893">
        <f t="shared" si="36"/>
        <v>0</v>
      </c>
      <c r="O484" s="905"/>
      <c r="P484" s="58" t="str">
        <f>IF(N480&gt;0,"xx",IF(N480&gt;0,"xy",""))</f>
        <v/>
      </c>
      <c r="Q484" s="317" t="str">
        <f t="shared" si="33"/>
        <v/>
      </c>
      <c r="R484" s="317" t="str">
        <f t="shared" si="34"/>
        <v/>
      </c>
      <c r="S484" s="317" t="str">
        <f t="shared" si="35"/>
        <v/>
      </c>
      <c r="T484" s="317" t="str">
        <f>GLOBAL_DER_FEV_2023!S484</f>
        <v/>
      </c>
      <c r="W484" s="582">
        <v>0</v>
      </c>
      <c r="X484" s="580"/>
      <c r="Y484" s="583">
        <f>IF(GLOBAL_DER_FEV_2023!W484=0,0,IF(GLOBAL_DER_FEV_2023!W484&gt;0,"c","b"))</f>
        <v>0</v>
      </c>
    </row>
    <row r="485" spans="1:25" ht="13.5" hidden="1" thickBot="1" x14ac:dyDescent="0.25">
      <c r="A485" s="317">
        <v>589000</v>
      </c>
      <c r="B485" s="1004" t="s">
        <v>725</v>
      </c>
      <c r="C485" s="984" t="s">
        <v>213</v>
      </c>
      <c r="D485" s="1012" t="s">
        <v>2173</v>
      </c>
      <c r="E485" s="1005">
        <f>GLOBAL_DER_FEV_2023!E485</f>
        <v>45</v>
      </c>
      <c r="F485" s="1006">
        <f>GLOBAL_DER_FEV_2023!F485</f>
        <v>1</v>
      </c>
      <c r="G485" s="949">
        <f>GLOBAL_DER_FEV_2023!G485</f>
        <v>88.36</v>
      </c>
      <c r="H485" s="988">
        <f>GLOBAL_DER_FEV_2023!H485</f>
        <v>4828.8599999999997</v>
      </c>
      <c r="I485" s="988">
        <f>GLOBAL_DER_FEV_2023!I485</f>
        <v>4724.580378112767</v>
      </c>
      <c r="J485" s="989">
        <f>GLOBAL_DER_FEV_2023!J485</f>
        <v>5672.8</v>
      </c>
      <c r="K485" s="990" t="s">
        <v>14</v>
      </c>
      <c r="L485" s="1154">
        <f>ROUND(L480*$F480,2)</f>
        <v>0</v>
      </c>
      <c r="M485" s="1159">
        <f t="shared" si="32"/>
        <v>0</v>
      </c>
      <c r="N485" s="993">
        <f t="shared" si="36"/>
        <v>0</v>
      </c>
      <c r="O485" s="905"/>
      <c r="P485" s="58" t="str">
        <f>IF(N480&gt;0,"xx",IF(N480&gt;0,"xy",""))</f>
        <v/>
      </c>
      <c r="Q485" s="317" t="str">
        <f t="shared" si="33"/>
        <v/>
      </c>
      <c r="R485" s="317" t="str">
        <f t="shared" si="34"/>
        <v/>
      </c>
      <c r="S485" s="317" t="str">
        <f t="shared" si="35"/>
        <v/>
      </c>
      <c r="T485" s="317" t="str">
        <f>GLOBAL_DER_FEV_2023!S485</f>
        <v/>
      </c>
      <c r="W485" s="582">
        <v>0</v>
      </c>
      <c r="X485" s="580"/>
      <c r="Y485" s="583">
        <f>IF(GLOBAL_DER_FEV_2023!W485=0,0,IF(GLOBAL_DER_FEV_2023!W485&gt;0,"c","b"))</f>
        <v>0</v>
      </c>
    </row>
    <row r="486" spans="1:25" ht="30" hidden="1" customHeight="1" x14ac:dyDescent="0.2">
      <c r="A486" s="317">
        <v>570000</v>
      </c>
      <c r="B486" s="999" t="str">
        <f>GLOBAL_DER_FEV_2023!B486</f>
        <v>570000D</v>
      </c>
      <c r="C486" s="1000" t="str">
        <f>GLOBAL_DER_FEV_2023!C486</f>
        <v>DER</v>
      </c>
      <c r="D486" s="1024" t="str">
        <f>GLOBAL_DER_FEV_2023!D486</f>
        <v>CBUQ - Novo Traço - TRAÇO 4 - FAIXA "C" - (Quantidade MAIOR que 10.000 ton)</v>
      </c>
      <c r="E486" s="974" t="str">
        <f>GLOBAL_DER_FEV_2023!E486</f>
        <v>taxa CAP</v>
      </c>
      <c r="F486" s="1025">
        <f>GLOBAL_DER_FEV_2023!F486</f>
        <v>0.05</v>
      </c>
      <c r="G486" s="976">
        <f>GLOBAL_DER_FEV_2023!G486</f>
        <v>52.1145006</v>
      </c>
      <c r="H486" s="977">
        <f>GLOBAL_DER_FEV_2023!H486</f>
        <v>187.41</v>
      </c>
      <c r="I486" s="977">
        <f>GLOBAL_DER_FEV_2023!I486</f>
        <v>239.52450060000001</v>
      </c>
      <c r="J486" s="978">
        <f>GLOBAL_DER_FEV_2023!J486</f>
        <v>287.60000000000002</v>
      </c>
      <c r="K486" s="979" t="s">
        <v>14</v>
      </c>
      <c r="L486" s="1152"/>
      <c r="M486" s="1153">
        <f t="shared" si="32"/>
        <v>0</v>
      </c>
      <c r="N486" s="982">
        <f t="shared" si="36"/>
        <v>0</v>
      </c>
      <c r="O486" s="905"/>
      <c r="Q486" s="317" t="str">
        <f t="shared" si="33"/>
        <v/>
      </c>
      <c r="R486" s="317" t="str">
        <f t="shared" si="34"/>
        <v/>
      </c>
      <c r="S486" s="317" t="str">
        <f t="shared" si="35"/>
        <v/>
      </c>
      <c r="T486" s="317" t="str">
        <f>GLOBAL_DER_FEV_2023!S486</f>
        <v/>
      </c>
      <c r="W486" s="582">
        <v>0</v>
      </c>
      <c r="X486" s="580"/>
      <c r="Y486" s="583">
        <f>IF(GLOBAL_DER_FEV_2023!W486=0,0,IF(GLOBAL_DER_FEV_2023!W486&gt;0,"c","b"))</f>
        <v>0</v>
      </c>
    </row>
    <row r="487" spans="1:25" ht="30" hidden="1" customHeight="1" x14ac:dyDescent="0.2">
      <c r="A487" s="317" t="s">
        <v>147</v>
      </c>
      <c r="B487" s="895" t="str">
        <f>GLOBAL_DER_FEV_2023!B487</f>
        <v>transporte</v>
      </c>
      <c r="C487" s="896">
        <f>GLOBAL_DER_FEV_2023!C487</f>
        <v>0</v>
      </c>
      <c r="D487" s="957" t="str">
        <f>GLOBAL_DER_FEV_2023!D487</f>
        <v>Areia</v>
      </c>
      <c r="E487" s="907">
        <f>GLOBAL_DER_FEV_2023!E487</f>
        <v>150</v>
      </c>
      <c r="F487" s="1287">
        <f>GLOBAL_DER_FEV_2023!F487</f>
        <v>9.5699999999999993E-2</v>
      </c>
      <c r="G487" s="949">
        <f>GLOBAL_DER_FEV_2023!G487</f>
        <v>15.616325999999999</v>
      </c>
      <c r="H487" s="901">
        <f>GLOBAL_DER_FEV_2023!H487</f>
        <v>0</v>
      </c>
      <c r="I487" s="901">
        <f>GLOBAL_DER_FEV_2023!I487</f>
        <v>0</v>
      </c>
      <c r="J487" s="902">
        <f>GLOBAL_DER_FEV_2023!J487</f>
        <v>0</v>
      </c>
      <c r="K487" s="903" t="s">
        <v>507</v>
      </c>
      <c r="L487" s="1003"/>
      <c r="M487" s="1157">
        <f t="shared" si="32"/>
        <v>0</v>
      </c>
      <c r="N487" s="893">
        <f t="shared" si="36"/>
        <v>0</v>
      </c>
      <c r="O487" s="905"/>
      <c r="P487" s="58" t="str">
        <f>IF(N486&gt;0,"xx",IF(N486&gt;0,"xy",""))</f>
        <v/>
      </c>
      <c r="Q487" s="317" t="str">
        <f t="shared" si="33"/>
        <v/>
      </c>
      <c r="R487" s="317" t="str">
        <f t="shared" si="34"/>
        <v/>
      </c>
      <c r="S487" s="317" t="str">
        <f t="shared" si="35"/>
        <v/>
      </c>
      <c r="T487" s="317" t="str">
        <f>GLOBAL_DER_FEV_2023!S487</f>
        <v/>
      </c>
      <c r="W487" s="582">
        <v>0</v>
      </c>
      <c r="X487" s="580"/>
      <c r="Y487" s="583">
        <f>IF(GLOBAL_DER_FEV_2023!W487=0,0,IF(GLOBAL_DER_FEV_2023!W487&gt;0,"c","b"))</f>
        <v>0</v>
      </c>
    </row>
    <row r="488" spans="1:25" ht="13.5" hidden="1" thickBot="1" x14ac:dyDescent="0.25">
      <c r="A488" s="317" t="s">
        <v>147</v>
      </c>
      <c r="B488" s="895" t="str">
        <f>GLOBAL_DER_FEV_2023!B488</f>
        <v>transporte</v>
      </c>
      <c r="C488" s="896">
        <f>GLOBAL_DER_FEV_2023!C488</f>
        <v>0</v>
      </c>
      <c r="D488" s="957" t="str">
        <f>GLOBAL_DER_FEV_2023!D488</f>
        <v>Cal Hidratada CH-1</v>
      </c>
      <c r="E488" s="907">
        <f>GLOBAL_DER_FEV_2023!E488</f>
        <v>353</v>
      </c>
      <c r="F488" s="1287">
        <f>GLOBAL_DER_FEV_2023!F488</f>
        <v>1.44E-2</v>
      </c>
      <c r="G488" s="909">
        <f>GLOBAL_DER_FEV_2023!G488</f>
        <v>4.0775040000000002</v>
      </c>
      <c r="H488" s="901">
        <f>GLOBAL_DER_FEV_2023!H488</f>
        <v>0</v>
      </c>
      <c r="I488" s="901">
        <f>GLOBAL_DER_FEV_2023!I488</f>
        <v>0</v>
      </c>
      <c r="J488" s="902">
        <f>GLOBAL_DER_FEV_2023!J488</f>
        <v>0</v>
      </c>
      <c r="K488" s="903" t="s">
        <v>507</v>
      </c>
      <c r="L488" s="1003"/>
      <c r="M488" s="1157">
        <f t="shared" si="32"/>
        <v>0</v>
      </c>
      <c r="N488" s="893">
        <f t="shared" si="36"/>
        <v>0</v>
      </c>
      <c r="O488" s="905"/>
      <c r="P488" s="58" t="str">
        <f>IF(N486&gt;0,"xx",IF(N486&gt;0,"xy",""))</f>
        <v/>
      </c>
      <c r="Q488" s="317" t="str">
        <f t="shared" si="33"/>
        <v/>
      </c>
      <c r="R488" s="317" t="str">
        <f t="shared" si="34"/>
        <v/>
      </c>
      <c r="S488" s="317" t="str">
        <f t="shared" si="35"/>
        <v/>
      </c>
      <c r="T488" s="317" t="str">
        <f>GLOBAL_DER_FEV_2023!S488</f>
        <v/>
      </c>
      <c r="W488" s="582">
        <v>0</v>
      </c>
      <c r="X488" s="580"/>
      <c r="Y488" s="583">
        <f>IF(GLOBAL_DER_FEV_2023!W488=0,0,IF(GLOBAL_DER_FEV_2023!W488&gt;0,"c","b"))</f>
        <v>0</v>
      </c>
    </row>
    <row r="489" spans="1:25" ht="13.5" hidden="1" thickBot="1" x14ac:dyDescent="0.25">
      <c r="A489" s="317" t="s">
        <v>147</v>
      </c>
      <c r="B489" s="895" t="str">
        <f>GLOBAL_DER_FEV_2023!B489</f>
        <v>transporte</v>
      </c>
      <c r="C489" s="896">
        <f>GLOBAL_DER_FEV_2023!C489</f>
        <v>0</v>
      </c>
      <c r="D489" s="957" t="str">
        <f>GLOBAL_DER_FEV_2023!D489</f>
        <v>Brita ( usina )</v>
      </c>
      <c r="E489" s="907">
        <f>GLOBAL_DER_FEV_2023!E489</f>
        <v>0.2</v>
      </c>
      <c r="F489" s="1287">
        <f>GLOBAL_DER_FEV_2023!F489</f>
        <v>0.83989999999999998</v>
      </c>
      <c r="G489" s="949">
        <f>GLOBAL_DER_FEV_2023!G489</f>
        <v>2.4306706</v>
      </c>
      <c r="H489" s="901">
        <f>GLOBAL_DER_FEV_2023!H489</f>
        <v>0</v>
      </c>
      <c r="I489" s="901">
        <f>GLOBAL_DER_FEV_2023!I489</f>
        <v>0</v>
      </c>
      <c r="J489" s="902">
        <f>GLOBAL_DER_FEV_2023!J489</f>
        <v>0</v>
      </c>
      <c r="K489" s="903" t="s">
        <v>507</v>
      </c>
      <c r="L489" s="1003"/>
      <c r="M489" s="1157">
        <f t="shared" si="32"/>
        <v>0</v>
      </c>
      <c r="N489" s="893">
        <f t="shared" si="36"/>
        <v>0</v>
      </c>
      <c r="O489" s="905"/>
      <c r="P489" s="58" t="str">
        <f>IF(N486&gt;0,"xx",IF(N486&gt;0,"xy",""))</f>
        <v/>
      </c>
      <c r="Q489" s="317" t="str">
        <f t="shared" si="33"/>
        <v/>
      </c>
      <c r="R489" s="317" t="str">
        <f t="shared" si="34"/>
        <v/>
      </c>
      <c r="S489" s="317" t="str">
        <f t="shared" si="35"/>
        <v/>
      </c>
      <c r="T489" s="317" t="str">
        <f>GLOBAL_DER_FEV_2023!S489</f>
        <v/>
      </c>
      <c r="W489" s="582">
        <v>0</v>
      </c>
      <c r="X489" s="580"/>
      <c r="Y489" s="583">
        <f>IF(GLOBAL_DER_FEV_2023!W489=0,0,IF(GLOBAL_DER_FEV_2023!W489&gt;0,"c","b"))</f>
        <v>0</v>
      </c>
    </row>
    <row r="490" spans="1:25" ht="13.5" hidden="1" thickBot="1" x14ac:dyDescent="0.25">
      <c r="A490" s="317" t="s">
        <v>147</v>
      </c>
      <c r="B490" s="895" t="str">
        <f>GLOBAL_DER_FEV_2023!B490</f>
        <v>transporte</v>
      </c>
      <c r="C490" s="896">
        <f>GLOBAL_DER_FEV_2023!C490</f>
        <v>0</v>
      </c>
      <c r="D490" s="957" t="str">
        <f>GLOBAL_DER_FEV_2023!D490</f>
        <v>Massa</v>
      </c>
      <c r="E490" s="907">
        <f>GLOBAL_DER_FEV_2023!E490</f>
        <v>22</v>
      </c>
      <c r="F490" s="1287">
        <f>GLOBAL_DER_FEV_2023!F490</f>
        <v>1</v>
      </c>
      <c r="G490" s="912">
        <f>GLOBAL_DER_FEV_2023!G490</f>
        <v>29.990000000000002</v>
      </c>
      <c r="H490" s="901">
        <f>GLOBAL_DER_FEV_2023!H490</f>
        <v>0</v>
      </c>
      <c r="I490" s="901">
        <f>GLOBAL_DER_FEV_2023!I490</f>
        <v>0</v>
      </c>
      <c r="J490" s="902">
        <f>GLOBAL_DER_FEV_2023!J490</f>
        <v>0</v>
      </c>
      <c r="K490" s="903" t="s">
        <v>507</v>
      </c>
      <c r="L490" s="1003"/>
      <c r="M490" s="1157">
        <f t="shared" si="32"/>
        <v>0</v>
      </c>
      <c r="N490" s="893">
        <f t="shared" si="36"/>
        <v>0</v>
      </c>
      <c r="O490" s="905"/>
      <c r="P490" s="58" t="str">
        <f>IF(N486&gt;0,"xx",IF(N486&gt;0,"xy",""))</f>
        <v/>
      </c>
      <c r="Q490" s="317" t="str">
        <f t="shared" si="33"/>
        <v/>
      </c>
      <c r="R490" s="317" t="str">
        <f t="shared" si="34"/>
        <v/>
      </c>
      <c r="S490" s="317" t="str">
        <f t="shared" si="35"/>
        <v/>
      </c>
      <c r="T490" s="317" t="str">
        <f>GLOBAL_DER_FEV_2023!S490</f>
        <v/>
      </c>
      <c r="W490" s="582">
        <v>0</v>
      </c>
      <c r="X490" s="580"/>
      <c r="Y490" s="583">
        <f>IF(GLOBAL_DER_FEV_2023!W490=0,0,IF(GLOBAL_DER_FEV_2023!W490&gt;0,"c","b"))</f>
        <v>0</v>
      </c>
    </row>
    <row r="491" spans="1:25" ht="13.5" hidden="1" thickBot="1" x14ac:dyDescent="0.25">
      <c r="A491" s="317">
        <v>589000</v>
      </c>
      <c r="B491" s="1004" t="str">
        <f>GLOBAL_DER_FEV_2023!B491</f>
        <v>589000K</v>
      </c>
      <c r="C491" s="984" t="str">
        <f>GLOBAL_DER_FEV_2023!C491</f>
        <v>DER mat</v>
      </c>
      <c r="D491" s="1012" t="str">
        <f>GLOBAL_DER_FEV_2023!D491</f>
        <v>Fornecimento de CAP - CBUQ (Quantidade menor que 10.000 ton)</v>
      </c>
      <c r="E491" s="1005">
        <f>GLOBAL_DER_FEV_2023!E491</f>
        <v>45</v>
      </c>
      <c r="F491" s="1006">
        <f>GLOBAL_DER_FEV_2023!F491</f>
        <v>1</v>
      </c>
      <c r="G491" s="949">
        <f>GLOBAL_DER_FEV_2023!G491</f>
        <v>88.36</v>
      </c>
      <c r="H491" s="988">
        <f>GLOBAL_DER_FEV_2023!H491</f>
        <v>4828.8599999999997</v>
      </c>
      <c r="I491" s="988">
        <f>GLOBAL_DER_FEV_2023!I491</f>
        <v>4724.580378112767</v>
      </c>
      <c r="J491" s="989">
        <f>GLOBAL_DER_FEV_2023!J491</f>
        <v>5672.8</v>
      </c>
      <c r="K491" s="990" t="s">
        <v>14</v>
      </c>
      <c r="L491" s="1154">
        <f>ROUND(L486*$F486,2)</f>
        <v>0</v>
      </c>
      <c r="M491" s="1159">
        <f t="shared" si="32"/>
        <v>0</v>
      </c>
      <c r="N491" s="993">
        <f t="shared" si="36"/>
        <v>0</v>
      </c>
      <c r="O491" s="905"/>
      <c r="P491" s="58" t="str">
        <f>IF(N486&gt;0,"xx",IF(N486&gt;0,"xy",""))</f>
        <v/>
      </c>
      <c r="Q491" s="317" t="str">
        <f t="shared" si="33"/>
        <v/>
      </c>
      <c r="R491" s="317" t="str">
        <f t="shared" si="34"/>
        <v/>
      </c>
      <c r="S491" s="317" t="str">
        <f t="shared" si="35"/>
        <v/>
      </c>
      <c r="T491" s="317" t="str">
        <f>GLOBAL_DER_FEV_2023!S491</f>
        <v/>
      </c>
      <c r="W491" s="582">
        <v>0</v>
      </c>
      <c r="X491" s="580"/>
      <c r="Y491" s="583">
        <f>IF(GLOBAL_DER_FEV_2023!W491=0,0,IF(GLOBAL_DER_FEV_2023!W491&gt;0,"c","b"))</f>
        <v>0</v>
      </c>
    </row>
    <row r="492" spans="1:25" ht="23.25" hidden="1" thickBot="1" x14ac:dyDescent="0.25">
      <c r="A492" s="317">
        <v>570360</v>
      </c>
      <c r="B492" s="999">
        <v>570360</v>
      </c>
      <c r="C492" s="1000" t="s">
        <v>184</v>
      </c>
      <c r="D492" s="973" t="s">
        <v>245</v>
      </c>
      <c r="E492" s="1026" t="str">
        <f>GLOBAL_DER_FEV_2023!E492</f>
        <v>taxa CAP 
SBS(60/85)</v>
      </c>
      <c r="F492" s="975">
        <f>GLOBAL_DER_FEV_2023!F492</f>
        <v>5.8999999999999997E-2</v>
      </c>
      <c r="G492" s="976">
        <f>GLOBAL_DER_FEV_2023!G492</f>
        <v>52.945844000000001</v>
      </c>
      <c r="H492" s="977">
        <f>GLOBAL_DER_FEV_2023!H492</f>
        <v>178.95</v>
      </c>
      <c r="I492" s="977">
        <f>GLOBAL_DER_FEV_2023!I492</f>
        <v>231.89584399999998</v>
      </c>
      <c r="J492" s="978">
        <f>GLOBAL_DER_FEV_2023!J492</f>
        <v>278.44</v>
      </c>
      <c r="K492" s="979" t="s">
        <v>14</v>
      </c>
      <c r="L492" s="1152"/>
      <c r="M492" s="1153">
        <f t="shared" si="32"/>
        <v>0</v>
      </c>
      <c r="N492" s="982">
        <f t="shared" si="36"/>
        <v>0</v>
      </c>
      <c r="O492" s="905"/>
      <c r="Q492" s="317" t="str">
        <f t="shared" si="33"/>
        <v/>
      </c>
      <c r="R492" s="317" t="str">
        <f t="shared" si="34"/>
        <v/>
      </c>
      <c r="S492" s="317" t="str">
        <f t="shared" si="35"/>
        <v/>
      </c>
      <c r="T492" s="317" t="str">
        <f>GLOBAL_DER_FEV_2023!S492</f>
        <v/>
      </c>
      <c r="W492" s="582">
        <v>0</v>
      </c>
      <c r="X492" s="580"/>
      <c r="Y492" s="583">
        <f>IF(GLOBAL_DER_FEV_2023!W492=0,0,IF(GLOBAL_DER_FEV_2023!W492&gt;0,"c","b"))</f>
        <v>0</v>
      </c>
    </row>
    <row r="493" spans="1:25" ht="13.5" hidden="1" thickBot="1" x14ac:dyDescent="0.25">
      <c r="A493" s="317" t="s">
        <v>147</v>
      </c>
      <c r="B493" s="895" t="s">
        <v>147</v>
      </c>
      <c r="C493" s="896"/>
      <c r="D493" s="957" t="s">
        <v>229</v>
      </c>
      <c r="E493" s="907">
        <f>GLOBAL_DER_FEV_2023!E493</f>
        <v>150</v>
      </c>
      <c r="F493" s="908">
        <f>GLOBAL_DER_FEV_2023!F493</f>
        <v>0.1</v>
      </c>
      <c r="G493" s="949">
        <f>GLOBAL_DER_FEV_2023!G493</f>
        <v>16.318000000000001</v>
      </c>
      <c r="H493" s="901">
        <f>GLOBAL_DER_FEV_2023!H493</f>
        <v>0</v>
      </c>
      <c r="I493" s="901">
        <f>GLOBAL_DER_FEV_2023!I493</f>
        <v>0</v>
      </c>
      <c r="J493" s="902">
        <f>GLOBAL_DER_FEV_2023!J493</f>
        <v>0</v>
      </c>
      <c r="K493" s="903" t="s">
        <v>507</v>
      </c>
      <c r="L493" s="1003"/>
      <c r="M493" s="1157">
        <f t="shared" si="32"/>
        <v>0</v>
      </c>
      <c r="N493" s="893">
        <f t="shared" si="36"/>
        <v>0</v>
      </c>
      <c r="O493" s="905"/>
      <c r="P493" s="58" t="str">
        <f>IF(N492&gt;0,"xx",IF(N492&gt;0,"xy",""))</f>
        <v/>
      </c>
      <c r="Q493" s="317" t="str">
        <f t="shared" si="33"/>
        <v/>
      </c>
      <c r="R493" s="317" t="str">
        <f t="shared" si="34"/>
        <v/>
      </c>
      <c r="S493" s="317" t="str">
        <f t="shared" si="35"/>
        <v/>
      </c>
      <c r="T493" s="317" t="str">
        <f>GLOBAL_DER_FEV_2023!S493</f>
        <v/>
      </c>
      <c r="W493" s="582">
        <v>0</v>
      </c>
      <c r="X493" s="580"/>
      <c r="Y493" s="583">
        <f>IF(GLOBAL_DER_FEV_2023!W493=0,0,IF(GLOBAL_DER_FEV_2023!W493&gt;0,"c","b"))</f>
        <v>0</v>
      </c>
    </row>
    <row r="494" spans="1:25" ht="13.5" hidden="1" thickBot="1" x14ac:dyDescent="0.25">
      <c r="A494" s="317" t="s">
        <v>147</v>
      </c>
      <c r="B494" s="895" t="s">
        <v>147</v>
      </c>
      <c r="C494" s="896"/>
      <c r="D494" s="957" t="s">
        <v>230</v>
      </c>
      <c r="E494" s="907">
        <f>GLOBAL_DER_FEV_2023!E494</f>
        <v>353</v>
      </c>
      <c r="F494" s="908">
        <f>GLOBAL_DER_FEV_2023!F494</f>
        <v>1.4999999999999999E-2</v>
      </c>
      <c r="G494" s="909">
        <f>GLOBAL_DER_FEV_2023!G494</f>
        <v>4.2473999999999998</v>
      </c>
      <c r="H494" s="901">
        <f>GLOBAL_DER_FEV_2023!H494</f>
        <v>0</v>
      </c>
      <c r="I494" s="901">
        <f>GLOBAL_DER_FEV_2023!I494</f>
        <v>0</v>
      </c>
      <c r="J494" s="902">
        <f>GLOBAL_DER_FEV_2023!J494</f>
        <v>0</v>
      </c>
      <c r="K494" s="903" t="s">
        <v>507</v>
      </c>
      <c r="L494" s="1003"/>
      <c r="M494" s="1157">
        <f t="shared" si="32"/>
        <v>0</v>
      </c>
      <c r="N494" s="893">
        <f t="shared" si="36"/>
        <v>0</v>
      </c>
      <c r="O494" s="905"/>
      <c r="P494" s="58" t="str">
        <f>IF(N492&gt;0,"xx",IF(N492&gt;0,"xy",""))</f>
        <v/>
      </c>
      <c r="Q494" s="317" t="str">
        <f t="shared" si="33"/>
        <v/>
      </c>
      <c r="R494" s="317" t="str">
        <f t="shared" si="34"/>
        <v/>
      </c>
      <c r="S494" s="317" t="str">
        <f t="shared" si="35"/>
        <v/>
      </c>
      <c r="T494" s="317" t="str">
        <f>GLOBAL_DER_FEV_2023!S494</f>
        <v/>
      </c>
      <c r="W494" s="582">
        <v>0</v>
      </c>
      <c r="X494" s="580"/>
      <c r="Y494" s="583">
        <f>IF(GLOBAL_DER_FEV_2023!W494=0,0,IF(GLOBAL_DER_FEV_2023!W494&gt;0,"c","b"))</f>
        <v>0</v>
      </c>
    </row>
    <row r="495" spans="1:25" ht="13.5" hidden="1" thickBot="1" x14ac:dyDescent="0.25">
      <c r="A495" s="317" t="s">
        <v>147</v>
      </c>
      <c r="B495" s="895" t="s">
        <v>147</v>
      </c>
      <c r="C495" s="896"/>
      <c r="D495" s="957" t="s">
        <v>243</v>
      </c>
      <c r="E495" s="907">
        <f>GLOBAL_DER_FEV_2023!E495</f>
        <v>0.2</v>
      </c>
      <c r="F495" s="908">
        <f>GLOBAL_DER_FEV_2023!F495</f>
        <v>0.82599999999999996</v>
      </c>
      <c r="G495" s="949">
        <f>GLOBAL_DER_FEV_2023!G495</f>
        <v>2.390444</v>
      </c>
      <c r="H495" s="901">
        <f>GLOBAL_DER_FEV_2023!H495</f>
        <v>0</v>
      </c>
      <c r="I495" s="901">
        <f>GLOBAL_DER_FEV_2023!I495</f>
        <v>0</v>
      </c>
      <c r="J495" s="902">
        <f>GLOBAL_DER_FEV_2023!J495</f>
        <v>0</v>
      </c>
      <c r="K495" s="903" t="s">
        <v>507</v>
      </c>
      <c r="L495" s="1003"/>
      <c r="M495" s="1157">
        <f t="shared" si="32"/>
        <v>0</v>
      </c>
      <c r="N495" s="893">
        <f t="shared" si="36"/>
        <v>0</v>
      </c>
      <c r="O495" s="905"/>
      <c r="P495" s="58" t="str">
        <f>IF(N492&gt;0,"xx",IF(N492&gt;0,"xy",""))</f>
        <v/>
      </c>
      <c r="Q495" s="317" t="str">
        <f t="shared" si="33"/>
        <v/>
      </c>
      <c r="R495" s="317" t="str">
        <f t="shared" si="34"/>
        <v/>
      </c>
      <c r="S495" s="317" t="str">
        <f t="shared" si="35"/>
        <v/>
      </c>
      <c r="T495" s="317" t="str">
        <f>GLOBAL_DER_FEV_2023!S495</f>
        <v/>
      </c>
      <c r="W495" s="582">
        <v>0</v>
      </c>
      <c r="X495" s="580"/>
      <c r="Y495" s="583">
        <f>IF(GLOBAL_DER_FEV_2023!W495=0,0,IF(GLOBAL_DER_FEV_2023!W495&gt;0,"c","b"))</f>
        <v>0</v>
      </c>
    </row>
    <row r="496" spans="1:25" ht="13.5" hidden="1" thickBot="1" x14ac:dyDescent="0.25">
      <c r="A496" s="317" t="s">
        <v>147</v>
      </c>
      <c r="B496" s="895" t="s">
        <v>147</v>
      </c>
      <c r="C496" s="896"/>
      <c r="D496" s="957" t="s">
        <v>244</v>
      </c>
      <c r="E496" s="907">
        <f>GLOBAL_DER_FEV_2023!E496</f>
        <v>22</v>
      </c>
      <c r="F496" s="908">
        <f>GLOBAL_DER_FEV_2023!F496</f>
        <v>1</v>
      </c>
      <c r="G496" s="912">
        <f>GLOBAL_DER_FEV_2023!G496</f>
        <v>29.990000000000002</v>
      </c>
      <c r="H496" s="901">
        <f>GLOBAL_DER_FEV_2023!H496</f>
        <v>0</v>
      </c>
      <c r="I496" s="901">
        <f>GLOBAL_DER_FEV_2023!I496</f>
        <v>0</v>
      </c>
      <c r="J496" s="902">
        <f>GLOBAL_DER_FEV_2023!J496</f>
        <v>0</v>
      </c>
      <c r="K496" s="903" t="s">
        <v>507</v>
      </c>
      <c r="L496" s="1003"/>
      <c r="M496" s="1157">
        <f t="shared" si="32"/>
        <v>0</v>
      </c>
      <c r="N496" s="893">
        <f t="shared" si="36"/>
        <v>0</v>
      </c>
      <c r="O496" s="905"/>
      <c r="P496" s="58" t="str">
        <f>IF(N492&gt;0,"xx",IF(N492&gt;0,"xy",""))</f>
        <v/>
      </c>
      <c r="Q496" s="317" t="str">
        <f t="shared" si="33"/>
        <v/>
      </c>
      <c r="R496" s="317" t="str">
        <f t="shared" si="34"/>
        <v/>
      </c>
      <c r="S496" s="317" t="str">
        <f t="shared" si="35"/>
        <v/>
      </c>
      <c r="T496" s="317" t="str">
        <f>GLOBAL_DER_FEV_2023!S496</f>
        <v/>
      </c>
      <c r="W496" s="582">
        <v>0</v>
      </c>
      <c r="X496" s="580"/>
      <c r="Y496" s="583">
        <f>IF(GLOBAL_DER_FEV_2023!W496=0,0,IF(GLOBAL_DER_FEV_2023!W496&gt;0,"c","b"))</f>
        <v>0</v>
      </c>
    </row>
    <row r="497" spans="1:25" ht="13.5" hidden="1" thickBot="1" x14ac:dyDescent="0.25">
      <c r="A497" s="317">
        <v>589040</v>
      </c>
      <c r="B497" s="1004">
        <v>589040</v>
      </c>
      <c r="C497" s="984" t="s">
        <v>213</v>
      </c>
      <c r="D497" s="1012" t="s">
        <v>567</v>
      </c>
      <c r="E497" s="1005">
        <f>GLOBAL_DER_FEV_2023!E497</f>
        <v>45</v>
      </c>
      <c r="F497" s="1006">
        <f>GLOBAL_DER_FEV_2023!F497</f>
        <v>1</v>
      </c>
      <c r="G497" s="949">
        <f>GLOBAL_DER_FEV_2023!G497</f>
        <v>88.36</v>
      </c>
      <c r="H497" s="988">
        <f>GLOBAL_DER_FEV_2023!H497</f>
        <v>6122.06</v>
      </c>
      <c r="I497" s="988">
        <f>GLOBAL_DER_FEV_2023!I497</f>
        <v>5966.1902390272353</v>
      </c>
      <c r="J497" s="989">
        <f>GLOBAL_DER_FEV_2023!J497</f>
        <v>7163.6</v>
      </c>
      <c r="K497" s="990" t="s">
        <v>14</v>
      </c>
      <c r="L497" s="1154">
        <f>ROUND(L492*$F492,2)</f>
        <v>0</v>
      </c>
      <c r="M497" s="1159">
        <f t="shared" si="32"/>
        <v>0</v>
      </c>
      <c r="N497" s="993">
        <f t="shared" si="36"/>
        <v>0</v>
      </c>
      <c r="O497" s="905"/>
      <c r="P497" s="58" t="str">
        <f>IF(N492&gt;0,"xx",IF(N492&gt;0,"xy",""))</f>
        <v/>
      </c>
      <c r="Q497" s="317" t="str">
        <f t="shared" si="33"/>
        <v/>
      </c>
      <c r="R497" s="317" t="str">
        <f t="shared" si="34"/>
        <v/>
      </c>
      <c r="S497" s="317" t="str">
        <f t="shared" si="35"/>
        <v/>
      </c>
      <c r="T497" s="317" t="str">
        <f>GLOBAL_DER_FEV_2023!S497</f>
        <v/>
      </c>
      <c r="W497" s="582">
        <v>0</v>
      </c>
      <c r="X497" s="580"/>
      <c r="Y497" s="583">
        <f>IF(GLOBAL_DER_FEV_2023!W497=0,0,IF(GLOBAL_DER_FEV_2023!W497&gt;0,"c","b"))</f>
        <v>0</v>
      </c>
    </row>
    <row r="498" spans="1:25" ht="23.25" hidden="1" thickBot="1" x14ac:dyDescent="0.25">
      <c r="A498" s="317">
        <v>570350</v>
      </c>
      <c r="B498" s="999">
        <v>570350</v>
      </c>
      <c r="C498" s="1000" t="s">
        <v>184</v>
      </c>
      <c r="D498" s="973" t="s">
        <v>1899</v>
      </c>
      <c r="E498" s="1026" t="str">
        <f>GLOBAL_DER_FEV_2023!E498</f>
        <v>taxa CAP 
borracha</v>
      </c>
      <c r="F498" s="975">
        <f>GLOBAL_DER_FEV_2023!F498</f>
        <v>0.06</v>
      </c>
      <c r="G498" s="976">
        <f>GLOBAL_DER_FEV_2023!G498</f>
        <v>52.942950000000003</v>
      </c>
      <c r="H498" s="977">
        <f>GLOBAL_DER_FEV_2023!H498</f>
        <v>188.55</v>
      </c>
      <c r="I498" s="977">
        <f>GLOBAL_DER_FEV_2023!I498</f>
        <v>241.49295000000001</v>
      </c>
      <c r="J498" s="978">
        <f>GLOBAL_DER_FEV_2023!J498</f>
        <v>289.95999999999998</v>
      </c>
      <c r="K498" s="979" t="s">
        <v>573</v>
      </c>
      <c r="L498" s="1152"/>
      <c r="M498" s="1153">
        <f t="shared" si="32"/>
        <v>0</v>
      </c>
      <c r="N498" s="982">
        <f t="shared" si="36"/>
        <v>0</v>
      </c>
      <c r="O498" s="905"/>
      <c r="Q498" s="317" t="str">
        <f t="shared" si="33"/>
        <v/>
      </c>
      <c r="R498" s="317" t="str">
        <f t="shared" si="34"/>
        <v/>
      </c>
      <c r="S498" s="317" t="str">
        <f t="shared" si="35"/>
        <v/>
      </c>
      <c r="T498" s="317" t="str">
        <f>GLOBAL_DER_FEV_2023!S498</f>
        <v/>
      </c>
      <c r="W498" s="582">
        <v>0</v>
      </c>
      <c r="X498" s="580"/>
      <c r="Y498" s="583">
        <f>IF(GLOBAL_DER_FEV_2023!W498=0,0,IF(GLOBAL_DER_FEV_2023!W498&gt;0,"c","b"))</f>
        <v>0</v>
      </c>
    </row>
    <row r="499" spans="1:25" ht="13.5" hidden="1" thickBot="1" x14ac:dyDescent="0.25">
      <c r="A499" s="317" t="s">
        <v>147</v>
      </c>
      <c r="B499" s="895" t="s">
        <v>147</v>
      </c>
      <c r="C499" s="896"/>
      <c r="D499" s="957" t="s">
        <v>229</v>
      </c>
      <c r="E499" s="907">
        <f>GLOBAL_DER_FEV_2023!E499</f>
        <v>150</v>
      </c>
      <c r="F499" s="908">
        <f>GLOBAL_DER_FEV_2023!F499</f>
        <v>0.1</v>
      </c>
      <c r="G499" s="949">
        <f>GLOBAL_DER_FEV_2023!G499</f>
        <v>16.318000000000001</v>
      </c>
      <c r="H499" s="901">
        <f>GLOBAL_DER_FEV_2023!H499</f>
        <v>0</v>
      </c>
      <c r="I499" s="901">
        <f>GLOBAL_DER_FEV_2023!I499</f>
        <v>0</v>
      </c>
      <c r="J499" s="902">
        <f>GLOBAL_DER_FEV_2023!J499</f>
        <v>0</v>
      </c>
      <c r="K499" s="903" t="s">
        <v>507</v>
      </c>
      <c r="L499" s="1003"/>
      <c r="M499" s="1157">
        <f t="shared" si="32"/>
        <v>0</v>
      </c>
      <c r="N499" s="893">
        <f t="shared" si="36"/>
        <v>0</v>
      </c>
      <c r="O499" s="905"/>
      <c r="P499" s="58" t="str">
        <f>IF(N498&gt;0,"xx",IF(N498&gt;0,"xy",""))</f>
        <v/>
      </c>
      <c r="Q499" s="317" t="str">
        <f t="shared" si="33"/>
        <v/>
      </c>
      <c r="R499" s="317" t="str">
        <f t="shared" si="34"/>
        <v/>
      </c>
      <c r="S499" s="317" t="str">
        <f t="shared" si="35"/>
        <v/>
      </c>
      <c r="T499" s="317" t="str">
        <f>GLOBAL_DER_FEV_2023!S499</f>
        <v/>
      </c>
      <c r="W499" s="582">
        <v>0</v>
      </c>
      <c r="X499" s="580"/>
      <c r="Y499" s="583">
        <f>IF(GLOBAL_DER_FEV_2023!W499=0,0,IF(GLOBAL_DER_FEV_2023!W499&gt;0,"c","b"))</f>
        <v>0</v>
      </c>
    </row>
    <row r="500" spans="1:25" ht="13.5" hidden="1" thickBot="1" x14ac:dyDescent="0.25">
      <c r="A500" s="317" t="s">
        <v>147</v>
      </c>
      <c r="B500" s="895" t="s">
        <v>147</v>
      </c>
      <c r="C500" s="896"/>
      <c r="D500" s="957" t="s">
        <v>230</v>
      </c>
      <c r="E500" s="907">
        <f>GLOBAL_DER_FEV_2023!E500</f>
        <v>353</v>
      </c>
      <c r="F500" s="908">
        <f>GLOBAL_DER_FEV_2023!F500</f>
        <v>1.4999999999999999E-2</v>
      </c>
      <c r="G500" s="909">
        <f>GLOBAL_DER_FEV_2023!G500</f>
        <v>4.2473999999999998</v>
      </c>
      <c r="H500" s="901">
        <f>GLOBAL_DER_FEV_2023!H500</f>
        <v>0</v>
      </c>
      <c r="I500" s="901">
        <f>GLOBAL_DER_FEV_2023!I500</f>
        <v>0</v>
      </c>
      <c r="J500" s="902">
        <f>GLOBAL_DER_FEV_2023!J500</f>
        <v>0</v>
      </c>
      <c r="K500" s="903" t="s">
        <v>507</v>
      </c>
      <c r="L500" s="1003"/>
      <c r="M500" s="1157">
        <f t="shared" si="32"/>
        <v>0</v>
      </c>
      <c r="N500" s="893">
        <f t="shared" si="36"/>
        <v>0</v>
      </c>
      <c r="O500" s="905"/>
      <c r="P500" s="58" t="str">
        <f>IF(N498&gt;0,"xx",IF(N498&gt;0,"xy",""))</f>
        <v/>
      </c>
      <c r="Q500" s="317" t="str">
        <f t="shared" si="33"/>
        <v/>
      </c>
      <c r="R500" s="317" t="str">
        <f t="shared" si="34"/>
        <v/>
      </c>
      <c r="S500" s="317" t="str">
        <f t="shared" si="35"/>
        <v/>
      </c>
      <c r="T500" s="317" t="str">
        <f>GLOBAL_DER_FEV_2023!S500</f>
        <v/>
      </c>
      <c r="W500" s="582">
        <v>0</v>
      </c>
      <c r="X500" s="580"/>
      <c r="Y500" s="583">
        <f>IF(GLOBAL_DER_FEV_2023!W500=0,0,IF(GLOBAL_DER_FEV_2023!W500&gt;0,"c","b"))</f>
        <v>0</v>
      </c>
    </row>
    <row r="501" spans="1:25" ht="13.5" hidden="1" thickBot="1" x14ac:dyDescent="0.25">
      <c r="A501" s="317" t="s">
        <v>147</v>
      </c>
      <c r="B501" s="895" t="s">
        <v>147</v>
      </c>
      <c r="C501" s="896"/>
      <c r="D501" s="957" t="s">
        <v>243</v>
      </c>
      <c r="E501" s="907">
        <f>GLOBAL_DER_FEV_2023!E501</f>
        <v>0.2</v>
      </c>
      <c r="F501" s="908">
        <f>GLOBAL_DER_FEV_2023!F501</f>
        <v>0.82499999999999996</v>
      </c>
      <c r="G501" s="949">
        <f>GLOBAL_DER_FEV_2023!G501</f>
        <v>2.3875500000000001</v>
      </c>
      <c r="H501" s="901">
        <f>GLOBAL_DER_FEV_2023!H501</f>
        <v>0</v>
      </c>
      <c r="I501" s="901">
        <f>GLOBAL_DER_FEV_2023!I501</f>
        <v>0</v>
      </c>
      <c r="J501" s="902">
        <f>GLOBAL_DER_FEV_2023!J501</f>
        <v>0</v>
      </c>
      <c r="K501" s="903" t="s">
        <v>507</v>
      </c>
      <c r="L501" s="1003"/>
      <c r="M501" s="1157">
        <f t="shared" si="32"/>
        <v>0</v>
      </c>
      <c r="N501" s="893">
        <f t="shared" si="36"/>
        <v>0</v>
      </c>
      <c r="O501" s="905"/>
      <c r="P501" s="58" t="str">
        <f>IF(N498&gt;0,"xx",IF(N498&gt;0,"xy",""))</f>
        <v/>
      </c>
      <c r="Q501" s="317" t="str">
        <f t="shared" si="33"/>
        <v/>
      </c>
      <c r="R501" s="317" t="str">
        <f t="shared" si="34"/>
        <v/>
      </c>
      <c r="S501" s="317" t="str">
        <f t="shared" si="35"/>
        <v/>
      </c>
      <c r="T501" s="317" t="str">
        <f>GLOBAL_DER_FEV_2023!S501</f>
        <v/>
      </c>
      <c r="W501" s="582">
        <v>0</v>
      </c>
      <c r="X501" s="580"/>
      <c r="Y501" s="583">
        <f>IF(GLOBAL_DER_FEV_2023!W501=0,0,IF(GLOBAL_DER_FEV_2023!W501&gt;0,"c","b"))</f>
        <v>0</v>
      </c>
    </row>
    <row r="502" spans="1:25" ht="13.5" hidden="1" thickBot="1" x14ac:dyDescent="0.25">
      <c r="A502" s="317" t="s">
        <v>147</v>
      </c>
      <c r="B502" s="895" t="s">
        <v>147</v>
      </c>
      <c r="C502" s="896"/>
      <c r="D502" s="957" t="s">
        <v>244</v>
      </c>
      <c r="E502" s="907">
        <f>GLOBAL_DER_FEV_2023!E502</f>
        <v>22</v>
      </c>
      <c r="F502" s="908">
        <f>GLOBAL_DER_FEV_2023!F502</f>
        <v>1</v>
      </c>
      <c r="G502" s="912">
        <f>GLOBAL_DER_FEV_2023!G502</f>
        <v>29.990000000000002</v>
      </c>
      <c r="H502" s="901">
        <f>GLOBAL_DER_FEV_2023!H502</f>
        <v>0</v>
      </c>
      <c r="I502" s="901">
        <f>GLOBAL_DER_FEV_2023!I502</f>
        <v>0</v>
      </c>
      <c r="J502" s="902">
        <f>GLOBAL_DER_FEV_2023!J502</f>
        <v>0</v>
      </c>
      <c r="K502" s="903" t="s">
        <v>507</v>
      </c>
      <c r="L502" s="1003"/>
      <c r="M502" s="1157">
        <f t="shared" si="32"/>
        <v>0</v>
      </c>
      <c r="N502" s="893">
        <f t="shared" si="36"/>
        <v>0</v>
      </c>
      <c r="O502" s="905"/>
      <c r="P502" s="58" t="str">
        <f>IF(N498&gt;0,"xx",IF(N498&gt;0,"xy",""))</f>
        <v/>
      </c>
      <c r="Q502" s="317" t="str">
        <f t="shared" si="33"/>
        <v/>
      </c>
      <c r="R502" s="317" t="str">
        <f t="shared" si="34"/>
        <v/>
      </c>
      <c r="S502" s="317" t="str">
        <f t="shared" si="35"/>
        <v/>
      </c>
      <c r="T502" s="317" t="str">
        <f>GLOBAL_DER_FEV_2023!S502</f>
        <v/>
      </c>
      <c r="W502" s="582">
        <v>0</v>
      </c>
      <c r="X502" s="580"/>
      <c r="Y502" s="583">
        <f>IF(GLOBAL_DER_FEV_2023!W502=0,0,IF(GLOBAL_DER_FEV_2023!W502&gt;0,"c","b"))</f>
        <v>0</v>
      </c>
    </row>
    <row r="503" spans="1:25" ht="13.5" hidden="1" thickBot="1" x14ac:dyDescent="0.25">
      <c r="A503" s="317">
        <v>589050</v>
      </c>
      <c r="B503" s="1004">
        <v>589050</v>
      </c>
      <c r="C503" s="984" t="s">
        <v>213</v>
      </c>
      <c r="D503" s="1012" t="s">
        <v>1900</v>
      </c>
      <c r="E503" s="1005">
        <f>GLOBAL_DER_FEV_2023!E503</f>
        <v>45</v>
      </c>
      <c r="F503" s="1006">
        <f>GLOBAL_DER_FEV_2023!F503</f>
        <v>1</v>
      </c>
      <c r="G503" s="949">
        <f>GLOBAL_DER_FEV_2023!G503</f>
        <v>88.36</v>
      </c>
      <c r="H503" s="988">
        <f>GLOBAL_DER_FEV_2023!H503</f>
        <v>5201.1000000000004</v>
      </c>
      <c r="I503" s="988">
        <f>GLOBAL_DER_FEV_2023!I503</f>
        <v>5081.9704605646712</v>
      </c>
      <c r="J503" s="989">
        <f>GLOBAL_DER_FEV_2023!J503</f>
        <v>6101.92</v>
      </c>
      <c r="K503" s="990" t="s">
        <v>14</v>
      </c>
      <c r="L503" s="1154">
        <f>ROUND(L498*$F498,2)</f>
        <v>0</v>
      </c>
      <c r="M503" s="1159">
        <f t="shared" si="32"/>
        <v>0</v>
      </c>
      <c r="N503" s="993">
        <f t="shared" si="36"/>
        <v>0</v>
      </c>
      <c r="O503" s="905"/>
      <c r="P503" s="58" t="str">
        <f>IF(N498&gt;0,"xx",IF(N498&gt;0,"xy",""))</f>
        <v/>
      </c>
      <c r="Q503" s="317" t="str">
        <f t="shared" si="33"/>
        <v/>
      </c>
      <c r="R503" s="317" t="str">
        <f t="shared" si="34"/>
        <v/>
      </c>
      <c r="S503" s="317" t="str">
        <f t="shared" si="35"/>
        <v/>
      </c>
      <c r="T503" s="317" t="str">
        <f>GLOBAL_DER_FEV_2023!S503</f>
        <v/>
      </c>
      <c r="W503" s="582">
        <v>0</v>
      </c>
      <c r="X503" s="580"/>
      <c r="Y503" s="583">
        <f>IF(GLOBAL_DER_FEV_2023!W503=0,0,IF(GLOBAL_DER_FEV_2023!W503&gt;0,"c","b"))</f>
        <v>0</v>
      </c>
    </row>
    <row r="504" spans="1:25" ht="13.5" hidden="1" thickBot="1" x14ac:dyDescent="0.25">
      <c r="A504" s="317">
        <v>502615</v>
      </c>
      <c r="B504" s="999">
        <v>502615</v>
      </c>
      <c r="C504" s="1000" t="s">
        <v>184</v>
      </c>
      <c r="D504" s="973" t="s">
        <v>1931</v>
      </c>
      <c r="E504" s="974">
        <f>GLOBAL_DER_FEV_2023!E504</f>
        <v>0</v>
      </c>
      <c r="F504" s="975">
        <f>GLOBAL_DER_FEV_2023!F504</f>
        <v>0</v>
      </c>
      <c r="G504" s="976">
        <f>GLOBAL_DER_FEV_2023!G504</f>
        <v>256.41471000000007</v>
      </c>
      <c r="H504" s="977">
        <f>GLOBAL_DER_FEV_2023!H504</f>
        <v>307.27999999999997</v>
      </c>
      <c r="I504" s="977">
        <f>GLOBAL_DER_FEV_2023!I504</f>
        <v>563.69470999999999</v>
      </c>
      <c r="J504" s="978">
        <f>GLOBAL_DER_FEV_2023!J504</f>
        <v>676.83</v>
      </c>
      <c r="K504" s="979" t="s">
        <v>10</v>
      </c>
      <c r="L504" s="1152"/>
      <c r="M504" s="1153">
        <f t="shared" si="32"/>
        <v>0</v>
      </c>
      <c r="N504" s="982">
        <f t="shared" si="36"/>
        <v>0</v>
      </c>
      <c r="O504" s="905"/>
      <c r="Q504" s="317" t="str">
        <f t="shared" si="33"/>
        <v/>
      </c>
      <c r="R504" s="317" t="str">
        <f t="shared" si="34"/>
        <v/>
      </c>
      <c r="S504" s="317" t="str">
        <f t="shared" si="35"/>
        <v/>
      </c>
      <c r="T504" s="317" t="str">
        <f>GLOBAL_DER_FEV_2023!S504</f>
        <v/>
      </c>
      <c r="W504" s="582">
        <v>0</v>
      </c>
      <c r="X504" s="580"/>
      <c r="Y504" s="583">
        <f>IF(GLOBAL_DER_FEV_2023!W504=0,0,IF(GLOBAL_DER_FEV_2023!W504&gt;0,"c","b"))</f>
        <v>0</v>
      </c>
    </row>
    <row r="505" spans="1:25" ht="13.5" hidden="1" thickBot="1" x14ac:dyDescent="0.25">
      <c r="A505" s="317" t="s">
        <v>147</v>
      </c>
      <c r="B505" s="895" t="s">
        <v>147</v>
      </c>
      <c r="C505" s="896"/>
      <c r="D505" s="957" t="s">
        <v>190</v>
      </c>
      <c r="E505" s="907">
        <f>GLOBAL_DER_FEV_2023!E505</f>
        <v>308</v>
      </c>
      <c r="F505" s="908">
        <f>GLOBAL_DER_FEV_2023!F505</f>
        <v>0.33</v>
      </c>
      <c r="G505" s="909">
        <f>GLOBAL_DER_FEV_2023!G505</f>
        <v>81.859800000000007</v>
      </c>
      <c r="H505" s="901">
        <f>GLOBAL_DER_FEV_2023!H505</f>
        <v>0</v>
      </c>
      <c r="I505" s="901">
        <f>GLOBAL_DER_FEV_2023!I505</f>
        <v>0</v>
      </c>
      <c r="J505" s="902">
        <f>GLOBAL_DER_FEV_2023!J505</f>
        <v>0</v>
      </c>
      <c r="K505" s="958" t="s">
        <v>507</v>
      </c>
      <c r="L505" s="959"/>
      <c r="M505" s="1157">
        <f t="shared" si="32"/>
        <v>0</v>
      </c>
      <c r="N505" s="893">
        <f t="shared" si="36"/>
        <v>0</v>
      </c>
      <c r="O505" s="905"/>
      <c r="P505" s="58" t="str">
        <f>IF(N504&gt;0,"xx",IF(N504&gt;0,"xy",""))</f>
        <v/>
      </c>
      <c r="Q505" s="317" t="str">
        <f t="shared" si="33"/>
        <v/>
      </c>
      <c r="R505" s="317" t="str">
        <f t="shared" si="34"/>
        <v/>
      </c>
      <c r="S505" s="317" t="str">
        <f t="shared" si="35"/>
        <v/>
      </c>
      <c r="T505" s="317" t="str">
        <f>GLOBAL_DER_FEV_2023!S505</f>
        <v/>
      </c>
      <c r="W505" s="582">
        <v>0</v>
      </c>
      <c r="X505" s="580"/>
      <c r="Y505" s="583">
        <f>IF(GLOBAL_DER_FEV_2023!W505=0,0,IF(GLOBAL_DER_FEV_2023!W505&gt;0,"c","b"))</f>
        <v>0</v>
      </c>
    </row>
    <row r="506" spans="1:25" ht="13.5" hidden="1" thickBot="1" x14ac:dyDescent="0.25">
      <c r="A506" s="317" t="s">
        <v>147</v>
      </c>
      <c r="B506" s="895" t="s">
        <v>147</v>
      </c>
      <c r="C506" s="896"/>
      <c r="D506" s="957" t="s">
        <v>229</v>
      </c>
      <c r="E506" s="907">
        <f>GLOBAL_DER_FEV_2023!E506</f>
        <v>165</v>
      </c>
      <c r="F506" s="908">
        <f>GLOBAL_DER_FEV_2023!F506</f>
        <v>0.92100000000000004</v>
      </c>
      <c r="G506" s="949">
        <f>GLOBAL_DER_FEV_2023!G506</f>
        <v>165.07083000000003</v>
      </c>
      <c r="H506" s="901">
        <f>GLOBAL_DER_FEV_2023!H506</f>
        <v>0</v>
      </c>
      <c r="I506" s="901">
        <f>GLOBAL_DER_FEV_2023!I506</f>
        <v>0</v>
      </c>
      <c r="J506" s="902">
        <f>GLOBAL_DER_FEV_2023!J506</f>
        <v>0</v>
      </c>
      <c r="K506" s="958" t="s">
        <v>507</v>
      </c>
      <c r="L506" s="959"/>
      <c r="M506" s="1157">
        <f t="shared" si="32"/>
        <v>0</v>
      </c>
      <c r="N506" s="893">
        <f t="shared" si="36"/>
        <v>0</v>
      </c>
      <c r="O506" s="905"/>
      <c r="P506" s="58" t="str">
        <f>IF(N504&gt;0,"xx",IF(N504&gt;0,"xy",""))</f>
        <v/>
      </c>
      <c r="Q506" s="317" t="str">
        <f t="shared" si="33"/>
        <v/>
      </c>
      <c r="R506" s="317" t="str">
        <f t="shared" si="34"/>
        <v/>
      </c>
      <c r="S506" s="317" t="str">
        <f t="shared" si="35"/>
        <v/>
      </c>
      <c r="T506" s="317" t="str">
        <f>GLOBAL_DER_FEV_2023!S506</f>
        <v/>
      </c>
      <c r="W506" s="582">
        <v>0</v>
      </c>
      <c r="X506" s="580"/>
      <c r="Y506" s="583">
        <f>IF(GLOBAL_DER_FEV_2023!W506=0,0,IF(GLOBAL_DER_FEV_2023!W506&gt;0,"c","b"))</f>
        <v>0</v>
      </c>
    </row>
    <row r="507" spans="1:25" ht="13.5" hidden="1" thickBot="1" x14ac:dyDescent="0.25">
      <c r="A507" s="317" t="s">
        <v>147</v>
      </c>
      <c r="B507" s="895" t="s">
        <v>147</v>
      </c>
      <c r="C507" s="896"/>
      <c r="D507" s="957" t="s">
        <v>233</v>
      </c>
      <c r="E507" s="907">
        <f>GLOBAL_DER_FEV_2023!E507</f>
        <v>0.2</v>
      </c>
      <c r="F507" s="908">
        <f>GLOBAL_DER_FEV_2023!F507</f>
        <v>1.1000000000000001</v>
      </c>
      <c r="G507" s="949">
        <f>GLOBAL_DER_FEV_2023!G507</f>
        <v>3.1834000000000002</v>
      </c>
      <c r="H507" s="901">
        <f>GLOBAL_DER_FEV_2023!H507</f>
        <v>0</v>
      </c>
      <c r="I507" s="901">
        <f>GLOBAL_DER_FEV_2023!I507</f>
        <v>0</v>
      </c>
      <c r="J507" s="902">
        <f>GLOBAL_DER_FEV_2023!J507</f>
        <v>0</v>
      </c>
      <c r="K507" s="958" t="s">
        <v>507</v>
      </c>
      <c r="L507" s="959"/>
      <c r="M507" s="1157">
        <f t="shared" si="32"/>
        <v>0</v>
      </c>
      <c r="N507" s="893">
        <f t="shared" si="36"/>
        <v>0</v>
      </c>
      <c r="O507" s="905"/>
      <c r="P507" s="58" t="str">
        <f>IF(N504&gt;0,"xx",IF(N504&gt;0,"xy",""))</f>
        <v/>
      </c>
      <c r="Q507" s="317" t="str">
        <f t="shared" si="33"/>
        <v/>
      </c>
      <c r="R507" s="317" t="str">
        <f t="shared" si="34"/>
        <v/>
      </c>
      <c r="S507" s="317" t="str">
        <f t="shared" si="35"/>
        <v/>
      </c>
      <c r="T507" s="317" t="str">
        <f>GLOBAL_DER_FEV_2023!S507</f>
        <v/>
      </c>
      <c r="W507" s="582">
        <v>0</v>
      </c>
      <c r="X507" s="580"/>
      <c r="Y507" s="583">
        <f>IF(GLOBAL_DER_FEV_2023!W507=0,0,IF(GLOBAL_DER_FEV_2023!W507&gt;0,"c","b"))</f>
        <v>0</v>
      </c>
    </row>
    <row r="508" spans="1:25" ht="13.5" hidden="1" thickBot="1" x14ac:dyDescent="0.25">
      <c r="A508" s="317" t="s">
        <v>147</v>
      </c>
      <c r="B508" s="895" t="s">
        <v>147</v>
      </c>
      <c r="C508" s="896"/>
      <c r="D508" s="957" t="s">
        <v>244</v>
      </c>
      <c r="E508" s="907">
        <f>GLOBAL_DER_FEV_2023!E508</f>
        <v>0</v>
      </c>
      <c r="F508" s="908">
        <f>GLOBAL_DER_FEV_2023!F508</f>
        <v>2.351</v>
      </c>
      <c r="G508" s="912">
        <f>GLOBAL_DER_FEV_2023!G508</f>
        <v>6.3006800000000007</v>
      </c>
      <c r="H508" s="901">
        <f>GLOBAL_DER_FEV_2023!H508</f>
        <v>0</v>
      </c>
      <c r="I508" s="901">
        <f>GLOBAL_DER_FEV_2023!I508</f>
        <v>0</v>
      </c>
      <c r="J508" s="902">
        <f>GLOBAL_DER_FEV_2023!J508</f>
        <v>0</v>
      </c>
      <c r="K508" s="903" t="s">
        <v>507</v>
      </c>
      <c r="L508" s="1003"/>
      <c r="M508" s="1157">
        <f t="shared" si="32"/>
        <v>0</v>
      </c>
      <c r="N508" s="893">
        <f t="shared" si="36"/>
        <v>0</v>
      </c>
      <c r="O508" s="905"/>
      <c r="P508" s="58" t="str">
        <f>IF(N504&gt;0,"xx",IF(N504&gt;0,"xy",""))</f>
        <v/>
      </c>
      <c r="Q508" s="317" t="str">
        <f t="shared" si="33"/>
        <v/>
      </c>
      <c r="R508" s="317" t="str">
        <f t="shared" si="34"/>
        <v/>
      </c>
      <c r="S508" s="317" t="str">
        <f t="shared" si="35"/>
        <v/>
      </c>
      <c r="T508" s="317" t="str">
        <f>GLOBAL_DER_FEV_2023!S508</f>
        <v/>
      </c>
      <c r="W508" s="582">
        <v>0</v>
      </c>
      <c r="X508" s="580"/>
      <c r="Y508" s="583">
        <f>IF(GLOBAL_DER_FEV_2023!W508=0,0,IF(GLOBAL_DER_FEV_2023!W508&gt;0,"c","b"))</f>
        <v>0</v>
      </c>
    </row>
    <row r="509" spans="1:25" ht="13.5" hidden="1" thickBot="1" x14ac:dyDescent="0.25">
      <c r="A509" s="317">
        <v>502605</v>
      </c>
      <c r="B509" s="895">
        <v>502605</v>
      </c>
      <c r="C509" s="896" t="s">
        <v>184</v>
      </c>
      <c r="D509" s="906" t="s">
        <v>1932</v>
      </c>
      <c r="E509" s="907">
        <f>GLOBAL_DER_FEV_2023!E509</f>
        <v>0</v>
      </c>
      <c r="F509" s="908">
        <f>GLOBAL_DER_FEV_2023!F509</f>
        <v>0</v>
      </c>
      <c r="G509" s="949">
        <f>GLOBAL_DER_FEV_2023!G509</f>
        <v>194.48190000000002</v>
      </c>
      <c r="H509" s="901">
        <f>GLOBAL_DER_FEV_2023!H509</f>
        <v>182.71</v>
      </c>
      <c r="I509" s="901">
        <f>GLOBAL_DER_FEV_2023!I509</f>
        <v>377.19190000000003</v>
      </c>
      <c r="J509" s="902">
        <f>GLOBAL_DER_FEV_2023!J509</f>
        <v>452.89</v>
      </c>
      <c r="K509" s="903" t="s">
        <v>10</v>
      </c>
      <c r="L509" s="1139"/>
      <c r="M509" s="1140">
        <f t="shared" si="32"/>
        <v>0</v>
      </c>
      <c r="N509" s="893">
        <f t="shared" si="36"/>
        <v>0</v>
      </c>
      <c r="O509" s="905"/>
      <c r="Q509" s="317" t="str">
        <f t="shared" si="33"/>
        <v/>
      </c>
      <c r="R509" s="317" t="str">
        <f t="shared" si="34"/>
        <v/>
      </c>
      <c r="S509" s="317" t="str">
        <f t="shared" si="35"/>
        <v/>
      </c>
      <c r="T509" s="317" t="str">
        <f>GLOBAL_DER_FEV_2023!S509</f>
        <v/>
      </c>
      <c r="W509" s="582">
        <v>0</v>
      </c>
      <c r="X509" s="580"/>
      <c r="Y509" s="583">
        <f>IF(GLOBAL_DER_FEV_2023!W509=0,0,IF(GLOBAL_DER_FEV_2023!W509&gt;0,"c","b"))</f>
        <v>0</v>
      </c>
    </row>
    <row r="510" spans="1:25" ht="13.5" hidden="1" thickBot="1" x14ac:dyDescent="0.25">
      <c r="A510" s="317" t="s">
        <v>147</v>
      </c>
      <c r="B510" s="895" t="s">
        <v>147</v>
      </c>
      <c r="C510" s="896"/>
      <c r="D510" s="957" t="s">
        <v>190</v>
      </c>
      <c r="E510" s="907">
        <f>GLOBAL_DER_FEV_2023!E510</f>
        <v>308</v>
      </c>
      <c r="F510" s="908">
        <f>GLOBAL_DER_FEV_2023!F510</f>
        <v>0.12</v>
      </c>
      <c r="G510" s="909">
        <f>GLOBAL_DER_FEV_2023!G510</f>
        <v>29.767199999999999</v>
      </c>
      <c r="H510" s="901">
        <f>GLOBAL_DER_FEV_2023!H510</f>
        <v>0</v>
      </c>
      <c r="I510" s="901">
        <f>GLOBAL_DER_FEV_2023!I510</f>
        <v>0</v>
      </c>
      <c r="J510" s="902">
        <f>GLOBAL_DER_FEV_2023!J510</f>
        <v>0</v>
      </c>
      <c r="K510" s="958" t="s">
        <v>507</v>
      </c>
      <c r="L510" s="959"/>
      <c r="M510" s="1157">
        <f t="shared" si="32"/>
        <v>0</v>
      </c>
      <c r="N510" s="893">
        <f t="shared" si="36"/>
        <v>0</v>
      </c>
      <c r="O510" s="905"/>
      <c r="P510" s="58" t="str">
        <f>IF(N509&gt;0,"xx",IF(N509&gt;0,"xy",""))</f>
        <v/>
      </c>
      <c r="Q510" s="317" t="str">
        <f t="shared" si="33"/>
        <v/>
      </c>
      <c r="R510" s="317" t="str">
        <f t="shared" si="34"/>
        <v/>
      </c>
      <c r="S510" s="317" t="str">
        <f t="shared" si="35"/>
        <v/>
      </c>
      <c r="T510" s="317" t="str">
        <f>GLOBAL_DER_FEV_2023!S510</f>
        <v/>
      </c>
      <c r="W510" s="582">
        <v>0</v>
      </c>
      <c r="X510" s="580"/>
      <c r="Y510" s="583">
        <f>IF(GLOBAL_DER_FEV_2023!W510=0,0,IF(GLOBAL_DER_FEV_2023!W510&gt;0,"c","b"))</f>
        <v>0</v>
      </c>
    </row>
    <row r="511" spans="1:25" ht="13.5" hidden="1" thickBot="1" x14ac:dyDescent="0.25">
      <c r="A511" s="317" t="s">
        <v>147</v>
      </c>
      <c r="B511" s="895" t="s">
        <v>147</v>
      </c>
      <c r="C511" s="896"/>
      <c r="D511" s="957" t="s">
        <v>229</v>
      </c>
      <c r="E511" s="907">
        <f>GLOBAL_DER_FEV_2023!E511</f>
        <v>165</v>
      </c>
      <c r="F511" s="908">
        <f>GLOBAL_DER_FEV_2023!F511</f>
        <v>0.87</v>
      </c>
      <c r="G511" s="949">
        <f>GLOBAL_DER_FEV_2023!G511</f>
        <v>155.93010000000001</v>
      </c>
      <c r="H511" s="901">
        <f>GLOBAL_DER_FEV_2023!H511</f>
        <v>0</v>
      </c>
      <c r="I511" s="901">
        <f>GLOBAL_DER_FEV_2023!I511</f>
        <v>0</v>
      </c>
      <c r="J511" s="902">
        <f>GLOBAL_DER_FEV_2023!J511</f>
        <v>0</v>
      </c>
      <c r="K511" s="958" t="s">
        <v>507</v>
      </c>
      <c r="L511" s="959"/>
      <c r="M511" s="1157">
        <f t="shared" si="32"/>
        <v>0</v>
      </c>
      <c r="N511" s="893">
        <f t="shared" si="36"/>
        <v>0</v>
      </c>
      <c r="O511" s="905"/>
      <c r="P511" s="58" t="str">
        <f>IF(N509&gt;0,"xx",IF(N509&gt;0,"xy",""))</f>
        <v/>
      </c>
      <c r="Q511" s="317" t="str">
        <f t="shared" si="33"/>
        <v/>
      </c>
      <c r="R511" s="317" t="str">
        <f t="shared" si="34"/>
        <v/>
      </c>
      <c r="S511" s="317" t="str">
        <f t="shared" si="35"/>
        <v/>
      </c>
      <c r="T511" s="317" t="str">
        <f>GLOBAL_DER_FEV_2023!S511</f>
        <v/>
      </c>
      <c r="W511" s="582">
        <v>0</v>
      </c>
      <c r="X511" s="580"/>
      <c r="Y511" s="583">
        <f>IF(GLOBAL_DER_FEV_2023!W511=0,0,IF(GLOBAL_DER_FEV_2023!W511&gt;0,"c","b"))</f>
        <v>0</v>
      </c>
    </row>
    <row r="512" spans="1:25" ht="13.5" hidden="1" thickBot="1" x14ac:dyDescent="0.25">
      <c r="A512" s="317" t="s">
        <v>147</v>
      </c>
      <c r="B512" s="895" t="s">
        <v>147</v>
      </c>
      <c r="C512" s="896"/>
      <c r="D512" s="957" t="s">
        <v>233</v>
      </c>
      <c r="E512" s="907">
        <f>GLOBAL_DER_FEV_2023!E512</f>
        <v>0.2</v>
      </c>
      <c r="F512" s="908">
        <f>GLOBAL_DER_FEV_2023!F512</f>
        <v>1.1000000000000001</v>
      </c>
      <c r="G512" s="949">
        <f>GLOBAL_DER_FEV_2023!G512</f>
        <v>3.1834000000000002</v>
      </c>
      <c r="H512" s="901">
        <f>GLOBAL_DER_FEV_2023!H512</f>
        <v>0</v>
      </c>
      <c r="I512" s="901">
        <f>GLOBAL_DER_FEV_2023!I512</f>
        <v>0</v>
      </c>
      <c r="J512" s="902">
        <f>GLOBAL_DER_FEV_2023!J512</f>
        <v>0</v>
      </c>
      <c r="K512" s="958" t="s">
        <v>507</v>
      </c>
      <c r="L512" s="959"/>
      <c r="M512" s="1157">
        <f t="shared" si="32"/>
        <v>0</v>
      </c>
      <c r="N512" s="893">
        <f t="shared" si="36"/>
        <v>0</v>
      </c>
      <c r="O512" s="905"/>
      <c r="P512" s="58" t="str">
        <f>IF(N509&gt;0,"xx",IF(N509&gt;0,"xy",""))</f>
        <v/>
      </c>
      <c r="Q512" s="317" t="str">
        <f t="shared" si="33"/>
        <v/>
      </c>
      <c r="R512" s="317" t="str">
        <f t="shared" si="34"/>
        <v/>
      </c>
      <c r="S512" s="317" t="str">
        <f t="shared" si="35"/>
        <v/>
      </c>
      <c r="T512" s="317" t="str">
        <f>GLOBAL_DER_FEV_2023!S512</f>
        <v/>
      </c>
      <c r="W512" s="582">
        <v>0</v>
      </c>
      <c r="X512" s="580"/>
      <c r="Y512" s="583">
        <f>IF(GLOBAL_DER_FEV_2023!W512=0,0,IF(GLOBAL_DER_FEV_2023!W512&gt;0,"c","b"))</f>
        <v>0</v>
      </c>
    </row>
    <row r="513" spans="1:25" ht="13.5" hidden="1" thickBot="1" x14ac:dyDescent="0.25">
      <c r="A513" s="317" t="s">
        <v>147</v>
      </c>
      <c r="B513" s="895" t="s">
        <v>147</v>
      </c>
      <c r="C513" s="896"/>
      <c r="D513" s="957" t="s">
        <v>244</v>
      </c>
      <c r="E513" s="907">
        <f>GLOBAL_DER_FEV_2023!E513</f>
        <v>0</v>
      </c>
      <c r="F513" s="908">
        <f>GLOBAL_DER_FEV_2023!F513</f>
        <v>2.09</v>
      </c>
      <c r="G513" s="912">
        <f>GLOBAL_DER_FEV_2023!G513</f>
        <v>5.6011999999999995</v>
      </c>
      <c r="H513" s="901">
        <f>GLOBAL_DER_FEV_2023!H513</f>
        <v>0</v>
      </c>
      <c r="I513" s="901">
        <f>GLOBAL_DER_FEV_2023!I513</f>
        <v>0</v>
      </c>
      <c r="J513" s="902">
        <f>GLOBAL_DER_FEV_2023!J513</f>
        <v>0</v>
      </c>
      <c r="K513" s="903" t="s">
        <v>507</v>
      </c>
      <c r="L513" s="1003"/>
      <c r="M513" s="1157">
        <f t="shared" si="32"/>
        <v>0</v>
      </c>
      <c r="N513" s="893">
        <f t="shared" si="36"/>
        <v>0</v>
      </c>
      <c r="O513" s="905"/>
      <c r="P513" s="58" t="str">
        <f>IF(N509&gt;0,"xx",IF(N509&gt;0,"xy",""))</f>
        <v/>
      </c>
      <c r="Q513" s="317" t="str">
        <f t="shared" si="33"/>
        <v/>
      </c>
      <c r="R513" s="317" t="str">
        <f t="shared" si="34"/>
        <v/>
      </c>
      <c r="S513" s="317" t="str">
        <f t="shared" si="35"/>
        <v/>
      </c>
      <c r="T513" s="317" t="str">
        <f>GLOBAL_DER_FEV_2023!S513</f>
        <v/>
      </c>
      <c r="W513" s="582">
        <v>0</v>
      </c>
      <c r="X513" s="580"/>
      <c r="Y513" s="583">
        <f>IF(GLOBAL_DER_FEV_2023!W513=0,0,IF(GLOBAL_DER_FEV_2023!W513&gt;0,"c","b"))</f>
        <v>0</v>
      </c>
    </row>
    <row r="514" spans="1:25" ht="13.5" hidden="1" thickBot="1" x14ac:dyDescent="0.25">
      <c r="A514" s="317">
        <v>505185</v>
      </c>
      <c r="B514" s="895">
        <v>505185</v>
      </c>
      <c r="C514" s="896" t="s">
        <v>184</v>
      </c>
      <c r="D514" s="906" t="s">
        <v>1933</v>
      </c>
      <c r="E514" s="907">
        <f>GLOBAL_DER_FEV_2023!E514</f>
        <v>0</v>
      </c>
      <c r="F514" s="908">
        <f>GLOBAL_DER_FEV_2023!F514</f>
        <v>0</v>
      </c>
      <c r="G514" s="949">
        <f>GLOBAL_DER_FEV_2023!G514</f>
        <v>296.94944000000004</v>
      </c>
      <c r="H514" s="901">
        <f>GLOBAL_DER_FEV_2023!H514</f>
        <v>238.23</v>
      </c>
      <c r="I514" s="901">
        <f>GLOBAL_DER_FEV_2023!I514</f>
        <v>535.17944</v>
      </c>
      <c r="J514" s="902">
        <f>GLOBAL_DER_FEV_2023!J514</f>
        <v>642.59</v>
      </c>
      <c r="K514" s="903" t="s">
        <v>10</v>
      </c>
      <c r="L514" s="1139"/>
      <c r="M514" s="1140">
        <f t="shared" si="32"/>
        <v>0</v>
      </c>
      <c r="N514" s="893">
        <f t="shared" si="36"/>
        <v>0</v>
      </c>
      <c r="O514" s="905"/>
      <c r="Q514" s="317" t="str">
        <f t="shared" si="33"/>
        <v/>
      </c>
      <c r="R514" s="317" t="str">
        <f t="shared" si="34"/>
        <v/>
      </c>
      <c r="S514" s="317" t="str">
        <f t="shared" si="35"/>
        <v/>
      </c>
      <c r="T514" s="317" t="str">
        <f>GLOBAL_DER_FEV_2023!S514</f>
        <v/>
      </c>
      <c r="W514" s="582">
        <v>0</v>
      </c>
      <c r="X514" s="580"/>
      <c r="Y514" s="583">
        <f>IF(GLOBAL_DER_FEV_2023!W514=0,0,IF(GLOBAL_DER_FEV_2023!W514&gt;0,"c","b"))</f>
        <v>0</v>
      </c>
    </row>
    <row r="515" spans="1:25" ht="13.5" hidden="1" thickBot="1" x14ac:dyDescent="0.25">
      <c r="A515" s="317" t="s">
        <v>147</v>
      </c>
      <c r="B515" s="895" t="s">
        <v>147</v>
      </c>
      <c r="C515" s="896"/>
      <c r="D515" s="957" t="s">
        <v>190</v>
      </c>
      <c r="E515" s="907">
        <f>GLOBAL_DER_FEV_2023!E515</f>
        <v>308</v>
      </c>
      <c r="F515" s="908">
        <f>GLOBAL_DER_FEV_2023!F515</f>
        <v>0.18</v>
      </c>
      <c r="G515" s="909">
        <f>GLOBAL_DER_FEV_2023!G515</f>
        <v>44.650799999999997</v>
      </c>
      <c r="H515" s="901">
        <f>GLOBAL_DER_FEV_2023!H515</f>
        <v>0</v>
      </c>
      <c r="I515" s="901">
        <f>GLOBAL_DER_FEV_2023!I515</f>
        <v>0</v>
      </c>
      <c r="J515" s="902">
        <f>GLOBAL_DER_FEV_2023!J515</f>
        <v>0</v>
      </c>
      <c r="K515" s="958" t="s">
        <v>507</v>
      </c>
      <c r="L515" s="959"/>
      <c r="M515" s="1157">
        <f t="shared" si="32"/>
        <v>0</v>
      </c>
      <c r="N515" s="893">
        <f t="shared" si="36"/>
        <v>0</v>
      </c>
      <c r="O515" s="905"/>
      <c r="P515" s="58" t="str">
        <f>IF(N514&gt;0,"xx",IF(N514&gt;0,"xy",""))</f>
        <v/>
      </c>
      <c r="Q515" s="317" t="str">
        <f t="shared" si="33"/>
        <v/>
      </c>
      <c r="R515" s="317" t="str">
        <f t="shared" si="34"/>
        <v/>
      </c>
      <c r="S515" s="317" t="str">
        <f t="shared" si="35"/>
        <v/>
      </c>
      <c r="T515" s="317" t="str">
        <f>GLOBAL_DER_FEV_2023!S515</f>
        <v/>
      </c>
      <c r="W515" s="582">
        <v>0</v>
      </c>
      <c r="X515" s="580"/>
      <c r="Y515" s="583">
        <f>IF(GLOBAL_DER_FEV_2023!W515=0,0,IF(GLOBAL_DER_FEV_2023!W515&gt;0,"c","b"))</f>
        <v>0</v>
      </c>
    </row>
    <row r="516" spans="1:25" ht="13.5" hidden="1" thickBot="1" x14ac:dyDescent="0.25">
      <c r="A516" s="317" t="s">
        <v>147</v>
      </c>
      <c r="B516" s="895" t="s">
        <v>147</v>
      </c>
      <c r="C516" s="896"/>
      <c r="D516" s="957" t="s">
        <v>229</v>
      </c>
      <c r="E516" s="907">
        <f>GLOBAL_DER_FEV_2023!E516</f>
        <v>165</v>
      </c>
      <c r="F516" s="908">
        <f>GLOBAL_DER_FEV_2023!F516</f>
        <v>1.06</v>
      </c>
      <c r="G516" s="949">
        <f>GLOBAL_DER_FEV_2023!G516</f>
        <v>189.98380000000003</v>
      </c>
      <c r="H516" s="901">
        <f>GLOBAL_DER_FEV_2023!H516</f>
        <v>0</v>
      </c>
      <c r="I516" s="901">
        <f>GLOBAL_DER_FEV_2023!I516</f>
        <v>0</v>
      </c>
      <c r="J516" s="902">
        <f>GLOBAL_DER_FEV_2023!J516</f>
        <v>0</v>
      </c>
      <c r="K516" s="958" t="s">
        <v>507</v>
      </c>
      <c r="L516" s="959"/>
      <c r="M516" s="1157">
        <f t="shared" si="32"/>
        <v>0</v>
      </c>
      <c r="N516" s="893">
        <f t="shared" si="36"/>
        <v>0</v>
      </c>
      <c r="O516" s="905"/>
      <c r="P516" s="58" t="str">
        <f>IF(N514&gt;0,"xx",IF(N514&gt;0,"xy",""))</f>
        <v/>
      </c>
      <c r="Q516" s="317" t="str">
        <f t="shared" si="33"/>
        <v/>
      </c>
      <c r="R516" s="317" t="str">
        <f t="shared" si="34"/>
        <v/>
      </c>
      <c r="S516" s="317" t="str">
        <f t="shared" si="35"/>
        <v/>
      </c>
      <c r="T516" s="317" t="str">
        <f>GLOBAL_DER_FEV_2023!S516</f>
        <v/>
      </c>
      <c r="W516" s="582">
        <v>0</v>
      </c>
      <c r="X516" s="580"/>
      <c r="Y516" s="583">
        <f>IF(GLOBAL_DER_FEV_2023!W516=0,0,IF(GLOBAL_DER_FEV_2023!W516&gt;0,"c","b"))</f>
        <v>0</v>
      </c>
    </row>
    <row r="517" spans="1:25" ht="13.5" hidden="1" thickBot="1" x14ac:dyDescent="0.25">
      <c r="A517" s="317" t="s">
        <v>147</v>
      </c>
      <c r="B517" s="895" t="s">
        <v>147</v>
      </c>
      <c r="C517" s="896"/>
      <c r="D517" s="957" t="s">
        <v>233</v>
      </c>
      <c r="E517" s="907">
        <f>GLOBAL_DER_FEV_2023!E517</f>
        <v>0.2</v>
      </c>
      <c r="F517" s="908">
        <f>GLOBAL_DER_FEV_2023!F517</f>
        <v>1.1100000000000001</v>
      </c>
      <c r="G517" s="949">
        <f>GLOBAL_DER_FEV_2023!G517</f>
        <v>3.2123400000000006</v>
      </c>
      <c r="H517" s="901">
        <f>GLOBAL_DER_FEV_2023!H517</f>
        <v>0</v>
      </c>
      <c r="I517" s="901">
        <f>GLOBAL_DER_FEV_2023!I517</f>
        <v>0</v>
      </c>
      <c r="J517" s="902">
        <f>GLOBAL_DER_FEV_2023!J517</f>
        <v>0</v>
      </c>
      <c r="K517" s="958" t="s">
        <v>507</v>
      </c>
      <c r="L517" s="959"/>
      <c r="M517" s="1157">
        <f t="shared" si="32"/>
        <v>0</v>
      </c>
      <c r="N517" s="893">
        <f t="shared" si="36"/>
        <v>0</v>
      </c>
      <c r="O517" s="905"/>
      <c r="P517" s="58" t="str">
        <f>IF(N514&gt;0,"xx",IF(N514&gt;0,"xy",""))</f>
        <v/>
      </c>
      <c r="Q517" s="317" t="str">
        <f t="shared" si="33"/>
        <v/>
      </c>
      <c r="R517" s="317" t="str">
        <f t="shared" si="34"/>
        <v/>
      </c>
      <c r="S517" s="317" t="str">
        <f t="shared" si="35"/>
        <v/>
      </c>
      <c r="T517" s="317" t="str">
        <f>GLOBAL_DER_FEV_2023!S517</f>
        <v/>
      </c>
      <c r="W517" s="582">
        <v>0</v>
      </c>
      <c r="X517" s="580"/>
      <c r="Y517" s="583">
        <f>IF(GLOBAL_DER_FEV_2023!W517=0,0,IF(GLOBAL_DER_FEV_2023!W517&gt;0,"c","b"))</f>
        <v>0</v>
      </c>
    </row>
    <row r="518" spans="1:25" ht="13.5" hidden="1" thickBot="1" x14ac:dyDescent="0.25">
      <c r="A518" s="317" t="s">
        <v>147</v>
      </c>
      <c r="B518" s="895" t="s">
        <v>147</v>
      </c>
      <c r="C518" s="896"/>
      <c r="D518" s="957" t="s">
        <v>244</v>
      </c>
      <c r="E518" s="907">
        <f>GLOBAL_DER_FEV_2023!E518</f>
        <v>21</v>
      </c>
      <c r="F518" s="908">
        <f>GLOBAL_DER_FEV_2023!F518</f>
        <v>2.35</v>
      </c>
      <c r="G518" s="949">
        <f>GLOBAL_DER_FEV_2023!G518</f>
        <v>59.102500000000006</v>
      </c>
      <c r="H518" s="901">
        <f>GLOBAL_DER_FEV_2023!H518</f>
        <v>0</v>
      </c>
      <c r="I518" s="901">
        <f>GLOBAL_DER_FEV_2023!I518</f>
        <v>0</v>
      </c>
      <c r="J518" s="902">
        <f>GLOBAL_DER_FEV_2023!J518</f>
        <v>0</v>
      </c>
      <c r="K518" s="903" t="s">
        <v>507</v>
      </c>
      <c r="L518" s="1003"/>
      <c r="M518" s="1157">
        <f t="shared" si="32"/>
        <v>0</v>
      </c>
      <c r="N518" s="893">
        <f t="shared" si="36"/>
        <v>0</v>
      </c>
      <c r="O518" s="905"/>
      <c r="P518" s="58" t="str">
        <f>IF(N514&gt;0,"xx",IF(N514&gt;0,"xy",""))</f>
        <v/>
      </c>
      <c r="Q518" s="317" t="str">
        <f t="shared" si="33"/>
        <v/>
      </c>
      <c r="R518" s="317" t="str">
        <f t="shared" si="34"/>
        <v/>
      </c>
      <c r="S518" s="317" t="str">
        <f t="shared" si="35"/>
        <v/>
      </c>
      <c r="T518" s="317" t="str">
        <f>GLOBAL_DER_FEV_2023!S518</f>
        <v/>
      </c>
      <c r="W518" s="582">
        <v>0</v>
      </c>
      <c r="X518" s="580"/>
      <c r="Y518" s="583">
        <f>IF(GLOBAL_DER_FEV_2023!W518=0,0,IF(GLOBAL_DER_FEV_2023!W518&gt;0,"c","b"))</f>
        <v>0</v>
      </c>
    </row>
    <row r="519" spans="1:25" ht="13.5" hidden="1" thickBot="1" x14ac:dyDescent="0.25">
      <c r="A519" s="317">
        <v>505415</v>
      </c>
      <c r="B519" s="895">
        <v>505415</v>
      </c>
      <c r="C519" s="896" t="s">
        <v>184</v>
      </c>
      <c r="D519" s="906" t="s">
        <v>1934</v>
      </c>
      <c r="E519" s="907">
        <f>GLOBAL_DER_FEV_2023!E519</f>
        <v>0</v>
      </c>
      <c r="F519" s="908">
        <f>GLOBAL_DER_FEV_2023!F519</f>
        <v>0</v>
      </c>
      <c r="G519" s="949">
        <f>GLOBAL_DER_FEV_2023!G519</f>
        <v>0</v>
      </c>
      <c r="H519" s="901">
        <f>GLOBAL_DER_FEV_2023!H519</f>
        <v>8.49</v>
      </c>
      <c r="I519" s="901">
        <f>GLOBAL_DER_FEV_2023!I519</f>
        <v>8.49</v>
      </c>
      <c r="J519" s="902">
        <f>GLOBAL_DER_FEV_2023!J519</f>
        <v>10.19</v>
      </c>
      <c r="K519" s="903" t="s">
        <v>12</v>
      </c>
      <c r="L519" s="1139"/>
      <c r="M519" s="1140">
        <f t="shared" si="32"/>
        <v>0</v>
      </c>
      <c r="N519" s="893">
        <f t="shared" si="36"/>
        <v>0</v>
      </c>
      <c r="O519" s="905"/>
      <c r="Q519" s="317" t="str">
        <f t="shared" si="33"/>
        <v/>
      </c>
      <c r="R519" s="317" t="str">
        <f t="shared" si="34"/>
        <v/>
      </c>
      <c r="S519" s="317" t="str">
        <f t="shared" si="35"/>
        <v/>
      </c>
      <c r="T519" s="317" t="str">
        <f>GLOBAL_DER_FEV_2023!S519</f>
        <v/>
      </c>
      <c r="W519" s="582">
        <v>0</v>
      </c>
      <c r="X519" s="580"/>
      <c r="Y519" s="583">
        <f>IF(GLOBAL_DER_FEV_2023!W519=0,0,IF(GLOBAL_DER_FEV_2023!W519&gt;0,"c","b"))</f>
        <v>0</v>
      </c>
    </row>
    <row r="520" spans="1:25" ht="13.5" hidden="1" thickBot="1" x14ac:dyDescent="0.25">
      <c r="A520" s="317">
        <v>505416</v>
      </c>
      <c r="B520" s="895">
        <v>505416</v>
      </c>
      <c r="C520" s="896" t="s">
        <v>184</v>
      </c>
      <c r="D520" s="906" t="s">
        <v>1935</v>
      </c>
      <c r="E520" s="907">
        <f>GLOBAL_DER_FEV_2023!E520</f>
        <v>0</v>
      </c>
      <c r="F520" s="908">
        <f>GLOBAL_DER_FEV_2023!F520</f>
        <v>0</v>
      </c>
      <c r="G520" s="949">
        <f>GLOBAL_DER_FEV_2023!G520</f>
        <v>0</v>
      </c>
      <c r="H520" s="901">
        <f>GLOBAL_DER_FEV_2023!H520</f>
        <v>10</v>
      </c>
      <c r="I520" s="901">
        <f>GLOBAL_DER_FEV_2023!I520</f>
        <v>10</v>
      </c>
      <c r="J520" s="902">
        <f>GLOBAL_DER_FEV_2023!J520</f>
        <v>12.01</v>
      </c>
      <c r="K520" s="903" t="s">
        <v>12</v>
      </c>
      <c r="L520" s="1139"/>
      <c r="M520" s="1140">
        <f t="shared" si="32"/>
        <v>0</v>
      </c>
      <c r="N520" s="893">
        <f t="shared" si="36"/>
        <v>0</v>
      </c>
      <c r="O520" s="905"/>
      <c r="Q520" s="317" t="str">
        <f t="shared" si="33"/>
        <v/>
      </c>
      <c r="R520" s="317" t="str">
        <f t="shared" si="34"/>
        <v/>
      </c>
      <c r="S520" s="317" t="str">
        <f t="shared" si="35"/>
        <v/>
      </c>
      <c r="T520" s="317" t="str">
        <f>GLOBAL_DER_FEV_2023!S520</f>
        <v/>
      </c>
      <c r="W520" s="582">
        <v>0</v>
      </c>
      <c r="X520" s="580"/>
      <c r="Y520" s="583">
        <f>IF(GLOBAL_DER_FEV_2023!W520=0,0,IF(GLOBAL_DER_FEV_2023!W520&gt;0,"c","b"))</f>
        <v>0</v>
      </c>
    </row>
    <row r="521" spans="1:25" ht="13.5" hidden="1" thickBot="1" x14ac:dyDescent="0.25">
      <c r="A521" s="317">
        <v>5111000</v>
      </c>
      <c r="B521" s="895">
        <v>5111000</v>
      </c>
      <c r="C521" s="896" t="s">
        <v>184</v>
      </c>
      <c r="D521" s="906" t="s">
        <v>1936</v>
      </c>
      <c r="E521" s="907">
        <f>GLOBAL_DER_FEV_2023!E521</f>
        <v>0</v>
      </c>
      <c r="F521" s="908">
        <f>GLOBAL_DER_FEV_2023!F521</f>
        <v>0</v>
      </c>
      <c r="G521" s="949">
        <f>GLOBAL_DER_FEV_2023!G521</f>
        <v>0</v>
      </c>
      <c r="H521" s="901">
        <f>GLOBAL_DER_FEV_2023!H521</f>
        <v>4.25</v>
      </c>
      <c r="I521" s="901">
        <f>GLOBAL_DER_FEV_2023!I521</f>
        <v>4.25</v>
      </c>
      <c r="J521" s="902">
        <f>GLOBAL_DER_FEV_2023!J521</f>
        <v>5.0999999999999996</v>
      </c>
      <c r="K521" s="903" t="s">
        <v>12</v>
      </c>
      <c r="L521" s="1139"/>
      <c r="M521" s="1140">
        <f t="shared" si="32"/>
        <v>0</v>
      </c>
      <c r="N521" s="893">
        <f t="shared" si="36"/>
        <v>0</v>
      </c>
      <c r="O521" s="905"/>
      <c r="Q521" s="317" t="str">
        <f t="shared" si="33"/>
        <v/>
      </c>
      <c r="R521" s="317" t="str">
        <f t="shared" si="34"/>
        <v/>
      </c>
      <c r="S521" s="317" t="str">
        <f t="shared" si="35"/>
        <v/>
      </c>
      <c r="T521" s="317" t="str">
        <f>GLOBAL_DER_FEV_2023!S521</f>
        <v/>
      </c>
      <c r="W521" s="582">
        <v>0</v>
      </c>
      <c r="X521" s="580"/>
      <c r="Y521" s="583">
        <f>IF(GLOBAL_DER_FEV_2023!W521=0,0,IF(GLOBAL_DER_FEV_2023!W521&gt;0,"c","b"))</f>
        <v>0</v>
      </c>
    </row>
    <row r="522" spans="1:25" ht="13.5" hidden="1" thickBot="1" x14ac:dyDescent="0.25">
      <c r="A522" s="317">
        <v>504840</v>
      </c>
      <c r="B522" s="895">
        <v>504840</v>
      </c>
      <c r="C522" s="896" t="s">
        <v>184</v>
      </c>
      <c r="D522" s="906" t="s">
        <v>1937</v>
      </c>
      <c r="E522" s="907">
        <f>GLOBAL_DER_FEV_2023!E522</f>
        <v>0</v>
      </c>
      <c r="F522" s="908">
        <f>GLOBAL_DER_FEV_2023!F522</f>
        <v>0</v>
      </c>
      <c r="G522" s="949">
        <f>GLOBAL_DER_FEV_2023!G522</f>
        <v>0</v>
      </c>
      <c r="H522" s="901">
        <f>GLOBAL_DER_FEV_2023!H522</f>
        <v>41.95</v>
      </c>
      <c r="I522" s="901">
        <f>GLOBAL_DER_FEV_2023!I522</f>
        <v>41.95</v>
      </c>
      <c r="J522" s="902">
        <f>GLOBAL_DER_FEV_2023!J522</f>
        <v>50.37</v>
      </c>
      <c r="K522" s="903" t="s">
        <v>16</v>
      </c>
      <c r="L522" s="1139"/>
      <c r="M522" s="1140">
        <f t="shared" si="32"/>
        <v>0</v>
      </c>
      <c r="N522" s="893">
        <f t="shared" si="36"/>
        <v>0</v>
      </c>
      <c r="O522" s="905"/>
      <c r="Q522" s="317" t="str">
        <f t="shared" si="33"/>
        <v/>
      </c>
      <c r="R522" s="317" t="str">
        <f t="shared" si="34"/>
        <v/>
      </c>
      <c r="S522" s="317" t="str">
        <f t="shared" si="35"/>
        <v/>
      </c>
      <c r="T522" s="317" t="str">
        <f>GLOBAL_DER_FEV_2023!S522</f>
        <v/>
      </c>
      <c r="W522" s="582">
        <v>0</v>
      </c>
      <c r="X522" s="580"/>
      <c r="Y522" s="583">
        <f>IF(GLOBAL_DER_FEV_2023!W522=0,0,IF(GLOBAL_DER_FEV_2023!W522&gt;0,"c","b"))</f>
        <v>0</v>
      </c>
    </row>
    <row r="523" spans="1:25" ht="13.5" hidden="1" thickBot="1" x14ac:dyDescent="0.25">
      <c r="A523" s="317">
        <v>503110</v>
      </c>
      <c r="B523" s="895">
        <v>503110</v>
      </c>
      <c r="C523" s="896" t="s">
        <v>184</v>
      </c>
      <c r="D523" s="906" t="s">
        <v>1938</v>
      </c>
      <c r="E523" s="907">
        <f>GLOBAL_DER_FEV_2023!E523</f>
        <v>0</v>
      </c>
      <c r="F523" s="908">
        <f>GLOBAL_DER_FEV_2023!F523</f>
        <v>0</v>
      </c>
      <c r="G523" s="949">
        <f>GLOBAL_DER_FEV_2023!G523</f>
        <v>0</v>
      </c>
      <c r="H523" s="901">
        <f>GLOBAL_DER_FEV_2023!H523</f>
        <v>3.61</v>
      </c>
      <c r="I523" s="901">
        <f>GLOBAL_DER_FEV_2023!I523</f>
        <v>3.61</v>
      </c>
      <c r="J523" s="902">
        <f>GLOBAL_DER_FEV_2023!J523</f>
        <v>4.33</v>
      </c>
      <c r="K523" s="903" t="s">
        <v>12</v>
      </c>
      <c r="L523" s="1139"/>
      <c r="M523" s="1140">
        <f t="shared" si="32"/>
        <v>0</v>
      </c>
      <c r="N523" s="893">
        <f t="shared" si="36"/>
        <v>0</v>
      </c>
      <c r="O523" s="905"/>
      <c r="Q523" s="317" t="str">
        <f t="shared" si="33"/>
        <v/>
      </c>
      <c r="R523" s="317" t="str">
        <f t="shared" si="34"/>
        <v/>
      </c>
      <c r="S523" s="317" t="str">
        <f t="shared" si="35"/>
        <v/>
      </c>
      <c r="T523" s="317" t="str">
        <f>GLOBAL_DER_FEV_2023!S523</f>
        <v/>
      </c>
      <c r="W523" s="582">
        <v>0</v>
      </c>
      <c r="X523" s="580"/>
      <c r="Y523" s="583">
        <f>IF(GLOBAL_DER_FEV_2023!W523=0,0,IF(GLOBAL_DER_FEV_2023!W523&gt;0,"c","b"))</f>
        <v>0</v>
      </c>
    </row>
    <row r="524" spans="1:25" ht="13.5" hidden="1" thickBot="1" x14ac:dyDescent="0.25">
      <c r="A524" s="317">
        <v>507215</v>
      </c>
      <c r="B524" s="895">
        <v>507215</v>
      </c>
      <c r="C524" s="896" t="s">
        <v>184</v>
      </c>
      <c r="D524" s="906" t="s">
        <v>1939</v>
      </c>
      <c r="E524" s="907">
        <f>GLOBAL_DER_FEV_2023!E524</f>
        <v>0</v>
      </c>
      <c r="F524" s="908">
        <f>GLOBAL_DER_FEV_2023!F524</f>
        <v>0</v>
      </c>
      <c r="G524" s="949">
        <f>GLOBAL_DER_FEV_2023!G524</f>
        <v>0</v>
      </c>
      <c r="H524" s="901">
        <f>GLOBAL_DER_FEV_2023!H524</f>
        <v>7.84</v>
      </c>
      <c r="I524" s="901">
        <f>GLOBAL_DER_FEV_2023!I524</f>
        <v>7.84</v>
      </c>
      <c r="J524" s="902">
        <f>GLOBAL_DER_FEV_2023!J524</f>
        <v>9.41</v>
      </c>
      <c r="K524" s="903" t="s">
        <v>16</v>
      </c>
      <c r="L524" s="1139"/>
      <c r="M524" s="1140">
        <f t="shared" si="32"/>
        <v>0</v>
      </c>
      <c r="N524" s="893">
        <f t="shared" si="36"/>
        <v>0</v>
      </c>
      <c r="O524" s="905"/>
      <c r="Q524" s="317" t="str">
        <f t="shared" si="33"/>
        <v/>
      </c>
      <c r="R524" s="317" t="str">
        <f t="shared" si="34"/>
        <v/>
      </c>
      <c r="S524" s="317" t="str">
        <f t="shared" si="35"/>
        <v/>
      </c>
      <c r="T524" s="317" t="str">
        <f>GLOBAL_DER_FEV_2023!S524</f>
        <v/>
      </c>
      <c r="W524" s="582">
        <v>0</v>
      </c>
      <c r="X524" s="580"/>
      <c r="Y524" s="583">
        <f>IF(GLOBAL_DER_FEV_2023!W524=0,0,IF(GLOBAL_DER_FEV_2023!W524&gt;0,"c","b"))</f>
        <v>0</v>
      </c>
    </row>
    <row r="525" spans="1:25" ht="13.5" hidden="1" thickBot="1" x14ac:dyDescent="0.25">
      <c r="A525" s="317">
        <v>507210</v>
      </c>
      <c r="B525" s="895">
        <v>507210</v>
      </c>
      <c r="C525" s="896" t="s">
        <v>184</v>
      </c>
      <c r="D525" s="906" t="s">
        <v>1940</v>
      </c>
      <c r="E525" s="907">
        <f>GLOBAL_DER_FEV_2023!E525</f>
        <v>0</v>
      </c>
      <c r="F525" s="908">
        <f>GLOBAL_DER_FEV_2023!F525</f>
        <v>0</v>
      </c>
      <c r="G525" s="949">
        <f>GLOBAL_DER_FEV_2023!G525</f>
        <v>0</v>
      </c>
      <c r="H525" s="901">
        <f>GLOBAL_DER_FEV_2023!H525</f>
        <v>8.4</v>
      </c>
      <c r="I525" s="901">
        <f>GLOBAL_DER_FEV_2023!I525</f>
        <v>8.4</v>
      </c>
      <c r="J525" s="902">
        <f>GLOBAL_DER_FEV_2023!J525</f>
        <v>10.09</v>
      </c>
      <c r="K525" s="903" t="s">
        <v>16</v>
      </c>
      <c r="L525" s="1139"/>
      <c r="M525" s="1140">
        <f t="shared" ref="M525:M588" si="37">IF(L525=0,0,ROUND(J525,2))</f>
        <v>0</v>
      </c>
      <c r="N525" s="893">
        <f t="shared" si="36"/>
        <v>0</v>
      </c>
      <c r="O525" s="905"/>
      <c r="Q525" s="317" t="str">
        <f t="shared" si="33"/>
        <v/>
      </c>
      <c r="R525" s="317" t="str">
        <f t="shared" si="34"/>
        <v/>
      </c>
      <c r="S525" s="317" t="str">
        <f t="shared" si="35"/>
        <v/>
      </c>
      <c r="T525" s="317" t="str">
        <f>GLOBAL_DER_FEV_2023!S525</f>
        <v/>
      </c>
      <c r="W525" s="582">
        <v>0</v>
      </c>
      <c r="X525" s="580"/>
      <c r="Y525" s="583">
        <f>IF(GLOBAL_DER_FEV_2023!W525=0,0,IF(GLOBAL_DER_FEV_2023!W525&gt;0,"c","b"))</f>
        <v>0</v>
      </c>
    </row>
    <row r="526" spans="1:25" ht="13.5" hidden="1" thickBot="1" x14ac:dyDescent="0.25">
      <c r="A526" s="317">
        <v>507220</v>
      </c>
      <c r="B526" s="895">
        <v>507220</v>
      </c>
      <c r="C526" s="896" t="s">
        <v>184</v>
      </c>
      <c r="D526" s="906" t="s">
        <v>1941</v>
      </c>
      <c r="E526" s="907">
        <f>GLOBAL_DER_FEV_2023!E526</f>
        <v>0</v>
      </c>
      <c r="F526" s="908">
        <f>GLOBAL_DER_FEV_2023!F526</f>
        <v>0</v>
      </c>
      <c r="G526" s="949">
        <f>GLOBAL_DER_FEV_2023!G526</f>
        <v>0</v>
      </c>
      <c r="H526" s="901">
        <f>GLOBAL_DER_FEV_2023!H526</f>
        <v>7.48</v>
      </c>
      <c r="I526" s="901">
        <f>GLOBAL_DER_FEV_2023!I526</f>
        <v>7.48</v>
      </c>
      <c r="J526" s="902">
        <f>GLOBAL_DER_FEV_2023!J526</f>
        <v>8.98</v>
      </c>
      <c r="K526" s="903" t="s">
        <v>16</v>
      </c>
      <c r="L526" s="1139"/>
      <c r="M526" s="1140">
        <f t="shared" si="37"/>
        <v>0</v>
      </c>
      <c r="N526" s="893">
        <f t="shared" si="36"/>
        <v>0</v>
      </c>
      <c r="O526" s="905"/>
      <c r="Q526" s="317" t="str">
        <f t="shared" si="33"/>
        <v/>
      </c>
      <c r="R526" s="317" t="str">
        <f t="shared" si="34"/>
        <v/>
      </c>
      <c r="S526" s="317" t="str">
        <f t="shared" si="35"/>
        <v/>
      </c>
      <c r="T526" s="317" t="str">
        <f>GLOBAL_DER_FEV_2023!S526</f>
        <v/>
      </c>
      <c r="W526" s="582">
        <v>0</v>
      </c>
      <c r="X526" s="580"/>
      <c r="Y526" s="583">
        <f>IF(GLOBAL_DER_FEV_2023!W526=0,0,IF(GLOBAL_DER_FEV_2023!W526&gt;0,"c","b"))</f>
        <v>0</v>
      </c>
    </row>
    <row r="527" spans="1:25" ht="13.5" hidden="1" thickBot="1" x14ac:dyDescent="0.25">
      <c r="A527" s="317">
        <v>507225</v>
      </c>
      <c r="B527" s="895">
        <v>507225</v>
      </c>
      <c r="C527" s="896" t="s">
        <v>184</v>
      </c>
      <c r="D527" s="906" t="s">
        <v>1942</v>
      </c>
      <c r="E527" s="907">
        <f>GLOBAL_DER_FEV_2023!E527</f>
        <v>0</v>
      </c>
      <c r="F527" s="908">
        <f>GLOBAL_DER_FEV_2023!F527</f>
        <v>0</v>
      </c>
      <c r="G527" s="949">
        <f>GLOBAL_DER_FEV_2023!G527</f>
        <v>0</v>
      </c>
      <c r="H527" s="901">
        <f>GLOBAL_DER_FEV_2023!H527</f>
        <v>7.48</v>
      </c>
      <c r="I527" s="901">
        <f>GLOBAL_DER_FEV_2023!I527</f>
        <v>7.48</v>
      </c>
      <c r="J527" s="902">
        <f>GLOBAL_DER_FEV_2023!J527</f>
        <v>8.98</v>
      </c>
      <c r="K527" s="903" t="s">
        <v>16</v>
      </c>
      <c r="L527" s="1139"/>
      <c r="M527" s="1140">
        <f t="shared" si="37"/>
        <v>0</v>
      </c>
      <c r="N527" s="893">
        <f t="shared" si="36"/>
        <v>0</v>
      </c>
      <c r="O527" s="905"/>
      <c r="Q527" s="317" t="str">
        <f t="shared" ref="Q527:Q590" si="38">IF(P527="X","x",IF(P527="xx","x",IF(P527="xy","x",IF(P527="y","x",IF(OR(N527&gt;0,N527&gt;0),"x","")))))</f>
        <v/>
      </c>
      <c r="R527" s="317" t="str">
        <f t="shared" si="34"/>
        <v/>
      </c>
      <c r="S527" s="317" t="str">
        <f t="shared" si="35"/>
        <v/>
      </c>
      <c r="T527" s="317" t="str">
        <f>GLOBAL_DER_FEV_2023!S527</f>
        <v/>
      </c>
      <c r="W527" s="582">
        <v>0</v>
      </c>
      <c r="X527" s="580"/>
      <c r="Y527" s="583">
        <f>IF(GLOBAL_DER_FEV_2023!W527=0,0,IF(GLOBAL_DER_FEV_2023!W527&gt;0,"c","b"))</f>
        <v>0</v>
      </c>
    </row>
    <row r="528" spans="1:25" ht="13.5" hidden="1" thickBot="1" x14ac:dyDescent="0.25">
      <c r="A528" s="317">
        <v>507232</v>
      </c>
      <c r="B528" s="895">
        <v>507232</v>
      </c>
      <c r="C528" s="896" t="s">
        <v>184</v>
      </c>
      <c r="D528" s="906" t="s">
        <v>1943</v>
      </c>
      <c r="E528" s="907">
        <f>GLOBAL_DER_FEV_2023!E528</f>
        <v>0</v>
      </c>
      <c r="F528" s="908">
        <f>GLOBAL_DER_FEV_2023!F528</f>
        <v>0</v>
      </c>
      <c r="G528" s="949">
        <f>GLOBAL_DER_FEV_2023!G528</f>
        <v>0</v>
      </c>
      <c r="H528" s="901">
        <f>GLOBAL_DER_FEV_2023!H528</f>
        <v>8.3000000000000007</v>
      </c>
      <c r="I528" s="901">
        <f>GLOBAL_DER_FEV_2023!I528</f>
        <v>8.3000000000000007</v>
      </c>
      <c r="J528" s="902">
        <f>GLOBAL_DER_FEV_2023!J528</f>
        <v>9.9700000000000006</v>
      </c>
      <c r="K528" s="903" t="s">
        <v>16</v>
      </c>
      <c r="L528" s="1139"/>
      <c r="M528" s="1140">
        <f t="shared" si="37"/>
        <v>0</v>
      </c>
      <c r="N528" s="893">
        <f t="shared" si="36"/>
        <v>0</v>
      </c>
      <c r="O528" s="905"/>
      <c r="Q528" s="317" t="str">
        <f t="shared" si="38"/>
        <v/>
      </c>
      <c r="R528" s="317" t="str">
        <f t="shared" si="34"/>
        <v/>
      </c>
      <c r="S528" s="317" t="str">
        <f t="shared" si="35"/>
        <v/>
      </c>
      <c r="T528" s="317" t="str">
        <f>GLOBAL_DER_FEV_2023!S528</f>
        <v/>
      </c>
      <c r="W528" s="582">
        <v>0</v>
      </c>
      <c r="X528" s="580"/>
      <c r="Y528" s="583">
        <f>IF(GLOBAL_DER_FEV_2023!W528=0,0,IF(GLOBAL_DER_FEV_2023!W528&gt;0,"c","b"))</f>
        <v>0</v>
      </c>
    </row>
    <row r="529" spans="1:25" ht="13.5" hidden="1" thickBot="1" x14ac:dyDescent="0.25">
      <c r="A529" s="317">
        <v>504920</v>
      </c>
      <c r="B529" s="895">
        <v>504920</v>
      </c>
      <c r="C529" s="896" t="s">
        <v>184</v>
      </c>
      <c r="D529" s="906" t="s">
        <v>1944</v>
      </c>
      <c r="E529" s="907">
        <f>GLOBAL_DER_FEV_2023!E529</f>
        <v>20</v>
      </c>
      <c r="F529" s="908">
        <f>GLOBAL_DER_FEV_2023!F529</f>
        <v>1.1000000000000001E-3</v>
      </c>
      <c r="G529" s="909">
        <f>GLOBAL_DER_FEV_2023!G529</f>
        <v>2.5762000000000004E-2</v>
      </c>
      <c r="H529" s="901">
        <f>GLOBAL_DER_FEV_2023!H529</f>
        <v>11.4</v>
      </c>
      <c r="I529" s="901">
        <f>GLOBAL_DER_FEV_2023!I529</f>
        <v>11.425762000000001</v>
      </c>
      <c r="J529" s="902">
        <f>GLOBAL_DER_FEV_2023!J529</f>
        <v>13.72</v>
      </c>
      <c r="K529" s="903" t="s">
        <v>16</v>
      </c>
      <c r="L529" s="1139"/>
      <c r="M529" s="1140">
        <f t="shared" si="37"/>
        <v>0</v>
      </c>
      <c r="N529" s="893">
        <f t="shared" si="36"/>
        <v>0</v>
      </c>
      <c r="O529" s="905"/>
      <c r="Q529" s="317" t="str">
        <f t="shared" si="38"/>
        <v/>
      </c>
      <c r="R529" s="317" t="str">
        <f t="shared" ref="R529:R592" si="39">IF(P529="X","x",IF(P529="y","x",IF(P529="xx","x",IF(N529&gt;0,"x",""))))</f>
        <v/>
      </c>
      <c r="S529" s="317" t="str">
        <f t="shared" ref="S529:S592" si="40">IF(P529="X","x",IF(N529&gt;0,"x",""))</f>
        <v/>
      </c>
      <c r="T529" s="317" t="str">
        <f>GLOBAL_DER_FEV_2023!S529</f>
        <v/>
      </c>
      <c r="W529" s="582">
        <v>0</v>
      </c>
      <c r="X529" s="580"/>
      <c r="Y529" s="583">
        <f>IF(GLOBAL_DER_FEV_2023!W529=0,0,IF(GLOBAL_DER_FEV_2023!W529&gt;0,"c","b"))</f>
        <v>0</v>
      </c>
    </row>
    <row r="530" spans="1:25" ht="13.5" hidden="1" thickBot="1" x14ac:dyDescent="0.25">
      <c r="A530" s="317">
        <v>502660</v>
      </c>
      <c r="B530" s="895">
        <v>502660</v>
      </c>
      <c r="C530" s="896" t="s">
        <v>184</v>
      </c>
      <c r="D530" s="906" t="s">
        <v>1945</v>
      </c>
      <c r="E530" s="907">
        <f>GLOBAL_DER_FEV_2023!E530</f>
        <v>0</v>
      </c>
      <c r="F530" s="908">
        <f>GLOBAL_DER_FEV_2023!F530</f>
        <v>0</v>
      </c>
      <c r="G530" s="949">
        <f>GLOBAL_DER_FEV_2023!G530</f>
        <v>0</v>
      </c>
      <c r="H530" s="901">
        <f>GLOBAL_DER_FEV_2023!H530</f>
        <v>15.77</v>
      </c>
      <c r="I530" s="901">
        <f>GLOBAL_DER_FEV_2023!I530</f>
        <v>15.77</v>
      </c>
      <c r="J530" s="902">
        <f>GLOBAL_DER_FEV_2023!J530</f>
        <v>18.940000000000001</v>
      </c>
      <c r="K530" s="903" t="s">
        <v>13</v>
      </c>
      <c r="L530" s="1139"/>
      <c r="M530" s="1140">
        <f t="shared" si="37"/>
        <v>0</v>
      </c>
      <c r="N530" s="893">
        <f t="shared" si="36"/>
        <v>0</v>
      </c>
      <c r="O530" s="905"/>
      <c r="Q530" s="317" t="str">
        <f t="shared" si="38"/>
        <v/>
      </c>
      <c r="R530" s="317" t="str">
        <f t="shared" si="39"/>
        <v/>
      </c>
      <c r="S530" s="317" t="str">
        <f t="shared" si="40"/>
        <v/>
      </c>
      <c r="T530" s="317" t="str">
        <f>GLOBAL_DER_FEV_2023!S530</f>
        <v/>
      </c>
      <c r="W530" s="582">
        <v>0</v>
      </c>
      <c r="X530" s="580"/>
      <c r="Y530" s="583">
        <f>IF(GLOBAL_DER_FEV_2023!W530=0,0,IF(GLOBAL_DER_FEV_2023!W530&gt;0,"c","b"))</f>
        <v>0</v>
      </c>
    </row>
    <row r="531" spans="1:25" ht="13.5" hidden="1" thickBot="1" x14ac:dyDescent="0.25">
      <c r="A531" s="317">
        <v>502680</v>
      </c>
      <c r="B531" s="895">
        <v>502680</v>
      </c>
      <c r="C531" s="896" t="s">
        <v>184</v>
      </c>
      <c r="D531" s="906" t="s">
        <v>1946</v>
      </c>
      <c r="E531" s="907">
        <f>GLOBAL_DER_FEV_2023!E531</f>
        <v>0</v>
      </c>
      <c r="F531" s="908">
        <f>GLOBAL_DER_FEV_2023!F531</f>
        <v>0</v>
      </c>
      <c r="G531" s="949">
        <f>GLOBAL_DER_FEV_2023!G531</f>
        <v>0</v>
      </c>
      <c r="H531" s="901">
        <f>GLOBAL_DER_FEV_2023!H531</f>
        <v>14.93</v>
      </c>
      <c r="I531" s="901">
        <f>GLOBAL_DER_FEV_2023!I531</f>
        <v>14.93</v>
      </c>
      <c r="J531" s="902">
        <f>GLOBAL_DER_FEV_2023!J531</f>
        <v>17.93</v>
      </c>
      <c r="K531" s="903" t="s">
        <v>13</v>
      </c>
      <c r="L531" s="1139"/>
      <c r="M531" s="1140">
        <f t="shared" si="37"/>
        <v>0</v>
      </c>
      <c r="N531" s="893">
        <f t="shared" si="36"/>
        <v>0</v>
      </c>
      <c r="O531" s="905"/>
      <c r="Q531" s="317" t="str">
        <f t="shared" si="38"/>
        <v/>
      </c>
      <c r="R531" s="317" t="str">
        <f t="shared" si="39"/>
        <v/>
      </c>
      <c r="S531" s="317" t="str">
        <f t="shared" si="40"/>
        <v/>
      </c>
      <c r="T531" s="317" t="str">
        <f>GLOBAL_DER_FEV_2023!S531</f>
        <v/>
      </c>
      <c r="W531" s="582">
        <v>0</v>
      </c>
      <c r="X531" s="580"/>
      <c r="Y531" s="583">
        <f>IF(GLOBAL_DER_FEV_2023!W531=0,0,IF(GLOBAL_DER_FEV_2023!W531&gt;0,"c","b"))</f>
        <v>0</v>
      </c>
    </row>
    <row r="532" spans="1:25" ht="13.5" hidden="1" thickBot="1" x14ac:dyDescent="0.25">
      <c r="A532" s="317">
        <v>502670</v>
      </c>
      <c r="B532" s="895">
        <v>502670</v>
      </c>
      <c r="C532" s="896" t="s">
        <v>184</v>
      </c>
      <c r="D532" s="906" t="s">
        <v>1947</v>
      </c>
      <c r="E532" s="907">
        <f>GLOBAL_DER_FEV_2023!E532</f>
        <v>0</v>
      </c>
      <c r="F532" s="908">
        <f>GLOBAL_DER_FEV_2023!F532</f>
        <v>0</v>
      </c>
      <c r="G532" s="912">
        <f>GLOBAL_DER_FEV_2023!G532</f>
        <v>0</v>
      </c>
      <c r="H532" s="901">
        <f>GLOBAL_DER_FEV_2023!H532</f>
        <v>19.57</v>
      </c>
      <c r="I532" s="901">
        <f>GLOBAL_DER_FEV_2023!I532</f>
        <v>19.57</v>
      </c>
      <c r="J532" s="902">
        <f>GLOBAL_DER_FEV_2023!J532</f>
        <v>23.5</v>
      </c>
      <c r="K532" s="903" t="s">
        <v>13</v>
      </c>
      <c r="L532" s="1139"/>
      <c r="M532" s="1140">
        <f t="shared" si="37"/>
        <v>0</v>
      </c>
      <c r="N532" s="893">
        <f t="shared" si="36"/>
        <v>0</v>
      </c>
      <c r="O532" s="905"/>
      <c r="Q532" s="317" t="str">
        <f t="shared" si="38"/>
        <v/>
      </c>
      <c r="R532" s="317" t="str">
        <f t="shared" si="39"/>
        <v/>
      </c>
      <c r="S532" s="317" t="str">
        <f t="shared" si="40"/>
        <v/>
      </c>
      <c r="T532" s="317" t="str">
        <f>GLOBAL_DER_FEV_2023!S532</f>
        <v/>
      </c>
      <c r="W532" s="582">
        <v>0</v>
      </c>
      <c r="X532" s="580"/>
      <c r="Y532" s="583">
        <f>IF(GLOBAL_DER_FEV_2023!W532=0,0,IF(GLOBAL_DER_FEV_2023!W532&gt;0,"c","b"))</f>
        <v>0</v>
      </c>
    </row>
    <row r="533" spans="1:25" ht="23.25" hidden="1" thickBot="1" x14ac:dyDescent="0.25">
      <c r="A533" s="317">
        <v>502645</v>
      </c>
      <c r="B533" s="895">
        <v>502645</v>
      </c>
      <c r="C533" s="896" t="s">
        <v>184</v>
      </c>
      <c r="D533" s="906" t="s">
        <v>1948</v>
      </c>
      <c r="E533" s="907">
        <f>GLOBAL_DER_FEV_2023!E533</f>
        <v>0</v>
      </c>
      <c r="F533" s="908">
        <f>GLOBAL_DER_FEV_2023!F533</f>
        <v>0</v>
      </c>
      <c r="G533" s="949">
        <f>GLOBAL_DER_FEV_2023!G533</f>
        <v>278.28509400000002</v>
      </c>
      <c r="H533" s="901">
        <f>GLOBAL_DER_FEV_2023!H533</f>
        <v>322.94</v>
      </c>
      <c r="I533" s="901">
        <f>GLOBAL_DER_FEV_2023!I533</f>
        <v>601.22509400000001</v>
      </c>
      <c r="J533" s="902">
        <f>GLOBAL_DER_FEV_2023!J533</f>
        <v>721.89</v>
      </c>
      <c r="K533" s="903" t="s">
        <v>10</v>
      </c>
      <c r="L533" s="1139"/>
      <c r="M533" s="1140">
        <f t="shared" si="37"/>
        <v>0</v>
      </c>
      <c r="N533" s="893">
        <f t="shared" ref="N533:N596" si="41">IF(ISBLANK(L533),0,IF(W533=0,ROUND(L533*M533,2),IF(W533="b",ROUNDDOWN(L533*M533,2),ROUNDUP(L533*M533,2))))</f>
        <v>0</v>
      </c>
      <c r="O533" s="905"/>
      <c r="Q533" s="317" t="str">
        <f t="shared" si="38"/>
        <v/>
      </c>
      <c r="R533" s="317" t="str">
        <f t="shared" si="39"/>
        <v/>
      </c>
      <c r="S533" s="317" t="str">
        <f t="shared" si="40"/>
        <v/>
      </c>
      <c r="T533" s="317" t="str">
        <f>GLOBAL_DER_FEV_2023!S533</f>
        <v/>
      </c>
      <c r="W533" s="582">
        <v>0</v>
      </c>
      <c r="X533" s="580"/>
      <c r="Y533" s="583">
        <f>IF(GLOBAL_DER_FEV_2023!W533=0,0,IF(GLOBAL_DER_FEV_2023!W533&gt;0,"c","b"))</f>
        <v>0</v>
      </c>
    </row>
    <row r="534" spans="1:25" ht="13.5" hidden="1" thickBot="1" x14ac:dyDescent="0.25">
      <c r="A534" s="317" t="s">
        <v>147</v>
      </c>
      <c r="B534" s="895" t="s">
        <v>147</v>
      </c>
      <c r="C534" s="896"/>
      <c r="D534" s="957" t="s">
        <v>190</v>
      </c>
      <c r="E534" s="907">
        <f>GLOBAL_DER_FEV_2023!E534</f>
        <v>308</v>
      </c>
      <c r="F534" s="908">
        <f>GLOBAL_DER_FEV_2023!F534</f>
        <v>0.38</v>
      </c>
      <c r="G534" s="909">
        <f>GLOBAL_DER_FEV_2023!G534</f>
        <v>94.262799999999999</v>
      </c>
      <c r="H534" s="901">
        <f>GLOBAL_DER_FEV_2023!H534</f>
        <v>0</v>
      </c>
      <c r="I534" s="901">
        <f>GLOBAL_DER_FEV_2023!I534</f>
        <v>0</v>
      </c>
      <c r="J534" s="902">
        <f>GLOBAL_DER_FEV_2023!J534</f>
        <v>0</v>
      </c>
      <c r="K534" s="958"/>
      <c r="L534" s="959"/>
      <c r="M534" s="1157">
        <f t="shared" si="37"/>
        <v>0</v>
      </c>
      <c r="N534" s="893">
        <f t="shared" si="41"/>
        <v>0</v>
      </c>
      <c r="O534" s="905"/>
      <c r="P534" s="58" t="str">
        <f>IF(N533&gt;0,"xx",IF(N533&gt;0,"xy",""))</f>
        <v/>
      </c>
      <c r="Q534" s="317" t="str">
        <f t="shared" si="38"/>
        <v/>
      </c>
      <c r="R534" s="317" t="str">
        <f t="shared" si="39"/>
        <v/>
      </c>
      <c r="S534" s="317" t="str">
        <f t="shared" si="40"/>
        <v/>
      </c>
      <c r="T534" s="317" t="str">
        <f>GLOBAL_DER_FEV_2023!S534</f>
        <v/>
      </c>
      <c r="W534" s="582">
        <v>0</v>
      </c>
      <c r="X534" s="580"/>
      <c r="Y534" s="583">
        <f>IF(GLOBAL_DER_FEV_2023!W534=0,0,IF(GLOBAL_DER_FEV_2023!W534&gt;0,"c","b"))</f>
        <v>0</v>
      </c>
    </row>
    <row r="535" spans="1:25" ht="13.5" hidden="1" thickBot="1" x14ac:dyDescent="0.25">
      <c r="A535" s="317" t="s">
        <v>147</v>
      </c>
      <c r="B535" s="895" t="s">
        <v>147</v>
      </c>
      <c r="C535" s="896"/>
      <c r="D535" s="957" t="s">
        <v>229</v>
      </c>
      <c r="E535" s="907">
        <f>GLOBAL_DER_FEV_2023!E535</f>
        <v>165</v>
      </c>
      <c r="F535" s="908">
        <f>GLOBAL_DER_FEV_2023!F535</f>
        <v>0.70050000000000001</v>
      </c>
      <c r="G535" s="949">
        <f>GLOBAL_DER_FEV_2023!G535</f>
        <v>125.55061500000002</v>
      </c>
      <c r="H535" s="901">
        <f>GLOBAL_DER_FEV_2023!H535</f>
        <v>0</v>
      </c>
      <c r="I535" s="901">
        <f>GLOBAL_DER_FEV_2023!I535</f>
        <v>0</v>
      </c>
      <c r="J535" s="902">
        <f>GLOBAL_DER_FEV_2023!J535</f>
        <v>0</v>
      </c>
      <c r="K535" s="958" t="s">
        <v>507</v>
      </c>
      <c r="L535" s="959"/>
      <c r="M535" s="1157">
        <f t="shared" si="37"/>
        <v>0</v>
      </c>
      <c r="N535" s="893">
        <f t="shared" si="41"/>
        <v>0</v>
      </c>
      <c r="O535" s="905"/>
      <c r="P535" s="58" t="str">
        <f>IF(N533&gt;0,"xx",IF(N533&gt;0,"xy",""))</f>
        <v/>
      </c>
      <c r="Q535" s="317" t="str">
        <f t="shared" si="38"/>
        <v/>
      </c>
      <c r="R535" s="317" t="str">
        <f t="shared" si="39"/>
        <v/>
      </c>
      <c r="S535" s="317" t="str">
        <f t="shared" si="40"/>
        <v/>
      </c>
      <c r="T535" s="317" t="str">
        <f>GLOBAL_DER_FEV_2023!S535</f>
        <v/>
      </c>
      <c r="W535" s="582">
        <v>0</v>
      </c>
      <c r="X535" s="580"/>
      <c r="Y535" s="583">
        <f>IF(GLOBAL_DER_FEV_2023!W535=0,0,IF(GLOBAL_DER_FEV_2023!W535&gt;0,"c","b"))</f>
        <v>0</v>
      </c>
    </row>
    <row r="536" spans="1:25" ht="13.5" hidden="1" thickBot="1" x14ac:dyDescent="0.25">
      <c r="A536" s="317" t="s">
        <v>147</v>
      </c>
      <c r="B536" s="895" t="s">
        <v>147</v>
      </c>
      <c r="C536" s="896"/>
      <c r="D536" s="957" t="s">
        <v>233</v>
      </c>
      <c r="E536" s="907">
        <f>GLOBAL_DER_FEV_2023!E536</f>
        <v>0.2</v>
      </c>
      <c r="F536" s="908">
        <f>GLOBAL_DER_FEV_2023!F536</f>
        <v>1.1160000000000001</v>
      </c>
      <c r="G536" s="949">
        <f>GLOBAL_DER_FEV_2023!G536</f>
        <v>3.2297040000000004</v>
      </c>
      <c r="H536" s="901">
        <f>GLOBAL_DER_FEV_2023!H536</f>
        <v>0</v>
      </c>
      <c r="I536" s="901">
        <f>GLOBAL_DER_FEV_2023!I536</f>
        <v>0</v>
      </c>
      <c r="J536" s="902">
        <f>GLOBAL_DER_FEV_2023!J536</f>
        <v>0</v>
      </c>
      <c r="K536" s="958" t="s">
        <v>507</v>
      </c>
      <c r="L536" s="959"/>
      <c r="M536" s="1157">
        <f t="shared" si="37"/>
        <v>0</v>
      </c>
      <c r="N536" s="893">
        <f t="shared" si="41"/>
        <v>0</v>
      </c>
      <c r="O536" s="905"/>
      <c r="P536" s="58" t="str">
        <f>IF(N533&gt;0,"xx",IF(N533&gt;0,"xy",""))</f>
        <v/>
      </c>
      <c r="Q536" s="317" t="str">
        <f t="shared" si="38"/>
        <v/>
      </c>
      <c r="R536" s="317" t="str">
        <f t="shared" si="39"/>
        <v/>
      </c>
      <c r="S536" s="317" t="str">
        <f t="shared" si="40"/>
        <v/>
      </c>
      <c r="T536" s="317" t="str">
        <f>GLOBAL_DER_FEV_2023!S536</f>
        <v/>
      </c>
      <c r="W536" s="582">
        <v>0</v>
      </c>
      <c r="X536" s="580"/>
      <c r="Y536" s="583">
        <f>IF(GLOBAL_DER_FEV_2023!W536=0,0,IF(GLOBAL_DER_FEV_2023!W536&gt;0,"c","b"))</f>
        <v>0</v>
      </c>
    </row>
    <row r="537" spans="1:25" ht="13.5" hidden="1" thickBot="1" x14ac:dyDescent="0.25">
      <c r="A537" s="317" t="s">
        <v>147</v>
      </c>
      <c r="B537" s="895" t="s">
        <v>147</v>
      </c>
      <c r="C537" s="896"/>
      <c r="D537" s="957" t="s">
        <v>244</v>
      </c>
      <c r="E537" s="907">
        <f>GLOBAL_DER_FEV_2023!E537</f>
        <v>21</v>
      </c>
      <c r="F537" s="908">
        <f>GLOBAL_DER_FEV_2023!F537</f>
        <v>2.1965000000000003</v>
      </c>
      <c r="G537" s="912">
        <f>GLOBAL_DER_FEV_2023!G537</f>
        <v>55.241975000000011</v>
      </c>
      <c r="H537" s="901">
        <f>GLOBAL_DER_FEV_2023!H537</f>
        <v>0</v>
      </c>
      <c r="I537" s="901">
        <f>GLOBAL_DER_FEV_2023!I537</f>
        <v>0</v>
      </c>
      <c r="J537" s="902">
        <f>GLOBAL_DER_FEV_2023!J537</f>
        <v>0</v>
      </c>
      <c r="K537" s="903" t="s">
        <v>507</v>
      </c>
      <c r="L537" s="1003"/>
      <c r="M537" s="1157">
        <f t="shared" si="37"/>
        <v>0</v>
      </c>
      <c r="N537" s="893">
        <f t="shared" si="41"/>
        <v>0</v>
      </c>
      <c r="O537" s="905"/>
      <c r="P537" s="58" t="str">
        <f>IF(N533&gt;0,"xx",IF(N533&gt;0,"xy",""))</f>
        <v/>
      </c>
      <c r="Q537" s="317" t="str">
        <f t="shared" si="38"/>
        <v/>
      </c>
      <c r="R537" s="317" t="str">
        <f t="shared" si="39"/>
        <v/>
      </c>
      <c r="S537" s="317" t="str">
        <f t="shared" si="40"/>
        <v/>
      </c>
      <c r="T537" s="317" t="str">
        <f>GLOBAL_DER_FEV_2023!S537</f>
        <v/>
      </c>
      <c r="W537" s="582">
        <v>0</v>
      </c>
      <c r="X537" s="580"/>
      <c r="Y537" s="583">
        <f>IF(GLOBAL_DER_FEV_2023!W537=0,0,IF(GLOBAL_DER_FEV_2023!W537&gt;0,"c","b"))</f>
        <v>0</v>
      </c>
    </row>
    <row r="538" spans="1:25" ht="13.5" hidden="1" thickBot="1" x14ac:dyDescent="0.25">
      <c r="A538" s="317">
        <v>502646</v>
      </c>
      <c r="B538" s="895">
        <v>502646</v>
      </c>
      <c r="C538" s="896" t="s">
        <v>184</v>
      </c>
      <c r="D538" s="906" t="s">
        <v>1949</v>
      </c>
      <c r="E538" s="907">
        <f>GLOBAL_DER_FEV_2023!E538</f>
        <v>0</v>
      </c>
      <c r="F538" s="908">
        <f>GLOBAL_DER_FEV_2023!F538</f>
        <v>0</v>
      </c>
      <c r="G538" s="949">
        <f>GLOBAL_DER_FEV_2023!G538</f>
        <v>278.28509400000002</v>
      </c>
      <c r="H538" s="901">
        <f>GLOBAL_DER_FEV_2023!H538</f>
        <v>378.42</v>
      </c>
      <c r="I538" s="901">
        <f>GLOBAL_DER_FEV_2023!I538</f>
        <v>656.70509400000003</v>
      </c>
      <c r="J538" s="902">
        <f>GLOBAL_DER_FEV_2023!J538</f>
        <v>788.51</v>
      </c>
      <c r="K538" s="903" t="s">
        <v>10</v>
      </c>
      <c r="L538" s="1139"/>
      <c r="M538" s="1140">
        <f t="shared" si="37"/>
        <v>0</v>
      </c>
      <c r="N538" s="893">
        <f t="shared" si="41"/>
        <v>0</v>
      </c>
      <c r="O538" s="905"/>
      <c r="Q538" s="317" t="str">
        <f t="shared" si="38"/>
        <v/>
      </c>
      <c r="R538" s="317" t="str">
        <f t="shared" si="39"/>
        <v/>
      </c>
      <c r="S538" s="317" t="str">
        <f t="shared" si="40"/>
        <v/>
      </c>
      <c r="T538" s="317" t="str">
        <f>GLOBAL_DER_FEV_2023!S538</f>
        <v/>
      </c>
      <c r="W538" s="582">
        <v>0</v>
      </c>
      <c r="X538" s="580"/>
      <c r="Y538" s="583">
        <f>IF(GLOBAL_DER_FEV_2023!W538=0,0,IF(GLOBAL_DER_FEV_2023!W538&gt;0,"c","b"))</f>
        <v>0</v>
      </c>
    </row>
    <row r="539" spans="1:25" ht="13.5" hidden="1" thickBot="1" x14ac:dyDescent="0.25">
      <c r="A539" s="317" t="s">
        <v>147</v>
      </c>
      <c r="B539" s="895" t="s">
        <v>147</v>
      </c>
      <c r="C539" s="896"/>
      <c r="D539" s="957" t="s">
        <v>190</v>
      </c>
      <c r="E539" s="907">
        <f>GLOBAL_DER_FEV_2023!E539</f>
        <v>308</v>
      </c>
      <c r="F539" s="908">
        <f>GLOBAL_DER_FEV_2023!F539</f>
        <v>0.38</v>
      </c>
      <c r="G539" s="909">
        <f>GLOBAL_DER_FEV_2023!G539</f>
        <v>94.262799999999999</v>
      </c>
      <c r="H539" s="901">
        <f>GLOBAL_DER_FEV_2023!H539</f>
        <v>0</v>
      </c>
      <c r="I539" s="901">
        <f>GLOBAL_DER_FEV_2023!I539</f>
        <v>0</v>
      </c>
      <c r="J539" s="902">
        <f>GLOBAL_DER_FEV_2023!J539</f>
        <v>0</v>
      </c>
      <c r="K539" s="958" t="s">
        <v>507</v>
      </c>
      <c r="L539" s="959"/>
      <c r="M539" s="1157">
        <f t="shared" si="37"/>
        <v>0</v>
      </c>
      <c r="N539" s="893">
        <f t="shared" si="41"/>
        <v>0</v>
      </c>
      <c r="O539" s="905"/>
      <c r="P539" s="58" t="str">
        <f>IF(N538&gt;0,"xx",IF(N538&gt;0,"xy",""))</f>
        <v/>
      </c>
      <c r="Q539" s="317" t="str">
        <f t="shared" si="38"/>
        <v/>
      </c>
      <c r="R539" s="317" t="str">
        <f t="shared" si="39"/>
        <v/>
      </c>
      <c r="S539" s="317" t="str">
        <f t="shared" si="40"/>
        <v/>
      </c>
      <c r="T539" s="317" t="str">
        <f>GLOBAL_DER_FEV_2023!S539</f>
        <v/>
      </c>
      <c r="W539" s="582">
        <v>0</v>
      </c>
      <c r="X539" s="580"/>
      <c r="Y539" s="583">
        <f>IF(GLOBAL_DER_FEV_2023!W539=0,0,IF(GLOBAL_DER_FEV_2023!W539&gt;0,"c","b"))</f>
        <v>0</v>
      </c>
    </row>
    <row r="540" spans="1:25" ht="13.5" hidden="1" thickBot="1" x14ac:dyDescent="0.25">
      <c r="A540" s="317" t="s">
        <v>147</v>
      </c>
      <c r="B540" s="895" t="s">
        <v>147</v>
      </c>
      <c r="C540" s="896"/>
      <c r="D540" s="957" t="s">
        <v>229</v>
      </c>
      <c r="E540" s="907">
        <f>GLOBAL_DER_FEV_2023!E540</f>
        <v>165</v>
      </c>
      <c r="F540" s="908">
        <f>GLOBAL_DER_FEV_2023!F540</f>
        <v>0.70050000000000001</v>
      </c>
      <c r="G540" s="949">
        <f>GLOBAL_DER_FEV_2023!G540</f>
        <v>125.55061500000002</v>
      </c>
      <c r="H540" s="901">
        <f>GLOBAL_DER_FEV_2023!H540</f>
        <v>0</v>
      </c>
      <c r="I540" s="901">
        <f>GLOBAL_DER_FEV_2023!I540</f>
        <v>0</v>
      </c>
      <c r="J540" s="902">
        <f>GLOBAL_DER_FEV_2023!J540</f>
        <v>0</v>
      </c>
      <c r="K540" s="958" t="s">
        <v>507</v>
      </c>
      <c r="L540" s="959"/>
      <c r="M540" s="1157">
        <f t="shared" si="37"/>
        <v>0</v>
      </c>
      <c r="N540" s="893">
        <f t="shared" si="41"/>
        <v>0</v>
      </c>
      <c r="O540" s="905"/>
      <c r="P540" s="58" t="str">
        <f>IF(N538&gt;0,"xx",IF(N538&gt;0,"xy",""))</f>
        <v/>
      </c>
      <c r="Q540" s="317" t="str">
        <f t="shared" si="38"/>
        <v/>
      </c>
      <c r="R540" s="317" t="str">
        <f t="shared" si="39"/>
        <v/>
      </c>
      <c r="S540" s="317" t="str">
        <f t="shared" si="40"/>
        <v/>
      </c>
      <c r="T540" s="317" t="str">
        <f>GLOBAL_DER_FEV_2023!S540</f>
        <v/>
      </c>
      <c r="W540" s="582">
        <v>0</v>
      </c>
      <c r="X540" s="580"/>
      <c r="Y540" s="583">
        <f>IF(GLOBAL_DER_FEV_2023!W540=0,0,IF(GLOBAL_DER_FEV_2023!W540&gt;0,"c","b"))</f>
        <v>0</v>
      </c>
    </row>
    <row r="541" spans="1:25" ht="13.5" hidden="1" thickBot="1" x14ac:dyDescent="0.25">
      <c r="A541" s="317" t="s">
        <v>147</v>
      </c>
      <c r="B541" s="895" t="s">
        <v>147</v>
      </c>
      <c r="C541" s="896"/>
      <c r="D541" s="957" t="s">
        <v>233</v>
      </c>
      <c r="E541" s="907">
        <f>GLOBAL_DER_FEV_2023!E541</f>
        <v>0.2</v>
      </c>
      <c r="F541" s="908">
        <f>GLOBAL_DER_FEV_2023!F541</f>
        <v>1.1160000000000001</v>
      </c>
      <c r="G541" s="949">
        <f>GLOBAL_DER_FEV_2023!G541</f>
        <v>3.2297040000000004</v>
      </c>
      <c r="H541" s="901">
        <f>GLOBAL_DER_FEV_2023!H541</f>
        <v>0</v>
      </c>
      <c r="I541" s="901">
        <f>GLOBAL_DER_FEV_2023!I541</f>
        <v>0</v>
      </c>
      <c r="J541" s="902">
        <f>GLOBAL_DER_FEV_2023!J541</f>
        <v>0</v>
      </c>
      <c r="K541" s="903" t="s">
        <v>507</v>
      </c>
      <c r="L541" s="1003"/>
      <c r="M541" s="1157">
        <f t="shared" si="37"/>
        <v>0</v>
      </c>
      <c r="N541" s="893">
        <f t="shared" si="41"/>
        <v>0</v>
      </c>
      <c r="O541" s="905"/>
      <c r="P541" s="58" t="str">
        <f>IF(N537&gt;0,"xx",IF(N537&gt;0,"xy",""))</f>
        <v/>
      </c>
      <c r="Q541" s="317" t="str">
        <f t="shared" si="38"/>
        <v/>
      </c>
      <c r="R541" s="317" t="str">
        <f t="shared" si="39"/>
        <v/>
      </c>
      <c r="S541" s="317" t="str">
        <f t="shared" si="40"/>
        <v/>
      </c>
      <c r="T541" s="317" t="str">
        <f>GLOBAL_DER_FEV_2023!S541</f>
        <v/>
      </c>
      <c r="W541" s="582">
        <v>0</v>
      </c>
      <c r="X541" s="580"/>
      <c r="Y541" s="583">
        <f>IF(GLOBAL_DER_FEV_2023!W541=0,0,IF(GLOBAL_DER_FEV_2023!W541&gt;0,"c","b"))</f>
        <v>0</v>
      </c>
    </row>
    <row r="542" spans="1:25" ht="13.5" hidden="1" thickBot="1" x14ac:dyDescent="0.25">
      <c r="A542" s="317" t="s">
        <v>147</v>
      </c>
      <c r="B542" s="1004" t="s">
        <v>147</v>
      </c>
      <c r="C542" s="984"/>
      <c r="D542" s="1012" t="s">
        <v>244</v>
      </c>
      <c r="E542" s="1005">
        <f>GLOBAL_DER_FEV_2023!E542</f>
        <v>21</v>
      </c>
      <c r="F542" s="1006">
        <f>GLOBAL_DER_FEV_2023!F542</f>
        <v>2.1965000000000003</v>
      </c>
      <c r="G542" s="1028">
        <f>GLOBAL_DER_FEV_2023!G542</f>
        <v>55.241975000000011</v>
      </c>
      <c r="H542" s="988">
        <f>GLOBAL_DER_FEV_2023!H542</f>
        <v>0</v>
      </c>
      <c r="I542" s="988">
        <f>GLOBAL_DER_FEV_2023!I542</f>
        <v>0</v>
      </c>
      <c r="J542" s="989">
        <f>GLOBAL_DER_FEV_2023!J542</f>
        <v>0</v>
      </c>
      <c r="K542" s="1029" t="s">
        <v>507</v>
      </c>
      <c r="L542" s="1030"/>
      <c r="M542" s="1159">
        <f t="shared" si="37"/>
        <v>0</v>
      </c>
      <c r="N542" s="993">
        <f t="shared" si="41"/>
        <v>0</v>
      </c>
      <c r="O542" s="905"/>
      <c r="P542" s="58" t="str">
        <f>IF(N538&gt;0,"xx",IF(N538&gt;0,"xy",""))</f>
        <v/>
      </c>
      <c r="Q542" s="317" t="str">
        <f t="shared" si="38"/>
        <v/>
      </c>
      <c r="R542" s="317" t="str">
        <f t="shared" si="39"/>
        <v/>
      </c>
      <c r="S542" s="317" t="str">
        <f t="shared" si="40"/>
        <v/>
      </c>
      <c r="T542" s="317" t="str">
        <f>GLOBAL_DER_FEV_2023!S542</f>
        <v/>
      </c>
      <c r="W542" s="582">
        <v>0</v>
      </c>
      <c r="X542" s="580"/>
      <c r="Y542" s="583">
        <f>IF(GLOBAL_DER_FEV_2023!W542=0,0,IF(GLOBAL_DER_FEV_2023!W542&gt;0,"c","b"))</f>
        <v>0</v>
      </c>
    </row>
    <row r="543" spans="1:25" ht="45.75" hidden="1" thickBot="1" x14ac:dyDescent="0.25">
      <c r="A543" s="317">
        <v>97104</v>
      </c>
      <c r="B543" s="883">
        <v>97104</v>
      </c>
      <c r="C543" s="884" t="s">
        <v>596</v>
      </c>
      <c r="D543" s="946" t="s">
        <v>1929</v>
      </c>
      <c r="E543" s="1031">
        <f>GLOBAL_DER_FEV_2023!E543</f>
        <v>21</v>
      </c>
      <c r="F543" s="947">
        <f>GLOBAL_DER_FEV_2023!F543</f>
        <v>0.36</v>
      </c>
      <c r="G543" s="949">
        <f>GLOBAL_DER_FEV_2023!G543</f>
        <v>9.0540000000000003</v>
      </c>
      <c r="H543" s="889">
        <f>GLOBAL_DER_FEV_2023!H543</f>
        <v>121.45</v>
      </c>
      <c r="I543" s="889">
        <f>GLOBAL_DER_FEV_2023!I543</f>
        <v>130.50399999999999</v>
      </c>
      <c r="J543" s="890">
        <f>GLOBAL_DER_FEV_2023!J543</f>
        <v>156.69999999999999</v>
      </c>
      <c r="K543" s="891" t="s">
        <v>12</v>
      </c>
      <c r="L543" s="1160"/>
      <c r="M543" s="1138">
        <f t="shared" si="37"/>
        <v>0</v>
      </c>
      <c r="N543" s="932">
        <f t="shared" si="41"/>
        <v>0</v>
      </c>
      <c r="O543" s="905"/>
      <c r="Q543" s="317" t="str">
        <f t="shared" si="38"/>
        <v/>
      </c>
      <c r="R543" s="317" t="str">
        <f t="shared" si="39"/>
        <v/>
      </c>
      <c r="S543" s="317" t="str">
        <f t="shared" si="40"/>
        <v/>
      </c>
      <c r="T543" s="317" t="str">
        <f>GLOBAL_DER_FEV_2023!S543</f>
        <v/>
      </c>
      <c r="W543" s="582">
        <v>0</v>
      </c>
      <c r="X543" s="580"/>
      <c r="Y543" s="583">
        <f>IF(GLOBAL_DER_FEV_2023!W543=0,0,IF(GLOBAL_DER_FEV_2023!W543&gt;0,"c","b"))</f>
        <v>0</v>
      </c>
    </row>
    <row r="544" spans="1:25" ht="45.75" hidden="1" thickBot="1" x14ac:dyDescent="0.25">
      <c r="A544" s="317">
        <v>97105</v>
      </c>
      <c r="B544" s="895">
        <v>97105</v>
      </c>
      <c r="C544" s="896" t="s">
        <v>596</v>
      </c>
      <c r="D544" s="906" t="s">
        <v>1923</v>
      </c>
      <c r="E544" s="907">
        <f>GLOBAL_DER_FEV_2023!E544</f>
        <v>21</v>
      </c>
      <c r="F544" s="908">
        <f>GLOBAL_DER_FEV_2023!F544</f>
        <v>0.42</v>
      </c>
      <c r="G544" s="949">
        <f>GLOBAL_DER_FEV_2023!G544</f>
        <v>10.563000000000001</v>
      </c>
      <c r="H544" s="901">
        <f>GLOBAL_DER_FEV_2023!H544</f>
        <v>136.68</v>
      </c>
      <c r="I544" s="901">
        <f>GLOBAL_DER_FEV_2023!I544</f>
        <v>147.24299999999999</v>
      </c>
      <c r="J544" s="902">
        <f>GLOBAL_DER_FEV_2023!J544</f>
        <v>176.79</v>
      </c>
      <c r="K544" s="903" t="s">
        <v>12</v>
      </c>
      <c r="L544" s="1139"/>
      <c r="M544" s="1140">
        <f t="shared" si="37"/>
        <v>0</v>
      </c>
      <c r="N544" s="893">
        <f t="shared" si="41"/>
        <v>0</v>
      </c>
      <c r="O544" s="905"/>
      <c r="Q544" s="317" t="str">
        <f t="shared" si="38"/>
        <v/>
      </c>
      <c r="R544" s="317" t="str">
        <f t="shared" si="39"/>
        <v/>
      </c>
      <c r="S544" s="317" t="str">
        <f t="shared" si="40"/>
        <v/>
      </c>
      <c r="T544" s="317" t="str">
        <f>GLOBAL_DER_FEV_2023!S544</f>
        <v/>
      </c>
      <c r="W544" s="582">
        <v>0</v>
      </c>
      <c r="X544" s="580"/>
      <c r="Y544" s="583">
        <f>IF(GLOBAL_DER_FEV_2023!W544=0,0,IF(GLOBAL_DER_FEV_2023!W544&gt;0,"c","b"))</f>
        <v>0</v>
      </c>
    </row>
    <row r="545" spans="1:25" ht="45.75" hidden="1" thickBot="1" x14ac:dyDescent="0.25">
      <c r="A545" s="317">
        <v>97106</v>
      </c>
      <c r="B545" s="895">
        <v>97106</v>
      </c>
      <c r="C545" s="896" t="s">
        <v>596</v>
      </c>
      <c r="D545" s="906" t="s">
        <v>1924</v>
      </c>
      <c r="E545" s="907">
        <f>GLOBAL_DER_FEV_2023!E545</f>
        <v>21</v>
      </c>
      <c r="F545" s="908">
        <f>GLOBAL_DER_FEV_2023!F545</f>
        <v>0.48</v>
      </c>
      <c r="G545" s="949">
        <f>GLOBAL_DER_FEV_2023!G545</f>
        <v>12.072000000000001</v>
      </c>
      <c r="H545" s="901">
        <f>GLOBAL_DER_FEV_2023!H545</f>
        <v>150.85</v>
      </c>
      <c r="I545" s="901">
        <f>GLOBAL_DER_FEV_2023!I545</f>
        <v>162.922</v>
      </c>
      <c r="J545" s="902">
        <f>GLOBAL_DER_FEV_2023!J545</f>
        <v>195.62</v>
      </c>
      <c r="K545" s="903" t="s">
        <v>12</v>
      </c>
      <c r="L545" s="1139"/>
      <c r="M545" s="1140">
        <f t="shared" si="37"/>
        <v>0</v>
      </c>
      <c r="N545" s="893">
        <f t="shared" si="41"/>
        <v>0</v>
      </c>
      <c r="O545" s="905"/>
      <c r="Q545" s="317" t="str">
        <f t="shared" si="38"/>
        <v/>
      </c>
      <c r="R545" s="317" t="str">
        <f t="shared" si="39"/>
        <v/>
      </c>
      <c r="S545" s="317" t="str">
        <f t="shared" si="40"/>
        <v/>
      </c>
      <c r="T545" s="317" t="str">
        <f>GLOBAL_DER_FEV_2023!S545</f>
        <v/>
      </c>
      <c r="W545" s="582">
        <v>0</v>
      </c>
      <c r="X545" s="580"/>
      <c r="Y545" s="583">
        <f>IF(GLOBAL_DER_FEV_2023!W545=0,0,IF(GLOBAL_DER_FEV_2023!W545&gt;0,"c","b"))</f>
        <v>0</v>
      </c>
    </row>
    <row r="546" spans="1:25" ht="45.75" hidden="1" thickBot="1" x14ac:dyDescent="0.25">
      <c r="A546" s="317">
        <v>97107</v>
      </c>
      <c r="B546" s="895">
        <v>97107</v>
      </c>
      <c r="C546" s="896" t="s">
        <v>596</v>
      </c>
      <c r="D546" s="906" t="s">
        <v>1925</v>
      </c>
      <c r="E546" s="907">
        <f>GLOBAL_DER_FEV_2023!E546</f>
        <v>21</v>
      </c>
      <c r="F546" s="908">
        <f>GLOBAL_DER_FEV_2023!F546</f>
        <v>0.54</v>
      </c>
      <c r="G546" s="949">
        <f>GLOBAL_DER_FEV_2023!G546</f>
        <v>13.581000000000001</v>
      </c>
      <c r="H546" s="901">
        <f>GLOBAL_DER_FEV_2023!H546</f>
        <v>172.16</v>
      </c>
      <c r="I546" s="901">
        <f>GLOBAL_DER_FEV_2023!I546</f>
        <v>185.74099999999999</v>
      </c>
      <c r="J546" s="902">
        <f>GLOBAL_DER_FEV_2023!J546</f>
        <v>223.02</v>
      </c>
      <c r="K546" s="903" t="s">
        <v>12</v>
      </c>
      <c r="L546" s="1139"/>
      <c r="M546" s="1140">
        <f t="shared" si="37"/>
        <v>0</v>
      </c>
      <c r="N546" s="893">
        <f t="shared" si="41"/>
        <v>0</v>
      </c>
      <c r="O546" s="905"/>
      <c r="Q546" s="317" t="str">
        <f t="shared" si="38"/>
        <v/>
      </c>
      <c r="R546" s="317" t="str">
        <f t="shared" si="39"/>
        <v/>
      </c>
      <c r="S546" s="317" t="str">
        <f t="shared" si="40"/>
        <v/>
      </c>
      <c r="T546" s="317" t="str">
        <f>GLOBAL_DER_FEV_2023!S546</f>
        <v/>
      </c>
      <c r="W546" s="582">
        <v>0</v>
      </c>
      <c r="X546" s="580"/>
      <c r="Y546" s="583">
        <f>IF(GLOBAL_DER_FEV_2023!W546=0,0,IF(GLOBAL_DER_FEV_2023!W546&gt;0,"c","b"))</f>
        <v>0</v>
      </c>
    </row>
    <row r="547" spans="1:25" ht="45.75" hidden="1" thickBot="1" x14ac:dyDescent="0.25">
      <c r="A547" s="317">
        <v>97108</v>
      </c>
      <c r="B547" s="895">
        <v>97108</v>
      </c>
      <c r="C547" s="896" t="s">
        <v>596</v>
      </c>
      <c r="D547" s="906" t="s">
        <v>1926</v>
      </c>
      <c r="E547" s="907">
        <f>GLOBAL_DER_FEV_2023!E547</f>
        <v>21</v>
      </c>
      <c r="F547" s="908">
        <f>GLOBAL_DER_FEV_2023!F547</f>
        <v>0.6</v>
      </c>
      <c r="G547" s="949">
        <f>GLOBAL_DER_FEV_2023!G547</f>
        <v>15.09</v>
      </c>
      <c r="H547" s="901">
        <f>GLOBAL_DER_FEV_2023!H547</f>
        <v>196.46</v>
      </c>
      <c r="I547" s="901">
        <f>GLOBAL_DER_FEV_2023!I547</f>
        <v>211.55</v>
      </c>
      <c r="J547" s="902">
        <f>GLOBAL_DER_FEV_2023!J547</f>
        <v>254.01</v>
      </c>
      <c r="K547" s="903" t="s">
        <v>12</v>
      </c>
      <c r="L547" s="1139"/>
      <c r="M547" s="1140">
        <f t="shared" si="37"/>
        <v>0</v>
      </c>
      <c r="N547" s="893">
        <f t="shared" si="41"/>
        <v>0</v>
      </c>
      <c r="O547" s="905"/>
      <c r="Q547" s="317" t="str">
        <f t="shared" si="38"/>
        <v/>
      </c>
      <c r="R547" s="317" t="str">
        <f t="shared" si="39"/>
        <v/>
      </c>
      <c r="S547" s="317" t="str">
        <f t="shared" si="40"/>
        <v/>
      </c>
      <c r="T547" s="317" t="str">
        <f>GLOBAL_DER_FEV_2023!S547</f>
        <v/>
      </c>
      <c r="W547" s="582">
        <v>0</v>
      </c>
      <c r="X547" s="580"/>
      <c r="Y547" s="583">
        <f>IF(GLOBAL_DER_FEV_2023!W547=0,0,IF(GLOBAL_DER_FEV_2023!W547&gt;0,"c","b"))</f>
        <v>0</v>
      </c>
    </row>
    <row r="548" spans="1:25" ht="45.75" hidden="1" thickBot="1" x14ac:dyDescent="0.25">
      <c r="A548" s="317">
        <v>97109</v>
      </c>
      <c r="B548" s="895">
        <v>97109</v>
      </c>
      <c r="C548" s="896" t="s">
        <v>596</v>
      </c>
      <c r="D548" s="906" t="s">
        <v>1927</v>
      </c>
      <c r="E548" s="907">
        <f>GLOBAL_DER_FEV_2023!E548</f>
        <v>21</v>
      </c>
      <c r="F548" s="908">
        <f>GLOBAL_DER_FEV_2023!F548</f>
        <v>0.66</v>
      </c>
      <c r="G548" s="949">
        <f>GLOBAL_DER_FEV_2023!G548</f>
        <v>16.599000000000004</v>
      </c>
      <c r="H548" s="901">
        <f>GLOBAL_DER_FEV_2023!H548</f>
        <v>217</v>
      </c>
      <c r="I548" s="901">
        <f>GLOBAL_DER_FEV_2023!I548</f>
        <v>233.59899999999999</v>
      </c>
      <c r="J548" s="902">
        <f>GLOBAL_DER_FEV_2023!J548</f>
        <v>280.48</v>
      </c>
      <c r="K548" s="903" t="s">
        <v>12</v>
      </c>
      <c r="L548" s="1139"/>
      <c r="M548" s="1140">
        <f t="shared" si="37"/>
        <v>0</v>
      </c>
      <c r="N548" s="893">
        <f t="shared" si="41"/>
        <v>0</v>
      </c>
      <c r="O548" s="905"/>
      <c r="Q548" s="317" t="str">
        <f t="shared" si="38"/>
        <v/>
      </c>
      <c r="R548" s="317" t="str">
        <f t="shared" si="39"/>
        <v/>
      </c>
      <c r="S548" s="317" t="str">
        <f t="shared" si="40"/>
        <v/>
      </c>
      <c r="T548" s="317" t="str">
        <f>GLOBAL_DER_FEV_2023!S548</f>
        <v/>
      </c>
      <c r="W548" s="582">
        <v>0</v>
      </c>
      <c r="X548" s="580"/>
      <c r="Y548" s="583">
        <f>IF(GLOBAL_DER_FEV_2023!W548=0,0,IF(GLOBAL_DER_FEV_2023!W548&gt;0,"c","b"))</f>
        <v>0</v>
      </c>
    </row>
    <row r="549" spans="1:25" ht="23.25" hidden="1" thickBot="1" x14ac:dyDescent="0.25">
      <c r="A549" s="317">
        <v>97111</v>
      </c>
      <c r="B549" s="895">
        <v>97111</v>
      </c>
      <c r="C549" s="896" t="s">
        <v>596</v>
      </c>
      <c r="D549" s="906" t="s">
        <v>1993</v>
      </c>
      <c r="E549" s="907">
        <f>GLOBAL_DER_FEV_2023!E549</f>
        <v>21</v>
      </c>
      <c r="F549" s="908">
        <f>GLOBAL_DER_FEV_2023!F549</f>
        <v>0.3</v>
      </c>
      <c r="G549" s="949">
        <f>GLOBAL_DER_FEV_2023!G549</f>
        <v>7.5449999999999999</v>
      </c>
      <c r="H549" s="901">
        <f>GLOBAL_DER_FEV_2023!H549</f>
        <v>274.89</v>
      </c>
      <c r="I549" s="901">
        <f>GLOBAL_DER_FEV_2023!I549</f>
        <v>282.435</v>
      </c>
      <c r="J549" s="902">
        <f>GLOBAL_DER_FEV_2023!J549</f>
        <v>339.12</v>
      </c>
      <c r="K549" s="903" t="s">
        <v>12</v>
      </c>
      <c r="L549" s="1139"/>
      <c r="M549" s="1140">
        <f t="shared" si="37"/>
        <v>0</v>
      </c>
      <c r="N549" s="893">
        <f t="shared" si="41"/>
        <v>0</v>
      </c>
      <c r="O549" s="905"/>
      <c r="Q549" s="317" t="str">
        <f t="shared" si="38"/>
        <v/>
      </c>
      <c r="R549" s="317" t="str">
        <f t="shared" si="39"/>
        <v/>
      </c>
      <c r="S549" s="317" t="str">
        <f t="shared" si="40"/>
        <v/>
      </c>
      <c r="T549" s="317" t="str">
        <f>GLOBAL_DER_FEV_2023!S549</f>
        <v/>
      </c>
      <c r="W549" s="582">
        <v>0</v>
      </c>
      <c r="X549" s="580"/>
      <c r="Y549" s="583">
        <f>IF(GLOBAL_DER_FEV_2023!W549=0,0,IF(GLOBAL_DER_FEV_2023!W549&gt;0,"c","b"))</f>
        <v>0</v>
      </c>
    </row>
    <row r="550" spans="1:25" ht="23.25" hidden="1" thickBot="1" x14ac:dyDescent="0.25">
      <c r="A550" s="317">
        <v>97112</v>
      </c>
      <c r="B550" s="895">
        <v>97112</v>
      </c>
      <c r="C550" s="896" t="s">
        <v>596</v>
      </c>
      <c r="D550" s="906" t="s">
        <v>1998</v>
      </c>
      <c r="E550" s="907">
        <f>GLOBAL_DER_FEV_2023!E550</f>
        <v>21</v>
      </c>
      <c r="F550" s="908">
        <f>GLOBAL_DER_FEV_2023!F550</f>
        <v>0.36</v>
      </c>
      <c r="G550" s="949">
        <f>GLOBAL_DER_FEV_2023!G550</f>
        <v>9.0540000000000003</v>
      </c>
      <c r="H550" s="901">
        <f>GLOBAL_DER_FEV_2023!H550</f>
        <v>231.07</v>
      </c>
      <c r="I550" s="901">
        <f>GLOBAL_DER_FEV_2023!I550</f>
        <v>240.124</v>
      </c>
      <c r="J550" s="902">
        <f>GLOBAL_DER_FEV_2023!J550</f>
        <v>288.32</v>
      </c>
      <c r="K550" s="903" t="s">
        <v>12</v>
      </c>
      <c r="L550" s="1139"/>
      <c r="M550" s="1140">
        <f t="shared" si="37"/>
        <v>0</v>
      </c>
      <c r="N550" s="893">
        <f t="shared" si="41"/>
        <v>0</v>
      </c>
      <c r="O550" s="905"/>
      <c r="Q550" s="317" t="str">
        <f t="shared" si="38"/>
        <v/>
      </c>
      <c r="R550" s="317" t="str">
        <f t="shared" si="39"/>
        <v/>
      </c>
      <c r="S550" s="317" t="str">
        <f t="shared" si="40"/>
        <v/>
      </c>
      <c r="T550" s="317" t="str">
        <f>GLOBAL_DER_FEV_2023!S550</f>
        <v/>
      </c>
      <c r="W550" s="582">
        <v>0</v>
      </c>
      <c r="X550" s="580"/>
      <c r="Y550" s="583">
        <f>IF(GLOBAL_DER_FEV_2023!W550=0,0,IF(GLOBAL_DER_FEV_2023!W550&gt;0,"c","b"))</f>
        <v>0</v>
      </c>
    </row>
    <row r="551" spans="1:25" ht="23.25" hidden="1" thickBot="1" x14ac:dyDescent="0.25">
      <c r="A551" s="317">
        <v>97112</v>
      </c>
      <c r="B551" s="895">
        <v>97112</v>
      </c>
      <c r="C551" s="896" t="s">
        <v>596</v>
      </c>
      <c r="D551" s="906" t="s">
        <v>1998</v>
      </c>
      <c r="E551" s="907">
        <f>GLOBAL_DER_FEV_2023!E551</f>
        <v>21</v>
      </c>
      <c r="F551" s="908">
        <f>GLOBAL_DER_FEV_2023!F551</f>
        <v>0.42</v>
      </c>
      <c r="G551" s="949">
        <f>GLOBAL_DER_FEV_2023!G551</f>
        <v>10.563000000000001</v>
      </c>
      <c r="H551" s="901">
        <f>GLOBAL_DER_FEV_2023!H551</f>
        <v>231.07</v>
      </c>
      <c r="I551" s="901">
        <f>GLOBAL_DER_FEV_2023!I551</f>
        <v>241.63299999999998</v>
      </c>
      <c r="J551" s="902">
        <f>GLOBAL_DER_FEV_2023!J551</f>
        <v>290.13</v>
      </c>
      <c r="K551" s="903" t="s">
        <v>12</v>
      </c>
      <c r="L551" s="1139"/>
      <c r="M551" s="1140">
        <f t="shared" si="37"/>
        <v>0</v>
      </c>
      <c r="N551" s="893">
        <f t="shared" si="41"/>
        <v>0</v>
      </c>
      <c r="O551" s="905"/>
      <c r="Q551" s="317" t="str">
        <f t="shared" si="38"/>
        <v/>
      </c>
      <c r="R551" s="317" t="str">
        <f t="shared" si="39"/>
        <v/>
      </c>
      <c r="S551" s="317" t="str">
        <f t="shared" si="40"/>
        <v/>
      </c>
      <c r="T551" s="317" t="str">
        <f>GLOBAL_DER_FEV_2023!S551</f>
        <v/>
      </c>
      <c r="W551" s="582">
        <v>0</v>
      </c>
      <c r="X551" s="580"/>
      <c r="Y551" s="583">
        <f>IF(GLOBAL_DER_FEV_2023!W551=0,0,IF(GLOBAL_DER_FEV_2023!W551&gt;0,"c","b"))</f>
        <v>0</v>
      </c>
    </row>
    <row r="552" spans="1:25" ht="45.75" hidden="1" thickBot="1" x14ac:dyDescent="0.25">
      <c r="A552" s="317">
        <v>97113</v>
      </c>
      <c r="B552" s="895">
        <v>97113</v>
      </c>
      <c r="C552" s="896" t="s">
        <v>596</v>
      </c>
      <c r="D552" s="906" t="s">
        <v>1928</v>
      </c>
      <c r="E552" s="907">
        <f>GLOBAL_DER_FEV_2023!E552</f>
        <v>0</v>
      </c>
      <c r="F552" s="908">
        <f>GLOBAL_DER_FEV_2023!F552</f>
        <v>0</v>
      </c>
      <c r="G552" s="949">
        <f>GLOBAL_DER_FEV_2023!G552</f>
        <v>0</v>
      </c>
      <c r="H552" s="901">
        <f>GLOBAL_DER_FEV_2023!H552</f>
        <v>3.15</v>
      </c>
      <c r="I552" s="901">
        <f>GLOBAL_DER_FEV_2023!I552</f>
        <v>3.15</v>
      </c>
      <c r="J552" s="902">
        <f>GLOBAL_DER_FEV_2023!J552</f>
        <v>3.78</v>
      </c>
      <c r="K552" s="903" t="s">
        <v>12</v>
      </c>
      <c r="L552" s="1139"/>
      <c r="M552" s="1140">
        <f t="shared" si="37"/>
        <v>0</v>
      </c>
      <c r="N552" s="893">
        <f t="shared" si="41"/>
        <v>0</v>
      </c>
      <c r="O552" s="905"/>
      <c r="Q552" s="317" t="str">
        <f t="shared" si="38"/>
        <v/>
      </c>
      <c r="R552" s="317" t="str">
        <f t="shared" si="39"/>
        <v/>
      </c>
      <c r="S552" s="317" t="str">
        <f t="shared" si="40"/>
        <v/>
      </c>
      <c r="T552" s="317" t="str">
        <f>GLOBAL_DER_FEV_2023!S552</f>
        <v/>
      </c>
      <c r="W552" s="582">
        <v>0</v>
      </c>
      <c r="X552" s="580"/>
      <c r="Y552" s="583">
        <f>IF(GLOBAL_DER_FEV_2023!W552=0,0,IF(GLOBAL_DER_FEV_2023!W552&gt;0,"c","b"))</f>
        <v>0</v>
      </c>
    </row>
    <row r="553" spans="1:25" ht="23.25" hidden="1" thickBot="1" x14ac:dyDescent="0.25">
      <c r="A553" s="317">
        <v>97114</v>
      </c>
      <c r="B553" s="895">
        <v>97114</v>
      </c>
      <c r="C553" s="896" t="s">
        <v>596</v>
      </c>
      <c r="D553" s="906" t="s">
        <v>1915</v>
      </c>
      <c r="E553" s="907">
        <f>GLOBAL_DER_FEV_2023!E553</f>
        <v>0</v>
      </c>
      <c r="F553" s="908">
        <f>GLOBAL_DER_FEV_2023!F553</f>
        <v>0</v>
      </c>
      <c r="G553" s="949">
        <f>GLOBAL_DER_FEV_2023!G553</f>
        <v>0</v>
      </c>
      <c r="H553" s="901">
        <f>GLOBAL_DER_FEV_2023!H553</f>
        <v>0.44</v>
      </c>
      <c r="I553" s="901">
        <f>GLOBAL_DER_FEV_2023!I553</f>
        <v>0.44</v>
      </c>
      <c r="J553" s="902">
        <f>GLOBAL_DER_FEV_2023!J553</f>
        <v>0.53</v>
      </c>
      <c r="K553" s="903" t="s">
        <v>13</v>
      </c>
      <c r="L553" s="1139"/>
      <c r="M553" s="1140">
        <f t="shared" si="37"/>
        <v>0</v>
      </c>
      <c r="N553" s="893">
        <f t="shared" si="41"/>
        <v>0</v>
      </c>
      <c r="O553" s="905"/>
      <c r="Q553" s="317" t="str">
        <f t="shared" si="38"/>
        <v/>
      </c>
      <c r="R553" s="317" t="str">
        <f t="shared" si="39"/>
        <v/>
      </c>
      <c r="S553" s="317" t="str">
        <f t="shared" si="40"/>
        <v/>
      </c>
      <c r="T553" s="317" t="str">
        <f>GLOBAL_DER_FEV_2023!S553</f>
        <v/>
      </c>
      <c r="W553" s="582">
        <v>0</v>
      </c>
      <c r="X553" s="580"/>
      <c r="Y553" s="583">
        <f>IF(GLOBAL_DER_FEV_2023!W553=0,0,IF(GLOBAL_DER_FEV_2023!W553&gt;0,"c","b"))</f>
        <v>0</v>
      </c>
    </row>
    <row r="554" spans="1:25" ht="23.25" hidden="1" thickBot="1" x14ac:dyDescent="0.25">
      <c r="A554" s="317">
        <v>97115</v>
      </c>
      <c r="B554" s="895">
        <v>97115</v>
      </c>
      <c r="C554" s="896" t="s">
        <v>596</v>
      </c>
      <c r="D554" s="906" t="s">
        <v>1916</v>
      </c>
      <c r="E554" s="907">
        <f>GLOBAL_DER_FEV_2023!E554</f>
        <v>0</v>
      </c>
      <c r="F554" s="908">
        <f>GLOBAL_DER_FEV_2023!F554</f>
        <v>0</v>
      </c>
      <c r="G554" s="949">
        <f>GLOBAL_DER_FEV_2023!G554</f>
        <v>0</v>
      </c>
      <c r="H554" s="901">
        <f>GLOBAL_DER_FEV_2023!H554</f>
        <v>46.64</v>
      </c>
      <c r="I554" s="901">
        <f>GLOBAL_DER_FEV_2023!I554</f>
        <v>46.64</v>
      </c>
      <c r="J554" s="902">
        <f>GLOBAL_DER_FEV_2023!J554</f>
        <v>56</v>
      </c>
      <c r="K554" s="903" t="s">
        <v>16</v>
      </c>
      <c r="L554" s="1139"/>
      <c r="M554" s="1140">
        <f t="shared" si="37"/>
        <v>0</v>
      </c>
      <c r="N554" s="893">
        <f t="shared" si="41"/>
        <v>0</v>
      </c>
      <c r="O554" s="905"/>
      <c r="Q554" s="317" t="str">
        <f t="shared" si="38"/>
        <v/>
      </c>
      <c r="R554" s="317" t="str">
        <f t="shared" si="39"/>
        <v/>
      </c>
      <c r="S554" s="317" t="str">
        <f t="shared" si="40"/>
        <v/>
      </c>
      <c r="T554" s="317" t="str">
        <f>GLOBAL_DER_FEV_2023!S554</f>
        <v/>
      </c>
      <c r="W554" s="582">
        <v>0</v>
      </c>
      <c r="X554" s="580"/>
      <c r="Y554" s="583">
        <f>IF(GLOBAL_DER_FEV_2023!W554=0,0,IF(GLOBAL_DER_FEV_2023!W554&gt;0,"c","b"))</f>
        <v>0</v>
      </c>
    </row>
    <row r="555" spans="1:25" ht="23.25" hidden="1" thickBot="1" x14ac:dyDescent="0.25">
      <c r="A555" s="317">
        <v>97116</v>
      </c>
      <c r="B555" s="895">
        <v>97116</v>
      </c>
      <c r="C555" s="896" t="s">
        <v>596</v>
      </c>
      <c r="D555" s="906" t="s">
        <v>1917</v>
      </c>
      <c r="E555" s="907">
        <f>GLOBAL_DER_FEV_2023!E555</f>
        <v>0</v>
      </c>
      <c r="F555" s="908">
        <f>GLOBAL_DER_FEV_2023!F555</f>
        <v>0</v>
      </c>
      <c r="G555" s="949">
        <f>GLOBAL_DER_FEV_2023!G555</f>
        <v>0</v>
      </c>
      <c r="H555" s="901">
        <f>GLOBAL_DER_FEV_2023!H555</f>
        <v>26.06</v>
      </c>
      <c r="I555" s="901">
        <f>GLOBAL_DER_FEV_2023!I555</f>
        <v>26.06</v>
      </c>
      <c r="J555" s="902">
        <f>GLOBAL_DER_FEV_2023!J555</f>
        <v>31.29</v>
      </c>
      <c r="K555" s="903" t="s">
        <v>16</v>
      </c>
      <c r="L555" s="1139"/>
      <c r="M555" s="1140">
        <f t="shared" si="37"/>
        <v>0</v>
      </c>
      <c r="N555" s="893">
        <f t="shared" si="41"/>
        <v>0</v>
      </c>
      <c r="O555" s="905"/>
      <c r="Q555" s="317" t="str">
        <f t="shared" si="38"/>
        <v/>
      </c>
      <c r="R555" s="317" t="str">
        <f t="shared" si="39"/>
        <v/>
      </c>
      <c r="S555" s="317" t="str">
        <f t="shared" si="40"/>
        <v/>
      </c>
      <c r="T555" s="317" t="str">
        <f>GLOBAL_DER_FEV_2023!S555</f>
        <v/>
      </c>
      <c r="W555" s="582">
        <v>0</v>
      </c>
      <c r="X555" s="580"/>
      <c r="Y555" s="583">
        <f>IF(GLOBAL_DER_FEV_2023!W555=0,0,IF(GLOBAL_DER_FEV_2023!W555&gt;0,"c","b"))</f>
        <v>0</v>
      </c>
    </row>
    <row r="556" spans="1:25" ht="23.25" hidden="1" thickBot="1" x14ac:dyDescent="0.25">
      <c r="A556" s="317">
        <v>97117</v>
      </c>
      <c r="B556" s="895">
        <v>97117</v>
      </c>
      <c r="C556" s="896" t="s">
        <v>596</v>
      </c>
      <c r="D556" s="906" t="s">
        <v>1918</v>
      </c>
      <c r="E556" s="907">
        <f>GLOBAL_DER_FEV_2023!E556</f>
        <v>0</v>
      </c>
      <c r="F556" s="908">
        <f>GLOBAL_DER_FEV_2023!F556</f>
        <v>0</v>
      </c>
      <c r="G556" s="949">
        <f>GLOBAL_DER_FEV_2023!G556</f>
        <v>0</v>
      </c>
      <c r="H556" s="901">
        <f>GLOBAL_DER_FEV_2023!H556</f>
        <v>22.24</v>
      </c>
      <c r="I556" s="901">
        <f>GLOBAL_DER_FEV_2023!I556</f>
        <v>22.24</v>
      </c>
      <c r="J556" s="902">
        <f>GLOBAL_DER_FEV_2023!J556</f>
        <v>26.7</v>
      </c>
      <c r="K556" s="903" t="s">
        <v>16</v>
      </c>
      <c r="L556" s="1139"/>
      <c r="M556" s="1140">
        <f t="shared" si="37"/>
        <v>0</v>
      </c>
      <c r="N556" s="893">
        <f t="shared" si="41"/>
        <v>0</v>
      </c>
      <c r="O556" s="905"/>
      <c r="Q556" s="317" t="str">
        <f t="shared" si="38"/>
        <v/>
      </c>
      <c r="R556" s="317" t="str">
        <f t="shared" si="39"/>
        <v/>
      </c>
      <c r="S556" s="317" t="str">
        <f t="shared" si="40"/>
        <v/>
      </c>
      <c r="T556" s="317" t="str">
        <f>GLOBAL_DER_FEV_2023!S556</f>
        <v/>
      </c>
      <c r="W556" s="582">
        <v>0</v>
      </c>
      <c r="X556" s="580"/>
      <c r="Y556" s="583">
        <f>IF(GLOBAL_DER_FEV_2023!W556=0,0,IF(GLOBAL_DER_FEV_2023!W556&gt;0,"c","b"))</f>
        <v>0</v>
      </c>
    </row>
    <row r="557" spans="1:25" ht="23.25" hidden="1" thickBot="1" x14ac:dyDescent="0.25">
      <c r="A557" s="317">
        <v>97118</v>
      </c>
      <c r="B557" s="895">
        <v>97118</v>
      </c>
      <c r="C557" s="896" t="s">
        <v>596</v>
      </c>
      <c r="D557" s="906" t="s">
        <v>1919</v>
      </c>
      <c r="E557" s="907">
        <f>GLOBAL_DER_FEV_2023!E557</f>
        <v>0</v>
      </c>
      <c r="F557" s="908">
        <f>GLOBAL_DER_FEV_2023!F557</f>
        <v>0</v>
      </c>
      <c r="G557" s="949">
        <f>GLOBAL_DER_FEV_2023!G557</f>
        <v>0</v>
      </c>
      <c r="H557" s="901">
        <f>GLOBAL_DER_FEV_2023!H557</f>
        <v>18.18</v>
      </c>
      <c r="I557" s="901">
        <f>GLOBAL_DER_FEV_2023!I557</f>
        <v>18.18</v>
      </c>
      <c r="J557" s="902">
        <f>GLOBAL_DER_FEV_2023!J557</f>
        <v>21.83</v>
      </c>
      <c r="K557" s="903" t="s">
        <v>16</v>
      </c>
      <c r="L557" s="1139"/>
      <c r="M557" s="1140">
        <f t="shared" si="37"/>
        <v>0</v>
      </c>
      <c r="N557" s="893">
        <f t="shared" si="41"/>
        <v>0</v>
      </c>
      <c r="O557" s="905"/>
      <c r="Q557" s="317" t="str">
        <f t="shared" si="38"/>
        <v/>
      </c>
      <c r="R557" s="317" t="str">
        <f t="shared" si="39"/>
        <v/>
      </c>
      <c r="S557" s="317" t="str">
        <f t="shared" si="40"/>
        <v/>
      </c>
      <c r="T557" s="317" t="str">
        <f>GLOBAL_DER_FEV_2023!S557</f>
        <v/>
      </c>
      <c r="W557" s="582">
        <v>0</v>
      </c>
      <c r="X557" s="580"/>
      <c r="Y557" s="583">
        <f>IF(GLOBAL_DER_FEV_2023!W557=0,0,IF(GLOBAL_DER_FEV_2023!W557&gt;0,"c","b"))</f>
        <v>0</v>
      </c>
    </row>
    <row r="558" spans="1:25" ht="23.25" hidden="1" thickBot="1" x14ac:dyDescent="0.25">
      <c r="A558" s="317">
        <v>97119</v>
      </c>
      <c r="B558" s="895">
        <v>97119</v>
      </c>
      <c r="C558" s="896" t="s">
        <v>596</v>
      </c>
      <c r="D558" s="906" t="s">
        <v>1920</v>
      </c>
      <c r="E558" s="907">
        <f>GLOBAL_DER_FEV_2023!E558</f>
        <v>0</v>
      </c>
      <c r="F558" s="908">
        <f>GLOBAL_DER_FEV_2023!F558</f>
        <v>0</v>
      </c>
      <c r="G558" s="949">
        <f>GLOBAL_DER_FEV_2023!G558</f>
        <v>0</v>
      </c>
      <c r="H558" s="901">
        <f>GLOBAL_DER_FEV_2023!H558</f>
        <v>16.12</v>
      </c>
      <c r="I558" s="901">
        <f>GLOBAL_DER_FEV_2023!I558</f>
        <v>16.12</v>
      </c>
      <c r="J558" s="902">
        <f>GLOBAL_DER_FEV_2023!J558</f>
        <v>19.36</v>
      </c>
      <c r="K558" s="903" t="s">
        <v>16</v>
      </c>
      <c r="L558" s="1139"/>
      <c r="M558" s="1140">
        <f t="shared" si="37"/>
        <v>0</v>
      </c>
      <c r="N558" s="893">
        <f t="shared" si="41"/>
        <v>0</v>
      </c>
      <c r="O558" s="905"/>
      <c r="Q558" s="317" t="str">
        <f t="shared" si="38"/>
        <v/>
      </c>
      <c r="R558" s="317" t="str">
        <f t="shared" si="39"/>
        <v/>
      </c>
      <c r="S558" s="317" t="str">
        <f t="shared" si="40"/>
        <v/>
      </c>
      <c r="T558" s="317" t="str">
        <f>GLOBAL_DER_FEV_2023!S558</f>
        <v/>
      </c>
      <c r="W558" s="582">
        <v>0</v>
      </c>
      <c r="X558" s="580"/>
      <c r="Y558" s="583">
        <f>IF(GLOBAL_DER_FEV_2023!W558=0,0,IF(GLOBAL_DER_FEV_2023!W558&gt;0,"c","b"))</f>
        <v>0</v>
      </c>
    </row>
    <row r="559" spans="1:25" ht="23.25" hidden="1" thickBot="1" x14ac:dyDescent="0.25">
      <c r="A559" s="317">
        <v>97120</v>
      </c>
      <c r="B559" s="895">
        <v>97120</v>
      </c>
      <c r="C559" s="896" t="s">
        <v>596</v>
      </c>
      <c r="D559" s="906" t="s">
        <v>1921</v>
      </c>
      <c r="E559" s="907">
        <f>GLOBAL_DER_FEV_2023!E559</f>
        <v>0</v>
      </c>
      <c r="F559" s="908">
        <f>GLOBAL_DER_FEV_2023!F559</f>
        <v>0</v>
      </c>
      <c r="G559" s="949">
        <f>GLOBAL_DER_FEV_2023!G559</f>
        <v>0</v>
      </c>
      <c r="H559" s="901">
        <f>GLOBAL_DER_FEV_2023!H559</f>
        <v>10.31</v>
      </c>
      <c r="I559" s="901">
        <f>GLOBAL_DER_FEV_2023!I559</f>
        <v>10.31</v>
      </c>
      <c r="J559" s="902">
        <f>GLOBAL_DER_FEV_2023!J559</f>
        <v>12.38</v>
      </c>
      <c r="K559" s="903" t="s">
        <v>16</v>
      </c>
      <c r="L559" s="1139"/>
      <c r="M559" s="1140">
        <f t="shared" si="37"/>
        <v>0</v>
      </c>
      <c r="N559" s="893">
        <f t="shared" si="41"/>
        <v>0</v>
      </c>
      <c r="O559" s="905"/>
      <c r="Q559" s="317" t="str">
        <f t="shared" si="38"/>
        <v/>
      </c>
      <c r="R559" s="317" t="str">
        <f t="shared" si="39"/>
        <v/>
      </c>
      <c r="S559" s="317" t="str">
        <f t="shared" si="40"/>
        <v/>
      </c>
      <c r="T559" s="317" t="str">
        <f>GLOBAL_DER_FEV_2023!S559</f>
        <v/>
      </c>
      <c r="W559" s="582">
        <v>0</v>
      </c>
      <c r="X559" s="580"/>
      <c r="Y559" s="583">
        <f>IF(GLOBAL_DER_FEV_2023!W559=0,0,IF(GLOBAL_DER_FEV_2023!W559&gt;0,"c","b"))</f>
        <v>0</v>
      </c>
    </row>
    <row r="560" spans="1:25" ht="13.5" hidden="1" thickBot="1" x14ac:dyDescent="0.25">
      <c r="A560" s="317">
        <v>96395</v>
      </c>
      <c r="B560" s="895">
        <v>96395</v>
      </c>
      <c r="C560" s="896" t="s">
        <v>596</v>
      </c>
      <c r="D560" s="906" t="s">
        <v>1922</v>
      </c>
      <c r="E560" s="907">
        <f>GLOBAL_DER_FEV_2023!E560</f>
        <v>0</v>
      </c>
      <c r="F560" s="908">
        <f>GLOBAL_DER_FEV_2023!F560</f>
        <v>0</v>
      </c>
      <c r="G560" s="912">
        <f>GLOBAL_DER_FEV_2023!G560</f>
        <v>0</v>
      </c>
      <c r="H560" s="901">
        <f>GLOBAL_DER_FEV_2023!H560</f>
        <v>232.87</v>
      </c>
      <c r="I560" s="901">
        <f>GLOBAL_DER_FEV_2023!I560</f>
        <v>232.87</v>
      </c>
      <c r="J560" s="902">
        <f>GLOBAL_DER_FEV_2023!J560</f>
        <v>279.61</v>
      </c>
      <c r="K560" s="903" t="s">
        <v>10</v>
      </c>
      <c r="L560" s="1139"/>
      <c r="M560" s="1140">
        <f t="shared" si="37"/>
        <v>0</v>
      </c>
      <c r="N560" s="893">
        <f t="shared" si="41"/>
        <v>0</v>
      </c>
      <c r="O560" s="905"/>
      <c r="Q560" s="317" t="str">
        <f t="shared" si="38"/>
        <v/>
      </c>
      <c r="R560" s="317" t="str">
        <f t="shared" si="39"/>
        <v/>
      </c>
      <c r="S560" s="317" t="str">
        <f t="shared" si="40"/>
        <v/>
      </c>
      <c r="T560" s="317" t="str">
        <f>GLOBAL_DER_FEV_2023!S560</f>
        <v/>
      </c>
      <c r="W560" s="582">
        <v>0</v>
      </c>
      <c r="X560" s="580"/>
      <c r="Y560" s="583">
        <f>IF(GLOBAL_DER_FEV_2023!W560=0,0,IF(GLOBAL_DER_FEV_2023!W560&gt;0,"c","b"))</f>
        <v>0</v>
      </c>
    </row>
    <row r="561" spans="1:25" ht="13.5" hidden="1" thickBot="1" x14ac:dyDescent="0.25">
      <c r="A561" s="317">
        <v>505000</v>
      </c>
      <c r="B561" s="883">
        <v>505000</v>
      </c>
      <c r="C561" s="884" t="s">
        <v>184</v>
      </c>
      <c r="D561" s="946" t="s">
        <v>246</v>
      </c>
      <c r="E561" s="1161">
        <f>GLOBAL_DER_FEV_2023!E561</f>
        <v>3</v>
      </c>
      <c r="F561" s="947">
        <f>GLOBAL_DER_FEV_2023!F561</f>
        <v>2.4</v>
      </c>
      <c r="G561" s="949">
        <f>GLOBAL_DER_FEV_2023!G561</f>
        <v>14.136000000000001</v>
      </c>
      <c r="H561" s="889">
        <f>GLOBAL_DER_FEV_2023!H561</f>
        <v>233.68</v>
      </c>
      <c r="I561" s="889">
        <f>GLOBAL_DER_FEV_2023!I561</f>
        <v>247.816</v>
      </c>
      <c r="J561" s="890">
        <f>GLOBAL_DER_FEV_2023!J561</f>
        <v>297.55</v>
      </c>
      <c r="K561" s="891" t="s">
        <v>10</v>
      </c>
      <c r="L561" s="1137"/>
      <c r="M561" s="1138">
        <f t="shared" si="37"/>
        <v>0</v>
      </c>
      <c r="N561" s="932">
        <f t="shared" si="41"/>
        <v>0</v>
      </c>
      <c r="O561" s="905"/>
      <c r="Q561" s="317" t="str">
        <f t="shared" si="38"/>
        <v/>
      </c>
      <c r="R561" s="317" t="str">
        <f t="shared" si="39"/>
        <v/>
      </c>
      <c r="S561" s="317" t="str">
        <f t="shared" si="40"/>
        <v/>
      </c>
      <c r="T561" s="317" t="str">
        <f>GLOBAL_DER_FEV_2023!S561</f>
        <v/>
      </c>
      <c r="W561" s="582">
        <v>0</v>
      </c>
      <c r="X561" s="580"/>
      <c r="Y561" s="583">
        <f>IF(GLOBAL_DER_FEV_2023!W561=0,0,IF(GLOBAL_DER_FEV_2023!W561&gt;0,"c","b"))</f>
        <v>0</v>
      </c>
    </row>
    <row r="562" spans="1:25" ht="13.5" hidden="1" thickBot="1" x14ac:dyDescent="0.25">
      <c r="A562" s="317">
        <v>505100</v>
      </c>
      <c r="B562" s="895">
        <v>505100</v>
      </c>
      <c r="C562" s="896" t="s">
        <v>184</v>
      </c>
      <c r="D562" s="906" t="s">
        <v>247</v>
      </c>
      <c r="E562" s="907">
        <f>GLOBAL_DER_FEV_2023!E562</f>
        <v>3</v>
      </c>
      <c r="F562" s="908">
        <f>GLOBAL_DER_FEV_2023!F562</f>
        <v>2.4</v>
      </c>
      <c r="G562" s="949">
        <f>GLOBAL_DER_FEV_2023!G562</f>
        <v>14.136000000000001</v>
      </c>
      <c r="H562" s="901">
        <f>GLOBAL_DER_FEV_2023!H562</f>
        <v>301.82</v>
      </c>
      <c r="I562" s="901">
        <f>GLOBAL_DER_FEV_2023!I562</f>
        <v>315.95600000000002</v>
      </c>
      <c r="J562" s="902">
        <f>GLOBAL_DER_FEV_2023!J562</f>
        <v>379.37</v>
      </c>
      <c r="K562" s="903" t="s">
        <v>10</v>
      </c>
      <c r="L562" s="1139"/>
      <c r="M562" s="1140">
        <f t="shared" si="37"/>
        <v>0</v>
      </c>
      <c r="N562" s="893">
        <f t="shared" si="41"/>
        <v>0</v>
      </c>
      <c r="O562" s="905"/>
      <c r="Q562" s="317" t="str">
        <f t="shared" si="38"/>
        <v/>
      </c>
      <c r="R562" s="317" t="str">
        <f t="shared" si="39"/>
        <v/>
      </c>
      <c r="S562" s="317" t="str">
        <f t="shared" si="40"/>
        <v/>
      </c>
      <c r="T562" s="317" t="str">
        <f>GLOBAL_DER_FEV_2023!S562</f>
        <v/>
      </c>
      <c r="W562" s="582">
        <v>0</v>
      </c>
      <c r="X562" s="580"/>
      <c r="Y562" s="583">
        <f>IF(GLOBAL_DER_FEV_2023!W562=0,0,IF(GLOBAL_DER_FEV_2023!W562&gt;0,"c","b"))</f>
        <v>0</v>
      </c>
    </row>
    <row r="563" spans="1:25" ht="13.5" hidden="1" thickBot="1" x14ac:dyDescent="0.25">
      <c r="A563" s="317" t="s">
        <v>165</v>
      </c>
      <c r="B563" s="913" t="s">
        <v>165</v>
      </c>
      <c r="C563" s="914"/>
      <c r="D563" s="915" t="s">
        <v>204</v>
      </c>
      <c r="E563" s="916">
        <f>GLOBAL_DER_FEV_2023!E563</f>
        <v>0</v>
      </c>
      <c r="F563" s="917">
        <f>GLOBAL_DER_FEV_2023!F563</f>
        <v>0</v>
      </c>
      <c r="G563" s="918">
        <f>GLOBAL_DER_FEV_2023!G563</f>
        <v>0</v>
      </c>
      <c r="H563" s="919">
        <f>GLOBAL_DER_FEV_2023!H563</f>
        <v>0</v>
      </c>
      <c r="I563" s="919">
        <f>GLOBAL_DER_FEV_2023!I563</f>
        <v>0</v>
      </c>
      <c r="J563" s="919">
        <f>GLOBAL_DER_FEV_2023!J563</f>
        <v>0</v>
      </c>
      <c r="K563" s="920" t="s">
        <v>507</v>
      </c>
      <c r="L563" s="921"/>
      <c r="M563" s="922"/>
      <c r="N563" s="923">
        <f t="shared" si="41"/>
        <v>0</v>
      </c>
      <c r="O563" s="905"/>
      <c r="P563" s="58" t="str">
        <f>IF(OR(SUM(N564:N588)&gt;0,SUM(N564:N588)&gt;0),"y","")</f>
        <v/>
      </c>
      <c r="Q563" s="317" t="str">
        <f t="shared" si="38"/>
        <v/>
      </c>
      <c r="R563" s="317" t="str">
        <f t="shared" si="39"/>
        <v/>
      </c>
      <c r="S563" s="317" t="str">
        <f t="shared" si="40"/>
        <v/>
      </c>
      <c r="T563" s="317" t="str">
        <f>GLOBAL_DER_FEV_2023!S563</f>
        <v/>
      </c>
      <c r="W563" s="582">
        <v>0</v>
      </c>
      <c r="X563" s="580"/>
      <c r="Y563" s="583">
        <f>IF(GLOBAL_DER_FEV_2023!W563=0,0,IF(GLOBAL_DER_FEV_2023!W563&gt;0,"c","b"))</f>
        <v>0</v>
      </c>
    </row>
    <row r="564" spans="1:25" ht="13.5" hidden="1" thickBot="1" x14ac:dyDescent="0.25">
      <c r="A564" s="317" t="s">
        <v>165</v>
      </c>
      <c r="B564" s="1036" t="str">
        <f>GLOBAL_DER_FEV_2023!B564</f>
        <v/>
      </c>
      <c r="C564" s="1072" t="str">
        <f>GLOBAL_DER_FEV_2023!C564</f>
        <v/>
      </c>
      <c r="D564" s="1141">
        <f>GLOBAL_DER_FEV_2023!D564</f>
        <v>0</v>
      </c>
      <c r="E564" s="907">
        <f>GLOBAL_DER_FEV_2023!E564</f>
        <v>0</v>
      </c>
      <c r="F564" s="908">
        <f>GLOBAL_DER_FEV_2023!F564</f>
        <v>0</v>
      </c>
      <c r="G564" s="912">
        <f>GLOBAL_DER_FEV_2023!G564</f>
        <v>0</v>
      </c>
      <c r="H564" s="901">
        <f>GLOBAL_DER_FEV_2023!H564</f>
        <v>0</v>
      </c>
      <c r="I564" s="901" t="str">
        <f>GLOBAL_DER_FEV_2023!I564</f>
        <v/>
      </c>
      <c r="J564" s="902" t="str">
        <f>GLOBAL_DER_FEV_2023!J564</f>
        <v/>
      </c>
      <c r="K564" s="903" t="str">
        <f>GLOBAL_DER_FEV_2023!K564</f>
        <v xml:space="preserve">     </v>
      </c>
      <c r="L564" s="1137"/>
      <c r="M564" s="1140">
        <f t="shared" si="37"/>
        <v>0</v>
      </c>
      <c r="N564" s="893">
        <f t="shared" si="41"/>
        <v>0</v>
      </c>
      <c r="O564" s="905"/>
      <c r="Q564" s="317" t="str">
        <f t="shared" si="38"/>
        <v/>
      </c>
      <c r="R564" s="317" t="str">
        <f t="shared" si="39"/>
        <v/>
      </c>
      <c r="S564" s="317" t="str">
        <f t="shared" si="40"/>
        <v/>
      </c>
      <c r="T564" s="317" t="str">
        <f>GLOBAL_DER_FEV_2023!S564</f>
        <v/>
      </c>
      <c r="W564" s="582">
        <v>0</v>
      </c>
      <c r="X564" s="580"/>
      <c r="Y564" s="583">
        <f>IF(GLOBAL_DER_FEV_2023!W564=0,0,IF(GLOBAL_DER_FEV_2023!W564&gt;0,"c","b"))</f>
        <v>0</v>
      </c>
    </row>
    <row r="565" spans="1:25" ht="13.5" hidden="1" thickBot="1" x14ac:dyDescent="0.25">
      <c r="A565" s="317" t="s">
        <v>165</v>
      </c>
      <c r="B565" s="1036" t="str">
        <f>GLOBAL_DER_FEV_2023!B565</f>
        <v/>
      </c>
      <c r="C565" s="1072" t="str">
        <f>GLOBAL_DER_FEV_2023!C565</f>
        <v/>
      </c>
      <c r="D565" s="1141">
        <f>GLOBAL_DER_FEV_2023!D565</f>
        <v>0</v>
      </c>
      <c r="E565" s="907">
        <f>GLOBAL_DER_FEV_2023!E565</f>
        <v>0</v>
      </c>
      <c r="F565" s="908">
        <f>GLOBAL_DER_FEV_2023!F565</f>
        <v>0</v>
      </c>
      <c r="G565" s="912">
        <f>GLOBAL_DER_FEV_2023!G565</f>
        <v>0</v>
      </c>
      <c r="H565" s="901">
        <f>GLOBAL_DER_FEV_2023!H565</f>
        <v>0</v>
      </c>
      <c r="I565" s="901">
        <f>GLOBAL_DER_FEV_2023!I565</f>
        <v>0</v>
      </c>
      <c r="J565" s="890">
        <f>GLOBAL_DER_FEV_2023!J565</f>
        <v>0</v>
      </c>
      <c r="K565" s="903" t="str">
        <f>GLOBAL_DER_FEV_2023!K565</f>
        <v xml:space="preserve">     </v>
      </c>
      <c r="L565" s="1137"/>
      <c r="M565" s="1140">
        <f t="shared" si="37"/>
        <v>0</v>
      </c>
      <c r="N565" s="932">
        <f t="shared" si="41"/>
        <v>0</v>
      </c>
      <c r="O565" s="905"/>
      <c r="Q565" s="317" t="str">
        <f t="shared" si="38"/>
        <v/>
      </c>
      <c r="R565" s="317" t="str">
        <f t="shared" si="39"/>
        <v/>
      </c>
      <c r="S565" s="317" t="str">
        <f t="shared" si="40"/>
        <v/>
      </c>
      <c r="T565" s="317" t="str">
        <f>GLOBAL_DER_FEV_2023!S565</f>
        <v/>
      </c>
      <c r="W565" s="582">
        <v>0</v>
      </c>
      <c r="X565" s="580"/>
      <c r="Y565" s="583">
        <f>IF(GLOBAL_DER_FEV_2023!W565=0,0,IF(GLOBAL_DER_FEV_2023!W565&gt;0,"c","b"))</f>
        <v>0</v>
      </c>
    </row>
    <row r="566" spans="1:25" ht="13.5" hidden="1" thickBot="1" x14ac:dyDescent="0.25">
      <c r="A566" s="317" t="s">
        <v>165</v>
      </c>
      <c r="B566" s="1036" t="str">
        <f>GLOBAL_DER_FEV_2023!B566</f>
        <v/>
      </c>
      <c r="C566" s="1072" t="str">
        <f>GLOBAL_DER_FEV_2023!C566</f>
        <v/>
      </c>
      <c r="D566" s="1141">
        <f>GLOBAL_DER_FEV_2023!D566</f>
        <v>0</v>
      </c>
      <c r="E566" s="907">
        <f>GLOBAL_DER_FEV_2023!E566</f>
        <v>0</v>
      </c>
      <c r="F566" s="908">
        <f>GLOBAL_DER_FEV_2023!F566</f>
        <v>0</v>
      </c>
      <c r="G566" s="912">
        <f>GLOBAL_DER_FEV_2023!G566</f>
        <v>0</v>
      </c>
      <c r="H566" s="901">
        <f>GLOBAL_DER_FEV_2023!H566</f>
        <v>0</v>
      </c>
      <c r="I566" s="901">
        <f>GLOBAL_DER_FEV_2023!I566</f>
        <v>0</v>
      </c>
      <c r="J566" s="890">
        <f>GLOBAL_DER_FEV_2023!J566</f>
        <v>0</v>
      </c>
      <c r="K566" s="903" t="str">
        <f>GLOBAL_DER_FEV_2023!K566</f>
        <v xml:space="preserve">     </v>
      </c>
      <c r="L566" s="1137"/>
      <c r="M566" s="1140">
        <f t="shared" si="37"/>
        <v>0</v>
      </c>
      <c r="N566" s="932">
        <f t="shared" si="41"/>
        <v>0</v>
      </c>
      <c r="O566" s="905"/>
      <c r="Q566" s="317" t="str">
        <f t="shared" si="38"/>
        <v/>
      </c>
      <c r="R566" s="317" t="str">
        <f t="shared" si="39"/>
        <v/>
      </c>
      <c r="S566" s="317" t="str">
        <f t="shared" si="40"/>
        <v/>
      </c>
      <c r="T566" s="317" t="str">
        <f>GLOBAL_DER_FEV_2023!S566</f>
        <v/>
      </c>
      <c r="W566" s="582">
        <v>0</v>
      </c>
      <c r="X566" s="580"/>
      <c r="Y566" s="583">
        <f>IF(GLOBAL_DER_FEV_2023!W566=0,0,IF(GLOBAL_DER_FEV_2023!W566&gt;0,"c","b"))</f>
        <v>0</v>
      </c>
    </row>
    <row r="567" spans="1:25" ht="13.5" hidden="1" thickBot="1" x14ac:dyDescent="0.25">
      <c r="A567" s="317" t="s">
        <v>165</v>
      </c>
      <c r="B567" s="1036" t="str">
        <f>GLOBAL_DER_FEV_2023!B567</f>
        <v/>
      </c>
      <c r="C567" s="1072" t="str">
        <f>GLOBAL_DER_FEV_2023!C567</f>
        <v/>
      </c>
      <c r="D567" s="1141">
        <f>GLOBAL_DER_FEV_2023!D567</f>
        <v>0</v>
      </c>
      <c r="E567" s="907">
        <f>GLOBAL_DER_FEV_2023!E567</f>
        <v>0</v>
      </c>
      <c r="F567" s="908">
        <f>GLOBAL_DER_FEV_2023!F567</f>
        <v>0</v>
      </c>
      <c r="G567" s="912">
        <f>GLOBAL_DER_FEV_2023!G567</f>
        <v>0</v>
      </c>
      <c r="H567" s="901">
        <f>GLOBAL_DER_FEV_2023!H567</f>
        <v>0</v>
      </c>
      <c r="I567" s="901">
        <f>GLOBAL_DER_FEV_2023!I567</f>
        <v>0</v>
      </c>
      <c r="J567" s="890">
        <f>GLOBAL_DER_FEV_2023!J567</f>
        <v>0</v>
      </c>
      <c r="K567" s="903" t="str">
        <f>GLOBAL_DER_FEV_2023!K567</f>
        <v xml:space="preserve">     </v>
      </c>
      <c r="L567" s="1137"/>
      <c r="M567" s="1140">
        <f t="shared" si="37"/>
        <v>0</v>
      </c>
      <c r="N567" s="932">
        <f t="shared" si="41"/>
        <v>0</v>
      </c>
      <c r="O567" s="905"/>
      <c r="Q567" s="317" t="str">
        <f t="shared" si="38"/>
        <v/>
      </c>
      <c r="R567" s="317" t="str">
        <f t="shared" si="39"/>
        <v/>
      </c>
      <c r="S567" s="317" t="str">
        <f t="shared" si="40"/>
        <v/>
      </c>
      <c r="T567" s="317" t="str">
        <f>GLOBAL_DER_FEV_2023!S567</f>
        <v/>
      </c>
      <c r="W567" s="582">
        <v>0</v>
      </c>
      <c r="X567" s="580"/>
      <c r="Y567" s="583">
        <f>IF(GLOBAL_DER_FEV_2023!W567=0,0,IF(GLOBAL_DER_FEV_2023!W567&gt;0,"c","b"))</f>
        <v>0</v>
      </c>
    </row>
    <row r="568" spans="1:25" ht="13.5" hidden="1" thickBot="1" x14ac:dyDescent="0.25">
      <c r="A568" s="317" t="s">
        <v>165</v>
      </c>
      <c r="B568" s="1036" t="str">
        <f>GLOBAL_DER_FEV_2023!B568</f>
        <v/>
      </c>
      <c r="C568" s="1072" t="str">
        <f>GLOBAL_DER_FEV_2023!C568</f>
        <v/>
      </c>
      <c r="D568" s="1141">
        <f>GLOBAL_DER_FEV_2023!D568</f>
        <v>0</v>
      </c>
      <c r="E568" s="907">
        <f>GLOBAL_DER_FEV_2023!E568</f>
        <v>0</v>
      </c>
      <c r="F568" s="908">
        <f>GLOBAL_DER_FEV_2023!F568</f>
        <v>0</v>
      </c>
      <c r="G568" s="912">
        <f>GLOBAL_DER_FEV_2023!G568</f>
        <v>0</v>
      </c>
      <c r="H568" s="901">
        <f>GLOBAL_DER_FEV_2023!H568</f>
        <v>0</v>
      </c>
      <c r="I568" s="901">
        <f>GLOBAL_DER_FEV_2023!I568</f>
        <v>0</v>
      </c>
      <c r="J568" s="890">
        <f>GLOBAL_DER_FEV_2023!J568</f>
        <v>0</v>
      </c>
      <c r="K568" s="903" t="str">
        <f>GLOBAL_DER_FEV_2023!K568</f>
        <v xml:space="preserve">     </v>
      </c>
      <c r="L568" s="1137"/>
      <c r="M568" s="1140">
        <f t="shared" si="37"/>
        <v>0</v>
      </c>
      <c r="N568" s="932">
        <f t="shared" si="41"/>
        <v>0</v>
      </c>
      <c r="O568" s="905"/>
      <c r="Q568" s="317" t="str">
        <f t="shared" si="38"/>
        <v/>
      </c>
      <c r="R568" s="317" t="str">
        <f t="shared" si="39"/>
        <v/>
      </c>
      <c r="S568" s="317" t="str">
        <f t="shared" si="40"/>
        <v/>
      </c>
      <c r="T568" s="317" t="str">
        <f>GLOBAL_DER_FEV_2023!S568</f>
        <v/>
      </c>
      <c r="W568" s="582">
        <v>0</v>
      </c>
      <c r="X568" s="580"/>
      <c r="Y568" s="583">
        <f>IF(GLOBAL_DER_FEV_2023!W568=0,0,IF(GLOBAL_DER_FEV_2023!W568&gt;0,"c","b"))</f>
        <v>0</v>
      </c>
    </row>
    <row r="569" spans="1:25" ht="13.5" hidden="1" thickBot="1" x14ac:dyDescent="0.25">
      <c r="A569" s="317" t="s">
        <v>165</v>
      </c>
      <c r="B569" s="1036" t="str">
        <f>GLOBAL_DER_FEV_2023!B569</f>
        <v/>
      </c>
      <c r="C569" s="1072" t="str">
        <f>GLOBAL_DER_FEV_2023!C569</f>
        <v/>
      </c>
      <c r="D569" s="1141">
        <f>GLOBAL_DER_FEV_2023!D569</f>
        <v>0</v>
      </c>
      <c r="E569" s="907">
        <f>GLOBAL_DER_FEV_2023!E569</f>
        <v>0</v>
      </c>
      <c r="F569" s="908">
        <f>GLOBAL_DER_FEV_2023!F569</f>
        <v>0</v>
      </c>
      <c r="G569" s="912">
        <f>GLOBAL_DER_FEV_2023!G569</f>
        <v>0</v>
      </c>
      <c r="H569" s="901">
        <f>GLOBAL_DER_FEV_2023!H569</f>
        <v>0</v>
      </c>
      <c r="I569" s="901">
        <f>GLOBAL_DER_FEV_2023!I569</f>
        <v>0</v>
      </c>
      <c r="J569" s="890">
        <f>GLOBAL_DER_FEV_2023!J569</f>
        <v>0</v>
      </c>
      <c r="K569" s="903" t="str">
        <f>GLOBAL_DER_FEV_2023!K569</f>
        <v xml:space="preserve">     </v>
      </c>
      <c r="L569" s="1137"/>
      <c r="M569" s="1140">
        <f t="shared" si="37"/>
        <v>0</v>
      </c>
      <c r="N569" s="932">
        <f t="shared" si="41"/>
        <v>0</v>
      </c>
      <c r="O569" s="905"/>
      <c r="Q569" s="317" t="str">
        <f t="shared" si="38"/>
        <v/>
      </c>
      <c r="R569" s="317" t="str">
        <f t="shared" si="39"/>
        <v/>
      </c>
      <c r="S569" s="317" t="str">
        <f t="shared" si="40"/>
        <v/>
      </c>
      <c r="T569" s="317" t="str">
        <f>GLOBAL_DER_FEV_2023!S569</f>
        <v/>
      </c>
      <c r="W569" s="582">
        <v>0</v>
      </c>
      <c r="X569" s="580"/>
      <c r="Y569" s="583">
        <f>IF(GLOBAL_DER_FEV_2023!W569=0,0,IF(GLOBAL_DER_FEV_2023!W569&gt;0,"c","b"))</f>
        <v>0</v>
      </c>
    </row>
    <row r="570" spans="1:25" ht="13.5" hidden="1" thickBot="1" x14ac:dyDescent="0.25">
      <c r="A570" s="317" t="s">
        <v>165</v>
      </c>
      <c r="B570" s="1036" t="str">
        <f>GLOBAL_DER_FEV_2023!B570</f>
        <v/>
      </c>
      <c r="C570" s="1072" t="str">
        <f>GLOBAL_DER_FEV_2023!C570</f>
        <v/>
      </c>
      <c r="D570" s="1141">
        <f>GLOBAL_DER_FEV_2023!D570</f>
        <v>0</v>
      </c>
      <c r="E570" s="907">
        <f>GLOBAL_DER_FEV_2023!E570</f>
        <v>0</v>
      </c>
      <c r="F570" s="908">
        <f>GLOBAL_DER_FEV_2023!F570</f>
        <v>0</v>
      </c>
      <c r="G570" s="912">
        <f>GLOBAL_DER_FEV_2023!G570</f>
        <v>0</v>
      </c>
      <c r="H570" s="901">
        <f>GLOBAL_DER_FEV_2023!H570</f>
        <v>0</v>
      </c>
      <c r="I570" s="901">
        <f>GLOBAL_DER_FEV_2023!I570</f>
        <v>0</v>
      </c>
      <c r="J570" s="890">
        <f>GLOBAL_DER_FEV_2023!J570</f>
        <v>0</v>
      </c>
      <c r="K570" s="903" t="str">
        <f>GLOBAL_DER_FEV_2023!K570</f>
        <v xml:space="preserve">     </v>
      </c>
      <c r="L570" s="1137"/>
      <c r="M570" s="1140">
        <f t="shared" si="37"/>
        <v>0</v>
      </c>
      <c r="N570" s="932">
        <f t="shared" si="41"/>
        <v>0</v>
      </c>
      <c r="O570" s="905"/>
      <c r="Q570" s="317" t="str">
        <f t="shared" si="38"/>
        <v/>
      </c>
      <c r="R570" s="317" t="str">
        <f t="shared" si="39"/>
        <v/>
      </c>
      <c r="S570" s="317" t="str">
        <f t="shared" si="40"/>
        <v/>
      </c>
      <c r="T570" s="317" t="str">
        <f>GLOBAL_DER_FEV_2023!S570</f>
        <v/>
      </c>
      <c r="W570" s="582">
        <v>0</v>
      </c>
      <c r="X570" s="580"/>
      <c r="Y570" s="583">
        <f>IF(GLOBAL_DER_FEV_2023!W570=0,0,IF(GLOBAL_DER_FEV_2023!W570&gt;0,"c","b"))</f>
        <v>0</v>
      </c>
    </row>
    <row r="571" spans="1:25" ht="13.5" hidden="1" thickBot="1" x14ac:dyDescent="0.25">
      <c r="A571" s="317" t="s">
        <v>165</v>
      </c>
      <c r="B571" s="1036" t="str">
        <f>GLOBAL_DER_FEV_2023!B571</f>
        <v/>
      </c>
      <c r="C571" s="1072" t="str">
        <f>GLOBAL_DER_FEV_2023!C571</f>
        <v/>
      </c>
      <c r="D571" s="1141">
        <f>GLOBAL_DER_FEV_2023!D571</f>
        <v>0</v>
      </c>
      <c r="E571" s="907">
        <f>GLOBAL_DER_FEV_2023!E571</f>
        <v>0</v>
      </c>
      <c r="F571" s="908">
        <f>GLOBAL_DER_FEV_2023!F571</f>
        <v>0</v>
      </c>
      <c r="G571" s="912">
        <f>GLOBAL_DER_FEV_2023!G571</f>
        <v>0</v>
      </c>
      <c r="H571" s="901">
        <f>GLOBAL_DER_FEV_2023!H571</f>
        <v>0</v>
      </c>
      <c r="I571" s="901">
        <f>GLOBAL_DER_FEV_2023!I571</f>
        <v>0</v>
      </c>
      <c r="J571" s="890">
        <f>GLOBAL_DER_FEV_2023!J571</f>
        <v>0</v>
      </c>
      <c r="K571" s="903" t="str">
        <f>GLOBAL_DER_FEV_2023!K571</f>
        <v xml:space="preserve">     </v>
      </c>
      <c r="L571" s="1137"/>
      <c r="M571" s="1140">
        <f t="shared" si="37"/>
        <v>0</v>
      </c>
      <c r="N571" s="932">
        <f t="shared" si="41"/>
        <v>0</v>
      </c>
      <c r="O571" s="905"/>
      <c r="Q571" s="317" t="str">
        <f t="shared" si="38"/>
        <v/>
      </c>
      <c r="R571" s="317" t="str">
        <f t="shared" si="39"/>
        <v/>
      </c>
      <c r="S571" s="317" t="str">
        <f t="shared" si="40"/>
        <v/>
      </c>
      <c r="T571" s="317" t="str">
        <f>GLOBAL_DER_FEV_2023!S571</f>
        <v/>
      </c>
      <c r="W571" s="582">
        <v>0</v>
      </c>
      <c r="X571" s="580"/>
      <c r="Y571" s="583">
        <f>IF(GLOBAL_DER_FEV_2023!W571=0,0,IF(GLOBAL_DER_FEV_2023!W571&gt;0,"c","b"))</f>
        <v>0</v>
      </c>
    </row>
    <row r="572" spans="1:25" ht="13.5" hidden="1" thickBot="1" x14ac:dyDescent="0.25">
      <c r="A572" s="317" t="s">
        <v>165</v>
      </c>
      <c r="B572" s="1036" t="str">
        <f>GLOBAL_DER_FEV_2023!B572</f>
        <v/>
      </c>
      <c r="C572" s="1072" t="str">
        <f>GLOBAL_DER_FEV_2023!C572</f>
        <v/>
      </c>
      <c r="D572" s="1141">
        <f>GLOBAL_DER_FEV_2023!D572</f>
        <v>0</v>
      </c>
      <c r="E572" s="907">
        <f>GLOBAL_DER_FEV_2023!E572</f>
        <v>0</v>
      </c>
      <c r="F572" s="908">
        <f>GLOBAL_DER_FEV_2023!F572</f>
        <v>0</v>
      </c>
      <c r="G572" s="912">
        <f>GLOBAL_DER_FEV_2023!G572</f>
        <v>0</v>
      </c>
      <c r="H572" s="901">
        <f>GLOBAL_DER_FEV_2023!H572</f>
        <v>0</v>
      </c>
      <c r="I572" s="901">
        <f>GLOBAL_DER_FEV_2023!I572</f>
        <v>0</v>
      </c>
      <c r="J572" s="890">
        <f>GLOBAL_DER_FEV_2023!J572</f>
        <v>0</v>
      </c>
      <c r="K572" s="903" t="str">
        <f>GLOBAL_DER_FEV_2023!K572</f>
        <v xml:space="preserve">     </v>
      </c>
      <c r="L572" s="1137"/>
      <c r="M572" s="1140">
        <f t="shared" si="37"/>
        <v>0</v>
      </c>
      <c r="N572" s="932">
        <f t="shared" si="41"/>
        <v>0</v>
      </c>
      <c r="O572" s="905"/>
      <c r="Q572" s="317" t="str">
        <f t="shared" si="38"/>
        <v/>
      </c>
      <c r="R572" s="317" t="str">
        <f t="shared" si="39"/>
        <v/>
      </c>
      <c r="S572" s="317" t="str">
        <f t="shared" si="40"/>
        <v/>
      </c>
      <c r="T572" s="317" t="str">
        <f>GLOBAL_DER_FEV_2023!S572</f>
        <v/>
      </c>
      <c r="W572" s="582">
        <v>0</v>
      </c>
      <c r="X572" s="580"/>
      <c r="Y572" s="583">
        <f>IF(GLOBAL_DER_FEV_2023!W572=0,0,IF(GLOBAL_DER_FEV_2023!W572&gt;0,"c","b"))</f>
        <v>0</v>
      </c>
    </row>
    <row r="573" spans="1:25" ht="13.5" hidden="1" thickBot="1" x14ac:dyDescent="0.25">
      <c r="A573" s="317" t="s">
        <v>165</v>
      </c>
      <c r="B573" s="1036" t="str">
        <f>GLOBAL_DER_FEV_2023!B573</f>
        <v/>
      </c>
      <c r="C573" s="1072" t="str">
        <f>GLOBAL_DER_FEV_2023!C573</f>
        <v/>
      </c>
      <c r="D573" s="1141">
        <f>GLOBAL_DER_FEV_2023!D573</f>
        <v>0</v>
      </c>
      <c r="E573" s="907">
        <f>GLOBAL_DER_FEV_2023!E573</f>
        <v>0</v>
      </c>
      <c r="F573" s="908">
        <f>GLOBAL_DER_FEV_2023!F573</f>
        <v>0</v>
      </c>
      <c r="G573" s="912">
        <f>GLOBAL_DER_FEV_2023!G573</f>
        <v>0</v>
      </c>
      <c r="H573" s="901">
        <f>GLOBAL_DER_FEV_2023!H573</f>
        <v>0</v>
      </c>
      <c r="I573" s="901">
        <f>GLOBAL_DER_FEV_2023!I573</f>
        <v>0</v>
      </c>
      <c r="J573" s="890">
        <f>GLOBAL_DER_FEV_2023!J573</f>
        <v>0</v>
      </c>
      <c r="K573" s="903" t="str">
        <f>GLOBAL_DER_FEV_2023!K573</f>
        <v xml:space="preserve">     </v>
      </c>
      <c r="L573" s="1137"/>
      <c r="M573" s="1140">
        <f t="shared" si="37"/>
        <v>0</v>
      </c>
      <c r="N573" s="932">
        <f t="shared" si="41"/>
        <v>0</v>
      </c>
      <c r="O573" s="905"/>
      <c r="Q573" s="317" t="str">
        <f t="shared" si="38"/>
        <v/>
      </c>
      <c r="R573" s="317" t="str">
        <f t="shared" si="39"/>
        <v/>
      </c>
      <c r="S573" s="317" t="str">
        <f t="shared" si="40"/>
        <v/>
      </c>
      <c r="T573" s="317" t="str">
        <f>GLOBAL_DER_FEV_2023!S573</f>
        <v/>
      </c>
      <c r="W573" s="582">
        <v>0</v>
      </c>
      <c r="X573" s="580"/>
      <c r="Y573" s="583">
        <f>IF(GLOBAL_DER_FEV_2023!W573=0,0,IF(GLOBAL_DER_FEV_2023!W573&gt;0,"c","b"))</f>
        <v>0</v>
      </c>
    </row>
    <row r="574" spans="1:25" ht="13.5" hidden="1" thickBot="1" x14ac:dyDescent="0.25">
      <c r="A574" s="317" t="s">
        <v>165</v>
      </c>
      <c r="B574" s="1036" t="str">
        <f>GLOBAL_DER_FEV_2023!B574</f>
        <v/>
      </c>
      <c r="C574" s="1072" t="str">
        <f>GLOBAL_DER_FEV_2023!C574</f>
        <v/>
      </c>
      <c r="D574" s="1141">
        <f>GLOBAL_DER_FEV_2023!D574</f>
        <v>0</v>
      </c>
      <c r="E574" s="907">
        <f>GLOBAL_DER_FEV_2023!E574</f>
        <v>0</v>
      </c>
      <c r="F574" s="908">
        <f>GLOBAL_DER_FEV_2023!F574</f>
        <v>0</v>
      </c>
      <c r="G574" s="912">
        <f>GLOBAL_DER_FEV_2023!G574</f>
        <v>0</v>
      </c>
      <c r="H574" s="901">
        <f>GLOBAL_DER_FEV_2023!H574</f>
        <v>0</v>
      </c>
      <c r="I574" s="901">
        <f>GLOBAL_DER_FEV_2023!I574</f>
        <v>0</v>
      </c>
      <c r="J574" s="890">
        <f>GLOBAL_DER_FEV_2023!J574</f>
        <v>0</v>
      </c>
      <c r="K574" s="903" t="str">
        <f>GLOBAL_DER_FEV_2023!K574</f>
        <v xml:space="preserve">     </v>
      </c>
      <c r="L574" s="1137"/>
      <c r="M574" s="1140">
        <f t="shared" si="37"/>
        <v>0</v>
      </c>
      <c r="N574" s="932">
        <f t="shared" si="41"/>
        <v>0</v>
      </c>
      <c r="O574" s="905"/>
      <c r="Q574" s="317" t="str">
        <f t="shared" si="38"/>
        <v/>
      </c>
      <c r="R574" s="317" t="str">
        <f t="shared" si="39"/>
        <v/>
      </c>
      <c r="S574" s="317" t="str">
        <f t="shared" si="40"/>
        <v/>
      </c>
      <c r="T574" s="317" t="str">
        <f>GLOBAL_DER_FEV_2023!S574</f>
        <v/>
      </c>
      <c r="W574" s="582">
        <v>0</v>
      </c>
      <c r="X574" s="580"/>
      <c r="Y574" s="583">
        <f>IF(GLOBAL_DER_FEV_2023!W574=0,0,IF(GLOBAL_DER_FEV_2023!W574&gt;0,"c","b"))</f>
        <v>0</v>
      </c>
    </row>
    <row r="575" spans="1:25" ht="13.5" hidden="1" thickBot="1" x14ac:dyDescent="0.25">
      <c r="A575" s="317" t="s">
        <v>165</v>
      </c>
      <c r="B575" s="1036" t="str">
        <f>GLOBAL_DER_FEV_2023!B575</f>
        <v/>
      </c>
      <c r="C575" s="1072" t="str">
        <f>GLOBAL_DER_FEV_2023!C575</f>
        <v/>
      </c>
      <c r="D575" s="1141">
        <f>GLOBAL_DER_FEV_2023!D575</f>
        <v>0</v>
      </c>
      <c r="E575" s="907">
        <f>GLOBAL_DER_FEV_2023!E575</f>
        <v>0</v>
      </c>
      <c r="F575" s="908">
        <f>GLOBAL_DER_FEV_2023!F575</f>
        <v>0</v>
      </c>
      <c r="G575" s="912">
        <f>GLOBAL_DER_FEV_2023!G575</f>
        <v>0</v>
      </c>
      <c r="H575" s="901">
        <f>GLOBAL_DER_FEV_2023!H575</f>
        <v>0</v>
      </c>
      <c r="I575" s="901">
        <f>GLOBAL_DER_FEV_2023!I575</f>
        <v>0</v>
      </c>
      <c r="J575" s="890">
        <f>GLOBAL_DER_FEV_2023!J575</f>
        <v>0</v>
      </c>
      <c r="K575" s="903" t="str">
        <f>GLOBAL_DER_FEV_2023!K575</f>
        <v xml:space="preserve">     </v>
      </c>
      <c r="L575" s="1137"/>
      <c r="M575" s="1140">
        <f t="shared" si="37"/>
        <v>0</v>
      </c>
      <c r="N575" s="932">
        <f t="shared" si="41"/>
        <v>0</v>
      </c>
      <c r="O575" s="905"/>
      <c r="Q575" s="317" t="str">
        <f t="shared" si="38"/>
        <v/>
      </c>
      <c r="R575" s="317" t="str">
        <f t="shared" si="39"/>
        <v/>
      </c>
      <c r="S575" s="317" t="str">
        <f t="shared" si="40"/>
        <v/>
      </c>
      <c r="T575" s="317" t="str">
        <f>GLOBAL_DER_FEV_2023!S575</f>
        <v/>
      </c>
      <c r="W575" s="582">
        <v>0</v>
      </c>
      <c r="X575" s="580"/>
      <c r="Y575" s="583">
        <f>IF(GLOBAL_DER_FEV_2023!W575=0,0,IF(GLOBAL_DER_FEV_2023!W575&gt;0,"c","b"))</f>
        <v>0</v>
      </c>
    </row>
    <row r="576" spans="1:25" ht="13.5" hidden="1" thickBot="1" x14ac:dyDescent="0.25">
      <c r="A576" s="317" t="s">
        <v>165</v>
      </c>
      <c r="B576" s="1036" t="str">
        <f>GLOBAL_DER_FEV_2023!B576</f>
        <v/>
      </c>
      <c r="C576" s="1072" t="str">
        <f>GLOBAL_DER_FEV_2023!C576</f>
        <v/>
      </c>
      <c r="D576" s="1141">
        <f>GLOBAL_DER_FEV_2023!D576</f>
        <v>0</v>
      </c>
      <c r="E576" s="907">
        <f>GLOBAL_DER_FEV_2023!E576</f>
        <v>0</v>
      </c>
      <c r="F576" s="908">
        <f>GLOBAL_DER_FEV_2023!F576</f>
        <v>0</v>
      </c>
      <c r="G576" s="912">
        <f>GLOBAL_DER_FEV_2023!G576</f>
        <v>0</v>
      </c>
      <c r="H576" s="901">
        <f>GLOBAL_DER_FEV_2023!H576</f>
        <v>0</v>
      </c>
      <c r="I576" s="901">
        <f>GLOBAL_DER_FEV_2023!I576</f>
        <v>0</v>
      </c>
      <c r="J576" s="890">
        <f>GLOBAL_DER_FEV_2023!J576</f>
        <v>0</v>
      </c>
      <c r="K576" s="903" t="str">
        <f>GLOBAL_DER_FEV_2023!K576</f>
        <v xml:space="preserve">     </v>
      </c>
      <c r="L576" s="1137"/>
      <c r="M576" s="1140">
        <f t="shared" si="37"/>
        <v>0</v>
      </c>
      <c r="N576" s="932">
        <f t="shared" si="41"/>
        <v>0</v>
      </c>
      <c r="O576" s="905"/>
      <c r="Q576" s="317" t="str">
        <f t="shared" si="38"/>
        <v/>
      </c>
      <c r="R576" s="317" t="str">
        <f t="shared" si="39"/>
        <v/>
      </c>
      <c r="S576" s="317" t="str">
        <f t="shared" si="40"/>
        <v/>
      </c>
      <c r="T576" s="317" t="str">
        <f>GLOBAL_DER_FEV_2023!S576</f>
        <v/>
      </c>
      <c r="W576" s="582">
        <v>0</v>
      </c>
      <c r="X576" s="580"/>
      <c r="Y576" s="583">
        <f>IF(GLOBAL_DER_FEV_2023!W576=0,0,IF(GLOBAL_DER_FEV_2023!W576&gt;0,"c","b"))</f>
        <v>0</v>
      </c>
    </row>
    <row r="577" spans="1:25" ht="13.5" hidden="1" thickBot="1" x14ac:dyDescent="0.25">
      <c r="A577" s="317" t="s">
        <v>165</v>
      </c>
      <c r="B577" s="1036" t="str">
        <f>GLOBAL_DER_FEV_2023!B577</f>
        <v/>
      </c>
      <c r="C577" s="1072" t="str">
        <f>GLOBAL_DER_FEV_2023!C577</f>
        <v/>
      </c>
      <c r="D577" s="1141">
        <f>GLOBAL_DER_FEV_2023!D577</f>
        <v>0</v>
      </c>
      <c r="E577" s="907">
        <f>GLOBAL_DER_FEV_2023!E577</f>
        <v>0</v>
      </c>
      <c r="F577" s="908">
        <f>GLOBAL_DER_FEV_2023!F577</f>
        <v>0</v>
      </c>
      <c r="G577" s="912">
        <f>GLOBAL_DER_FEV_2023!G577</f>
        <v>0</v>
      </c>
      <c r="H577" s="901">
        <f>GLOBAL_DER_FEV_2023!H577</f>
        <v>0</v>
      </c>
      <c r="I577" s="901">
        <f>GLOBAL_DER_FEV_2023!I577</f>
        <v>0</v>
      </c>
      <c r="J577" s="890">
        <f>GLOBAL_DER_FEV_2023!J577</f>
        <v>0</v>
      </c>
      <c r="K577" s="903" t="str">
        <f>GLOBAL_DER_FEV_2023!K577</f>
        <v xml:space="preserve">     </v>
      </c>
      <c r="L577" s="1137"/>
      <c r="M577" s="1140">
        <f t="shared" si="37"/>
        <v>0</v>
      </c>
      <c r="N577" s="932">
        <f t="shared" si="41"/>
        <v>0</v>
      </c>
      <c r="O577" s="905"/>
      <c r="Q577" s="317" t="str">
        <f t="shared" si="38"/>
        <v/>
      </c>
      <c r="R577" s="317" t="str">
        <f t="shared" si="39"/>
        <v/>
      </c>
      <c r="S577" s="317" t="str">
        <f t="shared" si="40"/>
        <v/>
      </c>
      <c r="T577" s="317" t="str">
        <f>GLOBAL_DER_FEV_2023!S577</f>
        <v/>
      </c>
      <c r="W577" s="582">
        <v>0</v>
      </c>
      <c r="X577" s="580"/>
      <c r="Y577" s="583">
        <f>IF(GLOBAL_DER_FEV_2023!W577=0,0,IF(GLOBAL_DER_FEV_2023!W577&gt;0,"c","b"))</f>
        <v>0</v>
      </c>
    </row>
    <row r="578" spans="1:25" ht="13.5" hidden="1" thickBot="1" x14ac:dyDescent="0.25">
      <c r="A578" s="317" t="s">
        <v>165</v>
      </c>
      <c r="B578" s="1036" t="str">
        <f>GLOBAL_DER_FEV_2023!B578</f>
        <v/>
      </c>
      <c r="C578" s="1072" t="str">
        <f>GLOBAL_DER_FEV_2023!C578</f>
        <v/>
      </c>
      <c r="D578" s="1141">
        <f>GLOBAL_DER_FEV_2023!D578</f>
        <v>0</v>
      </c>
      <c r="E578" s="907">
        <f>GLOBAL_DER_FEV_2023!E578</f>
        <v>0</v>
      </c>
      <c r="F578" s="908">
        <f>GLOBAL_DER_FEV_2023!F578</f>
        <v>0</v>
      </c>
      <c r="G578" s="912">
        <f>GLOBAL_DER_FEV_2023!G578</f>
        <v>0</v>
      </c>
      <c r="H578" s="901">
        <f>GLOBAL_DER_FEV_2023!H578</f>
        <v>0</v>
      </c>
      <c r="I578" s="901">
        <f>GLOBAL_DER_FEV_2023!I578</f>
        <v>0</v>
      </c>
      <c r="J578" s="890">
        <f>GLOBAL_DER_FEV_2023!J578</f>
        <v>0</v>
      </c>
      <c r="K578" s="903" t="str">
        <f>GLOBAL_DER_FEV_2023!K578</f>
        <v xml:space="preserve">     </v>
      </c>
      <c r="L578" s="1137"/>
      <c r="M578" s="1140">
        <f t="shared" si="37"/>
        <v>0</v>
      </c>
      <c r="N578" s="932">
        <f t="shared" si="41"/>
        <v>0</v>
      </c>
      <c r="O578" s="905"/>
      <c r="Q578" s="317" t="str">
        <f t="shared" si="38"/>
        <v/>
      </c>
      <c r="R578" s="317" t="str">
        <f t="shared" si="39"/>
        <v/>
      </c>
      <c r="S578" s="317" t="str">
        <f t="shared" si="40"/>
        <v/>
      </c>
      <c r="T578" s="317" t="str">
        <f>GLOBAL_DER_FEV_2023!S578</f>
        <v/>
      </c>
      <c r="W578" s="582">
        <v>0</v>
      </c>
      <c r="X578" s="580"/>
      <c r="Y578" s="583">
        <f>IF(GLOBAL_DER_FEV_2023!W578=0,0,IF(GLOBAL_DER_FEV_2023!W578&gt;0,"c","b"))</f>
        <v>0</v>
      </c>
    </row>
    <row r="579" spans="1:25" ht="13.5" hidden="1" thickBot="1" x14ac:dyDescent="0.25">
      <c r="A579" s="317" t="s">
        <v>165</v>
      </c>
      <c r="B579" s="1036" t="str">
        <f>GLOBAL_DER_FEV_2023!B579</f>
        <v/>
      </c>
      <c r="C579" s="1072" t="str">
        <f>GLOBAL_DER_FEV_2023!C579</f>
        <v/>
      </c>
      <c r="D579" s="1141">
        <f>GLOBAL_DER_FEV_2023!D579</f>
        <v>0</v>
      </c>
      <c r="E579" s="907">
        <f>GLOBAL_DER_FEV_2023!E579</f>
        <v>0</v>
      </c>
      <c r="F579" s="908">
        <f>GLOBAL_DER_FEV_2023!F579</f>
        <v>0</v>
      </c>
      <c r="G579" s="912">
        <f>GLOBAL_DER_FEV_2023!G579</f>
        <v>0</v>
      </c>
      <c r="H579" s="901">
        <f>GLOBAL_DER_FEV_2023!H579</f>
        <v>0</v>
      </c>
      <c r="I579" s="901">
        <f>GLOBAL_DER_FEV_2023!I579</f>
        <v>0</v>
      </c>
      <c r="J579" s="890">
        <f>GLOBAL_DER_FEV_2023!J579</f>
        <v>0</v>
      </c>
      <c r="K579" s="903" t="str">
        <f>GLOBAL_DER_FEV_2023!K579</f>
        <v xml:space="preserve">     </v>
      </c>
      <c r="L579" s="1137"/>
      <c r="M579" s="1140">
        <f t="shared" si="37"/>
        <v>0</v>
      </c>
      <c r="N579" s="932">
        <f t="shared" si="41"/>
        <v>0</v>
      </c>
      <c r="O579" s="905"/>
      <c r="Q579" s="317" t="str">
        <f t="shared" si="38"/>
        <v/>
      </c>
      <c r="R579" s="317" t="str">
        <f t="shared" si="39"/>
        <v/>
      </c>
      <c r="S579" s="317" t="str">
        <f t="shared" si="40"/>
        <v/>
      </c>
      <c r="T579" s="317" t="str">
        <f>GLOBAL_DER_FEV_2023!S579</f>
        <v/>
      </c>
      <c r="W579" s="582">
        <v>0</v>
      </c>
      <c r="X579" s="580"/>
      <c r="Y579" s="583">
        <f>IF(GLOBAL_DER_FEV_2023!W579=0,0,IF(GLOBAL_DER_FEV_2023!W579&gt;0,"c","b"))</f>
        <v>0</v>
      </c>
    </row>
    <row r="580" spans="1:25" ht="13.5" hidden="1" thickBot="1" x14ac:dyDescent="0.25">
      <c r="A580" s="317" t="s">
        <v>165</v>
      </c>
      <c r="B580" s="1036" t="str">
        <f>GLOBAL_DER_FEV_2023!B580</f>
        <v/>
      </c>
      <c r="C580" s="1072" t="str">
        <f>GLOBAL_DER_FEV_2023!C580</f>
        <v/>
      </c>
      <c r="D580" s="1141">
        <f>GLOBAL_DER_FEV_2023!D580</f>
        <v>0</v>
      </c>
      <c r="E580" s="907">
        <f>GLOBAL_DER_FEV_2023!E580</f>
        <v>0</v>
      </c>
      <c r="F580" s="908">
        <f>GLOBAL_DER_FEV_2023!F580</f>
        <v>0</v>
      </c>
      <c r="G580" s="912">
        <f>GLOBAL_DER_FEV_2023!G580</f>
        <v>0</v>
      </c>
      <c r="H580" s="901">
        <f>GLOBAL_DER_FEV_2023!H580</f>
        <v>0</v>
      </c>
      <c r="I580" s="901">
        <f>GLOBAL_DER_FEV_2023!I580</f>
        <v>0</v>
      </c>
      <c r="J580" s="890">
        <f>GLOBAL_DER_FEV_2023!J580</f>
        <v>0</v>
      </c>
      <c r="K580" s="903" t="str">
        <f>GLOBAL_DER_FEV_2023!K580</f>
        <v xml:space="preserve">     </v>
      </c>
      <c r="L580" s="1137"/>
      <c r="M580" s="1140">
        <f t="shared" si="37"/>
        <v>0</v>
      </c>
      <c r="N580" s="932">
        <f t="shared" si="41"/>
        <v>0</v>
      </c>
      <c r="O580" s="905"/>
      <c r="Q580" s="317" t="str">
        <f t="shared" si="38"/>
        <v/>
      </c>
      <c r="R580" s="317" t="str">
        <f t="shared" si="39"/>
        <v/>
      </c>
      <c r="S580" s="317" t="str">
        <f t="shared" si="40"/>
        <v/>
      </c>
      <c r="T580" s="317" t="str">
        <f>GLOBAL_DER_FEV_2023!S580</f>
        <v/>
      </c>
      <c r="W580" s="582">
        <v>0</v>
      </c>
      <c r="X580" s="580"/>
      <c r="Y580" s="583">
        <f>IF(GLOBAL_DER_FEV_2023!W580=0,0,IF(GLOBAL_DER_FEV_2023!W580&gt;0,"c","b"))</f>
        <v>0</v>
      </c>
    </row>
    <row r="581" spans="1:25" ht="13.5" hidden="1" thickBot="1" x14ac:dyDescent="0.25">
      <c r="A581" s="317" t="s">
        <v>165</v>
      </c>
      <c r="B581" s="1036" t="str">
        <f>GLOBAL_DER_FEV_2023!B581</f>
        <v/>
      </c>
      <c r="C581" s="1072" t="str">
        <f>GLOBAL_DER_FEV_2023!C581</f>
        <v/>
      </c>
      <c r="D581" s="1141">
        <f>GLOBAL_DER_FEV_2023!D581</f>
        <v>0</v>
      </c>
      <c r="E581" s="907">
        <f>GLOBAL_DER_FEV_2023!E581</f>
        <v>0</v>
      </c>
      <c r="F581" s="908">
        <f>GLOBAL_DER_FEV_2023!F581</f>
        <v>0</v>
      </c>
      <c r="G581" s="912">
        <f>GLOBAL_DER_FEV_2023!G581</f>
        <v>0</v>
      </c>
      <c r="H581" s="901">
        <f>GLOBAL_DER_FEV_2023!H581</f>
        <v>0</v>
      </c>
      <c r="I581" s="901">
        <f>GLOBAL_DER_FEV_2023!I581</f>
        <v>0</v>
      </c>
      <c r="J581" s="890">
        <f>GLOBAL_DER_FEV_2023!J581</f>
        <v>0</v>
      </c>
      <c r="K581" s="903" t="str">
        <f>GLOBAL_DER_FEV_2023!K581</f>
        <v xml:space="preserve">     </v>
      </c>
      <c r="L581" s="1137"/>
      <c r="M581" s="1140">
        <f t="shared" si="37"/>
        <v>0</v>
      </c>
      <c r="N581" s="932">
        <f t="shared" si="41"/>
        <v>0</v>
      </c>
      <c r="O581" s="905"/>
      <c r="Q581" s="317" t="str">
        <f t="shared" si="38"/>
        <v/>
      </c>
      <c r="R581" s="317" t="str">
        <f t="shared" si="39"/>
        <v/>
      </c>
      <c r="S581" s="317" t="str">
        <f t="shared" si="40"/>
        <v/>
      </c>
      <c r="T581" s="317" t="str">
        <f>GLOBAL_DER_FEV_2023!S581</f>
        <v/>
      </c>
      <c r="W581" s="582">
        <v>0</v>
      </c>
      <c r="X581" s="580"/>
      <c r="Y581" s="583">
        <f>IF(GLOBAL_DER_FEV_2023!W581=0,0,IF(GLOBAL_DER_FEV_2023!W581&gt;0,"c","b"))</f>
        <v>0</v>
      </c>
    </row>
    <row r="582" spans="1:25" ht="13.5" hidden="1" thickBot="1" x14ac:dyDescent="0.25">
      <c r="A582" s="317" t="s">
        <v>165</v>
      </c>
      <c r="B582" s="1036" t="str">
        <f>GLOBAL_DER_FEV_2023!B582</f>
        <v/>
      </c>
      <c r="C582" s="1072" t="str">
        <f>GLOBAL_DER_FEV_2023!C582</f>
        <v/>
      </c>
      <c r="D582" s="1141">
        <f>GLOBAL_DER_FEV_2023!D582</f>
        <v>0</v>
      </c>
      <c r="E582" s="907">
        <f>GLOBAL_DER_FEV_2023!E582</f>
        <v>0</v>
      </c>
      <c r="F582" s="908">
        <f>GLOBAL_DER_FEV_2023!F582</f>
        <v>0</v>
      </c>
      <c r="G582" s="912">
        <f>GLOBAL_DER_FEV_2023!G582</f>
        <v>0</v>
      </c>
      <c r="H582" s="901">
        <f>GLOBAL_DER_FEV_2023!H582</f>
        <v>0</v>
      </c>
      <c r="I582" s="901">
        <f>GLOBAL_DER_FEV_2023!I582</f>
        <v>0</v>
      </c>
      <c r="J582" s="890">
        <f>GLOBAL_DER_FEV_2023!J582</f>
        <v>0</v>
      </c>
      <c r="K582" s="903" t="str">
        <f>GLOBAL_DER_FEV_2023!K582</f>
        <v xml:space="preserve">     </v>
      </c>
      <c r="L582" s="1137"/>
      <c r="M582" s="1140">
        <f t="shared" si="37"/>
        <v>0</v>
      </c>
      <c r="N582" s="932">
        <f t="shared" si="41"/>
        <v>0</v>
      </c>
      <c r="O582" s="905"/>
      <c r="Q582" s="317" t="str">
        <f t="shared" si="38"/>
        <v/>
      </c>
      <c r="R582" s="317" t="str">
        <f t="shared" si="39"/>
        <v/>
      </c>
      <c r="S582" s="317" t="str">
        <f t="shared" si="40"/>
        <v/>
      </c>
      <c r="T582" s="317" t="str">
        <f>GLOBAL_DER_FEV_2023!S582</f>
        <v/>
      </c>
      <c r="W582" s="582">
        <v>0</v>
      </c>
      <c r="X582" s="580"/>
      <c r="Y582" s="583">
        <f>IF(GLOBAL_DER_FEV_2023!W582=0,0,IF(GLOBAL_DER_FEV_2023!W582&gt;0,"c","b"))</f>
        <v>0</v>
      </c>
    </row>
    <row r="583" spans="1:25" ht="13.5" hidden="1" thickBot="1" x14ac:dyDescent="0.25">
      <c r="A583" s="317" t="s">
        <v>165</v>
      </c>
      <c r="B583" s="1036" t="str">
        <f>GLOBAL_DER_FEV_2023!B583</f>
        <v/>
      </c>
      <c r="C583" s="1072" t="str">
        <f>GLOBAL_DER_FEV_2023!C583</f>
        <v/>
      </c>
      <c r="D583" s="1141">
        <f>GLOBAL_DER_FEV_2023!D583</f>
        <v>0</v>
      </c>
      <c r="E583" s="907">
        <f>GLOBAL_DER_FEV_2023!E583</f>
        <v>0</v>
      </c>
      <c r="F583" s="908">
        <f>GLOBAL_DER_FEV_2023!F583</f>
        <v>0</v>
      </c>
      <c r="G583" s="912">
        <f>GLOBAL_DER_FEV_2023!G583</f>
        <v>0</v>
      </c>
      <c r="H583" s="901">
        <f>GLOBAL_DER_FEV_2023!H583</f>
        <v>0</v>
      </c>
      <c r="I583" s="901">
        <f>GLOBAL_DER_FEV_2023!I583</f>
        <v>0</v>
      </c>
      <c r="J583" s="890">
        <f>GLOBAL_DER_FEV_2023!J583</f>
        <v>0</v>
      </c>
      <c r="K583" s="903" t="str">
        <f>GLOBAL_DER_FEV_2023!K583</f>
        <v xml:space="preserve">     </v>
      </c>
      <c r="L583" s="1137"/>
      <c r="M583" s="1140">
        <f t="shared" si="37"/>
        <v>0</v>
      </c>
      <c r="N583" s="932">
        <f t="shared" si="41"/>
        <v>0</v>
      </c>
      <c r="O583" s="905"/>
      <c r="Q583" s="317" t="str">
        <f t="shared" si="38"/>
        <v/>
      </c>
      <c r="R583" s="317" t="str">
        <f t="shared" si="39"/>
        <v/>
      </c>
      <c r="S583" s="317" t="str">
        <f t="shared" si="40"/>
        <v/>
      </c>
      <c r="T583" s="317" t="str">
        <f>GLOBAL_DER_FEV_2023!S583</f>
        <v/>
      </c>
      <c r="W583" s="582">
        <v>0</v>
      </c>
      <c r="X583" s="580"/>
      <c r="Y583" s="583">
        <f>IF(GLOBAL_DER_FEV_2023!W583=0,0,IF(GLOBAL_DER_FEV_2023!W583&gt;0,"c","b"))</f>
        <v>0</v>
      </c>
    </row>
    <row r="584" spans="1:25" ht="13.5" hidden="1" thickBot="1" x14ac:dyDescent="0.25">
      <c r="A584" s="317" t="s">
        <v>165</v>
      </c>
      <c r="B584" s="1036" t="str">
        <f>GLOBAL_DER_FEV_2023!B584</f>
        <v/>
      </c>
      <c r="C584" s="1072" t="str">
        <f>GLOBAL_DER_FEV_2023!C584</f>
        <v/>
      </c>
      <c r="D584" s="1141">
        <f>GLOBAL_DER_FEV_2023!D584</f>
        <v>0</v>
      </c>
      <c r="E584" s="907">
        <f>GLOBAL_DER_FEV_2023!E584</f>
        <v>0</v>
      </c>
      <c r="F584" s="908">
        <f>GLOBAL_DER_FEV_2023!F584</f>
        <v>0</v>
      </c>
      <c r="G584" s="912">
        <f>GLOBAL_DER_FEV_2023!G584</f>
        <v>0</v>
      </c>
      <c r="H584" s="901">
        <f>GLOBAL_DER_FEV_2023!H584</f>
        <v>0</v>
      </c>
      <c r="I584" s="901">
        <f>GLOBAL_DER_FEV_2023!I584</f>
        <v>0</v>
      </c>
      <c r="J584" s="890">
        <f>GLOBAL_DER_FEV_2023!J584</f>
        <v>0</v>
      </c>
      <c r="K584" s="903" t="str">
        <f>GLOBAL_DER_FEV_2023!K584</f>
        <v xml:space="preserve">     </v>
      </c>
      <c r="L584" s="1137"/>
      <c r="M584" s="1140">
        <f t="shared" si="37"/>
        <v>0</v>
      </c>
      <c r="N584" s="932">
        <f t="shared" si="41"/>
        <v>0</v>
      </c>
      <c r="O584" s="905"/>
      <c r="Q584" s="317" t="str">
        <f t="shared" si="38"/>
        <v/>
      </c>
      <c r="R584" s="317" t="str">
        <f t="shared" si="39"/>
        <v/>
      </c>
      <c r="S584" s="317" t="str">
        <f t="shared" si="40"/>
        <v/>
      </c>
      <c r="T584" s="317" t="str">
        <f>GLOBAL_DER_FEV_2023!S584</f>
        <v/>
      </c>
      <c r="W584" s="582">
        <v>0</v>
      </c>
      <c r="X584" s="580"/>
      <c r="Y584" s="583">
        <f>IF(GLOBAL_DER_FEV_2023!W584=0,0,IF(GLOBAL_DER_FEV_2023!W584&gt;0,"c","b"))</f>
        <v>0</v>
      </c>
    </row>
    <row r="585" spans="1:25" ht="13.5" hidden="1" thickBot="1" x14ac:dyDescent="0.25">
      <c r="A585" s="317" t="s">
        <v>165</v>
      </c>
      <c r="B585" s="1036" t="str">
        <f>GLOBAL_DER_FEV_2023!B585</f>
        <v/>
      </c>
      <c r="C585" s="1072" t="str">
        <f>GLOBAL_DER_FEV_2023!C585</f>
        <v/>
      </c>
      <c r="D585" s="1141">
        <f>GLOBAL_DER_FEV_2023!D585</f>
        <v>0</v>
      </c>
      <c r="E585" s="907">
        <f>GLOBAL_DER_FEV_2023!E585</f>
        <v>0</v>
      </c>
      <c r="F585" s="908">
        <f>GLOBAL_DER_FEV_2023!F585</f>
        <v>0</v>
      </c>
      <c r="G585" s="912">
        <f>GLOBAL_DER_FEV_2023!G585</f>
        <v>0</v>
      </c>
      <c r="H585" s="901">
        <f>GLOBAL_DER_FEV_2023!H585</f>
        <v>0</v>
      </c>
      <c r="I585" s="901">
        <f>GLOBAL_DER_FEV_2023!I585</f>
        <v>0</v>
      </c>
      <c r="J585" s="890">
        <f>GLOBAL_DER_FEV_2023!J585</f>
        <v>0</v>
      </c>
      <c r="K585" s="903" t="str">
        <f>GLOBAL_DER_FEV_2023!K585</f>
        <v xml:space="preserve">     </v>
      </c>
      <c r="L585" s="1137"/>
      <c r="M585" s="1140">
        <f t="shared" si="37"/>
        <v>0</v>
      </c>
      <c r="N585" s="932">
        <f t="shared" si="41"/>
        <v>0</v>
      </c>
      <c r="O585" s="905"/>
      <c r="Q585" s="317" t="str">
        <f t="shared" si="38"/>
        <v/>
      </c>
      <c r="R585" s="317" t="str">
        <f t="shared" si="39"/>
        <v/>
      </c>
      <c r="S585" s="317" t="str">
        <f t="shared" si="40"/>
        <v/>
      </c>
      <c r="T585" s="317" t="str">
        <f>GLOBAL_DER_FEV_2023!S585</f>
        <v/>
      </c>
      <c r="W585" s="582">
        <v>0</v>
      </c>
      <c r="X585" s="580"/>
      <c r="Y585" s="583">
        <f>IF(GLOBAL_DER_FEV_2023!W585=0,0,IF(GLOBAL_DER_FEV_2023!W585&gt;0,"c","b"))</f>
        <v>0</v>
      </c>
    </row>
    <row r="586" spans="1:25" ht="13.5" hidden="1" thickBot="1" x14ac:dyDescent="0.25">
      <c r="A586" s="317" t="s">
        <v>165</v>
      </c>
      <c r="B586" s="1036" t="str">
        <f>GLOBAL_DER_FEV_2023!B586</f>
        <v/>
      </c>
      <c r="C586" s="1072" t="str">
        <f>GLOBAL_DER_FEV_2023!C586</f>
        <v/>
      </c>
      <c r="D586" s="1141">
        <f>GLOBAL_DER_FEV_2023!D586</f>
        <v>0</v>
      </c>
      <c r="E586" s="907">
        <f>GLOBAL_DER_FEV_2023!E586</f>
        <v>0</v>
      </c>
      <c r="F586" s="908">
        <f>GLOBAL_DER_FEV_2023!F586</f>
        <v>0</v>
      </c>
      <c r="G586" s="912">
        <f>GLOBAL_DER_FEV_2023!G586</f>
        <v>0</v>
      </c>
      <c r="H586" s="901">
        <f>GLOBAL_DER_FEV_2023!H586</f>
        <v>0</v>
      </c>
      <c r="I586" s="901">
        <f>GLOBAL_DER_FEV_2023!I586</f>
        <v>0</v>
      </c>
      <c r="J586" s="890">
        <f>GLOBAL_DER_FEV_2023!J586</f>
        <v>0</v>
      </c>
      <c r="K586" s="903" t="str">
        <f>GLOBAL_DER_FEV_2023!K586</f>
        <v xml:space="preserve">     </v>
      </c>
      <c r="L586" s="1137"/>
      <c r="M586" s="1140">
        <f t="shared" si="37"/>
        <v>0</v>
      </c>
      <c r="N586" s="932">
        <f t="shared" si="41"/>
        <v>0</v>
      </c>
      <c r="O586" s="905"/>
      <c r="Q586" s="317" t="str">
        <f t="shared" si="38"/>
        <v/>
      </c>
      <c r="R586" s="317" t="str">
        <f t="shared" si="39"/>
        <v/>
      </c>
      <c r="S586" s="317" t="str">
        <f t="shared" si="40"/>
        <v/>
      </c>
      <c r="T586" s="317" t="str">
        <f>GLOBAL_DER_FEV_2023!S586</f>
        <v/>
      </c>
      <c r="W586" s="582">
        <v>0</v>
      </c>
      <c r="X586" s="580"/>
      <c r="Y586" s="583">
        <f>IF(GLOBAL_DER_FEV_2023!W586=0,0,IF(GLOBAL_DER_FEV_2023!W586&gt;0,"c","b"))</f>
        <v>0</v>
      </c>
    </row>
    <row r="587" spans="1:25" ht="13.5" hidden="1" thickBot="1" x14ac:dyDescent="0.25">
      <c r="A587" s="317" t="s">
        <v>165</v>
      </c>
      <c r="B587" s="1036" t="str">
        <f>GLOBAL_DER_FEV_2023!B587</f>
        <v/>
      </c>
      <c r="C587" s="1072" t="str">
        <f>GLOBAL_DER_FEV_2023!C587</f>
        <v/>
      </c>
      <c r="D587" s="1141">
        <f>GLOBAL_DER_FEV_2023!D587</f>
        <v>0</v>
      </c>
      <c r="E587" s="907">
        <f>GLOBAL_DER_FEV_2023!E587</f>
        <v>0</v>
      </c>
      <c r="F587" s="908">
        <f>GLOBAL_DER_FEV_2023!F587</f>
        <v>0</v>
      </c>
      <c r="G587" s="912">
        <f>GLOBAL_DER_FEV_2023!G587</f>
        <v>0</v>
      </c>
      <c r="H587" s="901">
        <f>GLOBAL_DER_FEV_2023!H587</f>
        <v>0</v>
      </c>
      <c r="I587" s="901">
        <f>GLOBAL_DER_FEV_2023!I587</f>
        <v>0</v>
      </c>
      <c r="J587" s="890">
        <f>GLOBAL_DER_FEV_2023!J587</f>
        <v>0</v>
      </c>
      <c r="K587" s="903" t="str">
        <f>GLOBAL_DER_FEV_2023!K587</f>
        <v xml:space="preserve">     </v>
      </c>
      <c r="L587" s="1137"/>
      <c r="M587" s="1140">
        <f t="shared" si="37"/>
        <v>0</v>
      </c>
      <c r="N587" s="932">
        <f t="shared" si="41"/>
        <v>0</v>
      </c>
      <c r="O587" s="905"/>
      <c r="Q587" s="317" t="str">
        <f t="shared" si="38"/>
        <v/>
      </c>
      <c r="R587" s="317" t="str">
        <f t="shared" si="39"/>
        <v/>
      </c>
      <c r="S587" s="317" t="str">
        <f t="shared" si="40"/>
        <v/>
      </c>
      <c r="T587" s="317" t="str">
        <f>GLOBAL_DER_FEV_2023!S587</f>
        <v/>
      </c>
      <c r="W587" s="582">
        <v>0</v>
      </c>
      <c r="X587" s="580"/>
      <c r="Y587" s="583">
        <f>IF(GLOBAL_DER_FEV_2023!W587=0,0,IF(GLOBAL_DER_FEV_2023!W587&gt;0,"c","b"))</f>
        <v>0</v>
      </c>
    </row>
    <row r="588" spans="1:25" ht="13.5" hidden="1" thickBot="1" x14ac:dyDescent="0.25">
      <c r="A588" s="317" t="s">
        <v>165</v>
      </c>
      <c r="B588" s="1036" t="str">
        <f>GLOBAL_DER_FEV_2023!B588</f>
        <v/>
      </c>
      <c r="C588" s="1072" t="str">
        <f>GLOBAL_DER_FEV_2023!C588</f>
        <v/>
      </c>
      <c r="D588" s="1141">
        <f>GLOBAL_DER_FEV_2023!D588</f>
        <v>0</v>
      </c>
      <c r="E588" s="907">
        <f>GLOBAL_DER_FEV_2023!E588</f>
        <v>0</v>
      </c>
      <c r="F588" s="908">
        <f>GLOBAL_DER_FEV_2023!F588</f>
        <v>0</v>
      </c>
      <c r="G588" s="912">
        <f>GLOBAL_DER_FEV_2023!G588</f>
        <v>0</v>
      </c>
      <c r="H588" s="901">
        <f>GLOBAL_DER_FEV_2023!H588</f>
        <v>0</v>
      </c>
      <c r="I588" s="901">
        <f>GLOBAL_DER_FEV_2023!I588</f>
        <v>0</v>
      </c>
      <c r="J588" s="890">
        <f>GLOBAL_DER_FEV_2023!J588</f>
        <v>0</v>
      </c>
      <c r="K588" s="903" t="str">
        <f>GLOBAL_DER_FEV_2023!K588</f>
        <v xml:space="preserve">     </v>
      </c>
      <c r="L588" s="1137"/>
      <c r="M588" s="1140">
        <f t="shared" si="37"/>
        <v>0</v>
      </c>
      <c r="N588" s="932">
        <f t="shared" si="41"/>
        <v>0</v>
      </c>
      <c r="O588" s="905"/>
      <c r="Q588" s="317" t="str">
        <f t="shared" si="38"/>
        <v/>
      </c>
      <c r="R588" s="317" t="str">
        <f t="shared" si="39"/>
        <v/>
      </c>
      <c r="S588" s="317" t="str">
        <f t="shared" si="40"/>
        <v/>
      </c>
      <c r="T588" s="317" t="str">
        <f>GLOBAL_DER_FEV_2023!S588</f>
        <v/>
      </c>
      <c r="W588" s="582">
        <v>0</v>
      </c>
      <c r="X588" s="580"/>
      <c r="Y588" s="583">
        <f>IF(GLOBAL_DER_FEV_2023!W588=0,0,IF(GLOBAL_DER_FEV_2023!W588&gt;0,"c","b"))</f>
        <v>0</v>
      </c>
    </row>
    <row r="589" spans="1:25" ht="13.5" hidden="1" thickBot="1" x14ac:dyDescent="0.25">
      <c r="A589" s="317" t="s">
        <v>166</v>
      </c>
      <c r="B589" s="950" t="s">
        <v>166</v>
      </c>
      <c r="C589" s="951"/>
      <c r="D589" s="952" t="s">
        <v>430</v>
      </c>
      <c r="E589" s="943">
        <f>GLOBAL_DER_FEV_2023!E589</f>
        <v>0</v>
      </c>
      <c r="F589" s="876"/>
      <c r="G589" s="944"/>
      <c r="H589" s="945">
        <f>GLOBAL_DER_FEV_2023!H589</f>
        <v>0</v>
      </c>
      <c r="I589" s="945">
        <f>GLOBAL_DER_FEV_2023!I589</f>
        <v>0</v>
      </c>
      <c r="J589" s="945">
        <f>GLOBAL_DER_FEV_2023!J589</f>
        <v>0</v>
      </c>
      <c r="K589" s="878" t="s">
        <v>507</v>
      </c>
      <c r="L589" s="879"/>
      <c r="M589" s="880"/>
      <c r="N589" s="881">
        <f t="shared" si="41"/>
        <v>0</v>
      </c>
      <c r="O589" s="882">
        <f>SUM(N590:N643)</f>
        <v>0</v>
      </c>
      <c r="P589" s="58" t="str">
        <f>IF(OR(O589&gt;0,O589&gt;0),"X","")</f>
        <v/>
      </c>
      <c r="Q589" s="317" t="str">
        <f t="shared" si="38"/>
        <v/>
      </c>
      <c r="R589" s="317" t="str">
        <f t="shared" si="39"/>
        <v/>
      </c>
      <c r="S589" s="317" t="str">
        <f t="shared" si="40"/>
        <v/>
      </c>
      <c r="T589" s="317" t="str">
        <f>GLOBAL_DER_FEV_2023!S589</f>
        <v/>
      </c>
      <c r="W589" s="582">
        <v>0</v>
      </c>
      <c r="X589" s="580"/>
      <c r="Y589" s="583">
        <f>IF(GLOBAL_DER_FEV_2023!W589=0,0,IF(GLOBAL_DER_FEV_2023!W589&gt;0,"c","b"))</f>
        <v>0</v>
      </c>
    </row>
    <row r="590" spans="1:25" ht="13.5" hidden="1" thickBot="1" x14ac:dyDescent="0.25">
      <c r="A590" s="317" t="s">
        <v>833</v>
      </c>
      <c r="B590" s="895" t="str">
        <f>GLOBAL_DER_FEV_2023!B590</f>
        <v>PAV-071</v>
      </c>
      <c r="C590" s="896" t="str">
        <f>GLOBAL_DER_FEV_2023!C590</f>
        <v>PM Curitiba-abr/22</v>
      </c>
      <c r="D590" s="906" t="str">
        <f>GLOBAL_DER_FEV_2023!D590</f>
        <v>Arrancamento de Meio-Fio</v>
      </c>
      <c r="E590" s="907">
        <f>GLOBAL_DER_FEV_2023!E590</f>
        <v>0</v>
      </c>
      <c r="F590" s="908">
        <f>GLOBAL_DER_FEV_2023!F590</f>
        <v>0</v>
      </c>
      <c r="G590" s="912">
        <f>GLOBAL_DER_FEV_2023!G590</f>
        <v>0</v>
      </c>
      <c r="H590" s="901">
        <f>GLOBAL_DER_FEV_2023!H590</f>
        <v>22.14</v>
      </c>
      <c r="I590" s="901">
        <f>GLOBAL_DER_FEV_2023!I590</f>
        <v>22.14</v>
      </c>
      <c r="J590" s="902">
        <f>GLOBAL_DER_FEV_2023!J590</f>
        <v>26.58</v>
      </c>
      <c r="K590" s="903" t="s">
        <v>13</v>
      </c>
      <c r="L590" s="1137"/>
      <c r="M590" s="1138">
        <f t="shared" ref="M590:M653" si="42">IF(L590=0,0,ROUND(J590,2))</f>
        <v>0</v>
      </c>
      <c r="N590" s="893">
        <f t="shared" si="41"/>
        <v>0</v>
      </c>
      <c r="O590" s="905"/>
      <c r="Q590" s="317" t="str">
        <f t="shared" si="38"/>
        <v/>
      </c>
      <c r="R590" s="317" t="str">
        <f t="shared" si="39"/>
        <v/>
      </c>
      <c r="S590" s="317" t="str">
        <f t="shared" si="40"/>
        <v/>
      </c>
      <c r="T590" s="317" t="str">
        <f>GLOBAL_DER_FEV_2023!S590</f>
        <v/>
      </c>
      <c r="W590" s="582">
        <v>0</v>
      </c>
      <c r="X590" s="580"/>
      <c r="Y590" s="583">
        <f>IF(GLOBAL_DER_FEV_2023!W590=0,0,IF(GLOBAL_DER_FEV_2023!W590&gt;0,"c","b"))</f>
        <v>0</v>
      </c>
    </row>
    <row r="591" spans="1:25" ht="13.5" hidden="1" thickBot="1" x14ac:dyDescent="0.25">
      <c r="A591" s="317" t="s">
        <v>834</v>
      </c>
      <c r="B591" s="895" t="str">
        <f>GLOBAL_DER_FEV_2023!B591</f>
        <v>PAV-077</v>
      </c>
      <c r="C591" s="896" t="str">
        <f>GLOBAL_DER_FEV_2023!C591</f>
        <v>PM Curitiba-abr/22</v>
      </c>
      <c r="D591" s="906" t="str">
        <f>GLOBAL_DER_FEV_2023!D591</f>
        <v>Arrancamento e reassentamento de Meio-Fio de Concreto com sarjeta</v>
      </c>
      <c r="E591" s="898">
        <f>GLOBAL_DER_FEV_2023!E591</f>
        <v>0</v>
      </c>
      <c r="F591" s="899">
        <f>GLOBAL_DER_FEV_2023!F591</f>
        <v>0</v>
      </c>
      <c r="G591" s="900">
        <f>GLOBAL_DER_FEV_2023!G591</f>
        <v>0</v>
      </c>
      <c r="H591" s="901">
        <f>GLOBAL_DER_FEV_2023!H591</f>
        <v>6.56</v>
      </c>
      <c r="I591" s="901">
        <f>GLOBAL_DER_FEV_2023!I591</f>
        <v>6.56</v>
      </c>
      <c r="J591" s="902">
        <f>GLOBAL_DER_FEV_2023!J591</f>
        <v>7.88</v>
      </c>
      <c r="K591" s="903" t="s">
        <v>13</v>
      </c>
      <c r="L591" s="1139"/>
      <c r="M591" s="1140">
        <f t="shared" si="42"/>
        <v>0</v>
      </c>
      <c r="N591" s="893">
        <f t="shared" si="41"/>
        <v>0</v>
      </c>
      <c r="O591" s="905"/>
      <c r="Q591" s="317" t="str">
        <f t="shared" ref="Q591:Q654" si="43">IF(P591="X","x",IF(P591="xx","x",IF(P591="xy","x",IF(P591="y","x",IF(OR(N591&gt;0,N591&gt;0),"x","")))))</f>
        <v/>
      </c>
      <c r="R591" s="317" t="str">
        <f t="shared" si="39"/>
        <v/>
      </c>
      <c r="S591" s="317" t="str">
        <f t="shared" si="40"/>
        <v/>
      </c>
      <c r="T591" s="317" t="str">
        <f>GLOBAL_DER_FEV_2023!S591</f>
        <v/>
      </c>
      <c r="W591" s="582">
        <v>0</v>
      </c>
      <c r="X591" s="580"/>
      <c r="Y591" s="583">
        <f>IF(GLOBAL_DER_FEV_2023!W591=0,0,IF(GLOBAL_DER_FEV_2023!W591&gt;0,"c","b"))</f>
        <v>0</v>
      </c>
    </row>
    <row r="592" spans="1:25" ht="13.5" hidden="1" thickBot="1" x14ac:dyDescent="0.25">
      <c r="A592" s="317">
        <v>535200</v>
      </c>
      <c r="B592" s="895" t="s">
        <v>1608</v>
      </c>
      <c r="C592" s="896" t="s">
        <v>184</v>
      </c>
      <c r="D592" s="906" t="s">
        <v>220</v>
      </c>
      <c r="E592" s="907">
        <f>GLOBAL_DER_FEV_2023!E592</f>
        <v>0</v>
      </c>
      <c r="F592" s="899">
        <f>GLOBAL_DER_FEV_2023!F592</f>
        <v>7.6999999999999999E-2</v>
      </c>
      <c r="G592" s="949">
        <f>GLOBAL_DER_FEV_2023!G592</f>
        <v>0.20636000000000002</v>
      </c>
      <c r="H592" s="901">
        <f>GLOBAL_DER_FEV_2023!H592</f>
        <v>11.65</v>
      </c>
      <c r="I592" s="901">
        <f>GLOBAL_DER_FEV_2023!I592</f>
        <v>11.85636</v>
      </c>
      <c r="J592" s="902">
        <f>GLOBAL_DER_FEV_2023!J592</f>
        <v>14.24</v>
      </c>
      <c r="K592" s="903" t="s">
        <v>13</v>
      </c>
      <c r="L592" s="1137"/>
      <c r="M592" s="1138">
        <f t="shared" si="42"/>
        <v>0</v>
      </c>
      <c r="N592" s="893">
        <f t="shared" si="41"/>
        <v>0</v>
      </c>
      <c r="O592" s="905"/>
      <c r="Q592" s="317" t="str">
        <f t="shared" si="43"/>
        <v/>
      </c>
      <c r="R592" s="317" t="str">
        <f t="shared" si="39"/>
        <v/>
      </c>
      <c r="S592" s="317" t="str">
        <f t="shared" si="40"/>
        <v/>
      </c>
      <c r="T592" s="317" t="str">
        <f>GLOBAL_DER_FEV_2023!S592</f>
        <v/>
      </c>
      <c r="W592" s="582">
        <v>0</v>
      </c>
      <c r="X592" s="580"/>
      <c r="Y592" s="583">
        <f>IF(GLOBAL_DER_FEV_2023!W592=0,0,IF(GLOBAL_DER_FEV_2023!W592&gt;0,"c","b"))</f>
        <v>0</v>
      </c>
    </row>
    <row r="593" spans="1:25" ht="13.5" hidden="1" thickBot="1" x14ac:dyDescent="0.25">
      <c r="A593" s="317">
        <v>810100</v>
      </c>
      <c r="B593" s="895">
        <v>810100</v>
      </c>
      <c r="C593" s="896" t="s">
        <v>184</v>
      </c>
      <c r="D593" s="906" t="s">
        <v>248</v>
      </c>
      <c r="E593" s="907">
        <f>GLOBAL_DER_FEV_2023!E593</f>
        <v>0</v>
      </c>
      <c r="F593" s="908">
        <f>GLOBAL_DER_FEV_2023!F593</f>
        <v>0</v>
      </c>
      <c r="G593" s="912">
        <f>GLOBAL_DER_FEV_2023!G593</f>
        <v>23.365354200000002</v>
      </c>
      <c r="H593" s="901">
        <f>GLOBAL_DER_FEV_2023!H593</f>
        <v>66.03</v>
      </c>
      <c r="I593" s="901">
        <f>GLOBAL_DER_FEV_2023!I593</f>
        <v>89.3953542</v>
      </c>
      <c r="J593" s="902">
        <f>GLOBAL_DER_FEV_2023!J593</f>
        <v>107.34</v>
      </c>
      <c r="K593" s="903" t="s">
        <v>13</v>
      </c>
      <c r="L593" s="1137"/>
      <c r="M593" s="1138">
        <f t="shared" si="42"/>
        <v>0</v>
      </c>
      <c r="N593" s="893">
        <f t="shared" si="41"/>
        <v>0</v>
      </c>
      <c r="O593" s="905"/>
      <c r="Q593" s="317" t="str">
        <f t="shared" si="43"/>
        <v/>
      </c>
      <c r="R593" s="317" t="str">
        <f t="shared" ref="R593:R656" si="44">IF(P593="X","x",IF(P593="y","x",IF(P593="xx","x",IF(N593&gt;0,"x",""))))</f>
        <v/>
      </c>
      <c r="S593" s="317" t="str">
        <f t="shared" ref="S593:S656" si="45">IF(P593="X","x",IF(N593&gt;0,"x",""))</f>
        <v/>
      </c>
      <c r="T593" s="317" t="str">
        <f>GLOBAL_DER_FEV_2023!S593</f>
        <v/>
      </c>
      <c r="W593" s="582">
        <v>0</v>
      </c>
      <c r="X593" s="580"/>
      <c r="Y593" s="583">
        <f>IF(GLOBAL_DER_FEV_2023!W593=0,0,IF(GLOBAL_DER_FEV_2023!W593&gt;0,"c","b"))</f>
        <v>0</v>
      </c>
    </row>
    <row r="594" spans="1:25" ht="13.5" hidden="1" thickBot="1" x14ac:dyDescent="0.25">
      <c r="A594" s="317" t="s">
        <v>147</v>
      </c>
      <c r="B594" s="895" t="s">
        <v>147</v>
      </c>
      <c r="C594" s="896"/>
      <c r="D594" s="957" t="s">
        <v>190</v>
      </c>
      <c r="E594" s="907">
        <f>GLOBAL_DER_FEV_2023!E594</f>
        <v>308</v>
      </c>
      <c r="F594" s="908">
        <f>GLOBAL_DER_FEV_2023!F594</f>
        <v>2.7799999999999998E-2</v>
      </c>
      <c r="G594" s="909">
        <f>GLOBAL_DER_FEV_2023!G594</f>
        <v>6.8960679999999996</v>
      </c>
      <c r="H594" s="901">
        <f>GLOBAL_DER_FEV_2023!H594</f>
        <v>0</v>
      </c>
      <c r="I594" s="901">
        <f>GLOBAL_DER_FEV_2023!I594</f>
        <v>0</v>
      </c>
      <c r="J594" s="902">
        <f>GLOBAL_DER_FEV_2023!J594</f>
        <v>0</v>
      </c>
      <c r="K594" s="958" t="s">
        <v>507</v>
      </c>
      <c r="L594" s="959"/>
      <c r="M594" s="1157">
        <f t="shared" si="42"/>
        <v>0</v>
      </c>
      <c r="N594" s="893">
        <f t="shared" si="41"/>
        <v>0</v>
      </c>
      <c r="O594" s="905"/>
      <c r="P594" s="58" t="str">
        <f>IF(N593&gt;0,"xx",IF(N593&gt;0,"xy",""))</f>
        <v/>
      </c>
      <c r="Q594" s="317" t="str">
        <f t="shared" si="43"/>
        <v/>
      </c>
      <c r="R594" s="317" t="str">
        <f t="shared" si="44"/>
        <v/>
      </c>
      <c r="S594" s="317" t="str">
        <f t="shared" si="45"/>
        <v/>
      </c>
      <c r="T594" s="317" t="str">
        <f>GLOBAL_DER_FEV_2023!S594</f>
        <v/>
      </c>
      <c r="W594" s="582">
        <v>0</v>
      </c>
      <c r="X594" s="580"/>
      <c r="Y594" s="583">
        <f>IF(GLOBAL_DER_FEV_2023!W594=0,0,IF(GLOBAL_DER_FEV_2023!W594&gt;0,"c","b"))</f>
        <v>0</v>
      </c>
    </row>
    <row r="595" spans="1:25" ht="13.5" hidden="1" thickBot="1" x14ac:dyDescent="0.25">
      <c r="A595" s="317" t="s">
        <v>147</v>
      </c>
      <c r="B595" s="895" t="s">
        <v>147</v>
      </c>
      <c r="C595" s="896"/>
      <c r="D595" s="957" t="s">
        <v>229</v>
      </c>
      <c r="E595" s="907">
        <f>GLOBAL_DER_FEV_2023!E595</f>
        <v>150</v>
      </c>
      <c r="F595" s="908">
        <f>GLOBAL_DER_FEV_2023!F595</f>
        <v>9.8900000000000002E-2</v>
      </c>
      <c r="G595" s="949">
        <f>GLOBAL_DER_FEV_2023!G595</f>
        <v>16.138502000000003</v>
      </c>
      <c r="H595" s="901">
        <f>GLOBAL_DER_FEV_2023!H595</f>
        <v>0</v>
      </c>
      <c r="I595" s="901">
        <f>GLOBAL_DER_FEV_2023!I595</f>
        <v>0</v>
      </c>
      <c r="J595" s="902">
        <f>GLOBAL_DER_FEV_2023!J595</f>
        <v>0</v>
      </c>
      <c r="K595" s="958" t="s">
        <v>507</v>
      </c>
      <c r="L595" s="959"/>
      <c r="M595" s="1157">
        <f t="shared" si="42"/>
        <v>0</v>
      </c>
      <c r="N595" s="893">
        <f t="shared" si="41"/>
        <v>0</v>
      </c>
      <c r="O595" s="905"/>
      <c r="P595" s="58" t="str">
        <f>IF(N593&gt;0,"xx",IF(N593&gt;0,"xy",""))</f>
        <v/>
      </c>
      <c r="Q595" s="317" t="str">
        <f t="shared" si="43"/>
        <v/>
      </c>
      <c r="R595" s="317" t="str">
        <f t="shared" si="44"/>
        <v/>
      </c>
      <c r="S595" s="317" t="str">
        <f t="shared" si="45"/>
        <v/>
      </c>
      <c r="T595" s="317" t="str">
        <f>GLOBAL_DER_FEV_2023!S595</f>
        <v/>
      </c>
      <c r="W595" s="582">
        <v>0</v>
      </c>
      <c r="X595" s="580"/>
      <c r="Y595" s="583">
        <f>IF(GLOBAL_DER_FEV_2023!W595=0,0,IF(GLOBAL_DER_FEV_2023!W595&gt;0,"c","b"))</f>
        <v>0</v>
      </c>
    </row>
    <row r="596" spans="1:25" ht="13.5" hidden="1" thickBot="1" x14ac:dyDescent="0.25">
      <c r="A596" s="317" t="s">
        <v>147</v>
      </c>
      <c r="B596" s="895" t="s">
        <v>147</v>
      </c>
      <c r="C596" s="896"/>
      <c r="D596" s="957" t="s">
        <v>233</v>
      </c>
      <c r="E596" s="907">
        <f>GLOBAL_DER_FEV_2023!E596</f>
        <v>0.2</v>
      </c>
      <c r="F596" s="908">
        <f>GLOBAL_DER_FEV_2023!F596</f>
        <v>0.1143</v>
      </c>
      <c r="G596" s="949">
        <f>GLOBAL_DER_FEV_2023!G596</f>
        <v>0.33078420000000003</v>
      </c>
      <c r="H596" s="901">
        <f>GLOBAL_DER_FEV_2023!H596</f>
        <v>0</v>
      </c>
      <c r="I596" s="901">
        <f>GLOBAL_DER_FEV_2023!I596</f>
        <v>0</v>
      </c>
      <c r="J596" s="902">
        <f>GLOBAL_DER_FEV_2023!J596</f>
        <v>0</v>
      </c>
      <c r="K596" s="958" t="s">
        <v>507</v>
      </c>
      <c r="L596" s="959"/>
      <c r="M596" s="1157">
        <f t="shared" si="42"/>
        <v>0</v>
      </c>
      <c r="N596" s="893">
        <f t="shared" si="41"/>
        <v>0</v>
      </c>
      <c r="O596" s="905"/>
      <c r="P596" s="58" t="str">
        <f>IF(N593&gt;0,"xx",IF(N593&gt;0,"xy",""))</f>
        <v/>
      </c>
      <c r="Q596" s="317" t="str">
        <f t="shared" si="43"/>
        <v/>
      </c>
      <c r="R596" s="317" t="str">
        <f t="shared" si="44"/>
        <v/>
      </c>
      <c r="S596" s="317" t="str">
        <f t="shared" si="45"/>
        <v/>
      </c>
      <c r="T596" s="317" t="str">
        <f>GLOBAL_DER_FEV_2023!S596</f>
        <v/>
      </c>
      <c r="W596" s="582">
        <v>0</v>
      </c>
      <c r="X596" s="580"/>
      <c r="Y596" s="583">
        <f>IF(GLOBAL_DER_FEV_2023!W596=0,0,IF(GLOBAL_DER_FEV_2023!W596&gt;0,"c","b"))</f>
        <v>0</v>
      </c>
    </row>
    <row r="597" spans="1:25" ht="13.5" hidden="1" thickBot="1" x14ac:dyDescent="0.25">
      <c r="A597" s="317">
        <v>810050</v>
      </c>
      <c r="B597" s="895">
        <v>810050</v>
      </c>
      <c r="C597" s="896" t="s">
        <v>184</v>
      </c>
      <c r="D597" s="906" t="s">
        <v>249</v>
      </c>
      <c r="E597" s="907">
        <f>GLOBAL_DER_FEV_2023!E597</f>
        <v>0.1</v>
      </c>
      <c r="F597" s="908">
        <f>GLOBAL_DER_FEV_2023!F597</f>
        <v>0.2409</v>
      </c>
      <c r="G597" s="949">
        <f>GLOBAL_DER_FEV_2023!G597</f>
        <v>0.67138830000000005</v>
      </c>
      <c r="H597" s="901">
        <f>GLOBAL_DER_FEV_2023!H597</f>
        <v>104.81</v>
      </c>
      <c r="I597" s="901">
        <f>GLOBAL_DER_FEV_2023!I597</f>
        <v>105.48138830000001</v>
      </c>
      <c r="J597" s="902">
        <f>GLOBAL_DER_FEV_2023!J597</f>
        <v>126.65</v>
      </c>
      <c r="K597" s="903" t="s">
        <v>13</v>
      </c>
      <c r="L597" s="1137"/>
      <c r="M597" s="1138">
        <f t="shared" si="42"/>
        <v>0</v>
      </c>
      <c r="N597" s="893">
        <f t="shared" ref="N597:N660" si="46">IF(ISBLANK(L597),0,IF(W597=0,ROUND(L597*M597,2),IF(W597="b",ROUNDDOWN(L597*M597,2),ROUNDUP(L597*M597,2))))</f>
        <v>0</v>
      </c>
      <c r="O597" s="905"/>
      <c r="P597" s="58"/>
      <c r="Q597" s="317" t="str">
        <f t="shared" si="43"/>
        <v/>
      </c>
      <c r="R597" s="317" t="str">
        <f t="shared" si="44"/>
        <v/>
      </c>
      <c r="S597" s="317" t="str">
        <f t="shared" si="45"/>
        <v/>
      </c>
      <c r="T597" s="317" t="str">
        <f>GLOBAL_DER_FEV_2023!S597</f>
        <v/>
      </c>
      <c r="W597" s="582">
        <v>0</v>
      </c>
      <c r="X597" s="580"/>
      <c r="Y597" s="583">
        <f>IF(GLOBAL_DER_FEV_2023!W597=0,0,IF(GLOBAL_DER_FEV_2023!W597&gt;0,"c","b"))</f>
        <v>0</v>
      </c>
    </row>
    <row r="598" spans="1:25" ht="13.5" hidden="1" thickBot="1" x14ac:dyDescent="0.25">
      <c r="A598" s="317">
        <v>810200</v>
      </c>
      <c r="B598" s="895">
        <v>810200</v>
      </c>
      <c r="C598" s="896" t="s">
        <v>184</v>
      </c>
      <c r="D598" s="906" t="s">
        <v>250</v>
      </c>
      <c r="E598" s="907">
        <f>GLOBAL_DER_FEV_2023!E598</f>
        <v>0</v>
      </c>
      <c r="F598" s="908">
        <f>GLOBAL_DER_FEV_2023!F598</f>
        <v>0</v>
      </c>
      <c r="G598" s="912">
        <f>GLOBAL_DER_FEV_2023!G598</f>
        <v>9.5140924000000009</v>
      </c>
      <c r="H598" s="901">
        <f>GLOBAL_DER_FEV_2023!H598</f>
        <v>28.65</v>
      </c>
      <c r="I598" s="901">
        <f>GLOBAL_DER_FEV_2023!I598</f>
        <v>38.164092400000001</v>
      </c>
      <c r="J598" s="902">
        <f>GLOBAL_DER_FEV_2023!J598</f>
        <v>45.82</v>
      </c>
      <c r="K598" s="903" t="s">
        <v>13</v>
      </c>
      <c r="L598" s="1137"/>
      <c r="M598" s="1138">
        <f t="shared" si="42"/>
        <v>0</v>
      </c>
      <c r="N598" s="893">
        <f t="shared" si="46"/>
        <v>0</v>
      </c>
      <c r="O598" s="905"/>
      <c r="P598" s="58"/>
      <c r="Q598" s="317" t="str">
        <f t="shared" si="43"/>
        <v/>
      </c>
      <c r="R598" s="317" t="str">
        <f t="shared" si="44"/>
        <v/>
      </c>
      <c r="S598" s="317" t="str">
        <f t="shared" si="45"/>
        <v/>
      </c>
      <c r="T598" s="317" t="str">
        <f>GLOBAL_DER_FEV_2023!S598</f>
        <v/>
      </c>
      <c r="W598" s="582">
        <v>0</v>
      </c>
      <c r="X598" s="580"/>
      <c r="Y598" s="583">
        <f>IF(GLOBAL_DER_FEV_2023!W598=0,0,IF(GLOBAL_DER_FEV_2023!W598&gt;0,"c","b"))</f>
        <v>0</v>
      </c>
    </row>
    <row r="599" spans="1:25" ht="13.5" hidden="1" thickBot="1" x14ac:dyDescent="0.25">
      <c r="A599" s="317" t="s">
        <v>147</v>
      </c>
      <c r="B599" s="895" t="s">
        <v>147</v>
      </c>
      <c r="C599" s="896"/>
      <c r="D599" s="957" t="s">
        <v>190</v>
      </c>
      <c r="E599" s="907">
        <f>GLOBAL_DER_FEV_2023!E599</f>
        <v>308</v>
      </c>
      <c r="F599" s="908">
        <f>GLOBAL_DER_FEV_2023!F599</f>
        <v>1.1299999999999999E-2</v>
      </c>
      <c r="G599" s="909">
        <f>GLOBAL_DER_FEV_2023!G599</f>
        <v>2.8030779999999997</v>
      </c>
      <c r="H599" s="901">
        <f>GLOBAL_DER_FEV_2023!H599</f>
        <v>0</v>
      </c>
      <c r="I599" s="901">
        <f>GLOBAL_DER_FEV_2023!I599</f>
        <v>0</v>
      </c>
      <c r="J599" s="902">
        <f>GLOBAL_DER_FEV_2023!J599</f>
        <v>0</v>
      </c>
      <c r="K599" s="958" t="s">
        <v>507</v>
      </c>
      <c r="L599" s="959"/>
      <c r="M599" s="1157">
        <f t="shared" si="42"/>
        <v>0</v>
      </c>
      <c r="N599" s="893">
        <f t="shared" si="46"/>
        <v>0</v>
      </c>
      <c r="O599" s="905"/>
      <c r="P599" s="58" t="str">
        <f>IF(N598&gt;0,"xx",IF(N598&gt;0,"xy",""))</f>
        <v/>
      </c>
      <c r="Q599" s="317" t="str">
        <f t="shared" si="43"/>
        <v/>
      </c>
      <c r="R599" s="317" t="str">
        <f t="shared" si="44"/>
        <v/>
      </c>
      <c r="S599" s="317" t="str">
        <f t="shared" si="45"/>
        <v/>
      </c>
      <c r="T599" s="317" t="str">
        <f>GLOBAL_DER_FEV_2023!S599</f>
        <v/>
      </c>
      <c r="W599" s="582">
        <v>0</v>
      </c>
      <c r="X599" s="580"/>
      <c r="Y599" s="583">
        <f>IF(GLOBAL_DER_FEV_2023!W599=0,0,IF(GLOBAL_DER_FEV_2023!W599&gt;0,"c","b"))</f>
        <v>0</v>
      </c>
    </row>
    <row r="600" spans="1:25" ht="13.5" hidden="1" thickBot="1" x14ac:dyDescent="0.25">
      <c r="A600" s="317" t="s">
        <v>147</v>
      </c>
      <c r="B600" s="895" t="s">
        <v>147</v>
      </c>
      <c r="C600" s="896"/>
      <c r="D600" s="957" t="s">
        <v>229</v>
      </c>
      <c r="E600" s="907">
        <f>GLOBAL_DER_FEV_2023!E600</f>
        <v>150</v>
      </c>
      <c r="F600" s="908">
        <f>GLOBAL_DER_FEV_2023!F600</f>
        <v>4.0300000000000002E-2</v>
      </c>
      <c r="G600" s="949">
        <f>GLOBAL_DER_FEV_2023!G600</f>
        <v>6.5761540000000007</v>
      </c>
      <c r="H600" s="901">
        <f>GLOBAL_DER_FEV_2023!H600</f>
        <v>0</v>
      </c>
      <c r="I600" s="901">
        <f>GLOBAL_DER_FEV_2023!I600</f>
        <v>0</v>
      </c>
      <c r="J600" s="902">
        <f>GLOBAL_DER_FEV_2023!J600</f>
        <v>0</v>
      </c>
      <c r="K600" s="958" t="s">
        <v>507</v>
      </c>
      <c r="L600" s="959"/>
      <c r="M600" s="1157">
        <f t="shared" si="42"/>
        <v>0</v>
      </c>
      <c r="N600" s="893">
        <f t="shared" si="46"/>
        <v>0</v>
      </c>
      <c r="O600" s="905"/>
      <c r="P600" s="58" t="str">
        <f>IF(N598&gt;0,"xx",IF(N598&gt;0,"xy",""))</f>
        <v/>
      </c>
      <c r="Q600" s="317" t="str">
        <f t="shared" si="43"/>
        <v/>
      </c>
      <c r="R600" s="317" t="str">
        <f t="shared" si="44"/>
        <v/>
      </c>
      <c r="S600" s="317" t="str">
        <f t="shared" si="45"/>
        <v/>
      </c>
      <c r="T600" s="317" t="str">
        <f>GLOBAL_DER_FEV_2023!S600</f>
        <v/>
      </c>
      <c r="W600" s="582">
        <v>0</v>
      </c>
      <c r="X600" s="580"/>
      <c r="Y600" s="583">
        <f>IF(GLOBAL_DER_FEV_2023!W600=0,0,IF(GLOBAL_DER_FEV_2023!W600&gt;0,"c","b"))</f>
        <v>0</v>
      </c>
    </row>
    <row r="601" spans="1:25" ht="13.5" hidden="1" thickBot="1" x14ac:dyDescent="0.25">
      <c r="A601" s="317" t="s">
        <v>147</v>
      </c>
      <c r="B601" s="895" t="s">
        <v>147</v>
      </c>
      <c r="C601" s="896"/>
      <c r="D601" s="957" t="s">
        <v>233</v>
      </c>
      <c r="E601" s="907">
        <f>GLOBAL_DER_FEV_2023!E601</f>
        <v>0.2</v>
      </c>
      <c r="F601" s="908">
        <f>GLOBAL_DER_FEV_2023!F601</f>
        <v>4.6600000000000003E-2</v>
      </c>
      <c r="G601" s="949">
        <f>GLOBAL_DER_FEV_2023!G601</f>
        <v>0.13486040000000002</v>
      </c>
      <c r="H601" s="901">
        <f>GLOBAL_DER_FEV_2023!H601</f>
        <v>0</v>
      </c>
      <c r="I601" s="901">
        <f>GLOBAL_DER_FEV_2023!I601</f>
        <v>0</v>
      </c>
      <c r="J601" s="902">
        <f>GLOBAL_DER_FEV_2023!J601</f>
        <v>0</v>
      </c>
      <c r="K601" s="958" t="s">
        <v>507</v>
      </c>
      <c r="L601" s="959"/>
      <c r="M601" s="1157">
        <f t="shared" si="42"/>
        <v>0</v>
      </c>
      <c r="N601" s="893">
        <f t="shared" si="46"/>
        <v>0</v>
      </c>
      <c r="O601" s="905"/>
      <c r="P601" s="58" t="str">
        <f>IF(N598&gt;0,"xx",IF(N598&gt;0,"xy",""))</f>
        <v/>
      </c>
      <c r="Q601" s="317" t="str">
        <f t="shared" si="43"/>
        <v/>
      </c>
      <c r="R601" s="317" t="str">
        <f t="shared" si="44"/>
        <v/>
      </c>
      <c r="S601" s="317" t="str">
        <f t="shared" si="45"/>
        <v/>
      </c>
      <c r="T601" s="317" t="str">
        <f>GLOBAL_DER_FEV_2023!S601</f>
        <v/>
      </c>
      <c r="W601" s="582">
        <v>0</v>
      </c>
      <c r="X601" s="580"/>
      <c r="Y601" s="583">
        <f>IF(GLOBAL_DER_FEV_2023!W601=0,0,IF(GLOBAL_DER_FEV_2023!W601&gt;0,"c","b"))</f>
        <v>0</v>
      </c>
    </row>
    <row r="602" spans="1:25" ht="13.5" hidden="1" thickBot="1" x14ac:dyDescent="0.25">
      <c r="A602" s="317">
        <v>810150</v>
      </c>
      <c r="B602" s="895">
        <v>810150</v>
      </c>
      <c r="C602" s="896" t="s">
        <v>184</v>
      </c>
      <c r="D602" s="906" t="s">
        <v>251</v>
      </c>
      <c r="E602" s="907">
        <f>GLOBAL_DER_FEV_2023!E602</f>
        <v>0.1</v>
      </c>
      <c r="F602" s="908">
        <f>GLOBAL_DER_FEV_2023!F602</f>
        <v>9.8199999999999996E-2</v>
      </c>
      <c r="G602" s="949">
        <f>GLOBAL_DER_FEV_2023!G602</f>
        <v>0.27368340000000002</v>
      </c>
      <c r="H602" s="901">
        <f>GLOBAL_DER_FEV_2023!H602</f>
        <v>48.6</v>
      </c>
      <c r="I602" s="901">
        <f>GLOBAL_DER_FEV_2023!I602</f>
        <v>48.873683400000004</v>
      </c>
      <c r="J602" s="902">
        <f>GLOBAL_DER_FEV_2023!J602</f>
        <v>58.68</v>
      </c>
      <c r="K602" s="903" t="s">
        <v>13</v>
      </c>
      <c r="L602" s="1137"/>
      <c r="M602" s="1138">
        <f t="shared" si="42"/>
        <v>0</v>
      </c>
      <c r="N602" s="893">
        <f t="shared" si="46"/>
        <v>0</v>
      </c>
      <c r="O602" s="905"/>
      <c r="Q602" s="317" t="str">
        <f t="shared" si="43"/>
        <v/>
      </c>
      <c r="R602" s="317" t="str">
        <f t="shared" si="44"/>
        <v/>
      </c>
      <c r="S602" s="317" t="str">
        <f t="shared" si="45"/>
        <v/>
      </c>
      <c r="T602" s="317" t="str">
        <f>GLOBAL_DER_FEV_2023!S602</f>
        <v/>
      </c>
      <c r="W602" s="582">
        <v>0</v>
      </c>
      <c r="X602" s="580"/>
      <c r="Y602" s="583">
        <f>IF(GLOBAL_DER_FEV_2023!W602=0,0,IF(GLOBAL_DER_FEV_2023!W602&gt;0,"c","b"))</f>
        <v>0</v>
      </c>
    </row>
    <row r="603" spans="1:25" ht="13.5" hidden="1" thickBot="1" x14ac:dyDescent="0.25">
      <c r="A603" s="317">
        <v>810700</v>
      </c>
      <c r="B603" s="895">
        <v>810700</v>
      </c>
      <c r="C603" s="896" t="s">
        <v>184</v>
      </c>
      <c r="D603" s="906" t="s">
        <v>252</v>
      </c>
      <c r="E603" s="907">
        <f>GLOBAL_DER_FEV_2023!E603</f>
        <v>0</v>
      </c>
      <c r="F603" s="908">
        <f>GLOBAL_DER_FEV_2023!F603</f>
        <v>0</v>
      </c>
      <c r="G603" s="912">
        <f>GLOBAL_DER_FEV_2023!G603</f>
        <v>7.0460216000000004</v>
      </c>
      <c r="H603" s="901">
        <f>GLOBAL_DER_FEV_2023!H603</f>
        <v>23.47</v>
      </c>
      <c r="I603" s="901">
        <f>GLOBAL_DER_FEV_2023!I603</f>
        <v>30.516021599999998</v>
      </c>
      <c r="J603" s="902">
        <f>GLOBAL_DER_FEV_2023!J603</f>
        <v>36.64</v>
      </c>
      <c r="K603" s="903" t="s">
        <v>13</v>
      </c>
      <c r="L603" s="1137"/>
      <c r="M603" s="1138">
        <f t="shared" si="42"/>
        <v>0</v>
      </c>
      <c r="N603" s="893">
        <f t="shared" si="46"/>
        <v>0</v>
      </c>
      <c r="O603" s="905"/>
      <c r="Q603" s="317" t="str">
        <f t="shared" si="43"/>
        <v/>
      </c>
      <c r="R603" s="317" t="str">
        <f t="shared" si="44"/>
        <v/>
      </c>
      <c r="S603" s="317" t="str">
        <f t="shared" si="45"/>
        <v/>
      </c>
      <c r="T603" s="317" t="str">
        <f>GLOBAL_DER_FEV_2023!S603</f>
        <v/>
      </c>
      <c r="W603" s="582">
        <v>0</v>
      </c>
      <c r="X603" s="580"/>
      <c r="Y603" s="583">
        <f>IF(GLOBAL_DER_FEV_2023!W603=0,0,IF(GLOBAL_DER_FEV_2023!W603&gt;0,"c","b"))</f>
        <v>0</v>
      </c>
    </row>
    <row r="604" spans="1:25" ht="13.5" hidden="1" thickBot="1" x14ac:dyDescent="0.25">
      <c r="A604" s="317" t="s">
        <v>147</v>
      </c>
      <c r="B604" s="895" t="s">
        <v>147</v>
      </c>
      <c r="C604" s="896"/>
      <c r="D604" s="957" t="s">
        <v>190</v>
      </c>
      <c r="E604" s="907">
        <f>GLOBAL_DER_FEV_2023!E604</f>
        <v>308</v>
      </c>
      <c r="F604" s="908">
        <f>GLOBAL_DER_FEV_2023!F604</f>
        <v>8.3999999999999995E-3</v>
      </c>
      <c r="G604" s="909">
        <f>GLOBAL_DER_FEV_2023!G604</f>
        <v>2.083704</v>
      </c>
      <c r="H604" s="901">
        <f>GLOBAL_DER_FEV_2023!H604</f>
        <v>0</v>
      </c>
      <c r="I604" s="901">
        <f>GLOBAL_DER_FEV_2023!I604</f>
        <v>0</v>
      </c>
      <c r="J604" s="902">
        <f>GLOBAL_DER_FEV_2023!J604</f>
        <v>0</v>
      </c>
      <c r="K604" s="958" t="s">
        <v>507</v>
      </c>
      <c r="L604" s="959"/>
      <c r="M604" s="1157">
        <f t="shared" si="42"/>
        <v>0</v>
      </c>
      <c r="N604" s="893">
        <f t="shared" si="46"/>
        <v>0</v>
      </c>
      <c r="O604" s="905"/>
      <c r="P604" s="58" t="str">
        <f>IF(N603&gt;0,"xx",IF(N603&gt;0,"xy",""))</f>
        <v/>
      </c>
      <c r="Q604" s="317" t="str">
        <f t="shared" si="43"/>
        <v/>
      </c>
      <c r="R604" s="317" t="str">
        <f t="shared" si="44"/>
        <v/>
      </c>
      <c r="S604" s="317" t="str">
        <f t="shared" si="45"/>
        <v/>
      </c>
      <c r="T604" s="317" t="str">
        <f>GLOBAL_DER_FEV_2023!S604</f>
        <v/>
      </c>
      <c r="W604" s="582">
        <v>0</v>
      </c>
      <c r="X604" s="580"/>
      <c r="Y604" s="583">
        <f>IF(GLOBAL_DER_FEV_2023!W604=0,0,IF(GLOBAL_DER_FEV_2023!W604&gt;0,"c","b"))</f>
        <v>0</v>
      </c>
    </row>
    <row r="605" spans="1:25" ht="13.5" hidden="1" thickBot="1" x14ac:dyDescent="0.25">
      <c r="A605" s="317" t="s">
        <v>147</v>
      </c>
      <c r="B605" s="895" t="s">
        <v>147</v>
      </c>
      <c r="C605" s="896"/>
      <c r="D605" s="957" t="s">
        <v>229</v>
      </c>
      <c r="E605" s="907">
        <f>GLOBAL_DER_FEV_2023!E605</f>
        <v>150</v>
      </c>
      <c r="F605" s="908">
        <f>GLOBAL_DER_FEV_2023!F605</f>
        <v>2.98E-2</v>
      </c>
      <c r="G605" s="949">
        <f>GLOBAL_DER_FEV_2023!G605</f>
        <v>4.8627640000000003</v>
      </c>
      <c r="H605" s="901">
        <f>GLOBAL_DER_FEV_2023!H605</f>
        <v>0</v>
      </c>
      <c r="I605" s="901">
        <f>GLOBAL_DER_FEV_2023!I605</f>
        <v>0</v>
      </c>
      <c r="J605" s="902">
        <f>GLOBAL_DER_FEV_2023!J605</f>
        <v>0</v>
      </c>
      <c r="K605" s="958" t="s">
        <v>507</v>
      </c>
      <c r="L605" s="959"/>
      <c r="M605" s="1157">
        <f t="shared" si="42"/>
        <v>0</v>
      </c>
      <c r="N605" s="893">
        <f t="shared" si="46"/>
        <v>0</v>
      </c>
      <c r="O605" s="905"/>
      <c r="P605" s="58" t="str">
        <f>IF(N603&gt;0,"xx",IF(N603&gt;0,"xy",""))</f>
        <v/>
      </c>
      <c r="Q605" s="317" t="str">
        <f t="shared" si="43"/>
        <v/>
      </c>
      <c r="R605" s="317" t="str">
        <f t="shared" si="44"/>
        <v/>
      </c>
      <c r="S605" s="317" t="str">
        <f t="shared" si="45"/>
        <v/>
      </c>
      <c r="T605" s="317" t="str">
        <f>GLOBAL_DER_FEV_2023!S605</f>
        <v/>
      </c>
      <c r="W605" s="582">
        <v>0</v>
      </c>
      <c r="X605" s="580"/>
      <c r="Y605" s="583">
        <f>IF(GLOBAL_DER_FEV_2023!W605=0,0,IF(GLOBAL_DER_FEV_2023!W605&gt;0,"c","b"))</f>
        <v>0</v>
      </c>
    </row>
    <row r="606" spans="1:25" ht="13.5" hidden="1" thickBot="1" x14ac:dyDescent="0.25">
      <c r="A606" s="317" t="s">
        <v>147</v>
      </c>
      <c r="B606" s="895" t="s">
        <v>147</v>
      </c>
      <c r="C606" s="896"/>
      <c r="D606" s="957" t="s">
        <v>233</v>
      </c>
      <c r="E606" s="907">
        <f>GLOBAL_DER_FEV_2023!E606</f>
        <v>0.2</v>
      </c>
      <c r="F606" s="908">
        <f>GLOBAL_DER_FEV_2023!F606</f>
        <v>3.44E-2</v>
      </c>
      <c r="G606" s="949">
        <f>GLOBAL_DER_FEV_2023!G606</f>
        <v>9.9553600000000006E-2</v>
      </c>
      <c r="H606" s="901">
        <f>GLOBAL_DER_FEV_2023!H606</f>
        <v>0</v>
      </c>
      <c r="I606" s="901">
        <f>GLOBAL_DER_FEV_2023!I606</f>
        <v>0</v>
      </c>
      <c r="J606" s="902">
        <f>GLOBAL_DER_FEV_2023!J606</f>
        <v>0</v>
      </c>
      <c r="K606" s="958" t="s">
        <v>507</v>
      </c>
      <c r="L606" s="959"/>
      <c r="M606" s="1157">
        <f t="shared" si="42"/>
        <v>0</v>
      </c>
      <c r="N606" s="893">
        <f t="shared" si="46"/>
        <v>0</v>
      </c>
      <c r="O606" s="905"/>
      <c r="P606" s="58" t="str">
        <f>IF(N603&gt;0,"xx",IF(N603&gt;0,"xy",""))</f>
        <v/>
      </c>
      <c r="Q606" s="317" t="str">
        <f t="shared" si="43"/>
        <v/>
      </c>
      <c r="R606" s="317" t="str">
        <f t="shared" si="44"/>
        <v/>
      </c>
      <c r="S606" s="317" t="str">
        <f t="shared" si="45"/>
        <v/>
      </c>
      <c r="T606" s="317" t="str">
        <f>GLOBAL_DER_FEV_2023!S606</f>
        <v/>
      </c>
      <c r="W606" s="582">
        <v>0</v>
      </c>
      <c r="X606" s="580"/>
      <c r="Y606" s="583">
        <f>IF(GLOBAL_DER_FEV_2023!W606=0,0,IF(GLOBAL_DER_FEV_2023!W606&gt;0,"c","b"))</f>
        <v>0</v>
      </c>
    </row>
    <row r="607" spans="1:25" ht="13.5" hidden="1" thickBot="1" x14ac:dyDescent="0.25">
      <c r="A607" s="317">
        <v>810650</v>
      </c>
      <c r="B607" s="895">
        <v>810650</v>
      </c>
      <c r="C607" s="896" t="s">
        <v>184</v>
      </c>
      <c r="D607" s="906" t="s">
        <v>253</v>
      </c>
      <c r="E607" s="907">
        <f>GLOBAL_DER_FEV_2023!E607</f>
        <v>0.1</v>
      </c>
      <c r="F607" s="908">
        <f>GLOBAL_DER_FEV_2023!F607</f>
        <v>7.2599999999999998E-2</v>
      </c>
      <c r="G607" s="949">
        <f>GLOBAL_DER_FEV_2023!G607</f>
        <v>0.20233620000000002</v>
      </c>
      <c r="H607" s="901">
        <f>GLOBAL_DER_FEV_2023!H607</f>
        <v>40.98</v>
      </c>
      <c r="I607" s="901">
        <f>GLOBAL_DER_FEV_2023!I607</f>
        <v>41.182336199999995</v>
      </c>
      <c r="J607" s="902">
        <f>GLOBAL_DER_FEV_2023!J607</f>
        <v>49.45</v>
      </c>
      <c r="K607" s="903" t="s">
        <v>13</v>
      </c>
      <c r="L607" s="1137"/>
      <c r="M607" s="1138">
        <f t="shared" si="42"/>
        <v>0</v>
      </c>
      <c r="N607" s="893">
        <f t="shared" si="46"/>
        <v>0</v>
      </c>
      <c r="O607" s="905"/>
      <c r="Q607" s="317" t="str">
        <f t="shared" si="43"/>
        <v/>
      </c>
      <c r="R607" s="317" t="str">
        <f t="shared" si="44"/>
        <v/>
      </c>
      <c r="S607" s="317" t="str">
        <f t="shared" si="45"/>
        <v/>
      </c>
      <c r="T607" s="317" t="str">
        <f>GLOBAL_DER_FEV_2023!S607</f>
        <v/>
      </c>
      <c r="W607" s="582">
        <v>0</v>
      </c>
      <c r="X607" s="580"/>
      <c r="Y607" s="583">
        <f>IF(GLOBAL_DER_FEV_2023!W607=0,0,IF(GLOBAL_DER_FEV_2023!W607&gt;0,"c","b"))</f>
        <v>0</v>
      </c>
    </row>
    <row r="608" spans="1:25" ht="13.5" hidden="1" thickBot="1" x14ac:dyDescent="0.25">
      <c r="A608" s="317">
        <v>810300</v>
      </c>
      <c r="B608" s="895">
        <v>810300</v>
      </c>
      <c r="C608" s="896" t="s">
        <v>184</v>
      </c>
      <c r="D608" s="906" t="s">
        <v>254</v>
      </c>
      <c r="E608" s="907">
        <f>GLOBAL_DER_FEV_2023!E608</f>
        <v>0</v>
      </c>
      <c r="F608" s="908">
        <f>GLOBAL_DER_FEV_2023!F608</f>
        <v>0</v>
      </c>
      <c r="G608" s="912">
        <f>GLOBAL_DER_FEV_2023!G608</f>
        <v>7.7109237999999998</v>
      </c>
      <c r="H608" s="901">
        <f>GLOBAL_DER_FEV_2023!H608</f>
        <v>22.58</v>
      </c>
      <c r="I608" s="901">
        <f>GLOBAL_DER_FEV_2023!I608</f>
        <v>30.290923799999998</v>
      </c>
      <c r="J608" s="902">
        <f>GLOBAL_DER_FEV_2023!J608</f>
        <v>36.369999999999997</v>
      </c>
      <c r="K608" s="903" t="s">
        <v>13</v>
      </c>
      <c r="L608" s="1137"/>
      <c r="M608" s="1138">
        <f t="shared" si="42"/>
        <v>0</v>
      </c>
      <c r="N608" s="893">
        <f t="shared" si="46"/>
        <v>0</v>
      </c>
      <c r="O608" s="905"/>
      <c r="Q608" s="317" t="str">
        <f t="shared" si="43"/>
        <v/>
      </c>
      <c r="R608" s="317" t="str">
        <f t="shared" si="44"/>
        <v/>
      </c>
      <c r="S608" s="317" t="str">
        <f t="shared" si="45"/>
        <v/>
      </c>
      <c r="T608" s="317" t="str">
        <f>GLOBAL_DER_FEV_2023!S608</f>
        <v/>
      </c>
      <c r="W608" s="582">
        <v>0</v>
      </c>
      <c r="X608" s="580"/>
      <c r="Y608" s="583">
        <f>IF(GLOBAL_DER_FEV_2023!W608=0,0,IF(GLOBAL_DER_FEV_2023!W608&gt;0,"c","b"))</f>
        <v>0</v>
      </c>
    </row>
    <row r="609" spans="1:25" ht="13.5" hidden="1" thickBot="1" x14ac:dyDescent="0.25">
      <c r="A609" s="317" t="s">
        <v>147</v>
      </c>
      <c r="B609" s="895" t="s">
        <v>147</v>
      </c>
      <c r="C609" s="896"/>
      <c r="D609" s="957" t="s">
        <v>190</v>
      </c>
      <c r="E609" s="907">
        <f>GLOBAL_DER_FEV_2023!E609</f>
        <v>308</v>
      </c>
      <c r="F609" s="908">
        <f>GLOBAL_DER_FEV_2023!F609</f>
        <v>9.1999999999999998E-3</v>
      </c>
      <c r="G609" s="909">
        <f>GLOBAL_DER_FEV_2023!G609</f>
        <v>2.282152</v>
      </c>
      <c r="H609" s="901">
        <f>GLOBAL_DER_FEV_2023!H609</f>
        <v>0</v>
      </c>
      <c r="I609" s="901">
        <f>GLOBAL_DER_FEV_2023!I609</f>
        <v>0</v>
      </c>
      <c r="J609" s="902">
        <f>GLOBAL_DER_FEV_2023!J609</f>
        <v>0</v>
      </c>
      <c r="K609" s="958" t="s">
        <v>507</v>
      </c>
      <c r="L609" s="959"/>
      <c r="M609" s="1157">
        <f t="shared" si="42"/>
        <v>0</v>
      </c>
      <c r="N609" s="893">
        <f t="shared" si="46"/>
        <v>0</v>
      </c>
      <c r="O609" s="905"/>
      <c r="P609" s="58" t="str">
        <f>IF(N608&gt;0,"xx",IF(N608&gt;0,"xy",""))</f>
        <v/>
      </c>
      <c r="Q609" s="317" t="str">
        <f t="shared" si="43"/>
        <v/>
      </c>
      <c r="R609" s="317" t="str">
        <f t="shared" si="44"/>
        <v/>
      </c>
      <c r="S609" s="317" t="str">
        <f t="shared" si="45"/>
        <v/>
      </c>
      <c r="T609" s="317" t="str">
        <f>GLOBAL_DER_FEV_2023!S609</f>
        <v/>
      </c>
      <c r="W609" s="582">
        <v>0</v>
      </c>
      <c r="X609" s="580"/>
      <c r="Y609" s="583">
        <f>IF(GLOBAL_DER_FEV_2023!W609=0,0,IF(GLOBAL_DER_FEV_2023!W609&gt;0,"c","b"))</f>
        <v>0</v>
      </c>
    </row>
    <row r="610" spans="1:25" ht="13.5" hidden="1" thickBot="1" x14ac:dyDescent="0.25">
      <c r="A610" s="317" t="s">
        <v>147</v>
      </c>
      <c r="B610" s="895" t="s">
        <v>147</v>
      </c>
      <c r="C610" s="896"/>
      <c r="D610" s="957" t="s">
        <v>229</v>
      </c>
      <c r="E610" s="907">
        <f>GLOBAL_DER_FEV_2023!E610</f>
        <v>150</v>
      </c>
      <c r="F610" s="908">
        <f>GLOBAL_DER_FEV_2023!F610</f>
        <v>3.2599999999999997E-2</v>
      </c>
      <c r="G610" s="949">
        <f>GLOBAL_DER_FEV_2023!G610</f>
        <v>5.3196680000000001</v>
      </c>
      <c r="H610" s="901">
        <f>GLOBAL_DER_FEV_2023!H610</f>
        <v>0</v>
      </c>
      <c r="I610" s="901">
        <f>GLOBAL_DER_FEV_2023!I610</f>
        <v>0</v>
      </c>
      <c r="J610" s="902">
        <f>GLOBAL_DER_FEV_2023!J610</f>
        <v>0</v>
      </c>
      <c r="K610" s="958" t="s">
        <v>507</v>
      </c>
      <c r="L610" s="959"/>
      <c r="M610" s="1157">
        <f t="shared" si="42"/>
        <v>0</v>
      </c>
      <c r="N610" s="893">
        <f t="shared" si="46"/>
        <v>0</v>
      </c>
      <c r="O610" s="905"/>
      <c r="P610" s="58" t="str">
        <f>IF(N608&gt;0,"xx",IF(N608&gt;0,"xy",""))</f>
        <v/>
      </c>
      <c r="Q610" s="317" t="str">
        <f t="shared" si="43"/>
        <v/>
      </c>
      <c r="R610" s="317" t="str">
        <f t="shared" si="44"/>
        <v/>
      </c>
      <c r="S610" s="317" t="str">
        <f t="shared" si="45"/>
        <v/>
      </c>
      <c r="T610" s="317" t="str">
        <f>GLOBAL_DER_FEV_2023!S610</f>
        <v/>
      </c>
      <c r="W610" s="582">
        <v>0</v>
      </c>
      <c r="X610" s="580"/>
      <c r="Y610" s="583">
        <f>IF(GLOBAL_DER_FEV_2023!W610=0,0,IF(GLOBAL_DER_FEV_2023!W610&gt;0,"c","b"))</f>
        <v>0</v>
      </c>
    </row>
    <row r="611" spans="1:25" ht="13.5" hidden="1" thickBot="1" x14ac:dyDescent="0.25">
      <c r="A611" s="317" t="s">
        <v>147</v>
      </c>
      <c r="B611" s="895" t="s">
        <v>147</v>
      </c>
      <c r="C611" s="896"/>
      <c r="D611" s="957" t="s">
        <v>233</v>
      </c>
      <c r="E611" s="907">
        <f>GLOBAL_DER_FEV_2023!E611</f>
        <v>0.2</v>
      </c>
      <c r="F611" s="908">
        <f>GLOBAL_DER_FEV_2023!F611</f>
        <v>3.7699999999999997E-2</v>
      </c>
      <c r="G611" s="949">
        <f>GLOBAL_DER_FEV_2023!G611</f>
        <v>0.1091038</v>
      </c>
      <c r="H611" s="901">
        <f>GLOBAL_DER_FEV_2023!H611</f>
        <v>0</v>
      </c>
      <c r="I611" s="901">
        <f>GLOBAL_DER_FEV_2023!I611</f>
        <v>0</v>
      </c>
      <c r="J611" s="902">
        <f>GLOBAL_DER_FEV_2023!J611</f>
        <v>0</v>
      </c>
      <c r="K611" s="958" t="s">
        <v>507</v>
      </c>
      <c r="L611" s="959"/>
      <c r="M611" s="1157">
        <f t="shared" si="42"/>
        <v>0</v>
      </c>
      <c r="N611" s="893">
        <f t="shared" si="46"/>
        <v>0</v>
      </c>
      <c r="O611" s="905"/>
      <c r="P611" s="58" t="str">
        <f>IF(N608&gt;0,"xx",IF(N608&gt;0,"xy",""))</f>
        <v/>
      </c>
      <c r="Q611" s="317" t="str">
        <f t="shared" si="43"/>
        <v/>
      </c>
      <c r="R611" s="317" t="str">
        <f t="shared" si="44"/>
        <v/>
      </c>
      <c r="S611" s="317" t="str">
        <f t="shared" si="45"/>
        <v/>
      </c>
      <c r="T611" s="317" t="str">
        <f>GLOBAL_DER_FEV_2023!S611</f>
        <v/>
      </c>
      <c r="W611" s="582">
        <v>0</v>
      </c>
      <c r="X611" s="580"/>
      <c r="Y611" s="583">
        <f>IF(GLOBAL_DER_FEV_2023!W611=0,0,IF(GLOBAL_DER_FEV_2023!W611&gt;0,"c","b"))</f>
        <v>0</v>
      </c>
    </row>
    <row r="612" spans="1:25" ht="13.5" hidden="1" thickBot="1" x14ac:dyDescent="0.25">
      <c r="A612" s="317">
        <v>810250</v>
      </c>
      <c r="B612" s="895" t="s">
        <v>1710</v>
      </c>
      <c r="C612" s="896" t="s">
        <v>184</v>
      </c>
      <c r="D612" s="906" t="s">
        <v>255</v>
      </c>
      <c r="E612" s="907">
        <f>GLOBAL_DER_FEV_2023!E612</f>
        <v>0.1</v>
      </c>
      <c r="F612" s="908">
        <f>GLOBAL_DER_FEV_2023!F612</f>
        <v>7.9500000000000001E-2</v>
      </c>
      <c r="G612" s="949">
        <f>GLOBAL_DER_FEV_2023!G612</f>
        <v>0.22156650000000003</v>
      </c>
      <c r="H612" s="901">
        <f>GLOBAL_DER_FEV_2023!H612</f>
        <v>40.090000000000003</v>
      </c>
      <c r="I612" s="901">
        <f>GLOBAL_DER_FEV_2023!I612</f>
        <v>40.311566500000005</v>
      </c>
      <c r="J612" s="902">
        <f>GLOBAL_DER_FEV_2023!J612</f>
        <v>48.4</v>
      </c>
      <c r="K612" s="903" t="s">
        <v>13</v>
      </c>
      <c r="L612" s="1137"/>
      <c r="M612" s="1138">
        <f t="shared" si="42"/>
        <v>0</v>
      </c>
      <c r="N612" s="893">
        <f t="shared" si="46"/>
        <v>0</v>
      </c>
      <c r="O612" s="905"/>
      <c r="Q612" s="317" t="str">
        <f t="shared" si="43"/>
        <v/>
      </c>
      <c r="R612" s="317" t="str">
        <f t="shared" si="44"/>
        <v/>
      </c>
      <c r="S612" s="317" t="str">
        <f t="shared" si="45"/>
        <v/>
      </c>
      <c r="T612" s="317" t="str">
        <f>GLOBAL_DER_FEV_2023!S612</f>
        <v/>
      </c>
      <c r="W612" s="582">
        <v>0</v>
      </c>
      <c r="X612" s="580"/>
      <c r="Y612" s="583">
        <f>IF(GLOBAL_DER_FEV_2023!W612=0,0,IF(GLOBAL_DER_FEV_2023!W612&gt;0,"c","b"))</f>
        <v>0</v>
      </c>
    </row>
    <row r="613" spans="1:25" ht="13.5" hidden="1" thickBot="1" x14ac:dyDescent="0.25">
      <c r="A613" s="317">
        <v>810400</v>
      </c>
      <c r="B613" s="895">
        <v>810400</v>
      </c>
      <c r="C613" s="896" t="s">
        <v>184</v>
      </c>
      <c r="D613" s="906" t="s">
        <v>256</v>
      </c>
      <c r="E613" s="907">
        <f>GLOBAL_DER_FEV_2023!E613</f>
        <v>0</v>
      </c>
      <c r="F613" s="908">
        <f>GLOBAL_DER_FEV_2023!F613</f>
        <v>0</v>
      </c>
      <c r="G613" s="912">
        <f>GLOBAL_DER_FEV_2023!G613</f>
        <v>16.319332599999999</v>
      </c>
      <c r="H613" s="901">
        <f>GLOBAL_DER_FEV_2023!H613</f>
        <v>41.97</v>
      </c>
      <c r="I613" s="901">
        <f>GLOBAL_DER_FEV_2023!I613</f>
        <v>58.289332599999994</v>
      </c>
      <c r="J613" s="902">
        <f>GLOBAL_DER_FEV_2023!J613</f>
        <v>69.989999999999995</v>
      </c>
      <c r="K613" s="903" t="s">
        <v>13</v>
      </c>
      <c r="L613" s="1137"/>
      <c r="M613" s="1138">
        <f t="shared" si="42"/>
        <v>0</v>
      </c>
      <c r="N613" s="893">
        <f t="shared" si="46"/>
        <v>0</v>
      </c>
      <c r="O613" s="905"/>
      <c r="Q613" s="317" t="str">
        <f t="shared" si="43"/>
        <v/>
      </c>
      <c r="R613" s="317" t="str">
        <f t="shared" si="44"/>
        <v/>
      </c>
      <c r="S613" s="317" t="str">
        <f t="shared" si="45"/>
        <v/>
      </c>
      <c r="T613" s="317" t="str">
        <f>GLOBAL_DER_FEV_2023!S613</f>
        <v/>
      </c>
      <c r="W613" s="582">
        <v>0</v>
      </c>
      <c r="X613" s="580"/>
      <c r="Y613" s="583">
        <f>IF(GLOBAL_DER_FEV_2023!W613=0,0,IF(GLOBAL_DER_FEV_2023!W613&gt;0,"c","b"))</f>
        <v>0</v>
      </c>
    </row>
    <row r="614" spans="1:25" ht="13.5" hidden="1" thickBot="1" x14ac:dyDescent="0.25">
      <c r="A614" s="317" t="s">
        <v>147</v>
      </c>
      <c r="B614" s="895" t="s">
        <v>147</v>
      </c>
      <c r="C614" s="896"/>
      <c r="D614" s="957" t="s">
        <v>190</v>
      </c>
      <c r="E614" s="907">
        <f>GLOBAL_DER_FEV_2023!E614</f>
        <v>308</v>
      </c>
      <c r="F614" s="908">
        <f>GLOBAL_DER_FEV_2023!F614</f>
        <v>1.9400000000000001E-2</v>
      </c>
      <c r="G614" s="909">
        <f>GLOBAL_DER_FEV_2023!G614</f>
        <v>4.8123640000000005</v>
      </c>
      <c r="H614" s="901">
        <f>GLOBAL_DER_FEV_2023!H614</f>
        <v>0</v>
      </c>
      <c r="I614" s="901">
        <f>GLOBAL_DER_FEV_2023!I614</f>
        <v>0</v>
      </c>
      <c r="J614" s="902">
        <f>GLOBAL_DER_FEV_2023!J614</f>
        <v>0</v>
      </c>
      <c r="K614" s="958" t="s">
        <v>507</v>
      </c>
      <c r="L614" s="959"/>
      <c r="M614" s="1157">
        <f t="shared" si="42"/>
        <v>0</v>
      </c>
      <c r="N614" s="893">
        <f t="shared" si="46"/>
        <v>0</v>
      </c>
      <c r="O614" s="905"/>
      <c r="P614" s="58" t="str">
        <f>IF(N613&gt;0,"xx",IF(N613&gt;0,"xy",""))</f>
        <v/>
      </c>
      <c r="Q614" s="317" t="str">
        <f t="shared" si="43"/>
        <v/>
      </c>
      <c r="R614" s="317" t="str">
        <f t="shared" si="44"/>
        <v/>
      </c>
      <c r="S614" s="317" t="str">
        <f t="shared" si="45"/>
        <v/>
      </c>
      <c r="T614" s="317" t="str">
        <f>GLOBAL_DER_FEV_2023!S614</f>
        <v/>
      </c>
      <c r="W614" s="582">
        <v>0</v>
      </c>
      <c r="X614" s="580"/>
      <c r="Y614" s="583">
        <f>IF(GLOBAL_DER_FEV_2023!W614=0,0,IF(GLOBAL_DER_FEV_2023!W614&gt;0,"c","b"))</f>
        <v>0</v>
      </c>
    </row>
    <row r="615" spans="1:25" ht="13.5" hidden="1" thickBot="1" x14ac:dyDescent="0.25">
      <c r="A615" s="317" t="s">
        <v>147</v>
      </c>
      <c r="B615" s="895" t="s">
        <v>147</v>
      </c>
      <c r="C615" s="896"/>
      <c r="D615" s="957" t="s">
        <v>229</v>
      </c>
      <c r="E615" s="907">
        <f>GLOBAL_DER_FEV_2023!E615</f>
        <v>150</v>
      </c>
      <c r="F615" s="908">
        <f>GLOBAL_DER_FEV_2023!F615</f>
        <v>6.9099999999999995E-2</v>
      </c>
      <c r="G615" s="949">
        <f>GLOBAL_DER_FEV_2023!G615</f>
        <v>11.275738</v>
      </c>
      <c r="H615" s="901">
        <f>GLOBAL_DER_FEV_2023!H615</f>
        <v>0</v>
      </c>
      <c r="I615" s="901">
        <f>GLOBAL_DER_FEV_2023!I615</f>
        <v>0</v>
      </c>
      <c r="J615" s="902">
        <f>GLOBAL_DER_FEV_2023!J615</f>
        <v>0</v>
      </c>
      <c r="K615" s="958" t="s">
        <v>507</v>
      </c>
      <c r="L615" s="959"/>
      <c r="M615" s="1157">
        <f t="shared" si="42"/>
        <v>0</v>
      </c>
      <c r="N615" s="893">
        <f t="shared" si="46"/>
        <v>0</v>
      </c>
      <c r="O615" s="905"/>
      <c r="P615" s="58" t="str">
        <f>IF(N613&gt;0,"xx",IF(N613&gt;0,"xy",""))</f>
        <v/>
      </c>
      <c r="Q615" s="317" t="str">
        <f t="shared" si="43"/>
        <v/>
      </c>
      <c r="R615" s="317" t="str">
        <f t="shared" si="44"/>
        <v/>
      </c>
      <c r="S615" s="317" t="str">
        <f t="shared" si="45"/>
        <v/>
      </c>
      <c r="T615" s="317" t="str">
        <f>GLOBAL_DER_FEV_2023!S615</f>
        <v/>
      </c>
      <c r="W615" s="582">
        <v>0</v>
      </c>
      <c r="X615" s="580"/>
      <c r="Y615" s="583">
        <f>IF(GLOBAL_DER_FEV_2023!W615=0,0,IF(GLOBAL_DER_FEV_2023!W615&gt;0,"c","b"))</f>
        <v>0</v>
      </c>
    </row>
    <row r="616" spans="1:25" ht="13.5" hidden="1" thickBot="1" x14ac:dyDescent="0.25">
      <c r="A616" s="317" t="s">
        <v>147</v>
      </c>
      <c r="B616" s="895" t="s">
        <v>147</v>
      </c>
      <c r="C616" s="896"/>
      <c r="D616" s="957" t="s">
        <v>233</v>
      </c>
      <c r="E616" s="907">
        <f>GLOBAL_DER_FEV_2023!E616</f>
        <v>0.2</v>
      </c>
      <c r="F616" s="908">
        <f>GLOBAL_DER_FEV_2023!F616</f>
        <v>7.9899999999999999E-2</v>
      </c>
      <c r="G616" s="949">
        <f>GLOBAL_DER_FEV_2023!G616</f>
        <v>0.23123060000000001</v>
      </c>
      <c r="H616" s="901">
        <f>GLOBAL_DER_FEV_2023!H616</f>
        <v>0</v>
      </c>
      <c r="I616" s="901">
        <f>GLOBAL_DER_FEV_2023!I616</f>
        <v>0</v>
      </c>
      <c r="J616" s="902">
        <f>GLOBAL_DER_FEV_2023!J616</f>
        <v>0</v>
      </c>
      <c r="K616" s="958" t="s">
        <v>507</v>
      </c>
      <c r="L616" s="959"/>
      <c r="M616" s="1157">
        <f t="shared" si="42"/>
        <v>0</v>
      </c>
      <c r="N616" s="893">
        <f t="shared" si="46"/>
        <v>0</v>
      </c>
      <c r="O616" s="905"/>
      <c r="P616" s="58" t="str">
        <f>IF(N613&gt;0,"xx",IF(N613&gt;0,"xy",""))</f>
        <v/>
      </c>
      <c r="Q616" s="317" t="str">
        <f t="shared" si="43"/>
        <v/>
      </c>
      <c r="R616" s="317" t="str">
        <f t="shared" si="44"/>
        <v/>
      </c>
      <c r="S616" s="317" t="str">
        <f t="shared" si="45"/>
        <v/>
      </c>
      <c r="T616" s="317" t="str">
        <f>GLOBAL_DER_FEV_2023!S616</f>
        <v/>
      </c>
      <c r="W616" s="582">
        <v>0</v>
      </c>
      <c r="X616" s="580"/>
      <c r="Y616" s="583">
        <f>IF(GLOBAL_DER_FEV_2023!W616=0,0,IF(GLOBAL_DER_FEV_2023!W616&gt;0,"c","b"))</f>
        <v>0</v>
      </c>
    </row>
    <row r="617" spans="1:25" ht="13.5" hidden="1" thickBot="1" x14ac:dyDescent="0.25">
      <c r="A617" s="317">
        <v>810350</v>
      </c>
      <c r="B617" s="895">
        <v>810350</v>
      </c>
      <c r="C617" s="896" t="s">
        <v>184</v>
      </c>
      <c r="D617" s="906" t="s">
        <v>257</v>
      </c>
      <c r="E617" s="907">
        <f>GLOBAL_DER_FEV_2023!E617</f>
        <v>0.1</v>
      </c>
      <c r="F617" s="908">
        <f>GLOBAL_DER_FEV_2023!F617</f>
        <v>0.16839999999999999</v>
      </c>
      <c r="G617" s="949">
        <f>GLOBAL_DER_FEV_2023!G617</f>
        <v>0.46933080000000005</v>
      </c>
      <c r="H617" s="901">
        <f>GLOBAL_DER_FEV_2023!H617</f>
        <v>64.56</v>
      </c>
      <c r="I617" s="901">
        <f>GLOBAL_DER_FEV_2023!I617</f>
        <v>65.029330799999997</v>
      </c>
      <c r="J617" s="902">
        <f>GLOBAL_DER_FEV_2023!J617</f>
        <v>78.08</v>
      </c>
      <c r="K617" s="903" t="s">
        <v>13</v>
      </c>
      <c r="L617" s="1139"/>
      <c r="M617" s="1140">
        <f t="shared" si="42"/>
        <v>0</v>
      </c>
      <c r="N617" s="893">
        <f t="shared" si="46"/>
        <v>0</v>
      </c>
      <c r="O617" s="905"/>
      <c r="Q617" s="317" t="str">
        <f t="shared" si="43"/>
        <v/>
      </c>
      <c r="R617" s="317" t="str">
        <f t="shared" si="44"/>
        <v/>
      </c>
      <c r="S617" s="317" t="str">
        <f t="shared" si="45"/>
        <v/>
      </c>
      <c r="T617" s="317" t="str">
        <f>GLOBAL_DER_FEV_2023!S617</f>
        <v/>
      </c>
      <c r="W617" s="582">
        <v>0</v>
      </c>
      <c r="X617" s="580"/>
      <c r="Y617" s="583">
        <f>IF(GLOBAL_DER_FEV_2023!W617=0,0,IF(GLOBAL_DER_FEV_2023!W617&gt;0,"c","b"))</f>
        <v>0</v>
      </c>
    </row>
    <row r="618" spans="1:25" ht="13.5" hidden="1" thickBot="1" x14ac:dyDescent="0.25">
      <c r="A618" s="640" t="s">
        <v>165</v>
      </c>
      <c r="B618" s="913" t="s">
        <v>165</v>
      </c>
      <c r="C618" s="914"/>
      <c r="D618" s="915" t="s">
        <v>214</v>
      </c>
      <c r="E618" s="916">
        <f>GLOBAL_DER_FEV_2023!E618</f>
        <v>0</v>
      </c>
      <c r="F618" s="917">
        <f>GLOBAL_DER_FEV_2023!F618</f>
        <v>0</v>
      </c>
      <c r="G618" s="918">
        <f>GLOBAL_DER_FEV_2023!G618</f>
        <v>0</v>
      </c>
      <c r="H618" s="919">
        <f>GLOBAL_DER_FEV_2023!H618</f>
        <v>0</v>
      </c>
      <c r="I618" s="919">
        <f>GLOBAL_DER_FEV_2023!I618</f>
        <v>0</v>
      </c>
      <c r="J618" s="919">
        <f>GLOBAL_DER_FEV_2023!J618</f>
        <v>0</v>
      </c>
      <c r="K618" s="920" t="s">
        <v>507</v>
      </c>
      <c r="L618" s="1162"/>
      <c r="M618" s="1163"/>
      <c r="N618" s="1164">
        <f t="shared" si="46"/>
        <v>0</v>
      </c>
      <c r="O618" s="1165"/>
      <c r="P618" s="58" t="str">
        <f>IF(OR(SUM(N619:N643)&gt;0,SUM(N619:N643)&gt;0),"y","")</f>
        <v/>
      </c>
      <c r="Q618" s="317" t="str">
        <f t="shared" si="43"/>
        <v/>
      </c>
      <c r="R618" s="317" t="str">
        <f t="shared" si="44"/>
        <v/>
      </c>
      <c r="S618" s="317" t="str">
        <f t="shared" si="45"/>
        <v/>
      </c>
      <c r="T618" s="317" t="str">
        <f>GLOBAL_DER_FEV_2023!S618</f>
        <v/>
      </c>
      <c r="W618" s="582">
        <v>0</v>
      </c>
      <c r="X618" s="580"/>
      <c r="Y618" s="583">
        <f>IF(GLOBAL_DER_FEV_2023!W618=0,0,IF(GLOBAL_DER_FEV_2023!W618&gt;0,"c","b"))</f>
        <v>0</v>
      </c>
    </row>
    <row r="619" spans="1:25" ht="13.5" hidden="1" thickBot="1" x14ac:dyDescent="0.25">
      <c r="A619" s="640" t="s">
        <v>165</v>
      </c>
      <c r="B619" s="1036" t="str">
        <f>GLOBAL_DER_FEV_2023!B619</f>
        <v/>
      </c>
      <c r="C619" s="1072" t="str">
        <f>GLOBAL_DER_FEV_2023!C619</f>
        <v/>
      </c>
      <c r="D619" s="1141">
        <f>GLOBAL_DER_FEV_2023!D619</f>
        <v>0</v>
      </c>
      <c r="E619" s="907">
        <f>GLOBAL_DER_FEV_2023!E619</f>
        <v>0</v>
      </c>
      <c r="F619" s="908">
        <f>GLOBAL_DER_FEV_2023!F619</f>
        <v>0</v>
      </c>
      <c r="G619" s="912">
        <f>GLOBAL_DER_FEV_2023!G619</f>
        <v>0</v>
      </c>
      <c r="H619" s="901">
        <f>GLOBAL_DER_FEV_2023!H619</f>
        <v>0</v>
      </c>
      <c r="I619" s="901">
        <f>GLOBAL_DER_FEV_2023!I619</f>
        <v>0</v>
      </c>
      <c r="J619" s="902">
        <f>GLOBAL_DER_FEV_2023!J619</f>
        <v>0</v>
      </c>
      <c r="K619" s="903" t="str">
        <f>GLOBAL_DER_FEV_2023!K619</f>
        <v xml:space="preserve">     </v>
      </c>
      <c r="L619" s="1137"/>
      <c r="M619" s="1140">
        <f t="shared" si="42"/>
        <v>0</v>
      </c>
      <c r="N619" s="1166">
        <f t="shared" si="46"/>
        <v>0</v>
      </c>
      <c r="O619" s="1165"/>
      <c r="Q619" s="317" t="str">
        <f t="shared" si="43"/>
        <v/>
      </c>
      <c r="R619" s="317" t="str">
        <f t="shared" si="44"/>
        <v/>
      </c>
      <c r="S619" s="317" t="str">
        <f t="shared" si="45"/>
        <v/>
      </c>
      <c r="T619" s="317" t="str">
        <f>GLOBAL_DER_FEV_2023!S619</f>
        <v/>
      </c>
      <c r="W619" s="582">
        <v>0</v>
      </c>
      <c r="X619" s="580"/>
      <c r="Y619" s="583">
        <f>IF(GLOBAL_DER_FEV_2023!W619=0,0,IF(GLOBAL_DER_FEV_2023!W619&gt;0,"c","b"))</f>
        <v>0</v>
      </c>
    </row>
    <row r="620" spans="1:25" ht="13.5" hidden="1" thickBot="1" x14ac:dyDescent="0.25">
      <c r="A620" s="640" t="s">
        <v>165</v>
      </c>
      <c r="B620" s="1036" t="str">
        <f>GLOBAL_DER_FEV_2023!B620</f>
        <v/>
      </c>
      <c r="C620" s="1072" t="str">
        <f>GLOBAL_DER_FEV_2023!C620</f>
        <v/>
      </c>
      <c r="D620" s="1141">
        <f>GLOBAL_DER_FEV_2023!D620</f>
        <v>0</v>
      </c>
      <c r="E620" s="907">
        <f>GLOBAL_DER_FEV_2023!E620</f>
        <v>0</v>
      </c>
      <c r="F620" s="908">
        <f>GLOBAL_DER_FEV_2023!F620</f>
        <v>0</v>
      </c>
      <c r="G620" s="912">
        <f>GLOBAL_DER_FEV_2023!G620</f>
        <v>0</v>
      </c>
      <c r="H620" s="901">
        <f>GLOBAL_DER_FEV_2023!H620</f>
        <v>0</v>
      </c>
      <c r="I620" s="901">
        <f>GLOBAL_DER_FEV_2023!I620</f>
        <v>0</v>
      </c>
      <c r="J620" s="890">
        <f>GLOBAL_DER_FEV_2023!J620</f>
        <v>0</v>
      </c>
      <c r="K620" s="903" t="str">
        <f>GLOBAL_DER_FEV_2023!K620</f>
        <v xml:space="preserve">     </v>
      </c>
      <c r="L620" s="1137"/>
      <c r="M620" s="1140">
        <f t="shared" si="42"/>
        <v>0</v>
      </c>
      <c r="N620" s="1167">
        <f t="shared" si="46"/>
        <v>0</v>
      </c>
      <c r="O620" s="1165"/>
      <c r="Q620" s="317" t="str">
        <f t="shared" si="43"/>
        <v/>
      </c>
      <c r="R620" s="317" t="str">
        <f t="shared" si="44"/>
        <v/>
      </c>
      <c r="S620" s="317" t="str">
        <f t="shared" si="45"/>
        <v/>
      </c>
      <c r="T620" s="317" t="str">
        <f>GLOBAL_DER_FEV_2023!S620</f>
        <v/>
      </c>
      <c r="W620" s="582">
        <v>0</v>
      </c>
      <c r="X620" s="580"/>
      <c r="Y620" s="583">
        <f>IF(GLOBAL_DER_FEV_2023!W620=0,0,IF(GLOBAL_DER_FEV_2023!W620&gt;0,"c","b"))</f>
        <v>0</v>
      </c>
    </row>
    <row r="621" spans="1:25" ht="13.5" hidden="1" thickBot="1" x14ac:dyDescent="0.25">
      <c r="A621" s="640" t="s">
        <v>165</v>
      </c>
      <c r="B621" s="1036" t="str">
        <f>GLOBAL_DER_FEV_2023!B621</f>
        <v/>
      </c>
      <c r="C621" s="1072" t="str">
        <f>GLOBAL_DER_FEV_2023!C621</f>
        <v/>
      </c>
      <c r="D621" s="1141">
        <f>GLOBAL_DER_FEV_2023!D621</f>
        <v>0</v>
      </c>
      <c r="E621" s="907">
        <f>GLOBAL_DER_FEV_2023!E621</f>
        <v>0</v>
      </c>
      <c r="F621" s="908">
        <f>GLOBAL_DER_FEV_2023!F621</f>
        <v>0</v>
      </c>
      <c r="G621" s="912">
        <f>GLOBAL_DER_FEV_2023!G621</f>
        <v>0</v>
      </c>
      <c r="H621" s="901">
        <f>GLOBAL_DER_FEV_2023!H621</f>
        <v>0</v>
      </c>
      <c r="I621" s="901">
        <f>GLOBAL_DER_FEV_2023!I621</f>
        <v>0</v>
      </c>
      <c r="J621" s="890">
        <f>GLOBAL_DER_FEV_2023!J621</f>
        <v>0</v>
      </c>
      <c r="K621" s="903" t="str">
        <f>GLOBAL_DER_FEV_2023!K621</f>
        <v xml:space="preserve">     </v>
      </c>
      <c r="L621" s="1137"/>
      <c r="M621" s="1140">
        <f t="shared" si="42"/>
        <v>0</v>
      </c>
      <c r="N621" s="1167">
        <f t="shared" si="46"/>
        <v>0</v>
      </c>
      <c r="O621" s="1165"/>
      <c r="Q621" s="317" t="str">
        <f t="shared" si="43"/>
        <v/>
      </c>
      <c r="R621" s="317" t="str">
        <f t="shared" si="44"/>
        <v/>
      </c>
      <c r="S621" s="317" t="str">
        <f t="shared" si="45"/>
        <v/>
      </c>
      <c r="T621" s="317" t="str">
        <f>GLOBAL_DER_FEV_2023!S621</f>
        <v/>
      </c>
      <c r="W621" s="582">
        <v>0</v>
      </c>
      <c r="X621" s="580"/>
      <c r="Y621" s="583">
        <f>IF(GLOBAL_DER_FEV_2023!W621=0,0,IF(GLOBAL_DER_FEV_2023!W621&gt;0,"c","b"))</f>
        <v>0</v>
      </c>
    </row>
    <row r="622" spans="1:25" ht="13.5" hidden="1" thickBot="1" x14ac:dyDescent="0.25">
      <c r="A622" s="640" t="s">
        <v>165</v>
      </c>
      <c r="B622" s="1036" t="str">
        <f>GLOBAL_DER_FEV_2023!B622</f>
        <v/>
      </c>
      <c r="C622" s="1072" t="str">
        <f>GLOBAL_DER_FEV_2023!C622</f>
        <v/>
      </c>
      <c r="D622" s="1141">
        <f>GLOBAL_DER_FEV_2023!D622</f>
        <v>0</v>
      </c>
      <c r="E622" s="907">
        <f>GLOBAL_DER_FEV_2023!E622</f>
        <v>0</v>
      </c>
      <c r="F622" s="908">
        <f>GLOBAL_DER_FEV_2023!F622</f>
        <v>0</v>
      </c>
      <c r="G622" s="912">
        <f>GLOBAL_DER_FEV_2023!G622</f>
        <v>0</v>
      </c>
      <c r="H622" s="901">
        <f>GLOBAL_DER_FEV_2023!H622</f>
        <v>0</v>
      </c>
      <c r="I622" s="901">
        <f>GLOBAL_DER_FEV_2023!I622</f>
        <v>0</v>
      </c>
      <c r="J622" s="890">
        <f>GLOBAL_DER_FEV_2023!J622</f>
        <v>0</v>
      </c>
      <c r="K622" s="903" t="str">
        <f>GLOBAL_DER_FEV_2023!K622</f>
        <v xml:space="preserve">     </v>
      </c>
      <c r="L622" s="1137"/>
      <c r="M622" s="1140">
        <f t="shared" si="42"/>
        <v>0</v>
      </c>
      <c r="N622" s="1167">
        <f t="shared" si="46"/>
        <v>0</v>
      </c>
      <c r="O622" s="1165"/>
      <c r="Q622" s="317" t="str">
        <f t="shared" si="43"/>
        <v/>
      </c>
      <c r="R622" s="317" t="str">
        <f t="shared" si="44"/>
        <v/>
      </c>
      <c r="S622" s="317" t="str">
        <f t="shared" si="45"/>
        <v/>
      </c>
      <c r="T622" s="317" t="str">
        <f>GLOBAL_DER_FEV_2023!S622</f>
        <v/>
      </c>
      <c r="W622" s="582">
        <v>0</v>
      </c>
      <c r="X622" s="580"/>
      <c r="Y622" s="583">
        <f>IF(GLOBAL_DER_FEV_2023!W622=0,0,IF(GLOBAL_DER_FEV_2023!W622&gt;0,"c","b"))</f>
        <v>0</v>
      </c>
    </row>
    <row r="623" spans="1:25" ht="13.5" hidden="1" thickBot="1" x14ac:dyDescent="0.25">
      <c r="A623" s="640" t="s">
        <v>165</v>
      </c>
      <c r="B623" s="1036" t="str">
        <f>GLOBAL_DER_FEV_2023!B623</f>
        <v/>
      </c>
      <c r="C623" s="1072" t="str">
        <f>GLOBAL_DER_FEV_2023!C623</f>
        <v/>
      </c>
      <c r="D623" s="1141">
        <f>GLOBAL_DER_FEV_2023!D623</f>
        <v>0</v>
      </c>
      <c r="E623" s="907">
        <f>GLOBAL_DER_FEV_2023!E623</f>
        <v>0</v>
      </c>
      <c r="F623" s="908">
        <f>GLOBAL_DER_FEV_2023!F623</f>
        <v>0</v>
      </c>
      <c r="G623" s="912">
        <f>GLOBAL_DER_FEV_2023!G623</f>
        <v>0</v>
      </c>
      <c r="H623" s="901">
        <f>GLOBAL_DER_FEV_2023!H623</f>
        <v>0</v>
      </c>
      <c r="I623" s="901">
        <f>GLOBAL_DER_FEV_2023!I623</f>
        <v>0</v>
      </c>
      <c r="J623" s="890">
        <f>GLOBAL_DER_FEV_2023!J623</f>
        <v>0</v>
      </c>
      <c r="K623" s="903" t="str">
        <f>GLOBAL_DER_FEV_2023!K623</f>
        <v xml:space="preserve">     </v>
      </c>
      <c r="L623" s="1137"/>
      <c r="M623" s="1140">
        <f t="shared" si="42"/>
        <v>0</v>
      </c>
      <c r="N623" s="1167">
        <f t="shared" si="46"/>
        <v>0</v>
      </c>
      <c r="O623" s="1165"/>
      <c r="Q623" s="317" t="str">
        <f t="shared" si="43"/>
        <v/>
      </c>
      <c r="R623" s="317" t="str">
        <f t="shared" si="44"/>
        <v/>
      </c>
      <c r="S623" s="317" t="str">
        <f t="shared" si="45"/>
        <v/>
      </c>
      <c r="T623" s="317" t="str">
        <f>GLOBAL_DER_FEV_2023!S623</f>
        <v/>
      </c>
      <c r="W623" s="582">
        <v>0</v>
      </c>
      <c r="X623" s="580"/>
      <c r="Y623" s="583">
        <f>IF(GLOBAL_DER_FEV_2023!W623=0,0,IF(GLOBAL_DER_FEV_2023!W623&gt;0,"c","b"))</f>
        <v>0</v>
      </c>
    </row>
    <row r="624" spans="1:25" ht="13.5" hidden="1" thickBot="1" x14ac:dyDescent="0.25">
      <c r="A624" s="640" t="s">
        <v>165</v>
      </c>
      <c r="B624" s="1036" t="str">
        <f>GLOBAL_DER_FEV_2023!B624</f>
        <v/>
      </c>
      <c r="C624" s="1072" t="str">
        <f>GLOBAL_DER_FEV_2023!C624</f>
        <v/>
      </c>
      <c r="D624" s="1141">
        <f>GLOBAL_DER_FEV_2023!D624</f>
        <v>0</v>
      </c>
      <c r="E624" s="907">
        <f>GLOBAL_DER_FEV_2023!E624</f>
        <v>0</v>
      </c>
      <c r="F624" s="908">
        <f>GLOBAL_DER_FEV_2023!F624</f>
        <v>0</v>
      </c>
      <c r="G624" s="912">
        <f>GLOBAL_DER_FEV_2023!G624</f>
        <v>0</v>
      </c>
      <c r="H624" s="901">
        <f>GLOBAL_DER_FEV_2023!H624</f>
        <v>0</v>
      </c>
      <c r="I624" s="901">
        <f>GLOBAL_DER_FEV_2023!I624</f>
        <v>0</v>
      </c>
      <c r="J624" s="890">
        <f>GLOBAL_DER_FEV_2023!J624</f>
        <v>0</v>
      </c>
      <c r="K624" s="903" t="str">
        <f>GLOBAL_DER_FEV_2023!K624</f>
        <v xml:space="preserve">     </v>
      </c>
      <c r="L624" s="1137"/>
      <c r="M624" s="1140">
        <f t="shared" si="42"/>
        <v>0</v>
      </c>
      <c r="N624" s="1167">
        <f t="shared" si="46"/>
        <v>0</v>
      </c>
      <c r="O624" s="1165"/>
      <c r="Q624" s="317" t="str">
        <f t="shared" si="43"/>
        <v/>
      </c>
      <c r="R624" s="317" t="str">
        <f t="shared" si="44"/>
        <v/>
      </c>
      <c r="S624" s="317" t="str">
        <f t="shared" si="45"/>
        <v/>
      </c>
      <c r="T624" s="317" t="str">
        <f>GLOBAL_DER_FEV_2023!S624</f>
        <v/>
      </c>
      <c r="W624" s="582">
        <v>0</v>
      </c>
      <c r="X624" s="580"/>
      <c r="Y624" s="583">
        <f>IF(GLOBAL_DER_FEV_2023!W624=0,0,IF(GLOBAL_DER_FEV_2023!W624&gt;0,"c","b"))</f>
        <v>0</v>
      </c>
    </row>
    <row r="625" spans="1:25" ht="13.5" hidden="1" thickBot="1" x14ac:dyDescent="0.25">
      <c r="A625" s="640" t="s">
        <v>165</v>
      </c>
      <c r="B625" s="1036" t="str">
        <f>GLOBAL_DER_FEV_2023!B625</f>
        <v/>
      </c>
      <c r="C625" s="1072" t="str">
        <f>GLOBAL_DER_FEV_2023!C625</f>
        <v/>
      </c>
      <c r="D625" s="1141">
        <f>GLOBAL_DER_FEV_2023!D625</f>
        <v>0</v>
      </c>
      <c r="E625" s="907">
        <f>GLOBAL_DER_FEV_2023!E625</f>
        <v>0</v>
      </c>
      <c r="F625" s="908">
        <f>GLOBAL_DER_FEV_2023!F625</f>
        <v>0</v>
      </c>
      <c r="G625" s="912">
        <f>GLOBAL_DER_FEV_2023!G625</f>
        <v>0</v>
      </c>
      <c r="H625" s="901">
        <f>GLOBAL_DER_FEV_2023!H625</f>
        <v>0</v>
      </c>
      <c r="I625" s="901">
        <f>GLOBAL_DER_FEV_2023!I625</f>
        <v>0</v>
      </c>
      <c r="J625" s="890">
        <f>GLOBAL_DER_FEV_2023!J625</f>
        <v>0</v>
      </c>
      <c r="K625" s="903" t="str">
        <f>GLOBAL_DER_FEV_2023!K625</f>
        <v xml:space="preserve">     </v>
      </c>
      <c r="L625" s="1137"/>
      <c r="M625" s="1140">
        <f t="shared" si="42"/>
        <v>0</v>
      </c>
      <c r="N625" s="1167">
        <f t="shared" si="46"/>
        <v>0</v>
      </c>
      <c r="O625" s="1165"/>
      <c r="Q625" s="317" t="str">
        <f t="shared" si="43"/>
        <v/>
      </c>
      <c r="R625" s="317" t="str">
        <f t="shared" si="44"/>
        <v/>
      </c>
      <c r="S625" s="317" t="str">
        <f t="shared" si="45"/>
        <v/>
      </c>
      <c r="T625" s="317" t="str">
        <f>GLOBAL_DER_FEV_2023!S625</f>
        <v/>
      </c>
      <c r="W625" s="582">
        <v>0</v>
      </c>
      <c r="X625" s="580"/>
      <c r="Y625" s="583">
        <f>IF(GLOBAL_DER_FEV_2023!W625=0,0,IF(GLOBAL_DER_FEV_2023!W625&gt;0,"c","b"))</f>
        <v>0</v>
      </c>
    </row>
    <row r="626" spans="1:25" ht="13.5" hidden="1" thickBot="1" x14ac:dyDescent="0.25">
      <c r="A626" s="640" t="s">
        <v>165</v>
      </c>
      <c r="B626" s="1036" t="str">
        <f>GLOBAL_DER_FEV_2023!B626</f>
        <v/>
      </c>
      <c r="C626" s="1072" t="str">
        <f>GLOBAL_DER_FEV_2023!C626</f>
        <v/>
      </c>
      <c r="D626" s="1141">
        <f>GLOBAL_DER_FEV_2023!D626</f>
        <v>0</v>
      </c>
      <c r="E626" s="907">
        <f>GLOBAL_DER_FEV_2023!E626</f>
        <v>0</v>
      </c>
      <c r="F626" s="908">
        <f>GLOBAL_DER_FEV_2023!F626</f>
        <v>0</v>
      </c>
      <c r="G626" s="912">
        <f>GLOBAL_DER_FEV_2023!G626</f>
        <v>0</v>
      </c>
      <c r="H626" s="901">
        <f>GLOBAL_DER_FEV_2023!H626</f>
        <v>0</v>
      </c>
      <c r="I626" s="901">
        <f>GLOBAL_DER_FEV_2023!I626</f>
        <v>0</v>
      </c>
      <c r="J626" s="890">
        <f>GLOBAL_DER_FEV_2023!J626</f>
        <v>0</v>
      </c>
      <c r="K626" s="903" t="str">
        <f>GLOBAL_DER_FEV_2023!K626</f>
        <v xml:space="preserve">     </v>
      </c>
      <c r="L626" s="1137"/>
      <c r="M626" s="1140">
        <f t="shared" si="42"/>
        <v>0</v>
      </c>
      <c r="N626" s="1167">
        <f t="shared" si="46"/>
        <v>0</v>
      </c>
      <c r="O626" s="1165"/>
      <c r="Q626" s="317" t="str">
        <f t="shared" si="43"/>
        <v/>
      </c>
      <c r="R626" s="317" t="str">
        <f t="shared" si="44"/>
        <v/>
      </c>
      <c r="S626" s="317" t="str">
        <f t="shared" si="45"/>
        <v/>
      </c>
      <c r="T626" s="317" t="str">
        <f>GLOBAL_DER_FEV_2023!S626</f>
        <v/>
      </c>
      <c r="W626" s="582">
        <v>0</v>
      </c>
      <c r="X626" s="580"/>
      <c r="Y626" s="583">
        <f>IF(GLOBAL_DER_FEV_2023!W626=0,0,IF(GLOBAL_DER_FEV_2023!W626&gt;0,"c","b"))</f>
        <v>0</v>
      </c>
    </row>
    <row r="627" spans="1:25" ht="13.5" hidden="1" thickBot="1" x14ac:dyDescent="0.25">
      <c r="A627" s="640" t="s">
        <v>165</v>
      </c>
      <c r="B627" s="1036" t="str">
        <f>GLOBAL_DER_FEV_2023!B627</f>
        <v/>
      </c>
      <c r="C627" s="1072" t="str">
        <f>GLOBAL_DER_FEV_2023!C627</f>
        <v/>
      </c>
      <c r="D627" s="1141">
        <f>GLOBAL_DER_FEV_2023!D627</f>
        <v>0</v>
      </c>
      <c r="E627" s="907">
        <f>GLOBAL_DER_FEV_2023!E627</f>
        <v>0</v>
      </c>
      <c r="F627" s="908">
        <f>GLOBAL_DER_FEV_2023!F627</f>
        <v>0</v>
      </c>
      <c r="G627" s="912">
        <f>GLOBAL_DER_FEV_2023!G627</f>
        <v>0</v>
      </c>
      <c r="H627" s="901">
        <f>GLOBAL_DER_FEV_2023!H627</f>
        <v>0</v>
      </c>
      <c r="I627" s="901">
        <f>GLOBAL_DER_FEV_2023!I627</f>
        <v>0</v>
      </c>
      <c r="J627" s="890">
        <f>GLOBAL_DER_FEV_2023!J627</f>
        <v>0</v>
      </c>
      <c r="K627" s="903" t="str">
        <f>GLOBAL_DER_FEV_2023!K627</f>
        <v xml:space="preserve">     </v>
      </c>
      <c r="L627" s="1137"/>
      <c r="M627" s="1140">
        <f t="shared" si="42"/>
        <v>0</v>
      </c>
      <c r="N627" s="1167">
        <f t="shared" si="46"/>
        <v>0</v>
      </c>
      <c r="O627" s="1165"/>
      <c r="Q627" s="317" t="str">
        <f t="shared" si="43"/>
        <v/>
      </c>
      <c r="R627" s="317" t="str">
        <f t="shared" si="44"/>
        <v/>
      </c>
      <c r="S627" s="317" t="str">
        <f t="shared" si="45"/>
        <v/>
      </c>
      <c r="T627" s="317" t="str">
        <f>GLOBAL_DER_FEV_2023!S627</f>
        <v/>
      </c>
      <c r="W627" s="582">
        <v>0</v>
      </c>
      <c r="X627" s="580"/>
      <c r="Y627" s="583">
        <f>IF(GLOBAL_DER_FEV_2023!W627=0,0,IF(GLOBAL_DER_FEV_2023!W627&gt;0,"c","b"))</f>
        <v>0</v>
      </c>
    </row>
    <row r="628" spans="1:25" ht="13.5" hidden="1" thickBot="1" x14ac:dyDescent="0.25">
      <c r="A628" s="640" t="s">
        <v>165</v>
      </c>
      <c r="B628" s="1036" t="str">
        <f>GLOBAL_DER_FEV_2023!B628</f>
        <v/>
      </c>
      <c r="C628" s="1072" t="str">
        <f>GLOBAL_DER_FEV_2023!C628</f>
        <v/>
      </c>
      <c r="D628" s="1141">
        <f>GLOBAL_DER_FEV_2023!D628</f>
        <v>0</v>
      </c>
      <c r="E628" s="907">
        <f>GLOBAL_DER_FEV_2023!E628</f>
        <v>0</v>
      </c>
      <c r="F628" s="908">
        <f>GLOBAL_DER_FEV_2023!F628</f>
        <v>0</v>
      </c>
      <c r="G628" s="912">
        <f>GLOBAL_DER_FEV_2023!G628</f>
        <v>0</v>
      </c>
      <c r="H628" s="901">
        <f>GLOBAL_DER_FEV_2023!H628</f>
        <v>0</v>
      </c>
      <c r="I628" s="901">
        <f>GLOBAL_DER_FEV_2023!I628</f>
        <v>0</v>
      </c>
      <c r="J628" s="890">
        <f>GLOBAL_DER_FEV_2023!J628</f>
        <v>0</v>
      </c>
      <c r="K628" s="903" t="str">
        <f>GLOBAL_DER_FEV_2023!K628</f>
        <v xml:space="preserve">     </v>
      </c>
      <c r="L628" s="1137"/>
      <c r="M628" s="1140">
        <f t="shared" si="42"/>
        <v>0</v>
      </c>
      <c r="N628" s="1167">
        <f t="shared" si="46"/>
        <v>0</v>
      </c>
      <c r="O628" s="1165"/>
      <c r="Q628" s="317" t="str">
        <f t="shared" si="43"/>
        <v/>
      </c>
      <c r="R628" s="317" t="str">
        <f t="shared" si="44"/>
        <v/>
      </c>
      <c r="S628" s="317" t="str">
        <f t="shared" si="45"/>
        <v/>
      </c>
      <c r="T628" s="317" t="str">
        <f>GLOBAL_DER_FEV_2023!S628</f>
        <v/>
      </c>
      <c r="W628" s="582">
        <v>0</v>
      </c>
      <c r="X628" s="580"/>
      <c r="Y628" s="583">
        <f>IF(GLOBAL_DER_FEV_2023!W628=0,0,IF(GLOBAL_DER_FEV_2023!W628&gt;0,"c","b"))</f>
        <v>0</v>
      </c>
    </row>
    <row r="629" spans="1:25" ht="13.5" hidden="1" thickBot="1" x14ac:dyDescent="0.25">
      <c r="A629" s="640" t="s">
        <v>165</v>
      </c>
      <c r="B629" s="1036" t="str">
        <f>GLOBAL_DER_FEV_2023!B629</f>
        <v/>
      </c>
      <c r="C629" s="1072" t="str">
        <f>GLOBAL_DER_FEV_2023!C629</f>
        <v/>
      </c>
      <c r="D629" s="1141">
        <f>GLOBAL_DER_FEV_2023!D629</f>
        <v>0</v>
      </c>
      <c r="E629" s="907">
        <f>GLOBAL_DER_FEV_2023!E629</f>
        <v>0</v>
      </c>
      <c r="F629" s="908">
        <f>GLOBAL_DER_FEV_2023!F629</f>
        <v>0</v>
      </c>
      <c r="G629" s="912">
        <f>GLOBAL_DER_FEV_2023!G629</f>
        <v>0</v>
      </c>
      <c r="H629" s="901">
        <f>GLOBAL_DER_FEV_2023!H629</f>
        <v>0</v>
      </c>
      <c r="I629" s="901">
        <f>GLOBAL_DER_FEV_2023!I629</f>
        <v>0</v>
      </c>
      <c r="J629" s="890">
        <f>GLOBAL_DER_FEV_2023!J629</f>
        <v>0</v>
      </c>
      <c r="K629" s="903" t="str">
        <f>GLOBAL_DER_FEV_2023!K629</f>
        <v xml:space="preserve">     </v>
      </c>
      <c r="L629" s="1137"/>
      <c r="M629" s="1140">
        <f t="shared" si="42"/>
        <v>0</v>
      </c>
      <c r="N629" s="1167">
        <f t="shared" si="46"/>
        <v>0</v>
      </c>
      <c r="O629" s="1165"/>
      <c r="Q629" s="317" t="str">
        <f t="shared" si="43"/>
        <v/>
      </c>
      <c r="R629" s="317" t="str">
        <f t="shared" si="44"/>
        <v/>
      </c>
      <c r="S629" s="317" t="str">
        <f t="shared" si="45"/>
        <v/>
      </c>
      <c r="T629" s="317" t="str">
        <f>GLOBAL_DER_FEV_2023!S629</f>
        <v/>
      </c>
      <c r="W629" s="582">
        <v>0</v>
      </c>
      <c r="X629" s="580"/>
      <c r="Y629" s="583">
        <f>IF(GLOBAL_DER_FEV_2023!W629=0,0,IF(GLOBAL_DER_FEV_2023!W629&gt;0,"c","b"))</f>
        <v>0</v>
      </c>
    </row>
    <row r="630" spans="1:25" ht="13.5" hidden="1" thickBot="1" x14ac:dyDescent="0.25">
      <c r="A630" s="640" t="s">
        <v>165</v>
      </c>
      <c r="B630" s="1036" t="str">
        <f>GLOBAL_DER_FEV_2023!B630</f>
        <v/>
      </c>
      <c r="C630" s="1072" t="str">
        <f>GLOBAL_DER_FEV_2023!C630</f>
        <v/>
      </c>
      <c r="D630" s="1141">
        <f>GLOBAL_DER_FEV_2023!D630</f>
        <v>0</v>
      </c>
      <c r="E630" s="907">
        <f>GLOBAL_DER_FEV_2023!E630</f>
        <v>0</v>
      </c>
      <c r="F630" s="908">
        <f>GLOBAL_DER_FEV_2023!F630</f>
        <v>0</v>
      </c>
      <c r="G630" s="912">
        <f>GLOBAL_DER_FEV_2023!G630</f>
        <v>0</v>
      </c>
      <c r="H630" s="901">
        <f>GLOBAL_DER_FEV_2023!H630</f>
        <v>0</v>
      </c>
      <c r="I630" s="901">
        <f>GLOBAL_DER_FEV_2023!I630</f>
        <v>0</v>
      </c>
      <c r="J630" s="890">
        <f>GLOBAL_DER_FEV_2023!J630</f>
        <v>0</v>
      </c>
      <c r="K630" s="903" t="str">
        <f>GLOBAL_DER_FEV_2023!K630</f>
        <v xml:space="preserve">     </v>
      </c>
      <c r="L630" s="1137"/>
      <c r="M630" s="1140">
        <f t="shared" si="42"/>
        <v>0</v>
      </c>
      <c r="N630" s="1167">
        <f t="shared" si="46"/>
        <v>0</v>
      </c>
      <c r="O630" s="1165"/>
      <c r="Q630" s="317" t="str">
        <f t="shared" si="43"/>
        <v/>
      </c>
      <c r="R630" s="317" t="str">
        <f t="shared" si="44"/>
        <v/>
      </c>
      <c r="S630" s="317" t="str">
        <f t="shared" si="45"/>
        <v/>
      </c>
      <c r="T630" s="317" t="str">
        <f>GLOBAL_DER_FEV_2023!S630</f>
        <v/>
      </c>
      <c r="W630" s="582">
        <v>0</v>
      </c>
      <c r="X630" s="580"/>
      <c r="Y630" s="583">
        <f>IF(GLOBAL_DER_FEV_2023!W630=0,0,IF(GLOBAL_DER_FEV_2023!W630&gt;0,"c","b"))</f>
        <v>0</v>
      </c>
    </row>
    <row r="631" spans="1:25" ht="13.5" hidden="1" thickBot="1" x14ac:dyDescent="0.25">
      <c r="A631" s="640" t="s">
        <v>165</v>
      </c>
      <c r="B631" s="1036" t="str">
        <f>GLOBAL_DER_FEV_2023!B631</f>
        <v/>
      </c>
      <c r="C631" s="1072" t="str">
        <f>GLOBAL_DER_FEV_2023!C631</f>
        <v/>
      </c>
      <c r="D631" s="1141">
        <f>GLOBAL_DER_FEV_2023!D631</f>
        <v>0</v>
      </c>
      <c r="E631" s="907">
        <f>GLOBAL_DER_FEV_2023!E631</f>
        <v>0</v>
      </c>
      <c r="F631" s="908">
        <f>GLOBAL_DER_FEV_2023!F631</f>
        <v>0</v>
      </c>
      <c r="G631" s="912">
        <f>GLOBAL_DER_FEV_2023!G631</f>
        <v>0</v>
      </c>
      <c r="H631" s="901">
        <f>GLOBAL_DER_FEV_2023!H631</f>
        <v>0</v>
      </c>
      <c r="I631" s="901">
        <f>GLOBAL_DER_FEV_2023!I631</f>
        <v>0</v>
      </c>
      <c r="J631" s="890">
        <f>GLOBAL_DER_FEV_2023!J631</f>
        <v>0</v>
      </c>
      <c r="K631" s="903" t="str">
        <f>GLOBAL_DER_FEV_2023!K631</f>
        <v xml:space="preserve">     </v>
      </c>
      <c r="L631" s="1137"/>
      <c r="M631" s="1140">
        <f t="shared" si="42"/>
        <v>0</v>
      </c>
      <c r="N631" s="1167">
        <f t="shared" si="46"/>
        <v>0</v>
      </c>
      <c r="O631" s="1165"/>
      <c r="Q631" s="317" t="str">
        <f t="shared" si="43"/>
        <v/>
      </c>
      <c r="R631" s="317" t="str">
        <f t="shared" si="44"/>
        <v/>
      </c>
      <c r="S631" s="317" t="str">
        <f t="shared" si="45"/>
        <v/>
      </c>
      <c r="T631" s="317" t="str">
        <f>GLOBAL_DER_FEV_2023!S631</f>
        <v/>
      </c>
      <c r="W631" s="582">
        <v>0</v>
      </c>
      <c r="X631" s="580"/>
      <c r="Y631" s="583">
        <f>IF(GLOBAL_DER_FEV_2023!W631=0,0,IF(GLOBAL_DER_FEV_2023!W631&gt;0,"c","b"))</f>
        <v>0</v>
      </c>
    </row>
    <row r="632" spans="1:25" ht="13.5" hidden="1" thickBot="1" x14ac:dyDescent="0.25">
      <c r="A632" s="640" t="s">
        <v>165</v>
      </c>
      <c r="B632" s="1036" t="str">
        <f>GLOBAL_DER_FEV_2023!B632</f>
        <v/>
      </c>
      <c r="C632" s="1072" t="str">
        <f>GLOBAL_DER_FEV_2023!C632</f>
        <v/>
      </c>
      <c r="D632" s="1141">
        <f>GLOBAL_DER_FEV_2023!D632</f>
        <v>0</v>
      </c>
      <c r="E632" s="907">
        <f>GLOBAL_DER_FEV_2023!E632</f>
        <v>0</v>
      </c>
      <c r="F632" s="908">
        <f>GLOBAL_DER_FEV_2023!F632</f>
        <v>0</v>
      </c>
      <c r="G632" s="912">
        <f>GLOBAL_DER_FEV_2023!G632</f>
        <v>0</v>
      </c>
      <c r="H632" s="901">
        <f>GLOBAL_DER_FEV_2023!H632</f>
        <v>0</v>
      </c>
      <c r="I632" s="901">
        <f>GLOBAL_DER_FEV_2023!I632</f>
        <v>0</v>
      </c>
      <c r="J632" s="890">
        <f>GLOBAL_DER_FEV_2023!J632</f>
        <v>0</v>
      </c>
      <c r="K632" s="903" t="str">
        <f>GLOBAL_DER_FEV_2023!K632</f>
        <v xml:space="preserve">     </v>
      </c>
      <c r="L632" s="1137"/>
      <c r="M632" s="1140">
        <f t="shared" si="42"/>
        <v>0</v>
      </c>
      <c r="N632" s="1167">
        <f t="shared" si="46"/>
        <v>0</v>
      </c>
      <c r="O632" s="1165"/>
      <c r="Q632" s="317" t="str">
        <f t="shared" si="43"/>
        <v/>
      </c>
      <c r="R632" s="317" t="str">
        <f t="shared" si="44"/>
        <v/>
      </c>
      <c r="S632" s="317" t="str">
        <f t="shared" si="45"/>
        <v/>
      </c>
      <c r="T632" s="317" t="str">
        <f>GLOBAL_DER_FEV_2023!S632</f>
        <v/>
      </c>
      <c r="W632" s="582">
        <v>0</v>
      </c>
      <c r="X632" s="580"/>
      <c r="Y632" s="583">
        <f>IF(GLOBAL_DER_FEV_2023!W632=0,0,IF(GLOBAL_DER_FEV_2023!W632&gt;0,"c","b"))</f>
        <v>0</v>
      </c>
    </row>
    <row r="633" spans="1:25" ht="13.5" hidden="1" thickBot="1" x14ac:dyDescent="0.25">
      <c r="A633" s="640" t="s">
        <v>165</v>
      </c>
      <c r="B633" s="1036" t="str">
        <f>GLOBAL_DER_FEV_2023!B633</f>
        <v/>
      </c>
      <c r="C633" s="1072" t="str">
        <f>GLOBAL_DER_FEV_2023!C633</f>
        <v/>
      </c>
      <c r="D633" s="1141">
        <f>GLOBAL_DER_FEV_2023!D633</f>
        <v>0</v>
      </c>
      <c r="E633" s="907">
        <f>GLOBAL_DER_FEV_2023!E633</f>
        <v>0</v>
      </c>
      <c r="F633" s="908">
        <f>GLOBAL_DER_FEV_2023!F633</f>
        <v>0</v>
      </c>
      <c r="G633" s="912">
        <f>GLOBAL_DER_FEV_2023!G633</f>
        <v>0</v>
      </c>
      <c r="H633" s="901">
        <f>GLOBAL_DER_FEV_2023!H633</f>
        <v>0</v>
      </c>
      <c r="I633" s="901">
        <f>GLOBAL_DER_FEV_2023!I633</f>
        <v>0</v>
      </c>
      <c r="J633" s="890">
        <f>GLOBAL_DER_FEV_2023!J633</f>
        <v>0</v>
      </c>
      <c r="K633" s="903" t="str">
        <f>GLOBAL_DER_FEV_2023!K633</f>
        <v xml:space="preserve">     </v>
      </c>
      <c r="L633" s="1137"/>
      <c r="M633" s="1140">
        <f t="shared" si="42"/>
        <v>0</v>
      </c>
      <c r="N633" s="1167">
        <f t="shared" si="46"/>
        <v>0</v>
      </c>
      <c r="O633" s="1165"/>
      <c r="Q633" s="317" t="str">
        <f t="shared" si="43"/>
        <v/>
      </c>
      <c r="R633" s="317" t="str">
        <f t="shared" si="44"/>
        <v/>
      </c>
      <c r="S633" s="317" t="str">
        <f t="shared" si="45"/>
        <v/>
      </c>
      <c r="T633" s="317" t="str">
        <f>GLOBAL_DER_FEV_2023!S633</f>
        <v/>
      </c>
      <c r="W633" s="582">
        <v>0</v>
      </c>
      <c r="X633" s="580"/>
      <c r="Y633" s="583">
        <f>IF(GLOBAL_DER_FEV_2023!W633=0,0,IF(GLOBAL_DER_FEV_2023!W633&gt;0,"c","b"))</f>
        <v>0</v>
      </c>
    </row>
    <row r="634" spans="1:25" ht="13.5" hidden="1" thickBot="1" x14ac:dyDescent="0.25">
      <c r="A634" s="640" t="s">
        <v>165</v>
      </c>
      <c r="B634" s="1036" t="str">
        <f>GLOBAL_DER_FEV_2023!B634</f>
        <v/>
      </c>
      <c r="C634" s="1072" t="str">
        <f>GLOBAL_DER_FEV_2023!C634</f>
        <v/>
      </c>
      <c r="D634" s="1141">
        <f>GLOBAL_DER_FEV_2023!D634</f>
        <v>0</v>
      </c>
      <c r="E634" s="907">
        <f>GLOBAL_DER_FEV_2023!E634</f>
        <v>0</v>
      </c>
      <c r="F634" s="908">
        <f>GLOBAL_DER_FEV_2023!F634</f>
        <v>0</v>
      </c>
      <c r="G634" s="912">
        <f>GLOBAL_DER_FEV_2023!G634</f>
        <v>0</v>
      </c>
      <c r="H634" s="901">
        <f>GLOBAL_DER_FEV_2023!H634</f>
        <v>0</v>
      </c>
      <c r="I634" s="901">
        <f>GLOBAL_DER_FEV_2023!I634</f>
        <v>0</v>
      </c>
      <c r="J634" s="890">
        <f>GLOBAL_DER_FEV_2023!J634</f>
        <v>0</v>
      </c>
      <c r="K634" s="903" t="str">
        <f>GLOBAL_DER_FEV_2023!K634</f>
        <v xml:space="preserve">     </v>
      </c>
      <c r="L634" s="1137"/>
      <c r="M634" s="1140">
        <f t="shared" si="42"/>
        <v>0</v>
      </c>
      <c r="N634" s="1167">
        <f t="shared" si="46"/>
        <v>0</v>
      </c>
      <c r="O634" s="1165"/>
      <c r="Q634" s="317" t="str">
        <f t="shared" si="43"/>
        <v/>
      </c>
      <c r="R634" s="317" t="str">
        <f t="shared" si="44"/>
        <v/>
      </c>
      <c r="S634" s="317" t="str">
        <f t="shared" si="45"/>
        <v/>
      </c>
      <c r="T634" s="317" t="str">
        <f>GLOBAL_DER_FEV_2023!S634</f>
        <v/>
      </c>
      <c r="W634" s="582">
        <v>0</v>
      </c>
      <c r="X634" s="580"/>
      <c r="Y634" s="583">
        <f>IF(GLOBAL_DER_FEV_2023!W634=0,0,IF(GLOBAL_DER_FEV_2023!W634&gt;0,"c","b"))</f>
        <v>0</v>
      </c>
    </row>
    <row r="635" spans="1:25" ht="13.5" hidden="1" thickBot="1" x14ac:dyDescent="0.25">
      <c r="A635" s="640" t="s">
        <v>165</v>
      </c>
      <c r="B635" s="1036" t="str">
        <f>GLOBAL_DER_FEV_2023!B635</f>
        <v/>
      </c>
      <c r="C635" s="1072" t="str">
        <f>GLOBAL_DER_FEV_2023!C635</f>
        <v/>
      </c>
      <c r="D635" s="1141">
        <f>GLOBAL_DER_FEV_2023!D635</f>
        <v>0</v>
      </c>
      <c r="E635" s="907">
        <f>GLOBAL_DER_FEV_2023!E635</f>
        <v>0</v>
      </c>
      <c r="F635" s="908">
        <f>GLOBAL_DER_FEV_2023!F635</f>
        <v>0</v>
      </c>
      <c r="G635" s="912">
        <f>GLOBAL_DER_FEV_2023!G635</f>
        <v>0</v>
      </c>
      <c r="H635" s="901">
        <f>GLOBAL_DER_FEV_2023!H635</f>
        <v>0</v>
      </c>
      <c r="I635" s="901">
        <f>GLOBAL_DER_FEV_2023!I635</f>
        <v>0</v>
      </c>
      <c r="J635" s="890">
        <f>GLOBAL_DER_FEV_2023!J635</f>
        <v>0</v>
      </c>
      <c r="K635" s="903" t="str">
        <f>GLOBAL_DER_FEV_2023!K635</f>
        <v xml:space="preserve">     </v>
      </c>
      <c r="L635" s="1137"/>
      <c r="M635" s="1140">
        <f t="shared" si="42"/>
        <v>0</v>
      </c>
      <c r="N635" s="1167">
        <f t="shared" si="46"/>
        <v>0</v>
      </c>
      <c r="O635" s="1165"/>
      <c r="Q635" s="317" t="str">
        <f t="shared" si="43"/>
        <v/>
      </c>
      <c r="R635" s="317" t="str">
        <f t="shared" si="44"/>
        <v/>
      </c>
      <c r="S635" s="317" t="str">
        <f t="shared" si="45"/>
        <v/>
      </c>
      <c r="T635" s="317" t="str">
        <f>GLOBAL_DER_FEV_2023!S635</f>
        <v/>
      </c>
      <c r="W635" s="582">
        <v>0</v>
      </c>
      <c r="X635" s="580"/>
      <c r="Y635" s="583">
        <f>IF(GLOBAL_DER_FEV_2023!W635=0,0,IF(GLOBAL_DER_FEV_2023!W635&gt;0,"c","b"))</f>
        <v>0</v>
      </c>
    </row>
    <row r="636" spans="1:25" ht="13.5" hidden="1" thickBot="1" x14ac:dyDescent="0.25">
      <c r="A636" s="640" t="s">
        <v>165</v>
      </c>
      <c r="B636" s="1036" t="str">
        <f>GLOBAL_DER_FEV_2023!B636</f>
        <v/>
      </c>
      <c r="C636" s="1072" t="str">
        <f>GLOBAL_DER_FEV_2023!C636</f>
        <v/>
      </c>
      <c r="D636" s="1141">
        <f>GLOBAL_DER_FEV_2023!D636</f>
        <v>0</v>
      </c>
      <c r="E636" s="907">
        <f>GLOBAL_DER_FEV_2023!E636</f>
        <v>0</v>
      </c>
      <c r="F636" s="908">
        <f>GLOBAL_DER_FEV_2023!F636</f>
        <v>0</v>
      </c>
      <c r="G636" s="912">
        <f>GLOBAL_DER_FEV_2023!G636</f>
        <v>0</v>
      </c>
      <c r="H636" s="901">
        <f>GLOBAL_DER_FEV_2023!H636</f>
        <v>0</v>
      </c>
      <c r="I636" s="901">
        <f>GLOBAL_DER_FEV_2023!I636</f>
        <v>0</v>
      </c>
      <c r="J636" s="890">
        <f>GLOBAL_DER_FEV_2023!J636</f>
        <v>0</v>
      </c>
      <c r="K636" s="903" t="str">
        <f>GLOBAL_DER_FEV_2023!K636</f>
        <v xml:space="preserve">     </v>
      </c>
      <c r="L636" s="1137"/>
      <c r="M636" s="1140">
        <f t="shared" si="42"/>
        <v>0</v>
      </c>
      <c r="N636" s="1167">
        <f t="shared" si="46"/>
        <v>0</v>
      </c>
      <c r="O636" s="1165"/>
      <c r="Q636" s="317" t="str">
        <f t="shared" si="43"/>
        <v/>
      </c>
      <c r="R636" s="317" t="str">
        <f t="shared" si="44"/>
        <v/>
      </c>
      <c r="S636" s="317" t="str">
        <f t="shared" si="45"/>
        <v/>
      </c>
      <c r="T636" s="317" t="str">
        <f>GLOBAL_DER_FEV_2023!S636</f>
        <v/>
      </c>
      <c r="W636" s="582">
        <v>0</v>
      </c>
      <c r="X636" s="580"/>
      <c r="Y636" s="583">
        <f>IF(GLOBAL_DER_FEV_2023!W636=0,0,IF(GLOBAL_DER_FEV_2023!W636&gt;0,"c","b"))</f>
        <v>0</v>
      </c>
    </row>
    <row r="637" spans="1:25" ht="13.5" hidden="1" thickBot="1" x14ac:dyDescent="0.25">
      <c r="A637" s="640" t="s">
        <v>165</v>
      </c>
      <c r="B637" s="1036" t="str">
        <f>GLOBAL_DER_FEV_2023!B637</f>
        <v/>
      </c>
      <c r="C637" s="1072" t="str">
        <f>GLOBAL_DER_FEV_2023!C637</f>
        <v/>
      </c>
      <c r="D637" s="1141">
        <f>GLOBAL_DER_FEV_2023!D637</f>
        <v>0</v>
      </c>
      <c r="E637" s="907">
        <f>GLOBAL_DER_FEV_2023!E637</f>
        <v>0</v>
      </c>
      <c r="F637" s="908">
        <f>GLOBAL_DER_FEV_2023!F637</f>
        <v>0</v>
      </c>
      <c r="G637" s="912">
        <f>GLOBAL_DER_FEV_2023!G637</f>
        <v>0</v>
      </c>
      <c r="H637" s="901">
        <f>GLOBAL_DER_FEV_2023!H637</f>
        <v>0</v>
      </c>
      <c r="I637" s="901">
        <f>GLOBAL_DER_FEV_2023!I637</f>
        <v>0</v>
      </c>
      <c r="J637" s="890">
        <f>GLOBAL_DER_FEV_2023!J637</f>
        <v>0</v>
      </c>
      <c r="K637" s="903" t="str">
        <f>GLOBAL_DER_FEV_2023!K637</f>
        <v xml:space="preserve">     </v>
      </c>
      <c r="L637" s="1137"/>
      <c r="M637" s="1140">
        <f t="shared" si="42"/>
        <v>0</v>
      </c>
      <c r="N637" s="1167">
        <f t="shared" si="46"/>
        <v>0</v>
      </c>
      <c r="O637" s="1165"/>
      <c r="Q637" s="317" t="str">
        <f t="shared" si="43"/>
        <v/>
      </c>
      <c r="R637" s="317" t="str">
        <f t="shared" si="44"/>
        <v/>
      </c>
      <c r="S637" s="317" t="str">
        <f t="shared" si="45"/>
        <v/>
      </c>
      <c r="T637" s="317" t="str">
        <f>GLOBAL_DER_FEV_2023!S637</f>
        <v/>
      </c>
      <c r="W637" s="582">
        <v>0</v>
      </c>
      <c r="X637" s="580"/>
      <c r="Y637" s="583">
        <f>IF(GLOBAL_DER_FEV_2023!W637=0,0,IF(GLOBAL_DER_FEV_2023!W637&gt;0,"c","b"))</f>
        <v>0</v>
      </c>
    </row>
    <row r="638" spans="1:25" ht="13.5" hidden="1" thickBot="1" x14ac:dyDescent="0.25">
      <c r="A638" s="640" t="s">
        <v>165</v>
      </c>
      <c r="B638" s="1036" t="str">
        <f>GLOBAL_DER_FEV_2023!B638</f>
        <v/>
      </c>
      <c r="C638" s="1072" t="str">
        <f>GLOBAL_DER_FEV_2023!C638</f>
        <v/>
      </c>
      <c r="D638" s="1141">
        <f>GLOBAL_DER_FEV_2023!D638</f>
        <v>0</v>
      </c>
      <c r="E638" s="907">
        <f>GLOBAL_DER_FEV_2023!E638</f>
        <v>0</v>
      </c>
      <c r="F638" s="908">
        <f>GLOBAL_DER_FEV_2023!F638</f>
        <v>0</v>
      </c>
      <c r="G638" s="912">
        <f>GLOBAL_DER_FEV_2023!G638</f>
        <v>0</v>
      </c>
      <c r="H638" s="901">
        <f>GLOBAL_DER_FEV_2023!H638</f>
        <v>0</v>
      </c>
      <c r="I638" s="901">
        <f>GLOBAL_DER_FEV_2023!I638</f>
        <v>0</v>
      </c>
      <c r="J638" s="890">
        <f>GLOBAL_DER_FEV_2023!J638</f>
        <v>0</v>
      </c>
      <c r="K638" s="903" t="str">
        <f>GLOBAL_DER_FEV_2023!K638</f>
        <v xml:space="preserve">     </v>
      </c>
      <c r="L638" s="1137"/>
      <c r="M638" s="1140">
        <f t="shared" si="42"/>
        <v>0</v>
      </c>
      <c r="N638" s="1167">
        <f t="shared" si="46"/>
        <v>0</v>
      </c>
      <c r="O638" s="1165"/>
      <c r="Q638" s="317" t="str">
        <f t="shared" si="43"/>
        <v/>
      </c>
      <c r="R638" s="317" t="str">
        <f t="shared" si="44"/>
        <v/>
      </c>
      <c r="S638" s="317" t="str">
        <f t="shared" si="45"/>
        <v/>
      </c>
      <c r="T638" s="317" t="str">
        <f>GLOBAL_DER_FEV_2023!S638</f>
        <v/>
      </c>
      <c r="W638" s="582">
        <v>0</v>
      </c>
      <c r="X638" s="580"/>
      <c r="Y638" s="583">
        <f>IF(GLOBAL_DER_FEV_2023!W638=0,0,IF(GLOBAL_DER_FEV_2023!W638&gt;0,"c","b"))</f>
        <v>0</v>
      </c>
    </row>
    <row r="639" spans="1:25" ht="13.5" hidden="1" thickBot="1" x14ac:dyDescent="0.25">
      <c r="A639" s="640" t="s">
        <v>165</v>
      </c>
      <c r="B639" s="1036" t="str">
        <f>GLOBAL_DER_FEV_2023!B639</f>
        <v/>
      </c>
      <c r="C639" s="1072" t="str">
        <f>GLOBAL_DER_FEV_2023!C639</f>
        <v/>
      </c>
      <c r="D639" s="1141">
        <f>GLOBAL_DER_FEV_2023!D639</f>
        <v>0</v>
      </c>
      <c r="E639" s="907">
        <f>GLOBAL_DER_FEV_2023!E639</f>
        <v>0</v>
      </c>
      <c r="F639" s="908">
        <f>GLOBAL_DER_FEV_2023!F639</f>
        <v>0</v>
      </c>
      <c r="G639" s="912">
        <f>GLOBAL_DER_FEV_2023!G639</f>
        <v>0</v>
      </c>
      <c r="H639" s="901">
        <f>GLOBAL_DER_FEV_2023!H639</f>
        <v>0</v>
      </c>
      <c r="I639" s="901">
        <f>GLOBAL_DER_FEV_2023!I639</f>
        <v>0</v>
      </c>
      <c r="J639" s="890">
        <f>GLOBAL_DER_FEV_2023!J639</f>
        <v>0</v>
      </c>
      <c r="K639" s="903" t="str">
        <f>GLOBAL_DER_FEV_2023!K639</f>
        <v xml:space="preserve">     </v>
      </c>
      <c r="L639" s="1137"/>
      <c r="M639" s="1140">
        <f t="shared" si="42"/>
        <v>0</v>
      </c>
      <c r="N639" s="1167">
        <f t="shared" si="46"/>
        <v>0</v>
      </c>
      <c r="O639" s="1165"/>
      <c r="Q639" s="317" t="str">
        <f t="shared" si="43"/>
        <v/>
      </c>
      <c r="R639" s="317" t="str">
        <f t="shared" si="44"/>
        <v/>
      </c>
      <c r="S639" s="317" t="str">
        <f t="shared" si="45"/>
        <v/>
      </c>
      <c r="T639" s="317" t="str">
        <f>GLOBAL_DER_FEV_2023!S639</f>
        <v/>
      </c>
      <c r="W639" s="582">
        <v>0</v>
      </c>
      <c r="X639" s="580"/>
      <c r="Y639" s="583">
        <f>IF(GLOBAL_DER_FEV_2023!W639=0,0,IF(GLOBAL_DER_FEV_2023!W639&gt;0,"c","b"))</f>
        <v>0</v>
      </c>
    </row>
    <row r="640" spans="1:25" ht="13.5" hidden="1" thickBot="1" x14ac:dyDescent="0.25">
      <c r="A640" s="640" t="s">
        <v>165</v>
      </c>
      <c r="B640" s="1036" t="str">
        <f>GLOBAL_DER_FEV_2023!B640</f>
        <v/>
      </c>
      <c r="C640" s="1072" t="str">
        <f>GLOBAL_DER_FEV_2023!C640</f>
        <v/>
      </c>
      <c r="D640" s="1141">
        <f>GLOBAL_DER_FEV_2023!D640</f>
        <v>0</v>
      </c>
      <c r="E640" s="907">
        <f>GLOBAL_DER_FEV_2023!E640</f>
        <v>0</v>
      </c>
      <c r="F640" s="908">
        <f>GLOBAL_DER_FEV_2023!F640</f>
        <v>0</v>
      </c>
      <c r="G640" s="912">
        <f>GLOBAL_DER_FEV_2023!G640</f>
        <v>0</v>
      </c>
      <c r="H640" s="901">
        <f>GLOBAL_DER_FEV_2023!H640</f>
        <v>0</v>
      </c>
      <c r="I640" s="901">
        <f>GLOBAL_DER_FEV_2023!I640</f>
        <v>0</v>
      </c>
      <c r="J640" s="890">
        <f>GLOBAL_DER_FEV_2023!J640</f>
        <v>0</v>
      </c>
      <c r="K640" s="903" t="str">
        <f>GLOBAL_DER_FEV_2023!K640</f>
        <v xml:space="preserve">     </v>
      </c>
      <c r="L640" s="1137"/>
      <c r="M640" s="1140">
        <f t="shared" si="42"/>
        <v>0</v>
      </c>
      <c r="N640" s="1167">
        <f t="shared" si="46"/>
        <v>0</v>
      </c>
      <c r="O640" s="1165"/>
      <c r="Q640" s="317" t="str">
        <f t="shared" si="43"/>
        <v/>
      </c>
      <c r="R640" s="317" t="str">
        <f t="shared" si="44"/>
        <v/>
      </c>
      <c r="S640" s="317" t="str">
        <f t="shared" si="45"/>
        <v/>
      </c>
      <c r="T640" s="317" t="str">
        <f>GLOBAL_DER_FEV_2023!S640</f>
        <v/>
      </c>
      <c r="W640" s="582">
        <v>0</v>
      </c>
      <c r="X640" s="580"/>
      <c r="Y640" s="583">
        <f>IF(GLOBAL_DER_FEV_2023!W640=0,0,IF(GLOBAL_DER_FEV_2023!W640&gt;0,"c","b"))</f>
        <v>0</v>
      </c>
    </row>
    <row r="641" spans="1:25" ht="13.5" hidden="1" thickBot="1" x14ac:dyDescent="0.25">
      <c r="A641" s="640" t="s">
        <v>165</v>
      </c>
      <c r="B641" s="1036" t="str">
        <f>GLOBAL_DER_FEV_2023!B641</f>
        <v/>
      </c>
      <c r="C641" s="1072" t="str">
        <f>GLOBAL_DER_FEV_2023!C641</f>
        <v/>
      </c>
      <c r="D641" s="1141">
        <f>GLOBAL_DER_FEV_2023!D641</f>
        <v>0</v>
      </c>
      <c r="E641" s="907">
        <f>GLOBAL_DER_FEV_2023!E641</f>
        <v>0</v>
      </c>
      <c r="F641" s="908">
        <f>GLOBAL_DER_FEV_2023!F641</f>
        <v>0</v>
      </c>
      <c r="G641" s="912">
        <f>GLOBAL_DER_FEV_2023!G641</f>
        <v>0</v>
      </c>
      <c r="H641" s="901">
        <f>GLOBAL_DER_FEV_2023!H641</f>
        <v>0</v>
      </c>
      <c r="I641" s="901">
        <f>GLOBAL_DER_FEV_2023!I641</f>
        <v>0</v>
      </c>
      <c r="J641" s="890">
        <f>GLOBAL_DER_FEV_2023!J641</f>
        <v>0</v>
      </c>
      <c r="K641" s="903" t="str">
        <f>GLOBAL_DER_FEV_2023!K641</f>
        <v xml:space="preserve">     </v>
      </c>
      <c r="L641" s="1137"/>
      <c r="M641" s="1140">
        <f t="shared" si="42"/>
        <v>0</v>
      </c>
      <c r="N641" s="1167">
        <f t="shared" si="46"/>
        <v>0</v>
      </c>
      <c r="O641" s="1165"/>
      <c r="Q641" s="317" t="str">
        <f t="shared" si="43"/>
        <v/>
      </c>
      <c r="R641" s="317" t="str">
        <f t="shared" si="44"/>
        <v/>
      </c>
      <c r="S641" s="317" t="str">
        <f t="shared" si="45"/>
        <v/>
      </c>
      <c r="T641" s="317" t="str">
        <f>GLOBAL_DER_FEV_2023!S641</f>
        <v/>
      </c>
      <c r="W641" s="582">
        <v>0</v>
      </c>
      <c r="X641" s="580"/>
      <c r="Y641" s="583">
        <f>IF(GLOBAL_DER_FEV_2023!W641=0,0,IF(GLOBAL_DER_FEV_2023!W641&gt;0,"c","b"))</f>
        <v>0</v>
      </c>
    </row>
    <row r="642" spans="1:25" ht="13.5" hidden="1" thickBot="1" x14ac:dyDescent="0.25">
      <c r="A642" s="640" t="s">
        <v>165</v>
      </c>
      <c r="B642" s="1036" t="str">
        <f>GLOBAL_DER_FEV_2023!B642</f>
        <v/>
      </c>
      <c r="C642" s="1072" t="str">
        <f>GLOBAL_DER_FEV_2023!C642</f>
        <v/>
      </c>
      <c r="D642" s="1141">
        <f>GLOBAL_DER_FEV_2023!D642</f>
        <v>0</v>
      </c>
      <c r="E642" s="907">
        <f>GLOBAL_DER_FEV_2023!E642</f>
        <v>0</v>
      </c>
      <c r="F642" s="908">
        <f>GLOBAL_DER_FEV_2023!F642</f>
        <v>0</v>
      </c>
      <c r="G642" s="912">
        <f>GLOBAL_DER_FEV_2023!G642</f>
        <v>0</v>
      </c>
      <c r="H642" s="901">
        <f>GLOBAL_DER_FEV_2023!H642</f>
        <v>0</v>
      </c>
      <c r="I642" s="901">
        <f>GLOBAL_DER_FEV_2023!I642</f>
        <v>0</v>
      </c>
      <c r="J642" s="890">
        <f>GLOBAL_DER_FEV_2023!J642</f>
        <v>0</v>
      </c>
      <c r="K642" s="903" t="str">
        <f>GLOBAL_DER_FEV_2023!K642</f>
        <v xml:space="preserve">     </v>
      </c>
      <c r="L642" s="1137"/>
      <c r="M642" s="1140">
        <f t="shared" si="42"/>
        <v>0</v>
      </c>
      <c r="N642" s="1167">
        <f t="shared" si="46"/>
        <v>0</v>
      </c>
      <c r="O642" s="1165"/>
      <c r="Q642" s="317" t="str">
        <f t="shared" si="43"/>
        <v/>
      </c>
      <c r="R642" s="317" t="str">
        <f t="shared" si="44"/>
        <v/>
      </c>
      <c r="S642" s="317" t="str">
        <f t="shared" si="45"/>
        <v/>
      </c>
      <c r="T642" s="317" t="str">
        <f>GLOBAL_DER_FEV_2023!S642</f>
        <v/>
      </c>
      <c r="W642" s="582">
        <v>0</v>
      </c>
      <c r="X642" s="580"/>
      <c r="Y642" s="583">
        <f>IF(GLOBAL_DER_FEV_2023!W642=0,0,IF(GLOBAL_DER_FEV_2023!W642&gt;0,"c","b"))</f>
        <v>0</v>
      </c>
    </row>
    <row r="643" spans="1:25" ht="13.5" hidden="1" thickBot="1" x14ac:dyDescent="0.25">
      <c r="A643" s="640" t="s">
        <v>165</v>
      </c>
      <c r="B643" s="1036" t="str">
        <f>GLOBAL_DER_FEV_2023!B643</f>
        <v/>
      </c>
      <c r="C643" s="1072" t="str">
        <f>GLOBAL_DER_FEV_2023!C643</f>
        <v/>
      </c>
      <c r="D643" s="1141">
        <f>GLOBAL_DER_FEV_2023!D643</f>
        <v>0</v>
      </c>
      <c r="E643" s="907">
        <f>GLOBAL_DER_FEV_2023!E643</f>
        <v>0</v>
      </c>
      <c r="F643" s="908">
        <f>GLOBAL_DER_FEV_2023!F643</f>
        <v>0</v>
      </c>
      <c r="G643" s="912">
        <f>GLOBAL_DER_FEV_2023!G643</f>
        <v>0</v>
      </c>
      <c r="H643" s="901">
        <f>GLOBAL_DER_FEV_2023!H643</f>
        <v>0</v>
      </c>
      <c r="I643" s="901">
        <f>GLOBAL_DER_FEV_2023!I643</f>
        <v>0</v>
      </c>
      <c r="J643" s="890">
        <f>GLOBAL_DER_FEV_2023!J643</f>
        <v>0</v>
      </c>
      <c r="K643" s="903" t="str">
        <f>GLOBAL_DER_FEV_2023!K643</f>
        <v xml:space="preserve">     </v>
      </c>
      <c r="L643" s="1137"/>
      <c r="M643" s="1140">
        <f t="shared" si="42"/>
        <v>0</v>
      </c>
      <c r="N643" s="1167">
        <f t="shared" si="46"/>
        <v>0</v>
      </c>
      <c r="O643" s="1165"/>
      <c r="Q643" s="317" t="str">
        <f t="shared" si="43"/>
        <v/>
      </c>
      <c r="R643" s="317" t="str">
        <f t="shared" si="44"/>
        <v/>
      </c>
      <c r="S643" s="317" t="str">
        <f t="shared" si="45"/>
        <v/>
      </c>
      <c r="T643" s="317" t="str">
        <f>GLOBAL_DER_FEV_2023!S643</f>
        <v/>
      </c>
      <c r="W643" s="582">
        <v>0</v>
      </c>
      <c r="X643" s="580"/>
      <c r="Y643" s="583">
        <f>IF(GLOBAL_DER_FEV_2023!W643=0,0,IF(GLOBAL_DER_FEV_2023!W643&gt;0,"c","b"))</f>
        <v>0</v>
      </c>
    </row>
    <row r="644" spans="1:25" ht="13.5" hidden="1" thickBot="1" x14ac:dyDescent="0.25">
      <c r="A644" s="317" t="s">
        <v>205</v>
      </c>
      <c r="B644" s="950" t="s">
        <v>205</v>
      </c>
      <c r="C644" s="951"/>
      <c r="D644" s="952" t="s">
        <v>575</v>
      </c>
      <c r="E644" s="943">
        <f>GLOBAL_DER_FEV_2023!E644</f>
        <v>0</v>
      </c>
      <c r="F644" s="876"/>
      <c r="G644" s="944"/>
      <c r="H644" s="945">
        <f>GLOBAL_DER_FEV_2023!H644</f>
        <v>0</v>
      </c>
      <c r="I644" s="945">
        <f>GLOBAL_DER_FEV_2023!I644</f>
        <v>0</v>
      </c>
      <c r="J644" s="945">
        <f>GLOBAL_DER_FEV_2023!J644</f>
        <v>0</v>
      </c>
      <c r="K644" s="878" t="s">
        <v>507</v>
      </c>
      <c r="L644" s="879"/>
      <c r="M644" s="880"/>
      <c r="N644" s="881">
        <f t="shared" si="46"/>
        <v>0</v>
      </c>
      <c r="O644" s="882">
        <f>SUM(N645:N852)</f>
        <v>0</v>
      </c>
      <c r="P644" s="58" t="str">
        <f>IF(OR(O644&gt;0,O644&gt;0),"X","")</f>
        <v/>
      </c>
      <c r="Q644" s="317" t="str">
        <f t="shared" si="43"/>
        <v/>
      </c>
      <c r="R644" s="317" t="str">
        <f t="shared" si="44"/>
        <v/>
      </c>
      <c r="S644" s="317" t="str">
        <f t="shared" si="45"/>
        <v/>
      </c>
      <c r="T644" s="317" t="str">
        <f>GLOBAL_DER_FEV_2023!S644</f>
        <v/>
      </c>
      <c r="W644" s="582">
        <v>0</v>
      </c>
      <c r="X644" s="580"/>
      <c r="Y644" s="583">
        <f>IF(GLOBAL_DER_FEV_2023!W644=0,0,IF(GLOBAL_DER_FEV_2023!W644&gt;0,"c","b"))</f>
        <v>0</v>
      </c>
    </row>
    <row r="645" spans="1:25" ht="13.5" hidden="1" thickBot="1" x14ac:dyDescent="0.25">
      <c r="A645" s="317">
        <v>810250</v>
      </c>
      <c r="B645" s="895" t="s">
        <v>1707</v>
      </c>
      <c r="C645" s="896" t="s">
        <v>184</v>
      </c>
      <c r="D645" s="906" t="s">
        <v>455</v>
      </c>
      <c r="E645" s="907">
        <f>GLOBAL_DER_FEV_2023!E645</f>
        <v>0.1</v>
      </c>
      <c r="F645" s="908">
        <f>GLOBAL_DER_FEV_2023!F645</f>
        <v>3.9800000000000002E-2</v>
      </c>
      <c r="G645" s="949">
        <f>GLOBAL_DER_FEV_2023!G645</f>
        <v>0.11092260000000002</v>
      </c>
      <c r="H645" s="901">
        <f>GLOBAL_DER_FEV_2023!H645</f>
        <v>20.16</v>
      </c>
      <c r="I645" s="901">
        <f>GLOBAL_DER_FEV_2023!I645</f>
        <v>20.270922599999999</v>
      </c>
      <c r="J645" s="902">
        <f>GLOBAL_DER_FEV_2023!J645</f>
        <v>24.34</v>
      </c>
      <c r="K645" s="903" t="s">
        <v>13</v>
      </c>
      <c r="L645" s="1137"/>
      <c r="M645" s="1138">
        <f t="shared" si="42"/>
        <v>0</v>
      </c>
      <c r="N645" s="893">
        <f t="shared" si="46"/>
        <v>0</v>
      </c>
      <c r="O645" s="905"/>
      <c r="Q645" s="317" t="str">
        <f t="shared" si="43"/>
        <v/>
      </c>
      <c r="R645" s="317" t="str">
        <f t="shared" si="44"/>
        <v/>
      </c>
      <c r="S645" s="317" t="str">
        <f t="shared" si="45"/>
        <v/>
      </c>
      <c r="T645" s="317" t="str">
        <f>GLOBAL_DER_FEV_2023!S645</f>
        <v/>
      </c>
      <c r="W645" s="582">
        <v>0</v>
      </c>
      <c r="X645" s="580"/>
      <c r="Y645" s="583">
        <f>IF(GLOBAL_DER_FEV_2023!W645=0,0,IF(GLOBAL_DER_FEV_2023!W645&gt;0,"c","b"))</f>
        <v>0</v>
      </c>
    </row>
    <row r="646" spans="1:25" ht="13.5" hidden="1" thickBot="1" x14ac:dyDescent="0.25">
      <c r="A646" s="317">
        <v>810250</v>
      </c>
      <c r="B646" s="895" t="s">
        <v>1708</v>
      </c>
      <c r="C646" s="896" t="s">
        <v>184</v>
      </c>
      <c r="D646" s="906" t="s">
        <v>511</v>
      </c>
      <c r="E646" s="907">
        <f>GLOBAL_DER_FEV_2023!E646</f>
        <v>0.1</v>
      </c>
      <c r="F646" s="908">
        <f>GLOBAL_DER_FEV_2023!F646</f>
        <v>2.63E-2</v>
      </c>
      <c r="G646" s="949">
        <f>GLOBAL_DER_FEV_2023!G646</f>
        <v>7.3298100000000005E-2</v>
      </c>
      <c r="H646" s="901">
        <f>GLOBAL_DER_FEV_2023!H646</f>
        <v>13.27</v>
      </c>
      <c r="I646" s="901">
        <f>GLOBAL_DER_FEV_2023!I646</f>
        <v>13.3432981</v>
      </c>
      <c r="J646" s="902">
        <f>GLOBAL_DER_FEV_2023!J646</f>
        <v>16.02</v>
      </c>
      <c r="K646" s="903" t="s">
        <v>13</v>
      </c>
      <c r="L646" s="1137"/>
      <c r="M646" s="1138">
        <f t="shared" si="42"/>
        <v>0</v>
      </c>
      <c r="N646" s="893">
        <f t="shared" si="46"/>
        <v>0</v>
      </c>
      <c r="O646" s="905"/>
      <c r="Q646" s="317" t="str">
        <f t="shared" si="43"/>
        <v/>
      </c>
      <c r="R646" s="317" t="str">
        <f t="shared" si="44"/>
        <v/>
      </c>
      <c r="S646" s="317" t="str">
        <f t="shared" si="45"/>
        <v/>
      </c>
      <c r="T646" s="317" t="str">
        <f>GLOBAL_DER_FEV_2023!S646</f>
        <v/>
      </c>
      <c r="W646" s="582">
        <v>0</v>
      </c>
      <c r="X646" s="580"/>
      <c r="Y646" s="583">
        <f>IF(GLOBAL_DER_FEV_2023!W646=0,0,IF(GLOBAL_DER_FEV_2023!W646&gt;0,"c","b"))</f>
        <v>0</v>
      </c>
    </row>
    <row r="647" spans="1:25" ht="13.5" hidden="1" thickBot="1" x14ac:dyDescent="0.25">
      <c r="A647" s="317">
        <v>810250</v>
      </c>
      <c r="B647" s="895" t="s">
        <v>1709</v>
      </c>
      <c r="C647" s="896" t="s">
        <v>184</v>
      </c>
      <c r="D647" s="906" t="s">
        <v>456</v>
      </c>
      <c r="E647" s="907">
        <f>GLOBAL_DER_FEV_2023!E647</f>
        <v>0.1</v>
      </c>
      <c r="F647" s="908">
        <f>GLOBAL_DER_FEV_2023!F647</f>
        <v>3.2800000000000003E-2</v>
      </c>
      <c r="G647" s="949">
        <f>GLOBAL_DER_FEV_2023!G647</f>
        <v>9.1413600000000025E-2</v>
      </c>
      <c r="H647" s="901">
        <f>GLOBAL_DER_FEV_2023!H647</f>
        <v>16.510000000000002</v>
      </c>
      <c r="I647" s="901">
        <f>GLOBAL_DER_FEV_2023!I647</f>
        <v>16.601413600000001</v>
      </c>
      <c r="J647" s="902">
        <f>GLOBAL_DER_FEV_2023!J647</f>
        <v>19.93</v>
      </c>
      <c r="K647" s="903" t="s">
        <v>13</v>
      </c>
      <c r="L647" s="1137"/>
      <c r="M647" s="1138">
        <f t="shared" si="42"/>
        <v>0</v>
      </c>
      <c r="N647" s="893">
        <f t="shared" si="46"/>
        <v>0</v>
      </c>
      <c r="O647" s="905"/>
      <c r="Q647" s="317" t="str">
        <f t="shared" si="43"/>
        <v/>
      </c>
      <c r="R647" s="317" t="str">
        <f t="shared" si="44"/>
        <v/>
      </c>
      <c r="S647" s="317" t="str">
        <f t="shared" si="45"/>
        <v/>
      </c>
      <c r="T647" s="317" t="str">
        <f>GLOBAL_DER_FEV_2023!S647</f>
        <v/>
      </c>
      <c r="W647" s="582">
        <v>0</v>
      </c>
      <c r="X647" s="580"/>
      <c r="Y647" s="583">
        <f>IF(GLOBAL_DER_FEV_2023!W647=0,0,IF(GLOBAL_DER_FEV_2023!W647&gt;0,"c","b"))</f>
        <v>0</v>
      </c>
    </row>
    <row r="648" spans="1:25" ht="13.5" hidden="1" thickBot="1" x14ac:dyDescent="0.25">
      <c r="A648" s="317" t="s">
        <v>451</v>
      </c>
      <c r="B648" s="895" t="str">
        <f>GLOBAL_DER_FEV_2023!B648</f>
        <v>PAI-004B</v>
      </c>
      <c r="C648" s="896" t="str">
        <f>GLOBAL_DER_FEV_2023!C648</f>
        <v>PM Curitiba-abr/22</v>
      </c>
      <c r="D648" s="906" t="str">
        <f>GLOBAL_DER_FEV_2023!D648</f>
        <v>Fincadinha de Granito - (100x8x15cm)</v>
      </c>
      <c r="E648" s="907">
        <f>GLOBAL_DER_FEV_2023!E648</f>
        <v>0</v>
      </c>
      <c r="F648" s="908">
        <f>GLOBAL_DER_FEV_2023!F648</f>
        <v>2.1600000000000001E-2</v>
      </c>
      <c r="G648" s="949">
        <f>GLOBAL_DER_FEV_2023!G648</f>
        <v>5.7888000000000009E-2</v>
      </c>
      <c r="H648" s="901">
        <f>GLOBAL_DER_FEV_2023!H648</f>
        <v>64.709999999999994</v>
      </c>
      <c r="I648" s="901">
        <f>GLOBAL_DER_FEV_2023!I648</f>
        <v>64.767887999999999</v>
      </c>
      <c r="J648" s="902">
        <f>GLOBAL_DER_FEV_2023!J648</f>
        <v>77.77</v>
      </c>
      <c r="K648" s="903" t="s">
        <v>13</v>
      </c>
      <c r="L648" s="1137"/>
      <c r="M648" s="1138">
        <f t="shared" si="42"/>
        <v>0</v>
      </c>
      <c r="N648" s="893">
        <f t="shared" si="46"/>
        <v>0</v>
      </c>
      <c r="O648" s="905"/>
      <c r="Q648" s="317" t="str">
        <f t="shared" si="43"/>
        <v/>
      </c>
      <c r="R648" s="317" t="str">
        <f t="shared" si="44"/>
        <v/>
      </c>
      <c r="S648" s="317" t="str">
        <f t="shared" si="45"/>
        <v/>
      </c>
      <c r="T648" s="317" t="str">
        <f>GLOBAL_DER_FEV_2023!S648</f>
        <v/>
      </c>
      <c r="W648" s="582">
        <v>0</v>
      </c>
      <c r="X648" s="580"/>
      <c r="Y648" s="583">
        <f>IF(GLOBAL_DER_FEV_2023!W648=0,0,IF(GLOBAL_DER_FEV_2023!W648&gt;0,"c","b"))</f>
        <v>0</v>
      </c>
    </row>
    <row r="649" spans="1:25" ht="13.5" hidden="1" thickBot="1" x14ac:dyDescent="0.25">
      <c r="A649" s="317">
        <v>606700</v>
      </c>
      <c r="B649" s="895" t="s">
        <v>1704</v>
      </c>
      <c r="C649" s="896" t="s">
        <v>184</v>
      </c>
      <c r="D649" s="906" t="s">
        <v>258</v>
      </c>
      <c r="E649" s="907">
        <f>GLOBAL_DER_FEV_2023!E649</f>
        <v>0</v>
      </c>
      <c r="F649" s="908">
        <f>GLOBAL_DER_FEV_2023!F649</f>
        <v>0</v>
      </c>
      <c r="G649" s="912">
        <f>GLOBAL_DER_FEV_2023!G649</f>
        <v>0</v>
      </c>
      <c r="H649" s="901">
        <f>GLOBAL_DER_FEV_2023!H649</f>
        <v>148.04</v>
      </c>
      <c r="I649" s="901">
        <f>GLOBAL_DER_FEV_2023!I649</f>
        <v>148.04</v>
      </c>
      <c r="J649" s="902">
        <f>GLOBAL_DER_FEV_2023!J649</f>
        <v>177.75</v>
      </c>
      <c r="K649" s="903" t="s">
        <v>10</v>
      </c>
      <c r="L649" s="1137"/>
      <c r="M649" s="1138">
        <f t="shared" si="42"/>
        <v>0</v>
      </c>
      <c r="N649" s="893">
        <f t="shared" si="46"/>
        <v>0</v>
      </c>
      <c r="O649" s="905"/>
      <c r="Q649" s="317" t="str">
        <f t="shared" si="43"/>
        <v/>
      </c>
      <c r="R649" s="317" t="str">
        <f t="shared" si="44"/>
        <v/>
      </c>
      <c r="S649" s="317" t="str">
        <f t="shared" si="45"/>
        <v/>
      </c>
      <c r="T649" s="317" t="str">
        <f>GLOBAL_DER_FEV_2023!S649</f>
        <v/>
      </c>
      <c r="W649" s="582">
        <v>0</v>
      </c>
      <c r="X649" s="580"/>
      <c r="Y649" s="583">
        <f>IF(GLOBAL_DER_FEV_2023!W649=0,0,IF(GLOBAL_DER_FEV_2023!W649&gt;0,"c","b"))</f>
        <v>0</v>
      </c>
    </row>
    <row r="650" spans="1:25" ht="13.5" hidden="1" thickBot="1" x14ac:dyDescent="0.25">
      <c r="A650" s="317">
        <v>606600</v>
      </c>
      <c r="B650" s="895" t="s">
        <v>1701</v>
      </c>
      <c r="C650" s="896" t="s">
        <v>184</v>
      </c>
      <c r="D650" s="906" t="s">
        <v>809</v>
      </c>
      <c r="E650" s="907">
        <f>GLOBAL_DER_FEV_2023!E650</f>
        <v>0</v>
      </c>
      <c r="F650" s="908">
        <f>GLOBAL_DER_FEV_2023!F650</f>
        <v>0</v>
      </c>
      <c r="G650" s="912">
        <f>GLOBAL_DER_FEV_2023!G650</f>
        <v>0</v>
      </c>
      <c r="H650" s="901">
        <f>GLOBAL_DER_FEV_2023!H650</f>
        <v>309.52999999999997</v>
      </c>
      <c r="I650" s="901">
        <f>GLOBAL_DER_FEV_2023!I650</f>
        <v>309.52999999999997</v>
      </c>
      <c r="J650" s="902">
        <f>GLOBAL_DER_FEV_2023!J650</f>
        <v>371.65</v>
      </c>
      <c r="K650" s="903" t="s">
        <v>10</v>
      </c>
      <c r="L650" s="1137"/>
      <c r="M650" s="1138">
        <f t="shared" si="42"/>
        <v>0</v>
      </c>
      <c r="N650" s="893">
        <f t="shared" si="46"/>
        <v>0</v>
      </c>
      <c r="O650" s="905"/>
      <c r="Q650" s="317" t="str">
        <f t="shared" si="43"/>
        <v/>
      </c>
      <c r="R650" s="317" t="str">
        <f t="shared" si="44"/>
        <v/>
      </c>
      <c r="S650" s="317" t="str">
        <f t="shared" si="45"/>
        <v/>
      </c>
      <c r="T650" s="317" t="str">
        <f>GLOBAL_DER_FEV_2023!S650</f>
        <v/>
      </c>
      <c r="W650" s="582">
        <v>0</v>
      </c>
      <c r="X650" s="580"/>
      <c r="Y650" s="583">
        <f>IF(GLOBAL_DER_FEV_2023!W650=0,0,IF(GLOBAL_DER_FEV_2023!W650&gt;0,"c","b"))</f>
        <v>0</v>
      </c>
    </row>
    <row r="651" spans="1:25" ht="13.5" hidden="1" thickBot="1" x14ac:dyDescent="0.25">
      <c r="A651" s="317">
        <v>100576</v>
      </c>
      <c r="B651" s="895" t="s">
        <v>1745</v>
      </c>
      <c r="C651" s="896" t="s">
        <v>596</v>
      </c>
      <c r="D651" s="906" t="s">
        <v>183</v>
      </c>
      <c r="E651" s="898">
        <f>GLOBAL_DER_FEV_2023!E651</f>
        <v>0</v>
      </c>
      <c r="F651" s="908">
        <f>GLOBAL_DER_FEV_2023!F651</f>
        <v>0</v>
      </c>
      <c r="G651" s="912">
        <f>GLOBAL_DER_FEV_2023!G651</f>
        <v>0</v>
      </c>
      <c r="H651" s="901">
        <f>GLOBAL_DER_FEV_2023!H651</f>
        <v>2.6</v>
      </c>
      <c r="I651" s="901">
        <f>GLOBAL_DER_FEV_2023!I651</f>
        <v>2.6</v>
      </c>
      <c r="J651" s="902">
        <f>GLOBAL_DER_FEV_2023!J651</f>
        <v>3.12</v>
      </c>
      <c r="K651" s="903" t="s">
        <v>12</v>
      </c>
      <c r="L651" s="1137"/>
      <c r="M651" s="1138">
        <f t="shared" si="42"/>
        <v>0</v>
      </c>
      <c r="N651" s="893">
        <f t="shared" si="46"/>
        <v>0</v>
      </c>
      <c r="O651" s="905"/>
      <c r="Q651" s="317" t="str">
        <f t="shared" si="43"/>
        <v/>
      </c>
      <c r="R651" s="317" t="str">
        <f t="shared" si="44"/>
        <v/>
      </c>
      <c r="S651" s="317" t="str">
        <f t="shared" si="45"/>
        <v/>
      </c>
      <c r="T651" s="317" t="str">
        <f>GLOBAL_DER_FEV_2023!S651</f>
        <v/>
      </c>
      <c r="W651" s="582">
        <v>0</v>
      </c>
      <c r="X651" s="580"/>
      <c r="Y651" s="583">
        <f>IF(GLOBAL_DER_FEV_2023!W651=0,0,IF(GLOBAL_DER_FEV_2023!W651&gt;0,"c","b"))</f>
        <v>0</v>
      </c>
    </row>
    <row r="652" spans="1:25" ht="13.5" hidden="1" thickBot="1" x14ac:dyDescent="0.25">
      <c r="A652" s="317">
        <v>532500</v>
      </c>
      <c r="B652" s="895" t="s">
        <v>1532</v>
      </c>
      <c r="C652" s="896" t="s">
        <v>184</v>
      </c>
      <c r="D652" s="957" t="s">
        <v>329</v>
      </c>
      <c r="E652" s="907">
        <f>GLOBAL_DER_FEV_2023!E652</f>
        <v>150</v>
      </c>
      <c r="F652" s="908">
        <f>GLOBAL_DER_FEV_2023!F652</f>
        <v>1.7250000000000001</v>
      </c>
      <c r="G652" s="949">
        <f>GLOBAL_DER_FEV_2023!G652</f>
        <v>281.4855</v>
      </c>
      <c r="H652" s="901">
        <f>GLOBAL_DER_FEV_2023!H652</f>
        <v>102.38</v>
      </c>
      <c r="I652" s="901">
        <f>GLOBAL_DER_FEV_2023!I652</f>
        <v>383.8655</v>
      </c>
      <c r="J652" s="902">
        <f>GLOBAL_DER_FEV_2023!J652</f>
        <v>460.91</v>
      </c>
      <c r="K652" s="903" t="s">
        <v>10</v>
      </c>
      <c r="L652" s="1137"/>
      <c r="M652" s="1138">
        <f t="shared" si="42"/>
        <v>0</v>
      </c>
      <c r="N652" s="893">
        <f t="shared" si="46"/>
        <v>0</v>
      </c>
      <c r="O652" s="905"/>
      <c r="Q652" s="317" t="str">
        <f t="shared" si="43"/>
        <v/>
      </c>
      <c r="R652" s="317" t="str">
        <f t="shared" si="44"/>
        <v/>
      </c>
      <c r="S652" s="317" t="str">
        <f t="shared" si="45"/>
        <v/>
      </c>
      <c r="T652" s="317" t="str">
        <f>GLOBAL_DER_FEV_2023!S652</f>
        <v/>
      </c>
      <c r="W652" s="582">
        <v>0</v>
      </c>
      <c r="X652" s="580"/>
      <c r="Y652" s="583">
        <f>IF(GLOBAL_DER_FEV_2023!W652=0,0,IF(GLOBAL_DER_FEV_2023!W652&gt;0,"c","b"))</f>
        <v>0</v>
      </c>
    </row>
    <row r="653" spans="1:25" ht="14.45" hidden="1" customHeight="1" x14ac:dyDescent="0.2">
      <c r="A653" s="317">
        <v>603900</v>
      </c>
      <c r="B653" s="895" t="s">
        <v>1731</v>
      </c>
      <c r="C653" s="896" t="s">
        <v>184</v>
      </c>
      <c r="D653" s="957" t="s">
        <v>330</v>
      </c>
      <c r="E653" s="907">
        <f>GLOBAL_DER_FEV_2023!E653</f>
        <v>0.2</v>
      </c>
      <c r="F653" s="908">
        <f>GLOBAL_DER_FEV_2023!F653</f>
        <v>1.5</v>
      </c>
      <c r="G653" s="949">
        <f>GLOBAL_DER_FEV_2023!G653</f>
        <v>4.3410000000000002</v>
      </c>
      <c r="H653" s="901">
        <f>GLOBAL_DER_FEV_2023!H653</f>
        <v>131.84</v>
      </c>
      <c r="I653" s="901">
        <f>GLOBAL_DER_FEV_2023!I653</f>
        <v>136.18100000000001</v>
      </c>
      <c r="J653" s="902">
        <f>GLOBAL_DER_FEV_2023!J653</f>
        <v>163.51</v>
      </c>
      <c r="K653" s="903" t="s">
        <v>10</v>
      </c>
      <c r="L653" s="1137"/>
      <c r="M653" s="1138">
        <f t="shared" si="42"/>
        <v>0</v>
      </c>
      <c r="N653" s="893">
        <f t="shared" si="46"/>
        <v>0</v>
      </c>
      <c r="O653" s="905"/>
      <c r="Q653" s="317" t="str">
        <f t="shared" si="43"/>
        <v/>
      </c>
      <c r="R653" s="317" t="str">
        <f t="shared" si="44"/>
        <v/>
      </c>
      <c r="S653" s="317" t="str">
        <f t="shared" si="45"/>
        <v/>
      </c>
      <c r="T653" s="317" t="str">
        <f>GLOBAL_DER_FEV_2023!S653</f>
        <v/>
      </c>
      <c r="W653" s="582">
        <v>0</v>
      </c>
      <c r="X653" s="580"/>
      <c r="Y653" s="583">
        <f>IF(GLOBAL_DER_FEV_2023!W653=0,0,IF(GLOBAL_DER_FEV_2023!W653&gt;0,"c","b"))</f>
        <v>0</v>
      </c>
    </row>
    <row r="654" spans="1:25" ht="13.5" hidden="1" thickBot="1" x14ac:dyDescent="0.25">
      <c r="A654" s="317">
        <v>605000</v>
      </c>
      <c r="B654" s="895" t="s">
        <v>216</v>
      </c>
      <c r="C654" s="896" t="s">
        <v>184</v>
      </c>
      <c r="D654" s="906" t="s">
        <v>259</v>
      </c>
      <c r="E654" s="907">
        <f>GLOBAL_DER_FEV_2023!E654</f>
        <v>0</v>
      </c>
      <c r="F654" s="908">
        <f>GLOBAL_DER_FEV_2023!F654</f>
        <v>0</v>
      </c>
      <c r="G654" s="912">
        <f>GLOBAL_DER_FEV_2023!G654</f>
        <v>220.83394000000004</v>
      </c>
      <c r="H654" s="901">
        <f>GLOBAL_DER_FEV_2023!H654</f>
        <v>425.25</v>
      </c>
      <c r="I654" s="901">
        <f>GLOBAL_DER_FEV_2023!I654</f>
        <v>646.08393999999998</v>
      </c>
      <c r="J654" s="902">
        <f>GLOBAL_DER_FEV_2023!J654</f>
        <v>775.75</v>
      </c>
      <c r="K654" s="903" t="s">
        <v>10</v>
      </c>
      <c r="L654" s="1137"/>
      <c r="M654" s="1138">
        <f t="shared" ref="M654:M717" si="47">IF(L654=0,0,ROUND(J654,2))</f>
        <v>0</v>
      </c>
      <c r="N654" s="893">
        <f t="shared" si="46"/>
        <v>0</v>
      </c>
      <c r="O654" s="905"/>
      <c r="Q654" s="317" t="str">
        <f t="shared" si="43"/>
        <v/>
      </c>
      <c r="R654" s="317" t="str">
        <f t="shared" si="44"/>
        <v/>
      </c>
      <c r="S654" s="317" t="str">
        <f t="shared" si="45"/>
        <v/>
      </c>
      <c r="T654" s="317" t="str">
        <f>GLOBAL_DER_FEV_2023!S654</f>
        <v/>
      </c>
      <c r="W654" s="582">
        <v>0</v>
      </c>
      <c r="X654" s="580"/>
      <c r="Y654" s="583">
        <f>IF(GLOBAL_DER_FEV_2023!W654=0,0,IF(GLOBAL_DER_FEV_2023!W654&gt;0,"c","b"))</f>
        <v>0</v>
      </c>
    </row>
    <row r="655" spans="1:25" ht="13.5" hidden="1" thickBot="1" x14ac:dyDescent="0.25">
      <c r="A655" s="317" t="s">
        <v>147</v>
      </c>
      <c r="B655" s="895" t="s">
        <v>147</v>
      </c>
      <c r="C655" s="896"/>
      <c r="D655" s="957" t="s">
        <v>190</v>
      </c>
      <c r="E655" s="907">
        <f>GLOBAL_DER_FEV_2023!E655</f>
        <v>308</v>
      </c>
      <c r="F655" s="908">
        <f>GLOBAL_DER_FEV_2023!F655</f>
        <v>0.18</v>
      </c>
      <c r="G655" s="909">
        <f>GLOBAL_DER_FEV_2023!G655</f>
        <v>44.650799999999997</v>
      </c>
      <c r="H655" s="901">
        <f>GLOBAL_DER_FEV_2023!H655</f>
        <v>0</v>
      </c>
      <c r="I655" s="901">
        <f>GLOBAL_DER_FEV_2023!I655</f>
        <v>0</v>
      </c>
      <c r="J655" s="902">
        <f>GLOBAL_DER_FEV_2023!J655</f>
        <v>0</v>
      </c>
      <c r="K655" s="958" t="s">
        <v>507</v>
      </c>
      <c r="L655" s="959"/>
      <c r="M655" s="1157">
        <f t="shared" si="47"/>
        <v>0</v>
      </c>
      <c r="N655" s="893">
        <f t="shared" si="46"/>
        <v>0</v>
      </c>
      <c r="O655" s="905"/>
      <c r="P655" s="58" t="str">
        <f>IF(N654&gt;0,"xx",IF(N654&gt;0,"xy",""))</f>
        <v/>
      </c>
      <c r="Q655" s="317" t="str">
        <f t="shared" ref="Q655:Q718" si="48">IF(P655="X","x",IF(P655="xx","x",IF(P655="xy","x",IF(P655="y","x",IF(OR(N655&gt;0,N655&gt;0),"x","")))))</f>
        <v/>
      </c>
      <c r="R655" s="317" t="str">
        <f t="shared" si="44"/>
        <v/>
      </c>
      <c r="S655" s="317" t="str">
        <f t="shared" si="45"/>
        <v/>
      </c>
      <c r="T655" s="317" t="str">
        <f>GLOBAL_DER_FEV_2023!S655</f>
        <v/>
      </c>
      <c r="W655" s="582">
        <v>0</v>
      </c>
      <c r="X655" s="580"/>
      <c r="Y655" s="583">
        <f>IF(GLOBAL_DER_FEV_2023!W655=0,0,IF(GLOBAL_DER_FEV_2023!W655&gt;0,"c","b"))</f>
        <v>0</v>
      </c>
    </row>
    <row r="656" spans="1:25" ht="13.5" hidden="1" thickBot="1" x14ac:dyDescent="0.25">
      <c r="A656" s="317" t="s">
        <v>147</v>
      </c>
      <c r="B656" s="895" t="s">
        <v>147</v>
      </c>
      <c r="C656" s="896"/>
      <c r="D656" s="957" t="s">
        <v>229</v>
      </c>
      <c r="E656" s="907">
        <f>GLOBAL_DER_FEV_2023!E656</f>
        <v>150</v>
      </c>
      <c r="F656" s="908">
        <f>GLOBAL_DER_FEV_2023!F656</f>
        <v>1.06</v>
      </c>
      <c r="G656" s="949">
        <f>GLOBAL_DER_FEV_2023!G656</f>
        <v>172.97080000000003</v>
      </c>
      <c r="H656" s="901">
        <f>GLOBAL_DER_FEV_2023!H656</f>
        <v>0</v>
      </c>
      <c r="I656" s="901">
        <f>GLOBAL_DER_FEV_2023!I656</f>
        <v>0</v>
      </c>
      <c r="J656" s="902">
        <f>GLOBAL_DER_FEV_2023!J656</f>
        <v>0</v>
      </c>
      <c r="K656" s="958" t="s">
        <v>507</v>
      </c>
      <c r="L656" s="959"/>
      <c r="M656" s="1157">
        <f t="shared" si="47"/>
        <v>0</v>
      </c>
      <c r="N656" s="893">
        <f t="shared" si="46"/>
        <v>0</v>
      </c>
      <c r="O656" s="905"/>
      <c r="P656" s="58" t="str">
        <f>IF(N654&gt;0,"xx",IF(N654&gt;0,"xy",""))</f>
        <v/>
      </c>
      <c r="Q656" s="317" t="str">
        <f t="shared" si="48"/>
        <v/>
      </c>
      <c r="R656" s="317" t="str">
        <f t="shared" si="44"/>
        <v/>
      </c>
      <c r="S656" s="317" t="str">
        <f t="shared" si="45"/>
        <v/>
      </c>
      <c r="T656" s="317" t="str">
        <f>GLOBAL_DER_FEV_2023!S656</f>
        <v/>
      </c>
      <c r="W656" s="582">
        <v>0</v>
      </c>
      <c r="X656" s="580"/>
      <c r="Y656" s="583">
        <f>IF(GLOBAL_DER_FEV_2023!W656=0,0,IF(GLOBAL_DER_FEV_2023!W656&gt;0,"c","b"))</f>
        <v>0</v>
      </c>
    </row>
    <row r="657" spans="1:25" ht="13.5" hidden="1" thickBot="1" x14ac:dyDescent="0.25">
      <c r="A657" s="317" t="s">
        <v>147</v>
      </c>
      <c r="B657" s="895" t="s">
        <v>147</v>
      </c>
      <c r="C657" s="896"/>
      <c r="D657" s="957" t="s">
        <v>233</v>
      </c>
      <c r="E657" s="907">
        <f>GLOBAL_DER_FEV_2023!E657</f>
        <v>0.2</v>
      </c>
      <c r="F657" s="908">
        <f>GLOBAL_DER_FEV_2023!F657</f>
        <v>1.1100000000000001</v>
      </c>
      <c r="G657" s="949">
        <f>GLOBAL_DER_FEV_2023!G657</f>
        <v>3.2123400000000006</v>
      </c>
      <c r="H657" s="901">
        <f>GLOBAL_DER_FEV_2023!H657</f>
        <v>0</v>
      </c>
      <c r="I657" s="901">
        <f>GLOBAL_DER_FEV_2023!I657</f>
        <v>0</v>
      </c>
      <c r="J657" s="902">
        <f>GLOBAL_DER_FEV_2023!J657</f>
        <v>0</v>
      </c>
      <c r="K657" s="958" t="s">
        <v>507</v>
      </c>
      <c r="L657" s="959"/>
      <c r="M657" s="1157">
        <f t="shared" si="47"/>
        <v>0</v>
      </c>
      <c r="N657" s="893">
        <f t="shared" si="46"/>
        <v>0</v>
      </c>
      <c r="O657" s="905"/>
      <c r="P657" s="58" t="str">
        <f>IF(N654&gt;0,"xx",IF(N654&gt;0,"xy",""))</f>
        <v/>
      </c>
      <c r="Q657" s="317" t="str">
        <f t="shared" si="48"/>
        <v/>
      </c>
      <c r="R657" s="317" t="str">
        <f t="shared" ref="R657:R720" si="49">IF(P657="X","x",IF(P657="y","x",IF(P657="xx","x",IF(N657&gt;0,"x",""))))</f>
        <v/>
      </c>
      <c r="S657" s="317" t="str">
        <f t="shared" ref="S657:S720" si="50">IF(P657="X","x",IF(N657&gt;0,"x",""))</f>
        <v/>
      </c>
      <c r="T657" s="317" t="str">
        <f>GLOBAL_DER_FEV_2023!S657</f>
        <v/>
      </c>
      <c r="W657" s="582">
        <v>0</v>
      </c>
      <c r="X657" s="580"/>
      <c r="Y657" s="583">
        <f>IF(GLOBAL_DER_FEV_2023!W657=0,0,IF(GLOBAL_DER_FEV_2023!W657&gt;0,"c","b"))</f>
        <v>0</v>
      </c>
    </row>
    <row r="658" spans="1:25" ht="13.5" hidden="1" thickBot="1" x14ac:dyDescent="0.25">
      <c r="A658" s="317">
        <v>400500</v>
      </c>
      <c r="B658" s="895" t="s">
        <v>1565</v>
      </c>
      <c r="C658" s="896" t="s">
        <v>184</v>
      </c>
      <c r="D658" s="906" t="s">
        <v>1732</v>
      </c>
      <c r="E658" s="907">
        <f>GLOBAL_DER_FEV_2023!E658</f>
        <v>150</v>
      </c>
      <c r="F658" s="908">
        <f>GLOBAL_DER_FEV_2023!F658</f>
        <v>1.73</v>
      </c>
      <c r="G658" s="949">
        <f>GLOBAL_DER_FEV_2023!G658</f>
        <v>282.3014</v>
      </c>
      <c r="H658" s="901">
        <f>GLOBAL_DER_FEV_2023!H658</f>
        <v>83.83</v>
      </c>
      <c r="I658" s="901">
        <f>GLOBAL_DER_FEV_2023!I658</f>
        <v>366.13139999999999</v>
      </c>
      <c r="J658" s="902">
        <f>GLOBAL_DER_FEV_2023!J658</f>
        <v>439.61</v>
      </c>
      <c r="K658" s="903" t="s">
        <v>10</v>
      </c>
      <c r="L658" s="1137"/>
      <c r="M658" s="1138">
        <f t="shared" si="47"/>
        <v>0</v>
      </c>
      <c r="N658" s="893">
        <f t="shared" si="46"/>
        <v>0</v>
      </c>
      <c r="O658" s="905"/>
      <c r="Q658" s="317" t="str">
        <f t="shared" si="48"/>
        <v/>
      </c>
      <c r="R658" s="317" t="str">
        <f t="shared" si="49"/>
        <v/>
      </c>
      <c r="S658" s="317" t="str">
        <f t="shared" si="50"/>
        <v/>
      </c>
      <c r="T658" s="317" t="str">
        <f>GLOBAL_DER_FEV_2023!S658</f>
        <v/>
      </c>
      <c r="W658" s="582">
        <v>0</v>
      </c>
      <c r="X658" s="580"/>
      <c r="Y658" s="583">
        <f>IF(GLOBAL_DER_FEV_2023!W658=0,0,IF(GLOBAL_DER_FEV_2023!W658&gt;0,"c","b"))</f>
        <v>0</v>
      </c>
    </row>
    <row r="659" spans="1:25" ht="13.5" hidden="1" thickBot="1" x14ac:dyDescent="0.25">
      <c r="A659" s="317">
        <v>532500</v>
      </c>
      <c r="B659" s="895" t="s">
        <v>1533</v>
      </c>
      <c r="C659" s="896" t="s">
        <v>184</v>
      </c>
      <c r="D659" s="906" t="s">
        <v>1735</v>
      </c>
      <c r="E659" s="907">
        <f>GLOBAL_DER_FEV_2023!E659</f>
        <v>150</v>
      </c>
      <c r="F659" s="908">
        <f>GLOBAL_DER_FEV_2023!F659</f>
        <v>1.7250000000000001</v>
      </c>
      <c r="G659" s="949">
        <f>GLOBAL_DER_FEV_2023!G659</f>
        <v>281.4855</v>
      </c>
      <c r="H659" s="901">
        <f>GLOBAL_DER_FEV_2023!H659</f>
        <v>102.38</v>
      </c>
      <c r="I659" s="901">
        <f>GLOBAL_DER_FEV_2023!I659</f>
        <v>383.8655</v>
      </c>
      <c r="J659" s="902">
        <f>GLOBAL_DER_FEV_2023!J659</f>
        <v>460.91</v>
      </c>
      <c r="K659" s="903" t="s">
        <v>10</v>
      </c>
      <c r="L659" s="1137"/>
      <c r="M659" s="1138">
        <f t="shared" si="47"/>
        <v>0</v>
      </c>
      <c r="N659" s="893">
        <f t="shared" si="46"/>
        <v>0</v>
      </c>
      <c r="O659" s="905"/>
      <c r="Q659" s="317" t="str">
        <f t="shared" si="48"/>
        <v/>
      </c>
      <c r="R659" s="317" t="str">
        <f t="shared" si="49"/>
        <v/>
      </c>
      <c r="S659" s="317" t="str">
        <f t="shared" si="50"/>
        <v/>
      </c>
      <c r="T659" s="317" t="str">
        <f>GLOBAL_DER_FEV_2023!S659</f>
        <v/>
      </c>
      <c r="W659" s="582">
        <v>0</v>
      </c>
      <c r="X659" s="580"/>
      <c r="Y659" s="583">
        <f>IF(GLOBAL_DER_FEV_2023!W659=0,0,IF(GLOBAL_DER_FEV_2023!W659&gt;0,"c","b"))</f>
        <v>0</v>
      </c>
    </row>
    <row r="660" spans="1:25" ht="13.5" hidden="1" thickBot="1" x14ac:dyDescent="0.25">
      <c r="A660" s="317">
        <v>532600</v>
      </c>
      <c r="B660" s="895" t="s">
        <v>1566</v>
      </c>
      <c r="C660" s="896" t="s">
        <v>184</v>
      </c>
      <c r="D660" s="906" t="s">
        <v>1733</v>
      </c>
      <c r="E660" s="898">
        <f>GLOBAL_DER_FEV_2023!E660</f>
        <v>0</v>
      </c>
      <c r="F660" s="908">
        <f>GLOBAL_DER_FEV_2023!F660</f>
        <v>2.25</v>
      </c>
      <c r="G660" s="949">
        <f>GLOBAL_DER_FEV_2023!G660</f>
        <v>6.03</v>
      </c>
      <c r="H660" s="901">
        <f>GLOBAL_DER_FEV_2023!H660</f>
        <v>16.07</v>
      </c>
      <c r="I660" s="901">
        <f>GLOBAL_DER_FEV_2023!I660</f>
        <v>22.1</v>
      </c>
      <c r="J660" s="902">
        <f>GLOBAL_DER_FEV_2023!J660</f>
        <v>26.54</v>
      </c>
      <c r="K660" s="903" t="s">
        <v>10</v>
      </c>
      <c r="L660" s="1137"/>
      <c r="M660" s="1138">
        <f t="shared" si="47"/>
        <v>0</v>
      </c>
      <c r="N660" s="893">
        <f t="shared" si="46"/>
        <v>0</v>
      </c>
      <c r="O660" s="905"/>
      <c r="Q660" s="317" t="str">
        <f t="shared" si="48"/>
        <v/>
      </c>
      <c r="R660" s="317" t="str">
        <f t="shared" si="49"/>
        <v/>
      </c>
      <c r="S660" s="317" t="str">
        <f t="shared" si="50"/>
        <v/>
      </c>
      <c r="T660" s="317" t="str">
        <f>GLOBAL_DER_FEV_2023!S660</f>
        <v/>
      </c>
      <c r="W660" s="582">
        <v>0</v>
      </c>
      <c r="X660" s="580"/>
      <c r="Y660" s="583">
        <f>IF(GLOBAL_DER_FEV_2023!W660=0,0,IF(GLOBAL_DER_FEV_2023!W660&gt;0,"c","b"))</f>
        <v>0</v>
      </c>
    </row>
    <row r="661" spans="1:25" ht="13.5" hidden="1" thickBot="1" x14ac:dyDescent="0.25">
      <c r="A661" s="317">
        <v>603900</v>
      </c>
      <c r="B661" s="895" t="s">
        <v>1741</v>
      </c>
      <c r="C661" s="896" t="s">
        <v>184</v>
      </c>
      <c r="D661" s="906" t="s">
        <v>1734</v>
      </c>
      <c r="E661" s="907">
        <f>GLOBAL_DER_FEV_2023!E661</f>
        <v>0.2</v>
      </c>
      <c r="F661" s="908">
        <f>GLOBAL_DER_FEV_2023!F661</f>
        <v>1.5</v>
      </c>
      <c r="G661" s="949">
        <f>GLOBAL_DER_FEV_2023!G661</f>
        <v>4.3410000000000002</v>
      </c>
      <c r="H661" s="901">
        <f>GLOBAL_DER_FEV_2023!H661</f>
        <v>131.84</v>
      </c>
      <c r="I661" s="901">
        <f>GLOBAL_DER_FEV_2023!I661</f>
        <v>136.18100000000001</v>
      </c>
      <c r="J661" s="902">
        <f>GLOBAL_DER_FEV_2023!J661</f>
        <v>163.51</v>
      </c>
      <c r="K661" s="903" t="s">
        <v>10</v>
      </c>
      <c r="L661" s="1137"/>
      <c r="M661" s="1138">
        <f t="shared" si="47"/>
        <v>0</v>
      </c>
      <c r="N661" s="893">
        <f t="shared" ref="N661:N724" si="51">IF(ISBLANK(L661),0,IF(W661=0,ROUND(L661*M661,2),IF(W661="b",ROUNDDOWN(L661*M661,2),ROUNDUP(L661*M661,2))))</f>
        <v>0</v>
      </c>
      <c r="O661" s="905"/>
      <c r="Q661" s="317" t="str">
        <f t="shared" si="48"/>
        <v/>
      </c>
      <c r="R661" s="317" t="str">
        <f t="shared" si="49"/>
        <v/>
      </c>
      <c r="S661" s="317" t="str">
        <f t="shared" si="50"/>
        <v/>
      </c>
      <c r="T661" s="317" t="str">
        <f>GLOBAL_DER_FEV_2023!S661</f>
        <v/>
      </c>
      <c r="W661" s="582">
        <v>0</v>
      </c>
      <c r="X661" s="580"/>
      <c r="Y661" s="583">
        <f>IF(GLOBAL_DER_FEV_2023!W661=0,0,IF(GLOBAL_DER_FEV_2023!W661&gt;0,"c","b"))</f>
        <v>0</v>
      </c>
    </row>
    <row r="662" spans="1:25" ht="13.5" hidden="1" thickBot="1" x14ac:dyDescent="0.25">
      <c r="A662" s="317">
        <v>601100</v>
      </c>
      <c r="B662" s="895" t="s">
        <v>1766</v>
      </c>
      <c r="C662" s="896" t="s">
        <v>184</v>
      </c>
      <c r="D662" s="906" t="s">
        <v>260</v>
      </c>
      <c r="E662" s="907">
        <f>GLOBAL_DER_FEV_2023!E662</f>
        <v>0</v>
      </c>
      <c r="F662" s="908">
        <f>GLOBAL_DER_FEV_2023!F662</f>
        <v>0</v>
      </c>
      <c r="G662" s="912">
        <f>GLOBAL_DER_FEV_2023!G662</f>
        <v>0</v>
      </c>
      <c r="H662" s="901">
        <f>GLOBAL_DER_FEV_2023!H662</f>
        <v>54.05</v>
      </c>
      <c r="I662" s="901">
        <f>GLOBAL_DER_FEV_2023!I662</f>
        <v>54.05</v>
      </c>
      <c r="J662" s="902">
        <f>GLOBAL_DER_FEV_2023!J662</f>
        <v>64.900000000000006</v>
      </c>
      <c r="K662" s="903" t="s">
        <v>10</v>
      </c>
      <c r="L662" s="1137"/>
      <c r="M662" s="1138">
        <f t="shared" si="47"/>
        <v>0</v>
      </c>
      <c r="N662" s="893">
        <f t="shared" si="51"/>
        <v>0</v>
      </c>
      <c r="O662" s="905"/>
      <c r="Q662" s="317" t="str">
        <f t="shared" si="48"/>
        <v/>
      </c>
      <c r="R662" s="317" t="str">
        <f t="shared" si="49"/>
        <v/>
      </c>
      <c r="S662" s="317" t="str">
        <f t="shared" si="50"/>
        <v/>
      </c>
      <c r="T662" s="317" t="str">
        <f>GLOBAL_DER_FEV_2023!S662</f>
        <v/>
      </c>
      <c r="W662" s="582">
        <v>0</v>
      </c>
      <c r="X662" s="580"/>
      <c r="Y662" s="583">
        <f>IF(GLOBAL_DER_FEV_2023!W662=0,0,IF(GLOBAL_DER_FEV_2023!W662&gt;0,"c","b"))</f>
        <v>0</v>
      </c>
    </row>
    <row r="663" spans="1:25" ht="13.5" hidden="1" thickBot="1" x14ac:dyDescent="0.25">
      <c r="A663" s="317">
        <v>602000</v>
      </c>
      <c r="B663" s="895" t="s">
        <v>1996</v>
      </c>
      <c r="C663" s="896" t="s">
        <v>184</v>
      </c>
      <c r="D663" s="906" t="s">
        <v>1994</v>
      </c>
      <c r="E663" s="907">
        <f>GLOBAL_DER_FEV_2023!E663</f>
        <v>0</v>
      </c>
      <c r="F663" s="908">
        <f>GLOBAL_DER_FEV_2023!F663</f>
        <v>0</v>
      </c>
      <c r="G663" s="912">
        <f>GLOBAL_DER_FEV_2023!G663</f>
        <v>0</v>
      </c>
      <c r="H663" s="901">
        <f>GLOBAL_DER_FEV_2023!H663</f>
        <v>62.53</v>
      </c>
      <c r="I663" s="901">
        <f>GLOBAL_DER_FEV_2023!I663</f>
        <v>62.53</v>
      </c>
      <c r="J663" s="902">
        <f>GLOBAL_DER_FEV_2023!J663</f>
        <v>75.08</v>
      </c>
      <c r="K663" s="903" t="s">
        <v>12</v>
      </c>
      <c r="L663" s="1137"/>
      <c r="M663" s="1138">
        <f t="shared" si="47"/>
        <v>0</v>
      </c>
      <c r="N663" s="893">
        <f t="shared" si="51"/>
        <v>0</v>
      </c>
      <c r="O663" s="905"/>
      <c r="Q663" s="317" t="str">
        <f t="shared" si="48"/>
        <v/>
      </c>
      <c r="R663" s="317" t="str">
        <f t="shared" si="49"/>
        <v/>
      </c>
      <c r="S663" s="317" t="str">
        <f t="shared" si="50"/>
        <v/>
      </c>
      <c r="T663" s="317" t="str">
        <f>GLOBAL_DER_FEV_2023!S663</f>
        <v/>
      </c>
      <c r="W663" s="582">
        <v>0</v>
      </c>
      <c r="X663" s="580"/>
      <c r="Y663" s="583">
        <f>IF(GLOBAL_DER_FEV_2023!W663=0,0,IF(GLOBAL_DER_FEV_2023!W663&gt;0,"c","b"))</f>
        <v>0</v>
      </c>
    </row>
    <row r="664" spans="1:25" ht="13.5" hidden="1" thickBot="1" x14ac:dyDescent="0.25">
      <c r="A664" s="317">
        <v>603000</v>
      </c>
      <c r="B664" s="895" t="s">
        <v>1768</v>
      </c>
      <c r="C664" s="896" t="s">
        <v>184</v>
      </c>
      <c r="D664" s="906" t="s">
        <v>261</v>
      </c>
      <c r="E664" s="907">
        <f>GLOBAL_DER_FEV_2023!E664</f>
        <v>0</v>
      </c>
      <c r="F664" s="908">
        <f>GLOBAL_DER_FEV_2023!F664</f>
        <v>0</v>
      </c>
      <c r="G664" s="912">
        <f>GLOBAL_DER_FEV_2023!G664</f>
        <v>0</v>
      </c>
      <c r="H664" s="901">
        <f>GLOBAL_DER_FEV_2023!H664</f>
        <v>18.34</v>
      </c>
      <c r="I664" s="901">
        <f>GLOBAL_DER_FEV_2023!I664</f>
        <v>18.34</v>
      </c>
      <c r="J664" s="902">
        <f>GLOBAL_DER_FEV_2023!J664</f>
        <v>22.02</v>
      </c>
      <c r="K664" s="903" t="s">
        <v>16</v>
      </c>
      <c r="L664" s="1137"/>
      <c r="M664" s="1138">
        <f t="shared" si="47"/>
        <v>0</v>
      </c>
      <c r="N664" s="893">
        <f t="shared" si="51"/>
        <v>0</v>
      </c>
      <c r="O664" s="905"/>
      <c r="Q664" s="317" t="str">
        <f t="shared" si="48"/>
        <v/>
      </c>
      <c r="R664" s="317" t="str">
        <f t="shared" si="49"/>
        <v/>
      </c>
      <c r="S664" s="317" t="str">
        <f t="shared" si="50"/>
        <v/>
      </c>
      <c r="T664" s="317" t="str">
        <f>GLOBAL_DER_FEV_2023!S664</f>
        <v/>
      </c>
      <c r="W664" s="582">
        <v>0</v>
      </c>
      <c r="X664" s="580"/>
      <c r="Y664" s="583">
        <f>IF(GLOBAL_DER_FEV_2023!W664=0,0,IF(GLOBAL_DER_FEV_2023!W664&gt;0,"c","b"))</f>
        <v>0</v>
      </c>
    </row>
    <row r="665" spans="1:25" ht="13.5" hidden="1" thickBot="1" x14ac:dyDescent="0.25">
      <c r="A665" s="317">
        <v>603300</v>
      </c>
      <c r="B665" s="895" t="s">
        <v>1771</v>
      </c>
      <c r="C665" s="896" t="s">
        <v>184</v>
      </c>
      <c r="D665" s="906" t="s">
        <v>262</v>
      </c>
      <c r="E665" s="907">
        <f>GLOBAL_DER_FEV_2023!E665</f>
        <v>0</v>
      </c>
      <c r="F665" s="908">
        <f>GLOBAL_DER_FEV_2023!F665</f>
        <v>0</v>
      </c>
      <c r="G665" s="912">
        <f>GLOBAL_DER_FEV_2023!G665</f>
        <v>0</v>
      </c>
      <c r="H665" s="901">
        <f>GLOBAL_DER_FEV_2023!H665</f>
        <v>20.91</v>
      </c>
      <c r="I665" s="901">
        <f>GLOBAL_DER_FEV_2023!I665</f>
        <v>20.91</v>
      </c>
      <c r="J665" s="902">
        <f>GLOBAL_DER_FEV_2023!J665</f>
        <v>25.11</v>
      </c>
      <c r="K665" s="903" t="s">
        <v>16</v>
      </c>
      <c r="L665" s="1137"/>
      <c r="M665" s="1138">
        <f t="shared" si="47"/>
        <v>0</v>
      </c>
      <c r="N665" s="893">
        <f t="shared" si="51"/>
        <v>0</v>
      </c>
      <c r="O665" s="905"/>
      <c r="Q665" s="317" t="str">
        <f t="shared" si="48"/>
        <v/>
      </c>
      <c r="R665" s="317" t="str">
        <f t="shared" si="49"/>
        <v/>
      </c>
      <c r="S665" s="317" t="str">
        <f t="shared" si="50"/>
        <v/>
      </c>
      <c r="T665" s="317" t="str">
        <f>GLOBAL_DER_FEV_2023!S665</f>
        <v/>
      </c>
      <c r="W665" s="582">
        <v>0</v>
      </c>
      <c r="X665" s="580"/>
      <c r="Y665" s="583">
        <f>IF(GLOBAL_DER_FEV_2023!W665=0,0,IF(GLOBAL_DER_FEV_2023!W665&gt;0,"c","b"))</f>
        <v>0</v>
      </c>
    </row>
    <row r="666" spans="1:25" ht="13.5" hidden="1" thickBot="1" x14ac:dyDescent="0.25">
      <c r="A666" s="317">
        <v>605000</v>
      </c>
      <c r="B666" s="895" t="s">
        <v>299</v>
      </c>
      <c r="C666" s="896" t="s">
        <v>184</v>
      </c>
      <c r="D666" s="906" t="s">
        <v>263</v>
      </c>
      <c r="E666" s="907">
        <f>GLOBAL_DER_FEV_2023!E666</f>
        <v>0</v>
      </c>
      <c r="F666" s="908">
        <f>GLOBAL_DER_FEV_2023!F666</f>
        <v>0</v>
      </c>
      <c r="G666" s="912">
        <f>GLOBAL_DER_FEV_2023!G666</f>
        <v>0.56710335000000001</v>
      </c>
      <c r="H666" s="901">
        <f>GLOBAL_DER_FEV_2023!H666</f>
        <v>26.85</v>
      </c>
      <c r="I666" s="901">
        <f>GLOBAL_DER_FEV_2023!I666</f>
        <v>27.417103350000001</v>
      </c>
      <c r="J666" s="902">
        <f>GLOBAL_DER_FEV_2023!J666</f>
        <v>32.92</v>
      </c>
      <c r="K666" s="903" t="s">
        <v>12</v>
      </c>
      <c r="L666" s="1137"/>
      <c r="M666" s="1138">
        <f t="shared" si="47"/>
        <v>0</v>
      </c>
      <c r="N666" s="893">
        <f t="shared" si="51"/>
        <v>0</v>
      </c>
      <c r="O666" s="905"/>
      <c r="Q666" s="317" t="str">
        <f t="shared" si="48"/>
        <v/>
      </c>
      <c r="R666" s="317" t="str">
        <f t="shared" si="49"/>
        <v/>
      </c>
      <c r="S666" s="317" t="str">
        <f t="shared" si="50"/>
        <v/>
      </c>
      <c r="T666" s="317" t="str">
        <f>GLOBAL_DER_FEV_2023!S666</f>
        <v/>
      </c>
      <c r="W666" s="582">
        <v>0</v>
      </c>
      <c r="X666" s="580"/>
      <c r="Y666" s="583">
        <f>IF(GLOBAL_DER_FEV_2023!W666=0,0,IF(GLOBAL_DER_FEV_2023!W666&gt;0,"c","b"))</f>
        <v>0</v>
      </c>
    </row>
    <row r="667" spans="1:25" ht="13.5" hidden="1" thickBot="1" x14ac:dyDescent="0.25">
      <c r="A667" s="317" t="s">
        <v>147</v>
      </c>
      <c r="B667" s="895" t="s">
        <v>147</v>
      </c>
      <c r="C667" s="896"/>
      <c r="D667" s="957" t="s">
        <v>190</v>
      </c>
      <c r="E667" s="907">
        <f>GLOBAL_DER_FEV_2023!E667</f>
        <v>308</v>
      </c>
      <c r="F667" s="908">
        <f>GLOBAL_DER_FEV_2023!F667</f>
        <v>1.35E-2</v>
      </c>
      <c r="G667" s="909">
        <f>GLOBAL_DER_FEV_2023!G667</f>
        <v>3.3488099999999998</v>
      </c>
      <c r="H667" s="901">
        <f>GLOBAL_DER_FEV_2023!H667</f>
        <v>0</v>
      </c>
      <c r="I667" s="901">
        <f>GLOBAL_DER_FEV_2023!I667</f>
        <v>3.3488099999999998</v>
      </c>
      <c r="J667" s="902">
        <f>GLOBAL_DER_FEV_2023!J667</f>
        <v>0</v>
      </c>
      <c r="K667" s="958" t="s">
        <v>507</v>
      </c>
      <c r="L667" s="959"/>
      <c r="M667" s="1157">
        <f t="shared" si="47"/>
        <v>0</v>
      </c>
      <c r="N667" s="893">
        <f t="shared" si="51"/>
        <v>0</v>
      </c>
      <c r="O667" s="905"/>
      <c r="P667" s="58" t="str">
        <f>IF(N666&gt;0,"xx",IF(N666&gt;0,"xy",""))</f>
        <v/>
      </c>
      <c r="Q667" s="317" t="str">
        <f t="shared" si="48"/>
        <v/>
      </c>
      <c r="R667" s="317" t="str">
        <f t="shared" si="49"/>
        <v/>
      </c>
      <c r="S667" s="317" t="str">
        <f t="shared" si="50"/>
        <v/>
      </c>
      <c r="T667" s="317" t="str">
        <f>GLOBAL_DER_FEV_2023!S667</f>
        <v/>
      </c>
      <c r="W667" s="582">
        <v>0</v>
      </c>
      <c r="X667" s="580"/>
      <c r="Y667" s="583">
        <f>IF(GLOBAL_DER_FEV_2023!W667=0,0,IF(GLOBAL_DER_FEV_2023!W667&gt;0,"c","b"))</f>
        <v>0</v>
      </c>
    </row>
    <row r="668" spans="1:25" ht="13.5" hidden="1" thickBot="1" x14ac:dyDescent="0.25">
      <c r="A668" s="317" t="s">
        <v>147</v>
      </c>
      <c r="B668" s="895" t="s">
        <v>147</v>
      </c>
      <c r="C668" s="896"/>
      <c r="D668" s="957" t="s">
        <v>229</v>
      </c>
      <c r="E668" s="907">
        <f>GLOBAL_DER_FEV_2023!E668</f>
        <v>150</v>
      </c>
      <c r="F668" s="908">
        <f>GLOBAL_DER_FEV_2023!F668</f>
        <v>4.8000000000000001E-2</v>
      </c>
      <c r="G668" s="949">
        <f>GLOBAL_DER_FEV_2023!G668</f>
        <v>7.8326400000000005</v>
      </c>
      <c r="H668" s="901">
        <f>GLOBAL_DER_FEV_2023!H668</f>
        <v>0</v>
      </c>
      <c r="I668" s="901">
        <f>GLOBAL_DER_FEV_2023!I668</f>
        <v>7.8326400000000005</v>
      </c>
      <c r="J668" s="902">
        <f>GLOBAL_DER_FEV_2023!J668</f>
        <v>0</v>
      </c>
      <c r="K668" s="958" t="s">
        <v>507</v>
      </c>
      <c r="L668" s="959"/>
      <c r="M668" s="1157">
        <f t="shared" si="47"/>
        <v>0</v>
      </c>
      <c r="N668" s="893">
        <f t="shared" si="51"/>
        <v>0</v>
      </c>
      <c r="O668" s="905"/>
      <c r="P668" s="58" t="str">
        <f>IF(N666&gt;0,"xx",IF(N666&gt;0,"xy",""))</f>
        <v/>
      </c>
      <c r="Q668" s="317" t="str">
        <f t="shared" si="48"/>
        <v/>
      </c>
      <c r="R668" s="317" t="str">
        <f t="shared" si="49"/>
        <v/>
      </c>
      <c r="S668" s="317" t="str">
        <f t="shared" si="50"/>
        <v/>
      </c>
      <c r="T668" s="317" t="str">
        <f>GLOBAL_DER_FEV_2023!S668</f>
        <v/>
      </c>
      <c r="W668" s="582">
        <v>0</v>
      </c>
      <c r="X668" s="580"/>
      <c r="Y668" s="583">
        <f>IF(GLOBAL_DER_FEV_2023!W668=0,0,IF(GLOBAL_DER_FEV_2023!W668&gt;0,"c","b"))</f>
        <v>0</v>
      </c>
    </row>
    <row r="669" spans="1:25" ht="13.5" hidden="1" thickBot="1" x14ac:dyDescent="0.25">
      <c r="A669" s="317" t="s">
        <v>147</v>
      </c>
      <c r="B669" s="895" t="s">
        <v>147</v>
      </c>
      <c r="C669" s="896"/>
      <c r="D669" s="957" t="s">
        <v>233</v>
      </c>
      <c r="E669" s="907">
        <f>GLOBAL_DER_FEV_2023!E669</f>
        <v>0.2</v>
      </c>
      <c r="F669" s="908">
        <f>GLOBAL_DER_FEV_2023!F669</f>
        <v>5.5500000000000001E-2</v>
      </c>
      <c r="G669" s="949">
        <f>GLOBAL_DER_FEV_2023!G669</f>
        <v>0.16061700000000001</v>
      </c>
      <c r="H669" s="901">
        <f>GLOBAL_DER_FEV_2023!H669</f>
        <v>0</v>
      </c>
      <c r="I669" s="901">
        <f>GLOBAL_DER_FEV_2023!I669</f>
        <v>0.16061700000000001</v>
      </c>
      <c r="J669" s="902">
        <f>GLOBAL_DER_FEV_2023!J669</f>
        <v>0</v>
      </c>
      <c r="K669" s="958" t="s">
        <v>507</v>
      </c>
      <c r="L669" s="959"/>
      <c r="M669" s="1157">
        <f t="shared" si="47"/>
        <v>0</v>
      </c>
      <c r="N669" s="893">
        <f t="shared" si="51"/>
        <v>0</v>
      </c>
      <c r="O669" s="905"/>
      <c r="P669" s="58" t="str">
        <f>IF(N666&gt;0,"xx",IF(N666&gt;0,"xy",""))</f>
        <v/>
      </c>
      <c r="Q669" s="317" t="str">
        <f t="shared" si="48"/>
        <v/>
      </c>
      <c r="R669" s="317" t="str">
        <f t="shared" si="49"/>
        <v/>
      </c>
      <c r="S669" s="317" t="str">
        <f t="shared" si="50"/>
        <v/>
      </c>
      <c r="T669" s="317" t="str">
        <f>GLOBAL_DER_FEV_2023!S669</f>
        <v/>
      </c>
      <c r="W669" s="582">
        <v>0</v>
      </c>
      <c r="X669" s="580"/>
      <c r="Y669" s="583">
        <f>IF(GLOBAL_DER_FEV_2023!W669=0,0,IF(GLOBAL_DER_FEV_2023!W669&gt;0,"c","b"))</f>
        <v>0</v>
      </c>
    </row>
    <row r="670" spans="1:25" ht="13.5" hidden="1" thickBot="1" x14ac:dyDescent="0.25">
      <c r="A670" s="317">
        <v>605000</v>
      </c>
      <c r="B670" s="895" t="s">
        <v>300</v>
      </c>
      <c r="C670" s="896" t="s">
        <v>184</v>
      </c>
      <c r="D670" s="906" t="s">
        <v>516</v>
      </c>
      <c r="E670" s="907">
        <f>GLOBAL_DER_FEV_2023!E670</f>
        <v>0</v>
      </c>
      <c r="F670" s="908">
        <f>GLOBAL_DER_FEV_2023!F670</f>
        <v>0</v>
      </c>
      <c r="G670" s="912">
        <f>GLOBAL_DER_FEV_2023!G670</f>
        <v>0.68052402000000001</v>
      </c>
      <c r="H670" s="901">
        <f>GLOBAL_DER_FEV_2023!H670</f>
        <v>31.71</v>
      </c>
      <c r="I670" s="901">
        <f>GLOBAL_DER_FEV_2023!I670</f>
        <v>32.390524020000001</v>
      </c>
      <c r="J670" s="902">
        <f>GLOBAL_DER_FEV_2023!J670</f>
        <v>38.89</v>
      </c>
      <c r="K670" s="903" t="s">
        <v>12</v>
      </c>
      <c r="L670" s="1137"/>
      <c r="M670" s="1138">
        <f t="shared" si="47"/>
        <v>0</v>
      </c>
      <c r="N670" s="893">
        <f t="shared" si="51"/>
        <v>0</v>
      </c>
      <c r="O670" s="905"/>
      <c r="Q670" s="317" t="str">
        <f t="shared" si="48"/>
        <v/>
      </c>
      <c r="R670" s="317" t="str">
        <f t="shared" si="49"/>
        <v/>
      </c>
      <c r="S670" s="317" t="str">
        <f t="shared" si="50"/>
        <v/>
      </c>
      <c r="T670" s="317" t="str">
        <f>GLOBAL_DER_FEV_2023!S670</f>
        <v/>
      </c>
      <c r="W670" s="582">
        <v>0</v>
      </c>
      <c r="X670" s="580"/>
      <c r="Y670" s="583">
        <f>IF(GLOBAL_DER_FEV_2023!W670=0,0,IF(GLOBAL_DER_FEV_2023!W670&gt;0,"c","b"))</f>
        <v>0</v>
      </c>
    </row>
    <row r="671" spans="1:25" ht="13.5" hidden="1" thickBot="1" x14ac:dyDescent="0.25">
      <c r="A671" s="317" t="s">
        <v>147</v>
      </c>
      <c r="B671" s="895" t="s">
        <v>147</v>
      </c>
      <c r="C671" s="896"/>
      <c r="D671" s="957" t="s">
        <v>190</v>
      </c>
      <c r="E671" s="907">
        <f>GLOBAL_DER_FEV_2023!E671</f>
        <v>308</v>
      </c>
      <c r="F671" s="908">
        <f>GLOBAL_DER_FEV_2023!F671</f>
        <v>1.6199999999999999E-2</v>
      </c>
      <c r="G671" s="909">
        <f>GLOBAL_DER_FEV_2023!G671</f>
        <v>4.0185719999999998</v>
      </c>
      <c r="H671" s="901">
        <f>GLOBAL_DER_FEV_2023!H671</f>
        <v>0</v>
      </c>
      <c r="I671" s="901">
        <f>GLOBAL_DER_FEV_2023!I671</f>
        <v>4.0185719999999998</v>
      </c>
      <c r="J671" s="902">
        <f>GLOBAL_DER_FEV_2023!J671</f>
        <v>0</v>
      </c>
      <c r="K671" s="958" t="s">
        <v>507</v>
      </c>
      <c r="L671" s="959"/>
      <c r="M671" s="1157">
        <f t="shared" si="47"/>
        <v>0</v>
      </c>
      <c r="N671" s="893">
        <f t="shared" si="51"/>
        <v>0</v>
      </c>
      <c r="O671" s="905"/>
      <c r="P671" s="58" t="str">
        <f>IF(N670&gt;0,"xx",IF(N670&gt;0,"xy",""))</f>
        <v/>
      </c>
      <c r="Q671" s="317" t="str">
        <f t="shared" si="48"/>
        <v/>
      </c>
      <c r="R671" s="317" t="str">
        <f t="shared" si="49"/>
        <v/>
      </c>
      <c r="S671" s="317" t="str">
        <f t="shared" si="50"/>
        <v/>
      </c>
      <c r="T671" s="317" t="str">
        <f>GLOBAL_DER_FEV_2023!S671</f>
        <v/>
      </c>
      <c r="W671" s="582">
        <v>0</v>
      </c>
      <c r="X671" s="580"/>
      <c r="Y671" s="583">
        <f>IF(GLOBAL_DER_FEV_2023!W671=0,0,IF(GLOBAL_DER_FEV_2023!W671&gt;0,"c","b"))</f>
        <v>0</v>
      </c>
    </row>
    <row r="672" spans="1:25" ht="13.5" hidden="1" thickBot="1" x14ac:dyDescent="0.25">
      <c r="A672" s="317" t="s">
        <v>147</v>
      </c>
      <c r="B672" s="895" t="s">
        <v>147</v>
      </c>
      <c r="C672" s="896"/>
      <c r="D672" s="957" t="s">
        <v>229</v>
      </c>
      <c r="E672" s="907">
        <f>GLOBAL_DER_FEV_2023!E672</f>
        <v>150</v>
      </c>
      <c r="F672" s="908">
        <f>GLOBAL_DER_FEV_2023!F672</f>
        <v>5.7599999999999998E-2</v>
      </c>
      <c r="G672" s="949">
        <f>GLOBAL_DER_FEV_2023!G672</f>
        <v>9.3991679999999995</v>
      </c>
      <c r="H672" s="901">
        <f>GLOBAL_DER_FEV_2023!H672</f>
        <v>0</v>
      </c>
      <c r="I672" s="901">
        <f>GLOBAL_DER_FEV_2023!I672</f>
        <v>9.3991679999999995</v>
      </c>
      <c r="J672" s="902">
        <f>GLOBAL_DER_FEV_2023!J672</f>
        <v>0</v>
      </c>
      <c r="K672" s="958" t="s">
        <v>507</v>
      </c>
      <c r="L672" s="959"/>
      <c r="M672" s="1157">
        <f t="shared" si="47"/>
        <v>0</v>
      </c>
      <c r="N672" s="893">
        <f t="shared" si="51"/>
        <v>0</v>
      </c>
      <c r="O672" s="905"/>
      <c r="P672" s="58" t="str">
        <f>IF(N670&gt;0,"xx",IF(N670&gt;0,"xy",""))</f>
        <v/>
      </c>
      <c r="Q672" s="317" t="str">
        <f t="shared" si="48"/>
        <v/>
      </c>
      <c r="R672" s="317" t="str">
        <f t="shared" si="49"/>
        <v/>
      </c>
      <c r="S672" s="317" t="str">
        <f t="shared" si="50"/>
        <v/>
      </c>
      <c r="T672" s="317" t="str">
        <f>GLOBAL_DER_FEV_2023!S672</f>
        <v/>
      </c>
      <c r="W672" s="582">
        <v>0</v>
      </c>
      <c r="X672" s="580"/>
      <c r="Y672" s="583">
        <f>IF(GLOBAL_DER_FEV_2023!W672=0,0,IF(GLOBAL_DER_FEV_2023!W672&gt;0,"c","b"))</f>
        <v>0</v>
      </c>
    </row>
    <row r="673" spans="1:25" ht="13.5" hidden="1" thickBot="1" x14ac:dyDescent="0.25">
      <c r="A673" s="317" t="s">
        <v>147</v>
      </c>
      <c r="B673" s="895" t="s">
        <v>147</v>
      </c>
      <c r="C673" s="896"/>
      <c r="D673" s="957" t="s">
        <v>233</v>
      </c>
      <c r="E673" s="907">
        <f>GLOBAL_DER_FEV_2023!E673</f>
        <v>0.2</v>
      </c>
      <c r="F673" s="908">
        <f>GLOBAL_DER_FEV_2023!F673</f>
        <v>6.6600000000000006E-2</v>
      </c>
      <c r="G673" s="949">
        <f>GLOBAL_DER_FEV_2023!G673</f>
        <v>0.19274040000000003</v>
      </c>
      <c r="H673" s="901">
        <f>GLOBAL_DER_FEV_2023!H673</f>
        <v>0</v>
      </c>
      <c r="I673" s="901">
        <f>GLOBAL_DER_FEV_2023!I673</f>
        <v>0.19274040000000003</v>
      </c>
      <c r="J673" s="902">
        <f>GLOBAL_DER_FEV_2023!J673</f>
        <v>0</v>
      </c>
      <c r="K673" s="958" t="s">
        <v>507</v>
      </c>
      <c r="L673" s="959"/>
      <c r="M673" s="1157">
        <f t="shared" si="47"/>
        <v>0</v>
      </c>
      <c r="N673" s="893">
        <f t="shared" si="51"/>
        <v>0</v>
      </c>
      <c r="O673" s="905"/>
      <c r="P673" s="58" t="str">
        <f>IF(N670&gt;0,"xx",IF(N670&gt;0,"xy",""))</f>
        <v/>
      </c>
      <c r="Q673" s="317" t="str">
        <f t="shared" si="48"/>
        <v/>
      </c>
      <c r="R673" s="317" t="str">
        <f t="shared" si="49"/>
        <v/>
      </c>
      <c r="S673" s="317" t="str">
        <f t="shared" si="50"/>
        <v/>
      </c>
      <c r="T673" s="317" t="str">
        <f>GLOBAL_DER_FEV_2023!S673</f>
        <v/>
      </c>
      <c r="W673" s="582">
        <v>0</v>
      </c>
      <c r="X673" s="580"/>
      <c r="Y673" s="583">
        <f>IF(GLOBAL_DER_FEV_2023!W673=0,0,IF(GLOBAL_DER_FEV_2023!W673&gt;0,"c","b"))</f>
        <v>0</v>
      </c>
    </row>
    <row r="674" spans="1:25" ht="13.5" hidden="1" thickBot="1" x14ac:dyDescent="0.25">
      <c r="A674" s="317">
        <v>605000</v>
      </c>
      <c r="B674" s="895" t="s">
        <v>301</v>
      </c>
      <c r="C674" s="896" t="s">
        <v>184</v>
      </c>
      <c r="D674" s="906" t="s">
        <v>517</v>
      </c>
      <c r="E674" s="907">
        <f>GLOBAL_DER_FEV_2023!E674</f>
        <v>0</v>
      </c>
      <c r="F674" s="908">
        <f>GLOBAL_DER_FEV_2023!F674</f>
        <v>0</v>
      </c>
      <c r="G674" s="912">
        <f>GLOBAL_DER_FEV_2023!G674</f>
        <v>0.79394469000000001</v>
      </c>
      <c r="H674" s="901">
        <f>GLOBAL_DER_FEV_2023!H674</f>
        <v>36.58</v>
      </c>
      <c r="I674" s="901">
        <f>GLOBAL_DER_FEV_2023!I674</f>
        <v>37.373944690000002</v>
      </c>
      <c r="J674" s="902">
        <f>GLOBAL_DER_FEV_2023!J674</f>
        <v>44.87</v>
      </c>
      <c r="K674" s="903" t="s">
        <v>12</v>
      </c>
      <c r="L674" s="1137"/>
      <c r="M674" s="1138">
        <f t="shared" si="47"/>
        <v>0</v>
      </c>
      <c r="N674" s="893">
        <f t="shared" si="51"/>
        <v>0</v>
      </c>
      <c r="O674" s="905"/>
      <c r="Q674" s="317" t="str">
        <f t="shared" si="48"/>
        <v/>
      </c>
      <c r="R674" s="317" t="str">
        <f t="shared" si="49"/>
        <v/>
      </c>
      <c r="S674" s="317" t="str">
        <f t="shared" si="50"/>
        <v/>
      </c>
      <c r="T674" s="317" t="str">
        <f>GLOBAL_DER_FEV_2023!S674</f>
        <v/>
      </c>
      <c r="W674" s="582">
        <v>0</v>
      </c>
      <c r="X674" s="580"/>
      <c r="Y674" s="583">
        <f>IF(GLOBAL_DER_FEV_2023!W674=0,0,IF(GLOBAL_DER_FEV_2023!W674&gt;0,"c","b"))</f>
        <v>0</v>
      </c>
    </row>
    <row r="675" spans="1:25" ht="13.5" hidden="1" thickBot="1" x14ac:dyDescent="0.25">
      <c r="A675" s="317" t="s">
        <v>147</v>
      </c>
      <c r="B675" s="895" t="s">
        <v>147</v>
      </c>
      <c r="C675" s="896"/>
      <c r="D675" s="957" t="s">
        <v>190</v>
      </c>
      <c r="E675" s="907">
        <f>GLOBAL_DER_FEV_2023!E675</f>
        <v>308</v>
      </c>
      <c r="F675" s="908">
        <f>GLOBAL_DER_FEV_2023!F675</f>
        <v>1.89E-2</v>
      </c>
      <c r="G675" s="909">
        <f>GLOBAL_DER_FEV_2023!G675</f>
        <v>4.6883340000000002</v>
      </c>
      <c r="H675" s="901">
        <f>GLOBAL_DER_FEV_2023!H675</f>
        <v>0</v>
      </c>
      <c r="I675" s="901">
        <f>GLOBAL_DER_FEV_2023!I675</f>
        <v>4.6883340000000002</v>
      </c>
      <c r="J675" s="902">
        <f>GLOBAL_DER_FEV_2023!J675</f>
        <v>0</v>
      </c>
      <c r="K675" s="958" t="s">
        <v>507</v>
      </c>
      <c r="L675" s="959"/>
      <c r="M675" s="1157">
        <f t="shared" si="47"/>
        <v>0</v>
      </c>
      <c r="N675" s="893">
        <f t="shared" si="51"/>
        <v>0</v>
      </c>
      <c r="O675" s="905"/>
      <c r="P675" s="58" t="str">
        <f>IF(N674&gt;0,"xx",IF(N674&gt;0,"xy",""))</f>
        <v/>
      </c>
      <c r="Q675" s="317" t="str">
        <f t="shared" si="48"/>
        <v/>
      </c>
      <c r="R675" s="317" t="str">
        <f t="shared" si="49"/>
        <v/>
      </c>
      <c r="S675" s="317" t="str">
        <f t="shared" si="50"/>
        <v/>
      </c>
      <c r="T675" s="317" t="str">
        <f>GLOBAL_DER_FEV_2023!S675</f>
        <v/>
      </c>
      <c r="W675" s="582">
        <v>0</v>
      </c>
      <c r="X675" s="580"/>
      <c r="Y675" s="583">
        <f>IF(GLOBAL_DER_FEV_2023!W675=0,0,IF(GLOBAL_DER_FEV_2023!W675&gt;0,"c","b"))</f>
        <v>0</v>
      </c>
    </row>
    <row r="676" spans="1:25" ht="13.5" hidden="1" thickBot="1" x14ac:dyDescent="0.25">
      <c r="A676" s="317" t="s">
        <v>147</v>
      </c>
      <c r="B676" s="895" t="s">
        <v>147</v>
      </c>
      <c r="C676" s="896"/>
      <c r="D676" s="957" t="s">
        <v>229</v>
      </c>
      <c r="E676" s="907">
        <f>GLOBAL_DER_FEV_2023!E676</f>
        <v>150</v>
      </c>
      <c r="F676" s="908">
        <f>GLOBAL_DER_FEV_2023!F676</f>
        <v>6.7199999999999996E-2</v>
      </c>
      <c r="G676" s="949">
        <f>GLOBAL_DER_FEV_2023!G676</f>
        <v>10.965695999999999</v>
      </c>
      <c r="H676" s="901">
        <f>GLOBAL_DER_FEV_2023!H676</f>
        <v>0</v>
      </c>
      <c r="I676" s="901">
        <f>GLOBAL_DER_FEV_2023!I676</f>
        <v>10.965695999999999</v>
      </c>
      <c r="J676" s="902">
        <f>GLOBAL_DER_FEV_2023!J676</f>
        <v>0</v>
      </c>
      <c r="K676" s="958" t="s">
        <v>507</v>
      </c>
      <c r="L676" s="959"/>
      <c r="M676" s="1157">
        <f t="shared" si="47"/>
        <v>0</v>
      </c>
      <c r="N676" s="893">
        <f t="shared" si="51"/>
        <v>0</v>
      </c>
      <c r="O676" s="905"/>
      <c r="P676" s="58" t="str">
        <f>IF(N674&gt;0,"xx",IF(N674&gt;0,"xy",""))</f>
        <v/>
      </c>
      <c r="Q676" s="317" t="str">
        <f t="shared" si="48"/>
        <v/>
      </c>
      <c r="R676" s="317" t="str">
        <f t="shared" si="49"/>
        <v/>
      </c>
      <c r="S676" s="317" t="str">
        <f t="shared" si="50"/>
        <v/>
      </c>
      <c r="T676" s="317" t="str">
        <f>GLOBAL_DER_FEV_2023!S676</f>
        <v/>
      </c>
      <c r="W676" s="582">
        <v>0</v>
      </c>
      <c r="X676" s="580"/>
      <c r="Y676" s="583">
        <f>IF(GLOBAL_DER_FEV_2023!W676=0,0,IF(GLOBAL_DER_FEV_2023!W676&gt;0,"c","b"))</f>
        <v>0</v>
      </c>
    </row>
    <row r="677" spans="1:25" ht="13.5" hidden="1" thickBot="1" x14ac:dyDescent="0.25">
      <c r="A677" s="317" t="s">
        <v>147</v>
      </c>
      <c r="B677" s="895" t="s">
        <v>147</v>
      </c>
      <c r="C677" s="896"/>
      <c r="D677" s="957" t="s">
        <v>233</v>
      </c>
      <c r="E677" s="907">
        <f>GLOBAL_DER_FEV_2023!E677</f>
        <v>0.2</v>
      </c>
      <c r="F677" s="908">
        <f>GLOBAL_DER_FEV_2023!F677</f>
        <v>7.7700000000000005E-2</v>
      </c>
      <c r="G677" s="949">
        <f>GLOBAL_DER_FEV_2023!G677</f>
        <v>0.22486380000000003</v>
      </c>
      <c r="H677" s="901">
        <f>GLOBAL_DER_FEV_2023!H677</f>
        <v>0</v>
      </c>
      <c r="I677" s="901">
        <f>GLOBAL_DER_FEV_2023!I677</f>
        <v>0.22486380000000003</v>
      </c>
      <c r="J677" s="902">
        <f>GLOBAL_DER_FEV_2023!J677</f>
        <v>0</v>
      </c>
      <c r="K677" s="958" t="s">
        <v>507</v>
      </c>
      <c r="L677" s="959"/>
      <c r="M677" s="1157">
        <f t="shared" si="47"/>
        <v>0</v>
      </c>
      <c r="N677" s="893">
        <f t="shared" si="51"/>
        <v>0</v>
      </c>
      <c r="O677" s="905"/>
      <c r="P677" s="58" t="str">
        <f>IF(N674&gt;0,"xx",IF(N674&gt;0,"xy",""))</f>
        <v/>
      </c>
      <c r="Q677" s="317" t="str">
        <f t="shared" si="48"/>
        <v/>
      </c>
      <c r="R677" s="317" t="str">
        <f t="shared" si="49"/>
        <v/>
      </c>
      <c r="S677" s="317" t="str">
        <f t="shared" si="50"/>
        <v/>
      </c>
      <c r="T677" s="317" t="str">
        <f>GLOBAL_DER_FEV_2023!S677</f>
        <v/>
      </c>
      <c r="W677" s="582">
        <v>0</v>
      </c>
      <c r="X677" s="580"/>
      <c r="Y677" s="583">
        <f>IF(GLOBAL_DER_FEV_2023!W677=0,0,IF(GLOBAL_DER_FEV_2023!W677&gt;0,"c","b"))</f>
        <v>0</v>
      </c>
    </row>
    <row r="678" spans="1:25" ht="13.5" hidden="1" thickBot="1" x14ac:dyDescent="0.25">
      <c r="A678" s="317">
        <v>605000</v>
      </c>
      <c r="B678" s="895" t="s">
        <v>1775</v>
      </c>
      <c r="C678" s="896" t="s">
        <v>184</v>
      </c>
      <c r="D678" s="906" t="s">
        <v>526</v>
      </c>
      <c r="E678" s="907">
        <f>GLOBAL_DER_FEV_2023!E678</f>
        <v>0</v>
      </c>
      <c r="F678" s="908">
        <f>GLOBAL_DER_FEV_2023!F678</f>
        <v>0</v>
      </c>
      <c r="G678" s="912">
        <f>GLOBAL_DER_FEV_2023!G678</f>
        <v>0.90736536000000001</v>
      </c>
      <c r="H678" s="901">
        <f>GLOBAL_DER_FEV_2023!H678</f>
        <v>41.44</v>
      </c>
      <c r="I678" s="901">
        <f>GLOBAL_DER_FEV_2023!I678</f>
        <v>42.347365359999998</v>
      </c>
      <c r="J678" s="902">
        <f>GLOBAL_DER_FEV_2023!J678</f>
        <v>50.85</v>
      </c>
      <c r="K678" s="903" t="s">
        <v>12</v>
      </c>
      <c r="L678" s="1137"/>
      <c r="M678" s="1138">
        <f t="shared" si="47"/>
        <v>0</v>
      </c>
      <c r="N678" s="893">
        <f t="shared" si="51"/>
        <v>0</v>
      </c>
      <c r="O678" s="905"/>
      <c r="Q678" s="317" t="str">
        <f t="shared" si="48"/>
        <v/>
      </c>
      <c r="R678" s="317" t="str">
        <f t="shared" si="49"/>
        <v/>
      </c>
      <c r="S678" s="317" t="str">
        <f t="shared" si="50"/>
        <v/>
      </c>
      <c r="T678" s="317" t="str">
        <f>GLOBAL_DER_FEV_2023!S678</f>
        <v/>
      </c>
      <c r="W678" s="582">
        <v>0</v>
      </c>
      <c r="X678" s="580"/>
      <c r="Y678" s="583">
        <f>IF(GLOBAL_DER_FEV_2023!W678=0,0,IF(GLOBAL_DER_FEV_2023!W678&gt;0,"c","b"))</f>
        <v>0</v>
      </c>
    </row>
    <row r="679" spans="1:25" ht="13.5" hidden="1" thickBot="1" x14ac:dyDescent="0.25">
      <c r="A679" s="317" t="s">
        <v>147</v>
      </c>
      <c r="B679" s="895" t="s">
        <v>147</v>
      </c>
      <c r="C679" s="896"/>
      <c r="D679" s="957" t="s">
        <v>190</v>
      </c>
      <c r="E679" s="907">
        <f>GLOBAL_DER_FEV_2023!E679</f>
        <v>308</v>
      </c>
      <c r="F679" s="908">
        <f>GLOBAL_DER_FEV_2023!F679</f>
        <v>2.1600000000000001E-2</v>
      </c>
      <c r="G679" s="909">
        <f>GLOBAL_DER_FEV_2023!G679</f>
        <v>5.3580960000000006</v>
      </c>
      <c r="H679" s="901">
        <f>GLOBAL_DER_FEV_2023!H679</f>
        <v>0</v>
      </c>
      <c r="I679" s="901">
        <f>GLOBAL_DER_FEV_2023!I679</f>
        <v>0</v>
      </c>
      <c r="J679" s="902">
        <f>GLOBAL_DER_FEV_2023!J679</f>
        <v>0</v>
      </c>
      <c r="K679" s="958" t="s">
        <v>507</v>
      </c>
      <c r="L679" s="959"/>
      <c r="M679" s="1157">
        <f t="shared" si="47"/>
        <v>0</v>
      </c>
      <c r="N679" s="893">
        <f t="shared" si="51"/>
        <v>0</v>
      </c>
      <c r="O679" s="905"/>
      <c r="P679" s="58" t="str">
        <f>IF(N678&gt;0,"xx",IF(N678&gt;0,"xy",""))</f>
        <v/>
      </c>
      <c r="Q679" s="317" t="str">
        <f t="shared" si="48"/>
        <v/>
      </c>
      <c r="R679" s="317" t="str">
        <f t="shared" si="49"/>
        <v/>
      </c>
      <c r="S679" s="317" t="str">
        <f t="shared" si="50"/>
        <v/>
      </c>
      <c r="T679" s="317" t="str">
        <f>GLOBAL_DER_FEV_2023!S679</f>
        <v/>
      </c>
      <c r="W679" s="582">
        <v>0</v>
      </c>
      <c r="X679" s="580"/>
      <c r="Y679" s="583">
        <f>IF(GLOBAL_DER_FEV_2023!W679=0,0,IF(GLOBAL_DER_FEV_2023!W679&gt;0,"c","b"))</f>
        <v>0</v>
      </c>
    </row>
    <row r="680" spans="1:25" ht="13.5" hidden="1" thickBot="1" x14ac:dyDescent="0.25">
      <c r="A680" s="317" t="s">
        <v>147</v>
      </c>
      <c r="B680" s="895" t="s">
        <v>147</v>
      </c>
      <c r="C680" s="896"/>
      <c r="D680" s="957" t="s">
        <v>229</v>
      </c>
      <c r="E680" s="907">
        <f>GLOBAL_DER_FEV_2023!E680</f>
        <v>150</v>
      </c>
      <c r="F680" s="908">
        <f>GLOBAL_DER_FEV_2023!F680</f>
        <v>7.6799999999999993E-2</v>
      </c>
      <c r="G680" s="949">
        <f>GLOBAL_DER_FEV_2023!G680</f>
        <v>12.532223999999999</v>
      </c>
      <c r="H680" s="901">
        <f>GLOBAL_DER_FEV_2023!H680</f>
        <v>0</v>
      </c>
      <c r="I680" s="901">
        <f>GLOBAL_DER_FEV_2023!I680</f>
        <v>0</v>
      </c>
      <c r="J680" s="902">
        <f>GLOBAL_DER_FEV_2023!J680</f>
        <v>0</v>
      </c>
      <c r="K680" s="958" t="s">
        <v>507</v>
      </c>
      <c r="L680" s="959"/>
      <c r="M680" s="1157">
        <f t="shared" si="47"/>
        <v>0</v>
      </c>
      <c r="N680" s="893">
        <f t="shared" si="51"/>
        <v>0</v>
      </c>
      <c r="O680" s="905"/>
      <c r="P680" s="58" t="str">
        <f>IF(N678&gt;0,"xx",IF(N678&gt;0,"xy",""))</f>
        <v/>
      </c>
      <c r="Q680" s="317" t="str">
        <f t="shared" si="48"/>
        <v/>
      </c>
      <c r="R680" s="317" t="str">
        <f t="shared" si="49"/>
        <v/>
      </c>
      <c r="S680" s="317" t="str">
        <f t="shared" si="50"/>
        <v/>
      </c>
      <c r="T680" s="317" t="str">
        <f>GLOBAL_DER_FEV_2023!S680</f>
        <v/>
      </c>
      <c r="W680" s="582">
        <v>0</v>
      </c>
      <c r="X680" s="580"/>
      <c r="Y680" s="583">
        <f>IF(GLOBAL_DER_FEV_2023!W680=0,0,IF(GLOBAL_DER_FEV_2023!W680&gt;0,"c","b"))</f>
        <v>0</v>
      </c>
    </row>
    <row r="681" spans="1:25" ht="13.5" hidden="1" thickBot="1" x14ac:dyDescent="0.25">
      <c r="A681" s="317" t="s">
        <v>147</v>
      </c>
      <c r="B681" s="895" t="s">
        <v>147</v>
      </c>
      <c r="C681" s="896"/>
      <c r="D681" s="957" t="s">
        <v>233</v>
      </c>
      <c r="E681" s="907">
        <f>GLOBAL_DER_FEV_2023!E681</f>
        <v>0.2</v>
      </c>
      <c r="F681" s="908">
        <f>GLOBAL_DER_FEV_2023!F681</f>
        <v>8.8800000000000004E-2</v>
      </c>
      <c r="G681" s="949">
        <f>GLOBAL_DER_FEV_2023!G681</f>
        <v>0.25698720000000003</v>
      </c>
      <c r="H681" s="901">
        <f>GLOBAL_DER_FEV_2023!H681</f>
        <v>0</v>
      </c>
      <c r="I681" s="901">
        <f>GLOBAL_DER_FEV_2023!I681</f>
        <v>0</v>
      </c>
      <c r="J681" s="902">
        <f>GLOBAL_DER_FEV_2023!J681</f>
        <v>0</v>
      </c>
      <c r="K681" s="958" t="s">
        <v>507</v>
      </c>
      <c r="L681" s="959"/>
      <c r="M681" s="1157">
        <f t="shared" si="47"/>
        <v>0</v>
      </c>
      <c r="N681" s="893">
        <f t="shared" si="51"/>
        <v>0</v>
      </c>
      <c r="O681" s="905"/>
      <c r="P681" s="58" t="str">
        <f>IF(N678&gt;0,"xx",IF(N678&gt;0,"xy",""))</f>
        <v/>
      </c>
      <c r="Q681" s="317" t="str">
        <f t="shared" si="48"/>
        <v/>
      </c>
      <c r="R681" s="317" t="str">
        <f t="shared" si="49"/>
        <v/>
      </c>
      <c r="S681" s="317" t="str">
        <f t="shared" si="50"/>
        <v/>
      </c>
      <c r="T681" s="317" t="str">
        <f>GLOBAL_DER_FEV_2023!S681</f>
        <v/>
      </c>
      <c r="W681" s="582">
        <v>0</v>
      </c>
      <c r="X681" s="580"/>
      <c r="Y681" s="583">
        <f>IF(GLOBAL_DER_FEV_2023!W681=0,0,IF(GLOBAL_DER_FEV_2023!W681&gt;0,"c","b"))</f>
        <v>0</v>
      </c>
    </row>
    <row r="682" spans="1:25" ht="13.5" hidden="1" thickBot="1" x14ac:dyDescent="0.25">
      <c r="A682" s="317">
        <v>511000</v>
      </c>
      <c r="B682" s="895" t="s">
        <v>1557</v>
      </c>
      <c r="C682" s="896" t="s">
        <v>184</v>
      </c>
      <c r="D682" s="906" t="s">
        <v>268</v>
      </c>
      <c r="E682" s="907">
        <f>GLOBAL_DER_FEV_2023!E682</f>
        <v>0</v>
      </c>
      <c r="F682" s="908">
        <f>GLOBAL_DER_FEV_2023!F682</f>
        <v>0</v>
      </c>
      <c r="G682" s="912">
        <f>GLOBAL_DER_FEV_2023!G682</f>
        <v>0</v>
      </c>
      <c r="H682" s="901">
        <f>GLOBAL_DER_FEV_2023!H682</f>
        <v>4.91</v>
      </c>
      <c r="I682" s="901">
        <f>GLOBAL_DER_FEV_2023!I682</f>
        <v>4.91</v>
      </c>
      <c r="J682" s="902">
        <f>GLOBAL_DER_FEV_2023!J682</f>
        <v>5.9</v>
      </c>
      <c r="K682" s="903" t="s">
        <v>12</v>
      </c>
      <c r="L682" s="1137"/>
      <c r="M682" s="1138">
        <f t="shared" si="47"/>
        <v>0</v>
      </c>
      <c r="N682" s="893">
        <f t="shared" si="51"/>
        <v>0</v>
      </c>
      <c r="O682" s="905"/>
      <c r="Q682" s="317" t="str">
        <f t="shared" si="48"/>
        <v/>
      </c>
      <c r="R682" s="317" t="str">
        <f t="shared" si="49"/>
        <v/>
      </c>
      <c r="S682" s="317" t="str">
        <f t="shared" si="50"/>
        <v/>
      </c>
      <c r="T682" s="317" t="str">
        <f>GLOBAL_DER_FEV_2023!S682</f>
        <v/>
      </c>
      <c r="W682" s="582">
        <v>0</v>
      </c>
      <c r="X682" s="580"/>
      <c r="Y682" s="583">
        <f>IF(GLOBAL_DER_FEV_2023!W682=0,0,IF(GLOBAL_DER_FEV_2023!W682&gt;0,"c","b"))</f>
        <v>0</v>
      </c>
    </row>
    <row r="683" spans="1:25" ht="13.5" hidden="1" thickBot="1" x14ac:dyDescent="0.25">
      <c r="A683" s="317">
        <v>511100</v>
      </c>
      <c r="B683" s="895" t="s">
        <v>1569</v>
      </c>
      <c r="C683" s="896" t="s">
        <v>184</v>
      </c>
      <c r="D683" s="906" t="s">
        <v>269</v>
      </c>
      <c r="E683" s="907">
        <f>GLOBAL_DER_FEV_2023!E683</f>
        <v>0</v>
      </c>
      <c r="F683" s="908">
        <f>GLOBAL_DER_FEV_2023!F683</f>
        <v>0</v>
      </c>
      <c r="G683" s="912">
        <f>GLOBAL_DER_FEV_2023!G683</f>
        <v>0</v>
      </c>
      <c r="H683" s="901">
        <f>GLOBAL_DER_FEV_2023!H683</f>
        <v>4.25</v>
      </c>
      <c r="I683" s="901">
        <f>GLOBAL_DER_FEV_2023!I683</f>
        <v>4.25</v>
      </c>
      <c r="J683" s="902">
        <f>GLOBAL_DER_FEV_2023!J683</f>
        <v>5.0999999999999996</v>
      </c>
      <c r="K683" s="903" t="s">
        <v>12</v>
      </c>
      <c r="L683" s="1137"/>
      <c r="M683" s="1138">
        <f t="shared" si="47"/>
        <v>0</v>
      </c>
      <c r="N683" s="893">
        <f t="shared" si="51"/>
        <v>0</v>
      </c>
      <c r="O683" s="905"/>
      <c r="Q683" s="317" t="str">
        <f t="shared" si="48"/>
        <v/>
      </c>
      <c r="R683" s="317" t="str">
        <f t="shared" si="49"/>
        <v/>
      </c>
      <c r="S683" s="317" t="str">
        <f t="shared" si="50"/>
        <v/>
      </c>
      <c r="T683" s="317" t="str">
        <f>GLOBAL_DER_FEV_2023!S683</f>
        <v/>
      </c>
      <c r="W683" s="582">
        <v>0</v>
      </c>
      <c r="X683" s="580"/>
      <c r="Y683" s="583">
        <f>IF(GLOBAL_DER_FEV_2023!W683=0,0,IF(GLOBAL_DER_FEV_2023!W683&gt;0,"c","b"))</f>
        <v>0</v>
      </c>
    </row>
    <row r="684" spans="1:25" ht="13.5" hidden="1" thickBot="1" x14ac:dyDescent="0.25">
      <c r="A684" s="317">
        <v>520100</v>
      </c>
      <c r="B684" s="895" t="s">
        <v>1560</v>
      </c>
      <c r="C684" s="896" t="s">
        <v>184</v>
      </c>
      <c r="D684" s="906" t="s">
        <v>270</v>
      </c>
      <c r="E684" s="898">
        <f>GLOBAL_DER_FEV_2023!E684</f>
        <v>1</v>
      </c>
      <c r="F684" s="899">
        <f>GLOBAL_DER_FEV_2023!F684</f>
        <v>2.0999999999999996</v>
      </c>
      <c r="G684" s="949">
        <f>GLOBAL_DER_FEV_2023!G684</f>
        <v>7.8749999999999982</v>
      </c>
      <c r="H684" s="954">
        <f>GLOBAL_DER_FEV_2023!H684</f>
        <v>5.45</v>
      </c>
      <c r="I684" s="901">
        <f>GLOBAL_DER_FEV_2023!I684</f>
        <v>13.324999999999999</v>
      </c>
      <c r="J684" s="902">
        <f>GLOBAL_DER_FEV_2023!J684</f>
        <v>16</v>
      </c>
      <c r="K684" s="903" t="s">
        <v>10</v>
      </c>
      <c r="L684" s="1137"/>
      <c r="M684" s="1138">
        <f t="shared" si="47"/>
        <v>0</v>
      </c>
      <c r="N684" s="893">
        <f t="shared" si="51"/>
        <v>0</v>
      </c>
      <c r="O684" s="905"/>
      <c r="Q684" s="317" t="str">
        <f t="shared" si="48"/>
        <v/>
      </c>
      <c r="R684" s="317" t="str">
        <f t="shared" si="49"/>
        <v/>
      </c>
      <c r="S684" s="317" t="str">
        <f t="shared" si="50"/>
        <v/>
      </c>
      <c r="T684" s="317" t="str">
        <f>GLOBAL_DER_FEV_2023!S684</f>
        <v/>
      </c>
      <c r="W684" s="582">
        <v>0</v>
      </c>
      <c r="X684" s="580"/>
      <c r="Y684" s="583">
        <f>IF(GLOBAL_DER_FEV_2023!W684=0,0,IF(GLOBAL_DER_FEV_2023!W684&gt;0,"c","b"))</f>
        <v>0</v>
      </c>
    </row>
    <row r="685" spans="1:25" ht="13.5" hidden="1" thickBot="1" x14ac:dyDescent="0.25">
      <c r="A685" s="317">
        <v>520100</v>
      </c>
      <c r="B685" s="895" t="s">
        <v>1561</v>
      </c>
      <c r="C685" s="896" t="s">
        <v>184</v>
      </c>
      <c r="D685" s="906" t="s">
        <v>271</v>
      </c>
      <c r="E685" s="898">
        <f>GLOBAL_DER_FEV_2023!E685</f>
        <v>10</v>
      </c>
      <c r="F685" s="899">
        <f>GLOBAL_DER_FEV_2023!F685</f>
        <v>2.0999999999999996</v>
      </c>
      <c r="G685" s="949">
        <f>GLOBAL_DER_FEV_2023!G685</f>
        <v>28.097999999999995</v>
      </c>
      <c r="H685" s="954">
        <f>GLOBAL_DER_FEV_2023!H685</f>
        <v>5.45</v>
      </c>
      <c r="I685" s="901">
        <f>GLOBAL_DER_FEV_2023!I685</f>
        <v>33.547999999999995</v>
      </c>
      <c r="J685" s="902">
        <f>GLOBAL_DER_FEV_2023!J685</f>
        <v>40.28</v>
      </c>
      <c r="K685" s="903" t="s">
        <v>10</v>
      </c>
      <c r="L685" s="1137"/>
      <c r="M685" s="1138">
        <f t="shared" si="47"/>
        <v>0</v>
      </c>
      <c r="N685" s="893">
        <f t="shared" si="51"/>
        <v>0</v>
      </c>
      <c r="O685" s="905"/>
      <c r="Q685" s="317" t="str">
        <f t="shared" si="48"/>
        <v/>
      </c>
      <c r="R685" s="317" t="str">
        <f t="shared" si="49"/>
        <v/>
      </c>
      <c r="S685" s="317" t="str">
        <f t="shared" si="50"/>
        <v/>
      </c>
      <c r="T685" s="317" t="str">
        <f>GLOBAL_DER_FEV_2023!S685</f>
        <v/>
      </c>
      <c r="W685" s="582">
        <v>0</v>
      </c>
      <c r="X685" s="580"/>
      <c r="Y685" s="583">
        <f>IF(GLOBAL_DER_FEV_2023!W685=0,0,IF(GLOBAL_DER_FEV_2023!W685&gt;0,"c","b"))</f>
        <v>0</v>
      </c>
    </row>
    <row r="686" spans="1:25" ht="13.5" hidden="1" thickBot="1" x14ac:dyDescent="0.25">
      <c r="A686" s="317">
        <v>533500</v>
      </c>
      <c r="B686" s="895" t="s">
        <v>1551</v>
      </c>
      <c r="C686" s="896" t="s">
        <v>184</v>
      </c>
      <c r="D686" s="906" t="s">
        <v>449</v>
      </c>
      <c r="E686" s="898">
        <f>GLOBAL_DER_FEV_2023!E686</f>
        <v>0</v>
      </c>
      <c r="F686" s="899">
        <f>GLOBAL_DER_FEV_2023!F686</f>
        <v>1.95</v>
      </c>
      <c r="G686" s="949">
        <f>GLOBAL_DER_FEV_2023!G686</f>
        <v>5.226</v>
      </c>
      <c r="H686" s="901">
        <f>GLOBAL_DER_FEV_2023!H686</f>
        <v>25.79</v>
      </c>
      <c r="I686" s="901">
        <f>GLOBAL_DER_FEV_2023!I686</f>
        <v>31.015999999999998</v>
      </c>
      <c r="J686" s="902">
        <f>GLOBAL_DER_FEV_2023!J686</f>
        <v>37.24</v>
      </c>
      <c r="K686" s="903" t="s">
        <v>10</v>
      </c>
      <c r="L686" s="1137"/>
      <c r="M686" s="1138">
        <f t="shared" si="47"/>
        <v>0</v>
      </c>
      <c r="N686" s="893">
        <f t="shared" si="51"/>
        <v>0</v>
      </c>
      <c r="O686" s="905"/>
      <c r="Q686" s="317" t="str">
        <f t="shared" si="48"/>
        <v/>
      </c>
      <c r="R686" s="317" t="str">
        <f t="shared" si="49"/>
        <v/>
      </c>
      <c r="S686" s="317" t="str">
        <f t="shared" si="50"/>
        <v/>
      </c>
      <c r="T686" s="317" t="str">
        <f>GLOBAL_DER_FEV_2023!S686</f>
        <v/>
      </c>
      <c r="W686" s="582">
        <v>0</v>
      </c>
      <c r="X686" s="580"/>
      <c r="Y686" s="583">
        <f>IF(GLOBAL_DER_FEV_2023!W686=0,0,IF(GLOBAL_DER_FEV_2023!W686&gt;0,"c","b"))</f>
        <v>0</v>
      </c>
    </row>
    <row r="687" spans="1:25" ht="13.5" hidden="1" thickBot="1" x14ac:dyDescent="0.25">
      <c r="A687" s="317">
        <v>533100</v>
      </c>
      <c r="B687" s="895" t="s">
        <v>1554</v>
      </c>
      <c r="C687" s="896" t="s">
        <v>184</v>
      </c>
      <c r="D687" s="906" t="s">
        <v>457</v>
      </c>
      <c r="E687" s="898">
        <f>GLOBAL_DER_FEV_2023!E687</f>
        <v>0</v>
      </c>
      <c r="F687" s="899">
        <f>GLOBAL_DER_FEV_2023!F687</f>
        <v>1.98</v>
      </c>
      <c r="G687" s="949">
        <f>GLOBAL_DER_FEV_2023!G687</f>
        <v>5.3064</v>
      </c>
      <c r="H687" s="901">
        <f>GLOBAL_DER_FEV_2023!H687</f>
        <v>30.58</v>
      </c>
      <c r="I687" s="901">
        <f>GLOBAL_DER_FEV_2023!I687</f>
        <v>35.886399999999995</v>
      </c>
      <c r="J687" s="902">
        <f>GLOBAL_DER_FEV_2023!J687</f>
        <v>43.09</v>
      </c>
      <c r="K687" s="903" t="s">
        <v>10</v>
      </c>
      <c r="L687" s="1137"/>
      <c r="M687" s="1138">
        <f t="shared" si="47"/>
        <v>0</v>
      </c>
      <c r="N687" s="893">
        <f t="shared" si="51"/>
        <v>0</v>
      </c>
      <c r="O687" s="905"/>
      <c r="Q687" s="317" t="str">
        <f t="shared" si="48"/>
        <v/>
      </c>
      <c r="R687" s="317" t="str">
        <f t="shared" si="49"/>
        <v/>
      </c>
      <c r="S687" s="317" t="str">
        <f t="shared" si="50"/>
        <v/>
      </c>
      <c r="T687" s="317" t="str">
        <f>GLOBAL_DER_FEV_2023!S687</f>
        <v/>
      </c>
      <c r="W687" s="582">
        <v>0</v>
      </c>
      <c r="X687" s="580"/>
      <c r="Y687" s="583">
        <f>IF(GLOBAL_DER_FEV_2023!W687=0,0,IF(GLOBAL_DER_FEV_2023!W687&gt;0,"c","b"))</f>
        <v>0</v>
      </c>
    </row>
    <row r="688" spans="1:25" ht="13.5" hidden="1" thickBot="1" x14ac:dyDescent="0.25">
      <c r="A688" s="317">
        <v>533100</v>
      </c>
      <c r="B688" s="895" t="s">
        <v>1555</v>
      </c>
      <c r="C688" s="896" t="s">
        <v>184</v>
      </c>
      <c r="D688" s="906" t="s">
        <v>272</v>
      </c>
      <c r="E688" s="898">
        <f>GLOBAL_DER_FEV_2023!E688</f>
        <v>10</v>
      </c>
      <c r="F688" s="899">
        <f>GLOBAL_DER_FEV_2023!F688</f>
        <v>2.1</v>
      </c>
      <c r="G688" s="949">
        <f>GLOBAL_DER_FEV_2023!G688</f>
        <v>28.098000000000003</v>
      </c>
      <c r="H688" s="901">
        <f>GLOBAL_DER_FEV_2023!H688</f>
        <v>30.58</v>
      </c>
      <c r="I688" s="901">
        <f>GLOBAL_DER_FEV_2023!I688</f>
        <v>58.677999999999997</v>
      </c>
      <c r="J688" s="902">
        <f>GLOBAL_DER_FEV_2023!J688</f>
        <v>70.45</v>
      </c>
      <c r="K688" s="903" t="s">
        <v>10</v>
      </c>
      <c r="L688" s="1137"/>
      <c r="M688" s="1138">
        <f t="shared" si="47"/>
        <v>0</v>
      </c>
      <c r="N688" s="893">
        <f t="shared" si="51"/>
        <v>0</v>
      </c>
      <c r="O688" s="905"/>
      <c r="Q688" s="317" t="str">
        <f t="shared" si="48"/>
        <v/>
      </c>
      <c r="R688" s="317" t="str">
        <f t="shared" si="49"/>
        <v/>
      </c>
      <c r="S688" s="317" t="str">
        <f t="shared" si="50"/>
        <v/>
      </c>
      <c r="T688" s="317" t="str">
        <f>GLOBAL_DER_FEV_2023!S688</f>
        <v/>
      </c>
      <c r="W688" s="582">
        <v>0</v>
      </c>
      <c r="X688" s="580"/>
      <c r="Y688" s="583">
        <f>IF(GLOBAL_DER_FEV_2023!W688=0,0,IF(GLOBAL_DER_FEV_2023!W688&gt;0,"c","b"))</f>
        <v>0</v>
      </c>
    </row>
    <row r="689" spans="1:25" ht="13.5" hidden="1" thickBot="1" x14ac:dyDescent="0.25">
      <c r="A689" s="317">
        <v>530200</v>
      </c>
      <c r="B689" s="895" t="s">
        <v>1747</v>
      </c>
      <c r="C689" s="896" t="s">
        <v>184</v>
      </c>
      <c r="D689" s="906" t="s">
        <v>217</v>
      </c>
      <c r="E689" s="898">
        <f>GLOBAL_DER_FEV_2023!E689</f>
        <v>0.2</v>
      </c>
      <c r="F689" s="899">
        <f>GLOBAL_DER_FEV_2023!F689</f>
        <v>2.2000000000000002</v>
      </c>
      <c r="G689" s="949">
        <f>GLOBAL_DER_FEV_2023!G689</f>
        <v>6.3668000000000005</v>
      </c>
      <c r="H689" s="901">
        <f>GLOBAL_DER_FEV_2023!H689</f>
        <v>98.29</v>
      </c>
      <c r="I689" s="901">
        <f>GLOBAL_DER_FEV_2023!I689</f>
        <v>104.6568</v>
      </c>
      <c r="J689" s="902">
        <f>GLOBAL_DER_FEV_2023!J689</f>
        <v>125.66</v>
      </c>
      <c r="K689" s="903" t="s">
        <v>10</v>
      </c>
      <c r="L689" s="1137"/>
      <c r="M689" s="1138">
        <f t="shared" si="47"/>
        <v>0</v>
      </c>
      <c r="N689" s="893">
        <f t="shared" si="51"/>
        <v>0</v>
      </c>
      <c r="O689" s="905"/>
      <c r="Q689" s="317" t="str">
        <f t="shared" si="48"/>
        <v/>
      </c>
      <c r="R689" s="317" t="str">
        <f t="shared" si="49"/>
        <v/>
      </c>
      <c r="S689" s="317" t="str">
        <f t="shared" si="50"/>
        <v/>
      </c>
      <c r="T689" s="317" t="str">
        <f>GLOBAL_DER_FEV_2023!S689</f>
        <v/>
      </c>
      <c r="W689" s="582">
        <v>0</v>
      </c>
      <c r="X689" s="580"/>
      <c r="Y689" s="583">
        <f>IF(GLOBAL_DER_FEV_2023!W689=0,0,IF(GLOBAL_DER_FEV_2023!W689&gt;0,"c","b"))</f>
        <v>0</v>
      </c>
    </row>
    <row r="690" spans="1:25" ht="13.5" hidden="1" thickBot="1" x14ac:dyDescent="0.25">
      <c r="A690" s="317" t="s">
        <v>830</v>
      </c>
      <c r="B690" s="895" t="str">
        <f>GLOBAL_DER_FEV_2023!B690</f>
        <v>PAV-003B</v>
      </c>
      <c r="C690" s="896" t="str">
        <f>GLOBAL_DER_FEV_2023!C690</f>
        <v>PM Curitiba-abr/22</v>
      </c>
      <c r="D690" s="906" t="str">
        <f>GLOBAL_DER_FEV_2023!D690</f>
        <v>Saibro Compactado CBR&gt;=20 (Base ou Sub-Base)</v>
      </c>
      <c r="E690" s="898">
        <f>GLOBAL_DER_FEV_2023!E690</f>
        <v>0</v>
      </c>
      <c r="F690" s="899">
        <f>GLOBAL_DER_FEV_2023!F690</f>
        <v>1.95</v>
      </c>
      <c r="G690" s="949">
        <f>GLOBAL_DER_FEV_2023!G690</f>
        <v>5.226</v>
      </c>
      <c r="H690" s="901">
        <f>GLOBAL_DER_FEV_2023!H690</f>
        <v>81.2</v>
      </c>
      <c r="I690" s="901">
        <f>GLOBAL_DER_FEV_2023!I690</f>
        <v>86.426000000000002</v>
      </c>
      <c r="J690" s="902">
        <f>GLOBAL_DER_FEV_2023!J690</f>
        <v>103.77</v>
      </c>
      <c r="K690" s="903" t="s">
        <v>10</v>
      </c>
      <c r="L690" s="1137"/>
      <c r="M690" s="1138">
        <f t="shared" si="47"/>
        <v>0</v>
      </c>
      <c r="N690" s="893">
        <f t="shared" si="51"/>
        <v>0</v>
      </c>
      <c r="O690" s="905"/>
      <c r="Q690" s="317" t="str">
        <f t="shared" si="48"/>
        <v/>
      </c>
      <c r="R690" s="317" t="str">
        <f t="shared" si="49"/>
        <v/>
      </c>
      <c r="S690" s="317" t="str">
        <f t="shared" si="50"/>
        <v/>
      </c>
      <c r="T690" s="317" t="str">
        <f>GLOBAL_DER_FEV_2023!S690</f>
        <v/>
      </c>
      <c r="W690" s="582">
        <v>0</v>
      </c>
      <c r="X690" s="580"/>
      <c r="Y690" s="583">
        <f>IF(GLOBAL_DER_FEV_2023!W690=0,0,IF(GLOBAL_DER_FEV_2023!W690&gt;0,"c","b"))</f>
        <v>0</v>
      </c>
    </row>
    <row r="691" spans="1:25" ht="13.5" hidden="1" thickBot="1" x14ac:dyDescent="0.25">
      <c r="A691" s="317" t="s">
        <v>831</v>
      </c>
      <c r="B691" s="895" t="str">
        <f>GLOBAL_DER_FEV_2023!B691</f>
        <v>PAV-005B</v>
      </c>
      <c r="C691" s="896" t="str">
        <f>GLOBAL_DER_FEV_2023!C691</f>
        <v>PM Curitiba-abr/22</v>
      </c>
      <c r="D691" s="906" t="str">
        <f>GLOBAL_DER_FEV_2023!D691</f>
        <v>Moledo Compactado CBR&gt;=20(Base ou Sub-Base)</v>
      </c>
      <c r="E691" s="898">
        <f>GLOBAL_DER_FEV_2023!E691</f>
        <v>0</v>
      </c>
      <c r="F691" s="899">
        <f>GLOBAL_DER_FEV_2023!F691</f>
        <v>2.1</v>
      </c>
      <c r="G691" s="949">
        <f>GLOBAL_DER_FEV_2023!G691</f>
        <v>5.628000000000001</v>
      </c>
      <c r="H691" s="901">
        <f>GLOBAL_DER_FEV_2023!H691</f>
        <v>44.92</v>
      </c>
      <c r="I691" s="901">
        <f>GLOBAL_DER_FEV_2023!I691</f>
        <v>50.548000000000002</v>
      </c>
      <c r="J691" s="902">
        <f>GLOBAL_DER_FEV_2023!J691</f>
        <v>60.69</v>
      </c>
      <c r="K691" s="903" t="s">
        <v>10</v>
      </c>
      <c r="L691" s="1137"/>
      <c r="M691" s="1138">
        <f t="shared" si="47"/>
        <v>0</v>
      </c>
      <c r="N691" s="893">
        <f t="shared" si="51"/>
        <v>0</v>
      </c>
      <c r="O691" s="905"/>
      <c r="Q691" s="317" t="str">
        <f t="shared" si="48"/>
        <v/>
      </c>
      <c r="R691" s="317" t="str">
        <f t="shared" si="49"/>
        <v/>
      </c>
      <c r="S691" s="317" t="str">
        <f t="shared" si="50"/>
        <v/>
      </c>
      <c r="T691" s="317" t="str">
        <f>GLOBAL_DER_FEV_2023!S691</f>
        <v/>
      </c>
      <c r="W691" s="582">
        <v>0</v>
      </c>
      <c r="X691" s="580"/>
      <c r="Y691" s="583">
        <f>IF(GLOBAL_DER_FEV_2023!W691=0,0,IF(GLOBAL_DER_FEV_2023!W691&gt;0,"c","b"))</f>
        <v>0</v>
      </c>
    </row>
    <row r="692" spans="1:25" ht="13.5" hidden="1" thickBot="1" x14ac:dyDescent="0.25">
      <c r="A692" s="317">
        <v>530200</v>
      </c>
      <c r="B692" s="895" t="s">
        <v>1748</v>
      </c>
      <c r="C692" s="896" t="s">
        <v>184</v>
      </c>
      <c r="D692" s="906" t="s">
        <v>458</v>
      </c>
      <c r="E692" s="898">
        <f>GLOBAL_DER_FEV_2023!E692</f>
        <v>0.2</v>
      </c>
      <c r="F692" s="899">
        <f>GLOBAL_DER_FEV_2023!F692</f>
        <v>2.2000000000000002</v>
      </c>
      <c r="G692" s="949">
        <f>GLOBAL_DER_FEV_2023!G692</f>
        <v>6.3668000000000005</v>
      </c>
      <c r="H692" s="901">
        <f>GLOBAL_DER_FEV_2023!H692</f>
        <v>98.29</v>
      </c>
      <c r="I692" s="901">
        <f>GLOBAL_DER_FEV_2023!I692</f>
        <v>104.6568</v>
      </c>
      <c r="J692" s="902">
        <f>GLOBAL_DER_FEV_2023!J692</f>
        <v>125.66</v>
      </c>
      <c r="K692" s="903" t="s">
        <v>10</v>
      </c>
      <c r="L692" s="1137"/>
      <c r="M692" s="1138">
        <f t="shared" si="47"/>
        <v>0</v>
      </c>
      <c r="N692" s="893">
        <f t="shared" si="51"/>
        <v>0</v>
      </c>
      <c r="O692" s="905"/>
      <c r="Q692" s="317" t="str">
        <f t="shared" si="48"/>
        <v/>
      </c>
      <c r="R692" s="317" t="str">
        <f t="shared" si="49"/>
        <v/>
      </c>
      <c r="S692" s="317" t="str">
        <f t="shared" si="50"/>
        <v/>
      </c>
      <c r="T692" s="317" t="str">
        <f>GLOBAL_DER_FEV_2023!S692</f>
        <v/>
      </c>
      <c r="W692" s="582">
        <v>0</v>
      </c>
      <c r="X692" s="580"/>
      <c r="Y692" s="583">
        <f>IF(GLOBAL_DER_FEV_2023!W692=0,0,IF(GLOBAL_DER_FEV_2023!W692&gt;0,"c","b"))</f>
        <v>0</v>
      </c>
    </row>
    <row r="693" spans="1:25" ht="13.5" hidden="1" thickBot="1" x14ac:dyDescent="0.25">
      <c r="A693" s="317">
        <v>531000</v>
      </c>
      <c r="B693" s="895" t="s">
        <v>1787</v>
      </c>
      <c r="C693" s="896" t="s">
        <v>184</v>
      </c>
      <c r="D693" s="906" t="s">
        <v>273</v>
      </c>
      <c r="E693" s="907">
        <f>GLOBAL_DER_FEV_2023!E693</f>
        <v>0.2</v>
      </c>
      <c r="F693" s="908">
        <f>GLOBAL_DER_FEV_2023!F693</f>
        <v>2.4</v>
      </c>
      <c r="G693" s="912">
        <f>GLOBAL_DER_FEV_2023!G693</f>
        <v>6.9455999999999998</v>
      </c>
      <c r="H693" s="901">
        <f>GLOBAL_DER_FEV_2023!H693</f>
        <v>132.22999999999999</v>
      </c>
      <c r="I693" s="901">
        <f>GLOBAL_DER_FEV_2023!I693</f>
        <v>139.1756</v>
      </c>
      <c r="J693" s="902">
        <f>GLOBAL_DER_FEV_2023!J693</f>
        <v>167.11</v>
      </c>
      <c r="K693" s="903" t="s">
        <v>10</v>
      </c>
      <c r="L693" s="1137"/>
      <c r="M693" s="1138">
        <f t="shared" si="47"/>
        <v>0</v>
      </c>
      <c r="N693" s="893">
        <f t="shared" si="51"/>
        <v>0</v>
      </c>
      <c r="O693" s="905"/>
      <c r="Q693" s="317" t="str">
        <f t="shared" si="48"/>
        <v/>
      </c>
      <c r="R693" s="317" t="str">
        <f t="shared" si="49"/>
        <v/>
      </c>
      <c r="S693" s="317" t="str">
        <f t="shared" si="50"/>
        <v/>
      </c>
      <c r="T693" s="317" t="str">
        <f>GLOBAL_DER_FEV_2023!S693</f>
        <v/>
      </c>
      <c r="W693" s="582">
        <v>0</v>
      </c>
      <c r="X693" s="580"/>
      <c r="Y693" s="583">
        <f>IF(GLOBAL_DER_FEV_2023!W693=0,0,IF(GLOBAL_DER_FEV_2023!W693&gt;0,"c","b"))</f>
        <v>0</v>
      </c>
    </row>
    <row r="694" spans="1:25" ht="13.5" hidden="1" thickBot="1" x14ac:dyDescent="0.25">
      <c r="A694" s="317">
        <v>560100</v>
      </c>
      <c r="B694" s="971" t="s">
        <v>701</v>
      </c>
      <c r="C694" s="972" t="s">
        <v>184</v>
      </c>
      <c r="D694" s="973" t="s">
        <v>1521</v>
      </c>
      <c r="E694" s="974" t="str">
        <f>GLOBAL_DER_FEV_2023!E694</f>
        <v>taxa RR-1C</v>
      </c>
      <c r="F694" s="975">
        <f>GLOBAL_DER_FEV_2023!F694</f>
        <v>1.1999999999999999E-3</v>
      </c>
      <c r="G694" s="976">
        <f>GLOBAL_DER_FEV_2023!G694</f>
        <v>0</v>
      </c>
      <c r="H694" s="977">
        <f>GLOBAL_DER_FEV_2023!H694</f>
        <v>0.49</v>
      </c>
      <c r="I694" s="977">
        <f>GLOBAL_DER_FEV_2023!I694</f>
        <v>0.49</v>
      </c>
      <c r="J694" s="978">
        <f>GLOBAL_DER_FEV_2023!J694</f>
        <v>0.59</v>
      </c>
      <c r="K694" s="979" t="s">
        <v>12</v>
      </c>
      <c r="L694" s="1152"/>
      <c r="M694" s="1153">
        <f t="shared" si="47"/>
        <v>0</v>
      </c>
      <c r="N694" s="982">
        <f t="shared" si="51"/>
        <v>0</v>
      </c>
      <c r="O694" s="905"/>
      <c r="Q694" s="317" t="str">
        <f t="shared" si="48"/>
        <v/>
      </c>
      <c r="R694" s="317" t="str">
        <f t="shared" si="49"/>
        <v/>
      </c>
      <c r="S694" s="317" t="str">
        <f t="shared" si="50"/>
        <v/>
      </c>
      <c r="T694" s="317" t="str">
        <f>GLOBAL_DER_FEV_2023!S694</f>
        <v/>
      </c>
      <c r="W694" s="582">
        <v>0</v>
      </c>
      <c r="X694" s="580"/>
      <c r="Y694" s="583">
        <f>IF(GLOBAL_DER_FEV_2023!W694=0,0,IF(GLOBAL_DER_FEV_2023!W694&gt;0,"c","b"))</f>
        <v>0</v>
      </c>
    </row>
    <row r="695" spans="1:25" ht="13.5" hidden="1" thickBot="1" x14ac:dyDescent="0.25">
      <c r="A695" s="317">
        <v>589420</v>
      </c>
      <c r="B695" s="983" t="s">
        <v>707</v>
      </c>
      <c r="C695" s="1033" t="s">
        <v>213</v>
      </c>
      <c r="D695" s="985" t="s">
        <v>553</v>
      </c>
      <c r="E695" s="986">
        <f>GLOBAL_DER_FEV_2023!E695</f>
        <v>353</v>
      </c>
      <c r="F695" s="987">
        <f>GLOBAL_DER_FEV_2023!F695</f>
        <v>1</v>
      </c>
      <c r="G695" s="949">
        <f>GLOBAL_DER_FEV_2023!G695</f>
        <v>337.96999999999997</v>
      </c>
      <c r="H695" s="988">
        <f>GLOBAL_DER_FEV_2023!H695</f>
        <v>3861.37</v>
      </c>
      <c r="I695" s="988">
        <f>GLOBAL_DER_FEV_2023!I695</f>
        <v>4045.2968393437163</v>
      </c>
      <c r="J695" s="989">
        <f>GLOBAL_DER_FEV_2023!J695</f>
        <v>4857.1899999999996</v>
      </c>
      <c r="K695" s="990" t="s">
        <v>14</v>
      </c>
      <c r="L695" s="1154">
        <f>ROUND(L694*$F694,2)</f>
        <v>0</v>
      </c>
      <c r="M695" s="1155">
        <f t="shared" si="47"/>
        <v>0</v>
      </c>
      <c r="N695" s="993">
        <f t="shared" si="51"/>
        <v>0</v>
      </c>
      <c r="O695" s="905"/>
      <c r="Q695" s="317" t="str">
        <f t="shared" si="48"/>
        <v/>
      </c>
      <c r="R695" s="317" t="str">
        <f t="shared" si="49"/>
        <v/>
      </c>
      <c r="S695" s="317" t="str">
        <f t="shared" si="50"/>
        <v/>
      </c>
      <c r="T695" s="317" t="str">
        <f>GLOBAL_DER_FEV_2023!S695</f>
        <v/>
      </c>
      <c r="W695" s="582">
        <v>0</v>
      </c>
      <c r="X695" s="580"/>
      <c r="Y695" s="583">
        <f>IF(GLOBAL_DER_FEV_2023!W695=0,0,IF(GLOBAL_DER_FEV_2023!W695&gt;0,"c","b"))</f>
        <v>0</v>
      </c>
    </row>
    <row r="696" spans="1:25" ht="13.5" hidden="1" thickBot="1" x14ac:dyDescent="0.25">
      <c r="A696" s="317">
        <v>560100</v>
      </c>
      <c r="B696" s="971" t="s">
        <v>1604</v>
      </c>
      <c r="C696" s="972" t="s">
        <v>184</v>
      </c>
      <c r="D696" s="973" t="s">
        <v>540</v>
      </c>
      <c r="E696" s="974" t="str">
        <f>GLOBAL_DER_FEV_2023!E696</f>
        <v>taxa RR-1C</v>
      </c>
      <c r="F696" s="975">
        <f>GLOBAL_DER_FEV_2023!F696</f>
        <v>1.1000000000000001E-3</v>
      </c>
      <c r="G696" s="976">
        <f>GLOBAL_DER_FEV_2023!G696</f>
        <v>0</v>
      </c>
      <c r="H696" s="977">
        <f>GLOBAL_DER_FEV_2023!H696</f>
        <v>0.49</v>
      </c>
      <c r="I696" s="977">
        <f>GLOBAL_DER_FEV_2023!I696</f>
        <v>0.49</v>
      </c>
      <c r="J696" s="978">
        <f>GLOBAL_DER_FEV_2023!J696</f>
        <v>0.59</v>
      </c>
      <c r="K696" s="979" t="s">
        <v>12</v>
      </c>
      <c r="L696" s="1152"/>
      <c r="M696" s="1153">
        <f t="shared" si="47"/>
        <v>0</v>
      </c>
      <c r="N696" s="982">
        <f t="shared" si="51"/>
        <v>0</v>
      </c>
      <c r="O696" s="905"/>
      <c r="Q696" s="317" t="str">
        <f t="shared" si="48"/>
        <v/>
      </c>
      <c r="R696" s="317" t="str">
        <f t="shared" si="49"/>
        <v/>
      </c>
      <c r="S696" s="317" t="str">
        <f t="shared" si="50"/>
        <v/>
      </c>
      <c r="T696" s="317" t="str">
        <f>GLOBAL_DER_FEV_2023!S696</f>
        <v/>
      </c>
      <c r="W696" s="582">
        <v>0</v>
      </c>
      <c r="X696" s="580"/>
      <c r="Y696" s="583">
        <f>IF(GLOBAL_DER_FEV_2023!W696=0,0,IF(GLOBAL_DER_FEV_2023!W696&gt;0,"c","b"))</f>
        <v>0</v>
      </c>
    </row>
    <row r="697" spans="1:25" ht="13.5" hidden="1" thickBot="1" x14ac:dyDescent="0.25">
      <c r="A697" s="317">
        <v>589190</v>
      </c>
      <c r="B697" s="983" t="s">
        <v>1698</v>
      </c>
      <c r="C697" s="1033" t="s">
        <v>213</v>
      </c>
      <c r="D697" s="985" t="s">
        <v>554</v>
      </c>
      <c r="E697" s="986">
        <f>GLOBAL_DER_FEV_2023!E697</f>
        <v>45</v>
      </c>
      <c r="F697" s="987">
        <f>GLOBAL_DER_FEV_2023!F697</f>
        <v>1</v>
      </c>
      <c r="G697" s="949">
        <f>GLOBAL_DER_FEV_2023!G697</f>
        <v>79.25</v>
      </c>
      <c r="H697" s="988">
        <f>GLOBAL_DER_FEV_2023!H697</f>
        <v>4730.97</v>
      </c>
      <c r="I697" s="988">
        <f>GLOBAL_DER_FEV_2023!I697</f>
        <v>4621.4855426001504</v>
      </c>
      <c r="J697" s="989">
        <f>GLOBAL_DER_FEV_2023!J697</f>
        <v>5549.02</v>
      </c>
      <c r="K697" s="990" t="s">
        <v>14</v>
      </c>
      <c r="L697" s="1154">
        <f>ROUND(L696*$F696,2)</f>
        <v>0</v>
      </c>
      <c r="M697" s="1155">
        <f t="shared" si="47"/>
        <v>0</v>
      </c>
      <c r="N697" s="993">
        <f t="shared" si="51"/>
        <v>0</v>
      </c>
      <c r="O697" s="905"/>
      <c r="Q697" s="317" t="str">
        <f t="shared" si="48"/>
        <v/>
      </c>
      <c r="R697" s="317" t="str">
        <f t="shared" si="49"/>
        <v/>
      </c>
      <c r="S697" s="317" t="str">
        <f t="shared" si="50"/>
        <v/>
      </c>
      <c r="T697" s="317" t="str">
        <f>GLOBAL_DER_FEV_2023!S697</f>
        <v/>
      </c>
      <c r="W697" s="582">
        <v>0</v>
      </c>
      <c r="X697" s="580"/>
      <c r="Y697" s="583">
        <f>IF(GLOBAL_DER_FEV_2023!W697=0,0,IF(GLOBAL_DER_FEV_2023!W697&gt;0,"c","b"))</f>
        <v>0</v>
      </c>
    </row>
    <row r="698" spans="1:25" ht="13.5" hidden="1" thickBot="1" x14ac:dyDescent="0.25">
      <c r="A698" s="317">
        <v>560400</v>
      </c>
      <c r="B698" s="971" t="s">
        <v>1749</v>
      </c>
      <c r="C698" s="972" t="s">
        <v>184</v>
      </c>
      <c r="D698" s="973" t="s">
        <v>541</v>
      </c>
      <c r="E698" s="974" t="str">
        <f>GLOBAL_DER_FEV_2023!E698</f>
        <v>taxa RR-1C</v>
      </c>
      <c r="F698" s="975">
        <f>GLOBAL_DER_FEV_2023!F698</f>
        <v>1.1999999999999999E-3</v>
      </c>
      <c r="G698" s="976">
        <f>GLOBAL_DER_FEV_2023!G698</f>
        <v>0</v>
      </c>
      <c r="H698" s="977">
        <f>GLOBAL_DER_FEV_2023!H698</f>
        <v>0.49</v>
      </c>
      <c r="I698" s="977">
        <f>GLOBAL_DER_FEV_2023!I698</f>
        <v>0.49</v>
      </c>
      <c r="J698" s="978">
        <f>GLOBAL_DER_FEV_2023!J698</f>
        <v>0.59</v>
      </c>
      <c r="K698" s="979" t="s">
        <v>12</v>
      </c>
      <c r="L698" s="1152"/>
      <c r="M698" s="1153">
        <f t="shared" si="47"/>
        <v>0</v>
      </c>
      <c r="N698" s="982">
        <f t="shared" si="51"/>
        <v>0</v>
      </c>
      <c r="O698" s="905"/>
      <c r="Q698" s="317" t="str">
        <f t="shared" si="48"/>
        <v/>
      </c>
      <c r="R698" s="317" t="str">
        <f t="shared" si="49"/>
        <v/>
      </c>
      <c r="S698" s="317" t="str">
        <f t="shared" si="50"/>
        <v/>
      </c>
      <c r="T698" s="317" t="str">
        <f>GLOBAL_DER_FEV_2023!S698</f>
        <v/>
      </c>
      <c r="W698" s="582">
        <v>0</v>
      </c>
      <c r="X698" s="580"/>
      <c r="Y698" s="583">
        <f>IF(GLOBAL_DER_FEV_2023!W698=0,0,IF(GLOBAL_DER_FEV_2023!W698&gt;0,"c","b"))</f>
        <v>0</v>
      </c>
    </row>
    <row r="699" spans="1:25" ht="13.5" hidden="1" thickBot="1" x14ac:dyDescent="0.25">
      <c r="A699" s="317">
        <v>589100</v>
      </c>
      <c r="B699" s="983" t="s">
        <v>1750</v>
      </c>
      <c r="C699" s="1033" t="s">
        <v>213</v>
      </c>
      <c r="D699" s="985" t="s">
        <v>555</v>
      </c>
      <c r="E699" s="986">
        <f>GLOBAL_DER_FEV_2023!E699</f>
        <v>45</v>
      </c>
      <c r="F699" s="987">
        <f>GLOBAL_DER_FEV_2023!F699</f>
        <v>1</v>
      </c>
      <c r="G699" s="949">
        <f>GLOBAL_DER_FEV_2023!G699</f>
        <v>79.25</v>
      </c>
      <c r="H699" s="988">
        <f>GLOBAL_DER_FEV_2023!H699</f>
        <v>5937.37</v>
      </c>
      <c r="I699" s="988">
        <f>GLOBAL_DER_FEV_2023!I699</f>
        <v>5779.7581502456906</v>
      </c>
      <c r="J699" s="989">
        <f>GLOBAL_DER_FEV_2023!J699</f>
        <v>6939.76</v>
      </c>
      <c r="K699" s="990" t="s">
        <v>14</v>
      </c>
      <c r="L699" s="1154">
        <f>ROUND(L698*$F698,2)</f>
        <v>0</v>
      </c>
      <c r="M699" s="1155">
        <f t="shared" si="47"/>
        <v>0</v>
      </c>
      <c r="N699" s="993">
        <f t="shared" si="51"/>
        <v>0</v>
      </c>
      <c r="O699" s="905"/>
      <c r="Q699" s="317" t="str">
        <f t="shared" si="48"/>
        <v/>
      </c>
      <c r="R699" s="317" t="str">
        <f t="shared" si="49"/>
        <v/>
      </c>
      <c r="S699" s="317" t="str">
        <f t="shared" si="50"/>
        <v/>
      </c>
      <c r="T699" s="317" t="str">
        <f>GLOBAL_DER_FEV_2023!S699</f>
        <v/>
      </c>
      <c r="W699" s="582">
        <v>0</v>
      </c>
      <c r="X699" s="580"/>
      <c r="Y699" s="583">
        <f>IF(GLOBAL_DER_FEV_2023!W699=0,0,IF(GLOBAL_DER_FEV_2023!W699&gt;0,"c","b"))</f>
        <v>0</v>
      </c>
    </row>
    <row r="700" spans="1:25" ht="13.5" hidden="1" thickBot="1" x14ac:dyDescent="0.25">
      <c r="A700" s="317">
        <v>561100</v>
      </c>
      <c r="B700" s="971" t="s">
        <v>1751</v>
      </c>
      <c r="C700" s="972" t="s">
        <v>184</v>
      </c>
      <c r="D700" s="973" t="s">
        <v>542</v>
      </c>
      <c r="E700" s="974" t="str">
        <f>GLOBAL_DER_FEV_2023!E700</f>
        <v>taxa RR-1C</v>
      </c>
      <c r="F700" s="975">
        <f>GLOBAL_DER_FEV_2023!F700</f>
        <v>5.0000000000000001E-4</v>
      </c>
      <c r="G700" s="976">
        <f>GLOBAL_DER_FEV_2023!G700</f>
        <v>0</v>
      </c>
      <c r="H700" s="977">
        <f>GLOBAL_DER_FEV_2023!H700</f>
        <v>0.34</v>
      </c>
      <c r="I700" s="977">
        <f>GLOBAL_DER_FEV_2023!I700</f>
        <v>0.34</v>
      </c>
      <c r="J700" s="978">
        <f>GLOBAL_DER_FEV_2023!J700</f>
        <v>0.41</v>
      </c>
      <c r="K700" s="979" t="s">
        <v>12</v>
      </c>
      <c r="L700" s="1152"/>
      <c r="M700" s="1153">
        <f t="shared" si="47"/>
        <v>0</v>
      </c>
      <c r="N700" s="982">
        <f t="shared" si="51"/>
        <v>0</v>
      </c>
      <c r="O700" s="905"/>
      <c r="Q700" s="317" t="str">
        <f t="shared" si="48"/>
        <v/>
      </c>
      <c r="R700" s="317" t="str">
        <f t="shared" si="49"/>
        <v/>
      </c>
      <c r="S700" s="317" t="str">
        <f t="shared" si="50"/>
        <v/>
      </c>
      <c r="T700" s="317" t="str">
        <f>GLOBAL_DER_FEV_2023!S700</f>
        <v/>
      </c>
      <c r="W700" s="582">
        <v>0</v>
      </c>
      <c r="X700" s="580"/>
      <c r="Y700" s="583">
        <f>IF(GLOBAL_DER_FEV_2023!W700=0,0,IF(GLOBAL_DER_FEV_2023!W700&gt;0,"c","b"))</f>
        <v>0</v>
      </c>
    </row>
    <row r="701" spans="1:25" ht="13.5" hidden="1" thickBot="1" x14ac:dyDescent="0.25">
      <c r="A701" s="317">
        <v>589420</v>
      </c>
      <c r="B701" s="983" t="s">
        <v>1606</v>
      </c>
      <c r="C701" s="1033" t="s">
        <v>213</v>
      </c>
      <c r="D701" s="985" t="s">
        <v>704</v>
      </c>
      <c r="E701" s="986">
        <f>GLOBAL_DER_FEV_2023!E701</f>
        <v>353</v>
      </c>
      <c r="F701" s="994">
        <f>GLOBAL_DER_FEV_2023!F701</f>
        <v>1</v>
      </c>
      <c r="G701" s="949">
        <f>GLOBAL_DER_FEV_2023!G701</f>
        <v>337.96999999999997</v>
      </c>
      <c r="H701" s="988">
        <f>GLOBAL_DER_FEV_2023!H701</f>
        <v>3861.37</v>
      </c>
      <c r="I701" s="988">
        <f>GLOBAL_DER_FEV_2023!I701</f>
        <v>4045.2968393437163</v>
      </c>
      <c r="J701" s="989">
        <f>GLOBAL_DER_FEV_2023!J701</f>
        <v>4857.1899999999996</v>
      </c>
      <c r="K701" s="990" t="s">
        <v>14</v>
      </c>
      <c r="L701" s="1154">
        <f>ROUND(L700*$F700,2)</f>
        <v>0</v>
      </c>
      <c r="M701" s="1155">
        <f t="shared" si="47"/>
        <v>0</v>
      </c>
      <c r="N701" s="993">
        <f t="shared" si="51"/>
        <v>0</v>
      </c>
      <c r="O701" s="905"/>
      <c r="Q701" s="317" t="str">
        <f t="shared" si="48"/>
        <v/>
      </c>
      <c r="R701" s="317" t="str">
        <f t="shared" si="49"/>
        <v/>
      </c>
      <c r="S701" s="317" t="str">
        <f t="shared" si="50"/>
        <v/>
      </c>
      <c r="T701" s="317" t="str">
        <f>GLOBAL_DER_FEV_2023!S701</f>
        <v/>
      </c>
      <c r="W701" s="582">
        <v>0</v>
      </c>
      <c r="X701" s="580"/>
      <c r="Y701" s="583">
        <f>IF(GLOBAL_DER_FEV_2023!W701=0,0,IF(GLOBAL_DER_FEV_2023!W701&gt;0,"c","b"))</f>
        <v>0</v>
      </c>
    </row>
    <row r="702" spans="1:25" ht="13.5" hidden="1" thickBot="1" x14ac:dyDescent="0.25">
      <c r="A702" s="317">
        <v>563100</v>
      </c>
      <c r="B702" s="999" t="s">
        <v>1754</v>
      </c>
      <c r="C702" s="1000" t="s">
        <v>184</v>
      </c>
      <c r="D702" s="973" t="s">
        <v>242</v>
      </c>
      <c r="E702" s="974" t="str">
        <f>GLOBAL_DER_FEV_2023!E702</f>
        <v>taxa RR-2C</v>
      </c>
      <c r="F702" s="975">
        <f>GLOBAL_DER_FEV_2023!F702</f>
        <v>5.0000000000000001E-4</v>
      </c>
      <c r="G702" s="976">
        <f>GLOBAL_DER_FEV_2023!G702</f>
        <v>1.6478E-2</v>
      </c>
      <c r="H702" s="977">
        <f>GLOBAL_DER_FEV_2023!H702</f>
        <v>1.27</v>
      </c>
      <c r="I702" s="977">
        <f>GLOBAL_DER_FEV_2023!I702</f>
        <v>1.286478</v>
      </c>
      <c r="J702" s="978">
        <f>GLOBAL_DER_FEV_2023!J702</f>
        <v>1.54</v>
      </c>
      <c r="K702" s="979" t="s">
        <v>12</v>
      </c>
      <c r="L702" s="1152"/>
      <c r="M702" s="1153">
        <f t="shared" si="47"/>
        <v>0</v>
      </c>
      <c r="N702" s="982">
        <f t="shared" si="51"/>
        <v>0</v>
      </c>
      <c r="O702" s="905"/>
      <c r="Q702" s="317" t="str">
        <f t="shared" si="48"/>
        <v/>
      </c>
      <c r="R702" s="317" t="str">
        <f t="shared" si="49"/>
        <v/>
      </c>
      <c r="S702" s="317" t="str">
        <f t="shared" si="50"/>
        <v/>
      </c>
      <c r="T702" s="317" t="str">
        <f>GLOBAL_DER_FEV_2023!S702</f>
        <v/>
      </c>
      <c r="W702" s="582">
        <v>0</v>
      </c>
      <c r="X702" s="580"/>
      <c r="Y702" s="583">
        <f>IF(GLOBAL_DER_FEV_2023!W702=0,0,IF(GLOBAL_DER_FEV_2023!W702&gt;0,"c","b"))</f>
        <v>0</v>
      </c>
    </row>
    <row r="703" spans="1:25" ht="13.5" hidden="1" thickBot="1" x14ac:dyDescent="0.25">
      <c r="A703" s="317" t="s">
        <v>147</v>
      </c>
      <c r="B703" s="895" t="s">
        <v>147</v>
      </c>
      <c r="C703" s="896"/>
      <c r="D703" s="957" t="s">
        <v>233</v>
      </c>
      <c r="E703" s="898">
        <f>GLOBAL_DER_FEV_2023!E703</f>
        <v>0.2</v>
      </c>
      <c r="F703" s="908">
        <f>GLOBAL_DER_FEV_2023!F703</f>
        <v>7.0000000000000001E-3</v>
      </c>
      <c r="G703" s="949">
        <f>GLOBAL_DER_FEV_2023!G703</f>
        <v>1.6478E-2</v>
      </c>
      <c r="H703" s="901">
        <f>GLOBAL_DER_FEV_2023!H703</f>
        <v>0</v>
      </c>
      <c r="I703" s="901">
        <f>GLOBAL_DER_FEV_2023!I703</f>
        <v>0</v>
      </c>
      <c r="J703" s="902">
        <f>GLOBAL_DER_FEV_2023!J703</f>
        <v>0</v>
      </c>
      <c r="K703" s="958" t="s">
        <v>507</v>
      </c>
      <c r="L703" s="1003"/>
      <c r="M703" s="1157">
        <f t="shared" si="47"/>
        <v>0</v>
      </c>
      <c r="N703" s="893">
        <f t="shared" si="51"/>
        <v>0</v>
      </c>
      <c r="O703" s="905"/>
      <c r="P703" s="58" t="str">
        <f>IF(N702&gt;0,"xx",IF(N702&gt;0,"xy",""))</f>
        <v/>
      </c>
      <c r="Q703" s="317" t="str">
        <f t="shared" si="48"/>
        <v/>
      </c>
      <c r="R703" s="317" t="str">
        <f t="shared" si="49"/>
        <v/>
      </c>
      <c r="S703" s="317" t="str">
        <f t="shared" si="50"/>
        <v/>
      </c>
      <c r="T703" s="317" t="str">
        <f>GLOBAL_DER_FEV_2023!S703</f>
        <v/>
      </c>
      <c r="W703" s="582">
        <v>0</v>
      </c>
      <c r="X703" s="580"/>
      <c r="Y703" s="583">
        <f>IF(GLOBAL_DER_FEV_2023!W703=0,0,IF(GLOBAL_DER_FEV_2023!W703&gt;0,"c","b"))</f>
        <v>0</v>
      </c>
    </row>
    <row r="704" spans="1:25" ht="13.5" hidden="1" thickBot="1" x14ac:dyDescent="0.25">
      <c r="A704" s="317">
        <v>589520</v>
      </c>
      <c r="B704" s="1004" t="s">
        <v>1676</v>
      </c>
      <c r="C704" s="984" t="s">
        <v>213</v>
      </c>
      <c r="D704" s="1012" t="s">
        <v>564</v>
      </c>
      <c r="E704" s="1005">
        <f>GLOBAL_DER_FEV_2023!E704</f>
        <v>353</v>
      </c>
      <c r="F704" s="1006">
        <f>GLOBAL_DER_FEV_2023!F704</f>
        <v>1</v>
      </c>
      <c r="G704" s="949">
        <f>GLOBAL_DER_FEV_2023!G704</f>
        <v>337.96999999999997</v>
      </c>
      <c r="H704" s="988">
        <f>GLOBAL_DER_FEV_2023!H704</f>
        <v>4164.04</v>
      </c>
      <c r="I704" s="988">
        <f>GLOBAL_DER_FEV_2023!I704</f>
        <v>4335.8923053218959</v>
      </c>
      <c r="J704" s="989">
        <f>GLOBAL_DER_FEV_2023!J704</f>
        <v>5206.1099999999997</v>
      </c>
      <c r="K704" s="990" t="s">
        <v>14</v>
      </c>
      <c r="L704" s="1154">
        <f>ROUND(L702*$F702,2)</f>
        <v>0</v>
      </c>
      <c r="M704" s="1168">
        <f t="shared" si="47"/>
        <v>0</v>
      </c>
      <c r="N704" s="993">
        <f t="shared" si="51"/>
        <v>0</v>
      </c>
      <c r="O704" s="905"/>
      <c r="P704" s="58" t="str">
        <f>IF(N702&gt;0,"xx",IF(N702&gt;0,"xy",""))</f>
        <v/>
      </c>
      <c r="Q704" s="317" t="str">
        <f t="shared" si="48"/>
        <v/>
      </c>
      <c r="R704" s="317" t="str">
        <f t="shared" si="49"/>
        <v/>
      </c>
      <c r="S704" s="317" t="str">
        <f t="shared" si="50"/>
        <v/>
      </c>
      <c r="T704" s="317" t="str">
        <f>GLOBAL_DER_FEV_2023!S704</f>
        <v/>
      </c>
      <c r="W704" s="582">
        <v>0</v>
      </c>
      <c r="X704" s="580"/>
      <c r="Y704" s="583">
        <f>IF(GLOBAL_DER_FEV_2023!W704=0,0,IF(GLOBAL_DER_FEV_2023!W704&gt;0,"c","b"))</f>
        <v>0</v>
      </c>
    </row>
    <row r="705" spans="1:25" ht="13.5" hidden="1" thickBot="1" x14ac:dyDescent="0.25">
      <c r="A705" s="317">
        <v>534000</v>
      </c>
      <c r="B705" s="999" t="s">
        <v>1755</v>
      </c>
      <c r="C705" s="1000" t="s">
        <v>184</v>
      </c>
      <c r="D705" s="973" t="s">
        <v>2205</v>
      </c>
      <c r="E705" s="974" t="str">
        <f>GLOBAL_DER_FEV_2023!E705</f>
        <v>taxa RM-2C</v>
      </c>
      <c r="F705" s="975">
        <f>GLOBAL_DER_FEV_2023!F705</f>
        <v>0.08</v>
      </c>
      <c r="G705" s="976">
        <f>GLOBAL_DER_FEV_2023!G705</f>
        <v>63.819280000000013</v>
      </c>
      <c r="H705" s="977">
        <f>GLOBAL_DER_FEV_2023!H705</f>
        <v>141.84</v>
      </c>
      <c r="I705" s="977">
        <f>GLOBAL_DER_FEV_2023!I705</f>
        <v>205.65928000000002</v>
      </c>
      <c r="J705" s="978">
        <f>GLOBAL_DER_FEV_2023!J705</f>
        <v>246.94</v>
      </c>
      <c r="K705" s="979" t="s">
        <v>10</v>
      </c>
      <c r="L705" s="1152"/>
      <c r="M705" s="1153">
        <f t="shared" si="47"/>
        <v>0</v>
      </c>
      <c r="N705" s="982">
        <f t="shared" si="51"/>
        <v>0</v>
      </c>
      <c r="O705" s="905"/>
      <c r="Q705" s="317" t="str">
        <f t="shared" si="48"/>
        <v/>
      </c>
      <c r="R705" s="317" t="str">
        <f t="shared" si="49"/>
        <v/>
      </c>
      <c r="S705" s="317" t="str">
        <f t="shared" si="50"/>
        <v/>
      </c>
      <c r="T705" s="317" t="str">
        <f>GLOBAL_DER_FEV_2023!S705</f>
        <v/>
      </c>
      <c r="W705" s="582">
        <v>0</v>
      </c>
      <c r="X705" s="580"/>
      <c r="Y705" s="583">
        <f>IF(GLOBAL_DER_FEV_2023!W705=0,0,IF(GLOBAL_DER_FEV_2023!W705&gt;0,"c","b"))</f>
        <v>0</v>
      </c>
    </row>
    <row r="706" spans="1:25" ht="13.5" hidden="1" thickBot="1" x14ac:dyDescent="0.25">
      <c r="A706" s="317" t="s">
        <v>147</v>
      </c>
      <c r="B706" s="895" t="s">
        <v>147</v>
      </c>
      <c r="C706" s="896"/>
      <c r="D706" s="957" t="s">
        <v>229</v>
      </c>
      <c r="E706" s="907">
        <f>GLOBAL_DER_FEV_2023!E706</f>
        <v>150</v>
      </c>
      <c r="F706" s="908">
        <f>GLOBAL_DER_FEV_2023!F706</f>
        <v>0</v>
      </c>
      <c r="G706" s="912">
        <f>GLOBAL_DER_FEV_2023!G706</f>
        <v>0</v>
      </c>
      <c r="H706" s="901">
        <f>GLOBAL_DER_FEV_2023!H706</f>
        <v>0</v>
      </c>
      <c r="I706" s="901">
        <f>GLOBAL_DER_FEV_2023!I706</f>
        <v>0</v>
      </c>
      <c r="J706" s="902">
        <f>GLOBAL_DER_FEV_2023!J706</f>
        <v>0</v>
      </c>
      <c r="K706" s="903" t="s">
        <v>507</v>
      </c>
      <c r="L706" s="1158"/>
      <c r="M706" s="1157">
        <f t="shared" si="47"/>
        <v>0</v>
      </c>
      <c r="N706" s="893">
        <f t="shared" si="51"/>
        <v>0</v>
      </c>
      <c r="O706" s="905"/>
      <c r="P706" s="58" t="str">
        <f>IF(N705&gt;0,"xx",IF(N705&gt;0,"xy",""))</f>
        <v/>
      </c>
      <c r="Q706" s="317" t="str">
        <f t="shared" si="48"/>
        <v/>
      </c>
      <c r="R706" s="317" t="str">
        <f t="shared" si="49"/>
        <v/>
      </c>
      <c r="S706" s="317" t="str">
        <f t="shared" si="50"/>
        <v/>
      </c>
      <c r="T706" s="317" t="str">
        <f>GLOBAL_DER_FEV_2023!S706</f>
        <v/>
      </c>
      <c r="W706" s="582">
        <v>0</v>
      </c>
      <c r="X706" s="580"/>
      <c r="Y706" s="583">
        <f>IF(GLOBAL_DER_FEV_2023!W706=0,0,IF(GLOBAL_DER_FEV_2023!W706&gt;0,"c","b"))</f>
        <v>0</v>
      </c>
    </row>
    <row r="707" spans="1:25" ht="13.5" hidden="1" thickBot="1" x14ac:dyDescent="0.25">
      <c r="A707" s="317" t="s">
        <v>147</v>
      </c>
      <c r="B707" s="895" t="s">
        <v>147</v>
      </c>
      <c r="C707" s="896"/>
      <c r="D707" s="957" t="s">
        <v>230</v>
      </c>
      <c r="E707" s="907">
        <f>GLOBAL_DER_FEV_2023!E707</f>
        <v>353</v>
      </c>
      <c r="F707" s="908">
        <f>GLOBAL_DER_FEV_2023!F707</f>
        <v>0</v>
      </c>
      <c r="G707" s="909">
        <f>GLOBAL_DER_FEV_2023!G707</f>
        <v>0</v>
      </c>
      <c r="H707" s="901">
        <f>GLOBAL_DER_FEV_2023!H707</f>
        <v>0</v>
      </c>
      <c r="I707" s="901">
        <f>GLOBAL_DER_FEV_2023!I707</f>
        <v>0</v>
      </c>
      <c r="J707" s="902">
        <f>GLOBAL_DER_FEV_2023!J707</f>
        <v>0</v>
      </c>
      <c r="K707" s="903" t="s">
        <v>507</v>
      </c>
      <c r="L707" s="1003"/>
      <c r="M707" s="1157">
        <f t="shared" si="47"/>
        <v>0</v>
      </c>
      <c r="N707" s="893">
        <f t="shared" si="51"/>
        <v>0</v>
      </c>
      <c r="O707" s="905"/>
      <c r="P707" s="58" t="str">
        <f>IF(N705&gt;0,"xx",IF(N705&gt;0,"xy",""))</f>
        <v/>
      </c>
      <c r="Q707" s="317" t="str">
        <f t="shared" si="48"/>
        <v/>
      </c>
      <c r="R707" s="317" t="str">
        <f t="shared" si="49"/>
        <v/>
      </c>
      <c r="S707" s="317" t="str">
        <f t="shared" si="50"/>
        <v/>
      </c>
      <c r="T707" s="317" t="str">
        <f>GLOBAL_DER_FEV_2023!S707</f>
        <v/>
      </c>
      <c r="W707" s="582">
        <v>0</v>
      </c>
      <c r="X707" s="580"/>
      <c r="Y707" s="583">
        <f>IF(GLOBAL_DER_FEV_2023!W707=0,0,IF(GLOBAL_DER_FEV_2023!W707&gt;0,"c","b"))</f>
        <v>0</v>
      </c>
    </row>
    <row r="708" spans="1:25" ht="13.5" hidden="1" thickBot="1" x14ac:dyDescent="0.25">
      <c r="A708" s="317" t="s">
        <v>147</v>
      </c>
      <c r="B708" s="895" t="s">
        <v>147</v>
      </c>
      <c r="C708" s="896"/>
      <c r="D708" s="957" t="s">
        <v>243</v>
      </c>
      <c r="E708" s="907">
        <f>GLOBAL_DER_FEV_2023!E708</f>
        <v>0.2</v>
      </c>
      <c r="F708" s="908">
        <f>GLOBAL_DER_FEV_2023!F708</f>
        <v>2.12</v>
      </c>
      <c r="G708" s="912">
        <f>GLOBAL_DER_FEV_2023!G708</f>
        <v>6.1352800000000007</v>
      </c>
      <c r="H708" s="901">
        <f>GLOBAL_DER_FEV_2023!H708</f>
        <v>0</v>
      </c>
      <c r="I708" s="901">
        <f>GLOBAL_DER_FEV_2023!I708</f>
        <v>0</v>
      </c>
      <c r="J708" s="902">
        <f>GLOBAL_DER_FEV_2023!J708</f>
        <v>0</v>
      </c>
      <c r="K708" s="903" t="s">
        <v>507</v>
      </c>
      <c r="L708" s="1003"/>
      <c r="M708" s="1157">
        <f t="shared" si="47"/>
        <v>0</v>
      </c>
      <c r="N708" s="893">
        <f t="shared" si="51"/>
        <v>0</v>
      </c>
      <c r="O708" s="905"/>
      <c r="P708" s="58" t="str">
        <f>IF(N705&gt;0,"xx",IF(N705&gt;0,"xy",""))</f>
        <v/>
      </c>
      <c r="Q708" s="317" t="str">
        <f t="shared" si="48"/>
        <v/>
      </c>
      <c r="R708" s="317" t="str">
        <f t="shared" si="49"/>
        <v/>
      </c>
      <c r="S708" s="317" t="str">
        <f t="shared" si="50"/>
        <v/>
      </c>
      <c r="T708" s="317" t="str">
        <f>GLOBAL_DER_FEV_2023!S708</f>
        <v/>
      </c>
      <c r="W708" s="582">
        <v>0</v>
      </c>
      <c r="X708" s="580"/>
      <c r="Y708" s="583">
        <f>IF(GLOBAL_DER_FEV_2023!W708=0,0,IF(GLOBAL_DER_FEV_2023!W708&gt;0,"c","b"))</f>
        <v>0</v>
      </c>
    </row>
    <row r="709" spans="1:25" ht="13.5" hidden="1" thickBot="1" x14ac:dyDescent="0.25">
      <c r="A709" s="317" t="s">
        <v>147</v>
      </c>
      <c r="B709" s="895" t="s">
        <v>147</v>
      </c>
      <c r="C709" s="896"/>
      <c r="D709" s="957" t="s">
        <v>244</v>
      </c>
      <c r="E709" s="907">
        <f>GLOBAL_DER_FEV_2023!E709</f>
        <v>22</v>
      </c>
      <c r="F709" s="908">
        <f>GLOBAL_DER_FEV_2023!F709</f>
        <v>2.2000000000000002</v>
      </c>
      <c r="G709" s="912">
        <f>GLOBAL_DER_FEV_2023!G709</f>
        <v>57.684000000000012</v>
      </c>
      <c r="H709" s="901">
        <f>GLOBAL_DER_FEV_2023!H709</f>
        <v>0</v>
      </c>
      <c r="I709" s="901">
        <f>GLOBAL_DER_FEV_2023!I709</f>
        <v>0</v>
      </c>
      <c r="J709" s="902">
        <f>GLOBAL_DER_FEV_2023!J709</f>
        <v>0</v>
      </c>
      <c r="K709" s="903" t="s">
        <v>507</v>
      </c>
      <c r="L709" s="1003"/>
      <c r="M709" s="1157">
        <f t="shared" si="47"/>
        <v>0</v>
      </c>
      <c r="N709" s="893">
        <f t="shared" si="51"/>
        <v>0</v>
      </c>
      <c r="O709" s="905"/>
      <c r="P709" s="58" t="str">
        <f>IF(N705&gt;0,"xx",IF(N705&gt;0,"xy",""))</f>
        <v/>
      </c>
      <c r="Q709" s="317" t="str">
        <f t="shared" si="48"/>
        <v/>
      </c>
      <c r="R709" s="317" t="str">
        <f t="shared" si="49"/>
        <v/>
      </c>
      <c r="S709" s="317" t="str">
        <f t="shared" si="50"/>
        <v/>
      </c>
      <c r="T709" s="317" t="str">
        <f>GLOBAL_DER_FEV_2023!S709</f>
        <v/>
      </c>
      <c r="W709" s="582">
        <v>0</v>
      </c>
      <c r="X709" s="580"/>
      <c r="Y709" s="583">
        <f>IF(GLOBAL_DER_FEV_2023!W709=0,0,IF(GLOBAL_DER_FEV_2023!W709&gt;0,"c","b"))</f>
        <v>0</v>
      </c>
    </row>
    <row r="710" spans="1:25" ht="13.5" hidden="1" thickBot="1" x14ac:dyDescent="0.25">
      <c r="A710" s="317">
        <v>589320</v>
      </c>
      <c r="B710" s="1004" t="s">
        <v>1689</v>
      </c>
      <c r="C710" s="984" t="s">
        <v>213</v>
      </c>
      <c r="D710" s="1012" t="s">
        <v>699</v>
      </c>
      <c r="E710" s="1005">
        <f>GLOBAL_DER_FEV_2023!E710</f>
        <v>45</v>
      </c>
      <c r="F710" s="1006">
        <f>GLOBAL_DER_FEV_2023!F710</f>
        <v>1</v>
      </c>
      <c r="G710" s="949">
        <f>GLOBAL_DER_FEV_2023!G710</f>
        <v>79.25</v>
      </c>
      <c r="H710" s="988">
        <f>GLOBAL_DER_FEV_2023!H710</f>
        <v>4012.83</v>
      </c>
      <c r="I710" s="988">
        <f>GLOBAL_DER_FEV_2023!I710</f>
        <v>3931.9945856583668</v>
      </c>
      <c r="J710" s="989">
        <f>GLOBAL_DER_FEV_2023!J710</f>
        <v>4721.1499999999996</v>
      </c>
      <c r="K710" s="990" t="s">
        <v>14</v>
      </c>
      <c r="L710" s="1169">
        <f>ROUND(L705*$F705,2)</f>
        <v>0</v>
      </c>
      <c r="M710" s="1168">
        <f t="shared" si="47"/>
        <v>0</v>
      </c>
      <c r="N710" s="993">
        <f t="shared" si="51"/>
        <v>0</v>
      </c>
      <c r="O710" s="905"/>
      <c r="P710" s="58" t="str">
        <f>IF(N705&gt;0,"xx",IF(N705&gt;0,"xy",""))</f>
        <v/>
      </c>
      <c r="Q710" s="317" t="str">
        <f t="shared" si="48"/>
        <v/>
      </c>
      <c r="R710" s="317" t="str">
        <f t="shared" si="49"/>
        <v/>
      </c>
      <c r="S710" s="317" t="str">
        <f t="shared" si="50"/>
        <v/>
      </c>
      <c r="T710" s="317" t="str">
        <f>GLOBAL_DER_FEV_2023!S710</f>
        <v/>
      </c>
      <c r="W710" s="582">
        <v>0</v>
      </c>
      <c r="X710" s="580"/>
      <c r="Y710" s="583">
        <f>IF(GLOBAL_DER_FEV_2023!W710=0,0,IF(GLOBAL_DER_FEV_2023!W710&gt;0,"c","b"))</f>
        <v>0</v>
      </c>
    </row>
    <row r="711" spans="1:25" ht="13.5" hidden="1" thickBot="1" x14ac:dyDescent="0.25">
      <c r="A711" s="317">
        <v>534000</v>
      </c>
      <c r="B711" s="999" t="s">
        <v>1756</v>
      </c>
      <c r="C711" s="1000" t="s">
        <v>184</v>
      </c>
      <c r="D711" s="973" t="s">
        <v>2206</v>
      </c>
      <c r="E711" s="974" t="str">
        <f>GLOBAL_DER_FEV_2023!E711</f>
        <v>taxa RM-2C</v>
      </c>
      <c r="F711" s="975">
        <f>GLOBAL_DER_FEV_2023!F711</f>
        <v>0.08</v>
      </c>
      <c r="G711" s="976">
        <f>GLOBAL_DER_FEV_2023!G711</f>
        <v>63.819280000000013</v>
      </c>
      <c r="H711" s="977">
        <f>GLOBAL_DER_FEV_2023!H711</f>
        <v>141.84</v>
      </c>
      <c r="I711" s="977">
        <f>GLOBAL_DER_FEV_2023!I711</f>
        <v>205.65928000000002</v>
      </c>
      <c r="J711" s="978">
        <f>GLOBAL_DER_FEV_2023!J711</f>
        <v>246.94</v>
      </c>
      <c r="K711" s="979" t="s">
        <v>10</v>
      </c>
      <c r="L711" s="1152"/>
      <c r="M711" s="1153">
        <f t="shared" si="47"/>
        <v>0</v>
      </c>
      <c r="N711" s="982">
        <f t="shared" si="51"/>
        <v>0</v>
      </c>
      <c r="O711" s="905"/>
      <c r="Q711" s="317" t="str">
        <f t="shared" si="48"/>
        <v/>
      </c>
      <c r="R711" s="317" t="str">
        <f t="shared" si="49"/>
        <v/>
      </c>
      <c r="S711" s="317" t="str">
        <f t="shared" si="50"/>
        <v/>
      </c>
      <c r="T711" s="317" t="str">
        <f>GLOBAL_DER_FEV_2023!S711</f>
        <v/>
      </c>
      <c r="W711" s="582">
        <v>0</v>
      </c>
      <c r="X711" s="580"/>
      <c r="Y711" s="583">
        <f>IF(GLOBAL_DER_FEV_2023!W711=0,0,IF(GLOBAL_DER_FEV_2023!W711&gt;0,"c","b"))</f>
        <v>0</v>
      </c>
    </row>
    <row r="712" spans="1:25" ht="13.5" hidden="1" thickBot="1" x14ac:dyDescent="0.25">
      <c r="A712" s="317" t="s">
        <v>147</v>
      </c>
      <c r="B712" s="895" t="s">
        <v>147</v>
      </c>
      <c r="C712" s="896"/>
      <c r="D712" s="957" t="s">
        <v>229</v>
      </c>
      <c r="E712" s="907">
        <f>GLOBAL_DER_FEV_2023!E712</f>
        <v>150</v>
      </c>
      <c r="F712" s="908">
        <f>GLOBAL_DER_FEV_2023!F712</f>
        <v>0</v>
      </c>
      <c r="G712" s="912">
        <f>GLOBAL_DER_FEV_2023!G712</f>
        <v>0</v>
      </c>
      <c r="H712" s="901">
        <f>GLOBAL_DER_FEV_2023!H712</f>
        <v>0</v>
      </c>
      <c r="I712" s="901">
        <f>GLOBAL_DER_FEV_2023!I712</f>
        <v>0</v>
      </c>
      <c r="J712" s="902">
        <f>GLOBAL_DER_FEV_2023!J712</f>
        <v>0</v>
      </c>
      <c r="K712" s="903" t="s">
        <v>507</v>
      </c>
      <c r="L712" s="1003"/>
      <c r="M712" s="1157">
        <f t="shared" si="47"/>
        <v>0</v>
      </c>
      <c r="N712" s="893">
        <f t="shared" si="51"/>
        <v>0</v>
      </c>
      <c r="O712" s="905"/>
      <c r="P712" s="58" t="str">
        <f>IF(N711&gt;0,"xx",IF(N711&gt;0,"xy",""))</f>
        <v/>
      </c>
      <c r="Q712" s="317" t="str">
        <f t="shared" si="48"/>
        <v/>
      </c>
      <c r="R712" s="317" t="str">
        <f t="shared" si="49"/>
        <v/>
      </c>
      <c r="S712" s="317" t="str">
        <f t="shared" si="50"/>
        <v/>
      </c>
      <c r="T712" s="317" t="str">
        <f>GLOBAL_DER_FEV_2023!S712</f>
        <v/>
      </c>
      <c r="W712" s="582">
        <v>0</v>
      </c>
      <c r="X712" s="580"/>
      <c r="Y712" s="583">
        <f>IF(GLOBAL_DER_FEV_2023!W712=0,0,IF(GLOBAL_DER_FEV_2023!W712&gt;0,"c","b"))</f>
        <v>0</v>
      </c>
    </row>
    <row r="713" spans="1:25" ht="13.5" hidden="1" thickBot="1" x14ac:dyDescent="0.25">
      <c r="A713" s="317" t="s">
        <v>147</v>
      </c>
      <c r="B713" s="895" t="s">
        <v>147</v>
      </c>
      <c r="C713" s="896"/>
      <c r="D713" s="957" t="s">
        <v>230</v>
      </c>
      <c r="E713" s="907">
        <f>GLOBAL_DER_FEV_2023!E713</f>
        <v>353</v>
      </c>
      <c r="F713" s="908">
        <f>GLOBAL_DER_FEV_2023!F713</f>
        <v>0</v>
      </c>
      <c r="G713" s="909">
        <f>GLOBAL_DER_FEV_2023!G713</f>
        <v>0</v>
      </c>
      <c r="H713" s="901">
        <f>GLOBAL_DER_FEV_2023!H713</f>
        <v>0</v>
      </c>
      <c r="I713" s="901">
        <f>GLOBAL_DER_FEV_2023!I713</f>
        <v>0</v>
      </c>
      <c r="J713" s="902">
        <f>GLOBAL_DER_FEV_2023!J713</f>
        <v>0</v>
      </c>
      <c r="K713" s="903" t="s">
        <v>507</v>
      </c>
      <c r="L713" s="1003"/>
      <c r="M713" s="1157">
        <f t="shared" si="47"/>
        <v>0</v>
      </c>
      <c r="N713" s="893">
        <f t="shared" si="51"/>
        <v>0</v>
      </c>
      <c r="O713" s="905"/>
      <c r="P713" s="58" t="str">
        <f>IF(N711&gt;0,"xx",IF(N711&gt;0,"xy",""))</f>
        <v/>
      </c>
      <c r="Q713" s="317" t="str">
        <f t="shared" si="48"/>
        <v/>
      </c>
      <c r="R713" s="317" t="str">
        <f t="shared" si="49"/>
        <v/>
      </c>
      <c r="S713" s="317" t="str">
        <f t="shared" si="50"/>
        <v/>
      </c>
      <c r="T713" s="317" t="str">
        <f>GLOBAL_DER_FEV_2023!S713</f>
        <v/>
      </c>
      <c r="W713" s="582">
        <v>0</v>
      </c>
      <c r="X713" s="580"/>
      <c r="Y713" s="583">
        <f>IF(GLOBAL_DER_FEV_2023!W713=0,0,IF(GLOBAL_DER_FEV_2023!W713&gt;0,"c","b"))</f>
        <v>0</v>
      </c>
    </row>
    <row r="714" spans="1:25" ht="13.5" hidden="1" thickBot="1" x14ac:dyDescent="0.25">
      <c r="A714" s="317" t="s">
        <v>147</v>
      </c>
      <c r="B714" s="895" t="s">
        <v>147</v>
      </c>
      <c r="C714" s="896"/>
      <c r="D714" s="957" t="s">
        <v>243</v>
      </c>
      <c r="E714" s="907">
        <f>GLOBAL_DER_FEV_2023!E714</f>
        <v>0.2</v>
      </c>
      <c r="F714" s="908">
        <f>GLOBAL_DER_FEV_2023!F714</f>
        <v>2.12</v>
      </c>
      <c r="G714" s="912">
        <f>GLOBAL_DER_FEV_2023!G714</f>
        <v>6.1352800000000007</v>
      </c>
      <c r="H714" s="901">
        <f>GLOBAL_DER_FEV_2023!H714</f>
        <v>0</v>
      </c>
      <c r="I714" s="901">
        <f>GLOBAL_DER_FEV_2023!I714</f>
        <v>0</v>
      </c>
      <c r="J714" s="902">
        <f>GLOBAL_DER_FEV_2023!J714</f>
        <v>0</v>
      </c>
      <c r="K714" s="903" t="s">
        <v>507</v>
      </c>
      <c r="L714" s="1003"/>
      <c r="M714" s="1157">
        <f t="shared" si="47"/>
        <v>0</v>
      </c>
      <c r="N714" s="893">
        <f t="shared" si="51"/>
        <v>0</v>
      </c>
      <c r="O714" s="905"/>
      <c r="P714" s="58" t="str">
        <f>IF(N711&gt;0,"xx",IF(N711&gt;0,"xy",""))</f>
        <v/>
      </c>
      <c r="Q714" s="317" t="str">
        <f t="shared" si="48"/>
        <v/>
      </c>
      <c r="R714" s="317" t="str">
        <f t="shared" si="49"/>
        <v/>
      </c>
      <c r="S714" s="317" t="str">
        <f t="shared" si="50"/>
        <v/>
      </c>
      <c r="T714" s="317" t="str">
        <f>GLOBAL_DER_FEV_2023!S714</f>
        <v/>
      </c>
      <c r="W714" s="582">
        <v>0</v>
      </c>
      <c r="X714" s="580"/>
      <c r="Y714" s="583">
        <f>IF(GLOBAL_DER_FEV_2023!W714=0,0,IF(GLOBAL_DER_FEV_2023!W714&gt;0,"c","b"))</f>
        <v>0</v>
      </c>
    </row>
    <row r="715" spans="1:25" ht="13.5" hidden="1" thickBot="1" x14ac:dyDescent="0.25">
      <c r="A715" s="317" t="s">
        <v>147</v>
      </c>
      <c r="B715" s="895" t="s">
        <v>147</v>
      </c>
      <c r="C715" s="896"/>
      <c r="D715" s="957" t="s">
        <v>244</v>
      </c>
      <c r="E715" s="907">
        <f>GLOBAL_DER_FEV_2023!E715</f>
        <v>22</v>
      </c>
      <c r="F715" s="908">
        <f>GLOBAL_DER_FEV_2023!F715</f>
        <v>2.2000000000000002</v>
      </c>
      <c r="G715" s="912">
        <f>GLOBAL_DER_FEV_2023!G715</f>
        <v>57.684000000000012</v>
      </c>
      <c r="H715" s="901">
        <f>GLOBAL_DER_FEV_2023!H715</f>
        <v>0</v>
      </c>
      <c r="I715" s="901">
        <f>GLOBAL_DER_FEV_2023!I715</f>
        <v>0</v>
      </c>
      <c r="J715" s="902">
        <f>GLOBAL_DER_FEV_2023!J715</f>
        <v>0</v>
      </c>
      <c r="K715" s="903" t="s">
        <v>507</v>
      </c>
      <c r="L715" s="1003"/>
      <c r="M715" s="1157">
        <f t="shared" si="47"/>
        <v>0</v>
      </c>
      <c r="N715" s="893">
        <f t="shared" si="51"/>
        <v>0</v>
      </c>
      <c r="O715" s="905"/>
      <c r="P715" s="58" t="str">
        <f>IF(N711&gt;0,"xx",IF(N711&gt;0,"xy",""))</f>
        <v/>
      </c>
      <c r="Q715" s="317" t="str">
        <f t="shared" si="48"/>
        <v/>
      </c>
      <c r="R715" s="317" t="str">
        <f t="shared" si="49"/>
        <v/>
      </c>
      <c r="S715" s="317" t="str">
        <f t="shared" si="50"/>
        <v/>
      </c>
      <c r="T715" s="317" t="str">
        <f>GLOBAL_DER_FEV_2023!S715</f>
        <v/>
      </c>
      <c r="W715" s="582">
        <v>0</v>
      </c>
      <c r="X715" s="580"/>
      <c r="Y715" s="583">
        <f>IF(GLOBAL_DER_FEV_2023!W715=0,0,IF(GLOBAL_DER_FEV_2023!W715&gt;0,"c","b"))</f>
        <v>0</v>
      </c>
    </row>
    <row r="716" spans="1:25" ht="13.5" hidden="1" thickBot="1" x14ac:dyDescent="0.25">
      <c r="A716" s="317">
        <v>589320</v>
      </c>
      <c r="B716" s="1004" t="s">
        <v>1690</v>
      </c>
      <c r="C716" s="984" t="s">
        <v>213</v>
      </c>
      <c r="D716" s="1012" t="s">
        <v>699</v>
      </c>
      <c r="E716" s="1005">
        <f>GLOBAL_DER_FEV_2023!E716</f>
        <v>45</v>
      </c>
      <c r="F716" s="1006">
        <f>GLOBAL_DER_FEV_2023!F716</f>
        <v>1</v>
      </c>
      <c r="G716" s="949">
        <f>GLOBAL_DER_FEV_2023!G716</f>
        <v>79.25</v>
      </c>
      <c r="H716" s="988">
        <f>GLOBAL_DER_FEV_2023!H716</f>
        <v>4012.83</v>
      </c>
      <c r="I716" s="988">
        <f>GLOBAL_DER_FEV_2023!I716</f>
        <v>3931.9945856583668</v>
      </c>
      <c r="J716" s="989">
        <f>GLOBAL_DER_FEV_2023!J716</f>
        <v>4721.1499999999996</v>
      </c>
      <c r="K716" s="990" t="s">
        <v>14</v>
      </c>
      <c r="L716" s="1169">
        <f>ROUND(L711*$F711,2)</f>
        <v>0</v>
      </c>
      <c r="M716" s="1168">
        <f t="shared" si="47"/>
        <v>0</v>
      </c>
      <c r="N716" s="993">
        <f t="shared" si="51"/>
        <v>0</v>
      </c>
      <c r="O716" s="905"/>
      <c r="P716" s="58" t="str">
        <f>IF(N711&gt;0,"xx",IF(N711&gt;0,"xy",""))</f>
        <v/>
      </c>
      <c r="Q716" s="317" t="str">
        <f t="shared" si="48"/>
        <v/>
      </c>
      <c r="R716" s="317" t="str">
        <f t="shared" si="49"/>
        <v/>
      </c>
      <c r="S716" s="317" t="str">
        <f t="shared" si="50"/>
        <v/>
      </c>
      <c r="T716" s="317" t="str">
        <f>GLOBAL_DER_FEV_2023!S716</f>
        <v/>
      </c>
      <c r="W716" s="582">
        <v>0</v>
      </c>
      <c r="X716" s="580"/>
      <c r="Y716" s="583">
        <f>IF(GLOBAL_DER_FEV_2023!W716=0,0,IF(GLOBAL_DER_FEV_2023!W716&gt;0,"c","b"))</f>
        <v>0</v>
      </c>
    </row>
    <row r="717" spans="1:25" ht="13.5" hidden="1" thickBot="1" x14ac:dyDescent="0.25">
      <c r="A717" s="317">
        <v>534000</v>
      </c>
      <c r="B717" s="999" t="s">
        <v>1757</v>
      </c>
      <c r="C717" s="1000" t="s">
        <v>184</v>
      </c>
      <c r="D717" s="973" t="s">
        <v>2207</v>
      </c>
      <c r="E717" s="974" t="str">
        <f>GLOBAL_DER_FEV_2023!E717</f>
        <v>taxa RM-2C</v>
      </c>
      <c r="F717" s="975">
        <f>GLOBAL_DER_FEV_2023!F717</f>
        <v>0.08</v>
      </c>
      <c r="G717" s="976">
        <f>GLOBAL_DER_FEV_2023!G717</f>
        <v>63.819280000000013</v>
      </c>
      <c r="H717" s="977">
        <f>GLOBAL_DER_FEV_2023!H717</f>
        <v>141.84</v>
      </c>
      <c r="I717" s="977">
        <f>GLOBAL_DER_FEV_2023!I717</f>
        <v>205.65928000000002</v>
      </c>
      <c r="J717" s="978">
        <f>GLOBAL_DER_FEV_2023!J717</f>
        <v>246.94</v>
      </c>
      <c r="K717" s="979" t="s">
        <v>10</v>
      </c>
      <c r="L717" s="1152"/>
      <c r="M717" s="1153">
        <f t="shared" si="47"/>
        <v>0</v>
      </c>
      <c r="N717" s="982">
        <f t="shared" si="51"/>
        <v>0</v>
      </c>
      <c r="O717" s="905"/>
      <c r="Q717" s="317" t="str">
        <f t="shared" si="48"/>
        <v/>
      </c>
      <c r="R717" s="317" t="str">
        <f t="shared" si="49"/>
        <v/>
      </c>
      <c r="S717" s="317" t="str">
        <f t="shared" si="50"/>
        <v/>
      </c>
      <c r="T717" s="317" t="str">
        <f>GLOBAL_DER_FEV_2023!S717</f>
        <v/>
      </c>
      <c r="W717" s="582">
        <v>0</v>
      </c>
      <c r="X717" s="580"/>
      <c r="Y717" s="583">
        <f>IF(GLOBAL_DER_FEV_2023!W717=0,0,IF(GLOBAL_DER_FEV_2023!W717&gt;0,"c","b"))</f>
        <v>0</v>
      </c>
    </row>
    <row r="718" spans="1:25" ht="13.5" hidden="1" thickBot="1" x14ac:dyDescent="0.25">
      <c r="A718" s="317" t="s">
        <v>147</v>
      </c>
      <c r="B718" s="895" t="s">
        <v>147</v>
      </c>
      <c r="C718" s="896"/>
      <c r="D718" s="957" t="s">
        <v>229</v>
      </c>
      <c r="E718" s="907">
        <f>GLOBAL_DER_FEV_2023!E718</f>
        <v>150</v>
      </c>
      <c r="F718" s="908">
        <f>GLOBAL_DER_FEV_2023!F718</f>
        <v>0</v>
      </c>
      <c r="G718" s="912">
        <f>GLOBAL_DER_FEV_2023!G718</f>
        <v>0</v>
      </c>
      <c r="H718" s="901">
        <f>GLOBAL_DER_FEV_2023!H718</f>
        <v>0</v>
      </c>
      <c r="I718" s="901">
        <f>GLOBAL_DER_FEV_2023!I718</f>
        <v>0</v>
      </c>
      <c r="J718" s="902">
        <f>GLOBAL_DER_FEV_2023!J718</f>
        <v>0</v>
      </c>
      <c r="K718" s="903" t="s">
        <v>507</v>
      </c>
      <c r="L718" s="1003"/>
      <c r="M718" s="1157">
        <f t="shared" ref="M718:M793" si="52">IF(L718=0,0,ROUND(J718,2))</f>
        <v>0</v>
      </c>
      <c r="N718" s="893">
        <f t="shared" si="51"/>
        <v>0</v>
      </c>
      <c r="O718" s="905"/>
      <c r="P718" s="58" t="str">
        <f>IF(N717&gt;0,"xx",IF(N717&gt;0,"xy",""))</f>
        <v/>
      </c>
      <c r="Q718" s="317" t="str">
        <f t="shared" si="48"/>
        <v/>
      </c>
      <c r="R718" s="317" t="str">
        <f t="shared" si="49"/>
        <v/>
      </c>
      <c r="S718" s="317" t="str">
        <f t="shared" si="50"/>
        <v/>
      </c>
      <c r="T718" s="317" t="str">
        <f>GLOBAL_DER_FEV_2023!S718</f>
        <v/>
      </c>
      <c r="W718" s="582">
        <v>0</v>
      </c>
      <c r="X718" s="580"/>
      <c r="Y718" s="583">
        <f>IF(GLOBAL_DER_FEV_2023!W718=0,0,IF(GLOBAL_DER_FEV_2023!W718&gt;0,"c","b"))</f>
        <v>0</v>
      </c>
    </row>
    <row r="719" spans="1:25" ht="13.5" hidden="1" thickBot="1" x14ac:dyDescent="0.25">
      <c r="A719" s="317" t="s">
        <v>147</v>
      </c>
      <c r="B719" s="895" t="s">
        <v>147</v>
      </c>
      <c r="C719" s="896"/>
      <c r="D719" s="957" t="s">
        <v>230</v>
      </c>
      <c r="E719" s="907">
        <f>GLOBAL_DER_FEV_2023!E719</f>
        <v>353</v>
      </c>
      <c r="F719" s="908">
        <f>GLOBAL_DER_FEV_2023!F719</f>
        <v>0</v>
      </c>
      <c r="G719" s="909">
        <f>GLOBAL_DER_FEV_2023!G719</f>
        <v>0</v>
      </c>
      <c r="H719" s="901">
        <f>GLOBAL_DER_FEV_2023!H719</f>
        <v>0</v>
      </c>
      <c r="I719" s="901">
        <f>GLOBAL_DER_FEV_2023!I719</f>
        <v>0</v>
      </c>
      <c r="J719" s="902">
        <f>GLOBAL_DER_FEV_2023!J719</f>
        <v>0</v>
      </c>
      <c r="K719" s="903" t="s">
        <v>507</v>
      </c>
      <c r="L719" s="1003"/>
      <c r="M719" s="1157">
        <f t="shared" si="52"/>
        <v>0</v>
      </c>
      <c r="N719" s="893">
        <f t="shared" si="51"/>
        <v>0</v>
      </c>
      <c r="O719" s="905"/>
      <c r="P719" s="58" t="str">
        <f>IF(N717&gt;0,"xx",IF(N717&gt;0,"xy",""))</f>
        <v/>
      </c>
      <c r="Q719" s="317" t="str">
        <f t="shared" ref="Q719:Q794" si="53">IF(P719="X","x",IF(P719="xx","x",IF(P719="xy","x",IF(P719="y","x",IF(OR(N719&gt;0,N719&gt;0),"x","")))))</f>
        <v/>
      </c>
      <c r="R719" s="317" t="str">
        <f t="shared" si="49"/>
        <v/>
      </c>
      <c r="S719" s="317" t="str">
        <f t="shared" si="50"/>
        <v/>
      </c>
      <c r="T719" s="317" t="str">
        <f>GLOBAL_DER_FEV_2023!S719</f>
        <v/>
      </c>
      <c r="W719" s="582">
        <v>0</v>
      </c>
      <c r="X719" s="580"/>
      <c r="Y719" s="583">
        <f>IF(GLOBAL_DER_FEV_2023!W719=0,0,IF(GLOBAL_DER_FEV_2023!W719&gt;0,"c","b"))</f>
        <v>0</v>
      </c>
    </row>
    <row r="720" spans="1:25" ht="13.5" hidden="1" thickBot="1" x14ac:dyDescent="0.25">
      <c r="A720" s="317" t="s">
        <v>147</v>
      </c>
      <c r="B720" s="895" t="s">
        <v>147</v>
      </c>
      <c r="C720" s="896"/>
      <c r="D720" s="957" t="s">
        <v>243</v>
      </c>
      <c r="E720" s="907">
        <f>GLOBAL_DER_FEV_2023!E720</f>
        <v>0.2</v>
      </c>
      <c r="F720" s="908">
        <f>GLOBAL_DER_FEV_2023!F720</f>
        <v>2.12</v>
      </c>
      <c r="G720" s="912">
        <f>GLOBAL_DER_FEV_2023!G720</f>
        <v>6.1352800000000007</v>
      </c>
      <c r="H720" s="901">
        <f>GLOBAL_DER_FEV_2023!H720</f>
        <v>0</v>
      </c>
      <c r="I720" s="901">
        <f>GLOBAL_DER_FEV_2023!I720</f>
        <v>0</v>
      </c>
      <c r="J720" s="902">
        <f>GLOBAL_DER_FEV_2023!J720</f>
        <v>0</v>
      </c>
      <c r="K720" s="903" t="s">
        <v>507</v>
      </c>
      <c r="L720" s="1003"/>
      <c r="M720" s="1157">
        <f t="shared" si="52"/>
        <v>0</v>
      </c>
      <c r="N720" s="893">
        <f t="shared" si="51"/>
        <v>0</v>
      </c>
      <c r="O720" s="905"/>
      <c r="P720" s="58" t="str">
        <f>IF(N717&gt;0,"xx",IF(N717&gt;0,"xy",""))</f>
        <v/>
      </c>
      <c r="Q720" s="317" t="str">
        <f t="shared" si="53"/>
        <v/>
      </c>
      <c r="R720" s="317" t="str">
        <f t="shared" si="49"/>
        <v/>
      </c>
      <c r="S720" s="317" t="str">
        <f t="shared" si="50"/>
        <v/>
      </c>
      <c r="T720" s="317" t="str">
        <f>GLOBAL_DER_FEV_2023!S720</f>
        <v/>
      </c>
      <c r="W720" s="582">
        <v>0</v>
      </c>
      <c r="X720" s="580"/>
      <c r="Y720" s="583">
        <f>IF(GLOBAL_DER_FEV_2023!W720=0,0,IF(GLOBAL_DER_FEV_2023!W720&gt;0,"c","b"))</f>
        <v>0</v>
      </c>
    </row>
    <row r="721" spans="1:25" ht="13.5" hidden="1" thickBot="1" x14ac:dyDescent="0.25">
      <c r="A721" s="317" t="s">
        <v>147</v>
      </c>
      <c r="B721" s="895" t="s">
        <v>147</v>
      </c>
      <c r="C721" s="896"/>
      <c r="D721" s="957" t="s">
        <v>244</v>
      </c>
      <c r="E721" s="907">
        <f>GLOBAL_DER_FEV_2023!E721</f>
        <v>22</v>
      </c>
      <c r="F721" s="908">
        <f>GLOBAL_DER_FEV_2023!F721</f>
        <v>2.2000000000000002</v>
      </c>
      <c r="G721" s="912">
        <f>GLOBAL_DER_FEV_2023!G721</f>
        <v>57.684000000000012</v>
      </c>
      <c r="H721" s="901">
        <f>GLOBAL_DER_FEV_2023!H721</f>
        <v>0</v>
      </c>
      <c r="I721" s="901">
        <f>GLOBAL_DER_FEV_2023!I721</f>
        <v>0</v>
      </c>
      <c r="J721" s="902">
        <f>GLOBAL_DER_FEV_2023!J721</f>
        <v>0</v>
      </c>
      <c r="K721" s="903" t="s">
        <v>507</v>
      </c>
      <c r="L721" s="1003"/>
      <c r="M721" s="1157">
        <f t="shared" si="52"/>
        <v>0</v>
      </c>
      <c r="N721" s="893">
        <f t="shared" si="51"/>
        <v>0</v>
      </c>
      <c r="O721" s="905"/>
      <c r="P721" s="58" t="str">
        <f>IF(N717&gt;0,"xx",IF(N717&gt;0,"xy",""))</f>
        <v/>
      </c>
      <c r="Q721" s="317" t="str">
        <f t="shared" si="53"/>
        <v/>
      </c>
      <c r="R721" s="317" t="str">
        <f t="shared" ref="R721:R796" si="54">IF(P721="X","x",IF(P721="y","x",IF(P721="xx","x",IF(N721&gt;0,"x",""))))</f>
        <v/>
      </c>
      <c r="S721" s="317" t="str">
        <f t="shared" ref="S721:S796" si="55">IF(P721="X","x",IF(N721&gt;0,"x",""))</f>
        <v/>
      </c>
      <c r="T721" s="317" t="str">
        <f>GLOBAL_DER_FEV_2023!S721</f>
        <v/>
      </c>
      <c r="W721" s="582">
        <v>0</v>
      </c>
      <c r="X721" s="580"/>
      <c r="Y721" s="583">
        <f>IF(GLOBAL_DER_FEV_2023!W721=0,0,IF(GLOBAL_DER_FEV_2023!W721&gt;0,"c","b"))</f>
        <v>0</v>
      </c>
    </row>
    <row r="722" spans="1:25" ht="13.5" hidden="1" thickBot="1" x14ac:dyDescent="0.25">
      <c r="A722" s="317">
        <v>589320</v>
      </c>
      <c r="B722" s="1004" t="s">
        <v>1691</v>
      </c>
      <c r="C722" s="984" t="s">
        <v>213</v>
      </c>
      <c r="D722" s="1012" t="s">
        <v>699</v>
      </c>
      <c r="E722" s="1005">
        <f>GLOBAL_DER_FEV_2023!E722</f>
        <v>45</v>
      </c>
      <c r="F722" s="1006">
        <f>GLOBAL_DER_FEV_2023!F722</f>
        <v>1</v>
      </c>
      <c r="G722" s="949">
        <f>GLOBAL_DER_FEV_2023!G722</f>
        <v>79.25</v>
      </c>
      <c r="H722" s="988">
        <f>GLOBAL_DER_FEV_2023!H722</f>
        <v>4012.83</v>
      </c>
      <c r="I722" s="988">
        <f>GLOBAL_DER_FEV_2023!I722</f>
        <v>3931.9945856583668</v>
      </c>
      <c r="J722" s="989">
        <f>GLOBAL_DER_FEV_2023!J722</f>
        <v>4721.1499999999996</v>
      </c>
      <c r="K722" s="990" t="s">
        <v>14</v>
      </c>
      <c r="L722" s="1169">
        <f>ROUND(L717*$F717,2)</f>
        <v>0</v>
      </c>
      <c r="M722" s="1168">
        <f t="shared" si="52"/>
        <v>0</v>
      </c>
      <c r="N722" s="993">
        <f t="shared" si="51"/>
        <v>0</v>
      </c>
      <c r="O722" s="905"/>
      <c r="P722" s="58" t="str">
        <f>IF(N717&gt;0,"xx",IF(N717&gt;0,"xy",""))</f>
        <v/>
      </c>
      <c r="Q722" s="317" t="str">
        <f t="shared" si="53"/>
        <v/>
      </c>
      <c r="R722" s="317" t="str">
        <f t="shared" si="54"/>
        <v/>
      </c>
      <c r="S722" s="317" t="str">
        <f t="shared" si="55"/>
        <v/>
      </c>
      <c r="T722" s="317" t="str">
        <f>GLOBAL_DER_FEV_2023!S722</f>
        <v/>
      </c>
      <c r="W722" s="582">
        <v>0</v>
      </c>
      <c r="X722" s="580"/>
      <c r="Y722" s="583">
        <f>IF(GLOBAL_DER_FEV_2023!W722=0,0,IF(GLOBAL_DER_FEV_2023!W722&gt;0,"c","b"))</f>
        <v>0</v>
      </c>
    </row>
    <row r="723" spans="1:25" ht="13.5" hidden="1" thickBot="1" x14ac:dyDescent="0.25">
      <c r="A723" s="317">
        <v>534300</v>
      </c>
      <c r="B723" s="999" t="s">
        <v>1683</v>
      </c>
      <c r="C723" s="1000" t="s">
        <v>184</v>
      </c>
      <c r="D723" s="973" t="s">
        <v>2209</v>
      </c>
      <c r="E723" s="974" t="str">
        <f>GLOBAL_DER_FEV_2023!E723</f>
        <v>taxa RM-2C</v>
      </c>
      <c r="F723" s="975">
        <f>GLOBAL_DER_FEV_2023!F723</f>
        <v>0.11</v>
      </c>
      <c r="G723" s="976">
        <f>GLOBAL_DER_FEV_2023!G723</f>
        <v>63.732459999999996</v>
      </c>
      <c r="H723" s="977">
        <f>GLOBAL_DER_FEV_2023!H723</f>
        <v>140.30000000000001</v>
      </c>
      <c r="I723" s="977">
        <f>GLOBAL_DER_FEV_2023!I723</f>
        <v>204.03246000000001</v>
      </c>
      <c r="J723" s="978">
        <f>GLOBAL_DER_FEV_2023!J723</f>
        <v>244.98</v>
      </c>
      <c r="K723" s="979" t="s">
        <v>10</v>
      </c>
      <c r="L723" s="1152"/>
      <c r="M723" s="1153">
        <f t="shared" si="52"/>
        <v>0</v>
      </c>
      <c r="N723" s="982">
        <f t="shared" si="51"/>
        <v>0</v>
      </c>
      <c r="O723" s="905"/>
      <c r="Q723" s="317" t="str">
        <f t="shared" si="53"/>
        <v/>
      </c>
      <c r="R723" s="317" t="str">
        <f t="shared" si="54"/>
        <v/>
      </c>
      <c r="S723" s="317" t="str">
        <f t="shared" si="55"/>
        <v/>
      </c>
      <c r="T723" s="317" t="str">
        <f>GLOBAL_DER_FEV_2023!S723</f>
        <v/>
      </c>
      <c r="W723" s="582">
        <v>0</v>
      </c>
      <c r="X723" s="580"/>
      <c r="Y723" s="583">
        <f>IF(GLOBAL_DER_FEV_2023!W723=0,0,IF(GLOBAL_DER_FEV_2023!W723&gt;0,"c","b"))</f>
        <v>0</v>
      </c>
    </row>
    <row r="724" spans="1:25" ht="13.5" hidden="1" thickBot="1" x14ac:dyDescent="0.25">
      <c r="A724" s="317" t="s">
        <v>147</v>
      </c>
      <c r="B724" s="895" t="s">
        <v>147</v>
      </c>
      <c r="C724" s="896"/>
      <c r="D724" s="957" t="s">
        <v>229</v>
      </c>
      <c r="E724" s="907">
        <f>GLOBAL_DER_FEV_2023!E724</f>
        <v>150</v>
      </c>
      <c r="F724" s="908">
        <f>GLOBAL_DER_FEV_2023!F724</f>
        <v>0</v>
      </c>
      <c r="G724" s="912">
        <f>GLOBAL_DER_FEV_2023!G724</f>
        <v>0</v>
      </c>
      <c r="H724" s="901">
        <f>GLOBAL_DER_FEV_2023!H724</f>
        <v>0</v>
      </c>
      <c r="I724" s="901">
        <f>GLOBAL_DER_FEV_2023!I724</f>
        <v>0</v>
      </c>
      <c r="J724" s="902">
        <f>GLOBAL_DER_FEV_2023!J724</f>
        <v>0</v>
      </c>
      <c r="K724" s="903" t="s">
        <v>507</v>
      </c>
      <c r="L724" s="1003"/>
      <c r="M724" s="1157">
        <f t="shared" si="52"/>
        <v>0</v>
      </c>
      <c r="N724" s="893">
        <f t="shared" si="51"/>
        <v>0</v>
      </c>
      <c r="O724" s="905"/>
      <c r="P724" s="58" t="str">
        <f>IF(N723&gt;0,"xx",IF(N723&gt;0,"xy",""))</f>
        <v/>
      </c>
      <c r="Q724" s="317" t="str">
        <f t="shared" si="53"/>
        <v/>
      </c>
      <c r="R724" s="317" t="str">
        <f t="shared" si="54"/>
        <v/>
      </c>
      <c r="S724" s="317" t="str">
        <f t="shared" si="55"/>
        <v/>
      </c>
      <c r="T724" s="317" t="str">
        <f>GLOBAL_DER_FEV_2023!S724</f>
        <v/>
      </c>
      <c r="W724" s="582">
        <v>0</v>
      </c>
      <c r="X724" s="580"/>
      <c r="Y724" s="583">
        <f>IF(GLOBAL_DER_FEV_2023!W724=0,0,IF(GLOBAL_DER_FEV_2023!W724&gt;0,"c","b"))</f>
        <v>0</v>
      </c>
    </row>
    <row r="725" spans="1:25" ht="13.5" hidden="1" thickBot="1" x14ac:dyDescent="0.25">
      <c r="A725" s="317" t="s">
        <v>147</v>
      </c>
      <c r="B725" s="895" t="s">
        <v>147</v>
      </c>
      <c r="C725" s="896"/>
      <c r="D725" s="957" t="s">
        <v>230</v>
      </c>
      <c r="E725" s="907">
        <f>GLOBAL_DER_FEV_2023!E725</f>
        <v>353</v>
      </c>
      <c r="F725" s="908">
        <f>GLOBAL_DER_FEV_2023!F725</f>
        <v>0</v>
      </c>
      <c r="G725" s="909">
        <f>GLOBAL_DER_FEV_2023!G725</f>
        <v>0</v>
      </c>
      <c r="H725" s="901">
        <f>GLOBAL_DER_FEV_2023!H725</f>
        <v>0</v>
      </c>
      <c r="I725" s="901">
        <f>GLOBAL_DER_FEV_2023!I725</f>
        <v>0</v>
      </c>
      <c r="J725" s="902">
        <f>GLOBAL_DER_FEV_2023!J725</f>
        <v>0</v>
      </c>
      <c r="K725" s="903" t="s">
        <v>507</v>
      </c>
      <c r="L725" s="1003"/>
      <c r="M725" s="1157">
        <f t="shared" si="52"/>
        <v>0</v>
      </c>
      <c r="N725" s="893">
        <f t="shared" ref="N725:N800" si="56">IF(ISBLANK(L725),0,IF(W725=0,ROUND(L725*M725,2),IF(W725="b",ROUNDDOWN(L725*M725,2),ROUNDUP(L725*M725,2))))</f>
        <v>0</v>
      </c>
      <c r="O725" s="905"/>
      <c r="P725" s="58" t="str">
        <f>IF(N723&gt;0,"xx",IF(N723&gt;0,"xy",""))</f>
        <v/>
      </c>
      <c r="Q725" s="317" t="str">
        <f t="shared" si="53"/>
        <v/>
      </c>
      <c r="R725" s="317" t="str">
        <f t="shared" si="54"/>
        <v/>
      </c>
      <c r="S725" s="317" t="str">
        <f t="shared" si="55"/>
        <v/>
      </c>
      <c r="T725" s="317" t="str">
        <f>GLOBAL_DER_FEV_2023!S725</f>
        <v/>
      </c>
      <c r="W725" s="582">
        <v>0</v>
      </c>
      <c r="X725" s="580"/>
      <c r="Y725" s="583">
        <f>IF(GLOBAL_DER_FEV_2023!W725=0,0,IF(GLOBAL_DER_FEV_2023!W725&gt;0,"c","b"))</f>
        <v>0</v>
      </c>
    </row>
    <row r="726" spans="1:25" ht="13.5" hidden="1" thickBot="1" x14ac:dyDescent="0.25">
      <c r="A726" s="317" t="s">
        <v>147</v>
      </c>
      <c r="B726" s="895" t="s">
        <v>147</v>
      </c>
      <c r="C726" s="896"/>
      <c r="D726" s="957" t="s">
        <v>243</v>
      </c>
      <c r="E726" s="907">
        <f>GLOBAL_DER_FEV_2023!E726</f>
        <v>0.2</v>
      </c>
      <c r="F726" s="908">
        <f>GLOBAL_DER_FEV_2023!F726</f>
        <v>2.09</v>
      </c>
      <c r="G726" s="912">
        <f>GLOBAL_DER_FEV_2023!G726</f>
        <v>6.0484599999999995</v>
      </c>
      <c r="H726" s="901">
        <f>GLOBAL_DER_FEV_2023!H726</f>
        <v>0</v>
      </c>
      <c r="I726" s="901">
        <f>GLOBAL_DER_FEV_2023!I726</f>
        <v>0</v>
      </c>
      <c r="J726" s="902">
        <f>GLOBAL_DER_FEV_2023!J726</f>
        <v>0</v>
      </c>
      <c r="K726" s="903" t="s">
        <v>507</v>
      </c>
      <c r="L726" s="1003"/>
      <c r="M726" s="1157">
        <f t="shared" si="52"/>
        <v>0</v>
      </c>
      <c r="N726" s="893">
        <f t="shared" si="56"/>
        <v>0</v>
      </c>
      <c r="O726" s="905"/>
      <c r="P726" s="58" t="str">
        <f>IF(N723&gt;0,"xx",IF(N723&gt;0,"xy",""))</f>
        <v/>
      </c>
      <c r="Q726" s="317" t="str">
        <f t="shared" si="53"/>
        <v/>
      </c>
      <c r="R726" s="317" t="str">
        <f t="shared" si="54"/>
        <v/>
      </c>
      <c r="S726" s="317" t="str">
        <f t="shared" si="55"/>
        <v/>
      </c>
      <c r="T726" s="317" t="str">
        <f>GLOBAL_DER_FEV_2023!S726</f>
        <v/>
      </c>
      <c r="W726" s="582">
        <v>0</v>
      </c>
      <c r="X726" s="580"/>
      <c r="Y726" s="583">
        <f>IF(GLOBAL_DER_FEV_2023!W726=0,0,IF(GLOBAL_DER_FEV_2023!W726&gt;0,"c","b"))</f>
        <v>0</v>
      </c>
    </row>
    <row r="727" spans="1:25" ht="13.5" hidden="1" thickBot="1" x14ac:dyDescent="0.25">
      <c r="A727" s="317" t="s">
        <v>147</v>
      </c>
      <c r="B727" s="895" t="s">
        <v>147</v>
      </c>
      <c r="C727" s="896"/>
      <c r="D727" s="957" t="s">
        <v>244</v>
      </c>
      <c r="E727" s="907">
        <f>GLOBAL_DER_FEV_2023!E727</f>
        <v>22</v>
      </c>
      <c r="F727" s="908">
        <f>GLOBAL_DER_FEV_2023!F727</f>
        <v>2.1999999999999997</v>
      </c>
      <c r="G727" s="912">
        <f>GLOBAL_DER_FEV_2023!G727</f>
        <v>57.683999999999997</v>
      </c>
      <c r="H727" s="901">
        <f>GLOBAL_DER_FEV_2023!H727</f>
        <v>0</v>
      </c>
      <c r="I727" s="901">
        <f>GLOBAL_DER_FEV_2023!I727</f>
        <v>0</v>
      </c>
      <c r="J727" s="902">
        <f>GLOBAL_DER_FEV_2023!J727</f>
        <v>0</v>
      </c>
      <c r="K727" s="903" t="s">
        <v>507</v>
      </c>
      <c r="L727" s="1003"/>
      <c r="M727" s="1157">
        <f t="shared" si="52"/>
        <v>0</v>
      </c>
      <c r="N727" s="893">
        <f t="shared" si="56"/>
        <v>0</v>
      </c>
      <c r="O727" s="905"/>
      <c r="P727" s="58" t="str">
        <f>IF(N723&gt;0,"xx",IF(N723&gt;0,"xy",""))</f>
        <v/>
      </c>
      <c r="Q727" s="317" t="str">
        <f t="shared" si="53"/>
        <v/>
      </c>
      <c r="R727" s="317" t="str">
        <f t="shared" si="54"/>
        <v/>
      </c>
      <c r="S727" s="317" t="str">
        <f t="shared" si="55"/>
        <v/>
      </c>
      <c r="T727" s="317" t="str">
        <f>GLOBAL_DER_FEV_2023!S727</f>
        <v/>
      </c>
      <c r="W727" s="582">
        <v>0</v>
      </c>
      <c r="X727" s="580"/>
      <c r="Y727" s="583">
        <f>IF(GLOBAL_DER_FEV_2023!W727=0,0,IF(GLOBAL_DER_FEV_2023!W727&gt;0,"c","b"))</f>
        <v>0</v>
      </c>
    </row>
    <row r="728" spans="1:25" ht="13.5" hidden="1" thickBot="1" x14ac:dyDescent="0.25">
      <c r="A728" s="317">
        <v>589320</v>
      </c>
      <c r="B728" s="1004" t="s">
        <v>1692</v>
      </c>
      <c r="C728" s="984" t="s">
        <v>213</v>
      </c>
      <c r="D728" s="1012" t="s">
        <v>700</v>
      </c>
      <c r="E728" s="1005">
        <f>GLOBAL_DER_FEV_2023!E728</f>
        <v>45</v>
      </c>
      <c r="F728" s="1006">
        <f>GLOBAL_DER_FEV_2023!F728</f>
        <v>1</v>
      </c>
      <c r="G728" s="949">
        <f>GLOBAL_DER_FEV_2023!G728</f>
        <v>79.25</v>
      </c>
      <c r="H728" s="988">
        <f>GLOBAL_DER_FEV_2023!H728</f>
        <v>4012.83</v>
      </c>
      <c r="I728" s="988">
        <f>GLOBAL_DER_FEV_2023!I728</f>
        <v>3931.9945856583668</v>
      </c>
      <c r="J728" s="989">
        <f>GLOBAL_DER_FEV_2023!J728</f>
        <v>4721.1499999999996</v>
      </c>
      <c r="K728" s="990" t="s">
        <v>14</v>
      </c>
      <c r="L728" s="1169">
        <f>ROUND(L723*$F723,2)</f>
        <v>0</v>
      </c>
      <c r="M728" s="1168">
        <f t="shared" si="52"/>
        <v>0</v>
      </c>
      <c r="N728" s="993">
        <f t="shared" si="56"/>
        <v>0</v>
      </c>
      <c r="O728" s="905"/>
      <c r="P728" s="58" t="str">
        <f>IF(N723&gt;0,"xx",IF(N723&gt;0,"xy",""))</f>
        <v/>
      </c>
      <c r="Q728" s="317" t="str">
        <f t="shared" si="53"/>
        <v/>
      </c>
      <c r="R728" s="317" t="str">
        <f t="shared" si="54"/>
        <v/>
      </c>
      <c r="S728" s="317" t="str">
        <f t="shared" si="55"/>
        <v/>
      </c>
      <c r="T728" s="317" t="str">
        <f>GLOBAL_DER_FEV_2023!S728</f>
        <v/>
      </c>
      <c r="W728" s="582">
        <v>0</v>
      </c>
      <c r="X728" s="580"/>
      <c r="Y728" s="583">
        <f>IF(GLOBAL_DER_FEV_2023!W728=0,0,IF(GLOBAL_DER_FEV_2023!W728&gt;0,"c","b"))</f>
        <v>0</v>
      </c>
    </row>
    <row r="729" spans="1:25" ht="13.5" hidden="1" thickBot="1" x14ac:dyDescent="0.25">
      <c r="A729" s="317">
        <v>534300</v>
      </c>
      <c r="B729" s="999" t="s">
        <v>1684</v>
      </c>
      <c r="C729" s="1000" t="s">
        <v>184</v>
      </c>
      <c r="D729" s="973" t="s">
        <v>2208</v>
      </c>
      <c r="E729" s="974" t="str">
        <f>GLOBAL_DER_FEV_2023!E729</f>
        <v>taxa RM-2C</v>
      </c>
      <c r="F729" s="975">
        <f>GLOBAL_DER_FEV_2023!F729</f>
        <v>0.11</v>
      </c>
      <c r="G729" s="976">
        <f>GLOBAL_DER_FEV_2023!G729</f>
        <v>63.732459999999996</v>
      </c>
      <c r="H729" s="977">
        <f>GLOBAL_DER_FEV_2023!H729</f>
        <v>140.30000000000001</v>
      </c>
      <c r="I729" s="977">
        <f>GLOBAL_DER_FEV_2023!I729</f>
        <v>204.03246000000001</v>
      </c>
      <c r="J729" s="978">
        <f>GLOBAL_DER_FEV_2023!J729</f>
        <v>244.98</v>
      </c>
      <c r="K729" s="979" t="s">
        <v>10</v>
      </c>
      <c r="L729" s="1152"/>
      <c r="M729" s="1153">
        <f t="shared" si="52"/>
        <v>0</v>
      </c>
      <c r="N729" s="982">
        <f t="shared" si="56"/>
        <v>0</v>
      </c>
      <c r="O729" s="905"/>
      <c r="Q729" s="317" t="str">
        <f t="shared" si="53"/>
        <v/>
      </c>
      <c r="R729" s="317" t="str">
        <f t="shared" si="54"/>
        <v/>
      </c>
      <c r="S729" s="317" t="str">
        <f t="shared" si="55"/>
        <v/>
      </c>
      <c r="T729" s="317" t="str">
        <f>GLOBAL_DER_FEV_2023!S729</f>
        <v/>
      </c>
      <c r="W729" s="582">
        <v>0</v>
      </c>
      <c r="X729" s="580"/>
      <c r="Y729" s="583">
        <f>IF(GLOBAL_DER_FEV_2023!W729=0,0,IF(GLOBAL_DER_FEV_2023!W729&gt;0,"c","b"))</f>
        <v>0</v>
      </c>
    </row>
    <row r="730" spans="1:25" ht="13.5" hidden="1" thickBot="1" x14ac:dyDescent="0.25">
      <c r="A730" s="317" t="s">
        <v>147</v>
      </c>
      <c r="B730" s="895" t="s">
        <v>147</v>
      </c>
      <c r="C730" s="896"/>
      <c r="D730" s="957" t="s">
        <v>229</v>
      </c>
      <c r="E730" s="907">
        <f>GLOBAL_DER_FEV_2023!E730</f>
        <v>150</v>
      </c>
      <c r="F730" s="908">
        <f>GLOBAL_DER_FEV_2023!F730</f>
        <v>0</v>
      </c>
      <c r="G730" s="912">
        <f>GLOBAL_DER_FEV_2023!G730</f>
        <v>0</v>
      </c>
      <c r="H730" s="901">
        <f>GLOBAL_DER_FEV_2023!H730</f>
        <v>0</v>
      </c>
      <c r="I730" s="901">
        <f>GLOBAL_DER_FEV_2023!I730</f>
        <v>0</v>
      </c>
      <c r="J730" s="902">
        <f>GLOBAL_DER_FEV_2023!J730</f>
        <v>0</v>
      </c>
      <c r="K730" s="903" t="s">
        <v>507</v>
      </c>
      <c r="L730" s="1003"/>
      <c r="M730" s="1157">
        <f t="shared" si="52"/>
        <v>0</v>
      </c>
      <c r="N730" s="893">
        <f t="shared" si="56"/>
        <v>0</v>
      </c>
      <c r="O730" s="905"/>
      <c r="P730" s="58" t="str">
        <f>IF(N729&gt;0,"xx",IF(N729&gt;0,"xy",""))</f>
        <v/>
      </c>
      <c r="Q730" s="317" t="str">
        <f t="shared" si="53"/>
        <v/>
      </c>
      <c r="R730" s="317" t="str">
        <f t="shared" si="54"/>
        <v/>
      </c>
      <c r="S730" s="317" t="str">
        <f t="shared" si="55"/>
        <v/>
      </c>
      <c r="T730" s="317" t="str">
        <f>GLOBAL_DER_FEV_2023!S730</f>
        <v/>
      </c>
      <c r="W730" s="582">
        <v>0</v>
      </c>
      <c r="X730" s="580"/>
      <c r="Y730" s="583">
        <f>IF(GLOBAL_DER_FEV_2023!W730=0,0,IF(GLOBAL_DER_FEV_2023!W730&gt;0,"c","b"))</f>
        <v>0</v>
      </c>
    </row>
    <row r="731" spans="1:25" ht="13.5" hidden="1" thickBot="1" x14ac:dyDescent="0.25">
      <c r="A731" s="317" t="s">
        <v>147</v>
      </c>
      <c r="B731" s="895" t="s">
        <v>147</v>
      </c>
      <c r="C731" s="896"/>
      <c r="D731" s="957" t="s">
        <v>230</v>
      </c>
      <c r="E731" s="907">
        <f>GLOBAL_DER_FEV_2023!E731</f>
        <v>353</v>
      </c>
      <c r="F731" s="908">
        <f>GLOBAL_DER_FEV_2023!F731</f>
        <v>0</v>
      </c>
      <c r="G731" s="909">
        <f>GLOBAL_DER_FEV_2023!G731</f>
        <v>0</v>
      </c>
      <c r="H731" s="901">
        <f>GLOBAL_DER_FEV_2023!H731</f>
        <v>0</v>
      </c>
      <c r="I731" s="901">
        <f>GLOBAL_DER_FEV_2023!I731</f>
        <v>0</v>
      </c>
      <c r="J731" s="902">
        <f>GLOBAL_DER_FEV_2023!J731</f>
        <v>0</v>
      </c>
      <c r="K731" s="903" t="s">
        <v>507</v>
      </c>
      <c r="L731" s="1003"/>
      <c r="M731" s="1157">
        <f t="shared" si="52"/>
        <v>0</v>
      </c>
      <c r="N731" s="893">
        <f t="shared" si="56"/>
        <v>0</v>
      </c>
      <c r="O731" s="905"/>
      <c r="P731" s="58" t="str">
        <f>IF(N729&gt;0,"xx",IF(N729&gt;0,"xy",""))</f>
        <v/>
      </c>
      <c r="Q731" s="317" t="str">
        <f t="shared" si="53"/>
        <v/>
      </c>
      <c r="R731" s="317" t="str">
        <f t="shared" si="54"/>
        <v/>
      </c>
      <c r="S731" s="317" t="str">
        <f t="shared" si="55"/>
        <v/>
      </c>
      <c r="T731" s="317" t="str">
        <f>GLOBAL_DER_FEV_2023!S731</f>
        <v/>
      </c>
      <c r="W731" s="582">
        <v>0</v>
      </c>
      <c r="X731" s="580"/>
      <c r="Y731" s="583">
        <f>IF(GLOBAL_DER_FEV_2023!W731=0,0,IF(GLOBAL_DER_FEV_2023!W731&gt;0,"c","b"))</f>
        <v>0</v>
      </c>
    </row>
    <row r="732" spans="1:25" ht="13.5" hidden="1" thickBot="1" x14ac:dyDescent="0.25">
      <c r="A732" s="317" t="s">
        <v>147</v>
      </c>
      <c r="B732" s="895" t="s">
        <v>147</v>
      </c>
      <c r="C732" s="896"/>
      <c r="D732" s="957" t="s">
        <v>243</v>
      </c>
      <c r="E732" s="907">
        <f>GLOBAL_DER_FEV_2023!E732</f>
        <v>0.2</v>
      </c>
      <c r="F732" s="908">
        <f>GLOBAL_DER_FEV_2023!F732</f>
        <v>2.09</v>
      </c>
      <c r="G732" s="912">
        <f>GLOBAL_DER_FEV_2023!G732</f>
        <v>6.0484599999999995</v>
      </c>
      <c r="H732" s="901">
        <f>GLOBAL_DER_FEV_2023!H732</f>
        <v>0</v>
      </c>
      <c r="I732" s="901">
        <f>GLOBAL_DER_FEV_2023!I732</f>
        <v>0</v>
      </c>
      <c r="J732" s="902">
        <f>GLOBAL_DER_FEV_2023!J732</f>
        <v>0</v>
      </c>
      <c r="K732" s="903" t="s">
        <v>507</v>
      </c>
      <c r="L732" s="1003"/>
      <c r="M732" s="1157">
        <f t="shared" si="52"/>
        <v>0</v>
      </c>
      <c r="N732" s="893">
        <f t="shared" si="56"/>
        <v>0</v>
      </c>
      <c r="O732" s="905"/>
      <c r="P732" s="58" t="str">
        <f>IF(N729&gt;0,"xx",IF(N729&gt;0,"xy",""))</f>
        <v/>
      </c>
      <c r="Q732" s="317" t="str">
        <f t="shared" si="53"/>
        <v/>
      </c>
      <c r="R732" s="317" t="str">
        <f t="shared" si="54"/>
        <v/>
      </c>
      <c r="S732" s="317" t="str">
        <f t="shared" si="55"/>
        <v/>
      </c>
      <c r="T732" s="317" t="str">
        <f>GLOBAL_DER_FEV_2023!S732</f>
        <v/>
      </c>
      <c r="W732" s="582">
        <v>0</v>
      </c>
      <c r="X732" s="580"/>
      <c r="Y732" s="583">
        <f>IF(GLOBAL_DER_FEV_2023!W732=0,0,IF(GLOBAL_DER_FEV_2023!W732&gt;0,"c","b"))</f>
        <v>0</v>
      </c>
    </row>
    <row r="733" spans="1:25" ht="13.5" hidden="1" thickBot="1" x14ac:dyDescent="0.25">
      <c r="A733" s="317" t="s">
        <v>147</v>
      </c>
      <c r="B733" s="895" t="s">
        <v>147</v>
      </c>
      <c r="C733" s="896"/>
      <c r="D733" s="957" t="s">
        <v>244</v>
      </c>
      <c r="E733" s="907">
        <f>GLOBAL_DER_FEV_2023!E733</f>
        <v>22</v>
      </c>
      <c r="F733" s="908">
        <f>GLOBAL_DER_FEV_2023!F733</f>
        <v>2.1999999999999997</v>
      </c>
      <c r="G733" s="912">
        <f>GLOBAL_DER_FEV_2023!G733</f>
        <v>57.683999999999997</v>
      </c>
      <c r="H733" s="901">
        <f>GLOBAL_DER_FEV_2023!H733</f>
        <v>0</v>
      </c>
      <c r="I733" s="901">
        <f>GLOBAL_DER_FEV_2023!I733</f>
        <v>0</v>
      </c>
      <c r="J733" s="902">
        <f>GLOBAL_DER_FEV_2023!J733</f>
        <v>0</v>
      </c>
      <c r="K733" s="903" t="s">
        <v>507</v>
      </c>
      <c r="L733" s="1003"/>
      <c r="M733" s="1157">
        <f t="shared" si="52"/>
        <v>0</v>
      </c>
      <c r="N733" s="893">
        <f t="shared" si="56"/>
        <v>0</v>
      </c>
      <c r="O733" s="905"/>
      <c r="P733" s="58" t="str">
        <f>IF(N729&gt;0,"xx",IF(N729&gt;0,"xy",""))</f>
        <v/>
      </c>
      <c r="Q733" s="317" t="str">
        <f t="shared" si="53"/>
        <v/>
      </c>
      <c r="R733" s="317" t="str">
        <f t="shared" si="54"/>
        <v/>
      </c>
      <c r="S733" s="317" t="str">
        <f t="shared" si="55"/>
        <v/>
      </c>
      <c r="T733" s="317" t="str">
        <f>GLOBAL_DER_FEV_2023!S733</f>
        <v/>
      </c>
      <c r="W733" s="582">
        <v>0</v>
      </c>
      <c r="X733" s="580"/>
      <c r="Y733" s="583">
        <f>IF(GLOBAL_DER_FEV_2023!W733=0,0,IF(GLOBAL_DER_FEV_2023!W733&gt;0,"c","b"))</f>
        <v>0</v>
      </c>
    </row>
    <row r="734" spans="1:25" ht="13.5" hidden="1" thickBot="1" x14ac:dyDescent="0.25">
      <c r="A734" s="317">
        <v>589320</v>
      </c>
      <c r="B734" s="1004" t="s">
        <v>1693</v>
      </c>
      <c r="C734" s="984" t="s">
        <v>213</v>
      </c>
      <c r="D734" s="1012" t="s">
        <v>700</v>
      </c>
      <c r="E734" s="1005">
        <f>GLOBAL_DER_FEV_2023!E734</f>
        <v>45</v>
      </c>
      <c r="F734" s="1006">
        <f>GLOBAL_DER_FEV_2023!F734</f>
        <v>1</v>
      </c>
      <c r="G734" s="949">
        <f>GLOBAL_DER_FEV_2023!G734</f>
        <v>79.25</v>
      </c>
      <c r="H734" s="988">
        <f>GLOBAL_DER_FEV_2023!H734</f>
        <v>4012.83</v>
      </c>
      <c r="I734" s="988">
        <f>GLOBAL_DER_FEV_2023!I734</f>
        <v>3931.9945856583668</v>
      </c>
      <c r="J734" s="989">
        <f>GLOBAL_DER_FEV_2023!J734</f>
        <v>4721.1499999999996</v>
      </c>
      <c r="K734" s="990" t="s">
        <v>14</v>
      </c>
      <c r="L734" s="1169">
        <f>ROUND(L729*$F729,2)</f>
        <v>0</v>
      </c>
      <c r="M734" s="1168">
        <f t="shared" si="52"/>
        <v>0</v>
      </c>
      <c r="N734" s="993">
        <f t="shared" si="56"/>
        <v>0</v>
      </c>
      <c r="O734" s="905"/>
      <c r="P734" s="58" t="str">
        <f>IF(N729&gt;0,"xx",IF(N729&gt;0,"xy",""))</f>
        <v/>
      </c>
      <c r="Q734" s="317" t="str">
        <f t="shared" si="53"/>
        <v/>
      </c>
      <c r="R734" s="317" t="str">
        <f t="shared" si="54"/>
        <v/>
      </c>
      <c r="S734" s="317" t="str">
        <f t="shared" si="55"/>
        <v/>
      </c>
      <c r="T734" s="317" t="str">
        <f>GLOBAL_DER_FEV_2023!S734</f>
        <v/>
      </c>
      <c r="W734" s="582">
        <v>0</v>
      </c>
      <c r="X734" s="580"/>
      <c r="Y734" s="583">
        <f>IF(GLOBAL_DER_FEV_2023!W734=0,0,IF(GLOBAL_DER_FEV_2023!W734&gt;0,"c","b"))</f>
        <v>0</v>
      </c>
    </row>
    <row r="735" spans="1:25" ht="13.5" hidden="1" thickBot="1" x14ac:dyDescent="0.25">
      <c r="A735" s="317">
        <v>534300</v>
      </c>
      <c r="B735" s="999" t="s">
        <v>1685</v>
      </c>
      <c r="C735" s="1000" t="s">
        <v>184</v>
      </c>
      <c r="D735" s="973" t="s">
        <v>2209</v>
      </c>
      <c r="E735" s="974" t="str">
        <f>GLOBAL_DER_FEV_2023!E735</f>
        <v>taxa RM-2C</v>
      </c>
      <c r="F735" s="975">
        <f>GLOBAL_DER_FEV_2023!F735</f>
        <v>0.14000000000000001</v>
      </c>
      <c r="G735" s="976">
        <f>GLOBAL_DER_FEV_2023!G735</f>
        <v>109.83426</v>
      </c>
      <c r="H735" s="977">
        <f>GLOBAL_DER_FEV_2023!H735</f>
        <v>140.30000000000001</v>
      </c>
      <c r="I735" s="977">
        <f>GLOBAL_DER_FEV_2023!I735</f>
        <v>250.13426000000001</v>
      </c>
      <c r="J735" s="978">
        <f>GLOBAL_DER_FEV_2023!J735</f>
        <v>300.33999999999997</v>
      </c>
      <c r="K735" s="979" t="s">
        <v>10</v>
      </c>
      <c r="L735" s="1152"/>
      <c r="M735" s="1153">
        <f t="shared" si="52"/>
        <v>0</v>
      </c>
      <c r="N735" s="982">
        <f t="shared" si="56"/>
        <v>0</v>
      </c>
      <c r="O735" s="905"/>
      <c r="Q735" s="317" t="str">
        <f t="shared" si="53"/>
        <v/>
      </c>
      <c r="R735" s="317" t="str">
        <f t="shared" si="54"/>
        <v/>
      </c>
      <c r="S735" s="317" t="str">
        <f t="shared" si="55"/>
        <v/>
      </c>
      <c r="T735" s="317" t="str">
        <f>GLOBAL_DER_FEV_2023!S735</f>
        <v/>
      </c>
      <c r="W735" s="582">
        <v>0</v>
      </c>
      <c r="X735" s="580"/>
      <c r="Y735" s="583">
        <f>IF(GLOBAL_DER_FEV_2023!W735=0,0,IF(GLOBAL_DER_FEV_2023!W735&gt;0,"c","b"))</f>
        <v>0</v>
      </c>
    </row>
    <row r="736" spans="1:25" ht="13.5" hidden="1" thickBot="1" x14ac:dyDescent="0.25">
      <c r="A736" s="317" t="s">
        <v>147</v>
      </c>
      <c r="B736" s="895" t="s">
        <v>147</v>
      </c>
      <c r="C736" s="896"/>
      <c r="D736" s="957" t="s">
        <v>229</v>
      </c>
      <c r="E736" s="907">
        <f>GLOBAL_DER_FEV_2023!E736</f>
        <v>150</v>
      </c>
      <c r="F736" s="908">
        <f>GLOBAL_DER_FEV_2023!F736</f>
        <v>0.27</v>
      </c>
      <c r="G736" s="912">
        <f>GLOBAL_DER_FEV_2023!G736</f>
        <v>44.058600000000006</v>
      </c>
      <c r="H736" s="901">
        <f>GLOBAL_DER_FEV_2023!H736</f>
        <v>0</v>
      </c>
      <c r="I736" s="901">
        <f>GLOBAL_DER_FEV_2023!I736</f>
        <v>0</v>
      </c>
      <c r="J736" s="902">
        <f>GLOBAL_DER_FEV_2023!J736</f>
        <v>0</v>
      </c>
      <c r="K736" s="903" t="s">
        <v>507</v>
      </c>
      <c r="L736" s="1003"/>
      <c r="M736" s="1157">
        <f t="shared" si="52"/>
        <v>0</v>
      </c>
      <c r="N736" s="893">
        <f t="shared" si="56"/>
        <v>0</v>
      </c>
      <c r="O736" s="905"/>
      <c r="P736" s="58" t="str">
        <f>IF(N735&gt;0,"xx",IF(N735&gt;0,"xy",""))</f>
        <v/>
      </c>
      <c r="Q736" s="317" t="str">
        <f t="shared" si="53"/>
        <v/>
      </c>
      <c r="R736" s="317" t="str">
        <f t="shared" si="54"/>
        <v/>
      </c>
      <c r="S736" s="317" t="str">
        <f t="shared" si="55"/>
        <v/>
      </c>
      <c r="T736" s="317" t="str">
        <f>GLOBAL_DER_FEV_2023!S736</f>
        <v/>
      </c>
      <c r="W736" s="582">
        <v>0</v>
      </c>
      <c r="X736" s="580"/>
      <c r="Y736" s="583">
        <f>IF(GLOBAL_DER_FEV_2023!W736=0,0,IF(GLOBAL_DER_FEV_2023!W736&gt;0,"c","b"))</f>
        <v>0</v>
      </c>
    </row>
    <row r="737" spans="1:25" ht="13.5" hidden="1" thickBot="1" x14ac:dyDescent="0.25">
      <c r="A737" s="317" t="s">
        <v>147</v>
      </c>
      <c r="B737" s="895" t="s">
        <v>147</v>
      </c>
      <c r="C737" s="896"/>
      <c r="D737" s="957" t="s">
        <v>230</v>
      </c>
      <c r="E737" s="907">
        <f>GLOBAL_DER_FEV_2023!E737</f>
        <v>353</v>
      </c>
      <c r="F737" s="908">
        <f>GLOBAL_DER_FEV_2023!F737</f>
        <v>0</v>
      </c>
      <c r="G737" s="909">
        <f>GLOBAL_DER_FEV_2023!G737</f>
        <v>0</v>
      </c>
      <c r="H737" s="901">
        <f>GLOBAL_DER_FEV_2023!H737</f>
        <v>0</v>
      </c>
      <c r="I737" s="901">
        <f>GLOBAL_DER_FEV_2023!I737</f>
        <v>0</v>
      </c>
      <c r="J737" s="902">
        <f>GLOBAL_DER_FEV_2023!J737</f>
        <v>0</v>
      </c>
      <c r="K737" s="903" t="s">
        <v>507</v>
      </c>
      <c r="L737" s="1003"/>
      <c r="M737" s="1157">
        <f t="shared" si="52"/>
        <v>0</v>
      </c>
      <c r="N737" s="893">
        <f t="shared" si="56"/>
        <v>0</v>
      </c>
      <c r="O737" s="905"/>
      <c r="P737" s="58" t="str">
        <f>IF(N735&gt;0,"xx",IF(N735&gt;0,"xy",""))</f>
        <v/>
      </c>
      <c r="Q737" s="317" t="str">
        <f t="shared" si="53"/>
        <v/>
      </c>
      <c r="R737" s="317" t="str">
        <f t="shared" si="54"/>
        <v/>
      </c>
      <c r="S737" s="317" t="str">
        <f t="shared" si="55"/>
        <v/>
      </c>
      <c r="T737" s="317" t="str">
        <f>GLOBAL_DER_FEV_2023!S737</f>
        <v/>
      </c>
      <c r="W737" s="582">
        <v>0</v>
      </c>
      <c r="X737" s="580"/>
      <c r="Y737" s="583">
        <f>IF(GLOBAL_DER_FEV_2023!W737=0,0,IF(GLOBAL_DER_FEV_2023!W737&gt;0,"c","b"))</f>
        <v>0</v>
      </c>
    </row>
    <row r="738" spans="1:25" ht="13.5" hidden="1" thickBot="1" x14ac:dyDescent="0.25">
      <c r="A738" s="317" t="s">
        <v>147</v>
      </c>
      <c r="B738" s="895" t="s">
        <v>147</v>
      </c>
      <c r="C738" s="896"/>
      <c r="D738" s="957" t="s">
        <v>243</v>
      </c>
      <c r="E738" s="907">
        <f>GLOBAL_DER_FEV_2023!E738</f>
        <v>0.2</v>
      </c>
      <c r="F738" s="908">
        <f>GLOBAL_DER_FEV_2023!F738</f>
        <v>1.89</v>
      </c>
      <c r="G738" s="912">
        <f>GLOBAL_DER_FEV_2023!G738</f>
        <v>5.4696600000000002</v>
      </c>
      <c r="H738" s="901">
        <f>GLOBAL_DER_FEV_2023!H738</f>
        <v>0</v>
      </c>
      <c r="I738" s="901">
        <f>GLOBAL_DER_FEV_2023!I738</f>
        <v>0</v>
      </c>
      <c r="J738" s="902">
        <f>GLOBAL_DER_FEV_2023!J738</f>
        <v>0</v>
      </c>
      <c r="K738" s="903" t="s">
        <v>507</v>
      </c>
      <c r="L738" s="1003"/>
      <c r="M738" s="1157">
        <f t="shared" si="52"/>
        <v>0</v>
      </c>
      <c r="N738" s="893">
        <f t="shared" si="56"/>
        <v>0</v>
      </c>
      <c r="O738" s="905"/>
      <c r="P738" s="58" t="str">
        <f>IF(N735&gt;0,"xx",IF(N735&gt;0,"xy",""))</f>
        <v/>
      </c>
      <c r="Q738" s="317" t="str">
        <f t="shared" si="53"/>
        <v/>
      </c>
      <c r="R738" s="317" t="str">
        <f t="shared" si="54"/>
        <v/>
      </c>
      <c r="S738" s="317" t="str">
        <f t="shared" si="55"/>
        <v/>
      </c>
      <c r="T738" s="317" t="str">
        <f>GLOBAL_DER_FEV_2023!S738</f>
        <v/>
      </c>
      <c r="W738" s="582">
        <v>0</v>
      </c>
      <c r="X738" s="580"/>
      <c r="Y738" s="583">
        <f>IF(GLOBAL_DER_FEV_2023!W738=0,0,IF(GLOBAL_DER_FEV_2023!W738&gt;0,"c","b"))</f>
        <v>0</v>
      </c>
    </row>
    <row r="739" spans="1:25" ht="13.5" hidden="1" thickBot="1" x14ac:dyDescent="0.25">
      <c r="A739" s="317" t="s">
        <v>147</v>
      </c>
      <c r="B739" s="895" t="s">
        <v>147</v>
      </c>
      <c r="C739" s="896"/>
      <c r="D739" s="957" t="s">
        <v>244</v>
      </c>
      <c r="E739" s="907">
        <f>GLOBAL_DER_FEV_2023!E739</f>
        <v>22</v>
      </c>
      <c r="F739" s="908">
        <f>GLOBAL_DER_FEV_2023!F739</f>
        <v>2.2999999999999998</v>
      </c>
      <c r="G739" s="912">
        <f>GLOBAL_DER_FEV_2023!G739</f>
        <v>60.305999999999997</v>
      </c>
      <c r="H739" s="901">
        <f>GLOBAL_DER_FEV_2023!H739</f>
        <v>0</v>
      </c>
      <c r="I739" s="901">
        <f>GLOBAL_DER_FEV_2023!I739</f>
        <v>0</v>
      </c>
      <c r="J739" s="902">
        <f>GLOBAL_DER_FEV_2023!J739</f>
        <v>0</v>
      </c>
      <c r="K739" s="903" t="s">
        <v>507</v>
      </c>
      <c r="L739" s="1003"/>
      <c r="M739" s="1157">
        <f t="shared" si="52"/>
        <v>0</v>
      </c>
      <c r="N739" s="893">
        <f t="shared" si="56"/>
        <v>0</v>
      </c>
      <c r="O739" s="905"/>
      <c r="P739" s="58" t="str">
        <f>IF(N735&gt;0,"xx",IF(N735&gt;0,"xy",""))</f>
        <v/>
      </c>
      <c r="Q739" s="317" t="str">
        <f t="shared" si="53"/>
        <v/>
      </c>
      <c r="R739" s="317" t="str">
        <f t="shared" si="54"/>
        <v/>
      </c>
      <c r="S739" s="317" t="str">
        <f t="shared" si="55"/>
        <v/>
      </c>
      <c r="T739" s="317" t="str">
        <f>GLOBAL_DER_FEV_2023!S739</f>
        <v/>
      </c>
      <c r="W739" s="582">
        <v>0</v>
      </c>
      <c r="X739" s="580"/>
      <c r="Y739" s="583">
        <f>IF(GLOBAL_DER_FEV_2023!W739=0,0,IF(GLOBAL_DER_FEV_2023!W739&gt;0,"c","b"))</f>
        <v>0</v>
      </c>
    </row>
    <row r="740" spans="1:25" ht="13.5" hidden="1" thickBot="1" x14ac:dyDescent="0.25">
      <c r="A740" s="317">
        <v>589320</v>
      </c>
      <c r="B740" s="1004" t="s">
        <v>1694</v>
      </c>
      <c r="C740" s="984" t="s">
        <v>213</v>
      </c>
      <c r="D740" s="1012" t="s">
        <v>700</v>
      </c>
      <c r="E740" s="1005">
        <f>GLOBAL_DER_FEV_2023!E740</f>
        <v>45</v>
      </c>
      <c r="F740" s="1006">
        <f>GLOBAL_DER_FEV_2023!F740</f>
        <v>1</v>
      </c>
      <c r="G740" s="949">
        <f>GLOBAL_DER_FEV_2023!G740</f>
        <v>79.25</v>
      </c>
      <c r="H740" s="988">
        <f>GLOBAL_DER_FEV_2023!H740</f>
        <v>4012.83</v>
      </c>
      <c r="I740" s="988">
        <f>GLOBAL_DER_FEV_2023!I740</f>
        <v>3931.9945856583668</v>
      </c>
      <c r="J740" s="989">
        <f>GLOBAL_DER_FEV_2023!J740</f>
        <v>4721.1499999999996</v>
      </c>
      <c r="K740" s="990" t="s">
        <v>14</v>
      </c>
      <c r="L740" s="1169">
        <f>ROUND(L735*$F735,2)</f>
        <v>0</v>
      </c>
      <c r="M740" s="1168">
        <f t="shared" si="52"/>
        <v>0</v>
      </c>
      <c r="N740" s="993">
        <f t="shared" si="56"/>
        <v>0</v>
      </c>
      <c r="O740" s="905"/>
      <c r="P740" s="58" t="str">
        <f>IF(N735&gt;0,"xx",IF(N735&gt;0,"xy",""))</f>
        <v/>
      </c>
      <c r="Q740" s="317" t="str">
        <f t="shared" si="53"/>
        <v/>
      </c>
      <c r="R740" s="317" t="str">
        <f t="shared" si="54"/>
        <v/>
      </c>
      <c r="S740" s="317" t="str">
        <f t="shared" si="55"/>
        <v/>
      </c>
      <c r="T740" s="317" t="str">
        <f>GLOBAL_DER_FEV_2023!S740</f>
        <v/>
      </c>
      <c r="W740" s="582">
        <v>0</v>
      </c>
      <c r="X740" s="580"/>
      <c r="Y740" s="583">
        <f>IF(GLOBAL_DER_FEV_2023!W740=0,0,IF(GLOBAL_DER_FEV_2023!W740&gt;0,"c","b"))</f>
        <v>0</v>
      </c>
    </row>
    <row r="741" spans="1:25" ht="13.5" hidden="1" thickBot="1" x14ac:dyDescent="0.25">
      <c r="A741" s="317">
        <v>534300</v>
      </c>
      <c r="B741" s="999" t="s">
        <v>1761</v>
      </c>
      <c r="C741" s="1000" t="s">
        <v>184</v>
      </c>
      <c r="D741" s="973" t="s">
        <v>2208</v>
      </c>
      <c r="E741" s="974" t="str">
        <f>GLOBAL_DER_FEV_2023!E741</f>
        <v>taxa RM-2C</v>
      </c>
      <c r="F741" s="975">
        <f>GLOBAL_DER_FEV_2023!F741</f>
        <v>0.14000000000000001</v>
      </c>
      <c r="G741" s="976">
        <f>GLOBAL_DER_FEV_2023!G741</f>
        <v>109.83426</v>
      </c>
      <c r="H741" s="977">
        <f>GLOBAL_DER_FEV_2023!H741</f>
        <v>140.30000000000001</v>
      </c>
      <c r="I741" s="977">
        <f>GLOBAL_DER_FEV_2023!I741</f>
        <v>250.13426000000001</v>
      </c>
      <c r="J741" s="978">
        <f>GLOBAL_DER_FEV_2023!J741</f>
        <v>300.33999999999997</v>
      </c>
      <c r="K741" s="979" t="s">
        <v>10</v>
      </c>
      <c r="L741" s="1152"/>
      <c r="M741" s="1153">
        <f t="shared" si="52"/>
        <v>0</v>
      </c>
      <c r="N741" s="982">
        <f t="shared" si="56"/>
        <v>0</v>
      </c>
      <c r="O741" s="905"/>
      <c r="Q741" s="317" t="str">
        <f t="shared" si="53"/>
        <v/>
      </c>
      <c r="R741" s="317" t="str">
        <f t="shared" si="54"/>
        <v/>
      </c>
      <c r="S741" s="317" t="str">
        <f t="shared" si="55"/>
        <v/>
      </c>
      <c r="T741" s="317" t="str">
        <f>GLOBAL_DER_FEV_2023!S741</f>
        <v/>
      </c>
      <c r="W741" s="582">
        <v>0</v>
      </c>
      <c r="X741" s="580"/>
      <c r="Y741" s="583">
        <f>IF(GLOBAL_DER_FEV_2023!W741=0,0,IF(GLOBAL_DER_FEV_2023!W741&gt;0,"c","b"))</f>
        <v>0</v>
      </c>
    </row>
    <row r="742" spans="1:25" ht="13.5" hidden="1" thickBot="1" x14ac:dyDescent="0.25">
      <c r="A742" s="317" t="s">
        <v>147</v>
      </c>
      <c r="B742" s="895" t="s">
        <v>147</v>
      </c>
      <c r="C742" s="896"/>
      <c r="D742" s="957" t="s">
        <v>229</v>
      </c>
      <c r="E742" s="907">
        <f>GLOBAL_DER_FEV_2023!E742</f>
        <v>150</v>
      </c>
      <c r="F742" s="908">
        <f>GLOBAL_DER_FEV_2023!F742</f>
        <v>0.27</v>
      </c>
      <c r="G742" s="912">
        <f>GLOBAL_DER_FEV_2023!G742</f>
        <v>44.058600000000006</v>
      </c>
      <c r="H742" s="901">
        <f>GLOBAL_DER_FEV_2023!H742</f>
        <v>0</v>
      </c>
      <c r="I742" s="901">
        <f>GLOBAL_DER_FEV_2023!I742</f>
        <v>0</v>
      </c>
      <c r="J742" s="902">
        <f>GLOBAL_DER_FEV_2023!J742</f>
        <v>0</v>
      </c>
      <c r="K742" s="903" t="s">
        <v>507</v>
      </c>
      <c r="L742" s="1003"/>
      <c r="M742" s="1157">
        <f t="shared" si="52"/>
        <v>0</v>
      </c>
      <c r="N742" s="893">
        <f t="shared" si="56"/>
        <v>0</v>
      </c>
      <c r="O742" s="905"/>
      <c r="P742" s="58" t="str">
        <f>IF(N741&gt;0,"xx",IF(N741&gt;0,"xy",""))</f>
        <v/>
      </c>
      <c r="Q742" s="317" t="str">
        <f t="shared" si="53"/>
        <v/>
      </c>
      <c r="R742" s="317" t="str">
        <f t="shared" si="54"/>
        <v/>
      </c>
      <c r="S742" s="317" t="str">
        <f t="shared" si="55"/>
        <v/>
      </c>
      <c r="T742" s="317" t="str">
        <f>GLOBAL_DER_FEV_2023!S742</f>
        <v/>
      </c>
      <c r="W742" s="582">
        <v>0</v>
      </c>
      <c r="X742" s="580"/>
      <c r="Y742" s="583">
        <f>IF(GLOBAL_DER_FEV_2023!W742=0,0,IF(GLOBAL_DER_FEV_2023!W742&gt;0,"c","b"))</f>
        <v>0</v>
      </c>
    </row>
    <row r="743" spans="1:25" ht="13.5" hidden="1" thickBot="1" x14ac:dyDescent="0.25">
      <c r="A743" s="317" t="s">
        <v>147</v>
      </c>
      <c r="B743" s="895" t="s">
        <v>147</v>
      </c>
      <c r="C743" s="896"/>
      <c r="D743" s="957" t="s">
        <v>230</v>
      </c>
      <c r="E743" s="907">
        <f>GLOBAL_DER_FEV_2023!E743</f>
        <v>353</v>
      </c>
      <c r="F743" s="908">
        <f>GLOBAL_DER_FEV_2023!F743</f>
        <v>0</v>
      </c>
      <c r="G743" s="909">
        <f>GLOBAL_DER_FEV_2023!G743</f>
        <v>0</v>
      </c>
      <c r="H743" s="901">
        <f>GLOBAL_DER_FEV_2023!H743</f>
        <v>0</v>
      </c>
      <c r="I743" s="901">
        <f>GLOBAL_DER_FEV_2023!I743</f>
        <v>0</v>
      </c>
      <c r="J743" s="902">
        <f>GLOBAL_DER_FEV_2023!J743</f>
        <v>0</v>
      </c>
      <c r="K743" s="903" t="s">
        <v>507</v>
      </c>
      <c r="L743" s="1003"/>
      <c r="M743" s="1157">
        <f t="shared" si="52"/>
        <v>0</v>
      </c>
      <c r="N743" s="893">
        <f t="shared" si="56"/>
        <v>0</v>
      </c>
      <c r="O743" s="905"/>
      <c r="P743" s="58" t="str">
        <f>IF(N741&gt;0,"xx",IF(N741&gt;0,"xy",""))</f>
        <v/>
      </c>
      <c r="Q743" s="317" t="str">
        <f t="shared" si="53"/>
        <v/>
      </c>
      <c r="R743" s="317" t="str">
        <f t="shared" si="54"/>
        <v/>
      </c>
      <c r="S743" s="317" t="str">
        <f t="shared" si="55"/>
        <v/>
      </c>
      <c r="T743" s="317" t="str">
        <f>GLOBAL_DER_FEV_2023!S743</f>
        <v/>
      </c>
      <c r="W743" s="582">
        <v>0</v>
      </c>
      <c r="X743" s="580"/>
      <c r="Y743" s="583">
        <f>IF(GLOBAL_DER_FEV_2023!W743=0,0,IF(GLOBAL_DER_FEV_2023!W743&gt;0,"c","b"))</f>
        <v>0</v>
      </c>
    </row>
    <row r="744" spans="1:25" ht="13.5" hidden="1" thickBot="1" x14ac:dyDescent="0.25">
      <c r="A744" s="317" t="s">
        <v>147</v>
      </c>
      <c r="B744" s="895" t="s">
        <v>147</v>
      </c>
      <c r="C744" s="896"/>
      <c r="D744" s="957" t="s">
        <v>243</v>
      </c>
      <c r="E744" s="907">
        <f>GLOBAL_DER_FEV_2023!E744</f>
        <v>0.2</v>
      </c>
      <c r="F744" s="908">
        <f>GLOBAL_DER_FEV_2023!F744</f>
        <v>1.89</v>
      </c>
      <c r="G744" s="912">
        <f>GLOBAL_DER_FEV_2023!G744</f>
        <v>5.4696600000000002</v>
      </c>
      <c r="H744" s="901">
        <f>GLOBAL_DER_FEV_2023!H744</f>
        <v>0</v>
      </c>
      <c r="I744" s="901">
        <f>GLOBAL_DER_FEV_2023!I744</f>
        <v>0</v>
      </c>
      <c r="J744" s="902">
        <f>GLOBAL_DER_FEV_2023!J744</f>
        <v>0</v>
      </c>
      <c r="K744" s="903" t="s">
        <v>507</v>
      </c>
      <c r="L744" s="1003"/>
      <c r="M744" s="1157">
        <f t="shared" si="52"/>
        <v>0</v>
      </c>
      <c r="N744" s="893">
        <f t="shared" si="56"/>
        <v>0</v>
      </c>
      <c r="O744" s="905"/>
      <c r="P744" s="58" t="str">
        <f>IF(N741&gt;0,"xx",IF(N741&gt;0,"xy",""))</f>
        <v/>
      </c>
      <c r="Q744" s="317" t="str">
        <f t="shared" si="53"/>
        <v/>
      </c>
      <c r="R744" s="317" t="str">
        <f t="shared" si="54"/>
        <v/>
      </c>
      <c r="S744" s="317" t="str">
        <f t="shared" si="55"/>
        <v/>
      </c>
      <c r="T744" s="317" t="str">
        <f>GLOBAL_DER_FEV_2023!S744</f>
        <v/>
      </c>
      <c r="W744" s="582">
        <v>0</v>
      </c>
      <c r="X744" s="580"/>
      <c r="Y744" s="583">
        <f>IF(GLOBAL_DER_FEV_2023!W744=0,0,IF(GLOBAL_DER_FEV_2023!W744&gt;0,"c","b"))</f>
        <v>0</v>
      </c>
    </row>
    <row r="745" spans="1:25" ht="13.5" hidden="1" thickBot="1" x14ac:dyDescent="0.25">
      <c r="A745" s="317" t="s">
        <v>147</v>
      </c>
      <c r="B745" s="895" t="s">
        <v>147</v>
      </c>
      <c r="C745" s="896"/>
      <c r="D745" s="957" t="s">
        <v>244</v>
      </c>
      <c r="E745" s="907">
        <f>GLOBAL_DER_FEV_2023!E745</f>
        <v>22</v>
      </c>
      <c r="F745" s="908">
        <f>GLOBAL_DER_FEV_2023!F745</f>
        <v>2.2999999999999998</v>
      </c>
      <c r="G745" s="912">
        <f>GLOBAL_DER_FEV_2023!G745</f>
        <v>60.305999999999997</v>
      </c>
      <c r="H745" s="901">
        <f>GLOBAL_DER_FEV_2023!H745</f>
        <v>0</v>
      </c>
      <c r="I745" s="901">
        <f>GLOBAL_DER_FEV_2023!I745</f>
        <v>0</v>
      </c>
      <c r="J745" s="902">
        <f>GLOBAL_DER_FEV_2023!J745</f>
        <v>0</v>
      </c>
      <c r="K745" s="903" t="s">
        <v>507</v>
      </c>
      <c r="L745" s="1003"/>
      <c r="M745" s="1157">
        <f t="shared" si="52"/>
        <v>0</v>
      </c>
      <c r="N745" s="893">
        <f t="shared" si="56"/>
        <v>0</v>
      </c>
      <c r="O745" s="905"/>
      <c r="P745" s="58" t="str">
        <f>IF(N741&gt;0,"xx",IF(N741&gt;0,"xy",""))</f>
        <v/>
      </c>
      <c r="Q745" s="317" t="str">
        <f t="shared" si="53"/>
        <v/>
      </c>
      <c r="R745" s="317" t="str">
        <f t="shared" si="54"/>
        <v/>
      </c>
      <c r="S745" s="317" t="str">
        <f t="shared" si="55"/>
        <v/>
      </c>
      <c r="T745" s="317" t="str">
        <f>GLOBAL_DER_FEV_2023!S745</f>
        <v/>
      </c>
      <c r="W745" s="582">
        <v>0</v>
      </c>
      <c r="X745" s="580"/>
      <c r="Y745" s="583">
        <f>IF(GLOBAL_DER_FEV_2023!W745=0,0,IF(GLOBAL_DER_FEV_2023!W745&gt;0,"c","b"))</f>
        <v>0</v>
      </c>
    </row>
    <row r="746" spans="1:25" ht="13.5" hidden="1" thickBot="1" x14ac:dyDescent="0.25">
      <c r="A746" s="317">
        <v>589320</v>
      </c>
      <c r="B746" s="1004" t="s">
        <v>1695</v>
      </c>
      <c r="C746" s="984" t="s">
        <v>213</v>
      </c>
      <c r="D746" s="1012" t="s">
        <v>700</v>
      </c>
      <c r="E746" s="1005">
        <f>GLOBAL_DER_FEV_2023!E746</f>
        <v>45</v>
      </c>
      <c r="F746" s="1006">
        <f>GLOBAL_DER_FEV_2023!F746</f>
        <v>1</v>
      </c>
      <c r="G746" s="949">
        <f>GLOBAL_DER_FEV_2023!G746</f>
        <v>79.25</v>
      </c>
      <c r="H746" s="988">
        <f>GLOBAL_DER_FEV_2023!H746</f>
        <v>4012.83</v>
      </c>
      <c r="I746" s="988">
        <f>GLOBAL_DER_FEV_2023!I746</f>
        <v>3931.9945856583668</v>
      </c>
      <c r="J746" s="989">
        <f>GLOBAL_DER_FEV_2023!J746</f>
        <v>4721.1499999999996</v>
      </c>
      <c r="K746" s="990" t="s">
        <v>14</v>
      </c>
      <c r="L746" s="1169">
        <f>ROUND(L741*$F741,2)</f>
        <v>0</v>
      </c>
      <c r="M746" s="1168">
        <f t="shared" si="52"/>
        <v>0</v>
      </c>
      <c r="N746" s="993">
        <f t="shared" si="56"/>
        <v>0</v>
      </c>
      <c r="O746" s="905"/>
      <c r="P746" s="58" t="str">
        <f>IF(N741&gt;0,"xx",IF(N741&gt;0,"xy",""))</f>
        <v/>
      </c>
      <c r="Q746" s="317" t="str">
        <f t="shared" si="53"/>
        <v/>
      </c>
      <c r="R746" s="317" t="str">
        <f t="shared" si="54"/>
        <v/>
      </c>
      <c r="S746" s="317" t="str">
        <f t="shared" si="55"/>
        <v/>
      </c>
      <c r="T746" s="317" t="str">
        <f>GLOBAL_DER_FEV_2023!S746</f>
        <v/>
      </c>
      <c r="W746" s="582">
        <v>0</v>
      </c>
      <c r="X746" s="580"/>
      <c r="Y746" s="583">
        <f>IF(GLOBAL_DER_FEV_2023!W746=0,0,IF(GLOBAL_DER_FEV_2023!W746&gt;0,"c","b"))</f>
        <v>0</v>
      </c>
    </row>
    <row r="747" spans="1:25" ht="13.5" hidden="1" thickBot="1" x14ac:dyDescent="0.25">
      <c r="A747" s="317">
        <v>534300</v>
      </c>
      <c r="B747" s="999" t="s">
        <v>1762</v>
      </c>
      <c r="C747" s="1000" t="s">
        <v>184</v>
      </c>
      <c r="D747" s="973" t="s">
        <v>2210</v>
      </c>
      <c r="E747" s="974" t="str">
        <f>GLOBAL_DER_FEV_2023!E747</f>
        <v>taxa RM-2C</v>
      </c>
      <c r="F747" s="975">
        <f>GLOBAL_DER_FEV_2023!F747</f>
        <v>0.18240000000000001</v>
      </c>
      <c r="G747" s="976">
        <f>GLOBAL_DER_FEV_2023!G747</f>
        <v>184.42589220000002</v>
      </c>
      <c r="H747" s="977">
        <f>GLOBAL_DER_FEV_2023!H747</f>
        <v>140.30000000000001</v>
      </c>
      <c r="I747" s="977">
        <f>GLOBAL_DER_FEV_2023!I747</f>
        <v>324.72589220000003</v>
      </c>
      <c r="J747" s="978">
        <f>GLOBAL_DER_FEV_2023!J747</f>
        <v>389.9</v>
      </c>
      <c r="K747" s="979" t="s">
        <v>10</v>
      </c>
      <c r="L747" s="1152"/>
      <c r="M747" s="1153">
        <f t="shared" si="52"/>
        <v>0</v>
      </c>
      <c r="N747" s="982">
        <f t="shared" si="56"/>
        <v>0</v>
      </c>
      <c r="O747" s="905"/>
      <c r="Q747" s="317" t="str">
        <f t="shared" si="53"/>
        <v/>
      </c>
      <c r="R747" s="317" t="str">
        <f t="shared" si="54"/>
        <v/>
      </c>
      <c r="S747" s="317" t="str">
        <f t="shared" si="55"/>
        <v/>
      </c>
      <c r="T747" s="317" t="str">
        <f>GLOBAL_DER_FEV_2023!S747</f>
        <v/>
      </c>
      <c r="W747" s="582">
        <v>0</v>
      </c>
      <c r="X747" s="580"/>
      <c r="Y747" s="583">
        <f>IF(GLOBAL_DER_FEV_2023!W747=0,0,IF(GLOBAL_DER_FEV_2023!W747&gt;0,"c","b"))</f>
        <v>0</v>
      </c>
    </row>
    <row r="748" spans="1:25" ht="13.5" hidden="1" thickBot="1" x14ac:dyDescent="0.25">
      <c r="A748" s="317" t="s">
        <v>147</v>
      </c>
      <c r="B748" s="895" t="s">
        <v>147</v>
      </c>
      <c r="C748" s="896"/>
      <c r="D748" s="957" t="s">
        <v>229</v>
      </c>
      <c r="E748" s="907">
        <f>GLOBAL_DER_FEV_2023!E748</f>
        <v>150</v>
      </c>
      <c r="F748" s="908">
        <f>GLOBAL_DER_FEV_2023!F748</f>
        <v>0.56969999999999998</v>
      </c>
      <c r="G748" s="912">
        <f>GLOBAL_DER_FEV_2023!G748</f>
        <v>92.963645999999997</v>
      </c>
      <c r="H748" s="901">
        <f>GLOBAL_DER_FEV_2023!H748</f>
        <v>0</v>
      </c>
      <c r="I748" s="901">
        <f>GLOBAL_DER_FEV_2023!I748</f>
        <v>0</v>
      </c>
      <c r="J748" s="902">
        <f>GLOBAL_DER_FEV_2023!J748</f>
        <v>0</v>
      </c>
      <c r="K748" s="903" t="s">
        <v>507</v>
      </c>
      <c r="L748" s="1003"/>
      <c r="M748" s="1157">
        <f t="shared" si="52"/>
        <v>0</v>
      </c>
      <c r="N748" s="893">
        <f t="shared" si="56"/>
        <v>0</v>
      </c>
      <c r="O748" s="905"/>
      <c r="P748" s="58" t="str">
        <f>IF(N747&gt;0,"xx",IF(N747&gt;0,"xy",""))</f>
        <v/>
      </c>
      <c r="Q748" s="317" t="str">
        <f t="shared" si="53"/>
        <v/>
      </c>
      <c r="R748" s="317" t="str">
        <f t="shared" si="54"/>
        <v/>
      </c>
      <c r="S748" s="317" t="str">
        <f t="shared" si="55"/>
        <v/>
      </c>
      <c r="T748" s="317" t="str">
        <f>GLOBAL_DER_FEV_2023!S748</f>
        <v/>
      </c>
      <c r="W748" s="582">
        <v>0</v>
      </c>
      <c r="X748" s="580"/>
      <c r="Y748" s="583">
        <f>IF(GLOBAL_DER_FEV_2023!W748=0,0,IF(GLOBAL_DER_FEV_2023!W748&gt;0,"c","b"))</f>
        <v>0</v>
      </c>
    </row>
    <row r="749" spans="1:25" ht="13.5" hidden="1" thickBot="1" x14ac:dyDescent="0.25">
      <c r="A749" s="317" t="s">
        <v>147</v>
      </c>
      <c r="B749" s="895" t="s">
        <v>147</v>
      </c>
      <c r="C749" s="896"/>
      <c r="D749" s="957" t="s">
        <v>230</v>
      </c>
      <c r="E749" s="907">
        <f>GLOBAL_DER_FEV_2023!E749</f>
        <v>353</v>
      </c>
      <c r="F749" s="908">
        <f>GLOBAL_DER_FEV_2023!F749</f>
        <v>8.7599999999999997E-2</v>
      </c>
      <c r="G749" s="909">
        <f>GLOBAL_DER_FEV_2023!G749</f>
        <v>24.804816000000002</v>
      </c>
      <c r="H749" s="901">
        <f>GLOBAL_DER_FEV_2023!H749</f>
        <v>0</v>
      </c>
      <c r="I749" s="901">
        <f>GLOBAL_DER_FEV_2023!I749</f>
        <v>0</v>
      </c>
      <c r="J749" s="902">
        <f>GLOBAL_DER_FEV_2023!J749</f>
        <v>0</v>
      </c>
      <c r="K749" s="903" t="s">
        <v>507</v>
      </c>
      <c r="L749" s="1003"/>
      <c r="M749" s="1157">
        <f t="shared" si="52"/>
        <v>0</v>
      </c>
      <c r="N749" s="893">
        <f t="shared" si="56"/>
        <v>0</v>
      </c>
      <c r="O749" s="905"/>
      <c r="P749" s="58" t="str">
        <f>IF(N747&gt;0,"xx",IF(N747&gt;0,"xy",""))</f>
        <v/>
      </c>
      <c r="Q749" s="317" t="str">
        <f t="shared" si="53"/>
        <v/>
      </c>
      <c r="R749" s="317" t="str">
        <f t="shared" si="54"/>
        <v/>
      </c>
      <c r="S749" s="317" t="str">
        <f t="shared" si="55"/>
        <v/>
      </c>
      <c r="T749" s="317" t="str">
        <f>GLOBAL_DER_FEV_2023!S749</f>
        <v/>
      </c>
      <c r="W749" s="582">
        <v>0</v>
      </c>
      <c r="X749" s="580"/>
      <c r="Y749" s="583">
        <f>IF(GLOBAL_DER_FEV_2023!W749=0,0,IF(GLOBAL_DER_FEV_2023!W749&gt;0,"c","b"))</f>
        <v>0</v>
      </c>
    </row>
    <row r="750" spans="1:25" ht="13.5" hidden="1" thickBot="1" x14ac:dyDescent="0.25">
      <c r="A750" s="317" t="s">
        <v>147</v>
      </c>
      <c r="B750" s="895" t="s">
        <v>147</v>
      </c>
      <c r="C750" s="896"/>
      <c r="D750" s="957" t="s">
        <v>243</v>
      </c>
      <c r="E750" s="907">
        <f>GLOBAL_DER_FEV_2023!E750</f>
        <v>0.2</v>
      </c>
      <c r="F750" s="908">
        <f>GLOBAL_DER_FEV_2023!F750</f>
        <v>1.5333000000000001</v>
      </c>
      <c r="G750" s="912">
        <f>GLOBAL_DER_FEV_2023!G750</f>
        <v>4.4373702000000002</v>
      </c>
      <c r="H750" s="901">
        <f>GLOBAL_DER_FEV_2023!H750</f>
        <v>0</v>
      </c>
      <c r="I750" s="901">
        <f>GLOBAL_DER_FEV_2023!I750</f>
        <v>0</v>
      </c>
      <c r="J750" s="902">
        <f>GLOBAL_DER_FEV_2023!J750</f>
        <v>0</v>
      </c>
      <c r="K750" s="903" t="s">
        <v>507</v>
      </c>
      <c r="L750" s="1003"/>
      <c r="M750" s="1157">
        <f t="shared" si="52"/>
        <v>0</v>
      </c>
      <c r="N750" s="893">
        <f t="shared" si="56"/>
        <v>0</v>
      </c>
      <c r="O750" s="905"/>
      <c r="P750" s="58" t="str">
        <f>IF(N747&gt;0,"xx",IF(N747&gt;0,"xy",""))</f>
        <v/>
      </c>
      <c r="Q750" s="317" t="str">
        <f t="shared" si="53"/>
        <v/>
      </c>
      <c r="R750" s="317" t="str">
        <f t="shared" si="54"/>
        <v/>
      </c>
      <c r="S750" s="317" t="str">
        <f t="shared" si="55"/>
        <v/>
      </c>
      <c r="T750" s="317" t="str">
        <f>GLOBAL_DER_FEV_2023!S750</f>
        <v/>
      </c>
      <c r="W750" s="582">
        <v>0</v>
      </c>
      <c r="X750" s="580"/>
      <c r="Y750" s="583">
        <f>IF(GLOBAL_DER_FEV_2023!W750=0,0,IF(GLOBAL_DER_FEV_2023!W750&gt;0,"c","b"))</f>
        <v>0</v>
      </c>
    </row>
    <row r="751" spans="1:25" ht="13.5" hidden="1" thickBot="1" x14ac:dyDescent="0.25">
      <c r="A751" s="317" t="s">
        <v>147</v>
      </c>
      <c r="B751" s="895" t="s">
        <v>147</v>
      </c>
      <c r="C751" s="896"/>
      <c r="D751" s="957" t="s">
        <v>244</v>
      </c>
      <c r="E751" s="907">
        <f>GLOBAL_DER_FEV_2023!E751</f>
        <v>22</v>
      </c>
      <c r="F751" s="908">
        <f>GLOBAL_DER_FEV_2023!F751</f>
        <v>2.3730000000000002</v>
      </c>
      <c r="G751" s="912">
        <f>GLOBAL_DER_FEV_2023!G751</f>
        <v>62.220060000000011</v>
      </c>
      <c r="H751" s="901">
        <f>GLOBAL_DER_FEV_2023!H751</f>
        <v>0</v>
      </c>
      <c r="I751" s="901">
        <f>GLOBAL_DER_FEV_2023!I751</f>
        <v>0</v>
      </c>
      <c r="J751" s="902">
        <f>GLOBAL_DER_FEV_2023!J751</f>
        <v>0</v>
      </c>
      <c r="K751" s="903" t="s">
        <v>507</v>
      </c>
      <c r="L751" s="1003"/>
      <c r="M751" s="1157">
        <f t="shared" si="52"/>
        <v>0</v>
      </c>
      <c r="N751" s="893">
        <f t="shared" si="56"/>
        <v>0</v>
      </c>
      <c r="O751" s="905"/>
      <c r="P751" s="58" t="str">
        <f>IF(N747&gt;0,"xx",IF(N747&gt;0,"xy",""))</f>
        <v/>
      </c>
      <c r="Q751" s="317" t="str">
        <f t="shared" si="53"/>
        <v/>
      </c>
      <c r="R751" s="317" t="str">
        <f t="shared" si="54"/>
        <v/>
      </c>
      <c r="S751" s="317" t="str">
        <f t="shared" si="55"/>
        <v/>
      </c>
      <c r="T751" s="317" t="str">
        <f>GLOBAL_DER_FEV_2023!S751</f>
        <v/>
      </c>
      <c r="W751" s="582">
        <v>0</v>
      </c>
      <c r="X751" s="580"/>
      <c r="Y751" s="583">
        <f>IF(GLOBAL_DER_FEV_2023!W751=0,0,IF(GLOBAL_DER_FEV_2023!W751&gt;0,"c","b"))</f>
        <v>0</v>
      </c>
    </row>
    <row r="752" spans="1:25" ht="13.5" hidden="1" thickBot="1" x14ac:dyDescent="0.25">
      <c r="A752" s="317">
        <v>589320</v>
      </c>
      <c r="B752" s="1004" t="s">
        <v>1696</v>
      </c>
      <c r="C752" s="984" t="s">
        <v>213</v>
      </c>
      <c r="D752" s="1012" t="s">
        <v>1682</v>
      </c>
      <c r="E752" s="1005">
        <f>GLOBAL_DER_FEV_2023!E752</f>
        <v>45</v>
      </c>
      <c r="F752" s="1006">
        <f>GLOBAL_DER_FEV_2023!F752</f>
        <v>1</v>
      </c>
      <c r="G752" s="949">
        <f>GLOBAL_DER_FEV_2023!G752</f>
        <v>79.25</v>
      </c>
      <c r="H752" s="988">
        <f>GLOBAL_DER_FEV_2023!H752</f>
        <v>4012.83</v>
      </c>
      <c r="I752" s="988">
        <f>GLOBAL_DER_FEV_2023!I752</f>
        <v>3931.9945856583668</v>
      </c>
      <c r="J752" s="989">
        <f>GLOBAL_DER_FEV_2023!J752</f>
        <v>4721.1499999999996</v>
      </c>
      <c r="K752" s="990" t="s">
        <v>14</v>
      </c>
      <c r="L752" s="1169">
        <f>ROUND(L747*$F747,2)</f>
        <v>0</v>
      </c>
      <c r="M752" s="1168">
        <f t="shared" si="52"/>
        <v>0</v>
      </c>
      <c r="N752" s="993">
        <f t="shared" si="56"/>
        <v>0</v>
      </c>
      <c r="O752" s="905"/>
      <c r="P752" s="58" t="str">
        <f>IF(N747&gt;0,"xx",IF(N747&gt;0,"xy",""))</f>
        <v/>
      </c>
      <c r="Q752" s="317" t="str">
        <f t="shared" si="53"/>
        <v/>
      </c>
      <c r="R752" s="317" t="str">
        <f t="shared" si="54"/>
        <v/>
      </c>
      <c r="S752" s="317" t="str">
        <f t="shared" si="55"/>
        <v/>
      </c>
      <c r="T752" s="317" t="str">
        <f>GLOBAL_DER_FEV_2023!S752</f>
        <v/>
      </c>
      <c r="W752" s="582">
        <v>0</v>
      </c>
      <c r="X752" s="580"/>
      <c r="Y752" s="583">
        <f>IF(GLOBAL_DER_FEV_2023!W752=0,0,IF(GLOBAL_DER_FEV_2023!W752&gt;0,"c","b"))</f>
        <v>0</v>
      </c>
    </row>
    <row r="753" spans="1:25" ht="13.5" hidden="1" thickBot="1" x14ac:dyDescent="0.25">
      <c r="A753" s="317">
        <v>570300</v>
      </c>
      <c r="B753" s="999" t="s">
        <v>1763</v>
      </c>
      <c r="C753" s="1000" t="s">
        <v>184</v>
      </c>
      <c r="D753" s="1019" t="s">
        <v>769</v>
      </c>
      <c r="E753" s="974" t="str">
        <f>GLOBAL_DER_FEV_2023!E753</f>
        <v>taxa CAP</v>
      </c>
      <c r="F753" s="975">
        <f>GLOBAL_DER_FEV_2023!F753</f>
        <v>0.04</v>
      </c>
      <c r="G753" s="976">
        <f>GLOBAL_DER_FEV_2023!G753</f>
        <v>36.972230000000003</v>
      </c>
      <c r="H753" s="977">
        <f>GLOBAL_DER_FEV_2023!H753</f>
        <v>178.78</v>
      </c>
      <c r="I753" s="977">
        <f>GLOBAL_DER_FEV_2023!I753</f>
        <v>215.75223</v>
      </c>
      <c r="J753" s="978">
        <f>GLOBAL_DER_FEV_2023!J753</f>
        <v>259.05</v>
      </c>
      <c r="K753" s="979" t="s">
        <v>14</v>
      </c>
      <c r="L753" s="1152"/>
      <c r="M753" s="1153">
        <f t="shared" si="52"/>
        <v>0</v>
      </c>
      <c r="N753" s="982">
        <f t="shared" si="56"/>
        <v>0</v>
      </c>
      <c r="O753" s="905"/>
      <c r="Q753" s="317" t="str">
        <f t="shared" si="53"/>
        <v/>
      </c>
      <c r="R753" s="317" t="str">
        <f t="shared" si="54"/>
        <v/>
      </c>
      <c r="S753" s="317" t="str">
        <f t="shared" si="55"/>
        <v/>
      </c>
      <c r="T753" s="317" t="str">
        <f>GLOBAL_DER_FEV_2023!S753</f>
        <v/>
      </c>
      <c r="W753" s="582">
        <v>0</v>
      </c>
      <c r="X753" s="580"/>
      <c r="Y753" s="583">
        <f>IF(GLOBAL_DER_FEV_2023!W753=0,0,IF(GLOBAL_DER_FEV_2023!W753&gt;0,"c","b"))</f>
        <v>0</v>
      </c>
    </row>
    <row r="754" spans="1:25" ht="13.5" hidden="1" thickBot="1" x14ac:dyDescent="0.25">
      <c r="A754" s="317" t="s">
        <v>147</v>
      </c>
      <c r="B754" s="895" t="s">
        <v>147</v>
      </c>
      <c r="C754" s="896"/>
      <c r="D754" s="957" t="s">
        <v>229</v>
      </c>
      <c r="E754" s="907">
        <f>GLOBAL_DER_FEV_2023!E754</f>
        <v>150</v>
      </c>
      <c r="F754" s="908">
        <f>GLOBAL_DER_FEV_2023!F754</f>
        <v>0</v>
      </c>
      <c r="G754" s="949">
        <f>GLOBAL_DER_FEV_2023!G754</f>
        <v>0</v>
      </c>
      <c r="H754" s="901">
        <f>GLOBAL_DER_FEV_2023!H754</f>
        <v>0</v>
      </c>
      <c r="I754" s="901">
        <f>GLOBAL_DER_FEV_2023!I754</f>
        <v>0</v>
      </c>
      <c r="J754" s="902">
        <f>GLOBAL_DER_FEV_2023!J754</f>
        <v>0</v>
      </c>
      <c r="K754" s="903" t="s">
        <v>507</v>
      </c>
      <c r="L754" s="1003"/>
      <c r="M754" s="1157">
        <f t="shared" si="52"/>
        <v>0</v>
      </c>
      <c r="N754" s="893">
        <f t="shared" si="56"/>
        <v>0</v>
      </c>
      <c r="O754" s="905"/>
      <c r="P754" s="58" t="str">
        <f>IF(N753&gt;0,"xx",IF(N753&gt;0,"xy",""))</f>
        <v/>
      </c>
      <c r="Q754" s="317" t="str">
        <f t="shared" si="53"/>
        <v/>
      </c>
      <c r="R754" s="317" t="str">
        <f t="shared" si="54"/>
        <v/>
      </c>
      <c r="S754" s="317" t="str">
        <f t="shared" si="55"/>
        <v/>
      </c>
      <c r="T754" s="317" t="str">
        <f>GLOBAL_DER_FEV_2023!S754</f>
        <v/>
      </c>
      <c r="W754" s="582">
        <v>0</v>
      </c>
      <c r="X754" s="580"/>
      <c r="Y754" s="583">
        <f>IF(GLOBAL_DER_FEV_2023!W754=0,0,IF(GLOBAL_DER_FEV_2023!W754&gt;0,"c","b"))</f>
        <v>0</v>
      </c>
    </row>
    <row r="755" spans="1:25" ht="13.5" hidden="1" thickBot="1" x14ac:dyDescent="0.25">
      <c r="A755" s="317" t="s">
        <v>147</v>
      </c>
      <c r="B755" s="895" t="s">
        <v>147</v>
      </c>
      <c r="C755" s="896"/>
      <c r="D755" s="957" t="s">
        <v>230</v>
      </c>
      <c r="E755" s="907">
        <f>GLOBAL_DER_FEV_2023!E755</f>
        <v>353</v>
      </c>
      <c r="F755" s="908">
        <f>GLOBAL_DER_FEV_2023!F755</f>
        <v>1.4999999999999999E-2</v>
      </c>
      <c r="G755" s="909">
        <f>GLOBAL_DER_FEV_2023!G755</f>
        <v>4.2473999999999998</v>
      </c>
      <c r="H755" s="901">
        <f>GLOBAL_DER_FEV_2023!H755</f>
        <v>0</v>
      </c>
      <c r="I755" s="901">
        <f>GLOBAL_DER_FEV_2023!I755</f>
        <v>0</v>
      </c>
      <c r="J755" s="902">
        <f>GLOBAL_DER_FEV_2023!J755</f>
        <v>0</v>
      </c>
      <c r="K755" s="903" t="s">
        <v>507</v>
      </c>
      <c r="L755" s="1003"/>
      <c r="M755" s="1157">
        <f t="shared" si="52"/>
        <v>0</v>
      </c>
      <c r="N755" s="893">
        <f t="shared" si="56"/>
        <v>0</v>
      </c>
      <c r="O755" s="905"/>
      <c r="P755" s="58" t="str">
        <f>IF(N753&gt;0,"xx",IF(N753&gt;0,"xy",""))</f>
        <v/>
      </c>
      <c r="Q755" s="317" t="str">
        <f t="shared" si="53"/>
        <v/>
      </c>
      <c r="R755" s="317" t="str">
        <f t="shared" si="54"/>
        <v/>
      </c>
      <c r="S755" s="317" t="str">
        <f t="shared" si="55"/>
        <v/>
      </c>
      <c r="T755" s="317" t="str">
        <f>GLOBAL_DER_FEV_2023!S755</f>
        <v/>
      </c>
      <c r="W755" s="582">
        <v>0</v>
      </c>
      <c r="X755" s="580"/>
      <c r="Y755" s="583">
        <f>IF(GLOBAL_DER_FEV_2023!W755=0,0,IF(GLOBAL_DER_FEV_2023!W755&gt;0,"c","b"))</f>
        <v>0</v>
      </c>
    </row>
    <row r="756" spans="1:25" ht="13.5" hidden="1" thickBot="1" x14ac:dyDescent="0.25">
      <c r="A756" s="317" t="s">
        <v>147</v>
      </c>
      <c r="B756" s="895" t="s">
        <v>147</v>
      </c>
      <c r="C756" s="896"/>
      <c r="D756" s="957" t="s">
        <v>243</v>
      </c>
      <c r="E756" s="907">
        <f>GLOBAL_DER_FEV_2023!E756</f>
        <v>0.2</v>
      </c>
      <c r="F756" s="908">
        <f>GLOBAL_DER_FEV_2023!F756</f>
        <v>0.94499999999999995</v>
      </c>
      <c r="G756" s="949">
        <f>GLOBAL_DER_FEV_2023!G756</f>
        <v>2.7348300000000001</v>
      </c>
      <c r="H756" s="901">
        <f>GLOBAL_DER_FEV_2023!H756</f>
        <v>0</v>
      </c>
      <c r="I756" s="901">
        <f>GLOBAL_DER_FEV_2023!I756</f>
        <v>0</v>
      </c>
      <c r="J756" s="902">
        <f>GLOBAL_DER_FEV_2023!J756</f>
        <v>0</v>
      </c>
      <c r="K756" s="903" t="s">
        <v>507</v>
      </c>
      <c r="L756" s="1003"/>
      <c r="M756" s="1157">
        <f t="shared" si="52"/>
        <v>0</v>
      </c>
      <c r="N756" s="893">
        <f t="shared" si="56"/>
        <v>0</v>
      </c>
      <c r="O756" s="905"/>
      <c r="P756" s="58" t="str">
        <f>IF(N753&gt;0,"xx",IF(N753&gt;0,"xy",""))</f>
        <v/>
      </c>
      <c r="Q756" s="317" t="str">
        <f t="shared" si="53"/>
        <v/>
      </c>
      <c r="R756" s="317" t="str">
        <f t="shared" si="54"/>
        <v/>
      </c>
      <c r="S756" s="317" t="str">
        <f t="shared" si="55"/>
        <v/>
      </c>
      <c r="T756" s="317" t="str">
        <f>GLOBAL_DER_FEV_2023!S756</f>
        <v/>
      </c>
      <c r="W756" s="582">
        <v>0</v>
      </c>
      <c r="X756" s="580"/>
      <c r="Y756" s="583">
        <f>IF(GLOBAL_DER_FEV_2023!W756=0,0,IF(GLOBAL_DER_FEV_2023!W756&gt;0,"c","b"))</f>
        <v>0</v>
      </c>
    </row>
    <row r="757" spans="1:25" ht="13.5" hidden="1" thickBot="1" x14ac:dyDescent="0.25">
      <c r="A757" s="317" t="s">
        <v>147</v>
      </c>
      <c r="B757" s="895" t="s">
        <v>147</v>
      </c>
      <c r="C757" s="896"/>
      <c r="D757" s="957" t="s">
        <v>244</v>
      </c>
      <c r="E757" s="907">
        <f>GLOBAL_DER_FEV_2023!E757</f>
        <v>22</v>
      </c>
      <c r="F757" s="908">
        <f>GLOBAL_DER_FEV_2023!F757</f>
        <v>1</v>
      </c>
      <c r="G757" s="912">
        <f>GLOBAL_DER_FEV_2023!G757</f>
        <v>29.990000000000002</v>
      </c>
      <c r="H757" s="901">
        <f>GLOBAL_DER_FEV_2023!H757</f>
        <v>0</v>
      </c>
      <c r="I757" s="901">
        <f>GLOBAL_DER_FEV_2023!I757</f>
        <v>0</v>
      </c>
      <c r="J757" s="902">
        <f>GLOBAL_DER_FEV_2023!J757</f>
        <v>0</v>
      </c>
      <c r="K757" s="903" t="s">
        <v>507</v>
      </c>
      <c r="L757" s="1003"/>
      <c r="M757" s="1157">
        <f t="shared" si="52"/>
        <v>0</v>
      </c>
      <c r="N757" s="893">
        <f t="shared" si="56"/>
        <v>0</v>
      </c>
      <c r="O757" s="905"/>
      <c r="P757" s="58" t="str">
        <f>IF(N753&gt;0,"xx",IF(N753&gt;0,"xy",""))</f>
        <v/>
      </c>
      <c r="Q757" s="317" t="str">
        <f t="shared" si="53"/>
        <v/>
      </c>
      <c r="R757" s="317" t="str">
        <f t="shared" si="54"/>
        <v/>
      </c>
      <c r="S757" s="317" t="str">
        <f t="shared" si="55"/>
        <v/>
      </c>
      <c r="T757" s="317" t="str">
        <f>GLOBAL_DER_FEV_2023!S757</f>
        <v/>
      </c>
      <c r="W757" s="582">
        <v>0</v>
      </c>
      <c r="X757" s="580"/>
      <c r="Y757" s="583">
        <f>IF(GLOBAL_DER_FEV_2023!W757=0,0,IF(GLOBAL_DER_FEV_2023!W757&gt;0,"c","b"))</f>
        <v>0</v>
      </c>
    </row>
    <row r="758" spans="1:25" ht="13.5" hidden="1" thickBot="1" x14ac:dyDescent="0.25">
      <c r="A758" s="317">
        <v>589000</v>
      </c>
      <c r="B758" s="1009" t="s">
        <v>726</v>
      </c>
      <c r="C758" s="860" t="s">
        <v>213</v>
      </c>
      <c r="D758" s="1012" t="s">
        <v>565</v>
      </c>
      <c r="E758" s="1020">
        <f>GLOBAL_DER_FEV_2023!E758</f>
        <v>45</v>
      </c>
      <c r="F758" s="1006">
        <f>GLOBAL_DER_FEV_2023!F758</f>
        <v>1</v>
      </c>
      <c r="G758" s="949">
        <f>GLOBAL_DER_FEV_2023!G758</f>
        <v>88.36</v>
      </c>
      <c r="H758" s="988">
        <f>GLOBAL_DER_FEV_2023!H758</f>
        <v>4828.8599999999997</v>
      </c>
      <c r="I758" s="988">
        <f>GLOBAL_DER_FEV_2023!I758</f>
        <v>4724.580378112767</v>
      </c>
      <c r="J758" s="1011">
        <f>GLOBAL_DER_FEV_2023!J758</f>
        <v>5672.8</v>
      </c>
      <c r="K758" s="867" t="s">
        <v>14</v>
      </c>
      <c r="L758" s="1169">
        <f>ROUND(L753*$F753,2)</f>
        <v>0</v>
      </c>
      <c r="M758" s="1168">
        <f t="shared" si="52"/>
        <v>0</v>
      </c>
      <c r="N758" s="993">
        <f t="shared" si="56"/>
        <v>0</v>
      </c>
      <c r="O758" s="905"/>
      <c r="P758" s="58" t="str">
        <f>IF(N753&gt;0,"xx",IF(N753&gt;0,"xy",""))</f>
        <v/>
      </c>
      <c r="Q758" s="317" t="str">
        <f t="shared" si="53"/>
        <v/>
      </c>
      <c r="R758" s="317" t="str">
        <f t="shared" si="54"/>
        <v/>
      </c>
      <c r="S758" s="317" t="str">
        <f t="shared" si="55"/>
        <v/>
      </c>
      <c r="T758" s="317" t="str">
        <f>GLOBAL_DER_FEV_2023!S758</f>
        <v/>
      </c>
      <c r="W758" s="582">
        <v>0</v>
      </c>
      <c r="X758" s="580"/>
      <c r="Y758" s="583">
        <f>IF(GLOBAL_DER_FEV_2023!W758=0,0,IF(GLOBAL_DER_FEV_2023!W758&gt;0,"c","b"))</f>
        <v>0</v>
      </c>
    </row>
    <row r="759" spans="1:25" ht="13.5" hidden="1" thickBot="1" x14ac:dyDescent="0.25">
      <c r="A759" s="317">
        <v>570310</v>
      </c>
      <c r="B759" s="999" t="s">
        <v>1650</v>
      </c>
      <c r="C759" s="1000" t="s">
        <v>184</v>
      </c>
      <c r="D759" s="1019" t="s">
        <v>770</v>
      </c>
      <c r="E759" s="974" t="str">
        <f>GLOBAL_DER_FEV_2023!E759</f>
        <v>taxa CAP</v>
      </c>
      <c r="F759" s="975">
        <f>GLOBAL_DER_FEV_2023!F759</f>
        <v>0.04</v>
      </c>
      <c r="G759" s="976">
        <f>GLOBAL_DER_FEV_2023!G759</f>
        <v>36.972230000000003</v>
      </c>
      <c r="H759" s="977">
        <f>GLOBAL_DER_FEV_2023!H759</f>
        <v>158.85</v>
      </c>
      <c r="I759" s="977">
        <f>GLOBAL_DER_FEV_2023!I759</f>
        <v>195.82222999999999</v>
      </c>
      <c r="J759" s="978">
        <f>GLOBAL_DER_FEV_2023!J759</f>
        <v>235.12</v>
      </c>
      <c r="K759" s="979" t="s">
        <v>14</v>
      </c>
      <c r="L759" s="1152"/>
      <c r="M759" s="1153">
        <f t="shared" si="52"/>
        <v>0</v>
      </c>
      <c r="N759" s="982">
        <f t="shared" si="56"/>
        <v>0</v>
      </c>
      <c r="O759" s="905"/>
      <c r="Q759" s="317" t="str">
        <f t="shared" si="53"/>
        <v/>
      </c>
      <c r="R759" s="317" t="str">
        <f t="shared" si="54"/>
        <v/>
      </c>
      <c r="S759" s="317" t="str">
        <f t="shared" si="55"/>
        <v/>
      </c>
      <c r="T759" s="317" t="str">
        <f>GLOBAL_DER_FEV_2023!S759</f>
        <v/>
      </c>
      <c r="W759" s="582">
        <v>0</v>
      </c>
      <c r="X759" s="580"/>
      <c r="Y759" s="583">
        <f>IF(GLOBAL_DER_FEV_2023!W759=0,0,IF(GLOBAL_DER_FEV_2023!W759&gt;0,"c","b"))</f>
        <v>0</v>
      </c>
    </row>
    <row r="760" spans="1:25" ht="13.5" hidden="1" thickBot="1" x14ac:dyDescent="0.25">
      <c r="A760" s="317" t="s">
        <v>147</v>
      </c>
      <c r="B760" s="895" t="s">
        <v>147</v>
      </c>
      <c r="C760" s="896"/>
      <c r="D760" s="957" t="s">
        <v>229</v>
      </c>
      <c r="E760" s="907">
        <f>GLOBAL_DER_FEV_2023!E760</f>
        <v>150</v>
      </c>
      <c r="F760" s="908">
        <f>GLOBAL_DER_FEV_2023!F760</f>
        <v>0</v>
      </c>
      <c r="G760" s="949">
        <f>GLOBAL_DER_FEV_2023!G760</f>
        <v>0</v>
      </c>
      <c r="H760" s="901">
        <f>GLOBAL_DER_FEV_2023!H760</f>
        <v>0</v>
      </c>
      <c r="I760" s="901">
        <f>GLOBAL_DER_FEV_2023!I760</f>
        <v>0</v>
      </c>
      <c r="J760" s="902">
        <f>GLOBAL_DER_FEV_2023!J760</f>
        <v>0</v>
      </c>
      <c r="K760" s="903" t="s">
        <v>507</v>
      </c>
      <c r="L760" s="1003"/>
      <c r="M760" s="1157">
        <f t="shared" si="52"/>
        <v>0</v>
      </c>
      <c r="N760" s="893">
        <f t="shared" si="56"/>
        <v>0</v>
      </c>
      <c r="O760" s="905"/>
      <c r="P760" s="58" t="str">
        <f>IF(N759&gt;0,"xx",IF(N759&gt;0,"xy",""))</f>
        <v/>
      </c>
      <c r="Q760" s="317" t="str">
        <f t="shared" si="53"/>
        <v/>
      </c>
      <c r="R760" s="317" t="str">
        <f t="shared" si="54"/>
        <v/>
      </c>
      <c r="S760" s="317" t="str">
        <f t="shared" si="55"/>
        <v/>
      </c>
      <c r="T760" s="317" t="str">
        <f>GLOBAL_DER_FEV_2023!S760</f>
        <v/>
      </c>
      <c r="W760" s="582">
        <v>0</v>
      </c>
      <c r="X760" s="580"/>
      <c r="Y760" s="583">
        <f>IF(GLOBAL_DER_FEV_2023!W760=0,0,IF(GLOBAL_DER_FEV_2023!W760&gt;0,"c","b"))</f>
        <v>0</v>
      </c>
    </row>
    <row r="761" spans="1:25" ht="13.5" hidden="1" thickBot="1" x14ac:dyDescent="0.25">
      <c r="A761" s="317" t="s">
        <v>147</v>
      </c>
      <c r="B761" s="895" t="s">
        <v>147</v>
      </c>
      <c r="C761" s="896"/>
      <c r="D761" s="957" t="s">
        <v>230</v>
      </c>
      <c r="E761" s="907">
        <f>GLOBAL_DER_FEV_2023!E761</f>
        <v>353</v>
      </c>
      <c r="F761" s="908">
        <f>GLOBAL_DER_FEV_2023!F761</f>
        <v>1.4999999999999999E-2</v>
      </c>
      <c r="G761" s="909">
        <f>GLOBAL_DER_FEV_2023!G761</f>
        <v>4.2473999999999998</v>
      </c>
      <c r="H761" s="901">
        <f>GLOBAL_DER_FEV_2023!H761</f>
        <v>0</v>
      </c>
      <c r="I761" s="901">
        <f>GLOBAL_DER_FEV_2023!I761</f>
        <v>0</v>
      </c>
      <c r="J761" s="902">
        <f>GLOBAL_DER_FEV_2023!J761</f>
        <v>0</v>
      </c>
      <c r="K761" s="903" t="s">
        <v>507</v>
      </c>
      <c r="L761" s="1003"/>
      <c r="M761" s="1157">
        <f t="shared" si="52"/>
        <v>0</v>
      </c>
      <c r="N761" s="893">
        <f t="shared" si="56"/>
        <v>0</v>
      </c>
      <c r="O761" s="905"/>
      <c r="P761" s="58" t="str">
        <f>IF(N759&gt;0,"xx",IF(N759&gt;0,"xy",""))</f>
        <v/>
      </c>
      <c r="Q761" s="317" t="str">
        <f t="shared" si="53"/>
        <v/>
      </c>
      <c r="R761" s="317" t="str">
        <f t="shared" si="54"/>
        <v/>
      </c>
      <c r="S761" s="317" t="str">
        <f t="shared" si="55"/>
        <v/>
      </c>
      <c r="T761" s="317" t="str">
        <f>GLOBAL_DER_FEV_2023!S761</f>
        <v/>
      </c>
      <c r="W761" s="582">
        <v>0</v>
      </c>
      <c r="X761" s="580"/>
      <c r="Y761" s="583">
        <f>IF(GLOBAL_DER_FEV_2023!W761=0,0,IF(GLOBAL_DER_FEV_2023!W761&gt;0,"c","b"))</f>
        <v>0</v>
      </c>
    </row>
    <row r="762" spans="1:25" ht="13.5" hidden="1" thickBot="1" x14ac:dyDescent="0.25">
      <c r="A762" s="317" t="s">
        <v>147</v>
      </c>
      <c r="B762" s="895" t="s">
        <v>147</v>
      </c>
      <c r="C762" s="896"/>
      <c r="D762" s="957" t="s">
        <v>243</v>
      </c>
      <c r="E762" s="907">
        <f>GLOBAL_DER_FEV_2023!E762</f>
        <v>0.2</v>
      </c>
      <c r="F762" s="908">
        <f>GLOBAL_DER_FEV_2023!F762</f>
        <v>0.94499999999999995</v>
      </c>
      <c r="G762" s="949">
        <f>GLOBAL_DER_FEV_2023!G762</f>
        <v>2.7348300000000001</v>
      </c>
      <c r="H762" s="901">
        <f>GLOBAL_DER_FEV_2023!H762</f>
        <v>0</v>
      </c>
      <c r="I762" s="901">
        <f>GLOBAL_DER_FEV_2023!I762</f>
        <v>0</v>
      </c>
      <c r="J762" s="902">
        <f>GLOBAL_DER_FEV_2023!J762</f>
        <v>0</v>
      </c>
      <c r="K762" s="903" t="s">
        <v>507</v>
      </c>
      <c r="L762" s="1003"/>
      <c r="M762" s="1157">
        <f t="shared" si="52"/>
        <v>0</v>
      </c>
      <c r="N762" s="893">
        <f t="shared" si="56"/>
        <v>0</v>
      </c>
      <c r="O762" s="905"/>
      <c r="P762" s="58" t="str">
        <f>IF(N759&gt;0,"xx",IF(N759&gt;0,"xy",""))</f>
        <v/>
      </c>
      <c r="Q762" s="317" t="str">
        <f t="shared" si="53"/>
        <v/>
      </c>
      <c r="R762" s="317" t="str">
        <f t="shared" si="54"/>
        <v/>
      </c>
      <c r="S762" s="317" t="str">
        <f t="shared" si="55"/>
        <v/>
      </c>
      <c r="T762" s="317" t="str">
        <f>GLOBAL_DER_FEV_2023!S762</f>
        <v/>
      </c>
      <c r="W762" s="582">
        <v>0</v>
      </c>
      <c r="X762" s="580"/>
      <c r="Y762" s="583">
        <f>IF(GLOBAL_DER_FEV_2023!W762=0,0,IF(GLOBAL_DER_FEV_2023!W762&gt;0,"c","b"))</f>
        <v>0</v>
      </c>
    </row>
    <row r="763" spans="1:25" ht="13.5" hidden="1" thickBot="1" x14ac:dyDescent="0.25">
      <c r="A763" s="317" t="s">
        <v>147</v>
      </c>
      <c r="B763" s="895" t="s">
        <v>147</v>
      </c>
      <c r="C763" s="896"/>
      <c r="D763" s="957" t="s">
        <v>244</v>
      </c>
      <c r="E763" s="907">
        <f>GLOBAL_DER_FEV_2023!E763</f>
        <v>22</v>
      </c>
      <c r="F763" s="908">
        <f>GLOBAL_DER_FEV_2023!F763</f>
        <v>1</v>
      </c>
      <c r="G763" s="912">
        <f>GLOBAL_DER_FEV_2023!G763</f>
        <v>29.990000000000002</v>
      </c>
      <c r="H763" s="901">
        <f>GLOBAL_DER_FEV_2023!H763</f>
        <v>0</v>
      </c>
      <c r="I763" s="901">
        <f>GLOBAL_DER_FEV_2023!I763</f>
        <v>0</v>
      </c>
      <c r="J763" s="902">
        <f>GLOBAL_DER_FEV_2023!J763</f>
        <v>0</v>
      </c>
      <c r="K763" s="903" t="s">
        <v>507</v>
      </c>
      <c r="L763" s="1003"/>
      <c r="M763" s="1157">
        <f t="shared" si="52"/>
        <v>0</v>
      </c>
      <c r="N763" s="893">
        <f t="shared" si="56"/>
        <v>0</v>
      </c>
      <c r="O763" s="905"/>
      <c r="P763" s="58" t="str">
        <f>IF(N759&gt;0,"xx",IF(N759&gt;0,"xy",""))</f>
        <v/>
      </c>
      <c r="Q763" s="317" t="str">
        <f t="shared" si="53"/>
        <v/>
      </c>
      <c r="R763" s="317" t="str">
        <f t="shared" si="54"/>
        <v/>
      </c>
      <c r="S763" s="317" t="str">
        <f t="shared" si="55"/>
        <v/>
      </c>
      <c r="T763" s="317" t="str">
        <f>GLOBAL_DER_FEV_2023!S763</f>
        <v/>
      </c>
      <c r="W763" s="582">
        <v>0</v>
      </c>
      <c r="X763" s="580"/>
      <c r="Y763" s="583">
        <f>IF(GLOBAL_DER_FEV_2023!W763=0,0,IF(GLOBAL_DER_FEV_2023!W763&gt;0,"c","b"))</f>
        <v>0</v>
      </c>
    </row>
    <row r="764" spans="1:25" ht="13.5" hidden="1" thickBot="1" x14ac:dyDescent="0.25">
      <c r="A764" s="317">
        <v>589000</v>
      </c>
      <c r="B764" s="1004" t="s">
        <v>1679</v>
      </c>
      <c r="C764" s="984" t="s">
        <v>213</v>
      </c>
      <c r="D764" s="1012" t="s">
        <v>566</v>
      </c>
      <c r="E764" s="1020">
        <f>GLOBAL_DER_FEV_2023!E764</f>
        <v>45</v>
      </c>
      <c r="F764" s="1006">
        <f>GLOBAL_DER_FEV_2023!F764</f>
        <v>1</v>
      </c>
      <c r="G764" s="949">
        <f>GLOBAL_DER_FEV_2023!G764</f>
        <v>88.36</v>
      </c>
      <c r="H764" s="988">
        <f>GLOBAL_DER_FEV_2023!H764</f>
        <v>4828.8599999999997</v>
      </c>
      <c r="I764" s="988">
        <f>GLOBAL_DER_FEV_2023!I764</f>
        <v>4724.580378112767</v>
      </c>
      <c r="J764" s="989">
        <f>GLOBAL_DER_FEV_2023!J764</f>
        <v>5672.8</v>
      </c>
      <c r="K764" s="990" t="s">
        <v>14</v>
      </c>
      <c r="L764" s="1169">
        <f>ROUND(L759*$F759,2)</f>
        <v>0</v>
      </c>
      <c r="M764" s="1168">
        <f t="shared" si="52"/>
        <v>0</v>
      </c>
      <c r="N764" s="993">
        <f t="shared" si="56"/>
        <v>0</v>
      </c>
      <c r="O764" s="905"/>
      <c r="P764" s="58" t="str">
        <f>IF(N759&gt;0,"xx",IF(N759&gt;0,"xy",""))</f>
        <v/>
      </c>
      <c r="Q764" s="317" t="str">
        <f t="shared" si="53"/>
        <v/>
      </c>
      <c r="R764" s="317" t="str">
        <f t="shared" si="54"/>
        <v/>
      </c>
      <c r="S764" s="317" t="str">
        <f t="shared" si="55"/>
        <v/>
      </c>
      <c r="T764" s="317" t="str">
        <f>GLOBAL_DER_FEV_2023!S764</f>
        <v/>
      </c>
      <c r="W764" s="582">
        <v>0</v>
      </c>
      <c r="X764" s="580"/>
      <c r="Y764" s="583">
        <f>IF(GLOBAL_DER_FEV_2023!W764=0,0,IF(GLOBAL_DER_FEV_2023!W764&gt;0,"c","b"))</f>
        <v>0</v>
      </c>
    </row>
    <row r="765" spans="1:25" ht="13.5" hidden="1" thickBot="1" x14ac:dyDescent="0.25">
      <c r="A765" s="317">
        <v>570000</v>
      </c>
      <c r="B765" s="999" t="str">
        <f>GLOBAL_DER_FEV_2023!B765</f>
        <v>570000E</v>
      </c>
      <c r="C765" s="1000" t="str">
        <f>GLOBAL_DER_FEV_2023!C765</f>
        <v>DER</v>
      </c>
      <c r="D765" s="973" t="str">
        <f>GLOBAL_DER_FEV_2023!D765</f>
        <v>CBUQ - PASSEIO  (Quantidade menor que 10.000 ton)</v>
      </c>
      <c r="E765" s="974" t="str">
        <f>GLOBAL_DER_FEV_2023!E765</f>
        <v>taxa CAP</v>
      </c>
      <c r="F765" s="975">
        <f>GLOBAL_DER_FEV_2023!F765</f>
        <v>5.7000000000000002E-2</v>
      </c>
      <c r="G765" s="976">
        <f>GLOBAL_DER_FEV_2023!G765</f>
        <v>52.951632000000004</v>
      </c>
      <c r="H765" s="977">
        <f>GLOBAL_DER_FEV_2023!H765</f>
        <v>187.41</v>
      </c>
      <c r="I765" s="977">
        <f>GLOBAL_DER_FEV_2023!I765</f>
        <v>240.36163199999999</v>
      </c>
      <c r="J765" s="978">
        <f>GLOBAL_DER_FEV_2023!J765</f>
        <v>288.60000000000002</v>
      </c>
      <c r="K765" s="979" t="s">
        <v>14</v>
      </c>
      <c r="L765" s="1152"/>
      <c r="M765" s="1153">
        <f t="shared" si="52"/>
        <v>0</v>
      </c>
      <c r="N765" s="982">
        <f t="shared" si="56"/>
        <v>0</v>
      </c>
      <c r="O765" s="905"/>
      <c r="Q765" s="317" t="str">
        <f t="shared" si="53"/>
        <v/>
      </c>
      <c r="R765" s="317" t="str">
        <f t="shared" si="54"/>
        <v/>
      </c>
      <c r="S765" s="317" t="str">
        <f t="shared" si="55"/>
        <v/>
      </c>
      <c r="T765" s="317" t="str">
        <f>GLOBAL_DER_FEV_2023!S765</f>
        <v/>
      </c>
      <c r="W765" s="582">
        <v>0</v>
      </c>
      <c r="X765" s="580"/>
      <c r="Y765" s="583">
        <f>IF(GLOBAL_DER_FEV_2023!W765=0,0,IF(GLOBAL_DER_FEV_2023!W765&gt;0,"c","b"))</f>
        <v>0</v>
      </c>
    </row>
    <row r="766" spans="1:25" ht="13.5" hidden="1" thickBot="1" x14ac:dyDescent="0.25">
      <c r="A766" s="317" t="s">
        <v>147</v>
      </c>
      <c r="B766" s="895" t="str">
        <f>GLOBAL_DER_FEV_2023!B766</f>
        <v>transporte</v>
      </c>
      <c r="C766" s="896">
        <f>GLOBAL_DER_FEV_2023!C766</f>
        <v>0</v>
      </c>
      <c r="D766" s="957" t="str">
        <f>GLOBAL_DER_FEV_2023!D766</f>
        <v>Areia</v>
      </c>
      <c r="E766" s="907">
        <f>GLOBAL_DER_FEV_2023!E766</f>
        <v>150</v>
      </c>
      <c r="F766" s="908">
        <f>GLOBAL_DER_FEV_2023!F766</f>
        <v>0.1</v>
      </c>
      <c r="G766" s="949">
        <f>GLOBAL_DER_FEV_2023!G766</f>
        <v>16.318000000000001</v>
      </c>
      <c r="H766" s="901">
        <f>GLOBAL_DER_FEV_2023!H766</f>
        <v>0</v>
      </c>
      <c r="I766" s="901">
        <f>GLOBAL_DER_FEV_2023!I766</f>
        <v>0</v>
      </c>
      <c r="J766" s="902">
        <f>GLOBAL_DER_FEV_2023!J766</f>
        <v>0</v>
      </c>
      <c r="K766" s="903" t="s">
        <v>507</v>
      </c>
      <c r="L766" s="1003"/>
      <c r="M766" s="1157">
        <f t="shared" si="52"/>
        <v>0</v>
      </c>
      <c r="N766" s="893">
        <f t="shared" si="56"/>
        <v>0</v>
      </c>
      <c r="O766" s="905"/>
      <c r="P766" s="58" t="str">
        <f>IF(N765&gt;0,"xx",IF(N765&gt;0,"xy",""))</f>
        <v/>
      </c>
      <c r="Q766" s="317" t="str">
        <f t="shared" si="53"/>
        <v/>
      </c>
      <c r="R766" s="317" t="str">
        <f t="shared" si="54"/>
        <v/>
      </c>
      <c r="S766" s="317" t="str">
        <f t="shared" si="55"/>
        <v/>
      </c>
      <c r="T766" s="317" t="str">
        <f>GLOBAL_DER_FEV_2023!S766</f>
        <v/>
      </c>
      <c r="W766" s="582">
        <v>0</v>
      </c>
      <c r="X766" s="580"/>
      <c r="Y766" s="583">
        <f>IF(GLOBAL_DER_FEV_2023!W766=0,0,IF(GLOBAL_DER_FEV_2023!W766&gt;0,"c","b"))</f>
        <v>0</v>
      </c>
    </row>
    <row r="767" spans="1:25" ht="13.5" hidden="1" thickBot="1" x14ac:dyDescent="0.25">
      <c r="A767" s="317" t="s">
        <v>147</v>
      </c>
      <c r="B767" s="895" t="str">
        <f>GLOBAL_DER_FEV_2023!B767</f>
        <v>transporte</v>
      </c>
      <c r="C767" s="896">
        <f>GLOBAL_DER_FEV_2023!C767</f>
        <v>0</v>
      </c>
      <c r="D767" s="957" t="str">
        <f>GLOBAL_DER_FEV_2023!D767</f>
        <v>Cal Hidratada CH-1</v>
      </c>
      <c r="E767" s="907">
        <f>GLOBAL_DER_FEV_2023!E767</f>
        <v>353</v>
      </c>
      <c r="F767" s="908">
        <f>GLOBAL_DER_FEV_2023!F767</f>
        <v>1.4999999999999999E-2</v>
      </c>
      <c r="G767" s="909">
        <f>GLOBAL_DER_FEV_2023!G767</f>
        <v>4.2473999999999998</v>
      </c>
      <c r="H767" s="901">
        <f>GLOBAL_DER_FEV_2023!H767</f>
        <v>0</v>
      </c>
      <c r="I767" s="901">
        <f>GLOBAL_DER_FEV_2023!I767</f>
        <v>0</v>
      </c>
      <c r="J767" s="902">
        <f>GLOBAL_DER_FEV_2023!J767</f>
        <v>0</v>
      </c>
      <c r="K767" s="903" t="s">
        <v>507</v>
      </c>
      <c r="L767" s="1003"/>
      <c r="M767" s="1157">
        <f t="shared" si="52"/>
        <v>0</v>
      </c>
      <c r="N767" s="893">
        <f t="shared" si="56"/>
        <v>0</v>
      </c>
      <c r="O767" s="905"/>
      <c r="P767" s="58" t="str">
        <f>IF(N765&gt;0,"xx",IF(N765&gt;0,"xy",""))</f>
        <v/>
      </c>
      <c r="Q767" s="317" t="str">
        <f t="shared" si="53"/>
        <v/>
      </c>
      <c r="R767" s="317" t="str">
        <f t="shared" si="54"/>
        <v/>
      </c>
      <c r="S767" s="317" t="str">
        <f t="shared" si="55"/>
        <v/>
      </c>
      <c r="T767" s="317" t="str">
        <f>GLOBAL_DER_FEV_2023!S767</f>
        <v/>
      </c>
      <c r="W767" s="582">
        <v>0</v>
      </c>
      <c r="X767" s="580"/>
      <c r="Y767" s="583">
        <f>IF(GLOBAL_DER_FEV_2023!W767=0,0,IF(GLOBAL_DER_FEV_2023!W767&gt;0,"c","b"))</f>
        <v>0</v>
      </c>
    </row>
    <row r="768" spans="1:25" ht="13.5" hidden="1" thickBot="1" x14ac:dyDescent="0.25">
      <c r="A768" s="317" t="s">
        <v>147</v>
      </c>
      <c r="B768" s="895" t="str">
        <f>GLOBAL_DER_FEV_2023!B768</f>
        <v>transporte</v>
      </c>
      <c r="C768" s="896">
        <f>GLOBAL_DER_FEV_2023!C768</f>
        <v>0</v>
      </c>
      <c r="D768" s="957" t="str">
        <f>GLOBAL_DER_FEV_2023!D768</f>
        <v>Brita ( usina )</v>
      </c>
      <c r="E768" s="907">
        <f>GLOBAL_DER_FEV_2023!E768</f>
        <v>0.2</v>
      </c>
      <c r="F768" s="908">
        <f>GLOBAL_DER_FEV_2023!F768</f>
        <v>0.82799999999999996</v>
      </c>
      <c r="G768" s="949">
        <f>GLOBAL_DER_FEV_2023!G768</f>
        <v>2.3962319999999999</v>
      </c>
      <c r="H768" s="901">
        <f>GLOBAL_DER_FEV_2023!H768</f>
        <v>0</v>
      </c>
      <c r="I768" s="901">
        <f>GLOBAL_DER_FEV_2023!I768</f>
        <v>0</v>
      </c>
      <c r="J768" s="902">
        <f>GLOBAL_DER_FEV_2023!J768</f>
        <v>0</v>
      </c>
      <c r="K768" s="903" t="s">
        <v>507</v>
      </c>
      <c r="L768" s="1003"/>
      <c r="M768" s="1157">
        <f t="shared" si="52"/>
        <v>0</v>
      </c>
      <c r="N768" s="893">
        <f t="shared" si="56"/>
        <v>0</v>
      </c>
      <c r="O768" s="905"/>
      <c r="P768" s="58" t="str">
        <f>IF(N765&gt;0,"xx",IF(N765&gt;0,"xy",""))</f>
        <v/>
      </c>
      <c r="Q768" s="317" t="str">
        <f t="shared" si="53"/>
        <v/>
      </c>
      <c r="R768" s="317" t="str">
        <f t="shared" si="54"/>
        <v/>
      </c>
      <c r="S768" s="317" t="str">
        <f t="shared" si="55"/>
        <v/>
      </c>
      <c r="T768" s="317" t="str">
        <f>GLOBAL_DER_FEV_2023!S768</f>
        <v/>
      </c>
      <c r="W768" s="582">
        <v>0</v>
      </c>
      <c r="X768" s="580"/>
      <c r="Y768" s="583">
        <f>IF(GLOBAL_DER_FEV_2023!W768=0,0,IF(GLOBAL_DER_FEV_2023!W768&gt;0,"c","b"))</f>
        <v>0</v>
      </c>
    </row>
    <row r="769" spans="1:25" ht="13.5" hidden="1" thickBot="1" x14ac:dyDescent="0.25">
      <c r="A769" s="317" t="s">
        <v>147</v>
      </c>
      <c r="B769" s="895" t="str">
        <f>GLOBAL_DER_FEV_2023!B769</f>
        <v>transporte</v>
      </c>
      <c r="C769" s="896">
        <f>GLOBAL_DER_FEV_2023!C769</f>
        <v>0</v>
      </c>
      <c r="D769" s="957" t="str">
        <f>GLOBAL_DER_FEV_2023!D769</f>
        <v>Massa</v>
      </c>
      <c r="E769" s="907">
        <f>GLOBAL_DER_FEV_2023!E769</f>
        <v>22</v>
      </c>
      <c r="F769" s="908">
        <f>GLOBAL_DER_FEV_2023!F769</f>
        <v>1</v>
      </c>
      <c r="G769" s="912">
        <f>GLOBAL_DER_FEV_2023!G769</f>
        <v>29.990000000000002</v>
      </c>
      <c r="H769" s="901">
        <f>GLOBAL_DER_FEV_2023!H769</f>
        <v>0</v>
      </c>
      <c r="I769" s="901">
        <f>GLOBAL_DER_FEV_2023!I769</f>
        <v>0</v>
      </c>
      <c r="J769" s="902">
        <f>GLOBAL_DER_FEV_2023!J769</f>
        <v>0</v>
      </c>
      <c r="K769" s="903" t="s">
        <v>507</v>
      </c>
      <c r="L769" s="1003"/>
      <c r="M769" s="1157">
        <f t="shared" si="52"/>
        <v>0</v>
      </c>
      <c r="N769" s="893">
        <f t="shared" si="56"/>
        <v>0</v>
      </c>
      <c r="O769" s="905"/>
      <c r="P769" s="58" t="str">
        <f>IF(N765&gt;0,"xx",IF(N765&gt;0,"xy",""))</f>
        <v/>
      </c>
      <c r="Q769" s="317" t="str">
        <f t="shared" si="53"/>
        <v/>
      </c>
      <c r="R769" s="317" t="str">
        <f t="shared" si="54"/>
        <v/>
      </c>
      <c r="S769" s="317" t="str">
        <f t="shared" si="55"/>
        <v/>
      </c>
      <c r="T769" s="317" t="str">
        <f>GLOBAL_DER_FEV_2023!S769</f>
        <v/>
      </c>
      <c r="W769" s="582">
        <v>0</v>
      </c>
      <c r="X769" s="580"/>
      <c r="Y769" s="583">
        <f>IF(GLOBAL_DER_FEV_2023!W769=0,0,IF(GLOBAL_DER_FEV_2023!W769&gt;0,"c","b"))</f>
        <v>0</v>
      </c>
    </row>
    <row r="770" spans="1:25" ht="13.5" hidden="1" thickBot="1" x14ac:dyDescent="0.25">
      <c r="A770" s="317">
        <v>589000</v>
      </c>
      <c r="B770" s="1004" t="str">
        <f>GLOBAL_DER_FEV_2023!B770</f>
        <v>589000Q</v>
      </c>
      <c r="C770" s="984" t="str">
        <f>GLOBAL_DER_FEV_2023!C770</f>
        <v>DER mat</v>
      </c>
      <c r="D770" s="1012" t="str">
        <f>GLOBAL_DER_FEV_2023!D770</f>
        <v>Fornecimento de CAP - CBUQ (Quantidade menor que 10.000 ton)</v>
      </c>
      <c r="E770" s="1005">
        <f>GLOBAL_DER_FEV_2023!E770</f>
        <v>45</v>
      </c>
      <c r="F770" s="1006">
        <f>GLOBAL_DER_FEV_2023!F770</f>
        <v>1</v>
      </c>
      <c r="G770" s="949">
        <f>GLOBAL_DER_FEV_2023!G770</f>
        <v>88.36</v>
      </c>
      <c r="H770" s="988">
        <f>GLOBAL_DER_FEV_2023!H770</f>
        <v>4828.8599999999997</v>
      </c>
      <c r="I770" s="988">
        <f>GLOBAL_DER_FEV_2023!I770</f>
        <v>4724.580378112767</v>
      </c>
      <c r="J770" s="989">
        <f>GLOBAL_DER_FEV_2023!J770</f>
        <v>5672.8</v>
      </c>
      <c r="K770" s="990" t="s">
        <v>14</v>
      </c>
      <c r="L770" s="1169">
        <f>ROUND(L765*$F765,2)</f>
        <v>0</v>
      </c>
      <c r="M770" s="1168">
        <f t="shared" si="52"/>
        <v>0</v>
      </c>
      <c r="N770" s="993">
        <f t="shared" si="56"/>
        <v>0</v>
      </c>
      <c r="O770" s="905"/>
      <c r="P770" s="58" t="str">
        <f>IF(N765&gt;0,"xx",IF(N765&gt;0,"xy",""))</f>
        <v/>
      </c>
      <c r="Q770" s="317" t="str">
        <f t="shared" si="53"/>
        <v/>
      </c>
      <c r="R770" s="317" t="str">
        <f t="shared" si="54"/>
        <v/>
      </c>
      <c r="S770" s="317" t="str">
        <f t="shared" si="55"/>
        <v/>
      </c>
      <c r="T770" s="317" t="str">
        <f>GLOBAL_DER_FEV_2023!S770</f>
        <v/>
      </c>
      <c r="W770" s="582">
        <v>0</v>
      </c>
      <c r="X770" s="580"/>
      <c r="Y770" s="583">
        <f>IF(GLOBAL_DER_FEV_2023!W770=0,0,IF(GLOBAL_DER_FEV_2023!W770&gt;0,"c","b"))</f>
        <v>0</v>
      </c>
    </row>
    <row r="771" spans="1:25" ht="13.5" hidden="1" thickBot="1" x14ac:dyDescent="0.25">
      <c r="A771" s="317">
        <v>570400</v>
      </c>
      <c r="B771" s="999" t="str">
        <f>GLOBAL_DER_FEV_2023!B771</f>
        <v>570400D</v>
      </c>
      <c r="C771" s="1000" t="str">
        <f>GLOBAL_DER_FEV_2023!C771</f>
        <v>DER</v>
      </c>
      <c r="D771" s="973" t="str">
        <f>GLOBAL_DER_FEV_2023!D771</f>
        <v>CBUQ - PASSEIO (Quantidade maior que 10.000 ton)</v>
      </c>
      <c r="E771" s="974" t="str">
        <f>GLOBAL_DER_FEV_2023!E771</f>
        <v>taxa CAP</v>
      </c>
      <c r="F771" s="975">
        <f>GLOBAL_DER_FEV_2023!F771</f>
        <v>5.7000000000000002E-2</v>
      </c>
      <c r="G771" s="976">
        <f>GLOBAL_DER_FEV_2023!G771</f>
        <v>52.951632000000004</v>
      </c>
      <c r="H771" s="977">
        <f>GLOBAL_DER_FEV_2023!H771</f>
        <v>169.12</v>
      </c>
      <c r="I771" s="977">
        <f>GLOBAL_DER_FEV_2023!I771</f>
        <v>222.07163200000002</v>
      </c>
      <c r="J771" s="978">
        <f>GLOBAL_DER_FEV_2023!J771</f>
        <v>266.64</v>
      </c>
      <c r="K771" s="979" t="s">
        <v>14</v>
      </c>
      <c r="L771" s="1152"/>
      <c r="M771" s="1153">
        <f t="shared" si="52"/>
        <v>0</v>
      </c>
      <c r="N771" s="982">
        <f t="shared" si="56"/>
        <v>0</v>
      </c>
      <c r="O771" s="905"/>
      <c r="Q771" s="317" t="str">
        <f t="shared" si="53"/>
        <v/>
      </c>
      <c r="R771" s="317" t="str">
        <f t="shared" si="54"/>
        <v/>
      </c>
      <c r="S771" s="317" t="str">
        <f t="shared" si="55"/>
        <v/>
      </c>
      <c r="T771" s="317" t="str">
        <f>GLOBAL_DER_FEV_2023!S771</f>
        <v/>
      </c>
      <c r="W771" s="582">
        <v>0</v>
      </c>
      <c r="X771" s="580"/>
      <c r="Y771" s="583">
        <f>IF(GLOBAL_DER_FEV_2023!W771=0,0,IF(GLOBAL_DER_FEV_2023!W771&gt;0,"c","b"))</f>
        <v>0</v>
      </c>
    </row>
    <row r="772" spans="1:25" ht="13.5" hidden="1" thickBot="1" x14ac:dyDescent="0.25">
      <c r="A772" s="317" t="s">
        <v>147</v>
      </c>
      <c r="B772" s="895" t="str">
        <f>GLOBAL_DER_FEV_2023!B772</f>
        <v>transporte</v>
      </c>
      <c r="C772" s="896">
        <f>GLOBAL_DER_FEV_2023!C772</f>
        <v>0</v>
      </c>
      <c r="D772" s="957" t="str">
        <f>GLOBAL_DER_FEV_2023!D772</f>
        <v>Areia</v>
      </c>
      <c r="E772" s="907">
        <f>GLOBAL_DER_FEV_2023!E772</f>
        <v>150</v>
      </c>
      <c r="F772" s="908">
        <f>GLOBAL_DER_FEV_2023!F772</f>
        <v>0.1</v>
      </c>
      <c r="G772" s="949">
        <f>GLOBAL_DER_FEV_2023!G772</f>
        <v>16.318000000000001</v>
      </c>
      <c r="H772" s="901">
        <f>GLOBAL_DER_FEV_2023!H772</f>
        <v>0</v>
      </c>
      <c r="I772" s="901">
        <f>GLOBAL_DER_FEV_2023!I772</f>
        <v>0</v>
      </c>
      <c r="J772" s="902">
        <f>GLOBAL_DER_FEV_2023!J772</f>
        <v>0</v>
      </c>
      <c r="K772" s="903" t="s">
        <v>507</v>
      </c>
      <c r="L772" s="1003"/>
      <c r="M772" s="1157">
        <f t="shared" si="52"/>
        <v>0</v>
      </c>
      <c r="N772" s="893">
        <f t="shared" si="56"/>
        <v>0</v>
      </c>
      <c r="O772" s="905"/>
      <c r="P772" s="58" t="str">
        <f>IF(N771&gt;0,"xx",IF(N771&gt;0,"xy",""))</f>
        <v/>
      </c>
      <c r="Q772" s="317" t="str">
        <f t="shared" si="53"/>
        <v/>
      </c>
      <c r="R772" s="317" t="str">
        <f t="shared" si="54"/>
        <v/>
      </c>
      <c r="S772" s="317" t="str">
        <f t="shared" si="55"/>
        <v/>
      </c>
      <c r="T772" s="317" t="str">
        <f>GLOBAL_DER_FEV_2023!S772</f>
        <v/>
      </c>
      <c r="W772" s="582">
        <v>0</v>
      </c>
      <c r="X772" s="580"/>
      <c r="Y772" s="583">
        <f>IF(GLOBAL_DER_FEV_2023!W772=0,0,IF(GLOBAL_DER_FEV_2023!W772&gt;0,"c","b"))</f>
        <v>0</v>
      </c>
    </row>
    <row r="773" spans="1:25" ht="13.5" hidden="1" thickBot="1" x14ac:dyDescent="0.25">
      <c r="A773" s="317" t="s">
        <v>147</v>
      </c>
      <c r="B773" s="895" t="str">
        <f>GLOBAL_DER_FEV_2023!B773</f>
        <v>transporte</v>
      </c>
      <c r="C773" s="896">
        <f>GLOBAL_DER_FEV_2023!C773</f>
        <v>0</v>
      </c>
      <c r="D773" s="957" t="str">
        <f>GLOBAL_DER_FEV_2023!D773</f>
        <v>Cal Hidratada CH-1</v>
      </c>
      <c r="E773" s="907">
        <f>GLOBAL_DER_FEV_2023!E773</f>
        <v>353</v>
      </c>
      <c r="F773" s="908">
        <f>GLOBAL_DER_FEV_2023!F773</f>
        <v>1.4999999999999999E-2</v>
      </c>
      <c r="G773" s="909">
        <f>GLOBAL_DER_FEV_2023!G773</f>
        <v>4.2473999999999998</v>
      </c>
      <c r="H773" s="901">
        <f>GLOBAL_DER_FEV_2023!H773</f>
        <v>0</v>
      </c>
      <c r="I773" s="901">
        <f>GLOBAL_DER_FEV_2023!I773</f>
        <v>0</v>
      </c>
      <c r="J773" s="902">
        <f>GLOBAL_DER_FEV_2023!J773</f>
        <v>0</v>
      </c>
      <c r="K773" s="903" t="s">
        <v>507</v>
      </c>
      <c r="L773" s="1003"/>
      <c r="M773" s="1157">
        <f t="shared" si="52"/>
        <v>0</v>
      </c>
      <c r="N773" s="893">
        <f t="shared" si="56"/>
        <v>0</v>
      </c>
      <c r="O773" s="905"/>
      <c r="P773" s="58" t="str">
        <f>IF(N771&gt;0,"xx",IF(N771&gt;0,"xy",""))</f>
        <v/>
      </c>
      <c r="Q773" s="317" t="str">
        <f t="shared" si="53"/>
        <v/>
      </c>
      <c r="R773" s="317" t="str">
        <f t="shared" si="54"/>
        <v/>
      </c>
      <c r="S773" s="317" t="str">
        <f t="shared" si="55"/>
        <v/>
      </c>
      <c r="T773" s="317" t="str">
        <f>GLOBAL_DER_FEV_2023!S773</f>
        <v/>
      </c>
      <c r="W773" s="582">
        <v>0</v>
      </c>
      <c r="X773" s="580"/>
      <c r="Y773" s="583">
        <f>IF(GLOBAL_DER_FEV_2023!W773=0,0,IF(GLOBAL_DER_FEV_2023!W773&gt;0,"c","b"))</f>
        <v>0</v>
      </c>
    </row>
    <row r="774" spans="1:25" ht="13.5" hidden="1" thickBot="1" x14ac:dyDescent="0.25">
      <c r="A774" s="317" t="s">
        <v>147</v>
      </c>
      <c r="B774" s="895" t="str">
        <f>GLOBAL_DER_FEV_2023!B774</f>
        <v>transporte</v>
      </c>
      <c r="C774" s="896">
        <f>GLOBAL_DER_FEV_2023!C774</f>
        <v>0</v>
      </c>
      <c r="D774" s="957" t="str">
        <f>GLOBAL_DER_FEV_2023!D774</f>
        <v>Brita ( usina )</v>
      </c>
      <c r="E774" s="907">
        <f>GLOBAL_DER_FEV_2023!E774</f>
        <v>0.2</v>
      </c>
      <c r="F774" s="908">
        <f>GLOBAL_DER_FEV_2023!F774</f>
        <v>0.82799999999999996</v>
      </c>
      <c r="G774" s="949">
        <f>GLOBAL_DER_FEV_2023!G774</f>
        <v>2.3962319999999999</v>
      </c>
      <c r="H774" s="901">
        <f>GLOBAL_DER_FEV_2023!H774</f>
        <v>0</v>
      </c>
      <c r="I774" s="901">
        <f>GLOBAL_DER_FEV_2023!I774</f>
        <v>0</v>
      </c>
      <c r="J774" s="902">
        <f>GLOBAL_DER_FEV_2023!J774</f>
        <v>0</v>
      </c>
      <c r="K774" s="903" t="s">
        <v>507</v>
      </c>
      <c r="L774" s="1003"/>
      <c r="M774" s="1157">
        <f t="shared" si="52"/>
        <v>0</v>
      </c>
      <c r="N774" s="893">
        <f t="shared" si="56"/>
        <v>0</v>
      </c>
      <c r="O774" s="905"/>
      <c r="P774" s="58" t="str">
        <f>IF(N771&gt;0,"xx",IF(N771&gt;0,"xy",""))</f>
        <v/>
      </c>
      <c r="Q774" s="317" t="str">
        <f t="shared" si="53"/>
        <v/>
      </c>
      <c r="R774" s="317" t="str">
        <f t="shared" si="54"/>
        <v/>
      </c>
      <c r="S774" s="317" t="str">
        <f t="shared" si="55"/>
        <v/>
      </c>
      <c r="T774" s="317" t="str">
        <f>GLOBAL_DER_FEV_2023!S774</f>
        <v/>
      </c>
      <c r="W774" s="582">
        <v>0</v>
      </c>
      <c r="X774" s="580"/>
      <c r="Y774" s="583">
        <f>IF(GLOBAL_DER_FEV_2023!W774=0,0,IF(GLOBAL_DER_FEV_2023!W774&gt;0,"c","b"))</f>
        <v>0</v>
      </c>
    </row>
    <row r="775" spans="1:25" ht="13.5" hidden="1" thickBot="1" x14ac:dyDescent="0.25">
      <c r="A775" s="317" t="s">
        <v>147</v>
      </c>
      <c r="B775" s="895" t="str">
        <f>GLOBAL_DER_FEV_2023!B775</f>
        <v>transporte</v>
      </c>
      <c r="C775" s="896">
        <f>GLOBAL_DER_FEV_2023!C775</f>
        <v>0</v>
      </c>
      <c r="D775" s="957" t="str">
        <f>GLOBAL_DER_FEV_2023!D775</f>
        <v>Massa</v>
      </c>
      <c r="E775" s="907">
        <f>GLOBAL_DER_FEV_2023!E775</f>
        <v>22</v>
      </c>
      <c r="F775" s="908">
        <f>GLOBAL_DER_FEV_2023!F775</f>
        <v>1</v>
      </c>
      <c r="G775" s="912">
        <f>GLOBAL_DER_FEV_2023!G775</f>
        <v>29.990000000000002</v>
      </c>
      <c r="H775" s="901">
        <f>GLOBAL_DER_FEV_2023!H775</f>
        <v>0</v>
      </c>
      <c r="I775" s="901">
        <f>GLOBAL_DER_FEV_2023!I775</f>
        <v>0</v>
      </c>
      <c r="J775" s="902">
        <f>GLOBAL_DER_FEV_2023!J775</f>
        <v>0</v>
      </c>
      <c r="K775" s="903" t="s">
        <v>507</v>
      </c>
      <c r="L775" s="1003"/>
      <c r="M775" s="1157">
        <f t="shared" si="52"/>
        <v>0</v>
      </c>
      <c r="N775" s="893">
        <f t="shared" si="56"/>
        <v>0</v>
      </c>
      <c r="O775" s="905"/>
      <c r="P775" s="58" t="str">
        <f>IF(N771&gt;0,"xx",IF(N771&gt;0,"xy",""))</f>
        <v/>
      </c>
      <c r="Q775" s="317" t="str">
        <f t="shared" si="53"/>
        <v/>
      </c>
      <c r="R775" s="317" t="str">
        <f t="shared" si="54"/>
        <v/>
      </c>
      <c r="S775" s="317" t="str">
        <f t="shared" si="55"/>
        <v/>
      </c>
      <c r="T775" s="317" t="str">
        <f>GLOBAL_DER_FEV_2023!S775</f>
        <v/>
      </c>
      <c r="W775" s="582">
        <v>0</v>
      </c>
      <c r="X775" s="580"/>
      <c r="Y775" s="583">
        <f>IF(GLOBAL_DER_FEV_2023!W775=0,0,IF(GLOBAL_DER_FEV_2023!W775&gt;0,"c","b"))</f>
        <v>0</v>
      </c>
    </row>
    <row r="776" spans="1:25" ht="13.5" hidden="1" thickBot="1" x14ac:dyDescent="0.25">
      <c r="A776" s="317">
        <v>589000</v>
      </c>
      <c r="B776" s="1004" t="str">
        <f>GLOBAL_DER_FEV_2023!B776</f>
        <v>589000R</v>
      </c>
      <c r="C776" s="984" t="str">
        <f>GLOBAL_DER_FEV_2023!C776</f>
        <v>DER mat</v>
      </c>
      <c r="D776" s="1012" t="str">
        <f>GLOBAL_DER_FEV_2023!D776</f>
        <v>Fornecimento de CAP - CBUQ (Quantidade maior que 10.000 ton)</v>
      </c>
      <c r="E776" s="1005">
        <f>GLOBAL_DER_FEV_2023!E776</f>
        <v>45</v>
      </c>
      <c r="F776" s="1006">
        <f>GLOBAL_DER_FEV_2023!F776</f>
        <v>1</v>
      </c>
      <c r="G776" s="1028">
        <f>GLOBAL_DER_FEV_2023!G776</f>
        <v>88.36</v>
      </c>
      <c r="H776" s="988">
        <f>GLOBAL_DER_FEV_2023!H776</f>
        <v>4828.8599999999997</v>
      </c>
      <c r="I776" s="988">
        <f>GLOBAL_DER_FEV_2023!I776</f>
        <v>4724.580378112767</v>
      </c>
      <c r="J776" s="989">
        <f>GLOBAL_DER_FEV_2023!J776</f>
        <v>5672.8</v>
      </c>
      <c r="K776" s="990" t="s">
        <v>14</v>
      </c>
      <c r="L776" s="1169">
        <f>ROUND(L771*$F771,2)</f>
        <v>0</v>
      </c>
      <c r="M776" s="1168">
        <f t="shared" si="52"/>
        <v>0</v>
      </c>
      <c r="N776" s="993">
        <f t="shared" si="56"/>
        <v>0</v>
      </c>
      <c r="O776" s="905"/>
      <c r="P776" s="58" t="str">
        <f>IF(N771&gt;0,"xx",IF(N771&gt;0,"xy",""))</f>
        <v/>
      </c>
      <c r="Q776" s="317" t="str">
        <f t="shared" si="53"/>
        <v/>
      </c>
      <c r="R776" s="317" t="str">
        <f t="shared" si="54"/>
        <v/>
      </c>
      <c r="S776" s="317" t="str">
        <f t="shared" si="55"/>
        <v/>
      </c>
      <c r="T776" s="317" t="str">
        <f>GLOBAL_DER_FEV_2023!S776</f>
        <v/>
      </c>
      <c r="W776" s="582">
        <v>0</v>
      </c>
      <c r="X776" s="580"/>
      <c r="Y776" s="583">
        <f>IF(GLOBAL_DER_FEV_2023!W776=0,0,IF(GLOBAL_DER_FEV_2023!W776&gt;0,"c","b"))</f>
        <v>0</v>
      </c>
    </row>
    <row r="777" spans="1:25" ht="23.25" hidden="1" thickBot="1" x14ac:dyDescent="0.25">
      <c r="A777" s="317">
        <v>570000</v>
      </c>
      <c r="B777" s="999" t="str">
        <f>GLOBAL_DER_FEV_2023!B777</f>
        <v>570000E</v>
      </c>
      <c r="C777" s="1000" t="str">
        <f>GLOBAL_DER_FEV_2023!C777</f>
        <v>DER</v>
      </c>
      <c r="D777" s="1024" t="str">
        <f>GLOBAL_DER_FEV_2023!D777</f>
        <v>CBUQ - PASSEIO - Novo Traço - TRAÇO 4 - FAIXA "D" - (Quant. menor que 10.000 ton)</v>
      </c>
      <c r="E777" s="974" t="str">
        <f>GLOBAL_DER_FEV_2023!E777</f>
        <v>taxa CAP</v>
      </c>
      <c r="F777" s="1022">
        <f>GLOBAL_DER_FEV_2023!F777</f>
        <v>5.6000000000000001E-2</v>
      </c>
      <c r="G777" s="976">
        <f>GLOBAL_DER_FEV_2023!G777</f>
        <v>51.832711599999996</v>
      </c>
      <c r="H777" s="977">
        <f>GLOBAL_DER_FEV_2023!H777</f>
        <v>187.41</v>
      </c>
      <c r="I777" s="977">
        <f>GLOBAL_DER_FEV_2023!I777</f>
        <v>239.24271160000001</v>
      </c>
      <c r="J777" s="978">
        <f>GLOBAL_DER_FEV_2023!J777</f>
        <v>287.26</v>
      </c>
      <c r="K777" s="979" t="s">
        <v>14</v>
      </c>
      <c r="L777" s="1152"/>
      <c r="M777" s="1153">
        <f t="shared" si="52"/>
        <v>0</v>
      </c>
      <c r="N777" s="982">
        <f t="shared" si="56"/>
        <v>0</v>
      </c>
      <c r="O777" s="905"/>
      <c r="Q777" s="317" t="str">
        <f t="shared" si="53"/>
        <v/>
      </c>
      <c r="R777" s="317" t="str">
        <f t="shared" si="54"/>
        <v/>
      </c>
      <c r="S777" s="317" t="str">
        <f t="shared" si="55"/>
        <v/>
      </c>
      <c r="T777" s="317" t="str">
        <f>GLOBAL_DER_FEV_2023!S777</f>
        <v/>
      </c>
      <c r="W777" s="582">
        <v>0</v>
      </c>
      <c r="X777" s="580"/>
      <c r="Y777" s="583">
        <f>IF(GLOBAL_DER_FEV_2023!W777=0,0,IF(GLOBAL_DER_FEV_2023!W777&gt;0,"c","b"))</f>
        <v>0</v>
      </c>
    </row>
    <row r="778" spans="1:25" ht="13.5" hidden="1" thickBot="1" x14ac:dyDescent="0.25">
      <c r="A778" s="317" t="s">
        <v>147</v>
      </c>
      <c r="B778" s="895" t="str">
        <f>GLOBAL_DER_FEV_2023!B778</f>
        <v>transporte</v>
      </c>
      <c r="C778" s="896">
        <f>GLOBAL_DER_FEV_2023!C778</f>
        <v>0</v>
      </c>
      <c r="D778" s="957" t="str">
        <f>GLOBAL_DER_FEV_2023!D778</f>
        <v>Areia</v>
      </c>
      <c r="E778" s="907">
        <f>GLOBAL_DER_FEV_2023!E778</f>
        <v>150</v>
      </c>
      <c r="F778" s="1287">
        <f>GLOBAL_DER_FEV_2023!F778</f>
        <v>9.4399999999999998E-2</v>
      </c>
      <c r="G778" s="949">
        <f>GLOBAL_DER_FEV_2023!G778</f>
        <v>15.404192</v>
      </c>
      <c r="H778" s="901">
        <f>GLOBAL_DER_FEV_2023!H778</f>
        <v>0</v>
      </c>
      <c r="I778" s="901">
        <f>GLOBAL_DER_FEV_2023!I778</f>
        <v>0</v>
      </c>
      <c r="J778" s="902">
        <f>GLOBAL_DER_FEV_2023!J778</f>
        <v>0</v>
      </c>
      <c r="K778" s="903" t="s">
        <v>507</v>
      </c>
      <c r="L778" s="1003"/>
      <c r="M778" s="1157">
        <f t="shared" si="52"/>
        <v>0</v>
      </c>
      <c r="N778" s="893">
        <f t="shared" si="56"/>
        <v>0</v>
      </c>
      <c r="O778" s="905"/>
      <c r="P778" s="58" t="str">
        <f>IF(N777&gt;0,"xx",IF(N777&gt;0,"xy",""))</f>
        <v/>
      </c>
      <c r="Q778" s="317" t="str">
        <f t="shared" si="53"/>
        <v/>
      </c>
      <c r="R778" s="317" t="str">
        <f t="shared" si="54"/>
        <v/>
      </c>
      <c r="S778" s="317" t="str">
        <f t="shared" si="55"/>
        <v/>
      </c>
      <c r="T778" s="317" t="str">
        <f>GLOBAL_DER_FEV_2023!S778</f>
        <v/>
      </c>
      <c r="W778" s="582">
        <v>0</v>
      </c>
      <c r="X778" s="580"/>
      <c r="Y778" s="583">
        <f>IF(GLOBAL_DER_FEV_2023!W778=0,0,IF(GLOBAL_DER_FEV_2023!W778&gt;0,"c","b"))</f>
        <v>0</v>
      </c>
    </row>
    <row r="779" spans="1:25" ht="13.5" hidden="1" thickBot="1" x14ac:dyDescent="0.25">
      <c r="A779" s="317" t="s">
        <v>147</v>
      </c>
      <c r="B779" s="895" t="str">
        <f>GLOBAL_DER_FEV_2023!B779</f>
        <v>transporte</v>
      </c>
      <c r="C779" s="896">
        <f>GLOBAL_DER_FEV_2023!C779</f>
        <v>0</v>
      </c>
      <c r="D779" s="957" t="str">
        <f>GLOBAL_DER_FEV_2023!D779</f>
        <v>Cal Hidratada CH-1</v>
      </c>
      <c r="E779" s="907">
        <f>GLOBAL_DER_FEV_2023!E779</f>
        <v>353</v>
      </c>
      <c r="F779" s="1287">
        <f>GLOBAL_DER_FEV_2023!F779</f>
        <v>1.4200000000000001E-2</v>
      </c>
      <c r="G779" s="909">
        <f>GLOBAL_DER_FEV_2023!G779</f>
        <v>4.0208720000000007</v>
      </c>
      <c r="H779" s="901">
        <f>GLOBAL_DER_FEV_2023!H779</f>
        <v>0</v>
      </c>
      <c r="I779" s="901">
        <f>GLOBAL_DER_FEV_2023!I779</f>
        <v>0</v>
      </c>
      <c r="J779" s="902">
        <f>GLOBAL_DER_FEV_2023!J779</f>
        <v>0</v>
      </c>
      <c r="K779" s="903" t="s">
        <v>507</v>
      </c>
      <c r="L779" s="1003"/>
      <c r="M779" s="1157">
        <f t="shared" si="52"/>
        <v>0</v>
      </c>
      <c r="N779" s="893">
        <f t="shared" si="56"/>
        <v>0</v>
      </c>
      <c r="O779" s="905"/>
      <c r="P779" s="58" t="str">
        <f>IF(N777&gt;0,"xx",IF(N777&gt;0,"xy",""))</f>
        <v/>
      </c>
      <c r="Q779" s="317" t="str">
        <f t="shared" si="53"/>
        <v/>
      </c>
      <c r="R779" s="317" t="str">
        <f t="shared" si="54"/>
        <v/>
      </c>
      <c r="S779" s="317" t="str">
        <f t="shared" si="55"/>
        <v/>
      </c>
      <c r="T779" s="317" t="str">
        <f>GLOBAL_DER_FEV_2023!S779</f>
        <v/>
      </c>
      <c r="W779" s="582">
        <v>0</v>
      </c>
      <c r="X779" s="580"/>
      <c r="Y779" s="583">
        <f>IF(GLOBAL_DER_FEV_2023!W779=0,0,IF(GLOBAL_DER_FEV_2023!W779&gt;0,"c","b"))</f>
        <v>0</v>
      </c>
    </row>
    <row r="780" spans="1:25" ht="13.5" hidden="1" thickBot="1" x14ac:dyDescent="0.25">
      <c r="A780" s="317" t="s">
        <v>147</v>
      </c>
      <c r="B780" s="895" t="str">
        <f>GLOBAL_DER_FEV_2023!B780</f>
        <v>transporte</v>
      </c>
      <c r="C780" s="896">
        <f>GLOBAL_DER_FEV_2023!C780</f>
        <v>0</v>
      </c>
      <c r="D780" s="957" t="str">
        <f>GLOBAL_DER_FEV_2023!D780</f>
        <v>Brita ( usina )</v>
      </c>
      <c r="E780" s="907">
        <f>GLOBAL_DER_FEV_2023!E780</f>
        <v>0.2</v>
      </c>
      <c r="F780" s="1287">
        <f>GLOBAL_DER_FEV_2023!F780</f>
        <v>0.83540000000000003</v>
      </c>
      <c r="G780" s="949">
        <f>GLOBAL_DER_FEV_2023!G780</f>
        <v>2.4176476</v>
      </c>
      <c r="H780" s="901">
        <f>GLOBAL_DER_FEV_2023!H780</f>
        <v>0</v>
      </c>
      <c r="I780" s="901">
        <f>GLOBAL_DER_FEV_2023!I780</f>
        <v>0</v>
      </c>
      <c r="J780" s="902">
        <f>GLOBAL_DER_FEV_2023!J780</f>
        <v>0</v>
      </c>
      <c r="K780" s="903" t="s">
        <v>507</v>
      </c>
      <c r="L780" s="1003"/>
      <c r="M780" s="1157">
        <f t="shared" si="52"/>
        <v>0</v>
      </c>
      <c r="N780" s="893">
        <f t="shared" si="56"/>
        <v>0</v>
      </c>
      <c r="O780" s="905"/>
      <c r="P780" s="58" t="str">
        <f>IF(N777&gt;0,"xx",IF(N777&gt;0,"xy",""))</f>
        <v/>
      </c>
      <c r="Q780" s="317" t="str">
        <f t="shared" si="53"/>
        <v/>
      </c>
      <c r="R780" s="317" t="str">
        <f t="shared" si="54"/>
        <v/>
      </c>
      <c r="S780" s="317" t="str">
        <f t="shared" si="55"/>
        <v/>
      </c>
      <c r="T780" s="317" t="str">
        <f>GLOBAL_DER_FEV_2023!S780</f>
        <v/>
      </c>
      <c r="W780" s="582">
        <v>0</v>
      </c>
      <c r="X780" s="580"/>
      <c r="Y780" s="583">
        <f>IF(GLOBAL_DER_FEV_2023!W780=0,0,IF(GLOBAL_DER_FEV_2023!W780&gt;0,"c","b"))</f>
        <v>0</v>
      </c>
    </row>
    <row r="781" spans="1:25" ht="13.5" hidden="1" thickBot="1" x14ac:dyDescent="0.25">
      <c r="A781" s="317" t="s">
        <v>147</v>
      </c>
      <c r="B781" s="895" t="str">
        <f>GLOBAL_DER_FEV_2023!B781</f>
        <v>transporte</v>
      </c>
      <c r="C781" s="896">
        <f>GLOBAL_DER_FEV_2023!C781</f>
        <v>0</v>
      </c>
      <c r="D781" s="957" t="str">
        <f>GLOBAL_DER_FEV_2023!D781</f>
        <v>Massa</v>
      </c>
      <c r="E781" s="907">
        <f>GLOBAL_DER_FEV_2023!E781</f>
        <v>22</v>
      </c>
      <c r="F781" s="908">
        <f>GLOBAL_DER_FEV_2023!F781</f>
        <v>1</v>
      </c>
      <c r="G781" s="912">
        <f>GLOBAL_DER_FEV_2023!G781</f>
        <v>29.990000000000002</v>
      </c>
      <c r="H781" s="901">
        <f>GLOBAL_DER_FEV_2023!H781</f>
        <v>0</v>
      </c>
      <c r="I781" s="901">
        <f>GLOBAL_DER_FEV_2023!I781</f>
        <v>0</v>
      </c>
      <c r="J781" s="902">
        <f>GLOBAL_DER_FEV_2023!J781</f>
        <v>0</v>
      </c>
      <c r="K781" s="903" t="s">
        <v>507</v>
      </c>
      <c r="L781" s="1003"/>
      <c r="M781" s="1157">
        <f t="shared" si="52"/>
        <v>0</v>
      </c>
      <c r="N781" s="893">
        <f t="shared" si="56"/>
        <v>0</v>
      </c>
      <c r="O781" s="905"/>
      <c r="P781" s="58" t="str">
        <f>IF(N777&gt;0,"xx",IF(N777&gt;0,"xy",""))</f>
        <v/>
      </c>
      <c r="Q781" s="317" t="str">
        <f t="shared" si="53"/>
        <v/>
      </c>
      <c r="R781" s="317" t="str">
        <f t="shared" si="54"/>
        <v/>
      </c>
      <c r="S781" s="317" t="str">
        <f t="shared" si="55"/>
        <v/>
      </c>
      <c r="T781" s="317" t="str">
        <f>GLOBAL_DER_FEV_2023!S781</f>
        <v/>
      </c>
      <c r="W781" s="582">
        <v>0</v>
      </c>
      <c r="X781" s="580"/>
      <c r="Y781" s="583">
        <f>IF(GLOBAL_DER_FEV_2023!W781=0,0,IF(GLOBAL_DER_FEV_2023!W781&gt;0,"c","b"))</f>
        <v>0</v>
      </c>
    </row>
    <row r="782" spans="1:25" ht="13.5" hidden="1" thickBot="1" x14ac:dyDescent="0.25">
      <c r="A782" s="317">
        <v>589000</v>
      </c>
      <c r="B782" s="1004" t="str">
        <f>GLOBAL_DER_FEV_2023!B782</f>
        <v>589000Q</v>
      </c>
      <c r="C782" s="984" t="str">
        <f>GLOBAL_DER_FEV_2023!C782</f>
        <v>DER mat</v>
      </c>
      <c r="D782" s="1012" t="str">
        <f>GLOBAL_DER_FEV_2023!D782</f>
        <v>Fornecimento de CAP - CBUQ (Quantidade menor que 10.000 ton)</v>
      </c>
      <c r="E782" s="1005">
        <f>GLOBAL_DER_FEV_2023!E782</f>
        <v>45</v>
      </c>
      <c r="F782" s="1006">
        <f>GLOBAL_DER_FEV_2023!F782</f>
        <v>1</v>
      </c>
      <c r="G782" s="1028">
        <f>GLOBAL_DER_FEV_2023!G782</f>
        <v>88.36</v>
      </c>
      <c r="H782" s="988">
        <f>GLOBAL_DER_FEV_2023!H782</f>
        <v>4828.8599999999997</v>
      </c>
      <c r="I782" s="988">
        <f>GLOBAL_DER_FEV_2023!I782</f>
        <v>4724.580378112767</v>
      </c>
      <c r="J782" s="989">
        <f>GLOBAL_DER_FEV_2023!J782</f>
        <v>5672.8</v>
      </c>
      <c r="K782" s="990" t="s">
        <v>14</v>
      </c>
      <c r="L782" s="1169">
        <f>ROUND(L777*$F777,2)</f>
        <v>0</v>
      </c>
      <c r="M782" s="1168">
        <f t="shared" si="52"/>
        <v>0</v>
      </c>
      <c r="N782" s="993">
        <f t="shared" si="56"/>
        <v>0</v>
      </c>
      <c r="O782" s="905"/>
      <c r="P782" s="58" t="str">
        <f>IF(N777&gt;0,"xx",IF(N777&gt;0,"xy",""))</f>
        <v/>
      </c>
      <c r="Q782" s="317" t="str">
        <f t="shared" si="53"/>
        <v/>
      </c>
      <c r="R782" s="317" t="str">
        <f t="shared" si="54"/>
        <v/>
      </c>
      <c r="S782" s="317" t="str">
        <f t="shared" si="55"/>
        <v/>
      </c>
      <c r="T782" s="317" t="str">
        <f>GLOBAL_DER_FEV_2023!S782</f>
        <v/>
      </c>
      <c r="W782" s="582">
        <v>0</v>
      </c>
      <c r="X782" s="580"/>
      <c r="Y782" s="583">
        <f>IF(GLOBAL_DER_FEV_2023!W782=0,0,IF(GLOBAL_DER_FEV_2023!W782&gt;0,"c","b"))</f>
        <v>0</v>
      </c>
    </row>
    <row r="783" spans="1:25" ht="23.25" hidden="1" thickBot="1" x14ac:dyDescent="0.25">
      <c r="A783" s="317">
        <v>570000</v>
      </c>
      <c r="B783" s="999" t="str">
        <f>GLOBAL_DER_FEV_2023!B783</f>
        <v>570000E</v>
      </c>
      <c r="C783" s="1000" t="str">
        <f>GLOBAL_DER_FEV_2023!C783</f>
        <v>DER</v>
      </c>
      <c r="D783" s="1024" t="str">
        <f>GLOBAL_DER_FEV_2023!D783</f>
        <v>CBUQ - PASSEIO - Novo Traço - TRAÇO 5 - FAIXA "D" - (Quant. menor que 10.000 ton)</v>
      </c>
      <c r="E783" s="974" t="str">
        <f>GLOBAL_DER_FEV_2023!E783</f>
        <v>taxa CAP</v>
      </c>
      <c r="F783" s="1022">
        <f>GLOBAL_DER_FEV_2023!F783</f>
        <v>5.5E-2</v>
      </c>
      <c r="G783" s="976">
        <f>GLOBAL_DER_FEV_2023!G783</f>
        <v>51.851634200000007</v>
      </c>
      <c r="H783" s="977">
        <f>GLOBAL_DER_FEV_2023!H783</f>
        <v>187.41</v>
      </c>
      <c r="I783" s="977">
        <f>GLOBAL_DER_FEV_2023!I783</f>
        <v>239.2616342</v>
      </c>
      <c r="J783" s="978">
        <f>GLOBAL_DER_FEV_2023!J783</f>
        <v>287.27999999999997</v>
      </c>
      <c r="K783" s="979" t="s">
        <v>14</v>
      </c>
      <c r="L783" s="1152"/>
      <c r="M783" s="1153">
        <f t="shared" si="52"/>
        <v>0</v>
      </c>
      <c r="N783" s="982">
        <f t="shared" si="56"/>
        <v>0</v>
      </c>
      <c r="O783" s="905"/>
      <c r="Q783" s="317" t="str">
        <f t="shared" si="53"/>
        <v/>
      </c>
      <c r="R783" s="317" t="str">
        <f t="shared" si="54"/>
        <v/>
      </c>
      <c r="S783" s="317" t="str">
        <f t="shared" si="55"/>
        <v/>
      </c>
      <c r="T783" s="317" t="str">
        <f>GLOBAL_DER_FEV_2023!S783</f>
        <v/>
      </c>
      <c r="W783" s="582">
        <v>0</v>
      </c>
      <c r="X783" s="580"/>
      <c r="Y783" s="583">
        <f>IF(GLOBAL_DER_FEV_2023!W783=0,0,IF(GLOBAL_DER_FEV_2023!W783&gt;0,"c","b"))</f>
        <v>0</v>
      </c>
    </row>
    <row r="784" spans="1:25" ht="13.5" hidden="1" thickBot="1" x14ac:dyDescent="0.25">
      <c r="A784" s="317" t="s">
        <v>147</v>
      </c>
      <c r="B784" s="895" t="str">
        <f>GLOBAL_DER_FEV_2023!B784</f>
        <v>transporte</v>
      </c>
      <c r="C784" s="896">
        <f>GLOBAL_DER_FEV_2023!C784</f>
        <v>0</v>
      </c>
      <c r="D784" s="957" t="str">
        <f>GLOBAL_DER_FEV_2023!D784</f>
        <v>Areia</v>
      </c>
      <c r="E784" s="907">
        <f>GLOBAL_DER_FEV_2023!E784</f>
        <v>150</v>
      </c>
      <c r="F784" s="1287">
        <f>GLOBAL_DER_FEV_2023!F784</f>
        <v>9.4500000000000001E-2</v>
      </c>
      <c r="G784" s="949">
        <f>GLOBAL_DER_FEV_2023!G784</f>
        <v>15.42051</v>
      </c>
      <c r="H784" s="901">
        <f>GLOBAL_DER_FEV_2023!H784</f>
        <v>0</v>
      </c>
      <c r="I784" s="901">
        <f>GLOBAL_DER_FEV_2023!I784</f>
        <v>0</v>
      </c>
      <c r="J784" s="902">
        <f>GLOBAL_DER_FEV_2023!J784</f>
        <v>0</v>
      </c>
      <c r="K784" s="903" t="s">
        <v>507</v>
      </c>
      <c r="L784" s="1003"/>
      <c r="M784" s="1157">
        <f t="shared" si="52"/>
        <v>0</v>
      </c>
      <c r="N784" s="893">
        <f t="shared" si="56"/>
        <v>0</v>
      </c>
      <c r="O784" s="905"/>
      <c r="P784" s="58" t="str">
        <f>IF(N783&gt;0,"xx",IF(N783&gt;0,"xy",""))</f>
        <v/>
      </c>
      <c r="Q784" s="317" t="str">
        <f t="shared" si="53"/>
        <v/>
      </c>
      <c r="R784" s="317" t="str">
        <f t="shared" si="54"/>
        <v/>
      </c>
      <c r="S784" s="317" t="str">
        <f t="shared" si="55"/>
        <v/>
      </c>
      <c r="T784" s="317" t="str">
        <f>GLOBAL_DER_FEV_2023!S784</f>
        <v/>
      </c>
      <c r="W784" s="582">
        <v>0</v>
      </c>
      <c r="X784" s="580"/>
      <c r="Y784" s="583">
        <f>IF(GLOBAL_DER_FEV_2023!W784=0,0,IF(GLOBAL_DER_FEV_2023!W784&gt;0,"c","b"))</f>
        <v>0</v>
      </c>
    </row>
    <row r="785" spans="1:25" ht="13.5" hidden="1" thickBot="1" x14ac:dyDescent="0.25">
      <c r="A785" s="317" t="s">
        <v>147</v>
      </c>
      <c r="B785" s="895" t="str">
        <f>GLOBAL_DER_FEV_2023!B785</f>
        <v>transporte</v>
      </c>
      <c r="C785" s="896">
        <f>GLOBAL_DER_FEV_2023!C785</f>
        <v>0</v>
      </c>
      <c r="D785" s="957" t="str">
        <f>GLOBAL_DER_FEV_2023!D785</f>
        <v>Cal Hidratada CH-1</v>
      </c>
      <c r="E785" s="907">
        <f>GLOBAL_DER_FEV_2023!E785</f>
        <v>353</v>
      </c>
      <c r="F785" s="1287">
        <f>GLOBAL_DER_FEV_2023!F785</f>
        <v>1.4200000000000001E-2</v>
      </c>
      <c r="G785" s="909">
        <f>GLOBAL_DER_FEV_2023!G785</f>
        <v>4.0208720000000007</v>
      </c>
      <c r="H785" s="901">
        <f>GLOBAL_DER_FEV_2023!H785</f>
        <v>0</v>
      </c>
      <c r="I785" s="901">
        <f>GLOBAL_DER_FEV_2023!I785</f>
        <v>0</v>
      </c>
      <c r="J785" s="902">
        <f>GLOBAL_DER_FEV_2023!J785</f>
        <v>0</v>
      </c>
      <c r="K785" s="903" t="s">
        <v>507</v>
      </c>
      <c r="L785" s="1003"/>
      <c r="M785" s="1157">
        <f t="shared" si="52"/>
        <v>0</v>
      </c>
      <c r="N785" s="893">
        <f t="shared" si="56"/>
        <v>0</v>
      </c>
      <c r="O785" s="905"/>
      <c r="P785" s="58" t="str">
        <f>IF(N783&gt;0,"xx",IF(N783&gt;0,"xy",""))</f>
        <v/>
      </c>
      <c r="Q785" s="317" t="str">
        <f t="shared" si="53"/>
        <v/>
      </c>
      <c r="R785" s="317" t="str">
        <f t="shared" si="54"/>
        <v/>
      </c>
      <c r="S785" s="317" t="str">
        <f t="shared" si="55"/>
        <v/>
      </c>
      <c r="T785" s="317" t="str">
        <f>GLOBAL_DER_FEV_2023!S785</f>
        <v/>
      </c>
      <c r="W785" s="582">
        <v>0</v>
      </c>
      <c r="X785" s="580"/>
      <c r="Y785" s="583">
        <f>IF(GLOBAL_DER_FEV_2023!W785=0,0,IF(GLOBAL_DER_FEV_2023!W785&gt;0,"c","b"))</f>
        <v>0</v>
      </c>
    </row>
    <row r="786" spans="1:25" ht="13.5" hidden="1" thickBot="1" x14ac:dyDescent="0.25">
      <c r="A786" s="317" t="s">
        <v>147</v>
      </c>
      <c r="B786" s="895" t="str">
        <f>GLOBAL_DER_FEV_2023!B786</f>
        <v>transporte</v>
      </c>
      <c r="C786" s="896">
        <f>GLOBAL_DER_FEV_2023!C786</f>
        <v>0</v>
      </c>
      <c r="D786" s="957" t="str">
        <f>GLOBAL_DER_FEV_2023!D786</f>
        <v>Brita ( usina )</v>
      </c>
      <c r="E786" s="907">
        <f>GLOBAL_DER_FEV_2023!E786</f>
        <v>0.2</v>
      </c>
      <c r="F786" s="1287">
        <f>GLOBAL_DER_FEV_2023!F786</f>
        <v>0.83630000000000004</v>
      </c>
      <c r="G786" s="949">
        <f>GLOBAL_DER_FEV_2023!G786</f>
        <v>2.4202522000000002</v>
      </c>
      <c r="H786" s="901">
        <f>GLOBAL_DER_FEV_2023!H786</f>
        <v>0</v>
      </c>
      <c r="I786" s="901">
        <f>GLOBAL_DER_FEV_2023!I786</f>
        <v>0</v>
      </c>
      <c r="J786" s="902">
        <f>GLOBAL_DER_FEV_2023!J786</f>
        <v>0</v>
      </c>
      <c r="K786" s="903" t="s">
        <v>507</v>
      </c>
      <c r="L786" s="1003"/>
      <c r="M786" s="1157">
        <f t="shared" si="52"/>
        <v>0</v>
      </c>
      <c r="N786" s="893">
        <f t="shared" si="56"/>
        <v>0</v>
      </c>
      <c r="O786" s="905"/>
      <c r="P786" s="58" t="str">
        <f>IF(N783&gt;0,"xx",IF(N783&gt;0,"xy",""))</f>
        <v/>
      </c>
      <c r="Q786" s="317" t="str">
        <f t="shared" si="53"/>
        <v/>
      </c>
      <c r="R786" s="317" t="str">
        <f t="shared" si="54"/>
        <v/>
      </c>
      <c r="S786" s="317" t="str">
        <f t="shared" si="55"/>
        <v/>
      </c>
      <c r="T786" s="317" t="str">
        <f>GLOBAL_DER_FEV_2023!S786</f>
        <v/>
      </c>
      <c r="W786" s="582">
        <v>0</v>
      </c>
      <c r="X786" s="580"/>
      <c r="Y786" s="583">
        <f>IF(GLOBAL_DER_FEV_2023!W786=0,0,IF(GLOBAL_DER_FEV_2023!W786&gt;0,"c","b"))</f>
        <v>0</v>
      </c>
    </row>
    <row r="787" spans="1:25" ht="13.5" hidden="1" thickBot="1" x14ac:dyDescent="0.25">
      <c r="A787" s="317" t="s">
        <v>147</v>
      </c>
      <c r="B787" s="895" t="str">
        <f>GLOBAL_DER_FEV_2023!B787</f>
        <v>transporte</v>
      </c>
      <c r="C787" s="896">
        <f>GLOBAL_DER_FEV_2023!C787</f>
        <v>0</v>
      </c>
      <c r="D787" s="957" t="str">
        <f>GLOBAL_DER_FEV_2023!D787</f>
        <v>Massa</v>
      </c>
      <c r="E787" s="907">
        <f>GLOBAL_DER_FEV_2023!E787</f>
        <v>22</v>
      </c>
      <c r="F787" s="1287">
        <f>GLOBAL_DER_FEV_2023!F787</f>
        <v>1</v>
      </c>
      <c r="G787" s="912">
        <f>GLOBAL_DER_FEV_2023!G787</f>
        <v>29.990000000000002</v>
      </c>
      <c r="H787" s="901">
        <f>GLOBAL_DER_FEV_2023!H787</f>
        <v>0</v>
      </c>
      <c r="I787" s="901">
        <f>GLOBAL_DER_FEV_2023!I787</f>
        <v>0</v>
      </c>
      <c r="J787" s="902">
        <f>GLOBAL_DER_FEV_2023!J787</f>
        <v>0</v>
      </c>
      <c r="K787" s="903" t="s">
        <v>507</v>
      </c>
      <c r="L787" s="1003"/>
      <c r="M787" s="1157">
        <f t="shared" si="52"/>
        <v>0</v>
      </c>
      <c r="N787" s="893">
        <f t="shared" si="56"/>
        <v>0</v>
      </c>
      <c r="O787" s="905"/>
      <c r="P787" s="58" t="str">
        <f>IF(N783&gt;0,"xx",IF(N783&gt;0,"xy",""))</f>
        <v/>
      </c>
      <c r="Q787" s="317" t="str">
        <f t="shared" si="53"/>
        <v/>
      </c>
      <c r="R787" s="317" t="str">
        <f t="shared" si="54"/>
        <v/>
      </c>
      <c r="S787" s="317" t="str">
        <f t="shared" si="55"/>
        <v/>
      </c>
      <c r="T787" s="317" t="str">
        <f>GLOBAL_DER_FEV_2023!S787</f>
        <v/>
      </c>
      <c r="W787" s="582">
        <v>0</v>
      </c>
      <c r="X787" s="580"/>
      <c r="Y787" s="583">
        <f>IF(GLOBAL_DER_FEV_2023!W787=0,0,IF(GLOBAL_DER_FEV_2023!W787&gt;0,"c","b"))</f>
        <v>0</v>
      </c>
    </row>
    <row r="788" spans="1:25" ht="13.5" hidden="1" thickBot="1" x14ac:dyDescent="0.25">
      <c r="A788" s="317">
        <v>589000</v>
      </c>
      <c r="B788" s="1004" t="str">
        <f>GLOBAL_DER_FEV_2023!B788</f>
        <v>589000Q</v>
      </c>
      <c r="C788" s="984" t="str">
        <f>GLOBAL_DER_FEV_2023!C788</f>
        <v>DER mat</v>
      </c>
      <c r="D788" s="1012" t="str">
        <f>GLOBAL_DER_FEV_2023!D788</f>
        <v>Fornecimento de CAP - CBUQ (Quantidade menor que 10.000 ton)</v>
      </c>
      <c r="E788" s="1005">
        <f>GLOBAL_DER_FEV_2023!E788</f>
        <v>45</v>
      </c>
      <c r="F788" s="1006">
        <f>GLOBAL_DER_FEV_2023!F788</f>
        <v>1</v>
      </c>
      <c r="G788" s="1028">
        <f>GLOBAL_DER_FEV_2023!G788</f>
        <v>88.36</v>
      </c>
      <c r="H788" s="988">
        <f>GLOBAL_DER_FEV_2023!H788</f>
        <v>4828.8599999999997</v>
      </c>
      <c r="I788" s="988">
        <f>GLOBAL_DER_FEV_2023!I788</f>
        <v>4724.580378112767</v>
      </c>
      <c r="J788" s="989">
        <f>GLOBAL_DER_FEV_2023!J788</f>
        <v>5672.8</v>
      </c>
      <c r="K788" s="990" t="s">
        <v>14</v>
      </c>
      <c r="L788" s="1169">
        <f>ROUND(L783*$F783,2)</f>
        <v>0</v>
      </c>
      <c r="M788" s="1168">
        <f t="shared" si="52"/>
        <v>0</v>
      </c>
      <c r="N788" s="993">
        <f t="shared" si="56"/>
        <v>0</v>
      </c>
      <c r="O788" s="905"/>
      <c r="P788" s="58" t="str">
        <f>IF(N783&gt;0,"xx",IF(N783&gt;0,"xy",""))</f>
        <v/>
      </c>
      <c r="Q788" s="317" t="str">
        <f t="shared" si="53"/>
        <v/>
      </c>
      <c r="R788" s="317" t="str">
        <f t="shared" si="54"/>
        <v/>
      </c>
      <c r="S788" s="317" t="str">
        <f t="shared" si="55"/>
        <v/>
      </c>
      <c r="T788" s="317" t="str">
        <f>GLOBAL_DER_FEV_2023!S788</f>
        <v/>
      </c>
      <c r="W788" s="582">
        <v>0</v>
      </c>
      <c r="X788" s="580"/>
      <c r="Y788" s="583">
        <f>IF(GLOBAL_DER_FEV_2023!W788=0,0,IF(GLOBAL_DER_FEV_2023!W788&gt;0,"c","b"))</f>
        <v>0</v>
      </c>
    </row>
    <row r="789" spans="1:25" ht="13.5" hidden="1" thickBot="1" x14ac:dyDescent="0.25">
      <c r="A789" s="317">
        <v>521450</v>
      </c>
      <c r="B789" s="955" t="s">
        <v>1613</v>
      </c>
      <c r="C789" s="956" t="s">
        <v>184</v>
      </c>
      <c r="D789" s="906" t="s">
        <v>274</v>
      </c>
      <c r="E789" s="907">
        <f>GLOBAL_DER_FEV_2023!E789</f>
        <v>0</v>
      </c>
      <c r="F789" s="899">
        <f>GLOBAL_DER_FEV_2023!F789</f>
        <v>0.3</v>
      </c>
      <c r="G789" s="949">
        <f>GLOBAL_DER_FEV_2023!G789</f>
        <v>0.80400000000000005</v>
      </c>
      <c r="H789" s="901">
        <f>GLOBAL_DER_FEV_2023!H789</f>
        <v>25.31</v>
      </c>
      <c r="I789" s="901">
        <f>GLOBAL_DER_FEV_2023!I789</f>
        <v>26.113999999999997</v>
      </c>
      <c r="J789" s="902">
        <f>GLOBAL_DER_FEV_2023!J789</f>
        <v>31.36</v>
      </c>
      <c r="K789" s="903" t="s">
        <v>12</v>
      </c>
      <c r="L789" s="1137"/>
      <c r="M789" s="1138">
        <f t="shared" si="52"/>
        <v>0</v>
      </c>
      <c r="N789" s="893">
        <f t="shared" si="56"/>
        <v>0</v>
      </c>
      <c r="O789" s="905"/>
      <c r="Q789" s="317" t="str">
        <f t="shared" si="53"/>
        <v/>
      </c>
      <c r="R789" s="317" t="str">
        <f t="shared" si="54"/>
        <v/>
      </c>
      <c r="S789" s="317" t="str">
        <f t="shared" si="55"/>
        <v/>
      </c>
      <c r="T789" s="317" t="str">
        <f>GLOBAL_DER_FEV_2023!S789</f>
        <v/>
      </c>
      <c r="W789" s="582">
        <v>0</v>
      </c>
      <c r="X789" s="580"/>
      <c r="Y789" s="583">
        <f>IF(GLOBAL_DER_FEV_2023!W789=0,0,IF(GLOBAL_DER_FEV_2023!W789&gt;0,"c","b"))</f>
        <v>0</v>
      </c>
    </row>
    <row r="790" spans="1:25" ht="13.5" hidden="1" thickBot="1" x14ac:dyDescent="0.25">
      <c r="A790" s="317">
        <v>535200</v>
      </c>
      <c r="B790" s="895" t="s">
        <v>1609</v>
      </c>
      <c r="C790" s="896" t="s">
        <v>184</v>
      </c>
      <c r="D790" s="906" t="s">
        <v>275</v>
      </c>
      <c r="E790" s="907">
        <f>GLOBAL_DER_FEV_2023!E790</f>
        <v>0</v>
      </c>
      <c r="F790" s="899">
        <f>GLOBAL_DER_FEV_2023!F790</f>
        <v>7.6999999999999999E-2</v>
      </c>
      <c r="G790" s="949">
        <f>GLOBAL_DER_FEV_2023!G790</f>
        <v>0.20636000000000002</v>
      </c>
      <c r="H790" s="901">
        <f>GLOBAL_DER_FEV_2023!H790</f>
        <v>11.65</v>
      </c>
      <c r="I790" s="901">
        <f>GLOBAL_DER_FEV_2023!I790</f>
        <v>11.85636</v>
      </c>
      <c r="J790" s="902">
        <f>GLOBAL_DER_FEV_2023!J790</f>
        <v>14.24</v>
      </c>
      <c r="K790" s="903" t="s">
        <v>13</v>
      </c>
      <c r="L790" s="1137"/>
      <c r="M790" s="1138">
        <f t="shared" si="52"/>
        <v>0</v>
      </c>
      <c r="N790" s="893">
        <f t="shared" si="56"/>
        <v>0</v>
      </c>
      <c r="O790" s="905"/>
      <c r="Q790" s="317" t="str">
        <f t="shared" si="53"/>
        <v/>
      </c>
      <c r="R790" s="317" t="str">
        <f t="shared" si="54"/>
        <v/>
      </c>
      <c r="S790" s="317" t="str">
        <f t="shared" si="55"/>
        <v/>
      </c>
      <c r="T790" s="317" t="str">
        <f>GLOBAL_DER_FEV_2023!S790</f>
        <v/>
      </c>
      <c r="W790" s="582">
        <v>0</v>
      </c>
      <c r="X790" s="580"/>
      <c r="Y790" s="583">
        <f>IF(GLOBAL_DER_FEV_2023!W790=0,0,IF(GLOBAL_DER_FEV_2023!W790&gt;0,"c","b"))</f>
        <v>0</v>
      </c>
    </row>
    <row r="791" spans="1:25" ht="13.5" hidden="1" thickBot="1" x14ac:dyDescent="0.25">
      <c r="A791" s="317">
        <v>521450</v>
      </c>
      <c r="B791" s="895" t="s">
        <v>1614</v>
      </c>
      <c r="C791" s="896" t="s">
        <v>184</v>
      </c>
      <c r="D791" s="906" t="s">
        <v>276</v>
      </c>
      <c r="E791" s="907">
        <f>GLOBAL_DER_FEV_2023!E791</f>
        <v>0</v>
      </c>
      <c r="F791" s="899">
        <f>GLOBAL_DER_FEV_2023!F791</f>
        <v>0</v>
      </c>
      <c r="G791" s="912">
        <f>GLOBAL_DER_FEV_2023!G791</f>
        <v>0</v>
      </c>
      <c r="H791" s="901">
        <f>GLOBAL_DER_FEV_2023!H791</f>
        <v>25.31</v>
      </c>
      <c r="I791" s="901">
        <f>GLOBAL_DER_FEV_2023!I791</f>
        <v>25.31</v>
      </c>
      <c r="J791" s="902">
        <f>GLOBAL_DER_FEV_2023!J791</f>
        <v>30.39</v>
      </c>
      <c r="K791" s="903" t="s">
        <v>12</v>
      </c>
      <c r="L791" s="1137"/>
      <c r="M791" s="1138">
        <f t="shared" si="52"/>
        <v>0</v>
      </c>
      <c r="N791" s="893">
        <f t="shared" si="56"/>
        <v>0</v>
      </c>
      <c r="O791" s="905"/>
      <c r="Q791" s="317" t="str">
        <f t="shared" si="53"/>
        <v/>
      </c>
      <c r="R791" s="317" t="str">
        <f t="shared" si="54"/>
        <v/>
      </c>
      <c r="S791" s="317" t="str">
        <f t="shared" si="55"/>
        <v/>
      </c>
      <c r="T791" s="317" t="str">
        <f>GLOBAL_DER_FEV_2023!S791</f>
        <v/>
      </c>
      <c r="W791" s="582">
        <v>0</v>
      </c>
      <c r="X791" s="580"/>
      <c r="Y791" s="583">
        <f>IF(GLOBAL_DER_FEV_2023!W791=0,0,IF(GLOBAL_DER_FEV_2023!W791&gt;0,"c","b"))</f>
        <v>0</v>
      </c>
    </row>
    <row r="792" spans="1:25" ht="13.5" hidden="1" thickBot="1" x14ac:dyDescent="0.25">
      <c r="A792" s="317">
        <v>521450</v>
      </c>
      <c r="B792" s="895" t="s">
        <v>1615</v>
      </c>
      <c r="C792" s="896" t="s">
        <v>184</v>
      </c>
      <c r="D792" s="906" t="s">
        <v>277</v>
      </c>
      <c r="E792" s="907">
        <f>GLOBAL_DER_FEV_2023!E792</f>
        <v>0</v>
      </c>
      <c r="F792" s="899">
        <f>GLOBAL_DER_FEV_2023!F792</f>
        <v>0</v>
      </c>
      <c r="G792" s="912">
        <f>GLOBAL_DER_FEV_2023!G792</f>
        <v>0</v>
      </c>
      <c r="H792" s="901">
        <f>GLOBAL_DER_FEV_2023!H792</f>
        <v>25.31</v>
      </c>
      <c r="I792" s="901">
        <f>GLOBAL_DER_FEV_2023!I792</f>
        <v>25.31</v>
      </c>
      <c r="J792" s="902">
        <f>GLOBAL_DER_FEV_2023!J792</f>
        <v>30.39</v>
      </c>
      <c r="K792" s="903" t="s">
        <v>12</v>
      </c>
      <c r="L792" s="1137"/>
      <c r="M792" s="1138">
        <f t="shared" si="52"/>
        <v>0</v>
      </c>
      <c r="N792" s="893">
        <f t="shared" si="56"/>
        <v>0</v>
      </c>
      <c r="O792" s="905"/>
      <c r="Q792" s="317" t="str">
        <f t="shared" si="53"/>
        <v/>
      </c>
      <c r="R792" s="317" t="str">
        <f t="shared" si="54"/>
        <v/>
      </c>
      <c r="S792" s="317" t="str">
        <f t="shared" si="55"/>
        <v/>
      </c>
      <c r="T792" s="317" t="str">
        <f>GLOBAL_DER_FEV_2023!S792</f>
        <v/>
      </c>
      <c r="W792" s="582">
        <v>0</v>
      </c>
      <c r="X792" s="580"/>
      <c r="Y792" s="583">
        <f>IF(GLOBAL_DER_FEV_2023!W792=0,0,IF(GLOBAL_DER_FEV_2023!W792&gt;0,"c","b"))</f>
        <v>0</v>
      </c>
    </row>
    <row r="793" spans="1:25" ht="13.5" hidden="1" thickBot="1" x14ac:dyDescent="0.25">
      <c r="A793" s="317">
        <v>535000</v>
      </c>
      <c r="B793" s="895" t="s">
        <v>1752</v>
      </c>
      <c r="C793" s="896" t="s">
        <v>184</v>
      </c>
      <c r="D793" s="906" t="s">
        <v>222</v>
      </c>
      <c r="E793" s="907">
        <f>GLOBAL_DER_FEV_2023!E793</f>
        <v>0</v>
      </c>
      <c r="F793" s="908">
        <f>GLOBAL_DER_FEV_2023!F793</f>
        <v>0.27200000000000002</v>
      </c>
      <c r="G793" s="949">
        <f>GLOBAL_DER_FEV_2023!G793</f>
        <v>0.72896000000000005</v>
      </c>
      <c r="H793" s="901">
        <f>GLOBAL_DER_FEV_2023!H793</f>
        <v>109.55</v>
      </c>
      <c r="I793" s="901">
        <f>GLOBAL_DER_FEV_2023!I793</f>
        <v>110.27896</v>
      </c>
      <c r="J793" s="902">
        <f>GLOBAL_DER_FEV_2023!J793</f>
        <v>132.41</v>
      </c>
      <c r="K793" s="903" t="s">
        <v>12</v>
      </c>
      <c r="L793" s="1137"/>
      <c r="M793" s="1138">
        <f t="shared" si="52"/>
        <v>0</v>
      </c>
      <c r="N793" s="893">
        <f t="shared" si="56"/>
        <v>0</v>
      </c>
      <c r="O793" s="905"/>
      <c r="Q793" s="317" t="str">
        <f t="shared" si="53"/>
        <v/>
      </c>
      <c r="R793" s="317" t="str">
        <f t="shared" si="54"/>
        <v/>
      </c>
      <c r="S793" s="317" t="str">
        <f t="shared" si="55"/>
        <v/>
      </c>
      <c r="T793" s="317" t="str">
        <f>GLOBAL_DER_FEV_2023!S793</f>
        <v/>
      </c>
      <c r="W793" s="582">
        <v>0</v>
      </c>
      <c r="X793" s="580"/>
      <c r="Y793" s="583">
        <f>IF(GLOBAL_DER_FEV_2023!W793=0,0,IF(GLOBAL_DER_FEV_2023!W793&gt;0,"c","b"))</f>
        <v>0</v>
      </c>
    </row>
    <row r="794" spans="1:25" ht="13.5" hidden="1" thickBot="1" x14ac:dyDescent="0.25">
      <c r="A794" s="317">
        <v>863000</v>
      </c>
      <c r="B794" s="895" t="s">
        <v>1622</v>
      </c>
      <c r="C794" s="896" t="s">
        <v>184</v>
      </c>
      <c r="D794" s="906" t="s">
        <v>223</v>
      </c>
      <c r="E794" s="907">
        <f>GLOBAL_DER_FEV_2023!E794</f>
        <v>0.1</v>
      </c>
      <c r="F794" s="908">
        <f>GLOBAL_DER_FEV_2023!F794</f>
        <v>0.08</v>
      </c>
      <c r="G794" s="949">
        <f>GLOBAL_DER_FEV_2023!G794</f>
        <v>0.22296000000000005</v>
      </c>
      <c r="H794" s="901">
        <f>GLOBAL_DER_FEV_2023!H794</f>
        <v>105.61</v>
      </c>
      <c r="I794" s="901">
        <f>GLOBAL_DER_FEV_2023!I794</f>
        <v>105.83296</v>
      </c>
      <c r="J794" s="902">
        <f>GLOBAL_DER_FEV_2023!J794</f>
        <v>127.07</v>
      </c>
      <c r="K794" s="903" t="s">
        <v>12</v>
      </c>
      <c r="L794" s="1137"/>
      <c r="M794" s="1138">
        <f t="shared" ref="M794:M852" si="57">IF(L794=0,0,ROUND(J794,2))</f>
        <v>0</v>
      </c>
      <c r="N794" s="893">
        <f t="shared" si="56"/>
        <v>0</v>
      </c>
      <c r="O794" s="905"/>
      <c r="Q794" s="317" t="str">
        <f t="shared" si="53"/>
        <v/>
      </c>
      <c r="R794" s="317" t="str">
        <f t="shared" si="54"/>
        <v/>
      </c>
      <c r="S794" s="317" t="str">
        <f t="shared" si="55"/>
        <v/>
      </c>
      <c r="T794" s="317" t="str">
        <f>GLOBAL_DER_FEV_2023!S794</f>
        <v/>
      </c>
      <c r="W794" s="582">
        <v>0</v>
      </c>
      <c r="X794" s="580"/>
      <c r="Y794" s="583">
        <f>IF(GLOBAL_DER_FEV_2023!W794=0,0,IF(GLOBAL_DER_FEV_2023!W794&gt;0,"c","b"))</f>
        <v>0</v>
      </c>
    </row>
    <row r="795" spans="1:25" ht="13.5" hidden="1" thickBot="1" x14ac:dyDescent="0.25">
      <c r="A795" s="317">
        <v>863000</v>
      </c>
      <c r="B795" s="895" t="s">
        <v>1623</v>
      </c>
      <c r="C795" s="896" t="s">
        <v>184</v>
      </c>
      <c r="D795" s="906" t="s">
        <v>224</v>
      </c>
      <c r="E795" s="907">
        <f>GLOBAL_DER_FEV_2023!E795</f>
        <v>0.1</v>
      </c>
      <c r="F795" s="908">
        <f>GLOBAL_DER_FEV_2023!F795</f>
        <v>0.1</v>
      </c>
      <c r="G795" s="949">
        <f>GLOBAL_DER_FEV_2023!G795</f>
        <v>0.27870000000000006</v>
      </c>
      <c r="H795" s="901">
        <f>GLOBAL_DER_FEV_2023!H795</f>
        <v>105.61</v>
      </c>
      <c r="I795" s="901">
        <f>GLOBAL_DER_FEV_2023!I795</f>
        <v>105.8887</v>
      </c>
      <c r="J795" s="902">
        <f>GLOBAL_DER_FEV_2023!J795</f>
        <v>127.14</v>
      </c>
      <c r="K795" s="903" t="s">
        <v>12</v>
      </c>
      <c r="L795" s="1137"/>
      <c r="M795" s="1138">
        <f t="shared" si="57"/>
        <v>0</v>
      </c>
      <c r="N795" s="893">
        <f t="shared" si="56"/>
        <v>0</v>
      </c>
      <c r="O795" s="905"/>
      <c r="Q795" s="317" t="str">
        <f t="shared" ref="Q795:Q858" si="58">IF(P795="X","x",IF(P795="xx","x",IF(P795="xy","x",IF(P795="y","x",IF(OR(N795&gt;0,N795&gt;0),"x","")))))</f>
        <v/>
      </c>
      <c r="R795" s="317" t="str">
        <f t="shared" si="54"/>
        <v/>
      </c>
      <c r="S795" s="317" t="str">
        <f t="shared" si="55"/>
        <v/>
      </c>
      <c r="T795" s="317" t="str">
        <f>GLOBAL_DER_FEV_2023!S795</f>
        <v/>
      </c>
      <c r="W795" s="582">
        <v>0</v>
      </c>
      <c r="X795" s="580"/>
      <c r="Y795" s="583">
        <f>IF(GLOBAL_DER_FEV_2023!W795=0,0,IF(GLOBAL_DER_FEV_2023!W795&gt;0,"c","b"))</f>
        <v>0</v>
      </c>
    </row>
    <row r="796" spans="1:25" ht="13.5" hidden="1" thickBot="1" x14ac:dyDescent="0.25">
      <c r="A796" s="317">
        <v>534906</v>
      </c>
      <c r="B796" s="895" t="s">
        <v>1626</v>
      </c>
      <c r="C796" s="896" t="s">
        <v>184</v>
      </c>
      <c r="D796" s="906" t="s">
        <v>225</v>
      </c>
      <c r="E796" s="907">
        <f>GLOBAL_DER_FEV_2023!E796</f>
        <v>0.1</v>
      </c>
      <c r="F796" s="908">
        <f>GLOBAL_DER_FEV_2023!F796</f>
        <v>0.12</v>
      </c>
      <c r="G796" s="949">
        <f>GLOBAL_DER_FEV_2023!G796</f>
        <v>0.33444000000000002</v>
      </c>
      <c r="H796" s="901">
        <f>GLOBAL_DER_FEV_2023!H796</f>
        <v>76.400000000000006</v>
      </c>
      <c r="I796" s="901">
        <f>GLOBAL_DER_FEV_2023!I796</f>
        <v>76.734440000000006</v>
      </c>
      <c r="J796" s="902">
        <f>GLOBAL_DER_FEV_2023!J796</f>
        <v>92.14</v>
      </c>
      <c r="K796" s="903" t="s">
        <v>12</v>
      </c>
      <c r="L796" s="1137"/>
      <c r="M796" s="1138">
        <f t="shared" si="57"/>
        <v>0</v>
      </c>
      <c r="N796" s="893">
        <f t="shared" si="56"/>
        <v>0</v>
      </c>
      <c r="O796" s="905"/>
      <c r="Q796" s="317" t="str">
        <f t="shared" si="58"/>
        <v/>
      </c>
      <c r="R796" s="317" t="str">
        <f t="shared" si="54"/>
        <v/>
      </c>
      <c r="S796" s="317" t="str">
        <f t="shared" si="55"/>
        <v/>
      </c>
      <c r="T796" s="317" t="str">
        <f>GLOBAL_DER_FEV_2023!S796</f>
        <v/>
      </c>
      <c r="W796" s="582">
        <v>0</v>
      </c>
      <c r="X796" s="580"/>
      <c r="Y796" s="583">
        <f>IF(GLOBAL_DER_FEV_2023!W796=0,0,IF(GLOBAL_DER_FEV_2023!W796&gt;0,"c","b"))</f>
        <v>0</v>
      </c>
    </row>
    <row r="797" spans="1:25" ht="13.5" hidden="1" thickBot="1" x14ac:dyDescent="0.25">
      <c r="A797" s="317">
        <v>534906</v>
      </c>
      <c r="B797" s="895" t="s">
        <v>1627</v>
      </c>
      <c r="C797" s="896" t="s">
        <v>184</v>
      </c>
      <c r="D797" s="906" t="s">
        <v>226</v>
      </c>
      <c r="E797" s="907">
        <f>GLOBAL_DER_FEV_2023!E797</f>
        <v>0.1</v>
      </c>
      <c r="F797" s="908">
        <f>GLOBAL_DER_FEV_2023!F797</f>
        <v>0.14000000000000001</v>
      </c>
      <c r="G797" s="949">
        <f>GLOBAL_DER_FEV_2023!G797</f>
        <v>0.39018000000000008</v>
      </c>
      <c r="H797" s="901">
        <f>GLOBAL_DER_FEV_2023!H797</f>
        <v>76.400000000000006</v>
      </c>
      <c r="I797" s="901">
        <f>GLOBAL_DER_FEV_2023!I797</f>
        <v>76.790180000000007</v>
      </c>
      <c r="J797" s="902">
        <f>GLOBAL_DER_FEV_2023!J797</f>
        <v>92.2</v>
      </c>
      <c r="K797" s="903" t="s">
        <v>12</v>
      </c>
      <c r="L797" s="1137"/>
      <c r="M797" s="1138">
        <f t="shared" si="57"/>
        <v>0</v>
      </c>
      <c r="N797" s="893">
        <f t="shared" si="56"/>
        <v>0</v>
      </c>
      <c r="O797" s="905"/>
      <c r="Q797" s="317" t="str">
        <f t="shared" si="58"/>
        <v/>
      </c>
      <c r="R797" s="317" t="str">
        <f t="shared" ref="R797:R860" si="59">IF(P797="X","x",IF(P797="y","x",IF(P797="xx","x",IF(N797&gt;0,"x",""))))</f>
        <v/>
      </c>
      <c r="S797" s="317" t="str">
        <f t="shared" ref="S797:S860" si="60">IF(P797="X","x",IF(N797&gt;0,"x",""))</f>
        <v/>
      </c>
      <c r="T797" s="317" t="str">
        <f>GLOBAL_DER_FEV_2023!S797</f>
        <v/>
      </c>
      <c r="W797" s="582">
        <v>0</v>
      </c>
      <c r="X797" s="580"/>
      <c r="Y797" s="583">
        <f>IF(GLOBAL_DER_FEV_2023!W797=0,0,IF(GLOBAL_DER_FEV_2023!W797&gt;0,"c","b"))</f>
        <v>0</v>
      </c>
    </row>
    <row r="798" spans="1:25" ht="13.5" hidden="1" thickBot="1" x14ac:dyDescent="0.25">
      <c r="A798" s="317">
        <v>534906</v>
      </c>
      <c r="B798" s="895" t="s">
        <v>1628</v>
      </c>
      <c r="C798" s="896" t="s">
        <v>184</v>
      </c>
      <c r="D798" s="906" t="s">
        <v>227</v>
      </c>
      <c r="E798" s="907">
        <f>GLOBAL_DER_FEV_2023!E798</f>
        <v>0.1</v>
      </c>
      <c r="F798" s="908">
        <f>GLOBAL_DER_FEV_2023!F798</f>
        <v>0.16</v>
      </c>
      <c r="G798" s="949">
        <f>GLOBAL_DER_FEV_2023!G798</f>
        <v>0.44592000000000009</v>
      </c>
      <c r="H798" s="901">
        <f>GLOBAL_DER_FEV_2023!H798</f>
        <v>76.400000000000006</v>
      </c>
      <c r="I798" s="901">
        <f>GLOBAL_DER_FEV_2023!I798</f>
        <v>76.845920000000007</v>
      </c>
      <c r="J798" s="902">
        <f>GLOBAL_DER_FEV_2023!J798</f>
        <v>92.27</v>
      </c>
      <c r="K798" s="903" t="s">
        <v>12</v>
      </c>
      <c r="L798" s="1137"/>
      <c r="M798" s="1138">
        <f t="shared" si="57"/>
        <v>0</v>
      </c>
      <c r="N798" s="893">
        <f t="shared" si="56"/>
        <v>0</v>
      </c>
      <c r="O798" s="905"/>
      <c r="Q798" s="317" t="str">
        <f t="shared" si="58"/>
        <v/>
      </c>
      <c r="R798" s="317" t="str">
        <f t="shared" si="59"/>
        <v/>
      </c>
      <c r="S798" s="317" t="str">
        <f t="shared" si="60"/>
        <v/>
      </c>
      <c r="T798" s="317" t="str">
        <f>GLOBAL_DER_FEV_2023!S798</f>
        <v/>
      </c>
      <c r="W798" s="582">
        <v>0</v>
      </c>
      <c r="X798" s="580"/>
      <c r="Y798" s="583">
        <f>IF(GLOBAL_DER_FEV_2023!W798=0,0,IF(GLOBAL_DER_FEV_2023!W798&gt;0,"c","b"))</f>
        <v>0</v>
      </c>
    </row>
    <row r="799" spans="1:25" ht="13.5" hidden="1" thickBot="1" x14ac:dyDescent="0.25">
      <c r="A799" s="317">
        <v>534906</v>
      </c>
      <c r="B799" s="895" t="s">
        <v>1629</v>
      </c>
      <c r="C799" s="896" t="s">
        <v>184</v>
      </c>
      <c r="D799" s="906" t="s">
        <v>228</v>
      </c>
      <c r="E799" s="907">
        <f>GLOBAL_DER_FEV_2023!E799</f>
        <v>0.1</v>
      </c>
      <c r="F799" s="908">
        <f>GLOBAL_DER_FEV_2023!F799</f>
        <v>0.2</v>
      </c>
      <c r="G799" s="949">
        <f>GLOBAL_DER_FEV_2023!G799</f>
        <v>0.55740000000000012</v>
      </c>
      <c r="H799" s="901">
        <f>GLOBAL_DER_FEV_2023!H799</f>
        <v>76.400000000000006</v>
      </c>
      <c r="I799" s="901">
        <f>GLOBAL_DER_FEV_2023!I799</f>
        <v>76.957400000000007</v>
      </c>
      <c r="J799" s="902">
        <f>GLOBAL_DER_FEV_2023!J799</f>
        <v>92.4</v>
      </c>
      <c r="K799" s="903" t="s">
        <v>12</v>
      </c>
      <c r="L799" s="1137"/>
      <c r="M799" s="1138">
        <f t="shared" si="57"/>
        <v>0</v>
      </c>
      <c r="N799" s="893">
        <f t="shared" si="56"/>
        <v>0</v>
      </c>
      <c r="O799" s="905"/>
      <c r="Q799" s="317" t="str">
        <f t="shared" si="58"/>
        <v/>
      </c>
      <c r="R799" s="317" t="str">
        <f t="shared" si="59"/>
        <v/>
      </c>
      <c r="S799" s="317" t="str">
        <f t="shared" si="60"/>
        <v/>
      </c>
      <c r="T799" s="317" t="str">
        <f>GLOBAL_DER_FEV_2023!S799</f>
        <v/>
      </c>
      <c r="W799" s="582">
        <v>0</v>
      </c>
      <c r="X799" s="580"/>
      <c r="Y799" s="583">
        <f>IF(GLOBAL_DER_FEV_2023!W799=0,0,IF(GLOBAL_DER_FEV_2023!W799&gt;0,"c","b"))</f>
        <v>0</v>
      </c>
    </row>
    <row r="800" spans="1:25" ht="13.5" hidden="1" thickBot="1" x14ac:dyDescent="0.25">
      <c r="A800" s="317">
        <v>534906</v>
      </c>
      <c r="B800" s="895" t="s">
        <v>1630</v>
      </c>
      <c r="C800" s="896" t="s">
        <v>184</v>
      </c>
      <c r="D800" s="906" t="s">
        <v>803</v>
      </c>
      <c r="E800" s="907">
        <f>GLOBAL_DER_FEV_2023!E800</f>
        <v>0.1</v>
      </c>
      <c r="F800" s="908">
        <f>GLOBAL_DER_FEV_2023!F800</f>
        <v>0.14000000000000001</v>
      </c>
      <c r="G800" s="949">
        <f>GLOBAL_DER_FEV_2023!G800</f>
        <v>0.39018000000000008</v>
      </c>
      <c r="H800" s="901">
        <f>GLOBAL_DER_FEV_2023!H800</f>
        <v>76.400000000000006</v>
      </c>
      <c r="I800" s="901">
        <f>GLOBAL_DER_FEV_2023!I800</f>
        <v>76.790180000000007</v>
      </c>
      <c r="J800" s="902">
        <f>GLOBAL_DER_FEV_2023!J800</f>
        <v>92.2</v>
      </c>
      <c r="K800" s="903" t="s">
        <v>12</v>
      </c>
      <c r="L800" s="1137"/>
      <c r="M800" s="1138">
        <f t="shared" si="57"/>
        <v>0</v>
      </c>
      <c r="N800" s="893">
        <f t="shared" si="56"/>
        <v>0</v>
      </c>
      <c r="O800" s="905"/>
      <c r="Q800" s="317" t="str">
        <f t="shared" si="58"/>
        <v/>
      </c>
      <c r="R800" s="317" t="str">
        <f t="shared" si="59"/>
        <v/>
      </c>
      <c r="S800" s="317" t="str">
        <f t="shared" si="60"/>
        <v/>
      </c>
      <c r="T800" s="317" t="str">
        <f>GLOBAL_DER_FEV_2023!S800</f>
        <v/>
      </c>
      <c r="W800" s="582">
        <v>0</v>
      </c>
      <c r="X800" s="580"/>
      <c r="Y800" s="583">
        <f>IF(GLOBAL_DER_FEV_2023!W800=0,0,IF(GLOBAL_DER_FEV_2023!W800&gt;0,"c","b"))</f>
        <v>0</v>
      </c>
    </row>
    <row r="801" spans="1:25" ht="13.5" hidden="1" thickBot="1" x14ac:dyDescent="0.25">
      <c r="A801" s="317">
        <v>534906</v>
      </c>
      <c r="B801" s="895" t="s">
        <v>1631</v>
      </c>
      <c r="C801" s="896" t="s">
        <v>184</v>
      </c>
      <c r="D801" s="906" t="s">
        <v>804</v>
      </c>
      <c r="E801" s="907">
        <f>GLOBAL_DER_FEV_2023!E801</f>
        <v>0.1</v>
      </c>
      <c r="F801" s="908">
        <f>GLOBAL_DER_FEV_2023!F801</f>
        <v>0.14000000000000001</v>
      </c>
      <c r="G801" s="949">
        <f>GLOBAL_DER_FEV_2023!G801</f>
        <v>0.39018000000000008</v>
      </c>
      <c r="H801" s="901">
        <f>GLOBAL_DER_FEV_2023!H801</f>
        <v>76.400000000000006</v>
      </c>
      <c r="I801" s="901">
        <f>GLOBAL_DER_FEV_2023!I801</f>
        <v>76.790180000000007</v>
      </c>
      <c r="J801" s="902">
        <f>GLOBAL_DER_FEV_2023!J801</f>
        <v>92.2</v>
      </c>
      <c r="K801" s="903" t="s">
        <v>12</v>
      </c>
      <c r="L801" s="1137"/>
      <c r="M801" s="1138">
        <f t="shared" si="57"/>
        <v>0</v>
      </c>
      <c r="N801" s="893">
        <f t="shared" ref="N801:N864" si="61">IF(ISBLANK(L801),0,IF(W801=0,ROUND(L801*M801,2),IF(W801="b",ROUNDDOWN(L801*M801,2),ROUNDUP(L801*M801,2))))</f>
        <v>0</v>
      </c>
      <c r="O801" s="905"/>
      <c r="Q801" s="317" t="str">
        <f t="shared" si="58"/>
        <v/>
      </c>
      <c r="R801" s="317" t="str">
        <f t="shared" si="59"/>
        <v/>
      </c>
      <c r="S801" s="317" t="str">
        <f t="shared" si="60"/>
        <v/>
      </c>
      <c r="T801" s="317" t="str">
        <f>GLOBAL_DER_FEV_2023!S801</f>
        <v/>
      </c>
      <c r="W801" s="582">
        <v>0</v>
      </c>
      <c r="X801" s="580"/>
      <c r="Y801" s="583">
        <f>IF(GLOBAL_DER_FEV_2023!W801=0,0,IF(GLOBAL_DER_FEV_2023!W801&gt;0,"c","b"))</f>
        <v>0</v>
      </c>
    </row>
    <row r="802" spans="1:25" ht="13.5" hidden="1" thickBot="1" x14ac:dyDescent="0.25">
      <c r="A802" s="317">
        <v>534908</v>
      </c>
      <c r="B802" s="895" t="s">
        <v>211</v>
      </c>
      <c r="C802" s="896" t="s">
        <v>184</v>
      </c>
      <c r="D802" s="906" t="s">
        <v>805</v>
      </c>
      <c r="E802" s="907">
        <f>GLOBAL_DER_FEV_2023!E802</f>
        <v>0.1</v>
      </c>
      <c r="F802" s="908">
        <f>GLOBAL_DER_FEV_2023!F802</f>
        <v>0.18</v>
      </c>
      <c r="G802" s="949">
        <f>GLOBAL_DER_FEV_2023!G802</f>
        <v>0.50165999999999999</v>
      </c>
      <c r="H802" s="901">
        <f>GLOBAL_DER_FEV_2023!H802</f>
        <v>89.6</v>
      </c>
      <c r="I802" s="901">
        <f>GLOBAL_DER_FEV_2023!I802</f>
        <v>90.101659999999995</v>
      </c>
      <c r="J802" s="902">
        <f>GLOBAL_DER_FEV_2023!J802</f>
        <v>108.19</v>
      </c>
      <c r="K802" s="903" t="s">
        <v>12</v>
      </c>
      <c r="L802" s="1137"/>
      <c r="M802" s="1138">
        <f t="shared" si="57"/>
        <v>0</v>
      </c>
      <c r="N802" s="893">
        <f t="shared" si="61"/>
        <v>0</v>
      </c>
      <c r="O802" s="905"/>
      <c r="Q802" s="317" t="str">
        <f t="shared" si="58"/>
        <v/>
      </c>
      <c r="R802" s="317" t="str">
        <f t="shared" si="59"/>
        <v/>
      </c>
      <c r="S802" s="317" t="str">
        <f t="shared" si="60"/>
        <v/>
      </c>
      <c r="T802" s="317" t="str">
        <f>GLOBAL_DER_FEV_2023!S802</f>
        <v/>
      </c>
      <c r="W802" s="582">
        <v>0</v>
      </c>
      <c r="X802" s="580"/>
      <c r="Y802" s="583">
        <f>IF(GLOBAL_DER_FEV_2023!W802=0,0,IF(GLOBAL_DER_FEV_2023!W802&gt;0,"c","b"))</f>
        <v>0</v>
      </c>
    </row>
    <row r="803" spans="1:25" ht="13.5" hidden="1" thickBot="1" x14ac:dyDescent="0.25">
      <c r="A803" s="317">
        <v>534908</v>
      </c>
      <c r="B803" s="895" t="s">
        <v>212</v>
      </c>
      <c r="C803" s="896" t="s">
        <v>184</v>
      </c>
      <c r="D803" s="906" t="s">
        <v>806</v>
      </c>
      <c r="E803" s="907">
        <f>GLOBAL_DER_FEV_2023!E803</f>
        <v>0.1</v>
      </c>
      <c r="F803" s="908">
        <f>GLOBAL_DER_FEV_2023!F803</f>
        <v>0.18</v>
      </c>
      <c r="G803" s="949">
        <f>GLOBAL_DER_FEV_2023!G803</f>
        <v>0.50165999999999999</v>
      </c>
      <c r="H803" s="901">
        <f>GLOBAL_DER_FEV_2023!H803</f>
        <v>89.6</v>
      </c>
      <c r="I803" s="901">
        <f>GLOBAL_DER_FEV_2023!I803</f>
        <v>90.101659999999995</v>
      </c>
      <c r="J803" s="902">
        <f>GLOBAL_DER_FEV_2023!J803</f>
        <v>108.19</v>
      </c>
      <c r="K803" s="903" t="s">
        <v>12</v>
      </c>
      <c r="L803" s="1137"/>
      <c r="M803" s="1138">
        <f t="shared" si="57"/>
        <v>0</v>
      </c>
      <c r="N803" s="893">
        <f t="shared" si="61"/>
        <v>0</v>
      </c>
      <c r="O803" s="905"/>
      <c r="Q803" s="317" t="str">
        <f t="shared" si="58"/>
        <v/>
      </c>
      <c r="R803" s="317" t="str">
        <f t="shared" si="59"/>
        <v/>
      </c>
      <c r="S803" s="317" t="str">
        <f t="shared" si="60"/>
        <v/>
      </c>
      <c r="T803" s="317" t="str">
        <f>GLOBAL_DER_FEV_2023!S803</f>
        <v/>
      </c>
      <c r="W803" s="582">
        <v>0</v>
      </c>
      <c r="X803" s="580"/>
      <c r="Y803" s="583">
        <f>IF(GLOBAL_DER_FEV_2023!W803=0,0,IF(GLOBAL_DER_FEV_2023!W803&gt;0,"c","b"))</f>
        <v>0</v>
      </c>
    </row>
    <row r="804" spans="1:25" ht="13.5" hidden="1" thickBot="1" x14ac:dyDescent="0.25">
      <c r="A804" s="317">
        <v>534908</v>
      </c>
      <c r="B804" s="895" t="s">
        <v>1632</v>
      </c>
      <c r="C804" s="896" t="s">
        <v>184</v>
      </c>
      <c r="D804" s="906" t="s">
        <v>807</v>
      </c>
      <c r="E804" s="907">
        <f>GLOBAL_DER_FEV_2023!E804</f>
        <v>0.1</v>
      </c>
      <c r="F804" s="908">
        <f>GLOBAL_DER_FEV_2023!F804</f>
        <v>0.22</v>
      </c>
      <c r="G804" s="949">
        <f>GLOBAL_DER_FEV_2023!G804</f>
        <v>0.61314000000000013</v>
      </c>
      <c r="H804" s="901">
        <f>GLOBAL_DER_FEV_2023!H804</f>
        <v>89.6</v>
      </c>
      <c r="I804" s="901">
        <f>GLOBAL_DER_FEV_2023!I804</f>
        <v>90.213139999999996</v>
      </c>
      <c r="J804" s="902">
        <f>GLOBAL_DER_FEV_2023!J804</f>
        <v>108.32</v>
      </c>
      <c r="K804" s="903" t="s">
        <v>12</v>
      </c>
      <c r="L804" s="1137"/>
      <c r="M804" s="1138">
        <f t="shared" si="57"/>
        <v>0</v>
      </c>
      <c r="N804" s="893">
        <f t="shared" si="61"/>
        <v>0</v>
      </c>
      <c r="O804" s="905"/>
      <c r="Q804" s="317" t="str">
        <f t="shared" si="58"/>
        <v/>
      </c>
      <c r="R804" s="317" t="str">
        <f t="shared" si="59"/>
        <v/>
      </c>
      <c r="S804" s="317" t="str">
        <f t="shared" si="60"/>
        <v/>
      </c>
      <c r="T804" s="317" t="str">
        <f>GLOBAL_DER_FEV_2023!S804</f>
        <v/>
      </c>
      <c r="W804" s="582">
        <v>0</v>
      </c>
      <c r="X804" s="580"/>
      <c r="Y804" s="583">
        <f>IF(GLOBAL_DER_FEV_2023!W804=0,0,IF(GLOBAL_DER_FEV_2023!W804&gt;0,"c","b"))</f>
        <v>0</v>
      </c>
    </row>
    <row r="805" spans="1:25" ht="13.5" hidden="1" thickBot="1" x14ac:dyDescent="0.25">
      <c r="A805" s="317">
        <v>534908</v>
      </c>
      <c r="B805" s="895" t="s">
        <v>1633</v>
      </c>
      <c r="C805" s="896" t="s">
        <v>184</v>
      </c>
      <c r="D805" s="906" t="s">
        <v>808</v>
      </c>
      <c r="E805" s="907">
        <f>GLOBAL_DER_FEV_2023!E805</f>
        <v>0.1</v>
      </c>
      <c r="F805" s="908">
        <f>GLOBAL_DER_FEV_2023!F805</f>
        <v>0.22</v>
      </c>
      <c r="G805" s="949">
        <f>GLOBAL_DER_FEV_2023!G805</f>
        <v>0.61314000000000013</v>
      </c>
      <c r="H805" s="901">
        <f>GLOBAL_DER_FEV_2023!H805</f>
        <v>89.6</v>
      </c>
      <c r="I805" s="901">
        <f>GLOBAL_DER_FEV_2023!I805</f>
        <v>90.213139999999996</v>
      </c>
      <c r="J805" s="902">
        <f>GLOBAL_DER_FEV_2023!J805</f>
        <v>108.32</v>
      </c>
      <c r="K805" s="903" t="s">
        <v>12</v>
      </c>
      <c r="L805" s="1137"/>
      <c r="M805" s="1138">
        <f t="shared" si="57"/>
        <v>0</v>
      </c>
      <c r="N805" s="893">
        <f t="shared" si="61"/>
        <v>0</v>
      </c>
      <c r="O805" s="905"/>
      <c r="Q805" s="317" t="str">
        <f t="shared" si="58"/>
        <v/>
      </c>
      <c r="R805" s="317" t="str">
        <f t="shared" si="59"/>
        <v/>
      </c>
      <c r="S805" s="317" t="str">
        <f t="shared" si="60"/>
        <v/>
      </c>
      <c r="T805" s="317" t="str">
        <f>GLOBAL_DER_FEV_2023!S805</f>
        <v/>
      </c>
      <c r="W805" s="582">
        <v>0</v>
      </c>
      <c r="X805" s="580"/>
      <c r="Y805" s="583">
        <f>IF(GLOBAL_DER_FEV_2023!W805=0,0,IF(GLOBAL_DER_FEV_2023!W805&gt;0,"c","b"))</f>
        <v>0</v>
      </c>
    </row>
    <row r="806" spans="1:25" ht="13.5" hidden="1" thickBot="1" x14ac:dyDescent="0.25">
      <c r="A806" s="317">
        <v>101090</v>
      </c>
      <c r="B806" s="895" t="s">
        <v>1635</v>
      </c>
      <c r="C806" s="896" t="s">
        <v>596</v>
      </c>
      <c r="D806" s="906" t="s">
        <v>1518</v>
      </c>
      <c r="E806" s="907">
        <f>GLOBAL_DER_FEV_2023!E806</f>
        <v>0</v>
      </c>
      <c r="F806" s="908">
        <f>GLOBAL_DER_FEV_2023!F806</f>
        <v>0.3</v>
      </c>
      <c r="G806" s="949">
        <f>GLOBAL_DER_FEV_2023!G806</f>
        <v>0.80400000000000005</v>
      </c>
      <c r="H806" s="901">
        <f>GLOBAL_DER_FEV_2023!H806</f>
        <v>291.81</v>
      </c>
      <c r="I806" s="901">
        <f>GLOBAL_DER_FEV_2023!I806</f>
        <v>292.61399999999998</v>
      </c>
      <c r="J806" s="902">
        <f>GLOBAL_DER_FEV_2023!J806</f>
        <v>351.34</v>
      </c>
      <c r="K806" s="903" t="s">
        <v>12</v>
      </c>
      <c r="L806" s="1139"/>
      <c r="M806" s="1140">
        <f t="shared" si="57"/>
        <v>0</v>
      </c>
      <c r="N806" s="893">
        <f t="shared" si="61"/>
        <v>0</v>
      </c>
      <c r="O806" s="905"/>
      <c r="Q806" s="317" t="str">
        <f t="shared" si="58"/>
        <v/>
      </c>
      <c r="R806" s="317" t="str">
        <f t="shared" si="59"/>
        <v/>
      </c>
      <c r="S806" s="317" t="str">
        <f t="shared" si="60"/>
        <v/>
      </c>
      <c r="T806" s="317" t="str">
        <f>GLOBAL_DER_FEV_2023!S806</f>
        <v/>
      </c>
      <c r="W806" s="582">
        <v>0</v>
      </c>
      <c r="X806" s="580"/>
      <c r="Y806" s="583">
        <f>IF(GLOBAL_DER_FEV_2023!W806=0,0,IF(GLOBAL_DER_FEV_2023!W806&gt;0,"c","b"))</f>
        <v>0</v>
      </c>
    </row>
    <row r="807" spans="1:25" ht="13.5" hidden="1" thickBot="1" x14ac:dyDescent="0.25">
      <c r="A807" s="317">
        <v>98509</v>
      </c>
      <c r="B807" s="895">
        <v>98509</v>
      </c>
      <c r="C807" s="896" t="s">
        <v>596</v>
      </c>
      <c r="D807" s="906" t="s">
        <v>1527</v>
      </c>
      <c r="E807" s="907">
        <f>GLOBAL_DER_FEV_2023!E807</f>
        <v>0</v>
      </c>
      <c r="F807" s="908">
        <f>GLOBAL_DER_FEV_2023!F807</f>
        <v>0</v>
      </c>
      <c r="G807" s="912">
        <f>GLOBAL_DER_FEV_2023!G807</f>
        <v>0</v>
      </c>
      <c r="H807" s="901">
        <f>GLOBAL_DER_FEV_2023!H807</f>
        <v>31.71</v>
      </c>
      <c r="I807" s="901">
        <f>GLOBAL_DER_FEV_2023!I807</f>
        <v>31.71</v>
      </c>
      <c r="J807" s="902">
        <f>GLOBAL_DER_FEV_2023!J807</f>
        <v>38.07</v>
      </c>
      <c r="K807" s="903" t="s">
        <v>15</v>
      </c>
      <c r="L807" s="1137"/>
      <c r="M807" s="1138">
        <f t="shared" si="57"/>
        <v>0</v>
      </c>
      <c r="N807" s="893">
        <f t="shared" si="61"/>
        <v>0</v>
      </c>
      <c r="O807" s="905"/>
      <c r="Q807" s="317" t="str">
        <f t="shared" si="58"/>
        <v/>
      </c>
      <c r="R807" s="317" t="str">
        <f t="shared" si="59"/>
        <v/>
      </c>
      <c r="S807" s="317" t="str">
        <f t="shared" si="60"/>
        <v/>
      </c>
      <c r="T807" s="317" t="str">
        <f>GLOBAL_DER_FEV_2023!S807</f>
        <v/>
      </c>
      <c r="W807" s="582">
        <v>0</v>
      </c>
      <c r="X807" s="580"/>
      <c r="Y807" s="583">
        <f>IF(GLOBAL_DER_FEV_2023!W807=0,0,IF(GLOBAL_DER_FEV_2023!W807&gt;0,"c","b"))</f>
        <v>0</v>
      </c>
    </row>
    <row r="808" spans="1:25" ht="13.5" hidden="1" thickBot="1" x14ac:dyDescent="0.25">
      <c r="A808" s="317">
        <v>98510</v>
      </c>
      <c r="B808" s="895">
        <v>98510</v>
      </c>
      <c r="C808" s="896" t="s">
        <v>596</v>
      </c>
      <c r="D808" s="906" t="s">
        <v>837</v>
      </c>
      <c r="E808" s="907">
        <f>GLOBAL_DER_FEV_2023!E808</f>
        <v>0</v>
      </c>
      <c r="F808" s="908">
        <f>GLOBAL_DER_FEV_2023!F808</f>
        <v>0</v>
      </c>
      <c r="G808" s="912">
        <f>GLOBAL_DER_FEV_2023!G808</f>
        <v>0</v>
      </c>
      <c r="H808" s="901">
        <f>GLOBAL_DER_FEV_2023!H808</f>
        <v>57.03</v>
      </c>
      <c r="I808" s="901">
        <f>GLOBAL_DER_FEV_2023!I808</f>
        <v>57.03</v>
      </c>
      <c r="J808" s="902">
        <f>GLOBAL_DER_FEV_2023!J808</f>
        <v>68.48</v>
      </c>
      <c r="K808" s="903" t="s">
        <v>15</v>
      </c>
      <c r="L808" s="1137"/>
      <c r="M808" s="1138">
        <f t="shared" si="57"/>
        <v>0</v>
      </c>
      <c r="N808" s="893">
        <f t="shared" si="61"/>
        <v>0</v>
      </c>
      <c r="O808" s="905"/>
      <c r="Q808" s="317" t="str">
        <f t="shared" si="58"/>
        <v/>
      </c>
      <c r="R808" s="317" t="str">
        <f t="shared" si="59"/>
        <v/>
      </c>
      <c r="S808" s="317" t="str">
        <f t="shared" si="60"/>
        <v/>
      </c>
      <c r="T808" s="317" t="str">
        <f>GLOBAL_DER_FEV_2023!S808</f>
        <v/>
      </c>
      <c r="W808" s="582">
        <v>0</v>
      </c>
      <c r="X808" s="580"/>
      <c r="Y808" s="583">
        <f>IF(GLOBAL_DER_FEV_2023!W808=0,0,IF(GLOBAL_DER_FEV_2023!W808&gt;0,"c","b"))</f>
        <v>0</v>
      </c>
    </row>
    <row r="809" spans="1:25" ht="13.5" hidden="1" thickBot="1" x14ac:dyDescent="0.25">
      <c r="A809" s="317">
        <v>98511</v>
      </c>
      <c r="B809" s="895">
        <v>98511</v>
      </c>
      <c r="C809" s="896" t="s">
        <v>596</v>
      </c>
      <c r="D809" s="906" t="s">
        <v>838</v>
      </c>
      <c r="E809" s="907">
        <f>GLOBAL_DER_FEV_2023!E809</f>
        <v>0</v>
      </c>
      <c r="F809" s="908">
        <f>GLOBAL_DER_FEV_2023!F809</f>
        <v>0</v>
      </c>
      <c r="G809" s="912">
        <f>GLOBAL_DER_FEV_2023!G809</f>
        <v>0</v>
      </c>
      <c r="H809" s="901">
        <f>GLOBAL_DER_FEV_2023!H809</f>
        <v>102.8</v>
      </c>
      <c r="I809" s="901">
        <f>GLOBAL_DER_FEV_2023!I809</f>
        <v>102.8</v>
      </c>
      <c r="J809" s="902">
        <f>GLOBAL_DER_FEV_2023!J809</f>
        <v>123.43</v>
      </c>
      <c r="K809" s="903" t="s">
        <v>15</v>
      </c>
      <c r="L809" s="1137"/>
      <c r="M809" s="1138">
        <f t="shared" si="57"/>
        <v>0</v>
      </c>
      <c r="N809" s="893">
        <f t="shared" si="61"/>
        <v>0</v>
      </c>
      <c r="O809" s="905"/>
      <c r="Q809" s="317" t="str">
        <f t="shared" si="58"/>
        <v/>
      </c>
      <c r="R809" s="317" t="str">
        <f t="shared" si="59"/>
        <v/>
      </c>
      <c r="S809" s="317" t="str">
        <f t="shared" si="60"/>
        <v/>
      </c>
      <c r="T809" s="317" t="str">
        <f>GLOBAL_DER_FEV_2023!S809</f>
        <v/>
      </c>
      <c r="W809" s="582">
        <v>0</v>
      </c>
      <c r="X809" s="580"/>
      <c r="Y809" s="583">
        <f>IF(GLOBAL_DER_FEV_2023!W809=0,0,IF(GLOBAL_DER_FEV_2023!W809&gt;0,"c","b"))</f>
        <v>0</v>
      </c>
    </row>
    <row r="810" spans="1:25" ht="13.5" hidden="1" thickBot="1" x14ac:dyDescent="0.25">
      <c r="A810" s="317">
        <v>98516</v>
      </c>
      <c r="B810" s="895">
        <v>98516</v>
      </c>
      <c r="C810" s="896" t="s">
        <v>596</v>
      </c>
      <c r="D810" s="906" t="s">
        <v>839</v>
      </c>
      <c r="E810" s="907">
        <f>GLOBAL_DER_FEV_2023!E810</f>
        <v>0</v>
      </c>
      <c r="F810" s="908">
        <f>GLOBAL_DER_FEV_2023!F810</f>
        <v>0</v>
      </c>
      <c r="G810" s="912">
        <f>GLOBAL_DER_FEV_2023!G810</f>
        <v>0</v>
      </c>
      <c r="H810" s="901">
        <f>GLOBAL_DER_FEV_2023!H810</f>
        <v>348.96</v>
      </c>
      <c r="I810" s="901">
        <f>GLOBAL_DER_FEV_2023!I810</f>
        <v>348.96</v>
      </c>
      <c r="J810" s="902">
        <f>GLOBAL_DER_FEV_2023!J810</f>
        <v>419</v>
      </c>
      <c r="K810" s="903" t="s">
        <v>15</v>
      </c>
      <c r="L810" s="1137"/>
      <c r="M810" s="1138">
        <f t="shared" si="57"/>
        <v>0</v>
      </c>
      <c r="N810" s="893">
        <f t="shared" si="61"/>
        <v>0</v>
      </c>
      <c r="O810" s="905"/>
      <c r="Q810" s="317" t="str">
        <f t="shared" si="58"/>
        <v/>
      </c>
      <c r="R810" s="317" t="str">
        <f t="shared" si="59"/>
        <v/>
      </c>
      <c r="S810" s="317" t="str">
        <f t="shared" si="60"/>
        <v/>
      </c>
      <c r="T810" s="317" t="str">
        <f>GLOBAL_DER_FEV_2023!S810</f>
        <v/>
      </c>
      <c r="W810" s="582">
        <v>0</v>
      </c>
      <c r="X810" s="580"/>
      <c r="Y810" s="583">
        <f>IF(GLOBAL_DER_FEV_2023!W810=0,0,IF(GLOBAL_DER_FEV_2023!W810&gt;0,"c","b"))</f>
        <v>0</v>
      </c>
    </row>
    <row r="811" spans="1:25" ht="13.5" hidden="1" thickBot="1" x14ac:dyDescent="0.25">
      <c r="A811" s="317">
        <v>98504</v>
      </c>
      <c r="B811" s="895">
        <v>98504</v>
      </c>
      <c r="C811" s="896" t="s">
        <v>596</v>
      </c>
      <c r="D811" s="906" t="s">
        <v>459</v>
      </c>
      <c r="E811" s="907">
        <f>GLOBAL_DER_FEV_2023!E811</f>
        <v>0</v>
      </c>
      <c r="F811" s="908">
        <f>GLOBAL_DER_FEV_2023!F811</f>
        <v>0</v>
      </c>
      <c r="G811" s="912">
        <f>GLOBAL_DER_FEV_2023!G811</f>
        <v>0</v>
      </c>
      <c r="H811" s="901">
        <f>GLOBAL_DER_FEV_2023!H811</f>
        <v>11.01</v>
      </c>
      <c r="I811" s="901">
        <f>GLOBAL_DER_FEV_2023!I811</f>
        <v>11.01</v>
      </c>
      <c r="J811" s="902">
        <f>GLOBAL_DER_FEV_2023!J811</f>
        <v>13.22</v>
      </c>
      <c r="K811" s="903" t="s">
        <v>12</v>
      </c>
      <c r="L811" s="1137"/>
      <c r="M811" s="1138">
        <f t="shared" si="57"/>
        <v>0</v>
      </c>
      <c r="N811" s="893">
        <f t="shared" si="61"/>
        <v>0</v>
      </c>
      <c r="O811" s="905"/>
      <c r="Q811" s="317" t="str">
        <f t="shared" si="58"/>
        <v/>
      </c>
      <c r="R811" s="317" t="str">
        <f t="shared" si="59"/>
        <v/>
      </c>
      <c r="S811" s="317" t="str">
        <f t="shared" si="60"/>
        <v/>
      </c>
      <c r="T811" s="317" t="str">
        <f>GLOBAL_DER_FEV_2023!S811</f>
        <v/>
      </c>
      <c r="W811" s="582">
        <v>0</v>
      </c>
      <c r="X811" s="580"/>
      <c r="Y811" s="583">
        <f>IF(GLOBAL_DER_FEV_2023!W811=0,0,IF(GLOBAL_DER_FEV_2023!W811&gt;0,"c","b"))</f>
        <v>0</v>
      </c>
    </row>
    <row r="812" spans="1:25" ht="13.5" hidden="1" thickBot="1" x14ac:dyDescent="0.25">
      <c r="A812" s="317">
        <v>98505</v>
      </c>
      <c r="B812" s="895">
        <v>98505</v>
      </c>
      <c r="C812" s="896" t="s">
        <v>596</v>
      </c>
      <c r="D812" s="906" t="s">
        <v>840</v>
      </c>
      <c r="E812" s="907">
        <f>GLOBAL_DER_FEV_2023!E812</f>
        <v>0</v>
      </c>
      <c r="F812" s="908">
        <f>GLOBAL_DER_FEV_2023!F812</f>
        <v>0</v>
      </c>
      <c r="G812" s="912">
        <f>GLOBAL_DER_FEV_2023!G812</f>
        <v>0</v>
      </c>
      <c r="H812" s="901">
        <f>GLOBAL_DER_FEV_2023!H812</f>
        <v>46.68</v>
      </c>
      <c r="I812" s="901">
        <f>GLOBAL_DER_FEV_2023!I812</f>
        <v>46.68</v>
      </c>
      <c r="J812" s="902">
        <f>GLOBAL_DER_FEV_2023!J812</f>
        <v>56.05</v>
      </c>
      <c r="K812" s="903" t="s">
        <v>12</v>
      </c>
      <c r="L812" s="1137"/>
      <c r="M812" s="1138">
        <f t="shared" si="57"/>
        <v>0</v>
      </c>
      <c r="N812" s="893">
        <f t="shared" si="61"/>
        <v>0</v>
      </c>
      <c r="O812" s="905"/>
      <c r="Q812" s="317" t="str">
        <f t="shared" si="58"/>
        <v/>
      </c>
      <c r="R812" s="317" t="str">
        <f t="shared" si="59"/>
        <v/>
      </c>
      <c r="S812" s="317" t="str">
        <f t="shared" si="60"/>
        <v/>
      </c>
      <c r="T812" s="317" t="str">
        <f>GLOBAL_DER_FEV_2023!S812</f>
        <v/>
      </c>
      <c r="W812" s="582">
        <v>0</v>
      </c>
      <c r="X812" s="580"/>
      <c r="Y812" s="583">
        <f>IF(GLOBAL_DER_FEV_2023!W812=0,0,IF(GLOBAL_DER_FEV_2023!W812&gt;0,"c","b"))</f>
        <v>0</v>
      </c>
    </row>
    <row r="813" spans="1:25" ht="13.5" hidden="1" thickBot="1" x14ac:dyDescent="0.25">
      <c r="A813" s="317">
        <v>800000</v>
      </c>
      <c r="B813" s="895">
        <v>800000</v>
      </c>
      <c r="C813" s="896" t="s">
        <v>184</v>
      </c>
      <c r="D813" s="906" t="s">
        <v>460</v>
      </c>
      <c r="E813" s="907">
        <f>GLOBAL_DER_FEV_2023!E813</f>
        <v>0</v>
      </c>
      <c r="F813" s="908">
        <f>GLOBAL_DER_FEV_2023!F813</f>
        <v>0</v>
      </c>
      <c r="G813" s="912">
        <f>GLOBAL_DER_FEV_2023!G813</f>
        <v>0</v>
      </c>
      <c r="H813" s="901">
        <f>GLOBAL_DER_FEV_2023!H813</f>
        <v>12.41</v>
      </c>
      <c r="I813" s="901">
        <f>GLOBAL_DER_FEV_2023!I813</f>
        <v>12.41</v>
      </c>
      <c r="J813" s="902">
        <f>GLOBAL_DER_FEV_2023!J813</f>
        <v>14.9</v>
      </c>
      <c r="K813" s="903" t="s">
        <v>12</v>
      </c>
      <c r="L813" s="1137"/>
      <c r="M813" s="1138">
        <f t="shared" si="57"/>
        <v>0</v>
      </c>
      <c r="N813" s="893">
        <f t="shared" si="61"/>
        <v>0</v>
      </c>
      <c r="O813" s="905"/>
      <c r="Q813" s="317" t="str">
        <f t="shared" si="58"/>
        <v/>
      </c>
      <c r="R813" s="317" t="str">
        <f t="shared" si="59"/>
        <v/>
      </c>
      <c r="S813" s="317" t="str">
        <f t="shared" si="60"/>
        <v/>
      </c>
      <c r="T813" s="317" t="str">
        <f>GLOBAL_DER_FEV_2023!S813</f>
        <v/>
      </c>
      <c r="W813" s="582">
        <v>0</v>
      </c>
      <c r="X813" s="580"/>
      <c r="Y813" s="583">
        <f>IF(GLOBAL_DER_FEV_2023!W813=0,0,IF(GLOBAL_DER_FEV_2023!W813&gt;0,"c","b"))</f>
        <v>0</v>
      </c>
    </row>
    <row r="814" spans="1:25" ht="13.5" hidden="1" thickBot="1" x14ac:dyDescent="0.25">
      <c r="A814" s="317" t="s">
        <v>297</v>
      </c>
      <c r="B814" s="895" t="s">
        <v>297</v>
      </c>
      <c r="C814" s="896" t="s">
        <v>184</v>
      </c>
      <c r="D814" s="906" t="s">
        <v>280</v>
      </c>
      <c r="E814" s="907">
        <f>GLOBAL_DER_FEV_2023!E814</f>
        <v>0</v>
      </c>
      <c r="F814" s="908">
        <f>GLOBAL_DER_FEV_2023!F814</f>
        <v>0</v>
      </c>
      <c r="G814" s="912">
        <f>GLOBAL_DER_FEV_2023!G814</f>
        <v>0</v>
      </c>
      <c r="H814" s="901">
        <f>GLOBAL_DER_FEV_2023!H814</f>
        <v>0</v>
      </c>
      <c r="I814" s="901">
        <f>GLOBAL_DER_FEV_2023!I814</f>
        <v>0</v>
      </c>
      <c r="J814" s="902">
        <f>GLOBAL_DER_FEV_2023!J814</f>
        <v>0</v>
      </c>
      <c r="K814" s="903" t="s">
        <v>10</v>
      </c>
      <c r="L814" s="1137"/>
      <c r="M814" s="1138">
        <f t="shared" si="57"/>
        <v>0</v>
      </c>
      <c r="N814" s="893">
        <f t="shared" si="61"/>
        <v>0</v>
      </c>
      <c r="O814" s="905"/>
      <c r="Q814" s="317" t="str">
        <f t="shared" si="58"/>
        <v/>
      </c>
      <c r="R814" s="317" t="str">
        <f t="shared" si="59"/>
        <v/>
      </c>
      <c r="S814" s="317" t="str">
        <f t="shared" si="60"/>
        <v/>
      </c>
      <c r="T814" s="317" t="str">
        <f>GLOBAL_DER_FEV_2023!S814</f>
        <v/>
      </c>
      <c r="W814" s="582">
        <v>0</v>
      </c>
      <c r="X814" s="580"/>
      <c r="Y814" s="583">
        <f>IF(GLOBAL_DER_FEV_2023!W814=0,0,IF(GLOBAL_DER_FEV_2023!W814&gt;0,"c","b"))</f>
        <v>0</v>
      </c>
    </row>
    <row r="815" spans="1:25" ht="13.5" hidden="1" thickBot="1" x14ac:dyDescent="0.25">
      <c r="A815" s="317">
        <v>605000</v>
      </c>
      <c r="B815" s="895" t="s">
        <v>1776</v>
      </c>
      <c r="C815" s="896" t="s">
        <v>184</v>
      </c>
      <c r="D815" s="906" t="s">
        <v>281</v>
      </c>
      <c r="E815" s="907">
        <f>GLOBAL_DER_FEV_2023!E815</f>
        <v>0</v>
      </c>
      <c r="F815" s="908">
        <f>GLOBAL_DER_FEV_2023!F815</f>
        <v>0</v>
      </c>
      <c r="G815" s="912">
        <f>GLOBAL_DER_FEV_2023!G815</f>
        <v>0</v>
      </c>
      <c r="H815" s="901">
        <f>GLOBAL_DER_FEV_2023!H815</f>
        <v>481.5</v>
      </c>
      <c r="I815" s="901">
        <f>GLOBAL_DER_FEV_2023!I815</f>
        <v>481.5</v>
      </c>
      <c r="J815" s="902">
        <f>GLOBAL_DER_FEV_2023!J815</f>
        <v>578.14</v>
      </c>
      <c r="K815" s="903" t="s">
        <v>15</v>
      </c>
      <c r="L815" s="1137"/>
      <c r="M815" s="1138">
        <f t="shared" si="57"/>
        <v>0</v>
      </c>
      <c r="N815" s="893">
        <f t="shared" si="61"/>
        <v>0</v>
      </c>
      <c r="O815" s="905"/>
      <c r="Q815" s="317" t="str">
        <f t="shared" si="58"/>
        <v/>
      </c>
      <c r="R815" s="317" t="str">
        <f t="shared" si="59"/>
        <v/>
      </c>
      <c r="S815" s="317" t="str">
        <f t="shared" si="60"/>
        <v/>
      </c>
      <c r="T815" s="317" t="str">
        <f>GLOBAL_DER_FEV_2023!S815</f>
        <v/>
      </c>
      <c r="W815" s="582">
        <v>0</v>
      </c>
      <c r="X815" s="580"/>
      <c r="Y815" s="583">
        <f>IF(GLOBAL_DER_FEV_2023!W815=0,0,IF(GLOBAL_DER_FEV_2023!W815&gt;0,"c","b"))</f>
        <v>0</v>
      </c>
    </row>
    <row r="816" spans="1:25" ht="13.5" hidden="1" thickBot="1" x14ac:dyDescent="0.25">
      <c r="A816" s="317">
        <v>605000</v>
      </c>
      <c r="B816" s="895" t="s">
        <v>1777</v>
      </c>
      <c r="C816" s="896" t="s">
        <v>184</v>
      </c>
      <c r="D816" s="906" t="s">
        <v>282</v>
      </c>
      <c r="E816" s="907">
        <f>GLOBAL_DER_FEV_2023!E816</f>
        <v>0</v>
      </c>
      <c r="F816" s="908">
        <f>GLOBAL_DER_FEV_2023!F816</f>
        <v>0</v>
      </c>
      <c r="G816" s="912">
        <f>GLOBAL_DER_FEV_2023!G816</f>
        <v>0</v>
      </c>
      <c r="H816" s="901">
        <f>GLOBAL_DER_FEV_2023!H816</f>
        <v>481.5</v>
      </c>
      <c r="I816" s="901">
        <f>GLOBAL_DER_FEV_2023!I816</f>
        <v>481.5</v>
      </c>
      <c r="J816" s="902">
        <f>GLOBAL_DER_FEV_2023!J816</f>
        <v>578.14</v>
      </c>
      <c r="K816" s="903" t="s">
        <v>15</v>
      </c>
      <c r="L816" s="1137"/>
      <c r="M816" s="1138">
        <f t="shared" si="57"/>
        <v>0</v>
      </c>
      <c r="N816" s="893">
        <f t="shared" si="61"/>
        <v>0</v>
      </c>
      <c r="O816" s="905"/>
      <c r="Q816" s="317" t="str">
        <f t="shared" si="58"/>
        <v/>
      </c>
      <c r="R816" s="317" t="str">
        <f t="shared" si="59"/>
        <v/>
      </c>
      <c r="S816" s="317" t="str">
        <f t="shared" si="60"/>
        <v/>
      </c>
      <c r="T816" s="317" t="str">
        <f>GLOBAL_DER_FEV_2023!S816</f>
        <v/>
      </c>
      <c r="W816" s="582">
        <v>0</v>
      </c>
      <c r="X816" s="580"/>
      <c r="Y816" s="583">
        <f>IF(GLOBAL_DER_FEV_2023!W816=0,0,IF(GLOBAL_DER_FEV_2023!W816&gt;0,"c","b"))</f>
        <v>0</v>
      </c>
    </row>
    <row r="817" spans="1:25" ht="13.5" hidden="1" thickBot="1" x14ac:dyDescent="0.25">
      <c r="A817" s="317">
        <v>605000</v>
      </c>
      <c r="B817" s="895" t="s">
        <v>1778</v>
      </c>
      <c r="C817" s="896" t="s">
        <v>184</v>
      </c>
      <c r="D817" s="906" t="s">
        <v>283</v>
      </c>
      <c r="E817" s="907">
        <f>GLOBAL_DER_FEV_2023!E817</f>
        <v>0</v>
      </c>
      <c r="F817" s="908">
        <f>GLOBAL_DER_FEV_2023!F817</f>
        <v>0</v>
      </c>
      <c r="G817" s="912">
        <f>GLOBAL_DER_FEV_2023!G817</f>
        <v>0</v>
      </c>
      <c r="H817" s="901">
        <f>GLOBAL_DER_FEV_2023!H817</f>
        <v>481.5</v>
      </c>
      <c r="I817" s="901">
        <f>GLOBAL_DER_FEV_2023!I817</f>
        <v>481.5</v>
      </c>
      <c r="J817" s="902">
        <f>GLOBAL_DER_FEV_2023!J817</f>
        <v>578.14</v>
      </c>
      <c r="K817" s="903" t="s">
        <v>15</v>
      </c>
      <c r="L817" s="1137"/>
      <c r="M817" s="1138">
        <f t="shared" si="57"/>
        <v>0</v>
      </c>
      <c r="N817" s="893">
        <f t="shared" si="61"/>
        <v>0</v>
      </c>
      <c r="O817" s="905"/>
      <c r="Q817" s="317" t="str">
        <f t="shared" si="58"/>
        <v/>
      </c>
      <c r="R817" s="317" t="str">
        <f t="shared" si="59"/>
        <v/>
      </c>
      <c r="S817" s="317" t="str">
        <f t="shared" si="60"/>
        <v/>
      </c>
      <c r="T817" s="317" t="str">
        <f>GLOBAL_DER_FEV_2023!S817</f>
        <v/>
      </c>
      <c r="W817" s="582">
        <v>0</v>
      </c>
      <c r="X817" s="580"/>
      <c r="Y817" s="583">
        <f>IF(GLOBAL_DER_FEV_2023!W817=0,0,IF(GLOBAL_DER_FEV_2023!W817&gt;0,"c","b"))</f>
        <v>0</v>
      </c>
    </row>
    <row r="818" spans="1:25" ht="13.5" hidden="1" thickBot="1" x14ac:dyDescent="0.25">
      <c r="A818" s="317">
        <v>605000</v>
      </c>
      <c r="B818" s="895" t="s">
        <v>1779</v>
      </c>
      <c r="C818" s="896" t="s">
        <v>184</v>
      </c>
      <c r="D818" s="906" t="s">
        <v>284</v>
      </c>
      <c r="E818" s="907">
        <f>GLOBAL_DER_FEV_2023!E818</f>
        <v>0</v>
      </c>
      <c r="F818" s="908">
        <f>GLOBAL_DER_FEV_2023!F818</f>
        <v>0</v>
      </c>
      <c r="G818" s="912">
        <f>GLOBAL_DER_FEV_2023!G818</f>
        <v>0</v>
      </c>
      <c r="H818" s="901">
        <f>GLOBAL_DER_FEV_2023!H818</f>
        <v>654.30999999999995</v>
      </c>
      <c r="I818" s="901">
        <f>GLOBAL_DER_FEV_2023!I818</f>
        <v>654.30999999999995</v>
      </c>
      <c r="J818" s="902">
        <f>GLOBAL_DER_FEV_2023!J818</f>
        <v>785.63</v>
      </c>
      <c r="K818" s="903" t="s">
        <v>15</v>
      </c>
      <c r="L818" s="1137"/>
      <c r="M818" s="1138">
        <f t="shared" si="57"/>
        <v>0</v>
      </c>
      <c r="N818" s="893">
        <f t="shared" si="61"/>
        <v>0</v>
      </c>
      <c r="O818" s="905"/>
      <c r="Q818" s="317" t="str">
        <f t="shared" si="58"/>
        <v/>
      </c>
      <c r="R818" s="317" t="str">
        <f t="shared" si="59"/>
        <v/>
      </c>
      <c r="S818" s="317" t="str">
        <f t="shared" si="60"/>
        <v/>
      </c>
      <c r="T818" s="317" t="str">
        <f>GLOBAL_DER_FEV_2023!S818</f>
        <v/>
      </c>
      <c r="W818" s="582">
        <v>0</v>
      </c>
      <c r="X818" s="580"/>
      <c r="Y818" s="583">
        <f>IF(GLOBAL_DER_FEV_2023!W818=0,0,IF(GLOBAL_DER_FEV_2023!W818&gt;0,"c","b"))</f>
        <v>0</v>
      </c>
    </row>
    <row r="819" spans="1:25" ht="13.5" hidden="1" thickBot="1" x14ac:dyDescent="0.25">
      <c r="A819" s="317">
        <v>605000</v>
      </c>
      <c r="B819" s="895" t="s">
        <v>1780</v>
      </c>
      <c r="C819" s="896" t="s">
        <v>184</v>
      </c>
      <c r="D819" s="906" t="s">
        <v>285</v>
      </c>
      <c r="E819" s="907">
        <f>GLOBAL_DER_FEV_2023!E819</f>
        <v>0</v>
      </c>
      <c r="F819" s="908">
        <f>GLOBAL_DER_FEV_2023!F819</f>
        <v>0</v>
      </c>
      <c r="G819" s="912">
        <f>GLOBAL_DER_FEV_2023!G819</f>
        <v>0</v>
      </c>
      <c r="H819" s="901">
        <f>GLOBAL_DER_FEV_2023!H819</f>
        <v>573.36</v>
      </c>
      <c r="I819" s="901">
        <f>GLOBAL_DER_FEV_2023!I819</f>
        <v>573.36</v>
      </c>
      <c r="J819" s="902">
        <f>GLOBAL_DER_FEV_2023!J819</f>
        <v>688.43</v>
      </c>
      <c r="K819" s="903" t="s">
        <v>15</v>
      </c>
      <c r="L819" s="1137"/>
      <c r="M819" s="1138">
        <f t="shared" si="57"/>
        <v>0</v>
      </c>
      <c r="N819" s="893">
        <f t="shared" si="61"/>
        <v>0</v>
      </c>
      <c r="O819" s="905"/>
      <c r="Q819" s="317" t="str">
        <f t="shared" si="58"/>
        <v/>
      </c>
      <c r="R819" s="317" t="str">
        <f t="shared" si="59"/>
        <v/>
      </c>
      <c r="S819" s="317" t="str">
        <f t="shared" si="60"/>
        <v/>
      </c>
      <c r="T819" s="317" t="str">
        <f>GLOBAL_DER_FEV_2023!S819</f>
        <v/>
      </c>
      <c r="W819" s="582">
        <v>0</v>
      </c>
      <c r="X819" s="580"/>
      <c r="Y819" s="583">
        <f>IF(GLOBAL_DER_FEV_2023!W819=0,0,IF(GLOBAL_DER_FEV_2023!W819&gt;0,"c","b"))</f>
        <v>0</v>
      </c>
    </row>
    <row r="820" spans="1:25" ht="13.5" hidden="1" thickBot="1" x14ac:dyDescent="0.25">
      <c r="A820" s="640" t="s">
        <v>165</v>
      </c>
      <c r="B820" s="913" t="s">
        <v>165</v>
      </c>
      <c r="C820" s="914"/>
      <c r="D820" s="915" t="s">
        <v>215</v>
      </c>
      <c r="E820" s="916">
        <f>GLOBAL_DER_FEV_2023!E820</f>
        <v>0</v>
      </c>
      <c r="F820" s="917">
        <f>GLOBAL_DER_FEV_2023!F820</f>
        <v>0</v>
      </c>
      <c r="G820" s="918">
        <f>GLOBAL_DER_FEV_2023!G820</f>
        <v>0</v>
      </c>
      <c r="H820" s="919">
        <f>GLOBAL_DER_FEV_2023!H820</f>
        <v>0</v>
      </c>
      <c r="I820" s="919">
        <f>GLOBAL_DER_FEV_2023!I820</f>
        <v>0</v>
      </c>
      <c r="J820" s="919">
        <f>GLOBAL_DER_FEV_2023!J820</f>
        <v>0</v>
      </c>
      <c r="K820" s="920" t="s">
        <v>507</v>
      </c>
      <c r="L820" s="921"/>
      <c r="M820" s="922">
        <f t="shared" si="57"/>
        <v>0</v>
      </c>
      <c r="N820" s="923">
        <f t="shared" si="61"/>
        <v>0</v>
      </c>
      <c r="O820" s="905"/>
      <c r="P820" s="58" t="str">
        <f>IF(OR(SUM(N821:N852)&gt;0,SUM(N821:N852)&gt;0),"y","")</f>
        <v/>
      </c>
      <c r="Q820" s="317" t="str">
        <f t="shared" si="58"/>
        <v/>
      </c>
      <c r="R820" s="317" t="str">
        <f t="shared" si="59"/>
        <v/>
      </c>
      <c r="S820" s="317" t="str">
        <f t="shared" si="60"/>
        <v/>
      </c>
      <c r="T820" s="317" t="str">
        <f>GLOBAL_DER_FEV_2023!S820</f>
        <v/>
      </c>
      <c r="W820" s="582">
        <v>0</v>
      </c>
      <c r="X820" s="580"/>
      <c r="Y820" s="583">
        <f>IF(GLOBAL_DER_FEV_2023!W820=0,0,IF(GLOBAL_DER_FEV_2023!W820&gt;0,"c","b"))</f>
        <v>0</v>
      </c>
    </row>
    <row r="821" spans="1:25" ht="26.1" hidden="1" customHeight="1" x14ac:dyDescent="0.2">
      <c r="A821" s="640" t="s">
        <v>165</v>
      </c>
      <c r="B821" s="1036">
        <f>GLOBAL_DER_FEV_2023!B821</f>
        <v>834908</v>
      </c>
      <c r="C821" s="1072" t="str">
        <f>GLOBAL_DER_FEV_2023!C821</f>
        <v>DER</v>
      </c>
      <c r="D821" s="1141" t="str">
        <f>GLOBAL_DER_FEV_2023!D821</f>
        <v>Fornecimento e assentamento de piso tátil de concreto alerta/direcional
20x20cm</v>
      </c>
      <c r="E821" s="907">
        <f>GLOBAL_DER_FEV_2023!E821</f>
        <v>0</v>
      </c>
      <c r="F821" s="908">
        <f>GLOBAL_DER_FEV_2023!F821</f>
        <v>0</v>
      </c>
      <c r="G821" s="912">
        <f>GLOBAL_DER_FEV_2023!G821</f>
        <v>0</v>
      </c>
      <c r="H821" s="901">
        <f>GLOBAL_DER_FEV_2023!H821</f>
        <v>90.41</v>
      </c>
      <c r="I821" s="901">
        <f>GLOBAL_DER_FEV_2023!I821</f>
        <v>90.41</v>
      </c>
      <c r="J821" s="902">
        <f>GLOBAL_DER_FEV_2023!J821</f>
        <v>108.56</v>
      </c>
      <c r="K821" s="903" t="str">
        <f>GLOBAL_DER_FEV_2023!K821</f>
        <v>m2</v>
      </c>
      <c r="L821" s="1137"/>
      <c r="M821" s="922">
        <f t="shared" si="57"/>
        <v>0</v>
      </c>
      <c r="N821" s="1166">
        <f t="shared" si="61"/>
        <v>0</v>
      </c>
      <c r="O821" s="1165"/>
      <c r="Q821" s="317" t="str">
        <f t="shared" si="58"/>
        <v/>
      </c>
      <c r="R821" s="317" t="str">
        <f t="shared" si="59"/>
        <v/>
      </c>
      <c r="S821" s="317" t="str">
        <f t="shared" si="60"/>
        <v/>
      </c>
      <c r="T821" s="317" t="str">
        <f>GLOBAL_DER_FEV_2023!S821</f>
        <v/>
      </c>
      <c r="W821" s="582">
        <v>0</v>
      </c>
      <c r="X821" s="580"/>
      <c r="Y821" s="583">
        <f>IF(GLOBAL_DER_FEV_2023!W821=0,0,IF(GLOBAL_DER_FEV_2023!W821&gt;0,"c","b"))</f>
        <v>0</v>
      </c>
    </row>
    <row r="822" spans="1:25" ht="26.1" hidden="1" customHeight="1" x14ac:dyDescent="0.2">
      <c r="A822" s="640" t="s">
        <v>165</v>
      </c>
      <c r="B822" s="1036">
        <f>GLOBAL_DER_FEV_2023!B822</f>
        <v>834909</v>
      </c>
      <c r="C822" s="1072" t="str">
        <f>GLOBAL_DER_FEV_2023!C822</f>
        <v>DER</v>
      </c>
      <c r="D822" s="1141" t="str">
        <f>GLOBAL_DER_FEV_2023!D822</f>
        <v>Fornecimento e assentamento de piso tátil de concreto alerta/direcional
20x20cm vermelho</v>
      </c>
      <c r="E822" s="907">
        <f>GLOBAL_DER_FEV_2023!E822</f>
        <v>0</v>
      </c>
      <c r="F822" s="908">
        <f>GLOBAL_DER_FEV_2023!F822</f>
        <v>0</v>
      </c>
      <c r="G822" s="912">
        <f>GLOBAL_DER_FEV_2023!G822</f>
        <v>0</v>
      </c>
      <c r="H822" s="901">
        <f>GLOBAL_DER_FEV_2023!H822</f>
        <v>96.16</v>
      </c>
      <c r="I822" s="901">
        <f>GLOBAL_DER_FEV_2023!I822</f>
        <v>96.16</v>
      </c>
      <c r="J822" s="890">
        <f>GLOBAL_DER_FEV_2023!J822</f>
        <v>115.46</v>
      </c>
      <c r="K822" s="903" t="str">
        <f>GLOBAL_DER_FEV_2023!K822</f>
        <v>m2</v>
      </c>
      <c r="L822" s="1137"/>
      <c r="M822" s="922">
        <f t="shared" si="57"/>
        <v>0</v>
      </c>
      <c r="N822" s="1167">
        <f t="shared" si="61"/>
        <v>0</v>
      </c>
      <c r="O822" s="1165"/>
      <c r="Q822" s="317" t="str">
        <f t="shared" si="58"/>
        <v/>
      </c>
      <c r="R822" s="317" t="str">
        <f t="shared" si="59"/>
        <v/>
      </c>
      <c r="S822" s="317" t="str">
        <f t="shared" si="60"/>
        <v/>
      </c>
      <c r="T822" s="317" t="str">
        <f>GLOBAL_DER_FEV_2023!S822</f>
        <v/>
      </c>
      <c r="W822" s="582">
        <v>0</v>
      </c>
      <c r="X822" s="580"/>
      <c r="Y822" s="583">
        <f>IF(GLOBAL_DER_FEV_2023!W822=0,0,IF(GLOBAL_DER_FEV_2023!W822&gt;0,"c","b"))</f>
        <v>0</v>
      </c>
    </row>
    <row r="823" spans="1:25" ht="26.1" hidden="1" customHeight="1" x14ac:dyDescent="0.2">
      <c r="A823" s="640" t="s">
        <v>165</v>
      </c>
      <c r="B823" s="1036">
        <f>GLOBAL_DER_FEV_2023!B823</f>
        <v>834906</v>
      </c>
      <c r="C823" s="1072" t="str">
        <f>GLOBAL_DER_FEV_2023!C823</f>
        <v>DER</v>
      </c>
      <c r="D823" s="1141" t="str">
        <f>GLOBAL_DER_FEV_2023!D823</f>
        <v>Fornecimento e assentamento de piso tátil de concreto alerta/direcional
40x40cm</v>
      </c>
      <c r="E823" s="907">
        <f>GLOBAL_DER_FEV_2023!E823</f>
        <v>0</v>
      </c>
      <c r="F823" s="908">
        <f>GLOBAL_DER_FEV_2023!F823</f>
        <v>0</v>
      </c>
      <c r="G823" s="912">
        <f>GLOBAL_DER_FEV_2023!G823</f>
        <v>0</v>
      </c>
      <c r="H823" s="901">
        <f>GLOBAL_DER_FEV_2023!H823</f>
        <v>96.21</v>
      </c>
      <c r="I823" s="901">
        <f>GLOBAL_DER_FEV_2023!I823</f>
        <v>96.21</v>
      </c>
      <c r="J823" s="890">
        <f>GLOBAL_DER_FEV_2023!J823</f>
        <v>115.52</v>
      </c>
      <c r="K823" s="903" t="str">
        <f>GLOBAL_DER_FEV_2023!K823</f>
        <v>m2</v>
      </c>
      <c r="L823" s="1137"/>
      <c r="M823" s="922">
        <f t="shared" si="57"/>
        <v>0</v>
      </c>
      <c r="N823" s="1167">
        <f t="shared" si="61"/>
        <v>0</v>
      </c>
      <c r="O823" s="1165"/>
      <c r="Q823" s="317" t="str">
        <f t="shared" si="58"/>
        <v/>
      </c>
      <c r="R823" s="317" t="str">
        <f t="shared" si="59"/>
        <v/>
      </c>
      <c r="S823" s="317" t="str">
        <f t="shared" si="60"/>
        <v/>
      </c>
      <c r="T823" s="317" t="str">
        <f>GLOBAL_DER_FEV_2023!S823</f>
        <v/>
      </c>
      <c r="W823" s="582">
        <v>0</v>
      </c>
      <c r="X823" s="580"/>
      <c r="Y823" s="583">
        <f>IF(GLOBAL_DER_FEV_2023!W823=0,0,IF(GLOBAL_DER_FEV_2023!W823&gt;0,"c","b"))</f>
        <v>0</v>
      </c>
    </row>
    <row r="824" spans="1:25" ht="26.1" hidden="1" customHeight="1" x14ac:dyDescent="0.2">
      <c r="A824" s="640" t="s">
        <v>165</v>
      </c>
      <c r="B824" s="1036">
        <f>GLOBAL_DER_FEV_2023!B824</f>
        <v>834907</v>
      </c>
      <c r="C824" s="1072" t="str">
        <f>GLOBAL_DER_FEV_2023!C824</f>
        <v>DER</v>
      </c>
      <c r="D824" s="1141" t="str">
        <f>GLOBAL_DER_FEV_2023!D824</f>
        <v>Fornecimento e assentamento de piso tátil de concreto alerta/direcional
40x40cm vermelho</v>
      </c>
      <c r="E824" s="907">
        <f>GLOBAL_DER_FEV_2023!E824</f>
        <v>0</v>
      </c>
      <c r="F824" s="908">
        <f>GLOBAL_DER_FEV_2023!F824</f>
        <v>0</v>
      </c>
      <c r="G824" s="912">
        <f>GLOBAL_DER_FEV_2023!G824</f>
        <v>0</v>
      </c>
      <c r="H824" s="901">
        <f>GLOBAL_DER_FEV_2023!H824</f>
        <v>99.84</v>
      </c>
      <c r="I824" s="901">
        <f>GLOBAL_DER_FEV_2023!I824</f>
        <v>99.84</v>
      </c>
      <c r="J824" s="890">
        <f>GLOBAL_DER_FEV_2023!J824</f>
        <v>119.88</v>
      </c>
      <c r="K824" s="903" t="str">
        <f>GLOBAL_DER_FEV_2023!K824</f>
        <v>m2</v>
      </c>
      <c r="L824" s="1137"/>
      <c r="M824" s="922">
        <f t="shared" si="57"/>
        <v>0</v>
      </c>
      <c r="N824" s="1167">
        <f t="shared" si="61"/>
        <v>0</v>
      </c>
      <c r="O824" s="1165"/>
      <c r="Q824" s="317" t="str">
        <f t="shared" si="58"/>
        <v/>
      </c>
      <c r="R824" s="317" t="str">
        <f t="shared" si="59"/>
        <v/>
      </c>
      <c r="S824" s="317" t="str">
        <f t="shared" si="60"/>
        <v/>
      </c>
      <c r="T824" s="317" t="str">
        <f>GLOBAL_DER_FEV_2023!S824</f>
        <v/>
      </c>
      <c r="W824" s="582">
        <v>0</v>
      </c>
      <c r="X824" s="580"/>
      <c r="Y824" s="583">
        <f>IF(GLOBAL_DER_FEV_2023!W824=0,0,IF(GLOBAL_DER_FEV_2023!W824&gt;0,"c","b"))</f>
        <v>0</v>
      </c>
    </row>
    <row r="825" spans="1:25" ht="13.5" hidden="1" thickBot="1" x14ac:dyDescent="0.25">
      <c r="A825" s="640" t="s">
        <v>165</v>
      </c>
      <c r="B825" s="1036" t="str">
        <f>GLOBAL_DER_FEV_2023!B825</f>
        <v>COMP.01</v>
      </c>
      <c r="C825" s="1072" t="str">
        <f>GLOBAL_DER_FEV_2023!C825</f>
        <v>DER</v>
      </c>
      <c r="D825" s="1141" t="str">
        <f>GLOBAL_DER_FEV_2023!D825</f>
        <v>RAMPA PARA PNE COM PISO TÁTIL NBR 9050 ÁREA DE 4,50M2</v>
      </c>
      <c r="E825" s="907">
        <f>GLOBAL_DER_FEV_2023!E825</f>
        <v>0</v>
      </c>
      <c r="F825" s="908">
        <f>GLOBAL_DER_FEV_2023!F825</f>
        <v>0</v>
      </c>
      <c r="G825" s="912">
        <f>GLOBAL_DER_FEV_2023!G825</f>
        <v>0</v>
      </c>
      <c r="H825" s="901">
        <f>GLOBAL_DER_FEV_2023!H825</f>
        <v>348.27</v>
      </c>
      <c r="I825" s="901">
        <f>GLOBAL_DER_FEV_2023!I825</f>
        <v>348.27</v>
      </c>
      <c r="J825" s="890">
        <f>GLOBAL_DER_FEV_2023!J825</f>
        <v>418.17</v>
      </c>
      <c r="K825" s="903" t="str">
        <f>GLOBAL_DER_FEV_2023!K825</f>
        <v>UN</v>
      </c>
      <c r="L825" s="1137"/>
      <c r="M825" s="922">
        <f t="shared" si="57"/>
        <v>0</v>
      </c>
      <c r="N825" s="1167">
        <f t="shared" si="61"/>
        <v>0</v>
      </c>
      <c r="O825" s="1165"/>
      <c r="Q825" s="317" t="str">
        <f t="shared" si="58"/>
        <v/>
      </c>
      <c r="R825" s="317" t="str">
        <f t="shared" si="59"/>
        <v/>
      </c>
      <c r="S825" s="317" t="str">
        <f t="shared" si="60"/>
        <v/>
      </c>
      <c r="T825" s="317" t="str">
        <f>GLOBAL_DER_FEV_2023!S825</f>
        <v/>
      </c>
      <c r="W825" s="582">
        <v>0</v>
      </c>
      <c r="X825" s="580"/>
      <c r="Y825" s="583">
        <f>IF(GLOBAL_DER_FEV_2023!W825=0,0,IF(GLOBAL_DER_FEV_2023!W825&gt;0,"c","b"))</f>
        <v>0</v>
      </c>
    </row>
    <row r="826" spans="1:25" ht="13.5" hidden="1" thickBot="1" x14ac:dyDescent="0.25">
      <c r="A826" s="640" t="s">
        <v>165</v>
      </c>
      <c r="B826" s="1036" t="str">
        <f>GLOBAL_DER_FEV_2023!B826</f>
        <v/>
      </c>
      <c r="C826" s="1072" t="str">
        <f>GLOBAL_DER_FEV_2023!C826</f>
        <v/>
      </c>
      <c r="D826" s="1141">
        <f>GLOBAL_DER_FEV_2023!D826</f>
        <v>0</v>
      </c>
      <c r="E826" s="907">
        <f>GLOBAL_DER_FEV_2023!E826</f>
        <v>0</v>
      </c>
      <c r="F826" s="908">
        <f>GLOBAL_DER_FEV_2023!F826</f>
        <v>0</v>
      </c>
      <c r="G826" s="912">
        <f>GLOBAL_DER_FEV_2023!G826</f>
        <v>0</v>
      </c>
      <c r="H826" s="901">
        <f>GLOBAL_DER_FEV_2023!H826</f>
        <v>0</v>
      </c>
      <c r="I826" s="901">
        <f>GLOBAL_DER_FEV_2023!I826</f>
        <v>0</v>
      </c>
      <c r="J826" s="890">
        <f>GLOBAL_DER_FEV_2023!J826</f>
        <v>0</v>
      </c>
      <c r="K826" s="903" t="str">
        <f>GLOBAL_DER_FEV_2023!K826</f>
        <v xml:space="preserve">     </v>
      </c>
      <c r="L826" s="1137"/>
      <c r="M826" s="922">
        <f t="shared" si="57"/>
        <v>0</v>
      </c>
      <c r="N826" s="1167">
        <f t="shared" si="61"/>
        <v>0</v>
      </c>
      <c r="O826" s="1165"/>
      <c r="Q826" s="317" t="str">
        <f t="shared" si="58"/>
        <v/>
      </c>
      <c r="R826" s="317" t="str">
        <f t="shared" si="59"/>
        <v/>
      </c>
      <c r="S826" s="317" t="str">
        <f t="shared" si="60"/>
        <v/>
      </c>
      <c r="T826" s="317" t="str">
        <f>GLOBAL_DER_FEV_2023!S826</f>
        <v/>
      </c>
      <c r="W826" s="582">
        <v>0</v>
      </c>
      <c r="X826" s="580"/>
      <c r="Y826" s="583">
        <f>IF(GLOBAL_DER_FEV_2023!W826=0,0,IF(GLOBAL_DER_FEV_2023!W826&gt;0,"c","b"))</f>
        <v>0</v>
      </c>
    </row>
    <row r="827" spans="1:25" ht="13.5" hidden="1" thickBot="1" x14ac:dyDescent="0.25">
      <c r="A827" s="640" t="s">
        <v>165</v>
      </c>
      <c r="B827" s="1036" t="str">
        <f>GLOBAL_DER_FEV_2023!B827</f>
        <v/>
      </c>
      <c r="C827" s="1072" t="str">
        <f>GLOBAL_DER_FEV_2023!C827</f>
        <v/>
      </c>
      <c r="D827" s="1141">
        <f>GLOBAL_DER_FEV_2023!D827</f>
        <v>0</v>
      </c>
      <c r="E827" s="907">
        <f>GLOBAL_DER_FEV_2023!E827</f>
        <v>0</v>
      </c>
      <c r="F827" s="908">
        <f>GLOBAL_DER_FEV_2023!F827</f>
        <v>0</v>
      </c>
      <c r="G827" s="912">
        <f>GLOBAL_DER_FEV_2023!G827</f>
        <v>0</v>
      </c>
      <c r="H827" s="901">
        <f>GLOBAL_DER_FEV_2023!H827</f>
        <v>0</v>
      </c>
      <c r="I827" s="901">
        <f>GLOBAL_DER_FEV_2023!I827</f>
        <v>0</v>
      </c>
      <c r="J827" s="890">
        <f>GLOBAL_DER_FEV_2023!J827</f>
        <v>0</v>
      </c>
      <c r="K827" s="903" t="str">
        <f>GLOBAL_DER_FEV_2023!K827</f>
        <v xml:space="preserve">     </v>
      </c>
      <c r="L827" s="1137"/>
      <c r="M827" s="922">
        <f t="shared" si="57"/>
        <v>0</v>
      </c>
      <c r="N827" s="1167">
        <f t="shared" si="61"/>
        <v>0</v>
      </c>
      <c r="O827" s="1165"/>
      <c r="Q827" s="317" t="str">
        <f t="shared" si="58"/>
        <v/>
      </c>
      <c r="R827" s="317" t="str">
        <f t="shared" si="59"/>
        <v/>
      </c>
      <c r="S827" s="317" t="str">
        <f t="shared" si="60"/>
        <v/>
      </c>
      <c r="T827" s="317" t="str">
        <f>GLOBAL_DER_FEV_2023!S827</f>
        <v/>
      </c>
      <c r="W827" s="582">
        <v>0</v>
      </c>
      <c r="X827" s="580"/>
      <c r="Y827" s="583">
        <f>IF(GLOBAL_DER_FEV_2023!W827=0,0,IF(GLOBAL_DER_FEV_2023!W827&gt;0,"c","b"))</f>
        <v>0</v>
      </c>
    </row>
    <row r="828" spans="1:25" ht="13.5" hidden="1" thickBot="1" x14ac:dyDescent="0.25">
      <c r="A828" s="640" t="s">
        <v>165</v>
      </c>
      <c r="B828" s="1036" t="str">
        <f>GLOBAL_DER_FEV_2023!B828</f>
        <v/>
      </c>
      <c r="C828" s="1072" t="str">
        <f>GLOBAL_DER_FEV_2023!C828</f>
        <v/>
      </c>
      <c r="D828" s="1141">
        <f>GLOBAL_DER_FEV_2023!D828</f>
        <v>0</v>
      </c>
      <c r="E828" s="907">
        <f>GLOBAL_DER_FEV_2023!E828</f>
        <v>0</v>
      </c>
      <c r="F828" s="908">
        <f>GLOBAL_DER_FEV_2023!F828</f>
        <v>0</v>
      </c>
      <c r="G828" s="912">
        <f>GLOBAL_DER_FEV_2023!G828</f>
        <v>0</v>
      </c>
      <c r="H828" s="901">
        <f>GLOBAL_DER_FEV_2023!H828</f>
        <v>0</v>
      </c>
      <c r="I828" s="901">
        <f>GLOBAL_DER_FEV_2023!I828</f>
        <v>0</v>
      </c>
      <c r="J828" s="890">
        <f>GLOBAL_DER_FEV_2023!J828</f>
        <v>0</v>
      </c>
      <c r="K828" s="903" t="str">
        <f>GLOBAL_DER_FEV_2023!K828</f>
        <v xml:space="preserve">     </v>
      </c>
      <c r="L828" s="1137"/>
      <c r="M828" s="922">
        <f t="shared" si="57"/>
        <v>0</v>
      </c>
      <c r="N828" s="1167">
        <f t="shared" si="61"/>
        <v>0</v>
      </c>
      <c r="O828" s="1165"/>
      <c r="Q828" s="317" t="str">
        <f t="shared" si="58"/>
        <v/>
      </c>
      <c r="R828" s="317" t="str">
        <f t="shared" si="59"/>
        <v/>
      </c>
      <c r="S828" s="317" t="str">
        <f t="shared" si="60"/>
        <v/>
      </c>
      <c r="T828" s="317" t="str">
        <f>GLOBAL_DER_FEV_2023!S828</f>
        <v/>
      </c>
      <c r="W828" s="582">
        <v>0</v>
      </c>
      <c r="X828" s="580"/>
      <c r="Y828" s="583">
        <f>IF(GLOBAL_DER_FEV_2023!W828=0,0,IF(GLOBAL_DER_FEV_2023!W828&gt;0,"c","b"))</f>
        <v>0</v>
      </c>
    </row>
    <row r="829" spans="1:25" ht="13.5" hidden="1" thickBot="1" x14ac:dyDescent="0.25">
      <c r="A829" s="640" t="s">
        <v>165</v>
      </c>
      <c r="B829" s="1036" t="str">
        <f>GLOBAL_DER_FEV_2023!B829</f>
        <v/>
      </c>
      <c r="C829" s="1072" t="str">
        <f>GLOBAL_DER_FEV_2023!C829</f>
        <v/>
      </c>
      <c r="D829" s="1141">
        <f>GLOBAL_DER_FEV_2023!D829</f>
        <v>0</v>
      </c>
      <c r="E829" s="907">
        <f>GLOBAL_DER_FEV_2023!E829</f>
        <v>0</v>
      </c>
      <c r="F829" s="908">
        <f>GLOBAL_DER_FEV_2023!F829</f>
        <v>0</v>
      </c>
      <c r="G829" s="912">
        <f>GLOBAL_DER_FEV_2023!G829</f>
        <v>0</v>
      </c>
      <c r="H829" s="901">
        <f>GLOBAL_DER_FEV_2023!H829</f>
        <v>0</v>
      </c>
      <c r="I829" s="901">
        <f>GLOBAL_DER_FEV_2023!I829</f>
        <v>0</v>
      </c>
      <c r="J829" s="890">
        <f>GLOBAL_DER_FEV_2023!J829</f>
        <v>0</v>
      </c>
      <c r="K829" s="903" t="str">
        <f>GLOBAL_DER_FEV_2023!K829</f>
        <v xml:space="preserve">     </v>
      </c>
      <c r="L829" s="1137"/>
      <c r="M829" s="922">
        <f t="shared" si="57"/>
        <v>0</v>
      </c>
      <c r="N829" s="1167">
        <f t="shared" si="61"/>
        <v>0</v>
      </c>
      <c r="O829" s="1165"/>
      <c r="Q829" s="317" t="str">
        <f t="shared" si="58"/>
        <v/>
      </c>
      <c r="R829" s="317" t="str">
        <f t="shared" si="59"/>
        <v/>
      </c>
      <c r="S829" s="317" t="str">
        <f t="shared" si="60"/>
        <v/>
      </c>
      <c r="T829" s="317" t="str">
        <f>GLOBAL_DER_FEV_2023!S829</f>
        <v/>
      </c>
      <c r="W829" s="582">
        <v>0</v>
      </c>
      <c r="X829" s="580"/>
      <c r="Y829" s="583">
        <f>IF(GLOBAL_DER_FEV_2023!W829=0,0,IF(GLOBAL_DER_FEV_2023!W829&gt;0,"c","b"))</f>
        <v>0</v>
      </c>
    </row>
    <row r="830" spans="1:25" ht="13.5" hidden="1" thickBot="1" x14ac:dyDescent="0.25">
      <c r="A830" s="640" t="s">
        <v>165</v>
      </c>
      <c r="B830" s="1036" t="str">
        <f>GLOBAL_DER_FEV_2023!B830</f>
        <v/>
      </c>
      <c r="C830" s="1072" t="str">
        <f>GLOBAL_DER_FEV_2023!C830</f>
        <v/>
      </c>
      <c r="D830" s="1141">
        <f>GLOBAL_DER_FEV_2023!D830</f>
        <v>0</v>
      </c>
      <c r="E830" s="907">
        <f>GLOBAL_DER_FEV_2023!E830</f>
        <v>0</v>
      </c>
      <c r="F830" s="908">
        <f>GLOBAL_DER_FEV_2023!F830</f>
        <v>0</v>
      </c>
      <c r="G830" s="912">
        <f>GLOBAL_DER_FEV_2023!G830</f>
        <v>0</v>
      </c>
      <c r="H830" s="901">
        <f>GLOBAL_DER_FEV_2023!H830</f>
        <v>0</v>
      </c>
      <c r="I830" s="901">
        <f>GLOBAL_DER_FEV_2023!I830</f>
        <v>0</v>
      </c>
      <c r="J830" s="890">
        <f>GLOBAL_DER_FEV_2023!J830</f>
        <v>0</v>
      </c>
      <c r="K830" s="903" t="str">
        <f>GLOBAL_DER_FEV_2023!K830</f>
        <v xml:space="preserve">     </v>
      </c>
      <c r="L830" s="1137"/>
      <c r="M830" s="922">
        <f t="shared" si="57"/>
        <v>0</v>
      </c>
      <c r="N830" s="1167">
        <f t="shared" si="61"/>
        <v>0</v>
      </c>
      <c r="O830" s="1165"/>
      <c r="Q830" s="317" t="str">
        <f t="shared" si="58"/>
        <v/>
      </c>
      <c r="R830" s="317" t="str">
        <f t="shared" si="59"/>
        <v/>
      </c>
      <c r="S830" s="317" t="str">
        <f t="shared" si="60"/>
        <v/>
      </c>
      <c r="T830" s="317" t="str">
        <f>GLOBAL_DER_FEV_2023!S830</f>
        <v/>
      </c>
      <c r="W830" s="582">
        <v>0</v>
      </c>
      <c r="X830" s="580"/>
      <c r="Y830" s="583">
        <f>IF(GLOBAL_DER_FEV_2023!W830=0,0,IF(GLOBAL_DER_FEV_2023!W830&gt;0,"c","b"))</f>
        <v>0</v>
      </c>
    </row>
    <row r="831" spans="1:25" ht="13.5" hidden="1" thickBot="1" x14ac:dyDescent="0.25">
      <c r="A831" s="640" t="s">
        <v>165</v>
      </c>
      <c r="B831" s="1036" t="str">
        <f>GLOBAL_DER_FEV_2023!B831</f>
        <v/>
      </c>
      <c r="C831" s="1072" t="str">
        <f>GLOBAL_DER_FEV_2023!C831</f>
        <v/>
      </c>
      <c r="D831" s="1141">
        <f>GLOBAL_DER_FEV_2023!D831</f>
        <v>0</v>
      </c>
      <c r="E831" s="907">
        <f>GLOBAL_DER_FEV_2023!E831</f>
        <v>0</v>
      </c>
      <c r="F831" s="908">
        <f>GLOBAL_DER_FEV_2023!F831</f>
        <v>0</v>
      </c>
      <c r="G831" s="912">
        <f>GLOBAL_DER_FEV_2023!G831</f>
        <v>0</v>
      </c>
      <c r="H831" s="901">
        <f>GLOBAL_DER_FEV_2023!H831</f>
        <v>0</v>
      </c>
      <c r="I831" s="901">
        <f>GLOBAL_DER_FEV_2023!I831</f>
        <v>0</v>
      </c>
      <c r="J831" s="890">
        <f>GLOBAL_DER_FEV_2023!J831</f>
        <v>0</v>
      </c>
      <c r="K831" s="903" t="str">
        <f>GLOBAL_DER_FEV_2023!K831</f>
        <v xml:space="preserve">     </v>
      </c>
      <c r="L831" s="1137"/>
      <c r="M831" s="922">
        <f t="shared" si="57"/>
        <v>0</v>
      </c>
      <c r="N831" s="1167">
        <f t="shared" si="61"/>
        <v>0</v>
      </c>
      <c r="O831" s="1165"/>
      <c r="Q831" s="317" t="str">
        <f t="shared" si="58"/>
        <v/>
      </c>
      <c r="R831" s="317" t="str">
        <f t="shared" si="59"/>
        <v/>
      </c>
      <c r="S831" s="317" t="str">
        <f t="shared" si="60"/>
        <v/>
      </c>
      <c r="T831" s="317" t="str">
        <f>GLOBAL_DER_FEV_2023!S831</f>
        <v/>
      </c>
      <c r="W831" s="582">
        <v>0</v>
      </c>
      <c r="X831" s="580"/>
      <c r="Y831" s="583">
        <f>IF(GLOBAL_DER_FEV_2023!W831=0,0,IF(GLOBAL_DER_FEV_2023!W831&gt;0,"c","b"))</f>
        <v>0</v>
      </c>
    </row>
    <row r="832" spans="1:25" ht="13.5" hidden="1" thickBot="1" x14ac:dyDescent="0.25">
      <c r="A832" s="640" t="s">
        <v>165</v>
      </c>
      <c r="B832" s="1036" t="str">
        <f>GLOBAL_DER_FEV_2023!B832</f>
        <v/>
      </c>
      <c r="C832" s="1072" t="str">
        <f>GLOBAL_DER_FEV_2023!C832</f>
        <v/>
      </c>
      <c r="D832" s="1141">
        <f>GLOBAL_DER_FEV_2023!D832</f>
        <v>0</v>
      </c>
      <c r="E832" s="907">
        <f>GLOBAL_DER_FEV_2023!E832</f>
        <v>0</v>
      </c>
      <c r="F832" s="908">
        <f>GLOBAL_DER_FEV_2023!F832</f>
        <v>0</v>
      </c>
      <c r="G832" s="912">
        <f>GLOBAL_DER_FEV_2023!G832</f>
        <v>0</v>
      </c>
      <c r="H832" s="901">
        <f>GLOBAL_DER_FEV_2023!H832</f>
        <v>0</v>
      </c>
      <c r="I832" s="901">
        <f>GLOBAL_DER_FEV_2023!I832</f>
        <v>0</v>
      </c>
      <c r="J832" s="890">
        <f>GLOBAL_DER_FEV_2023!J832</f>
        <v>0</v>
      </c>
      <c r="K832" s="903" t="str">
        <f>GLOBAL_DER_FEV_2023!K832</f>
        <v xml:space="preserve">     </v>
      </c>
      <c r="L832" s="1137"/>
      <c r="M832" s="922">
        <f t="shared" si="57"/>
        <v>0</v>
      </c>
      <c r="N832" s="1167">
        <f t="shared" si="61"/>
        <v>0</v>
      </c>
      <c r="O832" s="1165"/>
      <c r="Q832" s="317" t="str">
        <f t="shared" si="58"/>
        <v/>
      </c>
      <c r="R832" s="317" t="str">
        <f t="shared" si="59"/>
        <v/>
      </c>
      <c r="S832" s="317" t="str">
        <f t="shared" si="60"/>
        <v/>
      </c>
      <c r="T832" s="317" t="str">
        <f>GLOBAL_DER_FEV_2023!S832</f>
        <v/>
      </c>
      <c r="W832" s="582">
        <v>0</v>
      </c>
      <c r="X832" s="580"/>
      <c r="Y832" s="583">
        <f>IF(GLOBAL_DER_FEV_2023!W832=0,0,IF(GLOBAL_DER_FEV_2023!W832&gt;0,"c","b"))</f>
        <v>0</v>
      </c>
    </row>
    <row r="833" spans="1:25" ht="13.5" hidden="1" thickBot="1" x14ac:dyDescent="0.25">
      <c r="A833" s="640" t="s">
        <v>165</v>
      </c>
      <c r="B833" s="1036" t="str">
        <f>GLOBAL_DER_FEV_2023!B833</f>
        <v/>
      </c>
      <c r="C833" s="1072" t="str">
        <f>GLOBAL_DER_FEV_2023!C833</f>
        <v/>
      </c>
      <c r="D833" s="1141">
        <f>GLOBAL_DER_FEV_2023!D833</f>
        <v>0</v>
      </c>
      <c r="E833" s="907">
        <f>GLOBAL_DER_FEV_2023!E833</f>
        <v>0</v>
      </c>
      <c r="F833" s="908">
        <f>GLOBAL_DER_FEV_2023!F833</f>
        <v>0</v>
      </c>
      <c r="G833" s="912">
        <f>GLOBAL_DER_FEV_2023!G833</f>
        <v>0</v>
      </c>
      <c r="H833" s="901">
        <f>GLOBAL_DER_FEV_2023!H833</f>
        <v>0</v>
      </c>
      <c r="I833" s="901">
        <f>GLOBAL_DER_FEV_2023!I833</f>
        <v>0</v>
      </c>
      <c r="J833" s="890">
        <f>GLOBAL_DER_FEV_2023!J833</f>
        <v>0</v>
      </c>
      <c r="K833" s="903" t="str">
        <f>GLOBAL_DER_FEV_2023!K833</f>
        <v xml:space="preserve">     </v>
      </c>
      <c r="L833" s="1137"/>
      <c r="M833" s="922">
        <f t="shared" si="57"/>
        <v>0</v>
      </c>
      <c r="N833" s="1167">
        <f t="shared" si="61"/>
        <v>0</v>
      </c>
      <c r="O833" s="1165"/>
      <c r="Q833" s="317" t="str">
        <f t="shared" si="58"/>
        <v/>
      </c>
      <c r="R833" s="317" t="str">
        <f t="shared" si="59"/>
        <v/>
      </c>
      <c r="S833" s="317" t="str">
        <f t="shared" si="60"/>
        <v/>
      </c>
      <c r="T833" s="317" t="str">
        <f>GLOBAL_DER_FEV_2023!S833</f>
        <v/>
      </c>
      <c r="W833" s="582">
        <v>0</v>
      </c>
      <c r="X833" s="580"/>
      <c r="Y833" s="583">
        <f>IF(GLOBAL_DER_FEV_2023!W833=0,0,IF(GLOBAL_DER_FEV_2023!W833&gt;0,"c","b"))</f>
        <v>0</v>
      </c>
    </row>
    <row r="834" spans="1:25" ht="13.5" hidden="1" thickBot="1" x14ac:dyDescent="0.25">
      <c r="A834" s="640" t="s">
        <v>165</v>
      </c>
      <c r="B834" s="1036" t="str">
        <f>GLOBAL_DER_FEV_2023!B834</f>
        <v/>
      </c>
      <c r="C834" s="1072" t="str">
        <f>GLOBAL_DER_FEV_2023!C834</f>
        <v/>
      </c>
      <c r="D834" s="1141">
        <f>GLOBAL_DER_FEV_2023!D834</f>
        <v>0</v>
      </c>
      <c r="E834" s="907">
        <f>GLOBAL_DER_FEV_2023!E834</f>
        <v>0</v>
      </c>
      <c r="F834" s="908">
        <f>GLOBAL_DER_FEV_2023!F834</f>
        <v>0</v>
      </c>
      <c r="G834" s="912">
        <f>GLOBAL_DER_FEV_2023!G834</f>
        <v>0</v>
      </c>
      <c r="H834" s="901">
        <f>GLOBAL_DER_FEV_2023!H834</f>
        <v>0</v>
      </c>
      <c r="I834" s="901">
        <f>GLOBAL_DER_FEV_2023!I834</f>
        <v>0</v>
      </c>
      <c r="J834" s="890">
        <f>GLOBAL_DER_FEV_2023!J834</f>
        <v>0</v>
      </c>
      <c r="K834" s="903" t="str">
        <f>GLOBAL_DER_FEV_2023!K834</f>
        <v xml:space="preserve">     </v>
      </c>
      <c r="L834" s="1137"/>
      <c r="M834" s="922">
        <f t="shared" si="57"/>
        <v>0</v>
      </c>
      <c r="N834" s="1167">
        <f t="shared" si="61"/>
        <v>0</v>
      </c>
      <c r="O834" s="1165"/>
      <c r="Q834" s="317" t="str">
        <f t="shared" si="58"/>
        <v/>
      </c>
      <c r="R834" s="317" t="str">
        <f t="shared" si="59"/>
        <v/>
      </c>
      <c r="S834" s="317" t="str">
        <f t="shared" si="60"/>
        <v/>
      </c>
      <c r="T834" s="317" t="str">
        <f>GLOBAL_DER_FEV_2023!S834</f>
        <v/>
      </c>
      <c r="W834" s="582">
        <v>0</v>
      </c>
      <c r="X834" s="580"/>
      <c r="Y834" s="583">
        <f>IF(GLOBAL_DER_FEV_2023!W834=0,0,IF(GLOBAL_DER_FEV_2023!W834&gt;0,"c","b"))</f>
        <v>0</v>
      </c>
    </row>
    <row r="835" spans="1:25" ht="13.5" hidden="1" thickBot="1" x14ac:dyDescent="0.25">
      <c r="A835" s="640" t="s">
        <v>165</v>
      </c>
      <c r="B835" s="1036" t="str">
        <f>GLOBAL_DER_FEV_2023!B835</f>
        <v/>
      </c>
      <c r="C835" s="1072" t="str">
        <f>GLOBAL_DER_FEV_2023!C835</f>
        <v/>
      </c>
      <c r="D835" s="1141">
        <f>GLOBAL_DER_FEV_2023!D835</f>
        <v>0</v>
      </c>
      <c r="E835" s="907">
        <f>GLOBAL_DER_FEV_2023!E835</f>
        <v>0</v>
      </c>
      <c r="F835" s="908">
        <f>GLOBAL_DER_FEV_2023!F835</f>
        <v>0</v>
      </c>
      <c r="G835" s="912">
        <f>GLOBAL_DER_FEV_2023!G835</f>
        <v>0</v>
      </c>
      <c r="H835" s="901">
        <f>GLOBAL_DER_FEV_2023!H835</f>
        <v>0</v>
      </c>
      <c r="I835" s="901">
        <f>GLOBAL_DER_FEV_2023!I835</f>
        <v>0</v>
      </c>
      <c r="J835" s="890">
        <f>GLOBAL_DER_FEV_2023!J835</f>
        <v>0</v>
      </c>
      <c r="K835" s="903" t="str">
        <f>GLOBAL_DER_FEV_2023!K835</f>
        <v xml:space="preserve">     </v>
      </c>
      <c r="L835" s="1137"/>
      <c r="M835" s="922">
        <f t="shared" si="57"/>
        <v>0</v>
      </c>
      <c r="N835" s="1167">
        <f t="shared" si="61"/>
        <v>0</v>
      </c>
      <c r="O835" s="1165"/>
      <c r="Q835" s="317" t="str">
        <f t="shared" si="58"/>
        <v/>
      </c>
      <c r="R835" s="317" t="str">
        <f t="shared" si="59"/>
        <v/>
      </c>
      <c r="S835" s="317" t="str">
        <f t="shared" si="60"/>
        <v/>
      </c>
      <c r="T835" s="317" t="str">
        <f>GLOBAL_DER_FEV_2023!S835</f>
        <v/>
      </c>
      <c r="W835" s="582">
        <v>0</v>
      </c>
      <c r="X835" s="580"/>
      <c r="Y835" s="583">
        <f>IF(GLOBAL_DER_FEV_2023!W835=0,0,IF(GLOBAL_DER_FEV_2023!W835&gt;0,"c","b"))</f>
        <v>0</v>
      </c>
    </row>
    <row r="836" spans="1:25" ht="13.5" hidden="1" thickBot="1" x14ac:dyDescent="0.25">
      <c r="A836" s="640" t="s">
        <v>165</v>
      </c>
      <c r="B836" s="1036" t="str">
        <f>GLOBAL_DER_FEV_2023!B836</f>
        <v/>
      </c>
      <c r="C836" s="1072" t="str">
        <f>GLOBAL_DER_FEV_2023!C836</f>
        <v/>
      </c>
      <c r="D836" s="1141">
        <f>GLOBAL_DER_FEV_2023!D836</f>
        <v>0</v>
      </c>
      <c r="E836" s="907">
        <f>GLOBAL_DER_FEV_2023!E836</f>
        <v>0</v>
      </c>
      <c r="F836" s="908">
        <f>GLOBAL_DER_FEV_2023!F836</f>
        <v>0</v>
      </c>
      <c r="G836" s="912">
        <f>GLOBAL_DER_FEV_2023!G836</f>
        <v>0</v>
      </c>
      <c r="H836" s="901">
        <f>GLOBAL_DER_FEV_2023!H836</f>
        <v>0</v>
      </c>
      <c r="I836" s="901">
        <f>GLOBAL_DER_FEV_2023!I836</f>
        <v>0</v>
      </c>
      <c r="J836" s="890">
        <f>GLOBAL_DER_FEV_2023!J836</f>
        <v>0</v>
      </c>
      <c r="K836" s="903" t="str">
        <f>GLOBAL_DER_FEV_2023!K836</f>
        <v xml:space="preserve">     </v>
      </c>
      <c r="L836" s="1137"/>
      <c r="M836" s="922">
        <f t="shared" si="57"/>
        <v>0</v>
      </c>
      <c r="N836" s="1167">
        <f t="shared" si="61"/>
        <v>0</v>
      </c>
      <c r="O836" s="1165"/>
      <c r="Q836" s="317" t="str">
        <f t="shared" si="58"/>
        <v/>
      </c>
      <c r="R836" s="317" t="str">
        <f t="shared" si="59"/>
        <v/>
      </c>
      <c r="S836" s="317" t="str">
        <f t="shared" si="60"/>
        <v/>
      </c>
      <c r="T836" s="317" t="str">
        <f>GLOBAL_DER_FEV_2023!S836</f>
        <v/>
      </c>
      <c r="W836" s="582">
        <v>0</v>
      </c>
      <c r="X836" s="580"/>
      <c r="Y836" s="583">
        <f>IF(GLOBAL_DER_FEV_2023!W836=0,0,IF(GLOBAL_DER_FEV_2023!W836&gt;0,"c","b"))</f>
        <v>0</v>
      </c>
    </row>
    <row r="837" spans="1:25" ht="13.5" hidden="1" thickBot="1" x14ac:dyDescent="0.25">
      <c r="A837" s="640" t="s">
        <v>165</v>
      </c>
      <c r="B837" s="1036" t="str">
        <f>GLOBAL_DER_FEV_2023!B837</f>
        <v/>
      </c>
      <c r="C837" s="1072" t="str">
        <f>GLOBAL_DER_FEV_2023!C837</f>
        <v/>
      </c>
      <c r="D837" s="1141">
        <f>GLOBAL_DER_FEV_2023!D837</f>
        <v>0</v>
      </c>
      <c r="E837" s="907">
        <f>GLOBAL_DER_FEV_2023!E837</f>
        <v>0</v>
      </c>
      <c r="F837" s="908">
        <f>GLOBAL_DER_FEV_2023!F837</f>
        <v>0</v>
      </c>
      <c r="G837" s="912">
        <f>GLOBAL_DER_FEV_2023!G837</f>
        <v>0</v>
      </c>
      <c r="H837" s="901">
        <f>GLOBAL_DER_FEV_2023!H837</f>
        <v>0</v>
      </c>
      <c r="I837" s="901">
        <f>GLOBAL_DER_FEV_2023!I837</f>
        <v>0</v>
      </c>
      <c r="J837" s="890">
        <f>GLOBAL_DER_FEV_2023!J837</f>
        <v>0</v>
      </c>
      <c r="K837" s="903" t="str">
        <f>GLOBAL_DER_FEV_2023!K837</f>
        <v xml:space="preserve">     </v>
      </c>
      <c r="L837" s="1137"/>
      <c r="M837" s="922">
        <f t="shared" si="57"/>
        <v>0</v>
      </c>
      <c r="N837" s="1167">
        <f t="shared" si="61"/>
        <v>0</v>
      </c>
      <c r="O837" s="1165"/>
      <c r="Q837" s="317" t="str">
        <f t="shared" si="58"/>
        <v/>
      </c>
      <c r="R837" s="317" t="str">
        <f t="shared" si="59"/>
        <v/>
      </c>
      <c r="S837" s="317" t="str">
        <f t="shared" si="60"/>
        <v/>
      </c>
      <c r="T837" s="317" t="str">
        <f>GLOBAL_DER_FEV_2023!S837</f>
        <v/>
      </c>
      <c r="W837" s="582">
        <v>0</v>
      </c>
      <c r="X837" s="580"/>
      <c r="Y837" s="583">
        <f>IF(GLOBAL_DER_FEV_2023!W837=0,0,IF(GLOBAL_DER_FEV_2023!W837&gt;0,"c","b"))</f>
        <v>0</v>
      </c>
    </row>
    <row r="838" spans="1:25" ht="13.5" hidden="1" thickBot="1" x14ac:dyDescent="0.25">
      <c r="A838" s="640" t="s">
        <v>165</v>
      </c>
      <c r="B838" s="1036" t="str">
        <f>GLOBAL_DER_FEV_2023!B838</f>
        <v/>
      </c>
      <c r="C838" s="1072" t="str">
        <f>GLOBAL_DER_FEV_2023!C838</f>
        <v/>
      </c>
      <c r="D838" s="1141">
        <f>GLOBAL_DER_FEV_2023!D838</f>
        <v>0</v>
      </c>
      <c r="E838" s="907">
        <f>GLOBAL_DER_FEV_2023!E838</f>
        <v>0</v>
      </c>
      <c r="F838" s="908">
        <f>GLOBAL_DER_FEV_2023!F838</f>
        <v>0</v>
      </c>
      <c r="G838" s="912">
        <f>GLOBAL_DER_FEV_2023!G838</f>
        <v>0</v>
      </c>
      <c r="H838" s="901">
        <f>GLOBAL_DER_FEV_2023!H838</f>
        <v>0</v>
      </c>
      <c r="I838" s="901">
        <f>GLOBAL_DER_FEV_2023!I838</f>
        <v>0</v>
      </c>
      <c r="J838" s="890">
        <f>GLOBAL_DER_FEV_2023!J838</f>
        <v>0</v>
      </c>
      <c r="K838" s="903" t="str">
        <f>GLOBAL_DER_FEV_2023!K838</f>
        <v xml:space="preserve">     </v>
      </c>
      <c r="L838" s="1137"/>
      <c r="M838" s="922">
        <f t="shared" si="57"/>
        <v>0</v>
      </c>
      <c r="N838" s="1167">
        <f t="shared" si="61"/>
        <v>0</v>
      </c>
      <c r="O838" s="1165"/>
      <c r="Q838" s="317" t="str">
        <f t="shared" si="58"/>
        <v/>
      </c>
      <c r="R838" s="317" t="str">
        <f t="shared" si="59"/>
        <v/>
      </c>
      <c r="S838" s="317" t="str">
        <f t="shared" si="60"/>
        <v/>
      </c>
      <c r="T838" s="317" t="str">
        <f>GLOBAL_DER_FEV_2023!S838</f>
        <v/>
      </c>
      <c r="W838" s="582">
        <v>0</v>
      </c>
      <c r="X838" s="580"/>
      <c r="Y838" s="583">
        <f>IF(GLOBAL_DER_FEV_2023!W838=0,0,IF(GLOBAL_DER_FEV_2023!W838&gt;0,"c","b"))</f>
        <v>0</v>
      </c>
    </row>
    <row r="839" spans="1:25" ht="13.5" hidden="1" thickBot="1" x14ac:dyDescent="0.25">
      <c r="A839" s="640" t="s">
        <v>165</v>
      </c>
      <c r="B839" s="1036" t="str">
        <f>GLOBAL_DER_FEV_2023!B839</f>
        <v/>
      </c>
      <c r="C839" s="1072" t="str">
        <f>GLOBAL_DER_FEV_2023!C839</f>
        <v/>
      </c>
      <c r="D839" s="1141">
        <f>GLOBAL_DER_FEV_2023!D839</f>
        <v>0</v>
      </c>
      <c r="E839" s="907">
        <f>GLOBAL_DER_FEV_2023!E839</f>
        <v>0</v>
      </c>
      <c r="F839" s="908">
        <f>GLOBAL_DER_FEV_2023!F839</f>
        <v>0</v>
      </c>
      <c r="G839" s="912">
        <f>GLOBAL_DER_FEV_2023!G839</f>
        <v>0</v>
      </c>
      <c r="H839" s="901">
        <f>GLOBAL_DER_FEV_2023!H839</f>
        <v>0</v>
      </c>
      <c r="I839" s="901">
        <f>GLOBAL_DER_FEV_2023!I839</f>
        <v>0</v>
      </c>
      <c r="J839" s="890">
        <f>GLOBAL_DER_FEV_2023!J839</f>
        <v>0</v>
      </c>
      <c r="K839" s="903" t="str">
        <f>GLOBAL_DER_FEV_2023!K839</f>
        <v xml:space="preserve">     </v>
      </c>
      <c r="L839" s="1137"/>
      <c r="M839" s="922">
        <f t="shared" si="57"/>
        <v>0</v>
      </c>
      <c r="N839" s="1167">
        <f t="shared" si="61"/>
        <v>0</v>
      </c>
      <c r="O839" s="1165"/>
      <c r="Q839" s="317" t="str">
        <f t="shared" si="58"/>
        <v/>
      </c>
      <c r="R839" s="317" t="str">
        <f t="shared" si="59"/>
        <v/>
      </c>
      <c r="S839" s="317" t="str">
        <f t="shared" si="60"/>
        <v/>
      </c>
      <c r="T839" s="317" t="str">
        <f>GLOBAL_DER_FEV_2023!S839</f>
        <v/>
      </c>
      <c r="W839" s="582">
        <v>0</v>
      </c>
      <c r="X839" s="580"/>
      <c r="Y839" s="583">
        <f>IF(GLOBAL_DER_FEV_2023!W839=0,0,IF(GLOBAL_DER_FEV_2023!W839&gt;0,"c","b"))</f>
        <v>0</v>
      </c>
    </row>
    <row r="840" spans="1:25" ht="13.5" hidden="1" thickBot="1" x14ac:dyDescent="0.25">
      <c r="A840" s="640" t="s">
        <v>165</v>
      </c>
      <c r="B840" s="1036" t="str">
        <f>GLOBAL_DER_FEV_2023!B840</f>
        <v/>
      </c>
      <c r="C840" s="1072" t="str">
        <f>GLOBAL_DER_FEV_2023!C840</f>
        <v/>
      </c>
      <c r="D840" s="1141">
        <f>GLOBAL_DER_FEV_2023!D840</f>
        <v>0</v>
      </c>
      <c r="E840" s="907">
        <f>GLOBAL_DER_FEV_2023!E840</f>
        <v>0</v>
      </c>
      <c r="F840" s="908">
        <f>GLOBAL_DER_FEV_2023!F840</f>
        <v>0</v>
      </c>
      <c r="G840" s="912">
        <f>GLOBAL_DER_FEV_2023!G840</f>
        <v>0</v>
      </c>
      <c r="H840" s="901">
        <f>GLOBAL_DER_FEV_2023!H840</f>
        <v>0</v>
      </c>
      <c r="I840" s="901">
        <f>GLOBAL_DER_FEV_2023!I840</f>
        <v>0</v>
      </c>
      <c r="J840" s="890">
        <f>GLOBAL_DER_FEV_2023!J840</f>
        <v>0</v>
      </c>
      <c r="K840" s="903" t="str">
        <f>GLOBAL_DER_FEV_2023!K840</f>
        <v xml:space="preserve">     </v>
      </c>
      <c r="L840" s="1137"/>
      <c r="M840" s="922">
        <f t="shared" si="57"/>
        <v>0</v>
      </c>
      <c r="N840" s="1167">
        <f t="shared" si="61"/>
        <v>0</v>
      </c>
      <c r="O840" s="1165"/>
      <c r="Q840" s="317" t="str">
        <f t="shared" si="58"/>
        <v/>
      </c>
      <c r="R840" s="317" t="str">
        <f t="shared" si="59"/>
        <v/>
      </c>
      <c r="S840" s="317" t="str">
        <f t="shared" si="60"/>
        <v/>
      </c>
      <c r="T840" s="317" t="str">
        <f>GLOBAL_DER_FEV_2023!S840</f>
        <v/>
      </c>
      <c r="W840" s="582">
        <v>0</v>
      </c>
      <c r="X840" s="580"/>
      <c r="Y840" s="583">
        <f>IF(GLOBAL_DER_FEV_2023!W840=0,0,IF(GLOBAL_DER_FEV_2023!W840&gt;0,"c","b"))</f>
        <v>0</v>
      </c>
    </row>
    <row r="841" spans="1:25" ht="13.5" hidden="1" thickBot="1" x14ac:dyDescent="0.25">
      <c r="A841" s="640" t="s">
        <v>165</v>
      </c>
      <c r="B841" s="1036" t="str">
        <f>GLOBAL_DER_FEV_2023!B841</f>
        <v/>
      </c>
      <c r="C841" s="1072" t="str">
        <f>GLOBAL_DER_FEV_2023!C841</f>
        <v/>
      </c>
      <c r="D841" s="1141">
        <f>GLOBAL_DER_FEV_2023!D841</f>
        <v>0</v>
      </c>
      <c r="E841" s="907">
        <f>GLOBAL_DER_FEV_2023!E841</f>
        <v>0</v>
      </c>
      <c r="F841" s="908">
        <f>GLOBAL_DER_FEV_2023!F841</f>
        <v>0</v>
      </c>
      <c r="G841" s="912">
        <f>GLOBAL_DER_FEV_2023!G841</f>
        <v>0</v>
      </c>
      <c r="H841" s="901">
        <f>GLOBAL_DER_FEV_2023!H841</f>
        <v>0</v>
      </c>
      <c r="I841" s="901">
        <f>GLOBAL_DER_FEV_2023!I841</f>
        <v>0</v>
      </c>
      <c r="J841" s="890">
        <f>GLOBAL_DER_FEV_2023!J841</f>
        <v>0</v>
      </c>
      <c r="K841" s="903" t="str">
        <f>GLOBAL_DER_FEV_2023!K841</f>
        <v xml:space="preserve">     </v>
      </c>
      <c r="L841" s="1137"/>
      <c r="M841" s="922">
        <f t="shared" si="57"/>
        <v>0</v>
      </c>
      <c r="N841" s="1167">
        <f t="shared" si="61"/>
        <v>0</v>
      </c>
      <c r="O841" s="1165"/>
      <c r="Q841" s="317" t="str">
        <f t="shared" si="58"/>
        <v/>
      </c>
      <c r="R841" s="317" t="str">
        <f t="shared" si="59"/>
        <v/>
      </c>
      <c r="S841" s="317" t="str">
        <f t="shared" si="60"/>
        <v/>
      </c>
      <c r="T841" s="317" t="str">
        <f>GLOBAL_DER_FEV_2023!S841</f>
        <v/>
      </c>
      <c r="W841" s="582">
        <v>0</v>
      </c>
      <c r="X841" s="580"/>
      <c r="Y841" s="583">
        <f>IF(GLOBAL_DER_FEV_2023!W841=0,0,IF(GLOBAL_DER_FEV_2023!W841&gt;0,"c","b"))</f>
        <v>0</v>
      </c>
    </row>
    <row r="842" spans="1:25" ht="13.5" hidden="1" thickBot="1" x14ac:dyDescent="0.25">
      <c r="A842" s="640" t="s">
        <v>165</v>
      </c>
      <c r="B842" s="1036" t="str">
        <f>GLOBAL_DER_FEV_2023!B842</f>
        <v/>
      </c>
      <c r="C842" s="1072" t="str">
        <f>GLOBAL_DER_FEV_2023!C842</f>
        <v/>
      </c>
      <c r="D842" s="1141">
        <f>GLOBAL_DER_FEV_2023!D842</f>
        <v>0</v>
      </c>
      <c r="E842" s="907">
        <f>GLOBAL_DER_FEV_2023!E842</f>
        <v>0</v>
      </c>
      <c r="F842" s="908">
        <f>GLOBAL_DER_FEV_2023!F842</f>
        <v>0</v>
      </c>
      <c r="G842" s="912">
        <f>GLOBAL_DER_FEV_2023!G842</f>
        <v>0</v>
      </c>
      <c r="H842" s="901">
        <f>GLOBAL_DER_FEV_2023!H842</f>
        <v>0</v>
      </c>
      <c r="I842" s="901">
        <f>GLOBAL_DER_FEV_2023!I842</f>
        <v>0</v>
      </c>
      <c r="J842" s="890">
        <f>GLOBAL_DER_FEV_2023!J842</f>
        <v>0</v>
      </c>
      <c r="K842" s="903" t="str">
        <f>GLOBAL_DER_FEV_2023!K842</f>
        <v xml:space="preserve">     </v>
      </c>
      <c r="L842" s="1137"/>
      <c r="M842" s="922">
        <f t="shared" si="57"/>
        <v>0</v>
      </c>
      <c r="N842" s="1167">
        <f t="shared" si="61"/>
        <v>0</v>
      </c>
      <c r="O842" s="1165"/>
      <c r="Q842" s="317" t="str">
        <f t="shared" si="58"/>
        <v/>
      </c>
      <c r="R842" s="317" t="str">
        <f t="shared" si="59"/>
        <v/>
      </c>
      <c r="S842" s="317" t="str">
        <f t="shared" si="60"/>
        <v/>
      </c>
      <c r="T842" s="317" t="str">
        <f>GLOBAL_DER_FEV_2023!S842</f>
        <v/>
      </c>
      <c r="W842" s="582">
        <v>0</v>
      </c>
      <c r="X842" s="580"/>
      <c r="Y842" s="583">
        <f>IF(GLOBAL_DER_FEV_2023!W842=0,0,IF(GLOBAL_DER_FEV_2023!W842&gt;0,"c","b"))</f>
        <v>0</v>
      </c>
    </row>
    <row r="843" spans="1:25" ht="13.5" hidden="1" thickBot="1" x14ac:dyDescent="0.25">
      <c r="A843" s="640" t="s">
        <v>165</v>
      </c>
      <c r="B843" s="1036" t="str">
        <f>GLOBAL_DER_FEV_2023!B843</f>
        <v/>
      </c>
      <c r="C843" s="1072" t="str">
        <f>GLOBAL_DER_FEV_2023!C843</f>
        <v/>
      </c>
      <c r="D843" s="1141">
        <f>GLOBAL_DER_FEV_2023!D843</f>
        <v>0</v>
      </c>
      <c r="E843" s="907">
        <f>GLOBAL_DER_FEV_2023!E843</f>
        <v>0</v>
      </c>
      <c r="F843" s="908">
        <f>GLOBAL_DER_FEV_2023!F843</f>
        <v>0</v>
      </c>
      <c r="G843" s="912">
        <f>GLOBAL_DER_FEV_2023!G843</f>
        <v>0</v>
      </c>
      <c r="H843" s="901">
        <f>GLOBAL_DER_FEV_2023!H843</f>
        <v>0</v>
      </c>
      <c r="I843" s="901">
        <f>GLOBAL_DER_FEV_2023!I843</f>
        <v>0</v>
      </c>
      <c r="J843" s="890">
        <f>GLOBAL_DER_FEV_2023!J843</f>
        <v>0</v>
      </c>
      <c r="K843" s="903" t="str">
        <f>GLOBAL_DER_FEV_2023!K843</f>
        <v xml:space="preserve">     </v>
      </c>
      <c r="L843" s="1137"/>
      <c r="M843" s="922">
        <f t="shared" si="57"/>
        <v>0</v>
      </c>
      <c r="N843" s="1167">
        <f t="shared" si="61"/>
        <v>0</v>
      </c>
      <c r="O843" s="1165"/>
      <c r="Q843" s="317" t="str">
        <f t="shared" si="58"/>
        <v/>
      </c>
      <c r="R843" s="317" t="str">
        <f t="shared" si="59"/>
        <v/>
      </c>
      <c r="S843" s="317" t="str">
        <f t="shared" si="60"/>
        <v/>
      </c>
      <c r="T843" s="317" t="str">
        <f>GLOBAL_DER_FEV_2023!S843</f>
        <v/>
      </c>
      <c r="W843" s="582">
        <v>0</v>
      </c>
      <c r="X843" s="580"/>
      <c r="Y843" s="583">
        <f>IF(GLOBAL_DER_FEV_2023!W843=0,0,IF(GLOBAL_DER_FEV_2023!W843&gt;0,"c","b"))</f>
        <v>0</v>
      </c>
    </row>
    <row r="844" spans="1:25" ht="13.5" hidden="1" thickBot="1" x14ac:dyDescent="0.25">
      <c r="A844" s="640" t="s">
        <v>165</v>
      </c>
      <c r="B844" s="1036" t="str">
        <f>GLOBAL_DER_FEV_2023!B844</f>
        <v/>
      </c>
      <c r="C844" s="1072" t="str">
        <f>GLOBAL_DER_FEV_2023!C844</f>
        <v/>
      </c>
      <c r="D844" s="1141">
        <f>GLOBAL_DER_FEV_2023!D844</f>
        <v>0</v>
      </c>
      <c r="E844" s="907">
        <f>GLOBAL_DER_FEV_2023!E844</f>
        <v>0</v>
      </c>
      <c r="F844" s="908">
        <f>GLOBAL_DER_FEV_2023!F844</f>
        <v>0</v>
      </c>
      <c r="G844" s="912">
        <f>GLOBAL_DER_FEV_2023!G844</f>
        <v>0</v>
      </c>
      <c r="H844" s="901">
        <f>GLOBAL_DER_FEV_2023!H844</f>
        <v>0</v>
      </c>
      <c r="I844" s="901">
        <f>GLOBAL_DER_FEV_2023!I844</f>
        <v>0</v>
      </c>
      <c r="J844" s="890">
        <f>GLOBAL_DER_FEV_2023!J844</f>
        <v>0</v>
      </c>
      <c r="K844" s="903" t="str">
        <f>GLOBAL_DER_FEV_2023!K844</f>
        <v xml:space="preserve">     </v>
      </c>
      <c r="L844" s="1137"/>
      <c r="M844" s="922">
        <f t="shared" si="57"/>
        <v>0</v>
      </c>
      <c r="N844" s="1167">
        <f t="shared" si="61"/>
        <v>0</v>
      </c>
      <c r="O844" s="1165"/>
      <c r="Q844" s="317" t="str">
        <f t="shared" si="58"/>
        <v/>
      </c>
      <c r="R844" s="317" t="str">
        <f t="shared" si="59"/>
        <v/>
      </c>
      <c r="S844" s="317" t="str">
        <f t="shared" si="60"/>
        <v/>
      </c>
      <c r="T844" s="317" t="str">
        <f>GLOBAL_DER_FEV_2023!S844</f>
        <v/>
      </c>
      <c r="W844" s="582">
        <v>0</v>
      </c>
      <c r="X844" s="580"/>
      <c r="Y844" s="583">
        <f>IF(GLOBAL_DER_FEV_2023!W844=0,0,IF(GLOBAL_DER_FEV_2023!W844&gt;0,"c","b"))</f>
        <v>0</v>
      </c>
    </row>
    <row r="845" spans="1:25" ht="13.5" hidden="1" thickBot="1" x14ac:dyDescent="0.25">
      <c r="A845" s="640" t="s">
        <v>165</v>
      </c>
      <c r="B845" s="1036" t="str">
        <f>GLOBAL_DER_FEV_2023!B845</f>
        <v/>
      </c>
      <c r="C845" s="1072" t="str">
        <f>GLOBAL_DER_FEV_2023!C845</f>
        <v/>
      </c>
      <c r="D845" s="1141">
        <f>GLOBAL_DER_FEV_2023!D845</f>
        <v>0</v>
      </c>
      <c r="E845" s="907">
        <f>GLOBAL_DER_FEV_2023!E845</f>
        <v>0</v>
      </c>
      <c r="F845" s="908">
        <f>GLOBAL_DER_FEV_2023!F845</f>
        <v>0</v>
      </c>
      <c r="G845" s="912">
        <f>GLOBAL_DER_FEV_2023!G845</f>
        <v>0</v>
      </c>
      <c r="H845" s="901">
        <f>GLOBAL_DER_FEV_2023!H845</f>
        <v>0</v>
      </c>
      <c r="I845" s="901">
        <f>GLOBAL_DER_FEV_2023!I845</f>
        <v>0</v>
      </c>
      <c r="J845" s="890">
        <f>GLOBAL_DER_FEV_2023!J845</f>
        <v>0</v>
      </c>
      <c r="K845" s="903" t="str">
        <f>GLOBAL_DER_FEV_2023!K845</f>
        <v xml:space="preserve">     </v>
      </c>
      <c r="L845" s="1137"/>
      <c r="M845" s="922">
        <f t="shared" si="57"/>
        <v>0</v>
      </c>
      <c r="N845" s="1167">
        <f t="shared" si="61"/>
        <v>0</v>
      </c>
      <c r="O845" s="1165"/>
      <c r="Q845" s="317" t="str">
        <f t="shared" si="58"/>
        <v/>
      </c>
      <c r="R845" s="317" t="str">
        <f t="shared" si="59"/>
        <v/>
      </c>
      <c r="S845" s="317" t="str">
        <f t="shared" si="60"/>
        <v/>
      </c>
      <c r="T845" s="317" t="str">
        <f>GLOBAL_DER_FEV_2023!S845</f>
        <v/>
      </c>
      <c r="W845" s="582">
        <v>0</v>
      </c>
      <c r="X845" s="580"/>
      <c r="Y845" s="583">
        <f>IF(GLOBAL_DER_FEV_2023!W845=0,0,IF(GLOBAL_DER_FEV_2023!W845&gt;0,"c","b"))</f>
        <v>0</v>
      </c>
    </row>
    <row r="846" spans="1:25" ht="13.5" hidden="1" thickBot="1" x14ac:dyDescent="0.25">
      <c r="A846" s="640" t="s">
        <v>165</v>
      </c>
      <c r="B846" s="1036" t="str">
        <f>GLOBAL_DER_FEV_2023!B846</f>
        <v/>
      </c>
      <c r="C846" s="1072" t="str">
        <f>GLOBAL_DER_FEV_2023!C846</f>
        <v/>
      </c>
      <c r="D846" s="1141">
        <f>GLOBAL_DER_FEV_2023!D846</f>
        <v>0</v>
      </c>
      <c r="E846" s="907">
        <f>GLOBAL_DER_FEV_2023!E846</f>
        <v>0</v>
      </c>
      <c r="F846" s="908">
        <f>GLOBAL_DER_FEV_2023!F846</f>
        <v>0</v>
      </c>
      <c r="G846" s="912">
        <f>GLOBAL_DER_FEV_2023!G846</f>
        <v>0</v>
      </c>
      <c r="H846" s="901">
        <f>GLOBAL_DER_FEV_2023!H846</f>
        <v>0</v>
      </c>
      <c r="I846" s="901">
        <f>GLOBAL_DER_FEV_2023!I846</f>
        <v>0</v>
      </c>
      <c r="J846" s="890">
        <f>GLOBAL_DER_FEV_2023!J846</f>
        <v>0</v>
      </c>
      <c r="K846" s="903" t="str">
        <f>GLOBAL_DER_FEV_2023!K846</f>
        <v xml:space="preserve">     </v>
      </c>
      <c r="L846" s="1137"/>
      <c r="M846" s="922">
        <f t="shared" si="57"/>
        <v>0</v>
      </c>
      <c r="N846" s="1167">
        <f t="shared" si="61"/>
        <v>0</v>
      </c>
      <c r="O846" s="1165"/>
      <c r="Q846" s="317" t="str">
        <f t="shared" si="58"/>
        <v/>
      </c>
      <c r="R846" s="317" t="str">
        <f t="shared" si="59"/>
        <v/>
      </c>
      <c r="S846" s="317" t="str">
        <f t="shared" si="60"/>
        <v/>
      </c>
      <c r="T846" s="317" t="str">
        <f>GLOBAL_DER_FEV_2023!S846</f>
        <v/>
      </c>
      <c r="W846" s="582">
        <v>0</v>
      </c>
      <c r="X846" s="580"/>
      <c r="Y846" s="583">
        <f>IF(GLOBAL_DER_FEV_2023!W846=0,0,IF(GLOBAL_DER_FEV_2023!W846&gt;0,"c","b"))</f>
        <v>0</v>
      </c>
    </row>
    <row r="847" spans="1:25" ht="13.5" hidden="1" thickBot="1" x14ac:dyDescent="0.25">
      <c r="A847" s="640" t="s">
        <v>165</v>
      </c>
      <c r="B847" s="1036" t="str">
        <f>GLOBAL_DER_FEV_2023!B847</f>
        <v/>
      </c>
      <c r="C847" s="1072" t="str">
        <f>GLOBAL_DER_FEV_2023!C847</f>
        <v/>
      </c>
      <c r="D847" s="1141">
        <f>GLOBAL_DER_FEV_2023!D847</f>
        <v>0</v>
      </c>
      <c r="E847" s="907">
        <f>GLOBAL_DER_FEV_2023!E847</f>
        <v>0</v>
      </c>
      <c r="F847" s="908">
        <f>GLOBAL_DER_FEV_2023!F847</f>
        <v>0</v>
      </c>
      <c r="G847" s="912">
        <f>GLOBAL_DER_FEV_2023!G847</f>
        <v>0</v>
      </c>
      <c r="H847" s="901">
        <f>GLOBAL_DER_FEV_2023!H847</f>
        <v>0</v>
      </c>
      <c r="I847" s="901">
        <f>GLOBAL_DER_FEV_2023!I847</f>
        <v>0</v>
      </c>
      <c r="J847" s="890">
        <f>GLOBAL_DER_FEV_2023!J847</f>
        <v>0</v>
      </c>
      <c r="K847" s="903" t="str">
        <f>GLOBAL_DER_FEV_2023!K847</f>
        <v xml:space="preserve">     </v>
      </c>
      <c r="L847" s="1137"/>
      <c r="M847" s="922">
        <f t="shared" si="57"/>
        <v>0</v>
      </c>
      <c r="N847" s="1167">
        <f t="shared" si="61"/>
        <v>0</v>
      </c>
      <c r="O847" s="1165"/>
      <c r="Q847" s="317" t="str">
        <f t="shared" si="58"/>
        <v/>
      </c>
      <c r="R847" s="317" t="str">
        <f t="shared" si="59"/>
        <v/>
      </c>
      <c r="S847" s="317" t="str">
        <f t="shared" si="60"/>
        <v/>
      </c>
      <c r="T847" s="317" t="str">
        <f>GLOBAL_DER_FEV_2023!S847</f>
        <v/>
      </c>
      <c r="W847" s="582">
        <v>0</v>
      </c>
      <c r="X847" s="580"/>
      <c r="Y847" s="583">
        <f>IF(GLOBAL_DER_FEV_2023!W847=0,0,IF(GLOBAL_DER_FEV_2023!W847&gt;0,"c","b"))</f>
        <v>0</v>
      </c>
    </row>
    <row r="848" spans="1:25" ht="13.5" hidden="1" thickBot="1" x14ac:dyDescent="0.25">
      <c r="A848" s="640" t="s">
        <v>165</v>
      </c>
      <c r="B848" s="1036" t="str">
        <f>GLOBAL_DER_FEV_2023!B848</f>
        <v/>
      </c>
      <c r="C848" s="1072" t="str">
        <f>GLOBAL_DER_FEV_2023!C848</f>
        <v/>
      </c>
      <c r="D848" s="1141">
        <f>GLOBAL_DER_FEV_2023!D848</f>
        <v>0</v>
      </c>
      <c r="E848" s="907">
        <f>GLOBAL_DER_FEV_2023!E848</f>
        <v>0</v>
      </c>
      <c r="F848" s="908">
        <f>GLOBAL_DER_FEV_2023!F848</f>
        <v>0</v>
      </c>
      <c r="G848" s="912">
        <f>GLOBAL_DER_FEV_2023!G848</f>
        <v>0</v>
      </c>
      <c r="H848" s="901">
        <f>GLOBAL_DER_FEV_2023!H848</f>
        <v>0</v>
      </c>
      <c r="I848" s="901">
        <f>GLOBAL_DER_FEV_2023!I848</f>
        <v>0</v>
      </c>
      <c r="J848" s="890">
        <f>GLOBAL_DER_FEV_2023!J848</f>
        <v>0</v>
      </c>
      <c r="K848" s="903" t="str">
        <f>GLOBAL_DER_FEV_2023!K848</f>
        <v xml:space="preserve">     </v>
      </c>
      <c r="L848" s="1137"/>
      <c r="M848" s="922">
        <f t="shared" si="57"/>
        <v>0</v>
      </c>
      <c r="N848" s="1167">
        <f t="shared" si="61"/>
        <v>0</v>
      </c>
      <c r="O848" s="1165"/>
      <c r="Q848" s="317" t="str">
        <f t="shared" si="58"/>
        <v/>
      </c>
      <c r="R848" s="317" t="str">
        <f t="shared" si="59"/>
        <v/>
      </c>
      <c r="S848" s="317" t="str">
        <f t="shared" si="60"/>
        <v/>
      </c>
      <c r="T848" s="317" t="str">
        <f>GLOBAL_DER_FEV_2023!S848</f>
        <v/>
      </c>
      <c r="W848" s="582">
        <v>0</v>
      </c>
      <c r="X848" s="580"/>
      <c r="Y848" s="583">
        <f>IF(GLOBAL_DER_FEV_2023!W848=0,0,IF(GLOBAL_DER_FEV_2023!W848&gt;0,"c","b"))</f>
        <v>0</v>
      </c>
    </row>
    <row r="849" spans="1:25" ht="13.5" hidden="1" thickBot="1" x14ac:dyDescent="0.25">
      <c r="A849" s="640" t="s">
        <v>165</v>
      </c>
      <c r="B849" s="1036" t="str">
        <f>GLOBAL_DER_FEV_2023!B849</f>
        <v/>
      </c>
      <c r="C849" s="1072" t="str">
        <f>GLOBAL_DER_FEV_2023!C849</f>
        <v/>
      </c>
      <c r="D849" s="1141">
        <f>GLOBAL_DER_FEV_2023!D849</f>
        <v>0</v>
      </c>
      <c r="E849" s="907">
        <f>GLOBAL_DER_FEV_2023!E849</f>
        <v>0</v>
      </c>
      <c r="F849" s="908">
        <f>GLOBAL_DER_FEV_2023!F849</f>
        <v>0</v>
      </c>
      <c r="G849" s="912">
        <f>GLOBAL_DER_FEV_2023!G849</f>
        <v>0</v>
      </c>
      <c r="H849" s="901">
        <f>GLOBAL_DER_FEV_2023!H849</f>
        <v>0</v>
      </c>
      <c r="I849" s="901">
        <f>GLOBAL_DER_FEV_2023!I849</f>
        <v>0</v>
      </c>
      <c r="J849" s="890">
        <f>GLOBAL_DER_FEV_2023!J849</f>
        <v>0</v>
      </c>
      <c r="K849" s="903" t="str">
        <f>GLOBAL_DER_FEV_2023!K849</f>
        <v xml:space="preserve">     </v>
      </c>
      <c r="L849" s="1137"/>
      <c r="M849" s="922">
        <f t="shared" si="57"/>
        <v>0</v>
      </c>
      <c r="N849" s="1167">
        <f t="shared" si="61"/>
        <v>0</v>
      </c>
      <c r="O849" s="1165"/>
      <c r="Q849" s="317" t="str">
        <f t="shared" si="58"/>
        <v/>
      </c>
      <c r="R849" s="317" t="str">
        <f t="shared" si="59"/>
        <v/>
      </c>
      <c r="S849" s="317" t="str">
        <f t="shared" si="60"/>
        <v/>
      </c>
      <c r="T849" s="317" t="str">
        <f>GLOBAL_DER_FEV_2023!S849</f>
        <v/>
      </c>
      <c r="W849" s="582">
        <v>0</v>
      </c>
      <c r="X849" s="580"/>
      <c r="Y849" s="583">
        <f>IF(GLOBAL_DER_FEV_2023!W849=0,0,IF(GLOBAL_DER_FEV_2023!W849&gt;0,"c","b"))</f>
        <v>0</v>
      </c>
    </row>
    <row r="850" spans="1:25" ht="13.5" hidden="1" thickBot="1" x14ac:dyDescent="0.25">
      <c r="A850" s="640" t="s">
        <v>165</v>
      </c>
      <c r="B850" s="1036" t="str">
        <f>GLOBAL_DER_FEV_2023!B850</f>
        <v/>
      </c>
      <c r="C850" s="1072" t="str">
        <f>GLOBAL_DER_FEV_2023!C850</f>
        <v/>
      </c>
      <c r="D850" s="1141">
        <f>GLOBAL_DER_FEV_2023!D850</f>
        <v>0</v>
      </c>
      <c r="E850" s="907">
        <f>GLOBAL_DER_FEV_2023!E850</f>
        <v>0</v>
      </c>
      <c r="F850" s="908">
        <f>GLOBAL_DER_FEV_2023!F850</f>
        <v>0</v>
      </c>
      <c r="G850" s="912">
        <f>GLOBAL_DER_FEV_2023!G850</f>
        <v>0</v>
      </c>
      <c r="H850" s="901">
        <f>GLOBAL_DER_FEV_2023!H850</f>
        <v>0</v>
      </c>
      <c r="I850" s="901">
        <f>GLOBAL_DER_FEV_2023!I850</f>
        <v>0</v>
      </c>
      <c r="J850" s="890">
        <f>GLOBAL_DER_FEV_2023!J850</f>
        <v>0</v>
      </c>
      <c r="K850" s="903" t="str">
        <f>GLOBAL_DER_FEV_2023!K850</f>
        <v xml:space="preserve">     </v>
      </c>
      <c r="L850" s="1137"/>
      <c r="M850" s="922">
        <f t="shared" si="57"/>
        <v>0</v>
      </c>
      <c r="N850" s="1167">
        <f t="shared" si="61"/>
        <v>0</v>
      </c>
      <c r="O850" s="1165"/>
      <c r="Q850" s="317" t="str">
        <f t="shared" si="58"/>
        <v/>
      </c>
      <c r="R850" s="317" t="str">
        <f t="shared" si="59"/>
        <v/>
      </c>
      <c r="S850" s="317" t="str">
        <f t="shared" si="60"/>
        <v/>
      </c>
      <c r="T850" s="317" t="str">
        <f>GLOBAL_DER_FEV_2023!S850</f>
        <v/>
      </c>
      <c r="W850" s="582">
        <v>0</v>
      </c>
      <c r="X850" s="580"/>
      <c r="Y850" s="583">
        <f>IF(GLOBAL_DER_FEV_2023!W850=0,0,IF(GLOBAL_DER_FEV_2023!W850&gt;0,"c","b"))</f>
        <v>0</v>
      </c>
    </row>
    <row r="851" spans="1:25" ht="13.5" hidden="1" thickBot="1" x14ac:dyDescent="0.25">
      <c r="A851" s="640" t="s">
        <v>165</v>
      </c>
      <c r="B851" s="1036" t="str">
        <f>GLOBAL_DER_FEV_2023!B851</f>
        <v/>
      </c>
      <c r="C851" s="1072" t="str">
        <f>GLOBAL_DER_FEV_2023!C851</f>
        <v/>
      </c>
      <c r="D851" s="1141">
        <f>GLOBAL_DER_FEV_2023!D851</f>
        <v>0</v>
      </c>
      <c r="E851" s="907">
        <f>GLOBAL_DER_FEV_2023!E851</f>
        <v>0</v>
      </c>
      <c r="F851" s="908">
        <f>GLOBAL_DER_FEV_2023!F851</f>
        <v>0</v>
      </c>
      <c r="G851" s="912">
        <f>GLOBAL_DER_FEV_2023!G851</f>
        <v>0</v>
      </c>
      <c r="H851" s="901">
        <f>GLOBAL_DER_FEV_2023!H851</f>
        <v>0</v>
      </c>
      <c r="I851" s="901">
        <f>GLOBAL_DER_FEV_2023!I851</f>
        <v>0</v>
      </c>
      <c r="J851" s="890">
        <f>GLOBAL_DER_FEV_2023!J851</f>
        <v>0</v>
      </c>
      <c r="K851" s="903" t="str">
        <f>GLOBAL_DER_FEV_2023!K851</f>
        <v xml:space="preserve">     </v>
      </c>
      <c r="L851" s="1137"/>
      <c r="M851" s="922">
        <f t="shared" si="57"/>
        <v>0</v>
      </c>
      <c r="N851" s="1167">
        <f t="shared" si="61"/>
        <v>0</v>
      </c>
      <c r="O851" s="1165"/>
      <c r="Q851" s="317" t="str">
        <f t="shared" si="58"/>
        <v/>
      </c>
      <c r="R851" s="317" t="str">
        <f t="shared" si="59"/>
        <v/>
      </c>
      <c r="S851" s="317" t="str">
        <f t="shared" si="60"/>
        <v/>
      </c>
      <c r="T851" s="317" t="str">
        <f>GLOBAL_DER_FEV_2023!S851</f>
        <v/>
      </c>
      <c r="W851" s="582">
        <v>0</v>
      </c>
      <c r="X851" s="580"/>
      <c r="Y851" s="583">
        <f>IF(GLOBAL_DER_FEV_2023!W851=0,0,IF(GLOBAL_DER_FEV_2023!W851&gt;0,"c","b"))</f>
        <v>0</v>
      </c>
    </row>
    <row r="852" spans="1:25" ht="13.5" hidden="1" thickBot="1" x14ac:dyDescent="0.25">
      <c r="A852" s="640" t="s">
        <v>165</v>
      </c>
      <c r="B852" s="1036" t="str">
        <f>GLOBAL_DER_FEV_2023!B852</f>
        <v/>
      </c>
      <c r="C852" s="1072" t="str">
        <f>GLOBAL_DER_FEV_2023!C852</f>
        <v/>
      </c>
      <c r="D852" s="1141">
        <f>GLOBAL_DER_FEV_2023!D852</f>
        <v>0</v>
      </c>
      <c r="E852" s="907">
        <f>GLOBAL_DER_FEV_2023!E852</f>
        <v>0</v>
      </c>
      <c r="F852" s="908">
        <f>GLOBAL_DER_FEV_2023!F852</f>
        <v>0</v>
      </c>
      <c r="G852" s="912">
        <f>GLOBAL_DER_FEV_2023!G852</f>
        <v>0</v>
      </c>
      <c r="H852" s="901">
        <f>GLOBAL_DER_FEV_2023!H852</f>
        <v>0</v>
      </c>
      <c r="I852" s="901">
        <f>GLOBAL_DER_FEV_2023!I852</f>
        <v>0</v>
      </c>
      <c r="J852" s="890">
        <f>GLOBAL_DER_FEV_2023!J852</f>
        <v>0</v>
      </c>
      <c r="K852" s="903" t="str">
        <f>GLOBAL_DER_FEV_2023!K852</f>
        <v xml:space="preserve">     </v>
      </c>
      <c r="L852" s="1137"/>
      <c r="M852" s="922">
        <f t="shared" si="57"/>
        <v>0</v>
      </c>
      <c r="N852" s="1167">
        <f t="shared" si="61"/>
        <v>0</v>
      </c>
      <c r="O852" s="1165"/>
      <c r="Q852" s="317" t="str">
        <f t="shared" si="58"/>
        <v/>
      </c>
      <c r="R852" s="317" t="str">
        <f t="shared" si="59"/>
        <v/>
      </c>
      <c r="S852" s="317" t="str">
        <f t="shared" si="60"/>
        <v/>
      </c>
      <c r="T852" s="317" t="str">
        <f>GLOBAL_DER_FEV_2023!S852</f>
        <v/>
      </c>
      <c r="W852" s="582">
        <v>0</v>
      </c>
      <c r="X852" s="580"/>
      <c r="Y852" s="583">
        <f>IF(GLOBAL_DER_FEV_2023!W852=0,0,IF(GLOBAL_DER_FEV_2023!W852&gt;0,"c","b"))</f>
        <v>0</v>
      </c>
    </row>
    <row r="853" spans="1:25" ht="13.5" thickBot="1" x14ac:dyDescent="0.25">
      <c r="A853" s="317" t="s">
        <v>417</v>
      </c>
      <c r="B853" s="950" t="s">
        <v>417</v>
      </c>
      <c r="C853" s="951"/>
      <c r="D853" s="952" t="s">
        <v>436</v>
      </c>
      <c r="E853" s="943">
        <f>GLOBAL_DER_FEV_2023!E853</f>
        <v>0</v>
      </c>
      <c r="F853" s="876"/>
      <c r="G853" s="944"/>
      <c r="H853" s="945">
        <f>GLOBAL_DER_FEV_2023!H853</f>
        <v>0</v>
      </c>
      <c r="I853" s="945">
        <f>GLOBAL_DER_FEV_2023!I853</f>
        <v>0</v>
      </c>
      <c r="J853" s="945">
        <f>GLOBAL_DER_FEV_2023!J853</f>
        <v>0</v>
      </c>
      <c r="K853" s="878" t="s">
        <v>507</v>
      </c>
      <c r="L853" s="879"/>
      <c r="M853" s="880"/>
      <c r="N853" s="881">
        <f t="shared" si="61"/>
        <v>0</v>
      </c>
      <c r="O853" s="882">
        <f>SUM(N854:N912)</f>
        <v>9113.56</v>
      </c>
      <c r="P853" s="58" t="str">
        <f>IF(OR(O853&gt;0,O853&gt;0),"X","")</f>
        <v>X</v>
      </c>
      <c r="Q853" s="317" t="str">
        <f t="shared" si="58"/>
        <v>x</v>
      </c>
      <c r="R853" s="317" t="str">
        <f t="shared" si="59"/>
        <v>x</v>
      </c>
      <c r="S853" s="317" t="str">
        <f t="shared" si="60"/>
        <v>x</v>
      </c>
      <c r="T853" s="317" t="str">
        <f>GLOBAL_DER_FEV_2023!S853</f>
        <v>x</v>
      </c>
      <c r="W853" s="582">
        <v>0</v>
      </c>
      <c r="X853" s="580"/>
      <c r="Y853" s="583">
        <f>IF(GLOBAL_DER_FEV_2023!W853=0,0,IF(GLOBAL_DER_FEV_2023!W853&gt;0,"c","b"))</f>
        <v>0</v>
      </c>
    </row>
    <row r="854" spans="1:25" hidden="1" x14ac:dyDescent="0.2">
      <c r="A854" s="317">
        <v>813000</v>
      </c>
      <c r="B854" s="895">
        <v>813000</v>
      </c>
      <c r="C854" s="896" t="s">
        <v>184</v>
      </c>
      <c r="D854" s="906" t="s">
        <v>533</v>
      </c>
      <c r="E854" s="907">
        <f>GLOBAL_DER_FEV_2023!E854</f>
        <v>0</v>
      </c>
      <c r="F854" s="908">
        <f>GLOBAL_DER_FEV_2023!F854</f>
        <v>0</v>
      </c>
      <c r="G854" s="912">
        <f>GLOBAL_DER_FEV_2023!G854</f>
        <v>16.704728600000003</v>
      </c>
      <c r="H854" s="901">
        <f>GLOBAL_DER_FEV_2023!H854</f>
        <v>102.37</v>
      </c>
      <c r="I854" s="901">
        <f>GLOBAL_DER_FEV_2023!I854</f>
        <v>119.07472860000001</v>
      </c>
      <c r="J854" s="902">
        <f>GLOBAL_DER_FEV_2023!J854</f>
        <v>142.97</v>
      </c>
      <c r="K854" s="903" t="s">
        <v>13</v>
      </c>
      <c r="L854" s="1137"/>
      <c r="M854" s="1138">
        <f t="shared" ref="M854:M912" si="62">IF(L854=0,0,ROUND(J854,2))</f>
        <v>0</v>
      </c>
      <c r="N854" s="893">
        <f t="shared" si="61"/>
        <v>0</v>
      </c>
      <c r="O854" s="905"/>
      <c r="Q854" s="317" t="str">
        <f t="shared" si="58"/>
        <v/>
      </c>
      <c r="R854" s="317" t="str">
        <f t="shared" si="59"/>
        <v/>
      </c>
      <c r="S854" s="317" t="str">
        <f t="shared" si="60"/>
        <v/>
      </c>
      <c r="T854" s="317" t="str">
        <f>GLOBAL_DER_FEV_2023!S854</f>
        <v/>
      </c>
      <c r="W854" s="582">
        <v>0</v>
      </c>
      <c r="X854" s="580"/>
      <c r="Y854" s="583">
        <f>IF(GLOBAL_DER_FEV_2023!W854=0,0,IF(GLOBAL_DER_FEV_2023!W854&gt;0,"c","b"))</f>
        <v>0</v>
      </c>
    </row>
    <row r="855" spans="1:25" hidden="1" x14ac:dyDescent="0.2">
      <c r="A855" s="317" t="s">
        <v>147</v>
      </c>
      <c r="B855" s="895" t="s">
        <v>147</v>
      </c>
      <c r="C855" s="896"/>
      <c r="D855" s="957" t="s">
        <v>190</v>
      </c>
      <c r="E855" s="907">
        <f>GLOBAL_DER_FEV_2023!E855</f>
        <v>308</v>
      </c>
      <c r="F855" s="908">
        <f>GLOBAL_DER_FEV_2023!F855</f>
        <v>1.7600000000000001E-2</v>
      </c>
      <c r="G855" s="909">
        <f>GLOBAL_DER_FEV_2023!G855</f>
        <v>4.365856</v>
      </c>
      <c r="H855" s="901">
        <f>GLOBAL_DER_FEV_2023!H855</f>
        <v>0</v>
      </c>
      <c r="I855" s="901">
        <f>GLOBAL_DER_FEV_2023!I855</f>
        <v>0</v>
      </c>
      <c r="J855" s="902">
        <f>GLOBAL_DER_FEV_2023!J855</f>
        <v>0</v>
      </c>
      <c r="K855" s="958" t="s">
        <v>507</v>
      </c>
      <c r="L855" s="959"/>
      <c r="M855" s="1157">
        <f t="shared" si="62"/>
        <v>0</v>
      </c>
      <c r="N855" s="893">
        <f t="shared" si="61"/>
        <v>0</v>
      </c>
      <c r="O855" s="905"/>
      <c r="P855" s="58" t="str">
        <f>IF(N854&gt;0,"xx",IF(N854&gt;0,"xy",""))</f>
        <v/>
      </c>
      <c r="Q855" s="317" t="str">
        <f t="shared" si="58"/>
        <v/>
      </c>
      <c r="R855" s="317" t="str">
        <f t="shared" si="59"/>
        <v/>
      </c>
      <c r="S855" s="317" t="str">
        <f t="shared" si="60"/>
        <v/>
      </c>
      <c r="T855" s="317" t="str">
        <f>GLOBAL_DER_FEV_2023!S855</f>
        <v/>
      </c>
      <c r="W855" s="582">
        <v>0</v>
      </c>
      <c r="X855" s="580"/>
      <c r="Y855" s="583">
        <f>IF(GLOBAL_DER_FEV_2023!W855=0,0,IF(GLOBAL_DER_FEV_2023!W855&gt;0,"c","b"))</f>
        <v>0</v>
      </c>
    </row>
    <row r="856" spans="1:25" hidden="1" x14ac:dyDescent="0.2">
      <c r="A856" s="317" t="s">
        <v>147</v>
      </c>
      <c r="B856" s="895" t="s">
        <v>147</v>
      </c>
      <c r="C856" s="896"/>
      <c r="D856" s="957" t="s">
        <v>229</v>
      </c>
      <c r="E856" s="907">
        <f>GLOBAL_DER_FEV_2023!E856</f>
        <v>150</v>
      </c>
      <c r="F856" s="908">
        <f>GLOBAL_DER_FEV_2023!F856</f>
        <v>7.3400000000000007E-2</v>
      </c>
      <c r="G856" s="949">
        <f>GLOBAL_DER_FEV_2023!G856</f>
        <v>11.977412000000001</v>
      </c>
      <c r="H856" s="901">
        <f>GLOBAL_DER_FEV_2023!H856</f>
        <v>0</v>
      </c>
      <c r="I856" s="901">
        <f>GLOBAL_DER_FEV_2023!I856</f>
        <v>0</v>
      </c>
      <c r="J856" s="902">
        <f>GLOBAL_DER_FEV_2023!J856</f>
        <v>0</v>
      </c>
      <c r="K856" s="958" t="s">
        <v>507</v>
      </c>
      <c r="L856" s="959"/>
      <c r="M856" s="1157">
        <f t="shared" si="62"/>
        <v>0</v>
      </c>
      <c r="N856" s="893">
        <f t="shared" si="61"/>
        <v>0</v>
      </c>
      <c r="O856" s="905"/>
      <c r="P856" s="58" t="str">
        <f>IF(N854&gt;0,"xx",IF(N854&gt;0,"xy",""))</f>
        <v/>
      </c>
      <c r="Q856" s="317" t="str">
        <f t="shared" si="58"/>
        <v/>
      </c>
      <c r="R856" s="317" t="str">
        <f t="shared" si="59"/>
        <v/>
      </c>
      <c r="S856" s="317" t="str">
        <f t="shared" si="60"/>
        <v/>
      </c>
      <c r="T856" s="317" t="str">
        <f>GLOBAL_DER_FEV_2023!S856</f>
        <v/>
      </c>
      <c r="W856" s="582">
        <v>0</v>
      </c>
      <c r="X856" s="580"/>
      <c r="Y856" s="583">
        <f>IF(GLOBAL_DER_FEV_2023!W856=0,0,IF(GLOBAL_DER_FEV_2023!W856&gt;0,"c","b"))</f>
        <v>0</v>
      </c>
    </row>
    <row r="857" spans="1:25" hidden="1" x14ac:dyDescent="0.2">
      <c r="A857" s="317" t="s">
        <v>147</v>
      </c>
      <c r="B857" s="895" t="s">
        <v>147</v>
      </c>
      <c r="C857" s="896"/>
      <c r="D857" s="957" t="s">
        <v>233</v>
      </c>
      <c r="E857" s="907">
        <f>GLOBAL_DER_FEV_2023!E857</f>
        <v>0.2</v>
      </c>
      <c r="F857" s="908">
        <f>GLOBAL_DER_FEV_2023!F857</f>
        <v>0.1249</v>
      </c>
      <c r="G857" s="949">
        <f>GLOBAL_DER_FEV_2023!G857</f>
        <v>0.36146060000000002</v>
      </c>
      <c r="H857" s="901">
        <f>GLOBAL_DER_FEV_2023!H857</f>
        <v>0</v>
      </c>
      <c r="I857" s="901">
        <f>GLOBAL_DER_FEV_2023!I857</f>
        <v>0</v>
      </c>
      <c r="J857" s="902">
        <f>GLOBAL_DER_FEV_2023!J857</f>
        <v>0</v>
      </c>
      <c r="K857" s="958" t="s">
        <v>507</v>
      </c>
      <c r="L857" s="959"/>
      <c r="M857" s="1157">
        <f t="shared" si="62"/>
        <v>0</v>
      </c>
      <c r="N857" s="893">
        <f t="shared" si="61"/>
        <v>0</v>
      </c>
      <c r="O857" s="905"/>
      <c r="P857" s="58" t="str">
        <f>IF(N854&gt;0,"xx",IF(N854&gt;0,"xy",""))</f>
        <v/>
      </c>
      <c r="Q857" s="317" t="str">
        <f t="shared" si="58"/>
        <v/>
      </c>
      <c r="R857" s="317" t="str">
        <f t="shared" si="59"/>
        <v/>
      </c>
      <c r="S857" s="317" t="str">
        <f t="shared" si="60"/>
        <v/>
      </c>
      <c r="T857" s="317" t="str">
        <f>GLOBAL_DER_FEV_2023!S857</f>
        <v/>
      </c>
      <c r="W857" s="582">
        <v>0</v>
      </c>
      <c r="X857" s="580"/>
      <c r="Y857" s="583">
        <f>IF(GLOBAL_DER_FEV_2023!W857=0,0,IF(GLOBAL_DER_FEV_2023!W857&gt;0,"c","b"))</f>
        <v>0</v>
      </c>
    </row>
    <row r="858" spans="1:25" hidden="1" x14ac:dyDescent="0.2">
      <c r="A858" s="317">
        <v>814000</v>
      </c>
      <c r="B858" s="895">
        <v>814000</v>
      </c>
      <c r="C858" s="896" t="s">
        <v>184</v>
      </c>
      <c r="D858" s="906" t="s">
        <v>534</v>
      </c>
      <c r="E858" s="907">
        <f>GLOBAL_DER_FEV_2023!E858</f>
        <v>0</v>
      </c>
      <c r="F858" s="908">
        <f>GLOBAL_DER_FEV_2023!F858</f>
        <v>0</v>
      </c>
      <c r="G858" s="912">
        <f>GLOBAL_DER_FEV_2023!G858</f>
        <v>16.704728600000003</v>
      </c>
      <c r="H858" s="901">
        <f>GLOBAL_DER_FEV_2023!H858</f>
        <v>101.06</v>
      </c>
      <c r="I858" s="901">
        <f>GLOBAL_DER_FEV_2023!I858</f>
        <v>117.76472860000001</v>
      </c>
      <c r="J858" s="902">
        <f>GLOBAL_DER_FEV_2023!J858</f>
        <v>141.4</v>
      </c>
      <c r="K858" s="903" t="s">
        <v>13</v>
      </c>
      <c r="L858" s="1137"/>
      <c r="M858" s="1138">
        <f t="shared" si="62"/>
        <v>0</v>
      </c>
      <c r="N858" s="893">
        <f t="shared" si="61"/>
        <v>0</v>
      </c>
      <c r="O858" s="905"/>
      <c r="Q858" s="317" t="str">
        <f t="shared" si="58"/>
        <v/>
      </c>
      <c r="R858" s="317" t="str">
        <f t="shared" si="59"/>
        <v/>
      </c>
      <c r="S858" s="317" t="str">
        <f t="shared" si="60"/>
        <v/>
      </c>
      <c r="T858" s="317" t="str">
        <f>GLOBAL_DER_FEV_2023!S858</f>
        <v/>
      </c>
      <c r="W858" s="582">
        <v>0</v>
      </c>
      <c r="X858" s="580"/>
      <c r="Y858" s="583">
        <f>IF(GLOBAL_DER_FEV_2023!W858=0,0,IF(GLOBAL_DER_FEV_2023!W858&gt;0,"c","b"))</f>
        <v>0</v>
      </c>
    </row>
    <row r="859" spans="1:25" hidden="1" x14ac:dyDescent="0.2">
      <c r="A859" s="317" t="s">
        <v>147</v>
      </c>
      <c r="B859" s="895" t="s">
        <v>147</v>
      </c>
      <c r="C859" s="896"/>
      <c r="D859" s="957" t="s">
        <v>190</v>
      </c>
      <c r="E859" s="907">
        <f>GLOBAL_DER_FEV_2023!E859</f>
        <v>308</v>
      </c>
      <c r="F859" s="908">
        <f>GLOBAL_DER_FEV_2023!F859</f>
        <v>1.7600000000000001E-2</v>
      </c>
      <c r="G859" s="909">
        <f>GLOBAL_DER_FEV_2023!G859</f>
        <v>4.365856</v>
      </c>
      <c r="H859" s="901">
        <f>GLOBAL_DER_FEV_2023!H859</f>
        <v>0</v>
      </c>
      <c r="I859" s="901">
        <f>GLOBAL_DER_FEV_2023!I859</f>
        <v>0</v>
      </c>
      <c r="J859" s="902">
        <f>GLOBAL_DER_FEV_2023!J859</f>
        <v>0</v>
      </c>
      <c r="K859" s="958" t="s">
        <v>507</v>
      </c>
      <c r="L859" s="959"/>
      <c r="M859" s="1157">
        <f t="shared" si="62"/>
        <v>0</v>
      </c>
      <c r="N859" s="893">
        <f t="shared" si="61"/>
        <v>0</v>
      </c>
      <c r="O859" s="905"/>
      <c r="P859" s="58" t="str">
        <f>IF(N858&gt;0,"xx",IF(N858&gt;0,"xy",""))</f>
        <v/>
      </c>
      <c r="Q859" s="317" t="str">
        <f t="shared" ref="Q859:Q922" si="63">IF(P859="X","x",IF(P859="xx","x",IF(P859="xy","x",IF(P859="y","x",IF(OR(N859&gt;0,N859&gt;0),"x","")))))</f>
        <v/>
      </c>
      <c r="R859" s="317" t="str">
        <f t="shared" si="59"/>
        <v/>
      </c>
      <c r="S859" s="317" t="str">
        <f t="shared" si="60"/>
        <v/>
      </c>
      <c r="T859" s="317" t="str">
        <f>GLOBAL_DER_FEV_2023!S859</f>
        <v/>
      </c>
      <c r="W859" s="582">
        <v>0</v>
      </c>
      <c r="X859" s="580"/>
      <c r="Y859" s="583">
        <f>IF(GLOBAL_DER_FEV_2023!W859=0,0,IF(GLOBAL_DER_FEV_2023!W859&gt;0,"c","b"))</f>
        <v>0</v>
      </c>
    </row>
    <row r="860" spans="1:25" hidden="1" x14ac:dyDescent="0.2">
      <c r="A860" s="317" t="s">
        <v>147</v>
      </c>
      <c r="B860" s="895" t="s">
        <v>147</v>
      </c>
      <c r="C860" s="896"/>
      <c r="D860" s="957" t="s">
        <v>229</v>
      </c>
      <c r="E860" s="907">
        <f>GLOBAL_DER_FEV_2023!E860</f>
        <v>150</v>
      </c>
      <c r="F860" s="908">
        <f>GLOBAL_DER_FEV_2023!F860</f>
        <v>7.3400000000000007E-2</v>
      </c>
      <c r="G860" s="949">
        <f>GLOBAL_DER_FEV_2023!G860</f>
        <v>11.977412000000001</v>
      </c>
      <c r="H860" s="901">
        <f>GLOBAL_DER_FEV_2023!H860</f>
        <v>0</v>
      </c>
      <c r="I860" s="901">
        <f>GLOBAL_DER_FEV_2023!I860</f>
        <v>0</v>
      </c>
      <c r="J860" s="902">
        <f>GLOBAL_DER_FEV_2023!J860</f>
        <v>0</v>
      </c>
      <c r="K860" s="958" t="s">
        <v>507</v>
      </c>
      <c r="L860" s="959"/>
      <c r="M860" s="1157">
        <f t="shared" si="62"/>
        <v>0</v>
      </c>
      <c r="N860" s="893">
        <f t="shared" si="61"/>
        <v>0</v>
      </c>
      <c r="O860" s="905"/>
      <c r="P860" s="58" t="str">
        <f>IF(N858&gt;0,"xx",IF(N858&gt;0,"xy",""))</f>
        <v/>
      </c>
      <c r="Q860" s="317" t="str">
        <f t="shared" si="63"/>
        <v/>
      </c>
      <c r="R860" s="317" t="str">
        <f t="shared" si="59"/>
        <v/>
      </c>
      <c r="S860" s="317" t="str">
        <f t="shared" si="60"/>
        <v/>
      </c>
      <c r="T860" s="317" t="str">
        <f>GLOBAL_DER_FEV_2023!S860</f>
        <v/>
      </c>
      <c r="W860" s="582">
        <v>0</v>
      </c>
      <c r="X860" s="580"/>
      <c r="Y860" s="583">
        <f>IF(GLOBAL_DER_FEV_2023!W860=0,0,IF(GLOBAL_DER_FEV_2023!W860&gt;0,"c","b"))</f>
        <v>0</v>
      </c>
    </row>
    <row r="861" spans="1:25" hidden="1" x14ac:dyDescent="0.2">
      <c r="A861" s="317" t="s">
        <v>147</v>
      </c>
      <c r="B861" s="895" t="s">
        <v>147</v>
      </c>
      <c r="C861" s="896"/>
      <c r="D861" s="957" t="s">
        <v>233</v>
      </c>
      <c r="E861" s="907">
        <f>GLOBAL_DER_FEV_2023!E861</f>
        <v>0.2</v>
      </c>
      <c r="F861" s="908">
        <f>GLOBAL_DER_FEV_2023!F861</f>
        <v>0.1249</v>
      </c>
      <c r="G861" s="949">
        <f>GLOBAL_DER_FEV_2023!G861</f>
        <v>0.36146060000000002</v>
      </c>
      <c r="H861" s="901">
        <f>GLOBAL_DER_FEV_2023!H861</f>
        <v>0</v>
      </c>
      <c r="I861" s="901">
        <f>GLOBAL_DER_FEV_2023!I861</f>
        <v>0</v>
      </c>
      <c r="J861" s="902">
        <f>GLOBAL_DER_FEV_2023!J861</f>
        <v>0</v>
      </c>
      <c r="K861" s="958" t="s">
        <v>507</v>
      </c>
      <c r="L861" s="959"/>
      <c r="M861" s="1157">
        <f t="shared" si="62"/>
        <v>0</v>
      </c>
      <c r="N861" s="893">
        <f t="shared" si="61"/>
        <v>0</v>
      </c>
      <c r="O861" s="905"/>
      <c r="P861" s="58" t="str">
        <f>IF(N858&gt;0,"xx",IF(N858&gt;0,"xy",""))</f>
        <v/>
      </c>
      <c r="Q861" s="317" t="str">
        <f t="shared" si="63"/>
        <v/>
      </c>
      <c r="R861" s="317" t="str">
        <f t="shared" ref="R861:R924" si="64">IF(P861="X","x",IF(P861="y","x",IF(P861="xx","x",IF(N861&gt;0,"x",""))))</f>
        <v/>
      </c>
      <c r="S861" s="317" t="str">
        <f t="shared" ref="S861:S924" si="65">IF(P861="X","x",IF(N861&gt;0,"x",""))</f>
        <v/>
      </c>
      <c r="T861" s="317" t="str">
        <f>GLOBAL_DER_FEV_2023!S861</f>
        <v/>
      </c>
      <c r="W861" s="582">
        <v>0</v>
      </c>
      <c r="X861" s="580"/>
      <c r="Y861" s="583">
        <f>IF(GLOBAL_DER_FEV_2023!W861=0,0,IF(GLOBAL_DER_FEV_2023!W861&gt;0,"c","b"))</f>
        <v>0</v>
      </c>
    </row>
    <row r="862" spans="1:25" hidden="1" x14ac:dyDescent="0.2">
      <c r="A862" s="317">
        <v>823000</v>
      </c>
      <c r="B862" s="895" t="s">
        <v>1788</v>
      </c>
      <c r="C862" s="896" t="s">
        <v>184</v>
      </c>
      <c r="D862" s="906" t="s">
        <v>267</v>
      </c>
      <c r="E862" s="907">
        <f>GLOBAL_DER_FEV_2023!E862</f>
        <v>0</v>
      </c>
      <c r="F862" s="908">
        <f>GLOBAL_DER_FEV_2023!F862</f>
        <v>0</v>
      </c>
      <c r="G862" s="912">
        <f>GLOBAL_DER_FEV_2023!G862</f>
        <v>0</v>
      </c>
      <c r="H862" s="901">
        <f>GLOBAL_DER_FEV_2023!H862</f>
        <v>490.71</v>
      </c>
      <c r="I862" s="901">
        <f>GLOBAL_DER_FEV_2023!I862</f>
        <v>490.71</v>
      </c>
      <c r="J862" s="902">
        <f>GLOBAL_DER_FEV_2023!J862</f>
        <v>589.20000000000005</v>
      </c>
      <c r="K862" s="903" t="s">
        <v>13</v>
      </c>
      <c r="L862" s="1137"/>
      <c r="M862" s="1138">
        <f t="shared" si="62"/>
        <v>0</v>
      </c>
      <c r="N862" s="893">
        <f t="shared" si="61"/>
        <v>0</v>
      </c>
      <c r="O862" s="905"/>
      <c r="Q862" s="317" t="str">
        <f t="shared" si="63"/>
        <v/>
      </c>
      <c r="R862" s="317" t="str">
        <f t="shared" si="64"/>
        <v/>
      </c>
      <c r="S862" s="317" t="str">
        <f t="shared" si="65"/>
        <v/>
      </c>
      <c r="T862" s="317" t="str">
        <f>GLOBAL_DER_FEV_2023!S862</f>
        <v/>
      </c>
      <c r="W862" s="582">
        <v>0</v>
      </c>
      <c r="X862" s="580"/>
      <c r="Y862" s="583">
        <f>IF(GLOBAL_DER_FEV_2023!W862=0,0,IF(GLOBAL_DER_FEV_2023!W862&gt;0,"c","b"))</f>
        <v>0</v>
      </c>
    </row>
    <row r="863" spans="1:25" hidden="1" x14ac:dyDescent="0.2">
      <c r="A863" s="317">
        <v>871000</v>
      </c>
      <c r="B863" s="895">
        <v>871000</v>
      </c>
      <c r="C863" s="896" t="s">
        <v>184</v>
      </c>
      <c r="D863" s="906" t="s">
        <v>462</v>
      </c>
      <c r="E863" s="907">
        <f>GLOBAL_DER_FEV_2023!E863</f>
        <v>0</v>
      </c>
      <c r="F863" s="908">
        <f>GLOBAL_DER_FEV_2023!F863</f>
        <v>0</v>
      </c>
      <c r="G863" s="912">
        <f>GLOBAL_DER_FEV_2023!G863</f>
        <v>0</v>
      </c>
      <c r="H863" s="901">
        <f>GLOBAL_DER_FEV_2023!H863</f>
        <v>18.28</v>
      </c>
      <c r="I863" s="901">
        <f>GLOBAL_DER_FEV_2023!I863</f>
        <v>18.28</v>
      </c>
      <c r="J863" s="902">
        <f>GLOBAL_DER_FEV_2023!J863</f>
        <v>21.95</v>
      </c>
      <c r="K863" s="903" t="s">
        <v>15</v>
      </c>
      <c r="L863" s="1137"/>
      <c r="M863" s="1138">
        <f t="shared" si="62"/>
        <v>0</v>
      </c>
      <c r="N863" s="893">
        <f t="shared" si="61"/>
        <v>0</v>
      </c>
      <c r="O863" s="905"/>
      <c r="Q863" s="317" t="str">
        <f t="shared" si="63"/>
        <v/>
      </c>
      <c r="R863" s="317" t="str">
        <f t="shared" si="64"/>
        <v/>
      </c>
      <c r="S863" s="317" t="str">
        <f t="shared" si="65"/>
        <v/>
      </c>
      <c r="T863" s="317" t="str">
        <f>GLOBAL_DER_FEV_2023!S863</f>
        <v/>
      </c>
      <c r="W863" s="582">
        <v>0</v>
      </c>
      <c r="X863" s="580"/>
      <c r="Y863" s="583">
        <f>IF(GLOBAL_DER_FEV_2023!W863=0,0,IF(GLOBAL_DER_FEV_2023!W863&gt;0,"c","b"))</f>
        <v>0</v>
      </c>
    </row>
    <row r="864" spans="1:25" hidden="1" x14ac:dyDescent="0.2">
      <c r="A864" s="317">
        <v>870000</v>
      </c>
      <c r="B864" s="895">
        <v>870000</v>
      </c>
      <c r="C864" s="896" t="s">
        <v>184</v>
      </c>
      <c r="D864" s="906" t="s">
        <v>463</v>
      </c>
      <c r="E864" s="907">
        <f>GLOBAL_DER_FEV_2023!E864</f>
        <v>0</v>
      </c>
      <c r="F864" s="908">
        <f>GLOBAL_DER_FEV_2023!F864</f>
        <v>0</v>
      </c>
      <c r="G864" s="912">
        <f>GLOBAL_DER_FEV_2023!G864</f>
        <v>0</v>
      </c>
      <c r="H864" s="901">
        <f>GLOBAL_DER_FEV_2023!H864</f>
        <v>17.63</v>
      </c>
      <c r="I864" s="901">
        <f>GLOBAL_DER_FEV_2023!I864</f>
        <v>17.63</v>
      </c>
      <c r="J864" s="902">
        <f>GLOBAL_DER_FEV_2023!J864</f>
        <v>21.17</v>
      </c>
      <c r="K864" s="903" t="s">
        <v>15</v>
      </c>
      <c r="L864" s="1137"/>
      <c r="M864" s="1138">
        <f t="shared" si="62"/>
        <v>0</v>
      </c>
      <c r="N864" s="893">
        <f t="shared" si="61"/>
        <v>0</v>
      </c>
      <c r="O864" s="905"/>
      <c r="Q864" s="317" t="str">
        <f t="shared" si="63"/>
        <v/>
      </c>
      <c r="R864" s="317" t="str">
        <f t="shared" si="64"/>
        <v/>
      </c>
      <c r="S864" s="317" t="str">
        <f t="shared" si="65"/>
        <v/>
      </c>
      <c r="T864" s="317" t="str">
        <f>GLOBAL_DER_FEV_2023!S864</f>
        <v/>
      </c>
      <c r="W864" s="582">
        <v>0</v>
      </c>
      <c r="X864" s="580"/>
      <c r="Y864" s="583">
        <f>IF(GLOBAL_DER_FEV_2023!W864=0,0,IF(GLOBAL_DER_FEV_2023!W864&gt;0,"c","b"))</f>
        <v>0</v>
      </c>
    </row>
    <row r="865" spans="1:25" hidden="1" x14ac:dyDescent="0.2">
      <c r="A865" s="317">
        <v>873000</v>
      </c>
      <c r="B865" s="895">
        <v>873000</v>
      </c>
      <c r="C865" s="896" t="s">
        <v>184</v>
      </c>
      <c r="D865" s="906" t="s">
        <v>464</v>
      </c>
      <c r="E865" s="907">
        <f>GLOBAL_DER_FEV_2023!E865</f>
        <v>0</v>
      </c>
      <c r="F865" s="908">
        <f>GLOBAL_DER_FEV_2023!F865</f>
        <v>0</v>
      </c>
      <c r="G865" s="912">
        <f>GLOBAL_DER_FEV_2023!G865</f>
        <v>0</v>
      </c>
      <c r="H865" s="901">
        <f>GLOBAL_DER_FEV_2023!H865</f>
        <v>31.82</v>
      </c>
      <c r="I865" s="901">
        <f>GLOBAL_DER_FEV_2023!I865</f>
        <v>31.82</v>
      </c>
      <c r="J865" s="902">
        <f>GLOBAL_DER_FEV_2023!J865</f>
        <v>38.21</v>
      </c>
      <c r="K865" s="903" t="s">
        <v>15</v>
      </c>
      <c r="L865" s="1137"/>
      <c r="M865" s="1138">
        <f t="shared" si="62"/>
        <v>0</v>
      </c>
      <c r="N865" s="893">
        <f t="shared" ref="N865:N928" si="66">IF(ISBLANK(L865),0,IF(W865=0,ROUND(L865*M865,2),IF(W865="b",ROUNDDOWN(L865*M865,2),ROUNDUP(L865*M865,2))))</f>
        <v>0</v>
      </c>
      <c r="O865" s="905"/>
      <c r="Q865" s="317" t="str">
        <f t="shared" si="63"/>
        <v/>
      </c>
      <c r="R865" s="317" t="str">
        <f t="shared" si="64"/>
        <v/>
      </c>
      <c r="S865" s="317" t="str">
        <f t="shared" si="65"/>
        <v/>
      </c>
      <c r="T865" s="317" t="str">
        <f>GLOBAL_DER_FEV_2023!S865</f>
        <v/>
      </c>
      <c r="W865" s="582">
        <v>0</v>
      </c>
      <c r="X865" s="580"/>
      <c r="Y865" s="583">
        <f>IF(GLOBAL_DER_FEV_2023!W865=0,0,IF(GLOBAL_DER_FEV_2023!W865&gt;0,"c","b"))</f>
        <v>0</v>
      </c>
    </row>
    <row r="866" spans="1:25" hidden="1" x14ac:dyDescent="0.2">
      <c r="A866" s="317">
        <v>872000</v>
      </c>
      <c r="B866" s="895">
        <v>872000</v>
      </c>
      <c r="C866" s="896" t="s">
        <v>184</v>
      </c>
      <c r="D866" s="906" t="s">
        <v>465</v>
      </c>
      <c r="E866" s="907">
        <f>GLOBAL_DER_FEV_2023!E866</f>
        <v>0</v>
      </c>
      <c r="F866" s="908">
        <f>GLOBAL_DER_FEV_2023!F866</f>
        <v>0</v>
      </c>
      <c r="G866" s="912">
        <f>GLOBAL_DER_FEV_2023!G866</f>
        <v>0</v>
      </c>
      <c r="H866" s="901">
        <f>GLOBAL_DER_FEV_2023!H866</f>
        <v>31.05</v>
      </c>
      <c r="I866" s="901">
        <f>GLOBAL_DER_FEV_2023!I866</f>
        <v>31.05</v>
      </c>
      <c r="J866" s="902">
        <f>GLOBAL_DER_FEV_2023!J866</f>
        <v>37.28</v>
      </c>
      <c r="K866" s="903" t="s">
        <v>15</v>
      </c>
      <c r="L866" s="1137"/>
      <c r="M866" s="1138">
        <f t="shared" si="62"/>
        <v>0</v>
      </c>
      <c r="N866" s="893">
        <f t="shared" si="66"/>
        <v>0</v>
      </c>
      <c r="O866" s="905"/>
      <c r="Q866" s="317" t="str">
        <f t="shared" si="63"/>
        <v/>
      </c>
      <c r="R866" s="317" t="str">
        <f t="shared" si="64"/>
        <v/>
      </c>
      <c r="S866" s="317" t="str">
        <f t="shared" si="65"/>
        <v/>
      </c>
      <c r="T866" s="317" t="str">
        <f>GLOBAL_DER_FEV_2023!S866</f>
        <v/>
      </c>
      <c r="W866" s="582">
        <v>0</v>
      </c>
      <c r="X866" s="580"/>
      <c r="Y866" s="583">
        <f>IF(GLOBAL_DER_FEV_2023!W866=0,0,IF(GLOBAL_DER_FEV_2023!W866&gt;0,"c","b"))</f>
        <v>0</v>
      </c>
    </row>
    <row r="867" spans="1:25" ht="13.5" thickBot="1" x14ac:dyDescent="0.25">
      <c r="A867" s="317">
        <v>822000</v>
      </c>
      <c r="B867" s="895">
        <v>822000</v>
      </c>
      <c r="C867" s="896" t="s">
        <v>184</v>
      </c>
      <c r="D867" s="906" t="s">
        <v>461</v>
      </c>
      <c r="E867" s="907">
        <f>GLOBAL_DER_FEV_2023!E867</f>
        <v>0</v>
      </c>
      <c r="F867" s="908">
        <f>GLOBAL_DER_FEV_2023!F867</f>
        <v>0</v>
      </c>
      <c r="G867" s="912">
        <f>GLOBAL_DER_FEV_2023!G867</f>
        <v>0</v>
      </c>
      <c r="H867" s="901">
        <f>GLOBAL_DER_FEV_2023!H867</f>
        <v>30.86</v>
      </c>
      <c r="I867" s="901">
        <f>GLOBAL_DER_FEV_2023!I867</f>
        <v>30.86</v>
      </c>
      <c r="J867" s="902">
        <f>GLOBAL_DER_FEV_2023!J867</f>
        <v>37.049999999999997</v>
      </c>
      <c r="K867" s="903" t="s">
        <v>12</v>
      </c>
      <c r="L867" s="1137">
        <v>245.98</v>
      </c>
      <c r="M867" s="1138">
        <f t="shared" si="62"/>
        <v>37.049999999999997</v>
      </c>
      <c r="N867" s="893">
        <f t="shared" si="66"/>
        <v>9113.56</v>
      </c>
      <c r="O867" s="905"/>
      <c r="Q867" s="317" t="str">
        <f t="shared" si="63"/>
        <v>x</v>
      </c>
      <c r="R867" s="317" t="str">
        <f t="shared" si="64"/>
        <v>x</v>
      </c>
      <c r="S867" s="317" t="str">
        <f t="shared" si="65"/>
        <v>x</v>
      </c>
      <c r="T867" s="317" t="str">
        <f>GLOBAL_DER_FEV_2023!S867</f>
        <v>x</v>
      </c>
      <c r="W867" s="582">
        <v>0</v>
      </c>
      <c r="X867" s="580"/>
      <c r="Y867" s="583">
        <f>IF(GLOBAL_DER_FEV_2023!W867=0,0,IF(GLOBAL_DER_FEV_2023!W867&gt;0,"c","b"))</f>
        <v>0</v>
      </c>
    </row>
    <row r="868" spans="1:25" ht="13.5" hidden="1" thickBot="1" x14ac:dyDescent="0.25">
      <c r="A868" s="317">
        <v>820000</v>
      </c>
      <c r="B868" s="895" t="s">
        <v>302</v>
      </c>
      <c r="C868" s="896" t="s">
        <v>184</v>
      </c>
      <c r="D868" s="906" t="s">
        <v>286</v>
      </c>
      <c r="E868" s="907">
        <f>GLOBAL_DER_FEV_2023!E868</f>
        <v>0</v>
      </c>
      <c r="F868" s="908">
        <f>GLOBAL_DER_FEV_2023!F868</f>
        <v>0</v>
      </c>
      <c r="G868" s="912">
        <f>GLOBAL_DER_FEV_2023!G868</f>
        <v>0</v>
      </c>
      <c r="H868" s="901">
        <f>GLOBAL_DER_FEV_2023!H868</f>
        <v>542.29999999999995</v>
      </c>
      <c r="I868" s="901">
        <f>GLOBAL_DER_FEV_2023!I868</f>
        <v>542.29999999999995</v>
      </c>
      <c r="J868" s="902">
        <f>GLOBAL_DER_FEV_2023!J868</f>
        <v>651.14</v>
      </c>
      <c r="K868" s="903" t="s">
        <v>12</v>
      </c>
      <c r="L868" s="1137"/>
      <c r="M868" s="1138">
        <f t="shared" si="62"/>
        <v>0</v>
      </c>
      <c r="N868" s="893">
        <f t="shared" si="66"/>
        <v>0</v>
      </c>
      <c r="O868" s="905"/>
      <c r="Q868" s="317" t="str">
        <f t="shared" si="63"/>
        <v/>
      </c>
      <c r="R868" s="317" t="str">
        <f t="shared" si="64"/>
        <v/>
      </c>
      <c r="S868" s="317" t="str">
        <f t="shared" si="65"/>
        <v/>
      </c>
      <c r="T868" s="317" t="str">
        <f>GLOBAL_DER_FEV_2023!S868</f>
        <v/>
      </c>
      <c r="W868" s="582">
        <v>0</v>
      </c>
      <c r="X868" s="580"/>
      <c r="Y868" s="583">
        <f>IF(GLOBAL_DER_FEV_2023!W868=0,0,IF(GLOBAL_DER_FEV_2023!W868&gt;0,"c","b"))</f>
        <v>0</v>
      </c>
    </row>
    <row r="869" spans="1:25" ht="13.5" hidden="1" thickBot="1" x14ac:dyDescent="0.25">
      <c r="A869" s="317">
        <v>821000</v>
      </c>
      <c r="B869" s="895">
        <v>821000</v>
      </c>
      <c r="C869" s="896" t="s">
        <v>184</v>
      </c>
      <c r="D869" s="906" t="s">
        <v>287</v>
      </c>
      <c r="E869" s="907">
        <f>GLOBAL_DER_FEV_2023!E869</f>
        <v>0</v>
      </c>
      <c r="F869" s="908">
        <f>GLOBAL_DER_FEV_2023!F869</f>
        <v>0</v>
      </c>
      <c r="G869" s="912">
        <f>GLOBAL_DER_FEV_2023!G869</f>
        <v>0</v>
      </c>
      <c r="H869" s="901">
        <f>GLOBAL_DER_FEV_2023!H869</f>
        <v>167.69</v>
      </c>
      <c r="I869" s="901">
        <f>GLOBAL_DER_FEV_2023!I869</f>
        <v>167.69</v>
      </c>
      <c r="J869" s="902">
        <f>GLOBAL_DER_FEV_2023!J869</f>
        <v>201.35</v>
      </c>
      <c r="K869" s="903" t="s">
        <v>15</v>
      </c>
      <c r="L869" s="1137"/>
      <c r="M869" s="1138">
        <f t="shared" si="62"/>
        <v>0</v>
      </c>
      <c r="N869" s="893">
        <f t="shared" si="66"/>
        <v>0</v>
      </c>
      <c r="O869" s="905"/>
      <c r="Q869" s="317" t="str">
        <f t="shared" si="63"/>
        <v/>
      </c>
      <c r="R869" s="317" t="str">
        <f t="shared" si="64"/>
        <v/>
      </c>
      <c r="S869" s="317" t="str">
        <f t="shared" si="65"/>
        <v/>
      </c>
      <c r="T869" s="317" t="str">
        <f>GLOBAL_DER_FEV_2023!S869</f>
        <v/>
      </c>
      <c r="W869" s="582">
        <v>0</v>
      </c>
      <c r="X869" s="580"/>
      <c r="Y869" s="583">
        <f>IF(GLOBAL_DER_FEV_2023!W869=0,0,IF(GLOBAL_DER_FEV_2023!W869&gt;0,"c","b"))</f>
        <v>0</v>
      </c>
    </row>
    <row r="870" spans="1:25" ht="13.5" hidden="1" thickBot="1" x14ac:dyDescent="0.25">
      <c r="A870" s="317">
        <v>821300</v>
      </c>
      <c r="B870" s="895">
        <v>821300</v>
      </c>
      <c r="C870" s="896" t="s">
        <v>184</v>
      </c>
      <c r="D870" s="906" t="s">
        <v>288</v>
      </c>
      <c r="E870" s="907">
        <f>GLOBAL_DER_FEV_2023!E870</f>
        <v>0</v>
      </c>
      <c r="F870" s="908">
        <f>GLOBAL_DER_FEV_2023!F870</f>
        <v>0</v>
      </c>
      <c r="G870" s="912">
        <f>GLOBAL_DER_FEV_2023!G870</f>
        <v>0</v>
      </c>
      <c r="H870" s="901">
        <f>GLOBAL_DER_FEV_2023!H870</f>
        <v>416.52</v>
      </c>
      <c r="I870" s="901">
        <f>GLOBAL_DER_FEV_2023!I870</f>
        <v>416.52</v>
      </c>
      <c r="J870" s="902">
        <f>GLOBAL_DER_FEV_2023!J870</f>
        <v>500.12</v>
      </c>
      <c r="K870" s="903" t="s">
        <v>15</v>
      </c>
      <c r="L870" s="1137"/>
      <c r="M870" s="1138">
        <f t="shared" si="62"/>
        <v>0</v>
      </c>
      <c r="N870" s="893">
        <f t="shared" si="66"/>
        <v>0</v>
      </c>
      <c r="O870" s="905"/>
      <c r="Q870" s="317" t="str">
        <f t="shared" si="63"/>
        <v/>
      </c>
      <c r="R870" s="317" t="str">
        <f t="shared" si="64"/>
        <v/>
      </c>
      <c r="S870" s="317" t="str">
        <f t="shared" si="65"/>
        <v/>
      </c>
      <c r="T870" s="317" t="str">
        <f>GLOBAL_DER_FEV_2023!S870</f>
        <v/>
      </c>
      <c r="W870" s="582">
        <v>0</v>
      </c>
      <c r="X870" s="580"/>
      <c r="Y870" s="583">
        <f>IF(GLOBAL_DER_FEV_2023!W870=0,0,IF(GLOBAL_DER_FEV_2023!W870&gt;0,"c","b"))</f>
        <v>0</v>
      </c>
    </row>
    <row r="871" spans="1:25" ht="13.5" hidden="1" thickBot="1" x14ac:dyDescent="0.25">
      <c r="A871" s="317">
        <v>820000</v>
      </c>
      <c r="B871" s="895" t="s">
        <v>303</v>
      </c>
      <c r="C871" s="896" t="s">
        <v>184</v>
      </c>
      <c r="D871" s="906" t="s">
        <v>289</v>
      </c>
      <c r="E871" s="907">
        <f>GLOBAL_DER_FEV_2023!E871</f>
        <v>0</v>
      </c>
      <c r="F871" s="908">
        <f>GLOBAL_DER_FEV_2023!F871</f>
        <v>0</v>
      </c>
      <c r="G871" s="912">
        <f>GLOBAL_DER_FEV_2023!G871</f>
        <v>0</v>
      </c>
      <c r="H871" s="901">
        <f>GLOBAL_DER_FEV_2023!H871</f>
        <v>542.29999999999995</v>
      </c>
      <c r="I871" s="901">
        <f>GLOBAL_DER_FEV_2023!I871</f>
        <v>460.95499999999993</v>
      </c>
      <c r="J871" s="902">
        <f>GLOBAL_DER_FEV_2023!J871</f>
        <v>553.47</v>
      </c>
      <c r="K871" s="903" t="s">
        <v>15</v>
      </c>
      <c r="L871" s="1137"/>
      <c r="M871" s="1138">
        <f t="shared" si="62"/>
        <v>0</v>
      </c>
      <c r="N871" s="893">
        <f t="shared" si="66"/>
        <v>0</v>
      </c>
      <c r="O871" s="905"/>
      <c r="Q871" s="317" t="str">
        <f t="shared" si="63"/>
        <v/>
      </c>
      <c r="R871" s="317" t="str">
        <f t="shared" si="64"/>
        <v/>
      </c>
      <c r="S871" s="317" t="str">
        <f t="shared" si="65"/>
        <v/>
      </c>
      <c r="T871" s="317" t="str">
        <f>GLOBAL_DER_FEV_2023!S871</f>
        <v/>
      </c>
      <c r="W871" s="582">
        <v>0</v>
      </c>
      <c r="X871" s="580"/>
      <c r="Y871" s="583">
        <f>IF(GLOBAL_DER_FEV_2023!W871=0,0,IF(GLOBAL_DER_FEV_2023!W871&gt;0,"c","b"))</f>
        <v>0</v>
      </c>
    </row>
    <row r="872" spans="1:25" ht="13.5" hidden="1" thickBot="1" x14ac:dyDescent="0.25">
      <c r="A872" s="317">
        <v>820000</v>
      </c>
      <c r="B872" s="895" t="s">
        <v>304</v>
      </c>
      <c r="C872" s="896" t="s">
        <v>184</v>
      </c>
      <c r="D872" s="906" t="s">
        <v>290</v>
      </c>
      <c r="E872" s="907">
        <f>GLOBAL_DER_FEV_2023!E872</f>
        <v>0</v>
      </c>
      <c r="F872" s="908">
        <f>GLOBAL_DER_FEV_2023!F872</f>
        <v>0</v>
      </c>
      <c r="G872" s="912">
        <f>GLOBAL_DER_FEV_2023!G872</f>
        <v>0</v>
      </c>
      <c r="H872" s="901">
        <f>GLOBAL_DER_FEV_2023!H872</f>
        <v>542.29999999999995</v>
      </c>
      <c r="I872" s="901">
        <f>GLOBAL_DER_FEV_2023!I872</f>
        <v>460.95499999999993</v>
      </c>
      <c r="J872" s="902">
        <f>GLOBAL_DER_FEV_2023!J872</f>
        <v>553.47</v>
      </c>
      <c r="K872" s="903" t="s">
        <v>15</v>
      </c>
      <c r="L872" s="1137"/>
      <c r="M872" s="1138">
        <f t="shared" si="62"/>
        <v>0</v>
      </c>
      <c r="N872" s="893">
        <f t="shared" si="66"/>
        <v>0</v>
      </c>
      <c r="O872" s="905"/>
      <c r="Q872" s="317" t="str">
        <f t="shared" si="63"/>
        <v/>
      </c>
      <c r="R872" s="317" t="str">
        <f t="shared" si="64"/>
        <v/>
      </c>
      <c r="S872" s="317" t="str">
        <f t="shared" si="65"/>
        <v/>
      </c>
      <c r="T872" s="317" t="str">
        <f>GLOBAL_DER_FEV_2023!S872</f>
        <v/>
      </c>
      <c r="W872" s="582">
        <v>0</v>
      </c>
      <c r="X872" s="580"/>
      <c r="Y872" s="583">
        <f>IF(GLOBAL_DER_FEV_2023!W872=0,0,IF(GLOBAL_DER_FEV_2023!W872&gt;0,"c","b"))</f>
        <v>0</v>
      </c>
    </row>
    <row r="873" spans="1:25" ht="13.5" hidden="1" thickBot="1" x14ac:dyDescent="0.25">
      <c r="A873" s="317">
        <v>820000</v>
      </c>
      <c r="B873" s="895" t="s">
        <v>305</v>
      </c>
      <c r="C873" s="896" t="s">
        <v>184</v>
      </c>
      <c r="D873" s="906" t="s">
        <v>291</v>
      </c>
      <c r="E873" s="907">
        <f>GLOBAL_DER_FEV_2023!E873</f>
        <v>0</v>
      </c>
      <c r="F873" s="908">
        <f>GLOBAL_DER_FEV_2023!F873</f>
        <v>0</v>
      </c>
      <c r="G873" s="912">
        <f>GLOBAL_DER_FEV_2023!G873</f>
        <v>0</v>
      </c>
      <c r="H873" s="901">
        <f>GLOBAL_DER_FEV_2023!H873</f>
        <v>542.29999999999995</v>
      </c>
      <c r="I873" s="901">
        <f>GLOBAL_DER_FEV_2023!I873</f>
        <v>460.95499999999993</v>
      </c>
      <c r="J873" s="902">
        <f>GLOBAL_DER_FEV_2023!J873</f>
        <v>553.47</v>
      </c>
      <c r="K873" s="903" t="s">
        <v>15</v>
      </c>
      <c r="L873" s="1137"/>
      <c r="M873" s="1138">
        <f t="shared" si="62"/>
        <v>0</v>
      </c>
      <c r="N873" s="893">
        <f t="shared" si="66"/>
        <v>0</v>
      </c>
      <c r="O873" s="905"/>
      <c r="Q873" s="317" t="str">
        <f t="shared" si="63"/>
        <v/>
      </c>
      <c r="R873" s="317" t="str">
        <f t="shared" si="64"/>
        <v/>
      </c>
      <c r="S873" s="317" t="str">
        <f t="shared" si="65"/>
        <v/>
      </c>
      <c r="T873" s="317" t="str">
        <f>GLOBAL_DER_FEV_2023!S873</f>
        <v/>
      </c>
      <c r="W873" s="582">
        <v>0</v>
      </c>
      <c r="X873" s="580"/>
      <c r="Y873" s="583">
        <f>IF(GLOBAL_DER_FEV_2023!W873=0,0,IF(GLOBAL_DER_FEV_2023!W873&gt;0,"c","b"))</f>
        <v>0</v>
      </c>
    </row>
    <row r="874" spans="1:25" ht="13.5" hidden="1" thickBot="1" x14ac:dyDescent="0.25">
      <c r="A874" s="317">
        <v>820000</v>
      </c>
      <c r="B874" s="895" t="s">
        <v>306</v>
      </c>
      <c r="C874" s="896" t="s">
        <v>184</v>
      </c>
      <c r="D874" s="906" t="s">
        <v>292</v>
      </c>
      <c r="E874" s="907">
        <f>GLOBAL_DER_FEV_2023!E874</f>
        <v>0</v>
      </c>
      <c r="F874" s="908">
        <f>GLOBAL_DER_FEV_2023!F874</f>
        <v>0</v>
      </c>
      <c r="G874" s="912">
        <f>GLOBAL_DER_FEV_2023!G874</f>
        <v>0</v>
      </c>
      <c r="H874" s="901">
        <f>GLOBAL_DER_FEV_2023!H874</f>
        <v>542.29999999999995</v>
      </c>
      <c r="I874" s="901">
        <f>GLOBAL_DER_FEV_2023!I874</f>
        <v>460.95499999999993</v>
      </c>
      <c r="J874" s="902">
        <f>GLOBAL_DER_FEV_2023!J874</f>
        <v>553.47</v>
      </c>
      <c r="K874" s="903" t="s">
        <v>15</v>
      </c>
      <c r="L874" s="1137"/>
      <c r="M874" s="1138">
        <f t="shared" si="62"/>
        <v>0</v>
      </c>
      <c r="N874" s="893">
        <f t="shared" si="66"/>
        <v>0</v>
      </c>
      <c r="O874" s="905"/>
      <c r="Q874" s="317" t="str">
        <f t="shared" si="63"/>
        <v/>
      </c>
      <c r="R874" s="317" t="str">
        <f t="shared" si="64"/>
        <v/>
      </c>
      <c r="S874" s="317" t="str">
        <f t="shared" si="65"/>
        <v/>
      </c>
      <c r="T874" s="317" t="str">
        <f>GLOBAL_DER_FEV_2023!S874</f>
        <v/>
      </c>
      <c r="W874" s="582">
        <v>0</v>
      </c>
      <c r="X874" s="580"/>
      <c r="Y874" s="583">
        <f>IF(GLOBAL_DER_FEV_2023!W874=0,0,IF(GLOBAL_DER_FEV_2023!W874&gt;0,"c","b"))</f>
        <v>0</v>
      </c>
    </row>
    <row r="875" spans="1:25" ht="13.5" hidden="1" thickBot="1" x14ac:dyDescent="0.25">
      <c r="A875" s="317">
        <v>820000</v>
      </c>
      <c r="B875" s="895" t="s">
        <v>307</v>
      </c>
      <c r="C875" s="896" t="s">
        <v>184</v>
      </c>
      <c r="D875" s="906" t="s">
        <v>293</v>
      </c>
      <c r="E875" s="907">
        <f>GLOBAL_DER_FEV_2023!E875</f>
        <v>0</v>
      </c>
      <c r="F875" s="908">
        <f>GLOBAL_DER_FEV_2023!F875</f>
        <v>0</v>
      </c>
      <c r="G875" s="912">
        <f>GLOBAL_DER_FEV_2023!G875</f>
        <v>0</v>
      </c>
      <c r="H875" s="901">
        <f>GLOBAL_DER_FEV_2023!H875</f>
        <v>542.29999999999995</v>
      </c>
      <c r="I875" s="901">
        <f>GLOBAL_DER_FEV_2023!I875</f>
        <v>542.29999999999995</v>
      </c>
      <c r="J875" s="902">
        <f>GLOBAL_DER_FEV_2023!J875</f>
        <v>651.14</v>
      </c>
      <c r="K875" s="903" t="s">
        <v>15</v>
      </c>
      <c r="L875" s="1137"/>
      <c r="M875" s="1138">
        <f t="shared" si="62"/>
        <v>0</v>
      </c>
      <c r="N875" s="893">
        <f t="shared" si="66"/>
        <v>0</v>
      </c>
      <c r="O875" s="905"/>
      <c r="Q875" s="317" t="str">
        <f t="shared" si="63"/>
        <v/>
      </c>
      <c r="R875" s="317" t="str">
        <f t="shared" si="64"/>
        <v/>
      </c>
      <c r="S875" s="317" t="str">
        <f t="shared" si="65"/>
        <v/>
      </c>
      <c r="T875" s="317" t="str">
        <f>GLOBAL_DER_FEV_2023!S875</f>
        <v/>
      </c>
      <c r="W875" s="582">
        <v>0</v>
      </c>
      <c r="X875" s="580"/>
      <c r="Y875" s="583">
        <f>IF(GLOBAL_DER_FEV_2023!W875=0,0,IF(GLOBAL_DER_FEV_2023!W875&gt;0,"c","b"))</f>
        <v>0</v>
      </c>
    </row>
    <row r="876" spans="1:25" ht="13.5" hidden="1" thickBot="1" x14ac:dyDescent="0.25">
      <c r="A876" s="317">
        <v>820000</v>
      </c>
      <c r="B876" s="895" t="s">
        <v>308</v>
      </c>
      <c r="C876" s="896" t="s">
        <v>184</v>
      </c>
      <c r="D876" s="906" t="s">
        <v>294</v>
      </c>
      <c r="E876" s="907">
        <f>GLOBAL_DER_FEV_2023!E876</f>
        <v>0</v>
      </c>
      <c r="F876" s="908">
        <f>GLOBAL_DER_FEV_2023!F876</f>
        <v>0</v>
      </c>
      <c r="G876" s="912">
        <f>GLOBAL_DER_FEV_2023!G876</f>
        <v>0</v>
      </c>
      <c r="H876" s="901">
        <f>GLOBAL_DER_FEV_2023!H876</f>
        <v>542.29999999999995</v>
      </c>
      <c r="I876" s="901">
        <f>GLOBAL_DER_FEV_2023!I876</f>
        <v>542.29999999999995</v>
      </c>
      <c r="J876" s="902">
        <f>GLOBAL_DER_FEV_2023!J876</f>
        <v>651.14</v>
      </c>
      <c r="K876" s="903" t="s">
        <v>15</v>
      </c>
      <c r="L876" s="1137"/>
      <c r="M876" s="1138">
        <f t="shared" si="62"/>
        <v>0</v>
      </c>
      <c r="N876" s="893">
        <f t="shared" si="66"/>
        <v>0</v>
      </c>
      <c r="O876" s="905"/>
      <c r="Q876" s="317" t="str">
        <f t="shared" si="63"/>
        <v/>
      </c>
      <c r="R876" s="317" t="str">
        <f t="shared" si="64"/>
        <v/>
      </c>
      <c r="S876" s="317" t="str">
        <f t="shared" si="65"/>
        <v/>
      </c>
      <c r="T876" s="317" t="str">
        <f>GLOBAL_DER_FEV_2023!S876</f>
        <v/>
      </c>
      <c r="W876" s="582">
        <v>0</v>
      </c>
      <c r="X876" s="580"/>
      <c r="Y876" s="583">
        <f>IF(GLOBAL_DER_FEV_2023!W876=0,0,IF(GLOBAL_DER_FEV_2023!W876&gt;0,"c","b"))</f>
        <v>0</v>
      </c>
    </row>
    <row r="877" spans="1:25" ht="13.5" hidden="1" thickBot="1" x14ac:dyDescent="0.25">
      <c r="A877" s="317">
        <v>820000</v>
      </c>
      <c r="B877" s="895" t="s">
        <v>309</v>
      </c>
      <c r="C877" s="896" t="s">
        <v>184</v>
      </c>
      <c r="D877" s="906" t="s">
        <v>295</v>
      </c>
      <c r="E877" s="907">
        <f>GLOBAL_DER_FEV_2023!E877</f>
        <v>0</v>
      </c>
      <c r="F877" s="908">
        <f>GLOBAL_DER_FEV_2023!F877</f>
        <v>0</v>
      </c>
      <c r="G877" s="912">
        <f>GLOBAL_DER_FEV_2023!G877</f>
        <v>0</v>
      </c>
      <c r="H877" s="901">
        <f>GLOBAL_DER_FEV_2023!H877</f>
        <v>542.29999999999995</v>
      </c>
      <c r="I877" s="901">
        <f>GLOBAL_DER_FEV_2023!I877</f>
        <v>542.29999999999995</v>
      </c>
      <c r="J877" s="902">
        <f>GLOBAL_DER_FEV_2023!J877</f>
        <v>651.14</v>
      </c>
      <c r="K877" s="903" t="s">
        <v>15</v>
      </c>
      <c r="L877" s="1137"/>
      <c r="M877" s="1138">
        <f t="shared" si="62"/>
        <v>0</v>
      </c>
      <c r="N877" s="893">
        <f t="shared" si="66"/>
        <v>0</v>
      </c>
      <c r="O877" s="905"/>
      <c r="Q877" s="317" t="str">
        <f t="shared" si="63"/>
        <v/>
      </c>
      <c r="R877" s="317" t="str">
        <f t="shared" si="64"/>
        <v/>
      </c>
      <c r="S877" s="317" t="str">
        <f t="shared" si="65"/>
        <v/>
      </c>
      <c r="T877" s="317" t="str">
        <f>GLOBAL_DER_FEV_2023!S877</f>
        <v/>
      </c>
      <c r="W877" s="582">
        <v>0</v>
      </c>
      <c r="X877" s="580"/>
      <c r="Y877" s="583">
        <f>IF(GLOBAL_DER_FEV_2023!W877=0,0,IF(GLOBAL_DER_FEV_2023!W877&gt;0,"c","b"))</f>
        <v>0</v>
      </c>
    </row>
    <row r="878" spans="1:25" ht="13.5" hidden="1" thickBot="1" x14ac:dyDescent="0.25">
      <c r="A878" s="317">
        <v>820000</v>
      </c>
      <c r="B878" s="895" t="s">
        <v>512</v>
      </c>
      <c r="C878" s="896" t="s">
        <v>184</v>
      </c>
      <c r="D878" s="906" t="s">
        <v>296</v>
      </c>
      <c r="E878" s="907">
        <f>GLOBAL_DER_FEV_2023!E878</f>
        <v>0</v>
      </c>
      <c r="F878" s="908">
        <f>GLOBAL_DER_FEV_2023!F878</f>
        <v>0</v>
      </c>
      <c r="G878" s="912">
        <f>GLOBAL_DER_FEV_2023!G878</f>
        <v>0</v>
      </c>
      <c r="H878" s="901">
        <f>GLOBAL_DER_FEV_2023!H878</f>
        <v>542.29999999999995</v>
      </c>
      <c r="I878" s="901">
        <f>GLOBAL_DER_FEV_2023!I878</f>
        <v>542.29999999999995</v>
      </c>
      <c r="J878" s="902">
        <f>GLOBAL_DER_FEV_2023!J878</f>
        <v>651.14</v>
      </c>
      <c r="K878" s="903" t="s">
        <v>15</v>
      </c>
      <c r="L878" s="1139"/>
      <c r="M878" s="1140">
        <f t="shared" si="62"/>
        <v>0</v>
      </c>
      <c r="N878" s="893">
        <f t="shared" si="66"/>
        <v>0</v>
      </c>
      <c r="O878" s="905"/>
      <c r="Q878" s="317" t="str">
        <f t="shared" si="63"/>
        <v/>
      </c>
      <c r="R878" s="317" t="str">
        <f t="shared" si="64"/>
        <v/>
      </c>
      <c r="S878" s="317" t="str">
        <f t="shared" si="65"/>
        <v/>
      </c>
      <c r="T878" s="317" t="str">
        <f>GLOBAL_DER_FEV_2023!S878</f>
        <v/>
      </c>
      <c r="W878" s="582">
        <v>0</v>
      </c>
      <c r="X878" s="580"/>
      <c r="Y878" s="583">
        <f>IF(GLOBAL_DER_FEV_2023!W878=0,0,IF(GLOBAL_DER_FEV_2023!W878&gt;0,"c","b"))</f>
        <v>0</v>
      </c>
    </row>
    <row r="879" spans="1:25" ht="23.25" hidden="1" thickBot="1" x14ac:dyDescent="0.25">
      <c r="A879" s="317">
        <v>820000</v>
      </c>
      <c r="B879" s="895" t="s">
        <v>1790</v>
      </c>
      <c r="C879" s="896" t="s">
        <v>184</v>
      </c>
      <c r="D879" s="906" t="s">
        <v>529</v>
      </c>
      <c r="E879" s="907">
        <f>GLOBAL_DER_FEV_2023!E879</f>
        <v>0</v>
      </c>
      <c r="F879" s="908">
        <f>GLOBAL_DER_FEV_2023!F879</f>
        <v>0</v>
      </c>
      <c r="G879" s="912">
        <f>GLOBAL_DER_FEV_2023!G879</f>
        <v>0</v>
      </c>
      <c r="H879" s="901">
        <f>GLOBAL_DER_FEV_2023!H879</f>
        <v>542.29999999999995</v>
      </c>
      <c r="I879" s="901">
        <f>GLOBAL_DER_FEV_2023!I879</f>
        <v>542.29999999999995</v>
      </c>
      <c r="J879" s="902">
        <f>GLOBAL_DER_FEV_2023!J879</f>
        <v>651.14</v>
      </c>
      <c r="K879" s="903" t="s">
        <v>15</v>
      </c>
      <c r="L879" s="1139"/>
      <c r="M879" s="1140">
        <f t="shared" si="62"/>
        <v>0</v>
      </c>
      <c r="N879" s="893">
        <f t="shared" si="66"/>
        <v>0</v>
      </c>
      <c r="O879" s="905"/>
      <c r="Q879" s="317" t="str">
        <f t="shared" si="63"/>
        <v/>
      </c>
      <c r="R879" s="317" t="str">
        <f t="shared" si="64"/>
        <v/>
      </c>
      <c r="S879" s="317" t="str">
        <f t="shared" si="65"/>
        <v/>
      </c>
      <c r="T879" s="317" t="str">
        <f>GLOBAL_DER_FEV_2023!S879</f>
        <v/>
      </c>
      <c r="W879" s="582">
        <v>0</v>
      </c>
      <c r="X879" s="580"/>
      <c r="Y879" s="583">
        <f>IF(GLOBAL_DER_FEV_2023!W879=0,0,IF(GLOBAL_DER_FEV_2023!W879&gt;0,"c","b"))</f>
        <v>0</v>
      </c>
    </row>
    <row r="880" spans="1:25" ht="15" hidden="1" customHeight="1" x14ac:dyDescent="0.2">
      <c r="B880" s="1170" t="s">
        <v>165</v>
      </c>
      <c r="C880" s="914"/>
      <c r="D880" s="915" t="s">
        <v>437</v>
      </c>
      <c r="E880" s="916">
        <f>GLOBAL_DER_FEV_2023!E880</f>
        <v>0</v>
      </c>
      <c r="F880" s="917">
        <f>GLOBAL_DER_FEV_2023!F880</f>
        <v>0</v>
      </c>
      <c r="G880" s="918">
        <f>GLOBAL_DER_FEV_2023!G880</f>
        <v>0</v>
      </c>
      <c r="H880" s="919">
        <f>GLOBAL_DER_FEV_2023!H880</f>
        <v>0</v>
      </c>
      <c r="I880" s="919">
        <f>GLOBAL_DER_FEV_2023!I880</f>
        <v>0</v>
      </c>
      <c r="J880" s="919">
        <f>GLOBAL_DER_FEV_2023!J880</f>
        <v>0</v>
      </c>
      <c r="K880" s="920" t="s">
        <v>507</v>
      </c>
      <c r="L880" s="921"/>
      <c r="M880" s="1140">
        <f t="shared" si="62"/>
        <v>0</v>
      </c>
      <c r="N880" s="893">
        <f t="shared" si="66"/>
        <v>0</v>
      </c>
      <c r="O880" s="905"/>
      <c r="P880" s="58" t="str">
        <f>IF(OR(SUM(N881:N912)&gt;0,SUM(N881:N912)&gt;0),"y","")</f>
        <v/>
      </c>
      <c r="Q880" s="317" t="str">
        <f t="shared" si="63"/>
        <v/>
      </c>
      <c r="R880" s="317" t="str">
        <f t="shared" si="64"/>
        <v/>
      </c>
      <c r="S880" s="317" t="str">
        <f t="shared" si="65"/>
        <v/>
      </c>
      <c r="T880" s="317" t="str">
        <f>GLOBAL_DER_FEV_2023!S880</f>
        <v/>
      </c>
      <c r="W880" s="582">
        <v>0</v>
      </c>
      <c r="X880" s="580"/>
      <c r="Y880" s="583">
        <f>IF(GLOBAL_DER_FEV_2023!W880=0,0,IF(GLOBAL_DER_FEV_2023!W880&gt;0,"c","b"))</f>
        <v>0</v>
      </c>
    </row>
    <row r="881" spans="1:25" ht="15" hidden="1" customHeight="1" x14ac:dyDescent="0.2">
      <c r="B881" s="1036" t="str">
        <f>GLOBAL_DER_FEV_2023!B881</f>
        <v/>
      </c>
      <c r="C881" s="1072" t="str">
        <f>GLOBAL_DER_FEV_2023!C881</f>
        <v/>
      </c>
      <c r="D881" s="1141">
        <f>GLOBAL_DER_FEV_2023!D881</f>
        <v>0</v>
      </c>
      <c r="E881" s="907">
        <f>GLOBAL_DER_FEV_2023!E881</f>
        <v>0</v>
      </c>
      <c r="F881" s="908">
        <f>GLOBAL_DER_FEV_2023!F881</f>
        <v>0</v>
      </c>
      <c r="G881" s="912">
        <f>GLOBAL_DER_FEV_2023!G881</f>
        <v>0</v>
      </c>
      <c r="H881" s="901">
        <f>GLOBAL_DER_FEV_2023!H881</f>
        <v>0</v>
      </c>
      <c r="I881" s="901">
        <f>GLOBAL_DER_FEV_2023!I881</f>
        <v>0</v>
      </c>
      <c r="J881" s="902">
        <f>GLOBAL_DER_FEV_2023!J881</f>
        <v>0</v>
      </c>
      <c r="K881" s="903" t="str">
        <f>GLOBAL_DER_FEV_2023!K881</f>
        <v xml:space="preserve">     </v>
      </c>
      <c r="L881" s="1137"/>
      <c r="M881" s="1140">
        <f t="shared" si="62"/>
        <v>0</v>
      </c>
      <c r="N881" s="1166">
        <f t="shared" si="66"/>
        <v>0</v>
      </c>
      <c r="O881" s="1165"/>
      <c r="Q881" s="317" t="str">
        <f t="shared" si="63"/>
        <v/>
      </c>
      <c r="R881" s="317" t="str">
        <f t="shared" si="64"/>
        <v/>
      </c>
      <c r="S881" s="317" t="str">
        <f t="shared" si="65"/>
        <v/>
      </c>
      <c r="T881" s="317" t="str">
        <f>GLOBAL_DER_FEV_2023!S881</f>
        <v/>
      </c>
      <c r="W881" s="582">
        <v>0</v>
      </c>
      <c r="X881" s="580"/>
      <c r="Y881" s="583">
        <f>IF(GLOBAL_DER_FEV_2023!W881=0,0,IF(GLOBAL_DER_FEV_2023!W881&gt;0,"c","b"))</f>
        <v>0</v>
      </c>
    </row>
    <row r="882" spans="1:25" ht="15" hidden="1" customHeight="1" x14ac:dyDescent="0.2">
      <c r="A882" s="640" t="s">
        <v>165</v>
      </c>
      <c r="B882" s="1036" t="str">
        <f>GLOBAL_DER_FEV_2023!B882</f>
        <v/>
      </c>
      <c r="C882" s="1072" t="str">
        <f>GLOBAL_DER_FEV_2023!C882</f>
        <v/>
      </c>
      <c r="D882" s="1141">
        <f>GLOBAL_DER_FEV_2023!D882</f>
        <v>0</v>
      </c>
      <c r="E882" s="907">
        <f>GLOBAL_DER_FEV_2023!E882</f>
        <v>0</v>
      </c>
      <c r="F882" s="908">
        <f>GLOBAL_DER_FEV_2023!F882</f>
        <v>0</v>
      </c>
      <c r="G882" s="912">
        <f>GLOBAL_DER_FEV_2023!G882</f>
        <v>0</v>
      </c>
      <c r="H882" s="901">
        <f>GLOBAL_DER_FEV_2023!H882</f>
        <v>0</v>
      </c>
      <c r="I882" s="901">
        <f>GLOBAL_DER_FEV_2023!I882</f>
        <v>0</v>
      </c>
      <c r="J882" s="890">
        <f>GLOBAL_DER_FEV_2023!J882</f>
        <v>0</v>
      </c>
      <c r="K882" s="903" t="str">
        <f>GLOBAL_DER_FEV_2023!K882</f>
        <v xml:space="preserve">     </v>
      </c>
      <c r="L882" s="1137"/>
      <c r="M882" s="1140">
        <f t="shared" si="62"/>
        <v>0</v>
      </c>
      <c r="N882" s="1167">
        <f t="shared" si="66"/>
        <v>0</v>
      </c>
      <c r="O882" s="1165"/>
      <c r="Q882" s="317" t="str">
        <f t="shared" si="63"/>
        <v/>
      </c>
      <c r="R882" s="317" t="str">
        <f t="shared" si="64"/>
        <v/>
      </c>
      <c r="S882" s="317" t="str">
        <f t="shared" si="65"/>
        <v/>
      </c>
      <c r="T882" s="317" t="str">
        <f>GLOBAL_DER_FEV_2023!S882</f>
        <v/>
      </c>
      <c r="W882" s="582">
        <v>0</v>
      </c>
      <c r="X882" s="580"/>
      <c r="Y882" s="583">
        <f>IF(GLOBAL_DER_FEV_2023!W882=0,0,IF(GLOBAL_DER_FEV_2023!W882&gt;0,"c","b"))</f>
        <v>0</v>
      </c>
    </row>
    <row r="883" spans="1:25" ht="15" hidden="1" customHeight="1" x14ac:dyDescent="0.2">
      <c r="A883" s="640" t="s">
        <v>165</v>
      </c>
      <c r="B883" s="1036" t="str">
        <f>GLOBAL_DER_FEV_2023!B883</f>
        <v/>
      </c>
      <c r="C883" s="1072" t="str">
        <f>GLOBAL_DER_FEV_2023!C883</f>
        <v/>
      </c>
      <c r="D883" s="1141">
        <f>GLOBAL_DER_FEV_2023!D883</f>
        <v>0</v>
      </c>
      <c r="E883" s="907">
        <f>GLOBAL_DER_FEV_2023!E883</f>
        <v>0</v>
      </c>
      <c r="F883" s="908">
        <f>GLOBAL_DER_FEV_2023!F883</f>
        <v>0</v>
      </c>
      <c r="G883" s="912">
        <f>GLOBAL_DER_FEV_2023!G883</f>
        <v>0</v>
      </c>
      <c r="H883" s="901">
        <f>GLOBAL_DER_FEV_2023!H883</f>
        <v>0</v>
      </c>
      <c r="I883" s="901">
        <f>GLOBAL_DER_FEV_2023!I883</f>
        <v>0</v>
      </c>
      <c r="J883" s="890">
        <f>GLOBAL_DER_FEV_2023!J883</f>
        <v>0</v>
      </c>
      <c r="K883" s="903" t="str">
        <f>GLOBAL_DER_FEV_2023!K883</f>
        <v xml:space="preserve">     </v>
      </c>
      <c r="L883" s="1137"/>
      <c r="M883" s="1140">
        <f t="shared" si="62"/>
        <v>0</v>
      </c>
      <c r="N883" s="1167">
        <f t="shared" si="66"/>
        <v>0</v>
      </c>
      <c r="O883" s="1165"/>
      <c r="Q883" s="317" t="str">
        <f t="shared" si="63"/>
        <v/>
      </c>
      <c r="R883" s="317" t="str">
        <f t="shared" si="64"/>
        <v/>
      </c>
      <c r="S883" s="317" t="str">
        <f t="shared" si="65"/>
        <v/>
      </c>
      <c r="T883" s="317" t="str">
        <f>GLOBAL_DER_FEV_2023!S883</f>
        <v/>
      </c>
      <c r="W883" s="582">
        <v>0</v>
      </c>
      <c r="X883" s="580"/>
      <c r="Y883" s="583">
        <f>IF(GLOBAL_DER_FEV_2023!W883=0,0,IF(GLOBAL_DER_FEV_2023!W883&gt;0,"c","b"))</f>
        <v>0</v>
      </c>
    </row>
    <row r="884" spans="1:25" ht="15" hidden="1" customHeight="1" x14ac:dyDescent="0.2">
      <c r="A884" s="640" t="s">
        <v>165</v>
      </c>
      <c r="B884" s="1036" t="str">
        <f>GLOBAL_DER_FEV_2023!B884</f>
        <v/>
      </c>
      <c r="C884" s="1072" t="str">
        <f>GLOBAL_DER_FEV_2023!C884</f>
        <v/>
      </c>
      <c r="D884" s="1141">
        <f>GLOBAL_DER_FEV_2023!D884</f>
        <v>0</v>
      </c>
      <c r="E884" s="907">
        <f>GLOBAL_DER_FEV_2023!E884</f>
        <v>0</v>
      </c>
      <c r="F884" s="908">
        <f>GLOBAL_DER_FEV_2023!F884</f>
        <v>0</v>
      </c>
      <c r="G884" s="912">
        <f>GLOBAL_DER_FEV_2023!G884</f>
        <v>0</v>
      </c>
      <c r="H884" s="901">
        <f>GLOBAL_DER_FEV_2023!H884</f>
        <v>0</v>
      </c>
      <c r="I884" s="901">
        <f>GLOBAL_DER_FEV_2023!I884</f>
        <v>0</v>
      </c>
      <c r="J884" s="890">
        <f>GLOBAL_DER_FEV_2023!J884</f>
        <v>0</v>
      </c>
      <c r="K884" s="903" t="str">
        <f>GLOBAL_DER_FEV_2023!K884</f>
        <v xml:space="preserve">     </v>
      </c>
      <c r="L884" s="1137"/>
      <c r="M884" s="1140">
        <f t="shared" si="62"/>
        <v>0</v>
      </c>
      <c r="N884" s="1167">
        <f t="shared" si="66"/>
        <v>0</v>
      </c>
      <c r="O884" s="1165"/>
      <c r="Q884" s="317" t="str">
        <f t="shared" si="63"/>
        <v/>
      </c>
      <c r="R884" s="317" t="str">
        <f t="shared" si="64"/>
        <v/>
      </c>
      <c r="S884" s="317" t="str">
        <f t="shared" si="65"/>
        <v/>
      </c>
      <c r="T884" s="317" t="str">
        <f>GLOBAL_DER_FEV_2023!S884</f>
        <v/>
      </c>
      <c r="W884" s="582">
        <v>0</v>
      </c>
      <c r="X884" s="580"/>
      <c r="Y884" s="583">
        <f>IF(GLOBAL_DER_FEV_2023!W884=0,0,IF(GLOBAL_DER_FEV_2023!W884&gt;0,"c","b"))</f>
        <v>0</v>
      </c>
    </row>
    <row r="885" spans="1:25" ht="15" hidden="1" customHeight="1" x14ac:dyDescent="0.2">
      <c r="A885" s="640" t="s">
        <v>165</v>
      </c>
      <c r="B885" s="1036" t="str">
        <f>GLOBAL_DER_FEV_2023!B885</f>
        <v/>
      </c>
      <c r="C885" s="1072" t="str">
        <f>GLOBAL_DER_FEV_2023!C885</f>
        <v/>
      </c>
      <c r="D885" s="1141">
        <f>GLOBAL_DER_FEV_2023!D885</f>
        <v>0</v>
      </c>
      <c r="E885" s="907">
        <f>GLOBAL_DER_FEV_2023!E885</f>
        <v>0</v>
      </c>
      <c r="F885" s="908">
        <f>GLOBAL_DER_FEV_2023!F885</f>
        <v>0</v>
      </c>
      <c r="G885" s="912">
        <f>GLOBAL_DER_FEV_2023!G885</f>
        <v>0</v>
      </c>
      <c r="H885" s="901">
        <f>GLOBAL_DER_FEV_2023!H885</f>
        <v>0</v>
      </c>
      <c r="I885" s="901">
        <f>GLOBAL_DER_FEV_2023!I885</f>
        <v>0</v>
      </c>
      <c r="J885" s="890">
        <f>GLOBAL_DER_FEV_2023!J885</f>
        <v>0</v>
      </c>
      <c r="K885" s="903" t="str">
        <f>GLOBAL_DER_FEV_2023!K885</f>
        <v xml:space="preserve">     </v>
      </c>
      <c r="L885" s="1137"/>
      <c r="M885" s="1140">
        <f t="shared" si="62"/>
        <v>0</v>
      </c>
      <c r="N885" s="1167">
        <f t="shared" si="66"/>
        <v>0</v>
      </c>
      <c r="O885" s="1165"/>
      <c r="Q885" s="317" t="str">
        <f t="shared" si="63"/>
        <v/>
      </c>
      <c r="R885" s="317" t="str">
        <f t="shared" si="64"/>
        <v/>
      </c>
      <c r="S885" s="317" t="str">
        <f t="shared" si="65"/>
        <v/>
      </c>
      <c r="T885" s="317" t="str">
        <f>GLOBAL_DER_FEV_2023!S885</f>
        <v/>
      </c>
      <c r="W885" s="582">
        <v>0</v>
      </c>
      <c r="X885" s="580"/>
      <c r="Y885" s="583">
        <f>IF(GLOBAL_DER_FEV_2023!W885=0,0,IF(GLOBAL_DER_FEV_2023!W885&gt;0,"c","b"))</f>
        <v>0</v>
      </c>
    </row>
    <row r="886" spans="1:25" ht="15" hidden="1" customHeight="1" x14ac:dyDescent="0.2">
      <c r="A886" s="640" t="s">
        <v>165</v>
      </c>
      <c r="B886" s="1036" t="str">
        <f>GLOBAL_DER_FEV_2023!B886</f>
        <v/>
      </c>
      <c r="C886" s="1072" t="str">
        <f>GLOBAL_DER_FEV_2023!C886</f>
        <v/>
      </c>
      <c r="D886" s="1141">
        <f>GLOBAL_DER_FEV_2023!D886</f>
        <v>0</v>
      </c>
      <c r="E886" s="907">
        <f>GLOBAL_DER_FEV_2023!E886</f>
        <v>0</v>
      </c>
      <c r="F886" s="908">
        <f>GLOBAL_DER_FEV_2023!F886</f>
        <v>0</v>
      </c>
      <c r="G886" s="912">
        <f>GLOBAL_DER_FEV_2023!G886</f>
        <v>0</v>
      </c>
      <c r="H886" s="901">
        <f>GLOBAL_DER_FEV_2023!H886</f>
        <v>0</v>
      </c>
      <c r="I886" s="901">
        <f>GLOBAL_DER_FEV_2023!I886</f>
        <v>0</v>
      </c>
      <c r="J886" s="890">
        <f>GLOBAL_DER_FEV_2023!J886</f>
        <v>0</v>
      </c>
      <c r="K886" s="903" t="str">
        <f>GLOBAL_DER_FEV_2023!K886</f>
        <v xml:space="preserve">     </v>
      </c>
      <c r="L886" s="1137"/>
      <c r="M886" s="1140">
        <f t="shared" si="62"/>
        <v>0</v>
      </c>
      <c r="N886" s="1167">
        <f t="shared" si="66"/>
        <v>0</v>
      </c>
      <c r="O886" s="1165"/>
      <c r="Q886" s="317" t="str">
        <f t="shared" si="63"/>
        <v/>
      </c>
      <c r="R886" s="317" t="str">
        <f t="shared" si="64"/>
        <v/>
      </c>
      <c r="S886" s="317" t="str">
        <f t="shared" si="65"/>
        <v/>
      </c>
      <c r="T886" s="317" t="str">
        <f>GLOBAL_DER_FEV_2023!S886</f>
        <v/>
      </c>
      <c r="W886" s="582">
        <v>0</v>
      </c>
      <c r="X886" s="580"/>
      <c r="Y886" s="583">
        <f>IF(GLOBAL_DER_FEV_2023!W886=0,0,IF(GLOBAL_DER_FEV_2023!W886&gt;0,"c","b"))</f>
        <v>0</v>
      </c>
    </row>
    <row r="887" spans="1:25" ht="15" hidden="1" customHeight="1" x14ac:dyDescent="0.2">
      <c r="A887" s="640" t="s">
        <v>165</v>
      </c>
      <c r="B887" s="1036" t="str">
        <f>GLOBAL_DER_FEV_2023!B887</f>
        <v/>
      </c>
      <c r="C887" s="1072" t="str">
        <f>GLOBAL_DER_FEV_2023!C887</f>
        <v/>
      </c>
      <c r="D887" s="1141">
        <f>GLOBAL_DER_FEV_2023!D887</f>
        <v>0</v>
      </c>
      <c r="E887" s="907">
        <f>GLOBAL_DER_FEV_2023!E887</f>
        <v>0</v>
      </c>
      <c r="F887" s="908">
        <f>GLOBAL_DER_FEV_2023!F887</f>
        <v>0</v>
      </c>
      <c r="G887" s="912">
        <f>GLOBAL_DER_FEV_2023!G887</f>
        <v>0</v>
      </c>
      <c r="H887" s="901">
        <f>GLOBAL_DER_FEV_2023!H887</f>
        <v>0</v>
      </c>
      <c r="I887" s="901">
        <f>GLOBAL_DER_FEV_2023!I887</f>
        <v>0</v>
      </c>
      <c r="J887" s="890">
        <f>GLOBAL_DER_FEV_2023!J887</f>
        <v>0</v>
      </c>
      <c r="K887" s="903" t="str">
        <f>GLOBAL_DER_FEV_2023!K887</f>
        <v xml:space="preserve">     </v>
      </c>
      <c r="L887" s="1137"/>
      <c r="M887" s="1140">
        <f t="shared" si="62"/>
        <v>0</v>
      </c>
      <c r="N887" s="1167">
        <f t="shared" si="66"/>
        <v>0</v>
      </c>
      <c r="O887" s="1165"/>
      <c r="Q887" s="317" t="str">
        <f t="shared" si="63"/>
        <v/>
      </c>
      <c r="R887" s="317" t="str">
        <f t="shared" si="64"/>
        <v/>
      </c>
      <c r="S887" s="317" t="str">
        <f t="shared" si="65"/>
        <v/>
      </c>
      <c r="T887" s="317" t="str">
        <f>GLOBAL_DER_FEV_2023!S887</f>
        <v/>
      </c>
      <c r="W887" s="582">
        <v>0</v>
      </c>
      <c r="X887" s="580"/>
      <c r="Y887" s="583">
        <f>IF(GLOBAL_DER_FEV_2023!W887=0,0,IF(GLOBAL_DER_FEV_2023!W887&gt;0,"c","b"))</f>
        <v>0</v>
      </c>
    </row>
    <row r="888" spans="1:25" ht="15" hidden="1" customHeight="1" x14ac:dyDescent="0.2">
      <c r="A888" s="640" t="s">
        <v>165</v>
      </c>
      <c r="B888" s="1036" t="str">
        <f>GLOBAL_DER_FEV_2023!B888</f>
        <v/>
      </c>
      <c r="C888" s="1072" t="str">
        <f>GLOBAL_DER_FEV_2023!C888</f>
        <v/>
      </c>
      <c r="D888" s="1141">
        <f>GLOBAL_DER_FEV_2023!D888</f>
        <v>0</v>
      </c>
      <c r="E888" s="907">
        <f>GLOBAL_DER_FEV_2023!E888</f>
        <v>0</v>
      </c>
      <c r="F888" s="908">
        <f>GLOBAL_DER_FEV_2023!F888</f>
        <v>0</v>
      </c>
      <c r="G888" s="912">
        <f>GLOBAL_DER_FEV_2023!G888</f>
        <v>0</v>
      </c>
      <c r="H888" s="901">
        <f>GLOBAL_DER_FEV_2023!H888</f>
        <v>0</v>
      </c>
      <c r="I888" s="901">
        <f>GLOBAL_DER_FEV_2023!I888</f>
        <v>0</v>
      </c>
      <c r="J888" s="890">
        <f>GLOBAL_DER_FEV_2023!J888</f>
        <v>0</v>
      </c>
      <c r="K888" s="903" t="str">
        <f>GLOBAL_DER_FEV_2023!K888</f>
        <v xml:space="preserve">     </v>
      </c>
      <c r="L888" s="1137"/>
      <c r="M888" s="1140">
        <f t="shared" si="62"/>
        <v>0</v>
      </c>
      <c r="N888" s="1167">
        <f t="shared" si="66"/>
        <v>0</v>
      </c>
      <c r="O888" s="1165"/>
      <c r="Q888" s="317" t="str">
        <f t="shared" si="63"/>
        <v/>
      </c>
      <c r="R888" s="317" t="str">
        <f t="shared" si="64"/>
        <v/>
      </c>
      <c r="S888" s="317" t="str">
        <f t="shared" si="65"/>
        <v/>
      </c>
      <c r="T888" s="317" t="str">
        <f>GLOBAL_DER_FEV_2023!S888</f>
        <v/>
      </c>
      <c r="W888" s="582">
        <v>0</v>
      </c>
      <c r="X888" s="580"/>
      <c r="Y888" s="583">
        <f>IF(GLOBAL_DER_FEV_2023!W888=0,0,IF(GLOBAL_DER_FEV_2023!W888&gt;0,"c","b"))</f>
        <v>0</v>
      </c>
    </row>
    <row r="889" spans="1:25" ht="15" hidden="1" customHeight="1" x14ac:dyDescent="0.2">
      <c r="A889" s="640" t="s">
        <v>165</v>
      </c>
      <c r="B889" s="1036" t="str">
        <f>GLOBAL_DER_FEV_2023!B889</f>
        <v/>
      </c>
      <c r="C889" s="1072" t="str">
        <f>GLOBAL_DER_FEV_2023!C889</f>
        <v/>
      </c>
      <c r="D889" s="1141">
        <f>GLOBAL_DER_FEV_2023!D889</f>
        <v>0</v>
      </c>
      <c r="E889" s="907">
        <f>GLOBAL_DER_FEV_2023!E889</f>
        <v>0</v>
      </c>
      <c r="F889" s="908">
        <f>GLOBAL_DER_FEV_2023!F889</f>
        <v>0</v>
      </c>
      <c r="G889" s="912">
        <f>GLOBAL_DER_FEV_2023!G889</f>
        <v>0</v>
      </c>
      <c r="H889" s="901">
        <f>GLOBAL_DER_FEV_2023!H889</f>
        <v>0</v>
      </c>
      <c r="I889" s="901">
        <f>GLOBAL_DER_FEV_2023!I889</f>
        <v>0</v>
      </c>
      <c r="J889" s="890">
        <f>GLOBAL_DER_FEV_2023!J889</f>
        <v>0</v>
      </c>
      <c r="K889" s="903" t="str">
        <f>GLOBAL_DER_FEV_2023!K889</f>
        <v xml:space="preserve">     </v>
      </c>
      <c r="L889" s="1137"/>
      <c r="M889" s="1140">
        <f t="shared" si="62"/>
        <v>0</v>
      </c>
      <c r="N889" s="1167">
        <f t="shared" si="66"/>
        <v>0</v>
      </c>
      <c r="O889" s="1165"/>
      <c r="Q889" s="317" t="str">
        <f t="shared" si="63"/>
        <v/>
      </c>
      <c r="R889" s="317" t="str">
        <f t="shared" si="64"/>
        <v/>
      </c>
      <c r="S889" s="317" t="str">
        <f t="shared" si="65"/>
        <v/>
      </c>
      <c r="T889" s="317" t="str">
        <f>GLOBAL_DER_FEV_2023!S889</f>
        <v/>
      </c>
      <c r="W889" s="582">
        <v>0</v>
      </c>
      <c r="X889" s="580"/>
      <c r="Y889" s="583">
        <f>IF(GLOBAL_DER_FEV_2023!W889=0,0,IF(GLOBAL_DER_FEV_2023!W889&gt;0,"c","b"))</f>
        <v>0</v>
      </c>
    </row>
    <row r="890" spans="1:25" ht="15" hidden="1" customHeight="1" x14ac:dyDescent="0.2">
      <c r="A890" s="640" t="s">
        <v>165</v>
      </c>
      <c r="B890" s="1036" t="str">
        <f>GLOBAL_DER_FEV_2023!B890</f>
        <v/>
      </c>
      <c r="C890" s="1072" t="str">
        <f>GLOBAL_DER_FEV_2023!C890</f>
        <v/>
      </c>
      <c r="D890" s="1141">
        <f>GLOBAL_DER_FEV_2023!D890</f>
        <v>0</v>
      </c>
      <c r="E890" s="907">
        <f>GLOBAL_DER_FEV_2023!E890</f>
        <v>0</v>
      </c>
      <c r="F890" s="908">
        <f>GLOBAL_DER_FEV_2023!F890</f>
        <v>0</v>
      </c>
      <c r="G890" s="912">
        <f>GLOBAL_DER_FEV_2023!G890</f>
        <v>0</v>
      </c>
      <c r="H890" s="901">
        <f>GLOBAL_DER_FEV_2023!H890</f>
        <v>0</v>
      </c>
      <c r="I890" s="901">
        <f>GLOBAL_DER_FEV_2023!I890</f>
        <v>0</v>
      </c>
      <c r="J890" s="890">
        <f>GLOBAL_DER_FEV_2023!J890</f>
        <v>0</v>
      </c>
      <c r="K890" s="903" t="str">
        <f>GLOBAL_DER_FEV_2023!K890</f>
        <v xml:space="preserve">     </v>
      </c>
      <c r="L890" s="1137"/>
      <c r="M890" s="1140">
        <f t="shared" si="62"/>
        <v>0</v>
      </c>
      <c r="N890" s="1167">
        <f t="shared" si="66"/>
        <v>0</v>
      </c>
      <c r="O890" s="1165"/>
      <c r="Q890" s="317" t="str">
        <f t="shared" si="63"/>
        <v/>
      </c>
      <c r="R890" s="317" t="str">
        <f t="shared" si="64"/>
        <v/>
      </c>
      <c r="S890" s="317" t="str">
        <f t="shared" si="65"/>
        <v/>
      </c>
      <c r="T890" s="317" t="str">
        <f>GLOBAL_DER_FEV_2023!S890</f>
        <v/>
      </c>
      <c r="W890" s="582">
        <v>0</v>
      </c>
      <c r="X890" s="580"/>
      <c r="Y890" s="583">
        <f>IF(GLOBAL_DER_FEV_2023!W890=0,0,IF(GLOBAL_DER_FEV_2023!W890&gt;0,"c","b"))</f>
        <v>0</v>
      </c>
    </row>
    <row r="891" spans="1:25" ht="15" hidden="1" customHeight="1" x14ac:dyDescent="0.2">
      <c r="A891" s="640" t="s">
        <v>165</v>
      </c>
      <c r="B891" s="1036" t="str">
        <f>GLOBAL_DER_FEV_2023!B891</f>
        <v/>
      </c>
      <c r="C891" s="1072" t="str">
        <f>GLOBAL_DER_FEV_2023!C891</f>
        <v/>
      </c>
      <c r="D891" s="1141">
        <f>GLOBAL_DER_FEV_2023!D891</f>
        <v>0</v>
      </c>
      <c r="E891" s="907">
        <f>GLOBAL_DER_FEV_2023!E891</f>
        <v>0</v>
      </c>
      <c r="F891" s="908">
        <f>GLOBAL_DER_FEV_2023!F891</f>
        <v>0</v>
      </c>
      <c r="G891" s="912">
        <f>GLOBAL_DER_FEV_2023!G891</f>
        <v>0</v>
      </c>
      <c r="H891" s="901">
        <f>GLOBAL_DER_FEV_2023!H891</f>
        <v>0</v>
      </c>
      <c r="I891" s="901">
        <f>GLOBAL_DER_FEV_2023!I891</f>
        <v>0</v>
      </c>
      <c r="J891" s="890">
        <f>GLOBAL_DER_FEV_2023!J891</f>
        <v>0</v>
      </c>
      <c r="K891" s="903" t="str">
        <f>GLOBAL_DER_FEV_2023!K891</f>
        <v xml:space="preserve">     </v>
      </c>
      <c r="L891" s="1137"/>
      <c r="M891" s="1140">
        <f t="shared" si="62"/>
        <v>0</v>
      </c>
      <c r="N891" s="1167">
        <f t="shared" si="66"/>
        <v>0</v>
      </c>
      <c r="O891" s="1165"/>
      <c r="Q891" s="317" t="str">
        <f t="shared" si="63"/>
        <v/>
      </c>
      <c r="R891" s="317" t="str">
        <f t="shared" si="64"/>
        <v/>
      </c>
      <c r="S891" s="317" t="str">
        <f t="shared" si="65"/>
        <v/>
      </c>
      <c r="T891" s="317" t="str">
        <f>GLOBAL_DER_FEV_2023!S891</f>
        <v/>
      </c>
      <c r="W891" s="582">
        <v>0</v>
      </c>
      <c r="X891" s="580"/>
      <c r="Y891" s="583">
        <f>IF(GLOBAL_DER_FEV_2023!W891=0,0,IF(GLOBAL_DER_FEV_2023!W891&gt;0,"c","b"))</f>
        <v>0</v>
      </c>
    </row>
    <row r="892" spans="1:25" ht="15" hidden="1" customHeight="1" x14ac:dyDescent="0.2">
      <c r="A892" s="640" t="s">
        <v>165</v>
      </c>
      <c r="B892" s="1036" t="str">
        <f>GLOBAL_DER_FEV_2023!B892</f>
        <v/>
      </c>
      <c r="C892" s="1072" t="str">
        <f>GLOBAL_DER_FEV_2023!C892</f>
        <v/>
      </c>
      <c r="D892" s="1141">
        <f>GLOBAL_DER_FEV_2023!D892</f>
        <v>0</v>
      </c>
      <c r="E892" s="907">
        <f>GLOBAL_DER_FEV_2023!E892</f>
        <v>0</v>
      </c>
      <c r="F892" s="908">
        <f>GLOBAL_DER_FEV_2023!F892</f>
        <v>0</v>
      </c>
      <c r="G892" s="912">
        <f>GLOBAL_DER_FEV_2023!G892</f>
        <v>0</v>
      </c>
      <c r="H892" s="901">
        <f>GLOBAL_DER_FEV_2023!H892</f>
        <v>0</v>
      </c>
      <c r="I892" s="901">
        <f>GLOBAL_DER_FEV_2023!I892</f>
        <v>0</v>
      </c>
      <c r="J892" s="890">
        <f>GLOBAL_DER_FEV_2023!J892</f>
        <v>0</v>
      </c>
      <c r="K892" s="903" t="str">
        <f>GLOBAL_DER_FEV_2023!K892</f>
        <v xml:space="preserve">     </v>
      </c>
      <c r="L892" s="1137"/>
      <c r="M892" s="1140">
        <f t="shared" si="62"/>
        <v>0</v>
      </c>
      <c r="N892" s="1167">
        <f t="shared" si="66"/>
        <v>0</v>
      </c>
      <c r="O892" s="1165"/>
      <c r="Q892" s="317" t="str">
        <f t="shared" si="63"/>
        <v/>
      </c>
      <c r="R892" s="317" t="str">
        <f t="shared" si="64"/>
        <v/>
      </c>
      <c r="S892" s="317" t="str">
        <f t="shared" si="65"/>
        <v/>
      </c>
      <c r="T892" s="317" t="str">
        <f>GLOBAL_DER_FEV_2023!S892</f>
        <v/>
      </c>
      <c r="W892" s="582">
        <v>0</v>
      </c>
      <c r="X892" s="580"/>
      <c r="Y892" s="583">
        <f>IF(GLOBAL_DER_FEV_2023!W892=0,0,IF(GLOBAL_DER_FEV_2023!W892&gt;0,"c","b"))</f>
        <v>0</v>
      </c>
    </row>
    <row r="893" spans="1:25" ht="15" hidden="1" customHeight="1" x14ac:dyDescent="0.2">
      <c r="A893" s="640" t="s">
        <v>165</v>
      </c>
      <c r="B893" s="1036" t="str">
        <f>GLOBAL_DER_FEV_2023!B893</f>
        <v/>
      </c>
      <c r="C893" s="1072" t="str">
        <f>GLOBAL_DER_FEV_2023!C893</f>
        <v/>
      </c>
      <c r="D893" s="1141">
        <f>GLOBAL_DER_FEV_2023!D893</f>
        <v>0</v>
      </c>
      <c r="E893" s="907">
        <f>GLOBAL_DER_FEV_2023!E893</f>
        <v>0</v>
      </c>
      <c r="F893" s="908">
        <f>GLOBAL_DER_FEV_2023!F893</f>
        <v>0</v>
      </c>
      <c r="G893" s="912">
        <f>GLOBAL_DER_FEV_2023!G893</f>
        <v>0</v>
      </c>
      <c r="H893" s="901">
        <f>GLOBAL_DER_FEV_2023!H893</f>
        <v>0</v>
      </c>
      <c r="I893" s="901">
        <f>GLOBAL_DER_FEV_2023!I893</f>
        <v>0</v>
      </c>
      <c r="J893" s="890">
        <f>GLOBAL_DER_FEV_2023!J893</f>
        <v>0</v>
      </c>
      <c r="K893" s="903" t="str">
        <f>GLOBAL_DER_FEV_2023!K893</f>
        <v xml:space="preserve">     </v>
      </c>
      <c r="L893" s="1137"/>
      <c r="M893" s="1140">
        <f t="shared" si="62"/>
        <v>0</v>
      </c>
      <c r="N893" s="1167">
        <f t="shared" si="66"/>
        <v>0</v>
      </c>
      <c r="O893" s="1165"/>
      <c r="Q893" s="317" t="str">
        <f t="shared" si="63"/>
        <v/>
      </c>
      <c r="R893" s="317" t="str">
        <f t="shared" si="64"/>
        <v/>
      </c>
      <c r="S893" s="317" t="str">
        <f t="shared" si="65"/>
        <v/>
      </c>
      <c r="T893" s="317" t="str">
        <f>GLOBAL_DER_FEV_2023!S893</f>
        <v/>
      </c>
      <c r="W893" s="582">
        <v>0</v>
      </c>
      <c r="X893" s="580"/>
      <c r="Y893" s="583">
        <f>IF(GLOBAL_DER_FEV_2023!W893=0,0,IF(GLOBAL_DER_FEV_2023!W893&gt;0,"c","b"))</f>
        <v>0</v>
      </c>
    </row>
    <row r="894" spans="1:25" ht="15" hidden="1" customHeight="1" x14ac:dyDescent="0.2">
      <c r="A894" s="640" t="s">
        <v>165</v>
      </c>
      <c r="B894" s="1036" t="str">
        <f>GLOBAL_DER_FEV_2023!B894</f>
        <v/>
      </c>
      <c r="C894" s="1072" t="str">
        <f>GLOBAL_DER_FEV_2023!C894</f>
        <v/>
      </c>
      <c r="D894" s="1141">
        <f>GLOBAL_DER_FEV_2023!D894</f>
        <v>0</v>
      </c>
      <c r="E894" s="907">
        <f>GLOBAL_DER_FEV_2023!E894</f>
        <v>0</v>
      </c>
      <c r="F894" s="908">
        <f>GLOBAL_DER_FEV_2023!F894</f>
        <v>0</v>
      </c>
      <c r="G894" s="912">
        <f>GLOBAL_DER_FEV_2023!G894</f>
        <v>0</v>
      </c>
      <c r="H894" s="901">
        <f>GLOBAL_DER_FEV_2023!H894</f>
        <v>0</v>
      </c>
      <c r="I894" s="901">
        <f>GLOBAL_DER_FEV_2023!I894</f>
        <v>0</v>
      </c>
      <c r="J894" s="890">
        <f>GLOBAL_DER_FEV_2023!J894</f>
        <v>0</v>
      </c>
      <c r="K894" s="903" t="str">
        <f>GLOBAL_DER_FEV_2023!K894</f>
        <v xml:space="preserve">     </v>
      </c>
      <c r="L894" s="1137"/>
      <c r="M894" s="1140">
        <f t="shared" si="62"/>
        <v>0</v>
      </c>
      <c r="N894" s="1167">
        <f t="shared" si="66"/>
        <v>0</v>
      </c>
      <c r="O894" s="1165"/>
      <c r="Q894" s="317" t="str">
        <f t="shared" si="63"/>
        <v/>
      </c>
      <c r="R894" s="317" t="str">
        <f t="shared" si="64"/>
        <v/>
      </c>
      <c r="S894" s="317" t="str">
        <f t="shared" si="65"/>
        <v/>
      </c>
      <c r="T894" s="317" t="str">
        <f>GLOBAL_DER_FEV_2023!S894</f>
        <v/>
      </c>
      <c r="W894" s="582">
        <v>0</v>
      </c>
      <c r="X894" s="580"/>
      <c r="Y894" s="583">
        <f>IF(GLOBAL_DER_FEV_2023!W894=0,0,IF(GLOBAL_DER_FEV_2023!W894&gt;0,"c","b"))</f>
        <v>0</v>
      </c>
    </row>
    <row r="895" spans="1:25" ht="15" hidden="1" customHeight="1" x14ac:dyDescent="0.2">
      <c r="A895" s="640" t="s">
        <v>165</v>
      </c>
      <c r="B895" s="1036" t="str">
        <f>GLOBAL_DER_FEV_2023!B895</f>
        <v/>
      </c>
      <c r="C895" s="1072" t="str">
        <f>GLOBAL_DER_FEV_2023!C895</f>
        <v/>
      </c>
      <c r="D895" s="1141">
        <f>GLOBAL_DER_FEV_2023!D895</f>
        <v>0</v>
      </c>
      <c r="E895" s="907">
        <f>GLOBAL_DER_FEV_2023!E895</f>
        <v>0</v>
      </c>
      <c r="F895" s="908">
        <f>GLOBAL_DER_FEV_2023!F895</f>
        <v>0</v>
      </c>
      <c r="G895" s="912">
        <f>GLOBAL_DER_FEV_2023!G895</f>
        <v>0</v>
      </c>
      <c r="H895" s="901">
        <f>GLOBAL_DER_FEV_2023!H895</f>
        <v>0</v>
      </c>
      <c r="I895" s="901">
        <f>GLOBAL_DER_FEV_2023!I895</f>
        <v>0</v>
      </c>
      <c r="J895" s="890">
        <f>GLOBAL_DER_FEV_2023!J895</f>
        <v>0</v>
      </c>
      <c r="K895" s="903" t="str">
        <f>GLOBAL_DER_FEV_2023!K895</f>
        <v xml:space="preserve">     </v>
      </c>
      <c r="L895" s="1137"/>
      <c r="M895" s="1140">
        <f t="shared" si="62"/>
        <v>0</v>
      </c>
      <c r="N895" s="1167">
        <f t="shared" si="66"/>
        <v>0</v>
      </c>
      <c r="O895" s="1165"/>
      <c r="Q895" s="317" t="str">
        <f t="shared" si="63"/>
        <v/>
      </c>
      <c r="R895" s="317" t="str">
        <f t="shared" si="64"/>
        <v/>
      </c>
      <c r="S895" s="317" t="str">
        <f t="shared" si="65"/>
        <v/>
      </c>
      <c r="T895" s="317" t="str">
        <f>GLOBAL_DER_FEV_2023!S895</f>
        <v/>
      </c>
      <c r="W895" s="582">
        <v>0</v>
      </c>
      <c r="X895" s="580"/>
      <c r="Y895" s="583">
        <f>IF(GLOBAL_DER_FEV_2023!W895=0,0,IF(GLOBAL_DER_FEV_2023!W895&gt;0,"c","b"))</f>
        <v>0</v>
      </c>
    </row>
    <row r="896" spans="1:25" ht="15" hidden="1" customHeight="1" x14ac:dyDescent="0.2">
      <c r="A896" s="640" t="s">
        <v>165</v>
      </c>
      <c r="B896" s="1036" t="str">
        <f>GLOBAL_DER_FEV_2023!B896</f>
        <v/>
      </c>
      <c r="C896" s="1072" t="str">
        <f>GLOBAL_DER_FEV_2023!C896</f>
        <v/>
      </c>
      <c r="D896" s="1141">
        <f>GLOBAL_DER_FEV_2023!D896</f>
        <v>0</v>
      </c>
      <c r="E896" s="907">
        <f>GLOBAL_DER_FEV_2023!E896</f>
        <v>0</v>
      </c>
      <c r="F896" s="908">
        <f>GLOBAL_DER_FEV_2023!F896</f>
        <v>0</v>
      </c>
      <c r="G896" s="912">
        <f>GLOBAL_DER_FEV_2023!G896</f>
        <v>0</v>
      </c>
      <c r="H896" s="901">
        <f>GLOBAL_DER_FEV_2023!H896</f>
        <v>0</v>
      </c>
      <c r="I896" s="901">
        <f>GLOBAL_DER_FEV_2023!I896</f>
        <v>0</v>
      </c>
      <c r="J896" s="890">
        <f>GLOBAL_DER_FEV_2023!J896</f>
        <v>0</v>
      </c>
      <c r="K896" s="903" t="str">
        <f>GLOBAL_DER_FEV_2023!K896</f>
        <v xml:space="preserve">     </v>
      </c>
      <c r="L896" s="1137"/>
      <c r="M896" s="1140">
        <f t="shared" si="62"/>
        <v>0</v>
      </c>
      <c r="N896" s="1167">
        <f t="shared" si="66"/>
        <v>0</v>
      </c>
      <c r="O896" s="1165"/>
      <c r="Q896" s="317" t="str">
        <f t="shared" si="63"/>
        <v/>
      </c>
      <c r="R896" s="317" t="str">
        <f t="shared" si="64"/>
        <v/>
      </c>
      <c r="S896" s="317" t="str">
        <f t="shared" si="65"/>
        <v/>
      </c>
      <c r="T896" s="317" t="str">
        <f>GLOBAL_DER_FEV_2023!S896</f>
        <v/>
      </c>
      <c r="W896" s="582">
        <v>0</v>
      </c>
      <c r="X896" s="580"/>
      <c r="Y896" s="583">
        <f>IF(GLOBAL_DER_FEV_2023!W896=0,0,IF(GLOBAL_DER_FEV_2023!W896&gt;0,"c","b"))</f>
        <v>0</v>
      </c>
    </row>
    <row r="897" spans="1:25" ht="15" hidden="1" customHeight="1" x14ac:dyDescent="0.2">
      <c r="A897" s="640" t="s">
        <v>165</v>
      </c>
      <c r="B897" s="1036" t="str">
        <f>GLOBAL_DER_FEV_2023!B897</f>
        <v/>
      </c>
      <c r="C897" s="1072" t="str">
        <f>GLOBAL_DER_FEV_2023!C897</f>
        <v/>
      </c>
      <c r="D897" s="1141">
        <f>GLOBAL_DER_FEV_2023!D897</f>
        <v>0</v>
      </c>
      <c r="E897" s="907">
        <f>GLOBAL_DER_FEV_2023!E897</f>
        <v>0</v>
      </c>
      <c r="F897" s="908">
        <f>GLOBAL_DER_FEV_2023!F897</f>
        <v>0</v>
      </c>
      <c r="G897" s="912">
        <f>GLOBAL_DER_FEV_2023!G897</f>
        <v>0</v>
      </c>
      <c r="H897" s="901">
        <f>GLOBAL_DER_FEV_2023!H897</f>
        <v>0</v>
      </c>
      <c r="I897" s="901">
        <f>GLOBAL_DER_FEV_2023!I897</f>
        <v>0</v>
      </c>
      <c r="J897" s="890">
        <f>GLOBAL_DER_FEV_2023!J897</f>
        <v>0</v>
      </c>
      <c r="K897" s="903" t="str">
        <f>GLOBAL_DER_FEV_2023!K897</f>
        <v xml:space="preserve">     </v>
      </c>
      <c r="L897" s="1137"/>
      <c r="M897" s="1140">
        <f t="shared" si="62"/>
        <v>0</v>
      </c>
      <c r="N897" s="1167">
        <f t="shared" si="66"/>
        <v>0</v>
      </c>
      <c r="O897" s="1165"/>
      <c r="Q897" s="317" t="str">
        <f t="shared" si="63"/>
        <v/>
      </c>
      <c r="R897" s="317" t="str">
        <f t="shared" si="64"/>
        <v/>
      </c>
      <c r="S897" s="317" t="str">
        <f t="shared" si="65"/>
        <v/>
      </c>
      <c r="T897" s="317" t="str">
        <f>GLOBAL_DER_FEV_2023!S897</f>
        <v/>
      </c>
      <c r="W897" s="582">
        <v>0</v>
      </c>
      <c r="X897" s="580"/>
      <c r="Y897" s="583">
        <f>IF(GLOBAL_DER_FEV_2023!W897=0,0,IF(GLOBAL_DER_FEV_2023!W897&gt;0,"c","b"))</f>
        <v>0</v>
      </c>
    </row>
    <row r="898" spans="1:25" ht="15" hidden="1" customHeight="1" x14ac:dyDescent="0.2">
      <c r="A898" s="640" t="s">
        <v>165</v>
      </c>
      <c r="B898" s="1036" t="str">
        <f>GLOBAL_DER_FEV_2023!B898</f>
        <v/>
      </c>
      <c r="C898" s="1072" t="str">
        <f>GLOBAL_DER_FEV_2023!C898</f>
        <v/>
      </c>
      <c r="D898" s="1141">
        <f>GLOBAL_DER_FEV_2023!D898</f>
        <v>0</v>
      </c>
      <c r="E898" s="907">
        <f>GLOBAL_DER_FEV_2023!E898</f>
        <v>0</v>
      </c>
      <c r="F898" s="908">
        <f>GLOBAL_DER_FEV_2023!F898</f>
        <v>0</v>
      </c>
      <c r="G898" s="912">
        <f>GLOBAL_DER_FEV_2023!G898</f>
        <v>0</v>
      </c>
      <c r="H898" s="901">
        <f>GLOBAL_DER_FEV_2023!H898</f>
        <v>0</v>
      </c>
      <c r="I898" s="901">
        <f>GLOBAL_DER_FEV_2023!I898</f>
        <v>0</v>
      </c>
      <c r="J898" s="890">
        <f>GLOBAL_DER_FEV_2023!J898</f>
        <v>0</v>
      </c>
      <c r="K898" s="903" t="str">
        <f>GLOBAL_DER_FEV_2023!K898</f>
        <v xml:space="preserve">     </v>
      </c>
      <c r="L898" s="1137"/>
      <c r="M898" s="1140">
        <f t="shared" si="62"/>
        <v>0</v>
      </c>
      <c r="N898" s="1167">
        <f t="shared" si="66"/>
        <v>0</v>
      </c>
      <c r="O898" s="1165"/>
      <c r="Q898" s="317" t="str">
        <f t="shared" si="63"/>
        <v/>
      </c>
      <c r="R898" s="317" t="str">
        <f t="shared" si="64"/>
        <v/>
      </c>
      <c r="S898" s="317" t="str">
        <f t="shared" si="65"/>
        <v/>
      </c>
      <c r="T898" s="317" t="str">
        <f>GLOBAL_DER_FEV_2023!S898</f>
        <v/>
      </c>
      <c r="W898" s="582">
        <v>0</v>
      </c>
      <c r="X898" s="580"/>
      <c r="Y898" s="583">
        <f>IF(GLOBAL_DER_FEV_2023!W898=0,0,IF(GLOBAL_DER_FEV_2023!W898&gt;0,"c","b"))</f>
        <v>0</v>
      </c>
    </row>
    <row r="899" spans="1:25" ht="15" hidden="1" customHeight="1" x14ac:dyDescent="0.2">
      <c r="A899" s="640" t="s">
        <v>165</v>
      </c>
      <c r="B899" s="1036" t="str">
        <f>GLOBAL_DER_FEV_2023!B899</f>
        <v/>
      </c>
      <c r="C899" s="1072" t="str">
        <f>GLOBAL_DER_FEV_2023!C899</f>
        <v/>
      </c>
      <c r="D899" s="1141">
        <f>GLOBAL_DER_FEV_2023!D899</f>
        <v>0</v>
      </c>
      <c r="E899" s="907">
        <f>GLOBAL_DER_FEV_2023!E899</f>
        <v>0</v>
      </c>
      <c r="F899" s="908">
        <f>GLOBAL_DER_FEV_2023!F899</f>
        <v>0</v>
      </c>
      <c r="G899" s="912">
        <f>GLOBAL_DER_FEV_2023!G899</f>
        <v>0</v>
      </c>
      <c r="H899" s="901">
        <f>GLOBAL_DER_FEV_2023!H899</f>
        <v>0</v>
      </c>
      <c r="I899" s="901">
        <f>GLOBAL_DER_FEV_2023!I899</f>
        <v>0</v>
      </c>
      <c r="J899" s="890">
        <f>GLOBAL_DER_FEV_2023!J899</f>
        <v>0</v>
      </c>
      <c r="K899" s="903" t="str">
        <f>GLOBAL_DER_FEV_2023!K899</f>
        <v xml:space="preserve">     </v>
      </c>
      <c r="L899" s="1137"/>
      <c r="M899" s="1140">
        <f t="shared" si="62"/>
        <v>0</v>
      </c>
      <c r="N899" s="1167">
        <f t="shared" si="66"/>
        <v>0</v>
      </c>
      <c r="O899" s="1165"/>
      <c r="Q899" s="317" t="str">
        <f t="shared" si="63"/>
        <v/>
      </c>
      <c r="R899" s="317" t="str">
        <f t="shared" si="64"/>
        <v/>
      </c>
      <c r="S899" s="317" t="str">
        <f t="shared" si="65"/>
        <v/>
      </c>
      <c r="T899" s="317" t="str">
        <f>GLOBAL_DER_FEV_2023!S899</f>
        <v/>
      </c>
      <c r="W899" s="582">
        <v>0</v>
      </c>
      <c r="X899" s="580"/>
      <c r="Y899" s="583">
        <f>IF(GLOBAL_DER_FEV_2023!W899=0,0,IF(GLOBAL_DER_FEV_2023!W899&gt;0,"c","b"))</f>
        <v>0</v>
      </c>
    </row>
    <row r="900" spans="1:25" ht="15" hidden="1" customHeight="1" x14ac:dyDescent="0.2">
      <c r="A900" s="640" t="s">
        <v>165</v>
      </c>
      <c r="B900" s="1036" t="str">
        <f>GLOBAL_DER_FEV_2023!B900</f>
        <v/>
      </c>
      <c r="C900" s="1072" t="str">
        <f>GLOBAL_DER_FEV_2023!C900</f>
        <v/>
      </c>
      <c r="D900" s="1141">
        <f>GLOBAL_DER_FEV_2023!D900</f>
        <v>0</v>
      </c>
      <c r="E900" s="907">
        <f>GLOBAL_DER_FEV_2023!E900</f>
        <v>0</v>
      </c>
      <c r="F900" s="908">
        <f>GLOBAL_DER_FEV_2023!F900</f>
        <v>0</v>
      </c>
      <c r="G900" s="912">
        <f>GLOBAL_DER_FEV_2023!G900</f>
        <v>0</v>
      </c>
      <c r="H900" s="901">
        <f>GLOBAL_DER_FEV_2023!H900</f>
        <v>0</v>
      </c>
      <c r="I900" s="901">
        <f>GLOBAL_DER_FEV_2023!I900</f>
        <v>0</v>
      </c>
      <c r="J900" s="890">
        <f>GLOBAL_DER_FEV_2023!J900</f>
        <v>0</v>
      </c>
      <c r="K900" s="903" t="str">
        <f>GLOBAL_DER_FEV_2023!K900</f>
        <v xml:space="preserve">     </v>
      </c>
      <c r="L900" s="1137"/>
      <c r="M900" s="1140">
        <f t="shared" si="62"/>
        <v>0</v>
      </c>
      <c r="N900" s="1167">
        <f t="shared" si="66"/>
        <v>0</v>
      </c>
      <c r="O900" s="1165"/>
      <c r="Q900" s="317" t="str">
        <f t="shared" si="63"/>
        <v/>
      </c>
      <c r="R900" s="317" t="str">
        <f t="shared" si="64"/>
        <v/>
      </c>
      <c r="S900" s="317" t="str">
        <f t="shared" si="65"/>
        <v/>
      </c>
      <c r="T900" s="317" t="str">
        <f>GLOBAL_DER_FEV_2023!S900</f>
        <v/>
      </c>
      <c r="W900" s="582">
        <v>0</v>
      </c>
      <c r="X900" s="580"/>
      <c r="Y900" s="583">
        <f>IF(GLOBAL_DER_FEV_2023!W900=0,0,IF(GLOBAL_DER_FEV_2023!W900&gt;0,"c","b"))</f>
        <v>0</v>
      </c>
    </row>
    <row r="901" spans="1:25" ht="15" hidden="1" customHeight="1" x14ac:dyDescent="0.2">
      <c r="A901" s="640" t="s">
        <v>165</v>
      </c>
      <c r="B901" s="1036" t="str">
        <f>GLOBAL_DER_FEV_2023!B901</f>
        <v/>
      </c>
      <c r="C901" s="1072" t="str">
        <f>GLOBAL_DER_FEV_2023!C901</f>
        <v/>
      </c>
      <c r="D901" s="1141">
        <f>GLOBAL_DER_FEV_2023!D901</f>
        <v>0</v>
      </c>
      <c r="E901" s="907">
        <f>GLOBAL_DER_FEV_2023!E901</f>
        <v>0</v>
      </c>
      <c r="F901" s="908">
        <f>GLOBAL_DER_FEV_2023!F901</f>
        <v>0</v>
      </c>
      <c r="G901" s="912">
        <f>GLOBAL_DER_FEV_2023!G901</f>
        <v>0</v>
      </c>
      <c r="H901" s="901">
        <f>GLOBAL_DER_FEV_2023!H901</f>
        <v>0</v>
      </c>
      <c r="I901" s="901">
        <f>GLOBAL_DER_FEV_2023!I901</f>
        <v>0</v>
      </c>
      <c r="J901" s="890">
        <f>GLOBAL_DER_FEV_2023!J901</f>
        <v>0</v>
      </c>
      <c r="K901" s="903" t="str">
        <f>GLOBAL_DER_FEV_2023!K901</f>
        <v xml:space="preserve">     </v>
      </c>
      <c r="L901" s="1137"/>
      <c r="M901" s="1140">
        <f t="shared" si="62"/>
        <v>0</v>
      </c>
      <c r="N901" s="1167">
        <f t="shared" si="66"/>
        <v>0</v>
      </c>
      <c r="O901" s="1165"/>
      <c r="Q901" s="317" t="str">
        <f t="shared" si="63"/>
        <v/>
      </c>
      <c r="R901" s="317" t="str">
        <f t="shared" si="64"/>
        <v/>
      </c>
      <c r="S901" s="317" t="str">
        <f t="shared" si="65"/>
        <v/>
      </c>
      <c r="T901" s="317" t="str">
        <f>GLOBAL_DER_FEV_2023!S901</f>
        <v/>
      </c>
      <c r="W901" s="582">
        <v>0</v>
      </c>
      <c r="X901" s="580"/>
      <c r="Y901" s="583">
        <f>IF(GLOBAL_DER_FEV_2023!W901=0,0,IF(GLOBAL_DER_FEV_2023!W901&gt;0,"c","b"))</f>
        <v>0</v>
      </c>
    </row>
    <row r="902" spans="1:25" ht="15" hidden="1" customHeight="1" x14ac:dyDescent="0.2">
      <c r="A902" s="640" t="s">
        <v>165</v>
      </c>
      <c r="B902" s="1036" t="str">
        <f>GLOBAL_DER_FEV_2023!B902</f>
        <v/>
      </c>
      <c r="C902" s="1072" t="str">
        <f>GLOBAL_DER_FEV_2023!C902</f>
        <v/>
      </c>
      <c r="D902" s="1141">
        <f>GLOBAL_DER_FEV_2023!D902</f>
        <v>0</v>
      </c>
      <c r="E902" s="907">
        <f>GLOBAL_DER_FEV_2023!E902</f>
        <v>0</v>
      </c>
      <c r="F902" s="908">
        <f>GLOBAL_DER_FEV_2023!F902</f>
        <v>0</v>
      </c>
      <c r="G902" s="912">
        <f>GLOBAL_DER_FEV_2023!G902</f>
        <v>0</v>
      </c>
      <c r="H902" s="901">
        <f>GLOBAL_DER_FEV_2023!H902</f>
        <v>0</v>
      </c>
      <c r="I902" s="901">
        <f>GLOBAL_DER_FEV_2023!I902</f>
        <v>0</v>
      </c>
      <c r="J902" s="890">
        <f>GLOBAL_DER_FEV_2023!J902</f>
        <v>0</v>
      </c>
      <c r="K902" s="903" t="str">
        <f>GLOBAL_DER_FEV_2023!K902</f>
        <v xml:space="preserve">     </v>
      </c>
      <c r="L902" s="1137"/>
      <c r="M902" s="1140">
        <f t="shared" si="62"/>
        <v>0</v>
      </c>
      <c r="N902" s="1167">
        <f t="shared" si="66"/>
        <v>0</v>
      </c>
      <c r="O902" s="1165"/>
      <c r="Q902" s="317" t="str">
        <f t="shared" si="63"/>
        <v/>
      </c>
      <c r="R902" s="317" t="str">
        <f t="shared" si="64"/>
        <v/>
      </c>
      <c r="S902" s="317" t="str">
        <f t="shared" si="65"/>
        <v/>
      </c>
      <c r="T902" s="317" t="str">
        <f>GLOBAL_DER_FEV_2023!S902</f>
        <v/>
      </c>
      <c r="W902" s="582">
        <v>0</v>
      </c>
      <c r="X902" s="580"/>
      <c r="Y902" s="583">
        <f>IF(GLOBAL_DER_FEV_2023!W902=0,0,IF(GLOBAL_DER_FEV_2023!W902&gt;0,"c","b"))</f>
        <v>0</v>
      </c>
    </row>
    <row r="903" spans="1:25" ht="15" hidden="1" customHeight="1" x14ac:dyDescent="0.2">
      <c r="A903" s="640" t="s">
        <v>165</v>
      </c>
      <c r="B903" s="1036" t="str">
        <f>GLOBAL_DER_FEV_2023!B903</f>
        <v/>
      </c>
      <c r="C903" s="1072" t="str">
        <f>GLOBAL_DER_FEV_2023!C903</f>
        <v/>
      </c>
      <c r="D903" s="1141">
        <f>GLOBAL_DER_FEV_2023!D903</f>
        <v>0</v>
      </c>
      <c r="E903" s="907">
        <f>GLOBAL_DER_FEV_2023!E903</f>
        <v>0</v>
      </c>
      <c r="F903" s="908">
        <f>GLOBAL_DER_FEV_2023!F903</f>
        <v>0</v>
      </c>
      <c r="G903" s="912">
        <f>GLOBAL_DER_FEV_2023!G903</f>
        <v>0</v>
      </c>
      <c r="H903" s="901">
        <f>GLOBAL_DER_FEV_2023!H903</f>
        <v>0</v>
      </c>
      <c r="I903" s="901">
        <f>GLOBAL_DER_FEV_2023!I903</f>
        <v>0</v>
      </c>
      <c r="J903" s="890">
        <f>GLOBAL_DER_FEV_2023!J903</f>
        <v>0</v>
      </c>
      <c r="K903" s="903" t="str">
        <f>GLOBAL_DER_FEV_2023!K903</f>
        <v xml:space="preserve">     </v>
      </c>
      <c r="L903" s="1137"/>
      <c r="M903" s="1140">
        <f t="shared" si="62"/>
        <v>0</v>
      </c>
      <c r="N903" s="1167">
        <f t="shared" si="66"/>
        <v>0</v>
      </c>
      <c r="O903" s="1165"/>
      <c r="Q903" s="317" t="str">
        <f t="shared" si="63"/>
        <v/>
      </c>
      <c r="R903" s="317" t="str">
        <f t="shared" si="64"/>
        <v/>
      </c>
      <c r="S903" s="317" t="str">
        <f t="shared" si="65"/>
        <v/>
      </c>
      <c r="T903" s="317" t="str">
        <f>GLOBAL_DER_FEV_2023!S903</f>
        <v/>
      </c>
      <c r="W903" s="582">
        <v>0</v>
      </c>
      <c r="X903" s="580"/>
      <c r="Y903" s="583">
        <f>IF(GLOBAL_DER_FEV_2023!W903=0,0,IF(GLOBAL_DER_FEV_2023!W903&gt;0,"c","b"))</f>
        <v>0</v>
      </c>
    </row>
    <row r="904" spans="1:25" ht="15" hidden="1" customHeight="1" x14ac:dyDescent="0.2">
      <c r="A904" s="640" t="s">
        <v>165</v>
      </c>
      <c r="B904" s="1036" t="str">
        <f>GLOBAL_DER_FEV_2023!B904</f>
        <v/>
      </c>
      <c r="C904" s="1072" t="str">
        <f>GLOBAL_DER_FEV_2023!C904</f>
        <v/>
      </c>
      <c r="D904" s="1141">
        <f>GLOBAL_DER_FEV_2023!D904</f>
        <v>0</v>
      </c>
      <c r="E904" s="907">
        <f>GLOBAL_DER_FEV_2023!E904</f>
        <v>0</v>
      </c>
      <c r="F904" s="908">
        <f>GLOBAL_DER_FEV_2023!F904</f>
        <v>0</v>
      </c>
      <c r="G904" s="912">
        <f>GLOBAL_DER_FEV_2023!G904</f>
        <v>0</v>
      </c>
      <c r="H904" s="901">
        <f>GLOBAL_DER_FEV_2023!H904</f>
        <v>0</v>
      </c>
      <c r="I904" s="901">
        <f>GLOBAL_DER_FEV_2023!I904</f>
        <v>0</v>
      </c>
      <c r="J904" s="890">
        <f>GLOBAL_DER_FEV_2023!J904</f>
        <v>0</v>
      </c>
      <c r="K904" s="903" t="str">
        <f>GLOBAL_DER_FEV_2023!K904</f>
        <v xml:space="preserve">     </v>
      </c>
      <c r="L904" s="1137"/>
      <c r="M904" s="1140">
        <f t="shared" si="62"/>
        <v>0</v>
      </c>
      <c r="N904" s="1167">
        <f t="shared" si="66"/>
        <v>0</v>
      </c>
      <c r="O904" s="1165"/>
      <c r="Q904" s="317" t="str">
        <f t="shared" si="63"/>
        <v/>
      </c>
      <c r="R904" s="317" t="str">
        <f t="shared" si="64"/>
        <v/>
      </c>
      <c r="S904" s="317" t="str">
        <f t="shared" si="65"/>
        <v/>
      </c>
      <c r="T904" s="317" t="str">
        <f>GLOBAL_DER_FEV_2023!S904</f>
        <v/>
      </c>
      <c r="W904" s="582">
        <v>0</v>
      </c>
      <c r="X904" s="580"/>
      <c r="Y904" s="583">
        <f>IF(GLOBAL_DER_FEV_2023!W904=0,0,IF(GLOBAL_DER_FEV_2023!W904&gt;0,"c","b"))</f>
        <v>0</v>
      </c>
    </row>
    <row r="905" spans="1:25" ht="15" hidden="1" customHeight="1" x14ac:dyDescent="0.2">
      <c r="A905" s="640" t="s">
        <v>165</v>
      </c>
      <c r="B905" s="1036" t="str">
        <f>GLOBAL_DER_FEV_2023!B905</f>
        <v/>
      </c>
      <c r="C905" s="1072" t="str">
        <f>GLOBAL_DER_FEV_2023!C905</f>
        <v/>
      </c>
      <c r="D905" s="1141">
        <f>GLOBAL_DER_FEV_2023!D905</f>
        <v>0</v>
      </c>
      <c r="E905" s="907">
        <f>GLOBAL_DER_FEV_2023!E905</f>
        <v>0</v>
      </c>
      <c r="F905" s="908">
        <f>GLOBAL_DER_FEV_2023!F905</f>
        <v>0</v>
      </c>
      <c r="G905" s="912">
        <f>GLOBAL_DER_FEV_2023!G905</f>
        <v>0</v>
      </c>
      <c r="H905" s="901">
        <f>GLOBAL_DER_FEV_2023!H905</f>
        <v>0</v>
      </c>
      <c r="I905" s="901">
        <f>GLOBAL_DER_FEV_2023!I905</f>
        <v>0</v>
      </c>
      <c r="J905" s="890">
        <f>GLOBAL_DER_FEV_2023!J905</f>
        <v>0</v>
      </c>
      <c r="K905" s="903" t="str">
        <f>GLOBAL_DER_FEV_2023!K905</f>
        <v xml:space="preserve">     </v>
      </c>
      <c r="L905" s="1137"/>
      <c r="M905" s="1140">
        <f t="shared" si="62"/>
        <v>0</v>
      </c>
      <c r="N905" s="1167">
        <f t="shared" si="66"/>
        <v>0</v>
      </c>
      <c r="O905" s="1165"/>
      <c r="Q905" s="317" t="str">
        <f t="shared" si="63"/>
        <v/>
      </c>
      <c r="R905" s="317" t="str">
        <f t="shared" si="64"/>
        <v/>
      </c>
      <c r="S905" s="317" t="str">
        <f t="shared" si="65"/>
        <v/>
      </c>
      <c r="T905" s="317" t="str">
        <f>GLOBAL_DER_FEV_2023!S905</f>
        <v/>
      </c>
      <c r="W905" s="582">
        <v>0</v>
      </c>
      <c r="X905" s="580"/>
      <c r="Y905" s="583">
        <f>IF(GLOBAL_DER_FEV_2023!W905=0,0,IF(GLOBAL_DER_FEV_2023!W905&gt;0,"c","b"))</f>
        <v>0</v>
      </c>
    </row>
    <row r="906" spans="1:25" ht="15" hidden="1" customHeight="1" x14ac:dyDescent="0.2">
      <c r="A906" s="640" t="s">
        <v>165</v>
      </c>
      <c r="B906" s="1036" t="str">
        <f>GLOBAL_DER_FEV_2023!B906</f>
        <v/>
      </c>
      <c r="C906" s="1072" t="str">
        <f>GLOBAL_DER_FEV_2023!C906</f>
        <v/>
      </c>
      <c r="D906" s="1141">
        <f>GLOBAL_DER_FEV_2023!D906</f>
        <v>0</v>
      </c>
      <c r="E906" s="907">
        <f>GLOBAL_DER_FEV_2023!E906</f>
        <v>0</v>
      </c>
      <c r="F906" s="908">
        <f>GLOBAL_DER_FEV_2023!F906</f>
        <v>0</v>
      </c>
      <c r="G906" s="912">
        <f>GLOBAL_DER_FEV_2023!G906</f>
        <v>0</v>
      </c>
      <c r="H906" s="901">
        <f>GLOBAL_DER_FEV_2023!H906</f>
        <v>0</v>
      </c>
      <c r="I906" s="901">
        <f>GLOBAL_DER_FEV_2023!I906</f>
        <v>0</v>
      </c>
      <c r="J906" s="890">
        <f>GLOBAL_DER_FEV_2023!J906</f>
        <v>0</v>
      </c>
      <c r="K906" s="903" t="str">
        <f>GLOBAL_DER_FEV_2023!K906</f>
        <v xml:space="preserve">     </v>
      </c>
      <c r="L906" s="1137"/>
      <c r="M906" s="1140">
        <f t="shared" si="62"/>
        <v>0</v>
      </c>
      <c r="N906" s="1167">
        <f t="shared" si="66"/>
        <v>0</v>
      </c>
      <c r="O906" s="1165"/>
      <c r="Q906" s="317" t="str">
        <f t="shared" si="63"/>
        <v/>
      </c>
      <c r="R906" s="317" t="str">
        <f t="shared" si="64"/>
        <v/>
      </c>
      <c r="S906" s="317" t="str">
        <f t="shared" si="65"/>
        <v/>
      </c>
      <c r="T906" s="317" t="str">
        <f>GLOBAL_DER_FEV_2023!S906</f>
        <v/>
      </c>
      <c r="W906" s="582">
        <v>0</v>
      </c>
      <c r="X906" s="580"/>
      <c r="Y906" s="583">
        <f>IF(GLOBAL_DER_FEV_2023!W906=0,0,IF(GLOBAL_DER_FEV_2023!W906&gt;0,"c","b"))</f>
        <v>0</v>
      </c>
    </row>
    <row r="907" spans="1:25" ht="15" hidden="1" customHeight="1" x14ac:dyDescent="0.2">
      <c r="A907" s="640" t="s">
        <v>165</v>
      </c>
      <c r="B907" s="1036" t="str">
        <f>GLOBAL_DER_FEV_2023!B907</f>
        <v/>
      </c>
      <c r="C907" s="1072" t="str">
        <f>GLOBAL_DER_FEV_2023!C907</f>
        <v/>
      </c>
      <c r="D907" s="1141">
        <f>GLOBAL_DER_FEV_2023!D907</f>
        <v>0</v>
      </c>
      <c r="E907" s="907">
        <f>GLOBAL_DER_FEV_2023!E907</f>
        <v>0</v>
      </c>
      <c r="F907" s="908">
        <f>GLOBAL_DER_FEV_2023!F907</f>
        <v>0</v>
      </c>
      <c r="G907" s="912">
        <f>GLOBAL_DER_FEV_2023!G907</f>
        <v>0</v>
      </c>
      <c r="H907" s="901">
        <f>GLOBAL_DER_FEV_2023!H907</f>
        <v>0</v>
      </c>
      <c r="I907" s="901">
        <f>GLOBAL_DER_FEV_2023!I907</f>
        <v>0</v>
      </c>
      <c r="J907" s="890">
        <f>GLOBAL_DER_FEV_2023!J907</f>
        <v>0</v>
      </c>
      <c r="K907" s="903" t="str">
        <f>GLOBAL_DER_FEV_2023!K907</f>
        <v xml:space="preserve">     </v>
      </c>
      <c r="L907" s="1137"/>
      <c r="M907" s="1140">
        <f t="shared" si="62"/>
        <v>0</v>
      </c>
      <c r="N907" s="1167">
        <f t="shared" si="66"/>
        <v>0</v>
      </c>
      <c r="O907" s="1165"/>
      <c r="Q907" s="317" t="str">
        <f t="shared" si="63"/>
        <v/>
      </c>
      <c r="R907" s="317" t="str">
        <f t="shared" si="64"/>
        <v/>
      </c>
      <c r="S907" s="317" t="str">
        <f t="shared" si="65"/>
        <v/>
      </c>
      <c r="T907" s="317" t="str">
        <f>GLOBAL_DER_FEV_2023!S907</f>
        <v/>
      </c>
      <c r="W907" s="582">
        <v>0</v>
      </c>
      <c r="X907" s="580"/>
      <c r="Y907" s="583">
        <f>IF(GLOBAL_DER_FEV_2023!W907=0,0,IF(GLOBAL_DER_FEV_2023!W907&gt;0,"c","b"))</f>
        <v>0</v>
      </c>
    </row>
    <row r="908" spans="1:25" ht="15" hidden="1" customHeight="1" x14ac:dyDescent="0.2">
      <c r="A908" s="640" t="s">
        <v>165</v>
      </c>
      <c r="B908" s="1036" t="str">
        <f>GLOBAL_DER_FEV_2023!B908</f>
        <v/>
      </c>
      <c r="C908" s="1072" t="str">
        <f>GLOBAL_DER_FEV_2023!C908</f>
        <v/>
      </c>
      <c r="D908" s="1141">
        <f>GLOBAL_DER_FEV_2023!D908</f>
        <v>0</v>
      </c>
      <c r="E908" s="907">
        <f>GLOBAL_DER_FEV_2023!E908</f>
        <v>0</v>
      </c>
      <c r="F908" s="908">
        <f>GLOBAL_DER_FEV_2023!F908</f>
        <v>0</v>
      </c>
      <c r="G908" s="912">
        <f>GLOBAL_DER_FEV_2023!G908</f>
        <v>0</v>
      </c>
      <c r="H908" s="901">
        <f>GLOBAL_DER_FEV_2023!H908</f>
        <v>0</v>
      </c>
      <c r="I908" s="901">
        <f>GLOBAL_DER_FEV_2023!I908</f>
        <v>0</v>
      </c>
      <c r="J908" s="890">
        <f>GLOBAL_DER_FEV_2023!J908</f>
        <v>0</v>
      </c>
      <c r="K908" s="903" t="str">
        <f>GLOBAL_DER_FEV_2023!K908</f>
        <v xml:space="preserve">     </v>
      </c>
      <c r="L908" s="1137"/>
      <c r="M908" s="1140">
        <f t="shared" si="62"/>
        <v>0</v>
      </c>
      <c r="N908" s="1167">
        <f t="shared" si="66"/>
        <v>0</v>
      </c>
      <c r="O908" s="1165"/>
      <c r="Q908" s="317" t="str">
        <f t="shared" si="63"/>
        <v/>
      </c>
      <c r="R908" s="317" t="str">
        <f t="shared" si="64"/>
        <v/>
      </c>
      <c r="S908" s="317" t="str">
        <f t="shared" si="65"/>
        <v/>
      </c>
      <c r="T908" s="317" t="str">
        <f>GLOBAL_DER_FEV_2023!S908</f>
        <v/>
      </c>
      <c r="W908" s="582">
        <v>0</v>
      </c>
      <c r="X908" s="580"/>
      <c r="Y908" s="583">
        <f>IF(GLOBAL_DER_FEV_2023!W908=0,0,IF(GLOBAL_DER_FEV_2023!W908&gt;0,"c","b"))</f>
        <v>0</v>
      </c>
    </row>
    <row r="909" spans="1:25" ht="15" hidden="1" customHeight="1" x14ac:dyDescent="0.2">
      <c r="A909" s="640" t="s">
        <v>165</v>
      </c>
      <c r="B909" s="1036" t="str">
        <f>GLOBAL_DER_FEV_2023!B909</f>
        <v/>
      </c>
      <c r="C909" s="1072" t="str">
        <f>GLOBAL_DER_FEV_2023!C909</f>
        <v/>
      </c>
      <c r="D909" s="1141">
        <f>GLOBAL_DER_FEV_2023!D909</f>
        <v>0</v>
      </c>
      <c r="E909" s="907">
        <f>GLOBAL_DER_FEV_2023!E909</f>
        <v>0</v>
      </c>
      <c r="F909" s="908">
        <f>GLOBAL_DER_FEV_2023!F909</f>
        <v>0</v>
      </c>
      <c r="G909" s="912">
        <f>GLOBAL_DER_FEV_2023!G909</f>
        <v>0</v>
      </c>
      <c r="H909" s="901">
        <f>GLOBAL_DER_FEV_2023!H909</f>
        <v>0</v>
      </c>
      <c r="I909" s="901">
        <f>GLOBAL_DER_FEV_2023!I909</f>
        <v>0</v>
      </c>
      <c r="J909" s="890">
        <f>GLOBAL_DER_FEV_2023!J909</f>
        <v>0</v>
      </c>
      <c r="K909" s="903" t="str">
        <f>GLOBAL_DER_FEV_2023!K909</f>
        <v xml:space="preserve">     </v>
      </c>
      <c r="L909" s="1137"/>
      <c r="M909" s="1140">
        <f t="shared" si="62"/>
        <v>0</v>
      </c>
      <c r="N909" s="1167">
        <f t="shared" si="66"/>
        <v>0</v>
      </c>
      <c r="O909" s="1165"/>
      <c r="Q909" s="317" t="str">
        <f t="shared" si="63"/>
        <v/>
      </c>
      <c r="R909" s="317" t="str">
        <f t="shared" si="64"/>
        <v/>
      </c>
      <c r="S909" s="317" t="str">
        <f t="shared" si="65"/>
        <v/>
      </c>
      <c r="T909" s="317" t="str">
        <f>GLOBAL_DER_FEV_2023!S909</f>
        <v/>
      </c>
      <c r="W909" s="582">
        <v>0</v>
      </c>
      <c r="X909" s="580"/>
      <c r="Y909" s="583">
        <f>IF(GLOBAL_DER_FEV_2023!W909=0,0,IF(GLOBAL_DER_FEV_2023!W909&gt;0,"c","b"))</f>
        <v>0</v>
      </c>
    </row>
    <row r="910" spans="1:25" ht="15" hidden="1" customHeight="1" x14ac:dyDescent="0.2">
      <c r="A910" s="640" t="s">
        <v>165</v>
      </c>
      <c r="B910" s="1036" t="str">
        <f>GLOBAL_DER_FEV_2023!B910</f>
        <v/>
      </c>
      <c r="C910" s="1072" t="str">
        <f>GLOBAL_DER_FEV_2023!C910</f>
        <v/>
      </c>
      <c r="D910" s="1141">
        <f>GLOBAL_DER_FEV_2023!D910</f>
        <v>0</v>
      </c>
      <c r="E910" s="907">
        <f>GLOBAL_DER_FEV_2023!E910</f>
        <v>0</v>
      </c>
      <c r="F910" s="908">
        <f>GLOBAL_DER_FEV_2023!F910</f>
        <v>0</v>
      </c>
      <c r="G910" s="912">
        <f>GLOBAL_DER_FEV_2023!G910</f>
        <v>0</v>
      </c>
      <c r="H910" s="901">
        <f>GLOBAL_DER_FEV_2023!H910</f>
        <v>0</v>
      </c>
      <c r="I910" s="901">
        <f>GLOBAL_DER_FEV_2023!I910</f>
        <v>0</v>
      </c>
      <c r="J910" s="890">
        <f>GLOBAL_DER_FEV_2023!J910</f>
        <v>0</v>
      </c>
      <c r="K910" s="903" t="str">
        <f>GLOBAL_DER_FEV_2023!K910</f>
        <v xml:space="preserve">     </v>
      </c>
      <c r="L910" s="1137"/>
      <c r="M910" s="1140">
        <f t="shared" si="62"/>
        <v>0</v>
      </c>
      <c r="N910" s="1167">
        <f t="shared" si="66"/>
        <v>0</v>
      </c>
      <c r="O910" s="1165"/>
      <c r="Q910" s="317" t="str">
        <f t="shared" si="63"/>
        <v/>
      </c>
      <c r="R910" s="317" t="str">
        <f t="shared" si="64"/>
        <v/>
      </c>
      <c r="S910" s="317" t="str">
        <f t="shared" si="65"/>
        <v/>
      </c>
      <c r="T910" s="317" t="str">
        <f>GLOBAL_DER_FEV_2023!S910</f>
        <v/>
      </c>
      <c r="W910" s="582">
        <v>0</v>
      </c>
      <c r="X910" s="580"/>
      <c r="Y910" s="583">
        <f>IF(GLOBAL_DER_FEV_2023!W910=0,0,IF(GLOBAL_DER_FEV_2023!W910&gt;0,"c","b"))</f>
        <v>0</v>
      </c>
    </row>
    <row r="911" spans="1:25" ht="15" hidden="1" customHeight="1" x14ac:dyDescent="0.2">
      <c r="A911" s="640" t="s">
        <v>165</v>
      </c>
      <c r="B911" s="1036" t="str">
        <f>GLOBAL_DER_FEV_2023!B911</f>
        <v/>
      </c>
      <c r="C911" s="1072" t="str">
        <f>GLOBAL_DER_FEV_2023!C911</f>
        <v/>
      </c>
      <c r="D911" s="1141">
        <f>GLOBAL_DER_FEV_2023!D911</f>
        <v>0</v>
      </c>
      <c r="E911" s="907">
        <f>GLOBAL_DER_FEV_2023!E911</f>
        <v>0</v>
      </c>
      <c r="F911" s="908">
        <f>GLOBAL_DER_FEV_2023!F911</f>
        <v>0</v>
      </c>
      <c r="G911" s="912">
        <f>GLOBAL_DER_FEV_2023!G911</f>
        <v>0</v>
      </c>
      <c r="H911" s="901">
        <f>GLOBAL_DER_FEV_2023!H911</f>
        <v>0</v>
      </c>
      <c r="I911" s="901">
        <f>GLOBAL_DER_FEV_2023!I911</f>
        <v>0</v>
      </c>
      <c r="J911" s="890">
        <f>GLOBAL_DER_FEV_2023!J911</f>
        <v>0</v>
      </c>
      <c r="K911" s="903" t="str">
        <f>GLOBAL_DER_FEV_2023!K911</f>
        <v xml:space="preserve">     </v>
      </c>
      <c r="L911" s="1137"/>
      <c r="M911" s="1140">
        <f t="shared" si="62"/>
        <v>0</v>
      </c>
      <c r="N911" s="1167">
        <f t="shared" si="66"/>
        <v>0</v>
      </c>
      <c r="O911" s="1165"/>
      <c r="Q911" s="317" t="str">
        <f t="shared" si="63"/>
        <v/>
      </c>
      <c r="R911" s="317" t="str">
        <f t="shared" si="64"/>
        <v/>
      </c>
      <c r="S911" s="317" t="str">
        <f t="shared" si="65"/>
        <v/>
      </c>
      <c r="T911" s="317" t="str">
        <f>GLOBAL_DER_FEV_2023!S911</f>
        <v/>
      </c>
      <c r="W911" s="582">
        <v>0</v>
      </c>
      <c r="X911" s="580"/>
      <c r="Y911" s="583">
        <f>IF(GLOBAL_DER_FEV_2023!W911=0,0,IF(GLOBAL_DER_FEV_2023!W911&gt;0,"c","b"))</f>
        <v>0</v>
      </c>
    </row>
    <row r="912" spans="1:25" ht="15" hidden="1" customHeight="1" thickBot="1" x14ac:dyDescent="0.25">
      <c r="A912" s="640" t="s">
        <v>165</v>
      </c>
      <c r="B912" s="1036" t="str">
        <f>GLOBAL_DER_FEV_2023!B912</f>
        <v/>
      </c>
      <c r="C912" s="1072" t="str">
        <f>GLOBAL_DER_FEV_2023!C912</f>
        <v/>
      </c>
      <c r="D912" s="1141">
        <f>GLOBAL_DER_FEV_2023!D912</f>
        <v>0</v>
      </c>
      <c r="E912" s="907">
        <f>GLOBAL_DER_FEV_2023!E912</f>
        <v>0</v>
      </c>
      <c r="F912" s="908">
        <f>GLOBAL_DER_FEV_2023!F912</f>
        <v>0</v>
      </c>
      <c r="G912" s="912">
        <f>GLOBAL_DER_FEV_2023!G912</f>
        <v>0</v>
      </c>
      <c r="H912" s="901">
        <f>GLOBAL_DER_FEV_2023!H912</f>
        <v>0</v>
      </c>
      <c r="I912" s="901">
        <f>GLOBAL_DER_FEV_2023!I912</f>
        <v>0</v>
      </c>
      <c r="J912" s="890">
        <f>GLOBAL_DER_FEV_2023!J912</f>
        <v>0</v>
      </c>
      <c r="K912" s="903" t="str">
        <f>GLOBAL_DER_FEV_2023!K912</f>
        <v xml:space="preserve">     </v>
      </c>
      <c r="L912" s="1137"/>
      <c r="M912" s="1140">
        <f t="shared" si="62"/>
        <v>0</v>
      </c>
      <c r="N912" s="1167">
        <f t="shared" si="66"/>
        <v>0</v>
      </c>
      <c r="O912" s="1165"/>
      <c r="Q912" s="317" t="str">
        <f t="shared" si="63"/>
        <v/>
      </c>
      <c r="R912" s="317" t="str">
        <f t="shared" si="64"/>
        <v/>
      </c>
      <c r="S912" s="317" t="str">
        <f t="shared" si="65"/>
        <v/>
      </c>
      <c r="T912" s="317" t="str">
        <f>GLOBAL_DER_FEV_2023!S912</f>
        <v/>
      </c>
      <c r="W912" s="582">
        <v>0</v>
      </c>
      <c r="X912" s="580"/>
      <c r="Y912" s="583">
        <f>IF(GLOBAL_DER_FEV_2023!W912=0,0,IF(GLOBAL_DER_FEV_2023!W912&gt;0,"c","b"))</f>
        <v>0</v>
      </c>
    </row>
    <row r="913" spans="1:25" ht="15" hidden="1" customHeight="1" thickBot="1" x14ac:dyDescent="0.25">
      <c r="A913" s="317" t="s">
        <v>310</v>
      </c>
      <c r="B913" s="950" t="s">
        <v>310</v>
      </c>
      <c r="C913" s="951"/>
      <c r="D913" s="952" t="s">
        <v>438</v>
      </c>
      <c r="E913" s="943">
        <f>GLOBAL_DER_FEV_2023!E913</f>
        <v>0</v>
      </c>
      <c r="F913" s="876"/>
      <c r="G913" s="945"/>
      <c r="H913" s="945">
        <f>GLOBAL_DER_FEV_2023!H913</f>
        <v>0</v>
      </c>
      <c r="I913" s="945">
        <f>GLOBAL_DER_FEV_2023!I913</f>
        <v>0</v>
      </c>
      <c r="J913" s="945">
        <f>GLOBAL_DER_FEV_2023!J913</f>
        <v>0</v>
      </c>
      <c r="K913" s="878" t="s">
        <v>507</v>
      </c>
      <c r="L913" s="879"/>
      <c r="M913" s="880"/>
      <c r="N913" s="881">
        <f t="shared" si="66"/>
        <v>0</v>
      </c>
      <c r="O913" s="882">
        <f>SUM(N914:N1624)</f>
        <v>0</v>
      </c>
      <c r="P913" s="58" t="str">
        <f>IF(OR(O913&gt;0,O913&gt;0),"X","")</f>
        <v/>
      </c>
      <c r="Q913" s="317" t="str">
        <f t="shared" si="63"/>
        <v/>
      </c>
      <c r="R913" s="317" t="str">
        <f t="shared" si="64"/>
        <v/>
      </c>
      <c r="S913" s="317" t="str">
        <f t="shared" si="65"/>
        <v/>
      </c>
      <c r="T913" s="317" t="str">
        <f>GLOBAL_DER_FEV_2023!S913</f>
        <v/>
      </c>
      <c r="W913" s="582">
        <v>0</v>
      </c>
      <c r="X913" s="580"/>
      <c r="Y913" s="583">
        <f>IF(GLOBAL_DER_FEV_2023!W913=0,0,IF(GLOBAL_DER_FEV_2023!W913&gt;0,"c","b"))</f>
        <v>0</v>
      </c>
    </row>
    <row r="914" spans="1:25" ht="34.5" hidden="1" thickBot="1" x14ac:dyDescent="0.25">
      <c r="A914" s="317">
        <v>102102</v>
      </c>
      <c r="B914" s="895">
        <v>102102</v>
      </c>
      <c r="C914" s="896" t="s">
        <v>596</v>
      </c>
      <c r="D914" s="906" t="s">
        <v>841</v>
      </c>
      <c r="E914" s="907">
        <f>GLOBAL_DER_FEV_2023!E914</f>
        <v>0</v>
      </c>
      <c r="F914" s="908">
        <f>GLOBAL_DER_FEV_2023!F914</f>
        <v>0</v>
      </c>
      <c r="G914" s="912">
        <f>GLOBAL_DER_FEV_2023!G914</f>
        <v>0</v>
      </c>
      <c r="H914" s="901">
        <f>GLOBAL_DER_FEV_2023!H914</f>
        <v>9956</v>
      </c>
      <c r="I914" s="901">
        <f>GLOBAL_DER_FEV_2023!I914</f>
        <v>9956</v>
      </c>
      <c r="J914" s="902">
        <f>GLOBAL_DER_FEV_2023!J914</f>
        <v>11954.17</v>
      </c>
      <c r="K914" s="903" t="s">
        <v>1516</v>
      </c>
      <c r="L914" s="1137"/>
      <c r="M914" s="1138">
        <f t="shared" ref="M914:M977" si="67">IF(L914=0,0,ROUND(J914,2))</f>
        <v>0</v>
      </c>
      <c r="N914" s="893">
        <f t="shared" si="66"/>
        <v>0</v>
      </c>
      <c r="O914" s="905"/>
      <c r="Q914" s="317" t="str">
        <f t="shared" si="63"/>
        <v/>
      </c>
      <c r="R914" s="317" t="str">
        <f t="shared" si="64"/>
        <v/>
      </c>
      <c r="S914" s="317" t="str">
        <f t="shared" si="65"/>
        <v/>
      </c>
      <c r="T914" s="317" t="str">
        <f>GLOBAL_DER_FEV_2023!S914</f>
        <v/>
      </c>
      <c r="W914" s="582">
        <v>0</v>
      </c>
      <c r="X914" s="580"/>
      <c r="Y914" s="583">
        <f>IF(GLOBAL_DER_FEV_2023!W914=0,0,IF(GLOBAL_DER_FEV_2023!W914&gt;0,"c","b"))</f>
        <v>0</v>
      </c>
    </row>
    <row r="915" spans="1:25" ht="34.5" hidden="1" thickBot="1" x14ac:dyDescent="0.25">
      <c r="A915" s="317">
        <v>102103</v>
      </c>
      <c r="B915" s="895">
        <v>102103</v>
      </c>
      <c r="C915" s="896" t="s">
        <v>596</v>
      </c>
      <c r="D915" s="906" t="s">
        <v>842</v>
      </c>
      <c r="E915" s="907">
        <f>GLOBAL_DER_FEV_2023!E915</f>
        <v>0</v>
      </c>
      <c r="F915" s="908">
        <f>GLOBAL_DER_FEV_2023!F915</f>
        <v>0</v>
      </c>
      <c r="G915" s="912">
        <f>GLOBAL_DER_FEV_2023!G915</f>
        <v>0</v>
      </c>
      <c r="H915" s="901">
        <f>GLOBAL_DER_FEV_2023!H915</f>
        <v>11068.77</v>
      </c>
      <c r="I915" s="901">
        <f>GLOBAL_DER_FEV_2023!I915</f>
        <v>11068.77</v>
      </c>
      <c r="J915" s="902">
        <f>GLOBAL_DER_FEV_2023!J915</f>
        <v>13290.27</v>
      </c>
      <c r="K915" s="903" t="s">
        <v>1516</v>
      </c>
      <c r="L915" s="1137"/>
      <c r="M915" s="1138">
        <f t="shared" si="67"/>
        <v>0</v>
      </c>
      <c r="N915" s="893">
        <f t="shared" si="66"/>
        <v>0</v>
      </c>
      <c r="O915" s="905"/>
      <c r="Q915" s="317" t="str">
        <f t="shared" si="63"/>
        <v/>
      </c>
      <c r="R915" s="317" t="str">
        <f t="shared" si="64"/>
        <v/>
      </c>
      <c r="S915" s="317" t="str">
        <f t="shared" si="65"/>
        <v/>
      </c>
      <c r="T915" s="317" t="str">
        <f>GLOBAL_DER_FEV_2023!S915</f>
        <v/>
      </c>
      <c r="W915" s="582">
        <v>0</v>
      </c>
      <c r="X915" s="580"/>
      <c r="Y915" s="583">
        <f>IF(GLOBAL_DER_FEV_2023!W915=0,0,IF(GLOBAL_DER_FEV_2023!W915&gt;0,"c","b"))</f>
        <v>0</v>
      </c>
    </row>
    <row r="916" spans="1:25" ht="34.5" hidden="1" thickBot="1" x14ac:dyDescent="0.25">
      <c r="A916" s="317">
        <v>102104</v>
      </c>
      <c r="B916" s="895">
        <v>102104</v>
      </c>
      <c r="C916" s="896" t="s">
        <v>596</v>
      </c>
      <c r="D916" s="906" t="s">
        <v>843</v>
      </c>
      <c r="E916" s="907">
        <f>GLOBAL_DER_FEV_2023!E916</f>
        <v>0</v>
      </c>
      <c r="F916" s="908">
        <f>GLOBAL_DER_FEV_2023!F916</f>
        <v>0</v>
      </c>
      <c r="G916" s="912">
        <f>GLOBAL_DER_FEV_2023!G916</f>
        <v>0</v>
      </c>
      <c r="H916" s="901">
        <f>GLOBAL_DER_FEV_2023!H916</f>
        <v>14168.89</v>
      </c>
      <c r="I916" s="901">
        <f>GLOBAL_DER_FEV_2023!I916</f>
        <v>14168.89</v>
      </c>
      <c r="J916" s="902">
        <f>GLOBAL_DER_FEV_2023!J916</f>
        <v>17012.59</v>
      </c>
      <c r="K916" s="903" t="s">
        <v>1516</v>
      </c>
      <c r="L916" s="1137"/>
      <c r="M916" s="1138">
        <f t="shared" si="67"/>
        <v>0</v>
      </c>
      <c r="N916" s="893">
        <f t="shared" si="66"/>
        <v>0</v>
      </c>
      <c r="O916" s="905"/>
      <c r="Q916" s="317" t="str">
        <f t="shared" si="63"/>
        <v/>
      </c>
      <c r="R916" s="317" t="str">
        <f t="shared" si="64"/>
        <v/>
      </c>
      <c r="S916" s="317" t="str">
        <f t="shared" si="65"/>
        <v/>
      </c>
      <c r="T916" s="317" t="str">
        <f>GLOBAL_DER_FEV_2023!S916</f>
        <v/>
      </c>
      <c r="W916" s="582">
        <v>0</v>
      </c>
      <c r="X916" s="580"/>
      <c r="Y916" s="583">
        <f>IF(GLOBAL_DER_FEV_2023!W916=0,0,IF(GLOBAL_DER_FEV_2023!W916&gt;0,"c","b"))</f>
        <v>0</v>
      </c>
    </row>
    <row r="917" spans="1:25" ht="34.5" hidden="1" thickBot="1" x14ac:dyDescent="0.25">
      <c r="A917" s="317">
        <v>102105</v>
      </c>
      <c r="B917" s="895">
        <v>102105</v>
      </c>
      <c r="C917" s="896" t="s">
        <v>596</v>
      </c>
      <c r="D917" s="906" t="s">
        <v>844</v>
      </c>
      <c r="E917" s="907">
        <f>GLOBAL_DER_FEV_2023!E917</f>
        <v>0</v>
      </c>
      <c r="F917" s="908">
        <f>GLOBAL_DER_FEV_2023!F917</f>
        <v>0</v>
      </c>
      <c r="G917" s="912">
        <f>GLOBAL_DER_FEV_2023!G917</f>
        <v>0</v>
      </c>
      <c r="H917" s="901">
        <f>GLOBAL_DER_FEV_2023!H917</f>
        <v>17389.88</v>
      </c>
      <c r="I917" s="901">
        <f>GLOBAL_DER_FEV_2023!I917</f>
        <v>17389.88</v>
      </c>
      <c r="J917" s="902">
        <f>GLOBAL_DER_FEV_2023!J917</f>
        <v>20880.03</v>
      </c>
      <c r="K917" s="903" t="s">
        <v>1516</v>
      </c>
      <c r="L917" s="1137"/>
      <c r="M917" s="1138">
        <f t="shared" si="67"/>
        <v>0</v>
      </c>
      <c r="N917" s="893">
        <f t="shared" si="66"/>
        <v>0</v>
      </c>
      <c r="O917" s="905"/>
      <c r="Q917" s="317" t="str">
        <f t="shared" si="63"/>
        <v/>
      </c>
      <c r="R917" s="317" t="str">
        <f t="shared" si="64"/>
        <v/>
      </c>
      <c r="S917" s="317" t="str">
        <f t="shared" si="65"/>
        <v/>
      </c>
      <c r="T917" s="317" t="str">
        <f>GLOBAL_DER_FEV_2023!S917</f>
        <v/>
      </c>
      <c r="W917" s="582">
        <v>0</v>
      </c>
      <c r="X917" s="580"/>
      <c r="Y917" s="583">
        <f>IF(GLOBAL_DER_FEV_2023!W917=0,0,IF(GLOBAL_DER_FEV_2023!W917&gt;0,"c","b"))</f>
        <v>0</v>
      </c>
    </row>
    <row r="918" spans="1:25" ht="34.5" hidden="1" thickBot="1" x14ac:dyDescent="0.25">
      <c r="A918" s="317">
        <v>102106</v>
      </c>
      <c r="B918" s="895">
        <v>102106</v>
      </c>
      <c r="C918" s="896" t="s">
        <v>596</v>
      </c>
      <c r="D918" s="906" t="s">
        <v>845</v>
      </c>
      <c r="E918" s="907">
        <f>GLOBAL_DER_FEV_2023!E918</f>
        <v>0</v>
      </c>
      <c r="F918" s="908">
        <f>GLOBAL_DER_FEV_2023!F918</f>
        <v>0</v>
      </c>
      <c r="G918" s="912">
        <f>GLOBAL_DER_FEV_2023!G918</f>
        <v>0</v>
      </c>
      <c r="H918" s="901">
        <f>GLOBAL_DER_FEV_2023!H918</f>
        <v>21783.06</v>
      </c>
      <c r="I918" s="901">
        <f>GLOBAL_DER_FEV_2023!I918</f>
        <v>21783.06</v>
      </c>
      <c r="J918" s="902">
        <f>GLOBAL_DER_FEV_2023!J918</f>
        <v>26154.92</v>
      </c>
      <c r="K918" s="903" t="s">
        <v>1516</v>
      </c>
      <c r="L918" s="1137"/>
      <c r="M918" s="1138">
        <f t="shared" si="67"/>
        <v>0</v>
      </c>
      <c r="N918" s="893">
        <f t="shared" si="66"/>
        <v>0</v>
      </c>
      <c r="O918" s="905"/>
      <c r="Q918" s="317" t="str">
        <f t="shared" si="63"/>
        <v/>
      </c>
      <c r="R918" s="317" t="str">
        <f t="shared" si="64"/>
        <v/>
      </c>
      <c r="S918" s="317" t="str">
        <f t="shared" si="65"/>
        <v/>
      </c>
      <c r="T918" s="317" t="str">
        <f>GLOBAL_DER_FEV_2023!S918</f>
        <v/>
      </c>
      <c r="W918" s="582">
        <v>0</v>
      </c>
      <c r="X918" s="580"/>
      <c r="Y918" s="583">
        <f>IF(GLOBAL_DER_FEV_2023!W918=0,0,IF(GLOBAL_DER_FEV_2023!W918&gt;0,"c","b"))</f>
        <v>0</v>
      </c>
    </row>
    <row r="919" spans="1:25" ht="34.5" hidden="1" thickBot="1" x14ac:dyDescent="0.25">
      <c r="A919" s="317">
        <v>102107</v>
      </c>
      <c r="B919" s="895">
        <v>102107</v>
      </c>
      <c r="C919" s="896" t="s">
        <v>596</v>
      </c>
      <c r="D919" s="906" t="s">
        <v>846</v>
      </c>
      <c r="E919" s="907">
        <f>GLOBAL_DER_FEV_2023!E919</f>
        <v>0</v>
      </c>
      <c r="F919" s="908">
        <f>GLOBAL_DER_FEV_2023!F919</f>
        <v>0</v>
      </c>
      <c r="G919" s="912">
        <f>GLOBAL_DER_FEV_2023!G919</f>
        <v>0</v>
      </c>
      <c r="H919" s="901">
        <f>GLOBAL_DER_FEV_2023!H919</f>
        <v>30352.89</v>
      </c>
      <c r="I919" s="901">
        <f>GLOBAL_DER_FEV_2023!I919</f>
        <v>30352.89</v>
      </c>
      <c r="J919" s="902">
        <f>GLOBAL_DER_FEV_2023!J919</f>
        <v>36444.720000000001</v>
      </c>
      <c r="K919" s="903" t="s">
        <v>1516</v>
      </c>
      <c r="L919" s="1137"/>
      <c r="M919" s="1138">
        <f t="shared" si="67"/>
        <v>0</v>
      </c>
      <c r="N919" s="893">
        <f t="shared" si="66"/>
        <v>0</v>
      </c>
      <c r="O919" s="905"/>
      <c r="Q919" s="317" t="str">
        <f t="shared" si="63"/>
        <v/>
      </c>
      <c r="R919" s="317" t="str">
        <f t="shared" si="64"/>
        <v/>
      </c>
      <c r="S919" s="317" t="str">
        <f t="shared" si="65"/>
        <v/>
      </c>
      <c r="T919" s="317" t="str">
        <f>GLOBAL_DER_FEV_2023!S919</f>
        <v/>
      </c>
      <c r="W919" s="582">
        <v>0</v>
      </c>
      <c r="X919" s="580"/>
      <c r="Y919" s="583">
        <f>IF(GLOBAL_DER_FEV_2023!W919=0,0,IF(GLOBAL_DER_FEV_2023!W919&gt;0,"c","b"))</f>
        <v>0</v>
      </c>
    </row>
    <row r="920" spans="1:25" ht="34.5" hidden="1" thickBot="1" x14ac:dyDescent="0.25">
      <c r="A920" s="317">
        <v>102108</v>
      </c>
      <c r="B920" s="895">
        <v>102108</v>
      </c>
      <c r="C920" s="896" t="s">
        <v>596</v>
      </c>
      <c r="D920" s="906" t="s">
        <v>847</v>
      </c>
      <c r="E920" s="907">
        <f>GLOBAL_DER_FEV_2023!E920</f>
        <v>0</v>
      </c>
      <c r="F920" s="908">
        <f>GLOBAL_DER_FEV_2023!F920</f>
        <v>0</v>
      </c>
      <c r="G920" s="912">
        <f>GLOBAL_DER_FEV_2023!G920</f>
        <v>0</v>
      </c>
      <c r="H920" s="901">
        <f>GLOBAL_DER_FEV_2023!H920</f>
        <v>35328.54</v>
      </c>
      <c r="I920" s="901">
        <f>GLOBAL_DER_FEV_2023!I920</f>
        <v>35328.54</v>
      </c>
      <c r="J920" s="902">
        <f>GLOBAL_DER_FEV_2023!J920</f>
        <v>42418.98</v>
      </c>
      <c r="K920" s="903" t="s">
        <v>1516</v>
      </c>
      <c r="L920" s="1137"/>
      <c r="M920" s="1138">
        <f t="shared" si="67"/>
        <v>0</v>
      </c>
      <c r="N920" s="893">
        <f t="shared" si="66"/>
        <v>0</v>
      </c>
      <c r="O920" s="905"/>
      <c r="Q920" s="317" t="str">
        <f t="shared" si="63"/>
        <v/>
      </c>
      <c r="R920" s="317" t="str">
        <f t="shared" si="64"/>
        <v/>
      </c>
      <c r="S920" s="317" t="str">
        <f t="shared" si="65"/>
        <v/>
      </c>
      <c r="T920" s="317" t="str">
        <f>GLOBAL_DER_FEV_2023!S920</f>
        <v/>
      </c>
      <c r="W920" s="582">
        <v>0</v>
      </c>
      <c r="X920" s="580"/>
      <c r="Y920" s="583">
        <f>IF(GLOBAL_DER_FEV_2023!W920=0,0,IF(GLOBAL_DER_FEV_2023!W920&gt;0,"c","b"))</f>
        <v>0</v>
      </c>
    </row>
    <row r="921" spans="1:25" ht="23.25" hidden="1" thickBot="1" x14ac:dyDescent="0.25">
      <c r="A921" s="317">
        <v>102109</v>
      </c>
      <c r="B921" s="895">
        <v>102109</v>
      </c>
      <c r="C921" s="896" t="s">
        <v>596</v>
      </c>
      <c r="D921" s="906" t="s">
        <v>848</v>
      </c>
      <c r="E921" s="907">
        <f>GLOBAL_DER_FEV_2023!E921</f>
        <v>0</v>
      </c>
      <c r="F921" s="908">
        <f>GLOBAL_DER_FEV_2023!F921</f>
        <v>0</v>
      </c>
      <c r="G921" s="912">
        <f>GLOBAL_DER_FEV_2023!G921</f>
        <v>0</v>
      </c>
      <c r="H921" s="901">
        <f>GLOBAL_DER_FEV_2023!H921</f>
        <v>45.94</v>
      </c>
      <c r="I921" s="901">
        <f>GLOBAL_DER_FEV_2023!I921</f>
        <v>45.94</v>
      </c>
      <c r="J921" s="902">
        <f>GLOBAL_DER_FEV_2023!J921</f>
        <v>55.16</v>
      </c>
      <c r="K921" s="903" t="s">
        <v>1516</v>
      </c>
      <c r="L921" s="1137"/>
      <c r="M921" s="1138">
        <f t="shared" si="67"/>
        <v>0</v>
      </c>
      <c r="N921" s="893">
        <f t="shared" si="66"/>
        <v>0</v>
      </c>
      <c r="O921" s="905"/>
      <c r="Q921" s="317" t="str">
        <f t="shared" si="63"/>
        <v/>
      </c>
      <c r="R921" s="317" t="str">
        <f t="shared" si="64"/>
        <v/>
      </c>
      <c r="S921" s="317" t="str">
        <f t="shared" si="65"/>
        <v/>
      </c>
      <c r="T921" s="317" t="str">
        <f>GLOBAL_DER_FEV_2023!S921</f>
        <v/>
      </c>
      <c r="W921" s="582">
        <v>0</v>
      </c>
      <c r="X921" s="580"/>
      <c r="Y921" s="583">
        <f>IF(GLOBAL_DER_FEV_2023!W921=0,0,IF(GLOBAL_DER_FEV_2023!W921&gt;0,"c","b"))</f>
        <v>0</v>
      </c>
    </row>
    <row r="922" spans="1:25" ht="23.25" hidden="1" thickBot="1" x14ac:dyDescent="0.25">
      <c r="A922" s="317">
        <v>102110</v>
      </c>
      <c r="B922" s="895">
        <v>102110</v>
      </c>
      <c r="C922" s="896" t="s">
        <v>596</v>
      </c>
      <c r="D922" s="906" t="s">
        <v>849</v>
      </c>
      <c r="E922" s="907">
        <f>GLOBAL_DER_FEV_2023!E922</f>
        <v>0</v>
      </c>
      <c r="F922" s="908">
        <f>GLOBAL_DER_FEV_2023!F922</f>
        <v>0</v>
      </c>
      <c r="G922" s="912">
        <f>GLOBAL_DER_FEV_2023!G922</f>
        <v>0</v>
      </c>
      <c r="H922" s="901">
        <f>GLOBAL_DER_FEV_2023!H922</f>
        <v>110.92</v>
      </c>
      <c r="I922" s="901">
        <f>GLOBAL_DER_FEV_2023!I922</f>
        <v>110.92</v>
      </c>
      <c r="J922" s="902">
        <f>GLOBAL_DER_FEV_2023!J922</f>
        <v>133.18</v>
      </c>
      <c r="K922" s="903" t="s">
        <v>1516</v>
      </c>
      <c r="L922" s="1137"/>
      <c r="M922" s="1138">
        <f t="shared" si="67"/>
        <v>0</v>
      </c>
      <c r="N922" s="893">
        <f t="shared" si="66"/>
        <v>0</v>
      </c>
      <c r="O922" s="905"/>
      <c r="Q922" s="317" t="str">
        <f t="shared" si="63"/>
        <v/>
      </c>
      <c r="R922" s="317" t="str">
        <f t="shared" si="64"/>
        <v/>
      </c>
      <c r="S922" s="317" t="str">
        <f t="shared" si="65"/>
        <v/>
      </c>
      <c r="T922" s="317" t="str">
        <f>GLOBAL_DER_FEV_2023!S922</f>
        <v/>
      </c>
      <c r="W922" s="582">
        <v>0</v>
      </c>
      <c r="X922" s="580"/>
      <c r="Y922" s="583">
        <f>IF(GLOBAL_DER_FEV_2023!W922=0,0,IF(GLOBAL_DER_FEV_2023!W922&gt;0,"c","b"))</f>
        <v>0</v>
      </c>
    </row>
    <row r="923" spans="1:25" ht="23.25" hidden="1" thickBot="1" x14ac:dyDescent="0.25">
      <c r="A923" s="317">
        <v>100619</v>
      </c>
      <c r="B923" s="895">
        <v>100619</v>
      </c>
      <c r="C923" s="896" t="s">
        <v>596</v>
      </c>
      <c r="D923" s="906" t="s">
        <v>850</v>
      </c>
      <c r="E923" s="907">
        <f>GLOBAL_DER_FEV_2023!E923</f>
        <v>0</v>
      </c>
      <c r="F923" s="908">
        <f>GLOBAL_DER_FEV_2023!F923</f>
        <v>0</v>
      </c>
      <c r="G923" s="912">
        <f>GLOBAL_DER_FEV_2023!G923</f>
        <v>0</v>
      </c>
      <c r="H923" s="901">
        <f>GLOBAL_DER_FEV_2023!H923</f>
        <v>601.52</v>
      </c>
      <c r="I923" s="901">
        <f>GLOBAL_DER_FEV_2023!I923</f>
        <v>601.52</v>
      </c>
      <c r="J923" s="902">
        <f>GLOBAL_DER_FEV_2023!J923</f>
        <v>722.25</v>
      </c>
      <c r="K923" s="903" t="s">
        <v>1516</v>
      </c>
      <c r="L923" s="1137"/>
      <c r="M923" s="1138">
        <f t="shared" si="67"/>
        <v>0</v>
      </c>
      <c r="N923" s="893">
        <f t="shared" si="66"/>
        <v>0</v>
      </c>
      <c r="O923" s="905"/>
      <c r="Q923" s="317" t="str">
        <f t="shared" ref="Q923:Q986" si="68">IF(P923="X","x",IF(P923="xx","x",IF(P923="xy","x",IF(P923="y","x",IF(OR(N923&gt;0,N923&gt;0),"x","")))))</f>
        <v/>
      </c>
      <c r="R923" s="317" t="str">
        <f t="shared" si="64"/>
        <v/>
      </c>
      <c r="S923" s="317" t="str">
        <f t="shared" si="65"/>
        <v/>
      </c>
      <c r="T923" s="317" t="str">
        <f>GLOBAL_DER_FEV_2023!S923</f>
        <v/>
      </c>
      <c r="W923" s="582">
        <v>0</v>
      </c>
      <c r="X923" s="580"/>
      <c r="Y923" s="583">
        <f>IF(GLOBAL_DER_FEV_2023!W923=0,0,IF(GLOBAL_DER_FEV_2023!W923&gt;0,"c","b"))</f>
        <v>0</v>
      </c>
    </row>
    <row r="924" spans="1:25" ht="23.25" hidden="1" thickBot="1" x14ac:dyDescent="0.25">
      <c r="A924" s="317">
        <v>100620</v>
      </c>
      <c r="B924" s="895">
        <v>100620</v>
      </c>
      <c r="C924" s="896" t="s">
        <v>596</v>
      </c>
      <c r="D924" s="906" t="s">
        <v>851</v>
      </c>
      <c r="E924" s="907">
        <f>GLOBAL_DER_FEV_2023!E924</f>
        <v>0</v>
      </c>
      <c r="F924" s="908">
        <f>GLOBAL_DER_FEV_2023!F924</f>
        <v>0</v>
      </c>
      <c r="G924" s="912">
        <f>GLOBAL_DER_FEV_2023!G924</f>
        <v>0</v>
      </c>
      <c r="H924" s="901">
        <f>GLOBAL_DER_FEV_2023!H924</f>
        <v>3497.06</v>
      </c>
      <c r="I924" s="901">
        <f>GLOBAL_DER_FEV_2023!I924</f>
        <v>3497.06</v>
      </c>
      <c r="J924" s="902">
        <f>GLOBAL_DER_FEV_2023!J924</f>
        <v>4198.92</v>
      </c>
      <c r="K924" s="903" t="s">
        <v>1516</v>
      </c>
      <c r="L924" s="1137"/>
      <c r="M924" s="1138">
        <f t="shared" si="67"/>
        <v>0</v>
      </c>
      <c r="N924" s="893">
        <f t="shared" si="66"/>
        <v>0</v>
      </c>
      <c r="O924" s="905"/>
      <c r="Q924" s="317" t="str">
        <f t="shared" si="68"/>
        <v/>
      </c>
      <c r="R924" s="317" t="str">
        <f t="shared" si="64"/>
        <v/>
      </c>
      <c r="S924" s="317" t="str">
        <f t="shared" si="65"/>
        <v/>
      </c>
      <c r="T924" s="317" t="str">
        <f>GLOBAL_DER_FEV_2023!S924</f>
        <v/>
      </c>
      <c r="W924" s="582">
        <v>0</v>
      </c>
      <c r="X924" s="580"/>
      <c r="Y924" s="583">
        <f>IF(GLOBAL_DER_FEV_2023!W924=0,0,IF(GLOBAL_DER_FEV_2023!W924&gt;0,"c","b"))</f>
        <v>0</v>
      </c>
    </row>
    <row r="925" spans="1:25" ht="23.25" hidden="1" thickBot="1" x14ac:dyDescent="0.25">
      <c r="A925" s="317">
        <v>100621</v>
      </c>
      <c r="B925" s="895">
        <v>100621</v>
      </c>
      <c r="C925" s="896" t="s">
        <v>596</v>
      </c>
      <c r="D925" s="906" t="s">
        <v>852</v>
      </c>
      <c r="E925" s="907">
        <f>GLOBAL_DER_FEV_2023!E925</f>
        <v>0</v>
      </c>
      <c r="F925" s="908">
        <f>GLOBAL_DER_FEV_2023!F925</f>
        <v>0</v>
      </c>
      <c r="G925" s="912">
        <f>GLOBAL_DER_FEV_2023!G925</f>
        <v>0</v>
      </c>
      <c r="H925" s="901">
        <f>GLOBAL_DER_FEV_2023!H925</f>
        <v>3985.57</v>
      </c>
      <c r="I925" s="901">
        <f>GLOBAL_DER_FEV_2023!I925</f>
        <v>3985.57</v>
      </c>
      <c r="J925" s="902">
        <f>GLOBAL_DER_FEV_2023!J925</f>
        <v>4785.47</v>
      </c>
      <c r="K925" s="903" t="s">
        <v>1516</v>
      </c>
      <c r="L925" s="1137"/>
      <c r="M925" s="1138">
        <f t="shared" si="67"/>
        <v>0</v>
      </c>
      <c r="N925" s="893">
        <f t="shared" si="66"/>
        <v>0</v>
      </c>
      <c r="O925" s="905"/>
      <c r="Q925" s="317" t="str">
        <f t="shared" si="68"/>
        <v/>
      </c>
      <c r="R925" s="317" t="str">
        <f t="shared" ref="R925:R988" si="69">IF(P925="X","x",IF(P925="y","x",IF(P925="xx","x",IF(N925&gt;0,"x",""))))</f>
        <v/>
      </c>
      <c r="S925" s="317" t="str">
        <f t="shared" ref="S925:S988" si="70">IF(P925="X","x",IF(N925&gt;0,"x",""))</f>
        <v/>
      </c>
      <c r="T925" s="317" t="str">
        <f>GLOBAL_DER_FEV_2023!S925</f>
        <v/>
      </c>
      <c r="W925" s="582">
        <v>0</v>
      </c>
      <c r="X925" s="580"/>
      <c r="Y925" s="583">
        <f>IF(GLOBAL_DER_FEV_2023!W925=0,0,IF(GLOBAL_DER_FEV_2023!W925&gt;0,"c","b"))</f>
        <v>0</v>
      </c>
    </row>
    <row r="926" spans="1:25" ht="23.25" hidden="1" thickBot="1" x14ac:dyDescent="0.25">
      <c r="A926" s="317">
        <v>100622</v>
      </c>
      <c r="B926" s="895">
        <v>100622</v>
      </c>
      <c r="C926" s="896" t="s">
        <v>596</v>
      </c>
      <c r="D926" s="906" t="s">
        <v>853</v>
      </c>
      <c r="E926" s="907">
        <f>GLOBAL_DER_FEV_2023!E926</f>
        <v>0</v>
      </c>
      <c r="F926" s="908">
        <f>GLOBAL_DER_FEV_2023!F926</f>
        <v>0</v>
      </c>
      <c r="G926" s="912">
        <f>GLOBAL_DER_FEV_2023!G926</f>
        <v>0</v>
      </c>
      <c r="H926" s="901">
        <f>GLOBAL_DER_FEV_2023!H926</f>
        <v>2579.4299999999998</v>
      </c>
      <c r="I926" s="901">
        <f>GLOBAL_DER_FEV_2023!I926</f>
        <v>2579.4299999999998</v>
      </c>
      <c r="J926" s="902">
        <f>GLOBAL_DER_FEV_2023!J926</f>
        <v>3097.12</v>
      </c>
      <c r="K926" s="903" t="s">
        <v>1516</v>
      </c>
      <c r="L926" s="1137"/>
      <c r="M926" s="1138">
        <f t="shared" si="67"/>
        <v>0</v>
      </c>
      <c r="N926" s="893">
        <f t="shared" si="66"/>
        <v>0</v>
      </c>
      <c r="O926" s="905"/>
      <c r="Q926" s="317" t="str">
        <f t="shared" si="68"/>
        <v/>
      </c>
      <c r="R926" s="317" t="str">
        <f t="shared" si="69"/>
        <v/>
      </c>
      <c r="S926" s="317" t="str">
        <f t="shared" si="70"/>
        <v/>
      </c>
      <c r="T926" s="317" t="str">
        <f>GLOBAL_DER_FEV_2023!S926</f>
        <v/>
      </c>
      <c r="W926" s="582">
        <v>0</v>
      </c>
      <c r="X926" s="580"/>
      <c r="Y926" s="583">
        <f>IF(GLOBAL_DER_FEV_2023!W926=0,0,IF(GLOBAL_DER_FEV_2023!W926&gt;0,"c","b"))</f>
        <v>0</v>
      </c>
    </row>
    <row r="927" spans="1:25" ht="23.25" hidden="1" thickBot="1" x14ac:dyDescent="0.25">
      <c r="A927" s="317">
        <v>100623</v>
      </c>
      <c r="B927" s="895">
        <v>100623</v>
      </c>
      <c r="C927" s="896" t="s">
        <v>596</v>
      </c>
      <c r="D927" s="906" t="s">
        <v>854</v>
      </c>
      <c r="E927" s="907">
        <f>GLOBAL_DER_FEV_2023!E927</f>
        <v>0</v>
      </c>
      <c r="F927" s="908">
        <f>GLOBAL_DER_FEV_2023!F927</f>
        <v>0</v>
      </c>
      <c r="G927" s="912">
        <f>GLOBAL_DER_FEV_2023!G927</f>
        <v>0</v>
      </c>
      <c r="H927" s="901">
        <f>GLOBAL_DER_FEV_2023!H927</f>
        <v>2785.78</v>
      </c>
      <c r="I927" s="901">
        <f>GLOBAL_DER_FEV_2023!I927</f>
        <v>2785.78</v>
      </c>
      <c r="J927" s="902">
        <f>GLOBAL_DER_FEV_2023!J927</f>
        <v>3344.89</v>
      </c>
      <c r="K927" s="903" t="s">
        <v>1516</v>
      </c>
      <c r="L927" s="1137"/>
      <c r="M927" s="1138">
        <f t="shared" si="67"/>
        <v>0</v>
      </c>
      <c r="N927" s="893">
        <f t="shared" si="66"/>
        <v>0</v>
      </c>
      <c r="O927" s="905"/>
      <c r="Q927" s="317" t="str">
        <f t="shared" si="68"/>
        <v/>
      </c>
      <c r="R927" s="317" t="str">
        <f t="shared" si="69"/>
        <v/>
      </c>
      <c r="S927" s="317" t="str">
        <f t="shared" si="70"/>
        <v/>
      </c>
      <c r="T927" s="317" t="str">
        <f>GLOBAL_DER_FEV_2023!S927</f>
        <v/>
      </c>
      <c r="W927" s="582">
        <v>0</v>
      </c>
      <c r="X927" s="580"/>
      <c r="Y927" s="583">
        <f>IF(GLOBAL_DER_FEV_2023!W927=0,0,IF(GLOBAL_DER_FEV_2023!W927&gt;0,"c","b"))</f>
        <v>0</v>
      </c>
    </row>
    <row r="928" spans="1:25" ht="34.5" hidden="1" thickBot="1" x14ac:dyDescent="0.25">
      <c r="A928" s="317">
        <v>100578</v>
      </c>
      <c r="B928" s="895">
        <v>100578</v>
      </c>
      <c r="C928" s="896" t="s">
        <v>596</v>
      </c>
      <c r="D928" s="906" t="s">
        <v>855</v>
      </c>
      <c r="E928" s="907">
        <f>GLOBAL_DER_FEV_2023!E928</f>
        <v>0</v>
      </c>
      <c r="F928" s="908">
        <f>GLOBAL_DER_FEV_2023!F928</f>
        <v>0</v>
      </c>
      <c r="G928" s="912">
        <f>GLOBAL_DER_FEV_2023!G928</f>
        <v>0</v>
      </c>
      <c r="H928" s="901">
        <f>GLOBAL_DER_FEV_2023!H928</f>
        <v>509.26</v>
      </c>
      <c r="I928" s="901">
        <f>GLOBAL_DER_FEV_2023!I928</f>
        <v>509.26</v>
      </c>
      <c r="J928" s="902">
        <f>GLOBAL_DER_FEV_2023!J928</f>
        <v>611.47</v>
      </c>
      <c r="K928" s="903" t="s">
        <v>1516</v>
      </c>
      <c r="L928" s="1137"/>
      <c r="M928" s="1138">
        <f t="shared" si="67"/>
        <v>0</v>
      </c>
      <c r="N928" s="893">
        <f t="shared" si="66"/>
        <v>0</v>
      </c>
      <c r="O928" s="905"/>
      <c r="Q928" s="317" t="str">
        <f t="shared" si="68"/>
        <v/>
      </c>
      <c r="R928" s="317" t="str">
        <f t="shared" si="69"/>
        <v/>
      </c>
      <c r="S928" s="317" t="str">
        <f t="shared" si="70"/>
        <v/>
      </c>
      <c r="T928" s="317" t="str">
        <f>GLOBAL_DER_FEV_2023!S928</f>
        <v/>
      </c>
      <c r="W928" s="582">
        <v>0</v>
      </c>
      <c r="X928" s="580"/>
      <c r="Y928" s="583">
        <f>IF(GLOBAL_DER_FEV_2023!W928=0,0,IF(GLOBAL_DER_FEV_2023!W928&gt;0,"c","b"))</f>
        <v>0</v>
      </c>
    </row>
    <row r="929" spans="1:25" ht="34.5" hidden="1" thickBot="1" x14ac:dyDescent="0.25">
      <c r="A929" s="317">
        <v>100579</v>
      </c>
      <c r="B929" s="895">
        <v>100579</v>
      </c>
      <c r="C929" s="896" t="s">
        <v>596</v>
      </c>
      <c r="D929" s="906" t="s">
        <v>856</v>
      </c>
      <c r="E929" s="907">
        <f>GLOBAL_DER_FEV_2023!E929</f>
        <v>0</v>
      </c>
      <c r="F929" s="908">
        <f>GLOBAL_DER_FEV_2023!F929</f>
        <v>0</v>
      </c>
      <c r="G929" s="912">
        <f>GLOBAL_DER_FEV_2023!G929</f>
        <v>0</v>
      </c>
      <c r="H929" s="901">
        <f>GLOBAL_DER_FEV_2023!H929</f>
        <v>558</v>
      </c>
      <c r="I929" s="901">
        <f>GLOBAL_DER_FEV_2023!I929</f>
        <v>558</v>
      </c>
      <c r="J929" s="902">
        <f>GLOBAL_DER_FEV_2023!J929</f>
        <v>669.99</v>
      </c>
      <c r="K929" s="903" t="s">
        <v>1516</v>
      </c>
      <c r="L929" s="1137"/>
      <c r="M929" s="1138">
        <f t="shared" si="67"/>
        <v>0</v>
      </c>
      <c r="N929" s="893">
        <f t="shared" ref="N929:N992" si="71">IF(ISBLANK(L929),0,IF(W929=0,ROUND(L929*M929,2),IF(W929="b",ROUNDDOWN(L929*M929,2),ROUNDUP(L929*M929,2))))</f>
        <v>0</v>
      </c>
      <c r="O929" s="905"/>
      <c r="Q929" s="317" t="str">
        <f t="shared" si="68"/>
        <v/>
      </c>
      <c r="R929" s="317" t="str">
        <f t="shared" si="69"/>
        <v/>
      </c>
      <c r="S929" s="317" t="str">
        <f t="shared" si="70"/>
        <v/>
      </c>
      <c r="T929" s="317" t="str">
        <f>GLOBAL_DER_FEV_2023!S929</f>
        <v/>
      </c>
      <c r="W929" s="582">
        <v>0</v>
      </c>
      <c r="X929" s="580"/>
      <c r="Y929" s="583">
        <f>IF(GLOBAL_DER_FEV_2023!W929=0,0,IF(GLOBAL_DER_FEV_2023!W929&gt;0,"c","b"))</f>
        <v>0</v>
      </c>
    </row>
    <row r="930" spans="1:25" ht="34.5" hidden="1" thickBot="1" x14ac:dyDescent="0.25">
      <c r="A930" s="317">
        <v>100580</v>
      </c>
      <c r="B930" s="895">
        <v>100580</v>
      </c>
      <c r="C930" s="896" t="s">
        <v>596</v>
      </c>
      <c r="D930" s="906" t="s">
        <v>857</v>
      </c>
      <c r="E930" s="907">
        <f>GLOBAL_DER_FEV_2023!E930</f>
        <v>0</v>
      </c>
      <c r="F930" s="908">
        <f>GLOBAL_DER_FEV_2023!F930</f>
        <v>0</v>
      </c>
      <c r="G930" s="912">
        <f>GLOBAL_DER_FEV_2023!G930</f>
        <v>0</v>
      </c>
      <c r="H930" s="901">
        <f>GLOBAL_DER_FEV_2023!H930</f>
        <v>615.13</v>
      </c>
      <c r="I930" s="901">
        <f>GLOBAL_DER_FEV_2023!I930</f>
        <v>615.13</v>
      </c>
      <c r="J930" s="902">
        <f>GLOBAL_DER_FEV_2023!J930</f>
        <v>738.59</v>
      </c>
      <c r="K930" s="903" t="s">
        <v>1516</v>
      </c>
      <c r="L930" s="1137"/>
      <c r="M930" s="1138">
        <f t="shared" si="67"/>
        <v>0</v>
      </c>
      <c r="N930" s="893">
        <f t="shared" si="71"/>
        <v>0</v>
      </c>
      <c r="O930" s="905"/>
      <c r="Q930" s="317" t="str">
        <f t="shared" si="68"/>
        <v/>
      </c>
      <c r="R930" s="317" t="str">
        <f t="shared" si="69"/>
        <v/>
      </c>
      <c r="S930" s="317" t="str">
        <f t="shared" si="70"/>
        <v/>
      </c>
      <c r="T930" s="317" t="str">
        <f>GLOBAL_DER_FEV_2023!S930</f>
        <v/>
      </c>
      <c r="W930" s="582">
        <v>0</v>
      </c>
      <c r="X930" s="580"/>
      <c r="Y930" s="583">
        <f>IF(GLOBAL_DER_FEV_2023!W930=0,0,IF(GLOBAL_DER_FEV_2023!W930&gt;0,"c","b"))</f>
        <v>0</v>
      </c>
    </row>
    <row r="931" spans="1:25" ht="34.5" hidden="1" thickBot="1" x14ac:dyDescent="0.25">
      <c r="A931" s="317">
        <v>100581</v>
      </c>
      <c r="B931" s="895">
        <v>100581</v>
      </c>
      <c r="C931" s="896" t="s">
        <v>596</v>
      </c>
      <c r="D931" s="906" t="s">
        <v>858</v>
      </c>
      <c r="E931" s="907">
        <f>GLOBAL_DER_FEV_2023!E931</f>
        <v>0</v>
      </c>
      <c r="F931" s="908">
        <f>GLOBAL_DER_FEV_2023!F931</f>
        <v>0</v>
      </c>
      <c r="G931" s="912">
        <f>GLOBAL_DER_FEV_2023!G931</f>
        <v>0</v>
      </c>
      <c r="H931" s="901">
        <f>GLOBAL_DER_FEV_2023!H931</f>
        <v>582.14</v>
      </c>
      <c r="I931" s="901">
        <f>GLOBAL_DER_FEV_2023!I931</f>
        <v>582.14</v>
      </c>
      <c r="J931" s="902">
        <f>GLOBAL_DER_FEV_2023!J931</f>
        <v>698.98</v>
      </c>
      <c r="K931" s="903" t="s">
        <v>1516</v>
      </c>
      <c r="L931" s="1137"/>
      <c r="M931" s="1138">
        <f t="shared" si="67"/>
        <v>0</v>
      </c>
      <c r="N931" s="893">
        <f t="shared" si="71"/>
        <v>0</v>
      </c>
      <c r="O931" s="905"/>
      <c r="Q931" s="317" t="str">
        <f t="shared" si="68"/>
        <v/>
      </c>
      <c r="R931" s="317" t="str">
        <f t="shared" si="69"/>
        <v/>
      </c>
      <c r="S931" s="317" t="str">
        <f t="shared" si="70"/>
        <v/>
      </c>
      <c r="T931" s="317" t="str">
        <f>GLOBAL_DER_FEV_2023!S931</f>
        <v/>
      </c>
      <c r="W931" s="582">
        <v>0</v>
      </c>
      <c r="X931" s="580"/>
      <c r="Y931" s="583">
        <f>IF(GLOBAL_DER_FEV_2023!W931=0,0,IF(GLOBAL_DER_FEV_2023!W931&gt;0,"c","b"))</f>
        <v>0</v>
      </c>
    </row>
    <row r="932" spans="1:25" ht="34.5" hidden="1" thickBot="1" x14ac:dyDescent="0.25">
      <c r="A932" s="317">
        <v>100582</v>
      </c>
      <c r="B932" s="895">
        <v>100582</v>
      </c>
      <c r="C932" s="896" t="s">
        <v>596</v>
      </c>
      <c r="D932" s="906" t="s">
        <v>859</v>
      </c>
      <c r="E932" s="907">
        <f>GLOBAL_DER_FEV_2023!E932</f>
        <v>0</v>
      </c>
      <c r="F932" s="908">
        <f>GLOBAL_DER_FEV_2023!F932</f>
        <v>0</v>
      </c>
      <c r="G932" s="912">
        <f>GLOBAL_DER_FEV_2023!G932</f>
        <v>0</v>
      </c>
      <c r="H932" s="901">
        <f>GLOBAL_DER_FEV_2023!H932</f>
        <v>685.15</v>
      </c>
      <c r="I932" s="901">
        <f>GLOBAL_DER_FEV_2023!I932</f>
        <v>685.15</v>
      </c>
      <c r="J932" s="902">
        <f>GLOBAL_DER_FEV_2023!J932</f>
        <v>822.66</v>
      </c>
      <c r="K932" s="903" t="s">
        <v>1516</v>
      </c>
      <c r="L932" s="1137"/>
      <c r="M932" s="1138">
        <f t="shared" si="67"/>
        <v>0</v>
      </c>
      <c r="N932" s="893">
        <f t="shared" si="71"/>
        <v>0</v>
      </c>
      <c r="O932" s="905"/>
      <c r="Q932" s="317" t="str">
        <f t="shared" si="68"/>
        <v/>
      </c>
      <c r="R932" s="317" t="str">
        <f t="shared" si="69"/>
        <v/>
      </c>
      <c r="S932" s="317" t="str">
        <f t="shared" si="70"/>
        <v/>
      </c>
      <c r="T932" s="317" t="str">
        <f>GLOBAL_DER_FEV_2023!S932</f>
        <v/>
      </c>
      <c r="W932" s="582">
        <v>0</v>
      </c>
      <c r="X932" s="580"/>
      <c r="Y932" s="583">
        <f>IF(GLOBAL_DER_FEV_2023!W932=0,0,IF(GLOBAL_DER_FEV_2023!W932&gt;0,"c","b"))</f>
        <v>0</v>
      </c>
    </row>
    <row r="933" spans="1:25" ht="34.5" hidden="1" thickBot="1" x14ac:dyDescent="0.25">
      <c r="A933" s="317">
        <v>100583</v>
      </c>
      <c r="B933" s="895">
        <v>100583</v>
      </c>
      <c r="C933" s="896" t="s">
        <v>596</v>
      </c>
      <c r="D933" s="906" t="s">
        <v>860</v>
      </c>
      <c r="E933" s="907">
        <f>GLOBAL_DER_FEV_2023!E933</f>
        <v>0</v>
      </c>
      <c r="F933" s="908">
        <f>GLOBAL_DER_FEV_2023!F933</f>
        <v>0</v>
      </c>
      <c r="G933" s="912">
        <f>GLOBAL_DER_FEV_2023!G933</f>
        <v>0</v>
      </c>
      <c r="H933" s="901">
        <f>GLOBAL_DER_FEV_2023!H933</f>
        <v>608.13</v>
      </c>
      <c r="I933" s="901">
        <f>GLOBAL_DER_FEV_2023!I933</f>
        <v>608.13</v>
      </c>
      <c r="J933" s="902">
        <f>GLOBAL_DER_FEV_2023!J933</f>
        <v>730.18</v>
      </c>
      <c r="K933" s="903" t="s">
        <v>1516</v>
      </c>
      <c r="L933" s="1137"/>
      <c r="M933" s="1138">
        <f t="shared" si="67"/>
        <v>0</v>
      </c>
      <c r="N933" s="893">
        <f t="shared" si="71"/>
        <v>0</v>
      </c>
      <c r="O933" s="905"/>
      <c r="Q933" s="317" t="str">
        <f t="shared" si="68"/>
        <v/>
      </c>
      <c r="R933" s="317" t="str">
        <f t="shared" si="69"/>
        <v/>
      </c>
      <c r="S933" s="317" t="str">
        <f t="shared" si="70"/>
        <v/>
      </c>
      <c r="T933" s="317" t="str">
        <f>GLOBAL_DER_FEV_2023!S933</f>
        <v/>
      </c>
      <c r="W933" s="582">
        <v>0</v>
      </c>
      <c r="X933" s="580"/>
      <c r="Y933" s="583">
        <f>IF(GLOBAL_DER_FEV_2023!W933=0,0,IF(GLOBAL_DER_FEV_2023!W933&gt;0,"c","b"))</f>
        <v>0</v>
      </c>
    </row>
    <row r="934" spans="1:25" ht="34.5" hidden="1" thickBot="1" x14ac:dyDescent="0.25">
      <c r="A934" s="317">
        <v>100584</v>
      </c>
      <c r="B934" s="895">
        <v>100584</v>
      </c>
      <c r="C934" s="896" t="s">
        <v>596</v>
      </c>
      <c r="D934" s="906" t="s">
        <v>861</v>
      </c>
      <c r="E934" s="907">
        <f>GLOBAL_DER_FEV_2023!E934</f>
        <v>0</v>
      </c>
      <c r="F934" s="908">
        <f>GLOBAL_DER_FEV_2023!F934</f>
        <v>0</v>
      </c>
      <c r="G934" s="912">
        <f>GLOBAL_DER_FEV_2023!G934</f>
        <v>0</v>
      </c>
      <c r="H934" s="901">
        <f>GLOBAL_DER_FEV_2023!H934</f>
        <v>670.05</v>
      </c>
      <c r="I934" s="901">
        <f>GLOBAL_DER_FEV_2023!I934</f>
        <v>670.05</v>
      </c>
      <c r="J934" s="902">
        <f>GLOBAL_DER_FEV_2023!J934</f>
        <v>804.53</v>
      </c>
      <c r="K934" s="903" t="s">
        <v>1516</v>
      </c>
      <c r="L934" s="1137"/>
      <c r="M934" s="1138">
        <f t="shared" si="67"/>
        <v>0</v>
      </c>
      <c r="N934" s="893">
        <f t="shared" si="71"/>
        <v>0</v>
      </c>
      <c r="O934" s="905"/>
      <c r="Q934" s="317" t="str">
        <f t="shared" si="68"/>
        <v/>
      </c>
      <c r="R934" s="317" t="str">
        <f t="shared" si="69"/>
        <v/>
      </c>
      <c r="S934" s="317" t="str">
        <f t="shared" si="70"/>
        <v/>
      </c>
      <c r="T934" s="317" t="str">
        <f>GLOBAL_DER_FEV_2023!S934</f>
        <v/>
      </c>
      <c r="W934" s="582">
        <v>0</v>
      </c>
      <c r="X934" s="580"/>
      <c r="Y934" s="583">
        <f>IF(GLOBAL_DER_FEV_2023!W934=0,0,IF(GLOBAL_DER_FEV_2023!W934&gt;0,"c","b"))</f>
        <v>0</v>
      </c>
    </row>
    <row r="935" spans="1:25" ht="34.5" hidden="1" thickBot="1" x14ac:dyDescent="0.25">
      <c r="A935" s="317">
        <v>100585</v>
      </c>
      <c r="B935" s="895">
        <v>100585</v>
      </c>
      <c r="C935" s="896" t="s">
        <v>596</v>
      </c>
      <c r="D935" s="906" t="s">
        <v>862</v>
      </c>
      <c r="E935" s="907">
        <f>GLOBAL_DER_FEV_2023!E935</f>
        <v>0</v>
      </c>
      <c r="F935" s="908">
        <f>GLOBAL_DER_FEV_2023!F935</f>
        <v>0</v>
      </c>
      <c r="G935" s="912">
        <f>GLOBAL_DER_FEV_2023!G935</f>
        <v>0</v>
      </c>
      <c r="H935" s="901">
        <f>GLOBAL_DER_FEV_2023!H935</f>
        <v>658.54</v>
      </c>
      <c r="I935" s="901">
        <f>GLOBAL_DER_FEV_2023!I935</f>
        <v>658.54</v>
      </c>
      <c r="J935" s="902">
        <f>GLOBAL_DER_FEV_2023!J935</f>
        <v>790.71</v>
      </c>
      <c r="K935" s="903" t="s">
        <v>1516</v>
      </c>
      <c r="L935" s="1137"/>
      <c r="M935" s="1138">
        <f t="shared" si="67"/>
        <v>0</v>
      </c>
      <c r="N935" s="893">
        <f t="shared" si="71"/>
        <v>0</v>
      </c>
      <c r="O935" s="905"/>
      <c r="Q935" s="317" t="str">
        <f t="shared" si="68"/>
        <v/>
      </c>
      <c r="R935" s="317" t="str">
        <f t="shared" si="69"/>
        <v/>
      </c>
      <c r="S935" s="317" t="str">
        <f t="shared" si="70"/>
        <v/>
      </c>
      <c r="T935" s="317" t="str">
        <f>GLOBAL_DER_FEV_2023!S935</f>
        <v/>
      </c>
      <c r="W935" s="582">
        <v>0</v>
      </c>
      <c r="X935" s="580"/>
      <c r="Y935" s="583">
        <f>IF(GLOBAL_DER_FEV_2023!W935=0,0,IF(GLOBAL_DER_FEV_2023!W935&gt;0,"c","b"))</f>
        <v>0</v>
      </c>
    </row>
    <row r="936" spans="1:25" ht="34.5" hidden="1" thickBot="1" x14ac:dyDescent="0.25">
      <c r="A936" s="317">
        <v>100586</v>
      </c>
      <c r="B936" s="895">
        <v>100586</v>
      </c>
      <c r="C936" s="896" t="s">
        <v>596</v>
      </c>
      <c r="D936" s="906" t="s">
        <v>863</v>
      </c>
      <c r="E936" s="907">
        <f>GLOBAL_DER_FEV_2023!E936</f>
        <v>0</v>
      </c>
      <c r="F936" s="908">
        <f>GLOBAL_DER_FEV_2023!F936</f>
        <v>0</v>
      </c>
      <c r="G936" s="912">
        <f>GLOBAL_DER_FEV_2023!G936</f>
        <v>0</v>
      </c>
      <c r="H936" s="901">
        <f>GLOBAL_DER_FEV_2023!H936</f>
        <v>757.16</v>
      </c>
      <c r="I936" s="901">
        <f>GLOBAL_DER_FEV_2023!I936</f>
        <v>757.16</v>
      </c>
      <c r="J936" s="902">
        <f>GLOBAL_DER_FEV_2023!J936</f>
        <v>909.12</v>
      </c>
      <c r="K936" s="903" t="s">
        <v>1516</v>
      </c>
      <c r="L936" s="1137"/>
      <c r="M936" s="1138">
        <f t="shared" si="67"/>
        <v>0</v>
      </c>
      <c r="N936" s="893">
        <f t="shared" si="71"/>
        <v>0</v>
      </c>
      <c r="O936" s="905"/>
      <c r="Q936" s="317" t="str">
        <f t="shared" si="68"/>
        <v/>
      </c>
      <c r="R936" s="317" t="str">
        <f t="shared" si="69"/>
        <v/>
      </c>
      <c r="S936" s="317" t="str">
        <f t="shared" si="70"/>
        <v/>
      </c>
      <c r="T936" s="317" t="str">
        <f>GLOBAL_DER_FEV_2023!S936</f>
        <v/>
      </c>
      <c r="W936" s="582">
        <v>0</v>
      </c>
      <c r="X936" s="580"/>
      <c r="Y936" s="583">
        <f>IF(GLOBAL_DER_FEV_2023!W936=0,0,IF(GLOBAL_DER_FEV_2023!W936&gt;0,"c","b"))</f>
        <v>0</v>
      </c>
    </row>
    <row r="937" spans="1:25" ht="34.5" hidden="1" thickBot="1" x14ac:dyDescent="0.25">
      <c r="A937" s="317">
        <v>100587</v>
      </c>
      <c r="B937" s="895">
        <v>100587</v>
      </c>
      <c r="C937" s="896" t="s">
        <v>596</v>
      </c>
      <c r="D937" s="906" t="s">
        <v>864</v>
      </c>
      <c r="E937" s="907">
        <f>GLOBAL_DER_FEV_2023!E937</f>
        <v>0</v>
      </c>
      <c r="F937" s="908">
        <f>GLOBAL_DER_FEV_2023!F937</f>
        <v>0</v>
      </c>
      <c r="G937" s="912">
        <f>GLOBAL_DER_FEV_2023!G937</f>
        <v>0</v>
      </c>
      <c r="H937" s="901">
        <f>GLOBAL_DER_FEV_2023!H937</f>
        <v>710.91</v>
      </c>
      <c r="I937" s="901">
        <f>GLOBAL_DER_FEV_2023!I937</f>
        <v>710.91</v>
      </c>
      <c r="J937" s="902">
        <f>GLOBAL_DER_FEV_2023!J937</f>
        <v>853.59</v>
      </c>
      <c r="K937" s="903" t="s">
        <v>1516</v>
      </c>
      <c r="L937" s="1137"/>
      <c r="M937" s="1138">
        <f t="shared" si="67"/>
        <v>0</v>
      </c>
      <c r="N937" s="893">
        <f t="shared" si="71"/>
        <v>0</v>
      </c>
      <c r="O937" s="905"/>
      <c r="Q937" s="317" t="str">
        <f t="shared" si="68"/>
        <v/>
      </c>
      <c r="R937" s="317" t="str">
        <f t="shared" si="69"/>
        <v/>
      </c>
      <c r="S937" s="317" t="str">
        <f t="shared" si="70"/>
        <v/>
      </c>
      <c r="T937" s="317" t="str">
        <f>GLOBAL_DER_FEV_2023!S937</f>
        <v/>
      </c>
      <c r="W937" s="582">
        <v>0</v>
      </c>
      <c r="X937" s="580"/>
      <c r="Y937" s="583">
        <f>IF(GLOBAL_DER_FEV_2023!W937=0,0,IF(GLOBAL_DER_FEV_2023!W937&gt;0,"c","b"))</f>
        <v>0</v>
      </c>
    </row>
    <row r="938" spans="1:25" ht="34.5" hidden="1" thickBot="1" x14ac:dyDescent="0.25">
      <c r="A938" s="317">
        <v>100588</v>
      </c>
      <c r="B938" s="895">
        <v>100588</v>
      </c>
      <c r="C938" s="896" t="s">
        <v>596</v>
      </c>
      <c r="D938" s="906" t="s">
        <v>865</v>
      </c>
      <c r="E938" s="907">
        <f>GLOBAL_DER_FEV_2023!E938</f>
        <v>0</v>
      </c>
      <c r="F938" s="908">
        <f>GLOBAL_DER_FEV_2023!F938</f>
        <v>0</v>
      </c>
      <c r="G938" s="912">
        <f>GLOBAL_DER_FEV_2023!G938</f>
        <v>0</v>
      </c>
      <c r="H938" s="901">
        <f>GLOBAL_DER_FEV_2023!H938</f>
        <v>787.57</v>
      </c>
      <c r="I938" s="901">
        <f>GLOBAL_DER_FEV_2023!I938</f>
        <v>787.57</v>
      </c>
      <c r="J938" s="902">
        <f>GLOBAL_DER_FEV_2023!J938</f>
        <v>945.64</v>
      </c>
      <c r="K938" s="903" t="s">
        <v>1516</v>
      </c>
      <c r="L938" s="1137"/>
      <c r="M938" s="1138">
        <f t="shared" si="67"/>
        <v>0</v>
      </c>
      <c r="N938" s="893">
        <f t="shared" si="71"/>
        <v>0</v>
      </c>
      <c r="O938" s="905"/>
      <c r="Q938" s="317" t="str">
        <f t="shared" si="68"/>
        <v/>
      </c>
      <c r="R938" s="317" t="str">
        <f t="shared" si="69"/>
        <v/>
      </c>
      <c r="S938" s="317" t="str">
        <f t="shared" si="70"/>
        <v/>
      </c>
      <c r="T938" s="317" t="str">
        <f>GLOBAL_DER_FEV_2023!S938</f>
        <v/>
      </c>
      <c r="W938" s="582">
        <v>0</v>
      </c>
      <c r="X938" s="580"/>
      <c r="Y938" s="583">
        <f>IF(GLOBAL_DER_FEV_2023!W938=0,0,IF(GLOBAL_DER_FEV_2023!W938&gt;0,"c","b"))</f>
        <v>0</v>
      </c>
    </row>
    <row r="939" spans="1:25" ht="34.5" hidden="1" thickBot="1" x14ac:dyDescent="0.25">
      <c r="A939" s="317">
        <v>100589</v>
      </c>
      <c r="B939" s="895">
        <v>100589</v>
      </c>
      <c r="C939" s="896" t="s">
        <v>596</v>
      </c>
      <c r="D939" s="906" t="s">
        <v>866</v>
      </c>
      <c r="E939" s="907">
        <f>GLOBAL_DER_FEV_2023!E939</f>
        <v>0</v>
      </c>
      <c r="F939" s="908">
        <f>GLOBAL_DER_FEV_2023!F939</f>
        <v>0</v>
      </c>
      <c r="G939" s="912">
        <f>GLOBAL_DER_FEV_2023!G939</f>
        <v>0</v>
      </c>
      <c r="H939" s="901">
        <f>GLOBAL_DER_FEV_2023!H939</f>
        <v>790.38</v>
      </c>
      <c r="I939" s="901">
        <f>GLOBAL_DER_FEV_2023!I939</f>
        <v>790.38</v>
      </c>
      <c r="J939" s="902">
        <f>GLOBAL_DER_FEV_2023!J939</f>
        <v>949.01</v>
      </c>
      <c r="K939" s="903" t="s">
        <v>1516</v>
      </c>
      <c r="L939" s="1137"/>
      <c r="M939" s="1138">
        <f t="shared" si="67"/>
        <v>0</v>
      </c>
      <c r="N939" s="893">
        <f t="shared" si="71"/>
        <v>0</v>
      </c>
      <c r="O939" s="905"/>
      <c r="Q939" s="317" t="str">
        <f t="shared" si="68"/>
        <v/>
      </c>
      <c r="R939" s="317" t="str">
        <f t="shared" si="69"/>
        <v/>
      </c>
      <c r="S939" s="317" t="str">
        <f t="shared" si="70"/>
        <v/>
      </c>
      <c r="T939" s="317" t="str">
        <f>GLOBAL_DER_FEV_2023!S939</f>
        <v/>
      </c>
      <c r="W939" s="582">
        <v>0</v>
      </c>
      <c r="X939" s="580"/>
      <c r="Y939" s="583">
        <f>IF(GLOBAL_DER_FEV_2023!W939=0,0,IF(GLOBAL_DER_FEV_2023!W939&gt;0,"c","b"))</f>
        <v>0</v>
      </c>
    </row>
    <row r="940" spans="1:25" ht="34.5" hidden="1" thickBot="1" x14ac:dyDescent="0.25">
      <c r="A940" s="317">
        <v>100590</v>
      </c>
      <c r="B940" s="895">
        <v>100590</v>
      </c>
      <c r="C940" s="896" t="s">
        <v>596</v>
      </c>
      <c r="D940" s="906" t="s">
        <v>867</v>
      </c>
      <c r="E940" s="907">
        <f>GLOBAL_DER_FEV_2023!E940</f>
        <v>0</v>
      </c>
      <c r="F940" s="908">
        <f>GLOBAL_DER_FEV_2023!F940</f>
        <v>0</v>
      </c>
      <c r="G940" s="912">
        <f>GLOBAL_DER_FEV_2023!G940</f>
        <v>0</v>
      </c>
      <c r="H940" s="901">
        <f>GLOBAL_DER_FEV_2023!H940</f>
        <v>866.24</v>
      </c>
      <c r="I940" s="901">
        <f>GLOBAL_DER_FEV_2023!I940</f>
        <v>866.24</v>
      </c>
      <c r="J940" s="902">
        <f>GLOBAL_DER_FEV_2023!J940</f>
        <v>1040.0899999999999</v>
      </c>
      <c r="K940" s="903" t="s">
        <v>1516</v>
      </c>
      <c r="L940" s="1137"/>
      <c r="M940" s="1138">
        <f t="shared" si="67"/>
        <v>0</v>
      </c>
      <c r="N940" s="893">
        <f t="shared" si="71"/>
        <v>0</v>
      </c>
      <c r="O940" s="905"/>
      <c r="Q940" s="317" t="str">
        <f t="shared" si="68"/>
        <v/>
      </c>
      <c r="R940" s="317" t="str">
        <f t="shared" si="69"/>
        <v/>
      </c>
      <c r="S940" s="317" t="str">
        <f t="shared" si="70"/>
        <v/>
      </c>
      <c r="T940" s="317" t="str">
        <f>GLOBAL_DER_FEV_2023!S940</f>
        <v/>
      </c>
      <c r="W940" s="582">
        <v>0</v>
      </c>
      <c r="X940" s="580"/>
      <c r="Y940" s="583">
        <f>IF(GLOBAL_DER_FEV_2023!W940=0,0,IF(GLOBAL_DER_FEV_2023!W940&gt;0,"c","b"))</f>
        <v>0</v>
      </c>
    </row>
    <row r="941" spans="1:25" ht="34.5" hidden="1" thickBot="1" x14ac:dyDescent="0.25">
      <c r="A941" s="317">
        <v>100591</v>
      </c>
      <c r="B941" s="895">
        <v>100591</v>
      </c>
      <c r="C941" s="896" t="s">
        <v>596</v>
      </c>
      <c r="D941" s="906" t="s">
        <v>868</v>
      </c>
      <c r="E941" s="907">
        <f>GLOBAL_DER_FEV_2023!E941</f>
        <v>0</v>
      </c>
      <c r="F941" s="908">
        <f>GLOBAL_DER_FEV_2023!F941</f>
        <v>0</v>
      </c>
      <c r="G941" s="912">
        <f>GLOBAL_DER_FEV_2023!G941</f>
        <v>0</v>
      </c>
      <c r="H941" s="901">
        <f>GLOBAL_DER_FEV_2023!H941</f>
        <v>783.32</v>
      </c>
      <c r="I941" s="901">
        <f>GLOBAL_DER_FEV_2023!I941</f>
        <v>783.32</v>
      </c>
      <c r="J941" s="902">
        <f>GLOBAL_DER_FEV_2023!J941</f>
        <v>940.53</v>
      </c>
      <c r="K941" s="903" t="s">
        <v>1516</v>
      </c>
      <c r="L941" s="1137"/>
      <c r="M941" s="1138">
        <f t="shared" si="67"/>
        <v>0</v>
      </c>
      <c r="N941" s="893">
        <f t="shared" si="71"/>
        <v>0</v>
      </c>
      <c r="O941" s="905"/>
      <c r="Q941" s="317" t="str">
        <f t="shared" si="68"/>
        <v/>
      </c>
      <c r="R941" s="317" t="str">
        <f t="shared" si="69"/>
        <v/>
      </c>
      <c r="S941" s="317" t="str">
        <f t="shared" si="70"/>
        <v/>
      </c>
      <c r="T941" s="317" t="str">
        <f>GLOBAL_DER_FEV_2023!S941</f>
        <v/>
      </c>
      <c r="W941" s="582">
        <v>0</v>
      </c>
      <c r="X941" s="580"/>
      <c r="Y941" s="583">
        <f>IF(GLOBAL_DER_FEV_2023!W941=0,0,IF(GLOBAL_DER_FEV_2023!W941&gt;0,"c","b"))</f>
        <v>0</v>
      </c>
    </row>
    <row r="942" spans="1:25" ht="34.5" hidden="1" thickBot="1" x14ac:dyDescent="0.25">
      <c r="A942" s="317">
        <v>100592</v>
      </c>
      <c r="B942" s="895">
        <v>100592</v>
      </c>
      <c r="C942" s="896" t="s">
        <v>596</v>
      </c>
      <c r="D942" s="906" t="s">
        <v>869</v>
      </c>
      <c r="E942" s="907">
        <f>GLOBAL_DER_FEV_2023!E942</f>
        <v>0</v>
      </c>
      <c r="F942" s="908">
        <f>GLOBAL_DER_FEV_2023!F942</f>
        <v>0</v>
      </c>
      <c r="G942" s="912">
        <f>GLOBAL_DER_FEV_2023!G942</f>
        <v>0</v>
      </c>
      <c r="H942" s="901">
        <f>GLOBAL_DER_FEV_2023!H942</f>
        <v>846.16</v>
      </c>
      <c r="I942" s="901">
        <f>GLOBAL_DER_FEV_2023!I942</f>
        <v>846.16</v>
      </c>
      <c r="J942" s="902">
        <f>GLOBAL_DER_FEV_2023!J942</f>
        <v>1015.98</v>
      </c>
      <c r="K942" s="903" t="s">
        <v>1516</v>
      </c>
      <c r="L942" s="1137"/>
      <c r="M942" s="1138">
        <f t="shared" si="67"/>
        <v>0</v>
      </c>
      <c r="N942" s="893">
        <f t="shared" si="71"/>
        <v>0</v>
      </c>
      <c r="O942" s="905"/>
      <c r="Q942" s="317" t="str">
        <f t="shared" si="68"/>
        <v/>
      </c>
      <c r="R942" s="317" t="str">
        <f t="shared" si="69"/>
        <v/>
      </c>
      <c r="S942" s="317" t="str">
        <f t="shared" si="70"/>
        <v/>
      </c>
      <c r="T942" s="317" t="str">
        <f>GLOBAL_DER_FEV_2023!S942</f>
        <v/>
      </c>
      <c r="W942" s="582">
        <v>0</v>
      </c>
      <c r="X942" s="580"/>
      <c r="Y942" s="583">
        <f>IF(GLOBAL_DER_FEV_2023!W942=0,0,IF(GLOBAL_DER_FEV_2023!W942&gt;0,"c","b"))</f>
        <v>0</v>
      </c>
    </row>
    <row r="943" spans="1:25" ht="34.5" hidden="1" thickBot="1" x14ac:dyDescent="0.25">
      <c r="A943" s="317">
        <v>100593</v>
      </c>
      <c r="B943" s="895">
        <v>100593</v>
      </c>
      <c r="C943" s="896" t="s">
        <v>596</v>
      </c>
      <c r="D943" s="906" t="s">
        <v>870</v>
      </c>
      <c r="E943" s="907">
        <f>GLOBAL_DER_FEV_2023!E943</f>
        <v>0</v>
      </c>
      <c r="F943" s="908">
        <f>GLOBAL_DER_FEV_2023!F943</f>
        <v>0</v>
      </c>
      <c r="G943" s="912">
        <f>GLOBAL_DER_FEV_2023!G943</f>
        <v>0</v>
      </c>
      <c r="H943" s="901">
        <f>GLOBAL_DER_FEV_2023!H943</f>
        <v>839.13</v>
      </c>
      <c r="I943" s="901">
        <f>GLOBAL_DER_FEV_2023!I943</f>
        <v>839.13</v>
      </c>
      <c r="J943" s="902">
        <f>GLOBAL_DER_FEV_2023!J943</f>
        <v>1007.54</v>
      </c>
      <c r="K943" s="903" t="s">
        <v>1516</v>
      </c>
      <c r="L943" s="1137"/>
      <c r="M943" s="1138">
        <f t="shared" si="67"/>
        <v>0</v>
      </c>
      <c r="N943" s="893">
        <f t="shared" si="71"/>
        <v>0</v>
      </c>
      <c r="O943" s="905"/>
      <c r="Q943" s="317" t="str">
        <f t="shared" si="68"/>
        <v/>
      </c>
      <c r="R943" s="317" t="str">
        <f t="shared" si="69"/>
        <v/>
      </c>
      <c r="S943" s="317" t="str">
        <f t="shared" si="70"/>
        <v/>
      </c>
      <c r="T943" s="317" t="str">
        <f>GLOBAL_DER_FEV_2023!S943</f>
        <v/>
      </c>
      <c r="W943" s="582">
        <v>0</v>
      </c>
      <c r="X943" s="580"/>
      <c r="Y943" s="583">
        <f>IF(GLOBAL_DER_FEV_2023!W943=0,0,IF(GLOBAL_DER_FEV_2023!W943&gt;0,"c","b"))</f>
        <v>0</v>
      </c>
    </row>
    <row r="944" spans="1:25" ht="34.5" hidden="1" thickBot="1" x14ac:dyDescent="0.25">
      <c r="A944" s="317">
        <v>100594</v>
      </c>
      <c r="B944" s="895">
        <v>100594</v>
      </c>
      <c r="C944" s="896" t="s">
        <v>596</v>
      </c>
      <c r="D944" s="906" t="s">
        <v>871</v>
      </c>
      <c r="E944" s="907">
        <f>GLOBAL_DER_FEV_2023!E944</f>
        <v>0</v>
      </c>
      <c r="F944" s="908">
        <f>GLOBAL_DER_FEV_2023!F944</f>
        <v>0</v>
      </c>
      <c r="G944" s="912">
        <f>GLOBAL_DER_FEV_2023!G944</f>
        <v>0</v>
      </c>
      <c r="H944" s="901">
        <f>GLOBAL_DER_FEV_2023!H944</f>
        <v>945.58</v>
      </c>
      <c r="I944" s="901">
        <f>GLOBAL_DER_FEV_2023!I944</f>
        <v>945.58</v>
      </c>
      <c r="J944" s="902">
        <f>GLOBAL_DER_FEV_2023!J944</f>
        <v>1135.3599999999999</v>
      </c>
      <c r="K944" s="903" t="s">
        <v>1516</v>
      </c>
      <c r="L944" s="1137"/>
      <c r="M944" s="1138">
        <f t="shared" si="67"/>
        <v>0</v>
      </c>
      <c r="N944" s="893">
        <f t="shared" si="71"/>
        <v>0</v>
      </c>
      <c r="O944" s="905"/>
      <c r="Q944" s="317" t="str">
        <f t="shared" si="68"/>
        <v/>
      </c>
      <c r="R944" s="317" t="str">
        <f t="shared" si="69"/>
        <v/>
      </c>
      <c r="S944" s="317" t="str">
        <f t="shared" si="70"/>
        <v/>
      </c>
      <c r="T944" s="317" t="str">
        <f>GLOBAL_DER_FEV_2023!S944</f>
        <v/>
      </c>
      <c r="W944" s="582">
        <v>0</v>
      </c>
      <c r="X944" s="580"/>
      <c r="Y944" s="583">
        <f>IF(GLOBAL_DER_FEV_2023!W944=0,0,IF(GLOBAL_DER_FEV_2023!W944&gt;0,"c","b"))</f>
        <v>0</v>
      </c>
    </row>
    <row r="945" spans="1:25" ht="34.5" hidden="1" thickBot="1" x14ac:dyDescent="0.25">
      <c r="A945" s="317">
        <v>100595</v>
      </c>
      <c r="B945" s="895">
        <v>100595</v>
      </c>
      <c r="C945" s="896" t="s">
        <v>596</v>
      </c>
      <c r="D945" s="906" t="s">
        <v>872</v>
      </c>
      <c r="E945" s="907">
        <f>GLOBAL_DER_FEV_2023!E945</f>
        <v>0</v>
      </c>
      <c r="F945" s="908">
        <f>GLOBAL_DER_FEV_2023!F945</f>
        <v>0</v>
      </c>
      <c r="G945" s="912">
        <f>GLOBAL_DER_FEV_2023!G945</f>
        <v>0</v>
      </c>
      <c r="H945" s="901">
        <f>GLOBAL_DER_FEV_2023!H945</f>
        <v>1006.57</v>
      </c>
      <c r="I945" s="901">
        <f>GLOBAL_DER_FEV_2023!I945</f>
        <v>1006.57</v>
      </c>
      <c r="J945" s="902">
        <f>GLOBAL_DER_FEV_2023!J945</f>
        <v>1208.5899999999999</v>
      </c>
      <c r="K945" s="903" t="s">
        <v>1516</v>
      </c>
      <c r="L945" s="1137"/>
      <c r="M945" s="1138">
        <f t="shared" si="67"/>
        <v>0</v>
      </c>
      <c r="N945" s="893">
        <f t="shared" si="71"/>
        <v>0</v>
      </c>
      <c r="O945" s="905"/>
      <c r="Q945" s="317" t="str">
        <f t="shared" si="68"/>
        <v/>
      </c>
      <c r="R945" s="317" t="str">
        <f t="shared" si="69"/>
        <v/>
      </c>
      <c r="S945" s="317" t="str">
        <f t="shared" si="70"/>
        <v/>
      </c>
      <c r="T945" s="317" t="str">
        <f>GLOBAL_DER_FEV_2023!S945</f>
        <v/>
      </c>
      <c r="W945" s="582">
        <v>0</v>
      </c>
      <c r="X945" s="580"/>
      <c r="Y945" s="583">
        <f>IF(GLOBAL_DER_FEV_2023!W945=0,0,IF(GLOBAL_DER_FEV_2023!W945&gt;0,"c","b"))</f>
        <v>0</v>
      </c>
    </row>
    <row r="946" spans="1:25" ht="34.5" hidden="1" thickBot="1" x14ac:dyDescent="0.25">
      <c r="A946" s="317">
        <v>100596</v>
      </c>
      <c r="B946" s="895">
        <v>100596</v>
      </c>
      <c r="C946" s="896" t="s">
        <v>596</v>
      </c>
      <c r="D946" s="906" t="s">
        <v>873</v>
      </c>
      <c r="E946" s="907">
        <f>GLOBAL_DER_FEV_2023!E946</f>
        <v>0</v>
      </c>
      <c r="F946" s="908">
        <f>GLOBAL_DER_FEV_2023!F946</f>
        <v>0</v>
      </c>
      <c r="G946" s="912">
        <f>GLOBAL_DER_FEV_2023!G946</f>
        <v>0</v>
      </c>
      <c r="H946" s="901">
        <f>GLOBAL_DER_FEV_2023!H946</f>
        <v>1150.1199999999999</v>
      </c>
      <c r="I946" s="901">
        <f>GLOBAL_DER_FEV_2023!I946</f>
        <v>1150.1199999999999</v>
      </c>
      <c r="J946" s="902">
        <f>GLOBAL_DER_FEV_2023!J946</f>
        <v>1380.95</v>
      </c>
      <c r="K946" s="903" t="s">
        <v>1516</v>
      </c>
      <c r="L946" s="1137"/>
      <c r="M946" s="1138">
        <f t="shared" si="67"/>
        <v>0</v>
      </c>
      <c r="N946" s="893">
        <f t="shared" si="71"/>
        <v>0</v>
      </c>
      <c r="O946" s="905"/>
      <c r="Q946" s="317" t="str">
        <f t="shared" si="68"/>
        <v/>
      </c>
      <c r="R946" s="317" t="str">
        <f t="shared" si="69"/>
        <v/>
      </c>
      <c r="S946" s="317" t="str">
        <f t="shared" si="70"/>
        <v/>
      </c>
      <c r="T946" s="317" t="str">
        <f>GLOBAL_DER_FEV_2023!S946</f>
        <v/>
      </c>
      <c r="W946" s="582">
        <v>0</v>
      </c>
      <c r="X946" s="580"/>
      <c r="Y946" s="583">
        <f>IF(GLOBAL_DER_FEV_2023!W946=0,0,IF(GLOBAL_DER_FEV_2023!W946&gt;0,"c","b"))</f>
        <v>0</v>
      </c>
    </row>
    <row r="947" spans="1:25" ht="34.5" hidden="1" thickBot="1" x14ac:dyDescent="0.25">
      <c r="A947" s="317">
        <v>100597</v>
      </c>
      <c r="B947" s="895">
        <v>100597</v>
      </c>
      <c r="C947" s="896" t="s">
        <v>596</v>
      </c>
      <c r="D947" s="906" t="s">
        <v>874</v>
      </c>
      <c r="E947" s="907">
        <f>GLOBAL_DER_FEV_2023!E947</f>
        <v>0</v>
      </c>
      <c r="F947" s="908">
        <f>GLOBAL_DER_FEV_2023!F947</f>
        <v>0</v>
      </c>
      <c r="G947" s="912">
        <f>GLOBAL_DER_FEV_2023!G947</f>
        <v>0</v>
      </c>
      <c r="H947" s="901">
        <f>GLOBAL_DER_FEV_2023!H947</f>
        <v>1167.05</v>
      </c>
      <c r="I947" s="901">
        <f>GLOBAL_DER_FEV_2023!I947</f>
        <v>1167.05</v>
      </c>
      <c r="J947" s="902">
        <f>GLOBAL_DER_FEV_2023!J947</f>
        <v>1401.28</v>
      </c>
      <c r="K947" s="903" t="s">
        <v>1516</v>
      </c>
      <c r="L947" s="1137"/>
      <c r="M947" s="1138">
        <f t="shared" si="67"/>
        <v>0</v>
      </c>
      <c r="N947" s="893">
        <f t="shared" si="71"/>
        <v>0</v>
      </c>
      <c r="O947" s="905"/>
      <c r="Q947" s="317" t="str">
        <f t="shared" si="68"/>
        <v/>
      </c>
      <c r="R947" s="317" t="str">
        <f t="shared" si="69"/>
        <v/>
      </c>
      <c r="S947" s="317" t="str">
        <f t="shared" si="70"/>
        <v/>
      </c>
      <c r="T947" s="317" t="str">
        <f>GLOBAL_DER_FEV_2023!S947</f>
        <v/>
      </c>
      <c r="W947" s="582">
        <v>0</v>
      </c>
      <c r="X947" s="580"/>
      <c r="Y947" s="583">
        <f>IF(GLOBAL_DER_FEV_2023!W947=0,0,IF(GLOBAL_DER_FEV_2023!W947&gt;0,"c","b"))</f>
        <v>0</v>
      </c>
    </row>
    <row r="948" spans="1:25" ht="34.5" hidden="1" thickBot="1" x14ac:dyDescent="0.25">
      <c r="A948" s="317">
        <v>100598</v>
      </c>
      <c r="B948" s="895">
        <v>100598</v>
      </c>
      <c r="C948" s="896" t="s">
        <v>596</v>
      </c>
      <c r="D948" s="906" t="s">
        <v>875</v>
      </c>
      <c r="E948" s="907">
        <f>GLOBAL_DER_FEV_2023!E948</f>
        <v>0</v>
      </c>
      <c r="F948" s="908">
        <f>GLOBAL_DER_FEV_2023!F948</f>
        <v>0</v>
      </c>
      <c r="G948" s="912">
        <f>GLOBAL_DER_FEV_2023!G948</f>
        <v>0</v>
      </c>
      <c r="H948" s="901">
        <f>GLOBAL_DER_FEV_2023!H948</f>
        <v>1285.3900000000001</v>
      </c>
      <c r="I948" s="901">
        <f>GLOBAL_DER_FEV_2023!I948</f>
        <v>1285.3900000000001</v>
      </c>
      <c r="J948" s="902">
        <f>GLOBAL_DER_FEV_2023!J948</f>
        <v>1543.37</v>
      </c>
      <c r="K948" s="903" t="s">
        <v>1516</v>
      </c>
      <c r="L948" s="1137"/>
      <c r="M948" s="1138">
        <f t="shared" si="67"/>
        <v>0</v>
      </c>
      <c r="N948" s="893">
        <f t="shared" si="71"/>
        <v>0</v>
      </c>
      <c r="O948" s="905"/>
      <c r="Q948" s="317" t="str">
        <f t="shared" si="68"/>
        <v/>
      </c>
      <c r="R948" s="317" t="str">
        <f t="shared" si="69"/>
        <v/>
      </c>
      <c r="S948" s="317" t="str">
        <f t="shared" si="70"/>
        <v/>
      </c>
      <c r="T948" s="317" t="str">
        <f>GLOBAL_DER_FEV_2023!S948</f>
        <v/>
      </c>
      <c r="W948" s="582">
        <v>0</v>
      </c>
      <c r="X948" s="580"/>
      <c r="Y948" s="583">
        <f>IF(GLOBAL_DER_FEV_2023!W948=0,0,IF(GLOBAL_DER_FEV_2023!W948&gt;0,"c","b"))</f>
        <v>0</v>
      </c>
    </row>
    <row r="949" spans="1:25" ht="34.5" hidden="1" thickBot="1" x14ac:dyDescent="0.25">
      <c r="A949" s="317">
        <v>100599</v>
      </c>
      <c r="B949" s="895">
        <v>100599</v>
      </c>
      <c r="C949" s="896" t="s">
        <v>596</v>
      </c>
      <c r="D949" s="906" t="s">
        <v>876</v>
      </c>
      <c r="E949" s="907">
        <f>GLOBAL_DER_FEV_2023!E949</f>
        <v>0</v>
      </c>
      <c r="F949" s="908">
        <f>GLOBAL_DER_FEV_2023!F949</f>
        <v>0</v>
      </c>
      <c r="G949" s="912">
        <f>GLOBAL_DER_FEV_2023!G949</f>
        <v>0</v>
      </c>
      <c r="H949" s="901">
        <f>GLOBAL_DER_FEV_2023!H949</f>
        <v>516.86</v>
      </c>
      <c r="I949" s="901">
        <f>GLOBAL_DER_FEV_2023!I949</f>
        <v>516.86</v>
      </c>
      <c r="J949" s="902">
        <f>GLOBAL_DER_FEV_2023!J949</f>
        <v>620.59</v>
      </c>
      <c r="K949" s="903" t="s">
        <v>1516</v>
      </c>
      <c r="L949" s="1137"/>
      <c r="M949" s="1138">
        <f t="shared" si="67"/>
        <v>0</v>
      </c>
      <c r="N949" s="893">
        <f t="shared" si="71"/>
        <v>0</v>
      </c>
      <c r="O949" s="905"/>
      <c r="Q949" s="317" t="str">
        <f t="shared" si="68"/>
        <v/>
      </c>
      <c r="R949" s="317" t="str">
        <f t="shared" si="69"/>
        <v/>
      </c>
      <c r="S949" s="317" t="str">
        <f t="shared" si="70"/>
        <v/>
      </c>
      <c r="T949" s="317" t="str">
        <f>GLOBAL_DER_FEV_2023!S949</f>
        <v/>
      </c>
      <c r="W949" s="582">
        <v>0</v>
      </c>
      <c r="X949" s="580"/>
      <c r="Y949" s="583">
        <f>IF(GLOBAL_DER_FEV_2023!W949=0,0,IF(GLOBAL_DER_FEV_2023!W949&gt;0,"c","b"))</f>
        <v>0</v>
      </c>
    </row>
    <row r="950" spans="1:25" ht="34.5" hidden="1" thickBot="1" x14ac:dyDescent="0.25">
      <c r="A950" s="317">
        <v>100600</v>
      </c>
      <c r="B950" s="895">
        <v>100600</v>
      </c>
      <c r="C950" s="896" t="s">
        <v>596</v>
      </c>
      <c r="D950" s="906" t="s">
        <v>877</v>
      </c>
      <c r="E950" s="907">
        <f>GLOBAL_DER_FEV_2023!E950</f>
        <v>0</v>
      </c>
      <c r="F950" s="908">
        <f>GLOBAL_DER_FEV_2023!F950</f>
        <v>0</v>
      </c>
      <c r="G950" s="912">
        <f>GLOBAL_DER_FEV_2023!G950</f>
        <v>0</v>
      </c>
      <c r="H950" s="901">
        <f>GLOBAL_DER_FEV_2023!H950</f>
        <v>613.13</v>
      </c>
      <c r="I950" s="901">
        <f>GLOBAL_DER_FEV_2023!I950</f>
        <v>613.13</v>
      </c>
      <c r="J950" s="902">
        <f>GLOBAL_DER_FEV_2023!J950</f>
        <v>736.19</v>
      </c>
      <c r="K950" s="903" t="s">
        <v>1516</v>
      </c>
      <c r="L950" s="1137"/>
      <c r="M950" s="1138">
        <f t="shared" si="67"/>
        <v>0</v>
      </c>
      <c r="N950" s="893">
        <f t="shared" si="71"/>
        <v>0</v>
      </c>
      <c r="O950" s="905"/>
      <c r="Q950" s="317" t="str">
        <f t="shared" si="68"/>
        <v/>
      </c>
      <c r="R950" s="317" t="str">
        <f t="shared" si="69"/>
        <v/>
      </c>
      <c r="S950" s="317" t="str">
        <f t="shared" si="70"/>
        <v/>
      </c>
      <c r="T950" s="317" t="str">
        <f>GLOBAL_DER_FEV_2023!S950</f>
        <v/>
      </c>
      <c r="W950" s="582">
        <v>0</v>
      </c>
      <c r="X950" s="580"/>
      <c r="Y950" s="583">
        <f>IF(GLOBAL_DER_FEV_2023!W950=0,0,IF(GLOBAL_DER_FEV_2023!W950&gt;0,"c","b"))</f>
        <v>0</v>
      </c>
    </row>
    <row r="951" spans="1:25" ht="34.5" hidden="1" thickBot="1" x14ac:dyDescent="0.25">
      <c r="A951" s="317">
        <v>100601</v>
      </c>
      <c r="B951" s="895">
        <v>100601</v>
      </c>
      <c r="C951" s="896" t="s">
        <v>596</v>
      </c>
      <c r="D951" s="906" t="s">
        <v>878</v>
      </c>
      <c r="E951" s="907">
        <f>GLOBAL_DER_FEV_2023!E951</f>
        <v>0</v>
      </c>
      <c r="F951" s="908">
        <f>GLOBAL_DER_FEV_2023!F951</f>
        <v>0</v>
      </c>
      <c r="G951" s="912">
        <f>GLOBAL_DER_FEV_2023!G951</f>
        <v>0</v>
      </c>
      <c r="H951" s="901">
        <f>GLOBAL_DER_FEV_2023!H951</f>
        <v>772.56</v>
      </c>
      <c r="I951" s="901">
        <f>GLOBAL_DER_FEV_2023!I951</f>
        <v>772.56</v>
      </c>
      <c r="J951" s="902">
        <f>GLOBAL_DER_FEV_2023!J951</f>
        <v>927.61</v>
      </c>
      <c r="K951" s="903" t="s">
        <v>1516</v>
      </c>
      <c r="L951" s="1137"/>
      <c r="M951" s="1138">
        <f t="shared" si="67"/>
        <v>0</v>
      </c>
      <c r="N951" s="893">
        <f t="shared" si="71"/>
        <v>0</v>
      </c>
      <c r="O951" s="905"/>
      <c r="Q951" s="317" t="str">
        <f t="shared" si="68"/>
        <v/>
      </c>
      <c r="R951" s="317" t="str">
        <f t="shared" si="69"/>
        <v/>
      </c>
      <c r="S951" s="317" t="str">
        <f t="shared" si="70"/>
        <v/>
      </c>
      <c r="T951" s="317" t="str">
        <f>GLOBAL_DER_FEV_2023!S951</f>
        <v/>
      </c>
      <c r="W951" s="582">
        <v>0</v>
      </c>
      <c r="X951" s="580"/>
      <c r="Y951" s="583">
        <f>IF(GLOBAL_DER_FEV_2023!W951=0,0,IF(GLOBAL_DER_FEV_2023!W951&gt;0,"c","b"))</f>
        <v>0</v>
      </c>
    </row>
    <row r="952" spans="1:25" ht="34.5" hidden="1" thickBot="1" x14ac:dyDescent="0.25">
      <c r="A952" s="317">
        <v>100602</v>
      </c>
      <c r="B952" s="895">
        <v>100602</v>
      </c>
      <c r="C952" s="896" t="s">
        <v>596</v>
      </c>
      <c r="D952" s="906" t="s">
        <v>879</v>
      </c>
      <c r="E952" s="907">
        <f>GLOBAL_DER_FEV_2023!E952</f>
        <v>0</v>
      </c>
      <c r="F952" s="908">
        <f>GLOBAL_DER_FEV_2023!F952</f>
        <v>0</v>
      </c>
      <c r="G952" s="912">
        <f>GLOBAL_DER_FEV_2023!G952</f>
        <v>0</v>
      </c>
      <c r="H952" s="901">
        <f>GLOBAL_DER_FEV_2023!H952</f>
        <v>971.46</v>
      </c>
      <c r="I952" s="901">
        <f>GLOBAL_DER_FEV_2023!I952</f>
        <v>971.46</v>
      </c>
      <c r="J952" s="902">
        <f>GLOBAL_DER_FEV_2023!J952</f>
        <v>1166.43</v>
      </c>
      <c r="K952" s="903" t="s">
        <v>1516</v>
      </c>
      <c r="L952" s="1137"/>
      <c r="M952" s="1138">
        <f t="shared" si="67"/>
        <v>0</v>
      </c>
      <c r="N952" s="893">
        <f t="shared" si="71"/>
        <v>0</v>
      </c>
      <c r="O952" s="905"/>
      <c r="Q952" s="317" t="str">
        <f t="shared" si="68"/>
        <v/>
      </c>
      <c r="R952" s="317" t="str">
        <f t="shared" si="69"/>
        <v/>
      </c>
      <c r="S952" s="317" t="str">
        <f t="shared" si="70"/>
        <v/>
      </c>
      <c r="T952" s="317" t="str">
        <f>GLOBAL_DER_FEV_2023!S952</f>
        <v/>
      </c>
      <c r="W952" s="582">
        <v>0</v>
      </c>
      <c r="X952" s="580"/>
      <c r="Y952" s="583">
        <f>IF(GLOBAL_DER_FEV_2023!W952=0,0,IF(GLOBAL_DER_FEV_2023!W952&gt;0,"c","b"))</f>
        <v>0</v>
      </c>
    </row>
    <row r="953" spans="1:25" ht="34.5" hidden="1" thickBot="1" x14ac:dyDescent="0.25">
      <c r="A953" s="317">
        <v>100603</v>
      </c>
      <c r="B953" s="895">
        <v>100603</v>
      </c>
      <c r="C953" s="896" t="s">
        <v>596</v>
      </c>
      <c r="D953" s="906" t="s">
        <v>880</v>
      </c>
      <c r="E953" s="907">
        <f>GLOBAL_DER_FEV_2023!E953</f>
        <v>0</v>
      </c>
      <c r="F953" s="908">
        <f>GLOBAL_DER_FEV_2023!F953</f>
        <v>0</v>
      </c>
      <c r="G953" s="912">
        <f>GLOBAL_DER_FEV_2023!G953</f>
        <v>0</v>
      </c>
      <c r="H953" s="901">
        <f>GLOBAL_DER_FEV_2023!H953</f>
        <v>1484.28</v>
      </c>
      <c r="I953" s="901">
        <f>GLOBAL_DER_FEV_2023!I953</f>
        <v>1484.28</v>
      </c>
      <c r="J953" s="902">
        <f>GLOBAL_DER_FEV_2023!J953</f>
        <v>1782.17</v>
      </c>
      <c r="K953" s="903" t="s">
        <v>1516</v>
      </c>
      <c r="L953" s="1137"/>
      <c r="M953" s="1138">
        <f t="shared" si="67"/>
        <v>0</v>
      </c>
      <c r="N953" s="893">
        <f t="shared" si="71"/>
        <v>0</v>
      </c>
      <c r="O953" s="905"/>
      <c r="Q953" s="317" t="str">
        <f t="shared" si="68"/>
        <v/>
      </c>
      <c r="R953" s="317" t="str">
        <f t="shared" si="69"/>
        <v/>
      </c>
      <c r="S953" s="317" t="str">
        <f t="shared" si="70"/>
        <v/>
      </c>
      <c r="T953" s="317" t="str">
        <f>GLOBAL_DER_FEV_2023!S953</f>
        <v/>
      </c>
      <c r="W953" s="582">
        <v>0</v>
      </c>
      <c r="X953" s="580"/>
      <c r="Y953" s="583">
        <f>IF(GLOBAL_DER_FEV_2023!W953=0,0,IF(GLOBAL_DER_FEV_2023!W953&gt;0,"c","b"))</f>
        <v>0</v>
      </c>
    </row>
    <row r="954" spans="1:25" ht="34.5" hidden="1" thickBot="1" x14ac:dyDescent="0.25">
      <c r="A954" s="317">
        <v>100604</v>
      </c>
      <c r="B954" s="895">
        <v>100604</v>
      </c>
      <c r="C954" s="896" t="s">
        <v>596</v>
      </c>
      <c r="D954" s="906" t="s">
        <v>881</v>
      </c>
      <c r="E954" s="907">
        <f>GLOBAL_DER_FEV_2023!E954</f>
        <v>0</v>
      </c>
      <c r="F954" s="908">
        <f>GLOBAL_DER_FEV_2023!F954</f>
        <v>0</v>
      </c>
      <c r="G954" s="912">
        <f>GLOBAL_DER_FEV_2023!G954</f>
        <v>0</v>
      </c>
      <c r="H954" s="901">
        <f>GLOBAL_DER_FEV_2023!H954</f>
        <v>652.23</v>
      </c>
      <c r="I954" s="901">
        <f>GLOBAL_DER_FEV_2023!I954</f>
        <v>652.23</v>
      </c>
      <c r="J954" s="902">
        <f>GLOBAL_DER_FEV_2023!J954</f>
        <v>783.13</v>
      </c>
      <c r="K954" s="903" t="s">
        <v>1516</v>
      </c>
      <c r="L954" s="1137"/>
      <c r="M954" s="1138">
        <f t="shared" si="67"/>
        <v>0</v>
      </c>
      <c r="N954" s="893">
        <f t="shared" si="71"/>
        <v>0</v>
      </c>
      <c r="O954" s="905"/>
      <c r="Q954" s="317" t="str">
        <f t="shared" si="68"/>
        <v/>
      </c>
      <c r="R954" s="317" t="str">
        <f t="shared" si="69"/>
        <v/>
      </c>
      <c r="S954" s="317" t="str">
        <f t="shared" si="70"/>
        <v/>
      </c>
      <c r="T954" s="317" t="str">
        <f>GLOBAL_DER_FEV_2023!S954</f>
        <v/>
      </c>
      <c r="W954" s="582">
        <v>0</v>
      </c>
      <c r="X954" s="580"/>
      <c r="Y954" s="583">
        <f>IF(GLOBAL_DER_FEV_2023!W954=0,0,IF(GLOBAL_DER_FEV_2023!W954&gt;0,"c","b"))</f>
        <v>0</v>
      </c>
    </row>
    <row r="955" spans="1:25" ht="34.5" hidden="1" thickBot="1" x14ac:dyDescent="0.25">
      <c r="A955" s="317">
        <v>100605</v>
      </c>
      <c r="B955" s="895">
        <v>100605</v>
      </c>
      <c r="C955" s="896" t="s">
        <v>596</v>
      </c>
      <c r="D955" s="906" t="s">
        <v>882</v>
      </c>
      <c r="E955" s="907">
        <f>GLOBAL_DER_FEV_2023!E955</f>
        <v>0</v>
      </c>
      <c r="F955" s="908">
        <f>GLOBAL_DER_FEV_2023!F955</f>
        <v>0</v>
      </c>
      <c r="G955" s="912">
        <f>GLOBAL_DER_FEV_2023!G955</f>
        <v>0</v>
      </c>
      <c r="H955" s="901">
        <f>GLOBAL_DER_FEV_2023!H955</f>
        <v>1021.11</v>
      </c>
      <c r="I955" s="901">
        <f>GLOBAL_DER_FEV_2023!I955</f>
        <v>1021.11</v>
      </c>
      <c r="J955" s="902">
        <f>GLOBAL_DER_FEV_2023!J955</f>
        <v>1226.05</v>
      </c>
      <c r="K955" s="903" t="s">
        <v>1516</v>
      </c>
      <c r="L955" s="1137"/>
      <c r="M955" s="1138">
        <f t="shared" si="67"/>
        <v>0</v>
      </c>
      <c r="N955" s="893">
        <f t="shared" si="71"/>
        <v>0</v>
      </c>
      <c r="O955" s="905"/>
      <c r="Q955" s="317" t="str">
        <f t="shared" si="68"/>
        <v/>
      </c>
      <c r="R955" s="317" t="str">
        <f t="shared" si="69"/>
        <v/>
      </c>
      <c r="S955" s="317" t="str">
        <f t="shared" si="70"/>
        <v/>
      </c>
      <c r="T955" s="317" t="str">
        <f>GLOBAL_DER_FEV_2023!S955</f>
        <v/>
      </c>
      <c r="W955" s="582">
        <v>0</v>
      </c>
      <c r="X955" s="580"/>
      <c r="Y955" s="583">
        <f>IF(GLOBAL_DER_FEV_2023!W955=0,0,IF(GLOBAL_DER_FEV_2023!W955&gt;0,"c","b"))</f>
        <v>0</v>
      </c>
    </row>
    <row r="956" spans="1:25" ht="34.5" hidden="1" thickBot="1" x14ac:dyDescent="0.25">
      <c r="A956" s="317">
        <v>100606</v>
      </c>
      <c r="B956" s="895">
        <v>100606</v>
      </c>
      <c r="C956" s="896" t="s">
        <v>596</v>
      </c>
      <c r="D956" s="906" t="s">
        <v>883</v>
      </c>
      <c r="E956" s="907">
        <f>GLOBAL_DER_FEV_2023!E956</f>
        <v>0</v>
      </c>
      <c r="F956" s="908">
        <f>GLOBAL_DER_FEV_2023!F956</f>
        <v>0</v>
      </c>
      <c r="G956" s="912">
        <f>GLOBAL_DER_FEV_2023!G956</f>
        <v>0</v>
      </c>
      <c r="H956" s="901">
        <f>GLOBAL_DER_FEV_2023!H956</f>
        <v>1547.64</v>
      </c>
      <c r="I956" s="901">
        <f>GLOBAL_DER_FEV_2023!I956</f>
        <v>1547.64</v>
      </c>
      <c r="J956" s="902">
        <f>GLOBAL_DER_FEV_2023!J956</f>
        <v>1858.25</v>
      </c>
      <c r="K956" s="903" t="s">
        <v>1516</v>
      </c>
      <c r="L956" s="1137"/>
      <c r="M956" s="1138">
        <f t="shared" si="67"/>
        <v>0</v>
      </c>
      <c r="N956" s="893">
        <f t="shared" si="71"/>
        <v>0</v>
      </c>
      <c r="O956" s="905"/>
      <c r="Q956" s="317" t="str">
        <f t="shared" si="68"/>
        <v/>
      </c>
      <c r="R956" s="317" t="str">
        <f t="shared" si="69"/>
        <v/>
      </c>
      <c r="S956" s="317" t="str">
        <f t="shared" si="70"/>
        <v/>
      </c>
      <c r="T956" s="317" t="str">
        <f>GLOBAL_DER_FEV_2023!S956</f>
        <v/>
      </c>
      <c r="W956" s="582">
        <v>0</v>
      </c>
      <c r="X956" s="580"/>
      <c r="Y956" s="583">
        <f>IF(GLOBAL_DER_FEV_2023!W956=0,0,IF(GLOBAL_DER_FEV_2023!W956&gt;0,"c","b"))</f>
        <v>0</v>
      </c>
    </row>
    <row r="957" spans="1:25" ht="34.5" hidden="1" thickBot="1" x14ac:dyDescent="0.25">
      <c r="A957" s="317">
        <v>100607</v>
      </c>
      <c r="B957" s="895">
        <v>100607</v>
      </c>
      <c r="C957" s="896" t="s">
        <v>596</v>
      </c>
      <c r="D957" s="906" t="s">
        <v>884</v>
      </c>
      <c r="E957" s="907">
        <f>GLOBAL_DER_FEV_2023!E957</f>
        <v>0</v>
      </c>
      <c r="F957" s="908">
        <f>GLOBAL_DER_FEV_2023!F957</f>
        <v>0</v>
      </c>
      <c r="G957" s="912">
        <f>GLOBAL_DER_FEV_2023!G957</f>
        <v>0</v>
      </c>
      <c r="H957" s="901">
        <f>GLOBAL_DER_FEV_2023!H957</f>
        <v>670.9</v>
      </c>
      <c r="I957" s="901">
        <f>GLOBAL_DER_FEV_2023!I957</f>
        <v>670.9</v>
      </c>
      <c r="J957" s="902">
        <f>GLOBAL_DER_FEV_2023!J957</f>
        <v>805.55</v>
      </c>
      <c r="K957" s="903" t="s">
        <v>1516</v>
      </c>
      <c r="L957" s="1137"/>
      <c r="M957" s="1138">
        <f t="shared" si="67"/>
        <v>0</v>
      </c>
      <c r="N957" s="893">
        <f t="shared" si="71"/>
        <v>0</v>
      </c>
      <c r="O957" s="905"/>
      <c r="Q957" s="317" t="str">
        <f t="shared" si="68"/>
        <v/>
      </c>
      <c r="R957" s="317" t="str">
        <f t="shared" si="69"/>
        <v/>
      </c>
      <c r="S957" s="317" t="str">
        <f t="shared" si="70"/>
        <v/>
      </c>
      <c r="T957" s="317" t="str">
        <f>GLOBAL_DER_FEV_2023!S957</f>
        <v/>
      </c>
      <c r="W957" s="582">
        <v>0</v>
      </c>
      <c r="X957" s="580"/>
      <c r="Y957" s="583">
        <f>IF(GLOBAL_DER_FEV_2023!W957=0,0,IF(GLOBAL_DER_FEV_2023!W957&gt;0,"c","b"))</f>
        <v>0</v>
      </c>
    </row>
    <row r="958" spans="1:25" ht="34.5" hidden="1" thickBot="1" x14ac:dyDescent="0.25">
      <c r="A958" s="317">
        <v>100608</v>
      </c>
      <c r="B958" s="895">
        <v>100608</v>
      </c>
      <c r="C958" s="896" t="s">
        <v>596</v>
      </c>
      <c r="D958" s="906" t="s">
        <v>885</v>
      </c>
      <c r="E958" s="907">
        <f>GLOBAL_DER_FEV_2023!E958</f>
        <v>0</v>
      </c>
      <c r="F958" s="908">
        <f>GLOBAL_DER_FEV_2023!F958</f>
        <v>0</v>
      </c>
      <c r="G958" s="912">
        <f>GLOBAL_DER_FEV_2023!G958</f>
        <v>0</v>
      </c>
      <c r="H958" s="901">
        <f>GLOBAL_DER_FEV_2023!H958</f>
        <v>1045.5899999999999</v>
      </c>
      <c r="I958" s="901">
        <f>GLOBAL_DER_FEV_2023!I958</f>
        <v>1045.5899999999999</v>
      </c>
      <c r="J958" s="902">
        <f>GLOBAL_DER_FEV_2023!J958</f>
        <v>1255.44</v>
      </c>
      <c r="K958" s="903" t="s">
        <v>1516</v>
      </c>
      <c r="L958" s="1137"/>
      <c r="M958" s="1138">
        <f t="shared" si="67"/>
        <v>0</v>
      </c>
      <c r="N958" s="893">
        <f t="shared" si="71"/>
        <v>0</v>
      </c>
      <c r="O958" s="905"/>
      <c r="Q958" s="317" t="str">
        <f t="shared" si="68"/>
        <v/>
      </c>
      <c r="R958" s="317" t="str">
        <f t="shared" si="69"/>
        <v/>
      </c>
      <c r="S958" s="317" t="str">
        <f t="shared" si="70"/>
        <v/>
      </c>
      <c r="T958" s="317" t="str">
        <f>GLOBAL_DER_FEV_2023!S958</f>
        <v/>
      </c>
      <c r="W958" s="582">
        <v>0</v>
      </c>
      <c r="X958" s="580"/>
      <c r="Y958" s="583">
        <f>IF(GLOBAL_DER_FEV_2023!W958=0,0,IF(GLOBAL_DER_FEV_2023!W958&gt;0,"c","b"))</f>
        <v>0</v>
      </c>
    </row>
    <row r="959" spans="1:25" ht="34.5" hidden="1" thickBot="1" x14ac:dyDescent="0.25">
      <c r="A959" s="317">
        <v>100609</v>
      </c>
      <c r="B959" s="895">
        <v>100609</v>
      </c>
      <c r="C959" s="896" t="s">
        <v>596</v>
      </c>
      <c r="D959" s="906" t="s">
        <v>886</v>
      </c>
      <c r="E959" s="907">
        <f>GLOBAL_DER_FEV_2023!E959</f>
        <v>0</v>
      </c>
      <c r="F959" s="908">
        <f>GLOBAL_DER_FEV_2023!F959</f>
        <v>0</v>
      </c>
      <c r="G959" s="912">
        <f>GLOBAL_DER_FEV_2023!G959</f>
        <v>0</v>
      </c>
      <c r="H959" s="901">
        <f>GLOBAL_DER_FEV_2023!H959</f>
        <v>1581.56</v>
      </c>
      <c r="I959" s="901">
        <f>GLOBAL_DER_FEV_2023!I959</f>
        <v>1581.56</v>
      </c>
      <c r="J959" s="902">
        <f>GLOBAL_DER_FEV_2023!J959</f>
        <v>1898.98</v>
      </c>
      <c r="K959" s="903" t="s">
        <v>1516</v>
      </c>
      <c r="L959" s="1137"/>
      <c r="M959" s="1138">
        <f t="shared" si="67"/>
        <v>0</v>
      </c>
      <c r="N959" s="893">
        <f t="shared" si="71"/>
        <v>0</v>
      </c>
      <c r="O959" s="905"/>
      <c r="Q959" s="317" t="str">
        <f t="shared" si="68"/>
        <v/>
      </c>
      <c r="R959" s="317" t="str">
        <f t="shared" si="69"/>
        <v/>
      </c>
      <c r="S959" s="317" t="str">
        <f t="shared" si="70"/>
        <v/>
      </c>
      <c r="T959" s="317" t="str">
        <f>GLOBAL_DER_FEV_2023!S959</f>
        <v/>
      </c>
      <c r="W959" s="582">
        <v>0</v>
      </c>
      <c r="X959" s="580"/>
      <c r="Y959" s="583">
        <f>IF(GLOBAL_DER_FEV_2023!W959=0,0,IF(GLOBAL_DER_FEV_2023!W959&gt;0,"c","b"))</f>
        <v>0</v>
      </c>
    </row>
    <row r="960" spans="1:25" ht="34.5" hidden="1" thickBot="1" x14ac:dyDescent="0.25">
      <c r="A960" s="317">
        <v>100610</v>
      </c>
      <c r="B960" s="895">
        <v>100610</v>
      </c>
      <c r="C960" s="896" t="s">
        <v>596</v>
      </c>
      <c r="D960" s="906" t="s">
        <v>887</v>
      </c>
      <c r="E960" s="907">
        <f>GLOBAL_DER_FEV_2023!E960</f>
        <v>0</v>
      </c>
      <c r="F960" s="908">
        <f>GLOBAL_DER_FEV_2023!F960</f>
        <v>0</v>
      </c>
      <c r="G960" s="912">
        <f>GLOBAL_DER_FEV_2023!G960</f>
        <v>0</v>
      </c>
      <c r="H960" s="901">
        <f>GLOBAL_DER_FEV_2023!H960</f>
        <v>689.49</v>
      </c>
      <c r="I960" s="901">
        <f>GLOBAL_DER_FEV_2023!I960</f>
        <v>689.49</v>
      </c>
      <c r="J960" s="902">
        <f>GLOBAL_DER_FEV_2023!J960</f>
        <v>827.87</v>
      </c>
      <c r="K960" s="903" t="s">
        <v>1516</v>
      </c>
      <c r="L960" s="1137"/>
      <c r="M960" s="1138">
        <f t="shared" si="67"/>
        <v>0</v>
      </c>
      <c r="N960" s="893">
        <f t="shared" si="71"/>
        <v>0</v>
      </c>
      <c r="O960" s="905"/>
      <c r="Q960" s="317" t="str">
        <f t="shared" si="68"/>
        <v/>
      </c>
      <c r="R960" s="317" t="str">
        <f t="shared" si="69"/>
        <v/>
      </c>
      <c r="S960" s="317" t="str">
        <f t="shared" si="70"/>
        <v/>
      </c>
      <c r="T960" s="317" t="str">
        <f>GLOBAL_DER_FEV_2023!S960</f>
        <v/>
      </c>
      <c r="W960" s="582">
        <v>0</v>
      </c>
      <c r="X960" s="580"/>
      <c r="Y960" s="583">
        <f>IF(GLOBAL_DER_FEV_2023!W960=0,0,IF(GLOBAL_DER_FEV_2023!W960&gt;0,"c","b"))</f>
        <v>0</v>
      </c>
    </row>
    <row r="961" spans="1:25" ht="34.5" hidden="1" thickBot="1" x14ac:dyDescent="0.25">
      <c r="A961" s="317">
        <v>100611</v>
      </c>
      <c r="B961" s="895">
        <v>100611</v>
      </c>
      <c r="C961" s="896" t="s">
        <v>596</v>
      </c>
      <c r="D961" s="906" t="s">
        <v>888</v>
      </c>
      <c r="E961" s="907">
        <f>GLOBAL_DER_FEV_2023!E961</f>
        <v>0</v>
      </c>
      <c r="F961" s="908">
        <f>GLOBAL_DER_FEV_2023!F961</f>
        <v>0</v>
      </c>
      <c r="G961" s="912">
        <f>GLOBAL_DER_FEV_2023!G961</f>
        <v>0</v>
      </c>
      <c r="H961" s="901">
        <f>GLOBAL_DER_FEV_2023!H961</f>
        <v>858.26</v>
      </c>
      <c r="I961" s="901">
        <f>GLOBAL_DER_FEV_2023!I961</f>
        <v>858.26</v>
      </c>
      <c r="J961" s="902">
        <f>GLOBAL_DER_FEV_2023!J961</f>
        <v>1030.51</v>
      </c>
      <c r="K961" s="903" t="s">
        <v>1516</v>
      </c>
      <c r="L961" s="1137"/>
      <c r="M961" s="1138">
        <f t="shared" si="67"/>
        <v>0</v>
      </c>
      <c r="N961" s="893">
        <f t="shared" si="71"/>
        <v>0</v>
      </c>
      <c r="O961" s="905"/>
      <c r="Q961" s="317" t="str">
        <f t="shared" si="68"/>
        <v/>
      </c>
      <c r="R961" s="317" t="str">
        <f t="shared" si="69"/>
        <v/>
      </c>
      <c r="S961" s="317" t="str">
        <f t="shared" si="70"/>
        <v/>
      </c>
      <c r="T961" s="317" t="str">
        <f>GLOBAL_DER_FEV_2023!S961</f>
        <v/>
      </c>
      <c r="W961" s="582">
        <v>0</v>
      </c>
      <c r="X961" s="580"/>
      <c r="Y961" s="583">
        <f>IF(GLOBAL_DER_FEV_2023!W961=0,0,IF(GLOBAL_DER_FEV_2023!W961&gt;0,"c","b"))</f>
        <v>0</v>
      </c>
    </row>
    <row r="962" spans="1:25" ht="34.5" hidden="1" thickBot="1" x14ac:dyDescent="0.25">
      <c r="A962" s="317">
        <v>100612</v>
      </c>
      <c r="B962" s="895">
        <v>100612</v>
      </c>
      <c r="C962" s="896" t="s">
        <v>596</v>
      </c>
      <c r="D962" s="906" t="s">
        <v>889</v>
      </c>
      <c r="E962" s="907">
        <f>GLOBAL_DER_FEV_2023!E962</f>
        <v>0</v>
      </c>
      <c r="F962" s="908">
        <f>GLOBAL_DER_FEV_2023!F962</f>
        <v>0</v>
      </c>
      <c r="G962" s="912">
        <f>GLOBAL_DER_FEV_2023!G962</f>
        <v>0</v>
      </c>
      <c r="H962" s="901">
        <f>GLOBAL_DER_FEV_2023!H962</f>
        <v>1069.6600000000001</v>
      </c>
      <c r="I962" s="901">
        <f>GLOBAL_DER_FEV_2023!I962</f>
        <v>1069.6600000000001</v>
      </c>
      <c r="J962" s="902">
        <f>GLOBAL_DER_FEV_2023!J962</f>
        <v>1284.3399999999999</v>
      </c>
      <c r="K962" s="903" t="s">
        <v>1516</v>
      </c>
      <c r="L962" s="1137"/>
      <c r="M962" s="1138">
        <f t="shared" si="67"/>
        <v>0</v>
      </c>
      <c r="N962" s="893">
        <f t="shared" si="71"/>
        <v>0</v>
      </c>
      <c r="O962" s="905"/>
      <c r="Q962" s="317" t="str">
        <f t="shared" si="68"/>
        <v/>
      </c>
      <c r="R962" s="317" t="str">
        <f t="shared" si="69"/>
        <v/>
      </c>
      <c r="S962" s="317" t="str">
        <f t="shared" si="70"/>
        <v/>
      </c>
      <c r="T962" s="317" t="str">
        <f>GLOBAL_DER_FEV_2023!S962</f>
        <v/>
      </c>
      <c r="W962" s="582">
        <v>0</v>
      </c>
      <c r="X962" s="580"/>
      <c r="Y962" s="583">
        <f>IF(GLOBAL_DER_FEV_2023!W962=0,0,IF(GLOBAL_DER_FEV_2023!W962&gt;0,"c","b"))</f>
        <v>0</v>
      </c>
    </row>
    <row r="963" spans="1:25" ht="34.5" hidden="1" thickBot="1" x14ac:dyDescent="0.25">
      <c r="A963" s="317">
        <v>100613</v>
      </c>
      <c r="B963" s="895">
        <v>100613</v>
      </c>
      <c r="C963" s="896" t="s">
        <v>596</v>
      </c>
      <c r="D963" s="906" t="s">
        <v>890</v>
      </c>
      <c r="E963" s="907">
        <f>GLOBAL_DER_FEV_2023!E963</f>
        <v>0</v>
      </c>
      <c r="F963" s="908">
        <f>GLOBAL_DER_FEV_2023!F963</f>
        <v>0</v>
      </c>
      <c r="G963" s="912">
        <f>GLOBAL_DER_FEV_2023!G963</f>
        <v>0</v>
      </c>
      <c r="H963" s="901">
        <f>GLOBAL_DER_FEV_2023!H963</f>
        <v>1614.79</v>
      </c>
      <c r="I963" s="901">
        <f>GLOBAL_DER_FEV_2023!I963</f>
        <v>1614.79</v>
      </c>
      <c r="J963" s="902">
        <f>GLOBAL_DER_FEV_2023!J963</f>
        <v>1938.88</v>
      </c>
      <c r="K963" s="903" t="s">
        <v>1516</v>
      </c>
      <c r="L963" s="1137"/>
      <c r="M963" s="1138">
        <f t="shared" si="67"/>
        <v>0</v>
      </c>
      <c r="N963" s="893">
        <f t="shared" si="71"/>
        <v>0</v>
      </c>
      <c r="O963" s="905"/>
      <c r="Q963" s="317" t="str">
        <f t="shared" si="68"/>
        <v/>
      </c>
      <c r="R963" s="317" t="str">
        <f t="shared" si="69"/>
        <v/>
      </c>
      <c r="S963" s="317" t="str">
        <f t="shared" si="70"/>
        <v/>
      </c>
      <c r="T963" s="317" t="str">
        <f>GLOBAL_DER_FEV_2023!S963</f>
        <v/>
      </c>
      <c r="W963" s="582">
        <v>0</v>
      </c>
      <c r="X963" s="580"/>
      <c r="Y963" s="583">
        <f>IF(GLOBAL_DER_FEV_2023!W963=0,0,IF(GLOBAL_DER_FEV_2023!W963&gt;0,"c","b"))</f>
        <v>0</v>
      </c>
    </row>
    <row r="964" spans="1:25" ht="34.5" hidden="1" thickBot="1" x14ac:dyDescent="0.25">
      <c r="A964" s="317">
        <v>100614</v>
      </c>
      <c r="B964" s="895">
        <v>100614</v>
      </c>
      <c r="C964" s="896" t="s">
        <v>596</v>
      </c>
      <c r="D964" s="906" t="s">
        <v>891</v>
      </c>
      <c r="E964" s="907">
        <f>GLOBAL_DER_FEV_2023!E964</f>
        <v>0</v>
      </c>
      <c r="F964" s="908">
        <f>GLOBAL_DER_FEV_2023!F964</f>
        <v>0</v>
      </c>
      <c r="G964" s="912">
        <f>GLOBAL_DER_FEV_2023!G964</f>
        <v>0</v>
      </c>
      <c r="H964" s="901">
        <f>GLOBAL_DER_FEV_2023!H964</f>
        <v>900.34</v>
      </c>
      <c r="I964" s="901">
        <f>GLOBAL_DER_FEV_2023!I964</f>
        <v>900.34</v>
      </c>
      <c r="J964" s="902">
        <f>GLOBAL_DER_FEV_2023!J964</f>
        <v>1081.04</v>
      </c>
      <c r="K964" s="903" t="s">
        <v>1516</v>
      </c>
      <c r="L964" s="1137"/>
      <c r="M964" s="1138">
        <f t="shared" si="67"/>
        <v>0</v>
      </c>
      <c r="N964" s="893">
        <f t="shared" si="71"/>
        <v>0</v>
      </c>
      <c r="O964" s="905"/>
      <c r="Q964" s="317" t="str">
        <f t="shared" si="68"/>
        <v/>
      </c>
      <c r="R964" s="317" t="str">
        <f t="shared" si="69"/>
        <v/>
      </c>
      <c r="S964" s="317" t="str">
        <f t="shared" si="70"/>
        <v/>
      </c>
      <c r="T964" s="317" t="str">
        <f>GLOBAL_DER_FEV_2023!S964</f>
        <v/>
      </c>
      <c r="W964" s="582">
        <v>0</v>
      </c>
      <c r="X964" s="580"/>
      <c r="Y964" s="583">
        <f>IF(GLOBAL_DER_FEV_2023!W964=0,0,IF(GLOBAL_DER_FEV_2023!W964&gt;0,"c","b"))</f>
        <v>0</v>
      </c>
    </row>
    <row r="965" spans="1:25" ht="34.5" hidden="1" thickBot="1" x14ac:dyDescent="0.25">
      <c r="A965" s="317">
        <v>100615</v>
      </c>
      <c r="B965" s="895">
        <v>100615</v>
      </c>
      <c r="C965" s="896" t="s">
        <v>596</v>
      </c>
      <c r="D965" s="906" t="s">
        <v>892</v>
      </c>
      <c r="E965" s="907">
        <f>GLOBAL_DER_FEV_2023!E965</f>
        <v>0</v>
      </c>
      <c r="F965" s="908">
        <f>GLOBAL_DER_FEV_2023!F965</f>
        <v>0</v>
      </c>
      <c r="G965" s="912">
        <f>GLOBAL_DER_FEV_2023!G965</f>
        <v>0</v>
      </c>
      <c r="H965" s="901">
        <f>GLOBAL_DER_FEV_2023!H965</f>
        <v>1117.47</v>
      </c>
      <c r="I965" s="901">
        <f>GLOBAL_DER_FEV_2023!I965</f>
        <v>1117.47</v>
      </c>
      <c r="J965" s="902">
        <f>GLOBAL_DER_FEV_2023!J965</f>
        <v>1341.75</v>
      </c>
      <c r="K965" s="903" t="s">
        <v>1516</v>
      </c>
      <c r="L965" s="1137"/>
      <c r="M965" s="1138">
        <f t="shared" si="67"/>
        <v>0</v>
      </c>
      <c r="N965" s="893">
        <f t="shared" si="71"/>
        <v>0</v>
      </c>
      <c r="O965" s="905"/>
      <c r="Q965" s="317" t="str">
        <f t="shared" si="68"/>
        <v/>
      </c>
      <c r="R965" s="317" t="str">
        <f t="shared" si="69"/>
        <v/>
      </c>
      <c r="S965" s="317" t="str">
        <f t="shared" si="70"/>
        <v/>
      </c>
      <c r="T965" s="317" t="str">
        <f>GLOBAL_DER_FEV_2023!S965</f>
        <v/>
      </c>
      <c r="W965" s="582">
        <v>0</v>
      </c>
      <c r="X965" s="580"/>
      <c r="Y965" s="583">
        <f>IF(GLOBAL_DER_FEV_2023!W965=0,0,IF(GLOBAL_DER_FEV_2023!W965&gt;0,"c","b"))</f>
        <v>0</v>
      </c>
    </row>
    <row r="966" spans="1:25" ht="34.5" hidden="1" thickBot="1" x14ac:dyDescent="0.25">
      <c r="A966" s="317">
        <v>100616</v>
      </c>
      <c r="B966" s="895">
        <v>100616</v>
      </c>
      <c r="C966" s="896" t="s">
        <v>596</v>
      </c>
      <c r="D966" s="906" t="s">
        <v>893</v>
      </c>
      <c r="E966" s="907">
        <f>GLOBAL_DER_FEV_2023!E966</f>
        <v>0</v>
      </c>
      <c r="F966" s="908">
        <f>GLOBAL_DER_FEV_2023!F966</f>
        <v>0</v>
      </c>
      <c r="G966" s="912">
        <f>GLOBAL_DER_FEV_2023!G966</f>
        <v>0</v>
      </c>
      <c r="H966" s="901">
        <f>GLOBAL_DER_FEV_2023!H966</f>
        <v>1684.75</v>
      </c>
      <c r="I966" s="901">
        <f>GLOBAL_DER_FEV_2023!I966</f>
        <v>1684.75</v>
      </c>
      <c r="J966" s="902">
        <f>GLOBAL_DER_FEV_2023!J966</f>
        <v>2022.88</v>
      </c>
      <c r="K966" s="903" t="s">
        <v>1516</v>
      </c>
      <c r="L966" s="1137"/>
      <c r="M966" s="1138">
        <f t="shared" si="67"/>
        <v>0</v>
      </c>
      <c r="N966" s="893">
        <f t="shared" si="71"/>
        <v>0</v>
      </c>
      <c r="O966" s="905"/>
      <c r="Q966" s="317" t="str">
        <f t="shared" si="68"/>
        <v/>
      </c>
      <c r="R966" s="317" t="str">
        <f t="shared" si="69"/>
        <v/>
      </c>
      <c r="S966" s="317" t="str">
        <f t="shared" si="70"/>
        <v/>
      </c>
      <c r="T966" s="317" t="str">
        <f>GLOBAL_DER_FEV_2023!S966</f>
        <v/>
      </c>
      <c r="W966" s="582">
        <v>0</v>
      </c>
      <c r="X966" s="580"/>
      <c r="Y966" s="583">
        <f>IF(GLOBAL_DER_FEV_2023!W966=0,0,IF(GLOBAL_DER_FEV_2023!W966&gt;0,"c","b"))</f>
        <v>0</v>
      </c>
    </row>
    <row r="967" spans="1:25" ht="34.5" hidden="1" thickBot="1" x14ac:dyDescent="0.25">
      <c r="A967" s="317">
        <v>100617</v>
      </c>
      <c r="B967" s="895">
        <v>100617</v>
      </c>
      <c r="C967" s="896" t="s">
        <v>596</v>
      </c>
      <c r="D967" s="906" t="s">
        <v>894</v>
      </c>
      <c r="E967" s="907">
        <f>GLOBAL_DER_FEV_2023!E967</f>
        <v>0</v>
      </c>
      <c r="F967" s="908">
        <f>GLOBAL_DER_FEV_2023!F967</f>
        <v>0</v>
      </c>
      <c r="G967" s="912">
        <f>GLOBAL_DER_FEV_2023!G967</f>
        <v>0</v>
      </c>
      <c r="H967" s="901">
        <f>GLOBAL_DER_FEV_2023!H967</f>
        <v>1165.17</v>
      </c>
      <c r="I967" s="901">
        <f>GLOBAL_DER_FEV_2023!I967</f>
        <v>1165.17</v>
      </c>
      <c r="J967" s="902">
        <f>GLOBAL_DER_FEV_2023!J967</f>
        <v>1399.02</v>
      </c>
      <c r="K967" s="903" t="s">
        <v>1516</v>
      </c>
      <c r="L967" s="1137"/>
      <c r="M967" s="1138">
        <f t="shared" si="67"/>
        <v>0</v>
      </c>
      <c r="N967" s="893">
        <f t="shared" si="71"/>
        <v>0</v>
      </c>
      <c r="O967" s="905"/>
      <c r="Q967" s="317" t="str">
        <f t="shared" si="68"/>
        <v/>
      </c>
      <c r="R967" s="317" t="str">
        <f t="shared" si="69"/>
        <v/>
      </c>
      <c r="S967" s="317" t="str">
        <f t="shared" si="70"/>
        <v/>
      </c>
      <c r="T967" s="317" t="str">
        <f>GLOBAL_DER_FEV_2023!S967</f>
        <v/>
      </c>
      <c r="W967" s="582">
        <v>0</v>
      </c>
      <c r="X967" s="580"/>
      <c r="Y967" s="583">
        <f>IF(GLOBAL_DER_FEV_2023!W967=0,0,IF(GLOBAL_DER_FEV_2023!W967&gt;0,"c","b"))</f>
        <v>0</v>
      </c>
    </row>
    <row r="968" spans="1:25" ht="45.75" hidden="1" thickBot="1" x14ac:dyDescent="0.25">
      <c r="A968" s="317">
        <v>100618</v>
      </c>
      <c r="B968" s="895">
        <v>100618</v>
      </c>
      <c r="C968" s="896" t="s">
        <v>596</v>
      </c>
      <c r="D968" s="906" t="s">
        <v>895</v>
      </c>
      <c r="E968" s="907">
        <f>GLOBAL_DER_FEV_2023!E968</f>
        <v>0</v>
      </c>
      <c r="F968" s="908">
        <f>GLOBAL_DER_FEV_2023!F968</f>
        <v>0</v>
      </c>
      <c r="G968" s="912">
        <f>GLOBAL_DER_FEV_2023!G968</f>
        <v>0</v>
      </c>
      <c r="H968" s="901">
        <f>GLOBAL_DER_FEV_2023!H968</f>
        <v>1758.03</v>
      </c>
      <c r="I968" s="901">
        <f>GLOBAL_DER_FEV_2023!I968</f>
        <v>1758.03</v>
      </c>
      <c r="J968" s="902">
        <f>GLOBAL_DER_FEV_2023!J968</f>
        <v>2110.87</v>
      </c>
      <c r="K968" s="903" t="s">
        <v>1516</v>
      </c>
      <c r="L968" s="1137"/>
      <c r="M968" s="1138">
        <f t="shared" si="67"/>
        <v>0</v>
      </c>
      <c r="N968" s="893">
        <f t="shared" si="71"/>
        <v>0</v>
      </c>
      <c r="O968" s="905"/>
      <c r="Q968" s="317" t="str">
        <f t="shared" si="68"/>
        <v/>
      </c>
      <c r="R968" s="317" t="str">
        <f t="shared" si="69"/>
        <v/>
      </c>
      <c r="S968" s="317" t="str">
        <f t="shared" si="70"/>
        <v/>
      </c>
      <c r="T968" s="317" t="str">
        <f>GLOBAL_DER_FEV_2023!S968</f>
        <v/>
      </c>
      <c r="W968" s="582">
        <v>0</v>
      </c>
      <c r="X968" s="580"/>
      <c r="Y968" s="583">
        <f>IF(GLOBAL_DER_FEV_2023!W968=0,0,IF(GLOBAL_DER_FEV_2023!W968&gt;0,"c","b"))</f>
        <v>0</v>
      </c>
    </row>
    <row r="969" spans="1:25" ht="23.25" hidden="1" thickBot="1" x14ac:dyDescent="0.25">
      <c r="A969" s="317">
        <v>97660</v>
      </c>
      <c r="B969" s="895">
        <v>97660</v>
      </c>
      <c r="C969" s="896" t="s">
        <v>596</v>
      </c>
      <c r="D969" s="906" t="s">
        <v>896</v>
      </c>
      <c r="E969" s="907">
        <f>GLOBAL_DER_FEV_2023!E969</f>
        <v>0</v>
      </c>
      <c r="F969" s="908">
        <f>GLOBAL_DER_FEV_2023!F969</f>
        <v>0</v>
      </c>
      <c r="G969" s="912">
        <f>GLOBAL_DER_FEV_2023!G969</f>
        <v>0</v>
      </c>
      <c r="H969" s="901">
        <f>GLOBAL_DER_FEV_2023!H969</f>
        <v>0.77</v>
      </c>
      <c r="I969" s="901">
        <f>GLOBAL_DER_FEV_2023!I969</f>
        <v>0.77</v>
      </c>
      <c r="J969" s="902">
        <f>GLOBAL_DER_FEV_2023!J969</f>
        <v>0.92</v>
      </c>
      <c r="K969" s="903" t="s">
        <v>1516</v>
      </c>
      <c r="L969" s="1137"/>
      <c r="M969" s="1138">
        <f t="shared" si="67"/>
        <v>0</v>
      </c>
      <c r="N969" s="893">
        <f t="shared" si="71"/>
        <v>0</v>
      </c>
      <c r="O969" s="905"/>
      <c r="Q969" s="317" t="str">
        <f t="shared" si="68"/>
        <v/>
      </c>
      <c r="R969" s="317" t="str">
        <f t="shared" si="69"/>
        <v/>
      </c>
      <c r="S969" s="317" t="str">
        <f t="shared" si="70"/>
        <v/>
      </c>
      <c r="T969" s="317" t="str">
        <f>GLOBAL_DER_FEV_2023!S969</f>
        <v/>
      </c>
      <c r="W969" s="582">
        <v>0</v>
      </c>
      <c r="X969" s="580"/>
      <c r="Y969" s="583">
        <f>IF(GLOBAL_DER_FEV_2023!W969=0,0,IF(GLOBAL_DER_FEV_2023!W969&gt;0,"c","b"))</f>
        <v>0</v>
      </c>
    </row>
    <row r="970" spans="1:25" ht="23.25" hidden="1" thickBot="1" x14ac:dyDescent="0.25">
      <c r="A970" s="317">
        <v>90447</v>
      </c>
      <c r="B970" s="895">
        <v>90447</v>
      </c>
      <c r="C970" s="896" t="s">
        <v>596</v>
      </c>
      <c r="D970" s="906" t="s">
        <v>897</v>
      </c>
      <c r="E970" s="907">
        <f>GLOBAL_DER_FEV_2023!E970</f>
        <v>0</v>
      </c>
      <c r="F970" s="908">
        <f>GLOBAL_DER_FEV_2023!F970</f>
        <v>0</v>
      </c>
      <c r="G970" s="912">
        <f>GLOBAL_DER_FEV_2023!G970</f>
        <v>0</v>
      </c>
      <c r="H970" s="901">
        <f>GLOBAL_DER_FEV_2023!H970</f>
        <v>8.0299999999999994</v>
      </c>
      <c r="I970" s="901">
        <f>GLOBAL_DER_FEV_2023!I970</f>
        <v>8.0299999999999994</v>
      </c>
      <c r="J970" s="902">
        <f>GLOBAL_DER_FEV_2023!J970</f>
        <v>9.64</v>
      </c>
      <c r="K970" s="903" t="s">
        <v>62</v>
      </c>
      <c r="L970" s="1137"/>
      <c r="M970" s="1138">
        <f t="shared" si="67"/>
        <v>0</v>
      </c>
      <c r="N970" s="893">
        <f t="shared" si="71"/>
        <v>0</v>
      </c>
      <c r="O970" s="905"/>
      <c r="Q970" s="317" t="str">
        <f t="shared" si="68"/>
        <v/>
      </c>
      <c r="R970" s="317" t="str">
        <f t="shared" si="69"/>
        <v/>
      </c>
      <c r="S970" s="317" t="str">
        <f t="shared" si="70"/>
        <v/>
      </c>
      <c r="T970" s="317" t="str">
        <f>GLOBAL_DER_FEV_2023!S970</f>
        <v/>
      </c>
      <c r="W970" s="582">
        <v>0</v>
      </c>
      <c r="X970" s="580"/>
      <c r="Y970" s="583">
        <f>IF(GLOBAL_DER_FEV_2023!W970=0,0,IF(GLOBAL_DER_FEV_2023!W970&gt;0,"c","b"))</f>
        <v>0</v>
      </c>
    </row>
    <row r="971" spans="1:25" ht="23.25" hidden="1" thickBot="1" x14ac:dyDescent="0.25">
      <c r="A971" s="317">
        <v>90456</v>
      </c>
      <c r="B971" s="895">
        <v>90456</v>
      </c>
      <c r="C971" s="896" t="s">
        <v>596</v>
      </c>
      <c r="D971" s="906" t="s">
        <v>898</v>
      </c>
      <c r="E971" s="907">
        <f>GLOBAL_DER_FEV_2023!E971</f>
        <v>0</v>
      </c>
      <c r="F971" s="908">
        <f>GLOBAL_DER_FEV_2023!F971</f>
        <v>0</v>
      </c>
      <c r="G971" s="912">
        <f>GLOBAL_DER_FEV_2023!G971</f>
        <v>0</v>
      </c>
      <c r="H971" s="901">
        <f>GLOBAL_DER_FEV_2023!H971</f>
        <v>5.16</v>
      </c>
      <c r="I971" s="901">
        <f>GLOBAL_DER_FEV_2023!I971</f>
        <v>5.16</v>
      </c>
      <c r="J971" s="902">
        <f>GLOBAL_DER_FEV_2023!J971</f>
        <v>6.2</v>
      </c>
      <c r="K971" s="903" t="s">
        <v>1516</v>
      </c>
      <c r="L971" s="1137"/>
      <c r="M971" s="1138">
        <f t="shared" si="67"/>
        <v>0</v>
      </c>
      <c r="N971" s="893">
        <f t="shared" si="71"/>
        <v>0</v>
      </c>
      <c r="O971" s="905"/>
      <c r="Q971" s="317" t="str">
        <f t="shared" si="68"/>
        <v/>
      </c>
      <c r="R971" s="317" t="str">
        <f t="shared" si="69"/>
        <v/>
      </c>
      <c r="S971" s="317" t="str">
        <f t="shared" si="70"/>
        <v/>
      </c>
      <c r="T971" s="317" t="str">
        <f>GLOBAL_DER_FEV_2023!S971</f>
        <v/>
      </c>
      <c r="W971" s="582">
        <v>0</v>
      </c>
      <c r="X971" s="580"/>
      <c r="Y971" s="583">
        <f>IF(GLOBAL_DER_FEV_2023!W971=0,0,IF(GLOBAL_DER_FEV_2023!W971&gt;0,"c","b"))</f>
        <v>0</v>
      </c>
    </row>
    <row r="972" spans="1:25" ht="23.25" hidden="1" thickBot="1" x14ac:dyDescent="0.25">
      <c r="A972" s="317">
        <v>90457</v>
      </c>
      <c r="B972" s="895">
        <v>90457</v>
      </c>
      <c r="C972" s="896" t="s">
        <v>596</v>
      </c>
      <c r="D972" s="906" t="s">
        <v>899</v>
      </c>
      <c r="E972" s="907">
        <f>GLOBAL_DER_FEV_2023!E972</f>
        <v>0</v>
      </c>
      <c r="F972" s="908">
        <f>GLOBAL_DER_FEV_2023!F972</f>
        <v>0</v>
      </c>
      <c r="G972" s="912">
        <f>GLOBAL_DER_FEV_2023!G972</f>
        <v>0</v>
      </c>
      <c r="H972" s="901">
        <f>GLOBAL_DER_FEV_2023!H972</f>
        <v>11.77</v>
      </c>
      <c r="I972" s="901">
        <f>GLOBAL_DER_FEV_2023!I972</f>
        <v>11.77</v>
      </c>
      <c r="J972" s="902">
        <f>GLOBAL_DER_FEV_2023!J972</f>
        <v>14.13</v>
      </c>
      <c r="K972" s="903" t="s">
        <v>1516</v>
      </c>
      <c r="L972" s="1137"/>
      <c r="M972" s="1138">
        <f t="shared" si="67"/>
        <v>0</v>
      </c>
      <c r="N972" s="893">
        <f t="shared" si="71"/>
        <v>0</v>
      </c>
      <c r="O972" s="905"/>
      <c r="Q972" s="317" t="str">
        <f t="shared" si="68"/>
        <v/>
      </c>
      <c r="R972" s="317" t="str">
        <f t="shared" si="69"/>
        <v/>
      </c>
      <c r="S972" s="317" t="str">
        <f t="shared" si="70"/>
        <v/>
      </c>
      <c r="T972" s="317" t="str">
        <f>GLOBAL_DER_FEV_2023!S972</f>
        <v/>
      </c>
      <c r="W972" s="582">
        <v>0</v>
      </c>
      <c r="X972" s="580"/>
      <c r="Y972" s="583">
        <f>IF(GLOBAL_DER_FEV_2023!W972=0,0,IF(GLOBAL_DER_FEV_2023!W972&gt;0,"c","b"))</f>
        <v>0</v>
      </c>
    </row>
    <row r="973" spans="1:25" ht="23.25" hidden="1" thickBot="1" x14ac:dyDescent="0.25">
      <c r="A973" s="317">
        <v>90458</v>
      </c>
      <c r="B973" s="895">
        <v>90458</v>
      </c>
      <c r="C973" s="896" t="s">
        <v>596</v>
      </c>
      <c r="D973" s="906" t="s">
        <v>900</v>
      </c>
      <c r="E973" s="907">
        <f>GLOBAL_DER_FEV_2023!E973</f>
        <v>0</v>
      </c>
      <c r="F973" s="908">
        <f>GLOBAL_DER_FEV_2023!F973</f>
        <v>0</v>
      </c>
      <c r="G973" s="912">
        <f>GLOBAL_DER_FEV_2023!G973</f>
        <v>0</v>
      </c>
      <c r="H973" s="901">
        <f>GLOBAL_DER_FEV_2023!H973</f>
        <v>33.409999999999997</v>
      </c>
      <c r="I973" s="901">
        <f>GLOBAL_DER_FEV_2023!I973</f>
        <v>33.409999999999997</v>
      </c>
      <c r="J973" s="902">
        <f>GLOBAL_DER_FEV_2023!J973</f>
        <v>40.119999999999997</v>
      </c>
      <c r="K973" s="903" t="s">
        <v>1516</v>
      </c>
      <c r="L973" s="1137"/>
      <c r="M973" s="1138">
        <f t="shared" si="67"/>
        <v>0</v>
      </c>
      <c r="N973" s="893">
        <f t="shared" si="71"/>
        <v>0</v>
      </c>
      <c r="O973" s="905"/>
      <c r="Q973" s="317" t="str">
        <f t="shared" si="68"/>
        <v/>
      </c>
      <c r="R973" s="317" t="str">
        <f t="shared" si="69"/>
        <v/>
      </c>
      <c r="S973" s="317" t="str">
        <f t="shared" si="70"/>
        <v/>
      </c>
      <c r="T973" s="317" t="str">
        <f>GLOBAL_DER_FEV_2023!S973</f>
        <v/>
      </c>
      <c r="W973" s="582">
        <v>0</v>
      </c>
      <c r="X973" s="580"/>
      <c r="Y973" s="583">
        <f>IF(GLOBAL_DER_FEV_2023!W973=0,0,IF(GLOBAL_DER_FEV_2023!W973&gt;0,"c","b"))</f>
        <v>0</v>
      </c>
    </row>
    <row r="974" spans="1:25" ht="23.25" hidden="1" thickBot="1" x14ac:dyDescent="0.25">
      <c r="A974" s="317">
        <v>101938</v>
      </c>
      <c r="B974" s="895">
        <v>101938</v>
      </c>
      <c r="C974" s="896" t="s">
        <v>596</v>
      </c>
      <c r="D974" s="906" t="s">
        <v>901</v>
      </c>
      <c r="E974" s="907">
        <f>GLOBAL_DER_FEV_2023!E974</f>
        <v>0</v>
      </c>
      <c r="F974" s="908">
        <f>GLOBAL_DER_FEV_2023!F974</f>
        <v>0</v>
      </c>
      <c r="G974" s="912">
        <f>GLOBAL_DER_FEV_2023!G974</f>
        <v>0</v>
      </c>
      <c r="H974" s="901">
        <f>GLOBAL_DER_FEV_2023!H974</f>
        <v>127.45</v>
      </c>
      <c r="I974" s="901">
        <f>GLOBAL_DER_FEV_2023!I974</f>
        <v>127.45</v>
      </c>
      <c r="J974" s="902">
        <f>GLOBAL_DER_FEV_2023!J974</f>
        <v>153.03</v>
      </c>
      <c r="K974" s="903" t="s">
        <v>1516</v>
      </c>
      <c r="L974" s="1137"/>
      <c r="M974" s="1138">
        <f t="shared" si="67"/>
        <v>0</v>
      </c>
      <c r="N974" s="893">
        <f t="shared" si="71"/>
        <v>0</v>
      </c>
      <c r="O974" s="905"/>
      <c r="Q974" s="317" t="str">
        <f t="shared" si="68"/>
        <v/>
      </c>
      <c r="R974" s="317" t="str">
        <f t="shared" si="69"/>
        <v/>
      </c>
      <c r="S974" s="317" t="str">
        <f t="shared" si="70"/>
        <v/>
      </c>
      <c r="T974" s="317" t="str">
        <f>GLOBAL_DER_FEV_2023!S974</f>
        <v/>
      </c>
      <c r="W974" s="582">
        <v>0</v>
      </c>
      <c r="X974" s="580"/>
      <c r="Y974" s="583">
        <f>IF(GLOBAL_DER_FEV_2023!W974=0,0,IF(GLOBAL_DER_FEV_2023!W974&gt;0,"c","b"))</f>
        <v>0</v>
      </c>
    </row>
    <row r="975" spans="1:25" ht="34.5" hidden="1" thickBot="1" x14ac:dyDescent="0.25">
      <c r="A975" s="317">
        <v>101489</v>
      </c>
      <c r="B975" s="895">
        <v>101489</v>
      </c>
      <c r="C975" s="896" t="s">
        <v>596</v>
      </c>
      <c r="D975" s="906" t="s">
        <v>902</v>
      </c>
      <c r="E975" s="907">
        <f>GLOBAL_DER_FEV_2023!E975</f>
        <v>0</v>
      </c>
      <c r="F975" s="908">
        <f>GLOBAL_DER_FEV_2023!F975</f>
        <v>0</v>
      </c>
      <c r="G975" s="912">
        <f>GLOBAL_DER_FEV_2023!G975</f>
        <v>0</v>
      </c>
      <c r="H975" s="901">
        <f>GLOBAL_DER_FEV_2023!H975</f>
        <v>1507.06</v>
      </c>
      <c r="I975" s="901">
        <f>GLOBAL_DER_FEV_2023!I975</f>
        <v>1507.06</v>
      </c>
      <c r="J975" s="902">
        <f>GLOBAL_DER_FEV_2023!J975</f>
        <v>1809.53</v>
      </c>
      <c r="K975" s="903" t="s">
        <v>1516</v>
      </c>
      <c r="L975" s="1137"/>
      <c r="M975" s="1138">
        <f t="shared" si="67"/>
        <v>0</v>
      </c>
      <c r="N975" s="893">
        <f t="shared" si="71"/>
        <v>0</v>
      </c>
      <c r="O975" s="905"/>
      <c r="Q975" s="317" t="str">
        <f t="shared" si="68"/>
        <v/>
      </c>
      <c r="R975" s="317" t="str">
        <f t="shared" si="69"/>
        <v/>
      </c>
      <c r="S975" s="317" t="str">
        <f t="shared" si="70"/>
        <v/>
      </c>
      <c r="T975" s="317" t="str">
        <f>GLOBAL_DER_FEV_2023!S975</f>
        <v/>
      </c>
      <c r="W975" s="582">
        <v>0</v>
      </c>
      <c r="X975" s="580"/>
      <c r="Y975" s="583">
        <f>IF(GLOBAL_DER_FEV_2023!W975=0,0,IF(GLOBAL_DER_FEV_2023!W975&gt;0,"c","b"))</f>
        <v>0</v>
      </c>
    </row>
    <row r="976" spans="1:25" ht="34.5" hidden="1" thickBot="1" x14ac:dyDescent="0.25">
      <c r="A976" s="317">
        <v>101490</v>
      </c>
      <c r="B976" s="895">
        <v>101490</v>
      </c>
      <c r="C976" s="896" t="s">
        <v>596</v>
      </c>
      <c r="D976" s="906" t="s">
        <v>903</v>
      </c>
      <c r="E976" s="907">
        <f>GLOBAL_DER_FEV_2023!E976</f>
        <v>0</v>
      </c>
      <c r="F976" s="908">
        <f>GLOBAL_DER_FEV_2023!F976</f>
        <v>0</v>
      </c>
      <c r="G976" s="912">
        <f>GLOBAL_DER_FEV_2023!G976</f>
        <v>0</v>
      </c>
      <c r="H976" s="901">
        <f>GLOBAL_DER_FEV_2023!H976</f>
        <v>1605.18</v>
      </c>
      <c r="I976" s="901">
        <f>GLOBAL_DER_FEV_2023!I976</f>
        <v>1605.18</v>
      </c>
      <c r="J976" s="902">
        <f>GLOBAL_DER_FEV_2023!J976</f>
        <v>1927.34</v>
      </c>
      <c r="K976" s="903" t="s">
        <v>1516</v>
      </c>
      <c r="L976" s="1137"/>
      <c r="M976" s="1138">
        <f t="shared" si="67"/>
        <v>0</v>
      </c>
      <c r="N976" s="893">
        <f t="shared" si="71"/>
        <v>0</v>
      </c>
      <c r="O976" s="905"/>
      <c r="Q976" s="317" t="str">
        <f t="shared" si="68"/>
        <v/>
      </c>
      <c r="R976" s="317" t="str">
        <f t="shared" si="69"/>
        <v/>
      </c>
      <c r="S976" s="317" t="str">
        <f t="shared" si="70"/>
        <v/>
      </c>
      <c r="T976" s="317" t="str">
        <f>GLOBAL_DER_FEV_2023!S976</f>
        <v/>
      </c>
      <c r="W976" s="582">
        <v>0</v>
      </c>
      <c r="X976" s="580"/>
      <c r="Y976" s="583">
        <f>IF(GLOBAL_DER_FEV_2023!W976=0,0,IF(GLOBAL_DER_FEV_2023!W976&gt;0,"c","b"))</f>
        <v>0</v>
      </c>
    </row>
    <row r="977" spans="1:25" ht="34.5" hidden="1" thickBot="1" x14ac:dyDescent="0.25">
      <c r="A977" s="317">
        <v>101491</v>
      </c>
      <c r="B977" s="895">
        <v>101491</v>
      </c>
      <c r="C977" s="896" t="s">
        <v>596</v>
      </c>
      <c r="D977" s="906" t="s">
        <v>904</v>
      </c>
      <c r="E977" s="907">
        <f>GLOBAL_DER_FEV_2023!E977</f>
        <v>0</v>
      </c>
      <c r="F977" s="908">
        <f>GLOBAL_DER_FEV_2023!F977</f>
        <v>0</v>
      </c>
      <c r="G977" s="912">
        <f>GLOBAL_DER_FEV_2023!G977</f>
        <v>0</v>
      </c>
      <c r="H977" s="901">
        <f>GLOBAL_DER_FEV_2023!H977</f>
        <v>1632.79</v>
      </c>
      <c r="I977" s="901">
        <f>GLOBAL_DER_FEV_2023!I977</f>
        <v>1632.79</v>
      </c>
      <c r="J977" s="902">
        <f>GLOBAL_DER_FEV_2023!J977</f>
        <v>1960.49</v>
      </c>
      <c r="K977" s="903" t="s">
        <v>1516</v>
      </c>
      <c r="L977" s="1137"/>
      <c r="M977" s="1138">
        <f t="shared" si="67"/>
        <v>0</v>
      </c>
      <c r="N977" s="893">
        <f t="shared" si="71"/>
        <v>0</v>
      </c>
      <c r="O977" s="905"/>
      <c r="Q977" s="317" t="str">
        <f t="shared" si="68"/>
        <v/>
      </c>
      <c r="R977" s="317" t="str">
        <f t="shared" si="69"/>
        <v/>
      </c>
      <c r="S977" s="317" t="str">
        <f t="shared" si="70"/>
        <v/>
      </c>
      <c r="T977" s="317" t="str">
        <f>GLOBAL_DER_FEV_2023!S977</f>
        <v/>
      </c>
      <c r="W977" s="582">
        <v>0</v>
      </c>
      <c r="X977" s="580"/>
      <c r="Y977" s="583">
        <f>IF(GLOBAL_DER_FEV_2023!W977=0,0,IF(GLOBAL_DER_FEV_2023!W977&gt;0,"c","b"))</f>
        <v>0</v>
      </c>
    </row>
    <row r="978" spans="1:25" ht="34.5" hidden="1" thickBot="1" x14ac:dyDescent="0.25">
      <c r="A978" s="317">
        <v>101492</v>
      </c>
      <c r="B978" s="895">
        <v>101492</v>
      </c>
      <c r="C978" s="896" t="s">
        <v>596</v>
      </c>
      <c r="D978" s="906" t="s">
        <v>905</v>
      </c>
      <c r="E978" s="907">
        <f>GLOBAL_DER_FEV_2023!E978</f>
        <v>0</v>
      </c>
      <c r="F978" s="908">
        <f>GLOBAL_DER_FEV_2023!F978</f>
        <v>0</v>
      </c>
      <c r="G978" s="912">
        <f>GLOBAL_DER_FEV_2023!G978</f>
        <v>0</v>
      </c>
      <c r="H978" s="901">
        <f>GLOBAL_DER_FEV_2023!H978</f>
        <v>1787.27</v>
      </c>
      <c r="I978" s="901">
        <f>GLOBAL_DER_FEV_2023!I978</f>
        <v>1787.27</v>
      </c>
      <c r="J978" s="902">
        <f>GLOBAL_DER_FEV_2023!J978</f>
        <v>2145.98</v>
      </c>
      <c r="K978" s="903" t="s">
        <v>1516</v>
      </c>
      <c r="L978" s="1137"/>
      <c r="M978" s="1138">
        <f t="shared" ref="M978:M1041" si="72">IF(L978=0,0,ROUND(J978,2))</f>
        <v>0</v>
      </c>
      <c r="N978" s="893">
        <f t="shared" si="71"/>
        <v>0</v>
      </c>
      <c r="O978" s="905"/>
      <c r="Q978" s="317" t="str">
        <f t="shared" si="68"/>
        <v/>
      </c>
      <c r="R978" s="317" t="str">
        <f t="shared" si="69"/>
        <v/>
      </c>
      <c r="S978" s="317" t="str">
        <f t="shared" si="70"/>
        <v/>
      </c>
      <c r="T978" s="317" t="str">
        <f>GLOBAL_DER_FEV_2023!S978</f>
        <v/>
      </c>
      <c r="W978" s="582">
        <v>0</v>
      </c>
      <c r="X978" s="580"/>
      <c r="Y978" s="583">
        <f>IF(GLOBAL_DER_FEV_2023!W978=0,0,IF(GLOBAL_DER_FEV_2023!W978&gt;0,"c","b"))</f>
        <v>0</v>
      </c>
    </row>
    <row r="979" spans="1:25" ht="34.5" hidden="1" thickBot="1" x14ac:dyDescent="0.25">
      <c r="A979" s="317">
        <v>101493</v>
      </c>
      <c r="B979" s="895">
        <v>101493</v>
      </c>
      <c r="C979" s="896" t="s">
        <v>596</v>
      </c>
      <c r="D979" s="906" t="s">
        <v>906</v>
      </c>
      <c r="E979" s="907">
        <f>GLOBAL_DER_FEV_2023!E979</f>
        <v>0</v>
      </c>
      <c r="F979" s="908">
        <f>GLOBAL_DER_FEV_2023!F979</f>
        <v>0</v>
      </c>
      <c r="G979" s="912">
        <f>GLOBAL_DER_FEV_2023!G979</f>
        <v>0</v>
      </c>
      <c r="H979" s="901">
        <f>GLOBAL_DER_FEV_2023!H979</f>
        <v>1487.05</v>
      </c>
      <c r="I979" s="901">
        <f>GLOBAL_DER_FEV_2023!I979</f>
        <v>1487.05</v>
      </c>
      <c r="J979" s="902">
        <f>GLOBAL_DER_FEV_2023!J979</f>
        <v>1785.5</v>
      </c>
      <c r="K979" s="903" t="s">
        <v>1516</v>
      </c>
      <c r="L979" s="1137"/>
      <c r="M979" s="1138">
        <f t="shared" si="72"/>
        <v>0</v>
      </c>
      <c r="N979" s="893">
        <f t="shared" si="71"/>
        <v>0</v>
      </c>
      <c r="O979" s="905"/>
      <c r="Q979" s="317" t="str">
        <f t="shared" si="68"/>
        <v/>
      </c>
      <c r="R979" s="317" t="str">
        <f t="shared" si="69"/>
        <v/>
      </c>
      <c r="S979" s="317" t="str">
        <f t="shared" si="70"/>
        <v/>
      </c>
      <c r="T979" s="317" t="str">
        <f>GLOBAL_DER_FEV_2023!S979</f>
        <v/>
      </c>
      <c r="W979" s="582">
        <v>0</v>
      </c>
      <c r="X979" s="580"/>
      <c r="Y979" s="583">
        <f>IF(GLOBAL_DER_FEV_2023!W979=0,0,IF(GLOBAL_DER_FEV_2023!W979&gt;0,"c","b"))</f>
        <v>0</v>
      </c>
    </row>
    <row r="980" spans="1:25" ht="34.5" hidden="1" thickBot="1" x14ac:dyDescent="0.25">
      <c r="A980" s="317">
        <v>101494</v>
      </c>
      <c r="B980" s="895">
        <v>101494</v>
      </c>
      <c r="C980" s="896" t="s">
        <v>596</v>
      </c>
      <c r="D980" s="906" t="s">
        <v>907</v>
      </c>
      <c r="E980" s="907">
        <f>GLOBAL_DER_FEV_2023!E980</f>
        <v>0</v>
      </c>
      <c r="F980" s="908">
        <f>GLOBAL_DER_FEV_2023!F980</f>
        <v>0</v>
      </c>
      <c r="G980" s="912">
        <f>GLOBAL_DER_FEV_2023!G980</f>
        <v>0</v>
      </c>
      <c r="H980" s="901">
        <f>GLOBAL_DER_FEV_2023!H980</f>
        <v>1585.17</v>
      </c>
      <c r="I980" s="901">
        <f>GLOBAL_DER_FEV_2023!I980</f>
        <v>1585.17</v>
      </c>
      <c r="J980" s="902">
        <f>GLOBAL_DER_FEV_2023!J980</f>
        <v>1903.31</v>
      </c>
      <c r="K980" s="903" t="s">
        <v>1516</v>
      </c>
      <c r="L980" s="1137"/>
      <c r="M980" s="1138">
        <f t="shared" si="72"/>
        <v>0</v>
      </c>
      <c r="N980" s="893">
        <f t="shared" si="71"/>
        <v>0</v>
      </c>
      <c r="O980" s="905"/>
      <c r="Q980" s="317" t="str">
        <f t="shared" si="68"/>
        <v/>
      </c>
      <c r="R980" s="317" t="str">
        <f t="shared" si="69"/>
        <v/>
      </c>
      <c r="S980" s="317" t="str">
        <f t="shared" si="70"/>
        <v/>
      </c>
      <c r="T980" s="317" t="str">
        <f>GLOBAL_DER_FEV_2023!S980</f>
        <v/>
      </c>
      <c r="W980" s="582">
        <v>0</v>
      </c>
      <c r="X980" s="580"/>
      <c r="Y980" s="583">
        <f>IF(GLOBAL_DER_FEV_2023!W980=0,0,IF(GLOBAL_DER_FEV_2023!W980&gt;0,"c","b"))</f>
        <v>0</v>
      </c>
    </row>
    <row r="981" spans="1:25" ht="34.5" hidden="1" thickBot="1" x14ac:dyDescent="0.25">
      <c r="A981" s="317">
        <v>101495</v>
      </c>
      <c r="B981" s="895">
        <v>101495</v>
      </c>
      <c r="C981" s="896" t="s">
        <v>596</v>
      </c>
      <c r="D981" s="906" t="s">
        <v>908</v>
      </c>
      <c r="E981" s="907">
        <f>GLOBAL_DER_FEV_2023!E981</f>
        <v>0</v>
      </c>
      <c r="F981" s="908">
        <f>GLOBAL_DER_FEV_2023!F981</f>
        <v>0</v>
      </c>
      <c r="G981" s="912">
        <f>GLOBAL_DER_FEV_2023!G981</f>
        <v>0</v>
      </c>
      <c r="H981" s="901">
        <f>GLOBAL_DER_FEV_2023!H981</f>
        <v>1612.78</v>
      </c>
      <c r="I981" s="901">
        <f>GLOBAL_DER_FEV_2023!I981</f>
        <v>1612.78</v>
      </c>
      <c r="J981" s="902">
        <f>GLOBAL_DER_FEV_2023!J981</f>
        <v>1936.46</v>
      </c>
      <c r="K981" s="903" t="s">
        <v>1516</v>
      </c>
      <c r="L981" s="1137"/>
      <c r="M981" s="1138">
        <f t="shared" si="72"/>
        <v>0</v>
      </c>
      <c r="N981" s="893">
        <f t="shared" si="71"/>
        <v>0</v>
      </c>
      <c r="O981" s="905"/>
      <c r="Q981" s="317" t="str">
        <f t="shared" si="68"/>
        <v/>
      </c>
      <c r="R981" s="317" t="str">
        <f t="shared" si="69"/>
        <v/>
      </c>
      <c r="S981" s="317" t="str">
        <f t="shared" si="70"/>
        <v/>
      </c>
      <c r="T981" s="317" t="str">
        <f>GLOBAL_DER_FEV_2023!S981</f>
        <v/>
      </c>
      <c r="W981" s="582">
        <v>0</v>
      </c>
      <c r="X981" s="580"/>
      <c r="Y981" s="583">
        <f>IF(GLOBAL_DER_FEV_2023!W981=0,0,IF(GLOBAL_DER_FEV_2023!W981&gt;0,"c","b"))</f>
        <v>0</v>
      </c>
    </row>
    <row r="982" spans="1:25" ht="34.5" hidden="1" thickBot="1" x14ac:dyDescent="0.25">
      <c r="A982" s="317">
        <v>101496</v>
      </c>
      <c r="B982" s="895">
        <v>101496</v>
      </c>
      <c r="C982" s="896" t="s">
        <v>596</v>
      </c>
      <c r="D982" s="906" t="s">
        <v>909</v>
      </c>
      <c r="E982" s="907">
        <f>GLOBAL_DER_FEV_2023!E982</f>
        <v>0</v>
      </c>
      <c r="F982" s="908">
        <f>GLOBAL_DER_FEV_2023!F982</f>
        <v>0</v>
      </c>
      <c r="G982" s="912">
        <f>GLOBAL_DER_FEV_2023!G982</f>
        <v>0</v>
      </c>
      <c r="H982" s="901">
        <f>GLOBAL_DER_FEV_2023!H982</f>
        <v>1767.26</v>
      </c>
      <c r="I982" s="901">
        <f>GLOBAL_DER_FEV_2023!I982</f>
        <v>1767.26</v>
      </c>
      <c r="J982" s="902">
        <f>GLOBAL_DER_FEV_2023!J982</f>
        <v>2121.9499999999998</v>
      </c>
      <c r="K982" s="903" t="s">
        <v>1516</v>
      </c>
      <c r="L982" s="1137"/>
      <c r="M982" s="1138">
        <f t="shared" si="72"/>
        <v>0</v>
      </c>
      <c r="N982" s="893">
        <f t="shared" si="71"/>
        <v>0</v>
      </c>
      <c r="O982" s="905"/>
      <c r="Q982" s="317" t="str">
        <f t="shared" si="68"/>
        <v/>
      </c>
      <c r="R982" s="317" t="str">
        <f t="shared" si="69"/>
        <v/>
      </c>
      <c r="S982" s="317" t="str">
        <f t="shared" si="70"/>
        <v/>
      </c>
      <c r="T982" s="317" t="str">
        <f>GLOBAL_DER_FEV_2023!S982</f>
        <v/>
      </c>
      <c r="W982" s="582">
        <v>0</v>
      </c>
      <c r="X982" s="580"/>
      <c r="Y982" s="583">
        <f>IF(GLOBAL_DER_FEV_2023!W982=0,0,IF(GLOBAL_DER_FEV_2023!W982&gt;0,"c","b"))</f>
        <v>0</v>
      </c>
    </row>
    <row r="983" spans="1:25" ht="34.5" hidden="1" thickBot="1" x14ac:dyDescent="0.25">
      <c r="A983" s="317">
        <v>101497</v>
      </c>
      <c r="B983" s="895">
        <v>101497</v>
      </c>
      <c r="C983" s="896" t="s">
        <v>596</v>
      </c>
      <c r="D983" s="906" t="s">
        <v>910</v>
      </c>
      <c r="E983" s="907">
        <f>GLOBAL_DER_FEV_2023!E983</f>
        <v>0</v>
      </c>
      <c r="F983" s="908">
        <f>GLOBAL_DER_FEV_2023!F983</f>
        <v>0</v>
      </c>
      <c r="G983" s="912">
        <f>GLOBAL_DER_FEV_2023!G983</f>
        <v>0</v>
      </c>
      <c r="H983" s="901">
        <f>GLOBAL_DER_FEV_2023!H983</f>
        <v>1782.8</v>
      </c>
      <c r="I983" s="901">
        <f>GLOBAL_DER_FEV_2023!I983</f>
        <v>1782.8</v>
      </c>
      <c r="J983" s="902">
        <f>GLOBAL_DER_FEV_2023!J983</f>
        <v>2140.61</v>
      </c>
      <c r="K983" s="903" t="s">
        <v>1516</v>
      </c>
      <c r="L983" s="1137"/>
      <c r="M983" s="1138">
        <f t="shared" si="72"/>
        <v>0</v>
      </c>
      <c r="N983" s="893">
        <f t="shared" si="71"/>
        <v>0</v>
      </c>
      <c r="O983" s="905"/>
      <c r="Q983" s="317" t="str">
        <f t="shared" si="68"/>
        <v/>
      </c>
      <c r="R983" s="317" t="str">
        <f t="shared" si="69"/>
        <v/>
      </c>
      <c r="S983" s="317" t="str">
        <f t="shared" si="70"/>
        <v/>
      </c>
      <c r="T983" s="317" t="str">
        <f>GLOBAL_DER_FEV_2023!S983</f>
        <v/>
      </c>
      <c r="W983" s="582">
        <v>0</v>
      </c>
      <c r="X983" s="580"/>
      <c r="Y983" s="583">
        <f>IF(GLOBAL_DER_FEV_2023!W983=0,0,IF(GLOBAL_DER_FEV_2023!W983&gt;0,"c","b"))</f>
        <v>0</v>
      </c>
    </row>
    <row r="984" spans="1:25" ht="34.5" hidden="1" thickBot="1" x14ac:dyDescent="0.25">
      <c r="A984" s="317">
        <v>101498</v>
      </c>
      <c r="B984" s="895">
        <v>101498</v>
      </c>
      <c r="C984" s="896" t="s">
        <v>596</v>
      </c>
      <c r="D984" s="906" t="s">
        <v>911</v>
      </c>
      <c r="E984" s="907">
        <f>GLOBAL_DER_FEV_2023!E984</f>
        <v>0</v>
      </c>
      <c r="F984" s="908">
        <f>GLOBAL_DER_FEV_2023!F984</f>
        <v>0</v>
      </c>
      <c r="G984" s="912">
        <f>GLOBAL_DER_FEV_2023!G984</f>
        <v>0</v>
      </c>
      <c r="H984" s="901">
        <f>GLOBAL_DER_FEV_2023!H984</f>
        <v>1931.32</v>
      </c>
      <c r="I984" s="901">
        <f>GLOBAL_DER_FEV_2023!I984</f>
        <v>1931.32</v>
      </c>
      <c r="J984" s="902">
        <f>GLOBAL_DER_FEV_2023!J984</f>
        <v>2318.94</v>
      </c>
      <c r="K984" s="903" t="s">
        <v>1516</v>
      </c>
      <c r="L984" s="1137"/>
      <c r="M984" s="1138">
        <f t="shared" si="72"/>
        <v>0</v>
      </c>
      <c r="N984" s="893">
        <f t="shared" si="71"/>
        <v>0</v>
      </c>
      <c r="O984" s="905"/>
      <c r="Q984" s="317" t="str">
        <f t="shared" si="68"/>
        <v/>
      </c>
      <c r="R984" s="317" t="str">
        <f t="shared" si="69"/>
        <v/>
      </c>
      <c r="S984" s="317" t="str">
        <f t="shared" si="70"/>
        <v/>
      </c>
      <c r="T984" s="317" t="str">
        <f>GLOBAL_DER_FEV_2023!S984</f>
        <v/>
      </c>
      <c r="W984" s="582">
        <v>0</v>
      </c>
      <c r="X984" s="580"/>
      <c r="Y984" s="583">
        <f>IF(GLOBAL_DER_FEV_2023!W984=0,0,IF(GLOBAL_DER_FEV_2023!W984&gt;0,"c","b"))</f>
        <v>0</v>
      </c>
    </row>
    <row r="985" spans="1:25" ht="34.5" hidden="1" thickBot="1" x14ac:dyDescent="0.25">
      <c r="A985" s="317">
        <v>101499</v>
      </c>
      <c r="B985" s="895">
        <v>101499</v>
      </c>
      <c r="C985" s="896" t="s">
        <v>596</v>
      </c>
      <c r="D985" s="906" t="s">
        <v>912</v>
      </c>
      <c r="E985" s="907">
        <f>GLOBAL_DER_FEV_2023!E985</f>
        <v>0</v>
      </c>
      <c r="F985" s="908">
        <f>GLOBAL_DER_FEV_2023!F985</f>
        <v>0</v>
      </c>
      <c r="G985" s="912">
        <f>GLOBAL_DER_FEV_2023!G985</f>
        <v>0</v>
      </c>
      <c r="H985" s="901">
        <f>GLOBAL_DER_FEV_2023!H985</f>
        <v>1973.11</v>
      </c>
      <c r="I985" s="901">
        <f>GLOBAL_DER_FEV_2023!I985</f>
        <v>1973.11</v>
      </c>
      <c r="J985" s="902">
        <f>GLOBAL_DER_FEV_2023!J985</f>
        <v>2369.11</v>
      </c>
      <c r="K985" s="903" t="s">
        <v>1516</v>
      </c>
      <c r="L985" s="1137"/>
      <c r="M985" s="1138">
        <f t="shared" si="72"/>
        <v>0</v>
      </c>
      <c r="N985" s="893">
        <f t="shared" si="71"/>
        <v>0</v>
      </c>
      <c r="O985" s="905"/>
      <c r="Q985" s="317" t="str">
        <f t="shared" si="68"/>
        <v/>
      </c>
      <c r="R985" s="317" t="str">
        <f t="shared" si="69"/>
        <v/>
      </c>
      <c r="S985" s="317" t="str">
        <f t="shared" si="70"/>
        <v/>
      </c>
      <c r="T985" s="317" t="str">
        <f>GLOBAL_DER_FEV_2023!S985</f>
        <v/>
      </c>
      <c r="W985" s="582">
        <v>0</v>
      </c>
      <c r="X985" s="580"/>
      <c r="Y985" s="583">
        <f>IF(GLOBAL_DER_FEV_2023!W985=0,0,IF(GLOBAL_DER_FEV_2023!W985&gt;0,"c","b"))</f>
        <v>0</v>
      </c>
    </row>
    <row r="986" spans="1:25" ht="34.5" hidden="1" thickBot="1" x14ac:dyDescent="0.25">
      <c r="A986" s="317">
        <v>101500</v>
      </c>
      <c r="B986" s="895">
        <v>101500</v>
      </c>
      <c r="C986" s="896" t="s">
        <v>596</v>
      </c>
      <c r="D986" s="906" t="s">
        <v>913</v>
      </c>
      <c r="E986" s="907">
        <f>GLOBAL_DER_FEV_2023!E986</f>
        <v>0</v>
      </c>
      <c r="F986" s="908">
        <f>GLOBAL_DER_FEV_2023!F986</f>
        <v>0</v>
      </c>
      <c r="G986" s="912">
        <f>GLOBAL_DER_FEV_2023!G986</f>
        <v>0</v>
      </c>
      <c r="H986" s="901">
        <f>GLOBAL_DER_FEV_2023!H986</f>
        <v>2185.7800000000002</v>
      </c>
      <c r="I986" s="901">
        <f>GLOBAL_DER_FEV_2023!I986</f>
        <v>2185.7800000000002</v>
      </c>
      <c r="J986" s="902">
        <f>GLOBAL_DER_FEV_2023!J986</f>
        <v>2624.47</v>
      </c>
      <c r="K986" s="903" t="s">
        <v>1516</v>
      </c>
      <c r="L986" s="1137"/>
      <c r="M986" s="1138">
        <f t="shared" si="72"/>
        <v>0</v>
      </c>
      <c r="N986" s="893">
        <f t="shared" si="71"/>
        <v>0</v>
      </c>
      <c r="O986" s="905"/>
      <c r="Q986" s="317" t="str">
        <f t="shared" si="68"/>
        <v/>
      </c>
      <c r="R986" s="317" t="str">
        <f t="shared" si="69"/>
        <v/>
      </c>
      <c r="S986" s="317" t="str">
        <f t="shared" si="70"/>
        <v/>
      </c>
      <c r="T986" s="317" t="str">
        <f>GLOBAL_DER_FEV_2023!S986</f>
        <v/>
      </c>
      <c r="W986" s="582">
        <v>0</v>
      </c>
      <c r="X986" s="580"/>
      <c r="Y986" s="583">
        <f>IF(GLOBAL_DER_FEV_2023!W986=0,0,IF(GLOBAL_DER_FEV_2023!W986&gt;0,"c","b"))</f>
        <v>0</v>
      </c>
    </row>
    <row r="987" spans="1:25" ht="23.25" hidden="1" thickBot="1" x14ac:dyDescent="0.25">
      <c r="A987" s="317">
        <v>101501</v>
      </c>
      <c r="B987" s="895">
        <v>101501</v>
      </c>
      <c r="C987" s="896" t="s">
        <v>596</v>
      </c>
      <c r="D987" s="906" t="s">
        <v>914</v>
      </c>
      <c r="E987" s="907">
        <f>GLOBAL_DER_FEV_2023!E987</f>
        <v>0</v>
      </c>
      <c r="F987" s="908">
        <f>GLOBAL_DER_FEV_2023!F987</f>
        <v>0</v>
      </c>
      <c r="G987" s="912">
        <f>GLOBAL_DER_FEV_2023!G987</f>
        <v>0</v>
      </c>
      <c r="H987" s="901">
        <f>GLOBAL_DER_FEV_2023!H987</f>
        <v>1770.67</v>
      </c>
      <c r="I987" s="901">
        <f>GLOBAL_DER_FEV_2023!I987</f>
        <v>1770.67</v>
      </c>
      <c r="J987" s="902">
        <f>GLOBAL_DER_FEV_2023!J987</f>
        <v>2126.04</v>
      </c>
      <c r="K987" s="903" t="s">
        <v>1516</v>
      </c>
      <c r="L987" s="1137"/>
      <c r="M987" s="1138">
        <f t="shared" si="72"/>
        <v>0</v>
      </c>
      <c r="N987" s="893">
        <f t="shared" si="71"/>
        <v>0</v>
      </c>
      <c r="O987" s="905"/>
      <c r="Q987" s="317" t="str">
        <f t="shared" ref="Q987:Q1050" si="73">IF(P987="X","x",IF(P987="xx","x",IF(P987="xy","x",IF(P987="y","x",IF(OR(N987&gt;0,N987&gt;0),"x","")))))</f>
        <v/>
      </c>
      <c r="R987" s="317" t="str">
        <f t="shared" si="69"/>
        <v/>
      </c>
      <c r="S987" s="317" t="str">
        <f t="shared" si="70"/>
        <v/>
      </c>
      <c r="T987" s="317" t="str">
        <f>GLOBAL_DER_FEV_2023!S987</f>
        <v/>
      </c>
      <c r="W987" s="582">
        <v>0</v>
      </c>
      <c r="X987" s="580"/>
      <c r="Y987" s="583">
        <f>IF(GLOBAL_DER_FEV_2023!W987=0,0,IF(GLOBAL_DER_FEV_2023!W987&gt;0,"c","b"))</f>
        <v>0</v>
      </c>
    </row>
    <row r="988" spans="1:25" ht="23.25" hidden="1" thickBot="1" x14ac:dyDescent="0.25">
      <c r="A988" s="317">
        <v>101502</v>
      </c>
      <c r="B988" s="895">
        <v>101502</v>
      </c>
      <c r="C988" s="896" t="s">
        <v>596</v>
      </c>
      <c r="D988" s="906" t="s">
        <v>915</v>
      </c>
      <c r="E988" s="907">
        <f>GLOBAL_DER_FEV_2023!E988</f>
        <v>0</v>
      </c>
      <c r="F988" s="908">
        <f>GLOBAL_DER_FEV_2023!F988</f>
        <v>0</v>
      </c>
      <c r="G988" s="912">
        <f>GLOBAL_DER_FEV_2023!G988</f>
        <v>0</v>
      </c>
      <c r="H988" s="901">
        <f>GLOBAL_DER_FEV_2023!H988</f>
        <v>1919.19</v>
      </c>
      <c r="I988" s="901">
        <f>GLOBAL_DER_FEV_2023!I988</f>
        <v>1919.19</v>
      </c>
      <c r="J988" s="902">
        <f>GLOBAL_DER_FEV_2023!J988</f>
        <v>2304.37</v>
      </c>
      <c r="K988" s="903" t="s">
        <v>1516</v>
      </c>
      <c r="L988" s="1137"/>
      <c r="M988" s="1138">
        <f t="shared" si="72"/>
        <v>0</v>
      </c>
      <c r="N988" s="893">
        <f t="shared" si="71"/>
        <v>0</v>
      </c>
      <c r="O988" s="905"/>
      <c r="Q988" s="317" t="str">
        <f t="shared" si="73"/>
        <v/>
      </c>
      <c r="R988" s="317" t="str">
        <f t="shared" si="69"/>
        <v/>
      </c>
      <c r="S988" s="317" t="str">
        <f t="shared" si="70"/>
        <v/>
      </c>
      <c r="T988" s="317" t="str">
        <f>GLOBAL_DER_FEV_2023!S988</f>
        <v/>
      </c>
      <c r="W988" s="582">
        <v>0</v>
      </c>
      <c r="X988" s="580"/>
      <c r="Y988" s="583">
        <f>IF(GLOBAL_DER_FEV_2023!W988=0,0,IF(GLOBAL_DER_FEV_2023!W988&gt;0,"c","b"))</f>
        <v>0</v>
      </c>
    </row>
    <row r="989" spans="1:25" ht="23.25" hidden="1" thickBot="1" x14ac:dyDescent="0.25">
      <c r="A989" s="317">
        <v>101503</v>
      </c>
      <c r="B989" s="895">
        <v>101503</v>
      </c>
      <c r="C989" s="896" t="s">
        <v>596</v>
      </c>
      <c r="D989" s="906" t="s">
        <v>916</v>
      </c>
      <c r="E989" s="907">
        <f>GLOBAL_DER_FEV_2023!E989</f>
        <v>0</v>
      </c>
      <c r="F989" s="908">
        <f>GLOBAL_DER_FEV_2023!F989</f>
        <v>0</v>
      </c>
      <c r="G989" s="912">
        <f>GLOBAL_DER_FEV_2023!G989</f>
        <v>0</v>
      </c>
      <c r="H989" s="901">
        <f>GLOBAL_DER_FEV_2023!H989</f>
        <v>1960.98</v>
      </c>
      <c r="I989" s="901">
        <f>GLOBAL_DER_FEV_2023!I989</f>
        <v>1960.98</v>
      </c>
      <c r="J989" s="902">
        <f>GLOBAL_DER_FEV_2023!J989</f>
        <v>2354.5500000000002</v>
      </c>
      <c r="K989" s="903" t="s">
        <v>1516</v>
      </c>
      <c r="L989" s="1137"/>
      <c r="M989" s="1138">
        <f t="shared" si="72"/>
        <v>0</v>
      </c>
      <c r="N989" s="893">
        <f t="shared" si="71"/>
        <v>0</v>
      </c>
      <c r="O989" s="905"/>
      <c r="Q989" s="317" t="str">
        <f t="shared" si="73"/>
        <v/>
      </c>
      <c r="R989" s="317" t="str">
        <f t="shared" ref="R989:R1052" si="74">IF(P989="X","x",IF(P989="y","x",IF(P989="xx","x",IF(N989&gt;0,"x",""))))</f>
        <v/>
      </c>
      <c r="S989" s="317" t="str">
        <f t="shared" ref="S989:S1052" si="75">IF(P989="X","x",IF(N989&gt;0,"x",""))</f>
        <v/>
      </c>
      <c r="T989" s="317" t="str">
        <f>GLOBAL_DER_FEV_2023!S989</f>
        <v/>
      </c>
      <c r="W989" s="582">
        <v>0</v>
      </c>
      <c r="X989" s="580"/>
      <c r="Y989" s="583">
        <f>IF(GLOBAL_DER_FEV_2023!W989=0,0,IF(GLOBAL_DER_FEV_2023!W989&gt;0,"c","b"))</f>
        <v>0</v>
      </c>
    </row>
    <row r="990" spans="1:25" ht="23.25" hidden="1" thickBot="1" x14ac:dyDescent="0.25">
      <c r="A990" s="317">
        <v>101504</v>
      </c>
      <c r="B990" s="895">
        <v>101504</v>
      </c>
      <c r="C990" s="896" t="s">
        <v>596</v>
      </c>
      <c r="D990" s="906" t="s">
        <v>917</v>
      </c>
      <c r="E990" s="907">
        <f>GLOBAL_DER_FEV_2023!E990</f>
        <v>0</v>
      </c>
      <c r="F990" s="908">
        <f>GLOBAL_DER_FEV_2023!F990</f>
        <v>0</v>
      </c>
      <c r="G990" s="912">
        <f>GLOBAL_DER_FEV_2023!G990</f>
        <v>0</v>
      </c>
      <c r="H990" s="901">
        <f>GLOBAL_DER_FEV_2023!H990</f>
        <v>2173.65</v>
      </c>
      <c r="I990" s="901">
        <f>GLOBAL_DER_FEV_2023!I990</f>
        <v>2173.65</v>
      </c>
      <c r="J990" s="902">
        <f>GLOBAL_DER_FEV_2023!J990</f>
        <v>2609.9</v>
      </c>
      <c r="K990" s="903" t="s">
        <v>1516</v>
      </c>
      <c r="L990" s="1137"/>
      <c r="M990" s="1138">
        <f t="shared" si="72"/>
        <v>0</v>
      </c>
      <c r="N990" s="893">
        <f t="shared" si="71"/>
        <v>0</v>
      </c>
      <c r="O990" s="905"/>
      <c r="Q990" s="317" t="str">
        <f t="shared" si="73"/>
        <v/>
      </c>
      <c r="R990" s="317" t="str">
        <f t="shared" si="74"/>
        <v/>
      </c>
      <c r="S990" s="317" t="str">
        <f t="shared" si="75"/>
        <v/>
      </c>
      <c r="T990" s="317" t="str">
        <f>GLOBAL_DER_FEV_2023!S990</f>
        <v/>
      </c>
      <c r="W990" s="582">
        <v>0</v>
      </c>
      <c r="X990" s="580"/>
      <c r="Y990" s="583">
        <f>IF(GLOBAL_DER_FEV_2023!W990=0,0,IF(GLOBAL_DER_FEV_2023!W990&gt;0,"c","b"))</f>
        <v>0</v>
      </c>
    </row>
    <row r="991" spans="1:25" ht="34.5" hidden="1" thickBot="1" x14ac:dyDescent="0.25">
      <c r="A991" s="317">
        <v>101505</v>
      </c>
      <c r="B991" s="895">
        <v>101505</v>
      </c>
      <c r="C991" s="896" t="s">
        <v>596</v>
      </c>
      <c r="D991" s="906" t="s">
        <v>918</v>
      </c>
      <c r="E991" s="907">
        <f>GLOBAL_DER_FEV_2023!E991</f>
        <v>0</v>
      </c>
      <c r="F991" s="908">
        <f>GLOBAL_DER_FEV_2023!F991</f>
        <v>0</v>
      </c>
      <c r="G991" s="912">
        <f>GLOBAL_DER_FEV_2023!G991</f>
        <v>0</v>
      </c>
      <c r="H991" s="901">
        <f>GLOBAL_DER_FEV_2023!H991</f>
        <v>1896.69</v>
      </c>
      <c r="I991" s="901">
        <f>GLOBAL_DER_FEV_2023!I991</f>
        <v>1896.69</v>
      </c>
      <c r="J991" s="902">
        <f>GLOBAL_DER_FEV_2023!J991</f>
        <v>2277.36</v>
      </c>
      <c r="K991" s="903" t="s">
        <v>1516</v>
      </c>
      <c r="L991" s="1137"/>
      <c r="M991" s="1138">
        <f t="shared" si="72"/>
        <v>0</v>
      </c>
      <c r="N991" s="893">
        <f t="shared" si="71"/>
        <v>0</v>
      </c>
      <c r="O991" s="905"/>
      <c r="Q991" s="317" t="str">
        <f t="shared" si="73"/>
        <v/>
      </c>
      <c r="R991" s="317" t="str">
        <f t="shared" si="74"/>
        <v/>
      </c>
      <c r="S991" s="317" t="str">
        <f t="shared" si="75"/>
        <v/>
      </c>
      <c r="T991" s="317" t="str">
        <f>GLOBAL_DER_FEV_2023!S991</f>
        <v/>
      </c>
      <c r="W991" s="582">
        <v>0</v>
      </c>
      <c r="X991" s="580"/>
      <c r="Y991" s="583">
        <f>IF(GLOBAL_DER_FEV_2023!W991=0,0,IF(GLOBAL_DER_FEV_2023!W991&gt;0,"c","b"))</f>
        <v>0</v>
      </c>
    </row>
    <row r="992" spans="1:25" ht="34.5" hidden="1" thickBot="1" x14ac:dyDescent="0.25">
      <c r="A992" s="317">
        <v>101506</v>
      </c>
      <c r="B992" s="895">
        <v>101506</v>
      </c>
      <c r="C992" s="896" t="s">
        <v>596</v>
      </c>
      <c r="D992" s="906" t="s">
        <v>919</v>
      </c>
      <c r="E992" s="907">
        <f>GLOBAL_DER_FEV_2023!E992</f>
        <v>0</v>
      </c>
      <c r="F992" s="908">
        <f>GLOBAL_DER_FEV_2023!F992</f>
        <v>0</v>
      </c>
      <c r="G992" s="912">
        <f>GLOBAL_DER_FEV_2023!G992</f>
        <v>0</v>
      </c>
      <c r="H992" s="901">
        <f>GLOBAL_DER_FEV_2023!H992</f>
        <v>2094.7199999999998</v>
      </c>
      <c r="I992" s="901">
        <f>GLOBAL_DER_FEV_2023!I992</f>
        <v>2094.7199999999998</v>
      </c>
      <c r="J992" s="902">
        <f>GLOBAL_DER_FEV_2023!J992</f>
        <v>2515.13</v>
      </c>
      <c r="K992" s="903" t="s">
        <v>1516</v>
      </c>
      <c r="L992" s="1137"/>
      <c r="M992" s="1138">
        <f t="shared" si="72"/>
        <v>0</v>
      </c>
      <c r="N992" s="893">
        <f t="shared" si="71"/>
        <v>0</v>
      </c>
      <c r="O992" s="905"/>
      <c r="Q992" s="317" t="str">
        <f t="shared" si="73"/>
        <v/>
      </c>
      <c r="R992" s="317" t="str">
        <f t="shared" si="74"/>
        <v/>
      </c>
      <c r="S992" s="317" t="str">
        <f t="shared" si="75"/>
        <v/>
      </c>
      <c r="T992" s="317" t="str">
        <f>GLOBAL_DER_FEV_2023!S992</f>
        <v/>
      </c>
      <c r="W992" s="582">
        <v>0</v>
      </c>
      <c r="X992" s="580"/>
      <c r="Y992" s="583">
        <f>IF(GLOBAL_DER_FEV_2023!W992=0,0,IF(GLOBAL_DER_FEV_2023!W992&gt;0,"c","b"))</f>
        <v>0</v>
      </c>
    </row>
    <row r="993" spans="1:25" ht="34.5" hidden="1" thickBot="1" x14ac:dyDescent="0.25">
      <c r="A993" s="317">
        <v>101507</v>
      </c>
      <c r="B993" s="895">
        <v>101507</v>
      </c>
      <c r="C993" s="896" t="s">
        <v>596</v>
      </c>
      <c r="D993" s="906" t="s">
        <v>920</v>
      </c>
      <c r="E993" s="907">
        <f>GLOBAL_DER_FEV_2023!E993</f>
        <v>0</v>
      </c>
      <c r="F993" s="908">
        <f>GLOBAL_DER_FEV_2023!F993</f>
        <v>0</v>
      </c>
      <c r="G993" s="912">
        <f>GLOBAL_DER_FEV_2023!G993</f>
        <v>0</v>
      </c>
      <c r="H993" s="901">
        <f>GLOBAL_DER_FEV_2023!H993</f>
        <v>2150.44</v>
      </c>
      <c r="I993" s="901">
        <f>GLOBAL_DER_FEV_2023!I993</f>
        <v>2150.44</v>
      </c>
      <c r="J993" s="902">
        <f>GLOBAL_DER_FEV_2023!J993</f>
        <v>2582.0300000000002</v>
      </c>
      <c r="K993" s="903" t="s">
        <v>1516</v>
      </c>
      <c r="L993" s="1137"/>
      <c r="M993" s="1138">
        <f t="shared" si="72"/>
        <v>0</v>
      </c>
      <c r="N993" s="893">
        <f t="shared" ref="N993:N1056" si="76">IF(ISBLANK(L993),0,IF(W993=0,ROUND(L993*M993,2),IF(W993="b",ROUNDDOWN(L993*M993,2),ROUNDUP(L993*M993,2))))</f>
        <v>0</v>
      </c>
      <c r="O993" s="905"/>
      <c r="Q993" s="317" t="str">
        <f t="shared" si="73"/>
        <v/>
      </c>
      <c r="R993" s="317" t="str">
        <f t="shared" si="74"/>
        <v/>
      </c>
      <c r="S993" s="317" t="str">
        <f t="shared" si="75"/>
        <v/>
      </c>
      <c r="T993" s="317" t="str">
        <f>GLOBAL_DER_FEV_2023!S993</f>
        <v/>
      </c>
      <c r="W993" s="582">
        <v>0</v>
      </c>
      <c r="X993" s="580"/>
      <c r="Y993" s="583">
        <f>IF(GLOBAL_DER_FEV_2023!W993=0,0,IF(GLOBAL_DER_FEV_2023!W993&gt;0,"c","b"))</f>
        <v>0</v>
      </c>
    </row>
    <row r="994" spans="1:25" ht="34.5" hidden="1" thickBot="1" x14ac:dyDescent="0.25">
      <c r="A994" s="317">
        <v>101508</v>
      </c>
      <c r="B994" s="895">
        <v>101508</v>
      </c>
      <c r="C994" s="896" t="s">
        <v>596</v>
      </c>
      <c r="D994" s="906" t="s">
        <v>921</v>
      </c>
      <c r="E994" s="907">
        <f>GLOBAL_DER_FEV_2023!E994</f>
        <v>0</v>
      </c>
      <c r="F994" s="908">
        <f>GLOBAL_DER_FEV_2023!F994</f>
        <v>0</v>
      </c>
      <c r="G994" s="912">
        <f>GLOBAL_DER_FEV_2023!G994</f>
        <v>0</v>
      </c>
      <c r="H994" s="901">
        <f>GLOBAL_DER_FEV_2023!H994</f>
        <v>2420.2800000000002</v>
      </c>
      <c r="I994" s="901">
        <f>GLOBAL_DER_FEV_2023!I994</f>
        <v>2420.2800000000002</v>
      </c>
      <c r="J994" s="902">
        <f>GLOBAL_DER_FEV_2023!J994</f>
        <v>2906.03</v>
      </c>
      <c r="K994" s="903" t="s">
        <v>1516</v>
      </c>
      <c r="L994" s="1137"/>
      <c r="M994" s="1138">
        <f t="shared" si="72"/>
        <v>0</v>
      </c>
      <c r="N994" s="893">
        <f t="shared" si="76"/>
        <v>0</v>
      </c>
      <c r="O994" s="905"/>
      <c r="Q994" s="317" t="str">
        <f t="shared" si="73"/>
        <v/>
      </c>
      <c r="R994" s="317" t="str">
        <f t="shared" si="74"/>
        <v/>
      </c>
      <c r="S994" s="317" t="str">
        <f t="shared" si="75"/>
        <v/>
      </c>
      <c r="T994" s="317" t="str">
        <f>GLOBAL_DER_FEV_2023!S994</f>
        <v/>
      </c>
      <c r="W994" s="582">
        <v>0</v>
      </c>
      <c r="X994" s="580"/>
      <c r="Y994" s="583">
        <f>IF(GLOBAL_DER_FEV_2023!W994=0,0,IF(GLOBAL_DER_FEV_2023!W994&gt;0,"c","b"))</f>
        <v>0</v>
      </c>
    </row>
    <row r="995" spans="1:25" ht="23.25" hidden="1" thickBot="1" x14ac:dyDescent="0.25">
      <c r="A995" s="317">
        <v>101509</v>
      </c>
      <c r="B995" s="895">
        <v>101509</v>
      </c>
      <c r="C995" s="896" t="s">
        <v>596</v>
      </c>
      <c r="D995" s="906" t="s">
        <v>922</v>
      </c>
      <c r="E995" s="907">
        <f>GLOBAL_DER_FEV_2023!E995</f>
        <v>0</v>
      </c>
      <c r="F995" s="908">
        <f>GLOBAL_DER_FEV_2023!F995</f>
        <v>0</v>
      </c>
      <c r="G995" s="912">
        <f>GLOBAL_DER_FEV_2023!G995</f>
        <v>0</v>
      </c>
      <c r="H995" s="901">
        <f>GLOBAL_DER_FEV_2023!H995</f>
        <v>2020.87</v>
      </c>
      <c r="I995" s="901">
        <f>GLOBAL_DER_FEV_2023!I995</f>
        <v>2020.87</v>
      </c>
      <c r="J995" s="902">
        <f>GLOBAL_DER_FEV_2023!J995</f>
        <v>2426.46</v>
      </c>
      <c r="K995" s="903" t="s">
        <v>1516</v>
      </c>
      <c r="L995" s="1137"/>
      <c r="M995" s="1138">
        <f t="shared" si="72"/>
        <v>0</v>
      </c>
      <c r="N995" s="893">
        <f t="shared" si="76"/>
        <v>0</v>
      </c>
      <c r="O995" s="905"/>
      <c r="Q995" s="317" t="str">
        <f t="shared" si="73"/>
        <v/>
      </c>
      <c r="R995" s="317" t="str">
        <f t="shared" si="74"/>
        <v/>
      </c>
      <c r="S995" s="317" t="str">
        <f t="shared" si="75"/>
        <v/>
      </c>
      <c r="T995" s="317" t="str">
        <f>GLOBAL_DER_FEV_2023!S995</f>
        <v/>
      </c>
      <c r="W995" s="582">
        <v>0</v>
      </c>
      <c r="X995" s="580"/>
      <c r="Y995" s="583">
        <f>IF(GLOBAL_DER_FEV_2023!W995=0,0,IF(GLOBAL_DER_FEV_2023!W995&gt;0,"c","b"))</f>
        <v>0</v>
      </c>
    </row>
    <row r="996" spans="1:25" ht="23.25" hidden="1" thickBot="1" x14ac:dyDescent="0.25">
      <c r="A996" s="317">
        <v>101510</v>
      </c>
      <c r="B996" s="895">
        <v>101510</v>
      </c>
      <c r="C996" s="896" t="s">
        <v>596</v>
      </c>
      <c r="D996" s="906" t="s">
        <v>923</v>
      </c>
      <c r="E996" s="907">
        <f>GLOBAL_DER_FEV_2023!E996</f>
        <v>0</v>
      </c>
      <c r="F996" s="908">
        <f>GLOBAL_DER_FEV_2023!F996</f>
        <v>0</v>
      </c>
      <c r="G996" s="912">
        <f>GLOBAL_DER_FEV_2023!G996</f>
        <v>0</v>
      </c>
      <c r="H996" s="901">
        <f>GLOBAL_DER_FEV_2023!H996</f>
        <v>2218.9</v>
      </c>
      <c r="I996" s="901">
        <f>GLOBAL_DER_FEV_2023!I996</f>
        <v>2218.9</v>
      </c>
      <c r="J996" s="902">
        <f>GLOBAL_DER_FEV_2023!J996</f>
        <v>2664.23</v>
      </c>
      <c r="K996" s="903" t="s">
        <v>1516</v>
      </c>
      <c r="L996" s="1137"/>
      <c r="M996" s="1138">
        <f t="shared" si="72"/>
        <v>0</v>
      </c>
      <c r="N996" s="893">
        <f t="shared" si="76"/>
        <v>0</v>
      </c>
      <c r="O996" s="905"/>
      <c r="Q996" s="317" t="str">
        <f t="shared" si="73"/>
        <v/>
      </c>
      <c r="R996" s="317" t="str">
        <f t="shared" si="74"/>
        <v/>
      </c>
      <c r="S996" s="317" t="str">
        <f t="shared" si="75"/>
        <v/>
      </c>
      <c r="T996" s="317" t="str">
        <f>GLOBAL_DER_FEV_2023!S996</f>
        <v/>
      </c>
      <c r="W996" s="582">
        <v>0</v>
      </c>
      <c r="X996" s="580"/>
      <c r="Y996" s="583">
        <f>IF(GLOBAL_DER_FEV_2023!W996=0,0,IF(GLOBAL_DER_FEV_2023!W996&gt;0,"c","b"))</f>
        <v>0</v>
      </c>
    </row>
    <row r="997" spans="1:25" ht="23.25" hidden="1" thickBot="1" x14ac:dyDescent="0.25">
      <c r="A997" s="317">
        <v>101511</v>
      </c>
      <c r="B997" s="895">
        <v>101511</v>
      </c>
      <c r="C997" s="896" t="s">
        <v>596</v>
      </c>
      <c r="D997" s="906" t="s">
        <v>924</v>
      </c>
      <c r="E997" s="907">
        <f>GLOBAL_DER_FEV_2023!E997</f>
        <v>0</v>
      </c>
      <c r="F997" s="908">
        <f>GLOBAL_DER_FEV_2023!F997</f>
        <v>0</v>
      </c>
      <c r="G997" s="912">
        <f>GLOBAL_DER_FEV_2023!G997</f>
        <v>0</v>
      </c>
      <c r="H997" s="901">
        <f>GLOBAL_DER_FEV_2023!H997</f>
        <v>2274.62</v>
      </c>
      <c r="I997" s="901">
        <f>GLOBAL_DER_FEV_2023!I997</f>
        <v>2274.62</v>
      </c>
      <c r="J997" s="902">
        <f>GLOBAL_DER_FEV_2023!J997</f>
        <v>2731.14</v>
      </c>
      <c r="K997" s="903" t="s">
        <v>1516</v>
      </c>
      <c r="L997" s="1137"/>
      <c r="M997" s="1138">
        <f t="shared" si="72"/>
        <v>0</v>
      </c>
      <c r="N997" s="893">
        <f t="shared" si="76"/>
        <v>0</v>
      </c>
      <c r="O997" s="905"/>
      <c r="Q997" s="317" t="str">
        <f t="shared" si="73"/>
        <v/>
      </c>
      <c r="R997" s="317" t="str">
        <f t="shared" si="74"/>
        <v/>
      </c>
      <c r="S997" s="317" t="str">
        <f t="shared" si="75"/>
        <v/>
      </c>
      <c r="T997" s="317" t="str">
        <f>GLOBAL_DER_FEV_2023!S997</f>
        <v/>
      </c>
      <c r="W997" s="582">
        <v>0</v>
      </c>
      <c r="X997" s="580"/>
      <c r="Y997" s="583">
        <f>IF(GLOBAL_DER_FEV_2023!W997=0,0,IF(GLOBAL_DER_FEV_2023!W997&gt;0,"c","b"))</f>
        <v>0</v>
      </c>
    </row>
    <row r="998" spans="1:25" ht="23.25" hidden="1" thickBot="1" x14ac:dyDescent="0.25">
      <c r="A998" s="317">
        <v>101512</v>
      </c>
      <c r="B998" s="895">
        <v>101512</v>
      </c>
      <c r="C998" s="896" t="s">
        <v>596</v>
      </c>
      <c r="D998" s="906" t="s">
        <v>925</v>
      </c>
      <c r="E998" s="907">
        <f>GLOBAL_DER_FEV_2023!E998</f>
        <v>0</v>
      </c>
      <c r="F998" s="908">
        <f>GLOBAL_DER_FEV_2023!F998</f>
        <v>0</v>
      </c>
      <c r="G998" s="912">
        <f>GLOBAL_DER_FEV_2023!G998</f>
        <v>0</v>
      </c>
      <c r="H998" s="901">
        <f>GLOBAL_DER_FEV_2023!H998</f>
        <v>2544.46</v>
      </c>
      <c r="I998" s="901">
        <f>GLOBAL_DER_FEV_2023!I998</f>
        <v>2544.46</v>
      </c>
      <c r="J998" s="902">
        <f>GLOBAL_DER_FEV_2023!J998</f>
        <v>3055.13</v>
      </c>
      <c r="K998" s="903" t="s">
        <v>1516</v>
      </c>
      <c r="L998" s="1137"/>
      <c r="M998" s="1138">
        <f t="shared" si="72"/>
        <v>0</v>
      </c>
      <c r="N998" s="893">
        <f t="shared" si="76"/>
        <v>0</v>
      </c>
      <c r="O998" s="905"/>
      <c r="Q998" s="317" t="str">
        <f t="shared" si="73"/>
        <v/>
      </c>
      <c r="R998" s="317" t="str">
        <f t="shared" si="74"/>
        <v/>
      </c>
      <c r="S998" s="317" t="str">
        <f t="shared" si="75"/>
        <v/>
      </c>
      <c r="T998" s="317" t="str">
        <f>GLOBAL_DER_FEV_2023!S998</f>
        <v/>
      </c>
      <c r="W998" s="582">
        <v>0</v>
      </c>
      <c r="X998" s="580"/>
      <c r="Y998" s="583">
        <f>IF(GLOBAL_DER_FEV_2023!W998=0,0,IF(GLOBAL_DER_FEV_2023!W998&gt;0,"c","b"))</f>
        <v>0</v>
      </c>
    </row>
    <row r="999" spans="1:25" ht="34.5" hidden="1" thickBot="1" x14ac:dyDescent="0.25">
      <c r="A999" s="317">
        <v>101513</v>
      </c>
      <c r="B999" s="895">
        <v>101513</v>
      </c>
      <c r="C999" s="896" t="s">
        <v>596</v>
      </c>
      <c r="D999" s="906" t="s">
        <v>926</v>
      </c>
      <c r="E999" s="907">
        <f>GLOBAL_DER_FEV_2023!E999</f>
        <v>0</v>
      </c>
      <c r="F999" s="908">
        <f>GLOBAL_DER_FEV_2023!F999</f>
        <v>0</v>
      </c>
      <c r="G999" s="912">
        <f>GLOBAL_DER_FEV_2023!G999</f>
        <v>0</v>
      </c>
      <c r="H999" s="901">
        <f>GLOBAL_DER_FEV_2023!H999</f>
        <v>840</v>
      </c>
      <c r="I999" s="901">
        <f>GLOBAL_DER_FEV_2023!I999</f>
        <v>840</v>
      </c>
      <c r="J999" s="902">
        <f>GLOBAL_DER_FEV_2023!J999</f>
        <v>1008.59</v>
      </c>
      <c r="K999" s="903" t="s">
        <v>1516</v>
      </c>
      <c r="L999" s="1137"/>
      <c r="M999" s="1138">
        <f t="shared" si="72"/>
        <v>0</v>
      </c>
      <c r="N999" s="893">
        <f t="shared" si="76"/>
        <v>0</v>
      </c>
      <c r="O999" s="905"/>
      <c r="Q999" s="317" t="str">
        <f t="shared" si="73"/>
        <v/>
      </c>
      <c r="R999" s="317" t="str">
        <f t="shared" si="74"/>
        <v/>
      </c>
      <c r="S999" s="317" t="str">
        <f t="shared" si="75"/>
        <v/>
      </c>
      <c r="T999" s="317" t="str">
        <f>GLOBAL_DER_FEV_2023!S999</f>
        <v/>
      </c>
      <c r="W999" s="582">
        <v>0</v>
      </c>
      <c r="X999" s="580"/>
      <c r="Y999" s="583">
        <f>IF(GLOBAL_DER_FEV_2023!W999=0,0,IF(GLOBAL_DER_FEV_2023!W999&gt;0,"c","b"))</f>
        <v>0</v>
      </c>
    </row>
    <row r="1000" spans="1:25" ht="34.5" hidden="1" thickBot="1" x14ac:dyDescent="0.25">
      <c r="A1000" s="317">
        <v>101514</v>
      </c>
      <c r="B1000" s="895">
        <v>101514</v>
      </c>
      <c r="C1000" s="896" t="s">
        <v>596</v>
      </c>
      <c r="D1000" s="906" t="s">
        <v>927</v>
      </c>
      <c r="E1000" s="907">
        <f>GLOBAL_DER_FEV_2023!E1000</f>
        <v>0</v>
      </c>
      <c r="F1000" s="908">
        <f>GLOBAL_DER_FEV_2023!F1000</f>
        <v>0</v>
      </c>
      <c r="G1000" s="912">
        <f>GLOBAL_DER_FEV_2023!G1000</f>
        <v>0</v>
      </c>
      <c r="H1000" s="901">
        <f>GLOBAL_DER_FEV_2023!H1000</f>
        <v>957.75</v>
      </c>
      <c r="I1000" s="901">
        <f>GLOBAL_DER_FEV_2023!I1000</f>
        <v>957.75</v>
      </c>
      <c r="J1000" s="902">
        <f>GLOBAL_DER_FEV_2023!J1000</f>
        <v>1149.97</v>
      </c>
      <c r="K1000" s="903" t="s">
        <v>1516</v>
      </c>
      <c r="L1000" s="1137"/>
      <c r="M1000" s="1138">
        <f t="shared" si="72"/>
        <v>0</v>
      </c>
      <c r="N1000" s="893">
        <f t="shared" si="76"/>
        <v>0</v>
      </c>
      <c r="O1000" s="905"/>
      <c r="Q1000" s="317" t="str">
        <f t="shared" si="73"/>
        <v/>
      </c>
      <c r="R1000" s="317" t="str">
        <f t="shared" si="74"/>
        <v/>
      </c>
      <c r="S1000" s="317" t="str">
        <f t="shared" si="75"/>
        <v/>
      </c>
      <c r="T1000" s="317" t="str">
        <f>GLOBAL_DER_FEV_2023!S1000</f>
        <v/>
      </c>
      <c r="W1000" s="582">
        <v>0</v>
      </c>
      <c r="X1000" s="580"/>
      <c r="Y1000" s="583">
        <f>IF(GLOBAL_DER_FEV_2023!W1000=0,0,IF(GLOBAL_DER_FEV_2023!W1000&gt;0,"c","b"))</f>
        <v>0</v>
      </c>
    </row>
    <row r="1001" spans="1:25" ht="34.5" hidden="1" thickBot="1" x14ac:dyDescent="0.25">
      <c r="A1001" s="317">
        <v>101515</v>
      </c>
      <c r="B1001" s="895">
        <v>101515</v>
      </c>
      <c r="C1001" s="896" t="s">
        <v>596</v>
      </c>
      <c r="D1001" s="906" t="s">
        <v>928</v>
      </c>
      <c r="E1001" s="907">
        <f>GLOBAL_DER_FEV_2023!E1001</f>
        <v>0</v>
      </c>
      <c r="F1001" s="908">
        <f>GLOBAL_DER_FEV_2023!F1001</f>
        <v>0</v>
      </c>
      <c r="G1001" s="912">
        <f>GLOBAL_DER_FEV_2023!G1001</f>
        <v>0</v>
      </c>
      <c r="H1001" s="901">
        <f>GLOBAL_DER_FEV_2023!H1001</f>
        <v>990.88</v>
      </c>
      <c r="I1001" s="901">
        <f>GLOBAL_DER_FEV_2023!I1001</f>
        <v>990.88</v>
      </c>
      <c r="J1001" s="902">
        <f>GLOBAL_DER_FEV_2023!J1001</f>
        <v>1189.75</v>
      </c>
      <c r="K1001" s="903" t="s">
        <v>1516</v>
      </c>
      <c r="L1001" s="1137"/>
      <c r="M1001" s="1138">
        <f t="shared" si="72"/>
        <v>0</v>
      </c>
      <c r="N1001" s="893">
        <f t="shared" si="76"/>
        <v>0</v>
      </c>
      <c r="O1001" s="905"/>
      <c r="Q1001" s="317" t="str">
        <f t="shared" si="73"/>
        <v/>
      </c>
      <c r="R1001" s="317" t="str">
        <f t="shared" si="74"/>
        <v/>
      </c>
      <c r="S1001" s="317" t="str">
        <f t="shared" si="75"/>
        <v/>
      </c>
      <c r="T1001" s="317" t="str">
        <f>GLOBAL_DER_FEV_2023!S1001</f>
        <v/>
      </c>
      <c r="W1001" s="582">
        <v>0</v>
      </c>
      <c r="X1001" s="580"/>
      <c r="Y1001" s="583">
        <f>IF(GLOBAL_DER_FEV_2023!W1001=0,0,IF(GLOBAL_DER_FEV_2023!W1001&gt;0,"c","b"))</f>
        <v>0</v>
      </c>
    </row>
    <row r="1002" spans="1:25" ht="34.5" hidden="1" thickBot="1" x14ac:dyDescent="0.25">
      <c r="A1002" s="317">
        <v>101516</v>
      </c>
      <c r="B1002" s="895">
        <v>101516</v>
      </c>
      <c r="C1002" s="896" t="s">
        <v>596</v>
      </c>
      <c r="D1002" s="906" t="s">
        <v>929</v>
      </c>
      <c r="E1002" s="907">
        <f>GLOBAL_DER_FEV_2023!E1002</f>
        <v>0</v>
      </c>
      <c r="F1002" s="908">
        <f>GLOBAL_DER_FEV_2023!F1002</f>
        <v>0</v>
      </c>
      <c r="G1002" s="912">
        <f>GLOBAL_DER_FEV_2023!G1002</f>
        <v>0</v>
      </c>
      <c r="H1002" s="901">
        <f>GLOBAL_DER_FEV_2023!H1002</f>
        <v>1126.8399999999999</v>
      </c>
      <c r="I1002" s="901">
        <f>GLOBAL_DER_FEV_2023!I1002</f>
        <v>1126.8399999999999</v>
      </c>
      <c r="J1002" s="902">
        <f>GLOBAL_DER_FEV_2023!J1002</f>
        <v>1353</v>
      </c>
      <c r="K1002" s="903" t="s">
        <v>1516</v>
      </c>
      <c r="L1002" s="1137"/>
      <c r="M1002" s="1138">
        <f t="shared" si="72"/>
        <v>0</v>
      </c>
      <c r="N1002" s="893">
        <f t="shared" si="76"/>
        <v>0</v>
      </c>
      <c r="O1002" s="905"/>
      <c r="Q1002" s="317" t="str">
        <f t="shared" si="73"/>
        <v/>
      </c>
      <c r="R1002" s="317" t="str">
        <f t="shared" si="74"/>
        <v/>
      </c>
      <c r="S1002" s="317" t="str">
        <f t="shared" si="75"/>
        <v/>
      </c>
      <c r="T1002" s="317" t="str">
        <f>GLOBAL_DER_FEV_2023!S1002</f>
        <v/>
      </c>
      <c r="W1002" s="582">
        <v>0</v>
      </c>
      <c r="X1002" s="580"/>
      <c r="Y1002" s="583">
        <f>IF(GLOBAL_DER_FEV_2023!W1002=0,0,IF(GLOBAL_DER_FEV_2023!W1002&gt;0,"c","b"))</f>
        <v>0</v>
      </c>
    </row>
    <row r="1003" spans="1:25" ht="34.5" hidden="1" thickBot="1" x14ac:dyDescent="0.25">
      <c r="A1003" s="317">
        <v>101517</v>
      </c>
      <c r="B1003" s="895">
        <v>101517</v>
      </c>
      <c r="C1003" s="896" t="s">
        <v>596</v>
      </c>
      <c r="D1003" s="906" t="s">
        <v>930</v>
      </c>
      <c r="E1003" s="907">
        <f>GLOBAL_DER_FEV_2023!E1003</f>
        <v>0</v>
      </c>
      <c r="F1003" s="908">
        <f>GLOBAL_DER_FEV_2023!F1003</f>
        <v>0</v>
      </c>
      <c r="G1003" s="912">
        <f>GLOBAL_DER_FEV_2023!G1003</f>
        <v>0</v>
      </c>
      <c r="H1003" s="901">
        <f>GLOBAL_DER_FEV_2023!H1003</f>
        <v>819.99</v>
      </c>
      <c r="I1003" s="901">
        <f>GLOBAL_DER_FEV_2023!I1003</f>
        <v>819.99</v>
      </c>
      <c r="J1003" s="902">
        <f>GLOBAL_DER_FEV_2023!J1003</f>
        <v>984.56</v>
      </c>
      <c r="K1003" s="903" t="s">
        <v>1516</v>
      </c>
      <c r="L1003" s="1137"/>
      <c r="M1003" s="1138">
        <f t="shared" si="72"/>
        <v>0</v>
      </c>
      <c r="N1003" s="893">
        <f t="shared" si="76"/>
        <v>0</v>
      </c>
      <c r="O1003" s="905"/>
      <c r="Q1003" s="317" t="str">
        <f t="shared" si="73"/>
        <v/>
      </c>
      <c r="R1003" s="317" t="str">
        <f t="shared" si="74"/>
        <v/>
      </c>
      <c r="S1003" s="317" t="str">
        <f t="shared" si="75"/>
        <v/>
      </c>
      <c r="T1003" s="317" t="str">
        <f>GLOBAL_DER_FEV_2023!S1003</f>
        <v/>
      </c>
      <c r="W1003" s="582">
        <v>0</v>
      </c>
      <c r="X1003" s="580"/>
      <c r="Y1003" s="583">
        <f>IF(GLOBAL_DER_FEV_2023!W1003=0,0,IF(GLOBAL_DER_FEV_2023!W1003&gt;0,"c","b"))</f>
        <v>0</v>
      </c>
    </row>
    <row r="1004" spans="1:25" ht="34.5" hidden="1" thickBot="1" x14ac:dyDescent="0.25">
      <c r="A1004" s="317">
        <v>101518</v>
      </c>
      <c r="B1004" s="895">
        <v>101518</v>
      </c>
      <c r="C1004" s="896" t="s">
        <v>596</v>
      </c>
      <c r="D1004" s="906" t="s">
        <v>931</v>
      </c>
      <c r="E1004" s="907">
        <f>GLOBAL_DER_FEV_2023!E1004</f>
        <v>0</v>
      </c>
      <c r="F1004" s="908">
        <f>GLOBAL_DER_FEV_2023!F1004</f>
        <v>0</v>
      </c>
      <c r="G1004" s="912">
        <f>GLOBAL_DER_FEV_2023!G1004</f>
        <v>0</v>
      </c>
      <c r="H1004" s="901">
        <f>GLOBAL_DER_FEV_2023!H1004</f>
        <v>937.74</v>
      </c>
      <c r="I1004" s="901">
        <f>GLOBAL_DER_FEV_2023!I1004</f>
        <v>937.74</v>
      </c>
      <c r="J1004" s="902">
        <f>GLOBAL_DER_FEV_2023!J1004</f>
        <v>1125.94</v>
      </c>
      <c r="K1004" s="903" t="s">
        <v>1516</v>
      </c>
      <c r="L1004" s="1137"/>
      <c r="M1004" s="1138">
        <f t="shared" si="72"/>
        <v>0</v>
      </c>
      <c r="N1004" s="893">
        <f t="shared" si="76"/>
        <v>0</v>
      </c>
      <c r="O1004" s="905"/>
      <c r="Q1004" s="317" t="str">
        <f t="shared" si="73"/>
        <v/>
      </c>
      <c r="R1004" s="317" t="str">
        <f t="shared" si="74"/>
        <v/>
      </c>
      <c r="S1004" s="317" t="str">
        <f t="shared" si="75"/>
        <v/>
      </c>
      <c r="T1004" s="317" t="str">
        <f>GLOBAL_DER_FEV_2023!S1004</f>
        <v/>
      </c>
      <c r="W1004" s="582">
        <v>0</v>
      </c>
      <c r="X1004" s="580"/>
      <c r="Y1004" s="583">
        <f>IF(GLOBAL_DER_FEV_2023!W1004=0,0,IF(GLOBAL_DER_FEV_2023!W1004&gt;0,"c","b"))</f>
        <v>0</v>
      </c>
    </row>
    <row r="1005" spans="1:25" ht="34.5" hidden="1" thickBot="1" x14ac:dyDescent="0.25">
      <c r="A1005" s="317">
        <v>101519</v>
      </c>
      <c r="B1005" s="895">
        <v>101519</v>
      </c>
      <c r="C1005" s="896" t="s">
        <v>596</v>
      </c>
      <c r="D1005" s="906" t="s">
        <v>932</v>
      </c>
      <c r="E1005" s="907">
        <f>GLOBAL_DER_FEV_2023!E1005</f>
        <v>0</v>
      </c>
      <c r="F1005" s="908">
        <f>GLOBAL_DER_FEV_2023!F1005</f>
        <v>0</v>
      </c>
      <c r="G1005" s="912">
        <f>GLOBAL_DER_FEV_2023!G1005</f>
        <v>0</v>
      </c>
      <c r="H1005" s="901">
        <f>GLOBAL_DER_FEV_2023!H1005</f>
        <v>970.87</v>
      </c>
      <c r="I1005" s="901">
        <f>GLOBAL_DER_FEV_2023!I1005</f>
        <v>970.87</v>
      </c>
      <c r="J1005" s="902">
        <f>GLOBAL_DER_FEV_2023!J1005</f>
        <v>1165.72</v>
      </c>
      <c r="K1005" s="903" t="s">
        <v>1516</v>
      </c>
      <c r="L1005" s="1137"/>
      <c r="M1005" s="1138">
        <f t="shared" si="72"/>
        <v>0</v>
      </c>
      <c r="N1005" s="893">
        <f t="shared" si="76"/>
        <v>0</v>
      </c>
      <c r="O1005" s="905"/>
      <c r="Q1005" s="317" t="str">
        <f t="shared" si="73"/>
        <v/>
      </c>
      <c r="R1005" s="317" t="str">
        <f t="shared" si="74"/>
        <v/>
      </c>
      <c r="S1005" s="317" t="str">
        <f t="shared" si="75"/>
        <v/>
      </c>
      <c r="T1005" s="317" t="str">
        <f>GLOBAL_DER_FEV_2023!S1005</f>
        <v/>
      </c>
      <c r="W1005" s="582">
        <v>0</v>
      </c>
      <c r="X1005" s="580"/>
      <c r="Y1005" s="583">
        <f>IF(GLOBAL_DER_FEV_2023!W1005=0,0,IF(GLOBAL_DER_FEV_2023!W1005&gt;0,"c","b"))</f>
        <v>0</v>
      </c>
    </row>
    <row r="1006" spans="1:25" ht="34.5" hidden="1" thickBot="1" x14ac:dyDescent="0.25">
      <c r="A1006" s="317">
        <v>101520</v>
      </c>
      <c r="B1006" s="895">
        <v>101520</v>
      </c>
      <c r="C1006" s="896" t="s">
        <v>596</v>
      </c>
      <c r="D1006" s="906" t="s">
        <v>933</v>
      </c>
      <c r="E1006" s="907">
        <f>GLOBAL_DER_FEV_2023!E1006</f>
        <v>0</v>
      </c>
      <c r="F1006" s="908">
        <f>GLOBAL_DER_FEV_2023!F1006</f>
        <v>0</v>
      </c>
      <c r="G1006" s="912">
        <f>GLOBAL_DER_FEV_2023!G1006</f>
        <v>0</v>
      </c>
      <c r="H1006" s="901">
        <f>GLOBAL_DER_FEV_2023!H1006</f>
        <v>1106.83</v>
      </c>
      <c r="I1006" s="901">
        <f>GLOBAL_DER_FEV_2023!I1006</f>
        <v>1106.83</v>
      </c>
      <c r="J1006" s="902">
        <f>GLOBAL_DER_FEV_2023!J1006</f>
        <v>1328.97</v>
      </c>
      <c r="K1006" s="903" t="s">
        <v>1516</v>
      </c>
      <c r="L1006" s="1137"/>
      <c r="M1006" s="1138">
        <f t="shared" si="72"/>
        <v>0</v>
      </c>
      <c r="N1006" s="893">
        <f t="shared" si="76"/>
        <v>0</v>
      </c>
      <c r="O1006" s="905"/>
      <c r="Q1006" s="317" t="str">
        <f t="shared" si="73"/>
        <v/>
      </c>
      <c r="R1006" s="317" t="str">
        <f t="shared" si="74"/>
        <v/>
      </c>
      <c r="S1006" s="317" t="str">
        <f t="shared" si="75"/>
        <v/>
      </c>
      <c r="T1006" s="317" t="str">
        <f>GLOBAL_DER_FEV_2023!S1006</f>
        <v/>
      </c>
      <c r="W1006" s="582">
        <v>0</v>
      </c>
      <c r="X1006" s="580"/>
      <c r="Y1006" s="583">
        <f>IF(GLOBAL_DER_FEV_2023!W1006=0,0,IF(GLOBAL_DER_FEV_2023!W1006&gt;0,"c","b"))</f>
        <v>0</v>
      </c>
    </row>
    <row r="1007" spans="1:25" ht="34.5" hidden="1" thickBot="1" x14ac:dyDescent="0.25">
      <c r="A1007" s="317">
        <v>101521</v>
      </c>
      <c r="B1007" s="895">
        <v>101521</v>
      </c>
      <c r="C1007" s="896" t="s">
        <v>596</v>
      </c>
      <c r="D1007" s="906" t="s">
        <v>934</v>
      </c>
      <c r="E1007" s="907">
        <f>GLOBAL_DER_FEV_2023!E1007</f>
        <v>0</v>
      </c>
      <c r="F1007" s="908">
        <f>GLOBAL_DER_FEV_2023!F1007</f>
        <v>0</v>
      </c>
      <c r="G1007" s="912">
        <f>GLOBAL_DER_FEV_2023!G1007</f>
        <v>0</v>
      </c>
      <c r="H1007" s="901">
        <f>GLOBAL_DER_FEV_2023!H1007</f>
        <v>1130.83</v>
      </c>
      <c r="I1007" s="901">
        <f>GLOBAL_DER_FEV_2023!I1007</f>
        <v>1130.83</v>
      </c>
      <c r="J1007" s="902">
        <f>GLOBAL_DER_FEV_2023!J1007</f>
        <v>1357.79</v>
      </c>
      <c r="K1007" s="903" t="s">
        <v>1516</v>
      </c>
      <c r="L1007" s="1137"/>
      <c r="M1007" s="1138">
        <f t="shared" si="72"/>
        <v>0</v>
      </c>
      <c r="N1007" s="893">
        <f t="shared" si="76"/>
        <v>0</v>
      </c>
      <c r="O1007" s="905"/>
      <c r="Q1007" s="317" t="str">
        <f t="shared" si="73"/>
        <v/>
      </c>
      <c r="R1007" s="317" t="str">
        <f t="shared" si="74"/>
        <v/>
      </c>
      <c r="S1007" s="317" t="str">
        <f t="shared" si="75"/>
        <v/>
      </c>
      <c r="T1007" s="317" t="str">
        <f>GLOBAL_DER_FEV_2023!S1007</f>
        <v/>
      </c>
      <c r="W1007" s="582">
        <v>0</v>
      </c>
      <c r="X1007" s="580"/>
      <c r="Y1007" s="583">
        <f>IF(GLOBAL_DER_FEV_2023!W1007=0,0,IF(GLOBAL_DER_FEV_2023!W1007&gt;0,"c","b"))</f>
        <v>0</v>
      </c>
    </row>
    <row r="1008" spans="1:25" ht="34.5" hidden="1" thickBot="1" x14ac:dyDescent="0.25">
      <c r="A1008" s="317">
        <v>101522</v>
      </c>
      <c r="B1008" s="895">
        <v>101522</v>
      </c>
      <c r="C1008" s="896" t="s">
        <v>596</v>
      </c>
      <c r="D1008" s="906" t="s">
        <v>935</v>
      </c>
      <c r="E1008" s="907">
        <f>GLOBAL_DER_FEV_2023!E1008</f>
        <v>0</v>
      </c>
      <c r="F1008" s="908">
        <f>GLOBAL_DER_FEV_2023!F1008</f>
        <v>0</v>
      </c>
      <c r="G1008" s="912">
        <f>GLOBAL_DER_FEV_2023!G1008</f>
        <v>0</v>
      </c>
      <c r="H1008" s="901">
        <f>GLOBAL_DER_FEV_2023!H1008</f>
        <v>1307.45</v>
      </c>
      <c r="I1008" s="901">
        <f>GLOBAL_DER_FEV_2023!I1008</f>
        <v>1307.45</v>
      </c>
      <c r="J1008" s="902">
        <f>GLOBAL_DER_FEV_2023!J1008</f>
        <v>1569.86</v>
      </c>
      <c r="K1008" s="903" t="s">
        <v>1516</v>
      </c>
      <c r="L1008" s="1137"/>
      <c r="M1008" s="1138">
        <f t="shared" si="72"/>
        <v>0</v>
      </c>
      <c r="N1008" s="893">
        <f t="shared" si="76"/>
        <v>0</v>
      </c>
      <c r="O1008" s="905"/>
      <c r="Q1008" s="317" t="str">
        <f t="shared" si="73"/>
        <v/>
      </c>
      <c r="R1008" s="317" t="str">
        <f t="shared" si="74"/>
        <v/>
      </c>
      <c r="S1008" s="317" t="str">
        <f t="shared" si="75"/>
        <v/>
      </c>
      <c r="T1008" s="317" t="str">
        <f>GLOBAL_DER_FEV_2023!S1008</f>
        <v/>
      </c>
      <c r="W1008" s="582">
        <v>0</v>
      </c>
      <c r="X1008" s="580"/>
      <c r="Y1008" s="583">
        <f>IF(GLOBAL_DER_FEV_2023!W1008=0,0,IF(GLOBAL_DER_FEV_2023!W1008&gt;0,"c","b"))</f>
        <v>0</v>
      </c>
    </row>
    <row r="1009" spans="1:25" ht="34.5" hidden="1" thickBot="1" x14ac:dyDescent="0.25">
      <c r="A1009" s="317">
        <v>101523</v>
      </c>
      <c r="B1009" s="895">
        <v>101523</v>
      </c>
      <c r="C1009" s="896" t="s">
        <v>596</v>
      </c>
      <c r="D1009" s="906" t="s">
        <v>936</v>
      </c>
      <c r="E1009" s="907">
        <f>GLOBAL_DER_FEV_2023!E1009</f>
        <v>0</v>
      </c>
      <c r="F1009" s="908">
        <f>GLOBAL_DER_FEV_2023!F1009</f>
        <v>0</v>
      </c>
      <c r="G1009" s="912">
        <f>GLOBAL_DER_FEV_2023!G1009</f>
        <v>0</v>
      </c>
      <c r="H1009" s="901">
        <f>GLOBAL_DER_FEV_2023!H1009</f>
        <v>1357.14</v>
      </c>
      <c r="I1009" s="901">
        <f>GLOBAL_DER_FEV_2023!I1009</f>
        <v>1357.14</v>
      </c>
      <c r="J1009" s="902">
        <f>GLOBAL_DER_FEV_2023!J1009</f>
        <v>1629.52</v>
      </c>
      <c r="K1009" s="903" t="s">
        <v>1516</v>
      </c>
      <c r="L1009" s="1137"/>
      <c r="M1009" s="1138">
        <f t="shared" si="72"/>
        <v>0</v>
      </c>
      <c r="N1009" s="893">
        <f t="shared" si="76"/>
        <v>0</v>
      </c>
      <c r="O1009" s="905"/>
      <c r="Q1009" s="317" t="str">
        <f t="shared" si="73"/>
        <v/>
      </c>
      <c r="R1009" s="317" t="str">
        <f t="shared" si="74"/>
        <v/>
      </c>
      <c r="S1009" s="317" t="str">
        <f t="shared" si="75"/>
        <v/>
      </c>
      <c r="T1009" s="317" t="str">
        <f>GLOBAL_DER_FEV_2023!S1009</f>
        <v/>
      </c>
      <c r="W1009" s="582">
        <v>0</v>
      </c>
      <c r="X1009" s="580"/>
      <c r="Y1009" s="583">
        <f>IF(GLOBAL_DER_FEV_2023!W1009=0,0,IF(GLOBAL_DER_FEV_2023!W1009&gt;0,"c","b"))</f>
        <v>0</v>
      </c>
    </row>
    <row r="1010" spans="1:25" ht="34.5" hidden="1" thickBot="1" x14ac:dyDescent="0.25">
      <c r="A1010" s="317">
        <v>101524</v>
      </c>
      <c r="B1010" s="895">
        <v>101524</v>
      </c>
      <c r="C1010" s="896" t="s">
        <v>596</v>
      </c>
      <c r="D1010" s="906" t="s">
        <v>937</v>
      </c>
      <c r="E1010" s="907">
        <f>GLOBAL_DER_FEV_2023!E1010</f>
        <v>0</v>
      </c>
      <c r="F1010" s="908">
        <f>GLOBAL_DER_FEV_2023!F1010</f>
        <v>0</v>
      </c>
      <c r="G1010" s="912">
        <f>GLOBAL_DER_FEV_2023!G1010</f>
        <v>0</v>
      </c>
      <c r="H1010" s="901">
        <f>GLOBAL_DER_FEV_2023!H1010</f>
        <v>1561.08</v>
      </c>
      <c r="I1010" s="901">
        <f>GLOBAL_DER_FEV_2023!I1010</f>
        <v>1561.08</v>
      </c>
      <c r="J1010" s="902">
        <f>GLOBAL_DER_FEV_2023!J1010</f>
        <v>1874.39</v>
      </c>
      <c r="K1010" s="903" t="s">
        <v>1516</v>
      </c>
      <c r="L1010" s="1137"/>
      <c r="M1010" s="1138">
        <f t="shared" si="72"/>
        <v>0</v>
      </c>
      <c r="N1010" s="893">
        <f t="shared" si="76"/>
        <v>0</v>
      </c>
      <c r="O1010" s="905"/>
      <c r="Q1010" s="317" t="str">
        <f t="shared" si="73"/>
        <v/>
      </c>
      <c r="R1010" s="317" t="str">
        <f t="shared" si="74"/>
        <v/>
      </c>
      <c r="S1010" s="317" t="str">
        <f t="shared" si="75"/>
        <v/>
      </c>
      <c r="T1010" s="317" t="str">
        <f>GLOBAL_DER_FEV_2023!S1010</f>
        <v/>
      </c>
      <c r="W1010" s="582">
        <v>0</v>
      </c>
      <c r="X1010" s="580"/>
      <c r="Y1010" s="583">
        <f>IF(GLOBAL_DER_FEV_2023!W1010=0,0,IF(GLOBAL_DER_FEV_2023!W1010&gt;0,"c","b"))</f>
        <v>0</v>
      </c>
    </row>
    <row r="1011" spans="1:25" ht="34.5" hidden="1" thickBot="1" x14ac:dyDescent="0.25">
      <c r="A1011" s="317">
        <v>101525</v>
      </c>
      <c r="B1011" s="895">
        <v>101525</v>
      </c>
      <c r="C1011" s="896" t="s">
        <v>596</v>
      </c>
      <c r="D1011" s="906" t="s">
        <v>938</v>
      </c>
      <c r="E1011" s="907">
        <f>GLOBAL_DER_FEV_2023!E1011</f>
        <v>0</v>
      </c>
      <c r="F1011" s="908">
        <f>GLOBAL_DER_FEV_2023!F1011</f>
        <v>0</v>
      </c>
      <c r="G1011" s="912">
        <f>GLOBAL_DER_FEV_2023!G1011</f>
        <v>0</v>
      </c>
      <c r="H1011" s="901">
        <f>GLOBAL_DER_FEV_2023!H1011</f>
        <v>1118.71</v>
      </c>
      <c r="I1011" s="901">
        <f>GLOBAL_DER_FEV_2023!I1011</f>
        <v>1118.71</v>
      </c>
      <c r="J1011" s="902">
        <f>GLOBAL_DER_FEV_2023!J1011</f>
        <v>1343.24</v>
      </c>
      <c r="K1011" s="903" t="s">
        <v>1516</v>
      </c>
      <c r="L1011" s="1137"/>
      <c r="M1011" s="1138">
        <f t="shared" si="72"/>
        <v>0</v>
      </c>
      <c r="N1011" s="893">
        <f t="shared" si="76"/>
        <v>0</v>
      </c>
      <c r="O1011" s="905"/>
      <c r="Q1011" s="317" t="str">
        <f t="shared" si="73"/>
        <v/>
      </c>
      <c r="R1011" s="317" t="str">
        <f t="shared" si="74"/>
        <v/>
      </c>
      <c r="S1011" s="317" t="str">
        <f t="shared" si="75"/>
        <v/>
      </c>
      <c r="T1011" s="317" t="str">
        <f>GLOBAL_DER_FEV_2023!S1011</f>
        <v/>
      </c>
      <c r="W1011" s="582">
        <v>0</v>
      </c>
      <c r="X1011" s="580"/>
      <c r="Y1011" s="583">
        <f>IF(GLOBAL_DER_FEV_2023!W1011=0,0,IF(GLOBAL_DER_FEV_2023!W1011&gt;0,"c","b"))</f>
        <v>0</v>
      </c>
    </row>
    <row r="1012" spans="1:25" ht="34.5" hidden="1" thickBot="1" x14ac:dyDescent="0.25">
      <c r="A1012" s="317">
        <v>101526</v>
      </c>
      <c r="B1012" s="895">
        <v>101526</v>
      </c>
      <c r="C1012" s="896" t="s">
        <v>596</v>
      </c>
      <c r="D1012" s="906" t="s">
        <v>939</v>
      </c>
      <c r="E1012" s="907">
        <f>GLOBAL_DER_FEV_2023!E1012</f>
        <v>0</v>
      </c>
      <c r="F1012" s="908">
        <f>GLOBAL_DER_FEV_2023!F1012</f>
        <v>0</v>
      </c>
      <c r="G1012" s="912">
        <f>GLOBAL_DER_FEV_2023!G1012</f>
        <v>0</v>
      </c>
      <c r="H1012" s="901">
        <f>GLOBAL_DER_FEV_2023!H1012</f>
        <v>1295.33</v>
      </c>
      <c r="I1012" s="901">
        <f>GLOBAL_DER_FEV_2023!I1012</f>
        <v>1295.33</v>
      </c>
      <c r="J1012" s="902">
        <f>GLOBAL_DER_FEV_2023!J1012</f>
        <v>1555.3</v>
      </c>
      <c r="K1012" s="903" t="s">
        <v>1516</v>
      </c>
      <c r="L1012" s="1137"/>
      <c r="M1012" s="1138">
        <f t="shared" si="72"/>
        <v>0</v>
      </c>
      <c r="N1012" s="893">
        <f t="shared" si="76"/>
        <v>0</v>
      </c>
      <c r="O1012" s="905"/>
      <c r="Q1012" s="317" t="str">
        <f t="shared" si="73"/>
        <v/>
      </c>
      <c r="R1012" s="317" t="str">
        <f t="shared" si="74"/>
        <v/>
      </c>
      <c r="S1012" s="317" t="str">
        <f t="shared" si="75"/>
        <v/>
      </c>
      <c r="T1012" s="317" t="str">
        <f>GLOBAL_DER_FEV_2023!S1012</f>
        <v/>
      </c>
      <c r="W1012" s="582">
        <v>0</v>
      </c>
      <c r="X1012" s="580"/>
      <c r="Y1012" s="583">
        <f>IF(GLOBAL_DER_FEV_2023!W1012=0,0,IF(GLOBAL_DER_FEV_2023!W1012&gt;0,"c","b"))</f>
        <v>0</v>
      </c>
    </row>
    <row r="1013" spans="1:25" ht="34.5" hidden="1" thickBot="1" x14ac:dyDescent="0.25">
      <c r="A1013" s="317">
        <v>101527</v>
      </c>
      <c r="B1013" s="895">
        <v>101527</v>
      </c>
      <c r="C1013" s="896" t="s">
        <v>596</v>
      </c>
      <c r="D1013" s="906" t="s">
        <v>940</v>
      </c>
      <c r="E1013" s="907">
        <f>GLOBAL_DER_FEV_2023!E1013</f>
        <v>0</v>
      </c>
      <c r="F1013" s="908">
        <f>GLOBAL_DER_FEV_2023!F1013</f>
        <v>0</v>
      </c>
      <c r="G1013" s="912">
        <f>GLOBAL_DER_FEV_2023!G1013</f>
        <v>0</v>
      </c>
      <c r="H1013" s="901">
        <f>GLOBAL_DER_FEV_2023!H1013</f>
        <v>1345.02</v>
      </c>
      <c r="I1013" s="901">
        <f>GLOBAL_DER_FEV_2023!I1013</f>
        <v>1345.02</v>
      </c>
      <c r="J1013" s="902">
        <f>GLOBAL_DER_FEV_2023!J1013</f>
        <v>1614.97</v>
      </c>
      <c r="K1013" s="903" t="s">
        <v>1516</v>
      </c>
      <c r="L1013" s="1137"/>
      <c r="M1013" s="1138">
        <f t="shared" si="72"/>
        <v>0</v>
      </c>
      <c r="N1013" s="893">
        <f t="shared" si="76"/>
        <v>0</v>
      </c>
      <c r="O1013" s="905"/>
      <c r="Q1013" s="317" t="str">
        <f t="shared" si="73"/>
        <v/>
      </c>
      <c r="R1013" s="317" t="str">
        <f t="shared" si="74"/>
        <v/>
      </c>
      <c r="S1013" s="317" t="str">
        <f t="shared" si="75"/>
        <v/>
      </c>
      <c r="T1013" s="317" t="str">
        <f>GLOBAL_DER_FEV_2023!S1013</f>
        <v/>
      </c>
      <c r="W1013" s="582">
        <v>0</v>
      </c>
      <c r="X1013" s="580"/>
      <c r="Y1013" s="583">
        <f>IF(GLOBAL_DER_FEV_2023!W1013=0,0,IF(GLOBAL_DER_FEV_2023!W1013&gt;0,"c","b"))</f>
        <v>0</v>
      </c>
    </row>
    <row r="1014" spans="1:25" ht="34.5" hidden="1" thickBot="1" x14ac:dyDescent="0.25">
      <c r="A1014" s="317">
        <v>101528</v>
      </c>
      <c r="B1014" s="895">
        <v>101528</v>
      </c>
      <c r="C1014" s="896" t="s">
        <v>596</v>
      </c>
      <c r="D1014" s="906" t="s">
        <v>941</v>
      </c>
      <c r="E1014" s="907">
        <f>GLOBAL_DER_FEV_2023!E1014</f>
        <v>0</v>
      </c>
      <c r="F1014" s="908">
        <f>GLOBAL_DER_FEV_2023!F1014</f>
        <v>0</v>
      </c>
      <c r="G1014" s="912">
        <f>GLOBAL_DER_FEV_2023!G1014</f>
        <v>0</v>
      </c>
      <c r="H1014" s="901">
        <f>GLOBAL_DER_FEV_2023!H1014</f>
        <v>1548.96</v>
      </c>
      <c r="I1014" s="901">
        <f>GLOBAL_DER_FEV_2023!I1014</f>
        <v>1548.96</v>
      </c>
      <c r="J1014" s="902">
        <f>GLOBAL_DER_FEV_2023!J1014</f>
        <v>1859.84</v>
      </c>
      <c r="K1014" s="903" t="s">
        <v>1516</v>
      </c>
      <c r="L1014" s="1137"/>
      <c r="M1014" s="1138">
        <f t="shared" si="72"/>
        <v>0</v>
      </c>
      <c r="N1014" s="893">
        <f t="shared" si="76"/>
        <v>0</v>
      </c>
      <c r="O1014" s="905"/>
      <c r="Q1014" s="317" t="str">
        <f t="shared" si="73"/>
        <v/>
      </c>
      <c r="R1014" s="317" t="str">
        <f t="shared" si="74"/>
        <v/>
      </c>
      <c r="S1014" s="317" t="str">
        <f t="shared" si="75"/>
        <v/>
      </c>
      <c r="T1014" s="317" t="str">
        <f>GLOBAL_DER_FEV_2023!S1014</f>
        <v/>
      </c>
      <c r="W1014" s="582">
        <v>0</v>
      </c>
      <c r="X1014" s="580"/>
      <c r="Y1014" s="583">
        <f>IF(GLOBAL_DER_FEV_2023!W1014=0,0,IF(GLOBAL_DER_FEV_2023!W1014&gt;0,"c","b"))</f>
        <v>0</v>
      </c>
    </row>
    <row r="1015" spans="1:25" ht="34.5" hidden="1" thickBot="1" x14ac:dyDescent="0.25">
      <c r="A1015" s="317">
        <v>101529</v>
      </c>
      <c r="B1015" s="895">
        <v>101529</v>
      </c>
      <c r="C1015" s="896" t="s">
        <v>596</v>
      </c>
      <c r="D1015" s="906" t="s">
        <v>942</v>
      </c>
      <c r="E1015" s="907">
        <f>GLOBAL_DER_FEV_2023!E1015</f>
        <v>0</v>
      </c>
      <c r="F1015" s="908">
        <f>GLOBAL_DER_FEV_2023!F1015</f>
        <v>0</v>
      </c>
      <c r="G1015" s="912">
        <f>GLOBAL_DER_FEV_2023!G1015</f>
        <v>0</v>
      </c>
      <c r="H1015" s="901">
        <f>GLOBAL_DER_FEV_2023!H1015</f>
        <v>1261.4000000000001</v>
      </c>
      <c r="I1015" s="901">
        <f>GLOBAL_DER_FEV_2023!I1015</f>
        <v>1261.4000000000001</v>
      </c>
      <c r="J1015" s="902">
        <f>GLOBAL_DER_FEV_2023!J1015</f>
        <v>1514.56</v>
      </c>
      <c r="K1015" s="903" t="s">
        <v>1516</v>
      </c>
      <c r="L1015" s="1137"/>
      <c r="M1015" s="1138">
        <f t="shared" si="72"/>
        <v>0</v>
      </c>
      <c r="N1015" s="893">
        <f t="shared" si="76"/>
        <v>0</v>
      </c>
      <c r="O1015" s="905"/>
      <c r="Q1015" s="317" t="str">
        <f t="shared" si="73"/>
        <v/>
      </c>
      <c r="R1015" s="317" t="str">
        <f t="shared" si="74"/>
        <v/>
      </c>
      <c r="S1015" s="317" t="str">
        <f t="shared" si="75"/>
        <v/>
      </c>
      <c r="T1015" s="317" t="str">
        <f>GLOBAL_DER_FEV_2023!S1015</f>
        <v/>
      </c>
      <c r="W1015" s="582">
        <v>0</v>
      </c>
      <c r="X1015" s="580"/>
      <c r="Y1015" s="583">
        <f>IF(GLOBAL_DER_FEV_2023!W1015=0,0,IF(GLOBAL_DER_FEV_2023!W1015&gt;0,"c","b"))</f>
        <v>0</v>
      </c>
    </row>
    <row r="1016" spans="1:25" ht="34.5" hidden="1" thickBot="1" x14ac:dyDescent="0.25">
      <c r="A1016" s="317">
        <v>101530</v>
      </c>
      <c r="B1016" s="895">
        <v>101530</v>
      </c>
      <c r="C1016" s="896" t="s">
        <v>596</v>
      </c>
      <c r="D1016" s="906" t="s">
        <v>943</v>
      </c>
      <c r="E1016" s="907">
        <f>GLOBAL_DER_FEV_2023!E1016</f>
        <v>0</v>
      </c>
      <c r="F1016" s="908">
        <f>GLOBAL_DER_FEV_2023!F1016</f>
        <v>0</v>
      </c>
      <c r="G1016" s="912">
        <f>GLOBAL_DER_FEV_2023!G1016</f>
        <v>0</v>
      </c>
      <c r="H1016" s="901">
        <f>GLOBAL_DER_FEV_2023!H1016</f>
        <v>1496.89</v>
      </c>
      <c r="I1016" s="901">
        <f>GLOBAL_DER_FEV_2023!I1016</f>
        <v>1496.89</v>
      </c>
      <c r="J1016" s="902">
        <f>GLOBAL_DER_FEV_2023!J1016</f>
        <v>1797.32</v>
      </c>
      <c r="K1016" s="903" t="s">
        <v>1516</v>
      </c>
      <c r="L1016" s="1137"/>
      <c r="M1016" s="1138">
        <f t="shared" si="72"/>
        <v>0</v>
      </c>
      <c r="N1016" s="893">
        <f t="shared" si="76"/>
        <v>0</v>
      </c>
      <c r="O1016" s="905"/>
      <c r="Q1016" s="317" t="str">
        <f t="shared" si="73"/>
        <v/>
      </c>
      <c r="R1016" s="317" t="str">
        <f t="shared" si="74"/>
        <v/>
      </c>
      <c r="S1016" s="317" t="str">
        <f t="shared" si="75"/>
        <v/>
      </c>
      <c r="T1016" s="317" t="str">
        <f>GLOBAL_DER_FEV_2023!S1016</f>
        <v/>
      </c>
      <c r="W1016" s="582">
        <v>0</v>
      </c>
      <c r="X1016" s="580"/>
      <c r="Y1016" s="583">
        <f>IF(GLOBAL_DER_FEV_2023!W1016=0,0,IF(GLOBAL_DER_FEV_2023!W1016&gt;0,"c","b"))</f>
        <v>0</v>
      </c>
    </row>
    <row r="1017" spans="1:25" ht="34.5" hidden="1" thickBot="1" x14ac:dyDescent="0.25">
      <c r="A1017" s="317">
        <v>101531</v>
      </c>
      <c r="B1017" s="895">
        <v>101531</v>
      </c>
      <c r="C1017" s="896" t="s">
        <v>596</v>
      </c>
      <c r="D1017" s="906" t="s">
        <v>944</v>
      </c>
      <c r="E1017" s="907">
        <f>GLOBAL_DER_FEV_2023!E1017</f>
        <v>0</v>
      </c>
      <c r="F1017" s="908">
        <f>GLOBAL_DER_FEV_2023!F1017</f>
        <v>0</v>
      </c>
      <c r="G1017" s="912">
        <f>GLOBAL_DER_FEV_2023!G1017</f>
        <v>0</v>
      </c>
      <c r="H1017" s="901">
        <f>GLOBAL_DER_FEV_2023!H1017</f>
        <v>1563.15</v>
      </c>
      <c r="I1017" s="901">
        <f>GLOBAL_DER_FEV_2023!I1017</f>
        <v>1563.15</v>
      </c>
      <c r="J1017" s="902">
        <f>GLOBAL_DER_FEV_2023!J1017</f>
        <v>1876.87</v>
      </c>
      <c r="K1017" s="903" t="s">
        <v>1516</v>
      </c>
      <c r="L1017" s="1137"/>
      <c r="M1017" s="1138">
        <f t="shared" si="72"/>
        <v>0</v>
      </c>
      <c r="N1017" s="893">
        <f t="shared" si="76"/>
        <v>0</v>
      </c>
      <c r="O1017" s="905"/>
      <c r="Q1017" s="317" t="str">
        <f t="shared" si="73"/>
        <v/>
      </c>
      <c r="R1017" s="317" t="str">
        <f t="shared" si="74"/>
        <v/>
      </c>
      <c r="S1017" s="317" t="str">
        <f t="shared" si="75"/>
        <v/>
      </c>
      <c r="T1017" s="317" t="str">
        <f>GLOBAL_DER_FEV_2023!S1017</f>
        <v/>
      </c>
      <c r="W1017" s="582">
        <v>0</v>
      </c>
      <c r="X1017" s="580"/>
      <c r="Y1017" s="583">
        <f>IF(GLOBAL_DER_FEV_2023!W1017=0,0,IF(GLOBAL_DER_FEV_2023!W1017&gt;0,"c","b"))</f>
        <v>0</v>
      </c>
    </row>
    <row r="1018" spans="1:25" ht="34.5" hidden="1" thickBot="1" x14ac:dyDescent="0.25">
      <c r="A1018" s="317">
        <v>101532</v>
      </c>
      <c r="B1018" s="895">
        <v>101532</v>
      </c>
      <c r="C1018" s="896" t="s">
        <v>596</v>
      </c>
      <c r="D1018" s="906" t="s">
        <v>945</v>
      </c>
      <c r="E1018" s="907">
        <f>GLOBAL_DER_FEV_2023!E1018</f>
        <v>0</v>
      </c>
      <c r="F1018" s="908">
        <f>GLOBAL_DER_FEV_2023!F1018</f>
        <v>0</v>
      </c>
      <c r="G1018" s="912">
        <f>GLOBAL_DER_FEV_2023!G1018</f>
        <v>0</v>
      </c>
      <c r="H1018" s="901">
        <f>GLOBAL_DER_FEV_2023!H1018</f>
        <v>1835.07</v>
      </c>
      <c r="I1018" s="901">
        <f>GLOBAL_DER_FEV_2023!I1018</f>
        <v>1835.07</v>
      </c>
      <c r="J1018" s="902">
        <f>GLOBAL_DER_FEV_2023!J1018</f>
        <v>2203.37</v>
      </c>
      <c r="K1018" s="903" t="s">
        <v>1516</v>
      </c>
      <c r="L1018" s="1137"/>
      <c r="M1018" s="1138">
        <f t="shared" si="72"/>
        <v>0</v>
      </c>
      <c r="N1018" s="893">
        <f t="shared" si="76"/>
        <v>0</v>
      </c>
      <c r="O1018" s="905"/>
      <c r="Q1018" s="317" t="str">
        <f t="shared" si="73"/>
        <v/>
      </c>
      <c r="R1018" s="317" t="str">
        <f t="shared" si="74"/>
        <v/>
      </c>
      <c r="S1018" s="317" t="str">
        <f t="shared" si="75"/>
        <v/>
      </c>
      <c r="T1018" s="317" t="str">
        <f>GLOBAL_DER_FEV_2023!S1018</f>
        <v/>
      </c>
      <c r="W1018" s="582">
        <v>0</v>
      </c>
      <c r="X1018" s="580"/>
      <c r="Y1018" s="583">
        <f>IF(GLOBAL_DER_FEV_2023!W1018=0,0,IF(GLOBAL_DER_FEV_2023!W1018&gt;0,"c","b"))</f>
        <v>0</v>
      </c>
    </row>
    <row r="1019" spans="1:25" ht="34.5" hidden="1" thickBot="1" x14ac:dyDescent="0.25">
      <c r="A1019" s="317">
        <v>101533</v>
      </c>
      <c r="B1019" s="895">
        <v>101533</v>
      </c>
      <c r="C1019" s="896" t="s">
        <v>596</v>
      </c>
      <c r="D1019" s="906" t="s">
        <v>946</v>
      </c>
      <c r="E1019" s="907">
        <f>GLOBAL_DER_FEV_2023!E1019</f>
        <v>0</v>
      </c>
      <c r="F1019" s="908">
        <f>GLOBAL_DER_FEV_2023!F1019</f>
        <v>0</v>
      </c>
      <c r="G1019" s="912">
        <f>GLOBAL_DER_FEV_2023!G1019</f>
        <v>0</v>
      </c>
      <c r="H1019" s="901">
        <f>GLOBAL_DER_FEV_2023!H1019</f>
        <v>1385.59</v>
      </c>
      <c r="I1019" s="901">
        <f>GLOBAL_DER_FEV_2023!I1019</f>
        <v>1385.59</v>
      </c>
      <c r="J1019" s="902">
        <f>GLOBAL_DER_FEV_2023!J1019</f>
        <v>1663.68</v>
      </c>
      <c r="K1019" s="903" t="s">
        <v>1516</v>
      </c>
      <c r="L1019" s="1137"/>
      <c r="M1019" s="1138">
        <f t="shared" si="72"/>
        <v>0</v>
      </c>
      <c r="N1019" s="893">
        <f t="shared" si="76"/>
        <v>0</v>
      </c>
      <c r="O1019" s="905"/>
      <c r="Q1019" s="317" t="str">
        <f t="shared" si="73"/>
        <v/>
      </c>
      <c r="R1019" s="317" t="str">
        <f t="shared" si="74"/>
        <v/>
      </c>
      <c r="S1019" s="317" t="str">
        <f t="shared" si="75"/>
        <v/>
      </c>
      <c r="T1019" s="317" t="str">
        <f>GLOBAL_DER_FEV_2023!S1019</f>
        <v/>
      </c>
      <c r="W1019" s="582">
        <v>0</v>
      </c>
      <c r="X1019" s="580"/>
      <c r="Y1019" s="583">
        <f>IF(GLOBAL_DER_FEV_2023!W1019=0,0,IF(GLOBAL_DER_FEV_2023!W1019&gt;0,"c","b"))</f>
        <v>0</v>
      </c>
    </row>
    <row r="1020" spans="1:25" ht="34.5" hidden="1" thickBot="1" x14ac:dyDescent="0.25">
      <c r="A1020" s="317">
        <v>101534</v>
      </c>
      <c r="B1020" s="895">
        <v>101534</v>
      </c>
      <c r="C1020" s="896" t="s">
        <v>596</v>
      </c>
      <c r="D1020" s="906" t="s">
        <v>947</v>
      </c>
      <c r="E1020" s="907">
        <f>GLOBAL_DER_FEV_2023!E1020</f>
        <v>0</v>
      </c>
      <c r="F1020" s="908">
        <f>GLOBAL_DER_FEV_2023!F1020</f>
        <v>0</v>
      </c>
      <c r="G1020" s="912">
        <f>GLOBAL_DER_FEV_2023!G1020</f>
        <v>0</v>
      </c>
      <c r="H1020" s="901">
        <f>GLOBAL_DER_FEV_2023!H1020</f>
        <v>1621.08</v>
      </c>
      <c r="I1020" s="901">
        <f>GLOBAL_DER_FEV_2023!I1020</f>
        <v>1621.08</v>
      </c>
      <c r="J1020" s="902">
        <f>GLOBAL_DER_FEV_2023!J1020</f>
        <v>1946.43</v>
      </c>
      <c r="K1020" s="903" t="s">
        <v>1516</v>
      </c>
      <c r="L1020" s="1137"/>
      <c r="M1020" s="1138">
        <f t="shared" si="72"/>
        <v>0</v>
      </c>
      <c r="N1020" s="893">
        <f t="shared" si="76"/>
        <v>0</v>
      </c>
      <c r="O1020" s="905"/>
      <c r="Q1020" s="317" t="str">
        <f t="shared" si="73"/>
        <v/>
      </c>
      <c r="R1020" s="317" t="str">
        <f t="shared" si="74"/>
        <v/>
      </c>
      <c r="S1020" s="317" t="str">
        <f t="shared" si="75"/>
        <v/>
      </c>
      <c r="T1020" s="317" t="str">
        <f>GLOBAL_DER_FEV_2023!S1020</f>
        <v/>
      </c>
      <c r="W1020" s="582">
        <v>0</v>
      </c>
      <c r="X1020" s="580"/>
      <c r="Y1020" s="583">
        <f>IF(GLOBAL_DER_FEV_2023!W1020=0,0,IF(GLOBAL_DER_FEV_2023!W1020&gt;0,"c","b"))</f>
        <v>0</v>
      </c>
    </row>
    <row r="1021" spans="1:25" ht="34.5" hidden="1" thickBot="1" x14ac:dyDescent="0.25">
      <c r="A1021" s="317">
        <v>101535</v>
      </c>
      <c r="B1021" s="895">
        <v>101535</v>
      </c>
      <c r="C1021" s="896" t="s">
        <v>596</v>
      </c>
      <c r="D1021" s="906" t="s">
        <v>948</v>
      </c>
      <c r="E1021" s="907">
        <f>GLOBAL_DER_FEV_2023!E1021</f>
        <v>0</v>
      </c>
      <c r="F1021" s="908">
        <f>GLOBAL_DER_FEV_2023!F1021</f>
        <v>0</v>
      </c>
      <c r="G1021" s="912">
        <f>GLOBAL_DER_FEV_2023!G1021</f>
        <v>0</v>
      </c>
      <c r="H1021" s="901">
        <f>GLOBAL_DER_FEV_2023!H1021</f>
        <v>1687.34</v>
      </c>
      <c r="I1021" s="901">
        <f>GLOBAL_DER_FEV_2023!I1021</f>
        <v>1687.34</v>
      </c>
      <c r="J1021" s="902">
        <f>GLOBAL_DER_FEV_2023!J1021</f>
        <v>2025.99</v>
      </c>
      <c r="K1021" s="903" t="s">
        <v>1516</v>
      </c>
      <c r="L1021" s="1137"/>
      <c r="M1021" s="1138">
        <f t="shared" si="72"/>
        <v>0</v>
      </c>
      <c r="N1021" s="893">
        <f t="shared" si="76"/>
        <v>0</v>
      </c>
      <c r="O1021" s="905"/>
      <c r="Q1021" s="317" t="str">
        <f t="shared" si="73"/>
        <v/>
      </c>
      <c r="R1021" s="317" t="str">
        <f t="shared" si="74"/>
        <v/>
      </c>
      <c r="S1021" s="317" t="str">
        <f t="shared" si="75"/>
        <v/>
      </c>
      <c r="T1021" s="317" t="str">
        <f>GLOBAL_DER_FEV_2023!S1021</f>
        <v/>
      </c>
      <c r="W1021" s="582">
        <v>0</v>
      </c>
      <c r="X1021" s="580"/>
      <c r="Y1021" s="583">
        <f>IF(GLOBAL_DER_FEV_2023!W1021=0,0,IF(GLOBAL_DER_FEV_2023!W1021&gt;0,"c","b"))</f>
        <v>0</v>
      </c>
    </row>
    <row r="1022" spans="1:25" ht="34.5" hidden="1" thickBot="1" x14ac:dyDescent="0.25">
      <c r="A1022" s="317">
        <v>101536</v>
      </c>
      <c r="B1022" s="895">
        <v>101536</v>
      </c>
      <c r="C1022" s="896" t="s">
        <v>596</v>
      </c>
      <c r="D1022" s="906" t="s">
        <v>949</v>
      </c>
      <c r="E1022" s="907">
        <f>GLOBAL_DER_FEV_2023!E1022</f>
        <v>0</v>
      </c>
      <c r="F1022" s="908">
        <f>GLOBAL_DER_FEV_2023!F1022</f>
        <v>0</v>
      </c>
      <c r="G1022" s="912">
        <f>GLOBAL_DER_FEV_2023!G1022</f>
        <v>0</v>
      </c>
      <c r="H1022" s="901">
        <f>GLOBAL_DER_FEV_2023!H1022</f>
        <v>1959.26</v>
      </c>
      <c r="I1022" s="901">
        <f>GLOBAL_DER_FEV_2023!I1022</f>
        <v>1959.26</v>
      </c>
      <c r="J1022" s="902">
        <f>GLOBAL_DER_FEV_2023!J1022</f>
        <v>2352.48</v>
      </c>
      <c r="K1022" s="903" t="s">
        <v>1516</v>
      </c>
      <c r="L1022" s="1137"/>
      <c r="M1022" s="1138">
        <f t="shared" si="72"/>
        <v>0</v>
      </c>
      <c r="N1022" s="893">
        <f t="shared" si="76"/>
        <v>0</v>
      </c>
      <c r="O1022" s="905"/>
      <c r="Q1022" s="317" t="str">
        <f t="shared" si="73"/>
        <v/>
      </c>
      <c r="R1022" s="317" t="str">
        <f t="shared" si="74"/>
        <v/>
      </c>
      <c r="S1022" s="317" t="str">
        <f t="shared" si="75"/>
        <v/>
      </c>
      <c r="T1022" s="317" t="str">
        <f>GLOBAL_DER_FEV_2023!S1022</f>
        <v/>
      </c>
      <c r="W1022" s="582">
        <v>0</v>
      </c>
      <c r="X1022" s="580"/>
      <c r="Y1022" s="583">
        <f>IF(GLOBAL_DER_FEV_2023!W1022=0,0,IF(GLOBAL_DER_FEV_2023!W1022&gt;0,"c","b"))</f>
        <v>0</v>
      </c>
    </row>
    <row r="1023" spans="1:25" ht="35.1" hidden="1" customHeight="1" x14ac:dyDescent="0.2">
      <c r="A1023" s="317" t="s">
        <v>950</v>
      </c>
      <c r="B1023" s="895" t="str">
        <f>GLOBAL_DER_FEV_2023!B1023</f>
        <v>16.105.000030.SER</v>
      </c>
      <c r="C1023" s="896" t="str">
        <f>GLOBAL_DER_FEV_2023!C1023</f>
        <v>PINI - fev/23</v>
      </c>
      <c r="D1023" s="906" t="str">
        <f>GLOBAL_DER_FEV_2023!D1023</f>
        <v>ENTRADA DE ENERGIA ELÉTRICA, SUBTERRÂNEA, TRIFÁSICA, COM CAIXA DE EMBUTIR, CABO DE 16 MM2 E DISJUNTOR DIN 50A (NÃO INCLUSA MURETA DE ALVENARIA). AF_07/2020</v>
      </c>
      <c r="E1023" s="907">
        <f>GLOBAL_DER_FEV_2023!E1023</f>
        <v>0</v>
      </c>
      <c r="F1023" s="908">
        <f>GLOBAL_DER_FEV_2023!F1023</f>
        <v>0</v>
      </c>
      <c r="G1023" s="912">
        <f>GLOBAL_DER_FEV_2023!G1023</f>
        <v>0</v>
      </c>
      <c r="H1023" s="901">
        <f>GLOBAL_DER_FEV_2023!H1023</f>
        <v>1885.87</v>
      </c>
      <c r="I1023" s="901">
        <f>GLOBAL_DER_FEV_2023!I1023</f>
        <v>1885.87</v>
      </c>
      <c r="J1023" s="902">
        <f>GLOBAL_DER_FEV_2023!J1023</f>
        <v>2264.36</v>
      </c>
      <c r="K1023" s="903" t="s">
        <v>1516</v>
      </c>
      <c r="L1023" s="1137"/>
      <c r="M1023" s="1138">
        <f t="shared" si="72"/>
        <v>0</v>
      </c>
      <c r="N1023" s="893">
        <f t="shared" si="76"/>
        <v>0</v>
      </c>
      <c r="O1023" s="905"/>
      <c r="Q1023" s="317" t="str">
        <f t="shared" si="73"/>
        <v/>
      </c>
      <c r="R1023" s="317" t="str">
        <f t="shared" si="74"/>
        <v/>
      </c>
      <c r="S1023" s="317" t="str">
        <f t="shared" si="75"/>
        <v/>
      </c>
      <c r="T1023" s="317" t="str">
        <f>GLOBAL_DER_FEV_2023!S1023</f>
        <v/>
      </c>
      <c r="W1023" s="582">
        <v>0</v>
      </c>
      <c r="X1023" s="580"/>
      <c r="Y1023" s="583">
        <f>IF(GLOBAL_DER_FEV_2023!W1023=0,0,IF(GLOBAL_DER_FEV_2023!W1023&gt;0,"c","b"))</f>
        <v>0</v>
      </c>
    </row>
    <row r="1024" spans="1:25" ht="35.1" hidden="1" customHeight="1" x14ac:dyDescent="0.2">
      <c r="A1024" s="317" t="s">
        <v>951</v>
      </c>
      <c r="B1024" s="895" t="str">
        <f>GLOBAL_DER_FEV_2023!B1024</f>
        <v>16.105.000031.SER</v>
      </c>
      <c r="C1024" s="896" t="str">
        <f>GLOBAL_DER_FEV_2023!C1024</f>
        <v>PINI - fev/23</v>
      </c>
      <c r="D1024" s="906" t="str">
        <f>GLOBAL_DER_FEV_2023!D1024</f>
        <v>ENTRADA DE ENERGIA ELÉTRICA, SUBTERRÂNEA, TRIFÁSICA, COM CAIXA DE EMBUTIR, CABO DE 25 MM2 E DISJUNTOR DIN 50A (NÃO INCLUSA MURETA DE ALVENARIA). AF_07/2020</v>
      </c>
      <c r="E1024" s="907">
        <f>GLOBAL_DER_FEV_2023!E1024</f>
        <v>0</v>
      </c>
      <c r="F1024" s="908">
        <f>GLOBAL_DER_FEV_2023!F1024</f>
        <v>0</v>
      </c>
      <c r="G1024" s="912">
        <f>GLOBAL_DER_FEV_2023!G1024</f>
        <v>0</v>
      </c>
      <c r="H1024" s="901">
        <f>GLOBAL_DER_FEV_2023!H1024</f>
        <v>2069.96</v>
      </c>
      <c r="I1024" s="901">
        <f>GLOBAL_DER_FEV_2023!I1024</f>
        <v>2069.96</v>
      </c>
      <c r="J1024" s="902">
        <f>GLOBAL_DER_FEV_2023!J1024</f>
        <v>2485.4</v>
      </c>
      <c r="K1024" s="903" t="s">
        <v>1516</v>
      </c>
      <c r="L1024" s="1137"/>
      <c r="M1024" s="1138">
        <f t="shared" si="72"/>
        <v>0</v>
      </c>
      <c r="N1024" s="893">
        <f t="shared" si="76"/>
        <v>0</v>
      </c>
      <c r="O1024" s="905"/>
      <c r="Q1024" s="317" t="str">
        <f t="shared" si="73"/>
        <v/>
      </c>
      <c r="R1024" s="317" t="str">
        <f t="shared" si="74"/>
        <v/>
      </c>
      <c r="S1024" s="317" t="str">
        <f t="shared" si="75"/>
        <v/>
      </c>
      <c r="T1024" s="317" t="str">
        <f>GLOBAL_DER_FEV_2023!S1024</f>
        <v/>
      </c>
      <c r="W1024" s="582">
        <v>0</v>
      </c>
      <c r="X1024" s="580"/>
      <c r="Y1024" s="583">
        <f>IF(GLOBAL_DER_FEV_2023!W1024=0,0,IF(GLOBAL_DER_FEV_2023!W1024&gt;0,"c","b"))</f>
        <v>0</v>
      </c>
    </row>
    <row r="1025" spans="1:25" ht="35.1" hidden="1" customHeight="1" x14ac:dyDescent="0.2">
      <c r="A1025" s="317" t="s">
        <v>952</v>
      </c>
      <c r="B1025" s="895" t="str">
        <f>GLOBAL_DER_FEV_2023!B1025</f>
        <v>16.105.000032.SER</v>
      </c>
      <c r="C1025" s="896" t="str">
        <f>GLOBAL_DER_FEV_2023!C1025</f>
        <v>PINI - fev/23</v>
      </c>
      <c r="D1025" s="906" t="str">
        <f>GLOBAL_DER_FEV_2023!D1025</f>
        <v>ENTRADA DE ENERGIA ELÉTRICA, SUBTERRÂNEA, TRIFÁSICA, COM CAIXA DE EMBUTIR, CABO DE 35 MM2 E DISJUNTOR DIN 50A (NÃO INCLUSA MURETA DE ALVENARIA). AF_07/2020</v>
      </c>
      <c r="E1025" s="907">
        <f>GLOBAL_DER_FEV_2023!E1025</f>
        <v>0</v>
      </c>
      <c r="F1025" s="908">
        <f>GLOBAL_DER_FEV_2023!F1025</f>
        <v>0</v>
      </c>
      <c r="G1025" s="912">
        <f>GLOBAL_DER_FEV_2023!G1025</f>
        <v>0</v>
      </c>
      <c r="H1025" s="901">
        <f>GLOBAL_DER_FEV_2023!H1025</f>
        <v>2505.64</v>
      </c>
      <c r="I1025" s="901">
        <f>GLOBAL_DER_FEV_2023!I1025</f>
        <v>2505.64</v>
      </c>
      <c r="J1025" s="902">
        <f>GLOBAL_DER_FEV_2023!J1025</f>
        <v>3008.52</v>
      </c>
      <c r="K1025" s="903" t="s">
        <v>1516</v>
      </c>
      <c r="L1025" s="1137"/>
      <c r="M1025" s="1138">
        <f t="shared" si="72"/>
        <v>0</v>
      </c>
      <c r="N1025" s="893">
        <f t="shared" si="76"/>
        <v>0</v>
      </c>
      <c r="O1025" s="905"/>
      <c r="Q1025" s="317" t="str">
        <f t="shared" si="73"/>
        <v/>
      </c>
      <c r="R1025" s="317" t="str">
        <f t="shared" si="74"/>
        <v/>
      </c>
      <c r="S1025" s="317" t="str">
        <f t="shared" si="75"/>
        <v/>
      </c>
      <c r="T1025" s="317" t="str">
        <f>GLOBAL_DER_FEV_2023!S1025</f>
        <v/>
      </c>
      <c r="W1025" s="582">
        <v>0</v>
      </c>
      <c r="X1025" s="580"/>
      <c r="Y1025" s="583">
        <f>IF(GLOBAL_DER_FEV_2023!W1025=0,0,IF(GLOBAL_DER_FEV_2023!W1025&gt;0,"c","b"))</f>
        <v>0</v>
      </c>
    </row>
    <row r="1026" spans="1:25" ht="13.5" hidden="1" thickBot="1" x14ac:dyDescent="0.25">
      <c r="A1026" s="317" t="s">
        <v>953</v>
      </c>
      <c r="B1026" s="895" t="str">
        <f>GLOBAL_DER_FEV_2023!B1026</f>
        <v>16.105.000033.SER</v>
      </c>
      <c r="C1026" s="896" t="str">
        <f>GLOBAL_DER_FEV_2023!C1026</f>
        <v>PINI - fev/23</v>
      </c>
      <c r="D1026" s="906" t="str">
        <f>GLOBAL_DER_FEV_2023!D1026</f>
        <v>Entrada de energia em poste próprio da edificação com potência instalada de 15 a 20 KW</v>
      </c>
      <c r="E1026" s="907">
        <f>GLOBAL_DER_FEV_2023!E1026</f>
        <v>0</v>
      </c>
      <c r="F1026" s="908">
        <f>GLOBAL_DER_FEV_2023!F1026</f>
        <v>0</v>
      </c>
      <c r="G1026" s="912">
        <f>GLOBAL_DER_FEV_2023!G1026</f>
        <v>0</v>
      </c>
      <c r="H1026" s="901">
        <f>GLOBAL_DER_FEV_2023!H1026</f>
        <v>2829.71</v>
      </c>
      <c r="I1026" s="901">
        <f>GLOBAL_DER_FEV_2023!I1026</f>
        <v>2829.71</v>
      </c>
      <c r="J1026" s="902">
        <f>GLOBAL_DER_FEV_2023!J1026</f>
        <v>3397.63</v>
      </c>
      <c r="K1026" s="903" t="s">
        <v>1516</v>
      </c>
      <c r="L1026" s="1137"/>
      <c r="M1026" s="1138">
        <f t="shared" si="72"/>
        <v>0</v>
      </c>
      <c r="N1026" s="893">
        <f t="shared" si="76"/>
        <v>0</v>
      </c>
      <c r="O1026" s="905"/>
      <c r="Q1026" s="317" t="str">
        <f t="shared" si="73"/>
        <v/>
      </c>
      <c r="R1026" s="317" t="str">
        <f t="shared" si="74"/>
        <v/>
      </c>
      <c r="S1026" s="317" t="str">
        <f t="shared" si="75"/>
        <v/>
      </c>
      <c r="T1026" s="317" t="str">
        <f>GLOBAL_DER_FEV_2023!S1026</f>
        <v/>
      </c>
      <c r="W1026" s="582">
        <v>0</v>
      </c>
      <c r="X1026" s="580"/>
      <c r="Y1026" s="583">
        <f>IF(GLOBAL_DER_FEV_2023!W1026=0,0,IF(GLOBAL_DER_FEV_2023!W1026&gt;0,"c","b"))</f>
        <v>0</v>
      </c>
    </row>
    <row r="1027" spans="1:25" ht="13.5" hidden="1" thickBot="1" x14ac:dyDescent="0.25">
      <c r="A1027" s="317" t="s">
        <v>955</v>
      </c>
      <c r="B1027" s="895" t="str">
        <f>GLOBAL_DER_FEV_2023!B1027</f>
        <v>16.105.000034.SER</v>
      </c>
      <c r="C1027" s="896" t="str">
        <f>GLOBAL_DER_FEV_2023!C1027</f>
        <v>PINI - fev/23</v>
      </c>
      <c r="D1027" s="906" t="str">
        <f>GLOBAL_DER_FEV_2023!D1027</f>
        <v>Entrada de energia em poste próprio da edificação com potência instalada de 20 a 25 KW</v>
      </c>
      <c r="E1027" s="907">
        <f>GLOBAL_DER_FEV_2023!E1027</f>
        <v>0</v>
      </c>
      <c r="F1027" s="908">
        <f>GLOBAL_DER_FEV_2023!F1027</f>
        <v>0</v>
      </c>
      <c r="G1027" s="912">
        <f>GLOBAL_DER_FEV_2023!G1027</f>
        <v>0</v>
      </c>
      <c r="H1027" s="901">
        <f>GLOBAL_DER_FEV_2023!H1027</f>
        <v>4324.09</v>
      </c>
      <c r="I1027" s="901">
        <f>GLOBAL_DER_FEV_2023!I1027</f>
        <v>4324.09</v>
      </c>
      <c r="J1027" s="902">
        <f>GLOBAL_DER_FEV_2023!J1027</f>
        <v>5191.93</v>
      </c>
      <c r="K1027" s="903" t="s">
        <v>1516</v>
      </c>
      <c r="L1027" s="1137"/>
      <c r="M1027" s="1138">
        <f t="shared" si="72"/>
        <v>0</v>
      </c>
      <c r="N1027" s="893">
        <f t="shared" si="76"/>
        <v>0</v>
      </c>
      <c r="O1027" s="905"/>
      <c r="Q1027" s="317" t="str">
        <f t="shared" si="73"/>
        <v/>
      </c>
      <c r="R1027" s="317" t="str">
        <f t="shared" si="74"/>
        <v/>
      </c>
      <c r="S1027" s="317" t="str">
        <f t="shared" si="75"/>
        <v/>
      </c>
      <c r="T1027" s="317" t="str">
        <f>GLOBAL_DER_FEV_2023!S1027</f>
        <v/>
      </c>
      <c r="W1027" s="582">
        <v>0</v>
      </c>
      <c r="X1027" s="580"/>
      <c r="Y1027" s="583">
        <f>IF(GLOBAL_DER_FEV_2023!W1027=0,0,IF(GLOBAL_DER_FEV_2023!W1027&gt;0,"c","b"))</f>
        <v>0</v>
      </c>
    </row>
    <row r="1028" spans="1:25" ht="13.5" hidden="1" thickBot="1" x14ac:dyDescent="0.25">
      <c r="A1028" s="317" t="s">
        <v>957</v>
      </c>
      <c r="B1028" s="895" t="str">
        <f>GLOBAL_DER_FEV_2023!B1028</f>
        <v>16.105.000035.SER</v>
      </c>
      <c r="C1028" s="896" t="str">
        <f>GLOBAL_DER_FEV_2023!C1028</f>
        <v>PINI - fev/23</v>
      </c>
      <c r="D1028" s="906" t="str">
        <f>GLOBAL_DER_FEV_2023!D1028</f>
        <v>Entrada de energia em poste próprio da edificação com potência instalada de 25 a 30 KW</v>
      </c>
      <c r="E1028" s="907">
        <f>GLOBAL_DER_FEV_2023!E1028</f>
        <v>0</v>
      </c>
      <c r="F1028" s="908">
        <f>GLOBAL_DER_FEV_2023!F1028</f>
        <v>0</v>
      </c>
      <c r="G1028" s="912">
        <f>GLOBAL_DER_FEV_2023!G1028</f>
        <v>0</v>
      </c>
      <c r="H1028" s="901">
        <f>GLOBAL_DER_FEV_2023!H1028</f>
        <v>5277.61</v>
      </c>
      <c r="I1028" s="901">
        <f>GLOBAL_DER_FEV_2023!I1028</f>
        <v>5277.61</v>
      </c>
      <c r="J1028" s="902">
        <f>GLOBAL_DER_FEV_2023!J1028</f>
        <v>6336.83</v>
      </c>
      <c r="K1028" s="903" t="s">
        <v>1516</v>
      </c>
      <c r="L1028" s="1137"/>
      <c r="M1028" s="1138">
        <f t="shared" si="72"/>
        <v>0</v>
      </c>
      <c r="N1028" s="893">
        <f t="shared" si="76"/>
        <v>0</v>
      </c>
      <c r="O1028" s="905"/>
      <c r="Q1028" s="317" t="str">
        <f t="shared" si="73"/>
        <v/>
      </c>
      <c r="R1028" s="317" t="str">
        <f t="shared" si="74"/>
        <v/>
      </c>
      <c r="S1028" s="317" t="str">
        <f t="shared" si="75"/>
        <v/>
      </c>
      <c r="T1028" s="317" t="str">
        <f>GLOBAL_DER_FEV_2023!S1028</f>
        <v/>
      </c>
      <c r="W1028" s="582">
        <v>0</v>
      </c>
      <c r="X1028" s="580"/>
      <c r="Y1028" s="583">
        <f>IF(GLOBAL_DER_FEV_2023!W1028=0,0,IF(GLOBAL_DER_FEV_2023!W1028&gt;0,"c","b"))</f>
        <v>0</v>
      </c>
    </row>
    <row r="1029" spans="1:25" ht="23.25" hidden="1" thickBot="1" x14ac:dyDescent="0.25">
      <c r="A1029" s="317">
        <v>96984</v>
      </c>
      <c r="B1029" s="895">
        <v>96984</v>
      </c>
      <c r="C1029" s="896" t="s">
        <v>596</v>
      </c>
      <c r="D1029" s="906" t="s">
        <v>959</v>
      </c>
      <c r="E1029" s="907">
        <f>GLOBAL_DER_FEV_2023!E1029</f>
        <v>0</v>
      </c>
      <c r="F1029" s="908">
        <f>GLOBAL_DER_FEV_2023!F1029</f>
        <v>0</v>
      </c>
      <c r="G1029" s="912">
        <f>GLOBAL_DER_FEV_2023!G1029</f>
        <v>0</v>
      </c>
      <c r="H1029" s="901">
        <f>GLOBAL_DER_FEV_2023!H1029</f>
        <v>77.59</v>
      </c>
      <c r="I1029" s="901">
        <f>GLOBAL_DER_FEV_2023!I1029</f>
        <v>77.59</v>
      </c>
      <c r="J1029" s="902">
        <f>GLOBAL_DER_FEV_2023!J1029</f>
        <v>93.16</v>
      </c>
      <c r="K1029" s="903" t="s">
        <v>1516</v>
      </c>
      <c r="L1029" s="1137"/>
      <c r="M1029" s="1138">
        <f t="shared" si="72"/>
        <v>0</v>
      </c>
      <c r="N1029" s="893">
        <f t="shared" si="76"/>
        <v>0</v>
      </c>
      <c r="O1029" s="905"/>
      <c r="Q1029" s="317" t="str">
        <f t="shared" si="73"/>
        <v/>
      </c>
      <c r="R1029" s="317" t="str">
        <f t="shared" si="74"/>
        <v/>
      </c>
      <c r="S1029" s="317" t="str">
        <f t="shared" si="75"/>
        <v/>
      </c>
      <c r="T1029" s="317" t="str">
        <f>GLOBAL_DER_FEV_2023!S1029</f>
        <v/>
      </c>
      <c r="W1029" s="582">
        <v>0</v>
      </c>
      <c r="X1029" s="580"/>
      <c r="Y1029" s="583">
        <f>IF(GLOBAL_DER_FEV_2023!W1029=0,0,IF(GLOBAL_DER_FEV_2023!W1029&gt;0,"c","b"))</f>
        <v>0</v>
      </c>
    </row>
    <row r="1030" spans="1:25" ht="23.25" hidden="1" thickBot="1" x14ac:dyDescent="0.25">
      <c r="A1030" s="317">
        <v>91831</v>
      </c>
      <c r="B1030" s="895">
        <v>91831</v>
      </c>
      <c r="C1030" s="896" t="s">
        <v>596</v>
      </c>
      <c r="D1030" s="906" t="s">
        <v>960</v>
      </c>
      <c r="E1030" s="907">
        <f>GLOBAL_DER_FEV_2023!E1030</f>
        <v>0</v>
      </c>
      <c r="F1030" s="908">
        <f>GLOBAL_DER_FEV_2023!F1030</f>
        <v>0</v>
      </c>
      <c r="G1030" s="912">
        <f>GLOBAL_DER_FEV_2023!G1030</f>
        <v>0</v>
      </c>
      <c r="H1030" s="901">
        <f>GLOBAL_DER_FEV_2023!H1030</f>
        <v>10.69</v>
      </c>
      <c r="I1030" s="901">
        <f>GLOBAL_DER_FEV_2023!I1030</f>
        <v>10.69</v>
      </c>
      <c r="J1030" s="902">
        <f>GLOBAL_DER_FEV_2023!J1030</f>
        <v>12.84</v>
      </c>
      <c r="K1030" s="903" t="s">
        <v>62</v>
      </c>
      <c r="L1030" s="1137"/>
      <c r="M1030" s="1138">
        <f t="shared" si="72"/>
        <v>0</v>
      </c>
      <c r="N1030" s="893">
        <f t="shared" si="76"/>
        <v>0</v>
      </c>
      <c r="O1030" s="905"/>
      <c r="Q1030" s="317" t="str">
        <f t="shared" si="73"/>
        <v/>
      </c>
      <c r="R1030" s="317" t="str">
        <f t="shared" si="74"/>
        <v/>
      </c>
      <c r="S1030" s="317" t="str">
        <f t="shared" si="75"/>
        <v/>
      </c>
      <c r="T1030" s="317" t="str">
        <f>GLOBAL_DER_FEV_2023!S1030</f>
        <v/>
      </c>
      <c r="W1030" s="582">
        <v>0</v>
      </c>
      <c r="X1030" s="580"/>
      <c r="Y1030" s="583">
        <f>IF(GLOBAL_DER_FEV_2023!W1030=0,0,IF(GLOBAL_DER_FEV_2023!W1030&gt;0,"c","b"))</f>
        <v>0</v>
      </c>
    </row>
    <row r="1031" spans="1:25" ht="23.25" hidden="1" thickBot="1" x14ac:dyDescent="0.25">
      <c r="A1031" s="317">
        <v>91834</v>
      </c>
      <c r="B1031" s="895">
        <v>91834</v>
      </c>
      <c r="C1031" s="896" t="s">
        <v>596</v>
      </c>
      <c r="D1031" s="906" t="s">
        <v>961</v>
      </c>
      <c r="E1031" s="907">
        <f>GLOBAL_DER_FEV_2023!E1031</f>
        <v>0</v>
      </c>
      <c r="F1031" s="908">
        <f>GLOBAL_DER_FEV_2023!F1031</f>
        <v>0</v>
      </c>
      <c r="G1031" s="912">
        <f>GLOBAL_DER_FEV_2023!G1031</f>
        <v>0</v>
      </c>
      <c r="H1031" s="901">
        <f>GLOBAL_DER_FEV_2023!H1031</f>
        <v>11.9</v>
      </c>
      <c r="I1031" s="901">
        <f>GLOBAL_DER_FEV_2023!I1031</f>
        <v>11.9</v>
      </c>
      <c r="J1031" s="902">
        <f>GLOBAL_DER_FEV_2023!J1031</f>
        <v>14.29</v>
      </c>
      <c r="K1031" s="903" t="s">
        <v>62</v>
      </c>
      <c r="L1031" s="1137"/>
      <c r="M1031" s="1138">
        <f t="shared" si="72"/>
        <v>0</v>
      </c>
      <c r="N1031" s="893">
        <f t="shared" si="76"/>
        <v>0</v>
      </c>
      <c r="O1031" s="905"/>
      <c r="Q1031" s="317" t="str">
        <f t="shared" si="73"/>
        <v/>
      </c>
      <c r="R1031" s="317" t="str">
        <f t="shared" si="74"/>
        <v/>
      </c>
      <c r="S1031" s="317" t="str">
        <f t="shared" si="75"/>
        <v/>
      </c>
      <c r="T1031" s="317" t="str">
        <f>GLOBAL_DER_FEV_2023!S1031</f>
        <v/>
      </c>
      <c r="W1031" s="582">
        <v>0</v>
      </c>
      <c r="X1031" s="580"/>
      <c r="Y1031" s="583">
        <f>IF(GLOBAL_DER_FEV_2023!W1031=0,0,IF(GLOBAL_DER_FEV_2023!W1031&gt;0,"c","b"))</f>
        <v>0</v>
      </c>
    </row>
    <row r="1032" spans="1:25" ht="23.25" hidden="1" thickBot="1" x14ac:dyDescent="0.25">
      <c r="A1032" s="317">
        <v>91836</v>
      </c>
      <c r="B1032" s="895">
        <v>91836</v>
      </c>
      <c r="C1032" s="896" t="s">
        <v>596</v>
      </c>
      <c r="D1032" s="906" t="s">
        <v>962</v>
      </c>
      <c r="E1032" s="907">
        <f>GLOBAL_DER_FEV_2023!E1032</f>
        <v>0</v>
      </c>
      <c r="F1032" s="908">
        <f>GLOBAL_DER_FEV_2023!F1032</f>
        <v>0</v>
      </c>
      <c r="G1032" s="912">
        <f>GLOBAL_DER_FEV_2023!G1032</f>
        <v>0</v>
      </c>
      <c r="H1032" s="901">
        <f>GLOBAL_DER_FEV_2023!H1032</f>
        <v>15.96</v>
      </c>
      <c r="I1032" s="901">
        <f>GLOBAL_DER_FEV_2023!I1032</f>
        <v>15.96</v>
      </c>
      <c r="J1032" s="902">
        <f>GLOBAL_DER_FEV_2023!J1032</f>
        <v>19.16</v>
      </c>
      <c r="K1032" s="903" t="s">
        <v>62</v>
      </c>
      <c r="L1032" s="1137"/>
      <c r="M1032" s="1138">
        <f t="shared" si="72"/>
        <v>0</v>
      </c>
      <c r="N1032" s="893">
        <f t="shared" si="76"/>
        <v>0</v>
      </c>
      <c r="O1032" s="905"/>
      <c r="Q1032" s="317" t="str">
        <f t="shared" si="73"/>
        <v/>
      </c>
      <c r="R1032" s="317" t="str">
        <f t="shared" si="74"/>
        <v/>
      </c>
      <c r="S1032" s="317" t="str">
        <f t="shared" si="75"/>
        <v/>
      </c>
      <c r="T1032" s="317" t="str">
        <f>GLOBAL_DER_FEV_2023!S1032</f>
        <v/>
      </c>
      <c r="W1032" s="582">
        <v>0</v>
      </c>
      <c r="X1032" s="580"/>
      <c r="Y1032" s="583">
        <f>IF(GLOBAL_DER_FEV_2023!W1032=0,0,IF(GLOBAL_DER_FEV_2023!W1032&gt;0,"c","b"))</f>
        <v>0</v>
      </c>
    </row>
    <row r="1033" spans="1:25" ht="23.25" hidden="1" thickBot="1" x14ac:dyDescent="0.25">
      <c r="A1033" s="317">
        <v>91842</v>
      </c>
      <c r="B1033" s="895">
        <v>91842</v>
      </c>
      <c r="C1033" s="896" t="s">
        <v>596</v>
      </c>
      <c r="D1033" s="906" t="s">
        <v>963</v>
      </c>
      <c r="E1033" s="907">
        <f>GLOBAL_DER_FEV_2023!E1033</f>
        <v>0</v>
      </c>
      <c r="F1033" s="908">
        <f>GLOBAL_DER_FEV_2023!F1033</f>
        <v>0</v>
      </c>
      <c r="G1033" s="912">
        <f>GLOBAL_DER_FEV_2023!G1033</f>
        <v>0</v>
      </c>
      <c r="H1033" s="901">
        <f>GLOBAL_DER_FEV_2023!H1033</f>
        <v>8.0500000000000007</v>
      </c>
      <c r="I1033" s="901">
        <f>GLOBAL_DER_FEV_2023!I1033</f>
        <v>8.0500000000000007</v>
      </c>
      <c r="J1033" s="902">
        <f>GLOBAL_DER_FEV_2023!J1033</f>
        <v>9.67</v>
      </c>
      <c r="K1033" s="903" t="s">
        <v>62</v>
      </c>
      <c r="L1033" s="1137"/>
      <c r="M1033" s="1138">
        <f t="shared" si="72"/>
        <v>0</v>
      </c>
      <c r="N1033" s="893">
        <f t="shared" si="76"/>
        <v>0</v>
      </c>
      <c r="O1033" s="905"/>
      <c r="Q1033" s="317" t="str">
        <f t="shared" si="73"/>
        <v/>
      </c>
      <c r="R1033" s="317" t="str">
        <f t="shared" si="74"/>
        <v/>
      </c>
      <c r="S1033" s="317" t="str">
        <f t="shared" si="75"/>
        <v/>
      </c>
      <c r="T1033" s="317" t="str">
        <f>GLOBAL_DER_FEV_2023!S1033</f>
        <v/>
      </c>
      <c r="W1033" s="582">
        <v>0</v>
      </c>
      <c r="X1033" s="580"/>
      <c r="Y1033" s="583">
        <f>IF(GLOBAL_DER_FEV_2023!W1033=0,0,IF(GLOBAL_DER_FEV_2023!W1033&gt;0,"c","b"))</f>
        <v>0</v>
      </c>
    </row>
    <row r="1034" spans="1:25" ht="23.25" hidden="1" thickBot="1" x14ac:dyDescent="0.25">
      <c r="A1034" s="317">
        <v>91844</v>
      </c>
      <c r="B1034" s="895">
        <v>91844</v>
      </c>
      <c r="C1034" s="896" t="s">
        <v>596</v>
      </c>
      <c r="D1034" s="906" t="s">
        <v>964</v>
      </c>
      <c r="E1034" s="907">
        <f>GLOBAL_DER_FEV_2023!E1034</f>
        <v>0</v>
      </c>
      <c r="F1034" s="908">
        <f>GLOBAL_DER_FEV_2023!F1034</f>
        <v>0</v>
      </c>
      <c r="G1034" s="912">
        <f>GLOBAL_DER_FEV_2023!G1034</f>
        <v>0</v>
      </c>
      <c r="H1034" s="901">
        <f>GLOBAL_DER_FEV_2023!H1034</f>
        <v>9.26</v>
      </c>
      <c r="I1034" s="901">
        <f>GLOBAL_DER_FEV_2023!I1034</f>
        <v>9.26</v>
      </c>
      <c r="J1034" s="902">
        <f>GLOBAL_DER_FEV_2023!J1034</f>
        <v>11.12</v>
      </c>
      <c r="K1034" s="903" t="s">
        <v>62</v>
      </c>
      <c r="L1034" s="1137"/>
      <c r="M1034" s="1138">
        <f t="shared" si="72"/>
        <v>0</v>
      </c>
      <c r="N1034" s="893">
        <f t="shared" si="76"/>
        <v>0</v>
      </c>
      <c r="O1034" s="905"/>
      <c r="Q1034" s="317" t="str">
        <f t="shared" si="73"/>
        <v/>
      </c>
      <c r="R1034" s="317" t="str">
        <f t="shared" si="74"/>
        <v/>
      </c>
      <c r="S1034" s="317" t="str">
        <f t="shared" si="75"/>
        <v/>
      </c>
      <c r="T1034" s="317" t="str">
        <f>GLOBAL_DER_FEV_2023!S1034</f>
        <v/>
      </c>
      <c r="W1034" s="582">
        <v>0</v>
      </c>
      <c r="X1034" s="580"/>
      <c r="Y1034" s="583">
        <f>IF(GLOBAL_DER_FEV_2023!W1034=0,0,IF(GLOBAL_DER_FEV_2023!W1034&gt;0,"c","b"))</f>
        <v>0</v>
      </c>
    </row>
    <row r="1035" spans="1:25" ht="23.25" hidden="1" thickBot="1" x14ac:dyDescent="0.25">
      <c r="A1035" s="317">
        <v>91846</v>
      </c>
      <c r="B1035" s="895">
        <v>91846</v>
      </c>
      <c r="C1035" s="896" t="s">
        <v>596</v>
      </c>
      <c r="D1035" s="906" t="s">
        <v>965</v>
      </c>
      <c r="E1035" s="907">
        <f>GLOBAL_DER_FEV_2023!E1035</f>
        <v>0</v>
      </c>
      <c r="F1035" s="908">
        <f>GLOBAL_DER_FEV_2023!F1035</f>
        <v>0</v>
      </c>
      <c r="G1035" s="912">
        <f>GLOBAL_DER_FEV_2023!G1035</f>
        <v>0</v>
      </c>
      <c r="H1035" s="901">
        <f>GLOBAL_DER_FEV_2023!H1035</f>
        <v>13.33</v>
      </c>
      <c r="I1035" s="901">
        <f>GLOBAL_DER_FEV_2023!I1035</f>
        <v>13.33</v>
      </c>
      <c r="J1035" s="902">
        <f>GLOBAL_DER_FEV_2023!J1035</f>
        <v>16.010000000000002</v>
      </c>
      <c r="K1035" s="903" t="s">
        <v>62</v>
      </c>
      <c r="L1035" s="1137"/>
      <c r="M1035" s="1138">
        <f t="shared" si="72"/>
        <v>0</v>
      </c>
      <c r="N1035" s="893">
        <f t="shared" si="76"/>
        <v>0</v>
      </c>
      <c r="O1035" s="905"/>
      <c r="Q1035" s="317" t="str">
        <f t="shared" si="73"/>
        <v/>
      </c>
      <c r="R1035" s="317" t="str">
        <f t="shared" si="74"/>
        <v/>
      </c>
      <c r="S1035" s="317" t="str">
        <f t="shared" si="75"/>
        <v/>
      </c>
      <c r="T1035" s="317" t="str">
        <f>GLOBAL_DER_FEV_2023!S1035</f>
        <v/>
      </c>
      <c r="W1035" s="582">
        <v>0</v>
      </c>
      <c r="X1035" s="580"/>
      <c r="Y1035" s="583">
        <f>IF(GLOBAL_DER_FEV_2023!W1035=0,0,IF(GLOBAL_DER_FEV_2023!W1035&gt;0,"c","b"))</f>
        <v>0</v>
      </c>
    </row>
    <row r="1036" spans="1:25" ht="23.25" hidden="1" thickBot="1" x14ac:dyDescent="0.25">
      <c r="A1036" s="317">
        <v>91852</v>
      </c>
      <c r="B1036" s="895">
        <v>91852</v>
      </c>
      <c r="C1036" s="896" t="s">
        <v>596</v>
      </c>
      <c r="D1036" s="906" t="s">
        <v>966</v>
      </c>
      <c r="E1036" s="907">
        <f>GLOBAL_DER_FEV_2023!E1036</f>
        <v>0</v>
      </c>
      <c r="F1036" s="908">
        <f>GLOBAL_DER_FEV_2023!F1036</f>
        <v>0</v>
      </c>
      <c r="G1036" s="912">
        <f>GLOBAL_DER_FEV_2023!G1036</f>
        <v>0</v>
      </c>
      <c r="H1036" s="901">
        <f>GLOBAL_DER_FEV_2023!H1036</f>
        <v>11.16</v>
      </c>
      <c r="I1036" s="901">
        <f>GLOBAL_DER_FEV_2023!I1036</f>
        <v>11.16</v>
      </c>
      <c r="J1036" s="902">
        <f>GLOBAL_DER_FEV_2023!J1036</f>
        <v>13.4</v>
      </c>
      <c r="K1036" s="903" t="s">
        <v>62</v>
      </c>
      <c r="L1036" s="1137"/>
      <c r="M1036" s="1138">
        <f t="shared" si="72"/>
        <v>0</v>
      </c>
      <c r="N1036" s="893">
        <f t="shared" si="76"/>
        <v>0</v>
      </c>
      <c r="O1036" s="905"/>
      <c r="Q1036" s="317" t="str">
        <f t="shared" si="73"/>
        <v/>
      </c>
      <c r="R1036" s="317" t="str">
        <f t="shared" si="74"/>
        <v/>
      </c>
      <c r="S1036" s="317" t="str">
        <f t="shared" si="75"/>
        <v/>
      </c>
      <c r="T1036" s="317" t="str">
        <f>GLOBAL_DER_FEV_2023!S1036</f>
        <v/>
      </c>
      <c r="W1036" s="582">
        <v>0</v>
      </c>
      <c r="X1036" s="580"/>
      <c r="Y1036" s="583">
        <f>IF(GLOBAL_DER_FEV_2023!W1036=0,0,IF(GLOBAL_DER_FEV_2023!W1036&gt;0,"c","b"))</f>
        <v>0</v>
      </c>
    </row>
    <row r="1037" spans="1:25" ht="23.25" hidden="1" thickBot="1" x14ac:dyDescent="0.25">
      <c r="A1037" s="317">
        <v>91854</v>
      </c>
      <c r="B1037" s="895">
        <v>91854</v>
      </c>
      <c r="C1037" s="896" t="s">
        <v>596</v>
      </c>
      <c r="D1037" s="906" t="s">
        <v>967</v>
      </c>
      <c r="E1037" s="907">
        <f>GLOBAL_DER_FEV_2023!E1037</f>
        <v>0</v>
      </c>
      <c r="F1037" s="908">
        <f>GLOBAL_DER_FEV_2023!F1037</f>
        <v>0</v>
      </c>
      <c r="G1037" s="912">
        <f>GLOBAL_DER_FEV_2023!G1037</f>
        <v>0</v>
      </c>
      <c r="H1037" s="901">
        <f>GLOBAL_DER_FEV_2023!H1037</f>
        <v>12.34</v>
      </c>
      <c r="I1037" s="901">
        <f>GLOBAL_DER_FEV_2023!I1037</f>
        <v>12.34</v>
      </c>
      <c r="J1037" s="902">
        <f>GLOBAL_DER_FEV_2023!J1037</f>
        <v>14.82</v>
      </c>
      <c r="K1037" s="903" t="s">
        <v>62</v>
      </c>
      <c r="L1037" s="1137"/>
      <c r="M1037" s="1138">
        <f t="shared" si="72"/>
        <v>0</v>
      </c>
      <c r="N1037" s="893">
        <f t="shared" si="76"/>
        <v>0</v>
      </c>
      <c r="O1037" s="905"/>
      <c r="Q1037" s="317" t="str">
        <f t="shared" si="73"/>
        <v/>
      </c>
      <c r="R1037" s="317" t="str">
        <f t="shared" si="74"/>
        <v/>
      </c>
      <c r="S1037" s="317" t="str">
        <f t="shared" si="75"/>
        <v/>
      </c>
      <c r="T1037" s="317" t="str">
        <f>GLOBAL_DER_FEV_2023!S1037</f>
        <v/>
      </c>
      <c r="W1037" s="582">
        <v>0</v>
      </c>
      <c r="X1037" s="580"/>
      <c r="Y1037" s="583">
        <f>IF(GLOBAL_DER_FEV_2023!W1037=0,0,IF(GLOBAL_DER_FEV_2023!W1037&gt;0,"c","b"))</f>
        <v>0</v>
      </c>
    </row>
    <row r="1038" spans="1:25" ht="23.25" hidden="1" thickBot="1" x14ac:dyDescent="0.25">
      <c r="A1038" s="317">
        <v>91856</v>
      </c>
      <c r="B1038" s="895">
        <v>91856</v>
      </c>
      <c r="C1038" s="896" t="s">
        <v>596</v>
      </c>
      <c r="D1038" s="906" t="s">
        <v>968</v>
      </c>
      <c r="E1038" s="907">
        <f>GLOBAL_DER_FEV_2023!E1038</f>
        <v>0</v>
      </c>
      <c r="F1038" s="908">
        <f>GLOBAL_DER_FEV_2023!F1038</f>
        <v>0</v>
      </c>
      <c r="G1038" s="912">
        <f>GLOBAL_DER_FEV_2023!G1038</f>
        <v>0</v>
      </c>
      <c r="H1038" s="901">
        <f>GLOBAL_DER_FEV_2023!H1038</f>
        <v>16.18</v>
      </c>
      <c r="I1038" s="901">
        <f>GLOBAL_DER_FEV_2023!I1038</f>
        <v>16.18</v>
      </c>
      <c r="J1038" s="902">
        <f>GLOBAL_DER_FEV_2023!J1038</f>
        <v>19.43</v>
      </c>
      <c r="K1038" s="903" t="s">
        <v>62</v>
      </c>
      <c r="L1038" s="1137"/>
      <c r="M1038" s="1138">
        <f t="shared" si="72"/>
        <v>0</v>
      </c>
      <c r="N1038" s="893">
        <f t="shared" si="76"/>
        <v>0</v>
      </c>
      <c r="O1038" s="905"/>
      <c r="Q1038" s="317" t="str">
        <f t="shared" si="73"/>
        <v/>
      </c>
      <c r="R1038" s="317" t="str">
        <f t="shared" si="74"/>
        <v/>
      </c>
      <c r="S1038" s="317" t="str">
        <f t="shared" si="75"/>
        <v/>
      </c>
      <c r="T1038" s="317" t="str">
        <f>GLOBAL_DER_FEV_2023!S1038</f>
        <v/>
      </c>
      <c r="W1038" s="582">
        <v>0</v>
      </c>
      <c r="X1038" s="580"/>
      <c r="Y1038" s="583">
        <f>IF(GLOBAL_DER_FEV_2023!W1038=0,0,IF(GLOBAL_DER_FEV_2023!W1038&gt;0,"c","b"))</f>
        <v>0</v>
      </c>
    </row>
    <row r="1039" spans="1:25" ht="34.5" hidden="1" thickBot="1" x14ac:dyDescent="0.25">
      <c r="A1039" s="317">
        <v>91833</v>
      </c>
      <c r="B1039" s="895">
        <v>91833</v>
      </c>
      <c r="C1039" s="896" t="s">
        <v>596</v>
      </c>
      <c r="D1039" s="906" t="s">
        <v>969</v>
      </c>
      <c r="E1039" s="907">
        <f>GLOBAL_DER_FEV_2023!E1039</f>
        <v>0</v>
      </c>
      <c r="F1039" s="908">
        <f>GLOBAL_DER_FEV_2023!F1039</f>
        <v>0</v>
      </c>
      <c r="G1039" s="912">
        <f>GLOBAL_DER_FEV_2023!G1039</f>
        <v>0</v>
      </c>
      <c r="H1039" s="901">
        <f>GLOBAL_DER_FEV_2023!H1039</f>
        <v>11.52</v>
      </c>
      <c r="I1039" s="901">
        <f>GLOBAL_DER_FEV_2023!I1039</f>
        <v>11.52</v>
      </c>
      <c r="J1039" s="902">
        <f>GLOBAL_DER_FEV_2023!J1039</f>
        <v>13.83</v>
      </c>
      <c r="K1039" s="903" t="s">
        <v>62</v>
      </c>
      <c r="L1039" s="1137"/>
      <c r="M1039" s="1138">
        <f t="shared" si="72"/>
        <v>0</v>
      </c>
      <c r="N1039" s="893">
        <f t="shared" si="76"/>
        <v>0</v>
      </c>
      <c r="O1039" s="905"/>
      <c r="Q1039" s="317" t="str">
        <f t="shared" si="73"/>
        <v/>
      </c>
      <c r="R1039" s="317" t="str">
        <f t="shared" si="74"/>
        <v/>
      </c>
      <c r="S1039" s="317" t="str">
        <f t="shared" si="75"/>
        <v/>
      </c>
      <c r="T1039" s="317" t="str">
        <f>GLOBAL_DER_FEV_2023!S1039</f>
        <v/>
      </c>
      <c r="W1039" s="582">
        <v>0</v>
      </c>
      <c r="X1039" s="580"/>
      <c r="Y1039" s="583">
        <f>IF(GLOBAL_DER_FEV_2023!W1039=0,0,IF(GLOBAL_DER_FEV_2023!W1039&gt;0,"c","b"))</f>
        <v>0</v>
      </c>
    </row>
    <row r="1040" spans="1:25" ht="34.5" hidden="1" thickBot="1" x14ac:dyDescent="0.25">
      <c r="A1040" s="317">
        <v>91835</v>
      </c>
      <c r="B1040" s="895">
        <v>91835</v>
      </c>
      <c r="C1040" s="896" t="s">
        <v>596</v>
      </c>
      <c r="D1040" s="906" t="s">
        <v>970</v>
      </c>
      <c r="E1040" s="907">
        <f>GLOBAL_DER_FEV_2023!E1040</f>
        <v>0</v>
      </c>
      <c r="F1040" s="908">
        <f>GLOBAL_DER_FEV_2023!F1040</f>
        <v>0</v>
      </c>
      <c r="G1040" s="912">
        <f>GLOBAL_DER_FEV_2023!G1040</f>
        <v>0</v>
      </c>
      <c r="H1040" s="901">
        <f>GLOBAL_DER_FEV_2023!H1040</f>
        <v>14.01</v>
      </c>
      <c r="I1040" s="901">
        <f>GLOBAL_DER_FEV_2023!I1040</f>
        <v>14.01</v>
      </c>
      <c r="J1040" s="902">
        <f>GLOBAL_DER_FEV_2023!J1040</f>
        <v>16.82</v>
      </c>
      <c r="K1040" s="903" t="s">
        <v>62</v>
      </c>
      <c r="L1040" s="1137"/>
      <c r="M1040" s="1138">
        <f t="shared" si="72"/>
        <v>0</v>
      </c>
      <c r="N1040" s="893">
        <f t="shared" si="76"/>
        <v>0</v>
      </c>
      <c r="O1040" s="905"/>
      <c r="Q1040" s="317" t="str">
        <f t="shared" si="73"/>
        <v/>
      </c>
      <c r="R1040" s="317" t="str">
        <f t="shared" si="74"/>
        <v/>
      </c>
      <c r="S1040" s="317" t="str">
        <f t="shared" si="75"/>
        <v/>
      </c>
      <c r="T1040" s="317" t="str">
        <f>GLOBAL_DER_FEV_2023!S1040</f>
        <v/>
      </c>
      <c r="W1040" s="582">
        <v>0</v>
      </c>
      <c r="X1040" s="580"/>
      <c r="Y1040" s="583">
        <f>IF(GLOBAL_DER_FEV_2023!W1040=0,0,IF(GLOBAL_DER_FEV_2023!W1040&gt;0,"c","b"))</f>
        <v>0</v>
      </c>
    </row>
    <row r="1041" spans="1:25" ht="34.5" hidden="1" thickBot="1" x14ac:dyDescent="0.25">
      <c r="A1041" s="317">
        <v>91837</v>
      </c>
      <c r="B1041" s="895">
        <v>91837</v>
      </c>
      <c r="C1041" s="896" t="s">
        <v>596</v>
      </c>
      <c r="D1041" s="906" t="s">
        <v>971</v>
      </c>
      <c r="E1041" s="907">
        <f>GLOBAL_DER_FEV_2023!E1041</f>
        <v>0</v>
      </c>
      <c r="F1041" s="908">
        <f>GLOBAL_DER_FEV_2023!F1041</f>
        <v>0</v>
      </c>
      <c r="G1041" s="912">
        <f>GLOBAL_DER_FEV_2023!G1041</f>
        <v>0</v>
      </c>
      <c r="H1041" s="901">
        <f>GLOBAL_DER_FEV_2023!H1041</f>
        <v>20.87</v>
      </c>
      <c r="I1041" s="901">
        <f>GLOBAL_DER_FEV_2023!I1041</f>
        <v>20.87</v>
      </c>
      <c r="J1041" s="902">
        <f>GLOBAL_DER_FEV_2023!J1041</f>
        <v>25.06</v>
      </c>
      <c r="K1041" s="903" t="s">
        <v>62</v>
      </c>
      <c r="L1041" s="1137"/>
      <c r="M1041" s="1138">
        <f t="shared" si="72"/>
        <v>0</v>
      </c>
      <c r="N1041" s="893">
        <f t="shared" si="76"/>
        <v>0</v>
      </c>
      <c r="O1041" s="905"/>
      <c r="Q1041" s="317" t="str">
        <f t="shared" si="73"/>
        <v/>
      </c>
      <c r="R1041" s="317" t="str">
        <f t="shared" si="74"/>
        <v/>
      </c>
      <c r="S1041" s="317" t="str">
        <f t="shared" si="75"/>
        <v/>
      </c>
      <c r="T1041" s="317" t="str">
        <f>GLOBAL_DER_FEV_2023!S1041</f>
        <v/>
      </c>
      <c r="W1041" s="582">
        <v>0</v>
      </c>
      <c r="X1041" s="580"/>
      <c r="Y1041" s="583">
        <f>IF(GLOBAL_DER_FEV_2023!W1041=0,0,IF(GLOBAL_DER_FEV_2023!W1041&gt;0,"c","b"))</f>
        <v>0</v>
      </c>
    </row>
    <row r="1042" spans="1:25" ht="34.5" hidden="1" thickBot="1" x14ac:dyDescent="0.25">
      <c r="A1042" s="317">
        <v>91843</v>
      </c>
      <c r="B1042" s="895">
        <v>91843</v>
      </c>
      <c r="C1042" s="896" t="s">
        <v>596</v>
      </c>
      <c r="D1042" s="906" t="s">
        <v>972</v>
      </c>
      <c r="E1042" s="907">
        <f>GLOBAL_DER_FEV_2023!E1042</f>
        <v>0</v>
      </c>
      <c r="F1042" s="908">
        <f>GLOBAL_DER_FEV_2023!F1042</f>
        <v>0</v>
      </c>
      <c r="G1042" s="912">
        <f>GLOBAL_DER_FEV_2023!G1042</f>
        <v>0</v>
      </c>
      <c r="H1042" s="901">
        <f>GLOBAL_DER_FEV_2023!H1042</f>
        <v>8.8800000000000008</v>
      </c>
      <c r="I1042" s="901">
        <f>GLOBAL_DER_FEV_2023!I1042</f>
        <v>8.8800000000000008</v>
      </c>
      <c r="J1042" s="902">
        <f>GLOBAL_DER_FEV_2023!J1042</f>
        <v>10.66</v>
      </c>
      <c r="K1042" s="903" t="s">
        <v>62</v>
      </c>
      <c r="L1042" s="1137"/>
      <c r="M1042" s="1138">
        <f t="shared" ref="M1042:M1105" si="77">IF(L1042=0,0,ROUND(J1042,2))</f>
        <v>0</v>
      </c>
      <c r="N1042" s="893">
        <f t="shared" si="76"/>
        <v>0</v>
      </c>
      <c r="O1042" s="905"/>
      <c r="Q1042" s="317" t="str">
        <f t="shared" si="73"/>
        <v/>
      </c>
      <c r="R1042" s="317" t="str">
        <f t="shared" si="74"/>
        <v/>
      </c>
      <c r="S1042" s="317" t="str">
        <f t="shared" si="75"/>
        <v/>
      </c>
      <c r="T1042" s="317" t="str">
        <f>GLOBAL_DER_FEV_2023!S1042</f>
        <v/>
      </c>
      <c r="W1042" s="582">
        <v>0</v>
      </c>
      <c r="X1042" s="580"/>
      <c r="Y1042" s="583">
        <f>IF(GLOBAL_DER_FEV_2023!W1042=0,0,IF(GLOBAL_DER_FEV_2023!W1042&gt;0,"c","b"))</f>
        <v>0</v>
      </c>
    </row>
    <row r="1043" spans="1:25" ht="34.5" hidden="1" thickBot="1" x14ac:dyDescent="0.25">
      <c r="A1043" s="317">
        <v>91845</v>
      </c>
      <c r="B1043" s="895">
        <v>91845</v>
      </c>
      <c r="C1043" s="896" t="s">
        <v>596</v>
      </c>
      <c r="D1043" s="906" t="s">
        <v>973</v>
      </c>
      <c r="E1043" s="907">
        <f>GLOBAL_DER_FEV_2023!E1043</f>
        <v>0</v>
      </c>
      <c r="F1043" s="908">
        <f>GLOBAL_DER_FEV_2023!F1043</f>
        <v>0</v>
      </c>
      <c r="G1043" s="912">
        <f>GLOBAL_DER_FEV_2023!G1043</f>
        <v>0</v>
      </c>
      <c r="H1043" s="901">
        <f>GLOBAL_DER_FEV_2023!H1043</f>
        <v>11.37</v>
      </c>
      <c r="I1043" s="901">
        <f>GLOBAL_DER_FEV_2023!I1043</f>
        <v>11.37</v>
      </c>
      <c r="J1043" s="902">
        <f>GLOBAL_DER_FEV_2023!J1043</f>
        <v>13.65</v>
      </c>
      <c r="K1043" s="903" t="s">
        <v>62</v>
      </c>
      <c r="L1043" s="1137"/>
      <c r="M1043" s="1138">
        <f t="shared" si="77"/>
        <v>0</v>
      </c>
      <c r="N1043" s="893">
        <f t="shared" si="76"/>
        <v>0</v>
      </c>
      <c r="O1043" s="905"/>
      <c r="Q1043" s="317" t="str">
        <f t="shared" si="73"/>
        <v/>
      </c>
      <c r="R1043" s="317" t="str">
        <f t="shared" si="74"/>
        <v/>
      </c>
      <c r="S1043" s="317" t="str">
        <f t="shared" si="75"/>
        <v/>
      </c>
      <c r="T1043" s="317" t="str">
        <f>GLOBAL_DER_FEV_2023!S1043</f>
        <v/>
      </c>
      <c r="W1043" s="582">
        <v>0</v>
      </c>
      <c r="X1043" s="580"/>
      <c r="Y1043" s="583">
        <f>IF(GLOBAL_DER_FEV_2023!W1043=0,0,IF(GLOBAL_DER_FEV_2023!W1043&gt;0,"c","b"))</f>
        <v>0</v>
      </c>
    </row>
    <row r="1044" spans="1:25" ht="34.5" hidden="1" thickBot="1" x14ac:dyDescent="0.25">
      <c r="A1044" s="317">
        <v>91847</v>
      </c>
      <c r="B1044" s="895">
        <v>91847</v>
      </c>
      <c r="C1044" s="896" t="s">
        <v>596</v>
      </c>
      <c r="D1044" s="906" t="s">
        <v>974</v>
      </c>
      <c r="E1044" s="907">
        <f>GLOBAL_DER_FEV_2023!E1044</f>
        <v>0</v>
      </c>
      <c r="F1044" s="908">
        <f>GLOBAL_DER_FEV_2023!F1044</f>
        <v>0</v>
      </c>
      <c r="G1044" s="912">
        <f>GLOBAL_DER_FEV_2023!G1044</f>
        <v>0</v>
      </c>
      <c r="H1044" s="901">
        <f>GLOBAL_DER_FEV_2023!H1044</f>
        <v>18.239999999999998</v>
      </c>
      <c r="I1044" s="901">
        <f>GLOBAL_DER_FEV_2023!I1044</f>
        <v>18.239999999999998</v>
      </c>
      <c r="J1044" s="902">
        <f>GLOBAL_DER_FEV_2023!J1044</f>
        <v>21.9</v>
      </c>
      <c r="K1044" s="903" t="s">
        <v>62</v>
      </c>
      <c r="L1044" s="1137"/>
      <c r="M1044" s="1138">
        <f t="shared" si="77"/>
        <v>0</v>
      </c>
      <c r="N1044" s="893">
        <f t="shared" si="76"/>
        <v>0</v>
      </c>
      <c r="O1044" s="905"/>
      <c r="Q1044" s="317" t="str">
        <f t="shared" si="73"/>
        <v/>
      </c>
      <c r="R1044" s="317" t="str">
        <f t="shared" si="74"/>
        <v/>
      </c>
      <c r="S1044" s="317" t="str">
        <f t="shared" si="75"/>
        <v/>
      </c>
      <c r="T1044" s="317" t="str">
        <f>GLOBAL_DER_FEV_2023!S1044</f>
        <v/>
      </c>
      <c r="W1044" s="582">
        <v>0</v>
      </c>
      <c r="X1044" s="580"/>
      <c r="Y1044" s="583">
        <f>IF(GLOBAL_DER_FEV_2023!W1044=0,0,IF(GLOBAL_DER_FEV_2023!W1044&gt;0,"c","b"))</f>
        <v>0</v>
      </c>
    </row>
    <row r="1045" spans="1:25" ht="34.5" hidden="1" thickBot="1" x14ac:dyDescent="0.25">
      <c r="A1045" s="317">
        <v>91853</v>
      </c>
      <c r="B1045" s="895">
        <v>91853</v>
      </c>
      <c r="C1045" s="896" t="s">
        <v>596</v>
      </c>
      <c r="D1045" s="906" t="s">
        <v>975</v>
      </c>
      <c r="E1045" s="907">
        <f>GLOBAL_DER_FEV_2023!E1045</f>
        <v>0</v>
      </c>
      <c r="F1045" s="908">
        <f>GLOBAL_DER_FEV_2023!F1045</f>
        <v>0</v>
      </c>
      <c r="G1045" s="912">
        <f>GLOBAL_DER_FEV_2023!G1045</f>
        <v>0</v>
      </c>
      <c r="H1045" s="901">
        <f>GLOBAL_DER_FEV_2023!H1045</f>
        <v>11.93</v>
      </c>
      <c r="I1045" s="901">
        <f>GLOBAL_DER_FEV_2023!I1045</f>
        <v>11.93</v>
      </c>
      <c r="J1045" s="902">
        <f>GLOBAL_DER_FEV_2023!J1045</f>
        <v>14.32</v>
      </c>
      <c r="K1045" s="903" t="s">
        <v>62</v>
      </c>
      <c r="L1045" s="1137"/>
      <c r="M1045" s="1138">
        <f t="shared" si="77"/>
        <v>0</v>
      </c>
      <c r="N1045" s="893">
        <f t="shared" si="76"/>
        <v>0</v>
      </c>
      <c r="O1045" s="905"/>
      <c r="Q1045" s="317" t="str">
        <f t="shared" si="73"/>
        <v/>
      </c>
      <c r="R1045" s="317" t="str">
        <f t="shared" si="74"/>
        <v/>
      </c>
      <c r="S1045" s="317" t="str">
        <f t="shared" si="75"/>
        <v/>
      </c>
      <c r="T1045" s="317" t="str">
        <f>GLOBAL_DER_FEV_2023!S1045</f>
        <v/>
      </c>
      <c r="W1045" s="582">
        <v>0</v>
      </c>
      <c r="X1045" s="580"/>
      <c r="Y1045" s="583">
        <f>IF(GLOBAL_DER_FEV_2023!W1045=0,0,IF(GLOBAL_DER_FEV_2023!W1045&gt;0,"c","b"))</f>
        <v>0</v>
      </c>
    </row>
    <row r="1046" spans="1:25" ht="34.5" hidden="1" thickBot="1" x14ac:dyDescent="0.25">
      <c r="A1046" s="317">
        <v>91855</v>
      </c>
      <c r="B1046" s="895">
        <v>91855</v>
      </c>
      <c r="C1046" s="896" t="s">
        <v>596</v>
      </c>
      <c r="D1046" s="906" t="s">
        <v>976</v>
      </c>
      <c r="E1046" s="907">
        <f>GLOBAL_DER_FEV_2023!E1046</f>
        <v>0</v>
      </c>
      <c r="F1046" s="908">
        <f>GLOBAL_DER_FEV_2023!F1046</f>
        <v>0</v>
      </c>
      <c r="G1046" s="912">
        <f>GLOBAL_DER_FEV_2023!G1046</f>
        <v>0</v>
      </c>
      <c r="H1046" s="901">
        <f>GLOBAL_DER_FEV_2023!H1046</f>
        <v>14.29</v>
      </c>
      <c r="I1046" s="901">
        <f>GLOBAL_DER_FEV_2023!I1046</f>
        <v>14.29</v>
      </c>
      <c r="J1046" s="902">
        <f>GLOBAL_DER_FEV_2023!J1046</f>
        <v>17.16</v>
      </c>
      <c r="K1046" s="903" t="s">
        <v>62</v>
      </c>
      <c r="L1046" s="1137"/>
      <c r="M1046" s="1138">
        <f t="shared" si="77"/>
        <v>0</v>
      </c>
      <c r="N1046" s="893">
        <f t="shared" si="76"/>
        <v>0</v>
      </c>
      <c r="O1046" s="905"/>
      <c r="Q1046" s="317" t="str">
        <f t="shared" si="73"/>
        <v/>
      </c>
      <c r="R1046" s="317" t="str">
        <f t="shared" si="74"/>
        <v/>
      </c>
      <c r="S1046" s="317" t="str">
        <f t="shared" si="75"/>
        <v/>
      </c>
      <c r="T1046" s="317" t="str">
        <f>GLOBAL_DER_FEV_2023!S1046</f>
        <v/>
      </c>
      <c r="W1046" s="582">
        <v>0</v>
      </c>
      <c r="X1046" s="580"/>
      <c r="Y1046" s="583">
        <f>IF(GLOBAL_DER_FEV_2023!W1046=0,0,IF(GLOBAL_DER_FEV_2023!W1046&gt;0,"c","b"))</f>
        <v>0</v>
      </c>
    </row>
    <row r="1047" spans="1:25" ht="34.5" hidden="1" thickBot="1" x14ac:dyDescent="0.25">
      <c r="A1047" s="317">
        <v>91857</v>
      </c>
      <c r="B1047" s="895">
        <v>91857</v>
      </c>
      <c r="C1047" s="896" t="s">
        <v>596</v>
      </c>
      <c r="D1047" s="906" t="s">
        <v>977</v>
      </c>
      <c r="E1047" s="907">
        <f>GLOBAL_DER_FEV_2023!E1047</f>
        <v>0</v>
      </c>
      <c r="F1047" s="908">
        <f>GLOBAL_DER_FEV_2023!F1047</f>
        <v>0</v>
      </c>
      <c r="G1047" s="912">
        <f>GLOBAL_DER_FEV_2023!G1047</f>
        <v>0</v>
      </c>
      <c r="H1047" s="901">
        <f>GLOBAL_DER_FEV_2023!H1047</f>
        <v>20.72</v>
      </c>
      <c r="I1047" s="901">
        <f>GLOBAL_DER_FEV_2023!I1047</f>
        <v>20.72</v>
      </c>
      <c r="J1047" s="902">
        <f>GLOBAL_DER_FEV_2023!J1047</f>
        <v>24.88</v>
      </c>
      <c r="K1047" s="903" t="s">
        <v>62</v>
      </c>
      <c r="L1047" s="1137"/>
      <c r="M1047" s="1138">
        <f t="shared" si="77"/>
        <v>0</v>
      </c>
      <c r="N1047" s="893">
        <f t="shared" si="76"/>
        <v>0</v>
      </c>
      <c r="O1047" s="905"/>
      <c r="Q1047" s="317" t="str">
        <f t="shared" si="73"/>
        <v/>
      </c>
      <c r="R1047" s="317" t="str">
        <f t="shared" si="74"/>
        <v/>
      </c>
      <c r="S1047" s="317" t="str">
        <f t="shared" si="75"/>
        <v/>
      </c>
      <c r="T1047" s="317" t="str">
        <f>GLOBAL_DER_FEV_2023!S1047</f>
        <v/>
      </c>
      <c r="W1047" s="582">
        <v>0</v>
      </c>
      <c r="X1047" s="580"/>
      <c r="Y1047" s="583">
        <f>IF(GLOBAL_DER_FEV_2023!W1047=0,0,IF(GLOBAL_DER_FEV_2023!W1047&gt;0,"c","b"))</f>
        <v>0</v>
      </c>
    </row>
    <row r="1048" spans="1:25" ht="23.25" hidden="1" thickBot="1" x14ac:dyDescent="0.25">
      <c r="A1048" s="317">
        <v>91874</v>
      </c>
      <c r="B1048" s="895">
        <v>91874</v>
      </c>
      <c r="C1048" s="896" t="s">
        <v>596</v>
      </c>
      <c r="D1048" s="906" t="s">
        <v>978</v>
      </c>
      <c r="E1048" s="907">
        <f>GLOBAL_DER_FEV_2023!E1048</f>
        <v>0</v>
      </c>
      <c r="F1048" s="908">
        <f>GLOBAL_DER_FEV_2023!F1048</f>
        <v>0</v>
      </c>
      <c r="G1048" s="912">
        <f>GLOBAL_DER_FEV_2023!G1048</f>
        <v>0</v>
      </c>
      <c r="H1048" s="901">
        <f>GLOBAL_DER_FEV_2023!H1048</f>
        <v>6.07</v>
      </c>
      <c r="I1048" s="901">
        <f>GLOBAL_DER_FEV_2023!I1048</f>
        <v>6.07</v>
      </c>
      <c r="J1048" s="902">
        <f>GLOBAL_DER_FEV_2023!J1048</f>
        <v>7.29</v>
      </c>
      <c r="K1048" s="903" t="s">
        <v>1516</v>
      </c>
      <c r="L1048" s="1137"/>
      <c r="M1048" s="1138">
        <f t="shared" si="77"/>
        <v>0</v>
      </c>
      <c r="N1048" s="893">
        <f t="shared" si="76"/>
        <v>0</v>
      </c>
      <c r="O1048" s="905"/>
      <c r="Q1048" s="317" t="str">
        <f t="shared" si="73"/>
        <v/>
      </c>
      <c r="R1048" s="317" t="str">
        <f t="shared" si="74"/>
        <v/>
      </c>
      <c r="S1048" s="317" t="str">
        <f t="shared" si="75"/>
        <v/>
      </c>
      <c r="T1048" s="317" t="str">
        <f>GLOBAL_DER_FEV_2023!S1048</f>
        <v/>
      </c>
      <c r="W1048" s="582">
        <v>0</v>
      </c>
      <c r="X1048" s="580"/>
      <c r="Y1048" s="583">
        <f>IF(GLOBAL_DER_FEV_2023!W1048=0,0,IF(GLOBAL_DER_FEV_2023!W1048&gt;0,"c","b"))</f>
        <v>0</v>
      </c>
    </row>
    <row r="1049" spans="1:25" ht="23.25" hidden="1" thickBot="1" x14ac:dyDescent="0.25">
      <c r="A1049" s="317">
        <v>91875</v>
      </c>
      <c r="B1049" s="895">
        <v>91875</v>
      </c>
      <c r="C1049" s="896" t="s">
        <v>596</v>
      </c>
      <c r="D1049" s="906" t="s">
        <v>979</v>
      </c>
      <c r="E1049" s="907">
        <f>GLOBAL_DER_FEV_2023!E1049</f>
        <v>0</v>
      </c>
      <c r="F1049" s="908">
        <f>GLOBAL_DER_FEV_2023!F1049</f>
        <v>0</v>
      </c>
      <c r="G1049" s="912">
        <f>GLOBAL_DER_FEV_2023!G1049</f>
        <v>0</v>
      </c>
      <c r="H1049" s="901">
        <f>GLOBAL_DER_FEV_2023!H1049</f>
        <v>8.0399999999999991</v>
      </c>
      <c r="I1049" s="901">
        <f>GLOBAL_DER_FEV_2023!I1049</f>
        <v>8.0399999999999991</v>
      </c>
      <c r="J1049" s="902">
        <f>GLOBAL_DER_FEV_2023!J1049</f>
        <v>9.65</v>
      </c>
      <c r="K1049" s="903" t="s">
        <v>1516</v>
      </c>
      <c r="L1049" s="1137"/>
      <c r="M1049" s="1138">
        <f t="shared" si="77"/>
        <v>0</v>
      </c>
      <c r="N1049" s="893">
        <f t="shared" si="76"/>
        <v>0</v>
      </c>
      <c r="O1049" s="905"/>
      <c r="Q1049" s="317" t="str">
        <f t="shared" si="73"/>
        <v/>
      </c>
      <c r="R1049" s="317" t="str">
        <f t="shared" si="74"/>
        <v/>
      </c>
      <c r="S1049" s="317" t="str">
        <f t="shared" si="75"/>
        <v/>
      </c>
      <c r="T1049" s="317" t="str">
        <f>GLOBAL_DER_FEV_2023!S1049</f>
        <v/>
      </c>
      <c r="W1049" s="582">
        <v>0</v>
      </c>
      <c r="X1049" s="580"/>
      <c r="Y1049" s="583">
        <f>IF(GLOBAL_DER_FEV_2023!W1049=0,0,IF(GLOBAL_DER_FEV_2023!W1049&gt;0,"c","b"))</f>
        <v>0</v>
      </c>
    </row>
    <row r="1050" spans="1:25" ht="23.25" hidden="1" thickBot="1" x14ac:dyDescent="0.25">
      <c r="A1050" s="317">
        <v>91876</v>
      </c>
      <c r="B1050" s="895">
        <v>91876</v>
      </c>
      <c r="C1050" s="896" t="s">
        <v>596</v>
      </c>
      <c r="D1050" s="906" t="s">
        <v>980</v>
      </c>
      <c r="E1050" s="907">
        <f>GLOBAL_DER_FEV_2023!E1050</f>
        <v>0</v>
      </c>
      <c r="F1050" s="908">
        <f>GLOBAL_DER_FEV_2023!F1050</f>
        <v>0</v>
      </c>
      <c r="G1050" s="912">
        <f>GLOBAL_DER_FEV_2023!G1050</f>
        <v>0</v>
      </c>
      <c r="H1050" s="901">
        <f>GLOBAL_DER_FEV_2023!H1050</f>
        <v>10.61</v>
      </c>
      <c r="I1050" s="901">
        <f>GLOBAL_DER_FEV_2023!I1050</f>
        <v>10.61</v>
      </c>
      <c r="J1050" s="902">
        <f>GLOBAL_DER_FEV_2023!J1050</f>
        <v>12.74</v>
      </c>
      <c r="K1050" s="903" t="s">
        <v>1516</v>
      </c>
      <c r="L1050" s="1137"/>
      <c r="M1050" s="1138">
        <f t="shared" si="77"/>
        <v>0</v>
      </c>
      <c r="N1050" s="893">
        <f t="shared" si="76"/>
        <v>0</v>
      </c>
      <c r="O1050" s="905"/>
      <c r="Q1050" s="317" t="str">
        <f t="shared" si="73"/>
        <v/>
      </c>
      <c r="R1050" s="317" t="str">
        <f t="shared" si="74"/>
        <v/>
      </c>
      <c r="S1050" s="317" t="str">
        <f t="shared" si="75"/>
        <v/>
      </c>
      <c r="T1050" s="317" t="str">
        <f>GLOBAL_DER_FEV_2023!S1050</f>
        <v/>
      </c>
      <c r="W1050" s="582">
        <v>0</v>
      </c>
      <c r="X1050" s="580"/>
      <c r="Y1050" s="583">
        <f>IF(GLOBAL_DER_FEV_2023!W1050=0,0,IF(GLOBAL_DER_FEV_2023!W1050&gt;0,"c","b"))</f>
        <v>0</v>
      </c>
    </row>
    <row r="1051" spans="1:25" ht="23.25" hidden="1" thickBot="1" x14ac:dyDescent="0.25">
      <c r="A1051" s="317">
        <v>91877</v>
      </c>
      <c r="B1051" s="895">
        <v>91877</v>
      </c>
      <c r="C1051" s="896" t="s">
        <v>596</v>
      </c>
      <c r="D1051" s="906" t="s">
        <v>981</v>
      </c>
      <c r="E1051" s="907">
        <f>GLOBAL_DER_FEV_2023!E1051</f>
        <v>0</v>
      </c>
      <c r="F1051" s="908">
        <f>GLOBAL_DER_FEV_2023!F1051</f>
        <v>0</v>
      </c>
      <c r="G1051" s="912">
        <f>GLOBAL_DER_FEV_2023!G1051</f>
        <v>0</v>
      </c>
      <c r="H1051" s="901">
        <f>GLOBAL_DER_FEV_2023!H1051</f>
        <v>14.08</v>
      </c>
      <c r="I1051" s="901">
        <f>GLOBAL_DER_FEV_2023!I1051</f>
        <v>14.08</v>
      </c>
      <c r="J1051" s="902">
        <f>GLOBAL_DER_FEV_2023!J1051</f>
        <v>16.91</v>
      </c>
      <c r="K1051" s="903" t="s">
        <v>1516</v>
      </c>
      <c r="L1051" s="1137"/>
      <c r="M1051" s="1138">
        <f t="shared" si="77"/>
        <v>0</v>
      </c>
      <c r="N1051" s="893">
        <f t="shared" si="76"/>
        <v>0</v>
      </c>
      <c r="O1051" s="905"/>
      <c r="Q1051" s="317" t="str">
        <f t="shared" ref="Q1051:Q1114" si="78">IF(P1051="X","x",IF(P1051="xx","x",IF(P1051="xy","x",IF(P1051="y","x",IF(OR(N1051&gt;0,N1051&gt;0),"x","")))))</f>
        <v/>
      </c>
      <c r="R1051" s="317" t="str">
        <f t="shared" si="74"/>
        <v/>
      </c>
      <c r="S1051" s="317" t="str">
        <f t="shared" si="75"/>
        <v/>
      </c>
      <c r="T1051" s="317" t="str">
        <f>GLOBAL_DER_FEV_2023!S1051</f>
        <v/>
      </c>
      <c r="W1051" s="582">
        <v>0</v>
      </c>
      <c r="X1051" s="580"/>
      <c r="Y1051" s="583">
        <f>IF(GLOBAL_DER_FEV_2023!W1051=0,0,IF(GLOBAL_DER_FEV_2023!W1051&gt;0,"c","b"))</f>
        <v>0</v>
      </c>
    </row>
    <row r="1052" spans="1:25" ht="23.25" hidden="1" thickBot="1" x14ac:dyDescent="0.25">
      <c r="A1052" s="317">
        <v>91878</v>
      </c>
      <c r="B1052" s="895">
        <v>91878</v>
      </c>
      <c r="C1052" s="896" t="s">
        <v>596</v>
      </c>
      <c r="D1052" s="906" t="s">
        <v>982</v>
      </c>
      <c r="E1052" s="907">
        <f>GLOBAL_DER_FEV_2023!E1052</f>
        <v>0</v>
      </c>
      <c r="F1052" s="908">
        <f>GLOBAL_DER_FEV_2023!F1052</f>
        <v>0</v>
      </c>
      <c r="G1052" s="912">
        <f>GLOBAL_DER_FEV_2023!G1052</f>
        <v>0</v>
      </c>
      <c r="H1052" s="901">
        <f>GLOBAL_DER_FEV_2023!H1052</f>
        <v>7.82</v>
      </c>
      <c r="I1052" s="901">
        <f>GLOBAL_DER_FEV_2023!I1052</f>
        <v>7.82</v>
      </c>
      <c r="J1052" s="902">
        <f>GLOBAL_DER_FEV_2023!J1052</f>
        <v>9.39</v>
      </c>
      <c r="K1052" s="903" t="s">
        <v>1516</v>
      </c>
      <c r="L1052" s="1137"/>
      <c r="M1052" s="1138">
        <f t="shared" si="77"/>
        <v>0</v>
      </c>
      <c r="N1052" s="893">
        <f t="shared" si="76"/>
        <v>0</v>
      </c>
      <c r="O1052" s="905"/>
      <c r="Q1052" s="317" t="str">
        <f t="shared" si="78"/>
        <v/>
      </c>
      <c r="R1052" s="317" t="str">
        <f t="shared" si="74"/>
        <v/>
      </c>
      <c r="S1052" s="317" t="str">
        <f t="shared" si="75"/>
        <v/>
      </c>
      <c r="T1052" s="317" t="str">
        <f>GLOBAL_DER_FEV_2023!S1052</f>
        <v/>
      </c>
      <c r="W1052" s="582">
        <v>0</v>
      </c>
      <c r="X1052" s="580"/>
      <c r="Y1052" s="583">
        <f>IF(GLOBAL_DER_FEV_2023!W1052=0,0,IF(GLOBAL_DER_FEV_2023!W1052&gt;0,"c","b"))</f>
        <v>0</v>
      </c>
    </row>
    <row r="1053" spans="1:25" ht="23.25" hidden="1" thickBot="1" x14ac:dyDescent="0.25">
      <c r="A1053" s="317">
        <v>91879</v>
      </c>
      <c r="B1053" s="895">
        <v>91879</v>
      </c>
      <c r="C1053" s="896" t="s">
        <v>596</v>
      </c>
      <c r="D1053" s="906" t="s">
        <v>983</v>
      </c>
      <c r="E1053" s="907">
        <f>GLOBAL_DER_FEV_2023!E1053</f>
        <v>0</v>
      </c>
      <c r="F1053" s="908">
        <f>GLOBAL_DER_FEV_2023!F1053</f>
        <v>0</v>
      </c>
      <c r="G1053" s="912">
        <f>GLOBAL_DER_FEV_2023!G1053</f>
        <v>0</v>
      </c>
      <c r="H1053" s="901">
        <f>GLOBAL_DER_FEV_2023!H1053</f>
        <v>9.7200000000000006</v>
      </c>
      <c r="I1053" s="901">
        <f>GLOBAL_DER_FEV_2023!I1053</f>
        <v>9.7200000000000006</v>
      </c>
      <c r="J1053" s="902">
        <f>GLOBAL_DER_FEV_2023!J1053</f>
        <v>11.67</v>
      </c>
      <c r="K1053" s="903" t="s">
        <v>1516</v>
      </c>
      <c r="L1053" s="1137"/>
      <c r="M1053" s="1138">
        <f t="shared" si="77"/>
        <v>0</v>
      </c>
      <c r="N1053" s="893">
        <f t="shared" si="76"/>
        <v>0</v>
      </c>
      <c r="O1053" s="905"/>
      <c r="Q1053" s="317" t="str">
        <f t="shared" si="78"/>
        <v/>
      </c>
      <c r="R1053" s="317" t="str">
        <f t="shared" ref="R1053:R1116" si="79">IF(P1053="X","x",IF(P1053="y","x",IF(P1053="xx","x",IF(N1053&gt;0,"x",""))))</f>
        <v/>
      </c>
      <c r="S1053" s="317" t="str">
        <f t="shared" ref="S1053:S1116" si="80">IF(P1053="X","x",IF(N1053&gt;0,"x",""))</f>
        <v/>
      </c>
      <c r="T1053" s="317" t="str">
        <f>GLOBAL_DER_FEV_2023!S1053</f>
        <v/>
      </c>
      <c r="W1053" s="582">
        <v>0</v>
      </c>
      <c r="X1053" s="580"/>
      <c r="Y1053" s="583">
        <f>IF(GLOBAL_DER_FEV_2023!W1053=0,0,IF(GLOBAL_DER_FEV_2023!W1053&gt;0,"c","b"))</f>
        <v>0</v>
      </c>
    </row>
    <row r="1054" spans="1:25" ht="23.25" hidden="1" thickBot="1" x14ac:dyDescent="0.25">
      <c r="A1054" s="317">
        <v>91880</v>
      </c>
      <c r="B1054" s="895">
        <v>91880</v>
      </c>
      <c r="C1054" s="896" t="s">
        <v>596</v>
      </c>
      <c r="D1054" s="906" t="s">
        <v>984</v>
      </c>
      <c r="E1054" s="907">
        <f>GLOBAL_DER_FEV_2023!E1054</f>
        <v>0</v>
      </c>
      <c r="F1054" s="908">
        <f>GLOBAL_DER_FEV_2023!F1054</f>
        <v>0</v>
      </c>
      <c r="G1054" s="912">
        <f>GLOBAL_DER_FEV_2023!G1054</f>
        <v>0</v>
      </c>
      <c r="H1054" s="901">
        <f>GLOBAL_DER_FEV_2023!H1054</f>
        <v>12.34</v>
      </c>
      <c r="I1054" s="901">
        <f>GLOBAL_DER_FEV_2023!I1054</f>
        <v>12.34</v>
      </c>
      <c r="J1054" s="902">
        <f>GLOBAL_DER_FEV_2023!J1054</f>
        <v>14.82</v>
      </c>
      <c r="K1054" s="903" t="s">
        <v>1516</v>
      </c>
      <c r="L1054" s="1137"/>
      <c r="M1054" s="1138">
        <f t="shared" si="77"/>
        <v>0</v>
      </c>
      <c r="N1054" s="893">
        <f t="shared" si="76"/>
        <v>0</v>
      </c>
      <c r="O1054" s="905"/>
      <c r="Q1054" s="317" t="str">
        <f t="shared" si="78"/>
        <v/>
      </c>
      <c r="R1054" s="317" t="str">
        <f t="shared" si="79"/>
        <v/>
      </c>
      <c r="S1054" s="317" t="str">
        <f t="shared" si="80"/>
        <v/>
      </c>
      <c r="T1054" s="317" t="str">
        <f>GLOBAL_DER_FEV_2023!S1054</f>
        <v/>
      </c>
      <c r="W1054" s="582">
        <v>0</v>
      </c>
      <c r="X1054" s="580"/>
      <c r="Y1054" s="583">
        <f>IF(GLOBAL_DER_FEV_2023!W1054=0,0,IF(GLOBAL_DER_FEV_2023!W1054&gt;0,"c","b"))</f>
        <v>0</v>
      </c>
    </row>
    <row r="1055" spans="1:25" ht="23.25" hidden="1" thickBot="1" x14ac:dyDescent="0.25">
      <c r="A1055" s="317">
        <v>91881</v>
      </c>
      <c r="B1055" s="895">
        <v>91881</v>
      </c>
      <c r="C1055" s="896" t="s">
        <v>596</v>
      </c>
      <c r="D1055" s="906" t="s">
        <v>985</v>
      </c>
      <c r="E1055" s="907">
        <f>GLOBAL_DER_FEV_2023!E1055</f>
        <v>0</v>
      </c>
      <c r="F1055" s="908">
        <f>GLOBAL_DER_FEV_2023!F1055</f>
        <v>0</v>
      </c>
      <c r="G1055" s="912">
        <f>GLOBAL_DER_FEV_2023!G1055</f>
        <v>0</v>
      </c>
      <c r="H1055" s="901">
        <f>GLOBAL_DER_FEV_2023!H1055</f>
        <v>15.82</v>
      </c>
      <c r="I1055" s="901">
        <f>GLOBAL_DER_FEV_2023!I1055</f>
        <v>15.82</v>
      </c>
      <c r="J1055" s="902">
        <f>GLOBAL_DER_FEV_2023!J1055</f>
        <v>19</v>
      </c>
      <c r="K1055" s="903" t="s">
        <v>1516</v>
      </c>
      <c r="L1055" s="1137"/>
      <c r="M1055" s="1138">
        <f t="shared" si="77"/>
        <v>0</v>
      </c>
      <c r="N1055" s="893">
        <f t="shared" si="76"/>
        <v>0</v>
      </c>
      <c r="O1055" s="905"/>
      <c r="Q1055" s="317" t="str">
        <f t="shared" si="78"/>
        <v/>
      </c>
      <c r="R1055" s="317" t="str">
        <f t="shared" si="79"/>
        <v/>
      </c>
      <c r="S1055" s="317" t="str">
        <f t="shared" si="80"/>
        <v/>
      </c>
      <c r="T1055" s="317" t="str">
        <f>GLOBAL_DER_FEV_2023!S1055</f>
        <v/>
      </c>
      <c r="W1055" s="582">
        <v>0</v>
      </c>
      <c r="X1055" s="580"/>
      <c r="Y1055" s="583">
        <f>IF(GLOBAL_DER_FEV_2023!W1055=0,0,IF(GLOBAL_DER_FEV_2023!W1055&gt;0,"c","b"))</f>
        <v>0</v>
      </c>
    </row>
    <row r="1056" spans="1:25" ht="23.25" hidden="1" thickBot="1" x14ac:dyDescent="0.25">
      <c r="A1056" s="317">
        <v>91882</v>
      </c>
      <c r="B1056" s="895">
        <v>91882</v>
      </c>
      <c r="C1056" s="896" t="s">
        <v>596</v>
      </c>
      <c r="D1056" s="906" t="s">
        <v>986</v>
      </c>
      <c r="E1056" s="907">
        <f>GLOBAL_DER_FEV_2023!E1056</f>
        <v>0</v>
      </c>
      <c r="F1056" s="908">
        <f>GLOBAL_DER_FEV_2023!F1056</f>
        <v>0</v>
      </c>
      <c r="G1056" s="912">
        <f>GLOBAL_DER_FEV_2023!G1056</f>
        <v>0</v>
      </c>
      <c r="H1056" s="901">
        <f>GLOBAL_DER_FEV_2023!H1056</f>
        <v>9.67</v>
      </c>
      <c r="I1056" s="901">
        <f>GLOBAL_DER_FEV_2023!I1056</f>
        <v>9.67</v>
      </c>
      <c r="J1056" s="902">
        <f>GLOBAL_DER_FEV_2023!J1056</f>
        <v>11.61</v>
      </c>
      <c r="K1056" s="903" t="s">
        <v>1516</v>
      </c>
      <c r="L1056" s="1137"/>
      <c r="M1056" s="1138">
        <f t="shared" si="77"/>
        <v>0</v>
      </c>
      <c r="N1056" s="893">
        <f t="shared" si="76"/>
        <v>0</v>
      </c>
      <c r="O1056" s="905"/>
      <c r="Q1056" s="317" t="str">
        <f t="shared" si="78"/>
        <v/>
      </c>
      <c r="R1056" s="317" t="str">
        <f t="shared" si="79"/>
        <v/>
      </c>
      <c r="S1056" s="317" t="str">
        <f t="shared" si="80"/>
        <v/>
      </c>
      <c r="T1056" s="317" t="str">
        <f>GLOBAL_DER_FEV_2023!S1056</f>
        <v/>
      </c>
      <c r="W1056" s="582">
        <v>0</v>
      </c>
      <c r="X1056" s="580"/>
      <c r="Y1056" s="583">
        <f>IF(GLOBAL_DER_FEV_2023!W1056=0,0,IF(GLOBAL_DER_FEV_2023!W1056&gt;0,"c","b"))</f>
        <v>0</v>
      </c>
    </row>
    <row r="1057" spans="1:25" ht="23.25" hidden="1" thickBot="1" x14ac:dyDescent="0.25">
      <c r="A1057" s="317">
        <v>91884</v>
      </c>
      <c r="B1057" s="895">
        <v>91884</v>
      </c>
      <c r="C1057" s="896" t="s">
        <v>596</v>
      </c>
      <c r="D1057" s="906" t="s">
        <v>987</v>
      </c>
      <c r="E1057" s="907">
        <f>GLOBAL_DER_FEV_2023!E1057</f>
        <v>0</v>
      </c>
      <c r="F1057" s="908">
        <f>GLOBAL_DER_FEV_2023!F1057</f>
        <v>0</v>
      </c>
      <c r="G1057" s="912">
        <f>GLOBAL_DER_FEV_2023!G1057</f>
        <v>0</v>
      </c>
      <c r="H1057" s="901">
        <f>GLOBAL_DER_FEV_2023!H1057</f>
        <v>11.16</v>
      </c>
      <c r="I1057" s="901">
        <f>GLOBAL_DER_FEV_2023!I1057</f>
        <v>11.16</v>
      </c>
      <c r="J1057" s="902">
        <f>GLOBAL_DER_FEV_2023!J1057</f>
        <v>13.4</v>
      </c>
      <c r="K1057" s="903" t="s">
        <v>1516</v>
      </c>
      <c r="L1057" s="1137"/>
      <c r="M1057" s="1138">
        <f t="shared" si="77"/>
        <v>0</v>
      </c>
      <c r="N1057" s="893">
        <f t="shared" ref="N1057:N1120" si="81">IF(ISBLANK(L1057),0,IF(W1057=0,ROUND(L1057*M1057,2),IF(W1057="b",ROUNDDOWN(L1057*M1057,2),ROUNDUP(L1057*M1057,2))))</f>
        <v>0</v>
      </c>
      <c r="O1057" s="905"/>
      <c r="Q1057" s="317" t="str">
        <f t="shared" si="78"/>
        <v/>
      </c>
      <c r="R1057" s="317" t="str">
        <f t="shared" si="79"/>
        <v/>
      </c>
      <c r="S1057" s="317" t="str">
        <f t="shared" si="80"/>
        <v/>
      </c>
      <c r="T1057" s="317" t="str">
        <f>GLOBAL_DER_FEV_2023!S1057</f>
        <v/>
      </c>
      <c r="W1057" s="582">
        <v>0</v>
      </c>
      <c r="X1057" s="580"/>
      <c r="Y1057" s="583">
        <f>IF(GLOBAL_DER_FEV_2023!W1057=0,0,IF(GLOBAL_DER_FEV_2023!W1057&gt;0,"c","b"))</f>
        <v>0</v>
      </c>
    </row>
    <row r="1058" spans="1:25" ht="23.25" hidden="1" thickBot="1" x14ac:dyDescent="0.25">
      <c r="A1058" s="317">
        <v>91885</v>
      </c>
      <c r="B1058" s="895">
        <v>91885</v>
      </c>
      <c r="C1058" s="896" t="s">
        <v>596</v>
      </c>
      <c r="D1058" s="906" t="s">
        <v>988</v>
      </c>
      <c r="E1058" s="907">
        <f>GLOBAL_DER_FEV_2023!E1058</f>
        <v>0</v>
      </c>
      <c r="F1058" s="908">
        <f>GLOBAL_DER_FEV_2023!F1058</f>
        <v>0</v>
      </c>
      <c r="G1058" s="912">
        <f>GLOBAL_DER_FEV_2023!G1058</f>
        <v>0</v>
      </c>
      <c r="H1058" s="901">
        <f>GLOBAL_DER_FEV_2023!H1058</f>
        <v>13.18</v>
      </c>
      <c r="I1058" s="901">
        <f>GLOBAL_DER_FEV_2023!I1058</f>
        <v>13.18</v>
      </c>
      <c r="J1058" s="902">
        <f>GLOBAL_DER_FEV_2023!J1058</f>
        <v>15.83</v>
      </c>
      <c r="K1058" s="903" t="s">
        <v>1516</v>
      </c>
      <c r="L1058" s="1137"/>
      <c r="M1058" s="1138">
        <f t="shared" si="77"/>
        <v>0</v>
      </c>
      <c r="N1058" s="893">
        <f t="shared" si="81"/>
        <v>0</v>
      </c>
      <c r="O1058" s="905"/>
      <c r="Q1058" s="317" t="str">
        <f t="shared" si="78"/>
        <v/>
      </c>
      <c r="R1058" s="317" t="str">
        <f t="shared" si="79"/>
        <v/>
      </c>
      <c r="S1058" s="317" t="str">
        <f t="shared" si="80"/>
        <v/>
      </c>
      <c r="T1058" s="317" t="str">
        <f>GLOBAL_DER_FEV_2023!S1058</f>
        <v/>
      </c>
      <c r="W1058" s="582">
        <v>0</v>
      </c>
      <c r="X1058" s="580"/>
      <c r="Y1058" s="583">
        <f>IF(GLOBAL_DER_FEV_2023!W1058=0,0,IF(GLOBAL_DER_FEV_2023!W1058&gt;0,"c","b"))</f>
        <v>0</v>
      </c>
    </row>
    <row r="1059" spans="1:25" ht="23.25" hidden="1" thickBot="1" x14ac:dyDescent="0.25">
      <c r="A1059" s="317">
        <v>91886</v>
      </c>
      <c r="B1059" s="895">
        <v>91886</v>
      </c>
      <c r="C1059" s="896" t="s">
        <v>596</v>
      </c>
      <c r="D1059" s="906" t="s">
        <v>989</v>
      </c>
      <c r="E1059" s="907">
        <f>GLOBAL_DER_FEV_2023!E1059</f>
        <v>0</v>
      </c>
      <c r="F1059" s="908">
        <f>GLOBAL_DER_FEV_2023!F1059</f>
        <v>0</v>
      </c>
      <c r="G1059" s="912">
        <f>GLOBAL_DER_FEV_2023!G1059</f>
        <v>0</v>
      </c>
      <c r="H1059" s="901">
        <f>GLOBAL_DER_FEV_2023!H1059</f>
        <v>16</v>
      </c>
      <c r="I1059" s="901">
        <f>GLOBAL_DER_FEV_2023!I1059</f>
        <v>16</v>
      </c>
      <c r="J1059" s="902">
        <f>GLOBAL_DER_FEV_2023!J1059</f>
        <v>19.21</v>
      </c>
      <c r="K1059" s="903" t="s">
        <v>1516</v>
      </c>
      <c r="L1059" s="1137"/>
      <c r="M1059" s="1138">
        <f t="shared" si="77"/>
        <v>0</v>
      </c>
      <c r="N1059" s="893">
        <f t="shared" si="81"/>
        <v>0</v>
      </c>
      <c r="O1059" s="905"/>
      <c r="Q1059" s="317" t="str">
        <f t="shared" si="78"/>
        <v/>
      </c>
      <c r="R1059" s="317" t="str">
        <f t="shared" si="79"/>
        <v/>
      </c>
      <c r="S1059" s="317" t="str">
        <f t="shared" si="80"/>
        <v/>
      </c>
      <c r="T1059" s="317" t="str">
        <f>GLOBAL_DER_FEV_2023!S1059</f>
        <v/>
      </c>
      <c r="W1059" s="582">
        <v>0</v>
      </c>
      <c r="X1059" s="580"/>
      <c r="Y1059" s="583">
        <f>IF(GLOBAL_DER_FEV_2023!W1059=0,0,IF(GLOBAL_DER_FEV_2023!W1059&gt;0,"c","b"))</f>
        <v>0</v>
      </c>
    </row>
    <row r="1060" spans="1:25" ht="34.5" hidden="1" thickBot="1" x14ac:dyDescent="0.25">
      <c r="A1060" s="317">
        <v>91887</v>
      </c>
      <c r="B1060" s="895">
        <v>91887</v>
      </c>
      <c r="C1060" s="896" t="s">
        <v>596</v>
      </c>
      <c r="D1060" s="906" t="s">
        <v>990</v>
      </c>
      <c r="E1060" s="907">
        <f>GLOBAL_DER_FEV_2023!E1060</f>
        <v>0</v>
      </c>
      <c r="F1060" s="908">
        <f>GLOBAL_DER_FEV_2023!F1060</f>
        <v>0</v>
      </c>
      <c r="G1060" s="912">
        <f>GLOBAL_DER_FEV_2023!G1060</f>
        <v>0</v>
      </c>
      <c r="H1060" s="901">
        <f>GLOBAL_DER_FEV_2023!H1060</f>
        <v>11.2</v>
      </c>
      <c r="I1060" s="901">
        <f>GLOBAL_DER_FEV_2023!I1060</f>
        <v>11.2</v>
      </c>
      <c r="J1060" s="902">
        <f>GLOBAL_DER_FEV_2023!J1060</f>
        <v>13.45</v>
      </c>
      <c r="K1060" s="903" t="s">
        <v>1516</v>
      </c>
      <c r="L1060" s="1137"/>
      <c r="M1060" s="1138">
        <f t="shared" si="77"/>
        <v>0</v>
      </c>
      <c r="N1060" s="893">
        <f t="shared" si="81"/>
        <v>0</v>
      </c>
      <c r="O1060" s="905"/>
      <c r="Q1060" s="317" t="str">
        <f t="shared" si="78"/>
        <v/>
      </c>
      <c r="R1060" s="317" t="str">
        <f t="shared" si="79"/>
        <v/>
      </c>
      <c r="S1060" s="317" t="str">
        <f t="shared" si="80"/>
        <v/>
      </c>
      <c r="T1060" s="317" t="str">
        <f>GLOBAL_DER_FEV_2023!S1060</f>
        <v/>
      </c>
      <c r="W1060" s="582">
        <v>0</v>
      </c>
      <c r="X1060" s="580"/>
      <c r="Y1060" s="583">
        <f>IF(GLOBAL_DER_FEV_2023!W1060=0,0,IF(GLOBAL_DER_FEV_2023!W1060&gt;0,"c","b"))</f>
        <v>0</v>
      </c>
    </row>
    <row r="1061" spans="1:25" ht="34.5" hidden="1" thickBot="1" x14ac:dyDescent="0.25">
      <c r="A1061" s="317">
        <v>91889</v>
      </c>
      <c r="B1061" s="895">
        <v>91889</v>
      </c>
      <c r="C1061" s="896" t="s">
        <v>596</v>
      </c>
      <c r="D1061" s="906" t="s">
        <v>991</v>
      </c>
      <c r="E1061" s="907">
        <f>GLOBAL_DER_FEV_2023!E1061</f>
        <v>0</v>
      </c>
      <c r="F1061" s="908">
        <f>GLOBAL_DER_FEV_2023!F1061</f>
        <v>0</v>
      </c>
      <c r="G1061" s="912">
        <f>GLOBAL_DER_FEV_2023!G1061</f>
        <v>0</v>
      </c>
      <c r="H1061" s="901">
        <f>GLOBAL_DER_FEV_2023!H1061</f>
        <v>10.8</v>
      </c>
      <c r="I1061" s="901">
        <f>GLOBAL_DER_FEV_2023!I1061</f>
        <v>10.8</v>
      </c>
      <c r="J1061" s="902">
        <f>GLOBAL_DER_FEV_2023!J1061</f>
        <v>12.97</v>
      </c>
      <c r="K1061" s="903" t="s">
        <v>1516</v>
      </c>
      <c r="L1061" s="1137"/>
      <c r="M1061" s="1138">
        <f t="shared" si="77"/>
        <v>0</v>
      </c>
      <c r="N1061" s="893">
        <f t="shared" si="81"/>
        <v>0</v>
      </c>
      <c r="O1061" s="905"/>
      <c r="Q1061" s="317" t="str">
        <f t="shared" si="78"/>
        <v/>
      </c>
      <c r="R1061" s="317" t="str">
        <f t="shared" si="79"/>
        <v/>
      </c>
      <c r="S1061" s="317" t="str">
        <f t="shared" si="80"/>
        <v/>
      </c>
      <c r="T1061" s="317" t="str">
        <f>GLOBAL_DER_FEV_2023!S1061</f>
        <v/>
      </c>
      <c r="W1061" s="582">
        <v>0</v>
      </c>
      <c r="X1061" s="580"/>
      <c r="Y1061" s="583">
        <f>IF(GLOBAL_DER_FEV_2023!W1061=0,0,IF(GLOBAL_DER_FEV_2023!W1061&gt;0,"c","b"))</f>
        <v>0</v>
      </c>
    </row>
    <row r="1062" spans="1:25" ht="34.5" hidden="1" thickBot="1" x14ac:dyDescent="0.25">
      <c r="A1062" s="317">
        <v>91890</v>
      </c>
      <c r="B1062" s="895">
        <v>91890</v>
      </c>
      <c r="C1062" s="896" t="s">
        <v>596</v>
      </c>
      <c r="D1062" s="906" t="s">
        <v>992</v>
      </c>
      <c r="E1062" s="907">
        <f>GLOBAL_DER_FEV_2023!E1062</f>
        <v>0</v>
      </c>
      <c r="F1062" s="908">
        <f>GLOBAL_DER_FEV_2023!F1062</f>
        <v>0</v>
      </c>
      <c r="G1062" s="912">
        <f>GLOBAL_DER_FEV_2023!G1062</f>
        <v>0</v>
      </c>
      <c r="H1062" s="901">
        <f>GLOBAL_DER_FEV_2023!H1062</f>
        <v>13.35</v>
      </c>
      <c r="I1062" s="901">
        <f>GLOBAL_DER_FEV_2023!I1062</f>
        <v>13.35</v>
      </c>
      <c r="J1062" s="902">
        <f>GLOBAL_DER_FEV_2023!J1062</f>
        <v>16.03</v>
      </c>
      <c r="K1062" s="903" t="s">
        <v>1516</v>
      </c>
      <c r="L1062" s="1137"/>
      <c r="M1062" s="1138">
        <f t="shared" si="77"/>
        <v>0</v>
      </c>
      <c r="N1062" s="893">
        <f t="shared" si="81"/>
        <v>0</v>
      </c>
      <c r="O1062" s="905"/>
      <c r="Q1062" s="317" t="str">
        <f t="shared" si="78"/>
        <v/>
      </c>
      <c r="R1062" s="317" t="str">
        <f t="shared" si="79"/>
        <v/>
      </c>
      <c r="S1062" s="317" t="str">
        <f t="shared" si="80"/>
        <v/>
      </c>
      <c r="T1062" s="317" t="str">
        <f>GLOBAL_DER_FEV_2023!S1062</f>
        <v/>
      </c>
      <c r="W1062" s="582">
        <v>0</v>
      </c>
      <c r="X1062" s="580"/>
      <c r="Y1062" s="583">
        <f>IF(GLOBAL_DER_FEV_2023!W1062=0,0,IF(GLOBAL_DER_FEV_2023!W1062&gt;0,"c","b"))</f>
        <v>0</v>
      </c>
    </row>
    <row r="1063" spans="1:25" ht="34.5" hidden="1" thickBot="1" x14ac:dyDescent="0.25">
      <c r="A1063" s="317">
        <v>91892</v>
      </c>
      <c r="B1063" s="895">
        <v>91892</v>
      </c>
      <c r="C1063" s="896" t="s">
        <v>596</v>
      </c>
      <c r="D1063" s="906" t="s">
        <v>993</v>
      </c>
      <c r="E1063" s="907">
        <f>GLOBAL_DER_FEV_2023!E1063</f>
        <v>0</v>
      </c>
      <c r="F1063" s="908">
        <f>GLOBAL_DER_FEV_2023!F1063</f>
        <v>0</v>
      </c>
      <c r="G1063" s="912">
        <f>GLOBAL_DER_FEV_2023!G1063</f>
        <v>0</v>
      </c>
      <c r="H1063" s="901">
        <f>GLOBAL_DER_FEV_2023!H1063</f>
        <v>16.04</v>
      </c>
      <c r="I1063" s="901">
        <f>GLOBAL_DER_FEV_2023!I1063</f>
        <v>16.04</v>
      </c>
      <c r="J1063" s="902">
        <f>GLOBAL_DER_FEV_2023!J1063</f>
        <v>19.260000000000002</v>
      </c>
      <c r="K1063" s="903" t="s">
        <v>1516</v>
      </c>
      <c r="L1063" s="1137"/>
      <c r="M1063" s="1138">
        <f t="shared" si="77"/>
        <v>0</v>
      </c>
      <c r="N1063" s="893">
        <f t="shared" si="81"/>
        <v>0</v>
      </c>
      <c r="O1063" s="905"/>
      <c r="Q1063" s="317" t="str">
        <f t="shared" si="78"/>
        <v/>
      </c>
      <c r="R1063" s="317" t="str">
        <f t="shared" si="79"/>
        <v/>
      </c>
      <c r="S1063" s="317" t="str">
        <f t="shared" si="80"/>
        <v/>
      </c>
      <c r="T1063" s="317" t="str">
        <f>GLOBAL_DER_FEV_2023!S1063</f>
        <v/>
      </c>
      <c r="W1063" s="582">
        <v>0</v>
      </c>
      <c r="X1063" s="580"/>
      <c r="Y1063" s="583">
        <f>IF(GLOBAL_DER_FEV_2023!W1063=0,0,IF(GLOBAL_DER_FEV_2023!W1063&gt;0,"c","b"))</f>
        <v>0</v>
      </c>
    </row>
    <row r="1064" spans="1:25" ht="34.5" hidden="1" thickBot="1" x14ac:dyDescent="0.25">
      <c r="A1064" s="317">
        <v>91893</v>
      </c>
      <c r="B1064" s="895">
        <v>91893</v>
      </c>
      <c r="C1064" s="896" t="s">
        <v>596</v>
      </c>
      <c r="D1064" s="906" t="s">
        <v>994</v>
      </c>
      <c r="E1064" s="907">
        <f>GLOBAL_DER_FEV_2023!E1064</f>
        <v>0</v>
      </c>
      <c r="F1064" s="908">
        <f>GLOBAL_DER_FEV_2023!F1064</f>
        <v>0</v>
      </c>
      <c r="G1064" s="912">
        <f>GLOBAL_DER_FEV_2023!G1064</f>
        <v>0</v>
      </c>
      <c r="H1064" s="901">
        <f>GLOBAL_DER_FEV_2023!H1064</f>
        <v>18.22</v>
      </c>
      <c r="I1064" s="901">
        <f>GLOBAL_DER_FEV_2023!I1064</f>
        <v>18.22</v>
      </c>
      <c r="J1064" s="902">
        <f>GLOBAL_DER_FEV_2023!J1064</f>
        <v>21.88</v>
      </c>
      <c r="K1064" s="903" t="s">
        <v>1516</v>
      </c>
      <c r="L1064" s="1137"/>
      <c r="M1064" s="1138">
        <f t="shared" si="77"/>
        <v>0</v>
      </c>
      <c r="N1064" s="893">
        <f t="shared" si="81"/>
        <v>0</v>
      </c>
      <c r="O1064" s="905"/>
      <c r="Q1064" s="317" t="str">
        <f t="shared" si="78"/>
        <v/>
      </c>
      <c r="R1064" s="317" t="str">
        <f t="shared" si="79"/>
        <v/>
      </c>
      <c r="S1064" s="317" t="str">
        <f t="shared" si="80"/>
        <v/>
      </c>
      <c r="T1064" s="317" t="str">
        <f>GLOBAL_DER_FEV_2023!S1064</f>
        <v/>
      </c>
      <c r="W1064" s="582">
        <v>0</v>
      </c>
      <c r="X1064" s="580"/>
      <c r="Y1064" s="583">
        <f>IF(GLOBAL_DER_FEV_2023!W1064=0,0,IF(GLOBAL_DER_FEV_2023!W1064&gt;0,"c","b"))</f>
        <v>0</v>
      </c>
    </row>
    <row r="1065" spans="1:25" ht="34.5" hidden="1" thickBot="1" x14ac:dyDescent="0.25">
      <c r="A1065" s="317">
        <v>91896</v>
      </c>
      <c r="B1065" s="895">
        <v>91896</v>
      </c>
      <c r="C1065" s="896" t="s">
        <v>596</v>
      </c>
      <c r="D1065" s="906" t="s">
        <v>995</v>
      </c>
      <c r="E1065" s="907">
        <f>GLOBAL_DER_FEV_2023!E1065</f>
        <v>0</v>
      </c>
      <c r="F1065" s="908">
        <f>GLOBAL_DER_FEV_2023!F1065</f>
        <v>0</v>
      </c>
      <c r="G1065" s="912">
        <f>GLOBAL_DER_FEV_2023!G1065</f>
        <v>0</v>
      </c>
      <c r="H1065" s="901">
        <f>GLOBAL_DER_FEV_2023!H1065</f>
        <v>22.26</v>
      </c>
      <c r="I1065" s="901">
        <f>GLOBAL_DER_FEV_2023!I1065</f>
        <v>22.26</v>
      </c>
      <c r="J1065" s="902">
        <f>GLOBAL_DER_FEV_2023!J1065</f>
        <v>26.73</v>
      </c>
      <c r="K1065" s="903" t="s">
        <v>1516</v>
      </c>
      <c r="L1065" s="1137"/>
      <c r="M1065" s="1138">
        <f t="shared" si="77"/>
        <v>0</v>
      </c>
      <c r="N1065" s="893">
        <f t="shared" si="81"/>
        <v>0</v>
      </c>
      <c r="O1065" s="905"/>
      <c r="Q1065" s="317" t="str">
        <f t="shared" si="78"/>
        <v/>
      </c>
      <c r="R1065" s="317" t="str">
        <f t="shared" si="79"/>
        <v/>
      </c>
      <c r="S1065" s="317" t="str">
        <f t="shared" si="80"/>
        <v/>
      </c>
      <c r="T1065" s="317" t="str">
        <f>GLOBAL_DER_FEV_2023!S1065</f>
        <v/>
      </c>
      <c r="W1065" s="582">
        <v>0</v>
      </c>
      <c r="X1065" s="580"/>
      <c r="Y1065" s="583">
        <f>IF(GLOBAL_DER_FEV_2023!W1065=0,0,IF(GLOBAL_DER_FEV_2023!W1065&gt;0,"c","b"))</f>
        <v>0</v>
      </c>
    </row>
    <row r="1066" spans="1:25" ht="34.5" hidden="1" thickBot="1" x14ac:dyDescent="0.25">
      <c r="A1066" s="317">
        <v>91898</v>
      </c>
      <c r="B1066" s="895">
        <v>91898</v>
      </c>
      <c r="C1066" s="896" t="s">
        <v>596</v>
      </c>
      <c r="D1066" s="906" t="s">
        <v>996</v>
      </c>
      <c r="E1066" s="907">
        <f>GLOBAL_DER_FEV_2023!E1066</f>
        <v>0</v>
      </c>
      <c r="F1066" s="908">
        <f>GLOBAL_DER_FEV_2023!F1066</f>
        <v>0</v>
      </c>
      <c r="G1066" s="912">
        <f>GLOBAL_DER_FEV_2023!G1066</f>
        <v>0</v>
      </c>
      <c r="H1066" s="901">
        <f>GLOBAL_DER_FEV_2023!H1066</f>
        <v>25.18</v>
      </c>
      <c r="I1066" s="901">
        <f>GLOBAL_DER_FEV_2023!I1066</f>
        <v>25.18</v>
      </c>
      <c r="J1066" s="902">
        <f>GLOBAL_DER_FEV_2023!J1066</f>
        <v>30.23</v>
      </c>
      <c r="K1066" s="903" t="s">
        <v>1516</v>
      </c>
      <c r="L1066" s="1137"/>
      <c r="M1066" s="1138">
        <f t="shared" si="77"/>
        <v>0</v>
      </c>
      <c r="N1066" s="893">
        <f t="shared" si="81"/>
        <v>0</v>
      </c>
      <c r="O1066" s="905"/>
      <c r="Q1066" s="317" t="str">
        <f t="shared" si="78"/>
        <v/>
      </c>
      <c r="R1066" s="317" t="str">
        <f t="shared" si="79"/>
        <v/>
      </c>
      <c r="S1066" s="317" t="str">
        <f t="shared" si="80"/>
        <v/>
      </c>
      <c r="T1066" s="317" t="str">
        <f>GLOBAL_DER_FEV_2023!S1066</f>
        <v/>
      </c>
      <c r="W1066" s="582">
        <v>0</v>
      </c>
      <c r="X1066" s="580"/>
      <c r="Y1066" s="583">
        <f>IF(GLOBAL_DER_FEV_2023!W1066=0,0,IF(GLOBAL_DER_FEV_2023!W1066&gt;0,"c","b"))</f>
        <v>0</v>
      </c>
    </row>
    <row r="1067" spans="1:25" ht="34.5" hidden="1" thickBot="1" x14ac:dyDescent="0.25">
      <c r="A1067" s="317">
        <v>91899</v>
      </c>
      <c r="B1067" s="895">
        <v>91899</v>
      </c>
      <c r="C1067" s="896" t="s">
        <v>596</v>
      </c>
      <c r="D1067" s="906" t="s">
        <v>997</v>
      </c>
      <c r="E1067" s="907">
        <f>GLOBAL_DER_FEV_2023!E1067</f>
        <v>0</v>
      </c>
      <c r="F1067" s="908">
        <f>GLOBAL_DER_FEV_2023!F1067</f>
        <v>0</v>
      </c>
      <c r="G1067" s="912">
        <f>GLOBAL_DER_FEV_2023!G1067</f>
        <v>0</v>
      </c>
      <c r="H1067" s="901">
        <f>GLOBAL_DER_FEV_2023!H1067</f>
        <v>13.72</v>
      </c>
      <c r="I1067" s="901">
        <f>GLOBAL_DER_FEV_2023!I1067</f>
        <v>13.72</v>
      </c>
      <c r="J1067" s="902">
        <f>GLOBAL_DER_FEV_2023!J1067</f>
        <v>16.47</v>
      </c>
      <c r="K1067" s="903" t="s">
        <v>1516</v>
      </c>
      <c r="L1067" s="1137"/>
      <c r="M1067" s="1138">
        <f t="shared" si="77"/>
        <v>0</v>
      </c>
      <c r="N1067" s="893">
        <f t="shared" si="81"/>
        <v>0</v>
      </c>
      <c r="O1067" s="905"/>
      <c r="Q1067" s="317" t="str">
        <f t="shared" si="78"/>
        <v/>
      </c>
      <c r="R1067" s="317" t="str">
        <f t="shared" si="79"/>
        <v/>
      </c>
      <c r="S1067" s="317" t="str">
        <f t="shared" si="80"/>
        <v/>
      </c>
      <c r="T1067" s="317" t="str">
        <f>GLOBAL_DER_FEV_2023!S1067</f>
        <v/>
      </c>
      <c r="W1067" s="582">
        <v>0</v>
      </c>
      <c r="X1067" s="580"/>
      <c r="Y1067" s="583">
        <f>IF(GLOBAL_DER_FEV_2023!W1067=0,0,IF(GLOBAL_DER_FEV_2023!W1067&gt;0,"c","b"))</f>
        <v>0</v>
      </c>
    </row>
    <row r="1068" spans="1:25" ht="34.5" hidden="1" thickBot="1" x14ac:dyDescent="0.25">
      <c r="A1068" s="317">
        <v>91901</v>
      </c>
      <c r="B1068" s="895">
        <v>91901</v>
      </c>
      <c r="C1068" s="896" t="s">
        <v>596</v>
      </c>
      <c r="D1068" s="906" t="s">
        <v>998</v>
      </c>
      <c r="E1068" s="907">
        <f>GLOBAL_DER_FEV_2023!E1068</f>
        <v>0</v>
      </c>
      <c r="F1068" s="908">
        <f>GLOBAL_DER_FEV_2023!F1068</f>
        <v>0</v>
      </c>
      <c r="G1068" s="912">
        <f>GLOBAL_DER_FEV_2023!G1068</f>
        <v>0</v>
      </c>
      <c r="H1068" s="901">
        <f>GLOBAL_DER_FEV_2023!H1068</f>
        <v>13.32</v>
      </c>
      <c r="I1068" s="901">
        <f>GLOBAL_DER_FEV_2023!I1068</f>
        <v>13.32</v>
      </c>
      <c r="J1068" s="902">
        <f>GLOBAL_DER_FEV_2023!J1068</f>
        <v>15.99</v>
      </c>
      <c r="K1068" s="903" t="s">
        <v>1516</v>
      </c>
      <c r="L1068" s="1137"/>
      <c r="M1068" s="1138">
        <f t="shared" si="77"/>
        <v>0</v>
      </c>
      <c r="N1068" s="893">
        <f t="shared" si="81"/>
        <v>0</v>
      </c>
      <c r="O1068" s="905"/>
      <c r="Q1068" s="317" t="str">
        <f t="shared" si="78"/>
        <v/>
      </c>
      <c r="R1068" s="317" t="str">
        <f t="shared" si="79"/>
        <v/>
      </c>
      <c r="S1068" s="317" t="str">
        <f t="shared" si="80"/>
        <v/>
      </c>
      <c r="T1068" s="317" t="str">
        <f>GLOBAL_DER_FEV_2023!S1068</f>
        <v/>
      </c>
      <c r="W1068" s="582">
        <v>0</v>
      </c>
      <c r="X1068" s="580"/>
      <c r="Y1068" s="583">
        <f>IF(GLOBAL_DER_FEV_2023!W1068=0,0,IF(GLOBAL_DER_FEV_2023!W1068&gt;0,"c","b"))</f>
        <v>0</v>
      </c>
    </row>
    <row r="1069" spans="1:25" ht="34.5" hidden="1" thickBot="1" x14ac:dyDescent="0.25">
      <c r="A1069" s="317">
        <v>91902</v>
      </c>
      <c r="B1069" s="895">
        <v>91902</v>
      </c>
      <c r="C1069" s="896" t="s">
        <v>596</v>
      </c>
      <c r="D1069" s="906" t="s">
        <v>999</v>
      </c>
      <c r="E1069" s="907">
        <f>GLOBAL_DER_FEV_2023!E1069</f>
        <v>0</v>
      </c>
      <c r="F1069" s="908">
        <f>GLOBAL_DER_FEV_2023!F1069</f>
        <v>0</v>
      </c>
      <c r="G1069" s="912">
        <f>GLOBAL_DER_FEV_2023!G1069</f>
        <v>0</v>
      </c>
      <c r="H1069" s="901">
        <f>GLOBAL_DER_FEV_2023!H1069</f>
        <v>15.87</v>
      </c>
      <c r="I1069" s="901">
        <f>GLOBAL_DER_FEV_2023!I1069</f>
        <v>15.87</v>
      </c>
      <c r="J1069" s="902">
        <f>GLOBAL_DER_FEV_2023!J1069</f>
        <v>19.059999999999999</v>
      </c>
      <c r="K1069" s="903" t="s">
        <v>1516</v>
      </c>
      <c r="L1069" s="1137"/>
      <c r="M1069" s="1138">
        <f t="shared" si="77"/>
        <v>0</v>
      </c>
      <c r="N1069" s="893">
        <f t="shared" si="81"/>
        <v>0</v>
      </c>
      <c r="O1069" s="905"/>
      <c r="Q1069" s="317" t="str">
        <f t="shared" si="78"/>
        <v/>
      </c>
      <c r="R1069" s="317" t="str">
        <f t="shared" si="79"/>
        <v/>
      </c>
      <c r="S1069" s="317" t="str">
        <f t="shared" si="80"/>
        <v/>
      </c>
      <c r="T1069" s="317" t="str">
        <f>GLOBAL_DER_FEV_2023!S1069</f>
        <v/>
      </c>
      <c r="W1069" s="582">
        <v>0</v>
      </c>
      <c r="X1069" s="580"/>
      <c r="Y1069" s="583">
        <f>IF(GLOBAL_DER_FEV_2023!W1069=0,0,IF(GLOBAL_DER_FEV_2023!W1069&gt;0,"c","b"))</f>
        <v>0</v>
      </c>
    </row>
    <row r="1070" spans="1:25" ht="34.5" hidden="1" thickBot="1" x14ac:dyDescent="0.25">
      <c r="A1070" s="317">
        <v>91895</v>
      </c>
      <c r="B1070" s="895">
        <v>91895</v>
      </c>
      <c r="C1070" s="896" t="s">
        <v>596</v>
      </c>
      <c r="D1070" s="906" t="s">
        <v>1000</v>
      </c>
      <c r="E1070" s="907">
        <f>GLOBAL_DER_FEV_2023!E1070</f>
        <v>0</v>
      </c>
      <c r="F1070" s="908">
        <f>GLOBAL_DER_FEV_2023!F1070</f>
        <v>0</v>
      </c>
      <c r="G1070" s="912">
        <f>GLOBAL_DER_FEV_2023!G1070</f>
        <v>0</v>
      </c>
      <c r="H1070" s="901">
        <f>GLOBAL_DER_FEV_2023!H1070</f>
        <v>20.96</v>
      </c>
      <c r="I1070" s="901">
        <f>GLOBAL_DER_FEV_2023!I1070</f>
        <v>20.96</v>
      </c>
      <c r="J1070" s="902">
        <f>GLOBAL_DER_FEV_2023!J1070</f>
        <v>25.17</v>
      </c>
      <c r="K1070" s="903" t="s">
        <v>1516</v>
      </c>
      <c r="L1070" s="1137"/>
      <c r="M1070" s="1138">
        <f t="shared" si="77"/>
        <v>0</v>
      </c>
      <c r="N1070" s="893">
        <f t="shared" si="81"/>
        <v>0</v>
      </c>
      <c r="O1070" s="905"/>
      <c r="Q1070" s="317" t="str">
        <f t="shared" si="78"/>
        <v/>
      </c>
      <c r="R1070" s="317" t="str">
        <f t="shared" si="79"/>
        <v/>
      </c>
      <c r="S1070" s="317" t="str">
        <f t="shared" si="80"/>
        <v/>
      </c>
      <c r="T1070" s="317" t="str">
        <f>GLOBAL_DER_FEV_2023!S1070</f>
        <v/>
      </c>
      <c r="W1070" s="582">
        <v>0</v>
      </c>
      <c r="X1070" s="580"/>
      <c r="Y1070" s="583">
        <f>IF(GLOBAL_DER_FEV_2023!W1070=0,0,IF(GLOBAL_DER_FEV_2023!W1070&gt;0,"c","b"))</f>
        <v>0</v>
      </c>
    </row>
    <row r="1071" spans="1:25" ht="34.5" hidden="1" thickBot="1" x14ac:dyDescent="0.25">
      <c r="A1071" s="317">
        <v>91907</v>
      </c>
      <c r="B1071" s="895">
        <v>91907</v>
      </c>
      <c r="C1071" s="896" t="s">
        <v>596</v>
      </c>
      <c r="D1071" s="906" t="s">
        <v>1001</v>
      </c>
      <c r="E1071" s="907">
        <f>GLOBAL_DER_FEV_2023!E1071</f>
        <v>0</v>
      </c>
      <c r="F1071" s="908">
        <f>GLOBAL_DER_FEV_2023!F1071</f>
        <v>0</v>
      </c>
      <c r="G1071" s="912">
        <f>GLOBAL_DER_FEV_2023!G1071</f>
        <v>0</v>
      </c>
      <c r="H1071" s="901">
        <f>GLOBAL_DER_FEV_2023!H1071</f>
        <v>23.49</v>
      </c>
      <c r="I1071" s="901">
        <f>GLOBAL_DER_FEV_2023!I1071</f>
        <v>23.49</v>
      </c>
      <c r="J1071" s="902">
        <f>GLOBAL_DER_FEV_2023!J1071</f>
        <v>28.2</v>
      </c>
      <c r="K1071" s="903" t="s">
        <v>1516</v>
      </c>
      <c r="L1071" s="1137"/>
      <c r="M1071" s="1138">
        <f t="shared" si="77"/>
        <v>0</v>
      </c>
      <c r="N1071" s="893">
        <f t="shared" si="81"/>
        <v>0</v>
      </c>
      <c r="O1071" s="905"/>
      <c r="Q1071" s="317" t="str">
        <f t="shared" si="78"/>
        <v/>
      </c>
      <c r="R1071" s="317" t="str">
        <f t="shared" si="79"/>
        <v/>
      </c>
      <c r="S1071" s="317" t="str">
        <f t="shared" si="80"/>
        <v/>
      </c>
      <c r="T1071" s="317" t="str">
        <f>GLOBAL_DER_FEV_2023!S1071</f>
        <v/>
      </c>
      <c r="W1071" s="582">
        <v>0</v>
      </c>
      <c r="X1071" s="580"/>
      <c r="Y1071" s="583">
        <f>IF(GLOBAL_DER_FEV_2023!W1071=0,0,IF(GLOBAL_DER_FEV_2023!W1071&gt;0,"c","b"))</f>
        <v>0</v>
      </c>
    </row>
    <row r="1072" spans="1:25" ht="34.5" hidden="1" thickBot="1" x14ac:dyDescent="0.25">
      <c r="A1072" s="317">
        <v>91919</v>
      </c>
      <c r="B1072" s="895">
        <v>91919</v>
      </c>
      <c r="C1072" s="896" t="s">
        <v>596</v>
      </c>
      <c r="D1072" s="906" t="s">
        <v>1002</v>
      </c>
      <c r="E1072" s="907">
        <f>GLOBAL_DER_FEV_2023!E1072</f>
        <v>0</v>
      </c>
      <c r="F1072" s="908">
        <f>GLOBAL_DER_FEV_2023!F1072</f>
        <v>0</v>
      </c>
      <c r="G1072" s="912">
        <f>GLOBAL_DER_FEV_2023!G1072</f>
        <v>0</v>
      </c>
      <c r="H1072" s="901">
        <f>GLOBAL_DER_FEV_2023!H1072</f>
        <v>24.8</v>
      </c>
      <c r="I1072" s="901">
        <f>GLOBAL_DER_FEV_2023!I1072</f>
        <v>24.8</v>
      </c>
      <c r="J1072" s="902">
        <f>GLOBAL_DER_FEV_2023!J1072</f>
        <v>29.78</v>
      </c>
      <c r="K1072" s="903" t="s">
        <v>1516</v>
      </c>
      <c r="L1072" s="1137"/>
      <c r="M1072" s="1138">
        <f t="shared" si="77"/>
        <v>0</v>
      </c>
      <c r="N1072" s="893">
        <f t="shared" si="81"/>
        <v>0</v>
      </c>
      <c r="O1072" s="905"/>
      <c r="Q1072" s="317" t="str">
        <f t="shared" si="78"/>
        <v/>
      </c>
      <c r="R1072" s="317" t="str">
        <f t="shared" si="79"/>
        <v/>
      </c>
      <c r="S1072" s="317" t="str">
        <f t="shared" si="80"/>
        <v/>
      </c>
      <c r="T1072" s="317" t="str">
        <f>GLOBAL_DER_FEV_2023!S1072</f>
        <v/>
      </c>
      <c r="W1072" s="582">
        <v>0</v>
      </c>
      <c r="X1072" s="580"/>
      <c r="Y1072" s="583">
        <f>IF(GLOBAL_DER_FEV_2023!W1072=0,0,IF(GLOBAL_DER_FEV_2023!W1072&gt;0,"c","b"))</f>
        <v>0</v>
      </c>
    </row>
    <row r="1073" spans="1:25" ht="34.5" hidden="1" thickBot="1" x14ac:dyDescent="0.25">
      <c r="A1073" s="317">
        <v>91904</v>
      </c>
      <c r="B1073" s="895">
        <v>91904</v>
      </c>
      <c r="C1073" s="896" t="s">
        <v>596</v>
      </c>
      <c r="D1073" s="906" t="s">
        <v>1003</v>
      </c>
      <c r="E1073" s="907">
        <f>GLOBAL_DER_FEV_2023!E1073</f>
        <v>0</v>
      </c>
      <c r="F1073" s="908">
        <f>GLOBAL_DER_FEV_2023!F1073</f>
        <v>0</v>
      </c>
      <c r="G1073" s="912">
        <f>GLOBAL_DER_FEV_2023!G1073</f>
        <v>0</v>
      </c>
      <c r="H1073" s="901">
        <f>GLOBAL_DER_FEV_2023!H1073</f>
        <v>18.559999999999999</v>
      </c>
      <c r="I1073" s="901">
        <f>GLOBAL_DER_FEV_2023!I1073</f>
        <v>18.559999999999999</v>
      </c>
      <c r="J1073" s="902">
        <f>GLOBAL_DER_FEV_2023!J1073</f>
        <v>22.28</v>
      </c>
      <c r="K1073" s="903" t="s">
        <v>1516</v>
      </c>
      <c r="L1073" s="1137"/>
      <c r="M1073" s="1138">
        <f t="shared" si="77"/>
        <v>0</v>
      </c>
      <c r="N1073" s="893">
        <f t="shared" si="81"/>
        <v>0</v>
      </c>
      <c r="O1073" s="905"/>
      <c r="Q1073" s="317" t="str">
        <f t="shared" si="78"/>
        <v/>
      </c>
      <c r="R1073" s="317" t="str">
        <f t="shared" si="79"/>
        <v/>
      </c>
      <c r="S1073" s="317" t="str">
        <f t="shared" si="80"/>
        <v/>
      </c>
      <c r="T1073" s="317" t="str">
        <f>GLOBAL_DER_FEV_2023!S1073</f>
        <v/>
      </c>
      <c r="W1073" s="582">
        <v>0</v>
      </c>
      <c r="X1073" s="580"/>
      <c r="Y1073" s="583">
        <f>IF(GLOBAL_DER_FEV_2023!W1073=0,0,IF(GLOBAL_DER_FEV_2023!W1073&gt;0,"c","b"))</f>
        <v>0</v>
      </c>
    </row>
    <row r="1074" spans="1:25" ht="34.5" hidden="1" thickBot="1" x14ac:dyDescent="0.25">
      <c r="A1074" s="317">
        <v>91905</v>
      </c>
      <c r="B1074" s="895">
        <v>91905</v>
      </c>
      <c r="C1074" s="896" t="s">
        <v>596</v>
      </c>
      <c r="D1074" s="906" t="s">
        <v>1004</v>
      </c>
      <c r="E1074" s="907">
        <f>GLOBAL_DER_FEV_2023!E1074</f>
        <v>0</v>
      </c>
      <c r="F1074" s="908">
        <f>GLOBAL_DER_FEV_2023!F1074</f>
        <v>0</v>
      </c>
      <c r="G1074" s="912">
        <f>GLOBAL_DER_FEV_2023!G1074</f>
        <v>0</v>
      </c>
      <c r="H1074" s="901">
        <f>GLOBAL_DER_FEV_2023!H1074</f>
        <v>20.75</v>
      </c>
      <c r="I1074" s="901">
        <f>GLOBAL_DER_FEV_2023!I1074</f>
        <v>20.75</v>
      </c>
      <c r="J1074" s="902">
        <f>GLOBAL_DER_FEV_2023!J1074</f>
        <v>24.91</v>
      </c>
      <c r="K1074" s="903" t="s">
        <v>1516</v>
      </c>
      <c r="L1074" s="1137"/>
      <c r="M1074" s="1138">
        <f t="shared" si="77"/>
        <v>0</v>
      </c>
      <c r="N1074" s="893">
        <f t="shared" si="81"/>
        <v>0</v>
      </c>
      <c r="O1074" s="905"/>
      <c r="Q1074" s="317" t="str">
        <f t="shared" si="78"/>
        <v/>
      </c>
      <c r="R1074" s="317" t="str">
        <f t="shared" si="79"/>
        <v/>
      </c>
      <c r="S1074" s="317" t="str">
        <f t="shared" si="80"/>
        <v/>
      </c>
      <c r="T1074" s="317" t="str">
        <f>GLOBAL_DER_FEV_2023!S1074</f>
        <v/>
      </c>
      <c r="W1074" s="582">
        <v>0</v>
      </c>
      <c r="X1074" s="580"/>
      <c r="Y1074" s="583">
        <f>IF(GLOBAL_DER_FEV_2023!W1074=0,0,IF(GLOBAL_DER_FEV_2023!W1074&gt;0,"c","b"))</f>
        <v>0</v>
      </c>
    </row>
    <row r="1075" spans="1:25" ht="34.5" hidden="1" thickBot="1" x14ac:dyDescent="0.25">
      <c r="A1075" s="317">
        <v>91908</v>
      </c>
      <c r="B1075" s="895">
        <v>91908</v>
      </c>
      <c r="C1075" s="896" t="s">
        <v>596</v>
      </c>
      <c r="D1075" s="906" t="s">
        <v>1005</v>
      </c>
      <c r="E1075" s="907">
        <f>GLOBAL_DER_FEV_2023!E1075</f>
        <v>0</v>
      </c>
      <c r="F1075" s="908">
        <f>GLOBAL_DER_FEV_2023!F1075</f>
        <v>0</v>
      </c>
      <c r="G1075" s="912">
        <f>GLOBAL_DER_FEV_2023!G1075</f>
        <v>0</v>
      </c>
      <c r="H1075" s="901">
        <f>GLOBAL_DER_FEV_2023!H1075</f>
        <v>24.84</v>
      </c>
      <c r="I1075" s="901">
        <f>GLOBAL_DER_FEV_2023!I1075</f>
        <v>24.84</v>
      </c>
      <c r="J1075" s="902">
        <f>GLOBAL_DER_FEV_2023!J1075</f>
        <v>29.83</v>
      </c>
      <c r="K1075" s="903" t="s">
        <v>1516</v>
      </c>
      <c r="L1075" s="1137"/>
      <c r="M1075" s="1138">
        <f t="shared" si="77"/>
        <v>0</v>
      </c>
      <c r="N1075" s="893">
        <f t="shared" si="81"/>
        <v>0</v>
      </c>
      <c r="O1075" s="905"/>
      <c r="Q1075" s="317" t="str">
        <f t="shared" si="78"/>
        <v/>
      </c>
      <c r="R1075" s="317" t="str">
        <f t="shared" si="79"/>
        <v/>
      </c>
      <c r="S1075" s="317" t="str">
        <f t="shared" si="80"/>
        <v/>
      </c>
      <c r="T1075" s="317" t="str">
        <f>GLOBAL_DER_FEV_2023!S1075</f>
        <v/>
      </c>
      <c r="W1075" s="582">
        <v>0</v>
      </c>
      <c r="X1075" s="580"/>
      <c r="Y1075" s="583">
        <f>IF(GLOBAL_DER_FEV_2023!W1075=0,0,IF(GLOBAL_DER_FEV_2023!W1075&gt;0,"c","b"))</f>
        <v>0</v>
      </c>
    </row>
    <row r="1076" spans="1:25" ht="34.5" hidden="1" thickBot="1" x14ac:dyDescent="0.25">
      <c r="A1076" s="317">
        <v>91910</v>
      </c>
      <c r="B1076" s="895">
        <v>91910</v>
      </c>
      <c r="C1076" s="896" t="s">
        <v>596</v>
      </c>
      <c r="D1076" s="906" t="s">
        <v>1006</v>
      </c>
      <c r="E1076" s="907">
        <f>GLOBAL_DER_FEV_2023!E1076</f>
        <v>0</v>
      </c>
      <c r="F1076" s="908">
        <f>GLOBAL_DER_FEV_2023!F1076</f>
        <v>0</v>
      </c>
      <c r="G1076" s="912">
        <f>GLOBAL_DER_FEV_2023!G1076</f>
        <v>0</v>
      </c>
      <c r="H1076" s="901">
        <f>GLOBAL_DER_FEV_2023!H1076</f>
        <v>27.76</v>
      </c>
      <c r="I1076" s="901">
        <f>GLOBAL_DER_FEV_2023!I1076</f>
        <v>27.76</v>
      </c>
      <c r="J1076" s="902">
        <f>GLOBAL_DER_FEV_2023!J1076</f>
        <v>33.33</v>
      </c>
      <c r="K1076" s="903" t="s">
        <v>1516</v>
      </c>
      <c r="L1076" s="1137"/>
      <c r="M1076" s="1138">
        <f t="shared" si="77"/>
        <v>0</v>
      </c>
      <c r="N1076" s="893">
        <f t="shared" si="81"/>
        <v>0</v>
      </c>
      <c r="O1076" s="905"/>
      <c r="Q1076" s="317" t="str">
        <f t="shared" si="78"/>
        <v/>
      </c>
      <c r="R1076" s="317" t="str">
        <f t="shared" si="79"/>
        <v/>
      </c>
      <c r="S1076" s="317" t="str">
        <f t="shared" si="80"/>
        <v/>
      </c>
      <c r="T1076" s="317" t="str">
        <f>GLOBAL_DER_FEV_2023!S1076</f>
        <v/>
      </c>
      <c r="W1076" s="582">
        <v>0</v>
      </c>
      <c r="X1076" s="580"/>
      <c r="Y1076" s="583">
        <f>IF(GLOBAL_DER_FEV_2023!W1076=0,0,IF(GLOBAL_DER_FEV_2023!W1076&gt;0,"c","b"))</f>
        <v>0</v>
      </c>
    </row>
    <row r="1077" spans="1:25" ht="34.5" hidden="1" thickBot="1" x14ac:dyDescent="0.25">
      <c r="A1077" s="317">
        <v>91911</v>
      </c>
      <c r="B1077" s="895">
        <v>91911</v>
      </c>
      <c r="C1077" s="896" t="s">
        <v>596</v>
      </c>
      <c r="D1077" s="906" t="s">
        <v>1007</v>
      </c>
      <c r="E1077" s="907">
        <f>GLOBAL_DER_FEV_2023!E1077</f>
        <v>0</v>
      </c>
      <c r="F1077" s="908">
        <f>GLOBAL_DER_FEV_2023!F1077</f>
        <v>0</v>
      </c>
      <c r="G1077" s="912">
        <f>GLOBAL_DER_FEV_2023!G1077</f>
        <v>0</v>
      </c>
      <c r="H1077" s="901">
        <f>GLOBAL_DER_FEV_2023!H1077</f>
        <v>16.600000000000001</v>
      </c>
      <c r="I1077" s="901">
        <f>GLOBAL_DER_FEV_2023!I1077</f>
        <v>16.600000000000001</v>
      </c>
      <c r="J1077" s="902">
        <f>GLOBAL_DER_FEV_2023!J1077</f>
        <v>19.93</v>
      </c>
      <c r="K1077" s="903" t="s">
        <v>1516</v>
      </c>
      <c r="L1077" s="1137"/>
      <c r="M1077" s="1138">
        <f t="shared" si="77"/>
        <v>0</v>
      </c>
      <c r="N1077" s="893">
        <f t="shared" si="81"/>
        <v>0</v>
      </c>
      <c r="O1077" s="905"/>
      <c r="Q1077" s="317" t="str">
        <f t="shared" si="78"/>
        <v/>
      </c>
      <c r="R1077" s="317" t="str">
        <f t="shared" si="79"/>
        <v/>
      </c>
      <c r="S1077" s="317" t="str">
        <f t="shared" si="80"/>
        <v/>
      </c>
      <c r="T1077" s="317" t="str">
        <f>GLOBAL_DER_FEV_2023!S1077</f>
        <v/>
      </c>
      <c r="W1077" s="582">
        <v>0</v>
      </c>
      <c r="X1077" s="580"/>
      <c r="Y1077" s="583">
        <f>IF(GLOBAL_DER_FEV_2023!W1077=0,0,IF(GLOBAL_DER_FEV_2023!W1077&gt;0,"c","b"))</f>
        <v>0</v>
      </c>
    </row>
    <row r="1078" spans="1:25" ht="34.5" hidden="1" thickBot="1" x14ac:dyDescent="0.25">
      <c r="A1078" s="317">
        <v>91913</v>
      </c>
      <c r="B1078" s="895">
        <v>91913</v>
      </c>
      <c r="C1078" s="896" t="s">
        <v>596</v>
      </c>
      <c r="D1078" s="906" t="s">
        <v>1008</v>
      </c>
      <c r="E1078" s="907">
        <f>GLOBAL_DER_FEV_2023!E1078</f>
        <v>0</v>
      </c>
      <c r="F1078" s="908">
        <f>GLOBAL_DER_FEV_2023!F1078</f>
        <v>0</v>
      </c>
      <c r="G1078" s="912">
        <f>GLOBAL_DER_FEV_2023!G1078</f>
        <v>0</v>
      </c>
      <c r="H1078" s="901">
        <f>GLOBAL_DER_FEV_2023!H1078</f>
        <v>16.2</v>
      </c>
      <c r="I1078" s="901">
        <f>GLOBAL_DER_FEV_2023!I1078</f>
        <v>16.2</v>
      </c>
      <c r="J1078" s="902">
        <f>GLOBAL_DER_FEV_2023!J1078</f>
        <v>19.45</v>
      </c>
      <c r="K1078" s="903" t="s">
        <v>1516</v>
      </c>
      <c r="L1078" s="1137"/>
      <c r="M1078" s="1138">
        <f t="shared" si="77"/>
        <v>0</v>
      </c>
      <c r="N1078" s="893">
        <f t="shared" si="81"/>
        <v>0</v>
      </c>
      <c r="O1078" s="905"/>
      <c r="Q1078" s="317" t="str">
        <f t="shared" si="78"/>
        <v/>
      </c>
      <c r="R1078" s="317" t="str">
        <f t="shared" si="79"/>
        <v/>
      </c>
      <c r="S1078" s="317" t="str">
        <f t="shared" si="80"/>
        <v/>
      </c>
      <c r="T1078" s="317" t="str">
        <f>GLOBAL_DER_FEV_2023!S1078</f>
        <v/>
      </c>
      <c r="W1078" s="582">
        <v>0</v>
      </c>
      <c r="X1078" s="580"/>
      <c r="Y1078" s="583">
        <f>IF(GLOBAL_DER_FEV_2023!W1078=0,0,IF(GLOBAL_DER_FEV_2023!W1078&gt;0,"c","b"))</f>
        <v>0</v>
      </c>
    </row>
    <row r="1079" spans="1:25" ht="34.5" hidden="1" thickBot="1" x14ac:dyDescent="0.25">
      <c r="A1079" s="317">
        <v>91914</v>
      </c>
      <c r="B1079" s="895">
        <v>91914</v>
      </c>
      <c r="C1079" s="896" t="s">
        <v>596</v>
      </c>
      <c r="D1079" s="906" t="s">
        <v>1009</v>
      </c>
      <c r="E1079" s="907">
        <f>GLOBAL_DER_FEV_2023!E1079</f>
        <v>0</v>
      </c>
      <c r="F1079" s="908">
        <f>GLOBAL_DER_FEV_2023!F1079</f>
        <v>0</v>
      </c>
      <c r="G1079" s="912">
        <f>GLOBAL_DER_FEV_2023!G1079</f>
        <v>0</v>
      </c>
      <c r="H1079" s="901">
        <f>GLOBAL_DER_FEV_2023!H1079</f>
        <v>18.09</v>
      </c>
      <c r="I1079" s="901">
        <f>GLOBAL_DER_FEV_2023!I1079</f>
        <v>18.09</v>
      </c>
      <c r="J1079" s="902">
        <f>GLOBAL_DER_FEV_2023!J1079</f>
        <v>21.72</v>
      </c>
      <c r="K1079" s="903" t="s">
        <v>1516</v>
      </c>
      <c r="L1079" s="1137"/>
      <c r="M1079" s="1138">
        <f t="shared" si="77"/>
        <v>0</v>
      </c>
      <c r="N1079" s="893">
        <f t="shared" si="81"/>
        <v>0</v>
      </c>
      <c r="O1079" s="905"/>
      <c r="Q1079" s="317" t="str">
        <f t="shared" si="78"/>
        <v/>
      </c>
      <c r="R1079" s="317" t="str">
        <f t="shared" si="79"/>
        <v/>
      </c>
      <c r="S1079" s="317" t="str">
        <f t="shared" si="80"/>
        <v/>
      </c>
      <c r="T1079" s="317" t="str">
        <f>GLOBAL_DER_FEV_2023!S1079</f>
        <v/>
      </c>
      <c r="W1079" s="582">
        <v>0</v>
      </c>
      <c r="X1079" s="580"/>
      <c r="Y1079" s="583">
        <f>IF(GLOBAL_DER_FEV_2023!W1079=0,0,IF(GLOBAL_DER_FEV_2023!W1079&gt;0,"c","b"))</f>
        <v>0</v>
      </c>
    </row>
    <row r="1080" spans="1:25" ht="34.5" hidden="1" thickBot="1" x14ac:dyDescent="0.25">
      <c r="A1080" s="317">
        <v>91916</v>
      </c>
      <c r="B1080" s="895">
        <v>91916</v>
      </c>
      <c r="C1080" s="896" t="s">
        <v>596</v>
      </c>
      <c r="D1080" s="906" t="s">
        <v>1010</v>
      </c>
      <c r="E1080" s="907">
        <f>GLOBAL_DER_FEV_2023!E1080</f>
        <v>0</v>
      </c>
      <c r="F1080" s="908">
        <f>GLOBAL_DER_FEV_2023!F1080</f>
        <v>0</v>
      </c>
      <c r="G1080" s="912">
        <f>GLOBAL_DER_FEV_2023!G1080</f>
        <v>0</v>
      </c>
      <c r="H1080" s="901">
        <f>GLOBAL_DER_FEV_2023!H1080</f>
        <v>20.78</v>
      </c>
      <c r="I1080" s="901">
        <f>GLOBAL_DER_FEV_2023!I1080</f>
        <v>20.78</v>
      </c>
      <c r="J1080" s="902">
        <f>GLOBAL_DER_FEV_2023!J1080</f>
        <v>24.95</v>
      </c>
      <c r="K1080" s="903" t="s">
        <v>1516</v>
      </c>
      <c r="L1080" s="1137"/>
      <c r="M1080" s="1138">
        <f t="shared" si="77"/>
        <v>0</v>
      </c>
      <c r="N1080" s="893">
        <f t="shared" si="81"/>
        <v>0</v>
      </c>
      <c r="O1080" s="905"/>
      <c r="Q1080" s="317" t="str">
        <f t="shared" si="78"/>
        <v/>
      </c>
      <c r="R1080" s="317" t="str">
        <f t="shared" si="79"/>
        <v/>
      </c>
      <c r="S1080" s="317" t="str">
        <f t="shared" si="80"/>
        <v/>
      </c>
      <c r="T1080" s="317" t="str">
        <f>GLOBAL_DER_FEV_2023!S1080</f>
        <v/>
      </c>
      <c r="W1080" s="582">
        <v>0</v>
      </c>
      <c r="X1080" s="580"/>
      <c r="Y1080" s="583">
        <f>IF(GLOBAL_DER_FEV_2023!W1080=0,0,IF(GLOBAL_DER_FEV_2023!W1080&gt;0,"c","b"))</f>
        <v>0</v>
      </c>
    </row>
    <row r="1081" spans="1:25" ht="34.5" hidden="1" thickBot="1" x14ac:dyDescent="0.25">
      <c r="A1081" s="317">
        <v>91917</v>
      </c>
      <c r="B1081" s="895">
        <v>91917</v>
      </c>
      <c r="C1081" s="896" t="s">
        <v>596</v>
      </c>
      <c r="D1081" s="906" t="s">
        <v>1011</v>
      </c>
      <c r="E1081" s="907">
        <f>GLOBAL_DER_FEV_2023!E1081</f>
        <v>0</v>
      </c>
      <c r="F1081" s="908">
        <f>GLOBAL_DER_FEV_2023!F1081</f>
        <v>0</v>
      </c>
      <c r="G1081" s="912">
        <f>GLOBAL_DER_FEV_2023!G1081</f>
        <v>0</v>
      </c>
      <c r="H1081" s="901">
        <f>GLOBAL_DER_FEV_2023!H1081</f>
        <v>22.06</v>
      </c>
      <c r="I1081" s="901">
        <f>GLOBAL_DER_FEV_2023!I1081</f>
        <v>22.06</v>
      </c>
      <c r="J1081" s="902">
        <f>GLOBAL_DER_FEV_2023!J1081</f>
        <v>26.49</v>
      </c>
      <c r="K1081" s="903" t="s">
        <v>1516</v>
      </c>
      <c r="L1081" s="1137"/>
      <c r="M1081" s="1138">
        <f t="shared" si="77"/>
        <v>0</v>
      </c>
      <c r="N1081" s="893">
        <f t="shared" si="81"/>
        <v>0</v>
      </c>
      <c r="O1081" s="905"/>
      <c r="Q1081" s="317" t="str">
        <f t="shared" si="78"/>
        <v/>
      </c>
      <c r="R1081" s="317" t="str">
        <f t="shared" si="79"/>
        <v/>
      </c>
      <c r="S1081" s="317" t="str">
        <f t="shared" si="80"/>
        <v/>
      </c>
      <c r="T1081" s="317" t="str">
        <f>GLOBAL_DER_FEV_2023!S1081</f>
        <v/>
      </c>
      <c r="W1081" s="582">
        <v>0</v>
      </c>
      <c r="X1081" s="580"/>
      <c r="Y1081" s="583">
        <f>IF(GLOBAL_DER_FEV_2023!W1081=0,0,IF(GLOBAL_DER_FEV_2023!W1081&gt;0,"c","b"))</f>
        <v>0</v>
      </c>
    </row>
    <row r="1082" spans="1:25" ht="34.5" hidden="1" thickBot="1" x14ac:dyDescent="0.25">
      <c r="A1082" s="317">
        <v>91920</v>
      </c>
      <c r="B1082" s="895">
        <v>91920</v>
      </c>
      <c r="C1082" s="896" t="s">
        <v>596</v>
      </c>
      <c r="D1082" s="906" t="s">
        <v>1012</v>
      </c>
      <c r="E1082" s="907">
        <f>GLOBAL_DER_FEV_2023!E1082</f>
        <v>0</v>
      </c>
      <c r="F1082" s="908">
        <f>GLOBAL_DER_FEV_2023!F1082</f>
        <v>0</v>
      </c>
      <c r="G1082" s="912">
        <f>GLOBAL_DER_FEV_2023!G1082</f>
        <v>0</v>
      </c>
      <c r="H1082" s="901">
        <f>GLOBAL_DER_FEV_2023!H1082</f>
        <v>25.15</v>
      </c>
      <c r="I1082" s="901">
        <f>GLOBAL_DER_FEV_2023!I1082</f>
        <v>25.15</v>
      </c>
      <c r="J1082" s="902">
        <f>GLOBAL_DER_FEV_2023!J1082</f>
        <v>30.2</v>
      </c>
      <c r="K1082" s="903" t="s">
        <v>1516</v>
      </c>
      <c r="L1082" s="1137"/>
      <c r="M1082" s="1138">
        <f t="shared" si="77"/>
        <v>0</v>
      </c>
      <c r="N1082" s="893">
        <f t="shared" si="81"/>
        <v>0</v>
      </c>
      <c r="O1082" s="905"/>
      <c r="Q1082" s="317" t="str">
        <f t="shared" si="78"/>
        <v/>
      </c>
      <c r="R1082" s="317" t="str">
        <f t="shared" si="79"/>
        <v/>
      </c>
      <c r="S1082" s="317" t="str">
        <f t="shared" si="80"/>
        <v/>
      </c>
      <c r="T1082" s="317" t="str">
        <f>GLOBAL_DER_FEV_2023!S1082</f>
        <v/>
      </c>
      <c r="W1082" s="582">
        <v>0</v>
      </c>
      <c r="X1082" s="580"/>
      <c r="Y1082" s="583">
        <f>IF(GLOBAL_DER_FEV_2023!W1082=0,0,IF(GLOBAL_DER_FEV_2023!W1082&gt;0,"c","b"))</f>
        <v>0</v>
      </c>
    </row>
    <row r="1083" spans="1:25" ht="34.5" hidden="1" thickBot="1" x14ac:dyDescent="0.25">
      <c r="A1083" s="317">
        <v>91922</v>
      </c>
      <c r="B1083" s="895">
        <v>91922</v>
      </c>
      <c r="C1083" s="896" t="s">
        <v>596</v>
      </c>
      <c r="D1083" s="906" t="s">
        <v>1013</v>
      </c>
      <c r="E1083" s="907">
        <f>GLOBAL_DER_FEV_2023!E1083</f>
        <v>0</v>
      </c>
      <c r="F1083" s="908">
        <f>GLOBAL_DER_FEV_2023!F1083</f>
        <v>0</v>
      </c>
      <c r="G1083" s="912">
        <f>GLOBAL_DER_FEV_2023!G1083</f>
        <v>0</v>
      </c>
      <c r="H1083" s="901">
        <f>GLOBAL_DER_FEV_2023!H1083</f>
        <v>28.07</v>
      </c>
      <c r="I1083" s="901">
        <f>GLOBAL_DER_FEV_2023!I1083</f>
        <v>28.07</v>
      </c>
      <c r="J1083" s="902">
        <f>GLOBAL_DER_FEV_2023!J1083</f>
        <v>33.700000000000003</v>
      </c>
      <c r="K1083" s="903" t="s">
        <v>1516</v>
      </c>
      <c r="L1083" s="1137"/>
      <c r="M1083" s="1138">
        <f t="shared" si="77"/>
        <v>0</v>
      </c>
      <c r="N1083" s="893">
        <f t="shared" si="81"/>
        <v>0</v>
      </c>
      <c r="O1083" s="905"/>
      <c r="Q1083" s="317" t="str">
        <f t="shared" si="78"/>
        <v/>
      </c>
      <c r="R1083" s="317" t="str">
        <f t="shared" si="79"/>
        <v/>
      </c>
      <c r="S1083" s="317" t="str">
        <f t="shared" si="80"/>
        <v/>
      </c>
      <c r="T1083" s="317" t="str">
        <f>GLOBAL_DER_FEV_2023!S1083</f>
        <v/>
      </c>
      <c r="W1083" s="582">
        <v>0</v>
      </c>
      <c r="X1083" s="580"/>
      <c r="Y1083" s="583">
        <f>IF(GLOBAL_DER_FEV_2023!W1083=0,0,IF(GLOBAL_DER_FEV_2023!W1083&gt;0,"c","b"))</f>
        <v>0</v>
      </c>
    </row>
    <row r="1084" spans="1:25" ht="23.25" hidden="1" thickBot="1" x14ac:dyDescent="0.25">
      <c r="A1084" s="317">
        <v>93013</v>
      </c>
      <c r="B1084" s="895">
        <v>93013</v>
      </c>
      <c r="C1084" s="896" t="s">
        <v>596</v>
      </c>
      <c r="D1084" s="906" t="s">
        <v>1014</v>
      </c>
      <c r="E1084" s="907">
        <f>GLOBAL_DER_FEV_2023!E1084</f>
        <v>0</v>
      </c>
      <c r="F1084" s="908">
        <f>GLOBAL_DER_FEV_2023!F1084</f>
        <v>0</v>
      </c>
      <c r="G1084" s="912">
        <f>GLOBAL_DER_FEV_2023!G1084</f>
        <v>0</v>
      </c>
      <c r="H1084" s="901">
        <f>GLOBAL_DER_FEV_2023!H1084</f>
        <v>18.309999999999999</v>
      </c>
      <c r="I1084" s="901">
        <f>GLOBAL_DER_FEV_2023!I1084</f>
        <v>18.309999999999999</v>
      </c>
      <c r="J1084" s="902">
        <f>GLOBAL_DER_FEV_2023!J1084</f>
        <v>21.98</v>
      </c>
      <c r="K1084" s="903" t="s">
        <v>1516</v>
      </c>
      <c r="L1084" s="1137"/>
      <c r="M1084" s="1138">
        <f t="shared" si="77"/>
        <v>0</v>
      </c>
      <c r="N1084" s="893">
        <f t="shared" si="81"/>
        <v>0</v>
      </c>
      <c r="O1084" s="905"/>
      <c r="Q1084" s="317" t="str">
        <f t="shared" si="78"/>
        <v/>
      </c>
      <c r="R1084" s="317" t="str">
        <f t="shared" si="79"/>
        <v/>
      </c>
      <c r="S1084" s="317" t="str">
        <f t="shared" si="80"/>
        <v/>
      </c>
      <c r="T1084" s="317" t="str">
        <f>GLOBAL_DER_FEV_2023!S1084</f>
        <v/>
      </c>
      <c r="W1084" s="582">
        <v>0</v>
      </c>
      <c r="X1084" s="580"/>
      <c r="Y1084" s="583">
        <f>IF(GLOBAL_DER_FEV_2023!W1084=0,0,IF(GLOBAL_DER_FEV_2023!W1084&gt;0,"c","b"))</f>
        <v>0</v>
      </c>
    </row>
    <row r="1085" spans="1:25" ht="23.25" hidden="1" thickBot="1" x14ac:dyDescent="0.25">
      <c r="A1085" s="317">
        <v>93014</v>
      </c>
      <c r="B1085" s="895">
        <v>93014</v>
      </c>
      <c r="C1085" s="896" t="s">
        <v>596</v>
      </c>
      <c r="D1085" s="906" t="s">
        <v>1015</v>
      </c>
      <c r="E1085" s="907">
        <f>GLOBAL_DER_FEV_2023!E1085</f>
        <v>0</v>
      </c>
      <c r="F1085" s="908">
        <f>GLOBAL_DER_FEV_2023!F1085</f>
        <v>0</v>
      </c>
      <c r="G1085" s="912">
        <f>GLOBAL_DER_FEV_2023!G1085</f>
        <v>0</v>
      </c>
      <c r="H1085" s="901">
        <f>GLOBAL_DER_FEV_2023!H1085</f>
        <v>22.49</v>
      </c>
      <c r="I1085" s="901">
        <f>GLOBAL_DER_FEV_2023!I1085</f>
        <v>22.49</v>
      </c>
      <c r="J1085" s="902">
        <f>GLOBAL_DER_FEV_2023!J1085</f>
        <v>27</v>
      </c>
      <c r="K1085" s="903" t="s">
        <v>1516</v>
      </c>
      <c r="L1085" s="1137"/>
      <c r="M1085" s="1138">
        <f t="shared" si="77"/>
        <v>0</v>
      </c>
      <c r="N1085" s="893">
        <f t="shared" si="81"/>
        <v>0</v>
      </c>
      <c r="O1085" s="905"/>
      <c r="Q1085" s="317" t="str">
        <f t="shared" si="78"/>
        <v/>
      </c>
      <c r="R1085" s="317" t="str">
        <f t="shared" si="79"/>
        <v/>
      </c>
      <c r="S1085" s="317" t="str">
        <f t="shared" si="80"/>
        <v/>
      </c>
      <c r="T1085" s="317" t="str">
        <f>GLOBAL_DER_FEV_2023!S1085</f>
        <v/>
      </c>
      <c r="W1085" s="582">
        <v>0</v>
      </c>
      <c r="X1085" s="580"/>
      <c r="Y1085" s="583">
        <f>IF(GLOBAL_DER_FEV_2023!W1085=0,0,IF(GLOBAL_DER_FEV_2023!W1085&gt;0,"c","b"))</f>
        <v>0</v>
      </c>
    </row>
    <row r="1086" spans="1:25" ht="23.25" hidden="1" thickBot="1" x14ac:dyDescent="0.25">
      <c r="A1086" s="317">
        <v>93015</v>
      </c>
      <c r="B1086" s="895">
        <v>93015</v>
      </c>
      <c r="C1086" s="896" t="s">
        <v>596</v>
      </c>
      <c r="D1086" s="906" t="s">
        <v>1016</v>
      </c>
      <c r="E1086" s="907">
        <f>GLOBAL_DER_FEV_2023!E1086</f>
        <v>0</v>
      </c>
      <c r="F1086" s="908">
        <f>GLOBAL_DER_FEV_2023!F1086</f>
        <v>0</v>
      </c>
      <c r="G1086" s="912">
        <f>GLOBAL_DER_FEV_2023!G1086</f>
        <v>0</v>
      </c>
      <c r="H1086" s="901">
        <f>GLOBAL_DER_FEV_2023!H1086</f>
        <v>34.130000000000003</v>
      </c>
      <c r="I1086" s="901">
        <f>GLOBAL_DER_FEV_2023!I1086</f>
        <v>34.130000000000003</v>
      </c>
      <c r="J1086" s="902">
        <f>GLOBAL_DER_FEV_2023!J1086</f>
        <v>40.98</v>
      </c>
      <c r="K1086" s="903" t="s">
        <v>1516</v>
      </c>
      <c r="L1086" s="1137"/>
      <c r="M1086" s="1138">
        <f t="shared" si="77"/>
        <v>0</v>
      </c>
      <c r="N1086" s="893">
        <f t="shared" si="81"/>
        <v>0</v>
      </c>
      <c r="O1086" s="905"/>
      <c r="Q1086" s="317" t="str">
        <f t="shared" si="78"/>
        <v/>
      </c>
      <c r="R1086" s="317" t="str">
        <f t="shared" si="79"/>
        <v/>
      </c>
      <c r="S1086" s="317" t="str">
        <f t="shared" si="80"/>
        <v/>
      </c>
      <c r="T1086" s="317" t="str">
        <f>GLOBAL_DER_FEV_2023!S1086</f>
        <v/>
      </c>
      <c r="W1086" s="582">
        <v>0</v>
      </c>
      <c r="X1086" s="580"/>
      <c r="Y1086" s="583">
        <f>IF(GLOBAL_DER_FEV_2023!W1086=0,0,IF(GLOBAL_DER_FEV_2023!W1086&gt;0,"c","b"))</f>
        <v>0</v>
      </c>
    </row>
    <row r="1087" spans="1:25" ht="23.25" hidden="1" thickBot="1" x14ac:dyDescent="0.25">
      <c r="A1087" s="317">
        <v>93016</v>
      </c>
      <c r="B1087" s="895">
        <v>93016</v>
      </c>
      <c r="C1087" s="896" t="s">
        <v>596</v>
      </c>
      <c r="D1087" s="906" t="s">
        <v>1017</v>
      </c>
      <c r="E1087" s="907">
        <f>GLOBAL_DER_FEV_2023!E1087</f>
        <v>0</v>
      </c>
      <c r="F1087" s="908">
        <f>GLOBAL_DER_FEV_2023!F1087</f>
        <v>0</v>
      </c>
      <c r="G1087" s="912">
        <f>GLOBAL_DER_FEV_2023!G1087</f>
        <v>0</v>
      </c>
      <c r="H1087" s="901">
        <f>GLOBAL_DER_FEV_2023!H1087</f>
        <v>41.5</v>
      </c>
      <c r="I1087" s="901">
        <f>GLOBAL_DER_FEV_2023!I1087</f>
        <v>41.5</v>
      </c>
      <c r="J1087" s="902">
        <f>GLOBAL_DER_FEV_2023!J1087</f>
        <v>49.83</v>
      </c>
      <c r="K1087" s="903" t="s">
        <v>1516</v>
      </c>
      <c r="L1087" s="1137"/>
      <c r="M1087" s="1138">
        <f t="shared" si="77"/>
        <v>0</v>
      </c>
      <c r="N1087" s="893">
        <f t="shared" si="81"/>
        <v>0</v>
      </c>
      <c r="O1087" s="905"/>
      <c r="Q1087" s="317" t="str">
        <f t="shared" si="78"/>
        <v/>
      </c>
      <c r="R1087" s="317" t="str">
        <f t="shared" si="79"/>
        <v/>
      </c>
      <c r="S1087" s="317" t="str">
        <f t="shared" si="80"/>
        <v/>
      </c>
      <c r="T1087" s="317" t="str">
        <f>GLOBAL_DER_FEV_2023!S1087</f>
        <v/>
      </c>
      <c r="W1087" s="582">
        <v>0</v>
      </c>
      <c r="X1087" s="580"/>
      <c r="Y1087" s="583">
        <f>IF(GLOBAL_DER_FEV_2023!W1087=0,0,IF(GLOBAL_DER_FEV_2023!W1087&gt;0,"c","b"))</f>
        <v>0</v>
      </c>
    </row>
    <row r="1088" spans="1:25" ht="23.25" hidden="1" thickBot="1" x14ac:dyDescent="0.25">
      <c r="A1088" s="317">
        <v>93017</v>
      </c>
      <c r="B1088" s="895">
        <v>93017</v>
      </c>
      <c r="C1088" s="896" t="s">
        <v>596</v>
      </c>
      <c r="D1088" s="906" t="s">
        <v>1018</v>
      </c>
      <c r="E1088" s="907">
        <f>GLOBAL_DER_FEV_2023!E1088</f>
        <v>0</v>
      </c>
      <c r="F1088" s="908">
        <f>GLOBAL_DER_FEV_2023!F1088</f>
        <v>0</v>
      </c>
      <c r="G1088" s="912">
        <f>GLOBAL_DER_FEV_2023!G1088</f>
        <v>0</v>
      </c>
      <c r="H1088" s="901">
        <f>GLOBAL_DER_FEV_2023!H1088</f>
        <v>62.43</v>
      </c>
      <c r="I1088" s="901">
        <f>GLOBAL_DER_FEV_2023!I1088</f>
        <v>62.43</v>
      </c>
      <c r="J1088" s="902">
        <f>GLOBAL_DER_FEV_2023!J1088</f>
        <v>74.959999999999994</v>
      </c>
      <c r="K1088" s="903" t="s">
        <v>1516</v>
      </c>
      <c r="L1088" s="1137"/>
      <c r="M1088" s="1138">
        <f t="shared" si="77"/>
        <v>0</v>
      </c>
      <c r="N1088" s="893">
        <f t="shared" si="81"/>
        <v>0</v>
      </c>
      <c r="O1088" s="905"/>
      <c r="Q1088" s="317" t="str">
        <f t="shared" si="78"/>
        <v/>
      </c>
      <c r="R1088" s="317" t="str">
        <f t="shared" si="79"/>
        <v/>
      </c>
      <c r="S1088" s="317" t="str">
        <f t="shared" si="80"/>
        <v/>
      </c>
      <c r="T1088" s="317" t="str">
        <f>GLOBAL_DER_FEV_2023!S1088</f>
        <v/>
      </c>
      <c r="W1088" s="582">
        <v>0</v>
      </c>
      <c r="X1088" s="580"/>
      <c r="Y1088" s="583">
        <f>IF(GLOBAL_DER_FEV_2023!W1088=0,0,IF(GLOBAL_DER_FEV_2023!W1088&gt;0,"c","b"))</f>
        <v>0</v>
      </c>
    </row>
    <row r="1089" spans="1:25" ht="23.25" hidden="1" thickBot="1" x14ac:dyDescent="0.25">
      <c r="A1089" s="317">
        <v>93018</v>
      </c>
      <c r="B1089" s="895">
        <v>93018</v>
      </c>
      <c r="C1089" s="896" t="s">
        <v>596</v>
      </c>
      <c r="D1089" s="906" t="s">
        <v>1019</v>
      </c>
      <c r="E1089" s="907">
        <f>GLOBAL_DER_FEV_2023!E1089</f>
        <v>0</v>
      </c>
      <c r="F1089" s="908">
        <f>GLOBAL_DER_FEV_2023!F1089</f>
        <v>0</v>
      </c>
      <c r="G1089" s="912">
        <f>GLOBAL_DER_FEV_2023!G1089</f>
        <v>0</v>
      </c>
      <c r="H1089" s="901">
        <f>GLOBAL_DER_FEV_2023!H1089</f>
        <v>27.96</v>
      </c>
      <c r="I1089" s="901">
        <f>GLOBAL_DER_FEV_2023!I1089</f>
        <v>27.96</v>
      </c>
      <c r="J1089" s="902">
        <f>GLOBAL_DER_FEV_2023!J1089</f>
        <v>33.57</v>
      </c>
      <c r="K1089" s="903" t="s">
        <v>1516</v>
      </c>
      <c r="L1089" s="1137"/>
      <c r="M1089" s="1138">
        <f t="shared" si="77"/>
        <v>0</v>
      </c>
      <c r="N1089" s="893">
        <f t="shared" si="81"/>
        <v>0</v>
      </c>
      <c r="O1089" s="905"/>
      <c r="Q1089" s="317" t="str">
        <f t="shared" si="78"/>
        <v/>
      </c>
      <c r="R1089" s="317" t="str">
        <f t="shared" si="79"/>
        <v/>
      </c>
      <c r="S1089" s="317" t="str">
        <f t="shared" si="80"/>
        <v/>
      </c>
      <c r="T1089" s="317" t="str">
        <f>GLOBAL_DER_FEV_2023!S1089</f>
        <v/>
      </c>
      <c r="W1089" s="582">
        <v>0</v>
      </c>
      <c r="X1089" s="580"/>
      <c r="Y1089" s="583">
        <f>IF(GLOBAL_DER_FEV_2023!W1089=0,0,IF(GLOBAL_DER_FEV_2023!W1089&gt;0,"c","b"))</f>
        <v>0</v>
      </c>
    </row>
    <row r="1090" spans="1:25" ht="23.25" hidden="1" thickBot="1" x14ac:dyDescent="0.25">
      <c r="A1090" s="317">
        <v>93020</v>
      </c>
      <c r="B1090" s="895">
        <v>93020</v>
      </c>
      <c r="C1090" s="896" t="s">
        <v>596</v>
      </c>
      <c r="D1090" s="906" t="s">
        <v>1020</v>
      </c>
      <c r="E1090" s="907">
        <f>GLOBAL_DER_FEV_2023!E1090</f>
        <v>0</v>
      </c>
      <c r="F1090" s="908">
        <f>GLOBAL_DER_FEV_2023!F1090</f>
        <v>0</v>
      </c>
      <c r="G1090" s="912">
        <f>GLOBAL_DER_FEV_2023!G1090</f>
        <v>0</v>
      </c>
      <c r="H1090" s="901">
        <f>GLOBAL_DER_FEV_2023!H1090</f>
        <v>35.840000000000003</v>
      </c>
      <c r="I1090" s="901">
        <f>GLOBAL_DER_FEV_2023!I1090</f>
        <v>35.840000000000003</v>
      </c>
      <c r="J1090" s="902">
        <f>GLOBAL_DER_FEV_2023!J1090</f>
        <v>43.03</v>
      </c>
      <c r="K1090" s="903" t="s">
        <v>1516</v>
      </c>
      <c r="L1090" s="1137"/>
      <c r="M1090" s="1138">
        <f t="shared" si="77"/>
        <v>0</v>
      </c>
      <c r="N1090" s="893">
        <f t="shared" si="81"/>
        <v>0</v>
      </c>
      <c r="O1090" s="905"/>
      <c r="Q1090" s="317" t="str">
        <f t="shared" si="78"/>
        <v/>
      </c>
      <c r="R1090" s="317" t="str">
        <f t="shared" si="79"/>
        <v/>
      </c>
      <c r="S1090" s="317" t="str">
        <f t="shared" si="80"/>
        <v/>
      </c>
      <c r="T1090" s="317" t="str">
        <f>GLOBAL_DER_FEV_2023!S1090</f>
        <v/>
      </c>
      <c r="W1090" s="582">
        <v>0</v>
      </c>
      <c r="X1090" s="580"/>
      <c r="Y1090" s="583">
        <f>IF(GLOBAL_DER_FEV_2023!W1090=0,0,IF(GLOBAL_DER_FEV_2023!W1090&gt;0,"c","b"))</f>
        <v>0</v>
      </c>
    </row>
    <row r="1091" spans="1:25" ht="23.25" hidden="1" thickBot="1" x14ac:dyDescent="0.25">
      <c r="A1091" s="317">
        <v>93022</v>
      </c>
      <c r="B1091" s="895">
        <v>93022</v>
      </c>
      <c r="C1091" s="896" t="s">
        <v>596</v>
      </c>
      <c r="D1091" s="906" t="s">
        <v>1021</v>
      </c>
      <c r="E1091" s="907">
        <f>GLOBAL_DER_FEV_2023!E1091</f>
        <v>0</v>
      </c>
      <c r="F1091" s="908">
        <f>GLOBAL_DER_FEV_2023!F1091</f>
        <v>0</v>
      </c>
      <c r="G1091" s="912">
        <f>GLOBAL_DER_FEV_2023!G1091</f>
        <v>0</v>
      </c>
      <c r="H1091" s="901">
        <f>GLOBAL_DER_FEV_2023!H1091</f>
        <v>60</v>
      </c>
      <c r="I1091" s="901">
        <f>GLOBAL_DER_FEV_2023!I1091</f>
        <v>60</v>
      </c>
      <c r="J1091" s="902">
        <f>GLOBAL_DER_FEV_2023!J1091</f>
        <v>72.040000000000006</v>
      </c>
      <c r="K1091" s="903" t="s">
        <v>1516</v>
      </c>
      <c r="L1091" s="1137"/>
      <c r="M1091" s="1138">
        <f t="shared" si="77"/>
        <v>0</v>
      </c>
      <c r="N1091" s="893">
        <f t="shared" si="81"/>
        <v>0</v>
      </c>
      <c r="O1091" s="905"/>
      <c r="Q1091" s="317" t="str">
        <f t="shared" si="78"/>
        <v/>
      </c>
      <c r="R1091" s="317" t="str">
        <f t="shared" si="79"/>
        <v/>
      </c>
      <c r="S1091" s="317" t="str">
        <f t="shared" si="80"/>
        <v/>
      </c>
      <c r="T1091" s="317" t="str">
        <f>GLOBAL_DER_FEV_2023!S1091</f>
        <v/>
      </c>
      <c r="W1091" s="582">
        <v>0</v>
      </c>
      <c r="X1091" s="580"/>
      <c r="Y1091" s="583">
        <f>IF(GLOBAL_DER_FEV_2023!W1091=0,0,IF(GLOBAL_DER_FEV_2023!W1091&gt;0,"c","b"))</f>
        <v>0</v>
      </c>
    </row>
    <row r="1092" spans="1:25" ht="23.25" hidden="1" thickBot="1" x14ac:dyDescent="0.25">
      <c r="A1092" s="317">
        <v>93024</v>
      </c>
      <c r="B1092" s="895">
        <v>93024</v>
      </c>
      <c r="C1092" s="896" t="s">
        <v>596</v>
      </c>
      <c r="D1092" s="906" t="s">
        <v>1022</v>
      </c>
      <c r="E1092" s="907">
        <f>GLOBAL_DER_FEV_2023!E1092</f>
        <v>0</v>
      </c>
      <c r="F1092" s="908">
        <f>GLOBAL_DER_FEV_2023!F1092</f>
        <v>0</v>
      </c>
      <c r="G1092" s="912">
        <f>GLOBAL_DER_FEV_2023!G1092</f>
        <v>0</v>
      </c>
      <c r="H1092" s="901">
        <f>GLOBAL_DER_FEV_2023!H1092</f>
        <v>63.08</v>
      </c>
      <c r="I1092" s="901">
        <f>GLOBAL_DER_FEV_2023!I1092</f>
        <v>63.08</v>
      </c>
      <c r="J1092" s="902">
        <f>GLOBAL_DER_FEV_2023!J1092</f>
        <v>75.739999999999995</v>
      </c>
      <c r="K1092" s="903" t="s">
        <v>1516</v>
      </c>
      <c r="L1092" s="1137"/>
      <c r="M1092" s="1138">
        <f t="shared" si="77"/>
        <v>0</v>
      </c>
      <c r="N1092" s="893">
        <f t="shared" si="81"/>
        <v>0</v>
      </c>
      <c r="O1092" s="905"/>
      <c r="Q1092" s="317" t="str">
        <f t="shared" si="78"/>
        <v/>
      </c>
      <c r="R1092" s="317" t="str">
        <f t="shared" si="79"/>
        <v/>
      </c>
      <c r="S1092" s="317" t="str">
        <f t="shared" si="80"/>
        <v/>
      </c>
      <c r="T1092" s="317" t="str">
        <f>GLOBAL_DER_FEV_2023!S1092</f>
        <v/>
      </c>
      <c r="W1092" s="582">
        <v>0</v>
      </c>
      <c r="X1092" s="580"/>
      <c r="Y1092" s="583">
        <f>IF(GLOBAL_DER_FEV_2023!W1092=0,0,IF(GLOBAL_DER_FEV_2023!W1092&gt;0,"c","b"))</f>
        <v>0</v>
      </c>
    </row>
    <row r="1093" spans="1:25" ht="23.25" hidden="1" thickBot="1" x14ac:dyDescent="0.25">
      <c r="A1093" s="317">
        <v>93026</v>
      </c>
      <c r="B1093" s="895">
        <v>93026</v>
      </c>
      <c r="C1093" s="896" t="s">
        <v>596</v>
      </c>
      <c r="D1093" s="906" t="s">
        <v>1023</v>
      </c>
      <c r="E1093" s="907">
        <f>GLOBAL_DER_FEV_2023!E1093</f>
        <v>0</v>
      </c>
      <c r="F1093" s="908">
        <f>GLOBAL_DER_FEV_2023!F1093</f>
        <v>0</v>
      </c>
      <c r="G1093" s="912">
        <f>GLOBAL_DER_FEV_2023!G1093</f>
        <v>0</v>
      </c>
      <c r="H1093" s="901">
        <f>GLOBAL_DER_FEV_2023!H1093</f>
        <v>103.23</v>
      </c>
      <c r="I1093" s="901">
        <f>GLOBAL_DER_FEV_2023!I1093</f>
        <v>103.23</v>
      </c>
      <c r="J1093" s="902">
        <f>GLOBAL_DER_FEV_2023!J1093</f>
        <v>123.95</v>
      </c>
      <c r="K1093" s="903" t="s">
        <v>1516</v>
      </c>
      <c r="L1093" s="1137"/>
      <c r="M1093" s="1138">
        <f t="shared" si="77"/>
        <v>0</v>
      </c>
      <c r="N1093" s="893">
        <f t="shared" si="81"/>
        <v>0</v>
      </c>
      <c r="O1093" s="905"/>
      <c r="Q1093" s="317" t="str">
        <f t="shared" si="78"/>
        <v/>
      </c>
      <c r="R1093" s="317" t="str">
        <f t="shared" si="79"/>
        <v/>
      </c>
      <c r="S1093" s="317" t="str">
        <f t="shared" si="80"/>
        <v/>
      </c>
      <c r="T1093" s="317" t="str">
        <f>GLOBAL_DER_FEV_2023!S1093</f>
        <v/>
      </c>
      <c r="W1093" s="582">
        <v>0</v>
      </c>
      <c r="X1093" s="580"/>
      <c r="Y1093" s="583">
        <f>IF(GLOBAL_DER_FEV_2023!W1093=0,0,IF(GLOBAL_DER_FEV_2023!W1093&gt;0,"c","b"))</f>
        <v>0</v>
      </c>
    </row>
    <row r="1094" spans="1:25" ht="34.5" hidden="1" thickBot="1" x14ac:dyDescent="0.25">
      <c r="A1094" s="317">
        <v>97559</v>
      </c>
      <c r="B1094" s="895">
        <v>97559</v>
      </c>
      <c r="C1094" s="896" t="s">
        <v>596</v>
      </c>
      <c r="D1094" s="906" t="s">
        <v>1024</v>
      </c>
      <c r="E1094" s="907">
        <f>GLOBAL_DER_FEV_2023!E1094</f>
        <v>0</v>
      </c>
      <c r="F1094" s="908">
        <f>GLOBAL_DER_FEV_2023!F1094</f>
        <v>0</v>
      </c>
      <c r="G1094" s="912">
        <f>GLOBAL_DER_FEV_2023!G1094</f>
        <v>0</v>
      </c>
      <c r="H1094" s="901">
        <f>GLOBAL_DER_FEV_2023!H1094</f>
        <v>13.05</v>
      </c>
      <c r="I1094" s="901">
        <f>GLOBAL_DER_FEV_2023!I1094</f>
        <v>13.05</v>
      </c>
      <c r="J1094" s="902">
        <f>GLOBAL_DER_FEV_2023!J1094</f>
        <v>15.67</v>
      </c>
      <c r="K1094" s="903" t="s">
        <v>1516</v>
      </c>
      <c r="L1094" s="1137"/>
      <c r="M1094" s="1138">
        <f t="shared" si="77"/>
        <v>0</v>
      </c>
      <c r="N1094" s="893">
        <f t="shared" si="81"/>
        <v>0</v>
      </c>
      <c r="O1094" s="905"/>
      <c r="Q1094" s="317" t="str">
        <f t="shared" si="78"/>
        <v/>
      </c>
      <c r="R1094" s="317" t="str">
        <f t="shared" si="79"/>
        <v/>
      </c>
      <c r="S1094" s="317" t="str">
        <f t="shared" si="80"/>
        <v/>
      </c>
      <c r="T1094" s="317" t="str">
        <f>GLOBAL_DER_FEV_2023!S1094</f>
        <v/>
      </c>
      <c r="W1094" s="582">
        <v>0</v>
      </c>
      <c r="X1094" s="580"/>
      <c r="Y1094" s="583">
        <f>IF(GLOBAL_DER_FEV_2023!W1094=0,0,IF(GLOBAL_DER_FEV_2023!W1094&gt;0,"c","b"))</f>
        <v>0</v>
      </c>
    </row>
    <row r="1095" spans="1:25" ht="34.5" hidden="1" thickBot="1" x14ac:dyDescent="0.25">
      <c r="A1095" s="317">
        <v>97562</v>
      </c>
      <c r="B1095" s="895">
        <v>97562</v>
      </c>
      <c r="C1095" s="896" t="s">
        <v>596</v>
      </c>
      <c r="D1095" s="906" t="s">
        <v>1025</v>
      </c>
      <c r="E1095" s="907">
        <f>GLOBAL_DER_FEV_2023!E1095</f>
        <v>0</v>
      </c>
      <c r="F1095" s="908">
        <f>GLOBAL_DER_FEV_2023!F1095</f>
        <v>0</v>
      </c>
      <c r="G1095" s="912">
        <f>GLOBAL_DER_FEV_2023!G1095</f>
        <v>0</v>
      </c>
      <c r="H1095" s="901">
        <f>GLOBAL_DER_FEV_2023!H1095</f>
        <v>15.57</v>
      </c>
      <c r="I1095" s="901">
        <f>GLOBAL_DER_FEV_2023!I1095</f>
        <v>15.57</v>
      </c>
      <c r="J1095" s="902">
        <f>GLOBAL_DER_FEV_2023!J1095</f>
        <v>18.690000000000001</v>
      </c>
      <c r="K1095" s="903" t="s">
        <v>1516</v>
      </c>
      <c r="L1095" s="1137"/>
      <c r="M1095" s="1138">
        <f t="shared" si="77"/>
        <v>0</v>
      </c>
      <c r="N1095" s="893">
        <f t="shared" si="81"/>
        <v>0</v>
      </c>
      <c r="O1095" s="905"/>
      <c r="Q1095" s="317" t="str">
        <f t="shared" si="78"/>
        <v/>
      </c>
      <c r="R1095" s="317" t="str">
        <f t="shared" si="79"/>
        <v/>
      </c>
      <c r="S1095" s="317" t="str">
        <f t="shared" si="80"/>
        <v/>
      </c>
      <c r="T1095" s="317" t="str">
        <f>GLOBAL_DER_FEV_2023!S1095</f>
        <v/>
      </c>
      <c r="W1095" s="582">
        <v>0</v>
      </c>
      <c r="X1095" s="580"/>
      <c r="Y1095" s="583">
        <f>IF(GLOBAL_DER_FEV_2023!W1095=0,0,IF(GLOBAL_DER_FEV_2023!W1095&gt;0,"c","b"))</f>
        <v>0</v>
      </c>
    </row>
    <row r="1096" spans="1:25" ht="34.5" hidden="1" thickBot="1" x14ac:dyDescent="0.25">
      <c r="A1096" s="317">
        <v>97564</v>
      </c>
      <c r="B1096" s="895">
        <v>97564</v>
      </c>
      <c r="C1096" s="896" t="s">
        <v>596</v>
      </c>
      <c r="D1096" s="906" t="s">
        <v>1026</v>
      </c>
      <c r="E1096" s="907">
        <f>GLOBAL_DER_FEV_2023!E1096</f>
        <v>0</v>
      </c>
      <c r="F1096" s="908">
        <f>GLOBAL_DER_FEV_2023!F1096</f>
        <v>0</v>
      </c>
      <c r="G1096" s="912">
        <f>GLOBAL_DER_FEV_2023!G1096</f>
        <v>0</v>
      </c>
      <c r="H1096" s="901">
        <f>GLOBAL_DER_FEV_2023!H1096</f>
        <v>17.79</v>
      </c>
      <c r="I1096" s="901">
        <f>GLOBAL_DER_FEV_2023!I1096</f>
        <v>17.79</v>
      </c>
      <c r="J1096" s="902">
        <f>GLOBAL_DER_FEV_2023!J1096</f>
        <v>21.36</v>
      </c>
      <c r="K1096" s="903" t="s">
        <v>1516</v>
      </c>
      <c r="L1096" s="1137"/>
      <c r="M1096" s="1138">
        <f t="shared" si="77"/>
        <v>0</v>
      </c>
      <c r="N1096" s="893">
        <f t="shared" si="81"/>
        <v>0</v>
      </c>
      <c r="O1096" s="905"/>
      <c r="Q1096" s="317" t="str">
        <f t="shared" si="78"/>
        <v/>
      </c>
      <c r="R1096" s="317" t="str">
        <f t="shared" si="79"/>
        <v/>
      </c>
      <c r="S1096" s="317" t="str">
        <f t="shared" si="80"/>
        <v/>
      </c>
      <c r="T1096" s="317" t="str">
        <f>GLOBAL_DER_FEV_2023!S1096</f>
        <v/>
      </c>
      <c r="W1096" s="582">
        <v>0</v>
      </c>
      <c r="X1096" s="580"/>
      <c r="Y1096" s="583">
        <f>IF(GLOBAL_DER_FEV_2023!W1096=0,0,IF(GLOBAL_DER_FEV_2023!W1096&gt;0,"c","b"))</f>
        <v>0</v>
      </c>
    </row>
    <row r="1097" spans="1:25" ht="23.25" hidden="1" thickBot="1" x14ac:dyDescent="0.25">
      <c r="A1097" s="317">
        <v>91862</v>
      </c>
      <c r="B1097" s="895">
        <v>91862</v>
      </c>
      <c r="C1097" s="896" t="s">
        <v>596</v>
      </c>
      <c r="D1097" s="906" t="s">
        <v>1027</v>
      </c>
      <c r="E1097" s="907">
        <f>GLOBAL_DER_FEV_2023!E1097</f>
        <v>0</v>
      </c>
      <c r="F1097" s="908">
        <f>GLOBAL_DER_FEV_2023!F1097</f>
        <v>0</v>
      </c>
      <c r="G1097" s="912">
        <f>GLOBAL_DER_FEV_2023!G1097</f>
        <v>0</v>
      </c>
      <c r="H1097" s="901">
        <f>GLOBAL_DER_FEV_2023!H1097</f>
        <v>13.26</v>
      </c>
      <c r="I1097" s="901">
        <f>GLOBAL_DER_FEV_2023!I1097</f>
        <v>13.26</v>
      </c>
      <c r="J1097" s="902">
        <f>GLOBAL_DER_FEV_2023!J1097</f>
        <v>15.92</v>
      </c>
      <c r="K1097" s="903" t="s">
        <v>62</v>
      </c>
      <c r="L1097" s="1137"/>
      <c r="M1097" s="1138">
        <f t="shared" si="77"/>
        <v>0</v>
      </c>
      <c r="N1097" s="893">
        <f t="shared" si="81"/>
        <v>0</v>
      </c>
      <c r="O1097" s="905"/>
      <c r="Q1097" s="317" t="str">
        <f t="shared" si="78"/>
        <v/>
      </c>
      <c r="R1097" s="317" t="str">
        <f t="shared" si="79"/>
        <v/>
      </c>
      <c r="S1097" s="317" t="str">
        <f t="shared" si="80"/>
        <v/>
      </c>
      <c r="T1097" s="317" t="str">
        <f>GLOBAL_DER_FEV_2023!S1097</f>
        <v/>
      </c>
      <c r="W1097" s="582">
        <v>0</v>
      </c>
      <c r="X1097" s="580"/>
      <c r="Y1097" s="583">
        <f>IF(GLOBAL_DER_FEV_2023!W1097=0,0,IF(GLOBAL_DER_FEV_2023!W1097&gt;0,"c","b"))</f>
        <v>0</v>
      </c>
    </row>
    <row r="1098" spans="1:25" ht="23.25" hidden="1" thickBot="1" x14ac:dyDescent="0.25">
      <c r="A1098" s="317">
        <v>91863</v>
      </c>
      <c r="B1098" s="895">
        <v>91863</v>
      </c>
      <c r="C1098" s="896" t="s">
        <v>596</v>
      </c>
      <c r="D1098" s="906" t="s">
        <v>1028</v>
      </c>
      <c r="E1098" s="907">
        <f>GLOBAL_DER_FEV_2023!E1098</f>
        <v>0</v>
      </c>
      <c r="F1098" s="908">
        <f>GLOBAL_DER_FEV_2023!F1098</f>
        <v>0</v>
      </c>
      <c r="G1098" s="912">
        <f>GLOBAL_DER_FEV_2023!G1098</f>
        <v>0</v>
      </c>
      <c r="H1098" s="901">
        <f>GLOBAL_DER_FEV_2023!H1098</f>
        <v>15.67</v>
      </c>
      <c r="I1098" s="901">
        <f>GLOBAL_DER_FEV_2023!I1098</f>
        <v>15.67</v>
      </c>
      <c r="J1098" s="902">
        <f>GLOBAL_DER_FEV_2023!J1098</f>
        <v>18.809999999999999</v>
      </c>
      <c r="K1098" s="903" t="s">
        <v>62</v>
      </c>
      <c r="L1098" s="1137"/>
      <c r="M1098" s="1138">
        <f t="shared" si="77"/>
        <v>0</v>
      </c>
      <c r="N1098" s="893">
        <f t="shared" si="81"/>
        <v>0</v>
      </c>
      <c r="O1098" s="905"/>
      <c r="Q1098" s="317" t="str">
        <f t="shared" si="78"/>
        <v/>
      </c>
      <c r="R1098" s="317" t="str">
        <f t="shared" si="79"/>
        <v/>
      </c>
      <c r="S1098" s="317" t="str">
        <f t="shared" si="80"/>
        <v/>
      </c>
      <c r="T1098" s="317" t="str">
        <f>GLOBAL_DER_FEV_2023!S1098</f>
        <v/>
      </c>
      <c r="W1098" s="582">
        <v>0</v>
      </c>
      <c r="X1098" s="580"/>
      <c r="Y1098" s="583">
        <f>IF(GLOBAL_DER_FEV_2023!W1098=0,0,IF(GLOBAL_DER_FEV_2023!W1098&gt;0,"c","b"))</f>
        <v>0</v>
      </c>
    </row>
    <row r="1099" spans="1:25" ht="23.25" hidden="1" thickBot="1" x14ac:dyDescent="0.25">
      <c r="A1099" s="317">
        <v>91864</v>
      </c>
      <c r="B1099" s="895">
        <v>91864</v>
      </c>
      <c r="C1099" s="896" t="s">
        <v>596</v>
      </c>
      <c r="D1099" s="906" t="s">
        <v>1029</v>
      </c>
      <c r="E1099" s="907">
        <f>GLOBAL_DER_FEV_2023!E1099</f>
        <v>0</v>
      </c>
      <c r="F1099" s="908">
        <f>GLOBAL_DER_FEV_2023!F1099</f>
        <v>0</v>
      </c>
      <c r="G1099" s="912">
        <f>GLOBAL_DER_FEV_2023!G1099</f>
        <v>0</v>
      </c>
      <c r="H1099" s="901">
        <f>GLOBAL_DER_FEV_2023!H1099</f>
        <v>21.09</v>
      </c>
      <c r="I1099" s="901">
        <f>GLOBAL_DER_FEV_2023!I1099</f>
        <v>21.09</v>
      </c>
      <c r="J1099" s="902">
        <f>GLOBAL_DER_FEV_2023!J1099</f>
        <v>25.32</v>
      </c>
      <c r="K1099" s="903" t="s">
        <v>62</v>
      </c>
      <c r="L1099" s="1137"/>
      <c r="M1099" s="1138">
        <f t="shared" si="77"/>
        <v>0</v>
      </c>
      <c r="N1099" s="893">
        <f t="shared" si="81"/>
        <v>0</v>
      </c>
      <c r="O1099" s="905"/>
      <c r="Q1099" s="317" t="str">
        <f t="shared" si="78"/>
        <v/>
      </c>
      <c r="R1099" s="317" t="str">
        <f t="shared" si="79"/>
        <v/>
      </c>
      <c r="S1099" s="317" t="str">
        <f t="shared" si="80"/>
        <v/>
      </c>
      <c r="T1099" s="317" t="str">
        <f>GLOBAL_DER_FEV_2023!S1099</f>
        <v/>
      </c>
      <c r="W1099" s="582">
        <v>0</v>
      </c>
      <c r="X1099" s="580"/>
      <c r="Y1099" s="583">
        <f>IF(GLOBAL_DER_FEV_2023!W1099=0,0,IF(GLOBAL_DER_FEV_2023!W1099&gt;0,"c","b"))</f>
        <v>0</v>
      </c>
    </row>
    <row r="1100" spans="1:25" ht="23.25" hidden="1" thickBot="1" x14ac:dyDescent="0.25">
      <c r="A1100" s="317">
        <v>91865</v>
      </c>
      <c r="B1100" s="895">
        <v>91865</v>
      </c>
      <c r="C1100" s="896" t="s">
        <v>596</v>
      </c>
      <c r="D1100" s="906" t="s">
        <v>1030</v>
      </c>
      <c r="E1100" s="907">
        <f>GLOBAL_DER_FEV_2023!E1100</f>
        <v>0</v>
      </c>
      <c r="F1100" s="908">
        <f>GLOBAL_DER_FEV_2023!F1100</f>
        <v>0</v>
      </c>
      <c r="G1100" s="912">
        <f>GLOBAL_DER_FEV_2023!G1100</f>
        <v>0</v>
      </c>
      <c r="H1100" s="901">
        <f>GLOBAL_DER_FEV_2023!H1100</f>
        <v>26.43</v>
      </c>
      <c r="I1100" s="901">
        <f>GLOBAL_DER_FEV_2023!I1100</f>
        <v>26.43</v>
      </c>
      <c r="J1100" s="902">
        <f>GLOBAL_DER_FEV_2023!J1100</f>
        <v>31.73</v>
      </c>
      <c r="K1100" s="903" t="s">
        <v>62</v>
      </c>
      <c r="L1100" s="1137"/>
      <c r="M1100" s="1138">
        <f t="shared" si="77"/>
        <v>0</v>
      </c>
      <c r="N1100" s="893">
        <f t="shared" si="81"/>
        <v>0</v>
      </c>
      <c r="O1100" s="905"/>
      <c r="Q1100" s="317" t="str">
        <f t="shared" si="78"/>
        <v/>
      </c>
      <c r="R1100" s="317" t="str">
        <f t="shared" si="79"/>
        <v/>
      </c>
      <c r="S1100" s="317" t="str">
        <f t="shared" si="80"/>
        <v/>
      </c>
      <c r="T1100" s="317" t="str">
        <f>GLOBAL_DER_FEV_2023!S1100</f>
        <v/>
      </c>
      <c r="W1100" s="582">
        <v>0</v>
      </c>
      <c r="X1100" s="580"/>
      <c r="Y1100" s="583">
        <f>IF(GLOBAL_DER_FEV_2023!W1100=0,0,IF(GLOBAL_DER_FEV_2023!W1100&gt;0,"c","b"))</f>
        <v>0</v>
      </c>
    </row>
    <row r="1101" spans="1:25" ht="23.25" hidden="1" thickBot="1" x14ac:dyDescent="0.25">
      <c r="A1101" s="317">
        <v>91866</v>
      </c>
      <c r="B1101" s="895">
        <v>91866</v>
      </c>
      <c r="C1101" s="896" t="s">
        <v>596</v>
      </c>
      <c r="D1101" s="906" t="s">
        <v>1031</v>
      </c>
      <c r="E1101" s="907">
        <f>GLOBAL_DER_FEV_2023!E1101</f>
        <v>0</v>
      </c>
      <c r="F1101" s="908">
        <f>GLOBAL_DER_FEV_2023!F1101</f>
        <v>0</v>
      </c>
      <c r="G1101" s="912">
        <f>GLOBAL_DER_FEV_2023!G1101</f>
        <v>0</v>
      </c>
      <c r="H1101" s="901">
        <f>GLOBAL_DER_FEV_2023!H1101</f>
        <v>10.81</v>
      </c>
      <c r="I1101" s="901">
        <f>GLOBAL_DER_FEV_2023!I1101</f>
        <v>10.81</v>
      </c>
      <c r="J1101" s="902">
        <f>GLOBAL_DER_FEV_2023!J1101</f>
        <v>12.98</v>
      </c>
      <c r="K1101" s="903" t="s">
        <v>62</v>
      </c>
      <c r="L1101" s="1137"/>
      <c r="M1101" s="1138">
        <f t="shared" si="77"/>
        <v>0</v>
      </c>
      <c r="N1101" s="893">
        <f t="shared" si="81"/>
        <v>0</v>
      </c>
      <c r="O1101" s="905"/>
      <c r="Q1101" s="317" t="str">
        <f t="shared" si="78"/>
        <v/>
      </c>
      <c r="R1101" s="317" t="str">
        <f t="shared" si="79"/>
        <v/>
      </c>
      <c r="S1101" s="317" t="str">
        <f t="shared" si="80"/>
        <v/>
      </c>
      <c r="T1101" s="317" t="str">
        <f>GLOBAL_DER_FEV_2023!S1101</f>
        <v/>
      </c>
      <c r="W1101" s="582">
        <v>0</v>
      </c>
      <c r="X1101" s="580"/>
      <c r="Y1101" s="583">
        <f>IF(GLOBAL_DER_FEV_2023!W1101=0,0,IF(GLOBAL_DER_FEV_2023!W1101&gt;0,"c","b"))</f>
        <v>0</v>
      </c>
    </row>
    <row r="1102" spans="1:25" ht="23.25" hidden="1" thickBot="1" x14ac:dyDescent="0.25">
      <c r="A1102" s="317">
        <v>91867</v>
      </c>
      <c r="B1102" s="895">
        <v>91867</v>
      </c>
      <c r="C1102" s="896" t="s">
        <v>596</v>
      </c>
      <c r="D1102" s="906" t="s">
        <v>1032</v>
      </c>
      <c r="E1102" s="907">
        <f>GLOBAL_DER_FEV_2023!E1102</f>
        <v>0</v>
      </c>
      <c r="F1102" s="908">
        <f>GLOBAL_DER_FEV_2023!F1102</f>
        <v>0</v>
      </c>
      <c r="G1102" s="912">
        <f>GLOBAL_DER_FEV_2023!G1102</f>
        <v>0</v>
      </c>
      <c r="H1102" s="901">
        <f>GLOBAL_DER_FEV_2023!H1102</f>
        <v>13.22</v>
      </c>
      <c r="I1102" s="901">
        <f>GLOBAL_DER_FEV_2023!I1102</f>
        <v>13.22</v>
      </c>
      <c r="J1102" s="902">
        <f>GLOBAL_DER_FEV_2023!J1102</f>
        <v>15.87</v>
      </c>
      <c r="K1102" s="903" t="s">
        <v>62</v>
      </c>
      <c r="L1102" s="1137"/>
      <c r="M1102" s="1138">
        <f t="shared" si="77"/>
        <v>0</v>
      </c>
      <c r="N1102" s="893">
        <f t="shared" si="81"/>
        <v>0</v>
      </c>
      <c r="O1102" s="905"/>
      <c r="Q1102" s="317" t="str">
        <f t="shared" si="78"/>
        <v/>
      </c>
      <c r="R1102" s="317" t="str">
        <f t="shared" si="79"/>
        <v/>
      </c>
      <c r="S1102" s="317" t="str">
        <f t="shared" si="80"/>
        <v/>
      </c>
      <c r="T1102" s="317" t="str">
        <f>GLOBAL_DER_FEV_2023!S1102</f>
        <v/>
      </c>
      <c r="W1102" s="582">
        <v>0</v>
      </c>
      <c r="X1102" s="580"/>
      <c r="Y1102" s="583">
        <f>IF(GLOBAL_DER_FEV_2023!W1102=0,0,IF(GLOBAL_DER_FEV_2023!W1102&gt;0,"c","b"))</f>
        <v>0</v>
      </c>
    </row>
    <row r="1103" spans="1:25" ht="23.25" hidden="1" thickBot="1" x14ac:dyDescent="0.25">
      <c r="A1103" s="317">
        <v>91868</v>
      </c>
      <c r="B1103" s="895">
        <v>91868</v>
      </c>
      <c r="C1103" s="896" t="s">
        <v>596</v>
      </c>
      <c r="D1103" s="906" t="s">
        <v>1033</v>
      </c>
      <c r="E1103" s="907">
        <f>GLOBAL_DER_FEV_2023!E1103</f>
        <v>0</v>
      </c>
      <c r="F1103" s="908">
        <f>GLOBAL_DER_FEV_2023!F1103</f>
        <v>0</v>
      </c>
      <c r="G1103" s="912">
        <f>GLOBAL_DER_FEV_2023!G1103</f>
        <v>0</v>
      </c>
      <c r="H1103" s="901">
        <f>GLOBAL_DER_FEV_2023!H1103</f>
        <v>18.64</v>
      </c>
      <c r="I1103" s="901">
        <f>GLOBAL_DER_FEV_2023!I1103</f>
        <v>18.64</v>
      </c>
      <c r="J1103" s="902">
        <f>GLOBAL_DER_FEV_2023!J1103</f>
        <v>22.38</v>
      </c>
      <c r="K1103" s="903" t="s">
        <v>62</v>
      </c>
      <c r="L1103" s="1137"/>
      <c r="M1103" s="1138">
        <f t="shared" si="77"/>
        <v>0</v>
      </c>
      <c r="N1103" s="893">
        <f t="shared" si="81"/>
        <v>0</v>
      </c>
      <c r="O1103" s="905"/>
      <c r="Q1103" s="317" t="str">
        <f t="shared" si="78"/>
        <v/>
      </c>
      <c r="R1103" s="317" t="str">
        <f t="shared" si="79"/>
        <v/>
      </c>
      <c r="S1103" s="317" t="str">
        <f t="shared" si="80"/>
        <v/>
      </c>
      <c r="T1103" s="317" t="str">
        <f>GLOBAL_DER_FEV_2023!S1103</f>
        <v/>
      </c>
      <c r="W1103" s="582">
        <v>0</v>
      </c>
      <c r="X1103" s="580"/>
      <c r="Y1103" s="583">
        <f>IF(GLOBAL_DER_FEV_2023!W1103=0,0,IF(GLOBAL_DER_FEV_2023!W1103&gt;0,"c","b"))</f>
        <v>0</v>
      </c>
    </row>
    <row r="1104" spans="1:25" ht="23.25" hidden="1" thickBot="1" x14ac:dyDescent="0.25">
      <c r="A1104" s="317">
        <v>91869</v>
      </c>
      <c r="B1104" s="895">
        <v>91869</v>
      </c>
      <c r="C1104" s="896" t="s">
        <v>596</v>
      </c>
      <c r="D1104" s="906" t="s">
        <v>1034</v>
      </c>
      <c r="E1104" s="907">
        <f>GLOBAL_DER_FEV_2023!E1104</f>
        <v>0</v>
      </c>
      <c r="F1104" s="908">
        <f>GLOBAL_DER_FEV_2023!F1104</f>
        <v>0</v>
      </c>
      <c r="G1104" s="912">
        <f>GLOBAL_DER_FEV_2023!G1104</f>
        <v>0</v>
      </c>
      <c r="H1104" s="901">
        <f>GLOBAL_DER_FEV_2023!H1104</f>
        <v>23.99</v>
      </c>
      <c r="I1104" s="901">
        <f>GLOBAL_DER_FEV_2023!I1104</f>
        <v>23.99</v>
      </c>
      <c r="J1104" s="902">
        <f>GLOBAL_DER_FEV_2023!J1104</f>
        <v>28.8</v>
      </c>
      <c r="K1104" s="903" t="s">
        <v>62</v>
      </c>
      <c r="L1104" s="1137"/>
      <c r="M1104" s="1138">
        <f t="shared" si="77"/>
        <v>0</v>
      </c>
      <c r="N1104" s="893">
        <f t="shared" si="81"/>
        <v>0</v>
      </c>
      <c r="O1104" s="905"/>
      <c r="Q1104" s="317" t="str">
        <f t="shared" si="78"/>
        <v/>
      </c>
      <c r="R1104" s="317" t="str">
        <f t="shared" si="79"/>
        <v/>
      </c>
      <c r="S1104" s="317" t="str">
        <f t="shared" si="80"/>
        <v/>
      </c>
      <c r="T1104" s="317" t="str">
        <f>GLOBAL_DER_FEV_2023!S1104</f>
        <v/>
      </c>
      <c r="W1104" s="582">
        <v>0</v>
      </c>
      <c r="X1104" s="580"/>
      <c r="Y1104" s="583">
        <f>IF(GLOBAL_DER_FEV_2023!W1104=0,0,IF(GLOBAL_DER_FEV_2023!W1104&gt;0,"c","b"))</f>
        <v>0</v>
      </c>
    </row>
    <row r="1105" spans="1:25" ht="23.25" hidden="1" thickBot="1" x14ac:dyDescent="0.25">
      <c r="A1105" s="317">
        <v>91870</v>
      </c>
      <c r="B1105" s="895">
        <v>91870</v>
      </c>
      <c r="C1105" s="896" t="s">
        <v>596</v>
      </c>
      <c r="D1105" s="906" t="s">
        <v>1035</v>
      </c>
      <c r="E1105" s="907">
        <f>GLOBAL_DER_FEV_2023!E1105</f>
        <v>0</v>
      </c>
      <c r="F1105" s="908">
        <f>GLOBAL_DER_FEV_2023!F1105</f>
        <v>0</v>
      </c>
      <c r="G1105" s="912">
        <f>GLOBAL_DER_FEV_2023!G1105</f>
        <v>0</v>
      </c>
      <c r="H1105" s="901">
        <f>GLOBAL_DER_FEV_2023!H1105</f>
        <v>14.78</v>
      </c>
      <c r="I1105" s="901">
        <f>GLOBAL_DER_FEV_2023!I1105</f>
        <v>14.78</v>
      </c>
      <c r="J1105" s="902">
        <f>GLOBAL_DER_FEV_2023!J1105</f>
        <v>17.75</v>
      </c>
      <c r="K1105" s="903" t="s">
        <v>62</v>
      </c>
      <c r="L1105" s="1137"/>
      <c r="M1105" s="1138">
        <f t="shared" si="77"/>
        <v>0</v>
      </c>
      <c r="N1105" s="893">
        <f t="shared" si="81"/>
        <v>0</v>
      </c>
      <c r="O1105" s="905"/>
      <c r="Q1105" s="317" t="str">
        <f t="shared" si="78"/>
        <v/>
      </c>
      <c r="R1105" s="317" t="str">
        <f t="shared" si="79"/>
        <v/>
      </c>
      <c r="S1105" s="317" t="str">
        <f t="shared" si="80"/>
        <v/>
      </c>
      <c r="T1105" s="317" t="str">
        <f>GLOBAL_DER_FEV_2023!S1105</f>
        <v/>
      </c>
      <c r="W1105" s="582">
        <v>0</v>
      </c>
      <c r="X1105" s="580"/>
      <c r="Y1105" s="583">
        <f>IF(GLOBAL_DER_FEV_2023!W1105=0,0,IF(GLOBAL_DER_FEV_2023!W1105&gt;0,"c","b"))</f>
        <v>0</v>
      </c>
    </row>
    <row r="1106" spans="1:25" ht="23.25" hidden="1" thickBot="1" x14ac:dyDescent="0.25">
      <c r="A1106" s="317">
        <v>91871</v>
      </c>
      <c r="B1106" s="895">
        <v>91871</v>
      </c>
      <c r="C1106" s="896" t="s">
        <v>596</v>
      </c>
      <c r="D1106" s="906" t="s">
        <v>1036</v>
      </c>
      <c r="E1106" s="907">
        <f>GLOBAL_DER_FEV_2023!E1106</f>
        <v>0</v>
      </c>
      <c r="F1106" s="908">
        <f>GLOBAL_DER_FEV_2023!F1106</f>
        <v>0</v>
      </c>
      <c r="G1106" s="912">
        <f>GLOBAL_DER_FEV_2023!G1106</f>
        <v>0</v>
      </c>
      <c r="H1106" s="901">
        <f>GLOBAL_DER_FEV_2023!H1106</f>
        <v>17.260000000000002</v>
      </c>
      <c r="I1106" s="901">
        <f>GLOBAL_DER_FEV_2023!I1106</f>
        <v>17.260000000000002</v>
      </c>
      <c r="J1106" s="902">
        <f>GLOBAL_DER_FEV_2023!J1106</f>
        <v>20.72</v>
      </c>
      <c r="K1106" s="903" t="s">
        <v>62</v>
      </c>
      <c r="L1106" s="1137"/>
      <c r="M1106" s="1138">
        <f t="shared" ref="M1106:M1169" si="82">IF(L1106=0,0,ROUND(J1106,2))</f>
        <v>0</v>
      </c>
      <c r="N1106" s="893">
        <f t="shared" si="81"/>
        <v>0</v>
      </c>
      <c r="O1106" s="905"/>
      <c r="Q1106" s="317" t="str">
        <f t="shared" si="78"/>
        <v/>
      </c>
      <c r="R1106" s="317" t="str">
        <f t="shared" si="79"/>
        <v/>
      </c>
      <c r="S1106" s="317" t="str">
        <f t="shared" si="80"/>
        <v/>
      </c>
      <c r="T1106" s="317" t="str">
        <f>GLOBAL_DER_FEV_2023!S1106</f>
        <v/>
      </c>
      <c r="W1106" s="582">
        <v>0</v>
      </c>
      <c r="X1106" s="580"/>
      <c r="Y1106" s="583">
        <f>IF(GLOBAL_DER_FEV_2023!W1106=0,0,IF(GLOBAL_DER_FEV_2023!W1106&gt;0,"c","b"))</f>
        <v>0</v>
      </c>
    </row>
    <row r="1107" spans="1:25" ht="23.25" hidden="1" thickBot="1" x14ac:dyDescent="0.25">
      <c r="A1107" s="317">
        <v>91872</v>
      </c>
      <c r="B1107" s="895">
        <v>91872</v>
      </c>
      <c r="C1107" s="896" t="s">
        <v>596</v>
      </c>
      <c r="D1107" s="906" t="s">
        <v>1037</v>
      </c>
      <c r="E1107" s="907">
        <f>GLOBAL_DER_FEV_2023!E1107</f>
        <v>0</v>
      </c>
      <c r="F1107" s="908">
        <f>GLOBAL_DER_FEV_2023!F1107</f>
        <v>0</v>
      </c>
      <c r="G1107" s="912">
        <f>GLOBAL_DER_FEV_2023!G1107</f>
        <v>0</v>
      </c>
      <c r="H1107" s="901">
        <f>GLOBAL_DER_FEV_2023!H1107</f>
        <v>22.67</v>
      </c>
      <c r="I1107" s="901">
        <f>GLOBAL_DER_FEV_2023!I1107</f>
        <v>22.67</v>
      </c>
      <c r="J1107" s="902">
        <f>GLOBAL_DER_FEV_2023!J1107</f>
        <v>27.22</v>
      </c>
      <c r="K1107" s="903" t="s">
        <v>62</v>
      </c>
      <c r="L1107" s="1137"/>
      <c r="M1107" s="1138">
        <f t="shared" si="82"/>
        <v>0</v>
      </c>
      <c r="N1107" s="893">
        <f t="shared" si="81"/>
        <v>0</v>
      </c>
      <c r="O1107" s="905"/>
      <c r="Q1107" s="317" t="str">
        <f t="shared" si="78"/>
        <v/>
      </c>
      <c r="R1107" s="317" t="str">
        <f t="shared" si="79"/>
        <v/>
      </c>
      <c r="S1107" s="317" t="str">
        <f t="shared" si="80"/>
        <v/>
      </c>
      <c r="T1107" s="317" t="str">
        <f>GLOBAL_DER_FEV_2023!S1107</f>
        <v/>
      </c>
      <c r="W1107" s="582">
        <v>0</v>
      </c>
      <c r="X1107" s="580"/>
      <c r="Y1107" s="583">
        <f>IF(GLOBAL_DER_FEV_2023!W1107=0,0,IF(GLOBAL_DER_FEV_2023!W1107&gt;0,"c","b"))</f>
        <v>0</v>
      </c>
    </row>
    <row r="1108" spans="1:25" ht="23.25" hidden="1" thickBot="1" x14ac:dyDescent="0.25">
      <c r="A1108" s="317">
        <v>91873</v>
      </c>
      <c r="B1108" s="895">
        <v>91873</v>
      </c>
      <c r="C1108" s="896" t="s">
        <v>596</v>
      </c>
      <c r="D1108" s="906" t="s">
        <v>1038</v>
      </c>
      <c r="E1108" s="907">
        <f>GLOBAL_DER_FEV_2023!E1108</f>
        <v>0</v>
      </c>
      <c r="F1108" s="908">
        <f>GLOBAL_DER_FEV_2023!F1108</f>
        <v>0</v>
      </c>
      <c r="G1108" s="912">
        <f>GLOBAL_DER_FEV_2023!G1108</f>
        <v>0</v>
      </c>
      <c r="H1108" s="901">
        <f>GLOBAL_DER_FEV_2023!H1108</f>
        <v>27.96</v>
      </c>
      <c r="I1108" s="901">
        <f>GLOBAL_DER_FEV_2023!I1108</f>
        <v>27.96</v>
      </c>
      <c r="J1108" s="902">
        <f>GLOBAL_DER_FEV_2023!J1108</f>
        <v>33.57</v>
      </c>
      <c r="K1108" s="903" t="s">
        <v>62</v>
      </c>
      <c r="L1108" s="1137"/>
      <c r="M1108" s="1138">
        <f t="shared" si="82"/>
        <v>0</v>
      </c>
      <c r="N1108" s="893">
        <f t="shared" si="81"/>
        <v>0</v>
      </c>
      <c r="O1108" s="905"/>
      <c r="Q1108" s="317" t="str">
        <f t="shared" si="78"/>
        <v/>
      </c>
      <c r="R1108" s="317" t="str">
        <f t="shared" si="79"/>
        <v/>
      </c>
      <c r="S1108" s="317" t="str">
        <f t="shared" si="80"/>
        <v/>
      </c>
      <c r="T1108" s="317" t="str">
        <f>GLOBAL_DER_FEV_2023!S1108</f>
        <v/>
      </c>
      <c r="W1108" s="582">
        <v>0</v>
      </c>
      <c r="X1108" s="580"/>
      <c r="Y1108" s="583">
        <f>IF(GLOBAL_DER_FEV_2023!W1108=0,0,IF(GLOBAL_DER_FEV_2023!W1108&gt;0,"c","b"))</f>
        <v>0</v>
      </c>
    </row>
    <row r="1109" spans="1:25" ht="23.25" hidden="1" thickBot="1" x14ac:dyDescent="0.25">
      <c r="A1109" s="317">
        <v>93008</v>
      </c>
      <c r="B1109" s="895">
        <v>93008</v>
      </c>
      <c r="C1109" s="896" t="s">
        <v>596</v>
      </c>
      <c r="D1109" s="906" t="s">
        <v>1039</v>
      </c>
      <c r="E1109" s="907">
        <f>GLOBAL_DER_FEV_2023!E1109</f>
        <v>0</v>
      </c>
      <c r="F1109" s="908">
        <f>GLOBAL_DER_FEV_2023!F1109</f>
        <v>0</v>
      </c>
      <c r="G1109" s="912">
        <f>GLOBAL_DER_FEV_2023!G1109</f>
        <v>0</v>
      </c>
      <c r="H1109" s="901">
        <f>GLOBAL_DER_FEV_2023!H1109</f>
        <v>24.19</v>
      </c>
      <c r="I1109" s="901">
        <f>GLOBAL_DER_FEV_2023!I1109</f>
        <v>24.19</v>
      </c>
      <c r="J1109" s="902">
        <f>GLOBAL_DER_FEV_2023!J1109</f>
        <v>29.04</v>
      </c>
      <c r="K1109" s="903" t="s">
        <v>62</v>
      </c>
      <c r="L1109" s="1137"/>
      <c r="M1109" s="1138">
        <f t="shared" si="82"/>
        <v>0</v>
      </c>
      <c r="N1109" s="893">
        <f t="shared" si="81"/>
        <v>0</v>
      </c>
      <c r="O1109" s="905"/>
      <c r="Q1109" s="317" t="str">
        <f t="shared" si="78"/>
        <v/>
      </c>
      <c r="R1109" s="317" t="str">
        <f t="shared" si="79"/>
        <v/>
      </c>
      <c r="S1109" s="317" t="str">
        <f t="shared" si="80"/>
        <v/>
      </c>
      <c r="T1109" s="317" t="str">
        <f>GLOBAL_DER_FEV_2023!S1109</f>
        <v/>
      </c>
      <c r="W1109" s="582">
        <v>0</v>
      </c>
      <c r="X1109" s="580"/>
      <c r="Y1109" s="583">
        <f>IF(GLOBAL_DER_FEV_2023!W1109=0,0,IF(GLOBAL_DER_FEV_2023!W1109&gt;0,"c","b"))</f>
        <v>0</v>
      </c>
    </row>
    <row r="1110" spans="1:25" ht="23.25" hidden="1" thickBot="1" x14ac:dyDescent="0.25">
      <c r="A1110" s="317">
        <v>93009</v>
      </c>
      <c r="B1110" s="895">
        <v>93009</v>
      </c>
      <c r="C1110" s="896" t="s">
        <v>596</v>
      </c>
      <c r="D1110" s="906" t="s">
        <v>1040</v>
      </c>
      <c r="E1110" s="907">
        <f>GLOBAL_DER_FEV_2023!E1110</f>
        <v>0</v>
      </c>
      <c r="F1110" s="908">
        <f>GLOBAL_DER_FEV_2023!F1110</f>
        <v>0</v>
      </c>
      <c r="G1110" s="912">
        <f>GLOBAL_DER_FEV_2023!G1110</f>
        <v>0</v>
      </c>
      <c r="H1110" s="901">
        <f>GLOBAL_DER_FEV_2023!H1110</f>
        <v>36.299999999999997</v>
      </c>
      <c r="I1110" s="901">
        <f>GLOBAL_DER_FEV_2023!I1110</f>
        <v>36.299999999999997</v>
      </c>
      <c r="J1110" s="902">
        <f>GLOBAL_DER_FEV_2023!J1110</f>
        <v>43.59</v>
      </c>
      <c r="K1110" s="903" t="s">
        <v>62</v>
      </c>
      <c r="L1110" s="1137"/>
      <c r="M1110" s="1138">
        <f t="shared" si="82"/>
        <v>0</v>
      </c>
      <c r="N1110" s="893">
        <f t="shared" si="81"/>
        <v>0</v>
      </c>
      <c r="O1110" s="905"/>
      <c r="Q1110" s="317" t="str">
        <f t="shared" si="78"/>
        <v/>
      </c>
      <c r="R1110" s="317" t="str">
        <f t="shared" si="79"/>
        <v/>
      </c>
      <c r="S1110" s="317" t="str">
        <f t="shared" si="80"/>
        <v/>
      </c>
      <c r="T1110" s="317" t="str">
        <f>GLOBAL_DER_FEV_2023!S1110</f>
        <v/>
      </c>
      <c r="W1110" s="582">
        <v>0</v>
      </c>
      <c r="X1110" s="580"/>
      <c r="Y1110" s="583">
        <f>IF(GLOBAL_DER_FEV_2023!W1110=0,0,IF(GLOBAL_DER_FEV_2023!W1110&gt;0,"c","b"))</f>
        <v>0</v>
      </c>
    </row>
    <row r="1111" spans="1:25" ht="23.25" hidden="1" thickBot="1" x14ac:dyDescent="0.25">
      <c r="A1111" s="317">
        <v>93010</v>
      </c>
      <c r="B1111" s="895">
        <v>93010</v>
      </c>
      <c r="C1111" s="896" t="s">
        <v>596</v>
      </c>
      <c r="D1111" s="906" t="s">
        <v>1041</v>
      </c>
      <c r="E1111" s="907">
        <f>GLOBAL_DER_FEV_2023!E1111</f>
        <v>0</v>
      </c>
      <c r="F1111" s="908">
        <f>GLOBAL_DER_FEV_2023!F1111</f>
        <v>0</v>
      </c>
      <c r="G1111" s="912">
        <f>GLOBAL_DER_FEV_2023!G1111</f>
        <v>0</v>
      </c>
      <c r="H1111" s="901">
        <f>GLOBAL_DER_FEV_2023!H1111</f>
        <v>50.91</v>
      </c>
      <c r="I1111" s="901">
        <f>GLOBAL_DER_FEV_2023!I1111</f>
        <v>50.91</v>
      </c>
      <c r="J1111" s="902">
        <f>GLOBAL_DER_FEV_2023!J1111</f>
        <v>61.13</v>
      </c>
      <c r="K1111" s="903" t="s">
        <v>62</v>
      </c>
      <c r="L1111" s="1137"/>
      <c r="M1111" s="1138">
        <f t="shared" si="82"/>
        <v>0</v>
      </c>
      <c r="N1111" s="893">
        <f t="shared" si="81"/>
        <v>0</v>
      </c>
      <c r="O1111" s="905"/>
      <c r="Q1111" s="317" t="str">
        <f t="shared" si="78"/>
        <v/>
      </c>
      <c r="R1111" s="317" t="str">
        <f t="shared" si="79"/>
        <v/>
      </c>
      <c r="S1111" s="317" t="str">
        <f t="shared" si="80"/>
        <v/>
      </c>
      <c r="T1111" s="317" t="str">
        <f>GLOBAL_DER_FEV_2023!S1111</f>
        <v/>
      </c>
      <c r="W1111" s="582">
        <v>0</v>
      </c>
      <c r="X1111" s="580"/>
      <c r="Y1111" s="583">
        <f>IF(GLOBAL_DER_FEV_2023!W1111=0,0,IF(GLOBAL_DER_FEV_2023!W1111&gt;0,"c","b"))</f>
        <v>0</v>
      </c>
    </row>
    <row r="1112" spans="1:25" ht="23.25" hidden="1" thickBot="1" x14ac:dyDescent="0.25">
      <c r="A1112" s="317">
        <v>93011</v>
      </c>
      <c r="B1112" s="895">
        <v>93011</v>
      </c>
      <c r="C1112" s="896" t="s">
        <v>596</v>
      </c>
      <c r="D1112" s="906" t="s">
        <v>1042</v>
      </c>
      <c r="E1112" s="907">
        <f>GLOBAL_DER_FEV_2023!E1112</f>
        <v>0</v>
      </c>
      <c r="F1112" s="908">
        <f>GLOBAL_DER_FEV_2023!F1112</f>
        <v>0</v>
      </c>
      <c r="G1112" s="912">
        <f>GLOBAL_DER_FEV_2023!G1112</f>
        <v>0</v>
      </c>
      <c r="H1112" s="901">
        <f>GLOBAL_DER_FEV_2023!H1112</f>
        <v>62.51</v>
      </c>
      <c r="I1112" s="901">
        <f>GLOBAL_DER_FEV_2023!I1112</f>
        <v>62.51</v>
      </c>
      <c r="J1112" s="902">
        <f>GLOBAL_DER_FEV_2023!J1112</f>
        <v>75.06</v>
      </c>
      <c r="K1112" s="903" t="s">
        <v>62</v>
      </c>
      <c r="L1112" s="1137"/>
      <c r="M1112" s="1138">
        <f t="shared" si="82"/>
        <v>0</v>
      </c>
      <c r="N1112" s="893">
        <f t="shared" si="81"/>
        <v>0</v>
      </c>
      <c r="O1112" s="905"/>
      <c r="Q1112" s="317" t="str">
        <f t="shared" si="78"/>
        <v/>
      </c>
      <c r="R1112" s="317" t="str">
        <f t="shared" si="79"/>
        <v/>
      </c>
      <c r="S1112" s="317" t="str">
        <f t="shared" si="80"/>
        <v/>
      </c>
      <c r="T1112" s="317" t="str">
        <f>GLOBAL_DER_FEV_2023!S1112</f>
        <v/>
      </c>
      <c r="W1112" s="582">
        <v>0</v>
      </c>
      <c r="X1112" s="580"/>
      <c r="Y1112" s="583">
        <f>IF(GLOBAL_DER_FEV_2023!W1112=0,0,IF(GLOBAL_DER_FEV_2023!W1112&gt;0,"c","b"))</f>
        <v>0</v>
      </c>
    </row>
    <row r="1113" spans="1:25" ht="23.25" hidden="1" thickBot="1" x14ac:dyDescent="0.25">
      <c r="A1113" s="317">
        <v>93012</v>
      </c>
      <c r="B1113" s="895">
        <v>93012</v>
      </c>
      <c r="C1113" s="896" t="s">
        <v>596</v>
      </c>
      <c r="D1113" s="906" t="s">
        <v>1043</v>
      </c>
      <c r="E1113" s="907">
        <f>GLOBAL_DER_FEV_2023!E1113</f>
        <v>0</v>
      </c>
      <c r="F1113" s="908">
        <f>GLOBAL_DER_FEV_2023!F1113</f>
        <v>0</v>
      </c>
      <c r="G1113" s="912">
        <f>GLOBAL_DER_FEV_2023!G1113</f>
        <v>0</v>
      </c>
      <c r="H1113" s="901">
        <f>GLOBAL_DER_FEV_2023!H1113</f>
        <v>95.11</v>
      </c>
      <c r="I1113" s="901">
        <f>GLOBAL_DER_FEV_2023!I1113</f>
        <v>95.11</v>
      </c>
      <c r="J1113" s="902">
        <f>GLOBAL_DER_FEV_2023!J1113</f>
        <v>114.2</v>
      </c>
      <c r="K1113" s="903" t="s">
        <v>62</v>
      </c>
      <c r="L1113" s="1137"/>
      <c r="M1113" s="1138">
        <f t="shared" si="82"/>
        <v>0</v>
      </c>
      <c r="N1113" s="893">
        <f t="shared" si="81"/>
        <v>0</v>
      </c>
      <c r="O1113" s="905"/>
      <c r="Q1113" s="317" t="str">
        <f t="shared" si="78"/>
        <v/>
      </c>
      <c r="R1113" s="317" t="str">
        <f t="shared" si="79"/>
        <v/>
      </c>
      <c r="S1113" s="317" t="str">
        <f t="shared" si="80"/>
        <v/>
      </c>
      <c r="T1113" s="317" t="str">
        <f>GLOBAL_DER_FEV_2023!S1113</f>
        <v/>
      </c>
      <c r="W1113" s="582">
        <v>0</v>
      </c>
      <c r="X1113" s="580"/>
      <c r="Y1113" s="583">
        <f>IF(GLOBAL_DER_FEV_2023!W1113=0,0,IF(GLOBAL_DER_FEV_2023!W1113&gt;0,"c","b"))</f>
        <v>0</v>
      </c>
    </row>
    <row r="1114" spans="1:25" ht="23.25" hidden="1" thickBot="1" x14ac:dyDescent="0.25">
      <c r="A1114" s="317">
        <v>95726</v>
      </c>
      <c r="B1114" s="895">
        <v>95726</v>
      </c>
      <c r="C1114" s="896" t="s">
        <v>596</v>
      </c>
      <c r="D1114" s="906" t="s">
        <v>1044</v>
      </c>
      <c r="E1114" s="907">
        <f>GLOBAL_DER_FEV_2023!E1114</f>
        <v>0</v>
      </c>
      <c r="F1114" s="908">
        <f>GLOBAL_DER_FEV_2023!F1114</f>
        <v>0</v>
      </c>
      <c r="G1114" s="912">
        <f>GLOBAL_DER_FEV_2023!G1114</f>
        <v>0</v>
      </c>
      <c r="H1114" s="901">
        <f>GLOBAL_DER_FEV_2023!H1114</f>
        <v>10.94</v>
      </c>
      <c r="I1114" s="901">
        <f>GLOBAL_DER_FEV_2023!I1114</f>
        <v>10.94</v>
      </c>
      <c r="J1114" s="902">
        <f>GLOBAL_DER_FEV_2023!J1114</f>
        <v>13.14</v>
      </c>
      <c r="K1114" s="903" t="s">
        <v>62</v>
      </c>
      <c r="L1114" s="1137"/>
      <c r="M1114" s="1138">
        <f t="shared" si="82"/>
        <v>0</v>
      </c>
      <c r="N1114" s="893">
        <f t="shared" si="81"/>
        <v>0</v>
      </c>
      <c r="O1114" s="905"/>
      <c r="Q1114" s="317" t="str">
        <f t="shared" si="78"/>
        <v/>
      </c>
      <c r="R1114" s="317" t="str">
        <f t="shared" si="79"/>
        <v/>
      </c>
      <c r="S1114" s="317" t="str">
        <f t="shared" si="80"/>
        <v/>
      </c>
      <c r="T1114" s="317" t="str">
        <f>GLOBAL_DER_FEV_2023!S1114</f>
        <v/>
      </c>
      <c r="W1114" s="582">
        <v>0</v>
      </c>
      <c r="X1114" s="580"/>
      <c r="Y1114" s="583">
        <f>IF(GLOBAL_DER_FEV_2023!W1114=0,0,IF(GLOBAL_DER_FEV_2023!W1114&gt;0,"c","b"))</f>
        <v>0</v>
      </c>
    </row>
    <row r="1115" spans="1:25" ht="23.25" hidden="1" thickBot="1" x14ac:dyDescent="0.25">
      <c r="A1115" s="317">
        <v>95727</v>
      </c>
      <c r="B1115" s="895">
        <v>95727</v>
      </c>
      <c r="C1115" s="896" t="s">
        <v>596</v>
      </c>
      <c r="D1115" s="906" t="s">
        <v>1045</v>
      </c>
      <c r="E1115" s="907">
        <f>GLOBAL_DER_FEV_2023!E1115</f>
        <v>0</v>
      </c>
      <c r="F1115" s="908">
        <f>GLOBAL_DER_FEV_2023!F1115</f>
        <v>0</v>
      </c>
      <c r="G1115" s="912">
        <f>GLOBAL_DER_FEV_2023!G1115</f>
        <v>0</v>
      </c>
      <c r="H1115" s="901">
        <f>GLOBAL_DER_FEV_2023!H1115</f>
        <v>15.28</v>
      </c>
      <c r="I1115" s="901">
        <f>GLOBAL_DER_FEV_2023!I1115</f>
        <v>15.28</v>
      </c>
      <c r="J1115" s="902">
        <f>GLOBAL_DER_FEV_2023!J1115</f>
        <v>18.350000000000001</v>
      </c>
      <c r="K1115" s="903" t="s">
        <v>62</v>
      </c>
      <c r="L1115" s="1137"/>
      <c r="M1115" s="1138">
        <f t="shared" si="82"/>
        <v>0</v>
      </c>
      <c r="N1115" s="893">
        <f t="shared" si="81"/>
        <v>0</v>
      </c>
      <c r="O1115" s="905"/>
      <c r="Q1115" s="317" t="str">
        <f t="shared" ref="Q1115:Q1178" si="83">IF(P1115="X","x",IF(P1115="xx","x",IF(P1115="xy","x",IF(P1115="y","x",IF(OR(N1115&gt;0,N1115&gt;0),"x","")))))</f>
        <v/>
      </c>
      <c r="R1115" s="317" t="str">
        <f t="shared" si="79"/>
        <v/>
      </c>
      <c r="S1115" s="317" t="str">
        <f t="shared" si="80"/>
        <v/>
      </c>
      <c r="T1115" s="317" t="str">
        <f>GLOBAL_DER_FEV_2023!S1115</f>
        <v/>
      </c>
      <c r="W1115" s="582">
        <v>0</v>
      </c>
      <c r="X1115" s="580"/>
      <c r="Y1115" s="583">
        <f>IF(GLOBAL_DER_FEV_2023!W1115=0,0,IF(GLOBAL_DER_FEV_2023!W1115&gt;0,"c","b"))</f>
        <v>0</v>
      </c>
    </row>
    <row r="1116" spans="1:25" ht="23.25" hidden="1" thickBot="1" x14ac:dyDescent="0.25">
      <c r="A1116" s="317">
        <v>95728</v>
      </c>
      <c r="B1116" s="895">
        <v>95728</v>
      </c>
      <c r="C1116" s="896" t="s">
        <v>596</v>
      </c>
      <c r="D1116" s="906" t="s">
        <v>1046</v>
      </c>
      <c r="E1116" s="907">
        <f>GLOBAL_DER_FEV_2023!E1116</f>
        <v>0</v>
      </c>
      <c r="F1116" s="908">
        <f>GLOBAL_DER_FEV_2023!F1116</f>
        <v>0</v>
      </c>
      <c r="G1116" s="912">
        <f>GLOBAL_DER_FEV_2023!G1116</f>
        <v>0</v>
      </c>
      <c r="H1116" s="901">
        <f>GLOBAL_DER_FEV_2023!H1116</f>
        <v>22.47</v>
      </c>
      <c r="I1116" s="901">
        <f>GLOBAL_DER_FEV_2023!I1116</f>
        <v>22.47</v>
      </c>
      <c r="J1116" s="902">
        <f>GLOBAL_DER_FEV_2023!J1116</f>
        <v>26.98</v>
      </c>
      <c r="K1116" s="903" t="s">
        <v>62</v>
      </c>
      <c r="L1116" s="1137"/>
      <c r="M1116" s="1138">
        <f t="shared" si="82"/>
        <v>0</v>
      </c>
      <c r="N1116" s="893">
        <f t="shared" si="81"/>
        <v>0</v>
      </c>
      <c r="O1116" s="905"/>
      <c r="Q1116" s="317" t="str">
        <f t="shared" si="83"/>
        <v/>
      </c>
      <c r="R1116" s="317" t="str">
        <f t="shared" si="79"/>
        <v/>
      </c>
      <c r="S1116" s="317" t="str">
        <f t="shared" si="80"/>
        <v/>
      </c>
      <c r="T1116" s="317" t="str">
        <f>GLOBAL_DER_FEV_2023!S1116</f>
        <v/>
      </c>
      <c r="W1116" s="582">
        <v>0</v>
      </c>
      <c r="X1116" s="580"/>
      <c r="Y1116" s="583">
        <f>IF(GLOBAL_DER_FEV_2023!W1116=0,0,IF(GLOBAL_DER_FEV_2023!W1116&gt;0,"c","b"))</f>
        <v>0</v>
      </c>
    </row>
    <row r="1117" spans="1:25" ht="23.25" hidden="1" thickBot="1" x14ac:dyDescent="0.25">
      <c r="A1117" s="317">
        <v>95729</v>
      </c>
      <c r="B1117" s="895">
        <v>95729</v>
      </c>
      <c r="C1117" s="896" t="s">
        <v>596</v>
      </c>
      <c r="D1117" s="906" t="s">
        <v>1047</v>
      </c>
      <c r="E1117" s="907">
        <f>GLOBAL_DER_FEV_2023!E1117</f>
        <v>0</v>
      </c>
      <c r="F1117" s="908">
        <f>GLOBAL_DER_FEV_2023!F1117</f>
        <v>0</v>
      </c>
      <c r="G1117" s="912">
        <f>GLOBAL_DER_FEV_2023!G1117</f>
        <v>0</v>
      </c>
      <c r="H1117" s="901">
        <f>GLOBAL_DER_FEV_2023!H1117</f>
        <v>10.130000000000001</v>
      </c>
      <c r="I1117" s="901">
        <f>GLOBAL_DER_FEV_2023!I1117</f>
        <v>10.130000000000001</v>
      </c>
      <c r="J1117" s="902">
        <f>GLOBAL_DER_FEV_2023!J1117</f>
        <v>12.16</v>
      </c>
      <c r="K1117" s="903" t="s">
        <v>62</v>
      </c>
      <c r="L1117" s="1137"/>
      <c r="M1117" s="1138">
        <f t="shared" si="82"/>
        <v>0</v>
      </c>
      <c r="N1117" s="893">
        <f t="shared" si="81"/>
        <v>0</v>
      </c>
      <c r="O1117" s="905"/>
      <c r="Q1117" s="317" t="str">
        <f t="shared" si="83"/>
        <v/>
      </c>
      <c r="R1117" s="317" t="str">
        <f t="shared" ref="R1117:R1180" si="84">IF(P1117="X","x",IF(P1117="y","x",IF(P1117="xx","x",IF(N1117&gt;0,"x",""))))</f>
        <v/>
      </c>
      <c r="S1117" s="317" t="str">
        <f t="shared" ref="S1117:S1180" si="85">IF(P1117="X","x",IF(N1117&gt;0,"x",""))</f>
        <v/>
      </c>
      <c r="T1117" s="317" t="str">
        <f>GLOBAL_DER_FEV_2023!S1117</f>
        <v/>
      </c>
      <c r="W1117" s="582">
        <v>0</v>
      </c>
      <c r="X1117" s="580"/>
      <c r="Y1117" s="583">
        <f>IF(GLOBAL_DER_FEV_2023!W1117=0,0,IF(GLOBAL_DER_FEV_2023!W1117&gt;0,"c","b"))</f>
        <v>0</v>
      </c>
    </row>
    <row r="1118" spans="1:25" ht="23.25" hidden="1" thickBot="1" x14ac:dyDescent="0.25">
      <c r="A1118" s="317">
        <v>95730</v>
      </c>
      <c r="B1118" s="895">
        <v>95730</v>
      </c>
      <c r="C1118" s="896" t="s">
        <v>596</v>
      </c>
      <c r="D1118" s="906" t="s">
        <v>1048</v>
      </c>
      <c r="E1118" s="907">
        <f>GLOBAL_DER_FEV_2023!E1118</f>
        <v>0</v>
      </c>
      <c r="F1118" s="908">
        <f>GLOBAL_DER_FEV_2023!F1118</f>
        <v>0</v>
      </c>
      <c r="G1118" s="912">
        <f>GLOBAL_DER_FEV_2023!G1118</f>
        <v>0</v>
      </c>
      <c r="H1118" s="901">
        <f>GLOBAL_DER_FEV_2023!H1118</f>
        <v>11.31</v>
      </c>
      <c r="I1118" s="901">
        <f>GLOBAL_DER_FEV_2023!I1118</f>
        <v>11.31</v>
      </c>
      <c r="J1118" s="902">
        <f>GLOBAL_DER_FEV_2023!J1118</f>
        <v>13.58</v>
      </c>
      <c r="K1118" s="903" t="s">
        <v>62</v>
      </c>
      <c r="L1118" s="1137"/>
      <c r="M1118" s="1138">
        <f t="shared" si="82"/>
        <v>0</v>
      </c>
      <c r="N1118" s="893">
        <f t="shared" si="81"/>
        <v>0</v>
      </c>
      <c r="O1118" s="905"/>
      <c r="Q1118" s="317" t="str">
        <f t="shared" si="83"/>
        <v/>
      </c>
      <c r="R1118" s="317" t="str">
        <f t="shared" si="84"/>
        <v/>
      </c>
      <c r="S1118" s="317" t="str">
        <f t="shared" si="85"/>
        <v/>
      </c>
      <c r="T1118" s="317" t="str">
        <f>GLOBAL_DER_FEV_2023!S1118</f>
        <v/>
      </c>
      <c r="W1118" s="582">
        <v>0</v>
      </c>
      <c r="X1118" s="580"/>
      <c r="Y1118" s="583">
        <f>IF(GLOBAL_DER_FEV_2023!W1118=0,0,IF(GLOBAL_DER_FEV_2023!W1118&gt;0,"c","b"))</f>
        <v>0</v>
      </c>
    </row>
    <row r="1119" spans="1:25" ht="23.25" hidden="1" thickBot="1" x14ac:dyDescent="0.25">
      <c r="A1119" s="317">
        <v>95731</v>
      </c>
      <c r="B1119" s="895">
        <v>95731</v>
      </c>
      <c r="C1119" s="896" t="s">
        <v>596</v>
      </c>
      <c r="D1119" s="906" t="s">
        <v>1049</v>
      </c>
      <c r="E1119" s="907">
        <f>GLOBAL_DER_FEV_2023!E1119</f>
        <v>0</v>
      </c>
      <c r="F1119" s="908">
        <f>GLOBAL_DER_FEV_2023!F1119</f>
        <v>0</v>
      </c>
      <c r="G1119" s="912">
        <f>GLOBAL_DER_FEV_2023!G1119</f>
        <v>0</v>
      </c>
      <c r="H1119" s="901">
        <f>GLOBAL_DER_FEV_2023!H1119</f>
        <v>13.96</v>
      </c>
      <c r="I1119" s="901">
        <f>GLOBAL_DER_FEV_2023!I1119</f>
        <v>13.96</v>
      </c>
      <c r="J1119" s="902">
        <f>GLOBAL_DER_FEV_2023!J1119</f>
        <v>16.760000000000002</v>
      </c>
      <c r="K1119" s="903" t="s">
        <v>62</v>
      </c>
      <c r="L1119" s="1137"/>
      <c r="M1119" s="1138">
        <f t="shared" si="82"/>
        <v>0</v>
      </c>
      <c r="N1119" s="893">
        <f t="shared" si="81"/>
        <v>0</v>
      </c>
      <c r="O1119" s="905"/>
      <c r="Q1119" s="317" t="str">
        <f t="shared" si="83"/>
        <v/>
      </c>
      <c r="R1119" s="317" t="str">
        <f t="shared" si="84"/>
        <v/>
      </c>
      <c r="S1119" s="317" t="str">
        <f t="shared" si="85"/>
        <v/>
      </c>
      <c r="T1119" s="317" t="str">
        <f>GLOBAL_DER_FEV_2023!S1119</f>
        <v/>
      </c>
      <c r="W1119" s="582">
        <v>0</v>
      </c>
      <c r="X1119" s="580"/>
      <c r="Y1119" s="583">
        <f>IF(GLOBAL_DER_FEV_2023!W1119=0,0,IF(GLOBAL_DER_FEV_2023!W1119&gt;0,"c","b"))</f>
        <v>0</v>
      </c>
    </row>
    <row r="1120" spans="1:25" ht="23.25" hidden="1" thickBot="1" x14ac:dyDescent="0.25">
      <c r="A1120" s="317">
        <v>95733</v>
      </c>
      <c r="B1120" s="895">
        <v>95733</v>
      </c>
      <c r="C1120" s="896" t="s">
        <v>596</v>
      </c>
      <c r="D1120" s="906" t="s">
        <v>1050</v>
      </c>
      <c r="E1120" s="907">
        <f>GLOBAL_DER_FEV_2023!E1120</f>
        <v>0</v>
      </c>
      <c r="F1120" s="908">
        <f>GLOBAL_DER_FEV_2023!F1120</f>
        <v>0</v>
      </c>
      <c r="G1120" s="912">
        <f>GLOBAL_DER_FEV_2023!G1120</f>
        <v>0</v>
      </c>
      <c r="H1120" s="901">
        <f>GLOBAL_DER_FEV_2023!H1120</f>
        <v>6.78</v>
      </c>
      <c r="I1120" s="901">
        <f>GLOBAL_DER_FEV_2023!I1120</f>
        <v>6.78</v>
      </c>
      <c r="J1120" s="902">
        <f>GLOBAL_DER_FEV_2023!J1120</f>
        <v>8.14</v>
      </c>
      <c r="K1120" s="903" t="s">
        <v>1516</v>
      </c>
      <c r="L1120" s="1137"/>
      <c r="M1120" s="1138">
        <f t="shared" si="82"/>
        <v>0</v>
      </c>
      <c r="N1120" s="893">
        <f t="shared" si="81"/>
        <v>0</v>
      </c>
      <c r="O1120" s="905"/>
      <c r="Q1120" s="317" t="str">
        <f t="shared" si="83"/>
        <v/>
      </c>
      <c r="R1120" s="317" t="str">
        <f t="shared" si="84"/>
        <v/>
      </c>
      <c r="S1120" s="317" t="str">
        <f t="shared" si="85"/>
        <v/>
      </c>
      <c r="T1120" s="317" t="str">
        <f>GLOBAL_DER_FEV_2023!S1120</f>
        <v/>
      </c>
      <c r="W1120" s="582">
        <v>0</v>
      </c>
      <c r="X1120" s="580"/>
      <c r="Y1120" s="583">
        <f>IF(GLOBAL_DER_FEV_2023!W1120=0,0,IF(GLOBAL_DER_FEV_2023!W1120&gt;0,"c","b"))</f>
        <v>0</v>
      </c>
    </row>
    <row r="1121" spans="1:25" ht="23.25" hidden="1" thickBot="1" x14ac:dyDescent="0.25">
      <c r="A1121" s="317">
        <v>95734</v>
      </c>
      <c r="B1121" s="895">
        <v>95734</v>
      </c>
      <c r="C1121" s="896" t="s">
        <v>596</v>
      </c>
      <c r="D1121" s="906" t="s">
        <v>1051</v>
      </c>
      <c r="E1121" s="907">
        <f>GLOBAL_DER_FEV_2023!E1121</f>
        <v>0</v>
      </c>
      <c r="F1121" s="908">
        <f>GLOBAL_DER_FEV_2023!F1121</f>
        <v>0</v>
      </c>
      <c r="G1121" s="912">
        <f>GLOBAL_DER_FEV_2023!G1121</f>
        <v>0</v>
      </c>
      <c r="H1121" s="901">
        <f>GLOBAL_DER_FEV_2023!H1121</f>
        <v>9.0299999999999994</v>
      </c>
      <c r="I1121" s="901">
        <f>GLOBAL_DER_FEV_2023!I1121</f>
        <v>9.0299999999999994</v>
      </c>
      <c r="J1121" s="902">
        <f>GLOBAL_DER_FEV_2023!J1121</f>
        <v>10.84</v>
      </c>
      <c r="K1121" s="903" t="s">
        <v>1516</v>
      </c>
      <c r="L1121" s="1137"/>
      <c r="M1121" s="1138">
        <f t="shared" si="82"/>
        <v>0</v>
      </c>
      <c r="N1121" s="893">
        <f t="shared" ref="N1121:N1184" si="86">IF(ISBLANK(L1121),0,IF(W1121=0,ROUND(L1121*M1121,2),IF(W1121="b",ROUNDDOWN(L1121*M1121,2),ROUNDUP(L1121*M1121,2))))</f>
        <v>0</v>
      </c>
      <c r="O1121" s="905"/>
      <c r="Q1121" s="317" t="str">
        <f t="shared" si="83"/>
        <v/>
      </c>
      <c r="R1121" s="317" t="str">
        <f t="shared" si="84"/>
        <v/>
      </c>
      <c r="S1121" s="317" t="str">
        <f t="shared" si="85"/>
        <v/>
      </c>
      <c r="T1121" s="317" t="str">
        <f>GLOBAL_DER_FEV_2023!S1121</f>
        <v/>
      </c>
      <c r="W1121" s="582">
        <v>0</v>
      </c>
      <c r="X1121" s="580"/>
      <c r="Y1121" s="583">
        <f>IF(GLOBAL_DER_FEV_2023!W1121=0,0,IF(GLOBAL_DER_FEV_2023!W1121&gt;0,"c","b"))</f>
        <v>0</v>
      </c>
    </row>
    <row r="1122" spans="1:25" ht="23.25" hidden="1" thickBot="1" x14ac:dyDescent="0.25">
      <c r="A1122" s="317">
        <v>95735</v>
      </c>
      <c r="B1122" s="895">
        <v>95735</v>
      </c>
      <c r="C1122" s="896" t="s">
        <v>596</v>
      </c>
      <c r="D1122" s="906" t="s">
        <v>1052</v>
      </c>
      <c r="E1122" s="907">
        <f>GLOBAL_DER_FEV_2023!E1122</f>
        <v>0</v>
      </c>
      <c r="F1122" s="908">
        <f>GLOBAL_DER_FEV_2023!F1122</f>
        <v>0</v>
      </c>
      <c r="G1122" s="912">
        <f>GLOBAL_DER_FEV_2023!G1122</f>
        <v>0</v>
      </c>
      <c r="H1122" s="901">
        <f>GLOBAL_DER_FEV_2023!H1122</f>
        <v>7.48</v>
      </c>
      <c r="I1122" s="901">
        <f>GLOBAL_DER_FEV_2023!I1122</f>
        <v>7.48</v>
      </c>
      <c r="J1122" s="902">
        <f>GLOBAL_DER_FEV_2023!J1122</f>
        <v>8.98</v>
      </c>
      <c r="K1122" s="903" t="s">
        <v>1516</v>
      </c>
      <c r="L1122" s="1137"/>
      <c r="M1122" s="1138">
        <f t="shared" si="82"/>
        <v>0</v>
      </c>
      <c r="N1122" s="893">
        <f t="shared" si="86"/>
        <v>0</v>
      </c>
      <c r="O1122" s="905"/>
      <c r="Q1122" s="317" t="str">
        <f t="shared" si="83"/>
        <v/>
      </c>
      <c r="R1122" s="317" t="str">
        <f t="shared" si="84"/>
        <v/>
      </c>
      <c r="S1122" s="317" t="str">
        <f t="shared" si="85"/>
        <v/>
      </c>
      <c r="T1122" s="317" t="str">
        <f>GLOBAL_DER_FEV_2023!S1122</f>
        <v/>
      </c>
      <c r="W1122" s="582">
        <v>0</v>
      </c>
      <c r="X1122" s="580"/>
      <c r="Y1122" s="583">
        <f>IF(GLOBAL_DER_FEV_2023!W1122=0,0,IF(GLOBAL_DER_FEV_2023!W1122&gt;0,"c","b"))</f>
        <v>0</v>
      </c>
    </row>
    <row r="1123" spans="1:25" ht="23.25" hidden="1" thickBot="1" x14ac:dyDescent="0.25">
      <c r="A1123" s="317">
        <v>95736</v>
      </c>
      <c r="B1123" s="895">
        <v>95736</v>
      </c>
      <c r="C1123" s="896" t="s">
        <v>596</v>
      </c>
      <c r="D1123" s="906" t="s">
        <v>1053</v>
      </c>
      <c r="E1123" s="907">
        <f>GLOBAL_DER_FEV_2023!E1123</f>
        <v>0</v>
      </c>
      <c r="F1123" s="908">
        <f>GLOBAL_DER_FEV_2023!F1123</f>
        <v>0</v>
      </c>
      <c r="G1123" s="912">
        <f>GLOBAL_DER_FEV_2023!G1123</f>
        <v>0</v>
      </c>
      <c r="H1123" s="901">
        <f>GLOBAL_DER_FEV_2023!H1123</f>
        <v>8.85</v>
      </c>
      <c r="I1123" s="901">
        <f>GLOBAL_DER_FEV_2023!I1123</f>
        <v>8.85</v>
      </c>
      <c r="J1123" s="902">
        <f>GLOBAL_DER_FEV_2023!J1123</f>
        <v>10.63</v>
      </c>
      <c r="K1123" s="903" t="s">
        <v>1516</v>
      </c>
      <c r="L1123" s="1137"/>
      <c r="M1123" s="1138">
        <f t="shared" si="82"/>
        <v>0</v>
      </c>
      <c r="N1123" s="893">
        <f t="shared" si="86"/>
        <v>0</v>
      </c>
      <c r="O1123" s="905"/>
      <c r="Q1123" s="317" t="str">
        <f t="shared" si="83"/>
        <v/>
      </c>
      <c r="R1123" s="317" t="str">
        <f t="shared" si="84"/>
        <v/>
      </c>
      <c r="S1123" s="317" t="str">
        <f t="shared" si="85"/>
        <v/>
      </c>
      <c r="T1123" s="317" t="str">
        <f>GLOBAL_DER_FEV_2023!S1123</f>
        <v/>
      </c>
      <c r="W1123" s="582">
        <v>0</v>
      </c>
      <c r="X1123" s="580"/>
      <c r="Y1123" s="583">
        <f>IF(GLOBAL_DER_FEV_2023!W1123=0,0,IF(GLOBAL_DER_FEV_2023!W1123&gt;0,"c","b"))</f>
        <v>0</v>
      </c>
    </row>
    <row r="1124" spans="1:25" ht="23.25" hidden="1" thickBot="1" x14ac:dyDescent="0.25">
      <c r="A1124" s="317">
        <v>95738</v>
      </c>
      <c r="B1124" s="895">
        <v>95738</v>
      </c>
      <c r="C1124" s="896" t="s">
        <v>596</v>
      </c>
      <c r="D1124" s="906" t="s">
        <v>1054</v>
      </c>
      <c r="E1124" s="907">
        <f>GLOBAL_DER_FEV_2023!E1124</f>
        <v>0</v>
      </c>
      <c r="F1124" s="908">
        <f>GLOBAL_DER_FEV_2023!F1124</f>
        <v>0</v>
      </c>
      <c r="G1124" s="912">
        <f>GLOBAL_DER_FEV_2023!G1124</f>
        <v>0</v>
      </c>
      <c r="H1124" s="901">
        <f>GLOBAL_DER_FEV_2023!H1124</f>
        <v>10.71</v>
      </c>
      <c r="I1124" s="901">
        <f>GLOBAL_DER_FEV_2023!I1124</f>
        <v>10.71</v>
      </c>
      <c r="J1124" s="902">
        <f>GLOBAL_DER_FEV_2023!J1124</f>
        <v>12.86</v>
      </c>
      <c r="K1124" s="903" t="s">
        <v>1516</v>
      </c>
      <c r="L1124" s="1137"/>
      <c r="M1124" s="1138">
        <f t="shared" si="82"/>
        <v>0</v>
      </c>
      <c r="N1124" s="893">
        <f t="shared" si="86"/>
        <v>0</v>
      </c>
      <c r="O1124" s="905"/>
      <c r="Q1124" s="317" t="str">
        <f t="shared" si="83"/>
        <v/>
      </c>
      <c r="R1124" s="317" t="str">
        <f t="shared" si="84"/>
        <v/>
      </c>
      <c r="S1124" s="317" t="str">
        <f t="shared" si="85"/>
        <v/>
      </c>
      <c r="T1124" s="317" t="str">
        <f>GLOBAL_DER_FEV_2023!S1124</f>
        <v/>
      </c>
      <c r="W1124" s="582">
        <v>0</v>
      </c>
      <c r="X1124" s="580"/>
      <c r="Y1124" s="583">
        <f>IF(GLOBAL_DER_FEV_2023!W1124=0,0,IF(GLOBAL_DER_FEV_2023!W1124&gt;0,"c","b"))</f>
        <v>0</v>
      </c>
    </row>
    <row r="1125" spans="1:25" ht="23.25" hidden="1" thickBot="1" x14ac:dyDescent="0.25">
      <c r="A1125" s="317">
        <v>95732</v>
      </c>
      <c r="B1125" s="895">
        <v>95732</v>
      </c>
      <c r="C1125" s="896" t="s">
        <v>596</v>
      </c>
      <c r="D1125" s="906" t="s">
        <v>1055</v>
      </c>
      <c r="E1125" s="907">
        <f>GLOBAL_DER_FEV_2023!E1125</f>
        <v>0</v>
      </c>
      <c r="F1125" s="908">
        <f>GLOBAL_DER_FEV_2023!F1125</f>
        <v>0</v>
      </c>
      <c r="G1125" s="912">
        <f>GLOBAL_DER_FEV_2023!G1125</f>
        <v>0</v>
      </c>
      <c r="H1125" s="901">
        <f>GLOBAL_DER_FEV_2023!H1125</f>
        <v>5.14</v>
      </c>
      <c r="I1125" s="901">
        <f>GLOBAL_DER_FEV_2023!I1125</f>
        <v>5.14</v>
      </c>
      <c r="J1125" s="902">
        <f>GLOBAL_DER_FEV_2023!J1125</f>
        <v>6.17</v>
      </c>
      <c r="K1125" s="903" t="s">
        <v>1516</v>
      </c>
      <c r="L1125" s="1137"/>
      <c r="M1125" s="1138">
        <f t="shared" si="82"/>
        <v>0</v>
      </c>
      <c r="N1125" s="893">
        <f t="shared" si="86"/>
        <v>0</v>
      </c>
      <c r="O1125" s="905"/>
      <c r="Q1125" s="317" t="str">
        <f t="shared" si="83"/>
        <v/>
      </c>
      <c r="R1125" s="317" t="str">
        <f t="shared" si="84"/>
        <v/>
      </c>
      <c r="S1125" s="317" t="str">
        <f t="shared" si="85"/>
        <v/>
      </c>
      <c r="T1125" s="317" t="str">
        <f>GLOBAL_DER_FEV_2023!S1125</f>
        <v/>
      </c>
      <c r="W1125" s="582">
        <v>0</v>
      </c>
      <c r="X1125" s="580"/>
      <c r="Y1125" s="583">
        <f>IF(GLOBAL_DER_FEV_2023!W1125=0,0,IF(GLOBAL_DER_FEV_2023!W1125&gt;0,"c","b"))</f>
        <v>0</v>
      </c>
    </row>
    <row r="1126" spans="1:25" ht="23.25" hidden="1" thickBot="1" x14ac:dyDescent="0.25">
      <c r="A1126" s="317">
        <v>95745</v>
      </c>
      <c r="B1126" s="895">
        <v>95745</v>
      </c>
      <c r="C1126" s="896" t="s">
        <v>596</v>
      </c>
      <c r="D1126" s="906" t="s">
        <v>1056</v>
      </c>
      <c r="E1126" s="907">
        <f>GLOBAL_DER_FEV_2023!E1126</f>
        <v>0</v>
      </c>
      <c r="F1126" s="908">
        <f>GLOBAL_DER_FEV_2023!F1126</f>
        <v>0</v>
      </c>
      <c r="G1126" s="912">
        <f>GLOBAL_DER_FEV_2023!G1126</f>
        <v>0</v>
      </c>
      <c r="H1126" s="901">
        <f>GLOBAL_DER_FEV_2023!H1126</f>
        <v>23.89</v>
      </c>
      <c r="I1126" s="901">
        <f>GLOBAL_DER_FEV_2023!I1126</f>
        <v>23.89</v>
      </c>
      <c r="J1126" s="902">
        <f>GLOBAL_DER_FEV_2023!J1126</f>
        <v>28.68</v>
      </c>
      <c r="K1126" s="903" t="s">
        <v>62</v>
      </c>
      <c r="L1126" s="1137"/>
      <c r="M1126" s="1138">
        <f t="shared" si="82"/>
        <v>0</v>
      </c>
      <c r="N1126" s="893">
        <f t="shared" si="86"/>
        <v>0</v>
      </c>
      <c r="O1126" s="905"/>
      <c r="Q1126" s="317" t="str">
        <f t="shared" si="83"/>
        <v/>
      </c>
      <c r="R1126" s="317" t="str">
        <f t="shared" si="84"/>
        <v/>
      </c>
      <c r="S1126" s="317" t="str">
        <f t="shared" si="85"/>
        <v/>
      </c>
      <c r="T1126" s="317" t="str">
        <f>GLOBAL_DER_FEV_2023!S1126</f>
        <v/>
      </c>
      <c r="W1126" s="582">
        <v>0</v>
      </c>
      <c r="X1126" s="580"/>
      <c r="Y1126" s="583">
        <f>IF(GLOBAL_DER_FEV_2023!W1126=0,0,IF(GLOBAL_DER_FEV_2023!W1126&gt;0,"c","b"))</f>
        <v>0</v>
      </c>
    </row>
    <row r="1127" spans="1:25" ht="23.25" hidden="1" thickBot="1" x14ac:dyDescent="0.25">
      <c r="A1127" s="317">
        <v>95746</v>
      </c>
      <c r="B1127" s="895">
        <v>95746</v>
      </c>
      <c r="C1127" s="896" t="s">
        <v>596</v>
      </c>
      <c r="D1127" s="906" t="s">
        <v>1057</v>
      </c>
      <c r="E1127" s="907">
        <f>GLOBAL_DER_FEV_2023!E1127</f>
        <v>0</v>
      </c>
      <c r="F1127" s="908">
        <f>GLOBAL_DER_FEV_2023!F1127</f>
        <v>0</v>
      </c>
      <c r="G1127" s="912">
        <f>GLOBAL_DER_FEV_2023!G1127</f>
        <v>0</v>
      </c>
      <c r="H1127" s="901">
        <f>GLOBAL_DER_FEV_2023!H1127</f>
        <v>29.71</v>
      </c>
      <c r="I1127" s="901">
        <f>GLOBAL_DER_FEV_2023!I1127</f>
        <v>29.71</v>
      </c>
      <c r="J1127" s="902">
        <f>GLOBAL_DER_FEV_2023!J1127</f>
        <v>35.67</v>
      </c>
      <c r="K1127" s="903" t="s">
        <v>62</v>
      </c>
      <c r="L1127" s="1137"/>
      <c r="M1127" s="1138">
        <f t="shared" si="82"/>
        <v>0</v>
      </c>
      <c r="N1127" s="893">
        <f t="shared" si="86"/>
        <v>0</v>
      </c>
      <c r="O1127" s="905"/>
      <c r="Q1127" s="317" t="str">
        <f t="shared" si="83"/>
        <v/>
      </c>
      <c r="R1127" s="317" t="str">
        <f t="shared" si="84"/>
        <v/>
      </c>
      <c r="S1127" s="317" t="str">
        <f t="shared" si="85"/>
        <v/>
      </c>
      <c r="T1127" s="317" t="str">
        <f>GLOBAL_DER_FEV_2023!S1127</f>
        <v/>
      </c>
      <c r="W1127" s="582">
        <v>0</v>
      </c>
      <c r="X1127" s="580"/>
      <c r="Y1127" s="583">
        <f>IF(GLOBAL_DER_FEV_2023!W1127=0,0,IF(GLOBAL_DER_FEV_2023!W1127&gt;0,"c","b"))</f>
        <v>0</v>
      </c>
    </row>
    <row r="1128" spans="1:25" ht="23.25" hidden="1" thickBot="1" x14ac:dyDescent="0.25">
      <c r="A1128" s="317">
        <v>95747</v>
      </c>
      <c r="B1128" s="895">
        <v>95747</v>
      </c>
      <c r="C1128" s="896" t="s">
        <v>596</v>
      </c>
      <c r="D1128" s="906" t="s">
        <v>1058</v>
      </c>
      <c r="E1128" s="907">
        <f>GLOBAL_DER_FEV_2023!E1128</f>
        <v>0</v>
      </c>
      <c r="F1128" s="908">
        <f>GLOBAL_DER_FEV_2023!F1128</f>
        <v>0</v>
      </c>
      <c r="G1128" s="912">
        <f>GLOBAL_DER_FEV_2023!G1128</f>
        <v>0</v>
      </c>
      <c r="H1128" s="901">
        <f>GLOBAL_DER_FEV_2023!H1128</f>
        <v>49.07</v>
      </c>
      <c r="I1128" s="901">
        <f>GLOBAL_DER_FEV_2023!I1128</f>
        <v>49.07</v>
      </c>
      <c r="J1128" s="902">
        <f>GLOBAL_DER_FEV_2023!J1128</f>
        <v>58.92</v>
      </c>
      <c r="K1128" s="903" t="s">
        <v>62</v>
      </c>
      <c r="L1128" s="1137"/>
      <c r="M1128" s="1138">
        <f t="shared" si="82"/>
        <v>0</v>
      </c>
      <c r="N1128" s="893">
        <f t="shared" si="86"/>
        <v>0</v>
      </c>
      <c r="O1128" s="905"/>
      <c r="Q1128" s="317" t="str">
        <f t="shared" si="83"/>
        <v/>
      </c>
      <c r="R1128" s="317" t="str">
        <f t="shared" si="84"/>
        <v/>
      </c>
      <c r="S1128" s="317" t="str">
        <f t="shared" si="85"/>
        <v/>
      </c>
      <c r="T1128" s="317" t="str">
        <f>GLOBAL_DER_FEV_2023!S1128</f>
        <v/>
      </c>
      <c r="W1128" s="582">
        <v>0</v>
      </c>
      <c r="X1128" s="580"/>
      <c r="Y1128" s="583">
        <f>IF(GLOBAL_DER_FEV_2023!W1128=0,0,IF(GLOBAL_DER_FEV_2023!W1128&gt;0,"c","b"))</f>
        <v>0</v>
      </c>
    </row>
    <row r="1129" spans="1:25" ht="23.25" hidden="1" thickBot="1" x14ac:dyDescent="0.25">
      <c r="A1129" s="317">
        <v>95748</v>
      </c>
      <c r="B1129" s="895">
        <v>95748</v>
      </c>
      <c r="C1129" s="896" t="s">
        <v>596</v>
      </c>
      <c r="D1129" s="906" t="s">
        <v>1059</v>
      </c>
      <c r="E1129" s="907">
        <f>GLOBAL_DER_FEV_2023!E1129</f>
        <v>0</v>
      </c>
      <c r="F1129" s="908">
        <f>GLOBAL_DER_FEV_2023!F1129</f>
        <v>0</v>
      </c>
      <c r="G1129" s="912">
        <f>GLOBAL_DER_FEV_2023!G1129</f>
        <v>0</v>
      </c>
      <c r="H1129" s="901">
        <f>GLOBAL_DER_FEV_2023!H1129</f>
        <v>53.05</v>
      </c>
      <c r="I1129" s="901">
        <f>GLOBAL_DER_FEV_2023!I1129</f>
        <v>53.05</v>
      </c>
      <c r="J1129" s="902">
        <f>GLOBAL_DER_FEV_2023!J1129</f>
        <v>63.7</v>
      </c>
      <c r="K1129" s="903" t="s">
        <v>62</v>
      </c>
      <c r="L1129" s="1137"/>
      <c r="M1129" s="1138">
        <f t="shared" si="82"/>
        <v>0</v>
      </c>
      <c r="N1129" s="893">
        <f t="shared" si="86"/>
        <v>0</v>
      </c>
      <c r="O1129" s="905"/>
      <c r="Q1129" s="317" t="str">
        <f t="shared" si="83"/>
        <v/>
      </c>
      <c r="R1129" s="317" t="str">
        <f t="shared" si="84"/>
        <v/>
      </c>
      <c r="S1129" s="317" t="str">
        <f t="shared" si="85"/>
        <v/>
      </c>
      <c r="T1129" s="317" t="str">
        <f>GLOBAL_DER_FEV_2023!S1129</f>
        <v/>
      </c>
      <c r="W1129" s="582">
        <v>0</v>
      </c>
      <c r="X1129" s="580"/>
      <c r="Y1129" s="583">
        <f>IF(GLOBAL_DER_FEV_2023!W1129=0,0,IF(GLOBAL_DER_FEV_2023!W1129&gt;0,"c","b"))</f>
        <v>0</v>
      </c>
    </row>
    <row r="1130" spans="1:25" ht="23.25" hidden="1" thickBot="1" x14ac:dyDescent="0.25">
      <c r="A1130" s="317">
        <v>95749</v>
      </c>
      <c r="B1130" s="895">
        <v>95749</v>
      </c>
      <c r="C1130" s="896" t="s">
        <v>596</v>
      </c>
      <c r="D1130" s="906" t="s">
        <v>1060</v>
      </c>
      <c r="E1130" s="907">
        <f>GLOBAL_DER_FEV_2023!E1130</f>
        <v>0</v>
      </c>
      <c r="F1130" s="908">
        <f>GLOBAL_DER_FEV_2023!F1130</f>
        <v>0</v>
      </c>
      <c r="G1130" s="912">
        <f>GLOBAL_DER_FEV_2023!G1130</f>
        <v>0</v>
      </c>
      <c r="H1130" s="901">
        <f>GLOBAL_DER_FEV_2023!H1130</f>
        <v>31.18</v>
      </c>
      <c r="I1130" s="901">
        <f>GLOBAL_DER_FEV_2023!I1130</f>
        <v>31.18</v>
      </c>
      <c r="J1130" s="902">
        <f>GLOBAL_DER_FEV_2023!J1130</f>
        <v>37.44</v>
      </c>
      <c r="K1130" s="903" t="s">
        <v>62</v>
      </c>
      <c r="L1130" s="1137"/>
      <c r="M1130" s="1138">
        <f t="shared" si="82"/>
        <v>0</v>
      </c>
      <c r="N1130" s="893">
        <f t="shared" si="86"/>
        <v>0</v>
      </c>
      <c r="O1130" s="905"/>
      <c r="Q1130" s="317" t="str">
        <f t="shared" si="83"/>
        <v/>
      </c>
      <c r="R1130" s="317" t="str">
        <f t="shared" si="84"/>
        <v/>
      </c>
      <c r="S1130" s="317" t="str">
        <f t="shared" si="85"/>
        <v/>
      </c>
      <c r="T1130" s="317" t="str">
        <f>GLOBAL_DER_FEV_2023!S1130</f>
        <v/>
      </c>
      <c r="W1130" s="582">
        <v>0</v>
      </c>
      <c r="X1130" s="580"/>
      <c r="Y1130" s="583">
        <f>IF(GLOBAL_DER_FEV_2023!W1130=0,0,IF(GLOBAL_DER_FEV_2023!W1130&gt;0,"c","b"))</f>
        <v>0</v>
      </c>
    </row>
    <row r="1131" spans="1:25" ht="23.25" hidden="1" thickBot="1" x14ac:dyDescent="0.25">
      <c r="A1131" s="317">
        <v>95750</v>
      </c>
      <c r="B1131" s="895">
        <v>95750</v>
      </c>
      <c r="C1131" s="896" t="s">
        <v>596</v>
      </c>
      <c r="D1131" s="906" t="s">
        <v>1061</v>
      </c>
      <c r="E1131" s="907">
        <f>GLOBAL_DER_FEV_2023!E1131</f>
        <v>0</v>
      </c>
      <c r="F1131" s="908">
        <f>GLOBAL_DER_FEV_2023!F1131</f>
        <v>0</v>
      </c>
      <c r="G1131" s="912">
        <f>GLOBAL_DER_FEV_2023!G1131</f>
        <v>0</v>
      </c>
      <c r="H1131" s="901">
        <f>GLOBAL_DER_FEV_2023!H1131</f>
        <v>36.840000000000003</v>
      </c>
      <c r="I1131" s="901">
        <f>GLOBAL_DER_FEV_2023!I1131</f>
        <v>36.840000000000003</v>
      </c>
      <c r="J1131" s="902">
        <f>GLOBAL_DER_FEV_2023!J1131</f>
        <v>44.23</v>
      </c>
      <c r="K1131" s="903" t="s">
        <v>62</v>
      </c>
      <c r="L1131" s="1137"/>
      <c r="M1131" s="1138">
        <f t="shared" si="82"/>
        <v>0</v>
      </c>
      <c r="N1131" s="893">
        <f t="shared" si="86"/>
        <v>0</v>
      </c>
      <c r="O1131" s="905"/>
      <c r="Q1131" s="317" t="str">
        <f t="shared" si="83"/>
        <v/>
      </c>
      <c r="R1131" s="317" t="str">
        <f t="shared" si="84"/>
        <v/>
      </c>
      <c r="S1131" s="317" t="str">
        <f t="shared" si="85"/>
        <v/>
      </c>
      <c r="T1131" s="317" t="str">
        <f>GLOBAL_DER_FEV_2023!S1131</f>
        <v/>
      </c>
      <c r="W1131" s="582">
        <v>0</v>
      </c>
      <c r="X1131" s="580"/>
      <c r="Y1131" s="583">
        <f>IF(GLOBAL_DER_FEV_2023!W1131=0,0,IF(GLOBAL_DER_FEV_2023!W1131&gt;0,"c","b"))</f>
        <v>0</v>
      </c>
    </row>
    <row r="1132" spans="1:25" ht="23.25" hidden="1" thickBot="1" x14ac:dyDescent="0.25">
      <c r="A1132" s="317">
        <v>95751</v>
      </c>
      <c r="B1132" s="895">
        <v>95751</v>
      </c>
      <c r="C1132" s="896" t="s">
        <v>596</v>
      </c>
      <c r="D1132" s="906" t="s">
        <v>1062</v>
      </c>
      <c r="E1132" s="907">
        <f>GLOBAL_DER_FEV_2023!E1132</f>
        <v>0</v>
      </c>
      <c r="F1132" s="908">
        <f>GLOBAL_DER_FEV_2023!F1132</f>
        <v>0</v>
      </c>
      <c r="G1132" s="912">
        <f>GLOBAL_DER_FEV_2023!G1132</f>
        <v>0</v>
      </c>
      <c r="H1132" s="901">
        <f>GLOBAL_DER_FEV_2023!H1132</f>
        <v>55.99</v>
      </c>
      <c r="I1132" s="901">
        <f>GLOBAL_DER_FEV_2023!I1132</f>
        <v>55.99</v>
      </c>
      <c r="J1132" s="902">
        <f>GLOBAL_DER_FEV_2023!J1132</f>
        <v>67.23</v>
      </c>
      <c r="K1132" s="903" t="s">
        <v>62</v>
      </c>
      <c r="L1132" s="1137"/>
      <c r="M1132" s="1138">
        <f t="shared" si="82"/>
        <v>0</v>
      </c>
      <c r="N1132" s="893">
        <f t="shared" si="86"/>
        <v>0</v>
      </c>
      <c r="O1132" s="905"/>
      <c r="Q1132" s="317" t="str">
        <f t="shared" si="83"/>
        <v/>
      </c>
      <c r="R1132" s="317" t="str">
        <f t="shared" si="84"/>
        <v/>
      </c>
      <c r="S1132" s="317" t="str">
        <f t="shared" si="85"/>
        <v/>
      </c>
      <c r="T1132" s="317" t="str">
        <f>GLOBAL_DER_FEV_2023!S1132</f>
        <v/>
      </c>
      <c r="W1132" s="582">
        <v>0</v>
      </c>
      <c r="X1132" s="580"/>
      <c r="Y1132" s="583">
        <f>IF(GLOBAL_DER_FEV_2023!W1132=0,0,IF(GLOBAL_DER_FEV_2023!W1132&gt;0,"c","b"))</f>
        <v>0</v>
      </c>
    </row>
    <row r="1133" spans="1:25" ht="23.25" hidden="1" thickBot="1" x14ac:dyDescent="0.25">
      <c r="A1133" s="317">
        <v>95752</v>
      </c>
      <c r="B1133" s="895">
        <v>95752</v>
      </c>
      <c r="C1133" s="896" t="s">
        <v>596</v>
      </c>
      <c r="D1133" s="906" t="s">
        <v>1063</v>
      </c>
      <c r="E1133" s="907">
        <f>GLOBAL_DER_FEV_2023!E1133</f>
        <v>0</v>
      </c>
      <c r="F1133" s="908">
        <f>GLOBAL_DER_FEV_2023!F1133</f>
        <v>0</v>
      </c>
      <c r="G1133" s="912">
        <f>GLOBAL_DER_FEV_2023!G1133</f>
        <v>0</v>
      </c>
      <c r="H1133" s="901">
        <f>GLOBAL_DER_FEV_2023!H1133</f>
        <v>59.7</v>
      </c>
      <c r="I1133" s="901">
        <f>GLOBAL_DER_FEV_2023!I1133</f>
        <v>59.7</v>
      </c>
      <c r="J1133" s="902">
        <f>GLOBAL_DER_FEV_2023!J1133</f>
        <v>71.680000000000007</v>
      </c>
      <c r="K1133" s="903" t="s">
        <v>62</v>
      </c>
      <c r="L1133" s="1137"/>
      <c r="M1133" s="1138">
        <f t="shared" si="82"/>
        <v>0</v>
      </c>
      <c r="N1133" s="893">
        <f t="shared" si="86"/>
        <v>0</v>
      </c>
      <c r="O1133" s="905"/>
      <c r="Q1133" s="317" t="str">
        <f t="shared" si="83"/>
        <v/>
      </c>
      <c r="R1133" s="317" t="str">
        <f t="shared" si="84"/>
        <v/>
      </c>
      <c r="S1133" s="317" t="str">
        <f t="shared" si="85"/>
        <v/>
      </c>
      <c r="T1133" s="317" t="str">
        <f>GLOBAL_DER_FEV_2023!S1133</f>
        <v/>
      </c>
      <c r="W1133" s="582">
        <v>0</v>
      </c>
      <c r="X1133" s="580"/>
      <c r="Y1133" s="583">
        <f>IF(GLOBAL_DER_FEV_2023!W1133=0,0,IF(GLOBAL_DER_FEV_2023!W1133&gt;0,"c","b"))</f>
        <v>0</v>
      </c>
    </row>
    <row r="1134" spans="1:25" ht="23.25" hidden="1" thickBot="1" x14ac:dyDescent="0.25">
      <c r="A1134" s="317">
        <v>95753</v>
      </c>
      <c r="B1134" s="895">
        <v>95753</v>
      </c>
      <c r="C1134" s="896" t="s">
        <v>596</v>
      </c>
      <c r="D1134" s="906" t="s">
        <v>1064</v>
      </c>
      <c r="E1134" s="907">
        <f>GLOBAL_DER_FEV_2023!E1134</f>
        <v>0</v>
      </c>
      <c r="F1134" s="908">
        <f>GLOBAL_DER_FEV_2023!F1134</f>
        <v>0</v>
      </c>
      <c r="G1134" s="912">
        <f>GLOBAL_DER_FEV_2023!G1134</f>
        <v>0</v>
      </c>
      <c r="H1134" s="901">
        <f>GLOBAL_DER_FEV_2023!H1134</f>
        <v>7.96</v>
      </c>
      <c r="I1134" s="901">
        <f>GLOBAL_DER_FEV_2023!I1134</f>
        <v>7.96</v>
      </c>
      <c r="J1134" s="902">
        <f>GLOBAL_DER_FEV_2023!J1134</f>
        <v>9.56</v>
      </c>
      <c r="K1134" s="903" t="s">
        <v>1516</v>
      </c>
      <c r="L1134" s="1137"/>
      <c r="M1134" s="1138">
        <f t="shared" si="82"/>
        <v>0</v>
      </c>
      <c r="N1134" s="893">
        <f t="shared" si="86"/>
        <v>0</v>
      </c>
      <c r="O1134" s="905"/>
      <c r="Q1134" s="317" t="str">
        <f t="shared" si="83"/>
        <v/>
      </c>
      <c r="R1134" s="317" t="str">
        <f t="shared" si="84"/>
        <v/>
      </c>
      <c r="S1134" s="317" t="str">
        <f t="shared" si="85"/>
        <v/>
      </c>
      <c r="T1134" s="317" t="str">
        <f>GLOBAL_DER_FEV_2023!S1134</f>
        <v/>
      </c>
      <c r="W1134" s="582">
        <v>0</v>
      </c>
      <c r="X1134" s="580"/>
      <c r="Y1134" s="583">
        <f>IF(GLOBAL_DER_FEV_2023!W1134=0,0,IF(GLOBAL_DER_FEV_2023!W1134&gt;0,"c","b"))</f>
        <v>0</v>
      </c>
    </row>
    <row r="1135" spans="1:25" ht="23.25" hidden="1" thickBot="1" x14ac:dyDescent="0.25">
      <c r="A1135" s="317">
        <v>95754</v>
      </c>
      <c r="B1135" s="895">
        <v>95754</v>
      </c>
      <c r="C1135" s="896" t="s">
        <v>596</v>
      </c>
      <c r="D1135" s="906" t="s">
        <v>1065</v>
      </c>
      <c r="E1135" s="907">
        <f>GLOBAL_DER_FEV_2023!E1135</f>
        <v>0</v>
      </c>
      <c r="F1135" s="908">
        <f>GLOBAL_DER_FEV_2023!F1135</f>
        <v>0</v>
      </c>
      <c r="G1135" s="912">
        <f>GLOBAL_DER_FEV_2023!G1135</f>
        <v>0</v>
      </c>
      <c r="H1135" s="901">
        <f>GLOBAL_DER_FEV_2023!H1135</f>
        <v>9.91</v>
      </c>
      <c r="I1135" s="901">
        <f>GLOBAL_DER_FEV_2023!I1135</f>
        <v>9.91</v>
      </c>
      <c r="J1135" s="902">
        <f>GLOBAL_DER_FEV_2023!J1135</f>
        <v>11.9</v>
      </c>
      <c r="K1135" s="903" t="s">
        <v>1516</v>
      </c>
      <c r="L1135" s="1137"/>
      <c r="M1135" s="1138">
        <f t="shared" si="82"/>
        <v>0</v>
      </c>
      <c r="N1135" s="893">
        <f t="shared" si="86"/>
        <v>0</v>
      </c>
      <c r="O1135" s="905"/>
      <c r="Q1135" s="317" t="str">
        <f t="shared" si="83"/>
        <v/>
      </c>
      <c r="R1135" s="317" t="str">
        <f t="shared" si="84"/>
        <v/>
      </c>
      <c r="S1135" s="317" t="str">
        <f t="shared" si="85"/>
        <v/>
      </c>
      <c r="T1135" s="317" t="str">
        <f>GLOBAL_DER_FEV_2023!S1135</f>
        <v/>
      </c>
      <c r="W1135" s="582">
        <v>0</v>
      </c>
      <c r="X1135" s="580"/>
      <c r="Y1135" s="583">
        <f>IF(GLOBAL_DER_FEV_2023!W1135=0,0,IF(GLOBAL_DER_FEV_2023!W1135&gt;0,"c","b"))</f>
        <v>0</v>
      </c>
    </row>
    <row r="1136" spans="1:25" ht="23.25" hidden="1" thickBot="1" x14ac:dyDescent="0.25">
      <c r="A1136" s="317">
        <v>95755</v>
      </c>
      <c r="B1136" s="895">
        <v>95755</v>
      </c>
      <c r="C1136" s="896" t="s">
        <v>596</v>
      </c>
      <c r="D1136" s="906" t="s">
        <v>1066</v>
      </c>
      <c r="E1136" s="907">
        <f>GLOBAL_DER_FEV_2023!E1136</f>
        <v>0</v>
      </c>
      <c r="F1136" s="908">
        <f>GLOBAL_DER_FEV_2023!F1136</f>
        <v>0</v>
      </c>
      <c r="G1136" s="912">
        <f>GLOBAL_DER_FEV_2023!G1136</f>
        <v>0</v>
      </c>
      <c r="H1136" s="901">
        <f>GLOBAL_DER_FEV_2023!H1136</f>
        <v>14.25</v>
      </c>
      <c r="I1136" s="901">
        <f>GLOBAL_DER_FEV_2023!I1136</f>
        <v>14.25</v>
      </c>
      <c r="J1136" s="902">
        <f>GLOBAL_DER_FEV_2023!J1136</f>
        <v>17.11</v>
      </c>
      <c r="K1136" s="903" t="s">
        <v>1516</v>
      </c>
      <c r="L1136" s="1137"/>
      <c r="M1136" s="1138">
        <f t="shared" si="82"/>
        <v>0</v>
      </c>
      <c r="N1136" s="893">
        <f t="shared" si="86"/>
        <v>0</v>
      </c>
      <c r="O1136" s="905"/>
      <c r="Q1136" s="317" t="str">
        <f t="shared" si="83"/>
        <v/>
      </c>
      <c r="R1136" s="317" t="str">
        <f t="shared" si="84"/>
        <v/>
      </c>
      <c r="S1136" s="317" t="str">
        <f t="shared" si="85"/>
        <v/>
      </c>
      <c r="T1136" s="317" t="str">
        <f>GLOBAL_DER_FEV_2023!S1136</f>
        <v/>
      </c>
      <c r="W1136" s="582">
        <v>0</v>
      </c>
      <c r="X1136" s="580"/>
      <c r="Y1136" s="583">
        <f>IF(GLOBAL_DER_FEV_2023!W1136=0,0,IF(GLOBAL_DER_FEV_2023!W1136&gt;0,"c","b"))</f>
        <v>0</v>
      </c>
    </row>
    <row r="1137" spans="1:25" ht="23.25" hidden="1" thickBot="1" x14ac:dyDescent="0.25">
      <c r="A1137" s="317">
        <v>95756</v>
      </c>
      <c r="B1137" s="895">
        <v>95756</v>
      </c>
      <c r="C1137" s="896" t="s">
        <v>596</v>
      </c>
      <c r="D1137" s="906" t="s">
        <v>1067</v>
      </c>
      <c r="E1137" s="907">
        <f>GLOBAL_DER_FEV_2023!E1137</f>
        <v>0</v>
      </c>
      <c r="F1137" s="908">
        <f>GLOBAL_DER_FEV_2023!F1137</f>
        <v>0</v>
      </c>
      <c r="G1137" s="912">
        <f>GLOBAL_DER_FEV_2023!G1137</f>
        <v>0</v>
      </c>
      <c r="H1137" s="901">
        <f>GLOBAL_DER_FEV_2023!H1137</f>
        <v>18.989999999999998</v>
      </c>
      <c r="I1137" s="901">
        <f>GLOBAL_DER_FEV_2023!I1137</f>
        <v>18.989999999999998</v>
      </c>
      <c r="J1137" s="902">
        <f>GLOBAL_DER_FEV_2023!J1137</f>
        <v>22.8</v>
      </c>
      <c r="K1137" s="903" t="s">
        <v>1516</v>
      </c>
      <c r="L1137" s="1137"/>
      <c r="M1137" s="1138">
        <f t="shared" si="82"/>
        <v>0</v>
      </c>
      <c r="N1137" s="893">
        <f t="shared" si="86"/>
        <v>0</v>
      </c>
      <c r="O1137" s="905"/>
      <c r="Q1137" s="317" t="str">
        <f t="shared" si="83"/>
        <v/>
      </c>
      <c r="R1137" s="317" t="str">
        <f t="shared" si="84"/>
        <v/>
      </c>
      <c r="S1137" s="317" t="str">
        <f t="shared" si="85"/>
        <v/>
      </c>
      <c r="T1137" s="317" t="str">
        <f>GLOBAL_DER_FEV_2023!S1137</f>
        <v/>
      </c>
      <c r="W1137" s="582">
        <v>0</v>
      </c>
      <c r="X1137" s="580"/>
      <c r="Y1137" s="583">
        <f>IF(GLOBAL_DER_FEV_2023!W1137=0,0,IF(GLOBAL_DER_FEV_2023!W1137&gt;0,"c","b"))</f>
        <v>0</v>
      </c>
    </row>
    <row r="1138" spans="1:25" ht="23.25" hidden="1" thickBot="1" x14ac:dyDescent="0.25">
      <c r="A1138" s="317">
        <v>95757</v>
      </c>
      <c r="B1138" s="895">
        <v>95757</v>
      </c>
      <c r="C1138" s="896" t="s">
        <v>596</v>
      </c>
      <c r="D1138" s="906" t="s">
        <v>1068</v>
      </c>
      <c r="E1138" s="907">
        <f>GLOBAL_DER_FEV_2023!E1138</f>
        <v>0</v>
      </c>
      <c r="F1138" s="908">
        <f>GLOBAL_DER_FEV_2023!F1138</f>
        <v>0</v>
      </c>
      <c r="G1138" s="912">
        <f>GLOBAL_DER_FEV_2023!G1138</f>
        <v>0</v>
      </c>
      <c r="H1138" s="901">
        <f>GLOBAL_DER_FEV_2023!H1138</f>
        <v>12.01</v>
      </c>
      <c r="I1138" s="901">
        <f>GLOBAL_DER_FEV_2023!I1138</f>
        <v>12.01</v>
      </c>
      <c r="J1138" s="902">
        <f>GLOBAL_DER_FEV_2023!J1138</f>
        <v>14.42</v>
      </c>
      <c r="K1138" s="903" t="s">
        <v>1516</v>
      </c>
      <c r="L1138" s="1137"/>
      <c r="M1138" s="1138">
        <f t="shared" si="82"/>
        <v>0</v>
      </c>
      <c r="N1138" s="893">
        <f t="shared" si="86"/>
        <v>0</v>
      </c>
      <c r="O1138" s="905"/>
      <c r="Q1138" s="317" t="str">
        <f t="shared" si="83"/>
        <v/>
      </c>
      <c r="R1138" s="317" t="str">
        <f t="shared" si="84"/>
        <v/>
      </c>
      <c r="S1138" s="317" t="str">
        <f t="shared" si="85"/>
        <v/>
      </c>
      <c r="T1138" s="317" t="str">
        <f>GLOBAL_DER_FEV_2023!S1138</f>
        <v/>
      </c>
      <c r="W1138" s="582">
        <v>0</v>
      </c>
      <c r="X1138" s="580"/>
      <c r="Y1138" s="583">
        <f>IF(GLOBAL_DER_FEV_2023!W1138=0,0,IF(GLOBAL_DER_FEV_2023!W1138&gt;0,"c","b"))</f>
        <v>0</v>
      </c>
    </row>
    <row r="1139" spans="1:25" ht="23.25" hidden="1" thickBot="1" x14ac:dyDescent="0.25">
      <c r="A1139" s="317">
        <v>95758</v>
      </c>
      <c r="B1139" s="895">
        <v>95758</v>
      </c>
      <c r="C1139" s="896" t="s">
        <v>596</v>
      </c>
      <c r="D1139" s="906" t="s">
        <v>1069</v>
      </c>
      <c r="E1139" s="907">
        <f>GLOBAL_DER_FEV_2023!E1139</f>
        <v>0</v>
      </c>
      <c r="F1139" s="908">
        <f>GLOBAL_DER_FEV_2023!F1139</f>
        <v>0</v>
      </c>
      <c r="G1139" s="912">
        <f>GLOBAL_DER_FEV_2023!G1139</f>
        <v>0</v>
      </c>
      <c r="H1139" s="901">
        <f>GLOBAL_DER_FEV_2023!H1139</f>
        <v>13.5</v>
      </c>
      <c r="I1139" s="901">
        <f>GLOBAL_DER_FEV_2023!I1139</f>
        <v>13.5</v>
      </c>
      <c r="J1139" s="902">
        <f>GLOBAL_DER_FEV_2023!J1139</f>
        <v>16.21</v>
      </c>
      <c r="K1139" s="903" t="s">
        <v>1516</v>
      </c>
      <c r="L1139" s="1137"/>
      <c r="M1139" s="1138">
        <f t="shared" si="82"/>
        <v>0</v>
      </c>
      <c r="N1139" s="893">
        <f t="shared" si="86"/>
        <v>0</v>
      </c>
      <c r="O1139" s="905"/>
      <c r="Q1139" s="317" t="str">
        <f t="shared" si="83"/>
        <v/>
      </c>
      <c r="R1139" s="317" t="str">
        <f t="shared" si="84"/>
        <v/>
      </c>
      <c r="S1139" s="317" t="str">
        <f t="shared" si="85"/>
        <v/>
      </c>
      <c r="T1139" s="317" t="str">
        <f>GLOBAL_DER_FEV_2023!S1139</f>
        <v/>
      </c>
      <c r="W1139" s="582">
        <v>0</v>
      </c>
      <c r="X1139" s="580"/>
      <c r="Y1139" s="583">
        <f>IF(GLOBAL_DER_FEV_2023!W1139=0,0,IF(GLOBAL_DER_FEV_2023!W1139&gt;0,"c","b"))</f>
        <v>0</v>
      </c>
    </row>
    <row r="1140" spans="1:25" ht="23.25" hidden="1" thickBot="1" x14ac:dyDescent="0.25">
      <c r="A1140" s="317">
        <v>95759</v>
      </c>
      <c r="B1140" s="895">
        <v>95759</v>
      </c>
      <c r="C1140" s="896" t="s">
        <v>596</v>
      </c>
      <c r="D1140" s="906" t="s">
        <v>1070</v>
      </c>
      <c r="E1140" s="907">
        <f>GLOBAL_DER_FEV_2023!E1140</f>
        <v>0</v>
      </c>
      <c r="F1140" s="908">
        <f>GLOBAL_DER_FEV_2023!F1140</f>
        <v>0</v>
      </c>
      <c r="G1140" s="912">
        <f>GLOBAL_DER_FEV_2023!G1140</f>
        <v>0</v>
      </c>
      <c r="H1140" s="901">
        <f>GLOBAL_DER_FEV_2023!H1140</f>
        <v>17.16</v>
      </c>
      <c r="I1140" s="901">
        <f>GLOBAL_DER_FEV_2023!I1140</f>
        <v>17.16</v>
      </c>
      <c r="J1140" s="902">
        <f>GLOBAL_DER_FEV_2023!J1140</f>
        <v>20.6</v>
      </c>
      <c r="K1140" s="903" t="s">
        <v>1516</v>
      </c>
      <c r="L1140" s="1137"/>
      <c r="M1140" s="1138">
        <f t="shared" si="82"/>
        <v>0</v>
      </c>
      <c r="N1140" s="893">
        <f t="shared" si="86"/>
        <v>0</v>
      </c>
      <c r="O1140" s="905"/>
      <c r="Q1140" s="317" t="str">
        <f t="shared" si="83"/>
        <v/>
      </c>
      <c r="R1140" s="317" t="str">
        <f t="shared" si="84"/>
        <v/>
      </c>
      <c r="S1140" s="317" t="str">
        <f t="shared" si="85"/>
        <v/>
      </c>
      <c r="T1140" s="317" t="str">
        <f>GLOBAL_DER_FEV_2023!S1140</f>
        <v/>
      </c>
      <c r="W1140" s="582">
        <v>0</v>
      </c>
      <c r="X1140" s="580"/>
      <c r="Y1140" s="583">
        <f>IF(GLOBAL_DER_FEV_2023!W1140=0,0,IF(GLOBAL_DER_FEV_2023!W1140&gt;0,"c","b"))</f>
        <v>0</v>
      </c>
    </row>
    <row r="1141" spans="1:25" ht="23.25" hidden="1" thickBot="1" x14ac:dyDescent="0.25">
      <c r="A1141" s="317">
        <v>95760</v>
      </c>
      <c r="B1141" s="895">
        <v>95760</v>
      </c>
      <c r="C1141" s="896" t="s">
        <v>596</v>
      </c>
      <c r="D1141" s="906" t="s">
        <v>1071</v>
      </c>
      <c r="E1141" s="907">
        <f>GLOBAL_DER_FEV_2023!E1141</f>
        <v>0</v>
      </c>
      <c r="F1141" s="908">
        <f>GLOBAL_DER_FEV_2023!F1141</f>
        <v>0</v>
      </c>
      <c r="G1141" s="912">
        <f>GLOBAL_DER_FEV_2023!G1141</f>
        <v>0</v>
      </c>
      <c r="H1141" s="901">
        <f>GLOBAL_DER_FEV_2023!H1141</f>
        <v>21.11</v>
      </c>
      <c r="I1141" s="901">
        <f>GLOBAL_DER_FEV_2023!I1141</f>
        <v>21.11</v>
      </c>
      <c r="J1141" s="902">
        <f>GLOBAL_DER_FEV_2023!J1141</f>
        <v>25.35</v>
      </c>
      <c r="K1141" s="903" t="s">
        <v>1516</v>
      </c>
      <c r="L1141" s="1137"/>
      <c r="M1141" s="1138">
        <f t="shared" si="82"/>
        <v>0</v>
      </c>
      <c r="N1141" s="893">
        <f t="shared" si="86"/>
        <v>0</v>
      </c>
      <c r="O1141" s="905"/>
      <c r="Q1141" s="317" t="str">
        <f t="shared" si="83"/>
        <v/>
      </c>
      <c r="R1141" s="317" t="str">
        <f t="shared" si="84"/>
        <v/>
      </c>
      <c r="S1141" s="317" t="str">
        <f t="shared" si="85"/>
        <v/>
      </c>
      <c r="T1141" s="317" t="str">
        <f>GLOBAL_DER_FEV_2023!S1141</f>
        <v/>
      </c>
      <c r="W1141" s="582">
        <v>0</v>
      </c>
      <c r="X1141" s="580"/>
      <c r="Y1141" s="583">
        <f>IF(GLOBAL_DER_FEV_2023!W1141=0,0,IF(GLOBAL_DER_FEV_2023!W1141&gt;0,"c","b"))</f>
        <v>0</v>
      </c>
    </row>
    <row r="1142" spans="1:25" ht="23.25" hidden="1" thickBot="1" x14ac:dyDescent="0.25">
      <c r="A1142" s="317">
        <v>91839</v>
      </c>
      <c r="B1142" s="895">
        <v>91839</v>
      </c>
      <c r="C1142" s="896" t="s">
        <v>596</v>
      </c>
      <c r="D1142" s="906" t="s">
        <v>1072</v>
      </c>
      <c r="E1142" s="907">
        <f>GLOBAL_DER_FEV_2023!E1142</f>
        <v>0</v>
      </c>
      <c r="F1142" s="908">
        <f>GLOBAL_DER_FEV_2023!F1142</f>
        <v>0</v>
      </c>
      <c r="G1142" s="912">
        <f>GLOBAL_DER_FEV_2023!G1142</f>
        <v>0</v>
      </c>
      <c r="H1142" s="901">
        <f>GLOBAL_DER_FEV_2023!H1142</f>
        <v>12.12</v>
      </c>
      <c r="I1142" s="901">
        <f>GLOBAL_DER_FEV_2023!I1142</f>
        <v>12.12</v>
      </c>
      <c r="J1142" s="902">
        <f>GLOBAL_DER_FEV_2023!J1142</f>
        <v>14.55</v>
      </c>
      <c r="K1142" s="903" t="s">
        <v>62</v>
      </c>
      <c r="L1142" s="1137"/>
      <c r="M1142" s="1138">
        <f t="shared" si="82"/>
        <v>0</v>
      </c>
      <c r="N1142" s="893">
        <f t="shared" si="86"/>
        <v>0</v>
      </c>
      <c r="O1142" s="905"/>
      <c r="Q1142" s="317" t="str">
        <f t="shared" si="83"/>
        <v/>
      </c>
      <c r="R1142" s="317" t="str">
        <f t="shared" si="84"/>
        <v/>
      </c>
      <c r="S1142" s="317" t="str">
        <f t="shared" si="85"/>
        <v/>
      </c>
      <c r="T1142" s="317" t="str">
        <f>GLOBAL_DER_FEV_2023!S1142</f>
        <v/>
      </c>
      <c r="W1142" s="582">
        <v>0</v>
      </c>
      <c r="X1142" s="580"/>
      <c r="Y1142" s="583">
        <f>IF(GLOBAL_DER_FEV_2023!W1142=0,0,IF(GLOBAL_DER_FEV_2023!W1142&gt;0,"c","b"))</f>
        <v>0</v>
      </c>
    </row>
    <row r="1143" spans="1:25" ht="23.25" hidden="1" thickBot="1" x14ac:dyDescent="0.25">
      <c r="A1143" s="317">
        <v>91840</v>
      </c>
      <c r="B1143" s="895">
        <v>91840</v>
      </c>
      <c r="C1143" s="896" t="s">
        <v>596</v>
      </c>
      <c r="D1143" s="906" t="s">
        <v>1073</v>
      </c>
      <c r="E1143" s="907">
        <f>GLOBAL_DER_FEV_2023!E1143</f>
        <v>0</v>
      </c>
      <c r="F1143" s="908">
        <f>GLOBAL_DER_FEV_2023!F1143</f>
        <v>0</v>
      </c>
      <c r="G1143" s="912">
        <f>GLOBAL_DER_FEV_2023!G1143</f>
        <v>0</v>
      </c>
      <c r="H1143" s="901">
        <f>GLOBAL_DER_FEV_2023!H1143</f>
        <v>15.07</v>
      </c>
      <c r="I1143" s="901">
        <f>GLOBAL_DER_FEV_2023!I1143</f>
        <v>15.07</v>
      </c>
      <c r="J1143" s="902">
        <f>GLOBAL_DER_FEV_2023!J1143</f>
        <v>18.09</v>
      </c>
      <c r="K1143" s="903" t="s">
        <v>62</v>
      </c>
      <c r="L1143" s="1137"/>
      <c r="M1143" s="1138">
        <f t="shared" si="82"/>
        <v>0</v>
      </c>
      <c r="N1143" s="893">
        <f t="shared" si="86"/>
        <v>0</v>
      </c>
      <c r="O1143" s="905"/>
      <c r="Q1143" s="317" t="str">
        <f t="shared" si="83"/>
        <v/>
      </c>
      <c r="R1143" s="317" t="str">
        <f t="shared" si="84"/>
        <v/>
      </c>
      <c r="S1143" s="317" t="str">
        <f t="shared" si="85"/>
        <v/>
      </c>
      <c r="T1143" s="317" t="str">
        <f>GLOBAL_DER_FEV_2023!S1143</f>
        <v/>
      </c>
      <c r="W1143" s="582">
        <v>0</v>
      </c>
      <c r="X1143" s="580"/>
      <c r="Y1143" s="583">
        <f>IF(GLOBAL_DER_FEV_2023!W1143=0,0,IF(GLOBAL_DER_FEV_2023!W1143&gt;0,"c","b"))</f>
        <v>0</v>
      </c>
    </row>
    <row r="1144" spans="1:25" ht="23.25" hidden="1" thickBot="1" x14ac:dyDescent="0.25">
      <c r="A1144" s="317">
        <v>91841</v>
      </c>
      <c r="B1144" s="895">
        <v>91841</v>
      </c>
      <c r="C1144" s="896" t="s">
        <v>596</v>
      </c>
      <c r="D1144" s="906" t="s">
        <v>1074</v>
      </c>
      <c r="E1144" s="907">
        <f>GLOBAL_DER_FEV_2023!E1144</f>
        <v>0</v>
      </c>
      <c r="F1144" s="908">
        <f>GLOBAL_DER_FEV_2023!F1144</f>
        <v>0</v>
      </c>
      <c r="G1144" s="912">
        <f>GLOBAL_DER_FEV_2023!G1144</f>
        <v>0</v>
      </c>
      <c r="H1144" s="901">
        <f>GLOBAL_DER_FEV_2023!H1144</f>
        <v>14.37</v>
      </c>
      <c r="I1144" s="901">
        <f>GLOBAL_DER_FEV_2023!I1144</f>
        <v>14.37</v>
      </c>
      <c r="J1144" s="902">
        <f>GLOBAL_DER_FEV_2023!J1144</f>
        <v>17.25</v>
      </c>
      <c r="K1144" s="903" t="s">
        <v>62</v>
      </c>
      <c r="L1144" s="1137"/>
      <c r="M1144" s="1138">
        <f t="shared" si="82"/>
        <v>0</v>
      </c>
      <c r="N1144" s="893">
        <f t="shared" si="86"/>
        <v>0</v>
      </c>
      <c r="O1144" s="905"/>
      <c r="Q1144" s="317" t="str">
        <f t="shared" si="83"/>
        <v/>
      </c>
      <c r="R1144" s="317" t="str">
        <f t="shared" si="84"/>
        <v/>
      </c>
      <c r="S1144" s="317" t="str">
        <f t="shared" si="85"/>
        <v/>
      </c>
      <c r="T1144" s="317" t="str">
        <f>GLOBAL_DER_FEV_2023!S1144</f>
        <v/>
      </c>
      <c r="W1144" s="582">
        <v>0</v>
      </c>
      <c r="X1144" s="580"/>
      <c r="Y1144" s="583">
        <f>IF(GLOBAL_DER_FEV_2023!W1144=0,0,IF(GLOBAL_DER_FEV_2023!W1144&gt;0,"c","b"))</f>
        <v>0</v>
      </c>
    </row>
    <row r="1145" spans="1:25" ht="23.25" hidden="1" thickBot="1" x14ac:dyDescent="0.25">
      <c r="A1145" s="317">
        <v>91849</v>
      </c>
      <c r="B1145" s="895">
        <v>91849</v>
      </c>
      <c r="C1145" s="896" t="s">
        <v>596</v>
      </c>
      <c r="D1145" s="906" t="s">
        <v>1075</v>
      </c>
      <c r="E1145" s="907">
        <f>GLOBAL_DER_FEV_2023!E1145</f>
        <v>0</v>
      </c>
      <c r="F1145" s="908">
        <f>GLOBAL_DER_FEV_2023!F1145</f>
        <v>0</v>
      </c>
      <c r="G1145" s="912">
        <f>GLOBAL_DER_FEV_2023!G1145</f>
        <v>0</v>
      </c>
      <c r="H1145" s="901">
        <f>GLOBAL_DER_FEV_2023!H1145</f>
        <v>9.49</v>
      </c>
      <c r="I1145" s="901">
        <f>GLOBAL_DER_FEV_2023!I1145</f>
        <v>9.49</v>
      </c>
      <c r="J1145" s="902">
        <f>GLOBAL_DER_FEV_2023!J1145</f>
        <v>11.39</v>
      </c>
      <c r="K1145" s="903" t="s">
        <v>62</v>
      </c>
      <c r="L1145" s="1137"/>
      <c r="M1145" s="1138">
        <f t="shared" si="82"/>
        <v>0</v>
      </c>
      <c r="N1145" s="893">
        <f t="shared" si="86"/>
        <v>0</v>
      </c>
      <c r="O1145" s="905"/>
      <c r="Q1145" s="317" t="str">
        <f t="shared" si="83"/>
        <v/>
      </c>
      <c r="R1145" s="317" t="str">
        <f t="shared" si="84"/>
        <v/>
      </c>
      <c r="S1145" s="317" t="str">
        <f t="shared" si="85"/>
        <v/>
      </c>
      <c r="T1145" s="317" t="str">
        <f>GLOBAL_DER_FEV_2023!S1145</f>
        <v/>
      </c>
      <c r="W1145" s="582">
        <v>0</v>
      </c>
      <c r="X1145" s="580"/>
      <c r="Y1145" s="583">
        <f>IF(GLOBAL_DER_FEV_2023!W1145=0,0,IF(GLOBAL_DER_FEV_2023!W1145&gt;0,"c","b"))</f>
        <v>0</v>
      </c>
    </row>
    <row r="1146" spans="1:25" ht="23.25" hidden="1" thickBot="1" x14ac:dyDescent="0.25">
      <c r="A1146" s="317">
        <v>91850</v>
      </c>
      <c r="B1146" s="895">
        <v>91850</v>
      </c>
      <c r="C1146" s="896" t="s">
        <v>596</v>
      </c>
      <c r="D1146" s="906" t="s">
        <v>1076</v>
      </c>
      <c r="E1146" s="907">
        <f>GLOBAL_DER_FEV_2023!E1146</f>
        <v>0</v>
      </c>
      <c r="F1146" s="908">
        <f>GLOBAL_DER_FEV_2023!F1146</f>
        <v>0</v>
      </c>
      <c r="G1146" s="912">
        <f>GLOBAL_DER_FEV_2023!G1146</f>
        <v>0</v>
      </c>
      <c r="H1146" s="901">
        <f>GLOBAL_DER_FEV_2023!H1146</f>
        <v>12.51</v>
      </c>
      <c r="I1146" s="901">
        <f>GLOBAL_DER_FEV_2023!I1146</f>
        <v>12.51</v>
      </c>
      <c r="J1146" s="902">
        <f>GLOBAL_DER_FEV_2023!J1146</f>
        <v>15.02</v>
      </c>
      <c r="K1146" s="903" t="s">
        <v>62</v>
      </c>
      <c r="L1146" s="1137"/>
      <c r="M1146" s="1138">
        <f t="shared" si="82"/>
        <v>0</v>
      </c>
      <c r="N1146" s="893">
        <f t="shared" si="86"/>
        <v>0</v>
      </c>
      <c r="O1146" s="905"/>
      <c r="Q1146" s="317" t="str">
        <f t="shared" si="83"/>
        <v/>
      </c>
      <c r="R1146" s="317" t="str">
        <f t="shared" si="84"/>
        <v/>
      </c>
      <c r="S1146" s="317" t="str">
        <f t="shared" si="85"/>
        <v/>
      </c>
      <c r="T1146" s="317" t="str">
        <f>GLOBAL_DER_FEV_2023!S1146</f>
        <v/>
      </c>
      <c r="W1146" s="582">
        <v>0</v>
      </c>
      <c r="X1146" s="580"/>
      <c r="Y1146" s="583">
        <f>IF(GLOBAL_DER_FEV_2023!W1146=0,0,IF(GLOBAL_DER_FEV_2023!W1146&gt;0,"c","b"))</f>
        <v>0</v>
      </c>
    </row>
    <row r="1147" spans="1:25" ht="23.25" hidden="1" thickBot="1" x14ac:dyDescent="0.25">
      <c r="A1147" s="317">
        <v>91851</v>
      </c>
      <c r="B1147" s="895">
        <v>91851</v>
      </c>
      <c r="C1147" s="896" t="s">
        <v>596</v>
      </c>
      <c r="D1147" s="906" t="s">
        <v>1077</v>
      </c>
      <c r="E1147" s="907">
        <f>GLOBAL_DER_FEV_2023!E1147</f>
        <v>0</v>
      </c>
      <c r="F1147" s="908">
        <f>GLOBAL_DER_FEV_2023!F1147</f>
        <v>0</v>
      </c>
      <c r="G1147" s="912">
        <f>GLOBAL_DER_FEV_2023!G1147</f>
        <v>0</v>
      </c>
      <c r="H1147" s="901">
        <f>GLOBAL_DER_FEV_2023!H1147</f>
        <v>11.81</v>
      </c>
      <c r="I1147" s="901">
        <f>GLOBAL_DER_FEV_2023!I1147</f>
        <v>11.81</v>
      </c>
      <c r="J1147" s="902">
        <f>GLOBAL_DER_FEV_2023!J1147</f>
        <v>14.18</v>
      </c>
      <c r="K1147" s="903" t="s">
        <v>62</v>
      </c>
      <c r="L1147" s="1137"/>
      <c r="M1147" s="1138">
        <f t="shared" si="82"/>
        <v>0</v>
      </c>
      <c r="N1147" s="893">
        <f t="shared" si="86"/>
        <v>0</v>
      </c>
      <c r="O1147" s="905"/>
      <c r="Q1147" s="317" t="str">
        <f t="shared" si="83"/>
        <v/>
      </c>
      <c r="R1147" s="317" t="str">
        <f t="shared" si="84"/>
        <v/>
      </c>
      <c r="S1147" s="317" t="str">
        <f t="shared" si="85"/>
        <v/>
      </c>
      <c r="T1147" s="317" t="str">
        <f>GLOBAL_DER_FEV_2023!S1147</f>
        <v/>
      </c>
      <c r="W1147" s="582">
        <v>0</v>
      </c>
      <c r="X1147" s="580"/>
      <c r="Y1147" s="583">
        <f>IF(GLOBAL_DER_FEV_2023!W1147=0,0,IF(GLOBAL_DER_FEV_2023!W1147&gt;0,"c","b"))</f>
        <v>0</v>
      </c>
    </row>
    <row r="1148" spans="1:25" ht="23.25" hidden="1" thickBot="1" x14ac:dyDescent="0.25">
      <c r="A1148" s="317">
        <v>91859</v>
      </c>
      <c r="B1148" s="895">
        <v>91859</v>
      </c>
      <c r="C1148" s="896" t="s">
        <v>596</v>
      </c>
      <c r="D1148" s="906" t="s">
        <v>1078</v>
      </c>
      <c r="E1148" s="907">
        <f>GLOBAL_DER_FEV_2023!E1148</f>
        <v>0</v>
      </c>
      <c r="F1148" s="908">
        <f>GLOBAL_DER_FEV_2023!F1148</f>
        <v>0</v>
      </c>
      <c r="G1148" s="912">
        <f>GLOBAL_DER_FEV_2023!G1148</f>
        <v>0</v>
      </c>
      <c r="H1148" s="901">
        <f>GLOBAL_DER_FEV_2023!H1148</f>
        <v>12.63</v>
      </c>
      <c r="I1148" s="901">
        <f>GLOBAL_DER_FEV_2023!I1148</f>
        <v>12.63</v>
      </c>
      <c r="J1148" s="902">
        <f>GLOBAL_DER_FEV_2023!J1148</f>
        <v>15.16</v>
      </c>
      <c r="K1148" s="903" t="s">
        <v>62</v>
      </c>
      <c r="L1148" s="1137"/>
      <c r="M1148" s="1138">
        <f t="shared" si="82"/>
        <v>0</v>
      </c>
      <c r="N1148" s="893">
        <f t="shared" si="86"/>
        <v>0</v>
      </c>
      <c r="O1148" s="905"/>
      <c r="Q1148" s="317" t="str">
        <f t="shared" si="83"/>
        <v/>
      </c>
      <c r="R1148" s="317" t="str">
        <f t="shared" si="84"/>
        <v/>
      </c>
      <c r="S1148" s="317" t="str">
        <f t="shared" si="85"/>
        <v/>
      </c>
      <c r="T1148" s="317" t="str">
        <f>GLOBAL_DER_FEV_2023!S1148</f>
        <v/>
      </c>
      <c r="W1148" s="582">
        <v>0</v>
      </c>
      <c r="X1148" s="580"/>
      <c r="Y1148" s="583">
        <f>IF(GLOBAL_DER_FEV_2023!W1148=0,0,IF(GLOBAL_DER_FEV_2023!W1148&gt;0,"c","b"))</f>
        <v>0</v>
      </c>
    </row>
    <row r="1149" spans="1:25" ht="23.25" hidden="1" thickBot="1" x14ac:dyDescent="0.25">
      <c r="A1149" s="317">
        <v>91860</v>
      </c>
      <c r="B1149" s="895">
        <v>91860</v>
      </c>
      <c r="C1149" s="896" t="s">
        <v>596</v>
      </c>
      <c r="D1149" s="906" t="s">
        <v>1079</v>
      </c>
      <c r="E1149" s="907">
        <f>GLOBAL_DER_FEV_2023!E1149</f>
        <v>0</v>
      </c>
      <c r="F1149" s="908">
        <f>GLOBAL_DER_FEV_2023!F1149</f>
        <v>0</v>
      </c>
      <c r="G1149" s="912">
        <f>GLOBAL_DER_FEV_2023!G1149</f>
        <v>0</v>
      </c>
      <c r="H1149" s="901">
        <f>GLOBAL_DER_FEV_2023!H1149</f>
        <v>15.53</v>
      </c>
      <c r="I1149" s="901">
        <f>GLOBAL_DER_FEV_2023!I1149</f>
        <v>15.53</v>
      </c>
      <c r="J1149" s="902">
        <f>GLOBAL_DER_FEV_2023!J1149</f>
        <v>18.649999999999999</v>
      </c>
      <c r="K1149" s="903" t="s">
        <v>62</v>
      </c>
      <c r="L1149" s="1137"/>
      <c r="M1149" s="1138">
        <f t="shared" si="82"/>
        <v>0</v>
      </c>
      <c r="N1149" s="893">
        <f t="shared" si="86"/>
        <v>0</v>
      </c>
      <c r="O1149" s="905"/>
      <c r="Q1149" s="317" t="str">
        <f t="shared" si="83"/>
        <v/>
      </c>
      <c r="R1149" s="317" t="str">
        <f t="shared" si="84"/>
        <v/>
      </c>
      <c r="S1149" s="317" t="str">
        <f t="shared" si="85"/>
        <v/>
      </c>
      <c r="T1149" s="317" t="str">
        <f>GLOBAL_DER_FEV_2023!S1149</f>
        <v/>
      </c>
      <c r="W1149" s="582">
        <v>0</v>
      </c>
      <c r="X1149" s="580"/>
      <c r="Y1149" s="583">
        <f>IF(GLOBAL_DER_FEV_2023!W1149=0,0,IF(GLOBAL_DER_FEV_2023!W1149&gt;0,"c","b"))</f>
        <v>0</v>
      </c>
    </row>
    <row r="1150" spans="1:25" ht="23.25" hidden="1" thickBot="1" x14ac:dyDescent="0.25">
      <c r="A1150" s="317">
        <v>91861</v>
      </c>
      <c r="B1150" s="895">
        <v>91861</v>
      </c>
      <c r="C1150" s="896" t="s">
        <v>596</v>
      </c>
      <c r="D1150" s="906" t="s">
        <v>1080</v>
      </c>
      <c r="E1150" s="907">
        <f>GLOBAL_DER_FEV_2023!E1150</f>
        <v>0</v>
      </c>
      <c r="F1150" s="908">
        <f>GLOBAL_DER_FEV_2023!F1150</f>
        <v>0</v>
      </c>
      <c r="G1150" s="912">
        <f>GLOBAL_DER_FEV_2023!G1150</f>
        <v>0</v>
      </c>
      <c r="H1150" s="901">
        <f>GLOBAL_DER_FEV_2023!H1150</f>
        <v>14.88</v>
      </c>
      <c r="I1150" s="901">
        <f>GLOBAL_DER_FEV_2023!I1150</f>
        <v>14.88</v>
      </c>
      <c r="J1150" s="902">
        <f>GLOBAL_DER_FEV_2023!J1150</f>
        <v>17.87</v>
      </c>
      <c r="K1150" s="903" t="s">
        <v>62</v>
      </c>
      <c r="L1150" s="1137"/>
      <c r="M1150" s="1138">
        <f t="shared" si="82"/>
        <v>0</v>
      </c>
      <c r="N1150" s="893">
        <f t="shared" si="86"/>
        <v>0</v>
      </c>
      <c r="O1150" s="905"/>
      <c r="Q1150" s="317" t="str">
        <f t="shared" si="83"/>
        <v/>
      </c>
      <c r="R1150" s="317" t="str">
        <f t="shared" si="84"/>
        <v/>
      </c>
      <c r="S1150" s="317" t="str">
        <f t="shared" si="85"/>
        <v/>
      </c>
      <c r="T1150" s="317" t="str">
        <f>GLOBAL_DER_FEV_2023!S1150</f>
        <v/>
      </c>
      <c r="W1150" s="582">
        <v>0</v>
      </c>
      <c r="X1150" s="580"/>
      <c r="Y1150" s="583">
        <f>IF(GLOBAL_DER_FEV_2023!W1150=0,0,IF(GLOBAL_DER_FEV_2023!W1150&gt;0,"c","b"))</f>
        <v>0</v>
      </c>
    </row>
    <row r="1151" spans="1:25" ht="23.25" hidden="1" thickBot="1" x14ac:dyDescent="0.25">
      <c r="A1151" s="317">
        <v>97667</v>
      </c>
      <c r="B1151" s="895">
        <v>97667</v>
      </c>
      <c r="C1151" s="896" t="s">
        <v>596</v>
      </c>
      <c r="D1151" s="906" t="s">
        <v>1081</v>
      </c>
      <c r="E1151" s="907">
        <f>GLOBAL_DER_FEV_2023!E1151</f>
        <v>0</v>
      </c>
      <c r="F1151" s="908">
        <f>GLOBAL_DER_FEV_2023!F1151</f>
        <v>0</v>
      </c>
      <c r="G1151" s="912">
        <f>GLOBAL_DER_FEV_2023!G1151</f>
        <v>0</v>
      </c>
      <c r="H1151" s="901">
        <f>GLOBAL_DER_FEV_2023!H1151</f>
        <v>9.3000000000000007</v>
      </c>
      <c r="I1151" s="901">
        <f>GLOBAL_DER_FEV_2023!I1151</f>
        <v>9.3000000000000007</v>
      </c>
      <c r="J1151" s="902">
        <f>GLOBAL_DER_FEV_2023!J1151</f>
        <v>11.17</v>
      </c>
      <c r="K1151" s="903" t="s">
        <v>62</v>
      </c>
      <c r="L1151" s="1137"/>
      <c r="M1151" s="1138">
        <f t="shared" si="82"/>
        <v>0</v>
      </c>
      <c r="N1151" s="893">
        <f t="shared" si="86"/>
        <v>0</v>
      </c>
      <c r="O1151" s="905"/>
      <c r="Q1151" s="317" t="str">
        <f t="shared" si="83"/>
        <v/>
      </c>
      <c r="R1151" s="317" t="str">
        <f t="shared" si="84"/>
        <v/>
      </c>
      <c r="S1151" s="317" t="str">
        <f t="shared" si="85"/>
        <v/>
      </c>
      <c r="T1151" s="317" t="str">
        <f>GLOBAL_DER_FEV_2023!S1151</f>
        <v/>
      </c>
      <c r="W1151" s="582">
        <v>0</v>
      </c>
      <c r="X1151" s="580"/>
      <c r="Y1151" s="583">
        <f>IF(GLOBAL_DER_FEV_2023!W1151=0,0,IF(GLOBAL_DER_FEV_2023!W1151&gt;0,"c","b"))</f>
        <v>0</v>
      </c>
    </row>
    <row r="1152" spans="1:25" ht="23.25" hidden="1" thickBot="1" x14ac:dyDescent="0.25">
      <c r="A1152" s="317">
        <v>97668</v>
      </c>
      <c r="B1152" s="895">
        <v>97668</v>
      </c>
      <c r="C1152" s="896" t="s">
        <v>596</v>
      </c>
      <c r="D1152" s="906" t="s">
        <v>1082</v>
      </c>
      <c r="E1152" s="907">
        <f>GLOBAL_DER_FEV_2023!E1152</f>
        <v>0</v>
      </c>
      <c r="F1152" s="908">
        <f>GLOBAL_DER_FEV_2023!F1152</f>
        <v>0</v>
      </c>
      <c r="G1152" s="912">
        <f>GLOBAL_DER_FEV_2023!G1152</f>
        <v>0</v>
      </c>
      <c r="H1152" s="901">
        <f>GLOBAL_DER_FEV_2023!H1152</f>
        <v>13.25</v>
      </c>
      <c r="I1152" s="901">
        <f>GLOBAL_DER_FEV_2023!I1152</f>
        <v>13.25</v>
      </c>
      <c r="J1152" s="902">
        <f>GLOBAL_DER_FEV_2023!J1152</f>
        <v>15.91</v>
      </c>
      <c r="K1152" s="903" t="s">
        <v>62</v>
      </c>
      <c r="L1152" s="1137"/>
      <c r="M1152" s="1138">
        <f t="shared" si="82"/>
        <v>0</v>
      </c>
      <c r="N1152" s="893">
        <f t="shared" si="86"/>
        <v>0</v>
      </c>
      <c r="O1152" s="905"/>
      <c r="Q1152" s="317" t="str">
        <f t="shared" si="83"/>
        <v/>
      </c>
      <c r="R1152" s="317" t="str">
        <f t="shared" si="84"/>
        <v/>
      </c>
      <c r="S1152" s="317" t="str">
        <f t="shared" si="85"/>
        <v/>
      </c>
      <c r="T1152" s="317" t="str">
        <f>GLOBAL_DER_FEV_2023!S1152</f>
        <v/>
      </c>
      <c r="W1152" s="582">
        <v>0</v>
      </c>
      <c r="X1152" s="580"/>
      <c r="Y1152" s="583">
        <f>IF(GLOBAL_DER_FEV_2023!W1152=0,0,IF(GLOBAL_DER_FEV_2023!W1152&gt;0,"c","b"))</f>
        <v>0</v>
      </c>
    </row>
    <row r="1153" spans="1:25" ht="23.25" hidden="1" thickBot="1" x14ac:dyDescent="0.25">
      <c r="A1153" s="317">
        <v>97669</v>
      </c>
      <c r="B1153" s="895">
        <v>97669</v>
      </c>
      <c r="C1153" s="896" t="s">
        <v>596</v>
      </c>
      <c r="D1153" s="906" t="s">
        <v>1083</v>
      </c>
      <c r="E1153" s="907">
        <f>GLOBAL_DER_FEV_2023!E1153</f>
        <v>0</v>
      </c>
      <c r="F1153" s="908">
        <f>GLOBAL_DER_FEV_2023!F1153</f>
        <v>0</v>
      </c>
      <c r="G1153" s="912">
        <f>GLOBAL_DER_FEV_2023!G1153</f>
        <v>0</v>
      </c>
      <c r="H1153" s="901">
        <f>GLOBAL_DER_FEV_2023!H1153</f>
        <v>19.670000000000002</v>
      </c>
      <c r="I1153" s="901">
        <f>GLOBAL_DER_FEV_2023!I1153</f>
        <v>19.670000000000002</v>
      </c>
      <c r="J1153" s="902">
        <f>GLOBAL_DER_FEV_2023!J1153</f>
        <v>23.62</v>
      </c>
      <c r="K1153" s="903" t="s">
        <v>62</v>
      </c>
      <c r="L1153" s="1137"/>
      <c r="M1153" s="1138">
        <f t="shared" si="82"/>
        <v>0</v>
      </c>
      <c r="N1153" s="893">
        <f t="shared" si="86"/>
        <v>0</v>
      </c>
      <c r="O1153" s="905"/>
      <c r="Q1153" s="317" t="str">
        <f t="shared" si="83"/>
        <v/>
      </c>
      <c r="R1153" s="317" t="str">
        <f t="shared" si="84"/>
        <v/>
      </c>
      <c r="S1153" s="317" t="str">
        <f t="shared" si="85"/>
        <v/>
      </c>
      <c r="T1153" s="317" t="str">
        <f>GLOBAL_DER_FEV_2023!S1153</f>
        <v/>
      </c>
      <c r="W1153" s="582">
        <v>0</v>
      </c>
      <c r="X1153" s="580"/>
      <c r="Y1153" s="583">
        <f>IF(GLOBAL_DER_FEV_2023!W1153=0,0,IF(GLOBAL_DER_FEV_2023!W1153&gt;0,"c","b"))</f>
        <v>0</v>
      </c>
    </row>
    <row r="1154" spans="1:25" ht="23.25" hidden="1" thickBot="1" x14ac:dyDescent="0.25">
      <c r="A1154" s="317">
        <v>97670</v>
      </c>
      <c r="B1154" s="895">
        <v>97670</v>
      </c>
      <c r="C1154" s="896" t="s">
        <v>596</v>
      </c>
      <c r="D1154" s="906" t="s">
        <v>1084</v>
      </c>
      <c r="E1154" s="907">
        <f>GLOBAL_DER_FEV_2023!E1154</f>
        <v>0</v>
      </c>
      <c r="F1154" s="908">
        <f>GLOBAL_DER_FEV_2023!F1154</f>
        <v>0</v>
      </c>
      <c r="G1154" s="912">
        <f>GLOBAL_DER_FEV_2023!G1154</f>
        <v>0</v>
      </c>
      <c r="H1154" s="901">
        <f>GLOBAL_DER_FEV_2023!H1154</f>
        <v>25.13</v>
      </c>
      <c r="I1154" s="901">
        <f>GLOBAL_DER_FEV_2023!I1154</f>
        <v>25.13</v>
      </c>
      <c r="J1154" s="902">
        <f>GLOBAL_DER_FEV_2023!J1154</f>
        <v>30.17</v>
      </c>
      <c r="K1154" s="903" t="s">
        <v>62</v>
      </c>
      <c r="L1154" s="1137"/>
      <c r="M1154" s="1138">
        <f t="shared" si="82"/>
        <v>0</v>
      </c>
      <c r="N1154" s="893">
        <f t="shared" si="86"/>
        <v>0</v>
      </c>
      <c r="O1154" s="905"/>
      <c r="Q1154" s="317" t="str">
        <f t="shared" si="83"/>
        <v/>
      </c>
      <c r="R1154" s="317" t="str">
        <f t="shared" si="84"/>
        <v/>
      </c>
      <c r="S1154" s="317" t="str">
        <f t="shared" si="85"/>
        <v/>
      </c>
      <c r="T1154" s="317" t="str">
        <f>GLOBAL_DER_FEV_2023!S1154</f>
        <v/>
      </c>
      <c r="W1154" s="582">
        <v>0</v>
      </c>
      <c r="X1154" s="580"/>
      <c r="Y1154" s="583">
        <f>IF(GLOBAL_DER_FEV_2023!W1154=0,0,IF(GLOBAL_DER_FEV_2023!W1154&gt;0,"c","b"))</f>
        <v>0</v>
      </c>
    </row>
    <row r="1155" spans="1:25" ht="23.25" hidden="1" thickBot="1" x14ac:dyDescent="0.25">
      <c r="A1155" s="317">
        <v>91924</v>
      </c>
      <c r="B1155" s="895">
        <v>91924</v>
      </c>
      <c r="C1155" s="896" t="s">
        <v>596</v>
      </c>
      <c r="D1155" s="906" t="s">
        <v>1085</v>
      </c>
      <c r="E1155" s="907">
        <f>GLOBAL_DER_FEV_2023!E1155</f>
        <v>0</v>
      </c>
      <c r="F1155" s="908">
        <f>GLOBAL_DER_FEV_2023!F1155</f>
        <v>0</v>
      </c>
      <c r="G1155" s="912">
        <f>GLOBAL_DER_FEV_2023!G1155</f>
        <v>0</v>
      </c>
      <c r="H1155" s="901">
        <f>GLOBAL_DER_FEV_2023!H1155</f>
        <v>3.11</v>
      </c>
      <c r="I1155" s="901">
        <f>GLOBAL_DER_FEV_2023!I1155</f>
        <v>3.11</v>
      </c>
      <c r="J1155" s="902">
        <f>GLOBAL_DER_FEV_2023!J1155</f>
        <v>3.73</v>
      </c>
      <c r="K1155" s="903" t="s">
        <v>62</v>
      </c>
      <c r="L1155" s="1137"/>
      <c r="M1155" s="1138">
        <f t="shared" si="82"/>
        <v>0</v>
      </c>
      <c r="N1155" s="893">
        <f t="shared" si="86"/>
        <v>0</v>
      </c>
      <c r="O1155" s="905"/>
      <c r="Q1155" s="317" t="str">
        <f t="shared" si="83"/>
        <v/>
      </c>
      <c r="R1155" s="317" t="str">
        <f t="shared" si="84"/>
        <v/>
      </c>
      <c r="S1155" s="317" t="str">
        <f t="shared" si="85"/>
        <v/>
      </c>
      <c r="T1155" s="317" t="str">
        <f>GLOBAL_DER_FEV_2023!S1155</f>
        <v/>
      </c>
      <c r="W1155" s="582">
        <v>0</v>
      </c>
      <c r="X1155" s="580"/>
      <c r="Y1155" s="583">
        <f>IF(GLOBAL_DER_FEV_2023!W1155=0,0,IF(GLOBAL_DER_FEV_2023!W1155&gt;0,"c","b"))</f>
        <v>0</v>
      </c>
    </row>
    <row r="1156" spans="1:25" ht="23.25" hidden="1" thickBot="1" x14ac:dyDescent="0.25">
      <c r="A1156" s="317">
        <v>91926</v>
      </c>
      <c r="B1156" s="895">
        <v>91926</v>
      </c>
      <c r="C1156" s="896" t="s">
        <v>596</v>
      </c>
      <c r="D1156" s="906" t="s">
        <v>1086</v>
      </c>
      <c r="E1156" s="907">
        <f>GLOBAL_DER_FEV_2023!E1156</f>
        <v>0</v>
      </c>
      <c r="F1156" s="908">
        <f>GLOBAL_DER_FEV_2023!F1156</f>
        <v>0</v>
      </c>
      <c r="G1156" s="912">
        <f>GLOBAL_DER_FEV_2023!G1156</f>
        <v>0</v>
      </c>
      <c r="H1156" s="901">
        <f>GLOBAL_DER_FEV_2023!H1156</f>
        <v>4.42</v>
      </c>
      <c r="I1156" s="901">
        <f>GLOBAL_DER_FEV_2023!I1156</f>
        <v>4.42</v>
      </c>
      <c r="J1156" s="902">
        <f>GLOBAL_DER_FEV_2023!J1156</f>
        <v>5.31</v>
      </c>
      <c r="K1156" s="903" t="s">
        <v>62</v>
      </c>
      <c r="L1156" s="1137"/>
      <c r="M1156" s="1138">
        <f t="shared" si="82"/>
        <v>0</v>
      </c>
      <c r="N1156" s="893">
        <f t="shared" si="86"/>
        <v>0</v>
      </c>
      <c r="O1156" s="905"/>
      <c r="Q1156" s="317" t="str">
        <f t="shared" si="83"/>
        <v/>
      </c>
      <c r="R1156" s="317" t="str">
        <f t="shared" si="84"/>
        <v/>
      </c>
      <c r="S1156" s="317" t="str">
        <f t="shared" si="85"/>
        <v/>
      </c>
      <c r="T1156" s="317" t="str">
        <f>GLOBAL_DER_FEV_2023!S1156</f>
        <v/>
      </c>
      <c r="W1156" s="582">
        <v>0</v>
      </c>
      <c r="X1156" s="580"/>
      <c r="Y1156" s="583">
        <f>IF(GLOBAL_DER_FEV_2023!W1156=0,0,IF(GLOBAL_DER_FEV_2023!W1156&gt;0,"c","b"))</f>
        <v>0</v>
      </c>
    </row>
    <row r="1157" spans="1:25" ht="23.25" hidden="1" thickBot="1" x14ac:dyDescent="0.25">
      <c r="A1157" s="317">
        <v>91928</v>
      </c>
      <c r="B1157" s="895">
        <v>91928</v>
      </c>
      <c r="C1157" s="896" t="s">
        <v>596</v>
      </c>
      <c r="D1157" s="906" t="s">
        <v>1087</v>
      </c>
      <c r="E1157" s="907">
        <f>GLOBAL_DER_FEV_2023!E1157</f>
        <v>0</v>
      </c>
      <c r="F1157" s="908">
        <f>GLOBAL_DER_FEV_2023!F1157</f>
        <v>0</v>
      </c>
      <c r="G1157" s="912">
        <f>GLOBAL_DER_FEV_2023!G1157</f>
        <v>0</v>
      </c>
      <c r="H1157" s="901">
        <f>GLOBAL_DER_FEV_2023!H1157</f>
        <v>6.72</v>
      </c>
      <c r="I1157" s="901">
        <f>GLOBAL_DER_FEV_2023!I1157</f>
        <v>6.72</v>
      </c>
      <c r="J1157" s="902">
        <f>GLOBAL_DER_FEV_2023!J1157</f>
        <v>8.07</v>
      </c>
      <c r="K1157" s="903" t="s">
        <v>62</v>
      </c>
      <c r="L1157" s="1137"/>
      <c r="M1157" s="1138">
        <f t="shared" si="82"/>
        <v>0</v>
      </c>
      <c r="N1157" s="893">
        <f t="shared" si="86"/>
        <v>0</v>
      </c>
      <c r="O1157" s="905"/>
      <c r="Q1157" s="317" t="str">
        <f t="shared" si="83"/>
        <v/>
      </c>
      <c r="R1157" s="317" t="str">
        <f t="shared" si="84"/>
        <v/>
      </c>
      <c r="S1157" s="317" t="str">
        <f t="shared" si="85"/>
        <v/>
      </c>
      <c r="T1157" s="317" t="str">
        <f>GLOBAL_DER_FEV_2023!S1157</f>
        <v/>
      </c>
      <c r="W1157" s="582">
        <v>0</v>
      </c>
      <c r="X1157" s="580"/>
      <c r="Y1157" s="583">
        <f>IF(GLOBAL_DER_FEV_2023!W1157=0,0,IF(GLOBAL_DER_FEV_2023!W1157&gt;0,"c","b"))</f>
        <v>0</v>
      </c>
    </row>
    <row r="1158" spans="1:25" ht="23.25" hidden="1" thickBot="1" x14ac:dyDescent="0.25">
      <c r="A1158" s="317">
        <v>91930</v>
      </c>
      <c r="B1158" s="895">
        <v>91930</v>
      </c>
      <c r="C1158" s="896" t="s">
        <v>596</v>
      </c>
      <c r="D1158" s="906" t="s">
        <v>1088</v>
      </c>
      <c r="E1158" s="907">
        <f>GLOBAL_DER_FEV_2023!E1158</f>
        <v>0</v>
      </c>
      <c r="F1158" s="908">
        <f>GLOBAL_DER_FEV_2023!F1158</f>
        <v>0</v>
      </c>
      <c r="G1158" s="912">
        <f>GLOBAL_DER_FEV_2023!G1158</f>
        <v>0</v>
      </c>
      <c r="H1158" s="901">
        <f>GLOBAL_DER_FEV_2023!H1158</f>
        <v>9.31</v>
      </c>
      <c r="I1158" s="901">
        <f>GLOBAL_DER_FEV_2023!I1158</f>
        <v>9.31</v>
      </c>
      <c r="J1158" s="902">
        <f>GLOBAL_DER_FEV_2023!J1158</f>
        <v>11.18</v>
      </c>
      <c r="K1158" s="903" t="s">
        <v>62</v>
      </c>
      <c r="L1158" s="1137"/>
      <c r="M1158" s="1138">
        <f t="shared" si="82"/>
        <v>0</v>
      </c>
      <c r="N1158" s="893">
        <f t="shared" si="86"/>
        <v>0</v>
      </c>
      <c r="O1158" s="905"/>
      <c r="Q1158" s="317" t="str">
        <f t="shared" si="83"/>
        <v/>
      </c>
      <c r="R1158" s="317" t="str">
        <f t="shared" si="84"/>
        <v/>
      </c>
      <c r="S1158" s="317" t="str">
        <f t="shared" si="85"/>
        <v/>
      </c>
      <c r="T1158" s="317" t="str">
        <f>GLOBAL_DER_FEV_2023!S1158</f>
        <v/>
      </c>
      <c r="W1158" s="582">
        <v>0</v>
      </c>
      <c r="X1158" s="580"/>
      <c r="Y1158" s="583">
        <f>IF(GLOBAL_DER_FEV_2023!W1158=0,0,IF(GLOBAL_DER_FEV_2023!W1158&gt;0,"c","b"))</f>
        <v>0</v>
      </c>
    </row>
    <row r="1159" spans="1:25" ht="23.25" hidden="1" thickBot="1" x14ac:dyDescent="0.25">
      <c r="A1159" s="317">
        <v>91932</v>
      </c>
      <c r="B1159" s="895">
        <v>91932</v>
      </c>
      <c r="C1159" s="896" t="s">
        <v>596</v>
      </c>
      <c r="D1159" s="906" t="s">
        <v>1089</v>
      </c>
      <c r="E1159" s="907">
        <f>GLOBAL_DER_FEV_2023!E1159</f>
        <v>0</v>
      </c>
      <c r="F1159" s="908">
        <f>GLOBAL_DER_FEV_2023!F1159</f>
        <v>0</v>
      </c>
      <c r="G1159" s="912">
        <f>GLOBAL_DER_FEV_2023!G1159</f>
        <v>0</v>
      </c>
      <c r="H1159" s="901">
        <f>GLOBAL_DER_FEV_2023!H1159</f>
        <v>16.420000000000002</v>
      </c>
      <c r="I1159" s="901">
        <f>GLOBAL_DER_FEV_2023!I1159</f>
        <v>16.420000000000002</v>
      </c>
      <c r="J1159" s="902">
        <f>GLOBAL_DER_FEV_2023!J1159</f>
        <v>19.72</v>
      </c>
      <c r="K1159" s="903" t="s">
        <v>62</v>
      </c>
      <c r="L1159" s="1137"/>
      <c r="M1159" s="1138">
        <f t="shared" si="82"/>
        <v>0</v>
      </c>
      <c r="N1159" s="893">
        <f t="shared" si="86"/>
        <v>0</v>
      </c>
      <c r="O1159" s="905"/>
      <c r="Q1159" s="317" t="str">
        <f t="shared" si="83"/>
        <v/>
      </c>
      <c r="R1159" s="317" t="str">
        <f t="shared" si="84"/>
        <v/>
      </c>
      <c r="S1159" s="317" t="str">
        <f t="shared" si="85"/>
        <v/>
      </c>
      <c r="T1159" s="317" t="str">
        <f>GLOBAL_DER_FEV_2023!S1159</f>
        <v/>
      </c>
      <c r="W1159" s="582">
        <v>0</v>
      </c>
      <c r="X1159" s="580"/>
      <c r="Y1159" s="583">
        <f>IF(GLOBAL_DER_FEV_2023!W1159=0,0,IF(GLOBAL_DER_FEV_2023!W1159&gt;0,"c","b"))</f>
        <v>0</v>
      </c>
    </row>
    <row r="1160" spans="1:25" ht="23.25" hidden="1" thickBot="1" x14ac:dyDescent="0.25">
      <c r="A1160" s="317">
        <v>91934</v>
      </c>
      <c r="B1160" s="895">
        <v>91934</v>
      </c>
      <c r="C1160" s="896" t="s">
        <v>596</v>
      </c>
      <c r="D1160" s="906" t="s">
        <v>1090</v>
      </c>
      <c r="E1160" s="907">
        <f>GLOBAL_DER_FEV_2023!E1160</f>
        <v>0</v>
      </c>
      <c r="F1160" s="908">
        <f>GLOBAL_DER_FEV_2023!F1160</f>
        <v>0</v>
      </c>
      <c r="G1160" s="912">
        <f>GLOBAL_DER_FEV_2023!G1160</f>
        <v>0</v>
      </c>
      <c r="H1160" s="901">
        <f>GLOBAL_DER_FEV_2023!H1160</f>
        <v>23.75</v>
      </c>
      <c r="I1160" s="901">
        <f>GLOBAL_DER_FEV_2023!I1160</f>
        <v>23.75</v>
      </c>
      <c r="J1160" s="902">
        <f>GLOBAL_DER_FEV_2023!J1160</f>
        <v>28.52</v>
      </c>
      <c r="K1160" s="903" t="s">
        <v>62</v>
      </c>
      <c r="L1160" s="1137"/>
      <c r="M1160" s="1138">
        <f t="shared" si="82"/>
        <v>0</v>
      </c>
      <c r="N1160" s="893">
        <f t="shared" si="86"/>
        <v>0</v>
      </c>
      <c r="O1160" s="905"/>
      <c r="Q1160" s="317" t="str">
        <f t="shared" si="83"/>
        <v/>
      </c>
      <c r="R1160" s="317" t="str">
        <f t="shared" si="84"/>
        <v/>
      </c>
      <c r="S1160" s="317" t="str">
        <f t="shared" si="85"/>
        <v/>
      </c>
      <c r="T1160" s="317" t="str">
        <f>GLOBAL_DER_FEV_2023!S1160</f>
        <v/>
      </c>
      <c r="W1160" s="582">
        <v>0</v>
      </c>
      <c r="X1160" s="580"/>
      <c r="Y1160" s="583">
        <f>IF(GLOBAL_DER_FEV_2023!W1160=0,0,IF(GLOBAL_DER_FEV_2023!W1160&gt;0,"c","b"))</f>
        <v>0</v>
      </c>
    </row>
    <row r="1161" spans="1:25" ht="23.25" hidden="1" thickBot="1" x14ac:dyDescent="0.25">
      <c r="A1161" s="317">
        <v>92979</v>
      </c>
      <c r="B1161" s="895">
        <v>92979</v>
      </c>
      <c r="C1161" s="896" t="s">
        <v>596</v>
      </c>
      <c r="D1161" s="906" t="s">
        <v>1091</v>
      </c>
      <c r="E1161" s="907">
        <f>GLOBAL_DER_FEV_2023!E1161</f>
        <v>0</v>
      </c>
      <c r="F1161" s="908">
        <f>GLOBAL_DER_FEV_2023!F1161</f>
        <v>0</v>
      </c>
      <c r="G1161" s="912">
        <f>GLOBAL_DER_FEV_2023!G1161</f>
        <v>0</v>
      </c>
      <c r="H1161" s="901">
        <f>GLOBAL_DER_FEV_2023!H1161</f>
        <v>10.73</v>
      </c>
      <c r="I1161" s="901">
        <f>GLOBAL_DER_FEV_2023!I1161</f>
        <v>10.73</v>
      </c>
      <c r="J1161" s="902">
        <f>GLOBAL_DER_FEV_2023!J1161</f>
        <v>12.88</v>
      </c>
      <c r="K1161" s="903" t="s">
        <v>62</v>
      </c>
      <c r="L1161" s="1137"/>
      <c r="M1161" s="1138">
        <f t="shared" si="82"/>
        <v>0</v>
      </c>
      <c r="N1161" s="893">
        <f t="shared" si="86"/>
        <v>0</v>
      </c>
      <c r="O1161" s="905"/>
      <c r="Q1161" s="317" t="str">
        <f t="shared" si="83"/>
        <v/>
      </c>
      <c r="R1161" s="317" t="str">
        <f t="shared" si="84"/>
        <v/>
      </c>
      <c r="S1161" s="317" t="str">
        <f t="shared" si="85"/>
        <v/>
      </c>
      <c r="T1161" s="317" t="str">
        <f>GLOBAL_DER_FEV_2023!S1161</f>
        <v/>
      </c>
      <c r="W1161" s="582">
        <v>0</v>
      </c>
      <c r="X1161" s="580"/>
      <c r="Y1161" s="583">
        <f>IF(GLOBAL_DER_FEV_2023!W1161=0,0,IF(GLOBAL_DER_FEV_2023!W1161&gt;0,"c","b"))</f>
        <v>0</v>
      </c>
    </row>
    <row r="1162" spans="1:25" ht="23.25" hidden="1" thickBot="1" x14ac:dyDescent="0.25">
      <c r="A1162" s="317">
        <v>92981</v>
      </c>
      <c r="B1162" s="895">
        <v>92981</v>
      </c>
      <c r="C1162" s="896" t="s">
        <v>596</v>
      </c>
      <c r="D1162" s="906" t="s">
        <v>1092</v>
      </c>
      <c r="E1162" s="907">
        <f>GLOBAL_DER_FEV_2023!E1162</f>
        <v>0</v>
      </c>
      <c r="F1162" s="908">
        <f>GLOBAL_DER_FEV_2023!F1162</f>
        <v>0</v>
      </c>
      <c r="G1162" s="912">
        <f>GLOBAL_DER_FEV_2023!G1162</f>
        <v>0</v>
      </c>
      <c r="H1162" s="901">
        <f>GLOBAL_DER_FEV_2023!H1162</f>
        <v>15.33</v>
      </c>
      <c r="I1162" s="901">
        <f>GLOBAL_DER_FEV_2023!I1162</f>
        <v>15.33</v>
      </c>
      <c r="J1162" s="902">
        <f>GLOBAL_DER_FEV_2023!J1162</f>
        <v>18.41</v>
      </c>
      <c r="K1162" s="903" t="s">
        <v>62</v>
      </c>
      <c r="L1162" s="1137"/>
      <c r="M1162" s="1138">
        <f t="shared" si="82"/>
        <v>0</v>
      </c>
      <c r="N1162" s="893">
        <f t="shared" si="86"/>
        <v>0</v>
      </c>
      <c r="O1162" s="905"/>
      <c r="Q1162" s="317" t="str">
        <f t="shared" si="83"/>
        <v/>
      </c>
      <c r="R1162" s="317" t="str">
        <f t="shared" si="84"/>
        <v/>
      </c>
      <c r="S1162" s="317" t="str">
        <f t="shared" si="85"/>
        <v/>
      </c>
      <c r="T1162" s="317" t="str">
        <f>GLOBAL_DER_FEV_2023!S1162</f>
        <v/>
      </c>
      <c r="W1162" s="582">
        <v>0</v>
      </c>
      <c r="X1162" s="580"/>
      <c r="Y1162" s="583">
        <f>IF(GLOBAL_DER_FEV_2023!W1162=0,0,IF(GLOBAL_DER_FEV_2023!W1162&gt;0,"c","b"))</f>
        <v>0</v>
      </c>
    </row>
    <row r="1163" spans="1:25" ht="23.25" hidden="1" thickBot="1" x14ac:dyDescent="0.25">
      <c r="A1163" s="317">
        <v>91925</v>
      </c>
      <c r="B1163" s="895">
        <v>91925</v>
      </c>
      <c r="C1163" s="896" t="s">
        <v>596</v>
      </c>
      <c r="D1163" s="906" t="s">
        <v>1093</v>
      </c>
      <c r="E1163" s="907">
        <f>GLOBAL_DER_FEV_2023!E1163</f>
        <v>0</v>
      </c>
      <c r="F1163" s="908">
        <f>GLOBAL_DER_FEV_2023!F1163</f>
        <v>0</v>
      </c>
      <c r="G1163" s="912">
        <f>GLOBAL_DER_FEV_2023!G1163</f>
        <v>0</v>
      </c>
      <c r="H1163" s="901">
        <f>GLOBAL_DER_FEV_2023!H1163</f>
        <v>3.68</v>
      </c>
      <c r="I1163" s="901">
        <f>GLOBAL_DER_FEV_2023!I1163</f>
        <v>3.68</v>
      </c>
      <c r="J1163" s="902">
        <f>GLOBAL_DER_FEV_2023!J1163</f>
        <v>4.42</v>
      </c>
      <c r="K1163" s="903" t="s">
        <v>62</v>
      </c>
      <c r="L1163" s="1137"/>
      <c r="M1163" s="1138">
        <f t="shared" si="82"/>
        <v>0</v>
      </c>
      <c r="N1163" s="893">
        <f t="shared" si="86"/>
        <v>0</v>
      </c>
      <c r="O1163" s="905"/>
      <c r="Q1163" s="317" t="str">
        <f t="shared" si="83"/>
        <v/>
      </c>
      <c r="R1163" s="317" t="str">
        <f t="shared" si="84"/>
        <v/>
      </c>
      <c r="S1163" s="317" t="str">
        <f t="shared" si="85"/>
        <v/>
      </c>
      <c r="T1163" s="317" t="str">
        <f>GLOBAL_DER_FEV_2023!S1163</f>
        <v/>
      </c>
      <c r="W1163" s="582">
        <v>0</v>
      </c>
      <c r="X1163" s="580"/>
      <c r="Y1163" s="583">
        <f>IF(GLOBAL_DER_FEV_2023!W1163=0,0,IF(GLOBAL_DER_FEV_2023!W1163&gt;0,"c","b"))</f>
        <v>0</v>
      </c>
    </row>
    <row r="1164" spans="1:25" ht="23.25" hidden="1" thickBot="1" x14ac:dyDescent="0.25">
      <c r="A1164" s="317">
        <v>91927</v>
      </c>
      <c r="B1164" s="895">
        <v>91927</v>
      </c>
      <c r="C1164" s="896" t="s">
        <v>596</v>
      </c>
      <c r="D1164" s="906" t="s">
        <v>1094</v>
      </c>
      <c r="E1164" s="907">
        <f>GLOBAL_DER_FEV_2023!E1164</f>
        <v>0</v>
      </c>
      <c r="F1164" s="908">
        <f>GLOBAL_DER_FEV_2023!F1164</f>
        <v>0</v>
      </c>
      <c r="G1164" s="912">
        <f>GLOBAL_DER_FEV_2023!G1164</f>
        <v>0</v>
      </c>
      <c r="H1164" s="901">
        <f>GLOBAL_DER_FEV_2023!H1164</f>
        <v>4.91</v>
      </c>
      <c r="I1164" s="901">
        <f>GLOBAL_DER_FEV_2023!I1164</f>
        <v>4.91</v>
      </c>
      <c r="J1164" s="902">
        <f>GLOBAL_DER_FEV_2023!J1164</f>
        <v>5.9</v>
      </c>
      <c r="K1164" s="903" t="s">
        <v>62</v>
      </c>
      <c r="L1164" s="1137"/>
      <c r="M1164" s="1138">
        <f t="shared" si="82"/>
        <v>0</v>
      </c>
      <c r="N1164" s="893">
        <f t="shared" si="86"/>
        <v>0</v>
      </c>
      <c r="O1164" s="905"/>
      <c r="Q1164" s="317" t="str">
        <f t="shared" si="83"/>
        <v/>
      </c>
      <c r="R1164" s="317" t="str">
        <f t="shared" si="84"/>
        <v/>
      </c>
      <c r="S1164" s="317" t="str">
        <f t="shared" si="85"/>
        <v/>
      </c>
      <c r="T1164" s="317" t="str">
        <f>GLOBAL_DER_FEV_2023!S1164</f>
        <v/>
      </c>
      <c r="W1164" s="582">
        <v>0</v>
      </c>
      <c r="X1164" s="580"/>
      <c r="Y1164" s="583">
        <f>IF(GLOBAL_DER_FEV_2023!W1164=0,0,IF(GLOBAL_DER_FEV_2023!W1164&gt;0,"c","b"))</f>
        <v>0</v>
      </c>
    </row>
    <row r="1165" spans="1:25" ht="23.25" hidden="1" thickBot="1" x14ac:dyDescent="0.25">
      <c r="A1165" s="317">
        <v>91929</v>
      </c>
      <c r="B1165" s="895">
        <v>91929</v>
      </c>
      <c r="C1165" s="896" t="s">
        <v>596</v>
      </c>
      <c r="D1165" s="906" t="s">
        <v>1095</v>
      </c>
      <c r="E1165" s="907">
        <f>GLOBAL_DER_FEV_2023!E1165</f>
        <v>0</v>
      </c>
      <c r="F1165" s="908">
        <f>GLOBAL_DER_FEV_2023!F1165</f>
        <v>0</v>
      </c>
      <c r="G1165" s="912">
        <f>GLOBAL_DER_FEV_2023!G1165</f>
        <v>0</v>
      </c>
      <c r="H1165" s="901">
        <f>GLOBAL_DER_FEV_2023!H1165</f>
        <v>7.14</v>
      </c>
      <c r="I1165" s="901">
        <f>GLOBAL_DER_FEV_2023!I1165</f>
        <v>7.14</v>
      </c>
      <c r="J1165" s="902">
        <f>GLOBAL_DER_FEV_2023!J1165</f>
        <v>8.57</v>
      </c>
      <c r="K1165" s="903" t="s">
        <v>62</v>
      </c>
      <c r="L1165" s="1137"/>
      <c r="M1165" s="1138">
        <f t="shared" si="82"/>
        <v>0</v>
      </c>
      <c r="N1165" s="893">
        <f t="shared" si="86"/>
        <v>0</v>
      </c>
      <c r="O1165" s="905"/>
      <c r="Q1165" s="317" t="str">
        <f t="shared" si="83"/>
        <v/>
      </c>
      <c r="R1165" s="317" t="str">
        <f t="shared" si="84"/>
        <v/>
      </c>
      <c r="S1165" s="317" t="str">
        <f t="shared" si="85"/>
        <v/>
      </c>
      <c r="T1165" s="317" t="str">
        <f>GLOBAL_DER_FEV_2023!S1165</f>
        <v/>
      </c>
      <c r="W1165" s="582">
        <v>0</v>
      </c>
      <c r="X1165" s="580"/>
      <c r="Y1165" s="583">
        <f>IF(GLOBAL_DER_FEV_2023!W1165=0,0,IF(GLOBAL_DER_FEV_2023!W1165&gt;0,"c","b"))</f>
        <v>0</v>
      </c>
    </row>
    <row r="1166" spans="1:25" ht="23.25" hidden="1" thickBot="1" x14ac:dyDescent="0.25">
      <c r="A1166" s="317">
        <v>91931</v>
      </c>
      <c r="B1166" s="895">
        <v>91931</v>
      </c>
      <c r="C1166" s="896" t="s">
        <v>596</v>
      </c>
      <c r="D1166" s="906" t="s">
        <v>1096</v>
      </c>
      <c r="E1166" s="907">
        <f>GLOBAL_DER_FEV_2023!E1166</f>
        <v>0</v>
      </c>
      <c r="F1166" s="908">
        <f>GLOBAL_DER_FEV_2023!F1166</f>
        <v>0</v>
      </c>
      <c r="G1166" s="912">
        <f>GLOBAL_DER_FEV_2023!G1166</f>
        <v>0</v>
      </c>
      <c r="H1166" s="901">
        <f>GLOBAL_DER_FEV_2023!H1166</f>
        <v>10</v>
      </c>
      <c r="I1166" s="901">
        <f>GLOBAL_DER_FEV_2023!I1166</f>
        <v>10</v>
      </c>
      <c r="J1166" s="902">
        <f>GLOBAL_DER_FEV_2023!J1166</f>
        <v>12.01</v>
      </c>
      <c r="K1166" s="903" t="s">
        <v>62</v>
      </c>
      <c r="L1166" s="1137"/>
      <c r="M1166" s="1138">
        <f t="shared" si="82"/>
        <v>0</v>
      </c>
      <c r="N1166" s="893">
        <f t="shared" si="86"/>
        <v>0</v>
      </c>
      <c r="O1166" s="905"/>
      <c r="Q1166" s="317" t="str">
        <f t="shared" si="83"/>
        <v/>
      </c>
      <c r="R1166" s="317" t="str">
        <f t="shared" si="84"/>
        <v/>
      </c>
      <c r="S1166" s="317" t="str">
        <f t="shared" si="85"/>
        <v/>
      </c>
      <c r="T1166" s="317" t="str">
        <f>GLOBAL_DER_FEV_2023!S1166</f>
        <v/>
      </c>
      <c r="W1166" s="582">
        <v>0</v>
      </c>
      <c r="X1166" s="580"/>
      <c r="Y1166" s="583">
        <f>IF(GLOBAL_DER_FEV_2023!W1166=0,0,IF(GLOBAL_DER_FEV_2023!W1166&gt;0,"c","b"))</f>
        <v>0</v>
      </c>
    </row>
    <row r="1167" spans="1:25" ht="23.25" hidden="1" thickBot="1" x14ac:dyDescent="0.25">
      <c r="A1167" s="317">
        <v>91933</v>
      </c>
      <c r="B1167" s="895">
        <v>91933</v>
      </c>
      <c r="C1167" s="896" t="s">
        <v>596</v>
      </c>
      <c r="D1167" s="906" t="s">
        <v>1097</v>
      </c>
      <c r="E1167" s="907">
        <f>GLOBAL_DER_FEV_2023!E1167</f>
        <v>0</v>
      </c>
      <c r="F1167" s="908">
        <f>GLOBAL_DER_FEV_2023!F1167</f>
        <v>0</v>
      </c>
      <c r="G1167" s="912">
        <f>GLOBAL_DER_FEV_2023!G1167</f>
        <v>0</v>
      </c>
      <c r="H1167" s="901">
        <f>GLOBAL_DER_FEV_2023!H1167</f>
        <v>15.88</v>
      </c>
      <c r="I1167" s="901">
        <f>GLOBAL_DER_FEV_2023!I1167</f>
        <v>15.88</v>
      </c>
      <c r="J1167" s="902">
        <f>GLOBAL_DER_FEV_2023!J1167</f>
        <v>19.07</v>
      </c>
      <c r="K1167" s="903" t="s">
        <v>62</v>
      </c>
      <c r="L1167" s="1137"/>
      <c r="M1167" s="1138">
        <f t="shared" si="82"/>
        <v>0</v>
      </c>
      <c r="N1167" s="893">
        <f t="shared" si="86"/>
        <v>0</v>
      </c>
      <c r="O1167" s="905"/>
      <c r="Q1167" s="317" t="str">
        <f t="shared" si="83"/>
        <v/>
      </c>
      <c r="R1167" s="317" t="str">
        <f t="shared" si="84"/>
        <v/>
      </c>
      <c r="S1167" s="317" t="str">
        <f t="shared" si="85"/>
        <v/>
      </c>
      <c r="T1167" s="317" t="str">
        <f>GLOBAL_DER_FEV_2023!S1167</f>
        <v/>
      </c>
      <c r="W1167" s="582">
        <v>0</v>
      </c>
      <c r="X1167" s="580"/>
      <c r="Y1167" s="583">
        <f>IF(GLOBAL_DER_FEV_2023!W1167=0,0,IF(GLOBAL_DER_FEV_2023!W1167&gt;0,"c","b"))</f>
        <v>0</v>
      </c>
    </row>
    <row r="1168" spans="1:25" ht="23.25" hidden="1" thickBot="1" x14ac:dyDescent="0.25">
      <c r="A1168" s="317">
        <v>91935</v>
      </c>
      <c r="B1168" s="895">
        <v>91935</v>
      </c>
      <c r="C1168" s="896" t="s">
        <v>596</v>
      </c>
      <c r="D1168" s="906" t="s">
        <v>1098</v>
      </c>
      <c r="E1168" s="907">
        <f>GLOBAL_DER_FEV_2023!E1168</f>
        <v>0</v>
      </c>
      <c r="F1168" s="908">
        <f>GLOBAL_DER_FEV_2023!F1168</f>
        <v>0</v>
      </c>
      <c r="G1168" s="912">
        <f>GLOBAL_DER_FEV_2023!G1168</f>
        <v>0</v>
      </c>
      <c r="H1168" s="901">
        <f>GLOBAL_DER_FEV_2023!H1168</f>
        <v>24.8</v>
      </c>
      <c r="I1168" s="901">
        <f>GLOBAL_DER_FEV_2023!I1168</f>
        <v>24.8</v>
      </c>
      <c r="J1168" s="902">
        <f>GLOBAL_DER_FEV_2023!J1168</f>
        <v>29.78</v>
      </c>
      <c r="K1168" s="903" t="s">
        <v>62</v>
      </c>
      <c r="L1168" s="1137"/>
      <c r="M1168" s="1138">
        <f t="shared" si="82"/>
        <v>0</v>
      </c>
      <c r="N1168" s="893">
        <f t="shared" si="86"/>
        <v>0</v>
      </c>
      <c r="O1168" s="905"/>
      <c r="Q1168" s="317" t="str">
        <f t="shared" si="83"/>
        <v/>
      </c>
      <c r="R1168" s="317" t="str">
        <f t="shared" si="84"/>
        <v/>
      </c>
      <c r="S1168" s="317" t="str">
        <f t="shared" si="85"/>
        <v/>
      </c>
      <c r="T1168" s="317" t="str">
        <f>GLOBAL_DER_FEV_2023!S1168</f>
        <v/>
      </c>
      <c r="W1168" s="582">
        <v>0</v>
      </c>
      <c r="X1168" s="580"/>
      <c r="Y1168" s="583">
        <f>IF(GLOBAL_DER_FEV_2023!W1168=0,0,IF(GLOBAL_DER_FEV_2023!W1168&gt;0,"c","b"))</f>
        <v>0</v>
      </c>
    </row>
    <row r="1169" spans="1:25" ht="23.25" hidden="1" thickBot="1" x14ac:dyDescent="0.25">
      <c r="A1169" s="317">
        <v>92980</v>
      </c>
      <c r="B1169" s="895">
        <v>92980</v>
      </c>
      <c r="C1169" s="896" t="s">
        <v>596</v>
      </c>
      <c r="D1169" s="906" t="s">
        <v>1099</v>
      </c>
      <c r="E1169" s="907">
        <f>GLOBAL_DER_FEV_2023!E1169</f>
        <v>0</v>
      </c>
      <c r="F1169" s="908">
        <f>GLOBAL_DER_FEV_2023!F1169</f>
        <v>0</v>
      </c>
      <c r="G1169" s="912">
        <f>GLOBAL_DER_FEV_2023!G1169</f>
        <v>0</v>
      </c>
      <c r="H1169" s="901">
        <f>GLOBAL_DER_FEV_2023!H1169</f>
        <v>10.26</v>
      </c>
      <c r="I1169" s="901">
        <f>GLOBAL_DER_FEV_2023!I1169</f>
        <v>10.26</v>
      </c>
      <c r="J1169" s="902">
        <f>GLOBAL_DER_FEV_2023!J1169</f>
        <v>12.32</v>
      </c>
      <c r="K1169" s="903" t="s">
        <v>62</v>
      </c>
      <c r="L1169" s="1137"/>
      <c r="M1169" s="1138">
        <f t="shared" si="82"/>
        <v>0</v>
      </c>
      <c r="N1169" s="893">
        <f t="shared" si="86"/>
        <v>0</v>
      </c>
      <c r="O1169" s="905"/>
      <c r="Q1169" s="317" t="str">
        <f t="shared" si="83"/>
        <v/>
      </c>
      <c r="R1169" s="317" t="str">
        <f t="shared" si="84"/>
        <v/>
      </c>
      <c r="S1169" s="317" t="str">
        <f t="shared" si="85"/>
        <v/>
      </c>
      <c r="T1169" s="317" t="str">
        <f>GLOBAL_DER_FEV_2023!S1169</f>
        <v/>
      </c>
      <c r="W1169" s="582">
        <v>0</v>
      </c>
      <c r="X1169" s="580"/>
      <c r="Y1169" s="583">
        <f>IF(GLOBAL_DER_FEV_2023!W1169=0,0,IF(GLOBAL_DER_FEV_2023!W1169&gt;0,"c","b"))</f>
        <v>0</v>
      </c>
    </row>
    <row r="1170" spans="1:25" ht="23.25" hidden="1" thickBot="1" x14ac:dyDescent="0.25">
      <c r="A1170" s="317">
        <v>92982</v>
      </c>
      <c r="B1170" s="895">
        <v>92982</v>
      </c>
      <c r="C1170" s="896" t="s">
        <v>596</v>
      </c>
      <c r="D1170" s="906" t="s">
        <v>1100</v>
      </c>
      <c r="E1170" s="907">
        <f>GLOBAL_DER_FEV_2023!E1170</f>
        <v>0</v>
      </c>
      <c r="F1170" s="908">
        <f>GLOBAL_DER_FEV_2023!F1170</f>
        <v>0</v>
      </c>
      <c r="G1170" s="912">
        <f>GLOBAL_DER_FEV_2023!G1170</f>
        <v>0</v>
      </c>
      <c r="H1170" s="901">
        <f>GLOBAL_DER_FEV_2023!H1170</f>
        <v>16.23</v>
      </c>
      <c r="I1170" s="901">
        <f>GLOBAL_DER_FEV_2023!I1170</f>
        <v>16.23</v>
      </c>
      <c r="J1170" s="902">
        <f>GLOBAL_DER_FEV_2023!J1170</f>
        <v>19.489999999999998</v>
      </c>
      <c r="K1170" s="903" t="s">
        <v>62</v>
      </c>
      <c r="L1170" s="1137"/>
      <c r="M1170" s="1138">
        <f t="shared" ref="M1170:M1233" si="87">IF(L1170=0,0,ROUND(J1170,2))</f>
        <v>0</v>
      </c>
      <c r="N1170" s="893">
        <f t="shared" si="86"/>
        <v>0</v>
      </c>
      <c r="O1170" s="905"/>
      <c r="Q1170" s="317" t="str">
        <f t="shared" si="83"/>
        <v/>
      </c>
      <c r="R1170" s="317" t="str">
        <f t="shared" si="84"/>
        <v/>
      </c>
      <c r="S1170" s="317" t="str">
        <f t="shared" si="85"/>
        <v/>
      </c>
      <c r="T1170" s="317" t="str">
        <f>GLOBAL_DER_FEV_2023!S1170</f>
        <v/>
      </c>
      <c r="W1170" s="582">
        <v>0</v>
      </c>
      <c r="X1170" s="580"/>
      <c r="Y1170" s="583">
        <f>IF(GLOBAL_DER_FEV_2023!W1170=0,0,IF(GLOBAL_DER_FEV_2023!W1170&gt;0,"c","b"))</f>
        <v>0</v>
      </c>
    </row>
    <row r="1171" spans="1:25" ht="23.25" hidden="1" thickBot="1" x14ac:dyDescent="0.25">
      <c r="A1171" s="317">
        <v>92984</v>
      </c>
      <c r="B1171" s="895">
        <v>92984</v>
      </c>
      <c r="C1171" s="896" t="s">
        <v>596</v>
      </c>
      <c r="D1171" s="906" t="s">
        <v>1101</v>
      </c>
      <c r="E1171" s="907">
        <f>GLOBAL_DER_FEV_2023!E1171</f>
        <v>0</v>
      </c>
      <c r="F1171" s="908">
        <f>GLOBAL_DER_FEV_2023!F1171</f>
        <v>0</v>
      </c>
      <c r="G1171" s="912">
        <f>GLOBAL_DER_FEV_2023!G1171</f>
        <v>0</v>
      </c>
      <c r="H1171" s="901">
        <f>GLOBAL_DER_FEV_2023!H1171</f>
        <v>27.31</v>
      </c>
      <c r="I1171" s="901">
        <f>GLOBAL_DER_FEV_2023!I1171</f>
        <v>27.31</v>
      </c>
      <c r="J1171" s="902">
        <f>GLOBAL_DER_FEV_2023!J1171</f>
        <v>32.79</v>
      </c>
      <c r="K1171" s="903" t="s">
        <v>62</v>
      </c>
      <c r="L1171" s="1137"/>
      <c r="M1171" s="1138">
        <f t="shared" si="87"/>
        <v>0</v>
      </c>
      <c r="N1171" s="893">
        <f t="shared" si="86"/>
        <v>0</v>
      </c>
      <c r="O1171" s="905"/>
      <c r="Q1171" s="317" t="str">
        <f t="shared" si="83"/>
        <v/>
      </c>
      <c r="R1171" s="317" t="str">
        <f t="shared" si="84"/>
        <v/>
      </c>
      <c r="S1171" s="317" t="str">
        <f t="shared" si="85"/>
        <v/>
      </c>
      <c r="T1171" s="317" t="str">
        <f>GLOBAL_DER_FEV_2023!S1171</f>
        <v/>
      </c>
      <c r="W1171" s="582">
        <v>0</v>
      </c>
      <c r="X1171" s="580"/>
      <c r="Y1171" s="583">
        <f>IF(GLOBAL_DER_FEV_2023!W1171=0,0,IF(GLOBAL_DER_FEV_2023!W1171&gt;0,"c","b"))</f>
        <v>0</v>
      </c>
    </row>
    <row r="1172" spans="1:25" ht="23.25" hidden="1" thickBot="1" x14ac:dyDescent="0.25">
      <c r="A1172" s="317">
        <v>92986</v>
      </c>
      <c r="B1172" s="895">
        <v>92986</v>
      </c>
      <c r="C1172" s="896" t="s">
        <v>596</v>
      </c>
      <c r="D1172" s="906" t="s">
        <v>1102</v>
      </c>
      <c r="E1172" s="907">
        <f>GLOBAL_DER_FEV_2023!E1172</f>
        <v>0</v>
      </c>
      <c r="F1172" s="908">
        <f>GLOBAL_DER_FEV_2023!F1172</f>
        <v>0</v>
      </c>
      <c r="G1172" s="912">
        <f>GLOBAL_DER_FEV_2023!G1172</f>
        <v>0</v>
      </c>
      <c r="H1172" s="901">
        <f>GLOBAL_DER_FEV_2023!H1172</f>
        <v>37.61</v>
      </c>
      <c r="I1172" s="901">
        <f>GLOBAL_DER_FEV_2023!I1172</f>
        <v>37.61</v>
      </c>
      <c r="J1172" s="902">
        <f>GLOBAL_DER_FEV_2023!J1172</f>
        <v>45.16</v>
      </c>
      <c r="K1172" s="903" t="s">
        <v>62</v>
      </c>
      <c r="L1172" s="1137"/>
      <c r="M1172" s="1138">
        <f t="shared" si="87"/>
        <v>0</v>
      </c>
      <c r="N1172" s="893">
        <f t="shared" si="86"/>
        <v>0</v>
      </c>
      <c r="O1172" s="905"/>
      <c r="Q1172" s="317" t="str">
        <f t="shared" si="83"/>
        <v/>
      </c>
      <c r="R1172" s="317" t="str">
        <f t="shared" si="84"/>
        <v/>
      </c>
      <c r="S1172" s="317" t="str">
        <f t="shared" si="85"/>
        <v/>
      </c>
      <c r="T1172" s="317" t="str">
        <f>GLOBAL_DER_FEV_2023!S1172</f>
        <v/>
      </c>
      <c r="W1172" s="582">
        <v>0</v>
      </c>
      <c r="X1172" s="580"/>
      <c r="Y1172" s="583">
        <f>IF(GLOBAL_DER_FEV_2023!W1172=0,0,IF(GLOBAL_DER_FEV_2023!W1172&gt;0,"c","b"))</f>
        <v>0</v>
      </c>
    </row>
    <row r="1173" spans="1:25" ht="23.25" hidden="1" thickBot="1" x14ac:dyDescent="0.25">
      <c r="A1173" s="317">
        <v>92988</v>
      </c>
      <c r="B1173" s="895">
        <v>92988</v>
      </c>
      <c r="C1173" s="896" t="s">
        <v>596</v>
      </c>
      <c r="D1173" s="906" t="s">
        <v>1103</v>
      </c>
      <c r="E1173" s="907">
        <f>GLOBAL_DER_FEV_2023!E1173</f>
        <v>0</v>
      </c>
      <c r="F1173" s="908">
        <f>GLOBAL_DER_FEV_2023!F1173</f>
        <v>0</v>
      </c>
      <c r="G1173" s="912">
        <f>GLOBAL_DER_FEV_2023!G1173</f>
        <v>0</v>
      </c>
      <c r="H1173" s="901">
        <f>GLOBAL_DER_FEV_2023!H1173</f>
        <v>54.4</v>
      </c>
      <c r="I1173" s="901">
        <f>GLOBAL_DER_FEV_2023!I1173</f>
        <v>54.4</v>
      </c>
      <c r="J1173" s="902">
        <f>GLOBAL_DER_FEV_2023!J1173</f>
        <v>65.319999999999993</v>
      </c>
      <c r="K1173" s="903" t="s">
        <v>62</v>
      </c>
      <c r="L1173" s="1137"/>
      <c r="M1173" s="1138">
        <f t="shared" si="87"/>
        <v>0</v>
      </c>
      <c r="N1173" s="893">
        <f t="shared" si="86"/>
        <v>0</v>
      </c>
      <c r="O1173" s="905"/>
      <c r="Q1173" s="317" t="str">
        <f t="shared" si="83"/>
        <v/>
      </c>
      <c r="R1173" s="317" t="str">
        <f t="shared" si="84"/>
        <v/>
      </c>
      <c r="S1173" s="317" t="str">
        <f t="shared" si="85"/>
        <v/>
      </c>
      <c r="T1173" s="317" t="str">
        <f>GLOBAL_DER_FEV_2023!S1173</f>
        <v/>
      </c>
      <c r="W1173" s="582">
        <v>0</v>
      </c>
      <c r="X1173" s="580"/>
      <c r="Y1173" s="583">
        <f>IF(GLOBAL_DER_FEV_2023!W1173=0,0,IF(GLOBAL_DER_FEV_2023!W1173&gt;0,"c","b"))</f>
        <v>0</v>
      </c>
    </row>
    <row r="1174" spans="1:25" ht="23.25" hidden="1" thickBot="1" x14ac:dyDescent="0.25">
      <c r="A1174" s="317">
        <v>92990</v>
      </c>
      <c r="B1174" s="895">
        <v>92990</v>
      </c>
      <c r="C1174" s="896" t="s">
        <v>596</v>
      </c>
      <c r="D1174" s="906" t="s">
        <v>1104</v>
      </c>
      <c r="E1174" s="907">
        <f>GLOBAL_DER_FEV_2023!E1174</f>
        <v>0</v>
      </c>
      <c r="F1174" s="908">
        <f>GLOBAL_DER_FEV_2023!F1174</f>
        <v>0</v>
      </c>
      <c r="G1174" s="912">
        <f>GLOBAL_DER_FEV_2023!G1174</f>
        <v>0</v>
      </c>
      <c r="H1174" s="901">
        <f>GLOBAL_DER_FEV_2023!H1174</f>
        <v>75.17</v>
      </c>
      <c r="I1174" s="901">
        <f>GLOBAL_DER_FEV_2023!I1174</f>
        <v>75.17</v>
      </c>
      <c r="J1174" s="902">
        <f>GLOBAL_DER_FEV_2023!J1174</f>
        <v>90.26</v>
      </c>
      <c r="K1174" s="903" t="s">
        <v>62</v>
      </c>
      <c r="L1174" s="1137"/>
      <c r="M1174" s="1138">
        <f t="shared" si="87"/>
        <v>0</v>
      </c>
      <c r="N1174" s="893">
        <f t="shared" si="86"/>
        <v>0</v>
      </c>
      <c r="O1174" s="905"/>
      <c r="Q1174" s="317" t="str">
        <f t="shared" si="83"/>
        <v/>
      </c>
      <c r="R1174" s="317" t="str">
        <f t="shared" si="84"/>
        <v/>
      </c>
      <c r="S1174" s="317" t="str">
        <f t="shared" si="85"/>
        <v/>
      </c>
      <c r="T1174" s="317" t="str">
        <f>GLOBAL_DER_FEV_2023!S1174</f>
        <v/>
      </c>
      <c r="W1174" s="582">
        <v>0</v>
      </c>
      <c r="X1174" s="580"/>
      <c r="Y1174" s="583">
        <f>IF(GLOBAL_DER_FEV_2023!W1174=0,0,IF(GLOBAL_DER_FEV_2023!W1174&gt;0,"c","b"))</f>
        <v>0</v>
      </c>
    </row>
    <row r="1175" spans="1:25" ht="23.25" hidden="1" thickBot="1" x14ac:dyDescent="0.25">
      <c r="A1175" s="317">
        <v>92992</v>
      </c>
      <c r="B1175" s="895">
        <v>92992</v>
      </c>
      <c r="C1175" s="896" t="s">
        <v>596</v>
      </c>
      <c r="D1175" s="906" t="s">
        <v>1105</v>
      </c>
      <c r="E1175" s="907">
        <f>GLOBAL_DER_FEV_2023!E1175</f>
        <v>0</v>
      </c>
      <c r="F1175" s="908">
        <f>GLOBAL_DER_FEV_2023!F1175</f>
        <v>0</v>
      </c>
      <c r="G1175" s="912">
        <f>GLOBAL_DER_FEV_2023!G1175</f>
        <v>0</v>
      </c>
      <c r="H1175" s="901">
        <f>GLOBAL_DER_FEV_2023!H1175</f>
        <v>97.11</v>
      </c>
      <c r="I1175" s="901">
        <f>GLOBAL_DER_FEV_2023!I1175</f>
        <v>97.11</v>
      </c>
      <c r="J1175" s="902">
        <f>GLOBAL_DER_FEV_2023!J1175</f>
        <v>116.6</v>
      </c>
      <c r="K1175" s="903" t="s">
        <v>62</v>
      </c>
      <c r="L1175" s="1137"/>
      <c r="M1175" s="1138">
        <f t="shared" si="87"/>
        <v>0</v>
      </c>
      <c r="N1175" s="893">
        <f t="shared" si="86"/>
        <v>0</v>
      </c>
      <c r="O1175" s="905"/>
      <c r="Q1175" s="317" t="str">
        <f t="shared" si="83"/>
        <v/>
      </c>
      <c r="R1175" s="317" t="str">
        <f t="shared" si="84"/>
        <v/>
      </c>
      <c r="S1175" s="317" t="str">
        <f t="shared" si="85"/>
        <v/>
      </c>
      <c r="T1175" s="317" t="str">
        <f>GLOBAL_DER_FEV_2023!S1175</f>
        <v/>
      </c>
      <c r="W1175" s="582">
        <v>0</v>
      </c>
      <c r="X1175" s="580"/>
      <c r="Y1175" s="583">
        <f>IF(GLOBAL_DER_FEV_2023!W1175=0,0,IF(GLOBAL_DER_FEV_2023!W1175&gt;0,"c","b"))</f>
        <v>0</v>
      </c>
    </row>
    <row r="1176" spans="1:25" ht="23.25" hidden="1" thickBot="1" x14ac:dyDescent="0.25">
      <c r="A1176" s="317">
        <v>92994</v>
      </c>
      <c r="B1176" s="895">
        <v>92994</v>
      </c>
      <c r="C1176" s="896" t="s">
        <v>596</v>
      </c>
      <c r="D1176" s="906" t="s">
        <v>1106</v>
      </c>
      <c r="E1176" s="907">
        <f>GLOBAL_DER_FEV_2023!E1176</f>
        <v>0</v>
      </c>
      <c r="F1176" s="908">
        <f>GLOBAL_DER_FEV_2023!F1176</f>
        <v>0</v>
      </c>
      <c r="G1176" s="912">
        <f>GLOBAL_DER_FEV_2023!G1176</f>
        <v>0</v>
      </c>
      <c r="H1176" s="901">
        <f>GLOBAL_DER_FEV_2023!H1176</f>
        <v>126.04</v>
      </c>
      <c r="I1176" s="901">
        <f>GLOBAL_DER_FEV_2023!I1176</f>
        <v>126.04</v>
      </c>
      <c r="J1176" s="902">
        <f>GLOBAL_DER_FEV_2023!J1176</f>
        <v>151.34</v>
      </c>
      <c r="K1176" s="903" t="s">
        <v>62</v>
      </c>
      <c r="L1176" s="1137"/>
      <c r="M1176" s="1138">
        <f t="shared" si="87"/>
        <v>0</v>
      </c>
      <c r="N1176" s="893">
        <f t="shared" si="86"/>
        <v>0</v>
      </c>
      <c r="O1176" s="905"/>
      <c r="Q1176" s="317" t="str">
        <f t="shared" si="83"/>
        <v/>
      </c>
      <c r="R1176" s="317" t="str">
        <f t="shared" si="84"/>
        <v/>
      </c>
      <c r="S1176" s="317" t="str">
        <f t="shared" si="85"/>
        <v/>
      </c>
      <c r="T1176" s="317" t="str">
        <f>GLOBAL_DER_FEV_2023!S1176</f>
        <v/>
      </c>
      <c r="W1176" s="582">
        <v>0</v>
      </c>
      <c r="X1176" s="580"/>
      <c r="Y1176" s="583">
        <f>IF(GLOBAL_DER_FEV_2023!W1176=0,0,IF(GLOBAL_DER_FEV_2023!W1176&gt;0,"c","b"))</f>
        <v>0</v>
      </c>
    </row>
    <row r="1177" spans="1:25" ht="23.25" hidden="1" thickBot="1" x14ac:dyDescent="0.25">
      <c r="A1177" s="317">
        <v>92996</v>
      </c>
      <c r="B1177" s="895">
        <v>92996</v>
      </c>
      <c r="C1177" s="896" t="s">
        <v>596</v>
      </c>
      <c r="D1177" s="906" t="s">
        <v>1107</v>
      </c>
      <c r="E1177" s="907">
        <f>GLOBAL_DER_FEV_2023!E1177</f>
        <v>0</v>
      </c>
      <c r="F1177" s="908">
        <f>GLOBAL_DER_FEV_2023!F1177</f>
        <v>0</v>
      </c>
      <c r="G1177" s="912">
        <f>GLOBAL_DER_FEV_2023!G1177</f>
        <v>0</v>
      </c>
      <c r="H1177" s="901">
        <f>GLOBAL_DER_FEV_2023!H1177</f>
        <v>152.46</v>
      </c>
      <c r="I1177" s="901">
        <f>GLOBAL_DER_FEV_2023!I1177</f>
        <v>152.46</v>
      </c>
      <c r="J1177" s="902">
        <f>GLOBAL_DER_FEV_2023!J1177</f>
        <v>183.06</v>
      </c>
      <c r="K1177" s="903" t="s">
        <v>62</v>
      </c>
      <c r="L1177" s="1137"/>
      <c r="M1177" s="1138">
        <f t="shared" si="87"/>
        <v>0</v>
      </c>
      <c r="N1177" s="893">
        <f t="shared" si="86"/>
        <v>0</v>
      </c>
      <c r="O1177" s="905"/>
      <c r="Q1177" s="317" t="str">
        <f t="shared" si="83"/>
        <v/>
      </c>
      <c r="R1177" s="317" t="str">
        <f t="shared" si="84"/>
        <v/>
      </c>
      <c r="S1177" s="317" t="str">
        <f t="shared" si="85"/>
        <v/>
      </c>
      <c r="T1177" s="317" t="str">
        <f>GLOBAL_DER_FEV_2023!S1177</f>
        <v/>
      </c>
      <c r="W1177" s="582">
        <v>0</v>
      </c>
      <c r="X1177" s="580"/>
      <c r="Y1177" s="583">
        <f>IF(GLOBAL_DER_FEV_2023!W1177=0,0,IF(GLOBAL_DER_FEV_2023!W1177&gt;0,"c","b"))</f>
        <v>0</v>
      </c>
    </row>
    <row r="1178" spans="1:25" ht="23.25" hidden="1" thickBot="1" x14ac:dyDescent="0.25">
      <c r="A1178" s="317">
        <v>92998</v>
      </c>
      <c r="B1178" s="895">
        <v>92998</v>
      </c>
      <c r="C1178" s="896" t="s">
        <v>596</v>
      </c>
      <c r="D1178" s="906" t="s">
        <v>1108</v>
      </c>
      <c r="E1178" s="907">
        <f>GLOBAL_DER_FEV_2023!E1178</f>
        <v>0</v>
      </c>
      <c r="F1178" s="908">
        <f>GLOBAL_DER_FEV_2023!F1178</f>
        <v>0</v>
      </c>
      <c r="G1178" s="912">
        <f>GLOBAL_DER_FEV_2023!G1178</f>
        <v>0</v>
      </c>
      <c r="H1178" s="901">
        <f>GLOBAL_DER_FEV_2023!H1178</f>
        <v>186.74</v>
      </c>
      <c r="I1178" s="901">
        <f>GLOBAL_DER_FEV_2023!I1178</f>
        <v>186.74</v>
      </c>
      <c r="J1178" s="902">
        <f>GLOBAL_DER_FEV_2023!J1178</f>
        <v>224.22</v>
      </c>
      <c r="K1178" s="903" t="s">
        <v>62</v>
      </c>
      <c r="L1178" s="1137"/>
      <c r="M1178" s="1138">
        <f t="shared" si="87"/>
        <v>0</v>
      </c>
      <c r="N1178" s="893">
        <f t="shared" si="86"/>
        <v>0</v>
      </c>
      <c r="O1178" s="905"/>
      <c r="Q1178" s="317" t="str">
        <f t="shared" si="83"/>
        <v/>
      </c>
      <c r="R1178" s="317" t="str">
        <f t="shared" si="84"/>
        <v/>
      </c>
      <c r="S1178" s="317" t="str">
        <f t="shared" si="85"/>
        <v/>
      </c>
      <c r="T1178" s="317" t="str">
        <f>GLOBAL_DER_FEV_2023!S1178</f>
        <v/>
      </c>
      <c r="W1178" s="582">
        <v>0</v>
      </c>
      <c r="X1178" s="580"/>
      <c r="Y1178" s="583">
        <f>IF(GLOBAL_DER_FEV_2023!W1178=0,0,IF(GLOBAL_DER_FEV_2023!W1178&gt;0,"c","b"))</f>
        <v>0</v>
      </c>
    </row>
    <row r="1179" spans="1:25" ht="23.25" hidden="1" thickBot="1" x14ac:dyDescent="0.25">
      <c r="A1179" s="317">
        <v>93000</v>
      </c>
      <c r="B1179" s="895">
        <v>93000</v>
      </c>
      <c r="C1179" s="896" t="s">
        <v>596</v>
      </c>
      <c r="D1179" s="906" t="s">
        <v>1109</v>
      </c>
      <c r="E1179" s="907">
        <f>GLOBAL_DER_FEV_2023!E1179</f>
        <v>0</v>
      </c>
      <c r="F1179" s="908">
        <f>GLOBAL_DER_FEV_2023!F1179</f>
        <v>0</v>
      </c>
      <c r="G1179" s="912">
        <f>GLOBAL_DER_FEV_2023!G1179</f>
        <v>0</v>
      </c>
      <c r="H1179" s="901">
        <f>GLOBAL_DER_FEV_2023!H1179</f>
        <v>247.07</v>
      </c>
      <c r="I1179" s="901">
        <f>GLOBAL_DER_FEV_2023!I1179</f>
        <v>247.07</v>
      </c>
      <c r="J1179" s="902">
        <f>GLOBAL_DER_FEV_2023!J1179</f>
        <v>296.66000000000003</v>
      </c>
      <c r="K1179" s="903" t="s">
        <v>62</v>
      </c>
      <c r="L1179" s="1137"/>
      <c r="M1179" s="1138">
        <f t="shared" si="87"/>
        <v>0</v>
      </c>
      <c r="N1179" s="893">
        <f t="shared" si="86"/>
        <v>0</v>
      </c>
      <c r="O1179" s="905"/>
      <c r="Q1179" s="317" t="str">
        <f t="shared" ref="Q1179:Q1242" si="88">IF(P1179="X","x",IF(P1179="xx","x",IF(P1179="xy","x",IF(P1179="y","x",IF(OR(N1179&gt;0,N1179&gt;0),"x","")))))</f>
        <v/>
      </c>
      <c r="R1179" s="317" t="str">
        <f t="shared" si="84"/>
        <v/>
      </c>
      <c r="S1179" s="317" t="str">
        <f t="shared" si="85"/>
        <v/>
      </c>
      <c r="T1179" s="317" t="str">
        <f>GLOBAL_DER_FEV_2023!S1179</f>
        <v/>
      </c>
      <c r="W1179" s="582">
        <v>0</v>
      </c>
      <c r="X1179" s="580"/>
      <c r="Y1179" s="583">
        <f>IF(GLOBAL_DER_FEV_2023!W1179=0,0,IF(GLOBAL_DER_FEV_2023!W1179&gt;0,"c","b"))</f>
        <v>0</v>
      </c>
    </row>
    <row r="1180" spans="1:25" ht="23.25" hidden="1" thickBot="1" x14ac:dyDescent="0.25">
      <c r="A1180" s="317">
        <v>93002</v>
      </c>
      <c r="B1180" s="895">
        <v>93002</v>
      </c>
      <c r="C1180" s="896" t="s">
        <v>596</v>
      </c>
      <c r="D1180" s="906" t="s">
        <v>1110</v>
      </c>
      <c r="E1180" s="907">
        <f>GLOBAL_DER_FEV_2023!E1180</f>
        <v>0</v>
      </c>
      <c r="F1180" s="908">
        <f>GLOBAL_DER_FEV_2023!F1180</f>
        <v>0</v>
      </c>
      <c r="G1180" s="912">
        <f>GLOBAL_DER_FEV_2023!G1180</f>
        <v>0</v>
      </c>
      <c r="H1180" s="901">
        <f>GLOBAL_DER_FEV_2023!H1180</f>
        <v>319.27</v>
      </c>
      <c r="I1180" s="901">
        <f>GLOBAL_DER_FEV_2023!I1180</f>
        <v>319.27</v>
      </c>
      <c r="J1180" s="902">
        <f>GLOBAL_DER_FEV_2023!J1180</f>
        <v>383.35</v>
      </c>
      <c r="K1180" s="903" t="s">
        <v>62</v>
      </c>
      <c r="L1180" s="1137"/>
      <c r="M1180" s="1138">
        <f t="shared" si="87"/>
        <v>0</v>
      </c>
      <c r="N1180" s="893">
        <f t="shared" si="86"/>
        <v>0</v>
      </c>
      <c r="O1180" s="905"/>
      <c r="Q1180" s="317" t="str">
        <f t="shared" si="88"/>
        <v/>
      </c>
      <c r="R1180" s="317" t="str">
        <f t="shared" si="84"/>
        <v/>
      </c>
      <c r="S1180" s="317" t="str">
        <f t="shared" si="85"/>
        <v/>
      </c>
      <c r="T1180" s="317" t="str">
        <f>GLOBAL_DER_FEV_2023!S1180</f>
        <v/>
      </c>
      <c r="W1180" s="582">
        <v>0</v>
      </c>
      <c r="X1180" s="580"/>
      <c r="Y1180" s="583">
        <f>IF(GLOBAL_DER_FEV_2023!W1180=0,0,IF(GLOBAL_DER_FEV_2023!W1180&gt;0,"c","b"))</f>
        <v>0</v>
      </c>
    </row>
    <row r="1181" spans="1:25" ht="23.25" hidden="1" thickBot="1" x14ac:dyDescent="0.25">
      <c r="A1181" s="317">
        <v>101884</v>
      </c>
      <c r="B1181" s="895">
        <v>101884</v>
      </c>
      <c r="C1181" s="896" t="s">
        <v>596</v>
      </c>
      <c r="D1181" s="906" t="s">
        <v>1111</v>
      </c>
      <c r="E1181" s="907">
        <f>GLOBAL_DER_FEV_2023!E1181</f>
        <v>0</v>
      </c>
      <c r="F1181" s="908">
        <f>GLOBAL_DER_FEV_2023!F1181</f>
        <v>0</v>
      </c>
      <c r="G1181" s="912">
        <f>GLOBAL_DER_FEV_2023!G1181</f>
        <v>0</v>
      </c>
      <c r="H1181" s="901">
        <f>GLOBAL_DER_FEV_2023!H1181</f>
        <v>10.42</v>
      </c>
      <c r="I1181" s="901">
        <f>GLOBAL_DER_FEV_2023!I1181</f>
        <v>10.42</v>
      </c>
      <c r="J1181" s="902">
        <f>GLOBAL_DER_FEV_2023!J1181</f>
        <v>12.51</v>
      </c>
      <c r="K1181" s="903" t="s">
        <v>62</v>
      </c>
      <c r="L1181" s="1137"/>
      <c r="M1181" s="1138">
        <f t="shared" si="87"/>
        <v>0</v>
      </c>
      <c r="N1181" s="893">
        <f t="shared" si="86"/>
        <v>0</v>
      </c>
      <c r="O1181" s="905"/>
      <c r="Q1181" s="317" t="str">
        <f t="shared" si="88"/>
        <v/>
      </c>
      <c r="R1181" s="317" t="str">
        <f t="shared" ref="R1181:R1244" si="89">IF(P1181="X","x",IF(P1181="y","x",IF(P1181="xx","x",IF(N1181&gt;0,"x",""))))</f>
        <v/>
      </c>
      <c r="S1181" s="317" t="str">
        <f t="shared" ref="S1181:S1244" si="90">IF(P1181="X","x",IF(N1181&gt;0,"x",""))</f>
        <v/>
      </c>
      <c r="T1181" s="317" t="str">
        <f>GLOBAL_DER_FEV_2023!S1181</f>
        <v/>
      </c>
      <c r="W1181" s="582">
        <v>0</v>
      </c>
      <c r="X1181" s="580"/>
      <c r="Y1181" s="583">
        <f>IF(GLOBAL_DER_FEV_2023!W1181=0,0,IF(GLOBAL_DER_FEV_2023!W1181&gt;0,"c","b"))</f>
        <v>0</v>
      </c>
    </row>
    <row r="1182" spans="1:25" ht="23.25" hidden="1" thickBot="1" x14ac:dyDescent="0.25">
      <c r="A1182" s="317">
        <v>101885</v>
      </c>
      <c r="B1182" s="895">
        <v>101885</v>
      </c>
      <c r="C1182" s="896" t="s">
        <v>596</v>
      </c>
      <c r="D1182" s="906" t="s">
        <v>1112</v>
      </c>
      <c r="E1182" s="907">
        <f>GLOBAL_DER_FEV_2023!E1182</f>
        <v>0</v>
      </c>
      <c r="F1182" s="908">
        <f>GLOBAL_DER_FEV_2023!F1182</f>
        <v>0</v>
      </c>
      <c r="G1182" s="912">
        <f>GLOBAL_DER_FEV_2023!G1182</f>
        <v>0</v>
      </c>
      <c r="H1182" s="901">
        <f>GLOBAL_DER_FEV_2023!H1182</f>
        <v>9.9499999999999993</v>
      </c>
      <c r="I1182" s="901">
        <f>GLOBAL_DER_FEV_2023!I1182</f>
        <v>9.9499999999999993</v>
      </c>
      <c r="J1182" s="902">
        <f>GLOBAL_DER_FEV_2023!J1182</f>
        <v>11.95</v>
      </c>
      <c r="K1182" s="903" t="s">
        <v>62</v>
      </c>
      <c r="L1182" s="1137"/>
      <c r="M1182" s="1138">
        <f t="shared" si="87"/>
        <v>0</v>
      </c>
      <c r="N1182" s="893">
        <f t="shared" si="86"/>
        <v>0</v>
      </c>
      <c r="O1182" s="905"/>
      <c r="Q1182" s="317" t="str">
        <f t="shared" si="88"/>
        <v/>
      </c>
      <c r="R1182" s="317" t="str">
        <f t="shared" si="89"/>
        <v/>
      </c>
      <c r="S1182" s="317" t="str">
        <f t="shared" si="90"/>
        <v/>
      </c>
      <c r="T1182" s="317" t="str">
        <f>GLOBAL_DER_FEV_2023!S1182</f>
        <v/>
      </c>
      <c r="W1182" s="582">
        <v>0</v>
      </c>
      <c r="X1182" s="580"/>
      <c r="Y1182" s="583">
        <f>IF(GLOBAL_DER_FEV_2023!W1182=0,0,IF(GLOBAL_DER_FEV_2023!W1182&gt;0,"c","b"))</f>
        <v>0</v>
      </c>
    </row>
    <row r="1183" spans="1:25" ht="23.25" hidden="1" thickBot="1" x14ac:dyDescent="0.25">
      <c r="A1183" s="317">
        <v>101886</v>
      </c>
      <c r="B1183" s="895">
        <v>101886</v>
      </c>
      <c r="C1183" s="896" t="s">
        <v>596</v>
      </c>
      <c r="D1183" s="906" t="s">
        <v>1113</v>
      </c>
      <c r="E1183" s="907">
        <f>GLOBAL_DER_FEV_2023!E1183</f>
        <v>0</v>
      </c>
      <c r="F1183" s="908">
        <f>GLOBAL_DER_FEV_2023!F1183</f>
        <v>0</v>
      </c>
      <c r="G1183" s="912">
        <f>GLOBAL_DER_FEV_2023!G1183</f>
        <v>0</v>
      </c>
      <c r="H1183" s="901">
        <f>GLOBAL_DER_FEV_2023!H1183</f>
        <v>14.98</v>
      </c>
      <c r="I1183" s="901">
        <f>GLOBAL_DER_FEV_2023!I1183</f>
        <v>14.98</v>
      </c>
      <c r="J1183" s="902">
        <f>GLOBAL_DER_FEV_2023!J1183</f>
        <v>17.989999999999998</v>
      </c>
      <c r="K1183" s="903" t="s">
        <v>62</v>
      </c>
      <c r="L1183" s="1137"/>
      <c r="M1183" s="1138">
        <f t="shared" si="87"/>
        <v>0</v>
      </c>
      <c r="N1183" s="893">
        <f t="shared" si="86"/>
        <v>0</v>
      </c>
      <c r="O1183" s="905"/>
      <c r="Q1183" s="317" t="str">
        <f t="shared" si="88"/>
        <v/>
      </c>
      <c r="R1183" s="317" t="str">
        <f t="shared" si="89"/>
        <v/>
      </c>
      <c r="S1183" s="317" t="str">
        <f t="shared" si="90"/>
        <v/>
      </c>
      <c r="T1183" s="317" t="str">
        <f>GLOBAL_DER_FEV_2023!S1183</f>
        <v/>
      </c>
      <c r="W1183" s="582">
        <v>0</v>
      </c>
      <c r="X1183" s="580"/>
      <c r="Y1183" s="583">
        <f>IF(GLOBAL_DER_FEV_2023!W1183=0,0,IF(GLOBAL_DER_FEV_2023!W1183&gt;0,"c","b"))</f>
        <v>0</v>
      </c>
    </row>
    <row r="1184" spans="1:25" ht="23.25" hidden="1" thickBot="1" x14ac:dyDescent="0.25">
      <c r="A1184" s="317">
        <v>101887</v>
      </c>
      <c r="B1184" s="895">
        <v>101887</v>
      </c>
      <c r="C1184" s="896" t="s">
        <v>596</v>
      </c>
      <c r="D1184" s="906" t="s">
        <v>1114</v>
      </c>
      <c r="E1184" s="907">
        <f>GLOBAL_DER_FEV_2023!E1184</f>
        <v>0</v>
      </c>
      <c r="F1184" s="908">
        <f>GLOBAL_DER_FEV_2023!F1184</f>
        <v>0</v>
      </c>
      <c r="G1184" s="912">
        <f>GLOBAL_DER_FEV_2023!G1184</f>
        <v>0</v>
      </c>
      <c r="H1184" s="901">
        <f>GLOBAL_DER_FEV_2023!H1184</f>
        <v>15.88</v>
      </c>
      <c r="I1184" s="901">
        <f>GLOBAL_DER_FEV_2023!I1184</f>
        <v>15.88</v>
      </c>
      <c r="J1184" s="902">
        <f>GLOBAL_DER_FEV_2023!J1184</f>
        <v>19.07</v>
      </c>
      <c r="K1184" s="903" t="s">
        <v>62</v>
      </c>
      <c r="L1184" s="1137"/>
      <c r="M1184" s="1138">
        <f t="shared" si="87"/>
        <v>0</v>
      </c>
      <c r="N1184" s="893">
        <f t="shared" si="86"/>
        <v>0</v>
      </c>
      <c r="O1184" s="905"/>
      <c r="Q1184" s="317" t="str">
        <f t="shared" si="88"/>
        <v/>
      </c>
      <c r="R1184" s="317" t="str">
        <f t="shared" si="89"/>
        <v/>
      </c>
      <c r="S1184" s="317" t="str">
        <f t="shared" si="90"/>
        <v/>
      </c>
      <c r="T1184" s="317" t="str">
        <f>GLOBAL_DER_FEV_2023!S1184</f>
        <v/>
      </c>
      <c r="W1184" s="582">
        <v>0</v>
      </c>
      <c r="X1184" s="580"/>
      <c r="Y1184" s="583">
        <f>IF(GLOBAL_DER_FEV_2023!W1184=0,0,IF(GLOBAL_DER_FEV_2023!W1184&gt;0,"c","b"))</f>
        <v>0</v>
      </c>
    </row>
    <row r="1185" spans="1:25" ht="23.25" hidden="1" thickBot="1" x14ac:dyDescent="0.25">
      <c r="A1185" s="317">
        <v>101888</v>
      </c>
      <c r="B1185" s="895">
        <v>101888</v>
      </c>
      <c r="C1185" s="896" t="s">
        <v>596</v>
      </c>
      <c r="D1185" s="906" t="s">
        <v>1115</v>
      </c>
      <c r="E1185" s="907">
        <f>GLOBAL_DER_FEV_2023!E1185</f>
        <v>0</v>
      </c>
      <c r="F1185" s="908">
        <f>GLOBAL_DER_FEV_2023!F1185</f>
        <v>0</v>
      </c>
      <c r="G1185" s="912">
        <f>GLOBAL_DER_FEV_2023!G1185</f>
        <v>0</v>
      </c>
      <c r="H1185" s="901">
        <f>GLOBAL_DER_FEV_2023!H1185</f>
        <v>23.48</v>
      </c>
      <c r="I1185" s="901">
        <f>GLOBAL_DER_FEV_2023!I1185</f>
        <v>23.48</v>
      </c>
      <c r="J1185" s="902">
        <f>GLOBAL_DER_FEV_2023!J1185</f>
        <v>28.19</v>
      </c>
      <c r="K1185" s="903" t="s">
        <v>62</v>
      </c>
      <c r="L1185" s="1137"/>
      <c r="M1185" s="1138">
        <f t="shared" si="87"/>
        <v>0</v>
      </c>
      <c r="N1185" s="893">
        <f t="shared" ref="N1185:N1248" si="91">IF(ISBLANK(L1185),0,IF(W1185=0,ROUND(L1185*M1185,2),IF(W1185="b",ROUNDDOWN(L1185*M1185,2),ROUNDUP(L1185*M1185,2))))</f>
        <v>0</v>
      </c>
      <c r="O1185" s="905"/>
      <c r="Q1185" s="317" t="str">
        <f t="shared" si="88"/>
        <v/>
      </c>
      <c r="R1185" s="317" t="str">
        <f t="shared" si="89"/>
        <v/>
      </c>
      <c r="S1185" s="317" t="str">
        <f t="shared" si="90"/>
        <v/>
      </c>
      <c r="T1185" s="317" t="str">
        <f>GLOBAL_DER_FEV_2023!S1185</f>
        <v/>
      </c>
      <c r="W1185" s="582">
        <v>0</v>
      </c>
      <c r="X1185" s="580"/>
      <c r="Y1185" s="583">
        <f>IF(GLOBAL_DER_FEV_2023!W1185=0,0,IF(GLOBAL_DER_FEV_2023!W1185&gt;0,"c","b"))</f>
        <v>0</v>
      </c>
    </row>
    <row r="1186" spans="1:25" ht="23.25" hidden="1" thickBot="1" x14ac:dyDescent="0.25">
      <c r="A1186" s="317">
        <v>101889</v>
      </c>
      <c r="B1186" s="895">
        <v>101889</v>
      </c>
      <c r="C1186" s="896" t="s">
        <v>596</v>
      </c>
      <c r="D1186" s="906" t="s">
        <v>1116</v>
      </c>
      <c r="E1186" s="907">
        <f>GLOBAL_DER_FEV_2023!E1186</f>
        <v>0</v>
      </c>
      <c r="F1186" s="908">
        <f>GLOBAL_DER_FEV_2023!F1186</f>
        <v>0</v>
      </c>
      <c r="G1186" s="912">
        <f>GLOBAL_DER_FEV_2023!G1186</f>
        <v>0</v>
      </c>
      <c r="H1186" s="901">
        <f>GLOBAL_DER_FEV_2023!H1186</f>
        <v>24.66</v>
      </c>
      <c r="I1186" s="901">
        <f>GLOBAL_DER_FEV_2023!I1186</f>
        <v>24.66</v>
      </c>
      <c r="J1186" s="902">
        <f>GLOBAL_DER_FEV_2023!J1186</f>
        <v>29.61</v>
      </c>
      <c r="K1186" s="903" t="s">
        <v>62</v>
      </c>
      <c r="L1186" s="1137"/>
      <c r="M1186" s="1138">
        <f t="shared" si="87"/>
        <v>0</v>
      </c>
      <c r="N1186" s="893">
        <f t="shared" si="91"/>
        <v>0</v>
      </c>
      <c r="O1186" s="905"/>
      <c r="Q1186" s="317" t="str">
        <f t="shared" si="88"/>
        <v/>
      </c>
      <c r="R1186" s="317" t="str">
        <f t="shared" si="89"/>
        <v/>
      </c>
      <c r="S1186" s="317" t="str">
        <f t="shared" si="90"/>
        <v/>
      </c>
      <c r="T1186" s="317" t="str">
        <f>GLOBAL_DER_FEV_2023!S1186</f>
        <v/>
      </c>
      <c r="W1186" s="582">
        <v>0</v>
      </c>
      <c r="X1186" s="580"/>
      <c r="Y1186" s="583">
        <f>IF(GLOBAL_DER_FEV_2023!W1186=0,0,IF(GLOBAL_DER_FEV_2023!W1186&gt;0,"c","b"))</f>
        <v>0</v>
      </c>
    </row>
    <row r="1187" spans="1:25" ht="34.5" hidden="1" thickBot="1" x14ac:dyDescent="0.25">
      <c r="A1187" s="317">
        <v>101560</v>
      </c>
      <c r="B1187" s="895">
        <v>101560</v>
      </c>
      <c r="C1187" s="896" t="s">
        <v>596</v>
      </c>
      <c r="D1187" s="906" t="s">
        <v>1117</v>
      </c>
      <c r="E1187" s="907">
        <f>GLOBAL_DER_FEV_2023!E1187</f>
        <v>0</v>
      </c>
      <c r="F1187" s="908">
        <f>GLOBAL_DER_FEV_2023!F1187</f>
        <v>0</v>
      </c>
      <c r="G1187" s="912">
        <f>GLOBAL_DER_FEV_2023!G1187</f>
        <v>0</v>
      </c>
      <c r="H1187" s="901">
        <f>GLOBAL_DER_FEV_2023!H1187</f>
        <v>9.89</v>
      </c>
      <c r="I1187" s="901">
        <f>GLOBAL_DER_FEV_2023!I1187</f>
        <v>9.89</v>
      </c>
      <c r="J1187" s="902">
        <f>GLOBAL_DER_FEV_2023!J1187</f>
        <v>11.87</v>
      </c>
      <c r="K1187" s="903" t="s">
        <v>62</v>
      </c>
      <c r="L1187" s="1137"/>
      <c r="M1187" s="1138">
        <f t="shared" si="87"/>
        <v>0</v>
      </c>
      <c r="N1187" s="893">
        <f t="shared" si="91"/>
        <v>0</v>
      </c>
      <c r="O1187" s="905"/>
      <c r="Q1187" s="317" t="str">
        <f t="shared" si="88"/>
        <v/>
      </c>
      <c r="R1187" s="317" t="str">
        <f t="shared" si="89"/>
        <v/>
      </c>
      <c r="S1187" s="317" t="str">
        <f t="shared" si="90"/>
        <v/>
      </c>
      <c r="T1187" s="317" t="str">
        <f>GLOBAL_DER_FEV_2023!S1187</f>
        <v/>
      </c>
      <c r="W1187" s="582">
        <v>0</v>
      </c>
      <c r="X1187" s="580"/>
      <c r="Y1187" s="583">
        <f>IF(GLOBAL_DER_FEV_2023!W1187=0,0,IF(GLOBAL_DER_FEV_2023!W1187&gt;0,"c","b"))</f>
        <v>0</v>
      </c>
    </row>
    <row r="1188" spans="1:25" ht="34.5" hidden="1" thickBot="1" x14ac:dyDescent="0.25">
      <c r="A1188" s="317">
        <v>101561</v>
      </c>
      <c r="B1188" s="895">
        <v>101561</v>
      </c>
      <c r="C1188" s="896" t="s">
        <v>596</v>
      </c>
      <c r="D1188" s="906" t="s">
        <v>1118</v>
      </c>
      <c r="E1188" s="907">
        <f>GLOBAL_DER_FEV_2023!E1188</f>
        <v>0</v>
      </c>
      <c r="F1188" s="908">
        <f>GLOBAL_DER_FEV_2023!F1188</f>
        <v>0</v>
      </c>
      <c r="G1188" s="912">
        <f>GLOBAL_DER_FEV_2023!G1188</f>
        <v>0</v>
      </c>
      <c r="H1188" s="901">
        <f>GLOBAL_DER_FEV_2023!H1188</f>
        <v>15.7</v>
      </c>
      <c r="I1188" s="901">
        <f>GLOBAL_DER_FEV_2023!I1188</f>
        <v>15.7</v>
      </c>
      <c r="J1188" s="902">
        <f>GLOBAL_DER_FEV_2023!J1188</f>
        <v>18.850000000000001</v>
      </c>
      <c r="K1188" s="903" t="s">
        <v>62</v>
      </c>
      <c r="L1188" s="1137"/>
      <c r="M1188" s="1138">
        <f t="shared" si="87"/>
        <v>0</v>
      </c>
      <c r="N1188" s="893">
        <f t="shared" si="91"/>
        <v>0</v>
      </c>
      <c r="O1188" s="905"/>
      <c r="Q1188" s="317" t="str">
        <f t="shared" si="88"/>
        <v/>
      </c>
      <c r="R1188" s="317" t="str">
        <f t="shared" si="89"/>
        <v/>
      </c>
      <c r="S1188" s="317" t="str">
        <f t="shared" si="90"/>
        <v/>
      </c>
      <c r="T1188" s="317" t="str">
        <f>GLOBAL_DER_FEV_2023!S1188</f>
        <v/>
      </c>
      <c r="W1188" s="582">
        <v>0</v>
      </c>
      <c r="X1188" s="580"/>
      <c r="Y1188" s="583">
        <f>IF(GLOBAL_DER_FEV_2023!W1188=0,0,IF(GLOBAL_DER_FEV_2023!W1188&gt;0,"c","b"))</f>
        <v>0</v>
      </c>
    </row>
    <row r="1189" spans="1:25" ht="34.5" hidden="1" thickBot="1" x14ac:dyDescent="0.25">
      <c r="A1189" s="317">
        <v>101562</v>
      </c>
      <c r="B1189" s="895">
        <v>101562</v>
      </c>
      <c r="C1189" s="896" t="s">
        <v>596</v>
      </c>
      <c r="D1189" s="906" t="s">
        <v>1119</v>
      </c>
      <c r="E1189" s="907">
        <f>GLOBAL_DER_FEV_2023!E1189</f>
        <v>0</v>
      </c>
      <c r="F1189" s="908">
        <f>GLOBAL_DER_FEV_2023!F1189</f>
        <v>0</v>
      </c>
      <c r="G1189" s="912">
        <f>GLOBAL_DER_FEV_2023!G1189</f>
        <v>0</v>
      </c>
      <c r="H1189" s="901">
        <f>GLOBAL_DER_FEV_2023!H1189</f>
        <v>24.3</v>
      </c>
      <c r="I1189" s="901">
        <f>GLOBAL_DER_FEV_2023!I1189</f>
        <v>24.3</v>
      </c>
      <c r="J1189" s="902">
        <f>GLOBAL_DER_FEV_2023!J1189</f>
        <v>29.18</v>
      </c>
      <c r="K1189" s="903" t="s">
        <v>62</v>
      </c>
      <c r="L1189" s="1137"/>
      <c r="M1189" s="1138">
        <f t="shared" si="87"/>
        <v>0</v>
      </c>
      <c r="N1189" s="893">
        <f t="shared" si="91"/>
        <v>0</v>
      </c>
      <c r="O1189" s="905"/>
      <c r="Q1189" s="317" t="str">
        <f t="shared" si="88"/>
        <v/>
      </c>
      <c r="R1189" s="317" t="str">
        <f t="shared" si="89"/>
        <v/>
      </c>
      <c r="S1189" s="317" t="str">
        <f t="shared" si="90"/>
        <v/>
      </c>
      <c r="T1189" s="317" t="str">
        <f>GLOBAL_DER_FEV_2023!S1189</f>
        <v/>
      </c>
      <c r="W1189" s="582">
        <v>0</v>
      </c>
      <c r="X1189" s="580"/>
      <c r="Y1189" s="583">
        <f>IF(GLOBAL_DER_FEV_2023!W1189=0,0,IF(GLOBAL_DER_FEV_2023!W1189&gt;0,"c","b"))</f>
        <v>0</v>
      </c>
    </row>
    <row r="1190" spans="1:25" ht="34.5" hidden="1" thickBot="1" x14ac:dyDescent="0.25">
      <c r="A1190" s="317">
        <v>101563</v>
      </c>
      <c r="B1190" s="895">
        <v>101563</v>
      </c>
      <c r="C1190" s="896" t="s">
        <v>596</v>
      </c>
      <c r="D1190" s="906" t="s">
        <v>1120</v>
      </c>
      <c r="E1190" s="907">
        <f>GLOBAL_DER_FEV_2023!E1190</f>
        <v>0</v>
      </c>
      <c r="F1190" s="908">
        <f>GLOBAL_DER_FEV_2023!F1190</f>
        <v>0</v>
      </c>
      <c r="G1190" s="912">
        <f>GLOBAL_DER_FEV_2023!G1190</f>
        <v>0</v>
      </c>
      <c r="H1190" s="901">
        <f>GLOBAL_DER_FEV_2023!H1190</f>
        <v>34.299999999999997</v>
      </c>
      <c r="I1190" s="901">
        <f>GLOBAL_DER_FEV_2023!I1190</f>
        <v>34.299999999999997</v>
      </c>
      <c r="J1190" s="902">
        <f>GLOBAL_DER_FEV_2023!J1190</f>
        <v>41.18</v>
      </c>
      <c r="K1190" s="903" t="s">
        <v>62</v>
      </c>
      <c r="L1190" s="1137"/>
      <c r="M1190" s="1138">
        <f t="shared" si="87"/>
        <v>0</v>
      </c>
      <c r="N1190" s="893">
        <f t="shared" si="91"/>
        <v>0</v>
      </c>
      <c r="O1190" s="905"/>
      <c r="Q1190" s="317" t="str">
        <f t="shared" si="88"/>
        <v/>
      </c>
      <c r="R1190" s="317" t="str">
        <f t="shared" si="89"/>
        <v/>
      </c>
      <c r="S1190" s="317" t="str">
        <f t="shared" si="90"/>
        <v/>
      </c>
      <c r="T1190" s="317" t="str">
        <f>GLOBAL_DER_FEV_2023!S1190</f>
        <v/>
      </c>
      <c r="W1190" s="582">
        <v>0</v>
      </c>
      <c r="X1190" s="580"/>
      <c r="Y1190" s="583">
        <f>IF(GLOBAL_DER_FEV_2023!W1190=0,0,IF(GLOBAL_DER_FEV_2023!W1190&gt;0,"c","b"))</f>
        <v>0</v>
      </c>
    </row>
    <row r="1191" spans="1:25" ht="34.5" hidden="1" thickBot="1" x14ac:dyDescent="0.25">
      <c r="A1191" s="317">
        <v>101564</v>
      </c>
      <c r="B1191" s="895">
        <v>101564</v>
      </c>
      <c r="C1191" s="896" t="s">
        <v>596</v>
      </c>
      <c r="D1191" s="906" t="s">
        <v>1121</v>
      </c>
      <c r="E1191" s="907">
        <f>GLOBAL_DER_FEV_2023!E1191</f>
        <v>0</v>
      </c>
      <c r="F1191" s="908">
        <f>GLOBAL_DER_FEV_2023!F1191</f>
        <v>0</v>
      </c>
      <c r="G1191" s="912">
        <f>GLOBAL_DER_FEV_2023!G1191</f>
        <v>0</v>
      </c>
      <c r="H1191" s="901">
        <f>GLOBAL_DER_FEV_2023!H1191</f>
        <v>50.7</v>
      </c>
      <c r="I1191" s="901">
        <f>GLOBAL_DER_FEV_2023!I1191</f>
        <v>50.7</v>
      </c>
      <c r="J1191" s="902">
        <f>GLOBAL_DER_FEV_2023!J1191</f>
        <v>60.88</v>
      </c>
      <c r="K1191" s="903" t="s">
        <v>62</v>
      </c>
      <c r="L1191" s="1137"/>
      <c r="M1191" s="1138">
        <f t="shared" si="87"/>
        <v>0</v>
      </c>
      <c r="N1191" s="893">
        <f t="shared" si="91"/>
        <v>0</v>
      </c>
      <c r="O1191" s="905"/>
      <c r="Q1191" s="317" t="str">
        <f t="shared" si="88"/>
        <v/>
      </c>
      <c r="R1191" s="317" t="str">
        <f t="shared" si="89"/>
        <v/>
      </c>
      <c r="S1191" s="317" t="str">
        <f t="shared" si="90"/>
        <v/>
      </c>
      <c r="T1191" s="317" t="str">
        <f>GLOBAL_DER_FEV_2023!S1191</f>
        <v/>
      </c>
      <c r="W1191" s="582">
        <v>0</v>
      </c>
      <c r="X1191" s="580"/>
      <c r="Y1191" s="583">
        <f>IF(GLOBAL_DER_FEV_2023!W1191=0,0,IF(GLOBAL_DER_FEV_2023!W1191&gt;0,"c","b"))</f>
        <v>0</v>
      </c>
    </row>
    <row r="1192" spans="1:25" ht="34.5" hidden="1" thickBot="1" x14ac:dyDescent="0.25">
      <c r="A1192" s="317">
        <v>101565</v>
      </c>
      <c r="B1192" s="895">
        <v>101565</v>
      </c>
      <c r="C1192" s="896" t="s">
        <v>596</v>
      </c>
      <c r="D1192" s="906" t="s">
        <v>1122</v>
      </c>
      <c r="E1192" s="907">
        <f>GLOBAL_DER_FEV_2023!E1192</f>
        <v>0</v>
      </c>
      <c r="F1192" s="908">
        <f>GLOBAL_DER_FEV_2023!F1192</f>
        <v>0</v>
      </c>
      <c r="G1192" s="912">
        <f>GLOBAL_DER_FEV_2023!G1192</f>
        <v>0</v>
      </c>
      <c r="H1192" s="901">
        <f>GLOBAL_DER_FEV_2023!H1192</f>
        <v>70.89</v>
      </c>
      <c r="I1192" s="901">
        <f>GLOBAL_DER_FEV_2023!I1192</f>
        <v>70.89</v>
      </c>
      <c r="J1192" s="902">
        <f>GLOBAL_DER_FEV_2023!J1192</f>
        <v>85.12</v>
      </c>
      <c r="K1192" s="903" t="s">
        <v>62</v>
      </c>
      <c r="L1192" s="1137"/>
      <c r="M1192" s="1138">
        <f t="shared" si="87"/>
        <v>0</v>
      </c>
      <c r="N1192" s="893">
        <f t="shared" si="91"/>
        <v>0</v>
      </c>
      <c r="O1192" s="905"/>
      <c r="Q1192" s="317" t="str">
        <f t="shared" si="88"/>
        <v/>
      </c>
      <c r="R1192" s="317" t="str">
        <f t="shared" si="89"/>
        <v/>
      </c>
      <c r="S1192" s="317" t="str">
        <f t="shared" si="90"/>
        <v/>
      </c>
      <c r="T1192" s="317" t="str">
        <f>GLOBAL_DER_FEV_2023!S1192</f>
        <v/>
      </c>
      <c r="W1192" s="582">
        <v>0</v>
      </c>
      <c r="X1192" s="580"/>
      <c r="Y1192" s="583">
        <f>IF(GLOBAL_DER_FEV_2023!W1192=0,0,IF(GLOBAL_DER_FEV_2023!W1192&gt;0,"c","b"))</f>
        <v>0</v>
      </c>
    </row>
    <row r="1193" spans="1:25" ht="34.5" hidden="1" thickBot="1" x14ac:dyDescent="0.25">
      <c r="A1193" s="317">
        <v>101567</v>
      </c>
      <c r="B1193" s="895">
        <v>101567</v>
      </c>
      <c r="C1193" s="896" t="s">
        <v>596</v>
      </c>
      <c r="D1193" s="906" t="s">
        <v>1123</v>
      </c>
      <c r="E1193" s="907">
        <f>GLOBAL_DER_FEV_2023!E1193</f>
        <v>0</v>
      </c>
      <c r="F1193" s="908">
        <f>GLOBAL_DER_FEV_2023!F1193</f>
        <v>0</v>
      </c>
      <c r="G1193" s="912">
        <f>GLOBAL_DER_FEV_2023!G1193</f>
        <v>0</v>
      </c>
      <c r="H1193" s="901">
        <f>GLOBAL_DER_FEV_2023!H1193</f>
        <v>92.02</v>
      </c>
      <c r="I1193" s="901">
        <f>GLOBAL_DER_FEV_2023!I1193</f>
        <v>92.02</v>
      </c>
      <c r="J1193" s="902">
        <f>GLOBAL_DER_FEV_2023!J1193</f>
        <v>110.49</v>
      </c>
      <c r="K1193" s="903" t="s">
        <v>62</v>
      </c>
      <c r="L1193" s="1137"/>
      <c r="M1193" s="1138">
        <f t="shared" si="87"/>
        <v>0</v>
      </c>
      <c r="N1193" s="893">
        <f t="shared" si="91"/>
        <v>0</v>
      </c>
      <c r="O1193" s="905"/>
      <c r="Q1193" s="317" t="str">
        <f t="shared" si="88"/>
        <v/>
      </c>
      <c r="R1193" s="317" t="str">
        <f t="shared" si="89"/>
        <v/>
      </c>
      <c r="S1193" s="317" t="str">
        <f t="shared" si="90"/>
        <v/>
      </c>
      <c r="T1193" s="317" t="str">
        <f>GLOBAL_DER_FEV_2023!S1193</f>
        <v/>
      </c>
      <c r="W1193" s="582">
        <v>0</v>
      </c>
      <c r="X1193" s="580"/>
      <c r="Y1193" s="583">
        <f>IF(GLOBAL_DER_FEV_2023!W1193=0,0,IF(GLOBAL_DER_FEV_2023!W1193&gt;0,"c","b"))</f>
        <v>0</v>
      </c>
    </row>
    <row r="1194" spans="1:25" ht="34.5" hidden="1" thickBot="1" x14ac:dyDescent="0.25">
      <c r="A1194" s="317">
        <v>101568</v>
      </c>
      <c r="B1194" s="895">
        <v>101568</v>
      </c>
      <c r="C1194" s="896" t="s">
        <v>596</v>
      </c>
      <c r="D1194" s="906" t="s">
        <v>1124</v>
      </c>
      <c r="E1194" s="907">
        <f>GLOBAL_DER_FEV_2023!E1194</f>
        <v>0</v>
      </c>
      <c r="F1194" s="908">
        <f>GLOBAL_DER_FEV_2023!F1194</f>
        <v>0</v>
      </c>
      <c r="G1194" s="912">
        <f>GLOBAL_DER_FEV_2023!G1194</f>
        <v>0</v>
      </c>
      <c r="H1194" s="901">
        <f>GLOBAL_DER_FEV_2023!H1194</f>
        <v>120.3</v>
      </c>
      <c r="I1194" s="901">
        <f>GLOBAL_DER_FEV_2023!I1194</f>
        <v>120.3</v>
      </c>
      <c r="J1194" s="902">
        <f>GLOBAL_DER_FEV_2023!J1194</f>
        <v>144.44</v>
      </c>
      <c r="K1194" s="903" t="s">
        <v>62</v>
      </c>
      <c r="L1194" s="1137"/>
      <c r="M1194" s="1138">
        <f t="shared" si="87"/>
        <v>0</v>
      </c>
      <c r="N1194" s="893">
        <f t="shared" si="91"/>
        <v>0</v>
      </c>
      <c r="O1194" s="905"/>
      <c r="Q1194" s="317" t="str">
        <f t="shared" si="88"/>
        <v/>
      </c>
      <c r="R1194" s="317" t="str">
        <f t="shared" si="89"/>
        <v/>
      </c>
      <c r="S1194" s="317" t="str">
        <f t="shared" si="90"/>
        <v/>
      </c>
      <c r="T1194" s="317" t="str">
        <f>GLOBAL_DER_FEV_2023!S1194</f>
        <v/>
      </c>
      <c r="W1194" s="582">
        <v>0</v>
      </c>
      <c r="X1194" s="580"/>
      <c r="Y1194" s="583">
        <f>IF(GLOBAL_DER_FEV_2023!W1194=0,0,IF(GLOBAL_DER_FEV_2023!W1194&gt;0,"c","b"))</f>
        <v>0</v>
      </c>
    </row>
    <row r="1195" spans="1:25" ht="23.25" hidden="1" thickBot="1" x14ac:dyDescent="0.25">
      <c r="A1195" s="317">
        <v>95777</v>
      </c>
      <c r="B1195" s="895">
        <v>95777</v>
      </c>
      <c r="C1195" s="896" t="s">
        <v>596</v>
      </c>
      <c r="D1195" s="906" t="s">
        <v>1125</v>
      </c>
      <c r="E1195" s="907">
        <f>GLOBAL_DER_FEV_2023!E1195</f>
        <v>0</v>
      </c>
      <c r="F1195" s="908">
        <f>GLOBAL_DER_FEV_2023!F1195</f>
        <v>0</v>
      </c>
      <c r="G1195" s="912">
        <f>GLOBAL_DER_FEV_2023!G1195</f>
        <v>0</v>
      </c>
      <c r="H1195" s="901">
        <f>GLOBAL_DER_FEV_2023!H1195</f>
        <v>28.73</v>
      </c>
      <c r="I1195" s="901">
        <f>GLOBAL_DER_FEV_2023!I1195</f>
        <v>28.73</v>
      </c>
      <c r="J1195" s="902">
        <f>GLOBAL_DER_FEV_2023!J1195</f>
        <v>34.5</v>
      </c>
      <c r="K1195" s="903" t="s">
        <v>1516</v>
      </c>
      <c r="L1195" s="1137"/>
      <c r="M1195" s="1138">
        <f t="shared" si="87"/>
        <v>0</v>
      </c>
      <c r="N1195" s="893">
        <f t="shared" si="91"/>
        <v>0</v>
      </c>
      <c r="O1195" s="905"/>
      <c r="Q1195" s="317" t="str">
        <f t="shared" si="88"/>
        <v/>
      </c>
      <c r="R1195" s="317" t="str">
        <f t="shared" si="89"/>
        <v/>
      </c>
      <c r="S1195" s="317" t="str">
        <f t="shared" si="90"/>
        <v/>
      </c>
      <c r="T1195" s="317" t="str">
        <f>GLOBAL_DER_FEV_2023!S1195</f>
        <v/>
      </c>
      <c r="W1195" s="582">
        <v>0</v>
      </c>
      <c r="X1195" s="580"/>
      <c r="Y1195" s="583">
        <f>IF(GLOBAL_DER_FEV_2023!W1195=0,0,IF(GLOBAL_DER_FEV_2023!W1195&gt;0,"c","b"))</f>
        <v>0</v>
      </c>
    </row>
    <row r="1196" spans="1:25" ht="23.25" hidden="1" thickBot="1" x14ac:dyDescent="0.25">
      <c r="A1196" s="317">
        <v>95778</v>
      </c>
      <c r="B1196" s="895">
        <v>95778</v>
      </c>
      <c r="C1196" s="896" t="s">
        <v>596</v>
      </c>
      <c r="D1196" s="906" t="s">
        <v>1126</v>
      </c>
      <c r="E1196" s="907">
        <f>GLOBAL_DER_FEV_2023!E1196</f>
        <v>0</v>
      </c>
      <c r="F1196" s="908">
        <f>GLOBAL_DER_FEV_2023!F1196</f>
        <v>0</v>
      </c>
      <c r="G1196" s="912">
        <f>GLOBAL_DER_FEV_2023!G1196</f>
        <v>0</v>
      </c>
      <c r="H1196" s="901">
        <f>GLOBAL_DER_FEV_2023!H1196</f>
        <v>32.130000000000003</v>
      </c>
      <c r="I1196" s="901">
        <f>GLOBAL_DER_FEV_2023!I1196</f>
        <v>32.130000000000003</v>
      </c>
      <c r="J1196" s="902">
        <f>GLOBAL_DER_FEV_2023!J1196</f>
        <v>38.58</v>
      </c>
      <c r="K1196" s="903" t="s">
        <v>1516</v>
      </c>
      <c r="L1196" s="1137"/>
      <c r="M1196" s="1138">
        <f t="shared" si="87"/>
        <v>0</v>
      </c>
      <c r="N1196" s="893">
        <f t="shared" si="91"/>
        <v>0</v>
      </c>
      <c r="O1196" s="905"/>
      <c r="Q1196" s="317" t="str">
        <f t="shared" si="88"/>
        <v/>
      </c>
      <c r="R1196" s="317" t="str">
        <f t="shared" si="89"/>
        <v/>
      </c>
      <c r="S1196" s="317" t="str">
        <f t="shared" si="90"/>
        <v/>
      </c>
      <c r="T1196" s="317" t="str">
        <f>GLOBAL_DER_FEV_2023!S1196</f>
        <v/>
      </c>
      <c r="W1196" s="582">
        <v>0</v>
      </c>
      <c r="X1196" s="580"/>
      <c r="Y1196" s="583">
        <f>IF(GLOBAL_DER_FEV_2023!W1196=0,0,IF(GLOBAL_DER_FEV_2023!W1196&gt;0,"c","b"))</f>
        <v>0</v>
      </c>
    </row>
    <row r="1197" spans="1:25" ht="23.25" hidden="1" thickBot="1" x14ac:dyDescent="0.25">
      <c r="A1197" s="317">
        <v>95779</v>
      </c>
      <c r="B1197" s="895">
        <v>95779</v>
      </c>
      <c r="C1197" s="896" t="s">
        <v>596</v>
      </c>
      <c r="D1197" s="906" t="s">
        <v>1127</v>
      </c>
      <c r="E1197" s="907">
        <f>GLOBAL_DER_FEV_2023!E1197</f>
        <v>0</v>
      </c>
      <c r="F1197" s="908">
        <f>GLOBAL_DER_FEV_2023!F1197</f>
        <v>0</v>
      </c>
      <c r="G1197" s="912">
        <f>GLOBAL_DER_FEV_2023!G1197</f>
        <v>0</v>
      </c>
      <c r="H1197" s="901">
        <f>GLOBAL_DER_FEV_2023!H1197</f>
        <v>26.72</v>
      </c>
      <c r="I1197" s="901">
        <f>GLOBAL_DER_FEV_2023!I1197</f>
        <v>26.72</v>
      </c>
      <c r="J1197" s="902">
        <f>GLOBAL_DER_FEV_2023!J1197</f>
        <v>32.08</v>
      </c>
      <c r="K1197" s="903" t="s">
        <v>1516</v>
      </c>
      <c r="L1197" s="1137"/>
      <c r="M1197" s="1138">
        <f t="shared" si="87"/>
        <v>0</v>
      </c>
      <c r="N1197" s="893">
        <f t="shared" si="91"/>
        <v>0</v>
      </c>
      <c r="O1197" s="905"/>
      <c r="Q1197" s="317" t="str">
        <f t="shared" si="88"/>
        <v/>
      </c>
      <c r="R1197" s="317" t="str">
        <f t="shared" si="89"/>
        <v/>
      </c>
      <c r="S1197" s="317" t="str">
        <f t="shared" si="90"/>
        <v/>
      </c>
      <c r="T1197" s="317" t="str">
        <f>GLOBAL_DER_FEV_2023!S1197</f>
        <v/>
      </c>
      <c r="W1197" s="582">
        <v>0</v>
      </c>
      <c r="X1197" s="580"/>
      <c r="Y1197" s="583">
        <f>IF(GLOBAL_DER_FEV_2023!W1197=0,0,IF(GLOBAL_DER_FEV_2023!W1197&gt;0,"c","b"))</f>
        <v>0</v>
      </c>
    </row>
    <row r="1198" spans="1:25" ht="23.25" hidden="1" thickBot="1" x14ac:dyDescent="0.25">
      <c r="A1198" s="317">
        <v>95780</v>
      </c>
      <c r="B1198" s="895">
        <v>95780</v>
      </c>
      <c r="C1198" s="896" t="s">
        <v>596</v>
      </c>
      <c r="D1198" s="906" t="s">
        <v>1128</v>
      </c>
      <c r="E1198" s="907">
        <f>GLOBAL_DER_FEV_2023!E1198</f>
        <v>0</v>
      </c>
      <c r="F1198" s="908">
        <f>GLOBAL_DER_FEV_2023!F1198</f>
        <v>0</v>
      </c>
      <c r="G1198" s="912">
        <f>GLOBAL_DER_FEV_2023!G1198</f>
        <v>0</v>
      </c>
      <c r="H1198" s="901">
        <f>GLOBAL_DER_FEV_2023!H1198</f>
        <v>34.22</v>
      </c>
      <c r="I1198" s="901">
        <f>GLOBAL_DER_FEV_2023!I1198</f>
        <v>34.22</v>
      </c>
      <c r="J1198" s="902">
        <f>GLOBAL_DER_FEV_2023!J1198</f>
        <v>41.09</v>
      </c>
      <c r="K1198" s="903" t="s">
        <v>1516</v>
      </c>
      <c r="L1198" s="1137"/>
      <c r="M1198" s="1138">
        <f t="shared" si="87"/>
        <v>0</v>
      </c>
      <c r="N1198" s="893">
        <f t="shared" si="91"/>
        <v>0</v>
      </c>
      <c r="O1198" s="905"/>
      <c r="Q1198" s="317" t="str">
        <f t="shared" si="88"/>
        <v/>
      </c>
      <c r="R1198" s="317" t="str">
        <f t="shared" si="89"/>
        <v/>
      </c>
      <c r="S1198" s="317" t="str">
        <f t="shared" si="90"/>
        <v/>
      </c>
      <c r="T1198" s="317" t="str">
        <f>GLOBAL_DER_FEV_2023!S1198</f>
        <v/>
      </c>
      <c r="W1198" s="582">
        <v>0</v>
      </c>
      <c r="X1198" s="580"/>
      <c r="Y1198" s="583">
        <f>IF(GLOBAL_DER_FEV_2023!W1198=0,0,IF(GLOBAL_DER_FEV_2023!W1198&gt;0,"c","b"))</f>
        <v>0</v>
      </c>
    </row>
    <row r="1199" spans="1:25" ht="23.25" hidden="1" thickBot="1" x14ac:dyDescent="0.25">
      <c r="A1199" s="317">
        <v>95781</v>
      </c>
      <c r="B1199" s="895">
        <v>95781</v>
      </c>
      <c r="C1199" s="896" t="s">
        <v>596</v>
      </c>
      <c r="D1199" s="906" t="s">
        <v>1129</v>
      </c>
      <c r="E1199" s="907">
        <f>GLOBAL_DER_FEV_2023!E1199</f>
        <v>0</v>
      </c>
      <c r="F1199" s="908">
        <f>GLOBAL_DER_FEV_2023!F1199</f>
        <v>0</v>
      </c>
      <c r="G1199" s="912">
        <f>GLOBAL_DER_FEV_2023!G1199</f>
        <v>0</v>
      </c>
      <c r="H1199" s="901">
        <f>GLOBAL_DER_FEV_2023!H1199</f>
        <v>38.9</v>
      </c>
      <c r="I1199" s="901">
        <f>GLOBAL_DER_FEV_2023!I1199</f>
        <v>38.9</v>
      </c>
      <c r="J1199" s="902">
        <f>GLOBAL_DER_FEV_2023!J1199</f>
        <v>46.71</v>
      </c>
      <c r="K1199" s="903" t="s">
        <v>1516</v>
      </c>
      <c r="L1199" s="1137"/>
      <c r="M1199" s="1138">
        <f t="shared" si="87"/>
        <v>0</v>
      </c>
      <c r="N1199" s="893">
        <f t="shared" si="91"/>
        <v>0</v>
      </c>
      <c r="O1199" s="905"/>
      <c r="Q1199" s="317" t="str">
        <f t="shared" si="88"/>
        <v/>
      </c>
      <c r="R1199" s="317" t="str">
        <f t="shared" si="89"/>
        <v/>
      </c>
      <c r="S1199" s="317" t="str">
        <f t="shared" si="90"/>
        <v/>
      </c>
      <c r="T1199" s="317" t="str">
        <f>GLOBAL_DER_FEV_2023!S1199</f>
        <v/>
      </c>
      <c r="W1199" s="582">
        <v>0</v>
      </c>
      <c r="X1199" s="580"/>
      <c r="Y1199" s="583">
        <f>IF(GLOBAL_DER_FEV_2023!W1199=0,0,IF(GLOBAL_DER_FEV_2023!W1199&gt;0,"c","b"))</f>
        <v>0</v>
      </c>
    </row>
    <row r="1200" spans="1:25" ht="23.25" hidden="1" thickBot="1" x14ac:dyDescent="0.25">
      <c r="A1200" s="317">
        <v>95782</v>
      </c>
      <c r="B1200" s="895">
        <v>95782</v>
      </c>
      <c r="C1200" s="896" t="s">
        <v>596</v>
      </c>
      <c r="D1200" s="906" t="s">
        <v>1130</v>
      </c>
      <c r="E1200" s="907">
        <f>GLOBAL_DER_FEV_2023!E1200</f>
        <v>0</v>
      </c>
      <c r="F1200" s="908">
        <f>GLOBAL_DER_FEV_2023!F1200</f>
        <v>0</v>
      </c>
      <c r="G1200" s="912">
        <f>GLOBAL_DER_FEV_2023!G1200</f>
        <v>0</v>
      </c>
      <c r="H1200" s="901">
        <f>GLOBAL_DER_FEV_2023!H1200</f>
        <v>36.520000000000003</v>
      </c>
      <c r="I1200" s="901">
        <f>GLOBAL_DER_FEV_2023!I1200</f>
        <v>36.520000000000003</v>
      </c>
      <c r="J1200" s="902">
        <f>GLOBAL_DER_FEV_2023!J1200</f>
        <v>43.85</v>
      </c>
      <c r="K1200" s="903" t="s">
        <v>1516</v>
      </c>
      <c r="L1200" s="1137"/>
      <c r="M1200" s="1138">
        <f t="shared" si="87"/>
        <v>0</v>
      </c>
      <c r="N1200" s="893">
        <f t="shared" si="91"/>
        <v>0</v>
      </c>
      <c r="O1200" s="905"/>
      <c r="Q1200" s="317" t="str">
        <f t="shared" si="88"/>
        <v/>
      </c>
      <c r="R1200" s="317" t="str">
        <f t="shared" si="89"/>
        <v/>
      </c>
      <c r="S1200" s="317" t="str">
        <f t="shared" si="90"/>
        <v/>
      </c>
      <c r="T1200" s="317" t="str">
        <f>GLOBAL_DER_FEV_2023!S1200</f>
        <v/>
      </c>
      <c r="W1200" s="582">
        <v>0</v>
      </c>
      <c r="X1200" s="580"/>
      <c r="Y1200" s="583">
        <f>IF(GLOBAL_DER_FEV_2023!W1200=0,0,IF(GLOBAL_DER_FEV_2023!W1200&gt;0,"c","b"))</f>
        <v>0</v>
      </c>
    </row>
    <row r="1201" spans="1:25" ht="23.25" hidden="1" thickBot="1" x14ac:dyDescent="0.25">
      <c r="A1201" s="317">
        <v>95785</v>
      </c>
      <c r="B1201" s="895">
        <v>95785</v>
      </c>
      <c r="C1201" s="896" t="s">
        <v>596</v>
      </c>
      <c r="D1201" s="906" t="s">
        <v>1131</v>
      </c>
      <c r="E1201" s="907">
        <f>GLOBAL_DER_FEV_2023!E1201</f>
        <v>0</v>
      </c>
      <c r="F1201" s="908">
        <f>GLOBAL_DER_FEV_2023!F1201</f>
        <v>0</v>
      </c>
      <c r="G1201" s="912">
        <f>GLOBAL_DER_FEV_2023!G1201</f>
        <v>0</v>
      </c>
      <c r="H1201" s="901">
        <f>GLOBAL_DER_FEV_2023!H1201</f>
        <v>43.24</v>
      </c>
      <c r="I1201" s="901">
        <f>GLOBAL_DER_FEV_2023!I1201</f>
        <v>43.24</v>
      </c>
      <c r="J1201" s="902">
        <f>GLOBAL_DER_FEV_2023!J1201</f>
        <v>51.92</v>
      </c>
      <c r="K1201" s="903" t="s">
        <v>1516</v>
      </c>
      <c r="L1201" s="1137"/>
      <c r="M1201" s="1138">
        <f t="shared" si="87"/>
        <v>0</v>
      </c>
      <c r="N1201" s="893">
        <f t="shared" si="91"/>
        <v>0</v>
      </c>
      <c r="O1201" s="905"/>
      <c r="Q1201" s="317" t="str">
        <f t="shared" si="88"/>
        <v/>
      </c>
      <c r="R1201" s="317" t="str">
        <f t="shared" si="89"/>
        <v/>
      </c>
      <c r="S1201" s="317" t="str">
        <f t="shared" si="90"/>
        <v/>
      </c>
      <c r="T1201" s="317" t="str">
        <f>GLOBAL_DER_FEV_2023!S1201</f>
        <v/>
      </c>
      <c r="W1201" s="582">
        <v>0</v>
      </c>
      <c r="X1201" s="580"/>
      <c r="Y1201" s="583">
        <f>IF(GLOBAL_DER_FEV_2023!W1201=0,0,IF(GLOBAL_DER_FEV_2023!W1201&gt;0,"c","b"))</f>
        <v>0</v>
      </c>
    </row>
    <row r="1202" spans="1:25" ht="23.25" hidden="1" thickBot="1" x14ac:dyDescent="0.25">
      <c r="A1202" s="317">
        <v>95787</v>
      </c>
      <c r="B1202" s="895">
        <v>95787</v>
      </c>
      <c r="C1202" s="896" t="s">
        <v>596</v>
      </c>
      <c r="D1202" s="906" t="s">
        <v>1132</v>
      </c>
      <c r="E1202" s="907">
        <f>GLOBAL_DER_FEV_2023!E1202</f>
        <v>0</v>
      </c>
      <c r="F1202" s="908">
        <f>GLOBAL_DER_FEV_2023!F1202</f>
        <v>0</v>
      </c>
      <c r="G1202" s="912">
        <f>GLOBAL_DER_FEV_2023!G1202</f>
        <v>0</v>
      </c>
      <c r="H1202" s="901">
        <f>GLOBAL_DER_FEV_2023!H1202</f>
        <v>32.24</v>
      </c>
      <c r="I1202" s="901">
        <f>GLOBAL_DER_FEV_2023!I1202</f>
        <v>32.24</v>
      </c>
      <c r="J1202" s="902">
        <f>GLOBAL_DER_FEV_2023!J1202</f>
        <v>38.71</v>
      </c>
      <c r="K1202" s="903" t="s">
        <v>1516</v>
      </c>
      <c r="L1202" s="1137"/>
      <c r="M1202" s="1138">
        <f t="shared" si="87"/>
        <v>0</v>
      </c>
      <c r="N1202" s="893">
        <f t="shared" si="91"/>
        <v>0</v>
      </c>
      <c r="O1202" s="905"/>
      <c r="Q1202" s="317" t="str">
        <f t="shared" si="88"/>
        <v/>
      </c>
      <c r="R1202" s="317" t="str">
        <f t="shared" si="89"/>
        <v/>
      </c>
      <c r="S1202" s="317" t="str">
        <f t="shared" si="90"/>
        <v/>
      </c>
      <c r="T1202" s="317" t="str">
        <f>GLOBAL_DER_FEV_2023!S1202</f>
        <v/>
      </c>
      <c r="W1202" s="582">
        <v>0</v>
      </c>
      <c r="X1202" s="580"/>
      <c r="Y1202" s="583">
        <f>IF(GLOBAL_DER_FEV_2023!W1202=0,0,IF(GLOBAL_DER_FEV_2023!W1202&gt;0,"c","b"))</f>
        <v>0</v>
      </c>
    </row>
    <row r="1203" spans="1:25" ht="23.25" hidden="1" thickBot="1" x14ac:dyDescent="0.25">
      <c r="A1203" s="317">
        <v>95789</v>
      </c>
      <c r="B1203" s="895">
        <v>95789</v>
      </c>
      <c r="C1203" s="896" t="s">
        <v>596</v>
      </c>
      <c r="D1203" s="906" t="s">
        <v>1133</v>
      </c>
      <c r="E1203" s="907">
        <f>GLOBAL_DER_FEV_2023!E1203</f>
        <v>0</v>
      </c>
      <c r="F1203" s="908">
        <f>GLOBAL_DER_FEV_2023!F1203</f>
        <v>0</v>
      </c>
      <c r="G1203" s="912">
        <f>GLOBAL_DER_FEV_2023!G1203</f>
        <v>0</v>
      </c>
      <c r="H1203" s="901">
        <f>GLOBAL_DER_FEV_2023!H1203</f>
        <v>43.94</v>
      </c>
      <c r="I1203" s="901">
        <f>GLOBAL_DER_FEV_2023!I1203</f>
        <v>43.94</v>
      </c>
      <c r="J1203" s="902">
        <f>GLOBAL_DER_FEV_2023!J1203</f>
        <v>52.76</v>
      </c>
      <c r="K1203" s="903" t="s">
        <v>1516</v>
      </c>
      <c r="L1203" s="1137"/>
      <c r="M1203" s="1138">
        <f t="shared" si="87"/>
        <v>0</v>
      </c>
      <c r="N1203" s="893">
        <f t="shared" si="91"/>
        <v>0</v>
      </c>
      <c r="O1203" s="905"/>
      <c r="Q1203" s="317" t="str">
        <f t="shared" si="88"/>
        <v/>
      </c>
      <c r="R1203" s="317" t="str">
        <f t="shared" si="89"/>
        <v/>
      </c>
      <c r="S1203" s="317" t="str">
        <f t="shared" si="90"/>
        <v/>
      </c>
      <c r="T1203" s="317" t="str">
        <f>GLOBAL_DER_FEV_2023!S1203</f>
        <v/>
      </c>
      <c r="W1203" s="582">
        <v>0</v>
      </c>
      <c r="X1203" s="580"/>
      <c r="Y1203" s="583">
        <f>IF(GLOBAL_DER_FEV_2023!W1203=0,0,IF(GLOBAL_DER_FEV_2023!W1203&gt;0,"c","b"))</f>
        <v>0</v>
      </c>
    </row>
    <row r="1204" spans="1:25" ht="23.25" hidden="1" thickBot="1" x14ac:dyDescent="0.25">
      <c r="A1204" s="317">
        <v>95791</v>
      </c>
      <c r="B1204" s="895">
        <v>95791</v>
      </c>
      <c r="C1204" s="896" t="s">
        <v>596</v>
      </c>
      <c r="D1204" s="906" t="s">
        <v>1134</v>
      </c>
      <c r="E1204" s="907">
        <f>GLOBAL_DER_FEV_2023!E1204</f>
        <v>0</v>
      </c>
      <c r="F1204" s="908">
        <f>GLOBAL_DER_FEV_2023!F1204</f>
        <v>0</v>
      </c>
      <c r="G1204" s="912">
        <f>GLOBAL_DER_FEV_2023!G1204</f>
        <v>0</v>
      </c>
      <c r="H1204" s="901">
        <f>GLOBAL_DER_FEV_2023!H1204</f>
        <v>61.1</v>
      </c>
      <c r="I1204" s="901">
        <f>GLOBAL_DER_FEV_2023!I1204</f>
        <v>61.1</v>
      </c>
      <c r="J1204" s="902">
        <f>GLOBAL_DER_FEV_2023!J1204</f>
        <v>73.36</v>
      </c>
      <c r="K1204" s="903" t="s">
        <v>1516</v>
      </c>
      <c r="L1204" s="1137"/>
      <c r="M1204" s="1138">
        <f t="shared" si="87"/>
        <v>0</v>
      </c>
      <c r="N1204" s="893">
        <f t="shared" si="91"/>
        <v>0</v>
      </c>
      <c r="O1204" s="905"/>
      <c r="Q1204" s="317" t="str">
        <f t="shared" si="88"/>
        <v/>
      </c>
      <c r="R1204" s="317" t="str">
        <f t="shared" si="89"/>
        <v/>
      </c>
      <c r="S1204" s="317" t="str">
        <f t="shared" si="90"/>
        <v/>
      </c>
      <c r="T1204" s="317" t="str">
        <f>GLOBAL_DER_FEV_2023!S1204</f>
        <v/>
      </c>
      <c r="W1204" s="582">
        <v>0</v>
      </c>
      <c r="X1204" s="580"/>
      <c r="Y1204" s="583">
        <f>IF(GLOBAL_DER_FEV_2023!W1204=0,0,IF(GLOBAL_DER_FEV_2023!W1204&gt;0,"c","b"))</f>
        <v>0</v>
      </c>
    </row>
    <row r="1205" spans="1:25" ht="23.25" hidden="1" thickBot="1" x14ac:dyDescent="0.25">
      <c r="A1205" s="317">
        <v>95795</v>
      </c>
      <c r="B1205" s="895">
        <v>95795</v>
      </c>
      <c r="C1205" s="896" t="s">
        <v>596</v>
      </c>
      <c r="D1205" s="906" t="s">
        <v>1135</v>
      </c>
      <c r="E1205" s="907">
        <f>GLOBAL_DER_FEV_2023!E1205</f>
        <v>0</v>
      </c>
      <c r="F1205" s="908">
        <f>GLOBAL_DER_FEV_2023!F1205</f>
        <v>0</v>
      </c>
      <c r="G1205" s="912">
        <f>GLOBAL_DER_FEV_2023!G1205</f>
        <v>0</v>
      </c>
      <c r="H1205" s="901">
        <f>GLOBAL_DER_FEV_2023!H1205</f>
        <v>36.74</v>
      </c>
      <c r="I1205" s="901">
        <f>GLOBAL_DER_FEV_2023!I1205</f>
        <v>36.74</v>
      </c>
      <c r="J1205" s="902">
        <f>GLOBAL_DER_FEV_2023!J1205</f>
        <v>44.11</v>
      </c>
      <c r="K1205" s="903" t="s">
        <v>1516</v>
      </c>
      <c r="L1205" s="1137"/>
      <c r="M1205" s="1138">
        <f t="shared" si="87"/>
        <v>0</v>
      </c>
      <c r="N1205" s="893">
        <f t="shared" si="91"/>
        <v>0</v>
      </c>
      <c r="O1205" s="905"/>
      <c r="Q1205" s="317" t="str">
        <f t="shared" si="88"/>
        <v/>
      </c>
      <c r="R1205" s="317" t="str">
        <f t="shared" si="89"/>
        <v/>
      </c>
      <c r="S1205" s="317" t="str">
        <f t="shared" si="90"/>
        <v/>
      </c>
      <c r="T1205" s="317" t="str">
        <f>GLOBAL_DER_FEV_2023!S1205</f>
        <v/>
      </c>
      <c r="W1205" s="582">
        <v>0</v>
      </c>
      <c r="X1205" s="580"/>
      <c r="Y1205" s="583">
        <f>IF(GLOBAL_DER_FEV_2023!W1205=0,0,IF(GLOBAL_DER_FEV_2023!W1205&gt;0,"c","b"))</f>
        <v>0</v>
      </c>
    </row>
    <row r="1206" spans="1:25" ht="23.25" hidden="1" thickBot="1" x14ac:dyDescent="0.25">
      <c r="A1206" s="317">
        <v>95796</v>
      </c>
      <c r="B1206" s="895">
        <v>95796</v>
      </c>
      <c r="C1206" s="896" t="s">
        <v>596</v>
      </c>
      <c r="D1206" s="906" t="s">
        <v>1136</v>
      </c>
      <c r="E1206" s="907">
        <f>GLOBAL_DER_FEV_2023!E1206</f>
        <v>0</v>
      </c>
      <c r="F1206" s="908">
        <f>GLOBAL_DER_FEV_2023!F1206</f>
        <v>0</v>
      </c>
      <c r="G1206" s="912">
        <f>GLOBAL_DER_FEV_2023!G1206</f>
        <v>0</v>
      </c>
      <c r="H1206" s="901">
        <f>GLOBAL_DER_FEV_2023!H1206</f>
        <v>51.6</v>
      </c>
      <c r="I1206" s="901">
        <f>GLOBAL_DER_FEV_2023!I1206</f>
        <v>51.6</v>
      </c>
      <c r="J1206" s="902">
        <f>GLOBAL_DER_FEV_2023!J1206</f>
        <v>61.96</v>
      </c>
      <c r="K1206" s="903" t="s">
        <v>1516</v>
      </c>
      <c r="L1206" s="1137"/>
      <c r="M1206" s="1138">
        <f t="shared" si="87"/>
        <v>0</v>
      </c>
      <c r="N1206" s="893">
        <f t="shared" si="91"/>
        <v>0</v>
      </c>
      <c r="O1206" s="905"/>
      <c r="Q1206" s="317" t="str">
        <f t="shared" si="88"/>
        <v/>
      </c>
      <c r="R1206" s="317" t="str">
        <f t="shared" si="89"/>
        <v/>
      </c>
      <c r="S1206" s="317" t="str">
        <f t="shared" si="90"/>
        <v/>
      </c>
      <c r="T1206" s="317" t="str">
        <f>GLOBAL_DER_FEV_2023!S1206</f>
        <v/>
      </c>
      <c r="W1206" s="582">
        <v>0</v>
      </c>
      <c r="X1206" s="580"/>
      <c r="Y1206" s="583">
        <f>IF(GLOBAL_DER_FEV_2023!W1206=0,0,IF(GLOBAL_DER_FEV_2023!W1206&gt;0,"c","b"))</f>
        <v>0</v>
      </c>
    </row>
    <row r="1207" spans="1:25" ht="23.25" hidden="1" thickBot="1" x14ac:dyDescent="0.25">
      <c r="A1207" s="317">
        <v>95797</v>
      </c>
      <c r="B1207" s="895">
        <v>95797</v>
      </c>
      <c r="C1207" s="896" t="s">
        <v>596</v>
      </c>
      <c r="D1207" s="906" t="s">
        <v>1137</v>
      </c>
      <c r="E1207" s="907">
        <f>GLOBAL_DER_FEV_2023!E1207</f>
        <v>0</v>
      </c>
      <c r="F1207" s="908">
        <f>GLOBAL_DER_FEV_2023!F1207</f>
        <v>0</v>
      </c>
      <c r="G1207" s="912">
        <f>GLOBAL_DER_FEV_2023!G1207</f>
        <v>0</v>
      </c>
      <c r="H1207" s="901">
        <f>GLOBAL_DER_FEV_2023!H1207</f>
        <v>71.37</v>
      </c>
      <c r="I1207" s="901">
        <f>GLOBAL_DER_FEV_2023!I1207</f>
        <v>71.37</v>
      </c>
      <c r="J1207" s="902">
        <f>GLOBAL_DER_FEV_2023!J1207</f>
        <v>85.69</v>
      </c>
      <c r="K1207" s="903" t="s">
        <v>1516</v>
      </c>
      <c r="L1207" s="1137"/>
      <c r="M1207" s="1138">
        <f t="shared" si="87"/>
        <v>0</v>
      </c>
      <c r="N1207" s="893">
        <f t="shared" si="91"/>
        <v>0</v>
      </c>
      <c r="O1207" s="905"/>
      <c r="Q1207" s="317" t="str">
        <f t="shared" si="88"/>
        <v/>
      </c>
      <c r="R1207" s="317" t="str">
        <f t="shared" si="89"/>
        <v/>
      </c>
      <c r="S1207" s="317" t="str">
        <f t="shared" si="90"/>
        <v/>
      </c>
      <c r="T1207" s="317" t="str">
        <f>GLOBAL_DER_FEV_2023!S1207</f>
        <v/>
      </c>
      <c r="W1207" s="582">
        <v>0</v>
      </c>
      <c r="X1207" s="580"/>
      <c r="Y1207" s="583">
        <f>IF(GLOBAL_DER_FEV_2023!W1207=0,0,IF(GLOBAL_DER_FEV_2023!W1207&gt;0,"c","b"))</f>
        <v>0</v>
      </c>
    </row>
    <row r="1208" spans="1:25" ht="23.25" hidden="1" thickBot="1" x14ac:dyDescent="0.25">
      <c r="A1208" s="317">
        <v>95801</v>
      </c>
      <c r="B1208" s="895">
        <v>95801</v>
      </c>
      <c r="C1208" s="896" t="s">
        <v>596</v>
      </c>
      <c r="D1208" s="906" t="s">
        <v>1138</v>
      </c>
      <c r="E1208" s="907">
        <f>GLOBAL_DER_FEV_2023!E1208</f>
        <v>0</v>
      </c>
      <c r="F1208" s="908">
        <f>GLOBAL_DER_FEV_2023!F1208</f>
        <v>0</v>
      </c>
      <c r="G1208" s="912">
        <f>GLOBAL_DER_FEV_2023!G1208</f>
        <v>0</v>
      </c>
      <c r="H1208" s="901">
        <f>GLOBAL_DER_FEV_2023!H1208</f>
        <v>43.96</v>
      </c>
      <c r="I1208" s="901">
        <f>GLOBAL_DER_FEV_2023!I1208</f>
        <v>43.96</v>
      </c>
      <c r="J1208" s="902">
        <f>GLOBAL_DER_FEV_2023!J1208</f>
        <v>52.78</v>
      </c>
      <c r="K1208" s="903" t="s">
        <v>1516</v>
      </c>
      <c r="L1208" s="1137"/>
      <c r="M1208" s="1138">
        <f t="shared" si="87"/>
        <v>0</v>
      </c>
      <c r="N1208" s="893">
        <f t="shared" si="91"/>
        <v>0</v>
      </c>
      <c r="O1208" s="905"/>
      <c r="Q1208" s="317" t="str">
        <f t="shared" si="88"/>
        <v/>
      </c>
      <c r="R1208" s="317" t="str">
        <f t="shared" si="89"/>
        <v/>
      </c>
      <c r="S1208" s="317" t="str">
        <f t="shared" si="90"/>
        <v/>
      </c>
      <c r="T1208" s="317" t="str">
        <f>GLOBAL_DER_FEV_2023!S1208</f>
        <v/>
      </c>
      <c r="W1208" s="582">
        <v>0</v>
      </c>
      <c r="X1208" s="580"/>
      <c r="Y1208" s="583">
        <f>IF(GLOBAL_DER_FEV_2023!W1208=0,0,IF(GLOBAL_DER_FEV_2023!W1208&gt;0,"c","b"))</f>
        <v>0</v>
      </c>
    </row>
    <row r="1209" spans="1:25" ht="23.25" hidden="1" thickBot="1" x14ac:dyDescent="0.25">
      <c r="A1209" s="317">
        <v>95802</v>
      </c>
      <c r="B1209" s="895">
        <v>95802</v>
      </c>
      <c r="C1209" s="896" t="s">
        <v>596</v>
      </c>
      <c r="D1209" s="906" t="s">
        <v>1139</v>
      </c>
      <c r="E1209" s="907">
        <f>GLOBAL_DER_FEV_2023!E1209</f>
        <v>0</v>
      </c>
      <c r="F1209" s="908">
        <f>GLOBAL_DER_FEV_2023!F1209</f>
        <v>0</v>
      </c>
      <c r="G1209" s="912">
        <f>GLOBAL_DER_FEV_2023!G1209</f>
        <v>0</v>
      </c>
      <c r="H1209" s="901">
        <f>GLOBAL_DER_FEV_2023!H1209</f>
        <v>54.65</v>
      </c>
      <c r="I1209" s="901">
        <f>GLOBAL_DER_FEV_2023!I1209</f>
        <v>54.65</v>
      </c>
      <c r="J1209" s="902">
        <f>GLOBAL_DER_FEV_2023!J1209</f>
        <v>65.62</v>
      </c>
      <c r="K1209" s="903" t="s">
        <v>1516</v>
      </c>
      <c r="L1209" s="1137"/>
      <c r="M1209" s="1138">
        <f t="shared" si="87"/>
        <v>0</v>
      </c>
      <c r="N1209" s="893">
        <f t="shared" si="91"/>
        <v>0</v>
      </c>
      <c r="O1209" s="905"/>
      <c r="Q1209" s="317" t="str">
        <f t="shared" si="88"/>
        <v/>
      </c>
      <c r="R1209" s="317" t="str">
        <f t="shared" si="89"/>
        <v/>
      </c>
      <c r="S1209" s="317" t="str">
        <f t="shared" si="90"/>
        <v/>
      </c>
      <c r="T1209" s="317" t="str">
        <f>GLOBAL_DER_FEV_2023!S1209</f>
        <v/>
      </c>
      <c r="W1209" s="582">
        <v>0</v>
      </c>
      <c r="X1209" s="580"/>
      <c r="Y1209" s="583">
        <f>IF(GLOBAL_DER_FEV_2023!W1209=0,0,IF(GLOBAL_DER_FEV_2023!W1209&gt;0,"c","b"))</f>
        <v>0</v>
      </c>
    </row>
    <row r="1210" spans="1:25" ht="23.25" hidden="1" thickBot="1" x14ac:dyDescent="0.25">
      <c r="A1210" s="317">
        <v>95803</v>
      </c>
      <c r="B1210" s="895">
        <v>95803</v>
      </c>
      <c r="C1210" s="896" t="s">
        <v>596</v>
      </c>
      <c r="D1210" s="906" t="s">
        <v>1140</v>
      </c>
      <c r="E1210" s="907">
        <f>GLOBAL_DER_FEV_2023!E1210</f>
        <v>0</v>
      </c>
      <c r="F1210" s="908">
        <f>GLOBAL_DER_FEV_2023!F1210</f>
        <v>0</v>
      </c>
      <c r="G1210" s="912">
        <f>GLOBAL_DER_FEV_2023!G1210</f>
        <v>0</v>
      </c>
      <c r="H1210" s="901">
        <f>GLOBAL_DER_FEV_2023!H1210</f>
        <v>79.510000000000005</v>
      </c>
      <c r="I1210" s="901">
        <f>GLOBAL_DER_FEV_2023!I1210</f>
        <v>79.510000000000005</v>
      </c>
      <c r="J1210" s="902">
        <f>GLOBAL_DER_FEV_2023!J1210</f>
        <v>95.47</v>
      </c>
      <c r="K1210" s="903" t="s">
        <v>1516</v>
      </c>
      <c r="L1210" s="1137"/>
      <c r="M1210" s="1138">
        <f t="shared" si="87"/>
        <v>0</v>
      </c>
      <c r="N1210" s="893">
        <f t="shared" si="91"/>
        <v>0</v>
      </c>
      <c r="O1210" s="905"/>
      <c r="Q1210" s="317" t="str">
        <f t="shared" si="88"/>
        <v/>
      </c>
      <c r="R1210" s="317" t="str">
        <f t="shared" si="89"/>
        <v/>
      </c>
      <c r="S1210" s="317" t="str">
        <f t="shared" si="90"/>
        <v/>
      </c>
      <c r="T1210" s="317" t="str">
        <f>GLOBAL_DER_FEV_2023!S1210</f>
        <v/>
      </c>
      <c r="W1210" s="582">
        <v>0</v>
      </c>
      <c r="X1210" s="580"/>
      <c r="Y1210" s="583">
        <f>IF(GLOBAL_DER_FEV_2023!W1210=0,0,IF(GLOBAL_DER_FEV_2023!W1210&gt;0,"c","b"))</f>
        <v>0</v>
      </c>
    </row>
    <row r="1211" spans="1:25" ht="23.25" hidden="1" thickBot="1" x14ac:dyDescent="0.25">
      <c r="A1211" s="317">
        <v>95804</v>
      </c>
      <c r="B1211" s="895">
        <v>95804</v>
      </c>
      <c r="C1211" s="896" t="s">
        <v>596</v>
      </c>
      <c r="D1211" s="906" t="s">
        <v>1141</v>
      </c>
      <c r="E1211" s="907">
        <f>GLOBAL_DER_FEV_2023!E1211</f>
        <v>0</v>
      </c>
      <c r="F1211" s="908">
        <f>GLOBAL_DER_FEV_2023!F1211</f>
        <v>0</v>
      </c>
      <c r="G1211" s="912">
        <f>GLOBAL_DER_FEV_2023!G1211</f>
        <v>0</v>
      </c>
      <c r="H1211" s="901">
        <f>GLOBAL_DER_FEV_2023!H1211</f>
        <v>27.21</v>
      </c>
      <c r="I1211" s="901">
        <f>GLOBAL_DER_FEV_2023!I1211</f>
        <v>27.21</v>
      </c>
      <c r="J1211" s="902">
        <f>GLOBAL_DER_FEV_2023!J1211</f>
        <v>32.67</v>
      </c>
      <c r="K1211" s="903" t="s">
        <v>1516</v>
      </c>
      <c r="L1211" s="1137"/>
      <c r="M1211" s="1138">
        <f t="shared" si="87"/>
        <v>0</v>
      </c>
      <c r="N1211" s="893">
        <f t="shared" si="91"/>
        <v>0</v>
      </c>
      <c r="O1211" s="905"/>
      <c r="Q1211" s="317" t="str">
        <f t="shared" si="88"/>
        <v/>
      </c>
      <c r="R1211" s="317" t="str">
        <f t="shared" si="89"/>
        <v/>
      </c>
      <c r="S1211" s="317" t="str">
        <f t="shared" si="90"/>
        <v/>
      </c>
      <c r="T1211" s="317" t="str">
        <f>GLOBAL_DER_FEV_2023!S1211</f>
        <v/>
      </c>
      <c r="W1211" s="582">
        <v>0</v>
      </c>
      <c r="X1211" s="580"/>
      <c r="Y1211" s="583">
        <f>IF(GLOBAL_DER_FEV_2023!W1211=0,0,IF(GLOBAL_DER_FEV_2023!W1211&gt;0,"c","b"))</f>
        <v>0</v>
      </c>
    </row>
    <row r="1212" spans="1:25" ht="23.25" hidden="1" thickBot="1" x14ac:dyDescent="0.25">
      <c r="A1212" s="317">
        <v>95805</v>
      </c>
      <c r="B1212" s="895">
        <v>95805</v>
      </c>
      <c r="C1212" s="896" t="s">
        <v>596</v>
      </c>
      <c r="D1212" s="906" t="s">
        <v>1142</v>
      </c>
      <c r="E1212" s="907">
        <f>GLOBAL_DER_FEV_2023!E1212</f>
        <v>0</v>
      </c>
      <c r="F1212" s="908">
        <f>GLOBAL_DER_FEV_2023!F1212</f>
        <v>0</v>
      </c>
      <c r="G1212" s="912">
        <f>GLOBAL_DER_FEV_2023!G1212</f>
        <v>0</v>
      </c>
      <c r="H1212" s="901">
        <f>GLOBAL_DER_FEV_2023!H1212</f>
        <v>28.7</v>
      </c>
      <c r="I1212" s="901">
        <f>GLOBAL_DER_FEV_2023!I1212</f>
        <v>28.7</v>
      </c>
      <c r="J1212" s="902">
        <f>GLOBAL_DER_FEV_2023!J1212</f>
        <v>34.46</v>
      </c>
      <c r="K1212" s="903" t="s">
        <v>1516</v>
      </c>
      <c r="L1212" s="1137"/>
      <c r="M1212" s="1138">
        <f t="shared" si="87"/>
        <v>0</v>
      </c>
      <c r="N1212" s="893">
        <f t="shared" si="91"/>
        <v>0</v>
      </c>
      <c r="O1212" s="905"/>
      <c r="Q1212" s="317" t="str">
        <f t="shared" si="88"/>
        <v/>
      </c>
      <c r="R1212" s="317" t="str">
        <f t="shared" si="89"/>
        <v/>
      </c>
      <c r="S1212" s="317" t="str">
        <f t="shared" si="90"/>
        <v/>
      </c>
      <c r="T1212" s="317" t="str">
        <f>GLOBAL_DER_FEV_2023!S1212</f>
        <v/>
      </c>
      <c r="W1212" s="582">
        <v>0</v>
      </c>
      <c r="X1212" s="580"/>
      <c r="Y1212" s="583">
        <f>IF(GLOBAL_DER_FEV_2023!W1212=0,0,IF(GLOBAL_DER_FEV_2023!W1212&gt;0,"c","b"))</f>
        <v>0</v>
      </c>
    </row>
    <row r="1213" spans="1:25" ht="23.25" hidden="1" thickBot="1" x14ac:dyDescent="0.25">
      <c r="A1213" s="317">
        <v>95806</v>
      </c>
      <c r="B1213" s="895">
        <v>95806</v>
      </c>
      <c r="C1213" s="896" t="s">
        <v>596</v>
      </c>
      <c r="D1213" s="906" t="s">
        <v>1143</v>
      </c>
      <c r="E1213" s="907">
        <f>GLOBAL_DER_FEV_2023!E1213</f>
        <v>0</v>
      </c>
      <c r="F1213" s="908">
        <f>GLOBAL_DER_FEV_2023!F1213</f>
        <v>0</v>
      </c>
      <c r="G1213" s="912">
        <f>GLOBAL_DER_FEV_2023!G1213</f>
        <v>0</v>
      </c>
      <c r="H1213" s="901">
        <f>GLOBAL_DER_FEV_2023!H1213</f>
        <v>31.42</v>
      </c>
      <c r="I1213" s="901">
        <f>GLOBAL_DER_FEV_2023!I1213</f>
        <v>31.42</v>
      </c>
      <c r="J1213" s="902">
        <f>GLOBAL_DER_FEV_2023!J1213</f>
        <v>37.729999999999997</v>
      </c>
      <c r="K1213" s="903" t="s">
        <v>1516</v>
      </c>
      <c r="L1213" s="1137"/>
      <c r="M1213" s="1138">
        <f t="shared" si="87"/>
        <v>0</v>
      </c>
      <c r="N1213" s="893">
        <f t="shared" si="91"/>
        <v>0</v>
      </c>
      <c r="O1213" s="905"/>
      <c r="Q1213" s="317" t="str">
        <f t="shared" si="88"/>
        <v/>
      </c>
      <c r="R1213" s="317" t="str">
        <f t="shared" si="89"/>
        <v/>
      </c>
      <c r="S1213" s="317" t="str">
        <f t="shared" si="90"/>
        <v/>
      </c>
      <c r="T1213" s="317" t="str">
        <f>GLOBAL_DER_FEV_2023!S1213</f>
        <v/>
      </c>
      <c r="W1213" s="582">
        <v>0</v>
      </c>
      <c r="X1213" s="580"/>
      <c r="Y1213" s="583">
        <f>IF(GLOBAL_DER_FEV_2023!W1213=0,0,IF(GLOBAL_DER_FEV_2023!W1213&gt;0,"c","b"))</f>
        <v>0</v>
      </c>
    </row>
    <row r="1214" spans="1:25" ht="23.25" hidden="1" thickBot="1" x14ac:dyDescent="0.25">
      <c r="A1214" s="317">
        <v>95807</v>
      </c>
      <c r="B1214" s="895">
        <v>95807</v>
      </c>
      <c r="C1214" s="896" t="s">
        <v>596</v>
      </c>
      <c r="D1214" s="906" t="s">
        <v>1144</v>
      </c>
      <c r="E1214" s="907">
        <f>GLOBAL_DER_FEV_2023!E1214</f>
        <v>0</v>
      </c>
      <c r="F1214" s="908">
        <f>GLOBAL_DER_FEV_2023!F1214</f>
        <v>0</v>
      </c>
      <c r="G1214" s="912">
        <f>GLOBAL_DER_FEV_2023!G1214</f>
        <v>0</v>
      </c>
      <c r="H1214" s="901">
        <f>GLOBAL_DER_FEV_2023!H1214</f>
        <v>31.89</v>
      </c>
      <c r="I1214" s="901">
        <f>GLOBAL_DER_FEV_2023!I1214</f>
        <v>31.89</v>
      </c>
      <c r="J1214" s="902">
        <f>GLOBAL_DER_FEV_2023!J1214</f>
        <v>38.29</v>
      </c>
      <c r="K1214" s="903" t="s">
        <v>1516</v>
      </c>
      <c r="L1214" s="1137"/>
      <c r="M1214" s="1138">
        <f t="shared" si="87"/>
        <v>0</v>
      </c>
      <c r="N1214" s="893">
        <f t="shared" si="91"/>
        <v>0</v>
      </c>
      <c r="O1214" s="905"/>
      <c r="Q1214" s="317" t="str">
        <f t="shared" si="88"/>
        <v/>
      </c>
      <c r="R1214" s="317" t="str">
        <f t="shared" si="89"/>
        <v/>
      </c>
      <c r="S1214" s="317" t="str">
        <f t="shared" si="90"/>
        <v/>
      </c>
      <c r="T1214" s="317" t="str">
        <f>GLOBAL_DER_FEV_2023!S1214</f>
        <v/>
      </c>
      <c r="W1214" s="582">
        <v>0</v>
      </c>
      <c r="X1214" s="580"/>
      <c r="Y1214" s="583">
        <f>IF(GLOBAL_DER_FEV_2023!W1214=0,0,IF(GLOBAL_DER_FEV_2023!W1214&gt;0,"c","b"))</f>
        <v>0</v>
      </c>
    </row>
    <row r="1215" spans="1:25" ht="23.25" hidden="1" thickBot="1" x14ac:dyDescent="0.25">
      <c r="A1215" s="317">
        <v>95808</v>
      </c>
      <c r="B1215" s="895">
        <v>95808</v>
      </c>
      <c r="C1215" s="896" t="s">
        <v>596</v>
      </c>
      <c r="D1215" s="906" t="s">
        <v>1145</v>
      </c>
      <c r="E1215" s="907">
        <f>GLOBAL_DER_FEV_2023!E1215</f>
        <v>0</v>
      </c>
      <c r="F1215" s="908">
        <f>GLOBAL_DER_FEV_2023!F1215</f>
        <v>0</v>
      </c>
      <c r="G1215" s="912">
        <f>GLOBAL_DER_FEV_2023!G1215</f>
        <v>0</v>
      </c>
      <c r="H1215" s="901">
        <f>GLOBAL_DER_FEV_2023!H1215</f>
        <v>36.369999999999997</v>
      </c>
      <c r="I1215" s="901">
        <f>GLOBAL_DER_FEV_2023!I1215</f>
        <v>36.369999999999997</v>
      </c>
      <c r="J1215" s="902">
        <f>GLOBAL_DER_FEV_2023!J1215</f>
        <v>43.67</v>
      </c>
      <c r="K1215" s="903" t="s">
        <v>1516</v>
      </c>
      <c r="L1215" s="1137"/>
      <c r="M1215" s="1138">
        <f t="shared" si="87"/>
        <v>0</v>
      </c>
      <c r="N1215" s="893">
        <f t="shared" si="91"/>
        <v>0</v>
      </c>
      <c r="O1215" s="905"/>
      <c r="Q1215" s="317" t="str">
        <f t="shared" si="88"/>
        <v/>
      </c>
      <c r="R1215" s="317" t="str">
        <f t="shared" si="89"/>
        <v/>
      </c>
      <c r="S1215" s="317" t="str">
        <f t="shared" si="90"/>
        <v/>
      </c>
      <c r="T1215" s="317" t="str">
        <f>GLOBAL_DER_FEV_2023!S1215</f>
        <v/>
      </c>
      <c r="W1215" s="582">
        <v>0</v>
      </c>
      <c r="X1215" s="580"/>
      <c r="Y1215" s="583">
        <f>IF(GLOBAL_DER_FEV_2023!W1215=0,0,IF(GLOBAL_DER_FEV_2023!W1215&gt;0,"c","b"))</f>
        <v>0</v>
      </c>
    </row>
    <row r="1216" spans="1:25" ht="23.25" hidden="1" thickBot="1" x14ac:dyDescent="0.25">
      <c r="A1216" s="317">
        <v>95809</v>
      </c>
      <c r="B1216" s="895">
        <v>95809</v>
      </c>
      <c r="C1216" s="896" t="s">
        <v>596</v>
      </c>
      <c r="D1216" s="906" t="s">
        <v>1146</v>
      </c>
      <c r="E1216" s="907">
        <f>GLOBAL_DER_FEV_2023!E1216</f>
        <v>0</v>
      </c>
      <c r="F1216" s="908">
        <f>GLOBAL_DER_FEV_2023!F1216</f>
        <v>0</v>
      </c>
      <c r="G1216" s="912">
        <f>GLOBAL_DER_FEV_2023!G1216</f>
        <v>0</v>
      </c>
      <c r="H1216" s="901">
        <f>GLOBAL_DER_FEV_2023!H1216</f>
        <v>45.11</v>
      </c>
      <c r="I1216" s="901">
        <f>GLOBAL_DER_FEV_2023!I1216</f>
        <v>45.11</v>
      </c>
      <c r="J1216" s="902">
        <f>GLOBAL_DER_FEV_2023!J1216</f>
        <v>54.16</v>
      </c>
      <c r="K1216" s="903" t="s">
        <v>1516</v>
      </c>
      <c r="L1216" s="1137"/>
      <c r="M1216" s="1138">
        <f t="shared" si="87"/>
        <v>0</v>
      </c>
      <c r="N1216" s="893">
        <f t="shared" si="91"/>
        <v>0</v>
      </c>
      <c r="O1216" s="905"/>
      <c r="Q1216" s="317" t="str">
        <f t="shared" si="88"/>
        <v/>
      </c>
      <c r="R1216" s="317" t="str">
        <f t="shared" si="89"/>
        <v/>
      </c>
      <c r="S1216" s="317" t="str">
        <f t="shared" si="90"/>
        <v/>
      </c>
      <c r="T1216" s="317" t="str">
        <f>GLOBAL_DER_FEV_2023!S1216</f>
        <v/>
      </c>
      <c r="W1216" s="582">
        <v>0</v>
      </c>
      <c r="X1216" s="580"/>
      <c r="Y1216" s="583">
        <f>IF(GLOBAL_DER_FEV_2023!W1216=0,0,IF(GLOBAL_DER_FEV_2023!W1216&gt;0,"c","b"))</f>
        <v>0</v>
      </c>
    </row>
    <row r="1217" spans="1:25" ht="23.25" hidden="1" thickBot="1" x14ac:dyDescent="0.25">
      <c r="A1217" s="317">
        <v>95810</v>
      </c>
      <c r="B1217" s="895">
        <v>95810</v>
      </c>
      <c r="C1217" s="896" t="s">
        <v>596</v>
      </c>
      <c r="D1217" s="906" t="s">
        <v>1147</v>
      </c>
      <c r="E1217" s="907">
        <f>GLOBAL_DER_FEV_2023!E1217</f>
        <v>0</v>
      </c>
      <c r="F1217" s="908">
        <f>GLOBAL_DER_FEV_2023!F1217</f>
        <v>0</v>
      </c>
      <c r="G1217" s="912">
        <f>GLOBAL_DER_FEV_2023!G1217</f>
        <v>0</v>
      </c>
      <c r="H1217" s="901">
        <f>GLOBAL_DER_FEV_2023!H1217</f>
        <v>19.940000000000001</v>
      </c>
      <c r="I1217" s="901">
        <f>GLOBAL_DER_FEV_2023!I1217</f>
        <v>19.940000000000001</v>
      </c>
      <c r="J1217" s="902">
        <f>GLOBAL_DER_FEV_2023!J1217</f>
        <v>23.94</v>
      </c>
      <c r="K1217" s="903" t="s">
        <v>1516</v>
      </c>
      <c r="L1217" s="1137"/>
      <c r="M1217" s="1138">
        <f t="shared" si="87"/>
        <v>0</v>
      </c>
      <c r="N1217" s="893">
        <f t="shared" si="91"/>
        <v>0</v>
      </c>
      <c r="O1217" s="905"/>
      <c r="Q1217" s="317" t="str">
        <f t="shared" si="88"/>
        <v/>
      </c>
      <c r="R1217" s="317" t="str">
        <f t="shared" si="89"/>
        <v/>
      </c>
      <c r="S1217" s="317" t="str">
        <f t="shared" si="90"/>
        <v/>
      </c>
      <c r="T1217" s="317" t="str">
        <f>GLOBAL_DER_FEV_2023!S1217</f>
        <v/>
      </c>
      <c r="W1217" s="582">
        <v>0</v>
      </c>
      <c r="X1217" s="580"/>
      <c r="Y1217" s="583">
        <f>IF(GLOBAL_DER_FEV_2023!W1217=0,0,IF(GLOBAL_DER_FEV_2023!W1217&gt;0,"c","b"))</f>
        <v>0</v>
      </c>
    </row>
    <row r="1218" spans="1:25" ht="23.25" hidden="1" thickBot="1" x14ac:dyDescent="0.25">
      <c r="A1218" s="317">
        <v>95811</v>
      </c>
      <c r="B1218" s="895">
        <v>95811</v>
      </c>
      <c r="C1218" s="896" t="s">
        <v>596</v>
      </c>
      <c r="D1218" s="906" t="s">
        <v>1148</v>
      </c>
      <c r="E1218" s="907">
        <f>GLOBAL_DER_FEV_2023!E1218</f>
        <v>0</v>
      </c>
      <c r="F1218" s="908">
        <f>GLOBAL_DER_FEV_2023!F1218</f>
        <v>0</v>
      </c>
      <c r="G1218" s="912">
        <f>GLOBAL_DER_FEV_2023!G1218</f>
        <v>0</v>
      </c>
      <c r="H1218" s="901">
        <f>GLOBAL_DER_FEV_2023!H1218</f>
        <v>24.43</v>
      </c>
      <c r="I1218" s="901">
        <f>GLOBAL_DER_FEV_2023!I1218</f>
        <v>24.43</v>
      </c>
      <c r="J1218" s="902">
        <f>GLOBAL_DER_FEV_2023!J1218</f>
        <v>29.33</v>
      </c>
      <c r="K1218" s="903" t="s">
        <v>1516</v>
      </c>
      <c r="L1218" s="1137"/>
      <c r="M1218" s="1138">
        <f t="shared" si="87"/>
        <v>0</v>
      </c>
      <c r="N1218" s="893">
        <f t="shared" si="91"/>
        <v>0</v>
      </c>
      <c r="O1218" s="905"/>
      <c r="Q1218" s="317" t="str">
        <f t="shared" si="88"/>
        <v/>
      </c>
      <c r="R1218" s="317" t="str">
        <f t="shared" si="89"/>
        <v/>
      </c>
      <c r="S1218" s="317" t="str">
        <f t="shared" si="90"/>
        <v/>
      </c>
      <c r="T1218" s="317" t="str">
        <f>GLOBAL_DER_FEV_2023!S1218</f>
        <v/>
      </c>
      <c r="W1218" s="582">
        <v>0</v>
      </c>
      <c r="X1218" s="580"/>
      <c r="Y1218" s="583">
        <f>IF(GLOBAL_DER_FEV_2023!W1218=0,0,IF(GLOBAL_DER_FEV_2023!W1218&gt;0,"c","b"))</f>
        <v>0</v>
      </c>
    </row>
    <row r="1219" spans="1:25" ht="23.25" hidden="1" thickBot="1" x14ac:dyDescent="0.25">
      <c r="A1219" s="317">
        <v>95812</v>
      </c>
      <c r="B1219" s="895">
        <v>95812</v>
      </c>
      <c r="C1219" s="896" t="s">
        <v>596</v>
      </c>
      <c r="D1219" s="906" t="s">
        <v>1149</v>
      </c>
      <c r="E1219" s="907">
        <f>GLOBAL_DER_FEV_2023!E1219</f>
        <v>0</v>
      </c>
      <c r="F1219" s="908">
        <f>GLOBAL_DER_FEV_2023!F1219</f>
        <v>0</v>
      </c>
      <c r="G1219" s="912">
        <f>GLOBAL_DER_FEV_2023!G1219</f>
        <v>0</v>
      </c>
      <c r="H1219" s="901">
        <f>GLOBAL_DER_FEV_2023!H1219</f>
        <v>33.159999999999997</v>
      </c>
      <c r="I1219" s="901">
        <f>GLOBAL_DER_FEV_2023!I1219</f>
        <v>33.159999999999997</v>
      </c>
      <c r="J1219" s="902">
        <f>GLOBAL_DER_FEV_2023!J1219</f>
        <v>39.82</v>
      </c>
      <c r="K1219" s="903" t="s">
        <v>1516</v>
      </c>
      <c r="L1219" s="1137"/>
      <c r="M1219" s="1138">
        <f t="shared" si="87"/>
        <v>0</v>
      </c>
      <c r="N1219" s="893">
        <f t="shared" si="91"/>
        <v>0</v>
      </c>
      <c r="O1219" s="905"/>
      <c r="Q1219" s="317" t="str">
        <f t="shared" si="88"/>
        <v/>
      </c>
      <c r="R1219" s="317" t="str">
        <f t="shared" si="89"/>
        <v/>
      </c>
      <c r="S1219" s="317" t="str">
        <f t="shared" si="90"/>
        <v/>
      </c>
      <c r="T1219" s="317" t="str">
        <f>GLOBAL_DER_FEV_2023!S1219</f>
        <v/>
      </c>
      <c r="W1219" s="582">
        <v>0</v>
      </c>
      <c r="X1219" s="580"/>
      <c r="Y1219" s="583">
        <f>IF(GLOBAL_DER_FEV_2023!W1219=0,0,IF(GLOBAL_DER_FEV_2023!W1219&gt;0,"c","b"))</f>
        <v>0</v>
      </c>
    </row>
    <row r="1220" spans="1:25" ht="23.25" hidden="1" thickBot="1" x14ac:dyDescent="0.25">
      <c r="A1220" s="317">
        <v>95813</v>
      </c>
      <c r="B1220" s="895">
        <v>95813</v>
      </c>
      <c r="C1220" s="896" t="s">
        <v>596</v>
      </c>
      <c r="D1220" s="906" t="s">
        <v>1150</v>
      </c>
      <c r="E1220" s="907">
        <f>GLOBAL_DER_FEV_2023!E1220</f>
        <v>0</v>
      </c>
      <c r="F1220" s="908">
        <f>GLOBAL_DER_FEV_2023!F1220</f>
        <v>0</v>
      </c>
      <c r="G1220" s="912">
        <f>GLOBAL_DER_FEV_2023!G1220</f>
        <v>0</v>
      </c>
      <c r="H1220" s="901">
        <f>GLOBAL_DER_FEV_2023!H1220</f>
        <v>23.14</v>
      </c>
      <c r="I1220" s="901">
        <f>GLOBAL_DER_FEV_2023!I1220</f>
        <v>23.14</v>
      </c>
      <c r="J1220" s="902">
        <f>GLOBAL_DER_FEV_2023!J1220</f>
        <v>27.78</v>
      </c>
      <c r="K1220" s="903" t="s">
        <v>1516</v>
      </c>
      <c r="L1220" s="1137"/>
      <c r="M1220" s="1138">
        <f t="shared" si="87"/>
        <v>0</v>
      </c>
      <c r="N1220" s="893">
        <f t="shared" si="91"/>
        <v>0</v>
      </c>
      <c r="O1220" s="905"/>
      <c r="Q1220" s="317" t="str">
        <f t="shared" si="88"/>
        <v/>
      </c>
      <c r="R1220" s="317" t="str">
        <f t="shared" si="89"/>
        <v/>
      </c>
      <c r="S1220" s="317" t="str">
        <f t="shared" si="90"/>
        <v/>
      </c>
      <c r="T1220" s="317" t="str">
        <f>GLOBAL_DER_FEV_2023!S1220</f>
        <v/>
      </c>
      <c r="W1220" s="582">
        <v>0</v>
      </c>
      <c r="X1220" s="580"/>
      <c r="Y1220" s="583">
        <f>IF(GLOBAL_DER_FEV_2023!W1220=0,0,IF(GLOBAL_DER_FEV_2023!W1220&gt;0,"c","b"))</f>
        <v>0</v>
      </c>
    </row>
    <row r="1221" spans="1:25" ht="23.25" hidden="1" thickBot="1" x14ac:dyDescent="0.25">
      <c r="A1221" s="317">
        <v>95814</v>
      </c>
      <c r="B1221" s="895">
        <v>95814</v>
      </c>
      <c r="C1221" s="896" t="s">
        <v>596</v>
      </c>
      <c r="D1221" s="906" t="s">
        <v>1151</v>
      </c>
      <c r="E1221" s="907">
        <f>GLOBAL_DER_FEV_2023!E1221</f>
        <v>0</v>
      </c>
      <c r="F1221" s="908">
        <f>GLOBAL_DER_FEV_2023!F1221</f>
        <v>0</v>
      </c>
      <c r="G1221" s="912">
        <f>GLOBAL_DER_FEV_2023!G1221</f>
        <v>0</v>
      </c>
      <c r="H1221" s="901">
        <f>GLOBAL_DER_FEV_2023!H1221</f>
        <v>29.12</v>
      </c>
      <c r="I1221" s="901">
        <f>GLOBAL_DER_FEV_2023!I1221</f>
        <v>29.12</v>
      </c>
      <c r="J1221" s="902">
        <f>GLOBAL_DER_FEV_2023!J1221</f>
        <v>34.96</v>
      </c>
      <c r="K1221" s="903" t="s">
        <v>1516</v>
      </c>
      <c r="L1221" s="1137"/>
      <c r="M1221" s="1138">
        <f t="shared" si="87"/>
        <v>0</v>
      </c>
      <c r="N1221" s="893">
        <f t="shared" si="91"/>
        <v>0</v>
      </c>
      <c r="O1221" s="905"/>
      <c r="Q1221" s="317" t="str">
        <f t="shared" si="88"/>
        <v/>
      </c>
      <c r="R1221" s="317" t="str">
        <f t="shared" si="89"/>
        <v/>
      </c>
      <c r="S1221" s="317" t="str">
        <f t="shared" si="90"/>
        <v/>
      </c>
      <c r="T1221" s="317" t="str">
        <f>GLOBAL_DER_FEV_2023!S1221</f>
        <v/>
      </c>
      <c r="W1221" s="582">
        <v>0</v>
      </c>
      <c r="X1221" s="580"/>
      <c r="Y1221" s="583">
        <f>IF(GLOBAL_DER_FEV_2023!W1221=0,0,IF(GLOBAL_DER_FEV_2023!W1221&gt;0,"c","b"))</f>
        <v>0</v>
      </c>
    </row>
    <row r="1222" spans="1:25" ht="23.25" hidden="1" thickBot="1" x14ac:dyDescent="0.25">
      <c r="A1222" s="317">
        <v>95815</v>
      </c>
      <c r="B1222" s="895">
        <v>95815</v>
      </c>
      <c r="C1222" s="896" t="s">
        <v>596</v>
      </c>
      <c r="D1222" s="906" t="s">
        <v>1152</v>
      </c>
      <c r="E1222" s="907">
        <f>GLOBAL_DER_FEV_2023!E1222</f>
        <v>0</v>
      </c>
      <c r="F1222" s="908">
        <f>GLOBAL_DER_FEV_2023!F1222</f>
        <v>0</v>
      </c>
      <c r="G1222" s="912">
        <f>GLOBAL_DER_FEV_2023!G1222</f>
        <v>0</v>
      </c>
      <c r="H1222" s="901">
        <f>GLOBAL_DER_FEV_2023!H1222</f>
        <v>42.77</v>
      </c>
      <c r="I1222" s="901">
        <f>GLOBAL_DER_FEV_2023!I1222</f>
        <v>42.77</v>
      </c>
      <c r="J1222" s="902">
        <f>GLOBAL_DER_FEV_2023!J1222</f>
        <v>51.35</v>
      </c>
      <c r="K1222" s="903" t="s">
        <v>1516</v>
      </c>
      <c r="L1222" s="1137"/>
      <c r="M1222" s="1138">
        <f t="shared" si="87"/>
        <v>0</v>
      </c>
      <c r="N1222" s="893">
        <f t="shared" si="91"/>
        <v>0</v>
      </c>
      <c r="O1222" s="905"/>
      <c r="Q1222" s="317" t="str">
        <f t="shared" si="88"/>
        <v/>
      </c>
      <c r="R1222" s="317" t="str">
        <f t="shared" si="89"/>
        <v/>
      </c>
      <c r="S1222" s="317" t="str">
        <f t="shared" si="90"/>
        <v/>
      </c>
      <c r="T1222" s="317" t="str">
        <f>GLOBAL_DER_FEV_2023!S1222</f>
        <v/>
      </c>
      <c r="W1222" s="582">
        <v>0</v>
      </c>
      <c r="X1222" s="580"/>
      <c r="Y1222" s="583">
        <f>IF(GLOBAL_DER_FEV_2023!W1222=0,0,IF(GLOBAL_DER_FEV_2023!W1222&gt;0,"c","b"))</f>
        <v>0</v>
      </c>
    </row>
    <row r="1223" spans="1:25" ht="23.25" hidden="1" thickBot="1" x14ac:dyDescent="0.25">
      <c r="A1223" s="317">
        <v>95816</v>
      </c>
      <c r="B1223" s="895">
        <v>95816</v>
      </c>
      <c r="C1223" s="896" t="s">
        <v>596</v>
      </c>
      <c r="D1223" s="906" t="s">
        <v>1153</v>
      </c>
      <c r="E1223" s="907">
        <f>GLOBAL_DER_FEV_2023!E1223</f>
        <v>0</v>
      </c>
      <c r="F1223" s="908">
        <f>GLOBAL_DER_FEV_2023!F1223</f>
        <v>0</v>
      </c>
      <c r="G1223" s="912">
        <f>GLOBAL_DER_FEV_2023!G1223</f>
        <v>0</v>
      </c>
      <c r="H1223" s="901">
        <f>GLOBAL_DER_FEV_2023!H1223</f>
        <v>38.6</v>
      </c>
      <c r="I1223" s="901">
        <f>GLOBAL_DER_FEV_2023!I1223</f>
        <v>38.6</v>
      </c>
      <c r="J1223" s="902">
        <f>GLOBAL_DER_FEV_2023!J1223</f>
        <v>46.35</v>
      </c>
      <c r="K1223" s="903" t="s">
        <v>1516</v>
      </c>
      <c r="L1223" s="1137"/>
      <c r="M1223" s="1138">
        <f t="shared" si="87"/>
        <v>0</v>
      </c>
      <c r="N1223" s="893">
        <f t="shared" si="91"/>
        <v>0</v>
      </c>
      <c r="O1223" s="905"/>
      <c r="Q1223" s="317" t="str">
        <f t="shared" si="88"/>
        <v/>
      </c>
      <c r="R1223" s="317" t="str">
        <f t="shared" si="89"/>
        <v/>
      </c>
      <c r="S1223" s="317" t="str">
        <f t="shared" si="90"/>
        <v/>
      </c>
      <c r="T1223" s="317" t="str">
        <f>GLOBAL_DER_FEV_2023!S1223</f>
        <v/>
      </c>
      <c r="W1223" s="582">
        <v>0</v>
      </c>
      <c r="X1223" s="580"/>
      <c r="Y1223" s="583">
        <f>IF(GLOBAL_DER_FEV_2023!W1223=0,0,IF(GLOBAL_DER_FEV_2023!W1223&gt;0,"c","b"))</f>
        <v>0</v>
      </c>
    </row>
    <row r="1224" spans="1:25" ht="23.25" hidden="1" thickBot="1" x14ac:dyDescent="0.25">
      <c r="A1224" s="317">
        <v>95817</v>
      </c>
      <c r="B1224" s="895">
        <v>95817</v>
      </c>
      <c r="C1224" s="896" t="s">
        <v>596</v>
      </c>
      <c r="D1224" s="906" t="s">
        <v>1154</v>
      </c>
      <c r="E1224" s="907">
        <f>GLOBAL_DER_FEV_2023!E1224</f>
        <v>0</v>
      </c>
      <c r="F1224" s="908">
        <f>GLOBAL_DER_FEV_2023!F1224</f>
        <v>0</v>
      </c>
      <c r="G1224" s="912">
        <f>GLOBAL_DER_FEV_2023!G1224</f>
        <v>0</v>
      </c>
      <c r="H1224" s="901">
        <f>GLOBAL_DER_FEV_2023!H1224</f>
        <v>45.47</v>
      </c>
      <c r="I1224" s="901">
        <f>GLOBAL_DER_FEV_2023!I1224</f>
        <v>45.47</v>
      </c>
      <c r="J1224" s="902">
        <f>GLOBAL_DER_FEV_2023!J1224</f>
        <v>54.6</v>
      </c>
      <c r="K1224" s="903" t="s">
        <v>1516</v>
      </c>
      <c r="L1224" s="1137"/>
      <c r="M1224" s="1138">
        <f t="shared" si="87"/>
        <v>0</v>
      </c>
      <c r="N1224" s="893">
        <f t="shared" si="91"/>
        <v>0</v>
      </c>
      <c r="O1224" s="905"/>
      <c r="Q1224" s="317" t="str">
        <f t="shared" si="88"/>
        <v/>
      </c>
      <c r="R1224" s="317" t="str">
        <f t="shared" si="89"/>
        <v/>
      </c>
      <c r="S1224" s="317" t="str">
        <f t="shared" si="90"/>
        <v/>
      </c>
      <c r="T1224" s="317" t="str">
        <f>GLOBAL_DER_FEV_2023!S1224</f>
        <v/>
      </c>
      <c r="W1224" s="582">
        <v>0</v>
      </c>
      <c r="X1224" s="580"/>
      <c r="Y1224" s="583">
        <f>IF(GLOBAL_DER_FEV_2023!W1224=0,0,IF(GLOBAL_DER_FEV_2023!W1224&gt;0,"c","b"))</f>
        <v>0</v>
      </c>
    </row>
    <row r="1225" spans="1:25" ht="23.25" hidden="1" thickBot="1" x14ac:dyDescent="0.25">
      <c r="A1225" s="317">
        <v>95818</v>
      </c>
      <c r="B1225" s="895">
        <v>95818</v>
      </c>
      <c r="C1225" s="896" t="s">
        <v>596</v>
      </c>
      <c r="D1225" s="906" t="s">
        <v>1155</v>
      </c>
      <c r="E1225" s="907">
        <f>GLOBAL_DER_FEV_2023!E1225</f>
        <v>0</v>
      </c>
      <c r="F1225" s="908">
        <f>GLOBAL_DER_FEV_2023!F1225</f>
        <v>0</v>
      </c>
      <c r="G1225" s="912">
        <f>GLOBAL_DER_FEV_2023!G1225</f>
        <v>0</v>
      </c>
      <c r="H1225" s="901">
        <f>GLOBAL_DER_FEV_2023!H1225</f>
        <v>63.06</v>
      </c>
      <c r="I1225" s="901">
        <f>GLOBAL_DER_FEV_2023!I1225</f>
        <v>63.06</v>
      </c>
      <c r="J1225" s="902">
        <f>GLOBAL_DER_FEV_2023!J1225</f>
        <v>75.72</v>
      </c>
      <c r="K1225" s="903" t="s">
        <v>1516</v>
      </c>
      <c r="L1225" s="1137"/>
      <c r="M1225" s="1138">
        <f t="shared" si="87"/>
        <v>0</v>
      </c>
      <c r="N1225" s="893">
        <f t="shared" si="91"/>
        <v>0</v>
      </c>
      <c r="O1225" s="905"/>
      <c r="Q1225" s="317" t="str">
        <f t="shared" si="88"/>
        <v/>
      </c>
      <c r="R1225" s="317" t="str">
        <f t="shared" si="89"/>
        <v/>
      </c>
      <c r="S1225" s="317" t="str">
        <f t="shared" si="90"/>
        <v/>
      </c>
      <c r="T1225" s="317" t="str">
        <f>GLOBAL_DER_FEV_2023!S1225</f>
        <v/>
      </c>
      <c r="W1225" s="582">
        <v>0</v>
      </c>
      <c r="X1225" s="580"/>
      <c r="Y1225" s="583">
        <f>IF(GLOBAL_DER_FEV_2023!W1225=0,0,IF(GLOBAL_DER_FEV_2023!W1225&gt;0,"c","b"))</f>
        <v>0</v>
      </c>
    </row>
    <row r="1226" spans="1:25" ht="23.25" hidden="1" thickBot="1" x14ac:dyDescent="0.25">
      <c r="A1226" s="317">
        <v>91936</v>
      </c>
      <c r="B1226" s="895">
        <v>91936</v>
      </c>
      <c r="C1226" s="896" t="s">
        <v>596</v>
      </c>
      <c r="D1226" s="906" t="s">
        <v>1156</v>
      </c>
      <c r="E1226" s="907">
        <f>GLOBAL_DER_FEV_2023!E1226</f>
        <v>0</v>
      </c>
      <c r="F1226" s="908">
        <f>GLOBAL_DER_FEV_2023!F1226</f>
        <v>0</v>
      </c>
      <c r="G1226" s="912">
        <f>GLOBAL_DER_FEV_2023!G1226</f>
        <v>0</v>
      </c>
      <c r="H1226" s="901">
        <f>GLOBAL_DER_FEV_2023!H1226</f>
        <v>16.95</v>
      </c>
      <c r="I1226" s="901">
        <f>GLOBAL_DER_FEV_2023!I1226</f>
        <v>16.95</v>
      </c>
      <c r="J1226" s="902">
        <f>GLOBAL_DER_FEV_2023!J1226</f>
        <v>20.350000000000001</v>
      </c>
      <c r="K1226" s="903" t="s">
        <v>1516</v>
      </c>
      <c r="L1226" s="1137"/>
      <c r="M1226" s="1138">
        <f t="shared" si="87"/>
        <v>0</v>
      </c>
      <c r="N1226" s="893">
        <f t="shared" si="91"/>
        <v>0</v>
      </c>
      <c r="O1226" s="905"/>
      <c r="Q1226" s="317" t="str">
        <f t="shared" si="88"/>
        <v/>
      </c>
      <c r="R1226" s="317" t="str">
        <f t="shared" si="89"/>
        <v/>
      </c>
      <c r="S1226" s="317" t="str">
        <f t="shared" si="90"/>
        <v/>
      </c>
      <c r="T1226" s="317" t="str">
        <f>GLOBAL_DER_FEV_2023!S1226</f>
        <v/>
      </c>
      <c r="W1226" s="582">
        <v>0</v>
      </c>
      <c r="X1226" s="580"/>
      <c r="Y1226" s="583">
        <f>IF(GLOBAL_DER_FEV_2023!W1226=0,0,IF(GLOBAL_DER_FEV_2023!W1226&gt;0,"c","b"))</f>
        <v>0</v>
      </c>
    </row>
    <row r="1227" spans="1:25" ht="23.25" hidden="1" thickBot="1" x14ac:dyDescent="0.25">
      <c r="A1227" s="317">
        <v>91937</v>
      </c>
      <c r="B1227" s="895">
        <v>91937</v>
      </c>
      <c r="C1227" s="896" t="s">
        <v>596</v>
      </c>
      <c r="D1227" s="906" t="s">
        <v>1157</v>
      </c>
      <c r="E1227" s="907">
        <f>GLOBAL_DER_FEV_2023!E1227</f>
        <v>0</v>
      </c>
      <c r="F1227" s="908">
        <f>GLOBAL_DER_FEV_2023!F1227</f>
        <v>0</v>
      </c>
      <c r="G1227" s="912">
        <f>GLOBAL_DER_FEV_2023!G1227</f>
        <v>0</v>
      </c>
      <c r="H1227" s="901">
        <f>GLOBAL_DER_FEV_2023!H1227</f>
        <v>14.37</v>
      </c>
      <c r="I1227" s="901">
        <f>GLOBAL_DER_FEV_2023!I1227</f>
        <v>14.37</v>
      </c>
      <c r="J1227" s="902">
        <f>GLOBAL_DER_FEV_2023!J1227</f>
        <v>17.25</v>
      </c>
      <c r="K1227" s="903" t="s">
        <v>1516</v>
      </c>
      <c r="L1227" s="1137"/>
      <c r="M1227" s="1138">
        <f t="shared" si="87"/>
        <v>0</v>
      </c>
      <c r="N1227" s="893">
        <f t="shared" si="91"/>
        <v>0</v>
      </c>
      <c r="O1227" s="905"/>
      <c r="Q1227" s="317" t="str">
        <f t="shared" si="88"/>
        <v/>
      </c>
      <c r="R1227" s="317" t="str">
        <f t="shared" si="89"/>
        <v/>
      </c>
      <c r="S1227" s="317" t="str">
        <f t="shared" si="90"/>
        <v/>
      </c>
      <c r="T1227" s="317" t="str">
        <f>GLOBAL_DER_FEV_2023!S1227</f>
        <v/>
      </c>
      <c r="W1227" s="582">
        <v>0</v>
      </c>
      <c r="X1227" s="580"/>
      <c r="Y1227" s="583">
        <f>IF(GLOBAL_DER_FEV_2023!W1227=0,0,IF(GLOBAL_DER_FEV_2023!W1227&gt;0,"c","b"))</f>
        <v>0</v>
      </c>
    </row>
    <row r="1228" spans="1:25" ht="23.25" hidden="1" thickBot="1" x14ac:dyDescent="0.25">
      <c r="A1228" s="317">
        <v>91939</v>
      </c>
      <c r="B1228" s="895">
        <v>91939</v>
      </c>
      <c r="C1228" s="896" t="s">
        <v>596</v>
      </c>
      <c r="D1228" s="906" t="s">
        <v>1158</v>
      </c>
      <c r="E1228" s="907">
        <f>GLOBAL_DER_FEV_2023!E1228</f>
        <v>0</v>
      </c>
      <c r="F1228" s="908">
        <f>GLOBAL_DER_FEV_2023!F1228</f>
        <v>0</v>
      </c>
      <c r="G1228" s="912">
        <f>GLOBAL_DER_FEV_2023!G1228</f>
        <v>0</v>
      </c>
      <c r="H1228" s="901">
        <f>GLOBAL_DER_FEV_2023!H1228</f>
        <v>34.94</v>
      </c>
      <c r="I1228" s="901">
        <f>GLOBAL_DER_FEV_2023!I1228</f>
        <v>34.94</v>
      </c>
      <c r="J1228" s="902">
        <f>GLOBAL_DER_FEV_2023!J1228</f>
        <v>41.95</v>
      </c>
      <c r="K1228" s="903" t="s">
        <v>1516</v>
      </c>
      <c r="L1228" s="1137"/>
      <c r="M1228" s="1138">
        <f t="shared" si="87"/>
        <v>0</v>
      </c>
      <c r="N1228" s="893">
        <f t="shared" si="91"/>
        <v>0</v>
      </c>
      <c r="O1228" s="905"/>
      <c r="Q1228" s="317" t="str">
        <f t="shared" si="88"/>
        <v/>
      </c>
      <c r="R1228" s="317" t="str">
        <f t="shared" si="89"/>
        <v/>
      </c>
      <c r="S1228" s="317" t="str">
        <f t="shared" si="90"/>
        <v/>
      </c>
      <c r="T1228" s="317" t="str">
        <f>GLOBAL_DER_FEV_2023!S1228</f>
        <v/>
      </c>
      <c r="W1228" s="582">
        <v>0</v>
      </c>
      <c r="X1228" s="580"/>
      <c r="Y1228" s="583">
        <f>IF(GLOBAL_DER_FEV_2023!W1228=0,0,IF(GLOBAL_DER_FEV_2023!W1228&gt;0,"c","b"))</f>
        <v>0</v>
      </c>
    </row>
    <row r="1229" spans="1:25" ht="23.25" hidden="1" thickBot="1" x14ac:dyDescent="0.25">
      <c r="A1229" s="317">
        <v>91940</v>
      </c>
      <c r="B1229" s="895">
        <v>91940</v>
      </c>
      <c r="C1229" s="896" t="s">
        <v>596</v>
      </c>
      <c r="D1229" s="906" t="s">
        <v>1159</v>
      </c>
      <c r="E1229" s="907">
        <f>GLOBAL_DER_FEV_2023!E1229</f>
        <v>0</v>
      </c>
      <c r="F1229" s="908">
        <f>GLOBAL_DER_FEV_2023!F1229</f>
        <v>0</v>
      </c>
      <c r="G1229" s="912">
        <f>GLOBAL_DER_FEV_2023!G1229</f>
        <v>0</v>
      </c>
      <c r="H1229" s="901">
        <f>GLOBAL_DER_FEV_2023!H1229</f>
        <v>18.61</v>
      </c>
      <c r="I1229" s="901">
        <f>GLOBAL_DER_FEV_2023!I1229</f>
        <v>18.61</v>
      </c>
      <c r="J1229" s="902">
        <f>GLOBAL_DER_FEV_2023!J1229</f>
        <v>22.35</v>
      </c>
      <c r="K1229" s="903" t="s">
        <v>1516</v>
      </c>
      <c r="L1229" s="1137"/>
      <c r="M1229" s="1138">
        <f t="shared" si="87"/>
        <v>0</v>
      </c>
      <c r="N1229" s="893">
        <f t="shared" si="91"/>
        <v>0</v>
      </c>
      <c r="O1229" s="905"/>
      <c r="Q1229" s="317" t="str">
        <f t="shared" si="88"/>
        <v/>
      </c>
      <c r="R1229" s="317" t="str">
        <f t="shared" si="89"/>
        <v/>
      </c>
      <c r="S1229" s="317" t="str">
        <f t="shared" si="90"/>
        <v/>
      </c>
      <c r="T1229" s="317" t="str">
        <f>GLOBAL_DER_FEV_2023!S1229</f>
        <v/>
      </c>
      <c r="W1229" s="582">
        <v>0</v>
      </c>
      <c r="X1229" s="580"/>
      <c r="Y1229" s="583">
        <f>IF(GLOBAL_DER_FEV_2023!W1229=0,0,IF(GLOBAL_DER_FEV_2023!W1229&gt;0,"c","b"))</f>
        <v>0</v>
      </c>
    </row>
    <row r="1230" spans="1:25" ht="23.25" hidden="1" thickBot="1" x14ac:dyDescent="0.25">
      <c r="A1230" s="317">
        <v>91941</v>
      </c>
      <c r="B1230" s="895">
        <v>91941</v>
      </c>
      <c r="C1230" s="896" t="s">
        <v>596</v>
      </c>
      <c r="D1230" s="906" t="s">
        <v>1160</v>
      </c>
      <c r="E1230" s="907">
        <f>GLOBAL_DER_FEV_2023!E1230</f>
        <v>0</v>
      </c>
      <c r="F1230" s="908">
        <f>GLOBAL_DER_FEV_2023!F1230</f>
        <v>0</v>
      </c>
      <c r="G1230" s="912">
        <f>GLOBAL_DER_FEV_2023!G1230</f>
        <v>0</v>
      </c>
      <c r="H1230" s="901">
        <f>GLOBAL_DER_FEV_2023!H1230</f>
        <v>12.49</v>
      </c>
      <c r="I1230" s="901">
        <f>GLOBAL_DER_FEV_2023!I1230</f>
        <v>12.49</v>
      </c>
      <c r="J1230" s="902">
        <f>GLOBAL_DER_FEV_2023!J1230</f>
        <v>15</v>
      </c>
      <c r="K1230" s="903" t="s">
        <v>1516</v>
      </c>
      <c r="L1230" s="1137"/>
      <c r="M1230" s="1138">
        <f t="shared" si="87"/>
        <v>0</v>
      </c>
      <c r="N1230" s="893">
        <f t="shared" si="91"/>
        <v>0</v>
      </c>
      <c r="O1230" s="905"/>
      <c r="Q1230" s="317" t="str">
        <f t="shared" si="88"/>
        <v/>
      </c>
      <c r="R1230" s="317" t="str">
        <f t="shared" si="89"/>
        <v/>
      </c>
      <c r="S1230" s="317" t="str">
        <f t="shared" si="90"/>
        <v/>
      </c>
      <c r="T1230" s="317" t="str">
        <f>GLOBAL_DER_FEV_2023!S1230</f>
        <v/>
      </c>
      <c r="W1230" s="582">
        <v>0</v>
      </c>
      <c r="X1230" s="580"/>
      <c r="Y1230" s="583">
        <f>IF(GLOBAL_DER_FEV_2023!W1230=0,0,IF(GLOBAL_DER_FEV_2023!W1230&gt;0,"c","b"))</f>
        <v>0</v>
      </c>
    </row>
    <row r="1231" spans="1:25" ht="23.25" hidden="1" thickBot="1" x14ac:dyDescent="0.25">
      <c r="A1231" s="317">
        <v>91942</v>
      </c>
      <c r="B1231" s="895">
        <v>91942</v>
      </c>
      <c r="C1231" s="896" t="s">
        <v>596</v>
      </c>
      <c r="D1231" s="906" t="s">
        <v>1161</v>
      </c>
      <c r="E1231" s="907">
        <f>GLOBAL_DER_FEV_2023!E1231</f>
        <v>0</v>
      </c>
      <c r="F1231" s="908">
        <f>GLOBAL_DER_FEV_2023!F1231</f>
        <v>0</v>
      </c>
      <c r="G1231" s="912">
        <f>GLOBAL_DER_FEV_2023!G1231</f>
        <v>0</v>
      </c>
      <c r="H1231" s="901">
        <f>GLOBAL_DER_FEV_2023!H1231</f>
        <v>42.95</v>
      </c>
      <c r="I1231" s="901">
        <f>GLOBAL_DER_FEV_2023!I1231</f>
        <v>42.95</v>
      </c>
      <c r="J1231" s="902">
        <f>GLOBAL_DER_FEV_2023!J1231</f>
        <v>51.57</v>
      </c>
      <c r="K1231" s="903" t="s">
        <v>1516</v>
      </c>
      <c r="L1231" s="1137"/>
      <c r="M1231" s="1138">
        <f t="shared" si="87"/>
        <v>0</v>
      </c>
      <c r="N1231" s="893">
        <f t="shared" si="91"/>
        <v>0</v>
      </c>
      <c r="O1231" s="905"/>
      <c r="Q1231" s="317" t="str">
        <f t="shared" si="88"/>
        <v/>
      </c>
      <c r="R1231" s="317" t="str">
        <f t="shared" si="89"/>
        <v/>
      </c>
      <c r="S1231" s="317" t="str">
        <f t="shared" si="90"/>
        <v/>
      </c>
      <c r="T1231" s="317" t="str">
        <f>GLOBAL_DER_FEV_2023!S1231</f>
        <v/>
      </c>
      <c r="W1231" s="582">
        <v>0</v>
      </c>
      <c r="X1231" s="580"/>
      <c r="Y1231" s="583">
        <f>IF(GLOBAL_DER_FEV_2023!W1231=0,0,IF(GLOBAL_DER_FEV_2023!W1231&gt;0,"c","b"))</f>
        <v>0</v>
      </c>
    </row>
    <row r="1232" spans="1:25" ht="23.25" hidden="1" thickBot="1" x14ac:dyDescent="0.25">
      <c r="A1232" s="317">
        <v>91943</v>
      </c>
      <c r="B1232" s="895">
        <v>91943</v>
      </c>
      <c r="C1232" s="896" t="s">
        <v>596</v>
      </c>
      <c r="D1232" s="906" t="s">
        <v>1162</v>
      </c>
      <c r="E1232" s="907">
        <f>GLOBAL_DER_FEV_2023!E1232</f>
        <v>0</v>
      </c>
      <c r="F1232" s="908">
        <f>GLOBAL_DER_FEV_2023!F1232</f>
        <v>0</v>
      </c>
      <c r="G1232" s="912">
        <f>GLOBAL_DER_FEV_2023!G1232</f>
        <v>0</v>
      </c>
      <c r="H1232" s="901">
        <f>GLOBAL_DER_FEV_2023!H1232</f>
        <v>24.17</v>
      </c>
      <c r="I1232" s="901">
        <f>GLOBAL_DER_FEV_2023!I1232</f>
        <v>24.17</v>
      </c>
      <c r="J1232" s="902">
        <f>GLOBAL_DER_FEV_2023!J1232</f>
        <v>29.02</v>
      </c>
      <c r="K1232" s="903" t="s">
        <v>1516</v>
      </c>
      <c r="L1232" s="1137"/>
      <c r="M1232" s="1138">
        <f t="shared" si="87"/>
        <v>0</v>
      </c>
      <c r="N1232" s="893">
        <f t="shared" si="91"/>
        <v>0</v>
      </c>
      <c r="O1232" s="905"/>
      <c r="Q1232" s="317" t="str">
        <f t="shared" si="88"/>
        <v/>
      </c>
      <c r="R1232" s="317" t="str">
        <f t="shared" si="89"/>
        <v/>
      </c>
      <c r="S1232" s="317" t="str">
        <f t="shared" si="90"/>
        <v/>
      </c>
      <c r="T1232" s="317" t="str">
        <f>GLOBAL_DER_FEV_2023!S1232</f>
        <v/>
      </c>
      <c r="W1232" s="582">
        <v>0</v>
      </c>
      <c r="X1232" s="580"/>
      <c r="Y1232" s="583">
        <f>IF(GLOBAL_DER_FEV_2023!W1232=0,0,IF(GLOBAL_DER_FEV_2023!W1232&gt;0,"c","b"))</f>
        <v>0</v>
      </c>
    </row>
    <row r="1233" spans="1:25" ht="23.25" hidden="1" thickBot="1" x14ac:dyDescent="0.25">
      <c r="A1233" s="317">
        <v>91944</v>
      </c>
      <c r="B1233" s="895">
        <v>91944</v>
      </c>
      <c r="C1233" s="896" t="s">
        <v>596</v>
      </c>
      <c r="D1233" s="906" t="s">
        <v>1163</v>
      </c>
      <c r="E1233" s="907">
        <f>GLOBAL_DER_FEV_2023!E1233</f>
        <v>0</v>
      </c>
      <c r="F1233" s="908">
        <f>GLOBAL_DER_FEV_2023!F1233</f>
        <v>0</v>
      </c>
      <c r="G1233" s="912">
        <f>GLOBAL_DER_FEV_2023!G1233</f>
        <v>0</v>
      </c>
      <c r="H1233" s="901">
        <f>GLOBAL_DER_FEV_2023!H1233</f>
        <v>17.149999999999999</v>
      </c>
      <c r="I1233" s="901">
        <f>GLOBAL_DER_FEV_2023!I1233</f>
        <v>17.149999999999999</v>
      </c>
      <c r="J1233" s="902">
        <f>GLOBAL_DER_FEV_2023!J1233</f>
        <v>20.59</v>
      </c>
      <c r="K1233" s="903" t="s">
        <v>1516</v>
      </c>
      <c r="L1233" s="1137"/>
      <c r="M1233" s="1138">
        <f t="shared" si="87"/>
        <v>0</v>
      </c>
      <c r="N1233" s="893">
        <f t="shared" si="91"/>
        <v>0</v>
      </c>
      <c r="O1233" s="905"/>
      <c r="Q1233" s="317" t="str">
        <f t="shared" si="88"/>
        <v/>
      </c>
      <c r="R1233" s="317" t="str">
        <f t="shared" si="89"/>
        <v/>
      </c>
      <c r="S1233" s="317" t="str">
        <f t="shared" si="90"/>
        <v/>
      </c>
      <c r="T1233" s="317" t="str">
        <f>GLOBAL_DER_FEV_2023!S1233</f>
        <v/>
      </c>
      <c r="W1233" s="582">
        <v>0</v>
      </c>
      <c r="X1233" s="580"/>
      <c r="Y1233" s="583">
        <f>IF(GLOBAL_DER_FEV_2023!W1233=0,0,IF(GLOBAL_DER_FEV_2023!W1233&gt;0,"c","b"))</f>
        <v>0</v>
      </c>
    </row>
    <row r="1234" spans="1:25" ht="23.25" hidden="1" thickBot="1" x14ac:dyDescent="0.25">
      <c r="A1234" s="317">
        <v>92865</v>
      </c>
      <c r="B1234" s="895">
        <v>92865</v>
      </c>
      <c r="C1234" s="896" t="s">
        <v>596</v>
      </c>
      <c r="D1234" s="906" t="s">
        <v>1164</v>
      </c>
      <c r="E1234" s="907">
        <f>GLOBAL_DER_FEV_2023!E1234</f>
        <v>0</v>
      </c>
      <c r="F1234" s="908">
        <f>GLOBAL_DER_FEV_2023!F1234</f>
        <v>0</v>
      </c>
      <c r="G1234" s="912">
        <f>GLOBAL_DER_FEV_2023!G1234</f>
        <v>0</v>
      </c>
      <c r="H1234" s="901">
        <f>GLOBAL_DER_FEV_2023!H1234</f>
        <v>13.15</v>
      </c>
      <c r="I1234" s="901">
        <f>GLOBAL_DER_FEV_2023!I1234</f>
        <v>13.15</v>
      </c>
      <c r="J1234" s="902">
        <f>GLOBAL_DER_FEV_2023!J1234</f>
        <v>15.79</v>
      </c>
      <c r="K1234" s="903" t="s">
        <v>1516</v>
      </c>
      <c r="L1234" s="1137"/>
      <c r="M1234" s="1138">
        <f t="shared" ref="M1234:M1297" si="92">IF(L1234=0,0,ROUND(J1234,2))</f>
        <v>0</v>
      </c>
      <c r="N1234" s="893">
        <f t="shared" si="91"/>
        <v>0</v>
      </c>
      <c r="O1234" s="905"/>
      <c r="Q1234" s="317" t="str">
        <f t="shared" si="88"/>
        <v/>
      </c>
      <c r="R1234" s="317" t="str">
        <f t="shared" si="89"/>
        <v/>
      </c>
      <c r="S1234" s="317" t="str">
        <f t="shared" si="90"/>
        <v/>
      </c>
      <c r="T1234" s="317" t="str">
        <f>GLOBAL_DER_FEV_2023!S1234</f>
        <v/>
      </c>
      <c r="W1234" s="582">
        <v>0</v>
      </c>
      <c r="X1234" s="580"/>
      <c r="Y1234" s="583">
        <f>IF(GLOBAL_DER_FEV_2023!W1234=0,0,IF(GLOBAL_DER_FEV_2023!W1234&gt;0,"c","b"))</f>
        <v>0</v>
      </c>
    </row>
    <row r="1235" spans="1:25" ht="23.25" hidden="1" thickBot="1" x14ac:dyDescent="0.25">
      <c r="A1235" s="317">
        <v>92866</v>
      </c>
      <c r="B1235" s="895">
        <v>92866</v>
      </c>
      <c r="C1235" s="896" t="s">
        <v>596</v>
      </c>
      <c r="D1235" s="906" t="s">
        <v>1165</v>
      </c>
      <c r="E1235" s="907">
        <f>GLOBAL_DER_FEV_2023!E1235</f>
        <v>0</v>
      </c>
      <c r="F1235" s="908">
        <f>GLOBAL_DER_FEV_2023!F1235</f>
        <v>0</v>
      </c>
      <c r="G1235" s="912">
        <f>GLOBAL_DER_FEV_2023!G1235</f>
        <v>0</v>
      </c>
      <c r="H1235" s="901">
        <f>GLOBAL_DER_FEV_2023!H1235</f>
        <v>10.67</v>
      </c>
      <c r="I1235" s="901">
        <f>GLOBAL_DER_FEV_2023!I1235</f>
        <v>10.67</v>
      </c>
      <c r="J1235" s="902">
        <f>GLOBAL_DER_FEV_2023!J1235</f>
        <v>12.81</v>
      </c>
      <c r="K1235" s="903" t="s">
        <v>1516</v>
      </c>
      <c r="L1235" s="1137"/>
      <c r="M1235" s="1138">
        <f t="shared" si="92"/>
        <v>0</v>
      </c>
      <c r="N1235" s="893">
        <f t="shared" si="91"/>
        <v>0</v>
      </c>
      <c r="O1235" s="905"/>
      <c r="Q1235" s="317" t="str">
        <f t="shared" si="88"/>
        <v/>
      </c>
      <c r="R1235" s="317" t="str">
        <f t="shared" si="89"/>
        <v/>
      </c>
      <c r="S1235" s="317" t="str">
        <f t="shared" si="90"/>
        <v/>
      </c>
      <c r="T1235" s="317" t="str">
        <f>GLOBAL_DER_FEV_2023!S1235</f>
        <v/>
      </c>
      <c r="W1235" s="582">
        <v>0</v>
      </c>
      <c r="X1235" s="580"/>
      <c r="Y1235" s="583">
        <f>IF(GLOBAL_DER_FEV_2023!W1235=0,0,IF(GLOBAL_DER_FEV_2023!W1235&gt;0,"c","b"))</f>
        <v>0</v>
      </c>
    </row>
    <row r="1236" spans="1:25" ht="23.25" hidden="1" thickBot="1" x14ac:dyDescent="0.25">
      <c r="A1236" s="317">
        <v>92867</v>
      </c>
      <c r="B1236" s="895">
        <v>92867</v>
      </c>
      <c r="C1236" s="896" t="s">
        <v>596</v>
      </c>
      <c r="D1236" s="906" t="s">
        <v>1166</v>
      </c>
      <c r="E1236" s="907">
        <f>GLOBAL_DER_FEV_2023!E1236</f>
        <v>0</v>
      </c>
      <c r="F1236" s="908">
        <f>GLOBAL_DER_FEV_2023!F1236</f>
        <v>0</v>
      </c>
      <c r="G1236" s="912">
        <f>GLOBAL_DER_FEV_2023!G1236</f>
        <v>0</v>
      </c>
      <c r="H1236" s="901">
        <f>GLOBAL_DER_FEV_2023!H1236</f>
        <v>33.869999999999997</v>
      </c>
      <c r="I1236" s="901">
        <f>GLOBAL_DER_FEV_2023!I1236</f>
        <v>33.869999999999997</v>
      </c>
      <c r="J1236" s="902">
        <f>GLOBAL_DER_FEV_2023!J1236</f>
        <v>40.67</v>
      </c>
      <c r="K1236" s="903" t="s">
        <v>1516</v>
      </c>
      <c r="L1236" s="1137"/>
      <c r="M1236" s="1138">
        <f t="shared" si="92"/>
        <v>0</v>
      </c>
      <c r="N1236" s="893">
        <f t="shared" si="91"/>
        <v>0</v>
      </c>
      <c r="O1236" s="905"/>
      <c r="Q1236" s="317" t="str">
        <f t="shared" si="88"/>
        <v/>
      </c>
      <c r="R1236" s="317" t="str">
        <f t="shared" si="89"/>
        <v/>
      </c>
      <c r="S1236" s="317" t="str">
        <f t="shared" si="90"/>
        <v/>
      </c>
      <c r="T1236" s="317" t="str">
        <f>GLOBAL_DER_FEV_2023!S1236</f>
        <v/>
      </c>
      <c r="W1236" s="582">
        <v>0</v>
      </c>
      <c r="X1236" s="580"/>
      <c r="Y1236" s="583">
        <f>IF(GLOBAL_DER_FEV_2023!W1236=0,0,IF(GLOBAL_DER_FEV_2023!W1236&gt;0,"c","b"))</f>
        <v>0</v>
      </c>
    </row>
    <row r="1237" spans="1:25" ht="23.25" hidden="1" thickBot="1" x14ac:dyDescent="0.25">
      <c r="A1237" s="317">
        <v>92868</v>
      </c>
      <c r="B1237" s="895">
        <v>92868</v>
      </c>
      <c r="C1237" s="896" t="s">
        <v>596</v>
      </c>
      <c r="D1237" s="906" t="s">
        <v>1167</v>
      </c>
      <c r="E1237" s="907">
        <f>GLOBAL_DER_FEV_2023!E1237</f>
        <v>0</v>
      </c>
      <c r="F1237" s="908">
        <f>GLOBAL_DER_FEV_2023!F1237</f>
        <v>0</v>
      </c>
      <c r="G1237" s="912">
        <f>GLOBAL_DER_FEV_2023!G1237</f>
        <v>0</v>
      </c>
      <c r="H1237" s="901">
        <f>GLOBAL_DER_FEV_2023!H1237</f>
        <v>17.54</v>
      </c>
      <c r="I1237" s="901">
        <f>GLOBAL_DER_FEV_2023!I1237</f>
        <v>17.54</v>
      </c>
      <c r="J1237" s="902">
        <f>GLOBAL_DER_FEV_2023!J1237</f>
        <v>21.06</v>
      </c>
      <c r="K1237" s="903" t="s">
        <v>1516</v>
      </c>
      <c r="L1237" s="1137"/>
      <c r="M1237" s="1138">
        <f t="shared" si="92"/>
        <v>0</v>
      </c>
      <c r="N1237" s="893">
        <f t="shared" si="91"/>
        <v>0</v>
      </c>
      <c r="O1237" s="905"/>
      <c r="Q1237" s="317" t="str">
        <f t="shared" si="88"/>
        <v/>
      </c>
      <c r="R1237" s="317" t="str">
        <f t="shared" si="89"/>
        <v/>
      </c>
      <c r="S1237" s="317" t="str">
        <f t="shared" si="90"/>
        <v/>
      </c>
      <c r="T1237" s="317" t="str">
        <f>GLOBAL_DER_FEV_2023!S1237</f>
        <v/>
      </c>
      <c r="W1237" s="582">
        <v>0</v>
      </c>
      <c r="X1237" s="580"/>
      <c r="Y1237" s="583">
        <f>IF(GLOBAL_DER_FEV_2023!W1237=0,0,IF(GLOBAL_DER_FEV_2023!W1237&gt;0,"c","b"))</f>
        <v>0</v>
      </c>
    </row>
    <row r="1238" spans="1:25" ht="23.25" hidden="1" thickBot="1" x14ac:dyDescent="0.25">
      <c r="A1238" s="317">
        <v>92869</v>
      </c>
      <c r="B1238" s="895">
        <v>92869</v>
      </c>
      <c r="C1238" s="896" t="s">
        <v>596</v>
      </c>
      <c r="D1238" s="906" t="s">
        <v>1168</v>
      </c>
      <c r="E1238" s="907">
        <f>GLOBAL_DER_FEV_2023!E1238</f>
        <v>0</v>
      </c>
      <c r="F1238" s="908">
        <f>GLOBAL_DER_FEV_2023!F1238</f>
        <v>0</v>
      </c>
      <c r="G1238" s="912">
        <f>GLOBAL_DER_FEV_2023!G1238</f>
        <v>0</v>
      </c>
      <c r="H1238" s="901">
        <f>GLOBAL_DER_FEV_2023!H1238</f>
        <v>11.42</v>
      </c>
      <c r="I1238" s="901">
        <f>GLOBAL_DER_FEV_2023!I1238</f>
        <v>11.42</v>
      </c>
      <c r="J1238" s="902">
        <f>GLOBAL_DER_FEV_2023!J1238</f>
        <v>13.71</v>
      </c>
      <c r="K1238" s="903" t="s">
        <v>1516</v>
      </c>
      <c r="L1238" s="1137"/>
      <c r="M1238" s="1138">
        <f t="shared" si="92"/>
        <v>0</v>
      </c>
      <c r="N1238" s="893">
        <f t="shared" si="91"/>
        <v>0</v>
      </c>
      <c r="O1238" s="905"/>
      <c r="Q1238" s="317" t="str">
        <f t="shared" si="88"/>
        <v/>
      </c>
      <c r="R1238" s="317" t="str">
        <f t="shared" si="89"/>
        <v/>
      </c>
      <c r="S1238" s="317" t="str">
        <f t="shared" si="90"/>
        <v/>
      </c>
      <c r="T1238" s="317" t="str">
        <f>GLOBAL_DER_FEV_2023!S1238</f>
        <v/>
      </c>
      <c r="W1238" s="582">
        <v>0</v>
      </c>
      <c r="X1238" s="580"/>
      <c r="Y1238" s="583">
        <f>IF(GLOBAL_DER_FEV_2023!W1238=0,0,IF(GLOBAL_DER_FEV_2023!W1238&gt;0,"c","b"))</f>
        <v>0</v>
      </c>
    </row>
    <row r="1239" spans="1:25" ht="23.25" hidden="1" thickBot="1" x14ac:dyDescent="0.25">
      <c r="A1239" s="317">
        <v>92870</v>
      </c>
      <c r="B1239" s="895">
        <v>92870</v>
      </c>
      <c r="C1239" s="896" t="s">
        <v>596</v>
      </c>
      <c r="D1239" s="906" t="s">
        <v>1169</v>
      </c>
      <c r="E1239" s="907">
        <f>GLOBAL_DER_FEV_2023!E1239</f>
        <v>0</v>
      </c>
      <c r="F1239" s="908">
        <f>GLOBAL_DER_FEV_2023!F1239</f>
        <v>0</v>
      </c>
      <c r="G1239" s="912">
        <f>GLOBAL_DER_FEV_2023!G1239</f>
        <v>0</v>
      </c>
      <c r="H1239" s="901">
        <f>GLOBAL_DER_FEV_2023!H1239</f>
        <v>41.08</v>
      </c>
      <c r="I1239" s="901">
        <f>GLOBAL_DER_FEV_2023!I1239</f>
        <v>41.08</v>
      </c>
      <c r="J1239" s="902">
        <f>GLOBAL_DER_FEV_2023!J1239</f>
        <v>49.32</v>
      </c>
      <c r="K1239" s="903" t="s">
        <v>1516</v>
      </c>
      <c r="L1239" s="1137"/>
      <c r="M1239" s="1138">
        <f t="shared" si="92"/>
        <v>0</v>
      </c>
      <c r="N1239" s="893">
        <f t="shared" si="91"/>
        <v>0</v>
      </c>
      <c r="O1239" s="905"/>
      <c r="Q1239" s="317" t="str">
        <f t="shared" si="88"/>
        <v/>
      </c>
      <c r="R1239" s="317" t="str">
        <f t="shared" si="89"/>
        <v/>
      </c>
      <c r="S1239" s="317" t="str">
        <f t="shared" si="90"/>
        <v/>
      </c>
      <c r="T1239" s="317" t="str">
        <f>GLOBAL_DER_FEV_2023!S1239</f>
        <v/>
      </c>
      <c r="W1239" s="582">
        <v>0</v>
      </c>
      <c r="X1239" s="580"/>
      <c r="Y1239" s="583">
        <f>IF(GLOBAL_DER_FEV_2023!W1239=0,0,IF(GLOBAL_DER_FEV_2023!W1239&gt;0,"c","b"))</f>
        <v>0</v>
      </c>
    </row>
    <row r="1240" spans="1:25" ht="23.25" hidden="1" thickBot="1" x14ac:dyDescent="0.25">
      <c r="A1240" s="317">
        <v>92871</v>
      </c>
      <c r="B1240" s="895">
        <v>92871</v>
      </c>
      <c r="C1240" s="896" t="s">
        <v>596</v>
      </c>
      <c r="D1240" s="906" t="s">
        <v>1170</v>
      </c>
      <c r="E1240" s="907">
        <f>GLOBAL_DER_FEV_2023!E1240</f>
        <v>0</v>
      </c>
      <c r="F1240" s="908">
        <f>GLOBAL_DER_FEV_2023!F1240</f>
        <v>0</v>
      </c>
      <c r="G1240" s="912">
        <f>GLOBAL_DER_FEV_2023!G1240</f>
        <v>0</v>
      </c>
      <c r="H1240" s="901">
        <f>GLOBAL_DER_FEV_2023!H1240</f>
        <v>22.3</v>
      </c>
      <c r="I1240" s="901">
        <f>GLOBAL_DER_FEV_2023!I1240</f>
        <v>22.3</v>
      </c>
      <c r="J1240" s="902">
        <f>GLOBAL_DER_FEV_2023!J1240</f>
        <v>26.78</v>
      </c>
      <c r="K1240" s="903" t="s">
        <v>1516</v>
      </c>
      <c r="L1240" s="1137"/>
      <c r="M1240" s="1138">
        <f t="shared" si="92"/>
        <v>0</v>
      </c>
      <c r="N1240" s="893">
        <f t="shared" si="91"/>
        <v>0</v>
      </c>
      <c r="O1240" s="905"/>
      <c r="Q1240" s="317" t="str">
        <f t="shared" si="88"/>
        <v/>
      </c>
      <c r="R1240" s="317" t="str">
        <f t="shared" si="89"/>
        <v/>
      </c>
      <c r="S1240" s="317" t="str">
        <f t="shared" si="90"/>
        <v/>
      </c>
      <c r="T1240" s="317" t="str">
        <f>GLOBAL_DER_FEV_2023!S1240</f>
        <v/>
      </c>
      <c r="W1240" s="582">
        <v>0</v>
      </c>
      <c r="X1240" s="580"/>
      <c r="Y1240" s="583">
        <f>IF(GLOBAL_DER_FEV_2023!W1240=0,0,IF(GLOBAL_DER_FEV_2023!W1240&gt;0,"c","b"))</f>
        <v>0</v>
      </c>
    </row>
    <row r="1241" spans="1:25" ht="23.25" hidden="1" thickBot="1" x14ac:dyDescent="0.25">
      <c r="A1241" s="317">
        <v>92872</v>
      </c>
      <c r="B1241" s="895">
        <v>92872</v>
      </c>
      <c r="C1241" s="896" t="s">
        <v>596</v>
      </c>
      <c r="D1241" s="906" t="s">
        <v>1171</v>
      </c>
      <c r="E1241" s="907">
        <f>GLOBAL_DER_FEV_2023!E1241</f>
        <v>0</v>
      </c>
      <c r="F1241" s="908">
        <f>GLOBAL_DER_FEV_2023!F1241</f>
        <v>0</v>
      </c>
      <c r="G1241" s="912">
        <f>GLOBAL_DER_FEV_2023!G1241</f>
        <v>0</v>
      </c>
      <c r="H1241" s="901">
        <f>GLOBAL_DER_FEV_2023!H1241</f>
        <v>15.28</v>
      </c>
      <c r="I1241" s="901">
        <f>GLOBAL_DER_FEV_2023!I1241</f>
        <v>15.28</v>
      </c>
      <c r="J1241" s="902">
        <f>GLOBAL_DER_FEV_2023!J1241</f>
        <v>18.350000000000001</v>
      </c>
      <c r="K1241" s="903" t="s">
        <v>1516</v>
      </c>
      <c r="L1241" s="1137"/>
      <c r="M1241" s="1138">
        <f t="shared" si="92"/>
        <v>0</v>
      </c>
      <c r="N1241" s="893">
        <f t="shared" si="91"/>
        <v>0</v>
      </c>
      <c r="O1241" s="905"/>
      <c r="Q1241" s="317" t="str">
        <f t="shared" si="88"/>
        <v/>
      </c>
      <c r="R1241" s="317" t="str">
        <f t="shared" si="89"/>
        <v/>
      </c>
      <c r="S1241" s="317" t="str">
        <f t="shared" si="90"/>
        <v/>
      </c>
      <c r="T1241" s="317" t="str">
        <f>GLOBAL_DER_FEV_2023!S1241</f>
        <v/>
      </c>
      <c r="W1241" s="582">
        <v>0</v>
      </c>
      <c r="X1241" s="580"/>
      <c r="Y1241" s="583">
        <f>IF(GLOBAL_DER_FEV_2023!W1241=0,0,IF(GLOBAL_DER_FEV_2023!W1241&gt;0,"c","b"))</f>
        <v>0</v>
      </c>
    </row>
    <row r="1242" spans="1:25" ht="23.25" hidden="1" thickBot="1" x14ac:dyDescent="0.25">
      <c r="A1242" s="317">
        <v>97886</v>
      </c>
      <c r="B1242" s="895">
        <v>97886</v>
      </c>
      <c r="C1242" s="896" t="s">
        <v>596</v>
      </c>
      <c r="D1242" s="906" t="s">
        <v>1172</v>
      </c>
      <c r="E1242" s="907">
        <f>GLOBAL_DER_FEV_2023!E1242</f>
        <v>0</v>
      </c>
      <c r="F1242" s="908">
        <f>GLOBAL_DER_FEV_2023!F1242</f>
        <v>0</v>
      </c>
      <c r="G1242" s="912">
        <f>GLOBAL_DER_FEV_2023!G1242</f>
        <v>0</v>
      </c>
      <c r="H1242" s="901">
        <f>GLOBAL_DER_FEV_2023!H1242</f>
        <v>177.3</v>
      </c>
      <c r="I1242" s="901">
        <f>GLOBAL_DER_FEV_2023!I1242</f>
        <v>177.3</v>
      </c>
      <c r="J1242" s="902">
        <f>GLOBAL_DER_FEV_2023!J1242</f>
        <v>212.88</v>
      </c>
      <c r="K1242" s="903" t="s">
        <v>1516</v>
      </c>
      <c r="L1242" s="1137"/>
      <c r="M1242" s="1138">
        <f t="shared" si="92"/>
        <v>0</v>
      </c>
      <c r="N1242" s="893">
        <f t="shared" si="91"/>
        <v>0</v>
      </c>
      <c r="O1242" s="905"/>
      <c r="Q1242" s="317" t="str">
        <f t="shared" si="88"/>
        <v/>
      </c>
      <c r="R1242" s="317" t="str">
        <f t="shared" si="89"/>
        <v/>
      </c>
      <c r="S1242" s="317" t="str">
        <f t="shared" si="90"/>
        <v/>
      </c>
      <c r="T1242" s="317" t="str">
        <f>GLOBAL_DER_FEV_2023!S1242</f>
        <v/>
      </c>
      <c r="W1242" s="582">
        <v>0</v>
      </c>
      <c r="X1242" s="580"/>
      <c r="Y1242" s="583">
        <f>IF(GLOBAL_DER_FEV_2023!W1242=0,0,IF(GLOBAL_DER_FEV_2023!W1242&gt;0,"c","b"))</f>
        <v>0</v>
      </c>
    </row>
    <row r="1243" spans="1:25" ht="23.25" hidden="1" thickBot="1" x14ac:dyDescent="0.25">
      <c r="A1243" s="317">
        <v>97887</v>
      </c>
      <c r="B1243" s="895">
        <v>97887</v>
      </c>
      <c r="C1243" s="896" t="s">
        <v>596</v>
      </c>
      <c r="D1243" s="906" t="s">
        <v>1173</v>
      </c>
      <c r="E1243" s="907">
        <f>GLOBAL_DER_FEV_2023!E1243</f>
        <v>0</v>
      </c>
      <c r="F1243" s="908">
        <f>GLOBAL_DER_FEV_2023!F1243</f>
        <v>0</v>
      </c>
      <c r="G1243" s="912">
        <f>GLOBAL_DER_FEV_2023!G1243</f>
        <v>0</v>
      </c>
      <c r="H1243" s="901">
        <f>GLOBAL_DER_FEV_2023!H1243</f>
        <v>279.77999999999997</v>
      </c>
      <c r="I1243" s="901">
        <f>GLOBAL_DER_FEV_2023!I1243</f>
        <v>279.77999999999997</v>
      </c>
      <c r="J1243" s="902">
        <f>GLOBAL_DER_FEV_2023!J1243</f>
        <v>335.93</v>
      </c>
      <c r="K1243" s="903" t="s">
        <v>1516</v>
      </c>
      <c r="L1243" s="1137"/>
      <c r="M1243" s="1138">
        <f t="shared" si="92"/>
        <v>0</v>
      </c>
      <c r="N1243" s="893">
        <f t="shared" si="91"/>
        <v>0</v>
      </c>
      <c r="O1243" s="905"/>
      <c r="Q1243" s="317" t="str">
        <f t="shared" ref="Q1243:Q1306" si="93">IF(P1243="X","x",IF(P1243="xx","x",IF(P1243="xy","x",IF(P1243="y","x",IF(OR(N1243&gt;0,N1243&gt;0),"x","")))))</f>
        <v/>
      </c>
      <c r="R1243" s="317" t="str">
        <f t="shared" si="89"/>
        <v/>
      </c>
      <c r="S1243" s="317" t="str">
        <f t="shared" si="90"/>
        <v/>
      </c>
      <c r="T1243" s="317" t="str">
        <f>GLOBAL_DER_FEV_2023!S1243</f>
        <v/>
      </c>
      <c r="W1243" s="582">
        <v>0</v>
      </c>
      <c r="X1243" s="580"/>
      <c r="Y1243" s="583">
        <f>IF(GLOBAL_DER_FEV_2023!W1243=0,0,IF(GLOBAL_DER_FEV_2023!W1243&gt;0,"c","b"))</f>
        <v>0</v>
      </c>
    </row>
    <row r="1244" spans="1:25" ht="23.25" hidden="1" thickBot="1" x14ac:dyDescent="0.25">
      <c r="A1244" s="317">
        <v>97888</v>
      </c>
      <c r="B1244" s="895">
        <v>97888</v>
      </c>
      <c r="C1244" s="896" t="s">
        <v>596</v>
      </c>
      <c r="D1244" s="906" t="s">
        <v>1174</v>
      </c>
      <c r="E1244" s="907">
        <f>GLOBAL_DER_FEV_2023!E1244</f>
        <v>0</v>
      </c>
      <c r="F1244" s="908">
        <f>GLOBAL_DER_FEV_2023!F1244</f>
        <v>0</v>
      </c>
      <c r="G1244" s="912">
        <f>GLOBAL_DER_FEV_2023!G1244</f>
        <v>0</v>
      </c>
      <c r="H1244" s="901">
        <f>GLOBAL_DER_FEV_2023!H1244</f>
        <v>539.29</v>
      </c>
      <c r="I1244" s="901">
        <f>GLOBAL_DER_FEV_2023!I1244</f>
        <v>539.29</v>
      </c>
      <c r="J1244" s="902">
        <f>GLOBAL_DER_FEV_2023!J1244</f>
        <v>647.53</v>
      </c>
      <c r="K1244" s="903" t="s">
        <v>1516</v>
      </c>
      <c r="L1244" s="1137"/>
      <c r="M1244" s="1138">
        <f t="shared" si="92"/>
        <v>0</v>
      </c>
      <c r="N1244" s="893">
        <f t="shared" si="91"/>
        <v>0</v>
      </c>
      <c r="O1244" s="905"/>
      <c r="Q1244" s="317" t="str">
        <f t="shared" si="93"/>
        <v/>
      </c>
      <c r="R1244" s="317" t="str">
        <f t="shared" si="89"/>
        <v/>
      </c>
      <c r="S1244" s="317" t="str">
        <f t="shared" si="90"/>
        <v/>
      </c>
      <c r="T1244" s="317" t="str">
        <f>GLOBAL_DER_FEV_2023!S1244</f>
        <v/>
      </c>
      <c r="W1244" s="582">
        <v>0</v>
      </c>
      <c r="X1244" s="580"/>
      <c r="Y1244" s="583">
        <f>IF(GLOBAL_DER_FEV_2023!W1244=0,0,IF(GLOBAL_DER_FEV_2023!W1244&gt;0,"c","b"))</f>
        <v>0</v>
      </c>
    </row>
    <row r="1245" spans="1:25" ht="23.25" hidden="1" thickBot="1" x14ac:dyDescent="0.25">
      <c r="A1245" s="317">
        <v>97889</v>
      </c>
      <c r="B1245" s="895">
        <v>97889</v>
      </c>
      <c r="C1245" s="896" t="s">
        <v>596</v>
      </c>
      <c r="D1245" s="906" t="s">
        <v>1175</v>
      </c>
      <c r="E1245" s="907">
        <f>GLOBAL_DER_FEV_2023!E1245</f>
        <v>0</v>
      </c>
      <c r="F1245" s="908">
        <f>GLOBAL_DER_FEV_2023!F1245</f>
        <v>0</v>
      </c>
      <c r="G1245" s="912">
        <f>GLOBAL_DER_FEV_2023!G1245</f>
        <v>0</v>
      </c>
      <c r="H1245" s="901">
        <f>GLOBAL_DER_FEV_2023!H1245</f>
        <v>730.16</v>
      </c>
      <c r="I1245" s="901">
        <f>GLOBAL_DER_FEV_2023!I1245</f>
        <v>730.16</v>
      </c>
      <c r="J1245" s="902">
        <f>GLOBAL_DER_FEV_2023!J1245</f>
        <v>876.7</v>
      </c>
      <c r="K1245" s="903" t="s">
        <v>1516</v>
      </c>
      <c r="L1245" s="1137"/>
      <c r="M1245" s="1138">
        <f t="shared" si="92"/>
        <v>0</v>
      </c>
      <c r="N1245" s="893">
        <f t="shared" si="91"/>
        <v>0</v>
      </c>
      <c r="O1245" s="905"/>
      <c r="Q1245" s="317" t="str">
        <f t="shared" si="93"/>
        <v/>
      </c>
      <c r="R1245" s="317" t="str">
        <f t="shared" ref="R1245:R1308" si="94">IF(P1245="X","x",IF(P1245="y","x",IF(P1245="xx","x",IF(N1245&gt;0,"x",""))))</f>
        <v/>
      </c>
      <c r="S1245" s="317" t="str">
        <f t="shared" ref="S1245:S1308" si="95">IF(P1245="X","x",IF(N1245&gt;0,"x",""))</f>
        <v/>
      </c>
      <c r="T1245" s="317" t="str">
        <f>GLOBAL_DER_FEV_2023!S1245</f>
        <v/>
      </c>
      <c r="W1245" s="582">
        <v>0</v>
      </c>
      <c r="X1245" s="580"/>
      <c r="Y1245" s="583">
        <f>IF(GLOBAL_DER_FEV_2023!W1245=0,0,IF(GLOBAL_DER_FEV_2023!W1245&gt;0,"c","b"))</f>
        <v>0</v>
      </c>
    </row>
    <row r="1246" spans="1:25" ht="23.25" hidden="1" thickBot="1" x14ac:dyDescent="0.25">
      <c r="A1246" s="317">
        <v>97890</v>
      </c>
      <c r="B1246" s="895">
        <v>97890</v>
      </c>
      <c r="C1246" s="896" t="s">
        <v>596</v>
      </c>
      <c r="D1246" s="906" t="s">
        <v>1176</v>
      </c>
      <c r="E1246" s="907">
        <f>GLOBAL_DER_FEV_2023!E1246</f>
        <v>0</v>
      </c>
      <c r="F1246" s="908">
        <f>GLOBAL_DER_FEV_2023!F1246</f>
        <v>0</v>
      </c>
      <c r="G1246" s="912">
        <f>GLOBAL_DER_FEV_2023!G1246</f>
        <v>0</v>
      </c>
      <c r="H1246" s="901">
        <f>GLOBAL_DER_FEV_2023!H1246</f>
        <v>822.62</v>
      </c>
      <c r="I1246" s="901">
        <f>GLOBAL_DER_FEV_2023!I1246</f>
        <v>822.62</v>
      </c>
      <c r="J1246" s="902">
        <f>GLOBAL_DER_FEV_2023!J1246</f>
        <v>987.72</v>
      </c>
      <c r="K1246" s="903" t="s">
        <v>1516</v>
      </c>
      <c r="L1246" s="1137"/>
      <c r="M1246" s="1138">
        <f t="shared" si="92"/>
        <v>0</v>
      </c>
      <c r="N1246" s="893">
        <f t="shared" si="91"/>
        <v>0</v>
      </c>
      <c r="O1246" s="905"/>
      <c r="Q1246" s="317" t="str">
        <f t="shared" si="93"/>
        <v/>
      </c>
      <c r="R1246" s="317" t="str">
        <f t="shared" si="94"/>
        <v/>
      </c>
      <c r="S1246" s="317" t="str">
        <f t="shared" si="95"/>
        <v/>
      </c>
      <c r="T1246" s="317" t="str">
        <f>GLOBAL_DER_FEV_2023!S1246</f>
        <v/>
      </c>
      <c r="W1246" s="582">
        <v>0</v>
      </c>
      <c r="X1246" s="580"/>
      <c r="Y1246" s="583">
        <f>IF(GLOBAL_DER_FEV_2023!W1246=0,0,IF(GLOBAL_DER_FEV_2023!W1246&gt;0,"c","b"))</f>
        <v>0</v>
      </c>
    </row>
    <row r="1247" spans="1:25" ht="23.25" hidden="1" thickBot="1" x14ac:dyDescent="0.25">
      <c r="A1247" s="317">
        <v>97933</v>
      </c>
      <c r="B1247" s="895">
        <v>97933</v>
      </c>
      <c r="C1247" s="896" t="s">
        <v>596</v>
      </c>
      <c r="D1247" s="906" t="s">
        <v>1177</v>
      </c>
      <c r="E1247" s="907">
        <f>GLOBAL_DER_FEV_2023!E1247</f>
        <v>0</v>
      </c>
      <c r="F1247" s="908">
        <f>GLOBAL_DER_FEV_2023!F1247</f>
        <v>0</v>
      </c>
      <c r="G1247" s="912">
        <f>GLOBAL_DER_FEV_2023!G1247</f>
        <v>0</v>
      </c>
      <c r="H1247" s="901">
        <f>GLOBAL_DER_FEV_2023!H1247</f>
        <v>779.23</v>
      </c>
      <c r="I1247" s="901">
        <f>GLOBAL_DER_FEV_2023!I1247</f>
        <v>779.23</v>
      </c>
      <c r="J1247" s="902">
        <f>GLOBAL_DER_FEV_2023!J1247</f>
        <v>935.62</v>
      </c>
      <c r="K1247" s="903" t="s">
        <v>1516</v>
      </c>
      <c r="L1247" s="1137"/>
      <c r="M1247" s="1138">
        <f t="shared" si="92"/>
        <v>0</v>
      </c>
      <c r="N1247" s="893">
        <f t="shared" si="91"/>
        <v>0</v>
      </c>
      <c r="O1247" s="905"/>
      <c r="Q1247" s="317" t="str">
        <f t="shared" si="93"/>
        <v/>
      </c>
      <c r="R1247" s="317" t="str">
        <f t="shared" si="94"/>
        <v/>
      </c>
      <c r="S1247" s="317" t="str">
        <f t="shared" si="95"/>
        <v/>
      </c>
      <c r="T1247" s="317" t="str">
        <f>GLOBAL_DER_FEV_2023!S1247</f>
        <v/>
      </c>
      <c r="W1247" s="582">
        <v>0</v>
      </c>
      <c r="X1247" s="580"/>
      <c r="Y1247" s="583">
        <f>IF(GLOBAL_DER_FEV_2023!W1247=0,0,IF(GLOBAL_DER_FEV_2023!W1247&gt;0,"c","b"))</f>
        <v>0</v>
      </c>
    </row>
    <row r="1248" spans="1:25" ht="23.25" hidden="1" thickBot="1" x14ac:dyDescent="0.25">
      <c r="A1248" s="317">
        <v>97947</v>
      </c>
      <c r="B1248" s="895">
        <v>97947</v>
      </c>
      <c r="C1248" s="896" t="s">
        <v>596</v>
      </c>
      <c r="D1248" s="906" t="s">
        <v>1178</v>
      </c>
      <c r="E1248" s="907">
        <f>GLOBAL_DER_FEV_2023!E1248</f>
        <v>0</v>
      </c>
      <c r="F1248" s="908">
        <f>GLOBAL_DER_FEV_2023!F1248</f>
        <v>0</v>
      </c>
      <c r="G1248" s="912">
        <f>GLOBAL_DER_FEV_2023!G1248</f>
        <v>0</v>
      </c>
      <c r="H1248" s="901">
        <f>GLOBAL_DER_FEV_2023!H1248</f>
        <v>1737.19</v>
      </c>
      <c r="I1248" s="901">
        <f>GLOBAL_DER_FEV_2023!I1248</f>
        <v>1737.19</v>
      </c>
      <c r="J1248" s="902">
        <f>GLOBAL_DER_FEV_2023!J1248</f>
        <v>2085.84</v>
      </c>
      <c r="K1248" s="903" t="s">
        <v>1516</v>
      </c>
      <c r="L1248" s="1137"/>
      <c r="M1248" s="1138">
        <f t="shared" si="92"/>
        <v>0</v>
      </c>
      <c r="N1248" s="893">
        <f t="shared" si="91"/>
        <v>0</v>
      </c>
      <c r="O1248" s="905"/>
      <c r="Q1248" s="317" t="str">
        <f t="shared" si="93"/>
        <v/>
      </c>
      <c r="R1248" s="317" t="str">
        <f t="shared" si="94"/>
        <v/>
      </c>
      <c r="S1248" s="317" t="str">
        <f t="shared" si="95"/>
        <v/>
      </c>
      <c r="T1248" s="317" t="str">
        <f>GLOBAL_DER_FEV_2023!S1248</f>
        <v/>
      </c>
      <c r="W1248" s="582">
        <v>0</v>
      </c>
      <c r="X1248" s="580"/>
      <c r="Y1248" s="583">
        <f>IF(GLOBAL_DER_FEV_2023!W1248=0,0,IF(GLOBAL_DER_FEV_2023!W1248&gt;0,"c","b"))</f>
        <v>0</v>
      </c>
    </row>
    <row r="1249" spans="1:25" ht="23.25" hidden="1" thickBot="1" x14ac:dyDescent="0.25">
      <c r="A1249" s="317">
        <v>97948</v>
      </c>
      <c r="B1249" s="895">
        <v>97948</v>
      </c>
      <c r="C1249" s="896" t="s">
        <v>596</v>
      </c>
      <c r="D1249" s="906" t="s">
        <v>1179</v>
      </c>
      <c r="E1249" s="907">
        <f>GLOBAL_DER_FEV_2023!E1249</f>
        <v>0</v>
      </c>
      <c r="F1249" s="908">
        <f>GLOBAL_DER_FEV_2023!F1249</f>
        <v>0</v>
      </c>
      <c r="G1249" s="912">
        <f>GLOBAL_DER_FEV_2023!G1249</f>
        <v>0</v>
      </c>
      <c r="H1249" s="901">
        <f>GLOBAL_DER_FEV_2023!H1249</f>
        <v>3167.41</v>
      </c>
      <c r="I1249" s="901">
        <f>GLOBAL_DER_FEV_2023!I1249</f>
        <v>3167.41</v>
      </c>
      <c r="J1249" s="902">
        <f>GLOBAL_DER_FEV_2023!J1249</f>
        <v>3803.11</v>
      </c>
      <c r="K1249" s="903" t="s">
        <v>1516</v>
      </c>
      <c r="L1249" s="1137"/>
      <c r="M1249" s="1138">
        <f t="shared" si="92"/>
        <v>0</v>
      </c>
      <c r="N1249" s="893">
        <f t="shared" ref="N1249:N1312" si="96">IF(ISBLANK(L1249),0,IF(W1249=0,ROUND(L1249*M1249,2),IF(W1249="b",ROUNDDOWN(L1249*M1249,2),ROUNDUP(L1249*M1249,2))))</f>
        <v>0</v>
      </c>
      <c r="O1249" s="905"/>
      <c r="Q1249" s="317" t="str">
        <f t="shared" si="93"/>
        <v/>
      </c>
      <c r="R1249" s="317" t="str">
        <f t="shared" si="94"/>
        <v/>
      </c>
      <c r="S1249" s="317" t="str">
        <f t="shared" si="95"/>
        <v/>
      </c>
      <c r="T1249" s="317" t="str">
        <f>GLOBAL_DER_FEV_2023!S1249</f>
        <v/>
      </c>
      <c r="W1249" s="582">
        <v>0</v>
      </c>
      <c r="X1249" s="580"/>
      <c r="Y1249" s="583">
        <f>IF(GLOBAL_DER_FEV_2023!W1249=0,0,IF(GLOBAL_DER_FEV_2023!W1249&gt;0,"c","b"))</f>
        <v>0</v>
      </c>
    </row>
    <row r="1250" spans="1:25" ht="23.25" hidden="1" thickBot="1" x14ac:dyDescent="0.25">
      <c r="A1250" s="317">
        <v>97953</v>
      </c>
      <c r="B1250" s="895">
        <v>97953</v>
      </c>
      <c r="C1250" s="896" t="s">
        <v>596</v>
      </c>
      <c r="D1250" s="906" t="s">
        <v>1180</v>
      </c>
      <c r="E1250" s="907">
        <f>GLOBAL_DER_FEV_2023!E1250</f>
        <v>0</v>
      </c>
      <c r="F1250" s="908">
        <f>GLOBAL_DER_FEV_2023!F1250</f>
        <v>0</v>
      </c>
      <c r="G1250" s="912">
        <f>GLOBAL_DER_FEV_2023!G1250</f>
        <v>0</v>
      </c>
      <c r="H1250" s="901">
        <f>GLOBAL_DER_FEV_2023!H1250</f>
        <v>1225.21</v>
      </c>
      <c r="I1250" s="901">
        <f>GLOBAL_DER_FEV_2023!I1250</f>
        <v>1225.21</v>
      </c>
      <c r="J1250" s="902">
        <f>GLOBAL_DER_FEV_2023!J1250</f>
        <v>1471.11</v>
      </c>
      <c r="K1250" s="903" t="s">
        <v>1516</v>
      </c>
      <c r="L1250" s="1137"/>
      <c r="M1250" s="1138">
        <f t="shared" si="92"/>
        <v>0</v>
      </c>
      <c r="N1250" s="893">
        <f t="shared" si="96"/>
        <v>0</v>
      </c>
      <c r="O1250" s="905"/>
      <c r="Q1250" s="317" t="str">
        <f t="shared" si="93"/>
        <v/>
      </c>
      <c r="R1250" s="317" t="str">
        <f t="shared" si="94"/>
        <v/>
      </c>
      <c r="S1250" s="317" t="str">
        <f t="shared" si="95"/>
        <v/>
      </c>
      <c r="T1250" s="317" t="str">
        <f>GLOBAL_DER_FEV_2023!S1250</f>
        <v/>
      </c>
      <c r="W1250" s="582">
        <v>0</v>
      </c>
      <c r="X1250" s="580"/>
      <c r="Y1250" s="583">
        <f>IF(GLOBAL_DER_FEV_2023!W1250=0,0,IF(GLOBAL_DER_FEV_2023!W1250&gt;0,"c","b"))</f>
        <v>0</v>
      </c>
    </row>
    <row r="1251" spans="1:25" ht="23.25" hidden="1" thickBot="1" x14ac:dyDescent="0.25">
      <c r="A1251" s="317">
        <v>97955</v>
      </c>
      <c r="B1251" s="895">
        <v>97955</v>
      </c>
      <c r="C1251" s="896" t="s">
        <v>596</v>
      </c>
      <c r="D1251" s="906" t="s">
        <v>1181</v>
      </c>
      <c r="E1251" s="907">
        <f>GLOBAL_DER_FEV_2023!E1251</f>
        <v>0</v>
      </c>
      <c r="F1251" s="908">
        <f>GLOBAL_DER_FEV_2023!F1251</f>
        <v>0</v>
      </c>
      <c r="G1251" s="912">
        <f>GLOBAL_DER_FEV_2023!G1251</f>
        <v>0</v>
      </c>
      <c r="H1251" s="901">
        <f>GLOBAL_DER_FEV_2023!H1251</f>
        <v>2655.52</v>
      </c>
      <c r="I1251" s="901">
        <f>GLOBAL_DER_FEV_2023!I1251</f>
        <v>2655.52</v>
      </c>
      <c r="J1251" s="902">
        <f>GLOBAL_DER_FEV_2023!J1251</f>
        <v>3188.48</v>
      </c>
      <c r="K1251" s="903" t="s">
        <v>1516</v>
      </c>
      <c r="L1251" s="1137"/>
      <c r="M1251" s="1138">
        <f t="shared" si="92"/>
        <v>0</v>
      </c>
      <c r="N1251" s="893">
        <f t="shared" si="96"/>
        <v>0</v>
      </c>
      <c r="O1251" s="905"/>
      <c r="Q1251" s="317" t="str">
        <f t="shared" si="93"/>
        <v/>
      </c>
      <c r="R1251" s="317" t="str">
        <f t="shared" si="94"/>
        <v/>
      </c>
      <c r="S1251" s="317" t="str">
        <f t="shared" si="95"/>
        <v/>
      </c>
      <c r="T1251" s="317" t="str">
        <f>GLOBAL_DER_FEV_2023!S1251</f>
        <v/>
      </c>
      <c r="W1251" s="582">
        <v>0</v>
      </c>
      <c r="X1251" s="580"/>
      <c r="Y1251" s="583">
        <f>IF(GLOBAL_DER_FEV_2023!W1251=0,0,IF(GLOBAL_DER_FEV_2023!W1251&gt;0,"c","b"))</f>
        <v>0</v>
      </c>
    </row>
    <row r="1252" spans="1:25" ht="23.25" hidden="1" thickBot="1" x14ac:dyDescent="0.25">
      <c r="A1252" s="317">
        <v>97891</v>
      </c>
      <c r="B1252" s="895">
        <v>97891</v>
      </c>
      <c r="C1252" s="896" t="s">
        <v>596</v>
      </c>
      <c r="D1252" s="906" t="s">
        <v>1182</v>
      </c>
      <c r="E1252" s="907">
        <f>GLOBAL_DER_FEV_2023!E1252</f>
        <v>0</v>
      </c>
      <c r="F1252" s="908">
        <f>GLOBAL_DER_FEV_2023!F1252</f>
        <v>0</v>
      </c>
      <c r="G1252" s="912">
        <f>GLOBAL_DER_FEV_2023!G1252</f>
        <v>0</v>
      </c>
      <c r="H1252" s="901">
        <f>GLOBAL_DER_FEV_2023!H1252</f>
        <v>208.61</v>
      </c>
      <c r="I1252" s="901">
        <f>GLOBAL_DER_FEV_2023!I1252</f>
        <v>208.61</v>
      </c>
      <c r="J1252" s="902">
        <f>GLOBAL_DER_FEV_2023!J1252</f>
        <v>250.48</v>
      </c>
      <c r="K1252" s="903" t="s">
        <v>1516</v>
      </c>
      <c r="L1252" s="1137"/>
      <c r="M1252" s="1138">
        <f t="shared" si="92"/>
        <v>0</v>
      </c>
      <c r="N1252" s="893">
        <f t="shared" si="96"/>
        <v>0</v>
      </c>
      <c r="O1252" s="905"/>
      <c r="Q1252" s="317" t="str">
        <f t="shared" si="93"/>
        <v/>
      </c>
      <c r="R1252" s="317" t="str">
        <f t="shared" si="94"/>
        <v/>
      </c>
      <c r="S1252" s="317" t="str">
        <f t="shared" si="95"/>
        <v/>
      </c>
      <c r="T1252" s="317" t="str">
        <f>GLOBAL_DER_FEV_2023!S1252</f>
        <v/>
      </c>
      <c r="W1252" s="582">
        <v>0</v>
      </c>
      <c r="X1252" s="580"/>
      <c r="Y1252" s="583">
        <f>IF(GLOBAL_DER_FEV_2023!W1252=0,0,IF(GLOBAL_DER_FEV_2023!W1252&gt;0,"c","b"))</f>
        <v>0</v>
      </c>
    </row>
    <row r="1253" spans="1:25" ht="23.25" hidden="1" thickBot="1" x14ac:dyDescent="0.25">
      <c r="A1253" s="317">
        <v>97892</v>
      </c>
      <c r="B1253" s="895">
        <v>97892</v>
      </c>
      <c r="C1253" s="896" t="s">
        <v>596</v>
      </c>
      <c r="D1253" s="906" t="s">
        <v>1183</v>
      </c>
      <c r="E1253" s="907">
        <f>GLOBAL_DER_FEV_2023!E1253</f>
        <v>0</v>
      </c>
      <c r="F1253" s="908">
        <f>GLOBAL_DER_FEV_2023!F1253</f>
        <v>0</v>
      </c>
      <c r="G1253" s="912">
        <f>GLOBAL_DER_FEV_2023!G1253</f>
        <v>0</v>
      </c>
      <c r="H1253" s="901">
        <f>GLOBAL_DER_FEV_2023!H1253</f>
        <v>388.86</v>
      </c>
      <c r="I1253" s="901">
        <f>GLOBAL_DER_FEV_2023!I1253</f>
        <v>388.86</v>
      </c>
      <c r="J1253" s="902">
        <f>GLOBAL_DER_FEV_2023!J1253</f>
        <v>466.9</v>
      </c>
      <c r="K1253" s="903" t="s">
        <v>1516</v>
      </c>
      <c r="L1253" s="1137"/>
      <c r="M1253" s="1138">
        <f t="shared" si="92"/>
        <v>0</v>
      </c>
      <c r="N1253" s="893">
        <f t="shared" si="96"/>
        <v>0</v>
      </c>
      <c r="O1253" s="905"/>
      <c r="Q1253" s="317" t="str">
        <f t="shared" si="93"/>
        <v/>
      </c>
      <c r="R1253" s="317" t="str">
        <f t="shared" si="94"/>
        <v/>
      </c>
      <c r="S1253" s="317" t="str">
        <f t="shared" si="95"/>
        <v/>
      </c>
      <c r="T1253" s="317" t="str">
        <f>GLOBAL_DER_FEV_2023!S1253</f>
        <v/>
      </c>
      <c r="W1253" s="582">
        <v>0</v>
      </c>
      <c r="X1253" s="580"/>
      <c r="Y1253" s="583">
        <f>IF(GLOBAL_DER_FEV_2023!W1253=0,0,IF(GLOBAL_DER_FEV_2023!W1253&gt;0,"c","b"))</f>
        <v>0</v>
      </c>
    </row>
    <row r="1254" spans="1:25" ht="23.25" hidden="1" thickBot="1" x14ac:dyDescent="0.25">
      <c r="A1254" s="317">
        <v>97893</v>
      </c>
      <c r="B1254" s="895">
        <v>97893</v>
      </c>
      <c r="C1254" s="896" t="s">
        <v>596</v>
      </c>
      <c r="D1254" s="906" t="s">
        <v>1184</v>
      </c>
      <c r="E1254" s="907">
        <f>GLOBAL_DER_FEV_2023!E1254</f>
        <v>0</v>
      </c>
      <c r="F1254" s="908">
        <f>GLOBAL_DER_FEV_2023!F1254</f>
        <v>0</v>
      </c>
      <c r="G1254" s="912">
        <f>GLOBAL_DER_FEV_2023!G1254</f>
        <v>0</v>
      </c>
      <c r="H1254" s="901">
        <f>GLOBAL_DER_FEV_2023!H1254</f>
        <v>538.29</v>
      </c>
      <c r="I1254" s="901">
        <f>GLOBAL_DER_FEV_2023!I1254</f>
        <v>538.29</v>
      </c>
      <c r="J1254" s="902">
        <f>GLOBAL_DER_FEV_2023!J1254</f>
        <v>646.32000000000005</v>
      </c>
      <c r="K1254" s="903" t="s">
        <v>1516</v>
      </c>
      <c r="L1254" s="1137"/>
      <c r="M1254" s="1138">
        <f t="shared" si="92"/>
        <v>0</v>
      </c>
      <c r="N1254" s="893">
        <f t="shared" si="96"/>
        <v>0</v>
      </c>
      <c r="O1254" s="905"/>
      <c r="Q1254" s="317" t="str">
        <f t="shared" si="93"/>
        <v/>
      </c>
      <c r="R1254" s="317" t="str">
        <f t="shared" si="94"/>
        <v/>
      </c>
      <c r="S1254" s="317" t="str">
        <f t="shared" si="95"/>
        <v/>
      </c>
      <c r="T1254" s="317" t="str">
        <f>GLOBAL_DER_FEV_2023!S1254</f>
        <v/>
      </c>
      <c r="W1254" s="582">
        <v>0</v>
      </c>
      <c r="X1254" s="580"/>
      <c r="Y1254" s="583">
        <f>IF(GLOBAL_DER_FEV_2023!W1254=0,0,IF(GLOBAL_DER_FEV_2023!W1254&gt;0,"c","b"))</f>
        <v>0</v>
      </c>
    </row>
    <row r="1255" spans="1:25" ht="23.25" hidden="1" thickBot="1" x14ac:dyDescent="0.25">
      <c r="A1255" s="317">
        <v>97894</v>
      </c>
      <c r="B1255" s="895">
        <v>97894</v>
      </c>
      <c r="C1255" s="896" t="s">
        <v>596</v>
      </c>
      <c r="D1255" s="906" t="s">
        <v>1185</v>
      </c>
      <c r="E1255" s="907">
        <f>GLOBAL_DER_FEV_2023!E1255</f>
        <v>0</v>
      </c>
      <c r="F1255" s="908">
        <f>GLOBAL_DER_FEV_2023!F1255</f>
        <v>0</v>
      </c>
      <c r="G1255" s="912">
        <f>GLOBAL_DER_FEV_2023!G1255</f>
        <v>0</v>
      </c>
      <c r="H1255" s="901">
        <f>GLOBAL_DER_FEV_2023!H1255</f>
        <v>590.13</v>
      </c>
      <c r="I1255" s="901">
        <f>GLOBAL_DER_FEV_2023!I1255</f>
        <v>590.13</v>
      </c>
      <c r="J1255" s="902">
        <f>GLOBAL_DER_FEV_2023!J1255</f>
        <v>708.57</v>
      </c>
      <c r="K1255" s="903" t="s">
        <v>1516</v>
      </c>
      <c r="L1255" s="1137"/>
      <c r="M1255" s="1138">
        <f t="shared" si="92"/>
        <v>0</v>
      </c>
      <c r="N1255" s="893">
        <f t="shared" si="96"/>
        <v>0</v>
      </c>
      <c r="O1255" s="905"/>
      <c r="Q1255" s="317" t="str">
        <f t="shared" si="93"/>
        <v/>
      </c>
      <c r="R1255" s="317" t="str">
        <f t="shared" si="94"/>
        <v/>
      </c>
      <c r="S1255" s="317" t="str">
        <f t="shared" si="95"/>
        <v/>
      </c>
      <c r="T1255" s="317" t="str">
        <f>GLOBAL_DER_FEV_2023!S1255</f>
        <v/>
      </c>
      <c r="W1255" s="582">
        <v>0</v>
      </c>
      <c r="X1255" s="580"/>
      <c r="Y1255" s="583">
        <f>IF(GLOBAL_DER_FEV_2023!W1255=0,0,IF(GLOBAL_DER_FEV_2023!W1255&gt;0,"c","b"))</f>
        <v>0</v>
      </c>
    </row>
    <row r="1256" spans="1:25" ht="23.25" hidden="1" thickBot="1" x14ac:dyDescent="0.25">
      <c r="A1256" s="317">
        <v>97881</v>
      </c>
      <c r="B1256" s="895">
        <v>97881</v>
      </c>
      <c r="C1256" s="896" t="s">
        <v>596</v>
      </c>
      <c r="D1256" s="906" t="s">
        <v>1186</v>
      </c>
      <c r="E1256" s="907">
        <f>GLOBAL_DER_FEV_2023!E1256</f>
        <v>0</v>
      </c>
      <c r="F1256" s="908">
        <f>GLOBAL_DER_FEV_2023!F1256</f>
        <v>0</v>
      </c>
      <c r="G1256" s="912">
        <f>GLOBAL_DER_FEV_2023!G1256</f>
        <v>0</v>
      </c>
      <c r="H1256" s="901">
        <f>GLOBAL_DER_FEV_2023!H1256</f>
        <v>108.09</v>
      </c>
      <c r="I1256" s="901">
        <f>GLOBAL_DER_FEV_2023!I1256</f>
        <v>108.09</v>
      </c>
      <c r="J1256" s="902">
        <f>GLOBAL_DER_FEV_2023!J1256</f>
        <v>129.78</v>
      </c>
      <c r="K1256" s="903" t="s">
        <v>1516</v>
      </c>
      <c r="L1256" s="1137"/>
      <c r="M1256" s="1138">
        <f t="shared" si="92"/>
        <v>0</v>
      </c>
      <c r="N1256" s="893">
        <f t="shared" si="96"/>
        <v>0</v>
      </c>
      <c r="O1256" s="905"/>
      <c r="Q1256" s="317" t="str">
        <f t="shared" si="93"/>
        <v/>
      </c>
      <c r="R1256" s="317" t="str">
        <f t="shared" si="94"/>
        <v/>
      </c>
      <c r="S1256" s="317" t="str">
        <f t="shared" si="95"/>
        <v/>
      </c>
      <c r="T1256" s="317" t="str">
        <f>GLOBAL_DER_FEV_2023!S1256</f>
        <v/>
      </c>
      <c r="W1256" s="582">
        <v>0</v>
      </c>
      <c r="X1256" s="580"/>
      <c r="Y1256" s="583">
        <f>IF(GLOBAL_DER_FEV_2023!W1256=0,0,IF(GLOBAL_DER_FEV_2023!W1256&gt;0,"c","b"))</f>
        <v>0</v>
      </c>
    </row>
    <row r="1257" spans="1:25" ht="23.25" hidden="1" thickBot="1" x14ac:dyDescent="0.25">
      <c r="A1257" s="317">
        <v>97882</v>
      </c>
      <c r="B1257" s="895">
        <v>97882</v>
      </c>
      <c r="C1257" s="896" t="s">
        <v>596</v>
      </c>
      <c r="D1257" s="906" t="s">
        <v>1187</v>
      </c>
      <c r="E1257" s="907">
        <f>GLOBAL_DER_FEV_2023!E1257</f>
        <v>0</v>
      </c>
      <c r="F1257" s="908">
        <f>GLOBAL_DER_FEV_2023!F1257</f>
        <v>0</v>
      </c>
      <c r="G1257" s="912">
        <f>GLOBAL_DER_FEV_2023!G1257</f>
        <v>0</v>
      </c>
      <c r="H1257" s="901">
        <f>GLOBAL_DER_FEV_2023!H1257</f>
        <v>168.28</v>
      </c>
      <c r="I1257" s="901">
        <f>GLOBAL_DER_FEV_2023!I1257</f>
        <v>168.28</v>
      </c>
      <c r="J1257" s="902">
        <f>GLOBAL_DER_FEV_2023!J1257</f>
        <v>202.05</v>
      </c>
      <c r="K1257" s="903" t="s">
        <v>1516</v>
      </c>
      <c r="L1257" s="1137"/>
      <c r="M1257" s="1138">
        <f t="shared" si="92"/>
        <v>0</v>
      </c>
      <c r="N1257" s="893">
        <f t="shared" si="96"/>
        <v>0</v>
      </c>
      <c r="O1257" s="905"/>
      <c r="Q1257" s="317" t="str">
        <f t="shared" si="93"/>
        <v/>
      </c>
      <c r="R1257" s="317" t="str">
        <f t="shared" si="94"/>
        <v/>
      </c>
      <c r="S1257" s="317" t="str">
        <f t="shared" si="95"/>
        <v/>
      </c>
      <c r="T1257" s="317" t="str">
        <f>GLOBAL_DER_FEV_2023!S1257</f>
        <v/>
      </c>
      <c r="W1257" s="582">
        <v>0</v>
      </c>
      <c r="X1257" s="580"/>
      <c r="Y1257" s="583">
        <f>IF(GLOBAL_DER_FEV_2023!W1257=0,0,IF(GLOBAL_DER_FEV_2023!W1257&gt;0,"c","b"))</f>
        <v>0</v>
      </c>
    </row>
    <row r="1258" spans="1:25" ht="23.25" hidden="1" thickBot="1" x14ac:dyDescent="0.25">
      <c r="A1258" s="317">
        <v>97883</v>
      </c>
      <c r="B1258" s="895">
        <v>97883</v>
      </c>
      <c r="C1258" s="896" t="s">
        <v>596</v>
      </c>
      <c r="D1258" s="906" t="s">
        <v>1188</v>
      </c>
      <c r="E1258" s="907">
        <f>GLOBAL_DER_FEV_2023!E1258</f>
        <v>0</v>
      </c>
      <c r="F1258" s="908">
        <f>GLOBAL_DER_FEV_2023!F1258</f>
        <v>0</v>
      </c>
      <c r="G1258" s="912">
        <f>GLOBAL_DER_FEV_2023!G1258</f>
        <v>0</v>
      </c>
      <c r="H1258" s="901">
        <f>GLOBAL_DER_FEV_2023!H1258</f>
        <v>324.05</v>
      </c>
      <c r="I1258" s="901">
        <f>GLOBAL_DER_FEV_2023!I1258</f>
        <v>324.05</v>
      </c>
      <c r="J1258" s="902">
        <f>GLOBAL_DER_FEV_2023!J1258</f>
        <v>389.09</v>
      </c>
      <c r="K1258" s="903" t="s">
        <v>1516</v>
      </c>
      <c r="L1258" s="1137"/>
      <c r="M1258" s="1138">
        <f t="shared" si="92"/>
        <v>0</v>
      </c>
      <c r="N1258" s="893">
        <f t="shared" si="96"/>
        <v>0</v>
      </c>
      <c r="O1258" s="905"/>
      <c r="Q1258" s="317" t="str">
        <f t="shared" si="93"/>
        <v/>
      </c>
      <c r="R1258" s="317" t="str">
        <f t="shared" si="94"/>
        <v/>
      </c>
      <c r="S1258" s="317" t="str">
        <f t="shared" si="95"/>
        <v/>
      </c>
      <c r="T1258" s="317" t="str">
        <f>GLOBAL_DER_FEV_2023!S1258</f>
        <v/>
      </c>
      <c r="W1258" s="582">
        <v>0</v>
      </c>
      <c r="X1258" s="580"/>
      <c r="Y1258" s="583">
        <f>IF(GLOBAL_DER_FEV_2023!W1258=0,0,IF(GLOBAL_DER_FEV_2023!W1258&gt;0,"c","b"))</f>
        <v>0</v>
      </c>
    </row>
    <row r="1259" spans="1:25" ht="23.25" hidden="1" thickBot="1" x14ac:dyDescent="0.25">
      <c r="A1259" s="317">
        <v>97884</v>
      </c>
      <c r="B1259" s="895">
        <v>97884</v>
      </c>
      <c r="C1259" s="896" t="s">
        <v>596</v>
      </c>
      <c r="D1259" s="906" t="s">
        <v>1189</v>
      </c>
      <c r="E1259" s="907">
        <f>GLOBAL_DER_FEV_2023!E1259</f>
        <v>0</v>
      </c>
      <c r="F1259" s="908">
        <f>GLOBAL_DER_FEV_2023!F1259</f>
        <v>0</v>
      </c>
      <c r="G1259" s="912">
        <f>GLOBAL_DER_FEV_2023!G1259</f>
        <v>0</v>
      </c>
      <c r="H1259" s="901">
        <f>GLOBAL_DER_FEV_2023!H1259</f>
        <v>625.80999999999995</v>
      </c>
      <c r="I1259" s="901">
        <f>GLOBAL_DER_FEV_2023!I1259</f>
        <v>625.80999999999995</v>
      </c>
      <c r="J1259" s="902">
        <f>GLOBAL_DER_FEV_2023!J1259</f>
        <v>751.41</v>
      </c>
      <c r="K1259" s="903" t="s">
        <v>1516</v>
      </c>
      <c r="L1259" s="1137"/>
      <c r="M1259" s="1138">
        <f t="shared" si="92"/>
        <v>0</v>
      </c>
      <c r="N1259" s="893">
        <f t="shared" si="96"/>
        <v>0</v>
      </c>
      <c r="O1259" s="905"/>
      <c r="Q1259" s="317" t="str">
        <f t="shared" si="93"/>
        <v/>
      </c>
      <c r="R1259" s="317" t="str">
        <f t="shared" si="94"/>
        <v/>
      </c>
      <c r="S1259" s="317" t="str">
        <f t="shared" si="95"/>
        <v/>
      </c>
      <c r="T1259" s="317" t="str">
        <f>GLOBAL_DER_FEV_2023!S1259</f>
        <v/>
      </c>
      <c r="W1259" s="582">
        <v>0</v>
      </c>
      <c r="X1259" s="580"/>
      <c r="Y1259" s="583">
        <f>IF(GLOBAL_DER_FEV_2023!W1259=0,0,IF(GLOBAL_DER_FEV_2023!W1259&gt;0,"c","b"))</f>
        <v>0</v>
      </c>
    </row>
    <row r="1260" spans="1:25" ht="23.25" hidden="1" thickBot="1" x14ac:dyDescent="0.25">
      <c r="A1260" s="317">
        <v>97885</v>
      </c>
      <c r="B1260" s="895">
        <v>97885</v>
      </c>
      <c r="C1260" s="896" t="s">
        <v>596</v>
      </c>
      <c r="D1260" s="906" t="s">
        <v>1190</v>
      </c>
      <c r="E1260" s="907">
        <f>GLOBAL_DER_FEV_2023!E1260</f>
        <v>0</v>
      </c>
      <c r="F1260" s="908">
        <f>GLOBAL_DER_FEV_2023!F1260</f>
        <v>0</v>
      </c>
      <c r="G1260" s="912">
        <f>GLOBAL_DER_FEV_2023!G1260</f>
        <v>0</v>
      </c>
      <c r="H1260" s="901">
        <f>GLOBAL_DER_FEV_2023!H1260</f>
        <v>954.37</v>
      </c>
      <c r="I1260" s="901">
        <f>GLOBAL_DER_FEV_2023!I1260</f>
        <v>954.37</v>
      </c>
      <c r="J1260" s="902">
        <f>GLOBAL_DER_FEV_2023!J1260</f>
        <v>1145.9100000000001</v>
      </c>
      <c r="K1260" s="903" t="s">
        <v>1516</v>
      </c>
      <c r="L1260" s="1137"/>
      <c r="M1260" s="1138">
        <f t="shared" si="92"/>
        <v>0</v>
      </c>
      <c r="N1260" s="893">
        <f t="shared" si="96"/>
        <v>0</v>
      </c>
      <c r="O1260" s="905"/>
      <c r="Q1260" s="317" t="str">
        <f t="shared" si="93"/>
        <v/>
      </c>
      <c r="R1260" s="317" t="str">
        <f t="shared" si="94"/>
        <v/>
      </c>
      <c r="S1260" s="317" t="str">
        <f t="shared" si="95"/>
        <v/>
      </c>
      <c r="T1260" s="317" t="str">
        <f>GLOBAL_DER_FEV_2023!S1260</f>
        <v/>
      </c>
      <c r="W1260" s="582">
        <v>0</v>
      </c>
      <c r="X1260" s="580"/>
      <c r="Y1260" s="583">
        <f>IF(GLOBAL_DER_FEV_2023!W1260=0,0,IF(GLOBAL_DER_FEV_2023!W1260&gt;0,"c","b"))</f>
        <v>0</v>
      </c>
    </row>
    <row r="1261" spans="1:25" ht="23.25" hidden="1" thickBot="1" x14ac:dyDescent="0.25">
      <c r="A1261" s="317">
        <v>91945</v>
      </c>
      <c r="B1261" s="895">
        <v>91945</v>
      </c>
      <c r="C1261" s="896" t="s">
        <v>596</v>
      </c>
      <c r="D1261" s="906" t="s">
        <v>1191</v>
      </c>
      <c r="E1261" s="907">
        <f>GLOBAL_DER_FEV_2023!E1261</f>
        <v>0</v>
      </c>
      <c r="F1261" s="908">
        <f>GLOBAL_DER_FEV_2023!F1261</f>
        <v>0</v>
      </c>
      <c r="G1261" s="912">
        <f>GLOBAL_DER_FEV_2023!G1261</f>
        <v>0</v>
      </c>
      <c r="H1261" s="901">
        <f>GLOBAL_DER_FEV_2023!H1261</f>
        <v>11.14</v>
      </c>
      <c r="I1261" s="901">
        <f>GLOBAL_DER_FEV_2023!I1261</f>
        <v>11.14</v>
      </c>
      <c r="J1261" s="902">
        <f>GLOBAL_DER_FEV_2023!J1261</f>
        <v>13.38</v>
      </c>
      <c r="K1261" s="903" t="s">
        <v>1516</v>
      </c>
      <c r="L1261" s="1137"/>
      <c r="M1261" s="1138">
        <f t="shared" si="92"/>
        <v>0</v>
      </c>
      <c r="N1261" s="893">
        <f t="shared" si="96"/>
        <v>0</v>
      </c>
      <c r="O1261" s="905"/>
      <c r="Q1261" s="317" t="str">
        <f t="shared" si="93"/>
        <v/>
      </c>
      <c r="R1261" s="317" t="str">
        <f t="shared" si="94"/>
        <v/>
      </c>
      <c r="S1261" s="317" t="str">
        <f t="shared" si="95"/>
        <v/>
      </c>
      <c r="T1261" s="317" t="str">
        <f>GLOBAL_DER_FEV_2023!S1261</f>
        <v/>
      </c>
      <c r="W1261" s="582">
        <v>0</v>
      </c>
      <c r="X1261" s="580"/>
      <c r="Y1261" s="583">
        <f>IF(GLOBAL_DER_FEV_2023!W1261=0,0,IF(GLOBAL_DER_FEV_2023!W1261&gt;0,"c","b"))</f>
        <v>0</v>
      </c>
    </row>
    <row r="1262" spans="1:25" ht="23.25" hidden="1" thickBot="1" x14ac:dyDescent="0.25">
      <c r="A1262" s="317">
        <v>91946</v>
      </c>
      <c r="B1262" s="895">
        <v>91946</v>
      </c>
      <c r="C1262" s="896" t="s">
        <v>596</v>
      </c>
      <c r="D1262" s="906" t="s">
        <v>1192</v>
      </c>
      <c r="E1262" s="907">
        <f>GLOBAL_DER_FEV_2023!E1262</f>
        <v>0</v>
      </c>
      <c r="F1262" s="908">
        <f>GLOBAL_DER_FEV_2023!F1262</f>
        <v>0</v>
      </c>
      <c r="G1262" s="912">
        <f>GLOBAL_DER_FEV_2023!G1262</f>
        <v>0</v>
      </c>
      <c r="H1262" s="901">
        <f>GLOBAL_DER_FEV_2023!H1262</f>
        <v>9.23</v>
      </c>
      <c r="I1262" s="901">
        <f>GLOBAL_DER_FEV_2023!I1262</f>
        <v>9.23</v>
      </c>
      <c r="J1262" s="902">
        <f>GLOBAL_DER_FEV_2023!J1262</f>
        <v>11.08</v>
      </c>
      <c r="K1262" s="903" t="s">
        <v>1516</v>
      </c>
      <c r="L1262" s="1137"/>
      <c r="M1262" s="1138">
        <f t="shared" si="92"/>
        <v>0</v>
      </c>
      <c r="N1262" s="893">
        <f t="shared" si="96"/>
        <v>0</v>
      </c>
      <c r="O1262" s="905"/>
      <c r="Q1262" s="317" t="str">
        <f t="shared" si="93"/>
        <v/>
      </c>
      <c r="R1262" s="317" t="str">
        <f t="shared" si="94"/>
        <v/>
      </c>
      <c r="S1262" s="317" t="str">
        <f t="shared" si="95"/>
        <v/>
      </c>
      <c r="T1262" s="317" t="str">
        <f>GLOBAL_DER_FEV_2023!S1262</f>
        <v/>
      </c>
      <c r="W1262" s="582">
        <v>0</v>
      </c>
      <c r="X1262" s="580"/>
      <c r="Y1262" s="583">
        <f>IF(GLOBAL_DER_FEV_2023!W1262=0,0,IF(GLOBAL_DER_FEV_2023!W1262&gt;0,"c","b"))</f>
        <v>0</v>
      </c>
    </row>
    <row r="1263" spans="1:25" ht="23.25" hidden="1" thickBot="1" x14ac:dyDescent="0.25">
      <c r="A1263" s="317">
        <v>91947</v>
      </c>
      <c r="B1263" s="895">
        <v>91947</v>
      </c>
      <c r="C1263" s="896" t="s">
        <v>596</v>
      </c>
      <c r="D1263" s="906" t="s">
        <v>1193</v>
      </c>
      <c r="E1263" s="907">
        <f>GLOBAL_DER_FEV_2023!E1263</f>
        <v>0</v>
      </c>
      <c r="F1263" s="908">
        <f>GLOBAL_DER_FEV_2023!F1263</f>
        <v>0</v>
      </c>
      <c r="G1263" s="912">
        <f>GLOBAL_DER_FEV_2023!G1263</f>
        <v>0</v>
      </c>
      <c r="H1263" s="901">
        <f>GLOBAL_DER_FEV_2023!H1263</f>
        <v>8.0399999999999991</v>
      </c>
      <c r="I1263" s="901">
        <f>GLOBAL_DER_FEV_2023!I1263</f>
        <v>8.0399999999999991</v>
      </c>
      <c r="J1263" s="902">
        <f>GLOBAL_DER_FEV_2023!J1263</f>
        <v>9.65</v>
      </c>
      <c r="K1263" s="903" t="s">
        <v>1516</v>
      </c>
      <c r="L1263" s="1137"/>
      <c r="M1263" s="1138">
        <f t="shared" si="92"/>
        <v>0</v>
      </c>
      <c r="N1263" s="893">
        <f t="shared" si="96"/>
        <v>0</v>
      </c>
      <c r="O1263" s="905"/>
      <c r="Q1263" s="317" t="str">
        <f t="shared" si="93"/>
        <v/>
      </c>
      <c r="R1263" s="317" t="str">
        <f t="shared" si="94"/>
        <v/>
      </c>
      <c r="S1263" s="317" t="str">
        <f t="shared" si="95"/>
        <v/>
      </c>
      <c r="T1263" s="317" t="str">
        <f>GLOBAL_DER_FEV_2023!S1263</f>
        <v/>
      </c>
      <c r="W1263" s="582">
        <v>0</v>
      </c>
      <c r="X1263" s="580"/>
      <c r="Y1263" s="583">
        <f>IF(GLOBAL_DER_FEV_2023!W1263=0,0,IF(GLOBAL_DER_FEV_2023!W1263&gt;0,"c","b"))</f>
        <v>0</v>
      </c>
    </row>
    <row r="1264" spans="1:25" ht="23.25" hidden="1" thickBot="1" x14ac:dyDescent="0.25">
      <c r="A1264" s="317">
        <v>91949</v>
      </c>
      <c r="B1264" s="895">
        <v>91949</v>
      </c>
      <c r="C1264" s="896" t="s">
        <v>596</v>
      </c>
      <c r="D1264" s="906" t="s">
        <v>1194</v>
      </c>
      <c r="E1264" s="907">
        <f>GLOBAL_DER_FEV_2023!E1264</f>
        <v>0</v>
      </c>
      <c r="F1264" s="908">
        <f>GLOBAL_DER_FEV_2023!F1264</f>
        <v>0</v>
      </c>
      <c r="G1264" s="912">
        <f>GLOBAL_DER_FEV_2023!G1264</f>
        <v>0</v>
      </c>
      <c r="H1264" s="901">
        <f>GLOBAL_DER_FEV_2023!H1264</f>
        <v>16.88</v>
      </c>
      <c r="I1264" s="901">
        <f>GLOBAL_DER_FEV_2023!I1264</f>
        <v>16.88</v>
      </c>
      <c r="J1264" s="902">
        <f>GLOBAL_DER_FEV_2023!J1264</f>
        <v>20.27</v>
      </c>
      <c r="K1264" s="903" t="s">
        <v>1516</v>
      </c>
      <c r="L1264" s="1137"/>
      <c r="M1264" s="1138">
        <f t="shared" si="92"/>
        <v>0</v>
      </c>
      <c r="N1264" s="893">
        <f t="shared" si="96"/>
        <v>0</v>
      </c>
      <c r="O1264" s="905"/>
      <c r="Q1264" s="317" t="str">
        <f t="shared" si="93"/>
        <v/>
      </c>
      <c r="R1264" s="317" t="str">
        <f t="shared" si="94"/>
        <v/>
      </c>
      <c r="S1264" s="317" t="str">
        <f t="shared" si="95"/>
        <v/>
      </c>
      <c r="T1264" s="317" t="str">
        <f>GLOBAL_DER_FEV_2023!S1264</f>
        <v/>
      </c>
      <c r="W1264" s="582">
        <v>0</v>
      </c>
      <c r="X1264" s="580"/>
      <c r="Y1264" s="583">
        <f>IF(GLOBAL_DER_FEV_2023!W1264=0,0,IF(GLOBAL_DER_FEV_2023!W1264&gt;0,"c","b"))</f>
        <v>0</v>
      </c>
    </row>
    <row r="1265" spans="1:25" ht="23.25" hidden="1" thickBot="1" x14ac:dyDescent="0.25">
      <c r="A1265" s="317">
        <v>91950</v>
      </c>
      <c r="B1265" s="895">
        <v>91950</v>
      </c>
      <c r="C1265" s="896" t="s">
        <v>596</v>
      </c>
      <c r="D1265" s="906" t="s">
        <v>1195</v>
      </c>
      <c r="E1265" s="907">
        <f>GLOBAL_DER_FEV_2023!E1265</f>
        <v>0</v>
      </c>
      <c r="F1265" s="908">
        <f>GLOBAL_DER_FEV_2023!F1265</f>
        <v>0</v>
      </c>
      <c r="G1265" s="912">
        <f>GLOBAL_DER_FEV_2023!G1265</f>
        <v>0</v>
      </c>
      <c r="H1265" s="901">
        <f>GLOBAL_DER_FEV_2023!H1265</f>
        <v>14.58</v>
      </c>
      <c r="I1265" s="901">
        <f>GLOBAL_DER_FEV_2023!I1265</f>
        <v>14.58</v>
      </c>
      <c r="J1265" s="902">
        <f>GLOBAL_DER_FEV_2023!J1265</f>
        <v>17.510000000000002</v>
      </c>
      <c r="K1265" s="903" t="s">
        <v>1516</v>
      </c>
      <c r="L1265" s="1137"/>
      <c r="M1265" s="1138">
        <f t="shared" si="92"/>
        <v>0</v>
      </c>
      <c r="N1265" s="893">
        <f t="shared" si="96"/>
        <v>0</v>
      </c>
      <c r="O1265" s="905"/>
      <c r="Q1265" s="317" t="str">
        <f t="shared" si="93"/>
        <v/>
      </c>
      <c r="R1265" s="317" t="str">
        <f t="shared" si="94"/>
        <v/>
      </c>
      <c r="S1265" s="317" t="str">
        <f t="shared" si="95"/>
        <v/>
      </c>
      <c r="T1265" s="317" t="str">
        <f>GLOBAL_DER_FEV_2023!S1265</f>
        <v/>
      </c>
      <c r="W1265" s="582">
        <v>0</v>
      </c>
      <c r="X1265" s="580"/>
      <c r="Y1265" s="583">
        <f>IF(GLOBAL_DER_FEV_2023!W1265=0,0,IF(GLOBAL_DER_FEV_2023!W1265&gt;0,"c","b"))</f>
        <v>0</v>
      </c>
    </row>
    <row r="1266" spans="1:25" ht="23.25" hidden="1" thickBot="1" x14ac:dyDescent="0.25">
      <c r="A1266" s="317">
        <v>91951</v>
      </c>
      <c r="B1266" s="895">
        <v>91951</v>
      </c>
      <c r="C1266" s="896" t="s">
        <v>596</v>
      </c>
      <c r="D1266" s="906" t="s">
        <v>1196</v>
      </c>
      <c r="E1266" s="907">
        <f>GLOBAL_DER_FEV_2023!E1266</f>
        <v>0</v>
      </c>
      <c r="F1266" s="908">
        <f>GLOBAL_DER_FEV_2023!F1266</f>
        <v>0</v>
      </c>
      <c r="G1266" s="912">
        <f>GLOBAL_DER_FEV_2023!G1266</f>
        <v>0</v>
      </c>
      <c r="H1266" s="901">
        <f>GLOBAL_DER_FEV_2023!H1266</f>
        <v>13.19</v>
      </c>
      <c r="I1266" s="901">
        <f>GLOBAL_DER_FEV_2023!I1266</f>
        <v>13.19</v>
      </c>
      <c r="J1266" s="902">
        <f>GLOBAL_DER_FEV_2023!J1266</f>
        <v>15.84</v>
      </c>
      <c r="K1266" s="903" t="s">
        <v>1516</v>
      </c>
      <c r="L1266" s="1137"/>
      <c r="M1266" s="1138">
        <f t="shared" si="92"/>
        <v>0</v>
      </c>
      <c r="N1266" s="893">
        <f t="shared" si="96"/>
        <v>0</v>
      </c>
      <c r="O1266" s="905"/>
      <c r="Q1266" s="317" t="str">
        <f t="shared" si="93"/>
        <v/>
      </c>
      <c r="R1266" s="317" t="str">
        <f t="shared" si="94"/>
        <v/>
      </c>
      <c r="S1266" s="317" t="str">
        <f t="shared" si="95"/>
        <v/>
      </c>
      <c r="T1266" s="317" t="str">
        <f>GLOBAL_DER_FEV_2023!S1266</f>
        <v/>
      </c>
      <c r="W1266" s="582">
        <v>0</v>
      </c>
      <c r="X1266" s="580"/>
      <c r="Y1266" s="583">
        <f>IF(GLOBAL_DER_FEV_2023!W1266=0,0,IF(GLOBAL_DER_FEV_2023!W1266&gt;0,"c","b"))</f>
        <v>0</v>
      </c>
    </row>
    <row r="1267" spans="1:25" ht="23.25" hidden="1" thickBot="1" x14ac:dyDescent="0.25">
      <c r="A1267" s="317">
        <v>101946</v>
      </c>
      <c r="B1267" s="895">
        <v>101946</v>
      </c>
      <c r="C1267" s="896" t="s">
        <v>596</v>
      </c>
      <c r="D1267" s="906" t="s">
        <v>1197</v>
      </c>
      <c r="E1267" s="907">
        <f>GLOBAL_DER_FEV_2023!E1267</f>
        <v>0</v>
      </c>
      <c r="F1267" s="908">
        <f>GLOBAL_DER_FEV_2023!F1267</f>
        <v>0</v>
      </c>
      <c r="G1267" s="912">
        <f>GLOBAL_DER_FEV_2023!G1267</f>
        <v>0</v>
      </c>
      <c r="H1267" s="901">
        <f>GLOBAL_DER_FEV_2023!H1267</f>
        <v>191.01</v>
      </c>
      <c r="I1267" s="901">
        <f>GLOBAL_DER_FEV_2023!I1267</f>
        <v>191.01</v>
      </c>
      <c r="J1267" s="902">
        <f>GLOBAL_DER_FEV_2023!J1267</f>
        <v>229.35</v>
      </c>
      <c r="K1267" s="903" t="s">
        <v>1516</v>
      </c>
      <c r="L1267" s="1137"/>
      <c r="M1267" s="1138">
        <f t="shared" si="92"/>
        <v>0</v>
      </c>
      <c r="N1267" s="893">
        <f t="shared" si="96"/>
        <v>0</v>
      </c>
      <c r="O1267" s="905"/>
      <c r="Q1267" s="317" t="str">
        <f t="shared" si="93"/>
        <v/>
      </c>
      <c r="R1267" s="317" t="str">
        <f t="shared" si="94"/>
        <v/>
      </c>
      <c r="S1267" s="317" t="str">
        <f t="shared" si="95"/>
        <v/>
      </c>
      <c r="T1267" s="317" t="str">
        <f>GLOBAL_DER_FEV_2023!S1267</f>
        <v/>
      </c>
      <c r="W1267" s="582">
        <v>0</v>
      </c>
      <c r="X1267" s="580"/>
      <c r="Y1267" s="583">
        <f>IF(GLOBAL_DER_FEV_2023!W1267=0,0,IF(GLOBAL_DER_FEV_2023!W1267&gt;0,"c","b"))</f>
        <v>0</v>
      </c>
    </row>
    <row r="1268" spans="1:25" ht="23.25" hidden="1" thickBot="1" x14ac:dyDescent="0.25">
      <c r="A1268" s="317">
        <v>97362</v>
      </c>
      <c r="B1268" s="895">
        <v>97362</v>
      </c>
      <c r="C1268" s="896" t="s">
        <v>596</v>
      </c>
      <c r="D1268" s="906" t="s">
        <v>1198</v>
      </c>
      <c r="E1268" s="907">
        <f>GLOBAL_DER_FEV_2023!E1268</f>
        <v>0</v>
      </c>
      <c r="F1268" s="908">
        <f>GLOBAL_DER_FEV_2023!F1268</f>
        <v>0</v>
      </c>
      <c r="G1268" s="912">
        <f>GLOBAL_DER_FEV_2023!G1268</f>
        <v>0</v>
      </c>
      <c r="H1268" s="901">
        <f>GLOBAL_DER_FEV_2023!H1268</f>
        <v>2474.29</v>
      </c>
      <c r="I1268" s="901">
        <f>GLOBAL_DER_FEV_2023!I1268</f>
        <v>2474.29</v>
      </c>
      <c r="J1268" s="902">
        <f>GLOBAL_DER_FEV_2023!J1268</f>
        <v>2970.88</v>
      </c>
      <c r="K1268" s="903" t="s">
        <v>1516</v>
      </c>
      <c r="L1268" s="1137"/>
      <c r="M1268" s="1138">
        <f t="shared" si="92"/>
        <v>0</v>
      </c>
      <c r="N1268" s="893">
        <f t="shared" si="96"/>
        <v>0</v>
      </c>
      <c r="O1268" s="905"/>
      <c r="Q1268" s="317" t="str">
        <f t="shared" si="93"/>
        <v/>
      </c>
      <c r="R1268" s="317" t="str">
        <f t="shared" si="94"/>
        <v/>
      </c>
      <c r="S1268" s="317" t="str">
        <f t="shared" si="95"/>
        <v/>
      </c>
      <c r="T1268" s="317" t="str">
        <f>GLOBAL_DER_FEV_2023!S1268</f>
        <v/>
      </c>
      <c r="W1268" s="582">
        <v>0</v>
      </c>
      <c r="X1268" s="580"/>
      <c r="Y1268" s="583">
        <f>IF(GLOBAL_DER_FEV_2023!W1268=0,0,IF(GLOBAL_DER_FEV_2023!W1268&gt;0,"c","b"))</f>
        <v>0</v>
      </c>
    </row>
    <row r="1269" spans="1:25" ht="23.25" hidden="1" thickBot="1" x14ac:dyDescent="0.25">
      <c r="A1269" s="317">
        <v>97359</v>
      </c>
      <c r="B1269" s="895">
        <v>97359</v>
      </c>
      <c r="C1269" s="896" t="s">
        <v>596</v>
      </c>
      <c r="D1269" s="906" t="s">
        <v>1199</v>
      </c>
      <c r="E1269" s="907">
        <f>GLOBAL_DER_FEV_2023!E1269</f>
        <v>0</v>
      </c>
      <c r="F1269" s="908">
        <f>GLOBAL_DER_FEV_2023!F1269</f>
        <v>0</v>
      </c>
      <c r="G1269" s="912">
        <f>GLOBAL_DER_FEV_2023!G1269</f>
        <v>0</v>
      </c>
      <c r="H1269" s="901">
        <f>GLOBAL_DER_FEV_2023!H1269</f>
        <v>4248.38</v>
      </c>
      <c r="I1269" s="901">
        <f>GLOBAL_DER_FEV_2023!I1269</f>
        <v>4248.38</v>
      </c>
      <c r="J1269" s="902">
        <f>GLOBAL_DER_FEV_2023!J1269</f>
        <v>5101.03</v>
      </c>
      <c r="K1269" s="903" t="s">
        <v>1516</v>
      </c>
      <c r="L1269" s="1137"/>
      <c r="M1269" s="1138">
        <f t="shared" si="92"/>
        <v>0</v>
      </c>
      <c r="N1269" s="893">
        <f t="shared" si="96"/>
        <v>0</v>
      </c>
      <c r="O1269" s="905"/>
      <c r="Q1269" s="317" t="str">
        <f t="shared" si="93"/>
        <v/>
      </c>
      <c r="R1269" s="317" t="str">
        <f t="shared" si="94"/>
        <v/>
      </c>
      <c r="S1269" s="317" t="str">
        <f t="shared" si="95"/>
        <v/>
      </c>
      <c r="T1269" s="317" t="str">
        <f>GLOBAL_DER_FEV_2023!S1269</f>
        <v/>
      </c>
      <c r="W1269" s="582">
        <v>0</v>
      </c>
      <c r="X1269" s="580"/>
      <c r="Y1269" s="583">
        <f>IF(GLOBAL_DER_FEV_2023!W1269=0,0,IF(GLOBAL_DER_FEV_2023!W1269&gt;0,"c","b"))</f>
        <v>0</v>
      </c>
    </row>
    <row r="1270" spans="1:25" ht="23.25" hidden="1" thickBot="1" x14ac:dyDescent="0.25">
      <c r="A1270" s="317">
        <v>97360</v>
      </c>
      <c r="B1270" s="895">
        <v>97360</v>
      </c>
      <c r="C1270" s="896" t="s">
        <v>596</v>
      </c>
      <c r="D1270" s="906" t="s">
        <v>1200</v>
      </c>
      <c r="E1270" s="907">
        <f>GLOBAL_DER_FEV_2023!E1270</f>
        <v>0</v>
      </c>
      <c r="F1270" s="908">
        <f>GLOBAL_DER_FEV_2023!F1270</f>
        <v>0</v>
      </c>
      <c r="G1270" s="912">
        <f>GLOBAL_DER_FEV_2023!G1270</f>
        <v>0</v>
      </c>
      <c r="H1270" s="901">
        <f>GLOBAL_DER_FEV_2023!H1270</f>
        <v>8185.52</v>
      </c>
      <c r="I1270" s="901">
        <f>GLOBAL_DER_FEV_2023!I1270</f>
        <v>8185.52</v>
      </c>
      <c r="J1270" s="902">
        <f>GLOBAL_DER_FEV_2023!J1270</f>
        <v>9828.35</v>
      </c>
      <c r="K1270" s="903" t="s">
        <v>1516</v>
      </c>
      <c r="L1270" s="1137"/>
      <c r="M1270" s="1138">
        <f t="shared" si="92"/>
        <v>0</v>
      </c>
      <c r="N1270" s="893">
        <f t="shared" si="96"/>
        <v>0</v>
      </c>
      <c r="O1270" s="905"/>
      <c r="Q1270" s="317" t="str">
        <f t="shared" si="93"/>
        <v/>
      </c>
      <c r="R1270" s="317" t="str">
        <f t="shared" si="94"/>
        <v/>
      </c>
      <c r="S1270" s="317" t="str">
        <f t="shared" si="95"/>
        <v/>
      </c>
      <c r="T1270" s="317" t="str">
        <f>GLOBAL_DER_FEV_2023!S1270</f>
        <v/>
      </c>
      <c r="W1270" s="582">
        <v>0</v>
      </c>
      <c r="X1270" s="580"/>
      <c r="Y1270" s="583">
        <f>IF(GLOBAL_DER_FEV_2023!W1270=0,0,IF(GLOBAL_DER_FEV_2023!W1270&gt;0,"c","b"))</f>
        <v>0</v>
      </c>
    </row>
    <row r="1271" spans="1:25" ht="23.25" hidden="1" thickBot="1" x14ac:dyDescent="0.25">
      <c r="A1271" s="317">
        <v>97361</v>
      </c>
      <c r="B1271" s="895">
        <v>97361</v>
      </c>
      <c r="C1271" s="896" t="s">
        <v>596</v>
      </c>
      <c r="D1271" s="906" t="s">
        <v>1201</v>
      </c>
      <c r="E1271" s="907">
        <f>GLOBAL_DER_FEV_2023!E1271</f>
        <v>0</v>
      </c>
      <c r="F1271" s="908">
        <f>GLOBAL_DER_FEV_2023!F1271</f>
        <v>0</v>
      </c>
      <c r="G1271" s="912">
        <f>GLOBAL_DER_FEV_2023!G1271</f>
        <v>0</v>
      </c>
      <c r="H1271" s="901">
        <f>GLOBAL_DER_FEV_2023!H1271</f>
        <v>10914.04</v>
      </c>
      <c r="I1271" s="901">
        <f>GLOBAL_DER_FEV_2023!I1271</f>
        <v>10914.04</v>
      </c>
      <c r="J1271" s="902">
        <f>GLOBAL_DER_FEV_2023!J1271</f>
        <v>13104.49</v>
      </c>
      <c r="K1271" s="903" t="s">
        <v>1516</v>
      </c>
      <c r="L1271" s="1137"/>
      <c r="M1271" s="1138">
        <f t="shared" si="92"/>
        <v>0</v>
      </c>
      <c r="N1271" s="893">
        <f t="shared" si="96"/>
        <v>0</v>
      </c>
      <c r="O1271" s="905"/>
      <c r="Q1271" s="317" t="str">
        <f t="shared" si="93"/>
        <v/>
      </c>
      <c r="R1271" s="317" t="str">
        <f t="shared" si="94"/>
        <v/>
      </c>
      <c r="S1271" s="317" t="str">
        <f t="shared" si="95"/>
        <v/>
      </c>
      <c r="T1271" s="317" t="str">
        <f>GLOBAL_DER_FEV_2023!S1271</f>
        <v/>
      </c>
      <c r="W1271" s="582">
        <v>0</v>
      </c>
      <c r="X1271" s="580"/>
      <c r="Y1271" s="583">
        <f>IF(GLOBAL_DER_FEV_2023!W1271=0,0,IF(GLOBAL_DER_FEV_2023!W1271&gt;0,"c","b"))</f>
        <v>0</v>
      </c>
    </row>
    <row r="1272" spans="1:25" ht="34.5" hidden="1" thickBot="1" x14ac:dyDescent="0.25">
      <c r="A1272" s="317">
        <v>101875</v>
      </c>
      <c r="B1272" s="895">
        <v>101875</v>
      </c>
      <c r="C1272" s="896" t="s">
        <v>596</v>
      </c>
      <c r="D1272" s="906" t="s">
        <v>1202</v>
      </c>
      <c r="E1272" s="907">
        <f>GLOBAL_DER_FEV_2023!E1272</f>
        <v>0</v>
      </c>
      <c r="F1272" s="908">
        <f>GLOBAL_DER_FEV_2023!F1272</f>
        <v>0</v>
      </c>
      <c r="G1272" s="912">
        <f>GLOBAL_DER_FEV_2023!G1272</f>
        <v>0</v>
      </c>
      <c r="H1272" s="901">
        <f>GLOBAL_DER_FEV_2023!H1272</f>
        <v>527.42999999999995</v>
      </c>
      <c r="I1272" s="901">
        <f>GLOBAL_DER_FEV_2023!I1272</f>
        <v>527.42999999999995</v>
      </c>
      <c r="J1272" s="902">
        <f>GLOBAL_DER_FEV_2023!J1272</f>
        <v>633.29</v>
      </c>
      <c r="K1272" s="903" t="s">
        <v>1516</v>
      </c>
      <c r="L1272" s="1137"/>
      <c r="M1272" s="1138">
        <f t="shared" si="92"/>
        <v>0</v>
      </c>
      <c r="N1272" s="893">
        <f t="shared" si="96"/>
        <v>0</v>
      </c>
      <c r="O1272" s="905"/>
      <c r="Q1272" s="317" t="str">
        <f t="shared" si="93"/>
        <v/>
      </c>
      <c r="R1272" s="317" t="str">
        <f t="shared" si="94"/>
        <v/>
      </c>
      <c r="S1272" s="317" t="str">
        <f t="shared" si="95"/>
        <v/>
      </c>
      <c r="T1272" s="317" t="str">
        <f>GLOBAL_DER_FEV_2023!S1272</f>
        <v/>
      </c>
      <c r="W1272" s="582">
        <v>0</v>
      </c>
      <c r="X1272" s="580"/>
      <c r="Y1272" s="583">
        <f>IF(GLOBAL_DER_FEV_2023!W1272=0,0,IF(GLOBAL_DER_FEV_2023!W1272&gt;0,"c","b"))</f>
        <v>0</v>
      </c>
    </row>
    <row r="1273" spans="1:25" ht="23.25" hidden="1" thickBot="1" x14ac:dyDescent="0.25">
      <c r="A1273" s="317">
        <v>101876</v>
      </c>
      <c r="B1273" s="895">
        <v>101876</v>
      </c>
      <c r="C1273" s="896" t="s">
        <v>596</v>
      </c>
      <c r="D1273" s="906" t="s">
        <v>1203</v>
      </c>
      <c r="E1273" s="907">
        <f>GLOBAL_DER_FEV_2023!E1273</f>
        <v>0</v>
      </c>
      <c r="F1273" s="908">
        <f>GLOBAL_DER_FEV_2023!F1273</f>
        <v>0</v>
      </c>
      <c r="G1273" s="912">
        <f>GLOBAL_DER_FEV_2023!G1273</f>
        <v>0</v>
      </c>
      <c r="H1273" s="901">
        <f>GLOBAL_DER_FEV_2023!H1273</f>
        <v>95.28</v>
      </c>
      <c r="I1273" s="901">
        <f>GLOBAL_DER_FEV_2023!I1273</f>
        <v>95.28</v>
      </c>
      <c r="J1273" s="902">
        <f>GLOBAL_DER_FEV_2023!J1273</f>
        <v>114.4</v>
      </c>
      <c r="K1273" s="903" t="s">
        <v>1516</v>
      </c>
      <c r="L1273" s="1137"/>
      <c r="M1273" s="1138">
        <f t="shared" si="92"/>
        <v>0</v>
      </c>
      <c r="N1273" s="893">
        <f t="shared" si="96"/>
        <v>0</v>
      </c>
      <c r="O1273" s="905"/>
      <c r="Q1273" s="317" t="str">
        <f t="shared" si="93"/>
        <v/>
      </c>
      <c r="R1273" s="317" t="str">
        <f t="shared" si="94"/>
        <v/>
      </c>
      <c r="S1273" s="317" t="str">
        <f t="shared" si="95"/>
        <v/>
      </c>
      <c r="T1273" s="317" t="str">
        <f>GLOBAL_DER_FEV_2023!S1273</f>
        <v/>
      </c>
      <c r="W1273" s="582">
        <v>0</v>
      </c>
      <c r="X1273" s="580"/>
      <c r="Y1273" s="583">
        <f>IF(GLOBAL_DER_FEV_2023!W1273=0,0,IF(GLOBAL_DER_FEV_2023!W1273&gt;0,"c","b"))</f>
        <v>0</v>
      </c>
    </row>
    <row r="1274" spans="1:25" ht="23.25" hidden="1" thickBot="1" x14ac:dyDescent="0.25">
      <c r="A1274" s="317">
        <v>101877</v>
      </c>
      <c r="B1274" s="895">
        <v>101877</v>
      </c>
      <c r="C1274" s="896" t="s">
        <v>596</v>
      </c>
      <c r="D1274" s="906" t="s">
        <v>1204</v>
      </c>
      <c r="E1274" s="907">
        <f>GLOBAL_DER_FEV_2023!E1274</f>
        <v>0</v>
      </c>
      <c r="F1274" s="908">
        <f>GLOBAL_DER_FEV_2023!F1274</f>
        <v>0</v>
      </c>
      <c r="G1274" s="912">
        <f>GLOBAL_DER_FEV_2023!G1274</f>
        <v>0</v>
      </c>
      <c r="H1274" s="901">
        <f>GLOBAL_DER_FEV_2023!H1274</f>
        <v>65.819999999999993</v>
      </c>
      <c r="I1274" s="901">
        <f>GLOBAL_DER_FEV_2023!I1274</f>
        <v>65.819999999999993</v>
      </c>
      <c r="J1274" s="902">
        <f>GLOBAL_DER_FEV_2023!J1274</f>
        <v>79.03</v>
      </c>
      <c r="K1274" s="903" t="s">
        <v>1516</v>
      </c>
      <c r="L1274" s="1137"/>
      <c r="M1274" s="1138">
        <f t="shared" si="92"/>
        <v>0</v>
      </c>
      <c r="N1274" s="893">
        <f t="shared" si="96"/>
        <v>0</v>
      </c>
      <c r="O1274" s="905"/>
      <c r="Q1274" s="317" t="str">
        <f t="shared" si="93"/>
        <v/>
      </c>
      <c r="R1274" s="317" t="str">
        <f t="shared" si="94"/>
        <v/>
      </c>
      <c r="S1274" s="317" t="str">
        <f t="shared" si="95"/>
        <v/>
      </c>
      <c r="T1274" s="317" t="str">
        <f>GLOBAL_DER_FEV_2023!S1274</f>
        <v/>
      </c>
      <c r="W1274" s="582">
        <v>0</v>
      </c>
      <c r="X1274" s="580"/>
      <c r="Y1274" s="583">
        <f>IF(GLOBAL_DER_FEV_2023!W1274=0,0,IF(GLOBAL_DER_FEV_2023!W1274&gt;0,"c","b"))</f>
        <v>0</v>
      </c>
    </row>
    <row r="1275" spans="1:25" ht="34.5" hidden="1" thickBot="1" x14ac:dyDescent="0.25">
      <c r="A1275" s="317">
        <v>101878</v>
      </c>
      <c r="B1275" s="895">
        <v>101878</v>
      </c>
      <c r="C1275" s="896" t="s">
        <v>596</v>
      </c>
      <c r="D1275" s="906" t="s">
        <v>1205</v>
      </c>
      <c r="E1275" s="907">
        <f>GLOBAL_DER_FEV_2023!E1275</f>
        <v>0</v>
      </c>
      <c r="F1275" s="908">
        <f>GLOBAL_DER_FEV_2023!F1275</f>
        <v>0</v>
      </c>
      <c r="G1275" s="912">
        <f>GLOBAL_DER_FEV_2023!G1275</f>
        <v>0</v>
      </c>
      <c r="H1275" s="901">
        <f>GLOBAL_DER_FEV_2023!H1275</f>
        <v>728.23</v>
      </c>
      <c r="I1275" s="901">
        <f>GLOBAL_DER_FEV_2023!I1275</f>
        <v>728.23</v>
      </c>
      <c r="J1275" s="902">
        <f>GLOBAL_DER_FEV_2023!J1275</f>
        <v>874.39</v>
      </c>
      <c r="K1275" s="903" t="s">
        <v>1516</v>
      </c>
      <c r="L1275" s="1137"/>
      <c r="M1275" s="1138">
        <f t="shared" si="92"/>
        <v>0</v>
      </c>
      <c r="N1275" s="893">
        <f t="shared" si="96"/>
        <v>0</v>
      </c>
      <c r="O1275" s="905"/>
      <c r="Q1275" s="317" t="str">
        <f t="shared" si="93"/>
        <v/>
      </c>
      <c r="R1275" s="317" t="str">
        <f t="shared" si="94"/>
        <v/>
      </c>
      <c r="S1275" s="317" t="str">
        <f t="shared" si="95"/>
        <v/>
      </c>
      <c r="T1275" s="317" t="str">
        <f>GLOBAL_DER_FEV_2023!S1275</f>
        <v/>
      </c>
      <c r="W1275" s="582">
        <v>0</v>
      </c>
      <c r="X1275" s="580"/>
      <c r="Y1275" s="583">
        <f>IF(GLOBAL_DER_FEV_2023!W1275=0,0,IF(GLOBAL_DER_FEV_2023!W1275&gt;0,"c","b"))</f>
        <v>0</v>
      </c>
    </row>
    <row r="1276" spans="1:25" ht="34.5" hidden="1" thickBot="1" x14ac:dyDescent="0.25">
      <c r="A1276" s="317">
        <v>101879</v>
      </c>
      <c r="B1276" s="895">
        <v>101879</v>
      </c>
      <c r="C1276" s="896" t="s">
        <v>596</v>
      </c>
      <c r="D1276" s="906" t="s">
        <v>1206</v>
      </c>
      <c r="E1276" s="907">
        <f>GLOBAL_DER_FEV_2023!E1276</f>
        <v>0</v>
      </c>
      <c r="F1276" s="908">
        <f>GLOBAL_DER_FEV_2023!F1276</f>
        <v>0</v>
      </c>
      <c r="G1276" s="912">
        <f>GLOBAL_DER_FEV_2023!G1276</f>
        <v>0</v>
      </c>
      <c r="H1276" s="901">
        <f>GLOBAL_DER_FEV_2023!H1276</f>
        <v>764.5</v>
      </c>
      <c r="I1276" s="901">
        <f>GLOBAL_DER_FEV_2023!I1276</f>
        <v>764.5</v>
      </c>
      <c r="J1276" s="902">
        <f>GLOBAL_DER_FEV_2023!J1276</f>
        <v>917.94</v>
      </c>
      <c r="K1276" s="903" t="s">
        <v>1516</v>
      </c>
      <c r="L1276" s="1137"/>
      <c r="M1276" s="1138">
        <f t="shared" si="92"/>
        <v>0</v>
      </c>
      <c r="N1276" s="893">
        <f t="shared" si="96"/>
        <v>0</v>
      </c>
      <c r="O1276" s="905"/>
      <c r="Q1276" s="317" t="str">
        <f t="shared" si="93"/>
        <v/>
      </c>
      <c r="R1276" s="317" t="str">
        <f t="shared" si="94"/>
        <v/>
      </c>
      <c r="S1276" s="317" t="str">
        <f t="shared" si="95"/>
        <v/>
      </c>
      <c r="T1276" s="317" t="str">
        <f>GLOBAL_DER_FEV_2023!S1276</f>
        <v/>
      </c>
      <c r="W1276" s="582">
        <v>0</v>
      </c>
      <c r="X1276" s="580"/>
      <c r="Y1276" s="583">
        <f>IF(GLOBAL_DER_FEV_2023!W1276=0,0,IF(GLOBAL_DER_FEV_2023!W1276&gt;0,"c","b"))</f>
        <v>0</v>
      </c>
    </row>
    <row r="1277" spans="1:25" ht="34.5" hidden="1" thickBot="1" x14ac:dyDescent="0.25">
      <c r="A1277" s="317">
        <v>101880</v>
      </c>
      <c r="B1277" s="895">
        <v>101880</v>
      </c>
      <c r="C1277" s="896" t="s">
        <v>596</v>
      </c>
      <c r="D1277" s="906" t="s">
        <v>1207</v>
      </c>
      <c r="E1277" s="907">
        <f>GLOBAL_DER_FEV_2023!E1277</f>
        <v>0</v>
      </c>
      <c r="F1277" s="908">
        <f>GLOBAL_DER_FEV_2023!F1277</f>
        <v>0</v>
      </c>
      <c r="G1277" s="912">
        <f>GLOBAL_DER_FEV_2023!G1277</f>
        <v>0</v>
      </c>
      <c r="H1277" s="901">
        <f>GLOBAL_DER_FEV_2023!H1277</f>
        <v>879.71</v>
      </c>
      <c r="I1277" s="901">
        <f>GLOBAL_DER_FEV_2023!I1277</f>
        <v>879.71</v>
      </c>
      <c r="J1277" s="902">
        <f>GLOBAL_DER_FEV_2023!J1277</f>
        <v>1056.27</v>
      </c>
      <c r="K1277" s="903" t="s">
        <v>1516</v>
      </c>
      <c r="L1277" s="1137"/>
      <c r="M1277" s="1138">
        <f t="shared" si="92"/>
        <v>0</v>
      </c>
      <c r="N1277" s="893">
        <f t="shared" si="96"/>
        <v>0</v>
      </c>
      <c r="O1277" s="905"/>
      <c r="Q1277" s="317" t="str">
        <f t="shared" si="93"/>
        <v/>
      </c>
      <c r="R1277" s="317" t="str">
        <f t="shared" si="94"/>
        <v/>
      </c>
      <c r="S1277" s="317" t="str">
        <f t="shared" si="95"/>
        <v/>
      </c>
      <c r="T1277" s="317" t="str">
        <f>GLOBAL_DER_FEV_2023!S1277</f>
        <v/>
      </c>
      <c r="W1277" s="582">
        <v>0</v>
      </c>
      <c r="X1277" s="580"/>
      <c r="Y1277" s="583">
        <f>IF(GLOBAL_DER_FEV_2023!W1277=0,0,IF(GLOBAL_DER_FEV_2023!W1277&gt;0,"c","b"))</f>
        <v>0</v>
      </c>
    </row>
    <row r="1278" spans="1:25" ht="34.5" hidden="1" thickBot="1" x14ac:dyDescent="0.25">
      <c r="A1278" s="317">
        <v>101881</v>
      </c>
      <c r="B1278" s="895">
        <v>101881</v>
      </c>
      <c r="C1278" s="896" t="s">
        <v>596</v>
      </c>
      <c r="D1278" s="906" t="s">
        <v>1208</v>
      </c>
      <c r="E1278" s="907">
        <f>GLOBAL_DER_FEV_2023!E1278</f>
        <v>0</v>
      </c>
      <c r="F1278" s="908">
        <f>GLOBAL_DER_FEV_2023!F1278</f>
        <v>0</v>
      </c>
      <c r="G1278" s="912">
        <f>GLOBAL_DER_FEV_2023!G1278</f>
        <v>0</v>
      </c>
      <c r="H1278" s="901">
        <f>GLOBAL_DER_FEV_2023!H1278</f>
        <v>1267.3399999999999</v>
      </c>
      <c r="I1278" s="901">
        <f>GLOBAL_DER_FEV_2023!I1278</f>
        <v>1267.3399999999999</v>
      </c>
      <c r="J1278" s="902">
        <f>GLOBAL_DER_FEV_2023!J1278</f>
        <v>1521.7</v>
      </c>
      <c r="K1278" s="903" t="s">
        <v>1516</v>
      </c>
      <c r="L1278" s="1137"/>
      <c r="M1278" s="1138">
        <f t="shared" si="92"/>
        <v>0</v>
      </c>
      <c r="N1278" s="893">
        <f t="shared" si="96"/>
        <v>0</v>
      </c>
      <c r="O1278" s="905"/>
      <c r="Q1278" s="317" t="str">
        <f t="shared" si="93"/>
        <v/>
      </c>
      <c r="R1278" s="317" t="str">
        <f t="shared" si="94"/>
        <v/>
      </c>
      <c r="S1278" s="317" t="str">
        <f t="shared" si="95"/>
        <v/>
      </c>
      <c r="T1278" s="317" t="str">
        <f>GLOBAL_DER_FEV_2023!S1278</f>
        <v/>
      </c>
      <c r="W1278" s="582">
        <v>0</v>
      </c>
      <c r="X1278" s="580"/>
      <c r="Y1278" s="583">
        <f>IF(GLOBAL_DER_FEV_2023!W1278=0,0,IF(GLOBAL_DER_FEV_2023!W1278&gt;0,"c","b"))</f>
        <v>0</v>
      </c>
    </row>
    <row r="1279" spans="1:25" ht="34.5" hidden="1" thickBot="1" x14ac:dyDescent="0.25">
      <c r="A1279" s="317">
        <v>101882</v>
      </c>
      <c r="B1279" s="895">
        <v>101882</v>
      </c>
      <c r="C1279" s="896" t="s">
        <v>596</v>
      </c>
      <c r="D1279" s="906" t="s">
        <v>1209</v>
      </c>
      <c r="E1279" s="907">
        <f>GLOBAL_DER_FEV_2023!E1279</f>
        <v>0</v>
      </c>
      <c r="F1279" s="908">
        <f>GLOBAL_DER_FEV_2023!F1279</f>
        <v>0</v>
      </c>
      <c r="G1279" s="912">
        <f>GLOBAL_DER_FEV_2023!G1279</f>
        <v>0</v>
      </c>
      <c r="H1279" s="901">
        <f>GLOBAL_DER_FEV_2023!H1279</f>
        <v>1801.44</v>
      </c>
      <c r="I1279" s="901">
        <f>GLOBAL_DER_FEV_2023!I1279</f>
        <v>1801.44</v>
      </c>
      <c r="J1279" s="902">
        <f>GLOBAL_DER_FEV_2023!J1279</f>
        <v>2162.9899999999998</v>
      </c>
      <c r="K1279" s="903" t="s">
        <v>1516</v>
      </c>
      <c r="L1279" s="1137"/>
      <c r="M1279" s="1138">
        <f t="shared" si="92"/>
        <v>0</v>
      </c>
      <c r="N1279" s="893">
        <f t="shared" si="96"/>
        <v>0</v>
      </c>
      <c r="O1279" s="905"/>
      <c r="Q1279" s="317" t="str">
        <f t="shared" si="93"/>
        <v/>
      </c>
      <c r="R1279" s="317" t="str">
        <f t="shared" si="94"/>
        <v/>
      </c>
      <c r="S1279" s="317" t="str">
        <f t="shared" si="95"/>
        <v/>
      </c>
      <c r="T1279" s="317" t="str">
        <f>GLOBAL_DER_FEV_2023!S1279</f>
        <v/>
      </c>
      <c r="W1279" s="582">
        <v>0</v>
      </c>
      <c r="X1279" s="580"/>
      <c r="Y1279" s="583">
        <f>IF(GLOBAL_DER_FEV_2023!W1279=0,0,IF(GLOBAL_DER_FEV_2023!W1279&gt;0,"c","b"))</f>
        <v>0</v>
      </c>
    </row>
    <row r="1280" spans="1:25" ht="34.5" hidden="1" thickBot="1" x14ac:dyDescent="0.25">
      <c r="A1280" s="317">
        <v>101883</v>
      </c>
      <c r="B1280" s="895">
        <v>101883</v>
      </c>
      <c r="C1280" s="896" t="s">
        <v>596</v>
      </c>
      <c r="D1280" s="906" t="s">
        <v>1210</v>
      </c>
      <c r="E1280" s="907">
        <f>GLOBAL_DER_FEV_2023!E1280</f>
        <v>0</v>
      </c>
      <c r="F1280" s="908">
        <f>GLOBAL_DER_FEV_2023!F1280</f>
        <v>0</v>
      </c>
      <c r="G1280" s="912">
        <f>GLOBAL_DER_FEV_2023!G1280</f>
        <v>0</v>
      </c>
      <c r="H1280" s="901">
        <f>GLOBAL_DER_FEV_2023!H1280</f>
        <v>728.76</v>
      </c>
      <c r="I1280" s="901">
        <f>GLOBAL_DER_FEV_2023!I1280</f>
        <v>728.76</v>
      </c>
      <c r="J1280" s="902">
        <f>GLOBAL_DER_FEV_2023!J1280</f>
        <v>875.02</v>
      </c>
      <c r="K1280" s="903" t="s">
        <v>1516</v>
      </c>
      <c r="L1280" s="1137"/>
      <c r="M1280" s="1138">
        <f t="shared" si="92"/>
        <v>0</v>
      </c>
      <c r="N1280" s="893">
        <f t="shared" si="96"/>
        <v>0</v>
      </c>
      <c r="O1280" s="905"/>
      <c r="Q1280" s="317" t="str">
        <f t="shared" si="93"/>
        <v/>
      </c>
      <c r="R1280" s="317" t="str">
        <f t="shared" si="94"/>
        <v/>
      </c>
      <c r="S1280" s="317" t="str">
        <f t="shared" si="95"/>
        <v/>
      </c>
      <c r="T1280" s="317" t="str">
        <f>GLOBAL_DER_FEV_2023!S1280</f>
        <v/>
      </c>
      <c r="W1280" s="582">
        <v>0</v>
      </c>
      <c r="X1280" s="580"/>
      <c r="Y1280" s="583">
        <f>IF(GLOBAL_DER_FEV_2023!W1280=0,0,IF(GLOBAL_DER_FEV_2023!W1280&gt;0,"c","b"))</f>
        <v>0</v>
      </c>
    </row>
    <row r="1281" spans="1:25" ht="13.5" hidden="1" thickBot="1" x14ac:dyDescent="0.25">
      <c r="A1281" s="317">
        <v>101901</v>
      </c>
      <c r="B1281" s="895">
        <v>101901</v>
      </c>
      <c r="C1281" s="896" t="s">
        <v>596</v>
      </c>
      <c r="D1281" s="906" t="s">
        <v>1211</v>
      </c>
      <c r="E1281" s="907">
        <f>GLOBAL_DER_FEV_2023!E1281</f>
        <v>0</v>
      </c>
      <c r="F1281" s="908">
        <f>GLOBAL_DER_FEV_2023!F1281</f>
        <v>0</v>
      </c>
      <c r="G1281" s="912">
        <f>GLOBAL_DER_FEV_2023!G1281</f>
        <v>0</v>
      </c>
      <c r="H1281" s="901">
        <f>GLOBAL_DER_FEV_2023!H1281</f>
        <v>109.64</v>
      </c>
      <c r="I1281" s="901">
        <f>GLOBAL_DER_FEV_2023!I1281</f>
        <v>109.64</v>
      </c>
      <c r="J1281" s="902">
        <f>GLOBAL_DER_FEV_2023!J1281</f>
        <v>131.63999999999999</v>
      </c>
      <c r="K1281" s="903" t="s">
        <v>1516</v>
      </c>
      <c r="L1281" s="1137"/>
      <c r="M1281" s="1138">
        <f t="shared" si="92"/>
        <v>0</v>
      </c>
      <c r="N1281" s="893">
        <f t="shared" si="96"/>
        <v>0</v>
      </c>
      <c r="O1281" s="905"/>
      <c r="Q1281" s="317" t="str">
        <f t="shared" si="93"/>
        <v/>
      </c>
      <c r="R1281" s="317" t="str">
        <f t="shared" si="94"/>
        <v/>
      </c>
      <c r="S1281" s="317" t="str">
        <f t="shared" si="95"/>
        <v/>
      </c>
      <c r="T1281" s="317" t="str">
        <f>GLOBAL_DER_FEV_2023!S1281</f>
        <v/>
      </c>
      <c r="W1281" s="582">
        <v>0</v>
      </c>
      <c r="X1281" s="580"/>
      <c r="Y1281" s="583">
        <f>IF(GLOBAL_DER_FEV_2023!W1281=0,0,IF(GLOBAL_DER_FEV_2023!W1281&gt;0,"c","b"))</f>
        <v>0</v>
      </c>
    </row>
    <row r="1282" spans="1:25" ht="13.5" hidden="1" thickBot="1" x14ac:dyDescent="0.25">
      <c r="A1282" s="317">
        <v>101902</v>
      </c>
      <c r="B1282" s="895">
        <v>101902</v>
      </c>
      <c r="C1282" s="896" t="s">
        <v>596</v>
      </c>
      <c r="D1282" s="906" t="s">
        <v>1212</v>
      </c>
      <c r="E1282" s="907">
        <f>GLOBAL_DER_FEV_2023!E1282</f>
        <v>0</v>
      </c>
      <c r="F1282" s="908">
        <f>GLOBAL_DER_FEV_2023!F1282</f>
        <v>0</v>
      </c>
      <c r="G1282" s="912">
        <f>GLOBAL_DER_FEV_2023!G1282</f>
        <v>0</v>
      </c>
      <c r="H1282" s="901">
        <f>GLOBAL_DER_FEV_2023!H1282</f>
        <v>136.05000000000001</v>
      </c>
      <c r="I1282" s="901">
        <f>GLOBAL_DER_FEV_2023!I1282</f>
        <v>136.05000000000001</v>
      </c>
      <c r="J1282" s="902">
        <f>GLOBAL_DER_FEV_2023!J1282</f>
        <v>163.36000000000001</v>
      </c>
      <c r="K1282" s="903" t="s">
        <v>1516</v>
      </c>
      <c r="L1282" s="1137"/>
      <c r="M1282" s="1138">
        <f t="shared" si="92"/>
        <v>0</v>
      </c>
      <c r="N1282" s="893">
        <f t="shared" si="96"/>
        <v>0</v>
      </c>
      <c r="O1282" s="905"/>
      <c r="Q1282" s="317" t="str">
        <f t="shared" si="93"/>
        <v/>
      </c>
      <c r="R1282" s="317" t="str">
        <f t="shared" si="94"/>
        <v/>
      </c>
      <c r="S1282" s="317" t="str">
        <f t="shared" si="95"/>
        <v/>
      </c>
      <c r="T1282" s="317" t="str">
        <f>GLOBAL_DER_FEV_2023!S1282</f>
        <v/>
      </c>
      <c r="W1282" s="582">
        <v>0</v>
      </c>
      <c r="X1282" s="580"/>
      <c r="Y1282" s="583">
        <f>IF(GLOBAL_DER_FEV_2023!W1282=0,0,IF(GLOBAL_DER_FEV_2023!W1282&gt;0,"c","b"))</f>
        <v>0</v>
      </c>
    </row>
    <row r="1283" spans="1:25" ht="13.5" hidden="1" thickBot="1" x14ac:dyDescent="0.25">
      <c r="A1283" s="317">
        <v>101903</v>
      </c>
      <c r="B1283" s="895">
        <v>101903</v>
      </c>
      <c r="C1283" s="896" t="s">
        <v>596</v>
      </c>
      <c r="D1283" s="906" t="s">
        <v>1213</v>
      </c>
      <c r="E1283" s="907">
        <f>GLOBAL_DER_FEV_2023!E1283</f>
        <v>0</v>
      </c>
      <c r="F1283" s="908">
        <f>GLOBAL_DER_FEV_2023!F1283</f>
        <v>0</v>
      </c>
      <c r="G1283" s="912">
        <f>GLOBAL_DER_FEV_2023!G1283</f>
        <v>0</v>
      </c>
      <c r="H1283" s="901">
        <f>GLOBAL_DER_FEV_2023!H1283</f>
        <v>283.02</v>
      </c>
      <c r="I1283" s="901">
        <f>GLOBAL_DER_FEV_2023!I1283</f>
        <v>283.02</v>
      </c>
      <c r="J1283" s="902">
        <f>GLOBAL_DER_FEV_2023!J1283</f>
        <v>339.82</v>
      </c>
      <c r="K1283" s="903" t="s">
        <v>1516</v>
      </c>
      <c r="L1283" s="1137"/>
      <c r="M1283" s="1138">
        <f t="shared" si="92"/>
        <v>0</v>
      </c>
      <c r="N1283" s="893">
        <f t="shared" si="96"/>
        <v>0</v>
      </c>
      <c r="O1283" s="905"/>
      <c r="Q1283" s="317" t="str">
        <f t="shared" si="93"/>
        <v/>
      </c>
      <c r="R1283" s="317" t="str">
        <f t="shared" si="94"/>
        <v/>
      </c>
      <c r="S1283" s="317" t="str">
        <f t="shared" si="95"/>
        <v/>
      </c>
      <c r="T1283" s="317" t="str">
        <f>GLOBAL_DER_FEV_2023!S1283</f>
        <v/>
      </c>
      <c r="W1283" s="582">
        <v>0</v>
      </c>
      <c r="X1283" s="580"/>
      <c r="Y1283" s="583">
        <f>IF(GLOBAL_DER_FEV_2023!W1283=0,0,IF(GLOBAL_DER_FEV_2023!W1283&gt;0,"c","b"))</f>
        <v>0</v>
      </c>
    </row>
    <row r="1284" spans="1:25" ht="13.5" hidden="1" thickBot="1" x14ac:dyDescent="0.25">
      <c r="A1284" s="317">
        <v>101904</v>
      </c>
      <c r="B1284" s="895">
        <v>101904</v>
      </c>
      <c r="C1284" s="896" t="s">
        <v>596</v>
      </c>
      <c r="D1284" s="906" t="s">
        <v>1214</v>
      </c>
      <c r="E1284" s="907">
        <f>GLOBAL_DER_FEV_2023!E1284</f>
        <v>0</v>
      </c>
      <c r="F1284" s="908">
        <f>GLOBAL_DER_FEV_2023!F1284</f>
        <v>0</v>
      </c>
      <c r="G1284" s="912">
        <f>GLOBAL_DER_FEV_2023!G1284</f>
        <v>0</v>
      </c>
      <c r="H1284" s="901">
        <f>GLOBAL_DER_FEV_2023!H1284</f>
        <v>1021.61</v>
      </c>
      <c r="I1284" s="901">
        <f>GLOBAL_DER_FEV_2023!I1284</f>
        <v>1021.61</v>
      </c>
      <c r="J1284" s="902">
        <f>GLOBAL_DER_FEV_2023!J1284</f>
        <v>1226.6500000000001</v>
      </c>
      <c r="K1284" s="903" t="s">
        <v>1516</v>
      </c>
      <c r="L1284" s="1137"/>
      <c r="M1284" s="1138">
        <f t="shared" si="92"/>
        <v>0</v>
      </c>
      <c r="N1284" s="893">
        <f t="shared" si="96"/>
        <v>0</v>
      </c>
      <c r="O1284" s="905"/>
      <c r="Q1284" s="317" t="str">
        <f t="shared" si="93"/>
        <v/>
      </c>
      <c r="R1284" s="317" t="str">
        <f t="shared" si="94"/>
        <v/>
      </c>
      <c r="S1284" s="317" t="str">
        <f t="shared" si="95"/>
        <v/>
      </c>
      <c r="T1284" s="317" t="str">
        <f>GLOBAL_DER_FEV_2023!S1284</f>
        <v/>
      </c>
      <c r="W1284" s="582">
        <v>0</v>
      </c>
      <c r="X1284" s="580"/>
      <c r="Y1284" s="583">
        <f>IF(GLOBAL_DER_FEV_2023!W1284=0,0,IF(GLOBAL_DER_FEV_2023!W1284&gt;0,"c","b"))</f>
        <v>0</v>
      </c>
    </row>
    <row r="1285" spans="1:25" ht="23.25" hidden="1" thickBot="1" x14ac:dyDescent="0.25">
      <c r="A1285" s="317">
        <v>93653</v>
      </c>
      <c r="B1285" s="895">
        <v>93653</v>
      </c>
      <c r="C1285" s="896" t="s">
        <v>596</v>
      </c>
      <c r="D1285" s="906" t="s">
        <v>1215</v>
      </c>
      <c r="E1285" s="907">
        <f>GLOBAL_DER_FEV_2023!E1285</f>
        <v>0</v>
      </c>
      <c r="F1285" s="908">
        <f>GLOBAL_DER_FEV_2023!F1285</f>
        <v>0</v>
      </c>
      <c r="G1285" s="912">
        <f>GLOBAL_DER_FEV_2023!G1285</f>
        <v>0</v>
      </c>
      <c r="H1285" s="901">
        <f>GLOBAL_DER_FEV_2023!H1285</f>
        <v>12.16</v>
      </c>
      <c r="I1285" s="901">
        <f>GLOBAL_DER_FEV_2023!I1285</f>
        <v>12.16</v>
      </c>
      <c r="J1285" s="902">
        <f>GLOBAL_DER_FEV_2023!J1285</f>
        <v>14.6</v>
      </c>
      <c r="K1285" s="903" t="s">
        <v>1516</v>
      </c>
      <c r="L1285" s="1137"/>
      <c r="M1285" s="1138">
        <f t="shared" si="92"/>
        <v>0</v>
      </c>
      <c r="N1285" s="893">
        <f t="shared" si="96"/>
        <v>0</v>
      </c>
      <c r="O1285" s="905"/>
      <c r="Q1285" s="317" t="str">
        <f t="shared" si="93"/>
        <v/>
      </c>
      <c r="R1285" s="317" t="str">
        <f t="shared" si="94"/>
        <v/>
      </c>
      <c r="S1285" s="317" t="str">
        <f t="shared" si="95"/>
        <v/>
      </c>
      <c r="T1285" s="317" t="str">
        <f>GLOBAL_DER_FEV_2023!S1285</f>
        <v/>
      </c>
      <c r="W1285" s="582">
        <v>0</v>
      </c>
      <c r="X1285" s="580"/>
      <c r="Y1285" s="583">
        <f>IF(GLOBAL_DER_FEV_2023!W1285=0,0,IF(GLOBAL_DER_FEV_2023!W1285&gt;0,"c","b"))</f>
        <v>0</v>
      </c>
    </row>
    <row r="1286" spans="1:25" ht="23.25" hidden="1" thickBot="1" x14ac:dyDescent="0.25">
      <c r="A1286" s="317">
        <v>93654</v>
      </c>
      <c r="B1286" s="895">
        <v>93654</v>
      </c>
      <c r="C1286" s="896" t="s">
        <v>596</v>
      </c>
      <c r="D1286" s="906" t="s">
        <v>1216</v>
      </c>
      <c r="E1286" s="907">
        <f>GLOBAL_DER_FEV_2023!E1286</f>
        <v>0</v>
      </c>
      <c r="F1286" s="908">
        <f>GLOBAL_DER_FEV_2023!F1286</f>
        <v>0</v>
      </c>
      <c r="G1286" s="912">
        <f>GLOBAL_DER_FEV_2023!G1286</f>
        <v>0</v>
      </c>
      <c r="H1286" s="901">
        <f>GLOBAL_DER_FEV_2023!H1286</f>
        <v>12.9</v>
      </c>
      <c r="I1286" s="901">
        <f>GLOBAL_DER_FEV_2023!I1286</f>
        <v>12.9</v>
      </c>
      <c r="J1286" s="902">
        <f>GLOBAL_DER_FEV_2023!J1286</f>
        <v>15.49</v>
      </c>
      <c r="K1286" s="903" t="s">
        <v>1516</v>
      </c>
      <c r="L1286" s="1137"/>
      <c r="M1286" s="1138">
        <f t="shared" si="92"/>
        <v>0</v>
      </c>
      <c r="N1286" s="893">
        <f t="shared" si="96"/>
        <v>0</v>
      </c>
      <c r="O1286" s="905"/>
      <c r="Q1286" s="317" t="str">
        <f t="shared" si="93"/>
        <v/>
      </c>
      <c r="R1286" s="317" t="str">
        <f t="shared" si="94"/>
        <v/>
      </c>
      <c r="S1286" s="317" t="str">
        <f t="shared" si="95"/>
        <v/>
      </c>
      <c r="T1286" s="317" t="str">
        <f>GLOBAL_DER_FEV_2023!S1286</f>
        <v/>
      </c>
      <c r="W1286" s="582">
        <v>0</v>
      </c>
      <c r="X1286" s="580"/>
      <c r="Y1286" s="583">
        <f>IF(GLOBAL_DER_FEV_2023!W1286=0,0,IF(GLOBAL_DER_FEV_2023!W1286&gt;0,"c","b"))</f>
        <v>0</v>
      </c>
    </row>
    <row r="1287" spans="1:25" ht="23.25" hidden="1" thickBot="1" x14ac:dyDescent="0.25">
      <c r="A1287" s="317">
        <v>93655</v>
      </c>
      <c r="B1287" s="895">
        <v>93655</v>
      </c>
      <c r="C1287" s="896" t="s">
        <v>596</v>
      </c>
      <c r="D1287" s="906" t="s">
        <v>1217</v>
      </c>
      <c r="E1287" s="907">
        <f>GLOBAL_DER_FEV_2023!E1287</f>
        <v>0</v>
      </c>
      <c r="F1287" s="908">
        <f>GLOBAL_DER_FEV_2023!F1287</f>
        <v>0</v>
      </c>
      <c r="G1287" s="912">
        <f>GLOBAL_DER_FEV_2023!G1287</f>
        <v>0</v>
      </c>
      <c r="H1287" s="901">
        <f>GLOBAL_DER_FEV_2023!H1287</f>
        <v>14.29</v>
      </c>
      <c r="I1287" s="901">
        <f>GLOBAL_DER_FEV_2023!I1287</f>
        <v>14.29</v>
      </c>
      <c r="J1287" s="902">
        <f>GLOBAL_DER_FEV_2023!J1287</f>
        <v>17.16</v>
      </c>
      <c r="K1287" s="903" t="s">
        <v>1516</v>
      </c>
      <c r="L1287" s="1137"/>
      <c r="M1287" s="1138">
        <f t="shared" si="92"/>
        <v>0</v>
      </c>
      <c r="N1287" s="893">
        <f t="shared" si="96"/>
        <v>0</v>
      </c>
      <c r="O1287" s="905"/>
      <c r="Q1287" s="317" t="str">
        <f t="shared" si="93"/>
        <v/>
      </c>
      <c r="R1287" s="317" t="str">
        <f t="shared" si="94"/>
        <v/>
      </c>
      <c r="S1287" s="317" t="str">
        <f t="shared" si="95"/>
        <v/>
      </c>
      <c r="T1287" s="317" t="str">
        <f>GLOBAL_DER_FEV_2023!S1287</f>
        <v/>
      </c>
      <c r="W1287" s="582">
        <v>0</v>
      </c>
      <c r="X1287" s="580"/>
      <c r="Y1287" s="583">
        <f>IF(GLOBAL_DER_FEV_2023!W1287=0,0,IF(GLOBAL_DER_FEV_2023!W1287&gt;0,"c","b"))</f>
        <v>0</v>
      </c>
    </row>
    <row r="1288" spans="1:25" ht="23.25" hidden="1" thickBot="1" x14ac:dyDescent="0.25">
      <c r="A1288" s="317">
        <v>93656</v>
      </c>
      <c r="B1288" s="895">
        <v>93656</v>
      </c>
      <c r="C1288" s="896" t="s">
        <v>596</v>
      </c>
      <c r="D1288" s="906" t="s">
        <v>1218</v>
      </c>
      <c r="E1288" s="907">
        <f>GLOBAL_DER_FEV_2023!E1288</f>
        <v>0</v>
      </c>
      <c r="F1288" s="908">
        <f>GLOBAL_DER_FEV_2023!F1288</f>
        <v>0</v>
      </c>
      <c r="G1288" s="912">
        <f>GLOBAL_DER_FEV_2023!G1288</f>
        <v>0</v>
      </c>
      <c r="H1288" s="901">
        <f>GLOBAL_DER_FEV_2023!H1288</f>
        <v>14.29</v>
      </c>
      <c r="I1288" s="901">
        <f>GLOBAL_DER_FEV_2023!I1288</f>
        <v>14.29</v>
      </c>
      <c r="J1288" s="902">
        <f>GLOBAL_DER_FEV_2023!J1288</f>
        <v>17.16</v>
      </c>
      <c r="K1288" s="903" t="s">
        <v>1516</v>
      </c>
      <c r="L1288" s="1137"/>
      <c r="M1288" s="1138">
        <f t="shared" si="92"/>
        <v>0</v>
      </c>
      <c r="N1288" s="893">
        <f t="shared" si="96"/>
        <v>0</v>
      </c>
      <c r="O1288" s="905"/>
      <c r="Q1288" s="317" t="str">
        <f t="shared" si="93"/>
        <v/>
      </c>
      <c r="R1288" s="317" t="str">
        <f t="shared" si="94"/>
        <v/>
      </c>
      <c r="S1288" s="317" t="str">
        <f t="shared" si="95"/>
        <v/>
      </c>
      <c r="T1288" s="317" t="str">
        <f>GLOBAL_DER_FEV_2023!S1288</f>
        <v/>
      </c>
      <c r="W1288" s="582">
        <v>0</v>
      </c>
      <c r="X1288" s="580"/>
      <c r="Y1288" s="583">
        <f>IF(GLOBAL_DER_FEV_2023!W1288=0,0,IF(GLOBAL_DER_FEV_2023!W1288&gt;0,"c","b"))</f>
        <v>0</v>
      </c>
    </row>
    <row r="1289" spans="1:25" ht="23.25" hidden="1" thickBot="1" x14ac:dyDescent="0.25">
      <c r="A1289" s="317">
        <v>93657</v>
      </c>
      <c r="B1289" s="895">
        <v>93657</v>
      </c>
      <c r="C1289" s="896" t="s">
        <v>596</v>
      </c>
      <c r="D1289" s="906" t="s">
        <v>1219</v>
      </c>
      <c r="E1289" s="907">
        <f>GLOBAL_DER_FEV_2023!E1289</f>
        <v>0</v>
      </c>
      <c r="F1289" s="908">
        <f>GLOBAL_DER_FEV_2023!F1289</f>
        <v>0</v>
      </c>
      <c r="G1289" s="912">
        <f>GLOBAL_DER_FEV_2023!G1289</f>
        <v>0</v>
      </c>
      <c r="H1289" s="901">
        <f>GLOBAL_DER_FEV_2023!H1289</f>
        <v>15.99</v>
      </c>
      <c r="I1289" s="901">
        <f>GLOBAL_DER_FEV_2023!I1289</f>
        <v>15.99</v>
      </c>
      <c r="J1289" s="902">
        <f>GLOBAL_DER_FEV_2023!J1289</f>
        <v>19.2</v>
      </c>
      <c r="K1289" s="903" t="s">
        <v>1516</v>
      </c>
      <c r="L1289" s="1137"/>
      <c r="M1289" s="1138">
        <f t="shared" si="92"/>
        <v>0</v>
      </c>
      <c r="N1289" s="893">
        <f t="shared" si="96"/>
        <v>0</v>
      </c>
      <c r="O1289" s="905"/>
      <c r="Q1289" s="317" t="str">
        <f t="shared" si="93"/>
        <v/>
      </c>
      <c r="R1289" s="317" t="str">
        <f t="shared" si="94"/>
        <v/>
      </c>
      <c r="S1289" s="317" t="str">
        <f t="shared" si="95"/>
        <v/>
      </c>
      <c r="T1289" s="317" t="str">
        <f>GLOBAL_DER_FEV_2023!S1289</f>
        <v/>
      </c>
      <c r="W1289" s="582">
        <v>0</v>
      </c>
      <c r="X1289" s="580"/>
      <c r="Y1289" s="583">
        <f>IF(GLOBAL_DER_FEV_2023!W1289=0,0,IF(GLOBAL_DER_FEV_2023!W1289&gt;0,"c","b"))</f>
        <v>0</v>
      </c>
    </row>
    <row r="1290" spans="1:25" ht="23.25" hidden="1" thickBot="1" x14ac:dyDescent="0.25">
      <c r="A1290" s="317">
        <v>93658</v>
      </c>
      <c r="B1290" s="895">
        <v>93658</v>
      </c>
      <c r="C1290" s="896" t="s">
        <v>596</v>
      </c>
      <c r="D1290" s="906" t="s">
        <v>1220</v>
      </c>
      <c r="E1290" s="907">
        <f>GLOBAL_DER_FEV_2023!E1290</f>
        <v>0</v>
      </c>
      <c r="F1290" s="908">
        <f>GLOBAL_DER_FEV_2023!F1290</f>
        <v>0</v>
      </c>
      <c r="G1290" s="912">
        <f>GLOBAL_DER_FEV_2023!G1290</f>
        <v>0</v>
      </c>
      <c r="H1290" s="901">
        <f>GLOBAL_DER_FEV_2023!H1290</f>
        <v>23.17</v>
      </c>
      <c r="I1290" s="901">
        <f>GLOBAL_DER_FEV_2023!I1290</f>
        <v>23.17</v>
      </c>
      <c r="J1290" s="902">
        <f>GLOBAL_DER_FEV_2023!J1290</f>
        <v>27.82</v>
      </c>
      <c r="K1290" s="903" t="s">
        <v>1516</v>
      </c>
      <c r="L1290" s="1137"/>
      <c r="M1290" s="1138">
        <f t="shared" si="92"/>
        <v>0</v>
      </c>
      <c r="N1290" s="893">
        <f t="shared" si="96"/>
        <v>0</v>
      </c>
      <c r="O1290" s="905"/>
      <c r="Q1290" s="317" t="str">
        <f t="shared" si="93"/>
        <v/>
      </c>
      <c r="R1290" s="317" t="str">
        <f t="shared" si="94"/>
        <v/>
      </c>
      <c r="S1290" s="317" t="str">
        <f t="shared" si="95"/>
        <v/>
      </c>
      <c r="T1290" s="317" t="str">
        <f>GLOBAL_DER_FEV_2023!S1290</f>
        <v/>
      </c>
      <c r="W1290" s="582">
        <v>0</v>
      </c>
      <c r="X1290" s="580"/>
      <c r="Y1290" s="583">
        <f>IF(GLOBAL_DER_FEV_2023!W1290=0,0,IF(GLOBAL_DER_FEV_2023!W1290&gt;0,"c","b"))</f>
        <v>0</v>
      </c>
    </row>
    <row r="1291" spans="1:25" ht="23.25" hidden="1" thickBot="1" x14ac:dyDescent="0.25">
      <c r="A1291" s="317">
        <v>93659</v>
      </c>
      <c r="B1291" s="895">
        <v>93659</v>
      </c>
      <c r="C1291" s="896" t="s">
        <v>596</v>
      </c>
      <c r="D1291" s="906" t="s">
        <v>1221</v>
      </c>
      <c r="E1291" s="907">
        <f>GLOBAL_DER_FEV_2023!E1291</f>
        <v>0</v>
      </c>
      <c r="F1291" s="908">
        <f>GLOBAL_DER_FEV_2023!F1291</f>
        <v>0</v>
      </c>
      <c r="G1291" s="912">
        <f>GLOBAL_DER_FEV_2023!G1291</f>
        <v>0</v>
      </c>
      <c r="H1291" s="901">
        <f>GLOBAL_DER_FEV_2023!H1291</f>
        <v>26.68</v>
      </c>
      <c r="I1291" s="901">
        <f>GLOBAL_DER_FEV_2023!I1291</f>
        <v>26.68</v>
      </c>
      <c r="J1291" s="902">
        <f>GLOBAL_DER_FEV_2023!J1291</f>
        <v>32.03</v>
      </c>
      <c r="K1291" s="903" t="s">
        <v>1516</v>
      </c>
      <c r="L1291" s="1137"/>
      <c r="M1291" s="1138">
        <f t="shared" si="92"/>
        <v>0</v>
      </c>
      <c r="N1291" s="893">
        <f t="shared" si="96"/>
        <v>0</v>
      </c>
      <c r="O1291" s="905"/>
      <c r="Q1291" s="317" t="str">
        <f t="shared" si="93"/>
        <v/>
      </c>
      <c r="R1291" s="317" t="str">
        <f t="shared" si="94"/>
        <v/>
      </c>
      <c r="S1291" s="317" t="str">
        <f t="shared" si="95"/>
        <v/>
      </c>
      <c r="T1291" s="317" t="str">
        <f>GLOBAL_DER_FEV_2023!S1291</f>
        <v/>
      </c>
      <c r="W1291" s="582">
        <v>0</v>
      </c>
      <c r="X1291" s="580"/>
      <c r="Y1291" s="583">
        <f>IF(GLOBAL_DER_FEV_2023!W1291=0,0,IF(GLOBAL_DER_FEV_2023!W1291&gt;0,"c","b"))</f>
        <v>0</v>
      </c>
    </row>
    <row r="1292" spans="1:25" ht="23.25" hidden="1" thickBot="1" x14ac:dyDescent="0.25">
      <c r="A1292" s="317">
        <v>101890</v>
      </c>
      <c r="B1292" s="895">
        <v>101890</v>
      </c>
      <c r="C1292" s="896" t="s">
        <v>596</v>
      </c>
      <c r="D1292" s="906" t="s">
        <v>1222</v>
      </c>
      <c r="E1292" s="907">
        <f>GLOBAL_DER_FEV_2023!E1292</f>
        <v>0</v>
      </c>
      <c r="F1292" s="908">
        <f>GLOBAL_DER_FEV_2023!F1292</f>
        <v>0</v>
      </c>
      <c r="G1292" s="912">
        <f>GLOBAL_DER_FEV_2023!G1292</f>
        <v>0</v>
      </c>
      <c r="H1292" s="901">
        <f>GLOBAL_DER_FEV_2023!H1292</f>
        <v>17</v>
      </c>
      <c r="I1292" s="901">
        <f>GLOBAL_DER_FEV_2023!I1292</f>
        <v>17</v>
      </c>
      <c r="J1292" s="902">
        <f>GLOBAL_DER_FEV_2023!J1292</f>
        <v>20.41</v>
      </c>
      <c r="K1292" s="903" t="s">
        <v>1516</v>
      </c>
      <c r="L1292" s="1137"/>
      <c r="M1292" s="1138">
        <f t="shared" si="92"/>
        <v>0</v>
      </c>
      <c r="N1292" s="893">
        <f t="shared" si="96"/>
        <v>0</v>
      </c>
      <c r="O1292" s="905"/>
      <c r="Q1292" s="317" t="str">
        <f t="shared" si="93"/>
        <v/>
      </c>
      <c r="R1292" s="317" t="str">
        <f t="shared" si="94"/>
        <v/>
      </c>
      <c r="S1292" s="317" t="str">
        <f t="shared" si="95"/>
        <v/>
      </c>
      <c r="T1292" s="317" t="str">
        <f>GLOBAL_DER_FEV_2023!S1292</f>
        <v/>
      </c>
      <c r="W1292" s="582">
        <v>0</v>
      </c>
      <c r="X1292" s="580"/>
      <c r="Y1292" s="583">
        <f>IF(GLOBAL_DER_FEV_2023!W1292=0,0,IF(GLOBAL_DER_FEV_2023!W1292&gt;0,"c","b"))</f>
        <v>0</v>
      </c>
    </row>
    <row r="1293" spans="1:25" ht="23.25" hidden="1" thickBot="1" x14ac:dyDescent="0.25">
      <c r="A1293" s="317">
        <v>101891</v>
      </c>
      <c r="B1293" s="895">
        <v>101891</v>
      </c>
      <c r="C1293" s="896" t="s">
        <v>596</v>
      </c>
      <c r="D1293" s="906" t="s">
        <v>1223</v>
      </c>
      <c r="E1293" s="907">
        <f>GLOBAL_DER_FEV_2023!E1293</f>
        <v>0</v>
      </c>
      <c r="F1293" s="908">
        <f>GLOBAL_DER_FEV_2023!F1293</f>
        <v>0</v>
      </c>
      <c r="G1293" s="912">
        <f>GLOBAL_DER_FEV_2023!G1293</f>
        <v>0</v>
      </c>
      <c r="H1293" s="901">
        <f>GLOBAL_DER_FEV_2023!H1293</f>
        <v>29.51</v>
      </c>
      <c r="I1293" s="901">
        <f>GLOBAL_DER_FEV_2023!I1293</f>
        <v>29.51</v>
      </c>
      <c r="J1293" s="902">
        <f>GLOBAL_DER_FEV_2023!J1293</f>
        <v>35.43</v>
      </c>
      <c r="K1293" s="903" t="s">
        <v>1516</v>
      </c>
      <c r="L1293" s="1137"/>
      <c r="M1293" s="1138">
        <f t="shared" si="92"/>
        <v>0</v>
      </c>
      <c r="N1293" s="893">
        <f t="shared" si="96"/>
        <v>0</v>
      </c>
      <c r="O1293" s="905"/>
      <c r="Q1293" s="317" t="str">
        <f t="shared" si="93"/>
        <v/>
      </c>
      <c r="R1293" s="317" t="str">
        <f t="shared" si="94"/>
        <v/>
      </c>
      <c r="S1293" s="317" t="str">
        <f t="shared" si="95"/>
        <v/>
      </c>
      <c r="T1293" s="317" t="str">
        <f>GLOBAL_DER_FEV_2023!S1293</f>
        <v/>
      </c>
      <c r="W1293" s="582">
        <v>0</v>
      </c>
      <c r="X1293" s="580"/>
      <c r="Y1293" s="583">
        <f>IF(GLOBAL_DER_FEV_2023!W1293=0,0,IF(GLOBAL_DER_FEV_2023!W1293&gt;0,"c","b"))</f>
        <v>0</v>
      </c>
    </row>
    <row r="1294" spans="1:25" ht="23.25" hidden="1" thickBot="1" x14ac:dyDescent="0.25">
      <c r="A1294" s="317">
        <v>93660</v>
      </c>
      <c r="B1294" s="895">
        <v>93660</v>
      </c>
      <c r="C1294" s="896" t="s">
        <v>596</v>
      </c>
      <c r="D1294" s="906" t="s">
        <v>1224</v>
      </c>
      <c r="E1294" s="907">
        <f>GLOBAL_DER_FEV_2023!E1294</f>
        <v>0</v>
      </c>
      <c r="F1294" s="908">
        <f>GLOBAL_DER_FEV_2023!F1294</f>
        <v>0</v>
      </c>
      <c r="G1294" s="912">
        <f>GLOBAL_DER_FEV_2023!G1294</f>
        <v>0</v>
      </c>
      <c r="H1294" s="901">
        <f>GLOBAL_DER_FEV_2023!H1294</f>
        <v>58.62</v>
      </c>
      <c r="I1294" s="901">
        <f>GLOBAL_DER_FEV_2023!I1294</f>
        <v>58.62</v>
      </c>
      <c r="J1294" s="902">
        <f>GLOBAL_DER_FEV_2023!J1294</f>
        <v>70.39</v>
      </c>
      <c r="K1294" s="903" t="s">
        <v>1516</v>
      </c>
      <c r="L1294" s="1137"/>
      <c r="M1294" s="1138">
        <f t="shared" si="92"/>
        <v>0</v>
      </c>
      <c r="N1294" s="893">
        <f t="shared" si="96"/>
        <v>0</v>
      </c>
      <c r="O1294" s="905"/>
      <c r="Q1294" s="317" t="str">
        <f t="shared" si="93"/>
        <v/>
      </c>
      <c r="R1294" s="317" t="str">
        <f t="shared" si="94"/>
        <v/>
      </c>
      <c r="S1294" s="317" t="str">
        <f t="shared" si="95"/>
        <v/>
      </c>
      <c r="T1294" s="317" t="str">
        <f>GLOBAL_DER_FEV_2023!S1294</f>
        <v/>
      </c>
      <c r="W1294" s="582">
        <v>0</v>
      </c>
      <c r="X1294" s="580"/>
      <c r="Y1294" s="583">
        <f>IF(GLOBAL_DER_FEV_2023!W1294=0,0,IF(GLOBAL_DER_FEV_2023!W1294&gt;0,"c","b"))</f>
        <v>0</v>
      </c>
    </row>
    <row r="1295" spans="1:25" ht="23.25" hidden="1" thickBot="1" x14ac:dyDescent="0.25">
      <c r="A1295" s="317">
        <v>93661</v>
      </c>
      <c r="B1295" s="895">
        <v>93661</v>
      </c>
      <c r="C1295" s="896" t="s">
        <v>596</v>
      </c>
      <c r="D1295" s="906" t="s">
        <v>1225</v>
      </c>
      <c r="E1295" s="907">
        <f>GLOBAL_DER_FEV_2023!E1295</f>
        <v>0</v>
      </c>
      <c r="F1295" s="908">
        <f>GLOBAL_DER_FEV_2023!F1295</f>
        <v>0</v>
      </c>
      <c r="G1295" s="912">
        <f>GLOBAL_DER_FEV_2023!G1295</f>
        <v>0</v>
      </c>
      <c r="H1295" s="901">
        <f>GLOBAL_DER_FEV_2023!H1295</f>
        <v>60.11</v>
      </c>
      <c r="I1295" s="901">
        <f>GLOBAL_DER_FEV_2023!I1295</f>
        <v>60.11</v>
      </c>
      <c r="J1295" s="902">
        <f>GLOBAL_DER_FEV_2023!J1295</f>
        <v>72.17</v>
      </c>
      <c r="K1295" s="903" t="s">
        <v>1516</v>
      </c>
      <c r="L1295" s="1137"/>
      <c r="M1295" s="1138">
        <f t="shared" si="92"/>
        <v>0</v>
      </c>
      <c r="N1295" s="893">
        <f t="shared" si="96"/>
        <v>0</v>
      </c>
      <c r="O1295" s="905"/>
      <c r="Q1295" s="317" t="str">
        <f t="shared" si="93"/>
        <v/>
      </c>
      <c r="R1295" s="317" t="str">
        <f t="shared" si="94"/>
        <v/>
      </c>
      <c r="S1295" s="317" t="str">
        <f t="shared" si="95"/>
        <v/>
      </c>
      <c r="T1295" s="317" t="str">
        <f>GLOBAL_DER_FEV_2023!S1295</f>
        <v/>
      </c>
      <c r="W1295" s="582">
        <v>0</v>
      </c>
      <c r="X1295" s="580"/>
      <c r="Y1295" s="583">
        <f>IF(GLOBAL_DER_FEV_2023!W1295=0,0,IF(GLOBAL_DER_FEV_2023!W1295&gt;0,"c","b"))</f>
        <v>0</v>
      </c>
    </row>
    <row r="1296" spans="1:25" ht="23.25" hidden="1" thickBot="1" x14ac:dyDescent="0.25">
      <c r="A1296" s="317">
        <v>93662</v>
      </c>
      <c r="B1296" s="895">
        <v>93662</v>
      </c>
      <c r="C1296" s="896" t="s">
        <v>596</v>
      </c>
      <c r="D1296" s="906" t="s">
        <v>1226</v>
      </c>
      <c r="E1296" s="907">
        <f>GLOBAL_DER_FEV_2023!E1296</f>
        <v>0</v>
      </c>
      <c r="F1296" s="908">
        <f>GLOBAL_DER_FEV_2023!F1296</f>
        <v>0</v>
      </c>
      <c r="G1296" s="912">
        <f>GLOBAL_DER_FEV_2023!G1296</f>
        <v>0</v>
      </c>
      <c r="H1296" s="901">
        <f>GLOBAL_DER_FEV_2023!H1296</f>
        <v>62.87</v>
      </c>
      <c r="I1296" s="901">
        <f>GLOBAL_DER_FEV_2023!I1296</f>
        <v>62.87</v>
      </c>
      <c r="J1296" s="902">
        <f>GLOBAL_DER_FEV_2023!J1296</f>
        <v>75.489999999999995</v>
      </c>
      <c r="K1296" s="903" t="s">
        <v>1516</v>
      </c>
      <c r="L1296" s="1137"/>
      <c r="M1296" s="1138">
        <f t="shared" si="92"/>
        <v>0</v>
      </c>
      <c r="N1296" s="893">
        <f t="shared" si="96"/>
        <v>0</v>
      </c>
      <c r="O1296" s="905"/>
      <c r="Q1296" s="317" t="str">
        <f t="shared" si="93"/>
        <v/>
      </c>
      <c r="R1296" s="317" t="str">
        <f t="shared" si="94"/>
        <v/>
      </c>
      <c r="S1296" s="317" t="str">
        <f t="shared" si="95"/>
        <v/>
      </c>
      <c r="T1296" s="317" t="str">
        <f>GLOBAL_DER_FEV_2023!S1296</f>
        <v/>
      </c>
      <c r="W1296" s="582">
        <v>0</v>
      </c>
      <c r="X1296" s="580"/>
      <c r="Y1296" s="583">
        <f>IF(GLOBAL_DER_FEV_2023!W1296=0,0,IF(GLOBAL_DER_FEV_2023!W1296&gt;0,"c","b"))</f>
        <v>0</v>
      </c>
    </row>
    <row r="1297" spans="1:25" ht="23.25" hidden="1" thickBot="1" x14ac:dyDescent="0.25">
      <c r="A1297" s="317">
        <v>93663</v>
      </c>
      <c r="B1297" s="895">
        <v>93663</v>
      </c>
      <c r="C1297" s="896" t="s">
        <v>596</v>
      </c>
      <c r="D1297" s="906" t="s">
        <v>1227</v>
      </c>
      <c r="E1297" s="907">
        <f>GLOBAL_DER_FEV_2023!E1297</f>
        <v>0</v>
      </c>
      <c r="F1297" s="908">
        <f>GLOBAL_DER_FEV_2023!F1297</f>
        <v>0</v>
      </c>
      <c r="G1297" s="912">
        <f>GLOBAL_DER_FEV_2023!G1297</f>
        <v>0</v>
      </c>
      <c r="H1297" s="901">
        <f>GLOBAL_DER_FEV_2023!H1297</f>
        <v>62.87</v>
      </c>
      <c r="I1297" s="901">
        <f>GLOBAL_DER_FEV_2023!I1297</f>
        <v>62.87</v>
      </c>
      <c r="J1297" s="902">
        <f>GLOBAL_DER_FEV_2023!J1297</f>
        <v>75.489999999999995</v>
      </c>
      <c r="K1297" s="903" t="s">
        <v>1516</v>
      </c>
      <c r="L1297" s="1137"/>
      <c r="M1297" s="1138">
        <f t="shared" si="92"/>
        <v>0</v>
      </c>
      <c r="N1297" s="893">
        <f t="shared" si="96"/>
        <v>0</v>
      </c>
      <c r="O1297" s="905"/>
      <c r="Q1297" s="317" t="str">
        <f t="shared" si="93"/>
        <v/>
      </c>
      <c r="R1297" s="317" t="str">
        <f t="shared" si="94"/>
        <v/>
      </c>
      <c r="S1297" s="317" t="str">
        <f t="shared" si="95"/>
        <v/>
      </c>
      <c r="T1297" s="317" t="str">
        <f>GLOBAL_DER_FEV_2023!S1297</f>
        <v/>
      </c>
      <c r="W1297" s="582">
        <v>0</v>
      </c>
      <c r="X1297" s="580"/>
      <c r="Y1297" s="583">
        <f>IF(GLOBAL_DER_FEV_2023!W1297=0,0,IF(GLOBAL_DER_FEV_2023!W1297&gt;0,"c","b"))</f>
        <v>0</v>
      </c>
    </row>
    <row r="1298" spans="1:25" ht="23.25" hidden="1" thickBot="1" x14ac:dyDescent="0.25">
      <c r="A1298" s="317">
        <v>93664</v>
      </c>
      <c r="B1298" s="895">
        <v>93664</v>
      </c>
      <c r="C1298" s="896" t="s">
        <v>596</v>
      </c>
      <c r="D1298" s="906" t="s">
        <v>1228</v>
      </c>
      <c r="E1298" s="907">
        <f>GLOBAL_DER_FEV_2023!E1298</f>
        <v>0</v>
      </c>
      <c r="F1298" s="908">
        <f>GLOBAL_DER_FEV_2023!F1298</f>
        <v>0</v>
      </c>
      <c r="G1298" s="912">
        <f>GLOBAL_DER_FEV_2023!G1298</f>
        <v>0</v>
      </c>
      <c r="H1298" s="901">
        <f>GLOBAL_DER_FEV_2023!H1298</f>
        <v>66.28</v>
      </c>
      <c r="I1298" s="901">
        <f>GLOBAL_DER_FEV_2023!I1298</f>
        <v>66.28</v>
      </c>
      <c r="J1298" s="902">
        <f>GLOBAL_DER_FEV_2023!J1298</f>
        <v>79.58</v>
      </c>
      <c r="K1298" s="903" t="s">
        <v>1516</v>
      </c>
      <c r="L1298" s="1137"/>
      <c r="M1298" s="1138">
        <f t="shared" ref="M1298:M1361" si="97">IF(L1298=0,0,ROUND(J1298,2))</f>
        <v>0</v>
      </c>
      <c r="N1298" s="893">
        <f t="shared" si="96"/>
        <v>0</v>
      </c>
      <c r="O1298" s="905"/>
      <c r="Q1298" s="317" t="str">
        <f t="shared" si="93"/>
        <v/>
      </c>
      <c r="R1298" s="317" t="str">
        <f t="shared" si="94"/>
        <v/>
      </c>
      <c r="S1298" s="317" t="str">
        <f t="shared" si="95"/>
        <v/>
      </c>
      <c r="T1298" s="317" t="str">
        <f>GLOBAL_DER_FEV_2023!S1298</f>
        <v/>
      </c>
      <c r="W1298" s="582">
        <v>0</v>
      </c>
      <c r="X1298" s="580"/>
      <c r="Y1298" s="583">
        <f>IF(GLOBAL_DER_FEV_2023!W1298=0,0,IF(GLOBAL_DER_FEV_2023!W1298&gt;0,"c","b"))</f>
        <v>0</v>
      </c>
    </row>
    <row r="1299" spans="1:25" ht="23.25" hidden="1" thickBot="1" x14ac:dyDescent="0.25">
      <c r="A1299" s="317">
        <v>93665</v>
      </c>
      <c r="B1299" s="895">
        <v>93665</v>
      </c>
      <c r="C1299" s="896" t="s">
        <v>596</v>
      </c>
      <c r="D1299" s="906" t="s">
        <v>1229</v>
      </c>
      <c r="E1299" s="907">
        <f>GLOBAL_DER_FEV_2023!E1299</f>
        <v>0</v>
      </c>
      <c r="F1299" s="908">
        <f>GLOBAL_DER_FEV_2023!F1299</f>
        <v>0</v>
      </c>
      <c r="G1299" s="912">
        <f>GLOBAL_DER_FEV_2023!G1299</f>
        <v>0</v>
      </c>
      <c r="H1299" s="901">
        <f>GLOBAL_DER_FEV_2023!H1299</f>
        <v>70.98</v>
      </c>
      <c r="I1299" s="901">
        <f>GLOBAL_DER_FEV_2023!I1299</f>
        <v>70.98</v>
      </c>
      <c r="J1299" s="902">
        <f>GLOBAL_DER_FEV_2023!J1299</f>
        <v>85.23</v>
      </c>
      <c r="K1299" s="903" t="s">
        <v>1516</v>
      </c>
      <c r="L1299" s="1137"/>
      <c r="M1299" s="1138">
        <f t="shared" si="97"/>
        <v>0</v>
      </c>
      <c r="N1299" s="893">
        <f t="shared" si="96"/>
        <v>0</v>
      </c>
      <c r="O1299" s="905"/>
      <c r="Q1299" s="317" t="str">
        <f t="shared" si="93"/>
        <v/>
      </c>
      <c r="R1299" s="317" t="str">
        <f t="shared" si="94"/>
        <v/>
      </c>
      <c r="S1299" s="317" t="str">
        <f t="shared" si="95"/>
        <v/>
      </c>
      <c r="T1299" s="317" t="str">
        <f>GLOBAL_DER_FEV_2023!S1299</f>
        <v/>
      </c>
      <c r="W1299" s="582">
        <v>0</v>
      </c>
      <c r="X1299" s="580"/>
      <c r="Y1299" s="583">
        <f>IF(GLOBAL_DER_FEV_2023!W1299=0,0,IF(GLOBAL_DER_FEV_2023!W1299&gt;0,"c","b"))</f>
        <v>0</v>
      </c>
    </row>
    <row r="1300" spans="1:25" ht="23.25" hidden="1" thickBot="1" x14ac:dyDescent="0.25">
      <c r="A1300" s="317">
        <v>93666</v>
      </c>
      <c r="B1300" s="895">
        <v>93666</v>
      </c>
      <c r="C1300" s="896" t="s">
        <v>596</v>
      </c>
      <c r="D1300" s="906" t="s">
        <v>1230</v>
      </c>
      <c r="E1300" s="907">
        <f>GLOBAL_DER_FEV_2023!E1300</f>
        <v>0</v>
      </c>
      <c r="F1300" s="908">
        <f>GLOBAL_DER_FEV_2023!F1300</f>
        <v>0</v>
      </c>
      <c r="G1300" s="912">
        <f>GLOBAL_DER_FEV_2023!G1300</f>
        <v>0</v>
      </c>
      <c r="H1300" s="901">
        <f>GLOBAL_DER_FEV_2023!H1300</f>
        <v>77.989999999999995</v>
      </c>
      <c r="I1300" s="901">
        <f>GLOBAL_DER_FEV_2023!I1300</f>
        <v>77.989999999999995</v>
      </c>
      <c r="J1300" s="902">
        <f>GLOBAL_DER_FEV_2023!J1300</f>
        <v>93.64</v>
      </c>
      <c r="K1300" s="903" t="s">
        <v>1516</v>
      </c>
      <c r="L1300" s="1137"/>
      <c r="M1300" s="1138">
        <f t="shared" si="97"/>
        <v>0</v>
      </c>
      <c r="N1300" s="893">
        <f t="shared" si="96"/>
        <v>0</v>
      </c>
      <c r="O1300" s="905"/>
      <c r="Q1300" s="317" t="str">
        <f t="shared" si="93"/>
        <v/>
      </c>
      <c r="R1300" s="317" t="str">
        <f t="shared" si="94"/>
        <v/>
      </c>
      <c r="S1300" s="317" t="str">
        <f t="shared" si="95"/>
        <v/>
      </c>
      <c r="T1300" s="317" t="str">
        <f>GLOBAL_DER_FEV_2023!S1300</f>
        <v/>
      </c>
      <c r="W1300" s="582">
        <v>0</v>
      </c>
      <c r="X1300" s="580"/>
      <c r="Y1300" s="583">
        <f>IF(GLOBAL_DER_FEV_2023!W1300=0,0,IF(GLOBAL_DER_FEV_2023!W1300&gt;0,"c","b"))</f>
        <v>0</v>
      </c>
    </row>
    <row r="1301" spans="1:25" ht="23.25" hidden="1" thickBot="1" x14ac:dyDescent="0.25">
      <c r="A1301" s="317">
        <v>101892</v>
      </c>
      <c r="B1301" s="895">
        <v>101892</v>
      </c>
      <c r="C1301" s="896" t="s">
        <v>596</v>
      </c>
      <c r="D1301" s="906" t="s">
        <v>1231</v>
      </c>
      <c r="E1301" s="907">
        <f>GLOBAL_DER_FEV_2023!E1301</f>
        <v>0</v>
      </c>
      <c r="F1301" s="908">
        <f>GLOBAL_DER_FEV_2023!F1301</f>
        <v>0</v>
      </c>
      <c r="G1301" s="912">
        <f>GLOBAL_DER_FEV_2023!G1301</f>
        <v>0</v>
      </c>
      <c r="H1301" s="901">
        <f>GLOBAL_DER_FEV_2023!H1301</f>
        <v>74.239999999999995</v>
      </c>
      <c r="I1301" s="901">
        <f>GLOBAL_DER_FEV_2023!I1301</f>
        <v>74.239999999999995</v>
      </c>
      <c r="J1301" s="902">
        <f>GLOBAL_DER_FEV_2023!J1301</f>
        <v>89.14</v>
      </c>
      <c r="K1301" s="903" t="s">
        <v>1516</v>
      </c>
      <c r="L1301" s="1137"/>
      <c r="M1301" s="1138">
        <f t="shared" si="97"/>
        <v>0</v>
      </c>
      <c r="N1301" s="893">
        <f t="shared" si="96"/>
        <v>0</v>
      </c>
      <c r="O1301" s="905"/>
      <c r="Q1301" s="317" t="str">
        <f t="shared" si="93"/>
        <v/>
      </c>
      <c r="R1301" s="317" t="str">
        <f t="shared" si="94"/>
        <v/>
      </c>
      <c r="S1301" s="317" t="str">
        <f t="shared" si="95"/>
        <v/>
      </c>
      <c r="T1301" s="317" t="str">
        <f>GLOBAL_DER_FEV_2023!S1301</f>
        <v/>
      </c>
      <c r="W1301" s="582">
        <v>0</v>
      </c>
      <c r="X1301" s="580"/>
      <c r="Y1301" s="583">
        <f>IF(GLOBAL_DER_FEV_2023!W1301=0,0,IF(GLOBAL_DER_FEV_2023!W1301&gt;0,"c","b"))</f>
        <v>0</v>
      </c>
    </row>
    <row r="1302" spans="1:25" ht="23.25" hidden="1" thickBot="1" x14ac:dyDescent="0.25">
      <c r="A1302" s="317">
        <v>93667</v>
      </c>
      <c r="B1302" s="895">
        <v>93667</v>
      </c>
      <c r="C1302" s="896" t="s">
        <v>596</v>
      </c>
      <c r="D1302" s="906" t="s">
        <v>1232</v>
      </c>
      <c r="E1302" s="907">
        <f>GLOBAL_DER_FEV_2023!E1302</f>
        <v>0</v>
      </c>
      <c r="F1302" s="908">
        <f>GLOBAL_DER_FEV_2023!F1302</f>
        <v>0</v>
      </c>
      <c r="G1302" s="912">
        <f>GLOBAL_DER_FEV_2023!G1302</f>
        <v>0</v>
      </c>
      <c r="H1302" s="901">
        <f>GLOBAL_DER_FEV_2023!H1302</f>
        <v>73.459999999999994</v>
      </c>
      <c r="I1302" s="901">
        <f>GLOBAL_DER_FEV_2023!I1302</f>
        <v>73.459999999999994</v>
      </c>
      <c r="J1302" s="902">
        <f>GLOBAL_DER_FEV_2023!J1302</f>
        <v>88.2</v>
      </c>
      <c r="K1302" s="903" t="s">
        <v>1516</v>
      </c>
      <c r="L1302" s="1137"/>
      <c r="M1302" s="1138">
        <f t="shared" si="97"/>
        <v>0</v>
      </c>
      <c r="N1302" s="893">
        <f t="shared" si="96"/>
        <v>0</v>
      </c>
      <c r="O1302" s="905"/>
      <c r="Q1302" s="317" t="str">
        <f t="shared" si="93"/>
        <v/>
      </c>
      <c r="R1302" s="317" t="str">
        <f t="shared" si="94"/>
        <v/>
      </c>
      <c r="S1302" s="317" t="str">
        <f t="shared" si="95"/>
        <v/>
      </c>
      <c r="T1302" s="317" t="str">
        <f>GLOBAL_DER_FEV_2023!S1302</f>
        <v/>
      </c>
      <c r="W1302" s="582">
        <v>0</v>
      </c>
      <c r="X1302" s="580"/>
      <c r="Y1302" s="583">
        <f>IF(GLOBAL_DER_FEV_2023!W1302=0,0,IF(GLOBAL_DER_FEV_2023!W1302&gt;0,"c","b"))</f>
        <v>0</v>
      </c>
    </row>
    <row r="1303" spans="1:25" ht="23.25" hidden="1" thickBot="1" x14ac:dyDescent="0.25">
      <c r="A1303" s="317">
        <v>93668</v>
      </c>
      <c r="B1303" s="895">
        <v>93668</v>
      </c>
      <c r="C1303" s="896" t="s">
        <v>596</v>
      </c>
      <c r="D1303" s="906" t="s">
        <v>1233</v>
      </c>
      <c r="E1303" s="907">
        <f>GLOBAL_DER_FEV_2023!E1303</f>
        <v>0</v>
      </c>
      <c r="F1303" s="908">
        <f>GLOBAL_DER_FEV_2023!F1303</f>
        <v>0</v>
      </c>
      <c r="G1303" s="912">
        <f>GLOBAL_DER_FEV_2023!G1303</f>
        <v>0</v>
      </c>
      <c r="H1303" s="901">
        <f>GLOBAL_DER_FEV_2023!H1303</f>
        <v>75.7</v>
      </c>
      <c r="I1303" s="901">
        <f>GLOBAL_DER_FEV_2023!I1303</f>
        <v>75.7</v>
      </c>
      <c r="J1303" s="902">
        <f>GLOBAL_DER_FEV_2023!J1303</f>
        <v>90.89</v>
      </c>
      <c r="K1303" s="903" t="s">
        <v>1516</v>
      </c>
      <c r="L1303" s="1137"/>
      <c r="M1303" s="1138">
        <f t="shared" si="97"/>
        <v>0</v>
      </c>
      <c r="N1303" s="893">
        <f t="shared" si="96"/>
        <v>0</v>
      </c>
      <c r="O1303" s="905"/>
      <c r="Q1303" s="317" t="str">
        <f t="shared" si="93"/>
        <v/>
      </c>
      <c r="R1303" s="317" t="str">
        <f t="shared" si="94"/>
        <v/>
      </c>
      <c r="S1303" s="317" t="str">
        <f t="shared" si="95"/>
        <v/>
      </c>
      <c r="T1303" s="317" t="str">
        <f>GLOBAL_DER_FEV_2023!S1303</f>
        <v/>
      </c>
      <c r="W1303" s="582">
        <v>0</v>
      </c>
      <c r="X1303" s="580"/>
      <c r="Y1303" s="583">
        <f>IF(GLOBAL_DER_FEV_2023!W1303=0,0,IF(GLOBAL_DER_FEV_2023!W1303&gt;0,"c","b"))</f>
        <v>0</v>
      </c>
    </row>
    <row r="1304" spans="1:25" ht="23.25" hidden="1" thickBot="1" x14ac:dyDescent="0.25">
      <c r="A1304" s="317">
        <v>93669</v>
      </c>
      <c r="B1304" s="895">
        <v>93669</v>
      </c>
      <c r="C1304" s="896" t="s">
        <v>596</v>
      </c>
      <c r="D1304" s="906" t="s">
        <v>1234</v>
      </c>
      <c r="E1304" s="907">
        <f>GLOBAL_DER_FEV_2023!E1304</f>
        <v>0</v>
      </c>
      <c r="F1304" s="908">
        <f>GLOBAL_DER_FEV_2023!F1304</f>
        <v>0</v>
      </c>
      <c r="G1304" s="912">
        <f>GLOBAL_DER_FEV_2023!G1304</f>
        <v>0</v>
      </c>
      <c r="H1304" s="901">
        <f>GLOBAL_DER_FEV_2023!H1304</f>
        <v>79.84</v>
      </c>
      <c r="I1304" s="901">
        <f>GLOBAL_DER_FEV_2023!I1304</f>
        <v>79.84</v>
      </c>
      <c r="J1304" s="902">
        <f>GLOBAL_DER_FEV_2023!J1304</f>
        <v>95.86</v>
      </c>
      <c r="K1304" s="903" t="s">
        <v>1516</v>
      </c>
      <c r="L1304" s="1137"/>
      <c r="M1304" s="1138">
        <f t="shared" si="97"/>
        <v>0</v>
      </c>
      <c r="N1304" s="893">
        <f t="shared" si="96"/>
        <v>0</v>
      </c>
      <c r="O1304" s="905"/>
      <c r="Q1304" s="317" t="str">
        <f t="shared" si="93"/>
        <v/>
      </c>
      <c r="R1304" s="317" t="str">
        <f t="shared" si="94"/>
        <v/>
      </c>
      <c r="S1304" s="317" t="str">
        <f t="shared" si="95"/>
        <v/>
      </c>
      <c r="T1304" s="317" t="str">
        <f>GLOBAL_DER_FEV_2023!S1304</f>
        <v/>
      </c>
      <c r="W1304" s="582">
        <v>0</v>
      </c>
      <c r="X1304" s="580"/>
      <c r="Y1304" s="583">
        <f>IF(GLOBAL_DER_FEV_2023!W1304=0,0,IF(GLOBAL_DER_FEV_2023!W1304&gt;0,"c","b"))</f>
        <v>0</v>
      </c>
    </row>
    <row r="1305" spans="1:25" ht="23.25" hidden="1" thickBot="1" x14ac:dyDescent="0.25">
      <c r="A1305" s="317">
        <v>93670</v>
      </c>
      <c r="B1305" s="895">
        <v>93670</v>
      </c>
      <c r="C1305" s="896" t="s">
        <v>596</v>
      </c>
      <c r="D1305" s="906" t="s">
        <v>1235</v>
      </c>
      <c r="E1305" s="907">
        <f>GLOBAL_DER_FEV_2023!E1305</f>
        <v>0</v>
      </c>
      <c r="F1305" s="908">
        <f>GLOBAL_DER_FEV_2023!F1305</f>
        <v>0</v>
      </c>
      <c r="G1305" s="912">
        <f>GLOBAL_DER_FEV_2023!G1305</f>
        <v>0</v>
      </c>
      <c r="H1305" s="901">
        <f>GLOBAL_DER_FEV_2023!H1305</f>
        <v>79.84</v>
      </c>
      <c r="I1305" s="901">
        <f>GLOBAL_DER_FEV_2023!I1305</f>
        <v>79.84</v>
      </c>
      <c r="J1305" s="902">
        <f>GLOBAL_DER_FEV_2023!J1305</f>
        <v>95.86</v>
      </c>
      <c r="K1305" s="903" t="s">
        <v>1516</v>
      </c>
      <c r="L1305" s="1137"/>
      <c r="M1305" s="1138">
        <f t="shared" si="97"/>
        <v>0</v>
      </c>
      <c r="N1305" s="893">
        <f t="shared" si="96"/>
        <v>0</v>
      </c>
      <c r="O1305" s="905"/>
      <c r="Q1305" s="317" t="str">
        <f t="shared" si="93"/>
        <v/>
      </c>
      <c r="R1305" s="317" t="str">
        <f t="shared" si="94"/>
        <v/>
      </c>
      <c r="S1305" s="317" t="str">
        <f t="shared" si="95"/>
        <v/>
      </c>
      <c r="T1305" s="317" t="str">
        <f>GLOBAL_DER_FEV_2023!S1305</f>
        <v/>
      </c>
      <c r="W1305" s="582">
        <v>0</v>
      </c>
      <c r="X1305" s="580"/>
      <c r="Y1305" s="583">
        <f>IF(GLOBAL_DER_FEV_2023!W1305=0,0,IF(GLOBAL_DER_FEV_2023!W1305&gt;0,"c","b"))</f>
        <v>0</v>
      </c>
    </row>
    <row r="1306" spans="1:25" ht="23.25" hidden="1" thickBot="1" x14ac:dyDescent="0.25">
      <c r="A1306" s="317">
        <v>93671</v>
      </c>
      <c r="B1306" s="895">
        <v>93671</v>
      </c>
      <c r="C1306" s="896" t="s">
        <v>596</v>
      </c>
      <c r="D1306" s="906" t="s">
        <v>1236</v>
      </c>
      <c r="E1306" s="907">
        <f>GLOBAL_DER_FEV_2023!E1306</f>
        <v>0</v>
      </c>
      <c r="F1306" s="908">
        <f>GLOBAL_DER_FEV_2023!F1306</f>
        <v>0</v>
      </c>
      <c r="G1306" s="912">
        <f>GLOBAL_DER_FEV_2023!G1306</f>
        <v>0</v>
      </c>
      <c r="H1306" s="901">
        <f>GLOBAL_DER_FEV_2023!H1306</f>
        <v>84.94</v>
      </c>
      <c r="I1306" s="901">
        <f>GLOBAL_DER_FEV_2023!I1306</f>
        <v>84.94</v>
      </c>
      <c r="J1306" s="902">
        <f>GLOBAL_DER_FEV_2023!J1306</f>
        <v>101.99</v>
      </c>
      <c r="K1306" s="903" t="s">
        <v>1516</v>
      </c>
      <c r="L1306" s="1137"/>
      <c r="M1306" s="1138">
        <f t="shared" si="97"/>
        <v>0</v>
      </c>
      <c r="N1306" s="893">
        <f t="shared" si="96"/>
        <v>0</v>
      </c>
      <c r="O1306" s="905"/>
      <c r="Q1306" s="317" t="str">
        <f t="shared" si="93"/>
        <v/>
      </c>
      <c r="R1306" s="317" t="str">
        <f t="shared" si="94"/>
        <v/>
      </c>
      <c r="S1306" s="317" t="str">
        <f t="shared" si="95"/>
        <v/>
      </c>
      <c r="T1306" s="317" t="str">
        <f>GLOBAL_DER_FEV_2023!S1306</f>
        <v/>
      </c>
      <c r="W1306" s="582">
        <v>0</v>
      </c>
      <c r="X1306" s="580"/>
      <c r="Y1306" s="583">
        <f>IF(GLOBAL_DER_FEV_2023!W1306=0,0,IF(GLOBAL_DER_FEV_2023!W1306&gt;0,"c","b"))</f>
        <v>0</v>
      </c>
    </row>
    <row r="1307" spans="1:25" ht="23.25" hidden="1" thickBot="1" x14ac:dyDescent="0.25">
      <c r="A1307" s="317">
        <v>93672</v>
      </c>
      <c r="B1307" s="895">
        <v>93672</v>
      </c>
      <c r="C1307" s="896" t="s">
        <v>596</v>
      </c>
      <c r="D1307" s="906" t="s">
        <v>1237</v>
      </c>
      <c r="E1307" s="907">
        <f>GLOBAL_DER_FEV_2023!E1307</f>
        <v>0</v>
      </c>
      <c r="F1307" s="908">
        <f>GLOBAL_DER_FEV_2023!F1307</f>
        <v>0</v>
      </c>
      <c r="G1307" s="912">
        <f>GLOBAL_DER_FEV_2023!G1307</f>
        <v>0</v>
      </c>
      <c r="H1307" s="901">
        <f>GLOBAL_DER_FEV_2023!H1307</f>
        <v>93.21</v>
      </c>
      <c r="I1307" s="901">
        <f>GLOBAL_DER_FEV_2023!I1307</f>
        <v>93.21</v>
      </c>
      <c r="J1307" s="902">
        <f>GLOBAL_DER_FEV_2023!J1307</f>
        <v>111.92</v>
      </c>
      <c r="K1307" s="903" t="s">
        <v>1516</v>
      </c>
      <c r="L1307" s="1137"/>
      <c r="M1307" s="1138">
        <f t="shared" si="97"/>
        <v>0</v>
      </c>
      <c r="N1307" s="893">
        <f t="shared" si="96"/>
        <v>0</v>
      </c>
      <c r="O1307" s="905"/>
      <c r="Q1307" s="317" t="str">
        <f t="shared" ref="Q1307:Q1370" si="98">IF(P1307="X","x",IF(P1307="xx","x",IF(P1307="xy","x",IF(P1307="y","x",IF(OR(N1307&gt;0,N1307&gt;0),"x","")))))</f>
        <v/>
      </c>
      <c r="R1307" s="317" t="str">
        <f t="shared" si="94"/>
        <v/>
      </c>
      <c r="S1307" s="317" t="str">
        <f t="shared" si="95"/>
        <v/>
      </c>
      <c r="T1307" s="317" t="str">
        <f>GLOBAL_DER_FEV_2023!S1307</f>
        <v/>
      </c>
      <c r="W1307" s="582">
        <v>0</v>
      </c>
      <c r="X1307" s="580"/>
      <c r="Y1307" s="583">
        <f>IF(GLOBAL_DER_FEV_2023!W1307=0,0,IF(GLOBAL_DER_FEV_2023!W1307&gt;0,"c","b"))</f>
        <v>0</v>
      </c>
    </row>
    <row r="1308" spans="1:25" ht="23.25" hidden="1" thickBot="1" x14ac:dyDescent="0.25">
      <c r="A1308" s="317">
        <v>93673</v>
      </c>
      <c r="B1308" s="895">
        <v>93673</v>
      </c>
      <c r="C1308" s="896" t="s">
        <v>596</v>
      </c>
      <c r="D1308" s="906" t="s">
        <v>1238</v>
      </c>
      <c r="E1308" s="907">
        <f>GLOBAL_DER_FEV_2023!E1308</f>
        <v>0</v>
      </c>
      <c r="F1308" s="908">
        <f>GLOBAL_DER_FEV_2023!F1308</f>
        <v>0</v>
      </c>
      <c r="G1308" s="912">
        <f>GLOBAL_DER_FEV_2023!G1308</f>
        <v>0</v>
      </c>
      <c r="H1308" s="901">
        <f>GLOBAL_DER_FEV_2023!H1308</f>
        <v>103.75</v>
      </c>
      <c r="I1308" s="901">
        <f>GLOBAL_DER_FEV_2023!I1308</f>
        <v>103.75</v>
      </c>
      <c r="J1308" s="902">
        <f>GLOBAL_DER_FEV_2023!J1308</f>
        <v>124.57</v>
      </c>
      <c r="K1308" s="903" t="s">
        <v>1516</v>
      </c>
      <c r="L1308" s="1137"/>
      <c r="M1308" s="1138">
        <f t="shared" si="97"/>
        <v>0</v>
      </c>
      <c r="N1308" s="893">
        <f t="shared" si="96"/>
        <v>0</v>
      </c>
      <c r="O1308" s="905"/>
      <c r="Q1308" s="317" t="str">
        <f t="shared" si="98"/>
        <v/>
      </c>
      <c r="R1308" s="317" t="str">
        <f t="shared" si="94"/>
        <v/>
      </c>
      <c r="S1308" s="317" t="str">
        <f t="shared" si="95"/>
        <v/>
      </c>
      <c r="T1308" s="317" t="str">
        <f>GLOBAL_DER_FEV_2023!S1308</f>
        <v/>
      </c>
      <c r="W1308" s="582">
        <v>0</v>
      </c>
      <c r="X1308" s="580"/>
      <c r="Y1308" s="583">
        <f>IF(GLOBAL_DER_FEV_2023!W1308=0,0,IF(GLOBAL_DER_FEV_2023!W1308&gt;0,"c","b"))</f>
        <v>0</v>
      </c>
    </row>
    <row r="1309" spans="1:25" ht="23.25" hidden="1" thickBot="1" x14ac:dyDescent="0.25">
      <c r="A1309" s="317">
        <v>101893</v>
      </c>
      <c r="B1309" s="895">
        <v>101893</v>
      </c>
      <c r="C1309" s="896" t="s">
        <v>596</v>
      </c>
      <c r="D1309" s="906" t="s">
        <v>1239</v>
      </c>
      <c r="E1309" s="907">
        <f>GLOBAL_DER_FEV_2023!E1309</f>
        <v>0</v>
      </c>
      <c r="F1309" s="908">
        <f>GLOBAL_DER_FEV_2023!F1309</f>
        <v>0</v>
      </c>
      <c r="G1309" s="912">
        <f>GLOBAL_DER_FEV_2023!G1309</f>
        <v>0</v>
      </c>
      <c r="H1309" s="901">
        <f>GLOBAL_DER_FEV_2023!H1309</f>
        <v>95.19</v>
      </c>
      <c r="I1309" s="901">
        <f>GLOBAL_DER_FEV_2023!I1309</f>
        <v>95.19</v>
      </c>
      <c r="J1309" s="902">
        <f>GLOBAL_DER_FEV_2023!J1309</f>
        <v>114.29</v>
      </c>
      <c r="K1309" s="903" t="s">
        <v>1516</v>
      </c>
      <c r="L1309" s="1137"/>
      <c r="M1309" s="1138">
        <f t="shared" si="97"/>
        <v>0</v>
      </c>
      <c r="N1309" s="893">
        <f t="shared" si="96"/>
        <v>0</v>
      </c>
      <c r="O1309" s="905"/>
      <c r="Q1309" s="317" t="str">
        <f t="shared" si="98"/>
        <v/>
      </c>
      <c r="R1309" s="317" t="str">
        <f t="shared" ref="R1309:R1372" si="99">IF(P1309="X","x",IF(P1309="y","x",IF(P1309="xx","x",IF(N1309&gt;0,"x",""))))</f>
        <v/>
      </c>
      <c r="S1309" s="317" t="str">
        <f t="shared" ref="S1309:S1372" si="100">IF(P1309="X","x",IF(N1309&gt;0,"x",""))</f>
        <v/>
      </c>
      <c r="T1309" s="317" t="str">
        <f>GLOBAL_DER_FEV_2023!S1309</f>
        <v/>
      </c>
      <c r="W1309" s="582">
        <v>0</v>
      </c>
      <c r="X1309" s="580"/>
      <c r="Y1309" s="583">
        <f>IF(GLOBAL_DER_FEV_2023!W1309=0,0,IF(GLOBAL_DER_FEV_2023!W1309&gt;0,"c","b"))</f>
        <v>0</v>
      </c>
    </row>
    <row r="1310" spans="1:25" ht="23.25" hidden="1" thickBot="1" x14ac:dyDescent="0.25">
      <c r="A1310" s="317">
        <v>101894</v>
      </c>
      <c r="B1310" s="895">
        <v>101894</v>
      </c>
      <c r="C1310" s="896" t="s">
        <v>596</v>
      </c>
      <c r="D1310" s="906" t="s">
        <v>1240</v>
      </c>
      <c r="E1310" s="907">
        <f>GLOBAL_DER_FEV_2023!E1310</f>
        <v>0</v>
      </c>
      <c r="F1310" s="908">
        <f>GLOBAL_DER_FEV_2023!F1310</f>
        <v>0</v>
      </c>
      <c r="G1310" s="912">
        <f>GLOBAL_DER_FEV_2023!G1310</f>
        <v>0</v>
      </c>
      <c r="H1310" s="901">
        <f>GLOBAL_DER_FEV_2023!H1310</f>
        <v>166.69</v>
      </c>
      <c r="I1310" s="901">
        <f>GLOBAL_DER_FEV_2023!I1310</f>
        <v>166.69</v>
      </c>
      <c r="J1310" s="902">
        <f>GLOBAL_DER_FEV_2023!J1310</f>
        <v>200.14</v>
      </c>
      <c r="K1310" s="903" t="s">
        <v>1516</v>
      </c>
      <c r="L1310" s="1137"/>
      <c r="M1310" s="1138">
        <f t="shared" si="97"/>
        <v>0</v>
      </c>
      <c r="N1310" s="893">
        <f t="shared" si="96"/>
        <v>0</v>
      </c>
      <c r="O1310" s="905"/>
      <c r="Q1310" s="317" t="str">
        <f t="shared" si="98"/>
        <v/>
      </c>
      <c r="R1310" s="317" t="str">
        <f t="shared" si="99"/>
        <v/>
      </c>
      <c r="S1310" s="317" t="str">
        <f t="shared" si="100"/>
        <v/>
      </c>
      <c r="T1310" s="317" t="str">
        <f>GLOBAL_DER_FEV_2023!S1310</f>
        <v/>
      </c>
      <c r="W1310" s="582">
        <v>0</v>
      </c>
      <c r="X1310" s="580"/>
      <c r="Y1310" s="583">
        <f>IF(GLOBAL_DER_FEV_2023!W1310=0,0,IF(GLOBAL_DER_FEV_2023!W1310&gt;0,"c","b"))</f>
        <v>0</v>
      </c>
    </row>
    <row r="1311" spans="1:25" ht="23.25" hidden="1" thickBot="1" x14ac:dyDescent="0.25">
      <c r="A1311" s="317">
        <v>101663</v>
      </c>
      <c r="B1311" s="895">
        <v>101663</v>
      </c>
      <c r="C1311" s="896" t="s">
        <v>596</v>
      </c>
      <c r="D1311" s="906" t="s">
        <v>1241</v>
      </c>
      <c r="E1311" s="907">
        <f>GLOBAL_DER_FEV_2023!E1311</f>
        <v>0</v>
      </c>
      <c r="F1311" s="908">
        <f>GLOBAL_DER_FEV_2023!F1311</f>
        <v>0</v>
      </c>
      <c r="G1311" s="912">
        <f>GLOBAL_DER_FEV_2023!G1311</f>
        <v>0</v>
      </c>
      <c r="H1311" s="901">
        <f>GLOBAL_DER_FEV_2023!H1311</f>
        <v>29.2</v>
      </c>
      <c r="I1311" s="901">
        <f>GLOBAL_DER_FEV_2023!I1311</f>
        <v>29.2</v>
      </c>
      <c r="J1311" s="902">
        <f>GLOBAL_DER_FEV_2023!J1311</f>
        <v>35.06</v>
      </c>
      <c r="K1311" s="903" t="s">
        <v>1516</v>
      </c>
      <c r="L1311" s="1137"/>
      <c r="M1311" s="1138">
        <f t="shared" si="97"/>
        <v>0</v>
      </c>
      <c r="N1311" s="893">
        <f t="shared" si="96"/>
        <v>0</v>
      </c>
      <c r="O1311" s="905"/>
      <c r="Q1311" s="317" t="str">
        <f t="shared" si="98"/>
        <v/>
      </c>
      <c r="R1311" s="317" t="str">
        <f t="shared" si="99"/>
        <v/>
      </c>
      <c r="S1311" s="317" t="str">
        <f t="shared" si="100"/>
        <v/>
      </c>
      <c r="T1311" s="317" t="str">
        <f>GLOBAL_DER_FEV_2023!S1311</f>
        <v/>
      </c>
      <c r="W1311" s="582">
        <v>0</v>
      </c>
      <c r="X1311" s="580"/>
      <c r="Y1311" s="583">
        <f>IF(GLOBAL_DER_FEV_2023!W1311=0,0,IF(GLOBAL_DER_FEV_2023!W1311&gt;0,"c","b"))</f>
        <v>0</v>
      </c>
    </row>
    <row r="1312" spans="1:25" ht="23.25" hidden="1" thickBot="1" x14ac:dyDescent="0.25">
      <c r="A1312" s="317">
        <v>101664</v>
      </c>
      <c r="B1312" s="895">
        <v>101664</v>
      </c>
      <c r="C1312" s="896" t="s">
        <v>596</v>
      </c>
      <c r="D1312" s="906" t="s">
        <v>1242</v>
      </c>
      <c r="E1312" s="907">
        <f>GLOBAL_DER_FEV_2023!E1312</f>
        <v>0</v>
      </c>
      <c r="F1312" s="908">
        <f>GLOBAL_DER_FEV_2023!F1312</f>
        <v>0</v>
      </c>
      <c r="G1312" s="912">
        <f>GLOBAL_DER_FEV_2023!G1312</f>
        <v>0</v>
      </c>
      <c r="H1312" s="901">
        <f>GLOBAL_DER_FEV_2023!H1312</f>
        <v>30.24</v>
      </c>
      <c r="I1312" s="901">
        <f>GLOBAL_DER_FEV_2023!I1312</f>
        <v>30.24</v>
      </c>
      <c r="J1312" s="902">
        <f>GLOBAL_DER_FEV_2023!J1312</f>
        <v>36.31</v>
      </c>
      <c r="K1312" s="903" t="s">
        <v>1516</v>
      </c>
      <c r="L1312" s="1137"/>
      <c r="M1312" s="1138">
        <f t="shared" si="97"/>
        <v>0</v>
      </c>
      <c r="N1312" s="893">
        <f t="shared" si="96"/>
        <v>0</v>
      </c>
      <c r="O1312" s="905"/>
      <c r="Q1312" s="317" t="str">
        <f t="shared" si="98"/>
        <v/>
      </c>
      <c r="R1312" s="317" t="str">
        <f t="shared" si="99"/>
        <v/>
      </c>
      <c r="S1312" s="317" t="str">
        <f t="shared" si="100"/>
        <v/>
      </c>
      <c r="T1312" s="317" t="str">
        <f>GLOBAL_DER_FEV_2023!S1312</f>
        <v/>
      </c>
      <c r="W1312" s="582">
        <v>0</v>
      </c>
      <c r="X1312" s="580"/>
      <c r="Y1312" s="583">
        <f>IF(GLOBAL_DER_FEV_2023!W1312=0,0,IF(GLOBAL_DER_FEV_2023!W1312&gt;0,"c","b"))</f>
        <v>0</v>
      </c>
    </row>
    <row r="1313" spans="1:25" ht="23.25" hidden="1" thickBot="1" x14ac:dyDescent="0.25">
      <c r="A1313" s="317">
        <v>101665</v>
      </c>
      <c r="B1313" s="895">
        <v>101665</v>
      </c>
      <c r="C1313" s="896" t="s">
        <v>596</v>
      </c>
      <c r="D1313" s="906" t="s">
        <v>1243</v>
      </c>
      <c r="E1313" s="907">
        <f>GLOBAL_DER_FEV_2023!E1313</f>
        <v>0</v>
      </c>
      <c r="F1313" s="908">
        <f>GLOBAL_DER_FEV_2023!F1313</f>
        <v>0</v>
      </c>
      <c r="G1313" s="912">
        <f>GLOBAL_DER_FEV_2023!G1313</f>
        <v>0</v>
      </c>
      <c r="H1313" s="901">
        <f>GLOBAL_DER_FEV_2023!H1313</f>
        <v>34.729999999999997</v>
      </c>
      <c r="I1313" s="901">
        <f>GLOBAL_DER_FEV_2023!I1313</f>
        <v>34.729999999999997</v>
      </c>
      <c r="J1313" s="902">
        <f>GLOBAL_DER_FEV_2023!J1313</f>
        <v>41.7</v>
      </c>
      <c r="K1313" s="903" t="s">
        <v>1516</v>
      </c>
      <c r="L1313" s="1137"/>
      <c r="M1313" s="1138">
        <f t="shared" si="97"/>
        <v>0</v>
      </c>
      <c r="N1313" s="893">
        <f t="shared" ref="N1313:N1376" si="101">IF(ISBLANK(L1313),0,IF(W1313=0,ROUND(L1313*M1313,2),IF(W1313="b",ROUNDDOWN(L1313*M1313,2),ROUNDUP(L1313*M1313,2))))</f>
        <v>0</v>
      </c>
      <c r="O1313" s="905"/>
      <c r="Q1313" s="317" t="str">
        <f t="shared" si="98"/>
        <v/>
      </c>
      <c r="R1313" s="317" t="str">
        <f t="shared" si="99"/>
        <v/>
      </c>
      <c r="S1313" s="317" t="str">
        <f t="shared" si="100"/>
        <v/>
      </c>
      <c r="T1313" s="317" t="str">
        <f>GLOBAL_DER_FEV_2023!S1313</f>
        <v/>
      </c>
      <c r="W1313" s="582">
        <v>0</v>
      </c>
      <c r="X1313" s="580"/>
      <c r="Y1313" s="583">
        <f>IF(GLOBAL_DER_FEV_2023!W1313=0,0,IF(GLOBAL_DER_FEV_2023!W1313&gt;0,"c","b"))</f>
        <v>0</v>
      </c>
    </row>
    <row r="1314" spans="1:25" ht="23.25" hidden="1" thickBot="1" x14ac:dyDescent="0.25">
      <c r="A1314" s="317">
        <v>101895</v>
      </c>
      <c r="B1314" s="895">
        <v>101895</v>
      </c>
      <c r="C1314" s="896" t="s">
        <v>596</v>
      </c>
      <c r="D1314" s="906" t="s">
        <v>1244</v>
      </c>
      <c r="E1314" s="907">
        <f>GLOBAL_DER_FEV_2023!E1314</f>
        <v>0</v>
      </c>
      <c r="F1314" s="908">
        <f>GLOBAL_DER_FEV_2023!F1314</f>
        <v>0</v>
      </c>
      <c r="G1314" s="912">
        <f>GLOBAL_DER_FEV_2023!G1314</f>
        <v>0</v>
      </c>
      <c r="H1314" s="901">
        <f>GLOBAL_DER_FEV_2023!H1314</f>
        <v>445.37</v>
      </c>
      <c r="I1314" s="901">
        <f>GLOBAL_DER_FEV_2023!I1314</f>
        <v>445.37</v>
      </c>
      <c r="J1314" s="902">
        <f>GLOBAL_DER_FEV_2023!J1314</f>
        <v>534.76</v>
      </c>
      <c r="K1314" s="903" t="s">
        <v>1516</v>
      </c>
      <c r="L1314" s="1137"/>
      <c r="M1314" s="1138">
        <f t="shared" si="97"/>
        <v>0</v>
      </c>
      <c r="N1314" s="893">
        <f t="shared" si="101"/>
        <v>0</v>
      </c>
      <c r="O1314" s="905"/>
      <c r="Q1314" s="317" t="str">
        <f t="shared" si="98"/>
        <v/>
      </c>
      <c r="R1314" s="317" t="str">
        <f t="shared" si="99"/>
        <v/>
      </c>
      <c r="S1314" s="317" t="str">
        <f t="shared" si="100"/>
        <v/>
      </c>
      <c r="T1314" s="317" t="str">
        <f>GLOBAL_DER_FEV_2023!S1314</f>
        <v/>
      </c>
      <c r="W1314" s="582">
        <v>0</v>
      </c>
      <c r="X1314" s="580"/>
      <c r="Y1314" s="583">
        <f>IF(GLOBAL_DER_FEV_2023!W1314=0,0,IF(GLOBAL_DER_FEV_2023!W1314&gt;0,"c","b"))</f>
        <v>0</v>
      </c>
    </row>
    <row r="1315" spans="1:25" ht="23.25" hidden="1" thickBot="1" x14ac:dyDescent="0.25">
      <c r="A1315" s="317">
        <v>101896</v>
      </c>
      <c r="B1315" s="895">
        <v>101896</v>
      </c>
      <c r="C1315" s="896" t="s">
        <v>596</v>
      </c>
      <c r="D1315" s="906" t="s">
        <v>1245</v>
      </c>
      <c r="E1315" s="907">
        <f>GLOBAL_DER_FEV_2023!E1315</f>
        <v>0</v>
      </c>
      <c r="F1315" s="908">
        <f>GLOBAL_DER_FEV_2023!F1315</f>
        <v>0</v>
      </c>
      <c r="G1315" s="912">
        <f>GLOBAL_DER_FEV_2023!G1315</f>
        <v>0</v>
      </c>
      <c r="H1315" s="901">
        <f>GLOBAL_DER_FEV_2023!H1315</f>
        <v>661.28</v>
      </c>
      <c r="I1315" s="901">
        <f>GLOBAL_DER_FEV_2023!I1315</f>
        <v>661.28</v>
      </c>
      <c r="J1315" s="902">
        <f>GLOBAL_DER_FEV_2023!J1315</f>
        <v>794</v>
      </c>
      <c r="K1315" s="903" t="s">
        <v>1516</v>
      </c>
      <c r="L1315" s="1137"/>
      <c r="M1315" s="1138">
        <f t="shared" si="97"/>
        <v>0</v>
      </c>
      <c r="N1315" s="893">
        <f t="shared" si="101"/>
        <v>0</v>
      </c>
      <c r="O1315" s="905"/>
      <c r="Q1315" s="317" t="str">
        <f t="shared" si="98"/>
        <v/>
      </c>
      <c r="R1315" s="317" t="str">
        <f t="shared" si="99"/>
        <v/>
      </c>
      <c r="S1315" s="317" t="str">
        <f t="shared" si="100"/>
        <v/>
      </c>
      <c r="T1315" s="317" t="str">
        <f>GLOBAL_DER_FEV_2023!S1315</f>
        <v/>
      </c>
      <c r="W1315" s="582">
        <v>0</v>
      </c>
      <c r="X1315" s="580"/>
      <c r="Y1315" s="583">
        <f>IF(GLOBAL_DER_FEV_2023!W1315=0,0,IF(GLOBAL_DER_FEV_2023!W1315&gt;0,"c","b"))</f>
        <v>0</v>
      </c>
    </row>
    <row r="1316" spans="1:25" ht="23.25" hidden="1" thickBot="1" x14ac:dyDescent="0.25">
      <c r="A1316" s="317">
        <v>101897</v>
      </c>
      <c r="B1316" s="895">
        <v>101897</v>
      </c>
      <c r="C1316" s="896" t="s">
        <v>596</v>
      </c>
      <c r="D1316" s="906" t="s">
        <v>1246</v>
      </c>
      <c r="E1316" s="907">
        <f>GLOBAL_DER_FEV_2023!E1316</f>
        <v>0</v>
      </c>
      <c r="F1316" s="908">
        <f>GLOBAL_DER_FEV_2023!F1316</f>
        <v>0</v>
      </c>
      <c r="G1316" s="912">
        <f>GLOBAL_DER_FEV_2023!G1316</f>
        <v>0</v>
      </c>
      <c r="H1316" s="901">
        <f>GLOBAL_DER_FEV_2023!H1316</f>
        <v>1048.0899999999999</v>
      </c>
      <c r="I1316" s="901">
        <f>GLOBAL_DER_FEV_2023!I1316</f>
        <v>1048.0899999999999</v>
      </c>
      <c r="J1316" s="902">
        <f>GLOBAL_DER_FEV_2023!J1316</f>
        <v>1258.44</v>
      </c>
      <c r="K1316" s="903" t="s">
        <v>1516</v>
      </c>
      <c r="L1316" s="1137"/>
      <c r="M1316" s="1138">
        <f t="shared" si="97"/>
        <v>0</v>
      </c>
      <c r="N1316" s="893">
        <f t="shared" si="101"/>
        <v>0</v>
      </c>
      <c r="O1316" s="905"/>
      <c r="Q1316" s="317" t="str">
        <f t="shared" si="98"/>
        <v/>
      </c>
      <c r="R1316" s="317" t="str">
        <f t="shared" si="99"/>
        <v/>
      </c>
      <c r="S1316" s="317" t="str">
        <f t="shared" si="100"/>
        <v/>
      </c>
      <c r="T1316" s="317" t="str">
        <f>GLOBAL_DER_FEV_2023!S1316</f>
        <v/>
      </c>
      <c r="W1316" s="582">
        <v>0</v>
      </c>
      <c r="X1316" s="580"/>
      <c r="Y1316" s="583">
        <f>IF(GLOBAL_DER_FEV_2023!W1316=0,0,IF(GLOBAL_DER_FEV_2023!W1316&gt;0,"c","b"))</f>
        <v>0</v>
      </c>
    </row>
    <row r="1317" spans="1:25" ht="23.25" hidden="1" thickBot="1" x14ac:dyDescent="0.25">
      <c r="A1317" s="317">
        <v>101898</v>
      </c>
      <c r="B1317" s="895">
        <v>101898</v>
      </c>
      <c r="C1317" s="896" t="s">
        <v>596</v>
      </c>
      <c r="D1317" s="906" t="s">
        <v>1247</v>
      </c>
      <c r="E1317" s="907">
        <f>GLOBAL_DER_FEV_2023!E1317</f>
        <v>0</v>
      </c>
      <c r="F1317" s="908">
        <f>GLOBAL_DER_FEV_2023!F1317</f>
        <v>0</v>
      </c>
      <c r="G1317" s="912">
        <f>GLOBAL_DER_FEV_2023!G1317</f>
        <v>0</v>
      </c>
      <c r="H1317" s="901">
        <f>GLOBAL_DER_FEV_2023!H1317</f>
        <v>1398.72</v>
      </c>
      <c r="I1317" s="901">
        <f>GLOBAL_DER_FEV_2023!I1317</f>
        <v>1398.72</v>
      </c>
      <c r="J1317" s="902">
        <f>GLOBAL_DER_FEV_2023!J1317</f>
        <v>1679.44</v>
      </c>
      <c r="K1317" s="903" t="s">
        <v>1516</v>
      </c>
      <c r="L1317" s="1137"/>
      <c r="M1317" s="1138">
        <f t="shared" si="97"/>
        <v>0</v>
      </c>
      <c r="N1317" s="893">
        <f t="shared" si="101"/>
        <v>0</v>
      </c>
      <c r="O1317" s="905"/>
      <c r="Q1317" s="317" t="str">
        <f t="shared" si="98"/>
        <v/>
      </c>
      <c r="R1317" s="317" t="str">
        <f t="shared" si="99"/>
        <v/>
      </c>
      <c r="S1317" s="317" t="str">
        <f t="shared" si="100"/>
        <v/>
      </c>
      <c r="T1317" s="317" t="str">
        <f>GLOBAL_DER_FEV_2023!S1317</f>
        <v/>
      </c>
      <c r="W1317" s="582">
        <v>0</v>
      </c>
      <c r="X1317" s="580"/>
      <c r="Y1317" s="583">
        <f>IF(GLOBAL_DER_FEV_2023!W1317=0,0,IF(GLOBAL_DER_FEV_2023!W1317&gt;0,"c","b"))</f>
        <v>0</v>
      </c>
    </row>
    <row r="1318" spans="1:25" ht="23.25" hidden="1" thickBot="1" x14ac:dyDescent="0.25">
      <c r="A1318" s="317">
        <v>101899</v>
      </c>
      <c r="B1318" s="895">
        <v>101899</v>
      </c>
      <c r="C1318" s="896" t="s">
        <v>596</v>
      </c>
      <c r="D1318" s="906" t="s">
        <v>1248</v>
      </c>
      <c r="E1318" s="907">
        <f>GLOBAL_DER_FEV_2023!E1318</f>
        <v>0</v>
      </c>
      <c r="F1318" s="908">
        <f>GLOBAL_DER_FEV_2023!F1318</f>
        <v>0</v>
      </c>
      <c r="G1318" s="912">
        <f>GLOBAL_DER_FEV_2023!G1318</f>
        <v>0</v>
      </c>
      <c r="H1318" s="901">
        <f>GLOBAL_DER_FEV_2023!H1318</f>
        <v>2232.7399999999998</v>
      </c>
      <c r="I1318" s="901">
        <f>GLOBAL_DER_FEV_2023!I1318</f>
        <v>2232.7399999999998</v>
      </c>
      <c r="J1318" s="902">
        <f>GLOBAL_DER_FEV_2023!J1318</f>
        <v>2680.85</v>
      </c>
      <c r="K1318" s="903" t="s">
        <v>1516</v>
      </c>
      <c r="L1318" s="1137"/>
      <c r="M1318" s="1138">
        <f t="shared" si="97"/>
        <v>0</v>
      </c>
      <c r="N1318" s="893">
        <f t="shared" si="101"/>
        <v>0</v>
      </c>
      <c r="O1318" s="905"/>
      <c r="Q1318" s="317" t="str">
        <f t="shared" si="98"/>
        <v/>
      </c>
      <c r="R1318" s="317" t="str">
        <f t="shared" si="99"/>
        <v/>
      </c>
      <c r="S1318" s="317" t="str">
        <f t="shared" si="100"/>
        <v/>
      </c>
      <c r="T1318" s="317" t="str">
        <f>GLOBAL_DER_FEV_2023!S1318</f>
        <v/>
      </c>
      <c r="W1318" s="582">
        <v>0</v>
      </c>
      <c r="X1318" s="580"/>
      <c r="Y1318" s="583">
        <f>IF(GLOBAL_DER_FEV_2023!W1318=0,0,IF(GLOBAL_DER_FEV_2023!W1318&gt;0,"c","b"))</f>
        <v>0</v>
      </c>
    </row>
    <row r="1319" spans="1:25" ht="23.25" hidden="1" thickBot="1" x14ac:dyDescent="0.25">
      <c r="A1319" s="317">
        <v>101900</v>
      </c>
      <c r="B1319" s="895">
        <v>101900</v>
      </c>
      <c r="C1319" s="896" t="s">
        <v>596</v>
      </c>
      <c r="D1319" s="906" t="s">
        <v>1249</v>
      </c>
      <c r="E1319" s="907">
        <f>GLOBAL_DER_FEV_2023!E1319</f>
        <v>0</v>
      </c>
      <c r="F1319" s="908">
        <f>GLOBAL_DER_FEV_2023!F1319</f>
        <v>0</v>
      </c>
      <c r="G1319" s="912">
        <f>GLOBAL_DER_FEV_2023!G1319</f>
        <v>0</v>
      </c>
      <c r="H1319" s="901">
        <f>GLOBAL_DER_FEV_2023!H1319</f>
        <v>4648.41</v>
      </c>
      <c r="I1319" s="901">
        <f>GLOBAL_DER_FEV_2023!I1319</f>
        <v>4648.41</v>
      </c>
      <c r="J1319" s="902">
        <f>GLOBAL_DER_FEV_2023!J1319</f>
        <v>5581.35</v>
      </c>
      <c r="K1319" s="903" t="s">
        <v>1516</v>
      </c>
      <c r="L1319" s="1137"/>
      <c r="M1319" s="1138">
        <f t="shared" si="97"/>
        <v>0</v>
      </c>
      <c r="N1319" s="893">
        <f t="shared" si="101"/>
        <v>0</v>
      </c>
      <c r="O1319" s="905"/>
      <c r="Q1319" s="317" t="str">
        <f t="shared" si="98"/>
        <v/>
      </c>
      <c r="R1319" s="317" t="str">
        <f t="shared" si="99"/>
        <v/>
      </c>
      <c r="S1319" s="317" t="str">
        <f t="shared" si="100"/>
        <v/>
      </c>
      <c r="T1319" s="317" t="str">
        <f>GLOBAL_DER_FEV_2023!S1319</f>
        <v/>
      </c>
      <c r="W1319" s="582">
        <v>0</v>
      </c>
      <c r="X1319" s="580"/>
      <c r="Y1319" s="583">
        <f>IF(GLOBAL_DER_FEV_2023!W1319=0,0,IF(GLOBAL_DER_FEV_2023!W1319&gt;0,"c","b"))</f>
        <v>0</v>
      </c>
    </row>
    <row r="1320" spans="1:25" ht="23.25" hidden="1" thickBot="1" x14ac:dyDescent="0.25">
      <c r="A1320" s="317">
        <v>91952</v>
      </c>
      <c r="B1320" s="895">
        <v>91952</v>
      </c>
      <c r="C1320" s="896" t="s">
        <v>596</v>
      </c>
      <c r="D1320" s="906" t="s">
        <v>1250</v>
      </c>
      <c r="E1320" s="907">
        <f>GLOBAL_DER_FEV_2023!E1320</f>
        <v>0</v>
      </c>
      <c r="F1320" s="908">
        <f>GLOBAL_DER_FEV_2023!F1320</f>
        <v>0</v>
      </c>
      <c r="G1320" s="912">
        <f>GLOBAL_DER_FEV_2023!G1320</f>
        <v>0</v>
      </c>
      <c r="H1320" s="901">
        <f>GLOBAL_DER_FEV_2023!H1320</f>
        <v>21.5</v>
      </c>
      <c r="I1320" s="901">
        <f>GLOBAL_DER_FEV_2023!I1320</f>
        <v>21.5</v>
      </c>
      <c r="J1320" s="902">
        <f>GLOBAL_DER_FEV_2023!J1320</f>
        <v>25.82</v>
      </c>
      <c r="K1320" s="903" t="s">
        <v>1516</v>
      </c>
      <c r="L1320" s="1137"/>
      <c r="M1320" s="1138">
        <f t="shared" si="97"/>
        <v>0</v>
      </c>
      <c r="N1320" s="893">
        <f t="shared" si="101"/>
        <v>0</v>
      </c>
      <c r="O1320" s="905"/>
      <c r="Q1320" s="317" t="str">
        <f t="shared" si="98"/>
        <v/>
      </c>
      <c r="R1320" s="317" t="str">
        <f t="shared" si="99"/>
        <v/>
      </c>
      <c r="S1320" s="317" t="str">
        <f t="shared" si="100"/>
        <v/>
      </c>
      <c r="T1320" s="317" t="str">
        <f>GLOBAL_DER_FEV_2023!S1320</f>
        <v/>
      </c>
      <c r="W1320" s="582">
        <v>0</v>
      </c>
      <c r="X1320" s="580"/>
      <c r="Y1320" s="583">
        <f>IF(GLOBAL_DER_FEV_2023!W1320=0,0,IF(GLOBAL_DER_FEV_2023!W1320&gt;0,"c","b"))</f>
        <v>0</v>
      </c>
    </row>
    <row r="1321" spans="1:25" ht="23.25" hidden="1" thickBot="1" x14ac:dyDescent="0.25">
      <c r="A1321" s="317">
        <v>91953</v>
      </c>
      <c r="B1321" s="895">
        <v>91953</v>
      </c>
      <c r="C1321" s="896" t="s">
        <v>596</v>
      </c>
      <c r="D1321" s="906" t="s">
        <v>1251</v>
      </c>
      <c r="E1321" s="907">
        <f>GLOBAL_DER_FEV_2023!E1321</f>
        <v>0</v>
      </c>
      <c r="F1321" s="908">
        <f>GLOBAL_DER_FEV_2023!F1321</f>
        <v>0</v>
      </c>
      <c r="G1321" s="912">
        <f>GLOBAL_DER_FEV_2023!G1321</f>
        <v>0</v>
      </c>
      <c r="H1321" s="901">
        <f>GLOBAL_DER_FEV_2023!H1321</f>
        <v>30.73</v>
      </c>
      <c r="I1321" s="901">
        <f>GLOBAL_DER_FEV_2023!I1321</f>
        <v>30.73</v>
      </c>
      <c r="J1321" s="902">
        <f>GLOBAL_DER_FEV_2023!J1321</f>
        <v>36.9</v>
      </c>
      <c r="K1321" s="903" t="s">
        <v>1516</v>
      </c>
      <c r="L1321" s="1137"/>
      <c r="M1321" s="1138">
        <f t="shared" si="97"/>
        <v>0</v>
      </c>
      <c r="N1321" s="893">
        <f t="shared" si="101"/>
        <v>0</v>
      </c>
      <c r="O1321" s="905"/>
      <c r="Q1321" s="317" t="str">
        <f t="shared" si="98"/>
        <v/>
      </c>
      <c r="R1321" s="317" t="str">
        <f t="shared" si="99"/>
        <v/>
      </c>
      <c r="S1321" s="317" t="str">
        <f t="shared" si="100"/>
        <v/>
      </c>
      <c r="T1321" s="317" t="str">
        <f>GLOBAL_DER_FEV_2023!S1321</f>
        <v/>
      </c>
      <c r="W1321" s="582">
        <v>0</v>
      </c>
      <c r="X1321" s="580"/>
      <c r="Y1321" s="583">
        <f>IF(GLOBAL_DER_FEV_2023!W1321=0,0,IF(GLOBAL_DER_FEV_2023!W1321&gt;0,"c","b"))</f>
        <v>0</v>
      </c>
    </row>
    <row r="1322" spans="1:25" ht="23.25" hidden="1" thickBot="1" x14ac:dyDescent="0.25">
      <c r="A1322" s="317">
        <v>91956</v>
      </c>
      <c r="B1322" s="895">
        <v>91956</v>
      </c>
      <c r="C1322" s="896" t="s">
        <v>596</v>
      </c>
      <c r="D1322" s="906" t="s">
        <v>1252</v>
      </c>
      <c r="E1322" s="907">
        <f>GLOBAL_DER_FEV_2023!E1322</f>
        <v>0</v>
      </c>
      <c r="F1322" s="908">
        <f>GLOBAL_DER_FEV_2023!F1322</f>
        <v>0</v>
      </c>
      <c r="G1322" s="912">
        <f>GLOBAL_DER_FEV_2023!G1322</f>
        <v>0</v>
      </c>
      <c r="H1322" s="901">
        <f>GLOBAL_DER_FEV_2023!H1322</f>
        <v>46.76</v>
      </c>
      <c r="I1322" s="901">
        <f>GLOBAL_DER_FEV_2023!I1322</f>
        <v>46.76</v>
      </c>
      <c r="J1322" s="902">
        <f>GLOBAL_DER_FEV_2023!J1322</f>
        <v>56.14</v>
      </c>
      <c r="K1322" s="903" t="s">
        <v>1516</v>
      </c>
      <c r="L1322" s="1137"/>
      <c r="M1322" s="1138">
        <f t="shared" si="97"/>
        <v>0</v>
      </c>
      <c r="N1322" s="893">
        <f t="shared" si="101"/>
        <v>0</v>
      </c>
      <c r="O1322" s="905"/>
      <c r="Q1322" s="317" t="str">
        <f t="shared" si="98"/>
        <v/>
      </c>
      <c r="R1322" s="317" t="str">
        <f t="shared" si="99"/>
        <v/>
      </c>
      <c r="S1322" s="317" t="str">
        <f t="shared" si="100"/>
        <v/>
      </c>
      <c r="T1322" s="317" t="str">
        <f>GLOBAL_DER_FEV_2023!S1322</f>
        <v/>
      </c>
      <c r="W1322" s="582">
        <v>0</v>
      </c>
      <c r="X1322" s="580"/>
      <c r="Y1322" s="583">
        <f>IF(GLOBAL_DER_FEV_2023!W1322=0,0,IF(GLOBAL_DER_FEV_2023!W1322&gt;0,"c","b"))</f>
        <v>0</v>
      </c>
    </row>
    <row r="1323" spans="1:25" ht="23.25" hidden="1" thickBot="1" x14ac:dyDescent="0.25">
      <c r="A1323" s="317">
        <v>91957</v>
      </c>
      <c r="B1323" s="895">
        <v>91957</v>
      </c>
      <c r="C1323" s="896" t="s">
        <v>596</v>
      </c>
      <c r="D1323" s="906" t="s">
        <v>1253</v>
      </c>
      <c r="E1323" s="907">
        <f>GLOBAL_DER_FEV_2023!E1323</f>
        <v>0</v>
      </c>
      <c r="F1323" s="908">
        <f>GLOBAL_DER_FEV_2023!F1323</f>
        <v>0</v>
      </c>
      <c r="G1323" s="912">
        <f>GLOBAL_DER_FEV_2023!G1323</f>
        <v>0</v>
      </c>
      <c r="H1323" s="901">
        <f>GLOBAL_DER_FEV_2023!H1323</f>
        <v>55.99</v>
      </c>
      <c r="I1323" s="901">
        <f>GLOBAL_DER_FEV_2023!I1323</f>
        <v>55.99</v>
      </c>
      <c r="J1323" s="902">
        <f>GLOBAL_DER_FEV_2023!J1323</f>
        <v>67.23</v>
      </c>
      <c r="K1323" s="903" t="s">
        <v>1516</v>
      </c>
      <c r="L1323" s="1137"/>
      <c r="M1323" s="1138">
        <f t="shared" si="97"/>
        <v>0</v>
      </c>
      <c r="N1323" s="893">
        <f t="shared" si="101"/>
        <v>0</v>
      </c>
      <c r="O1323" s="905"/>
      <c r="Q1323" s="317" t="str">
        <f t="shared" si="98"/>
        <v/>
      </c>
      <c r="R1323" s="317" t="str">
        <f t="shared" si="99"/>
        <v/>
      </c>
      <c r="S1323" s="317" t="str">
        <f t="shared" si="100"/>
        <v/>
      </c>
      <c r="T1323" s="317" t="str">
        <f>GLOBAL_DER_FEV_2023!S1323</f>
        <v/>
      </c>
      <c r="W1323" s="582">
        <v>0</v>
      </c>
      <c r="X1323" s="580"/>
      <c r="Y1323" s="583">
        <f>IF(GLOBAL_DER_FEV_2023!W1323=0,0,IF(GLOBAL_DER_FEV_2023!W1323&gt;0,"c","b"))</f>
        <v>0</v>
      </c>
    </row>
    <row r="1324" spans="1:25" ht="23.25" hidden="1" thickBot="1" x14ac:dyDescent="0.25">
      <c r="A1324" s="317">
        <v>91958</v>
      </c>
      <c r="B1324" s="895">
        <v>91958</v>
      </c>
      <c r="C1324" s="896" t="s">
        <v>596</v>
      </c>
      <c r="D1324" s="906" t="s">
        <v>1254</v>
      </c>
      <c r="E1324" s="907">
        <f>GLOBAL_DER_FEV_2023!E1324</f>
        <v>0</v>
      </c>
      <c r="F1324" s="908">
        <f>GLOBAL_DER_FEV_2023!F1324</f>
        <v>0</v>
      </c>
      <c r="G1324" s="912">
        <f>GLOBAL_DER_FEV_2023!G1324</f>
        <v>0</v>
      </c>
      <c r="H1324" s="901">
        <f>GLOBAL_DER_FEV_2023!H1324</f>
        <v>39.42</v>
      </c>
      <c r="I1324" s="901">
        <f>GLOBAL_DER_FEV_2023!I1324</f>
        <v>39.42</v>
      </c>
      <c r="J1324" s="902">
        <f>GLOBAL_DER_FEV_2023!J1324</f>
        <v>47.33</v>
      </c>
      <c r="K1324" s="903" t="s">
        <v>1516</v>
      </c>
      <c r="L1324" s="1137"/>
      <c r="M1324" s="1138">
        <f t="shared" si="97"/>
        <v>0</v>
      </c>
      <c r="N1324" s="893">
        <f t="shared" si="101"/>
        <v>0</v>
      </c>
      <c r="O1324" s="905"/>
      <c r="Q1324" s="317" t="str">
        <f t="shared" si="98"/>
        <v/>
      </c>
      <c r="R1324" s="317" t="str">
        <f t="shared" si="99"/>
        <v/>
      </c>
      <c r="S1324" s="317" t="str">
        <f t="shared" si="100"/>
        <v/>
      </c>
      <c r="T1324" s="317" t="str">
        <f>GLOBAL_DER_FEV_2023!S1324</f>
        <v/>
      </c>
      <c r="W1324" s="582">
        <v>0</v>
      </c>
      <c r="X1324" s="580"/>
      <c r="Y1324" s="583">
        <f>IF(GLOBAL_DER_FEV_2023!W1324=0,0,IF(GLOBAL_DER_FEV_2023!W1324&gt;0,"c","b"))</f>
        <v>0</v>
      </c>
    </row>
    <row r="1325" spans="1:25" ht="23.25" hidden="1" thickBot="1" x14ac:dyDescent="0.25">
      <c r="A1325" s="317">
        <v>91959</v>
      </c>
      <c r="B1325" s="895">
        <v>91959</v>
      </c>
      <c r="C1325" s="896" t="s">
        <v>596</v>
      </c>
      <c r="D1325" s="906" t="s">
        <v>1255</v>
      </c>
      <c r="E1325" s="907">
        <f>GLOBAL_DER_FEV_2023!E1325</f>
        <v>0</v>
      </c>
      <c r="F1325" s="908">
        <f>GLOBAL_DER_FEV_2023!F1325</f>
        <v>0</v>
      </c>
      <c r="G1325" s="912">
        <f>GLOBAL_DER_FEV_2023!G1325</f>
        <v>0</v>
      </c>
      <c r="H1325" s="901">
        <f>GLOBAL_DER_FEV_2023!H1325</f>
        <v>48.65</v>
      </c>
      <c r="I1325" s="901">
        <f>GLOBAL_DER_FEV_2023!I1325</f>
        <v>48.65</v>
      </c>
      <c r="J1325" s="902">
        <f>GLOBAL_DER_FEV_2023!J1325</f>
        <v>58.41</v>
      </c>
      <c r="K1325" s="903" t="s">
        <v>1516</v>
      </c>
      <c r="L1325" s="1137"/>
      <c r="M1325" s="1138">
        <f t="shared" si="97"/>
        <v>0</v>
      </c>
      <c r="N1325" s="893">
        <f t="shared" si="101"/>
        <v>0</v>
      </c>
      <c r="O1325" s="905"/>
      <c r="Q1325" s="317" t="str">
        <f t="shared" si="98"/>
        <v/>
      </c>
      <c r="R1325" s="317" t="str">
        <f t="shared" si="99"/>
        <v/>
      </c>
      <c r="S1325" s="317" t="str">
        <f t="shared" si="100"/>
        <v/>
      </c>
      <c r="T1325" s="317" t="str">
        <f>GLOBAL_DER_FEV_2023!S1325</f>
        <v/>
      </c>
      <c r="W1325" s="582">
        <v>0</v>
      </c>
      <c r="X1325" s="580"/>
      <c r="Y1325" s="583">
        <f>IF(GLOBAL_DER_FEV_2023!W1325=0,0,IF(GLOBAL_DER_FEV_2023!W1325&gt;0,"c","b"))</f>
        <v>0</v>
      </c>
    </row>
    <row r="1326" spans="1:25" ht="23.25" hidden="1" thickBot="1" x14ac:dyDescent="0.25">
      <c r="A1326" s="317">
        <v>91962</v>
      </c>
      <c r="B1326" s="895">
        <v>91962</v>
      </c>
      <c r="C1326" s="896" t="s">
        <v>596</v>
      </c>
      <c r="D1326" s="906" t="s">
        <v>1256</v>
      </c>
      <c r="E1326" s="907">
        <f>GLOBAL_DER_FEV_2023!E1326</f>
        <v>0</v>
      </c>
      <c r="F1326" s="908">
        <f>GLOBAL_DER_FEV_2023!F1326</f>
        <v>0</v>
      </c>
      <c r="G1326" s="912">
        <f>GLOBAL_DER_FEV_2023!G1326</f>
        <v>0</v>
      </c>
      <c r="H1326" s="901">
        <f>GLOBAL_DER_FEV_2023!H1326</f>
        <v>72.069999999999993</v>
      </c>
      <c r="I1326" s="901">
        <f>GLOBAL_DER_FEV_2023!I1326</f>
        <v>72.069999999999993</v>
      </c>
      <c r="J1326" s="902">
        <f>GLOBAL_DER_FEV_2023!J1326</f>
        <v>86.53</v>
      </c>
      <c r="K1326" s="903" t="s">
        <v>1516</v>
      </c>
      <c r="L1326" s="1137"/>
      <c r="M1326" s="1138">
        <f t="shared" si="97"/>
        <v>0</v>
      </c>
      <c r="N1326" s="893">
        <f t="shared" si="101"/>
        <v>0</v>
      </c>
      <c r="O1326" s="905"/>
      <c r="Q1326" s="317" t="str">
        <f t="shared" si="98"/>
        <v/>
      </c>
      <c r="R1326" s="317" t="str">
        <f t="shared" si="99"/>
        <v/>
      </c>
      <c r="S1326" s="317" t="str">
        <f t="shared" si="100"/>
        <v/>
      </c>
      <c r="T1326" s="317" t="str">
        <f>GLOBAL_DER_FEV_2023!S1326</f>
        <v/>
      </c>
      <c r="W1326" s="582">
        <v>0</v>
      </c>
      <c r="X1326" s="580"/>
      <c r="Y1326" s="583">
        <f>IF(GLOBAL_DER_FEV_2023!W1326=0,0,IF(GLOBAL_DER_FEV_2023!W1326&gt;0,"c","b"))</f>
        <v>0</v>
      </c>
    </row>
    <row r="1327" spans="1:25" ht="23.25" hidden="1" thickBot="1" x14ac:dyDescent="0.25">
      <c r="A1327" s="317">
        <v>91963</v>
      </c>
      <c r="B1327" s="895">
        <v>91963</v>
      </c>
      <c r="C1327" s="896" t="s">
        <v>596</v>
      </c>
      <c r="D1327" s="906" t="s">
        <v>1257</v>
      </c>
      <c r="E1327" s="907">
        <f>GLOBAL_DER_FEV_2023!E1327</f>
        <v>0</v>
      </c>
      <c r="F1327" s="908">
        <f>GLOBAL_DER_FEV_2023!F1327</f>
        <v>0</v>
      </c>
      <c r="G1327" s="912">
        <f>GLOBAL_DER_FEV_2023!G1327</f>
        <v>0</v>
      </c>
      <c r="H1327" s="901">
        <f>GLOBAL_DER_FEV_2023!H1327</f>
        <v>81.3</v>
      </c>
      <c r="I1327" s="901">
        <f>GLOBAL_DER_FEV_2023!I1327</f>
        <v>81.3</v>
      </c>
      <c r="J1327" s="902">
        <f>GLOBAL_DER_FEV_2023!J1327</f>
        <v>97.62</v>
      </c>
      <c r="K1327" s="903" t="s">
        <v>1516</v>
      </c>
      <c r="L1327" s="1137"/>
      <c r="M1327" s="1138">
        <f t="shared" si="97"/>
        <v>0</v>
      </c>
      <c r="N1327" s="893">
        <f t="shared" si="101"/>
        <v>0</v>
      </c>
      <c r="O1327" s="905"/>
      <c r="Q1327" s="317" t="str">
        <f t="shared" si="98"/>
        <v/>
      </c>
      <c r="R1327" s="317" t="str">
        <f t="shared" si="99"/>
        <v/>
      </c>
      <c r="S1327" s="317" t="str">
        <f t="shared" si="100"/>
        <v/>
      </c>
      <c r="T1327" s="317" t="str">
        <f>GLOBAL_DER_FEV_2023!S1327</f>
        <v/>
      </c>
      <c r="W1327" s="582">
        <v>0</v>
      </c>
      <c r="X1327" s="580"/>
      <c r="Y1327" s="583">
        <f>IF(GLOBAL_DER_FEV_2023!W1327=0,0,IF(GLOBAL_DER_FEV_2023!W1327&gt;0,"c","b"))</f>
        <v>0</v>
      </c>
    </row>
    <row r="1328" spans="1:25" ht="23.25" hidden="1" thickBot="1" x14ac:dyDescent="0.25">
      <c r="A1328" s="317">
        <v>91964</v>
      </c>
      <c r="B1328" s="895">
        <v>91964</v>
      </c>
      <c r="C1328" s="896" t="s">
        <v>596</v>
      </c>
      <c r="D1328" s="906" t="s">
        <v>1258</v>
      </c>
      <c r="E1328" s="907">
        <f>GLOBAL_DER_FEV_2023!E1328</f>
        <v>0</v>
      </c>
      <c r="F1328" s="908">
        <f>GLOBAL_DER_FEV_2023!F1328</f>
        <v>0</v>
      </c>
      <c r="G1328" s="912">
        <f>GLOBAL_DER_FEV_2023!G1328</f>
        <v>0</v>
      </c>
      <c r="H1328" s="901">
        <f>GLOBAL_DER_FEV_2023!H1328</f>
        <v>64.66</v>
      </c>
      <c r="I1328" s="901">
        <f>GLOBAL_DER_FEV_2023!I1328</f>
        <v>64.66</v>
      </c>
      <c r="J1328" s="902">
        <f>GLOBAL_DER_FEV_2023!J1328</f>
        <v>77.64</v>
      </c>
      <c r="K1328" s="903" t="s">
        <v>1516</v>
      </c>
      <c r="L1328" s="1137"/>
      <c r="M1328" s="1138">
        <f t="shared" si="97"/>
        <v>0</v>
      </c>
      <c r="N1328" s="893">
        <f t="shared" si="101"/>
        <v>0</v>
      </c>
      <c r="O1328" s="905"/>
      <c r="Q1328" s="317" t="str">
        <f t="shared" si="98"/>
        <v/>
      </c>
      <c r="R1328" s="317" t="str">
        <f t="shared" si="99"/>
        <v/>
      </c>
      <c r="S1328" s="317" t="str">
        <f t="shared" si="100"/>
        <v/>
      </c>
      <c r="T1328" s="317" t="str">
        <f>GLOBAL_DER_FEV_2023!S1328</f>
        <v/>
      </c>
      <c r="W1328" s="582">
        <v>0</v>
      </c>
      <c r="X1328" s="580"/>
      <c r="Y1328" s="583">
        <f>IF(GLOBAL_DER_FEV_2023!W1328=0,0,IF(GLOBAL_DER_FEV_2023!W1328&gt;0,"c","b"))</f>
        <v>0</v>
      </c>
    </row>
    <row r="1329" spans="1:25" ht="23.25" hidden="1" thickBot="1" x14ac:dyDescent="0.25">
      <c r="A1329" s="317">
        <v>91965</v>
      </c>
      <c r="B1329" s="895">
        <v>91965</v>
      </c>
      <c r="C1329" s="896" t="s">
        <v>596</v>
      </c>
      <c r="D1329" s="906" t="s">
        <v>1259</v>
      </c>
      <c r="E1329" s="907">
        <f>GLOBAL_DER_FEV_2023!E1329</f>
        <v>0</v>
      </c>
      <c r="F1329" s="908">
        <f>GLOBAL_DER_FEV_2023!F1329</f>
        <v>0</v>
      </c>
      <c r="G1329" s="912">
        <f>GLOBAL_DER_FEV_2023!G1329</f>
        <v>0</v>
      </c>
      <c r="H1329" s="901">
        <f>GLOBAL_DER_FEV_2023!H1329</f>
        <v>73.89</v>
      </c>
      <c r="I1329" s="901">
        <f>GLOBAL_DER_FEV_2023!I1329</f>
        <v>73.89</v>
      </c>
      <c r="J1329" s="902">
        <f>GLOBAL_DER_FEV_2023!J1329</f>
        <v>88.72</v>
      </c>
      <c r="K1329" s="903" t="s">
        <v>1516</v>
      </c>
      <c r="L1329" s="1137"/>
      <c r="M1329" s="1138">
        <f t="shared" si="97"/>
        <v>0</v>
      </c>
      <c r="N1329" s="893">
        <f t="shared" si="101"/>
        <v>0</v>
      </c>
      <c r="O1329" s="905"/>
      <c r="Q1329" s="317" t="str">
        <f t="shared" si="98"/>
        <v/>
      </c>
      <c r="R1329" s="317" t="str">
        <f t="shared" si="99"/>
        <v/>
      </c>
      <c r="S1329" s="317" t="str">
        <f t="shared" si="100"/>
        <v/>
      </c>
      <c r="T1329" s="317" t="str">
        <f>GLOBAL_DER_FEV_2023!S1329</f>
        <v/>
      </c>
      <c r="W1329" s="582">
        <v>0</v>
      </c>
      <c r="X1329" s="580"/>
      <c r="Y1329" s="583">
        <f>IF(GLOBAL_DER_FEV_2023!W1329=0,0,IF(GLOBAL_DER_FEV_2023!W1329&gt;0,"c","b"))</f>
        <v>0</v>
      </c>
    </row>
    <row r="1330" spans="1:25" ht="23.25" hidden="1" thickBot="1" x14ac:dyDescent="0.25">
      <c r="A1330" s="317">
        <v>91966</v>
      </c>
      <c r="B1330" s="895">
        <v>91966</v>
      </c>
      <c r="C1330" s="896" t="s">
        <v>596</v>
      </c>
      <c r="D1330" s="906" t="s">
        <v>1260</v>
      </c>
      <c r="E1330" s="907">
        <f>GLOBAL_DER_FEV_2023!E1330</f>
        <v>0</v>
      </c>
      <c r="F1330" s="908">
        <f>GLOBAL_DER_FEV_2023!F1330</f>
        <v>0</v>
      </c>
      <c r="G1330" s="912">
        <f>GLOBAL_DER_FEV_2023!G1330</f>
        <v>0</v>
      </c>
      <c r="H1330" s="901">
        <f>GLOBAL_DER_FEV_2023!H1330</f>
        <v>57.32</v>
      </c>
      <c r="I1330" s="901">
        <f>GLOBAL_DER_FEV_2023!I1330</f>
        <v>57.32</v>
      </c>
      <c r="J1330" s="902">
        <f>GLOBAL_DER_FEV_2023!J1330</f>
        <v>68.819999999999993</v>
      </c>
      <c r="K1330" s="903" t="s">
        <v>1516</v>
      </c>
      <c r="L1330" s="1137"/>
      <c r="M1330" s="1138">
        <f t="shared" si="97"/>
        <v>0</v>
      </c>
      <c r="N1330" s="893">
        <f t="shared" si="101"/>
        <v>0</v>
      </c>
      <c r="O1330" s="905"/>
      <c r="Q1330" s="317" t="str">
        <f t="shared" si="98"/>
        <v/>
      </c>
      <c r="R1330" s="317" t="str">
        <f t="shared" si="99"/>
        <v/>
      </c>
      <c r="S1330" s="317" t="str">
        <f t="shared" si="100"/>
        <v/>
      </c>
      <c r="T1330" s="317" t="str">
        <f>GLOBAL_DER_FEV_2023!S1330</f>
        <v/>
      </c>
      <c r="W1330" s="582">
        <v>0</v>
      </c>
      <c r="X1330" s="580"/>
      <c r="Y1330" s="583">
        <f>IF(GLOBAL_DER_FEV_2023!W1330=0,0,IF(GLOBAL_DER_FEV_2023!W1330&gt;0,"c","b"))</f>
        <v>0</v>
      </c>
    </row>
    <row r="1331" spans="1:25" ht="23.25" hidden="1" thickBot="1" x14ac:dyDescent="0.25">
      <c r="A1331" s="317">
        <v>91967</v>
      </c>
      <c r="B1331" s="895">
        <v>91967</v>
      </c>
      <c r="C1331" s="896" t="s">
        <v>596</v>
      </c>
      <c r="D1331" s="906" t="s">
        <v>1261</v>
      </c>
      <c r="E1331" s="907">
        <f>GLOBAL_DER_FEV_2023!E1331</f>
        <v>0</v>
      </c>
      <c r="F1331" s="908">
        <f>GLOBAL_DER_FEV_2023!F1331</f>
        <v>0</v>
      </c>
      <c r="G1331" s="912">
        <f>GLOBAL_DER_FEV_2023!G1331</f>
        <v>0</v>
      </c>
      <c r="H1331" s="901">
        <f>GLOBAL_DER_FEV_2023!H1331</f>
        <v>66.55</v>
      </c>
      <c r="I1331" s="901">
        <f>GLOBAL_DER_FEV_2023!I1331</f>
        <v>66.55</v>
      </c>
      <c r="J1331" s="902">
        <f>GLOBAL_DER_FEV_2023!J1331</f>
        <v>79.91</v>
      </c>
      <c r="K1331" s="903" t="s">
        <v>1516</v>
      </c>
      <c r="L1331" s="1137"/>
      <c r="M1331" s="1138">
        <f t="shared" si="97"/>
        <v>0</v>
      </c>
      <c r="N1331" s="893">
        <f t="shared" si="101"/>
        <v>0</v>
      </c>
      <c r="O1331" s="905"/>
      <c r="Q1331" s="317" t="str">
        <f t="shared" si="98"/>
        <v/>
      </c>
      <c r="R1331" s="317" t="str">
        <f t="shared" si="99"/>
        <v/>
      </c>
      <c r="S1331" s="317" t="str">
        <f t="shared" si="100"/>
        <v/>
      </c>
      <c r="T1331" s="317" t="str">
        <f>GLOBAL_DER_FEV_2023!S1331</f>
        <v/>
      </c>
      <c r="W1331" s="582">
        <v>0</v>
      </c>
      <c r="X1331" s="580"/>
      <c r="Y1331" s="583">
        <f>IF(GLOBAL_DER_FEV_2023!W1331=0,0,IF(GLOBAL_DER_FEV_2023!W1331&gt;0,"c","b"))</f>
        <v>0</v>
      </c>
    </row>
    <row r="1332" spans="1:25" ht="23.25" hidden="1" thickBot="1" x14ac:dyDescent="0.25">
      <c r="A1332" s="317">
        <v>91970</v>
      </c>
      <c r="B1332" s="895">
        <v>91970</v>
      </c>
      <c r="C1332" s="896" t="s">
        <v>596</v>
      </c>
      <c r="D1332" s="906" t="s">
        <v>1262</v>
      </c>
      <c r="E1332" s="907">
        <f>GLOBAL_DER_FEV_2023!E1332</f>
        <v>0</v>
      </c>
      <c r="F1332" s="908">
        <f>GLOBAL_DER_FEV_2023!F1332</f>
        <v>0</v>
      </c>
      <c r="G1332" s="912">
        <f>GLOBAL_DER_FEV_2023!G1332</f>
        <v>0</v>
      </c>
      <c r="H1332" s="901">
        <f>GLOBAL_DER_FEV_2023!H1332</f>
        <v>83</v>
      </c>
      <c r="I1332" s="901">
        <f>GLOBAL_DER_FEV_2023!I1332</f>
        <v>83</v>
      </c>
      <c r="J1332" s="902">
        <f>GLOBAL_DER_FEV_2023!J1332</f>
        <v>99.66</v>
      </c>
      <c r="K1332" s="903" t="s">
        <v>1516</v>
      </c>
      <c r="L1332" s="1137"/>
      <c r="M1332" s="1138">
        <f t="shared" si="97"/>
        <v>0</v>
      </c>
      <c r="N1332" s="893">
        <f t="shared" si="101"/>
        <v>0</v>
      </c>
      <c r="O1332" s="905"/>
      <c r="Q1332" s="317" t="str">
        <f t="shared" si="98"/>
        <v/>
      </c>
      <c r="R1332" s="317" t="str">
        <f t="shared" si="99"/>
        <v/>
      </c>
      <c r="S1332" s="317" t="str">
        <f t="shared" si="100"/>
        <v/>
      </c>
      <c r="T1332" s="317" t="str">
        <f>GLOBAL_DER_FEV_2023!S1332</f>
        <v/>
      </c>
      <c r="W1332" s="582">
        <v>0</v>
      </c>
      <c r="X1332" s="580"/>
      <c r="Y1332" s="583">
        <f>IF(GLOBAL_DER_FEV_2023!W1332=0,0,IF(GLOBAL_DER_FEV_2023!W1332&gt;0,"c","b"))</f>
        <v>0</v>
      </c>
    </row>
    <row r="1333" spans="1:25" ht="23.25" hidden="1" thickBot="1" x14ac:dyDescent="0.25">
      <c r="A1333" s="317">
        <v>91971</v>
      </c>
      <c r="B1333" s="895">
        <v>91971</v>
      </c>
      <c r="C1333" s="896" t="s">
        <v>596</v>
      </c>
      <c r="D1333" s="906" t="s">
        <v>1263</v>
      </c>
      <c r="E1333" s="907">
        <f>GLOBAL_DER_FEV_2023!E1333</f>
        <v>0</v>
      </c>
      <c r="F1333" s="908">
        <f>GLOBAL_DER_FEV_2023!F1333</f>
        <v>0</v>
      </c>
      <c r="G1333" s="912">
        <f>GLOBAL_DER_FEV_2023!G1333</f>
        <v>0</v>
      </c>
      <c r="H1333" s="901">
        <f>GLOBAL_DER_FEV_2023!H1333</f>
        <v>97.58</v>
      </c>
      <c r="I1333" s="901">
        <f>GLOBAL_DER_FEV_2023!I1333</f>
        <v>97.58</v>
      </c>
      <c r="J1333" s="902">
        <f>GLOBAL_DER_FEV_2023!J1333</f>
        <v>117.16</v>
      </c>
      <c r="K1333" s="903" t="s">
        <v>1516</v>
      </c>
      <c r="L1333" s="1137"/>
      <c r="M1333" s="1138">
        <f t="shared" si="97"/>
        <v>0</v>
      </c>
      <c r="N1333" s="893">
        <f t="shared" si="101"/>
        <v>0</v>
      </c>
      <c r="O1333" s="905"/>
      <c r="Q1333" s="317" t="str">
        <f t="shared" si="98"/>
        <v/>
      </c>
      <c r="R1333" s="317" t="str">
        <f t="shared" si="99"/>
        <v/>
      </c>
      <c r="S1333" s="317" t="str">
        <f t="shared" si="100"/>
        <v/>
      </c>
      <c r="T1333" s="317" t="str">
        <f>GLOBAL_DER_FEV_2023!S1333</f>
        <v/>
      </c>
      <c r="W1333" s="582">
        <v>0</v>
      </c>
      <c r="X1333" s="580"/>
      <c r="Y1333" s="583">
        <f>IF(GLOBAL_DER_FEV_2023!W1333=0,0,IF(GLOBAL_DER_FEV_2023!W1333&gt;0,"c","b"))</f>
        <v>0</v>
      </c>
    </row>
    <row r="1334" spans="1:25" ht="23.25" hidden="1" thickBot="1" x14ac:dyDescent="0.25">
      <c r="A1334" s="317">
        <v>91972</v>
      </c>
      <c r="B1334" s="895">
        <v>91972</v>
      </c>
      <c r="C1334" s="896" t="s">
        <v>596</v>
      </c>
      <c r="D1334" s="906" t="s">
        <v>1264</v>
      </c>
      <c r="E1334" s="907">
        <f>GLOBAL_DER_FEV_2023!E1334</f>
        <v>0</v>
      </c>
      <c r="F1334" s="908">
        <f>GLOBAL_DER_FEV_2023!F1334</f>
        <v>0</v>
      </c>
      <c r="G1334" s="912">
        <f>GLOBAL_DER_FEV_2023!G1334</f>
        <v>0</v>
      </c>
      <c r="H1334" s="901">
        <f>GLOBAL_DER_FEV_2023!H1334</f>
        <v>90.4</v>
      </c>
      <c r="I1334" s="901">
        <f>GLOBAL_DER_FEV_2023!I1334</f>
        <v>90.4</v>
      </c>
      <c r="J1334" s="902">
        <f>GLOBAL_DER_FEV_2023!J1334</f>
        <v>108.54</v>
      </c>
      <c r="K1334" s="903" t="s">
        <v>1516</v>
      </c>
      <c r="L1334" s="1137"/>
      <c r="M1334" s="1138">
        <f t="shared" si="97"/>
        <v>0</v>
      </c>
      <c r="N1334" s="893">
        <f t="shared" si="101"/>
        <v>0</v>
      </c>
      <c r="O1334" s="905"/>
      <c r="Q1334" s="317" t="str">
        <f t="shared" si="98"/>
        <v/>
      </c>
      <c r="R1334" s="317" t="str">
        <f t="shared" si="99"/>
        <v/>
      </c>
      <c r="S1334" s="317" t="str">
        <f t="shared" si="100"/>
        <v/>
      </c>
      <c r="T1334" s="317" t="str">
        <f>GLOBAL_DER_FEV_2023!S1334</f>
        <v/>
      </c>
      <c r="W1334" s="582">
        <v>0</v>
      </c>
      <c r="X1334" s="580"/>
      <c r="Y1334" s="583">
        <f>IF(GLOBAL_DER_FEV_2023!W1334=0,0,IF(GLOBAL_DER_FEV_2023!W1334&gt;0,"c","b"))</f>
        <v>0</v>
      </c>
    </row>
    <row r="1335" spans="1:25" ht="23.25" hidden="1" thickBot="1" x14ac:dyDescent="0.25">
      <c r="A1335" s="317">
        <v>91973</v>
      </c>
      <c r="B1335" s="895">
        <v>91973</v>
      </c>
      <c r="C1335" s="896" t="s">
        <v>596</v>
      </c>
      <c r="D1335" s="906" t="s">
        <v>1265</v>
      </c>
      <c r="E1335" s="907">
        <f>GLOBAL_DER_FEV_2023!E1335</f>
        <v>0</v>
      </c>
      <c r="F1335" s="908">
        <f>GLOBAL_DER_FEV_2023!F1335</f>
        <v>0</v>
      </c>
      <c r="G1335" s="912">
        <f>GLOBAL_DER_FEV_2023!G1335</f>
        <v>0</v>
      </c>
      <c r="H1335" s="901">
        <f>GLOBAL_DER_FEV_2023!H1335</f>
        <v>104.98</v>
      </c>
      <c r="I1335" s="901">
        <f>GLOBAL_DER_FEV_2023!I1335</f>
        <v>104.98</v>
      </c>
      <c r="J1335" s="902">
        <f>GLOBAL_DER_FEV_2023!J1335</f>
        <v>126.05</v>
      </c>
      <c r="K1335" s="903" t="s">
        <v>1516</v>
      </c>
      <c r="L1335" s="1137"/>
      <c r="M1335" s="1138">
        <f t="shared" si="97"/>
        <v>0</v>
      </c>
      <c r="N1335" s="893">
        <f t="shared" si="101"/>
        <v>0</v>
      </c>
      <c r="O1335" s="905"/>
      <c r="Q1335" s="317" t="str">
        <f t="shared" si="98"/>
        <v/>
      </c>
      <c r="R1335" s="317" t="str">
        <f t="shared" si="99"/>
        <v/>
      </c>
      <c r="S1335" s="317" t="str">
        <f t="shared" si="100"/>
        <v/>
      </c>
      <c r="T1335" s="317" t="str">
        <f>GLOBAL_DER_FEV_2023!S1335</f>
        <v/>
      </c>
      <c r="W1335" s="582">
        <v>0</v>
      </c>
      <c r="X1335" s="580"/>
      <c r="Y1335" s="583">
        <f>IF(GLOBAL_DER_FEV_2023!W1335=0,0,IF(GLOBAL_DER_FEV_2023!W1335&gt;0,"c","b"))</f>
        <v>0</v>
      </c>
    </row>
    <row r="1336" spans="1:25" ht="23.25" hidden="1" thickBot="1" x14ac:dyDescent="0.25">
      <c r="A1336" s="317">
        <v>91974</v>
      </c>
      <c r="B1336" s="895">
        <v>91974</v>
      </c>
      <c r="C1336" s="896" t="s">
        <v>596</v>
      </c>
      <c r="D1336" s="906" t="s">
        <v>1266</v>
      </c>
      <c r="E1336" s="907">
        <f>GLOBAL_DER_FEV_2023!E1336</f>
        <v>0</v>
      </c>
      <c r="F1336" s="908">
        <f>GLOBAL_DER_FEV_2023!F1336</f>
        <v>0</v>
      </c>
      <c r="G1336" s="912">
        <f>GLOBAL_DER_FEV_2023!G1336</f>
        <v>0</v>
      </c>
      <c r="H1336" s="901">
        <f>GLOBAL_DER_FEV_2023!H1336</f>
        <v>75.599999999999994</v>
      </c>
      <c r="I1336" s="901">
        <f>GLOBAL_DER_FEV_2023!I1336</f>
        <v>75.599999999999994</v>
      </c>
      <c r="J1336" s="902">
        <f>GLOBAL_DER_FEV_2023!J1336</f>
        <v>90.77</v>
      </c>
      <c r="K1336" s="903" t="s">
        <v>1516</v>
      </c>
      <c r="L1336" s="1137"/>
      <c r="M1336" s="1138">
        <f t="shared" si="97"/>
        <v>0</v>
      </c>
      <c r="N1336" s="893">
        <f t="shared" si="101"/>
        <v>0</v>
      </c>
      <c r="O1336" s="905"/>
      <c r="Q1336" s="317" t="str">
        <f t="shared" si="98"/>
        <v/>
      </c>
      <c r="R1336" s="317" t="str">
        <f t="shared" si="99"/>
        <v/>
      </c>
      <c r="S1336" s="317" t="str">
        <f t="shared" si="100"/>
        <v/>
      </c>
      <c r="T1336" s="317" t="str">
        <f>GLOBAL_DER_FEV_2023!S1336</f>
        <v/>
      </c>
      <c r="W1336" s="582">
        <v>0</v>
      </c>
      <c r="X1336" s="580"/>
      <c r="Y1336" s="583">
        <f>IF(GLOBAL_DER_FEV_2023!W1336=0,0,IF(GLOBAL_DER_FEV_2023!W1336&gt;0,"c","b"))</f>
        <v>0</v>
      </c>
    </row>
    <row r="1337" spans="1:25" ht="23.25" hidden="1" thickBot="1" x14ac:dyDescent="0.25">
      <c r="A1337" s="317">
        <v>91975</v>
      </c>
      <c r="B1337" s="895">
        <v>91975</v>
      </c>
      <c r="C1337" s="896" t="s">
        <v>596</v>
      </c>
      <c r="D1337" s="906" t="s">
        <v>1267</v>
      </c>
      <c r="E1337" s="907">
        <f>GLOBAL_DER_FEV_2023!E1337</f>
        <v>0</v>
      </c>
      <c r="F1337" s="908">
        <f>GLOBAL_DER_FEV_2023!F1337</f>
        <v>0</v>
      </c>
      <c r="G1337" s="912">
        <f>GLOBAL_DER_FEV_2023!G1337</f>
        <v>0</v>
      </c>
      <c r="H1337" s="901">
        <f>GLOBAL_DER_FEV_2023!H1337</f>
        <v>90.18</v>
      </c>
      <c r="I1337" s="901">
        <f>GLOBAL_DER_FEV_2023!I1337</f>
        <v>90.18</v>
      </c>
      <c r="J1337" s="902">
        <f>GLOBAL_DER_FEV_2023!J1337</f>
        <v>108.28</v>
      </c>
      <c r="K1337" s="903" t="s">
        <v>1516</v>
      </c>
      <c r="L1337" s="1137"/>
      <c r="M1337" s="1138">
        <f t="shared" si="97"/>
        <v>0</v>
      </c>
      <c r="N1337" s="893">
        <f t="shared" si="101"/>
        <v>0</v>
      </c>
      <c r="O1337" s="905"/>
      <c r="Q1337" s="317" t="str">
        <f t="shared" si="98"/>
        <v/>
      </c>
      <c r="R1337" s="317" t="str">
        <f t="shared" si="99"/>
        <v/>
      </c>
      <c r="S1337" s="317" t="str">
        <f t="shared" si="100"/>
        <v/>
      </c>
      <c r="T1337" s="317" t="str">
        <f>GLOBAL_DER_FEV_2023!S1337</f>
        <v/>
      </c>
      <c r="W1337" s="582">
        <v>0</v>
      </c>
      <c r="X1337" s="580"/>
      <c r="Y1337" s="583">
        <f>IF(GLOBAL_DER_FEV_2023!W1337=0,0,IF(GLOBAL_DER_FEV_2023!W1337&gt;0,"c","b"))</f>
        <v>0</v>
      </c>
    </row>
    <row r="1338" spans="1:25" ht="23.25" hidden="1" thickBot="1" x14ac:dyDescent="0.25">
      <c r="A1338" s="317">
        <v>91976</v>
      </c>
      <c r="B1338" s="895">
        <v>91976</v>
      </c>
      <c r="C1338" s="896" t="s">
        <v>596</v>
      </c>
      <c r="D1338" s="906" t="s">
        <v>1268</v>
      </c>
      <c r="E1338" s="907">
        <f>GLOBAL_DER_FEV_2023!E1338</f>
        <v>0</v>
      </c>
      <c r="F1338" s="908">
        <f>GLOBAL_DER_FEV_2023!F1338</f>
        <v>0</v>
      </c>
      <c r="G1338" s="912">
        <f>GLOBAL_DER_FEV_2023!G1338</f>
        <v>0</v>
      </c>
      <c r="H1338" s="901">
        <f>GLOBAL_DER_FEV_2023!H1338</f>
        <v>111.54</v>
      </c>
      <c r="I1338" s="901">
        <f>GLOBAL_DER_FEV_2023!I1338</f>
        <v>111.54</v>
      </c>
      <c r="J1338" s="902">
        <f>GLOBAL_DER_FEV_2023!J1338</f>
        <v>133.93</v>
      </c>
      <c r="K1338" s="903" t="s">
        <v>1516</v>
      </c>
      <c r="L1338" s="1137"/>
      <c r="M1338" s="1138">
        <f t="shared" si="97"/>
        <v>0</v>
      </c>
      <c r="N1338" s="893">
        <f t="shared" si="101"/>
        <v>0</v>
      </c>
      <c r="O1338" s="905"/>
      <c r="Q1338" s="317" t="str">
        <f t="shared" si="98"/>
        <v/>
      </c>
      <c r="R1338" s="317" t="str">
        <f t="shared" si="99"/>
        <v/>
      </c>
      <c r="S1338" s="317" t="str">
        <f t="shared" si="100"/>
        <v/>
      </c>
      <c r="T1338" s="317" t="str">
        <f>GLOBAL_DER_FEV_2023!S1338</f>
        <v/>
      </c>
      <c r="W1338" s="582">
        <v>0</v>
      </c>
      <c r="X1338" s="580"/>
      <c r="Y1338" s="583">
        <f>IF(GLOBAL_DER_FEV_2023!W1338=0,0,IF(GLOBAL_DER_FEV_2023!W1338&gt;0,"c","b"))</f>
        <v>0</v>
      </c>
    </row>
    <row r="1339" spans="1:25" ht="23.25" hidden="1" thickBot="1" x14ac:dyDescent="0.25">
      <c r="A1339" s="317">
        <v>91977</v>
      </c>
      <c r="B1339" s="895">
        <v>91977</v>
      </c>
      <c r="C1339" s="896" t="s">
        <v>596</v>
      </c>
      <c r="D1339" s="906" t="s">
        <v>1269</v>
      </c>
      <c r="E1339" s="907">
        <f>GLOBAL_DER_FEV_2023!E1339</f>
        <v>0</v>
      </c>
      <c r="F1339" s="908">
        <f>GLOBAL_DER_FEV_2023!F1339</f>
        <v>0</v>
      </c>
      <c r="G1339" s="912">
        <f>GLOBAL_DER_FEV_2023!G1339</f>
        <v>0</v>
      </c>
      <c r="H1339" s="901">
        <f>GLOBAL_DER_FEV_2023!H1339</f>
        <v>126.12</v>
      </c>
      <c r="I1339" s="901">
        <f>GLOBAL_DER_FEV_2023!I1339</f>
        <v>126.12</v>
      </c>
      <c r="J1339" s="902">
        <f>GLOBAL_DER_FEV_2023!J1339</f>
        <v>151.43</v>
      </c>
      <c r="K1339" s="903" t="s">
        <v>1516</v>
      </c>
      <c r="L1339" s="1137"/>
      <c r="M1339" s="1138">
        <f t="shared" si="97"/>
        <v>0</v>
      </c>
      <c r="N1339" s="893">
        <f t="shared" si="101"/>
        <v>0</v>
      </c>
      <c r="O1339" s="905"/>
      <c r="Q1339" s="317" t="str">
        <f t="shared" si="98"/>
        <v/>
      </c>
      <c r="R1339" s="317" t="str">
        <f t="shared" si="99"/>
        <v/>
      </c>
      <c r="S1339" s="317" t="str">
        <f t="shared" si="100"/>
        <v/>
      </c>
      <c r="T1339" s="317" t="str">
        <f>GLOBAL_DER_FEV_2023!S1339</f>
        <v/>
      </c>
      <c r="W1339" s="582">
        <v>0</v>
      </c>
      <c r="X1339" s="580"/>
      <c r="Y1339" s="583">
        <f>IF(GLOBAL_DER_FEV_2023!W1339=0,0,IF(GLOBAL_DER_FEV_2023!W1339&gt;0,"c","b"))</f>
        <v>0</v>
      </c>
    </row>
    <row r="1340" spans="1:25" ht="23.25" hidden="1" thickBot="1" x14ac:dyDescent="0.25">
      <c r="A1340" s="317">
        <v>92022</v>
      </c>
      <c r="B1340" s="895">
        <v>92022</v>
      </c>
      <c r="C1340" s="896" t="s">
        <v>596</v>
      </c>
      <c r="D1340" s="906" t="s">
        <v>1270</v>
      </c>
      <c r="E1340" s="907">
        <f>GLOBAL_DER_FEV_2023!E1340</f>
        <v>0</v>
      </c>
      <c r="F1340" s="908">
        <f>GLOBAL_DER_FEV_2023!F1340</f>
        <v>0</v>
      </c>
      <c r="G1340" s="912">
        <f>GLOBAL_DER_FEV_2023!G1340</f>
        <v>0</v>
      </c>
      <c r="H1340" s="901">
        <f>GLOBAL_DER_FEV_2023!H1340</f>
        <v>45.44</v>
      </c>
      <c r="I1340" s="901">
        <f>GLOBAL_DER_FEV_2023!I1340</f>
        <v>45.44</v>
      </c>
      <c r="J1340" s="902">
        <f>GLOBAL_DER_FEV_2023!J1340</f>
        <v>54.56</v>
      </c>
      <c r="K1340" s="903" t="s">
        <v>1516</v>
      </c>
      <c r="L1340" s="1137"/>
      <c r="M1340" s="1138">
        <f t="shared" si="97"/>
        <v>0</v>
      </c>
      <c r="N1340" s="893">
        <f t="shared" si="101"/>
        <v>0</v>
      </c>
      <c r="O1340" s="905"/>
      <c r="Q1340" s="317" t="str">
        <f t="shared" si="98"/>
        <v/>
      </c>
      <c r="R1340" s="317" t="str">
        <f t="shared" si="99"/>
        <v/>
      </c>
      <c r="S1340" s="317" t="str">
        <f t="shared" si="100"/>
        <v/>
      </c>
      <c r="T1340" s="317" t="str">
        <f>GLOBAL_DER_FEV_2023!S1340</f>
        <v/>
      </c>
      <c r="W1340" s="582">
        <v>0</v>
      </c>
      <c r="X1340" s="580"/>
      <c r="Y1340" s="583">
        <f>IF(GLOBAL_DER_FEV_2023!W1340=0,0,IF(GLOBAL_DER_FEV_2023!W1340&gt;0,"c","b"))</f>
        <v>0</v>
      </c>
    </row>
    <row r="1341" spans="1:25" ht="23.25" hidden="1" thickBot="1" x14ac:dyDescent="0.25">
      <c r="A1341" s="317">
        <v>92023</v>
      </c>
      <c r="B1341" s="895">
        <v>92023</v>
      </c>
      <c r="C1341" s="896" t="s">
        <v>596</v>
      </c>
      <c r="D1341" s="906" t="s">
        <v>1271</v>
      </c>
      <c r="E1341" s="907">
        <f>GLOBAL_DER_FEV_2023!E1341</f>
        <v>0</v>
      </c>
      <c r="F1341" s="908">
        <f>GLOBAL_DER_FEV_2023!F1341</f>
        <v>0</v>
      </c>
      <c r="G1341" s="912">
        <f>GLOBAL_DER_FEV_2023!G1341</f>
        <v>0</v>
      </c>
      <c r="H1341" s="901">
        <f>GLOBAL_DER_FEV_2023!H1341</f>
        <v>54.67</v>
      </c>
      <c r="I1341" s="901">
        <f>GLOBAL_DER_FEV_2023!I1341</f>
        <v>54.67</v>
      </c>
      <c r="J1341" s="902">
        <f>GLOBAL_DER_FEV_2023!J1341</f>
        <v>65.64</v>
      </c>
      <c r="K1341" s="903" t="s">
        <v>1516</v>
      </c>
      <c r="L1341" s="1137"/>
      <c r="M1341" s="1138">
        <f t="shared" si="97"/>
        <v>0</v>
      </c>
      <c r="N1341" s="893">
        <f t="shared" si="101"/>
        <v>0</v>
      </c>
      <c r="O1341" s="905"/>
      <c r="Q1341" s="317" t="str">
        <f t="shared" si="98"/>
        <v/>
      </c>
      <c r="R1341" s="317" t="str">
        <f t="shared" si="99"/>
        <v/>
      </c>
      <c r="S1341" s="317" t="str">
        <f t="shared" si="100"/>
        <v/>
      </c>
      <c r="T1341" s="317" t="str">
        <f>GLOBAL_DER_FEV_2023!S1341</f>
        <v/>
      </c>
      <c r="W1341" s="582">
        <v>0</v>
      </c>
      <c r="X1341" s="580"/>
      <c r="Y1341" s="583">
        <f>IF(GLOBAL_DER_FEV_2023!W1341=0,0,IF(GLOBAL_DER_FEV_2023!W1341&gt;0,"c","b"))</f>
        <v>0</v>
      </c>
    </row>
    <row r="1342" spans="1:25" ht="23.25" hidden="1" thickBot="1" x14ac:dyDescent="0.25">
      <c r="A1342" s="317">
        <v>92024</v>
      </c>
      <c r="B1342" s="895">
        <v>92024</v>
      </c>
      <c r="C1342" s="896" t="s">
        <v>596</v>
      </c>
      <c r="D1342" s="906" t="s">
        <v>1272</v>
      </c>
      <c r="E1342" s="907">
        <f>GLOBAL_DER_FEV_2023!E1342</f>
        <v>0</v>
      </c>
      <c r="F1342" s="908">
        <f>GLOBAL_DER_FEV_2023!F1342</f>
        <v>0</v>
      </c>
      <c r="G1342" s="912">
        <f>GLOBAL_DER_FEV_2023!G1342</f>
        <v>0</v>
      </c>
      <c r="H1342" s="901">
        <f>GLOBAL_DER_FEV_2023!H1342</f>
        <v>69.430000000000007</v>
      </c>
      <c r="I1342" s="901">
        <f>GLOBAL_DER_FEV_2023!I1342</f>
        <v>69.430000000000007</v>
      </c>
      <c r="J1342" s="902">
        <f>GLOBAL_DER_FEV_2023!J1342</f>
        <v>83.36</v>
      </c>
      <c r="K1342" s="903" t="s">
        <v>1516</v>
      </c>
      <c r="L1342" s="1137"/>
      <c r="M1342" s="1138">
        <f t="shared" si="97"/>
        <v>0</v>
      </c>
      <c r="N1342" s="893">
        <f t="shared" si="101"/>
        <v>0</v>
      </c>
      <c r="O1342" s="905"/>
      <c r="Q1342" s="317" t="str">
        <f t="shared" si="98"/>
        <v/>
      </c>
      <c r="R1342" s="317" t="str">
        <f t="shared" si="99"/>
        <v/>
      </c>
      <c r="S1342" s="317" t="str">
        <f t="shared" si="100"/>
        <v/>
      </c>
      <c r="T1342" s="317" t="str">
        <f>GLOBAL_DER_FEV_2023!S1342</f>
        <v/>
      </c>
      <c r="W1342" s="582">
        <v>0</v>
      </c>
      <c r="X1342" s="580"/>
      <c r="Y1342" s="583">
        <f>IF(GLOBAL_DER_FEV_2023!W1342=0,0,IF(GLOBAL_DER_FEV_2023!W1342&gt;0,"c","b"))</f>
        <v>0</v>
      </c>
    </row>
    <row r="1343" spans="1:25" ht="23.25" hidden="1" thickBot="1" x14ac:dyDescent="0.25">
      <c r="A1343" s="317">
        <v>92025</v>
      </c>
      <c r="B1343" s="895">
        <v>92025</v>
      </c>
      <c r="C1343" s="896" t="s">
        <v>596</v>
      </c>
      <c r="D1343" s="906" t="s">
        <v>1273</v>
      </c>
      <c r="E1343" s="907">
        <f>GLOBAL_DER_FEV_2023!E1343</f>
        <v>0</v>
      </c>
      <c r="F1343" s="908">
        <f>GLOBAL_DER_FEV_2023!F1343</f>
        <v>0</v>
      </c>
      <c r="G1343" s="912">
        <f>GLOBAL_DER_FEV_2023!G1343</f>
        <v>0</v>
      </c>
      <c r="H1343" s="901">
        <f>GLOBAL_DER_FEV_2023!H1343</f>
        <v>78.66</v>
      </c>
      <c r="I1343" s="901">
        <f>GLOBAL_DER_FEV_2023!I1343</f>
        <v>78.66</v>
      </c>
      <c r="J1343" s="902">
        <f>GLOBAL_DER_FEV_2023!J1343</f>
        <v>94.45</v>
      </c>
      <c r="K1343" s="903" t="s">
        <v>1516</v>
      </c>
      <c r="L1343" s="1137"/>
      <c r="M1343" s="1138">
        <f t="shared" si="97"/>
        <v>0</v>
      </c>
      <c r="N1343" s="893">
        <f t="shared" si="101"/>
        <v>0</v>
      </c>
      <c r="O1343" s="905"/>
      <c r="Q1343" s="317" t="str">
        <f t="shared" si="98"/>
        <v/>
      </c>
      <c r="R1343" s="317" t="str">
        <f t="shared" si="99"/>
        <v/>
      </c>
      <c r="S1343" s="317" t="str">
        <f t="shared" si="100"/>
        <v/>
      </c>
      <c r="T1343" s="317" t="str">
        <f>GLOBAL_DER_FEV_2023!S1343</f>
        <v/>
      </c>
      <c r="W1343" s="582">
        <v>0</v>
      </c>
      <c r="X1343" s="580"/>
      <c r="Y1343" s="583">
        <f>IF(GLOBAL_DER_FEV_2023!W1343=0,0,IF(GLOBAL_DER_FEV_2023!W1343&gt;0,"c","b"))</f>
        <v>0</v>
      </c>
    </row>
    <row r="1344" spans="1:25" ht="23.25" hidden="1" thickBot="1" x14ac:dyDescent="0.25">
      <c r="A1344" s="317">
        <v>92026</v>
      </c>
      <c r="B1344" s="895">
        <v>92026</v>
      </c>
      <c r="C1344" s="896" t="s">
        <v>596</v>
      </c>
      <c r="D1344" s="906" t="s">
        <v>1274</v>
      </c>
      <c r="E1344" s="907">
        <f>GLOBAL_DER_FEV_2023!E1344</f>
        <v>0</v>
      </c>
      <c r="F1344" s="908">
        <f>GLOBAL_DER_FEV_2023!F1344</f>
        <v>0</v>
      </c>
      <c r="G1344" s="912">
        <f>GLOBAL_DER_FEV_2023!G1344</f>
        <v>0</v>
      </c>
      <c r="H1344" s="901">
        <f>GLOBAL_DER_FEV_2023!H1344</f>
        <v>63.34</v>
      </c>
      <c r="I1344" s="901">
        <f>GLOBAL_DER_FEV_2023!I1344</f>
        <v>63.34</v>
      </c>
      <c r="J1344" s="902">
        <f>GLOBAL_DER_FEV_2023!J1344</f>
        <v>76.05</v>
      </c>
      <c r="K1344" s="903" t="s">
        <v>1516</v>
      </c>
      <c r="L1344" s="1137"/>
      <c r="M1344" s="1138">
        <f t="shared" si="97"/>
        <v>0</v>
      </c>
      <c r="N1344" s="893">
        <f t="shared" si="101"/>
        <v>0</v>
      </c>
      <c r="O1344" s="905"/>
      <c r="Q1344" s="317" t="str">
        <f t="shared" si="98"/>
        <v/>
      </c>
      <c r="R1344" s="317" t="str">
        <f t="shared" si="99"/>
        <v/>
      </c>
      <c r="S1344" s="317" t="str">
        <f t="shared" si="100"/>
        <v/>
      </c>
      <c r="T1344" s="317" t="str">
        <f>GLOBAL_DER_FEV_2023!S1344</f>
        <v/>
      </c>
      <c r="W1344" s="582">
        <v>0</v>
      </c>
      <c r="X1344" s="580"/>
      <c r="Y1344" s="583">
        <f>IF(GLOBAL_DER_FEV_2023!W1344=0,0,IF(GLOBAL_DER_FEV_2023!W1344&gt;0,"c","b"))</f>
        <v>0</v>
      </c>
    </row>
    <row r="1345" spans="1:25" ht="23.25" hidden="1" thickBot="1" x14ac:dyDescent="0.25">
      <c r="A1345" s="317">
        <v>92027</v>
      </c>
      <c r="B1345" s="895">
        <v>92027</v>
      </c>
      <c r="C1345" s="896" t="s">
        <v>596</v>
      </c>
      <c r="D1345" s="906" t="s">
        <v>1275</v>
      </c>
      <c r="E1345" s="907">
        <f>GLOBAL_DER_FEV_2023!E1345</f>
        <v>0</v>
      </c>
      <c r="F1345" s="908">
        <f>GLOBAL_DER_FEV_2023!F1345</f>
        <v>0</v>
      </c>
      <c r="G1345" s="912">
        <f>GLOBAL_DER_FEV_2023!G1345</f>
        <v>0</v>
      </c>
      <c r="H1345" s="901">
        <f>GLOBAL_DER_FEV_2023!H1345</f>
        <v>72.569999999999993</v>
      </c>
      <c r="I1345" s="901">
        <f>GLOBAL_DER_FEV_2023!I1345</f>
        <v>72.569999999999993</v>
      </c>
      <c r="J1345" s="902">
        <f>GLOBAL_DER_FEV_2023!J1345</f>
        <v>87.13</v>
      </c>
      <c r="K1345" s="903" t="s">
        <v>1516</v>
      </c>
      <c r="L1345" s="1137"/>
      <c r="M1345" s="1138">
        <f t="shared" si="97"/>
        <v>0</v>
      </c>
      <c r="N1345" s="893">
        <f t="shared" si="101"/>
        <v>0</v>
      </c>
      <c r="O1345" s="905"/>
      <c r="Q1345" s="317" t="str">
        <f t="shared" si="98"/>
        <v/>
      </c>
      <c r="R1345" s="317" t="str">
        <f t="shared" si="99"/>
        <v/>
      </c>
      <c r="S1345" s="317" t="str">
        <f t="shared" si="100"/>
        <v/>
      </c>
      <c r="T1345" s="317" t="str">
        <f>GLOBAL_DER_FEV_2023!S1345</f>
        <v/>
      </c>
      <c r="W1345" s="582">
        <v>0</v>
      </c>
      <c r="X1345" s="580"/>
      <c r="Y1345" s="583">
        <f>IF(GLOBAL_DER_FEV_2023!W1345=0,0,IF(GLOBAL_DER_FEV_2023!W1345&gt;0,"c","b"))</f>
        <v>0</v>
      </c>
    </row>
    <row r="1346" spans="1:25" ht="34.5" hidden="1" thickBot="1" x14ac:dyDescent="0.25">
      <c r="A1346" s="317">
        <v>92034</v>
      </c>
      <c r="B1346" s="895">
        <v>92034</v>
      </c>
      <c r="C1346" s="896" t="s">
        <v>596</v>
      </c>
      <c r="D1346" s="906" t="s">
        <v>1276</v>
      </c>
      <c r="E1346" s="907">
        <f>GLOBAL_DER_FEV_2023!E1346</f>
        <v>0</v>
      </c>
      <c r="F1346" s="908">
        <f>GLOBAL_DER_FEV_2023!F1346</f>
        <v>0</v>
      </c>
      <c r="G1346" s="912">
        <f>GLOBAL_DER_FEV_2023!G1346</f>
        <v>0</v>
      </c>
      <c r="H1346" s="901">
        <f>GLOBAL_DER_FEV_2023!H1346</f>
        <v>70.75</v>
      </c>
      <c r="I1346" s="901">
        <f>GLOBAL_DER_FEV_2023!I1346</f>
        <v>70.75</v>
      </c>
      <c r="J1346" s="902">
        <f>GLOBAL_DER_FEV_2023!J1346</f>
        <v>84.95</v>
      </c>
      <c r="K1346" s="903" t="s">
        <v>1516</v>
      </c>
      <c r="L1346" s="1137"/>
      <c r="M1346" s="1138">
        <f t="shared" si="97"/>
        <v>0</v>
      </c>
      <c r="N1346" s="893">
        <f t="shared" si="101"/>
        <v>0</v>
      </c>
      <c r="O1346" s="905"/>
      <c r="Q1346" s="317" t="str">
        <f t="shared" si="98"/>
        <v/>
      </c>
      <c r="R1346" s="317" t="str">
        <f t="shared" si="99"/>
        <v/>
      </c>
      <c r="S1346" s="317" t="str">
        <f t="shared" si="100"/>
        <v/>
      </c>
      <c r="T1346" s="317" t="str">
        <f>GLOBAL_DER_FEV_2023!S1346</f>
        <v/>
      </c>
      <c r="W1346" s="582">
        <v>0</v>
      </c>
      <c r="X1346" s="580"/>
      <c r="Y1346" s="583">
        <f>IF(GLOBAL_DER_FEV_2023!W1346=0,0,IF(GLOBAL_DER_FEV_2023!W1346&gt;0,"c","b"))</f>
        <v>0</v>
      </c>
    </row>
    <row r="1347" spans="1:25" ht="34.5" hidden="1" thickBot="1" x14ac:dyDescent="0.25">
      <c r="A1347" s="317">
        <v>92035</v>
      </c>
      <c r="B1347" s="895">
        <v>92035</v>
      </c>
      <c r="C1347" s="896" t="s">
        <v>596</v>
      </c>
      <c r="D1347" s="906" t="s">
        <v>1277</v>
      </c>
      <c r="E1347" s="907">
        <f>GLOBAL_DER_FEV_2023!E1347</f>
        <v>0</v>
      </c>
      <c r="F1347" s="908">
        <f>GLOBAL_DER_FEV_2023!F1347</f>
        <v>0</v>
      </c>
      <c r="G1347" s="912">
        <f>GLOBAL_DER_FEV_2023!G1347</f>
        <v>0</v>
      </c>
      <c r="H1347" s="901">
        <f>GLOBAL_DER_FEV_2023!H1347</f>
        <v>79.98</v>
      </c>
      <c r="I1347" s="901">
        <f>GLOBAL_DER_FEV_2023!I1347</f>
        <v>79.98</v>
      </c>
      <c r="J1347" s="902">
        <f>GLOBAL_DER_FEV_2023!J1347</f>
        <v>96.03</v>
      </c>
      <c r="K1347" s="903" t="s">
        <v>1516</v>
      </c>
      <c r="L1347" s="1137"/>
      <c r="M1347" s="1138">
        <f t="shared" si="97"/>
        <v>0</v>
      </c>
      <c r="N1347" s="893">
        <f t="shared" si="101"/>
        <v>0</v>
      </c>
      <c r="O1347" s="905"/>
      <c r="Q1347" s="317" t="str">
        <f t="shared" si="98"/>
        <v/>
      </c>
      <c r="R1347" s="317" t="str">
        <f t="shared" si="99"/>
        <v/>
      </c>
      <c r="S1347" s="317" t="str">
        <f t="shared" si="100"/>
        <v/>
      </c>
      <c r="T1347" s="317" t="str">
        <f>GLOBAL_DER_FEV_2023!S1347</f>
        <v/>
      </c>
      <c r="W1347" s="582">
        <v>0</v>
      </c>
      <c r="X1347" s="580"/>
      <c r="Y1347" s="583">
        <f>IF(GLOBAL_DER_FEV_2023!W1347=0,0,IF(GLOBAL_DER_FEV_2023!W1347&gt;0,"c","b"))</f>
        <v>0</v>
      </c>
    </row>
    <row r="1348" spans="1:25" ht="23.25" hidden="1" thickBot="1" x14ac:dyDescent="0.25">
      <c r="A1348" s="317">
        <v>91954</v>
      </c>
      <c r="B1348" s="895">
        <v>91954</v>
      </c>
      <c r="C1348" s="896" t="s">
        <v>596</v>
      </c>
      <c r="D1348" s="906" t="s">
        <v>1278</v>
      </c>
      <c r="E1348" s="907">
        <f>GLOBAL_DER_FEV_2023!E1348</f>
        <v>0</v>
      </c>
      <c r="F1348" s="908">
        <f>GLOBAL_DER_FEV_2023!F1348</f>
        <v>0</v>
      </c>
      <c r="G1348" s="912">
        <f>GLOBAL_DER_FEV_2023!G1348</f>
        <v>0</v>
      </c>
      <c r="H1348" s="901">
        <f>GLOBAL_DER_FEV_2023!H1348</f>
        <v>28.9</v>
      </c>
      <c r="I1348" s="901">
        <f>GLOBAL_DER_FEV_2023!I1348</f>
        <v>28.9</v>
      </c>
      <c r="J1348" s="902">
        <f>GLOBAL_DER_FEV_2023!J1348</f>
        <v>34.700000000000003</v>
      </c>
      <c r="K1348" s="903" t="s">
        <v>1516</v>
      </c>
      <c r="L1348" s="1137"/>
      <c r="M1348" s="1138">
        <f t="shared" si="97"/>
        <v>0</v>
      </c>
      <c r="N1348" s="893">
        <f t="shared" si="101"/>
        <v>0</v>
      </c>
      <c r="O1348" s="905"/>
      <c r="Q1348" s="317" t="str">
        <f t="shared" si="98"/>
        <v/>
      </c>
      <c r="R1348" s="317" t="str">
        <f t="shared" si="99"/>
        <v/>
      </c>
      <c r="S1348" s="317" t="str">
        <f t="shared" si="100"/>
        <v/>
      </c>
      <c r="T1348" s="317" t="str">
        <f>GLOBAL_DER_FEV_2023!S1348</f>
        <v/>
      </c>
      <c r="W1348" s="582">
        <v>0</v>
      </c>
      <c r="X1348" s="580"/>
      <c r="Y1348" s="583">
        <f>IF(GLOBAL_DER_FEV_2023!W1348=0,0,IF(GLOBAL_DER_FEV_2023!W1348&gt;0,"c","b"))</f>
        <v>0</v>
      </c>
    </row>
    <row r="1349" spans="1:25" ht="23.25" hidden="1" thickBot="1" x14ac:dyDescent="0.25">
      <c r="A1349" s="317">
        <v>91955</v>
      </c>
      <c r="B1349" s="895">
        <v>91955</v>
      </c>
      <c r="C1349" s="896" t="s">
        <v>596</v>
      </c>
      <c r="D1349" s="906" t="s">
        <v>1279</v>
      </c>
      <c r="E1349" s="907">
        <f>GLOBAL_DER_FEV_2023!E1349</f>
        <v>0</v>
      </c>
      <c r="F1349" s="908">
        <f>GLOBAL_DER_FEV_2023!F1349</f>
        <v>0</v>
      </c>
      <c r="G1349" s="912">
        <f>GLOBAL_DER_FEV_2023!G1349</f>
        <v>0</v>
      </c>
      <c r="H1349" s="901">
        <f>GLOBAL_DER_FEV_2023!H1349</f>
        <v>38.130000000000003</v>
      </c>
      <c r="I1349" s="901">
        <f>GLOBAL_DER_FEV_2023!I1349</f>
        <v>38.130000000000003</v>
      </c>
      <c r="J1349" s="902">
        <f>GLOBAL_DER_FEV_2023!J1349</f>
        <v>45.78</v>
      </c>
      <c r="K1349" s="903" t="s">
        <v>1516</v>
      </c>
      <c r="L1349" s="1137"/>
      <c r="M1349" s="1138">
        <f t="shared" si="97"/>
        <v>0</v>
      </c>
      <c r="N1349" s="893">
        <f t="shared" si="101"/>
        <v>0</v>
      </c>
      <c r="O1349" s="905"/>
      <c r="Q1349" s="317" t="str">
        <f t="shared" si="98"/>
        <v/>
      </c>
      <c r="R1349" s="317" t="str">
        <f t="shared" si="99"/>
        <v/>
      </c>
      <c r="S1349" s="317" t="str">
        <f t="shared" si="100"/>
        <v/>
      </c>
      <c r="T1349" s="317" t="str">
        <f>GLOBAL_DER_FEV_2023!S1349</f>
        <v/>
      </c>
      <c r="W1349" s="582">
        <v>0</v>
      </c>
      <c r="X1349" s="580"/>
      <c r="Y1349" s="583">
        <f>IF(GLOBAL_DER_FEV_2023!W1349=0,0,IF(GLOBAL_DER_FEV_2023!W1349&gt;0,"c","b"))</f>
        <v>0</v>
      </c>
    </row>
    <row r="1350" spans="1:25" ht="23.25" hidden="1" thickBot="1" x14ac:dyDescent="0.25">
      <c r="A1350" s="317">
        <v>91960</v>
      </c>
      <c r="B1350" s="895">
        <v>91960</v>
      </c>
      <c r="C1350" s="896" t="s">
        <v>596</v>
      </c>
      <c r="D1350" s="906" t="s">
        <v>1280</v>
      </c>
      <c r="E1350" s="907">
        <f>GLOBAL_DER_FEV_2023!E1350</f>
        <v>0</v>
      </c>
      <c r="F1350" s="908">
        <f>GLOBAL_DER_FEV_2023!F1350</f>
        <v>0</v>
      </c>
      <c r="G1350" s="912">
        <f>GLOBAL_DER_FEV_2023!G1350</f>
        <v>0</v>
      </c>
      <c r="H1350" s="901">
        <f>GLOBAL_DER_FEV_2023!H1350</f>
        <v>54.15</v>
      </c>
      <c r="I1350" s="901">
        <f>GLOBAL_DER_FEV_2023!I1350</f>
        <v>54.15</v>
      </c>
      <c r="J1350" s="902">
        <f>GLOBAL_DER_FEV_2023!J1350</f>
        <v>65.02</v>
      </c>
      <c r="K1350" s="903" t="s">
        <v>1516</v>
      </c>
      <c r="L1350" s="1137"/>
      <c r="M1350" s="1138">
        <f t="shared" si="97"/>
        <v>0</v>
      </c>
      <c r="N1350" s="893">
        <f t="shared" si="101"/>
        <v>0</v>
      </c>
      <c r="O1350" s="905"/>
      <c r="Q1350" s="317" t="str">
        <f t="shared" si="98"/>
        <v/>
      </c>
      <c r="R1350" s="317" t="str">
        <f t="shared" si="99"/>
        <v/>
      </c>
      <c r="S1350" s="317" t="str">
        <f t="shared" si="100"/>
        <v/>
      </c>
      <c r="T1350" s="317" t="str">
        <f>GLOBAL_DER_FEV_2023!S1350</f>
        <v/>
      </c>
      <c r="W1350" s="582">
        <v>0</v>
      </c>
      <c r="X1350" s="580"/>
      <c r="Y1350" s="583">
        <f>IF(GLOBAL_DER_FEV_2023!W1350=0,0,IF(GLOBAL_DER_FEV_2023!W1350&gt;0,"c","b"))</f>
        <v>0</v>
      </c>
    </row>
    <row r="1351" spans="1:25" ht="23.25" hidden="1" thickBot="1" x14ac:dyDescent="0.25">
      <c r="A1351" s="317">
        <v>91961</v>
      </c>
      <c r="B1351" s="895">
        <v>91961</v>
      </c>
      <c r="C1351" s="896" t="s">
        <v>596</v>
      </c>
      <c r="D1351" s="906" t="s">
        <v>1281</v>
      </c>
      <c r="E1351" s="907">
        <f>GLOBAL_DER_FEV_2023!E1351</f>
        <v>0</v>
      </c>
      <c r="F1351" s="908">
        <f>GLOBAL_DER_FEV_2023!F1351</f>
        <v>0</v>
      </c>
      <c r="G1351" s="912">
        <f>GLOBAL_DER_FEV_2023!G1351</f>
        <v>0</v>
      </c>
      <c r="H1351" s="901">
        <f>GLOBAL_DER_FEV_2023!H1351</f>
        <v>63.38</v>
      </c>
      <c r="I1351" s="901">
        <f>GLOBAL_DER_FEV_2023!I1351</f>
        <v>63.38</v>
      </c>
      <c r="J1351" s="902">
        <f>GLOBAL_DER_FEV_2023!J1351</f>
        <v>76.099999999999994</v>
      </c>
      <c r="K1351" s="903" t="s">
        <v>1516</v>
      </c>
      <c r="L1351" s="1137"/>
      <c r="M1351" s="1138">
        <f t="shared" si="97"/>
        <v>0</v>
      </c>
      <c r="N1351" s="893">
        <f t="shared" si="101"/>
        <v>0</v>
      </c>
      <c r="O1351" s="905"/>
      <c r="Q1351" s="317" t="str">
        <f t="shared" si="98"/>
        <v/>
      </c>
      <c r="R1351" s="317" t="str">
        <f t="shared" si="99"/>
        <v/>
      </c>
      <c r="S1351" s="317" t="str">
        <f t="shared" si="100"/>
        <v/>
      </c>
      <c r="T1351" s="317" t="str">
        <f>GLOBAL_DER_FEV_2023!S1351</f>
        <v/>
      </c>
      <c r="W1351" s="582">
        <v>0</v>
      </c>
      <c r="X1351" s="580"/>
      <c r="Y1351" s="583">
        <f>IF(GLOBAL_DER_FEV_2023!W1351=0,0,IF(GLOBAL_DER_FEV_2023!W1351&gt;0,"c","b"))</f>
        <v>0</v>
      </c>
    </row>
    <row r="1352" spans="1:25" ht="23.25" hidden="1" thickBot="1" x14ac:dyDescent="0.25">
      <c r="A1352" s="317">
        <v>91968</v>
      </c>
      <c r="B1352" s="895">
        <v>91968</v>
      </c>
      <c r="C1352" s="896" t="s">
        <v>596</v>
      </c>
      <c r="D1352" s="906" t="s">
        <v>1282</v>
      </c>
      <c r="E1352" s="907">
        <f>GLOBAL_DER_FEV_2023!E1352</f>
        <v>0</v>
      </c>
      <c r="F1352" s="908">
        <f>GLOBAL_DER_FEV_2023!F1352</f>
        <v>0</v>
      </c>
      <c r="G1352" s="912">
        <f>GLOBAL_DER_FEV_2023!G1352</f>
        <v>0</v>
      </c>
      <c r="H1352" s="901">
        <f>GLOBAL_DER_FEV_2023!H1352</f>
        <v>79.41</v>
      </c>
      <c r="I1352" s="901">
        <f>GLOBAL_DER_FEV_2023!I1352</f>
        <v>79.41</v>
      </c>
      <c r="J1352" s="902">
        <f>GLOBAL_DER_FEV_2023!J1352</f>
        <v>95.35</v>
      </c>
      <c r="K1352" s="903" t="s">
        <v>1516</v>
      </c>
      <c r="L1352" s="1137"/>
      <c r="M1352" s="1138">
        <f t="shared" si="97"/>
        <v>0</v>
      </c>
      <c r="N1352" s="893">
        <f t="shared" si="101"/>
        <v>0</v>
      </c>
      <c r="O1352" s="905"/>
      <c r="Q1352" s="317" t="str">
        <f t="shared" si="98"/>
        <v/>
      </c>
      <c r="R1352" s="317" t="str">
        <f t="shared" si="99"/>
        <v/>
      </c>
      <c r="S1352" s="317" t="str">
        <f t="shared" si="100"/>
        <v/>
      </c>
      <c r="T1352" s="317" t="str">
        <f>GLOBAL_DER_FEV_2023!S1352</f>
        <v/>
      </c>
      <c r="W1352" s="582">
        <v>0</v>
      </c>
      <c r="X1352" s="580"/>
      <c r="Y1352" s="583">
        <f>IF(GLOBAL_DER_FEV_2023!W1352=0,0,IF(GLOBAL_DER_FEV_2023!W1352&gt;0,"c","b"))</f>
        <v>0</v>
      </c>
    </row>
    <row r="1353" spans="1:25" ht="23.25" hidden="1" thickBot="1" x14ac:dyDescent="0.25">
      <c r="A1353" s="317">
        <v>91969</v>
      </c>
      <c r="B1353" s="895">
        <v>91969</v>
      </c>
      <c r="C1353" s="896" t="s">
        <v>596</v>
      </c>
      <c r="D1353" s="906" t="s">
        <v>1283</v>
      </c>
      <c r="E1353" s="907">
        <f>GLOBAL_DER_FEV_2023!E1353</f>
        <v>0</v>
      </c>
      <c r="F1353" s="908">
        <f>GLOBAL_DER_FEV_2023!F1353</f>
        <v>0</v>
      </c>
      <c r="G1353" s="912">
        <f>GLOBAL_DER_FEV_2023!G1353</f>
        <v>0</v>
      </c>
      <c r="H1353" s="901">
        <f>GLOBAL_DER_FEV_2023!H1353</f>
        <v>88.64</v>
      </c>
      <c r="I1353" s="901">
        <f>GLOBAL_DER_FEV_2023!I1353</f>
        <v>88.64</v>
      </c>
      <c r="J1353" s="902">
        <f>GLOBAL_DER_FEV_2023!J1353</f>
        <v>106.43</v>
      </c>
      <c r="K1353" s="903" t="s">
        <v>1516</v>
      </c>
      <c r="L1353" s="1137"/>
      <c r="M1353" s="1138">
        <f t="shared" si="97"/>
        <v>0</v>
      </c>
      <c r="N1353" s="893">
        <f t="shared" si="101"/>
        <v>0</v>
      </c>
      <c r="O1353" s="905"/>
      <c r="Q1353" s="317" t="str">
        <f t="shared" si="98"/>
        <v/>
      </c>
      <c r="R1353" s="317" t="str">
        <f t="shared" si="99"/>
        <v/>
      </c>
      <c r="S1353" s="317" t="str">
        <f t="shared" si="100"/>
        <v/>
      </c>
      <c r="T1353" s="317" t="str">
        <f>GLOBAL_DER_FEV_2023!S1353</f>
        <v/>
      </c>
      <c r="W1353" s="582">
        <v>0</v>
      </c>
      <c r="X1353" s="580"/>
      <c r="Y1353" s="583">
        <f>IF(GLOBAL_DER_FEV_2023!W1353=0,0,IF(GLOBAL_DER_FEV_2023!W1353&gt;0,"c","b"))</f>
        <v>0</v>
      </c>
    </row>
    <row r="1354" spans="1:25" ht="23.25" hidden="1" thickBot="1" x14ac:dyDescent="0.25">
      <c r="A1354" s="317">
        <v>92028</v>
      </c>
      <c r="B1354" s="895">
        <v>92028</v>
      </c>
      <c r="C1354" s="896" t="s">
        <v>596</v>
      </c>
      <c r="D1354" s="906" t="s">
        <v>1284</v>
      </c>
      <c r="E1354" s="907">
        <f>GLOBAL_DER_FEV_2023!E1354</f>
        <v>0</v>
      </c>
      <c r="F1354" s="908">
        <f>GLOBAL_DER_FEV_2023!F1354</f>
        <v>0</v>
      </c>
      <c r="G1354" s="912">
        <f>GLOBAL_DER_FEV_2023!G1354</f>
        <v>0</v>
      </c>
      <c r="H1354" s="901">
        <f>GLOBAL_DER_FEV_2023!H1354</f>
        <v>52.83</v>
      </c>
      <c r="I1354" s="901">
        <f>GLOBAL_DER_FEV_2023!I1354</f>
        <v>52.83</v>
      </c>
      <c r="J1354" s="902">
        <f>GLOBAL_DER_FEV_2023!J1354</f>
        <v>63.43</v>
      </c>
      <c r="K1354" s="903" t="s">
        <v>1516</v>
      </c>
      <c r="L1354" s="1137"/>
      <c r="M1354" s="1138">
        <f t="shared" si="97"/>
        <v>0</v>
      </c>
      <c r="N1354" s="893">
        <f t="shared" si="101"/>
        <v>0</v>
      </c>
      <c r="O1354" s="905"/>
      <c r="Q1354" s="317" t="str">
        <f t="shared" si="98"/>
        <v/>
      </c>
      <c r="R1354" s="317" t="str">
        <f t="shared" si="99"/>
        <v/>
      </c>
      <c r="S1354" s="317" t="str">
        <f t="shared" si="100"/>
        <v/>
      </c>
      <c r="T1354" s="317" t="str">
        <f>GLOBAL_DER_FEV_2023!S1354</f>
        <v/>
      </c>
      <c r="W1354" s="582">
        <v>0</v>
      </c>
      <c r="X1354" s="580"/>
      <c r="Y1354" s="583">
        <f>IF(GLOBAL_DER_FEV_2023!W1354=0,0,IF(GLOBAL_DER_FEV_2023!W1354&gt;0,"c","b"))</f>
        <v>0</v>
      </c>
    </row>
    <row r="1355" spans="1:25" ht="23.25" hidden="1" thickBot="1" x14ac:dyDescent="0.25">
      <c r="A1355" s="317">
        <v>92029</v>
      </c>
      <c r="B1355" s="895">
        <v>92029</v>
      </c>
      <c r="C1355" s="896" t="s">
        <v>596</v>
      </c>
      <c r="D1355" s="906" t="s">
        <v>1285</v>
      </c>
      <c r="E1355" s="907">
        <f>GLOBAL_DER_FEV_2023!E1355</f>
        <v>0</v>
      </c>
      <c r="F1355" s="908">
        <f>GLOBAL_DER_FEV_2023!F1355</f>
        <v>0</v>
      </c>
      <c r="G1355" s="912">
        <f>GLOBAL_DER_FEV_2023!G1355</f>
        <v>0</v>
      </c>
      <c r="H1355" s="901">
        <f>GLOBAL_DER_FEV_2023!H1355</f>
        <v>62.06</v>
      </c>
      <c r="I1355" s="901">
        <f>GLOBAL_DER_FEV_2023!I1355</f>
        <v>62.06</v>
      </c>
      <c r="J1355" s="902">
        <f>GLOBAL_DER_FEV_2023!J1355</f>
        <v>74.52</v>
      </c>
      <c r="K1355" s="903" t="s">
        <v>1516</v>
      </c>
      <c r="L1355" s="1137"/>
      <c r="M1355" s="1138">
        <f t="shared" si="97"/>
        <v>0</v>
      </c>
      <c r="N1355" s="893">
        <f t="shared" si="101"/>
        <v>0</v>
      </c>
      <c r="O1355" s="905"/>
      <c r="Q1355" s="317" t="str">
        <f t="shared" si="98"/>
        <v/>
      </c>
      <c r="R1355" s="317" t="str">
        <f t="shared" si="99"/>
        <v/>
      </c>
      <c r="S1355" s="317" t="str">
        <f t="shared" si="100"/>
        <v/>
      </c>
      <c r="T1355" s="317" t="str">
        <f>GLOBAL_DER_FEV_2023!S1355</f>
        <v/>
      </c>
      <c r="W1355" s="582">
        <v>0</v>
      </c>
      <c r="X1355" s="580"/>
      <c r="Y1355" s="583">
        <f>IF(GLOBAL_DER_FEV_2023!W1355=0,0,IF(GLOBAL_DER_FEV_2023!W1355&gt;0,"c","b"))</f>
        <v>0</v>
      </c>
    </row>
    <row r="1356" spans="1:25" ht="23.25" hidden="1" thickBot="1" x14ac:dyDescent="0.25">
      <c r="A1356" s="317">
        <v>92030</v>
      </c>
      <c r="B1356" s="895">
        <v>92030</v>
      </c>
      <c r="C1356" s="896" t="s">
        <v>596</v>
      </c>
      <c r="D1356" s="906" t="s">
        <v>1286</v>
      </c>
      <c r="E1356" s="907">
        <f>GLOBAL_DER_FEV_2023!E1356</f>
        <v>0</v>
      </c>
      <c r="F1356" s="908">
        <f>GLOBAL_DER_FEV_2023!F1356</f>
        <v>0</v>
      </c>
      <c r="G1356" s="912">
        <f>GLOBAL_DER_FEV_2023!G1356</f>
        <v>0</v>
      </c>
      <c r="H1356" s="901">
        <f>GLOBAL_DER_FEV_2023!H1356</f>
        <v>76.77</v>
      </c>
      <c r="I1356" s="901">
        <f>GLOBAL_DER_FEV_2023!I1356</f>
        <v>76.77</v>
      </c>
      <c r="J1356" s="902">
        <f>GLOBAL_DER_FEV_2023!J1356</f>
        <v>92.18</v>
      </c>
      <c r="K1356" s="903" t="s">
        <v>1516</v>
      </c>
      <c r="L1356" s="1137"/>
      <c r="M1356" s="1138">
        <f t="shared" si="97"/>
        <v>0</v>
      </c>
      <c r="N1356" s="893">
        <f t="shared" si="101"/>
        <v>0</v>
      </c>
      <c r="O1356" s="905"/>
      <c r="Q1356" s="317" t="str">
        <f t="shared" si="98"/>
        <v/>
      </c>
      <c r="R1356" s="317" t="str">
        <f t="shared" si="99"/>
        <v/>
      </c>
      <c r="S1356" s="317" t="str">
        <f t="shared" si="100"/>
        <v/>
      </c>
      <c r="T1356" s="317" t="str">
        <f>GLOBAL_DER_FEV_2023!S1356</f>
        <v/>
      </c>
      <c r="W1356" s="582">
        <v>0</v>
      </c>
      <c r="X1356" s="580"/>
      <c r="Y1356" s="583">
        <f>IF(GLOBAL_DER_FEV_2023!W1356=0,0,IF(GLOBAL_DER_FEV_2023!W1356&gt;0,"c","b"))</f>
        <v>0</v>
      </c>
    </row>
    <row r="1357" spans="1:25" ht="23.25" hidden="1" thickBot="1" x14ac:dyDescent="0.25">
      <c r="A1357" s="317">
        <v>92031</v>
      </c>
      <c r="B1357" s="895">
        <v>92031</v>
      </c>
      <c r="C1357" s="896" t="s">
        <v>596</v>
      </c>
      <c r="D1357" s="906" t="s">
        <v>1287</v>
      </c>
      <c r="E1357" s="907">
        <f>GLOBAL_DER_FEV_2023!E1357</f>
        <v>0</v>
      </c>
      <c r="F1357" s="908">
        <f>GLOBAL_DER_FEV_2023!F1357</f>
        <v>0</v>
      </c>
      <c r="G1357" s="912">
        <f>GLOBAL_DER_FEV_2023!G1357</f>
        <v>0</v>
      </c>
      <c r="H1357" s="901">
        <f>GLOBAL_DER_FEV_2023!H1357</f>
        <v>86</v>
      </c>
      <c r="I1357" s="901">
        <f>GLOBAL_DER_FEV_2023!I1357</f>
        <v>86</v>
      </c>
      <c r="J1357" s="902">
        <f>GLOBAL_DER_FEV_2023!J1357</f>
        <v>103.26</v>
      </c>
      <c r="K1357" s="903" t="s">
        <v>1516</v>
      </c>
      <c r="L1357" s="1137"/>
      <c r="M1357" s="1138">
        <f t="shared" si="97"/>
        <v>0</v>
      </c>
      <c r="N1357" s="893">
        <f t="shared" si="101"/>
        <v>0</v>
      </c>
      <c r="O1357" s="905"/>
      <c r="Q1357" s="317" t="str">
        <f t="shared" si="98"/>
        <v/>
      </c>
      <c r="R1357" s="317" t="str">
        <f t="shared" si="99"/>
        <v/>
      </c>
      <c r="S1357" s="317" t="str">
        <f t="shared" si="100"/>
        <v/>
      </c>
      <c r="T1357" s="317" t="str">
        <f>GLOBAL_DER_FEV_2023!S1357</f>
        <v/>
      </c>
      <c r="W1357" s="582">
        <v>0</v>
      </c>
      <c r="X1357" s="580"/>
      <c r="Y1357" s="583">
        <f>IF(GLOBAL_DER_FEV_2023!W1357=0,0,IF(GLOBAL_DER_FEV_2023!W1357&gt;0,"c","b"))</f>
        <v>0</v>
      </c>
    </row>
    <row r="1358" spans="1:25" ht="23.25" hidden="1" thickBot="1" x14ac:dyDescent="0.25">
      <c r="A1358" s="317">
        <v>92032</v>
      </c>
      <c r="B1358" s="895">
        <v>92032</v>
      </c>
      <c r="C1358" s="896" t="s">
        <v>596</v>
      </c>
      <c r="D1358" s="906" t="s">
        <v>1288</v>
      </c>
      <c r="E1358" s="907">
        <f>GLOBAL_DER_FEV_2023!E1358</f>
        <v>0</v>
      </c>
      <c r="F1358" s="908">
        <f>GLOBAL_DER_FEV_2023!F1358</f>
        <v>0</v>
      </c>
      <c r="G1358" s="912">
        <f>GLOBAL_DER_FEV_2023!G1358</f>
        <v>0</v>
      </c>
      <c r="H1358" s="901">
        <f>GLOBAL_DER_FEV_2023!H1358</f>
        <v>78.09</v>
      </c>
      <c r="I1358" s="901">
        <f>GLOBAL_DER_FEV_2023!I1358</f>
        <v>78.09</v>
      </c>
      <c r="J1358" s="902">
        <f>GLOBAL_DER_FEV_2023!J1358</f>
        <v>93.76</v>
      </c>
      <c r="K1358" s="903" t="s">
        <v>1516</v>
      </c>
      <c r="L1358" s="1137"/>
      <c r="M1358" s="1138">
        <f t="shared" si="97"/>
        <v>0</v>
      </c>
      <c r="N1358" s="893">
        <f t="shared" si="101"/>
        <v>0</v>
      </c>
      <c r="O1358" s="905"/>
      <c r="Q1358" s="317" t="str">
        <f t="shared" si="98"/>
        <v/>
      </c>
      <c r="R1358" s="317" t="str">
        <f t="shared" si="99"/>
        <v/>
      </c>
      <c r="S1358" s="317" t="str">
        <f t="shared" si="100"/>
        <v/>
      </c>
      <c r="T1358" s="317" t="str">
        <f>GLOBAL_DER_FEV_2023!S1358</f>
        <v/>
      </c>
      <c r="W1358" s="582">
        <v>0</v>
      </c>
      <c r="X1358" s="580"/>
      <c r="Y1358" s="583">
        <f>IF(GLOBAL_DER_FEV_2023!W1358=0,0,IF(GLOBAL_DER_FEV_2023!W1358&gt;0,"c","b"))</f>
        <v>0</v>
      </c>
    </row>
    <row r="1359" spans="1:25" ht="23.25" hidden="1" thickBot="1" x14ac:dyDescent="0.25">
      <c r="A1359" s="317">
        <v>92033</v>
      </c>
      <c r="B1359" s="895">
        <v>92033</v>
      </c>
      <c r="C1359" s="896" t="s">
        <v>596</v>
      </c>
      <c r="D1359" s="906" t="s">
        <v>1289</v>
      </c>
      <c r="E1359" s="907">
        <f>GLOBAL_DER_FEV_2023!E1359</f>
        <v>0</v>
      </c>
      <c r="F1359" s="908">
        <f>GLOBAL_DER_FEV_2023!F1359</f>
        <v>0</v>
      </c>
      <c r="G1359" s="912">
        <f>GLOBAL_DER_FEV_2023!G1359</f>
        <v>0</v>
      </c>
      <c r="H1359" s="901">
        <f>GLOBAL_DER_FEV_2023!H1359</f>
        <v>87.32</v>
      </c>
      <c r="I1359" s="901">
        <f>GLOBAL_DER_FEV_2023!I1359</f>
        <v>87.32</v>
      </c>
      <c r="J1359" s="902">
        <f>GLOBAL_DER_FEV_2023!J1359</f>
        <v>104.85</v>
      </c>
      <c r="K1359" s="903" t="s">
        <v>1516</v>
      </c>
      <c r="L1359" s="1137"/>
      <c r="M1359" s="1138">
        <f t="shared" si="97"/>
        <v>0</v>
      </c>
      <c r="N1359" s="893">
        <f t="shared" si="101"/>
        <v>0</v>
      </c>
      <c r="O1359" s="905"/>
      <c r="Q1359" s="317" t="str">
        <f t="shared" si="98"/>
        <v/>
      </c>
      <c r="R1359" s="317" t="str">
        <f t="shared" si="99"/>
        <v/>
      </c>
      <c r="S1359" s="317" t="str">
        <f t="shared" si="100"/>
        <v/>
      </c>
      <c r="T1359" s="317" t="str">
        <f>GLOBAL_DER_FEV_2023!S1359</f>
        <v/>
      </c>
      <c r="W1359" s="582">
        <v>0</v>
      </c>
      <c r="X1359" s="580"/>
      <c r="Y1359" s="583">
        <f>IF(GLOBAL_DER_FEV_2023!W1359=0,0,IF(GLOBAL_DER_FEV_2023!W1359&gt;0,"c","b"))</f>
        <v>0</v>
      </c>
    </row>
    <row r="1360" spans="1:25" ht="23.25" hidden="1" thickBot="1" x14ac:dyDescent="0.25">
      <c r="A1360" s="317">
        <v>91978</v>
      </c>
      <c r="B1360" s="895">
        <v>91978</v>
      </c>
      <c r="C1360" s="896" t="s">
        <v>596</v>
      </c>
      <c r="D1360" s="906" t="s">
        <v>1290</v>
      </c>
      <c r="E1360" s="907">
        <f>GLOBAL_DER_FEV_2023!E1360</f>
        <v>0</v>
      </c>
      <c r="F1360" s="908">
        <f>GLOBAL_DER_FEV_2023!F1360</f>
        <v>0</v>
      </c>
      <c r="G1360" s="912">
        <f>GLOBAL_DER_FEV_2023!G1360</f>
        <v>0</v>
      </c>
      <c r="H1360" s="901">
        <f>GLOBAL_DER_FEV_2023!H1360</f>
        <v>45.56</v>
      </c>
      <c r="I1360" s="901">
        <f>GLOBAL_DER_FEV_2023!I1360</f>
        <v>45.56</v>
      </c>
      <c r="J1360" s="902">
        <f>GLOBAL_DER_FEV_2023!J1360</f>
        <v>54.7</v>
      </c>
      <c r="K1360" s="903" t="s">
        <v>1516</v>
      </c>
      <c r="L1360" s="1137"/>
      <c r="M1360" s="1138">
        <f t="shared" si="97"/>
        <v>0</v>
      </c>
      <c r="N1360" s="893">
        <f t="shared" si="101"/>
        <v>0</v>
      </c>
      <c r="O1360" s="905"/>
      <c r="Q1360" s="317" t="str">
        <f t="shared" si="98"/>
        <v/>
      </c>
      <c r="R1360" s="317" t="str">
        <f t="shared" si="99"/>
        <v/>
      </c>
      <c r="S1360" s="317" t="str">
        <f t="shared" si="100"/>
        <v/>
      </c>
      <c r="T1360" s="317" t="str">
        <f>GLOBAL_DER_FEV_2023!S1360</f>
        <v/>
      </c>
      <c r="W1360" s="582">
        <v>0</v>
      </c>
      <c r="X1360" s="580"/>
      <c r="Y1360" s="583">
        <f>IF(GLOBAL_DER_FEV_2023!W1360=0,0,IF(GLOBAL_DER_FEV_2023!W1360&gt;0,"c","b"))</f>
        <v>0</v>
      </c>
    </row>
    <row r="1361" spans="1:25" ht="23.25" hidden="1" thickBot="1" x14ac:dyDescent="0.25">
      <c r="A1361" s="317">
        <v>91979</v>
      </c>
      <c r="B1361" s="895">
        <v>91979</v>
      </c>
      <c r="C1361" s="896" t="s">
        <v>596</v>
      </c>
      <c r="D1361" s="906" t="s">
        <v>1291</v>
      </c>
      <c r="E1361" s="907">
        <f>GLOBAL_DER_FEV_2023!E1361</f>
        <v>0</v>
      </c>
      <c r="F1361" s="908">
        <f>GLOBAL_DER_FEV_2023!F1361</f>
        <v>0</v>
      </c>
      <c r="G1361" s="912">
        <f>GLOBAL_DER_FEV_2023!G1361</f>
        <v>0</v>
      </c>
      <c r="H1361" s="901">
        <f>GLOBAL_DER_FEV_2023!H1361</f>
        <v>54.79</v>
      </c>
      <c r="I1361" s="901">
        <f>GLOBAL_DER_FEV_2023!I1361</f>
        <v>54.79</v>
      </c>
      <c r="J1361" s="902">
        <f>GLOBAL_DER_FEV_2023!J1361</f>
        <v>65.790000000000006</v>
      </c>
      <c r="K1361" s="903" t="s">
        <v>1516</v>
      </c>
      <c r="L1361" s="1137"/>
      <c r="M1361" s="1138">
        <f t="shared" si="97"/>
        <v>0</v>
      </c>
      <c r="N1361" s="893">
        <f t="shared" si="101"/>
        <v>0</v>
      </c>
      <c r="O1361" s="905"/>
      <c r="Q1361" s="317" t="str">
        <f t="shared" si="98"/>
        <v/>
      </c>
      <c r="R1361" s="317" t="str">
        <f t="shared" si="99"/>
        <v/>
      </c>
      <c r="S1361" s="317" t="str">
        <f t="shared" si="100"/>
        <v/>
      </c>
      <c r="T1361" s="317" t="str">
        <f>GLOBAL_DER_FEV_2023!S1361</f>
        <v/>
      </c>
      <c r="W1361" s="582">
        <v>0</v>
      </c>
      <c r="X1361" s="580"/>
      <c r="Y1361" s="583">
        <f>IF(GLOBAL_DER_FEV_2023!W1361=0,0,IF(GLOBAL_DER_FEV_2023!W1361&gt;0,"c","b"))</f>
        <v>0</v>
      </c>
    </row>
    <row r="1362" spans="1:25" ht="23.25" hidden="1" thickBot="1" x14ac:dyDescent="0.25">
      <c r="A1362" s="317">
        <v>91980</v>
      </c>
      <c r="B1362" s="895">
        <v>91980</v>
      </c>
      <c r="C1362" s="896" t="s">
        <v>596</v>
      </c>
      <c r="D1362" s="906" t="s">
        <v>1292</v>
      </c>
      <c r="E1362" s="907">
        <f>GLOBAL_DER_FEV_2023!E1362</f>
        <v>0</v>
      </c>
      <c r="F1362" s="908">
        <f>GLOBAL_DER_FEV_2023!F1362</f>
        <v>0</v>
      </c>
      <c r="G1362" s="912">
        <f>GLOBAL_DER_FEV_2023!G1362</f>
        <v>0</v>
      </c>
      <c r="H1362" s="901">
        <f>GLOBAL_DER_FEV_2023!H1362</f>
        <v>44.15</v>
      </c>
      <c r="I1362" s="901">
        <f>GLOBAL_DER_FEV_2023!I1362</f>
        <v>44.15</v>
      </c>
      <c r="J1362" s="902">
        <f>GLOBAL_DER_FEV_2023!J1362</f>
        <v>53.01</v>
      </c>
      <c r="K1362" s="903" t="s">
        <v>1516</v>
      </c>
      <c r="L1362" s="1137"/>
      <c r="M1362" s="1138">
        <f t="shared" ref="M1362:M1425" si="102">IF(L1362=0,0,ROUND(J1362,2))</f>
        <v>0</v>
      </c>
      <c r="N1362" s="893">
        <f t="shared" si="101"/>
        <v>0</v>
      </c>
      <c r="O1362" s="905"/>
      <c r="Q1362" s="317" t="str">
        <f t="shared" si="98"/>
        <v/>
      </c>
      <c r="R1362" s="317" t="str">
        <f t="shared" si="99"/>
        <v/>
      </c>
      <c r="S1362" s="317" t="str">
        <f t="shared" si="100"/>
        <v/>
      </c>
      <c r="T1362" s="317" t="str">
        <f>GLOBAL_DER_FEV_2023!S1362</f>
        <v/>
      </c>
      <c r="W1362" s="582">
        <v>0</v>
      </c>
      <c r="X1362" s="580"/>
      <c r="Y1362" s="583">
        <f>IF(GLOBAL_DER_FEV_2023!W1362=0,0,IF(GLOBAL_DER_FEV_2023!W1362&gt;0,"c","b"))</f>
        <v>0</v>
      </c>
    </row>
    <row r="1363" spans="1:25" ht="23.25" hidden="1" thickBot="1" x14ac:dyDescent="0.25">
      <c r="A1363" s="317">
        <v>91981</v>
      </c>
      <c r="B1363" s="895">
        <v>91981</v>
      </c>
      <c r="C1363" s="896" t="s">
        <v>596</v>
      </c>
      <c r="D1363" s="906" t="s">
        <v>1293</v>
      </c>
      <c r="E1363" s="907">
        <f>GLOBAL_DER_FEV_2023!E1363</f>
        <v>0</v>
      </c>
      <c r="F1363" s="908">
        <f>GLOBAL_DER_FEV_2023!F1363</f>
        <v>0</v>
      </c>
      <c r="G1363" s="912">
        <f>GLOBAL_DER_FEV_2023!G1363</f>
        <v>0</v>
      </c>
      <c r="H1363" s="901">
        <f>GLOBAL_DER_FEV_2023!H1363</f>
        <v>53.38</v>
      </c>
      <c r="I1363" s="901">
        <f>GLOBAL_DER_FEV_2023!I1363</f>
        <v>53.38</v>
      </c>
      <c r="J1363" s="902">
        <f>GLOBAL_DER_FEV_2023!J1363</f>
        <v>64.09</v>
      </c>
      <c r="K1363" s="903" t="s">
        <v>1516</v>
      </c>
      <c r="L1363" s="1137"/>
      <c r="M1363" s="1138">
        <f t="shared" si="102"/>
        <v>0</v>
      </c>
      <c r="N1363" s="893">
        <f t="shared" si="101"/>
        <v>0</v>
      </c>
      <c r="O1363" s="905"/>
      <c r="Q1363" s="317" t="str">
        <f t="shared" si="98"/>
        <v/>
      </c>
      <c r="R1363" s="317" t="str">
        <f t="shared" si="99"/>
        <v/>
      </c>
      <c r="S1363" s="317" t="str">
        <f t="shared" si="100"/>
        <v/>
      </c>
      <c r="T1363" s="317" t="str">
        <f>GLOBAL_DER_FEV_2023!S1363</f>
        <v/>
      </c>
      <c r="W1363" s="582">
        <v>0</v>
      </c>
      <c r="X1363" s="580"/>
      <c r="Y1363" s="583">
        <f>IF(GLOBAL_DER_FEV_2023!W1363=0,0,IF(GLOBAL_DER_FEV_2023!W1363&gt;0,"c","b"))</f>
        <v>0</v>
      </c>
    </row>
    <row r="1364" spans="1:25" ht="23.25" hidden="1" thickBot="1" x14ac:dyDescent="0.25">
      <c r="A1364" s="317">
        <v>91978</v>
      </c>
      <c r="B1364" s="895">
        <v>91978</v>
      </c>
      <c r="C1364" s="896" t="s">
        <v>596</v>
      </c>
      <c r="D1364" s="906" t="s">
        <v>1290</v>
      </c>
      <c r="E1364" s="907">
        <f>GLOBAL_DER_FEV_2023!E1364</f>
        <v>0</v>
      </c>
      <c r="F1364" s="908">
        <f>GLOBAL_DER_FEV_2023!F1364</f>
        <v>0</v>
      </c>
      <c r="G1364" s="912">
        <f>GLOBAL_DER_FEV_2023!G1364</f>
        <v>0</v>
      </c>
      <c r="H1364" s="901">
        <f>GLOBAL_DER_FEV_2023!H1364</f>
        <v>45.56</v>
      </c>
      <c r="I1364" s="901">
        <f>GLOBAL_DER_FEV_2023!I1364</f>
        <v>45.56</v>
      </c>
      <c r="J1364" s="902">
        <f>GLOBAL_DER_FEV_2023!J1364</f>
        <v>54.7</v>
      </c>
      <c r="K1364" s="903" t="s">
        <v>1516</v>
      </c>
      <c r="L1364" s="1137"/>
      <c r="M1364" s="1138">
        <f t="shared" si="102"/>
        <v>0</v>
      </c>
      <c r="N1364" s="893">
        <f t="shared" si="101"/>
        <v>0</v>
      </c>
      <c r="O1364" s="905"/>
      <c r="Q1364" s="317" t="str">
        <f t="shared" si="98"/>
        <v/>
      </c>
      <c r="R1364" s="317" t="str">
        <f t="shared" si="99"/>
        <v/>
      </c>
      <c r="S1364" s="317" t="str">
        <f t="shared" si="100"/>
        <v/>
      </c>
      <c r="T1364" s="317" t="str">
        <f>GLOBAL_DER_FEV_2023!S1364</f>
        <v/>
      </c>
      <c r="W1364" s="582">
        <v>0</v>
      </c>
      <c r="X1364" s="580"/>
      <c r="Y1364" s="583">
        <f>IF(GLOBAL_DER_FEV_2023!W1364=0,0,IF(GLOBAL_DER_FEV_2023!W1364&gt;0,"c","b"))</f>
        <v>0</v>
      </c>
    </row>
    <row r="1365" spans="1:25" ht="23.25" hidden="1" thickBot="1" x14ac:dyDescent="0.25">
      <c r="A1365" s="317">
        <v>91979</v>
      </c>
      <c r="B1365" s="895">
        <v>91979</v>
      </c>
      <c r="C1365" s="896" t="s">
        <v>596</v>
      </c>
      <c r="D1365" s="906" t="s">
        <v>1291</v>
      </c>
      <c r="E1365" s="907">
        <f>GLOBAL_DER_FEV_2023!E1365</f>
        <v>0</v>
      </c>
      <c r="F1365" s="908">
        <f>GLOBAL_DER_FEV_2023!F1365</f>
        <v>0</v>
      </c>
      <c r="G1365" s="912">
        <f>GLOBAL_DER_FEV_2023!G1365</f>
        <v>0</v>
      </c>
      <c r="H1365" s="901">
        <f>GLOBAL_DER_FEV_2023!H1365</f>
        <v>54.79</v>
      </c>
      <c r="I1365" s="901">
        <f>GLOBAL_DER_FEV_2023!I1365</f>
        <v>54.79</v>
      </c>
      <c r="J1365" s="902">
        <f>GLOBAL_DER_FEV_2023!J1365</f>
        <v>65.790000000000006</v>
      </c>
      <c r="K1365" s="903" t="s">
        <v>1516</v>
      </c>
      <c r="L1365" s="1137"/>
      <c r="M1365" s="1138">
        <f t="shared" si="102"/>
        <v>0</v>
      </c>
      <c r="N1365" s="893">
        <f t="shared" si="101"/>
        <v>0</v>
      </c>
      <c r="O1365" s="905"/>
      <c r="Q1365" s="317" t="str">
        <f t="shared" si="98"/>
        <v/>
      </c>
      <c r="R1365" s="317" t="str">
        <f t="shared" si="99"/>
        <v/>
      </c>
      <c r="S1365" s="317" t="str">
        <f t="shared" si="100"/>
        <v/>
      </c>
      <c r="T1365" s="317" t="str">
        <f>GLOBAL_DER_FEV_2023!S1365</f>
        <v/>
      </c>
      <c r="W1365" s="582">
        <v>0</v>
      </c>
      <c r="X1365" s="580"/>
      <c r="Y1365" s="583">
        <f>IF(GLOBAL_DER_FEV_2023!W1365=0,0,IF(GLOBAL_DER_FEV_2023!W1365&gt;0,"c","b"))</f>
        <v>0</v>
      </c>
    </row>
    <row r="1366" spans="1:25" ht="23.25" hidden="1" thickBot="1" x14ac:dyDescent="0.25">
      <c r="A1366" s="317">
        <v>91980</v>
      </c>
      <c r="B1366" s="895">
        <v>91980</v>
      </c>
      <c r="C1366" s="896" t="s">
        <v>596</v>
      </c>
      <c r="D1366" s="906" t="s">
        <v>1292</v>
      </c>
      <c r="E1366" s="907">
        <f>GLOBAL_DER_FEV_2023!E1366</f>
        <v>0</v>
      </c>
      <c r="F1366" s="908">
        <f>GLOBAL_DER_FEV_2023!F1366</f>
        <v>0</v>
      </c>
      <c r="G1366" s="912">
        <f>GLOBAL_DER_FEV_2023!G1366</f>
        <v>0</v>
      </c>
      <c r="H1366" s="901">
        <f>GLOBAL_DER_FEV_2023!H1366</f>
        <v>44.15</v>
      </c>
      <c r="I1366" s="901">
        <f>GLOBAL_DER_FEV_2023!I1366</f>
        <v>44.15</v>
      </c>
      <c r="J1366" s="902">
        <f>GLOBAL_DER_FEV_2023!J1366</f>
        <v>53.01</v>
      </c>
      <c r="K1366" s="903" t="s">
        <v>1516</v>
      </c>
      <c r="L1366" s="1137"/>
      <c r="M1366" s="1138">
        <f t="shared" si="102"/>
        <v>0</v>
      </c>
      <c r="N1366" s="893">
        <f t="shared" si="101"/>
        <v>0</v>
      </c>
      <c r="O1366" s="905"/>
      <c r="Q1366" s="317" t="str">
        <f t="shared" si="98"/>
        <v/>
      </c>
      <c r="R1366" s="317" t="str">
        <f t="shared" si="99"/>
        <v/>
      </c>
      <c r="S1366" s="317" t="str">
        <f t="shared" si="100"/>
        <v/>
      </c>
      <c r="T1366" s="317" t="str">
        <f>GLOBAL_DER_FEV_2023!S1366</f>
        <v/>
      </c>
      <c r="W1366" s="582">
        <v>0</v>
      </c>
      <c r="X1366" s="580"/>
      <c r="Y1366" s="583">
        <f>IF(GLOBAL_DER_FEV_2023!W1366=0,0,IF(GLOBAL_DER_FEV_2023!W1366&gt;0,"c","b"))</f>
        <v>0</v>
      </c>
    </row>
    <row r="1367" spans="1:25" ht="23.25" hidden="1" thickBot="1" x14ac:dyDescent="0.25">
      <c r="A1367" s="317">
        <v>91981</v>
      </c>
      <c r="B1367" s="895">
        <v>91981</v>
      </c>
      <c r="C1367" s="896" t="s">
        <v>596</v>
      </c>
      <c r="D1367" s="906" t="s">
        <v>1293</v>
      </c>
      <c r="E1367" s="907">
        <f>GLOBAL_DER_FEV_2023!E1367</f>
        <v>0</v>
      </c>
      <c r="F1367" s="908">
        <f>GLOBAL_DER_FEV_2023!F1367</f>
        <v>0</v>
      </c>
      <c r="G1367" s="912">
        <f>GLOBAL_DER_FEV_2023!G1367</f>
        <v>0</v>
      </c>
      <c r="H1367" s="901">
        <f>GLOBAL_DER_FEV_2023!H1367</f>
        <v>53.38</v>
      </c>
      <c r="I1367" s="901">
        <f>GLOBAL_DER_FEV_2023!I1367</f>
        <v>53.38</v>
      </c>
      <c r="J1367" s="902">
        <f>GLOBAL_DER_FEV_2023!J1367</f>
        <v>64.09</v>
      </c>
      <c r="K1367" s="903" t="s">
        <v>1516</v>
      </c>
      <c r="L1367" s="1137"/>
      <c r="M1367" s="1138">
        <f t="shared" si="102"/>
        <v>0</v>
      </c>
      <c r="N1367" s="893">
        <f t="shared" si="101"/>
        <v>0</v>
      </c>
      <c r="O1367" s="905"/>
      <c r="Q1367" s="317" t="str">
        <f t="shared" si="98"/>
        <v/>
      </c>
      <c r="R1367" s="317" t="str">
        <f t="shared" si="99"/>
        <v/>
      </c>
      <c r="S1367" s="317" t="str">
        <f t="shared" si="100"/>
        <v/>
      </c>
      <c r="T1367" s="317" t="str">
        <f>GLOBAL_DER_FEV_2023!S1367</f>
        <v/>
      </c>
      <c r="W1367" s="582">
        <v>0</v>
      </c>
      <c r="X1367" s="580"/>
      <c r="Y1367" s="583">
        <f>IF(GLOBAL_DER_FEV_2023!W1367=0,0,IF(GLOBAL_DER_FEV_2023!W1367&gt;0,"c","b"))</f>
        <v>0</v>
      </c>
    </row>
    <row r="1368" spans="1:25" ht="23.25" hidden="1" thickBot="1" x14ac:dyDescent="0.25">
      <c r="A1368" s="317">
        <v>91982</v>
      </c>
      <c r="B1368" s="895">
        <v>91982</v>
      </c>
      <c r="C1368" s="896" t="s">
        <v>596</v>
      </c>
      <c r="D1368" s="906" t="s">
        <v>1294</v>
      </c>
      <c r="E1368" s="907">
        <f>GLOBAL_DER_FEV_2023!E1368</f>
        <v>0</v>
      </c>
      <c r="F1368" s="908">
        <f>GLOBAL_DER_FEV_2023!F1368</f>
        <v>0</v>
      </c>
      <c r="G1368" s="912">
        <f>GLOBAL_DER_FEV_2023!G1368</f>
        <v>0</v>
      </c>
      <c r="H1368" s="901">
        <f>GLOBAL_DER_FEV_2023!H1368</f>
        <v>102.63</v>
      </c>
      <c r="I1368" s="901">
        <f>GLOBAL_DER_FEV_2023!I1368</f>
        <v>102.63</v>
      </c>
      <c r="J1368" s="902">
        <f>GLOBAL_DER_FEV_2023!J1368</f>
        <v>123.23</v>
      </c>
      <c r="K1368" s="903" t="s">
        <v>1516</v>
      </c>
      <c r="L1368" s="1137"/>
      <c r="M1368" s="1138">
        <f t="shared" si="102"/>
        <v>0</v>
      </c>
      <c r="N1368" s="893">
        <f t="shared" si="101"/>
        <v>0</v>
      </c>
      <c r="O1368" s="905"/>
      <c r="Q1368" s="317" t="str">
        <f t="shared" si="98"/>
        <v/>
      </c>
      <c r="R1368" s="317" t="str">
        <f t="shared" si="99"/>
        <v/>
      </c>
      <c r="S1368" s="317" t="str">
        <f t="shared" si="100"/>
        <v/>
      </c>
      <c r="T1368" s="317" t="str">
        <f>GLOBAL_DER_FEV_2023!S1368</f>
        <v/>
      </c>
      <c r="W1368" s="582">
        <v>0</v>
      </c>
      <c r="X1368" s="580"/>
      <c r="Y1368" s="583">
        <f>IF(GLOBAL_DER_FEV_2023!W1368=0,0,IF(GLOBAL_DER_FEV_2023!W1368&gt;0,"c","b"))</f>
        <v>0</v>
      </c>
    </row>
    <row r="1369" spans="1:25" ht="23.25" hidden="1" thickBot="1" x14ac:dyDescent="0.25">
      <c r="A1369" s="317">
        <v>91983</v>
      </c>
      <c r="B1369" s="895">
        <v>91983</v>
      </c>
      <c r="C1369" s="896" t="s">
        <v>596</v>
      </c>
      <c r="D1369" s="906" t="s">
        <v>1295</v>
      </c>
      <c r="E1369" s="907">
        <f>GLOBAL_DER_FEV_2023!E1369</f>
        <v>0</v>
      </c>
      <c r="F1369" s="908">
        <f>GLOBAL_DER_FEV_2023!F1369</f>
        <v>0</v>
      </c>
      <c r="G1369" s="912">
        <f>GLOBAL_DER_FEV_2023!G1369</f>
        <v>0</v>
      </c>
      <c r="H1369" s="901">
        <f>GLOBAL_DER_FEV_2023!H1369</f>
        <v>111.86</v>
      </c>
      <c r="I1369" s="901">
        <f>GLOBAL_DER_FEV_2023!I1369</f>
        <v>111.86</v>
      </c>
      <c r="J1369" s="902">
        <f>GLOBAL_DER_FEV_2023!J1369</f>
        <v>134.31</v>
      </c>
      <c r="K1369" s="903" t="s">
        <v>1516</v>
      </c>
      <c r="L1369" s="1137"/>
      <c r="M1369" s="1138">
        <f t="shared" si="102"/>
        <v>0</v>
      </c>
      <c r="N1369" s="893">
        <f t="shared" si="101"/>
        <v>0</v>
      </c>
      <c r="O1369" s="905"/>
      <c r="Q1369" s="317" t="str">
        <f t="shared" si="98"/>
        <v/>
      </c>
      <c r="R1369" s="317" t="str">
        <f t="shared" si="99"/>
        <v/>
      </c>
      <c r="S1369" s="317" t="str">
        <f t="shared" si="100"/>
        <v/>
      </c>
      <c r="T1369" s="317" t="str">
        <f>GLOBAL_DER_FEV_2023!S1369</f>
        <v/>
      </c>
      <c r="W1369" s="582">
        <v>0</v>
      </c>
      <c r="X1369" s="580"/>
      <c r="Y1369" s="583">
        <f>IF(GLOBAL_DER_FEV_2023!W1369=0,0,IF(GLOBAL_DER_FEV_2023!W1369&gt;0,"c","b"))</f>
        <v>0</v>
      </c>
    </row>
    <row r="1370" spans="1:25" ht="23.25" hidden="1" thickBot="1" x14ac:dyDescent="0.25">
      <c r="A1370" s="317">
        <v>91984</v>
      </c>
      <c r="B1370" s="895">
        <v>91984</v>
      </c>
      <c r="C1370" s="896" t="s">
        <v>596</v>
      </c>
      <c r="D1370" s="906" t="s">
        <v>1296</v>
      </c>
      <c r="E1370" s="907">
        <f>GLOBAL_DER_FEV_2023!E1370</f>
        <v>0</v>
      </c>
      <c r="F1370" s="908">
        <f>GLOBAL_DER_FEV_2023!F1370</f>
        <v>0</v>
      </c>
      <c r="G1370" s="912">
        <f>GLOBAL_DER_FEV_2023!G1370</f>
        <v>0</v>
      </c>
      <c r="H1370" s="901">
        <f>GLOBAL_DER_FEV_2023!H1370</f>
        <v>20.2</v>
      </c>
      <c r="I1370" s="901">
        <f>GLOBAL_DER_FEV_2023!I1370</f>
        <v>20.2</v>
      </c>
      <c r="J1370" s="902">
        <f>GLOBAL_DER_FEV_2023!J1370</f>
        <v>24.25</v>
      </c>
      <c r="K1370" s="903" t="s">
        <v>1516</v>
      </c>
      <c r="L1370" s="1137"/>
      <c r="M1370" s="1138">
        <f t="shared" si="102"/>
        <v>0</v>
      </c>
      <c r="N1370" s="893">
        <f t="shared" si="101"/>
        <v>0</v>
      </c>
      <c r="O1370" s="905"/>
      <c r="Q1370" s="317" t="str">
        <f t="shared" si="98"/>
        <v/>
      </c>
      <c r="R1370" s="317" t="str">
        <f t="shared" si="99"/>
        <v/>
      </c>
      <c r="S1370" s="317" t="str">
        <f t="shared" si="100"/>
        <v/>
      </c>
      <c r="T1370" s="317" t="str">
        <f>GLOBAL_DER_FEV_2023!S1370</f>
        <v/>
      </c>
      <c r="W1370" s="582">
        <v>0</v>
      </c>
      <c r="X1370" s="580"/>
      <c r="Y1370" s="583">
        <f>IF(GLOBAL_DER_FEV_2023!W1370=0,0,IF(GLOBAL_DER_FEV_2023!W1370&gt;0,"c","b"))</f>
        <v>0</v>
      </c>
    </row>
    <row r="1371" spans="1:25" ht="23.25" hidden="1" thickBot="1" x14ac:dyDescent="0.25">
      <c r="A1371" s="317">
        <v>91985</v>
      </c>
      <c r="B1371" s="895">
        <v>91985</v>
      </c>
      <c r="C1371" s="896" t="s">
        <v>596</v>
      </c>
      <c r="D1371" s="906" t="s">
        <v>1297</v>
      </c>
      <c r="E1371" s="907">
        <f>GLOBAL_DER_FEV_2023!E1371</f>
        <v>0</v>
      </c>
      <c r="F1371" s="908">
        <f>GLOBAL_DER_FEV_2023!F1371</f>
        <v>0</v>
      </c>
      <c r="G1371" s="912">
        <f>GLOBAL_DER_FEV_2023!G1371</f>
        <v>0</v>
      </c>
      <c r="H1371" s="901">
        <f>GLOBAL_DER_FEV_2023!H1371</f>
        <v>29.43</v>
      </c>
      <c r="I1371" s="901">
        <f>GLOBAL_DER_FEV_2023!I1371</f>
        <v>29.43</v>
      </c>
      <c r="J1371" s="902">
        <f>GLOBAL_DER_FEV_2023!J1371</f>
        <v>35.340000000000003</v>
      </c>
      <c r="K1371" s="903" t="s">
        <v>1516</v>
      </c>
      <c r="L1371" s="1137"/>
      <c r="M1371" s="1138">
        <f t="shared" si="102"/>
        <v>0</v>
      </c>
      <c r="N1371" s="893">
        <f t="shared" si="101"/>
        <v>0</v>
      </c>
      <c r="O1371" s="905"/>
      <c r="Q1371" s="317" t="str">
        <f t="shared" ref="Q1371:Q1434" si="103">IF(P1371="X","x",IF(P1371="xx","x",IF(P1371="xy","x",IF(P1371="y","x",IF(OR(N1371&gt;0,N1371&gt;0),"x","")))))</f>
        <v/>
      </c>
      <c r="R1371" s="317" t="str">
        <f t="shared" si="99"/>
        <v/>
      </c>
      <c r="S1371" s="317" t="str">
        <f t="shared" si="100"/>
        <v/>
      </c>
      <c r="T1371" s="317" t="str">
        <f>GLOBAL_DER_FEV_2023!S1371</f>
        <v/>
      </c>
      <c r="W1371" s="582">
        <v>0</v>
      </c>
      <c r="X1371" s="580"/>
      <c r="Y1371" s="583">
        <f>IF(GLOBAL_DER_FEV_2023!W1371=0,0,IF(GLOBAL_DER_FEV_2023!W1371&gt;0,"c","b"))</f>
        <v>0</v>
      </c>
    </row>
    <row r="1372" spans="1:25" ht="23.25" hidden="1" thickBot="1" x14ac:dyDescent="0.25">
      <c r="A1372" s="317">
        <v>91986</v>
      </c>
      <c r="B1372" s="895">
        <v>91986</v>
      </c>
      <c r="C1372" s="896" t="s">
        <v>596</v>
      </c>
      <c r="D1372" s="906" t="s">
        <v>1298</v>
      </c>
      <c r="E1372" s="907">
        <f>GLOBAL_DER_FEV_2023!E1372</f>
        <v>0</v>
      </c>
      <c r="F1372" s="908">
        <f>GLOBAL_DER_FEV_2023!F1372</f>
        <v>0</v>
      </c>
      <c r="G1372" s="912">
        <f>GLOBAL_DER_FEV_2023!G1372</f>
        <v>0</v>
      </c>
      <c r="H1372" s="901">
        <f>GLOBAL_DER_FEV_2023!H1372</f>
        <v>42.51</v>
      </c>
      <c r="I1372" s="901">
        <f>GLOBAL_DER_FEV_2023!I1372</f>
        <v>42.51</v>
      </c>
      <c r="J1372" s="902">
        <f>GLOBAL_DER_FEV_2023!J1372</f>
        <v>51.04</v>
      </c>
      <c r="K1372" s="903" t="s">
        <v>1516</v>
      </c>
      <c r="L1372" s="1137"/>
      <c r="M1372" s="1138">
        <f t="shared" si="102"/>
        <v>0</v>
      </c>
      <c r="N1372" s="893">
        <f t="shared" si="101"/>
        <v>0</v>
      </c>
      <c r="O1372" s="905"/>
      <c r="Q1372" s="317" t="str">
        <f t="shared" si="103"/>
        <v/>
      </c>
      <c r="R1372" s="317" t="str">
        <f t="shared" si="99"/>
        <v/>
      </c>
      <c r="S1372" s="317" t="str">
        <f t="shared" si="100"/>
        <v/>
      </c>
      <c r="T1372" s="317" t="str">
        <f>GLOBAL_DER_FEV_2023!S1372</f>
        <v/>
      </c>
      <c r="W1372" s="582">
        <v>0</v>
      </c>
      <c r="X1372" s="580"/>
      <c r="Y1372" s="583">
        <f>IF(GLOBAL_DER_FEV_2023!W1372=0,0,IF(GLOBAL_DER_FEV_2023!W1372&gt;0,"c","b"))</f>
        <v>0</v>
      </c>
    </row>
    <row r="1373" spans="1:25" ht="23.25" hidden="1" thickBot="1" x14ac:dyDescent="0.25">
      <c r="A1373" s="317">
        <v>91987</v>
      </c>
      <c r="B1373" s="895">
        <v>91987</v>
      </c>
      <c r="C1373" s="896" t="s">
        <v>596</v>
      </c>
      <c r="D1373" s="906" t="s">
        <v>1299</v>
      </c>
      <c r="E1373" s="907">
        <f>GLOBAL_DER_FEV_2023!E1373</f>
        <v>0</v>
      </c>
      <c r="F1373" s="908">
        <f>GLOBAL_DER_FEV_2023!F1373</f>
        <v>0</v>
      </c>
      <c r="G1373" s="912">
        <f>GLOBAL_DER_FEV_2023!G1373</f>
        <v>0</v>
      </c>
      <c r="H1373" s="901">
        <f>GLOBAL_DER_FEV_2023!H1373</f>
        <v>51.74</v>
      </c>
      <c r="I1373" s="901">
        <f>GLOBAL_DER_FEV_2023!I1373</f>
        <v>51.74</v>
      </c>
      <c r="J1373" s="902">
        <f>GLOBAL_DER_FEV_2023!J1373</f>
        <v>62.12</v>
      </c>
      <c r="K1373" s="903" t="s">
        <v>1516</v>
      </c>
      <c r="L1373" s="1137"/>
      <c r="M1373" s="1138">
        <f t="shared" si="102"/>
        <v>0</v>
      </c>
      <c r="N1373" s="893">
        <f t="shared" si="101"/>
        <v>0</v>
      </c>
      <c r="O1373" s="905"/>
      <c r="Q1373" s="317" t="str">
        <f t="shared" si="103"/>
        <v/>
      </c>
      <c r="R1373" s="317" t="str">
        <f t="shared" ref="R1373:R1436" si="104">IF(P1373="X","x",IF(P1373="y","x",IF(P1373="xx","x",IF(N1373&gt;0,"x",""))))</f>
        <v/>
      </c>
      <c r="S1373" s="317" t="str">
        <f t="shared" ref="S1373:S1436" si="105">IF(P1373="X","x",IF(N1373&gt;0,"x",""))</f>
        <v/>
      </c>
      <c r="T1373" s="317" t="str">
        <f>GLOBAL_DER_FEV_2023!S1373</f>
        <v/>
      </c>
      <c r="W1373" s="582">
        <v>0</v>
      </c>
      <c r="X1373" s="580"/>
      <c r="Y1373" s="583">
        <f>IF(GLOBAL_DER_FEV_2023!W1373=0,0,IF(GLOBAL_DER_FEV_2023!W1373&gt;0,"c","b"))</f>
        <v>0</v>
      </c>
    </row>
    <row r="1374" spans="1:25" ht="23.25" hidden="1" thickBot="1" x14ac:dyDescent="0.25">
      <c r="A1374" s="317">
        <v>91988</v>
      </c>
      <c r="B1374" s="895">
        <v>91988</v>
      </c>
      <c r="C1374" s="896" t="s">
        <v>596</v>
      </c>
      <c r="D1374" s="906" t="s">
        <v>1300</v>
      </c>
      <c r="E1374" s="907">
        <f>GLOBAL_DER_FEV_2023!E1374</f>
        <v>0</v>
      </c>
      <c r="F1374" s="908">
        <f>GLOBAL_DER_FEV_2023!F1374</f>
        <v>0</v>
      </c>
      <c r="G1374" s="912">
        <f>GLOBAL_DER_FEV_2023!G1374</f>
        <v>0</v>
      </c>
      <c r="H1374" s="901">
        <f>GLOBAL_DER_FEV_2023!H1374</f>
        <v>24.92</v>
      </c>
      <c r="I1374" s="901">
        <f>GLOBAL_DER_FEV_2023!I1374</f>
        <v>24.92</v>
      </c>
      <c r="J1374" s="902">
        <f>GLOBAL_DER_FEV_2023!J1374</f>
        <v>29.92</v>
      </c>
      <c r="K1374" s="903" t="s">
        <v>1516</v>
      </c>
      <c r="L1374" s="1137"/>
      <c r="M1374" s="1138">
        <f t="shared" si="102"/>
        <v>0</v>
      </c>
      <c r="N1374" s="893">
        <f t="shared" si="101"/>
        <v>0</v>
      </c>
      <c r="O1374" s="905"/>
      <c r="Q1374" s="317" t="str">
        <f t="shared" si="103"/>
        <v/>
      </c>
      <c r="R1374" s="317" t="str">
        <f t="shared" si="104"/>
        <v/>
      </c>
      <c r="S1374" s="317" t="str">
        <f t="shared" si="105"/>
        <v/>
      </c>
      <c r="T1374" s="317" t="str">
        <f>GLOBAL_DER_FEV_2023!S1374</f>
        <v/>
      </c>
      <c r="W1374" s="582">
        <v>0</v>
      </c>
      <c r="X1374" s="580"/>
      <c r="Y1374" s="583">
        <f>IF(GLOBAL_DER_FEV_2023!W1374=0,0,IF(GLOBAL_DER_FEV_2023!W1374&gt;0,"c","b"))</f>
        <v>0</v>
      </c>
    </row>
    <row r="1375" spans="1:25" ht="23.25" hidden="1" thickBot="1" x14ac:dyDescent="0.25">
      <c r="A1375" s="317">
        <v>91989</v>
      </c>
      <c r="B1375" s="895">
        <v>91989</v>
      </c>
      <c r="C1375" s="896" t="s">
        <v>596</v>
      </c>
      <c r="D1375" s="906" t="s">
        <v>1301</v>
      </c>
      <c r="E1375" s="907">
        <f>GLOBAL_DER_FEV_2023!E1375</f>
        <v>0</v>
      </c>
      <c r="F1375" s="908">
        <f>GLOBAL_DER_FEV_2023!F1375</f>
        <v>0</v>
      </c>
      <c r="G1375" s="912">
        <f>GLOBAL_DER_FEV_2023!G1375</f>
        <v>0</v>
      </c>
      <c r="H1375" s="901">
        <f>GLOBAL_DER_FEV_2023!H1375</f>
        <v>34.15</v>
      </c>
      <c r="I1375" s="901">
        <f>GLOBAL_DER_FEV_2023!I1375</f>
        <v>34.15</v>
      </c>
      <c r="J1375" s="902">
        <f>GLOBAL_DER_FEV_2023!J1375</f>
        <v>41</v>
      </c>
      <c r="K1375" s="903" t="s">
        <v>1516</v>
      </c>
      <c r="L1375" s="1137"/>
      <c r="M1375" s="1138">
        <f t="shared" si="102"/>
        <v>0</v>
      </c>
      <c r="N1375" s="893">
        <f t="shared" si="101"/>
        <v>0</v>
      </c>
      <c r="O1375" s="905"/>
      <c r="Q1375" s="317" t="str">
        <f t="shared" si="103"/>
        <v/>
      </c>
      <c r="R1375" s="317" t="str">
        <f t="shared" si="104"/>
        <v/>
      </c>
      <c r="S1375" s="317" t="str">
        <f t="shared" si="105"/>
        <v/>
      </c>
      <c r="T1375" s="317" t="str">
        <f>GLOBAL_DER_FEV_2023!S1375</f>
        <v/>
      </c>
      <c r="W1375" s="582">
        <v>0</v>
      </c>
      <c r="X1375" s="580"/>
      <c r="Y1375" s="583">
        <f>IF(GLOBAL_DER_FEV_2023!W1375=0,0,IF(GLOBAL_DER_FEV_2023!W1375&gt;0,"c","b"))</f>
        <v>0</v>
      </c>
    </row>
    <row r="1376" spans="1:25" ht="23.25" hidden="1" thickBot="1" x14ac:dyDescent="0.25">
      <c r="A1376" s="317">
        <v>91990</v>
      </c>
      <c r="B1376" s="895">
        <v>91990</v>
      </c>
      <c r="C1376" s="896" t="s">
        <v>596</v>
      </c>
      <c r="D1376" s="906" t="s">
        <v>1302</v>
      </c>
      <c r="E1376" s="907">
        <f>GLOBAL_DER_FEV_2023!E1376</f>
        <v>0</v>
      </c>
      <c r="F1376" s="908">
        <f>GLOBAL_DER_FEV_2023!F1376</f>
        <v>0</v>
      </c>
      <c r="G1376" s="912">
        <f>GLOBAL_DER_FEV_2023!G1376</f>
        <v>0</v>
      </c>
      <c r="H1376" s="901">
        <f>GLOBAL_DER_FEV_2023!H1376</f>
        <v>38.869999999999997</v>
      </c>
      <c r="I1376" s="901">
        <f>GLOBAL_DER_FEV_2023!I1376</f>
        <v>38.869999999999997</v>
      </c>
      <c r="J1376" s="902">
        <f>GLOBAL_DER_FEV_2023!J1376</f>
        <v>46.67</v>
      </c>
      <c r="K1376" s="903" t="s">
        <v>1516</v>
      </c>
      <c r="L1376" s="1137"/>
      <c r="M1376" s="1138">
        <f t="shared" si="102"/>
        <v>0</v>
      </c>
      <c r="N1376" s="893">
        <f t="shared" si="101"/>
        <v>0</v>
      </c>
      <c r="O1376" s="905"/>
      <c r="Q1376" s="317" t="str">
        <f t="shared" si="103"/>
        <v/>
      </c>
      <c r="R1376" s="317" t="str">
        <f t="shared" si="104"/>
        <v/>
      </c>
      <c r="S1376" s="317" t="str">
        <f t="shared" si="105"/>
        <v/>
      </c>
      <c r="T1376" s="317" t="str">
        <f>GLOBAL_DER_FEV_2023!S1376</f>
        <v/>
      </c>
      <c r="W1376" s="582">
        <v>0</v>
      </c>
      <c r="X1376" s="580"/>
      <c r="Y1376" s="583">
        <f>IF(GLOBAL_DER_FEV_2023!W1376=0,0,IF(GLOBAL_DER_FEV_2023!W1376&gt;0,"c","b"))</f>
        <v>0</v>
      </c>
    </row>
    <row r="1377" spans="1:25" ht="23.25" hidden="1" thickBot="1" x14ac:dyDescent="0.25">
      <c r="A1377" s="317">
        <v>91991</v>
      </c>
      <c r="B1377" s="895">
        <v>91991</v>
      </c>
      <c r="C1377" s="896" t="s">
        <v>596</v>
      </c>
      <c r="D1377" s="906" t="s">
        <v>1303</v>
      </c>
      <c r="E1377" s="907">
        <f>GLOBAL_DER_FEV_2023!E1377</f>
        <v>0</v>
      </c>
      <c r="F1377" s="908">
        <f>GLOBAL_DER_FEV_2023!F1377</f>
        <v>0</v>
      </c>
      <c r="G1377" s="912">
        <f>GLOBAL_DER_FEV_2023!G1377</f>
        <v>0</v>
      </c>
      <c r="H1377" s="901">
        <f>GLOBAL_DER_FEV_2023!H1377</f>
        <v>41.42</v>
      </c>
      <c r="I1377" s="901">
        <f>GLOBAL_DER_FEV_2023!I1377</f>
        <v>41.42</v>
      </c>
      <c r="J1377" s="902">
        <f>GLOBAL_DER_FEV_2023!J1377</f>
        <v>49.73</v>
      </c>
      <c r="K1377" s="903" t="s">
        <v>1516</v>
      </c>
      <c r="L1377" s="1137"/>
      <c r="M1377" s="1138">
        <f t="shared" si="102"/>
        <v>0</v>
      </c>
      <c r="N1377" s="893">
        <f t="shared" ref="N1377:N1440" si="106">IF(ISBLANK(L1377),0,IF(W1377=0,ROUND(L1377*M1377,2),IF(W1377="b",ROUNDDOWN(L1377*M1377,2),ROUNDUP(L1377*M1377,2))))</f>
        <v>0</v>
      </c>
      <c r="O1377" s="905"/>
      <c r="Q1377" s="317" t="str">
        <f t="shared" si="103"/>
        <v/>
      </c>
      <c r="R1377" s="317" t="str">
        <f t="shared" si="104"/>
        <v/>
      </c>
      <c r="S1377" s="317" t="str">
        <f t="shared" si="105"/>
        <v/>
      </c>
      <c r="T1377" s="317" t="str">
        <f>GLOBAL_DER_FEV_2023!S1377</f>
        <v/>
      </c>
      <c r="W1377" s="582">
        <v>0</v>
      </c>
      <c r="X1377" s="580"/>
      <c r="Y1377" s="583">
        <f>IF(GLOBAL_DER_FEV_2023!W1377=0,0,IF(GLOBAL_DER_FEV_2023!W1377&gt;0,"c","b"))</f>
        <v>0</v>
      </c>
    </row>
    <row r="1378" spans="1:25" ht="23.25" hidden="1" thickBot="1" x14ac:dyDescent="0.25">
      <c r="A1378" s="317">
        <v>91992</v>
      </c>
      <c r="B1378" s="895">
        <v>91992</v>
      </c>
      <c r="C1378" s="896" t="s">
        <v>596</v>
      </c>
      <c r="D1378" s="906" t="s">
        <v>1304</v>
      </c>
      <c r="E1378" s="907">
        <f>GLOBAL_DER_FEV_2023!E1378</f>
        <v>0</v>
      </c>
      <c r="F1378" s="908">
        <f>GLOBAL_DER_FEV_2023!F1378</f>
        <v>0</v>
      </c>
      <c r="G1378" s="912">
        <f>GLOBAL_DER_FEV_2023!G1378</f>
        <v>0</v>
      </c>
      <c r="H1378" s="901">
        <f>GLOBAL_DER_FEV_2023!H1378</f>
        <v>48.1</v>
      </c>
      <c r="I1378" s="901">
        <f>GLOBAL_DER_FEV_2023!I1378</f>
        <v>48.1</v>
      </c>
      <c r="J1378" s="902">
        <f>GLOBAL_DER_FEV_2023!J1378</f>
        <v>57.75</v>
      </c>
      <c r="K1378" s="903" t="s">
        <v>1516</v>
      </c>
      <c r="L1378" s="1137"/>
      <c r="M1378" s="1138">
        <f t="shared" si="102"/>
        <v>0</v>
      </c>
      <c r="N1378" s="893">
        <f t="shared" si="106"/>
        <v>0</v>
      </c>
      <c r="O1378" s="905"/>
      <c r="Q1378" s="317" t="str">
        <f t="shared" si="103"/>
        <v/>
      </c>
      <c r="R1378" s="317" t="str">
        <f t="shared" si="104"/>
        <v/>
      </c>
      <c r="S1378" s="317" t="str">
        <f t="shared" si="105"/>
        <v/>
      </c>
      <c r="T1378" s="317" t="str">
        <f>GLOBAL_DER_FEV_2023!S1378</f>
        <v/>
      </c>
      <c r="W1378" s="582">
        <v>0</v>
      </c>
      <c r="X1378" s="580"/>
      <c r="Y1378" s="583">
        <f>IF(GLOBAL_DER_FEV_2023!W1378=0,0,IF(GLOBAL_DER_FEV_2023!W1378&gt;0,"c","b"))</f>
        <v>0</v>
      </c>
    </row>
    <row r="1379" spans="1:25" ht="23.25" hidden="1" thickBot="1" x14ac:dyDescent="0.25">
      <c r="A1379" s="317">
        <v>91993</v>
      </c>
      <c r="B1379" s="895">
        <v>91993</v>
      </c>
      <c r="C1379" s="896" t="s">
        <v>596</v>
      </c>
      <c r="D1379" s="906" t="s">
        <v>1305</v>
      </c>
      <c r="E1379" s="907">
        <f>GLOBAL_DER_FEV_2023!E1379</f>
        <v>0</v>
      </c>
      <c r="F1379" s="908">
        <f>GLOBAL_DER_FEV_2023!F1379</f>
        <v>0</v>
      </c>
      <c r="G1379" s="912">
        <f>GLOBAL_DER_FEV_2023!G1379</f>
        <v>0</v>
      </c>
      <c r="H1379" s="901">
        <f>GLOBAL_DER_FEV_2023!H1379</f>
        <v>50.65</v>
      </c>
      <c r="I1379" s="901">
        <f>GLOBAL_DER_FEV_2023!I1379</f>
        <v>50.65</v>
      </c>
      <c r="J1379" s="902">
        <f>GLOBAL_DER_FEV_2023!J1379</f>
        <v>60.82</v>
      </c>
      <c r="K1379" s="903" t="s">
        <v>1516</v>
      </c>
      <c r="L1379" s="1137"/>
      <c r="M1379" s="1138">
        <f t="shared" si="102"/>
        <v>0</v>
      </c>
      <c r="N1379" s="893">
        <f t="shared" si="106"/>
        <v>0</v>
      </c>
      <c r="O1379" s="905"/>
      <c r="Q1379" s="317" t="str">
        <f t="shared" si="103"/>
        <v/>
      </c>
      <c r="R1379" s="317" t="str">
        <f t="shared" si="104"/>
        <v/>
      </c>
      <c r="S1379" s="317" t="str">
        <f t="shared" si="105"/>
        <v/>
      </c>
      <c r="T1379" s="317" t="str">
        <f>GLOBAL_DER_FEV_2023!S1379</f>
        <v/>
      </c>
      <c r="W1379" s="582">
        <v>0</v>
      </c>
      <c r="X1379" s="580"/>
      <c r="Y1379" s="583">
        <f>IF(GLOBAL_DER_FEV_2023!W1379=0,0,IF(GLOBAL_DER_FEV_2023!W1379&gt;0,"c","b"))</f>
        <v>0</v>
      </c>
    </row>
    <row r="1380" spans="1:25" ht="23.25" hidden="1" thickBot="1" x14ac:dyDescent="0.25">
      <c r="A1380" s="317">
        <v>91994</v>
      </c>
      <c r="B1380" s="895">
        <v>91994</v>
      </c>
      <c r="C1380" s="896" t="s">
        <v>596</v>
      </c>
      <c r="D1380" s="906" t="s">
        <v>1306</v>
      </c>
      <c r="E1380" s="907">
        <f>GLOBAL_DER_FEV_2023!E1380</f>
        <v>0</v>
      </c>
      <c r="F1380" s="908">
        <f>GLOBAL_DER_FEV_2023!F1380</f>
        <v>0</v>
      </c>
      <c r="G1380" s="912">
        <f>GLOBAL_DER_FEV_2023!G1380</f>
        <v>0</v>
      </c>
      <c r="H1380" s="901">
        <f>GLOBAL_DER_FEV_2023!H1380</f>
        <v>27.58</v>
      </c>
      <c r="I1380" s="901">
        <f>GLOBAL_DER_FEV_2023!I1380</f>
        <v>27.58</v>
      </c>
      <c r="J1380" s="902">
        <f>GLOBAL_DER_FEV_2023!J1380</f>
        <v>33.119999999999997</v>
      </c>
      <c r="K1380" s="903" t="s">
        <v>1516</v>
      </c>
      <c r="L1380" s="1137"/>
      <c r="M1380" s="1138">
        <f t="shared" si="102"/>
        <v>0</v>
      </c>
      <c r="N1380" s="893">
        <f t="shared" si="106"/>
        <v>0</v>
      </c>
      <c r="O1380" s="905"/>
      <c r="Q1380" s="317" t="str">
        <f t="shared" si="103"/>
        <v/>
      </c>
      <c r="R1380" s="317" t="str">
        <f t="shared" si="104"/>
        <v/>
      </c>
      <c r="S1380" s="317" t="str">
        <f t="shared" si="105"/>
        <v/>
      </c>
      <c r="T1380" s="317" t="str">
        <f>GLOBAL_DER_FEV_2023!S1380</f>
        <v/>
      </c>
      <c r="W1380" s="582">
        <v>0</v>
      </c>
      <c r="X1380" s="580"/>
      <c r="Y1380" s="583">
        <f>IF(GLOBAL_DER_FEV_2023!W1380=0,0,IF(GLOBAL_DER_FEV_2023!W1380&gt;0,"c","b"))</f>
        <v>0</v>
      </c>
    </row>
    <row r="1381" spans="1:25" ht="23.25" hidden="1" thickBot="1" x14ac:dyDescent="0.25">
      <c r="A1381" s="317">
        <v>91995</v>
      </c>
      <c r="B1381" s="895">
        <v>91995</v>
      </c>
      <c r="C1381" s="896" t="s">
        <v>596</v>
      </c>
      <c r="D1381" s="906" t="s">
        <v>1307</v>
      </c>
      <c r="E1381" s="907">
        <f>GLOBAL_DER_FEV_2023!E1381</f>
        <v>0</v>
      </c>
      <c r="F1381" s="908">
        <f>GLOBAL_DER_FEV_2023!F1381</f>
        <v>0</v>
      </c>
      <c r="G1381" s="912">
        <f>GLOBAL_DER_FEV_2023!G1381</f>
        <v>0</v>
      </c>
      <c r="H1381" s="901">
        <f>GLOBAL_DER_FEV_2023!H1381</f>
        <v>30.13</v>
      </c>
      <c r="I1381" s="901">
        <f>GLOBAL_DER_FEV_2023!I1381</f>
        <v>30.13</v>
      </c>
      <c r="J1381" s="902">
        <f>GLOBAL_DER_FEV_2023!J1381</f>
        <v>36.18</v>
      </c>
      <c r="K1381" s="903" t="s">
        <v>1516</v>
      </c>
      <c r="L1381" s="1137"/>
      <c r="M1381" s="1138">
        <f t="shared" si="102"/>
        <v>0</v>
      </c>
      <c r="N1381" s="893">
        <f t="shared" si="106"/>
        <v>0</v>
      </c>
      <c r="O1381" s="905"/>
      <c r="Q1381" s="317" t="str">
        <f t="shared" si="103"/>
        <v/>
      </c>
      <c r="R1381" s="317" t="str">
        <f t="shared" si="104"/>
        <v/>
      </c>
      <c r="S1381" s="317" t="str">
        <f t="shared" si="105"/>
        <v/>
      </c>
      <c r="T1381" s="317" t="str">
        <f>GLOBAL_DER_FEV_2023!S1381</f>
        <v/>
      </c>
      <c r="W1381" s="582">
        <v>0</v>
      </c>
      <c r="X1381" s="580"/>
      <c r="Y1381" s="583">
        <f>IF(GLOBAL_DER_FEV_2023!W1381=0,0,IF(GLOBAL_DER_FEV_2023!W1381&gt;0,"c","b"))</f>
        <v>0</v>
      </c>
    </row>
    <row r="1382" spans="1:25" ht="23.25" hidden="1" thickBot="1" x14ac:dyDescent="0.25">
      <c r="A1382" s="317">
        <v>91996</v>
      </c>
      <c r="B1382" s="895">
        <v>91996</v>
      </c>
      <c r="C1382" s="896" t="s">
        <v>596</v>
      </c>
      <c r="D1382" s="906" t="s">
        <v>1308</v>
      </c>
      <c r="E1382" s="907">
        <f>GLOBAL_DER_FEV_2023!E1382</f>
        <v>0</v>
      </c>
      <c r="F1382" s="908">
        <f>GLOBAL_DER_FEV_2023!F1382</f>
        <v>0</v>
      </c>
      <c r="G1382" s="912">
        <f>GLOBAL_DER_FEV_2023!G1382</f>
        <v>0</v>
      </c>
      <c r="H1382" s="901">
        <f>GLOBAL_DER_FEV_2023!H1382</f>
        <v>36.81</v>
      </c>
      <c r="I1382" s="901">
        <f>GLOBAL_DER_FEV_2023!I1382</f>
        <v>36.81</v>
      </c>
      <c r="J1382" s="902">
        <f>GLOBAL_DER_FEV_2023!J1382</f>
        <v>44.2</v>
      </c>
      <c r="K1382" s="903" t="s">
        <v>1516</v>
      </c>
      <c r="L1382" s="1137"/>
      <c r="M1382" s="1138">
        <f t="shared" si="102"/>
        <v>0</v>
      </c>
      <c r="N1382" s="893">
        <f t="shared" si="106"/>
        <v>0</v>
      </c>
      <c r="O1382" s="905"/>
      <c r="Q1382" s="317" t="str">
        <f t="shared" si="103"/>
        <v/>
      </c>
      <c r="R1382" s="317" t="str">
        <f t="shared" si="104"/>
        <v/>
      </c>
      <c r="S1382" s="317" t="str">
        <f t="shared" si="105"/>
        <v/>
      </c>
      <c r="T1382" s="317" t="str">
        <f>GLOBAL_DER_FEV_2023!S1382</f>
        <v/>
      </c>
      <c r="W1382" s="582">
        <v>0</v>
      </c>
      <c r="X1382" s="580"/>
      <c r="Y1382" s="583">
        <f>IF(GLOBAL_DER_FEV_2023!W1382=0,0,IF(GLOBAL_DER_FEV_2023!W1382&gt;0,"c","b"))</f>
        <v>0</v>
      </c>
    </row>
    <row r="1383" spans="1:25" ht="23.25" hidden="1" thickBot="1" x14ac:dyDescent="0.25">
      <c r="A1383" s="317">
        <v>91997</v>
      </c>
      <c r="B1383" s="895">
        <v>91997</v>
      </c>
      <c r="C1383" s="896" t="s">
        <v>596</v>
      </c>
      <c r="D1383" s="906" t="s">
        <v>1309</v>
      </c>
      <c r="E1383" s="907">
        <f>GLOBAL_DER_FEV_2023!E1383</f>
        <v>0</v>
      </c>
      <c r="F1383" s="908">
        <f>GLOBAL_DER_FEV_2023!F1383</f>
        <v>0</v>
      </c>
      <c r="G1383" s="912">
        <f>GLOBAL_DER_FEV_2023!G1383</f>
        <v>0</v>
      </c>
      <c r="H1383" s="901">
        <f>GLOBAL_DER_FEV_2023!H1383</f>
        <v>39.36</v>
      </c>
      <c r="I1383" s="901">
        <f>GLOBAL_DER_FEV_2023!I1383</f>
        <v>39.36</v>
      </c>
      <c r="J1383" s="902">
        <f>GLOBAL_DER_FEV_2023!J1383</f>
        <v>47.26</v>
      </c>
      <c r="K1383" s="903" t="s">
        <v>1516</v>
      </c>
      <c r="L1383" s="1137"/>
      <c r="M1383" s="1138">
        <f t="shared" si="102"/>
        <v>0</v>
      </c>
      <c r="N1383" s="893">
        <f t="shared" si="106"/>
        <v>0</v>
      </c>
      <c r="O1383" s="905"/>
      <c r="Q1383" s="317" t="str">
        <f t="shared" si="103"/>
        <v/>
      </c>
      <c r="R1383" s="317" t="str">
        <f t="shared" si="104"/>
        <v/>
      </c>
      <c r="S1383" s="317" t="str">
        <f t="shared" si="105"/>
        <v/>
      </c>
      <c r="T1383" s="317" t="str">
        <f>GLOBAL_DER_FEV_2023!S1383</f>
        <v/>
      </c>
      <c r="W1383" s="582">
        <v>0</v>
      </c>
      <c r="X1383" s="580"/>
      <c r="Y1383" s="583">
        <f>IF(GLOBAL_DER_FEV_2023!W1383=0,0,IF(GLOBAL_DER_FEV_2023!W1383&gt;0,"c","b"))</f>
        <v>0</v>
      </c>
    </row>
    <row r="1384" spans="1:25" ht="23.25" hidden="1" thickBot="1" x14ac:dyDescent="0.25">
      <c r="A1384" s="317">
        <v>91998</v>
      </c>
      <c r="B1384" s="895">
        <v>91998</v>
      </c>
      <c r="C1384" s="896" t="s">
        <v>596</v>
      </c>
      <c r="D1384" s="906" t="s">
        <v>1310</v>
      </c>
      <c r="E1384" s="907">
        <f>GLOBAL_DER_FEV_2023!E1384</f>
        <v>0</v>
      </c>
      <c r="F1384" s="908">
        <f>GLOBAL_DER_FEV_2023!F1384</f>
        <v>0</v>
      </c>
      <c r="G1384" s="912">
        <f>GLOBAL_DER_FEV_2023!G1384</f>
        <v>0</v>
      </c>
      <c r="H1384" s="901">
        <f>GLOBAL_DER_FEV_2023!H1384</f>
        <v>23.2</v>
      </c>
      <c r="I1384" s="901">
        <f>GLOBAL_DER_FEV_2023!I1384</f>
        <v>23.2</v>
      </c>
      <c r="J1384" s="902">
        <f>GLOBAL_DER_FEV_2023!J1384</f>
        <v>27.86</v>
      </c>
      <c r="K1384" s="903" t="s">
        <v>1516</v>
      </c>
      <c r="L1384" s="1137"/>
      <c r="M1384" s="1138">
        <f t="shared" si="102"/>
        <v>0</v>
      </c>
      <c r="N1384" s="893">
        <f t="shared" si="106"/>
        <v>0</v>
      </c>
      <c r="O1384" s="905"/>
      <c r="Q1384" s="317" t="str">
        <f t="shared" si="103"/>
        <v/>
      </c>
      <c r="R1384" s="317" t="str">
        <f t="shared" si="104"/>
        <v/>
      </c>
      <c r="S1384" s="317" t="str">
        <f t="shared" si="105"/>
        <v/>
      </c>
      <c r="T1384" s="317" t="str">
        <f>GLOBAL_DER_FEV_2023!S1384</f>
        <v/>
      </c>
      <c r="W1384" s="582">
        <v>0</v>
      </c>
      <c r="X1384" s="580"/>
      <c r="Y1384" s="583">
        <f>IF(GLOBAL_DER_FEV_2023!W1384=0,0,IF(GLOBAL_DER_FEV_2023!W1384&gt;0,"c","b"))</f>
        <v>0</v>
      </c>
    </row>
    <row r="1385" spans="1:25" ht="23.25" hidden="1" thickBot="1" x14ac:dyDescent="0.25">
      <c r="A1385" s="317">
        <v>91999</v>
      </c>
      <c r="B1385" s="895">
        <v>91999</v>
      </c>
      <c r="C1385" s="896" t="s">
        <v>596</v>
      </c>
      <c r="D1385" s="906" t="s">
        <v>1311</v>
      </c>
      <c r="E1385" s="907">
        <f>GLOBAL_DER_FEV_2023!E1385</f>
        <v>0</v>
      </c>
      <c r="F1385" s="908">
        <f>GLOBAL_DER_FEV_2023!F1385</f>
        <v>0</v>
      </c>
      <c r="G1385" s="912">
        <f>GLOBAL_DER_FEV_2023!G1385</f>
        <v>0</v>
      </c>
      <c r="H1385" s="901">
        <f>GLOBAL_DER_FEV_2023!H1385</f>
        <v>25.75</v>
      </c>
      <c r="I1385" s="901">
        <f>GLOBAL_DER_FEV_2023!I1385</f>
        <v>25.75</v>
      </c>
      <c r="J1385" s="902">
        <f>GLOBAL_DER_FEV_2023!J1385</f>
        <v>30.92</v>
      </c>
      <c r="K1385" s="903" t="s">
        <v>1516</v>
      </c>
      <c r="L1385" s="1137"/>
      <c r="M1385" s="1138">
        <f t="shared" si="102"/>
        <v>0</v>
      </c>
      <c r="N1385" s="893">
        <f t="shared" si="106"/>
        <v>0</v>
      </c>
      <c r="O1385" s="905"/>
      <c r="Q1385" s="317" t="str">
        <f t="shared" si="103"/>
        <v/>
      </c>
      <c r="R1385" s="317" t="str">
        <f t="shared" si="104"/>
        <v/>
      </c>
      <c r="S1385" s="317" t="str">
        <f t="shared" si="105"/>
        <v/>
      </c>
      <c r="T1385" s="317" t="str">
        <f>GLOBAL_DER_FEV_2023!S1385</f>
        <v/>
      </c>
      <c r="W1385" s="582">
        <v>0</v>
      </c>
      <c r="X1385" s="580"/>
      <c r="Y1385" s="583">
        <f>IF(GLOBAL_DER_FEV_2023!W1385=0,0,IF(GLOBAL_DER_FEV_2023!W1385&gt;0,"c","b"))</f>
        <v>0</v>
      </c>
    </row>
    <row r="1386" spans="1:25" ht="23.25" hidden="1" thickBot="1" x14ac:dyDescent="0.25">
      <c r="A1386" s="317">
        <v>92000</v>
      </c>
      <c r="B1386" s="895">
        <v>92000</v>
      </c>
      <c r="C1386" s="896" t="s">
        <v>596</v>
      </c>
      <c r="D1386" s="906" t="s">
        <v>1312</v>
      </c>
      <c r="E1386" s="907">
        <f>GLOBAL_DER_FEV_2023!E1386</f>
        <v>0</v>
      </c>
      <c r="F1386" s="908">
        <f>GLOBAL_DER_FEV_2023!F1386</f>
        <v>0</v>
      </c>
      <c r="G1386" s="912">
        <f>GLOBAL_DER_FEV_2023!G1386</f>
        <v>0</v>
      </c>
      <c r="H1386" s="901">
        <f>GLOBAL_DER_FEV_2023!H1386</f>
        <v>32.43</v>
      </c>
      <c r="I1386" s="901">
        <f>GLOBAL_DER_FEV_2023!I1386</f>
        <v>32.43</v>
      </c>
      <c r="J1386" s="902">
        <f>GLOBAL_DER_FEV_2023!J1386</f>
        <v>38.94</v>
      </c>
      <c r="K1386" s="903" t="s">
        <v>1516</v>
      </c>
      <c r="L1386" s="1137"/>
      <c r="M1386" s="1138">
        <f t="shared" si="102"/>
        <v>0</v>
      </c>
      <c r="N1386" s="893">
        <f t="shared" si="106"/>
        <v>0</v>
      </c>
      <c r="O1386" s="905"/>
      <c r="Q1386" s="317" t="str">
        <f t="shared" si="103"/>
        <v/>
      </c>
      <c r="R1386" s="317" t="str">
        <f t="shared" si="104"/>
        <v/>
      </c>
      <c r="S1386" s="317" t="str">
        <f t="shared" si="105"/>
        <v/>
      </c>
      <c r="T1386" s="317" t="str">
        <f>GLOBAL_DER_FEV_2023!S1386</f>
        <v/>
      </c>
      <c r="W1386" s="582">
        <v>0</v>
      </c>
      <c r="X1386" s="580"/>
      <c r="Y1386" s="583">
        <f>IF(GLOBAL_DER_FEV_2023!W1386=0,0,IF(GLOBAL_DER_FEV_2023!W1386&gt;0,"c","b"))</f>
        <v>0</v>
      </c>
    </row>
    <row r="1387" spans="1:25" ht="23.25" hidden="1" thickBot="1" x14ac:dyDescent="0.25">
      <c r="A1387" s="317">
        <v>92001</v>
      </c>
      <c r="B1387" s="895">
        <v>92001</v>
      </c>
      <c r="C1387" s="896" t="s">
        <v>596</v>
      </c>
      <c r="D1387" s="906" t="s">
        <v>1313</v>
      </c>
      <c r="E1387" s="907">
        <f>GLOBAL_DER_FEV_2023!E1387</f>
        <v>0</v>
      </c>
      <c r="F1387" s="908">
        <f>GLOBAL_DER_FEV_2023!F1387</f>
        <v>0</v>
      </c>
      <c r="G1387" s="912">
        <f>GLOBAL_DER_FEV_2023!G1387</f>
        <v>0</v>
      </c>
      <c r="H1387" s="901">
        <f>GLOBAL_DER_FEV_2023!H1387</f>
        <v>34.979999999999997</v>
      </c>
      <c r="I1387" s="901">
        <f>GLOBAL_DER_FEV_2023!I1387</f>
        <v>34.979999999999997</v>
      </c>
      <c r="J1387" s="902">
        <f>GLOBAL_DER_FEV_2023!J1387</f>
        <v>42</v>
      </c>
      <c r="K1387" s="903" t="s">
        <v>1516</v>
      </c>
      <c r="L1387" s="1137"/>
      <c r="M1387" s="1138">
        <f t="shared" si="102"/>
        <v>0</v>
      </c>
      <c r="N1387" s="893">
        <f t="shared" si="106"/>
        <v>0</v>
      </c>
      <c r="O1387" s="905"/>
      <c r="Q1387" s="317" t="str">
        <f t="shared" si="103"/>
        <v/>
      </c>
      <c r="R1387" s="317" t="str">
        <f t="shared" si="104"/>
        <v/>
      </c>
      <c r="S1387" s="317" t="str">
        <f t="shared" si="105"/>
        <v/>
      </c>
      <c r="T1387" s="317" t="str">
        <f>GLOBAL_DER_FEV_2023!S1387</f>
        <v/>
      </c>
      <c r="W1387" s="582">
        <v>0</v>
      </c>
      <c r="X1387" s="580"/>
      <c r="Y1387" s="583">
        <f>IF(GLOBAL_DER_FEV_2023!W1387=0,0,IF(GLOBAL_DER_FEV_2023!W1387&gt;0,"c","b"))</f>
        <v>0</v>
      </c>
    </row>
    <row r="1388" spans="1:25" ht="23.25" hidden="1" thickBot="1" x14ac:dyDescent="0.25">
      <c r="A1388" s="317">
        <v>92002</v>
      </c>
      <c r="B1388" s="895">
        <v>92002</v>
      </c>
      <c r="C1388" s="896" t="s">
        <v>596</v>
      </c>
      <c r="D1388" s="906" t="s">
        <v>1314</v>
      </c>
      <c r="E1388" s="907">
        <f>GLOBAL_DER_FEV_2023!E1388</f>
        <v>0</v>
      </c>
      <c r="F1388" s="908">
        <f>GLOBAL_DER_FEV_2023!F1388</f>
        <v>0</v>
      </c>
      <c r="G1388" s="912">
        <f>GLOBAL_DER_FEV_2023!G1388</f>
        <v>0</v>
      </c>
      <c r="H1388" s="901">
        <f>GLOBAL_DER_FEV_2023!H1388</f>
        <v>51.51</v>
      </c>
      <c r="I1388" s="901">
        <f>GLOBAL_DER_FEV_2023!I1388</f>
        <v>51.51</v>
      </c>
      <c r="J1388" s="902">
        <f>GLOBAL_DER_FEV_2023!J1388</f>
        <v>61.85</v>
      </c>
      <c r="K1388" s="903" t="s">
        <v>1516</v>
      </c>
      <c r="L1388" s="1137"/>
      <c r="M1388" s="1138">
        <f t="shared" si="102"/>
        <v>0</v>
      </c>
      <c r="N1388" s="893">
        <f t="shared" si="106"/>
        <v>0</v>
      </c>
      <c r="O1388" s="905"/>
      <c r="Q1388" s="317" t="str">
        <f t="shared" si="103"/>
        <v/>
      </c>
      <c r="R1388" s="317" t="str">
        <f t="shared" si="104"/>
        <v/>
      </c>
      <c r="S1388" s="317" t="str">
        <f t="shared" si="105"/>
        <v/>
      </c>
      <c r="T1388" s="317" t="str">
        <f>GLOBAL_DER_FEV_2023!S1388</f>
        <v/>
      </c>
      <c r="W1388" s="582">
        <v>0</v>
      </c>
      <c r="X1388" s="580"/>
      <c r="Y1388" s="583">
        <f>IF(GLOBAL_DER_FEV_2023!W1388=0,0,IF(GLOBAL_DER_FEV_2023!W1388&gt;0,"c","b"))</f>
        <v>0</v>
      </c>
    </row>
    <row r="1389" spans="1:25" ht="23.25" hidden="1" thickBot="1" x14ac:dyDescent="0.25">
      <c r="A1389" s="317">
        <v>92003</v>
      </c>
      <c r="B1389" s="895">
        <v>92003</v>
      </c>
      <c r="C1389" s="896" t="s">
        <v>596</v>
      </c>
      <c r="D1389" s="906" t="s">
        <v>1315</v>
      </c>
      <c r="E1389" s="907">
        <f>GLOBAL_DER_FEV_2023!E1389</f>
        <v>0</v>
      </c>
      <c r="F1389" s="908">
        <f>GLOBAL_DER_FEV_2023!F1389</f>
        <v>0</v>
      </c>
      <c r="G1389" s="912">
        <f>GLOBAL_DER_FEV_2023!G1389</f>
        <v>0</v>
      </c>
      <c r="H1389" s="901">
        <f>GLOBAL_DER_FEV_2023!H1389</f>
        <v>56.61</v>
      </c>
      <c r="I1389" s="901">
        <f>GLOBAL_DER_FEV_2023!I1389</f>
        <v>56.61</v>
      </c>
      <c r="J1389" s="902">
        <f>GLOBAL_DER_FEV_2023!J1389</f>
        <v>67.97</v>
      </c>
      <c r="K1389" s="903" t="s">
        <v>1516</v>
      </c>
      <c r="L1389" s="1137"/>
      <c r="M1389" s="1138">
        <f t="shared" si="102"/>
        <v>0</v>
      </c>
      <c r="N1389" s="893">
        <f t="shared" si="106"/>
        <v>0</v>
      </c>
      <c r="O1389" s="905"/>
      <c r="Q1389" s="317" t="str">
        <f t="shared" si="103"/>
        <v/>
      </c>
      <c r="R1389" s="317" t="str">
        <f t="shared" si="104"/>
        <v/>
      </c>
      <c r="S1389" s="317" t="str">
        <f t="shared" si="105"/>
        <v/>
      </c>
      <c r="T1389" s="317" t="str">
        <f>GLOBAL_DER_FEV_2023!S1389</f>
        <v/>
      </c>
      <c r="W1389" s="582">
        <v>0</v>
      </c>
      <c r="X1389" s="580"/>
      <c r="Y1389" s="583">
        <f>IF(GLOBAL_DER_FEV_2023!W1389=0,0,IF(GLOBAL_DER_FEV_2023!W1389&gt;0,"c","b"))</f>
        <v>0</v>
      </c>
    </row>
    <row r="1390" spans="1:25" ht="23.25" hidden="1" thickBot="1" x14ac:dyDescent="0.25">
      <c r="A1390" s="317">
        <v>92004</v>
      </c>
      <c r="B1390" s="895">
        <v>92004</v>
      </c>
      <c r="C1390" s="896" t="s">
        <v>596</v>
      </c>
      <c r="D1390" s="906" t="s">
        <v>1316</v>
      </c>
      <c r="E1390" s="907">
        <f>GLOBAL_DER_FEV_2023!E1390</f>
        <v>0</v>
      </c>
      <c r="F1390" s="908">
        <f>GLOBAL_DER_FEV_2023!F1390</f>
        <v>0</v>
      </c>
      <c r="G1390" s="912">
        <f>GLOBAL_DER_FEV_2023!G1390</f>
        <v>0</v>
      </c>
      <c r="H1390" s="901">
        <f>GLOBAL_DER_FEV_2023!H1390</f>
        <v>60.74</v>
      </c>
      <c r="I1390" s="901">
        <f>GLOBAL_DER_FEV_2023!I1390</f>
        <v>60.74</v>
      </c>
      <c r="J1390" s="902">
        <f>GLOBAL_DER_FEV_2023!J1390</f>
        <v>72.930000000000007</v>
      </c>
      <c r="K1390" s="903" t="s">
        <v>1516</v>
      </c>
      <c r="L1390" s="1137"/>
      <c r="M1390" s="1138">
        <f t="shared" si="102"/>
        <v>0</v>
      </c>
      <c r="N1390" s="893">
        <f t="shared" si="106"/>
        <v>0</v>
      </c>
      <c r="O1390" s="905"/>
      <c r="Q1390" s="317" t="str">
        <f t="shared" si="103"/>
        <v/>
      </c>
      <c r="R1390" s="317" t="str">
        <f t="shared" si="104"/>
        <v/>
      </c>
      <c r="S1390" s="317" t="str">
        <f t="shared" si="105"/>
        <v/>
      </c>
      <c r="T1390" s="317" t="str">
        <f>GLOBAL_DER_FEV_2023!S1390</f>
        <v/>
      </c>
      <c r="W1390" s="582">
        <v>0</v>
      </c>
      <c r="X1390" s="580"/>
      <c r="Y1390" s="583">
        <f>IF(GLOBAL_DER_FEV_2023!W1390=0,0,IF(GLOBAL_DER_FEV_2023!W1390&gt;0,"c","b"))</f>
        <v>0</v>
      </c>
    </row>
    <row r="1391" spans="1:25" ht="23.25" hidden="1" thickBot="1" x14ac:dyDescent="0.25">
      <c r="A1391" s="317">
        <v>92005</v>
      </c>
      <c r="B1391" s="895">
        <v>92005</v>
      </c>
      <c r="C1391" s="896" t="s">
        <v>596</v>
      </c>
      <c r="D1391" s="906" t="s">
        <v>1317</v>
      </c>
      <c r="E1391" s="907">
        <f>GLOBAL_DER_FEV_2023!E1391</f>
        <v>0</v>
      </c>
      <c r="F1391" s="908">
        <f>GLOBAL_DER_FEV_2023!F1391</f>
        <v>0</v>
      </c>
      <c r="G1391" s="912">
        <f>GLOBAL_DER_FEV_2023!G1391</f>
        <v>0</v>
      </c>
      <c r="H1391" s="901">
        <f>GLOBAL_DER_FEV_2023!H1391</f>
        <v>65.84</v>
      </c>
      <c r="I1391" s="901">
        <f>GLOBAL_DER_FEV_2023!I1391</f>
        <v>65.84</v>
      </c>
      <c r="J1391" s="902">
        <f>GLOBAL_DER_FEV_2023!J1391</f>
        <v>79.05</v>
      </c>
      <c r="K1391" s="903" t="s">
        <v>1516</v>
      </c>
      <c r="L1391" s="1137"/>
      <c r="M1391" s="1138">
        <f t="shared" si="102"/>
        <v>0</v>
      </c>
      <c r="N1391" s="893">
        <f t="shared" si="106"/>
        <v>0</v>
      </c>
      <c r="O1391" s="905"/>
      <c r="Q1391" s="317" t="str">
        <f t="shared" si="103"/>
        <v/>
      </c>
      <c r="R1391" s="317" t="str">
        <f t="shared" si="104"/>
        <v/>
      </c>
      <c r="S1391" s="317" t="str">
        <f t="shared" si="105"/>
        <v/>
      </c>
      <c r="T1391" s="317" t="str">
        <f>GLOBAL_DER_FEV_2023!S1391</f>
        <v/>
      </c>
      <c r="W1391" s="582">
        <v>0</v>
      </c>
      <c r="X1391" s="580"/>
      <c r="Y1391" s="583">
        <f>IF(GLOBAL_DER_FEV_2023!W1391=0,0,IF(GLOBAL_DER_FEV_2023!W1391&gt;0,"c","b"))</f>
        <v>0</v>
      </c>
    </row>
    <row r="1392" spans="1:25" ht="23.25" hidden="1" thickBot="1" x14ac:dyDescent="0.25">
      <c r="A1392" s="317">
        <v>92006</v>
      </c>
      <c r="B1392" s="895">
        <v>92006</v>
      </c>
      <c r="C1392" s="896" t="s">
        <v>596</v>
      </c>
      <c r="D1392" s="906" t="s">
        <v>1318</v>
      </c>
      <c r="E1392" s="907">
        <f>GLOBAL_DER_FEV_2023!E1392</f>
        <v>0</v>
      </c>
      <c r="F1392" s="908">
        <f>GLOBAL_DER_FEV_2023!F1392</f>
        <v>0</v>
      </c>
      <c r="G1392" s="912">
        <f>GLOBAL_DER_FEV_2023!G1392</f>
        <v>0</v>
      </c>
      <c r="H1392" s="901">
        <f>GLOBAL_DER_FEV_2023!H1392</f>
        <v>42.75</v>
      </c>
      <c r="I1392" s="901">
        <f>GLOBAL_DER_FEV_2023!I1392</f>
        <v>42.75</v>
      </c>
      <c r="J1392" s="902">
        <f>GLOBAL_DER_FEV_2023!J1392</f>
        <v>51.33</v>
      </c>
      <c r="K1392" s="903" t="s">
        <v>1516</v>
      </c>
      <c r="L1392" s="1137"/>
      <c r="M1392" s="1138">
        <f t="shared" si="102"/>
        <v>0</v>
      </c>
      <c r="N1392" s="893">
        <f t="shared" si="106"/>
        <v>0</v>
      </c>
      <c r="O1392" s="905"/>
      <c r="Q1392" s="317" t="str">
        <f t="shared" si="103"/>
        <v/>
      </c>
      <c r="R1392" s="317" t="str">
        <f t="shared" si="104"/>
        <v/>
      </c>
      <c r="S1392" s="317" t="str">
        <f t="shared" si="105"/>
        <v/>
      </c>
      <c r="T1392" s="317" t="str">
        <f>GLOBAL_DER_FEV_2023!S1392</f>
        <v/>
      </c>
      <c r="W1392" s="582">
        <v>0</v>
      </c>
      <c r="X1392" s="580"/>
      <c r="Y1392" s="583">
        <f>IF(GLOBAL_DER_FEV_2023!W1392=0,0,IF(GLOBAL_DER_FEV_2023!W1392&gt;0,"c","b"))</f>
        <v>0</v>
      </c>
    </row>
    <row r="1393" spans="1:25" ht="23.25" hidden="1" thickBot="1" x14ac:dyDescent="0.25">
      <c r="A1393" s="317">
        <v>92007</v>
      </c>
      <c r="B1393" s="895">
        <v>92007</v>
      </c>
      <c r="C1393" s="896" t="s">
        <v>596</v>
      </c>
      <c r="D1393" s="906" t="s">
        <v>1319</v>
      </c>
      <c r="E1393" s="907">
        <f>GLOBAL_DER_FEV_2023!E1393</f>
        <v>0</v>
      </c>
      <c r="F1393" s="908">
        <f>GLOBAL_DER_FEV_2023!F1393</f>
        <v>0</v>
      </c>
      <c r="G1393" s="912">
        <f>GLOBAL_DER_FEV_2023!G1393</f>
        <v>0</v>
      </c>
      <c r="H1393" s="901">
        <f>GLOBAL_DER_FEV_2023!H1393</f>
        <v>47.85</v>
      </c>
      <c r="I1393" s="901">
        <f>GLOBAL_DER_FEV_2023!I1393</f>
        <v>47.85</v>
      </c>
      <c r="J1393" s="902">
        <f>GLOBAL_DER_FEV_2023!J1393</f>
        <v>57.45</v>
      </c>
      <c r="K1393" s="903" t="s">
        <v>1516</v>
      </c>
      <c r="L1393" s="1137"/>
      <c r="M1393" s="1138">
        <f t="shared" si="102"/>
        <v>0</v>
      </c>
      <c r="N1393" s="893">
        <f t="shared" si="106"/>
        <v>0</v>
      </c>
      <c r="O1393" s="905"/>
      <c r="Q1393" s="317" t="str">
        <f t="shared" si="103"/>
        <v/>
      </c>
      <c r="R1393" s="317" t="str">
        <f t="shared" si="104"/>
        <v/>
      </c>
      <c r="S1393" s="317" t="str">
        <f t="shared" si="105"/>
        <v/>
      </c>
      <c r="T1393" s="317" t="str">
        <f>GLOBAL_DER_FEV_2023!S1393</f>
        <v/>
      </c>
      <c r="W1393" s="582">
        <v>0</v>
      </c>
      <c r="X1393" s="580"/>
      <c r="Y1393" s="583">
        <f>IF(GLOBAL_DER_FEV_2023!W1393=0,0,IF(GLOBAL_DER_FEV_2023!W1393&gt;0,"c","b"))</f>
        <v>0</v>
      </c>
    </row>
    <row r="1394" spans="1:25" ht="23.25" hidden="1" thickBot="1" x14ac:dyDescent="0.25">
      <c r="A1394" s="317">
        <v>92008</v>
      </c>
      <c r="B1394" s="895">
        <v>92008</v>
      </c>
      <c r="C1394" s="896" t="s">
        <v>596</v>
      </c>
      <c r="D1394" s="906" t="s">
        <v>1320</v>
      </c>
      <c r="E1394" s="907">
        <f>GLOBAL_DER_FEV_2023!E1394</f>
        <v>0</v>
      </c>
      <c r="F1394" s="908">
        <f>GLOBAL_DER_FEV_2023!F1394</f>
        <v>0</v>
      </c>
      <c r="G1394" s="912">
        <f>GLOBAL_DER_FEV_2023!G1394</f>
        <v>0</v>
      </c>
      <c r="H1394" s="901">
        <f>GLOBAL_DER_FEV_2023!H1394</f>
        <v>51.98</v>
      </c>
      <c r="I1394" s="901">
        <f>GLOBAL_DER_FEV_2023!I1394</f>
        <v>51.98</v>
      </c>
      <c r="J1394" s="902">
        <f>GLOBAL_DER_FEV_2023!J1394</f>
        <v>62.41</v>
      </c>
      <c r="K1394" s="903" t="s">
        <v>1516</v>
      </c>
      <c r="L1394" s="1137"/>
      <c r="M1394" s="1138">
        <f t="shared" si="102"/>
        <v>0</v>
      </c>
      <c r="N1394" s="893">
        <f t="shared" si="106"/>
        <v>0</v>
      </c>
      <c r="O1394" s="905"/>
      <c r="Q1394" s="317" t="str">
        <f t="shared" si="103"/>
        <v/>
      </c>
      <c r="R1394" s="317" t="str">
        <f t="shared" si="104"/>
        <v/>
      </c>
      <c r="S1394" s="317" t="str">
        <f t="shared" si="105"/>
        <v/>
      </c>
      <c r="T1394" s="317" t="str">
        <f>GLOBAL_DER_FEV_2023!S1394</f>
        <v/>
      </c>
      <c r="W1394" s="582">
        <v>0</v>
      </c>
      <c r="X1394" s="580"/>
      <c r="Y1394" s="583">
        <f>IF(GLOBAL_DER_FEV_2023!W1394=0,0,IF(GLOBAL_DER_FEV_2023!W1394&gt;0,"c","b"))</f>
        <v>0</v>
      </c>
    </row>
    <row r="1395" spans="1:25" ht="23.25" hidden="1" thickBot="1" x14ac:dyDescent="0.25">
      <c r="A1395" s="317">
        <v>92009</v>
      </c>
      <c r="B1395" s="895">
        <v>92009</v>
      </c>
      <c r="C1395" s="896" t="s">
        <v>596</v>
      </c>
      <c r="D1395" s="906" t="s">
        <v>1321</v>
      </c>
      <c r="E1395" s="907">
        <f>GLOBAL_DER_FEV_2023!E1395</f>
        <v>0</v>
      </c>
      <c r="F1395" s="908">
        <f>GLOBAL_DER_FEV_2023!F1395</f>
        <v>0</v>
      </c>
      <c r="G1395" s="912">
        <f>GLOBAL_DER_FEV_2023!G1395</f>
        <v>0</v>
      </c>
      <c r="H1395" s="901">
        <f>GLOBAL_DER_FEV_2023!H1395</f>
        <v>57.08</v>
      </c>
      <c r="I1395" s="901">
        <f>GLOBAL_DER_FEV_2023!I1395</f>
        <v>57.08</v>
      </c>
      <c r="J1395" s="902">
        <f>GLOBAL_DER_FEV_2023!J1395</f>
        <v>68.540000000000006</v>
      </c>
      <c r="K1395" s="903" t="s">
        <v>1516</v>
      </c>
      <c r="L1395" s="1137"/>
      <c r="M1395" s="1138">
        <f t="shared" si="102"/>
        <v>0</v>
      </c>
      <c r="N1395" s="893">
        <f t="shared" si="106"/>
        <v>0</v>
      </c>
      <c r="O1395" s="905"/>
      <c r="Q1395" s="317" t="str">
        <f t="shared" si="103"/>
        <v/>
      </c>
      <c r="R1395" s="317" t="str">
        <f t="shared" si="104"/>
        <v/>
      </c>
      <c r="S1395" s="317" t="str">
        <f t="shared" si="105"/>
        <v/>
      </c>
      <c r="T1395" s="317" t="str">
        <f>GLOBAL_DER_FEV_2023!S1395</f>
        <v/>
      </c>
      <c r="W1395" s="582">
        <v>0</v>
      </c>
      <c r="X1395" s="580"/>
      <c r="Y1395" s="583">
        <f>IF(GLOBAL_DER_FEV_2023!W1395=0,0,IF(GLOBAL_DER_FEV_2023!W1395&gt;0,"c","b"))</f>
        <v>0</v>
      </c>
    </row>
    <row r="1396" spans="1:25" ht="23.25" hidden="1" thickBot="1" x14ac:dyDescent="0.25">
      <c r="A1396" s="317">
        <v>92010</v>
      </c>
      <c r="B1396" s="895">
        <v>92010</v>
      </c>
      <c r="C1396" s="896" t="s">
        <v>596</v>
      </c>
      <c r="D1396" s="906" t="s">
        <v>1322</v>
      </c>
      <c r="E1396" s="907">
        <f>GLOBAL_DER_FEV_2023!E1396</f>
        <v>0</v>
      </c>
      <c r="F1396" s="908">
        <f>GLOBAL_DER_FEV_2023!F1396</f>
        <v>0</v>
      </c>
      <c r="G1396" s="912">
        <f>GLOBAL_DER_FEV_2023!G1396</f>
        <v>0</v>
      </c>
      <c r="H1396" s="901">
        <f>GLOBAL_DER_FEV_2023!H1396</f>
        <v>75.45</v>
      </c>
      <c r="I1396" s="901">
        <f>GLOBAL_DER_FEV_2023!I1396</f>
        <v>75.45</v>
      </c>
      <c r="J1396" s="902">
        <f>GLOBAL_DER_FEV_2023!J1396</f>
        <v>90.59</v>
      </c>
      <c r="K1396" s="903" t="s">
        <v>1516</v>
      </c>
      <c r="L1396" s="1137"/>
      <c r="M1396" s="1138">
        <f t="shared" si="102"/>
        <v>0</v>
      </c>
      <c r="N1396" s="893">
        <f t="shared" si="106"/>
        <v>0</v>
      </c>
      <c r="O1396" s="905"/>
      <c r="Q1396" s="317" t="str">
        <f t="shared" si="103"/>
        <v/>
      </c>
      <c r="R1396" s="317" t="str">
        <f t="shared" si="104"/>
        <v/>
      </c>
      <c r="S1396" s="317" t="str">
        <f t="shared" si="105"/>
        <v/>
      </c>
      <c r="T1396" s="317" t="str">
        <f>GLOBAL_DER_FEV_2023!S1396</f>
        <v/>
      </c>
      <c r="W1396" s="582">
        <v>0</v>
      </c>
      <c r="X1396" s="580"/>
      <c r="Y1396" s="583">
        <f>IF(GLOBAL_DER_FEV_2023!W1396=0,0,IF(GLOBAL_DER_FEV_2023!W1396&gt;0,"c","b"))</f>
        <v>0</v>
      </c>
    </row>
    <row r="1397" spans="1:25" ht="23.25" hidden="1" thickBot="1" x14ac:dyDescent="0.25">
      <c r="A1397" s="317">
        <v>92011</v>
      </c>
      <c r="B1397" s="895">
        <v>92011</v>
      </c>
      <c r="C1397" s="896" t="s">
        <v>596</v>
      </c>
      <c r="D1397" s="906" t="s">
        <v>1323</v>
      </c>
      <c r="E1397" s="907">
        <f>GLOBAL_DER_FEV_2023!E1397</f>
        <v>0</v>
      </c>
      <c r="F1397" s="908">
        <f>GLOBAL_DER_FEV_2023!F1397</f>
        <v>0</v>
      </c>
      <c r="G1397" s="912">
        <f>GLOBAL_DER_FEV_2023!G1397</f>
        <v>0</v>
      </c>
      <c r="H1397" s="901">
        <f>GLOBAL_DER_FEV_2023!H1397</f>
        <v>83.1</v>
      </c>
      <c r="I1397" s="901">
        <f>GLOBAL_DER_FEV_2023!I1397</f>
        <v>83.1</v>
      </c>
      <c r="J1397" s="902">
        <f>GLOBAL_DER_FEV_2023!J1397</f>
        <v>99.78</v>
      </c>
      <c r="K1397" s="903" t="s">
        <v>1516</v>
      </c>
      <c r="L1397" s="1137"/>
      <c r="M1397" s="1138">
        <f t="shared" si="102"/>
        <v>0</v>
      </c>
      <c r="N1397" s="893">
        <f t="shared" si="106"/>
        <v>0</v>
      </c>
      <c r="O1397" s="905"/>
      <c r="Q1397" s="317" t="str">
        <f t="shared" si="103"/>
        <v/>
      </c>
      <c r="R1397" s="317" t="str">
        <f t="shared" si="104"/>
        <v/>
      </c>
      <c r="S1397" s="317" t="str">
        <f t="shared" si="105"/>
        <v/>
      </c>
      <c r="T1397" s="317" t="str">
        <f>GLOBAL_DER_FEV_2023!S1397</f>
        <v/>
      </c>
      <c r="W1397" s="582">
        <v>0</v>
      </c>
      <c r="X1397" s="580"/>
      <c r="Y1397" s="583">
        <f>IF(GLOBAL_DER_FEV_2023!W1397=0,0,IF(GLOBAL_DER_FEV_2023!W1397&gt;0,"c","b"))</f>
        <v>0</v>
      </c>
    </row>
    <row r="1398" spans="1:25" ht="23.25" hidden="1" thickBot="1" x14ac:dyDescent="0.25">
      <c r="A1398" s="317">
        <v>92012</v>
      </c>
      <c r="B1398" s="895">
        <v>92012</v>
      </c>
      <c r="C1398" s="896" t="s">
        <v>596</v>
      </c>
      <c r="D1398" s="906" t="s">
        <v>1324</v>
      </c>
      <c r="E1398" s="907">
        <f>GLOBAL_DER_FEV_2023!E1398</f>
        <v>0</v>
      </c>
      <c r="F1398" s="908">
        <f>GLOBAL_DER_FEV_2023!F1398</f>
        <v>0</v>
      </c>
      <c r="G1398" s="912">
        <f>GLOBAL_DER_FEV_2023!G1398</f>
        <v>0</v>
      </c>
      <c r="H1398" s="901">
        <f>GLOBAL_DER_FEV_2023!H1398</f>
        <v>84.68</v>
      </c>
      <c r="I1398" s="901">
        <f>GLOBAL_DER_FEV_2023!I1398</f>
        <v>84.68</v>
      </c>
      <c r="J1398" s="902">
        <f>GLOBAL_DER_FEV_2023!J1398</f>
        <v>101.68</v>
      </c>
      <c r="K1398" s="903" t="s">
        <v>1516</v>
      </c>
      <c r="L1398" s="1137"/>
      <c r="M1398" s="1138">
        <f t="shared" si="102"/>
        <v>0</v>
      </c>
      <c r="N1398" s="893">
        <f t="shared" si="106"/>
        <v>0</v>
      </c>
      <c r="O1398" s="905"/>
      <c r="Q1398" s="317" t="str">
        <f t="shared" si="103"/>
        <v/>
      </c>
      <c r="R1398" s="317" t="str">
        <f t="shared" si="104"/>
        <v/>
      </c>
      <c r="S1398" s="317" t="str">
        <f t="shared" si="105"/>
        <v/>
      </c>
      <c r="T1398" s="317" t="str">
        <f>GLOBAL_DER_FEV_2023!S1398</f>
        <v/>
      </c>
      <c r="W1398" s="582">
        <v>0</v>
      </c>
      <c r="X1398" s="580"/>
      <c r="Y1398" s="583">
        <f>IF(GLOBAL_DER_FEV_2023!W1398=0,0,IF(GLOBAL_DER_FEV_2023!W1398&gt;0,"c","b"))</f>
        <v>0</v>
      </c>
    </row>
    <row r="1399" spans="1:25" ht="23.25" hidden="1" thickBot="1" x14ac:dyDescent="0.25">
      <c r="A1399" s="317">
        <v>92013</v>
      </c>
      <c r="B1399" s="895">
        <v>92013</v>
      </c>
      <c r="C1399" s="896" t="s">
        <v>596</v>
      </c>
      <c r="D1399" s="906" t="s">
        <v>1325</v>
      </c>
      <c r="E1399" s="907">
        <f>GLOBAL_DER_FEV_2023!E1399</f>
        <v>0</v>
      </c>
      <c r="F1399" s="908">
        <f>GLOBAL_DER_FEV_2023!F1399</f>
        <v>0</v>
      </c>
      <c r="G1399" s="912">
        <f>GLOBAL_DER_FEV_2023!G1399</f>
        <v>0</v>
      </c>
      <c r="H1399" s="901">
        <f>GLOBAL_DER_FEV_2023!H1399</f>
        <v>92.33</v>
      </c>
      <c r="I1399" s="901">
        <f>GLOBAL_DER_FEV_2023!I1399</f>
        <v>92.33</v>
      </c>
      <c r="J1399" s="902">
        <f>GLOBAL_DER_FEV_2023!J1399</f>
        <v>110.86</v>
      </c>
      <c r="K1399" s="903" t="s">
        <v>1516</v>
      </c>
      <c r="L1399" s="1137"/>
      <c r="M1399" s="1138">
        <f t="shared" si="102"/>
        <v>0</v>
      </c>
      <c r="N1399" s="893">
        <f t="shared" si="106"/>
        <v>0</v>
      </c>
      <c r="O1399" s="905"/>
      <c r="Q1399" s="317" t="str">
        <f t="shared" si="103"/>
        <v/>
      </c>
      <c r="R1399" s="317" t="str">
        <f t="shared" si="104"/>
        <v/>
      </c>
      <c r="S1399" s="317" t="str">
        <f t="shared" si="105"/>
        <v/>
      </c>
      <c r="T1399" s="317" t="str">
        <f>GLOBAL_DER_FEV_2023!S1399</f>
        <v/>
      </c>
      <c r="W1399" s="582">
        <v>0</v>
      </c>
      <c r="X1399" s="580"/>
      <c r="Y1399" s="583">
        <f>IF(GLOBAL_DER_FEV_2023!W1399=0,0,IF(GLOBAL_DER_FEV_2023!W1399&gt;0,"c","b"))</f>
        <v>0</v>
      </c>
    </row>
    <row r="1400" spans="1:25" ht="23.25" hidden="1" thickBot="1" x14ac:dyDescent="0.25">
      <c r="A1400" s="317">
        <v>92014</v>
      </c>
      <c r="B1400" s="895">
        <v>92014</v>
      </c>
      <c r="C1400" s="896" t="s">
        <v>596</v>
      </c>
      <c r="D1400" s="906" t="s">
        <v>1326</v>
      </c>
      <c r="E1400" s="907">
        <f>GLOBAL_DER_FEV_2023!E1400</f>
        <v>0</v>
      </c>
      <c r="F1400" s="908">
        <f>GLOBAL_DER_FEV_2023!F1400</f>
        <v>0</v>
      </c>
      <c r="G1400" s="912">
        <f>GLOBAL_DER_FEV_2023!G1400</f>
        <v>0</v>
      </c>
      <c r="H1400" s="901">
        <f>GLOBAL_DER_FEV_2023!H1400</f>
        <v>62.3</v>
      </c>
      <c r="I1400" s="901">
        <f>GLOBAL_DER_FEV_2023!I1400</f>
        <v>62.3</v>
      </c>
      <c r="J1400" s="902">
        <f>GLOBAL_DER_FEV_2023!J1400</f>
        <v>74.8</v>
      </c>
      <c r="K1400" s="903" t="s">
        <v>1516</v>
      </c>
      <c r="L1400" s="1137"/>
      <c r="M1400" s="1138">
        <f t="shared" si="102"/>
        <v>0</v>
      </c>
      <c r="N1400" s="893">
        <f t="shared" si="106"/>
        <v>0</v>
      </c>
      <c r="O1400" s="905"/>
      <c r="Q1400" s="317" t="str">
        <f t="shared" si="103"/>
        <v/>
      </c>
      <c r="R1400" s="317" t="str">
        <f t="shared" si="104"/>
        <v/>
      </c>
      <c r="S1400" s="317" t="str">
        <f t="shared" si="105"/>
        <v/>
      </c>
      <c r="T1400" s="317" t="str">
        <f>GLOBAL_DER_FEV_2023!S1400</f>
        <v/>
      </c>
      <c r="W1400" s="582">
        <v>0</v>
      </c>
      <c r="X1400" s="580"/>
      <c r="Y1400" s="583">
        <f>IF(GLOBAL_DER_FEV_2023!W1400=0,0,IF(GLOBAL_DER_FEV_2023!W1400&gt;0,"c","b"))</f>
        <v>0</v>
      </c>
    </row>
    <row r="1401" spans="1:25" ht="23.25" hidden="1" thickBot="1" x14ac:dyDescent="0.25">
      <c r="A1401" s="317">
        <v>92015</v>
      </c>
      <c r="B1401" s="895">
        <v>92015</v>
      </c>
      <c r="C1401" s="896" t="s">
        <v>596</v>
      </c>
      <c r="D1401" s="906" t="s">
        <v>1327</v>
      </c>
      <c r="E1401" s="907">
        <f>GLOBAL_DER_FEV_2023!E1401</f>
        <v>0</v>
      </c>
      <c r="F1401" s="908">
        <f>GLOBAL_DER_FEV_2023!F1401</f>
        <v>0</v>
      </c>
      <c r="G1401" s="912">
        <f>GLOBAL_DER_FEV_2023!G1401</f>
        <v>0</v>
      </c>
      <c r="H1401" s="901">
        <f>GLOBAL_DER_FEV_2023!H1401</f>
        <v>69.95</v>
      </c>
      <c r="I1401" s="901">
        <f>GLOBAL_DER_FEV_2023!I1401</f>
        <v>69.95</v>
      </c>
      <c r="J1401" s="902">
        <f>GLOBAL_DER_FEV_2023!J1401</f>
        <v>83.99</v>
      </c>
      <c r="K1401" s="903" t="s">
        <v>1516</v>
      </c>
      <c r="L1401" s="1137"/>
      <c r="M1401" s="1138">
        <f t="shared" si="102"/>
        <v>0</v>
      </c>
      <c r="N1401" s="893">
        <f t="shared" si="106"/>
        <v>0</v>
      </c>
      <c r="O1401" s="905"/>
      <c r="Q1401" s="317" t="str">
        <f t="shared" si="103"/>
        <v/>
      </c>
      <c r="R1401" s="317" t="str">
        <f t="shared" si="104"/>
        <v/>
      </c>
      <c r="S1401" s="317" t="str">
        <f t="shared" si="105"/>
        <v/>
      </c>
      <c r="T1401" s="317" t="str">
        <f>GLOBAL_DER_FEV_2023!S1401</f>
        <v/>
      </c>
      <c r="W1401" s="582">
        <v>0</v>
      </c>
      <c r="X1401" s="580"/>
      <c r="Y1401" s="583">
        <f>IF(GLOBAL_DER_FEV_2023!W1401=0,0,IF(GLOBAL_DER_FEV_2023!W1401&gt;0,"c","b"))</f>
        <v>0</v>
      </c>
    </row>
    <row r="1402" spans="1:25" ht="23.25" hidden="1" thickBot="1" x14ac:dyDescent="0.25">
      <c r="A1402" s="317">
        <v>92016</v>
      </c>
      <c r="B1402" s="895">
        <v>92016</v>
      </c>
      <c r="C1402" s="896" t="s">
        <v>596</v>
      </c>
      <c r="D1402" s="906" t="s">
        <v>1328</v>
      </c>
      <c r="E1402" s="907">
        <f>GLOBAL_DER_FEV_2023!E1402</f>
        <v>0</v>
      </c>
      <c r="F1402" s="908">
        <f>GLOBAL_DER_FEV_2023!F1402</f>
        <v>0</v>
      </c>
      <c r="G1402" s="912">
        <f>GLOBAL_DER_FEV_2023!G1402</f>
        <v>0</v>
      </c>
      <c r="H1402" s="901">
        <f>GLOBAL_DER_FEV_2023!H1402</f>
        <v>71.53</v>
      </c>
      <c r="I1402" s="901">
        <f>GLOBAL_DER_FEV_2023!I1402</f>
        <v>71.53</v>
      </c>
      <c r="J1402" s="902">
        <f>GLOBAL_DER_FEV_2023!J1402</f>
        <v>85.89</v>
      </c>
      <c r="K1402" s="903" t="s">
        <v>1516</v>
      </c>
      <c r="L1402" s="1137"/>
      <c r="M1402" s="1138">
        <f t="shared" si="102"/>
        <v>0</v>
      </c>
      <c r="N1402" s="893">
        <f t="shared" si="106"/>
        <v>0</v>
      </c>
      <c r="O1402" s="905"/>
      <c r="Q1402" s="317" t="str">
        <f t="shared" si="103"/>
        <v/>
      </c>
      <c r="R1402" s="317" t="str">
        <f t="shared" si="104"/>
        <v/>
      </c>
      <c r="S1402" s="317" t="str">
        <f t="shared" si="105"/>
        <v/>
      </c>
      <c r="T1402" s="317" t="str">
        <f>GLOBAL_DER_FEV_2023!S1402</f>
        <v/>
      </c>
      <c r="W1402" s="582">
        <v>0</v>
      </c>
      <c r="X1402" s="580"/>
      <c r="Y1402" s="583">
        <f>IF(GLOBAL_DER_FEV_2023!W1402=0,0,IF(GLOBAL_DER_FEV_2023!W1402&gt;0,"c","b"))</f>
        <v>0</v>
      </c>
    </row>
    <row r="1403" spans="1:25" ht="23.25" hidden="1" thickBot="1" x14ac:dyDescent="0.25">
      <c r="A1403" s="317">
        <v>92017</v>
      </c>
      <c r="B1403" s="895">
        <v>92017</v>
      </c>
      <c r="C1403" s="896" t="s">
        <v>596</v>
      </c>
      <c r="D1403" s="906" t="s">
        <v>1329</v>
      </c>
      <c r="E1403" s="907">
        <f>GLOBAL_DER_FEV_2023!E1403</f>
        <v>0</v>
      </c>
      <c r="F1403" s="908">
        <f>GLOBAL_DER_FEV_2023!F1403</f>
        <v>0</v>
      </c>
      <c r="G1403" s="912">
        <f>GLOBAL_DER_FEV_2023!G1403</f>
        <v>0</v>
      </c>
      <c r="H1403" s="901">
        <f>GLOBAL_DER_FEV_2023!H1403</f>
        <v>79.180000000000007</v>
      </c>
      <c r="I1403" s="901">
        <f>GLOBAL_DER_FEV_2023!I1403</f>
        <v>79.180000000000007</v>
      </c>
      <c r="J1403" s="902">
        <f>GLOBAL_DER_FEV_2023!J1403</f>
        <v>95.07</v>
      </c>
      <c r="K1403" s="903" t="s">
        <v>1516</v>
      </c>
      <c r="L1403" s="1137"/>
      <c r="M1403" s="1138">
        <f t="shared" si="102"/>
        <v>0</v>
      </c>
      <c r="N1403" s="893">
        <f t="shared" si="106"/>
        <v>0</v>
      </c>
      <c r="O1403" s="905"/>
      <c r="Q1403" s="317" t="str">
        <f t="shared" si="103"/>
        <v/>
      </c>
      <c r="R1403" s="317" t="str">
        <f t="shared" si="104"/>
        <v/>
      </c>
      <c r="S1403" s="317" t="str">
        <f t="shared" si="105"/>
        <v/>
      </c>
      <c r="T1403" s="317" t="str">
        <f>GLOBAL_DER_FEV_2023!S1403</f>
        <v/>
      </c>
      <c r="W1403" s="582">
        <v>0</v>
      </c>
      <c r="X1403" s="580"/>
      <c r="Y1403" s="583">
        <f>IF(GLOBAL_DER_FEV_2023!W1403=0,0,IF(GLOBAL_DER_FEV_2023!W1403&gt;0,"c","b"))</f>
        <v>0</v>
      </c>
    </row>
    <row r="1404" spans="1:25" ht="23.25" hidden="1" thickBot="1" x14ac:dyDescent="0.25">
      <c r="A1404" s="317">
        <v>92018</v>
      </c>
      <c r="B1404" s="895">
        <v>92018</v>
      </c>
      <c r="C1404" s="896" t="s">
        <v>596</v>
      </c>
      <c r="D1404" s="906" t="s">
        <v>1330</v>
      </c>
      <c r="E1404" s="907">
        <f>GLOBAL_DER_FEV_2023!E1404</f>
        <v>0</v>
      </c>
      <c r="F1404" s="908">
        <f>GLOBAL_DER_FEV_2023!F1404</f>
        <v>0</v>
      </c>
      <c r="G1404" s="912">
        <f>GLOBAL_DER_FEV_2023!G1404</f>
        <v>0</v>
      </c>
      <c r="H1404" s="901">
        <f>GLOBAL_DER_FEV_2023!H1404</f>
        <v>82.46</v>
      </c>
      <c r="I1404" s="901">
        <f>GLOBAL_DER_FEV_2023!I1404</f>
        <v>82.46</v>
      </c>
      <c r="J1404" s="902">
        <f>GLOBAL_DER_FEV_2023!J1404</f>
        <v>99.01</v>
      </c>
      <c r="K1404" s="903" t="s">
        <v>1516</v>
      </c>
      <c r="L1404" s="1137"/>
      <c r="M1404" s="1138">
        <f t="shared" si="102"/>
        <v>0</v>
      </c>
      <c r="N1404" s="893">
        <f t="shared" si="106"/>
        <v>0</v>
      </c>
      <c r="O1404" s="905"/>
      <c r="Q1404" s="317" t="str">
        <f t="shared" si="103"/>
        <v/>
      </c>
      <c r="R1404" s="317" t="str">
        <f t="shared" si="104"/>
        <v/>
      </c>
      <c r="S1404" s="317" t="str">
        <f t="shared" si="105"/>
        <v/>
      </c>
      <c r="T1404" s="317" t="str">
        <f>GLOBAL_DER_FEV_2023!S1404</f>
        <v/>
      </c>
      <c r="W1404" s="582">
        <v>0</v>
      </c>
      <c r="X1404" s="580"/>
      <c r="Y1404" s="583">
        <f>IF(GLOBAL_DER_FEV_2023!W1404=0,0,IF(GLOBAL_DER_FEV_2023!W1404&gt;0,"c","b"))</f>
        <v>0</v>
      </c>
    </row>
    <row r="1405" spans="1:25" ht="23.25" hidden="1" thickBot="1" x14ac:dyDescent="0.25">
      <c r="A1405" s="317">
        <v>92019</v>
      </c>
      <c r="B1405" s="895">
        <v>92019</v>
      </c>
      <c r="C1405" s="896" t="s">
        <v>596</v>
      </c>
      <c r="D1405" s="906" t="s">
        <v>1331</v>
      </c>
      <c r="E1405" s="907">
        <f>GLOBAL_DER_FEV_2023!E1405</f>
        <v>0</v>
      </c>
      <c r="F1405" s="908">
        <f>GLOBAL_DER_FEV_2023!F1405</f>
        <v>0</v>
      </c>
      <c r="G1405" s="912">
        <f>GLOBAL_DER_FEV_2023!G1405</f>
        <v>0</v>
      </c>
      <c r="H1405" s="901">
        <f>GLOBAL_DER_FEV_2023!H1405</f>
        <v>97.04</v>
      </c>
      <c r="I1405" s="901">
        <f>GLOBAL_DER_FEV_2023!I1405</f>
        <v>97.04</v>
      </c>
      <c r="J1405" s="902">
        <f>GLOBAL_DER_FEV_2023!J1405</f>
        <v>116.52</v>
      </c>
      <c r="K1405" s="903" t="s">
        <v>1516</v>
      </c>
      <c r="L1405" s="1137"/>
      <c r="M1405" s="1138">
        <f t="shared" si="102"/>
        <v>0</v>
      </c>
      <c r="N1405" s="893">
        <f t="shared" si="106"/>
        <v>0</v>
      </c>
      <c r="O1405" s="905"/>
      <c r="Q1405" s="317" t="str">
        <f t="shared" si="103"/>
        <v/>
      </c>
      <c r="R1405" s="317" t="str">
        <f t="shared" si="104"/>
        <v/>
      </c>
      <c r="S1405" s="317" t="str">
        <f t="shared" si="105"/>
        <v/>
      </c>
      <c r="T1405" s="317" t="str">
        <f>GLOBAL_DER_FEV_2023!S1405</f>
        <v/>
      </c>
      <c r="W1405" s="582">
        <v>0</v>
      </c>
      <c r="X1405" s="580"/>
      <c r="Y1405" s="583">
        <f>IF(GLOBAL_DER_FEV_2023!W1405=0,0,IF(GLOBAL_DER_FEV_2023!W1405&gt;0,"c","b"))</f>
        <v>0</v>
      </c>
    </row>
    <row r="1406" spans="1:25" ht="23.25" hidden="1" thickBot="1" x14ac:dyDescent="0.25">
      <c r="A1406" s="317">
        <v>92020</v>
      </c>
      <c r="B1406" s="895">
        <v>92020</v>
      </c>
      <c r="C1406" s="896" t="s">
        <v>596</v>
      </c>
      <c r="D1406" s="906" t="s">
        <v>1332</v>
      </c>
      <c r="E1406" s="907">
        <f>GLOBAL_DER_FEV_2023!E1406</f>
        <v>0</v>
      </c>
      <c r="F1406" s="908">
        <f>GLOBAL_DER_FEV_2023!F1406</f>
        <v>0</v>
      </c>
      <c r="G1406" s="912">
        <f>GLOBAL_DER_FEV_2023!G1406</f>
        <v>0</v>
      </c>
      <c r="H1406" s="901">
        <f>GLOBAL_DER_FEV_2023!H1406</f>
        <v>121.86</v>
      </c>
      <c r="I1406" s="901">
        <f>GLOBAL_DER_FEV_2023!I1406</f>
        <v>121.86</v>
      </c>
      <c r="J1406" s="902">
        <f>GLOBAL_DER_FEV_2023!J1406</f>
        <v>146.32</v>
      </c>
      <c r="K1406" s="903" t="s">
        <v>1516</v>
      </c>
      <c r="L1406" s="1137"/>
      <c r="M1406" s="1138">
        <f t="shared" si="102"/>
        <v>0</v>
      </c>
      <c r="N1406" s="893">
        <f t="shared" si="106"/>
        <v>0</v>
      </c>
      <c r="O1406" s="905"/>
      <c r="Q1406" s="317" t="str">
        <f t="shared" si="103"/>
        <v/>
      </c>
      <c r="R1406" s="317" t="str">
        <f t="shared" si="104"/>
        <v/>
      </c>
      <c r="S1406" s="317" t="str">
        <f t="shared" si="105"/>
        <v/>
      </c>
      <c r="T1406" s="317" t="str">
        <f>GLOBAL_DER_FEV_2023!S1406</f>
        <v/>
      </c>
      <c r="W1406" s="582">
        <v>0</v>
      </c>
      <c r="X1406" s="580"/>
      <c r="Y1406" s="583">
        <f>IF(GLOBAL_DER_FEV_2023!W1406=0,0,IF(GLOBAL_DER_FEV_2023!W1406&gt;0,"c","b"))</f>
        <v>0</v>
      </c>
    </row>
    <row r="1407" spans="1:25" ht="23.25" hidden="1" thickBot="1" x14ac:dyDescent="0.25">
      <c r="A1407" s="317">
        <v>92021</v>
      </c>
      <c r="B1407" s="895">
        <v>92021</v>
      </c>
      <c r="C1407" s="896" t="s">
        <v>596</v>
      </c>
      <c r="D1407" s="906" t="s">
        <v>1333</v>
      </c>
      <c r="E1407" s="907">
        <f>GLOBAL_DER_FEV_2023!E1407</f>
        <v>0</v>
      </c>
      <c r="F1407" s="908">
        <f>GLOBAL_DER_FEV_2023!F1407</f>
        <v>0</v>
      </c>
      <c r="G1407" s="912">
        <f>GLOBAL_DER_FEV_2023!G1407</f>
        <v>0</v>
      </c>
      <c r="H1407" s="901">
        <f>GLOBAL_DER_FEV_2023!H1407</f>
        <v>136.44</v>
      </c>
      <c r="I1407" s="901">
        <f>GLOBAL_DER_FEV_2023!I1407</f>
        <v>136.44</v>
      </c>
      <c r="J1407" s="902">
        <f>GLOBAL_DER_FEV_2023!J1407</f>
        <v>163.82</v>
      </c>
      <c r="K1407" s="903" t="s">
        <v>1516</v>
      </c>
      <c r="L1407" s="1137"/>
      <c r="M1407" s="1138">
        <f t="shared" si="102"/>
        <v>0</v>
      </c>
      <c r="N1407" s="893">
        <f t="shared" si="106"/>
        <v>0</v>
      </c>
      <c r="O1407" s="905"/>
      <c r="Q1407" s="317" t="str">
        <f t="shared" si="103"/>
        <v/>
      </c>
      <c r="R1407" s="317" t="str">
        <f t="shared" si="104"/>
        <v/>
      </c>
      <c r="S1407" s="317" t="str">
        <f t="shared" si="105"/>
        <v/>
      </c>
      <c r="T1407" s="317" t="str">
        <f>GLOBAL_DER_FEV_2023!S1407</f>
        <v/>
      </c>
      <c r="W1407" s="582">
        <v>0</v>
      </c>
      <c r="X1407" s="580"/>
      <c r="Y1407" s="583">
        <f>IF(GLOBAL_DER_FEV_2023!W1407=0,0,IF(GLOBAL_DER_FEV_2023!W1407&gt;0,"c","b"))</f>
        <v>0</v>
      </c>
    </row>
    <row r="1408" spans="1:25" ht="23.25" hidden="1" thickBot="1" x14ac:dyDescent="0.25">
      <c r="A1408" s="317">
        <v>93141</v>
      </c>
      <c r="B1408" s="895">
        <v>93141</v>
      </c>
      <c r="C1408" s="896" t="s">
        <v>596</v>
      </c>
      <c r="D1408" s="906" t="s">
        <v>1334</v>
      </c>
      <c r="E1408" s="907">
        <f>GLOBAL_DER_FEV_2023!E1408</f>
        <v>0</v>
      </c>
      <c r="F1408" s="908">
        <f>GLOBAL_DER_FEV_2023!F1408</f>
        <v>0</v>
      </c>
      <c r="G1408" s="912">
        <f>GLOBAL_DER_FEV_2023!G1408</f>
        <v>0</v>
      </c>
      <c r="H1408" s="901">
        <f>GLOBAL_DER_FEV_2023!H1408</f>
        <v>200.2</v>
      </c>
      <c r="I1408" s="901">
        <f>GLOBAL_DER_FEV_2023!I1408</f>
        <v>200.2</v>
      </c>
      <c r="J1408" s="902">
        <f>GLOBAL_DER_FEV_2023!J1408</f>
        <v>240.38</v>
      </c>
      <c r="K1408" s="903" t="s">
        <v>1516</v>
      </c>
      <c r="L1408" s="1137"/>
      <c r="M1408" s="1138">
        <f t="shared" si="102"/>
        <v>0</v>
      </c>
      <c r="N1408" s="893">
        <f t="shared" si="106"/>
        <v>0</v>
      </c>
      <c r="O1408" s="905"/>
      <c r="Q1408" s="317" t="str">
        <f t="shared" si="103"/>
        <v/>
      </c>
      <c r="R1408" s="317" t="str">
        <f t="shared" si="104"/>
        <v/>
      </c>
      <c r="S1408" s="317" t="str">
        <f t="shared" si="105"/>
        <v/>
      </c>
      <c r="T1408" s="317" t="str">
        <f>GLOBAL_DER_FEV_2023!S1408</f>
        <v/>
      </c>
      <c r="W1408" s="582">
        <v>0</v>
      </c>
      <c r="X1408" s="580"/>
      <c r="Y1408" s="583">
        <f>IF(GLOBAL_DER_FEV_2023!W1408=0,0,IF(GLOBAL_DER_FEV_2023!W1408&gt;0,"c","b"))</f>
        <v>0</v>
      </c>
    </row>
    <row r="1409" spans="1:25" ht="23.25" hidden="1" thickBot="1" x14ac:dyDescent="0.25">
      <c r="A1409" s="317">
        <v>93142</v>
      </c>
      <c r="B1409" s="895">
        <v>93142</v>
      </c>
      <c r="C1409" s="896" t="s">
        <v>596</v>
      </c>
      <c r="D1409" s="906" t="s">
        <v>1335</v>
      </c>
      <c r="E1409" s="907">
        <f>GLOBAL_DER_FEV_2023!E1409</f>
        <v>0</v>
      </c>
      <c r="F1409" s="908">
        <f>GLOBAL_DER_FEV_2023!F1409</f>
        <v>0</v>
      </c>
      <c r="G1409" s="912">
        <f>GLOBAL_DER_FEV_2023!G1409</f>
        <v>0</v>
      </c>
      <c r="H1409" s="901">
        <f>GLOBAL_DER_FEV_2023!H1409</f>
        <v>224.18</v>
      </c>
      <c r="I1409" s="901">
        <f>GLOBAL_DER_FEV_2023!I1409</f>
        <v>224.18</v>
      </c>
      <c r="J1409" s="902">
        <f>GLOBAL_DER_FEV_2023!J1409</f>
        <v>269.17</v>
      </c>
      <c r="K1409" s="903" t="s">
        <v>1516</v>
      </c>
      <c r="L1409" s="1137"/>
      <c r="M1409" s="1138">
        <f t="shared" si="102"/>
        <v>0</v>
      </c>
      <c r="N1409" s="893">
        <f t="shared" si="106"/>
        <v>0</v>
      </c>
      <c r="O1409" s="905"/>
      <c r="Q1409" s="317" t="str">
        <f t="shared" si="103"/>
        <v/>
      </c>
      <c r="R1409" s="317" t="str">
        <f t="shared" si="104"/>
        <v/>
      </c>
      <c r="S1409" s="317" t="str">
        <f t="shared" si="105"/>
        <v/>
      </c>
      <c r="T1409" s="317" t="str">
        <f>GLOBAL_DER_FEV_2023!S1409</f>
        <v/>
      </c>
      <c r="W1409" s="582">
        <v>0</v>
      </c>
      <c r="X1409" s="580"/>
      <c r="Y1409" s="583">
        <f>IF(GLOBAL_DER_FEV_2023!W1409=0,0,IF(GLOBAL_DER_FEV_2023!W1409&gt;0,"c","b"))</f>
        <v>0</v>
      </c>
    </row>
    <row r="1410" spans="1:25" ht="23.25" hidden="1" thickBot="1" x14ac:dyDescent="0.25">
      <c r="A1410" s="317">
        <v>93143</v>
      </c>
      <c r="B1410" s="895">
        <v>93143</v>
      </c>
      <c r="C1410" s="896" t="s">
        <v>596</v>
      </c>
      <c r="D1410" s="906" t="s">
        <v>1336</v>
      </c>
      <c r="E1410" s="907">
        <f>GLOBAL_DER_FEV_2023!E1410</f>
        <v>0</v>
      </c>
      <c r="F1410" s="908">
        <f>GLOBAL_DER_FEV_2023!F1410</f>
        <v>0</v>
      </c>
      <c r="G1410" s="912">
        <f>GLOBAL_DER_FEV_2023!G1410</f>
        <v>0</v>
      </c>
      <c r="H1410" s="901">
        <f>GLOBAL_DER_FEV_2023!H1410</f>
        <v>203.26</v>
      </c>
      <c r="I1410" s="901">
        <f>GLOBAL_DER_FEV_2023!I1410</f>
        <v>203.26</v>
      </c>
      <c r="J1410" s="902">
        <f>GLOBAL_DER_FEV_2023!J1410</f>
        <v>244.05</v>
      </c>
      <c r="K1410" s="903" t="s">
        <v>1516</v>
      </c>
      <c r="L1410" s="1137"/>
      <c r="M1410" s="1138">
        <f t="shared" si="102"/>
        <v>0</v>
      </c>
      <c r="N1410" s="893">
        <f t="shared" si="106"/>
        <v>0</v>
      </c>
      <c r="O1410" s="905"/>
      <c r="Q1410" s="317" t="str">
        <f t="shared" si="103"/>
        <v/>
      </c>
      <c r="R1410" s="317" t="str">
        <f t="shared" si="104"/>
        <v/>
      </c>
      <c r="S1410" s="317" t="str">
        <f t="shared" si="105"/>
        <v/>
      </c>
      <c r="T1410" s="317" t="str">
        <f>GLOBAL_DER_FEV_2023!S1410</f>
        <v/>
      </c>
      <c r="W1410" s="582">
        <v>0</v>
      </c>
      <c r="X1410" s="580"/>
      <c r="Y1410" s="583">
        <f>IF(GLOBAL_DER_FEV_2023!W1410=0,0,IF(GLOBAL_DER_FEV_2023!W1410&gt;0,"c","b"))</f>
        <v>0</v>
      </c>
    </row>
    <row r="1411" spans="1:25" ht="34.5" hidden="1" thickBot="1" x14ac:dyDescent="0.25">
      <c r="A1411" s="317">
        <v>93144</v>
      </c>
      <c r="B1411" s="895">
        <v>93144</v>
      </c>
      <c r="C1411" s="896" t="s">
        <v>596</v>
      </c>
      <c r="D1411" s="906" t="s">
        <v>1337</v>
      </c>
      <c r="E1411" s="907">
        <f>GLOBAL_DER_FEV_2023!E1411</f>
        <v>0</v>
      </c>
      <c r="F1411" s="908">
        <f>GLOBAL_DER_FEV_2023!F1411</f>
        <v>0</v>
      </c>
      <c r="G1411" s="912">
        <f>GLOBAL_DER_FEV_2023!G1411</f>
        <v>0</v>
      </c>
      <c r="H1411" s="901">
        <f>GLOBAL_DER_FEV_2023!H1411</f>
        <v>258.51</v>
      </c>
      <c r="I1411" s="901">
        <f>GLOBAL_DER_FEV_2023!I1411</f>
        <v>258.51</v>
      </c>
      <c r="J1411" s="902">
        <f>GLOBAL_DER_FEV_2023!J1411</f>
        <v>310.39</v>
      </c>
      <c r="K1411" s="903" t="s">
        <v>1516</v>
      </c>
      <c r="L1411" s="1137"/>
      <c r="M1411" s="1138">
        <f t="shared" si="102"/>
        <v>0</v>
      </c>
      <c r="N1411" s="893">
        <f t="shared" si="106"/>
        <v>0</v>
      </c>
      <c r="O1411" s="905"/>
      <c r="Q1411" s="317" t="str">
        <f t="shared" si="103"/>
        <v/>
      </c>
      <c r="R1411" s="317" t="str">
        <f t="shared" si="104"/>
        <v/>
      </c>
      <c r="S1411" s="317" t="str">
        <f t="shared" si="105"/>
        <v/>
      </c>
      <c r="T1411" s="317" t="str">
        <f>GLOBAL_DER_FEV_2023!S1411</f>
        <v/>
      </c>
      <c r="W1411" s="582">
        <v>0</v>
      </c>
      <c r="X1411" s="580"/>
      <c r="Y1411" s="583">
        <f>IF(GLOBAL_DER_FEV_2023!W1411=0,0,IF(GLOBAL_DER_FEV_2023!W1411&gt;0,"c","b"))</f>
        <v>0</v>
      </c>
    </row>
    <row r="1412" spans="1:25" ht="34.5" hidden="1" thickBot="1" x14ac:dyDescent="0.25">
      <c r="A1412" s="317">
        <v>93145</v>
      </c>
      <c r="B1412" s="895">
        <v>93145</v>
      </c>
      <c r="C1412" s="896" t="s">
        <v>596</v>
      </c>
      <c r="D1412" s="906" t="s">
        <v>1338</v>
      </c>
      <c r="E1412" s="907">
        <f>GLOBAL_DER_FEV_2023!E1412</f>
        <v>0</v>
      </c>
      <c r="F1412" s="908">
        <f>GLOBAL_DER_FEV_2023!F1412</f>
        <v>0</v>
      </c>
      <c r="G1412" s="912">
        <f>GLOBAL_DER_FEV_2023!G1412</f>
        <v>0</v>
      </c>
      <c r="H1412" s="901">
        <f>GLOBAL_DER_FEV_2023!H1412</f>
        <v>243.22</v>
      </c>
      <c r="I1412" s="901">
        <f>GLOBAL_DER_FEV_2023!I1412</f>
        <v>243.22</v>
      </c>
      <c r="J1412" s="902">
        <f>GLOBAL_DER_FEV_2023!J1412</f>
        <v>292.02999999999997</v>
      </c>
      <c r="K1412" s="903" t="s">
        <v>1516</v>
      </c>
      <c r="L1412" s="1137"/>
      <c r="M1412" s="1138">
        <f t="shared" si="102"/>
        <v>0</v>
      </c>
      <c r="N1412" s="893">
        <f t="shared" si="106"/>
        <v>0</v>
      </c>
      <c r="O1412" s="905"/>
      <c r="Q1412" s="317" t="str">
        <f t="shared" si="103"/>
        <v/>
      </c>
      <c r="R1412" s="317" t="str">
        <f t="shared" si="104"/>
        <v/>
      </c>
      <c r="S1412" s="317" t="str">
        <f t="shared" si="105"/>
        <v/>
      </c>
      <c r="T1412" s="317" t="str">
        <f>GLOBAL_DER_FEV_2023!S1412</f>
        <v/>
      </c>
      <c r="W1412" s="582">
        <v>0</v>
      </c>
      <c r="X1412" s="580"/>
      <c r="Y1412" s="583">
        <f>IF(GLOBAL_DER_FEV_2023!W1412=0,0,IF(GLOBAL_DER_FEV_2023!W1412&gt;0,"c","b"))</f>
        <v>0</v>
      </c>
    </row>
    <row r="1413" spans="1:25" ht="34.5" hidden="1" thickBot="1" x14ac:dyDescent="0.25">
      <c r="A1413" s="317">
        <v>93146</v>
      </c>
      <c r="B1413" s="895">
        <v>93146</v>
      </c>
      <c r="C1413" s="896" t="s">
        <v>596</v>
      </c>
      <c r="D1413" s="906" t="s">
        <v>1339</v>
      </c>
      <c r="E1413" s="907">
        <f>GLOBAL_DER_FEV_2023!E1413</f>
        <v>0</v>
      </c>
      <c r="F1413" s="908">
        <f>GLOBAL_DER_FEV_2023!F1413</f>
        <v>0</v>
      </c>
      <c r="G1413" s="912">
        <f>GLOBAL_DER_FEV_2023!G1413</f>
        <v>0</v>
      </c>
      <c r="H1413" s="901">
        <f>GLOBAL_DER_FEV_2023!H1413</f>
        <v>262.87</v>
      </c>
      <c r="I1413" s="901">
        <f>GLOBAL_DER_FEV_2023!I1413</f>
        <v>262.87</v>
      </c>
      <c r="J1413" s="902">
        <f>GLOBAL_DER_FEV_2023!J1413</f>
        <v>315.63</v>
      </c>
      <c r="K1413" s="903" t="s">
        <v>1516</v>
      </c>
      <c r="L1413" s="1137"/>
      <c r="M1413" s="1138">
        <f t="shared" si="102"/>
        <v>0</v>
      </c>
      <c r="N1413" s="893">
        <f t="shared" si="106"/>
        <v>0</v>
      </c>
      <c r="O1413" s="905"/>
      <c r="Q1413" s="317" t="str">
        <f t="shared" si="103"/>
        <v/>
      </c>
      <c r="R1413" s="317" t="str">
        <f t="shared" si="104"/>
        <v/>
      </c>
      <c r="S1413" s="317" t="str">
        <f t="shared" si="105"/>
        <v/>
      </c>
      <c r="T1413" s="317" t="str">
        <f>GLOBAL_DER_FEV_2023!S1413</f>
        <v/>
      </c>
      <c r="W1413" s="582">
        <v>0</v>
      </c>
      <c r="X1413" s="580"/>
      <c r="Y1413" s="583">
        <f>IF(GLOBAL_DER_FEV_2023!W1413=0,0,IF(GLOBAL_DER_FEV_2023!W1413&gt;0,"c","b"))</f>
        <v>0</v>
      </c>
    </row>
    <row r="1414" spans="1:25" ht="34.5" hidden="1" thickBot="1" x14ac:dyDescent="0.25">
      <c r="A1414" s="317">
        <v>93147</v>
      </c>
      <c r="B1414" s="895">
        <v>93147</v>
      </c>
      <c r="C1414" s="896" t="s">
        <v>596</v>
      </c>
      <c r="D1414" s="906" t="s">
        <v>1340</v>
      </c>
      <c r="E1414" s="907">
        <f>GLOBAL_DER_FEV_2023!E1414</f>
        <v>0</v>
      </c>
      <c r="F1414" s="908">
        <f>GLOBAL_DER_FEV_2023!F1414</f>
        <v>0</v>
      </c>
      <c r="G1414" s="912">
        <f>GLOBAL_DER_FEV_2023!G1414</f>
        <v>0</v>
      </c>
      <c r="H1414" s="901">
        <f>GLOBAL_DER_FEV_2023!H1414</f>
        <v>299.76</v>
      </c>
      <c r="I1414" s="901">
        <f>GLOBAL_DER_FEV_2023!I1414</f>
        <v>299.76</v>
      </c>
      <c r="J1414" s="902">
        <f>GLOBAL_DER_FEV_2023!J1414</f>
        <v>359.92</v>
      </c>
      <c r="K1414" s="903" t="s">
        <v>1516</v>
      </c>
      <c r="L1414" s="1137"/>
      <c r="M1414" s="1138">
        <f t="shared" si="102"/>
        <v>0</v>
      </c>
      <c r="N1414" s="893">
        <f t="shared" si="106"/>
        <v>0</v>
      </c>
      <c r="O1414" s="905"/>
      <c r="Q1414" s="317" t="str">
        <f t="shared" si="103"/>
        <v/>
      </c>
      <c r="R1414" s="317" t="str">
        <f t="shared" si="104"/>
        <v/>
      </c>
      <c r="S1414" s="317" t="str">
        <f t="shared" si="105"/>
        <v/>
      </c>
      <c r="T1414" s="317" t="str">
        <f>GLOBAL_DER_FEV_2023!S1414</f>
        <v/>
      </c>
      <c r="W1414" s="582">
        <v>0</v>
      </c>
      <c r="X1414" s="580"/>
      <c r="Y1414" s="583">
        <f>IF(GLOBAL_DER_FEV_2023!W1414=0,0,IF(GLOBAL_DER_FEV_2023!W1414&gt;0,"c","b"))</f>
        <v>0</v>
      </c>
    </row>
    <row r="1415" spans="1:25" ht="34.5" hidden="1" thickBot="1" x14ac:dyDescent="0.25">
      <c r="A1415" s="317">
        <v>93128</v>
      </c>
      <c r="B1415" s="895">
        <v>93128</v>
      </c>
      <c r="C1415" s="896" t="s">
        <v>596</v>
      </c>
      <c r="D1415" s="906" t="s">
        <v>1341</v>
      </c>
      <c r="E1415" s="907">
        <f>GLOBAL_DER_FEV_2023!E1415</f>
        <v>0</v>
      </c>
      <c r="F1415" s="908">
        <f>GLOBAL_DER_FEV_2023!F1415</f>
        <v>0</v>
      </c>
      <c r="G1415" s="912">
        <f>GLOBAL_DER_FEV_2023!G1415</f>
        <v>0</v>
      </c>
      <c r="H1415" s="901">
        <f>GLOBAL_DER_FEV_2023!H1415</f>
        <v>165.8</v>
      </c>
      <c r="I1415" s="901">
        <f>GLOBAL_DER_FEV_2023!I1415</f>
        <v>165.8</v>
      </c>
      <c r="J1415" s="902">
        <f>GLOBAL_DER_FEV_2023!J1415</f>
        <v>199.08</v>
      </c>
      <c r="K1415" s="903" t="s">
        <v>1516</v>
      </c>
      <c r="L1415" s="1137"/>
      <c r="M1415" s="1138">
        <f t="shared" si="102"/>
        <v>0</v>
      </c>
      <c r="N1415" s="893">
        <f t="shared" si="106"/>
        <v>0</v>
      </c>
      <c r="O1415" s="905"/>
      <c r="Q1415" s="317" t="str">
        <f t="shared" si="103"/>
        <v/>
      </c>
      <c r="R1415" s="317" t="str">
        <f t="shared" si="104"/>
        <v/>
      </c>
      <c r="S1415" s="317" t="str">
        <f t="shared" si="105"/>
        <v/>
      </c>
      <c r="T1415" s="317" t="str">
        <f>GLOBAL_DER_FEV_2023!S1415</f>
        <v/>
      </c>
      <c r="W1415" s="582">
        <v>0</v>
      </c>
      <c r="X1415" s="580"/>
      <c r="Y1415" s="583">
        <f>IF(GLOBAL_DER_FEV_2023!W1415=0,0,IF(GLOBAL_DER_FEV_2023!W1415&gt;0,"c","b"))</f>
        <v>0</v>
      </c>
    </row>
    <row r="1416" spans="1:25" ht="34.5" hidden="1" thickBot="1" x14ac:dyDescent="0.25">
      <c r="A1416" s="317">
        <v>93137</v>
      </c>
      <c r="B1416" s="895">
        <v>93137</v>
      </c>
      <c r="C1416" s="896" t="s">
        <v>596</v>
      </c>
      <c r="D1416" s="906" t="s">
        <v>1342</v>
      </c>
      <c r="E1416" s="907">
        <f>GLOBAL_DER_FEV_2023!E1416</f>
        <v>0</v>
      </c>
      <c r="F1416" s="908">
        <f>GLOBAL_DER_FEV_2023!F1416</f>
        <v>0</v>
      </c>
      <c r="G1416" s="912">
        <f>GLOBAL_DER_FEV_2023!G1416</f>
        <v>0</v>
      </c>
      <c r="H1416" s="901">
        <f>GLOBAL_DER_FEV_2023!H1416</f>
        <v>196.5</v>
      </c>
      <c r="I1416" s="901">
        <f>GLOBAL_DER_FEV_2023!I1416</f>
        <v>196.5</v>
      </c>
      <c r="J1416" s="902">
        <f>GLOBAL_DER_FEV_2023!J1416</f>
        <v>235.94</v>
      </c>
      <c r="K1416" s="903" t="s">
        <v>1516</v>
      </c>
      <c r="L1416" s="1137"/>
      <c r="M1416" s="1138">
        <f t="shared" si="102"/>
        <v>0</v>
      </c>
      <c r="N1416" s="893">
        <f t="shared" si="106"/>
        <v>0</v>
      </c>
      <c r="O1416" s="905"/>
      <c r="Q1416" s="317" t="str">
        <f t="shared" si="103"/>
        <v/>
      </c>
      <c r="R1416" s="317" t="str">
        <f t="shared" si="104"/>
        <v/>
      </c>
      <c r="S1416" s="317" t="str">
        <f t="shared" si="105"/>
        <v/>
      </c>
      <c r="T1416" s="317" t="str">
        <f>GLOBAL_DER_FEV_2023!S1416</f>
        <v/>
      </c>
      <c r="W1416" s="582">
        <v>0</v>
      </c>
      <c r="X1416" s="580"/>
      <c r="Y1416" s="583">
        <f>IF(GLOBAL_DER_FEV_2023!W1416=0,0,IF(GLOBAL_DER_FEV_2023!W1416&gt;0,"c","b"))</f>
        <v>0</v>
      </c>
    </row>
    <row r="1417" spans="1:25" ht="34.5" hidden="1" thickBot="1" x14ac:dyDescent="0.25">
      <c r="A1417" s="317">
        <v>93138</v>
      </c>
      <c r="B1417" s="895">
        <v>93138</v>
      </c>
      <c r="C1417" s="896" t="s">
        <v>596</v>
      </c>
      <c r="D1417" s="906" t="s">
        <v>1343</v>
      </c>
      <c r="E1417" s="907">
        <f>GLOBAL_DER_FEV_2023!E1417</f>
        <v>0</v>
      </c>
      <c r="F1417" s="908">
        <f>GLOBAL_DER_FEV_2023!F1417</f>
        <v>0</v>
      </c>
      <c r="G1417" s="912">
        <f>GLOBAL_DER_FEV_2023!G1417</f>
        <v>0</v>
      </c>
      <c r="H1417" s="901">
        <f>GLOBAL_DER_FEV_2023!H1417</f>
        <v>185.46</v>
      </c>
      <c r="I1417" s="901">
        <f>GLOBAL_DER_FEV_2023!I1417</f>
        <v>185.46</v>
      </c>
      <c r="J1417" s="902">
        <f>GLOBAL_DER_FEV_2023!J1417</f>
        <v>222.68</v>
      </c>
      <c r="K1417" s="903" t="s">
        <v>1516</v>
      </c>
      <c r="L1417" s="1137"/>
      <c r="M1417" s="1138">
        <f t="shared" si="102"/>
        <v>0</v>
      </c>
      <c r="N1417" s="893">
        <f t="shared" si="106"/>
        <v>0</v>
      </c>
      <c r="O1417" s="905"/>
      <c r="Q1417" s="317" t="str">
        <f t="shared" si="103"/>
        <v/>
      </c>
      <c r="R1417" s="317" t="str">
        <f t="shared" si="104"/>
        <v/>
      </c>
      <c r="S1417" s="317" t="str">
        <f t="shared" si="105"/>
        <v/>
      </c>
      <c r="T1417" s="317" t="str">
        <f>GLOBAL_DER_FEV_2023!S1417</f>
        <v/>
      </c>
      <c r="W1417" s="582">
        <v>0</v>
      </c>
      <c r="X1417" s="580"/>
      <c r="Y1417" s="583">
        <f>IF(GLOBAL_DER_FEV_2023!W1417=0,0,IF(GLOBAL_DER_FEV_2023!W1417&gt;0,"c","b"))</f>
        <v>0</v>
      </c>
    </row>
    <row r="1418" spans="1:25" ht="34.5" hidden="1" thickBot="1" x14ac:dyDescent="0.25">
      <c r="A1418" s="317">
        <v>93139</v>
      </c>
      <c r="B1418" s="895">
        <v>93139</v>
      </c>
      <c r="C1418" s="896" t="s">
        <v>596</v>
      </c>
      <c r="D1418" s="906" t="s">
        <v>1344</v>
      </c>
      <c r="E1418" s="907">
        <f>GLOBAL_DER_FEV_2023!E1418</f>
        <v>0</v>
      </c>
      <c r="F1418" s="908">
        <f>GLOBAL_DER_FEV_2023!F1418</f>
        <v>0</v>
      </c>
      <c r="G1418" s="912">
        <f>GLOBAL_DER_FEV_2023!G1418</f>
        <v>0</v>
      </c>
      <c r="H1418" s="901">
        <f>GLOBAL_DER_FEV_2023!H1418</f>
        <v>235.76</v>
      </c>
      <c r="I1418" s="901">
        <f>GLOBAL_DER_FEV_2023!I1418</f>
        <v>235.76</v>
      </c>
      <c r="J1418" s="902">
        <f>GLOBAL_DER_FEV_2023!J1418</f>
        <v>283.08</v>
      </c>
      <c r="K1418" s="903" t="s">
        <v>1516</v>
      </c>
      <c r="L1418" s="1137"/>
      <c r="M1418" s="1138">
        <f t="shared" si="102"/>
        <v>0</v>
      </c>
      <c r="N1418" s="893">
        <f t="shared" si="106"/>
        <v>0</v>
      </c>
      <c r="O1418" s="905"/>
      <c r="Q1418" s="317" t="str">
        <f t="shared" si="103"/>
        <v/>
      </c>
      <c r="R1418" s="317" t="str">
        <f t="shared" si="104"/>
        <v/>
      </c>
      <c r="S1418" s="317" t="str">
        <f t="shared" si="105"/>
        <v/>
      </c>
      <c r="T1418" s="317" t="str">
        <f>GLOBAL_DER_FEV_2023!S1418</f>
        <v/>
      </c>
      <c r="W1418" s="582">
        <v>0</v>
      </c>
      <c r="X1418" s="580"/>
      <c r="Y1418" s="583">
        <f>IF(GLOBAL_DER_FEV_2023!W1418=0,0,IF(GLOBAL_DER_FEV_2023!W1418&gt;0,"c","b"))</f>
        <v>0</v>
      </c>
    </row>
    <row r="1419" spans="1:25" ht="34.5" hidden="1" thickBot="1" x14ac:dyDescent="0.25">
      <c r="A1419" s="317">
        <v>93140</v>
      </c>
      <c r="B1419" s="895">
        <v>93140</v>
      </c>
      <c r="C1419" s="896" t="s">
        <v>596</v>
      </c>
      <c r="D1419" s="906" t="s">
        <v>1345</v>
      </c>
      <c r="E1419" s="907">
        <f>GLOBAL_DER_FEV_2023!E1419</f>
        <v>0</v>
      </c>
      <c r="F1419" s="908">
        <f>GLOBAL_DER_FEV_2023!F1419</f>
        <v>0</v>
      </c>
      <c r="G1419" s="912">
        <f>GLOBAL_DER_FEV_2023!G1419</f>
        <v>0</v>
      </c>
      <c r="H1419" s="901">
        <f>GLOBAL_DER_FEV_2023!H1419</f>
        <v>222.29</v>
      </c>
      <c r="I1419" s="901">
        <f>GLOBAL_DER_FEV_2023!I1419</f>
        <v>222.29</v>
      </c>
      <c r="J1419" s="902">
        <f>GLOBAL_DER_FEV_2023!J1419</f>
        <v>266.89999999999998</v>
      </c>
      <c r="K1419" s="903" t="s">
        <v>1516</v>
      </c>
      <c r="L1419" s="1137"/>
      <c r="M1419" s="1138">
        <f t="shared" si="102"/>
        <v>0</v>
      </c>
      <c r="N1419" s="893">
        <f t="shared" si="106"/>
        <v>0</v>
      </c>
      <c r="O1419" s="905"/>
      <c r="Q1419" s="317" t="str">
        <f t="shared" si="103"/>
        <v/>
      </c>
      <c r="R1419" s="317" t="str">
        <f t="shared" si="104"/>
        <v/>
      </c>
      <c r="S1419" s="317" t="str">
        <f t="shared" si="105"/>
        <v/>
      </c>
      <c r="T1419" s="317" t="str">
        <f>GLOBAL_DER_FEV_2023!S1419</f>
        <v/>
      </c>
      <c r="W1419" s="582">
        <v>0</v>
      </c>
      <c r="X1419" s="580"/>
      <c r="Y1419" s="583">
        <f>IF(GLOBAL_DER_FEV_2023!W1419=0,0,IF(GLOBAL_DER_FEV_2023!W1419&gt;0,"c","b"))</f>
        <v>0</v>
      </c>
    </row>
    <row r="1420" spans="1:25" ht="23.25" hidden="1" thickBot="1" x14ac:dyDescent="0.25">
      <c r="A1420" s="317">
        <v>97595</v>
      </c>
      <c r="B1420" s="895">
        <v>97595</v>
      </c>
      <c r="C1420" s="896" t="s">
        <v>596</v>
      </c>
      <c r="D1420" s="906" t="s">
        <v>1346</v>
      </c>
      <c r="E1420" s="907">
        <f>GLOBAL_DER_FEV_2023!E1420</f>
        <v>0</v>
      </c>
      <c r="F1420" s="908">
        <f>GLOBAL_DER_FEV_2023!F1420</f>
        <v>0</v>
      </c>
      <c r="G1420" s="912">
        <f>GLOBAL_DER_FEV_2023!G1420</f>
        <v>0</v>
      </c>
      <c r="H1420" s="901">
        <f>GLOBAL_DER_FEV_2023!H1420</f>
        <v>118.06</v>
      </c>
      <c r="I1420" s="901">
        <f>GLOBAL_DER_FEV_2023!I1420</f>
        <v>118.06</v>
      </c>
      <c r="J1420" s="902">
        <f>GLOBAL_DER_FEV_2023!J1420</f>
        <v>141.75</v>
      </c>
      <c r="K1420" s="903" t="s">
        <v>1516</v>
      </c>
      <c r="L1420" s="1137"/>
      <c r="M1420" s="1138">
        <f t="shared" si="102"/>
        <v>0</v>
      </c>
      <c r="N1420" s="893">
        <f t="shared" si="106"/>
        <v>0</v>
      </c>
      <c r="O1420" s="905"/>
      <c r="Q1420" s="317" t="str">
        <f t="shared" si="103"/>
        <v/>
      </c>
      <c r="R1420" s="317" t="str">
        <f t="shared" si="104"/>
        <v/>
      </c>
      <c r="S1420" s="317" t="str">
        <f t="shared" si="105"/>
        <v/>
      </c>
      <c r="T1420" s="317" t="str">
        <f>GLOBAL_DER_FEV_2023!S1420</f>
        <v/>
      </c>
      <c r="W1420" s="582">
        <v>0</v>
      </c>
      <c r="X1420" s="580"/>
      <c r="Y1420" s="583">
        <f>IF(GLOBAL_DER_FEV_2023!W1420=0,0,IF(GLOBAL_DER_FEV_2023!W1420&gt;0,"c","b"))</f>
        <v>0</v>
      </c>
    </row>
    <row r="1421" spans="1:25" ht="23.25" hidden="1" thickBot="1" x14ac:dyDescent="0.25">
      <c r="A1421" s="317">
        <v>97596</v>
      </c>
      <c r="B1421" s="895">
        <v>97596</v>
      </c>
      <c r="C1421" s="896" t="s">
        <v>596</v>
      </c>
      <c r="D1421" s="906" t="s">
        <v>1347</v>
      </c>
      <c r="E1421" s="907">
        <f>GLOBAL_DER_FEV_2023!E1421</f>
        <v>0</v>
      </c>
      <c r="F1421" s="908">
        <f>GLOBAL_DER_FEV_2023!F1421</f>
        <v>0</v>
      </c>
      <c r="G1421" s="912">
        <f>GLOBAL_DER_FEV_2023!G1421</f>
        <v>0</v>
      </c>
      <c r="H1421" s="901">
        <f>GLOBAL_DER_FEV_2023!H1421</f>
        <v>82.53</v>
      </c>
      <c r="I1421" s="901">
        <f>GLOBAL_DER_FEV_2023!I1421</f>
        <v>82.53</v>
      </c>
      <c r="J1421" s="902">
        <f>GLOBAL_DER_FEV_2023!J1421</f>
        <v>99.09</v>
      </c>
      <c r="K1421" s="903" t="s">
        <v>1516</v>
      </c>
      <c r="L1421" s="1137"/>
      <c r="M1421" s="1138">
        <f t="shared" si="102"/>
        <v>0</v>
      </c>
      <c r="N1421" s="893">
        <f t="shared" si="106"/>
        <v>0</v>
      </c>
      <c r="O1421" s="905"/>
      <c r="Q1421" s="317" t="str">
        <f t="shared" si="103"/>
        <v/>
      </c>
      <c r="R1421" s="317" t="str">
        <f t="shared" si="104"/>
        <v/>
      </c>
      <c r="S1421" s="317" t="str">
        <f t="shared" si="105"/>
        <v/>
      </c>
      <c r="T1421" s="317" t="str">
        <f>GLOBAL_DER_FEV_2023!S1421</f>
        <v/>
      </c>
      <c r="W1421" s="582">
        <v>0</v>
      </c>
      <c r="X1421" s="580"/>
      <c r="Y1421" s="583">
        <f>IF(GLOBAL_DER_FEV_2023!W1421=0,0,IF(GLOBAL_DER_FEV_2023!W1421&gt;0,"c","b"))</f>
        <v>0</v>
      </c>
    </row>
    <row r="1422" spans="1:25" ht="23.25" hidden="1" thickBot="1" x14ac:dyDescent="0.25">
      <c r="A1422" s="317">
        <v>97597</v>
      </c>
      <c r="B1422" s="895">
        <v>97597</v>
      </c>
      <c r="C1422" s="896" t="s">
        <v>596</v>
      </c>
      <c r="D1422" s="906" t="s">
        <v>1348</v>
      </c>
      <c r="E1422" s="907">
        <f>GLOBAL_DER_FEV_2023!E1422</f>
        <v>0</v>
      </c>
      <c r="F1422" s="908">
        <f>GLOBAL_DER_FEV_2023!F1422</f>
        <v>0</v>
      </c>
      <c r="G1422" s="912">
        <f>GLOBAL_DER_FEV_2023!G1422</f>
        <v>0</v>
      </c>
      <c r="H1422" s="901">
        <f>GLOBAL_DER_FEV_2023!H1422</f>
        <v>81.42</v>
      </c>
      <c r="I1422" s="901">
        <f>GLOBAL_DER_FEV_2023!I1422</f>
        <v>81.42</v>
      </c>
      <c r="J1422" s="902">
        <f>GLOBAL_DER_FEV_2023!J1422</f>
        <v>97.76</v>
      </c>
      <c r="K1422" s="903" t="s">
        <v>1516</v>
      </c>
      <c r="L1422" s="1137"/>
      <c r="M1422" s="1138">
        <f t="shared" si="102"/>
        <v>0</v>
      </c>
      <c r="N1422" s="893">
        <f t="shared" si="106"/>
        <v>0</v>
      </c>
      <c r="O1422" s="905"/>
      <c r="Q1422" s="317" t="str">
        <f t="shared" si="103"/>
        <v/>
      </c>
      <c r="R1422" s="317" t="str">
        <f t="shared" si="104"/>
        <v/>
      </c>
      <c r="S1422" s="317" t="str">
        <f t="shared" si="105"/>
        <v/>
      </c>
      <c r="T1422" s="317" t="str">
        <f>GLOBAL_DER_FEV_2023!S1422</f>
        <v/>
      </c>
      <c r="W1422" s="582">
        <v>0</v>
      </c>
      <c r="X1422" s="580"/>
      <c r="Y1422" s="583">
        <f>IF(GLOBAL_DER_FEV_2023!W1422=0,0,IF(GLOBAL_DER_FEV_2023!W1422&gt;0,"c","b"))</f>
        <v>0</v>
      </c>
    </row>
    <row r="1423" spans="1:25" ht="23.25" hidden="1" thickBot="1" x14ac:dyDescent="0.25">
      <c r="A1423" s="317">
        <v>97598</v>
      </c>
      <c r="B1423" s="895">
        <v>97598</v>
      </c>
      <c r="C1423" s="896" t="s">
        <v>596</v>
      </c>
      <c r="D1423" s="906" t="s">
        <v>1349</v>
      </c>
      <c r="E1423" s="907">
        <f>GLOBAL_DER_FEV_2023!E1423</f>
        <v>0</v>
      </c>
      <c r="F1423" s="908">
        <f>GLOBAL_DER_FEV_2023!F1423</f>
        <v>0</v>
      </c>
      <c r="G1423" s="912">
        <f>GLOBAL_DER_FEV_2023!G1423</f>
        <v>0</v>
      </c>
      <c r="H1423" s="901">
        <f>GLOBAL_DER_FEV_2023!H1423</f>
        <v>76.88</v>
      </c>
      <c r="I1423" s="901">
        <f>GLOBAL_DER_FEV_2023!I1423</f>
        <v>76.88</v>
      </c>
      <c r="J1423" s="902">
        <f>GLOBAL_DER_FEV_2023!J1423</f>
        <v>92.31</v>
      </c>
      <c r="K1423" s="903" t="s">
        <v>1516</v>
      </c>
      <c r="L1423" s="1137"/>
      <c r="M1423" s="1138">
        <f t="shared" si="102"/>
        <v>0</v>
      </c>
      <c r="N1423" s="893">
        <f t="shared" si="106"/>
        <v>0</v>
      </c>
      <c r="O1423" s="905"/>
      <c r="Q1423" s="317" t="str">
        <f t="shared" si="103"/>
        <v/>
      </c>
      <c r="R1423" s="317" t="str">
        <f t="shared" si="104"/>
        <v/>
      </c>
      <c r="S1423" s="317" t="str">
        <f t="shared" si="105"/>
        <v/>
      </c>
      <c r="T1423" s="317" t="str">
        <f>GLOBAL_DER_FEV_2023!S1423</f>
        <v/>
      </c>
      <c r="W1423" s="582">
        <v>0</v>
      </c>
      <c r="X1423" s="580"/>
      <c r="Y1423" s="583">
        <f>IF(GLOBAL_DER_FEV_2023!W1423=0,0,IF(GLOBAL_DER_FEV_2023!W1423&gt;0,"c","b"))</f>
        <v>0</v>
      </c>
    </row>
    <row r="1424" spans="1:25" ht="23.25" hidden="1" thickBot="1" x14ac:dyDescent="0.25">
      <c r="A1424" s="317">
        <v>97599</v>
      </c>
      <c r="B1424" s="895">
        <v>97599</v>
      </c>
      <c r="C1424" s="896" t="s">
        <v>596</v>
      </c>
      <c r="D1424" s="906" t="s">
        <v>1350</v>
      </c>
      <c r="E1424" s="907">
        <f>GLOBAL_DER_FEV_2023!E1424</f>
        <v>0</v>
      </c>
      <c r="F1424" s="908">
        <f>GLOBAL_DER_FEV_2023!F1424</f>
        <v>0</v>
      </c>
      <c r="G1424" s="912">
        <f>GLOBAL_DER_FEV_2023!G1424</f>
        <v>0</v>
      </c>
      <c r="H1424" s="901">
        <f>GLOBAL_DER_FEV_2023!H1424</f>
        <v>28.78</v>
      </c>
      <c r="I1424" s="901">
        <f>GLOBAL_DER_FEV_2023!I1424</f>
        <v>28.78</v>
      </c>
      <c r="J1424" s="902">
        <f>GLOBAL_DER_FEV_2023!J1424</f>
        <v>34.56</v>
      </c>
      <c r="K1424" s="903" t="s">
        <v>1516</v>
      </c>
      <c r="L1424" s="1137"/>
      <c r="M1424" s="1138">
        <f t="shared" si="102"/>
        <v>0</v>
      </c>
      <c r="N1424" s="893">
        <f t="shared" si="106"/>
        <v>0</v>
      </c>
      <c r="O1424" s="905"/>
      <c r="Q1424" s="317" t="str">
        <f t="shared" si="103"/>
        <v/>
      </c>
      <c r="R1424" s="317" t="str">
        <f t="shared" si="104"/>
        <v/>
      </c>
      <c r="S1424" s="317" t="str">
        <f t="shared" si="105"/>
        <v/>
      </c>
      <c r="T1424" s="317" t="str">
        <f>GLOBAL_DER_FEV_2023!S1424</f>
        <v/>
      </c>
      <c r="W1424" s="582">
        <v>0</v>
      </c>
      <c r="X1424" s="580"/>
      <c r="Y1424" s="583">
        <f>IF(GLOBAL_DER_FEV_2023!W1424=0,0,IF(GLOBAL_DER_FEV_2023!W1424&gt;0,"c","b"))</f>
        <v>0</v>
      </c>
    </row>
    <row r="1425" spans="1:25" ht="23.25" hidden="1" thickBot="1" x14ac:dyDescent="0.25">
      <c r="A1425" s="317">
        <v>97583</v>
      </c>
      <c r="B1425" s="895">
        <v>97583</v>
      </c>
      <c r="C1425" s="896" t="s">
        <v>596</v>
      </c>
      <c r="D1425" s="906" t="s">
        <v>1351</v>
      </c>
      <c r="E1425" s="907">
        <f>GLOBAL_DER_FEV_2023!E1425</f>
        <v>0</v>
      </c>
      <c r="F1425" s="908">
        <f>GLOBAL_DER_FEV_2023!F1425</f>
        <v>0</v>
      </c>
      <c r="G1425" s="912">
        <f>GLOBAL_DER_FEV_2023!G1425</f>
        <v>0</v>
      </c>
      <c r="H1425" s="901">
        <f>GLOBAL_DER_FEV_2023!H1425</f>
        <v>99.02</v>
      </c>
      <c r="I1425" s="901">
        <f>GLOBAL_DER_FEV_2023!I1425</f>
        <v>99.02</v>
      </c>
      <c r="J1425" s="902">
        <f>GLOBAL_DER_FEV_2023!J1425</f>
        <v>118.89</v>
      </c>
      <c r="K1425" s="903" t="s">
        <v>1516</v>
      </c>
      <c r="L1425" s="1137"/>
      <c r="M1425" s="1138">
        <f t="shared" si="102"/>
        <v>0</v>
      </c>
      <c r="N1425" s="893">
        <f t="shared" si="106"/>
        <v>0</v>
      </c>
      <c r="O1425" s="905"/>
      <c r="Q1425" s="317" t="str">
        <f t="shared" si="103"/>
        <v/>
      </c>
      <c r="R1425" s="317" t="str">
        <f t="shared" si="104"/>
        <v/>
      </c>
      <c r="S1425" s="317" t="str">
        <f t="shared" si="105"/>
        <v/>
      </c>
      <c r="T1425" s="317" t="str">
        <f>GLOBAL_DER_FEV_2023!S1425</f>
        <v/>
      </c>
      <c r="W1425" s="582">
        <v>0</v>
      </c>
      <c r="X1425" s="580"/>
      <c r="Y1425" s="583">
        <f>IF(GLOBAL_DER_FEV_2023!W1425=0,0,IF(GLOBAL_DER_FEV_2023!W1425&gt;0,"c","b"))</f>
        <v>0</v>
      </c>
    </row>
    <row r="1426" spans="1:25" ht="34.5" hidden="1" thickBot="1" x14ac:dyDescent="0.25">
      <c r="A1426" s="317">
        <v>101662</v>
      </c>
      <c r="B1426" s="895">
        <v>101662</v>
      </c>
      <c r="C1426" s="896" t="s">
        <v>596</v>
      </c>
      <c r="D1426" s="906" t="s">
        <v>1352</v>
      </c>
      <c r="E1426" s="907">
        <f>GLOBAL_DER_FEV_2023!E1426</f>
        <v>0</v>
      </c>
      <c r="F1426" s="908">
        <f>GLOBAL_DER_FEV_2023!F1426</f>
        <v>0</v>
      </c>
      <c r="G1426" s="912">
        <f>GLOBAL_DER_FEV_2023!G1426</f>
        <v>0</v>
      </c>
      <c r="H1426" s="901">
        <f>GLOBAL_DER_FEV_2023!H1426</f>
        <v>794.92</v>
      </c>
      <c r="I1426" s="901">
        <f>GLOBAL_DER_FEV_2023!I1426</f>
        <v>794.92</v>
      </c>
      <c r="J1426" s="902">
        <f>GLOBAL_DER_FEV_2023!J1426</f>
        <v>954.46</v>
      </c>
      <c r="K1426" s="903" t="s">
        <v>1516</v>
      </c>
      <c r="L1426" s="1137"/>
      <c r="M1426" s="1138">
        <f t="shared" ref="M1426:M1489" si="107">IF(L1426=0,0,ROUND(J1426,2))</f>
        <v>0</v>
      </c>
      <c r="N1426" s="893">
        <f t="shared" si="106"/>
        <v>0</v>
      </c>
      <c r="O1426" s="905"/>
      <c r="Q1426" s="317" t="str">
        <f t="shared" si="103"/>
        <v/>
      </c>
      <c r="R1426" s="317" t="str">
        <f t="shared" si="104"/>
        <v/>
      </c>
      <c r="S1426" s="317" t="str">
        <f t="shared" si="105"/>
        <v/>
      </c>
      <c r="T1426" s="317" t="str">
        <f>GLOBAL_DER_FEV_2023!S1426</f>
        <v/>
      </c>
      <c r="W1426" s="582">
        <v>0</v>
      </c>
      <c r="X1426" s="580"/>
      <c r="Y1426" s="583">
        <f>IF(GLOBAL_DER_FEV_2023!W1426=0,0,IF(GLOBAL_DER_FEV_2023!W1426&gt;0,"c","b"))</f>
        <v>0</v>
      </c>
    </row>
    <row r="1427" spans="1:25" ht="23.25" hidden="1" thickBot="1" x14ac:dyDescent="0.25">
      <c r="A1427" s="317">
        <v>101652</v>
      </c>
      <c r="B1427" s="895">
        <v>101652</v>
      </c>
      <c r="C1427" s="896" t="s">
        <v>596</v>
      </c>
      <c r="D1427" s="906" t="s">
        <v>1353</v>
      </c>
      <c r="E1427" s="907">
        <f>GLOBAL_DER_FEV_2023!E1427</f>
        <v>0</v>
      </c>
      <c r="F1427" s="908">
        <f>GLOBAL_DER_FEV_2023!F1427</f>
        <v>0</v>
      </c>
      <c r="G1427" s="912">
        <f>GLOBAL_DER_FEV_2023!G1427</f>
        <v>0</v>
      </c>
      <c r="H1427" s="901">
        <f>GLOBAL_DER_FEV_2023!H1427</f>
        <v>576.32000000000005</v>
      </c>
      <c r="I1427" s="901">
        <f>GLOBAL_DER_FEV_2023!I1427</f>
        <v>576.32000000000005</v>
      </c>
      <c r="J1427" s="902">
        <f>GLOBAL_DER_FEV_2023!J1427</f>
        <v>691.99</v>
      </c>
      <c r="K1427" s="903" t="s">
        <v>1516</v>
      </c>
      <c r="L1427" s="1137"/>
      <c r="M1427" s="1138">
        <f t="shared" si="107"/>
        <v>0</v>
      </c>
      <c r="N1427" s="893">
        <f t="shared" si="106"/>
        <v>0</v>
      </c>
      <c r="O1427" s="905"/>
      <c r="Q1427" s="317" t="str">
        <f t="shared" si="103"/>
        <v/>
      </c>
      <c r="R1427" s="317" t="str">
        <f t="shared" si="104"/>
        <v/>
      </c>
      <c r="S1427" s="317" t="str">
        <f t="shared" si="105"/>
        <v/>
      </c>
      <c r="T1427" s="317" t="str">
        <f>GLOBAL_DER_FEV_2023!S1427</f>
        <v/>
      </c>
      <c r="W1427" s="582">
        <v>0</v>
      </c>
      <c r="X1427" s="580"/>
      <c r="Y1427" s="583">
        <f>IF(GLOBAL_DER_FEV_2023!W1427=0,0,IF(GLOBAL_DER_FEV_2023!W1427&gt;0,"c","b"))</f>
        <v>0</v>
      </c>
    </row>
    <row r="1428" spans="1:25" ht="45.75" hidden="1" thickBot="1" x14ac:dyDescent="0.25">
      <c r="A1428" s="317">
        <v>101653</v>
      </c>
      <c r="B1428" s="895">
        <v>101653</v>
      </c>
      <c r="C1428" s="896" t="s">
        <v>596</v>
      </c>
      <c r="D1428" s="906" t="s">
        <v>1354</v>
      </c>
      <c r="E1428" s="907">
        <f>GLOBAL_DER_FEV_2023!E1428</f>
        <v>0</v>
      </c>
      <c r="F1428" s="908">
        <f>GLOBAL_DER_FEV_2023!F1428</f>
        <v>0</v>
      </c>
      <c r="G1428" s="912">
        <f>GLOBAL_DER_FEV_2023!G1428</f>
        <v>0</v>
      </c>
      <c r="H1428" s="901">
        <f>GLOBAL_DER_FEV_2023!H1428</f>
        <v>311.74</v>
      </c>
      <c r="I1428" s="901">
        <f>GLOBAL_DER_FEV_2023!I1428</f>
        <v>311.74</v>
      </c>
      <c r="J1428" s="902">
        <f>GLOBAL_DER_FEV_2023!J1428</f>
        <v>374.31</v>
      </c>
      <c r="K1428" s="903" t="s">
        <v>1516</v>
      </c>
      <c r="L1428" s="1137"/>
      <c r="M1428" s="1138">
        <f t="shared" si="107"/>
        <v>0</v>
      </c>
      <c r="N1428" s="893">
        <f t="shared" si="106"/>
        <v>0</v>
      </c>
      <c r="O1428" s="905"/>
      <c r="Q1428" s="317" t="str">
        <f t="shared" si="103"/>
        <v/>
      </c>
      <c r="R1428" s="317" t="str">
        <f t="shared" si="104"/>
        <v/>
      </c>
      <c r="S1428" s="317" t="str">
        <f t="shared" si="105"/>
        <v/>
      </c>
      <c r="T1428" s="317" t="str">
        <f>GLOBAL_DER_FEV_2023!S1428</f>
        <v/>
      </c>
      <c r="W1428" s="582">
        <v>0</v>
      </c>
      <c r="X1428" s="580"/>
      <c r="Y1428" s="583">
        <f>IF(GLOBAL_DER_FEV_2023!W1428=0,0,IF(GLOBAL_DER_FEV_2023!W1428&gt;0,"c","b"))</f>
        <v>0</v>
      </c>
    </row>
    <row r="1429" spans="1:25" ht="23.25" hidden="1" thickBot="1" x14ac:dyDescent="0.25">
      <c r="A1429" s="317">
        <v>97584</v>
      </c>
      <c r="B1429" s="895">
        <v>97584</v>
      </c>
      <c r="C1429" s="896" t="s">
        <v>596</v>
      </c>
      <c r="D1429" s="906" t="s">
        <v>1355</v>
      </c>
      <c r="E1429" s="907">
        <f>GLOBAL_DER_FEV_2023!E1429</f>
        <v>0</v>
      </c>
      <c r="F1429" s="908">
        <f>GLOBAL_DER_FEV_2023!F1429</f>
        <v>0</v>
      </c>
      <c r="G1429" s="912">
        <f>GLOBAL_DER_FEV_2023!G1429</f>
        <v>0</v>
      </c>
      <c r="H1429" s="901">
        <f>GLOBAL_DER_FEV_2023!H1429</f>
        <v>138.43</v>
      </c>
      <c r="I1429" s="901">
        <f>GLOBAL_DER_FEV_2023!I1429</f>
        <v>138.43</v>
      </c>
      <c r="J1429" s="902">
        <f>GLOBAL_DER_FEV_2023!J1429</f>
        <v>166.21</v>
      </c>
      <c r="K1429" s="903" t="s">
        <v>1516</v>
      </c>
      <c r="L1429" s="1137"/>
      <c r="M1429" s="1138">
        <f t="shared" si="107"/>
        <v>0</v>
      </c>
      <c r="N1429" s="893">
        <f t="shared" si="106"/>
        <v>0</v>
      </c>
      <c r="O1429" s="905"/>
      <c r="Q1429" s="317" t="str">
        <f t="shared" si="103"/>
        <v/>
      </c>
      <c r="R1429" s="317" t="str">
        <f t="shared" si="104"/>
        <v/>
      </c>
      <c r="S1429" s="317" t="str">
        <f t="shared" si="105"/>
        <v/>
      </c>
      <c r="T1429" s="317" t="str">
        <f>GLOBAL_DER_FEV_2023!S1429</f>
        <v/>
      </c>
      <c r="W1429" s="582">
        <v>0</v>
      </c>
      <c r="X1429" s="580"/>
      <c r="Y1429" s="583">
        <f>IF(GLOBAL_DER_FEV_2023!W1429=0,0,IF(GLOBAL_DER_FEV_2023!W1429&gt;0,"c","b"))</f>
        <v>0</v>
      </c>
    </row>
    <row r="1430" spans="1:25" ht="34.5" hidden="1" thickBot="1" x14ac:dyDescent="0.25">
      <c r="A1430" s="317">
        <v>97585</v>
      </c>
      <c r="B1430" s="895">
        <v>97585</v>
      </c>
      <c r="C1430" s="896" t="s">
        <v>596</v>
      </c>
      <c r="D1430" s="906" t="s">
        <v>1356</v>
      </c>
      <c r="E1430" s="907">
        <f>GLOBAL_DER_FEV_2023!E1430</f>
        <v>0</v>
      </c>
      <c r="F1430" s="908">
        <f>GLOBAL_DER_FEV_2023!F1430</f>
        <v>0</v>
      </c>
      <c r="G1430" s="912">
        <f>GLOBAL_DER_FEV_2023!G1430</f>
        <v>0</v>
      </c>
      <c r="H1430" s="901">
        <f>GLOBAL_DER_FEV_2023!H1430</f>
        <v>133.19999999999999</v>
      </c>
      <c r="I1430" s="901">
        <f>GLOBAL_DER_FEV_2023!I1430</f>
        <v>133.19999999999999</v>
      </c>
      <c r="J1430" s="902">
        <f>GLOBAL_DER_FEV_2023!J1430</f>
        <v>159.93</v>
      </c>
      <c r="K1430" s="903" t="s">
        <v>1516</v>
      </c>
      <c r="L1430" s="1137"/>
      <c r="M1430" s="1138">
        <f t="shared" si="107"/>
        <v>0</v>
      </c>
      <c r="N1430" s="893">
        <f t="shared" si="106"/>
        <v>0</v>
      </c>
      <c r="O1430" s="905"/>
      <c r="Q1430" s="317" t="str">
        <f t="shared" si="103"/>
        <v/>
      </c>
      <c r="R1430" s="317" t="str">
        <f t="shared" si="104"/>
        <v/>
      </c>
      <c r="S1430" s="317" t="str">
        <f t="shared" si="105"/>
        <v/>
      </c>
      <c r="T1430" s="317" t="str">
        <f>GLOBAL_DER_FEV_2023!S1430</f>
        <v/>
      </c>
      <c r="W1430" s="582">
        <v>0</v>
      </c>
      <c r="X1430" s="580"/>
      <c r="Y1430" s="583">
        <f>IF(GLOBAL_DER_FEV_2023!W1430=0,0,IF(GLOBAL_DER_FEV_2023!W1430&gt;0,"c","b"))</f>
        <v>0</v>
      </c>
    </row>
    <row r="1431" spans="1:25" ht="34.5" hidden="1" thickBot="1" x14ac:dyDescent="0.25">
      <c r="A1431" s="317">
        <v>97586</v>
      </c>
      <c r="B1431" s="895">
        <v>97586</v>
      </c>
      <c r="C1431" s="896" t="s">
        <v>596</v>
      </c>
      <c r="D1431" s="906" t="s">
        <v>1357</v>
      </c>
      <c r="E1431" s="907">
        <f>GLOBAL_DER_FEV_2023!E1431</f>
        <v>0</v>
      </c>
      <c r="F1431" s="908">
        <f>GLOBAL_DER_FEV_2023!F1431</f>
        <v>0</v>
      </c>
      <c r="G1431" s="912">
        <f>GLOBAL_DER_FEV_2023!G1431</f>
        <v>0</v>
      </c>
      <c r="H1431" s="901">
        <f>GLOBAL_DER_FEV_2023!H1431</f>
        <v>180.8</v>
      </c>
      <c r="I1431" s="901">
        <f>GLOBAL_DER_FEV_2023!I1431</f>
        <v>180.8</v>
      </c>
      <c r="J1431" s="902">
        <f>GLOBAL_DER_FEV_2023!J1431</f>
        <v>217.09</v>
      </c>
      <c r="K1431" s="903" t="s">
        <v>1516</v>
      </c>
      <c r="L1431" s="1137"/>
      <c r="M1431" s="1138">
        <f t="shared" si="107"/>
        <v>0</v>
      </c>
      <c r="N1431" s="893">
        <f t="shared" si="106"/>
        <v>0</v>
      </c>
      <c r="O1431" s="905"/>
      <c r="Q1431" s="317" t="str">
        <f t="shared" si="103"/>
        <v/>
      </c>
      <c r="R1431" s="317" t="str">
        <f t="shared" si="104"/>
        <v/>
      </c>
      <c r="S1431" s="317" t="str">
        <f t="shared" si="105"/>
        <v/>
      </c>
      <c r="T1431" s="317" t="str">
        <f>GLOBAL_DER_FEV_2023!S1431</f>
        <v/>
      </c>
      <c r="W1431" s="582">
        <v>0</v>
      </c>
      <c r="X1431" s="580"/>
      <c r="Y1431" s="583">
        <f>IF(GLOBAL_DER_FEV_2023!W1431=0,0,IF(GLOBAL_DER_FEV_2023!W1431&gt;0,"c","b"))</f>
        <v>0</v>
      </c>
    </row>
    <row r="1432" spans="1:25" ht="23.25" hidden="1" thickBot="1" x14ac:dyDescent="0.25">
      <c r="A1432" s="317">
        <v>97587</v>
      </c>
      <c r="B1432" s="895">
        <v>97587</v>
      </c>
      <c r="C1432" s="896" t="s">
        <v>596</v>
      </c>
      <c r="D1432" s="906" t="s">
        <v>1358</v>
      </c>
      <c r="E1432" s="907">
        <f>GLOBAL_DER_FEV_2023!E1432</f>
        <v>0</v>
      </c>
      <c r="F1432" s="908">
        <f>GLOBAL_DER_FEV_2023!F1432</f>
        <v>0</v>
      </c>
      <c r="G1432" s="912">
        <f>GLOBAL_DER_FEV_2023!G1432</f>
        <v>0</v>
      </c>
      <c r="H1432" s="901">
        <f>GLOBAL_DER_FEV_2023!H1432</f>
        <v>329.67</v>
      </c>
      <c r="I1432" s="901">
        <f>GLOBAL_DER_FEV_2023!I1432</f>
        <v>329.67</v>
      </c>
      <c r="J1432" s="902">
        <f>GLOBAL_DER_FEV_2023!J1432</f>
        <v>395.83</v>
      </c>
      <c r="K1432" s="903" t="s">
        <v>1516</v>
      </c>
      <c r="L1432" s="1137"/>
      <c r="M1432" s="1138">
        <f t="shared" si="107"/>
        <v>0</v>
      </c>
      <c r="N1432" s="893">
        <f t="shared" si="106"/>
        <v>0</v>
      </c>
      <c r="O1432" s="905"/>
      <c r="Q1432" s="317" t="str">
        <f t="shared" si="103"/>
        <v/>
      </c>
      <c r="R1432" s="317" t="str">
        <f t="shared" si="104"/>
        <v/>
      </c>
      <c r="S1432" s="317" t="str">
        <f t="shared" si="105"/>
        <v/>
      </c>
      <c r="T1432" s="317" t="str">
        <f>GLOBAL_DER_FEV_2023!S1432</f>
        <v/>
      </c>
      <c r="W1432" s="582">
        <v>0</v>
      </c>
      <c r="X1432" s="580"/>
      <c r="Y1432" s="583">
        <f>IF(GLOBAL_DER_FEV_2023!W1432=0,0,IF(GLOBAL_DER_FEV_2023!W1432&gt;0,"c","b"))</f>
        <v>0</v>
      </c>
    </row>
    <row r="1433" spans="1:25" ht="23.25" hidden="1" thickBot="1" x14ac:dyDescent="0.25">
      <c r="A1433" s="317">
        <v>97589</v>
      </c>
      <c r="B1433" s="895">
        <v>97589</v>
      </c>
      <c r="C1433" s="896" t="s">
        <v>596</v>
      </c>
      <c r="D1433" s="906" t="s">
        <v>1359</v>
      </c>
      <c r="E1433" s="907">
        <f>GLOBAL_DER_FEV_2023!E1433</f>
        <v>0</v>
      </c>
      <c r="F1433" s="908">
        <f>GLOBAL_DER_FEV_2023!F1433</f>
        <v>0</v>
      </c>
      <c r="G1433" s="912">
        <f>GLOBAL_DER_FEV_2023!G1433</f>
        <v>0</v>
      </c>
      <c r="H1433" s="901">
        <f>GLOBAL_DER_FEV_2023!H1433</f>
        <v>47.54</v>
      </c>
      <c r="I1433" s="901">
        <f>GLOBAL_DER_FEV_2023!I1433</f>
        <v>47.54</v>
      </c>
      <c r="J1433" s="902">
        <f>GLOBAL_DER_FEV_2023!J1433</f>
        <v>57.08</v>
      </c>
      <c r="K1433" s="903" t="s">
        <v>1516</v>
      </c>
      <c r="L1433" s="1137"/>
      <c r="M1433" s="1138">
        <f t="shared" si="107"/>
        <v>0</v>
      </c>
      <c r="N1433" s="893">
        <f t="shared" si="106"/>
        <v>0</v>
      </c>
      <c r="O1433" s="905"/>
      <c r="Q1433" s="317" t="str">
        <f t="shared" si="103"/>
        <v/>
      </c>
      <c r="R1433" s="317" t="str">
        <f t="shared" si="104"/>
        <v/>
      </c>
      <c r="S1433" s="317" t="str">
        <f t="shared" si="105"/>
        <v/>
      </c>
      <c r="T1433" s="317" t="str">
        <f>GLOBAL_DER_FEV_2023!S1433</f>
        <v/>
      </c>
      <c r="W1433" s="582">
        <v>0</v>
      </c>
      <c r="X1433" s="580"/>
      <c r="Y1433" s="583">
        <f>IF(GLOBAL_DER_FEV_2023!W1433=0,0,IF(GLOBAL_DER_FEV_2023!W1433&gt;0,"c","b"))</f>
        <v>0</v>
      </c>
    </row>
    <row r="1434" spans="1:25" ht="34.5" hidden="1" thickBot="1" x14ac:dyDescent="0.25">
      <c r="A1434" s="317">
        <v>97590</v>
      </c>
      <c r="B1434" s="895">
        <v>97590</v>
      </c>
      <c r="C1434" s="896" t="s">
        <v>596</v>
      </c>
      <c r="D1434" s="906" t="s">
        <v>1360</v>
      </c>
      <c r="E1434" s="907">
        <f>GLOBAL_DER_FEV_2023!E1434</f>
        <v>0</v>
      </c>
      <c r="F1434" s="908">
        <f>GLOBAL_DER_FEV_2023!F1434</f>
        <v>0</v>
      </c>
      <c r="G1434" s="912">
        <f>GLOBAL_DER_FEV_2023!G1434</f>
        <v>0</v>
      </c>
      <c r="H1434" s="901">
        <f>GLOBAL_DER_FEV_2023!H1434</f>
        <v>113.3</v>
      </c>
      <c r="I1434" s="901">
        <f>GLOBAL_DER_FEV_2023!I1434</f>
        <v>113.3</v>
      </c>
      <c r="J1434" s="902">
        <f>GLOBAL_DER_FEV_2023!J1434</f>
        <v>136.04</v>
      </c>
      <c r="K1434" s="903" t="s">
        <v>1516</v>
      </c>
      <c r="L1434" s="1137"/>
      <c r="M1434" s="1138">
        <f t="shared" si="107"/>
        <v>0</v>
      </c>
      <c r="N1434" s="893">
        <f t="shared" si="106"/>
        <v>0</v>
      </c>
      <c r="O1434" s="905"/>
      <c r="Q1434" s="317" t="str">
        <f t="shared" si="103"/>
        <v/>
      </c>
      <c r="R1434" s="317" t="str">
        <f t="shared" si="104"/>
        <v/>
      </c>
      <c r="S1434" s="317" t="str">
        <f t="shared" si="105"/>
        <v/>
      </c>
      <c r="T1434" s="317" t="str">
        <f>GLOBAL_DER_FEV_2023!S1434</f>
        <v/>
      </c>
      <c r="W1434" s="582">
        <v>0</v>
      </c>
      <c r="X1434" s="580"/>
      <c r="Y1434" s="583">
        <f>IF(GLOBAL_DER_FEV_2023!W1434=0,0,IF(GLOBAL_DER_FEV_2023!W1434&gt;0,"c","b"))</f>
        <v>0</v>
      </c>
    </row>
    <row r="1435" spans="1:25" ht="34.5" hidden="1" thickBot="1" x14ac:dyDescent="0.25">
      <c r="A1435" s="317">
        <v>97591</v>
      </c>
      <c r="B1435" s="895">
        <v>97591</v>
      </c>
      <c r="C1435" s="896" t="s">
        <v>596</v>
      </c>
      <c r="D1435" s="906" t="s">
        <v>1361</v>
      </c>
      <c r="E1435" s="907">
        <f>GLOBAL_DER_FEV_2023!E1435</f>
        <v>0</v>
      </c>
      <c r="F1435" s="908">
        <f>GLOBAL_DER_FEV_2023!F1435</f>
        <v>0</v>
      </c>
      <c r="G1435" s="912">
        <f>GLOBAL_DER_FEV_2023!G1435</f>
        <v>0</v>
      </c>
      <c r="H1435" s="901">
        <f>GLOBAL_DER_FEV_2023!H1435</f>
        <v>147.91999999999999</v>
      </c>
      <c r="I1435" s="901">
        <f>GLOBAL_DER_FEV_2023!I1435</f>
        <v>147.91999999999999</v>
      </c>
      <c r="J1435" s="902">
        <f>GLOBAL_DER_FEV_2023!J1435</f>
        <v>177.61</v>
      </c>
      <c r="K1435" s="903" t="s">
        <v>1516</v>
      </c>
      <c r="L1435" s="1137"/>
      <c r="M1435" s="1138">
        <f t="shared" si="107"/>
        <v>0</v>
      </c>
      <c r="N1435" s="893">
        <f t="shared" si="106"/>
        <v>0</v>
      </c>
      <c r="O1435" s="905"/>
      <c r="Q1435" s="317" t="str">
        <f t="shared" ref="Q1435:Q1498" si="108">IF(P1435="X","x",IF(P1435="xx","x",IF(P1435="xy","x",IF(P1435="y","x",IF(OR(N1435&gt;0,N1435&gt;0),"x","")))))</f>
        <v/>
      </c>
      <c r="R1435" s="317" t="str">
        <f t="shared" si="104"/>
        <v/>
      </c>
      <c r="S1435" s="317" t="str">
        <f t="shared" si="105"/>
        <v/>
      </c>
      <c r="T1435" s="317" t="str">
        <f>GLOBAL_DER_FEV_2023!S1435</f>
        <v/>
      </c>
      <c r="W1435" s="582">
        <v>0</v>
      </c>
      <c r="X1435" s="580"/>
      <c r="Y1435" s="583">
        <f>IF(GLOBAL_DER_FEV_2023!W1435=0,0,IF(GLOBAL_DER_FEV_2023!W1435&gt;0,"c","b"))</f>
        <v>0</v>
      </c>
    </row>
    <row r="1436" spans="1:25" ht="23.25" hidden="1" thickBot="1" x14ac:dyDescent="0.25">
      <c r="A1436" s="317">
        <v>103782</v>
      </c>
      <c r="B1436" s="895">
        <v>103782</v>
      </c>
      <c r="C1436" s="896" t="s">
        <v>596</v>
      </c>
      <c r="D1436" s="906" t="s">
        <v>1992</v>
      </c>
      <c r="E1436" s="907">
        <f>GLOBAL_DER_FEV_2023!E1436</f>
        <v>0</v>
      </c>
      <c r="F1436" s="908">
        <f>GLOBAL_DER_FEV_2023!F1436</f>
        <v>0</v>
      </c>
      <c r="G1436" s="912">
        <f>GLOBAL_DER_FEV_2023!G1436</f>
        <v>0</v>
      </c>
      <c r="H1436" s="901">
        <f>GLOBAL_DER_FEV_2023!H1436</f>
        <v>41.27</v>
      </c>
      <c r="I1436" s="901">
        <f>GLOBAL_DER_FEV_2023!I1436</f>
        <v>41.27</v>
      </c>
      <c r="J1436" s="902">
        <f>GLOBAL_DER_FEV_2023!J1436</f>
        <v>49.55</v>
      </c>
      <c r="K1436" s="903" t="s">
        <v>1516</v>
      </c>
      <c r="L1436" s="1137"/>
      <c r="M1436" s="1138">
        <f t="shared" si="107"/>
        <v>0</v>
      </c>
      <c r="N1436" s="893">
        <f t="shared" si="106"/>
        <v>0</v>
      </c>
      <c r="O1436" s="905"/>
      <c r="Q1436" s="317" t="str">
        <f t="shared" si="108"/>
        <v/>
      </c>
      <c r="R1436" s="317" t="str">
        <f t="shared" si="104"/>
        <v/>
      </c>
      <c r="S1436" s="317" t="str">
        <f t="shared" si="105"/>
        <v/>
      </c>
      <c r="T1436" s="317" t="str">
        <f>GLOBAL_DER_FEV_2023!S1436</f>
        <v/>
      </c>
      <c r="W1436" s="582">
        <v>0</v>
      </c>
      <c r="X1436" s="580"/>
      <c r="Y1436" s="583">
        <f>IF(GLOBAL_DER_FEV_2023!W1436=0,0,IF(GLOBAL_DER_FEV_2023!W1436&gt;0,"c","b"))</f>
        <v>0</v>
      </c>
    </row>
    <row r="1437" spans="1:25" ht="23.25" hidden="1" thickBot="1" x14ac:dyDescent="0.25">
      <c r="A1437" s="317">
        <v>97593</v>
      </c>
      <c r="B1437" s="895">
        <v>97593</v>
      </c>
      <c r="C1437" s="896" t="s">
        <v>596</v>
      </c>
      <c r="D1437" s="906" t="s">
        <v>1362</v>
      </c>
      <c r="E1437" s="907">
        <f>GLOBAL_DER_FEV_2023!E1437</f>
        <v>0</v>
      </c>
      <c r="F1437" s="908">
        <f>GLOBAL_DER_FEV_2023!F1437</f>
        <v>0</v>
      </c>
      <c r="G1437" s="912">
        <f>GLOBAL_DER_FEV_2023!G1437</f>
        <v>0</v>
      </c>
      <c r="H1437" s="901">
        <f>GLOBAL_DER_FEV_2023!H1437</f>
        <v>163.66999999999999</v>
      </c>
      <c r="I1437" s="901">
        <f>GLOBAL_DER_FEV_2023!I1437</f>
        <v>163.66999999999999</v>
      </c>
      <c r="J1437" s="902">
        <f>GLOBAL_DER_FEV_2023!J1437</f>
        <v>196.52</v>
      </c>
      <c r="K1437" s="903" t="s">
        <v>1516</v>
      </c>
      <c r="L1437" s="1137"/>
      <c r="M1437" s="1138">
        <f t="shared" si="107"/>
        <v>0</v>
      </c>
      <c r="N1437" s="893">
        <f t="shared" si="106"/>
        <v>0</v>
      </c>
      <c r="O1437" s="905"/>
      <c r="Q1437" s="317" t="str">
        <f t="shared" si="108"/>
        <v/>
      </c>
      <c r="R1437" s="317" t="str">
        <f t="shared" ref="R1437:R1500" si="109">IF(P1437="X","x",IF(P1437="y","x",IF(P1437="xx","x",IF(N1437&gt;0,"x",""))))</f>
        <v/>
      </c>
      <c r="S1437" s="317" t="str">
        <f t="shared" ref="S1437:S1500" si="110">IF(P1437="X","x",IF(N1437&gt;0,"x",""))</f>
        <v/>
      </c>
      <c r="T1437" s="317" t="str">
        <f>GLOBAL_DER_FEV_2023!S1437</f>
        <v/>
      </c>
      <c r="W1437" s="582">
        <v>0</v>
      </c>
      <c r="X1437" s="580"/>
      <c r="Y1437" s="583">
        <f>IF(GLOBAL_DER_FEV_2023!W1437=0,0,IF(GLOBAL_DER_FEV_2023!W1437&gt;0,"c","b"))</f>
        <v>0</v>
      </c>
    </row>
    <row r="1438" spans="1:25" ht="23.25" hidden="1" thickBot="1" x14ac:dyDescent="0.25">
      <c r="A1438" s="317">
        <v>97594</v>
      </c>
      <c r="B1438" s="895">
        <v>97594</v>
      </c>
      <c r="C1438" s="896" t="s">
        <v>596</v>
      </c>
      <c r="D1438" s="906" t="s">
        <v>1363</v>
      </c>
      <c r="E1438" s="907">
        <f>GLOBAL_DER_FEV_2023!E1438</f>
        <v>0</v>
      </c>
      <c r="F1438" s="908">
        <f>GLOBAL_DER_FEV_2023!F1438</f>
        <v>0</v>
      </c>
      <c r="G1438" s="912">
        <f>GLOBAL_DER_FEV_2023!G1438</f>
        <v>0</v>
      </c>
      <c r="H1438" s="901">
        <f>GLOBAL_DER_FEV_2023!H1438</f>
        <v>148.53</v>
      </c>
      <c r="I1438" s="901">
        <f>GLOBAL_DER_FEV_2023!I1438</f>
        <v>148.53</v>
      </c>
      <c r="J1438" s="902">
        <f>GLOBAL_DER_FEV_2023!J1438</f>
        <v>178.34</v>
      </c>
      <c r="K1438" s="903" t="s">
        <v>1516</v>
      </c>
      <c r="L1438" s="1137"/>
      <c r="M1438" s="1138">
        <f t="shared" si="107"/>
        <v>0</v>
      </c>
      <c r="N1438" s="893">
        <f t="shared" si="106"/>
        <v>0</v>
      </c>
      <c r="O1438" s="905"/>
      <c r="Q1438" s="317" t="str">
        <f t="shared" si="108"/>
        <v/>
      </c>
      <c r="R1438" s="317" t="str">
        <f t="shared" si="109"/>
        <v/>
      </c>
      <c r="S1438" s="317" t="str">
        <f t="shared" si="110"/>
        <v/>
      </c>
      <c r="T1438" s="317" t="str">
        <f>GLOBAL_DER_FEV_2023!S1438</f>
        <v/>
      </c>
      <c r="W1438" s="582">
        <v>0</v>
      </c>
      <c r="X1438" s="580"/>
      <c r="Y1438" s="583">
        <f>IF(GLOBAL_DER_FEV_2023!W1438=0,0,IF(GLOBAL_DER_FEV_2023!W1438&gt;0,"c","b"))</f>
        <v>0</v>
      </c>
    </row>
    <row r="1439" spans="1:25" ht="23.25" hidden="1" thickBot="1" x14ac:dyDescent="0.25">
      <c r="A1439" s="317">
        <v>101666</v>
      </c>
      <c r="B1439" s="895">
        <v>101666</v>
      </c>
      <c r="C1439" s="896" t="s">
        <v>596</v>
      </c>
      <c r="D1439" s="906" t="s">
        <v>1364</v>
      </c>
      <c r="E1439" s="907">
        <f>GLOBAL_DER_FEV_2023!E1439</f>
        <v>0</v>
      </c>
      <c r="F1439" s="908">
        <f>GLOBAL_DER_FEV_2023!F1439</f>
        <v>0</v>
      </c>
      <c r="G1439" s="912">
        <f>GLOBAL_DER_FEV_2023!G1439</f>
        <v>0</v>
      </c>
      <c r="H1439" s="901">
        <f>GLOBAL_DER_FEV_2023!H1439</f>
        <v>450.92</v>
      </c>
      <c r="I1439" s="901">
        <f>GLOBAL_DER_FEV_2023!I1439</f>
        <v>450.92</v>
      </c>
      <c r="J1439" s="902">
        <f>GLOBAL_DER_FEV_2023!J1439</f>
        <v>541.41999999999996</v>
      </c>
      <c r="K1439" s="903" t="s">
        <v>1516</v>
      </c>
      <c r="L1439" s="1137"/>
      <c r="M1439" s="1138">
        <f t="shared" si="107"/>
        <v>0</v>
      </c>
      <c r="N1439" s="893">
        <f t="shared" si="106"/>
        <v>0</v>
      </c>
      <c r="O1439" s="905"/>
      <c r="Q1439" s="317" t="str">
        <f t="shared" si="108"/>
        <v/>
      </c>
      <c r="R1439" s="317" t="str">
        <f t="shared" si="109"/>
        <v/>
      </c>
      <c r="S1439" s="317" t="str">
        <f t="shared" si="110"/>
        <v/>
      </c>
      <c r="T1439" s="317" t="str">
        <f>GLOBAL_DER_FEV_2023!S1439</f>
        <v/>
      </c>
      <c r="W1439" s="582">
        <v>0</v>
      </c>
      <c r="X1439" s="580"/>
      <c r="Y1439" s="583">
        <f>IF(GLOBAL_DER_FEV_2023!W1439=0,0,IF(GLOBAL_DER_FEV_2023!W1439&gt;0,"c","b"))</f>
        <v>0</v>
      </c>
    </row>
    <row r="1440" spans="1:25" ht="34.5" hidden="1" thickBot="1" x14ac:dyDescent="0.25">
      <c r="A1440" s="317">
        <v>97600</v>
      </c>
      <c r="B1440" s="895">
        <v>97600</v>
      </c>
      <c r="C1440" s="896" t="s">
        <v>596</v>
      </c>
      <c r="D1440" s="906" t="s">
        <v>1365</v>
      </c>
      <c r="E1440" s="907">
        <f>GLOBAL_DER_FEV_2023!E1440</f>
        <v>0</v>
      </c>
      <c r="F1440" s="908">
        <f>GLOBAL_DER_FEV_2023!F1440</f>
        <v>0</v>
      </c>
      <c r="G1440" s="912">
        <f>GLOBAL_DER_FEV_2023!G1440</f>
        <v>0</v>
      </c>
      <c r="H1440" s="901">
        <f>GLOBAL_DER_FEV_2023!H1440</f>
        <v>360.17</v>
      </c>
      <c r="I1440" s="901">
        <f>GLOBAL_DER_FEV_2023!I1440</f>
        <v>360.17</v>
      </c>
      <c r="J1440" s="902">
        <f>GLOBAL_DER_FEV_2023!J1440</f>
        <v>432.46</v>
      </c>
      <c r="K1440" s="903" t="s">
        <v>1516</v>
      </c>
      <c r="L1440" s="1137"/>
      <c r="M1440" s="1138">
        <f t="shared" si="107"/>
        <v>0</v>
      </c>
      <c r="N1440" s="893">
        <f t="shared" si="106"/>
        <v>0</v>
      </c>
      <c r="O1440" s="905"/>
      <c r="Q1440" s="317" t="str">
        <f t="shared" si="108"/>
        <v/>
      </c>
      <c r="R1440" s="317" t="str">
        <f t="shared" si="109"/>
        <v/>
      </c>
      <c r="S1440" s="317" t="str">
        <f t="shared" si="110"/>
        <v/>
      </c>
      <c r="T1440" s="317" t="str">
        <f>GLOBAL_DER_FEV_2023!S1440</f>
        <v/>
      </c>
      <c r="W1440" s="582">
        <v>0</v>
      </c>
      <c r="X1440" s="580"/>
      <c r="Y1440" s="583">
        <f>IF(GLOBAL_DER_FEV_2023!W1440=0,0,IF(GLOBAL_DER_FEV_2023!W1440&gt;0,"c","b"))</f>
        <v>0</v>
      </c>
    </row>
    <row r="1441" spans="1:25" ht="34.5" hidden="1" thickBot="1" x14ac:dyDescent="0.25">
      <c r="A1441" s="317">
        <v>97601</v>
      </c>
      <c r="B1441" s="895">
        <v>97601</v>
      </c>
      <c r="C1441" s="896" t="s">
        <v>596</v>
      </c>
      <c r="D1441" s="906" t="s">
        <v>1366</v>
      </c>
      <c r="E1441" s="907">
        <f>GLOBAL_DER_FEV_2023!E1441</f>
        <v>0</v>
      </c>
      <c r="F1441" s="908">
        <f>GLOBAL_DER_FEV_2023!F1441</f>
        <v>0</v>
      </c>
      <c r="G1441" s="912">
        <f>GLOBAL_DER_FEV_2023!G1441</f>
        <v>0</v>
      </c>
      <c r="H1441" s="901">
        <f>GLOBAL_DER_FEV_2023!H1441</f>
        <v>380.4</v>
      </c>
      <c r="I1441" s="901">
        <f>GLOBAL_DER_FEV_2023!I1441</f>
        <v>380.4</v>
      </c>
      <c r="J1441" s="902">
        <f>GLOBAL_DER_FEV_2023!J1441</f>
        <v>456.75</v>
      </c>
      <c r="K1441" s="903" t="s">
        <v>1516</v>
      </c>
      <c r="L1441" s="1137"/>
      <c r="M1441" s="1138">
        <f t="shared" si="107"/>
        <v>0</v>
      </c>
      <c r="N1441" s="893">
        <f t="shared" ref="N1441:N1504" si="111">IF(ISBLANK(L1441),0,IF(W1441=0,ROUND(L1441*M1441,2),IF(W1441="b",ROUNDDOWN(L1441*M1441,2),ROUNDUP(L1441*M1441,2))))</f>
        <v>0</v>
      </c>
      <c r="O1441" s="905"/>
      <c r="Q1441" s="317" t="str">
        <f t="shared" si="108"/>
        <v/>
      </c>
      <c r="R1441" s="317" t="str">
        <f t="shared" si="109"/>
        <v/>
      </c>
      <c r="S1441" s="317" t="str">
        <f t="shared" si="110"/>
        <v/>
      </c>
      <c r="T1441" s="317" t="str">
        <f>GLOBAL_DER_FEV_2023!S1441</f>
        <v/>
      </c>
      <c r="W1441" s="582">
        <v>0</v>
      </c>
      <c r="X1441" s="580"/>
      <c r="Y1441" s="583">
        <f>IF(GLOBAL_DER_FEV_2023!W1441=0,0,IF(GLOBAL_DER_FEV_2023!W1441&gt;0,"c","b"))</f>
        <v>0</v>
      </c>
    </row>
    <row r="1442" spans="1:25" ht="23.25" hidden="1" thickBot="1" x14ac:dyDescent="0.25">
      <c r="A1442" s="317">
        <v>97611</v>
      </c>
      <c r="B1442" s="895">
        <v>97611</v>
      </c>
      <c r="C1442" s="896" t="s">
        <v>596</v>
      </c>
      <c r="D1442" s="906" t="s">
        <v>1367</v>
      </c>
      <c r="E1442" s="907">
        <f>GLOBAL_DER_FEV_2023!E1442</f>
        <v>0</v>
      </c>
      <c r="F1442" s="908">
        <f>GLOBAL_DER_FEV_2023!F1442</f>
        <v>0</v>
      </c>
      <c r="G1442" s="912">
        <f>GLOBAL_DER_FEV_2023!G1442</f>
        <v>0</v>
      </c>
      <c r="H1442" s="901">
        <f>GLOBAL_DER_FEV_2023!H1442</f>
        <v>27.22</v>
      </c>
      <c r="I1442" s="901">
        <f>GLOBAL_DER_FEV_2023!I1442</f>
        <v>27.22</v>
      </c>
      <c r="J1442" s="902">
        <f>GLOBAL_DER_FEV_2023!J1442</f>
        <v>32.68</v>
      </c>
      <c r="K1442" s="903" t="s">
        <v>1516</v>
      </c>
      <c r="L1442" s="1137"/>
      <c r="M1442" s="1138">
        <f t="shared" si="107"/>
        <v>0</v>
      </c>
      <c r="N1442" s="893">
        <f t="shared" si="111"/>
        <v>0</v>
      </c>
      <c r="O1442" s="905"/>
      <c r="Q1442" s="317" t="str">
        <f t="shared" si="108"/>
        <v/>
      </c>
      <c r="R1442" s="317" t="str">
        <f t="shared" si="109"/>
        <v/>
      </c>
      <c r="S1442" s="317" t="str">
        <f t="shared" si="110"/>
        <v/>
      </c>
      <c r="T1442" s="317" t="str">
        <f>GLOBAL_DER_FEV_2023!S1442</f>
        <v/>
      </c>
      <c r="W1442" s="582">
        <v>0</v>
      </c>
      <c r="X1442" s="580"/>
      <c r="Y1442" s="583">
        <f>IF(GLOBAL_DER_FEV_2023!W1442=0,0,IF(GLOBAL_DER_FEV_2023!W1442&gt;0,"c","b"))</f>
        <v>0</v>
      </c>
    </row>
    <row r="1443" spans="1:25" ht="23.25" hidden="1" thickBot="1" x14ac:dyDescent="0.25">
      <c r="A1443" s="317">
        <v>97612</v>
      </c>
      <c r="B1443" s="895">
        <v>97612</v>
      </c>
      <c r="C1443" s="896" t="s">
        <v>596</v>
      </c>
      <c r="D1443" s="906" t="s">
        <v>1368</v>
      </c>
      <c r="E1443" s="907">
        <f>GLOBAL_DER_FEV_2023!E1443</f>
        <v>0</v>
      </c>
      <c r="F1443" s="908">
        <f>GLOBAL_DER_FEV_2023!F1443</f>
        <v>0</v>
      </c>
      <c r="G1443" s="912">
        <f>GLOBAL_DER_FEV_2023!G1443</f>
        <v>0</v>
      </c>
      <c r="H1443" s="901">
        <f>GLOBAL_DER_FEV_2023!H1443</f>
        <v>29.48</v>
      </c>
      <c r="I1443" s="901">
        <f>GLOBAL_DER_FEV_2023!I1443</f>
        <v>29.48</v>
      </c>
      <c r="J1443" s="902">
        <f>GLOBAL_DER_FEV_2023!J1443</f>
        <v>35.4</v>
      </c>
      <c r="K1443" s="903" t="s">
        <v>1516</v>
      </c>
      <c r="L1443" s="1137"/>
      <c r="M1443" s="1138">
        <f t="shared" si="107"/>
        <v>0</v>
      </c>
      <c r="N1443" s="893">
        <f t="shared" si="111"/>
        <v>0</v>
      </c>
      <c r="O1443" s="905"/>
      <c r="Q1443" s="317" t="str">
        <f t="shared" si="108"/>
        <v/>
      </c>
      <c r="R1443" s="317" t="str">
        <f t="shared" si="109"/>
        <v/>
      </c>
      <c r="S1443" s="317" t="str">
        <f t="shared" si="110"/>
        <v/>
      </c>
      <c r="T1443" s="317" t="str">
        <f>GLOBAL_DER_FEV_2023!S1443</f>
        <v/>
      </c>
      <c r="W1443" s="582">
        <v>0</v>
      </c>
      <c r="X1443" s="580"/>
      <c r="Y1443" s="583">
        <f>IF(GLOBAL_DER_FEV_2023!W1443=0,0,IF(GLOBAL_DER_FEV_2023!W1443&gt;0,"c","b"))</f>
        <v>0</v>
      </c>
    </row>
    <row r="1444" spans="1:25" ht="23.25" hidden="1" thickBot="1" x14ac:dyDescent="0.25">
      <c r="A1444" s="317">
        <v>97615</v>
      </c>
      <c r="B1444" s="895">
        <v>97615</v>
      </c>
      <c r="C1444" s="896" t="s">
        <v>596</v>
      </c>
      <c r="D1444" s="906" t="s">
        <v>1369</v>
      </c>
      <c r="E1444" s="907">
        <f>GLOBAL_DER_FEV_2023!E1444</f>
        <v>0</v>
      </c>
      <c r="F1444" s="908">
        <f>GLOBAL_DER_FEV_2023!F1444</f>
        <v>0</v>
      </c>
      <c r="G1444" s="912">
        <f>GLOBAL_DER_FEV_2023!G1444</f>
        <v>0</v>
      </c>
      <c r="H1444" s="901">
        <f>GLOBAL_DER_FEV_2023!H1444</f>
        <v>62.31</v>
      </c>
      <c r="I1444" s="901">
        <f>GLOBAL_DER_FEV_2023!I1444</f>
        <v>62.31</v>
      </c>
      <c r="J1444" s="902">
        <f>GLOBAL_DER_FEV_2023!J1444</f>
        <v>74.819999999999993</v>
      </c>
      <c r="K1444" s="903" t="s">
        <v>1516</v>
      </c>
      <c r="L1444" s="1137"/>
      <c r="M1444" s="1138">
        <f t="shared" si="107"/>
        <v>0</v>
      </c>
      <c r="N1444" s="893">
        <f t="shared" si="111"/>
        <v>0</v>
      </c>
      <c r="O1444" s="905"/>
      <c r="Q1444" s="317" t="str">
        <f t="shared" si="108"/>
        <v/>
      </c>
      <c r="R1444" s="317" t="str">
        <f t="shared" si="109"/>
        <v/>
      </c>
      <c r="S1444" s="317" t="str">
        <f t="shared" si="110"/>
        <v/>
      </c>
      <c r="T1444" s="317" t="str">
        <f>GLOBAL_DER_FEV_2023!S1444</f>
        <v/>
      </c>
      <c r="W1444" s="582">
        <v>0</v>
      </c>
      <c r="X1444" s="580"/>
      <c r="Y1444" s="583">
        <f>IF(GLOBAL_DER_FEV_2023!W1444=0,0,IF(GLOBAL_DER_FEV_2023!W1444&gt;0,"c","b"))</f>
        <v>0</v>
      </c>
    </row>
    <row r="1445" spans="1:25" ht="23.25" hidden="1" thickBot="1" x14ac:dyDescent="0.25">
      <c r="A1445" s="317">
        <v>97616</v>
      </c>
      <c r="B1445" s="895">
        <v>97616</v>
      </c>
      <c r="C1445" s="896" t="s">
        <v>596</v>
      </c>
      <c r="D1445" s="906" t="s">
        <v>1370</v>
      </c>
      <c r="E1445" s="907">
        <f>GLOBAL_DER_FEV_2023!E1445</f>
        <v>0</v>
      </c>
      <c r="F1445" s="908">
        <f>GLOBAL_DER_FEV_2023!F1445</f>
        <v>0</v>
      </c>
      <c r="G1445" s="912">
        <f>GLOBAL_DER_FEV_2023!G1445</f>
        <v>0</v>
      </c>
      <c r="H1445" s="901">
        <f>GLOBAL_DER_FEV_2023!H1445</f>
        <v>71.38</v>
      </c>
      <c r="I1445" s="901">
        <f>GLOBAL_DER_FEV_2023!I1445</f>
        <v>71.38</v>
      </c>
      <c r="J1445" s="902">
        <f>GLOBAL_DER_FEV_2023!J1445</f>
        <v>85.71</v>
      </c>
      <c r="K1445" s="903" t="s">
        <v>1516</v>
      </c>
      <c r="L1445" s="1137"/>
      <c r="M1445" s="1138">
        <f t="shared" si="107"/>
        <v>0</v>
      </c>
      <c r="N1445" s="893">
        <f t="shared" si="111"/>
        <v>0</v>
      </c>
      <c r="O1445" s="905"/>
      <c r="Q1445" s="317" t="str">
        <f t="shared" si="108"/>
        <v/>
      </c>
      <c r="R1445" s="317" t="str">
        <f t="shared" si="109"/>
        <v/>
      </c>
      <c r="S1445" s="317" t="str">
        <f t="shared" si="110"/>
        <v/>
      </c>
      <c r="T1445" s="317" t="str">
        <f>GLOBAL_DER_FEV_2023!S1445</f>
        <v/>
      </c>
      <c r="W1445" s="582">
        <v>0</v>
      </c>
      <c r="X1445" s="580"/>
      <c r="Y1445" s="583">
        <f>IF(GLOBAL_DER_FEV_2023!W1445=0,0,IF(GLOBAL_DER_FEV_2023!W1445&gt;0,"c","b"))</f>
        <v>0</v>
      </c>
    </row>
    <row r="1446" spans="1:25" ht="23.25" hidden="1" thickBot="1" x14ac:dyDescent="0.25">
      <c r="A1446" s="317">
        <v>97617</v>
      </c>
      <c r="B1446" s="895">
        <v>97617</v>
      </c>
      <c r="C1446" s="896" t="s">
        <v>596</v>
      </c>
      <c r="D1446" s="906" t="s">
        <v>1371</v>
      </c>
      <c r="E1446" s="907">
        <f>GLOBAL_DER_FEV_2023!E1446</f>
        <v>0</v>
      </c>
      <c r="F1446" s="908">
        <f>GLOBAL_DER_FEV_2023!F1446</f>
        <v>0</v>
      </c>
      <c r="G1446" s="912">
        <f>GLOBAL_DER_FEV_2023!G1446</f>
        <v>0</v>
      </c>
      <c r="H1446" s="901">
        <f>GLOBAL_DER_FEV_2023!H1446</f>
        <v>71.03</v>
      </c>
      <c r="I1446" s="901">
        <f>GLOBAL_DER_FEV_2023!I1446</f>
        <v>71.03</v>
      </c>
      <c r="J1446" s="902">
        <f>GLOBAL_DER_FEV_2023!J1446</f>
        <v>85.29</v>
      </c>
      <c r="K1446" s="903" t="s">
        <v>1516</v>
      </c>
      <c r="L1446" s="1137"/>
      <c r="M1446" s="1138">
        <f t="shared" si="107"/>
        <v>0</v>
      </c>
      <c r="N1446" s="893">
        <f t="shared" si="111"/>
        <v>0</v>
      </c>
      <c r="O1446" s="905"/>
      <c r="Q1446" s="317" t="str">
        <f t="shared" si="108"/>
        <v/>
      </c>
      <c r="R1446" s="317" t="str">
        <f t="shared" si="109"/>
        <v/>
      </c>
      <c r="S1446" s="317" t="str">
        <f t="shared" si="110"/>
        <v/>
      </c>
      <c r="T1446" s="317" t="str">
        <f>GLOBAL_DER_FEV_2023!S1446</f>
        <v/>
      </c>
      <c r="W1446" s="582">
        <v>0</v>
      </c>
      <c r="X1446" s="580"/>
      <c r="Y1446" s="583">
        <f>IF(GLOBAL_DER_FEV_2023!W1446=0,0,IF(GLOBAL_DER_FEV_2023!W1446&gt;0,"c","b"))</f>
        <v>0</v>
      </c>
    </row>
    <row r="1447" spans="1:25" ht="23.25" hidden="1" thickBot="1" x14ac:dyDescent="0.25">
      <c r="A1447" s="317">
        <v>97618</v>
      </c>
      <c r="B1447" s="895">
        <v>97618</v>
      </c>
      <c r="C1447" s="896" t="s">
        <v>596</v>
      </c>
      <c r="D1447" s="906" t="s">
        <v>1372</v>
      </c>
      <c r="E1447" s="907">
        <f>GLOBAL_DER_FEV_2023!E1447</f>
        <v>0</v>
      </c>
      <c r="F1447" s="908">
        <f>GLOBAL_DER_FEV_2023!F1447</f>
        <v>0</v>
      </c>
      <c r="G1447" s="912">
        <f>GLOBAL_DER_FEV_2023!G1447</f>
        <v>0</v>
      </c>
      <c r="H1447" s="901">
        <f>GLOBAL_DER_FEV_2023!H1447</f>
        <v>65.489999999999995</v>
      </c>
      <c r="I1447" s="901">
        <f>GLOBAL_DER_FEV_2023!I1447</f>
        <v>65.489999999999995</v>
      </c>
      <c r="J1447" s="902">
        <f>GLOBAL_DER_FEV_2023!J1447</f>
        <v>78.63</v>
      </c>
      <c r="K1447" s="903" t="s">
        <v>1516</v>
      </c>
      <c r="L1447" s="1137"/>
      <c r="M1447" s="1138">
        <f t="shared" si="107"/>
        <v>0</v>
      </c>
      <c r="N1447" s="893">
        <f t="shared" si="111"/>
        <v>0</v>
      </c>
      <c r="O1447" s="905"/>
      <c r="Q1447" s="317" t="str">
        <f t="shared" si="108"/>
        <v/>
      </c>
      <c r="R1447" s="317" t="str">
        <f t="shared" si="109"/>
        <v/>
      </c>
      <c r="S1447" s="317" t="str">
        <f t="shared" si="110"/>
        <v/>
      </c>
      <c r="T1447" s="317" t="str">
        <f>GLOBAL_DER_FEV_2023!S1447</f>
        <v/>
      </c>
      <c r="W1447" s="582">
        <v>0</v>
      </c>
      <c r="X1447" s="580"/>
      <c r="Y1447" s="583">
        <f>IF(GLOBAL_DER_FEV_2023!W1447=0,0,IF(GLOBAL_DER_FEV_2023!W1447&gt;0,"c","b"))</f>
        <v>0</v>
      </c>
    </row>
    <row r="1448" spans="1:25" ht="23.25" hidden="1" thickBot="1" x14ac:dyDescent="0.25">
      <c r="A1448" s="317">
        <v>97613</v>
      </c>
      <c r="B1448" s="895">
        <v>97613</v>
      </c>
      <c r="C1448" s="896" t="s">
        <v>596</v>
      </c>
      <c r="D1448" s="906" t="s">
        <v>1373</v>
      </c>
      <c r="E1448" s="907">
        <f>GLOBAL_DER_FEV_2023!E1448</f>
        <v>0</v>
      </c>
      <c r="F1448" s="908">
        <f>GLOBAL_DER_FEV_2023!F1448</f>
        <v>0</v>
      </c>
      <c r="G1448" s="912">
        <f>GLOBAL_DER_FEV_2023!G1448</f>
        <v>0</v>
      </c>
      <c r="H1448" s="901">
        <f>GLOBAL_DER_FEV_2023!H1448</f>
        <v>37.01</v>
      </c>
      <c r="I1448" s="901">
        <f>GLOBAL_DER_FEV_2023!I1448</f>
        <v>37.01</v>
      </c>
      <c r="J1448" s="902">
        <f>GLOBAL_DER_FEV_2023!J1448</f>
        <v>44.44</v>
      </c>
      <c r="K1448" s="903" t="s">
        <v>1516</v>
      </c>
      <c r="L1448" s="1137"/>
      <c r="M1448" s="1138">
        <f t="shared" si="107"/>
        <v>0</v>
      </c>
      <c r="N1448" s="893">
        <f t="shared" si="111"/>
        <v>0</v>
      </c>
      <c r="O1448" s="905"/>
      <c r="Q1448" s="317" t="str">
        <f t="shared" si="108"/>
        <v/>
      </c>
      <c r="R1448" s="317" t="str">
        <f t="shared" si="109"/>
        <v/>
      </c>
      <c r="S1448" s="317" t="str">
        <f t="shared" si="110"/>
        <v/>
      </c>
      <c r="T1448" s="317" t="str">
        <f>GLOBAL_DER_FEV_2023!S1448</f>
        <v/>
      </c>
      <c r="W1448" s="582">
        <v>0</v>
      </c>
      <c r="X1448" s="580"/>
      <c r="Y1448" s="583">
        <f>IF(GLOBAL_DER_FEV_2023!W1448=0,0,IF(GLOBAL_DER_FEV_2023!W1448&gt;0,"c","b"))</f>
        <v>0</v>
      </c>
    </row>
    <row r="1449" spans="1:25" ht="23.25" hidden="1" thickBot="1" x14ac:dyDescent="0.25">
      <c r="A1449" s="317">
        <v>97614</v>
      </c>
      <c r="B1449" s="895">
        <v>97614</v>
      </c>
      <c r="C1449" s="896" t="s">
        <v>596</v>
      </c>
      <c r="D1449" s="906" t="s">
        <v>1374</v>
      </c>
      <c r="E1449" s="907">
        <f>GLOBAL_DER_FEV_2023!E1449</f>
        <v>0</v>
      </c>
      <c r="F1449" s="908">
        <f>GLOBAL_DER_FEV_2023!F1449</f>
        <v>0</v>
      </c>
      <c r="G1449" s="912">
        <f>GLOBAL_DER_FEV_2023!G1449</f>
        <v>0</v>
      </c>
      <c r="H1449" s="901">
        <f>GLOBAL_DER_FEV_2023!H1449</f>
        <v>64.17</v>
      </c>
      <c r="I1449" s="901">
        <f>GLOBAL_DER_FEV_2023!I1449</f>
        <v>64.17</v>
      </c>
      <c r="J1449" s="902">
        <f>GLOBAL_DER_FEV_2023!J1449</f>
        <v>77.05</v>
      </c>
      <c r="K1449" s="903" t="s">
        <v>1516</v>
      </c>
      <c r="L1449" s="1137"/>
      <c r="M1449" s="1138">
        <f t="shared" si="107"/>
        <v>0</v>
      </c>
      <c r="N1449" s="893">
        <f t="shared" si="111"/>
        <v>0</v>
      </c>
      <c r="O1449" s="905"/>
      <c r="Q1449" s="317" t="str">
        <f t="shared" si="108"/>
        <v/>
      </c>
      <c r="R1449" s="317" t="str">
        <f t="shared" si="109"/>
        <v/>
      </c>
      <c r="S1449" s="317" t="str">
        <f t="shared" si="110"/>
        <v/>
      </c>
      <c r="T1449" s="317" t="str">
        <f>GLOBAL_DER_FEV_2023!S1449</f>
        <v/>
      </c>
      <c r="W1449" s="582">
        <v>0</v>
      </c>
      <c r="X1449" s="580"/>
      <c r="Y1449" s="583">
        <f>IF(GLOBAL_DER_FEV_2023!W1449=0,0,IF(GLOBAL_DER_FEV_2023!W1449&gt;0,"c","b"))</f>
        <v>0</v>
      </c>
    </row>
    <row r="1450" spans="1:25" ht="13.5" hidden="1" thickBot="1" x14ac:dyDescent="0.25">
      <c r="A1450" s="317">
        <v>101648</v>
      </c>
      <c r="B1450" s="895">
        <v>101648</v>
      </c>
      <c r="C1450" s="896" t="s">
        <v>596</v>
      </c>
      <c r="D1450" s="906" t="s">
        <v>1375</v>
      </c>
      <c r="E1450" s="907">
        <f>GLOBAL_DER_FEV_2023!E1450</f>
        <v>0</v>
      </c>
      <c r="F1450" s="908">
        <f>GLOBAL_DER_FEV_2023!F1450</f>
        <v>0</v>
      </c>
      <c r="G1450" s="912">
        <f>GLOBAL_DER_FEV_2023!G1450</f>
        <v>0</v>
      </c>
      <c r="H1450" s="901">
        <f>GLOBAL_DER_FEV_2023!H1450</f>
        <v>57.65</v>
      </c>
      <c r="I1450" s="901">
        <f>GLOBAL_DER_FEV_2023!I1450</f>
        <v>57.65</v>
      </c>
      <c r="J1450" s="902">
        <f>GLOBAL_DER_FEV_2023!J1450</f>
        <v>69.22</v>
      </c>
      <c r="K1450" s="903" t="s">
        <v>1516</v>
      </c>
      <c r="L1450" s="1137"/>
      <c r="M1450" s="1138">
        <f t="shared" si="107"/>
        <v>0</v>
      </c>
      <c r="N1450" s="893">
        <f t="shared" si="111"/>
        <v>0</v>
      </c>
      <c r="O1450" s="905"/>
      <c r="Q1450" s="317" t="str">
        <f t="shared" si="108"/>
        <v/>
      </c>
      <c r="R1450" s="317" t="str">
        <f t="shared" si="109"/>
        <v/>
      </c>
      <c r="S1450" s="317" t="str">
        <f t="shared" si="110"/>
        <v/>
      </c>
      <c r="T1450" s="317" t="str">
        <f>GLOBAL_DER_FEV_2023!S1450</f>
        <v/>
      </c>
      <c r="W1450" s="582">
        <v>0</v>
      </c>
      <c r="X1450" s="580"/>
      <c r="Y1450" s="583">
        <f>IF(GLOBAL_DER_FEV_2023!W1450=0,0,IF(GLOBAL_DER_FEV_2023!W1450&gt;0,"c","b"))</f>
        <v>0</v>
      </c>
    </row>
    <row r="1451" spans="1:25" ht="13.5" hidden="1" thickBot="1" x14ac:dyDescent="0.25">
      <c r="A1451" s="317">
        <v>101649</v>
      </c>
      <c r="B1451" s="895">
        <v>101649</v>
      </c>
      <c r="C1451" s="896" t="s">
        <v>596</v>
      </c>
      <c r="D1451" s="906" t="s">
        <v>1376</v>
      </c>
      <c r="E1451" s="907">
        <f>GLOBAL_DER_FEV_2023!E1451</f>
        <v>0</v>
      </c>
      <c r="F1451" s="908">
        <f>GLOBAL_DER_FEV_2023!F1451</f>
        <v>0</v>
      </c>
      <c r="G1451" s="912">
        <f>GLOBAL_DER_FEV_2023!G1451</f>
        <v>0</v>
      </c>
      <c r="H1451" s="901">
        <f>GLOBAL_DER_FEV_2023!H1451</f>
        <v>66.41</v>
      </c>
      <c r="I1451" s="901">
        <f>GLOBAL_DER_FEV_2023!I1451</f>
        <v>66.41</v>
      </c>
      <c r="J1451" s="902">
        <f>GLOBAL_DER_FEV_2023!J1451</f>
        <v>79.739999999999995</v>
      </c>
      <c r="K1451" s="903" t="s">
        <v>1516</v>
      </c>
      <c r="L1451" s="1137"/>
      <c r="M1451" s="1138">
        <f t="shared" si="107"/>
        <v>0</v>
      </c>
      <c r="N1451" s="893">
        <f t="shared" si="111"/>
        <v>0</v>
      </c>
      <c r="O1451" s="905"/>
      <c r="Q1451" s="317" t="str">
        <f t="shared" si="108"/>
        <v/>
      </c>
      <c r="R1451" s="317" t="str">
        <f t="shared" si="109"/>
        <v/>
      </c>
      <c r="S1451" s="317" t="str">
        <f t="shared" si="110"/>
        <v/>
      </c>
      <c r="T1451" s="317" t="str">
        <f>GLOBAL_DER_FEV_2023!S1451</f>
        <v/>
      </c>
      <c r="W1451" s="582">
        <v>0</v>
      </c>
      <c r="X1451" s="580"/>
      <c r="Y1451" s="583">
        <f>IF(GLOBAL_DER_FEV_2023!W1451=0,0,IF(GLOBAL_DER_FEV_2023!W1451&gt;0,"c","b"))</f>
        <v>0</v>
      </c>
    </row>
    <row r="1452" spans="1:25" ht="13.5" hidden="1" thickBot="1" x14ac:dyDescent="0.25">
      <c r="A1452" s="317">
        <v>101650</v>
      </c>
      <c r="B1452" s="895">
        <v>101650</v>
      </c>
      <c r="C1452" s="896" t="s">
        <v>596</v>
      </c>
      <c r="D1452" s="906" t="s">
        <v>1377</v>
      </c>
      <c r="E1452" s="907">
        <f>GLOBAL_DER_FEV_2023!E1452</f>
        <v>0</v>
      </c>
      <c r="F1452" s="908">
        <f>GLOBAL_DER_FEV_2023!F1452</f>
        <v>0</v>
      </c>
      <c r="G1452" s="912">
        <f>GLOBAL_DER_FEV_2023!G1452</f>
        <v>0</v>
      </c>
      <c r="H1452" s="901">
        <f>GLOBAL_DER_FEV_2023!H1452</f>
        <v>77.16</v>
      </c>
      <c r="I1452" s="901">
        <f>GLOBAL_DER_FEV_2023!I1452</f>
        <v>77.16</v>
      </c>
      <c r="J1452" s="902">
        <f>GLOBAL_DER_FEV_2023!J1452</f>
        <v>92.65</v>
      </c>
      <c r="K1452" s="903" t="s">
        <v>1516</v>
      </c>
      <c r="L1452" s="1137"/>
      <c r="M1452" s="1138">
        <f t="shared" si="107"/>
        <v>0</v>
      </c>
      <c r="N1452" s="893">
        <f t="shared" si="111"/>
        <v>0</v>
      </c>
      <c r="O1452" s="905"/>
      <c r="Q1452" s="317" t="str">
        <f t="shared" si="108"/>
        <v/>
      </c>
      <c r="R1452" s="317" t="str">
        <f t="shared" si="109"/>
        <v/>
      </c>
      <c r="S1452" s="317" t="str">
        <f t="shared" si="110"/>
        <v/>
      </c>
      <c r="T1452" s="317" t="str">
        <f>GLOBAL_DER_FEV_2023!S1452</f>
        <v/>
      </c>
      <c r="W1452" s="582">
        <v>0</v>
      </c>
      <c r="X1452" s="580"/>
      <c r="Y1452" s="583">
        <f>IF(GLOBAL_DER_FEV_2023!W1452=0,0,IF(GLOBAL_DER_FEV_2023!W1452&gt;0,"c","b"))</f>
        <v>0</v>
      </c>
    </row>
    <row r="1453" spans="1:25" ht="13.5" hidden="1" thickBot="1" x14ac:dyDescent="0.25">
      <c r="A1453" s="317">
        <v>101640</v>
      </c>
      <c r="B1453" s="895">
        <v>101640</v>
      </c>
      <c r="C1453" s="896" t="s">
        <v>596</v>
      </c>
      <c r="D1453" s="906" t="s">
        <v>1378</v>
      </c>
      <c r="E1453" s="907">
        <f>GLOBAL_DER_FEV_2023!E1453</f>
        <v>0</v>
      </c>
      <c r="F1453" s="908">
        <f>GLOBAL_DER_FEV_2023!F1453</f>
        <v>0</v>
      </c>
      <c r="G1453" s="912">
        <f>GLOBAL_DER_FEV_2023!G1453</f>
        <v>0</v>
      </c>
      <c r="H1453" s="901">
        <f>GLOBAL_DER_FEV_2023!H1453</f>
        <v>105.4</v>
      </c>
      <c r="I1453" s="901">
        <f>GLOBAL_DER_FEV_2023!I1453</f>
        <v>105.4</v>
      </c>
      <c r="J1453" s="902">
        <f>GLOBAL_DER_FEV_2023!J1453</f>
        <v>126.55</v>
      </c>
      <c r="K1453" s="903" t="s">
        <v>1516</v>
      </c>
      <c r="L1453" s="1137"/>
      <c r="M1453" s="1138">
        <f t="shared" si="107"/>
        <v>0</v>
      </c>
      <c r="N1453" s="893">
        <f t="shared" si="111"/>
        <v>0</v>
      </c>
      <c r="O1453" s="905"/>
      <c r="Q1453" s="317" t="str">
        <f t="shared" si="108"/>
        <v/>
      </c>
      <c r="R1453" s="317" t="str">
        <f t="shared" si="109"/>
        <v/>
      </c>
      <c r="S1453" s="317" t="str">
        <f t="shared" si="110"/>
        <v/>
      </c>
      <c r="T1453" s="317" t="str">
        <f>GLOBAL_DER_FEV_2023!S1453</f>
        <v/>
      </c>
      <c r="W1453" s="582">
        <v>0</v>
      </c>
      <c r="X1453" s="580"/>
      <c r="Y1453" s="583">
        <f>IF(GLOBAL_DER_FEV_2023!W1453=0,0,IF(GLOBAL_DER_FEV_2023!W1453&gt;0,"c","b"))</f>
        <v>0</v>
      </c>
    </row>
    <row r="1454" spans="1:25" ht="13.5" hidden="1" thickBot="1" x14ac:dyDescent="0.25">
      <c r="A1454" s="317">
        <v>101641</v>
      </c>
      <c r="B1454" s="895">
        <v>101641</v>
      </c>
      <c r="C1454" s="896" t="s">
        <v>596</v>
      </c>
      <c r="D1454" s="906" t="s">
        <v>1379</v>
      </c>
      <c r="E1454" s="907">
        <f>GLOBAL_DER_FEV_2023!E1454</f>
        <v>0</v>
      </c>
      <c r="F1454" s="908">
        <f>GLOBAL_DER_FEV_2023!F1454</f>
        <v>0</v>
      </c>
      <c r="G1454" s="912">
        <f>GLOBAL_DER_FEV_2023!G1454</f>
        <v>0</v>
      </c>
      <c r="H1454" s="901">
        <f>GLOBAL_DER_FEV_2023!H1454</f>
        <v>54.66</v>
      </c>
      <c r="I1454" s="901">
        <f>GLOBAL_DER_FEV_2023!I1454</f>
        <v>54.66</v>
      </c>
      <c r="J1454" s="902">
        <f>GLOBAL_DER_FEV_2023!J1454</f>
        <v>65.63</v>
      </c>
      <c r="K1454" s="903" t="s">
        <v>1516</v>
      </c>
      <c r="L1454" s="1137"/>
      <c r="M1454" s="1138">
        <f t="shared" si="107"/>
        <v>0</v>
      </c>
      <c r="N1454" s="893">
        <f t="shared" si="111"/>
        <v>0</v>
      </c>
      <c r="O1454" s="905"/>
      <c r="Q1454" s="317" t="str">
        <f t="shared" si="108"/>
        <v/>
      </c>
      <c r="R1454" s="317" t="str">
        <f t="shared" si="109"/>
        <v/>
      </c>
      <c r="S1454" s="317" t="str">
        <f t="shared" si="110"/>
        <v/>
      </c>
      <c r="T1454" s="317" t="str">
        <f>GLOBAL_DER_FEV_2023!S1454</f>
        <v/>
      </c>
      <c r="W1454" s="582">
        <v>0</v>
      </c>
      <c r="X1454" s="580"/>
      <c r="Y1454" s="583">
        <f>IF(GLOBAL_DER_FEV_2023!W1454=0,0,IF(GLOBAL_DER_FEV_2023!W1454&gt;0,"c","b"))</f>
        <v>0</v>
      </c>
    </row>
    <row r="1455" spans="1:25" ht="13.5" hidden="1" thickBot="1" x14ac:dyDescent="0.25">
      <c r="A1455" s="317">
        <v>101642</v>
      </c>
      <c r="B1455" s="895">
        <v>101642</v>
      </c>
      <c r="C1455" s="896" t="s">
        <v>596</v>
      </c>
      <c r="D1455" s="906" t="s">
        <v>1380</v>
      </c>
      <c r="E1455" s="907">
        <f>GLOBAL_DER_FEV_2023!E1455</f>
        <v>0</v>
      </c>
      <c r="F1455" s="908">
        <f>GLOBAL_DER_FEV_2023!F1455</f>
        <v>0</v>
      </c>
      <c r="G1455" s="912">
        <f>GLOBAL_DER_FEV_2023!G1455</f>
        <v>0</v>
      </c>
      <c r="H1455" s="901">
        <f>GLOBAL_DER_FEV_2023!H1455</f>
        <v>27.5</v>
      </c>
      <c r="I1455" s="901">
        <f>GLOBAL_DER_FEV_2023!I1455</f>
        <v>27.5</v>
      </c>
      <c r="J1455" s="902">
        <f>GLOBAL_DER_FEV_2023!J1455</f>
        <v>33.020000000000003</v>
      </c>
      <c r="K1455" s="903" t="s">
        <v>1516</v>
      </c>
      <c r="L1455" s="1137"/>
      <c r="M1455" s="1138">
        <f t="shared" si="107"/>
        <v>0</v>
      </c>
      <c r="N1455" s="893">
        <f t="shared" si="111"/>
        <v>0</v>
      </c>
      <c r="O1455" s="905"/>
      <c r="Q1455" s="317" t="str">
        <f t="shared" si="108"/>
        <v/>
      </c>
      <c r="R1455" s="317" t="str">
        <f t="shared" si="109"/>
        <v/>
      </c>
      <c r="S1455" s="317" t="str">
        <f t="shared" si="110"/>
        <v/>
      </c>
      <c r="T1455" s="317" t="str">
        <f>GLOBAL_DER_FEV_2023!S1455</f>
        <v/>
      </c>
      <c r="W1455" s="582">
        <v>0</v>
      </c>
      <c r="X1455" s="580"/>
      <c r="Y1455" s="583">
        <f>IF(GLOBAL_DER_FEV_2023!W1455=0,0,IF(GLOBAL_DER_FEV_2023!W1455&gt;0,"c","b"))</f>
        <v>0</v>
      </c>
    </row>
    <row r="1456" spans="1:25" ht="13.5" hidden="1" thickBot="1" x14ac:dyDescent="0.25">
      <c r="A1456" s="317">
        <v>101643</v>
      </c>
      <c r="B1456" s="895">
        <v>101643</v>
      </c>
      <c r="C1456" s="896" t="s">
        <v>596</v>
      </c>
      <c r="D1456" s="906" t="s">
        <v>1381</v>
      </c>
      <c r="E1456" s="907">
        <f>GLOBAL_DER_FEV_2023!E1456</f>
        <v>0</v>
      </c>
      <c r="F1456" s="908">
        <f>GLOBAL_DER_FEV_2023!F1456</f>
        <v>0</v>
      </c>
      <c r="G1456" s="912">
        <f>GLOBAL_DER_FEV_2023!G1456</f>
        <v>0</v>
      </c>
      <c r="H1456" s="901">
        <f>GLOBAL_DER_FEV_2023!H1456</f>
        <v>47.73</v>
      </c>
      <c r="I1456" s="901">
        <f>GLOBAL_DER_FEV_2023!I1456</f>
        <v>47.73</v>
      </c>
      <c r="J1456" s="902">
        <f>GLOBAL_DER_FEV_2023!J1456</f>
        <v>57.31</v>
      </c>
      <c r="K1456" s="903" t="s">
        <v>1516</v>
      </c>
      <c r="L1456" s="1137"/>
      <c r="M1456" s="1138">
        <f t="shared" si="107"/>
        <v>0</v>
      </c>
      <c r="N1456" s="893">
        <f t="shared" si="111"/>
        <v>0</v>
      </c>
      <c r="O1456" s="905"/>
      <c r="Q1456" s="317" t="str">
        <f t="shared" si="108"/>
        <v/>
      </c>
      <c r="R1456" s="317" t="str">
        <f t="shared" si="109"/>
        <v/>
      </c>
      <c r="S1456" s="317" t="str">
        <f t="shared" si="110"/>
        <v/>
      </c>
      <c r="T1456" s="317" t="str">
        <f>GLOBAL_DER_FEV_2023!S1456</f>
        <v/>
      </c>
      <c r="W1456" s="582">
        <v>0</v>
      </c>
      <c r="X1456" s="580"/>
      <c r="Y1456" s="583">
        <f>IF(GLOBAL_DER_FEV_2023!W1456=0,0,IF(GLOBAL_DER_FEV_2023!W1456&gt;0,"c","b"))</f>
        <v>0</v>
      </c>
    </row>
    <row r="1457" spans="1:25" ht="13.5" hidden="1" thickBot="1" x14ac:dyDescent="0.25">
      <c r="A1457" s="317">
        <v>101644</v>
      </c>
      <c r="B1457" s="895">
        <v>101644</v>
      </c>
      <c r="C1457" s="896" t="s">
        <v>596</v>
      </c>
      <c r="D1457" s="906" t="s">
        <v>1382</v>
      </c>
      <c r="E1457" s="907">
        <f>GLOBAL_DER_FEV_2023!E1457</f>
        <v>0</v>
      </c>
      <c r="F1457" s="908">
        <f>GLOBAL_DER_FEV_2023!F1457</f>
        <v>0</v>
      </c>
      <c r="G1457" s="912">
        <f>GLOBAL_DER_FEV_2023!G1457</f>
        <v>0</v>
      </c>
      <c r="H1457" s="901">
        <f>GLOBAL_DER_FEV_2023!H1457</f>
        <v>64.540000000000006</v>
      </c>
      <c r="I1457" s="901">
        <f>GLOBAL_DER_FEV_2023!I1457</f>
        <v>64.540000000000006</v>
      </c>
      <c r="J1457" s="902">
        <f>GLOBAL_DER_FEV_2023!J1457</f>
        <v>77.489999999999995</v>
      </c>
      <c r="K1457" s="903" t="s">
        <v>1516</v>
      </c>
      <c r="L1457" s="1137"/>
      <c r="M1457" s="1138">
        <f t="shared" si="107"/>
        <v>0</v>
      </c>
      <c r="N1457" s="893">
        <f t="shared" si="111"/>
        <v>0</v>
      </c>
      <c r="O1457" s="905"/>
      <c r="Q1457" s="317" t="str">
        <f t="shared" si="108"/>
        <v/>
      </c>
      <c r="R1457" s="317" t="str">
        <f t="shared" si="109"/>
        <v/>
      </c>
      <c r="S1457" s="317" t="str">
        <f t="shared" si="110"/>
        <v/>
      </c>
      <c r="T1457" s="317" t="str">
        <f>GLOBAL_DER_FEV_2023!S1457</f>
        <v/>
      </c>
      <c r="W1457" s="582">
        <v>0</v>
      </c>
      <c r="X1457" s="580"/>
      <c r="Y1457" s="583">
        <f>IF(GLOBAL_DER_FEV_2023!W1457=0,0,IF(GLOBAL_DER_FEV_2023!W1457&gt;0,"c","b"))</f>
        <v>0</v>
      </c>
    </row>
    <row r="1458" spans="1:25" ht="13.5" hidden="1" thickBot="1" x14ac:dyDescent="0.25">
      <c r="A1458" s="317">
        <v>101645</v>
      </c>
      <c r="B1458" s="895">
        <v>101645</v>
      </c>
      <c r="C1458" s="896" t="s">
        <v>596</v>
      </c>
      <c r="D1458" s="906" t="s">
        <v>1383</v>
      </c>
      <c r="E1458" s="907">
        <f>GLOBAL_DER_FEV_2023!E1458</f>
        <v>0</v>
      </c>
      <c r="F1458" s="908">
        <f>GLOBAL_DER_FEV_2023!F1458</f>
        <v>0</v>
      </c>
      <c r="G1458" s="912">
        <f>GLOBAL_DER_FEV_2023!G1458</f>
        <v>0</v>
      </c>
      <c r="H1458" s="901">
        <f>GLOBAL_DER_FEV_2023!H1458</f>
        <v>30.63</v>
      </c>
      <c r="I1458" s="901">
        <f>GLOBAL_DER_FEV_2023!I1458</f>
        <v>30.63</v>
      </c>
      <c r="J1458" s="902">
        <f>GLOBAL_DER_FEV_2023!J1458</f>
        <v>36.78</v>
      </c>
      <c r="K1458" s="903" t="s">
        <v>1516</v>
      </c>
      <c r="L1458" s="1137"/>
      <c r="M1458" s="1138">
        <f t="shared" si="107"/>
        <v>0</v>
      </c>
      <c r="N1458" s="893">
        <f t="shared" si="111"/>
        <v>0</v>
      </c>
      <c r="O1458" s="905"/>
      <c r="Q1458" s="317" t="str">
        <f t="shared" si="108"/>
        <v/>
      </c>
      <c r="R1458" s="317" t="str">
        <f t="shared" si="109"/>
        <v/>
      </c>
      <c r="S1458" s="317" t="str">
        <f t="shared" si="110"/>
        <v/>
      </c>
      <c r="T1458" s="317" t="str">
        <f>GLOBAL_DER_FEV_2023!S1458</f>
        <v/>
      </c>
      <c r="W1458" s="582">
        <v>0</v>
      </c>
      <c r="X1458" s="580"/>
      <c r="Y1458" s="583">
        <f>IF(GLOBAL_DER_FEV_2023!W1458=0,0,IF(GLOBAL_DER_FEV_2023!W1458&gt;0,"c","b"))</f>
        <v>0</v>
      </c>
    </row>
    <row r="1459" spans="1:25" ht="13.5" hidden="1" thickBot="1" x14ac:dyDescent="0.25">
      <c r="A1459" s="317">
        <v>101646</v>
      </c>
      <c r="B1459" s="895">
        <v>101646</v>
      </c>
      <c r="C1459" s="896" t="s">
        <v>596</v>
      </c>
      <c r="D1459" s="906" t="s">
        <v>1384</v>
      </c>
      <c r="E1459" s="907">
        <f>GLOBAL_DER_FEV_2023!E1459</f>
        <v>0</v>
      </c>
      <c r="F1459" s="908">
        <f>GLOBAL_DER_FEV_2023!F1459</f>
        <v>0</v>
      </c>
      <c r="G1459" s="912">
        <f>GLOBAL_DER_FEV_2023!G1459</f>
        <v>0</v>
      </c>
      <c r="H1459" s="901">
        <f>GLOBAL_DER_FEV_2023!H1459</f>
        <v>40.630000000000003</v>
      </c>
      <c r="I1459" s="901">
        <f>GLOBAL_DER_FEV_2023!I1459</f>
        <v>40.630000000000003</v>
      </c>
      <c r="J1459" s="902">
        <f>GLOBAL_DER_FEV_2023!J1459</f>
        <v>48.78</v>
      </c>
      <c r="K1459" s="903" t="s">
        <v>1516</v>
      </c>
      <c r="L1459" s="1137"/>
      <c r="M1459" s="1138">
        <f t="shared" si="107"/>
        <v>0</v>
      </c>
      <c r="N1459" s="893">
        <f t="shared" si="111"/>
        <v>0</v>
      </c>
      <c r="O1459" s="905"/>
      <c r="Q1459" s="317" t="str">
        <f t="shared" si="108"/>
        <v/>
      </c>
      <c r="R1459" s="317" t="str">
        <f t="shared" si="109"/>
        <v/>
      </c>
      <c r="S1459" s="317" t="str">
        <f t="shared" si="110"/>
        <v/>
      </c>
      <c r="T1459" s="317" t="str">
        <f>GLOBAL_DER_FEV_2023!S1459</f>
        <v/>
      </c>
      <c r="W1459" s="582">
        <v>0</v>
      </c>
      <c r="X1459" s="580"/>
      <c r="Y1459" s="583">
        <f>IF(GLOBAL_DER_FEV_2023!W1459=0,0,IF(GLOBAL_DER_FEV_2023!W1459&gt;0,"c","b"))</f>
        <v>0</v>
      </c>
    </row>
    <row r="1460" spans="1:25" ht="13.5" hidden="1" thickBot="1" x14ac:dyDescent="0.25">
      <c r="A1460" s="317">
        <v>101647</v>
      </c>
      <c r="B1460" s="895">
        <v>101647</v>
      </c>
      <c r="C1460" s="896" t="s">
        <v>596</v>
      </c>
      <c r="D1460" s="906" t="s">
        <v>1385</v>
      </c>
      <c r="E1460" s="907">
        <f>GLOBAL_DER_FEV_2023!E1460</f>
        <v>0</v>
      </c>
      <c r="F1460" s="908">
        <f>GLOBAL_DER_FEV_2023!F1460</f>
        <v>0</v>
      </c>
      <c r="G1460" s="912">
        <f>GLOBAL_DER_FEV_2023!G1460</f>
        <v>0</v>
      </c>
      <c r="H1460" s="901">
        <f>GLOBAL_DER_FEV_2023!H1460</f>
        <v>74.489999999999995</v>
      </c>
      <c r="I1460" s="901">
        <f>GLOBAL_DER_FEV_2023!I1460</f>
        <v>74.489999999999995</v>
      </c>
      <c r="J1460" s="902">
        <f>GLOBAL_DER_FEV_2023!J1460</f>
        <v>89.44</v>
      </c>
      <c r="K1460" s="903" t="s">
        <v>1516</v>
      </c>
      <c r="L1460" s="1137"/>
      <c r="M1460" s="1138">
        <f t="shared" si="107"/>
        <v>0</v>
      </c>
      <c r="N1460" s="893">
        <f t="shared" si="111"/>
        <v>0</v>
      </c>
      <c r="O1460" s="905"/>
      <c r="Q1460" s="317" t="str">
        <f t="shared" si="108"/>
        <v/>
      </c>
      <c r="R1460" s="317" t="str">
        <f t="shared" si="109"/>
        <v/>
      </c>
      <c r="S1460" s="317" t="str">
        <f t="shared" si="110"/>
        <v/>
      </c>
      <c r="T1460" s="317" t="str">
        <f>GLOBAL_DER_FEV_2023!S1460</f>
        <v/>
      </c>
      <c r="W1460" s="582">
        <v>0</v>
      </c>
      <c r="X1460" s="580"/>
      <c r="Y1460" s="583">
        <f>IF(GLOBAL_DER_FEV_2023!W1460=0,0,IF(GLOBAL_DER_FEV_2023!W1460&gt;0,"c","b"))</f>
        <v>0</v>
      </c>
    </row>
    <row r="1461" spans="1:25" ht="23.25" hidden="1" thickBot="1" x14ac:dyDescent="0.25">
      <c r="A1461" s="317">
        <v>102085</v>
      </c>
      <c r="B1461" s="895">
        <v>102085</v>
      </c>
      <c r="C1461" s="896" t="s">
        <v>596</v>
      </c>
      <c r="D1461" s="906" t="s">
        <v>1386</v>
      </c>
      <c r="E1461" s="907">
        <f>GLOBAL_DER_FEV_2023!E1461</f>
        <v>0</v>
      </c>
      <c r="F1461" s="908">
        <f>GLOBAL_DER_FEV_2023!F1461</f>
        <v>0</v>
      </c>
      <c r="G1461" s="912">
        <f>GLOBAL_DER_FEV_2023!G1461</f>
        <v>0</v>
      </c>
      <c r="H1461" s="901">
        <f>GLOBAL_DER_FEV_2023!H1461</f>
        <v>228.92</v>
      </c>
      <c r="I1461" s="901">
        <f>GLOBAL_DER_FEV_2023!I1461</f>
        <v>228.92</v>
      </c>
      <c r="J1461" s="902">
        <f>GLOBAL_DER_FEV_2023!J1461</f>
        <v>274.86</v>
      </c>
      <c r="K1461" s="903" t="s">
        <v>1516</v>
      </c>
      <c r="L1461" s="1137"/>
      <c r="M1461" s="1138">
        <f t="shared" si="107"/>
        <v>0</v>
      </c>
      <c r="N1461" s="893">
        <f t="shared" si="111"/>
        <v>0</v>
      </c>
      <c r="O1461" s="905"/>
      <c r="Q1461" s="317" t="str">
        <f t="shared" si="108"/>
        <v/>
      </c>
      <c r="R1461" s="317" t="str">
        <f t="shared" si="109"/>
        <v/>
      </c>
      <c r="S1461" s="317" t="str">
        <f t="shared" si="110"/>
        <v/>
      </c>
      <c r="T1461" s="317" t="str">
        <f>GLOBAL_DER_FEV_2023!S1461</f>
        <v/>
      </c>
      <c r="W1461" s="582">
        <v>0</v>
      </c>
      <c r="X1461" s="580"/>
      <c r="Y1461" s="583">
        <f>IF(GLOBAL_DER_FEV_2023!W1461=0,0,IF(GLOBAL_DER_FEV_2023!W1461&gt;0,"c","b"))</f>
        <v>0</v>
      </c>
    </row>
    <row r="1462" spans="1:25" ht="23.25" hidden="1" thickBot="1" x14ac:dyDescent="0.25">
      <c r="A1462" s="317">
        <v>97605</v>
      </c>
      <c r="B1462" s="895">
        <v>97605</v>
      </c>
      <c r="C1462" s="896" t="s">
        <v>596</v>
      </c>
      <c r="D1462" s="906" t="s">
        <v>1387</v>
      </c>
      <c r="E1462" s="907">
        <f>GLOBAL_DER_FEV_2023!E1462</f>
        <v>0</v>
      </c>
      <c r="F1462" s="908">
        <f>GLOBAL_DER_FEV_2023!F1462</f>
        <v>0</v>
      </c>
      <c r="G1462" s="912">
        <f>GLOBAL_DER_FEV_2023!G1462</f>
        <v>0</v>
      </c>
      <c r="H1462" s="901">
        <f>GLOBAL_DER_FEV_2023!H1462</f>
        <v>105.71</v>
      </c>
      <c r="I1462" s="901">
        <f>GLOBAL_DER_FEV_2023!I1462</f>
        <v>105.71</v>
      </c>
      <c r="J1462" s="902">
        <f>GLOBAL_DER_FEV_2023!J1462</f>
        <v>126.93</v>
      </c>
      <c r="K1462" s="903" t="s">
        <v>1516</v>
      </c>
      <c r="L1462" s="1137"/>
      <c r="M1462" s="1138">
        <f t="shared" si="107"/>
        <v>0</v>
      </c>
      <c r="N1462" s="893">
        <f t="shared" si="111"/>
        <v>0</v>
      </c>
      <c r="O1462" s="905"/>
      <c r="Q1462" s="317" t="str">
        <f t="shared" si="108"/>
        <v/>
      </c>
      <c r="R1462" s="317" t="str">
        <f t="shared" si="109"/>
        <v/>
      </c>
      <c r="S1462" s="317" t="str">
        <f t="shared" si="110"/>
        <v/>
      </c>
      <c r="T1462" s="317" t="str">
        <f>GLOBAL_DER_FEV_2023!S1462</f>
        <v/>
      </c>
      <c r="W1462" s="582">
        <v>0</v>
      </c>
      <c r="X1462" s="580"/>
      <c r="Y1462" s="583">
        <f>IF(GLOBAL_DER_FEV_2023!W1462=0,0,IF(GLOBAL_DER_FEV_2023!W1462&gt;0,"c","b"))</f>
        <v>0</v>
      </c>
    </row>
    <row r="1463" spans="1:25" ht="23.25" hidden="1" thickBot="1" x14ac:dyDescent="0.25">
      <c r="A1463" s="317">
        <v>101654</v>
      </c>
      <c r="B1463" s="895">
        <v>101654</v>
      </c>
      <c r="C1463" s="896" t="s">
        <v>596</v>
      </c>
      <c r="D1463" s="906" t="s">
        <v>1388</v>
      </c>
      <c r="E1463" s="907">
        <f>GLOBAL_DER_FEV_2023!E1463</f>
        <v>0</v>
      </c>
      <c r="F1463" s="908">
        <f>GLOBAL_DER_FEV_2023!F1463</f>
        <v>0</v>
      </c>
      <c r="G1463" s="912">
        <f>GLOBAL_DER_FEV_2023!G1463</f>
        <v>0</v>
      </c>
      <c r="H1463" s="901">
        <f>GLOBAL_DER_FEV_2023!H1463</f>
        <v>292.29000000000002</v>
      </c>
      <c r="I1463" s="901">
        <f>GLOBAL_DER_FEV_2023!I1463</f>
        <v>292.29000000000002</v>
      </c>
      <c r="J1463" s="902">
        <f>GLOBAL_DER_FEV_2023!J1463</f>
        <v>350.95</v>
      </c>
      <c r="K1463" s="903" t="s">
        <v>1516</v>
      </c>
      <c r="L1463" s="1137"/>
      <c r="M1463" s="1138">
        <f t="shared" si="107"/>
        <v>0</v>
      </c>
      <c r="N1463" s="893">
        <f t="shared" si="111"/>
        <v>0</v>
      </c>
      <c r="O1463" s="905"/>
      <c r="Q1463" s="317" t="str">
        <f t="shared" si="108"/>
        <v/>
      </c>
      <c r="R1463" s="317" t="str">
        <f t="shared" si="109"/>
        <v/>
      </c>
      <c r="S1463" s="317" t="str">
        <f t="shared" si="110"/>
        <v/>
      </c>
      <c r="T1463" s="317" t="str">
        <f>GLOBAL_DER_FEV_2023!S1463</f>
        <v/>
      </c>
      <c r="W1463" s="582">
        <v>0</v>
      </c>
      <c r="X1463" s="580"/>
      <c r="Y1463" s="583">
        <f>IF(GLOBAL_DER_FEV_2023!W1463=0,0,IF(GLOBAL_DER_FEV_2023!W1463&gt;0,"c","b"))</f>
        <v>0</v>
      </c>
    </row>
    <row r="1464" spans="1:25" ht="23.25" hidden="1" thickBot="1" x14ac:dyDescent="0.25">
      <c r="A1464" s="317">
        <v>101655</v>
      </c>
      <c r="B1464" s="895">
        <v>101655</v>
      </c>
      <c r="C1464" s="896" t="s">
        <v>596</v>
      </c>
      <c r="D1464" s="906" t="s">
        <v>1389</v>
      </c>
      <c r="E1464" s="907">
        <f>GLOBAL_DER_FEV_2023!E1464</f>
        <v>0</v>
      </c>
      <c r="F1464" s="908">
        <f>GLOBAL_DER_FEV_2023!F1464</f>
        <v>0</v>
      </c>
      <c r="G1464" s="912">
        <f>GLOBAL_DER_FEV_2023!G1464</f>
        <v>0</v>
      </c>
      <c r="H1464" s="901">
        <f>GLOBAL_DER_FEV_2023!H1464</f>
        <v>473.09</v>
      </c>
      <c r="I1464" s="901">
        <f>GLOBAL_DER_FEV_2023!I1464</f>
        <v>473.09</v>
      </c>
      <c r="J1464" s="902">
        <f>GLOBAL_DER_FEV_2023!J1464</f>
        <v>568.04</v>
      </c>
      <c r="K1464" s="903" t="s">
        <v>1516</v>
      </c>
      <c r="L1464" s="1137"/>
      <c r="M1464" s="1138">
        <f t="shared" si="107"/>
        <v>0</v>
      </c>
      <c r="N1464" s="893">
        <f t="shared" si="111"/>
        <v>0</v>
      </c>
      <c r="O1464" s="905"/>
      <c r="Q1464" s="317" t="str">
        <f t="shared" si="108"/>
        <v/>
      </c>
      <c r="R1464" s="317" t="str">
        <f t="shared" si="109"/>
        <v/>
      </c>
      <c r="S1464" s="317" t="str">
        <f t="shared" si="110"/>
        <v/>
      </c>
      <c r="T1464" s="317" t="str">
        <f>GLOBAL_DER_FEV_2023!S1464</f>
        <v/>
      </c>
      <c r="W1464" s="582">
        <v>0</v>
      </c>
      <c r="X1464" s="580"/>
      <c r="Y1464" s="583">
        <f>IF(GLOBAL_DER_FEV_2023!W1464=0,0,IF(GLOBAL_DER_FEV_2023!W1464&gt;0,"c","b"))</f>
        <v>0</v>
      </c>
    </row>
    <row r="1465" spans="1:25" ht="23.25" hidden="1" thickBot="1" x14ac:dyDescent="0.25">
      <c r="A1465" s="317">
        <v>101656</v>
      </c>
      <c r="B1465" s="895">
        <v>101656</v>
      </c>
      <c r="C1465" s="896" t="s">
        <v>596</v>
      </c>
      <c r="D1465" s="906" t="s">
        <v>1390</v>
      </c>
      <c r="E1465" s="907">
        <f>GLOBAL_DER_FEV_2023!E1465</f>
        <v>0</v>
      </c>
      <c r="F1465" s="908">
        <f>GLOBAL_DER_FEV_2023!F1465</f>
        <v>0</v>
      </c>
      <c r="G1465" s="912">
        <f>GLOBAL_DER_FEV_2023!G1465</f>
        <v>0</v>
      </c>
      <c r="H1465" s="901">
        <f>GLOBAL_DER_FEV_2023!H1465</f>
        <v>515.30999999999995</v>
      </c>
      <c r="I1465" s="901">
        <f>GLOBAL_DER_FEV_2023!I1465</f>
        <v>515.30999999999995</v>
      </c>
      <c r="J1465" s="902">
        <f>GLOBAL_DER_FEV_2023!J1465</f>
        <v>618.73</v>
      </c>
      <c r="K1465" s="903" t="s">
        <v>1516</v>
      </c>
      <c r="L1465" s="1137"/>
      <c r="M1465" s="1138">
        <f t="shared" si="107"/>
        <v>0</v>
      </c>
      <c r="N1465" s="893">
        <f t="shared" si="111"/>
        <v>0</v>
      </c>
      <c r="O1465" s="905"/>
      <c r="Q1465" s="317" t="str">
        <f t="shared" si="108"/>
        <v/>
      </c>
      <c r="R1465" s="317" t="str">
        <f t="shared" si="109"/>
        <v/>
      </c>
      <c r="S1465" s="317" t="str">
        <f t="shared" si="110"/>
        <v/>
      </c>
      <c r="T1465" s="317" t="str">
        <f>GLOBAL_DER_FEV_2023!S1465</f>
        <v/>
      </c>
      <c r="W1465" s="582">
        <v>0</v>
      </c>
      <c r="X1465" s="580"/>
      <c r="Y1465" s="583">
        <f>IF(GLOBAL_DER_FEV_2023!W1465=0,0,IF(GLOBAL_DER_FEV_2023!W1465&gt;0,"c","b"))</f>
        <v>0</v>
      </c>
    </row>
    <row r="1466" spans="1:25" ht="23.25" hidden="1" thickBot="1" x14ac:dyDescent="0.25">
      <c r="A1466" s="317">
        <v>101657</v>
      </c>
      <c r="B1466" s="895">
        <v>101657</v>
      </c>
      <c r="C1466" s="896" t="s">
        <v>596</v>
      </c>
      <c r="D1466" s="906" t="s">
        <v>1391</v>
      </c>
      <c r="E1466" s="907">
        <f>GLOBAL_DER_FEV_2023!E1466</f>
        <v>0</v>
      </c>
      <c r="F1466" s="908">
        <f>GLOBAL_DER_FEV_2023!F1466</f>
        <v>0</v>
      </c>
      <c r="G1466" s="912">
        <f>GLOBAL_DER_FEV_2023!G1466</f>
        <v>0</v>
      </c>
      <c r="H1466" s="901">
        <f>GLOBAL_DER_FEV_2023!H1466</f>
        <v>605.23</v>
      </c>
      <c r="I1466" s="901">
        <f>GLOBAL_DER_FEV_2023!I1466</f>
        <v>605.23</v>
      </c>
      <c r="J1466" s="902">
        <f>GLOBAL_DER_FEV_2023!J1466</f>
        <v>726.7</v>
      </c>
      <c r="K1466" s="903" t="s">
        <v>1516</v>
      </c>
      <c r="L1466" s="1137"/>
      <c r="M1466" s="1138">
        <f t="shared" si="107"/>
        <v>0</v>
      </c>
      <c r="N1466" s="893">
        <f t="shared" si="111"/>
        <v>0</v>
      </c>
      <c r="O1466" s="905"/>
      <c r="Q1466" s="317" t="str">
        <f t="shared" si="108"/>
        <v/>
      </c>
      <c r="R1466" s="317" t="str">
        <f t="shared" si="109"/>
        <v/>
      </c>
      <c r="S1466" s="317" t="str">
        <f t="shared" si="110"/>
        <v/>
      </c>
      <c r="T1466" s="317" t="str">
        <f>GLOBAL_DER_FEV_2023!S1466</f>
        <v/>
      </c>
      <c r="W1466" s="582">
        <v>0</v>
      </c>
      <c r="X1466" s="580"/>
      <c r="Y1466" s="583">
        <f>IF(GLOBAL_DER_FEV_2023!W1466=0,0,IF(GLOBAL_DER_FEV_2023!W1466&gt;0,"c","b"))</f>
        <v>0</v>
      </c>
    </row>
    <row r="1467" spans="1:25" ht="23.25" hidden="1" thickBot="1" x14ac:dyDescent="0.25">
      <c r="A1467" s="317">
        <v>101658</v>
      </c>
      <c r="B1467" s="895">
        <v>101658</v>
      </c>
      <c r="C1467" s="896" t="s">
        <v>596</v>
      </c>
      <c r="D1467" s="906" t="s">
        <v>1392</v>
      </c>
      <c r="E1467" s="907">
        <f>GLOBAL_DER_FEV_2023!E1467</f>
        <v>0</v>
      </c>
      <c r="F1467" s="908">
        <f>GLOBAL_DER_FEV_2023!F1467</f>
        <v>0</v>
      </c>
      <c r="G1467" s="912">
        <f>GLOBAL_DER_FEV_2023!G1467</f>
        <v>0</v>
      </c>
      <c r="H1467" s="901">
        <f>GLOBAL_DER_FEV_2023!H1467</f>
        <v>790.12</v>
      </c>
      <c r="I1467" s="901">
        <f>GLOBAL_DER_FEV_2023!I1467</f>
        <v>790.12</v>
      </c>
      <c r="J1467" s="902">
        <f>GLOBAL_DER_FEV_2023!J1467</f>
        <v>948.7</v>
      </c>
      <c r="K1467" s="903" t="s">
        <v>1516</v>
      </c>
      <c r="L1467" s="1137"/>
      <c r="M1467" s="1138">
        <f t="shared" si="107"/>
        <v>0</v>
      </c>
      <c r="N1467" s="893">
        <f t="shared" si="111"/>
        <v>0</v>
      </c>
      <c r="O1467" s="905"/>
      <c r="Q1467" s="317" t="str">
        <f t="shared" si="108"/>
        <v/>
      </c>
      <c r="R1467" s="317" t="str">
        <f t="shared" si="109"/>
        <v/>
      </c>
      <c r="S1467" s="317" t="str">
        <f t="shared" si="110"/>
        <v/>
      </c>
      <c r="T1467" s="317" t="str">
        <f>GLOBAL_DER_FEV_2023!S1467</f>
        <v/>
      </c>
      <c r="W1467" s="582">
        <v>0</v>
      </c>
      <c r="X1467" s="580"/>
      <c r="Y1467" s="583">
        <f>IF(GLOBAL_DER_FEV_2023!W1467=0,0,IF(GLOBAL_DER_FEV_2023!W1467&gt;0,"c","b"))</f>
        <v>0</v>
      </c>
    </row>
    <row r="1468" spans="1:25" ht="23.25" hidden="1" thickBot="1" x14ac:dyDescent="0.25">
      <c r="A1468" s="317">
        <v>101659</v>
      </c>
      <c r="B1468" s="895">
        <v>101659</v>
      </c>
      <c r="C1468" s="896" t="s">
        <v>596</v>
      </c>
      <c r="D1468" s="906" t="s">
        <v>1393</v>
      </c>
      <c r="E1468" s="907">
        <f>GLOBAL_DER_FEV_2023!E1468</f>
        <v>0</v>
      </c>
      <c r="F1468" s="908">
        <f>GLOBAL_DER_FEV_2023!F1468</f>
        <v>0</v>
      </c>
      <c r="G1468" s="912">
        <f>GLOBAL_DER_FEV_2023!G1468</f>
        <v>0</v>
      </c>
      <c r="H1468" s="901">
        <f>GLOBAL_DER_FEV_2023!H1468</f>
        <v>905.12</v>
      </c>
      <c r="I1468" s="901">
        <f>GLOBAL_DER_FEV_2023!I1468</f>
        <v>905.12</v>
      </c>
      <c r="J1468" s="902">
        <f>GLOBAL_DER_FEV_2023!J1468</f>
        <v>1086.78</v>
      </c>
      <c r="K1468" s="903" t="s">
        <v>1516</v>
      </c>
      <c r="L1468" s="1137"/>
      <c r="M1468" s="1138">
        <f t="shared" si="107"/>
        <v>0</v>
      </c>
      <c r="N1468" s="893">
        <f t="shared" si="111"/>
        <v>0</v>
      </c>
      <c r="O1468" s="905"/>
      <c r="Q1468" s="317" t="str">
        <f t="shared" si="108"/>
        <v/>
      </c>
      <c r="R1468" s="317" t="str">
        <f t="shared" si="109"/>
        <v/>
      </c>
      <c r="S1468" s="317" t="str">
        <f t="shared" si="110"/>
        <v/>
      </c>
      <c r="T1468" s="317" t="str">
        <f>GLOBAL_DER_FEV_2023!S1468</f>
        <v/>
      </c>
      <c r="W1468" s="582">
        <v>0</v>
      </c>
      <c r="X1468" s="580"/>
      <c r="Y1468" s="583">
        <f>IF(GLOBAL_DER_FEV_2023!W1468=0,0,IF(GLOBAL_DER_FEV_2023!W1468&gt;0,"c","b"))</f>
        <v>0</v>
      </c>
    </row>
    <row r="1469" spans="1:25" ht="23.25" hidden="1" thickBot="1" x14ac:dyDescent="0.25">
      <c r="A1469" s="317">
        <v>101660</v>
      </c>
      <c r="B1469" s="895">
        <v>101660</v>
      </c>
      <c r="C1469" s="896" t="s">
        <v>596</v>
      </c>
      <c r="D1469" s="906" t="s">
        <v>1394</v>
      </c>
      <c r="E1469" s="907">
        <f>GLOBAL_DER_FEV_2023!E1469</f>
        <v>0</v>
      </c>
      <c r="F1469" s="908">
        <f>GLOBAL_DER_FEV_2023!F1469</f>
        <v>0</v>
      </c>
      <c r="G1469" s="912">
        <f>GLOBAL_DER_FEV_2023!G1469</f>
        <v>0</v>
      </c>
      <c r="H1469" s="901">
        <f>GLOBAL_DER_FEV_2023!H1469</f>
        <v>1447.98</v>
      </c>
      <c r="I1469" s="901">
        <f>GLOBAL_DER_FEV_2023!I1469</f>
        <v>1447.98</v>
      </c>
      <c r="J1469" s="902">
        <f>GLOBAL_DER_FEV_2023!J1469</f>
        <v>1738.59</v>
      </c>
      <c r="K1469" s="903" t="s">
        <v>1516</v>
      </c>
      <c r="L1469" s="1137"/>
      <c r="M1469" s="1138">
        <f t="shared" si="107"/>
        <v>0</v>
      </c>
      <c r="N1469" s="893">
        <f t="shared" si="111"/>
        <v>0</v>
      </c>
      <c r="O1469" s="905"/>
      <c r="Q1469" s="317" t="str">
        <f t="shared" si="108"/>
        <v/>
      </c>
      <c r="R1469" s="317" t="str">
        <f t="shared" si="109"/>
        <v/>
      </c>
      <c r="S1469" s="317" t="str">
        <f t="shared" si="110"/>
        <v/>
      </c>
      <c r="T1469" s="317" t="str">
        <f>GLOBAL_DER_FEV_2023!S1469</f>
        <v/>
      </c>
      <c r="W1469" s="582">
        <v>0</v>
      </c>
      <c r="X1469" s="580"/>
      <c r="Y1469" s="583">
        <f>IF(GLOBAL_DER_FEV_2023!W1469=0,0,IF(GLOBAL_DER_FEV_2023!W1469&gt;0,"c","b"))</f>
        <v>0</v>
      </c>
    </row>
    <row r="1470" spans="1:25" ht="23.25" hidden="1" thickBot="1" x14ac:dyDescent="0.25">
      <c r="A1470" s="317">
        <v>97606</v>
      </c>
      <c r="B1470" s="895">
        <v>97606</v>
      </c>
      <c r="C1470" s="896" t="s">
        <v>596</v>
      </c>
      <c r="D1470" s="906" t="s">
        <v>1395</v>
      </c>
      <c r="E1470" s="907">
        <f>GLOBAL_DER_FEV_2023!E1470</f>
        <v>0</v>
      </c>
      <c r="F1470" s="908">
        <f>GLOBAL_DER_FEV_2023!F1470</f>
        <v>0</v>
      </c>
      <c r="G1470" s="912">
        <f>GLOBAL_DER_FEV_2023!G1470</f>
        <v>0</v>
      </c>
      <c r="H1470" s="901">
        <f>GLOBAL_DER_FEV_2023!H1470</f>
        <v>114.57</v>
      </c>
      <c r="I1470" s="901">
        <f>GLOBAL_DER_FEV_2023!I1470</f>
        <v>114.57</v>
      </c>
      <c r="J1470" s="902">
        <f>GLOBAL_DER_FEV_2023!J1470</f>
        <v>137.56</v>
      </c>
      <c r="K1470" s="903" t="s">
        <v>1516</v>
      </c>
      <c r="L1470" s="1137"/>
      <c r="M1470" s="1138">
        <f t="shared" si="107"/>
        <v>0</v>
      </c>
      <c r="N1470" s="893">
        <f t="shared" si="111"/>
        <v>0</v>
      </c>
      <c r="O1470" s="905"/>
      <c r="Q1470" s="317" t="str">
        <f t="shared" si="108"/>
        <v/>
      </c>
      <c r="R1470" s="317" t="str">
        <f t="shared" si="109"/>
        <v/>
      </c>
      <c r="S1470" s="317" t="str">
        <f t="shared" si="110"/>
        <v/>
      </c>
      <c r="T1470" s="317" t="str">
        <f>GLOBAL_DER_FEV_2023!S1470</f>
        <v/>
      </c>
      <c r="W1470" s="582">
        <v>0</v>
      </c>
      <c r="X1470" s="580"/>
      <c r="Y1470" s="583">
        <f>IF(GLOBAL_DER_FEV_2023!W1470=0,0,IF(GLOBAL_DER_FEV_2023!W1470&gt;0,"c","b"))</f>
        <v>0</v>
      </c>
    </row>
    <row r="1471" spans="1:25" ht="23.25" hidden="1" thickBot="1" x14ac:dyDescent="0.25">
      <c r="A1471" s="317">
        <v>97607</v>
      </c>
      <c r="B1471" s="895">
        <v>97607</v>
      </c>
      <c r="C1471" s="896" t="s">
        <v>596</v>
      </c>
      <c r="D1471" s="906" t="s">
        <v>1396</v>
      </c>
      <c r="E1471" s="907">
        <f>GLOBAL_DER_FEV_2023!E1471</f>
        <v>0</v>
      </c>
      <c r="F1471" s="908">
        <f>GLOBAL_DER_FEV_2023!F1471</f>
        <v>0</v>
      </c>
      <c r="G1471" s="912">
        <f>GLOBAL_DER_FEV_2023!G1471</f>
        <v>0</v>
      </c>
      <c r="H1471" s="901">
        <f>GLOBAL_DER_FEV_2023!H1471</f>
        <v>127.64</v>
      </c>
      <c r="I1471" s="901">
        <f>GLOBAL_DER_FEV_2023!I1471</f>
        <v>127.64</v>
      </c>
      <c r="J1471" s="902">
        <f>GLOBAL_DER_FEV_2023!J1471</f>
        <v>153.26</v>
      </c>
      <c r="K1471" s="903" t="s">
        <v>1516</v>
      </c>
      <c r="L1471" s="1137"/>
      <c r="M1471" s="1138">
        <f t="shared" si="107"/>
        <v>0</v>
      </c>
      <c r="N1471" s="893">
        <f t="shared" si="111"/>
        <v>0</v>
      </c>
      <c r="O1471" s="905"/>
      <c r="Q1471" s="317" t="str">
        <f t="shared" si="108"/>
        <v/>
      </c>
      <c r="R1471" s="317" t="str">
        <f t="shared" si="109"/>
        <v/>
      </c>
      <c r="S1471" s="317" t="str">
        <f t="shared" si="110"/>
        <v/>
      </c>
      <c r="T1471" s="317" t="str">
        <f>GLOBAL_DER_FEV_2023!S1471</f>
        <v/>
      </c>
      <c r="W1471" s="582">
        <v>0</v>
      </c>
      <c r="X1471" s="580"/>
      <c r="Y1471" s="583">
        <f>IF(GLOBAL_DER_FEV_2023!W1471=0,0,IF(GLOBAL_DER_FEV_2023!W1471&gt;0,"c","b"))</f>
        <v>0</v>
      </c>
    </row>
    <row r="1472" spans="1:25" ht="34.5" hidden="1" thickBot="1" x14ac:dyDescent="0.25">
      <c r="A1472" s="317">
        <v>97608</v>
      </c>
      <c r="B1472" s="895">
        <v>97608</v>
      </c>
      <c r="C1472" s="896" t="s">
        <v>596</v>
      </c>
      <c r="D1472" s="906" t="s">
        <v>1397</v>
      </c>
      <c r="E1472" s="907">
        <f>GLOBAL_DER_FEV_2023!E1472</f>
        <v>0</v>
      </c>
      <c r="F1472" s="908">
        <f>GLOBAL_DER_FEV_2023!F1472</f>
        <v>0</v>
      </c>
      <c r="G1472" s="912">
        <f>GLOBAL_DER_FEV_2023!G1472</f>
        <v>0</v>
      </c>
      <c r="H1472" s="901">
        <f>GLOBAL_DER_FEV_2023!H1472</f>
        <v>136.5</v>
      </c>
      <c r="I1472" s="901">
        <f>GLOBAL_DER_FEV_2023!I1472</f>
        <v>136.5</v>
      </c>
      <c r="J1472" s="902">
        <f>GLOBAL_DER_FEV_2023!J1472</f>
        <v>163.9</v>
      </c>
      <c r="K1472" s="903" t="s">
        <v>1516</v>
      </c>
      <c r="L1472" s="1137"/>
      <c r="M1472" s="1138">
        <f t="shared" si="107"/>
        <v>0</v>
      </c>
      <c r="N1472" s="893">
        <f t="shared" si="111"/>
        <v>0</v>
      </c>
      <c r="O1472" s="905"/>
      <c r="Q1472" s="317" t="str">
        <f t="shared" si="108"/>
        <v/>
      </c>
      <c r="R1472" s="317" t="str">
        <f t="shared" si="109"/>
        <v/>
      </c>
      <c r="S1472" s="317" t="str">
        <f t="shared" si="110"/>
        <v/>
      </c>
      <c r="T1472" s="317" t="str">
        <f>GLOBAL_DER_FEV_2023!S1472</f>
        <v/>
      </c>
      <c r="W1472" s="582">
        <v>0</v>
      </c>
      <c r="X1472" s="580"/>
      <c r="Y1472" s="583">
        <f>IF(GLOBAL_DER_FEV_2023!W1472=0,0,IF(GLOBAL_DER_FEV_2023!W1472&gt;0,"c","b"))</f>
        <v>0</v>
      </c>
    </row>
    <row r="1473" spans="1:25" ht="23.25" hidden="1" thickBot="1" x14ac:dyDescent="0.25">
      <c r="A1473" s="317">
        <v>100902</v>
      </c>
      <c r="B1473" s="895">
        <v>100902</v>
      </c>
      <c r="C1473" s="896" t="s">
        <v>596</v>
      </c>
      <c r="D1473" s="906" t="s">
        <v>1398</v>
      </c>
      <c r="E1473" s="907">
        <f>GLOBAL_DER_FEV_2023!E1473</f>
        <v>0</v>
      </c>
      <c r="F1473" s="908">
        <f>GLOBAL_DER_FEV_2023!F1473</f>
        <v>0</v>
      </c>
      <c r="G1473" s="912">
        <f>GLOBAL_DER_FEV_2023!G1473</f>
        <v>0</v>
      </c>
      <c r="H1473" s="901">
        <f>GLOBAL_DER_FEV_2023!H1473</f>
        <v>29.72</v>
      </c>
      <c r="I1473" s="901">
        <f>GLOBAL_DER_FEV_2023!I1473</f>
        <v>29.72</v>
      </c>
      <c r="J1473" s="902">
        <f>GLOBAL_DER_FEV_2023!J1473</f>
        <v>35.68</v>
      </c>
      <c r="K1473" s="903" t="s">
        <v>1516</v>
      </c>
      <c r="L1473" s="1137"/>
      <c r="M1473" s="1138">
        <f t="shared" si="107"/>
        <v>0</v>
      </c>
      <c r="N1473" s="893">
        <f t="shared" si="111"/>
        <v>0</v>
      </c>
      <c r="O1473" s="905"/>
      <c r="Q1473" s="317" t="str">
        <f t="shared" si="108"/>
        <v/>
      </c>
      <c r="R1473" s="317" t="str">
        <f t="shared" si="109"/>
        <v/>
      </c>
      <c r="S1473" s="317" t="str">
        <f t="shared" si="110"/>
        <v/>
      </c>
      <c r="T1473" s="317" t="str">
        <f>GLOBAL_DER_FEV_2023!S1473</f>
        <v/>
      </c>
      <c r="W1473" s="582">
        <v>0</v>
      </c>
      <c r="X1473" s="580"/>
      <c r="Y1473" s="583">
        <f>IF(GLOBAL_DER_FEV_2023!W1473=0,0,IF(GLOBAL_DER_FEV_2023!W1473&gt;0,"c","b"))</f>
        <v>0</v>
      </c>
    </row>
    <row r="1474" spans="1:25" ht="23.25" hidden="1" thickBot="1" x14ac:dyDescent="0.25">
      <c r="A1474" s="317">
        <v>100903</v>
      </c>
      <c r="B1474" s="895">
        <v>100903</v>
      </c>
      <c r="C1474" s="896" t="s">
        <v>596</v>
      </c>
      <c r="D1474" s="906" t="s">
        <v>1399</v>
      </c>
      <c r="E1474" s="907">
        <f>GLOBAL_DER_FEV_2023!E1474</f>
        <v>0</v>
      </c>
      <c r="F1474" s="908">
        <f>GLOBAL_DER_FEV_2023!F1474</f>
        <v>0</v>
      </c>
      <c r="G1474" s="912">
        <f>GLOBAL_DER_FEV_2023!G1474</f>
        <v>0</v>
      </c>
      <c r="H1474" s="901">
        <f>GLOBAL_DER_FEV_2023!H1474</f>
        <v>34.54</v>
      </c>
      <c r="I1474" s="901">
        <f>GLOBAL_DER_FEV_2023!I1474</f>
        <v>34.54</v>
      </c>
      <c r="J1474" s="902">
        <f>GLOBAL_DER_FEV_2023!J1474</f>
        <v>41.47</v>
      </c>
      <c r="K1474" s="903" t="s">
        <v>1516</v>
      </c>
      <c r="L1474" s="1137"/>
      <c r="M1474" s="1138">
        <f t="shared" si="107"/>
        <v>0</v>
      </c>
      <c r="N1474" s="893">
        <f t="shared" si="111"/>
        <v>0</v>
      </c>
      <c r="O1474" s="905"/>
      <c r="Q1474" s="317" t="str">
        <f t="shared" si="108"/>
        <v/>
      </c>
      <c r="R1474" s="317" t="str">
        <f t="shared" si="109"/>
        <v/>
      </c>
      <c r="S1474" s="317" t="str">
        <f t="shared" si="110"/>
        <v/>
      </c>
      <c r="T1474" s="317" t="str">
        <f>GLOBAL_DER_FEV_2023!S1474</f>
        <v/>
      </c>
      <c r="W1474" s="582">
        <v>0</v>
      </c>
      <c r="X1474" s="580"/>
      <c r="Y1474" s="583">
        <f>IF(GLOBAL_DER_FEV_2023!W1474=0,0,IF(GLOBAL_DER_FEV_2023!W1474&gt;0,"c","b"))</f>
        <v>0</v>
      </c>
    </row>
    <row r="1475" spans="1:25" ht="34.5" hidden="1" thickBot="1" x14ac:dyDescent="0.25">
      <c r="A1475" s="317">
        <v>100904</v>
      </c>
      <c r="B1475" s="895">
        <v>100904</v>
      </c>
      <c r="C1475" s="896" t="s">
        <v>596</v>
      </c>
      <c r="D1475" s="906" t="s">
        <v>1400</v>
      </c>
      <c r="E1475" s="907">
        <f>GLOBAL_DER_FEV_2023!E1475</f>
        <v>0</v>
      </c>
      <c r="F1475" s="908">
        <f>GLOBAL_DER_FEV_2023!F1475</f>
        <v>0</v>
      </c>
      <c r="G1475" s="912">
        <f>GLOBAL_DER_FEV_2023!G1475</f>
        <v>0</v>
      </c>
      <c r="H1475" s="901">
        <f>GLOBAL_DER_FEV_2023!H1475</f>
        <v>99.02</v>
      </c>
      <c r="I1475" s="901">
        <f>GLOBAL_DER_FEV_2023!I1475</f>
        <v>99.02</v>
      </c>
      <c r="J1475" s="902">
        <f>GLOBAL_DER_FEV_2023!J1475</f>
        <v>118.89</v>
      </c>
      <c r="K1475" s="903" t="s">
        <v>1516</v>
      </c>
      <c r="L1475" s="1137"/>
      <c r="M1475" s="1138">
        <f t="shared" si="107"/>
        <v>0</v>
      </c>
      <c r="N1475" s="893">
        <f t="shared" si="111"/>
        <v>0</v>
      </c>
      <c r="O1475" s="905"/>
      <c r="Q1475" s="317" t="str">
        <f t="shared" si="108"/>
        <v/>
      </c>
      <c r="R1475" s="317" t="str">
        <f t="shared" si="109"/>
        <v/>
      </c>
      <c r="S1475" s="317" t="str">
        <f t="shared" si="110"/>
        <v/>
      </c>
      <c r="T1475" s="317" t="str">
        <f>GLOBAL_DER_FEV_2023!S1475</f>
        <v/>
      </c>
      <c r="W1475" s="582">
        <v>0</v>
      </c>
      <c r="X1475" s="580"/>
      <c r="Y1475" s="583">
        <f>IF(GLOBAL_DER_FEV_2023!W1475=0,0,IF(GLOBAL_DER_FEV_2023!W1475&gt;0,"c","b"))</f>
        <v>0</v>
      </c>
    </row>
    <row r="1476" spans="1:25" ht="34.5" hidden="1" thickBot="1" x14ac:dyDescent="0.25">
      <c r="A1476" s="317">
        <v>100905</v>
      </c>
      <c r="B1476" s="895">
        <v>100905</v>
      </c>
      <c r="C1476" s="896" t="s">
        <v>596</v>
      </c>
      <c r="D1476" s="906" t="s">
        <v>1401</v>
      </c>
      <c r="E1476" s="907">
        <f>GLOBAL_DER_FEV_2023!E1476</f>
        <v>0</v>
      </c>
      <c r="F1476" s="908">
        <f>GLOBAL_DER_FEV_2023!F1476</f>
        <v>0</v>
      </c>
      <c r="G1476" s="912">
        <f>GLOBAL_DER_FEV_2023!G1476</f>
        <v>0</v>
      </c>
      <c r="H1476" s="901">
        <f>GLOBAL_DER_FEV_2023!H1476</f>
        <v>266.39999999999998</v>
      </c>
      <c r="I1476" s="901">
        <f>GLOBAL_DER_FEV_2023!I1476</f>
        <v>266.39999999999998</v>
      </c>
      <c r="J1476" s="902">
        <f>GLOBAL_DER_FEV_2023!J1476</f>
        <v>319.87</v>
      </c>
      <c r="K1476" s="903" t="s">
        <v>1516</v>
      </c>
      <c r="L1476" s="1137"/>
      <c r="M1476" s="1138">
        <f t="shared" si="107"/>
        <v>0</v>
      </c>
      <c r="N1476" s="893">
        <f t="shared" si="111"/>
        <v>0</v>
      </c>
      <c r="O1476" s="905"/>
      <c r="Q1476" s="317" t="str">
        <f t="shared" si="108"/>
        <v/>
      </c>
      <c r="R1476" s="317" t="str">
        <f t="shared" si="109"/>
        <v/>
      </c>
      <c r="S1476" s="317" t="str">
        <f t="shared" si="110"/>
        <v/>
      </c>
      <c r="T1476" s="317" t="str">
        <f>GLOBAL_DER_FEV_2023!S1476</f>
        <v/>
      </c>
      <c r="W1476" s="582">
        <v>0</v>
      </c>
      <c r="X1476" s="580"/>
      <c r="Y1476" s="583">
        <f>IF(GLOBAL_DER_FEV_2023!W1476=0,0,IF(GLOBAL_DER_FEV_2023!W1476&gt;0,"c","b"))</f>
        <v>0</v>
      </c>
    </row>
    <row r="1477" spans="1:25" ht="34.5" hidden="1" thickBot="1" x14ac:dyDescent="0.25">
      <c r="A1477" s="317">
        <v>100906</v>
      </c>
      <c r="B1477" s="895">
        <v>100906</v>
      </c>
      <c r="C1477" s="896" t="s">
        <v>596</v>
      </c>
      <c r="D1477" s="906" t="s">
        <v>1402</v>
      </c>
      <c r="E1477" s="907">
        <f>GLOBAL_DER_FEV_2023!E1477</f>
        <v>0</v>
      </c>
      <c r="F1477" s="908">
        <f>GLOBAL_DER_FEV_2023!F1477</f>
        <v>0</v>
      </c>
      <c r="G1477" s="912">
        <f>GLOBAL_DER_FEV_2023!G1477</f>
        <v>0</v>
      </c>
      <c r="H1477" s="901">
        <f>GLOBAL_DER_FEV_2023!H1477</f>
        <v>361.6</v>
      </c>
      <c r="I1477" s="901">
        <f>GLOBAL_DER_FEV_2023!I1477</f>
        <v>361.6</v>
      </c>
      <c r="J1477" s="902">
        <f>GLOBAL_DER_FEV_2023!J1477</f>
        <v>434.17</v>
      </c>
      <c r="K1477" s="903" t="s">
        <v>1516</v>
      </c>
      <c r="L1477" s="1137"/>
      <c r="M1477" s="1138">
        <f t="shared" si="107"/>
        <v>0</v>
      </c>
      <c r="N1477" s="893">
        <f t="shared" si="111"/>
        <v>0</v>
      </c>
      <c r="O1477" s="905"/>
      <c r="Q1477" s="317" t="str">
        <f t="shared" si="108"/>
        <v/>
      </c>
      <c r="R1477" s="317" t="str">
        <f t="shared" si="109"/>
        <v/>
      </c>
      <c r="S1477" s="317" t="str">
        <f t="shared" si="110"/>
        <v/>
      </c>
      <c r="T1477" s="317" t="str">
        <f>GLOBAL_DER_FEV_2023!S1477</f>
        <v/>
      </c>
      <c r="W1477" s="582">
        <v>0</v>
      </c>
      <c r="X1477" s="580"/>
      <c r="Y1477" s="583">
        <f>IF(GLOBAL_DER_FEV_2023!W1477=0,0,IF(GLOBAL_DER_FEV_2023!W1477&gt;0,"c","b"))</f>
        <v>0</v>
      </c>
    </row>
    <row r="1478" spans="1:25" ht="23.25" hidden="1" thickBot="1" x14ac:dyDescent="0.25">
      <c r="A1478" s="317">
        <v>100919</v>
      </c>
      <c r="B1478" s="895">
        <v>100919</v>
      </c>
      <c r="C1478" s="896" t="s">
        <v>596</v>
      </c>
      <c r="D1478" s="906" t="s">
        <v>1403</v>
      </c>
      <c r="E1478" s="907">
        <f>GLOBAL_DER_FEV_2023!E1478</f>
        <v>0</v>
      </c>
      <c r="F1478" s="908">
        <f>GLOBAL_DER_FEV_2023!F1478</f>
        <v>0</v>
      </c>
      <c r="G1478" s="912">
        <f>GLOBAL_DER_FEV_2023!G1478</f>
        <v>0</v>
      </c>
      <c r="H1478" s="901">
        <f>GLOBAL_DER_FEV_2023!H1478</f>
        <v>73.05</v>
      </c>
      <c r="I1478" s="901">
        <f>GLOBAL_DER_FEV_2023!I1478</f>
        <v>73.05</v>
      </c>
      <c r="J1478" s="902">
        <f>GLOBAL_DER_FEV_2023!J1478</f>
        <v>87.71</v>
      </c>
      <c r="K1478" s="903" t="s">
        <v>1516</v>
      </c>
      <c r="L1478" s="1137"/>
      <c r="M1478" s="1138">
        <f t="shared" si="107"/>
        <v>0</v>
      </c>
      <c r="N1478" s="893">
        <f t="shared" si="111"/>
        <v>0</v>
      </c>
      <c r="O1478" s="905"/>
      <c r="Q1478" s="317" t="str">
        <f t="shared" si="108"/>
        <v/>
      </c>
      <c r="R1478" s="317" t="str">
        <f t="shared" si="109"/>
        <v/>
      </c>
      <c r="S1478" s="317" t="str">
        <f t="shared" si="110"/>
        <v/>
      </c>
      <c r="T1478" s="317" t="str">
        <f>GLOBAL_DER_FEV_2023!S1478</f>
        <v/>
      </c>
      <c r="W1478" s="582">
        <v>0</v>
      </c>
      <c r="X1478" s="580"/>
      <c r="Y1478" s="583">
        <f>IF(GLOBAL_DER_FEV_2023!W1478=0,0,IF(GLOBAL_DER_FEV_2023!W1478&gt;0,"c","b"))</f>
        <v>0</v>
      </c>
    </row>
    <row r="1479" spans="1:25" ht="23.25" hidden="1" thickBot="1" x14ac:dyDescent="0.25">
      <c r="A1479" s="317">
        <v>100920</v>
      </c>
      <c r="B1479" s="895">
        <v>100920</v>
      </c>
      <c r="C1479" s="896" t="s">
        <v>596</v>
      </c>
      <c r="D1479" s="906" t="s">
        <v>1404</v>
      </c>
      <c r="E1479" s="907">
        <f>GLOBAL_DER_FEV_2023!E1479</f>
        <v>0</v>
      </c>
      <c r="F1479" s="908">
        <f>GLOBAL_DER_FEV_2023!F1479</f>
        <v>0</v>
      </c>
      <c r="G1479" s="912">
        <f>GLOBAL_DER_FEV_2023!G1479</f>
        <v>0</v>
      </c>
      <c r="H1479" s="901">
        <f>GLOBAL_DER_FEV_2023!H1479</f>
        <v>123.15</v>
      </c>
      <c r="I1479" s="901">
        <f>GLOBAL_DER_FEV_2023!I1479</f>
        <v>123.15</v>
      </c>
      <c r="J1479" s="902">
        <f>GLOBAL_DER_FEV_2023!J1479</f>
        <v>147.87</v>
      </c>
      <c r="K1479" s="903" t="s">
        <v>1516</v>
      </c>
      <c r="L1479" s="1137"/>
      <c r="M1479" s="1138">
        <f t="shared" si="107"/>
        <v>0</v>
      </c>
      <c r="N1479" s="893">
        <f t="shared" si="111"/>
        <v>0</v>
      </c>
      <c r="O1479" s="905"/>
      <c r="Q1479" s="317" t="str">
        <f t="shared" si="108"/>
        <v/>
      </c>
      <c r="R1479" s="317" t="str">
        <f t="shared" si="109"/>
        <v/>
      </c>
      <c r="S1479" s="317" t="str">
        <f t="shared" si="110"/>
        <v/>
      </c>
      <c r="T1479" s="317" t="str">
        <f>GLOBAL_DER_FEV_2023!S1479</f>
        <v/>
      </c>
      <c r="W1479" s="582">
        <v>0</v>
      </c>
      <c r="X1479" s="580"/>
      <c r="Y1479" s="583">
        <f>IF(GLOBAL_DER_FEV_2023!W1479=0,0,IF(GLOBAL_DER_FEV_2023!W1479&gt;0,"c","b"))</f>
        <v>0</v>
      </c>
    </row>
    <row r="1480" spans="1:25" ht="23.25" hidden="1" thickBot="1" x14ac:dyDescent="0.25">
      <c r="A1480" s="317">
        <v>97609</v>
      </c>
      <c r="B1480" s="895">
        <v>97609</v>
      </c>
      <c r="C1480" s="896" t="s">
        <v>596</v>
      </c>
      <c r="D1480" s="906" t="s">
        <v>1405</v>
      </c>
      <c r="E1480" s="907">
        <f>GLOBAL_DER_FEV_2023!E1480</f>
        <v>0</v>
      </c>
      <c r="F1480" s="908">
        <f>GLOBAL_DER_FEV_2023!F1480</f>
        <v>0</v>
      </c>
      <c r="G1480" s="912">
        <f>GLOBAL_DER_FEV_2023!G1480</f>
        <v>0</v>
      </c>
      <c r="H1480" s="901">
        <f>GLOBAL_DER_FEV_2023!H1480</f>
        <v>18.36</v>
      </c>
      <c r="I1480" s="901">
        <f>GLOBAL_DER_FEV_2023!I1480</f>
        <v>18.36</v>
      </c>
      <c r="J1480" s="902">
        <f>GLOBAL_DER_FEV_2023!J1480</f>
        <v>22.04</v>
      </c>
      <c r="K1480" s="903" t="s">
        <v>1516</v>
      </c>
      <c r="L1480" s="1137"/>
      <c r="M1480" s="1138">
        <f t="shared" si="107"/>
        <v>0</v>
      </c>
      <c r="N1480" s="893">
        <f t="shared" si="111"/>
        <v>0</v>
      </c>
      <c r="O1480" s="905"/>
      <c r="Q1480" s="317" t="str">
        <f t="shared" si="108"/>
        <v/>
      </c>
      <c r="R1480" s="317" t="str">
        <f t="shared" si="109"/>
        <v/>
      </c>
      <c r="S1480" s="317" t="str">
        <f t="shared" si="110"/>
        <v/>
      </c>
      <c r="T1480" s="317" t="str">
        <f>GLOBAL_DER_FEV_2023!S1480</f>
        <v/>
      </c>
      <c r="W1480" s="582">
        <v>0</v>
      </c>
      <c r="X1480" s="580"/>
      <c r="Y1480" s="583">
        <f>IF(GLOBAL_DER_FEV_2023!W1480=0,0,IF(GLOBAL_DER_FEV_2023!W1480&gt;0,"c","b"))</f>
        <v>0</v>
      </c>
    </row>
    <row r="1481" spans="1:25" ht="23.25" hidden="1" thickBot="1" x14ac:dyDescent="0.25">
      <c r="A1481" s="317">
        <v>97610</v>
      </c>
      <c r="B1481" s="895">
        <v>97610</v>
      </c>
      <c r="C1481" s="896" t="s">
        <v>596</v>
      </c>
      <c r="D1481" s="906" t="s">
        <v>1406</v>
      </c>
      <c r="E1481" s="907">
        <f>GLOBAL_DER_FEV_2023!E1481</f>
        <v>0</v>
      </c>
      <c r="F1481" s="908">
        <f>GLOBAL_DER_FEV_2023!F1481</f>
        <v>0</v>
      </c>
      <c r="G1481" s="912">
        <f>GLOBAL_DER_FEV_2023!G1481</f>
        <v>0</v>
      </c>
      <c r="H1481" s="901">
        <f>GLOBAL_DER_FEV_2023!H1481</f>
        <v>19.45</v>
      </c>
      <c r="I1481" s="901">
        <f>GLOBAL_DER_FEV_2023!I1481</f>
        <v>19.45</v>
      </c>
      <c r="J1481" s="902">
        <f>GLOBAL_DER_FEV_2023!J1481</f>
        <v>23.35</v>
      </c>
      <c r="K1481" s="903" t="s">
        <v>1516</v>
      </c>
      <c r="L1481" s="1137"/>
      <c r="M1481" s="1138">
        <f t="shared" si="107"/>
        <v>0</v>
      </c>
      <c r="N1481" s="893">
        <f t="shared" si="111"/>
        <v>0</v>
      </c>
      <c r="O1481" s="905"/>
      <c r="Q1481" s="317" t="str">
        <f t="shared" si="108"/>
        <v/>
      </c>
      <c r="R1481" s="317" t="str">
        <f t="shared" si="109"/>
        <v/>
      </c>
      <c r="S1481" s="317" t="str">
        <f t="shared" si="110"/>
        <v/>
      </c>
      <c r="T1481" s="317" t="str">
        <f>GLOBAL_DER_FEV_2023!S1481</f>
        <v/>
      </c>
      <c r="W1481" s="582">
        <v>0</v>
      </c>
      <c r="X1481" s="580"/>
      <c r="Y1481" s="583">
        <f>IF(GLOBAL_DER_FEV_2023!W1481=0,0,IF(GLOBAL_DER_FEV_2023!W1481&gt;0,"c","b"))</f>
        <v>0</v>
      </c>
    </row>
    <row r="1482" spans="1:25" ht="23.25" hidden="1" thickBot="1" x14ac:dyDescent="0.25">
      <c r="A1482" s="317">
        <v>101537</v>
      </c>
      <c r="B1482" s="895">
        <v>101537</v>
      </c>
      <c r="C1482" s="896" t="s">
        <v>596</v>
      </c>
      <c r="D1482" s="906" t="s">
        <v>1407</v>
      </c>
      <c r="E1482" s="907">
        <f>GLOBAL_DER_FEV_2023!E1482</f>
        <v>0</v>
      </c>
      <c r="F1482" s="908">
        <f>GLOBAL_DER_FEV_2023!F1482</f>
        <v>0</v>
      </c>
      <c r="G1482" s="912">
        <f>GLOBAL_DER_FEV_2023!G1482</f>
        <v>0</v>
      </c>
      <c r="H1482" s="901">
        <f>GLOBAL_DER_FEV_2023!H1482</f>
        <v>139.63999999999999</v>
      </c>
      <c r="I1482" s="901">
        <f>GLOBAL_DER_FEV_2023!I1482</f>
        <v>139.63999999999999</v>
      </c>
      <c r="J1482" s="902">
        <f>GLOBAL_DER_FEV_2023!J1482</f>
        <v>167.67</v>
      </c>
      <c r="K1482" s="903" t="s">
        <v>1516</v>
      </c>
      <c r="L1482" s="1137"/>
      <c r="M1482" s="1138">
        <f t="shared" si="107"/>
        <v>0</v>
      </c>
      <c r="N1482" s="893">
        <f t="shared" si="111"/>
        <v>0</v>
      </c>
      <c r="O1482" s="905"/>
      <c r="Q1482" s="317" t="str">
        <f t="shared" si="108"/>
        <v/>
      </c>
      <c r="R1482" s="317" t="str">
        <f t="shared" si="109"/>
        <v/>
      </c>
      <c r="S1482" s="317" t="str">
        <f t="shared" si="110"/>
        <v/>
      </c>
      <c r="T1482" s="317" t="str">
        <f>GLOBAL_DER_FEV_2023!S1482</f>
        <v/>
      </c>
      <c r="W1482" s="582">
        <v>0</v>
      </c>
      <c r="X1482" s="580"/>
      <c r="Y1482" s="583">
        <f>IF(GLOBAL_DER_FEV_2023!W1482=0,0,IF(GLOBAL_DER_FEV_2023!W1482&gt;0,"c","b"))</f>
        <v>0</v>
      </c>
    </row>
    <row r="1483" spans="1:25" ht="13.5" hidden="1" thickBot="1" x14ac:dyDescent="0.25">
      <c r="A1483" s="317">
        <v>97054</v>
      </c>
      <c r="B1483" s="895">
        <v>97054</v>
      </c>
      <c r="C1483" s="896" t="s">
        <v>596</v>
      </c>
      <c r="D1483" s="906" t="s">
        <v>1408</v>
      </c>
      <c r="E1483" s="907">
        <f>GLOBAL_DER_FEV_2023!E1483</f>
        <v>0</v>
      </c>
      <c r="F1483" s="908">
        <f>GLOBAL_DER_FEV_2023!F1483</f>
        <v>0</v>
      </c>
      <c r="G1483" s="912">
        <f>GLOBAL_DER_FEV_2023!G1483</f>
        <v>0</v>
      </c>
      <c r="H1483" s="901">
        <f>GLOBAL_DER_FEV_2023!H1483</f>
        <v>28.63</v>
      </c>
      <c r="I1483" s="901">
        <f>GLOBAL_DER_FEV_2023!I1483</f>
        <v>28.63</v>
      </c>
      <c r="J1483" s="902">
        <f>GLOBAL_DER_FEV_2023!J1483</f>
        <v>34.380000000000003</v>
      </c>
      <c r="K1483" s="903" t="s">
        <v>1516</v>
      </c>
      <c r="L1483" s="1137"/>
      <c r="M1483" s="1138">
        <f t="shared" si="107"/>
        <v>0</v>
      </c>
      <c r="N1483" s="893">
        <f t="shared" si="111"/>
        <v>0</v>
      </c>
      <c r="O1483" s="905"/>
      <c r="Q1483" s="317" t="str">
        <f t="shared" si="108"/>
        <v/>
      </c>
      <c r="R1483" s="317" t="str">
        <f t="shared" si="109"/>
        <v/>
      </c>
      <c r="S1483" s="317" t="str">
        <f t="shared" si="110"/>
        <v/>
      </c>
      <c r="T1483" s="317" t="str">
        <f>GLOBAL_DER_FEV_2023!S1483</f>
        <v/>
      </c>
      <c r="W1483" s="582">
        <v>0</v>
      </c>
      <c r="X1483" s="580"/>
      <c r="Y1483" s="583">
        <f>IF(GLOBAL_DER_FEV_2023!W1483=0,0,IF(GLOBAL_DER_FEV_2023!W1483&gt;0,"c","b"))</f>
        <v>0</v>
      </c>
    </row>
    <row r="1484" spans="1:25" ht="23.25" hidden="1" thickBot="1" x14ac:dyDescent="0.25">
      <c r="A1484" s="317">
        <v>101538</v>
      </c>
      <c r="B1484" s="895">
        <v>101538</v>
      </c>
      <c r="C1484" s="896" t="s">
        <v>596</v>
      </c>
      <c r="D1484" s="906" t="s">
        <v>1409</v>
      </c>
      <c r="E1484" s="907">
        <f>GLOBAL_DER_FEV_2023!E1484</f>
        <v>0</v>
      </c>
      <c r="F1484" s="908">
        <f>GLOBAL_DER_FEV_2023!F1484</f>
        <v>0</v>
      </c>
      <c r="G1484" s="912">
        <f>GLOBAL_DER_FEV_2023!G1484</f>
        <v>0</v>
      </c>
      <c r="H1484" s="901">
        <f>GLOBAL_DER_FEV_2023!H1484</f>
        <v>33.369999999999997</v>
      </c>
      <c r="I1484" s="901">
        <f>GLOBAL_DER_FEV_2023!I1484</f>
        <v>33.369999999999997</v>
      </c>
      <c r="J1484" s="902">
        <f>GLOBAL_DER_FEV_2023!J1484</f>
        <v>40.07</v>
      </c>
      <c r="K1484" s="903" t="s">
        <v>1516</v>
      </c>
      <c r="L1484" s="1137"/>
      <c r="M1484" s="1138">
        <f t="shared" si="107"/>
        <v>0</v>
      </c>
      <c r="N1484" s="893">
        <f t="shared" si="111"/>
        <v>0</v>
      </c>
      <c r="O1484" s="905"/>
      <c r="Q1484" s="317" t="str">
        <f t="shared" si="108"/>
        <v/>
      </c>
      <c r="R1484" s="317" t="str">
        <f t="shared" si="109"/>
        <v/>
      </c>
      <c r="S1484" s="317" t="str">
        <f t="shared" si="110"/>
        <v/>
      </c>
      <c r="T1484" s="317" t="str">
        <f>GLOBAL_DER_FEV_2023!S1484</f>
        <v/>
      </c>
      <c r="W1484" s="582">
        <v>0</v>
      </c>
      <c r="X1484" s="580"/>
      <c r="Y1484" s="583">
        <f>IF(GLOBAL_DER_FEV_2023!W1484=0,0,IF(GLOBAL_DER_FEV_2023!W1484&gt;0,"c","b"))</f>
        <v>0</v>
      </c>
    </row>
    <row r="1485" spans="1:25" ht="23.25" hidden="1" thickBot="1" x14ac:dyDescent="0.25">
      <c r="A1485" s="317">
        <v>101539</v>
      </c>
      <c r="B1485" s="895">
        <v>101539</v>
      </c>
      <c r="C1485" s="896" t="s">
        <v>596</v>
      </c>
      <c r="D1485" s="906" t="s">
        <v>1410</v>
      </c>
      <c r="E1485" s="907">
        <f>GLOBAL_DER_FEV_2023!E1485</f>
        <v>0</v>
      </c>
      <c r="F1485" s="908">
        <f>GLOBAL_DER_FEV_2023!F1485</f>
        <v>0</v>
      </c>
      <c r="G1485" s="912">
        <f>GLOBAL_DER_FEV_2023!G1485</f>
        <v>0</v>
      </c>
      <c r="H1485" s="901">
        <f>GLOBAL_DER_FEV_2023!H1485</f>
        <v>58.76</v>
      </c>
      <c r="I1485" s="901">
        <f>GLOBAL_DER_FEV_2023!I1485</f>
        <v>58.76</v>
      </c>
      <c r="J1485" s="902">
        <f>GLOBAL_DER_FEV_2023!J1485</f>
        <v>70.55</v>
      </c>
      <c r="K1485" s="903" t="s">
        <v>1516</v>
      </c>
      <c r="L1485" s="1137"/>
      <c r="M1485" s="1138">
        <f t="shared" si="107"/>
        <v>0</v>
      </c>
      <c r="N1485" s="893">
        <f t="shared" si="111"/>
        <v>0</v>
      </c>
      <c r="O1485" s="905"/>
      <c r="Q1485" s="317" t="str">
        <f t="shared" si="108"/>
        <v/>
      </c>
      <c r="R1485" s="317" t="str">
        <f t="shared" si="109"/>
        <v/>
      </c>
      <c r="S1485" s="317" t="str">
        <f t="shared" si="110"/>
        <v/>
      </c>
      <c r="T1485" s="317" t="str">
        <f>GLOBAL_DER_FEV_2023!S1485</f>
        <v/>
      </c>
      <c r="W1485" s="582">
        <v>0</v>
      </c>
      <c r="X1485" s="580"/>
      <c r="Y1485" s="583">
        <f>IF(GLOBAL_DER_FEV_2023!W1485=0,0,IF(GLOBAL_DER_FEV_2023!W1485&gt;0,"c","b"))</f>
        <v>0</v>
      </c>
    </row>
    <row r="1486" spans="1:25" ht="23.25" hidden="1" thickBot="1" x14ac:dyDescent="0.25">
      <c r="A1486" s="317">
        <v>101540</v>
      </c>
      <c r="B1486" s="895">
        <v>101540</v>
      </c>
      <c r="C1486" s="896" t="s">
        <v>596</v>
      </c>
      <c r="D1486" s="906" t="s">
        <v>1411</v>
      </c>
      <c r="E1486" s="907">
        <f>GLOBAL_DER_FEV_2023!E1486</f>
        <v>0</v>
      </c>
      <c r="F1486" s="908">
        <f>GLOBAL_DER_FEV_2023!F1486</f>
        <v>0</v>
      </c>
      <c r="G1486" s="912">
        <f>GLOBAL_DER_FEV_2023!G1486</f>
        <v>0</v>
      </c>
      <c r="H1486" s="901">
        <f>GLOBAL_DER_FEV_2023!H1486</f>
        <v>95.26</v>
      </c>
      <c r="I1486" s="901">
        <f>GLOBAL_DER_FEV_2023!I1486</f>
        <v>95.26</v>
      </c>
      <c r="J1486" s="902">
        <f>GLOBAL_DER_FEV_2023!J1486</f>
        <v>114.38</v>
      </c>
      <c r="K1486" s="903" t="s">
        <v>1516</v>
      </c>
      <c r="L1486" s="1137"/>
      <c r="M1486" s="1138">
        <f t="shared" si="107"/>
        <v>0</v>
      </c>
      <c r="N1486" s="893">
        <f t="shared" si="111"/>
        <v>0</v>
      </c>
      <c r="O1486" s="905"/>
      <c r="Q1486" s="317" t="str">
        <f t="shared" si="108"/>
        <v/>
      </c>
      <c r="R1486" s="317" t="str">
        <f t="shared" si="109"/>
        <v/>
      </c>
      <c r="S1486" s="317" t="str">
        <f t="shared" si="110"/>
        <v/>
      </c>
      <c r="T1486" s="317" t="str">
        <f>GLOBAL_DER_FEV_2023!S1486</f>
        <v/>
      </c>
      <c r="W1486" s="582">
        <v>0</v>
      </c>
      <c r="X1486" s="580"/>
      <c r="Y1486" s="583">
        <f>IF(GLOBAL_DER_FEV_2023!W1486=0,0,IF(GLOBAL_DER_FEV_2023!W1486&gt;0,"c","b"))</f>
        <v>0</v>
      </c>
    </row>
    <row r="1487" spans="1:25" ht="23.25" hidden="1" thickBot="1" x14ac:dyDescent="0.25">
      <c r="A1487" s="317">
        <v>101541</v>
      </c>
      <c r="B1487" s="895">
        <v>101541</v>
      </c>
      <c r="C1487" s="896" t="s">
        <v>596</v>
      </c>
      <c r="D1487" s="906" t="s">
        <v>1412</v>
      </c>
      <c r="E1487" s="907">
        <f>GLOBAL_DER_FEV_2023!E1487</f>
        <v>0</v>
      </c>
      <c r="F1487" s="908">
        <f>GLOBAL_DER_FEV_2023!F1487</f>
        <v>0</v>
      </c>
      <c r="G1487" s="912">
        <f>GLOBAL_DER_FEV_2023!G1487</f>
        <v>0</v>
      </c>
      <c r="H1487" s="901">
        <f>GLOBAL_DER_FEV_2023!H1487</f>
        <v>125.15</v>
      </c>
      <c r="I1487" s="901">
        <f>GLOBAL_DER_FEV_2023!I1487</f>
        <v>125.15</v>
      </c>
      <c r="J1487" s="902">
        <f>GLOBAL_DER_FEV_2023!J1487</f>
        <v>150.27000000000001</v>
      </c>
      <c r="K1487" s="903" t="s">
        <v>1516</v>
      </c>
      <c r="L1487" s="1137"/>
      <c r="M1487" s="1138">
        <f t="shared" si="107"/>
        <v>0</v>
      </c>
      <c r="N1487" s="893">
        <f t="shared" si="111"/>
        <v>0</v>
      </c>
      <c r="O1487" s="905"/>
      <c r="Q1487" s="317" t="str">
        <f t="shared" si="108"/>
        <v/>
      </c>
      <c r="R1487" s="317" t="str">
        <f t="shared" si="109"/>
        <v/>
      </c>
      <c r="S1487" s="317" t="str">
        <f t="shared" si="110"/>
        <v/>
      </c>
      <c r="T1487" s="317" t="str">
        <f>GLOBAL_DER_FEV_2023!S1487</f>
        <v/>
      </c>
      <c r="W1487" s="582">
        <v>0</v>
      </c>
      <c r="X1487" s="580"/>
      <c r="Y1487" s="583">
        <f>IF(GLOBAL_DER_FEV_2023!W1487=0,0,IF(GLOBAL_DER_FEV_2023!W1487&gt;0,"c","b"))</f>
        <v>0</v>
      </c>
    </row>
    <row r="1488" spans="1:25" ht="23.25" hidden="1" thickBot="1" x14ac:dyDescent="0.25">
      <c r="A1488" s="317">
        <v>101542</v>
      </c>
      <c r="B1488" s="895">
        <v>101542</v>
      </c>
      <c r="C1488" s="896" t="s">
        <v>596</v>
      </c>
      <c r="D1488" s="906" t="s">
        <v>1413</v>
      </c>
      <c r="E1488" s="907">
        <f>GLOBAL_DER_FEV_2023!E1488</f>
        <v>0</v>
      </c>
      <c r="F1488" s="908">
        <f>GLOBAL_DER_FEV_2023!F1488</f>
        <v>0</v>
      </c>
      <c r="G1488" s="912">
        <f>GLOBAL_DER_FEV_2023!G1488</f>
        <v>0</v>
      </c>
      <c r="H1488" s="901">
        <f>GLOBAL_DER_FEV_2023!H1488</f>
        <v>26.46</v>
      </c>
      <c r="I1488" s="901">
        <f>GLOBAL_DER_FEV_2023!I1488</f>
        <v>26.46</v>
      </c>
      <c r="J1488" s="902">
        <f>GLOBAL_DER_FEV_2023!J1488</f>
        <v>31.77</v>
      </c>
      <c r="K1488" s="903" t="s">
        <v>1516</v>
      </c>
      <c r="L1488" s="1137"/>
      <c r="M1488" s="1138">
        <f t="shared" si="107"/>
        <v>0</v>
      </c>
      <c r="N1488" s="893">
        <f t="shared" si="111"/>
        <v>0</v>
      </c>
      <c r="O1488" s="905"/>
      <c r="Q1488" s="317" t="str">
        <f t="shared" si="108"/>
        <v/>
      </c>
      <c r="R1488" s="317" t="str">
        <f t="shared" si="109"/>
        <v/>
      </c>
      <c r="S1488" s="317" t="str">
        <f t="shared" si="110"/>
        <v/>
      </c>
      <c r="T1488" s="317" t="str">
        <f>GLOBAL_DER_FEV_2023!S1488</f>
        <v/>
      </c>
      <c r="W1488" s="582">
        <v>0</v>
      </c>
      <c r="X1488" s="580"/>
      <c r="Y1488" s="583">
        <f>IF(GLOBAL_DER_FEV_2023!W1488=0,0,IF(GLOBAL_DER_FEV_2023!W1488&gt;0,"c","b"))</f>
        <v>0</v>
      </c>
    </row>
    <row r="1489" spans="1:25" ht="23.25" hidden="1" thickBot="1" x14ac:dyDescent="0.25">
      <c r="A1489" s="317">
        <v>101543</v>
      </c>
      <c r="B1489" s="895">
        <v>101543</v>
      </c>
      <c r="C1489" s="896" t="s">
        <v>596</v>
      </c>
      <c r="D1489" s="906" t="s">
        <v>1414</v>
      </c>
      <c r="E1489" s="907">
        <f>GLOBAL_DER_FEV_2023!E1489</f>
        <v>0</v>
      </c>
      <c r="F1489" s="908">
        <f>GLOBAL_DER_FEV_2023!F1489</f>
        <v>0</v>
      </c>
      <c r="G1489" s="912">
        <f>GLOBAL_DER_FEV_2023!G1489</f>
        <v>0</v>
      </c>
      <c r="H1489" s="901">
        <f>GLOBAL_DER_FEV_2023!H1489</f>
        <v>49.08</v>
      </c>
      <c r="I1489" s="901">
        <f>GLOBAL_DER_FEV_2023!I1489</f>
        <v>49.08</v>
      </c>
      <c r="J1489" s="902">
        <f>GLOBAL_DER_FEV_2023!J1489</f>
        <v>58.93</v>
      </c>
      <c r="K1489" s="903" t="s">
        <v>1516</v>
      </c>
      <c r="L1489" s="1137"/>
      <c r="M1489" s="1138">
        <f t="shared" si="107"/>
        <v>0</v>
      </c>
      <c r="N1489" s="893">
        <f t="shared" si="111"/>
        <v>0</v>
      </c>
      <c r="O1489" s="905"/>
      <c r="Q1489" s="317" t="str">
        <f t="shared" si="108"/>
        <v/>
      </c>
      <c r="R1489" s="317" t="str">
        <f t="shared" si="109"/>
        <v/>
      </c>
      <c r="S1489" s="317" t="str">
        <f t="shared" si="110"/>
        <v/>
      </c>
      <c r="T1489" s="317" t="str">
        <f>GLOBAL_DER_FEV_2023!S1489</f>
        <v/>
      </c>
      <c r="W1489" s="582">
        <v>0</v>
      </c>
      <c r="X1489" s="580"/>
      <c r="Y1489" s="583">
        <f>IF(GLOBAL_DER_FEV_2023!W1489=0,0,IF(GLOBAL_DER_FEV_2023!W1489&gt;0,"c","b"))</f>
        <v>0</v>
      </c>
    </row>
    <row r="1490" spans="1:25" ht="23.25" hidden="1" thickBot="1" x14ac:dyDescent="0.25">
      <c r="A1490" s="317">
        <v>101544</v>
      </c>
      <c r="B1490" s="895">
        <v>101544</v>
      </c>
      <c r="C1490" s="896" t="s">
        <v>596</v>
      </c>
      <c r="D1490" s="906" t="s">
        <v>1415</v>
      </c>
      <c r="E1490" s="907">
        <f>GLOBAL_DER_FEV_2023!E1490</f>
        <v>0</v>
      </c>
      <c r="F1490" s="908">
        <f>GLOBAL_DER_FEV_2023!F1490</f>
        <v>0</v>
      </c>
      <c r="G1490" s="912">
        <f>GLOBAL_DER_FEV_2023!G1490</f>
        <v>0</v>
      </c>
      <c r="H1490" s="901">
        <f>GLOBAL_DER_FEV_2023!H1490</f>
        <v>76.709999999999994</v>
      </c>
      <c r="I1490" s="901">
        <f>GLOBAL_DER_FEV_2023!I1490</f>
        <v>76.709999999999994</v>
      </c>
      <c r="J1490" s="902">
        <f>GLOBAL_DER_FEV_2023!J1490</f>
        <v>92.11</v>
      </c>
      <c r="K1490" s="903" t="s">
        <v>1516</v>
      </c>
      <c r="L1490" s="1137"/>
      <c r="M1490" s="1138">
        <f t="shared" ref="M1490:M1553" si="112">IF(L1490=0,0,ROUND(J1490,2))</f>
        <v>0</v>
      </c>
      <c r="N1490" s="893">
        <f t="shared" si="111"/>
        <v>0</v>
      </c>
      <c r="O1490" s="905"/>
      <c r="Q1490" s="317" t="str">
        <f t="shared" si="108"/>
        <v/>
      </c>
      <c r="R1490" s="317" t="str">
        <f t="shared" si="109"/>
        <v/>
      </c>
      <c r="S1490" s="317" t="str">
        <f t="shared" si="110"/>
        <v/>
      </c>
      <c r="T1490" s="317" t="str">
        <f>GLOBAL_DER_FEV_2023!S1490</f>
        <v/>
      </c>
      <c r="W1490" s="582">
        <v>0</v>
      </c>
      <c r="X1490" s="580"/>
      <c r="Y1490" s="583">
        <f>IF(GLOBAL_DER_FEV_2023!W1490=0,0,IF(GLOBAL_DER_FEV_2023!W1490&gt;0,"c","b"))</f>
        <v>0</v>
      </c>
    </row>
    <row r="1491" spans="1:25" ht="23.25" hidden="1" thickBot="1" x14ac:dyDescent="0.25">
      <c r="A1491" s="317">
        <v>101545</v>
      </c>
      <c r="B1491" s="895">
        <v>101545</v>
      </c>
      <c r="C1491" s="896" t="s">
        <v>596</v>
      </c>
      <c r="D1491" s="906" t="s">
        <v>1416</v>
      </c>
      <c r="E1491" s="907">
        <f>GLOBAL_DER_FEV_2023!E1491</f>
        <v>0</v>
      </c>
      <c r="F1491" s="908">
        <f>GLOBAL_DER_FEV_2023!F1491</f>
        <v>0</v>
      </c>
      <c r="G1491" s="912">
        <f>GLOBAL_DER_FEV_2023!G1491</f>
        <v>0</v>
      </c>
      <c r="H1491" s="901">
        <f>GLOBAL_DER_FEV_2023!H1491</f>
        <v>108.1</v>
      </c>
      <c r="I1491" s="901">
        <f>GLOBAL_DER_FEV_2023!I1491</f>
        <v>108.1</v>
      </c>
      <c r="J1491" s="902">
        <f>GLOBAL_DER_FEV_2023!J1491</f>
        <v>129.80000000000001</v>
      </c>
      <c r="K1491" s="903" t="s">
        <v>1516</v>
      </c>
      <c r="L1491" s="1137"/>
      <c r="M1491" s="1138">
        <f t="shared" si="112"/>
        <v>0</v>
      </c>
      <c r="N1491" s="893">
        <f t="shared" si="111"/>
        <v>0</v>
      </c>
      <c r="O1491" s="905"/>
      <c r="Q1491" s="317" t="str">
        <f t="shared" si="108"/>
        <v/>
      </c>
      <c r="R1491" s="317" t="str">
        <f t="shared" si="109"/>
        <v/>
      </c>
      <c r="S1491" s="317" t="str">
        <f t="shared" si="110"/>
        <v/>
      </c>
      <c r="T1491" s="317" t="str">
        <f>GLOBAL_DER_FEV_2023!S1491</f>
        <v/>
      </c>
      <c r="W1491" s="582">
        <v>0</v>
      </c>
      <c r="X1491" s="580"/>
      <c r="Y1491" s="583">
        <f>IF(GLOBAL_DER_FEV_2023!W1491=0,0,IF(GLOBAL_DER_FEV_2023!W1491&gt;0,"c","b"))</f>
        <v>0</v>
      </c>
    </row>
    <row r="1492" spans="1:25" ht="23.25" hidden="1" thickBot="1" x14ac:dyDescent="0.25">
      <c r="A1492" s="317">
        <v>101546</v>
      </c>
      <c r="B1492" s="895">
        <v>101546</v>
      </c>
      <c r="C1492" s="896" t="s">
        <v>596</v>
      </c>
      <c r="D1492" s="906" t="s">
        <v>1417</v>
      </c>
      <c r="E1492" s="907">
        <f>GLOBAL_DER_FEV_2023!E1492</f>
        <v>0</v>
      </c>
      <c r="F1492" s="908">
        <f>GLOBAL_DER_FEV_2023!F1492</f>
        <v>0</v>
      </c>
      <c r="G1492" s="912">
        <f>GLOBAL_DER_FEV_2023!G1492</f>
        <v>0</v>
      </c>
      <c r="H1492" s="901">
        <f>GLOBAL_DER_FEV_2023!H1492</f>
        <v>28.34</v>
      </c>
      <c r="I1492" s="901">
        <f>GLOBAL_DER_FEV_2023!I1492</f>
        <v>28.34</v>
      </c>
      <c r="J1492" s="902">
        <f>GLOBAL_DER_FEV_2023!J1492</f>
        <v>34.03</v>
      </c>
      <c r="K1492" s="903" t="s">
        <v>1516</v>
      </c>
      <c r="L1492" s="1137"/>
      <c r="M1492" s="1138">
        <f t="shared" si="112"/>
        <v>0</v>
      </c>
      <c r="N1492" s="893">
        <f t="shared" si="111"/>
        <v>0</v>
      </c>
      <c r="O1492" s="905"/>
      <c r="Q1492" s="317" t="str">
        <f t="shared" si="108"/>
        <v/>
      </c>
      <c r="R1492" s="317" t="str">
        <f t="shared" si="109"/>
        <v/>
      </c>
      <c r="S1492" s="317" t="str">
        <f t="shared" si="110"/>
        <v/>
      </c>
      <c r="T1492" s="317" t="str">
        <f>GLOBAL_DER_FEV_2023!S1492</f>
        <v/>
      </c>
      <c r="W1492" s="582">
        <v>0</v>
      </c>
      <c r="X1492" s="580"/>
      <c r="Y1492" s="583">
        <f>IF(GLOBAL_DER_FEV_2023!W1492=0,0,IF(GLOBAL_DER_FEV_2023!W1492&gt;0,"c","b"))</f>
        <v>0</v>
      </c>
    </row>
    <row r="1493" spans="1:25" ht="23.25" hidden="1" thickBot="1" x14ac:dyDescent="0.25">
      <c r="A1493" s="317">
        <v>101547</v>
      </c>
      <c r="B1493" s="895">
        <v>101547</v>
      </c>
      <c r="C1493" s="896" t="s">
        <v>596</v>
      </c>
      <c r="D1493" s="906" t="s">
        <v>1418</v>
      </c>
      <c r="E1493" s="907">
        <f>GLOBAL_DER_FEV_2023!E1493</f>
        <v>0</v>
      </c>
      <c r="F1493" s="908">
        <f>GLOBAL_DER_FEV_2023!F1493</f>
        <v>0</v>
      </c>
      <c r="G1493" s="912">
        <f>GLOBAL_DER_FEV_2023!G1493</f>
        <v>0</v>
      </c>
      <c r="H1493" s="901">
        <f>GLOBAL_DER_FEV_2023!H1493</f>
        <v>87.57</v>
      </c>
      <c r="I1493" s="901">
        <f>GLOBAL_DER_FEV_2023!I1493</f>
        <v>87.57</v>
      </c>
      <c r="J1493" s="902">
        <f>GLOBAL_DER_FEV_2023!J1493</f>
        <v>105.15</v>
      </c>
      <c r="K1493" s="903" t="s">
        <v>1516</v>
      </c>
      <c r="L1493" s="1137"/>
      <c r="M1493" s="1138">
        <f t="shared" si="112"/>
        <v>0</v>
      </c>
      <c r="N1493" s="893">
        <f t="shared" si="111"/>
        <v>0</v>
      </c>
      <c r="O1493" s="905"/>
      <c r="Q1493" s="317" t="str">
        <f t="shared" si="108"/>
        <v/>
      </c>
      <c r="R1493" s="317" t="str">
        <f t="shared" si="109"/>
        <v/>
      </c>
      <c r="S1493" s="317" t="str">
        <f t="shared" si="110"/>
        <v/>
      </c>
      <c r="T1493" s="317" t="str">
        <f>GLOBAL_DER_FEV_2023!S1493</f>
        <v/>
      </c>
      <c r="W1493" s="582">
        <v>0</v>
      </c>
      <c r="X1493" s="580"/>
      <c r="Y1493" s="583">
        <f>IF(GLOBAL_DER_FEV_2023!W1493=0,0,IF(GLOBAL_DER_FEV_2023!W1493&gt;0,"c","b"))</f>
        <v>0</v>
      </c>
    </row>
    <row r="1494" spans="1:25" ht="23.25" hidden="1" thickBot="1" x14ac:dyDescent="0.25">
      <c r="A1494" s="317">
        <v>101548</v>
      </c>
      <c r="B1494" s="895">
        <v>101548</v>
      </c>
      <c r="C1494" s="896" t="s">
        <v>596</v>
      </c>
      <c r="D1494" s="906" t="s">
        <v>1419</v>
      </c>
      <c r="E1494" s="907">
        <f>GLOBAL_DER_FEV_2023!E1494</f>
        <v>0</v>
      </c>
      <c r="F1494" s="908">
        <f>GLOBAL_DER_FEV_2023!F1494</f>
        <v>0</v>
      </c>
      <c r="G1494" s="912">
        <f>GLOBAL_DER_FEV_2023!G1494</f>
        <v>0</v>
      </c>
      <c r="H1494" s="901">
        <f>GLOBAL_DER_FEV_2023!H1494</f>
        <v>7.45</v>
      </c>
      <c r="I1494" s="901">
        <f>GLOBAL_DER_FEV_2023!I1494</f>
        <v>7.45</v>
      </c>
      <c r="J1494" s="902">
        <f>GLOBAL_DER_FEV_2023!J1494</f>
        <v>8.9499999999999993</v>
      </c>
      <c r="K1494" s="903" t="s">
        <v>1516</v>
      </c>
      <c r="L1494" s="1137"/>
      <c r="M1494" s="1138">
        <f t="shared" si="112"/>
        <v>0</v>
      </c>
      <c r="N1494" s="893">
        <f t="shared" si="111"/>
        <v>0</v>
      </c>
      <c r="O1494" s="905"/>
      <c r="Q1494" s="317" t="str">
        <f t="shared" si="108"/>
        <v/>
      </c>
      <c r="R1494" s="317" t="str">
        <f t="shared" si="109"/>
        <v/>
      </c>
      <c r="S1494" s="317" t="str">
        <f t="shared" si="110"/>
        <v/>
      </c>
      <c r="T1494" s="317" t="str">
        <f>GLOBAL_DER_FEV_2023!S1494</f>
        <v/>
      </c>
      <c r="W1494" s="582">
        <v>0</v>
      </c>
      <c r="X1494" s="580"/>
      <c r="Y1494" s="583">
        <f>IF(GLOBAL_DER_FEV_2023!W1494=0,0,IF(GLOBAL_DER_FEV_2023!W1494&gt;0,"c","b"))</f>
        <v>0</v>
      </c>
    </row>
    <row r="1495" spans="1:25" ht="23.25" hidden="1" thickBot="1" x14ac:dyDescent="0.25">
      <c r="A1495" s="317">
        <v>101549</v>
      </c>
      <c r="B1495" s="895">
        <v>101549</v>
      </c>
      <c r="C1495" s="896" t="s">
        <v>596</v>
      </c>
      <c r="D1495" s="906" t="s">
        <v>1420</v>
      </c>
      <c r="E1495" s="907">
        <f>GLOBAL_DER_FEV_2023!E1495</f>
        <v>0</v>
      </c>
      <c r="F1495" s="908">
        <f>GLOBAL_DER_FEV_2023!F1495</f>
        <v>0</v>
      </c>
      <c r="G1495" s="912">
        <f>GLOBAL_DER_FEV_2023!G1495</f>
        <v>0</v>
      </c>
      <c r="H1495" s="901">
        <f>GLOBAL_DER_FEV_2023!H1495</f>
        <v>22.14</v>
      </c>
      <c r="I1495" s="901">
        <f>GLOBAL_DER_FEV_2023!I1495</f>
        <v>22.14</v>
      </c>
      <c r="J1495" s="902">
        <f>GLOBAL_DER_FEV_2023!J1495</f>
        <v>26.58</v>
      </c>
      <c r="K1495" s="903" t="s">
        <v>1516</v>
      </c>
      <c r="L1495" s="1137"/>
      <c r="M1495" s="1138">
        <f t="shared" si="112"/>
        <v>0</v>
      </c>
      <c r="N1495" s="893">
        <f t="shared" si="111"/>
        <v>0</v>
      </c>
      <c r="O1495" s="905"/>
      <c r="Q1495" s="317" t="str">
        <f t="shared" si="108"/>
        <v/>
      </c>
      <c r="R1495" s="317" t="str">
        <f t="shared" si="109"/>
        <v/>
      </c>
      <c r="S1495" s="317" t="str">
        <f t="shared" si="110"/>
        <v/>
      </c>
      <c r="T1495" s="317" t="str">
        <f>GLOBAL_DER_FEV_2023!S1495</f>
        <v/>
      </c>
      <c r="W1495" s="582">
        <v>0</v>
      </c>
      <c r="X1495" s="580"/>
      <c r="Y1495" s="583">
        <f>IF(GLOBAL_DER_FEV_2023!W1495=0,0,IF(GLOBAL_DER_FEV_2023!W1495&gt;0,"c","b"))</f>
        <v>0</v>
      </c>
    </row>
    <row r="1496" spans="1:25" ht="23.25" hidden="1" thickBot="1" x14ac:dyDescent="0.25">
      <c r="A1496" s="317">
        <v>101553</v>
      </c>
      <c r="B1496" s="895">
        <v>101553</v>
      </c>
      <c r="C1496" s="896" t="s">
        <v>596</v>
      </c>
      <c r="D1496" s="906" t="s">
        <v>1421</v>
      </c>
      <c r="E1496" s="907">
        <f>GLOBAL_DER_FEV_2023!E1496</f>
        <v>0</v>
      </c>
      <c r="F1496" s="908">
        <f>GLOBAL_DER_FEV_2023!F1496</f>
        <v>0</v>
      </c>
      <c r="G1496" s="912">
        <f>GLOBAL_DER_FEV_2023!G1496</f>
        <v>0</v>
      </c>
      <c r="H1496" s="901">
        <f>GLOBAL_DER_FEV_2023!H1496</f>
        <v>11.35</v>
      </c>
      <c r="I1496" s="901">
        <f>GLOBAL_DER_FEV_2023!I1496</f>
        <v>11.35</v>
      </c>
      <c r="J1496" s="902">
        <f>GLOBAL_DER_FEV_2023!J1496</f>
        <v>13.63</v>
      </c>
      <c r="K1496" s="903" t="s">
        <v>1516</v>
      </c>
      <c r="L1496" s="1137"/>
      <c r="M1496" s="1138">
        <f t="shared" si="112"/>
        <v>0</v>
      </c>
      <c r="N1496" s="893">
        <f t="shared" si="111"/>
        <v>0</v>
      </c>
      <c r="O1496" s="905"/>
      <c r="Q1496" s="317" t="str">
        <f t="shared" si="108"/>
        <v/>
      </c>
      <c r="R1496" s="317" t="str">
        <f t="shared" si="109"/>
        <v/>
      </c>
      <c r="S1496" s="317" t="str">
        <f t="shared" si="110"/>
        <v/>
      </c>
      <c r="T1496" s="317" t="str">
        <f>GLOBAL_DER_FEV_2023!S1496</f>
        <v/>
      </c>
      <c r="W1496" s="582">
        <v>0</v>
      </c>
      <c r="X1496" s="580"/>
      <c r="Y1496" s="583">
        <f>IF(GLOBAL_DER_FEV_2023!W1496=0,0,IF(GLOBAL_DER_FEV_2023!W1496&gt;0,"c","b"))</f>
        <v>0</v>
      </c>
    </row>
    <row r="1497" spans="1:25" ht="23.25" hidden="1" thickBot="1" x14ac:dyDescent="0.25">
      <c r="A1497" s="317">
        <v>101554</v>
      </c>
      <c r="B1497" s="895">
        <v>101554</v>
      </c>
      <c r="C1497" s="896" t="s">
        <v>596</v>
      </c>
      <c r="D1497" s="906" t="s">
        <v>1422</v>
      </c>
      <c r="E1497" s="907">
        <f>GLOBAL_DER_FEV_2023!E1497</f>
        <v>0</v>
      </c>
      <c r="F1497" s="908">
        <f>GLOBAL_DER_FEV_2023!F1497</f>
        <v>0</v>
      </c>
      <c r="G1497" s="912">
        <f>GLOBAL_DER_FEV_2023!G1497</f>
        <v>0</v>
      </c>
      <c r="H1497" s="901">
        <f>GLOBAL_DER_FEV_2023!H1497</f>
        <v>9.09</v>
      </c>
      <c r="I1497" s="901">
        <f>GLOBAL_DER_FEV_2023!I1497</f>
        <v>9.09</v>
      </c>
      <c r="J1497" s="902">
        <f>GLOBAL_DER_FEV_2023!J1497</f>
        <v>10.91</v>
      </c>
      <c r="K1497" s="903" t="s">
        <v>1516</v>
      </c>
      <c r="L1497" s="1137"/>
      <c r="M1497" s="1138">
        <f t="shared" si="112"/>
        <v>0</v>
      </c>
      <c r="N1497" s="893">
        <f t="shared" si="111"/>
        <v>0</v>
      </c>
      <c r="O1497" s="905"/>
      <c r="Q1497" s="317" t="str">
        <f t="shared" si="108"/>
        <v/>
      </c>
      <c r="R1497" s="317" t="str">
        <f t="shared" si="109"/>
        <v/>
      </c>
      <c r="S1497" s="317" t="str">
        <f t="shared" si="110"/>
        <v/>
      </c>
      <c r="T1497" s="317" t="str">
        <f>GLOBAL_DER_FEV_2023!S1497</f>
        <v/>
      </c>
      <c r="W1497" s="582">
        <v>0</v>
      </c>
      <c r="X1497" s="580"/>
      <c r="Y1497" s="583">
        <f>IF(GLOBAL_DER_FEV_2023!W1497=0,0,IF(GLOBAL_DER_FEV_2023!W1497&gt;0,"c","b"))</f>
        <v>0</v>
      </c>
    </row>
    <row r="1498" spans="1:25" ht="23.25" hidden="1" thickBot="1" x14ac:dyDescent="0.25">
      <c r="A1498" s="317">
        <v>101555</v>
      </c>
      <c r="B1498" s="895">
        <v>101555</v>
      </c>
      <c r="C1498" s="896" t="s">
        <v>596</v>
      </c>
      <c r="D1498" s="906" t="s">
        <v>1423</v>
      </c>
      <c r="E1498" s="907">
        <f>GLOBAL_DER_FEV_2023!E1498</f>
        <v>0</v>
      </c>
      <c r="F1498" s="908">
        <f>GLOBAL_DER_FEV_2023!F1498</f>
        <v>0</v>
      </c>
      <c r="G1498" s="912">
        <f>GLOBAL_DER_FEV_2023!G1498</f>
        <v>0</v>
      </c>
      <c r="H1498" s="901">
        <f>GLOBAL_DER_FEV_2023!H1498</f>
        <v>7.02</v>
      </c>
      <c r="I1498" s="901">
        <f>GLOBAL_DER_FEV_2023!I1498</f>
        <v>7.02</v>
      </c>
      <c r="J1498" s="902">
        <f>GLOBAL_DER_FEV_2023!J1498</f>
        <v>8.43</v>
      </c>
      <c r="K1498" s="903" t="s">
        <v>1516</v>
      </c>
      <c r="L1498" s="1137"/>
      <c r="M1498" s="1138">
        <f t="shared" si="112"/>
        <v>0</v>
      </c>
      <c r="N1498" s="893">
        <f t="shared" si="111"/>
        <v>0</v>
      </c>
      <c r="O1498" s="905"/>
      <c r="Q1498" s="317" t="str">
        <f t="shared" si="108"/>
        <v/>
      </c>
      <c r="R1498" s="317" t="str">
        <f t="shared" si="109"/>
        <v/>
      </c>
      <c r="S1498" s="317" t="str">
        <f t="shared" si="110"/>
        <v/>
      </c>
      <c r="T1498" s="317" t="str">
        <f>GLOBAL_DER_FEV_2023!S1498</f>
        <v/>
      </c>
      <c r="W1498" s="582">
        <v>0</v>
      </c>
      <c r="X1498" s="580"/>
      <c r="Y1498" s="583">
        <f>IF(GLOBAL_DER_FEV_2023!W1498=0,0,IF(GLOBAL_DER_FEV_2023!W1498&gt;0,"c","b"))</f>
        <v>0</v>
      </c>
    </row>
    <row r="1499" spans="1:25" ht="23.25" hidden="1" thickBot="1" x14ac:dyDescent="0.25">
      <c r="A1499" s="317">
        <v>101556</v>
      </c>
      <c r="B1499" s="895">
        <v>101556</v>
      </c>
      <c r="C1499" s="896" t="s">
        <v>596</v>
      </c>
      <c r="D1499" s="906" t="s">
        <v>1424</v>
      </c>
      <c r="E1499" s="907">
        <f>GLOBAL_DER_FEV_2023!E1499</f>
        <v>0</v>
      </c>
      <c r="F1499" s="908">
        <f>GLOBAL_DER_FEV_2023!F1499</f>
        <v>0</v>
      </c>
      <c r="G1499" s="912">
        <f>GLOBAL_DER_FEV_2023!G1499</f>
        <v>0</v>
      </c>
      <c r="H1499" s="901">
        <f>GLOBAL_DER_FEV_2023!H1499</f>
        <v>6.69</v>
      </c>
      <c r="I1499" s="901">
        <f>GLOBAL_DER_FEV_2023!I1499</f>
        <v>6.69</v>
      </c>
      <c r="J1499" s="902">
        <f>GLOBAL_DER_FEV_2023!J1499</f>
        <v>8.0299999999999994</v>
      </c>
      <c r="K1499" s="903" t="s">
        <v>1516</v>
      </c>
      <c r="L1499" s="1137"/>
      <c r="M1499" s="1138">
        <f t="shared" si="112"/>
        <v>0</v>
      </c>
      <c r="N1499" s="893">
        <f t="shared" si="111"/>
        <v>0</v>
      </c>
      <c r="O1499" s="905"/>
      <c r="Q1499" s="317" t="str">
        <f t="shared" ref="Q1499:Q1562" si="113">IF(P1499="X","x",IF(P1499="xx","x",IF(P1499="xy","x",IF(P1499="y","x",IF(OR(N1499&gt;0,N1499&gt;0),"x","")))))</f>
        <v/>
      </c>
      <c r="R1499" s="317" t="str">
        <f t="shared" si="109"/>
        <v/>
      </c>
      <c r="S1499" s="317" t="str">
        <f t="shared" si="110"/>
        <v/>
      </c>
      <c r="T1499" s="317" t="str">
        <f>GLOBAL_DER_FEV_2023!S1499</f>
        <v/>
      </c>
      <c r="W1499" s="582">
        <v>0</v>
      </c>
      <c r="X1499" s="580"/>
      <c r="Y1499" s="583">
        <f>IF(GLOBAL_DER_FEV_2023!W1499=0,0,IF(GLOBAL_DER_FEV_2023!W1499&gt;0,"c","b"))</f>
        <v>0</v>
      </c>
    </row>
    <row r="1500" spans="1:25" ht="23.25" hidden="1" thickBot="1" x14ac:dyDescent="0.25">
      <c r="A1500" s="317">
        <v>101626</v>
      </c>
      <c r="B1500" s="895">
        <v>101626</v>
      </c>
      <c r="C1500" s="896" t="s">
        <v>596</v>
      </c>
      <c r="D1500" s="906" t="s">
        <v>1425</v>
      </c>
      <c r="E1500" s="907">
        <f>GLOBAL_DER_FEV_2023!E1500</f>
        <v>0</v>
      </c>
      <c r="F1500" s="908">
        <f>GLOBAL_DER_FEV_2023!F1500</f>
        <v>0</v>
      </c>
      <c r="G1500" s="912">
        <f>GLOBAL_DER_FEV_2023!G1500</f>
        <v>0</v>
      </c>
      <c r="H1500" s="901">
        <f>GLOBAL_DER_FEV_2023!H1500</f>
        <v>195.03</v>
      </c>
      <c r="I1500" s="901">
        <f>GLOBAL_DER_FEV_2023!I1500</f>
        <v>195.03</v>
      </c>
      <c r="J1500" s="902">
        <f>GLOBAL_DER_FEV_2023!J1500</f>
        <v>234.17</v>
      </c>
      <c r="K1500" s="903" t="s">
        <v>1516</v>
      </c>
      <c r="L1500" s="1137"/>
      <c r="M1500" s="1138">
        <f t="shared" si="112"/>
        <v>0</v>
      </c>
      <c r="N1500" s="893">
        <f t="shared" si="111"/>
        <v>0</v>
      </c>
      <c r="O1500" s="905"/>
      <c r="Q1500" s="317" t="str">
        <f t="shared" si="113"/>
        <v/>
      </c>
      <c r="R1500" s="317" t="str">
        <f t="shared" si="109"/>
        <v/>
      </c>
      <c r="S1500" s="317" t="str">
        <f t="shared" si="110"/>
        <v/>
      </c>
      <c r="T1500" s="317" t="str">
        <f>GLOBAL_DER_FEV_2023!S1500</f>
        <v/>
      </c>
      <c r="W1500" s="582">
        <v>0</v>
      </c>
      <c r="X1500" s="580"/>
      <c r="Y1500" s="583">
        <f>IF(GLOBAL_DER_FEV_2023!W1500=0,0,IF(GLOBAL_DER_FEV_2023!W1500&gt;0,"c","b"))</f>
        <v>0</v>
      </c>
    </row>
    <row r="1501" spans="1:25" ht="23.25" hidden="1" thickBot="1" x14ac:dyDescent="0.25">
      <c r="A1501" s="317">
        <v>101627</v>
      </c>
      <c r="B1501" s="895">
        <v>101627</v>
      </c>
      <c r="C1501" s="896" t="s">
        <v>596</v>
      </c>
      <c r="D1501" s="906" t="s">
        <v>1426</v>
      </c>
      <c r="E1501" s="907">
        <f>GLOBAL_DER_FEV_2023!E1501</f>
        <v>0</v>
      </c>
      <c r="F1501" s="908">
        <f>GLOBAL_DER_FEV_2023!F1501</f>
        <v>0</v>
      </c>
      <c r="G1501" s="912">
        <f>GLOBAL_DER_FEV_2023!G1501</f>
        <v>0</v>
      </c>
      <c r="H1501" s="901">
        <f>GLOBAL_DER_FEV_2023!H1501</f>
        <v>302.79000000000002</v>
      </c>
      <c r="I1501" s="901">
        <f>GLOBAL_DER_FEV_2023!I1501</f>
        <v>302.79000000000002</v>
      </c>
      <c r="J1501" s="902">
        <f>GLOBAL_DER_FEV_2023!J1501</f>
        <v>363.56</v>
      </c>
      <c r="K1501" s="903" t="s">
        <v>1516</v>
      </c>
      <c r="L1501" s="1137"/>
      <c r="M1501" s="1138">
        <f t="shared" si="112"/>
        <v>0</v>
      </c>
      <c r="N1501" s="893">
        <f t="shared" si="111"/>
        <v>0</v>
      </c>
      <c r="O1501" s="905"/>
      <c r="Q1501" s="317" t="str">
        <f t="shared" si="113"/>
        <v/>
      </c>
      <c r="R1501" s="317" t="str">
        <f t="shared" ref="R1501:R1564" si="114">IF(P1501="X","x",IF(P1501="y","x",IF(P1501="xx","x",IF(N1501&gt;0,"x",""))))</f>
        <v/>
      </c>
      <c r="S1501" s="317" t="str">
        <f t="shared" ref="S1501:S1564" si="115">IF(P1501="X","x",IF(N1501&gt;0,"x",""))</f>
        <v/>
      </c>
      <c r="T1501" s="317" t="str">
        <f>GLOBAL_DER_FEV_2023!S1501</f>
        <v/>
      </c>
      <c r="W1501" s="582">
        <v>0</v>
      </c>
      <c r="X1501" s="580"/>
      <c r="Y1501" s="583">
        <f>IF(GLOBAL_DER_FEV_2023!W1501=0,0,IF(GLOBAL_DER_FEV_2023!W1501&gt;0,"c","b"))</f>
        <v>0</v>
      </c>
    </row>
    <row r="1502" spans="1:25" ht="23.25" hidden="1" thickBot="1" x14ac:dyDescent="0.25">
      <c r="A1502" s="317">
        <v>101628</v>
      </c>
      <c r="B1502" s="895">
        <v>101628</v>
      </c>
      <c r="C1502" s="896" t="s">
        <v>596</v>
      </c>
      <c r="D1502" s="906" t="s">
        <v>1427</v>
      </c>
      <c r="E1502" s="907">
        <f>GLOBAL_DER_FEV_2023!E1502</f>
        <v>0</v>
      </c>
      <c r="F1502" s="908">
        <f>GLOBAL_DER_FEV_2023!F1502</f>
        <v>0</v>
      </c>
      <c r="G1502" s="912">
        <f>GLOBAL_DER_FEV_2023!G1502</f>
        <v>0</v>
      </c>
      <c r="H1502" s="901">
        <f>GLOBAL_DER_FEV_2023!H1502</f>
        <v>145.18</v>
      </c>
      <c r="I1502" s="901">
        <f>GLOBAL_DER_FEV_2023!I1502</f>
        <v>145.18</v>
      </c>
      <c r="J1502" s="902">
        <f>GLOBAL_DER_FEV_2023!J1502</f>
        <v>174.32</v>
      </c>
      <c r="K1502" s="903" t="s">
        <v>1516</v>
      </c>
      <c r="L1502" s="1137"/>
      <c r="M1502" s="1138">
        <f t="shared" si="112"/>
        <v>0</v>
      </c>
      <c r="N1502" s="893">
        <f t="shared" si="111"/>
        <v>0</v>
      </c>
      <c r="O1502" s="905"/>
      <c r="Q1502" s="317" t="str">
        <f t="shared" si="113"/>
        <v/>
      </c>
      <c r="R1502" s="317" t="str">
        <f t="shared" si="114"/>
        <v/>
      </c>
      <c r="S1502" s="317" t="str">
        <f t="shared" si="115"/>
        <v/>
      </c>
      <c r="T1502" s="317" t="str">
        <f>GLOBAL_DER_FEV_2023!S1502</f>
        <v/>
      </c>
      <c r="W1502" s="582">
        <v>0</v>
      </c>
      <c r="X1502" s="580"/>
      <c r="Y1502" s="583">
        <f>IF(GLOBAL_DER_FEV_2023!W1502=0,0,IF(GLOBAL_DER_FEV_2023!W1502&gt;0,"c","b"))</f>
        <v>0</v>
      </c>
    </row>
    <row r="1503" spans="1:25" ht="23.25" hidden="1" thickBot="1" x14ac:dyDescent="0.25">
      <c r="A1503" s="317">
        <v>101629</v>
      </c>
      <c r="B1503" s="895">
        <v>101629</v>
      </c>
      <c r="C1503" s="896" t="s">
        <v>596</v>
      </c>
      <c r="D1503" s="906" t="s">
        <v>1428</v>
      </c>
      <c r="E1503" s="907">
        <f>GLOBAL_DER_FEV_2023!E1503</f>
        <v>0</v>
      </c>
      <c r="F1503" s="908">
        <f>GLOBAL_DER_FEV_2023!F1503</f>
        <v>0</v>
      </c>
      <c r="G1503" s="912">
        <f>GLOBAL_DER_FEV_2023!G1503</f>
        <v>0</v>
      </c>
      <c r="H1503" s="901">
        <f>GLOBAL_DER_FEV_2023!H1503</f>
        <v>170.85</v>
      </c>
      <c r="I1503" s="901">
        <f>GLOBAL_DER_FEV_2023!I1503</f>
        <v>170.85</v>
      </c>
      <c r="J1503" s="902">
        <f>GLOBAL_DER_FEV_2023!J1503</f>
        <v>205.14</v>
      </c>
      <c r="K1503" s="903" t="s">
        <v>1516</v>
      </c>
      <c r="L1503" s="1137"/>
      <c r="M1503" s="1138">
        <f t="shared" si="112"/>
        <v>0</v>
      </c>
      <c r="N1503" s="893">
        <f t="shared" si="111"/>
        <v>0</v>
      </c>
      <c r="O1503" s="905"/>
      <c r="Q1503" s="317" t="str">
        <f t="shared" si="113"/>
        <v/>
      </c>
      <c r="R1503" s="317" t="str">
        <f t="shared" si="114"/>
        <v/>
      </c>
      <c r="S1503" s="317" t="str">
        <f t="shared" si="115"/>
        <v/>
      </c>
      <c r="T1503" s="317" t="str">
        <f>GLOBAL_DER_FEV_2023!S1503</f>
        <v/>
      </c>
      <c r="W1503" s="582">
        <v>0</v>
      </c>
      <c r="X1503" s="580"/>
      <c r="Y1503" s="583">
        <f>IF(GLOBAL_DER_FEV_2023!W1503=0,0,IF(GLOBAL_DER_FEV_2023!W1503&gt;0,"c","b"))</f>
        <v>0</v>
      </c>
    </row>
    <row r="1504" spans="1:25" ht="23.25" hidden="1" thickBot="1" x14ac:dyDescent="0.25">
      <c r="A1504" s="317">
        <v>100921</v>
      </c>
      <c r="B1504" s="895">
        <v>100921</v>
      </c>
      <c r="C1504" s="896" t="s">
        <v>596</v>
      </c>
      <c r="D1504" s="906" t="s">
        <v>1429</v>
      </c>
      <c r="E1504" s="907">
        <f>GLOBAL_DER_FEV_2023!E1504</f>
        <v>0</v>
      </c>
      <c r="F1504" s="908">
        <f>GLOBAL_DER_FEV_2023!F1504</f>
        <v>0</v>
      </c>
      <c r="G1504" s="912">
        <f>GLOBAL_DER_FEV_2023!G1504</f>
        <v>0</v>
      </c>
      <c r="H1504" s="901">
        <f>GLOBAL_DER_FEV_2023!H1504</f>
        <v>76.739999999999995</v>
      </c>
      <c r="I1504" s="901">
        <f>GLOBAL_DER_FEV_2023!I1504</f>
        <v>76.739999999999995</v>
      </c>
      <c r="J1504" s="902">
        <f>GLOBAL_DER_FEV_2023!J1504</f>
        <v>92.14</v>
      </c>
      <c r="K1504" s="903" t="s">
        <v>1516</v>
      </c>
      <c r="L1504" s="1137"/>
      <c r="M1504" s="1138">
        <f t="shared" si="112"/>
        <v>0</v>
      </c>
      <c r="N1504" s="893">
        <f t="shared" si="111"/>
        <v>0</v>
      </c>
      <c r="O1504" s="905"/>
      <c r="Q1504" s="317" t="str">
        <f t="shared" si="113"/>
        <v/>
      </c>
      <c r="R1504" s="317" t="str">
        <f t="shared" si="114"/>
        <v/>
      </c>
      <c r="S1504" s="317" t="str">
        <f t="shared" si="115"/>
        <v/>
      </c>
      <c r="T1504" s="317" t="str">
        <f>GLOBAL_DER_FEV_2023!S1504</f>
        <v/>
      </c>
      <c r="W1504" s="582">
        <v>0</v>
      </c>
      <c r="X1504" s="580"/>
      <c r="Y1504" s="583">
        <f>IF(GLOBAL_DER_FEV_2023!W1504=0,0,IF(GLOBAL_DER_FEV_2023!W1504&gt;0,"c","b"))</f>
        <v>0</v>
      </c>
    </row>
    <row r="1505" spans="1:25" ht="23.25" hidden="1" thickBot="1" x14ac:dyDescent="0.25">
      <c r="A1505" s="317">
        <v>100922</v>
      </c>
      <c r="B1505" s="895">
        <v>100922</v>
      </c>
      <c r="C1505" s="896" t="s">
        <v>596</v>
      </c>
      <c r="D1505" s="906" t="s">
        <v>1430</v>
      </c>
      <c r="E1505" s="907">
        <f>GLOBAL_DER_FEV_2023!E1505</f>
        <v>0</v>
      </c>
      <c r="F1505" s="908">
        <f>GLOBAL_DER_FEV_2023!F1505</f>
        <v>0</v>
      </c>
      <c r="G1505" s="912">
        <f>GLOBAL_DER_FEV_2023!G1505</f>
        <v>0</v>
      </c>
      <c r="H1505" s="901">
        <f>GLOBAL_DER_FEV_2023!H1505</f>
        <v>55.07</v>
      </c>
      <c r="I1505" s="901">
        <f>GLOBAL_DER_FEV_2023!I1505</f>
        <v>55.07</v>
      </c>
      <c r="J1505" s="902">
        <f>GLOBAL_DER_FEV_2023!J1505</f>
        <v>66.12</v>
      </c>
      <c r="K1505" s="903" t="s">
        <v>1516</v>
      </c>
      <c r="L1505" s="1137"/>
      <c r="M1505" s="1138">
        <f t="shared" si="112"/>
        <v>0</v>
      </c>
      <c r="N1505" s="893">
        <f t="shared" ref="N1505:N1568" si="116">IF(ISBLANK(L1505),0,IF(W1505=0,ROUND(L1505*M1505,2),IF(W1505="b",ROUNDDOWN(L1505*M1505,2),ROUNDUP(L1505*M1505,2))))</f>
        <v>0</v>
      </c>
      <c r="O1505" s="905"/>
      <c r="Q1505" s="317" t="str">
        <f t="shared" si="113"/>
        <v/>
      </c>
      <c r="R1505" s="317" t="str">
        <f t="shared" si="114"/>
        <v/>
      </c>
      <c r="S1505" s="317" t="str">
        <f t="shared" si="115"/>
        <v/>
      </c>
      <c r="T1505" s="317" t="str">
        <f>GLOBAL_DER_FEV_2023!S1505</f>
        <v/>
      </c>
      <c r="W1505" s="582">
        <v>0</v>
      </c>
      <c r="X1505" s="580"/>
      <c r="Y1505" s="583">
        <f>IF(GLOBAL_DER_FEV_2023!W1505=0,0,IF(GLOBAL_DER_FEV_2023!W1505&gt;0,"c","b"))</f>
        <v>0</v>
      </c>
    </row>
    <row r="1506" spans="1:25" ht="23.25" hidden="1" thickBot="1" x14ac:dyDescent="0.25">
      <c r="A1506" s="317">
        <v>100923</v>
      </c>
      <c r="B1506" s="895">
        <v>100923</v>
      </c>
      <c r="C1506" s="896" t="s">
        <v>596</v>
      </c>
      <c r="D1506" s="906" t="s">
        <v>1431</v>
      </c>
      <c r="E1506" s="907">
        <f>GLOBAL_DER_FEV_2023!E1506</f>
        <v>0</v>
      </c>
      <c r="F1506" s="908">
        <f>GLOBAL_DER_FEV_2023!F1506</f>
        <v>0</v>
      </c>
      <c r="G1506" s="912">
        <f>GLOBAL_DER_FEV_2023!G1506</f>
        <v>0</v>
      </c>
      <c r="H1506" s="901">
        <f>GLOBAL_DER_FEV_2023!H1506</f>
        <v>63.57</v>
      </c>
      <c r="I1506" s="901">
        <f>GLOBAL_DER_FEV_2023!I1506</f>
        <v>63.57</v>
      </c>
      <c r="J1506" s="902">
        <f>GLOBAL_DER_FEV_2023!J1506</f>
        <v>76.33</v>
      </c>
      <c r="K1506" s="903" t="s">
        <v>1516</v>
      </c>
      <c r="L1506" s="1137"/>
      <c r="M1506" s="1138">
        <f t="shared" si="112"/>
        <v>0</v>
      </c>
      <c r="N1506" s="893">
        <f t="shared" si="116"/>
        <v>0</v>
      </c>
      <c r="O1506" s="905"/>
      <c r="Q1506" s="317" t="str">
        <f t="shared" si="113"/>
        <v/>
      </c>
      <c r="R1506" s="317" t="str">
        <f t="shared" si="114"/>
        <v/>
      </c>
      <c r="S1506" s="317" t="str">
        <f t="shared" si="115"/>
        <v/>
      </c>
      <c r="T1506" s="317" t="str">
        <f>GLOBAL_DER_FEV_2023!S1506</f>
        <v/>
      </c>
      <c r="W1506" s="582">
        <v>0</v>
      </c>
      <c r="X1506" s="580"/>
      <c r="Y1506" s="583">
        <f>IF(GLOBAL_DER_FEV_2023!W1506=0,0,IF(GLOBAL_DER_FEV_2023!W1506&gt;0,"c","b"))</f>
        <v>0</v>
      </c>
    </row>
    <row r="1507" spans="1:25" ht="34.5" hidden="1" thickBot="1" x14ac:dyDescent="0.25">
      <c r="A1507" s="317">
        <v>101661</v>
      </c>
      <c r="B1507" s="895">
        <v>101661</v>
      </c>
      <c r="C1507" s="896" t="s">
        <v>596</v>
      </c>
      <c r="D1507" s="906" t="s">
        <v>1432</v>
      </c>
      <c r="E1507" s="907">
        <f>GLOBAL_DER_FEV_2023!E1507</f>
        <v>0</v>
      </c>
      <c r="F1507" s="908">
        <f>GLOBAL_DER_FEV_2023!F1507</f>
        <v>0</v>
      </c>
      <c r="G1507" s="912">
        <f>GLOBAL_DER_FEV_2023!G1507</f>
        <v>0</v>
      </c>
      <c r="H1507" s="901">
        <f>GLOBAL_DER_FEV_2023!H1507</f>
        <v>126.97</v>
      </c>
      <c r="I1507" s="901">
        <f>GLOBAL_DER_FEV_2023!I1507</f>
        <v>126.97</v>
      </c>
      <c r="J1507" s="902">
        <f>GLOBAL_DER_FEV_2023!J1507</f>
        <v>152.44999999999999</v>
      </c>
      <c r="K1507" s="903" t="s">
        <v>1516</v>
      </c>
      <c r="L1507" s="1137"/>
      <c r="M1507" s="1138">
        <f t="shared" si="112"/>
        <v>0</v>
      </c>
      <c r="N1507" s="893">
        <f t="shared" si="116"/>
        <v>0</v>
      </c>
      <c r="O1507" s="905"/>
      <c r="Q1507" s="317" t="str">
        <f t="shared" si="113"/>
        <v/>
      </c>
      <c r="R1507" s="317" t="str">
        <f t="shared" si="114"/>
        <v/>
      </c>
      <c r="S1507" s="317" t="str">
        <f t="shared" si="115"/>
        <v/>
      </c>
      <c r="T1507" s="317" t="str">
        <f>GLOBAL_DER_FEV_2023!S1507</f>
        <v/>
      </c>
      <c r="W1507" s="582">
        <v>0</v>
      </c>
      <c r="X1507" s="580"/>
      <c r="Y1507" s="583">
        <f>IF(GLOBAL_DER_FEV_2023!W1507=0,0,IF(GLOBAL_DER_FEV_2023!W1507&gt;0,"c","b"))</f>
        <v>0</v>
      </c>
    </row>
    <row r="1508" spans="1:25" ht="23.25" hidden="1" thickBot="1" x14ac:dyDescent="0.25">
      <c r="A1508" s="317">
        <v>101651</v>
      </c>
      <c r="B1508" s="895">
        <v>101651</v>
      </c>
      <c r="C1508" s="896" t="s">
        <v>596</v>
      </c>
      <c r="D1508" s="906" t="s">
        <v>1433</v>
      </c>
      <c r="E1508" s="907">
        <f>GLOBAL_DER_FEV_2023!E1508</f>
        <v>0</v>
      </c>
      <c r="F1508" s="908">
        <f>GLOBAL_DER_FEV_2023!F1508</f>
        <v>0</v>
      </c>
      <c r="G1508" s="912">
        <f>GLOBAL_DER_FEV_2023!G1508</f>
        <v>0</v>
      </c>
      <c r="H1508" s="901">
        <f>GLOBAL_DER_FEV_2023!H1508</f>
        <v>67.55</v>
      </c>
      <c r="I1508" s="901">
        <f>GLOBAL_DER_FEV_2023!I1508</f>
        <v>67.55</v>
      </c>
      <c r="J1508" s="902">
        <f>GLOBAL_DER_FEV_2023!J1508</f>
        <v>81.11</v>
      </c>
      <c r="K1508" s="903" t="s">
        <v>1516</v>
      </c>
      <c r="L1508" s="1137"/>
      <c r="M1508" s="1138">
        <f t="shared" si="112"/>
        <v>0</v>
      </c>
      <c r="N1508" s="893">
        <f t="shared" si="116"/>
        <v>0</v>
      </c>
      <c r="O1508" s="905"/>
      <c r="Q1508" s="317" t="str">
        <f t="shared" si="113"/>
        <v/>
      </c>
      <c r="R1508" s="317" t="str">
        <f t="shared" si="114"/>
        <v/>
      </c>
      <c r="S1508" s="317" t="str">
        <f t="shared" si="115"/>
        <v/>
      </c>
      <c r="T1508" s="317" t="str">
        <f>GLOBAL_DER_FEV_2023!S1508</f>
        <v/>
      </c>
      <c r="W1508" s="582">
        <v>0</v>
      </c>
      <c r="X1508" s="580"/>
      <c r="Y1508" s="583">
        <f>IF(GLOBAL_DER_FEV_2023!W1508=0,0,IF(GLOBAL_DER_FEV_2023!W1508&gt;0,"c","b"))</f>
        <v>0</v>
      </c>
    </row>
    <row r="1509" spans="1:25" ht="23.25" hidden="1" thickBot="1" x14ac:dyDescent="0.25">
      <c r="A1509" s="317">
        <v>101630</v>
      </c>
      <c r="B1509" s="895">
        <v>101630</v>
      </c>
      <c r="C1509" s="896" t="s">
        <v>596</v>
      </c>
      <c r="D1509" s="906" t="s">
        <v>1434</v>
      </c>
      <c r="E1509" s="907">
        <f>GLOBAL_DER_FEV_2023!E1509</f>
        <v>0</v>
      </c>
      <c r="F1509" s="908">
        <f>GLOBAL_DER_FEV_2023!F1509</f>
        <v>0</v>
      </c>
      <c r="G1509" s="912">
        <f>GLOBAL_DER_FEV_2023!G1509</f>
        <v>0</v>
      </c>
      <c r="H1509" s="901">
        <f>GLOBAL_DER_FEV_2023!H1509</f>
        <v>80.7</v>
      </c>
      <c r="I1509" s="901">
        <f>GLOBAL_DER_FEV_2023!I1509</f>
        <v>80.7</v>
      </c>
      <c r="J1509" s="902">
        <f>GLOBAL_DER_FEV_2023!J1509</f>
        <v>96.9</v>
      </c>
      <c r="K1509" s="903" t="s">
        <v>1516</v>
      </c>
      <c r="L1509" s="1137"/>
      <c r="M1509" s="1138">
        <f t="shared" si="112"/>
        <v>0</v>
      </c>
      <c r="N1509" s="893">
        <f t="shared" si="116"/>
        <v>0</v>
      </c>
      <c r="O1509" s="905"/>
      <c r="Q1509" s="317" t="str">
        <f t="shared" si="113"/>
        <v/>
      </c>
      <c r="R1509" s="317" t="str">
        <f t="shared" si="114"/>
        <v/>
      </c>
      <c r="S1509" s="317" t="str">
        <f t="shared" si="115"/>
        <v/>
      </c>
      <c r="T1509" s="317" t="str">
        <f>GLOBAL_DER_FEV_2023!S1509</f>
        <v/>
      </c>
      <c r="W1509" s="582">
        <v>0</v>
      </c>
      <c r="X1509" s="580"/>
      <c r="Y1509" s="583">
        <f>IF(GLOBAL_DER_FEV_2023!W1509=0,0,IF(GLOBAL_DER_FEV_2023!W1509&gt;0,"c","b"))</f>
        <v>0</v>
      </c>
    </row>
    <row r="1510" spans="1:25" ht="23.25" hidden="1" thickBot="1" x14ac:dyDescent="0.25">
      <c r="A1510" s="317">
        <v>101631</v>
      </c>
      <c r="B1510" s="895">
        <v>101631</v>
      </c>
      <c r="C1510" s="896" t="s">
        <v>596</v>
      </c>
      <c r="D1510" s="906" t="s">
        <v>1435</v>
      </c>
      <c r="E1510" s="907">
        <f>GLOBAL_DER_FEV_2023!E1510</f>
        <v>0</v>
      </c>
      <c r="F1510" s="908">
        <f>GLOBAL_DER_FEV_2023!F1510</f>
        <v>0</v>
      </c>
      <c r="G1510" s="912">
        <f>GLOBAL_DER_FEV_2023!G1510</f>
        <v>0</v>
      </c>
      <c r="H1510" s="901">
        <f>GLOBAL_DER_FEV_2023!H1510</f>
        <v>39.08</v>
      </c>
      <c r="I1510" s="901">
        <f>GLOBAL_DER_FEV_2023!I1510</f>
        <v>39.08</v>
      </c>
      <c r="J1510" s="902">
        <f>GLOBAL_DER_FEV_2023!J1510</f>
        <v>46.92</v>
      </c>
      <c r="K1510" s="903" t="s">
        <v>1516</v>
      </c>
      <c r="L1510" s="1137"/>
      <c r="M1510" s="1138">
        <f t="shared" si="112"/>
        <v>0</v>
      </c>
      <c r="N1510" s="893">
        <f t="shared" si="116"/>
        <v>0</v>
      </c>
      <c r="O1510" s="905"/>
      <c r="Q1510" s="317" t="str">
        <f t="shared" si="113"/>
        <v/>
      </c>
      <c r="R1510" s="317" t="str">
        <f t="shared" si="114"/>
        <v/>
      </c>
      <c r="S1510" s="317" t="str">
        <f t="shared" si="115"/>
        <v/>
      </c>
      <c r="T1510" s="317" t="str">
        <f>GLOBAL_DER_FEV_2023!S1510</f>
        <v/>
      </c>
      <c r="W1510" s="582">
        <v>0</v>
      </c>
      <c r="X1510" s="580"/>
      <c r="Y1510" s="583">
        <f>IF(GLOBAL_DER_FEV_2023!W1510=0,0,IF(GLOBAL_DER_FEV_2023!W1510&gt;0,"c","b"))</f>
        <v>0</v>
      </c>
    </row>
    <row r="1511" spans="1:25" ht="23.25" hidden="1" thickBot="1" x14ac:dyDescent="0.25">
      <c r="A1511" s="317">
        <v>101632</v>
      </c>
      <c r="B1511" s="895">
        <v>101632</v>
      </c>
      <c r="C1511" s="896" t="s">
        <v>596</v>
      </c>
      <c r="D1511" s="906" t="s">
        <v>1436</v>
      </c>
      <c r="E1511" s="907">
        <f>GLOBAL_DER_FEV_2023!E1511</f>
        <v>0</v>
      </c>
      <c r="F1511" s="908">
        <f>GLOBAL_DER_FEV_2023!F1511</f>
        <v>0</v>
      </c>
      <c r="G1511" s="912">
        <f>GLOBAL_DER_FEV_2023!G1511</f>
        <v>0</v>
      </c>
      <c r="H1511" s="901">
        <f>GLOBAL_DER_FEV_2023!H1511</f>
        <v>43.27</v>
      </c>
      <c r="I1511" s="901">
        <f>GLOBAL_DER_FEV_2023!I1511</f>
        <v>43.27</v>
      </c>
      <c r="J1511" s="902">
        <f>GLOBAL_DER_FEV_2023!J1511</f>
        <v>51.95</v>
      </c>
      <c r="K1511" s="903" t="s">
        <v>1516</v>
      </c>
      <c r="L1511" s="1137"/>
      <c r="M1511" s="1138">
        <f t="shared" si="112"/>
        <v>0</v>
      </c>
      <c r="N1511" s="893">
        <f t="shared" si="116"/>
        <v>0</v>
      </c>
      <c r="O1511" s="905"/>
      <c r="Q1511" s="317" t="str">
        <f t="shared" si="113"/>
        <v/>
      </c>
      <c r="R1511" s="317" t="str">
        <f t="shared" si="114"/>
        <v/>
      </c>
      <c r="S1511" s="317" t="str">
        <f t="shared" si="115"/>
        <v/>
      </c>
      <c r="T1511" s="317" t="str">
        <f>GLOBAL_DER_FEV_2023!S1511</f>
        <v/>
      </c>
      <c r="W1511" s="582">
        <v>0</v>
      </c>
      <c r="X1511" s="580"/>
      <c r="Y1511" s="583">
        <f>IF(GLOBAL_DER_FEV_2023!W1511=0,0,IF(GLOBAL_DER_FEV_2023!W1511&gt;0,"c","b"))</f>
        <v>0</v>
      </c>
    </row>
    <row r="1512" spans="1:25" ht="23.25" hidden="1" thickBot="1" x14ac:dyDescent="0.25">
      <c r="A1512" s="317">
        <v>101633</v>
      </c>
      <c r="B1512" s="895">
        <v>101633</v>
      </c>
      <c r="C1512" s="896" t="s">
        <v>596</v>
      </c>
      <c r="D1512" s="906" t="s">
        <v>1437</v>
      </c>
      <c r="E1512" s="907">
        <f>GLOBAL_DER_FEV_2023!E1512</f>
        <v>0</v>
      </c>
      <c r="F1512" s="908">
        <f>GLOBAL_DER_FEV_2023!F1512</f>
        <v>0</v>
      </c>
      <c r="G1512" s="912">
        <f>GLOBAL_DER_FEV_2023!G1512</f>
        <v>0</v>
      </c>
      <c r="H1512" s="901">
        <f>GLOBAL_DER_FEV_2023!H1512</f>
        <v>108.32</v>
      </c>
      <c r="I1512" s="901">
        <f>GLOBAL_DER_FEV_2023!I1512</f>
        <v>108.32</v>
      </c>
      <c r="J1512" s="902">
        <f>GLOBAL_DER_FEV_2023!J1512</f>
        <v>130.06</v>
      </c>
      <c r="K1512" s="903" t="s">
        <v>1516</v>
      </c>
      <c r="L1512" s="1137"/>
      <c r="M1512" s="1138">
        <f t="shared" si="112"/>
        <v>0</v>
      </c>
      <c r="N1512" s="893">
        <f t="shared" si="116"/>
        <v>0</v>
      </c>
      <c r="O1512" s="905"/>
      <c r="Q1512" s="317" t="str">
        <f t="shared" si="113"/>
        <v/>
      </c>
      <c r="R1512" s="317" t="str">
        <f t="shared" si="114"/>
        <v/>
      </c>
      <c r="S1512" s="317" t="str">
        <f t="shared" si="115"/>
        <v/>
      </c>
      <c r="T1512" s="317" t="str">
        <f>GLOBAL_DER_FEV_2023!S1512</f>
        <v/>
      </c>
      <c r="W1512" s="582">
        <v>0</v>
      </c>
      <c r="X1512" s="580"/>
      <c r="Y1512" s="583">
        <f>IF(GLOBAL_DER_FEV_2023!W1512=0,0,IF(GLOBAL_DER_FEV_2023!W1512&gt;0,"c","b"))</f>
        <v>0</v>
      </c>
    </row>
    <row r="1513" spans="1:25" ht="34.5" hidden="1" thickBot="1" x14ac:dyDescent="0.25">
      <c r="A1513" s="317">
        <v>101636</v>
      </c>
      <c r="B1513" s="895">
        <v>101636</v>
      </c>
      <c r="C1513" s="896" t="s">
        <v>596</v>
      </c>
      <c r="D1513" s="906" t="s">
        <v>1438</v>
      </c>
      <c r="E1513" s="907">
        <f>GLOBAL_DER_FEV_2023!E1513</f>
        <v>0</v>
      </c>
      <c r="F1513" s="908">
        <f>GLOBAL_DER_FEV_2023!F1513</f>
        <v>0</v>
      </c>
      <c r="G1513" s="912">
        <f>GLOBAL_DER_FEV_2023!G1513</f>
        <v>0</v>
      </c>
      <c r="H1513" s="901">
        <f>GLOBAL_DER_FEV_2023!H1513</f>
        <v>163.68</v>
      </c>
      <c r="I1513" s="901">
        <f>GLOBAL_DER_FEV_2023!I1513</f>
        <v>163.68</v>
      </c>
      <c r="J1513" s="902">
        <f>GLOBAL_DER_FEV_2023!J1513</f>
        <v>196.53</v>
      </c>
      <c r="K1513" s="903" t="s">
        <v>1516</v>
      </c>
      <c r="L1513" s="1137"/>
      <c r="M1513" s="1138">
        <f t="shared" si="112"/>
        <v>0</v>
      </c>
      <c r="N1513" s="893">
        <f t="shared" si="116"/>
        <v>0</v>
      </c>
      <c r="O1513" s="905"/>
      <c r="Q1513" s="317" t="str">
        <f t="shared" si="113"/>
        <v/>
      </c>
      <c r="R1513" s="317" t="str">
        <f t="shared" si="114"/>
        <v/>
      </c>
      <c r="S1513" s="317" t="str">
        <f t="shared" si="115"/>
        <v/>
      </c>
      <c r="T1513" s="317" t="str">
        <f>GLOBAL_DER_FEV_2023!S1513</f>
        <v/>
      </c>
      <c r="W1513" s="582">
        <v>0</v>
      </c>
      <c r="X1513" s="580"/>
      <c r="Y1513" s="583">
        <f>IF(GLOBAL_DER_FEV_2023!W1513=0,0,IF(GLOBAL_DER_FEV_2023!W1513&gt;0,"c","b"))</f>
        <v>0</v>
      </c>
    </row>
    <row r="1514" spans="1:25" ht="34.5" hidden="1" thickBot="1" x14ac:dyDescent="0.25">
      <c r="A1514" s="317">
        <v>101637</v>
      </c>
      <c r="B1514" s="895">
        <v>101637</v>
      </c>
      <c r="C1514" s="896" t="s">
        <v>596</v>
      </c>
      <c r="D1514" s="906" t="s">
        <v>1439</v>
      </c>
      <c r="E1514" s="907">
        <f>GLOBAL_DER_FEV_2023!E1514</f>
        <v>0</v>
      </c>
      <c r="F1514" s="908">
        <f>GLOBAL_DER_FEV_2023!F1514</f>
        <v>0</v>
      </c>
      <c r="G1514" s="912">
        <f>GLOBAL_DER_FEV_2023!G1514</f>
        <v>0</v>
      </c>
      <c r="H1514" s="901">
        <f>GLOBAL_DER_FEV_2023!H1514</f>
        <v>158.52000000000001</v>
      </c>
      <c r="I1514" s="901">
        <f>GLOBAL_DER_FEV_2023!I1514</f>
        <v>158.52000000000001</v>
      </c>
      <c r="J1514" s="902">
        <f>GLOBAL_DER_FEV_2023!J1514</f>
        <v>190.33</v>
      </c>
      <c r="K1514" s="903" t="s">
        <v>1516</v>
      </c>
      <c r="L1514" s="1137"/>
      <c r="M1514" s="1138">
        <f t="shared" si="112"/>
        <v>0</v>
      </c>
      <c r="N1514" s="893">
        <f t="shared" si="116"/>
        <v>0</v>
      </c>
      <c r="O1514" s="905"/>
      <c r="Q1514" s="317" t="str">
        <f t="shared" si="113"/>
        <v/>
      </c>
      <c r="R1514" s="317" t="str">
        <f t="shared" si="114"/>
        <v/>
      </c>
      <c r="S1514" s="317" t="str">
        <f t="shared" si="115"/>
        <v/>
      </c>
      <c r="T1514" s="317" t="str">
        <f>GLOBAL_DER_FEV_2023!S1514</f>
        <v/>
      </c>
      <c r="W1514" s="582">
        <v>0</v>
      </c>
      <c r="X1514" s="580"/>
      <c r="Y1514" s="583">
        <f>IF(GLOBAL_DER_FEV_2023!W1514=0,0,IF(GLOBAL_DER_FEV_2023!W1514&gt;0,"c","b"))</f>
        <v>0</v>
      </c>
    </row>
    <row r="1515" spans="1:25" ht="23.25" hidden="1" thickBot="1" x14ac:dyDescent="0.25">
      <c r="A1515" s="317">
        <v>96985</v>
      </c>
      <c r="B1515" s="895">
        <v>96985</v>
      </c>
      <c r="C1515" s="896" t="s">
        <v>596</v>
      </c>
      <c r="D1515" s="906" t="s">
        <v>1440</v>
      </c>
      <c r="E1515" s="907">
        <f>GLOBAL_DER_FEV_2023!E1515</f>
        <v>0</v>
      </c>
      <c r="F1515" s="908">
        <f>GLOBAL_DER_FEV_2023!F1515</f>
        <v>0</v>
      </c>
      <c r="G1515" s="912">
        <f>GLOBAL_DER_FEV_2023!G1515</f>
        <v>0</v>
      </c>
      <c r="H1515" s="901">
        <f>GLOBAL_DER_FEV_2023!H1515</f>
        <v>91.92</v>
      </c>
      <c r="I1515" s="901">
        <f>GLOBAL_DER_FEV_2023!I1515</f>
        <v>91.92</v>
      </c>
      <c r="J1515" s="902">
        <f>GLOBAL_DER_FEV_2023!J1515</f>
        <v>110.37</v>
      </c>
      <c r="K1515" s="903" t="s">
        <v>1516</v>
      </c>
      <c r="L1515" s="1137"/>
      <c r="M1515" s="1138">
        <f t="shared" si="112"/>
        <v>0</v>
      </c>
      <c r="N1515" s="893">
        <f t="shared" si="116"/>
        <v>0</v>
      </c>
      <c r="O1515" s="905"/>
      <c r="Q1515" s="317" t="str">
        <f t="shared" si="113"/>
        <v/>
      </c>
      <c r="R1515" s="317" t="str">
        <f t="shared" si="114"/>
        <v/>
      </c>
      <c r="S1515" s="317" t="str">
        <f t="shared" si="115"/>
        <v/>
      </c>
      <c r="T1515" s="317" t="str">
        <f>GLOBAL_DER_FEV_2023!S1515</f>
        <v/>
      </c>
      <c r="W1515" s="582">
        <v>0</v>
      </c>
      <c r="X1515" s="580"/>
      <c r="Y1515" s="583">
        <f>IF(GLOBAL_DER_FEV_2023!W1515=0,0,IF(GLOBAL_DER_FEV_2023!W1515&gt;0,"c","b"))</f>
        <v>0</v>
      </c>
    </row>
    <row r="1516" spans="1:25" ht="23.25" hidden="1" thickBot="1" x14ac:dyDescent="0.25">
      <c r="A1516" s="317">
        <v>96986</v>
      </c>
      <c r="B1516" s="895">
        <v>96986</v>
      </c>
      <c r="C1516" s="896" t="s">
        <v>596</v>
      </c>
      <c r="D1516" s="906" t="s">
        <v>1441</v>
      </c>
      <c r="E1516" s="907">
        <f>GLOBAL_DER_FEV_2023!E1516</f>
        <v>0</v>
      </c>
      <c r="F1516" s="908">
        <f>GLOBAL_DER_FEV_2023!F1516</f>
        <v>0</v>
      </c>
      <c r="G1516" s="912">
        <f>GLOBAL_DER_FEV_2023!G1516</f>
        <v>0</v>
      </c>
      <c r="H1516" s="901">
        <f>GLOBAL_DER_FEV_2023!H1516</f>
        <v>137.30000000000001</v>
      </c>
      <c r="I1516" s="901">
        <f>GLOBAL_DER_FEV_2023!I1516</f>
        <v>137.30000000000001</v>
      </c>
      <c r="J1516" s="902">
        <f>GLOBAL_DER_FEV_2023!J1516</f>
        <v>164.86</v>
      </c>
      <c r="K1516" s="903" t="s">
        <v>1516</v>
      </c>
      <c r="L1516" s="1137"/>
      <c r="M1516" s="1138">
        <f t="shared" si="112"/>
        <v>0</v>
      </c>
      <c r="N1516" s="893">
        <f t="shared" si="116"/>
        <v>0</v>
      </c>
      <c r="O1516" s="905"/>
      <c r="Q1516" s="317" t="str">
        <f t="shared" si="113"/>
        <v/>
      </c>
      <c r="R1516" s="317" t="str">
        <f t="shared" si="114"/>
        <v/>
      </c>
      <c r="S1516" s="317" t="str">
        <f t="shared" si="115"/>
        <v/>
      </c>
      <c r="T1516" s="317" t="str">
        <f>GLOBAL_DER_FEV_2023!S1516</f>
        <v/>
      </c>
      <c r="W1516" s="582">
        <v>0</v>
      </c>
      <c r="X1516" s="580"/>
      <c r="Y1516" s="583">
        <f>IF(GLOBAL_DER_FEV_2023!W1516=0,0,IF(GLOBAL_DER_FEV_2023!W1516&gt;0,"c","b"))</f>
        <v>0</v>
      </c>
    </row>
    <row r="1517" spans="1:25" ht="23.25" hidden="1" thickBot="1" x14ac:dyDescent="0.25">
      <c r="A1517" s="317">
        <v>96987</v>
      </c>
      <c r="B1517" s="895">
        <v>96987</v>
      </c>
      <c r="C1517" s="896" t="s">
        <v>596</v>
      </c>
      <c r="D1517" s="906" t="s">
        <v>1442</v>
      </c>
      <c r="E1517" s="907">
        <f>GLOBAL_DER_FEV_2023!E1517</f>
        <v>0</v>
      </c>
      <c r="F1517" s="908">
        <f>GLOBAL_DER_FEV_2023!F1517</f>
        <v>0</v>
      </c>
      <c r="G1517" s="912">
        <f>GLOBAL_DER_FEV_2023!G1517</f>
        <v>0</v>
      </c>
      <c r="H1517" s="901">
        <f>GLOBAL_DER_FEV_2023!H1517</f>
        <v>118</v>
      </c>
      <c r="I1517" s="901">
        <f>GLOBAL_DER_FEV_2023!I1517</f>
        <v>118</v>
      </c>
      <c r="J1517" s="902">
        <f>GLOBAL_DER_FEV_2023!J1517</f>
        <v>141.68</v>
      </c>
      <c r="K1517" s="903" t="s">
        <v>1516</v>
      </c>
      <c r="L1517" s="1137"/>
      <c r="M1517" s="1138">
        <f t="shared" si="112"/>
        <v>0</v>
      </c>
      <c r="N1517" s="893">
        <f t="shared" si="116"/>
        <v>0</v>
      </c>
      <c r="O1517" s="905"/>
      <c r="Q1517" s="317" t="str">
        <f t="shared" si="113"/>
        <v/>
      </c>
      <c r="R1517" s="317" t="str">
        <f t="shared" si="114"/>
        <v/>
      </c>
      <c r="S1517" s="317" t="str">
        <f t="shared" si="115"/>
        <v/>
      </c>
      <c r="T1517" s="317" t="str">
        <f>GLOBAL_DER_FEV_2023!S1517</f>
        <v/>
      </c>
      <c r="W1517" s="582">
        <v>0</v>
      </c>
      <c r="X1517" s="580"/>
      <c r="Y1517" s="583">
        <f>IF(GLOBAL_DER_FEV_2023!W1517=0,0,IF(GLOBAL_DER_FEV_2023!W1517&gt;0,"c","b"))</f>
        <v>0</v>
      </c>
    </row>
    <row r="1518" spans="1:25" ht="13.5" hidden="1" thickBot="1" x14ac:dyDescent="0.25">
      <c r="A1518" s="317">
        <v>96988</v>
      </c>
      <c r="B1518" s="895">
        <v>96988</v>
      </c>
      <c r="C1518" s="896" t="s">
        <v>596</v>
      </c>
      <c r="D1518" s="906" t="s">
        <v>1443</v>
      </c>
      <c r="E1518" s="907">
        <f>GLOBAL_DER_FEV_2023!E1518</f>
        <v>0</v>
      </c>
      <c r="F1518" s="908">
        <f>GLOBAL_DER_FEV_2023!F1518</f>
        <v>0</v>
      </c>
      <c r="G1518" s="912">
        <f>GLOBAL_DER_FEV_2023!G1518</f>
        <v>0</v>
      </c>
      <c r="H1518" s="901">
        <f>GLOBAL_DER_FEV_2023!H1518</f>
        <v>157.33000000000001</v>
      </c>
      <c r="I1518" s="901">
        <f>GLOBAL_DER_FEV_2023!I1518</f>
        <v>157.33000000000001</v>
      </c>
      <c r="J1518" s="902">
        <f>GLOBAL_DER_FEV_2023!J1518</f>
        <v>188.91</v>
      </c>
      <c r="K1518" s="903" t="s">
        <v>1516</v>
      </c>
      <c r="L1518" s="1137"/>
      <c r="M1518" s="1138">
        <f t="shared" si="112"/>
        <v>0</v>
      </c>
      <c r="N1518" s="893">
        <f t="shared" si="116"/>
        <v>0</v>
      </c>
      <c r="O1518" s="905"/>
      <c r="Q1518" s="317" t="str">
        <f t="shared" si="113"/>
        <v/>
      </c>
      <c r="R1518" s="317" t="str">
        <f t="shared" si="114"/>
        <v/>
      </c>
      <c r="S1518" s="317" t="str">
        <f t="shared" si="115"/>
        <v/>
      </c>
      <c r="T1518" s="317" t="str">
        <f>GLOBAL_DER_FEV_2023!S1518</f>
        <v/>
      </c>
      <c r="W1518" s="582">
        <v>0</v>
      </c>
      <c r="X1518" s="580"/>
      <c r="Y1518" s="583">
        <f>IF(GLOBAL_DER_FEV_2023!W1518=0,0,IF(GLOBAL_DER_FEV_2023!W1518&gt;0,"c","b"))</f>
        <v>0</v>
      </c>
    </row>
    <row r="1519" spans="1:25" ht="23.25" hidden="1" thickBot="1" x14ac:dyDescent="0.25">
      <c r="A1519" s="317">
        <v>96971</v>
      </c>
      <c r="B1519" s="895">
        <v>96971</v>
      </c>
      <c r="C1519" s="896" t="s">
        <v>596</v>
      </c>
      <c r="D1519" s="906" t="s">
        <v>1444</v>
      </c>
      <c r="E1519" s="907">
        <f>GLOBAL_DER_FEV_2023!E1519</f>
        <v>0</v>
      </c>
      <c r="F1519" s="908">
        <f>GLOBAL_DER_FEV_2023!F1519</f>
        <v>0</v>
      </c>
      <c r="G1519" s="912">
        <f>GLOBAL_DER_FEV_2023!G1519</f>
        <v>0</v>
      </c>
      <c r="H1519" s="901">
        <f>GLOBAL_DER_FEV_2023!H1519</f>
        <v>37.03</v>
      </c>
      <c r="I1519" s="901">
        <f>GLOBAL_DER_FEV_2023!I1519</f>
        <v>37.03</v>
      </c>
      <c r="J1519" s="902">
        <f>GLOBAL_DER_FEV_2023!J1519</f>
        <v>44.46</v>
      </c>
      <c r="K1519" s="903" t="s">
        <v>62</v>
      </c>
      <c r="L1519" s="1137"/>
      <c r="M1519" s="1138">
        <f t="shared" si="112"/>
        <v>0</v>
      </c>
      <c r="N1519" s="893">
        <f t="shared" si="116"/>
        <v>0</v>
      </c>
      <c r="O1519" s="905"/>
      <c r="Q1519" s="317" t="str">
        <f t="shared" si="113"/>
        <v/>
      </c>
      <c r="R1519" s="317" t="str">
        <f t="shared" si="114"/>
        <v/>
      </c>
      <c r="S1519" s="317" t="str">
        <f t="shared" si="115"/>
        <v/>
      </c>
      <c r="T1519" s="317" t="str">
        <f>GLOBAL_DER_FEV_2023!S1519</f>
        <v/>
      </c>
      <c r="W1519" s="582">
        <v>0</v>
      </c>
      <c r="X1519" s="580"/>
      <c r="Y1519" s="583">
        <f>IF(GLOBAL_DER_FEV_2023!W1519=0,0,IF(GLOBAL_DER_FEV_2023!W1519&gt;0,"c","b"))</f>
        <v>0</v>
      </c>
    </row>
    <row r="1520" spans="1:25" ht="23.25" hidden="1" thickBot="1" x14ac:dyDescent="0.25">
      <c r="A1520" s="317">
        <v>96972</v>
      </c>
      <c r="B1520" s="895">
        <v>96972</v>
      </c>
      <c r="C1520" s="896" t="s">
        <v>596</v>
      </c>
      <c r="D1520" s="906" t="s">
        <v>1445</v>
      </c>
      <c r="E1520" s="907">
        <f>GLOBAL_DER_FEV_2023!E1520</f>
        <v>0</v>
      </c>
      <c r="F1520" s="908">
        <f>GLOBAL_DER_FEV_2023!F1520</f>
        <v>0</v>
      </c>
      <c r="G1520" s="912">
        <f>GLOBAL_DER_FEV_2023!G1520</f>
        <v>0</v>
      </c>
      <c r="H1520" s="901">
        <f>GLOBAL_DER_FEV_2023!H1520</f>
        <v>50.05</v>
      </c>
      <c r="I1520" s="901">
        <f>GLOBAL_DER_FEV_2023!I1520</f>
        <v>50.05</v>
      </c>
      <c r="J1520" s="902">
        <f>GLOBAL_DER_FEV_2023!J1520</f>
        <v>60.1</v>
      </c>
      <c r="K1520" s="903" t="s">
        <v>62</v>
      </c>
      <c r="L1520" s="1137"/>
      <c r="M1520" s="1138">
        <f t="shared" si="112"/>
        <v>0</v>
      </c>
      <c r="N1520" s="893">
        <f t="shared" si="116"/>
        <v>0</v>
      </c>
      <c r="O1520" s="905"/>
      <c r="Q1520" s="317" t="str">
        <f t="shared" si="113"/>
        <v/>
      </c>
      <c r="R1520" s="317" t="str">
        <f t="shared" si="114"/>
        <v/>
      </c>
      <c r="S1520" s="317" t="str">
        <f t="shared" si="115"/>
        <v/>
      </c>
      <c r="T1520" s="317" t="str">
        <f>GLOBAL_DER_FEV_2023!S1520</f>
        <v/>
      </c>
      <c r="W1520" s="582">
        <v>0</v>
      </c>
      <c r="X1520" s="580"/>
      <c r="Y1520" s="583">
        <f>IF(GLOBAL_DER_FEV_2023!W1520=0,0,IF(GLOBAL_DER_FEV_2023!W1520&gt;0,"c","b"))</f>
        <v>0</v>
      </c>
    </row>
    <row r="1521" spans="1:25" ht="23.25" hidden="1" thickBot="1" x14ac:dyDescent="0.25">
      <c r="A1521" s="317">
        <v>96973</v>
      </c>
      <c r="B1521" s="895">
        <v>96973</v>
      </c>
      <c r="C1521" s="896" t="s">
        <v>596</v>
      </c>
      <c r="D1521" s="906" t="s">
        <v>1446</v>
      </c>
      <c r="E1521" s="907">
        <f>GLOBAL_DER_FEV_2023!E1521</f>
        <v>0</v>
      </c>
      <c r="F1521" s="908">
        <f>GLOBAL_DER_FEV_2023!F1521</f>
        <v>0</v>
      </c>
      <c r="G1521" s="912">
        <f>GLOBAL_DER_FEV_2023!G1521</f>
        <v>0</v>
      </c>
      <c r="H1521" s="901">
        <f>GLOBAL_DER_FEV_2023!H1521</f>
        <v>66.23</v>
      </c>
      <c r="I1521" s="901">
        <f>GLOBAL_DER_FEV_2023!I1521</f>
        <v>66.23</v>
      </c>
      <c r="J1521" s="902">
        <f>GLOBAL_DER_FEV_2023!J1521</f>
        <v>79.52</v>
      </c>
      <c r="K1521" s="903" t="s">
        <v>62</v>
      </c>
      <c r="L1521" s="1137"/>
      <c r="M1521" s="1138">
        <f t="shared" si="112"/>
        <v>0</v>
      </c>
      <c r="N1521" s="893">
        <f t="shared" si="116"/>
        <v>0</v>
      </c>
      <c r="O1521" s="905"/>
      <c r="Q1521" s="317" t="str">
        <f t="shared" si="113"/>
        <v/>
      </c>
      <c r="R1521" s="317" t="str">
        <f t="shared" si="114"/>
        <v/>
      </c>
      <c r="S1521" s="317" t="str">
        <f t="shared" si="115"/>
        <v/>
      </c>
      <c r="T1521" s="317" t="str">
        <f>GLOBAL_DER_FEV_2023!S1521</f>
        <v/>
      </c>
      <c r="W1521" s="582">
        <v>0</v>
      </c>
      <c r="X1521" s="580"/>
      <c r="Y1521" s="583">
        <f>IF(GLOBAL_DER_FEV_2023!W1521=0,0,IF(GLOBAL_DER_FEV_2023!W1521&gt;0,"c","b"))</f>
        <v>0</v>
      </c>
    </row>
    <row r="1522" spans="1:25" ht="23.25" hidden="1" thickBot="1" x14ac:dyDescent="0.25">
      <c r="A1522" s="317">
        <v>96974</v>
      </c>
      <c r="B1522" s="895">
        <v>96974</v>
      </c>
      <c r="C1522" s="896" t="s">
        <v>596</v>
      </c>
      <c r="D1522" s="906" t="s">
        <v>1447</v>
      </c>
      <c r="E1522" s="907">
        <f>GLOBAL_DER_FEV_2023!E1522</f>
        <v>0</v>
      </c>
      <c r="F1522" s="908">
        <f>GLOBAL_DER_FEV_2023!F1522</f>
        <v>0</v>
      </c>
      <c r="G1522" s="912">
        <f>GLOBAL_DER_FEV_2023!G1522</f>
        <v>0</v>
      </c>
      <c r="H1522" s="901">
        <f>GLOBAL_DER_FEV_2023!H1522</f>
        <v>86.55</v>
      </c>
      <c r="I1522" s="901">
        <f>GLOBAL_DER_FEV_2023!I1522</f>
        <v>86.55</v>
      </c>
      <c r="J1522" s="902">
        <f>GLOBAL_DER_FEV_2023!J1522</f>
        <v>103.92</v>
      </c>
      <c r="K1522" s="903" t="s">
        <v>62</v>
      </c>
      <c r="L1522" s="1137"/>
      <c r="M1522" s="1138">
        <f t="shared" si="112"/>
        <v>0</v>
      </c>
      <c r="N1522" s="893">
        <f t="shared" si="116"/>
        <v>0</v>
      </c>
      <c r="O1522" s="905"/>
      <c r="Q1522" s="317" t="str">
        <f t="shared" si="113"/>
        <v/>
      </c>
      <c r="R1522" s="317" t="str">
        <f t="shared" si="114"/>
        <v/>
      </c>
      <c r="S1522" s="317" t="str">
        <f t="shared" si="115"/>
        <v/>
      </c>
      <c r="T1522" s="317" t="str">
        <f>GLOBAL_DER_FEV_2023!S1522</f>
        <v/>
      </c>
      <c r="W1522" s="582">
        <v>0</v>
      </c>
      <c r="X1522" s="580"/>
      <c r="Y1522" s="583">
        <f>IF(GLOBAL_DER_FEV_2023!W1522=0,0,IF(GLOBAL_DER_FEV_2023!W1522&gt;0,"c","b"))</f>
        <v>0</v>
      </c>
    </row>
    <row r="1523" spans="1:25" ht="23.25" hidden="1" thickBot="1" x14ac:dyDescent="0.25">
      <c r="A1523" s="317">
        <v>96975</v>
      </c>
      <c r="B1523" s="895">
        <v>96975</v>
      </c>
      <c r="C1523" s="896" t="s">
        <v>596</v>
      </c>
      <c r="D1523" s="906" t="s">
        <v>1448</v>
      </c>
      <c r="E1523" s="907">
        <f>GLOBAL_DER_FEV_2023!E1523</f>
        <v>0</v>
      </c>
      <c r="F1523" s="908">
        <f>GLOBAL_DER_FEV_2023!F1523</f>
        <v>0</v>
      </c>
      <c r="G1523" s="912">
        <f>GLOBAL_DER_FEV_2023!G1523</f>
        <v>0</v>
      </c>
      <c r="H1523" s="901">
        <f>GLOBAL_DER_FEV_2023!H1523</f>
        <v>107.85</v>
      </c>
      <c r="I1523" s="901">
        <f>GLOBAL_DER_FEV_2023!I1523</f>
        <v>107.85</v>
      </c>
      <c r="J1523" s="902">
        <f>GLOBAL_DER_FEV_2023!J1523</f>
        <v>129.5</v>
      </c>
      <c r="K1523" s="903" t="s">
        <v>62</v>
      </c>
      <c r="L1523" s="1137"/>
      <c r="M1523" s="1138">
        <f t="shared" si="112"/>
        <v>0</v>
      </c>
      <c r="N1523" s="893">
        <f t="shared" si="116"/>
        <v>0</v>
      </c>
      <c r="O1523" s="905"/>
      <c r="Q1523" s="317" t="str">
        <f t="shared" si="113"/>
        <v/>
      </c>
      <c r="R1523" s="317" t="str">
        <f t="shared" si="114"/>
        <v/>
      </c>
      <c r="S1523" s="317" t="str">
        <f t="shared" si="115"/>
        <v/>
      </c>
      <c r="T1523" s="317" t="str">
        <f>GLOBAL_DER_FEV_2023!S1523</f>
        <v/>
      </c>
      <c r="W1523" s="582">
        <v>0</v>
      </c>
      <c r="X1523" s="580"/>
      <c r="Y1523" s="583">
        <f>IF(GLOBAL_DER_FEV_2023!W1523=0,0,IF(GLOBAL_DER_FEV_2023!W1523&gt;0,"c","b"))</f>
        <v>0</v>
      </c>
    </row>
    <row r="1524" spans="1:25" ht="23.25" hidden="1" thickBot="1" x14ac:dyDescent="0.25">
      <c r="A1524" s="317">
        <v>96976</v>
      </c>
      <c r="B1524" s="895">
        <v>96976</v>
      </c>
      <c r="C1524" s="896" t="s">
        <v>596</v>
      </c>
      <c r="D1524" s="906" t="s">
        <v>1449</v>
      </c>
      <c r="E1524" s="907">
        <f>GLOBAL_DER_FEV_2023!E1524</f>
        <v>0</v>
      </c>
      <c r="F1524" s="908">
        <f>GLOBAL_DER_FEV_2023!F1524</f>
        <v>0</v>
      </c>
      <c r="G1524" s="912">
        <f>GLOBAL_DER_FEV_2023!G1524</f>
        <v>0</v>
      </c>
      <c r="H1524" s="901">
        <f>GLOBAL_DER_FEV_2023!H1524</f>
        <v>142.65</v>
      </c>
      <c r="I1524" s="901">
        <f>GLOBAL_DER_FEV_2023!I1524</f>
        <v>142.65</v>
      </c>
      <c r="J1524" s="902">
        <f>GLOBAL_DER_FEV_2023!J1524</f>
        <v>171.28</v>
      </c>
      <c r="K1524" s="903" t="s">
        <v>62</v>
      </c>
      <c r="L1524" s="1137"/>
      <c r="M1524" s="1138">
        <f t="shared" si="112"/>
        <v>0</v>
      </c>
      <c r="N1524" s="893">
        <f t="shared" si="116"/>
        <v>0</v>
      </c>
      <c r="O1524" s="905"/>
      <c r="Q1524" s="317" t="str">
        <f t="shared" si="113"/>
        <v/>
      </c>
      <c r="R1524" s="317" t="str">
        <f t="shared" si="114"/>
        <v/>
      </c>
      <c r="S1524" s="317" t="str">
        <f t="shared" si="115"/>
        <v/>
      </c>
      <c r="T1524" s="317" t="str">
        <f>GLOBAL_DER_FEV_2023!S1524</f>
        <v/>
      </c>
      <c r="W1524" s="582">
        <v>0</v>
      </c>
      <c r="X1524" s="580"/>
      <c r="Y1524" s="583">
        <f>IF(GLOBAL_DER_FEV_2023!W1524=0,0,IF(GLOBAL_DER_FEV_2023!W1524&gt;0,"c","b"))</f>
        <v>0</v>
      </c>
    </row>
    <row r="1525" spans="1:25" ht="23.25" hidden="1" thickBot="1" x14ac:dyDescent="0.25">
      <c r="A1525" s="317">
        <v>96977</v>
      </c>
      <c r="B1525" s="895">
        <v>96977</v>
      </c>
      <c r="C1525" s="896" t="s">
        <v>596</v>
      </c>
      <c r="D1525" s="906" t="s">
        <v>1450</v>
      </c>
      <c r="E1525" s="907">
        <f>GLOBAL_DER_FEV_2023!E1525</f>
        <v>0</v>
      </c>
      <c r="F1525" s="908">
        <f>GLOBAL_DER_FEV_2023!F1525</f>
        <v>0</v>
      </c>
      <c r="G1525" s="912">
        <f>GLOBAL_DER_FEV_2023!G1525</f>
        <v>0</v>
      </c>
      <c r="H1525" s="901">
        <f>GLOBAL_DER_FEV_2023!H1525</f>
        <v>58.29</v>
      </c>
      <c r="I1525" s="901">
        <f>GLOBAL_DER_FEV_2023!I1525</f>
        <v>58.29</v>
      </c>
      <c r="J1525" s="902">
        <f>GLOBAL_DER_FEV_2023!J1525</f>
        <v>69.989999999999995</v>
      </c>
      <c r="K1525" s="903" t="s">
        <v>62</v>
      </c>
      <c r="L1525" s="1137"/>
      <c r="M1525" s="1138">
        <f t="shared" si="112"/>
        <v>0</v>
      </c>
      <c r="N1525" s="893">
        <f t="shared" si="116"/>
        <v>0</v>
      </c>
      <c r="O1525" s="905"/>
      <c r="Q1525" s="317" t="str">
        <f t="shared" si="113"/>
        <v/>
      </c>
      <c r="R1525" s="317" t="str">
        <f t="shared" si="114"/>
        <v/>
      </c>
      <c r="S1525" s="317" t="str">
        <f t="shared" si="115"/>
        <v/>
      </c>
      <c r="T1525" s="317" t="str">
        <f>GLOBAL_DER_FEV_2023!S1525</f>
        <v/>
      </c>
      <c r="W1525" s="582">
        <v>0</v>
      </c>
      <c r="X1525" s="580"/>
      <c r="Y1525" s="583">
        <f>IF(GLOBAL_DER_FEV_2023!W1525=0,0,IF(GLOBAL_DER_FEV_2023!W1525&gt;0,"c","b"))</f>
        <v>0</v>
      </c>
    </row>
    <row r="1526" spans="1:25" ht="23.25" hidden="1" thickBot="1" x14ac:dyDescent="0.25">
      <c r="A1526" s="317">
        <v>96978</v>
      </c>
      <c r="B1526" s="895">
        <v>96978</v>
      </c>
      <c r="C1526" s="896" t="s">
        <v>596</v>
      </c>
      <c r="D1526" s="906" t="s">
        <v>1451</v>
      </c>
      <c r="E1526" s="907">
        <f>GLOBAL_DER_FEV_2023!E1526</f>
        <v>0</v>
      </c>
      <c r="F1526" s="908">
        <f>GLOBAL_DER_FEV_2023!F1526</f>
        <v>0</v>
      </c>
      <c r="G1526" s="912">
        <f>GLOBAL_DER_FEV_2023!G1526</f>
        <v>0</v>
      </c>
      <c r="H1526" s="901">
        <f>GLOBAL_DER_FEV_2023!H1526</f>
        <v>76.77</v>
      </c>
      <c r="I1526" s="901">
        <f>GLOBAL_DER_FEV_2023!I1526</f>
        <v>76.77</v>
      </c>
      <c r="J1526" s="902">
        <f>GLOBAL_DER_FEV_2023!J1526</f>
        <v>92.18</v>
      </c>
      <c r="K1526" s="903" t="s">
        <v>62</v>
      </c>
      <c r="L1526" s="1137"/>
      <c r="M1526" s="1138">
        <f t="shared" si="112"/>
        <v>0</v>
      </c>
      <c r="N1526" s="893">
        <f t="shared" si="116"/>
        <v>0</v>
      </c>
      <c r="O1526" s="905"/>
      <c r="Q1526" s="317" t="str">
        <f t="shared" si="113"/>
        <v/>
      </c>
      <c r="R1526" s="317" t="str">
        <f t="shared" si="114"/>
        <v/>
      </c>
      <c r="S1526" s="317" t="str">
        <f t="shared" si="115"/>
        <v/>
      </c>
      <c r="T1526" s="317" t="str">
        <f>GLOBAL_DER_FEV_2023!S1526</f>
        <v/>
      </c>
      <c r="W1526" s="582">
        <v>0</v>
      </c>
      <c r="X1526" s="580"/>
      <c r="Y1526" s="583">
        <f>IF(GLOBAL_DER_FEV_2023!W1526=0,0,IF(GLOBAL_DER_FEV_2023!W1526&gt;0,"c","b"))</f>
        <v>0</v>
      </c>
    </row>
    <row r="1527" spans="1:25" ht="23.25" hidden="1" thickBot="1" x14ac:dyDescent="0.25">
      <c r="A1527" s="317">
        <v>96979</v>
      </c>
      <c r="B1527" s="895">
        <v>96979</v>
      </c>
      <c r="C1527" s="896" t="s">
        <v>596</v>
      </c>
      <c r="D1527" s="906" t="s">
        <v>1452</v>
      </c>
      <c r="E1527" s="907">
        <f>GLOBAL_DER_FEV_2023!E1527</f>
        <v>0</v>
      </c>
      <c r="F1527" s="908">
        <f>GLOBAL_DER_FEV_2023!F1527</f>
        <v>0</v>
      </c>
      <c r="G1527" s="912">
        <f>GLOBAL_DER_FEV_2023!G1527</f>
        <v>0</v>
      </c>
      <c r="H1527" s="901">
        <f>GLOBAL_DER_FEV_2023!H1527</f>
        <v>109.74</v>
      </c>
      <c r="I1527" s="901">
        <f>GLOBAL_DER_FEV_2023!I1527</f>
        <v>109.74</v>
      </c>
      <c r="J1527" s="902">
        <f>GLOBAL_DER_FEV_2023!J1527</f>
        <v>131.76</v>
      </c>
      <c r="K1527" s="903" t="s">
        <v>62</v>
      </c>
      <c r="L1527" s="1137"/>
      <c r="M1527" s="1138">
        <f t="shared" si="112"/>
        <v>0</v>
      </c>
      <c r="N1527" s="893">
        <f t="shared" si="116"/>
        <v>0</v>
      </c>
      <c r="O1527" s="905"/>
      <c r="Q1527" s="317" t="str">
        <f t="shared" si="113"/>
        <v/>
      </c>
      <c r="R1527" s="317" t="str">
        <f t="shared" si="114"/>
        <v/>
      </c>
      <c r="S1527" s="317" t="str">
        <f t="shared" si="115"/>
        <v/>
      </c>
      <c r="T1527" s="317" t="str">
        <f>GLOBAL_DER_FEV_2023!S1527</f>
        <v/>
      </c>
      <c r="W1527" s="582">
        <v>0</v>
      </c>
      <c r="X1527" s="580"/>
      <c r="Y1527" s="583">
        <f>IF(GLOBAL_DER_FEV_2023!W1527=0,0,IF(GLOBAL_DER_FEV_2023!W1527&gt;0,"c","b"))</f>
        <v>0</v>
      </c>
    </row>
    <row r="1528" spans="1:25" ht="13.5" hidden="1" thickBot="1" x14ac:dyDescent="0.25">
      <c r="A1528" s="317">
        <v>96989</v>
      </c>
      <c r="B1528" s="895">
        <v>96989</v>
      </c>
      <c r="C1528" s="896" t="s">
        <v>596</v>
      </c>
      <c r="D1528" s="906" t="s">
        <v>1453</v>
      </c>
      <c r="E1528" s="907">
        <f>GLOBAL_DER_FEV_2023!E1528</f>
        <v>0</v>
      </c>
      <c r="F1528" s="908">
        <f>GLOBAL_DER_FEV_2023!F1528</f>
        <v>0</v>
      </c>
      <c r="G1528" s="912">
        <f>GLOBAL_DER_FEV_2023!G1528</f>
        <v>0</v>
      </c>
      <c r="H1528" s="901">
        <f>GLOBAL_DER_FEV_2023!H1528</f>
        <v>131.58000000000001</v>
      </c>
      <c r="I1528" s="901">
        <f>GLOBAL_DER_FEV_2023!I1528</f>
        <v>131.58000000000001</v>
      </c>
      <c r="J1528" s="902">
        <f>GLOBAL_DER_FEV_2023!J1528</f>
        <v>157.99</v>
      </c>
      <c r="K1528" s="903" t="s">
        <v>1516</v>
      </c>
      <c r="L1528" s="1137"/>
      <c r="M1528" s="1138">
        <f t="shared" si="112"/>
        <v>0</v>
      </c>
      <c r="N1528" s="893">
        <f t="shared" si="116"/>
        <v>0</v>
      </c>
      <c r="O1528" s="905"/>
      <c r="Q1528" s="317" t="str">
        <f t="shared" si="113"/>
        <v/>
      </c>
      <c r="R1528" s="317" t="str">
        <f t="shared" si="114"/>
        <v/>
      </c>
      <c r="S1528" s="317" t="str">
        <f t="shared" si="115"/>
        <v/>
      </c>
      <c r="T1528" s="317" t="str">
        <f>GLOBAL_DER_FEV_2023!S1528</f>
        <v/>
      </c>
      <c r="W1528" s="582">
        <v>0</v>
      </c>
      <c r="X1528" s="580"/>
      <c r="Y1528" s="583">
        <f>IF(GLOBAL_DER_FEV_2023!W1528=0,0,IF(GLOBAL_DER_FEV_2023!W1528&gt;0,"c","b"))</f>
        <v>0</v>
      </c>
    </row>
    <row r="1529" spans="1:25" ht="23.25" hidden="1" thickBot="1" x14ac:dyDescent="0.25">
      <c r="A1529" s="317">
        <v>98463</v>
      </c>
      <c r="B1529" s="895">
        <v>98463</v>
      </c>
      <c r="C1529" s="896" t="s">
        <v>596</v>
      </c>
      <c r="D1529" s="906" t="s">
        <v>1454</v>
      </c>
      <c r="E1529" s="907">
        <f>GLOBAL_DER_FEV_2023!E1529</f>
        <v>0</v>
      </c>
      <c r="F1529" s="908">
        <f>GLOBAL_DER_FEV_2023!F1529</f>
        <v>0</v>
      </c>
      <c r="G1529" s="912">
        <f>GLOBAL_DER_FEV_2023!G1529</f>
        <v>0</v>
      </c>
      <c r="H1529" s="901">
        <f>GLOBAL_DER_FEV_2023!H1529</f>
        <v>26.69</v>
      </c>
      <c r="I1529" s="901">
        <f>GLOBAL_DER_FEV_2023!I1529</f>
        <v>26.69</v>
      </c>
      <c r="J1529" s="902">
        <f>GLOBAL_DER_FEV_2023!J1529</f>
        <v>32.049999999999997</v>
      </c>
      <c r="K1529" s="903" t="s">
        <v>1516</v>
      </c>
      <c r="L1529" s="1137"/>
      <c r="M1529" s="1138">
        <f t="shared" si="112"/>
        <v>0</v>
      </c>
      <c r="N1529" s="893">
        <f t="shared" si="116"/>
        <v>0</v>
      </c>
      <c r="O1529" s="905"/>
      <c r="Q1529" s="317" t="str">
        <f t="shared" si="113"/>
        <v/>
      </c>
      <c r="R1529" s="317" t="str">
        <f t="shared" si="114"/>
        <v/>
      </c>
      <c r="S1529" s="317" t="str">
        <f t="shared" si="115"/>
        <v/>
      </c>
      <c r="T1529" s="317" t="str">
        <f>GLOBAL_DER_FEV_2023!S1529</f>
        <v/>
      </c>
      <c r="W1529" s="582">
        <v>0</v>
      </c>
      <c r="X1529" s="580"/>
      <c r="Y1529" s="583">
        <f>IF(GLOBAL_DER_FEV_2023!W1529=0,0,IF(GLOBAL_DER_FEV_2023!W1529&gt;0,"c","b"))</f>
        <v>0</v>
      </c>
    </row>
    <row r="1530" spans="1:25" ht="34.5" hidden="1" thickBot="1" x14ac:dyDescent="0.25">
      <c r="A1530" s="317">
        <v>100560</v>
      </c>
      <c r="B1530" s="895">
        <v>100560</v>
      </c>
      <c r="C1530" s="896" t="s">
        <v>596</v>
      </c>
      <c r="D1530" s="906" t="s">
        <v>1455</v>
      </c>
      <c r="E1530" s="907">
        <f>GLOBAL_DER_FEV_2023!E1530</f>
        <v>0</v>
      </c>
      <c r="F1530" s="908">
        <f>GLOBAL_DER_FEV_2023!F1530</f>
        <v>0</v>
      </c>
      <c r="G1530" s="912">
        <f>GLOBAL_DER_FEV_2023!G1530</f>
        <v>0</v>
      </c>
      <c r="H1530" s="901">
        <f>GLOBAL_DER_FEV_2023!H1530</f>
        <v>139.51</v>
      </c>
      <c r="I1530" s="901">
        <f>GLOBAL_DER_FEV_2023!I1530</f>
        <v>139.51</v>
      </c>
      <c r="J1530" s="902">
        <f>GLOBAL_DER_FEV_2023!J1530</f>
        <v>167.51</v>
      </c>
      <c r="K1530" s="903" t="s">
        <v>1516</v>
      </c>
      <c r="L1530" s="1137"/>
      <c r="M1530" s="1138">
        <f t="shared" si="112"/>
        <v>0</v>
      </c>
      <c r="N1530" s="893">
        <f t="shared" si="116"/>
        <v>0</v>
      </c>
      <c r="O1530" s="905"/>
      <c r="Q1530" s="317" t="str">
        <f t="shared" si="113"/>
        <v/>
      </c>
      <c r="R1530" s="317" t="str">
        <f t="shared" si="114"/>
        <v/>
      </c>
      <c r="S1530" s="317" t="str">
        <f t="shared" si="115"/>
        <v/>
      </c>
      <c r="T1530" s="317" t="str">
        <f>GLOBAL_DER_FEV_2023!S1530</f>
        <v/>
      </c>
      <c r="W1530" s="582">
        <v>0</v>
      </c>
      <c r="X1530" s="580"/>
      <c r="Y1530" s="583">
        <f>IF(GLOBAL_DER_FEV_2023!W1530=0,0,IF(GLOBAL_DER_FEV_2023!W1530&gt;0,"c","b"))</f>
        <v>0</v>
      </c>
    </row>
    <row r="1531" spans="1:25" ht="34.5" hidden="1" thickBot="1" x14ac:dyDescent="0.25">
      <c r="A1531" s="317">
        <v>100561</v>
      </c>
      <c r="B1531" s="895">
        <v>100561</v>
      </c>
      <c r="C1531" s="896" t="s">
        <v>596</v>
      </c>
      <c r="D1531" s="906" t="s">
        <v>1456</v>
      </c>
      <c r="E1531" s="907">
        <f>GLOBAL_DER_FEV_2023!E1531</f>
        <v>0</v>
      </c>
      <c r="F1531" s="908">
        <f>GLOBAL_DER_FEV_2023!F1531</f>
        <v>0</v>
      </c>
      <c r="G1531" s="912">
        <f>GLOBAL_DER_FEV_2023!G1531</f>
        <v>0</v>
      </c>
      <c r="H1531" s="901">
        <f>GLOBAL_DER_FEV_2023!H1531</f>
        <v>252.88</v>
      </c>
      <c r="I1531" s="901">
        <f>GLOBAL_DER_FEV_2023!I1531</f>
        <v>252.88</v>
      </c>
      <c r="J1531" s="902">
        <f>GLOBAL_DER_FEV_2023!J1531</f>
        <v>303.63</v>
      </c>
      <c r="K1531" s="903" t="s">
        <v>1516</v>
      </c>
      <c r="L1531" s="1137"/>
      <c r="M1531" s="1138">
        <f t="shared" si="112"/>
        <v>0</v>
      </c>
      <c r="N1531" s="893">
        <f t="shared" si="116"/>
        <v>0</v>
      </c>
      <c r="O1531" s="905"/>
      <c r="Q1531" s="317" t="str">
        <f t="shared" si="113"/>
        <v/>
      </c>
      <c r="R1531" s="317" t="str">
        <f t="shared" si="114"/>
        <v/>
      </c>
      <c r="S1531" s="317" t="str">
        <f t="shared" si="115"/>
        <v/>
      </c>
      <c r="T1531" s="317" t="str">
        <f>GLOBAL_DER_FEV_2023!S1531</f>
        <v/>
      </c>
      <c r="W1531" s="582">
        <v>0</v>
      </c>
      <c r="X1531" s="580"/>
      <c r="Y1531" s="583">
        <f>IF(GLOBAL_DER_FEV_2023!W1531=0,0,IF(GLOBAL_DER_FEV_2023!W1531&gt;0,"c","b"))</f>
        <v>0</v>
      </c>
    </row>
    <row r="1532" spans="1:25" ht="34.5" hidden="1" thickBot="1" x14ac:dyDescent="0.25">
      <c r="A1532" s="317">
        <v>100562</v>
      </c>
      <c r="B1532" s="895">
        <v>100562</v>
      </c>
      <c r="C1532" s="896" t="s">
        <v>596</v>
      </c>
      <c r="D1532" s="906" t="s">
        <v>1457</v>
      </c>
      <c r="E1532" s="907">
        <f>GLOBAL_DER_FEV_2023!E1532</f>
        <v>0</v>
      </c>
      <c r="F1532" s="908">
        <f>GLOBAL_DER_FEV_2023!F1532</f>
        <v>0</v>
      </c>
      <c r="G1532" s="912">
        <f>GLOBAL_DER_FEV_2023!G1532</f>
        <v>0</v>
      </c>
      <c r="H1532" s="901">
        <f>GLOBAL_DER_FEV_2023!H1532</f>
        <v>389.51</v>
      </c>
      <c r="I1532" s="901">
        <f>GLOBAL_DER_FEV_2023!I1532</f>
        <v>389.51</v>
      </c>
      <c r="J1532" s="902">
        <f>GLOBAL_DER_FEV_2023!J1532</f>
        <v>467.68</v>
      </c>
      <c r="K1532" s="903" t="s">
        <v>1516</v>
      </c>
      <c r="L1532" s="1137"/>
      <c r="M1532" s="1138">
        <f t="shared" si="112"/>
        <v>0</v>
      </c>
      <c r="N1532" s="893">
        <f t="shared" si="116"/>
        <v>0</v>
      </c>
      <c r="O1532" s="905"/>
      <c r="Q1532" s="317" t="str">
        <f t="shared" si="113"/>
        <v/>
      </c>
      <c r="R1532" s="317" t="str">
        <f t="shared" si="114"/>
        <v/>
      </c>
      <c r="S1532" s="317" t="str">
        <f t="shared" si="115"/>
        <v/>
      </c>
      <c r="T1532" s="317" t="str">
        <f>GLOBAL_DER_FEV_2023!S1532</f>
        <v/>
      </c>
      <c r="W1532" s="582">
        <v>0</v>
      </c>
      <c r="X1532" s="580"/>
      <c r="Y1532" s="583">
        <f>IF(GLOBAL_DER_FEV_2023!W1532=0,0,IF(GLOBAL_DER_FEV_2023!W1532&gt;0,"c","b"))</f>
        <v>0</v>
      </c>
    </row>
    <row r="1533" spans="1:25" ht="23.25" hidden="1" thickBot="1" x14ac:dyDescent="0.25">
      <c r="A1533" s="317">
        <v>100563</v>
      </c>
      <c r="B1533" s="895">
        <v>100563</v>
      </c>
      <c r="C1533" s="896" t="s">
        <v>596</v>
      </c>
      <c r="D1533" s="906" t="s">
        <v>1458</v>
      </c>
      <c r="E1533" s="907">
        <f>GLOBAL_DER_FEV_2023!E1533</f>
        <v>0</v>
      </c>
      <c r="F1533" s="908">
        <f>GLOBAL_DER_FEV_2023!F1533</f>
        <v>0</v>
      </c>
      <c r="G1533" s="912">
        <f>GLOBAL_DER_FEV_2023!G1533</f>
        <v>0</v>
      </c>
      <c r="H1533" s="901">
        <f>GLOBAL_DER_FEV_2023!H1533</f>
        <v>559.6</v>
      </c>
      <c r="I1533" s="901">
        <f>GLOBAL_DER_FEV_2023!I1533</f>
        <v>559.6</v>
      </c>
      <c r="J1533" s="902">
        <f>GLOBAL_DER_FEV_2023!J1533</f>
        <v>671.91</v>
      </c>
      <c r="K1533" s="903" t="s">
        <v>1516</v>
      </c>
      <c r="L1533" s="1137"/>
      <c r="M1533" s="1138">
        <f t="shared" si="112"/>
        <v>0</v>
      </c>
      <c r="N1533" s="893">
        <f t="shared" si="116"/>
        <v>0</v>
      </c>
      <c r="O1533" s="905"/>
      <c r="Q1533" s="317" t="str">
        <f t="shared" si="113"/>
        <v/>
      </c>
      <c r="R1533" s="317" t="str">
        <f t="shared" si="114"/>
        <v/>
      </c>
      <c r="S1533" s="317" t="str">
        <f t="shared" si="115"/>
        <v/>
      </c>
      <c r="T1533" s="317" t="str">
        <f>GLOBAL_DER_FEV_2023!S1533</f>
        <v/>
      </c>
      <c r="W1533" s="582">
        <v>0</v>
      </c>
      <c r="X1533" s="580"/>
      <c r="Y1533" s="583">
        <f>IF(GLOBAL_DER_FEV_2023!W1533=0,0,IF(GLOBAL_DER_FEV_2023!W1533&gt;0,"c","b"))</f>
        <v>0</v>
      </c>
    </row>
    <row r="1534" spans="1:25" ht="23.25" hidden="1" thickBot="1" x14ac:dyDescent="0.25">
      <c r="A1534" s="317">
        <v>100556</v>
      </c>
      <c r="B1534" s="895">
        <v>100556</v>
      </c>
      <c r="C1534" s="896" t="s">
        <v>596</v>
      </c>
      <c r="D1534" s="906" t="s">
        <v>1459</v>
      </c>
      <c r="E1534" s="907">
        <f>GLOBAL_DER_FEV_2023!E1534</f>
        <v>0</v>
      </c>
      <c r="F1534" s="908">
        <f>GLOBAL_DER_FEV_2023!F1534</f>
        <v>0</v>
      </c>
      <c r="G1534" s="912">
        <f>GLOBAL_DER_FEV_2023!G1534</f>
        <v>0</v>
      </c>
      <c r="H1534" s="901">
        <f>GLOBAL_DER_FEV_2023!H1534</f>
        <v>51.63</v>
      </c>
      <c r="I1534" s="901">
        <f>GLOBAL_DER_FEV_2023!I1534</f>
        <v>51.63</v>
      </c>
      <c r="J1534" s="902">
        <f>GLOBAL_DER_FEV_2023!J1534</f>
        <v>61.99</v>
      </c>
      <c r="K1534" s="903" t="s">
        <v>1516</v>
      </c>
      <c r="L1534" s="1137"/>
      <c r="M1534" s="1138">
        <f t="shared" si="112"/>
        <v>0</v>
      </c>
      <c r="N1534" s="893">
        <f t="shared" si="116"/>
        <v>0</v>
      </c>
      <c r="O1534" s="905"/>
      <c r="Q1534" s="317" t="str">
        <f t="shared" si="113"/>
        <v/>
      </c>
      <c r="R1534" s="317" t="str">
        <f t="shared" si="114"/>
        <v/>
      </c>
      <c r="S1534" s="317" t="str">
        <f t="shared" si="115"/>
        <v/>
      </c>
      <c r="T1534" s="317" t="str">
        <f>GLOBAL_DER_FEV_2023!S1534</f>
        <v/>
      </c>
      <c r="W1534" s="582">
        <v>0</v>
      </c>
      <c r="X1534" s="580"/>
      <c r="Y1534" s="583">
        <f>IF(GLOBAL_DER_FEV_2023!W1534=0,0,IF(GLOBAL_DER_FEV_2023!W1534&gt;0,"c","b"))</f>
        <v>0</v>
      </c>
    </row>
    <row r="1535" spans="1:25" ht="23.25" hidden="1" thickBot="1" x14ac:dyDescent="0.25">
      <c r="A1535" s="317">
        <v>100557</v>
      </c>
      <c r="B1535" s="895">
        <v>100557</v>
      </c>
      <c r="C1535" s="896" t="s">
        <v>596</v>
      </c>
      <c r="D1535" s="906" t="s">
        <v>1460</v>
      </c>
      <c r="E1535" s="907">
        <f>GLOBAL_DER_FEV_2023!E1535</f>
        <v>0</v>
      </c>
      <c r="F1535" s="908">
        <f>GLOBAL_DER_FEV_2023!F1535</f>
        <v>0</v>
      </c>
      <c r="G1535" s="912">
        <f>GLOBAL_DER_FEV_2023!G1535</f>
        <v>0</v>
      </c>
      <c r="H1535" s="901">
        <f>GLOBAL_DER_FEV_2023!H1535</f>
        <v>638.92999999999995</v>
      </c>
      <c r="I1535" s="901">
        <f>GLOBAL_DER_FEV_2023!I1535</f>
        <v>638.92999999999995</v>
      </c>
      <c r="J1535" s="902">
        <f>GLOBAL_DER_FEV_2023!J1535</f>
        <v>767.16</v>
      </c>
      <c r="K1535" s="903" t="s">
        <v>1516</v>
      </c>
      <c r="L1535" s="1137"/>
      <c r="M1535" s="1138">
        <f t="shared" si="112"/>
        <v>0</v>
      </c>
      <c r="N1535" s="893">
        <f t="shared" si="116"/>
        <v>0</v>
      </c>
      <c r="O1535" s="905"/>
      <c r="Q1535" s="317" t="str">
        <f t="shared" si="113"/>
        <v/>
      </c>
      <c r="R1535" s="317" t="str">
        <f t="shared" si="114"/>
        <v/>
      </c>
      <c r="S1535" s="317" t="str">
        <f t="shared" si="115"/>
        <v/>
      </c>
      <c r="T1535" s="317" t="str">
        <f>GLOBAL_DER_FEV_2023!S1535</f>
        <v/>
      </c>
      <c r="W1535" s="582">
        <v>0</v>
      </c>
      <c r="X1535" s="580"/>
      <c r="Y1535" s="583">
        <f>IF(GLOBAL_DER_FEV_2023!W1535=0,0,IF(GLOBAL_DER_FEV_2023!W1535&gt;0,"c","b"))</f>
        <v>0</v>
      </c>
    </row>
    <row r="1536" spans="1:25" ht="23.25" hidden="1" thickBot="1" x14ac:dyDescent="0.25">
      <c r="A1536" s="317">
        <v>98294</v>
      </c>
      <c r="B1536" s="895">
        <v>98294</v>
      </c>
      <c r="C1536" s="896" t="s">
        <v>596</v>
      </c>
      <c r="D1536" s="906" t="s">
        <v>1461</v>
      </c>
      <c r="E1536" s="907">
        <f>GLOBAL_DER_FEV_2023!E1536</f>
        <v>0</v>
      </c>
      <c r="F1536" s="908">
        <f>GLOBAL_DER_FEV_2023!F1536</f>
        <v>0</v>
      </c>
      <c r="G1536" s="912">
        <f>GLOBAL_DER_FEV_2023!G1536</f>
        <v>0</v>
      </c>
      <c r="H1536" s="901">
        <f>GLOBAL_DER_FEV_2023!H1536</f>
        <v>8.24</v>
      </c>
      <c r="I1536" s="901">
        <f>GLOBAL_DER_FEV_2023!I1536</f>
        <v>8.24</v>
      </c>
      <c r="J1536" s="902">
        <f>GLOBAL_DER_FEV_2023!J1536</f>
        <v>9.89</v>
      </c>
      <c r="K1536" s="903" t="s">
        <v>62</v>
      </c>
      <c r="L1536" s="1137"/>
      <c r="M1536" s="1138">
        <f t="shared" si="112"/>
        <v>0</v>
      </c>
      <c r="N1536" s="893">
        <f t="shared" si="116"/>
        <v>0</v>
      </c>
      <c r="O1536" s="905"/>
      <c r="Q1536" s="317" t="str">
        <f t="shared" si="113"/>
        <v/>
      </c>
      <c r="R1536" s="317" t="str">
        <f t="shared" si="114"/>
        <v/>
      </c>
      <c r="S1536" s="317" t="str">
        <f t="shared" si="115"/>
        <v/>
      </c>
      <c r="T1536" s="317" t="str">
        <f>GLOBAL_DER_FEV_2023!S1536</f>
        <v/>
      </c>
      <c r="W1536" s="582">
        <v>0</v>
      </c>
      <c r="X1536" s="580"/>
      <c r="Y1536" s="583">
        <f>IF(GLOBAL_DER_FEV_2023!W1536=0,0,IF(GLOBAL_DER_FEV_2023!W1536&gt;0,"c","b"))</f>
        <v>0</v>
      </c>
    </row>
    <row r="1537" spans="1:25" ht="23.25" hidden="1" thickBot="1" x14ac:dyDescent="0.25">
      <c r="A1537" s="317">
        <v>98295</v>
      </c>
      <c r="B1537" s="895">
        <v>98295</v>
      </c>
      <c r="C1537" s="896" t="s">
        <v>596</v>
      </c>
      <c r="D1537" s="906" t="s">
        <v>1462</v>
      </c>
      <c r="E1537" s="907">
        <f>GLOBAL_DER_FEV_2023!E1537</f>
        <v>0</v>
      </c>
      <c r="F1537" s="908">
        <f>GLOBAL_DER_FEV_2023!F1537</f>
        <v>0</v>
      </c>
      <c r="G1537" s="912">
        <f>GLOBAL_DER_FEV_2023!G1537</f>
        <v>0</v>
      </c>
      <c r="H1537" s="901">
        <f>GLOBAL_DER_FEV_2023!H1537</f>
        <v>7.4</v>
      </c>
      <c r="I1537" s="901">
        <f>GLOBAL_DER_FEV_2023!I1537</f>
        <v>7.4</v>
      </c>
      <c r="J1537" s="902">
        <f>GLOBAL_DER_FEV_2023!J1537</f>
        <v>8.89</v>
      </c>
      <c r="K1537" s="903" t="s">
        <v>62</v>
      </c>
      <c r="L1537" s="1137"/>
      <c r="M1537" s="1138">
        <f t="shared" si="112"/>
        <v>0</v>
      </c>
      <c r="N1537" s="893">
        <f t="shared" si="116"/>
        <v>0</v>
      </c>
      <c r="O1537" s="905"/>
      <c r="Q1537" s="317" t="str">
        <f t="shared" si="113"/>
        <v/>
      </c>
      <c r="R1537" s="317" t="str">
        <f t="shared" si="114"/>
        <v/>
      </c>
      <c r="S1537" s="317" t="str">
        <f t="shared" si="115"/>
        <v/>
      </c>
      <c r="T1537" s="317" t="str">
        <f>GLOBAL_DER_FEV_2023!S1537</f>
        <v/>
      </c>
      <c r="W1537" s="582">
        <v>0</v>
      </c>
      <c r="X1537" s="580"/>
      <c r="Y1537" s="583">
        <f>IF(GLOBAL_DER_FEV_2023!W1537=0,0,IF(GLOBAL_DER_FEV_2023!W1537&gt;0,"c","b"))</f>
        <v>0</v>
      </c>
    </row>
    <row r="1538" spans="1:25" ht="23.25" hidden="1" thickBot="1" x14ac:dyDescent="0.25">
      <c r="A1538" s="317">
        <v>98296</v>
      </c>
      <c r="B1538" s="895">
        <v>98296</v>
      </c>
      <c r="C1538" s="896" t="s">
        <v>596</v>
      </c>
      <c r="D1538" s="906" t="s">
        <v>1463</v>
      </c>
      <c r="E1538" s="907">
        <f>GLOBAL_DER_FEV_2023!E1538</f>
        <v>0</v>
      </c>
      <c r="F1538" s="908">
        <f>GLOBAL_DER_FEV_2023!F1538</f>
        <v>0</v>
      </c>
      <c r="G1538" s="912">
        <f>GLOBAL_DER_FEV_2023!G1538</f>
        <v>0</v>
      </c>
      <c r="H1538" s="901">
        <f>GLOBAL_DER_FEV_2023!H1538</f>
        <v>12.01</v>
      </c>
      <c r="I1538" s="901">
        <f>GLOBAL_DER_FEV_2023!I1538</f>
        <v>12.01</v>
      </c>
      <c r="J1538" s="902">
        <f>GLOBAL_DER_FEV_2023!J1538</f>
        <v>14.42</v>
      </c>
      <c r="K1538" s="903" t="s">
        <v>62</v>
      </c>
      <c r="L1538" s="1137"/>
      <c r="M1538" s="1138">
        <f t="shared" si="112"/>
        <v>0</v>
      </c>
      <c r="N1538" s="893">
        <f t="shared" si="116"/>
        <v>0</v>
      </c>
      <c r="O1538" s="905"/>
      <c r="Q1538" s="317" t="str">
        <f t="shared" si="113"/>
        <v/>
      </c>
      <c r="R1538" s="317" t="str">
        <f t="shared" si="114"/>
        <v/>
      </c>
      <c r="S1538" s="317" t="str">
        <f t="shared" si="115"/>
        <v/>
      </c>
      <c r="T1538" s="317" t="str">
        <f>GLOBAL_DER_FEV_2023!S1538</f>
        <v/>
      </c>
      <c r="W1538" s="582">
        <v>0</v>
      </c>
      <c r="X1538" s="580"/>
      <c r="Y1538" s="583">
        <f>IF(GLOBAL_DER_FEV_2023!W1538=0,0,IF(GLOBAL_DER_FEV_2023!W1538&gt;0,"c","b"))</f>
        <v>0</v>
      </c>
    </row>
    <row r="1539" spans="1:25" ht="23.25" hidden="1" thickBot="1" x14ac:dyDescent="0.25">
      <c r="A1539" s="317">
        <v>98297</v>
      </c>
      <c r="B1539" s="895">
        <v>98297</v>
      </c>
      <c r="C1539" s="896" t="s">
        <v>596</v>
      </c>
      <c r="D1539" s="906" t="s">
        <v>1464</v>
      </c>
      <c r="E1539" s="907">
        <f>GLOBAL_DER_FEV_2023!E1539</f>
        <v>0</v>
      </c>
      <c r="F1539" s="908">
        <f>GLOBAL_DER_FEV_2023!F1539</f>
        <v>0</v>
      </c>
      <c r="G1539" s="912">
        <f>GLOBAL_DER_FEV_2023!G1539</f>
        <v>0</v>
      </c>
      <c r="H1539" s="901">
        <f>GLOBAL_DER_FEV_2023!H1539</f>
        <v>10.67</v>
      </c>
      <c r="I1539" s="901">
        <f>GLOBAL_DER_FEV_2023!I1539</f>
        <v>10.67</v>
      </c>
      <c r="J1539" s="902">
        <f>GLOBAL_DER_FEV_2023!J1539</f>
        <v>12.81</v>
      </c>
      <c r="K1539" s="903" t="s">
        <v>62</v>
      </c>
      <c r="L1539" s="1137"/>
      <c r="M1539" s="1138">
        <f t="shared" si="112"/>
        <v>0</v>
      </c>
      <c r="N1539" s="893">
        <f t="shared" si="116"/>
        <v>0</v>
      </c>
      <c r="O1539" s="905"/>
      <c r="Q1539" s="317" t="str">
        <f t="shared" si="113"/>
        <v/>
      </c>
      <c r="R1539" s="317" t="str">
        <f t="shared" si="114"/>
        <v/>
      </c>
      <c r="S1539" s="317" t="str">
        <f t="shared" si="115"/>
        <v/>
      </c>
      <c r="T1539" s="317" t="str">
        <f>GLOBAL_DER_FEV_2023!S1539</f>
        <v/>
      </c>
      <c r="W1539" s="582">
        <v>0</v>
      </c>
      <c r="X1539" s="580"/>
      <c r="Y1539" s="583">
        <f>IF(GLOBAL_DER_FEV_2023!W1539=0,0,IF(GLOBAL_DER_FEV_2023!W1539&gt;0,"c","b"))</f>
        <v>0</v>
      </c>
    </row>
    <row r="1540" spans="1:25" ht="23.25" hidden="1" thickBot="1" x14ac:dyDescent="0.25">
      <c r="A1540" s="317">
        <v>98301</v>
      </c>
      <c r="B1540" s="895">
        <v>98301</v>
      </c>
      <c r="C1540" s="896" t="s">
        <v>596</v>
      </c>
      <c r="D1540" s="906" t="s">
        <v>1465</v>
      </c>
      <c r="E1540" s="907">
        <f>GLOBAL_DER_FEV_2023!E1540</f>
        <v>0</v>
      </c>
      <c r="F1540" s="908">
        <f>GLOBAL_DER_FEV_2023!F1540</f>
        <v>0</v>
      </c>
      <c r="G1540" s="912">
        <f>GLOBAL_DER_FEV_2023!G1540</f>
        <v>0</v>
      </c>
      <c r="H1540" s="901">
        <f>GLOBAL_DER_FEV_2023!H1540</f>
        <v>792.1</v>
      </c>
      <c r="I1540" s="901">
        <f>GLOBAL_DER_FEV_2023!I1540</f>
        <v>792.1</v>
      </c>
      <c r="J1540" s="902">
        <f>GLOBAL_DER_FEV_2023!J1540</f>
        <v>951.07</v>
      </c>
      <c r="K1540" s="903" t="s">
        <v>1516</v>
      </c>
      <c r="L1540" s="1137"/>
      <c r="M1540" s="1138">
        <f t="shared" si="112"/>
        <v>0</v>
      </c>
      <c r="N1540" s="893">
        <f t="shared" si="116"/>
        <v>0</v>
      </c>
      <c r="O1540" s="905"/>
      <c r="Q1540" s="317" t="str">
        <f t="shared" si="113"/>
        <v/>
      </c>
      <c r="R1540" s="317" t="str">
        <f t="shared" si="114"/>
        <v/>
      </c>
      <c r="S1540" s="317" t="str">
        <f t="shared" si="115"/>
        <v/>
      </c>
      <c r="T1540" s="317" t="str">
        <f>GLOBAL_DER_FEV_2023!S1540</f>
        <v/>
      </c>
      <c r="W1540" s="582">
        <v>0</v>
      </c>
      <c r="X1540" s="580"/>
      <c r="Y1540" s="583">
        <f>IF(GLOBAL_DER_FEV_2023!W1540=0,0,IF(GLOBAL_DER_FEV_2023!W1540&gt;0,"c","b"))</f>
        <v>0</v>
      </c>
    </row>
    <row r="1541" spans="1:25" ht="13.5" hidden="1" thickBot="1" x14ac:dyDescent="0.25">
      <c r="A1541" s="317">
        <v>98302</v>
      </c>
      <c r="B1541" s="895">
        <v>98302</v>
      </c>
      <c r="C1541" s="896" t="s">
        <v>596</v>
      </c>
      <c r="D1541" s="906" t="s">
        <v>1466</v>
      </c>
      <c r="E1541" s="907">
        <f>GLOBAL_DER_FEV_2023!E1541</f>
        <v>0</v>
      </c>
      <c r="F1541" s="908">
        <f>GLOBAL_DER_FEV_2023!F1541</f>
        <v>0</v>
      </c>
      <c r="G1541" s="912">
        <f>GLOBAL_DER_FEV_2023!G1541</f>
        <v>0</v>
      </c>
      <c r="H1541" s="901">
        <f>GLOBAL_DER_FEV_2023!H1541</f>
        <v>1496.89</v>
      </c>
      <c r="I1541" s="901">
        <f>GLOBAL_DER_FEV_2023!I1541</f>
        <v>1496.89</v>
      </c>
      <c r="J1541" s="902">
        <f>GLOBAL_DER_FEV_2023!J1541</f>
        <v>1797.32</v>
      </c>
      <c r="K1541" s="903" t="s">
        <v>1516</v>
      </c>
      <c r="L1541" s="1137"/>
      <c r="M1541" s="1138">
        <f t="shared" si="112"/>
        <v>0</v>
      </c>
      <c r="N1541" s="893">
        <f t="shared" si="116"/>
        <v>0</v>
      </c>
      <c r="O1541" s="905"/>
      <c r="Q1541" s="317" t="str">
        <f t="shared" si="113"/>
        <v/>
      </c>
      <c r="R1541" s="317" t="str">
        <f t="shared" si="114"/>
        <v/>
      </c>
      <c r="S1541" s="317" t="str">
        <f t="shared" si="115"/>
        <v/>
      </c>
      <c r="T1541" s="317" t="str">
        <f>GLOBAL_DER_FEV_2023!S1541</f>
        <v/>
      </c>
      <c r="W1541" s="582">
        <v>0</v>
      </c>
      <c r="X1541" s="580"/>
      <c r="Y1541" s="583">
        <f>IF(GLOBAL_DER_FEV_2023!W1541=0,0,IF(GLOBAL_DER_FEV_2023!W1541&gt;0,"c","b"))</f>
        <v>0</v>
      </c>
    </row>
    <row r="1542" spans="1:25" ht="13.5" hidden="1" thickBot="1" x14ac:dyDescent="0.25">
      <c r="A1542" s="317">
        <v>98304</v>
      </c>
      <c r="B1542" s="895">
        <v>98304</v>
      </c>
      <c r="C1542" s="896" t="s">
        <v>596</v>
      </c>
      <c r="D1542" s="906" t="s">
        <v>1467</v>
      </c>
      <c r="E1542" s="907">
        <f>GLOBAL_DER_FEV_2023!E1542</f>
        <v>0</v>
      </c>
      <c r="F1542" s="908">
        <f>GLOBAL_DER_FEV_2023!F1542</f>
        <v>0</v>
      </c>
      <c r="G1542" s="912">
        <f>GLOBAL_DER_FEV_2023!G1542</f>
        <v>0</v>
      </c>
      <c r="H1542" s="901">
        <f>GLOBAL_DER_FEV_2023!H1542</f>
        <v>4703.87</v>
      </c>
      <c r="I1542" s="901">
        <f>GLOBAL_DER_FEV_2023!I1542</f>
        <v>4703.87</v>
      </c>
      <c r="J1542" s="902">
        <f>GLOBAL_DER_FEV_2023!J1542</f>
        <v>5647.94</v>
      </c>
      <c r="K1542" s="903" t="s">
        <v>1516</v>
      </c>
      <c r="L1542" s="1137"/>
      <c r="M1542" s="1138">
        <f t="shared" si="112"/>
        <v>0</v>
      </c>
      <c r="N1542" s="893">
        <f t="shared" si="116"/>
        <v>0</v>
      </c>
      <c r="O1542" s="905"/>
      <c r="Q1542" s="317" t="str">
        <f t="shared" si="113"/>
        <v/>
      </c>
      <c r="R1542" s="317" t="str">
        <f t="shared" si="114"/>
        <v/>
      </c>
      <c r="S1542" s="317" t="str">
        <f t="shared" si="115"/>
        <v/>
      </c>
      <c r="T1542" s="317" t="str">
        <f>GLOBAL_DER_FEV_2023!S1542</f>
        <v/>
      </c>
      <c r="W1542" s="582">
        <v>0</v>
      </c>
      <c r="X1542" s="580"/>
      <c r="Y1542" s="583">
        <f>IF(GLOBAL_DER_FEV_2023!W1542=0,0,IF(GLOBAL_DER_FEV_2023!W1542&gt;0,"c","b"))</f>
        <v>0</v>
      </c>
    </row>
    <row r="1543" spans="1:25" ht="13.5" hidden="1" thickBot="1" x14ac:dyDescent="0.25">
      <c r="A1543" s="317">
        <v>98307</v>
      </c>
      <c r="B1543" s="895">
        <v>98307</v>
      </c>
      <c r="C1543" s="896" t="s">
        <v>596</v>
      </c>
      <c r="D1543" s="906" t="s">
        <v>1468</v>
      </c>
      <c r="E1543" s="907">
        <f>GLOBAL_DER_FEV_2023!E1543</f>
        <v>0</v>
      </c>
      <c r="F1543" s="908">
        <f>GLOBAL_DER_FEV_2023!F1543</f>
        <v>0</v>
      </c>
      <c r="G1543" s="912">
        <f>GLOBAL_DER_FEV_2023!G1543</f>
        <v>0</v>
      </c>
      <c r="H1543" s="901">
        <f>GLOBAL_DER_FEV_2023!H1543</f>
        <v>54.02</v>
      </c>
      <c r="I1543" s="901">
        <f>GLOBAL_DER_FEV_2023!I1543</f>
        <v>54.02</v>
      </c>
      <c r="J1543" s="902">
        <f>GLOBAL_DER_FEV_2023!J1543</f>
        <v>64.86</v>
      </c>
      <c r="K1543" s="903" t="s">
        <v>1516</v>
      </c>
      <c r="L1543" s="1137"/>
      <c r="M1543" s="1138">
        <f t="shared" si="112"/>
        <v>0</v>
      </c>
      <c r="N1543" s="893">
        <f t="shared" si="116"/>
        <v>0</v>
      </c>
      <c r="O1543" s="905"/>
      <c r="Q1543" s="317" t="str">
        <f t="shared" si="113"/>
        <v/>
      </c>
      <c r="R1543" s="317" t="str">
        <f t="shared" si="114"/>
        <v/>
      </c>
      <c r="S1543" s="317" t="str">
        <f t="shared" si="115"/>
        <v/>
      </c>
      <c r="T1543" s="317" t="str">
        <f>GLOBAL_DER_FEV_2023!S1543</f>
        <v/>
      </c>
      <c r="W1543" s="582">
        <v>0</v>
      </c>
      <c r="X1543" s="580"/>
      <c r="Y1543" s="583">
        <f>IF(GLOBAL_DER_FEV_2023!W1543=0,0,IF(GLOBAL_DER_FEV_2023!W1543&gt;0,"c","b"))</f>
        <v>0</v>
      </c>
    </row>
    <row r="1544" spans="1:25" ht="13.5" hidden="1" thickBot="1" x14ac:dyDescent="0.25">
      <c r="A1544" s="317">
        <v>98308</v>
      </c>
      <c r="B1544" s="895">
        <v>98308</v>
      </c>
      <c r="C1544" s="896" t="s">
        <v>596</v>
      </c>
      <c r="D1544" s="906" t="s">
        <v>1469</v>
      </c>
      <c r="E1544" s="907">
        <f>GLOBAL_DER_FEV_2023!E1544</f>
        <v>0</v>
      </c>
      <c r="F1544" s="908">
        <f>GLOBAL_DER_FEV_2023!F1544</f>
        <v>0</v>
      </c>
      <c r="G1544" s="912">
        <f>GLOBAL_DER_FEV_2023!G1544</f>
        <v>0</v>
      </c>
      <c r="H1544" s="901">
        <f>GLOBAL_DER_FEV_2023!H1544</f>
        <v>35.97</v>
      </c>
      <c r="I1544" s="901">
        <f>GLOBAL_DER_FEV_2023!I1544</f>
        <v>35.97</v>
      </c>
      <c r="J1544" s="902">
        <f>GLOBAL_DER_FEV_2023!J1544</f>
        <v>43.19</v>
      </c>
      <c r="K1544" s="903" t="s">
        <v>1516</v>
      </c>
      <c r="L1544" s="1137"/>
      <c r="M1544" s="1138">
        <f t="shared" si="112"/>
        <v>0</v>
      </c>
      <c r="N1544" s="893">
        <f t="shared" si="116"/>
        <v>0</v>
      </c>
      <c r="O1544" s="905"/>
      <c r="Q1544" s="317" t="str">
        <f t="shared" si="113"/>
        <v/>
      </c>
      <c r="R1544" s="317" t="str">
        <f t="shared" si="114"/>
        <v/>
      </c>
      <c r="S1544" s="317" t="str">
        <f t="shared" si="115"/>
        <v/>
      </c>
      <c r="T1544" s="317" t="str">
        <f>GLOBAL_DER_FEV_2023!S1544</f>
        <v/>
      </c>
      <c r="W1544" s="582">
        <v>0</v>
      </c>
      <c r="X1544" s="580"/>
      <c r="Y1544" s="583">
        <f>IF(GLOBAL_DER_FEV_2023!W1544=0,0,IF(GLOBAL_DER_FEV_2023!W1544&gt;0,"c","b"))</f>
        <v>0</v>
      </c>
    </row>
    <row r="1545" spans="1:25" ht="23.25" hidden="1" thickBot="1" x14ac:dyDescent="0.25">
      <c r="A1545" s="317">
        <v>98593</v>
      </c>
      <c r="B1545" s="895">
        <v>98593</v>
      </c>
      <c r="C1545" s="896" t="s">
        <v>596</v>
      </c>
      <c r="D1545" s="906" t="s">
        <v>1470</v>
      </c>
      <c r="E1545" s="907">
        <f>GLOBAL_DER_FEV_2023!E1545</f>
        <v>0</v>
      </c>
      <c r="F1545" s="908">
        <f>GLOBAL_DER_FEV_2023!F1545</f>
        <v>0</v>
      </c>
      <c r="G1545" s="912">
        <f>GLOBAL_DER_FEV_2023!G1545</f>
        <v>0</v>
      </c>
      <c r="H1545" s="901">
        <f>GLOBAL_DER_FEV_2023!H1545</f>
        <v>3266.78</v>
      </c>
      <c r="I1545" s="901">
        <f>GLOBAL_DER_FEV_2023!I1545</f>
        <v>3266.78</v>
      </c>
      <c r="J1545" s="902">
        <f>GLOBAL_DER_FEV_2023!J1545</f>
        <v>3922.42</v>
      </c>
      <c r="K1545" s="903" t="s">
        <v>1516</v>
      </c>
      <c r="L1545" s="1137"/>
      <c r="M1545" s="1138">
        <f t="shared" si="112"/>
        <v>0</v>
      </c>
      <c r="N1545" s="893">
        <f t="shared" si="116"/>
        <v>0</v>
      </c>
      <c r="O1545" s="905"/>
      <c r="Q1545" s="317" t="str">
        <f t="shared" si="113"/>
        <v/>
      </c>
      <c r="R1545" s="317" t="str">
        <f t="shared" si="114"/>
        <v/>
      </c>
      <c r="S1545" s="317" t="str">
        <f t="shared" si="115"/>
        <v/>
      </c>
      <c r="T1545" s="317" t="str">
        <f>GLOBAL_DER_FEV_2023!S1545</f>
        <v/>
      </c>
      <c r="W1545" s="582">
        <v>0</v>
      </c>
      <c r="X1545" s="580"/>
      <c r="Y1545" s="583">
        <f>IF(GLOBAL_DER_FEV_2023!W1545=0,0,IF(GLOBAL_DER_FEV_2023!W1545&gt;0,"c","b"))</f>
        <v>0</v>
      </c>
    </row>
    <row r="1546" spans="1:25" ht="23.25" hidden="1" thickBot="1" x14ac:dyDescent="0.25">
      <c r="A1546" s="317">
        <v>98400</v>
      </c>
      <c r="B1546" s="895">
        <v>98400</v>
      </c>
      <c r="C1546" s="896" t="s">
        <v>596</v>
      </c>
      <c r="D1546" s="906" t="s">
        <v>1471</v>
      </c>
      <c r="E1546" s="907">
        <f>GLOBAL_DER_FEV_2023!E1546</f>
        <v>0</v>
      </c>
      <c r="F1546" s="908">
        <f>GLOBAL_DER_FEV_2023!F1546</f>
        <v>0</v>
      </c>
      <c r="G1546" s="912">
        <f>GLOBAL_DER_FEV_2023!G1546</f>
        <v>0</v>
      </c>
      <c r="H1546" s="901">
        <f>GLOBAL_DER_FEV_2023!H1546</f>
        <v>16.71</v>
      </c>
      <c r="I1546" s="901">
        <f>GLOBAL_DER_FEV_2023!I1546</f>
        <v>16.71</v>
      </c>
      <c r="J1546" s="902">
        <f>GLOBAL_DER_FEV_2023!J1546</f>
        <v>20.059999999999999</v>
      </c>
      <c r="K1546" s="903" t="s">
        <v>62</v>
      </c>
      <c r="L1546" s="1137"/>
      <c r="M1546" s="1138">
        <f t="shared" si="112"/>
        <v>0</v>
      </c>
      <c r="N1546" s="893">
        <f t="shared" si="116"/>
        <v>0</v>
      </c>
      <c r="O1546" s="905"/>
      <c r="Q1546" s="317" t="str">
        <f t="shared" si="113"/>
        <v/>
      </c>
      <c r="R1546" s="317" t="str">
        <f t="shared" si="114"/>
        <v/>
      </c>
      <c r="S1546" s="317" t="str">
        <f t="shared" si="115"/>
        <v/>
      </c>
      <c r="T1546" s="317" t="str">
        <f>GLOBAL_DER_FEV_2023!S1546</f>
        <v/>
      </c>
      <c r="W1546" s="582">
        <v>0</v>
      </c>
      <c r="X1546" s="580"/>
      <c r="Y1546" s="583">
        <f>IF(GLOBAL_DER_FEV_2023!W1546=0,0,IF(GLOBAL_DER_FEV_2023!W1546&gt;0,"c","b"))</f>
        <v>0</v>
      </c>
    </row>
    <row r="1547" spans="1:25" ht="23.25" hidden="1" thickBot="1" x14ac:dyDescent="0.25">
      <c r="A1547" s="317">
        <v>98401</v>
      </c>
      <c r="B1547" s="895">
        <v>98401</v>
      </c>
      <c r="C1547" s="896" t="s">
        <v>596</v>
      </c>
      <c r="D1547" s="906" t="s">
        <v>1472</v>
      </c>
      <c r="E1547" s="907">
        <f>GLOBAL_DER_FEV_2023!E1547</f>
        <v>0</v>
      </c>
      <c r="F1547" s="908">
        <f>GLOBAL_DER_FEV_2023!F1547</f>
        <v>0</v>
      </c>
      <c r="G1547" s="912">
        <f>GLOBAL_DER_FEV_2023!G1547</f>
        <v>0</v>
      </c>
      <c r="H1547" s="901">
        <f>GLOBAL_DER_FEV_2023!H1547</f>
        <v>25.99</v>
      </c>
      <c r="I1547" s="901">
        <f>GLOBAL_DER_FEV_2023!I1547</f>
        <v>25.99</v>
      </c>
      <c r="J1547" s="902">
        <f>GLOBAL_DER_FEV_2023!J1547</f>
        <v>31.21</v>
      </c>
      <c r="K1547" s="903" t="s">
        <v>62</v>
      </c>
      <c r="L1547" s="1137"/>
      <c r="M1547" s="1138">
        <f t="shared" si="112"/>
        <v>0</v>
      </c>
      <c r="N1547" s="893">
        <f t="shared" si="116"/>
        <v>0</v>
      </c>
      <c r="O1547" s="905"/>
      <c r="Q1547" s="317" t="str">
        <f t="shared" si="113"/>
        <v/>
      </c>
      <c r="R1547" s="317" t="str">
        <f t="shared" si="114"/>
        <v/>
      </c>
      <c r="S1547" s="317" t="str">
        <f t="shared" si="115"/>
        <v/>
      </c>
      <c r="T1547" s="317" t="str">
        <f>GLOBAL_DER_FEV_2023!S1547</f>
        <v/>
      </c>
      <c r="W1547" s="582">
        <v>0</v>
      </c>
      <c r="X1547" s="580"/>
      <c r="Y1547" s="583">
        <f>IF(GLOBAL_DER_FEV_2023!W1547=0,0,IF(GLOBAL_DER_FEV_2023!W1547&gt;0,"c","b"))</f>
        <v>0</v>
      </c>
    </row>
    <row r="1548" spans="1:25" ht="23.25" hidden="1" thickBot="1" x14ac:dyDescent="0.25">
      <c r="A1548" s="317">
        <v>98402</v>
      </c>
      <c r="B1548" s="895">
        <v>98402</v>
      </c>
      <c r="C1548" s="896" t="s">
        <v>596</v>
      </c>
      <c r="D1548" s="906" t="s">
        <v>1473</v>
      </c>
      <c r="E1548" s="907">
        <f>GLOBAL_DER_FEV_2023!E1548</f>
        <v>0</v>
      </c>
      <c r="F1548" s="908">
        <f>GLOBAL_DER_FEV_2023!F1548</f>
        <v>0</v>
      </c>
      <c r="G1548" s="912">
        <f>GLOBAL_DER_FEV_2023!G1548</f>
        <v>0</v>
      </c>
      <c r="H1548" s="901">
        <f>GLOBAL_DER_FEV_2023!H1548</f>
        <v>30.27</v>
      </c>
      <c r="I1548" s="901">
        <f>GLOBAL_DER_FEV_2023!I1548</f>
        <v>30.27</v>
      </c>
      <c r="J1548" s="902">
        <f>GLOBAL_DER_FEV_2023!J1548</f>
        <v>36.35</v>
      </c>
      <c r="K1548" s="903" t="s">
        <v>62</v>
      </c>
      <c r="L1548" s="1137"/>
      <c r="M1548" s="1138">
        <f t="shared" si="112"/>
        <v>0</v>
      </c>
      <c r="N1548" s="893">
        <f t="shared" si="116"/>
        <v>0</v>
      </c>
      <c r="O1548" s="905"/>
      <c r="Q1548" s="317" t="str">
        <f t="shared" si="113"/>
        <v/>
      </c>
      <c r="R1548" s="317" t="str">
        <f t="shared" si="114"/>
        <v/>
      </c>
      <c r="S1548" s="317" t="str">
        <f t="shared" si="115"/>
        <v/>
      </c>
      <c r="T1548" s="317" t="str">
        <f>GLOBAL_DER_FEV_2023!S1548</f>
        <v/>
      </c>
      <c r="W1548" s="582">
        <v>0</v>
      </c>
      <c r="X1548" s="580"/>
      <c r="Y1548" s="583">
        <f>IF(GLOBAL_DER_FEV_2023!W1548=0,0,IF(GLOBAL_DER_FEV_2023!W1548&gt;0,"c","b"))</f>
        <v>0</v>
      </c>
    </row>
    <row r="1549" spans="1:25" ht="23.25" hidden="1" thickBot="1" x14ac:dyDescent="0.25">
      <c r="A1549" s="317">
        <v>98267</v>
      </c>
      <c r="B1549" s="895">
        <v>98267</v>
      </c>
      <c r="C1549" s="896" t="s">
        <v>596</v>
      </c>
      <c r="D1549" s="906" t="s">
        <v>1474</v>
      </c>
      <c r="E1549" s="907">
        <f>GLOBAL_DER_FEV_2023!E1549</f>
        <v>0</v>
      </c>
      <c r="F1549" s="908">
        <f>GLOBAL_DER_FEV_2023!F1549</f>
        <v>0</v>
      </c>
      <c r="G1549" s="912">
        <f>GLOBAL_DER_FEV_2023!G1549</f>
        <v>0</v>
      </c>
      <c r="H1549" s="901">
        <f>GLOBAL_DER_FEV_2023!H1549</f>
        <v>13.69</v>
      </c>
      <c r="I1549" s="901">
        <f>GLOBAL_DER_FEV_2023!I1549</f>
        <v>13.69</v>
      </c>
      <c r="J1549" s="902">
        <f>GLOBAL_DER_FEV_2023!J1549</f>
        <v>16.440000000000001</v>
      </c>
      <c r="K1549" s="903" t="s">
        <v>62</v>
      </c>
      <c r="L1549" s="1137"/>
      <c r="M1549" s="1138">
        <f t="shared" si="112"/>
        <v>0</v>
      </c>
      <c r="N1549" s="893">
        <f t="shared" si="116"/>
        <v>0</v>
      </c>
      <c r="O1549" s="905"/>
      <c r="Q1549" s="317" t="str">
        <f t="shared" si="113"/>
        <v/>
      </c>
      <c r="R1549" s="317" t="str">
        <f t="shared" si="114"/>
        <v/>
      </c>
      <c r="S1549" s="317" t="str">
        <f t="shared" si="115"/>
        <v/>
      </c>
      <c r="T1549" s="317" t="str">
        <f>GLOBAL_DER_FEV_2023!S1549</f>
        <v/>
      </c>
      <c r="W1549" s="582">
        <v>0</v>
      </c>
      <c r="X1549" s="580"/>
      <c r="Y1549" s="583">
        <f>IF(GLOBAL_DER_FEV_2023!W1549=0,0,IF(GLOBAL_DER_FEV_2023!W1549&gt;0,"c","b"))</f>
        <v>0</v>
      </c>
    </row>
    <row r="1550" spans="1:25" ht="23.25" hidden="1" thickBot="1" x14ac:dyDescent="0.25">
      <c r="A1550" s="317">
        <v>98268</v>
      </c>
      <c r="B1550" s="895">
        <v>98268</v>
      </c>
      <c r="C1550" s="896" t="s">
        <v>596</v>
      </c>
      <c r="D1550" s="906" t="s">
        <v>1475</v>
      </c>
      <c r="E1550" s="907">
        <f>GLOBAL_DER_FEV_2023!E1550</f>
        <v>0</v>
      </c>
      <c r="F1550" s="908">
        <f>GLOBAL_DER_FEV_2023!F1550</f>
        <v>0</v>
      </c>
      <c r="G1550" s="912">
        <f>GLOBAL_DER_FEV_2023!G1550</f>
        <v>0</v>
      </c>
      <c r="H1550" s="901">
        <f>GLOBAL_DER_FEV_2023!H1550</f>
        <v>21.8</v>
      </c>
      <c r="I1550" s="901">
        <f>GLOBAL_DER_FEV_2023!I1550</f>
        <v>21.8</v>
      </c>
      <c r="J1550" s="902">
        <f>GLOBAL_DER_FEV_2023!J1550</f>
        <v>26.18</v>
      </c>
      <c r="K1550" s="903" t="s">
        <v>62</v>
      </c>
      <c r="L1550" s="1137"/>
      <c r="M1550" s="1138">
        <f t="shared" si="112"/>
        <v>0</v>
      </c>
      <c r="N1550" s="893">
        <f t="shared" si="116"/>
        <v>0</v>
      </c>
      <c r="O1550" s="905"/>
      <c r="Q1550" s="317" t="str">
        <f t="shared" si="113"/>
        <v/>
      </c>
      <c r="R1550" s="317" t="str">
        <f t="shared" si="114"/>
        <v/>
      </c>
      <c r="S1550" s="317" t="str">
        <f t="shared" si="115"/>
        <v/>
      </c>
      <c r="T1550" s="317" t="str">
        <f>GLOBAL_DER_FEV_2023!S1550</f>
        <v/>
      </c>
      <c r="W1550" s="582">
        <v>0</v>
      </c>
      <c r="X1550" s="580"/>
      <c r="Y1550" s="583">
        <f>IF(GLOBAL_DER_FEV_2023!W1550=0,0,IF(GLOBAL_DER_FEV_2023!W1550&gt;0,"c","b"))</f>
        <v>0</v>
      </c>
    </row>
    <row r="1551" spans="1:25" ht="23.25" hidden="1" thickBot="1" x14ac:dyDescent="0.25">
      <c r="A1551" s="317">
        <v>98269</v>
      </c>
      <c r="B1551" s="895">
        <v>98269</v>
      </c>
      <c r="C1551" s="896" t="s">
        <v>596</v>
      </c>
      <c r="D1551" s="906" t="s">
        <v>1476</v>
      </c>
      <c r="E1551" s="907">
        <f>GLOBAL_DER_FEV_2023!E1551</f>
        <v>0</v>
      </c>
      <c r="F1551" s="908">
        <f>GLOBAL_DER_FEV_2023!F1551</f>
        <v>0</v>
      </c>
      <c r="G1551" s="912">
        <f>GLOBAL_DER_FEV_2023!G1551</f>
        <v>0</v>
      </c>
      <c r="H1551" s="901">
        <f>GLOBAL_DER_FEV_2023!H1551</f>
        <v>29.62</v>
      </c>
      <c r="I1551" s="901">
        <f>GLOBAL_DER_FEV_2023!I1551</f>
        <v>29.62</v>
      </c>
      <c r="J1551" s="902">
        <f>GLOBAL_DER_FEV_2023!J1551</f>
        <v>35.56</v>
      </c>
      <c r="K1551" s="903" t="s">
        <v>62</v>
      </c>
      <c r="L1551" s="1137"/>
      <c r="M1551" s="1138">
        <f t="shared" si="112"/>
        <v>0</v>
      </c>
      <c r="N1551" s="893">
        <f t="shared" si="116"/>
        <v>0</v>
      </c>
      <c r="O1551" s="905"/>
      <c r="Q1551" s="317" t="str">
        <f t="shared" si="113"/>
        <v/>
      </c>
      <c r="R1551" s="317" t="str">
        <f t="shared" si="114"/>
        <v/>
      </c>
      <c r="S1551" s="317" t="str">
        <f t="shared" si="115"/>
        <v/>
      </c>
      <c r="T1551" s="317" t="str">
        <f>GLOBAL_DER_FEV_2023!S1551</f>
        <v/>
      </c>
      <c r="W1551" s="582">
        <v>0</v>
      </c>
      <c r="X1551" s="580"/>
      <c r="Y1551" s="583">
        <f>IF(GLOBAL_DER_FEV_2023!W1551=0,0,IF(GLOBAL_DER_FEV_2023!W1551&gt;0,"c","b"))</f>
        <v>0</v>
      </c>
    </row>
    <row r="1552" spans="1:25" ht="23.25" hidden="1" thickBot="1" x14ac:dyDescent="0.25">
      <c r="A1552" s="317">
        <v>98270</v>
      </c>
      <c r="B1552" s="895">
        <v>98270</v>
      </c>
      <c r="C1552" s="896" t="s">
        <v>596</v>
      </c>
      <c r="D1552" s="906" t="s">
        <v>1477</v>
      </c>
      <c r="E1552" s="907">
        <f>GLOBAL_DER_FEV_2023!E1552</f>
        <v>0</v>
      </c>
      <c r="F1552" s="908">
        <f>GLOBAL_DER_FEV_2023!F1552</f>
        <v>0</v>
      </c>
      <c r="G1552" s="912">
        <f>GLOBAL_DER_FEV_2023!G1552</f>
        <v>0</v>
      </c>
      <c r="H1552" s="901">
        <f>GLOBAL_DER_FEV_2023!H1552</f>
        <v>44.42</v>
      </c>
      <c r="I1552" s="901">
        <f>GLOBAL_DER_FEV_2023!I1552</f>
        <v>44.42</v>
      </c>
      <c r="J1552" s="902">
        <f>GLOBAL_DER_FEV_2023!J1552</f>
        <v>53.34</v>
      </c>
      <c r="K1552" s="903" t="s">
        <v>62</v>
      </c>
      <c r="L1552" s="1137"/>
      <c r="M1552" s="1138">
        <f t="shared" si="112"/>
        <v>0</v>
      </c>
      <c r="N1552" s="893">
        <f t="shared" si="116"/>
        <v>0</v>
      </c>
      <c r="O1552" s="905"/>
      <c r="Q1552" s="317" t="str">
        <f t="shared" si="113"/>
        <v/>
      </c>
      <c r="R1552" s="317" t="str">
        <f t="shared" si="114"/>
        <v/>
      </c>
      <c r="S1552" s="317" t="str">
        <f t="shared" si="115"/>
        <v/>
      </c>
      <c r="T1552" s="317" t="str">
        <f>GLOBAL_DER_FEV_2023!S1552</f>
        <v/>
      </c>
      <c r="W1552" s="582">
        <v>0</v>
      </c>
      <c r="X1552" s="580"/>
      <c r="Y1552" s="583">
        <f>IF(GLOBAL_DER_FEV_2023!W1552=0,0,IF(GLOBAL_DER_FEV_2023!W1552&gt;0,"c","b"))</f>
        <v>0</v>
      </c>
    </row>
    <row r="1553" spans="1:25" ht="23.25" hidden="1" thickBot="1" x14ac:dyDescent="0.25">
      <c r="A1553" s="317">
        <v>98271</v>
      </c>
      <c r="B1553" s="895">
        <v>98271</v>
      </c>
      <c r="C1553" s="896" t="s">
        <v>596</v>
      </c>
      <c r="D1553" s="906" t="s">
        <v>1478</v>
      </c>
      <c r="E1553" s="907">
        <f>GLOBAL_DER_FEV_2023!E1553</f>
        <v>0</v>
      </c>
      <c r="F1553" s="908">
        <f>GLOBAL_DER_FEV_2023!F1553</f>
        <v>0</v>
      </c>
      <c r="G1553" s="912">
        <f>GLOBAL_DER_FEV_2023!G1553</f>
        <v>0</v>
      </c>
      <c r="H1553" s="901">
        <f>GLOBAL_DER_FEV_2023!H1553</f>
        <v>62.23</v>
      </c>
      <c r="I1553" s="901">
        <f>GLOBAL_DER_FEV_2023!I1553</f>
        <v>62.23</v>
      </c>
      <c r="J1553" s="902">
        <f>GLOBAL_DER_FEV_2023!J1553</f>
        <v>74.72</v>
      </c>
      <c r="K1553" s="903" t="s">
        <v>62</v>
      </c>
      <c r="L1553" s="1137"/>
      <c r="M1553" s="1138">
        <f t="shared" si="112"/>
        <v>0</v>
      </c>
      <c r="N1553" s="893">
        <f t="shared" si="116"/>
        <v>0</v>
      </c>
      <c r="O1553" s="905"/>
      <c r="Q1553" s="317" t="str">
        <f t="shared" si="113"/>
        <v/>
      </c>
      <c r="R1553" s="317" t="str">
        <f t="shared" si="114"/>
        <v/>
      </c>
      <c r="S1553" s="317" t="str">
        <f t="shared" si="115"/>
        <v/>
      </c>
      <c r="T1553" s="317" t="str">
        <f>GLOBAL_DER_FEV_2023!S1553</f>
        <v/>
      </c>
      <c r="W1553" s="582">
        <v>0</v>
      </c>
      <c r="X1553" s="580"/>
      <c r="Y1553" s="583">
        <f>IF(GLOBAL_DER_FEV_2023!W1553=0,0,IF(GLOBAL_DER_FEV_2023!W1553&gt;0,"c","b"))</f>
        <v>0</v>
      </c>
    </row>
    <row r="1554" spans="1:25" ht="23.25" hidden="1" thickBot="1" x14ac:dyDescent="0.25">
      <c r="A1554" s="317">
        <v>98272</v>
      </c>
      <c r="B1554" s="895">
        <v>98272</v>
      </c>
      <c r="C1554" s="896" t="s">
        <v>596</v>
      </c>
      <c r="D1554" s="906" t="s">
        <v>1479</v>
      </c>
      <c r="E1554" s="907">
        <f>GLOBAL_DER_FEV_2023!E1554</f>
        <v>0</v>
      </c>
      <c r="F1554" s="908">
        <f>GLOBAL_DER_FEV_2023!F1554</f>
        <v>0</v>
      </c>
      <c r="G1554" s="912">
        <f>GLOBAL_DER_FEV_2023!G1554</f>
        <v>0</v>
      </c>
      <c r="H1554" s="901">
        <f>GLOBAL_DER_FEV_2023!H1554</f>
        <v>142.05000000000001</v>
      </c>
      <c r="I1554" s="901">
        <f>GLOBAL_DER_FEV_2023!I1554</f>
        <v>142.05000000000001</v>
      </c>
      <c r="J1554" s="902">
        <f>GLOBAL_DER_FEV_2023!J1554</f>
        <v>170.56</v>
      </c>
      <c r="K1554" s="903" t="s">
        <v>62</v>
      </c>
      <c r="L1554" s="1137"/>
      <c r="M1554" s="1138">
        <f t="shared" ref="M1554:M1617" si="117">IF(L1554=0,0,ROUND(J1554,2))</f>
        <v>0</v>
      </c>
      <c r="N1554" s="893">
        <f t="shared" si="116"/>
        <v>0</v>
      </c>
      <c r="O1554" s="905"/>
      <c r="Q1554" s="317" t="str">
        <f t="shared" si="113"/>
        <v/>
      </c>
      <c r="R1554" s="317" t="str">
        <f t="shared" si="114"/>
        <v/>
      </c>
      <c r="S1554" s="317" t="str">
        <f t="shared" si="115"/>
        <v/>
      </c>
      <c r="T1554" s="317" t="str">
        <f>GLOBAL_DER_FEV_2023!S1554</f>
        <v/>
      </c>
      <c r="W1554" s="582">
        <v>0</v>
      </c>
      <c r="X1554" s="580"/>
      <c r="Y1554" s="583">
        <f>IF(GLOBAL_DER_FEV_2023!W1554=0,0,IF(GLOBAL_DER_FEV_2023!W1554&gt;0,"c","b"))</f>
        <v>0</v>
      </c>
    </row>
    <row r="1555" spans="1:25" ht="23.25" hidden="1" thickBot="1" x14ac:dyDescent="0.25">
      <c r="A1555" s="317">
        <v>98276</v>
      </c>
      <c r="B1555" s="895">
        <v>98276</v>
      </c>
      <c r="C1555" s="896" t="s">
        <v>596</v>
      </c>
      <c r="D1555" s="906" t="s">
        <v>1480</v>
      </c>
      <c r="E1555" s="907">
        <f>GLOBAL_DER_FEV_2023!E1555</f>
        <v>0</v>
      </c>
      <c r="F1555" s="908">
        <f>GLOBAL_DER_FEV_2023!F1555</f>
        <v>0</v>
      </c>
      <c r="G1555" s="912">
        <f>GLOBAL_DER_FEV_2023!G1555</f>
        <v>0</v>
      </c>
      <c r="H1555" s="901">
        <f>GLOBAL_DER_FEV_2023!H1555</f>
        <v>10.08</v>
      </c>
      <c r="I1555" s="901">
        <f>GLOBAL_DER_FEV_2023!I1555</f>
        <v>10.08</v>
      </c>
      <c r="J1555" s="902">
        <f>GLOBAL_DER_FEV_2023!J1555</f>
        <v>12.1</v>
      </c>
      <c r="K1555" s="903" t="s">
        <v>62</v>
      </c>
      <c r="L1555" s="1137"/>
      <c r="M1555" s="1138">
        <f t="shared" si="117"/>
        <v>0</v>
      </c>
      <c r="N1555" s="893">
        <f t="shared" si="116"/>
        <v>0</v>
      </c>
      <c r="O1555" s="905"/>
      <c r="Q1555" s="317" t="str">
        <f t="shared" si="113"/>
        <v/>
      </c>
      <c r="R1555" s="317" t="str">
        <f t="shared" si="114"/>
        <v/>
      </c>
      <c r="S1555" s="317" t="str">
        <f t="shared" si="115"/>
        <v/>
      </c>
      <c r="T1555" s="317" t="str">
        <f>GLOBAL_DER_FEV_2023!S1555</f>
        <v/>
      </c>
      <c r="W1555" s="582">
        <v>0</v>
      </c>
      <c r="X1555" s="580"/>
      <c r="Y1555" s="583">
        <f>IF(GLOBAL_DER_FEV_2023!W1555=0,0,IF(GLOBAL_DER_FEV_2023!W1555&gt;0,"c","b"))</f>
        <v>0</v>
      </c>
    </row>
    <row r="1556" spans="1:25" ht="23.25" hidden="1" thickBot="1" x14ac:dyDescent="0.25">
      <c r="A1556" s="317">
        <v>98277</v>
      </c>
      <c r="B1556" s="895">
        <v>98277</v>
      </c>
      <c r="C1556" s="896" t="s">
        <v>596</v>
      </c>
      <c r="D1556" s="906" t="s">
        <v>1481</v>
      </c>
      <c r="E1556" s="907">
        <f>GLOBAL_DER_FEV_2023!E1556</f>
        <v>0</v>
      </c>
      <c r="F1556" s="908">
        <f>GLOBAL_DER_FEV_2023!F1556</f>
        <v>0</v>
      </c>
      <c r="G1556" s="912">
        <f>GLOBAL_DER_FEV_2023!G1556</f>
        <v>0</v>
      </c>
      <c r="H1556" s="901">
        <f>GLOBAL_DER_FEV_2023!H1556</f>
        <v>18.18</v>
      </c>
      <c r="I1556" s="901">
        <f>GLOBAL_DER_FEV_2023!I1556</f>
        <v>18.18</v>
      </c>
      <c r="J1556" s="902">
        <f>GLOBAL_DER_FEV_2023!J1556</f>
        <v>21.83</v>
      </c>
      <c r="K1556" s="903" t="s">
        <v>62</v>
      </c>
      <c r="L1556" s="1137"/>
      <c r="M1556" s="1138">
        <f t="shared" si="117"/>
        <v>0</v>
      </c>
      <c r="N1556" s="893">
        <f t="shared" si="116"/>
        <v>0</v>
      </c>
      <c r="O1556" s="905"/>
      <c r="Q1556" s="317" t="str">
        <f t="shared" si="113"/>
        <v/>
      </c>
      <c r="R1556" s="317" t="str">
        <f t="shared" si="114"/>
        <v/>
      </c>
      <c r="S1556" s="317" t="str">
        <f t="shared" si="115"/>
        <v/>
      </c>
      <c r="T1556" s="317" t="str">
        <f>GLOBAL_DER_FEV_2023!S1556</f>
        <v/>
      </c>
      <c r="W1556" s="582">
        <v>0</v>
      </c>
      <c r="X1556" s="580"/>
      <c r="Y1556" s="583">
        <f>IF(GLOBAL_DER_FEV_2023!W1556=0,0,IF(GLOBAL_DER_FEV_2023!W1556&gt;0,"c","b"))</f>
        <v>0</v>
      </c>
    </row>
    <row r="1557" spans="1:25" ht="23.25" hidden="1" thickBot="1" x14ac:dyDescent="0.25">
      <c r="A1557" s="317">
        <v>98278</v>
      </c>
      <c r="B1557" s="895">
        <v>98278</v>
      </c>
      <c r="C1557" s="896" t="s">
        <v>596</v>
      </c>
      <c r="D1557" s="906" t="s">
        <v>1482</v>
      </c>
      <c r="E1557" s="907">
        <f>GLOBAL_DER_FEV_2023!E1557</f>
        <v>0</v>
      </c>
      <c r="F1557" s="908">
        <f>GLOBAL_DER_FEV_2023!F1557</f>
        <v>0</v>
      </c>
      <c r="G1557" s="912">
        <f>GLOBAL_DER_FEV_2023!G1557</f>
        <v>0</v>
      </c>
      <c r="H1557" s="901">
        <f>GLOBAL_DER_FEV_2023!H1557</f>
        <v>26.01</v>
      </c>
      <c r="I1557" s="901">
        <f>GLOBAL_DER_FEV_2023!I1557</f>
        <v>26.01</v>
      </c>
      <c r="J1557" s="902">
        <f>GLOBAL_DER_FEV_2023!J1557</f>
        <v>31.23</v>
      </c>
      <c r="K1557" s="903" t="s">
        <v>62</v>
      </c>
      <c r="L1557" s="1137"/>
      <c r="M1557" s="1138">
        <f t="shared" si="117"/>
        <v>0</v>
      </c>
      <c r="N1557" s="893">
        <f t="shared" si="116"/>
        <v>0</v>
      </c>
      <c r="O1557" s="905"/>
      <c r="Q1557" s="317" t="str">
        <f t="shared" si="113"/>
        <v/>
      </c>
      <c r="R1557" s="317" t="str">
        <f t="shared" si="114"/>
        <v/>
      </c>
      <c r="S1557" s="317" t="str">
        <f t="shared" si="115"/>
        <v/>
      </c>
      <c r="T1557" s="317" t="str">
        <f>GLOBAL_DER_FEV_2023!S1557</f>
        <v/>
      </c>
      <c r="W1557" s="582">
        <v>0</v>
      </c>
      <c r="X1557" s="580"/>
      <c r="Y1557" s="583">
        <f>IF(GLOBAL_DER_FEV_2023!W1557=0,0,IF(GLOBAL_DER_FEV_2023!W1557&gt;0,"c","b"))</f>
        <v>0</v>
      </c>
    </row>
    <row r="1558" spans="1:25" ht="23.25" hidden="1" thickBot="1" x14ac:dyDescent="0.25">
      <c r="A1558" s="317">
        <v>98279</v>
      </c>
      <c r="B1558" s="895">
        <v>98279</v>
      </c>
      <c r="C1558" s="896" t="s">
        <v>596</v>
      </c>
      <c r="D1558" s="906" t="s">
        <v>1483</v>
      </c>
      <c r="E1558" s="907">
        <f>GLOBAL_DER_FEV_2023!E1558</f>
        <v>0</v>
      </c>
      <c r="F1558" s="908">
        <f>GLOBAL_DER_FEV_2023!F1558</f>
        <v>0</v>
      </c>
      <c r="G1558" s="912">
        <f>GLOBAL_DER_FEV_2023!G1558</f>
        <v>0</v>
      </c>
      <c r="H1558" s="901">
        <f>GLOBAL_DER_FEV_2023!H1558</f>
        <v>40.799999999999997</v>
      </c>
      <c r="I1558" s="901">
        <f>GLOBAL_DER_FEV_2023!I1558</f>
        <v>40.799999999999997</v>
      </c>
      <c r="J1558" s="902">
        <f>GLOBAL_DER_FEV_2023!J1558</f>
        <v>48.99</v>
      </c>
      <c r="K1558" s="903" t="s">
        <v>62</v>
      </c>
      <c r="L1558" s="1137"/>
      <c r="M1558" s="1138">
        <f t="shared" si="117"/>
        <v>0</v>
      </c>
      <c r="N1558" s="893">
        <f t="shared" si="116"/>
        <v>0</v>
      </c>
      <c r="O1558" s="905"/>
      <c r="Q1558" s="317" t="str">
        <f t="shared" si="113"/>
        <v/>
      </c>
      <c r="R1558" s="317" t="str">
        <f t="shared" si="114"/>
        <v/>
      </c>
      <c r="S1558" s="317" t="str">
        <f t="shared" si="115"/>
        <v/>
      </c>
      <c r="T1558" s="317" t="str">
        <f>GLOBAL_DER_FEV_2023!S1558</f>
        <v/>
      </c>
      <c r="W1558" s="582">
        <v>0</v>
      </c>
      <c r="X1558" s="580"/>
      <c r="Y1558" s="583">
        <f>IF(GLOBAL_DER_FEV_2023!W1558=0,0,IF(GLOBAL_DER_FEV_2023!W1558&gt;0,"c","b"))</f>
        <v>0</v>
      </c>
    </row>
    <row r="1559" spans="1:25" ht="23.25" hidden="1" thickBot="1" x14ac:dyDescent="0.25">
      <c r="A1559" s="317">
        <v>98286</v>
      </c>
      <c r="B1559" s="895">
        <v>98286</v>
      </c>
      <c r="C1559" s="896" t="s">
        <v>596</v>
      </c>
      <c r="D1559" s="906" t="s">
        <v>1484</v>
      </c>
      <c r="E1559" s="907">
        <f>GLOBAL_DER_FEV_2023!E1559</f>
        <v>0</v>
      </c>
      <c r="F1559" s="908">
        <f>GLOBAL_DER_FEV_2023!F1559</f>
        <v>0</v>
      </c>
      <c r="G1559" s="912">
        <f>GLOBAL_DER_FEV_2023!G1559</f>
        <v>0</v>
      </c>
      <c r="H1559" s="901">
        <f>GLOBAL_DER_FEV_2023!H1559</f>
        <v>18.350000000000001</v>
      </c>
      <c r="I1559" s="901">
        <f>GLOBAL_DER_FEV_2023!I1559</f>
        <v>18.350000000000001</v>
      </c>
      <c r="J1559" s="902">
        <f>GLOBAL_DER_FEV_2023!J1559</f>
        <v>22.03</v>
      </c>
      <c r="K1559" s="903" t="s">
        <v>62</v>
      </c>
      <c r="L1559" s="1137"/>
      <c r="M1559" s="1138">
        <f t="shared" si="117"/>
        <v>0</v>
      </c>
      <c r="N1559" s="893">
        <f t="shared" si="116"/>
        <v>0</v>
      </c>
      <c r="O1559" s="905"/>
      <c r="Q1559" s="317" t="str">
        <f t="shared" si="113"/>
        <v/>
      </c>
      <c r="R1559" s="317" t="str">
        <f t="shared" si="114"/>
        <v/>
      </c>
      <c r="S1559" s="317" t="str">
        <f t="shared" si="115"/>
        <v/>
      </c>
      <c r="T1559" s="317" t="str">
        <f>GLOBAL_DER_FEV_2023!S1559</f>
        <v/>
      </c>
      <c r="W1559" s="582">
        <v>0</v>
      </c>
      <c r="X1559" s="580"/>
      <c r="Y1559" s="583">
        <f>IF(GLOBAL_DER_FEV_2023!W1559=0,0,IF(GLOBAL_DER_FEV_2023!W1559&gt;0,"c","b"))</f>
        <v>0</v>
      </c>
    </row>
    <row r="1560" spans="1:25" ht="23.25" hidden="1" thickBot="1" x14ac:dyDescent="0.25">
      <c r="A1560" s="317">
        <v>98293</v>
      </c>
      <c r="B1560" s="895">
        <v>98293</v>
      </c>
      <c r="C1560" s="896" t="s">
        <v>596</v>
      </c>
      <c r="D1560" s="906" t="s">
        <v>1485</v>
      </c>
      <c r="E1560" s="907">
        <f>GLOBAL_DER_FEV_2023!E1560</f>
        <v>0</v>
      </c>
      <c r="F1560" s="908">
        <f>GLOBAL_DER_FEV_2023!F1560</f>
        <v>0</v>
      </c>
      <c r="G1560" s="912">
        <f>GLOBAL_DER_FEV_2023!G1560</f>
        <v>0</v>
      </c>
      <c r="H1560" s="901">
        <f>GLOBAL_DER_FEV_2023!H1560</f>
        <v>10.9</v>
      </c>
      <c r="I1560" s="901">
        <f>GLOBAL_DER_FEV_2023!I1560</f>
        <v>10.9</v>
      </c>
      <c r="J1560" s="902">
        <f>GLOBAL_DER_FEV_2023!J1560</f>
        <v>13.09</v>
      </c>
      <c r="K1560" s="903" t="s">
        <v>62</v>
      </c>
      <c r="L1560" s="1137"/>
      <c r="M1560" s="1138">
        <f t="shared" si="117"/>
        <v>0</v>
      </c>
      <c r="N1560" s="893">
        <f t="shared" si="116"/>
        <v>0</v>
      </c>
      <c r="O1560" s="905"/>
      <c r="Q1560" s="317" t="str">
        <f t="shared" si="113"/>
        <v/>
      </c>
      <c r="R1560" s="317" t="str">
        <f t="shared" si="114"/>
        <v/>
      </c>
      <c r="S1560" s="317" t="str">
        <f t="shared" si="115"/>
        <v/>
      </c>
      <c r="T1560" s="317" t="str">
        <f>GLOBAL_DER_FEV_2023!S1560</f>
        <v/>
      </c>
      <c r="W1560" s="582">
        <v>0</v>
      </c>
      <c r="X1560" s="580"/>
      <c r="Y1560" s="583">
        <f>IF(GLOBAL_DER_FEV_2023!W1560=0,0,IF(GLOBAL_DER_FEV_2023!W1560&gt;0,"c","b"))</f>
        <v>0</v>
      </c>
    </row>
    <row r="1561" spans="1:25" ht="23.25" hidden="1" thickBot="1" x14ac:dyDescent="0.25">
      <c r="A1561" s="317">
        <v>98261</v>
      </c>
      <c r="B1561" s="895">
        <v>98261</v>
      </c>
      <c r="C1561" s="896" t="s">
        <v>596</v>
      </c>
      <c r="D1561" s="906" t="s">
        <v>1486</v>
      </c>
      <c r="E1561" s="907">
        <f>GLOBAL_DER_FEV_2023!E1561</f>
        <v>0</v>
      </c>
      <c r="F1561" s="908">
        <f>GLOBAL_DER_FEV_2023!F1561</f>
        <v>0</v>
      </c>
      <c r="G1561" s="912">
        <f>GLOBAL_DER_FEV_2023!G1561</f>
        <v>0</v>
      </c>
      <c r="H1561" s="901">
        <f>GLOBAL_DER_FEV_2023!H1561</f>
        <v>4.59</v>
      </c>
      <c r="I1561" s="901">
        <f>GLOBAL_DER_FEV_2023!I1561</f>
        <v>4.59</v>
      </c>
      <c r="J1561" s="902">
        <f>GLOBAL_DER_FEV_2023!J1561</f>
        <v>5.51</v>
      </c>
      <c r="K1561" s="903" t="s">
        <v>62</v>
      </c>
      <c r="L1561" s="1137"/>
      <c r="M1561" s="1138">
        <f t="shared" si="117"/>
        <v>0</v>
      </c>
      <c r="N1561" s="893">
        <f t="shared" si="116"/>
        <v>0</v>
      </c>
      <c r="O1561" s="905"/>
      <c r="Q1561" s="317" t="str">
        <f t="shared" si="113"/>
        <v/>
      </c>
      <c r="R1561" s="317" t="str">
        <f t="shared" si="114"/>
        <v/>
      </c>
      <c r="S1561" s="317" t="str">
        <f t="shared" si="115"/>
        <v/>
      </c>
      <c r="T1561" s="317" t="str">
        <f>GLOBAL_DER_FEV_2023!S1561</f>
        <v/>
      </c>
      <c r="W1561" s="582">
        <v>0</v>
      </c>
      <c r="X1561" s="580"/>
      <c r="Y1561" s="583">
        <f>IF(GLOBAL_DER_FEV_2023!W1561=0,0,IF(GLOBAL_DER_FEV_2023!W1561&gt;0,"c","b"))</f>
        <v>0</v>
      </c>
    </row>
    <row r="1562" spans="1:25" ht="23.25" hidden="1" thickBot="1" x14ac:dyDescent="0.25">
      <c r="A1562" s="317">
        <v>98262</v>
      </c>
      <c r="B1562" s="895">
        <v>98262</v>
      </c>
      <c r="C1562" s="896" t="s">
        <v>596</v>
      </c>
      <c r="D1562" s="906" t="s">
        <v>1487</v>
      </c>
      <c r="E1562" s="907">
        <f>GLOBAL_DER_FEV_2023!E1562</f>
        <v>0</v>
      </c>
      <c r="F1562" s="908">
        <f>GLOBAL_DER_FEV_2023!F1562</f>
        <v>0</v>
      </c>
      <c r="G1562" s="912">
        <f>GLOBAL_DER_FEV_2023!G1562</f>
        <v>0</v>
      </c>
      <c r="H1562" s="901">
        <f>GLOBAL_DER_FEV_2023!H1562</f>
        <v>5.63</v>
      </c>
      <c r="I1562" s="901">
        <f>GLOBAL_DER_FEV_2023!I1562</f>
        <v>5.63</v>
      </c>
      <c r="J1562" s="902">
        <f>GLOBAL_DER_FEV_2023!J1562</f>
        <v>6.76</v>
      </c>
      <c r="K1562" s="903" t="s">
        <v>62</v>
      </c>
      <c r="L1562" s="1137"/>
      <c r="M1562" s="1138">
        <f t="shared" si="117"/>
        <v>0</v>
      </c>
      <c r="N1562" s="893">
        <f t="shared" si="116"/>
        <v>0</v>
      </c>
      <c r="O1562" s="905"/>
      <c r="Q1562" s="317" t="str">
        <f t="shared" si="113"/>
        <v/>
      </c>
      <c r="R1562" s="317" t="str">
        <f t="shared" si="114"/>
        <v/>
      </c>
      <c r="S1562" s="317" t="str">
        <f t="shared" si="115"/>
        <v/>
      </c>
      <c r="T1562" s="317" t="str">
        <f>GLOBAL_DER_FEV_2023!S1562</f>
        <v/>
      </c>
      <c r="W1562" s="582">
        <v>0</v>
      </c>
      <c r="X1562" s="580"/>
      <c r="Y1562" s="583">
        <f>IF(GLOBAL_DER_FEV_2023!W1562=0,0,IF(GLOBAL_DER_FEV_2023!W1562&gt;0,"c","b"))</f>
        <v>0</v>
      </c>
    </row>
    <row r="1563" spans="1:25" ht="23.25" hidden="1" thickBot="1" x14ac:dyDescent="0.25">
      <c r="A1563" s="317">
        <v>98263</v>
      </c>
      <c r="B1563" s="895">
        <v>98263</v>
      </c>
      <c r="C1563" s="896" t="s">
        <v>596</v>
      </c>
      <c r="D1563" s="906" t="s">
        <v>1488</v>
      </c>
      <c r="E1563" s="907">
        <f>GLOBAL_DER_FEV_2023!E1563</f>
        <v>0</v>
      </c>
      <c r="F1563" s="908">
        <f>GLOBAL_DER_FEV_2023!F1563</f>
        <v>0</v>
      </c>
      <c r="G1563" s="912">
        <f>GLOBAL_DER_FEV_2023!G1563</f>
        <v>0</v>
      </c>
      <c r="H1563" s="901">
        <f>GLOBAL_DER_FEV_2023!H1563</f>
        <v>5.89</v>
      </c>
      <c r="I1563" s="901">
        <f>GLOBAL_DER_FEV_2023!I1563</f>
        <v>5.89</v>
      </c>
      <c r="J1563" s="902">
        <f>GLOBAL_DER_FEV_2023!J1563</f>
        <v>7.07</v>
      </c>
      <c r="K1563" s="903" t="s">
        <v>62</v>
      </c>
      <c r="L1563" s="1137"/>
      <c r="M1563" s="1138">
        <f t="shared" si="117"/>
        <v>0</v>
      </c>
      <c r="N1563" s="893">
        <f t="shared" si="116"/>
        <v>0</v>
      </c>
      <c r="O1563" s="905"/>
      <c r="Q1563" s="317" t="str">
        <f t="shared" ref="Q1563:Q1626" si="118">IF(P1563="X","x",IF(P1563="xx","x",IF(P1563="xy","x",IF(P1563="y","x",IF(OR(N1563&gt;0,N1563&gt;0),"x","")))))</f>
        <v/>
      </c>
      <c r="R1563" s="317" t="str">
        <f t="shared" si="114"/>
        <v/>
      </c>
      <c r="S1563" s="317" t="str">
        <f t="shared" si="115"/>
        <v/>
      </c>
      <c r="T1563" s="317" t="str">
        <f>GLOBAL_DER_FEV_2023!S1563</f>
        <v/>
      </c>
      <c r="W1563" s="582">
        <v>0</v>
      </c>
      <c r="X1563" s="580"/>
      <c r="Y1563" s="583">
        <f>IF(GLOBAL_DER_FEV_2023!W1563=0,0,IF(GLOBAL_DER_FEV_2023!W1563&gt;0,"c","b"))</f>
        <v>0</v>
      </c>
    </row>
    <row r="1564" spans="1:25" ht="23.25" hidden="1" thickBot="1" x14ac:dyDescent="0.25">
      <c r="A1564" s="317">
        <v>98264</v>
      </c>
      <c r="B1564" s="895">
        <v>98264</v>
      </c>
      <c r="C1564" s="896" t="s">
        <v>596</v>
      </c>
      <c r="D1564" s="906" t="s">
        <v>1489</v>
      </c>
      <c r="E1564" s="907">
        <f>GLOBAL_DER_FEV_2023!E1564</f>
        <v>0</v>
      </c>
      <c r="F1564" s="908">
        <f>GLOBAL_DER_FEV_2023!F1564</f>
        <v>0</v>
      </c>
      <c r="G1564" s="912">
        <f>GLOBAL_DER_FEV_2023!G1564</f>
        <v>0</v>
      </c>
      <c r="H1564" s="901">
        <f>GLOBAL_DER_FEV_2023!H1564</f>
        <v>6.99</v>
      </c>
      <c r="I1564" s="901">
        <f>GLOBAL_DER_FEV_2023!I1564</f>
        <v>6.99</v>
      </c>
      <c r="J1564" s="902">
        <f>GLOBAL_DER_FEV_2023!J1564</f>
        <v>8.39</v>
      </c>
      <c r="K1564" s="903" t="s">
        <v>62</v>
      </c>
      <c r="L1564" s="1137"/>
      <c r="M1564" s="1138">
        <f t="shared" si="117"/>
        <v>0</v>
      </c>
      <c r="N1564" s="893">
        <f t="shared" si="116"/>
        <v>0</v>
      </c>
      <c r="O1564" s="905"/>
      <c r="Q1564" s="317" t="str">
        <f t="shared" si="118"/>
        <v/>
      </c>
      <c r="R1564" s="317" t="str">
        <f t="shared" si="114"/>
        <v/>
      </c>
      <c r="S1564" s="317" t="str">
        <f t="shared" si="115"/>
        <v/>
      </c>
      <c r="T1564" s="317" t="str">
        <f>GLOBAL_DER_FEV_2023!S1564</f>
        <v/>
      </c>
      <c r="W1564" s="582">
        <v>0</v>
      </c>
      <c r="X1564" s="580"/>
      <c r="Y1564" s="583">
        <f>IF(GLOBAL_DER_FEV_2023!W1564=0,0,IF(GLOBAL_DER_FEV_2023!W1564&gt;0,"c","b"))</f>
        <v>0</v>
      </c>
    </row>
    <row r="1565" spans="1:25" ht="23.25" hidden="1" thickBot="1" x14ac:dyDescent="0.25">
      <c r="A1565" s="317">
        <v>98265</v>
      </c>
      <c r="B1565" s="895">
        <v>98265</v>
      </c>
      <c r="C1565" s="896" t="s">
        <v>596</v>
      </c>
      <c r="D1565" s="906" t="s">
        <v>1490</v>
      </c>
      <c r="E1565" s="907">
        <f>GLOBAL_DER_FEV_2023!E1565</f>
        <v>0</v>
      </c>
      <c r="F1565" s="908">
        <f>GLOBAL_DER_FEV_2023!F1565</f>
        <v>0</v>
      </c>
      <c r="G1565" s="912">
        <f>GLOBAL_DER_FEV_2023!G1565</f>
        <v>0</v>
      </c>
      <c r="H1565" s="901">
        <f>GLOBAL_DER_FEV_2023!H1565</f>
        <v>7.72</v>
      </c>
      <c r="I1565" s="901">
        <f>GLOBAL_DER_FEV_2023!I1565</f>
        <v>7.72</v>
      </c>
      <c r="J1565" s="902">
        <f>GLOBAL_DER_FEV_2023!J1565</f>
        <v>9.27</v>
      </c>
      <c r="K1565" s="903" t="s">
        <v>62</v>
      </c>
      <c r="L1565" s="1137"/>
      <c r="M1565" s="1138">
        <f t="shared" si="117"/>
        <v>0</v>
      </c>
      <c r="N1565" s="893">
        <f t="shared" si="116"/>
        <v>0</v>
      </c>
      <c r="O1565" s="905"/>
      <c r="Q1565" s="317" t="str">
        <f t="shared" si="118"/>
        <v/>
      </c>
      <c r="R1565" s="317" t="str">
        <f t="shared" ref="R1565:R1628" si="119">IF(P1565="X","x",IF(P1565="y","x",IF(P1565="xx","x",IF(N1565&gt;0,"x",""))))</f>
        <v/>
      </c>
      <c r="S1565" s="317" t="str">
        <f t="shared" ref="S1565:S1628" si="120">IF(P1565="X","x",IF(N1565&gt;0,"x",""))</f>
        <v/>
      </c>
      <c r="T1565" s="317" t="str">
        <f>GLOBAL_DER_FEV_2023!S1565</f>
        <v/>
      </c>
      <c r="W1565" s="582">
        <v>0</v>
      </c>
      <c r="X1565" s="580"/>
      <c r="Y1565" s="583">
        <f>IF(GLOBAL_DER_FEV_2023!W1565=0,0,IF(GLOBAL_DER_FEV_2023!W1565&gt;0,"c","b"))</f>
        <v>0</v>
      </c>
    </row>
    <row r="1566" spans="1:25" ht="23.25" hidden="1" thickBot="1" x14ac:dyDescent="0.25">
      <c r="A1566" s="317">
        <v>98266</v>
      </c>
      <c r="B1566" s="895">
        <v>98266</v>
      </c>
      <c r="C1566" s="896" t="s">
        <v>596</v>
      </c>
      <c r="D1566" s="906" t="s">
        <v>1491</v>
      </c>
      <c r="E1566" s="907">
        <f>GLOBAL_DER_FEV_2023!E1566</f>
        <v>0</v>
      </c>
      <c r="F1566" s="908">
        <f>GLOBAL_DER_FEV_2023!F1566</f>
        <v>0</v>
      </c>
      <c r="G1566" s="912">
        <f>GLOBAL_DER_FEV_2023!G1566</f>
        <v>0</v>
      </c>
      <c r="H1566" s="901">
        <f>GLOBAL_DER_FEV_2023!H1566</f>
        <v>8.73</v>
      </c>
      <c r="I1566" s="901">
        <f>GLOBAL_DER_FEV_2023!I1566</f>
        <v>8.73</v>
      </c>
      <c r="J1566" s="902">
        <f>GLOBAL_DER_FEV_2023!J1566</f>
        <v>10.48</v>
      </c>
      <c r="K1566" s="903" t="s">
        <v>62</v>
      </c>
      <c r="L1566" s="1137"/>
      <c r="M1566" s="1138">
        <f t="shared" si="117"/>
        <v>0</v>
      </c>
      <c r="N1566" s="893">
        <f t="shared" si="116"/>
        <v>0</v>
      </c>
      <c r="O1566" s="905"/>
      <c r="Q1566" s="317" t="str">
        <f t="shared" si="118"/>
        <v/>
      </c>
      <c r="R1566" s="317" t="str">
        <f t="shared" si="119"/>
        <v/>
      </c>
      <c r="S1566" s="317" t="str">
        <f t="shared" si="120"/>
        <v/>
      </c>
      <c r="T1566" s="317" t="str">
        <f>GLOBAL_DER_FEV_2023!S1566</f>
        <v/>
      </c>
      <c r="W1566" s="582">
        <v>0</v>
      </c>
      <c r="X1566" s="580"/>
      <c r="Y1566" s="583">
        <f>IF(GLOBAL_DER_FEV_2023!W1566=0,0,IF(GLOBAL_DER_FEV_2023!W1566&gt;0,"c","b"))</f>
        <v>0</v>
      </c>
    </row>
    <row r="1567" spans="1:25" ht="23.25" hidden="1" thickBot="1" x14ac:dyDescent="0.25">
      <c r="A1567" s="317">
        <v>98273</v>
      </c>
      <c r="B1567" s="895">
        <v>98273</v>
      </c>
      <c r="C1567" s="896" t="s">
        <v>596</v>
      </c>
      <c r="D1567" s="906" t="s">
        <v>1492</v>
      </c>
      <c r="E1567" s="907">
        <f>GLOBAL_DER_FEV_2023!E1567</f>
        <v>0</v>
      </c>
      <c r="F1567" s="908">
        <f>GLOBAL_DER_FEV_2023!F1567</f>
        <v>0</v>
      </c>
      <c r="G1567" s="912">
        <f>GLOBAL_DER_FEV_2023!G1567</f>
        <v>0</v>
      </c>
      <c r="H1567" s="901">
        <f>GLOBAL_DER_FEV_2023!H1567</f>
        <v>3.37</v>
      </c>
      <c r="I1567" s="901">
        <f>GLOBAL_DER_FEV_2023!I1567</f>
        <v>3.37</v>
      </c>
      <c r="J1567" s="902">
        <f>GLOBAL_DER_FEV_2023!J1567</f>
        <v>4.05</v>
      </c>
      <c r="K1567" s="903" t="s">
        <v>62</v>
      </c>
      <c r="L1567" s="1137"/>
      <c r="M1567" s="1138">
        <f t="shared" si="117"/>
        <v>0</v>
      </c>
      <c r="N1567" s="893">
        <f t="shared" si="116"/>
        <v>0</v>
      </c>
      <c r="O1567" s="905"/>
      <c r="Q1567" s="317" t="str">
        <f t="shared" si="118"/>
        <v/>
      </c>
      <c r="R1567" s="317" t="str">
        <f t="shared" si="119"/>
        <v/>
      </c>
      <c r="S1567" s="317" t="str">
        <f t="shared" si="120"/>
        <v/>
      </c>
      <c r="T1567" s="317" t="str">
        <f>GLOBAL_DER_FEV_2023!S1567</f>
        <v/>
      </c>
      <c r="W1567" s="582">
        <v>0</v>
      </c>
      <c r="X1567" s="580"/>
      <c r="Y1567" s="583">
        <f>IF(GLOBAL_DER_FEV_2023!W1567=0,0,IF(GLOBAL_DER_FEV_2023!W1567&gt;0,"c","b"))</f>
        <v>0</v>
      </c>
    </row>
    <row r="1568" spans="1:25" ht="23.25" hidden="1" thickBot="1" x14ac:dyDescent="0.25">
      <c r="A1568" s="317">
        <v>98274</v>
      </c>
      <c r="B1568" s="895">
        <v>98274</v>
      </c>
      <c r="C1568" s="896" t="s">
        <v>596</v>
      </c>
      <c r="D1568" s="906" t="s">
        <v>1493</v>
      </c>
      <c r="E1568" s="907">
        <f>GLOBAL_DER_FEV_2023!E1568</f>
        <v>0</v>
      </c>
      <c r="F1568" s="908">
        <f>GLOBAL_DER_FEV_2023!F1568</f>
        <v>0</v>
      </c>
      <c r="G1568" s="912">
        <f>GLOBAL_DER_FEV_2023!G1568</f>
        <v>0</v>
      </c>
      <c r="H1568" s="901">
        <f>GLOBAL_DER_FEV_2023!H1568</f>
        <v>4.0999999999999996</v>
      </c>
      <c r="I1568" s="901">
        <f>GLOBAL_DER_FEV_2023!I1568</f>
        <v>4.0999999999999996</v>
      </c>
      <c r="J1568" s="902">
        <f>GLOBAL_DER_FEV_2023!J1568</f>
        <v>4.92</v>
      </c>
      <c r="K1568" s="903" t="s">
        <v>62</v>
      </c>
      <c r="L1568" s="1137"/>
      <c r="M1568" s="1138">
        <f t="shared" si="117"/>
        <v>0</v>
      </c>
      <c r="N1568" s="893">
        <f t="shared" si="116"/>
        <v>0</v>
      </c>
      <c r="O1568" s="905"/>
      <c r="Q1568" s="317" t="str">
        <f t="shared" si="118"/>
        <v/>
      </c>
      <c r="R1568" s="317" t="str">
        <f t="shared" si="119"/>
        <v/>
      </c>
      <c r="S1568" s="317" t="str">
        <f t="shared" si="120"/>
        <v/>
      </c>
      <c r="T1568" s="317" t="str">
        <f>GLOBAL_DER_FEV_2023!S1568</f>
        <v/>
      </c>
      <c r="W1568" s="582">
        <v>0</v>
      </c>
      <c r="X1568" s="580"/>
      <c r="Y1568" s="583">
        <f>IF(GLOBAL_DER_FEV_2023!W1568=0,0,IF(GLOBAL_DER_FEV_2023!W1568&gt;0,"c","b"))</f>
        <v>0</v>
      </c>
    </row>
    <row r="1569" spans="1:25" ht="23.25" hidden="1" thickBot="1" x14ac:dyDescent="0.25">
      <c r="A1569" s="317">
        <v>98275</v>
      </c>
      <c r="B1569" s="895">
        <v>98275</v>
      </c>
      <c r="C1569" s="896" t="s">
        <v>596</v>
      </c>
      <c r="D1569" s="906" t="s">
        <v>1494</v>
      </c>
      <c r="E1569" s="907">
        <f>GLOBAL_DER_FEV_2023!E1569</f>
        <v>0</v>
      </c>
      <c r="F1569" s="908">
        <f>GLOBAL_DER_FEV_2023!F1569</f>
        <v>0</v>
      </c>
      <c r="G1569" s="912">
        <f>GLOBAL_DER_FEV_2023!G1569</f>
        <v>0</v>
      </c>
      <c r="H1569" s="901">
        <f>GLOBAL_DER_FEV_2023!H1569</f>
        <v>5.1100000000000003</v>
      </c>
      <c r="I1569" s="901">
        <f>GLOBAL_DER_FEV_2023!I1569</f>
        <v>5.1100000000000003</v>
      </c>
      <c r="J1569" s="902">
        <f>GLOBAL_DER_FEV_2023!J1569</f>
        <v>6.14</v>
      </c>
      <c r="K1569" s="903" t="s">
        <v>62</v>
      </c>
      <c r="L1569" s="1137"/>
      <c r="M1569" s="1138">
        <f t="shared" si="117"/>
        <v>0</v>
      </c>
      <c r="N1569" s="893">
        <f t="shared" ref="N1569:N1632" si="121">IF(ISBLANK(L1569),0,IF(W1569=0,ROUND(L1569*M1569,2),IF(W1569="b",ROUNDDOWN(L1569*M1569,2),ROUNDUP(L1569*M1569,2))))</f>
        <v>0</v>
      </c>
      <c r="O1569" s="905"/>
      <c r="Q1569" s="317" t="str">
        <f t="shared" si="118"/>
        <v/>
      </c>
      <c r="R1569" s="317" t="str">
        <f t="shared" si="119"/>
        <v/>
      </c>
      <c r="S1569" s="317" t="str">
        <f t="shared" si="120"/>
        <v/>
      </c>
      <c r="T1569" s="317" t="str">
        <f>GLOBAL_DER_FEV_2023!S1569</f>
        <v/>
      </c>
      <c r="W1569" s="582">
        <v>0</v>
      </c>
      <c r="X1569" s="580"/>
      <c r="Y1569" s="583">
        <f>IF(GLOBAL_DER_FEV_2023!W1569=0,0,IF(GLOBAL_DER_FEV_2023!W1569&gt;0,"c","b"))</f>
        <v>0</v>
      </c>
    </row>
    <row r="1570" spans="1:25" ht="23.25" hidden="1" thickBot="1" x14ac:dyDescent="0.25">
      <c r="A1570" s="317">
        <v>98280</v>
      </c>
      <c r="B1570" s="895">
        <v>98280</v>
      </c>
      <c r="C1570" s="896" t="s">
        <v>596</v>
      </c>
      <c r="D1570" s="906" t="s">
        <v>1495</v>
      </c>
      <c r="E1570" s="907">
        <f>GLOBAL_DER_FEV_2023!E1570</f>
        <v>0</v>
      </c>
      <c r="F1570" s="908">
        <f>GLOBAL_DER_FEV_2023!F1570</f>
        <v>0</v>
      </c>
      <c r="G1570" s="912">
        <f>GLOBAL_DER_FEV_2023!G1570</f>
        <v>0</v>
      </c>
      <c r="H1570" s="901">
        <f>GLOBAL_DER_FEV_2023!H1570</f>
        <v>9.25</v>
      </c>
      <c r="I1570" s="901">
        <f>GLOBAL_DER_FEV_2023!I1570</f>
        <v>9.25</v>
      </c>
      <c r="J1570" s="902">
        <f>GLOBAL_DER_FEV_2023!J1570</f>
        <v>11.11</v>
      </c>
      <c r="K1570" s="903" t="s">
        <v>62</v>
      </c>
      <c r="L1570" s="1137"/>
      <c r="M1570" s="1138">
        <f t="shared" si="117"/>
        <v>0</v>
      </c>
      <c r="N1570" s="893">
        <f t="shared" si="121"/>
        <v>0</v>
      </c>
      <c r="O1570" s="905"/>
      <c r="Q1570" s="317" t="str">
        <f t="shared" si="118"/>
        <v/>
      </c>
      <c r="R1570" s="317" t="str">
        <f t="shared" si="119"/>
        <v/>
      </c>
      <c r="S1570" s="317" t="str">
        <f t="shared" si="120"/>
        <v/>
      </c>
      <c r="T1570" s="317" t="str">
        <f>GLOBAL_DER_FEV_2023!S1570</f>
        <v/>
      </c>
      <c r="W1570" s="582">
        <v>0</v>
      </c>
      <c r="X1570" s="580"/>
      <c r="Y1570" s="583">
        <f>IF(GLOBAL_DER_FEV_2023!W1570=0,0,IF(GLOBAL_DER_FEV_2023!W1570&gt;0,"c","b"))</f>
        <v>0</v>
      </c>
    </row>
    <row r="1571" spans="1:25" ht="23.25" hidden="1" thickBot="1" x14ac:dyDescent="0.25">
      <c r="A1571" s="317">
        <v>98281</v>
      </c>
      <c r="B1571" s="895">
        <v>98281</v>
      </c>
      <c r="C1571" s="896" t="s">
        <v>596</v>
      </c>
      <c r="D1571" s="906" t="s">
        <v>1496</v>
      </c>
      <c r="E1571" s="907">
        <f>GLOBAL_DER_FEV_2023!E1571</f>
        <v>0</v>
      </c>
      <c r="F1571" s="908">
        <f>GLOBAL_DER_FEV_2023!F1571</f>
        <v>0</v>
      </c>
      <c r="G1571" s="912">
        <f>GLOBAL_DER_FEV_2023!G1571</f>
        <v>0</v>
      </c>
      <c r="H1571" s="901">
        <f>GLOBAL_DER_FEV_2023!H1571</f>
        <v>10.28</v>
      </c>
      <c r="I1571" s="901">
        <f>GLOBAL_DER_FEV_2023!I1571</f>
        <v>10.28</v>
      </c>
      <c r="J1571" s="902">
        <f>GLOBAL_DER_FEV_2023!J1571</f>
        <v>12.34</v>
      </c>
      <c r="K1571" s="903" t="s">
        <v>62</v>
      </c>
      <c r="L1571" s="1137"/>
      <c r="M1571" s="1138">
        <f t="shared" si="117"/>
        <v>0</v>
      </c>
      <c r="N1571" s="893">
        <f t="shared" si="121"/>
        <v>0</v>
      </c>
      <c r="O1571" s="905"/>
      <c r="Q1571" s="317" t="str">
        <f t="shared" si="118"/>
        <v/>
      </c>
      <c r="R1571" s="317" t="str">
        <f t="shared" si="119"/>
        <v/>
      </c>
      <c r="S1571" s="317" t="str">
        <f t="shared" si="120"/>
        <v/>
      </c>
      <c r="T1571" s="317" t="str">
        <f>GLOBAL_DER_FEV_2023!S1571</f>
        <v/>
      </c>
      <c r="W1571" s="582">
        <v>0</v>
      </c>
      <c r="X1571" s="580"/>
      <c r="Y1571" s="583">
        <f>IF(GLOBAL_DER_FEV_2023!W1571=0,0,IF(GLOBAL_DER_FEV_2023!W1571&gt;0,"c","b"))</f>
        <v>0</v>
      </c>
    </row>
    <row r="1572" spans="1:25" ht="23.25" hidden="1" thickBot="1" x14ac:dyDescent="0.25">
      <c r="A1572" s="317">
        <v>98282</v>
      </c>
      <c r="B1572" s="895">
        <v>98282</v>
      </c>
      <c r="C1572" s="896" t="s">
        <v>596</v>
      </c>
      <c r="D1572" s="906" t="s">
        <v>1497</v>
      </c>
      <c r="E1572" s="907">
        <f>GLOBAL_DER_FEV_2023!E1572</f>
        <v>0</v>
      </c>
      <c r="F1572" s="908">
        <f>GLOBAL_DER_FEV_2023!F1572</f>
        <v>0</v>
      </c>
      <c r="G1572" s="912">
        <f>GLOBAL_DER_FEV_2023!G1572</f>
        <v>0</v>
      </c>
      <c r="H1572" s="901">
        <f>GLOBAL_DER_FEV_2023!H1572</f>
        <v>10.53</v>
      </c>
      <c r="I1572" s="901">
        <f>GLOBAL_DER_FEV_2023!I1572</f>
        <v>10.53</v>
      </c>
      <c r="J1572" s="902">
        <f>GLOBAL_DER_FEV_2023!J1572</f>
        <v>12.64</v>
      </c>
      <c r="K1572" s="903" t="s">
        <v>62</v>
      </c>
      <c r="L1572" s="1137"/>
      <c r="M1572" s="1138">
        <f t="shared" si="117"/>
        <v>0</v>
      </c>
      <c r="N1572" s="893">
        <f t="shared" si="121"/>
        <v>0</v>
      </c>
      <c r="O1572" s="905"/>
      <c r="Q1572" s="317" t="str">
        <f t="shared" si="118"/>
        <v/>
      </c>
      <c r="R1572" s="317" t="str">
        <f t="shared" si="119"/>
        <v/>
      </c>
      <c r="S1572" s="317" t="str">
        <f t="shared" si="120"/>
        <v/>
      </c>
      <c r="T1572" s="317" t="str">
        <f>GLOBAL_DER_FEV_2023!S1572</f>
        <v/>
      </c>
      <c r="W1572" s="582">
        <v>0</v>
      </c>
      <c r="X1572" s="580"/>
      <c r="Y1572" s="583">
        <f>IF(GLOBAL_DER_FEV_2023!W1572=0,0,IF(GLOBAL_DER_FEV_2023!W1572&gt;0,"c","b"))</f>
        <v>0</v>
      </c>
    </row>
    <row r="1573" spans="1:25" ht="23.25" hidden="1" thickBot="1" x14ac:dyDescent="0.25">
      <c r="A1573" s="317">
        <v>98283</v>
      </c>
      <c r="B1573" s="895">
        <v>98283</v>
      </c>
      <c r="C1573" s="896" t="s">
        <v>596</v>
      </c>
      <c r="D1573" s="906" t="s">
        <v>1498</v>
      </c>
      <c r="E1573" s="907">
        <f>GLOBAL_DER_FEV_2023!E1573</f>
        <v>0</v>
      </c>
      <c r="F1573" s="908">
        <f>GLOBAL_DER_FEV_2023!F1573</f>
        <v>0</v>
      </c>
      <c r="G1573" s="912">
        <f>GLOBAL_DER_FEV_2023!G1573</f>
        <v>0</v>
      </c>
      <c r="H1573" s="901">
        <f>GLOBAL_DER_FEV_2023!H1573</f>
        <v>11.64</v>
      </c>
      <c r="I1573" s="901">
        <f>GLOBAL_DER_FEV_2023!I1573</f>
        <v>11.64</v>
      </c>
      <c r="J1573" s="902">
        <f>GLOBAL_DER_FEV_2023!J1573</f>
        <v>13.98</v>
      </c>
      <c r="K1573" s="903" t="s">
        <v>62</v>
      </c>
      <c r="L1573" s="1137"/>
      <c r="M1573" s="1138">
        <f t="shared" si="117"/>
        <v>0</v>
      </c>
      <c r="N1573" s="893">
        <f t="shared" si="121"/>
        <v>0</v>
      </c>
      <c r="O1573" s="905"/>
      <c r="Q1573" s="317" t="str">
        <f t="shared" si="118"/>
        <v/>
      </c>
      <c r="R1573" s="317" t="str">
        <f t="shared" si="119"/>
        <v/>
      </c>
      <c r="S1573" s="317" t="str">
        <f t="shared" si="120"/>
        <v/>
      </c>
      <c r="T1573" s="317" t="str">
        <f>GLOBAL_DER_FEV_2023!S1573</f>
        <v/>
      </c>
      <c r="W1573" s="582">
        <v>0</v>
      </c>
      <c r="X1573" s="580"/>
      <c r="Y1573" s="583">
        <f>IF(GLOBAL_DER_FEV_2023!W1573=0,0,IF(GLOBAL_DER_FEV_2023!W1573&gt;0,"c","b"))</f>
        <v>0</v>
      </c>
    </row>
    <row r="1574" spans="1:25" ht="23.25" hidden="1" thickBot="1" x14ac:dyDescent="0.25">
      <c r="A1574" s="317">
        <v>98284</v>
      </c>
      <c r="B1574" s="895">
        <v>98284</v>
      </c>
      <c r="C1574" s="896" t="s">
        <v>596</v>
      </c>
      <c r="D1574" s="906" t="s">
        <v>1499</v>
      </c>
      <c r="E1574" s="907">
        <f>GLOBAL_DER_FEV_2023!E1574</f>
        <v>0</v>
      </c>
      <c r="F1574" s="908">
        <f>GLOBAL_DER_FEV_2023!F1574</f>
        <v>0</v>
      </c>
      <c r="G1574" s="912">
        <f>GLOBAL_DER_FEV_2023!G1574</f>
        <v>0</v>
      </c>
      <c r="H1574" s="901">
        <f>GLOBAL_DER_FEV_2023!H1574</f>
        <v>12.36</v>
      </c>
      <c r="I1574" s="901">
        <f>GLOBAL_DER_FEV_2023!I1574</f>
        <v>12.36</v>
      </c>
      <c r="J1574" s="902">
        <f>GLOBAL_DER_FEV_2023!J1574</f>
        <v>14.84</v>
      </c>
      <c r="K1574" s="903" t="s">
        <v>62</v>
      </c>
      <c r="L1574" s="1137"/>
      <c r="M1574" s="1138">
        <f t="shared" si="117"/>
        <v>0</v>
      </c>
      <c r="N1574" s="893">
        <f t="shared" si="121"/>
        <v>0</v>
      </c>
      <c r="O1574" s="905"/>
      <c r="Q1574" s="317" t="str">
        <f t="shared" si="118"/>
        <v/>
      </c>
      <c r="R1574" s="317" t="str">
        <f t="shared" si="119"/>
        <v/>
      </c>
      <c r="S1574" s="317" t="str">
        <f t="shared" si="120"/>
        <v/>
      </c>
      <c r="T1574" s="317" t="str">
        <f>GLOBAL_DER_FEV_2023!S1574</f>
        <v/>
      </c>
      <c r="W1574" s="582">
        <v>0</v>
      </c>
      <c r="X1574" s="580"/>
      <c r="Y1574" s="583">
        <f>IF(GLOBAL_DER_FEV_2023!W1574=0,0,IF(GLOBAL_DER_FEV_2023!W1574&gt;0,"c","b"))</f>
        <v>0</v>
      </c>
    </row>
    <row r="1575" spans="1:25" ht="23.25" hidden="1" thickBot="1" x14ac:dyDescent="0.25">
      <c r="A1575" s="317">
        <v>98285</v>
      </c>
      <c r="B1575" s="895">
        <v>98285</v>
      </c>
      <c r="C1575" s="896" t="s">
        <v>596</v>
      </c>
      <c r="D1575" s="906" t="s">
        <v>1500</v>
      </c>
      <c r="E1575" s="907">
        <f>GLOBAL_DER_FEV_2023!E1575</f>
        <v>0</v>
      </c>
      <c r="F1575" s="908">
        <f>GLOBAL_DER_FEV_2023!F1575</f>
        <v>0</v>
      </c>
      <c r="G1575" s="912">
        <f>GLOBAL_DER_FEV_2023!G1575</f>
        <v>0</v>
      </c>
      <c r="H1575" s="901">
        <f>GLOBAL_DER_FEV_2023!H1575</f>
        <v>13.38</v>
      </c>
      <c r="I1575" s="901">
        <f>GLOBAL_DER_FEV_2023!I1575</f>
        <v>13.38</v>
      </c>
      <c r="J1575" s="902">
        <f>GLOBAL_DER_FEV_2023!J1575</f>
        <v>16.07</v>
      </c>
      <c r="K1575" s="903" t="s">
        <v>62</v>
      </c>
      <c r="L1575" s="1137"/>
      <c r="M1575" s="1138">
        <f t="shared" si="117"/>
        <v>0</v>
      </c>
      <c r="N1575" s="893">
        <f t="shared" si="121"/>
        <v>0</v>
      </c>
      <c r="O1575" s="905"/>
      <c r="Q1575" s="317" t="str">
        <f t="shared" si="118"/>
        <v/>
      </c>
      <c r="R1575" s="317" t="str">
        <f t="shared" si="119"/>
        <v/>
      </c>
      <c r="S1575" s="317" t="str">
        <f t="shared" si="120"/>
        <v/>
      </c>
      <c r="T1575" s="317" t="str">
        <f>GLOBAL_DER_FEV_2023!S1575</f>
        <v/>
      </c>
      <c r="W1575" s="582">
        <v>0</v>
      </c>
      <c r="X1575" s="580"/>
      <c r="Y1575" s="583">
        <f>IF(GLOBAL_DER_FEV_2023!W1575=0,0,IF(GLOBAL_DER_FEV_2023!W1575&gt;0,"c","b"))</f>
        <v>0</v>
      </c>
    </row>
    <row r="1576" spans="1:25" ht="23.25" hidden="1" thickBot="1" x14ac:dyDescent="0.25">
      <c r="A1576" s="317">
        <v>98287</v>
      </c>
      <c r="B1576" s="895">
        <v>98287</v>
      </c>
      <c r="C1576" s="896" t="s">
        <v>596</v>
      </c>
      <c r="D1576" s="906" t="s">
        <v>1501</v>
      </c>
      <c r="E1576" s="907">
        <f>GLOBAL_DER_FEV_2023!E1576</f>
        <v>0</v>
      </c>
      <c r="F1576" s="908">
        <f>GLOBAL_DER_FEV_2023!F1576</f>
        <v>0</v>
      </c>
      <c r="G1576" s="912">
        <f>GLOBAL_DER_FEV_2023!G1576</f>
        <v>0</v>
      </c>
      <c r="H1576" s="901">
        <f>GLOBAL_DER_FEV_2023!H1576</f>
        <v>1.81</v>
      </c>
      <c r="I1576" s="901">
        <f>GLOBAL_DER_FEV_2023!I1576</f>
        <v>1.81</v>
      </c>
      <c r="J1576" s="902">
        <f>GLOBAL_DER_FEV_2023!J1576</f>
        <v>2.17</v>
      </c>
      <c r="K1576" s="903" t="s">
        <v>62</v>
      </c>
      <c r="L1576" s="1137"/>
      <c r="M1576" s="1138">
        <f t="shared" si="117"/>
        <v>0</v>
      </c>
      <c r="N1576" s="893">
        <f t="shared" si="121"/>
        <v>0</v>
      </c>
      <c r="O1576" s="905"/>
      <c r="Q1576" s="317" t="str">
        <f t="shared" si="118"/>
        <v/>
      </c>
      <c r="R1576" s="317" t="str">
        <f t="shared" si="119"/>
        <v/>
      </c>
      <c r="S1576" s="317" t="str">
        <f t="shared" si="120"/>
        <v/>
      </c>
      <c r="T1576" s="317" t="str">
        <f>GLOBAL_DER_FEV_2023!S1576</f>
        <v/>
      </c>
      <c r="W1576" s="582">
        <v>0</v>
      </c>
      <c r="X1576" s="580"/>
      <c r="Y1576" s="583">
        <f>IF(GLOBAL_DER_FEV_2023!W1576=0,0,IF(GLOBAL_DER_FEV_2023!W1576&gt;0,"c","b"))</f>
        <v>0</v>
      </c>
    </row>
    <row r="1577" spans="1:25" ht="23.25" hidden="1" thickBot="1" x14ac:dyDescent="0.25">
      <c r="A1577" s="317">
        <v>98288</v>
      </c>
      <c r="B1577" s="895">
        <v>98288</v>
      </c>
      <c r="C1577" s="896" t="s">
        <v>596</v>
      </c>
      <c r="D1577" s="906" t="s">
        <v>1502</v>
      </c>
      <c r="E1577" s="907">
        <f>GLOBAL_DER_FEV_2023!E1577</f>
        <v>0</v>
      </c>
      <c r="F1577" s="908">
        <f>GLOBAL_DER_FEV_2023!F1577</f>
        <v>0</v>
      </c>
      <c r="G1577" s="912">
        <f>GLOBAL_DER_FEV_2023!G1577</f>
        <v>0</v>
      </c>
      <c r="H1577" s="901">
        <f>GLOBAL_DER_FEV_2023!H1577</f>
        <v>2.83</v>
      </c>
      <c r="I1577" s="901">
        <f>GLOBAL_DER_FEV_2023!I1577</f>
        <v>2.83</v>
      </c>
      <c r="J1577" s="902">
        <f>GLOBAL_DER_FEV_2023!J1577</f>
        <v>3.4</v>
      </c>
      <c r="K1577" s="903" t="s">
        <v>62</v>
      </c>
      <c r="L1577" s="1137"/>
      <c r="M1577" s="1138">
        <f t="shared" si="117"/>
        <v>0</v>
      </c>
      <c r="N1577" s="893">
        <f t="shared" si="121"/>
        <v>0</v>
      </c>
      <c r="O1577" s="905"/>
      <c r="Q1577" s="317" t="str">
        <f t="shared" si="118"/>
        <v/>
      </c>
      <c r="R1577" s="317" t="str">
        <f t="shared" si="119"/>
        <v/>
      </c>
      <c r="S1577" s="317" t="str">
        <f t="shared" si="120"/>
        <v/>
      </c>
      <c r="T1577" s="317" t="str">
        <f>GLOBAL_DER_FEV_2023!S1577</f>
        <v/>
      </c>
      <c r="W1577" s="582">
        <v>0</v>
      </c>
      <c r="X1577" s="580"/>
      <c r="Y1577" s="583">
        <f>IF(GLOBAL_DER_FEV_2023!W1577=0,0,IF(GLOBAL_DER_FEV_2023!W1577&gt;0,"c","b"))</f>
        <v>0</v>
      </c>
    </row>
    <row r="1578" spans="1:25" ht="23.25" hidden="1" thickBot="1" x14ac:dyDescent="0.25">
      <c r="A1578" s="317">
        <v>98289</v>
      </c>
      <c r="B1578" s="895">
        <v>98289</v>
      </c>
      <c r="C1578" s="896" t="s">
        <v>596</v>
      </c>
      <c r="D1578" s="906" t="s">
        <v>1503</v>
      </c>
      <c r="E1578" s="907">
        <f>GLOBAL_DER_FEV_2023!E1578</f>
        <v>0</v>
      </c>
      <c r="F1578" s="908">
        <f>GLOBAL_DER_FEV_2023!F1578</f>
        <v>0</v>
      </c>
      <c r="G1578" s="912">
        <f>GLOBAL_DER_FEV_2023!G1578</f>
        <v>0</v>
      </c>
      <c r="H1578" s="901">
        <f>GLOBAL_DER_FEV_2023!H1578</f>
        <v>3.1</v>
      </c>
      <c r="I1578" s="901">
        <f>GLOBAL_DER_FEV_2023!I1578</f>
        <v>3.1</v>
      </c>
      <c r="J1578" s="902">
        <f>GLOBAL_DER_FEV_2023!J1578</f>
        <v>3.72</v>
      </c>
      <c r="K1578" s="903" t="s">
        <v>62</v>
      </c>
      <c r="L1578" s="1137"/>
      <c r="M1578" s="1138">
        <f t="shared" si="117"/>
        <v>0</v>
      </c>
      <c r="N1578" s="893">
        <f t="shared" si="121"/>
        <v>0</v>
      </c>
      <c r="O1578" s="905"/>
      <c r="Q1578" s="317" t="str">
        <f t="shared" si="118"/>
        <v/>
      </c>
      <c r="R1578" s="317" t="str">
        <f t="shared" si="119"/>
        <v/>
      </c>
      <c r="S1578" s="317" t="str">
        <f t="shared" si="120"/>
        <v/>
      </c>
      <c r="T1578" s="317" t="str">
        <f>GLOBAL_DER_FEV_2023!S1578</f>
        <v/>
      </c>
      <c r="W1578" s="582">
        <v>0</v>
      </c>
      <c r="X1578" s="580"/>
      <c r="Y1578" s="583">
        <f>IF(GLOBAL_DER_FEV_2023!W1578=0,0,IF(GLOBAL_DER_FEV_2023!W1578&gt;0,"c","b"))</f>
        <v>0</v>
      </c>
    </row>
    <row r="1579" spans="1:25" ht="23.25" hidden="1" thickBot="1" x14ac:dyDescent="0.25">
      <c r="A1579" s="317">
        <v>98290</v>
      </c>
      <c r="B1579" s="895">
        <v>98290</v>
      </c>
      <c r="C1579" s="896" t="s">
        <v>596</v>
      </c>
      <c r="D1579" s="906" t="s">
        <v>1504</v>
      </c>
      <c r="E1579" s="907">
        <f>GLOBAL_DER_FEV_2023!E1579</f>
        <v>0</v>
      </c>
      <c r="F1579" s="908">
        <f>GLOBAL_DER_FEV_2023!F1579</f>
        <v>0</v>
      </c>
      <c r="G1579" s="912">
        <f>GLOBAL_DER_FEV_2023!G1579</f>
        <v>0</v>
      </c>
      <c r="H1579" s="901">
        <f>GLOBAL_DER_FEV_2023!H1579</f>
        <v>4.1900000000000004</v>
      </c>
      <c r="I1579" s="901">
        <f>GLOBAL_DER_FEV_2023!I1579</f>
        <v>4.1900000000000004</v>
      </c>
      <c r="J1579" s="902">
        <f>GLOBAL_DER_FEV_2023!J1579</f>
        <v>5.03</v>
      </c>
      <c r="K1579" s="903" t="s">
        <v>62</v>
      </c>
      <c r="L1579" s="1137"/>
      <c r="M1579" s="1138">
        <f t="shared" si="117"/>
        <v>0</v>
      </c>
      <c r="N1579" s="893">
        <f t="shared" si="121"/>
        <v>0</v>
      </c>
      <c r="O1579" s="905"/>
      <c r="Q1579" s="317" t="str">
        <f t="shared" si="118"/>
        <v/>
      </c>
      <c r="R1579" s="317" t="str">
        <f t="shared" si="119"/>
        <v/>
      </c>
      <c r="S1579" s="317" t="str">
        <f t="shared" si="120"/>
        <v/>
      </c>
      <c r="T1579" s="317" t="str">
        <f>GLOBAL_DER_FEV_2023!S1579</f>
        <v/>
      </c>
      <c r="W1579" s="582">
        <v>0</v>
      </c>
      <c r="X1579" s="580"/>
      <c r="Y1579" s="583">
        <f>IF(GLOBAL_DER_FEV_2023!W1579=0,0,IF(GLOBAL_DER_FEV_2023!W1579&gt;0,"c","b"))</f>
        <v>0</v>
      </c>
    </row>
    <row r="1580" spans="1:25" ht="23.25" hidden="1" thickBot="1" x14ac:dyDescent="0.25">
      <c r="A1580" s="317">
        <v>98291</v>
      </c>
      <c r="B1580" s="895">
        <v>98291</v>
      </c>
      <c r="C1580" s="896" t="s">
        <v>596</v>
      </c>
      <c r="D1580" s="906" t="s">
        <v>1505</v>
      </c>
      <c r="E1580" s="907">
        <f>GLOBAL_DER_FEV_2023!E1580</f>
        <v>0</v>
      </c>
      <c r="F1580" s="908">
        <f>GLOBAL_DER_FEV_2023!F1580</f>
        <v>0</v>
      </c>
      <c r="G1580" s="912">
        <f>GLOBAL_DER_FEV_2023!G1580</f>
        <v>0</v>
      </c>
      <c r="H1580" s="901">
        <f>GLOBAL_DER_FEV_2023!H1580</f>
        <v>4.93</v>
      </c>
      <c r="I1580" s="901">
        <f>GLOBAL_DER_FEV_2023!I1580</f>
        <v>4.93</v>
      </c>
      <c r="J1580" s="902">
        <f>GLOBAL_DER_FEV_2023!J1580</f>
        <v>5.92</v>
      </c>
      <c r="K1580" s="903" t="s">
        <v>62</v>
      </c>
      <c r="L1580" s="1137"/>
      <c r="M1580" s="1138">
        <f t="shared" si="117"/>
        <v>0</v>
      </c>
      <c r="N1580" s="893">
        <f t="shared" si="121"/>
        <v>0</v>
      </c>
      <c r="O1580" s="905"/>
      <c r="Q1580" s="317" t="str">
        <f t="shared" si="118"/>
        <v/>
      </c>
      <c r="R1580" s="317" t="str">
        <f t="shared" si="119"/>
        <v/>
      </c>
      <c r="S1580" s="317" t="str">
        <f t="shared" si="120"/>
        <v/>
      </c>
      <c r="T1580" s="317" t="str">
        <f>GLOBAL_DER_FEV_2023!S1580</f>
        <v/>
      </c>
      <c r="W1580" s="582">
        <v>0</v>
      </c>
      <c r="X1580" s="580"/>
      <c r="Y1580" s="583">
        <f>IF(GLOBAL_DER_FEV_2023!W1580=0,0,IF(GLOBAL_DER_FEV_2023!W1580&gt;0,"c","b"))</f>
        <v>0</v>
      </c>
    </row>
    <row r="1581" spans="1:25" ht="23.25" hidden="1" thickBot="1" x14ac:dyDescent="0.25">
      <c r="A1581" s="317">
        <v>98292</v>
      </c>
      <c r="B1581" s="895">
        <v>98292</v>
      </c>
      <c r="C1581" s="896" t="s">
        <v>596</v>
      </c>
      <c r="D1581" s="906" t="s">
        <v>1506</v>
      </c>
      <c r="E1581" s="907">
        <f>GLOBAL_DER_FEV_2023!E1581</f>
        <v>0</v>
      </c>
      <c r="F1581" s="908">
        <f>GLOBAL_DER_FEV_2023!F1581</f>
        <v>0</v>
      </c>
      <c r="G1581" s="912">
        <f>GLOBAL_DER_FEV_2023!G1581</f>
        <v>0</v>
      </c>
      <c r="H1581" s="901">
        <f>GLOBAL_DER_FEV_2023!H1581</f>
        <v>5.94</v>
      </c>
      <c r="I1581" s="901">
        <f>GLOBAL_DER_FEV_2023!I1581</f>
        <v>5.94</v>
      </c>
      <c r="J1581" s="902">
        <f>GLOBAL_DER_FEV_2023!J1581</f>
        <v>7.13</v>
      </c>
      <c r="K1581" s="903" t="s">
        <v>62</v>
      </c>
      <c r="L1581" s="1137"/>
      <c r="M1581" s="1138">
        <f t="shared" si="117"/>
        <v>0</v>
      </c>
      <c r="N1581" s="893">
        <f t="shared" si="121"/>
        <v>0</v>
      </c>
      <c r="O1581" s="905"/>
      <c r="Q1581" s="317" t="str">
        <f t="shared" si="118"/>
        <v/>
      </c>
      <c r="R1581" s="317" t="str">
        <f t="shared" si="119"/>
        <v/>
      </c>
      <c r="S1581" s="317" t="str">
        <f t="shared" si="120"/>
        <v/>
      </c>
      <c r="T1581" s="317" t="str">
        <f>GLOBAL_DER_FEV_2023!S1581</f>
        <v/>
      </c>
      <c r="W1581" s="582">
        <v>0</v>
      </c>
      <c r="X1581" s="580"/>
      <c r="Y1581" s="583">
        <f>IF(GLOBAL_DER_FEV_2023!W1581=0,0,IF(GLOBAL_DER_FEV_2023!W1581&gt;0,"c","b"))</f>
        <v>0</v>
      </c>
    </row>
    <row r="1582" spans="1:25" ht="13.5" hidden="1" thickBot="1" x14ac:dyDescent="0.25">
      <c r="A1582" s="317">
        <v>98397</v>
      </c>
      <c r="B1582" s="895">
        <v>98397</v>
      </c>
      <c r="C1582" s="896" t="s">
        <v>596</v>
      </c>
      <c r="D1582" s="906" t="s">
        <v>1507</v>
      </c>
      <c r="E1582" s="907">
        <f>GLOBAL_DER_FEV_2023!E1582</f>
        <v>0</v>
      </c>
      <c r="F1582" s="908">
        <f>GLOBAL_DER_FEV_2023!F1582</f>
        <v>0</v>
      </c>
      <c r="G1582" s="912">
        <f>GLOBAL_DER_FEV_2023!G1582</f>
        <v>0</v>
      </c>
      <c r="H1582" s="901">
        <f>GLOBAL_DER_FEV_2023!H1582</f>
        <v>13.82</v>
      </c>
      <c r="I1582" s="901">
        <f>GLOBAL_DER_FEV_2023!I1582</f>
        <v>13.82</v>
      </c>
      <c r="J1582" s="902">
        <f>GLOBAL_DER_FEV_2023!J1582</f>
        <v>16.59</v>
      </c>
      <c r="K1582" s="903" t="s">
        <v>1517</v>
      </c>
      <c r="L1582" s="1137"/>
      <c r="M1582" s="1138">
        <f t="shared" si="117"/>
        <v>0</v>
      </c>
      <c r="N1582" s="893">
        <f t="shared" si="121"/>
        <v>0</v>
      </c>
      <c r="O1582" s="905"/>
      <c r="Q1582" s="317" t="str">
        <f t="shared" si="118"/>
        <v/>
      </c>
      <c r="R1582" s="317" t="str">
        <f t="shared" si="119"/>
        <v/>
      </c>
      <c r="S1582" s="317" t="str">
        <f t="shared" si="120"/>
        <v/>
      </c>
      <c r="T1582" s="317" t="str">
        <f>GLOBAL_DER_FEV_2023!S1582</f>
        <v/>
      </c>
      <c r="W1582" s="582">
        <v>0</v>
      </c>
      <c r="X1582" s="580"/>
      <c r="Y1582" s="583">
        <f>IF(GLOBAL_DER_FEV_2023!W1582=0,0,IF(GLOBAL_DER_FEV_2023!W1582&gt;0,"c","b"))</f>
        <v>0</v>
      </c>
    </row>
    <row r="1583" spans="1:25" ht="34.5" hidden="1" thickBot="1" x14ac:dyDescent="0.25">
      <c r="A1583" s="317">
        <v>97327</v>
      </c>
      <c r="B1583" s="895">
        <v>97327</v>
      </c>
      <c r="C1583" s="896" t="s">
        <v>596</v>
      </c>
      <c r="D1583" s="906" t="s">
        <v>1508</v>
      </c>
      <c r="E1583" s="907">
        <f>GLOBAL_DER_FEV_2023!E1583</f>
        <v>0</v>
      </c>
      <c r="F1583" s="908">
        <f>GLOBAL_DER_FEV_2023!F1583</f>
        <v>0</v>
      </c>
      <c r="G1583" s="912">
        <f>GLOBAL_DER_FEV_2023!G1583</f>
        <v>0</v>
      </c>
      <c r="H1583" s="901">
        <f>GLOBAL_DER_FEV_2023!H1583</f>
        <v>30.58</v>
      </c>
      <c r="I1583" s="901">
        <f>GLOBAL_DER_FEV_2023!I1583</f>
        <v>30.58</v>
      </c>
      <c r="J1583" s="902">
        <f>GLOBAL_DER_FEV_2023!J1583</f>
        <v>36.72</v>
      </c>
      <c r="K1583" s="903" t="s">
        <v>62</v>
      </c>
      <c r="L1583" s="1137"/>
      <c r="M1583" s="1138">
        <f t="shared" si="117"/>
        <v>0</v>
      </c>
      <c r="N1583" s="893">
        <f t="shared" si="121"/>
        <v>0</v>
      </c>
      <c r="O1583" s="905"/>
      <c r="Q1583" s="317" t="str">
        <f t="shared" si="118"/>
        <v/>
      </c>
      <c r="R1583" s="317" t="str">
        <f t="shared" si="119"/>
        <v/>
      </c>
      <c r="S1583" s="317" t="str">
        <f t="shared" si="120"/>
        <v/>
      </c>
      <c r="T1583" s="317" t="str">
        <f>GLOBAL_DER_FEV_2023!S1583</f>
        <v/>
      </c>
      <c r="W1583" s="582">
        <v>0</v>
      </c>
      <c r="X1583" s="580"/>
      <c r="Y1583" s="583">
        <f>IF(GLOBAL_DER_FEV_2023!W1583=0,0,IF(GLOBAL_DER_FEV_2023!W1583&gt;0,"c","b"))</f>
        <v>0</v>
      </c>
    </row>
    <row r="1584" spans="1:25" ht="34.5" hidden="1" thickBot="1" x14ac:dyDescent="0.25">
      <c r="A1584" s="317">
        <v>97328</v>
      </c>
      <c r="B1584" s="895">
        <v>97328</v>
      </c>
      <c r="C1584" s="896" t="s">
        <v>596</v>
      </c>
      <c r="D1584" s="906" t="s">
        <v>1509</v>
      </c>
      <c r="E1584" s="907">
        <f>GLOBAL_DER_FEV_2023!E1584</f>
        <v>0</v>
      </c>
      <c r="F1584" s="908">
        <f>GLOBAL_DER_FEV_2023!F1584</f>
        <v>0</v>
      </c>
      <c r="G1584" s="912">
        <f>GLOBAL_DER_FEV_2023!G1584</f>
        <v>0</v>
      </c>
      <c r="H1584" s="901">
        <f>GLOBAL_DER_FEV_2023!H1584</f>
        <v>53.95</v>
      </c>
      <c r="I1584" s="901">
        <f>GLOBAL_DER_FEV_2023!I1584</f>
        <v>53.95</v>
      </c>
      <c r="J1584" s="902">
        <f>GLOBAL_DER_FEV_2023!J1584</f>
        <v>64.78</v>
      </c>
      <c r="K1584" s="903" t="s">
        <v>62</v>
      </c>
      <c r="L1584" s="1137"/>
      <c r="M1584" s="1138">
        <f t="shared" si="117"/>
        <v>0</v>
      </c>
      <c r="N1584" s="893">
        <f t="shared" si="121"/>
        <v>0</v>
      </c>
      <c r="O1584" s="905"/>
      <c r="Q1584" s="317" t="str">
        <f t="shared" si="118"/>
        <v/>
      </c>
      <c r="R1584" s="317" t="str">
        <f t="shared" si="119"/>
        <v/>
      </c>
      <c r="S1584" s="317" t="str">
        <f t="shared" si="120"/>
        <v/>
      </c>
      <c r="T1584" s="317" t="str">
        <f>GLOBAL_DER_FEV_2023!S1584</f>
        <v/>
      </c>
      <c r="W1584" s="582">
        <v>0</v>
      </c>
      <c r="X1584" s="580"/>
      <c r="Y1584" s="583">
        <f>IF(GLOBAL_DER_FEV_2023!W1584=0,0,IF(GLOBAL_DER_FEV_2023!W1584&gt;0,"c","b"))</f>
        <v>0</v>
      </c>
    </row>
    <row r="1585" spans="1:25" ht="34.5" hidden="1" thickBot="1" x14ac:dyDescent="0.25">
      <c r="A1585" s="317">
        <v>97329</v>
      </c>
      <c r="B1585" s="895">
        <v>97329</v>
      </c>
      <c r="C1585" s="896" t="s">
        <v>596</v>
      </c>
      <c r="D1585" s="906" t="s">
        <v>1510</v>
      </c>
      <c r="E1585" s="907">
        <f>GLOBAL_DER_FEV_2023!E1585</f>
        <v>0</v>
      </c>
      <c r="F1585" s="908">
        <f>GLOBAL_DER_FEV_2023!F1585</f>
        <v>0</v>
      </c>
      <c r="G1585" s="912">
        <f>GLOBAL_DER_FEV_2023!G1585</f>
        <v>0</v>
      </c>
      <c r="H1585" s="901">
        <f>GLOBAL_DER_FEV_2023!H1585</f>
        <v>66.78</v>
      </c>
      <c r="I1585" s="901">
        <f>GLOBAL_DER_FEV_2023!I1585</f>
        <v>66.78</v>
      </c>
      <c r="J1585" s="902">
        <f>GLOBAL_DER_FEV_2023!J1585</f>
        <v>80.180000000000007</v>
      </c>
      <c r="K1585" s="903" t="s">
        <v>62</v>
      </c>
      <c r="L1585" s="1137"/>
      <c r="M1585" s="1138">
        <f t="shared" si="117"/>
        <v>0</v>
      </c>
      <c r="N1585" s="893">
        <f t="shared" si="121"/>
        <v>0</v>
      </c>
      <c r="O1585" s="905"/>
      <c r="Q1585" s="317" t="str">
        <f t="shared" si="118"/>
        <v/>
      </c>
      <c r="R1585" s="317" t="str">
        <f t="shared" si="119"/>
        <v/>
      </c>
      <c r="S1585" s="317" t="str">
        <f t="shared" si="120"/>
        <v/>
      </c>
      <c r="T1585" s="317" t="str">
        <f>GLOBAL_DER_FEV_2023!S1585</f>
        <v/>
      </c>
      <c r="W1585" s="582">
        <v>0</v>
      </c>
      <c r="X1585" s="580"/>
      <c r="Y1585" s="583">
        <f>IF(GLOBAL_DER_FEV_2023!W1585=0,0,IF(GLOBAL_DER_FEV_2023!W1585&gt;0,"c","b"))</f>
        <v>0</v>
      </c>
    </row>
    <row r="1586" spans="1:25" ht="34.5" hidden="1" thickBot="1" x14ac:dyDescent="0.25">
      <c r="A1586" s="317">
        <v>97330</v>
      </c>
      <c r="B1586" s="895">
        <v>97330</v>
      </c>
      <c r="C1586" s="896" t="s">
        <v>596</v>
      </c>
      <c r="D1586" s="906" t="s">
        <v>1511</v>
      </c>
      <c r="E1586" s="907">
        <f>GLOBAL_DER_FEV_2023!E1586</f>
        <v>0</v>
      </c>
      <c r="F1586" s="908">
        <f>GLOBAL_DER_FEV_2023!F1586</f>
        <v>0</v>
      </c>
      <c r="G1586" s="912">
        <f>GLOBAL_DER_FEV_2023!G1586</f>
        <v>0</v>
      </c>
      <c r="H1586" s="901">
        <f>GLOBAL_DER_FEV_2023!H1586</f>
        <v>81.25</v>
      </c>
      <c r="I1586" s="901">
        <f>GLOBAL_DER_FEV_2023!I1586</f>
        <v>81.25</v>
      </c>
      <c r="J1586" s="902">
        <f>GLOBAL_DER_FEV_2023!J1586</f>
        <v>97.56</v>
      </c>
      <c r="K1586" s="903" t="s">
        <v>62</v>
      </c>
      <c r="L1586" s="1137"/>
      <c r="M1586" s="1138">
        <f t="shared" si="117"/>
        <v>0</v>
      </c>
      <c r="N1586" s="893">
        <f t="shared" si="121"/>
        <v>0</v>
      </c>
      <c r="O1586" s="905"/>
      <c r="Q1586" s="317" t="str">
        <f t="shared" si="118"/>
        <v/>
      </c>
      <c r="R1586" s="317" t="str">
        <f t="shared" si="119"/>
        <v/>
      </c>
      <c r="S1586" s="317" t="str">
        <f t="shared" si="120"/>
        <v/>
      </c>
      <c r="T1586" s="317" t="str">
        <f>GLOBAL_DER_FEV_2023!S1586</f>
        <v/>
      </c>
      <c r="W1586" s="582">
        <v>0</v>
      </c>
      <c r="X1586" s="580"/>
      <c r="Y1586" s="583">
        <f>IF(GLOBAL_DER_FEV_2023!W1586=0,0,IF(GLOBAL_DER_FEV_2023!W1586&gt;0,"c","b"))</f>
        <v>0</v>
      </c>
    </row>
    <row r="1587" spans="1:25" ht="34.5" hidden="1" thickBot="1" x14ac:dyDescent="0.25">
      <c r="A1587" s="317">
        <v>97331</v>
      </c>
      <c r="B1587" s="895">
        <v>97331</v>
      </c>
      <c r="C1587" s="896" t="s">
        <v>596</v>
      </c>
      <c r="D1587" s="906" t="s">
        <v>1512</v>
      </c>
      <c r="E1587" s="907">
        <f>GLOBAL_DER_FEV_2023!E1587</f>
        <v>0</v>
      </c>
      <c r="F1587" s="908">
        <f>GLOBAL_DER_FEV_2023!F1587</f>
        <v>0</v>
      </c>
      <c r="G1587" s="912">
        <f>GLOBAL_DER_FEV_2023!G1587</f>
        <v>0</v>
      </c>
      <c r="H1587" s="901">
        <f>GLOBAL_DER_FEV_2023!H1587</f>
        <v>30.98</v>
      </c>
      <c r="I1587" s="901">
        <f>GLOBAL_DER_FEV_2023!I1587</f>
        <v>30.98</v>
      </c>
      <c r="J1587" s="902">
        <f>GLOBAL_DER_FEV_2023!J1587</f>
        <v>37.200000000000003</v>
      </c>
      <c r="K1587" s="903" t="s">
        <v>62</v>
      </c>
      <c r="L1587" s="1137"/>
      <c r="M1587" s="1138">
        <f t="shared" si="117"/>
        <v>0</v>
      </c>
      <c r="N1587" s="893">
        <f t="shared" si="121"/>
        <v>0</v>
      </c>
      <c r="O1587" s="905"/>
      <c r="Q1587" s="317" t="str">
        <f t="shared" si="118"/>
        <v/>
      </c>
      <c r="R1587" s="317" t="str">
        <f t="shared" si="119"/>
        <v/>
      </c>
      <c r="S1587" s="317" t="str">
        <f t="shared" si="120"/>
        <v/>
      </c>
      <c r="T1587" s="317" t="str">
        <f>GLOBAL_DER_FEV_2023!S1587</f>
        <v/>
      </c>
      <c r="W1587" s="582">
        <v>0</v>
      </c>
      <c r="X1587" s="580"/>
      <c r="Y1587" s="583">
        <f>IF(GLOBAL_DER_FEV_2023!W1587=0,0,IF(GLOBAL_DER_FEV_2023!W1587&gt;0,"c","b"))</f>
        <v>0</v>
      </c>
    </row>
    <row r="1588" spans="1:25" ht="34.5" hidden="1" thickBot="1" x14ac:dyDescent="0.25">
      <c r="A1588" s="317">
        <v>97332</v>
      </c>
      <c r="B1588" s="895">
        <v>97332</v>
      </c>
      <c r="C1588" s="896" t="s">
        <v>596</v>
      </c>
      <c r="D1588" s="906" t="s">
        <v>1513</v>
      </c>
      <c r="E1588" s="907">
        <f>GLOBAL_DER_FEV_2023!E1588</f>
        <v>0</v>
      </c>
      <c r="F1588" s="908">
        <f>GLOBAL_DER_FEV_2023!F1588</f>
        <v>0</v>
      </c>
      <c r="G1588" s="912">
        <f>GLOBAL_DER_FEV_2023!G1588</f>
        <v>0</v>
      </c>
      <c r="H1588" s="901">
        <f>GLOBAL_DER_FEV_2023!H1588</f>
        <v>54.41</v>
      </c>
      <c r="I1588" s="901">
        <f>GLOBAL_DER_FEV_2023!I1588</f>
        <v>54.41</v>
      </c>
      <c r="J1588" s="902">
        <f>GLOBAL_DER_FEV_2023!J1588</f>
        <v>65.33</v>
      </c>
      <c r="K1588" s="903" t="s">
        <v>62</v>
      </c>
      <c r="L1588" s="1137"/>
      <c r="M1588" s="1138">
        <f t="shared" si="117"/>
        <v>0</v>
      </c>
      <c r="N1588" s="893">
        <f t="shared" si="121"/>
        <v>0</v>
      </c>
      <c r="O1588" s="905"/>
      <c r="Q1588" s="317" t="str">
        <f t="shared" si="118"/>
        <v/>
      </c>
      <c r="R1588" s="317" t="str">
        <f t="shared" si="119"/>
        <v/>
      </c>
      <c r="S1588" s="317" t="str">
        <f t="shared" si="120"/>
        <v/>
      </c>
      <c r="T1588" s="317" t="str">
        <f>GLOBAL_DER_FEV_2023!S1588</f>
        <v/>
      </c>
      <c r="W1588" s="582">
        <v>0</v>
      </c>
      <c r="X1588" s="580"/>
      <c r="Y1588" s="583">
        <f>IF(GLOBAL_DER_FEV_2023!W1588=0,0,IF(GLOBAL_DER_FEV_2023!W1588&gt;0,"c","b"))</f>
        <v>0</v>
      </c>
    </row>
    <row r="1589" spans="1:25" ht="34.5" hidden="1" thickBot="1" x14ac:dyDescent="0.25">
      <c r="A1589" s="317">
        <v>97333</v>
      </c>
      <c r="B1589" s="895">
        <v>97333</v>
      </c>
      <c r="C1589" s="896" t="s">
        <v>596</v>
      </c>
      <c r="D1589" s="906" t="s">
        <v>1514</v>
      </c>
      <c r="E1589" s="907">
        <f>GLOBAL_DER_FEV_2023!E1589</f>
        <v>0</v>
      </c>
      <c r="F1589" s="908">
        <f>GLOBAL_DER_FEV_2023!F1589</f>
        <v>0</v>
      </c>
      <c r="G1589" s="912">
        <f>GLOBAL_DER_FEV_2023!G1589</f>
        <v>0</v>
      </c>
      <c r="H1589" s="901">
        <f>GLOBAL_DER_FEV_2023!H1589</f>
        <v>67.36</v>
      </c>
      <c r="I1589" s="901">
        <f>GLOBAL_DER_FEV_2023!I1589</f>
        <v>67.36</v>
      </c>
      <c r="J1589" s="902">
        <f>GLOBAL_DER_FEV_2023!J1589</f>
        <v>80.88</v>
      </c>
      <c r="K1589" s="903" t="s">
        <v>62</v>
      </c>
      <c r="L1589" s="1137"/>
      <c r="M1589" s="1138">
        <f t="shared" si="117"/>
        <v>0</v>
      </c>
      <c r="N1589" s="893">
        <f t="shared" si="121"/>
        <v>0</v>
      </c>
      <c r="O1589" s="905"/>
      <c r="Q1589" s="317" t="str">
        <f t="shared" si="118"/>
        <v/>
      </c>
      <c r="R1589" s="317" t="str">
        <f t="shared" si="119"/>
        <v/>
      </c>
      <c r="S1589" s="317" t="str">
        <f t="shared" si="120"/>
        <v/>
      </c>
      <c r="T1589" s="317" t="str">
        <f>GLOBAL_DER_FEV_2023!S1589</f>
        <v/>
      </c>
      <c r="W1589" s="582">
        <v>0</v>
      </c>
      <c r="X1589" s="580"/>
      <c r="Y1589" s="583">
        <f>IF(GLOBAL_DER_FEV_2023!W1589=0,0,IF(GLOBAL_DER_FEV_2023!W1589&gt;0,"c","b"))</f>
        <v>0</v>
      </c>
    </row>
    <row r="1590" spans="1:25" ht="34.5" hidden="1" thickBot="1" x14ac:dyDescent="0.25">
      <c r="A1590" s="317">
        <v>97334</v>
      </c>
      <c r="B1590" s="895">
        <v>97334</v>
      </c>
      <c r="C1590" s="896" t="s">
        <v>596</v>
      </c>
      <c r="D1590" s="906" t="s">
        <v>1515</v>
      </c>
      <c r="E1590" s="907">
        <f>GLOBAL_DER_FEV_2023!E1590</f>
        <v>0</v>
      </c>
      <c r="F1590" s="908">
        <f>GLOBAL_DER_FEV_2023!F1590</f>
        <v>0</v>
      </c>
      <c r="G1590" s="912">
        <f>GLOBAL_DER_FEV_2023!G1590</f>
        <v>0</v>
      </c>
      <c r="H1590" s="901">
        <f>GLOBAL_DER_FEV_2023!H1590</f>
        <v>81.89</v>
      </c>
      <c r="I1590" s="901">
        <f>GLOBAL_DER_FEV_2023!I1590</f>
        <v>81.89</v>
      </c>
      <c r="J1590" s="902">
        <f>GLOBAL_DER_FEV_2023!J1590</f>
        <v>98.33</v>
      </c>
      <c r="K1590" s="903" t="s">
        <v>62</v>
      </c>
      <c r="L1590" s="1137"/>
      <c r="M1590" s="1138">
        <f t="shared" si="117"/>
        <v>0</v>
      </c>
      <c r="N1590" s="893">
        <f t="shared" si="121"/>
        <v>0</v>
      </c>
      <c r="O1590" s="905"/>
      <c r="Q1590" s="317" t="str">
        <f t="shared" si="118"/>
        <v/>
      </c>
      <c r="R1590" s="317" t="str">
        <f t="shared" si="119"/>
        <v/>
      </c>
      <c r="S1590" s="317" t="str">
        <f t="shared" si="120"/>
        <v/>
      </c>
      <c r="T1590" s="317" t="str">
        <f>GLOBAL_DER_FEV_2023!S1590</f>
        <v/>
      </c>
      <c r="W1590" s="582">
        <v>0</v>
      </c>
      <c r="X1590" s="580"/>
      <c r="Y1590" s="583">
        <f>IF(GLOBAL_DER_FEV_2023!W1590=0,0,IF(GLOBAL_DER_FEV_2023!W1590&gt;0,"c","b"))</f>
        <v>0</v>
      </c>
    </row>
    <row r="1591" spans="1:25" ht="15" hidden="1" customHeight="1" x14ac:dyDescent="0.2">
      <c r="A1591" s="317">
        <v>844000</v>
      </c>
      <c r="B1591" s="895">
        <v>844000</v>
      </c>
      <c r="C1591" s="896" t="s">
        <v>184</v>
      </c>
      <c r="D1591" s="906" t="s">
        <v>486</v>
      </c>
      <c r="E1591" s="907">
        <f>GLOBAL_DER_FEV_2023!E1591</f>
        <v>0</v>
      </c>
      <c r="F1591" s="908">
        <f>GLOBAL_DER_FEV_2023!F1591</f>
        <v>0</v>
      </c>
      <c r="G1591" s="912">
        <f>GLOBAL_DER_FEV_2023!G1591</f>
        <v>0</v>
      </c>
      <c r="H1591" s="901">
        <f>GLOBAL_DER_FEV_2023!H1591</f>
        <v>5276</v>
      </c>
      <c r="I1591" s="901">
        <f>GLOBAL_DER_FEV_2023!I1591</f>
        <v>5276</v>
      </c>
      <c r="J1591" s="902">
        <f>GLOBAL_DER_FEV_2023!J1591</f>
        <v>6334.89</v>
      </c>
      <c r="K1591" s="903" t="s">
        <v>15</v>
      </c>
      <c r="L1591" s="1137"/>
      <c r="M1591" s="1138">
        <f t="shared" si="117"/>
        <v>0</v>
      </c>
      <c r="N1591" s="893">
        <f t="shared" si="121"/>
        <v>0</v>
      </c>
      <c r="O1591" s="905"/>
      <c r="Q1591" s="317" t="str">
        <f t="shared" si="118"/>
        <v/>
      </c>
      <c r="R1591" s="317" t="str">
        <f t="shared" si="119"/>
        <v/>
      </c>
      <c r="S1591" s="317" t="str">
        <f t="shared" si="120"/>
        <v/>
      </c>
      <c r="T1591" s="317" t="str">
        <f>GLOBAL_DER_FEV_2023!S1591</f>
        <v/>
      </c>
      <c r="W1591" s="582">
        <v>0</v>
      </c>
      <c r="X1591" s="580"/>
      <c r="Y1591" s="583">
        <f>IF(GLOBAL_DER_FEV_2023!W1591=0,0,IF(GLOBAL_DER_FEV_2023!W1591&gt;0,"c","b"))</f>
        <v>0</v>
      </c>
    </row>
    <row r="1592" spans="1:25" ht="15" hidden="1" customHeight="1" x14ac:dyDescent="0.2">
      <c r="A1592" s="640" t="s">
        <v>165</v>
      </c>
      <c r="B1592" s="913" t="s">
        <v>165</v>
      </c>
      <c r="C1592" s="914"/>
      <c r="D1592" s="915" t="s">
        <v>475</v>
      </c>
      <c r="E1592" s="916">
        <f>GLOBAL_DER_FEV_2023!E1592</f>
        <v>0</v>
      </c>
      <c r="F1592" s="917">
        <f>GLOBAL_DER_FEV_2023!F1592</f>
        <v>0</v>
      </c>
      <c r="G1592" s="918">
        <f>GLOBAL_DER_FEV_2023!G1592</f>
        <v>0</v>
      </c>
      <c r="H1592" s="919">
        <f>GLOBAL_DER_FEV_2023!H1592</f>
        <v>0</v>
      </c>
      <c r="I1592" s="919">
        <f>GLOBAL_DER_FEV_2023!I1592</f>
        <v>0</v>
      </c>
      <c r="J1592" s="919">
        <f>GLOBAL_DER_FEV_2023!J1592</f>
        <v>0</v>
      </c>
      <c r="K1592" s="920" t="s">
        <v>507</v>
      </c>
      <c r="L1592" s="1162"/>
      <c r="M1592" s="1138">
        <f t="shared" si="117"/>
        <v>0</v>
      </c>
      <c r="N1592" s="1164">
        <f t="shared" si="121"/>
        <v>0</v>
      </c>
      <c r="O1592" s="1165"/>
      <c r="P1592" s="58" t="str">
        <f>IF(OR(SUM(N1593:N1624)&gt;0,SUM(N1593:N1624)&gt;0),"y","")</f>
        <v/>
      </c>
      <c r="Q1592" s="317" t="str">
        <f t="shared" si="118"/>
        <v/>
      </c>
      <c r="R1592" s="317" t="str">
        <f t="shared" si="119"/>
        <v/>
      </c>
      <c r="S1592" s="317" t="str">
        <f t="shared" si="120"/>
        <v/>
      </c>
      <c r="T1592" s="317" t="str">
        <f>GLOBAL_DER_FEV_2023!S1592</f>
        <v/>
      </c>
      <c r="W1592" s="582">
        <v>0</v>
      </c>
      <c r="X1592" s="580"/>
      <c r="Y1592" s="583">
        <f>IF(GLOBAL_DER_FEV_2023!W1592=0,0,IF(GLOBAL_DER_FEV_2023!W1592&gt;0,"c","b"))</f>
        <v>0</v>
      </c>
    </row>
    <row r="1593" spans="1:25" ht="15" hidden="1" customHeight="1" x14ac:dyDescent="0.2">
      <c r="A1593" s="640" t="s">
        <v>165</v>
      </c>
      <c r="B1593" s="1036" t="str">
        <f>GLOBAL_DER_FEV_2023!B1593</f>
        <v/>
      </c>
      <c r="C1593" s="1072" t="str">
        <f>GLOBAL_DER_FEV_2023!C1593</f>
        <v/>
      </c>
      <c r="D1593" s="1141">
        <f>GLOBAL_DER_FEV_2023!D1593</f>
        <v>0</v>
      </c>
      <c r="E1593" s="907">
        <f>GLOBAL_DER_FEV_2023!E1593</f>
        <v>0</v>
      </c>
      <c r="F1593" s="908">
        <f>GLOBAL_DER_FEV_2023!F1593</f>
        <v>0</v>
      </c>
      <c r="G1593" s="912">
        <f>GLOBAL_DER_FEV_2023!G1593</f>
        <v>0</v>
      </c>
      <c r="H1593" s="901">
        <f>GLOBAL_DER_FEV_2023!H1593</f>
        <v>0</v>
      </c>
      <c r="I1593" s="901" t="str">
        <f>GLOBAL_DER_FEV_2023!I1593</f>
        <v/>
      </c>
      <c r="J1593" s="890">
        <f>GLOBAL_DER_FEV_2023!J1593</f>
        <v>0</v>
      </c>
      <c r="K1593" s="903" t="str">
        <f>GLOBAL_DER_FEV_2023!K1593</f>
        <v xml:space="preserve">     </v>
      </c>
      <c r="L1593" s="1137"/>
      <c r="M1593" s="1138">
        <f t="shared" si="117"/>
        <v>0</v>
      </c>
      <c r="N1593" s="1167">
        <f t="shared" si="121"/>
        <v>0</v>
      </c>
      <c r="O1593" s="1165"/>
      <c r="Q1593" s="317" t="str">
        <f t="shared" si="118"/>
        <v/>
      </c>
      <c r="R1593" s="317" t="str">
        <f t="shared" si="119"/>
        <v/>
      </c>
      <c r="S1593" s="317" t="str">
        <f t="shared" si="120"/>
        <v/>
      </c>
      <c r="T1593" s="317" t="str">
        <f>GLOBAL_DER_FEV_2023!S1593</f>
        <v/>
      </c>
      <c r="W1593" s="582">
        <v>0</v>
      </c>
      <c r="X1593" s="580"/>
      <c r="Y1593" s="583">
        <f>IF(GLOBAL_DER_FEV_2023!W1593=0,0,IF(GLOBAL_DER_FEV_2023!W1593&gt;0,"c","b"))</f>
        <v>0</v>
      </c>
    </row>
    <row r="1594" spans="1:25" ht="15" hidden="1" customHeight="1" x14ac:dyDescent="0.2">
      <c r="A1594" s="640" t="s">
        <v>165</v>
      </c>
      <c r="B1594" s="1036" t="str">
        <f>GLOBAL_DER_FEV_2023!B1594</f>
        <v/>
      </c>
      <c r="C1594" s="1072" t="str">
        <f>GLOBAL_DER_FEV_2023!C1594</f>
        <v/>
      </c>
      <c r="D1594" s="1141">
        <f>GLOBAL_DER_FEV_2023!D1594</f>
        <v>0</v>
      </c>
      <c r="E1594" s="907">
        <f>GLOBAL_DER_FEV_2023!E1594</f>
        <v>0</v>
      </c>
      <c r="F1594" s="908">
        <f>GLOBAL_DER_FEV_2023!F1594</f>
        <v>0</v>
      </c>
      <c r="G1594" s="912">
        <f>GLOBAL_DER_FEV_2023!G1594</f>
        <v>0</v>
      </c>
      <c r="H1594" s="901">
        <f>GLOBAL_DER_FEV_2023!H1594</f>
        <v>0</v>
      </c>
      <c r="I1594" s="901" t="str">
        <f>GLOBAL_DER_FEV_2023!I1594</f>
        <v/>
      </c>
      <c r="J1594" s="890">
        <f>GLOBAL_DER_FEV_2023!J1594</f>
        <v>0</v>
      </c>
      <c r="K1594" s="903" t="str">
        <f>GLOBAL_DER_FEV_2023!K1594</f>
        <v xml:space="preserve">     </v>
      </c>
      <c r="L1594" s="1137"/>
      <c r="M1594" s="1138">
        <f t="shared" si="117"/>
        <v>0</v>
      </c>
      <c r="N1594" s="1167">
        <f t="shared" si="121"/>
        <v>0</v>
      </c>
      <c r="O1594" s="1165"/>
      <c r="Q1594" s="317" t="str">
        <f t="shared" si="118"/>
        <v/>
      </c>
      <c r="R1594" s="317" t="str">
        <f t="shared" si="119"/>
        <v/>
      </c>
      <c r="S1594" s="317" t="str">
        <f t="shared" si="120"/>
        <v/>
      </c>
      <c r="T1594" s="317" t="str">
        <f>GLOBAL_DER_FEV_2023!S1594</f>
        <v/>
      </c>
      <c r="W1594" s="582">
        <v>0</v>
      </c>
      <c r="X1594" s="580"/>
      <c r="Y1594" s="583">
        <f>IF(GLOBAL_DER_FEV_2023!W1594=0,0,IF(GLOBAL_DER_FEV_2023!W1594&gt;0,"c","b"))</f>
        <v>0</v>
      </c>
    </row>
    <row r="1595" spans="1:25" ht="15" hidden="1" customHeight="1" x14ac:dyDescent="0.2">
      <c r="A1595" s="640" t="s">
        <v>165</v>
      </c>
      <c r="B1595" s="1036" t="str">
        <f>GLOBAL_DER_FEV_2023!B1595</f>
        <v/>
      </c>
      <c r="C1595" s="1072" t="str">
        <f>GLOBAL_DER_FEV_2023!C1595</f>
        <v/>
      </c>
      <c r="D1595" s="1141">
        <f>GLOBAL_DER_FEV_2023!D1595</f>
        <v>0</v>
      </c>
      <c r="E1595" s="907">
        <f>GLOBAL_DER_FEV_2023!E1595</f>
        <v>0</v>
      </c>
      <c r="F1595" s="908">
        <f>GLOBAL_DER_FEV_2023!F1595</f>
        <v>0</v>
      </c>
      <c r="G1595" s="912">
        <f>GLOBAL_DER_FEV_2023!G1595</f>
        <v>0</v>
      </c>
      <c r="H1595" s="901">
        <f>GLOBAL_DER_FEV_2023!H1595</f>
        <v>0</v>
      </c>
      <c r="I1595" s="901" t="str">
        <f>GLOBAL_DER_FEV_2023!I1595</f>
        <v/>
      </c>
      <c r="J1595" s="890">
        <f>GLOBAL_DER_FEV_2023!J1595</f>
        <v>0</v>
      </c>
      <c r="K1595" s="903" t="str">
        <f>GLOBAL_DER_FEV_2023!K1595</f>
        <v xml:space="preserve">     </v>
      </c>
      <c r="L1595" s="1137"/>
      <c r="M1595" s="1138">
        <f t="shared" si="117"/>
        <v>0</v>
      </c>
      <c r="N1595" s="1167">
        <f t="shared" si="121"/>
        <v>0</v>
      </c>
      <c r="O1595" s="1165"/>
      <c r="Q1595" s="317" t="str">
        <f t="shared" si="118"/>
        <v/>
      </c>
      <c r="R1595" s="317" t="str">
        <f t="shared" si="119"/>
        <v/>
      </c>
      <c r="S1595" s="317" t="str">
        <f t="shared" si="120"/>
        <v/>
      </c>
      <c r="T1595" s="317" t="str">
        <f>GLOBAL_DER_FEV_2023!S1595</f>
        <v/>
      </c>
      <c r="W1595" s="582">
        <v>0</v>
      </c>
      <c r="X1595" s="580"/>
      <c r="Y1595" s="583">
        <f>IF(GLOBAL_DER_FEV_2023!W1595=0,0,IF(GLOBAL_DER_FEV_2023!W1595&gt;0,"c","b"))</f>
        <v>0</v>
      </c>
    </row>
    <row r="1596" spans="1:25" ht="15" hidden="1" customHeight="1" x14ac:dyDescent="0.2">
      <c r="A1596" s="640" t="s">
        <v>165</v>
      </c>
      <c r="B1596" s="1036" t="str">
        <f>GLOBAL_DER_FEV_2023!B1596</f>
        <v/>
      </c>
      <c r="C1596" s="1072" t="str">
        <f>GLOBAL_DER_FEV_2023!C1596</f>
        <v/>
      </c>
      <c r="D1596" s="1141">
        <f>GLOBAL_DER_FEV_2023!D1596</f>
        <v>0</v>
      </c>
      <c r="E1596" s="907">
        <f>GLOBAL_DER_FEV_2023!E1596</f>
        <v>0</v>
      </c>
      <c r="F1596" s="908">
        <f>GLOBAL_DER_FEV_2023!F1596</f>
        <v>0</v>
      </c>
      <c r="G1596" s="912">
        <f>GLOBAL_DER_FEV_2023!G1596</f>
        <v>0</v>
      </c>
      <c r="H1596" s="901">
        <f>GLOBAL_DER_FEV_2023!H1596</f>
        <v>0</v>
      </c>
      <c r="I1596" s="901" t="str">
        <f>GLOBAL_DER_FEV_2023!I1596</f>
        <v/>
      </c>
      <c r="J1596" s="890">
        <f>GLOBAL_DER_FEV_2023!J1596</f>
        <v>0</v>
      </c>
      <c r="K1596" s="903" t="str">
        <f>GLOBAL_DER_FEV_2023!K1596</f>
        <v xml:space="preserve">     </v>
      </c>
      <c r="L1596" s="1137"/>
      <c r="M1596" s="1138">
        <f t="shared" si="117"/>
        <v>0</v>
      </c>
      <c r="N1596" s="1167">
        <f t="shared" si="121"/>
        <v>0</v>
      </c>
      <c r="O1596" s="1165"/>
      <c r="Q1596" s="317" t="str">
        <f t="shared" si="118"/>
        <v/>
      </c>
      <c r="R1596" s="317" t="str">
        <f t="shared" si="119"/>
        <v/>
      </c>
      <c r="S1596" s="317" t="str">
        <f t="shared" si="120"/>
        <v/>
      </c>
      <c r="T1596" s="317" t="str">
        <f>GLOBAL_DER_FEV_2023!S1596</f>
        <v/>
      </c>
      <c r="W1596" s="582">
        <v>0</v>
      </c>
      <c r="X1596" s="580"/>
      <c r="Y1596" s="583">
        <f>IF(GLOBAL_DER_FEV_2023!W1596=0,0,IF(GLOBAL_DER_FEV_2023!W1596&gt;0,"c","b"))</f>
        <v>0</v>
      </c>
    </row>
    <row r="1597" spans="1:25" ht="15" hidden="1" customHeight="1" x14ac:dyDescent="0.2">
      <c r="A1597" s="640" t="s">
        <v>165</v>
      </c>
      <c r="B1597" s="1036" t="str">
        <f>GLOBAL_DER_FEV_2023!B1597</f>
        <v/>
      </c>
      <c r="C1597" s="1072" t="str">
        <f>GLOBAL_DER_FEV_2023!C1597</f>
        <v/>
      </c>
      <c r="D1597" s="1141">
        <f>GLOBAL_DER_FEV_2023!D1597</f>
        <v>0</v>
      </c>
      <c r="E1597" s="907">
        <f>GLOBAL_DER_FEV_2023!E1597</f>
        <v>0</v>
      </c>
      <c r="F1597" s="908">
        <f>GLOBAL_DER_FEV_2023!F1597</f>
        <v>0</v>
      </c>
      <c r="G1597" s="912">
        <f>GLOBAL_DER_FEV_2023!G1597</f>
        <v>0</v>
      </c>
      <c r="H1597" s="901">
        <f>GLOBAL_DER_FEV_2023!H1597</f>
        <v>0</v>
      </c>
      <c r="I1597" s="901" t="str">
        <f>GLOBAL_DER_FEV_2023!I1597</f>
        <v/>
      </c>
      <c r="J1597" s="890">
        <f>GLOBAL_DER_FEV_2023!J1597</f>
        <v>0</v>
      </c>
      <c r="K1597" s="903" t="str">
        <f>GLOBAL_DER_FEV_2023!K1597</f>
        <v xml:space="preserve">     </v>
      </c>
      <c r="L1597" s="1137"/>
      <c r="M1597" s="1138">
        <f t="shared" si="117"/>
        <v>0</v>
      </c>
      <c r="N1597" s="1167">
        <f t="shared" si="121"/>
        <v>0</v>
      </c>
      <c r="O1597" s="1165"/>
      <c r="Q1597" s="317" t="str">
        <f t="shared" si="118"/>
        <v/>
      </c>
      <c r="R1597" s="317" t="str">
        <f t="shared" si="119"/>
        <v/>
      </c>
      <c r="S1597" s="317" t="str">
        <f t="shared" si="120"/>
        <v/>
      </c>
      <c r="T1597" s="317" t="str">
        <f>GLOBAL_DER_FEV_2023!S1597</f>
        <v/>
      </c>
      <c r="W1597" s="582">
        <v>0</v>
      </c>
      <c r="X1597" s="580"/>
      <c r="Y1597" s="583">
        <f>IF(GLOBAL_DER_FEV_2023!W1597=0,0,IF(GLOBAL_DER_FEV_2023!W1597&gt;0,"c","b"))</f>
        <v>0</v>
      </c>
    </row>
    <row r="1598" spans="1:25" ht="15" hidden="1" customHeight="1" x14ac:dyDescent="0.2">
      <c r="A1598" s="640" t="s">
        <v>165</v>
      </c>
      <c r="B1598" s="1036" t="str">
        <f>GLOBAL_DER_FEV_2023!B1598</f>
        <v/>
      </c>
      <c r="C1598" s="1072" t="str">
        <f>GLOBAL_DER_FEV_2023!C1598</f>
        <v/>
      </c>
      <c r="D1598" s="1141">
        <f>GLOBAL_DER_FEV_2023!D1598</f>
        <v>0</v>
      </c>
      <c r="E1598" s="907">
        <f>GLOBAL_DER_FEV_2023!E1598</f>
        <v>0</v>
      </c>
      <c r="F1598" s="908">
        <f>GLOBAL_DER_FEV_2023!F1598</f>
        <v>0</v>
      </c>
      <c r="G1598" s="912">
        <f>GLOBAL_DER_FEV_2023!G1598</f>
        <v>0</v>
      </c>
      <c r="H1598" s="901">
        <f>GLOBAL_DER_FEV_2023!H1598</f>
        <v>0</v>
      </c>
      <c r="I1598" s="901" t="str">
        <f>GLOBAL_DER_FEV_2023!I1598</f>
        <v/>
      </c>
      <c r="J1598" s="890">
        <f>GLOBAL_DER_FEV_2023!J1598</f>
        <v>0</v>
      </c>
      <c r="K1598" s="903" t="str">
        <f>GLOBAL_DER_FEV_2023!K1598</f>
        <v xml:space="preserve">     </v>
      </c>
      <c r="L1598" s="1137"/>
      <c r="M1598" s="1138">
        <f t="shared" si="117"/>
        <v>0</v>
      </c>
      <c r="N1598" s="1167">
        <f t="shared" si="121"/>
        <v>0</v>
      </c>
      <c r="O1598" s="1165"/>
      <c r="Q1598" s="317" t="str">
        <f t="shared" si="118"/>
        <v/>
      </c>
      <c r="R1598" s="317" t="str">
        <f t="shared" si="119"/>
        <v/>
      </c>
      <c r="S1598" s="317" t="str">
        <f t="shared" si="120"/>
        <v/>
      </c>
      <c r="T1598" s="317" t="str">
        <f>GLOBAL_DER_FEV_2023!S1598</f>
        <v/>
      </c>
      <c r="W1598" s="582">
        <v>0</v>
      </c>
      <c r="X1598" s="580"/>
      <c r="Y1598" s="583">
        <f>IF(GLOBAL_DER_FEV_2023!W1598=0,0,IF(GLOBAL_DER_FEV_2023!W1598&gt;0,"c","b"))</f>
        <v>0</v>
      </c>
    </row>
    <row r="1599" spans="1:25" ht="15" hidden="1" customHeight="1" x14ac:dyDescent="0.2">
      <c r="A1599" s="640" t="s">
        <v>165</v>
      </c>
      <c r="B1599" s="1036" t="str">
        <f>GLOBAL_DER_FEV_2023!B1599</f>
        <v/>
      </c>
      <c r="C1599" s="1072" t="str">
        <f>GLOBAL_DER_FEV_2023!C1599</f>
        <v/>
      </c>
      <c r="D1599" s="1141">
        <f>GLOBAL_DER_FEV_2023!D1599</f>
        <v>0</v>
      </c>
      <c r="E1599" s="907">
        <f>GLOBAL_DER_FEV_2023!E1599</f>
        <v>0</v>
      </c>
      <c r="F1599" s="908">
        <f>GLOBAL_DER_FEV_2023!F1599</f>
        <v>0</v>
      </c>
      <c r="G1599" s="912">
        <f>GLOBAL_DER_FEV_2023!G1599</f>
        <v>0</v>
      </c>
      <c r="H1599" s="901">
        <f>GLOBAL_DER_FEV_2023!H1599</f>
        <v>0</v>
      </c>
      <c r="I1599" s="901" t="str">
        <f>GLOBAL_DER_FEV_2023!I1599</f>
        <v/>
      </c>
      <c r="J1599" s="890">
        <f>GLOBAL_DER_FEV_2023!J1599</f>
        <v>0</v>
      </c>
      <c r="K1599" s="903" t="str">
        <f>GLOBAL_DER_FEV_2023!K1599</f>
        <v xml:space="preserve">     </v>
      </c>
      <c r="L1599" s="1137"/>
      <c r="M1599" s="1138">
        <f t="shared" si="117"/>
        <v>0</v>
      </c>
      <c r="N1599" s="1167">
        <f t="shared" si="121"/>
        <v>0</v>
      </c>
      <c r="O1599" s="1165"/>
      <c r="Q1599" s="317" t="str">
        <f t="shared" si="118"/>
        <v/>
      </c>
      <c r="R1599" s="317" t="str">
        <f t="shared" si="119"/>
        <v/>
      </c>
      <c r="S1599" s="317" t="str">
        <f t="shared" si="120"/>
        <v/>
      </c>
      <c r="T1599" s="317" t="str">
        <f>GLOBAL_DER_FEV_2023!S1599</f>
        <v/>
      </c>
      <c r="W1599" s="582">
        <v>0</v>
      </c>
      <c r="X1599" s="580"/>
      <c r="Y1599" s="583">
        <f>IF(GLOBAL_DER_FEV_2023!W1599=0,0,IF(GLOBAL_DER_FEV_2023!W1599&gt;0,"c","b"))</f>
        <v>0</v>
      </c>
    </row>
    <row r="1600" spans="1:25" ht="15" hidden="1" customHeight="1" x14ac:dyDescent="0.2">
      <c r="A1600" s="640" t="s">
        <v>165</v>
      </c>
      <c r="B1600" s="1036" t="str">
        <f>GLOBAL_DER_FEV_2023!B1600</f>
        <v/>
      </c>
      <c r="C1600" s="1072" t="str">
        <f>GLOBAL_DER_FEV_2023!C1600</f>
        <v/>
      </c>
      <c r="D1600" s="1141">
        <f>GLOBAL_DER_FEV_2023!D1600</f>
        <v>0</v>
      </c>
      <c r="E1600" s="907">
        <f>GLOBAL_DER_FEV_2023!E1600</f>
        <v>0</v>
      </c>
      <c r="F1600" s="908">
        <f>GLOBAL_DER_FEV_2023!F1600</f>
        <v>0</v>
      </c>
      <c r="G1600" s="912">
        <f>GLOBAL_DER_FEV_2023!G1600</f>
        <v>0</v>
      </c>
      <c r="H1600" s="901">
        <f>GLOBAL_DER_FEV_2023!H1600</f>
        <v>0</v>
      </c>
      <c r="I1600" s="901" t="str">
        <f>GLOBAL_DER_FEV_2023!I1600</f>
        <v/>
      </c>
      <c r="J1600" s="890">
        <f>GLOBAL_DER_FEV_2023!J1600</f>
        <v>0</v>
      </c>
      <c r="K1600" s="903" t="str">
        <f>GLOBAL_DER_FEV_2023!K1600</f>
        <v xml:space="preserve">     </v>
      </c>
      <c r="L1600" s="1137"/>
      <c r="M1600" s="1138">
        <f t="shared" si="117"/>
        <v>0</v>
      </c>
      <c r="N1600" s="1167">
        <f t="shared" si="121"/>
        <v>0</v>
      </c>
      <c r="O1600" s="1165"/>
      <c r="Q1600" s="317" t="str">
        <f t="shared" si="118"/>
        <v/>
      </c>
      <c r="R1600" s="317" t="str">
        <f t="shared" si="119"/>
        <v/>
      </c>
      <c r="S1600" s="317" t="str">
        <f t="shared" si="120"/>
        <v/>
      </c>
      <c r="T1600" s="317" t="str">
        <f>GLOBAL_DER_FEV_2023!S1600</f>
        <v/>
      </c>
      <c r="W1600" s="582">
        <v>0</v>
      </c>
      <c r="X1600" s="580"/>
      <c r="Y1600" s="583">
        <f>IF(GLOBAL_DER_FEV_2023!W1600=0,0,IF(GLOBAL_DER_FEV_2023!W1600&gt;0,"c","b"))</f>
        <v>0</v>
      </c>
    </row>
    <row r="1601" spans="1:25" ht="15" hidden="1" customHeight="1" x14ac:dyDescent="0.2">
      <c r="A1601" s="640" t="s">
        <v>165</v>
      </c>
      <c r="B1601" s="1036" t="str">
        <f>GLOBAL_DER_FEV_2023!B1601</f>
        <v/>
      </c>
      <c r="C1601" s="1072" t="str">
        <f>GLOBAL_DER_FEV_2023!C1601</f>
        <v/>
      </c>
      <c r="D1601" s="1141">
        <f>GLOBAL_DER_FEV_2023!D1601</f>
        <v>0</v>
      </c>
      <c r="E1601" s="907">
        <f>GLOBAL_DER_FEV_2023!E1601</f>
        <v>0</v>
      </c>
      <c r="F1601" s="908">
        <f>GLOBAL_DER_FEV_2023!F1601</f>
        <v>0</v>
      </c>
      <c r="G1601" s="912">
        <f>GLOBAL_DER_FEV_2023!G1601</f>
        <v>0</v>
      </c>
      <c r="H1601" s="901">
        <f>GLOBAL_DER_FEV_2023!H1601</f>
        <v>0</v>
      </c>
      <c r="I1601" s="901" t="str">
        <f>GLOBAL_DER_FEV_2023!I1601</f>
        <v/>
      </c>
      <c r="J1601" s="890">
        <f>GLOBAL_DER_FEV_2023!J1601</f>
        <v>0</v>
      </c>
      <c r="K1601" s="903" t="str">
        <f>GLOBAL_DER_FEV_2023!K1601</f>
        <v xml:space="preserve">     </v>
      </c>
      <c r="L1601" s="1137"/>
      <c r="M1601" s="1138">
        <f t="shared" si="117"/>
        <v>0</v>
      </c>
      <c r="N1601" s="1167">
        <f t="shared" si="121"/>
        <v>0</v>
      </c>
      <c r="O1601" s="1165"/>
      <c r="Q1601" s="317" t="str">
        <f t="shared" si="118"/>
        <v/>
      </c>
      <c r="R1601" s="317" t="str">
        <f t="shared" si="119"/>
        <v/>
      </c>
      <c r="S1601" s="317" t="str">
        <f t="shared" si="120"/>
        <v/>
      </c>
      <c r="T1601" s="317" t="str">
        <f>GLOBAL_DER_FEV_2023!S1601</f>
        <v/>
      </c>
      <c r="W1601" s="582">
        <v>0</v>
      </c>
      <c r="X1601" s="580"/>
      <c r="Y1601" s="583">
        <f>IF(GLOBAL_DER_FEV_2023!W1601=0,0,IF(GLOBAL_DER_FEV_2023!W1601&gt;0,"c","b"))</f>
        <v>0</v>
      </c>
    </row>
    <row r="1602" spans="1:25" ht="15" hidden="1" customHeight="1" x14ac:dyDescent="0.2">
      <c r="A1602" s="640" t="s">
        <v>165</v>
      </c>
      <c r="B1602" s="1036" t="str">
        <f>GLOBAL_DER_FEV_2023!B1602</f>
        <v/>
      </c>
      <c r="C1602" s="1072" t="str">
        <f>GLOBAL_DER_FEV_2023!C1602</f>
        <v/>
      </c>
      <c r="D1602" s="1141">
        <f>GLOBAL_DER_FEV_2023!D1602</f>
        <v>0</v>
      </c>
      <c r="E1602" s="907">
        <f>GLOBAL_DER_FEV_2023!E1602</f>
        <v>0</v>
      </c>
      <c r="F1602" s="908">
        <f>GLOBAL_DER_FEV_2023!F1602</f>
        <v>0</v>
      </c>
      <c r="G1602" s="912">
        <f>GLOBAL_DER_FEV_2023!G1602</f>
        <v>0</v>
      </c>
      <c r="H1602" s="901">
        <f>GLOBAL_DER_FEV_2023!H1602</f>
        <v>0</v>
      </c>
      <c r="I1602" s="901" t="str">
        <f>GLOBAL_DER_FEV_2023!I1602</f>
        <v/>
      </c>
      <c r="J1602" s="890">
        <f>GLOBAL_DER_FEV_2023!J1602</f>
        <v>0</v>
      </c>
      <c r="K1602" s="903" t="str">
        <f>GLOBAL_DER_FEV_2023!K1602</f>
        <v xml:space="preserve">     </v>
      </c>
      <c r="L1602" s="1137"/>
      <c r="M1602" s="1138">
        <f t="shared" si="117"/>
        <v>0</v>
      </c>
      <c r="N1602" s="1167">
        <f t="shared" si="121"/>
        <v>0</v>
      </c>
      <c r="O1602" s="1165"/>
      <c r="Q1602" s="317" t="str">
        <f t="shared" si="118"/>
        <v/>
      </c>
      <c r="R1602" s="317" t="str">
        <f t="shared" si="119"/>
        <v/>
      </c>
      <c r="S1602" s="317" t="str">
        <f t="shared" si="120"/>
        <v/>
      </c>
      <c r="T1602" s="317" t="str">
        <f>GLOBAL_DER_FEV_2023!S1602</f>
        <v/>
      </c>
      <c r="W1602" s="582">
        <v>0</v>
      </c>
      <c r="X1602" s="580"/>
      <c r="Y1602" s="583">
        <f>IF(GLOBAL_DER_FEV_2023!W1602=0,0,IF(GLOBAL_DER_FEV_2023!W1602&gt;0,"c","b"))</f>
        <v>0</v>
      </c>
    </row>
    <row r="1603" spans="1:25" ht="15" hidden="1" customHeight="1" x14ac:dyDescent="0.2">
      <c r="A1603" s="640" t="s">
        <v>165</v>
      </c>
      <c r="B1603" s="1036" t="str">
        <f>GLOBAL_DER_FEV_2023!B1603</f>
        <v/>
      </c>
      <c r="C1603" s="1072" t="str">
        <f>GLOBAL_DER_FEV_2023!C1603</f>
        <v/>
      </c>
      <c r="D1603" s="1141">
        <f>GLOBAL_DER_FEV_2023!D1603</f>
        <v>0</v>
      </c>
      <c r="E1603" s="907">
        <f>GLOBAL_DER_FEV_2023!E1603</f>
        <v>0</v>
      </c>
      <c r="F1603" s="908">
        <f>GLOBAL_DER_FEV_2023!F1603</f>
        <v>0</v>
      </c>
      <c r="G1603" s="912">
        <f>GLOBAL_DER_FEV_2023!G1603</f>
        <v>0</v>
      </c>
      <c r="H1603" s="901">
        <f>GLOBAL_DER_FEV_2023!H1603</f>
        <v>0</v>
      </c>
      <c r="I1603" s="901" t="str">
        <f>GLOBAL_DER_FEV_2023!I1603</f>
        <v/>
      </c>
      <c r="J1603" s="890">
        <f>GLOBAL_DER_FEV_2023!J1603</f>
        <v>0</v>
      </c>
      <c r="K1603" s="903" t="str">
        <f>GLOBAL_DER_FEV_2023!K1603</f>
        <v xml:space="preserve">     </v>
      </c>
      <c r="L1603" s="1137"/>
      <c r="M1603" s="1138">
        <f t="shared" si="117"/>
        <v>0</v>
      </c>
      <c r="N1603" s="1167">
        <f t="shared" si="121"/>
        <v>0</v>
      </c>
      <c r="O1603" s="1165"/>
      <c r="Q1603" s="317" t="str">
        <f t="shared" si="118"/>
        <v/>
      </c>
      <c r="R1603" s="317" t="str">
        <f t="shared" si="119"/>
        <v/>
      </c>
      <c r="S1603" s="317" t="str">
        <f t="shared" si="120"/>
        <v/>
      </c>
      <c r="T1603" s="317" t="str">
        <f>GLOBAL_DER_FEV_2023!S1603</f>
        <v/>
      </c>
      <c r="W1603" s="582">
        <v>0</v>
      </c>
      <c r="X1603" s="580"/>
      <c r="Y1603" s="583">
        <f>IF(GLOBAL_DER_FEV_2023!W1603=0,0,IF(GLOBAL_DER_FEV_2023!W1603&gt;0,"c","b"))</f>
        <v>0</v>
      </c>
    </row>
    <row r="1604" spans="1:25" ht="15" hidden="1" customHeight="1" x14ac:dyDescent="0.2">
      <c r="A1604" s="640" t="s">
        <v>165</v>
      </c>
      <c r="B1604" s="1036" t="str">
        <f>GLOBAL_DER_FEV_2023!B1604</f>
        <v/>
      </c>
      <c r="C1604" s="1072" t="str">
        <f>GLOBAL_DER_FEV_2023!C1604</f>
        <v/>
      </c>
      <c r="D1604" s="1141">
        <f>GLOBAL_DER_FEV_2023!D1604</f>
        <v>0</v>
      </c>
      <c r="E1604" s="907">
        <f>GLOBAL_DER_FEV_2023!E1604</f>
        <v>0</v>
      </c>
      <c r="F1604" s="908">
        <f>GLOBAL_DER_FEV_2023!F1604</f>
        <v>0</v>
      </c>
      <c r="G1604" s="912">
        <f>GLOBAL_DER_FEV_2023!G1604</f>
        <v>0</v>
      </c>
      <c r="H1604" s="901">
        <f>GLOBAL_DER_FEV_2023!H1604</f>
        <v>0</v>
      </c>
      <c r="I1604" s="901" t="str">
        <f>GLOBAL_DER_FEV_2023!I1604</f>
        <v/>
      </c>
      <c r="J1604" s="890">
        <f>GLOBAL_DER_FEV_2023!J1604</f>
        <v>0</v>
      </c>
      <c r="K1604" s="903" t="str">
        <f>GLOBAL_DER_FEV_2023!K1604</f>
        <v xml:space="preserve">     </v>
      </c>
      <c r="L1604" s="1137"/>
      <c r="M1604" s="1138">
        <f t="shared" si="117"/>
        <v>0</v>
      </c>
      <c r="N1604" s="1167">
        <f t="shared" si="121"/>
        <v>0</v>
      </c>
      <c r="O1604" s="1165"/>
      <c r="Q1604" s="317" t="str">
        <f t="shared" si="118"/>
        <v/>
      </c>
      <c r="R1604" s="317" t="str">
        <f t="shared" si="119"/>
        <v/>
      </c>
      <c r="S1604" s="317" t="str">
        <f t="shared" si="120"/>
        <v/>
      </c>
      <c r="T1604" s="317" t="str">
        <f>GLOBAL_DER_FEV_2023!S1604</f>
        <v/>
      </c>
      <c r="W1604" s="582">
        <v>0</v>
      </c>
      <c r="X1604" s="580"/>
      <c r="Y1604" s="583">
        <f>IF(GLOBAL_DER_FEV_2023!W1604=0,0,IF(GLOBAL_DER_FEV_2023!W1604&gt;0,"c","b"))</f>
        <v>0</v>
      </c>
    </row>
    <row r="1605" spans="1:25" ht="15" hidden="1" customHeight="1" x14ac:dyDescent="0.2">
      <c r="A1605" s="640" t="s">
        <v>165</v>
      </c>
      <c r="B1605" s="1036" t="str">
        <f>GLOBAL_DER_FEV_2023!B1605</f>
        <v/>
      </c>
      <c r="C1605" s="1072" t="str">
        <f>GLOBAL_DER_FEV_2023!C1605</f>
        <v/>
      </c>
      <c r="D1605" s="1141">
        <f>GLOBAL_DER_FEV_2023!D1605</f>
        <v>0</v>
      </c>
      <c r="E1605" s="907">
        <f>GLOBAL_DER_FEV_2023!E1605</f>
        <v>0</v>
      </c>
      <c r="F1605" s="908">
        <f>GLOBAL_DER_FEV_2023!F1605</f>
        <v>0</v>
      </c>
      <c r="G1605" s="912">
        <f>GLOBAL_DER_FEV_2023!G1605</f>
        <v>0</v>
      </c>
      <c r="H1605" s="901">
        <f>GLOBAL_DER_FEV_2023!H1605</f>
        <v>0</v>
      </c>
      <c r="I1605" s="901" t="str">
        <f>GLOBAL_DER_FEV_2023!I1605</f>
        <v/>
      </c>
      <c r="J1605" s="890">
        <f>GLOBAL_DER_FEV_2023!J1605</f>
        <v>0</v>
      </c>
      <c r="K1605" s="903" t="str">
        <f>GLOBAL_DER_FEV_2023!K1605</f>
        <v xml:space="preserve">     </v>
      </c>
      <c r="L1605" s="1137"/>
      <c r="M1605" s="1138">
        <f t="shared" si="117"/>
        <v>0</v>
      </c>
      <c r="N1605" s="1167">
        <f t="shared" si="121"/>
        <v>0</v>
      </c>
      <c r="O1605" s="1165"/>
      <c r="Q1605" s="317" t="str">
        <f t="shared" si="118"/>
        <v/>
      </c>
      <c r="R1605" s="317" t="str">
        <f t="shared" si="119"/>
        <v/>
      </c>
      <c r="S1605" s="317" t="str">
        <f t="shared" si="120"/>
        <v/>
      </c>
      <c r="T1605" s="317" t="str">
        <f>GLOBAL_DER_FEV_2023!S1605</f>
        <v/>
      </c>
      <c r="W1605" s="582">
        <v>0</v>
      </c>
      <c r="X1605" s="580"/>
      <c r="Y1605" s="583">
        <f>IF(GLOBAL_DER_FEV_2023!W1605=0,0,IF(GLOBAL_DER_FEV_2023!W1605&gt;0,"c","b"))</f>
        <v>0</v>
      </c>
    </row>
    <row r="1606" spans="1:25" ht="15" hidden="1" customHeight="1" x14ac:dyDescent="0.2">
      <c r="A1606" s="640" t="s">
        <v>165</v>
      </c>
      <c r="B1606" s="1036" t="str">
        <f>GLOBAL_DER_FEV_2023!B1606</f>
        <v/>
      </c>
      <c r="C1606" s="1072" t="str">
        <f>GLOBAL_DER_FEV_2023!C1606</f>
        <v/>
      </c>
      <c r="D1606" s="1141">
        <f>GLOBAL_DER_FEV_2023!D1606</f>
        <v>0</v>
      </c>
      <c r="E1606" s="907">
        <f>GLOBAL_DER_FEV_2023!E1606</f>
        <v>0</v>
      </c>
      <c r="F1606" s="908">
        <f>GLOBAL_DER_FEV_2023!F1606</f>
        <v>0</v>
      </c>
      <c r="G1606" s="912">
        <f>GLOBAL_DER_FEV_2023!G1606</f>
        <v>0</v>
      </c>
      <c r="H1606" s="901">
        <f>GLOBAL_DER_FEV_2023!H1606</f>
        <v>0</v>
      </c>
      <c r="I1606" s="901" t="str">
        <f>GLOBAL_DER_FEV_2023!I1606</f>
        <v/>
      </c>
      <c r="J1606" s="890">
        <f>GLOBAL_DER_FEV_2023!J1606</f>
        <v>0</v>
      </c>
      <c r="K1606" s="903" t="str">
        <f>GLOBAL_DER_FEV_2023!K1606</f>
        <v xml:space="preserve">     </v>
      </c>
      <c r="L1606" s="1137"/>
      <c r="M1606" s="1138">
        <f t="shared" si="117"/>
        <v>0</v>
      </c>
      <c r="N1606" s="1167">
        <f t="shared" si="121"/>
        <v>0</v>
      </c>
      <c r="O1606" s="1165"/>
      <c r="Q1606" s="317" t="str">
        <f t="shared" si="118"/>
        <v/>
      </c>
      <c r="R1606" s="317" t="str">
        <f t="shared" si="119"/>
        <v/>
      </c>
      <c r="S1606" s="317" t="str">
        <f t="shared" si="120"/>
        <v/>
      </c>
      <c r="T1606" s="317" t="str">
        <f>GLOBAL_DER_FEV_2023!S1606</f>
        <v/>
      </c>
      <c r="W1606" s="582">
        <v>0</v>
      </c>
      <c r="X1606" s="580"/>
      <c r="Y1606" s="583">
        <f>IF(GLOBAL_DER_FEV_2023!W1606=0,0,IF(GLOBAL_DER_FEV_2023!W1606&gt;0,"c","b"))</f>
        <v>0</v>
      </c>
    </row>
    <row r="1607" spans="1:25" ht="15" hidden="1" customHeight="1" x14ac:dyDescent="0.2">
      <c r="A1607" s="640" t="s">
        <v>165</v>
      </c>
      <c r="B1607" s="1036" t="str">
        <f>GLOBAL_DER_FEV_2023!B1607</f>
        <v/>
      </c>
      <c r="C1607" s="1072" t="str">
        <f>GLOBAL_DER_FEV_2023!C1607</f>
        <v/>
      </c>
      <c r="D1607" s="1141">
        <f>GLOBAL_DER_FEV_2023!D1607</f>
        <v>0</v>
      </c>
      <c r="E1607" s="907">
        <f>GLOBAL_DER_FEV_2023!E1607</f>
        <v>0</v>
      </c>
      <c r="F1607" s="908">
        <f>GLOBAL_DER_FEV_2023!F1607</f>
        <v>0</v>
      </c>
      <c r="G1607" s="912">
        <f>GLOBAL_DER_FEV_2023!G1607</f>
        <v>0</v>
      </c>
      <c r="H1607" s="901">
        <f>GLOBAL_DER_FEV_2023!H1607</f>
        <v>0</v>
      </c>
      <c r="I1607" s="901" t="str">
        <f>GLOBAL_DER_FEV_2023!I1607</f>
        <v/>
      </c>
      <c r="J1607" s="890">
        <f>GLOBAL_DER_FEV_2023!J1607</f>
        <v>0</v>
      </c>
      <c r="K1607" s="903" t="str">
        <f>GLOBAL_DER_FEV_2023!K1607</f>
        <v xml:space="preserve">     </v>
      </c>
      <c r="L1607" s="1137"/>
      <c r="M1607" s="1138">
        <f t="shared" si="117"/>
        <v>0</v>
      </c>
      <c r="N1607" s="1167">
        <f t="shared" si="121"/>
        <v>0</v>
      </c>
      <c r="O1607" s="1165"/>
      <c r="Q1607" s="317" t="str">
        <f t="shared" si="118"/>
        <v/>
      </c>
      <c r="R1607" s="317" t="str">
        <f t="shared" si="119"/>
        <v/>
      </c>
      <c r="S1607" s="317" t="str">
        <f t="shared" si="120"/>
        <v/>
      </c>
      <c r="T1607" s="317" t="str">
        <f>GLOBAL_DER_FEV_2023!S1607</f>
        <v/>
      </c>
      <c r="W1607" s="582">
        <v>0</v>
      </c>
      <c r="X1607" s="580"/>
      <c r="Y1607" s="583">
        <f>IF(GLOBAL_DER_FEV_2023!W1607=0,0,IF(GLOBAL_DER_FEV_2023!W1607&gt;0,"c","b"))</f>
        <v>0</v>
      </c>
    </row>
    <row r="1608" spans="1:25" ht="15" hidden="1" customHeight="1" x14ac:dyDescent="0.2">
      <c r="A1608" s="640" t="s">
        <v>165</v>
      </c>
      <c r="B1608" s="1036" t="str">
        <f>GLOBAL_DER_FEV_2023!B1608</f>
        <v/>
      </c>
      <c r="C1608" s="1072" t="str">
        <f>GLOBAL_DER_FEV_2023!C1608</f>
        <v/>
      </c>
      <c r="D1608" s="1141">
        <f>GLOBAL_DER_FEV_2023!D1608</f>
        <v>0</v>
      </c>
      <c r="E1608" s="907">
        <f>GLOBAL_DER_FEV_2023!E1608</f>
        <v>0</v>
      </c>
      <c r="F1608" s="908">
        <f>GLOBAL_DER_FEV_2023!F1608</f>
        <v>0</v>
      </c>
      <c r="G1608" s="912">
        <f>GLOBAL_DER_FEV_2023!G1608</f>
        <v>0</v>
      </c>
      <c r="H1608" s="901">
        <f>GLOBAL_DER_FEV_2023!H1608</f>
        <v>0</v>
      </c>
      <c r="I1608" s="901" t="str">
        <f>GLOBAL_DER_FEV_2023!I1608</f>
        <v/>
      </c>
      <c r="J1608" s="890">
        <f>GLOBAL_DER_FEV_2023!J1608</f>
        <v>0</v>
      </c>
      <c r="K1608" s="903" t="str">
        <f>GLOBAL_DER_FEV_2023!K1608</f>
        <v xml:space="preserve">     </v>
      </c>
      <c r="L1608" s="1137"/>
      <c r="M1608" s="1138">
        <f t="shared" si="117"/>
        <v>0</v>
      </c>
      <c r="N1608" s="1167">
        <f t="shared" si="121"/>
        <v>0</v>
      </c>
      <c r="O1608" s="1165"/>
      <c r="Q1608" s="317" t="str">
        <f t="shared" si="118"/>
        <v/>
      </c>
      <c r="R1608" s="317" t="str">
        <f t="shared" si="119"/>
        <v/>
      </c>
      <c r="S1608" s="317" t="str">
        <f t="shared" si="120"/>
        <v/>
      </c>
      <c r="T1608" s="317" t="str">
        <f>GLOBAL_DER_FEV_2023!S1608</f>
        <v/>
      </c>
      <c r="W1608" s="582">
        <v>0</v>
      </c>
      <c r="X1608" s="580"/>
      <c r="Y1608" s="583">
        <f>IF(GLOBAL_DER_FEV_2023!W1608=0,0,IF(GLOBAL_DER_FEV_2023!W1608&gt;0,"c","b"))</f>
        <v>0</v>
      </c>
    </row>
    <row r="1609" spans="1:25" ht="15" hidden="1" customHeight="1" x14ac:dyDescent="0.2">
      <c r="A1609" s="640" t="s">
        <v>165</v>
      </c>
      <c r="B1609" s="1036" t="str">
        <f>GLOBAL_DER_FEV_2023!B1609</f>
        <v/>
      </c>
      <c r="C1609" s="1072" t="str">
        <f>GLOBAL_DER_FEV_2023!C1609</f>
        <v/>
      </c>
      <c r="D1609" s="1141">
        <f>GLOBAL_DER_FEV_2023!D1609</f>
        <v>0</v>
      </c>
      <c r="E1609" s="907">
        <f>GLOBAL_DER_FEV_2023!E1609</f>
        <v>0</v>
      </c>
      <c r="F1609" s="908">
        <f>GLOBAL_DER_FEV_2023!F1609</f>
        <v>0</v>
      </c>
      <c r="G1609" s="912">
        <f>GLOBAL_DER_FEV_2023!G1609</f>
        <v>0</v>
      </c>
      <c r="H1609" s="901">
        <f>GLOBAL_DER_FEV_2023!H1609</f>
        <v>0</v>
      </c>
      <c r="I1609" s="901" t="str">
        <f>GLOBAL_DER_FEV_2023!I1609</f>
        <v/>
      </c>
      <c r="J1609" s="890">
        <f>GLOBAL_DER_FEV_2023!J1609</f>
        <v>0</v>
      </c>
      <c r="K1609" s="903" t="str">
        <f>GLOBAL_DER_FEV_2023!K1609</f>
        <v xml:space="preserve">     </v>
      </c>
      <c r="L1609" s="1137"/>
      <c r="M1609" s="1138">
        <f t="shared" si="117"/>
        <v>0</v>
      </c>
      <c r="N1609" s="1167">
        <f t="shared" si="121"/>
        <v>0</v>
      </c>
      <c r="O1609" s="1165"/>
      <c r="Q1609" s="317" t="str">
        <f t="shared" si="118"/>
        <v/>
      </c>
      <c r="R1609" s="317" t="str">
        <f t="shared" si="119"/>
        <v/>
      </c>
      <c r="S1609" s="317" t="str">
        <f t="shared" si="120"/>
        <v/>
      </c>
      <c r="T1609" s="317" t="str">
        <f>GLOBAL_DER_FEV_2023!S1609</f>
        <v/>
      </c>
      <c r="W1609" s="582">
        <v>0</v>
      </c>
      <c r="X1609" s="580"/>
      <c r="Y1609" s="583">
        <f>IF(GLOBAL_DER_FEV_2023!W1609=0,0,IF(GLOBAL_DER_FEV_2023!W1609&gt;0,"c","b"))</f>
        <v>0</v>
      </c>
    </row>
    <row r="1610" spans="1:25" ht="15" hidden="1" customHeight="1" x14ac:dyDescent="0.2">
      <c r="A1610" s="640" t="s">
        <v>165</v>
      </c>
      <c r="B1610" s="1036" t="str">
        <f>GLOBAL_DER_FEV_2023!B1610</f>
        <v/>
      </c>
      <c r="C1610" s="1072" t="str">
        <f>GLOBAL_DER_FEV_2023!C1610</f>
        <v/>
      </c>
      <c r="D1610" s="1141">
        <f>GLOBAL_DER_FEV_2023!D1610</f>
        <v>0</v>
      </c>
      <c r="E1610" s="907">
        <f>GLOBAL_DER_FEV_2023!E1610</f>
        <v>0</v>
      </c>
      <c r="F1610" s="908">
        <f>GLOBAL_DER_FEV_2023!F1610</f>
        <v>0</v>
      </c>
      <c r="G1610" s="912">
        <f>GLOBAL_DER_FEV_2023!G1610</f>
        <v>0</v>
      </c>
      <c r="H1610" s="901">
        <f>GLOBAL_DER_FEV_2023!H1610</f>
        <v>0</v>
      </c>
      <c r="I1610" s="901" t="str">
        <f>GLOBAL_DER_FEV_2023!I1610</f>
        <v/>
      </c>
      <c r="J1610" s="890">
        <f>GLOBAL_DER_FEV_2023!J1610</f>
        <v>0</v>
      </c>
      <c r="K1610" s="903" t="str">
        <f>GLOBAL_DER_FEV_2023!K1610</f>
        <v xml:space="preserve">     </v>
      </c>
      <c r="L1610" s="1137"/>
      <c r="M1610" s="1138">
        <f t="shared" si="117"/>
        <v>0</v>
      </c>
      <c r="N1610" s="1167">
        <f t="shared" si="121"/>
        <v>0</v>
      </c>
      <c r="O1610" s="1165"/>
      <c r="Q1610" s="317" t="str">
        <f t="shared" si="118"/>
        <v/>
      </c>
      <c r="R1610" s="317" t="str">
        <f t="shared" si="119"/>
        <v/>
      </c>
      <c r="S1610" s="317" t="str">
        <f t="shared" si="120"/>
        <v/>
      </c>
      <c r="T1610" s="317" t="str">
        <f>GLOBAL_DER_FEV_2023!S1610</f>
        <v/>
      </c>
      <c r="W1610" s="582">
        <v>0</v>
      </c>
      <c r="X1610" s="580"/>
      <c r="Y1610" s="583">
        <f>IF(GLOBAL_DER_FEV_2023!W1610=0,0,IF(GLOBAL_DER_FEV_2023!W1610&gt;0,"c","b"))</f>
        <v>0</v>
      </c>
    </row>
    <row r="1611" spans="1:25" ht="15" hidden="1" customHeight="1" x14ac:dyDescent="0.2">
      <c r="A1611" s="640" t="s">
        <v>165</v>
      </c>
      <c r="B1611" s="1036" t="str">
        <f>GLOBAL_DER_FEV_2023!B1611</f>
        <v/>
      </c>
      <c r="C1611" s="1072" t="str">
        <f>GLOBAL_DER_FEV_2023!C1611</f>
        <v/>
      </c>
      <c r="D1611" s="1141">
        <f>GLOBAL_DER_FEV_2023!D1611</f>
        <v>0</v>
      </c>
      <c r="E1611" s="907">
        <f>GLOBAL_DER_FEV_2023!E1611</f>
        <v>0</v>
      </c>
      <c r="F1611" s="908">
        <f>GLOBAL_DER_FEV_2023!F1611</f>
        <v>0</v>
      </c>
      <c r="G1611" s="912">
        <f>GLOBAL_DER_FEV_2023!G1611</f>
        <v>0</v>
      </c>
      <c r="H1611" s="901">
        <f>GLOBAL_DER_FEV_2023!H1611</f>
        <v>0</v>
      </c>
      <c r="I1611" s="901" t="str">
        <f>GLOBAL_DER_FEV_2023!I1611</f>
        <v/>
      </c>
      <c r="J1611" s="890">
        <f>GLOBAL_DER_FEV_2023!J1611</f>
        <v>0</v>
      </c>
      <c r="K1611" s="903" t="str">
        <f>GLOBAL_DER_FEV_2023!K1611</f>
        <v xml:space="preserve">     </v>
      </c>
      <c r="L1611" s="1137"/>
      <c r="M1611" s="1138">
        <f t="shared" si="117"/>
        <v>0</v>
      </c>
      <c r="N1611" s="1167">
        <f t="shared" si="121"/>
        <v>0</v>
      </c>
      <c r="O1611" s="1165"/>
      <c r="Q1611" s="317" t="str">
        <f t="shared" si="118"/>
        <v/>
      </c>
      <c r="R1611" s="317" t="str">
        <f t="shared" si="119"/>
        <v/>
      </c>
      <c r="S1611" s="317" t="str">
        <f t="shared" si="120"/>
        <v/>
      </c>
      <c r="T1611" s="317" t="str">
        <f>GLOBAL_DER_FEV_2023!S1611</f>
        <v/>
      </c>
      <c r="W1611" s="582">
        <v>0</v>
      </c>
      <c r="X1611" s="580"/>
      <c r="Y1611" s="583">
        <f>IF(GLOBAL_DER_FEV_2023!W1611=0,0,IF(GLOBAL_DER_FEV_2023!W1611&gt;0,"c","b"))</f>
        <v>0</v>
      </c>
    </row>
    <row r="1612" spans="1:25" ht="15" hidden="1" customHeight="1" x14ac:dyDescent="0.2">
      <c r="A1612" s="640" t="s">
        <v>165</v>
      </c>
      <c r="B1612" s="1036" t="str">
        <f>GLOBAL_DER_FEV_2023!B1612</f>
        <v/>
      </c>
      <c r="C1612" s="1072" t="str">
        <f>GLOBAL_DER_FEV_2023!C1612</f>
        <v/>
      </c>
      <c r="D1612" s="1141">
        <f>GLOBAL_DER_FEV_2023!D1612</f>
        <v>0</v>
      </c>
      <c r="E1612" s="907">
        <f>GLOBAL_DER_FEV_2023!E1612</f>
        <v>0</v>
      </c>
      <c r="F1612" s="908">
        <f>GLOBAL_DER_FEV_2023!F1612</f>
        <v>0</v>
      </c>
      <c r="G1612" s="912">
        <f>GLOBAL_DER_FEV_2023!G1612</f>
        <v>0</v>
      </c>
      <c r="H1612" s="901">
        <f>GLOBAL_DER_FEV_2023!H1612</f>
        <v>0</v>
      </c>
      <c r="I1612" s="901" t="str">
        <f>GLOBAL_DER_FEV_2023!I1612</f>
        <v/>
      </c>
      <c r="J1612" s="890">
        <f>GLOBAL_DER_FEV_2023!J1612</f>
        <v>0</v>
      </c>
      <c r="K1612" s="903" t="str">
        <f>GLOBAL_DER_FEV_2023!K1612</f>
        <v xml:space="preserve">     </v>
      </c>
      <c r="L1612" s="1137"/>
      <c r="M1612" s="1138">
        <f t="shared" si="117"/>
        <v>0</v>
      </c>
      <c r="N1612" s="1167">
        <f t="shared" si="121"/>
        <v>0</v>
      </c>
      <c r="O1612" s="1165"/>
      <c r="Q1612" s="317" t="str">
        <f t="shared" si="118"/>
        <v/>
      </c>
      <c r="R1612" s="317" t="str">
        <f t="shared" si="119"/>
        <v/>
      </c>
      <c r="S1612" s="317" t="str">
        <f t="shared" si="120"/>
        <v/>
      </c>
      <c r="T1612" s="317" t="str">
        <f>GLOBAL_DER_FEV_2023!S1612</f>
        <v/>
      </c>
      <c r="W1612" s="582">
        <v>0</v>
      </c>
      <c r="X1612" s="580"/>
      <c r="Y1612" s="583">
        <f>IF(GLOBAL_DER_FEV_2023!W1612=0,0,IF(GLOBAL_DER_FEV_2023!W1612&gt;0,"c","b"))</f>
        <v>0</v>
      </c>
    </row>
    <row r="1613" spans="1:25" ht="15" hidden="1" customHeight="1" x14ac:dyDescent="0.2">
      <c r="A1613" s="640" t="s">
        <v>165</v>
      </c>
      <c r="B1613" s="1036" t="str">
        <f>GLOBAL_DER_FEV_2023!B1613</f>
        <v/>
      </c>
      <c r="C1613" s="1072" t="str">
        <f>GLOBAL_DER_FEV_2023!C1613</f>
        <v/>
      </c>
      <c r="D1613" s="1141">
        <f>GLOBAL_DER_FEV_2023!D1613</f>
        <v>0</v>
      </c>
      <c r="E1613" s="907">
        <f>GLOBAL_DER_FEV_2023!E1613</f>
        <v>0</v>
      </c>
      <c r="F1613" s="908">
        <f>GLOBAL_DER_FEV_2023!F1613</f>
        <v>0</v>
      </c>
      <c r="G1613" s="912">
        <f>GLOBAL_DER_FEV_2023!G1613</f>
        <v>0</v>
      </c>
      <c r="H1613" s="901">
        <f>GLOBAL_DER_FEV_2023!H1613</f>
        <v>0</v>
      </c>
      <c r="I1613" s="901" t="str">
        <f>GLOBAL_DER_FEV_2023!I1613</f>
        <v/>
      </c>
      <c r="J1613" s="890">
        <f>GLOBAL_DER_FEV_2023!J1613</f>
        <v>0</v>
      </c>
      <c r="K1613" s="903" t="str">
        <f>GLOBAL_DER_FEV_2023!K1613</f>
        <v xml:space="preserve">     </v>
      </c>
      <c r="L1613" s="1137"/>
      <c r="M1613" s="1138">
        <f t="shared" si="117"/>
        <v>0</v>
      </c>
      <c r="N1613" s="1167">
        <f t="shared" si="121"/>
        <v>0</v>
      </c>
      <c r="O1613" s="1165"/>
      <c r="Q1613" s="317" t="str">
        <f t="shared" si="118"/>
        <v/>
      </c>
      <c r="R1613" s="317" t="str">
        <f t="shared" si="119"/>
        <v/>
      </c>
      <c r="S1613" s="317" t="str">
        <f t="shared" si="120"/>
        <v/>
      </c>
      <c r="T1613" s="317" t="str">
        <f>GLOBAL_DER_FEV_2023!S1613</f>
        <v/>
      </c>
      <c r="W1613" s="582">
        <v>0</v>
      </c>
      <c r="X1613" s="580"/>
      <c r="Y1613" s="583">
        <f>IF(GLOBAL_DER_FEV_2023!W1613=0,0,IF(GLOBAL_DER_FEV_2023!W1613&gt;0,"c","b"))</f>
        <v>0</v>
      </c>
    </row>
    <row r="1614" spans="1:25" ht="15" hidden="1" customHeight="1" x14ac:dyDescent="0.2">
      <c r="A1614" s="640" t="s">
        <v>165</v>
      </c>
      <c r="B1614" s="1036" t="str">
        <f>GLOBAL_DER_FEV_2023!B1614</f>
        <v/>
      </c>
      <c r="C1614" s="1072" t="str">
        <f>GLOBAL_DER_FEV_2023!C1614</f>
        <v/>
      </c>
      <c r="D1614" s="1141">
        <f>GLOBAL_DER_FEV_2023!D1614</f>
        <v>0</v>
      </c>
      <c r="E1614" s="907">
        <f>GLOBAL_DER_FEV_2023!E1614</f>
        <v>0</v>
      </c>
      <c r="F1614" s="908">
        <f>GLOBAL_DER_FEV_2023!F1614</f>
        <v>0</v>
      </c>
      <c r="G1614" s="912">
        <f>GLOBAL_DER_FEV_2023!G1614</f>
        <v>0</v>
      </c>
      <c r="H1614" s="901">
        <f>GLOBAL_DER_FEV_2023!H1614</f>
        <v>0</v>
      </c>
      <c r="I1614" s="901" t="str">
        <f>GLOBAL_DER_FEV_2023!I1614</f>
        <v/>
      </c>
      <c r="J1614" s="890">
        <f>GLOBAL_DER_FEV_2023!J1614</f>
        <v>0</v>
      </c>
      <c r="K1614" s="903" t="str">
        <f>GLOBAL_DER_FEV_2023!K1614</f>
        <v xml:space="preserve">     </v>
      </c>
      <c r="L1614" s="1137"/>
      <c r="M1614" s="1138">
        <f t="shared" si="117"/>
        <v>0</v>
      </c>
      <c r="N1614" s="1167">
        <f t="shared" si="121"/>
        <v>0</v>
      </c>
      <c r="O1614" s="1165"/>
      <c r="Q1614" s="317" t="str">
        <f t="shared" si="118"/>
        <v/>
      </c>
      <c r="R1614" s="317" t="str">
        <f t="shared" si="119"/>
        <v/>
      </c>
      <c r="S1614" s="317" t="str">
        <f t="shared" si="120"/>
        <v/>
      </c>
      <c r="T1614" s="317" t="str">
        <f>GLOBAL_DER_FEV_2023!S1614</f>
        <v/>
      </c>
      <c r="W1614" s="582">
        <v>0</v>
      </c>
      <c r="X1614" s="580"/>
      <c r="Y1614" s="583">
        <f>IF(GLOBAL_DER_FEV_2023!W1614=0,0,IF(GLOBAL_DER_FEV_2023!W1614&gt;0,"c","b"))</f>
        <v>0</v>
      </c>
    </row>
    <row r="1615" spans="1:25" ht="15" hidden="1" customHeight="1" x14ac:dyDescent="0.2">
      <c r="A1615" s="640" t="s">
        <v>165</v>
      </c>
      <c r="B1615" s="1036" t="str">
        <f>GLOBAL_DER_FEV_2023!B1615</f>
        <v/>
      </c>
      <c r="C1615" s="1072" t="str">
        <f>GLOBAL_DER_FEV_2023!C1615</f>
        <v/>
      </c>
      <c r="D1615" s="1141">
        <f>GLOBAL_DER_FEV_2023!D1615</f>
        <v>0</v>
      </c>
      <c r="E1615" s="907">
        <f>GLOBAL_DER_FEV_2023!E1615</f>
        <v>0</v>
      </c>
      <c r="F1615" s="908">
        <f>GLOBAL_DER_FEV_2023!F1615</f>
        <v>0</v>
      </c>
      <c r="G1615" s="912">
        <f>GLOBAL_DER_FEV_2023!G1615</f>
        <v>0</v>
      </c>
      <c r="H1615" s="901">
        <f>GLOBAL_DER_FEV_2023!H1615</f>
        <v>0</v>
      </c>
      <c r="I1615" s="901" t="str">
        <f>GLOBAL_DER_FEV_2023!I1615</f>
        <v/>
      </c>
      <c r="J1615" s="890">
        <f>GLOBAL_DER_FEV_2023!J1615</f>
        <v>0</v>
      </c>
      <c r="K1615" s="903" t="str">
        <f>GLOBAL_DER_FEV_2023!K1615</f>
        <v xml:space="preserve">     </v>
      </c>
      <c r="L1615" s="1137"/>
      <c r="M1615" s="1138">
        <f t="shared" si="117"/>
        <v>0</v>
      </c>
      <c r="N1615" s="1167">
        <f t="shared" si="121"/>
        <v>0</v>
      </c>
      <c r="O1615" s="1165"/>
      <c r="Q1615" s="317" t="str">
        <f t="shared" si="118"/>
        <v/>
      </c>
      <c r="R1615" s="317" t="str">
        <f t="shared" si="119"/>
        <v/>
      </c>
      <c r="S1615" s="317" t="str">
        <f t="shared" si="120"/>
        <v/>
      </c>
      <c r="T1615" s="317" t="str">
        <f>GLOBAL_DER_FEV_2023!S1615</f>
        <v/>
      </c>
      <c r="W1615" s="582">
        <v>0</v>
      </c>
      <c r="X1615" s="580"/>
      <c r="Y1615" s="583">
        <f>IF(GLOBAL_DER_FEV_2023!W1615=0,0,IF(GLOBAL_DER_FEV_2023!W1615&gt;0,"c","b"))</f>
        <v>0</v>
      </c>
    </row>
    <row r="1616" spans="1:25" ht="15" hidden="1" customHeight="1" x14ac:dyDescent="0.2">
      <c r="A1616" s="640" t="s">
        <v>165</v>
      </c>
      <c r="B1616" s="1036" t="str">
        <f>GLOBAL_DER_FEV_2023!B1616</f>
        <v/>
      </c>
      <c r="C1616" s="1072" t="str">
        <f>GLOBAL_DER_FEV_2023!C1616</f>
        <v/>
      </c>
      <c r="D1616" s="1141">
        <f>GLOBAL_DER_FEV_2023!D1616</f>
        <v>0</v>
      </c>
      <c r="E1616" s="907">
        <f>GLOBAL_DER_FEV_2023!E1616</f>
        <v>0</v>
      </c>
      <c r="F1616" s="908">
        <f>GLOBAL_DER_FEV_2023!F1616</f>
        <v>0</v>
      </c>
      <c r="G1616" s="912">
        <f>GLOBAL_DER_FEV_2023!G1616</f>
        <v>0</v>
      </c>
      <c r="H1616" s="901">
        <f>GLOBAL_DER_FEV_2023!H1616</f>
        <v>0</v>
      </c>
      <c r="I1616" s="901" t="str">
        <f>GLOBAL_DER_FEV_2023!I1616</f>
        <v/>
      </c>
      <c r="J1616" s="890">
        <f>GLOBAL_DER_FEV_2023!J1616</f>
        <v>0</v>
      </c>
      <c r="K1616" s="903" t="str">
        <f>GLOBAL_DER_FEV_2023!K1616</f>
        <v xml:space="preserve">     </v>
      </c>
      <c r="L1616" s="1137"/>
      <c r="M1616" s="1138">
        <f t="shared" si="117"/>
        <v>0</v>
      </c>
      <c r="N1616" s="1167">
        <f t="shared" si="121"/>
        <v>0</v>
      </c>
      <c r="O1616" s="1165"/>
      <c r="Q1616" s="317" t="str">
        <f t="shared" si="118"/>
        <v/>
      </c>
      <c r="R1616" s="317" t="str">
        <f t="shared" si="119"/>
        <v/>
      </c>
      <c r="S1616" s="317" t="str">
        <f t="shared" si="120"/>
        <v/>
      </c>
      <c r="T1616" s="317" t="str">
        <f>GLOBAL_DER_FEV_2023!S1616</f>
        <v/>
      </c>
      <c r="W1616" s="582">
        <v>0</v>
      </c>
      <c r="X1616" s="580"/>
      <c r="Y1616" s="583">
        <f>IF(GLOBAL_DER_FEV_2023!W1616=0,0,IF(GLOBAL_DER_FEV_2023!W1616&gt;0,"c","b"))</f>
        <v>0</v>
      </c>
    </row>
    <row r="1617" spans="1:25" ht="15" hidden="1" customHeight="1" x14ac:dyDescent="0.2">
      <c r="A1617" s="640" t="s">
        <v>165</v>
      </c>
      <c r="B1617" s="1036" t="str">
        <f>GLOBAL_DER_FEV_2023!B1617</f>
        <v/>
      </c>
      <c r="C1617" s="1072" t="str">
        <f>GLOBAL_DER_FEV_2023!C1617</f>
        <v/>
      </c>
      <c r="D1617" s="1141">
        <f>GLOBAL_DER_FEV_2023!D1617</f>
        <v>0</v>
      </c>
      <c r="E1617" s="907">
        <f>GLOBAL_DER_FEV_2023!E1617</f>
        <v>0</v>
      </c>
      <c r="F1617" s="908">
        <f>GLOBAL_DER_FEV_2023!F1617</f>
        <v>0</v>
      </c>
      <c r="G1617" s="912">
        <f>GLOBAL_DER_FEV_2023!G1617</f>
        <v>0</v>
      </c>
      <c r="H1617" s="901">
        <f>GLOBAL_DER_FEV_2023!H1617</f>
        <v>0</v>
      </c>
      <c r="I1617" s="901" t="str">
        <f>GLOBAL_DER_FEV_2023!I1617</f>
        <v/>
      </c>
      <c r="J1617" s="890">
        <f>GLOBAL_DER_FEV_2023!J1617</f>
        <v>0</v>
      </c>
      <c r="K1617" s="903" t="str">
        <f>GLOBAL_DER_FEV_2023!K1617</f>
        <v xml:space="preserve">     </v>
      </c>
      <c r="L1617" s="1137"/>
      <c r="M1617" s="1138">
        <f t="shared" si="117"/>
        <v>0</v>
      </c>
      <c r="N1617" s="1167">
        <f t="shared" si="121"/>
        <v>0</v>
      </c>
      <c r="O1617" s="1165"/>
      <c r="Q1617" s="317" t="str">
        <f t="shared" si="118"/>
        <v/>
      </c>
      <c r="R1617" s="317" t="str">
        <f t="shared" si="119"/>
        <v/>
      </c>
      <c r="S1617" s="317" t="str">
        <f t="shared" si="120"/>
        <v/>
      </c>
      <c r="T1617" s="317" t="str">
        <f>GLOBAL_DER_FEV_2023!S1617</f>
        <v/>
      </c>
      <c r="W1617" s="582">
        <v>0</v>
      </c>
      <c r="X1617" s="580"/>
      <c r="Y1617" s="583">
        <f>IF(GLOBAL_DER_FEV_2023!W1617=0,0,IF(GLOBAL_DER_FEV_2023!W1617&gt;0,"c","b"))</f>
        <v>0</v>
      </c>
    </row>
    <row r="1618" spans="1:25" ht="15" hidden="1" customHeight="1" x14ac:dyDescent="0.2">
      <c r="A1618" s="640" t="s">
        <v>165</v>
      </c>
      <c r="B1618" s="1036" t="str">
        <f>GLOBAL_DER_FEV_2023!B1618</f>
        <v/>
      </c>
      <c r="C1618" s="1072" t="str">
        <f>GLOBAL_DER_FEV_2023!C1618</f>
        <v/>
      </c>
      <c r="D1618" s="1141">
        <f>GLOBAL_DER_FEV_2023!D1618</f>
        <v>0</v>
      </c>
      <c r="E1618" s="907">
        <f>GLOBAL_DER_FEV_2023!E1618</f>
        <v>0</v>
      </c>
      <c r="F1618" s="908">
        <f>GLOBAL_DER_FEV_2023!F1618</f>
        <v>0</v>
      </c>
      <c r="G1618" s="912">
        <f>GLOBAL_DER_FEV_2023!G1618</f>
        <v>0</v>
      </c>
      <c r="H1618" s="901">
        <f>GLOBAL_DER_FEV_2023!H1618</f>
        <v>0</v>
      </c>
      <c r="I1618" s="901" t="str">
        <f>GLOBAL_DER_FEV_2023!I1618</f>
        <v/>
      </c>
      <c r="J1618" s="890">
        <f>GLOBAL_DER_FEV_2023!J1618</f>
        <v>0</v>
      </c>
      <c r="K1618" s="903" t="str">
        <f>GLOBAL_DER_FEV_2023!K1618</f>
        <v xml:space="preserve">     </v>
      </c>
      <c r="L1618" s="1137"/>
      <c r="M1618" s="1138">
        <f t="shared" ref="M1618:M1681" si="122">IF(L1618=0,0,ROUND(J1618,2))</f>
        <v>0</v>
      </c>
      <c r="N1618" s="1167">
        <f t="shared" si="121"/>
        <v>0</v>
      </c>
      <c r="O1618" s="1165"/>
      <c r="Q1618" s="317" t="str">
        <f t="shared" si="118"/>
        <v/>
      </c>
      <c r="R1618" s="317" t="str">
        <f t="shared" si="119"/>
        <v/>
      </c>
      <c r="S1618" s="317" t="str">
        <f t="shared" si="120"/>
        <v/>
      </c>
      <c r="T1618" s="317" t="str">
        <f>GLOBAL_DER_FEV_2023!S1618</f>
        <v/>
      </c>
      <c r="W1618" s="582">
        <v>0</v>
      </c>
      <c r="X1618" s="580"/>
      <c r="Y1618" s="583">
        <f>IF(GLOBAL_DER_FEV_2023!W1618=0,0,IF(GLOBAL_DER_FEV_2023!W1618&gt;0,"c","b"))</f>
        <v>0</v>
      </c>
    </row>
    <row r="1619" spans="1:25" ht="15" hidden="1" customHeight="1" x14ac:dyDescent="0.2">
      <c r="A1619" s="640" t="s">
        <v>165</v>
      </c>
      <c r="B1619" s="1036" t="str">
        <f>GLOBAL_DER_FEV_2023!B1619</f>
        <v/>
      </c>
      <c r="C1619" s="1072" t="str">
        <f>GLOBAL_DER_FEV_2023!C1619</f>
        <v/>
      </c>
      <c r="D1619" s="1141">
        <f>GLOBAL_DER_FEV_2023!D1619</f>
        <v>0</v>
      </c>
      <c r="E1619" s="907">
        <f>GLOBAL_DER_FEV_2023!E1619</f>
        <v>0</v>
      </c>
      <c r="F1619" s="908">
        <f>GLOBAL_DER_FEV_2023!F1619</f>
        <v>0</v>
      </c>
      <c r="G1619" s="912">
        <f>GLOBAL_DER_FEV_2023!G1619</f>
        <v>0</v>
      </c>
      <c r="H1619" s="901">
        <f>GLOBAL_DER_FEV_2023!H1619</f>
        <v>0</v>
      </c>
      <c r="I1619" s="901" t="str">
        <f>GLOBAL_DER_FEV_2023!I1619</f>
        <v/>
      </c>
      <c r="J1619" s="890">
        <f>GLOBAL_DER_FEV_2023!J1619</f>
        <v>0</v>
      </c>
      <c r="K1619" s="903" t="str">
        <f>GLOBAL_DER_FEV_2023!K1619</f>
        <v xml:space="preserve">     </v>
      </c>
      <c r="L1619" s="1137"/>
      <c r="M1619" s="1138">
        <f t="shared" si="122"/>
        <v>0</v>
      </c>
      <c r="N1619" s="1167">
        <f t="shared" si="121"/>
        <v>0</v>
      </c>
      <c r="O1619" s="1165"/>
      <c r="Q1619" s="317" t="str">
        <f t="shared" si="118"/>
        <v/>
      </c>
      <c r="R1619" s="317" t="str">
        <f t="shared" si="119"/>
        <v/>
      </c>
      <c r="S1619" s="317" t="str">
        <f t="shared" si="120"/>
        <v/>
      </c>
      <c r="T1619" s="317" t="str">
        <f>GLOBAL_DER_FEV_2023!S1619</f>
        <v/>
      </c>
      <c r="W1619" s="582">
        <v>0</v>
      </c>
      <c r="X1619" s="580"/>
      <c r="Y1619" s="583">
        <f>IF(GLOBAL_DER_FEV_2023!W1619=0,0,IF(GLOBAL_DER_FEV_2023!W1619&gt;0,"c","b"))</f>
        <v>0</v>
      </c>
    </row>
    <row r="1620" spans="1:25" ht="15" hidden="1" customHeight="1" x14ac:dyDescent="0.2">
      <c r="A1620" s="640" t="s">
        <v>165</v>
      </c>
      <c r="B1620" s="1036" t="str">
        <f>GLOBAL_DER_FEV_2023!B1620</f>
        <v/>
      </c>
      <c r="C1620" s="1072" t="str">
        <f>GLOBAL_DER_FEV_2023!C1620</f>
        <v/>
      </c>
      <c r="D1620" s="1141">
        <f>GLOBAL_DER_FEV_2023!D1620</f>
        <v>0</v>
      </c>
      <c r="E1620" s="907">
        <f>GLOBAL_DER_FEV_2023!E1620</f>
        <v>0</v>
      </c>
      <c r="F1620" s="908">
        <f>GLOBAL_DER_FEV_2023!F1620</f>
        <v>0</v>
      </c>
      <c r="G1620" s="912">
        <f>GLOBAL_DER_FEV_2023!G1620</f>
        <v>0</v>
      </c>
      <c r="H1620" s="901">
        <f>GLOBAL_DER_FEV_2023!H1620</f>
        <v>0</v>
      </c>
      <c r="I1620" s="901" t="str">
        <f>GLOBAL_DER_FEV_2023!I1620</f>
        <v/>
      </c>
      <c r="J1620" s="890">
        <f>GLOBAL_DER_FEV_2023!J1620</f>
        <v>0</v>
      </c>
      <c r="K1620" s="903" t="str">
        <f>GLOBAL_DER_FEV_2023!K1620</f>
        <v xml:space="preserve">     </v>
      </c>
      <c r="L1620" s="1137"/>
      <c r="M1620" s="1138">
        <f t="shared" si="122"/>
        <v>0</v>
      </c>
      <c r="N1620" s="1167">
        <f t="shared" si="121"/>
        <v>0</v>
      </c>
      <c r="O1620" s="1165"/>
      <c r="Q1620" s="317" t="str">
        <f t="shared" si="118"/>
        <v/>
      </c>
      <c r="R1620" s="317" t="str">
        <f t="shared" si="119"/>
        <v/>
      </c>
      <c r="S1620" s="317" t="str">
        <f t="shared" si="120"/>
        <v/>
      </c>
      <c r="T1620" s="317" t="str">
        <f>GLOBAL_DER_FEV_2023!S1620</f>
        <v/>
      </c>
      <c r="W1620" s="582">
        <v>0</v>
      </c>
      <c r="X1620" s="580"/>
      <c r="Y1620" s="583">
        <f>IF(GLOBAL_DER_FEV_2023!W1620=0,0,IF(GLOBAL_DER_FEV_2023!W1620&gt;0,"c","b"))</f>
        <v>0</v>
      </c>
    </row>
    <row r="1621" spans="1:25" ht="15" hidden="1" customHeight="1" x14ac:dyDescent="0.2">
      <c r="A1621" s="640" t="s">
        <v>165</v>
      </c>
      <c r="B1621" s="1036" t="str">
        <f>GLOBAL_DER_FEV_2023!B1621</f>
        <v/>
      </c>
      <c r="C1621" s="1072" t="str">
        <f>GLOBAL_DER_FEV_2023!C1621</f>
        <v/>
      </c>
      <c r="D1621" s="1141">
        <f>GLOBAL_DER_FEV_2023!D1621</f>
        <v>0</v>
      </c>
      <c r="E1621" s="907">
        <f>GLOBAL_DER_FEV_2023!E1621</f>
        <v>0</v>
      </c>
      <c r="F1621" s="908">
        <f>GLOBAL_DER_FEV_2023!F1621</f>
        <v>0</v>
      </c>
      <c r="G1621" s="912">
        <f>GLOBAL_DER_FEV_2023!G1621</f>
        <v>0</v>
      </c>
      <c r="H1621" s="901">
        <f>GLOBAL_DER_FEV_2023!H1621</f>
        <v>0</v>
      </c>
      <c r="I1621" s="901" t="str">
        <f>GLOBAL_DER_FEV_2023!I1621</f>
        <v/>
      </c>
      <c r="J1621" s="890">
        <f>GLOBAL_DER_FEV_2023!J1621</f>
        <v>0</v>
      </c>
      <c r="K1621" s="903" t="str">
        <f>GLOBAL_DER_FEV_2023!K1621</f>
        <v xml:space="preserve">     </v>
      </c>
      <c r="L1621" s="1137"/>
      <c r="M1621" s="1138">
        <f t="shared" si="122"/>
        <v>0</v>
      </c>
      <c r="N1621" s="1167">
        <f t="shared" si="121"/>
        <v>0</v>
      </c>
      <c r="O1621" s="1165"/>
      <c r="Q1621" s="317" t="str">
        <f t="shared" si="118"/>
        <v/>
      </c>
      <c r="R1621" s="317" t="str">
        <f t="shared" si="119"/>
        <v/>
      </c>
      <c r="S1621" s="317" t="str">
        <f t="shared" si="120"/>
        <v/>
      </c>
      <c r="T1621" s="317" t="str">
        <f>GLOBAL_DER_FEV_2023!S1621</f>
        <v/>
      </c>
      <c r="W1621" s="582">
        <v>0</v>
      </c>
      <c r="X1621" s="580"/>
      <c r="Y1621" s="583">
        <f>IF(GLOBAL_DER_FEV_2023!W1621=0,0,IF(GLOBAL_DER_FEV_2023!W1621&gt;0,"c","b"))</f>
        <v>0</v>
      </c>
    </row>
    <row r="1622" spans="1:25" ht="15" hidden="1" customHeight="1" x14ac:dyDescent="0.2">
      <c r="A1622" s="640" t="s">
        <v>165</v>
      </c>
      <c r="B1622" s="1036" t="str">
        <f>GLOBAL_DER_FEV_2023!B1622</f>
        <v/>
      </c>
      <c r="C1622" s="1072" t="str">
        <f>GLOBAL_DER_FEV_2023!C1622</f>
        <v/>
      </c>
      <c r="D1622" s="1141">
        <f>GLOBAL_DER_FEV_2023!D1622</f>
        <v>0</v>
      </c>
      <c r="E1622" s="907">
        <f>GLOBAL_DER_FEV_2023!E1622</f>
        <v>0</v>
      </c>
      <c r="F1622" s="908">
        <f>GLOBAL_DER_FEV_2023!F1622</f>
        <v>0</v>
      </c>
      <c r="G1622" s="912">
        <f>GLOBAL_DER_FEV_2023!G1622</f>
        <v>0</v>
      </c>
      <c r="H1622" s="901">
        <f>GLOBAL_DER_FEV_2023!H1622</f>
        <v>0</v>
      </c>
      <c r="I1622" s="901" t="str">
        <f>GLOBAL_DER_FEV_2023!I1622</f>
        <v/>
      </c>
      <c r="J1622" s="890">
        <f>GLOBAL_DER_FEV_2023!J1622</f>
        <v>0</v>
      </c>
      <c r="K1622" s="903" t="str">
        <f>GLOBAL_DER_FEV_2023!K1622</f>
        <v xml:space="preserve">     </v>
      </c>
      <c r="L1622" s="1137"/>
      <c r="M1622" s="1138">
        <f t="shared" si="122"/>
        <v>0</v>
      </c>
      <c r="N1622" s="1167">
        <f t="shared" si="121"/>
        <v>0</v>
      </c>
      <c r="O1622" s="1165"/>
      <c r="Q1622" s="317" t="str">
        <f t="shared" si="118"/>
        <v/>
      </c>
      <c r="R1622" s="317" t="str">
        <f t="shared" si="119"/>
        <v/>
      </c>
      <c r="S1622" s="317" t="str">
        <f t="shared" si="120"/>
        <v/>
      </c>
      <c r="T1622" s="317" t="str">
        <f>GLOBAL_DER_FEV_2023!S1622</f>
        <v/>
      </c>
      <c r="W1622" s="582">
        <v>0</v>
      </c>
      <c r="X1622" s="580"/>
      <c r="Y1622" s="583">
        <f>IF(GLOBAL_DER_FEV_2023!W1622=0,0,IF(GLOBAL_DER_FEV_2023!W1622&gt;0,"c","b"))</f>
        <v>0</v>
      </c>
    </row>
    <row r="1623" spans="1:25" ht="15" hidden="1" customHeight="1" x14ac:dyDescent="0.2">
      <c r="A1623" s="640" t="s">
        <v>165</v>
      </c>
      <c r="B1623" s="1036" t="str">
        <f>GLOBAL_DER_FEV_2023!B1623</f>
        <v/>
      </c>
      <c r="C1623" s="1072" t="str">
        <f>GLOBAL_DER_FEV_2023!C1623</f>
        <v/>
      </c>
      <c r="D1623" s="1141">
        <f>GLOBAL_DER_FEV_2023!D1623</f>
        <v>0</v>
      </c>
      <c r="E1623" s="907">
        <f>GLOBAL_DER_FEV_2023!E1623</f>
        <v>0</v>
      </c>
      <c r="F1623" s="908">
        <f>GLOBAL_DER_FEV_2023!F1623</f>
        <v>0</v>
      </c>
      <c r="G1623" s="912">
        <f>GLOBAL_DER_FEV_2023!G1623</f>
        <v>0</v>
      </c>
      <c r="H1623" s="901">
        <f>GLOBAL_DER_FEV_2023!H1623</f>
        <v>0</v>
      </c>
      <c r="I1623" s="901" t="str">
        <f>GLOBAL_DER_FEV_2023!I1623</f>
        <v/>
      </c>
      <c r="J1623" s="890">
        <f>GLOBAL_DER_FEV_2023!J1623</f>
        <v>0</v>
      </c>
      <c r="K1623" s="903" t="str">
        <f>GLOBAL_DER_FEV_2023!K1623</f>
        <v xml:space="preserve">     </v>
      </c>
      <c r="L1623" s="1137"/>
      <c r="M1623" s="1138">
        <f t="shared" si="122"/>
        <v>0</v>
      </c>
      <c r="N1623" s="1167">
        <f t="shared" si="121"/>
        <v>0</v>
      </c>
      <c r="O1623" s="1165"/>
      <c r="Q1623" s="317" t="str">
        <f t="shared" si="118"/>
        <v/>
      </c>
      <c r="R1623" s="317" t="str">
        <f t="shared" si="119"/>
        <v/>
      </c>
      <c r="S1623" s="317" t="str">
        <f t="shared" si="120"/>
        <v/>
      </c>
      <c r="T1623" s="317" t="str">
        <f>GLOBAL_DER_FEV_2023!S1623</f>
        <v/>
      </c>
      <c r="W1623" s="582">
        <v>0</v>
      </c>
      <c r="X1623" s="580"/>
      <c r="Y1623" s="583">
        <f>IF(GLOBAL_DER_FEV_2023!W1623=0,0,IF(GLOBAL_DER_FEV_2023!W1623&gt;0,"c","b"))</f>
        <v>0</v>
      </c>
    </row>
    <row r="1624" spans="1:25" ht="15" hidden="1" customHeight="1" thickBot="1" x14ac:dyDescent="0.25">
      <c r="A1624" s="640" t="s">
        <v>165</v>
      </c>
      <c r="B1624" s="1036" t="str">
        <f>GLOBAL_DER_FEV_2023!B1624</f>
        <v/>
      </c>
      <c r="C1624" s="1072" t="str">
        <f>GLOBAL_DER_FEV_2023!C1624</f>
        <v/>
      </c>
      <c r="D1624" s="1141">
        <f>GLOBAL_DER_FEV_2023!D1624</f>
        <v>0</v>
      </c>
      <c r="E1624" s="907">
        <f>GLOBAL_DER_FEV_2023!E1624</f>
        <v>0</v>
      </c>
      <c r="F1624" s="908">
        <f>GLOBAL_DER_FEV_2023!F1624</f>
        <v>0</v>
      </c>
      <c r="G1624" s="912">
        <f>GLOBAL_DER_FEV_2023!G1624</f>
        <v>0</v>
      </c>
      <c r="H1624" s="901">
        <f>GLOBAL_DER_FEV_2023!H1624</f>
        <v>0</v>
      </c>
      <c r="I1624" s="901" t="str">
        <f>GLOBAL_DER_FEV_2023!I1624</f>
        <v/>
      </c>
      <c r="J1624" s="890">
        <f>GLOBAL_DER_FEV_2023!J1624</f>
        <v>0</v>
      </c>
      <c r="K1624" s="903" t="str">
        <f>GLOBAL_DER_FEV_2023!K1624</f>
        <v xml:space="preserve">     </v>
      </c>
      <c r="L1624" s="1137"/>
      <c r="M1624" s="1138">
        <f t="shared" si="122"/>
        <v>0</v>
      </c>
      <c r="N1624" s="1167">
        <f t="shared" si="121"/>
        <v>0</v>
      </c>
      <c r="O1624" s="1165"/>
      <c r="Q1624" s="317" t="str">
        <f t="shared" si="118"/>
        <v/>
      </c>
      <c r="R1624" s="317" t="str">
        <f t="shared" si="119"/>
        <v/>
      </c>
      <c r="S1624" s="317" t="str">
        <f t="shared" si="120"/>
        <v/>
      </c>
      <c r="T1624" s="317" t="str">
        <f>GLOBAL_DER_FEV_2023!S1624</f>
        <v/>
      </c>
      <c r="W1624" s="582">
        <v>0</v>
      </c>
      <c r="X1624" s="580"/>
      <c r="Y1624" s="583">
        <f>IF(GLOBAL_DER_FEV_2023!W1624=0,0,IF(GLOBAL_DER_FEV_2023!W1624&gt;0,"c","b"))</f>
        <v>0</v>
      </c>
    </row>
    <row r="1625" spans="1:25" ht="15" hidden="1" customHeight="1" thickBot="1" x14ac:dyDescent="0.25">
      <c r="A1625" s="317" t="s">
        <v>441</v>
      </c>
      <c r="B1625" s="950" t="s">
        <v>439</v>
      </c>
      <c r="C1625" s="951"/>
      <c r="D1625" s="952" t="s">
        <v>440</v>
      </c>
      <c r="E1625" s="943">
        <f>GLOBAL_DER_FEV_2023!E1625</f>
        <v>0</v>
      </c>
      <c r="F1625" s="876"/>
      <c r="G1625" s="944"/>
      <c r="H1625" s="945">
        <f>GLOBAL_DER_FEV_2023!H1625</f>
        <v>0</v>
      </c>
      <c r="I1625" s="945">
        <f>GLOBAL_DER_FEV_2023!I1625</f>
        <v>0</v>
      </c>
      <c r="J1625" s="945">
        <f>GLOBAL_DER_FEV_2023!J1625</f>
        <v>0</v>
      </c>
      <c r="K1625" s="878" t="s">
        <v>507</v>
      </c>
      <c r="L1625" s="1171"/>
      <c r="M1625" s="1172">
        <f t="shared" si="122"/>
        <v>0</v>
      </c>
      <c r="N1625" s="1173">
        <f t="shared" si="121"/>
        <v>0</v>
      </c>
      <c r="O1625" s="1174">
        <f>SUM(N1626:N1719)</f>
        <v>0</v>
      </c>
      <c r="P1625" s="58" t="str">
        <f>IF(OR(O1625&gt;0,O1625&gt;0),"X","")</f>
        <v/>
      </c>
      <c r="Q1625" s="317" t="str">
        <f t="shared" si="118"/>
        <v/>
      </c>
      <c r="R1625" s="317" t="str">
        <f t="shared" si="119"/>
        <v/>
      </c>
      <c r="S1625" s="317" t="str">
        <f t="shared" si="120"/>
        <v/>
      </c>
      <c r="T1625" s="317" t="str">
        <f>GLOBAL_DER_FEV_2023!S1625</f>
        <v/>
      </c>
      <c r="W1625" s="582">
        <v>0</v>
      </c>
      <c r="X1625" s="580"/>
      <c r="Y1625" s="583">
        <f>IF(GLOBAL_DER_FEV_2023!W1625=0,0,IF(GLOBAL_DER_FEV_2023!W1625&gt;0,"c","b"))</f>
        <v>0</v>
      </c>
    </row>
    <row r="1626" spans="1:25" ht="15" hidden="1" customHeight="1" x14ac:dyDescent="0.2">
      <c r="A1626" s="317">
        <v>850000</v>
      </c>
      <c r="B1626" s="895">
        <v>850000</v>
      </c>
      <c r="C1626" s="896" t="s">
        <v>184</v>
      </c>
      <c r="D1626" s="906" t="s">
        <v>279</v>
      </c>
      <c r="E1626" s="898">
        <f>GLOBAL_DER_FEV_2023!E1626</f>
        <v>0</v>
      </c>
      <c r="F1626" s="908">
        <f>GLOBAL_DER_FEV_2023!F1626</f>
        <v>1.73</v>
      </c>
      <c r="G1626" s="909">
        <f>GLOBAL_DER_FEV_2023!G1626</f>
        <v>4.6364000000000001</v>
      </c>
      <c r="H1626" s="901">
        <f>GLOBAL_DER_FEV_2023!H1626</f>
        <v>7254.91</v>
      </c>
      <c r="I1626" s="901">
        <f>GLOBAL_DER_FEV_2023!I1626</f>
        <v>7259.5464000000002</v>
      </c>
      <c r="J1626" s="902">
        <f>GLOBAL_DER_FEV_2023!J1626</f>
        <v>8716.5400000000009</v>
      </c>
      <c r="K1626" s="903" t="s">
        <v>15</v>
      </c>
      <c r="L1626" s="1137"/>
      <c r="M1626" s="1138">
        <f t="shared" si="122"/>
        <v>0</v>
      </c>
      <c r="N1626" s="893">
        <f t="shared" si="121"/>
        <v>0</v>
      </c>
      <c r="O1626" s="905"/>
      <c r="Q1626" s="317" t="str">
        <f t="shared" si="118"/>
        <v/>
      </c>
      <c r="R1626" s="317" t="str">
        <f t="shared" si="119"/>
        <v/>
      </c>
      <c r="S1626" s="317" t="str">
        <f t="shared" si="120"/>
        <v/>
      </c>
      <c r="T1626" s="317" t="str">
        <f>GLOBAL_DER_FEV_2023!S1626</f>
        <v/>
      </c>
      <c r="W1626" s="582">
        <v>0</v>
      </c>
      <c r="X1626" s="580"/>
      <c r="Y1626" s="583">
        <f>IF(GLOBAL_DER_FEV_2023!W1626=0,0,IF(GLOBAL_DER_FEV_2023!W1626&gt;0,"c","b"))</f>
        <v>0</v>
      </c>
    </row>
    <row r="1627" spans="1:25" ht="15" hidden="1" customHeight="1" x14ac:dyDescent="0.2">
      <c r="A1627" s="317">
        <v>603000</v>
      </c>
      <c r="B1627" s="895" t="s">
        <v>1769</v>
      </c>
      <c r="C1627" s="896" t="s">
        <v>184</v>
      </c>
      <c r="D1627" s="906" t="s">
        <v>261</v>
      </c>
      <c r="E1627" s="907">
        <f>GLOBAL_DER_FEV_2023!E1627</f>
        <v>0</v>
      </c>
      <c r="F1627" s="908">
        <f>GLOBAL_DER_FEV_2023!F1627</f>
        <v>0</v>
      </c>
      <c r="G1627" s="949">
        <f>GLOBAL_DER_FEV_2023!G1627</f>
        <v>0</v>
      </c>
      <c r="H1627" s="901">
        <f>GLOBAL_DER_FEV_2023!H1627</f>
        <v>18.34</v>
      </c>
      <c r="I1627" s="901">
        <f>GLOBAL_DER_FEV_2023!I1627</f>
        <v>18.34</v>
      </c>
      <c r="J1627" s="902">
        <f>GLOBAL_DER_FEV_2023!J1627</f>
        <v>22.02</v>
      </c>
      <c r="K1627" s="903" t="s">
        <v>16</v>
      </c>
      <c r="L1627" s="1137"/>
      <c r="M1627" s="1138">
        <f t="shared" si="122"/>
        <v>0</v>
      </c>
      <c r="N1627" s="893">
        <f t="shared" si="121"/>
        <v>0</v>
      </c>
      <c r="O1627" s="905"/>
      <c r="Q1627" s="317" t="str">
        <f t="shared" ref="Q1627:Q1690" si="123">IF(P1627="X","x",IF(P1627="xx","x",IF(P1627="xy","x",IF(P1627="y","x",IF(OR(N1627&gt;0,N1627&gt;0),"x","")))))</f>
        <v/>
      </c>
      <c r="R1627" s="317" t="str">
        <f t="shared" si="119"/>
        <v/>
      </c>
      <c r="S1627" s="317" t="str">
        <f t="shared" si="120"/>
        <v/>
      </c>
      <c r="T1627" s="317" t="str">
        <f>GLOBAL_DER_FEV_2023!S1627</f>
        <v/>
      </c>
      <c r="W1627" s="582">
        <v>0</v>
      </c>
      <c r="X1627" s="580"/>
      <c r="Y1627" s="583">
        <f>IF(GLOBAL_DER_FEV_2023!W1627=0,0,IF(GLOBAL_DER_FEV_2023!W1627&gt;0,"c","b"))</f>
        <v>0</v>
      </c>
    </row>
    <row r="1628" spans="1:25" ht="15" hidden="1" customHeight="1" x14ac:dyDescent="0.2">
      <c r="A1628" s="317">
        <v>603300</v>
      </c>
      <c r="B1628" s="895" t="s">
        <v>1772</v>
      </c>
      <c r="C1628" s="896" t="s">
        <v>184</v>
      </c>
      <c r="D1628" s="906" t="s">
        <v>262</v>
      </c>
      <c r="E1628" s="907">
        <f>GLOBAL_DER_FEV_2023!E1628</f>
        <v>0</v>
      </c>
      <c r="F1628" s="908">
        <f>GLOBAL_DER_FEV_2023!F1628</f>
        <v>0</v>
      </c>
      <c r="G1628" s="949">
        <f>GLOBAL_DER_FEV_2023!G1628</f>
        <v>0</v>
      </c>
      <c r="H1628" s="901">
        <f>GLOBAL_DER_FEV_2023!H1628</f>
        <v>20.91</v>
      </c>
      <c r="I1628" s="901">
        <f>GLOBAL_DER_FEV_2023!I1628</f>
        <v>20.91</v>
      </c>
      <c r="J1628" s="902">
        <f>GLOBAL_DER_FEV_2023!J1628</f>
        <v>25.11</v>
      </c>
      <c r="K1628" s="903" t="s">
        <v>16</v>
      </c>
      <c r="L1628" s="1137"/>
      <c r="M1628" s="1138">
        <f t="shared" si="122"/>
        <v>0</v>
      </c>
      <c r="N1628" s="893">
        <f t="shared" si="121"/>
        <v>0</v>
      </c>
      <c r="O1628" s="905"/>
      <c r="Q1628" s="317" t="str">
        <f t="shared" si="123"/>
        <v/>
      </c>
      <c r="R1628" s="317" t="str">
        <f t="shared" si="119"/>
        <v/>
      </c>
      <c r="S1628" s="317" t="str">
        <f t="shared" si="120"/>
        <v/>
      </c>
      <c r="T1628" s="317" t="str">
        <f>GLOBAL_DER_FEV_2023!S1628</f>
        <v/>
      </c>
      <c r="W1628" s="582">
        <v>0</v>
      </c>
      <c r="X1628" s="580"/>
      <c r="Y1628" s="583">
        <f>IF(GLOBAL_DER_FEV_2023!W1628=0,0,IF(GLOBAL_DER_FEV_2023!W1628&gt;0,"c","b"))</f>
        <v>0</v>
      </c>
    </row>
    <row r="1629" spans="1:25" ht="15" hidden="1" customHeight="1" x14ac:dyDescent="0.2">
      <c r="A1629" s="317">
        <v>601100</v>
      </c>
      <c r="B1629" s="895" t="s">
        <v>1767</v>
      </c>
      <c r="C1629" s="896" t="s">
        <v>184</v>
      </c>
      <c r="D1629" s="906" t="s">
        <v>324</v>
      </c>
      <c r="E1629" s="907">
        <f>GLOBAL_DER_FEV_2023!E1629</f>
        <v>0</v>
      </c>
      <c r="F1629" s="908">
        <f>GLOBAL_DER_FEV_2023!F1629</f>
        <v>0</v>
      </c>
      <c r="G1629" s="912">
        <f>GLOBAL_DER_FEV_2023!G1629</f>
        <v>0</v>
      </c>
      <c r="H1629" s="901">
        <f>GLOBAL_DER_FEV_2023!H1629</f>
        <v>54.05</v>
      </c>
      <c r="I1629" s="901">
        <f>GLOBAL_DER_FEV_2023!I1629</f>
        <v>54.05</v>
      </c>
      <c r="J1629" s="902">
        <f>GLOBAL_DER_FEV_2023!J1629</f>
        <v>64.900000000000006</v>
      </c>
      <c r="K1629" s="903" t="s">
        <v>10</v>
      </c>
      <c r="L1629" s="1137"/>
      <c r="M1629" s="1138">
        <f t="shared" si="122"/>
        <v>0</v>
      </c>
      <c r="N1629" s="893">
        <f t="shared" si="121"/>
        <v>0</v>
      </c>
      <c r="O1629" s="905"/>
      <c r="Q1629" s="317" t="str">
        <f t="shared" si="123"/>
        <v/>
      </c>
      <c r="R1629" s="317" t="str">
        <f t="shared" ref="R1629:R1692" si="124">IF(P1629="X","x",IF(P1629="y","x",IF(P1629="xx","x",IF(N1629&gt;0,"x",""))))</f>
        <v/>
      </c>
      <c r="S1629" s="317" t="str">
        <f t="shared" ref="S1629:S1692" si="125">IF(P1629="X","x",IF(N1629&gt;0,"x",""))</f>
        <v/>
      </c>
      <c r="T1629" s="317" t="str">
        <f>GLOBAL_DER_FEV_2023!S1629</f>
        <v/>
      </c>
      <c r="W1629" s="582">
        <v>0</v>
      </c>
      <c r="X1629" s="580"/>
      <c r="Y1629" s="583">
        <f>IF(GLOBAL_DER_FEV_2023!W1629=0,0,IF(GLOBAL_DER_FEV_2023!W1629&gt;0,"c","b"))</f>
        <v>0</v>
      </c>
    </row>
    <row r="1630" spans="1:25" ht="15" hidden="1" customHeight="1" x14ac:dyDescent="0.2">
      <c r="A1630" s="317">
        <v>520100</v>
      </c>
      <c r="B1630" s="895" t="s">
        <v>1562</v>
      </c>
      <c r="C1630" s="896" t="s">
        <v>184</v>
      </c>
      <c r="D1630" s="906" t="s">
        <v>270</v>
      </c>
      <c r="E1630" s="898">
        <f>GLOBAL_DER_FEV_2023!E1630</f>
        <v>1</v>
      </c>
      <c r="F1630" s="899">
        <f>GLOBAL_DER_FEV_2023!F1630</f>
        <v>2.0999999999999996</v>
      </c>
      <c r="G1630" s="909">
        <f>GLOBAL_DER_FEV_2023!G1630</f>
        <v>7.8749999999999982</v>
      </c>
      <c r="H1630" s="954">
        <f>GLOBAL_DER_FEV_2023!H1630</f>
        <v>5.45</v>
      </c>
      <c r="I1630" s="901">
        <f>GLOBAL_DER_FEV_2023!I1630</f>
        <v>13.324999999999999</v>
      </c>
      <c r="J1630" s="902">
        <f>GLOBAL_DER_FEV_2023!J1630</f>
        <v>16</v>
      </c>
      <c r="K1630" s="903" t="s">
        <v>10</v>
      </c>
      <c r="L1630" s="1137"/>
      <c r="M1630" s="1138">
        <f t="shared" si="122"/>
        <v>0</v>
      </c>
      <c r="N1630" s="893">
        <f t="shared" si="121"/>
        <v>0</v>
      </c>
      <c r="O1630" s="905"/>
      <c r="Q1630" s="317" t="str">
        <f t="shared" si="123"/>
        <v/>
      </c>
      <c r="R1630" s="317" t="str">
        <f t="shared" si="124"/>
        <v/>
      </c>
      <c r="S1630" s="317" t="str">
        <f t="shared" si="125"/>
        <v/>
      </c>
      <c r="T1630" s="317" t="str">
        <f>GLOBAL_DER_FEV_2023!S1630</f>
        <v/>
      </c>
      <c r="W1630" s="582">
        <v>0</v>
      </c>
      <c r="X1630" s="580"/>
      <c r="Y1630" s="583">
        <f>IF(GLOBAL_DER_FEV_2023!W1630=0,0,IF(GLOBAL_DER_FEV_2023!W1630&gt;0,"c","b"))</f>
        <v>0</v>
      </c>
    </row>
    <row r="1631" spans="1:25" ht="15" hidden="1" customHeight="1" x14ac:dyDescent="0.2">
      <c r="A1631" s="317">
        <v>520100</v>
      </c>
      <c r="B1631" s="895" t="s">
        <v>1563</v>
      </c>
      <c r="C1631" s="896" t="s">
        <v>184</v>
      </c>
      <c r="D1631" s="906" t="s">
        <v>271</v>
      </c>
      <c r="E1631" s="898">
        <f>GLOBAL_DER_FEV_2023!E1631</f>
        <v>10</v>
      </c>
      <c r="F1631" s="899">
        <f>GLOBAL_DER_FEV_2023!F1631</f>
        <v>2.0999999999999996</v>
      </c>
      <c r="G1631" s="909">
        <f>GLOBAL_DER_FEV_2023!G1631</f>
        <v>28.097999999999995</v>
      </c>
      <c r="H1631" s="954">
        <f>GLOBAL_DER_FEV_2023!H1631</f>
        <v>5.45</v>
      </c>
      <c r="I1631" s="901">
        <f>GLOBAL_DER_FEV_2023!I1631</f>
        <v>33.547999999999995</v>
      </c>
      <c r="J1631" s="902">
        <f>GLOBAL_DER_FEV_2023!J1631</f>
        <v>40.28</v>
      </c>
      <c r="K1631" s="903" t="s">
        <v>10</v>
      </c>
      <c r="L1631" s="1137"/>
      <c r="M1631" s="1138">
        <f t="shared" si="122"/>
        <v>0</v>
      </c>
      <c r="N1631" s="893">
        <f t="shared" si="121"/>
        <v>0</v>
      </c>
      <c r="O1631" s="905"/>
      <c r="Q1631" s="317" t="str">
        <f t="shared" si="123"/>
        <v/>
      </c>
      <c r="R1631" s="317" t="str">
        <f t="shared" si="124"/>
        <v/>
      </c>
      <c r="S1631" s="317" t="str">
        <f t="shared" si="125"/>
        <v/>
      </c>
      <c r="T1631" s="317" t="str">
        <f>GLOBAL_DER_FEV_2023!S1631</f>
        <v/>
      </c>
      <c r="W1631" s="582">
        <v>0</v>
      </c>
      <c r="X1631" s="580"/>
      <c r="Y1631" s="583">
        <f>IF(GLOBAL_DER_FEV_2023!W1631=0,0,IF(GLOBAL_DER_FEV_2023!W1631&gt;0,"c","b"))</f>
        <v>0</v>
      </c>
    </row>
    <row r="1632" spans="1:25" ht="15" hidden="1" customHeight="1" x14ac:dyDescent="0.2">
      <c r="A1632" s="317">
        <v>532500</v>
      </c>
      <c r="B1632" s="895" t="s">
        <v>1737</v>
      </c>
      <c r="C1632" s="896" t="s">
        <v>184</v>
      </c>
      <c r="D1632" s="957" t="s">
        <v>329</v>
      </c>
      <c r="E1632" s="907">
        <f>GLOBAL_DER_FEV_2023!E1632</f>
        <v>150</v>
      </c>
      <c r="F1632" s="908">
        <f>GLOBAL_DER_FEV_2023!F1632</f>
        <v>1.7250000000000001</v>
      </c>
      <c r="G1632" s="909">
        <f>GLOBAL_DER_FEV_2023!G1632</f>
        <v>281.4855</v>
      </c>
      <c r="H1632" s="901">
        <f>GLOBAL_DER_FEV_2023!H1632</f>
        <v>102.38</v>
      </c>
      <c r="I1632" s="901">
        <f>GLOBAL_DER_FEV_2023!I1632</f>
        <v>383.8655</v>
      </c>
      <c r="J1632" s="902">
        <f>GLOBAL_DER_FEV_2023!J1632</f>
        <v>460.91</v>
      </c>
      <c r="K1632" s="903" t="s">
        <v>10</v>
      </c>
      <c r="L1632" s="1137"/>
      <c r="M1632" s="1138">
        <f t="shared" si="122"/>
        <v>0</v>
      </c>
      <c r="N1632" s="893">
        <f t="shared" si="121"/>
        <v>0</v>
      </c>
      <c r="O1632" s="905"/>
      <c r="Q1632" s="317" t="str">
        <f t="shared" si="123"/>
        <v/>
      </c>
      <c r="R1632" s="317" t="str">
        <f t="shared" si="124"/>
        <v/>
      </c>
      <c r="S1632" s="317" t="str">
        <f t="shared" si="125"/>
        <v/>
      </c>
      <c r="T1632" s="317" t="str">
        <f>GLOBAL_DER_FEV_2023!S1632</f>
        <v/>
      </c>
      <c r="W1632" s="582">
        <v>0</v>
      </c>
      <c r="X1632" s="580"/>
      <c r="Y1632" s="583">
        <f>IF(GLOBAL_DER_FEV_2023!W1632=0,0,IF(GLOBAL_DER_FEV_2023!W1632&gt;0,"c","b"))</f>
        <v>0</v>
      </c>
    </row>
    <row r="1633" spans="1:25" ht="15" hidden="1" customHeight="1" x14ac:dyDescent="0.2">
      <c r="A1633" s="317">
        <v>603900</v>
      </c>
      <c r="B1633" s="895" t="s">
        <v>1742</v>
      </c>
      <c r="C1633" s="896" t="s">
        <v>184</v>
      </c>
      <c r="D1633" s="957" t="s">
        <v>330</v>
      </c>
      <c r="E1633" s="907">
        <f>GLOBAL_DER_FEV_2023!E1633</f>
        <v>0.2</v>
      </c>
      <c r="F1633" s="908">
        <f>GLOBAL_DER_FEV_2023!F1633</f>
        <v>1.5</v>
      </c>
      <c r="G1633" s="909">
        <f>GLOBAL_DER_FEV_2023!G1633</f>
        <v>4.3410000000000002</v>
      </c>
      <c r="H1633" s="901">
        <f>GLOBAL_DER_FEV_2023!H1633</f>
        <v>131.84</v>
      </c>
      <c r="I1633" s="901">
        <f>GLOBAL_DER_FEV_2023!I1633</f>
        <v>136.18100000000001</v>
      </c>
      <c r="J1633" s="902">
        <f>GLOBAL_DER_FEV_2023!J1633</f>
        <v>163.51</v>
      </c>
      <c r="K1633" s="903" t="s">
        <v>10</v>
      </c>
      <c r="L1633" s="1137"/>
      <c r="M1633" s="1138">
        <f t="shared" si="122"/>
        <v>0</v>
      </c>
      <c r="N1633" s="893">
        <f t="shared" ref="N1633:N1696" si="126">IF(ISBLANK(L1633),0,IF(W1633=0,ROUND(L1633*M1633,2),IF(W1633="b",ROUNDDOWN(L1633*M1633,2),ROUNDUP(L1633*M1633,2))))</f>
        <v>0</v>
      </c>
      <c r="O1633" s="905"/>
      <c r="Q1633" s="317" t="str">
        <f t="shared" si="123"/>
        <v/>
      </c>
      <c r="R1633" s="317" t="str">
        <f t="shared" si="124"/>
        <v/>
      </c>
      <c r="S1633" s="317" t="str">
        <f t="shared" si="125"/>
        <v/>
      </c>
      <c r="T1633" s="317" t="str">
        <f>GLOBAL_DER_FEV_2023!S1633</f>
        <v/>
      </c>
      <c r="W1633" s="582">
        <v>0</v>
      </c>
      <c r="X1633" s="580"/>
      <c r="Y1633" s="583">
        <f>IF(GLOBAL_DER_FEV_2023!W1633=0,0,IF(GLOBAL_DER_FEV_2023!W1633&gt;0,"c","b"))</f>
        <v>0</v>
      </c>
    </row>
    <row r="1634" spans="1:25" ht="15" hidden="1" customHeight="1" x14ac:dyDescent="0.2">
      <c r="A1634" s="317">
        <v>605000</v>
      </c>
      <c r="B1634" s="895" t="s">
        <v>1781</v>
      </c>
      <c r="C1634" s="896" t="s">
        <v>184</v>
      </c>
      <c r="D1634" s="906" t="s">
        <v>259</v>
      </c>
      <c r="E1634" s="907">
        <f>GLOBAL_DER_FEV_2023!E1634</f>
        <v>0</v>
      </c>
      <c r="F1634" s="908">
        <f>GLOBAL_DER_FEV_2023!F1634</f>
        <v>0</v>
      </c>
      <c r="G1634" s="912">
        <f>GLOBAL_DER_FEV_2023!G1634</f>
        <v>220.83394000000004</v>
      </c>
      <c r="H1634" s="901">
        <f>GLOBAL_DER_FEV_2023!H1634</f>
        <v>425.25</v>
      </c>
      <c r="I1634" s="901">
        <f>GLOBAL_DER_FEV_2023!I1634</f>
        <v>646.08393999999998</v>
      </c>
      <c r="J1634" s="902">
        <f>GLOBAL_DER_FEV_2023!J1634</f>
        <v>775.75</v>
      </c>
      <c r="K1634" s="903" t="s">
        <v>10</v>
      </c>
      <c r="L1634" s="1137"/>
      <c r="M1634" s="1138">
        <f t="shared" si="122"/>
        <v>0</v>
      </c>
      <c r="N1634" s="893">
        <f t="shared" si="126"/>
        <v>0</v>
      </c>
      <c r="O1634" s="905"/>
      <c r="Q1634" s="317" t="str">
        <f t="shared" si="123"/>
        <v/>
      </c>
      <c r="R1634" s="317" t="str">
        <f t="shared" si="124"/>
        <v/>
      </c>
      <c r="S1634" s="317" t="str">
        <f t="shared" si="125"/>
        <v/>
      </c>
      <c r="T1634" s="317" t="str">
        <f>GLOBAL_DER_FEV_2023!S1634</f>
        <v/>
      </c>
      <c r="W1634" s="582">
        <v>0</v>
      </c>
      <c r="X1634" s="580"/>
      <c r="Y1634" s="583">
        <f>IF(GLOBAL_DER_FEV_2023!W1634=0,0,IF(GLOBAL_DER_FEV_2023!W1634&gt;0,"c","b"))</f>
        <v>0</v>
      </c>
    </row>
    <row r="1635" spans="1:25" ht="15" hidden="1" customHeight="1" x14ac:dyDescent="0.2">
      <c r="A1635" s="317" t="s">
        <v>147</v>
      </c>
      <c r="B1635" s="895" t="s">
        <v>147</v>
      </c>
      <c r="C1635" s="896"/>
      <c r="D1635" s="957" t="s">
        <v>190</v>
      </c>
      <c r="E1635" s="907">
        <f>GLOBAL_DER_FEV_2023!E1635</f>
        <v>308</v>
      </c>
      <c r="F1635" s="908">
        <f>GLOBAL_DER_FEV_2023!F1635</f>
        <v>0.18</v>
      </c>
      <c r="G1635" s="909">
        <f>GLOBAL_DER_FEV_2023!G1635</f>
        <v>44.650799999999997</v>
      </c>
      <c r="H1635" s="901">
        <f>GLOBAL_DER_FEV_2023!H1635</f>
        <v>0</v>
      </c>
      <c r="I1635" s="901">
        <f>GLOBAL_DER_FEV_2023!I1635</f>
        <v>0</v>
      </c>
      <c r="J1635" s="902">
        <f>GLOBAL_DER_FEV_2023!J1635</f>
        <v>0</v>
      </c>
      <c r="K1635" s="958" t="s">
        <v>507</v>
      </c>
      <c r="L1635" s="959"/>
      <c r="M1635" s="1157">
        <f t="shared" si="122"/>
        <v>0</v>
      </c>
      <c r="N1635" s="893">
        <f t="shared" si="126"/>
        <v>0</v>
      </c>
      <c r="O1635" s="905"/>
      <c r="P1635" s="58" t="str">
        <f>IF(N1634&gt;0,"xx",IF(N1634&gt;0,"xy",""))</f>
        <v/>
      </c>
      <c r="Q1635" s="317" t="str">
        <f t="shared" si="123"/>
        <v/>
      </c>
      <c r="R1635" s="317" t="str">
        <f t="shared" si="124"/>
        <v/>
      </c>
      <c r="S1635" s="317" t="str">
        <f t="shared" si="125"/>
        <v/>
      </c>
      <c r="T1635" s="317" t="str">
        <f>GLOBAL_DER_FEV_2023!S1635</f>
        <v/>
      </c>
      <c r="W1635" s="582">
        <v>0</v>
      </c>
      <c r="X1635" s="580"/>
      <c r="Y1635" s="583">
        <f>IF(GLOBAL_DER_FEV_2023!W1635=0,0,IF(GLOBAL_DER_FEV_2023!W1635&gt;0,"c","b"))</f>
        <v>0</v>
      </c>
    </row>
    <row r="1636" spans="1:25" ht="15" hidden="1" customHeight="1" x14ac:dyDescent="0.2">
      <c r="A1636" s="317" t="s">
        <v>147</v>
      </c>
      <c r="B1636" s="895" t="s">
        <v>147</v>
      </c>
      <c r="C1636" s="896"/>
      <c r="D1636" s="957" t="s">
        <v>229</v>
      </c>
      <c r="E1636" s="907">
        <f>GLOBAL_DER_FEV_2023!E1636</f>
        <v>150</v>
      </c>
      <c r="F1636" s="908">
        <f>GLOBAL_DER_FEV_2023!F1636</f>
        <v>1.06</v>
      </c>
      <c r="G1636" s="949">
        <f>GLOBAL_DER_FEV_2023!G1636</f>
        <v>172.97080000000003</v>
      </c>
      <c r="H1636" s="901">
        <f>GLOBAL_DER_FEV_2023!H1636</f>
        <v>0</v>
      </c>
      <c r="I1636" s="901">
        <f>GLOBAL_DER_FEV_2023!I1636</f>
        <v>0</v>
      </c>
      <c r="J1636" s="902">
        <f>GLOBAL_DER_FEV_2023!J1636</f>
        <v>0</v>
      </c>
      <c r="K1636" s="958" t="s">
        <v>507</v>
      </c>
      <c r="L1636" s="959"/>
      <c r="M1636" s="1157">
        <f t="shared" si="122"/>
        <v>0</v>
      </c>
      <c r="N1636" s="893">
        <f t="shared" si="126"/>
        <v>0</v>
      </c>
      <c r="O1636" s="905"/>
      <c r="P1636" s="58" t="str">
        <f>IF(N1634&gt;0,"xx",IF(N1634&gt;0,"xy",""))</f>
        <v/>
      </c>
      <c r="Q1636" s="317" t="str">
        <f t="shared" si="123"/>
        <v/>
      </c>
      <c r="R1636" s="317" t="str">
        <f t="shared" si="124"/>
        <v/>
      </c>
      <c r="S1636" s="317" t="str">
        <f t="shared" si="125"/>
        <v/>
      </c>
      <c r="T1636" s="317" t="str">
        <f>GLOBAL_DER_FEV_2023!S1636</f>
        <v/>
      </c>
      <c r="W1636" s="582">
        <v>0</v>
      </c>
      <c r="X1636" s="580"/>
      <c r="Y1636" s="583">
        <f>IF(GLOBAL_DER_FEV_2023!W1636=0,0,IF(GLOBAL_DER_FEV_2023!W1636&gt;0,"c","b"))</f>
        <v>0</v>
      </c>
    </row>
    <row r="1637" spans="1:25" ht="15" hidden="1" customHeight="1" x14ac:dyDescent="0.2">
      <c r="A1637" s="317" t="s">
        <v>147</v>
      </c>
      <c r="B1637" s="895" t="s">
        <v>147</v>
      </c>
      <c r="C1637" s="896"/>
      <c r="D1637" s="957" t="s">
        <v>233</v>
      </c>
      <c r="E1637" s="907">
        <f>GLOBAL_DER_FEV_2023!E1637</f>
        <v>0.2</v>
      </c>
      <c r="F1637" s="908">
        <f>GLOBAL_DER_FEV_2023!F1637</f>
        <v>1.1100000000000001</v>
      </c>
      <c r="G1637" s="949">
        <f>GLOBAL_DER_FEV_2023!G1637</f>
        <v>3.2123400000000006</v>
      </c>
      <c r="H1637" s="901">
        <f>GLOBAL_DER_FEV_2023!H1637</f>
        <v>0</v>
      </c>
      <c r="I1637" s="901">
        <f>GLOBAL_DER_FEV_2023!I1637</f>
        <v>0</v>
      </c>
      <c r="J1637" s="902">
        <f>GLOBAL_DER_FEV_2023!J1637</f>
        <v>0</v>
      </c>
      <c r="K1637" s="958" t="s">
        <v>507</v>
      </c>
      <c r="L1637" s="959"/>
      <c r="M1637" s="1157">
        <f t="shared" si="122"/>
        <v>0</v>
      </c>
      <c r="N1637" s="893">
        <f t="shared" si="126"/>
        <v>0</v>
      </c>
      <c r="O1637" s="905"/>
      <c r="P1637" s="58" t="str">
        <f>IF(N1634&gt;0,"xx",IF(N1634&gt;0,"xy",""))</f>
        <v/>
      </c>
      <c r="Q1637" s="317" t="str">
        <f t="shared" si="123"/>
        <v/>
      </c>
      <c r="R1637" s="317" t="str">
        <f t="shared" si="124"/>
        <v/>
      </c>
      <c r="S1637" s="317" t="str">
        <f t="shared" si="125"/>
        <v/>
      </c>
      <c r="T1637" s="317" t="str">
        <f>GLOBAL_DER_FEV_2023!S1637</f>
        <v/>
      </c>
      <c r="W1637" s="582">
        <v>0</v>
      </c>
      <c r="X1637" s="580"/>
      <c r="Y1637" s="583">
        <f>IF(GLOBAL_DER_FEV_2023!W1637=0,0,IF(GLOBAL_DER_FEV_2023!W1637&gt;0,"c","b"))</f>
        <v>0</v>
      </c>
    </row>
    <row r="1638" spans="1:25" ht="15" hidden="1" customHeight="1" x14ac:dyDescent="0.2">
      <c r="A1638" s="317">
        <v>400500</v>
      </c>
      <c r="B1638" s="895" t="s">
        <v>1736</v>
      </c>
      <c r="C1638" s="896" t="s">
        <v>184</v>
      </c>
      <c r="D1638" s="906" t="s">
        <v>1732</v>
      </c>
      <c r="E1638" s="907">
        <f>GLOBAL_DER_FEV_2023!E1638</f>
        <v>150</v>
      </c>
      <c r="F1638" s="908">
        <f>GLOBAL_DER_FEV_2023!F1638</f>
        <v>1.73</v>
      </c>
      <c r="G1638" s="949">
        <f>GLOBAL_DER_FEV_2023!G1638</f>
        <v>282.3014</v>
      </c>
      <c r="H1638" s="901">
        <f>GLOBAL_DER_FEV_2023!H1638</f>
        <v>83.83</v>
      </c>
      <c r="I1638" s="901">
        <f>GLOBAL_DER_FEV_2023!I1638</f>
        <v>366.13139999999999</v>
      </c>
      <c r="J1638" s="902">
        <f>GLOBAL_DER_FEV_2023!J1638</f>
        <v>439.61</v>
      </c>
      <c r="K1638" s="903" t="s">
        <v>10</v>
      </c>
      <c r="L1638" s="1137"/>
      <c r="M1638" s="1138">
        <f t="shared" si="122"/>
        <v>0</v>
      </c>
      <c r="N1638" s="893">
        <f t="shared" si="126"/>
        <v>0</v>
      </c>
      <c r="O1638" s="905"/>
      <c r="Q1638" s="317" t="str">
        <f t="shared" si="123"/>
        <v/>
      </c>
      <c r="R1638" s="317" t="str">
        <f t="shared" si="124"/>
        <v/>
      </c>
      <c r="S1638" s="317" t="str">
        <f t="shared" si="125"/>
        <v/>
      </c>
      <c r="T1638" s="317" t="str">
        <f>GLOBAL_DER_FEV_2023!S1638</f>
        <v/>
      </c>
      <c r="W1638" s="582">
        <v>0</v>
      </c>
      <c r="X1638" s="580"/>
      <c r="Y1638" s="583">
        <f>IF(GLOBAL_DER_FEV_2023!W1638=0,0,IF(GLOBAL_DER_FEV_2023!W1638&gt;0,"c","b"))</f>
        <v>0</v>
      </c>
    </row>
    <row r="1639" spans="1:25" ht="15" hidden="1" customHeight="1" x14ac:dyDescent="0.2">
      <c r="A1639" s="317">
        <v>532500</v>
      </c>
      <c r="B1639" s="895" t="s">
        <v>1738</v>
      </c>
      <c r="C1639" s="896" t="s">
        <v>184</v>
      </c>
      <c r="D1639" s="906" t="s">
        <v>1735</v>
      </c>
      <c r="E1639" s="907">
        <f>GLOBAL_DER_FEV_2023!E1639</f>
        <v>150</v>
      </c>
      <c r="F1639" s="908">
        <f>GLOBAL_DER_FEV_2023!F1639</f>
        <v>1.7250000000000001</v>
      </c>
      <c r="G1639" s="949">
        <f>GLOBAL_DER_FEV_2023!G1639</f>
        <v>281.4855</v>
      </c>
      <c r="H1639" s="901">
        <f>GLOBAL_DER_FEV_2023!H1639</f>
        <v>102.38</v>
      </c>
      <c r="I1639" s="901">
        <f>GLOBAL_DER_FEV_2023!I1639</f>
        <v>383.8655</v>
      </c>
      <c r="J1639" s="902">
        <f>GLOBAL_DER_FEV_2023!J1639</f>
        <v>460.91</v>
      </c>
      <c r="K1639" s="903" t="s">
        <v>10</v>
      </c>
      <c r="L1639" s="1137"/>
      <c r="M1639" s="1138">
        <f t="shared" si="122"/>
        <v>0</v>
      </c>
      <c r="N1639" s="893">
        <f t="shared" si="126"/>
        <v>0</v>
      </c>
      <c r="O1639" s="905"/>
      <c r="Q1639" s="317" t="str">
        <f t="shared" si="123"/>
        <v/>
      </c>
      <c r="R1639" s="317" t="str">
        <f t="shared" si="124"/>
        <v/>
      </c>
      <c r="S1639" s="317" t="str">
        <f t="shared" si="125"/>
        <v/>
      </c>
      <c r="T1639" s="317" t="str">
        <f>GLOBAL_DER_FEV_2023!S1639</f>
        <v/>
      </c>
      <c r="W1639" s="582">
        <v>0</v>
      </c>
      <c r="X1639" s="580"/>
      <c r="Y1639" s="583">
        <f>IF(GLOBAL_DER_FEV_2023!W1639=0,0,IF(GLOBAL_DER_FEV_2023!W1639&gt;0,"c","b"))</f>
        <v>0</v>
      </c>
    </row>
    <row r="1640" spans="1:25" ht="15" hidden="1" customHeight="1" x14ac:dyDescent="0.2">
      <c r="A1640" s="317">
        <v>532600</v>
      </c>
      <c r="B1640" s="895" t="s">
        <v>1567</v>
      </c>
      <c r="C1640" s="896" t="s">
        <v>184</v>
      </c>
      <c r="D1640" s="906" t="s">
        <v>1733</v>
      </c>
      <c r="E1640" s="898">
        <f>GLOBAL_DER_FEV_2023!E1640</f>
        <v>0</v>
      </c>
      <c r="F1640" s="908">
        <f>GLOBAL_DER_FEV_2023!F1640</f>
        <v>2.25</v>
      </c>
      <c r="G1640" s="949">
        <f>GLOBAL_DER_FEV_2023!G1640</f>
        <v>6.03</v>
      </c>
      <c r="H1640" s="901">
        <f>GLOBAL_DER_FEV_2023!H1640</f>
        <v>16.07</v>
      </c>
      <c r="I1640" s="901">
        <f>GLOBAL_DER_FEV_2023!I1640</f>
        <v>22.1</v>
      </c>
      <c r="J1640" s="902">
        <f>GLOBAL_DER_FEV_2023!J1640</f>
        <v>26.54</v>
      </c>
      <c r="K1640" s="903" t="s">
        <v>10</v>
      </c>
      <c r="L1640" s="1137"/>
      <c r="M1640" s="1138">
        <f t="shared" si="122"/>
        <v>0</v>
      </c>
      <c r="N1640" s="893">
        <f t="shared" si="126"/>
        <v>0</v>
      </c>
      <c r="O1640" s="905"/>
      <c r="Q1640" s="317" t="str">
        <f t="shared" si="123"/>
        <v/>
      </c>
      <c r="R1640" s="317" t="str">
        <f t="shared" si="124"/>
        <v/>
      </c>
      <c r="S1640" s="317" t="str">
        <f t="shared" si="125"/>
        <v/>
      </c>
      <c r="T1640" s="317" t="str">
        <f>GLOBAL_DER_FEV_2023!S1640</f>
        <v/>
      </c>
      <c r="W1640" s="582">
        <v>0</v>
      </c>
      <c r="X1640" s="580"/>
      <c r="Y1640" s="583">
        <f>IF(GLOBAL_DER_FEV_2023!W1640=0,0,IF(GLOBAL_DER_FEV_2023!W1640&gt;0,"c","b"))</f>
        <v>0</v>
      </c>
    </row>
    <row r="1641" spans="1:25" ht="15" hidden="1" customHeight="1" x14ac:dyDescent="0.2">
      <c r="A1641" s="317">
        <v>603900</v>
      </c>
      <c r="B1641" s="895" t="s">
        <v>1743</v>
      </c>
      <c r="C1641" s="896" t="s">
        <v>184</v>
      </c>
      <c r="D1641" s="906" t="s">
        <v>1734</v>
      </c>
      <c r="E1641" s="907">
        <f>GLOBAL_DER_FEV_2023!E1641</f>
        <v>0.2</v>
      </c>
      <c r="F1641" s="908">
        <f>GLOBAL_DER_FEV_2023!F1641</f>
        <v>1.5</v>
      </c>
      <c r="G1641" s="949">
        <f>GLOBAL_DER_FEV_2023!G1641</f>
        <v>4.3410000000000002</v>
      </c>
      <c r="H1641" s="901">
        <f>GLOBAL_DER_FEV_2023!H1641</f>
        <v>131.84</v>
      </c>
      <c r="I1641" s="901">
        <f>GLOBAL_DER_FEV_2023!I1641</f>
        <v>136.18100000000001</v>
      </c>
      <c r="J1641" s="902">
        <f>GLOBAL_DER_FEV_2023!J1641</f>
        <v>163.51</v>
      </c>
      <c r="K1641" s="903" t="s">
        <v>10</v>
      </c>
      <c r="L1641" s="1137"/>
      <c r="M1641" s="1138">
        <f t="shared" si="122"/>
        <v>0</v>
      </c>
      <c r="N1641" s="893">
        <f t="shared" si="126"/>
        <v>0</v>
      </c>
      <c r="O1641" s="905"/>
      <c r="Q1641" s="317" t="str">
        <f t="shared" si="123"/>
        <v/>
      </c>
      <c r="R1641" s="317" t="str">
        <f t="shared" si="124"/>
        <v/>
      </c>
      <c r="S1641" s="317" t="str">
        <f t="shared" si="125"/>
        <v/>
      </c>
      <c r="T1641" s="317" t="str">
        <f>GLOBAL_DER_FEV_2023!S1641</f>
        <v/>
      </c>
      <c r="W1641" s="582">
        <v>0</v>
      </c>
      <c r="X1641" s="580"/>
      <c r="Y1641" s="583">
        <f>IF(GLOBAL_DER_FEV_2023!W1641=0,0,IF(GLOBAL_DER_FEV_2023!W1641&gt;0,"c","b"))</f>
        <v>0</v>
      </c>
    </row>
    <row r="1642" spans="1:25" ht="15" hidden="1" customHeight="1" x14ac:dyDescent="0.2">
      <c r="A1642" s="317">
        <v>605000</v>
      </c>
      <c r="B1642" s="895" t="s">
        <v>1782</v>
      </c>
      <c r="C1642" s="896" t="s">
        <v>184</v>
      </c>
      <c r="D1642" s="906" t="s">
        <v>337</v>
      </c>
      <c r="E1642" s="907">
        <f>GLOBAL_DER_FEV_2023!E1642</f>
        <v>0</v>
      </c>
      <c r="F1642" s="908">
        <f>GLOBAL_DER_FEV_2023!F1642</f>
        <v>0</v>
      </c>
      <c r="G1642" s="912">
        <f>GLOBAL_DER_FEV_2023!G1642</f>
        <v>220.83394000000004</v>
      </c>
      <c r="H1642" s="901">
        <f>GLOBAL_DER_FEV_2023!H1642</f>
        <v>425.25</v>
      </c>
      <c r="I1642" s="901">
        <f>GLOBAL_DER_FEV_2023!I1642</f>
        <v>646.08393999999998</v>
      </c>
      <c r="J1642" s="902">
        <f>GLOBAL_DER_FEV_2023!J1642</f>
        <v>775.75</v>
      </c>
      <c r="K1642" s="903" t="s">
        <v>10</v>
      </c>
      <c r="L1642" s="1137"/>
      <c r="M1642" s="1138">
        <f t="shared" si="122"/>
        <v>0</v>
      </c>
      <c r="N1642" s="893">
        <f t="shared" si="126"/>
        <v>0</v>
      </c>
      <c r="O1642" s="905"/>
      <c r="Q1642" s="317" t="str">
        <f t="shared" si="123"/>
        <v/>
      </c>
      <c r="R1642" s="317" t="str">
        <f t="shared" si="124"/>
        <v/>
      </c>
      <c r="S1642" s="317" t="str">
        <f t="shared" si="125"/>
        <v/>
      </c>
      <c r="T1642" s="317" t="str">
        <f>GLOBAL_DER_FEV_2023!S1642</f>
        <v/>
      </c>
      <c r="W1642" s="582">
        <v>0</v>
      </c>
      <c r="X1642" s="580"/>
      <c r="Y1642" s="583">
        <f>IF(GLOBAL_DER_FEV_2023!W1642=0,0,IF(GLOBAL_DER_FEV_2023!W1642&gt;0,"c","b"))</f>
        <v>0</v>
      </c>
    </row>
    <row r="1643" spans="1:25" ht="15" hidden="1" customHeight="1" x14ac:dyDescent="0.2">
      <c r="A1643" s="317" t="s">
        <v>147</v>
      </c>
      <c r="B1643" s="895" t="s">
        <v>147</v>
      </c>
      <c r="C1643" s="896"/>
      <c r="D1643" s="957" t="s">
        <v>190</v>
      </c>
      <c r="E1643" s="907">
        <f>GLOBAL_DER_FEV_2023!E1643</f>
        <v>308</v>
      </c>
      <c r="F1643" s="908">
        <f>GLOBAL_DER_FEV_2023!F1643</f>
        <v>0.18</v>
      </c>
      <c r="G1643" s="909">
        <f>GLOBAL_DER_FEV_2023!G1643</f>
        <v>44.650799999999997</v>
      </c>
      <c r="H1643" s="901">
        <f>GLOBAL_DER_FEV_2023!H1643</f>
        <v>0</v>
      </c>
      <c r="I1643" s="901">
        <f>GLOBAL_DER_FEV_2023!I1643</f>
        <v>0</v>
      </c>
      <c r="J1643" s="902">
        <f>GLOBAL_DER_FEV_2023!J1643</f>
        <v>0</v>
      </c>
      <c r="K1643" s="958" t="s">
        <v>507</v>
      </c>
      <c r="L1643" s="959"/>
      <c r="M1643" s="1157">
        <f t="shared" si="122"/>
        <v>0</v>
      </c>
      <c r="N1643" s="893">
        <f t="shared" si="126"/>
        <v>0</v>
      </c>
      <c r="O1643" s="905"/>
      <c r="P1643" s="58" t="str">
        <f>IF(N1642&gt;0,"xx",IF(N1642&gt;0,"xy",""))</f>
        <v/>
      </c>
      <c r="Q1643" s="317" t="str">
        <f t="shared" si="123"/>
        <v/>
      </c>
      <c r="R1643" s="317" t="str">
        <f t="shared" si="124"/>
        <v/>
      </c>
      <c r="S1643" s="317" t="str">
        <f t="shared" si="125"/>
        <v/>
      </c>
      <c r="T1643" s="317" t="str">
        <f>GLOBAL_DER_FEV_2023!S1643</f>
        <v/>
      </c>
      <c r="W1643" s="582">
        <v>0</v>
      </c>
      <c r="X1643" s="580"/>
      <c r="Y1643" s="583">
        <f>IF(GLOBAL_DER_FEV_2023!W1643=0,0,IF(GLOBAL_DER_FEV_2023!W1643&gt;0,"c","b"))</f>
        <v>0</v>
      </c>
    </row>
    <row r="1644" spans="1:25" ht="15" hidden="1" customHeight="1" x14ac:dyDescent="0.2">
      <c r="A1644" s="317" t="s">
        <v>147</v>
      </c>
      <c r="B1644" s="895" t="s">
        <v>147</v>
      </c>
      <c r="C1644" s="896"/>
      <c r="D1644" s="957" t="s">
        <v>229</v>
      </c>
      <c r="E1644" s="907">
        <f>GLOBAL_DER_FEV_2023!E1644</f>
        <v>150</v>
      </c>
      <c r="F1644" s="908">
        <f>GLOBAL_DER_FEV_2023!F1644</f>
        <v>1.06</v>
      </c>
      <c r="G1644" s="949">
        <f>GLOBAL_DER_FEV_2023!G1644</f>
        <v>172.97080000000003</v>
      </c>
      <c r="H1644" s="901">
        <f>GLOBAL_DER_FEV_2023!H1644</f>
        <v>0</v>
      </c>
      <c r="I1644" s="901">
        <f>GLOBAL_DER_FEV_2023!I1644</f>
        <v>0</v>
      </c>
      <c r="J1644" s="902">
        <f>GLOBAL_DER_FEV_2023!J1644</f>
        <v>0</v>
      </c>
      <c r="K1644" s="958" t="s">
        <v>507</v>
      </c>
      <c r="L1644" s="959"/>
      <c r="M1644" s="1157">
        <f t="shared" si="122"/>
        <v>0</v>
      </c>
      <c r="N1644" s="893">
        <f t="shared" si="126"/>
        <v>0</v>
      </c>
      <c r="O1644" s="905"/>
      <c r="P1644" s="58" t="str">
        <f>IF(N1642&gt;0,"xx",IF(N1642&gt;0,"xy",""))</f>
        <v/>
      </c>
      <c r="Q1644" s="317" t="str">
        <f t="shared" si="123"/>
        <v/>
      </c>
      <c r="R1644" s="317" t="str">
        <f t="shared" si="124"/>
        <v/>
      </c>
      <c r="S1644" s="317" t="str">
        <f t="shared" si="125"/>
        <v/>
      </c>
      <c r="T1644" s="317" t="str">
        <f>GLOBAL_DER_FEV_2023!S1644</f>
        <v/>
      </c>
      <c r="W1644" s="582">
        <v>0</v>
      </c>
      <c r="X1644" s="580"/>
      <c r="Y1644" s="583">
        <f>IF(GLOBAL_DER_FEV_2023!W1644=0,0,IF(GLOBAL_DER_FEV_2023!W1644&gt;0,"c","b"))</f>
        <v>0</v>
      </c>
    </row>
    <row r="1645" spans="1:25" ht="15" hidden="1" customHeight="1" x14ac:dyDescent="0.2">
      <c r="A1645" s="317" t="s">
        <v>147</v>
      </c>
      <c r="B1645" s="895" t="s">
        <v>147</v>
      </c>
      <c r="C1645" s="896"/>
      <c r="D1645" s="957" t="s">
        <v>233</v>
      </c>
      <c r="E1645" s="907">
        <f>GLOBAL_DER_FEV_2023!E1645</f>
        <v>0.2</v>
      </c>
      <c r="F1645" s="908">
        <f>GLOBAL_DER_FEV_2023!F1645</f>
        <v>1.1100000000000001</v>
      </c>
      <c r="G1645" s="949">
        <f>GLOBAL_DER_FEV_2023!G1645</f>
        <v>3.2123400000000006</v>
      </c>
      <c r="H1645" s="901">
        <f>GLOBAL_DER_FEV_2023!H1645</f>
        <v>0</v>
      </c>
      <c r="I1645" s="901">
        <f>GLOBAL_DER_FEV_2023!I1645</f>
        <v>0</v>
      </c>
      <c r="J1645" s="902">
        <f>GLOBAL_DER_FEV_2023!J1645</f>
        <v>0</v>
      </c>
      <c r="K1645" s="958" t="s">
        <v>507</v>
      </c>
      <c r="L1645" s="959"/>
      <c r="M1645" s="1157">
        <f t="shared" si="122"/>
        <v>0</v>
      </c>
      <c r="N1645" s="893">
        <f t="shared" si="126"/>
        <v>0</v>
      </c>
      <c r="O1645" s="905"/>
      <c r="P1645" s="58" t="str">
        <f>IF(N1642&gt;0,"xx",IF(N1642&gt;0,"xy",""))</f>
        <v/>
      </c>
      <c r="Q1645" s="317" t="str">
        <f t="shared" si="123"/>
        <v/>
      </c>
      <c r="R1645" s="317" t="str">
        <f t="shared" si="124"/>
        <v/>
      </c>
      <c r="S1645" s="317" t="str">
        <f t="shared" si="125"/>
        <v/>
      </c>
      <c r="T1645" s="317" t="str">
        <f>GLOBAL_DER_FEV_2023!S1645</f>
        <v/>
      </c>
      <c r="W1645" s="582">
        <v>0</v>
      </c>
      <c r="X1645" s="580"/>
      <c r="Y1645" s="583">
        <f>IF(GLOBAL_DER_FEV_2023!W1645=0,0,IF(GLOBAL_DER_FEV_2023!W1645&gt;0,"c","b"))</f>
        <v>0</v>
      </c>
    </row>
    <row r="1646" spans="1:25" ht="15" hidden="1" customHeight="1" x14ac:dyDescent="0.2">
      <c r="A1646" s="317">
        <v>606000</v>
      </c>
      <c r="B1646" s="895" t="s">
        <v>1791</v>
      </c>
      <c r="C1646" s="896" t="s">
        <v>184</v>
      </c>
      <c r="D1646" s="906" t="s">
        <v>338</v>
      </c>
      <c r="E1646" s="907">
        <f>GLOBAL_DER_FEV_2023!E1646</f>
        <v>0</v>
      </c>
      <c r="F1646" s="908">
        <f>GLOBAL_DER_FEV_2023!F1646</f>
        <v>0</v>
      </c>
      <c r="G1646" s="912">
        <f>GLOBAL_DER_FEV_2023!G1646</f>
        <v>159.82866000000001</v>
      </c>
      <c r="H1646" s="901">
        <f>GLOBAL_DER_FEV_2023!H1646</f>
        <v>378.9</v>
      </c>
      <c r="I1646" s="901">
        <f>GLOBAL_DER_FEV_2023!I1646</f>
        <v>538.72865999999999</v>
      </c>
      <c r="J1646" s="902">
        <f>GLOBAL_DER_FEV_2023!J1646</f>
        <v>646.85</v>
      </c>
      <c r="K1646" s="903" t="s">
        <v>10</v>
      </c>
      <c r="L1646" s="1137"/>
      <c r="M1646" s="1138">
        <f t="shared" si="122"/>
        <v>0</v>
      </c>
      <c r="N1646" s="893">
        <f t="shared" si="126"/>
        <v>0</v>
      </c>
      <c r="O1646" s="905"/>
      <c r="Q1646" s="317" t="str">
        <f t="shared" si="123"/>
        <v/>
      </c>
      <c r="R1646" s="317" t="str">
        <f t="shared" si="124"/>
        <v/>
      </c>
      <c r="S1646" s="317" t="str">
        <f t="shared" si="125"/>
        <v/>
      </c>
      <c r="T1646" s="317" t="str">
        <f>GLOBAL_DER_FEV_2023!S1646</f>
        <v/>
      </c>
      <c r="W1646" s="582">
        <v>0</v>
      </c>
      <c r="X1646" s="580"/>
      <c r="Y1646" s="583">
        <f>IF(GLOBAL_DER_FEV_2023!W1646=0,0,IF(GLOBAL_DER_FEV_2023!W1646&gt;0,"c","b"))</f>
        <v>0</v>
      </c>
    </row>
    <row r="1647" spans="1:25" ht="15" hidden="1" customHeight="1" x14ac:dyDescent="0.2">
      <c r="A1647" s="317" t="s">
        <v>147</v>
      </c>
      <c r="B1647" s="895" t="s">
        <v>147</v>
      </c>
      <c r="C1647" s="896"/>
      <c r="D1647" s="957" t="s">
        <v>190</v>
      </c>
      <c r="E1647" s="907">
        <f>GLOBAL_DER_FEV_2023!E1647</f>
        <v>308</v>
      </c>
      <c r="F1647" s="908">
        <f>GLOBAL_DER_FEV_2023!F1647</f>
        <v>0.189</v>
      </c>
      <c r="G1647" s="909">
        <f>GLOBAL_DER_FEV_2023!G1647</f>
        <v>46.883340000000004</v>
      </c>
      <c r="H1647" s="901">
        <f>GLOBAL_DER_FEV_2023!H1647</f>
        <v>0</v>
      </c>
      <c r="I1647" s="901">
        <f>GLOBAL_DER_FEV_2023!I1647</f>
        <v>0</v>
      </c>
      <c r="J1647" s="902">
        <f>GLOBAL_DER_FEV_2023!J1647</f>
        <v>0</v>
      </c>
      <c r="K1647" s="958" t="s">
        <v>507</v>
      </c>
      <c r="L1647" s="959"/>
      <c r="M1647" s="1157">
        <f t="shared" si="122"/>
        <v>0</v>
      </c>
      <c r="N1647" s="893">
        <f t="shared" si="126"/>
        <v>0</v>
      </c>
      <c r="O1647" s="905"/>
      <c r="P1647" s="58" t="str">
        <f>IF(N1646&gt;0,"xx",IF(N1646&gt;0,"xy",""))</f>
        <v/>
      </c>
      <c r="Q1647" s="317" t="str">
        <f t="shared" si="123"/>
        <v/>
      </c>
      <c r="R1647" s="317" t="str">
        <f t="shared" si="124"/>
        <v/>
      </c>
      <c r="S1647" s="317" t="str">
        <f t="shared" si="125"/>
        <v/>
      </c>
      <c r="T1647" s="317" t="str">
        <f>GLOBAL_DER_FEV_2023!S1647</f>
        <v/>
      </c>
      <c r="W1647" s="582">
        <v>0</v>
      </c>
      <c r="X1647" s="580"/>
      <c r="Y1647" s="583">
        <f>IF(GLOBAL_DER_FEV_2023!W1647=0,0,IF(GLOBAL_DER_FEV_2023!W1647&gt;0,"c","b"))</f>
        <v>0</v>
      </c>
    </row>
    <row r="1648" spans="1:25" ht="15" hidden="1" customHeight="1" x14ac:dyDescent="0.2">
      <c r="A1648" s="317" t="s">
        <v>147</v>
      </c>
      <c r="B1648" s="895" t="s">
        <v>147</v>
      </c>
      <c r="C1648" s="896"/>
      <c r="D1648" s="957" t="s">
        <v>229</v>
      </c>
      <c r="E1648" s="907">
        <f>GLOBAL_DER_FEV_2023!E1648</f>
        <v>150</v>
      </c>
      <c r="F1648" s="908">
        <f>GLOBAL_DER_FEV_2023!F1648</f>
        <v>0.67200000000000004</v>
      </c>
      <c r="G1648" s="949">
        <f>GLOBAL_DER_FEV_2023!G1648</f>
        <v>109.65696000000001</v>
      </c>
      <c r="H1648" s="901">
        <f>GLOBAL_DER_FEV_2023!H1648</f>
        <v>0</v>
      </c>
      <c r="I1648" s="901">
        <f>GLOBAL_DER_FEV_2023!I1648</f>
        <v>0</v>
      </c>
      <c r="J1648" s="902">
        <f>GLOBAL_DER_FEV_2023!J1648</f>
        <v>0</v>
      </c>
      <c r="K1648" s="958" t="s">
        <v>507</v>
      </c>
      <c r="L1648" s="959"/>
      <c r="M1648" s="1157">
        <f t="shared" si="122"/>
        <v>0</v>
      </c>
      <c r="N1648" s="893">
        <f t="shared" si="126"/>
        <v>0</v>
      </c>
      <c r="O1648" s="905"/>
      <c r="P1648" s="58" t="str">
        <f>IF(N1646&gt;0,"xx",IF(N1646&gt;0,"xy",""))</f>
        <v/>
      </c>
      <c r="Q1648" s="317" t="str">
        <f t="shared" si="123"/>
        <v/>
      </c>
      <c r="R1648" s="317" t="str">
        <f t="shared" si="124"/>
        <v/>
      </c>
      <c r="S1648" s="317" t="str">
        <f t="shared" si="125"/>
        <v/>
      </c>
      <c r="T1648" s="317" t="str">
        <f>GLOBAL_DER_FEV_2023!S1648</f>
        <v/>
      </c>
      <c r="W1648" s="582">
        <v>0</v>
      </c>
      <c r="X1648" s="580"/>
      <c r="Y1648" s="583">
        <f>IF(GLOBAL_DER_FEV_2023!W1648=0,0,IF(GLOBAL_DER_FEV_2023!W1648&gt;0,"c","b"))</f>
        <v>0</v>
      </c>
    </row>
    <row r="1649" spans="1:25" ht="15" hidden="1" customHeight="1" x14ac:dyDescent="0.2">
      <c r="A1649" s="317" t="s">
        <v>147</v>
      </c>
      <c r="B1649" s="895" t="s">
        <v>147</v>
      </c>
      <c r="C1649" s="896"/>
      <c r="D1649" s="957" t="s">
        <v>339</v>
      </c>
      <c r="E1649" s="907">
        <f>GLOBAL_DER_FEV_2023!E1649</f>
        <v>0</v>
      </c>
      <c r="F1649" s="908">
        <f>GLOBAL_DER_FEV_2023!F1649</f>
        <v>1.2270000000000001</v>
      </c>
      <c r="G1649" s="949">
        <f>GLOBAL_DER_FEV_2023!G1649</f>
        <v>3.2883600000000004</v>
      </c>
      <c r="H1649" s="901">
        <f>GLOBAL_DER_FEV_2023!H1649</f>
        <v>0</v>
      </c>
      <c r="I1649" s="901">
        <f>GLOBAL_DER_FEV_2023!I1649</f>
        <v>0</v>
      </c>
      <c r="J1649" s="902">
        <f>GLOBAL_DER_FEV_2023!J1649</f>
        <v>0</v>
      </c>
      <c r="K1649" s="958" t="s">
        <v>507</v>
      </c>
      <c r="L1649" s="959"/>
      <c r="M1649" s="1157">
        <f t="shared" si="122"/>
        <v>0</v>
      </c>
      <c r="N1649" s="893">
        <f t="shared" si="126"/>
        <v>0</v>
      </c>
      <c r="O1649" s="905"/>
      <c r="P1649" s="58" t="str">
        <f>IF(N1646&gt;0,"xx",IF(N1646&gt;0,"xy",""))</f>
        <v/>
      </c>
      <c r="Q1649" s="317" t="str">
        <f t="shared" si="123"/>
        <v/>
      </c>
      <c r="R1649" s="317" t="str">
        <f t="shared" si="124"/>
        <v/>
      </c>
      <c r="S1649" s="317" t="str">
        <f t="shared" si="125"/>
        <v/>
      </c>
      <c r="T1649" s="317" t="str">
        <f>GLOBAL_DER_FEV_2023!S1649</f>
        <v/>
      </c>
      <c r="W1649" s="582">
        <v>0</v>
      </c>
      <c r="X1649" s="580"/>
      <c r="Y1649" s="583">
        <f>IF(GLOBAL_DER_FEV_2023!W1649=0,0,IF(GLOBAL_DER_FEV_2023!W1649&gt;0,"c","b"))</f>
        <v>0</v>
      </c>
    </row>
    <row r="1650" spans="1:25" ht="15" hidden="1" customHeight="1" x14ac:dyDescent="0.2">
      <c r="A1650" s="317">
        <v>605200</v>
      </c>
      <c r="B1650" s="895" t="s">
        <v>1793</v>
      </c>
      <c r="C1650" s="896" t="s">
        <v>184</v>
      </c>
      <c r="D1650" s="906" t="s">
        <v>340</v>
      </c>
      <c r="E1650" s="907">
        <f>GLOBAL_DER_FEV_2023!E1650</f>
        <v>0</v>
      </c>
      <c r="F1650" s="908">
        <f>GLOBAL_DER_FEV_2023!F1650</f>
        <v>0</v>
      </c>
      <c r="G1650" s="912">
        <f>GLOBAL_DER_FEV_2023!G1650</f>
        <v>226.84134000000003</v>
      </c>
      <c r="H1650" s="901">
        <f>GLOBAL_DER_FEV_2023!H1650</f>
        <v>471.16</v>
      </c>
      <c r="I1650" s="901">
        <f>GLOBAL_DER_FEV_2023!I1650</f>
        <v>698.00134000000003</v>
      </c>
      <c r="J1650" s="902">
        <f>GLOBAL_DER_FEV_2023!J1650</f>
        <v>838.09</v>
      </c>
      <c r="K1650" s="903" t="s">
        <v>10</v>
      </c>
      <c r="L1650" s="1137"/>
      <c r="M1650" s="1138">
        <f t="shared" si="122"/>
        <v>0</v>
      </c>
      <c r="N1650" s="893">
        <f t="shared" si="126"/>
        <v>0</v>
      </c>
      <c r="O1650" s="905"/>
      <c r="Q1650" s="317" t="str">
        <f t="shared" si="123"/>
        <v/>
      </c>
      <c r="R1650" s="317" t="str">
        <f t="shared" si="124"/>
        <v/>
      </c>
      <c r="S1650" s="317" t="str">
        <f t="shared" si="125"/>
        <v/>
      </c>
      <c r="T1650" s="317" t="str">
        <f>GLOBAL_DER_FEV_2023!S1650</f>
        <v/>
      </c>
      <c r="W1650" s="582">
        <v>0</v>
      </c>
      <c r="X1650" s="580"/>
      <c r="Y1650" s="583">
        <f>IF(GLOBAL_DER_FEV_2023!W1650=0,0,IF(GLOBAL_DER_FEV_2023!W1650&gt;0,"c","b"))</f>
        <v>0</v>
      </c>
    </row>
    <row r="1651" spans="1:25" ht="15" hidden="1" customHeight="1" x14ac:dyDescent="0.2">
      <c r="A1651" s="317" t="s">
        <v>147</v>
      </c>
      <c r="B1651" s="895" t="s">
        <v>147</v>
      </c>
      <c r="C1651" s="896"/>
      <c r="D1651" s="957" t="s">
        <v>190</v>
      </c>
      <c r="E1651" s="907">
        <f>GLOBAL_DER_FEV_2023!E1651</f>
        <v>308</v>
      </c>
      <c r="F1651" s="908">
        <f>GLOBAL_DER_FEV_2023!F1651</f>
        <v>0.27</v>
      </c>
      <c r="G1651" s="909">
        <f>GLOBAL_DER_FEV_2023!G1651</f>
        <v>66.976200000000006</v>
      </c>
      <c r="H1651" s="901">
        <f>GLOBAL_DER_FEV_2023!H1651</f>
        <v>0</v>
      </c>
      <c r="I1651" s="901">
        <f>GLOBAL_DER_FEV_2023!I1651</f>
        <v>0</v>
      </c>
      <c r="J1651" s="902">
        <f>GLOBAL_DER_FEV_2023!J1651</f>
        <v>0</v>
      </c>
      <c r="K1651" s="958" t="s">
        <v>507</v>
      </c>
      <c r="L1651" s="959"/>
      <c r="M1651" s="1157">
        <f t="shared" si="122"/>
        <v>0</v>
      </c>
      <c r="N1651" s="893">
        <f t="shared" si="126"/>
        <v>0</v>
      </c>
      <c r="O1651" s="905"/>
      <c r="P1651" s="58" t="str">
        <f>IF(N1650&gt;0,"xx",IF(N1650&gt;0,"xy",""))</f>
        <v/>
      </c>
      <c r="Q1651" s="317" t="str">
        <f t="shared" si="123"/>
        <v/>
      </c>
      <c r="R1651" s="317" t="str">
        <f t="shared" si="124"/>
        <v/>
      </c>
      <c r="S1651" s="317" t="str">
        <f t="shared" si="125"/>
        <v/>
      </c>
      <c r="T1651" s="317" t="str">
        <f>GLOBAL_DER_FEV_2023!S1651</f>
        <v/>
      </c>
      <c r="W1651" s="582">
        <v>0</v>
      </c>
      <c r="X1651" s="580"/>
      <c r="Y1651" s="583">
        <f>IF(GLOBAL_DER_FEV_2023!W1651=0,0,IF(GLOBAL_DER_FEV_2023!W1651&gt;0,"c","b"))</f>
        <v>0</v>
      </c>
    </row>
    <row r="1652" spans="1:25" ht="15" hidden="1" customHeight="1" x14ac:dyDescent="0.2">
      <c r="A1652" s="317" t="s">
        <v>147</v>
      </c>
      <c r="B1652" s="895" t="s">
        <v>147</v>
      </c>
      <c r="C1652" s="896"/>
      <c r="D1652" s="957" t="s">
        <v>229</v>
      </c>
      <c r="E1652" s="907">
        <f>GLOBAL_DER_FEV_2023!E1652</f>
        <v>150</v>
      </c>
      <c r="F1652" s="908">
        <f>GLOBAL_DER_FEV_2023!F1652</f>
        <v>0.96</v>
      </c>
      <c r="G1652" s="949">
        <f>GLOBAL_DER_FEV_2023!G1652</f>
        <v>156.65280000000001</v>
      </c>
      <c r="H1652" s="901">
        <f>GLOBAL_DER_FEV_2023!H1652</f>
        <v>0</v>
      </c>
      <c r="I1652" s="901">
        <f>GLOBAL_DER_FEV_2023!I1652</f>
        <v>0</v>
      </c>
      <c r="J1652" s="902">
        <f>GLOBAL_DER_FEV_2023!J1652</f>
        <v>0</v>
      </c>
      <c r="K1652" s="958" t="s">
        <v>507</v>
      </c>
      <c r="L1652" s="959"/>
      <c r="M1652" s="1157">
        <f t="shared" si="122"/>
        <v>0</v>
      </c>
      <c r="N1652" s="893">
        <f t="shared" si="126"/>
        <v>0</v>
      </c>
      <c r="O1652" s="905"/>
      <c r="P1652" s="58" t="str">
        <f>IF(N1650&gt;0,"xx",IF(N1650&gt;0,"xy",""))</f>
        <v/>
      </c>
      <c r="Q1652" s="317" t="str">
        <f t="shared" si="123"/>
        <v/>
      </c>
      <c r="R1652" s="317" t="str">
        <f t="shared" si="124"/>
        <v/>
      </c>
      <c r="S1652" s="317" t="str">
        <f t="shared" si="125"/>
        <v/>
      </c>
      <c r="T1652" s="317" t="str">
        <f>GLOBAL_DER_FEV_2023!S1652</f>
        <v/>
      </c>
      <c r="W1652" s="582">
        <v>0</v>
      </c>
      <c r="X1652" s="580"/>
      <c r="Y1652" s="583">
        <f>IF(GLOBAL_DER_FEV_2023!W1652=0,0,IF(GLOBAL_DER_FEV_2023!W1652&gt;0,"c","b"))</f>
        <v>0</v>
      </c>
    </row>
    <row r="1653" spans="1:25" ht="15" hidden="1" customHeight="1" x14ac:dyDescent="0.2">
      <c r="A1653" s="317" t="s">
        <v>147</v>
      </c>
      <c r="B1653" s="895" t="s">
        <v>147</v>
      </c>
      <c r="C1653" s="896"/>
      <c r="D1653" s="957" t="s">
        <v>233</v>
      </c>
      <c r="E1653" s="907">
        <f>GLOBAL_DER_FEV_2023!E1653</f>
        <v>0.2</v>
      </c>
      <c r="F1653" s="908">
        <f>GLOBAL_DER_FEV_2023!F1653</f>
        <v>1.1100000000000001</v>
      </c>
      <c r="G1653" s="949">
        <f>GLOBAL_DER_FEV_2023!G1653</f>
        <v>3.2123400000000006</v>
      </c>
      <c r="H1653" s="901">
        <f>GLOBAL_DER_FEV_2023!H1653</f>
        <v>0</v>
      </c>
      <c r="I1653" s="901">
        <f>GLOBAL_DER_FEV_2023!I1653</f>
        <v>0</v>
      </c>
      <c r="J1653" s="902">
        <f>GLOBAL_DER_FEV_2023!J1653</f>
        <v>0</v>
      </c>
      <c r="K1653" s="958" t="s">
        <v>507</v>
      </c>
      <c r="L1653" s="959"/>
      <c r="M1653" s="1157">
        <f t="shared" si="122"/>
        <v>0</v>
      </c>
      <c r="N1653" s="893">
        <f t="shared" si="126"/>
        <v>0</v>
      </c>
      <c r="O1653" s="905"/>
      <c r="P1653" s="58" t="str">
        <f>IF(N1650&gt;0,"xx",IF(N1650&gt;0,"xy",""))</f>
        <v/>
      </c>
      <c r="Q1653" s="317" t="str">
        <f t="shared" si="123"/>
        <v/>
      </c>
      <c r="R1653" s="317" t="str">
        <f t="shared" si="124"/>
        <v/>
      </c>
      <c r="S1653" s="317" t="str">
        <f t="shared" si="125"/>
        <v/>
      </c>
      <c r="T1653" s="317" t="str">
        <f>GLOBAL_DER_FEV_2023!S1653</f>
        <v/>
      </c>
      <c r="W1653" s="582">
        <v>0</v>
      </c>
      <c r="X1653" s="580"/>
      <c r="Y1653" s="583">
        <f>IF(GLOBAL_DER_FEV_2023!W1653=0,0,IF(GLOBAL_DER_FEV_2023!W1653&gt;0,"c","b"))</f>
        <v>0</v>
      </c>
    </row>
    <row r="1654" spans="1:25" ht="15" hidden="1" customHeight="1" x14ac:dyDescent="0.2">
      <c r="A1654" s="317">
        <v>605300</v>
      </c>
      <c r="B1654" s="895" t="s">
        <v>1795</v>
      </c>
      <c r="C1654" s="896" t="s">
        <v>184</v>
      </c>
      <c r="D1654" s="906" t="s">
        <v>341</v>
      </c>
      <c r="E1654" s="907">
        <f>GLOBAL_DER_FEV_2023!E1654</f>
        <v>0</v>
      </c>
      <c r="F1654" s="908">
        <f>GLOBAL_DER_FEV_2023!F1654</f>
        <v>0</v>
      </c>
      <c r="G1654" s="912">
        <f>GLOBAL_DER_FEV_2023!G1654</f>
        <v>235.36092000000002</v>
      </c>
      <c r="H1654" s="901">
        <f>GLOBAL_DER_FEV_2023!H1654</f>
        <v>503.25</v>
      </c>
      <c r="I1654" s="901">
        <f>GLOBAL_DER_FEV_2023!I1654</f>
        <v>738.61092000000008</v>
      </c>
      <c r="J1654" s="902">
        <f>GLOBAL_DER_FEV_2023!J1654</f>
        <v>886.85</v>
      </c>
      <c r="K1654" s="903" t="s">
        <v>10</v>
      </c>
      <c r="L1654" s="1137"/>
      <c r="M1654" s="1138">
        <f t="shared" si="122"/>
        <v>0</v>
      </c>
      <c r="N1654" s="893">
        <f t="shared" si="126"/>
        <v>0</v>
      </c>
      <c r="O1654" s="905"/>
      <c r="Q1654" s="317" t="str">
        <f t="shared" si="123"/>
        <v/>
      </c>
      <c r="R1654" s="317" t="str">
        <f t="shared" si="124"/>
        <v/>
      </c>
      <c r="S1654" s="317" t="str">
        <f t="shared" si="125"/>
        <v/>
      </c>
      <c r="T1654" s="317" t="str">
        <f>GLOBAL_DER_FEV_2023!S1654</f>
        <v/>
      </c>
      <c r="W1654" s="582">
        <v>0</v>
      </c>
      <c r="X1654" s="580"/>
      <c r="Y1654" s="583">
        <f>IF(GLOBAL_DER_FEV_2023!W1654=0,0,IF(GLOBAL_DER_FEV_2023!W1654&gt;0,"c","b"))</f>
        <v>0</v>
      </c>
    </row>
    <row r="1655" spans="1:25" ht="15" hidden="1" customHeight="1" x14ac:dyDescent="0.2">
      <c r="A1655" s="317" t="s">
        <v>147</v>
      </c>
      <c r="B1655" s="895" t="s">
        <v>147</v>
      </c>
      <c r="C1655" s="896"/>
      <c r="D1655" s="957" t="s">
        <v>190</v>
      </c>
      <c r="E1655" s="907">
        <f>GLOBAL_DER_FEV_2023!E1655</f>
        <v>308</v>
      </c>
      <c r="F1655" s="908">
        <f>GLOBAL_DER_FEV_2023!F1655</f>
        <v>0.33</v>
      </c>
      <c r="G1655" s="909">
        <f>GLOBAL_DER_FEV_2023!G1655</f>
        <v>81.859800000000007</v>
      </c>
      <c r="H1655" s="901">
        <f>GLOBAL_DER_FEV_2023!H1655</f>
        <v>0</v>
      </c>
      <c r="I1655" s="901">
        <f>GLOBAL_DER_FEV_2023!I1655</f>
        <v>0</v>
      </c>
      <c r="J1655" s="902">
        <f>GLOBAL_DER_FEV_2023!J1655</f>
        <v>0</v>
      </c>
      <c r="K1655" s="958" t="s">
        <v>507</v>
      </c>
      <c r="L1655" s="959"/>
      <c r="M1655" s="1157">
        <f t="shared" si="122"/>
        <v>0</v>
      </c>
      <c r="N1655" s="893">
        <f t="shared" si="126"/>
        <v>0</v>
      </c>
      <c r="O1655" s="905"/>
      <c r="P1655" s="58" t="str">
        <f>IF(N1654&gt;0,"xx",IF(N1654&gt;0,"xy",""))</f>
        <v/>
      </c>
      <c r="Q1655" s="317" t="str">
        <f t="shared" si="123"/>
        <v/>
      </c>
      <c r="R1655" s="317" t="str">
        <f t="shared" si="124"/>
        <v/>
      </c>
      <c r="S1655" s="317" t="str">
        <f t="shared" si="125"/>
        <v/>
      </c>
      <c r="T1655" s="317" t="str">
        <f>GLOBAL_DER_FEV_2023!S1655</f>
        <v/>
      </c>
      <c r="W1655" s="582">
        <v>0</v>
      </c>
      <c r="X1655" s="580"/>
      <c r="Y1655" s="583">
        <f>IF(GLOBAL_DER_FEV_2023!W1655=0,0,IF(GLOBAL_DER_FEV_2023!W1655&gt;0,"c","b"))</f>
        <v>0</v>
      </c>
    </row>
    <row r="1656" spans="1:25" ht="15" hidden="1" customHeight="1" x14ac:dyDescent="0.2">
      <c r="A1656" s="317" t="s">
        <v>147</v>
      </c>
      <c r="B1656" s="895" t="s">
        <v>147</v>
      </c>
      <c r="C1656" s="896"/>
      <c r="D1656" s="957" t="s">
        <v>229</v>
      </c>
      <c r="E1656" s="907">
        <f>GLOBAL_DER_FEV_2023!E1656</f>
        <v>150</v>
      </c>
      <c r="F1656" s="908">
        <f>GLOBAL_DER_FEV_2023!F1656</f>
        <v>0.92100000000000004</v>
      </c>
      <c r="G1656" s="949">
        <f>GLOBAL_DER_FEV_2023!G1656</f>
        <v>150.28878</v>
      </c>
      <c r="H1656" s="901">
        <f>GLOBAL_DER_FEV_2023!H1656</f>
        <v>0</v>
      </c>
      <c r="I1656" s="901">
        <f>GLOBAL_DER_FEV_2023!I1656</f>
        <v>0</v>
      </c>
      <c r="J1656" s="902">
        <f>GLOBAL_DER_FEV_2023!J1656</f>
        <v>0</v>
      </c>
      <c r="K1656" s="958" t="s">
        <v>507</v>
      </c>
      <c r="L1656" s="959"/>
      <c r="M1656" s="1157">
        <f t="shared" si="122"/>
        <v>0</v>
      </c>
      <c r="N1656" s="893">
        <f t="shared" si="126"/>
        <v>0</v>
      </c>
      <c r="O1656" s="905"/>
      <c r="P1656" s="58" t="str">
        <f>IF(N1654&gt;0,"xx",IF(N1654&gt;0,"xy",""))</f>
        <v/>
      </c>
      <c r="Q1656" s="317" t="str">
        <f t="shared" si="123"/>
        <v/>
      </c>
      <c r="R1656" s="317" t="str">
        <f t="shared" si="124"/>
        <v/>
      </c>
      <c r="S1656" s="317" t="str">
        <f t="shared" si="125"/>
        <v/>
      </c>
      <c r="T1656" s="317" t="str">
        <f>GLOBAL_DER_FEV_2023!S1656</f>
        <v/>
      </c>
      <c r="W1656" s="582">
        <v>0</v>
      </c>
      <c r="X1656" s="580"/>
      <c r="Y1656" s="583">
        <f>IF(GLOBAL_DER_FEV_2023!W1656=0,0,IF(GLOBAL_DER_FEV_2023!W1656&gt;0,"c","b"))</f>
        <v>0</v>
      </c>
    </row>
    <row r="1657" spans="1:25" ht="15" hidden="1" customHeight="1" x14ac:dyDescent="0.2">
      <c r="A1657" s="317" t="s">
        <v>147</v>
      </c>
      <c r="B1657" s="895" t="s">
        <v>147</v>
      </c>
      <c r="C1657" s="896"/>
      <c r="D1657" s="957" t="s">
        <v>233</v>
      </c>
      <c r="E1657" s="907">
        <f>GLOBAL_DER_FEV_2023!E1657</f>
        <v>0.2</v>
      </c>
      <c r="F1657" s="908">
        <f>GLOBAL_DER_FEV_2023!F1657</f>
        <v>1.1100000000000001</v>
      </c>
      <c r="G1657" s="949">
        <f>GLOBAL_DER_FEV_2023!G1657</f>
        <v>3.2123400000000006</v>
      </c>
      <c r="H1657" s="901">
        <f>GLOBAL_DER_FEV_2023!H1657</f>
        <v>0</v>
      </c>
      <c r="I1657" s="901">
        <f>GLOBAL_DER_FEV_2023!I1657</f>
        <v>0</v>
      </c>
      <c r="J1657" s="902">
        <f>GLOBAL_DER_FEV_2023!J1657</f>
        <v>0</v>
      </c>
      <c r="K1657" s="958" t="s">
        <v>507</v>
      </c>
      <c r="L1657" s="959"/>
      <c r="M1657" s="1157">
        <f t="shared" si="122"/>
        <v>0</v>
      </c>
      <c r="N1657" s="893">
        <f t="shared" si="126"/>
        <v>0</v>
      </c>
      <c r="O1657" s="905"/>
      <c r="P1657" s="58" t="str">
        <f>IF(N1654&gt;0,"xx",IF(N1654&gt;0,"xy",""))</f>
        <v/>
      </c>
      <c r="Q1657" s="317" t="str">
        <f t="shared" si="123"/>
        <v/>
      </c>
      <c r="R1657" s="317" t="str">
        <f t="shared" si="124"/>
        <v/>
      </c>
      <c r="S1657" s="317" t="str">
        <f t="shared" si="125"/>
        <v/>
      </c>
      <c r="T1657" s="317" t="str">
        <f>GLOBAL_DER_FEV_2023!S1657</f>
        <v/>
      </c>
      <c r="W1657" s="582">
        <v>0</v>
      </c>
      <c r="X1657" s="580"/>
      <c r="Y1657" s="583">
        <f>IF(GLOBAL_DER_FEV_2023!W1657=0,0,IF(GLOBAL_DER_FEV_2023!W1657&gt;0,"c","b"))</f>
        <v>0</v>
      </c>
    </row>
    <row r="1658" spans="1:25" ht="15" hidden="1" customHeight="1" x14ac:dyDescent="0.2">
      <c r="A1658" s="317">
        <v>605400</v>
      </c>
      <c r="B1658" s="895" t="s">
        <v>1797</v>
      </c>
      <c r="C1658" s="896" t="s">
        <v>184</v>
      </c>
      <c r="D1658" s="906" t="s">
        <v>342</v>
      </c>
      <c r="E1658" s="907">
        <f>GLOBAL_DER_FEV_2023!E1658</f>
        <v>0</v>
      </c>
      <c r="F1658" s="908">
        <f>GLOBAL_DER_FEV_2023!F1658</f>
        <v>0</v>
      </c>
      <c r="G1658" s="912">
        <f>GLOBAL_DER_FEV_2023!G1658</f>
        <v>254.98858000000001</v>
      </c>
      <c r="H1658" s="901">
        <f>GLOBAL_DER_FEV_2023!H1658</f>
        <v>510.89</v>
      </c>
      <c r="I1658" s="901">
        <f>GLOBAL_DER_FEV_2023!I1658</f>
        <v>765.87858000000006</v>
      </c>
      <c r="J1658" s="902">
        <f>GLOBAL_DER_FEV_2023!J1658</f>
        <v>919.59</v>
      </c>
      <c r="K1658" s="903" t="s">
        <v>10</v>
      </c>
      <c r="L1658" s="1137"/>
      <c r="M1658" s="1138">
        <f t="shared" si="122"/>
        <v>0</v>
      </c>
      <c r="N1658" s="893">
        <f t="shared" si="126"/>
        <v>0</v>
      </c>
      <c r="O1658" s="905"/>
      <c r="Q1658" s="317" t="str">
        <f t="shared" si="123"/>
        <v/>
      </c>
      <c r="R1658" s="317" t="str">
        <f t="shared" si="124"/>
        <v/>
      </c>
      <c r="S1658" s="317" t="str">
        <f t="shared" si="125"/>
        <v/>
      </c>
      <c r="T1658" s="317" t="str">
        <f>GLOBAL_DER_FEV_2023!S1658</f>
        <v/>
      </c>
      <c r="W1658" s="582">
        <v>0</v>
      </c>
      <c r="X1658" s="580"/>
      <c r="Y1658" s="583">
        <f>IF(GLOBAL_DER_FEV_2023!W1658=0,0,IF(GLOBAL_DER_FEV_2023!W1658&gt;0,"c","b"))</f>
        <v>0</v>
      </c>
    </row>
    <row r="1659" spans="1:25" ht="15" hidden="1" customHeight="1" x14ac:dyDescent="0.2">
      <c r="A1659" s="317" t="s">
        <v>147</v>
      </c>
      <c r="B1659" s="895" t="s">
        <v>147</v>
      </c>
      <c r="C1659" s="896"/>
      <c r="D1659" s="957" t="s">
        <v>190</v>
      </c>
      <c r="E1659" s="907">
        <f>GLOBAL_DER_FEV_2023!E1659</f>
        <v>308</v>
      </c>
      <c r="F1659" s="908">
        <f>GLOBAL_DER_FEV_2023!F1659</f>
        <v>0.34399999999999997</v>
      </c>
      <c r="G1659" s="909">
        <f>GLOBAL_DER_FEV_2023!G1659</f>
        <v>85.332639999999998</v>
      </c>
      <c r="H1659" s="901">
        <f>GLOBAL_DER_FEV_2023!H1659</f>
        <v>0</v>
      </c>
      <c r="I1659" s="901">
        <f>GLOBAL_DER_FEV_2023!I1659</f>
        <v>0</v>
      </c>
      <c r="J1659" s="902">
        <f>GLOBAL_DER_FEV_2023!J1659</f>
        <v>0</v>
      </c>
      <c r="K1659" s="958" t="s">
        <v>507</v>
      </c>
      <c r="L1659" s="959"/>
      <c r="M1659" s="1157">
        <f t="shared" si="122"/>
        <v>0</v>
      </c>
      <c r="N1659" s="893">
        <f t="shared" si="126"/>
        <v>0</v>
      </c>
      <c r="O1659" s="905"/>
      <c r="P1659" s="58" t="str">
        <f>IF(N1658&gt;0,"xx",IF(N1658&gt;0,"xy",""))</f>
        <v/>
      </c>
      <c r="Q1659" s="317" t="str">
        <f t="shared" si="123"/>
        <v/>
      </c>
      <c r="R1659" s="317" t="str">
        <f t="shared" si="124"/>
        <v/>
      </c>
      <c r="S1659" s="317" t="str">
        <f t="shared" si="125"/>
        <v/>
      </c>
      <c r="T1659" s="317" t="str">
        <f>GLOBAL_DER_FEV_2023!S1659</f>
        <v/>
      </c>
      <c r="W1659" s="582">
        <v>0</v>
      </c>
      <c r="X1659" s="580"/>
      <c r="Y1659" s="583">
        <f>IF(GLOBAL_DER_FEV_2023!W1659=0,0,IF(GLOBAL_DER_FEV_2023!W1659&gt;0,"c","b"))</f>
        <v>0</v>
      </c>
    </row>
    <row r="1660" spans="1:25" ht="15" hidden="1" customHeight="1" x14ac:dyDescent="0.2">
      <c r="A1660" s="317" t="s">
        <v>147</v>
      </c>
      <c r="B1660" s="895" t="s">
        <v>147</v>
      </c>
      <c r="C1660" s="896"/>
      <c r="D1660" s="957" t="s">
        <v>229</v>
      </c>
      <c r="E1660" s="907">
        <f>GLOBAL_DER_FEV_2023!E1660</f>
        <v>150</v>
      </c>
      <c r="F1660" s="908">
        <f>GLOBAL_DER_FEV_2023!F1660</f>
        <v>1.02</v>
      </c>
      <c r="G1660" s="949">
        <f>GLOBAL_DER_FEV_2023!G1660</f>
        <v>166.4436</v>
      </c>
      <c r="H1660" s="901">
        <f>GLOBAL_DER_FEV_2023!H1660</f>
        <v>0</v>
      </c>
      <c r="I1660" s="901">
        <f>GLOBAL_DER_FEV_2023!I1660</f>
        <v>0</v>
      </c>
      <c r="J1660" s="902">
        <f>GLOBAL_DER_FEV_2023!J1660</f>
        <v>0</v>
      </c>
      <c r="K1660" s="958" t="s">
        <v>507</v>
      </c>
      <c r="L1660" s="959"/>
      <c r="M1660" s="1157">
        <f t="shared" si="122"/>
        <v>0</v>
      </c>
      <c r="N1660" s="893">
        <f t="shared" si="126"/>
        <v>0</v>
      </c>
      <c r="O1660" s="905"/>
      <c r="P1660" s="58" t="str">
        <f>IF(N1658&gt;0,"xx",IF(N1658&gt;0,"xy",""))</f>
        <v/>
      </c>
      <c r="Q1660" s="317" t="str">
        <f t="shared" si="123"/>
        <v/>
      </c>
      <c r="R1660" s="317" t="str">
        <f t="shared" si="124"/>
        <v/>
      </c>
      <c r="S1660" s="317" t="str">
        <f t="shared" si="125"/>
        <v/>
      </c>
      <c r="T1660" s="317" t="str">
        <f>GLOBAL_DER_FEV_2023!S1660</f>
        <v/>
      </c>
      <c r="W1660" s="582">
        <v>0</v>
      </c>
      <c r="X1660" s="580"/>
      <c r="Y1660" s="583">
        <f>IF(GLOBAL_DER_FEV_2023!W1660=0,0,IF(GLOBAL_DER_FEV_2023!W1660&gt;0,"c","b"))</f>
        <v>0</v>
      </c>
    </row>
    <row r="1661" spans="1:25" ht="15" hidden="1" customHeight="1" x14ac:dyDescent="0.2">
      <c r="A1661" s="317" t="s">
        <v>147</v>
      </c>
      <c r="B1661" s="895" t="s">
        <v>147</v>
      </c>
      <c r="C1661" s="896"/>
      <c r="D1661" s="957" t="s">
        <v>233</v>
      </c>
      <c r="E1661" s="907">
        <f>GLOBAL_DER_FEV_2023!E1661</f>
        <v>0.2</v>
      </c>
      <c r="F1661" s="908">
        <f>GLOBAL_DER_FEV_2023!F1661</f>
        <v>1.1100000000000001</v>
      </c>
      <c r="G1661" s="949">
        <f>GLOBAL_DER_FEV_2023!G1661</f>
        <v>3.2123400000000006</v>
      </c>
      <c r="H1661" s="901">
        <f>GLOBAL_DER_FEV_2023!H1661</f>
        <v>0</v>
      </c>
      <c r="I1661" s="901">
        <f>GLOBAL_DER_FEV_2023!I1661</f>
        <v>0</v>
      </c>
      <c r="J1661" s="902">
        <f>GLOBAL_DER_FEV_2023!J1661</f>
        <v>0</v>
      </c>
      <c r="K1661" s="958" t="s">
        <v>507</v>
      </c>
      <c r="L1661" s="959"/>
      <c r="M1661" s="1157">
        <f t="shared" si="122"/>
        <v>0</v>
      </c>
      <c r="N1661" s="893">
        <f t="shared" si="126"/>
        <v>0</v>
      </c>
      <c r="O1661" s="905"/>
      <c r="P1661" s="58" t="str">
        <f>IF(N1658&gt;0,"xx",IF(N1658&gt;0,"xy",""))</f>
        <v/>
      </c>
      <c r="Q1661" s="317" t="str">
        <f t="shared" si="123"/>
        <v/>
      </c>
      <c r="R1661" s="317" t="str">
        <f t="shared" si="124"/>
        <v/>
      </c>
      <c r="S1661" s="317" t="str">
        <f t="shared" si="125"/>
        <v/>
      </c>
      <c r="T1661" s="317" t="str">
        <f>GLOBAL_DER_FEV_2023!S1661</f>
        <v/>
      </c>
      <c r="W1661" s="582">
        <v>0</v>
      </c>
      <c r="X1661" s="580"/>
      <c r="Y1661" s="583">
        <f>IF(GLOBAL_DER_FEV_2023!W1661=0,0,IF(GLOBAL_DER_FEV_2023!W1661&gt;0,"c","b"))</f>
        <v>0</v>
      </c>
    </row>
    <row r="1662" spans="1:25" ht="15" hidden="1" customHeight="1" x14ac:dyDescent="0.2">
      <c r="A1662" s="317">
        <v>831000</v>
      </c>
      <c r="B1662" s="895" t="s">
        <v>1699</v>
      </c>
      <c r="C1662" s="896" t="s">
        <v>184</v>
      </c>
      <c r="D1662" s="906" t="s">
        <v>265</v>
      </c>
      <c r="E1662" s="907">
        <f>GLOBAL_DER_FEV_2023!E1662</f>
        <v>0</v>
      </c>
      <c r="F1662" s="908">
        <f>GLOBAL_DER_FEV_2023!F1662</f>
        <v>0</v>
      </c>
      <c r="G1662" s="912">
        <f>GLOBAL_DER_FEV_2023!G1662</f>
        <v>0</v>
      </c>
      <c r="H1662" s="901">
        <f>GLOBAL_DER_FEV_2023!H1662</f>
        <v>41.45</v>
      </c>
      <c r="I1662" s="901">
        <f>GLOBAL_DER_FEV_2023!I1662</f>
        <v>41.45</v>
      </c>
      <c r="J1662" s="902">
        <f>GLOBAL_DER_FEV_2023!J1662</f>
        <v>49.77</v>
      </c>
      <c r="K1662" s="903" t="s">
        <v>13</v>
      </c>
      <c r="L1662" s="1137"/>
      <c r="M1662" s="1138">
        <f t="shared" si="122"/>
        <v>0</v>
      </c>
      <c r="N1662" s="893">
        <f t="shared" si="126"/>
        <v>0</v>
      </c>
      <c r="O1662" s="905"/>
      <c r="Q1662" s="317" t="str">
        <f t="shared" si="123"/>
        <v/>
      </c>
      <c r="R1662" s="317" t="str">
        <f t="shared" si="124"/>
        <v/>
      </c>
      <c r="S1662" s="317" t="str">
        <f t="shared" si="125"/>
        <v/>
      </c>
      <c r="T1662" s="317" t="str">
        <f>GLOBAL_DER_FEV_2023!S1662</f>
        <v/>
      </c>
      <c r="W1662" s="582">
        <v>0</v>
      </c>
      <c r="X1662" s="580"/>
      <c r="Y1662" s="583">
        <f>IF(GLOBAL_DER_FEV_2023!W1662=0,0,IF(GLOBAL_DER_FEV_2023!W1662&gt;0,"c","b"))</f>
        <v>0</v>
      </c>
    </row>
    <row r="1663" spans="1:25" ht="15" hidden="1" customHeight="1" x14ac:dyDescent="0.2">
      <c r="A1663" s="317">
        <v>830000</v>
      </c>
      <c r="B1663" s="895" t="s">
        <v>1700</v>
      </c>
      <c r="C1663" s="896" t="s">
        <v>184</v>
      </c>
      <c r="D1663" s="906" t="s">
        <v>266</v>
      </c>
      <c r="E1663" s="907">
        <f>GLOBAL_DER_FEV_2023!E1663</f>
        <v>0</v>
      </c>
      <c r="F1663" s="908">
        <f>GLOBAL_DER_FEV_2023!F1663</f>
        <v>0</v>
      </c>
      <c r="G1663" s="912">
        <f>GLOBAL_DER_FEV_2023!G1663</f>
        <v>0</v>
      </c>
      <c r="H1663" s="901">
        <f>GLOBAL_DER_FEV_2023!H1663</f>
        <v>36.44</v>
      </c>
      <c r="I1663" s="901">
        <f>GLOBAL_DER_FEV_2023!I1663</f>
        <v>36.44</v>
      </c>
      <c r="J1663" s="902">
        <f>GLOBAL_DER_FEV_2023!J1663</f>
        <v>43.75</v>
      </c>
      <c r="K1663" s="903" t="s">
        <v>13</v>
      </c>
      <c r="L1663" s="1137"/>
      <c r="M1663" s="1138">
        <f t="shared" si="122"/>
        <v>0</v>
      </c>
      <c r="N1663" s="893">
        <f t="shared" si="126"/>
        <v>0</v>
      </c>
      <c r="O1663" s="905"/>
      <c r="Q1663" s="317" t="str">
        <f t="shared" si="123"/>
        <v/>
      </c>
      <c r="R1663" s="317" t="str">
        <f t="shared" si="124"/>
        <v/>
      </c>
      <c r="S1663" s="317" t="str">
        <f t="shared" si="125"/>
        <v/>
      </c>
      <c r="T1663" s="317" t="str">
        <f>GLOBAL_DER_FEV_2023!S1663</f>
        <v/>
      </c>
      <c r="W1663" s="582">
        <v>0</v>
      </c>
      <c r="X1663" s="580"/>
      <c r="Y1663" s="583">
        <f>IF(GLOBAL_DER_FEV_2023!W1663=0,0,IF(GLOBAL_DER_FEV_2023!W1663&gt;0,"c","b"))</f>
        <v>0</v>
      </c>
    </row>
    <row r="1664" spans="1:25" ht="15" hidden="1" customHeight="1" x14ac:dyDescent="0.2">
      <c r="A1664" s="317">
        <v>823000</v>
      </c>
      <c r="B1664" s="895" t="s">
        <v>1789</v>
      </c>
      <c r="C1664" s="896" t="s">
        <v>184</v>
      </c>
      <c r="D1664" s="906" t="s">
        <v>267</v>
      </c>
      <c r="E1664" s="907">
        <f>GLOBAL_DER_FEV_2023!E1664</f>
        <v>0</v>
      </c>
      <c r="F1664" s="908">
        <f>GLOBAL_DER_FEV_2023!F1664</f>
        <v>0</v>
      </c>
      <c r="G1664" s="912">
        <f>GLOBAL_DER_FEV_2023!G1664</f>
        <v>0</v>
      </c>
      <c r="H1664" s="901">
        <f>GLOBAL_DER_FEV_2023!H1664</f>
        <v>490.71</v>
      </c>
      <c r="I1664" s="901">
        <f>GLOBAL_DER_FEV_2023!I1664</f>
        <v>490.71</v>
      </c>
      <c r="J1664" s="902">
        <f>GLOBAL_DER_FEV_2023!J1664</f>
        <v>589.20000000000005</v>
      </c>
      <c r="K1664" s="903" t="s">
        <v>13</v>
      </c>
      <c r="L1664" s="1137"/>
      <c r="M1664" s="1138">
        <f t="shared" si="122"/>
        <v>0</v>
      </c>
      <c r="N1664" s="893">
        <f t="shared" si="126"/>
        <v>0</v>
      </c>
      <c r="O1664" s="905"/>
      <c r="Q1664" s="317" t="str">
        <f t="shared" si="123"/>
        <v/>
      </c>
      <c r="R1664" s="317" t="str">
        <f t="shared" si="124"/>
        <v/>
      </c>
      <c r="S1664" s="317" t="str">
        <f t="shared" si="125"/>
        <v/>
      </c>
      <c r="T1664" s="317" t="str">
        <f>GLOBAL_DER_FEV_2023!S1664</f>
        <v/>
      </c>
      <c r="W1664" s="582">
        <v>0</v>
      </c>
      <c r="X1664" s="580"/>
      <c r="Y1664" s="583">
        <f>IF(GLOBAL_DER_FEV_2023!W1664=0,0,IF(GLOBAL_DER_FEV_2023!W1664&gt;0,"c","b"))</f>
        <v>0</v>
      </c>
    </row>
    <row r="1665" spans="1:25" ht="15" hidden="1" customHeight="1" x14ac:dyDescent="0.2">
      <c r="A1665" s="317">
        <v>97623</v>
      </c>
      <c r="B1665" s="895" t="s">
        <v>1723</v>
      </c>
      <c r="C1665" s="896" t="s">
        <v>596</v>
      </c>
      <c r="D1665" s="897" t="s">
        <v>1724</v>
      </c>
      <c r="E1665" s="898">
        <f>GLOBAL_DER_FEV_2023!E1665</f>
        <v>0</v>
      </c>
      <c r="F1665" s="899">
        <f>GLOBAL_DER_FEV_2023!F1665</f>
        <v>0</v>
      </c>
      <c r="G1665" s="900">
        <f>GLOBAL_DER_FEV_2023!G1665</f>
        <v>0</v>
      </c>
      <c r="H1665" s="901">
        <f>GLOBAL_DER_FEV_2023!H1665</f>
        <v>201.31</v>
      </c>
      <c r="I1665" s="901">
        <f>GLOBAL_DER_FEV_2023!I1665</f>
        <v>201.31</v>
      </c>
      <c r="J1665" s="902">
        <f>GLOBAL_DER_FEV_2023!J1665</f>
        <v>241.71</v>
      </c>
      <c r="K1665" s="903" t="s">
        <v>10</v>
      </c>
      <c r="L1665" s="1139"/>
      <c r="M1665" s="1140">
        <f t="shared" si="122"/>
        <v>0</v>
      </c>
      <c r="N1665" s="893">
        <f t="shared" si="126"/>
        <v>0</v>
      </c>
      <c r="O1665" s="905"/>
      <c r="Q1665" s="317" t="str">
        <f t="shared" si="123"/>
        <v/>
      </c>
      <c r="R1665" s="317" t="str">
        <f t="shared" si="124"/>
        <v/>
      </c>
      <c r="S1665" s="317" t="str">
        <f t="shared" si="125"/>
        <v/>
      </c>
      <c r="T1665" s="317" t="str">
        <f>GLOBAL_DER_FEV_2023!S1665</f>
        <v/>
      </c>
      <c r="W1665" s="582">
        <v>0</v>
      </c>
      <c r="X1665" s="580"/>
      <c r="Y1665" s="583">
        <f>IF(GLOBAL_DER_FEV_2023!W1665=0,0,IF(GLOBAL_DER_FEV_2023!W1665&gt;0,"c","b"))</f>
        <v>0</v>
      </c>
    </row>
    <row r="1666" spans="1:25" ht="15" hidden="1" customHeight="1" x14ac:dyDescent="0.2">
      <c r="A1666" s="317">
        <v>97624</v>
      </c>
      <c r="B1666" s="895" t="s">
        <v>1720</v>
      </c>
      <c r="C1666" s="896" t="s">
        <v>596</v>
      </c>
      <c r="D1666" s="897" t="s">
        <v>1721</v>
      </c>
      <c r="E1666" s="898">
        <f>GLOBAL_DER_FEV_2023!E1666</f>
        <v>0</v>
      </c>
      <c r="F1666" s="899">
        <f>GLOBAL_DER_FEV_2023!F1666</f>
        <v>0</v>
      </c>
      <c r="G1666" s="900">
        <f>GLOBAL_DER_FEV_2023!G1666</f>
        <v>0</v>
      </c>
      <c r="H1666" s="901">
        <f>GLOBAL_DER_FEV_2023!H1666</f>
        <v>123.54</v>
      </c>
      <c r="I1666" s="901">
        <f>GLOBAL_DER_FEV_2023!I1666</f>
        <v>123.54</v>
      </c>
      <c r="J1666" s="902">
        <f>GLOBAL_DER_FEV_2023!J1666</f>
        <v>148.33000000000001</v>
      </c>
      <c r="K1666" s="903" t="s">
        <v>10</v>
      </c>
      <c r="L1666" s="1139"/>
      <c r="M1666" s="1140">
        <f t="shared" si="122"/>
        <v>0</v>
      </c>
      <c r="N1666" s="893">
        <f t="shared" si="126"/>
        <v>0</v>
      </c>
      <c r="O1666" s="905"/>
      <c r="Q1666" s="317" t="str">
        <f t="shared" si="123"/>
        <v/>
      </c>
      <c r="R1666" s="317" t="str">
        <f t="shared" si="124"/>
        <v/>
      </c>
      <c r="S1666" s="317" t="str">
        <f t="shared" si="125"/>
        <v/>
      </c>
      <c r="T1666" s="317" t="str">
        <f>GLOBAL_DER_FEV_2023!S1666</f>
        <v/>
      </c>
      <c r="W1666" s="582">
        <v>0</v>
      </c>
      <c r="X1666" s="580"/>
      <c r="Y1666" s="583">
        <f>IF(GLOBAL_DER_FEV_2023!W1666=0,0,IF(GLOBAL_DER_FEV_2023!W1666&gt;0,"c","b"))</f>
        <v>0</v>
      </c>
    </row>
    <row r="1667" spans="1:25" ht="15" hidden="1" customHeight="1" x14ac:dyDescent="0.2">
      <c r="A1667" s="317">
        <v>606500</v>
      </c>
      <c r="B1667" s="895" t="s">
        <v>1726</v>
      </c>
      <c r="C1667" s="896" t="s">
        <v>184</v>
      </c>
      <c r="D1667" s="897" t="s">
        <v>466</v>
      </c>
      <c r="E1667" s="898">
        <f>GLOBAL_DER_FEV_2023!E1667</f>
        <v>0</v>
      </c>
      <c r="F1667" s="899">
        <f>GLOBAL_DER_FEV_2023!F1667</f>
        <v>0</v>
      </c>
      <c r="G1667" s="900">
        <f>GLOBAL_DER_FEV_2023!G1667</f>
        <v>0</v>
      </c>
      <c r="H1667" s="901">
        <f>GLOBAL_DER_FEV_2023!H1667</f>
        <v>182.46</v>
      </c>
      <c r="I1667" s="901">
        <f>GLOBAL_DER_FEV_2023!I1667</f>
        <v>182.46</v>
      </c>
      <c r="J1667" s="902">
        <f>GLOBAL_DER_FEV_2023!J1667</f>
        <v>219.08</v>
      </c>
      <c r="K1667" s="903" t="s">
        <v>10</v>
      </c>
      <c r="L1667" s="1139"/>
      <c r="M1667" s="1140">
        <f t="shared" si="122"/>
        <v>0</v>
      </c>
      <c r="N1667" s="893">
        <f t="shared" si="126"/>
        <v>0</v>
      </c>
      <c r="O1667" s="905"/>
      <c r="Q1667" s="317" t="str">
        <f t="shared" si="123"/>
        <v/>
      </c>
      <c r="R1667" s="317" t="str">
        <f t="shared" si="124"/>
        <v/>
      </c>
      <c r="S1667" s="317" t="str">
        <f t="shared" si="125"/>
        <v/>
      </c>
      <c r="T1667" s="317" t="str">
        <f>GLOBAL_DER_FEV_2023!S1667</f>
        <v/>
      </c>
      <c r="W1667" s="582">
        <v>0</v>
      </c>
      <c r="X1667" s="580"/>
      <c r="Y1667" s="583">
        <f>IF(GLOBAL_DER_FEV_2023!W1667=0,0,IF(GLOBAL_DER_FEV_2023!W1667&gt;0,"c","b"))</f>
        <v>0</v>
      </c>
    </row>
    <row r="1668" spans="1:25" ht="15" hidden="1" customHeight="1" x14ac:dyDescent="0.2">
      <c r="A1668" s="317">
        <v>841000</v>
      </c>
      <c r="B1668" s="895" t="s">
        <v>1716</v>
      </c>
      <c r="C1668" s="896" t="s">
        <v>184</v>
      </c>
      <c r="D1668" s="906" t="s">
        <v>445</v>
      </c>
      <c r="E1668" s="907">
        <f>GLOBAL_DER_FEV_2023!E1668</f>
        <v>0</v>
      </c>
      <c r="F1668" s="908">
        <f>GLOBAL_DER_FEV_2023!F1668</f>
        <v>0</v>
      </c>
      <c r="G1668" s="912">
        <f>GLOBAL_DER_FEV_2023!G1668</f>
        <v>0</v>
      </c>
      <c r="H1668" s="901">
        <f>GLOBAL_DER_FEV_2023!H1668</f>
        <v>12.51</v>
      </c>
      <c r="I1668" s="901">
        <f>GLOBAL_DER_FEV_2023!I1668</f>
        <v>12.51</v>
      </c>
      <c r="J1668" s="902">
        <f>GLOBAL_DER_FEV_2023!J1668</f>
        <v>15.02</v>
      </c>
      <c r="K1668" s="903" t="s">
        <v>13</v>
      </c>
      <c r="L1668" s="1137"/>
      <c r="M1668" s="1138">
        <f t="shared" si="122"/>
        <v>0</v>
      </c>
      <c r="N1668" s="893">
        <f t="shared" si="126"/>
        <v>0</v>
      </c>
      <c r="O1668" s="905"/>
      <c r="Q1668" s="317" t="str">
        <f t="shared" si="123"/>
        <v/>
      </c>
      <c r="R1668" s="317" t="str">
        <f t="shared" si="124"/>
        <v/>
      </c>
      <c r="S1668" s="317" t="str">
        <f t="shared" si="125"/>
        <v/>
      </c>
      <c r="T1668" s="317" t="str">
        <f>GLOBAL_DER_FEV_2023!S1668</f>
        <v/>
      </c>
      <c r="W1668" s="582">
        <v>0</v>
      </c>
      <c r="X1668" s="580"/>
      <c r="Y1668" s="583">
        <f>IF(GLOBAL_DER_FEV_2023!W1668=0,0,IF(GLOBAL_DER_FEV_2023!W1668&gt;0,"c","b"))</f>
        <v>0</v>
      </c>
    </row>
    <row r="1669" spans="1:25" ht="15" hidden="1" customHeight="1" x14ac:dyDescent="0.2">
      <c r="A1669" s="317">
        <v>840000</v>
      </c>
      <c r="B1669" s="895" t="s">
        <v>1718</v>
      </c>
      <c r="C1669" s="896" t="s">
        <v>184</v>
      </c>
      <c r="D1669" s="906" t="s">
        <v>264</v>
      </c>
      <c r="E1669" s="907">
        <f>GLOBAL_DER_FEV_2023!E1669</f>
        <v>0</v>
      </c>
      <c r="F1669" s="908">
        <f>GLOBAL_DER_FEV_2023!F1669</f>
        <v>0</v>
      </c>
      <c r="G1669" s="912">
        <f>GLOBAL_DER_FEV_2023!G1669</f>
        <v>0</v>
      </c>
      <c r="H1669" s="901">
        <f>GLOBAL_DER_FEV_2023!H1669</f>
        <v>34.53</v>
      </c>
      <c r="I1669" s="901">
        <f>GLOBAL_DER_FEV_2023!I1669</f>
        <v>34.53</v>
      </c>
      <c r="J1669" s="902">
        <f>GLOBAL_DER_FEV_2023!J1669</f>
        <v>41.46</v>
      </c>
      <c r="K1669" s="903" t="s">
        <v>13</v>
      </c>
      <c r="L1669" s="1137"/>
      <c r="M1669" s="1138">
        <f t="shared" si="122"/>
        <v>0</v>
      </c>
      <c r="N1669" s="893">
        <f t="shared" si="126"/>
        <v>0</v>
      </c>
      <c r="O1669" s="905"/>
      <c r="Q1669" s="317" t="str">
        <f t="shared" si="123"/>
        <v/>
      </c>
      <c r="R1669" s="317" t="str">
        <f t="shared" si="124"/>
        <v/>
      </c>
      <c r="S1669" s="317" t="str">
        <f t="shared" si="125"/>
        <v/>
      </c>
      <c r="T1669" s="317" t="str">
        <f>GLOBAL_DER_FEV_2023!S1669</f>
        <v/>
      </c>
      <c r="W1669" s="582">
        <v>0</v>
      </c>
      <c r="X1669" s="580"/>
      <c r="Y1669" s="583">
        <f>IF(GLOBAL_DER_FEV_2023!W1669=0,0,IF(GLOBAL_DER_FEV_2023!W1669&gt;0,"c","b"))</f>
        <v>0</v>
      </c>
    </row>
    <row r="1670" spans="1:25" ht="15" hidden="1" customHeight="1" x14ac:dyDescent="0.2">
      <c r="A1670" s="317">
        <v>606600</v>
      </c>
      <c r="B1670" s="895" t="s">
        <v>1702</v>
      </c>
      <c r="C1670" s="896" t="s">
        <v>184</v>
      </c>
      <c r="D1670" s="906" t="s">
        <v>178</v>
      </c>
      <c r="E1670" s="907">
        <f>GLOBAL_DER_FEV_2023!E1670</f>
        <v>0</v>
      </c>
      <c r="F1670" s="908">
        <f>GLOBAL_DER_FEV_2023!F1670</f>
        <v>0</v>
      </c>
      <c r="G1670" s="912">
        <f>GLOBAL_DER_FEV_2023!G1670</f>
        <v>0</v>
      </c>
      <c r="H1670" s="901">
        <f>GLOBAL_DER_FEV_2023!H1670</f>
        <v>309.52999999999997</v>
      </c>
      <c r="I1670" s="901">
        <f>GLOBAL_DER_FEV_2023!I1670</f>
        <v>309.52999999999997</v>
      </c>
      <c r="J1670" s="902">
        <f>GLOBAL_DER_FEV_2023!J1670</f>
        <v>371.65</v>
      </c>
      <c r="K1670" s="903" t="s">
        <v>10</v>
      </c>
      <c r="L1670" s="1137"/>
      <c r="M1670" s="1138">
        <f t="shared" si="122"/>
        <v>0</v>
      </c>
      <c r="N1670" s="893">
        <f t="shared" si="126"/>
        <v>0</v>
      </c>
      <c r="O1670" s="905"/>
      <c r="Q1670" s="317" t="str">
        <f t="shared" si="123"/>
        <v/>
      </c>
      <c r="R1670" s="317" t="str">
        <f t="shared" si="124"/>
        <v/>
      </c>
      <c r="S1670" s="317" t="str">
        <f t="shared" si="125"/>
        <v/>
      </c>
      <c r="T1670" s="317" t="str">
        <f>GLOBAL_DER_FEV_2023!S1670</f>
        <v/>
      </c>
      <c r="W1670" s="582">
        <v>0</v>
      </c>
      <c r="X1670" s="580"/>
      <c r="Y1670" s="583">
        <f>IF(GLOBAL_DER_FEV_2023!W1670=0,0,IF(GLOBAL_DER_FEV_2023!W1670&gt;0,"c","b"))</f>
        <v>0</v>
      </c>
    </row>
    <row r="1671" spans="1:25" ht="15" hidden="1" customHeight="1" x14ac:dyDescent="0.2">
      <c r="A1671" s="317">
        <v>606700</v>
      </c>
      <c r="B1671" s="895" t="s">
        <v>1705</v>
      </c>
      <c r="C1671" s="896" t="s">
        <v>184</v>
      </c>
      <c r="D1671" s="906" t="s">
        <v>258</v>
      </c>
      <c r="E1671" s="907">
        <f>GLOBAL_DER_FEV_2023!E1671</f>
        <v>0</v>
      </c>
      <c r="F1671" s="908">
        <f>GLOBAL_DER_FEV_2023!F1671</f>
        <v>0</v>
      </c>
      <c r="G1671" s="912">
        <f>GLOBAL_DER_FEV_2023!G1671</f>
        <v>0</v>
      </c>
      <c r="H1671" s="901">
        <f>GLOBAL_DER_FEV_2023!H1671</f>
        <v>148.04</v>
      </c>
      <c r="I1671" s="901">
        <f>GLOBAL_DER_FEV_2023!I1671</f>
        <v>148.04</v>
      </c>
      <c r="J1671" s="902">
        <f>GLOBAL_DER_FEV_2023!J1671</f>
        <v>177.75</v>
      </c>
      <c r="K1671" s="903" t="s">
        <v>10</v>
      </c>
      <c r="L1671" s="1137"/>
      <c r="M1671" s="1138">
        <f t="shared" si="122"/>
        <v>0</v>
      </c>
      <c r="N1671" s="893">
        <f t="shared" si="126"/>
        <v>0</v>
      </c>
      <c r="O1671" s="905"/>
      <c r="Q1671" s="317" t="str">
        <f t="shared" si="123"/>
        <v/>
      </c>
      <c r="R1671" s="317" t="str">
        <f t="shared" si="124"/>
        <v/>
      </c>
      <c r="S1671" s="317" t="str">
        <f t="shared" si="125"/>
        <v/>
      </c>
      <c r="T1671" s="317" t="str">
        <f>GLOBAL_DER_FEV_2023!S1671</f>
        <v/>
      </c>
      <c r="W1671" s="582">
        <v>0</v>
      </c>
      <c r="X1671" s="580"/>
      <c r="Y1671" s="583">
        <f>IF(GLOBAL_DER_FEV_2023!W1671=0,0,IF(GLOBAL_DER_FEV_2023!W1671&gt;0,"c","b"))</f>
        <v>0</v>
      </c>
    </row>
    <row r="1672" spans="1:25" ht="15" hidden="1" customHeight="1" x14ac:dyDescent="0.2">
      <c r="A1672" s="317">
        <v>603700</v>
      </c>
      <c r="B1672" s="895" t="s">
        <v>1799</v>
      </c>
      <c r="C1672" s="896" t="s">
        <v>184</v>
      </c>
      <c r="D1672" s="906" t="s">
        <v>327</v>
      </c>
      <c r="E1672" s="907">
        <f>GLOBAL_DER_FEV_2023!E1672</f>
        <v>0</v>
      </c>
      <c r="F1672" s="908">
        <f>GLOBAL_DER_FEV_2023!F1672</f>
        <v>1.8</v>
      </c>
      <c r="G1672" s="949">
        <f>GLOBAL_DER_FEV_2023!G1672</f>
        <v>4.8240000000000007</v>
      </c>
      <c r="H1672" s="901">
        <f>GLOBAL_DER_FEV_2023!H1672</f>
        <v>213.87</v>
      </c>
      <c r="I1672" s="901">
        <f>GLOBAL_DER_FEV_2023!I1672</f>
        <v>218.69400000000002</v>
      </c>
      <c r="J1672" s="902">
        <f>GLOBAL_DER_FEV_2023!J1672</f>
        <v>262.58999999999997</v>
      </c>
      <c r="K1672" s="903" t="s">
        <v>10</v>
      </c>
      <c r="L1672" s="1137"/>
      <c r="M1672" s="1138">
        <f t="shared" si="122"/>
        <v>0</v>
      </c>
      <c r="N1672" s="893">
        <f t="shared" si="126"/>
        <v>0</v>
      </c>
      <c r="O1672" s="905"/>
      <c r="P1672" s="58"/>
      <c r="Q1672" s="317" t="str">
        <f t="shared" si="123"/>
        <v/>
      </c>
      <c r="R1672" s="317" t="str">
        <f t="shared" si="124"/>
        <v/>
      </c>
      <c r="S1672" s="317" t="str">
        <f t="shared" si="125"/>
        <v/>
      </c>
      <c r="T1672" s="317" t="str">
        <f>GLOBAL_DER_FEV_2023!S1672</f>
        <v/>
      </c>
      <c r="W1672" s="582">
        <v>0</v>
      </c>
      <c r="X1672" s="580"/>
      <c r="Y1672" s="583">
        <f>IF(GLOBAL_DER_FEV_2023!W1672=0,0,IF(GLOBAL_DER_FEV_2023!W1672&gt;0,"c","b"))</f>
        <v>0</v>
      </c>
    </row>
    <row r="1673" spans="1:25" ht="15" hidden="1" customHeight="1" x14ac:dyDescent="0.2">
      <c r="A1673" s="317">
        <v>603800</v>
      </c>
      <c r="B1673" s="895" t="s">
        <v>1800</v>
      </c>
      <c r="C1673" s="896" t="s">
        <v>184</v>
      </c>
      <c r="D1673" s="906" t="s">
        <v>328</v>
      </c>
      <c r="E1673" s="907">
        <f>GLOBAL_DER_FEV_2023!E1673</f>
        <v>0</v>
      </c>
      <c r="F1673" s="908">
        <f>GLOBAL_DER_FEV_2023!F1673</f>
        <v>1.5</v>
      </c>
      <c r="G1673" s="949">
        <f>GLOBAL_DER_FEV_2023!G1673</f>
        <v>4.0200000000000005</v>
      </c>
      <c r="H1673" s="901">
        <f>GLOBAL_DER_FEV_2023!H1673</f>
        <v>126.05</v>
      </c>
      <c r="I1673" s="901">
        <f>GLOBAL_DER_FEV_2023!I1673</f>
        <v>130.07</v>
      </c>
      <c r="J1673" s="902">
        <f>GLOBAL_DER_FEV_2023!J1673</f>
        <v>156.18</v>
      </c>
      <c r="K1673" s="903" t="s">
        <v>10</v>
      </c>
      <c r="L1673" s="1137"/>
      <c r="M1673" s="1138">
        <f t="shared" si="122"/>
        <v>0</v>
      </c>
      <c r="N1673" s="893">
        <f t="shared" si="126"/>
        <v>0</v>
      </c>
      <c r="O1673" s="905"/>
      <c r="Q1673" s="317" t="str">
        <f t="shared" si="123"/>
        <v/>
      </c>
      <c r="R1673" s="317" t="str">
        <f t="shared" si="124"/>
        <v/>
      </c>
      <c r="S1673" s="317" t="str">
        <f t="shared" si="125"/>
        <v/>
      </c>
      <c r="T1673" s="317" t="str">
        <f>GLOBAL_DER_FEV_2023!S1673</f>
        <v/>
      </c>
      <c r="W1673" s="582">
        <v>0</v>
      </c>
      <c r="X1673" s="580"/>
      <c r="Y1673" s="583">
        <f>IF(GLOBAL_DER_FEV_2023!W1673=0,0,IF(GLOBAL_DER_FEV_2023!W1673&gt;0,"c","b"))</f>
        <v>0</v>
      </c>
    </row>
    <row r="1674" spans="1:25" ht="15" hidden="1" customHeight="1" x14ac:dyDescent="0.2">
      <c r="A1674" s="317">
        <v>600000</v>
      </c>
      <c r="B1674" s="895" t="s">
        <v>1803</v>
      </c>
      <c r="C1674" s="896" t="s">
        <v>184</v>
      </c>
      <c r="D1674" s="906" t="s">
        <v>311</v>
      </c>
      <c r="E1674" s="907">
        <f>GLOBAL_DER_FEV_2023!E1674</f>
        <v>0</v>
      </c>
      <c r="F1674" s="908">
        <f>GLOBAL_DER_FEV_2023!F1674</f>
        <v>0</v>
      </c>
      <c r="G1674" s="912">
        <f>GLOBAL_DER_FEV_2023!G1674</f>
        <v>0</v>
      </c>
      <c r="H1674" s="901">
        <f>GLOBAL_DER_FEV_2023!H1674</f>
        <v>49.54</v>
      </c>
      <c r="I1674" s="901">
        <f>GLOBAL_DER_FEV_2023!I1674</f>
        <v>49.54</v>
      </c>
      <c r="J1674" s="902">
        <f>GLOBAL_DER_FEV_2023!J1674</f>
        <v>59.48</v>
      </c>
      <c r="K1674" s="903" t="s">
        <v>10</v>
      </c>
      <c r="L1674" s="1137"/>
      <c r="M1674" s="1138">
        <f t="shared" si="122"/>
        <v>0</v>
      </c>
      <c r="N1674" s="893">
        <f t="shared" si="126"/>
        <v>0</v>
      </c>
      <c r="O1674" s="905"/>
      <c r="Q1674" s="317" t="str">
        <f t="shared" si="123"/>
        <v/>
      </c>
      <c r="R1674" s="317" t="str">
        <f t="shared" si="124"/>
        <v/>
      </c>
      <c r="S1674" s="317" t="str">
        <f t="shared" si="125"/>
        <v/>
      </c>
      <c r="T1674" s="317" t="str">
        <f>GLOBAL_DER_FEV_2023!S1674</f>
        <v/>
      </c>
      <c r="W1674" s="582">
        <v>0</v>
      </c>
      <c r="X1674" s="580"/>
      <c r="Y1674" s="583">
        <f>IF(GLOBAL_DER_FEV_2023!W1674=0,0,IF(GLOBAL_DER_FEV_2023!W1674&gt;0,"c","b"))</f>
        <v>0</v>
      </c>
    </row>
    <row r="1675" spans="1:25" ht="15" hidden="1" customHeight="1" x14ac:dyDescent="0.2">
      <c r="A1675" s="317">
        <v>602000</v>
      </c>
      <c r="B1675" s="895" t="s">
        <v>1995</v>
      </c>
      <c r="C1675" s="896" t="s">
        <v>184</v>
      </c>
      <c r="D1675" s="906" t="s">
        <v>1994</v>
      </c>
      <c r="E1675" s="907">
        <f>GLOBAL_DER_FEV_2023!E1675</f>
        <v>0</v>
      </c>
      <c r="F1675" s="908">
        <f>GLOBAL_DER_FEV_2023!F1675</f>
        <v>0</v>
      </c>
      <c r="G1675" s="912">
        <f>GLOBAL_DER_FEV_2023!G1675</f>
        <v>0</v>
      </c>
      <c r="H1675" s="901">
        <f>GLOBAL_DER_FEV_2023!H1675</f>
        <v>62.53</v>
      </c>
      <c r="I1675" s="901">
        <f>GLOBAL_DER_FEV_2023!I1675</f>
        <v>62.53</v>
      </c>
      <c r="J1675" s="902">
        <f>GLOBAL_DER_FEV_2023!J1675</f>
        <v>75.08</v>
      </c>
      <c r="K1675" s="903" t="s">
        <v>12</v>
      </c>
      <c r="L1675" s="1137"/>
      <c r="M1675" s="1138">
        <f t="shared" si="122"/>
        <v>0</v>
      </c>
      <c r="N1675" s="893">
        <f t="shared" si="126"/>
        <v>0</v>
      </c>
      <c r="O1675" s="905"/>
      <c r="Q1675" s="317" t="str">
        <f t="shared" si="123"/>
        <v/>
      </c>
      <c r="R1675" s="317" t="str">
        <f t="shared" si="124"/>
        <v/>
      </c>
      <c r="S1675" s="317" t="str">
        <f t="shared" si="125"/>
        <v/>
      </c>
      <c r="T1675" s="317" t="str">
        <f>GLOBAL_DER_FEV_2023!S1675</f>
        <v/>
      </c>
      <c r="W1675" s="582">
        <v>0</v>
      </c>
      <c r="X1675" s="580"/>
      <c r="Y1675" s="583">
        <f>IF(GLOBAL_DER_FEV_2023!W1675=0,0,IF(GLOBAL_DER_FEV_2023!W1675&gt;0,"c","b"))</f>
        <v>0</v>
      </c>
    </row>
    <row r="1676" spans="1:25" ht="15" hidden="1" customHeight="1" x14ac:dyDescent="0.2">
      <c r="A1676" s="317">
        <v>600310</v>
      </c>
      <c r="B1676" s="895" t="s">
        <v>1711</v>
      </c>
      <c r="C1676" s="896" t="s">
        <v>184</v>
      </c>
      <c r="D1676" s="897" t="s">
        <v>442</v>
      </c>
      <c r="E1676" s="898">
        <f>GLOBAL_DER_FEV_2023!E1676</f>
        <v>0</v>
      </c>
      <c r="F1676" s="899">
        <f>GLOBAL_DER_FEV_2023!F1676</f>
        <v>0</v>
      </c>
      <c r="G1676" s="900">
        <f>GLOBAL_DER_FEV_2023!G1676</f>
        <v>0</v>
      </c>
      <c r="H1676" s="901">
        <f>GLOBAL_DER_FEV_2023!H1676</f>
        <v>142.88</v>
      </c>
      <c r="I1676" s="901">
        <f>GLOBAL_DER_FEV_2023!I1676</f>
        <v>142.88</v>
      </c>
      <c r="J1676" s="902">
        <f>GLOBAL_DER_FEV_2023!J1676</f>
        <v>171.56</v>
      </c>
      <c r="K1676" s="903" t="s">
        <v>15</v>
      </c>
      <c r="L1676" s="1137"/>
      <c r="M1676" s="1138">
        <f t="shared" si="122"/>
        <v>0</v>
      </c>
      <c r="N1676" s="893">
        <f t="shared" si="126"/>
        <v>0</v>
      </c>
      <c r="O1676" s="905"/>
      <c r="Q1676" s="317" t="str">
        <f t="shared" si="123"/>
        <v/>
      </c>
      <c r="R1676" s="317" t="str">
        <f t="shared" si="124"/>
        <v/>
      </c>
      <c r="S1676" s="317" t="str">
        <f t="shared" si="125"/>
        <v/>
      </c>
      <c r="T1676" s="317" t="str">
        <f>GLOBAL_DER_FEV_2023!S1676</f>
        <v/>
      </c>
      <c r="W1676" s="582">
        <v>0</v>
      </c>
      <c r="X1676" s="580"/>
      <c r="Y1676" s="583">
        <f>IF(GLOBAL_DER_FEV_2023!W1676=0,0,IF(GLOBAL_DER_FEV_2023!W1676&gt;0,"c","b"))</f>
        <v>0</v>
      </c>
    </row>
    <row r="1677" spans="1:25" ht="15" hidden="1" customHeight="1" x14ac:dyDescent="0.2">
      <c r="A1677" s="317">
        <v>633000</v>
      </c>
      <c r="B1677" s="895" t="s">
        <v>1805</v>
      </c>
      <c r="C1677" s="896" t="s">
        <v>184</v>
      </c>
      <c r="D1677" s="897" t="s">
        <v>518</v>
      </c>
      <c r="E1677" s="898">
        <f>GLOBAL_DER_FEV_2023!E1677</f>
        <v>0</v>
      </c>
      <c r="F1677" s="899">
        <f>GLOBAL_DER_FEV_2023!F1677</f>
        <v>0</v>
      </c>
      <c r="G1677" s="900">
        <f>GLOBAL_DER_FEV_2023!G1677</f>
        <v>0</v>
      </c>
      <c r="H1677" s="901">
        <f>GLOBAL_DER_FEV_2023!H1677</f>
        <v>82.58</v>
      </c>
      <c r="I1677" s="901">
        <f>GLOBAL_DER_FEV_2023!I1677</f>
        <v>82.58</v>
      </c>
      <c r="J1677" s="902">
        <f>GLOBAL_DER_FEV_2023!J1677</f>
        <v>99.15</v>
      </c>
      <c r="K1677" s="903" t="s">
        <v>13</v>
      </c>
      <c r="L1677" s="1137"/>
      <c r="M1677" s="1138">
        <f t="shared" si="122"/>
        <v>0</v>
      </c>
      <c r="N1677" s="893">
        <f t="shared" si="126"/>
        <v>0</v>
      </c>
      <c r="O1677" s="905"/>
      <c r="Q1677" s="317" t="str">
        <f t="shared" si="123"/>
        <v/>
      </c>
      <c r="R1677" s="317" t="str">
        <f t="shared" si="124"/>
        <v/>
      </c>
      <c r="S1677" s="317" t="str">
        <f t="shared" si="125"/>
        <v/>
      </c>
      <c r="T1677" s="317" t="str">
        <f>GLOBAL_DER_FEV_2023!S1677</f>
        <v/>
      </c>
      <c r="W1677" s="582">
        <v>0</v>
      </c>
      <c r="X1677" s="580"/>
      <c r="Y1677" s="583">
        <f>IF(GLOBAL_DER_FEV_2023!W1677=0,0,IF(GLOBAL_DER_FEV_2023!W1677&gt;0,"c","b"))</f>
        <v>0</v>
      </c>
    </row>
    <row r="1678" spans="1:25" ht="15" hidden="1" customHeight="1" x14ac:dyDescent="0.2">
      <c r="A1678" s="317">
        <v>633100</v>
      </c>
      <c r="B1678" s="895" t="s">
        <v>1807</v>
      </c>
      <c r="C1678" s="896" t="s">
        <v>184</v>
      </c>
      <c r="D1678" s="897" t="s">
        <v>519</v>
      </c>
      <c r="E1678" s="898">
        <f>GLOBAL_DER_FEV_2023!E1678</f>
        <v>0</v>
      </c>
      <c r="F1678" s="899">
        <f>GLOBAL_DER_FEV_2023!F1678</f>
        <v>0</v>
      </c>
      <c r="G1678" s="900">
        <f>GLOBAL_DER_FEV_2023!G1678</f>
        <v>0</v>
      </c>
      <c r="H1678" s="901">
        <f>GLOBAL_DER_FEV_2023!H1678</f>
        <v>165.16</v>
      </c>
      <c r="I1678" s="901">
        <f>GLOBAL_DER_FEV_2023!I1678</f>
        <v>165.16</v>
      </c>
      <c r="J1678" s="902">
        <f>GLOBAL_DER_FEV_2023!J1678</f>
        <v>198.31</v>
      </c>
      <c r="K1678" s="903" t="s">
        <v>13</v>
      </c>
      <c r="L1678" s="1137"/>
      <c r="M1678" s="1138">
        <f t="shared" si="122"/>
        <v>0</v>
      </c>
      <c r="N1678" s="893">
        <f t="shared" si="126"/>
        <v>0</v>
      </c>
      <c r="O1678" s="905"/>
      <c r="Q1678" s="317" t="str">
        <f t="shared" si="123"/>
        <v/>
      </c>
      <c r="R1678" s="317" t="str">
        <f t="shared" si="124"/>
        <v/>
      </c>
      <c r="S1678" s="317" t="str">
        <f t="shared" si="125"/>
        <v/>
      </c>
      <c r="T1678" s="317" t="str">
        <f>GLOBAL_DER_FEV_2023!S1678</f>
        <v/>
      </c>
      <c r="W1678" s="582">
        <v>0</v>
      </c>
      <c r="X1678" s="580"/>
      <c r="Y1678" s="583">
        <f>IF(GLOBAL_DER_FEV_2023!W1678=0,0,IF(GLOBAL_DER_FEV_2023!W1678&gt;0,"c","b"))</f>
        <v>0</v>
      </c>
    </row>
    <row r="1679" spans="1:25" ht="15" hidden="1" customHeight="1" x14ac:dyDescent="0.2">
      <c r="A1679" s="317">
        <v>633200</v>
      </c>
      <c r="B1679" s="895" t="s">
        <v>1808</v>
      </c>
      <c r="C1679" s="896" t="s">
        <v>184</v>
      </c>
      <c r="D1679" s="897" t="s">
        <v>520</v>
      </c>
      <c r="E1679" s="898">
        <f>GLOBAL_DER_FEV_2023!E1679</f>
        <v>0</v>
      </c>
      <c r="F1679" s="899">
        <f>GLOBAL_DER_FEV_2023!F1679</f>
        <v>0</v>
      </c>
      <c r="G1679" s="900">
        <f>GLOBAL_DER_FEV_2023!G1679</f>
        <v>0</v>
      </c>
      <c r="H1679" s="901">
        <f>GLOBAL_DER_FEV_2023!H1679</f>
        <v>247.74</v>
      </c>
      <c r="I1679" s="901">
        <f>GLOBAL_DER_FEV_2023!I1679</f>
        <v>247.74</v>
      </c>
      <c r="J1679" s="902">
        <f>GLOBAL_DER_FEV_2023!J1679</f>
        <v>297.45999999999998</v>
      </c>
      <c r="K1679" s="903" t="s">
        <v>13</v>
      </c>
      <c r="L1679" s="1137"/>
      <c r="M1679" s="1138">
        <f t="shared" si="122"/>
        <v>0</v>
      </c>
      <c r="N1679" s="893">
        <f t="shared" si="126"/>
        <v>0</v>
      </c>
      <c r="O1679" s="905"/>
      <c r="Q1679" s="317" t="str">
        <f t="shared" si="123"/>
        <v/>
      </c>
      <c r="R1679" s="317" t="str">
        <f t="shared" si="124"/>
        <v/>
      </c>
      <c r="S1679" s="317" t="str">
        <f t="shared" si="125"/>
        <v/>
      </c>
      <c r="T1679" s="317" t="str">
        <f>GLOBAL_DER_FEV_2023!S1679</f>
        <v/>
      </c>
      <c r="W1679" s="582">
        <v>0</v>
      </c>
      <c r="X1679" s="580"/>
      <c r="Y1679" s="583">
        <f>IF(GLOBAL_DER_FEV_2023!W1679=0,0,IF(GLOBAL_DER_FEV_2023!W1679&gt;0,"c","b"))</f>
        <v>0</v>
      </c>
    </row>
    <row r="1680" spans="1:25" ht="15" hidden="1" customHeight="1" x14ac:dyDescent="0.2">
      <c r="A1680" s="317">
        <v>800900</v>
      </c>
      <c r="B1680" s="895" t="s">
        <v>1713</v>
      </c>
      <c r="C1680" s="896" t="s">
        <v>184</v>
      </c>
      <c r="D1680" s="897" t="s">
        <v>443</v>
      </c>
      <c r="E1680" s="898">
        <f>GLOBAL_DER_FEV_2023!E1680</f>
        <v>0</v>
      </c>
      <c r="F1680" s="899">
        <f>GLOBAL_DER_FEV_2023!F1680</f>
        <v>0</v>
      </c>
      <c r="G1680" s="900">
        <f>GLOBAL_DER_FEV_2023!G1680</f>
        <v>0</v>
      </c>
      <c r="H1680" s="901">
        <f>GLOBAL_DER_FEV_2023!H1680</f>
        <v>13.25</v>
      </c>
      <c r="I1680" s="901">
        <f>GLOBAL_DER_FEV_2023!I1680</f>
        <v>13.25</v>
      </c>
      <c r="J1680" s="902">
        <f>GLOBAL_DER_FEV_2023!J1680</f>
        <v>15.91</v>
      </c>
      <c r="K1680" s="903" t="s">
        <v>12</v>
      </c>
      <c r="L1680" s="1137"/>
      <c r="M1680" s="1138">
        <f t="shared" si="122"/>
        <v>0</v>
      </c>
      <c r="N1680" s="893">
        <f t="shared" si="126"/>
        <v>0</v>
      </c>
      <c r="O1680" s="905"/>
      <c r="Q1680" s="317" t="str">
        <f t="shared" si="123"/>
        <v/>
      </c>
      <c r="R1680" s="317" t="str">
        <f t="shared" si="124"/>
        <v/>
      </c>
      <c r="S1680" s="317" t="str">
        <f t="shared" si="125"/>
        <v/>
      </c>
      <c r="T1680" s="317" t="str">
        <f>GLOBAL_DER_FEV_2023!S1680</f>
        <v/>
      </c>
      <c r="W1680" s="582">
        <v>0</v>
      </c>
      <c r="X1680" s="580"/>
      <c r="Y1680" s="583">
        <f>IF(GLOBAL_DER_FEV_2023!W1680=0,0,IF(GLOBAL_DER_FEV_2023!W1680&gt;0,"c","b"))</f>
        <v>0</v>
      </c>
    </row>
    <row r="1681" spans="1:25" ht="15" hidden="1" customHeight="1" x14ac:dyDescent="0.2">
      <c r="A1681" s="317">
        <v>801100</v>
      </c>
      <c r="B1681" s="895" t="s">
        <v>1714</v>
      </c>
      <c r="C1681" s="896" t="s">
        <v>184</v>
      </c>
      <c r="D1681" s="897" t="s">
        <v>278</v>
      </c>
      <c r="E1681" s="898">
        <f>GLOBAL_DER_FEV_2023!E1681</f>
        <v>0</v>
      </c>
      <c r="F1681" s="899">
        <f>GLOBAL_DER_FEV_2023!F1681</f>
        <v>0</v>
      </c>
      <c r="G1681" s="900">
        <f>GLOBAL_DER_FEV_2023!G1681</f>
        <v>0</v>
      </c>
      <c r="H1681" s="901">
        <f>GLOBAL_DER_FEV_2023!H1681</f>
        <v>19.149999999999999</v>
      </c>
      <c r="I1681" s="901">
        <f>GLOBAL_DER_FEV_2023!I1681</f>
        <v>19.149999999999999</v>
      </c>
      <c r="J1681" s="902">
        <f>GLOBAL_DER_FEV_2023!J1681</f>
        <v>22.99</v>
      </c>
      <c r="K1681" s="903" t="s">
        <v>12</v>
      </c>
      <c r="L1681" s="1139"/>
      <c r="M1681" s="1140">
        <f t="shared" si="122"/>
        <v>0</v>
      </c>
      <c r="N1681" s="893">
        <f t="shared" si="126"/>
        <v>0</v>
      </c>
      <c r="O1681" s="905"/>
      <c r="Q1681" s="317" t="str">
        <f t="shared" si="123"/>
        <v/>
      </c>
      <c r="R1681" s="317" t="str">
        <f t="shared" si="124"/>
        <v/>
      </c>
      <c r="S1681" s="317" t="str">
        <f t="shared" si="125"/>
        <v/>
      </c>
      <c r="T1681" s="317" t="str">
        <f>GLOBAL_DER_FEV_2023!S1681</f>
        <v/>
      </c>
      <c r="W1681" s="582">
        <v>0</v>
      </c>
      <c r="X1681" s="580"/>
      <c r="Y1681" s="583">
        <f>IF(GLOBAL_DER_FEV_2023!W1681=0,0,IF(GLOBAL_DER_FEV_2023!W1681&gt;0,"c","b"))</f>
        <v>0</v>
      </c>
    </row>
    <row r="1682" spans="1:25" ht="15" hidden="1" customHeight="1" x14ac:dyDescent="0.2">
      <c r="A1682" s="317">
        <v>600510</v>
      </c>
      <c r="B1682" s="895" t="s">
        <v>1715</v>
      </c>
      <c r="C1682" s="896" t="s">
        <v>184</v>
      </c>
      <c r="D1682" s="897" t="s">
        <v>444</v>
      </c>
      <c r="E1682" s="898">
        <f>GLOBAL_DER_FEV_2023!E1682</f>
        <v>0</v>
      </c>
      <c r="F1682" s="899">
        <f>GLOBAL_DER_FEV_2023!F1682</f>
        <v>0</v>
      </c>
      <c r="G1682" s="900">
        <f>GLOBAL_DER_FEV_2023!G1682</f>
        <v>0</v>
      </c>
      <c r="H1682" s="901">
        <f>GLOBAL_DER_FEV_2023!H1682</f>
        <v>2.52</v>
      </c>
      <c r="I1682" s="901">
        <f>GLOBAL_DER_FEV_2023!I1682</f>
        <v>2.52</v>
      </c>
      <c r="J1682" s="902">
        <f>GLOBAL_DER_FEV_2023!J1682</f>
        <v>3.03</v>
      </c>
      <c r="K1682" s="903" t="s">
        <v>13</v>
      </c>
      <c r="L1682" s="1139"/>
      <c r="M1682" s="1140">
        <f t="shared" ref="M1682:M1745" si="127">IF(L1682=0,0,ROUND(J1682,2))</f>
        <v>0</v>
      </c>
      <c r="N1682" s="893">
        <f t="shared" si="126"/>
        <v>0</v>
      </c>
      <c r="O1682" s="905"/>
      <c r="Q1682" s="317" t="str">
        <f t="shared" si="123"/>
        <v/>
      </c>
      <c r="R1682" s="317" t="str">
        <f t="shared" si="124"/>
        <v/>
      </c>
      <c r="S1682" s="317" t="str">
        <f t="shared" si="125"/>
        <v/>
      </c>
      <c r="T1682" s="317" t="str">
        <f>GLOBAL_DER_FEV_2023!S1682</f>
        <v/>
      </c>
      <c r="W1682" s="582">
        <v>0</v>
      </c>
      <c r="X1682" s="580"/>
      <c r="Y1682" s="583">
        <f>IF(GLOBAL_DER_FEV_2023!W1682=0,0,IF(GLOBAL_DER_FEV_2023!W1682&gt;0,"c","b"))</f>
        <v>0</v>
      </c>
    </row>
    <row r="1683" spans="1:25" ht="15" hidden="1" customHeight="1" x14ac:dyDescent="0.2">
      <c r="A1683" s="317">
        <v>521450</v>
      </c>
      <c r="B1683" s="955" t="s">
        <v>1616</v>
      </c>
      <c r="C1683" s="956" t="s">
        <v>184</v>
      </c>
      <c r="D1683" s="906" t="s">
        <v>219</v>
      </c>
      <c r="E1683" s="907">
        <f>GLOBAL_DER_FEV_2023!E1683</f>
        <v>0</v>
      </c>
      <c r="F1683" s="899">
        <f>GLOBAL_DER_FEV_2023!F1683</f>
        <v>0.3</v>
      </c>
      <c r="G1683" s="949">
        <f>GLOBAL_DER_FEV_2023!G1683</f>
        <v>0.80400000000000005</v>
      </c>
      <c r="H1683" s="901">
        <f>GLOBAL_DER_FEV_2023!H1683</f>
        <v>25.31</v>
      </c>
      <c r="I1683" s="901">
        <f>GLOBAL_DER_FEV_2023!I1683</f>
        <v>26.113999999999997</v>
      </c>
      <c r="J1683" s="902">
        <f>GLOBAL_DER_FEV_2023!J1683</f>
        <v>31.36</v>
      </c>
      <c r="K1683" s="903" t="s">
        <v>12</v>
      </c>
      <c r="L1683" s="1137"/>
      <c r="M1683" s="1138">
        <f t="shared" si="127"/>
        <v>0</v>
      </c>
      <c r="N1683" s="893">
        <f t="shared" si="126"/>
        <v>0</v>
      </c>
      <c r="O1683" s="905"/>
      <c r="Q1683" s="317" t="str">
        <f t="shared" si="123"/>
        <v/>
      </c>
      <c r="R1683" s="317" t="str">
        <f t="shared" si="124"/>
        <v/>
      </c>
      <c r="S1683" s="317" t="str">
        <f t="shared" si="125"/>
        <v/>
      </c>
      <c r="T1683" s="317" t="str">
        <f>GLOBAL_DER_FEV_2023!S1683</f>
        <v/>
      </c>
      <c r="W1683" s="582">
        <v>0</v>
      </c>
      <c r="X1683" s="580"/>
      <c r="Y1683" s="583">
        <f>IF(GLOBAL_DER_FEV_2023!W1683=0,0,IF(GLOBAL_DER_FEV_2023!W1683&gt;0,"c","b"))</f>
        <v>0</v>
      </c>
    </row>
    <row r="1684" spans="1:25" ht="15" hidden="1" customHeight="1" x14ac:dyDescent="0.2">
      <c r="A1684" s="317">
        <v>511300</v>
      </c>
      <c r="B1684" s="895" t="s">
        <v>1571</v>
      </c>
      <c r="C1684" s="896" t="s">
        <v>184</v>
      </c>
      <c r="D1684" s="906" t="s">
        <v>180</v>
      </c>
      <c r="E1684" s="907">
        <f>GLOBAL_DER_FEV_2023!E1684</f>
        <v>0</v>
      </c>
      <c r="F1684" s="908">
        <f>GLOBAL_DER_FEV_2023!F1684</f>
        <v>0</v>
      </c>
      <c r="G1684" s="912">
        <f>GLOBAL_DER_FEV_2023!G1684</f>
        <v>0</v>
      </c>
      <c r="H1684" s="901">
        <f>GLOBAL_DER_FEV_2023!H1684</f>
        <v>0.28999999999999998</v>
      </c>
      <c r="I1684" s="901">
        <f>GLOBAL_DER_FEV_2023!I1684</f>
        <v>0.28999999999999998</v>
      </c>
      <c r="J1684" s="902">
        <f>GLOBAL_DER_FEV_2023!J1684</f>
        <v>0.35</v>
      </c>
      <c r="K1684" s="903" t="s">
        <v>12</v>
      </c>
      <c r="L1684" s="1137"/>
      <c r="M1684" s="1138">
        <f t="shared" si="127"/>
        <v>0</v>
      </c>
      <c r="N1684" s="893">
        <f t="shared" si="126"/>
        <v>0</v>
      </c>
      <c r="O1684" s="905"/>
      <c r="Q1684" s="317" t="str">
        <f t="shared" si="123"/>
        <v/>
      </c>
      <c r="R1684" s="317" t="str">
        <f t="shared" si="124"/>
        <v/>
      </c>
      <c r="S1684" s="317" t="str">
        <f t="shared" si="125"/>
        <v/>
      </c>
      <c r="T1684" s="317" t="str">
        <f>GLOBAL_DER_FEV_2023!S1684</f>
        <v/>
      </c>
      <c r="W1684" s="582">
        <v>0</v>
      </c>
      <c r="X1684" s="580"/>
      <c r="Y1684" s="583">
        <f>IF(GLOBAL_DER_FEV_2023!W1684=0,0,IF(GLOBAL_DER_FEV_2023!W1684&gt;0,"c","b"))</f>
        <v>0</v>
      </c>
    </row>
    <row r="1685" spans="1:25" ht="15" hidden="1" customHeight="1" x14ac:dyDescent="0.2">
      <c r="A1685" s="317">
        <v>521450</v>
      </c>
      <c r="B1685" s="895" t="s">
        <v>1617</v>
      </c>
      <c r="C1685" s="896" t="s">
        <v>184</v>
      </c>
      <c r="D1685" s="906" t="s">
        <v>454</v>
      </c>
      <c r="E1685" s="907">
        <f>GLOBAL_DER_FEV_2023!E1685</f>
        <v>0</v>
      </c>
      <c r="F1685" s="899">
        <f>GLOBAL_DER_FEV_2023!F1685</f>
        <v>0</v>
      </c>
      <c r="G1685" s="912">
        <f>GLOBAL_DER_FEV_2023!G1685</f>
        <v>0</v>
      </c>
      <c r="H1685" s="901">
        <f>GLOBAL_DER_FEV_2023!H1685</f>
        <v>25.31</v>
      </c>
      <c r="I1685" s="901">
        <f>GLOBAL_DER_FEV_2023!I1685</f>
        <v>25.31</v>
      </c>
      <c r="J1685" s="902">
        <f>GLOBAL_DER_FEV_2023!J1685</f>
        <v>30.39</v>
      </c>
      <c r="K1685" s="903" t="s">
        <v>12</v>
      </c>
      <c r="L1685" s="1137"/>
      <c r="M1685" s="1138">
        <f t="shared" si="127"/>
        <v>0</v>
      </c>
      <c r="N1685" s="893">
        <f t="shared" si="126"/>
        <v>0</v>
      </c>
      <c r="O1685" s="905"/>
      <c r="Q1685" s="317" t="str">
        <f t="shared" si="123"/>
        <v/>
      </c>
      <c r="R1685" s="317" t="str">
        <f t="shared" si="124"/>
        <v/>
      </c>
      <c r="S1685" s="317" t="str">
        <f t="shared" si="125"/>
        <v/>
      </c>
      <c r="T1685" s="317" t="str">
        <f>GLOBAL_DER_FEV_2023!S1685</f>
        <v/>
      </c>
      <c r="W1685" s="582">
        <v>0</v>
      </c>
      <c r="X1685" s="580"/>
      <c r="Y1685" s="583">
        <f>IF(GLOBAL_DER_FEV_2023!W1685=0,0,IF(GLOBAL_DER_FEV_2023!W1685&gt;0,"c","b"))</f>
        <v>0</v>
      </c>
    </row>
    <row r="1686" spans="1:25" ht="15" hidden="1" customHeight="1" x14ac:dyDescent="0.2">
      <c r="A1686" s="317">
        <v>521450</v>
      </c>
      <c r="B1686" s="895" t="s">
        <v>1619</v>
      </c>
      <c r="C1686" s="896" t="s">
        <v>184</v>
      </c>
      <c r="D1686" s="906" t="s">
        <v>221</v>
      </c>
      <c r="E1686" s="907">
        <f>GLOBAL_DER_FEV_2023!E1686</f>
        <v>0</v>
      </c>
      <c r="F1686" s="899">
        <f>GLOBAL_DER_FEV_2023!F1686</f>
        <v>0</v>
      </c>
      <c r="G1686" s="912">
        <f>GLOBAL_DER_FEV_2023!G1686</f>
        <v>0</v>
      </c>
      <c r="H1686" s="901">
        <f>GLOBAL_DER_FEV_2023!H1686</f>
        <v>25.31</v>
      </c>
      <c r="I1686" s="901">
        <f>GLOBAL_DER_FEV_2023!I1686</f>
        <v>25.31</v>
      </c>
      <c r="J1686" s="902">
        <f>GLOBAL_DER_FEV_2023!J1686</f>
        <v>30.39</v>
      </c>
      <c r="K1686" s="903" t="s">
        <v>12</v>
      </c>
      <c r="L1686" s="1137"/>
      <c r="M1686" s="1138">
        <f t="shared" si="127"/>
        <v>0</v>
      </c>
      <c r="N1686" s="893">
        <f t="shared" si="126"/>
        <v>0</v>
      </c>
      <c r="O1686" s="905"/>
      <c r="Q1686" s="317" t="str">
        <f t="shared" si="123"/>
        <v/>
      </c>
      <c r="R1686" s="317" t="str">
        <f t="shared" si="124"/>
        <v/>
      </c>
      <c r="S1686" s="317" t="str">
        <f t="shared" si="125"/>
        <v/>
      </c>
      <c r="T1686" s="317" t="str">
        <f>GLOBAL_DER_FEV_2023!S1686</f>
        <v/>
      </c>
      <c r="W1686" s="582">
        <v>0</v>
      </c>
      <c r="X1686" s="580"/>
      <c r="Y1686" s="583">
        <f>IF(GLOBAL_DER_FEV_2023!W1686=0,0,IF(GLOBAL_DER_FEV_2023!W1686&gt;0,"c","b"))</f>
        <v>0</v>
      </c>
    </row>
    <row r="1687" spans="1:25" ht="15" hidden="1" customHeight="1" x14ac:dyDescent="0.2">
      <c r="A1687" s="640" t="s">
        <v>165</v>
      </c>
      <c r="B1687" s="913" t="s">
        <v>165</v>
      </c>
      <c r="C1687" s="914"/>
      <c r="D1687" s="915" t="s">
        <v>485</v>
      </c>
      <c r="E1687" s="916">
        <f>GLOBAL_DER_FEV_2023!E1687</f>
        <v>0</v>
      </c>
      <c r="F1687" s="917">
        <f>GLOBAL_DER_FEV_2023!F1687</f>
        <v>0</v>
      </c>
      <c r="G1687" s="918">
        <f>GLOBAL_DER_FEV_2023!G1687</f>
        <v>0</v>
      </c>
      <c r="H1687" s="919">
        <f>GLOBAL_DER_FEV_2023!H1687</f>
        <v>0</v>
      </c>
      <c r="I1687" s="919">
        <f>GLOBAL_DER_FEV_2023!I1687</f>
        <v>0</v>
      </c>
      <c r="J1687" s="919">
        <f>GLOBAL_DER_FEV_2023!J1687</f>
        <v>0</v>
      </c>
      <c r="K1687" s="920" t="s">
        <v>507</v>
      </c>
      <c r="L1687" s="921"/>
      <c r="M1687" s="1175">
        <f t="shared" si="127"/>
        <v>0</v>
      </c>
      <c r="N1687" s="923">
        <f t="shared" si="126"/>
        <v>0</v>
      </c>
      <c r="O1687" s="905"/>
      <c r="P1687" s="58" t="str">
        <f>IF(OR(SUM(N1688:N1719)&gt;0,SUM(N1688:N1719)&gt;0),"y","")</f>
        <v/>
      </c>
      <c r="Q1687" s="317" t="str">
        <f t="shared" si="123"/>
        <v/>
      </c>
      <c r="R1687" s="317" t="str">
        <f t="shared" si="124"/>
        <v/>
      </c>
      <c r="S1687" s="317" t="str">
        <f t="shared" si="125"/>
        <v/>
      </c>
      <c r="T1687" s="317" t="str">
        <f>GLOBAL_DER_FEV_2023!S1687</f>
        <v/>
      </c>
      <c r="W1687" s="582">
        <v>0</v>
      </c>
      <c r="X1687" s="580"/>
      <c r="Y1687" s="583">
        <f>IF(GLOBAL_DER_FEV_2023!W1687=0,0,IF(GLOBAL_DER_FEV_2023!W1687&gt;0,"c","b"))</f>
        <v>0</v>
      </c>
    </row>
    <row r="1688" spans="1:25" ht="25.5" hidden="1" customHeight="1" x14ac:dyDescent="0.2">
      <c r="A1688" s="640" t="s">
        <v>165</v>
      </c>
      <c r="B1688" s="1036" t="str">
        <f>GLOBAL_DER_FEV_2023!B1688</f>
        <v>101173</v>
      </c>
      <c r="C1688" s="1072" t="str">
        <f>GLOBAL_DER_FEV_2023!C1688</f>
        <v>SINAPI</v>
      </c>
      <c r="D1688" s="1141" t="str">
        <f>GLOBAL_DER_FEV_2023!D1688</f>
        <v>ESTACA BROCA DE CONCRETO, DIÂMETRO DE 20 CM, ESCAVAÇÃO MANUAL COM TRADO CONCHA, COM ARMADURA DE ARRANQUE. AF_05/2020</v>
      </c>
      <c r="E1688" s="907">
        <f>GLOBAL_DER_FEV_2023!E1688</f>
        <v>62.91</v>
      </c>
      <c r="F1688" s="908">
        <f>GLOBAL_DER_FEV_2023!F1688</f>
        <v>62.91</v>
      </c>
      <c r="G1688" s="912">
        <f>GLOBAL_DER_FEV_2023!G1688</f>
        <v>75.540000000000006</v>
      </c>
      <c r="H1688" s="901">
        <f>GLOBAL_DER_FEV_2023!H1688</f>
        <v>0</v>
      </c>
      <c r="I1688" s="901">
        <f>GLOBAL_DER_FEV_2023!I1688</f>
        <v>75.540000000000006</v>
      </c>
      <c r="J1688" s="890">
        <f>GLOBAL_DER_FEV_2023!J1688</f>
        <v>90.7</v>
      </c>
      <c r="K1688" s="903" t="str">
        <f>GLOBAL_DER_FEV_2023!K1688</f>
        <v>m</v>
      </c>
      <c r="L1688" s="1137"/>
      <c r="M1688" s="1175">
        <f t="shared" si="127"/>
        <v>0</v>
      </c>
      <c r="N1688" s="1167">
        <f t="shared" si="126"/>
        <v>0</v>
      </c>
      <c r="O1688" s="1165"/>
      <c r="Q1688" s="317" t="str">
        <f t="shared" si="123"/>
        <v/>
      </c>
      <c r="R1688" s="317" t="str">
        <f t="shared" si="124"/>
        <v/>
      </c>
      <c r="S1688" s="317" t="str">
        <f t="shared" si="125"/>
        <v/>
      </c>
      <c r="T1688" s="317" t="str">
        <f>GLOBAL_DER_FEV_2023!S1688</f>
        <v/>
      </c>
      <c r="W1688" s="582">
        <v>0</v>
      </c>
      <c r="X1688" s="580"/>
      <c r="Y1688" s="583">
        <f>IF(GLOBAL_DER_FEV_2023!W1688=0,0,IF(GLOBAL_DER_FEV_2023!W1688&gt;0,"c","b"))</f>
        <v>0</v>
      </c>
    </row>
    <row r="1689" spans="1:25" ht="28.5" hidden="1" customHeight="1" x14ac:dyDescent="0.2">
      <c r="A1689" s="640" t="s">
        <v>165</v>
      </c>
      <c r="B1689" s="1036" t="str">
        <f>GLOBAL_DER_FEV_2023!B1689</f>
        <v>9557</v>
      </c>
      <c r="C1689" s="1072" t="str">
        <f>GLOBAL_DER_FEV_2023!C1689</f>
        <v>SINAPI</v>
      </c>
      <c r="D1689" s="1141" t="str">
        <f>GLOBAL_DER_FEV_2023!D1689</f>
        <v>MONTAGEM DE ARMADURA DE ESTACA DIÂMETRO = 10,0 MM. AF_09/2021</v>
      </c>
      <c r="E1689" s="907">
        <f>GLOBAL_DER_FEV_2023!E1689</f>
        <v>11.5</v>
      </c>
      <c r="F1689" s="908">
        <f>GLOBAL_DER_FEV_2023!F1689</f>
        <v>11.5</v>
      </c>
      <c r="G1689" s="912">
        <f>GLOBAL_DER_FEV_2023!G1689</f>
        <v>13.81</v>
      </c>
      <c r="H1689" s="901">
        <f>GLOBAL_DER_FEV_2023!H1689</f>
        <v>0</v>
      </c>
      <c r="I1689" s="901">
        <f>GLOBAL_DER_FEV_2023!I1689</f>
        <v>13.81</v>
      </c>
      <c r="J1689" s="890">
        <f>GLOBAL_DER_FEV_2023!J1689</f>
        <v>16.579999999999998</v>
      </c>
      <c r="K1689" s="903" t="str">
        <f>GLOBAL_DER_FEV_2023!K1689</f>
        <v>m</v>
      </c>
      <c r="L1689" s="1137"/>
      <c r="M1689" s="1175">
        <f t="shared" si="127"/>
        <v>0</v>
      </c>
      <c r="N1689" s="1167">
        <f t="shared" si="126"/>
        <v>0</v>
      </c>
      <c r="O1689" s="1165"/>
      <c r="Q1689" s="317" t="str">
        <f t="shared" si="123"/>
        <v/>
      </c>
      <c r="R1689" s="317" t="str">
        <f t="shared" si="124"/>
        <v/>
      </c>
      <c r="S1689" s="317" t="str">
        <f t="shared" si="125"/>
        <v/>
      </c>
      <c r="T1689" s="317" t="str">
        <f>GLOBAL_DER_FEV_2023!S1689</f>
        <v/>
      </c>
      <c r="W1689" s="582">
        <v>0</v>
      </c>
      <c r="X1689" s="580"/>
      <c r="Y1689" s="583">
        <f>IF(GLOBAL_DER_FEV_2023!W1689=0,0,IF(GLOBAL_DER_FEV_2023!W1689&gt;0,"c","b"))</f>
        <v>0</v>
      </c>
    </row>
    <row r="1690" spans="1:25" ht="28.5" hidden="1" customHeight="1" x14ac:dyDescent="0.2">
      <c r="A1690" s="640" t="s">
        <v>165</v>
      </c>
      <c r="B1690" s="1036" t="str">
        <f>GLOBAL_DER_FEV_2023!B1690</f>
        <v>95583</v>
      </c>
      <c r="C1690" s="1072" t="str">
        <f>GLOBAL_DER_FEV_2023!C1690</f>
        <v>SINAPI</v>
      </c>
      <c r="D1690" s="1141" t="str">
        <f>GLOBAL_DER_FEV_2023!D1690</f>
        <v>MONTAGEM DE ARMADURA TRANSVERSAL DE ESTACAS DE SEÇÃO CIRCULAR, DIÂMETRO = 5,00 MM. AF_09/2021</v>
      </c>
      <c r="E1690" s="907">
        <f>GLOBAL_DER_FEV_2023!E1690</f>
        <v>17.59</v>
      </c>
      <c r="F1690" s="908">
        <f>GLOBAL_DER_FEV_2023!F1690</f>
        <v>17.59</v>
      </c>
      <c r="G1690" s="912">
        <f>GLOBAL_DER_FEV_2023!G1690</f>
        <v>21.12</v>
      </c>
      <c r="H1690" s="901">
        <f>GLOBAL_DER_FEV_2023!H1690</f>
        <v>0</v>
      </c>
      <c r="I1690" s="901">
        <f>GLOBAL_DER_FEV_2023!I1690</f>
        <v>21.12</v>
      </c>
      <c r="J1690" s="890">
        <f>GLOBAL_DER_FEV_2023!J1690</f>
        <v>25.36</v>
      </c>
      <c r="K1690" s="903" t="str">
        <f>GLOBAL_DER_FEV_2023!K1690</f>
        <v>kg</v>
      </c>
      <c r="L1690" s="1137"/>
      <c r="M1690" s="1175">
        <f t="shared" si="127"/>
        <v>0</v>
      </c>
      <c r="N1690" s="1167">
        <f t="shared" si="126"/>
        <v>0</v>
      </c>
      <c r="O1690" s="1165"/>
      <c r="Q1690" s="317" t="str">
        <f t="shared" si="123"/>
        <v/>
      </c>
      <c r="R1690" s="317" t="str">
        <f t="shared" si="124"/>
        <v/>
      </c>
      <c r="S1690" s="317" t="str">
        <f t="shared" si="125"/>
        <v/>
      </c>
      <c r="T1690" s="317" t="str">
        <f>GLOBAL_DER_FEV_2023!S1690</f>
        <v/>
      </c>
      <c r="W1690" s="582">
        <v>0</v>
      </c>
      <c r="X1690" s="580"/>
      <c r="Y1690" s="583">
        <f>IF(GLOBAL_DER_FEV_2023!W1690=0,0,IF(GLOBAL_DER_FEV_2023!W1690&gt;0,"c","b"))</f>
        <v>0</v>
      </c>
    </row>
    <row r="1691" spans="1:25" ht="20.25" hidden="1" customHeight="1" x14ac:dyDescent="0.2">
      <c r="A1691" s="640" t="s">
        <v>165</v>
      </c>
      <c r="B1691" s="1036" t="str">
        <f>GLOBAL_DER_FEV_2023!B1691</f>
        <v>34</v>
      </c>
      <c r="C1691" s="1072" t="str">
        <f>GLOBAL_DER_FEV_2023!C1691</f>
        <v>SINAPI</v>
      </c>
      <c r="D1691" s="1141" t="str">
        <f>GLOBAL_DER_FEV_2023!D1691</f>
        <v>AÇO CA-50, 10,0 MM, VERGALHÃO</v>
      </c>
      <c r="E1691" s="907">
        <f>GLOBAL_DER_FEV_2023!E1691</f>
        <v>8.52</v>
      </c>
      <c r="F1691" s="908">
        <f>GLOBAL_DER_FEV_2023!F1691</f>
        <v>8.52</v>
      </c>
      <c r="G1691" s="912">
        <f>GLOBAL_DER_FEV_2023!G1691</f>
        <v>10.23</v>
      </c>
      <c r="H1691" s="901">
        <f>GLOBAL_DER_FEV_2023!H1691</f>
        <v>0</v>
      </c>
      <c r="I1691" s="901">
        <f>GLOBAL_DER_FEV_2023!I1691</f>
        <v>10.23</v>
      </c>
      <c r="J1691" s="890">
        <f>GLOBAL_DER_FEV_2023!J1691</f>
        <v>12.28</v>
      </c>
      <c r="K1691" s="903" t="str">
        <f>GLOBAL_DER_FEV_2023!K1691</f>
        <v>kg</v>
      </c>
      <c r="L1691" s="1137"/>
      <c r="M1691" s="1175">
        <f t="shared" si="127"/>
        <v>0</v>
      </c>
      <c r="N1691" s="1167">
        <f t="shared" si="126"/>
        <v>0</v>
      </c>
      <c r="O1691" s="1165"/>
      <c r="Q1691" s="317" t="str">
        <f t="shared" ref="Q1691:Q1754" si="128">IF(P1691="X","x",IF(P1691="xx","x",IF(P1691="xy","x",IF(P1691="y","x",IF(OR(N1691&gt;0,N1691&gt;0),"x","")))))</f>
        <v/>
      </c>
      <c r="R1691" s="317" t="str">
        <f t="shared" si="124"/>
        <v/>
      </c>
      <c r="S1691" s="317" t="str">
        <f t="shared" si="125"/>
        <v/>
      </c>
      <c r="T1691" s="317" t="str">
        <f>GLOBAL_DER_FEV_2023!S1691</f>
        <v/>
      </c>
      <c r="W1691" s="582">
        <v>0</v>
      </c>
      <c r="X1691" s="580"/>
      <c r="Y1691" s="583">
        <f>IF(GLOBAL_DER_FEV_2023!W1691=0,0,IF(GLOBAL_DER_FEV_2023!W1691&gt;0,"c","b"))</f>
        <v>0</v>
      </c>
    </row>
    <row r="1692" spans="1:25" ht="30" hidden="1" customHeight="1" x14ac:dyDescent="0.2">
      <c r="A1692" s="640" t="s">
        <v>165</v>
      </c>
      <c r="B1692" s="1036" t="str">
        <f>GLOBAL_DER_FEV_2023!B1692</f>
        <v>96555</v>
      </c>
      <c r="C1692" s="1072" t="str">
        <f>GLOBAL_DER_FEV_2023!C1692</f>
        <v>SINAPI</v>
      </c>
      <c r="D1692" s="1141" t="str">
        <f>GLOBAL_DER_FEV_2023!D1692</f>
        <v>CONCRETAGEM DE BLOCOS DE COROAMENTO E VIGAS BALDRAME, FCK 30 MPA, COM USO DE JERICA LANÇAMENTO, ADENSAMENTO E ACABAMENTO. AF_06/2017</v>
      </c>
      <c r="E1692" s="907">
        <f>GLOBAL_DER_FEV_2023!E1692</f>
        <v>560.14</v>
      </c>
      <c r="F1692" s="908">
        <f>GLOBAL_DER_FEV_2023!F1692</f>
        <v>560.14</v>
      </c>
      <c r="G1692" s="912">
        <f>GLOBAL_DER_FEV_2023!G1692</f>
        <v>672.56</v>
      </c>
      <c r="H1692" s="901">
        <f>GLOBAL_DER_FEV_2023!H1692</f>
        <v>0</v>
      </c>
      <c r="I1692" s="901">
        <f>GLOBAL_DER_FEV_2023!I1692</f>
        <v>672.56</v>
      </c>
      <c r="J1692" s="890">
        <f>GLOBAL_DER_FEV_2023!J1692</f>
        <v>807.54</v>
      </c>
      <c r="K1692" s="903" t="str">
        <f>GLOBAL_DER_FEV_2023!K1692</f>
        <v>m3</v>
      </c>
      <c r="L1692" s="1137"/>
      <c r="M1692" s="1175">
        <f t="shared" si="127"/>
        <v>0</v>
      </c>
      <c r="N1692" s="1167">
        <f t="shared" si="126"/>
        <v>0</v>
      </c>
      <c r="O1692" s="1165"/>
      <c r="Q1692" s="317" t="str">
        <f t="shared" si="128"/>
        <v/>
      </c>
      <c r="R1692" s="317" t="str">
        <f t="shared" si="124"/>
        <v/>
      </c>
      <c r="S1692" s="317" t="str">
        <f t="shared" si="125"/>
        <v/>
      </c>
      <c r="T1692" s="317" t="str">
        <f>GLOBAL_DER_FEV_2023!S1692</f>
        <v/>
      </c>
      <c r="W1692" s="582">
        <v>0</v>
      </c>
      <c r="X1692" s="580"/>
      <c r="Y1692" s="583">
        <f>IF(GLOBAL_DER_FEV_2023!W1692=0,0,IF(GLOBAL_DER_FEV_2023!W1692&gt;0,"c","b"))</f>
        <v>0</v>
      </c>
    </row>
    <row r="1693" spans="1:25" ht="15" hidden="1" customHeight="1" x14ac:dyDescent="0.2">
      <c r="A1693" s="640" t="s">
        <v>165</v>
      </c>
      <c r="B1693" s="1036" t="str">
        <f>GLOBAL_DER_FEV_2023!B1693</f>
        <v/>
      </c>
      <c r="C1693" s="1072" t="str">
        <f>GLOBAL_DER_FEV_2023!C1693</f>
        <v/>
      </c>
      <c r="D1693" s="1141">
        <f>GLOBAL_DER_FEV_2023!D1693</f>
        <v>0</v>
      </c>
      <c r="E1693" s="907">
        <f>GLOBAL_DER_FEV_2023!E1693</f>
        <v>0</v>
      </c>
      <c r="F1693" s="908">
        <f>GLOBAL_DER_FEV_2023!F1693</f>
        <v>0</v>
      </c>
      <c r="G1693" s="912">
        <f>GLOBAL_DER_FEV_2023!G1693</f>
        <v>0</v>
      </c>
      <c r="H1693" s="901">
        <f>GLOBAL_DER_FEV_2023!H1693</f>
        <v>0</v>
      </c>
      <c r="I1693" s="901">
        <f>GLOBAL_DER_FEV_2023!I1693</f>
        <v>0</v>
      </c>
      <c r="J1693" s="890">
        <f>GLOBAL_DER_FEV_2023!J1693</f>
        <v>0</v>
      </c>
      <c r="K1693" s="903" t="str">
        <f>GLOBAL_DER_FEV_2023!K1693</f>
        <v xml:space="preserve">     </v>
      </c>
      <c r="L1693" s="1137"/>
      <c r="M1693" s="1175">
        <f t="shared" si="127"/>
        <v>0</v>
      </c>
      <c r="N1693" s="1167">
        <f t="shared" si="126"/>
        <v>0</v>
      </c>
      <c r="O1693" s="1165"/>
      <c r="Q1693" s="317" t="str">
        <f t="shared" si="128"/>
        <v/>
      </c>
      <c r="R1693" s="317" t="str">
        <f t="shared" ref="R1693:R1756" si="129">IF(P1693="X","x",IF(P1693="y","x",IF(P1693="xx","x",IF(N1693&gt;0,"x",""))))</f>
        <v/>
      </c>
      <c r="S1693" s="317" t="str">
        <f t="shared" ref="S1693:S1756" si="130">IF(P1693="X","x",IF(N1693&gt;0,"x",""))</f>
        <v/>
      </c>
      <c r="T1693" s="317" t="str">
        <f>GLOBAL_DER_FEV_2023!S1693</f>
        <v/>
      </c>
      <c r="W1693" s="582">
        <v>0</v>
      </c>
      <c r="X1693" s="580"/>
      <c r="Y1693" s="583">
        <f>IF(GLOBAL_DER_FEV_2023!W1693=0,0,IF(GLOBAL_DER_FEV_2023!W1693&gt;0,"c","b"))</f>
        <v>0</v>
      </c>
    </row>
    <row r="1694" spans="1:25" ht="15" hidden="1" customHeight="1" x14ac:dyDescent="0.2">
      <c r="A1694" s="640" t="s">
        <v>165</v>
      </c>
      <c r="B1694" s="1036" t="str">
        <f>GLOBAL_DER_FEV_2023!B1694</f>
        <v/>
      </c>
      <c r="C1694" s="1072" t="str">
        <f>GLOBAL_DER_FEV_2023!C1694</f>
        <v/>
      </c>
      <c r="D1694" s="1141">
        <f>GLOBAL_DER_FEV_2023!D1694</f>
        <v>0</v>
      </c>
      <c r="E1694" s="907">
        <f>GLOBAL_DER_FEV_2023!E1694</f>
        <v>0</v>
      </c>
      <c r="F1694" s="908">
        <f>GLOBAL_DER_FEV_2023!F1694</f>
        <v>0</v>
      </c>
      <c r="G1694" s="912">
        <f>GLOBAL_DER_FEV_2023!G1694</f>
        <v>0</v>
      </c>
      <c r="H1694" s="901">
        <f>GLOBAL_DER_FEV_2023!H1694</f>
        <v>0</v>
      </c>
      <c r="I1694" s="901">
        <f>GLOBAL_DER_FEV_2023!I1694</f>
        <v>0</v>
      </c>
      <c r="J1694" s="890">
        <f>GLOBAL_DER_FEV_2023!J1694</f>
        <v>0</v>
      </c>
      <c r="K1694" s="903" t="str">
        <f>GLOBAL_DER_FEV_2023!K1694</f>
        <v xml:space="preserve">     </v>
      </c>
      <c r="L1694" s="1137"/>
      <c r="M1694" s="1175">
        <f t="shared" si="127"/>
        <v>0</v>
      </c>
      <c r="N1694" s="1167">
        <f t="shared" si="126"/>
        <v>0</v>
      </c>
      <c r="O1694" s="1165"/>
      <c r="Q1694" s="317" t="str">
        <f t="shared" si="128"/>
        <v/>
      </c>
      <c r="R1694" s="317" t="str">
        <f t="shared" si="129"/>
        <v/>
      </c>
      <c r="S1694" s="317" t="str">
        <f t="shared" si="130"/>
        <v/>
      </c>
      <c r="T1694" s="317" t="str">
        <f>GLOBAL_DER_FEV_2023!S1694</f>
        <v/>
      </c>
      <c r="W1694" s="582">
        <v>0</v>
      </c>
      <c r="X1694" s="580"/>
      <c r="Y1694" s="583">
        <f>IF(GLOBAL_DER_FEV_2023!W1694=0,0,IF(GLOBAL_DER_FEV_2023!W1694&gt;0,"c","b"))</f>
        <v>0</v>
      </c>
    </row>
    <row r="1695" spans="1:25" ht="15" hidden="1" customHeight="1" x14ac:dyDescent="0.2">
      <c r="A1695" s="640" t="s">
        <v>165</v>
      </c>
      <c r="B1695" s="1036" t="str">
        <f>GLOBAL_DER_FEV_2023!B1695</f>
        <v/>
      </c>
      <c r="C1695" s="1072" t="str">
        <f>GLOBAL_DER_FEV_2023!C1695</f>
        <v/>
      </c>
      <c r="D1695" s="1141">
        <f>GLOBAL_DER_FEV_2023!D1695</f>
        <v>0</v>
      </c>
      <c r="E1695" s="907">
        <f>GLOBAL_DER_FEV_2023!E1695</f>
        <v>0</v>
      </c>
      <c r="F1695" s="908">
        <f>GLOBAL_DER_FEV_2023!F1695</f>
        <v>0</v>
      </c>
      <c r="G1695" s="912">
        <f>GLOBAL_DER_FEV_2023!G1695</f>
        <v>0</v>
      </c>
      <c r="H1695" s="901">
        <f>GLOBAL_DER_FEV_2023!H1695</f>
        <v>0</v>
      </c>
      <c r="I1695" s="901">
        <f>GLOBAL_DER_FEV_2023!I1695</f>
        <v>0</v>
      </c>
      <c r="J1695" s="890">
        <f>GLOBAL_DER_FEV_2023!J1695</f>
        <v>0</v>
      </c>
      <c r="K1695" s="903" t="str">
        <f>GLOBAL_DER_FEV_2023!K1695</f>
        <v xml:space="preserve">     </v>
      </c>
      <c r="L1695" s="1137"/>
      <c r="M1695" s="1175">
        <f t="shared" si="127"/>
        <v>0</v>
      </c>
      <c r="N1695" s="1167">
        <f t="shared" si="126"/>
        <v>0</v>
      </c>
      <c r="O1695" s="1165"/>
      <c r="Q1695" s="317" t="str">
        <f t="shared" si="128"/>
        <v/>
      </c>
      <c r="R1695" s="317" t="str">
        <f t="shared" si="129"/>
        <v/>
      </c>
      <c r="S1695" s="317" t="str">
        <f t="shared" si="130"/>
        <v/>
      </c>
      <c r="T1695" s="317" t="str">
        <f>GLOBAL_DER_FEV_2023!S1695</f>
        <v/>
      </c>
      <c r="W1695" s="582">
        <v>0</v>
      </c>
      <c r="X1695" s="580"/>
      <c r="Y1695" s="583">
        <f>IF(GLOBAL_DER_FEV_2023!W1695=0,0,IF(GLOBAL_DER_FEV_2023!W1695&gt;0,"c","b"))</f>
        <v>0</v>
      </c>
    </row>
    <row r="1696" spans="1:25" ht="15" hidden="1" customHeight="1" x14ac:dyDescent="0.2">
      <c r="A1696" s="640" t="s">
        <v>165</v>
      </c>
      <c r="B1696" s="1036" t="str">
        <f>GLOBAL_DER_FEV_2023!B1696</f>
        <v/>
      </c>
      <c r="C1696" s="1072" t="str">
        <f>GLOBAL_DER_FEV_2023!C1696</f>
        <v/>
      </c>
      <c r="D1696" s="1141">
        <f>GLOBAL_DER_FEV_2023!D1696</f>
        <v>0</v>
      </c>
      <c r="E1696" s="907">
        <f>GLOBAL_DER_FEV_2023!E1696</f>
        <v>0</v>
      </c>
      <c r="F1696" s="908">
        <f>GLOBAL_DER_FEV_2023!F1696</f>
        <v>0</v>
      </c>
      <c r="G1696" s="912">
        <f>GLOBAL_DER_FEV_2023!G1696</f>
        <v>0</v>
      </c>
      <c r="H1696" s="901">
        <f>GLOBAL_DER_FEV_2023!H1696</f>
        <v>0</v>
      </c>
      <c r="I1696" s="901">
        <f>GLOBAL_DER_FEV_2023!I1696</f>
        <v>0</v>
      </c>
      <c r="J1696" s="890">
        <f>GLOBAL_DER_FEV_2023!J1696</f>
        <v>0</v>
      </c>
      <c r="K1696" s="903" t="str">
        <f>GLOBAL_DER_FEV_2023!K1696</f>
        <v xml:space="preserve">     </v>
      </c>
      <c r="L1696" s="1137"/>
      <c r="M1696" s="1175">
        <f t="shared" si="127"/>
        <v>0</v>
      </c>
      <c r="N1696" s="1167">
        <f t="shared" si="126"/>
        <v>0</v>
      </c>
      <c r="O1696" s="905"/>
      <c r="Q1696" s="317" t="str">
        <f t="shared" si="128"/>
        <v/>
      </c>
      <c r="R1696" s="317" t="str">
        <f t="shared" si="129"/>
        <v/>
      </c>
      <c r="S1696" s="317" t="str">
        <f t="shared" si="130"/>
        <v/>
      </c>
      <c r="T1696" s="317" t="str">
        <f>GLOBAL_DER_FEV_2023!S1696</f>
        <v/>
      </c>
      <c r="W1696" s="582">
        <v>0</v>
      </c>
      <c r="X1696" s="580"/>
      <c r="Y1696" s="583">
        <f>IF(GLOBAL_DER_FEV_2023!W1696=0,0,IF(GLOBAL_DER_FEV_2023!W1696&gt;0,"c","b"))</f>
        <v>0</v>
      </c>
    </row>
    <row r="1697" spans="1:25" ht="15" hidden="1" customHeight="1" x14ac:dyDescent="0.2">
      <c r="A1697" s="640" t="s">
        <v>165</v>
      </c>
      <c r="B1697" s="1036" t="str">
        <f>GLOBAL_DER_FEV_2023!B1697</f>
        <v/>
      </c>
      <c r="C1697" s="1072" t="str">
        <f>GLOBAL_DER_FEV_2023!C1697</f>
        <v/>
      </c>
      <c r="D1697" s="1141">
        <f>GLOBAL_DER_FEV_2023!D1697</f>
        <v>0</v>
      </c>
      <c r="E1697" s="907">
        <f>GLOBAL_DER_FEV_2023!E1697</f>
        <v>0</v>
      </c>
      <c r="F1697" s="908">
        <f>GLOBAL_DER_FEV_2023!F1697</f>
        <v>0</v>
      </c>
      <c r="G1697" s="912">
        <f>GLOBAL_DER_FEV_2023!G1697</f>
        <v>0</v>
      </c>
      <c r="H1697" s="901">
        <f>GLOBAL_DER_FEV_2023!H1697</f>
        <v>0</v>
      </c>
      <c r="I1697" s="901">
        <f>GLOBAL_DER_FEV_2023!I1697</f>
        <v>0</v>
      </c>
      <c r="J1697" s="890">
        <f>GLOBAL_DER_FEV_2023!J1697</f>
        <v>0</v>
      </c>
      <c r="K1697" s="903" t="str">
        <f>GLOBAL_DER_FEV_2023!K1697</f>
        <v xml:space="preserve">     </v>
      </c>
      <c r="L1697" s="1137"/>
      <c r="M1697" s="1175">
        <f t="shared" si="127"/>
        <v>0</v>
      </c>
      <c r="N1697" s="1167">
        <f t="shared" ref="N1697:N1760" si="131">IF(ISBLANK(L1697),0,IF(W1697=0,ROUND(L1697*M1697,2),IF(W1697="b",ROUNDDOWN(L1697*M1697,2),ROUNDUP(L1697*M1697,2))))</f>
        <v>0</v>
      </c>
      <c r="O1697" s="905"/>
      <c r="Q1697" s="317" t="str">
        <f t="shared" si="128"/>
        <v/>
      </c>
      <c r="R1697" s="317" t="str">
        <f t="shared" si="129"/>
        <v/>
      </c>
      <c r="S1697" s="317" t="str">
        <f t="shared" si="130"/>
        <v/>
      </c>
      <c r="T1697" s="317" t="str">
        <f>GLOBAL_DER_FEV_2023!S1697</f>
        <v/>
      </c>
      <c r="W1697" s="582">
        <v>0</v>
      </c>
      <c r="X1697" s="580"/>
      <c r="Y1697" s="583">
        <f>IF(GLOBAL_DER_FEV_2023!W1697=0,0,IF(GLOBAL_DER_FEV_2023!W1697&gt;0,"c","b"))</f>
        <v>0</v>
      </c>
    </row>
    <row r="1698" spans="1:25" ht="15" hidden="1" customHeight="1" x14ac:dyDescent="0.2">
      <c r="A1698" s="640" t="s">
        <v>165</v>
      </c>
      <c r="B1698" s="1036" t="str">
        <f>GLOBAL_DER_FEV_2023!B1698</f>
        <v/>
      </c>
      <c r="C1698" s="1072" t="str">
        <f>GLOBAL_DER_FEV_2023!C1698</f>
        <v/>
      </c>
      <c r="D1698" s="1141">
        <f>GLOBAL_DER_FEV_2023!D1698</f>
        <v>0</v>
      </c>
      <c r="E1698" s="907">
        <f>GLOBAL_DER_FEV_2023!E1698</f>
        <v>0</v>
      </c>
      <c r="F1698" s="908">
        <f>GLOBAL_DER_FEV_2023!F1698</f>
        <v>0</v>
      </c>
      <c r="G1698" s="912">
        <f>GLOBAL_DER_FEV_2023!G1698</f>
        <v>0</v>
      </c>
      <c r="H1698" s="901">
        <f>GLOBAL_DER_FEV_2023!H1698</f>
        <v>0</v>
      </c>
      <c r="I1698" s="901">
        <f>GLOBAL_DER_FEV_2023!I1698</f>
        <v>0</v>
      </c>
      <c r="J1698" s="890">
        <f>GLOBAL_DER_FEV_2023!J1698</f>
        <v>0</v>
      </c>
      <c r="K1698" s="903" t="str">
        <f>GLOBAL_DER_FEV_2023!K1698</f>
        <v xml:space="preserve">     </v>
      </c>
      <c r="L1698" s="1137"/>
      <c r="M1698" s="1175">
        <f t="shared" si="127"/>
        <v>0</v>
      </c>
      <c r="N1698" s="1167">
        <f t="shared" si="131"/>
        <v>0</v>
      </c>
      <c r="O1698" s="905"/>
      <c r="Q1698" s="317" t="str">
        <f t="shared" si="128"/>
        <v/>
      </c>
      <c r="R1698" s="317" t="str">
        <f t="shared" si="129"/>
        <v/>
      </c>
      <c r="S1698" s="317" t="str">
        <f t="shared" si="130"/>
        <v/>
      </c>
      <c r="T1698" s="317" t="str">
        <f>GLOBAL_DER_FEV_2023!S1698</f>
        <v/>
      </c>
      <c r="W1698" s="582">
        <v>0</v>
      </c>
      <c r="X1698" s="580"/>
      <c r="Y1698" s="583">
        <f>IF(GLOBAL_DER_FEV_2023!W1698=0,0,IF(GLOBAL_DER_FEV_2023!W1698&gt;0,"c","b"))</f>
        <v>0</v>
      </c>
    </row>
    <row r="1699" spans="1:25" ht="15" hidden="1" customHeight="1" x14ac:dyDescent="0.2">
      <c r="A1699" s="640" t="s">
        <v>165</v>
      </c>
      <c r="B1699" s="1036" t="str">
        <f>GLOBAL_DER_FEV_2023!B1699</f>
        <v/>
      </c>
      <c r="C1699" s="1072" t="str">
        <f>GLOBAL_DER_FEV_2023!C1699</f>
        <v/>
      </c>
      <c r="D1699" s="1141">
        <f>GLOBAL_DER_FEV_2023!D1699</f>
        <v>0</v>
      </c>
      <c r="E1699" s="907">
        <f>GLOBAL_DER_FEV_2023!E1699</f>
        <v>0</v>
      </c>
      <c r="F1699" s="908">
        <f>GLOBAL_DER_FEV_2023!F1699</f>
        <v>0</v>
      </c>
      <c r="G1699" s="912">
        <f>GLOBAL_DER_FEV_2023!G1699</f>
        <v>0</v>
      </c>
      <c r="H1699" s="901">
        <f>GLOBAL_DER_FEV_2023!H1699</f>
        <v>0</v>
      </c>
      <c r="I1699" s="901">
        <f>GLOBAL_DER_FEV_2023!I1699</f>
        <v>0</v>
      </c>
      <c r="J1699" s="890">
        <f>GLOBAL_DER_FEV_2023!J1699</f>
        <v>0</v>
      </c>
      <c r="K1699" s="903" t="str">
        <f>GLOBAL_DER_FEV_2023!K1699</f>
        <v xml:space="preserve">     </v>
      </c>
      <c r="L1699" s="1137"/>
      <c r="M1699" s="1175">
        <f t="shared" si="127"/>
        <v>0</v>
      </c>
      <c r="N1699" s="1167">
        <f t="shared" si="131"/>
        <v>0</v>
      </c>
      <c r="O1699" s="905"/>
      <c r="Q1699" s="317" t="str">
        <f t="shared" si="128"/>
        <v/>
      </c>
      <c r="R1699" s="317" t="str">
        <f t="shared" si="129"/>
        <v/>
      </c>
      <c r="S1699" s="317" t="str">
        <f t="shared" si="130"/>
        <v/>
      </c>
      <c r="T1699" s="317" t="str">
        <f>GLOBAL_DER_FEV_2023!S1699</f>
        <v/>
      </c>
      <c r="W1699" s="582">
        <v>0</v>
      </c>
      <c r="X1699" s="580"/>
      <c r="Y1699" s="583">
        <f>IF(GLOBAL_DER_FEV_2023!W1699=0,0,IF(GLOBAL_DER_FEV_2023!W1699&gt;0,"c","b"))</f>
        <v>0</v>
      </c>
    </row>
    <row r="1700" spans="1:25" ht="15" hidden="1" customHeight="1" x14ac:dyDescent="0.2">
      <c r="A1700" s="640" t="s">
        <v>165</v>
      </c>
      <c r="B1700" s="1036" t="str">
        <f>GLOBAL_DER_FEV_2023!B1700</f>
        <v/>
      </c>
      <c r="C1700" s="1072" t="str">
        <f>GLOBAL_DER_FEV_2023!C1700</f>
        <v/>
      </c>
      <c r="D1700" s="1141">
        <f>GLOBAL_DER_FEV_2023!D1700</f>
        <v>0</v>
      </c>
      <c r="E1700" s="907">
        <f>GLOBAL_DER_FEV_2023!E1700</f>
        <v>0</v>
      </c>
      <c r="F1700" s="908">
        <f>GLOBAL_DER_FEV_2023!F1700</f>
        <v>0</v>
      </c>
      <c r="G1700" s="912">
        <f>GLOBAL_DER_FEV_2023!G1700</f>
        <v>0</v>
      </c>
      <c r="H1700" s="901">
        <f>GLOBAL_DER_FEV_2023!H1700</f>
        <v>0</v>
      </c>
      <c r="I1700" s="901">
        <f>GLOBAL_DER_FEV_2023!I1700</f>
        <v>0</v>
      </c>
      <c r="J1700" s="890">
        <f>GLOBAL_DER_FEV_2023!J1700</f>
        <v>0</v>
      </c>
      <c r="K1700" s="903" t="str">
        <f>GLOBAL_DER_FEV_2023!K1700</f>
        <v xml:space="preserve">     </v>
      </c>
      <c r="L1700" s="1137"/>
      <c r="M1700" s="1175">
        <f t="shared" si="127"/>
        <v>0</v>
      </c>
      <c r="N1700" s="1167">
        <f t="shared" si="131"/>
        <v>0</v>
      </c>
      <c r="O1700" s="905"/>
      <c r="Q1700" s="317" t="str">
        <f t="shared" si="128"/>
        <v/>
      </c>
      <c r="R1700" s="317" t="str">
        <f t="shared" si="129"/>
        <v/>
      </c>
      <c r="S1700" s="317" t="str">
        <f t="shared" si="130"/>
        <v/>
      </c>
      <c r="T1700" s="317" t="str">
        <f>GLOBAL_DER_FEV_2023!S1700</f>
        <v/>
      </c>
      <c r="W1700" s="582">
        <v>0</v>
      </c>
      <c r="X1700" s="580"/>
      <c r="Y1700" s="583">
        <f>IF(GLOBAL_DER_FEV_2023!W1700=0,0,IF(GLOBAL_DER_FEV_2023!W1700&gt;0,"c","b"))</f>
        <v>0</v>
      </c>
    </row>
    <row r="1701" spans="1:25" ht="15" hidden="1" customHeight="1" x14ac:dyDescent="0.2">
      <c r="A1701" s="640" t="s">
        <v>165</v>
      </c>
      <c r="B1701" s="1036" t="str">
        <f>GLOBAL_DER_FEV_2023!B1701</f>
        <v/>
      </c>
      <c r="C1701" s="1072" t="str">
        <f>GLOBAL_DER_FEV_2023!C1701</f>
        <v/>
      </c>
      <c r="D1701" s="1141">
        <f>GLOBAL_DER_FEV_2023!D1701</f>
        <v>0</v>
      </c>
      <c r="E1701" s="907">
        <f>GLOBAL_DER_FEV_2023!E1701</f>
        <v>0</v>
      </c>
      <c r="F1701" s="908">
        <f>GLOBAL_DER_FEV_2023!F1701</f>
        <v>0</v>
      </c>
      <c r="G1701" s="912">
        <f>GLOBAL_DER_FEV_2023!G1701</f>
        <v>0</v>
      </c>
      <c r="H1701" s="901">
        <f>GLOBAL_DER_FEV_2023!H1701</f>
        <v>0</v>
      </c>
      <c r="I1701" s="901">
        <f>GLOBAL_DER_FEV_2023!I1701</f>
        <v>0</v>
      </c>
      <c r="J1701" s="890">
        <f>GLOBAL_DER_FEV_2023!J1701</f>
        <v>0</v>
      </c>
      <c r="K1701" s="903" t="str">
        <f>GLOBAL_DER_FEV_2023!K1701</f>
        <v xml:space="preserve">     </v>
      </c>
      <c r="L1701" s="1137"/>
      <c r="M1701" s="1175">
        <f t="shared" si="127"/>
        <v>0</v>
      </c>
      <c r="N1701" s="1167">
        <f t="shared" si="131"/>
        <v>0</v>
      </c>
      <c r="O1701" s="905"/>
      <c r="Q1701" s="317" t="str">
        <f t="shared" si="128"/>
        <v/>
      </c>
      <c r="R1701" s="317" t="str">
        <f t="shared" si="129"/>
        <v/>
      </c>
      <c r="S1701" s="317" t="str">
        <f t="shared" si="130"/>
        <v/>
      </c>
      <c r="T1701" s="317" t="str">
        <f>GLOBAL_DER_FEV_2023!S1701</f>
        <v/>
      </c>
      <c r="W1701" s="582">
        <v>0</v>
      </c>
      <c r="X1701" s="580"/>
      <c r="Y1701" s="583">
        <f>IF(GLOBAL_DER_FEV_2023!W1701=0,0,IF(GLOBAL_DER_FEV_2023!W1701&gt;0,"c","b"))</f>
        <v>0</v>
      </c>
    </row>
    <row r="1702" spans="1:25" ht="15" hidden="1" customHeight="1" x14ac:dyDescent="0.2">
      <c r="A1702" s="640" t="s">
        <v>165</v>
      </c>
      <c r="B1702" s="1036" t="str">
        <f>GLOBAL_DER_FEV_2023!B1702</f>
        <v/>
      </c>
      <c r="C1702" s="1072" t="str">
        <f>GLOBAL_DER_FEV_2023!C1702</f>
        <v/>
      </c>
      <c r="D1702" s="1141">
        <f>GLOBAL_DER_FEV_2023!D1702</f>
        <v>0</v>
      </c>
      <c r="E1702" s="907">
        <f>GLOBAL_DER_FEV_2023!E1702</f>
        <v>0</v>
      </c>
      <c r="F1702" s="908">
        <f>GLOBAL_DER_FEV_2023!F1702</f>
        <v>0</v>
      </c>
      <c r="G1702" s="912">
        <f>GLOBAL_DER_FEV_2023!G1702</f>
        <v>0</v>
      </c>
      <c r="H1702" s="901">
        <f>GLOBAL_DER_FEV_2023!H1702</f>
        <v>0</v>
      </c>
      <c r="I1702" s="901">
        <f>GLOBAL_DER_FEV_2023!I1702</f>
        <v>0</v>
      </c>
      <c r="J1702" s="890">
        <f>GLOBAL_DER_FEV_2023!J1702</f>
        <v>0</v>
      </c>
      <c r="K1702" s="903" t="str">
        <f>GLOBAL_DER_FEV_2023!K1702</f>
        <v xml:space="preserve">     </v>
      </c>
      <c r="L1702" s="1137"/>
      <c r="M1702" s="1175">
        <f t="shared" si="127"/>
        <v>0</v>
      </c>
      <c r="N1702" s="1167">
        <f t="shared" si="131"/>
        <v>0</v>
      </c>
      <c r="O1702" s="905"/>
      <c r="Q1702" s="317" t="str">
        <f t="shared" si="128"/>
        <v/>
      </c>
      <c r="R1702" s="317" t="str">
        <f t="shared" si="129"/>
        <v/>
      </c>
      <c r="S1702" s="317" t="str">
        <f t="shared" si="130"/>
        <v/>
      </c>
      <c r="T1702" s="317" t="str">
        <f>GLOBAL_DER_FEV_2023!S1702</f>
        <v/>
      </c>
      <c r="W1702" s="582">
        <v>0</v>
      </c>
      <c r="X1702" s="580"/>
      <c r="Y1702" s="583">
        <f>IF(GLOBAL_DER_FEV_2023!W1702=0,0,IF(GLOBAL_DER_FEV_2023!W1702&gt;0,"c","b"))</f>
        <v>0</v>
      </c>
    </row>
    <row r="1703" spans="1:25" ht="15" hidden="1" customHeight="1" x14ac:dyDescent="0.2">
      <c r="A1703" s="640" t="s">
        <v>165</v>
      </c>
      <c r="B1703" s="1036" t="str">
        <f>GLOBAL_DER_FEV_2023!B1703</f>
        <v/>
      </c>
      <c r="C1703" s="1072" t="str">
        <f>GLOBAL_DER_FEV_2023!C1703</f>
        <v/>
      </c>
      <c r="D1703" s="1141">
        <f>GLOBAL_DER_FEV_2023!D1703</f>
        <v>0</v>
      </c>
      <c r="E1703" s="907">
        <f>GLOBAL_DER_FEV_2023!E1703</f>
        <v>0</v>
      </c>
      <c r="F1703" s="908">
        <f>GLOBAL_DER_FEV_2023!F1703</f>
        <v>0</v>
      </c>
      <c r="G1703" s="912">
        <f>GLOBAL_DER_FEV_2023!G1703</f>
        <v>0</v>
      </c>
      <c r="H1703" s="901">
        <f>GLOBAL_DER_FEV_2023!H1703</f>
        <v>0</v>
      </c>
      <c r="I1703" s="901">
        <f>GLOBAL_DER_FEV_2023!I1703</f>
        <v>0</v>
      </c>
      <c r="J1703" s="890">
        <f>GLOBAL_DER_FEV_2023!J1703</f>
        <v>0</v>
      </c>
      <c r="K1703" s="903" t="str">
        <f>GLOBAL_DER_FEV_2023!K1703</f>
        <v xml:space="preserve">     </v>
      </c>
      <c r="L1703" s="1137"/>
      <c r="M1703" s="1175">
        <f t="shared" si="127"/>
        <v>0</v>
      </c>
      <c r="N1703" s="1167">
        <f t="shared" si="131"/>
        <v>0</v>
      </c>
      <c r="O1703" s="905"/>
      <c r="Q1703" s="317" t="str">
        <f t="shared" si="128"/>
        <v/>
      </c>
      <c r="R1703" s="317" t="str">
        <f t="shared" si="129"/>
        <v/>
      </c>
      <c r="S1703" s="317" t="str">
        <f t="shared" si="130"/>
        <v/>
      </c>
      <c r="T1703" s="317" t="str">
        <f>GLOBAL_DER_FEV_2023!S1703</f>
        <v/>
      </c>
      <c r="W1703" s="582">
        <v>0</v>
      </c>
      <c r="X1703" s="580"/>
      <c r="Y1703" s="583">
        <f>IF(GLOBAL_DER_FEV_2023!W1703=0,0,IF(GLOBAL_DER_FEV_2023!W1703&gt;0,"c","b"))</f>
        <v>0</v>
      </c>
    </row>
    <row r="1704" spans="1:25" ht="15" hidden="1" customHeight="1" x14ac:dyDescent="0.2">
      <c r="A1704" s="640" t="s">
        <v>165</v>
      </c>
      <c r="B1704" s="1036" t="str">
        <f>GLOBAL_DER_FEV_2023!B1704</f>
        <v/>
      </c>
      <c r="C1704" s="1072" t="str">
        <f>GLOBAL_DER_FEV_2023!C1704</f>
        <v/>
      </c>
      <c r="D1704" s="1141">
        <f>GLOBAL_DER_FEV_2023!D1704</f>
        <v>0</v>
      </c>
      <c r="E1704" s="907">
        <f>GLOBAL_DER_FEV_2023!E1704</f>
        <v>0</v>
      </c>
      <c r="F1704" s="908">
        <f>GLOBAL_DER_FEV_2023!F1704</f>
        <v>0</v>
      </c>
      <c r="G1704" s="912">
        <f>GLOBAL_DER_FEV_2023!G1704</f>
        <v>0</v>
      </c>
      <c r="H1704" s="901">
        <f>GLOBAL_DER_FEV_2023!H1704</f>
        <v>0</v>
      </c>
      <c r="I1704" s="901">
        <f>GLOBAL_DER_FEV_2023!I1704</f>
        <v>0</v>
      </c>
      <c r="J1704" s="890">
        <f>GLOBAL_DER_FEV_2023!J1704</f>
        <v>0</v>
      </c>
      <c r="K1704" s="903" t="str">
        <f>GLOBAL_DER_FEV_2023!K1704</f>
        <v xml:space="preserve">     </v>
      </c>
      <c r="L1704" s="1137"/>
      <c r="M1704" s="1175">
        <f t="shared" si="127"/>
        <v>0</v>
      </c>
      <c r="N1704" s="1167">
        <f t="shared" si="131"/>
        <v>0</v>
      </c>
      <c r="O1704" s="905"/>
      <c r="Q1704" s="317" t="str">
        <f t="shared" si="128"/>
        <v/>
      </c>
      <c r="R1704" s="317" t="str">
        <f t="shared" si="129"/>
        <v/>
      </c>
      <c r="S1704" s="317" t="str">
        <f t="shared" si="130"/>
        <v/>
      </c>
      <c r="T1704" s="317" t="str">
        <f>GLOBAL_DER_FEV_2023!S1704</f>
        <v/>
      </c>
      <c r="W1704" s="582">
        <v>0</v>
      </c>
      <c r="X1704" s="580"/>
      <c r="Y1704" s="583">
        <f>IF(GLOBAL_DER_FEV_2023!W1704=0,0,IF(GLOBAL_DER_FEV_2023!W1704&gt;0,"c","b"))</f>
        <v>0</v>
      </c>
    </row>
    <row r="1705" spans="1:25" ht="15" hidden="1" customHeight="1" x14ac:dyDescent="0.2">
      <c r="A1705" s="640" t="s">
        <v>165</v>
      </c>
      <c r="B1705" s="1036" t="str">
        <f>GLOBAL_DER_FEV_2023!B1705</f>
        <v/>
      </c>
      <c r="C1705" s="1072" t="str">
        <f>GLOBAL_DER_FEV_2023!C1705</f>
        <v/>
      </c>
      <c r="D1705" s="1141">
        <f>GLOBAL_DER_FEV_2023!D1705</f>
        <v>0</v>
      </c>
      <c r="E1705" s="907">
        <f>GLOBAL_DER_FEV_2023!E1705</f>
        <v>0</v>
      </c>
      <c r="F1705" s="908">
        <f>GLOBAL_DER_FEV_2023!F1705</f>
        <v>0</v>
      </c>
      <c r="G1705" s="912">
        <f>GLOBAL_DER_FEV_2023!G1705</f>
        <v>0</v>
      </c>
      <c r="H1705" s="901">
        <f>GLOBAL_DER_FEV_2023!H1705</f>
        <v>0</v>
      </c>
      <c r="I1705" s="901">
        <f>GLOBAL_DER_FEV_2023!I1705</f>
        <v>0</v>
      </c>
      <c r="J1705" s="890">
        <f>GLOBAL_DER_FEV_2023!J1705</f>
        <v>0</v>
      </c>
      <c r="K1705" s="903" t="str">
        <f>GLOBAL_DER_FEV_2023!K1705</f>
        <v xml:space="preserve">     </v>
      </c>
      <c r="L1705" s="1137"/>
      <c r="M1705" s="1175">
        <f t="shared" si="127"/>
        <v>0</v>
      </c>
      <c r="N1705" s="1167">
        <f t="shared" si="131"/>
        <v>0</v>
      </c>
      <c r="O1705" s="905"/>
      <c r="Q1705" s="317" t="str">
        <f t="shared" si="128"/>
        <v/>
      </c>
      <c r="R1705" s="317" t="str">
        <f t="shared" si="129"/>
        <v/>
      </c>
      <c r="S1705" s="317" t="str">
        <f t="shared" si="130"/>
        <v/>
      </c>
      <c r="T1705" s="317" t="str">
        <f>GLOBAL_DER_FEV_2023!S1705</f>
        <v/>
      </c>
      <c r="W1705" s="582">
        <v>0</v>
      </c>
      <c r="X1705" s="580"/>
      <c r="Y1705" s="583">
        <f>IF(GLOBAL_DER_FEV_2023!W1705=0,0,IF(GLOBAL_DER_FEV_2023!W1705&gt;0,"c","b"))</f>
        <v>0</v>
      </c>
    </row>
    <row r="1706" spans="1:25" ht="15" hidden="1" customHeight="1" x14ac:dyDescent="0.2">
      <c r="A1706" s="640" t="s">
        <v>165</v>
      </c>
      <c r="B1706" s="1036" t="str">
        <f>GLOBAL_DER_FEV_2023!B1706</f>
        <v/>
      </c>
      <c r="C1706" s="1072" t="str">
        <f>GLOBAL_DER_FEV_2023!C1706</f>
        <v/>
      </c>
      <c r="D1706" s="1141">
        <f>GLOBAL_DER_FEV_2023!D1706</f>
        <v>0</v>
      </c>
      <c r="E1706" s="907">
        <f>GLOBAL_DER_FEV_2023!E1706</f>
        <v>0</v>
      </c>
      <c r="F1706" s="908">
        <f>GLOBAL_DER_FEV_2023!F1706</f>
        <v>0</v>
      </c>
      <c r="G1706" s="912">
        <f>GLOBAL_DER_FEV_2023!G1706</f>
        <v>0</v>
      </c>
      <c r="H1706" s="901">
        <f>GLOBAL_DER_FEV_2023!H1706</f>
        <v>0</v>
      </c>
      <c r="I1706" s="901">
        <f>GLOBAL_DER_FEV_2023!I1706</f>
        <v>0</v>
      </c>
      <c r="J1706" s="890">
        <f>GLOBAL_DER_FEV_2023!J1706</f>
        <v>0</v>
      </c>
      <c r="K1706" s="903" t="str">
        <f>GLOBAL_DER_FEV_2023!K1706</f>
        <v xml:space="preserve">     </v>
      </c>
      <c r="L1706" s="1137"/>
      <c r="M1706" s="1175">
        <f t="shared" si="127"/>
        <v>0</v>
      </c>
      <c r="N1706" s="1167">
        <f t="shared" si="131"/>
        <v>0</v>
      </c>
      <c r="O1706" s="905"/>
      <c r="Q1706" s="317" t="str">
        <f t="shared" si="128"/>
        <v/>
      </c>
      <c r="R1706" s="317" t="str">
        <f t="shared" si="129"/>
        <v/>
      </c>
      <c r="S1706" s="317" t="str">
        <f t="shared" si="130"/>
        <v/>
      </c>
      <c r="T1706" s="317" t="str">
        <f>GLOBAL_DER_FEV_2023!S1706</f>
        <v/>
      </c>
      <c r="W1706" s="582">
        <v>0</v>
      </c>
      <c r="X1706" s="580"/>
      <c r="Y1706" s="583">
        <f>IF(GLOBAL_DER_FEV_2023!W1706=0,0,IF(GLOBAL_DER_FEV_2023!W1706&gt;0,"c","b"))</f>
        <v>0</v>
      </c>
    </row>
    <row r="1707" spans="1:25" ht="15" hidden="1" customHeight="1" x14ac:dyDescent="0.2">
      <c r="A1707" s="640" t="s">
        <v>165</v>
      </c>
      <c r="B1707" s="1036" t="str">
        <f>GLOBAL_DER_FEV_2023!B1707</f>
        <v/>
      </c>
      <c r="C1707" s="1072" t="str">
        <f>GLOBAL_DER_FEV_2023!C1707</f>
        <v/>
      </c>
      <c r="D1707" s="1141">
        <f>GLOBAL_DER_FEV_2023!D1707</f>
        <v>0</v>
      </c>
      <c r="E1707" s="907">
        <f>GLOBAL_DER_FEV_2023!E1707</f>
        <v>0</v>
      </c>
      <c r="F1707" s="908">
        <f>GLOBAL_DER_FEV_2023!F1707</f>
        <v>0</v>
      </c>
      <c r="G1707" s="912">
        <f>GLOBAL_DER_FEV_2023!G1707</f>
        <v>0</v>
      </c>
      <c r="H1707" s="901">
        <f>GLOBAL_DER_FEV_2023!H1707</f>
        <v>0</v>
      </c>
      <c r="I1707" s="901">
        <f>GLOBAL_DER_FEV_2023!I1707</f>
        <v>0</v>
      </c>
      <c r="J1707" s="890">
        <f>GLOBAL_DER_FEV_2023!J1707</f>
        <v>0</v>
      </c>
      <c r="K1707" s="903" t="str">
        <f>GLOBAL_DER_FEV_2023!K1707</f>
        <v xml:space="preserve">     </v>
      </c>
      <c r="L1707" s="1137"/>
      <c r="M1707" s="1175">
        <f t="shared" si="127"/>
        <v>0</v>
      </c>
      <c r="N1707" s="1167">
        <f t="shared" si="131"/>
        <v>0</v>
      </c>
      <c r="O1707" s="905"/>
      <c r="Q1707" s="317" t="str">
        <f t="shared" si="128"/>
        <v/>
      </c>
      <c r="R1707" s="317" t="str">
        <f t="shared" si="129"/>
        <v/>
      </c>
      <c r="S1707" s="317" t="str">
        <f t="shared" si="130"/>
        <v/>
      </c>
      <c r="T1707" s="317" t="str">
        <f>GLOBAL_DER_FEV_2023!S1707</f>
        <v/>
      </c>
      <c r="W1707" s="582">
        <v>0</v>
      </c>
      <c r="X1707" s="580"/>
      <c r="Y1707" s="583">
        <f>IF(GLOBAL_DER_FEV_2023!W1707=0,0,IF(GLOBAL_DER_FEV_2023!W1707&gt;0,"c","b"))</f>
        <v>0</v>
      </c>
    </row>
    <row r="1708" spans="1:25" ht="15" hidden="1" customHeight="1" x14ac:dyDescent="0.2">
      <c r="A1708" s="640" t="s">
        <v>165</v>
      </c>
      <c r="B1708" s="1036" t="str">
        <f>GLOBAL_DER_FEV_2023!B1708</f>
        <v/>
      </c>
      <c r="C1708" s="1072" t="str">
        <f>GLOBAL_DER_FEV_2023!C1708</f>
        <v/>
      </c>
      <c r="D1708" s="1141">
        <f>GLOBAL_DER_FEV_2023!D1708</f>
        <v>0</v>
      </c>
      <c r="E1708" s="907">
        <f>GLOBAL_DER_FEV_2023!E1708</f>
        <v>0</v>
      </c>
      <c r="F1708" s="908">
        <f>GLOBAL_DER_FEV_2023!F1708</f>
        <v>0</v>
      </c>
      <c r="G1708" s="912">
        <f>GLOBAL_DER_FEV_2023!G1708</f>
        <v>0</v>
      </c>
      <c r="H1708" s="901">
        <f>GLOBAL_DER_FEV_2023!H1708</f>
        <v>0</v>
      </c>
      <c r="I1708" s="901">
        <f>GLOBAL_DER_FEV_2023!I1708</f>
        <v>0</v>
      </c>
      <c r="J1708" s="890">
        <f>GLOBAL_DER_FEV_2023!J1708</f>
        <v>0</v>
      </c>
      <c r="K1708" s="903" t="str">
        <f>GLOBAL_DER_FEV_2023!K1708</f>
        <v xml:space="preserve">     </v>
      </c>
      <c r="L1708" s="1137"/>
      <c r="M1708" s="1175">
        <f t="shared" si="127"/>
        <v>0</v>
      </c>
      <c r="N1708" s="1167">
        <f t="shared" si="131"/>
        <v>0</v>
      </c>
      <c r="O1708" s="905"/>
      <c r="Q1708" s="317" t="str">
        <f t="shared" si="128"/>
        <v/>
      </c>
      <c r="R1708" s="317" t="str">
        <f t="shared" si="129"/>
        <v/>
      </c>
      <c r="S1708" s="317" t="str">
        <f t="shared" si="130"/>
        <v/>
      </c>
      <c r="T1708" s="317" t="str">
        <f>GLOBAL_DER_FEV_2023!S1708</f>
        <v/>
      </c>
      <c r="W1708" s="582">
        <v>0</v>
      </c>
      <c r="X1708" s="580"/>
      <c r="Y1708" s="583">
        <f>IF(GLOBAL_DER_FEV_2023!W1708=0,0,IF(GLOBAL_DER_FEV_2023!W1708&gt;0,"c","b"))</f>
        <v>0</v>
      </c>
    </row>
    <row r="1709" spans="1:25" ht="15" hidden="1" customHeight="1" x14ac:dyDescent="0.2">
      <c r="A1709" s="640" t="s">
        <v>165</v>
      </c>
      <c r="B1709" s="1036" t="str">
        <f>GLOBAL_DER_FEV_2023!B1709</f>
        <v/>
      </c>
      <c r="C1709" s="1072" t="str">
        <f>GLOBAL_DER_FEV_2023!C1709</f>
        <v/>
      </c>
      <c r="D1709" s="1141">
        <f>GLOBAL_DER_FEV_2023!D1709</f>
        <v>0</v>
      </c>
      <c r="E1709" s="907">
        <f>GLOBAL_DER_FEV_2023!E1709</f>
        <v>0</v>
      </c>
      <c r="F1709" s="908">
        <f>GLOBAL_DER_FEV_2023!F1709</f>
        <v>0</v>
      </c>
      <c r="G1709" s="912">
        <f>GLOBAL_DER_FEV_2023!G1709</f>
        <v>0</v>
      </c>
      <c r="H1709" s="901">
        <f>GLOBAL_DER_FEV_2023!H1709</f>
        <v>0</v>
      </c>
      <c r="I1709" s="901">
        <f>GLOBAL_DER_FEV_2023!I1709</f>
        <v>0</v>
      </c>
      <c r="J1709" s="890">
        <f>GLOBAL_DER_FEV_2023!J1709</f>
        <v>0</v>
      </c>
      <c r="K1709" s="903" t="str">
        <f>GLOBAL_DER_FEV_2023!K1709</f>
        <v xml:space="preserve">     </v>
      </c>
      <c r="L1709" s="1137"/>
      <c r="M1709" s="1175">
        <f t="shared" si="127"/>
        <v>0</v>
      </c>
      <c r="N1709" s="1167">
        <f t="shared" si="131"/>
        <v>0</v>
      </c>
      <c r="O1709" s="905"/>
      <c r="Q1709" s="317" t="str">
        <f t="shared" si="128"/>
        <v/>
      </c>
      <c r="R1709" s="317" t="str">
        <f t="shared" si="129"/>
        <v/>
      </c>
      <c r="S1709" s="317" t="str">
        <f t="shared" si="130"/>
        <v/>
      </c>
      <c r="T1709" s="317" t="str">
        <f>GLOBAL_DER_FEV_2023!S1709</f>
        <v/>
      </c>
      <c r="W1709" s="582">
        <v>0</v>
      </c>
      <c r="X1709" s="580"/>
      <c r="Y1709" s="583">
        <f>IF(GLOBAL_DER_FEV_2023!W1709=0,0,IF(GLOBAL_DER_FEV_2023!W1709&gt;0,"c","b"))</f>
        <v>0</v>
      </c>
    </row>
    <row r="1710" spans="1:25" ht="15" hidden="1" customHeight="1" x14ac:dyDescent="0.2">
      <c r="A1710" s="640" t="s">
        <v>165</v>
      </c>
      <c r="B1710" s="1036" t="str">
        <f>GLOBAL_DER_FEV_2023!B1710</f>
        <v/>
      </c>
      <c r="C1710" s="1072" t="str">
        <f>GLOBAL_DER_FEV_2023!C1710</f>
        <v/>
      </c>
      <c r="D1710" s="1141">
        <f>GLOBAL_DER_FEV_2023!D1710</f>
        <v>0</v>
      </c>
      <c r="E1710" s="907">
        <f>GLOBAL_DER_FEV_2023!E1710</f>
        <v>0</v>
      </c>
      <c r="F1710" s="908">
        <f>GLOBAL_DER_FEV_2023!F1710</f>
        <v>0</v>
      </c>
      <c r="G1710" s="912">
        <f>GLOBAL_DER_FEV_2023!G1710</f>
        <v>0</v>
      </c>
      <c r="H1710" s="901">
        <f>GLOBAL_DER_FEV_2023!H1710</f>
        <v>0</v>
      </c>
      <c r="I1710" s="901">
        <f>GLOBAL_DER_FEV_2023!I1710</f>
        <v>0</v>
      </c>
      <c r="J1710" s="890">
        <f>GLOBAL_DER_FEV_2023!J1710</f>
        <v>0</v>
      </c>
      <c r="K1710" s="903" t="str">
        <f>GLOBAL_DER_FEV_2023!K1710</f>
        <v xml:space="preserve">     </v>
      </c>
      <c r="L1710" s="1137"/>
      <c r="M1710" s="1175">
        <f t="shared" si="127"/>
        <v>0</v>
      </c>
      <c r="N1710" s="1167">
        <f t="shared" si="131"/>
        <v>0</v>
      </c>
      <c r="O1710" s="905"/>
      <c r="Q1710" s="317" t="str">
        <f t="shared" si="128"/>
        <v/>
      </c>
      <c r="R1710" s="317" t="str">
        <f t="shared" si="129"/>
        <v/>
      </c>
      <c r="S1710" s="317" t="str">
        <f t="shared" si="130"/>
        <v/>
      </c>
      <c r="T1710" s="317" t="str">
        <f>GLOBAL_DER_FEV_2023!S1710</f>
        <v/>
      </c>
      <c r="W1710" s="582">
        <v>0</v>
      </c>
      <c r="X1710" s="580"/>
      <c r="Y1710" s="583">
        <f>IF(GLOBAL_DER_FEV_2023!W1710=0,0,IF(GLOBAL_DER_FEV_2023!W1710&gt;0,"c","b"))</f>
        <v>0</v>
      </c>
    </row>
    <row r="1711" spans="1:25" ht="15" hidden="1" customHeight="1" x14ac:dyDescent="0.2">
      <c r="A1711" s="640" t="s">
        <v>165</v>
      </c>
      <c r="B1711" s="1036" t="str">
        <f>GLOBAL_DER_FEV_2023!B1711</f>
        <v/>
      </c>
      <c r="C1711" s="1072" t="str">
        <f>GLOBAL_DER_FEV_2023!C1711</f>
        <v/>
      </c>
      <c r="D1711" s="1141">
        <f>GLOBAL_DER_FEV_2023!D1711</f>
        <v>0</v>
      </c>
      <c r="E1711" s="907">
        <f>GLOBAL_DER_FEV_2023!E1711</f>
        <v>0</v>
      </c>
      <c r="F1711" s="908">
        <f>GLOBAL_DER_FEV_2023!F1711</f>
        <v>0</v>
      </c>
      <c r="G1711" s="912">
        <f>GLOBAL_DER_FEV_2023!G1711</f>
        <v>0</v>
      </c>
      <c r="H1711" s="901">
        <f>GLOBAL_DER_FEV_2023!H1711</f>
        <v>0</v>
      </c>
      <c r="I1711" s="901">
        <f>GLOBAL_DER_FEV_2023!I1711</f>
        <v>0</v>
      </c>
      <c r="J1711" s="890">
        <f>GLOBAL_DER_FEV_2023!J1711</f>
        <v>0</v>
      </c>
      <c r="K1711" s="903" t="str">
        <f>GLOBAL_DER_FEV_2023!K1711</f>
        <v xml:space="preserve">     </v>
      </c>
      <c r="L1711" s="1137"/>
      <c r="M1711" s="1175">
        <f t="shared" si="127"/>
        <v>0</v>
      </c>
      <c r="N1711" s="1167">
        <f t="shared" si="131"/>
        <v>0</v>
      </c>
      <c r="O1711" s="905"/>
      <c r="Q1711" s="317" t="str">
        <f t="shared" si="128"/>
        <v/>
      </c>
      <c r="R1711" s="317" t="str">
        <f t="shared" si="129"/>
        <v/>
      </c>
      <c r="S1711" s="317" t="str">
        <f t="shared" si="130"/>
        <v/>
      </c>
      <c r="T1711" s="317" t="str">
        <f>GLOBAL_DER_FEV_2023!S1711</f>
        <v/>
      </c>
      <c r="W1711" s="582">
        <v>0</v>
      </c>
      <c r="X1711" s="580"/>
      <c r="Y1711" s="583">
        <f>IF(GLOBAL_DER_FEV_2023!W1711=0,0,IF(GLOBAL_DER_FEV_2023!W1711&gt;0,"c","b"))</f>
        <v>0</v>
      </c>
    </row>
    <row r="1712" spans="1:25" ht="15" hidden="1" customHeight="1" x14ac:dyDescent="0.2">
      <c r="A1712" s="640" t="s">
        <v>165</v>
      </c>
      <c r="B1712" s="1036" t="str">
        <f>GLOBAL_DER_FEV_2023!B1712</f>
        <v/>
      </c>
      <c r="C1712" s="1072" t="str">
        <f>GLOBAL_DER_FEV_2023!C1712</f>
        <v/>
      </c>
      <c r="D1712" s="1141">
        <f>GLOBAL_DER_FEV_2023!D1712</f>
        <v>0</v>
      </c>
      <c r="E1712" s="907">
        <f>GLOBAL_DER_FEV_2023!E1712</f>
        <v>0</v>
      </c>
      <c r="F1712" s="908">
        <f>GLOBAL_DER_FEV_2023!F1712</f>
        <v>0</v>
      </c>
      <c r="G1712" s="912">
        <f>GLOBAL_DER_FEV_2023!G1712</f>
        <v>0</v>
      </c>
      <c r="H1712" s="901">
        <f>GLOBAL_DER_FEV_2023!H1712</f>
        <v>0</v>
      </c>
      <c r="I1712" s="901">
        <f>GLOBAL_DER_FEV_2023!I1712</f>
        <v>0</v>
      </c>
      <c r="J1712" s="890">
        <f>GLOBAL_DER_FEV_2023!J1712</f>
        <v>0</v>
      </c>
      <c r="K1712" s="903" t="str">
        <f>GLOBAL_DER_FEV_2023!K1712</f>
        <v xml:space="preserve">     </v>
      </c>
      <c r="L1712" s="1137"/>
      <c r="M1712" s="1175">
        <f t="shared" si="127"/>
        <v>0</v>
      </c>
      <c r="N1712" s="1167">
        <f t="shared" si="131"/>
        <v>0</v>
      </c>
      <c r="O1712" s="905"/>
      <c r="Q1712" s="317" t="str">
        <f t="shared" si="128"/>
        <v/>
      </c>
      <c r="R1712" s="317" t="str">
        <f t="shared" si="129"/>
        <v/>
      </c>
      <c r="S1712" s="317" t="str">
        <f t="shared" si="130"/>
        <v/>
      </c>
      <c r="T1712" s="317" t="str">
        <f>GLOBAL_DER_FEV_2023!S1712</f>
        <v/>
      </c>
      <c r="W1712" s="582">
        <v>0</v>
      </c>
      <c r="X1712" s="580"/>
      <c r="Y1712" s="583">
        <f>IF(GLOBAL_DER_FEV_2023!W1712=0,0,IF(GLOBAL_DER_FEV_2023!W1712&gt;0,"c","b"))</f>
        <v>0</v>
      </c>
    </row>
    <row r="1713" spans="1:25" ht="15" hidden="1" customHeight="1" x14ac:dyDescent="0.2">
      <c r="A1713" s="640" t="s">
        <v>165</v>
      </c>
      <c r="B1713" s="1036" t="str">
        <f>GLOBAL_DER_FEV_2023!B1713</f>
        <v/>
      </c>
      <c r="C1713" s="1072" t="str">
        <f>GLOBAL_DER_FEV_2023!C1713</f>
        <v/>
      </c>
      <c r="D1713" s="1141">
        <f>GLOBAL_DER_FEV_2023!D1713</f>
        <v>0</v>
      </c>
      <c r="E1713" s="907">
        <f>GLOBAL_DER_FEV_2023!E1713</f>
        <v>0</v>
      </c>
      <c r="F1713" s="908">
        <f>GLOBAL_DER_FEV_2023!F1713</f>
        <v>0</v>
      </c>
      <c r="G1713" s="912">
        <f>GLOBAL_DER_FEV_2023!G1713</f>
        <v>0</v>
      </c>
      <c r="H1713" s="901">
        <f>GLOBAL_DER_FEV_2023!H1713</f>
        <v>0</v>
      </c>
      <c r="I1713" s="901">
        <f>GLOBAL_DER_FEV_2023!I1713</f>
        <v>0</v>
      </c>
      <c r="J1713" s="890">
        <f>GLOBAL_DER_FEV_2023!J1713</f>
        <v>0</v>
      </c>
      <c r="K1713" s="903" t="str">
        <f>GLOBAL_DER_FEV_2023!K1713</f>
        <v xml:space="preserve">     </v>
      </c>
      <c r="L1713" s="1137"/>
      <c r="M1713" s="1175">
        <f t="shared" si="127"/>
        <v>0</v>
      </c>
      <c r="N1713" s="1167">
        <f t="shared" si="131"/>
        <v>0</v>
      </c>
      <c r="O1713" s="905"/>
      <c r="Q1713" s="317" t="str">
        <f t="shared" si="128"/>
        <v/>
      </c>
      <c r="R1713" s="317" t="str">
        <f t="shared" si="129"/>
        <v/>
      </c>
      <c r="S1713" s="317" t="str">
        <f t="shared" si="130"/>
        <v/>
      </c>
      <c r="T1713" s="317" t="str">
        <f>GLOBAL_DER_FEV_2023!S1713</f>
        <v/>
      </c>
      <c r="W1713" s="582">
        <v>0</v>
      </c>
      <c r="X1713" s="580"/>
      <c r="Y1713" s="583">
        <f>IF(GLOBAL_DER_FEV_2023!W1713=0,0,IF(GLOBAL_DER_FEV_2023!W1713&gt;0,"c","b"))</f>
        <v>0</v>
      </c>
    </row>
    <row r="1714" spans="1:25" ht="15" hidden="1" customHeight="1" x14ac:dyDescent="0.2">
      <c r="A1714" s="640" t="s">
        <v>165</v>
      </c>
      <c r="B1714" s="1036" t="str">
        <f>GLOBAL_DER_FEV_2023!B1714</f>
        <v/>
      </c>
      <c r="C1714" s="1072" t="str">
        <f>GLOBAL_DER_FEV_2023!C1714</f>
        <v/>
      </c>
      <c r="D1714" s="1141">
        <f>GLOBAL_DER_FEV_2023!D1714</f>
        <v>0</v>
      </c>
      <c r="E1714" s="907">
        <f>GLOBAL_DER_FEV_2023!E1714</f>
        <v>0</v>
      </c>
      <c r="F1714" s="908">
        <f>GLOBAL_DER_FEV_2023!F1714</f>
        <v>0</v>
      </c>
      <c r="G1714" s="912">
        <f>GLOBAL_DER_FEV_2023!G1714</f>
        <v>0</v>
      </c>
      <c r="H1714" s="901">
        <f>GLOBAL_DER_FEV_2023!H1714</f>
        <v>0</v>
      </c>
      <c r="I1714" s="901">
        <f>GLOBAL_DER_FEV_2023!I1714</f>
        <v>0</v>
      </c>
      <c r="J1714" s="890">
        <f>GLOBAL_DER_FEV_2023!J1714</f>
        <v>0</v>
      </c>
      <c r="K1714" s="903" t="str">
        <f>GLOBAL_DER_FEV_2023!K1714</f>
        <v xml:space="preserve">     </v>
      </c>
      <c r="L1714" s="1137"/>
      <c r="M1714" s="1175">
        <f t="shared" si="127"/>
        <v>0</v>
      </c>
      <c r="N1714" s="1167">
        <f t="shared" si="131"/>
        <v>0</v>
      </c>
      <c r="O1714" s="905"/>
      <c r="Q1714" s="317" t="str">
        <f t="shared" si="128"/>
        <v/>
      </c>
      <c r="R1714" s="317" t="str">
        <f t="shared" si="129"/>
        <v/>
      </c>
      <c r="S1714" s="317" t="str">
        <f t="shared" si="130"/>
        <v/>
      </c>
      <c r="T1714" s="317" t="str">
        <f>GLOBAL_DER_FEV_2023!S1714</f>
        <v/>
      </c>
      <c r="W1714" s="582">
        <v>0</v>
      </c>
      <c r="X1714" s="580"/>
      <c r="Y1714" s="583">
        <f>IF(GLOBAL_DER_FEV_2023!W1714=0,0,IF(GLOBAL_DER_FEV_2023!W1714&gt;0,"c","b"))</f>
        <v>0</v>
      </c>
    </row>
    <row r="1715" spans="1:25" ht="15" hidden="1" customHeight="1" x14ac:dyDescent="0.2">
      <c r="A1715" s="640" t="s">
        <v>165</v>
      </c>
      <c r="B1715" s="1036" t="str">
        <f>GLOBAL_DER_FEV_2023!B1715</f>
        <v/>
      </c>
      <c r="C1715" s="1072" t="str">
        <f>GLOBAL_DER_FEV_2023!C1715</f>
        <v/>
      </c>
      <c r="D1715" s="1141">
        <f>GLOBAL_DER_FEV_2023!D1715</f>
        <v>0</v>
      </c>
      <c r="E1715" s="907">
        <f>GLOBAL_DER_FEV_2023!E1715</f>
        <v>0</v>
      </c>
      <c r="F1715" s="908">
        <f>GLOBAL_DER_FEV_2023!F1715</f>
        <v>0</v>
      </c>
      <c r="G1715" s="912">
        <f>GLOBAL_DER_FEV_2023!G1715</f>
        <v>0</v>
      </c>
      <c r="H1715" s="901">
        <f>GLOBAL_DER_FEV_2023!H1715</f>
        <v>0</v>
      </c>
      <c r="I1715" s="901">
        <f>GLOBAL_DER_FEV_2023!I1715</f>
        <v>0</v>
      </c>
      <c r="J1715" s="890">
        <f>GLOBAL_DER_FEV_2023!J1715</f>
        <v>0</v>
      </c>
      <c r="K1715" s="903" t="str">
        <f>GLOBAL_DER_FEV_2023!K1715</f>
        <v xml:space="preserve">     </v>
      </c>
      <c r="L1715" s="1137"/>
      <c r="M1715" s="1175">
        <f t="shared" si="127"/>
        <v>0</v>
      </c>
      <c r="N1715" s="1167">
        <f t="shared" si="131"/>
        <v>0</v>
      </c>
      <c r="O1715" s="905"/>
      <c r="Q1715" s="317" t="str">
        <f t="shared" si="128"/>
        <v/>
      </c>
      <c r="R1715" s="317" t="str">
        <f t="shared" si="129"/>
        <v/>
      </c>
      <c r="S1715" s="317" t="str">
        <f t="shared" si="130"/>
        <v/>
      </c>
      <c r="T1715" s="317" t="str">
        <f>GLOBAL_DER_FEV_2023!S1715</f>
        <v/>
      </c>
      <c r="W1715" s="582">
        <v>0</v>
      </c>
      <c r="X1715" s="580"/>
      <c r="Y1715" s="583">
        <f>IF(GLOBAL_DER_FEV_2023!W1715=0,0,IF(GLOBAL_DER_FEV_2023!W1715&gt;0,"c","b"))</f>
        <v>0</v>
      </c>
    </row>
    <row r="1716" spans="1:25" ht="15" hidden="1" customHeight="1" x14ac:dyDescent="0.2">
      <c r="A1716" s="640" t="s">
        <v>165</v>
      </c>
      <c r="B1716" s="1036" t="str">
        <f>GLOBAL_DER_FEV_2023!B1716</f>
        <v/>
      </c>
      <c r="C1716" s="1072" t="str">
        <f>GLOBAL_DER_FEV_2023!C1716</f>
        <v/>
      </c>
      <c r="D1716" s="1141">
        <f>GLOBAL_DER_FEV_2023!D1716</f>
        <v>0</v>
      </c>
      <c r="E1716" s="907">
        <f>GLOBAL_DER_FEV_2023!E1716</f>
        <v>0</v>
      </c>
      <c r="F1716" s="908">
        <f>GLOBAL_DER_FEV_2023!F1716</f>
        <v>0</v>
      </c>
      <c r="G1716" s="912">
        <f>GLOBAL_DER_FEV_2023!G1716</f>
        <v>0</v>
      </c>
      <c r="H1716" s="901">
        <f>GLOBAL_DER_FEV_2023!H1716</f>
        <v>0</v>
      </c>
      <c r="I1716" s="901">
        <f>GLOBAL_DER_FEV_2023!I1716</f>
        <v>0</v>
      </c>
      <c r="J1716" s="890">
        <f>GLOBAL_DER_FEV_2023!J1716</f>
        <v>0</v>
      </c>
      <c r="K1716" s="903" t="str">
        <f>GLOBAL_DER_FEV_2023!K1716</f>
        <v xml:space="preserve">     </v>
      </c>
      <c r="L1716" s="1137"/>
      <c r="M1716" s="1175">
        <f t="shared" si="127"/>
        <v>0</v>
      </c>
      <c r="N1716" s="1167">
        <f t="shared" si="131"/>
        <v>0</v>
      </c>
      <c r="O1716" s="905"/>
      <c r="Q1716" s="317" t="str">
        <f t="shared" si="128"/>
        <v/>
      </c>
      <c r="R1716" s="317" t="str">
        <f t="shared" si="129"/>
        <v/>
      </c>
      <c r="S1716" s="317" t="str">
        <f t="shared" si="130"/>
        <v/>
      </c>
      <c r="T1716" s="317" t="str">
        <f>GLOBAL_DER_FEV_2023!S1716</f>
        <v/>
      </c>
      <c r="W1716" s="582">
        <v>0</v>
      </c>
      <c r="X1716" s="580"/>
      <c r="Y1716" s="583">
        <f>IF(GLOBAL_DER_FEV_2023!W1716=0,0,IF(GLOBAL_DER_FEV_2023!W1716&gt;0,"c","b"))</f>
        <v>0</v>
      </c>
    </row>
    <row r="1717" spans="1:25" ht="15" hidden="1" customHeight="1" x14ac:dyDescent="0.2">
      <c r="A1717" s="640" t="s">
        <v>165</v>
      </c>
      <c r="B1717" s="1036" t="str">
        <f>GLOBAL_DER_FEV_2023!B1717</f>
        <v/>
      </c>
      <c r="C1717" s="1072" t="str">
        <f>GLOBAL_DER_FEV_2023!C1717</f>
        <v/>
      </c>
      <c r="D1717" s="1141">
        <f>GLOBAL_DER_FEV_2023!D1717</f>
        <v>0</v>
      </c>
      <c r="E1717" s="907">
        <f>GLOBAL_DER_FEV_2023!E1717</f>
        <v>0</v>
      </c>
      <c r="F1717" s="908">
        <f>GLOBAL_DER_FEV_2023!F1717</f>
        <v>0</v>
      </c>
      <c r="G1717" s="912">
        <f>GLOBAL_DER_FEV_2023!G1717</f>
        <v>0</v>
      </c>
      <c r="H1717" s="901">
        <f>GLOBAL_DER_FEV_2023!H1717</f>
        <v>0</v>
      </c>
      <c r="I1717" s="901">
        <f>GLOBAL_DER_FEV_2023!I1717</f>
        <v>0</v>
      </c>
      <c r="J1717" s="890">
        <f>GLOBAL_DER_FEV_2023!J1717</f>
        <v>0</v>
      </c>
      <c r="K1717" s="903" t="str">
        <f>GLOBAL_DER_FEV_2023!K1717</f>
        <v xml:space="preserve">     </v>
      </c>
      <c r="L1717" s="1137"/>
      <c r="M1717" s="1175">
        <f t="shared" si="127"/>
        <v>0</v>
      </c>
      <c r="N1717" s="1167">
        <f t="shared" si="131"/>
        <v>0</v>
      </c>
      <c r="O1717" s="905"/>
      <c r="Q1717" s="317" t="str">
        <f t="shared" si="128"/>
        <v/>
      </c>
      <c r="R1717" s="317" t="str">
        <f t="shared" si="129"/>
        <v/>
      </c>
      <c r="S1717" s="317" t="str">
        <f t="shared" si="130"/>
        <v/>
      </c>
      <c r="T1717" s="317" t="str">
        <f>GLOBAL_DER_FEV_2023!S1717</f>
        <v/>
      </c>
      <c r="W1717" s="582">
        <v>0</v>
      </c>
      <c r="X1717" s="580"/>
      <c r="Y1717" s="583">
        <f>IF(GLOBAL_DER_FEV_2023!W1717=0,0,IF(GLOBAL_DER_FEV_2023!W1717&gt;0,"c","b"))</f>
        <v>0</v>
      </c>
    </row>
    <row r="1718" spans="1:25" ht="15" hidden="1" customHeight="1" x14ac:dyDescent="0.2">
      <c r="A1718" s="640" t="s">
        <v>165</v>
      </c>
      <c r="B1718" s="1036" t="str">
        <f>GLOBAL_DER_FEV_2023!B1718</f>
        <v/>
      </c>
      <c r="C1718" s="1072" t="str">
        <f>GLOBAL_DER_FEV_2023!C1718</f>
        <v/>
      </c>
      <c r="D1718" s="1141">
        <f>GLOBAL_DER_FEV_2023!D1718</f>
        <v>0</v>
      </c>
      <c r="E1718" s="907">
        <f>GLOBAL_DER_FEV_2023!E1718</f>
        <v>0</v>
      </c>
      <c r="F1718" s="908">
        <f>GLOBAL_DER_FEV_2023!F1718</f>
        <v>0</v>
      </c>
      <c r="G1718" s="912">
        <f>GLOBAL_DER_FEV_2023!G1718</f>
        <v>0</v>
      </c>
      <c r="H1718" s="901">
        <f>GLOBAL_DER_FEV_2023!H1718</f>
        <v>0</v>
      </c>
      <c r="I1718" s="901">
        <f>GLOBAL_DER_FEV_2023!I1718</f>
        <v>0</v>
      </c>
      <c r="J1718" s="890">
        <f>GLOBAL_DER_FEV_2023!J1718</f>
        <v>0</v>
      </c>
      <c r="K1718" s="903" t="str">
        <f>GLOBAL_DER_FEV_2023!K1718</f>
        <v xml:space="preserve">     </v>
      </c>
      <c r="L1718" s="1137"/>
      <c r="M1718" s="1175">
        <f t="shared" si="127"/>
        <v>0</v>
      </c>
      <c r="N1718" s="1167">
        <f t="shared" si="131"/>
        <v>0</v>
      </c>
      <c r="O1718" s="905"/>
      <c r="Q1718" s="317" t="str">
        <f t="shared" si="128"/>
        <v/>
      </c>
      <c r="R1718" s="317" t="str">
        <f t="shared" si="129"/>
        <v/>
      </c>
      <c r="S1718" s="317" t="str">
        <f t="shared" si="130"/>
        <v/>
      </c>
      <c r="T1718" s="317" t="str">
        <f>GLOBAL_DER_FEV_2023!S1718</f>
        <v/>
      </c>
      <c r="W1718" s="582">
        <v>0</v>
      </c>
      <c r="X1718" s="580"/>
      <c r="Y1718" s="583">
        <f>IF(GLOBAL_DER_FEV_2023!W1718=0,0,IF(GLOBAL_DER_FEV_2023!W1718&gt;0,"c","b"))</f>
        <v>0</v>
      </c>
    </row>
    <row r="1719" spans="1:25" ht="15" hidden="1" customHeight="1" thickBot="1" x14ac:dyDescent="0.25">
      <c r="A1719" s="640" t="s">
        <v>165</v>
      </c>
      <c r="B1719" s="1036" t="str">
        <f>GLOBAL_DER_FEV_2023!B1719</f>
        <v/>
      </c>
      <c r="C1719" s="1072" t="str">
        <f>GLOBAL_DER_FEV_2023!C1719</f>
        <v/>
      </c>
      <c r="D1719" s="1141">
        <f>GLOBAL_DER_FEV_2023!D1719</f>
        <v>0</v>
      </c>
      <c r="E1719" s="907">
        <f>GLOBAL_DER_FEV_2023!E1719</f>
        <v>0</v>
      </c>
      <c r="F1719" s="908">
        <f>GLOBAL_DER_FEV_2023!F1719</f>
        <v>0</v>
      </c>
      <c r="G1719" s="912">
        <f>GLOBAL_DER_FEV_2023!G1719</f>
        <v>0</v>
      </c>
      <c r="H1719" s="901">
        <f>GLOBAL_DER_FEV_2023!H1719</f>
        <v>0</v>
      </c>
      <c r="I1719" s="901">
        <f>GLOBAL_DER_FEV_2023!I1719</f>
        <v>0</v>
      </c>
      <c r="J1719" s="890">
        <f>GLOBAL_DER_FEV_2023!J1719</f>
        <v>0</v>
      </c>
      <c r="K1719" s="903" t="str">
        <f>GLOBAL_DER_FEV_2023!K1719</f>
        <v xml:space="preserve">     </v>
      </c>
      <c r="L1719" s="1137"/>
      <c r="M1719" s="1175">
        <f t="shared" si="127"/>
        <v>0</v>
      </c>
      <c r="N1719" s="1167">
        <f t="shared" si="131"/>
        <v>0</v>
      </c>
      <c r="O1719" s="905"/>
      <c r="Q1719" s="317" t="str">
        <f t="shared" si="128"/>
        <v/>
      </c>
      <c r="R1719" s="317" t="str">
        <f t="shared" si="129"/>
        <v/>
      </c>
      <c r="S1719" s="317" t="str">
        <f t="shared" si="130"/>
        <v/>
      </c>
      <c r="T1719" s="317" t="str">
        <f>GLOBAL_DER_FEV_2023!S1719</f>
        <v/>
      </c>
      <c r="W1719" s="582">
        <v>0</v>
      </c>
      <c r="X1719" s="580"/>
      <c r="Y1719" s="583">
        <f>IF(GLOBAL_DER_FEV_2023!W1719=0,0,IF(GLOBAL_DER_FEV_2023!W1719&gt;0,"c","b"))</f>
        <v>0</v>
      </c>
    </row>
    <row r="1720" spans="1:25" ht="15" hidden="1" customHeight="1" thickBot="1" x14ac:dyDescent="0.25">
      <c r="A1720" s="640" t="s">
        <v>165</v>
      </c>
      <c r="B1720" s="950" t="s">
        <v>441</v>
      </c>
      <c r="C1720" s="951"/>
      <c r="D1720" s="952" t="s">
        <v>431</v>
      </c>
      <c r="E1720" s="943">
        <f>GLOBAL_DER_FEV_2023!E1720</f>
        <v>0</v>
      </c>
      <c r="F1720" s="876"/>
      <c r="G1720" s="944"/>
      <c r="H1720" s="945">
        <f>GLOBAL_DER_FEV_2023!H1720</f>
        <v>0</v>
      </c>
      <c r="I1720" s="945">
        <f>GLOBAL_DER_FEV_2023!I1720</f>
        <v>0</v>
      </c>
      <c r="J1720" s="945">
        <f>GLOBAL_DER_FEV_2023!J1720</f>
        <v>0</v>
      </c>
      <c r="K1720" s="878" t="s">
        <v>507</v>
      </c>
      <c r="L1720" s="879"/>
      <c r="M1720" s="880">
        <f t="shared" si="127"/>
        <v>0</v>
      </c>
      <c r="N1720" s="881">
        <f t="shared" si="131"/>
        <v>0</v>
      </c>
      <c r="O1720" s="882">
        <f>SUM(N1721:N2499)</f>
        <v>0</v>
      </c>
      <c r="P1720" s="58" t="str">
        <f>IF(OR(O1720&gt;0,O1720&gt;0),"X","")</f>
        <v/>
      </c>
      <c r="Q1720" s="317" t="str">
        <f t="shared" si="128"/>
        <v/>
      </c>
      <c r="R1720" s="317" t="str">
        <f t="shared" si="129"/>
        <v/>
      </c>
      <c r="S1720" s="317" t="str">
        <f t="shared" si="130"/>
        <v/>
      </c>
      <c r="T1720" s="317" t="str">
        <f>GLOBAL_DER_FEV_2023!S1720</f>
        <v/>
      </c>
      <c r="W1720" s="582">
        <v>0</v>
      </c>
      <c r="X1720" s="580"/>
      <c r="Y1720" s="583">
        <f>IF(GLOBAL_DER_FEV_2023!W1720=0,0,IF(GLOBAL_DER_FEV_2023!W1720&gt;0,"c","b"))</f>
        <v>0</v>
      </c>
    </row>
    <row r="1721" spans="1:25" ht="15" hidden="1" customHeight="1" x14ac:dyDescent="0.2">
      <c r="A1721" s="317">
        <v>600000</v>
      </c>
      <c r="B1721" s="895" t="s">
        <v>1804</v>
      </c>
      <c r="C1721" s="896" t="s">
        <v>184</v>
      </c>
      <c r="D1721" s="906" t="s">
        <v>311</v>
      </c>
      <c r="E1721" s="907">
        <f>GLOBAL_DER_FEV_2023!E1721</f>
        <v>0</v>
      </c>
      <c r="F1721" s="908">
        <f>GLOBAL_DER_FEV_2023!F1721</f>
        <v>0</v>
      </c>
      <c r="G1721" s="912">
        <f>GLOBAL_DER_FEV_2023!G1721</f>
        <v>0</v>
      </c>
      <c r="H1721" s="901">
        <f>GLOBAL_DER_FEV_2023!H1721</f>
        <v>49.54</v>
      </c>
      <c r="I1721" s="901">
        <f>GLOBAL_DER_FEV_2023!I1721</f>
        <v>49.54</v>
      </c>
      <c r="J1721" s="902">
        <f>GLOBAL_DER_FEV_2023!J1721</f>
        <v>59.48</v>
      </c>
      <c r="K1721" s="903" t="s">
        <v>10</v>
      </c>
      <c r="L1721" s="1137"/>
      <c r="M1721" s="1138">
        <f t="shared" si="127"/>
        <v>0</v>
      </c>
      <c r="N1721" s="1176">
        <f t="shared" si="131"/>
        <v>0</v>
      </c>
      <c r="O1721" s="905"/>
      <c r="Q1721" s="317" t="str">
        <f t="shared" si="128"/>
        <v/>
      </c>
      <c r="R1721" s="317" t="str">
        <f t="shared" si="129"/>
        <v/>
      </c>
      <c r="S1721" s="317" t="str">
        <f t="shared" si="130"/>
        <v/>
      </c>
      <c r="T1721" s="317" t="str">
        <f>GLOBAL_DER_FEV_2023!S1721</f>
        <v/>
      </c>
      <c r="W1721" s="582">
        <v>0</v>
      </c>
      <c r="X1721" s="580"/>
      <c r="Y1721" s="583">
        <f>IF(GLOBAL_DER_FEV_2023!W1721=0,0,IF(GLOBAL_DER_FEV_2023!W1721&gt;0,"c","b"))</f>
        <v>0</v>
      </c>
    </row>
    <row r="1722" spans="1:25" ht="15" hidden="1" customHeight="1" x14ac:dyDescent="0.2">
      <c r="A1722" s="317">
        <v>600300</v>
      </c>
      <c r="B1722" s="895">
        <v>600300</v>
      </c>
      <c r="C1722" s="896" t="s">
        <v>184</v>
      </c>
      <c r="D1722" s="906" t="s">
        <v>312</v>
      </c>
      <c r="E1722" s="907">
        <f>GLOBAL_DER_FEV_2023!E1722</f>
        <v>0</v>
      </c>
      <c r="F1722" s="908">
        <f>GLOBAL_DER_FEV_2023!F1722</f>
        <v>0</v>
      </c>
      <c r="G1722" s="912">
        <f>GLOBAL_DER_FEV_2023!G1722</f>
        <v>0</v>
      </c>
      <c r="H1722" s="901">
        <f>GLOBAL_DER_FEV_2023!H1722</f>
        <v>11.83</v>
      </c>
      <c r="I1722" s="901">
        <f>GLOBAL_DER_FEV_2023!I1722</f>
        <v>11.83</v>
      </c>
      <c r="J1722" s="902">
        <f>GLOBAL_DER_FEV_2023!J1722</f>
        <v>14.2</v>
      </c>
      <c r="K1722" s="903" t="s">
        <v>10</v>
      </c>
      <c r="L1722" s="1137"/>
      <c r="M1722" s="1138">
        <f t="shared" si="127"/>
        <v>0</v>
      </c>
      <c r="N1722" s="1176">
        <f t="shared" si="131"/>
        <v>0</v>
      </c>
      <c r="O1722" s="905"/>
      <c r="Q1722" s="317" t="str">
        <f t="shared" si="128"/>
        <v/>
      </c>
      <c r="R1722" s="317" t="str">
        <f t="shared" si="129"/>
        <v/>
      </c>
      <c r="S1722" s="317" t="str">
        <f t="shared" si="130"/>
        <v/>
      </c>
      <c r="T1722" s="317" t="str">
        <f>GLOBAL_DER_FEV_2023!S1722</f>
        <v/>
      </c>
      <c r="W1722" s="582">
        <v>0</v>
      </c>
      <c r="X1722" s="580"/>
      <c r="Y1722" s="583">
        <f>IF(GLOBAL_DER_FEV_2023!W1722=0,0,IF(GLOBAL_DER_FEV_2023!W1722&gt;0,"c","b"))</f>
        <v>0</v>
      </c>
    </row>
    <row r="1723" spans="1:25" ht="15" hidden="1" customHeight="1" x14ac:dyDescent="0.2">
      <c r="A1723" s="317">
        <v>600400</v>
      </c>
      <c r="B1723" s="895">
        <v>600400</v>
      </c>
      <c r="C1723" s="896" t="s">
        <v>184</v>
      </c>
      <c r="D1723" s="906" t="s">
        <v>313</v>
      </c>
      <c r="E1723" s="907">
        <f>GLOBAL_DER_FEV_2023!E1723</f>
        <v>0</v>
      </c>
      <c r="F1723" s="908">
        <f>GLOBAL_DER_FEV_2023!F1723</f>
        <v>0</v>
      </c>
      <c r="G1723" s="912">
        <f>GLOBAL_DER_FEV_2023!G1723</f>
        <v>0</v>
      </c>
      <c r="H1723" s="901">
        <f>GLOBAL_DER_FEV_2023!H1723</f>
        <v>12.15</v>
      </c>
      <c r="I1723" s="901">
        <f>GLOBAL_DER_FEV_2023!I1723</f>
        <v>12.15</v>
      </c>
      <c r="J1723" s="902">
        <f>GLOBAL_DER_FEV_2023!J1723</f>
        <v>14.59</v>
      </c>
      <c r="K1723" s="903" t="s">
        <v>10</v>
      </c>
      <c r="L1723" s="1137"/>
      <c r="M1723" s="1138">
        <f t="shared" si="127"/>
        <v>0</v>
      </c>
      <c r="N1723" s="1176">
        <f t="shared" si="131"/>
        <v>0</v>
      </c>
      <c r="O1723" s="905"/>
      <c r="Q1723" s="317" t="str">
        <f t="shared" si="128"/>
        <v/>
      </c>
      <c r="R1723" s="317" t="str">
        <f t="shared" si="129"/>
        <v/>
      </c>
      <c r="S1723" s="317" t="str">
        <f t="shared" si="130"/>
        <v/>
      </c>
      <c r="T1723" s="317" t="str">
        <f>GLOBAL_DER_FEV_2023!S1723</f>
        <v/>
      </c>
      <c r="W1723" s="582">
        <v>0</v>
      </c>
      <c r="X1723" s="580"/>
      <c r="Y1723" s="583">
        <f>IF(GLOBAL_DER_FEV_2023!W1723=0,0,IF(GLOBAL_DER_FEV_2023!W1723&gt;0,"c","b"))</f>
        <v>0</v>
      </c>
    </row>
    <row r="1724" spans="1:25" ht="15" hidden="1" customHeight="1" x14ac:dyDescent="0.2">
      <c r="A1724" s="317">
        <v>600500</v>
      </c>
      <c r="B1724" s="895">
        <v>600500</v>
      </c>
      <c r="C1724" s="896" t="s">
        <v>184</v>
      </c>
      <c r="D1724" s="906" t="s">
        <v>314</v>
      </c>
      <c r="E1724" s="907">
        <f>GLOBAL_DER_FEV_2023!E1724</f>
        <v>0</v>
      </c>
      <c r="F1724" s="908">
        <f>GLOBAL_DER_FEV_2023!F1724</f>
        <v>0</v>
      </c>
      <c r="G1724" s="912">
        <f>GLOBAL_DER_FEV_2023!G1724</f>
        <v>0</v>
      </c>
      <c r="H1724" s="901">
        <f>GLOBAL_DER_FEV_2023!H1724</f>
        <v>123.95</v>
      </c>
      <c r="I1724" s="901">
        <f>GLOBAL_DER_FEV_2023!I1724</f>
        <v>123.95</v>
      </c>
      <c r="J1724" s="902">
        <f>GLOBAL_DER_FEV_2023!J1724</f>
        <v>148.83000000000001</v>
      </c>
      <c r="K1724" s="903" t="s">
        <v>10</v>
      </c>
      <c r="L1724" s="1137"/>
      <c r="M1724" s="1138">
        <f t="shared" si="127"/>
        <v>0</v>
      </c>
      <c r="N1724" s="1176">
        <f t="shared" si="131"/>
        <v>0</v>
      </c>
      <c r="O1724" s="905"/>
      <c r="Q1724" s="317" t="str">
        <f t="shared" si="128"/>
        <v/>
      </c>
      <c r="R1724" s="317" t="str">
        <f t="shared" si="129"/>
        <v/>
      </c>
      <c r="S1724" s="317" t="str">
        <f t="shared" si="130"/>
        <v/>
      </c>
      <c r="T1724" s="317" t="str">
        <f>GLOBAL_DER_FEV_2023!S1724</f>
        <v/>
      </c>
      <c r="W1724" s="582">
        <v>0</v>
      </c>
      <c r="X1724" s="580"/>
      <c r="Y1724" s="583">
        <f>IF(GLOBAL_DER_FEV_2023!W1724=0,0,IF(GLOBAL_DER_FEV_2023!W1724&gt;0,"c","b"))</f>
        <v>0</v>
      </c>
    </row>
    <row r="1725" spans="1:25" ht="15" hidden="1" customHeight="1" x14ac:dyDescent="0.2">
      <c r="A1725" s="317">
        <v>600310</v>
      </c>
      <c r="B1725" s="895" t="s">
        <v>1712</v>
      </c>
      <c r="C1725" s="896" t="s">
        <v>184</v>
      </c>
      <c r="D1725" s="897" t="s">
        <v>442</v>
      </c>
      <c r="E1725" s="898">
        <f>GLOBAL_DER_FEV_2023!E1725</f>
        <v>0</v>
      </c>
      <c r="F1725" s="899">
        <f>GLOBAL_DER_FEV_2023!F1725</f>
        <v>0</v>
      </c>
      <c r="G1725" s="900">
        <f>GLOBAL_DER_FEV_2023!G1725</f>
        <v>0</v>
      </c>
      <c r="H1725" s="901">
        <f>GLOBAL_DER_FEV_2023!H1725</f>
        <v>142.88</v>
      </c>
      <c r="I1725" s="901">
        <f>GLOBAL_DER_FEV_2023!I1725</f>
        <v>142.88</v>
      </c>
      <c r="J1725" s="902">
        <f>GLOBAL_DER_FEV_2023!J1725</f>
        <v>171.56</v>
      </c>
      <c r="K1725" s="903" t="s">
        <v>15</v>
      </c>
      <c r="L1725" s="1137"/>
      <c r="M1725" s="1138">
        <f t="shared" si="127"/>
        <v>0</v>
      </c>
      <c r="N1725" s="1176">
        <f t="shared" si="131"/>
        <v>0</v>
      </c>
      <c r="O1725" s="905"/>
      <c r="Q1725" s="317" t="str">
        <f t="shared" si="128"/>
        <v/>
      </c>
      <c r="R1725" s="317" t="str">
        <f t="shared" si="129"/>
        <v/>
      </c>
      <c r="S1725" s="317" t="str">
        <f t="shared" si="130"/>
        <v/>
      </c>
      <c r="T1725" s="317" t="str">
        <f>GLOBAL_DER_FEV_2023!S1725</f>
        <v/>
      </c>
      <c r="W1725" s="582">
        <v>0</v>
      </c>
      <c r="X1725" s="580"/>
      <c r="Y1725" s="583">
        <f>IF(GLOBAL_DER_FEV_2023!W1725=0,0,IF(GLOBAL_DER_FEV_2023!W1725&gt;0,"c","b"))</f>
        <v>0</v>
      </c>
    </row>
    <row r="1726" spans="1:25" ht="15" hidden="1" customHeight="1" x14ac:dyDescent="0.2">
      <c r="A1726" s="317">
        <v>633000</v>
      </c>
      <c r="B1726" s="895" t="s">
        <v>1806</v>
      </c>
      <c r="C1726" s="896" t="s">
        <v>184</v>
      </c>
      <c r="D1726" s="897" t="s">
        <v>518</v>
      </c>
      <c r="E1726" s="898">
        <f>GLOBAL_DER_FEV_2023!E1726</f>
        <v>0</v>
      </c>
      <c r="F1726" s="899">
        <f>GLOBAL_DER_FEV_2023!F1726</f>
        <v>0</v>
      </c>
      <c r="G1726" s="900">
        <f>GLOBAL_DER_FEV_2023!G1726</f>
        <v>0</v>
      </c>
      <c r="H1726" s="901">
        <f>GLOBAL_DER_FEV_2023!H1726</f>
        <v>82.58</v>
      </c>
      <c r="I1726" s="901">
        <f>GLOBAL_DER_FEV_2023!I1726</f>
        <v>82.58</v>
      </c>
      <c r="J1726" s="902">
        <f>GLOBAL_DER_FEV_2023!J1726</f>
        <v>99.15</v>
      </c>
      <c r="K1726" s="903" t="s">
        <v>13</v>
      </c>
      <c r="L1726" s="1137"/>
      <c r="M1726" s="1138">
        <f t="shared" si="127"/>
        <v>0</v>
      </c>
      <c r="N1726" s="1176">
        <f t="shared" si="131"/>
        <v>0</v>
      </c>
      <c r="O1726" s="905"/>
      <c r="Q1726" s="317" t="str">
        <f t="shared" si="128"/>
        <v/>
      </c>
      <c r="R1726" s="317" t="str">
        <f t="shared" si="129"/>
        <v/>
      </c>
      <c r="S1726" s="317" t="str">
        <f t="shared" si="130"/>
        <v/>
      </c>
      <c r="T1726" s="317" t="str">
        <f>GLOBAL_DER_FEV_2023!S1726</f>
        <v/>
      </c>
      <c r="W1726" s="582">
        <v>0</v>
      </c>
      <c r="X1726" s="580"/>
      <c r="Y1726" s="583">
        <f>IF(GLOBAL_DER_FEV_2023!W1726=0,0,IF(GLOBAL_DER_FEV_2023!W1726&gt;0,"c","b"))</f>
        <v>0</v>
      </c>
    </row>
    <row r="1727" spans="1:25" ht="15" hidden="1" customHeight="1" x14ac:dyDescent="0.2">
      <c r="A1727" s="317">
        <v>633100</v>
      </c>
      <c r="B1727" s="895" t="s">
        <v>1809</v>
      </c>
      <c r="C1727" s="896" t="s">
        <v>184</v>
      </c>
      <c r="D1727" s="897" t="s">
        <v>519</v>
      </c>
      <c r="E1727" s="898">
        <f>GLOBAL_DER_FEV_2023!E1727</f>
        <v>0</v>
      </c>
      <c r="F1727" s="899">
        <f>GLOBAL_DER_FEV_2023!F1727</f>
        <v>0</v>
      </c>
      <c r="G1727" s="900">
        <f>GLOBAL_DER_FEV_2023!G1727</f>
        <v>0</v>
      </c>
      <c r="H1727" s="901">
        <f>GLOBAL_DER_FEV_2023!H1727</f>
        <v>165.16</v>
      </c>
      <c r="I1727" s="901">
        <f>GLOBAL_DER_FEV_2023!I1727</f>
        <v>165.16</v>
      </c>
      <c r="J1727" s="902">
        <f>GLOBAL_DER_FEV_2023!J1727</f>
        <v>198.31</v>
      </c>
      <c r="K1727" s="903" t="s">
        <v>13</v>
      </c>
      <c r="L1727" s="1137"/>
      <c r="M1727" s="1138">
        <f t="shared" si="127"/>
        <v>0</v>
      </c>
      <c r="N1727" s="1176">
        <f t="shared" si="131"/>
        <v>0</v>
      </c>
      <c r="O1727" s="905"/>
      <c r="Q1727" s="317" t="str">
        <f t="shared" si="128"/>
        <v/>
      </c>
      <c r="R1727" s="317" t="str">
        <f t="shared" si="129"/>
        <v/>
      </c>
      <c r="S1727" s="317" t="str">
        <f t="shared" si="130"/>
        <v/>
      </c>
      <c r="T1727" s="317" t="str">
        <f>GLOBAL_DER_FEV_2023!S1727</f>
        <v/>
      </c>
      <c r="W1727" s="582">
        <v>0</v>
      </c>
      <c r="X1727" s="580"/>
      <c r="Y1727" s="583">
        <f>IF(GLOBAL_DER_FEV_2023!W1727=0,0,IF(GLOBAL_DER_FEV_2023!W1727&gt;0,"c","b"))</f>
        <v>0</v>
      </c>
    </row>
    <row r="1728" spans="1:25" ht="15" hidden="1" customHeight="1" x14ac:dyDescent="0.2">
      <c r="A1728" s="317">
        <v>633200</v>
      </c>
      <c r="B1728" s="895" t="s">
        <v>1810</v>
      </c>
      <c r="C1728" s="896" t="s">
        <v>184</v>
      </c>
      <c r="D1728" s="897" t="s">
        <v>520</v>
      </c>
      <c r="E1728" s="898">
        <f>GLOBAL_DER_FEV_2023!E1728</f>
        <v>0</v>
      </c>
      <c r="F1728" s="899">
        <f>GLOBAL_DER_FEV_2023!F1728</f>
        <v>0</v>
      </c>
      <c r="G1728" s="900">
        <f>GLOBAL_DER_FEV_2023!G1728</f>
        <v>0</v>
      </c>
      <c r="H1728" s="901">
        <f>GLOBAL_DER_FEV_2023!H1728</f>
        <v>247.74</v>
      </c>
      <c r="I1728" s="901">
        <f>GLOBAL_DER_FEV_2023!I1728</f>
        <v>247.74</v>
      </c>
      <c r="J1728" s="902">
        <f>GLOBAL_DER_FEV_2023!J1728</f>
        <v>297.45999999999998</v>
      </c>
      <c r="K1728" s="903" t="s">
        <v>13</v>
      </c>
      <c r="L1728" s="1137"/>
      <c r="M1728" s="1138">
        <f t="shared" si="127"/>
        <v>0</v>
      </c>
      <c r="N1728" s="1176">
        <f t="shared" si="131"/>
        <v>0</v>
      </c>
      <c r="O1728" s="905"/>
      <c r="Q1728" s="317" t="str">
        <f t="shared" si="128"/>
        <v/>
      </c>
      <c r="R1728" s="317" t="str">
        <f t="shared" si="129"/>
        <v/>
      </c>
      <c r="S1728" s="317" t="str">
        <f t="shared" si="130"/>
        <v/>
      </c>
      <c r="T1728" s="317" t="str">
        <f>GLOBAL_DER_FEV_2023!S1728</f>
        <v/>
      </c>
      <c r="W1728" s="582">
        <v>0</v>
      </c>
      <c r="X1728" s="580"/>
      <c r="Y1728" s="583">
        <f>IF(GLOBAL_DER_FEV_2023!W1728=0,0,IF(GLOBAL_DER_FEV_2023!W1728&gt;0,"c","b"))</f>
        <v>0</v>
      </c>
    </row>
    <row r="1729" spans="1:25" ht="15" hidden="1" customHeight="1" x14ac:dyDescent="0.2">
      <c r="A1729" s="317">
        <v>630300</v>
      </c>
      <c r="B1729" s="895">
        <v>630300</v>
      </c>
      <c r="C1729" s="896" t="s">
        <v>184</v>
      </c>
      <c r="D1729" s="906" t="s">
        <v>315</v>
      </c>
      <c r="E1729" s="907">
        <f>GLOBAL_DER_FEV_2023!E1729</f>
        <v>0</v>
      </c>
      <c r="F1729" s="908">
        <f>GLOBAL_DER_FEV_2023!F1729</f>
        <v>0</v>
      </c>
      <c r="G1729" s="900">
        <f>GLOBAL_DER_FEV_2023!G1729</f>
        <v>0</v>
      </c>
      <c r="H1729" s="901">
        <f>GLOBAL_DER_FEV_2023!H1729</f>
        <v>15.85</v>
      </c>
      <c r="I1729" s="901">
        <f>GLOBAL_DER_FEV_2023!I1729</f>
        <v>15.85</v>
      </c>
      <c r="J1729" s="902">
        <f>GLOBAL_DER_FEV_2023!J1729</f>
        <v>19.03</v>
      </c>
      <c r="K1729" s="903" t="s">
        <v>13</v>
      </c>
      <c r="L1729" s="1137"/>
      <c r="M1729" s="1138">
        <f t="shared" si="127"/>
        <v>0</v>
      </c>
      <c r="N1729" s="1176">
        <f t="shared" si="131"/>
        <v>0</v>
      </c>
      <c r="O1729" s="905"/>
      <c r="Q1729" s="317" t="str">
        <f t="shared" si="128"/>
        <v/>
      </c>
      <c r="R1729" s="317" t="str">
        <f t="shared" si="129"/>
        <v/>
      </c>
      <c r="S1729" s="317" t="str">
        <f t="shared" si="130"/>
        <v/>
      </c>
      <c r="T1729" s="317" t="str">
        <f>GLOBAL_DER_FEV_2023!S1729</f>
        <v/>
      </c>
      <c r="W1729" s="582">
        <v>0</v>
      </c>
      <c r="X1729" s="580"/>
      <c r="Y1729" s="583">
        <f>IF(GLOBAL_DER_FEV_2023!W1729=0,0,IF(GLOBAL_DER_FEV_2023!W1729&gt;0,"c","b"))</f>
        <v>0</v>
      </c>
    </row>
    <row r="1730" spans="1:25" ht="15" hidden="1" customHeight="1" x14ac:dyDescent="0.2">
      <c r="A1730" s="317">
        <v>630400</v>
      </c>
      <c r="B1730" s="895">
        <v>630400</v>
      </c>
      <c r="C1730" s="896" t="s">
        <v>184</v>
      </c>
      <c r="D1730" s="957" t="s">
        <v>316</v>
      </c>
      <c r="E1730" s="907">
        <f>GLOBAL_DER_FEV_2023!E1730</f>
        <v>0</v>
      </c>
      <c r="F1730" s="908">
        <f>GLOBAL_DER_FEV_2023!F1730</f>
        <v>0</v>
      </c>
      <c r="G1730" s="900">
        <f>GLOBAL_DER_FEV_2023!G1730</f>
        <v>0</v>
      </c>
      <c r="H1730" s="901">
        <f>GLOBAL_DER_FEV_2023!H1730</f>
        <v>19.809999999999999</v>
      </c>
      <c r="I1730" s="901">
        <f>GLOBAL_DER_FEV_2023!I1730</f>
        <v>19.809999999999999</v>
      </c>
      <c r="J1730" s="902">
        <f>GLOBAL_DER_FEV_2023!J1730</f>
        <v>23.79</v>
      </c>
      <c r="K1730" s="903" t="s">
        <v>13</v>
      </c>
      <c r="L1730" s="1137"/>
      <c r="M1730" s="1138">
        <f t="shared" si="127"/>
        <v>0</v>
      </c>
      <c r="N1730" s="1176">
        <f t="shared" si="131"/>
        <v>0</v>
      </c>
      <c r="O1730" s="905"/>
      <c r="Q1730" s="317" t="str">
        <f t="shared" si="128"/>
        <v/>
      </c>
      <c r="R1730" s="317" t="str">
        <f t="shared" si="129"/>
        <v/>
      </c>
      <c r="S1730" s="317" t="str">
        <f t="shared" si="130"/>
        <v/>
      </c>
      <c r="T1730" s="317" t="str">
        <f>GLOBAL_DER_FEV_2023!S1730</f>
        <v/>
      </c>
      <c r="W1730" s="582">
        <v>0</v>
      </c>
      <c r="X1730" s="580"/>
      <c r="Y1730" s="583">
        <f>IF(GLOBAL_DER_FEV_2023!W1730=0,0,IF(GLOBAL_DER_FEV_2023!W1730&gt;0,"c","b"))</f>
        <v>0</v>
      </c>
    </row>
    <row r="1731" spans="1:25" ht="15" hidden="1" customHeight="1" x14ac:dyDescent="0.2">
      <c r="A1731" s="317">
        <v>630500</v>
      </c>
      <c r="B1731" s="895">
        <v>630500</v>
      </c>
      <c r="C1731" s="896" t="s">
        <v>184</v>
      </c>
      <c r="D1731" s="957" t="s">
        <v>317</v>
      </c>
      <c r="E1731" s="907">
        <f>GLOBAL_DER_FEV_2023!E1731</f>
        <v>0</v>
      </c>
      <c r="F1731" s="908">
        <f>GLOBAL_DER_FEV_2023!F1731</f>
        <v>0</v>
      </c>
      <c r="G1731" s="912">
        <f>GLOBAL_DER_FEV_2023!G1731</f>
        <v>0</v>
      </c>
      <c r="H1731" s="901">
        <f>GLOBAL_DER_FEV_2023!H1731</f>
        <v>21.61</v>
      </c>
      <c r="I1731" s="901">
        <f>GLOBAL_DER_FEV_2023!I1731</f>
        <v>21.61</v>
      </c>
      <c r="J1731" s="902">
        <f>GLOBAL_DER_FEV_2023!J1731</f>
        <v>25.95</v>
      </c>
      <c r="K1731" s="903" t="s">
        <v>13</v>
      </c>
      <c r="L1731" s="1137"/>
      <c r="M1731" s="1138">
        <f t="shared" si="127"/>
        <v>0</v>
      </c>
      <c r="N1731" s="1176">
        <f t="shared" si="131"/>
        <v>0</v>
      </c>
      <c r="O1731" s="905"/>
      <c r="Q1731" s="317" t="str">
        <f t="shared" si="128"/>
        <v/>
      </c>
      <c r="R1731" s="317" t="str">
        <f t="shared" si="129"/>
        <v/>
      </c>
      <c r="S1731" s="317" t="str">
        <f t="shared" si="130"/>
        <v/>
      </c>
      <c r="T1731" s="317" t="str">
        <f>GLOBAL_DER_FEV_2023!S1731</f>
        <v/>
      </c>
      <c r="W1731" s="582">
        <v>0</v>
      </c>
      <c r="X1731" s="580"/>
      <c r="Y1731" s="583">
        <f>IF(GLOBAL_DER_FEV_2023!W1731=0,0,IF(GLOBAL_DER_FEV_2023!W1731&gt;0,"c","b"))</f>
        <v>0</v>
      </c>
    </row>
    <row r="1732" spans="1:25" ht="15" hidden="1" customHeight="1" x14ac:dyDescent="0.2">
      <c r="A1732" s="317">
        <v>630600</v>
      </c>
      <c r="B1732" s="895">
        <v>630600</v>
      </c>
      <c r="C1732" s="896" t="s">
        <v>184</v>
      </c>
      <c r="D1732" s="957" t="s">
        <v>318</v>
      </c>
      <c r="E1732" s="907">
        <f>GLOBAL_DER_FEV_2023!E1732</f>
        <v>0</v>
      </c>
      <c r="F1732" s="908">
        <f>GLOBAL_DER_FEV_2023!F1732</f>
        <v>0</v>
      </c>
      <c r="G1732" s="912">
        <f>GLOBAL_DER_FEV_2023!G1732</f>
        <v>0</v>
      </c>
      <c r="H1732" s="901">
        <f>GLOBAL_DER_FEV_2023!H1732</f>
        <v>23.77</v>
      </c>
      <c r="I1732" s="901">
        <f>GLOBAL_DER_FEV_2023!I1732</f>
        <v>23.77</v>
      </c>
      <c r="J1732" s="902">
        <f>GLOBAL_DER_FEV_2023!J1732</f>
        <v>28.54</v>
      </c>
      <c r="K1732" s="903" t="s">
        <v>13</v>
      </c>
      <c r="L1732" s="1137"/>
      <c r="M1732" s="1138">
        <f t="shared" si="127"/>
        <v>0</v>
      </c>
      <c r="N1732" s="1176">
        <f t="shared" si="131"/>
        <v>0</v>
      </c>
      <c r="O1732" s="905"/>
      <c r="Q1732" s="317" t="str">
        <f t="shared" si="128"/>
        <v/>
      </c>
      <c r="R1732" s="317" t="str">
        <f t="shared" si="129"/>
        <v/>
      </c>
      <c r="S1732" s="317" t="str">
        <f t="shared" si="130"/>
        <v/>
      </c>
      <c r="T1732" s="317" t="str">
        <f>GLOBAL_DER_FEV_2023!S1732</f>
        <v/>
      </c>
      <c r="W1732" s="582">
        <v>0</v>
      </c>
      <c r="X1732" s="580"/>
      <c r="Y1732" s="583">
        <f>IF(GLOBAL_DER_FEV_2023!W1732=0,0,IF(GLOBAL_DER_FEV_2023!W1732&gt;0,"c","b"))</f>
        <v>0</v>
      </c>
    </row>
    <row r="1733" spans="1:25" ht="15" hidden="1" customHeight="1" x14ac:dyDescent="0.2">
      <c r="A1733" s="317">
        <v>630800</v>
      </c>
      <c r="B1733" s="895">
        <v>630800</v>
      </c>
      <c r="C1733" s="896" t="s">
        <v>184</v>
      </c>
      <c r="D1733" s="906" t="s">
        <v>319</v>
      </c>
      <c r="E1733" s="907">
        <f>GLOBAL_DER_FEV_2023!E1733</f>
        <v>0</v>
      </c>
      <c r="F1733" s="908">
        <f>GLOBAL_DER_FEV_2023!F1733</f>
        <v>0</v>
      </c>
      <c r="G1733" s="912">
        <f>GLOBAL_DER_FEV_2023!G1733</f>
        <v>0</v>
      </c>
      <c r="H1733" s="901">
        <f>GLOBAL_DER_FEV_2023!H1733</f>
        <v>47.55</v>
      </c>
      <c r="I1733" s="901">
        <f>GLOBAL_DER_FEV_2023!I1733</f>
        <v>47.55</v>
      </c>
      <c r="J1733" s="902">
        <f>GLOBAL_DER_FEV_2023!J1733</f>
        <v>57.09</v>
      </c>
      <c r="K1733" s="903" t="s">
        <v>13</v>
      </c>
      <c r="L1733" s="1137"/>
      <c r="M1733" s="1138">
        <f t="shared" si="127"/>
        <v>0</v>
      </c>
      <c r="N1733" s="1176">
        <f t="shared" si="131"/>
        <v>0</v>
      </c>
      <c r="O1733" s="905"/>
      <c r="Q1733" s="317" t="str">
        <f t="shared" si="128"/>
        <v/>
      </c>
      <c r="R1733" s="317" t="str">
        <f t="shared" si="129"/>
        <v/>
      </c>
      <c r="S1733" s="317" t="str">
        <f t="shared" si="130"/>
        <v/>
      </c>
      <c r="T1733" s="317" t="str">
        <f>GLOBAL_DER_FEV_2023!S1733</f>
        <v/>
      </c>
      <c r="W1733" s="582">
        <v>0</v>
      </c>
      <c r="X1733" s="580"/>
      <c r="Y1733" s="583">
        <f>IF(GLOBAL_DER_FEV_2023!W1733=0,0,IF(GLOBAL_DER_FEV_2023!W1733&gt;0,"c","b"))</f>
        <v>0</v>
      </c>
    </row>
    <row r="1734" spans="1:25" ht="15" hidden="1" customHeight="1" x14ac:dyDescent="0.2">
      <c r="A1734" s="317">
        <v>631000</v>
      </c>
      <c r="B1734" s="895">
        <v>631000</v>
      </c>
      <c r="C1734" s="896" t="s">
        <v>184</v>
      </c>
      <c r="D1734" s="906" t="s">
        <v>320</v>
      </c>
      <c r="E1734" s="907">
        <f>GLOBAL_DER_FEV_2023!E1734</f>
        <v>0</v>
      </c>
      <c r="F1734" s="908">
        <f>GLOBAL_DER_FEV_2023!F1734</f>
        <v>0</v>
      </c>
      <c r="G1734" s="912">
        <f>GLOBAL_DER_FEV_2023!G1734</f>
        <v>0</v>
      </c>
      <c r="H1734" s="901">
        <f>GLOBAL_DER_FEV_2023!H1734</f>
        <v>47.7</v>
      </c>
      <c r="I1734" s="901">
        <f>GLOBAL_DER_FEV_2023!I1734</f>
        <v>47.7</v>
      </c>
      <c r="J1734" s="902">
        <f>GLOBAL_DER_FEV_2023!J1734</f>
        <v>57.27</v>
      </c>
      <c r="K1734" s="903" t="s">
        <v>13</v>
      </c>
      <c r="L1734" s="1137"/>
      <c r="M1734" s="1138">
        <f t="shared" si="127"/>
        <v>0</v>
      </c>
      <c r="N1734" s="1176">
        <f t="shared" si="131"/>
        <v>0</v>
      </c>
      <c r="O1734" s="905"/>
      <c r="Q1734" s="317" t="str">
        <f t="shared" si="128"/>
        <v/>
      </c>
      <c r="R1734" s="317" t="str">
        <f t="shared" si="129"/>
        <v/>
      </c>
      <c r="S1734" s="317" t="str">
        <f t="shared" si="130"/>
        <v/>
      </c>
      <c r="T1734" s="317" t="str">
        <f>GLOBAL_DER_FEV_2023!S1734</f>
        <v/>
      </c>
      <c r="W1734" s="582">
        <v>0</v>
      </c>
      <c r="X1734" s="580"/>
      <c r="Y1734" s="583">
        <f>IF(GLOBAL_DER_FEV_2023!W1734=0,0,IF(GLOBAL_DER_FEV_2023!W1734&gt;0,"c","b"))</f>
        <v>0</v>
      </c>
    </row>
    <row r="1735" spans="1:25" ht="15" hidden="1" customHeight="1" x14ac:dyDescent="0.2">
      <c r="A1735" s="317">
        <v>631200</v>
      </c>
      <c r="B1735" s="895">
        <v>631200</v>
      </c>
      <c r="C1735" s="896" t="s">
        <v>184</v>
      </c>
      <c r="D1735" s="906" t="s">
        <v>321</v>
      </c>
      <c r="E1735" s="907">
        <f>GLOBAL_DER_FEV_2023!E1735</f>
        <v>0</v>
      </c>
      <c r="F1735" s="908">
        <f>GLOBAL_DER_FEV_2023!F1735</f>
        <v>0</v>
      </c>
      <c r="G1735" s="912">
        <f>GLOBAL_DER_FEV_2023!G1735</f>
        <v>0</v>
      </c>
      <c r="H1735" s="901">
        <f>GLOBAL_DER_FEV_2023!H1735</f>
        <v>57.25</v>
      </c>
      <c r="I1735" s="901">
        <f>GLOBAL_DER_FEV_2023!I1735</f>
        <v>57.25</v>
      </c>
      <c r="J1735" s="902">
        <f>GLOBAL_DER_FEV_2023!J1735</f>
        <v>68.739999999999995</v>
      </c>
      <c r="K1735" s="903" t="s">
        <v>13</v>
      </c>
      <c r="L1735" s="1137"/>
      <c r="M1735" s="1138">
        <f t="shared" si="127"/>
        <v>0</v>
      </c>
      <c r="N1735" s="1176">
        <f t="shared" si="131"/>
        <v>0</v>
      </c>
      <c r="O1735" s="905"/>
      <c r="Q1735" s="317" t="str">
        <f t="shared" si="128"/>
        <v/>
      </c>
      <c r="R1735" s="317" t="str">
        <f t="shared" si="129"/>
        <v/>
      </c>
      <c r="S1735" s="317" t="str">
        <f t="shared" si="130"/>
        <v/>
      </c>
      <c r="T1735" s="317" t="str">
        <f>GLOBAL_DER_FEV_2023!S1735</f>
        <v/>
      </c>
      <c r="W1735" s="582">
        <v>0</v>
      </c>
      <c r="X1735" s="580"/>
      <c r="Y1735" s="583">
        <f>IF(GLOBAL_DER_FEV_2023!W1735=0,0,IF(GLOBAL_DER_FEV_2023!W1735&gt;0,"c","b"))</f>
        <v>0</v>
      </c>
    </row>
    <row r="1736" spans="1:25" ht="15" hidden="1" customHeight="1" x14ac:dyDescent="0.2">
      <c r="A1736" s="317">
        <v>631500</v>
      </c>
      <c r="B1736" s="895">
        <v>631500</v>
      </c>
      <c r="C1736" s="896" t="s">
        <v>184</v>
      </c>
      <c r="D1736" s="906" t="s">
        <v>322</v>
      </c>
      <c r="E1736" s="907">
        <f>GLOBAL_DER_FEV_2023!E1736</f>
        <v>0</v>
      </c>
      <c r="F1736" s="908">
        <f>GLOBAL_DER_FEV_2023!F1736</f>
        <v>0</v>
      </c>
      <c r="G1736" s="912">
        <f>GLOBAL_DER_FEV_2023!G1736</f>
        <v>0</v>
      </c>
      <c r="H1736" s="901">
        <f>GLOBAL_DER_FEV_2023!H1736</f>
        <v>71.56</v>
      </c>
      <c r="I1736" s="901">
        <f>GLOBAL_DER_FEV_2023!I1736</f>
        <v>71.56</v>
      </c>
      <c r="J1736" s="902">
        <f>GLOBAL_DER_FEV_2023!J1736</f>
        <v>85.92</v>
      </c>
      <c r="K1736" s="903" t="s">
        <v>13</v>
      </c>
      <c r="L1736" s="1137"/>
      <c r="M1736" s="1138">
        <f t="shared" si="127"/>
        <v>0</v>
      </c>
      <c r="N1736" s="1176">
        <f t="shared" si="131"/>
        <v>0</v>
      </c>
      <c r="O1736" s="905"/>
      <c r="Q1736" s="317" t="str">
        <f t="shared" si="128"/>
        <v/>
      </c>
      <c r="R1736" s="317" t="str">
        <f t="shared" si="129"/>
        <v/>
      </c>
      <c r="S1736" s="317" t="str">
        <f t="shared" si="130"/>
        <v/>
      </c>
      <c r="T1736" s="317" t="str">
        <f>GLOBAL_DER_FEV_2023!S1736</f>
        <v/>
      </c>
      <c r="W1736" s="582">
        <v>0</v>
      </c>
      <c r="X1736" s="580"/>
      <c r="Y1736" s="583">
        <f>IF(GLOBAL_DER_FEV_2023!W1736=0,0,IF(GLOBAL_DER_FEV_2023!W1736&gt;0,"c","b"))</f>
        <v>0</v>
      </c>
    </row>
    <row r="1737" spans="1:25" ht="15" hidden="1" customHeight="1" x14ac:dyDescent="0.2">
      <c r="A1737" s="317">
        <v>860200</v>
      </c>
      <c r="B1737" s="895">
        <v>860200</v>
      </c>
      <c r="C1737" s="896" t="s">
        <v>184</v>
      </c>
      <c r="D1737" s="906" t="s">
        <v>817</v>
      </c>
      <c r="E1737" s="907">
        <f>GLOBAL_DER_FEV_2023!E1737</f>
        <v>0</v>
      </c>
      <c r="F1737" s="908">
        <f>GLOBAL_DER_FEV_2023!F1737</f>
        <v>0</v>
      </c>
      <c r="G1737" s="912">
        <f>GLOBAL_DER_FEV_2023!G1737</f>
        <v>5.2482090000000001</v>
      </c>
      <c r="H1737" s="901">
        <f>GLOBAL_DER_FEV_2023!H1737</f>
        <v>858.72</v>
      </c>
      <c r="I1737" s="901">
        <f>GLOBAL_DER_FEV_2023!I1737</f>
        <v>863.968209</v>
      </c>
      <c r="J1737" s="902">
        <f>GLOBAL_DER_FEV_2023!J1737</f>
        <v>1037.3699999999999</v>
      </c>
      <c r="K1737" s="903" t="s">
        <v>10</v>
      </c>
      <c r="L1737" s="1137"/>
      <c r="M1737" s="1138">
        <f t="shared" si="127"/>
        <v>0</v>
      </c>
      <c r="N1737" s="1176">
        <f t="shared" si="131"/>
        <v>0</v>
      </c>
      <c r="O1737" s="905"/>
      <c r="Q1737" s="317" t="str">
        <f t="shared" si="128"/>
        <v/>
      </c>
      <c r="R1737" s="317" t="str">
        <f t="shared" si="129"/>
        <v/>
      </c>
      <c r="S1737" s="317" t="str">
        <f t="shared" si="130"/>
        <v/>
      </c>
      <c r="T1737" s="317" t="str">
        <f>GLOBAL_DER_FEV_2023!S1737</f>
        <v/>
      </c>
      <c r="W1737" s="582">
        <v>0</v>
      </c>
      <c r="X1737" s="580"/>
      <c r="Y1737" s="583">
        <f>IF(GLOBAL_DER_FEV_2023!W1737=0,0,IF(GLOBAL_DER_FEV_2023!W1737&gt;0,"c","b"))</f>
        <v>0</v>
      </c>
    </row>
    <row r="1738" spans="1:25" ht="15" hidden="1" customHeight="1" x14ac:dyDescent="0.2">
      <c r="A1738" s="317" t="s">
        <v>147</v>
      </c>
      <c r="B1738" s="895" t="s">
        <v>147</v>
      </c>
      <c r="C1738" s="896"/>
      <c r="D1738" s="957" t="s">
        <v>818</v>
      </c>
      <c r="E1738" s="907">
        <f>GLOBAL_DER_FEV_2023!E1738</f>
        <v>0</v>
      </c>
      <c r="F1738" s="908">
        <f>GLOBAL_DER_FEV_2023!F1738</f>
        <v>1.7250000000000001</v>
      </c>
      <c r="G1738" s="949">
        <f>GLOBAL_DER_FEV_2023!G1738</f>
        <v>4.6230000000000002</v>
      </c>
      <c r="H1738" s="901">
        <f>GLOBAL_DER_FEV_2023!H1738</f>
        <v>0</v>
      </c>
      <c r="I1738" s="901">
        <f>GLOBAL_DER_FEV_2023!I1738</f>
        <v>0</v>
      </c>
      <c r="J1738" s="902">
        <f>GLOBAL_DER_FEV_2023!J1738</f>
        <v>0</v>
      </c>
      <c r="K1738" s="958" t="s">
        <v>507</v>
      </c>
      <c r="L1738" s="959"/>
      <c r="M1738" s="1157">
        <f t="shared" si="127"/>
        <v>0</v>
      </c>
      <c r="N1738" s="1176">
        <f t="shared" si="131"/>
        <v>0</v>
      </c>
      <c r="O1738" s="905"/>
      <c r="P1738" s="58" t="str">
        <f>IF(N1737&gt;0,"xx",IF(N1737&gt;0,"xy",""))</f>
        <v/>
      </c>
      <c r="Q1738" s="317" t="str">
        <f t="shared" si="128"/>
        <v/>
      </c>
      <c r="R1738" s="317" t="str">
        <f t="shared" si="129"/>
        <v/>
      </c>
      <c r="S1738" s="317" t="str">
        <f t="shared" si="130"/>
        <v/>
      </c>
      <c r="T1738" s="317" t="str">
        <f>GLOBAL_DER_FEV_2023!S1738</f>
        <v/>
      </c>
      <c r="W1738" s="582">
        <v>0</v>
      </c>
      <c r="X1738" s="580"/>
      <c r="Y1738" s="583">
        <f>IF(GLOBAL_DER_FEV_2023!W1738=0,0,IF(GLOBAL_DER_FEV_2023!W1738&gt;0,"c","b"))</f>
        <v>0</v>
      </c>
    </row>
    <row r="1739" spans="1:25" ht="15" hidden="1" customHeight="1" x14ac:dyDescent="0.2">
      <c r="A1739" s="317" t="s">
        <v>147</v>
      </c>
      <c r="B1739" s="895" t="s">
        <v>147</v>
      </c>
      <c r="C1739" s="896"/>
      <c r="D1739" s="957" t="s">
        <v>323</v>
      </c>
      <c r="E1739" s="907">
        <f>GLOBAL_DER_FEV_2023!E1739</f>
        <v>45</v>
      </c>
      <c r="F1739" s="908">
        <f>GLOBAL_DER_FEV_2023!F1739</f>
        <v>1.23E-2</v>
      </c>
      <c r="G1739" s="949">
        <f>GLOBAL_DER_FEV_2023!G1739</f>
        <v>0.62520900000000001</v>
      </c>
      <c r="H1739" s="901">
        <f>GLOBAL_DER_FEV_2023!H1739</f>
        <v>0</v>
      </c>
      <c r="I1739" s="901">
        <f>GLOBAL_DER_FEV_2023!I1739</f>
        <v>0</v>
      </c>
      <c r="J1739" s="902">
        <f>GLOBAL_DER_FEV_2023!J1739</f>
        <v>0</v>
      </c>
      <c r="K1739" s="958" t="s">
        <v>507</v>
      </c>
      <c r="L1739" s="959"/>
      <c r="M1739" s="1157">
        <f t="shared" si="127"/>
        <v>0</v>
      </c>
      <c r="N1739" s="1176">
        <f t="shared" si="131"/>
        <v>0</v>
      </c>
      <c r="O1739" s="905"/>
      <c r="P1739" s="58" t="str">
        <f>IF(N1737&gt;0,"xx",IF(N1737&gt;0,"xy",""))</f>
        <v/>
      </c>
      <c r="Q1739" s="317" t="str">
        <f t="shared" si="128"/>
        <v/>
      </c>
      <c r="R1739" s="317" t="str">
        <f t="shared" si="129"/>
        <v/>
      </c>
      <c r="S1739" s="317" t="str">
        <f t="shared" si="130"/>
        <v/>
      </c>
      <c r="T1739" s="317" t="str">
        <f>GLOBAL_DER_FEV_2023!S1739</f>
        <v/>
      </c>
      <c r="W1739" s="582">
        <v>0</v>
      </c>
      <c r="X1739" s="580"/>
      <c r="Y1739" s="583">
        <f>IF(GLOBAL_DER_FEV_2023!W1739=0,0,IF(GLOBAL_DER_FEV_2023!W1739&gt;0,"c","b"))</f>
        <v>0</v>
      </c>
    </row>
    <row r="1740" spans="1:25" ht="15" hidden="1" customHeight="1" x14ac:dyDescent="0.2">
      <c r="A1740" s="317">
        <v>860100</v>
      </c>
      <c r="B1740" s="895">
        <v>860100</v>
      </c>
      <c r="C1740" s="896" t="s">
        <v>184</v>
      </c>
      <c r="D1740" s="906" t="s">
        <v>819</v>
      </c>
      <c r="E1740" s="907">
        <f>GLOBAL_DER_FEV_2023!E1740</f>
        <v>0</v>
      </c>
      <c r="F1740" s="908">
        <f>GLOBAL_DER_FEV_2023!F1740</f>
        <v>0</v>
      </c>
      <c r="G1740" s="912">
        <f>GLOBAL_DER_FEV_2023!G1740</f>
        <v>5.2787069999999998</v>
      </c>
      <c r="H1740" s="901">
        <f>GLOBAL_DER_FEV_2023!H1740</f>
        <v>769.37</v>
      </c>
      <c r="I1740" s="901">
        <f>GLOBAL_DER_FEV_2023!I1740</f>
        <v>774.64870700000006</v>
      </c>
      <c r="J1740" s="902">
        <f>GLOBAL_DER_FEV_2023!J1740</f>
        <v>930.12</v>
      </c>
      <c r="K1740" s="903" t="s">
        <v>10</v>
      </c>
      <c r="L1740" s="1137"/>
      <c r="M1740" s="1138">
        <f t="shared" si="127"/>
        <v>0</v>
      </c>
      <c r="N1740" s="1176">
        <f t="shared" si="131"/>
        <v>0</v>
      </c>
      <c r="O1740" s="905"/>
      <c r="Q1740" s="317" t="str">
        <f t="shared" si="128"/>
        <v/>
      </c>
      <c r="R1740" s="317" t="str">
        <f t="shared" si="129"/>
        <v/>
      </c>
      <c r="S1740" s="317" t="str">
        <f t="shared" si="130"/>
        <v/>
      </c>
      <c r="T1740" s="317" t="str">
        <f>GLOBAL_DER_FEV_2023!S1740</f>
        <v/>
      </c>
      <c r="W1740" s="582">
        <v>0</v>
      </c>
      <c r="X1740" s="580"/>
      <c r="Y1740" s="583">
        <f>IF(GLOBAL_DER_FEV_2023!W1740=0,0,IF(GLOBAL_DER_FEV_2023!W1740&gt;0,"c","b"))</f>
        <v>0</v>
      </c>
    </row>
    <row r="1741" spans="1:25" ht="15" hidden="1" customHeight="1" x14ac:dyDescent="0.2">
      <c r="A1741" s="317" t="s">
        <v>147</v>
      </c>
      <c r="B1741" s="895" t="s">
        <v>147</v>
      </c>
      <c r="C1741" s="896"/>
      <c r="D1741" s="957" t="s">
        <v>818</v>
      </c>
      <c r="E1741" s="907">
        <f>GLOBAL_DER_FEV_2023!E1741</f>
        <v>0</v>
      </c>
      <c r="F1741" s="908">
        <f>GLOBAL_DER_FEV_2023!F1741</f>
        <v>1.7250000000000001</v>
      </c>
      <c r="G1741" s="949">
        <f>GLOBAL_DER_FEV_2023!G1741</f>
        <v>4.6230000000000002</v>
      </c>
      <c r="H1741" s="901">
        <f>GLOBAL_DER_FEV_2023!H1741</f>
        <v>0</v>
      </c>
      <c r="I1741" s="901">
        <f>GLOBAL_DER_FEV_2023!I1741</f>
        <v>0</v>
      </c>
      <c r="J1741" s="902">
        <f>GLOBAL_DER_FEV_2023!J1741</f>
        <v>0</v>
      </c>
      <c r="K1741" s="958" t="s">
        <v>507</v>
      </c>
      <c r="L1741" s="959"/>
      <c r="M1741" s="1157">
        <f t="shared" si="127"/>
        <v>0</v>
      </c>
      <c r="N1741" s="1176">
        <f t="shared" si="131"/>
        <v>0</v>
      </c>
      <c r="O1741" s="905"/>
      <c r="P1741" s="58" t="str">
        <f>IF(N1740&gt;0,"xx",IF(N1740&gt;0,"xy",""))</f>
        <v/>
      </c>
      <c r="Q1741" s="317" t="str">
        <f t="shared" si="128"/>
        <v/>
      </c>
      <c r="R1741" s="317" t="str">
        <f t="shared" si="129"/>
        <v/>
      </c>
      <c r="S1741" s="317" t="str">
        <f t="shared" si="130"/>
        <v/>
      </c>
      <c r="T1741" s="317" t="str">
        <f>GLOBAL_DER_FEV_2023!S1741</f>
        <v/>
      </c>
      <c r="W1741" s="582">
        <v>0</v>
      </c>
      <c r="X1741" s="580"/>
      <c r="Y1741" s="583">
        <f>IF(GLOBAL_DER_FEV_2023!W1741=0,0,IF(GLOBAL_DER_FEV_2023!W1741&gt;0,"c","b"))</f>
        <v>0</v>
      </c>
    </row>
    <row r="1742" spans="1:25" ht="15" hidden="1" customHeight="1" x14ac:dyDescent="0.2">
      <c r="A1742" s="317" t="s">
        <v>147</v>
      </c>
      <c r="B1742" s="895" t="s">
        <v>147</v>
      </c>
      <c r="C1742" s="896"/>
      <c r="D1742" s="957" t="s">
        <v>323</v>
      </c>
      <c r="E1742" s="907">
        <f>GLOBAL_DER_FEV_2023!E1742</f>
        <v>45</v>
      </c>
      <c r="F1742" s="908">
        <f>GLOBAL_DER_FEV_2023!F1742</f>
        <v>1.29E-2</v>
      </c>
      <c r="G1742" s="949">
        <f>GLOBAL_DER_FEV_2023!G1742</f>
        <v>0.65570699999999993</v>
      </c>
      <c r="H1742" s="901">
        <f>GLOBAL_DER_FEV_2023!H1742</f>
        <v>0</v>
      </c>
      <c r="I1742" s="901">
        <f>GLOBAL_DER_FEV_2023!I1742</f>
        <v>0</v>
      </c>
      <c r="J1742" s="902">
        <f>GLOBAL_DER_FEV_2023!J1742</f>
        <v>0</v>
      </c>
      <c r="K1742" s="958" t="s">
        <v>507</v>
      </c>
      <c r="L1742" s="959"/>
      <c r="M1742" s="1157">
        <f t="shared" si="127"/>
        <v>0</v>
      </c>
      <c r="N1742" s="1176">
        <f t="shared" si="131"/>
        <v>0</v>
      </c>
      <c r="O1742" s="905"/>
      <c r="P1742" s="58" t="str">
        <f>IF(N1740&gt;0,"xx",IF(N1740&gt;0,"xy",""))</f>
        <v/>
      </c>
      <c r="Q1742" s="317" t="str">
        <f t="shared" si="128"/>
        <v/>
      </c>
      <c r="R1742" s="317" t="str">
        <f t="shared" si="129"/>
        <v/>
      </c>
      <c r="S1742" s="317" t="str">
        <f t="shared" si="130"/>
        <v/>
      </c>
      <c r="T1742" s="317" t="str">
        <f>GLOBAL_DER_FEV_2023!S1742</f>
        <v/>
      </c>
      <c r="W1742" s="582">
        <v>0</v>
      </c>
      <c r="X1742" s="580"/>
      <c r="Y1742" s="583">
        <f>IF(GLOBAL_DER_FEV_2023!W1742=0,0,IF(GLOBAL_DER_FEV_2023!W1742&gt;0,"c","b"))</f>
        <v>0</v>
      </c>
    </row>
    <row r="1743" spans="1:25" ht="15" hidden="1" customHeight="1" x14ac:dyDescent="0.2">
      <c r="A1743" s="317">
        <v>860150</v>
      </c>
      <c r="B1743" s="895">
        <v>860150</v>
      </c>
      <c r="C1743" s="896" t="s">
        <v>184</v>
      </c>
      <c r="D1743" s="906" t="s">
        <v>820</v>
      </c>
      <c r="E1743" s="907">
        <f>GLOBAL_DER_FEV_2023!E1743</f>
        <v>0</v>
      </c>
      <c r="F1743" s="908">
        <f>GLOBAL_DER_FEV_2023!F1743</f>
        <v>0</v>
      </c>
      <c r="G1743" s="912">
        <f>GLOBAL_DER_FEV_2023!G1743</f>
        <v>5.0550550000000003</v>
      </c>
      <c r="H1743" s="901">
        <f>GLOBAL_DER_FEV_2023!H1743</f>
        <v>688.53</v>
      </c>
      <c r="I1743" s="901">
        <f>GLOBAL_DER_FEV_2023!I1743</f>
        <v>693.58505500000001</v>
      </c>
      <c r="J1743" s="902">
        <f>GLOBAL_DER_FEV_2023!J1743</f>
        <v>832.79</v>
      </c>
      <c r="K1743" s="903" t="s">
        <v>10</v>
      </c>
      <c r="L1743" s="1137"/>
      <c r="M1743" s="1138">
        <f t="shared" si="127"/>
        <v>0</v>
      </c>
      <c r="N1743" s="1176">
        <f t="shared" si="131"/>
        <v>0</v>
      </c>
      <c r="O1743" s="905"/>
      <c r="Q1743" s="317" t="str">
        <f t="shared" si="128"/>
        <v/>
      </c>
      <c r="R1743" s="317" t="str">
        <f t="shared" si="129"/>
        <v/>
      </c>
      <c r="S1743" s="317" t="str">
        <f t="shared" si="130"/>
        <v/>
      </c>
      <c r="T1743" s="317" t="str">
        <f>GLOBAL_DER_FEV_2023!S1743</f>
        <v/>
      </c>
      <c r="W1743" s="582">
        <v>0</v>
      </c>
      <c r="X1743" s="580"/>
      <c r="Y1743" s="583">
        <f>IF(GLOBAL_DER_FEV_2023!W1743=0,0,IF(GLOBAL_DER_FEV_2023!W1743&gt;0,"c","b"))</f>
        <v>0</v>
      </c>
    </row>
    <row r="1744" spans="1:25" ht="15" hidden="1" customHeight="1" x14ac:dyDescent="0.2">
      <c r="A1744" s="317" t="s">
        <v>147</v>
      </c>
      <c r="B1744" s="895" t="s">
        <v>147</v>
      </c>
      <c r="C1744" s="896"/>
      <c r="D1744" s="957" t="s">
        <v>818</v>
      </c>
      <c r="E1744" s="907">
        <f>GLOBAL_DER_FEV_2023!E1744</f>
        <v>0</v>
      </c>
      <c r="F1744" s="908">
        <f>GLOBAL_DER_FEV_2023!F1744</f>
        <v>1.7250000000000001</v>
      </c>
      <c r="G1744" s="949">
        <f>GLOBAL_DER_FEV_2023!G1744</f>
        <v>4.6230000000000002</v>
      </c>
      <c r="H1744" s="901">
        <f>GLOBAL_DER_FEV_2023!H1744</f>
        <v>0</v>
      </c>
      <c r="I1744" s="901">
        <f>GLOBAL_DER_FEV_2023!I1744</f>
        <v>0</v>
      </c>
      <c r="J1744" s="902">
        <f>GLOBAL_DER_FEV_2023!J1744</f>
        <v>0</v>
      </c>
      <c r="K1744" s="958" t="s">
        <v>507</v>
      </c>
      <c r="L1744" s="959"/>
      <c r="M1744" s="1157">
        <f t="shared" si="127"/>
        <v>0</v>
      </c>
      <c r="N1744" s="1176">
        <f t="shared" si="131"/>
        <v>0</v>
      </c>
      <c r="O1744" s="905"/>
      <c r="P1744" s="58" t="str">
        <f>IF(N1743&gt;0,"xx",IF(N1743&gt;0,"xy",""))</f>
        <v/>
      </c>
      <c r="Q1744" s="317" t="str">
        <f t="shared" si="128"/>
        <v/>
      </c>
      <c r="R1744" s="317" t="str">
        <f t="shared" si="129"/>
        <v/>
      </c>
      <c r="S1744" s="317" t="str">
        <f t="shared" si="130"/>
        <v/>
      </c>
      <c r="T1744" s="317" t="str">
        <f>GLOBAL_DER_FEV_2023!S1744</f>
        <v/>
      </c>
      <c r="W1744" s="582">
        <v>0</v>
      </c>
      <c r="X1744" s="580"/>
      <c r="Y1744" s="583">
        <f>IF(GLOBAL_DER_FEV_2023!W1744=0,0,IF(GLOBAL_DER_FEV_2023!W1744&gt;0,"c","b"))</f>
        <v>0</v>
      </c>
    </row>
    <row r="1745" spans="1:25" ht="15" hidden="1" customHeight="1" x14ac:dyDescent="0.2">
      <c r="A1745" s="317" t="s">
        <v>147</v>
      </c>
      <c r="B1745" s="895" t="s">
        <v>147</v>
      </c>
      <c r="C1745" s="896"/>
      <c r="D1745" s="957" t="s">
        <v>323</v>
      </c>
      <c r="E1745" s="907">
        <f>GLOBAL_DER_FEV_2023!E1745</f>
        <v>45</v>
      </c>
      <c r="F1745" s="908">
        <f>GLOBAL_DER_FEV_2023!F1745</f>
        <v>8.5000000000000006E-3</v>
      </c>
      <c r="G1745" s="949">
        <f>GLOBAL_DER_FEV_2023!G1745</f>
        <v>0.43205500000000002</v>
      </c>
      <c r="H1745" s="901">
        <f>GLOBAL_DER_FEV_2023!H1745</f>
        <v>0</v>
      </c>
      <c r="I1745" s="901">
        <f>GLOBAL_DER_FEV_2023!I1745</f>
        <v>0</v>
      </c>
      <c r="J1745" s="902">
        <f>GLOBAL_DER_FEV_2023!J1745</f>
        <v>0</v>
      </c>
      <c r="K1745" s="958" t="s">
        <v>507</v>
      </c>
      <c r="L1745" s="959"/>
      <c r="M1745" s="1157">
        <f t="shared" si="127"/>
        <v>0</v>
      </c>
      <c r="N1745" s="1176">
        <f t="shared" si="131"/>
        <v>0</v>
      </c>
      <c r="O1745" s="905"/>
      <c r="P1745" s="58" t="str">
        <f>IF(N1743&gt;0,"xx",IF(N1743&gt;0,"xy",""))</f>
        <v/>
      </c>
      <c r="Q1745" s="317" t="str">
        <f t="shared" si="128"/>
        <v/>
      </c>
      <c r="R1745" s="317" t="str">
        <f t="shared" si="129"/>
        <v/>
      </c>
      <c r="S1745" s="317" t="str">
        <f t="shared" si="130"/>
        <v/>
      </c>
      <c r="T1745" s="317" t="str">
        <f>GLOBAL_DER_FEV_2023!S1745</f>
        <v/>
      </c>
      <c r="W1745" s="582">
        <v>0</v>
      </c>
      <c r="X1745" s="580"/>
      <c r="Y1745" s="583">
        <f>IF(GLOBAL_DER_FEV_2023!W1745=0,0,IF(GLOBAL_DER_FEV_2023!W1745&gt;0,"c","b"))</f>
        <v>0</v>
      </c>
    </row>
    <row r="1746" spans="1:25" ht="15" hidden="1" customHeight="1" x14ac:dyDescent="0.2">
      <c r="A1746" s="317">
        <v>860000</v>
      </c>
      <c r="B1746" s="895">
        <v>860000</v>
      </c>
      <c r="C1746" s="896" t="s">
        <v>184</v>
      </c>
      <c r="D1746" s="906" t="s">
        <v>821</v>
      </c>
      <c r="E1746" s="907">
        <f>GLOBAL_DER_FEV_2023!E1746</f>
        <v>0</v>
      </c>
      <c r="F1746" s="908">
        <f>GLOBAL_DER_FEV_2023!F1746</f>
        <v>0</v>
      </c>
      <c r="G1746" s="912">
        <f>GLOBAL_DER_FEV_2023!G1746</f>
        <v>5.085553</v>
      </c>
      <c r="H1746" s="901">
        <f>GLOBAL_DER_FEV_2023!H1746</f>
        <v>622.92999999999995</v>
      </c>
      <c r="I1746" s="901">
        <f>GLOBAL_DER_FEV_2023!I1746</f>
        <v>628.01555299999995</v>
      </c>
      <c r="J1746" s="902">
        <f>GLOBAL_DER_FEV_2023!J1746</f>
        <v>754.06</v>
      </c>
      <c r="K1746" s="903" t="s">
        <v>10</v>
      </c>
      <c r="L1746" s="1137"/>
      <c r="M1746" s="1138">
        <f t="shared" ref="M1746:M1809" si="132">IF(L1746=0,0,ROUND(J1746,2))</f>
        <v>0</v>
      </c>
      <c r="N1746" s="1176">
        <f t="shared" si="131"/>
        <v>0</v>
      </c>
      <c r="O1746" s="905"/>
      <c r="Q1746" s="317" t="str">
        <f t="shared" si="128"/>
        <v/>
      </c>
      <c r="R1746" s="317" t="str">
        <f t="shared" si="129"/>
        <v/>
      </c>
      <c r="S1746" s="317" t="str">
        <f t="shared" si="130"/>
        <v/>
      </c>
      <c r="T1746" s="317" t="str">
        <f>GLOBAL_DER_FEV_2023!S1746</f>
        <v/>
      </c>
      <c r="W1746" s="582">
        <v>0</v>
      </c>
      <c r="X1746" s="580"/>
      <c r="Y1746" s="583">
        <f>IF(GLOBAL_DER_FEV_2023!W1746=0,0,IF(GLOBAL_DER_FEV_2023!W1746&gt;0,"c","b"))</f>
        <v>0</v>
      </c>
    </row>
    <row r="1747" spans="1:25" ht="15" hidden="1" customHeight="1" x14ac:dyDescent="0.2">
      <c r="A1747" s="317" t="s">
        <v>147</v>
      </c>
      <c r="B1747" s="895" t="s">
        <v>147</v>
      </c>
      <c r="C1747" s="896"/>
      <c r="D1747" s="957" t="s">
        <v>818</v>
      </c>
      <c r="E1747" s="907">
        <f>GLOBAL_DER_FEV_2023!E1747</f>
        <v>0</v>
      </c>
      <c r="F1747" s="908">
        <f>GLOBAL_DER_FEV_2023!F1747</f>
        <v>1.7250000000000001</v>
      </c>
      <c r="G1747" s="949">
        <f>GLOBAL_DER_FEV_2023!G1747</f>
        <v>4.6230000000000002</v>
      </c>
      <c r="H1747" s="901">
        <f>GLOBAL_DER_FEV_2023!H1747</f>
        <v>0</v>
      </c>
      <c r="I1747" s="901">
        <f>GLOBAL_DER_FEV_2023!I1747</f>
        <v>0</v>
      </c>
      <c r="J1747" s="902">
        <f>GLOBAL_DER_FEV_2023!J1747</f>
        <v>0</v>
      </c>
      <c r="K1747" s="958" t="s">
        <v>507</v>
      </c>
      <c r="L1747" s="959"/>
      <c r="M1747" s="1157">
        <f t="shared" si="132"/>
        <v>0</v>
      </c>
      <c r="N1747" s="1176">
        <f t="shared" si="131"/>
        <v>0</v>
      </c>
      <c r="O1747" s="905"/>
      <c r="P1747" s="58" t="str">
        <f>IF(N1746&gt;0,"xx",IF(N1746&gt;0,"xy",""))</f>
        <v/>
      </c>
      <c r="Q1747" s="317" t="str">
        <f t="shared" si="128"/>
        <v/>
      </c>
      <c r="R1747" s="317" t="str">
        <f t="shared" si="129"/>
        <v/>
      </c>
      <c r="S1747" s="317" t="str">
        <f t="shared" si="130"/>
        <v/>
      </c>
      <c r="T1747" s="317" t="str">
        <f>GLOBAL_DER_FEV_2023!S1747</f>
        <v/>
      </c>
      <c r="W1747" s="582">
        <v>0</v>
      </c>
      <c r="X1747" s="580"/>
      <c r="Y1747" s="583">
        <f>IF(GLOBAL_DER_FEV_2023!W1747=0,0,IF(GLOBAL_DER_FEV_2023!W1747&gt;0,"c","b"))</f>
        <v>0</v>
      </c>
    </row>
    <row r="1748" spans="1:25" ht="15" hidden="1" customHeight="1" x14ac:dyDescent="0.2">
      <c r="A1748" s="317" t="s">
        <v>147</v>
      </c>
      <c r="B1748" s="895" t="s">
        <v>147</v>
      </c>
      <c r="C1748" s="896"/>
      <c r="D1748" s="957" t="s">
        <v>323</v>
      </c>
      <c r="E1748" s="907">
        <f>GLOBAL_DER_FEV_2023!E1748</f>
        <v>45</v>
      </c>
      <c r="F1748" s="908">
        <f>GLOBAL_DER_FEV_2023!F1748</f>
        <v>9.1000000000000004E-3</v>
      </c>
      <c r="G1748" s="949">
        <f>GLOBAL_DER_FEV_2023!G1748</f>
        <v>0.46255299999999999</v>
      </c>
      <c r="H1748" s="901">
        <f>GLOBAL_DER_FEV_2023!H1748</f>
        <v>0</v>
      </c>
      <c r="I1748" s="901">
        <f>GLOBAL_DER_FEV_2023!I1748</f>
        <v>0</v>
      </c>
      <c r="J1748" s="902">
        <f>GLOBAL_DER_FEV_2023!J1748</f>
        <v>0</v>
      </c>
      <c r="K1748" s="958" t="s">
        <v>507</v>
      </c>
      <c r="L1748" s="959"/>
      <c r="M1748" s="1157">
        <f t="shared" si="132"/>
        <v>0</v>
      </c>
      <c r="N1748" s="1176">
        <f t="shared" si="131"/>
        <v>0</v>
      </c>
      <c r="O1748" s="905"/>
      <c r="P1748" s="58" t="str">
        <f>IF(N1746&gt;0,"xx",IF(N1746&gt;0,"xy",""))</f>
        <v/>
      </c>
      <c r="Q1748" s="317" t="str">
        <f t="shared" si="128"/>
        <v/>
      </c>
      <c r="R1748" s="317" t="str">
        <f t="shared" si="129"/>
        <v/>
      </c>
      <c r="S1748" s="317" t="str">
        <f t="shared" si="130"/>
        <v/>
      </c>
      <c r="T1748" s="317" t="str">
        <f>GLOBAL_DER_FEV_2023!S1748</f>
        <v/>
      </c>
      <c r="W1748" s="582">
        <v>0</v>
      </c>
      <c r="X1748" s="580"/>
      <c r="Y1748" s="583">
        <f>IF(GLOBAL_DER_FEV_2023!W1748=0,0,IF(GLOBAL_DER_FEV_2023!W1748&gt;0,"c","b"))</f>
        <v>0</v>
      </c>
    </row>
    <row r="1749" spans="1:25" ht="15" hidden="1" customHeight="1" x14ac:dyDescent="0.2">
      <c r="A1749" s="317">
        <v>860017</v>
      </c>
      <c r="B1749" s="895">
        <v>860017</v>
      </c>
      <c r="C1749" s="896" t="s">
        <v>184</v>
      </c>
      <c r="D1749" s="906" t="s">
        <v>822</v>
      </c>
      <c r="E1749" s="907">
        <f>GLOBAL_DER_FEV_2023!E1749</f>
        <v>0</v>
      </c>
      <c r="F1749" s="908">
        <f>GLOBAL_DER_FEV_2023!F1749</f>
        <v>0</v>
      </c>
      <c r="G1749" s="912">
        <f>GLOBAL_DER_FEV_2023!G1749</f>
        <v>0.98190500000000003</v>
      </c>
      <c r="H1749" s="901">
        <f>GLOBAL_DER_FEV_2023!H1749</f>
        <v>213.32</v>
      </c>
      <c r="I1749" s="901">
        <f>GLOBAL_DER_FEV_2023!I1749</f>
        <v>214.301905</v>
      </c>
      <c r="J1749" s="902">
        <f>GLOBAL_DER_FEV_2023!J1749</f>
        <v>257.31</v>
      </c>
      <c r="K1749" s="903" t="s">
        <v>10</v>
      </c>
      <c r="L1749" s="1137"/>
      <c r="M1749" s="1138">
        <f t="shared" si="132"/>
        <v>0</v>
      </c>
      <c r="N1749" s="1176">
        <f t="shared" si="131"/>
        <v>0</v>
      </c>
      <c r="O1749" s="905"/>
      <c r="Q1749" s="317" t="str">
        <f t="shared" si="128"/>
        <v/>
      </c>
      <c r="R1749" s="317" t="str">
        <f t="shared" si="129"/>
        <v/>
      </c>
      <c r="S1749" s="317" t="str">
        <f t="shared" si="130"/>
        <v/>
      </c>
      <c r="T1749" s="317" t="str">
        <f>GLOBAL_DER_FEV_2023!S1749</f>
        <v/>
      </c>
      <c r="W1749" s="582">
        <v>0</v>
      </c>
      <c r="X1749" s="580"/>
      <c r="Y1749" s="583">
        <f>IF(GLOBAL_DER_FEV_2023!W1749=0,0,IF(GLOBAL_DER_FEV_2023!W1749&gt;0,"c","b"))</f>
        <v>0</v>
      </c>
    </row>
    <row r="1750" spans="1:25" ht="15" hidden="1" customHeight="1" x14ac:dyDescent="0.2">
      <c r="A1750" s="317" t="s">
        <v>147</v>
      </c>
      <c r="B1750" s="895" t="s">
        <v>147</v>
      </c>
      <c r="C1750" s="896"/>
      <c r="D1750" s="957" t="s">
        <v>818</v>
      </c>
      <c r="E1750" s="907">
        <f>GLOBAL_DER_FEV_2023!E1750</f>
        <v>0</v>
      </c>
      <c r="F1750" s="908">
        <f>GLOBAL_DER_FEV_2023!F1750</f>
        <v>0.3</v>
      </c>
      <c r="G1750" s="949">
        <f>GLOBAL_DER_FEV_2023!G1750</f>
        <v>0.80400000000000005</v>
      </c>
      <c r="H1750" s="901">
        <f>GLOBAL_DER_FEV_2023!H1750</f>
        <v>0</v>
      </c>
      <c r="I1750" s="901">
        <f>GLOBAL_DER_FEV_2023!I1750</f>
        <v>0</v>
      </c>
      <c r="J1750" s="902">
        <f>GLOBAL_DER_FEV_2023!J1750</f>
        <v>0</v>
      </c>
      <c r="K1750" s="958" t="s">
        <v>507</v>
      </c>
      <c r="L1750" s="959"/>
      <c r="M1750" s="1157">
        <f t="shared" si="132"/>
        <v>0</v>
      </c>
      <c r="N1750" s="1176">
        <f t="shared" si="131"/>
        <v>0</v>
      </c>
      <c r="O1750" s="905"/>
      <c r="P1750" s="58" t="str">
        <f>IF(N1749&gt;0,"xx",IF(N1749&gt;0,"xy",""))</f>
        <v/>
      </c>
      <c r="Q1750" s="317" t="str">
        <f t="shared" si="128"/>
        <v/>
      </c>
      <c r="R1750" s="317" t="str">
        <f t="shared" si="129"/>
        <v/>
      </c>
      <c r="S1750" s="317" t="str">
        <f t="shared" si="130"/>
        <v/>
      </c>
      <c r="T1750" s="317" t="str">
        <f>GLOBAL_DER_FEV_2023!S1750</f>
        <v/>
      </c>
      <c r="W1750" s="582">
        <v>0</v>
      </c>
      <c r="X1750" s="580"/>
      <c r="Y1750" s="583">
        <f>IF(GLOBAL_DER_FEV_2023!W1750=0,0,IF(GLOBAL_DER_FEV_2023!W1750&gt;0,"c","b"))</f>
        <v>0</v>
      </c>
    </row>
    <row r="1751" spans="1:25" ht="15" hidden="1" customHeight="1" x14ac:dyDescent="0.2">
      <c r="A1751" s="317" t="s">
        <v>147</v>
      </c>
      <c r="B1751" s="895" t="s">
        <v>147</v>
      </c>
      <c r="C1751" s="896"/>
      <c r="D1751" s="957" t="s">
        <v>323</v>
      </c>
      <c r="E1751" s="907">
        <f>GLOBAL_DER_FEV_2023!E1751</f>
        <v>45</v>
      </c>
      <c r="F1751" s="908">
        <f>GLOBAL_DER_FEV_2023!F1751</f>
        <v>3.5000000000000001E-3</v>
      </c>
      <c r="G1751" s="949">
        <f>GLOBAL_DER_FEV_2023!G1751</f>
        <v>0.17790500000000001</v>
      </c>
      <c r="H1751" s="901">
        <f>GLOBAL_DER_FEV_2023!H1751</f>
        <v>0</v>
      </c>
      <c r="I1751" s="901">
        <f>GLOBAL_DER_FEV_2023!I1751</f>
        <v>0</v>
      </c>
      <c r="J1751" s="902">
        <f>GLOBAL_DER_FEV_2023!J1751</f>
        <v>0</v>
      </c>
      <c r="K1751" s="958" t="s">
        <v>507</v>
      </c>
      <c r="L1751" s="959"/>
      <c r="M1751" s="1157">
        <f t="shared" si="132"/>
        <v>0</v>
      </c>
      <c r="N1751" s="1176">
        <f t="shared" si="131"/>
        <v>0</v>
      </c>
      <c r="O1751" s="905"/>
      <c r="P1751" s="58" t="str">
        <f>IF(N1749&gt;0,"xx",IF(N1749&gt;0,"xy",""))</f>
        <v/>
      </c>
      <c r="Q1751" s="317" t="str">
        <f t="shared" si="128"/>
        <v/>
      </c>
      <c r="R1751" s="317" t="str">
        <f t="shared" si="129"/>
        <v/>
      </c>
      <c r="S1751" s="317" t="str">
        <f t="shared" si="130"/>
        <v/>
      </c>
      <c r="T1751" s="317" t="str">
        <f>GLOBAL_DER_FEV_2023!S1751</f>
        <v/>
      </c>
      <c r="W1751" s="582">
        <v>0</v>
      </c>
      <c r="X1751" s="580"/>
      <c r="Y1751" s="583">
        <f>IF(GLOBAL_DER_FEV_2023!W1751=0,0,IF(GLOBAL_DER_FEV_2023!W1751&gt;0,"c","b"))</f>
        <v>0</v>
      </c>
    </row>
    <row r="1752" spans="1:25" ht="15" hidden="1" customHeight="1" x14ac:dyDescent="0.2">
      <c r="A1752" s="317">
        <v>860023</v>
      </c>
      <c r="B1752" s="895">
        <v>860023</v>
      </c>
      <c r="C1752" s="896" t="s">
        <v>184</v>
      </c>
      <c r="D1752" s="906" t="s">
        <v>823</v>
      </c>
      <c r="E1752" s="907">
        <f>GLOBAL_DER_FEV_2023!E1752</f>
        <v>0</v>
      </c>
      <c r="F1752" s="908">
        <f>GLOBAL_DER_FEV_2023!F1752</f>
        <v>0</v>
      </c>
      <c r="G1752" s="912">
        <f>GLOBAL_DER_FEV_2023!G1752</f>
        <v>1.6003860000000001</v>
      </c>
      <c r="H1752" s="901">
        <f>GLOBAL_DER_FEV_2023!H1752</f>
        <v>257.19</v>
      </c>
      <c r="I1752" s="901">
        <f>GLOBAL_DER_FEV_2023!I1752</f>
        <v>258.79038600000001</v>
      </c>
      <c r="J1752" s="902">
        <f>GLOBAL_DER_FEV_2023!J1752</f>
        <v>310.73</v>
      </c>
      <c r="K1752" s="903" t="s">
        <v>10</v>
      </c>
      <c r="L1752" s="1137"/>
      <c r="M1752" s="1138">
        <f t="shared" si="132"/>
        <v>0</v>
      </c>
      <c r="N1752" s="1176">
        <f t="shared" si="131"/>
        <v>0</v>
      </c>
      <c r="O1752" s="905"/>
      <c r="Q1752" s="317" t="str">
        <f t="shared" si="128"/>
        <v/>
      </c>
      <c r="R1752" s="317" t="str">
        <f t="shared" si="129"/>
        <v/>
      </c>
      <c r="S1752" s="317" t="str">
        <f t="shared" si="130"/>
        <v/>
      </c>
      <c r="T1752" s="317" t="str">
        <f>GLOBAL_DER_FEV_2023!S1752</f>
        <v/>
      </c>
      <c r="W1752" s="582">
        <v>0</v>
      </c>
      <c r="X1752" s="580"/>
      <c r="Y1752" s="583">
        <f>IF(GLOBAL_DER_FEV_2023!W1752=0,0,IF(GLOBAL_DER_FEV_2023!W1752&gt;0,"c","b"))</f>
        <v>0</v>
      </c>
    </row>
    <row r="1753" spans="1:25" ht="15" hidden="1" customHeight="1" x14ac:dyDescent="0.2">
      <c r="A1753" s="317" t="s">
        <v>147</v>
      </c>
      <c r="B1753" s="895" t="s">
        <v>147</v>
      </c>
      <c r="C1753" s="896"/>
      <c r="D1753" s="957" t="s">
        <v>818</v>
      </c>
      <c r="E1753" s="907">
        <f>GLOBAL_DER_FEV_2023!E1753</f>
        <v>0</v>
      </c>
      <c r="F1753" s="908">
        <f>GLOBAL_DER_FEV_2023!F1753</f>
        <v>0.51749999999999996</v>
      </c>
      <c r="G1753" s="949">
        <f>GLOBAL_DER_FEV_2023!G1753</f>
        <v>1.3869</v>
      </c>
      <c r="H1753" s="901">
        <f>GLOBAL_DER_FEV_2023!H1753</f>
        <v>0</v>
      </c>
      <c r="I1753" s="901">
        <f>GLOBAL_DER_FEV_2023!I1753</f>
        <v>0</v>
      </c>
      <c r="J1753" s="902">
        <f>GLOBAL_DER_FEV_2023!J1753</f>
        <v>0</v>
      </c>
      <c r="K1753" s="958" t="s">
        <v>507</v>
      </c>
      <c r="L1753" s="959"/>
      <c r="M1753" s="1157">
        <f t="shared" si="132"/>
        <v>0</v>
      </c>
      <c r="N1753" s="1176">
        <f t="shared" si="131"/>
        <v>0</v>
      </c>
      <c r="O1753" s="905"/>
      <c r="P1753" s="58" t="str">
        <f>IF(N1752&gt;0,"xx",IF(N1752&gt;0,"xy",""))</f>
        <v/>
      </c>
      <c r="Q1753" s="317" t="str">
        <f t="shared" si="128"/>
        <v/>
      </c>
      <c r="R1753" s="317" t="str">
        <f t="shared" si="129"/>
        <v/>
      </c>
      <c r="S1753" s="317" t="str">
        <f t="shared" si="130"/>
        <v/>
      </c>
      <c r="T1753" s="317" t="str">
        <f>GLOBAL_DER_FEV_2023!S1753</f>
        <v/>
      </c>
      <c r="W1753" s="582">
        <v>0</v>
      </c>
      <c r="X1753" s="580"/>
      <c r="Y1753" s="583">
        <f>IF(GLOBAL_DER_FEV_2023!W1753=0,0,IF(GLOBAL_DER_FEV_2023!W1753&gt;0,"c","b"))</f>
        <v>0</v>
      </c>
    </row>
    <row r="1754" spans="1:25" ht="15" hidden="1" customHeight="1" x14ac:dyDescent="0.2">
      <c r="A1754" s="317" t="s">
        <v>147</v>
      </c>
      <c r="B1754" s="895" t="s">
        <v>147</v>
      </c>
      <c r="C1754" s="896"/>
      <c r="D1754" s="957" t="s">
        <v>323</v>
      </c>
      <c r="E1754" s="907">
        <f>GLOBAL_DER_FEV_2023!E1754</f>
        <v>45</v>
      </c>
      <c r="F1754" s="908">
        <f>GLOBAL_DER_FEV_2023!F1754</f>
        <v>4.1999999999999997E-3</v>
      </c>
      <c r="G1754" s="949">
        <f>GLOBAL_DER_FEV_2023!G1754</f>
        <v>0.21348599999999998</v>
      </c>
      <c r="H1754" s="901">
        <f>GLOBAL_DER_FEV_2023!H1754</f>
        <v>0</v>
      </c>
      <c r="I1754" s="901">
        <f>GLOBAL_DER_FEV_2023!I1754</f>
        <v>0</v>
      </c>
      <c r="J1754" s="902">
        <f>GLOBAL_DER_FEV_2023!J1754</f>
        <v>0</v>
      </c>
      <c r="K1754" s="958" t="s">
        <v>507</v>
      </c>
      <c r="L1754" s="959"/>
      <c r="M1754" s="1157">
        <f t="shared" si="132"/>
        <v>0</v>
      </c>
      <c r="N1754" s="1176">
        <f t="shared" si="131"/>
        <v>0</v>
      </c>
      <c r="O1754" s="905"/>
      <c r="P1754" s="58" t="str">
        <f>IF(N1752&gt;0,"xx",IF(N1752&gt;0,"xy",""))</f>
        <v/>
      </c>
      <c r="Q1754" s="317" t="str">
        <f t="shared" si="128"/>
        <v/>
      </c>
      <c r="R1754" s="317" t="str">
        <f t="shared" si="129"/>
        <v/>
      </c>
      <c r="S1754" s="317" t="str">
        <f t="shared" si="130"/>
        <v/>
      </c>
      <c r="T1754" s="317" t="str">
        <f>GLOBAL_DER_FEV_2023!S1754</f>
        <v/>
      </c>
      <c r="W1754" s="582">
        <v>0</v>
      </c>
      <c r="X1754" s="580"/>
      <c r="Y1754" s="583">
        <f>IF(GLOBAL_DER_FEV_2023!W1754=0,0,IF(GLOBAL_DER_FEV_2023!W1754&gt;0,"c","b"))</f>
        <v>0</v>
      </c>
    </row>
    <row r="1755" spans="1:25" ht="15" hidden="1" customHeight="1" x14ac:dyDescent="0.2">
      <c r="A1755" s="317">
        <v>861030</v>
      </c>
      <c r="B1755" s="895">
        <v>861030</v>
      </c>
      <c r="C1755" s="896" t="s">
        <v>184</v>
      </c>
      <c r="D1755" s="906" t="s">
        <v>824</v>
      </c>
      <c r="E1755" s="907">
        <f>GLOBAL_DER_FEV_2023!E1755</f>
        <v>0</v>
      </c>
      <c r="F1755" s="908">
        <f>GLOBAL_DER_FEV_2023!F1755</f>
        <v>0</v>
      </c>
      <c r="G1755" s="912">
        <f>GLOBAL_DER_FEV_2023!G1755</f>
        <v>5.2482090000000001</v>
      </c>
      <c r="H1755" s="901">
        <f>GLOBAL_DER_FEV_2023!H1755</f>
        <v>286.49</v>
      </c>
      <c r="I1755" s="901">
        <f>GLOBAL_DER_FEV_2023!I1755</f>
        <v>291.73820899999998</v>
      </c>
      <c r="J1755" s="902">
        <f>GLOBAL_DER_FEV_2023!J1755</f>
        <v>350.29</v>
      </c>
      <c r="K1755" s="903" t="s">
        <v>10</v>
      </c>
      <c r="L1755" s="1137"/>
      <c r="M1755" s="1138">
        <f t="shared" si="132"/>
        <v>0</v>
      </c>
      <c r="N1755" s="1176">
        <f t="shared" si="131"/>
        <v>0</v>
      </c>
      <c r="O1755" s="905"/>
      <c r="Q1755" s="317" t="str">
        <f t="shared" ref="Q1755:Q1818" si="133">IF(P1755="X","x",IF(P1755="xx","x",IF(P1755="xy","x",IF(P1755="y","x",IF(OR(N1755&gt;0,N1755&gt;0),"x","")))))</f>
        <v/>
      </c>
      <c r="R1755" s="317" t="str">
        <f t="shared" si="129"/>
        <v/>
      </c>
      <c r="S1755" s="317" t="str">
        <f t="shared" si="130"/>
        <v/>
      </c>
      <c r="T1755" s="317" t="str">
        <f>GLOBAL_DER_FEV_2023!S1755</f>
        <v/>
      </c>
      <c r="W1755" s="582">
        <v>0</v>
      </c>
      <c r="X1755" s="580"/>
      <c r="Y1755" s="583">
        <f>IF(GLOBAL_DER_FEV_2023!W1755=0,0,IF(GLOBAL_DER_FEV_2023!W1755&gt;0,"c","b"))</f>
        <v>0</v>
      </c>
    </row>
    <row r="1756" spans="1:25" ht="15" hidden="1" customHeight="1" x14ac:dyDescent="0.2">
      <c r="A1756" s="317" t="s">
        <v>147</v>
      </c>
      <c r="B1756" s="895" t="s">
        <v>147</v>
      </c>
      <c r="C1756" s="896"/>
      <c r="D1756" s="957" t="s">
        <v>818</v>
      </c>
      <c r="E1756" s="907">
        <f>GLOBAL_DER_FEV_2023!E1756</f>
        <v>0</v>
      </c>
      <c r="F1756" s="908">
        <f>GLOBAL_DER_FEV_2023!F1756</f>
        <v>1.7250000000000001</v>
      </c>
      <c r="G1756" s="949">
        <f>GLOBAL_DER_FEV_2023!G1756</f>
        <v>4.6230000000000002</v>
      </c>
      <c r="H1756" s="901">
        <f>GLOBAL_DER_FEV_2023!H1756</f>
        <v>0</v>
      </c>
      <c r="I1756" s="901">
        <f>GLOBAL_DER_FEV_2023!I1756</f>
        <v>0</v>
      </c>
      <c r="J1756" s="902">
        <f>GLOBAL_DER_FEV_2023!J1756</f>
        <v>0</v>
      </c>
      <c r="K1756" s="958" t="s">
        <v>507</v>
      </c>
      <c r="L1756" s="959"/>
      <c r="M1756" s="1157">
        <f t="shared" si="132"/>
        <v>0</v>
      </c>
      <c r="N1756" s="1176">
        <f t="shared" si="131"/>
        <v>0</v>
      </c>
      <c r="O1756" s="905"/>
      <c r="P1756" s="58" t="str">
        <f>IF(N1755&gt;0,"xx",IF(N1755&gt;0,"xy",""))</f>
        <v/>
      </c>
      <c r="Q1756" s="317" t="str">
        <f t="shared" si="133"/>
        <v/>
      </c>
      <c r="R1756" s="317" t="str">
        <f t="shared" si="129"/>
        <v/>
      </c>
      <c r="S1756" s="317" t="str">
        <f t="shared" si="130"/>
        <v/>
      </c>
      <c r="T1756" s="317" t="str">
        <f>GLOBAL_DER_FEV_2023!S1756</f>
        <v/>
      </c>
      <c r="W1756" s="582">
        <v>0</v>
      </c>
      <c r="X1756" s="580"/>
      <c r="Y1756" s="583">
        <f>IF(GLOBAL_DER_FEV_2023!W1756=0,0,IF(GLOBAL_DER_FEV_2023!W1756&gt;0,"c","b"))</f>
        <v>0</v>
      </c>
    </row>
    <row r="1757" spans="1:25" ht="15" hidden="1" customHeight="1" x14ac:dyDescent="0.2">
      <c r="A1757" s="317" t="s">
        <v>147</v>
      </c>
      <c r="B1757" s="895" t="s">
        <v>147</v>
      </c>
      <c r="C1757" s="896"/>
      <c r="D1757" s="957" t="s">
        <v>323</v>
      </c>
      <c r="E1757" s="907">
        <f>GLOBAL_DER_FEV_2023!E1757</f>
        <v>45</v>
      </c>
      <c r="F1757" s="908">
        <f>GLOBAL_DER_FEV_2023!F1757</f>
        <v>1.23E-2</v>
      </c>
      <c r="G1757" s="949">
        <f>GLOBAL_DER_FEV_2023!G1757</f>
        <v>0.62520900000000001</v>
      </c>
      <c r="H1757" s="901">
        <f>GLOBAL_DER_FEV_2023!H1757</f>
        <v>0</v>
      </c>
      <c r="I1757" s="901">
        <f>GLOBAL_DER_FEV_2023!I1757</f>
        <v>0</v>
      </c>
      <c r="J1757" s="902">
        <f>GLOBAL_DER_FEV_2023!J1757</f>
        <v>0</v>
      </c>
      <c r="K1757" s="958" t="s">
        <v>507</v>
      </c>
      <c r="L1757" s="959"/>
      <c r="M1757" s="1157">
        <f t="shared" si="132"/>
        <v>0</v>
      </c>
      <c r="N1757" s="1176">
        <f t="shared" si="131"/>
        <v>0</v>
      </c>
      <c r="O1757" s="905"/>
      <c r="P1757" s="58" t="str">
        <f>IF(N1755&gt;0,"xx",IF(N1755&gt;0,"xy",""))</f>
        <v/>
      </c>
      <c r="Q1757" s="317" t="str">
        <f t="shared" si="133"/>
        <v/>
      </c>
      <c r="R1757" s="317" t="str">
        <f t="shared" ref="R1757:R1820" si="134">IF(P1757="X","x",IF(P1757="y","x",IF(P1757="xx","x",IF(N1757&gt;0,"x",""))))</f>
        <v/>
      </c>
      <c r="S1757" s="317" t="str">
        <f t="shared" ref="S1757:S1820" si="135">IF(P1757="X","x",IF(N1757&gt;0,"x",""))</f>
        <v/>
      </c>
      <c r="T1757" s="317" t="str">
        <f>GLOBAL_DER_FEV_2023!S1757</f>
        <v/>
      </c>
      <c r="W1757" s="582">
        <v>0</v>
      </c>
      <c r="X1757" s="580"/>
      <c r="Y1757" s="583">
        <f>IF(GLOBAL_DER_FEV_2023!W1757=0,0,IF(GLOBAL_DER_FEV_2023!W1757&gt;0,"c","b"))</f>
        <v>0</v>
      </c>
    </row>
    <row r="1758" spans="1:25" ht="15" hidden="1" customHeight="1" x14ac:dyDescent="0.2">
      <c r="A1758" s="317">
        <v>601200</v>
      </c>
      <c r="B1758" s="895" t="s">
        <v>1811</v>
      </c>
      <c r="C1758" s="896" t="s">
        <v>184</v>
      </c>
      <c r="D1758" s="906" t="s">
        <v>1519</v>
      </c>
      <c r="E1758" s="907">
        <f>GLOBAL_DER_FEV_2023!E1758</f>
        <v>0</v>
      </c>
      <c r="F1758" s="908">
        <f>GLOBAL_DER_FEV_2023!F1758</f>
        <v>0</v>
      </c>
      <c r="G1758" s="912">
        <f>GLOBAL_DER_FEV_2023!G1758</f>
        <v>0</v>
      </c>
      <c r="H1758" s="901">
        <f>GLOBAL_DER_FEV_2023!H1758</f>
        <v>34.119999999999997</v>
      </c>
      <c r="I1758" s="901">
        <f>GLOBAL_DER_FEV_2023!I1758</f>
        <v>30.707999999999998</v>
      </c>
      <c r="J1758" s="902">
        <f>GLOBAL_DER_FEV_2023!J1758</f>
        <v>36.869999999999997</v>
      </c>
      <c r="K1758" s="903" t="s">
        <v>10</v>
      </c>
      <c r="L1758" s="1137"/>
      <c r="M1758" s="1138">
        <f t="shared" si="132"/>
        <v>0</v>
      </c>
      <c r="N1758" s="1176">
        <f t="shared" si="131"/>
        <v>0</v>
      </c>
      <c r="O1758" s="905"/>
      <c r="Q1758" s="317" t="str">
        <f t="shared" si="133"/>
        <v/>
      </c>
      <c r="R1758" s="317" t="str">
        <f t="shared" si="134"/>
        <v/>
      </c>
      <c r="S1758" s="317" t="str">
        <f t="shared" si="135"/>
        <v/>
      </c>
      <c r="T1758" s="317" t="str">
        <f>GLOBAL_DER_FEV_2023!S1758</f>
        <v/>
      </c>
      <c r="W1758" s="582">
        <v>0</v>
      </c>
      <c r="X1758" s="580"/>
      <c r="Y1758" s="583">
        <f>IF(GLOBAL_DER_FEV_2023!W1758=0,0,IF(GLOBAL_DER_FEV_2023!W1758&gt;0,"c","b"))</f>
        <v>0</v>
      </c>
    </row>
    <row r="1759" spans="1:25" ht="15" hidden="1" customHeight="1" x14ac:dyDescent="0.2">
      <c r="A1759" s="317">
        <v>601200</v>
      </c>
      <c r="B1759" s="895" t="s">
        <v>1812</v>
      </c>
      <c r="C1759" s="896" t="s">
        <v>184</v>
      </c>
      <c r="D1759" s="906" t="s">
        <v>325</v>
      </c>
      <c r="E1759" s="907">
        <f>GLOBAL_DER_FEV_2023!E1759</f>
        <v>0</v>
      </c>
      <c r="F1759" s="908">
        <f>GLOBAL_DER_FEV_2023!F1759</f>
        <v>0</v>
      </c>
      <c r="G1759" s="912">
        <f>GLOBAL_DER_FEV_2023!G1759</f>
        <v>0</v>
      </c>
      <c r="H1759" s="901">
        <f>GLOBAL_DER_FEV_2023!H1759</f>
        <v>34.119999999999997</v>
      </c>
      <c r="I1759" s="901">
        <f>GLOBAL_DER_FEV_2023!I1759</f>
        <v>30.707999999999998</v>
      </c>
      <c r="J1759" s="902">
        <f>GLOBAL_DER_FEV_2023!J1759</f>
        <v>36.869999999999997</v>
      </c>
      <c r="K1759" s="903" t="s">
        <v>1520</v>
      </c>
      <c r="L1759" s="1137"/>
      <c r="M1759" s="1138">
        <f t="shared" si="132"/>
        <v>0</v>
      </c>
      <c r="N1759" s="1176">
        <f t="shared" si="131"/>
        <v>0</v>
      </c>
      <c r="O1759" s="905"/>
      <c r="Q1759" s="317" t="str">
        <f t="shared" si="133"/>
        <v/>
      </c>
      <c r="R1759" s="317" t="str">
        <f t="shared" si="134"/>
        <v/>
      </c>
      <c r="S1759" s="317" t="str">
        <f t="shared" si="135"/>
        <v/>
      </c>
      <c r="T1759" s="317" t="str">
        <f>GLOBAL_DER_FEV_2023!S1759</f>
        <v/>
      </c>
      <c r="W1759" s="582">
        <v>0</v>
      </c>
      <c r="X1759" s="580"/>
      <c r="Y1759" s="583">
        <f>IF(GLOBAL_DER_FEV_2023!W1759=0,0,IF(GLOBAL_DER_FEV_2023!W1759&gt;0,"c","b"))</f>
        <v>0</v>
      </c>
    </row>
    <row r="1760" spans="1:25" ht="15" hidden="1" customHeight="1" x14ac:dyDescent="0.2">
      <c r="A1760" s="317">
        <v>97623</v>
      </c>
      <c r="B1760" s="895" t="s">
        <v>1728</v>
      </c>
      <c r="C1760" s="896" t="s">
        <v>596</v>
      </c>
      <c r="D1760" s="897" t="s">
        <v>1724</v>
      </c>
      <c r="E1760" s="898">
        <f>GLOBAL_DER_FEV_2023!E1760</f>
        <v>0</v>
      </c>
      <c r="F1760" s="899">
        <f>GLOBAL_DER_FEV_2023!F1760</f>
        <v>0</v>
      </c>
      <c r="G1760" s="900">
        <f>GLOBAL_DER_FEV_2023!G1760</f>
        <v>0</v>
      </c>
      <c r="H1760" s="901">
        <f>GLOBAL_DER_FEV_2023!H1760</f>
        <v>201.31</v>
      </c>
      <c r="I1760" s="901">
        <f>GLOBAL_DER_FEV_2023!I1760</f>
        <v>201.31</v>
      </c>
      <c r="J1760" s="902">
        <f>GLOBAL_DER_FEV_2023!J1760</f>
        <v>241.71</v>
      </c>
      <c r="K1760" s="903" t="s">
        <v>10</v>
      </c>
      <c r="L1760" s="1139"/>
      <c r="M1760" s="1140">
        <f t="shared" si="132"/>
        <v>0</v>
      </c>
      <c r="N1760" s="1176">
        <f t="shared" si="131"/>
        <v>0</v>
      </c>
      <c r="O1760" s="905"/>
      <c r="Q1760" s="317" t="str">
        <f t="shared" si="133"/>
        <v/>
      </c>
      <c r="R1760" s="317" t="str">
        <f t="shared" si="134"/>
        <v/>
      </c>
      <c r="S1760" s="317" t="str">
        <f t="shared" si="135"/>
        <v/>
      </c>
      <c r="T1760" s="317" t="str">
        <f>GLOBAL_DER_FEV_2023!S1760</f>
        <v/>
      </c>
      <c r="W1760" s="582">
        <v>0</v>
      </c>
      <c r="X1760" s="580"/>
      <c r="Y1760" s="583">
        <f>IF(GLOBAL_DER_FEV_2023!W1760=0,0,IF(GLOBAL_DER_FEV_2023!W1760&gt;0,"c","b"))</f>
        <v>0</v>
      </c>
    </row>
    <row r="1761" spans="1:25" ht="15" hidden="1" customHeight="1" x14ac:dyDescent="0.2">
      <c r="A1761" s="317">
        <v>97624</v>
      </c>
      <c r="B1761" s="895" t="s">
        <v>1727</v>
      </c>
      <c r="C1761" s="896" t="s">
        <v>596</v>
      </c>
      <c r="D1761" s="897" t="s">
        <v>1721</v>
      </c>
      <c r="E1761" s="898">
        <f>GLOBAL_DER_FEV_2023!E1761</f>
        <v>0</v>
      </c>
      <c r="F1761" s="899">
        <f>GLOBAL_DER_FEV_2023!F1761</f>
        <v>0</v>
      </c>
      <c r="G1761" s="900">
        <f>GLOBAL_DER_FEV_2023!G1761</f>
        <v>0</v>
      </c>
      <c r="H1761" s="901">
        <f>GLOBAL_DER_FEV_2023!H1761</f>
        <v>123.54</v>
      </c>
      <c r="I1761" s="901">
        <f>GLOBAL_DER_FEV_2023!I1761</f>
        <v>123.54</v>
      </c>
      <c r="J1761" s="902">
        <f>GLOBAL_DER_FEV_2023!J1761</f>
        <v>148.33000000000001</v>
      </c>
      <c r="K1761" s="903" t="s">
        <v>10</v>
      </c>
      <c r="L1761" s="1139"/>
      <c r="M1761" s="1140">
        <f t="shared" si="132"/>
        <v>0</v>
      </c>
      <c r="N1761" s="1176">
        <f t="shared" ref="N1761:N1824" si="136">IF(ISBLANK(L1761),0,IF(W1761=0,ROUND(L1761*M1761,2),IF(W1761="b",ROUNDDOWN(L1761*M1761,2),ROUNDUP(L1761*M1761,2))))</f>
        <v>0</v>
      </c>
      <c r="O1761" s="905"/>
      <c r="Q1761" s="317" t="str">
        <f t="shared" si="133"/>
        <v/>
      </c>
      <c r="R1761" s="317" t="str">
        <f t="shared" si="134"/>
        <v/>
      </c>
      <c r="S1761" s="317" t="str">
        <f t="shared" si="135"/>
        <v/>
      </c>
      <c r="T1761" s="317" t="str">
        <f>GLOBAL_DER_FEV_2023!S1761</f>
        <v/>
      </c>
      <c r="W1761" s="582">
        <v>0</v>
      </c>
      <c r="X1761" s="580"/>
      <c r="Y1761" s="583">
        <f>IF(GLOBAL_DER_FEV_2023!W1761=0,0,IF(GLOBAL_DER_FEV_2023!W1761&gt;0,"c","b"))</f>
        <v>0</v>
      </c>
    </row>
    <row r="1762" spans="1:25" ht="15" hidden="1" customHeight="1" x14ac:dyDescent="0.2">
      <c r="A1762" s="317">
        <v>606500</v>
      </c>
      <c r="B1762" s="895" t="s">
        <v>1729</v>
      </c>
      <c r="C1762" s="896" t="s">
        <v>184</v>
      </c>
      <c r="D1762" s="906" t="s">
        <v>466</v>
      </c>
      <c r="E1762" s="907">
        <f>GLOBAL_DER_FEV_2023!E1762</f>
        <v>0</v>
      </c>
      <c r="F1762" s="908">
        <f>GLOBAL_DER_FEV_2023!F1762</f>
        <v>0</v>
      </c>
      <c r="G1762" s="912">
        <f>GLOBAL_DER_FEV_2023!G1762</f>
        <v>0</v>
      </c>
      <c r="H1762" s="901">
        <f>GLOBAL_DER_FEV_2023!H1762</f>
        <v>182.46</v>
      </c>
      <c r="I1762" s="901">
        <f>GLOBAL_DER_FEV_2023!I1762</f>
        <v>182.46</v>
      </c>
      <c r="J1762" s="902">
        <f>GLOBAL_DER_FEV_2023!J1762</f>
        <v>219.08</v>
      </c>
      <c r="K1762" s="903" t="s">
        <v>10</v>
      </c>
      <c r="L1762" s="1137"/>
      <c r="M1762" s="1138">
        <f t="shared" si="132"/>
        <v>0</v>
      </c>
      <c r="N1762" s="1176">
        <f t="shared" si="136"/>
        <v>0</v>
      </c>
      <c r="O1762" s="905"/>
      <c r="Q1762" s="317" t="str">
        <f t="shared" si="133"/>
        <v/>
      </c>
      <c r="R1762" s="317" t="str">
        <f t="shared" si="134"/>
        <v/>
      </c>
      <c r="S1762" s="317" t="str">
        <f t="shared" si="135"/>
        <v/>
      </c>
      <c r="T1762" s="317" t="str">
        <f>GLOBAL_DER_FEV_2023!S1762</f>
        <v/>
      </c>
      <c r="W1762" s="582">
        <v>0</v>
      </c>
      <c r="X1762" s="580"/>
      <c r="Y1762" s="583">
        <f>IF(GLOBAL_DER_FEV_2023!W1762=0,0,IF(GLOBAL_DER_FEV_2023!W1762&gt;0,"c","b"))</f>
        <v>0</v>
      </c>
    </row>
    <row r="1763" spans="1:25" ht="15" hidden="1" customHeight="1" x14ac:dyDescent="0.2">
      <c r="A1763" s="317">
        <v>606700</v>
      </c>
      <c r="B1763" s="895" t="s">
        <v>1706</v>
      </c>
      <c r="C1763" s="896" t="s">
        <v>184</v>
      </c>
      <c r="D1763" s="906" t="s">
        <v>177</v>
      </c>
      <c r="E1763" s="907">
        <f>GLOBAL_DER_FEV_2023!E1763</f>
        <v>0</v>
      </c>
      <c r="F1763" s="908">
        <f>GLOBAL_DER_FEV_2023!F1763</f>
        <v>0</v>
      </c>
      <c r="G1763" s="912">
        <f>GLOBAL_DER_FEV_2023!G1763</f>
        <v>0</v>
      </c>
      <c r="H1763" s="901">
        <f>GLOBAL_DER_FEV_2023!H1763</f>
        <v>148.04</v>
      </c>
      <c r="I1763" s="901">
        <f>GLOBAL_DER_FEV_2023!I1763</f>
        <v>148.04</v>
      </c>
      <c r="J1763" s="902">
        <f>GLOBAL_DER_FEV_2023!J1763</f>
        <v>177.75</v>
      </c>
      <c r="K1763" s="903" t="s">
        <v>10</v>
      </c>
      <c r="L1763" s="1137"/>
      <c r="M1763" s="1138">
        <f t="shared" si="132"/>
        <v>0</v>
      </c>
      <c r="N1763" s="1176">
        <f t="shared" si="136"/>
        <v>0</v>
      </c>
      <c r="O1763" s="905"/>
      <c r="Q1763" s="317" t="str">
        <f t="shared" si="133"/>
        <v/>
      </c>
      <c r="R1763" s="317" t="str">
        <f t="shared" si="134"/>
        <v/>
      </c>
      <c r="S1763" s="317" t="str">
        <f t="shared" si="135"/>
        <v/>
      </c>
      <c r="T1763" s="317" t="str">
        <f>GLOBAL_DER_FEV_2023!S1763</f>
        <v/>
      </c>
      <c r="W1763" s="582">
        <v>0</v>
      </c>
      <c r="X1763" s="580"/>
      <c r="Y1763" s="583">
        <f>IF(GLOBAL_DER_FEV_2023!W1763=0,0,IF(GLOBAL_DER_FEV_2023!W1763&gt;0,"c","b"))</f>
        <v>0</v>
      </c>
    </row>
    <row r="1764" spans="1:25" ht="15" hidden="1" customHeight="1" x14ac:dyDescent="0.2">
      <c r="A1764" s="317">
        <v>606600</v>
      </c>
      <c r="B1764" s="895" t="s">
        <v>1703</v>
      </c>
      <c r="C1764" s="896" t="s">
        <v>184</v>
      </c>
      <c r="D1764" s="906" t="s">
        <v>178</v>
      </c>
      <c r="E1764" s="907">
        <f>GLOBAL_DER_FEV_2023!E1764</f>
        <v>0</v>
      </c>
      <c r="F1764" s="908">
        <f>GLOBAL_DER_FEV_2023!F1764</f>
        <v>0</v>
      </c>
      <c r="G1764" s="912">
        <f>GLOBAL_DER_FEV_2023!G1764</f>
        <v>0</v>
      </c>
      <c r="H1764" s="901">
        <f>GLOBAL_DER_FEV_2023!H1764</f>
        <v>309.52999999999997</v>
      </c>
      <c r="I1764" s="901">
        <f>GLOBAL_DER_FEV_2023!I1764</f>
        <v>309.52999999999997</v>
      </c>
      <c r="J1764" s="902">
        <f>GLOBAL_DER_FEV_2023!J1764</f>
        <v>371.65</v>
      </c>
      <c r="K1764" s="903" t="s">
        <v>10</v>
      </c>
      <c r="L1764" s="1137"/>
      <c r="M1764" s="1138">
        <f t="shared" si="132"/>
        <v>0</v>
      </c>
      <c r="N1764" s="1176">
        <f t="shared" si="136"/>
        <v>0</v>
      </c>
      <c r="O1764" s="905"/>
      <c r="Q1764" s="317" t="str">
        <f t="shared" si="133"/>
        <v/>
      </c>
      <c r="R1764" s="317" t="str">
        <f t="shared" si="134"/>
        <v/>
      </c>
      <c r="S1764" s="317" t="str">
        <f t="shared" si="135"/>
        <v/>
      </c>
      <c r="T1764" s="317" t="str">
        <f>GLOBAL_DER_FEV_2023!S1764</f>
        <v/>
      </c>
      <c r="W1764" s="582">
        <v>0</v>
      </c>
      <c r="X1764" s="580"/>
      <c r="Y1764" s="583">
        <f>IF(GLOBAL_DER_FEV_2023!W1764=0,0,IF(GLOBAL_DER_FEV_2023!W1764&gt;0,"c","b"))</f>
        <v>0</v>
      </c>
    </row>
    <row r="1765" spans="1:25" ht="15" hidden="1" customHeight="1" x14ac:dyDescent="0.2">
      <c r="A1765" s="317">
        <v>602000</v>
      </c>
      <c r="B1765" s="895" t="s">
        <v>1997</v>
      </c>
      <c r="C1765" s="896" t="s">
        <v>184</v>
      </c>
      <c r="D1765" s="906" t="s">
        <v>1994</v>
      </c>
      <c r="E1765" s="907">
        <f>GLOBAL_DER_FEV_2023!E1765</f>
        <v>0</v>
      </c>
      <c r="F1765" s="908">
        <f>GLOBAL_DER_FEV_2023!F1765</f>
        <v>0</v>
      </c>
      <c r="G1765" s="912">
        <f>GLOBAL_DER_FEV_2023!G1765</f>
        <v>0</v>
      </c>
      <c r="H1765" s="901">
        <f>GLOBAL_DER_FEV_2023!H1765</f>
        <v>62.53</v>
      </c>
      <c r="I1765" s="901">
        <f>GLOBAL_DER_FEV_2023!I1765</f>
        <v>62.53</v>
      </c>
      <c r="J1765" s="902">
        <f>GLOBAL_DER_FEV_2023!J1765</f>
        <v>75.08</v>
      </c>
      <c r="K1765" s="903" t="s">
        <v>12</v>
      </c>
      <c r="L1765" s="1137"/>
      <c r="M1765" s="1138">
        <f t="shared" si="132"/>
        <v>0</v>
      </c>
      <c r="N1765" s="1176">
        <f t="shared" si="136"/>
        <v>0</v>
      </c>
      <c r="O1765" s="905"/>
      <c r="Q1765" s="317" t="str">
        <f t="shared" si="133"/>
        <v/>
      </c>
      <c r="R1765" s="317" t="str">
        <f t="shared" si="134"/>
        <v/>
      </c>
      <c r="S1765" s="317" t="str">
        <f t="shared" si="135"/>
        <v/>
      </c>
      <c r="T1765" s="317" t="str">
        <f>GLOBAL_DER_FEV_2023!S1765</f>
        <v/>
      </c>
      <c r="W1765" s="582">
        <v>0</v>
      </c>
      <c r="X1765" s="580"/>
      <c r="Y1765" s="583">
        <f>IF(GLOBAL_DER_FEV_2023!W1765=0,0,IF(GLOBAL_DER_FEV_2023!W1765&gt;0,"c","b"))</f>
        <v>0</v>
      </c>
    </row>
    <row r="1766" spans="1:25" ht="15" hidden="1" customHeight="1" x14ac:dyDescent="0.2">
      <c r="A1766" s="317">
        <v>603000</v>
      </c>
      <c r="B1766" s="895" t="s">
        <v>1770</v>
      </c>
      <c r="C1766" s="896" t="s">
        <v>184</v>
      </c>
      <c r="D1766" s="906" t="s">
        <v>261</v>
      </c>
      <c r="E1766" s="907">
        <f>GLOBAL_DER_FEV_2023!E1766</f>
        <v>0</v>
      </c>
      <c r="F1766" s="908">
        <f>GLOBAL_DER_FEV_2023!F1766</f>
        <v>0</v>
      </c>
      <c r="G1766" s="912">
        <f>GLOBAL_DER_FEV_2023!G1766</f>
        <v>0</v>
      </c>
      <c r="H1766" s="901">
        <f>GLOBAL_DER_FEV_2023!H1766</f>
        <v>18.34</v>
      </c>
      <c r="I1766" s="901">
        <f>GLOBAL_DER_FEV_2023!I1766</f>
        <v>18.34</v>
      </c>
      <c r="J1766" s="902">
        <f>GLOBAL_DER_FEV_2023!J1766</f>
        <v>22.02</v>
      </c>
      <c r="K1766" s="903" t="s">
        <v>16</v>
      </c>
      <c r="L1766" s="1137"/>
      <c r="M1766" s="1138">
        <f t="shared" si="132"/>
        <v>0</v>
      </c>
      <c r="N1766" s="1176">
        <f t="shared" si="136"/>
        <v>0</v>
      </c>
      <c r="O1766" s="905"/>
      <c r="Q1766" s="317" t="str">
        <f t="shared" si="133"/>
        <v/>
      </c>
      <c r="R1766" s="317" t="str">
        <f t="shared" si="134"/>
        <v/>
      </c>
      <c r="S1766" s="317" t="str">
        <f t="shared" si="135"/>
        <v/>
      </c>
      <c r="T1766" s="317" t="str">
        <f>GLOBAL_DER_FEV_2023!S1766</f>
        <v/>
      </c>
      <c r="W1766" s="582">
        <v>0</v>
      </c>
      <c r="X1766" s="580"/>
      <c r="Y1766" s="583">
        <f>IF(GLOBAL_DER_FEV_2023!W1766=0,0,IF(GLOBAL_DER_FEV_2023!W1766&gt;0,"c","b"))</f>
        <v>0</v>
      </c>
    </row>
    <row r="1767" spans="1:25" ht="15" hidden="1" customHeight="1" x14ac:dyDescent="0.2">
      <c r="A1767" s="317">
        <v>603300</v>
      </c>
      <c r="B1767" s="895" t="s">
        <v>1773</v>
      </c>
      <c r="C1767" s="896" t="s">
        <v>184</v>
      </c>
      <c r="D1767" s="906" t="s">
        <v>262</v>
      </c>
      <c r="E1767" s="907">
        <f>GLOBAL_DER_FEV_2023!E1767</f>
        <v>0</v>
      </c>
      <c r="F1767" s="908">
        <f>GLOBAL_DER_FEV_2023!F1767</f>
        <v>0</v>
      </c>
      <c r="G1767" s="912">
        <f>GLOBAL_DER_FEV_2023!G1767</f>
        <v>0</v>
      </c>
      <c r="H1767" s="901">
        <f>GLOBAL_DER_FEV_2023!H1767</f>
        <v>20.91</v>
      </c>
      <c r="I1767" s="901">
        <f>GLOBAL_DER_FEV_2023!I1767</f>
        <v>20.91</v>
      </c>
      <c r="J1767" s="902">
        <f>GLOBAL_DER_FEV_2023!J1767</f>
        <v>25.11</v>
      </c>
      <c r="K1767" s="903" t="s">
        <v>16</v>
      </c>
      <c r="L1767" s="1137"/>
      <c r="M1767" s="1138">
        <f t="shared" si="132"/>
        <v>0</v>
      </c>
      <c r="N1767" s="1176">
        <f t="shared" si="136"/>
        <v>0</v>
      </c>
      <c r="O1767" s="905"/>
      <c r="Q1767" s="317" t="str">
        <f t="shared" si="133"/>
        <v/>
      </c>
      <c r="R1767" s="317" t="str">
        <f t="shared" si="134"/>
        <v/>
      </c>
      <c r="S1767" s="317" t="str">
        <f t="shared" si="135"/>
        <v/>
      </c>
      <c r="T1767" s="317" t="str">
        <f>GLOBAL_DER_FEV_2023!S1767</f>
        <v/>
      </c>
      <c r="W1767" s="582">
        <v>0</v>
      </c>
      <c r="X1767" s="580"/>
      <c r="Y1767" s="583">
        <f>IF(GLOBAL_DER_FEV_2023!W1767=0,0,IF(GLOBAL_DER_FEV_2023!W1767&gt;0,"c","b"))</f>
        <v>0</v>
      </c>
    </row>
    <row r="1768" spans="1:25" ht="15" hidden="1" customHeight="1" x14ac:dyDescent="0.2">
      <c r="A1768" s="317">
        <v>603600</v>
      </c>
      <c r="B1768" s="895">
        <v>603600</v>
      </c>
      <c r="C1768" s="896" t="s">
        <v>184</v>
      </c>
      <c r="D1768" s="906" t="s">
        <v>326</v>
      </c>
      <c r="E1768" s="907">
        <f>GLOBAL_DER_FEV_2023!E1768</f>
        <v>0</v>
      </c>
      <c r="F1768" s="908">
        <f>GLOBAL_DER_FEV_2023!F1768</f>
        <v>0</v>
      </c>
      <c r="G1768" s="912">
        <f>GLOBAL_DER_FEV_2023!G1768</f>
        <v>112.0478</v>
      </c>
      <c r="H1768" s="901">
        <f>GLOBAL_DER_FEV_2023!H1768</f>
        <v>291.92</v>
      </c>
      <c r="I1768" s="901">
        <f>GLOBAL_DER_FEV_2023!I1768</f>
        <v>403.96780000000001</v>
      </c>
      <c r="J1768" s="902">
        <f>GLOBAL_DER_FEV_2023!J1768</f>
        <v>485.04</v>
      </c>
      <c r="K1768" s="903" t="s">
        <v>10</v>
      </c>
      <c r="L1768" s="1137"/>
      <c r="M1768" s="1138">
        <f t="shared" si="132"/>
        <v>0</v>
      </c>
      <c r="N1768" s="1176">
        <f t="shared" si="136"/>
        <v>0</v>
      </c>
      <c r="O1768" s="905"/>
      <c r="Q1768" s="317" t="str">
        <f t="shared" si="133"/>
        <v/>
      </c>
      <c r="R1768" s="317" t="str">
        <f t="shared" si="134"/>
        <v/>
      </c>
      <c r="S1768" s="317" t="str">
        <f t="shared" si="135"/>
        <v/>
      </c>
      <c r="T1768" s="317" t="str">
        <f>GLOBAL_DER_FEV_2023!S1768</f>
        <v/>
      </c>
      <c r="W1768" s="582">
        <v>0</v>
      </c>
      <c r="X1768" s="580"/>
      <c r="Y1768" s="583">
        <f>IF(GLOBAL_DER_FEV_2023!W1768=0,0,IF(GLOBAL_DER_FEV_2023!W1768&gt;0,"c","b"))</f>
        <v>0</v>
      </c>
    </row>
    <row r="1769" spans="1:25" ht="15" hidden="1" customHeight="1" x14ac:dyDescent="0.2">
      <c r="A1769" s="317" t="s">
        <v>147</v>
      </c>
      <c r="B1769" s="895" t="s">
        <v>147</v>
      </c>
      <c r="C1769" s="896"/>
      <c r="D1769" s="906" t="s">
        <v>190</v>
      </c>
      <c r="E1769" s="907">
        <f>GLOBAL_DER_FEV_2023!E1769</f>
        <v>308</v>
      </c>
      <c r="F1769" s="908">
        <f>GLOBAL_DER_FEV_2023!F1769</f>
        <v>0.1</v>
      </c>
      <c r="G1769" s="909">
        <f>GLOBAL_DER_FEV_2023!G1769</f>
        <v>24.806000000000001</v>
      </c>
      <c r="H1769" s="901">
        <f>GLOBAL_DER_FEV_2023!H1769</f>
        <v>0</v>
      </c>
      <c r="I1769" s="901">
        <f>GLOBAL_DER_FEV_2023!I1769</f>
        <v>0</v>
      </c>
      <c r="J1769" s="902">
        <f>GLOBAL_DER_FEV_2023!J1769</f>
        <v>0</v>
      </c>
      <c r="K1769" s="903"/>
      <c r="L1769" s="1177"/>
      <c r="M1769" s="1138">
        <f t="shared" si="132"/>
        <v>0</v>
      </c>
      <c r="N1769" s="1176">
        <f t="shared" si="136"/>
        <v>0</v>
      </c>
      <c r="O1769" s="905"/>
      <c r="P1769" s="36" t="str">
        <f>IF(N1768&gt;0,"xx",IF(N1768&gt;0,"xy",""))</f>
        <v/>
      </c>
      <c r="Q1769" s="317" t="str">
        <f t="shared" si="133"/>
        <v/>
      </c>
      <c r="R1769" s="317" t="str">
        <f t="shared" si="134"/>
        <v/>
      </c>
      <c r="S1769" s="317" t="str">
        <f t="shared" si="135"/>
        <v/>
      </c>
      <c r="T1769" s="317" t="str">
        <f>GLOBAL_DER_FEV_2023!S1769</f>
        <v/>
      </c>
      <c r="W1769" s="582">
        <v>0</v>
      </c>
      <c r="X1769" s="580"/>
      <c r="Y1769" s="583">
        <f>IF(GLOBAL_DER_FEV_2023!W1769=0,0,IF(GLOBAL_DER_FEV_2023!W1769&gt;0,"c","b"))</f>
        <v>0</v>
      </c>
    </row>
    <row r="1770" spans="1:25" ht="15" hidden="1" customHeight="1" x14ac:dyDescent="0.2">
      <c r="A1770" s="317" t="s">
        <v>147</v>
      </c>
      <c r="B1770" s="895" t="s">
        <v>147</v>
      </c>
      <c r="C1770" s="896"/>
      <c r="D1770" s="906" t="s">
        <v>229</v>
      </c>
      <c r="E1770" s="907">
        <f>GLOBAL_DER_FEV_2023!E1770</f>
        <v>150</v>
      </c>
      <c r="F1770" s="908">
        <f>GLOBAL_DER_FEV_2023!F1770</f>
        <v>0.51</v>
      </c>
      <c r="G1770" s="949">
        <f>GLOBAL_DER_FEV_2023!G1770</f>
        <v>83.221800000000002</v>
      </c>
      <c r="H1770" s="901">
        <f>GLOBAL_DER_FEV_2023!H1770</f>
        <v>0</v>
      </c>
      <c r="I1770" s="901">
        <f>GLOBAL_DER_FEV_2023!I1770</f>
        <v>0</v>
      </c>
      <c r="J1770" s="902">
        <f>GLOBAL_DER_FEV_2023!J1770</f>
        <v>0</v>
      </c>
      <c r="K1770" s="903"/>
      <c r="L1770" s="1177"/>
      <c r="M1770" s="1138">
        <f t="shared" si="132"/>
        <v>0</v>
      </c>
      <c r="N1770" s="1176">
        <f t="shared" si="136"/>
        <v>0</v>
      </c>
      <c r="O1770" s="905"/>
      <c r="P1770" s="36" t="str">
        <f>IF(N1768&gt;0,"xx",IF(N1768&gt;0,"xy",""))</f>
        <v/>
      </c>
      <c r="Q1770" s="317" t="str">
        <f t="shared" si="133"/>
        <v/>
      </c>
      <c r="R1770" s="317" t="str">
        <f t="shared" si="134"/>
        <v/>
      </c>
      <c r="S1770" s="317" t="str">
        <f t="shared" si="135"/>
        <v/>
      </c>
      <c r="T1770" s="317" t="str">
        <f>GLOBAL_DER_FEV_2023!S1770</f>
        <v/>
      </c>
      <c r="W1770" s="582">
        <v>0</v>
      </c>
      <c r="X1770" s="580"/>
      <c r="Y1770" s="583">
        <f>IF(GLOBAL_DER_FEV_2023!W1770=0,0,IF(GLOBAL_DER_FEV_2023!W1770&gt;0,"c","b"))</f>
        <v>0</v>
      </c>
    </row>
    <row r="1771" spans="1:25" ht="15" hidden="1" customHeight="1" x14ac:dyDescent="0.2">
      <c r="A1771" s="317" t="s">
        <v>147</v>
      </c>
      <c r="B1771" s="895" t="s">
        <v>147</v>
      </c>
      <c r="C1771" s="896"/>
      <c r="D1771" s="906" t="s">
        <v>233</v>
      </c>
      <c r="E1771" s="907">
        <f>GLOBAL_DER_FEV_2023!E1771</f>
        <v>0</v>
      </c>
      <c r="F1771" s="908">
        <f>GLOBAL_DER_FEV_2023!F1771</f>
        <v>1.5</v>
      </c>
      <c r="G1771" s="949">
        <f>GLOBAL_DER_FEV_2023!G1771</f>
        <v>4.0200000000000005</v>
      </c>
      <c r="H1771" s="901">
        <f>GLOBAL_DER_FEV_2023!H1771</f>
        <v>0</v>
      </c>
      <c r="I1771" s="901">
        <f>GLOBAL_DER_FEV_2023!I1771</f>
        <v>0</v>
      </c>
      <c r="J1771" s="902">
        <f>GLOBAL_DER_FEV_2023!J1771</f>
        <v>0</v>
      </c>
      <c r="K1771" s="903"/>
      <c r="L1771" s="1177"/>
      <c r="M1771" s="1138">
        <f t="shared" si="132"/>
        <v>0</v>
      </c>
      <c r="N1771" s="1176">
        <f t="shared" si="136"/>
        <v>0</v>
      </c>
      <c r="O1771" s="905"/>
      <c r="P1771" s="36" t="str">
        <f>IF(N1768&gt;0,"xx",IF(N1768&gt;0,"xy",""))</f>
        <v/>
      </c>
      <c r="Q1771" s="317" t="str">
        <f t="shared" si="133"/>
        <v/>
      </c>
      <c r="R1771" s="317" t="str">
        <f t="shared" si="134"/>
        <v/>
      </c>
      <c r="S1771" s="317" t="str">
        <f t="shared" si="135"/>
        <v/>
      </c>
      <c r="T1771" s="317" t="str">
        <f>GLOBAL_DER_FEV_2023!S1771</f>
        <v/>
      </c>
      <c r="W1771" s="582">
        <v>0</v>
      </c>
      <c r="X1771" s="580"/>
      <c r="Y1771" s="583">
        <f>IF(GLOBAL_DER_FEV_2023!W1771=0,0,IF(GLOBAL_DER_FEV_2023!W1771&gt;0,"c","b"))</f>
        <v>0</v>
      </c>
    </row>
    <row r="1772" spans="1:25" ht="15" hidden="1" customHeight="1" x14ac:dyDescent="0.2">
      <c r="A1772" s="317">
        <v>603700</v>
      </c>
      <c r="B1772" s="895" t="s">
        <v>1801</v>
      </c>
      <c r="C1772" s="896" t="s">
        <v>184</v>
      </c>
      <c r="D1772" s="906" t="s">
        <v>327</v>
      </c>
      <c r="E1772" s="907">
        <f>GLOBAL_DER_FEV_2023!E1772</f>
        <v>0</v>
      </c>
      <c r="F1772" s="908">
        <f>GLOBAL_DER_FEV_2023!F1772</f>
        <v>1.8</v>
      </c>
      <c r="G1772" s="949">
        <f>GLOBAL_DER_FEV_2023!G1772</f>
        <v>4.8240000000000007</v>
      </c>
      <c r="H1772" s="901">
        <f>GLOBAL_DER_FEV_2023!H1772</f>
        <v>213.87</v>
      </c>
      <c r="I1772" s="901">
        <f>GLOBAL_DER_FEV_2023!I1772</f>
        <v>218.69400000000002</v>
      </c>
      <c r="J1772" s="902">
        <f>GLOBAL_DER_FEV_2023!J1772</f>
        <v>262.58999999999997</v>
      </c>
      <c r="K1772" s="903" t="s">
        <v>10</v>
      </c>
      <c r="L1772" s="1137"/>
      <c r="M1772" s="1138">
        <f t="shared" si="132"/>
        <v>0</v>
      </c>
      <c r="N1772" s="1176">
        <f t="shared" si="136"/>
        <v>0</v>
      </c>
      <c r="O1772" s="905"/>
      <c r="Q1772" s="317" t="str">
        <f t="shared" si="133"/>
        <v/>
      </c>
      <c r="R1772" s="317" t="str">
        <f t="shared" si="134"/>
        <v/>
      </c>
      <c r="S1772" s="317" t="str">
        <f t="shared" si="135"/>
        <v/>
      </c>
      <c r="T1772" s="317" t="str">
        <f>GLOBAL_DER_FEV_2023!S1772</f>
        <v/>
      </c>
      <c r="W1772" s="582">
        <v>0</v>
      </c>
      <c r="X1772" s="580"/>
      <c r="Y1772" s="583">
        <f>IF(GLOBAL_DER_FEV_2023!W1772=0,0,IF(GLOBAL_DER_FEV_2023!W1772&gt;0,"c","b"))</f>
        <v>0</v>
      </c>
    </row>
    <row r="1773" spans="1:25" ht="15" hidden="1" customHeight="1" x14ac:dyDescent="0.2">
      <c r="A1773" s="317">
        <v>603800</v>
      </c>
      <c r="B1773" s="895" t="s">
        <v>1802</v>
      </c>
      <c r="C1773" s="896" t="s">
        <v>184</v>
      </c>
      <c r="D1773" s="906" t="s">
        <v>328</v>
      </c>
      <c r="E1773" s="907">
        <f>GLOBAL_DER_FEV_2023!E1773</f>
        <v>0</v>
      </c>
      <c r="F1773" s="908">
        <f>GLOBAL_DER_FEV_2023!F1773</f>
        <v>1.5</v>
      </c>
      <c r="G1773" s="949">
        <f>GLOBAL_DER_FEV_2023!G1773</f>
        <v>4.0200000000000005</v>
      </c>
      <c r="H1773" s="901">
        <f>GLOBAL_DER_FEV_2023!H1773</f>
        <v>126.05</v>
      </c>
      <c r="I1773" s="901">
        <f>GLOBAL_DER_FEV_2023!I1773</f>
        <v>130.07</v>
      </c>
      <c r="J1773" s="902">
        <f>GLOBAL_DER_FEV_2023!J1773</f>
        <v>156.18</v>
      </c>
      <c r="K1773" s="903" t="s">
        <v>10</v>
      </c>
      <c r="L1773" s="1137"/>
      <c r="M1773" s="1138">
        <f t="shared" si="132"/>
        <v>0</v>
      </c>
      <c r="N1773" s="1176">
        <f t="shared" si="136"/>
        <v>0</v>
      </c>
      <c r="O1773" s="905"/>
      <c r="Q1773" s="317" t="str">
        <f t="shared" si="133"/>
        <v/>
      </c>
      <c r="R1773" s="317" t="str">
        <f t="shared" si="134"/>
        <v/>
      </c>
      <c r="S1773" s="317" t="str">
        <f t="shared" si="135"/>
        <v/>
      </c>
      <c r="T1773" s="317" t="str">
        <f>GLOBAL_DER_FEV_2023!S1773</f>
        <v/>
      </c>
      <c r="W1773" s="582">
        <v>0</v>
      </c>
      <c r="X1773" s="580"/>
      <c r="Y1773" s="583">
        <f>IF(GLOBAL_DER_FEV_2023!W1773=0,0,IF(GLOBAL_DER_FEV_2023!W1773&gt;0,"c","b"))</f>
        <v>0</v>
      </c>
    </row>
    <row r="1774" spans="1:25" ht="15" hidden="1" customHeight="1" x14ac:dyDescent="0.2">
      <c r="A1774" s="317">
        <v>532500</v>
      </c>
      <c r="B1774" s="895" t="s">
        <v>1739</v>
      </c>
      <c r="C1774" s="896" t="s">
        <v>184</v>
      </c>
      <c r="D1774" s="957" t="s">
        <v>329</v>
      </c>
      <c r="E1774" s="907">
        <f>GLOBAL_DER_FEV_2023!E1774</f>
        <v>150</v>
      </c>
      <c r="F1774" s="908">
        <f>GLOBAL_DER_FEV_2023!F1774</f>
        <v>1.7250000000000001</v>
      </c>
      <c r="G1774" s="949">
        <f>GLOBAL_DER_FEV_2023!G1774</f>
        <v>281.4855</v>
      </c>
      <c r="H1774" s="901">
        <f>GLOBAL_DER_FEV_2023!H1774</f>
        <v>102.38</v>
      </c>
      <c r="I1774" s="901">
        <f>GLOBAL_DER_FEV_2023!I1774</f>
        <v>383.8655</v>
      </c>
      <c r="J1774" s="902">
        <f>GLOBAL_DER_FEV_2023!J1774</f>
        <v>460.91</v>
      </c>
      <c r="K1774" s="903" t="s">
        <v>10</v>
      </c>
      <c r="L1774" s="1137"/>
      <c r="M1774" s="1138">
        <f t="shared" si="132"/>
        <v>0</v>
      </c>
      <c r="N1774" s="1176">
        <f t="shared" si="136"/>
        <v>0</v>
      </c>
      <c r="O1774" s="905"/>
      <c r="Q1774" s="317" t="str">
        <f t="shared" si="133"/>
        <v/>
      </c>
      <c r="R1774" s="317" t="str">
        <f t="shared" si="134"/>
        <v/>
      </c>
      <c r="S1774" s="317" t="str">
        <f t="shared" si="135"/>
        <v/>
      </c>
      <c r="T1774" s="317" t="str">
        <f>GLOBAL_DER_FEV_2023!S1774</f>
        <v/>
      </c>
      <c r="W1774" s="582">
        <v>0</v>
      </c>
      <c r="X1774" s="580"/>
      <c r="Y1774" s="583">
        <f>IF(GLOBAL_DER_FEV_2023!W1774=0,0,IF(GLOBAL_DER_FEV_2023!W1774&gt;0,"c","b"))</f>
        <v>0</v>
      </c>
    </row>
    <row r="1775" spans="1:25" ht="15" hidden="1" customHeight="1" x14ac:dyDescent="0.2">
      <c r="A1775" s="317">
        <v>603900</v>
      </c>
      <c r="B1775" s="895" t="s">
        <v>1774</v>
      </c>
      <c r="C1775" s="896" t="s">
        <v>184</v>
      </c>
      <c r="D1775" s="906" t="s">
        <v>330</v>
      </c>
      <c r="E1775" s="907">
        <f>GLOBAL_DER_FEV_2023!E1775</f>
        <v>0.2</v>
      </c>
      <c r="F1775" s="908">
        <f>GLOBAL_DER_FEV_2023!F1775</f>
        <v>1.5</v>
      </c>
      <c r="G1775" s="949">
        <f>GLOBAL_DER_FEV_2023!G1775</f>
        <v>4.3410000000000002</v>
      </c>
      <c r="H1775" s="901">
        <f>GLOBAL_DER_FEV_2023!H1775</f>
        <v>131.84</v>
      </c>
      <c r="I1775" s="901">
        <f>GLOBAL_DER_FEV_2023!I1775</f>
        <v>136.18100000000001</v>
      </c>
      <c r="J1775" s="902">
        <f>GLOBAL_DER_FEV_2023!J1775</f>
        <v>163.51</v>
      </c>
      <c r="K1775" s="903" t="s">
        <v>10</v>
      </c>
      <c r="L1775" s="1137"/>
      <c r="M1775" s="1138">
        <f t="shared" si="132"/>
        <v>0</v>
      </c>
      <c r="N1775" s="1176">
        <f t="shared" si="136"/>
        <v>0</v>
      </c>
      <c r="O1775" s="905"/>
      <c r="Q1775" s="317" t="str">
        <f t="shared" si="133"/>
        <v/>
      </c>
      <c r="R1775" s="317" t="str">
        <f t="shared" si="134"/>
        <v/>
      </c>
      <c r="S1775" s="317" t="str">
        <f t="shared" si="135"/>
        <v/>
      </c>
      <c r="T1775" s="317" t="str">
        <f>GLOBAL_DER_FEV_2023!S1775</f>
        <v/>
      </c>
      <c r="W1775" s="582">
        <v>0</v>
      </c>
      <c r="X1775" s="580"/>
      <c r="Y1775" s="583">
        <f>IF(GLOBAL_DER_FEV_2023!W1775=0,0,IF(GLOBAL_DER_FEV_2023!W1775&gt;0,"c","b"))</f>
        <v>0</v>
      </c>
    </row>
    <row r="1776" spans="1:25" ht="15" hidden="1" customHeight="1" x14ac:dyDescent="0.2">
      <c r="A1776" s="317">
        <v>605000</v>
      </c>
      <c r="B1776" s="895" t="s">
        <v>1783</v>
      </c>
      <c r="C1776" s="896" t="s">
        <v>184</v>
      </c>
      <c r="D1776" s="906" t="s">
        <v>259</v>
      </c>
      <c r="E1776" s="907">
        <f>GLOBAL_DER_FEV_2023!E1776</f>
        <v>0</v>
      </c>
      <c r="F1776" s="908">
        <f>GLOBAL_DER_FEV_2023!F1776</f>
        <v>0</v>
      </c>
      <c r="G1776" s="912">
        <f>GLOBAL_DER_FEV_2023!G1776</f>
        <v>220.83394000000004</v>
      </c>
      <c r="H1776" s="901">
        <f>GLOBAL_DER_FEV_2023!H1776</f>
        <v>425.25</v>
      </c>
      <c r="I1776" s="901">
        <f>GLOBAL_DER_FEV_2023!I1776</f>
        <v>646.08393999999998</v>
      </c>
      <c r="J1776" s="902">
        <f>GLOBAL_DER_FEV_2023!J1776</f>
        <v>775.75</v>
      </c>
      <c r="K1776" s="903" t="s">
        <v>10</v>
      </c>
      <c r="L1776" s="1137"/>
      <c r="M1776" s="1138">
        <f t="shared" si="132"/>
        <v>0</v>
      </c>
      <c r="N1776" s="1176">
        <f t="shared" si="136"/>
        <v>0</v>
      </c>
      <c r="O1776" s="905"/>
      <c r="Q1776" s="317" t="str">
        <f t="shared" si="133"/>
        <v/>
      </c>
      <c r="R1776" s="317" t="str">
        <f t="shared" si="134"/>
        <v/>
      </c>
      <c r="S1776" s="317" t="str">
        <f t="shared" si="135"/>
        <v/>
      </c>
      <c r="T1776" s="317" t="str">
        <f>GLOBAL_DER_FEV_2023!S1776</f>
        <v/>
      </c>
      <c r="W1776" s="582">
        <v>0</v>
      </c>
      <c r="X1776" s="580"/>
      <c r="Y1776" s="583">
        <f>IF(GLOBAL_DER_FEV_2023!W1776=0,0,IF(GLOBAL_DER_FEV_2023!W1776&gt;0,"c","b"))</f>
        <v>0</v>
      </c>
    </row>
    <row r="1777" spans="1:25" ht="15" hidden="1" customHeight="1" x14ac:dyDescent="0.2">
      <c r="A1777" s="317" t="s">
        <v>147</v>
      </c>
      <c r="B1777" s="895" t="s">
        <v>147</v>
      </c>
      <c r="C1777" s="896"/>
      <c r="D1777" s="957" t="s">
        <v>190</v>
      </c>
      <c r="E1777" s="907">
        <f>GLOBAL_DER_FEV_2023!E1777</f>
        <v>308</v>
      </c>
      <c r="F1777" s="908">
        <f>GLOBAL_DER_FEV_2023!F1777</f>
        <v>0.18</v>
      </c>
      <c r="G1777" s="909">
        <f>GLOBAL_DER_FEV_2023!G1777</f>
        <v>44.650799999999997</v>
      </c>
      <c r="H1777" s="901">
        <f>GLOBAL_DER_FEV_2023!H1777</f>
        <v>0</v>
      </c>
      <c r="I1777" s="901">
        <f>GLOBAL_DER_FEV_2023!I1777</f>
        <v>0</v>
      </c>
      <c r="J1777" s="902">
        <f>GLOBAL_DER_FEV_2023!J1777</f>
        <v>0</v>
      </c>
      <c r="K1777" s="958" t="s">
        <v>507</v>
      </c>
      <c r="L1777" s="959"/>
      <c r="M1777" s="1157">
        <f t="shared" si="132"/>
        <v>0</v>
      </c>
      <c r="N1777" s="1176">
        <f t="shared" si="136"/>
        <v>0</v>
      </c>
      <c r="O1777" s="905"/>
      <c r="P1777" s="58" t="str">
        <f>IF(N1776&gt;0,"xx",IF(N1776&gt;0,"xy",""))</f>
        <v/>
      </c>
      <c r="Q1777" s="317" t="str">
        <f t="shared" si="133"/>
        <v/>
      </c>
      <c r="R1777" s="317" t="str">
        <f t="shared" si="134"/>
        <v/>
      </c>
      <c r="S1777" s="317" t="str">
        <f t="shared" si="135"/>
        <v/>
      </c>
      <c r="T1777" s="317" t="str">
        <f>GLOBAL_DER_FEV_2023!S1777</f>
        <v/>
      </c>
      <c r="W1777" s="582">
        <v>0</v>
      </c>
      <c r="X1777" s="580"/>
      <c r="Y1777" s="583">
        <f>IF(GLOBAL_DER_FEV_2023!W1777=0,0,IF(GLOBAL_DER_FEV_2023!W1777&gt;0,"c","b"))</f>
        <v>0</v>
      </c>
    </row>
    <row r="1778" spans="1:25" ht="15" hidden="1" customHeight="1" x14ac:dyDescent="0.2">
      <c r="A1778" s="317" t="s">
        <v>147</v>
      </c>
      <c r="B1778" s="895" t="s">
        <v>147</v>
      </c>
      <c r="C1778" s="896"/>
      <c r="D1778" s="957" t="s">
        <v>229</v>
      </c>
      <c r="E1778" s="907">
        <f>GLOBAL_DER_FEV_2023!E1778</f>
        <v>150</v>
      </c>
      <c r="F1778" s="908">
        <f>GLOBAL_DER_FEV_2023!F1778</f>
        <v>1.06</v>
      </c>
      <c r="G1778" s="949">
        <f>GLOBAL_DER_FEV_2023!G1778</f>
        <v>172.97080000000003</v>
      </c>
      <c r="H1778" s="901">
        <f>GLOBAL_DER_FEV_2023!H1778</f>
        <v>0</v>
      </c>
      <c r="I1778" s="901">
        <f>GLOBAL_DER_FEV_2023!I1778</f>
        <v>0</v>
      </c>
      <c r="J1778" s="902">
        <f>GLOBAL_DER_FEV_2023!J1778</f>
        <v>0</v>
      </c>
      <c r="K1778" s="958" t="s">
        <v>507</v>
      </c>
      <c r="L1778" s="959"/>
      <c r="M1778" s="1157">
        <f t="shared" si="132"/>
        <v>0</v>
      </c>
      <c r="N1778" s="1176">
        <f t="shared" si="136"/>
        <v>0</v>
      </c>
      <c r="O1778" s="905"/>
      <c r="P1778" s="58" t="str">
        <f>IF(N1776&gt;0,"xx",IF(N1776&gt;0,"xy",""))</f>
        <v/>
      </c>
      <c r="Q1778" s="317" t="str">
        <f t="shared" si="133"/>
        <v/>
      </c>
      <c r="R1778" s="317" t="str">
        <f t="shared" si="134"/>
        <v/>
      </c>
      <c r="S1778" s="317" t="str">
        <f t="shared" si="135"/>
        <v/>
      </c>
      <c r="T1778" s="317" t="str">
        <f>GLOBAL_DER_FEV_2023!S1778</f>
        <v/>
      </c>
      <c r="W1778" s="582">
        <v>0</v>
      </c>
      <c r="X1778" s="580"/>
      <c r="Y1778" s="583">
        <f>IF(GLOBAL_DER_FEV_2023!W1778=0,0,IF(GLOBAL_DER_FEV_2023!W1778&gt;0,"c","b"))</f>
        <v>0</v>
      </c>
    </row>
    <row r="1779" spans="1:25" ht="15" hidden="1" customHeight="1" x14ac:dyDescent="0.2">
      <c r="A1779" s="317" t="s">
        <v>147</v>
      </c>
      <c r="B1779" s="895" t="s">
        <v>147</v>
      </c>
      <c r="C1779" s="896"/>
      <c r="D1779" s="957" t="s">
        <v>233</v>
      </c>
      <c r="E1779" s="907">
        <f>GLOBAL_DER_FEV_2023!E1779</f>
        <v>0.2</v>
      </c>
      <c r="F1779" s="908">
        <f>GLOBAL_DER_FEV_2023!F1779</f>
        <v>1.1100000000000001</v>
      </c>
      <c r="G1779" s="949">
        <f>GLOBAL_DER_FEV_2023!G1779</f>
        <v>3.2123400000000006</v>
      </c>
      <c r="H1779" s="901">
        <f>GLOBAL_DER_FEV_2023!H1779</f>
        <v>0</v>
      </c>
      <c r="I1779" s="901">
        <f>GLOBAL_DER_FEV_2023!I1779</f>
        <v>0</v>
      </c>
      <c r="J1779" s="902">
        <f>GLOBAL_DER_FEV_2023!J1779</f>
        <v>0</v>
      </c>
      <c r="K1779" s="958" t="s">
        <v>507</v>
      </c>
      <c r="L1779" s="959"/>
      <c r="M1779" s="1157">
        <f t="shared" si="132"/>
        <v>0</v>
      </c>
      <c r="N1779" s="1176">
        <f t="shared" si="136"/>
        <v>0</v>
      </c>
      <c r="O1779" s="905"/>
      <c r="P1779" s="58" t="str">
        <f>IF(N1776&gt;0,"xx",IF(N1776&gt;0,"xy",""))</f>
        <v/>
      </c>
      <c r="Q1779" s="317" t="str">
        <f t="shared" si="133"/>
        <v/>
      </c>
      <c r="R1779" s="317" t="str">
        <f t="shared" si="134"/>
        <v/>
      </c>
      <c r="S1779" s="317" t="str">
        <f t="shared" si="135"/>
        <v/>
      </c>
      <c r="T1779" s="317" t="str">
        <f>GLOBAL_DER_FEV_2023!S1779</f>
        <v/>
      </c>
      <c r="W1779" s="582">
        <v>0</v>
      </c>
      <c r="X1779" s="580"/>
      <c r="Y1779" s="583">
        <f>IF(GLOBAL_DER_FEV_2023!W1779=0,0,IF(GLOBAL_DER_FEV_2023!W1779&gt;0,"c","b"))</f>
        <v>0</v>
      </c>
    </row>
    <row r="1780" spans="1:25" ht="15" hidden="1" customHeight="1" x14ac:dyDescent="0.2">
      <c r="A1780" s="317">
        <v>603500</v>
      </c>
      <c r="B1780" s="895">
        <v>603500</v>
      </c>
      <c r="C1780" s="896" t="s">
        <v>184</v>
      </c>
      <c r="D1780" s="906" t="s">
        <v>331</v>
      </c>
      <c r="E1780" s="907">
        <f>GLOBAL_DER_FEV_2023!E1780</f>
        <v>0</v>
      </c>
      <c r="F1780" s="908">
        <f>GLOBAL_DER_FEV_2023!F1780</f>
        <v>0</v>
      </c>
      <c r="G1780" s="912">
        <f>GLOBAL_DER_FEV_2023!G1780</f>
        <v>0</v>
      </c>
      <c r="H1780" s="901">
        <f>GLOBAL_DER_FEV_2023!H1780</f>
        <v>1378.26</v>
      </c>
      <c r="I1780" s="901">
        <f>GLOBAL_DER_FEV_2023!I1780</f>
        <v>1378.26</v>
      </c>
      <c r="J1780" s="902">
        <f>GLOBAL_DER_FEV_2023!J1780</f>
        <v>1654.88</v>
      </c>
      <c r="K1780" s="903" t="s">
        <v>10</v>
      </c>
      <c r="L1780" s="1137"/>
      <c r="M1780" s="1138">
        <f t="shared" si="132"/>
        <v>0</v>
      </c>
      <c r="N1780" s="1176">
        <f t="shared" si="136"/>
        <v>0</v>
      </c>
      <c r="O1780" s="905"/>
      <c r="Q1780" s="317" t="str">
        <f t="shared" si="133"/>
        <v/>
      </c>
      <c r="R1780" s="317" t="str">
        <f t="shared" si="134"/>
        <v/>
      </c>
      <c r="S1780" s="317" t="str">
        <f t="shared" si="135"/>
        <v/>
      </c>
      <c r="T1780" s="317" t="str">
        <f>GLOBAL_DER_FEV_2023!S1780</f>
        <v/>
      </c>
      <c r="W1780" s="582">
        <v>0</v>
      </c>
      <c r="X1780" s="580"/>
      <c r="Y1780" s="583">
        <f>IF(GLOBAL_DER_FEV_2023!W1780=0,0,IF(GLOBAL_DER_FEV_2023!W1780&gt;0,"c","b"))</f>
        <v>0</v>
      </c>
    </row>
    <row r="1781" spans="1:25" ht="15" hidden="1" customHeight="1" x14ac:dyDescent="0.2">
      <c r="A1781" s="317">
        <v>603500</v>
      </c>
      <c r="B1781" s="895" t="s">
        <v>1898</v>
      </c>
      <c r="C1781" s="896" t="s">
        <v>184</v>
      </c>
      <c r="D1781" s="906" t="s">
        <v>332</v>
      </c>
      <c r="E1781" s="907">
        <f>GLOBAL_DER_FEV_2023!E1781</f>
        <v>0</v>
      </c>
      <c r="F1781" s="908">
        <f>GLOBAL_DER_FEV_2023!F1781</f>
        <v>0</v>
      </c>
      <c r="G1781" s="912">
        <f>GLOBAL_DER_FEV_2023!G1781</f>
        <v>0</v>
      </c>
      <c r="H1781" s="901">
        <f>GLOBAL_DER_FEV_2023!H1781</f>
        <v>1378.26</v>
      </c>
      <c r="I1781" s="901">
        <f>GLOBAL_DER_FEV_2023!I1781</f>
        <v>1185.3036</v>
      </c>
      <c r="J1781" s="902">
        <f>GLOBAL_DER_FEV_2023!J1781</f>
        <v>1423.19</v>
      </c>
      <c r="K1781" s="903" t="s">
        <v>10</v>
      </c>
      <c r="L1781" s="1137"/>
      <c r="M1781" s="1138">
        <f t="shared" si="132"/>
        <v>0</v>
      </c>
      <c r="N1781" s="1176">
        <f t="shared" si="136"/>
        <v>0</v>
      </c>
      <c r="O1781" s="905"/>
      <c r="Q1781" s="317" t="str">
        <f t="shared" si="133"/>
        <v/>
      </c>
      <c r="R1781" s="317" t="str">
        <f t="shared" si="134"/>
        <v/>
      </c>
      <c r="S1781" s="317" t="str">
        <f t="shared" si="135"/>
        <v/>
      </c>
      <c r="T1781" s="317" t="str">
        <f>GLOBAL_DER_FEV_2023!S1781</f>
        <v/>
      </c>
      <c r="W1781" s="582">
        <v>0</v>
      </c>
      <c r="X1781" s="580"/>
      <c r="Y1781" s="583">
        <f>IF(GLOBAL_DER_FEV_2023!W1781=0,0,IF(GLOBAL_DER_FEV_2023!W1781&gt;0,"c","b"))</f>
        <v>0</v>
      </c>
    </row>
    <row r="1782" spans="1:25" ht="15" hidden="1" customHeight="1" x14ac:dyDescent="0.2">
      <c r="A1782" s="317">
        <v>604000</v>
      </c>
      <c r="B1782" s="895">
        <v>604000</v>
      </c>
      <c r="C1782" s="896" t="s">
        <v>184</v>
      </c>
      <c r="D1782" s="906" t="s">
        <v>333</v>
      </c>
      <c r="E1782" s="907">
        <f>GLOBAL_DER_FEV_2023!E1782</f>
        <v>0</v>
      </c>
      <c r="F1782" s="908">
        <f>GLOBAL_DER_FEV_2023!F1782</f>
        <v>0</v>
      </c>
      <c r="G1782" s="912">
        <f>GLOBAL_DER_FEV_2023!G1782</f>
        <v>364.66654000000005</v>
      </c>
      <c r="H1782" s="901">
        <f>GLOBAL_DER_FEV_2023!H1782</f>
        <v>523.20000000000005</v>
      </c>
      <c r="I1782" s="901">
        <f>GLOBAL_DER_FEV_2023!I1782</f>
        <v>887.8665400000001</v>
      </c>
      <c r="J1782" s="902">
        <f>GLOBAL_DER_FEV_2023!J1782</f>
        <v>1066.06</v>
      </c>
      <c r="K1782" s="903" t="s">
        <v>10</v>
      </c>
      <c r="L1782" s="1137"/>
      <c r="M1782" s="1138">
        <f t="shared" si="132"/>
        <v>0</v>
      </c>
      <c r="N1782" s="1176">
        <f t="shared" si="136"/>
        <v>0</v>
      </c>
      <c r="O1782" s="905"/>
      <c r="Q1782" s="317" t="str">
        <f t="shared" si="133"/>
        <v/>
      </c>
      <c r="R1782" s="317" t="str">
        <f t="shared" si="134"/>
        <v/>
      </c>
      <c r="S1782" s="317" t="str">
        <f t="shared" si="135"/>
        <v/>
      </c>
      <c r="T1782" s="317" t="str">
        <f>GLOBAL_DER_FEV_2023!S1782</f>
        <v/>
      </c>
      <c r="W1782" s="582">
        <v>0</v>
      </c>
      <c r="X1782" s="580"/>
      <c r="Y1782" s="583">
        <f>IF(GLOBAL_DER_FEV_2023!W1782=0,0,IF(GLOBAL_DER_FEV_2023!W1782&gt;0,"c","b"))</f>
        <v>0</v>
      </c>
    </row>
    <row r="1783" spans="1:25" ht="15" hidden="1" customHeight="1" x14ac:dyDescent="0.2">
      <c r="A1783" s="317" t="s">
        <v>147</v>
      </c>
      <c r="B1783" s="895" t="s">
        <v>147</v>
      </c>
      <c r="C1783" s="896"/>
      <c r="D1783" s="906" t="s">
        <v>190</v>
      </c>
      <c r="E1783" s="907">
        <f>GLOBAL_DER_FEV_2023!E1783</f>
        <v>308</v>
      </c>
      <c r="F1783" s="908">
        <f>GLOBAL_DER_FEV_2023!F1783</f>
        <v>0.434</v>
      </c>
      <c r="G1783" s="909">
        <f>GLOBAL_DER_FEV_2023!G1783</f>
        <v>107.65804</v>
      </c>
      <c r="H1783" s="901">
        <f>GLOBAL_DER_FEV_2023!H1783</f>
        <v>0</v>
      </c>
      <c r="I1783" s="901">
        <f>GLOBAL_DER_FEV_2023!I1783</f>
        <v>0</v>
      </c>
      <c r="J1783" s="902">
        <f>GLOBAL_DER_FEV_2023!J1783</f>
        <v>0</v>
      </c>
      <c r="K1783" s="903"/>
      <c r="L1783" s="1177"/>
      <c r="M1783" s="1138">
        <f t="shared" si="132"/>
        <v>0</v>
      </c>
      <c r="N1783" s="1176">
        <f t="shared" si="136"/>
        <v>0</v>
      </c>
      <c r="O1783" s="905"/>
      <c r="P1783" s="36" t="str">
        <f>IF(N1782&gt;0,"xx",IF(N1782&gt;0,"xy",""))</f>
        <v/>
      </c>
      <c r="Q1783" s="317" t="str">
        <f t="shared" si="133"/>
        <v/>
      </c>
      <c r="R1783" s="317" t="str">
        <f t="shared" si="134"/>
        <v/>
      </c>
      <c r="S1783" s="317" t="str">
        <f t="shared" si="135"/>
        <v/>
      </c>
      <c r="T1783" s="317" t="str">
        <f>GLOBAL_DER_FEV_2023!S1783</f>
        <v/>
      </c>
      <c r="W1783" s="582">
        <v>0</v>
      </c>
      <c r="X1783" s="580"/>
      <c r="Y1783" s="583">
        <f>IF(GLOBAL_DER_FEV_2023!W1783=0,0,IF(GLOBAL_DER_FEV_2023!W1783&gt;0,"c","b"))</f>
        <v>0</v>
      </c>
    </row>
    <row r="1784" spans="1:25" ht="15" hidden="1" customHeight="1" x14ac:dyDescent="0.2">
      <c r="A1784" s="317" t="s">
        <v>147</v>
      </c>
      <c r="B1784" s="895" t="s">
        <v>147</v>
      </c>
      <c r="C1784" s="896"/>
      <c r="D1784" s="906" t="s">
        <v>229</v>
      </c>
      <c r="E1784" s="907">
        <f>GLOBAL_DER_FEV_2023!E1784</f>
        <v>150</v>
      </c>
      <c r="F1784" s="908">
        <f>GLOBAL_DER_FEV_2023!F1784</f>
        <v>1.575</v>
      </c>
      <c r="G1784" s="949">
        <f>GLOBAL_DER_FEV_2023!G1784</f>
        <v>257.00850000000003</v>
      </c>
      <c r="H1784" s="901">
        <f>GLOBAL_DER_FEV_2023!H1784</f>
        <v>0</v>
      </c>
      <c r="I1784" s="901">
        <f>GLOBAL_DER_FEV_2023!I1784</f>
        <v>0</v>
      </c>
      <c r="J1784" s="902">
        <f>GLOBAL_DER_FEV_2023!J1784</f>
        <v>0</v>
      </c>
      <c r="K1784" s="903"/>
      <c r="L1784" s="1177"/>
      <c r="M1784" s="1138">
        <f t="shared" si="132"/>
        <v>0</v>
      </c>
      <c r="N1784" s="1176">
        <f t="shared" si="136"/>
        <v>0</v>
      </c>
      <c r="O1784" s="905"/>
      <c r="P1784" s="36" t="str">
        <f>IF(N1782&gt;0,"xx",IF(N1782&gt;0,"xy",""))</f>
        <v/>
      </c>
      <c r="Q1784" s="317" t="str">
        <f t="shared" si="133"/>
        <v/>
      </c>
      <c r="R1784" s="317" t="str">
        <f t="shared" si="134"/>
        <v/>
      </c>
      <c r="S1784" s="317" t="str">
        <f t="shared" si="135"/>
        <v/>
      </c>
      <c r="T1784" s="317" t="str">
        <f>GLOBAL_DER_FEV_2023!S1784</f>
        <v/>
      </c>
      <c r="W1784" s="582">
        <v>0</v>
      </c>
      <c r="X1784" s="580"/>
      <c r="Y1784" s="583">
        <f>IF(GLOBAL_DER_FEV_2023!W1784=0,0,IF(GLOBAL_DER_FEV_2023!W1784&gt;0,"c","b"))</f>
        <v>0</v>
      </c>
    </row>
    <row r="1785" spans="1:25" ht="15" hidden="1" customHeight="1" x14ac:dyDescent="0.2">
      <c r="A1785" s="317">
        <v>604100</v>
      </c>
      <c r="B1785" s="895">
        <v>604100</v>
      </c>
      <c r="C1785" s="896" t="s">
        <v>184</v>
      </c>
      <c r="D1785" s="906" t="s">
        <v>334</v>
      </c>
      <c r="E1785" s="907">
        <f>GLOBAL_DER_FEV_2023!E1785</f>
        <v>0</v>
      </c>
      <c r="F1785" s="908">
        <f>GLOBAL_DER_FEV_2023!F1785</f>
        <v>0</v>
      </c>
      <c r="G1785" s="912">
        <f>GLOBAL_DER_FEV_2023!G1785</f>
        <v>379.56790000000001</v>
      </c>
      <c r="H1785" s="901">
        <f>GLOBAL_DER_FEV_2023!H1785</f>
        <v>466.54</v>
      </c>
      <c r="I1785" s="901">
        <f>GLOBAL_DER_FEV_2023!I1785</f>
        <v>846.10789999999997</v>
      </c>
      <c r="J1785" s="902">
        <f>GLOBAL_DER_FEV_2023!J1785</f>
        <v>1015.92</v>
      </c>
      <c r="K1785" s="903" t="s">
        <v>10</v>
      </c>
      <c r="L1785" s="1137"/>
      <c r="M1785" s="1138">
        <f t="shared" si="132"/>
        <v>0</v>
      </c>
      <c r="N1785" s="1176">
        <f t="shared" si="136"/>
        <v>0</v>
      </c>
      <c r="O1785" s="905"/>
      <c r="Q1785" s="317" t="str">
        <f t="shared" si="133"/>
        <v/>
      </c>
      <c r="R1785" s="317" t="str">
        <f t="shared" si="134"/>
        <v/>
      </c>
      <c r="S1785" s="317" t="str">
        <f t="shared" si="135"/>
        <v/>
      </c>
      <c r="T1785" s="317" t="str">
        <f>GLOBAL_DER_FEV_2023!S1785</f>
        <v/>
      </c>
      <c r="W1785" s="582">
        <v>0</v>
      </c>
      <c r="X1785" s="580"/>
      <c r="Y1785" s="583">
        <f>IF(GLOBAL_DER_FEV_2023!W1785=0,0,IF(GLOBAL_DER_FEV_2023!W1785&gt;0,"c","b"))</f>
        <v>0</v>
      </c>
    </row>
    <row r="1786" spans="1:25" ht="15" hidden="1" customHeight="1" x14ac:dyDescent="0.2">
      <c r="A1786" s="317" t="s">
        <v>147</v>
      </c>
      <c r="B1786" s="895" t="s">
        <v>147</v>
      </c>
      <c r="C1786" s="896"/>
      <c r="D1786" s="906" t="s">
        <v>190</v>
      </c>
      <c r="E1786" s="907">
        <f>GLOBAL_DER_FEV_2023!E1786</f>
        <v>308</v>
      </c>
      <c r="F1786" s="908">
        <f>GLOBAL_DER_FEV_2023!F1786</f>
        <v>0.42499999999999999</v>
      </c>
      <c r="G1786" s="909">
        <f>GLOBAL_DER_FEV_2023!G1786</f>
        <v>105.4255</v>
      </c>
      <c r="H1786" s="901">
        <f>GLOBAL_DER_FEV_2023!H1786</f>
        <v>0</v>
      </c>
      <c r="I1786" s="901">
        <f>GLOBAL_DER_FEV_2023!I1786</f>
        <v>0</v>
      </c>
      <c r="J1786" s="902">
        <f>GLOBAL_DER_FEV_2023!J1786</f>
        <v>0</v>
      </c>
      <c r="K1786" s="903"/>
      <c r="L1786" s="1177"/>
      <c r="M1786" s="1138">
        <f t="shared" si="132"/>
        <v>0</v>
      </c>
      <c r="N1786" s="1176">
        <f t="shared" si="136"/>
        <v>0</v>
      </c>
      <c r="O1786" s="905"/>
      <c r="P1786" s="36" t="str">
        <f>IF(N1785&gt;0,"xx",IF(N1785&gt;0,"xy",""))</f>
        <v/>
      </c>
      <c r="Q1786" s="317" t="str">
        <f t="shared" si="133"/>
        <v/>
      </c>
      <c r="R1786" s="317" t="str">
        <f t="shared" si="134"/>
        <v/>
      </c>
      <c r="S1786" s="317" t="str">
        <f t="shared" si="135"/>
        <v/>
      </c>
      <c r="T1786" s="317" t="str">
        <f>GLOBAL_DER_FEV_2023!S1786</f>
        <v/>
      </c>
      <c r="W1786" s="582">
        <v>0</v>
      </c>
      <c r="X1786" s="580"/>
      <c r="Y1786" s="583">
        <f>IF(GLOBAL_DER_FEV_2023!W1786=0,0,IF(GLOBAL_DER_FEV_2023!W1786&gt;0,"c","b"))</f>
        <v>0</v>
      </c>
    </row>
    <row r="1787" spans="1:25" ht="15" hidden="1" customHeight="1" x14ac:dyDescent="0.2">
      <c r="A1787" s="317" t="s">
        <v>147</v>
      </c>
      <c r="B1787" s="895" t="s">
        <v>147</v>
      </c>
      <c r="C1787" s="896"/>
      <c r="D1787" s="906" t="s">
        <v>229</v>
      </c>
      <c r="E1787" s="907">
        <f>GLOBAL_DER_FEV_2023!E1787</f>
        <v>150</v>
      </c>
      <c r="F1787" s="908">
        <f>GLOBAL_DER_FEV_2023!F1787</f>
        <v>1.68</v>
      </c>
      <c r="G1787" s="949">
        <f>GLOBAL_DER_FEV_2023!G1787</f>
        <v>274.14240000000001</v>
      </c>
      <c r="H1787" s="901">
        <f>GLOBAL_DER_FEV_2023!H1787</f>
        <v>0</v>
      </c>
      <c r="I1787" s="901">
        <f>GLOBAL_DER_FEV_2023!I1787</f>
        <v>0</v>
      </c>
      <c r="J1787" s="902">
        <f>GLOBAL_DER_FEV_2023!J1787</f>
        <v>0</v>
      </c>
      <c r="K1787" s="903"/>
      <c r="L1787" s="1177"/>
      <c r="M1787" s="1138">
        <f t="shared" si="132"/>
        <v>0</v>
      </c>
      <c r="N1787" s="1176">
        <f t="shared" si="136"/>
        <v>0</v>
      </c>
      <c r="O1787" s="905"/>
      <c r="P1787" s="36" t="str">
        <f>IF(N1785&gt;0,"xx",IF(N1785&gt;0,"xy",""))</f>
        <v/>
      </c>
      <c r="Q1787" s="317" t="str">
        <f t="shared" si="133"/>
        <v/>
      </c>
      <c r="R1787" s="317" t="str">
        <f t="shared" si="134"/>
        <v/>
      </c>
      <c r="S1787" s="317" t="str">
        <f t="shared" si="135"/>
        <v/>
      </c>
      <c r="T1787" s="317" t="str">
        <f>GLOBAL_DER_FEV_2023!S1787</f>
        <v/>
      </c>
      <c r="W1787" s="582">
        <v>0</v>
      </c>
      <c r="X1787" s="580"/>
      <c r="Y1787" s="583">
        <f>IF(GLOBAL_DER_FEV_2023!W1787=0,0,IF(GLOBAL_DER_FEV_2023!W1787&gt;0,"c","b"))</f>
        <v>0</v>
      </c>
    </row>
    <row r="1788" spans="1:25" ht="15" hidden="1" customHeight="1" x14ac:dyDescent="0.2">
      <c r="A1788" s="317">
        <v>640000</v>
      </c>
      <c r="B1788" s="895">
        <v>640000</v>
      </c>
      <c r="C1788" s="896" t="s">
        <v>184</v>
      </c>
      <c r="D1788" s="906" t="s">
        <v>335</v>
      </c>
      <c r="E1788" s="907">
        <f>GLOBAL_DER_FEV_2023!E1788</f>
        <v>0</v>
      </c>
      <c r="F1788" s="908">
        <f>GLOBAL_DER_FEV_2023!F1788</f>
        <v>0</v>
      </c>
      <c r="G1788" s="912">
        <f>GLOBAL_DER_FEV_2023!G1788</f>
        <v>85.097220000000007</v>
      </c>
      <c r="H1788" s="901">
        <f>GLOBAL_DER_FEV_2023!H1788</f>
        <v>104.04</v>
      </c>
      <c r="I1788" s="901">
        <f>GLOBAL_DER_FEV_2023!I1788</f>
        <v>189.13722000000001</v>
      </c>
      <c r="J1788" s="902">
        <f>GLOBAL_DER_FEV_2023!J1788</f>
        <v>227.1</v>
      </c>
      <c r="K1788" s="903" t="s">
        <v>13</v>
      </c>
      <c r="L1788" s="1137"/>
      <c r="M1788" s="1138">
        <f t="shared" si="132"/>
        <v>0</v>
      </c>
      <c r="N1788" s="1176">
        <f t="shared" si="136"/>
        <v>0</v>
      </c>
      <c r="O1788" s="905"/>
      <c r="Q1788" s="317" t="str">
        <f t="shared" si="133"/>
        <v/>
      </c>
      <c r="R1788" s="317" t="str">
        <f t="shared" si="134"/>
        <v/>
      </c>
      <c r="S1788" s="317" t="str">
        <f t="shared" si="135"/>
        <v/>
      </c>
      <c r="T1788" s="317" t="str">
        <f>GLOBAL_DER_FEV_2023!S1788</f>
        <v/>
      </c>
      <c r="W1788" s="582">
        <v>0</v>
      </c>
      <c r="X1788" s="580"/>
      <c r="Y1788" s="583">
        <f>IF(GLOBAL_DER_FEV_2023!W1788=0,0,IF(GLOBAL_DER_FEV_2023!W1788&gt;0,"c","b"))</f>
        <v>0</v>
      </c>
    </row>
    <row r="1789" spans="1:25" ht="15" hidden="1" customHeight="1" x14ac:dyDescent="0.2">
      <c r="A1789" s="317" t="s">
        <v>147</v>
      </c>
      <c r="B1789" s="895" t="s">
        <v>147</v>
      </c>
      <c r="C1789" s="896"/>
      <c r="D1789" s="906" t="s">
        <v>229</v>
      </c>
      <c r="E1789" s="907">
        <f>GLOBAL_DER_FEV_2023!E1789</f>
        <v>150</v>
      </c>
      <c r="F1789" s="908">
        <f>GLOBAL_DER_FEV_2023!F1789</f>
        <v>0.50700000000000001</v>
      </c>
      <c r="G1789" s="949">
        <f>GLOBAL_DER_FEV_2023!G1789</f>
        <v>82.732260000000011</v>
      </c>
      <c r="H1789" s="901">
        <f>GLOBAL_DER_FEV_2023!H1789</f>
        <v>0</v>
      </c>
      <c r="I1789" s="901">
        <f>GLOBAL_DER_FEV_2023!I1789</f>
        <v>0</v>
      </c>
      <c r="J1789" s="902">
        <f>GLOBAL_DER_FEV_2023!J1789</f>
        <v>0</v>
      </c>
      <c r="K1789" s="903"/>
      <c r="L1789" s="1177"/>
      <c r="M1789" s="1138">
        <f t="shared" si="132"/>
        <v>0</v>
      </c>
      <c r="N1789" s="1176">
        <f t="shared" si="136"/>
        <v>0</v>
      </c>
      <c r="O1789" s="905"/>
      <c r="P1789" s="36" t="str">
        <f>IF(N1788&gt;0,"xx",IF(N1788&gt;0,"xy",""))</f>
        <v/>
      </c>
      <c r="Q1789" s="317" t="str">
        <f t="shared" si="133"/>
        <v/>
      </c>
      <c r="R1789" s="317" t="str">
        <f t="shared" si="134"/>
        <v/>
      </c>
      <c r="S1789" s="317" t="str">
        <f t="shared" si="135"/>
        <v/>
      </c>
      <c r="T1789" s="317" t="str">
        <f>GLOBAL_DER_FEV_2023!S1789</f>
        <v/>
      </c>
      <c r="W1789" s="582">
        <v>0</v>
      </c>
      <c r="X1789" s="580"/>
      <c r="Y1789" s="583">
        <f>IF(GLOBAL_DER_FEV_2023!W1789=0,0,IF(GLOBAL_DER_FEV_2023!W1789&gt;0,"c","b"))</f>
        <v>0</v>
      </c>
    </row>
    <row r="1790" spans="1:25" ht="15" hidden="1" customHeight="1" x14ac:dyDescent="0.2">
      <c r="A1790" s="317" t="s">
        <v>147</v>
      </c>
      <c r="B1790" s="895" t="s">
        <v>147</v>
      </c>
      <c r="C1790" s="896"/>
      <c r="D1790" s="906" t="s">
        <v>336</v>
      </c>
      <c r="E1790" s="907">
        <f>GLOBAL_DER_FEV_2023!E1790</f>
        <v>40</v>
      </c>
      <c r="F1790" s="908">
        <f>GLOBAL_DER_FEV_2023!F1790</f>
        <v>5.1999999999999998E-2</v>
      </c>
      <c r="G1790" s="949">
        <f>GLOBAL_DER_FEV_2023!G1790</f>
        <v>2.36496</v>
      </c>
      <c r="H1790" s="901">
        <f>GLOBAL_DER_FEV_2023!H1790</f>
        <v>0</v>
      </c>
      <c r="I1790" s="901">
        <f>GLOBAL_DER_FEV_2023!I1790</f>
        <v>0</v>
      </c>
      <c r="J1790" s="902">
        <f>GLOBAL_DER_FEV_2023!J1790</f>
        <v>0</v>
      </c>
      <c r="K1790" s="903"/>
      <c r="L1790" s="1177"/>
      <c r="M1790" s="1138">
        <f t="shared" si="132"/>
        <v>0</v>
      </c>
      <c r="N1790" s="1176">
        <f t="shared" si="136"/>
        <v>0</v>
      </c>
      <c r="O1790" s="905"/>
      <c r="P1790" s="36" t="str">
        <f>IF(N1788&gt;0,"xx",IF(N1788&gt;0,"xy",""))</f>
        <v/>
      </c>
      <c r="Q1790" s="317" t="str">
        <f t="shared" si="133"/>
        <v/>
      </c>
      <c r="R1790" s="317" t="str">
        <f t="shared" si="134"/>
        <v/>
      </c>
      <c r="S1790" s="317" t="str">
        <f t="shared" si="135"/>
        <v/>
      </c>
      <c r="T1790" s="317" t="str">
        <f>GLOBAL_DER_FEV_2023!S1790</f>
        <v/>
      </c>
      <c r="W1790" s="582">
        <v>0</v>
      </c>
      <c r="X1790" s="580"/>
      <c r="Y1790" s="583">
        <f>IF(GLOBAL_DER_FEV_2023!W1790=0,0,IF(GLOBAL_DER_FEV_2023!W1790&gt;0,"c","b"))</f>
        <v>0</v>
      </c>
    </row>
    <row r="1791" spans="1:25" ht="15" hidden="1" customHeight="1" x14ac:dyDescent="0.2">
      <c r="A1791" s="317">
        <v>605000</v>
      </c>
      <c r="B1791" s="895" t="s">
        <v>1784</v>
      </c>
      <c r="C1791" s="896" t="s">
        <v>184</v>
      </c>
      <c r="D1791" s="906" t="s">
        <v>337</v>
      </c>
      <c r="E1791" s="907">
        <f>GLOBAL_DER_FEV_2023!E1791</f>
        <v>0</v>
      </c>
      <c r="F1791" s="908">
        <f>GLOBAL_DER_FEV_2023!F1791</f>
        <v>0</v>
      </c>
      <c r="G1791" s="912">
        <f>GLOBAL_DER_FEV_2023!G1791</f>
        <v>220.83394000000004</v>
      </c>
      <c r="H1791" s="901">
        <f>GLOBAL_DER_FEV_2023!H1791</f>
        <v>425.25</v>
      </c>
      <c r="I1791" s="901">
        <f>GLOBAL_DER_FEV_2023!I1791</f>
        <v>646.08393999999998</v>
      </c>
      <c r="J1791" s="902">
        <f>GLOBAL_DER_FEV_2023!J1791</f>
        <v>775.75</v>
      </c>
      <c r="K1791" s="903" t="s">
        <v>10</v>
      </c>
      <c r="L1791" s="1137"/>
      <c r="M1791" s="1138">
        <f t="shared" si="132"/>
        <v>0</v>
      </c>
      <c r="N1791" s="1176">
        <f t="shared" si="136"/>
        <v>0</v>
      </c>
      <c r="O1791" s="905"/>
      <c r="Q1791" s="317" t="str">
        <f t="shared" si="133"/>
        <v/>
      </c>
      <c r="R1791" s="317" t="str">
        <f t="shared" si="134"/>
        <v/>
      </c>
      <c r="S1791" s="317" t="str">
        <f t="shared" si="135"/>
        <v/>
      </c>
      <c r="T1791" s="317" t="str">
        <f>GLOBAL_DER_FEV_2023!S1791</f>
        <v/>
      </c>
      <c r="W1791" s="582">
        <v>0</v>
      </c>
      <c r="X1791" s="580"/>
      <c r="Y1791" s="583">
        <f>IF(GLOBAL_DER_FEV_2023!W1791=0,0,IF(GLOBAL_DER_FEV_2023!W1791&gt;0,"c","b"))</f>
        <v>0</v>
      </c>
    </row>
    <row r="1792" spans="1:25" ht="15" hidden="1" customHeight="1" x14ac:dyDescent="0.2">
      <c r="A1792" s="317" t="s">
        <v>147</v>
      </c>
      <c r="B1792" s="895" t="s">
        <v>147</v>
      </c>
      <c r="C1792" s="896"/>
      <c r="D1792" s="906" t="s">
        <v>190</v>
      </c>
      <c r="E1792" s="907">
        <f>GLOBAL_DER_FEV_2023!E1792</f>
        <v>308</v>
      </c>
      <c r="F1792" s="908">
        <f>GLOBAL_DER_FEV_2023!F1792</f>
        <v>0.18</v>
      </c>
      <c r="G1792" s="909">
        <f>GLOBAL_DER_FEV_2023!G1792</f>
        <v>44.650799999999997</v>
      </c>
      <c r="H1792" s="901">
        <f>GLOBAL_DER_FEV_2023!H1792</f>
        <v>0</v>
      </c>
      <c r="I1792" s="901">
        <f>GLOBAL_DER_FEV_2023!I1792</f>
        <v>0</v>
      </c>
      <c r="J1792" s="902">
        <f>GLOBAL_DER_FEV_2023!J1792</f>
        <v>0</v>
      </c>
      <c r="K1792" s="903"/>
      <c r="L1792" s="1177"/>
      <c r="M1792" s="1138">
        <f t="shared" si="132"/>
        <v>0</v>
      </c>
      <c r="N1792" s="1176">
        <f t="shared" si="136"/>
        <v>0</v>
      </c>
      <c r="O1792" s="905"/>
      <c r="P1792" s="36" t="str">
        <f>IF(N1791&gt;0,"xx",IF(N1791&gt;0,"xy",""))</f>
        <v/>
      </c>
      <c r="Q1792" s="317" t="str">
        <f t="shared" si="133"/>
        <v/>
      </c>
      <c r="R1792" s="317" t="str">
        <f t="shared" si="134"/>
        <v/>
      </c>
      <c r="S1792" s="317" t="str">
        <f t="shared" si="135"/>
        <v/>
      </c>
      <c r="T1792" s="317" t="str">
        <f>GLOBAL_DER_FEV_2023!S1792</f>
        <v/>
      </c>
      <c r="W1792" s="582">
        <v>0</v>
      </c>
      <c r="X1792" s="580"/>
      <c r="Y1792" s="583">
        <f>IF(GLOBAL_DER_FEV_2023!W1792=0,0,IF(GLOBAL_DER_FEV_2023!W1792&gt;0,"c","b"))</f>
        <v>0</v>
      </c>
    </row>
    <row r="1793" spans="1:25" ht="15" hidden="1" customHeight="1" x14ac:dyDescent="0.2">
      <c r="A1793" s="317" t="s">
        <v>147</v>
      </c>
      <c r="B1793" s="895" t="s">
        <v>147</v>
      </c>
      <c r="C1793" s="896"/>
      <c r="D1793" s="906" t="s">
        <v>229</v>
      </c>
      <c r="E1793" s="907">
        <f>GLOBAL_DER_FEV_2023!E1793</f>
        <v>150</v>
      </c>
      <c r="F1793" s="908">
        <f>GLOBAL_DER_FEV_2023!F1793</f>
        <v>1.06</v>
      </c>
      <c r="G1793" s="949">
        <f>GLOBAL_DER_FEV_2023!G1793</f>
        <v>172.97080000000003</v>
      </c>
      <c r="H1793" s="901">
        <f>GLOBAL_DER_FEV_2023!H1793</f>
        <v>0</v>
      </c>
      <c r="I1793" s="901">
        <f>GLOBAL_DER_FEV_2023!I1793</f>
        <v>0</v>
      </c>
      <c r="J1793" s="902">
        <f>GLOBAL_DER_FEV_2023!J1793</f>
        <v>0</v>
      </c>
      <c r="K1793" s="903"/>
      <c r="L1793" s="1177"/>
      <c r="M1793" s="1138">
        <f t="shared" si="132"/>
        <v>0</v>
      </c>
      <c r="N1793" s="1176">
        <f t="shared" si="136"/>
        <v>0</v>
      </c>
      <c r="O1793" s="905"/>
      <c r="P1793" s="36" t="str">
        <f>IF(N1791&gt;0,"xx",IF(N1791&gt;0,"xy",""))</f>
        <v/>
      </c>
      <c r="Q1793" s="317" t="str">
        <f t="shared" si="133"/>
        <v/>
      </c>
      <c r="R1793" s="317" t="str">
        <f t="shared" si="134"/>
        <v/>
      </c>
      <c r="S1793" s="317" t="str">
        <f t="shared" si="135"/>
        <v/>
      </c>
      <c r="T1793" s="317" t="str">
        <f>GLOBAL_DER_FEV_2023!S1793</f>
        <v/>
      </c>
      <c r="W1793" s="582">
        <v>0</v>
      </c>
      <c r="X1793" s="580"/>
      <c r="Y1793" s="583">
        <f>IF(GLOBAL_DER_FEV_2023!W1793=0,0,IF(GLOBAL_DER_FEV_2023!W1793&gt;0,"c","b"))</f>
        <v>0</v>
      </c>
    </row>
    <row r="1794" spans="1:25" ht="15" hidden="1" customHeight="1" x14ac:dyDescent="0.2">
      <c r="A1794" s="317" t="s">
        <v>147</v>
      </c>
      <c r="B1794" s="895" t="s">
        <v>147</v>
      </c>
      <c r="C1794" s="896"/>
      <c r="D1794" s="906" t="s">
        <v>233</v>
      </c>
      <c r="E1794" s="907">
        <f>GLOBAL_DER_FEV_2023!E1794</f>
        <v>0.2</v>
      </c>
      <c r="F1794" s="908">
        <f>GLOBAL_DER_FEV_2023!F1794</f>
        <v>1.1100000000000001</v>
      </c>
      <c r="G1794" s="949">
        <f>GLOBAL_DER_FEV_2023!G1794</f>
        <v>3.2123400000000006</v>
      </c>
      <c r="H1794" s="901">
        <f>GLOBAL_DER_FEV_2023!H1794</f>
        <v>0</v>
      </c>
      <c r="I1794" s="901">
        <f>GLOBAL_DER_FEV_2023!I1794</f>
        <v>0</v>
      </c>
      <c r="J1794" s="902">
        <f>GLOBAL_DER_FEV_2023!J1794</f>
        <v>0</v>
      </c>
      <c r="K1794" s="903"/>
      <c r="L1794" s="1177"/>
      <c r="M1794" s="1138">
        <f t="shared" si="132"/>
        <v>0</v>
      </c>
      <c r="N1794" s="1176">
        <f t="shared" si="136"/>
        <v>0</v>
      </c>
      <c r="O1794" s="905"/>
      <c r="P1794" s="36" t="str">
        <f>IF(N1791&gt;0,"xx",IF(N1791&gt;0,"xy",""))</f>
        <v/>
      </c>
      <c r="Q1794" s="317" t="str">
        <f t="shared" si="133"/>
        <v/>
      </c>
      <c r="R1794" s="317" t="str">
        <f t="shared" si="134"/>
        <v/>
      </c>
      <c r="S1794" s="317" t="str">
        <f t="shared" si="135"/>
        <v/>
      </c>
      <c r="T1794" s="317" t="str">
        <f>GLOBAL_DER_FEV_2023!S1794</f>
        <v/>
      </c>
      <c r="W1794" s="582">
        <v>0</v>
      </c>
      <c r="X1794" s="580"/>
      <c r="Y1794" s="583">
        <f>IF(GLOBAL_DER_FEV_2023!W1794=0,0,IF(GLOBAL_DER_FEV_2023!W1794&gt;0,"c","b"))</f>
        <v>0</v>
      </c>
    </row>
    <row r="1795" spans="1:25" ht="15" hidden="1" customHeight="1" x14ac:dyDescent="0.2">
      <c r="A1795" s="317">
        <v>606000</v>
      </c>
      <c r="B1795" s="895" t="s">
        <v>1792</v>
      </c>
      <c r="C1795" s="896" t="s">
        <v>184</v>
      </c>
      <c r="D1795" s="906" t="s">
        <v>530</v>
      </c>
      <c r="E1795" s="907">
        <f>GLOBAL_DER_FEV_2023!E1795</f>
        <v>0</v>
      </c>
      <c r="F1795" s="908">
        <f>GLOBAL_DER_FEV_2023!F1795</f>
        <v>0</v>
      </c>
      <c r="G1795" s="912">
        <f>GLOBAL_DER_FEV_2023!G1795</f>
        <v>159.82866000000001</v>
      </c>
      <c r="H1795" s="901">
        <f>GLOBAL_DER_FEV_2023!H1795</f>
        <v>378.9</v>
      </c>
      <c r="I1795" s="901">
        <f>GLOBAL_DER_FEV_2023!I1795</f>
        <v>538.72865999999999</v>
      </c>
      <c r="J1795" s="902">
        <f>GLOBAL_DER_FEV_2023!J1795</f>
        <v>646.85</v>
      </c>
      <c r="K1795" s="903" t="s">
        <v>10</v>
      </c>
      <c r="L1795" s="1137"/>
      <c r="M1795" s="1138">
        <f t="shared" si="132"/>
        <v>0</v>
      </c>
      <c r="N1795" s="1176">
        <f t="shared" si="136"/>
        <v>0</v>
      </c>
      <c r="O1795" s="905"/>
      <c r="Q1795" s="317" t="str">
        <f t="shared" si="133"/>
        <v/>
      </c>
      <c r="R1795" s="317" t="str">
        <f t="shared" si="134"/>
        <v/>
      </c>
      <c r="S1795" s="317" t="str">
        <f t="shared" si="135"/>
        <v/>
      </c>
      <c r="T1795" s="317" t="str">
        <f>GLOBAL_DER_FEV_2023!S1795</f>
        <v/>
      </c>
      <c r="W1795" s="582">
        <v>0</v>
      </c>
      <c r="X1795" s="580"/>
      <c r="Y1795" s="583">
        <f>IF(GLOBAL_DER_FEV_2023!W1795=0,0,IF(GLOBAL_DER_FEV_2023!W1795&gt;0,"c","b"))</f>
        <v>0</v>
      </c>
    </row>
    <row r="1796" spans="1:25" ht="15" hidden="1" customHeight="1" x14ac:dyDescent="0.2">
      <c r="A1796" s="317" t="s">
        <v>147</v>
      </c>
      <c r="B1796" s="895" t="s">
        <v>147</v>
      </c>
      <c r="C1796" s="896"/>
      <c r="D1796" s="906" t="s">
        <v>190</v>
      </c>
      <c r="E1796" s="907">
        <f>GLOBAL_DER_FEV_2023!E1796</f>
        <v>308</v>
      </c>
      <c r="F1796" s="908">
        <f>GLOBAL_DER_FEV_2023!F1796</f>
        <v>0.189</v>
      </c>
      <c r="G1796" s="909">
        <f>GLOBAL_DER_FEV_2023!G1796</f>
        <v>46.883340000000004</v>
      </c>
      <c r="H1796" s="901">
        <f>GLOBAL_DER_FEV_2023!H1796</f>
        <v>0</v>
      </c>
      <c r="I1796" s="901">
        <f>GLOBAL_DER_FEV_2023!I1796</f>
        <v>0</v>
      </c>
      <c r="J1796" s="902">
        <f>GLOBAL_DER_FEV_2023!J1796</f>
        <v>0</v>
      </c>
      <c r="K1796" s="903"/>
      <c r="L1796" s="1177"/>
      <c r="M1796" s="1138">
        <f t="shared" si="132"/>
        <v>0</v>
      </c>
      <c r="N1796" s="1176">
        <f t="shared" si="136"/>
        <v>0</v>
      </c>
      <c r="O1796" s="905"/>
      <c r="P1796" s="36" t="str">
        <f>IF(N1795&gt;0,"xx",IF(N1795&gt;0,"xy",""))</f>
        <v/>
      </c>
      <c r="Q1796" s="317" t="str">
        <f t="shared" si="133"/>
        <v/>
      </c>
      <c r="R1796" s="317" t="str">
        <f t="shared" si="134"/>
        <v/>
      </c>
      <c r="S1796" s="317" t="str">
        <f t="shared" si="135"/>
        <v/>
      </c>
      <c r="T1796" s="317" t="str">
        <f>GLOBAL_DER_FEV_2023!S1796</f>
        <v/>
      </c>
      <c r="W1796" s="582">
        <v>0</v>
      </c>
      <c r="X1796" s="580"/>
      <c r="Y1796" s="583">
        <f>IF(GLOBAL_DER_FEV_2023!W1796=0,0,IF(GLOBAL_DER_FEV_2023!W1796&gt;0,"c","b"))</f>
        <v>0</v>
      </c>
    </row>
    <row r="1797" spans="1:25" ht="15" hidden="1" customHeight="1" x14ac:dyDescent="0.2">
      <c r="A1797" s="317" t="s">
        <v>147</v>
      </c>
      <c r="B1797" s="895" t="s">
        <v>147</v>
      </c>
      <c r="C1797" s="896"/>
      <c r="D1797" s="906" t="s">
        <v>229</v>
      </c>
      <c r="E1797" s="907">
        <f>GLOBAL_DER_FEV_2023!E1797</f>
        <v>150</v>
      </c>
      <c r="F1797" s="908">
        <f>GLOBAL_DER_FEV_2023!F1797</f>
        <v>0.67200000000000004</v>
      </c>
      <c r="G1797" s="949">
        <f>GLOBAL_DER_FEV_2023!G1797</f>
        <v>109.65696000000001</v>
      </c>
      <c r="H1797" s="901">
        <f>GLOBAL_DER_FEV_2023!H1797</f>
        <v>0</v>
      </c>
      <c r="I1797" s="901">
        <f>GLOBAL_DER_FEV_2023!I1797</f>
        <v>0</v>
      </c>
      <c r="J1797" s="902">
        <f>GLOBAL_DER_FEV_2023!J1797</f>
        <v>0</v>
      </c>
      <c r="K1797" s="903"/>
      <c r="L1797" s="1177"/>
      <c r="M1797" s="1138">
        <f t="shared" si="132"/>
        <v>0</v>
      </c>
      <c r="N1797" s="1176">
        <f t="shared" si="136"/>
        <v>0</v>
      </c>
      <c r="O1797" s="905"/>
      <c r="P1797" s="36" t="str">
        <f>IF(N1795&gt;0,"xx",IF(N1795&gt;0,"xy",""))</f>
        <v/>
      </c>
      <c r="Q1797" s="317" t="str">
        <f t="shared" si="133"/>
        <v/>
      </c>
      <c r="R1797" s="317" t="str">
        <f t="shared" si="134"/>
        <v/>
      </c>
      <c r="S1797" s="317" t="str">
        <f t="shared" si="135"/>
        <v/>
      </c>
      <c r="T1797" s="317" t="str">
        <f>GLOBAL_DER_FEV_2023!S1797</f>
        <v/>
      </c>
      <c r="W1797" s="582">
        <v>0</v>
      </c>
      <c r="X1797" s="580"/>
      <c r="Y1797" s="583">
        <f>IF(GLOBAL_DER_FEV_2023!W1797=0,0,IF(GLOBAL_DER_FEV_2023!W1797&gt;0,"c","b"))</f>
        <v>0</v>
      </c>
    </row>
    <row r="1798" spans="1:25" ht="15" hidden="1" customHeight="1" x14ac:dyDescent="0.2">
      <c r="A1798" s="317" t="s">
        <v>147</v>
      </c>
      <c r="B1798" s="895" t="s">
        <v>147</v>
      </c>
      <c r="C1798" s="896"/>
      <c r="D1798" s="906" t="s">
        <v>339</v>
      </c>
      <c r="E1798" s="907">
        <f>GLOBAL_DER_FEV_2023!E1798</f>
        <v>0</v>
      </c>
      <c r="F1798" s="908">
        <f>GLOBAL_DER_FEV_2023!F1798</f>
        <v>1.2270000000000001</v>
      </c>
      <c r="G1798" s="949">
        <f>GLOBAL_DER_FEV_2023!G1798</f>
        <v>3.2883600000000004</v>
      </c>
      <c r="H1798" s="901">
        <f>GLOBAL_DER_FEV_2023!H1798</f>
        <v>0</v>
      </c>
      <c r="I1798" s="901">
        <f>GLOBAL_DER_FEV_2023!I1798</f>
        <v>0</v>
      </c>
      <c r="J1798" s="902">
        <f>GLOBAL_DER_FEV_2023!J1798</f>
        <v>0</v>
      </c>
      <c r="K1798" s="903"/>
      <c r="L1798" s="1177"/>
      <c r="M1798" s="1138">
        <f t="shared" si="132"/>
        <v>0</v>
      </c>
      <c r="N1798" s="1176">
        <f t="shared" si="136"/>
        <v>0</v>
      </c>
      <c r="O1798" s="905"/>
      <c r="P1798" s="36" t="str">
        <f>IF(N1795&gt;0,"xx",IF(N1795&gt;0,"xy",""))</f>
        <v/>
      </c>
      <c r="Q1798" s="317" t="str">
        <f t="shared" si="133"/>
        <v/>
      </c>
      <c r="R1798" s="317" t="str">
        <f t="shared" si="134"/>
        <v/>
      </c>
      <c r="S1798" s="317" t="str">
        <f t="shared" si="135"/>
        <v/>
      </c>
      <c r="T1798" s="317" t="str">
        <f>GLOBAL_DER_FEV_2023!S1798</f>
        <v/>
      </c>
      <c r="W1798" s="582">
        <v>0</v>
      </c>
      <c r="X1798" s="580"/>
      <c r="Y1798" s="583">
        <f>IF(GLOBAL_DER_FEV_2023!W1798=0,0,IF(GLOBAL_DER_FEV_2023!W1798&gt;0,"c","b"))</f>
        <v>0</v>
      </c>
    </row>
    <row r="1799" spans="1:25" ht="15" hidden="1" customHeight="1" x14ac:dyDescent="0.2">
      <c r="A1799" s="317">
        <v>605100</v>
      </c>
      <c r="B1799" s="895">
        <v>605100</v>
      </c>
      <c r="C1799" s="896" t="s">
        <v>184</v>
      </c>
      <c r="D1799" s="906" t="s">
        <v>810</v>
      </c>
      <c r="E1799" s="907">
        <f>GLOBAL_DER_FEV_2023!E1799</f>
        <v>0</v>
      </c>
      <c r="F1799" s="908">
        <f>GLOBAL_DER_FEV_2023!F1799</f>
        <v>0</v>
      </c>
      <c r="G1799" s="912">
        <f>GLOBAL_DER_FEV_2023!G1799</f>
        <v>225.79514000000003</v>
      </c>
      <c r="H1799" s="901">
        <f>GLOBAL_DER_FEV_2023!H1799</f>
        <v>436.57</v>
      </c>
      <c r="I1799" s="901">
        <f>GLOBAL_DER_FEV_2023!I1799</f>
        <v>662.36514</v>
      </c>
      <c r="J1799" s="902">
        <f>GLOBAL_DER_FEV_2023!J1799</f>
        <v>795.3</v>
      </c>
      <c r="K1799" s="903" t="s">
        <v>10</v>
      </c>
      <c r="L1799" s="1137"/>
      <c r="M1799" s="1138">
        <f t="shared" si="132"/>
        <v>0</v>
      </c>
      <c r="N1799" s="1176">
        <f t="shared" si="136"/>
        <v>0</v>
      </c>
      <c r="O1799" s="905"/>
      <c r="Q1799" s="317" t="str">
        <f t="shared" si="133"/>
        <v/>
      </c>
      <c r="R1799" s="317" t="str">
        <f t="shared" si="134"/>
        <v/>
      </c>
      <c r="S1799" s="317" t="str">
        <f t="shared" si="135"/>
        <v/>
      </c>
      <c r="T1799" s="317" t="str">
        <f>GLOBAL_DER_FEV_2023!S1799</f>
        <v/>
      </c>
      <c r="W1799" s="582">
        <v>0</v>
      </c>
      <c r="X1799" s="580"/>
      <c r="Y1799" s="583">
        <f>IF(GLOBAL_DER_FEV_2023!W1799=0,0,IF(GLOBAL_DER_FEV_2023!W1799&gt;0,"c","b"))</f>
        <v>0</v>
      </c>
    </row>
    <row r="1800" spans="1:25" ht="15" hidden="1" customHeight="1" x14ac:dyDescent="0.2">
      <c r="A1800" s="317" t="s">
        <v>147</v>
      </c>
      <c r="B1800" s="895" t="s">
        <v>147</v>
      </c>
      <c r="C1800" s="896"/>
      <c r="D1800" s="906" t="s">
        <v>190</v>
      </c>
      <c r="E1800" s="907">
        <f>GLOBAL_DER_FEV_2023!E1800</f>
        <v>308</v>
      </c>
      <c r="F1800" s="908">
        <f>GLOBAL_DER_FEV_2023!F1800</f>
        <v>0.2</v>
      </c>
      <c r="G1800" s="909">
        <f>GLOBAL_DER_FEV_2023!G1800</f>
        <v>49.612000000000002</v>
      </c>
      <c r="H1800" s="901">
        <f>GLOBAL_DER_FEV_2023!H1800</f>
        <v>0</v>
      </c>
      <c r="I1800" s="901">
        <f>GLOBAL_DER_FEV_2023!I1800</f>
        <v>0</v>
      </c>
      <c r="J1800" s="902">
        <f>GLOBAL_DER_FEV_2023!J1800</f>
        <v>0</v>
      </c>
      <c r="K1800" s="903"/>
      <c r="L1800" s="1177"/>
      <c r="M1800" s="1138">
        <f t="shared" si="132"/>
        <v>0</v>
      </c>
      <c r="N1800" s="1176">
        <f t="shared" si="136"/>
        <v>0</v>
      </c>
      <c r="O1800" s="905"/>
      <c r="P1800" s="36" t="str">
        <f>IF(N1799&gt;0,"xx",IF(N1799&gt;0,"xy",""))</f>
        <v/>
      </c>
      <c r="Q1800" s="317" t="str">
        <f t="shared" si="133"/>
        <v/>
      </c>
      <c r="R1800" s="317" t="str">
        <f t="shared" si="134"/>
        <v/>
      </c>
      <c r="S1800" s="317" t="str">
        <f t="shared" si="135"/>
        <v/>
      </c>
      <c r="T1800" s="317" t="str">
        <f>GLOBAL_DER_FEV_2023!S1800</f>
        <v/>
      </c>
      <c r="W1800" s="582">
        <v>0</v>
      </c>
      <c r="X1800" s="580"/>
      <c r="Y1800" s="583">
        <f>IF(GLOBAL_DER_FEV_2023!W1800=0,0,IF(GLOBAL_DER_FEV_2023!W1800&gt;0,"c","b"))</f>
        <v>0</v>
      </c>
    </row>
    <row r="1801" spans="1:25" ht="15" hidden="1" customHeight="1" x14ac:dyDescent="0.2">
      <c r="A1801" s="317" t="s">
        <v>147</v>
      </c>
      <c r="B1801" s="895" t="s">
        <v>147</v>
      </c>
      <c r="C1801" s="896"/>
      <c r="D1801" s="906" t="s">
        <v>229</v>
      </c>
      <c r="E1801" s="907">
        <f>GLOBAL_DER_FEV_2023!E1801</f>
        <v>150</v>
      </c>
      <c r="F1801" s="908">
        <f>GLOBAL_DER_FEV_2023!F1801</f>
        <v>1.06</v>
      </c>
      <c r="G1801" s="949">
        <f>GLOBAL_DER_FEV_2023!G1801</f>
        <v>172.97080000000003</v>
      </c>
      <c r="H1801" s="901">
        <f>GLOBAL_DER_FEV_2023!H1801</f>
        <v>0</v>
      </c>
      <c r="I1801" s="901">
        <f>GLOBAL_DER_FEV_2023!I1801</f>
        <v>0</v>
      </c>
      <c r="J1801" s="902">
        <f>GLOBAL_DER_FEV_2023!J1801</f>
        <v>0</v>
      </c>
      <c r="K1801" s="903"/>
      <c r="L1801" s="1177"/>
      <c r="M1801" s="1138">
        <f t="shared" si="132"/>
        <v>0</v>
      </c>
      <c r="N1801" s="1176">
        <f t="shared" si="136"/>
        <v>0</v>
      </c>
      <c r="O1801" s="905"/>
      <c r="P1801" s="36" t="str">
        <f>IF(N1799&gt;0,"xx",IF(N1799&gt;0,"xy",""))</f>
        <v/>
      </c>
      <c r="Q1801" s="317" t="str">
        <f t="shared" si="133"/>
        <v/>
      </c>
      <c r="R1801" s="317" t="str">
        <f t="shared" si="134"/>
        <v/>
      </c>
      <c r="S1801" s="317" t="str">
        <f t="shared" si="135"/>
        <v/>
      </c>
      <c r="T1801" s="317" t="str">
        <f>GLOBAL_DER_FEV_2023!S1801</f>
        <v/>
      </c>
      <c r="W1801" s="582">
        <v>0</v>
      </c>
      <c r="X1801" s="580"/>
      <c r="Y1801" s="583">
        <f>IF(GLOBAL_DER_FEV_2023!W1801=0,0,IF(GLOBAL_DER_FEV_2023!W1801&gt;0,"c","b"))</f>
        <v>0</v>
      </c>
    </row>
    <row r="1802" spans="1:25" ht="15" hidden="1" customHeight="1" x14ac:dyDescent="0.2">
      <c r="A1802" s="317" t="s">
        <v>147</v>
      </c>
      <c r="B1802" s="895" t="s">
        <v>147</v>
      </c>
      <c r="C1802" s="896"/>
      <c r="D1802" s="906" t="s">
        <v>233</v>
      </c>
      <c r="E1802" s="907">
        <f>GLOBAL_DER_FEV_2023!E1802</f>
        <v>0.2</v>
      </c>
      <c r="F1802" s="908">
        <f>GLOBAL_DER_FEV_2023!F1802</f>
        <v>1.1100000000000001</v>
      </c>
      <c r="G1802" s="949">
        <f>GLOBAL_DER_FEV_2023!G1802</f>
        <v>3.2123400000000006</v>
      </c>
      <c r="H1802" s="901">
        <f>GLOBAL_DER_FEV_2023!H1802</f>
        <v>0</v>
      </c>
      <c r="I1802" s="901">
        <f>GLOBAL_DER_FEV_2023!I1802</f>
        <v>0</v>
      </c>
      <c r="J1802" s="902">
        <f>GLOBAL_DER_FEV_2023!J1802</f>
        <v>0</v>
      </c>
      <c r="K1802" s="903"/>
      <c r="L1802" s="1177"/>
      <c r="M1802" s="1138">
        <f t="shared" si="132"/>
        <v>0</v>
      </c>
      <c r="N1802" s="1176">
        <f t="shared" si="136"/>
        <v>0</v>
      </c>
      <c r="O1802" s="905"/>
      <c r="P1802" s="36" t="str">
        <f>IF(N1799&gt;0,"xx",IF(N1799&gt;0,"xy",""))</f>
        <v/>
      </c>
      <c r="Q1802" s="317" t="str">
        <f t="shared" si="133"/>
        <v/>
      </c>
      <c r="R1802" s="317" t="str">
        <f t="shared" si="134"/>
        <v/>
      </c>
      <c r="S1802" s="317" t="str">
        <f t="shared" si="135"/>
        <v/>
      </c>
      <c r="T1802" s="317" t="str">
        <f>GLOBAL_DER_FEV_2023!S1802</f>
        <v/>
      </c>
      <c r="W1802" s="582">
        <v>0</v>
      </c>
      <c r="X1802" s="580"/>
      <c r="Y1802" s="583">
        <f>IF(GLOBAL_DER_FEV_2023!W1802=0,0,IF(GLOBAL_DER_FEV_2023!W1802&gt;0,"c","b"))</f>
        <v>0</v>
      </c>
    </row>
    <row r="1803" spans="1:25" ht="15" hidden="1" customHeight="1" x14ac:dyDescent="0.2">
      <c r="A1803" s="317">
        <v>605200</v>
      </c>
      <c r="B1803" s="895" t="s">
        <v>1794</v>
      </c>
      <c r="C1803" s="896" t="s">
        <v>184</v>
      </c>
      <c r="D1803" s="906" t="s">
        <v>340</v>
      </c>
      <c r="E1803" s="907">
        <f>GLOBAL_DER_FEV_2023!E1803</f>
        <v>0</v>
      </c>
      <c r="F1803" s="908">
        <f>GLOBAL_DER_FEV_2023!F1803</f>
        <v>0</v>
      </c>
      <c r="G1803" s="912">
        <f>GLOBAL_DER_FEV_2023!G1803</f>
        <v>226.84134000000003</v>
      </c>
      <c r="H1803" s="901">
        <f>GLOBAL_DER_FEV_2023!H1803</f>
        <v>471.16</v>
      </c>
      <c r="I1803" s="901">
        <f>GLOBAL_DER_FEV_2023!I1803</f>
        <v>698.00134000000003</v>
      </c>
      <c r="J1803" s="902">
        <f>GLOBAL_DER_FEV_2023!J1803</f>
        <v>838.09</v>
      </c>
      <c r="K1803" s="903" t="s">
        <v>10</v>
      </c>
      <c r="L1803" s="1137"/>
      <c r="M1803" s="1138">
        <f t="shared" si="132"/>
        <v>0</v>
      </c>
      <c r="N1803" s="1176">
        <f t="shared" si="136"/>
        <v>0</v>
      </c>
      <c r="O1803" s="905"/>
      <c r="Q1803" s="317" t="str">
        <f t="shared" si="133"/>
        <v/>
      </c>
      <c r="R1803" s="317" t="str">
        <f t="shared" si="134"/>
        <v/>
      </c>
      <c r="S1803" s="317" t="str">
        <f t="shared" si="135"/>
        <v/>
      </c>
      <c r="T1803" s="317" t="str">
        <f>GLOBAL_DER_FEV_2023!S1803</f>
        <v/>
      </c>
      <c r="W1803" s="582">
        <v>0</v>
      </c>
      <c r="X1803" s="580"/>
      <c r="Y1803" s="583">
        <f>IF(GLOBAL_DER_FEV_2023!W1803=0,0,IF(GLOBAL_DER_FEV_2023!W1803&gt;0,"c","b"))</f>
        <v>0</v>
      </c>
    </row>
    <row r="1804" spans="1:25" ht="15" hidden="1" customHeight="1" x14ac:dyDescent="0.2">
      <c r="A1804" s="317" t="s">
        <v>147</v>
      </c>
      <c r="B1804" s="895" t="s">
        <v>147</v>
      </c>
      <c r="C1804" s="896"/>
      <c r="D1804" s="906" t="s">
        <v>190</v>
      </c>
      <c r="E1804" s="907">
        <f>GLOBAL_DER_FEV_2023!E1804</f>
        <v>308</v>
      </c>
      <c r="F1804" s="908">
        <f>GLOBAL_DER_FEV_2023!F1804</f>
        <v>0.27</v>
      </c>
      <c r="G1804" s="909">
        <f>GLOBAL_DER_FEV_2023!G1804</f>
        <v>66.976200000000006</v>
      </c>
      <c r="H1804" s="901">
        <f>GLOBAL_DER_FEV_2023!H1804</f>
        <v>0</v>
      </c>
      <c r="I1804" s="901">
        <f>GLOBAL_DER_FEV_2023!I1804</f>
        <v>0</v>
      </c>
      <c r="J1804" s="902">
        <f>GLOBAL_DER_FEV_2023!J1804</f>
        <v>0</v>
      </c>
      <c r="K1804" s="903"/>
      <c r="L1804" s="1177"/>
      <c r="M1804" s="1138">
        <f t="shared" si="132"/>
        <v>0</v>
      </c>
      <c r="N1804" s="1176">
        <f t="shared" si="136"/>
        <v>0</v>
      </c>
      <c r="O1804" s="905"/>
      <c r="P1804" s="36" t="str">
        <f>IF(N1803&gt;0,"xx",IF(N1803&gt;0,"xy",""))</f>
        <v/>
      </c>
      <c r="Q1804" s="317" t="str">
        <f t="shared" si="133"/>
        <v/>
      </c>
      <c r="R1804" s="317" t="str">
        <f t="shared" si="134"/>
        <v/>
      </c>
      <c r="S1804" s="317" t="str">
        <f t="shared" si="135"/>
        <v/>
      </c>
      <c r="T1804" s="317" t="str">
        <f>GLOBAL_DER_FEV_2023!S1804</f>
        <v/>
      </c>
      <c r="W1804" s="582">
        <v>0</v>
      </c>
      <c r="X1804" s="580"/>
      <c r="Y1804" s="583">
        <f>IF(GLOBAL_DER_FEV_2023!W1804=0,0,IF(GLOBAL_DER_FEV_2023!W1804&gt;0,"c","b"))</f>
        <v>0</v>
      </c>
    </row>
    <row r="1805" spans="1:25" ht="15" hidden="1" customHeight="1" x14ac:dyDescent="0.2">
      <c r="A1805" s="317" t="s">
        <v>147</v>
      </c>
      <c r="B1805" s="895" t="s">
        <v>147</v>
      </c>
      <c r="C1805" s="896"/>
      <c r="D1805" s="906" t="s">
        <v>229</v>
      </c>
      <c r="E1805" s="907">
        <f>GLOBAL_DER_FEV_2023!E1805</f>
        <v>150</v>
      </c>
      <c r="F1805" s="908">
        <f>GLOBAL_DER_FEV_2023!F1805</f>
        <v>0.96</v>
      </c>
      <c r="G1805" s="949">
        <f>GLOBAL_DER_FEV_2023!G1805</f>
        <v>156.65280000000001</v>
      </c>
      <c r="H1805" s="901">
        <f>GLOBAL_DER_FEV_2023!H1805</f>
        <v>0</v>
      </c>
      <c r="I1805" s="901">
        <f>GLOBAL_DER_FEV_2023!I1805</f>
        <v>0</v>
      </c>
      <c r="J1805" s="902">
        <f>GLOBAL_DER_FEV_2023!J1805</f>
        <v>0</v>
      </c>
      <c r="K1805" s="903"/>
      <c r="L1805" s="1177"/>
      <c r="M1805" s="1138">
        <f t="shared" si="132"/>
        <v>0</v>
      </c>
      <c r="N1805" s="1176">
        <f t="shared" si="136"/>
        <v>0</v>
      </c>
      <c r="O1805" s="905"/>
      <c r="P1805" s="36" t="str">
        <f>IF(N1803&gt;0,"xx",IF(N1803&gt;0,"xy",""))</f>
        <v/>
      </c>
      <c r="Q1805" s="317" t="str">
        <f t="shared" si="133"/>
        <v/>
      </c>
      <c r="R1805" s="317" t="str">
        <f t="shared" si="134"/>
        <v/>
      </c>
      <c r="S1805" s="317" t="str">
        <f t="shared" si="135"/>
        <v/>
      </c>
      <c r="T1805" s="317" t="str">
        <f>GLOBAL_DER_FEV_2023!S1805</f>
        <v/>
      </c>
      <c r="W1805" s="582">
        <v>0</v>
      </c>
      <c r="X1805" s="580"/>
      <c r="Y1805" s="583">
        <f>IF(GLOBAL_DER_FEV_2023!W1805=0,0,IF(GLOBAL_DER_FEV_2023!W1805&gt;0,"c","b"))</f>
        <v>0</v>
      </c>
    </row>
    <row r="1806" spans="1:25" ht="15" hidden="1" customHeight="1" x14ac:dyDescent="0.2">
      <c r="A1806" s="317" t="s">
        <v>147</v>
      </c>
      <c r="B1806" s="895" t="s">
        <v>147</v>
      </c>
      <c r="C1806" s="896"/>
      <c r="D1806" s="906" t="s">
        <v>233</v>
      </c>
      <c r="E1806" s="907">
        <f>GLOBAL_DER_FEV_2023!E1806</f>
        <v>0.2</v>
      </c>
      <c r="F1806" s="908">
        <f>GLOBAL_DER_FEV_2023!F1806</f>
        <v>1.1100000000000001</v>
      </c>
      <c r="G1806" s="949">
        <f>GLOBAL_DER_FEV_2023!G1806</f>
        <v>3.2123400000000006</v>
      </c>
      <c r="H1806" s="901">
        <f>GLOBAL_DER_FEV_2023!H1806</f>
        <v>0</v>
      </c>
      <c r="I1806" s="901">
        <f>GLOBAL_DER_FEV_2023!I1806</f>
        <v>0</v>
      </c>
      <c r="J1806" s="902">
        <f>GLOBAL_DER_FEV_2023!J1806</f>
        <v>0</v>
      </c>
      <c r="K1806" s="903"/>
      <c r="L1806" s="1177"/>
      <c r="M1806" s="1138">
        <f t="shared" si="132"/>
        <v>0</v>
      </c>
      <c r="N1806" s="1176">
        <f t="shared" si="136"/>
        <v>0</v>
      </c>
      <c r="O1806" s="905"/>
      <c r="P1806" s="36" t="str">
        <f>IF(N1803&gt;0,"xx",IF(N1803&gt;0,"xy",""))</f>
        <v/>
      </c>
      <c r="Q1806" s="317" t="str">
        <f t="shared" si="133"/>
        <v/>
      </c>
      <c r="R1806" s="317" t="str">
        <f t="shared" si="134"/>
        <v/>
      </c>
      <c r="S1806" s="317" t="str">
        <f t="shared" si="135"/>
        <v/>
      </c>
      <c r="T1806" s="317" t="str">
        <f>GLOBAL_DER_FEV_2023!S1806</f>
        <v/>
      </c>
      <c r="W1806" s="582">
        <v>0</v>
      </c>
      <c r="X1806" s="580"/>
      <c r="Y1806" s="583">
        <f>IF(GLOBAL_DER_FEV_2023!W1806=0,0,IF(GLOBAL_DER_FEV_2023!W1806&gt;0,"c","b"))</f>
        <v>0</v>
      </c>
    </row>
    <row r="1807" spans="1:25" ht="15" hidden="1" customHeight="1" x14ac:dyDescent="0.2">
      <c r="A1807" s="317">
        <v>605300</v>
      </c>
      <c r="B1807" s="895" t="s">
        <v>1796</v>
      </c>
      <c r="C1807" s="896" t="s">
        <v>184</v>
      </c>
      <c r="D1807" s="906" t="s">
        <v>341</v>
      </c>
      <c r="E1807" s="907">
        <f>GLOBAL_DER_FEV_2023!E1807</f>
        <v>0</v>
      </c>
      <c r="F1807" s="908">
        <f>GLOBAL_DER_FEV_2023!F1807</f>
        <v>0</v>
      </c>
      <c r="G1807" s="912">
        <f>GLOBAL_DER_FEV_2023!G1807</f>
        <v>235.36092000000002</v>
      </c>
      <c r="H1807" s="901">
        <f>GLOBAL_DER_FEV_2023!H1807</f>
        <v>503.25</v>
      </c>
      <c r="I1807" s="901">
        <f>GLOBAL_DER_FEV_2023!I1807</f>
        <v>738.61092000000008</v>
      </c>
      <c r="J1807" s="902">
        <f>GLOBAL_DER_FEV_2023!J1807</f>
        <v>886.85</v>
      </c>
      <c r="K1807" s="903" t="s">
        <v>10</v>
      </c>
      <c r="L1807" s="1137"/>
      <c r="M1807" s="1138">
        <f t="shared" si="132"/>
        <v>0</v>
      </c>
      <c r="N1807" s="1176">
        <f t="shared" si="136"/>
        <v>0</v>
      </c>
      <c r="O1807" s="905"/>
      <c r="Q1807" s="317" t="str">
        <f t="shared" si="133"/>
        <v/>
      </c>
      <c r="R1807" s="317" t="str">
        <f t="shared" si="134"/>
        <v/>
      </c>
      <c r="S1807" s="317" t="str">
        <f t="shared" si="135"/>
        <v/>
      </c>
      <c r="T1807" s="317" t="str">
        <f>GLOBAL_DER_FEV_2023!S1807</f>
        <v/>
      </c>
      <c r="W1807" s="582">
        <v>0</v>
      </c>
      <c r="X1807" s="580"/>
      <c r="Y1807" s="583">
        <f>IF(GLOBAL_DER_FEV_2023!W1807=0,0,IF(GLOBAL_DER_FEV_2023!W1807&gt;0,"c","b"))</f>
        <v>0</v>
      </c>
    </row>
    <row r="1808" spans="1:25" ht="15" hidden="1" customHeight="1" x14ac:dyDescent="0.2">
      <c r="A1808" s="317" t="s">
        <v>147</v>
      </c>
      <c r="B1808" s="895" t="s">
        <v>147</v>
      </c>
      <c r="C1808" s="896"/>
      <c r="D1808" s="906" t="s">
        <v>190</v>
      </c>
      <c r="E1808" s="907">
        <f>GLOBAL_DER_FEV_2023!E1808</f>
        <v>308</v>
      </c>
      <c r="F1808" s="908">
        <f>GLOBAL_DER_FEV_2023!F1808</f>
        <v>0.33</v>
      </c>
      <c r="G1808" s="909">
        <f>GLOBAL_DER_FEV_2023!G1808</f>
        <v>81.859800000000007</v>
      </c>
      <c r="H1808" s="901">
        <f>GLOBAL_DER_FEV_2023!H1808</f>
        <v>0</v>
      </c>
      <c r="I1808" s="901">
        <f>GLOBAL_DER_FEV_2023!I1808</f>
        <v>0</v>
      </c>
      <c r="J1808" s="902">
        <f>GLOBAL_DER_FEV_2023!J1808</f>
        <v>0</v>
      </c>
      <c r="K1808" s="903"/>
      <c r="L1808" s="1177"/>
      <c r="M1808" s="1138">
        <f t="shared" si="132"/>
        <v>0</v>
      </c>
      <c r="N1808" s="1176">
        <f t="shared" si="136"/>
        <v>0</v>
      </c>
      <c r="O1808" s="905"/>
      <c r="P1808" s="36" t="str">
        <f>IF(N1807&gt;0,"xx",IF(N1807&gt;0,"xy",""))</f>
        <v/>
      </c>
      <c r="Q1808" s="317" t="str">
        <f t="shared" si="133"/>
        <v/>
      </c>
      <c r="R1808" s="317" t="str">
        <f t="shared" si="134"/>
        <v/>
      </c>
      <c r="S1808" s="317" t="str">
        <f t="shared" si="135"/>
        <v/>
      </c>
      <c r="T1808" s="317" t="str">
        <f>GLOBAL_DER_FEV_2023!S1808</f>
        <v/>
      </c>
      <c r="W1808" s="582">
        <v>0</v>
      </c>
      <c r="X1808" s="580"/>
      <c r="Y1808" s="583">
        <f>IF(GLOBAL_DER_FEV_2023!W1808=0,0,IF(GLOBAL_DER_FEV_2023!W1808&gt;0,"c","b"))</f>
        <v>0</v>
      </c>
    </row>
    <row r="1809" spans="1:25" ht="15" hidden="1" customHeight="1" x14ac:dyDescent="0.2">
      <c r="A1809" s="317" t="s">
        <v>147</v>
      </c>
      <c r="B1809" s="895" t="s">
        <v>147</v>
      </c>
      <c r="C1809" s="896"/>
      <c r="D1809" s="906" t="s">
        <v>229</v>
      </c>
      <c r="E1809" s="907">
        <f>GLOBAL_DER_FEV_2023!E1809</f>
        <v>150</v>
      </c>
      <c r="F1809" s="908">
        <f>GLOBAL_DER_FEV_2023!F1809</f>
        <v>0.92100000000000004</v>
      </c>
      <c r="G1809" s="949">
        <f>GLOBAL_DER_FEV_2023!G1809</f>
        <v>150.28878</v>
      </c>
      <c r="H1809" s="901">
        <f>GLOBAL_DER_FEV_2023!H1809</f>
        <v>0</v>
      </c>
      <c r="I1809" s="901">
        <f>GLOBAL_DER_FEV_2023!I1809</f>
        <v>0</v>
      </c>
      <c r="J1809" s="902">
        <f>GLOBAL_DER_FEV_2023!J1809</f>
        <v>0</v>
      </c>
      <c r="K1809" s="903"/>
      <c r="L1809" s="1177"/>
      <c r="M1809" s="1138">
        <f t="shared" si="132"/>
        <v>0</v>
      </c>
      <c r="N1809" s="1176">
        <f t="shared" si="136"/>
        <v>0</v>
      </c>
      <c r="O1809" s="905"/>
      <c r="P1809" s="36" t="str">
        <f>IF(N1807&gt;0,"xx",IF(N1807&gt;0,"xy",""))</f>
        <v/>
      </c>
      <c r="Q1809" s="317" t="str">
        <f t="shared" si="133"/>
        <v/>
      </c>
      <c r="R1809" s="317" t="str">
        <f t="shared" si="134"/>
        <v/>
      </c>
      <c r="S1809" s="317" t="str">
        <f t="shared" si="135"/>
        <v/>
      </c>
      <c r="T1809" s="317" t="str">
        <f>GLOBAL_DER_FEV_2023!S1809</f>
        <v/>
      </c>
      <c r="W1809" s="582">
        <v>0</v>
      </c>
      <c r="X1809" s="580"/>
      <c r="Y1809" s="583">
        <f>IF(GLOBAL_DER_FEV_2023!W1809=0,0,IF(GLOBAL_DER_FEV_2023!W1809&gt;0,"c","b"))</f>
        <v>0</v>
      </c>
    </row>
    <row r="1810" spans="1:25" ht="15" hidden="1" customHeight="1" x14ac:dyDescent="0.2">
      <c r="A1810" s="317" t="s">
        <v>147</v>
      </c>
      <c r="B1810" s="895" t="s">
        <v>147</v>
      </c>
      <c r="C1810" s="896"/>
      <c r="D1810" s="906" t="s">
        <v>233</v>
      </c>
      <c r="E1810" s="907">
        <f>GLOBAL_DER_FEV_2023!E1810</f>
        <v>0.2</v>
      </c>
      <c r="F1810" s="908">
        <f>GLOBAL_DER_FEV_2023!F1810</f>
        <v>1.1100000000000001</v>
      </c>
      <c r="G1810" s="949">
        <f>GLOBAL_DER_FEV_2023!G1810</f>
        <v>3.2123400000000006</v>
      </c>
      <c r="H1810" s="901">
        <f>GLOBAL_DER_FEV_2023!H1810</f>
        <v>0</v>
      </c>
      <c r="I1810" s="901">
        <f>GLOBAL_DER_FEV_2023!I1810</f>
        <v>0</v>
      </c>
      <c r="J1810" s="902">
        <f>GLOBAL_DER_FEV_2023!J1810</f>
        <v>0</v>
      </c>
      <c r="K1810" s="903"/>
      <c r="L1810" s="1177"/>
      <c r="M1810" s="1138">
        <f t="shared" ref="M1810:M1873" si="137">IF(L1810=0,0,ROUND(J1810,2))</f>
        <v>0</v>
      </c>
      <c r="N1810" s="1176">
        <f t="shared" si="136"/>
        <v>0</v>
      </c>
      <c r="O1810" s="905"/>
      <c r="P1810" s="36" t="str">
        <f>IF(N1807&gt;0,"xx",IF(N1807&gt;0,"xy",""))</f>
        <v/>
      </c>
      <c r="Q1810" s="317" t="str">
        <f t="shared" si="133"/>
        <v/>
      </c>
      <c r="R1810" s="317" t="str">
        <f t="shared" si="134"/>
        <v/>
      </c>
      <c r="S1810" s="317" t="str">
        <f t="shared" si="135"/>
        <v/>
      </c>
      <c r="T1810" s="317" t="str">
        <f>GLOBAL_DER_FEV_2023!S1810</f>
        <v/>
      </c>
      <c r="W1810" s="582">
        <v>0</v>
      </c>
      <c r="X1810" s="580"/>
      <c r="Y1810" s="583">
        <f>IF(GLOBAL_DER_FEV_2023!W1810=0,0,IF(GLOBAL_DER_FEV_2023!W1810&gt;0,"c","b"))</f>
        <v>0</v>
      </c>
    </row>
    <row r="1811" spans="1:25" ht="15" hidden="1" customHeight="1" x14ac:dyDescent="0.2">
      <c r="A1811" s="317">
        <v>605400</v>
      </c>
      <c r="B1811" s="895" t="s">
        <v>1798</v>
      </c>
      <c r="C1811" s="896" t="s">
        <v>184</v>
      </c>
      <c r="D1811" s="906" t="s">
        <v>342</v>
      </c>
      <c r="E1811" s="907">
        <f>GLOBAL_DER_FEV_2023!E1811</f>
        <v>0</v>
      </c>
      <c r="F1811" s="908">
        <f>GLOBAL_DER_FEV_2023!F1811</f>
        <v>0</v>
      </c>
      <c r="G1811" s="912">
        <f>GLOBAL_DER_FEV_2023!G1811</f>
        <v>254.98858000000001</v>
      </c>
      <c r="H1811" s="901">
        <f>GLOBAL_DER_FEV_2023!H1811</f>
        <v>510.89</v>
      </c>
      <c r="I1811" s="901">
        <f>GLOBAL_DER_FEV_2023!I1811</f>
        <v>765.87858000000006</v>
      </c>
      <c r="J1811" s="902">
        <f>GLOBAL_DER_FEV_2023!J1811</f>
        <v>919.59</v>
      </c>
      <c r="K1811" s="903" t="s">
        <v>10</v>
      </c>
      <c r="L1811" s="1137"/>
      <c r="M1811" s="1138">
        <f t="shared" si="137"/>
        <v>0</v>
      </c>
      <c r="N1811" s="1176">
        <f t="shared" si="136"/>
        <v>0</v>
      </c>
      <c r="O1811" s="905"/>
      <c r="Q1811" s="317" t="str">
        <f t="shared" si="133"/>
        <v/>
      </c>
      <c r="R1811" s="317" t="str">
        <f t="shared" si="134"/>
        <v/>
      </c>
      <c r="S1811" s="317" t="str">
        <f t="shared" si="135"/>
        <v/>
      </c>
      <c r="T1811" s="317" t="str">
        <f>GLOBAL_DER_FEV_2023!S1811</f>
        <v/>
      </c>
      <c r="W1811" s="582">
        <v>0</v>
      </c>
      <c r="X1811" s="580"/>
      <c r="Y1811" s="583">
        <f>IF(GLOBAL_DER_FEV_2023!W1811=0,0,IF(GLOBAL_DER_FEV_2023!W1811&gt;0,"c","b"))</f>
        <v>0</v>
      </c>
    </row>
    <row r="1812" spans="1:25" ht="15" hidden="1" customHeight="1" x14ac:dyDescent="0.2">
      <c r="A1812" s="317" t="s">
        <v>147</v>
      </c>
      <c r="B1812" s="895" t="s">
        <v>147</v>
      </c>
      <c r="C1812" s="896"/>
      <c r="D1812" s="906" t="s">
        <v>190</v>
      </c>
      <c r="E1812" s="907">
        <f>GLOBAL_DER_FEV_2023!E1812</f>
        <v>308</v>
      </c>
      <c r="F1812" s="908">
        <f>GLOBAL_DER_FEV_2023!F1812</f>
        <v>0.34399999999999997</v>
      </c>
      <c r="G1812" s="909">
        <f>GLOBAL_DER_FEV_2023!G1812</f>
        <v>85.332639999999998</v>
      </c>
      <c r="H1812" s="901">
        <f>GLOBAL_DER_FEV_2023!H1812</f>
        <v>0</v>
      </c>
      <c r="I1812" s="901">
        <f>GLOBAL_DER_FEV_2023!I1812</f>
        <v>0</v>
      </c>
      <c r="J1812" s="902">
        <f>GLOBAL_DER_FEV_2023!J1812</f>
        <v>0</v>
      </c>
      <c r="K1812" s="903"/>
      <c r="L1812" s="1177"/>
      <c r="M1812" s="1138">
        <f t="shared" si="137"/>
        <v>0</v>
      </c>
      <c r="N1812" s="1176">
        <f t="shared" si="136"/>
        <v>0</v>
      </c>
      <c r="O1812" s="905"/>
      <c r="P1812" s="36" t="str">
        <f>IF(N1811&gt;0,"xx",IF(N1811&gt;0,"xy",""))</f>
        <v/>
      </c>
      <c r="Q1812" s="317" t="str">
        <f t="shared" si="133"/>
        <v/>
      </c>
      <c r="R1812" s="317" t="str">
        <f t="shared" si="134"/>
        <v/>
      </c>
      <c r="S1812" s="317" t="str">
        <f t="shared" si="135"/>
        <v/>
      </c>
      <c r="T1812" s="317" t="str">
        <f>GLOBAL_DER_FEV_2023!S1812</f>
        <v/>
      </c>
      <c r="W1812" s="582">
        <v>0</v>
      </c>
      <c r="X1812" s="580"/>
      <c r="Y1812" s="583">
        <f>IF(GLOBAL_DER_FEV_2023!W1812=0,0,IF(GLOBAL_DER_FEV_2023!W1812&gt;0,"c","b"))</f>
        <v>0</v>
      </c>
    </row>
    <row r="1813" spans="1:25" ht="15" hidden="1" customHeight="1" x14ac:dyDescent="0.2">
      <c r="A1813" s="317" t="s">
        <v>147</v>
      </c>
      <c r="B1813" s="895" t="s">
        <v>147</v>
      </c>
      <c r="C1813" s="896"/>
      <c r="D1813" s="906" t="s">
        <v>229</v>
      </c>
      <c r="E1813" s="907">
        <f>GLOBAL_DER_FEV_2023!E1813</f>
        <v>150</v>
      </c>
      <c r="F1813" s="908">
        <f>GLOBAL_DER_FEV_2023!F1813</f>
        <v>1.02</v>
      </c>
      <c r="G1813" s="949">
        <f>GLOBAL_DER_FEV_2023!G1813</f>
        <v>166.4436</v>
      </c>
      <c r="H1813" s="901">
        <f>GLOBAL_DER_FEV_2023!H1813</f>
        <v>0</v>
      </c>
      <c r="I1813" s="901">
        <f>GLOBAL_DER_FEV_2023!I1813</f>
        <v>0</v>
      </c>
      <c r="J1813" s="902">
        <f>GLOBAL_DER_FEV_2023!J1813</f>
        <v>0</v>
      </c>
      <c r="K1813" s="903"/>
      <c r="L1813" s="1177"/>
      <c r="M1813" s="1138">
        <f t="shared" si="137"/>
        <v>0</v>
      </c>
      <c r="N1813" s="1176">
        <f t="shared" si="136"/>
        <v>0</v>
      </c>
      <c r="O1813" s="905"/>
      <c r="P1813" s="36" t="str">
        <f>IF(N1811&gt;0,"xx",IF(N1811&gt;0,"xy",""))</f>
        <v/>
      </c>
      <c r="Q1813" s="317" t="str">
        <f t="shared" si="133"/>
        <v/>
      </c>
      <c r="R1813" s="317" t="str">
        <f t="shared" si="134"/>
        <v/>
      </c>
      <c r="S1813" s="317" t="str">
        <f t="shared" si="135"/>
        <v/>
      </c>
      <c r="T1813" s="317" t="str">
        <f>GLOBAL_DER_FEV_2023!S1813</f>
        <v/>
      </c>
      <c r="W1813" s="582">
        <v>0</v>
      </c>
      <c r="X1813" s="580"/>
      <c r="Y1813" s="583">
        <f>IF(GLOBAL_DER_FEV_2023!W1813=0,0,IF(GLOBAL_DER_FEV_2023!W1813&gt;0,"c","b"))</f>
        <v>0</v>
      </c>
    </row>
    <row r="1814" spans="1:25" ht="15" hidden="1" customHeight="1" x14ac:dyDescent="0.2">
      <c r="A1814" s="317" t="s">
        <v>147</v>
      </c>
      <c r="B1814" s="895" t="s">
        <v>147</v>
      </c>
      <c r="C1814" s="896"/>
      <c r="D1814" s="906" t="s">
        <v>233</v>
      </c>
      <c r="E1814" s="907">
        <f>GLOBAL_DER_FEV_2023!E1814</f>
        <v>0.2</v>
      </c>
      <c r="F1814" s="908">
        <f>GLOBAL_DER_FEV_2023!F1814</f>
        <v>1.1100000000000001</v>
      </c>
      <c r="G1814" s="949">
        <f>GLOBAL_DER_FEV_2023!G1814</f>
        <v>3.2123400000000006</v>
      </c>
      <c r="H1814" s="901">
        <f>GLOBAL_DER_FEV_2023!H1814</f>
        <v>0</v>
      </c>
      <c r="I1814" s="901">
        <f>GLOBAL_DER_FEV_2023!I1814</f>
        <v>0</v>
      </c>
      <c r="J1814" s="902">
        <f>GLOBAL_DER_FEV_2023!J1814</f>
        <v>0</v>
      </c>
      <c r="K1814" s="903"/>
      <c r="L1814" s="1177"/>
      <c r="M1814" s="1138">
        <f t="shared" si="137"/>
        <v>0</v>
      </c>
      <c r="N1814" s="1176">
        <f t="shared" si="136"/>
        <v>0</v>
      </c>
      <c r="O1814" s="905"/>
      <c r="P1814" s="36" t="str">
        <f>IF(N1811&gt;0,"xx",IF(N1811&gt;0,"xy",""))</f>
        <v/>
      </c>
      <c r="Q1814" s="317" t="str">
        <f t="shared" si="133"/>
        <v/>
      </c>
      <c r="R1814" s="317" t="str">
        <f t="shared" si="134"/>
        <v/>
      </c>
      <c r="S1814" s="317" t="str">
        <f t="shared" si="135"/>
        <v/>
      </c>
      <c r="T1814" s="317" t="str">
        <f>GLOBAL_DER_FEV_2023!S1814</f>
        <v/>
      </c>
      <c r="W1814" s="582">
        <v>0</v>
      </c>
      <c r="X1814" s="580"/>
      <c r="Y1814" s="583">
        <f>IF(GLOBAL_DER_FEV_2023!W1814=0,0,IF(GLOBAL_DER_FEV_2023!W1814&gt;0,"c","b"))</f>
        <v>0</v>
      </c>
    </row>
    <row r="1815" spans="1:25" ht="15" hidden="1" customHeight="1" x14ac:dyDescent="0.2">
      <c r="A1815" s="317">
        <v>605500</v>
      </c>
      <c r="B1815" s="895">
        <v>605500</v>
      </c>
      <c r="C1815" s="896" t="s">
        <v>184</v>
      </c>
      <c r="D1815" s="906" t="s">
        <v>811</v>
      </c>
      <c r="E1815" s="907">
        <f>GLOBAL_DER_FEV_2023!E1815</f>
        <v>0</v>
      </c>
      <c r="F1815" s="908">
        <f>GLOBAL_DER_FEV_2023!F1815</f>
        <v>0</v>
      </c>
      <c r="G1815" s="912">
        <f>GLOBAL_DER_FEV_2023!G1815</f>
        <v>241.41964000000002</v>
      </c>
      <c r="H1815" s="901">
        <f>GLOBAL_DER_FEV_2023!H1815</f>
        <v>532.64</v>
      </c>
      <c r="I1815" s="901">
        <f>GLOBAL_DER_FEV_2023!I1815</f>
        <v>774.05963999999994</v>
      </c>
      <c r="J1815" s="902">
        <f>GLOBAL_DER_FEV_2023!J1815</f>
        <v>929.41</v>
      </c>
      <c r="K1815" s="903" t="s">
        <v>10</v>
      </c>
      <c r="L1815" s="1137"/>
      <c r="M1815" s="1138">
        <f t="shared" si="137"/>
        <v>0</v>
      </c>
      <c r="N1815" s="1176">
        <f t="shared" si="136"/>
        <v>0</v>
      </c>
      <c r="O1815" s="905"/>
      <c r="Q1815" s="317" t="str">
        <f t="shared" si="133"/>
        <v/>
      </c>
      <c r="R1815" s="317" t="str">
        <f t="shared" si="134"/>
        <v/>
      </c>
      <c r="S1815" s="317" t="str">
        <f t="shared" si="135"/>
        <v/>
      </c>
      <c r="T1815" s="317" t="str">
        <f>GLOBAL_DER_FEV_2023!S1815</f>
        <v/>
      </c>
      <c r="W1815" s="582">
        <v>0</v>
      </c>
      <c r="X1815" s="580"/>
      <c r="Y1815" s="583">
        <f>IF(GLOBAL_DER_FEV_2023!W1815=0,0,IF(GLOBAL_DER_FEV_2023!W1815&gt;0,"c","b"))</f>
        <v>0</v>
      </c>
    </row>
    <row r="1816" spans="1:25" ht="15" hidden="1" customHeight="1" x14ac:dyDescent="0.2">
      <c r="A1816" s="317" t="s">
        <v>147</v>
      </c>
      <c r="B1816" s="895" t="s">
        <v>147</v>
      </c>
      <c r="C1816" s="896"/>
      <c r="D1816" s="906" t="s">
        <v>190</v>
      </c>
      <c r="E1816" s="907">
        <f>GLOBAL_DER_FEV_2023!E1816</f>
        <v>308</v>
      </c>
      <c r="F1816" s="908">
        <f>GLOBAL_DER_FEV_2023!F1816</f>
        <v>0.38600000000000001</v>
      </c>
      <c r="G1816" s="909">
        <f>GLOBAL_DER_FEV_2023!G1816</f>
        <v>95.751159999999999</v>
      </c>
      <c r="H1816" s="901">
        <f>GLOBAL_DER_FEV_2023!H1816</f>
        <v>0</v>
      </c>
      <c r="I1816" s="901">
        <f>GLOBAL_DER_FEV_2023!I1816</f>
        <v>0</v>
      </c>
      <c r="J1816" s="902">
        <f>GLOBAL_DER_FEV_2023!J1816</f>
        <v>0</v>
      </c>
      <c r="K1816" s="903"/>
      <c r="L1816" s="1177"/>
      <c r="M1816" s="1138">
        <f t="shared" si="137"/>
        <v>0</v>
      </c>
      <c r="N1816" s="1176">
        <f t="shared" si="136"/>
        <v>0</v>
      </c>
      <c r="O1816" s="905"/>
      <c r="P1816" s="36" t="str">
        <f>IF(N1815&gt;0,"xx",IF(N1815&gt;0,"xy",""))</f>
        <v/>
      </c>
      <c r="Q1816" s="317" t="str">
        <f t="shared" si="133"/>
        <v/>
      </c>
      <c r="R1816" s="317" t="str">
        <f t="shared" si="134"/>
        <v/>
      </c>
      <c r="S1816" s="317" t="str">
        <f t="shared" si="135"/>
        <v/>
      </c>
      <c r="T1816" s="317" t="str">
        <f>GLOBAL_DER_FEV_2023!S1816</f>
        <v/>
      </c>
      <c r="W1816" s="582">
        <v>0</v>
      </c>
      <c r="X1816" s="580"/>
      <c r="Y1816" s="583">
        <f>IF(GLOBAL_DER_FEV_2023!W1816=0,0,IF(GLOBAL_DER_FEV_2023!W1816&gt;0,"c","b"))</f>
        <v>0</v>
      </c>
    </row>
    <row r="1817" spans="1:25" ht="15" hidden="1" customHeight="1" x14ac:dyDescent="0.2">
      <c r="A1817" s="317" t="s">
        <v>147</v>
      </c>
      <c r="B1817" s="895" t="s">
        <v>147</v>
      </c>
      <c r="C1817" s="896"/>
      <c r="D1817" s="906" t="s">
        <v>229</v>
      </c>
      <c r="E1817" s="907">
        <f>GLOBAL_DER_FEV_2023!E1817</f>
        <v>150</v>
      </c>
      <c r="F1817" s="908">
        <f>GLOBAL_DER_FEV_2023!F1817</f>
        <v>0.873</v>
      </c>
      <c r="G1817" s="949">
        <f>GLOBAL_DER_FEV_2023!G1817</f>
        <v>142.45614</v>
      </c>
      <c r="H1817" s="901">
        <f>GLOBAL_DER_FEV_2023!H1817</f>
        <v>0</v>
      </c>
      <c r="I1817" s="901">
        <f>GLOBAL_DER_FEV_2023!I1817</f>
        <v>0</v>
      </c>
      <c r="J1817" s="902">
        <f>GLOBAL_DER_FEV_2023!J1817</f>
        <v>0</v>
      </c>
      <c r="K1817" s="903"/>
      <c r="L1817" s="1177"/>
      <c r="M1817" s="1138">
        <f t="shared" si="137"/>
        <v>0</v>
      </c>
      <c r="N1817" s="1176">
        <f t="shared" si="136"/>
        <v>0</v>
      </c>
      <c r="O1817" s="905"/>
      <c r="P1817" s="36" t="str">
        <f>IF(N1815&gt;0,"xx",IF(N1815&gt;0,"xy",""))</f>
        <v/>
      </c>
      <c r="Q1817" s="317" t="str">
        <f t="shared" si="133"/>
        <v/>
      </c>
      <c r="R1817" s="317" t="str">
        <f t="shared" si="134"/>
        <v/>
      </c>
      <c r="S1817" s="317" t="str">
        <f t="shared" si="135"/>
        <v/>
      </c>
      <c r="T1817" s="317" t="str">
        <f>GLOBAL_DER_FEV_2023!S1817</f>
        <v/>
      </c>
      <c r="W1817" s="582">
        <v>0</v>
      </c>
      <c r="X1817" s="580"/>
      <c r="Y1817" s="583">
        <f>IF(GLOBAL_DER_FEV_2023!W1817=0,0,IF(GLOBAL_DER_FEV_2023!W1817&gt;0,"c","b"))</f>
        <v>0</v>
      </c>
    </row>
    <row r="1818" spans="1:25" ht="15" hidden="1" customHeight="1" x14ac:dyDescent="0.2">
      <c r="A1818" s="317" t="s">
        <v>147</v>
      </c>
      <c r="B1818" s="895" t="s">
        <v>147</v>
      </c>
      <c r="C1818" s="896"/>
      <c r="D1818" s="906" t="s">
        <v>233</v>
      </c>
      <c r="E1818" s="907">
        <f>GLOBAL_DER_FEV_2023!E1818</f>
        <v>0.2</v>
      </c>
      <c r="F1818" s="908">
        <f>GLOBAL_DER_FEV_2023!F1818</f>
        <v>1.1100000000000001</v>
      </c>
      <c r="G1818" s="949">
        <f>GLOBAL_DER_FEV_2023!G1818</f>
        <v>3.2123400000000006</v>
      </c>
      <c r="H1818" s="901">
        <f>GLOBAL_DER_FEV_2023!H1818</f>
        <v>0</v>
      </c>
      <c r="I1818" s="901">
        <f>GLOBAL_DER_FEV_2023!I1818</f>
        <v>0</v>
      </c>
      <c r="J1818" s="902">
        <f>GLOBAL_DER_FEV_2023!J1818</f>
        <v>0</v>
      </c>
      <c r="K1818" s="903"/>
      <c r="L1818" s="1177"/>
      <c r="M1818" s="1138">
        <f t="shared" si="137"/>
        <v>0</v>
      </c>
      <c r="N1818" s="1176">
        <f t="shared" si="136"/>
        <v>0</v>
      </c>
      <c r="O1818" s="905"/>
      <c r="P1818" s="36" t="str">
        <f>IF(N1815&gt;0,"xx",IF(N1815&gt;0,"xy",""))</f>
        <v/>
      </c>
      <c r="Q1818" s="317" t="str">
        <f t="shared" si="133"/>
        <v/>
      </c>
      <c r="R1818" s="317" t="str">
        <f t="shared" si="134"/>
        <v/>
      </c>
      <c r="S1818" s="317" t="str">
        <f t="shared" si="135"/>
        <v/>
      </c>
      <c r="T1818" s="317" t="str">
        <f>GLOBAL_DER_FEV_2023!S1818</f>
        <v/>
      </c>
      <c r="W1818" s="582">
        <v>0</v>
      </c>
      <c r="X1818" s="580"/>
      <c r="Y1818" s="583">
        <f>IF(GLOBAL_DER_FEV_2023!W1818=0,0,IF(GLOBAL_DER_FEV_2023!W1818&gt;0,"c","b"))</f>
        <v>0</v>
      </c>
    </row>
    <row r="1819" spans="1:25" ht="15" hidden="1" customHeight="1" x14ac:dyDescent="0.2">
      <c r="A1819" s="317">
        <v>605600</v>
      </c>
      <c r="B1819" s="895">
        <v>605600</v>
      </c>
      <c r="C1819" s="896" t="s">
        <v>184</v>
      </c>
      <c r="D1819" s="906" t="s">
        <v>812</v>
      </c>
      <c r="E1819" s="907">
        <f>GLOBAL_DER_FEV_2023!E1819</f>
        <v>0</v>
      </c>
      <c r="F1819" s="908">
        <f>GLOBAL_DER_FEV_2023!F1819</f>
        <v>0</v>
      </c>
      <c r="G1819" s="912">
        <f>GLOBAL_DER_FEV_2023!G1819</f>
        <v>241.98814000000002</v>
      </c>
      <c r="H1819" s="901">
        <f>GLOBAL_DER_FEV_2023!H1819</f>
        <v>544.65</v>
      </c>
      <c r="I1819" s="901">
        <f>GLOBAL_DER_FEV_2023!I1819</f>
        <v>786.63814000000002</v>
      </c>
      <c r="J1819" s="902">
        <f>GLOBAL_DER_FEV_2023!J1819</f>
        <v>944.52</v>
      </c>
      <c r="K1819" s="903" t="s">
        <v>10</v>
      </c>
      <c r="L1819" s="1137"/>
      <c r="M1819" s="1138">
        <f t="shared" si="137"/>
        <v>0</v>
      </c>
      <c r="N1819" s="1176">
        <f t="shared" si="136"/>
        <v>0</v>
      </c>
      <c r="O1819" s="905"/>
      <c r="Q1819" s="317" t="str">
        <f t="shared" ref="Q1819:Q1882" si="138">IF(P1819="X","x",IF(P1819="xx","x",IF(P1819="xy","x",IF(P1819="y","x",IF(OR(N1819&gt;0,N1819&gt;0),"x","")))))</f>
        <v/>
      </c>
      <c r="R1819" s="317" t="str">
        <f t="shared" si="134"/>
        <v/>
      </c>
      <c r="S1819" s="317" t="str">
        <f t="shared" si="135"/>
        <v/>
      </c>
      <c r="T1819" s="317" t="str">
        <f>GLOBAL_DER_FEV_2023!S1819</f>
        <v/>
      </c>
      <c r="W1819" s="582">
        <v>0</v>
      </c>
      <c r="X1819" s="580"/>
      <c r="Y1819" s="583">
        <f>IF(GLOBAL_DER_FEV_2023!W1819=0,0,IF(GLOBAL_DER_FEV_2023!W1819&gt;0,"c","b"))</f>
        <v>0</v>
      </c>
    </row>
    <row r="1820" spans="1:25" ht="15" hidden="1" customHeight="1" x14ac:dyDescent="0.2">
      <c r="A1820" s="317" t="s">
        <v>147</v>
      </c>
      <c r="B1820" s="895" t="s">
        <v>147</v>
      </c>
      <c r="C1820" s="896"/>
      <c r="D1820" s="906" t="s">
        <v>190</v>
      </c>
      <c r="E1820" s="907">
        <f>GLOBAL_DER_FEV_2023!E1820</f>
        <v>308</v>
      </c>
      <c r="F1820" s="908">
        <f>GLOBAL_DER_FEV_2023!F1820</f>
        <v>0.41</v>
      </c>
      <c r="G1820" s="909">
        <f>GLOBAL_DER_FEV_2023!G1820</f>
        <v>101.7046</v>
      </c>
      <c r="H1820" s="901">
        <f>GLOBAL_DER_FEV_2023!H1820</f>
        <v>0</v>
      </c>
      <c r="I1820" s="901">
        <f>GLOBAL_DER_FEV_2023!I1820</f>
        <v>0</v>
      </c>
      <c r="J1820" s="902">
        <f>GLOBAL_DER_FEV_2023!J1820</f>
        <v>0</v>
      </c>
      <c r="K1820" s="903"/>
      <c r="L1820" s="1177"/>
      <c r="M1820" s="1138">
        <f t="shared" si="137"/>
        <v>0</v>
      </c>
      <c r="N1820" s="1176">
        <f t="shared" si="136"/>
        <v>0</v>
      </c>
      <c r="O1820" s="905"/>
      <c r="P1820" s="36" t="str">
        <f>IF(N1819&gt;0,"xx",IF(N1819&gt;0,"xy",""))</f>
        <v/>
      </c>
      <c r="Q1820" s="317" t="str">
        <f t="shared" si="138"/>
        <v/>
      </c>
      <c r="R1820" s="317" t="str">
        <f t="shared" si="134"/>
        <v/>
      </c>
      <c r="S1820" s="317" t="str">
        <f t="shared" si="135"/>
        <v/>
      </c>
      <c r="T1820" s="317" t="str">
        <f>GLOBAL_DER_FEV_2023!S1820</f>
        <v/>
      </c>
      <c r="W1820" s="582">
        <v>0</v>
      </c>
      <c r="X1820" s="580"/>
      <c r="Y1820" s="583">
        <f>IF(GLOBAL_DER_FEV_2023!W1820=0,0,IF(GLOBAL_DER_FEV_2023!W1820&gt;0,"c","b"))</f>
        <v>0</v>
      </c>
    </row>
    <row r="1821" spans="1:25" ht="15" hidden="1" customHeight="1" x14ac:dyDescent="0.2">
      <c r="A1821" s="317" t="s">
        <v>147</v>
      </c>
      <c r="B1821" s="895" t="s">
        <v>147</v>
      </c>
      <c r="C1821" s="896"/>
      <c r="D1821" s="906" t="s">
        <v>229</v>
      </c>
      <c r="E1821" s="907">
        <f>GLOBAL_DER_FEV_2023!E1821</f>
        <v>150</v>
      </c>
      <c r="F1821" s="908">
        <f>GLOBAL_DER_FEV_2023!F1821</f>
        <v>0.84</v>
      </c>
      <c r="G1821" s="949">
        <f>GLOBAL_DER_FEV_2023!G1821</f>
        <v>137.0712</v>
      </c>
      <c r="H1821" s="901">
        <f>GLOBAL_DER_FEV_2023!H1821</f>
        <v>0</v>
      </c>
      <c r="I1821" s="901">
        <f>GLOBAL_DER_FEV_2023!I1821</f>
        <v>0</v>
      </c>
      <c r="J1821" s="902">
        <f>GLOBAL_DER_FEV_2023!J1821</f>
        <v>0</v>
      </c>
      <c r="K1821" s="903"/>
      <c r="L1821" s="1177"/>
      <c r="M1821" s="1138">
        <f t="shared" si="137"/>
        <v>0</v>
      </c>
      <c r="N1821" s="1176">
        <f t="shared" si="136"/>
        <v>0</v>
      </c>
      <c r="O1821" s="905"/>
      <c r="P1821" s="36" t="str">
        <f>IF(N1819&gt;0,"xx",IF(N1819&gt;0,"xy",""))</f>
        <v/>
      </c>
      <c r="Q1821" s="317" t="str">
        <f t="shared" si="138"/>
        <v/>
      </c>
      <c r="R1821" s="317" t="str">
        <f t="shared" ref="R1821:R1884" si="139">IF(P1821="X","x",IF(P1821="y","x",IF(P1821="xx","x",IF(N1821&gt;0,"x",""))))</f>
        <v/>
      </c>
      <c r="S1821" s="317" t="str">
        <f t="shared" ref="S1821:S1884" si="140">IF(P1821="X","x",IF(N1821&gt;0,"x",""))</f>
        <v/>
      </c>
      <c r="T1821" s="317" t="str">
        <f>GLOBAL_DER_FEV_2023!S1821</f>
        <v/>
      </c>
      <c r="W1821" s="582">
        <v>0</v>
      </c>
      <c r="X1821" s="580"/>
      <c r="Y1821" s="583">
        <f>IF(GLOBAL_DER_FEV_2023!W1821=0,0,IF(GLOBAL_DER_FEV_2023!W1821&gt;0,"c","b"))</f>
        <v>0</v>
      </c>
    </row>
    <row r="1822" spans="1:25" ht="15" hidden="1" customHeight="1" x14ac:dyDescent="0.2">
      <c r="A1822" s="317" t="s">
        <v>147</v>
      </c>
      <c r="B1822" s="895" t="s">
        <v>147</v>
      </c>
      <c r="C1822" s="896"/>
      <c r="D1822" s="906" t="s">
        <v>233</v>
      </c>
      <c r="E1822" s="907">
        <f>GLOBAL_DER_FEV_2023!E1822</f>
        <v>0.2</v>
      </c>
      <c r="F1822" s="908">
        <f>GLOBAL_DER_FEV_2023!F1822</f>
        <v>1.1100000000000001</v>
      </c>
      <c r="G1822" s="949">
        <f>GLOBAL_DER_FEV_2023!G1822</f>
        <v>3.2123400000000006</v>
      </c>
      <c r="H1822" s="901">
        <f>GLOBAL_DER_FEV_2023!H1822</f>
        <v>0</v>
      </c>
      <c r="I1822" s="901">
        <f>GLOBAL_DER_FEV_2023!I1822</f>
        <v>0</v>
      </c>
      <c r="J1822" s="902">
        <f>GLOBAL_DER_FEV_2023!J1822</f>
        <v>0</v>
      </c>
      <c r="K1822" s="903"/>
      <c r="L1822" s="1177"/>
      <c r="M1822" s="1138">
        <f t="shared" si="137"/>
        <v>0</v>
      </c>
      <c r="N1822" s="1176">
        <f t="shared" si="136"/>
        <v>0</v>
      </c>
      <c r="O1822" s="905"/>
      <c r="P1822" s="36" t="str">
        <f>IF(N1819&gt;0,"xx",IF(N1819&gt;0,"xy",""))</f>
        <v/>
      </c>
      <c r="Q1822" s="317" t="str">
        <f t="shared" si="138"/>
        <v/>
      </c>
      <c r="R1822" s="317" t="str">
        <f t="shared" si="139"/>
        <v/>
      </c>
      <c r="S1822" s="317" t="str">
        <f t="shared" si="140"/>
        <v/>
      </c>
      <c r="T1822" s="317" t="str">
        <f>GLOBAL_DER_FEV_2023!S1822</f>
        <v/>
      </c>
      <c r="W1822" s="582">
        <v>0</v>
      </c>
      <c r="X1822" s="580"/>
      <c r="Y1822" s="583">
        <f>IF(GLOBAL_DER_FEV_2023!W1822=0,0,IF(GLOBAL_DER_FEV_2023!W1822&gt;0,"c","b"))</f>
        <v>0</v>
      </c>
    </row>
    <row r="1823" spans="1:25" ht="15" hidden="1" customHeight="1" x14ac:dyDescent="0.2">
      <c r="A1823" s="317">
        <v>605700</v>
      </c>
      <c r="B1823" s="895">
        <v>605700</v>
      </c>
      <c r="C1823" s="896" t="s">
        <v>184</v>
      </c>
      <c r="D1823" s="906" t="s">
        <v>813</v>
      </c>
      <c r="E1823" s="907">
        <f>GLOBAL_DER_FEV_2023!E1823</f>
        <v>0</v>
      </c>
      <c r="F1823" s="908">
        <f>GLOBAL_DER_FEV_2023!F1823</f>
        <v>0</v>
      </c>
      <c r="G1823" s="912">
        <f>GLOBAL_DER_FEV_2023!G1823</f>
        <v>244.50164000000004</v>
      </c>
      <c r="H1823" s="901">
        <f>GLOBAL_DER_FEV_2023!H1823</f>
        <v>555.25</v>
      </c>
      <c r="I1823" s="901">
        <f>GLOBAL_DER_FEV_2023!I1823</f>
        <v>799.75164000000007</v>
      </c>
      <c r="J1823" s="902">
        <f>GLOBAL_DER_FEV_2023!J1823</f>
        <v>960.26</v>
      </c>
      <c r="K1823" s="903" t="s">
        <v>10</v>
      </c>
      <c r="L1823" s="1137"/>
      <c r="M1823" s="1138">
        <f t="shared" si="137"/>
        <v>0</v>
      </c>
      <c r="N1823" s="1176">
        <f t="shared" si="136"/>
        <v>0</v>
      </c>
      <c r="O1823" s="905"/>
      <c r="Q1823" s="317" t="str">
        <f t="shared" si="138"/>
        <v/>
      </c>
      <c r="R1823" s="317" t="str">
        <f t="shared" si="139"/>
        <v/>
      </c>
      <c r="S1823" s="317" t="str">
        <f t="shared" si="140"/>
        <v/>
      </c>
      <c r="T1823" s="317" t="str">
        <f>GLOBAL_DER_FEV_2023!S1823</f>
        <v/>
      </c>
      <c r="W1823" s="582">
        <v>0</v>
      </c>
      <c r="X1823" s="580"/>
      <c r="Y1823" s="583">
        <f>IF(GLOBAL_DER_FEV_2023!W1823=0,0,IF(GLOBAL_DER_FEV_2023!W1823&gt;0,"c","b"))</f>
        <v>0</v>
      </c>
    </row>
    <row r="1824" spans="1:25" ht="15" hidden="1" customHeight="1" x14ac:dyDescent="0.2">
      <c r="A1824" s="317" t="s">
        <v>147</v>
      </c>
      <c r="B1824" s="895" t="s">
        <v>147</v>
      </c>
      <c r="C1824" s="896"/>
      <c r="D1824" s="906" t="s">
        <v>190</v>
      </c>
      <c r="E1824" s="907">
        <f>GLOBAL_DER_FEV_2023!E1824</f>
        <v>308</v>
      </c>
      <c r="F1824" s="908">
        <f>GLOBAL_DER_FEV_2023!F1824</f>
        <v>0.43</v>
      </c>
      <c r="G1824" s="909">
        <f>GLOBAL_DER_FEV_2023!G1824</f>
        <v>106.6658</v>
      </c>
      <c r="H1824" s="901">
        <f>GLOBAL_DER_FEV_2023!H1824</f>
        <v>0</v>
      </c>
      <c r="I1824" s="901">
        <f>GLOBAL_DER_FEV_2023!I1824</f>
        <v>0</v>
      </c>
      <c r="J1824" s="902">
        <f>GLOBAL_DER_FEV_2023!J1824</f>
        <v>0</v>
      </c>
      <c r="K1824" s="903"/>
      <c r="L1824" s="1177"/>
      <c r="M1824" s="1138">
        <f t="shared" si="137"/>
        <v>0</v>
      </c>
      <c r="N1824" s="1176">
        <f t="shared" si="136"/>
        <v>0</v>
      </c>
      <c r="O1824" s="905"/>
      <c r="P1824" s="36" t="str">
        <f>IF(N1823&gt;0,"xx",IF(N1823&gt;0,"xy",""))</f>
        <v/>
      </c>
      <c r="Q1824" s="317" t="str">
        <f t="shared" si="138"/>
        <v/>
      </c>
      <c r="R1824" s="317" t="str">
        <f t="shared" si="139"/>
        <v/>
      </c>
      <c r="S1824" s="317" t="str">
        <f t="shared" si="140"/>
        <v/>
      </c>
      <c r="T1824" s="317" t="str">
        <f>GLOBAL_DER_FEV_2023!S1824</f>
        <v/>
      </c>
      <c r="W1824" s="582">
        <v>0</v>
      </c>
      <c r="X1824" s="580"/>
      <c r="Y1824" s="583">
        <f>IF(GLOBAL_DER_FEV_2023!W1824=0,0,IF(GLOBAL_DER_FEV_2023!W1824&gt;0,"c","b"))</f>
        <v>0</v>
      </c>
    </row>
    <row r="1825" spans="1:25" ht="15" hidden="1" customHeight="1" x14ac:dyDescent="0.2">
      <c r="A1825" s="317" t="s">
        <v>147</v>
      </c>
      <c r="B1825" s="895" t="s">
        <v>147</v>
      </c>
      <c r="C1825" s="896"/>
      <c r="D1825" s="906" t="s">
        <v>229</v>
      </c>
      <c r="E1825" s="907">
        <f>GLOBAL_DER_FEV_2023!E1825</f>
        <v>150</v>
      </c>
      <c r="F1825" s="908">
        <f>GLOBAL_DER_FEV_2023!F1825</f>
        <v>0.82499999999999996</v>
      </c>
      <c r="G1825" s="949">
        <f>GLOBAL_DER_FEV_2023!G1825</f>
        <v>134.62350000000001</v>
      </c>
      <c r="H1825" s="901">
        <f>GLOBAL_DER_FEV_2023!H1825</f>
        <v>0</v>
      </c>
      <c r="I1825" s="901">
        <f>GLOBAL_DER_FEV_2023!I1825</f>
        <v>0</v>
      </c>
      <c r="J1825" s="902">
        <f>GLOBAL_DER_FEV_2023!J1825</f>
        <v>0</v>
      </c>
      <c r="K1825" s="903"/>
      <c r="L1825" s="1177"/>
      <c r="M1825" s="1138">
        <f t="shared" si="137"/>
        <v>0</v>
      </c>
      <c r="N1825" s="1176">
        <f t="shared" ref="N1825:N1888" si="141">IF(ISBLANK(L1825),0,IF(W1825=0,ROUND(L1825*M1825,2),IF(W1825="b",ROUNDDOWN(L1825*M1825,2),ROUNDUP(L1825*M1825,2))))</f>
        <v>0</v>
      </c>
      <c r="O1825" s="905"/>
      <c r="P1825" s="36" t="str">
        <f>IF(N1823&gt;0,"xx",IF(N1823&gt;0,"xy",""))</f>
        <v/>
      </c>
      <c r="Q1825" s="317" t="str">
        <f t="shared" si="138"/>
        <v/>
      </c>
      <c r="R1825" s="317" t="str">
        <f t="shared" si="139"/>
        <v/>
      </c>
      <c r="S1825" s="317" t="str">
        <f t="shared" si="140"/>
        <v/>
      </c>
      <c r="T1825" s="317" t="str">
        <f>GLOBAL_DER_FEV_2023!S1825</f>
        <v/>
      </c>
      <c r="W1825" s="582">
        <v>0</v>
      </c>
      <c r="X1825" s="580"/>
      <c r="Y1825" s="583">
        <f>IF(GLOBAL_DER_FEV_2023!W1825=0,0,IF(GLOBAL_DER_FEV_2023!W1825&gt;0,"c","b"))</f>
        <v>0</v>
      </c>
    </row>
    <row r="1826" spans="1:25" ht="15" hidden="1" customHeight="1" x14ac:dyDescent="0.2">
      <c r="A1826" s="317" t="s">
        <v>147</v>
      </c>
      <c r="B1826" s="895" t="s">
        <v>147</v>
      </c>
      <c r="C1826" s="896"/>
      <c r="D1826" s="906" t="s">
        <v>233</v>
      </c>
      <c r="E1826" s="907">
        <f>GLOBAL_DER_FEV_2023!E1826</f>
        <v>0.2</v>
      </c>
      <c r="F1826" s="908">
        <f>GLOBAL_DER_FEV_2023!F1826</f>
        <v>1.1100000000000001</v>
      </c>
      <c r="G1826" s="949">
        <f>GLOBAL_DER_FEV_2023!G1826</f>
        <v>3.2123400000000006</v>
      </c>
      <c r="H1826" s="901">
        <f>GLOBAL_DER_FEV_2023!H1826</f>
        <v>0</v>
      </c>
      <c r="I1826" s="901">
        <f>GLOBAL_DER_FEV_2023!I1826</f>
        <v>0</v>
      </c>
      <c r="J1826" s="902">
        <f>GLOBAL_DER_FEV_2023!J1826</f>
        <v>0</v>
      </c>
      <c r="K1826" s="903"/>
      <c r="L1826" s="1177"/>
      <c r="M1826" s="1138">
        <f t="shared" si="137"/>
        <v>0</v>
      </c>
      <c r="N1826" s="1176">
        <f t="shared" si="141"/>
        <v>0</v>
      </c>
      <c r="O1826" s="905"/>
      <c r="P1826" s="36" t="str">
        <f>IF(N1823&gt;0,"xx",IF(N1823&gt;0,"xy",""))</f>
        <v/>
      </c>
      <c r="Q1826" s="317" t="str">
        <f t="shared" si="138"/>
        <v/>
      </c>
      <c r="R1826" s="317" t="str">
        <f t="shared" si="139"/>
        <v/>
      </c>
      <c r="S1826" s="317" t="str">
        <f t="shared" si="140"/>
        <v/>
      </c>
      <c r="T1826" s="317" t="str">
        <f>GLOBAL_DER_FEV_2023!S1826</f>
        <v/>
      </c>
      <c r="W1826" s="582">
        <v>0</v>
      </c>
      <c r="X1826" s="580"/>
      <c r="Y1826" s="583">
        <f>IF(GLOBAL_DER_FEV_2023!W1826=0,0,IF(GLOBAL_DER_FEV_2023!W1826&gt;0,"c","b"))</f>
        <v>0</v>
      </c>
    </row>
    <row r="1827" spans="1:25" ht="15" hidden="1" customHeight="1" x14ac:dyDescent="0.2">
      <c r="A1827" s="317">
        <v>605800</v>
      </c>
      <c r="B1827" s="895">
        <v>605800</v>
      </c>
      <c r="C1827" s="896" t="s">
        <v>184</v>
      </c>
      <c r="D1827" s="906" t="s">
        <v>814</v>
      </c>
      <c r="E1827" s="907">
        <f>GLOBAL_DER_FEV_2023!E1827</f>
        <v>0</v>
      </c>
      <c r="F1827" s="908">
        <f>GLOBAL_DER_FEV_2023!F1827</f>
        <v>0</v>
      </c>
      <c r="G1827" s="912">
        <f>GLOBAL_DER_FEV_2023!G1827</f>
        <v>245.74194000000003</v>
      </c>
      <c r="H1827" s="901">
        <f>GLOBAL_DER_FEV_2023!H1827</f>
        <v>558.08000000000004</v>
      </c>
      <c r="I1827" s="901">
        <f>GLOBAL_DER_FEV_2023!I1827</f>
        <v>803.82194000000004</v>
      </c>
      <c r="J1827" s="902">
        <f>GLOBAL_DER_FEV_2023!J1827</f>
        <v>965.15</v>
      </c>
      <c r="K1827" s="903" t="s">
        <v>10</v>
      </c>
      <c r="L1827" s="1137"/>
      <c r="M1827" s="1138">
        <f t="shared" si="137"/>
        <v>0</v>
      </c>
      <c r="N1827" s="1176">
        <f t="shared" si="141"/>
        <v>0</v>
      </c>
      <c r="O1827" s="905"/>
      <c r="Q1827" s="317" t="str">
        <f t="shared" si="138"/>
        <v/>
      </c>
      <c r="R1827" s="317" t="str">
        <f t="shared" si="139"/>
        <v/>
      </c>
      <c r="S1827" s="317" t="str">
        <f t="shared" si="140"/>
        <v/>
      </c>
      <c r="T1827" s="317" t="str">
        <f>GLOBAL_DER_FEV_2023!S1827</f>
        <v/>
      </c>
      <c r="W1827" s="582">
        <v>0</v>
      </c>
      <c r="X1827" s="580"/>
      <c r="Y1827" s="583">
        <f>IF(GLOBAL_DER_FEV_2023!W1827=0,0,IF(GLOBAL_DER_FEV_2023!W1827&gt;0,"c","b"))</f>
        <v>0</v>
      </c>
    </row>
    <row r="1828" spans="1:25" ht="15" hidden="1" customHeight="1" x14ac:dyDescent="0.2">
      <c r="A1828" s="317" t="s">
        <v>147</v>
      </c>
      <c r="B1828" s="895" t="s">
        <v>147</v>
      </c>
      <c r="C1828" s="896"/>
      <c r="D1828" s="906" t="s">
        <v>190</v>
      </c>
      <c r="E1828" s="907">
        <f>GLOBAL_DER_FEV_2023!E1828</f>
        <v>308</v>
      </c>
      <c r="F1828" s="908">
        <f>GLOBAL_DER_FEV_2023!F1828</f>
        <v>0.435</v>
      </c>
      <c r="G1828" s="909">
        <f>GLOBAL_DER_FEV_2023!G1828</f>
        <v>107.9061</v>
      </c>
      <c r="H1828" s="901">
        <f>GLOBAL_DER_FEV_2023!H1828</f>
        <v>0</v>
      </c>
      <c r="I1828" s="901">
        <f>GLOBAL_DER_FEV_2023!I1828</f>
        <v>0</v>
      </c>
      <c r="J1828" s="902">
        <f>GLOBAL_DER_FEV_2023!J1828</f>
        <v>0</v>
      </c>
      <c r="K1828" s="903"/>
      <c r="L1828" s="1177"/>
      <c r="M1828" s="1138">
        <f t="shared" si="137"/>
        <v>0</v>
      </c>
      <c r="N1828" s="1176">
        <f t="shared" si="141"/>
        <v>0</v>
      </c>
      <c r="O1828" s="905"/>
      <c r="P1828" s="36" t="str">
        <f>IF(N1827&gt;0,"xx",IF(N1827&gt;0,"xy",""))</f>
        <v/>
      </c>
      <c r="Q1828" s="317" t="str">
        <f t="shared" si="138"/>
        <v/>
      </c>
      <c r="R1828" s="317" t="str">
        <f t="shared" si="139"/>
        <v/>
      </c>
      <c r="S1828" s="317" t="str">
        <f t="shared" si="140"/>
        <v/>
      </c>
      <c r="T1828" s="317" t="str">
        <f>GLOBAL_DER_FEV_2023!S1828</f>
        <v/>
      </c>
      <c r="W1828" s="582">
        <v>0</v>
      </c>
      <c r="X1828" s="580"/>
      <c r="Y1828" s="583">
        <f>IF(GLOBAL_DER_FEV_2023!W1828=0,0,IF(GLOBAL_DER_FEV_2023!W1828&gt;0,"c","b"))</f>
        <v>0</v>
      </c>
    </row>
    <row r="1829" spans="1:25" ht="15" hidden="1" customHeight="1" x14ac:dyDescent="0.2">
      <c r="A1829" s="317" t="s">
        <v>147</v>
      </c>
      <c r="B1829" s="895" t="s">
        <v>147</v>
      </c>
      <c r="C1829" s="896"/>
      <c r="D1829" s="906" t="s">
        <v>229</v>
      </c>
      <c r="E1829" s="907">
        <f>GLOBAL_DER_FEV_2023!E1829</f>
        <v>150</v>
      </c>
      <c r="F1829" s="908">
        <f>GLOBAL_DER_FEV_2023!F1829</f>
        <v>0.82499999999999996</v>
      </c>
      <c r="G1829" s="949">
        <f>GLOBAL_DER_FEV_2023!G1829</f>
        <v>134.62350000000001</v>
      </c>
      <c r="H1829" s="901">
        <f>GLOBAL_DER_FEV_2023!H1829</f>
        <v>0</v>
      </c>
      <c r="I1829" s="901">
        <f>GLOBAL_DER_FEV_2023!I1829</f>
        <v>0</v>
      </c>
      <c r="J1829" s="902">
        <f>GLOBAL_DER_FEV_2023!J1829</f>
        <v>0</v>
      </c>
      <c r="K1829" s="903"/>
      <c r="L1829" s="1177"/>
      <c r="M1829" s="1138">
        <f t="shared" si="137"/>
        <v>0</v>
      </c>
      <c r="N1829" s="1176">
        <f t="shared" si="141"/>
        <v>0</v>
      </c>
      <c r="O1829" s="905"/>
      <c r="P1829" s="36" t="str">
        <f>IF(N1827&gt;0,"xx",IF(N1827&gt;0,"xy",""))</f>
        <v/>
      </c>
      <c r="Q1829" s="317" t="str">
        <f t="shared" si="138"/>
        <v/>
      </c>
      <c r="R1829" s="317" t="str">
        <f t="shared" si="139"/>
        <v/>
      </c>
      <c r="S1829" s="317" t="str">
        <f t="shared" si="140"/>
        <v/>
      </c>
      <c r="T1829" s="317" t="str">
        <f>GLOBAL_DER_FEV_2023!S1829</f>
        <v/>
      </c>
      <c r="W1829" s="582">
        <v>0</v>
      </c>
      <c r="X1829" s="580"/>
      <c r="Y1829" s="583">
        <f>IF(GLOBAL_DER_FEV_2023!W1829=0,0,IF(GLOBAL_DER_FEV_2023!W1829&gt;0,"c","b"))</f>
        <v>0</v>
      </c>
    </row>
    <row r="1830" spans="1:25" ht="15" hidden="1" customHeight="1" x14ac:dyDescent="0.2">
      <c r="A1830" s="317" t="s">
        <v>147</v>
      </c>
      <c r="B1830" s="895" t="s">
        <v>147</v>
      </c>
      <c r="C1830" s="896"/>
      <c r="D1830" s="906" t="s">
        <v>233</v>
      </c>
      <c r="E1830" s="907">
        <f>GLOBAL_DER_FEV_2023!E1830</f>
        <v>0.2</v>
      </c>
      <c r="F1830" s="908">
        <f>GLOBAL_DER_FEV_2023!F1830</f>
        <v>1.1100000000000001</v>
      </c>
      <c r="G1830" s="949">
        <f>GLOBAL_DER_FEV_2023!G1830</f>
        <v>3.2123400000000006</v>
      </c>
      <c r="H1830" s="901">
        <f>GLOBAL_DER_FEV_2023!H1830</f>
        <v>0</v>
      </c>
      <c r="I1830" s="901">
        <f>GLOBAL_DER_FEV_2023!I1830</f>
        <v>0</v>
      </c>
      <c r="J1830" s="902">
        <f>GLOBAL_DER_FEV_2023!J1830</f>
        <v>0</v>
      </c>
      <c r="K1830" s="903"/>
      <c r="L1830" s="1177"/>
      <c r="M1830" s="1138">
        <f t="shared" si="137"/>
        <v>0</v>
      </c>
      <c r="N1830" s="1176">
        <f t="shared" si="141"/>
        <v>0</v>
      </c>
      <c r="O1830" s="905"/>
      <c r="P1830" s="36" t="str">
        <f>IF(N1827&gt;0,"xx",IF(N1827&gt;0,"xy",""))</f>
        <v/>
      </c>
      <c r="Q1830" s="317" t="str">
        <f t="shared" si="138"/>
        <v/>
      </c>
      <c r="R1830" s="317" t="str">
        <f t="shared" si="139"/>
        <v/>
      </c>
      <c r="S1830" s="317" t="str">
        <f t="shared" si="140"/>
        <v/>
      </c>
      <c r="T1830" s="317" t="str">
        <f>GLOBAL_DER_FEV_2023!S1830</f>
        <v/>
      </c>
      <c r="W1830" s="582">
        <v>0</v>
      </c>
      <c r="X1830" s="580"/>
      <c r="Y1830" s="583">
        <f>IF(GLOBAL_DER_FEV_2023!W1830=0,0,IF(GLOBAL_DER_FEV_2023!W1830&gt;0,"c","b"))</f>
        <v>0</v>
      </c>
    </row>
    <row r="1831" spans="1:25" ht="15" hidden="1" customHeight="1" x14ac:dyDescent="0.2">
      <c r="A1831" s="317">
        <v>605900</v>
      </c>
      <c r="B1831" s="895">
        <v>605900</v>
      </c>
      <c r="C1831" s="896" t="s">
        <v>184</v>
      </c>
      <c r="D1831" s="906" t="s">
        <v>815</v>
      </c>
      <c r="E1831" s="907">
        <f>GLOBAL_DER_FEV_2023!E1831</f>
        <v>0</v>
      </c>
      <c r="F1831" s="908">
        <f>GLOBAL_DER_FEV_2023!F1831</f>
        <v>0</v>
      </c>
      <c r="G1831" s="912">
        <f>GLOBAL_DER_FEV_2023!G1831</f>
        <v>249.56154000000001</v>
      </c>
      <c r="H1831" s="901">
        <f>GLOBAL_DER_FEV_2023!H1831</f>
        <v>581.4</v>
      </c>
      <c r="I1831" s="901">
        <f>GLOBAL_DER_FEV_2023!I1831</f>
        <v>830.96154000000001</v>
      </c>
      <c r="J1831" s="902">
        <f>GLOBAL_DER_FEV_2023!J1831</f>
        <v>997.74</v>
      </c>
      <c r="K1831" s="903" t="s">
        <v>10</v>
      </c>
      <c r="L1831" s="1137"/>
      <c r="M1831" s="1138">
        <f t="shared" si="137"/>
        <v>0</v>
      </c>
      <c r="N1831" s="1176">
        <f t="shared" si="141"/>
        <v>0</v>
      </c>
      <c r="O1831" s="905"/>
      <c r="Q1831" s="317" t="str">
        <f t="shared" si="138"/>
        <v/>
      </c>
      <c r="R1831" s="317" t="str">
        <f t="shared" si="139"/>
        <v/>
      </c>
      <c r="S1831" s="317" t="str">
        <f t="shared" si="140"/>
        <v/>
      </c>
      <c r="T1831" s="317" t="str">
        <f>GLOBAL_DER_FEV_2023!S1831</f>
        <v/>
      </c>
      <c r="W1831" s="582">
        <v>0</v>
      </c>
      <c r="X1831" s="580"/>
      <c r="Y1831" s="583">
        <f>IF(GLOBAL_DER_FEV_2023!W1831=0,0,IF(GLOBAL_DER_FEV_2023!W1831&gt;0,"c","b"))</f>
        <v>0</v>
      </c>
    </row>
    <row r="1832" spans="1:25" ht="15" hidden="1" customHeight="1" x14ac:dyDescent="0.2">
      <c r="A1832" s="317" t="s">
        <v>147</v>
      </c>
      <c r="B1832" s="895" t="s">
        <v>147</v>
      </c>
      <c r="C1832" s="896"/>
      <c r="D1832" s="906" t="s">
        <v>190</v>
      </c>
      <c r="E1832" s="907">
        <f>GLOBAL_DER_FEV_2023!E1832</f>
        <v>308</v>
      </c>
      <c r="F1832" s="908">
        <f>GLOBAL_DER_FEV_2023!F1832</f>
        <v>0.48</v>
      </c>
      <c r="G1832" s="909">
        <f>GLOBAL_DER_FEV_2023!G1832</f>
        <v>119.0688</v>
      </c>
      <c r="H1832" s="901">
        <f>GLOBAL_DER_FEV_2023!H1832</f>
        <v>0</v>
      </c>
      <c r="I1832" s="901">
        <f>GLOBAL_DER_FEV_2023!I1832</f>
        <v>0</v>
      </c>
      <c r="J1832" s="902">
        <f>GLOBAL_DER_FEV_2023!J1832</f>
        <v>0</v>
      </c>
      <c r="K1832" s="903"/>
      <c r="L1832" s="1177"/>
      <c r="M1832" s="1138">
        <f t="shared" si="137"/>
        <v>0</v>
      </c>
      <c r="N1832" s="1176">
        <f t="shared" si="141"/>
        <v>0</v>
      </c>
      <c r="O1832" s="905"/>
      <c r="P1832" s="36" t="str">
        <f>IF(N1831&gt;0,"xx",IF(N1831&gt;0,"xy",""))</f>
        <v/>
      </c>
      <c r="Q1832" s="317" t="str">
        <f t="shared" si="138"/>
        <v/>
      </c>
      <c r="R1832" s="317" t="str">
        <f t="shared" si="139"/>
        <v/>
      </c>
      <c r="S1832" s="317" t="str">
        <f t="shared" si="140"/>
        <v/>
      </c>
      <c r="T1832" s="317" t="str">
        <f>GLOBAL_DER_FEV_2023!S1832</f>
        <v/>
      </c>
      <c r="W1832" s="582">
        <v>0</v>
      </c>
      <c r="X1832" s="580"/>
      <c r="Y1832" s="583">
        <f>IF(GLOBAL_DER_FEV_2023!W1832=0,0,IF(GLOBAL_DER_FEV_2023!W1832&gt;0,"c","b"))</f>
        <v>0</v>
      </c>
    </row>
    <row r="1833" spans="1:25" ht="15" hidden="1" customHeight="1" x14ac:dyDescent="0.2">
      <c r="A1833" s="317" t="s">
        <v>147</v>
      </c>
      <c r="B1833" s="895" t="s">
        <v>147</v>
      </c>
      <c r="C1833" s="896"/>
      <c r="D1833" s="906" t="s">
        <v>229</v>
      </c>
      <c r="E1833" s="907">
        <f>GLOBAL_DER_FEV_2023!E1833</f>
        <v>150</v>
      </c>
      <c r="F1833" s="908">
        <f>GLOBAL_DER_FEV_2023!F1833</f>
        <v>0.78</v>
      </c>
      <c r="G1833" s="949">
        <f>GLOBAL_DER_FEV_2023!G1833</f>
        <v>127.28040000000001</v>
      </c>
      <c r="H1833" s="901">
        <f>GLOBAL_DER_FEV_2023!H1833</f>
        <v>0</v>
      </c>
      <c r="I1833" s="901">
        <f>GLOBAL_DER_FEV_2023!I1833</f>
        <v>0</v>
      </c>
      <c r="J1833" s="902">
        <f>GLOBAL_DER_FEV_2023!J1833</f>
        <v>0</v>
      </c>
      <c r="K1833" s="903"/>
      <c r="L1833" s="1177"/>
      <c r="M1833" s="1138">
        <f t="shared" si="137"/>
        <v>0</v>
      </c>
      <c r="N1833" s="1176">
        <f t="shared" si="141"/>
        <v>0</v>
      </c>
      <c r="O1833" s="905"/>
      <c r="P1833" s="36" t="str">
        <f>IF(N1831&gt;0,"xx",IF(N1831&gt;0,"xy",""))</f>
        <v/>
      </c>
      <c r="Q1833" s="317" t="str">
        <f t="shared" si="138"/>
        <v/>
      </c>
      <c r="R1833" s="317" t="str">
        <f t="shared" si="139"/>
        <v/>
      </c>
      <c r="S1833" s="317" t="str">
        <f t="shared" si="140"/>
        <v/>
      </c>
      <c r="T1833" s="317" t="str">
        <f>GLOBAL_DER_FEV_2023!S1833</f>
        <v/>
      </c>
      <c r="W1833" s="582">
        <v>0</v>
      </c>
      <c r="X1833" s="580"/>
      <c r="Y1833" s="583">
        <f>IF(GLOBAL_DER_FEV_2023!W1833=0,0,IF(GLOBAL_DER_FEV_2023!W1833&gt;0,"c","b"))</f>
        <v>0</v>
      </c>
    </row>
    <row r="1834" spans="1:25" ht="15" hidden="1" customHeight="1" x14ac:dyDescent="0.2">
      <c r="A1834" s="317" t="s">
        <v>147</v>
      </c>
      <c r="B1834" s="895" t="s">
        <v>147</v>
      </c>
      <c r="C1834" s="896"/>
      <c r="D1834" s="906" t="s">
        <v>233</v>
      </c>
      <c r="E1834" s="907">
        <f>GLOBAL_DER_FEV_2023!E1834</f>
        <v>0.2</v>
      </c>
      <c r="F1834" s="908">
        <f>GLOBAL_DER_FEV_2023!F1834</f>
        <v>1.1100000000000001</v>
      </c>
      <c r="G1834" s="949">
        <f>GLOBAL_DER_FEV_2023!G1834</f>
        <v>3.2123400000000006</v>
      </c>
      <c r="H1834" s="901">
        <f>GLOBAL_DER_FEV_2023!H1834</f>
        <v>0</v>
      </c>
      <c r="I1834" s="901">
        <f>GLOBAL_DER_FEV_2023!I1834</f>
        <v>0</v>
      </c>
      <c r="J1834" s="902">
        <f>GLOBAL_DER_FEV_2023!J1834</f>
        <v>0</v>
      </c>
      <c r="K1834" s="903"/>
      <c r="L1834" s="1177"/>
      <c r="M1834" s="1138">
        <f t="shared" si="137"/>
        <v>0</v>
      </c>
      <c r="N1834" s="1176">
        <f t="shared" si="141"/>
        <v>0</v>
      </c>
      <c r="O1834" s="905"/>
      <c r="P1834" s="36" t="str">
        <f>IF(N1831&gt;0,"xx",IF(N1831&gt;0,"xy",""))</f>
        <v/>
      </c>
      <c r="Q1834" s="317" t="str">
        <f t="shared" si="138"/>
        <v/>
      </c>
      <c r="R1834" s="317" t="str">
        <f t="shared" si="139"/>
        <v/>
      </c>
      <c r="S1834" s="317" t="str">
        <f t="shared" si="140"/>
        <v/>
      </c>
      <c r="T1834" s="317" t="str">
        <f>GLOBAL_DER_FEV_2023!S1834</f>
        <v/>
      </c>
      <c r="W1834" s="582">
        <v>0</v>
      </c>
      <c r="X1834" s="580"/>
      <c r="Y1834" s="583">
        <f>IF(GLOBAL_DER_FEV_2023!W1834=0,0,IF(GLOBAL_DER_FEV_2023!W1834&gt;0,"c","b"))</f>
        <v>0</v>
      </c>
    </row>
    <row r="1835" spans="1:25" ht="15" hidden="1" customHeight="1" x14ac:dyDescent="0.2">
      <c r="A1835" s="317">
        <v>606200</v>
      </c>
      <c r="B1835" s="895">
        <v>606200</v>
      </c>
      <c r="C1835" s="896" t="s">
        <v>184</v>
      </c>
      <c r="D1835" s="906" t="s">
        <v>816</v>
      </c>
      <c r="E1835" s="907">
        <f>GLOBAL_DER_FEV_2023!E1835</f>
        <v>0</v>
      </c>
      <c r="F1835" s="908">
        <f>GLOBAL_DER_FEV_2023!F1835</f>
        <v>0</v>
      </c>
      <c r="G1835" s="912">
        <f>GLOBAL_DER_FEV_2023!G1835</f>
        <v>252.60406000000003</v>
      </c>
      <c r="H1835" s="901">
        <f>GLOBAL_DER_FEV_2023!H1835</f>
        <v>598.07000000000005</v>
      </c>
      <c r="I1835" s="901">
        <f>GLOBAL_DER_FEV_2023!I1835</f>
        <v>850.67406000000005</v>
      </c>
      <c r="J1835" s="902">
        <f>GLOBAL_DER_FEV_2023!J1835</f>
        <v>1021.4</v>
      </c>
      <c r="K1835" s="903" t="s">
        <v>10</v>
      </c>
      <c r="L1835" s="1137"/>
      <c r="M1835" s="1138">
        <f t="shared" si="137"/>
        <v>0</v>
      </c>
      <c r="N1835" s="1176">
        <f t="shared" si="141"/>
        <v>0</v>
      </c>
      <c r="O1835" s="905"/>
      <c r="Q1835" s="317" t="str">
        <f t="shared" si="138"/>
        <v/>
      </c>
      <c r="R1835" s="317" t="str">
        <f t="shared" si="139"/>
        <v/>
      </c>
      <c r="S1835" s="317" t="str">
        <f t="shared" si="140"/>
        <v/>
      </c>
      <c r="T1835" s="317" t="str">
        <f>GLOBAL_DER_FEV_2023!S1835</f>
        <v/>
      </c>
      <c r="W1835" s="582">
        <v>0</v>
      </c>
      <c r="X1835" s="580"/>
      <c r="Y1835" s="583">
        <f>IF(GLOBAL_DER_FEV_2023!W1835=0,0,IF(GLOBAL_DER_FEV_2023!W1835&gt;0,"c","b"))</f>
        <v>0</v>
      </c>
    </row>
    <row r="1836" spans="1:25" ht="15" hidden="1" customHeight="1" x14ac:dyDescent="0.2">
      <c r="A1836" s="317" t="s">
        <v>147</v>
      </c>
      <c r="B1836" s="895" t="s">
        <v>147</v>
      </c>
      <c r="C1836" s="896"/>
      <c r="D1836" s="906" t="s">
        <v>190</v>
      </c>
      <c r="E1836" s="907">
        <f>GLOBAL_DER_FEV_2023!E1836</f>
        <v>308</v>
      </c>
      <c r="F1836" s="908">
        <f>GLOBAL_DER_FEV_2023!F1836</f>
        <v>0.51200000000000001</v>
      </c>
      <c r="G1836" s="909">
        <f>GLOBAL_DER_FEV_2023!G1836</f>
        <v>127.00672</v>
      </c>
      <c r="H1836" s="901">
        <f>GLOBAL_DER_FEV_2023!H1836</f>
        <v>0</v>
      </c>
      <c r="I1836" s="901">
        <f>GLOBAL_DER_FEV_2023!I1836</f>
        <v>0</v>
      </c>
      <c r="J1836" s="902">
        <f>GLOBAL_DER_FEV_2023!J1836</f>
        <v>0</v>
      </c>
      <c r="K1836" s="903"/>
      <c r="L1836" s="1177"/>
      <c r="M1836" s="1138">
        <f t="shared" si="137"/>
        <v>0</v>
      </c>
      <c r="N1836" s="1176">
        <f t="shared" si="141"/>
        <v>0</v>
      </c>
      <c r="O1836" s="905"/>
      <c r="P1836" s="36" t="str">
        <f>IF(N1835&gt;0,"xx",IF(N1835&gt;0,"xy",""))</f>
        <v/>
      </c>
      <c r="Q1836" s="317" t="str">
        <f t="shared" si="138"/>
        <v/>
      </c>
      <c r="R1836" s="317" t="str">
        <f t="shared" si="139"/>
        <v/>
      </c>
      <c r="S1836" s="317" t="str">
        <f t="shared" si="140"/>
        <v/>
      </c>
      <c r="T1836" s="317" t="str">
        <f>GLOBAL_DER_FEV_2023!S1836</f>
        <v/>
      </c>
      <c r="W1836" s="582">
        <v>0</v>
      </c>
      <c r="X1836" s="580"/>
      <c r="Y1836" s="583">
        <f>IF(GLOBAL_DER_FEV_2023!W1836=0,0,IF(GLOBAL_DER_FEV_2023!W1836&gt;0,"c","b"))</f>
        <v>0</v>
      </c>
    </row>
    <row r="1837" spans="1:25" ht="15" hidden="1" customHeight="1" x14ac:dyDescent="0.2">
      <c r="A1837" s="317" t="s">
        <v>147</v>
      </c>
      <c r="B1837" s="895" t="s">
        <v>147</v>
      </c>
      <c r="C1837" s="896"/>
      <c r="D1837" s="906" t="s">
        <v>229</v>
      </c>
      <c r="E1837" s="907">
        <f>GLOBAL_DER_FEV_2023!E1837</f>
        <v>150</v>
      </c>
      <c r="F1837" s="908">
        <f>GLOBAL_DER_FEV_2023!F1837</f>
        <v>0.75</v>
      </c>
      <c r="G1837" s="949">
        <f>GLOBAL_DER_FEV_2023!G1837</f>
        <v>122.38500000000001</v>
      </c>
      <c r="H1837" s="901">
        <f>GLOBAL_DER_FEV_2023!H1837</f>
        <v>0</v>
      </c>
      <c r="I1837" s="901">
        <f>GLOBAL_DER_FEV_2023!I1837</f>
        <v>0</v>
      </c>
      <c r="J1837" s="902">
        <f>GLOBAL_DER_FEV_2023!J1837</f>
        <v>0</v>
      </c>
      <c r="K1837" s="903"/>
      <c r="L1837" s="1177"/>
      <c r="M1837" s="1138">
        <f t="shared" si="137"/>
        <v>0</v>
      </c>
      <c r="N1837" s="1176">
        <f t="shared" si="141"/>
        <v>0</v>
      </c>
      <c r="O1837" s="905"/>
      <c r="P1837" s="36" t="str">
        <f>IF(N1835&gt;0,"xx",IF(N1835&gt;0,"xy",""))</f>
        <v/>
      </c>
      <c r="Q1837" s="317" t="str">
        <f t="shared" si="138"/>
        <v/>
      </c>
      <c r="R1837" s="317" t="str">
        <f t="shared" si="139"/>
        <v/>
      </c>
      <c r="S1837" s="317" t="str">
        <f t="shared" si="140"/>
        <v/>
      </c>
      <c r="T1837" s="317" t="str">
        <f>GLOBAL_DER_FEV_2023!S1837</f>
        <v/>
      </c>
      <c r="W1837" s="582">
        <v>0</v>
      </c>
      <c r="X1837" s="580"/>
      <c r="Y1837" s="583">
        <f>IF(GLOBAL_DER_FEV_2023!W1837=0,0,IF(GLOBAL_DER_FEV_2023!W1837&gt;0,"c","b"))</f>
        <v>0</v>
      </c>
    </row>
    <row r="1838" spans="1:25" ht="15" hidden="1" customHeight="1" x14ac:dyDescent="0.2">
      <c r="A1838" s="317" t="s">
        <v>147</v>
      </c>
      <c r="B1838" s="895" t="s">
        <v>147</v>
      </c>
      <c r="C1838" s="896"/>
      <c r="D1838" s="906" t="s">
        <v>233</v>
      </c>
      <c r="E1838" s="907">
        <f>GLOBAL_DER_FEV_2023!E1838</f>
        <v>0.2</v>
      </c>
      <c r="F1838" s="908">
        <f>GLOBAL_DER_FEV_2023!F1838</f>
        <v>1.1100000000000001</v>
      </c>
      <c r="G1838" s="949">
        <f>GLOBAL_DER_FEV_2023!G1838</f>
        <v>3.2123400000000006</v>
      </c>
      <c r="H1838" s="901">
        <f>GLOBAL_DER_FEV_2023!H1838</f>
        <v>0</v>
      </c>
      <c r="I1838" s="901">
        <f>GLOBAL_DER_FEV_2023!I1838</f>
        <v>0</v>
      </c>
      <c r="J1838" s="902">
        <f>GLOBAL_DER_FEV_2023!J1838</f>
        <v>0</v>
      </c>
      <c r="K1838" s="903"/>
      <c r="L1838" s="1177"/>
      <c r="M1838" s="1138">
        <f t="shared" si="137"/>
        <v>0</v>
      </c>
      <c r="N1838" s="1176">
        <f t="shared" si="141"/>
        <v>0</v>
      </c>
      <c r="O1838" s="905"/>
      <c r="P1838" s="36" t="str">
        <f>IF(N1835&gt;0,"xx",IF(N1835&gt;0,"xy",""))</f>
        <v/>
      </c>
      <c r="Q1838" s="317" t="str">
        <f t="shared" si="138"/>
        <v/>
      </c>
      <c r="R1838" s="317" t="str">
        <f t="shared" si="139"/>
        <v/>
      </c>
      <c r="S1838" s="317" t="str">
        <f t="shared" si="140"/>
        <v/>
      </c>
      <c r="T1838" s="317" t="str">
        <f>GLOBAL_DER_FEV_2023!S1838</f>
        <v/>
      </c>
      <c r="W1838" s="582">
        <v>0</v>
      </c>
      <c r="X1838" s="580"/>
      <c r="Y1838" s="583">
        <f>IF(GLOBAL_DER_FEV_2023!W1838=0,0,IF(GLOBAL_DER_FEV_2023!W1838&gt;0,"c","b"))</f>
        <v>0</v>
      </c>
    </row>
    <row r="1839" spans="1:25" ht="15" hidden="1" customHeight="1" x14ac:dyDescent="0.2">
      <c r="A1839" s="317">
        <v>622000</v>
      </c>
      <c r="B1839" s="895">
        <v>622000</v>
      </c>
      <c r="C1839" s="896" t="s">
        <v>184</v>
      </c>
      <c r="D1839" s="906" t="s">
        <v>521</v>
      </c>
      <c r="E1839" s="907">
        <f>GLOBAL_DER_FEV_2023!E1839</f>
        <v>0</v>
      </c>
      <c r="F1839" s="908">
        <f>GLOBAL_DER_FEV_2023!F1839</f>
        <v>0</v>
      </c>
      <c r="G1839" s="912">
        <f>GLOBAL_DER_FEV_2023!G1839</f>
        <v>37.478794200000003</v>
      </c>
      <c r="H1839" s="901">
        <f>GLOBAL_DER_FEV_2023!H1839</f>
        <v>240.43</v>
      </c>
      <c r="I1839" s="901">
        <f>GLOBAL_DER_FEV_2023!I1839</f>
        <v>277.90879419999999</v>
      </c>
      <c r="J1839" s="902">
        <f>GLOBAL_DER_FEV_2023!J1839</f>
        <v>333.69</v>
      </c>
      <c r="K1839" s="903" t="s">
        <v>15</v>
      </c>
      <c r="L1839" s="1137"/>
      <c r="M1839" s="1138">
        <f t="shared" si="137"/>
        <v>0</v>
      </c>
      <c r="N1839" s="1176">
        <f t="shared" si="141"/>
        <v>0</v>
      </c>
      <c r="O1839" s="905"/>
      <c r="Q1839" s="317" t="str">
        <f t="shared" si="138"/>
        <v/>
      </c>
      <c r="R1839" s="317" t="str">
        <f t="shared" si="139"/>
        <v/>
      </c>
      <c r="S1839" s="317" t="str">
        <f t="shared" si="140"/>
        <v/>
      </c>
      <c r="T1839" s="317" t="str">
        <f>GLOBAL_DER_FEV_2023!S1839</f>
        <v/>
      </c>
      <c r="W1839" s="582">
        <v>0</v>
      </c>
      <c r="X1839" s="580"/>
      <c r="Y1839" s="583">
        <f>IF(GLOBAL_DER_FEV_2023!W1839=0,0,IF(GLOBAL_DER_FEV_2023!W1839&gt;0,"c","b"))</f>
        <v>0</v>
      </c>
    </row>
    <row r="1840" spans="1:25" ht="15" hidden="1" customHeight="1" x14ac:dyDescent="0.2">
      <c r="A1840" s="317" t="s">
        <v>147</v>
      </c>
      <c r="B1840" s="895" t="s">
        <v>147</v>
      </c>
      <c r="C1840" s="896"/>
      <c r="D1840" s="906" t="s">
        <v>190</v>
      </c>
      <c r="E1840" s="907">
        <f>GLOBAL_DER_FEV_2023!E1840</f>
        <v>308</v>
      </c>
      <c r="F1840" s="908">
        <f>GLOBAL_DER_FEV_2023!F1840</f>
        <v>4.24E-2</v>
      </c>
      <c r="G1840" s="909">
        <f>GLOBAL_DER_FEV_2023!G1840</f>
        <v>10.517744</v>
      </c>
      <c r="H1840" s="901">
        <f>GLOBAL_DER_FEV_2023!H1840</f>
        <v>0</v>
      </c>
      <c r="I1840" s="901">
        <f>GLOBAL_DER_FEV_2023!I1840</f>
        <v>0</v>
      </c>
      <c r="J1840" s="902">
        <f>GLOBAL_DER_FEV_2023!J1840</f>
        <v>0</v>
      </c>
      <c r="K1840" s="903"/>
      <c r="L1840" s="1177"/>
      <c r="M1840" s="1138">
        <f t="shared" si="137"/>
        <v>0</v>
      </c>
      <c r="N1840" s="1176">
        <f t="shared" si="141"/>
        <v>0</v>
      </c>
      <c r="O1840" s="905"/>
      <c r="P1840" s="36" t="str">
        <f>IF(N1839&gt;0,"xx",IF(N1839&gt;0,"xy",""))</f>
        <v/>
      </c>
      <c r="Q1840" s="317" t="str">
        <f t="shared" si="138"/>
        <v/>
      </c>
      <c r="R1840" s="317" t="str">
        <f t="shared" si="139"/>
        <v/>
      </c>
      <c r="S1840" s="317" t="str">
        <f t="shared" si="140"/>
        <v/>
      </c>
      <c r="T1840" s="317" t="str">
        <f>GLOBAL_DER_FEV_2023!S1840</f>
        <v/>
      </c>
      <c r="W1840" s="582">
        <v>0</v>
      </c>
      <c r="X1840" s="580"/>
      <c r="Y1840" s="583">
        <f>IF(GLOBAL_DER_FEV_2023!W1840=0,0,IF(GLOBAL_DER_FEV_2023!W1840&gt;0,"c","b"))</f>
        <v>0</v>
      </c>
    </row>
    <row r="1841" spans="1:25" ht="15" hidden="1" customHeight="1" x14ac:dyDescent="0.2">
      <c r="A1841" s="317" t="s">
        <v>147</v>
      </c>
      <c r="B1841" s="895" t="s">
        <v>147</v>
      </c>
      <c r="C1841" s="896"/>
      <c r="D1841" s="906" t="s">
        <v>229</v>
      </c>
      <c r="E1841" s="907">
        <f>GLOBAL_DER_FEV_2023!E1841</f>
        <v>150</v>
      </c>
      <c r="F1841" s="908">
        <f>GLOBAL_DER_FEV_2023!F1841</f>
        <v>0.1507</v>
      </c>
      <c r="G1841" s="949">
        <f>GLOBAL_DER_FEV_2023!G1841</f>
        <v>24.591226000000002</v>
      </c>
      <c r="H1841" s="901">
        <f>GLOBAL_DER_FEV_2023!H1841</f>
        <v>0</v>
      </c>
      <c r="I1841" s="901">
        <f>GLOBAL_DER_FEV_2023!I1841</f>
        <v>0</v>
      </c>
      <c r="J1841" s="902">
        <f>GLOBAL_DER_FEV_2023!J1841</f>
        <v>0</v>
      </c>
      <c r="K1841" s="903"/>
      <c r="L1841" s="1177"/>
      <c r="M1841" s="1138">
        <f t="shared" si="137"/>
        <v>0</v>
      </c>
      <c r="N1841" s="1176">
        <f t="shared" si="141"/>
        <v>0</v>
      </c>
      <c r="O1841" s="905"/>
      <c r="P1841" s="36" t="str">
        <f>IF(N1839&gt;0,"xx",IF(N1839&gt;0,"xy",""))</f>
        <v/>
      </c>
      <c r="Q1841" s="317" t="str">
        <f t="shared" si="138"/>
        <v/>
      </c>
      <c r="R1841" s="317" t="str">
        <f t="shared" si="139"/>
        <v/>
      </c>
      <c r="S1841" s="317" t="str">
        <f t="shared" si="140"/>
        <v/>
      </c>
      <c r="T1841" s="317" t="str">
        <f>GLOBAL_DER_FEV_2023!S1841</f>
        <v/>
      </c>
      <c r="W1841" s="582">
        <v>0</v>
      </c>
      <c r="X1841" s="580"/>
      <c r="Y1841" s="583">
        <f>IF(GLOBAL_DER_FEV_2023!W1841=0,0,IF(GLOBAL_DER_FEV_2023!W1841&gt;0,"c","b"))</f>
        <v>0</v>
      </c>
    </row>
    <row r="1842" spans="1:25" ht="15" hidden="1" customHeight="1" x14ac:dyDescent="0.2">
      <c r="A1842" s="317" t="s">
        <v>147</v>
      </c>
      <c r="B1842" s="895" t="s">
        <v>147</v>
      </c>
      <c r="C1842" s="896"/>
      <c r="D1842" s="906" t="s">
        <v>233</v>
      </c>
      <c r="E1842" s="907">
        <f>GLOBAL_DER_FEV_2023!E1842</f>
        <v>0.2</v>
      </c>
      <c r="F1842" s="908">
        <f>GLOBAL_DER_FEV_2023!F1842</f>
        <v>0.17430000000000001</v>
      </c>
      <c r="G1842" s="949">
        <f>GLOBAL_DER_FEV_2023!G1842</f>
        <v>0.5044242000000001</v>
      </c>
      <c r="H1842" s="901">
        <f>GLOBAL_DER_FEV_2023!H1842</f>
        <v>0</v>
      </c>
      <c r="I1842" s="901">
        <f>GLOBAL_DER_FEV_2023!I1842</f>
        <v>0</v>
      </c>
      <c r="J1842" s="902">
        <f>GLOBAL_DER_FEV_2023!J1842</f>
        <v>0</v>
      </c>
      <c r="K1842" s="903"/>
      <c r="L1842" s="1177"/>
      <c r="M1842" s="1138">
        <f t="shared" si="137"/>
        <v>0</v>
      </c>
      <c r="N1842" s="1176">
        <f t="shared" si="141"/>
        <v>0</v>
      </c>
      <c r="O1842" s="905"/>
      <c r="P1842" s="36" t="str">
        <f>IF(N1839&gt;0,"xx",IF(N1839&gt;0,"xy",""))</f>
        <v/>
      </c>
      <c r="Q1842" s="317" t="str">
        <f t="shared" si="138"/>
        <v/>
      </c>
      <c r="R1842" s="317" t="str">
        <f t="shared" si="139"/>
        <v/>
      </c>
      <c r="S1842" s="317" t="str">
        <f t="shared" si="140"/>
        <v/>
      </c>
      <c r="T1842" s="317" t="str">
        <f>GLOBAL_DER_FEV_2023!S1842</f>
        <v/>
      </c>
      <c r="W1842" s="582">
        <v>0</v>
      </c>
      <c r="X1842" s="580"/>
      <c r="Y1842" s="583">
        <f>IF(GLOBAL_DER_FEV_2023!W1842=0,0,IF(GLOBAL_DER_FEV_2023!W1842&gt;0,"c","b"))</f>
        <v>0</v>
      </c>
    </row>
    <row r="1843" spans="1:25" ht="15" hidden="1" customHeight="1" x14ac:dyDescent="0.2">
      <c r="A1843" s="317" t="s">
        <v>147</v>
      </c>
      <c r="B1843" s="895" t="s">
        <v>147</v>
      </c>
      <c r="C1843" s="896"/>
      <c r="D1843" s="906" t="s">
        <v>336</v>
      </c>
      <c r="E1843" s="907">
        <f>GLOBAL_DER_FEV_2023!E1843</f>
        <v>40</v>
      </c>
      <c r="F1843" s="908">
        <f>GLOBAL_DER_FEV_2023!F1843</f>
        <v>0.06</v>
      </c>
      <c r="G1843" s="949">
        <f>GLOBAL_DER_FEV_2023!G1843</f>
        <v>1.8653999999999999</v>
      </c>
      <c r="H1843" s="901">
        <f>GLOBAL_DER_FEV_2023!H1843</f>
        <v>0</v>
      </c>
      <c r="I1843" s="901">
        <f>GLOBAL_DER_FEV_2023!I1843</f>
        <v>0</v>
      </c>
      <c r="J1843" s="902">
        <f>GLOBAL_DER_FEV_2023!J1843</f>
        <v>0</v>
      </c>
      <c r="K1843" s="903"/>
      <c r="L1843" s="1177"/>
      <c r="M1843" s="1138">
        <f t="shared" si="137"/>
        <v>0</v>
      </c>
      <c r="N1843" s="1176">
        <f t="shared" si="141"/>
        <v>0</v>
      </c>
      <c r="O1843" s="905"/>
      <c r="P1843" s="36" t="str">
        <f>IF(N1839&gt;0,"xx",IF(N1839&gt;0,"xy",""))</f>
        <v/>
      </c>
      <c r="Q1843" s="317" t="str">
        <f t="shared" si="138"/>
        <v/>
      </c>
      <c r="R1843" s="317" t="str">
        <f t="shared" si="139"/>
        <v/>
      </c>
      <c r="S1843" s="317" t="str">
        <f t="shared" si="140"/>
        <v/>
      </c>
      <c r="T1843" s="317" t="str">
        <f>GLOBAL_DER_FEV_2023!S1843</f>
        <v/>
      </c>
      <c r="W1843" s="582">
        <v>0</v>
      </c>
      <c r="X1843" s="580"/>
      <c r="Y1843" s="583">
        <f>IF(GLOBAL_DER_FEV_2023!W1843=0,0,IF(GLOBAL_DER_FEV_2023!W1843&gt;0,"c","b"))</f>
        <v>0</v>
      </c>
    </row>
    <row r="1844" spans="1:25" ht="15" hidden="1" customHeight="1" x14ac:dyDescent="0.2">
      <c r="A1844" s="317">
        <v>620000</v>
      </c>
      <c r="B1844" s="895" t="s">
        <v>1813</v>
      </c>
      <c r="C1844" s="896" t="s">
        <v>184</v>
      </c>
      <c r="D1844" s="906" t="s">
        <v>522</v>
      </c>
      <c r="E1844" s="907">
        <f>GLOBAL_DER_FEV_2023!E1844</f>
        <v>0</v>
      </c>
      <c r="F1844" s="908">
        <f>GLOBAL_DER_FEV_2023!F1844</f>
        <v>0</v>
      </c>
      <c r="G1844" s="912">
        <f>GLOBAL_DER_FEV_2023!G1844</f>
        <v>53.428395000000002</v>
      </c>
      <c r="H1844" s="901">
        <f>GLOBAL_DER_FEV_2023!H1844</f>
        <v>643.26</v>
      </c>
      <c r="I1844" s="901">
        <f>GLOBAL_DER_FEV_2023!I1844</f>
        <v>696.68839500000001</v>
      </c>
      <c r="J1844" s="902">
        <f>GLOBAL_DER_FEV_2023!J1844</f>
        <v>836.51</v>
      </c>
      <c r="K1844" s="903" t="s">
        <v>15</v>
      </c>
      <c r="L1844" s="1137"/>
      <c r="M1844" s="1138">
        <f t="shared" si="137"/>
        <v>0</v>
      </c>
      <c r="N1844" s="1176">
        <f t="shared" si="141"/>
        <v>0</v>
      </c>
      <c r="O1844" s="905"/>
      <c r="Q1844" s="317" t="str">
        <f t="shared" si="138"/>
        <v/>
      </c>
      <c r="R1844" s="317" t="str">
        <f t="shared" si="139"/>
        <v/>
      </c>
      <c r="S1844" s="317" t="str">
        <f t="shared" si="140"/>
        <v/>
      </c>
      <c r="T1844" s="317" t="str">
        <f>GLOBAL_DER_FEV_2023!S1844</f>
        <v/>
      </c>
      <c r="W1844" s="582">
        <v>0</v>
      </c>
      <c r="X1844" s="580"/>
      <c r="Y1844" s="583">
        <f>IF(GLOBAL_DER_FEV_2023!W1844=0,0,IF(GLOBAL_DER_FEV_2023!W1844&gt;0,"c","b"))</f>
        <v>0</v>
      </c>
    </row>
    <row r="1845" spans="1:25" ht="15" hidden="1" customHeight="1" x14ac:dyDescent="0.2">
      <c r="A1845" s="317" t="s">
        <v>147</v>
      </c>
      <c r="B1845" s="895" t="s">
        <v>147</v>
      </c>
      <c r="C1845" s="896"/>
      <c r="D1845" s="906" t="s">
        <v>190</v>
      </c>
      <c r="E1845" s="907">
        <f>GLOBAL_DER_FEV_2023!E1845</f>
        <v>308</v>
      </c>
      <c r="F1845" s="908">
        <f>GLOBAL_DER_FEV_2023!F1845</f>
        <v>6.3600000000000004E-2</v>
      </c>
      <c r="G1845" s="909">
        <f>GLOBAL_DER_FEV_2023!G1845</f>
        <v>15.776616000000001</v>
      </c>
      <c r="H1845" s="901">
        <f>GLOBAL_DER_FEV_2023!H1845</f>
        <v>0</v>
      </c>
      <c r="I1845" s="901">
        <f>GLOBAL_DER_FEV_2023!I1845</f>
        <v>0</v>
      </c>
      <c r="J1845" s="902">
        <f>GLOBAL_DER_FEV_2023!J1845</f>
        <v>0</v>
      </c>
      <c r="K1845" s="903"/>
      <c r="L1845" s="1177"/>
      <c r="M1845" s="1138">
        <f t="shared" si="137"/>
        <v>0</v>
      </c>
      <c r="N1845" s="1176">
        <f t="shared" si="141"/>
        <v>0</v>
      </c>
      <c r="O1845" s="905"/>
      <c r="P1845" s="36" t="str">
        <f>IF(N1844&gt;0,"xx",IF(N1844&gt;0,"xy",""))</f>
        <v/>
      </c>
      <c r="Q1845" s="317" t="str">
        <f t="shared" si="138"/>
        <v/>
      </c>
      <c r="R1845" s="317" t="str">
        <f t="shared" si="139"/>
        <v/>
      </c>
      <c r="S1845" s="317" t="str">
        <f t="shared" si="140"/>
        <v/>
      </c>
      <c r="T1845" s="317" t="str">
        <f>GLOBAL_DER_FEV_2023!S1845</f>
        <v/>
      </c>
      <c r="W1845" s="582">
        <v>0</v>
      </c>
      <c r="X1845" s="580"/>
      <c r="Y1845" s="583">
        <f>IF(GLOBAL_DER_FEV_2023!W1845=0,0,IF(GLOBAL_DER_FEV_2023!W1845&gt;0,"c","b"))</f>
        <v>0</v>
      </c>
    </row>
    <row r="1846" spans="1:25" ht="15" hidden="1" customHeight="1" x14ac:dyDescent="0.2">
      <c r="A1846" s="317" t="s">
        <v>147</v>
      </c>
      <c r="B1846" s="895" t="s">
        <v>147</v>
      </c>
      <c r="C1846" s="896"/>
      <c r="D1846" s="906" t="s">
        <v>229</v>
      </c>
      <c r="E1846" s="907">
        <f>GLOBAL_DER_FEV_2023!E1846</f>
        <v>150</v>
      </c>
      <c r="F1846" s="908">
        <f>GLOBAL_DER_FEV_2023!F1846</f>
        <v>0.2261</v>
      </c>
      <c r="G1846" s="949">
        <f>GLOBAL_DER_FEV_2023!G1846</f>
        <v>36.894998000000001</v>
      </c>
      <c r="H1846" s="901">
        <f>GLOBAL_DER_FEV_2023!H1846</f>
        <v>0</v>
      </c>
      <c r="I1846" s="901">
        <f>GLOBAL_DER_FEV_2023!I1846</f>
        <v>0</v>
      </c>
      <c r="J1846" s="902">
        <f>GLOBAL_DER_FEV_2023!J1846</f>
        <v>0</v>
      </c>
      <c r="K1846" s="903"/>
      <c r="L1846" s="1177"/>
      <c r="M1846" s="1138">
        <f t="shared" si="137"/>
        <v>0</v>
      </c>
      <c r="N1846" s="1176">
        <f t="shared" si="141"/>
        <v>0</v>
      </c>
      <c r="O1846" s="905"/>
      <c r="P1846" s="36" t="str">
        <f>IF(N1844&gt;0,"xx",IF(N1844&gt;0,"xy",""))</f>
        <v/>
      </c>
      <c r="Q1846" s="317" t="str">
        <f t="shared" si="138"/>
        <v/>
      </c>
      <c r="R1846" s="317" t="str">
        <f t="shared" si="139"/>
        <v/>
      </c>
      <c r="S1846" s="317" t="str">
        <f t="shared" si="140"/>
        <v/>
      </c>
      <c r="T1846" s="317" t="str">
        <f>GLOBAL_DER_FEV_2023!S1846</f>
        <v/>
      </c>
      <c r="W1846" s="582">
        <v>0</v>
      </c>
      <c r="X1846" s="580"/>
      <c r="Y1846" s="583">
        <f>IF(GLOBAL_DER_FEV_2023!W1846=0,0,IF(GLOBAL_DER_FEV_2023!W1846&gt;0,"c","b"))</f>
        <v>0</v>
      </c>
    </row>
    <row r="1847" spans="1:25" ht="15" hidden="1" customHeight="1" x14ac:dyDescent="0.2">
      <c r="A1847" s="317" t="s">
        <v>147</v>
      </c>
      <c r="B1847" s="895" t="s">
        <v>147</v>
      </c>
      <c r="C1847" s="896"/>
      <c r="D1847" s="906" t="s">
        <v>233</v>
      </c>
      <c r="E1847" s="907">
        <f>GLOBAL_DER_FEV_2023!E1847</f>
        <v>0.2</v>
      </c>
      <c r="F1847" s="908">
        <f>GLOBAL_DER_FEV_2023!F1847</f>
        <v>0.26150000000000001</v>
      </c>
      <c r="G1847" s="949">
        <f>GLOBAL_DER_FEV_2023!G1847</f>
        <v>0.75678100000000004</v>
      </c>
      <c r="H1847" s="901">
        <f>GLOBAL_DER_FEV_2023!H1847</f>
        <v>0</v>
      </c>
      <c r="I1847" s="901">
        <f>GLOBAL_DER_FEV_2023!I1847</f>
        <v>0</v>
      </c>
      <c r="J1847" s="902">
        <f>GLOBAL_DER_FEV_2023!J1847</f>
        <v>0</v>
      </c>
      <c r="K1847" s="903"/>
      <c r="L1847" s="1177"/>
      <c r="M1847" s="1138">
        <f t="shared" si="137"/>
        <v>0</v>
      </c>
      <c r="N1847" s="1176">
        <f t="shared" si="141"/>
        <v>0</v>
      </c>
      <c r="O1847" s="905"/>
      <c r="P1847" s="36" t="str">
        <f>IF(N1844&gt;0,"xx",IF(N1844&gt;0,"xy",""))</f>
        <v/>
      </c>
      <c r="Q1847" s="317" t="str">
        <f t="shared" si="138"/>
        <v/>
      </c>
      <c r="R1847" s="317" t="str">
        <f t="shared" si="139"/>
        <v/>
      </c>
      <c r="S1847" s="317" t="str">
        <f t="shared" si="140"/>
        <v/>
      </c>
      <c r="T1847" s="317" t="str">
        <f>GLOBAL_DER_FEV_2023!S1847</f>
        <v/>
      </c>
      <c r="W1847" s="582">
        <v>0</v>
      </c>
      <c r="X1847" s="580"/>
      <c r="Y1847" s="583">
        <f>IF(GLOBAL_DER_FEV_2023!W1847=0,0,IF(GLOBAL_DER_FEV_2023!W1847&gt;0,"c","b"))</f>
        <v>0</v>
      </c>
    </row>
    <row r="1848" spans="1:25" ht="15" hidden="1" customHeight="1" x14ac:dyDescent="0.2">
      <c r="A1848" s="317">
        <v>620000</v>
      </c>
      <c r="B1848" s="895" t="s">
        <v>1814</v>
      </c>
      <c r="C1848" s="896" t="s">
        <v>184</v>
      </c>
      <c r="D1848" s="906" t="s">
        <v>343</v>
      </c>
      <c r="E1848" s="907">
        <f>GLOBAL_DER_FEV_2023!E1848</f>
        <v>0</v>
      </c>
      <c r="F1848" s="908">
        <f>GLOBAL_DER_FEV_2023!F1848</f>
        <v>0</v>
      </c>
      <c r="G1848" s="912">
        <f>GLOBAL_DER_FEV_2023!G1848</f>
        <v>97.780856400000005</v>
      </c>
      <c r="H1848" s="901">
        <f>GLOBAL_DER_FEV_2023!H1848</f>
        <v>643.26</v>
      </c>
      <c r="I1848" s="901">
        <f>GLOBAL_DER_FEV_2023!I1848</f>
        <v>741.04085639999994</v>
      </c>
      <c r="J1848" s="902">
        <f>GLOBAL_DER_FEV_2023!J1848</f>
        <v>889.77</v>
      </c>
      <c r="K1848" s="903" t="s">
        <v>15</v>
      </c>
      <c r="L1848" s="1137"/>
      <c r="M1848" s="1138">
        <f t="shared" si="137"/>
        <v>0</v>
      </c>
      <c r="N1848" s="1176">
        <f t="shared" si="141"/>
        <v>0</v>
      </c>
      <c r="O1848" s="905"/>
      <c r="Q1848" s="317" t="str">
        <f t="shared" si="138"/>
        <v/>
      </c>
      <c r="R1848" s="317" t="str">
        <f t="shared" si="139"/>
        <v/>
      </c>
      <c r="S1848" s="317" t="str">
        <f t="shared" si="140"/>
        <v/>
      </c>
      <c r="T1848" s="317" t="str">
        <f>GLOBAL_DER_FEV_2023!S1848</f>
        <v/>
      </c>
      <c r="W1848" s="582">
        <v>0</v>
      </c>
      <c r="X1848" s="580"/>
      <c r="Y1848" s="583">
        <f>IF(GLOBAL_DER_FEV_2023!W1848=0,0,IF(GLOBAL_DER_FEV_2023!W1848&gt;0,"c","b"))</f>
        <v>0</v>
      </c>
    </row>
    <row r="1849" spans="1:25" ht="15" hidden="1" customHeight="1" x14ac:dyDescent="0.2">
      <c r="A1849" s="317" t="s">
        <v>147</v>
      </c>
      <c r="B1849" s="895" t="s">
        <v>147</v>
      </c>
      <c r="C1849" s="896"/>
      <c r="D1849" s="906" t="s">
        <v>190</v>
      </c>
      <c r="E1849" s="907">
        <f>GLOBAL_DER_FEV_2023!E1849</f>
        <v>308</v>
      </c>
      <c r="F1849" s="908">
        <f>GLOBAL_DER_FEV_2023!F1849</f>
        <v>0.1154</v>
      </c>
      <c r="G1849" s="909">
        <f>GLOBAL_DER_FEV_2023!G1849</f>
        <v>28.626124000000001</v>
      </c>
      <c r="H1849" s="901">
        <f>GLOBAL_DER_FEV_2023!H1849</f>
        <v>0</v>
      </c>
      <c r="I1849" s="901">
        <f>GLOBAL_DER_FEV_2023!I1849</f>
        <v>0</v>
      </c>
      <c r="J1849" s="902">
        <f>GLOBAL_DER_FEV_2023!J1849</f>
        <v>0</v>
      </c>
      <c r="K1849" s="903"/>
      <c r="L1849" s="1177"/>
      <c r="M1849" s="1138">
        <f t="shared" si="137"/>
        <v>0</v>
      </c>
      <c r="N1849" s="1176">
        <f t="shared" si="141"/>
        <v>0</v>
      </c>
      <c r="O1849" s="905"/>
      <c r="P1849" s="36" t="str">
        <f>IF(N1848&gt;0,"xx",IF(N1848&gt;0,"xy",""))</f>
        <v/>
      </c>
      <c r="Q1849" s="317" t="str">
        <f t="shared" si="138"/>
        <v/>
      </c>
      <c r="R1849" s="317" t="str">
        <f t="shared" si="139"/>
        <v/>
      </c>
      <c r="S1849" s="317" t="str">
        <f t="shared" si="140"/>
        <v/>
      </c>
      <c r="T1849" s="317" t="str">
        <f>GLOBAL_DER_FEV_2023!S1849</f>
        <v/>
      </c>
      <c r="W1849" s="582">
        <v>0</v>
      </c>
      <c r="X1849" s="580"/>
      <c r="Y1849" s="583">
        <f>IF(GLOBAL_DER_FEV_2023!W1849=0,0,IF(GLOBAL_DER_FEV_2023!W1849&gt;0,"c","b"))</f>
        <v>0</v>
      </c>
    </row>
    <row r="1850" spans="1:25" ht="15" hidden="1" customHeight="1" x14ac:dyDescent="0.2">
      <c r="A1850" s="317" t="s">
        <v>147</v>
      </c>
      <c r="B1850" s="895" t="s">
        <v>147</v>
      </c>
      <c r="C1850" s="896"/>
      <c r="D1850" s="906" t="s">
        <v>229</v>
      </c>
      <c r="E1850" s="907">
        <f>GLOBAL_DER_FEV_2023!E1850</f>
        <v>150</v>
      </c>
      <c r="F1850" s="908">
        <f>GLOBAL_DER_FEV_2023!F1850</f>
        <v>0.41049999999999998</v>
      </c>
      <c r="G1850" s="949">
        <f>GLOBAL_DER_FEV_2023!G1850</f>
        <v>66.985389999999995</v>
      </c>
      <c r="H1850" s="901">
        <f>GLOBAL_DER_FEV_2023!H1850</f>
        <v>0</v>
      </c>
      <c r="I1850" s="901">
        <f>GLOBAL_DER_FEV_2023!I1850</f>
        <v>0</v>
      </c>
      <c r="J1850" s="902">
        <f>GLOBAL_DER_FEV_2023!J1850</f>
        <v>0</v>
      </c>
      <c r="K1850" s="903"/>
      <c r="L1850" s="1177"/>
      <c r="M1850" s="1138">
        <f t="shared" si="137"/>
        <v>0</v>
      </c>
      <c r="N1850" s="1176">
        <f t="shared" si="141"/>
        <v>0</v>
      </c>
      <c r="O1850" s="905"/>
      <c r="P1850" s="36" t="str">
        <f>IF(N1848&gt;0,"xx",IF(N1848&gt;0,"xy",""))</f>
        <v/>
      </c>
      <c r="Q1850" s="317" t="str">
        <f t="shared" si="138"/>
        <v/>
      </c>
      <c r="R1850" s="317" t="str">
        <f t="shared" si="139"/>
        <v/>
      </c>
      <c r="S1850" s="317" t="str">
        <f t="shared" si="140"/>
        <v/>
      </c>
      <c r="T1850" s="317" t="str">
        <f>GLOBAL_DER_FEV_2023!S1850</f>
        <v/>
      </c>
      <c r="W1850" s="582">
        <v>0</v>
      </c>
      <c r="X1850" s="580"/>
      <c r="Y1850" s="583">
        <f>IF(GLOBAL_DER_FEV_2023!W1850=0,0,IF(GLOBAL_DER_FEV_2023!W1850&gt;0,"c","b"))</f>
        <v>0</v>
      </c>
    </row>
    <row r="1851" spans="1:25" ht="15" hidden="1" customHeight="1" x14ac:dyDescent="0.2">
      <c r="A1851" s="317" t="s">
        <v>147</v>
      </c>
      <c r="B1851" s="895" t="s">
        <v>147</v>
      </c>
      <c r="C1851" s="896"/>
      <c r="D1851" s="906" t="s">
        <v>233</v>
      </c>
      <c r="E1851" s="907">
        <f>GLOBAL_DER_FEV_2023!E1851</f>
        <v>0.2</v>
      </c>
      <c r="F1851" s="908">
        <f>GLOBAL_DER_FEV_2023!F1851</f>
        <v>0.74960000000000004</v>
      </c>
      <c r="G1851" s="949">
        <f>GLOBAL_DER_FEV_2023!G1851</f>
        <v>2.1693424000000001</v>
      </c>
      <c r="H1851" s="901">
        <f>GLOBAL_DER_FEV_2023!H1851</f>
        <v>0</v>
      </c>
      <c r="I1851" s="901">
        <f>GLOBAL_DER_FEV_2023!I1851</f>
        <v>0</v>
      </c>
      <c r="J1851" s="902">
        <f>GLOBAL_DER_FEV_2023!J1851</f>
        <v>0</v>
      </c>
      <c r="K1851" s="903"/>
      <c r="L1851" s="1177"/>
      <c r="M1851" s="1138">
        <f t="shared" si="137"/>
        <v>0</v>
      </c>
      <c r="N1851" s="1176">
        <f t="shared" si="141"/>
        <v>0</v>
      </c>
      <c r="O1851" s="905"/>
      <c r="P1851" s="36" t="str">
        <f>IF(N1848&gt;0,"xx",IF(N1848&gt;0,"xy",""))</f>
        <v/>
      </c>
      <c r="Q1851" s="317" t="str">
        <f t="shared" si="138"/>
        <v/>
      </c>
      <c r="R1851" s="317" t="str">
        <f t="shared" si="139"/>
        <v/>
      </c>
      <c r="S1851" s="317" t="str">
        <f t="shared" si="140"/>
        <v/>
      </c>
      <c r="T1851" s="317" t="str">
        <f>GLOBAL_DER_FEV_2023!S1851</f>
        <v/>
      </c>
      <c r="W1851" s="582">
        <v>0</v>
      </c>
      <c r="X1851" s="580"/>
      <c r="Y1851" s="583">
        <f>IF(GLOBAL_DER_FEV_2023!W1851=0,0,IF(GLOBAL_DER_FEV_2023!W1851&gt;0,"c","b"))</f>
        <v>0</v>
      </c>
    </row>
    <row r="1852" spans="1:25" ht="15" hidden="1" customHeight="1" x14ac:dyDescent="0.2">
      <c r="A1852" s="317">
        <v>620000</v>
      </c>
      <c r="B1852" s="895" t="s">
        <v>1815</v>
      </c>
      <c r="C1852" s="896" t="s">
        <v>184</v>
      </c>
      <c r="D1852" s="906" t="s">
        <v>523</v>
      </c>
      <c r="E1852" s="907">
        <f>GLOBAL_DER_FEV_2023!E1852</f>
        <v>0</v>
      </c>
      <c r="F1852" s="908">
        <f>GLOBAL_DER_FEV_2023!F1852</f>
        <v>0</v>
      </c>
      <c r="G1852" s="912">
        <f>GLOBAL_DER_FEV_2023!G1852</f>
        <v>132.68094340000002</v>
      </c>
      <c r="H1852" s="901">
        <f>GLOBAL_DER_FEV_2023!H1852</f>
        <v>643.26</v>
      </c>
      <c r="I1852" s="901">
        <f>GLOBAL_DER_FEV_2023!I1852</f>
        <v>775.94094340000004</v>
      </c>
      <c r="J1852" s="902">
        <f>GLOBAL_DER_FEV_2023!J1852</f>
        <v>931.67</v>
      </c>
      <c r="K1852" s="903" t="s">
        <v>15</v>
      </c>
      <c r="L1852" s="1137"/>
      <c r="M1852" s="1138">
        <f t="shared" si="137"/>
        <v>0</v>
      </c>
      <c r="N1852" s="1176">
        <f t="shared" si="141"/>
        <v>0</v>
      </c>
      <c r="O1852" s="905"/>
      <c r="Q1852" s="317" t="str">
        <f t="shared" si="138"/>
        <v/>
      </c>
      <c r="R1852" s="317" t="str">
        <f t="shared" si="139"/>
        <v/>
      </c>
      <c r="S1852" s="317" t="str">
        <f t="shared" si="140"/>
        <v/>
      </c>
      <c r="T1852" s="317" t="str">
        <f>GLOBAL_DER_FEV_2023!S1852</f>
        <v/>
      </c>
      <c r="W1852" s="582">
        <v>0</v>
      </c>
      <c r="X1852" s="580"/>
      <c r="Y1852" s="583">
        <f>IF(GLOBAL_DER_FEV_2023!W1852=0,0,IF(GLOBAL_DER_FEV_2023!W1852&gt;0,"c","b"))</f>
        <v>0</v>
      </c>
    </row>
    <row r="1853" spans="1:25" ht="15" hidden="1" customHeight="1" x14ac:dyDescent="0.2">
      <c r="A1853" s="317" t="s">
        <v>147</v>
      </c>
      <c r="B1853" s="895" t="s">
        <v>147</v>
      </c>
      <c r="C1853" s="896"/>
      <c r="D1853" s="906" t="s">
        <v>190</v>
      </c>
      <c r="E1853" s="907">
        <f>GLOBAL_DER_FEV_2023!E1853</f>
        <v>308</v>
      </c>
      <c r="F1853" s="908">
        <f>GLOBAL_DER_FEV_2023!F1853</f>
        <v>0.15659999999999999</v>
      </c>
      <c r="G1853" s="909">
        <f>GLOBAL_DER_FEV_2023!G1853</f>
        <v>38.846195999999999</v>
      </c>
      <c r="H1853" s="901">
        <f>GLOBAL_DER_FEV_2023!H1853</f>
        <v>0</v>
      </c>
      <c r="I1853" s="901">
        <f>GLOBAL_DER_FEV_2023!I1853</f>
        <v>0</v>
      </c>
      <c r="J1853" s="902">
        <f>GLOBAL_DER_FEV_2023!J1853</f>
        <v>0</v>
      </c>
      <c r="K1853" s="903"/>
      <c r="L1853" s="1177"/>
      <c r="M1853" s="1138">
        <f t="shared" si="137"/>
        <v>0</v>
      </c>
      <c r="N1853" s="1176">
        <f t="shared" si="141"/>
        <v>0</v>
      </c>
      <c r="O1853" s="905"/>
      <c r="P1853" s="36" t="str">
        <f>IF(N1852&gt;0,"xx",IF(N1852&gt;0,"xy",""))</f>
        <v/>
      </c>
      <c r="Q1853" s="317" t="str">
        <f t="shared" si="138"/>
        <v/>
      </c>
      <c r="R1853" s="317" t="str">
        <f t="shared" si="139"/>
        <v/>
      </c>
      <c r="S1853" s="317" t="str">
        <f t="shared" si="140"/>
        <v/>
      </c>
      <c r="T1853" s="317" t="str">
        <f>GLOBAL_DER_FEV_2023!S1853</f>
        <v/>
      </c>
      <c r="W1853" s="582">
        <v>0</v>
      </c>
      <c r="X1853" s="580"/>
      <c r="Y1853" s="583">
        <f>IF(GLOBAL_DER_FEV_2023!W1853=0,0,IF(GLOBAL_DER_FEV_2023!W1853&gt;0,"c","b"))</f>
        <v>0</v>
      </c>
    </row>
    <row r="1854" spans="1:25" ht="15" hidden="1" customHeight="1" x14ac:dyDescent="0.2">
      <c r="A1854" s="317" t="s">
        <v>147</v>
      </c>
      <c r="B1854" s="895" t="s">
        <v>147</v>
      </c>
      <c r="C1854" s="896"/>
      <c r="D1854" s="906" t="s">
        <v>229</v>
      </c>
      <c r="E1854" s="907">
        <f>GLOBAL_DER_FEV_2023!E1854</f>
        <v>150</v>
      </c>
      <c r="F1854" s="908">
        <f>GLOBAL_DER_FEV_2023!F1854</f>
        <v>0.55700000000000005</v>
      </c>
      <c r="G1854" s="949">
        <f>GLOBAL_DER_FEV_2023!G1854</f>
        <v>90.891260000000017</v>
      </c>
      <c r="H1854" s="901">
        <f>GLOBAL_DER_FEV_2023!H1854</f>
        <v>0</v>
      </c>
      <c r="I1854" s="901">
        <f>GLOBAL_DER_FEV_2023!I1854</f>
        <v>0</v>
      </c>
      <c r="J1854" s="902">
        <f>GLOBAL_DER_FEV_2023!J1854</f>
        <v>0</v>
      </c>
      <c r="K1854" s="903"/>
      <c r="L1854" s="1177"/>
      <c r="M1854" s="1138">
        <f t="shared" si="137"/>
        <v>0</v>
      </c>
      <c r="N1854" s="1176">
        <f t="shared" si="141"/>
        <v>0</v>
      </c>
      <c r="O1854" s="905"/>
      <c r="P1854" s="36" t="str">
        <f>IF(N1852&gt;0,"xx",IF(N1852&gt;0,"xy",""))</f>
        <v/>
      </c>
      <c r="Q1854" s="317" t="str">
        <f t="shared" si="138"/>
        <v/>
      </c>
      <c r="R1854" s="317" t="str">
        <f t="shared" si="139"/>
        <v/>
      </c>
      <c r="S1854" s="317" t="str">
        <f t="shared" si="140"/>
        <v/>
      </c>
      <c r="T1854" s="317" t="str">
        <f>GLOBAL_DER_FEV_2023!S1854</f>
        <v/>
      </c>
      <c r="W1854" s="582">
        <v>0</v>
      </c>
      <c r="X1854" s="580"/>
      <c r="Y1854" s="583">
        <f>IF(GLOBAL_DER_FEV_2023!W1854=0,0,IF(GLOBAL_DER_FEV_2023!W1854&gt;0,"c","b"))</f>
        <v>0</v>
      </c>
    </row>
    <row r="1855" spans="1:25" ht="15" hidden="1" customHeight="1" x14ac:dyDescent="0.2">
      <c r="A1855" s="317" t="s">
        <v>147</v>
      </c>
      <c r="B1855" s="895" t="s">
        <v>147</v>
      </c>
      <c r="C1855" s="896"/>
      <c r="D1855" s="906" t="s">
        <v>233</v>
      </c>
      <c r="E1855" s="907">
        <f>GLOBAL_DER_FEV_2023!E1855</f>
        <v>0.2</v>
      </c>
      <c r="F1855" s="908">
        <f>GLOBAL_DER_FEV_2023!F1855</f>
        <v>1.0170999999999999</v>
      </c>
      <c r="G1855" s="949">
        <f>GLOBAL_DER_FEV_2023!G1855</f>
        <v>2.9434874</v>
      </c>
      <c r="H1855" s="901">
        <f>GLOBAL_DER_FEV_2023!H1855</f>
        <v>0</v>
      </c>
      <c r="I1855" s="901">
        <f>GLOBAL_DER_FEV_2023!I1855</f>
        <v>0</v>
      </c>
      <c r="J1855" s="902">
        <f>GLOBAL_DER_FEV_2023!J1855</f>
        <v>0</v>
      </c>
      <c r="K1855" s="903"/>
      <c r="L1855" s="1177"/>
      <c r="M1855" s="1138">
        <f t="shared" si="137"/>
        <v>0</v>
      </c>
      <c r="N1855" s="1176">
        <f t="shared" si="141"/>
        <v>0</v>
      </c>
      <c r="O1855" s="905"/>
      <c r="P1855" s="36" t="str">
        <f>IF(N1852&gt;0,"xx",IF(N1852&gt;0,"xy",""))</f>
        <v/>
      </c>
      <c r="Q1855" s="317" t="str">
        <f t="shared" si="138"/>
        <v/>
      </c>
      <c r="R1855" s="317" t="str">
        <f t="shared" si="139"/>
        <v/>
      </c>
      <c r="S1855" s="317" t="str">
        <f t="shared" si="140"/>
        <v/>
      </c>
      <c r="T1855" s="317" t="str">
        <f>GLOBAL_DER_FEV_2023!S1855</f>
        <v/>
      </c>
      <c r="W1855" s="582">
        <v>0</v>
      </c>
      <c r="X1855" s="580"/>
      <c r="Y1855" s="583">
        <f>IF(GLOBAL_DER_FEV_2023!W1855=0,0,IF(GLOBAL_DER_FEV_2023!W1855&gt;0,"c","b"))</f>
        <v>0</v>
      </c>
    </row>
    <row r="1856" spans="1:25" ht="15" hidden="1" customHeight="1" x14ac:dyDescent="0.2">
      <c r="A1856" s="317">
        <v>620100</v>
      </c>
      <c r="B1856" s="895" t="s">
        <v>1816</v>
      </c>
      <c r="C1856" s="896" t="s">
        <v>184</v>
      </c>
      <c r="D1856" s="906" t="s">
        <v>344</v>
      </c>
      <c r="E1856" s="907">
        <f>GLOBAL_DER_FEV_2023!E1856</f>
        <v>0</v>
      </c>
      <c r="F1856" s="908">
        <f>GLOBAL_DER_FEV_2023!F1856</f>
        <v>0</v>
      </c>
      <c r="G1856" s="912">
        <f>GLOBAL_DER_FEV_2023!G1856</f>
        <v>167.58103040000003</v>
      </c>
      <c r="H1856" s="901">
        <f>GLOBAL_DER_FEV_2023!H1856</f>
        <v>954.15</v>
      </c>
      <c r="I1856" s="901">
        <f>GLOBAL_DER_FEV_2023!I1856</f>
        <v>1121.7310304</v>
      </c>
      <c r="J1856" s="902">
        <f>GLOBAL_DER_FEV_2023!J1856</f>
        <v>1346.86</v>
      </c>
      <c r="K1856" s="903" t="s">
        <v>15</v>
      </c>
      <c r="L1856" s="1137"/>
      <c r="M1856" s="1138">
        <f t="shared" si="137"/>
        <v>0</v>
      </c>
      <c r="N1856" s="1176">
        <f t="shared" si="141"/>
        <v>0</v>
      </c>
      <c r="O1856" s="905"/>
      <c r="Q1856" s="317" t="str">
        <f t="shared" si="138"/>
        <v/>
      </c>
      <c r="R1856" s="317" t="str">
        <f t="shared" si="139"/>
        <v/>
      </c>
      <c r="S1856" s="317" t="str">
        <f t="shared" si="140"/>
        <v/>
      </c>
      <c r="T1856" s="317" t="str">
        <f>GLOBAL_DER_FEV_2023!S1856</f>
        <v/>
      </c>
      <c r="W1856" s="582">
        <v>0</v>
      </c>
      <c r="X1856" s="580"/>
      <c r="Y1856" s="583">
        <f>IF(GLOBAL_DER_FEV_2023!W1856=0,0,IF(GLOBAL_DER_FEV_2023!W1856&gt;0,"c","b"))</f>
        <v>0</v>
      </c>
    </row>
    <row r="1857" spans="1:25" ht="15" hidden="1" customHeight="1" x14ac:dyDescent="0.2">
      <c r="A1857" s="317" t="s">
        <v>147</v>
      </c>
      <c r="B1857" s="895" t="s">
        <v>147</v>
      </c>
      <c r="C1857" s="896"/>
      <c r="D1857" s="906" t="s">
        <v>190</v>
      </c>
      <c r="E1857" s="907">
        <f>GLOBAL_DER_FEV_2023!E1857</f>
        <v>308</v>
      </c>
      <c r="F1857" s="908">
        <f>GLOBAL_DER_FEV_2023!F1857</f>
        <v>0.1978</v>
      </c>
      <c r="G1857" s="909">
        <f>GLOBAL_DER_FEV_2023!G1857</f>
        <v>49.066268000000001</v>
      </c>
      <c r="H1857" s="901">
        <f>GLOBAL_DER_FEV_2023!H1857</f>
        <v>0</v>
      </c>
      <c r="I1857" s="901">
        <f>GLOBAL_DER_FEV_2023!I1857</f>
        <v>0</v>
      </c>
      <c r="J1857" s="902">
        <f>GLOBAL_DER_FEV_2023!J1857</f>
        <v>0</v>
      </c>
      <c r="K1857" s="903"/>
      <c r="L1857" s="1177"/>
      <c r="M1857" s="1138">
        <f t="shared" si="137"/>
        <v>0</v>
      </c>
      <c r="N1857" s="1176">
        <f t="shared" si="141"/>
        <v>0</v>
      </c>
      <c r="O1857" s="905"/>
      <c r="P1857" s="36" t="str">
        <f>IF(N1856&gt;0,"xx",IF(N1856&gt;0,"xy",""))</f>
        <v/>
      </c>
      <c r="Q1857" s="317" t="str">
        <f t="shared" si="138"/>
        <v/>
      </c>
      <c r="R1857" s="317" t="str">
        <f t="shared" si="139"/>
        <v/>
      </c>
      <c r="S1857" s="317" t="str">
        <f t="shared" si="140"/>
        <v/>
      </c>
      <c r="T1857" s="317" t="str">
        <f>GLOBAL_DER_FEV_2023!S1857</f>
        <v/>
      </c>
      <c r="W1857" s="582">
        <v>0</v>
      </c>
      <c r="X1857" s="580"/>
      <c r="Y1857" s="583">
        <f>IF(GLOBAL_DER_FEV_2023!W1857=0,0,IF(GLOBAL_DER_FEV_2023!W1857&gt;0,"c","b"))</f>
        <v>0</v>
      </c>
    </row>
    <row r="1858" spans="1:25" ht="15" hidden="1" customHeight="1" x14ac:dyDescent="0.2">
      <c r="A1858" s="317" t="s">
        <v>147</v>
      </c>
      <c r="B1858" s="895" t="s">
        <v>147</v>
      </c>
      <c r="C1858" s="896"/>
      <c r="D1858" s="906" t="s">
        <v>229</v>
      </c>
      <c r="E1858" s="907">
        <f>GLOBAL_DER_FEV_2023!E1858</f>
        <v>150</v>
      </c>
      <c r="F1858" s="908">
        <f>GLOBAL_DER_FEV_2023!F1858</f>
        <v>0.70350000000000001</v>
      </c>
      <c r="G1858" s="949">
        <f>GLOBAL_DER_FEV_2023!G1858</f>
        <v>114.79713000000001</v>
      </c>
      <c r="H1858" s="901">
        <f>GLOBAL_DER_FEV_2023!H1858</f>
        <v>0</v>
      </c>
      <c r="I1858" s="901">
        <f>GLOBAL_DER_FEV_2023!I1858</f>
        <v>0</v>
      </c>
      <c r="J1858" s="902">
        <f>GLOBAL_DER_FEV_2023!J1858</f>
        <v>0</v>
      </c>
      <c r="K1858" s="903"/>
      <c r="L1858" s="1177"/>
      <c r="M1858" s="1138">
        <f t="shared" si="137"/>
        <v>0</v>
      </c>
      <c r="N1858" s="1176">
        <f t="shared" si="141"/>
        <v>0</v>
      </c>
      <c r="O1858" s="905"/>
      <c r="P1858" s="36" t="str">
        <f>IF(N1856&gt;0,"xx",IF(N1856&gt;0,"xy",""))</f>
        <v/>
      </c>
      <c r="Q1858" s="317" t="str">
        <f t="shared" si="138"/>
        <v/>
      </c>
      <c r="R1858" s="317" t="str">
        <f t="shared" si="139"/>
        <v/>
      </c>
      <c r="S1858" s="317" t="str">
        <f t="shared" si="140"/>
        <v/>
      </c>
      <c r="T1858" s="317" t="str">
        <f>GLOBAL_DER_FEV_2023!S1858</f>
        <v/>
      </c>
      <c r="W1858" s="582">
        <v>0</v>
      </c>
      <c r="X1858" s="580"/>
      <c r="Y1858" s="583">
        <f>IF(GLOBAL_DER_FEV_2023!W1858=0,0,IF(GLOBAL_DER_FEV_2023!W1858&gt;0,"c","b"))</f>
        <v>0</v>
      </c>
    </row>
    <row r="1859" spans="1:25" ht="15" hidden="1" customHeight="1" x14ac:dyDescent="0.2">
      <c r="A1859" s="317" t="s">
        <v>147</v>
      </c>
      <c r="B1859" s="895" t="s">
        <v>147</v>
      </c>
      <c r="C1859" s="896"/>
      <c r="D1859" s="906" t="s">
        <v>233</v>
      </c>
      <c r="E1859" s="907">
        <f>GLOBAL_DER_FEV_2023!E1859</f>
        <v>0.2</v>
      </c>
      <c r="F1859" s="908">
        <f>GLOBAL_DER_FEV_2023!F1859</f>
        <v>1.2846</v>
      </c>
      <c r="G1859" s="949">
        <f>GLOBAL_DER_FEV_2023!G1859</f>
        <v>3.7176324000000003</v>
      </c>
      <c r="H1859" s="901">
        <f>GLOBAL_DER_FEV_2023!H1859</f>
        <v>0</v>
      </c>
      <c r="I1859" s="901">
        <f>GLOBAL_DER_FEV_2023!I1859</f>
        <v>0</v>
      </c>
      <c r="J1859" s="902">
        <f>GLOBAL_DER_FEV_2023!J1859</f>
        <v>0</v>
      </c>
      <c r="K1859" s="903"/>
      <c r="L1859" s="1177"/>
      <c r="M1859" s="1138">
        <f t="shared" si="137"/>
        <v>0</v>
      </c>
      <c r="N1859" s="1176">
        <f t="shared" si="141"/>
        <v>0</v>
      </c>
      <c r="O1859" s="905"/>
      <c r="P1859" s="36" t="str">
        <f>IF(N1856&gt;0,"xx",IF(N1856&gt;0,"xy",""))</f>
        <v/>
      </c>
      <c r="Q1859" s="317" t="str">
        <f t="shared" si="138"/>
        <v/>
      </c>
      <c r="R1859" s="317" t="str">
        <f t="shared" si="139"/>
        <v/>
      </c>
      <c r="S1859" s="317" t="str">
        <f t="shared" si="140"/>
        <v/>
      </c>
      <c r="T1859" s="317" t="str">
        <f>GLOBAL_DER_FEV_2023!S1859</f>
        <v/>
      </c>
      <c r="W1859" s="582">
        <v>0</v>
      </c>
      <c r="X1859" s="580"/>
      <c r="Y1859" s="583">
        <f>IF(GLOBAL_DER_FEV_2023!W1859=0,0,IF(GLOBAL_DER_FEV_2023!W1859&gt;0,"c","b"))</f>
        <v>0</v>
      </c>
    </row>
    <row r="1860" spans="1:25" ht="15" hidden="1" customHeight="1" x14ac:dyDescent="0.2">
      <c r="A1860" s="317">
        <v>620100</v>
      </c>
      <c r="B1860" s="895" t="s">
        <v>1817</v>
      </c>
      <c r="C1860" s="896" t="s">
        <v>184</v>
      </c>
      <c r="D1860" s="906" t="s">
        <v>524</v>
      </c>
      <c r="E1860" s="907">
        <f>GLOBAL_DER_FEV_2023!E1860</f>
        <v>0</v>
      </c>
      <c r="F1860" s="908">
        <f>GLOBAL_DER_FEV_2023!F1860</f>
        <v>0</v>
      </c>
      <c r="G1860" s="912">
        <f>GLOBAL_DER_FEV_2023!G1860</f>
        <v>202.41826639999999</v>
      </c>
      <c r="H1860" s="901">
        <f>GLOBAL_DER_FEV_2023!H1860</f>
        <v>954.15</v>
      </c>
      <c r="I1860" s="901">
        <f>GLOBAL_DER_FEV_2023!I1860</f>
        <v>1156.5682664000001</v>
      </c>
      <c r="J1860" s="902">
        <f>GLOBAL_DER_FEV_2023!J1860</f>
        <v>1388.69</v>
      </c>
      <c r="K1860" s="903" t="s">
        <v>15</v>
      </c>
      <c r="L1860" s="1137"/>
      <c r="M1860" s="1138">
        <f t="shared" si="137"/>
        <v>0</v>
      </c>
      <c r="N1860" s="1176">
        <f t="shared" si="141"/>
        <v>0</v>
      </c>
      <c r="O1860" s="905"/>
      <c r="Q1860" s="317" t="str">
        <f t="shared" si="138"/>
        <v/>
      </c>
      <c r="R1860" s="317" t="str">
        <f t="shared" si="139"/>
        <v/>
      </c>
      <c r="S1860" s="317" t="str">
        <f t="shared" si="140"/>
        <v/>
      </c>
      <c r="T1860" s="317" t="str">
        <f>GLOBAL_DER_FEV_2023!S1860</f>
        <v/>
      </c>
      <c r="W1860" s="582">
        <v>0</v>
      </c>
      <c r="X1860" s="580"/>
      <c r="Y1860" s="583">
        <f>IF(GLOBAL_DER_FEV_2023!W1860=0,0,IF(GLOBAL_DER_FEV_2023!W1860&gt;0,"c","b"))</f>
        <v>0</v>
      </c>
    </row>
    <row r="1861" spans="1:25" ht="15" hidden="1" customHeight="1" x14ac:dyDescent="0.2">
      <c r="A1861" s="317" t="s">
        <v>147</v>
      </c>
      <c r="B1861" s="895" t="s">
        <v>147</v>
      </c>
      <c r="C1861" s="896"/>
      <c r="D1861" s="906" t="s">
        <v>190</v>
      </c>
      <c r="E1861" s="907">
        <f>GLOBAL_DER_FEV_2023!E1861</f>
        <v>308</v>
      </c>
      <c r="F1861" s="908">
        <f>GLOBAL_DER_FEV_2023!F1861</f>
        <v>0.2424</v>
      </c>
      <c r="G1861" s="909">
        <f>GLOBAL_DER_FEV_2023!G1861</f>
        <v>60.129744000000002</v>
      </c>
      <c r="H1861" s="901">
        <f>GLOBAL_DER_FEV_2023!H1861</f>
        <v>0</v>
      </c>
      <c r="I1861" s="901">
        <f>GLOBAL_DER_FEV_2023!I1861</f>
        <v>0</v>
      </c>
      <c r="J1861" s="902">
        <f>GLOBAL_DER_FEV_2023!J1861</f>
        <v>0</v>
      </c>
      <c r="K1861" s="903"/>
      <c r="L1861" s="1177"/>
      <c r="M1861" s="1138">
        <f t="shared" si="137"/>
        <v>0</v>
      </c>
      <c r="N1861" s="1176">
        <f t="shared" si="141"/>
        <v>0</v>
      </c>
      <c r="O1861" s="905"/>
      <c r="P1861" s="36" t="str">
        <f>IF(N1860&gt;0,"xx",IF(N1860&gt;0,"xy",""))</f>
        <v/>
      </c>
      <c r="Q1861" s="317" t="str">
        <f t="shared" si="138"/>
        <v/>
      </c>
      <c r="R1861" s="317" t="str">
        <f t="shared" si="139"/>
        <v/>
      </c>
      <c r="S1861" s="317" t="str">
        <f t="shared" si="140"/>
        <v/>
      </c>
      <c r="T1861" s="317" t="str">
        <f>GLOBAL_DER_FEV_2023!S1861</f>
        <v/>
      </c>
      <c r="W1861" s="582">
        <v>0</v>
      </c>
      <c r="X1861" s="580"/>
      <c r="Y1861" s="583">
        <f>IF(GLOBAL_DER_FEV_2023!W1861=0,0,IF(GLOBAL_DER_FEV_2023!W1861&gt;0,"c","b"))</f>
        <v>0</v>
      </c>
    </row>
    <row r="1862" spans="1:25" ht="15" hidden="1" customHeight="1" x14ac:dyDescent="0.2">
      <c r="A1862" s="317" t="s">
        <v>147</v>
      </c>
      <c r="B1862" s="895" t="s">
        <v>147</v>
      </c>
      <c r="C1862" s="896"/>
      <c r="D1862" s="906" t="s">
        <v>229</v>
      </c>
      <c r="E1862" s="907">
        <f>GLOBAL_DER_FEV_2023!E1862</f>
        <v>150</v>
      </c>
      <c r="F1862" s="908">
        <f>GLOBAL_DER_FEV_2023!F1862</f>
        <v>0.86180000000000001</v>
      </c>
      <c r="G1862" s="949">
        <f>GLOBAL_DER_FEV_2023!G1862</f>
        <v>140.628524</v>
      </c>
      <c r="H1862" s="901">
        <f>GLOBAL_DER_FEV_2023!H1862</f>
        <v>0</v>
      </c>
      <c r="I1862" s="901">
        <f>GLOBAL_DER_FEV_2023!I1862</f>
        <v>0</v>
      </c>
      <c r="J1862" s="902">
        <f>GLOBAL_DER_FEV_2023!J1862</f>
        <v>0</v>
      </c>
      <c r="K1862" s="903"/>
      <c r="L1862" s="1177"/>
      <c r="M1862" s="1138">
        <f t="shared" si="137"/>
        <v>0</v>
      </c>
      <c r="N1862" s="1176">
        <f t="shared" si="141"/>
        <v>0</v>
      </c>
      <c r="O1862" s="905"/>
      <c r="P1862" s="36" t="str">
        <f>IF(N1860&gt;0,"xx",IF(N1860&gt;0,"xy",""))</f>
        <v/>
      </c>
      <c r="Q1862" s="317" t="str">
        <f t="shared" si="138"/>
        <v/>
      </c>
      <c r="R1862" s="317" t="str">
        <f t="shared" si="139"/>
        <v/>
      </c>
      <c r="S1862" s="317" t="str">
        <f t="shared" si="140"/>
        <v/>
      </c>
      <c r="T1862" s="317" t="str">
        <f>GLOBAL_DER_FEV_2023!S1862</f>
        <v/>
      </c>
      <c r="W1862" s="582">
        <v>0</v>
      </c>
      <c r="X1862" s="580"/>
      <c r="Y1862" s="583">
        <f>IF(GLOBAL_DER_FEV_2023!W1862=0,0,IF(GLOBAL_DER_FEV_2023!W1862&gt;0,"c","b"))</f>
        <v>0</v>
      </c>
    </row>
    <row r="1863" spans="1:25" ht="15" hidden="1" customHeight="1" x14ac:dyDescent="0.2">
      <c r="A1863" s="317" t="s">
        <v>147</v>
      </c>
      <c r="B1863" s="895" t="s">
        <v>147</v>
      </c>
      <c r="C1863" s="896"/>
      <c r="D1863" s="906" t="s">
        <v>233</v>
      </c>
      <c r="E1863" s="907">
        <f>GLOBAL_DER_FEV_2023!E1863</f>
        <v>0.2</v>
      </c>
      <c r="F1863" s="908">
        <f>GLOBAL_DER_FEV_2023!F1863</f>
        <v>0.5736</v>
      </c>
      <c r="G1863" s="949">
        <f>GLOBAL_DER_FEV_2023!G1863</f>
        <v>1.6599984000000001</v>
      </c>
      <c r="H1863" s="901">
        <f>GLOBAL_DER_FEV_2023!H1863</f>
        <v>0</v>
      </c>
      <c r="I1863" s="901">
        <f>GLOBAL_DER_FEV_2023!I1863</f>
        <v>0</v>
      </c>
      <c r="J1863" s="902">
        <f>GLOBAL_DER_FEV_2023!J1863</f>
        <v>0</v>
      </c>
      <c r="K1863" s="903"/>
      <c r="L1863" s="1177"/>
      <c r="M1863" s="1138">
        <f t="shared" si="137"/>
        <v>0</v>
      </c>
      <c r="N1863" s="1176">
        <f t="shared" si="141"/>
        <v>0</v>
      </c>
      <c r="O1863" s="905"/>
      <c r="P1863" s="36" t="str">
        <f>IF(N1860&gt;0,"xx",IF(N1860&gt;0,"xy",""))</f>
        <v/>
      </c>
      <c r="Q1863" s="317" t="str">
        <f t="shared" si="138"/>
        <v/>
      </c>
      <c r="R1863" s="317" t="str">
        <f t="shared" si="139"/>
        <v/>
      </c>
      <c r="S1863" s="317" t="str">
        <f t="shared" si="140"/>
        <v/>
      </c>
      <c r="T1863" s="317" t="str">
        <f>GLOBAL_DER_FEV_2023!S1863</f>
        <v/>
      </c>
      <c r="W1863" s="582">
        <v>0</v>
      </c>
      <c r="X1863" s="580"/>
      <c r="Y1863" s="583">
        <f>IF(GLOBAL_DER_FEV_2023!W1863=0,0,IF(GLOBAL_DER_FEV_2023!W1863&gt;0,"c","b"))</f>
        <v>0</v>
      </c>
    </row>
    <row r="1864" spans="1:25" ht="15" hidden="1" customHeight="1" x14ac:dyDescent="0.2">
      <c r="A1864" s="317">
        <v>620200</v>
      </c>
      <c r="B1864" s="895" t="s">
        <v>1820</v>
      </c>
      <c r="C1864" s="896" t="s">
        <v>184</v>
      </c>
      <c r="D1864" s="906" t="s">
        <v>345</v>
      </c>
      <c r="E1864" s="907">
        <f>GLOBAL_DER_FEV_2023!E1864</f>
        <v>0</v>
      </c>
      <c r="F1864" s="908">
        <f>GLOBAL_DER_FEV_2023!F1864</f>
        <v>0</v>
      </c>
      <c r="G1864" s="912">
        <f>GLOBAL_DER_FEV_2023!G1864</f>
        <v>243.00208899999998</v>
      </c>
      <c r="H1864" s="901">
        <f>GLOBAL_DER_FEV_2023!H1864</f>
        <v>1321.46</v>
      </c>
      <c r="I1864" s="901">
        <f>GLOBAL_DER_FEV_2023!I1864</f>
        <v>1564.4620890000001</v>
      </c>
      <c r="J1864" s="902">
        <f>GLOBAL_DER_FEV_2023!J1864</f>
        <v>1878.45</v>
      </c>
      <c r="K1864" s="903" t="s">
        <v>15</v>
      </c>
      <c r="L1864" s="1137"/>
      <c r="M1864" s="1138">
        <f t="shared" si="137"/>
        <v>0</v>
      </c>
      <c r="N1864" s="1176">
        <f t="shared" si="141"/>
        <v>0</v>
      </c>
      <c r="O1864" s="905"/>
      <c r="Q1864" s="317" t="str">
        <f t="shared" si="138"/>
        <v/>
      </c>
      <c r="R1864" s="317" t="str">
        <f t="shared" si="139"/>
        <v/>
      </c>
      <c r="S1864" s="317" t="str">
        <f t="shared" si="140"/>
        <v/>
      </c>
      <c r="T1864" s="317" t="str">
        <f>GLOBAL_DER_FEV_2023!S1864</f>
        <v/>
      </c>
      <c r="W1864" s="582">
        <v>0</v>
      </c>
      <c r="X1864" s="580"/>
      <c r="Y1864" s="583">
        <f>IF(GLOBAL_DER_FEV_2023!W1864=0,0,IF(GLOBAL_DER_FEV_2023!W1864&gt;0,"c","b"))</f>
        <v>0</v>
      </c>
    </row>
    <row r="1865" spans="1:25" ht="15" hidden="1" customHeight="1" x14ac:dyDescent="0.2">
      <c r="A1865" s="317" t="s">
        <v>147</v>
      </c>
      <c r="B1865" s="895" t="s">
        <v>147</v>
      </c>
      <c r="C1865" s="896"/>
      <c r="D1865" s="906" t="s">
        <v>190</v>
      </c>
      <c r="E1865" s="907">
        <f>GLOBAL_DER_FEV_2023!E1865</f>
        <v>308</v>
      </c>
      <c r="F1865" s="908">
        <f>GLOBAL_DER_FEV_2023!F1865</f>
        <v>0.28689999999999999</v>
      </c>
      <c r="G1865" s="909">
        <f>GLOBAL_DER_FEV_2023!G1865</f>
        <v>71.168413999999999</v>
      </c>
      <c r="H1865" s="901">
        <f>GLOBAL_DER_FEV_2023!H1865</f>
        <v>0</v>
      </c>
      <c r="I1865" s="901">
        <f>GLOBAL_DER_FEV_2023!I1865</f>
        <v>0</v>
      </c>
      <c r="J1865" s="902">
        <f>GLOBAL_DER_FEV_2023!J1865</f>
        <v>0</v>
      </c>
      <c r="K1865" s="903"/>
      <c r="L1865" s="1177"/>
      <c r="M1865" s="1138">
        <f t="shared" si="137"/>
        <v>0</v>
      </c>
      <c r="N1865" s="1176">
        <f t="shared" si="141"/>
        <v>0</v>
      </c>
      <c r="O1865" s="905"/>
      <c r="P1865" s="36" t="str">
        <f>IF(N1864&gt;0,"xx",IF(N1864&gt;0,"xy",""))</f>
        <v/>
      </c>
      <c r="Q1865" s="317" t="str">
        <f t="shared" si="138"/>
        <v/>
      </c>
      <c r="R1865" s="317" t="str">
        <f t="shared" si="139"/>
        <v/>
      </c>
      <c r="S1865" s="317" t="str">
        <f t="shared" si="140"/>
        <v/>
      </c>
      <c r="T1865" s="317" t="str">
        <f>GLOBAL_DER_FEV_2023!S1865</f>
        <v/>
      </c>
      <c r="W1865" s="582">
        <v>0</v>
      </c>
      <c r="X1865" s="580"/>
      <c r="Y1865" s="583">
        <f>IF(GLOBAL_DER_FEV_2023!W1865=0,0,IF(GLOBAL_DER_FEV_2023!W1865&gt;0,"c","b"))</f>
        <v>0</v>
      </c>
    </row>
    <row r="1866" spans="1:25" ht="15" hidden="1" customHeight="1" x14ac:dyDescent="0.2">
      <c r="A1866" s="317" t="s">
        <v>147</v>
      </c>
      <c r="B1866" s="895" t="s">
        <v>147</v>
      </c>
      <c r="C1866" s="896"/>
      <c r="D1866" s="906" t="s">
        <v>229</v>
      </c>
      <c r="E1866" s="907">
        <f>GLOBAL_DER_FEV_2023!E1866</f>
        <v>150</v>
      </c>
      <c r="F1866" s="908">
        <f>GLOBAL_DER_FEV_2023!F1866</f>
        <v>1.02</v>
      </c>
      <c r="G1866" s="949">
        <f>GLOBAL_DER_FEV_2023!G1866</f>
        <v>166.4436</v>
      </c>
      <c r="H1866" s="901">
        <f>GLOBAL_DER_FEV_2023!H1866</f>
        <v>0</v>
      </c>
      <c r="I1866" s="901">
        <f>GLOBAL_DER_FEV_2023!I1866</f>
        <v>0</v>
      </c>
      <c r="J1866" s="902">
        <f>GLOBAL_DER_FEV_2023!J1866</f>
        <v>0</v>
      </c>
      <c r="K1866" s="903"/>
      <c r="L1866" s="1177"/>
      <c r="M1866" s="1138">
        <f t="shared" si="137"/>
        <v>0</v>
      </c>
      <c r="N1866" s="1176">
        <f t="shared" si="141"/>
        <v>0</v>
      </c>
      <c r="O1866" s="905"/>
      <c r="P1866" s="36" t="str">
        <f>IF(N1864&gt;0,"xx",IF(N1864&gt;0,"xy",""))</f>
        <v/>
      </c>
      <c r="Q1866" s="317" t="str">
        <f t="shared" si="138"/>
        <v/>
      </c>
      <c r="R1866" s="317" t="str">
        <f t="shared" si="139"/>
        <v/>
      </c>
      <c r="S1866" s="317" t="str">
        <f t="shared" si="140"/>
        <v/>
      </c>
      <c r="T1866" s="317" t="str">
        <f>GLOBAL_DER_FEV_2023!S1866</f>
        <v/>
      </c>
      <c r="W1866" s="582">
        <v>0</v>
      </c>
      <c r="X1866" s="580"/>
      <c r="Y1866" s="583">
        <f>IF(GLOBAL_DER_FEV_2023!W1866=0,0,IF(GLOBAL_DER_FEV_2023!W1866&gt;0,"c","b"))</f>
        <v>0</v>
      </c>
    </row>
    <row r="1867" spans="1:25" ht="15" hidden="1" customHeight="1" x14ac:dyDescent="0.2">
      <c r="A1867" s="317" t="s">
        <v>147</v>
      </c>
      <c r="B1867" s="895" t="s">
        <v>147</v>
      </c>
      <c r="C1867" s="896"/>
      <c r="D1867" s="906" t="s">
        <v>233</v>
      </c>
      <c r="E1867" s="907">
        <f>GLOBAL_DER_FEV_2023!E1867</f>
        <v>0.2</v>
      </c>
      <c r="F1867" s="908">
        <f>GLOBAL_DER_FEV_2023!F1867</f>
        <v>1.8625</v>
      </c>
      <c r="G1867" s="949">
        <f>GLOBAL_DER_FEV_2023!G1867</f>
        <v>5.3900750000000004</v>
      </c>
      <c r="H1867" s="901">
        <f>GLOBAL_DER_FEV_2023!H1867</f>
        <v>0</v>
      </c>
      <c r="I1867" s="901">
        <f>GLOBAL_DER_FEV_2023!I1867</f>
        <v>0</v>
      </c>
      <c r="J1867" s="902">
        <f>GLOBAL_DER_FEV_2023!J1867</f>
        <v>0</v>
      </c>
      <c r="K1867" s="903"/>
      <c r="L1867" s="1177"/>
      <c r="M1867" s="1138">
        <f t="shared" si="137"/>
        <v>0</v>
      </c>
      <c r="N1867" s="1176">
        <f t="shared" si="141"/>
        <v>0</v>
      </c>
      <c r="O1867" s="905"/>
      <c r="P1867" s="36" t="str">
        <f>IF(N1864&gt;0,"xx",IF(N1864&gt;0,"xy",""))</f>
        <v/>
      </c>
      <c r="Q1867" s="317" t="str">
        <f t="shared" si="138"/>
        <v/>
      </c>
      <c r="R1867" s="317" t="str">
        <f t="shared" si="139"/>
        <v/>
      </c>
      <c r="S1867" s="317" t="str">
        <f t="shared" si="140"/>
        <v/>
      </c>
      <c r="T1867" s="317" t="str">
        <f>GLOBAL_DER_FEV_2023!S1867</f>
        <v/>
      </c>
      <c r="W1867" s="582">
        <v>0</v>
      </c>
      <c r="X1867" s="580"/>
      <c r="Y1867" s="583">
        <f>IF(GLOBAL_DER_FEV_2023!W1867=0,0,IF(GLOBAL_DER_FEV_2023!W1867&gt;0,"c","b"))</f>
        <v>0</v>
      </c>
    </row>
    <row r="1868" spans="1:25" ht="15" hidden="1" customHeight="1" x14ac:dyDescent="0.2">
      <c r="A1868" s="317">
        <v>620300</v>
      </c>
      <c r="B1868" s="895">
        <v>620300</v>
      </c>
      <c r="C1868" s="896" t="s">
        <v>184</v>
      </c>
      <c r="D1868" s="906" t="s">
        <v>346</v>
      </c>
      <c r="E1868" s="907">
        <f>GLOBAL_DER_FEV_2023!E1868</f>
        <v>0</v>
      </c>
      <c r="F1868" s="908">
        <f>GLOBAL_DER_FEV_2023!F1868</f>
        <v>0</v>
      </c>
      <c r="G1868" s="912">
        <f>GLOBAL_DER_FEV_2023!G1868</f>
        <v>364.6747934</v>
      </c>
      <c r="H1868" s="901">
        <f>GLOBAL_DER_FEV_2023!H1868</f>
        <v>1880.07</v>
      </c>
      <c r="I1868" s="901">
        <f>GLOBAL_DER_FEV_2023!I1868</f>
        <v>2244.7447934000002</v>
      </c>
      <c r="J1868" s="902">
        <f>GLOBAL_DER_FEV_2023!J1868</f>
        <v>2695.27</v>
      </c>
      <c r="K1868" s="903" t="s">
        <v>15</v>
      </c>
      <c r="L1868" s="1137"/>
      <c r="M1868" s="1138">
        <f t="shared" si="137"/>
        <v>0</v>
      </c>
      <c r="N1868" s="1176">
        <f t="shared" si="141"/>
        <v>0</v>
      </c>
      <c r="O1868" s="905"/>
      <c r="Q1868" s="317" t="str">
        <f t="shared" si="138"/>
        <v/>
      </c>
      <c r="R1868" s="317" t="str">
        <f t="shared" si="139"/>
        <v/>
      </c>
      <c r="S1868" s="317" t="str">
        <f t="shared" si="140"/>
        <v/>
      </c>
      <c r="T1868" s="317" t="str">
        <f>GLOBAL_DER_FEV_2023!S1868</f>
        <v/>
      </c>
      <c r="W1868" s="582">
        <v>0</v>
      </c>
      <c r="X1868" s="580"/>
      <c r="Y1868" s="583">
        <f>IF(GLOBAL_DER_FEV_2023!W1868=0,0,IF(GLOBAL_DER_FEV_2023!W1868&gt;0,"c","b"))</f>
        <v>0</v>
      </c>
    </row>
    <row r="1869" spans="1:25" ht="15" hidden="1" customHeight="1" x14ac:dyDescent="0.2">
      <c r="A1869" s="317" t="s">
        <v>147</v>
      </c>
      <c r="B1869" s="895" t="s">
        <v>147</v>
      </c>
      <c r="C1869" s="896"/>
      <c r="D1869" s="906" t="s">
        <v>190</v>
      </c>
      <c r="E1869" s="907">
        <f>GLOBAL_DER_FEV_2023!E1869</f>
        <v>308</v>
      </c>
      <c r="F1869" s="908">
        <f>GLOBAL_DER_FEV_2023!F1869</f>
        <v>0.43049999999999999</v>
      </c>
      <c r="G1869" s="909">
        <f>GLOBAL_DER_FEV_2023!G1869</f>
        <v>106.78982999999999</v>
      </c>
      <c r="H1869" s="901">
        <f>GLOBAL_DER_FEV_2023!H1869</f>
        <v>0</v>
      </c>
      <c r="I1869" s="901">
        <f>GLOBAL_DER_FEV_2023!I1869</f>
        <v>0</v>
      </c>
      <c r="J1869" s="902">
        <f>GLOBAL_DER_FEV_2023!J1869</f>
        <v>0</v>
      </c>
      <c r="K1869" s="903"/>
      <c r="L1869" s="1177"/>
      <c r="M1869" s="1138">
        <f t="shared" si="137"/>
        <v>0</v>
      </c>
      <c r="N1869" s="1176">
        <f t="shared" si="141"/>
        <v>0</v>
      </c>
      <c r="O1869" s="905"/>
      <c r="P1869" s="36" t="str">
        <f>IF(N1868&gt;0,"xx",IF(N1868&gt;0,"xy",""))</f>
        <v/>
      </c>
      <c r="Q1869" s="317" t="str">
        <f t="shared" si="138"/>
        <v/>
      </c>
      <c r="R1869" s="317" t="str">
        <f t="shared" si="139"/>
        <v/>
      </c>
      <c r="S1869" s="317" t="str">
        <f t="shared" si="140"/>
        <v/>
      </c>
      <c r="T1869" s="317" t="str">
        <f>GLOBAL_DER_FEV_2023!S1869</f>
        <v/>
      </c>
      <c r="W1869" s="582">
        <v>0</v>
      </c>
      <c r="X1869" s="580"/>
      <c r="Y1869" s="583">
        <f>IF(GLOBAL_DER_FEV_2023!W1869=0,0,IF(GLOBAL_DER_FEV_2023!W1869&gt;0,"c","b"))</f>
        <v>0</v>
      </c>
    </row>
    <row r="1870" spans="1:25" ht="15" hidden="1" customHeight="1" x14ac:dyDescent="0.2">
      <c r="A1870" s="317" t="s">
        <v>147</v>
      </c>
      <c r="B1870" s="895" t="s">
        <v>147</v>
      </c>
      <c r="C1870" s="896"/>
      <c r="D1870" s="906" t="s">
        <v>229</v>
      </c>
      <c r="E1870" s="907">
        <f>GLOBAL_DER_FEV_2023!E1870</f>
        <v>150</v>
      </c>
      <c r="F1870" s="908">
        <f>GLOBAL_DER_FEV_2023!F1870</f>
        <v>1.5307999999999999</v>
      </c>
      <c r="G1870" s="949">
        <f>GLOBAL_DER_FEV_2023!G1870</f>
        <v>249.79594399999999</v>
      </c>
      <c r="H1870" s="901">
        <f>GLOBAL_DER_FEV_2023!H1870</f>
        <v>0</v>
      </c>
      <c r="I1870" s="901">
        <f>GLOBAL_DER_FEV_2023!I1870</f>
        <v>0</v>
      </c>
      <c r="J1870" s="902">
        <f>GLOBAL_DER_FEV_2023!J1870</f>
        <v>0</v>
      </c>
      <c r="K1870" s="903"/>
      <c r="L1870" s="1177"/>
      <c r="M1870" s="1138">
        <f t="shared" si="137"/>
        <v>0</v>
      </c>
      <c r="N1870" s="1176">
        <f t="shared" si="141"/>
        <v>0</v>
      </c>
      <c r="O1870" s="905"/>
      <c r="P1870" s="36" t="str">
        <f>IF(N1868&gt;0,"xx",IF(N1868&gt;0,"xy",""))</f>
        <v/>
      </c>
      <c r="Q1870" s="317" t="str">
        <f t="shared" si="138"/>
        <v/>
      </c>
      <c r="R1870" s="317" t="str">
        <f t="shared" si="139"/>
        <v/>
      </c>
      <c r="S1870" s="317" t="str">
        <f t="shared" si="140"/>
        <v/>
      </c>
      <c r="T1870" s="317" t="str">
        <f>GLOBAL_DER_FEV_2023!S1870</f>
        <v/>
      </c>
      <c r="W1870" s="582">
        <v>0</v>
      </c>
      <c r="X1870" s="580"/>
      <c r="Y1870" s="583">
        <f>IF(GLOBAL_DER_FEV_2023!W1870=0,0,IF(GLOBAL_DER_FEV_2023!W1870&gt;0,"c","b"))</f>
        <v>0</v>
      </c>
    </row>
    <row r="1871" spans="1:25" ht="15" hidden="1" customHeight="1" x14ac:dyDescent="0.2">
      <c r="A1871" s="317" t="s">
        <v>147</v>
      </c>
      <c r="B1871" s="895" t="s">
        <v>147</v>
      </c>
      <c r="C1871" s="896"/>
      <c r="D1871" s="906" t="s">
        <v>233</v>
      </c>
      <c r="E1871" s="907">
        <f>GLOBAL_DER_FEV_2023!E1871</f>
        <v>0.2</v>
      </c>
      <c r="F1871" s="908">
        <f>GLOBAL_DER_FEV_2023!F1871</f>
        <v>2.7951000000000001</v>
      </c>
      <c r="G1871" s="949">
        <f>GLOBAL_DER_FEV_2023!G1871</f>
        <v>8.0890194000000015</v>
      </c>
      <c r="H1871" s="901">
        <f>GLOBAL_DER_FEV_2023!H1871</f>
        <v>0</v>
      </c>
      <c r="I1871" s="901">
        <f>GLOBAL_DER_FEV_2023!I1871</f>
        <v>0</v>
      </c>
      <c r="J1871" s="902">
        <f>GLOBAL_DER_FEV_2023!J1871</f>
        <v>0</v>
      </c>
      <c r="K1871" s="903"/>
      <c r="L1871" s="1177"/>
      <c r="M1871" s="1138">
        <f t="shared" si="137"/>
        <v>0</v>
      </c>
      <c r="N1871" s="1176">
        <f t="shared" si="141"/>
        <v>0</v>
      </c>
      <c r="O1871" s="905"/>
      <c r="P1871" s="36" t="str">
        <f>IF(N1868&gt;0,"xx",IF(N1868&gt;0,"xy",""))</f>
        <v/>
      </c>
      <c r="Q1871" s="317" t="str">
        <f t="shared" si="138"/>
        <v/>
      </c>
      <c r="R1871" s="317" t="str">
        <f t="shared" si="139"/>
        <v/>
      </c>
      <c r="S1871" s="317" t="str">
        <f t="shared" si="140"/>
        <v/>
      </c>
      <c r="T1871" s="317" t="str">
        <f>GLOBAL_DER_FEV_2023!S1871</f>
        <v/>
      </c>
      <c r="W1871" s="582">
        <v>0</v>
      </c>
      <c r="X1871" s="580"/>
      <c r="Y1871" s="583">
        <f>IF(GLOBAL_DER_FEV_2023!W1871=0,0,IF(GLOBAL_DER_FEV_2023!W1871&gt;0,"c","b"))</f>
        <v>0</v>
      </c>
    </row>
    <row r="1872" spans="1:25" ht="15" hidden="1" customHeight="1" x14ac:dyDescent="0.2">
      <c r="A1872" s="317">
        <v>620400</v>
      </c>
      <c r="B1872" s="895">
        <v>620400</v>
      </c>
      <c r="C1872" s="896" t="s">
        <v>184</v>
      </c>
      <c r="D1872" s="906" t="s">
        <v>347</v>
      </c>
      <c r="E1872" s="907">
        <f>GLOBAL_DER_FEV_2023!E1872</f>
        <v>0</v>
      </c>
      <c r="F1872" s="908">
        <f>GLOBAL_DER_FEV_2023!F1872</f>
        <v>0</v>
      </c>
      <c r="G1872" s="912">
        <f>GLOBAL_DER_FEV_2023!G1872</f>
        <v>492.41287280000006</v>
      </c>
      <c r="H1872" s="901">
        <f>GLOBAL_DER_FEV_2023!H1872</f>
        <v>2407.5300000000002</v>
      </c>
      <c r="I1872" s="901">
        <f>GLOBAL_DER_FEV_2023!I1872</f>
        <v>2899.9428728000003</v>
      </c>
      <c r="J1872" s="902">
        <f>GLOBAL_DER_FEV_2023!J1872</f>
        <v>3481.96</v>
      </c>
      <c r="K1872" s="903" t="s">
        <v>15</v>
      </c>
      <c r="L1872" s="1137"/>
      <c r="M1872" s="1138">
        <f t="shared" si="137"/>
        <v>0</v>
      </c>
      <c r="N1872" s="1176">
        <f t="shared" si="141"/>
        <v>0</v>
      </c>
      <c r="O1872" s="905"/>
      <c r="Q1872" s="317" t="str">
        <f t="shared" si="138"/>
        <v/>
      </c>
      <c r="R1872" s="317" t="str">
        <f t="shared" si="139"/>
        <v/>
      </c>
      <c r="S1872" s="317" t="str">
        <f t="shared" si="140"/>
        <v/>
      </c>
      <c r="T1872" s="317" t="str">
        <f>GLOBAL_DER_FEV_2023!S1872</f>
        <v/>
      </c>
      <c r="W1872" s="582">
        <v>0</v>
      </c>
      <c r="X1872" s="580"/>
      <c r="Y1872" s="583">
        <f>IF(GLOBAL_DER_FEV_2023!W1872=0,0,IF(GLOBAL_DER_FEV_2023!W1872&gt;0,"c","b"))</f>
        <v>0</v>
      </c>
    </row>
    <row r="1873" spans="1:25" ht="15" hidden="1" customHeight="1" x14ac:dyDescent="0.2">
      <c r="A1873" s="317" t="s">
        <v>147</v>
      </c>
      <c r="B1873" s="895" t="s">
        <v>147</v>
      </c>
      <c r="C1873" s="896"/>
      <c r="D1873" s="906" t="s">
        <v>190</v>
      </c>
      <c r="E1873" s="907">
        <f>GLOBAL_DER_FEV_2023!E1873</f>
        <v>308</v>
      </c>
      <c r="F1873" s="908">
        <f>GLOBAL_DER_FEV_2023!F1873</f>
        <v>0.58130000000000004</v>
      </c>
      <c r="G1873" s="909">
        <f>GLOBAL_DER_FEV_2023!G1873</f>
        <v>144.19727800000001</v>
      </c>
      <c r="H1873" s="901">
        <f>GLOBAL_DER_FEV_2023!H1873</f>
        <v>0</v>
      </c>
      <c r="I1873" s="901">
        <f>GLOBAL_DER_FEV_2023!I1873</f>
        <v>0</v>
      </c>
      <c r="J1873" s="902">
        <f>GLOBAL_DER_FEV_2023!J1873</f>
        <v>0</v>
      </c>
      <c r="K1873" s="903"/>
      <c r="L1873" s="1177"/>
      <c r="M1873" s="1138">
        <f t="shared" si="137"/>
        <v>0</v>
      </c>
      <c r="N1873" s="1176">
        <f t="shared" si="141"/>
        <v>0</v>
      </c>
      <c r="O1873" s="905"/>
      <c r="P1873" s="36" t="str">
        <f>IF(N1872&gt;0,"xx",IF(N1872&gt;0,"xy",""))</f>
        <v/>
      </c>
      <c r="Q1873" s="317" t="str">
        <f t="shared" si="138"/>
        <v/>
      </c>
      <c r="R1873" s="317" t="str">
        <f t="shared" si="139"/>
        <v/>
      </c>
      <c r="S1873" s="317" t="str">
        <f t="shared" si="140"/>
        <v/>
      </c>
      <c r="T1873" s="317" t="str">
        <f>GLOBAL_DER_FEV_2023!S1873</f>
        <v/>
      </c>
      <c r="W1873" s="582">
        <v>0</v>
      </c>
      <c r="X1873" s="580"/>
      <c r="Y1873" s="583">
        <f>IF(GLOBAL_DER_FEV_2023!W1873=0,0,IF(GLOBAL_DER_FEV_2023!W1873&gt;0,"c","b"))</f>
        <v>0</v>
      </c>
    </row>
    <row r="1874" spans="1:25" ht="15" hidden="1" customHeight="1" x14ac:dyDescent="0.2">
      <c r="A1874" s="317" t="s">
        <v>147</v>
      </c>
      <c r="B1874" s="895" t="s">
        <v>147</v>
      </c>
      <c r="C1874" s="896"/>
      <c r="D1874" s="906" t="s">
        <v>229</v>
      </c>
      <c r="E1874" s="907">
        <f>GLOBAL_DER_FEV_2023!E1874</f>
        <v>150</v>
      </c>
      <c r="F1874" s="908">
        <f>GLOBAL_DER_FEV_2023!F1874</f>
        <v>2.0670000000000002</v>
      </c>
      <c r="G1874" s="949">
        <f>GLOBAL_DER_FEV_2023!G1874</f>
        <v>337.29306000000003</v>
      </c>
      <c r="H1874" s="901">
        <f>GLOBAL_DER_FEV_2023!H1874</f>
        <v>0</v>
      </c>
      <c r="I1874" s="901">
        <f>GLOBAL_DER_FEV_2023!I1874</f>
        <v>0</v>
      </c>
      <c r="J1874" s="902">
        <f>GLOBAL_DER_FEV_2023!J1874</f>
        <v>0</v>
      </c>
      <c r="K1874" s="903"/>
      <c r="L1874" s="1177"/>
      <c r="M1874" s="1138">
        <f t="shared" ref="M1874:M1937" si="142">IF(L1874=0,0,ROUND(J1874,2))</f>
        <v>0</v>
      </c>
      <c r="N1874" s="1176">
        <f t="shared" si="141"/>
        <v>0</v>
      </c>
      <c r="O1874" s="905"/>
      <c r="P1874" s="36" t="str">
        <f>IF(N1872&gt;0,"xx",IF(N1872&gt;0,"xy",""))</f>
        <v/>
      </c>
      <c r="Q1874" s="317" t="str">
        <f t="shared" si="138"/>
        <v/>
      </c>
      <c r="R1874" s="317" t="str">
        <f t="shared" si="139"/>
        <v/>
      </c>
      <c r="S1874" s="317" t="str">
        <f t="shared" si="140"/>
        <v/>
      </c>
      <c r="T1874" s="317" t="str">
        <f>GLOBAL_DER_FEV_2023!S1874</f>
        <v/>
      </c>
      <c r="W1874" s="582">
        <v>0</v>
      </c>
      <c r="X1874" s="580"/>
      <c r="Y1874" s="583">
        <f>IF(GLOBAL_DER_FEV_2023!W1874=0,0,IF(GLOBAL_DER_FEV_2023!W1874&gt;0,"c","b"))</f>
        <v>0</v>
      </c>
    </row>
    <row r="1875" spans="1:25" ht="15" hidden="1" customHeight="1" x14ac:dyDescent="0.2">
      <c r="A1875" s="317" t="s">
        <v>147</v>
      </c>
      <c r="B1875" s="895" t="s">
        <v>147</v>
      </c>
      <c r="C1875" s="896"/>
      <c r="D1875" s="906" t="s">
        <v>233</v>
      </c>
      <c r="E1875" s="907">
        <f>GLOBAL_DER_FEV_2023!E1875</f>
        <v>0.2</v>
      </c>
      <c r="F1875" s="908">
        <f>GLOBAL_DER_FEV_2023!F1875</f>
        <v>3.7742</v>
      </c>
      <c r="G1875" s="949">
        <f>GLOBAL_DER_FEV_2023!G1875</f>
        <v>10.922534800000001</v>
      </c>
      <c r="H1875" s="901">
        <f>GLOBAL_DER_FEV_2023!H1875</f>
        <v>0</v>
      </c>
      <c r="I1875" s="901">
        <f>GLOBAL_DER_FEV_2023!I1875</f>
        <v>0</v>
      </c>
      <c r="J1875" s="902">
        <f>GLOBAL_DER_FEV_2023!J1875</f>
        <v>0</v>
      </c>
      <c r="K1875" s="903"/>
      <c r="L1875" s="1177"/>
      <c r="M1875" s="1138">
        <f t="shared" si="142"/>
        <v>0</v>
      </c>
      <c r="N1875" s="1176">
        <f t="shared" si="141"/>
        <v>0</v>
      </c>
      <c r="O1875" s="905"/>
      <c r="P1875" s="36" t="str">
        <f>IF(N1872&gt;0,"xx",IF(N1872&gt;0,"xy",""))</f>
        <v/>
      </c>
      <c r="Q1875" s="317" t="str">
        <f t="shared" si="138"/>
        <v/>
      </c>
      <c r="R1875" s="317" t="str">
        <f t="shared" si="139"/>
        <v/>
      </c>
      <c r="S1875" s="317" t="str">
        <f t="shared" si="140"/>
        <v/>
      </c>
      <c r="T1875" s="317" t="str">
        <f>GLOBAL_DER_FEV_2023!S1875</f>
        <v/>
      </c>
      <c r="W1875" s="582">
        <v>0</v>
      </c>
      <c r="X1875" s="580"/>
      <c r="Y1875" s="583">
        <f>IF(GLOBAL_DER_FEV_2023!W1875=0,0,IF(GLOBAL_DER_FEV_2023!W1875&gt;0,"c","b"))</f>
        <v>0</v>
      </c>
    </row>
    <row r="1876" spans="1:25" ht="15" hidden="1" customHeight="1" x14ac:dyDescent="0.2">
      <c r="A1876" s="317">
        <v>620500</v>
      </c>
      <c r="B1876" s="895">
        <v>620500</v>
      </c>
      <c r="C1876" s="896" t="s">
        <v>184</v>
      </c>
      <c r="D1876" s="906" t="s">
        <v>348</v>
      </c>
      <c r="E1876" s="907">
        <f>GLOBAL_DER_FEV_2023!E1876</f>
        <v>0</v>
      </c>
      <c r="F1876" s="908">
        <f>GLOBAL_DER_FEV_2023!F1876</f>
        <v>0</v>
      </c>
      <c r="G1876" s="912">
        <f>GLOBAL_DER_FEV_2023!G1876</f>
        <v>988.6957106000001</v>
      </c>
      <c r="H1876" s="901">
        <f>GLOBAL_DER_FEV_2023!H1876</f>
        <v>4302.26</v>
      </c>
      <c r="I1876" s="901">
        <f>GLOBAL_DER_FEV_2023!I1876</f>
        <v>5290.9557106000002</v>
      </c>
      <c r="J1876" s="902">
        <f>GLOBAL_DER_FEV_2023!J1876</f>
        <v>6352.85</v>
      </c>
      <c r="K1876" s="903" t="s">
        <v>15</v>
      </c>
      <c r="L1876" s="1137"/>
      <c r="M1876" s="1138">
        <f t="shared" si="142"/>
        <v>0</v>
      </c>
      <c r="N1876" s="1176">
        <f t="shared" si="141"/>
        <v>0</v>
      </c>
      <c r="O1876" s="905"/>
      <c r="Q1876" s="317" t="str">
        <f t="shared" si="138"/>
        <v/>
      </c>
      <c r="R1876" s="317" t="str">
        <f t="shared" si="139"/>
        <v/>
      </c>
      <c r="S1876" s="317" t="str">
        <f t="shared" si="140"/>
        <v/>
      </c>
      <c r="T1876" s="317" t="str">
        <f>GLOBAL_DER_FEV_2023!S1876</f>
        <v/>
      </c>
      <c r="W1876" s="582">
        <v>0</v>
      </c>
      <c r="X1876" s="580"/>
      <c r="Y1876" s="583">
        <f>IF(GLOBAL_DER_FEV_2023!W1876=0,0,IF(GLOBAL_DER_FEV_2023!W1876&gt;0,"c","b"))</f>
        <v>0</v>
      </c>
    </row>
    <row r="1877" spans="1:25" ht="15" hidden="1" customHeight="1" x14ac:dyDescent="0.2">
      <c r="A1877" s="317" t="s">
        <v>147</v>
      </c>
      <c r="B1877" s="895" t="s">
        <v>147</v>
      </c>
      <c r="C1877" s="896"/>
      <c r="D1877" s="906" t="s">
        <v>190</v>
      </c>
      <c r="E1877" s="907">
        <f>GLOBAL_DER_FEV_2023!E1877</f>
        <v>308</v>
      </c>
      <c r="F1877" s="908">
        <f>GLOBAL_DER_FEV_2023!F1877</f>
        <v>1.1672</v>
      </c>
      <c r="G1877" s="909">
        <f>GLOBAL_DER_FEV_2023!G1877</f>
        <v>289.53563200000002</v>
      </c>
      <c r="H1877" s="901">
        <f>GLOBAL_DER_FEV_2023!H1877</f>
        <v>0</v>
      </c>
      <c r="I1877" s="901">
        <f>GLOBAL_DER_FEV_2023!I1877</f>
        <v>0</v>
      </c>
      <c r="J1877" s="902">
        <f>GLOBAL_DER_FEV_2023!J1877</f>
        <v>0</v>
      </c>
      <c r="K1877" s="903"/>
      <c r="L1877" s="1177"/>
      <c r="M1877" s="1138">
        <f t="shared" si="142"/>
        <v>0</v>
      </c>
      <c r="N1877" s="1176">
        <f t="shared" si="141"/>
        <v>0</v>
      </c>
      <c r="O1877" s="905"/>
      <c r="P1877" s="36" t="str">
        <f>IF(N1876&gt;0,"xx",IF(N1876&gt;0,"xy",""))</f>
        <v/>
      </c>
      <c r="Q1877" s="317" t="str">
        <f t="shared" si="138"/>
        <v/>
      </c>
      <c r="R1877" s="317" t="str">
        <f t="shared" si="139"/>
        <v/>
      </c>
      <c r="S1877" s="317" t="str">
        <f t="shared" si="140"/>
        <v/>
      </c>
      <c r="T1877" s="317" t="str">
        <f>GLOBAL_DER_FEV_2023!S1877</f>
        <v/>
      </c>
      <c r="W1877" s="582">
        <v>0</v>
      </c>
      <c r="X1877" s="580"/>
      <c r="Y1877" s="583">
        <f>IF(GLOBAL_DER_FEV_2023!W1877=0,0,IF(GLOBAL_DER_FEV_2023!W1877&gt;0,"c","b"))</f>
        <v>0</v>
      </c>
    </row>
    <row r="1878" spans="1:25" ht="15" hidden="1" customHeight="1" x14ac:dyDescent="0.2">
      <c r="A1878" s="317" t="s">
        <v>147</v>
      </c>
      <c r="B1878" s="895" t="s">
        <v>147</v>
      </c>
      <c r="C1878" s="896"/>
      <c r="D1878" s="906" t="s">
        <v>229</v>
      </c>
      <c r="E1878" s="907">
        <f>GLOBAL_DER_FEV_2023!E1878</f>
        <v>150</v>
      </c>
      <c r="F1878" s="908">
        <f>GLOBAL_DER_FEV_2023!F1878</f>
        <v>4.1501999999999999</v>
      </c>
      <c r="G1878" s="949">
        <f>GLOBAL_DER_FEV_2023!G1878</f>
        <v>677.22963600000003</v>
      </c>
      <c r="H1878" s="901">
        <f>GLOBAL_DER_FEV_2023!H1878</f>
        <v>0</v>
      </c>
      <c r="I1878" s="901">
        <f>GLOBAL_DER_FEV_2023!I1878</f>
        <v>0</v>
      </c>
      <c r="J1878" s="902">
        <f>GLOBAL_DER_FEV_2023!J1878</f>
        <v>0</v>
      </c>
      <c r="K1878" s="903"/>
      <c r="L1878" s="1177"/>
      <c r="M1878" s="1138">
        <f t="shared" si="142"/>
        <v>0</v>
      </c>
      <c r="N1878" s="1176">
        <f t="shared" si="141"/>
        <v>0</v>
      </c>
      <c r="O1878" s="905"/>
      <c r="P1878" s="36" t="str">
        <f>IF(N1876&gt;0,"xx",IF(N1876&gt;0,"xy",""))</f>
        <v/>
      </c>
      <c r="Q1878" s="317" t="str">
        <f t="shared" si="138"/>
        <v/>
      </c>
      <c r="R1878" s="317" t="str">
        <f t="shared" si="139"/>
        <v/>
      </c>
      <c r="S1878" s="317" t="str">
        <f t="shared" si="140"/>
        <v/>
      </c>
      <c r="T1878" s="317" t="str">
        <f>GLOBAL_DER_FEV_2023!S1878</f>
        <v/>
      </c>
      <c r="W1878" s="582">
        <v>0</v>
      </c>
      <c r="X1878" s="580"/>
      <c r="Y1878" s="583">
        <f>IF(GLOBAL_DER_FEV_2023!W1878=0,0,IF(GLOBAL_DER_FEV_2023!W1878&gt;0,"c","b"))</f>
        <v>0</v>
      </c>
    </row>
    <row r="1879" spans="1:25" ht="15" hidden="1" customHeight="1" x14ac:dyDescent="0.2">
      <c r="A1879" s="317" t="s">
        <v>147</v>
      </c>
      <c r="B1879" s="895" t="s">
        <v>147</v>
      </c>
      <c r="C1879" s="896"/>
      <c r="D1879" s="906" t="s">
        <v>233</v>
      </c>
      <c r="E1879" s="907">
        <f>GLOBAL_DER_FEV_2023!E1879</f>
        <v>0.2</v>
      </c>
      <c r="F1879" s="908">
        <f>GLOBAL_DER_FEV_2023!F1879</f>
        <v>7.5778999999999996</v>
      </c>
      <c r="G1879" s="949">
        <f>GLOBAL_DER_FEV_2023!G1879</f>
        <v>21.930442599999999</v>
      </c>
      <c r="H1879" s="901">
        <f>GLOBAL_DER_FEV_2023!H1879</f>
        <v>0</v>
      </c>
      <c r="I1879" s="901">
        <f>GLOBAL_DER_FEV_2023!I1879</f>
        <v>0</v>
      </c>
      <c r="J1879" s="902">
        <f>GLOBAL_DER_FEV_2023!J1879</f>
        <v>0</v>
      </c>
      <c r="K1879" s="903"/>
      <c r="L1879" s="1177"/>
      <c r="M1879" s="1138">
        <f t="shared" si="142"/>
        <v>0</v>
      </c>
      <c r="N1879" s="1176">
        <f t="shared" si="141"/>
        <v>0</v>
      </c>
      <c r="O1879" s="905"/>
      <c r="P1879" s="36" t="str">
        <f>IF(N1876&gt;0,"xx",IF(N1876&gt;0,"xy",""))</f>
        <v/>
      </c>
      <c r="Q1879" s="317" t="str">
        <f t="shared" si="138"/>
        <v/>
      </c>
      <c r="R1879" s="317" t="str">
        <f t="shared" si="139"/>
        <v/>
      </c>
      <c r="S1879" s="317" t="str">
        <f t="shared" si="140"/>
        <v/>
      </c>
      <c r="T1879" s="317" t="str">
        <f>GLOBAL_DER_FEV_2023!S1879</f>
        <v/>
      </c>
      <c r="W1879" s="582">
        <v>0</v>
      </c>
      <c r="X1879" s="580"/>
      <c r="Y1879" s="583">
        <f>IF(GLOBAL_DER_FEV_2023!W1879=0,0,IF(GLOBAL_DER_FEV_2023!W1879&gt;0,"c","b"))</f>
        <v>0</v>
      </c>
    </row>
    <row r="1880" spans="1:25" ht="15" hidden="1" customHeight="1" x14ac:dyDescent="0.2">
      <c r="A1880" s="317">
        <v>620600</v>
      </c>
      <c r="B1880" s="895">
        <v>620600</v>
      </c>
      <c r="C1880" s="896" t="s">
        <v>184</v>
      </c>
      <c r="D1880" s="906" t="s">
        <v>349</v>
      </c>
      <c r="E1880" s="907">
        <f>GLOBAL_DER_FEV_2023!E1880</f>
        <v>0</v>
      </c>
      <c r="F1880" s="908">
        <f>GLOBAL_DER_FEV_2023!F1880</f>
        <v>0</v>
      </c>
      <c r="G1880" s="912">
        <f>GLOBAL_DER_FEV_2023!G1880</f>
        <v>1900.7298634000001</v>
      </c>
      <c r="H1880" s="901">
        <f>GLOBAL_DER_FEV_2023!H1880</f>
        <v>7668.6</v>
      </c>
      <c r="I1880" s="901">
        <f>GLOBAL_DER_FEV_2023!I1880</f>
        <v>9569.3298634000002</v>
      </c>
      <c r="J1880" s="902">
        <f>GLOBAL_DER_FEV_2023!J1880</f>
        <v>11489.89</v>
      </c>
      <c r="K1880" s="903" t="s">
        <v>15</v>
      </c>
      <c r="L1880" s="1137"/>
      <c r="M1880" s="1138">
        <f t="shared" si="142"/>
        <v>0</v>
      </c>
      <c r="N1880" s="1176">
        <f t="shared" si="141"/>
        <v>0</v>
      </c>
      <c r="O1880" s="905"/>
      <c r="Q1880" s="317" t="str">
        <f t="shared" si="138"/>
        <v/>
      </c>
      <c r="R1880" s="317" t="str">
        <f t="shared" si="139"/>
        <v/>
      </c>
      <c r="S1880" s="317" t="str">
        <f t="shared" si="140"/>
        <v/>
      </c>
      <c r="T1880" s="317" t="str">
        <f>GLOBAL_DER_FEV_2023!S1880</f>
        <v/>
      </c>
      <c r="W1880" s="582">
        <v>0</v>
      </c>
      <c r="X1880" s="580"/>
      <c r="Y1880" s="583">
        <f>IF(GLOBAL_DER_FEV_2023!W1880=0,0,IF(GLOBAL_DER_FEV_2023!W1880&gt;0,"c","b"))</f>
        <v>0</v>
      </c>
    </row>
    <row r="1881" spans="1:25" ht="15" hidden="1" customHeight="1" x14ac:dyDescent="0.2">
      <c r="A1881" s="317" t="s">
        <v>147</v>
      </c>
      <c r="B1881" s="895" t="s">
        <v>147</v>
      </c>
      <c r="C1881" s="896"/>
      <c r="D1881" s="906" t="s">
        <v>190</v>
      </c>
      <c r="E1881" s="907">
        <f>GLOBAL_DER_FEV_2023!E1881</f>
        <v>308</v>
      </c>
      <c r="F1881" s="908">
        <f>GLOBAL_DER_FEV_2023!F1881</f>
        <v>2.2439</v>
      </c>
      <c r="G1881" s="909">
        <f>GLOBAL_DER_FEV_2023!G1881</f>
        <v>556.62183400000004</v>
      </c>
      <c r="H1881" s="901">
        <f>GLOBAL_DER_FEV_2023!H1881</f>
        <v>0</v>
      </c>
      <c r="I1881" s="901">
        <f>GLOBAL_DER_FEV_2023!I1881</f>
        <v>0</v>
      </c>
      <c r="J1881" s="902">
        <f>GLOBAL_DER_FEV_2023!J1881</f>
        <v>0</v>
      </c>
      <c r="K1881" s="903"/>
      <c r="L1881" s="1177"/>
      <c r="M1881" s="1138">
        <f t="shared" si="142"/>
        <v>0</v>
      </c>
      <c r="N1881" s="1176">
        <f t="shared" si="141"/>
        <v>0</v>
      </c>
      <c r="O1881" s="905"/>
      <c r="P1881" s="36" t="str">
        <f>IF(N1880&gt;0,"xx",IF(N1880&gt;0,"xy",""))</f>
        <v/>
      </c>
      <c r="Q1881" s="317" t="str">
        <f t="shared" si="138"/>
        <v/>
      </c>
      <c r="R1881" s="317" t="str">
        <f t="shared" si="139"/>
        <v/>
      </c>
      <c r="S1881" s="317" t="str">
        <f t="shared" si="140"/>
        <v/>
      </c>
      <c r="T1881" s="317" t="str">
        <f>GLOBAL_DER_FEV_2023!S1881</f>
        <v/>
      </c>
      <c r="W1881" s="582">
        <v>0</v>
      </c>
      <c r="X1881" s="580"/>
      <c r="Y1881" s="583">
        <f>IF(GLOBAL_DER_FEV_2023!W1881=0,0,IF(GLOBAL_DER_FEV_2023!W1881&gt;0,"c","b"))</f>
        <v>0</v>
      </c>
    </row>
    <row r="1882" spans="1:25" ht="15" hidden="1" customHeight="1" x14ac:dyDescent="0.2">
      <c r="A1882" s="317" t="s">
        <v>147</v>
      </c>
      <c r="B1882" s="895" t="s">
        <v>147</v>
      </c>
      <c r="C1882" s="896"/>
      <c r="D1882" s="906" t="s">
        <v>229</v>
      </c>
      <c r="E1882" s="907">
        <f>GLOBAL_DER_FEV_2023!E1882</f>
        <v>150</v>
      </c>
      <c r="F1882" s="908">
        <f>GLOBAL_DER_FEV_2023!F1882</f>
        <v>7.9786000000000001</v>
      </c>
      <c r="G1882" s="949">
        <f>GLOBAL_DER_FEV_2023!G1882</f>
        <v>1301.947948</v>
      </c>
      <c r="H1882" s="901">
        <f>GLOBAL_DER_FEV_2023!H1882</f>
        <v>0</v>
      </c>
      <c r="I1882" s="901">
        <f>GLOBAL_DER_FEV_2023!I1882</f>
        <v>0</v>
      </c>
      <c r="J1882" s="902">
        <f>GLOBAL_DER_FEV_2023!J1882</f>
        <v>0</v>
      </c>
      <c r="K1882" s="903"/>
      <c r="L1882" s="1177"/>
      <c r="M1882" s="1138">
        <f t="shared" si="142"/>
        <v>0</v>
      </c>
      <c r="N1882" s="1176">
        <f t="shared" si="141"/>
        <v>0</v>
      </c>
      <c r="O1882" s="905"/>
      <c r="P1882" s="36" t="str">
        <f>IF(N1880&gt;0,"xx",IF(N1880&gt;0,"xy",""))</f>
        <v/>
      </c>
      <c r="Q1882" s="317" t="str">
        <f t="shared" si="138"/>
        <v/>
      </c>
      <c r="R1882" s="317" t="str">
        <f t="shared" si="139"/>
        <v/>
      </c>
      <c r="S1882" s="317" t="str">
        <f t="shared" si="140"/>
        <v/>
      </c>
      <c r="T1882" s="317" t="str">
        <f>GLOBAL_DER_FEV_2023!S1882</f>
        <v/>
      </c>
      <c r="W1882" s="582">
        <v>0</v>
      </c>
      <c r="X1882" s="580"/>
      <c r="Y1882" s="583">
        <f>IF(GLOBAL_DER_FEV_2023!W1882=0,0,IF(GLOBAL_DER_FEV_2023!W1882&gt;0,"c","b"))</f>
        <v>0</v>
      </c>
    </row>
    <row r="1883" spans="1:25" ht="15" hidden="1" customHeight="1" x14ac:dyDescent="0.2">
      <c r="A1883" s="317" t="s">
        <v>147</v>
      </c>
      <c r="B1883" s="895" t="s">
        <v>147</v>
      </c>
      <c r="C1883" s="896"/>
      <c r="D1883" s="906" t="s">
        <v>233</v>
      </c>
      <c r="E1883" s="907">
        <f>GLOBAL_DER_FEV_2023!E1883</f>
        <v>0.2</v>
      </c>
      <c r="F1883" s="908">
        <f>GLOBAL_DER_FEV_2023!F1883</f>
        <v>14.568099999999999</v>
      </c>
      <c r="G1883" s="949">
        <f>GLOBAL_DER_FEV_2023!G1883</f>
        <v>42.160081400000003</v>
      </c>
      <c r="H1883" s="901">
        <f>GLOBAL_DER_FEV_2023!H1883</f>
        <v>0</v>
      </c>
      <c r="I1883" s="901">
        <f>GLOBAL_DER_FEV_2023!I1883</f>
        <v>0</v>
      </c>
      <c r="J1883" s="902">
        <f>GLOBAL_DER_FEV_2023!J1883</f>
        <v>0</v>
      </c>
      <c r="K1883" s="903"/>
      <c r="L1883" s="1177"/>
      <c r="M1883" s="1138">
        <f t="shared" si="142"/>
        <v>0</v>
      </c>
      <c r="N1883" s="1176">
        <f t="shared" si="141"/>
        <v>0</v>
      </c>
      <c r="O1883" s="905"/>
      <c r="P1883" s="36" t="str">
        <f>IF(N1880&gt;0,"xx",IF(N1880&gt;0,"xy",""))</f>
        <v/>
      </c>
      <c r="Q1883" s="317" t="str">
        <f t="shared" ref="Q1883:Q1946" si="143">IF(P1883="X","x",IF(P1883="xx","x",IF(P1883="xy","x",IF(P1883="y","x",IF(OR(N1883&gt;0,N1883&gt;0),"x","")))))</f>
        <v/>
      </c>
      <c r="R1883" s="317" t="str">
        <f t="shared" si="139"/>
        <v/>
      </c>
      <c r="S1883" s="317" t="str">
        <f t="shared" si="140"/>
        <v/>
      </c>
      <c r="T1883" s="317" t="str">
        <f>GLOBAL_DER_FEV_2023!S1883</f>
        <v/>
      </c>
      <c r="W1883" s="582">
        <v>0</v>
      </c>
      <c r="X1883" s="580"/>
      <c r="Y1883" s="583">
        <f>IF(GLOBAL_DER_FEV_2023!W1883=0,0,IF(GLOBAL_DER_FEV_2023!W1883&gt;0,"c","b"))</f>
        <v>0</v>
      </c>
    </row>
    <row r="1884" spans="1:25" ht="15" hidden="1" customHeight="1" x14ac:dyDescent="0.2">
      <c r="A1884" s="317">
        <v>620100</v>
      </c>
      <c r="B1884" s="895" t="s">
        <v>1818</v>
      </c>
      <c r="C1884" s="896" t="s">
        <v>184</v>
      </c>
      <c r="D1884" s="906" t="s">
        <v>350</v>
      </c>
      <c r="E1884" s="907">
        <f>GLOBAL_DER_FEV_2023!E1884</f>
        <v>0</v>
      </c>
      <c r="F1884" s="908">
        <f>GLOBAL_DER_FEV_2023!F1884</f>
        <v>0</v>
      </c>
      <c r="G1884" s="912">
        <f>GLOBAL_DER_FEV_2023!G1884</f>
        <v>242.5502682</v>
      </c>
      <c r="H1884" s="901">
        <f>GLOBAL_DER_FEV_2023!H1884</f>
        <v>954.15</v>
      </c>
      <c r="I1884" s="901">
        <f>GLOBAL_DER_FEV_2023!I1884</f>
        <v>1196.7002682</v>
      </c>
      <c r="J1884" s="902">
        <f>GLOBAL_DER_FEV_2023!J1884</f>
        <v>1436.88</v>
      </c>
      <c r="K1884" s="903" t="s">
        <v>15</v>
      </c>
      <c r="L1884" s="1137"/>
      <c r="M1884" s="1138">
        <f t="shared" si="142"/>
        <v>0</v>
      </c>
      <c r="N1884" s="1176">
        <f t="shared" si="141"/>
        <v>0</v>
      </c>
      <c r="O1884" s="905"/>
      <c r="Q1884" s="317" t="str">
        <f t="shared" si="143"/>
        <v/>
      </c>
      <c r="R1884" s="317" t="str">
        <f t="shared" si="139"/>
        <v/>
      </c>
      <c r="S1884" s="317" t="str">
        <f t="shared" si="140"/>
        <v/>
      </c>
      <c r="T1884" s="317" t="str">
        <f>GLOBAL_DER_FEV_2023!S1884</f>
        <v/>
      </c>
      <c r="W1884" s="582">
        <v>0</v>
      </c>
      <c r="X1884" s="580"/>
      <c r="Y1884" s="583">
        <f>IF(GLOBAL_DER_FEV_2023!W1884=0,0,IF(GLOBAL_DER_FEV_2023!W1884&gt;0,"c","b"))</f>
        <v>0</v>
      </c>
    </row>
    <row r="1885" spans="1:25" ht="15" hidden="1" customHeight="1" x14ac:dyDescent="0.2">
      <c r="A1885" s="317" t="s">
        <v>147</v>
      </c>
      <c r="B1885" s="895" t="s">
        <v>147</v>
      </c>
      <c r="C1885" s="896"/>
      <c r="D1885" s="906" t="s">
        <v>190</v>
      </c>
      <c r="E1885" s="907">
        <f>GLOBAL_DER_FEV_2023!E1885</f>
        <v>308</v>
      </c>
      <c r="F1885" s="908">
        <f>GLOBAL_DER_FEV_2023!F1885</f>
        <v>0.2863</v>
      </c>
      <c r="G1885" s="909">
        <f>GLOBAL_DER_FEV_2023!G1885</f>
        <v>71.019577999999996</v>
      </c>
      <c r="H1885" s="901">
        <f>GLOBAL_DER_FEV_2023!H1885</f>
        <v>0</v>
      </c>
      <c r="I1885" s="901">
        <f>GLOBAL_DER_FEV_2023!I1885</f>
        <v>0</v>
      </c>
      <c r="J1885" s="902">
        <f>GLOBAL_DER_FEV_2023!J1885</f>
        <v>0</v>
      </c>
      <c r="K1885" s="903"/>
      <c r="L1885" s="1177"/>
      <c r="M1885" s="1138">
        <f t="shared" si="142"/>
        <v>0</v>
      </c>
      <c r="N1885" s="1176">
        <f t="shared" si="141"/>
        <v>0</v>
      </c>
      <c r="O1885" s="905"/>
      <c r="P1885" s="36" t="str">
        <f>IF(N1884&gt;0,"xx",IF(N1884&gt;0,"xy",""))</f>
        <v/>
      </c>
      <c r="Q1885" s="317" t="str">
        <f t="shared" si="143"/>
        <v/>
      </c>
      <c r="R1885" s="317" t="str">
        <f t="shared" ref="R1885:R1948" si="144">IF(P1885="X","x",IF(P1885="y","x",IF(P1885="xx","x",IF(N1885&gt;0,"x",""))))</f>
        <v/>
      </c>
      <c r="S1885" s="317" t="str">
        <f t="shared" ref="S1885:S1948" si="145">IF(P1885="X","x",IF(N1885&gt;0,"x",""))</f>
        <v/>
      </c>
      <c r="T1885" s="317" t="str">
        <f>GLOBAL_DER_FEV_2023!S1885</f>
        <v/>
      </c>
      <c r="W1885" s="582">
        <v>0</v>
      </c>
      <c r="X1885" s="580"/>
      <c r="Y1885" s="583">
        <f>IF(GLOBAL_DER_FEV_2023!W1885=0,0,IF(GLOBAL_DER_FEV_2023!W1885&gt;0,"c","b"))</f>
        <v>0</v>
      </c>
    </row>
    <row r="1886" spans="1:25" ht="15" hidden="1" customHeight="1" x14ac:dyDescent="0.2">
      <c r="A1886" s="317" t="s">
        <v>147</v>
      </c>
      <c r="B1886" s="895" t="s">
        <v>147</v>
      </c>
      <c r="C1886" s="896"/>
      <c r="D1886" s="906" t="s">
        <v>229</v>
      </c>
      <c r="E1886" s="907">
        <f>GLOBAL_DER_FEV_2023!E1886</f>
        <v>150</v>
      </c>
      <c r="F1886" s="908">
        <f>GLOBAL_DER_FEV_2023!F1886</f>
        <v>1.0182</v>
      </c>
      <c r="G1886" s="949">
        <f>GLOBAL_DER_FEV_2023!G1886</f>
        <v>166.14987600000001</v>
      </c>
      <c r="H1886" s="901">
        <f>GLOBAL_DER_FEV_2023!H1886</f>
        <v>0</v>
      </c>
      <c r="I1886" s="901">
        <f>GLOBAL_DER_FEV_2023!I1886</f>
        <v>0</v>
      </c>
      <c r="J1886" s="902">
        <f>GLOBAL_DER_FEV_2023!J1886</f>
        <v>0</v>
      </c>
      <c r="K1886" s="903"/>
      <c r="L1886" s="1177"/>
      <c r="M1886" s="1138">
        <f t="shared" si="142"/>
        <v>0</v>
      </c>
      <c r="N1886" s="1176">
        <f t="shared" si="141"/>
        <v>0</v>
      </c>
      <c r="O1886" s="905"/>
      <c r="P1886" s="36" t="str">
        <f>IF(N1884&gt;0,"xx",IF(N1884&gt;0,"xy",""))</f>
        <v/>
      </c>
      <c r="Q1886" s="317" t="str">
        <f t="shared" si="143"/>
        <v/>
      </c>
      <c r="R1886" s="317" t="str">
        <f t="shared" si="144"/>
        <v/>
      </c>
      <c r="S1886" s="317" t="str">
        <f t="shared" si="145"/>
        <v/>
      </c>
      <c r="T1886" s="317" t="str">
        <f>GLOBAL_DER_FEV_2023!S1886</f>
        <v/>
      </c>
      <c r="W1886" s="582">
        <v>0</v>
      </c>
      <c r="X1886" s="580"/>
      <c r="Y1886" s="583">
        <f>IF(GLOBAL_DER_FEV_2023!W1886=0,0,IF(GLOBAL_DER_FEV_2023!W1886&gt;0,"c","b"))</f>
        <v>0</v>
      </c>
    </row>
    <row r="1887" spans="1:25" ht="15" hidden="1" customHeight="1" x14ac:dyDescent="0.2">
      <c r="A1887" s="317" t="s">
        <v>147</v>
      </c>
      <c r="B1887" s="895" t="s">
        <v>147</v>
      </c>
      <c r="C1887" s="896"/>
      <c r="D1887" s="906" t="s">
        <v>233</v>
      </c>
      <c r="E1887" s="907">
        <f>GLOBAL_DER_FEV_2023!E1887</f>
        <v>0.2</v>
      </c>
      <c r="F1887" s="908">
        <f>GLOBAL_DER_FEV_2023!F1887</f>
        <v>1.8593</v>
      </c>
      <c r="G1887" s="949">
        <f>GLOBAL_DER_FEV_2023!G1887</f>
        <v>5.3808141999999997</v>
      </c>
      <c r="H1887" s="901">
        <f>GLOBAL_DER_FEV_2023!H1887</f>
        <v>0</v>
      </c>
      <c r="I1887" s="901">
        <f>GLOBAL_DER_FEV_2023!I1887</f>
        <v>0</v>
      </c>
      <c r="J1887" s="902">
        <f>GLOBAL_DER_FEV_2023!J1887</f>
        <v>0</v>
      </c>
      <c r="K1887" s="903"/>
      <c r="L1887" s="1177"/>
      <c r="M1887" s="1138">
        <f t="shared" si="142"/>
        <v>0</v>
      </c>
      <c r="N1887" s="1176">
        <f t="shared" si="141"/>
        <v>0</v>
      </c>
      <c r="O1887" s="905"/>
      <c r="P1887" s="36" t="str">
        <f>IF(N1884&gt;0,"xx",IF(N1884&gt;0,"xy",""))</f>
        <v/>
      </c>
      <c r="Q1887" s="317" t="str">
        <f t="shared" si="143"/>
        <v/>
      </c>
      <c r="R1887" s="317" t="str">
        <f t="shared" si="144"/>
        <v/>
      </c>
      <c r="S1887" s="317" t="str">
        <f t="shared" si="145"/>
        <v/>
      </c>
      <c r="T1887" s="317" t="str">
        <f>GLOBAL_DER_FEV_2023!S1887</f>
        <v/>
      </c>
      <c r="W1887" s="582">
        <v>0</v>
      </c>
      <c r="X1887" s="580"/>
      <c r="Y1887" s="583">
        <f>IF(GLOBAL_DER_FEV_2023!W1887=0,0,IF(GLOBAL_DER_FEV_2023!W1887&gt;0,"c","b"))</f>
        <v>0</v>
      </c>
    </row>
    <row r="1888" spans="1:25" ht="15" hidden="1" customHeight="1" x14ac:dyDescent="0.2">
      <c r="A1888" s="317">
        <v>620200</v>
      </c>
      <c r="B1888" s="895" t="s">
        <v>1821</v>
      </c>
      <c r="C1888" s="896" t="s">
        <v>184</v>
      </c>
      <c r="D1888" s="906" t="s">
        <v>351</v>
      </c>
      <c r="E1888" s="907">
        <f>GLOBAL_DER_FEV_2023!E1888</f>
        <v>0</v>
      </c>
      <c r="F1888" s="908">
        <f>GLOBAL_DER_FEV_2023!F1888</f>
        <v>0</v>
      </c>
      <c r="G1888" s="912">
        <f>GLOBAL_DER_FEV_2023!G1888</f>
        <v>351.72359720000003</v>
      </c>
      <c r="H1888" s="901">
        <f>GLOBAL_DER_FEV_2023!H1888</f>
        <v>1321.46</v>
      </c>
      <c r="I1888" s="901">
        <f>GLOBAL_DER_FEV_2023!I1888</f>
        <v>1673.1835972000001</v>
      </c>
      <c r="J1888" s="902">
        <f>GLOBAL_DER_FEV_2023!J1888</f>
        <v>2008.99</v>
      </c>
      <c r="K1888" s="903" t="s">
        <v>15</v>
      </c>
      <c r="L1888" s="1137"/>
      <c r="M1888" s="1138">
        <f t="shared" si="142"/>
        <v>0</v>
      </c>
      <c r="N1888" s="1176">
        <f t="shared" si="141"/>
        <v>0</v>
      </c>
      <c r="O1888" s="905"/>
      <c r="Q1888" s="317" t="str">
        <f t="shared" si="143"/>
        <v/>
      </c>
      <c r="R1888" s="317" t="str">
        <f t="shared" si="144"/>
        <v/>
      </c>
      <c r="S1888" s="317" t="str">
        <f t="shared" si="145"/>
        <v/>
      </c>
      <c r="T1888" s="317" t="str">
        <f>GLOBAL_DER_FEV_2023!S1888</f>
        <v/>
      </c>
      <c r="W1888" s="582">
        <v>0</v>
      </c>
      <c r="X1888" s="580"/>
      <c r="Y1888" s="583">
        <f>IF(GLOBAL_DER_FEV_2023!W1888=0,0,IF(GLOBAL_DER_FEV_2023!W1888&gt;0,"c","b"))</f>
        <v>0</v>
      </c>
    </row>
    <row r="1889" spans="1:25" ht="15" hidden="1" customHeight="1" x14ac:dyDescent="0.2">
      <c r="A1889" s="317" t="s">
        <v>147</v>
      </c>
      <c r="B1889" s="895" t="s">
        <v>147</v>
      </c>
      <c r="C1889" s="896"/>
      <c r="D1889" s="906" t="s">
        <v>190</v>
      </c>
      <c r="E1889" s="907">
        <f>GLOBAL_DER_FEV_2023!E1889</f>
        <v>308</v>
      </c>
      <c r="F1889" s="908">
        <f>GLOBAL_DER_FEV_2023!F1889</f>
        <v>0.4153</v>
      </c>
      <c r="G1889" s="909">
        <f>GLOBAL_DER_FEV_2023!G1889</f>
        <v>103.019318</v>
      </c>
      <c r="H1889" s="901">
        <f>GLOBAL_DER_FEV_2023!H1889</f>
        <v>0</v>
      </c>
      <c r="I1889" s="901">
        <f>GLOBAL_DER_FEV_2023!I1889</f>
        <v>0</v>
      </c>
      <c r="J1889" s="902">
        <f>GLOBAL_DER_FEV_2023!J1889</f>
        <v>0</v>
      </c>
      <c r="K1889" s="903"/>
      <c r="L1889" s="1177"/>
      <c r="M1889" s="1138">
        <f t="shared" si="142"/>
        <v>0</v>
      </c>
      <c r="N1889" s="1176">
        <f t="shared" ref="N1889:N1952" si="146">IF(ISBLANK(L1889),0,IF(W1889=0,ROUND(L1889*M1889,2),IF(W1889="b",ROUNDDOWN(L1889*M1889,2),ROUNDUP(L1889*M1889,2))))</f>
        <v>0</v>
      </c>
      <c r="O1889" s="905"/>
      <c r="P1889" s="36" t="str">
        <f>IF(N1888&gt;0,"xx",IF(N1888&gt;0,"xy",""))</f>
        <v/>
      </c>
      <c r="Q1889" s="317" t="str">
        <f t="shared" si="143"/>
        <v/>
      </c>
      <c r="R1889" s="317" t="str">
        <f t="shared" si="144"/>
        <v/>
      </c>
      <c r="S1889" s="317" t="str">
        <f t="shared" si="145"/>
        <v/>
      </c>
      <c r="T1889" s="317" t="str">
        <f>GLOBAL_DER_FEV_2023!S1889</f>
        <v/>
      </c>
      <c r="W1889" s="582">
        <v>0</v>
      </c>
      <c r="X1889" s="580"/>
      <c r="Y1889" s="583">
        <f>IF(GLOBAL_DER_FEV_2023!W1889=0,0,IF(GLOBAL_DER_FEV_2023!W1889&gt;0,"c","b"))</f>
        <v>0</v>
      </c>
    </row>
    <row r="1890" spans="1:25" ht="15" hidden="1" customHeight="1" x14ac:dyDescent="0.2">
      <c r="A1890" s="317" t="s">
        <v>147</v>
      </c>
      <c r="B1890" s="895" t="s">
        <v>147</v>
      </c>
      <c r="C1890" s="896"/>
      <c r="D1890" s="906" t="s">
        <v>229</v>
      </c>
      <c r="E1890" s="907">
        <f>GLOBAL_DER_FEV_2023!E1890</f>
        <v>150</v>
      </c>
      <c r="F1890" s="908">
        <f>GLOBAL_DER_FEV_2023!F1890</f>
        <v>1.4762999999999999</v>
      </c>
      <c r="G1890" s="949">
        <f>GLOBAL_DER_FEV_2023!G1890</f>
        <v>240.90263400000001</v>
      </c>
      <c r="H1890" s="901">
        <f>GLOBAL_DER_FEV_2023!H1890</f>
        <v>0</v>
      </c>
      <c r="I1890" s="901">
        <f>GLOBAL_DER_FEV_2023!I1890</f>
        <v>0</v>
      </c>
      <c r="J1890" s="902">
        <f>GLOBAL_DER_FEV_2023!J1890</f>
        <v>0</v>
      </c>
      <c r="K1890" s="903"/>
      <c r="L1890" s="1177"/>
      <c r="M1890" s="1138">
        <f t="shared" si="142"/>
        <v>0</v>
      </c>
      <c r="N1890" s="1176">
        <f t="shared" si="146"/>
        <v>0</v>
      </c>
      <c r="O1890" s="905"/>
      <c r="P1890" s="36" t="str">
        <f>IF(N1888&gt;0,"xx",IF(N1888&gt;0,"xy",""))</f>
        <v/>
      </c>
      <c r="Q1890" s="317" t="str">
        <f t="shared" si="143"/>
        <v/>
      </c>
      <c r="R1890" s="317" t="str">
        <f t="shared" si="144"/>
        <v/>
      </c>
      <c r="S1890" s="317" t="str">
        <f t="shared" si="145"/>
        <v/>
      </c>
      <c r="T1890" s="317" t="str">
        <f>GLOBAL_DER_FEV_2023!S1890</f>
        <v/>
      </c>
      <c r="W1890" s="582">
        <v>0</v>
      </c>
      <c r="X1890" s="580"/>
      <c r="Y1890" s="583">
        <f>IF(GLOBAL_DER_FEV_2023!W1890=0,0,IF(GLOBAL_DER_FEV_2023!W1890&gt;0,"c","b"))</f>
        <v>0</v>
      </c>
    </row>
    <row r="1891" spans="1:25" ht="15" hidden="1" customHeight="1" x14ac:dyDescent="0.2">
      <c r="A1891" s="317" t="s">
        <v>147</v>
      </c>
      <c r="B1891" s="895" t="s">
        <v>147</v>
      </c>
      <c r="C1891" s="896"/>
      <c r="D1891" s="906" t="s">
        <v>233</v>
      </c>
      <c r="E1891" s="907">
        <f>GLOBAL_DER_FEV_2023!E1891</f>
        <v>0.2</v>
      </c>
      <c r="F1891" s="908">
        <f>GLOBAL_DER_FEV_2023!F1891</f>
        <v>2.6958000000000002</v>
      </c>
      <c r="G1891" s="949">
        <f>GLOBAL_DER_FEV_2023!G1891</f>
        <v>7.8016452000000012</v>
      </c>
      <c r="H1891" s="901">
        <f>GLOBAL_DER_FEV_2023!H1891</f>
        <v>0</v>
      </c>
      <c r="I1891" s="901">
        <f>GLOBAL_DER_FEV_2023!I1891</f>
        <v>0</v>
      </c>
      <c r="J1891" s="902">
        <f>GLOBAL_DER_FEV_2023!J1891</f>
        <v>0</v>
      </c>
      <c r="K1891" s="903"/>
      <c r="L1891" s="1177"/>
      <c r="M1891" s="1138">
        <f t="shared" si="142"/>
        <v>0</v>
      </c>
      <c r="N1891" s="1176">
        <f t="shared" si="146"/>
        <v>0</v>
      </c>
      <c r="O1891" s="905"/>
      <c r="P1891" s="36" t="str">
        <f>IF(N1888&gt;0,"xx",IF(N1888&gt;0,"xy",""))</f>
        <v/>
      </c>
      <c r="Q1891" s="317" t="str">
        <f t="shared" si="143"/>
        <v/>
      </c>
      <c r="R1891" s="317" t="str">
        <f t="shared" si="144"/>
        <v/>
      </c>
      <c r="S1891" s="317" t="str">
        <f t="shared" si="145"/>
        <v/>
      </c>
      <c r="T1891" s="317" t="str">
        <f>GLOBAL_DER_FEV_2023!S1891</f>
        <v/>
      </c>
      <c r="W1891" s="582">
        <v>0</v>
      </c>
      <c r="X1891" s="580"/>
      <c r="Y1891" s="583">
        <f>IF(GLOBAL_DER_FEV_2023!W1891=0,0,IF(GLOBAL_DER_FEV_2023!W1891&gt;0,"c","b"))</f>
        <v>0</v>
      </c>
    </row>
    <row r="1892" spans="1:25" ht="15" hidden="1" customHeight="1" x14ac:dyDescent="0.2">
      <c r="A1892" s="317">
        <v>620700</v>
      </c>
      <c r="B1892" s="895">
        <v>620700</v>
      </c>
      <c r="C1892" s="896" t="s">
        <v>184</v>
      </c>
      <c r="D1892" s="906" t="s">
        <v>352</v>
      </c>
      <c r="E1892" s="907">
        <f>GLOBAL_DER_FEV_2023!E1892</f>
        <v>0</v>
      </c>
      <c r="F1892" s="908">
        <f>GLOBAL_DER_FEV_2023!F1892</f>
        <v>0</v>
      </c>
      <c r="G1892" s="912">
        <f>GLOBAL_DER_FEV_2023!G1892</f>
        <v>527.79857420000008</v>
      </c>
      <c r="H1892" s="901">
        <f>GLOBAL_DER_FEV_2023!H1892</f>
        <v>2601.2199999999998</v>
      </c>
      <c r="I1892" s="901">
        <f>GLOBAL_DER_FEV_2023!I1892</f>
        <v>3129.0185741999999</v>
      </c>
      <c r="J1892" s="902">
        <f>GLOBAL_DER_FEV_2023!J1892</f>
        <v>3757.01</v>
      </c>
      <c r="K1892" s="903" t="s">
        <v>15</v>
      </c>
      <c r="L1892" s="1137"/>
      <c r="M1892" s="1138">
        <f t="shared" si="142"/>
        <v>0</v>
      </c>
      <c r="N1892" s="1176">
        <f t="shared" si="146"/>
        <v>0</v>
      </c>
      <c r="O1892" s="905"/>
      <c r="Q1892" s="317" t="str">
        <f t="shared" si="143"/>
        <v/>
      </c>
      <c r="R1892" s="317" t="str">
        <f t="shared" si="144"/>
        <v/>
      </c>
      <c r="S1892" s="317" t="str">
        <f t="shared" si="145"/>
        <v/>
      </c>
      <c r="T1892" s="317" t="str">
        <f>GLOBAL_DER_FEV_2023!S1892</f>
        <v/>
      </c>
      <c r="W1892" s="582">
        <v>0</v>
      </c>
      <c r="X1892" s="580"/>
      <c r="Y1892" s="583">
        <f>IF(GLOBAL_DER_FEV_2023!W1892=0,0,IF(GLOBAL_DER_FEV_2023!W1892&gt;0,"c","b"))</f>
        <v>0</v>
      </c>
    </row>
    <row r="1893" spans="1:25" ht="15" hidden="1" customHeight="1" x14ac:dyDescent="0.2">
      <c r="A1893" s="317" t="s">
        <v>147</v>
      </c>
      <c r="B1893" s="895" t="s">
        <v>147</v>
      </c>
      <c r="C1893" s="896"/>
      <c r="D1893" s="906" t="s">
        <v>190</v>
      </c>
      <c r="E1893" s="907">
        <f>GLOBAL_DER_FEV_2023!E1893</f>
        <v>308</v>
      </c>
      <c r="F1893" s="908" t="str">
        <f>GLOBAL_DER_FEV_2023!F1893</f>
        <v>0,6231</v>
      </c>
      <c r="G1893" s="909">
        <f>GLOBAL_DER_FEV_2023!G1893</f>
        <v>154.56618599999999</v>
      </c>
      <c r="H1893" s="901">
        <f>GLOBAL_DER_FEV_2023!H1893</f>
        <v>0</v>
      </c>
      <c r="I1893" s="901">
        <f>GLOBAL_DER_FEV_2023!I1893</f>
        <v>0</v>
      </c>
      <c r="J1893" s="902">
        <f>GLOBAL_DER_FEV_2023!J1893</f>
        <v>0</v>
      </c>
      <c r="K1893" s="903"/>
      <c r="L1893" s="1177"/>
      <c r="M1893" s="1138">
        <f t="shared" si="142"/>
        <v>0</v>
      </c>
      <c r="N1893" s="1176">
        <f t="shared" si="146"/>
        <v>0</v>
      </c>
      <c r="O1893" s="905"/>
      <c r="P1893" s="36" t="str">
        <f>IF(N1892&gt;0,"xx",IF(N1892&gt;0,"xy",""))</f>
        <v/>
      </c>
      <c r="Q1893" s="317" t="str">
        <f t="shared" si="143"/>
        <v/>
      </c>
      <c r="R1893" s="317" t="str">
        <f t="shared" si="144"/>
        <v/>
      </c>
      <c r="S1893" s="317" t="str">
        <f t="shared" si="145"/>
        <v/>
      </c>
      <c r="T1893" s="317" t="str">
        <f>GLOBAL_DER_FEV_2023!S1893</f>
        <v/>
      </c>
      <c r="W1893" s="582">
        <v>0</v>
      </c>
      <c r="X1893" s="580"/>
      <c r="Y1893" s="583">
        <f>IF(GLOBAL_DER_FEV_2023!W1893=0,0,IF(GLOBAL_DER_FEV_2023!W1893&gt;0,"c","b"))</f>
        <v>0</v>
      </c>
    </row>
    <row r="1894" spans="1:25" ht="15" hidden="1" customHeight="1" x14ac:dyDescent="0.2">
      <c r="A1894" s="317" t="s">
        <v>147</v>
      </c>
      <c r="B1894" s="895" t="s">
        <v>147</v>
      </c>
      <c r="C1894" s="896"/>
      <c r="D1894" s="906" t="s">
        <v>229</v>
      </c>
      <c r="E1894" s="907">
        <f>GLOBAL_DER_FEV_2023!E1894</f>
        <v>150</v>
      </c>
      <c r="F1894" s="908" t="str">
        <f>GLOBAL_DER_FEV_2023!F1894</f>
        <v>2,2155</v>
      </c>
      <c r="G1894" s="949">
        <f>GLOBAL_DER_FEV_2023!G1894</f>
        <v>361.52529000000004</v>
      </c>
      <c r="H1894" s="901">
        <f>GLOBAL_DER_FEV_2023!H1894</f>
        <v>0</v>
      </c>
      <c r="I1894" s="901">
        <f>GLOBAL_DER_FEV_2023!I1894</f>
        <v>0</v>
      </c>
      <c r="J1894" s="902">
        <f>GLOBAL_DER_FEV_2023!J1894</f>
        <v>0</v>
      </c>
      <c r="K1894" s="903"/>
      <c r="L1894" s="1177"/>
      <c r="M1894" s="1138">
        <f t="shared" si="142"/>
        <v>0</v>
      </c>
      <c r="N1894" s="1176">
        <f t="shared" si="146"/>
        <v>0</v>
      </c>
      <c r="O1894" s="905"/>
      <c r="P1894" s="36" t="str">
        <f>IF(N1892&gt;0,"xx",IF(N1892&gt;0,"xy",""))</f>
        <v/>
      </c>
      <c r="Q1894" s="317" t="str">
        <f t="shared" si="143"/>
        <v/>
      </c>
      <c r="R1894" s="317" t="str">
        <f t="shared" si="144"/>
        <v/>
      </c>
      <c r="S1894" s="317" t="str">
        <f t="shared" si="145"/>
        <v/>
      </c>
      <c r="T1894" s="317" t="str">
        <f>GLOBAL_DER_FEV_2023!S1894</f>
        <v/>
      </c>
      <c r="W1894" s="582">
        <v>0</v>
      </c>
      <c r="X1894" s="580"/>
      <c r="Y1894" s="583">
        <f>IF(GLOBAL_DER_FEV_2023!W1894=0,0,IF(GLOBAL_DER_FEV_2023!W1894&gt;0,"c","b"))</f>
        <v>0</v>
      </c>
    </row>
    <row r="1895" spans="1:25" ht="15" hidden="1" customHeight="1" x14ac:dyDescent="0.2">
      <c r="A1895" s="317" t="s">
        <v>147</v>
      </c>
      <c r="B1895" s="895" t="s">
        <v>147</v>
      </c>
      <c r="C1895" s="896"/>
      <c r="D1895" s="906" t="s">
        <v>233</v>
      </c>
      <c r="E1895" s="907">
        <f>GLOBAL_DER_FEV_2023!E1895</f>
        <v>0.2</v>
      </c>
      <c r="F1895" s="908">
        <f>GLOBAL_DER_FEV_2023!F1895</f>
        <v>4.0453000000000001</v>
      </c>
      <c r="G1895" s="949">
        <f>GLOBAL_DER_FEV_2023!G1895</f>
        <v>11.707098200000001</v>
      </c>
      <c r="H1895" s="901">
        <f>GLOBAL_DER_FEV_2023!H1895</f>
        <v>0</v>
      </c>
      <c r="I1895" s="901">
        <f>GLOBAL_DER_FEV_2023!I1895</f>
        <v>0</v>
      </c>
      <c r="J1895" s="902">
        <f>GLOBAL_DER_FEV_2023!J1895</f>
        <v>0</v>
      </c>
      <c r="K1895" s="903"/>
      <c r="L1895" s="1177"/>
      <c r="M1895" s="1138">
        <f t="shared" si="142"/>
        <v>0</v>
      </c>
      <c r="N1895" s="1176">
        <f t="shared" si="146"/>
        <v>0</v>
      </c>
      <c r="O1895" s="905"/>
      <c r="P1895" s="36" t="str">
        <f>IF(N1892&gt;0,"xx",IF(N1892&gt;0,"xy",""))</f>
        <v/>
      </c>
      <c r="Q1895" s="317" t="str">
        <f t="shared" si="143"/>
        <v/>
      </c>
      <c r="R1895" s="317" t="str">
        <f t="shared" si="144"/>
        <v/>
      </c>
      <c r="S1895" s="317" t="str">
        <f t="shared" si="145"/>
        <v/>
      </c>
      <c r="T1895" s="317" t="str">
        <f>GLOBAL_DER_FEV_2023!S1895</f>
        <v/>
      </c>
      <c r="W1895" s="582">
        <v>0</v>
      </c>
      <c r="X1895" s="580"/>
      <c r="Y1895" s="583">
        <f>IF(GLOBAL_DER_FEV_2023!W1895=0,0,IF(GLOBAL_DER_FEV_2023!W1895&gt;0,"c","b"))</f>
        <v>0</v>
      </c>
    </row>
    <row r="1896" spans="1:25" ht="15" hidden="1" customHeight="1" x14ac:dyDescent="0.2">
      <c r="A1896" s="317">
        <v>620800</v>
      </c>
      <c r="B1896" s="895">
        <v>620800</v>
      </c>
      <c r="C1896" s="896" t="s">
        <v>184</v>
      </c>
      <c r="D1896" s="906" t="s">
        <v>353</v>
      </c>
      <c r="E1896" s="907">
        <f>GLOBAL_DER_FEV_2023!E1896</f>
        <v>0</v>
      </c>
      <c r="F1896" s="908">
        <f>GLOBAL_DER_FEV_2023!F1896</f>
        <v>0</v>
      </c>
      <c r="G1896" s="912">
        <f>GLOBAL_DER_FEV_2023!G1896</f>
        <v>693.98811260000002</v>
      </c>
      <c r="H1896" s="901">
        <f>GLOBAL_DER_FEV_2023!H1896</f>
        <v>3307.79</v>
      </c>
      <c r="I1896" s="901">
        <f>GLOBAL_DER_FEV_2023!I1896</f>
        <v>4001.7781126</v>
      </c>
      <c r="J1896" s="902">
        <f>GLOBAL_DER_FEV_2023!J1896</f>
        <v>4804.93</v>
      </c>
      <c r="K1896" s="903" t="s">
        <v>15</v>
      </c>
      <c r="L1896" s="1137"/>
      <c r="M1896" s="1138">
        <f t="shared" si="142"/>
        <v>0</v>
      </c>
      <c r="N1896" s="1176">
        <f t="shared" si="146"/>
        <v>0</v>
      </c>
      <c r="O1896" s="905"/>
      <c r="Q1896" s="317" t="str">
        <f t="shared" si="143"/>
        <v/>
      </c>
      <c r="R1896" s="317" t="str">
        <f t="shared" si="144"/>
        <v/>
      </c>
      <c r="S1896" s="317" t="str">
        <f t="shared" si="145"/>
        <v/>
      </c>
      <c r="T1896" s="317" t="str">
        <f>GLOBAL_DER_FEV_2023!S1896</f>
        <v/>
      </c>
      <c r="W1896" s="582">
        <v>0</v>
      </c>
      <c r="X1896" s="580"/>
      <c r="Y1896" s="583">
        <f>IF(GLOBAL_DER_FEV_2023!W1896=0,0,IF(GLOBAL_DER_FEV_2023!W1896&gt;0,"c","b"))</f>
        <v>0</v>
      </c>
    </row>
    <row r="1897" spans="1:25" ht="15" hidden="1" customHeight="1" x14ac:dyDescent="0.2">
      <c r="A1897" s="317" t="s">
        <v>147</v>
      </c>
      <c r="B1897" s="895" t="s">
        <v>147</v>
      </c>
      <c r="C1897" s="896"/>
      <c r="D1897" s="906" t="s">
        <v>190</v>
      </c>
      <c r="E1897" s="907">
        <f>GLOBAL_DER_FEV_2023!E1897</f>
        <v>308</v>
      </c>
      <c r="F1897" s="908">
        <f>GLOBAL_DER_FEV_2023!F1897</f>
        <v>0.81930000000000003</v>
      </c>
      <c r="G1897" s="909">
        <f>GLOBAL_DER_FEV_2023!G1897</f>
        <v>203.235558</v>
      </c>
      <c r="H1897" s="901">
        <f>GLOBAL_DER_FEV_2023!H1897</f>
        <v>0</v>
      </c>
      <c r="I1897" s="901">
        <f>GLOBAL_DER_FEV_2023!I1897</f>
        <v>0</v>
      </c>
      <c r="J1897" s="902">
        <f>GLOBAL_DER_FEV_2023!J1897</f>
        <v>0</v>
      </c>
      <c r="K1897" s="903"/>
      <c r="L1897" s="1177"/>
      <c r="M1897" s="1138">
        <f t="shared" si="142"/>
        <v>0</v>
      </c>
      <c r="N1897" s="1176">
        <f t="shared" si="146"/>
        <v>0</v>
      </c>
      <c r="O1897" s="905"/>
      <c r="P1897" s="36" t="str">
        <f>IF(N1896&gt;0,"xx",IF(N1896&gt;0,"xy",""))</f>
        <v/>
      </c>
      <c r="Q1897" s="317" t="str">
        <f t="shared" si="143"/>
        <v/>
      </c>
      <c r="R1897" s="317" t="str">
        <f t="shared" si="144"/>
        <v/>
      </c>
      <c r="S1897" s="317" t="str">
        <f t="shared" si="145"/>
        <v/>
      </c>
      <c r="T1897" s="317" t="str">
        <f>GLOBAL_DER_FEV_2023!S1897</f>
        <v/>
      </c>
      <c r="W1897" s="582">
        <v>0</v>
      </c>
      <c r="X1897" s="580"/>
      <c r="Y1897" s="583">
        <f>IF(GLOBAL_DER_FEV_2023!W1897=0,0,IF(GLOBAL_DER_FEV_2023!W1897&gt;0,"c","b"))</f>
        <v>0</v>
      </c>
    </row>
    <row r="1898" spans="1:25" ht="15" hidden="1" customHeight="1" x14ac:dyDescent="0.2">
      <c r="A1898" s="317" t="s">
        <v>147</v>
      </c>
      <c r="B1898" s="895" t="s">
        <v>147</v>
      </c>
      <c r="C1898" s="896"/>
      <c r="D1898" s="906" t="s">
        <v>229</v>
      </c>
      <c r="E1898" s="907">
        <f>GLOBAL_DER_FEV_2023!E1898</f>
        <v>150</v>
      </c>
      <c r="F1898" s="908">
        <f>GLOBAL_DER_FEV_2023!F1898</f>
        <v>2.9131</v>
      </c>
      <c r="G1898" s="949">
        <f>GLOBAL_DER_FEV_2023!G1898</f>
        <v>475.35965800000002</v>
      </c>
      <c r="H1898" s="901">
        <f>GLOBAL_DER_FEV_2023!H1898</f>
        <v>0</v>
      </c>
      <c r="I1898" s="901">
        <f>GLOBAL_DER_FEV_2023!I1898</f>
        <v>0</v>
      </c>
      <c r="J1898" s="902">
        <f>GLOBAL_DER_FEV_2023!J1898</f>
        <v>0</v>
      </c>
      <c r="K1898" s="903"/>
      <c r="L1898" s="1177"/>
      <c r="M1898" s="1138">
        <f t="shared" si="142"/>
        <v>0</v>
      </c>
      <c r="N1898" s="1176">
        <f t="shared" si="146"/>
        <v>0</v>
      </c>
      <c r="O1898" s="905"/>
      <c r="P1898" s="36" t="str">
        <f>IF(N1896&gt;0,"xx",IF(N1896&gt;0,"xy",""))</f>
        <v/>
      </c>
      <c r="Q1898" s="317" t="str">
        <f t="shared" si="143"/>
        <v/>
      </c>
      <c r="R1898" s="317" t="str">
        <f t="shared" si="144"/>
        <v/>
      </c>
      <c r="S1898" s="317" t="str">
        <f t="shared" si="145"/>
        <v/>
      </c>
      <c r="T1898" s="317" t="str">
        <f>GLOBAL_DER_FEV_2023!S1898</f>
        <v/>
      </c>
      <c r="W1898" s="582">
        <v>0</v>
      </c>
      <c r="X1898" s="580"/>
      <c r="Y1898" s="583">
        <f>IF(GLOBAL_DER_FEV_2023!W1898=0,0,IF(GLOBAL_DER_FEV_2023!W1898&gt;0,"c","b"))</f>
        <v>0</v>
      </c>
    </row>
    <row r="1899" spans="1:25" ht="15" hidden="1" customHeight="1" x14ac:dyDescent="0.2">
      <c r="A1899" s="317" t="s">
        <v>147</v>
      </c>
      <c r="B1899" s="895" t="s">
        <v>147</v>
      </c>
      <c r="C1899" s="896"/>
      <c r="D1899" s="906" t="s">
        <v>233</v>
      </c>
      <c r="E1899" s="907">
        <f>GLOBAL_DER_FEV_2023!E1899</f>
        <v>0.2</v>
      </c>
      <c r="F1899" s="908">
        <f>GLOBAL_DER_FEV_2023!F1899</f>
        <v>5.3189000000000002</v>
      </c>
      <c r="G1899" s="949">
        <f>GLOBAL_DER_FEV_2023!G1899</f>
        <v>15.392896600000002</v>
      </c>
      <c r="H1899" s="901">
        <f>GLOBAL_DER_FEV_2023!H1899</f>
        <v>0</v>
      </c>
      <c r="I1899" s="901">
        <f>GLOBAL_DER_FEV_2023!I1899</f>
        <v>0</v>
      </c>
      <c r="J1899" s="902">
        <f>GLOBAL_DER_FEV_2023!J1899</f>
        <v>0</v>
      </c>
      <c r="K1899" s="903"/>
      <c r="L1899" s="1177"/>
      <c r="M1899" s="1138">
        <f t="shared" si="142"/>
        <v>0</v>
      </c>
      <c r="N1899" s="1176">
        <f t="shared" si="146"/>
        <v>0</v>
      </c>
      <c r="O1899" s="905"/>
      <c r="P1899" s="36" t="str">
        <f>IF(N1896&gt;0,"xx",IF(N1896&gt;0,"xy",""))</f>
        <v/>
      </c>
      <c r="Q1899" s="317" t="str">
        <f t="shared" si="143"/>
        <v/>
      </c>
      <c r="R1899" s="317" t="str">
        <f t="shared" si="144"/>
        <v/>
      </c>
      <c r="S1899" s="317" t="str">
        <f t="shared" si="145"/>
        <v/>
      </c>
      <c r="T1899" s="317" t="str">
        <f>GLOBAL_DER_FEV_2023!S1899</f>
        <v/>
      </c>
      <c r="W1899" s="582">
        <v>0</v>
      </c>
      <c r="X1899" s="580"/>
      <c r="Y1899" s="583">
        <f>IF(GLOBAL_DER_FEV_2023!W1899=0,0,IF(GLOBAL_DER_FEV_2023!W1899&gt;0,"c","b"))</f>
        <v>0</v>
      </c>
    </row>
    <row r="1900" spans="1:25" ht="15" hidden="1" customHeight="1" x14ac:dyDescent="0.2">
      <c r="A1900" s="317">
        <v>620900</v>
      </c>
      <c r="B1900" s="895">
        <v>620900</v>
      </c>
      <c r="C1900" s="896" t="s">
        <v>184</v>
      </c>
      <c r="D1900" s="906" t="s">
        <v>354</v>
      </c>
      <c r="E1900" s="907">
        <f>GLOBAL_DER_FEV_2023!E1900</f>
        <v>0</v>
      </c>
      <c r="F1900" s="908">
        <f>GLOBAL_DER_FEV_2023!F1900</f>
        <v>0</v>
      </c>
      <c r="G1900" s="912">
        <f>GLOBAL_DER_FEV_2023!G1900</f>
        <v>1364.1181708000001</v>
      </c>
      <c r="H1900" s="901">
        <f>GLOBAL_DER_FEV_2023!H1900</f>
        <v>5805.6</v>
      </c>
      <c r="I1900" s="901">
        <f>GLOBAL_DER_FEV_2023!I1900</f>
        <v>7169.7181708000007</v>
      </c>
      <c r="J1900" s="902">
        <f>GLOBAL_DER_FEV_2023!J1900</f>
        <v>8608.68</v>
      </c>
      <c r="K1900" s="903" t="s">
        <v>15</v>
      </c>
      <c r="L1900" s="1137"/>
      <c r="M1900" s="1138">
        <f t="shared" si="142"/>
        <v>0</v>
      </c>
      <c r="N1900" s="1176">
        <f t="shared" si="146"/>
        <v>0</v>
      </c>
      <c r="O1900" s="905"/>
      <c r="Q1900" s="317" t="str">
        <f t="shared" si="143"/>
        <v/>
      </c>
      <c r="R1900" s="317" t="str">
        <f t="shared" si="144"/>
        <v/>
      </c>
      <c r="S1900" s="317" t="str">
        <f t="shared" si="145"/>
        <v/>
      </c>
      <c r="T1900" s="317" t="str">
        <f>GLOBAL_DER_FEV_2023!S1900</f>
        <v/>
      </c>
      <c r="W1900" s="582">
        <v>0</v>
      </c>
      <c r="X1900" s="580"/>
      <c r="Y1900" s="583">
        <f>IF(GLOBAL_DER_FEV_2023!W1900=0,0,IF(GLOBAL_DER_FEV_2023!W1900&gt;0,"c","b"))</f>
        <v>0</v>
      </c>
    </row>
    <row r="1901" spans="1:25" ht="15" hidden="1" customHeight="1" x14ac:dyDescent="0.2">
      <c r="A1901" s="317" t="s">
        <v>147</v>
      </c>
      <c r="B1901" s="895" t="s">
        <v>147</v>
      </c>
      <c r="C1901" s="896"/>
      <c r="D1901" s="906" t="s">
        <v>190</v>
      </c>
      <c r="E1901" s="907">
        <f>GLOBAL_DER_FEV_2023!E1901</f>
        <v>308</v>
      </c>
      <c r="F1901" s="908">
        <f>GLOBAL_DER_FEV_2023!F1901</f>
        <v>1.6104000000000001</v>
      </c>
      <c r="G1901" s="909">
        <f>GLOBAL_DER_FEV_2023!G1901</f>
        <v>399.47582399999999</v>
      </c>
      <c r="H1901" s="901">
        <f>GLOBAL_DER_FEV_2023!H1901</f>
        <v>0</v>
      </c>
      <c r="I1901" s="901">
        <f>GLOBAL_DER_FEV_2023!I1901</f>
        <v>0</v>
      </c>
      <c r="J1901" s="902">
        <f>GLOBAL_DER_FEV_2023!J1901</f>
        <v>0</v>
      </c>
      <c r="K1901" s="903"/>
      <c r="L1901" s="1177"/>
      <c r="M1901" s="1138">
        <f t="shared" si="142"/>
        <v>0</v>
      </c>
      <c r="N1901" s="1176">
        <f t="shared" si="146"/>
        <v>0</v>
      </c>
      <c r="O1901" s="905"/>
      <c r="P1901" s="36" t="str">
        <f>IF(N1900&gt;0,"xx",IF(N1900&gt;0,"xy",""))</f>
        <v/>
      </c>
      <c r="Q1901" s="317" t="str">
        <f t="shared" si="143"/>
        <v/>
      </c>
      <c r="R1901" s="317" t="str">
        <f t="shared" si="144"/>
        <v/>
      </c>
      <c r="S1901" s="317" t="str">
        <f t="shared" si="145"/>
        <v/>
      </c>
      <c r="T1901" s="317" t="str">
        <f>GLOBAL_DER_FEV_2023!S1901</f>
        <v/>
      </c>
      <c r="W1901" s="582">
        <v>0</v>
      </c>
      <c r="X1901" s="580"/>
      <c r="Y1901" s="583">
        <f>IF(GLOBAL_DER_FEV_2023!W1901=0,0,IF(GLOBAL_DER_FEV_2023!W1901&gt;0,"c","b"))</f>
        <v>0</v>
      </c>
    </row>
    <row r="1902" spans="1:25" ht="15" hidden="1" customHeight="1" x14ac:dyDescent="0.2">
      <c r="A1902" s="317" t="s">
        <v>147</v>
      </c>
      <c r="B1902" s="895" t="s">
        <v>147</v>
      </c>
      <c r="C1902" s="896"/>
      <c r="D1902" s="906" t="s">
        <v>229</v>
      </c>
      <c r="E1902" s="907">
        <f>GLOBAL_DER_FEV_2023!E1902</f>
        <v>150</v>
      </c>
      <c r="F1902" s="908">
        <f>GLOBAL_DER_FEV_2023!F1902</f>
        <v>5.7260999999999997</v>
      </c>
      <c r="G1902" s="949">
        <f>GLOBAL_DER_FEV_2023!G1902</f>
        <v>934.384998</v>
      </c>
      <c r="H1902" s="901">
        <f>GLOBAL_DER_FEV_2023!H1902</f>
        <v>0</v>
      </c>
      <c r="I1902" s="901">
        <f>GLOBAL_DER_FEV_2023!I1902</f>
        <v>0</v>
      </c>
      <c r="J1902" s="902">
        <f>GLOBAL_DER_FEV_2023!J1902</f>
        <v>0</v>
      </c>
      <c r="K1902" s="903"/>
      <c r="L1902" s="1177"/>
      <c r="M1902" s="1138">
        <f t="shared" si="142"/>
        <v>0</v>
      </c>
      <c r="N1902" s="1176">
        <f t="shared" si="146"/>
        <v>0</v>
      </c>
      <c r="O1902" s="905"/>
      <c r="P1902" s="36" t="str">
        <f>IF(N1900&gt;0,"xx",IF(N1900&gt;0,"xy",""))</f>
        <v/>
      </c>
      <c r="Q1902" s="317" t="str">
        <f t="shared" si="143"/>
        <v/>
      </c>
      <c r="R1902" s="317" t="str">
        <f t="shared" si="144"/>
        <v/>
      </c>
      <c r="S1902" s="317" t="str">
        <f t="shared" si="145"/>
        <v/>
      </c>
      <c r="T1902" s="317" t="str">
        <f>GLOBAL_DER_FEV_2023!S1902</f>
        <v/>
      </c>
      <c r="W1902" s="582">
        <v>0</v>
      </c>
      <c r="X1902" s="580"/>
      <c r="Y1902" s="583">
        <f>IF(GLOBAL_DER_FEV_2023!W1902=0,0,IF(GLOBAL_DER_FEV_2023!W1902&gt;0,"c","b"))</f>
        <v>0</v>
      </c>
    </row>
    <row r="1903" spans="1:25" ht="15" hidden="1" customHeight="1" x14ac:dyDescent="0.2">
      <c r="A1903" s="317" t="s">
        <v>147</v>
      </c>
      <c r="B1903" s="895" t="s">
        <v>147</v>
      </c>
      <c r="C1903" s="896"/>
      <c r="D1903" s="906" t="s">
        <v>233</v>
      </c>
      <c r="E1903" s="907">
        <f>GLOBAL_DER_FEV_2023!E1903</f>
        <v>0.2</v>
      </c>
      <c r="F1903" s="908">
        <f>GLOBAL_DER_FEV_2023!F1903</f>
        <v>10.4552</v>
      </c>
      <c r="G1903" s="949">
        <f>GLOBAL_DER_FEV_2023!G1903</f>
        <v>30.257348799999999</v>
      </c>
      <c r="H1903" s="901">
        <f>GLOBAL_DER_FEV_2023!H1903</f>
        <v>0</v>
      </c>
      <c r="I1903" s="901">
        <f>GLOBAL_DER_FEV_2023!I1903</f>
        <v>0</v>
      </c>
      <c r="J1903" s="902">
        <f>GLOBAL_DER_FEV_2023!J1903</f>
        <v>0</v>
      </c>
      <c r="K1903" s="903"/>
      <c r="L1903" s="1177"/>
      <c r="M1903" s="1138">
        <f t="shared" si="142"/>
        <v>0</v>
      </c>
      <c r="N1903" s="1176">
        <f t="shared" si="146"/>
        <v>0</v>
      </c>
      <c r="O1903" s="905"/>
      <c r="P1903" s="36" t="str">
        <f>IF(N1900&gt;0,"xx",IF(N1900&gt;0,"xy",""))</f>
        <v/>
      </c>
      <c r="Q1903" s="317" t="str">
        <f t="shared" si="143"/>
        <v/>
      </c>
      <c r="R1903" s="317" t="str">
        <f t="shared" si="144"/>
        <v/>
      </c>
      <c r="S1903" s="317" t="str">
        <f t="shared" si="145"/>
        <v/>
      </c>
      <c r="T1903" s="317" t="str">
        <f>GLOBAL_DER_FEV_2023!S1903</f>
        <v/>
      </c>
      <c r="W1903" s="582">
        <v>0</v>
      </c>
      <c r="X1903" s="580"/>
      <c r="Y1903" s="583">
        <f>IF(GLOBAL_DER_FEV_2023!W1903=0,0,IF(GLOBAL_DER_FEV_2023!W1903&gt;0,"c","b"))</f>
        <v>0</v>
      </c>
    </row>
    <row r="1904" spans="1:25" ht="15" hidden="1" customHeight="1" x14ac:dyDescent="0.2">
      <c r="A1904" s="317">
        <v>621000</v>
      </c>
      <c r="B1904" s="895">
        <v>621000</v>
      </c>
      <c r="C1904" s="896" t="s">
        <v>184</v>
      </c>
      <c r="D1904" s="906" t="s">
        <v>355</v>
      </c>
      <c r="E1904" s="907">
        <f>GLOBAL_DER_FEV_2023!E1904</f>
        <v>0</v>
      </c>
      <c r="F1904" s="908">
        <f>GLOBAL_DER_FEV_2023!F1904</f>
        <v>0</v>
      </c>
      <c r="G1904" s="912">
        <f>GLOBAL_DER_FEV_2023!G1904</f>
        <v>2609.7806770000002</v>
      </c>
      <c r="H1904" s="901">
        <f>GLOBAL_DER_FEV_2023!H1904</f>
        <v>10293.86</v>
      </c>
      <c r="I1904" s="901">
        <f>GLOBAL_DER_FEV_2023!I1904</f>
        <v>12903.640677000001</v>
      </c>
      <c r="J1904" s="902">
        <f>GLOBAL_DER_FEV_2023!J1904</f>
        <v>15493.4</v>
      </c>
      <c r="K1904" s="903" t="s">
        <v>15</v>
      </c>
      <c r="L1904" s="1137"/>
      <c r="M1904" s="1138">
        <f t="shared" si="142"/>
        <v>0</v>
      </c>
      <c r="N1904" s="1176">
        <f t="shared" si="146"/>
        <v>0</v>
      </c>
      <c r="O1904" s="905"/>
      <c r="Q1904" s="317" t="str">
        <f t="shared" si="143"/>
        <v/>
      </c>
      <c r="R1904" s="317" t="str">
        <f t="shared" si="144"/>
        <v/>
      </c>
      <c r="S1904" s="317" t="str">
        <f t="shared" si="145"/>
        <v/>
      </c>
      <c r="T1904" s="317" t="str">
        <f>GLOBAL_DER_FEV_2023!S1904</f>
        <v/>
      </c>
      <c r="W1904" s="582">
        <v>0</v>
      </c>
      <c r="X1904" s="580"/>
      <c r="Y1904" s="583">
        <f>IF(GLOBAL_DER_FEV_2023!W1904=0,0,IF(GLOBAL_DER_FEV_2023!W1904&gt;0,"c","b"))</f>
        <v>0</v>
      </c>
    </row>
    <row r="1905" spans="1:25" ht="15" hidden="1" customHeight="1" x14ac:dyDescent="0.2">
      <c r="A1905" s="317" t="s">
        <v>147</v>
      </c>
      <c r="B1905" s="895" t="s">
        <v>147</v>
      </c>
      <c r="C1905" s="896"/>
      <c r="D1905" s="906" t="s">
        <v>190</v>
      </c>
      <c r="E1905" s="907">
        <f>GLOBAL_DER_FEV_2023!E1905</f>
        <v>308</v>
      </c>
      <c r="F1905" s="908">
        <f>GLOBAL_DER_FEV_2023!F1905</f>
        <v>3.081</v>
      </c>
      <c r="G1905" s="909">
        <f>GLOBAL_DER_FEV_2023!G1905</f>
        <v>764.27286000000004</v>
      </c>
      <c r="H1905" s="901">
        <f>GLOBAL_DER_FEV_2023!H1905</f>
        <v>0</v>
      </c>
      <c r="I1905" s="901">
        <f>GLOBAL_DER_FEV_2023!I1905</f>
        <v>0</v>
      </c>
      <c r="J1905" s="902">
        <f>GLOBAL_DER_FEV_2023!J1905</f>
        <v>0</v>
      </c>
      <c r="K1905" s="903"/>
      <c r="L1905" s="1177"/>
      <c r="M1905" s="1138">
        <f t="shared" si="142"/>
        <v>0</v>
      </c>
      <c r="N1905" s="1176">
        <f t="shared" si="146"/>
        <v>0</v>
      </c>
      <c r="O1905" s="905"/>
      <c r="P1905" s="36" t="str">
        <f>IF(N1904&gt;0,"xx",IF(N1904&gt;0,"xy",""))</f>
        <v/>
      </c>
      <c r="Q1905" s="317" t="str">
        <f t="shared" si="143"/>
        <v/>
      </c>
      <c r="R1905" s="317" t="str">
        <f t="shared" si="144"/>
        <v/>
      </c>
      <c r="S1905" s="317" t="str">
        <f t="shared" si="145"/>
        <v/>
      </c>
      <c r="T1905" s="317" t="str">
        <f>GLOBAL_DER_FEV_2023!S1905</f>
        <v/>
      </c>
      <c r="W1905" s="582">
        <v>0</v>
      </c>
      <c r="X1905" s="580"/>
      <c r="Y1905" s="583">
        <f>IF(GLOBAL_DER_FEV_2023!W1905=0,0,IF(GLOBAL_DER_FEV_2023!W1905&gt;0,"c","b"))</f>
        <v>0</v>
      </c>
    </row>
    <row r="1906" spans="1:25" ht="15" hidden="1" customHeight="1" x14ac:dyDescent="0.2">
      <c r="A1906" s="317" t="s">
        <v>147</v>
      </c>
      <c r="B1906" s="895" t="s">
        <v>147</v>
      </c>
      <c r="C1906" s="896"/>
      <c r="D1906" s="906" t="s">
        <v>229</v>
      </c>
      <c r="E1906" s="907">
        <f>GLOBAL_DER_FEV_2023!E1906</f>
        <v>150</v>
      </c>
      <c r="F1906" s="908">
        <f>GLOBAL_DER_FEV_2023!F1906</f>
        <v>10.9549</v>
      </c>
      <c r="G1906" s="949">
        <f>GLOBAL_DER_FEV_2023!G1906</f>
        <v>1787.620582</v>
      </c>
      <c r="H1906" s="901">
        <f>GLOBAL_DER_FEV_2023!H1906</f>
        <v>0</v>
      </c>
      <c r="I1906" s="901">
        <f>GLOBAL_DER_FEV_2023!I1906</f>
        <v>0</v>
      </c>
      <c r="J1906" s="902">
        <f>GLOBAL_DER_FEV_2023!J1906</f>
        <v>0</v>
      </c>
      <c r="K1906" s="903"/>
      <c r="L1906" s="1177"/>
      <c r="M1906" s="1138">
        <f t="shared" si="142"/>
        <v>0</v>
      </c>
      <c r="N1906" s="1176">
        <f t="shared" si="146"/>
        <v>0</v>
      </c>
      <c r="O1906" s="905"/>
      <c r="P1906" s="36" t="str">
        <f>IF(N1904&gt;0,"xx",IF(N1904&gt;0,"xy",""))</f>
        <v/>
      </c>
      <c r="Q1906" s="317" t="str">
        <f t="shared" si="143"/>
        <v/>
      </c>
      <c r="R1906" s="317" t="str">
        <f t="shared" si="144"/>
        <v/>
      </c>
      <c r="S1906" s="317" t="str">
        <f t="shared" si="145"/>
        <v/>
      </c>
      <c r="T1906" s="317" t="str">
        <f>GLOBAL_DER_FEV_2023!S1906</f>
        <v/>
      </c>
      <c r="W1906" s="582">
        <v>0</v>
      </c>
      <c r="X1906" s="580"/>
      <c r="Y1906" s="583">
        <f>IF(GLOBAL_DER_FEV_2023!W1906=0,0,IF(GLOBAL_DER_FEV_2023!W1906&gt;0,"c","b"))</f>
        <v>0</v>
      </c>
    </row>
    <row r="1907" spans="1:25" ht="15" hidden="1" customHeight="1" x14ac:dyDescent="0.2">
      <c r="A1907" s="317" t="s">
        <v>147</v>
      </c>
      <c r="B1907" s="895" t="s">
        <v>147</v>
      </c>
      <c r="C1907" s="896"/>
      <c r="D1907" s="906" t="s">
        <v>233</v>
      </c>
      <c r="E1907" s="907">
        <f>GLOBAL_DER_FEV_2023!E1907</f>
        <v>0.2</v>
      </c>
      <c r="F1907" s="908">
        <f>GLOBAL_DER_FEV_2023!F1907</f>
        <v>20.002500000000001</v>
      </c>
      <c r="G1907" s="949">
        <f>GLOBAL_DER_FEV_2023!G1907</f>
        <v>57.887235000000004</v>
      </c>
      <c r="H1907" s="901">
        <f>GLOBAL_DER_FEV_2023!H1907</f>
        <v>0</v>
      </c>
      <c r="I1907" s="901">
        <f>GLOBAL_DER_FEV_2023!I1907</f>
        <v>0</v>
      </c>
      <c r="J1907" s="902">
        <f>GLOBAL_DER_FEV_2023!J1907</f>
        <v>0</v>
      </c>
      <c r="K1907" s="903"/>
      <c r="L1907" s="1177"/>
      <c r="M1907" s="1138">
        <f t="shared" si="142"/>
        <v>0</v>
      </c>
      <c r="N1907" s="1176">
        <f t="shared" si="146"/>
        <v>0</v>
      </c>
      <c r="O1907" s="905"/>
      <c r="P1907" s="36" t="str">
        <f>IF(N1904&gt;0,"xx",IF(N1904&gt;0,"xy",""))</f>
        <v/>
      </c>
      <c r="Q1907" s="317" t="str">
        <f t="shared" si="143"/>
        <v/>
      </c>
      <c r="R1907" s="317" t="str">
        <f t="shared" si="144"/>
        <v/>
      </c>
      <c r="S1907" s="317" t="str">
        <f t="shared" si="145"/>
        <v/>
      </c>
      <c r="T1907" s="317" t="str">
        <f>GLOBAL_DER_FEV_2023!S1907</f>
        <v/>
      </c>
      <c r="W1907" s="582">
        <v>0</v>
      </c>
      <c r="X1907" s="580"/>
      <c r="Y1907" s="583">
        <f>IF(GLOBAL_DER_FEV_2023!W1907=0,0,IF(GLOBAL_DER_FEV_2023!W1907&gt;0,"c","b"))</f>
        <v>0</v>
      </c>
    </row>
    <row r="1908" spans="1:25" ht="15" hidden="1" customHeight="1" x14ac:dyDescent="0.2">
      <c r="A1908" s="317">
        <v>620100</v>
      </c>
      <c r="B1908" s="895" t="s">
        <v>1819</v>
      </c>
      <c r="C1908" s="896" t="s">
        <v>184</v>
      </c>
      <c r="D1908" s="906" t="s">
        <v>356</v>
      </c>
      <c r="E1908" s="907">
        <f>GLOBAL_DER_FEV_2023!E1908</f>
        <v>0</v>
      </c>
      <c r="F1908" s="908">
        <f>GLOBAL_DER_FEV_2023!F1908</f>
        <v>0</v>
      </c>
      <c r="G1908" s="912">
        <f>GLOBAL_DER_FEV_2023!G1908</f>
        <v>317.53582400000005</v>
      </c>
      <c r="H1908" s="901">
        <f>GLOBAL_DER_FEV_2023!H1908</f>
        <v>954.15</v>
      </c>
      <c r="I1908" s="901">
        <f>GLOBAL_DER_FEV_2023!I1908</f>
        <v>1271.6858240000001</v>
      </c>
      <c r="J1908" s="902">
        <f>GLOBAL_DER_FEV_2023!J1908</f>
        <v>1526.91</v>
      </c>
      <c r="K1908" s="903" t="s">
        <v>15</v>
      </c>
      <c r="L1908" s="1137"/>
      <c r="M1908" s="1138">
        <f t="shared" si="142"/>
        <v>0</v>
      </c>
      <c r="N1908" s="1176">
        <f t="shared" si="146"/>
        <v>0</v>
      </c>
      <c r="O1908" s="905"/>
      <c r="Q1908" s="317" t="str">
        <f t="shared" si="143"/>
        <v/>
      </c>
      <c r="R1908" s="317" t="str">
        <f t="shared" si="144"/>
        <v/>
      </c>
      <c r="S1908" s="317" t="str">
        <f t="shared" si="145"/>
        <v/>
      </c>
      <c r="T1908" s="317" t="str">
        <f>GLOBAL_DER_FEV_2023!S1908</f>
        <v/>
      </c>
      <c r="W1908" s="582">
        <v>0</v>
      </c>
      <c r="X1908" s="580"/>
      <c r="Y1908" s="583">
        <f>IF(GLOBAL_DER_FEV_2023!W1908=0,0,IF(GLOBAL_DER_FEV_2023!W1908&gt;0,"c","b"))</f>
        <v>0</v>
      </c>
    </row>
    <row r="1909" spans="1:25" ht="15" hidden="1" customHeight="1" x14ac:dyDescent="0.2">
      <c r="A1909" s="317" t="s">
        <v>147</v>
      </c>
      <c r="B1909" s="895" t="s">
        <v>147</v>
      </c>
      <c r="C1909" s="896"/>
      <c r="D1909" s="906" t="s">
        <v>190</v>
      </c>
      <c r="E1909" s="907">
        <f>GLOBAL_DER_FEV_2023!E1909</f>
        <v>308</v>
      </c>
      <c r="F1909" s="908">
        <f>GLOBAL_DER_FEV_2023!F1909</f>
        <v>0.37480000000000002</v>
      </c>
      <c r="G1909" s="909">
        <f>GLOBAL_DER_FEV_2023!G1909</f>
        <v>92.972888000000012</v>
      </c>
      <c r="H1909" s="901">
        <f>GLOBAL_DER_FEV_2023!H1909</f>
        <v>0</v>
      </c>
      <c r="I1909" s="901">
        <f>GLOBAL_DER_FEV_2023!I1909</f>
        <v>0</v>
      </c>
      <c r="J1909" s="902">
        <f>GLOBAL_DER_FEV_2023!J1909</f>
        <v>0</v>
      </c>
      <c r="K1909" s="903"/>
      <c r="L1909" s="1177"/>
      <c r="M1909" s="1138">
        <f t="shared" si="142"/>
        <v>0</v>
      </c>
      <c r="N1909" s="1176">
        <f t="shared" si="146"/>
        <v>0</v>
      </c>
      <c r="O1909" s="905"/>
      <c r="P1909" s="36" t="str">
        <f>IF(N1908&gt;0,"xx",IF(N1908&gt;0,"xy",""))</f>
        <v/>
      </c>
      <c r="Q1909" s="317" t="str">
        <f t="shared" si="143"/>
        <v/>
      </c>
      <c r="R1909" s="317" t="str">
        <f t="shared" si="144"/>
        <v/>
      </c>
      <c r="S1909" s="317" t="str">
        <f t="shared" si="145"/>
        <v/>
      </c>
      <c r="T1909" s="317" t="str">
        <f>GLOBAL_DER_FEV_2023!S1909</f>
        <v/>
      </c>
      <c r="W1909" s="582">
        <v>0</v>
      </c>
      <c r="X1909" s="580"/>
      <c r="Y1909" s="583">
        <f>IF(GLOBAL_DER_FEV_2023!W1909=0,0,IF(GLOBAL_DER_FEV_2023!W1909&gt;0,"c","b"))</f>
        <v>0</v>
      </c>
    </row>
    <row r="1910" spans="1:25" ht="15" hidden="1" customHeight="1" x14ac:dyDescent="0.2">
      <c r="A1910" s="317" t="s">
        <v>147</v>
      </c>
      <c r="B1910" s="895" t="s">
        <v>147</v>
      </c>
      <c r="C1910" s="896"/>
      <c r="D1910" s="906" t="s">
        <v>229</v>
      </c>
      <c r="E1910" s="907">
        <f>GLOBAL_DER_FEV_2023!E1910</f>
        <v>150</v>
      </c>
      <c r="F1910" s="908">
        <f>GLOBAL_DER_FEV_2023!F1910</f>
        <v>1.333</v>
      </c>
      <c r="G1910" s="949">
        <f>GLOBAL_DER_FEV_2023!G1910</f>
        <v>217.51894000000001</v>
      </c>
      <c r="H1910" s="901">
        <f>GLOBAL_DER_FEV_2023!H1910</f>
        <v>0</v>
      </c>
      <c r="I1910" s="901">
        <f>GLOBAL_DER_FEV_2023!I1910</f>
        <v>0</v>
      </c>
      <c r="J1910" s="902">
        <f>GLOBAL_DER_FEV_2023!J1910</f>
        <v>0</v>
      </c>
      <c r="K1910" s="903"/>
      <c r="L1910" s="1177"/>
      <c r="M1910" s="1138">
        <f t="shared" si="142"/>
        <v>0</v>
      </c>
      <c r="N1910" s="1176">
        <f t="shared" si="146"/>
        <v>0</v>
      </c>
      <c r="O1910" s="905"/>
      <c r="P1910" s="36" t="str">
        <f>IF(N1908&gt;0,"xx",IF(N1908&gt;0,"xy",""))</f>
        <v/>
      </c>
      <c r="Q1910" s="317" t="str">
        <f t="shared" si="143"/>
        <v/>
      </c>
      <c r="R1910" s="317" t="str">
        <f t="shared" si="144"/>
        <v/>
      </c>
      <c r="S1910" s="317" t="str">
        <f t="shared" si="145"/>
        <v/>
      </c>
      <c r="T1910" s="317" t="str">
        <f>GLOBAL_DER_FEV_2023!S1910</f>
        <v/>
      </c>
      <c r="W1910" s="582">
        <v>0</v>
      </c>
      <c r="X1910" s="580"/>
      <c r="Y1910" s="583">
        <f>IF(GLOBAL_DER_FEV_2023!W1910=0,0,IF(GLOBAL_DER_FEV_2023!W1910&gt;0,"c","b"))</f>
        <v>0</v>
      </c>
    </row>
    <row r="1911" spans="1:25" ht="15" hidden="1" customHeight="1" x14ac:dyDescent="0.2">
      <c r="A1911" s="317" t="s">
        <v>147</v>
      </c>
      <c r="B1911" s="895" t="s">
        <v>147</v>
      </c>
      <c r="C1911" s="896"/>
      <c r="D1911" s="906" t="s">
        <v>233</v>
      </c>
      <c r="E1911" s="907">
        <f>GLOBAL_DER_FEV_2023!E1911</f>
        <v>0.2</v>
      </c>
      <c r="F1911" s="908">
        <f>GLOBAL_DER_FEV_2023!F1911</f>
        <v>2.4340000000000002</v>
      </c>
      <c r="G1911" s="949">
        <f>GLOBAL_DER_FEV_2023!G1911</f>
        <v>7.0439960000000008</v>
      </c>
      <c r="H1911" s="901">
        <f>GLOBAL_DER_FEV_2023!H1911</f>
        <v>0</v>
      </c>
      <c r="I1911" s="901">
        <f>GLOBAL_DER_FEV_2023!I1911</f>
        <v>0</v>
      </c>
      <c r="J1911" s="902">
        <f>GLOBAL_DER_FEV_2023!J1911</f>
        <v>0</v>
      </c>
      <c r="K1911" s="903"/>
      <c r="L1911" s="1177"/>
      <c r="M1911" s="1138">
        <f t="shared" si="142"/>
        <v>0</v>
      </c>
      <c r="N1911" s="1176">
        <f t="shared" si="146"/>
        <v>0</v>
      </c>
      <c r="O1911" s="905"/>
      <c r="P1911" s="36" t="str">
        <f>IF(N1908&gt;0,"xx",IF(N1908&gt;0,"xy",""))</f>
        <v/>
      </c>
      <c r="Q1911" s="317" t="str">
        <f t="shared" si="143"/>
        <v/>
      </c>
      <c r="R1911" s="317" t="str">
        <f t="shared" si="144"/>
        <v/>
      </c>
      <c r="S1911" s="317" t="str">
        <f t="shared" si="145"/>
        <v/>
      </c>
      <c r="T1911" s="317" t="str">
        <f>GLOBAL_DER_FEV_2023!S1911</f>
        <v/>
      </c>
      <c r="W1911" s="582">
        <v>0</v>
      </c>
      <c r="X1911" s="580"/>
      <c r="Y1911" s="583">
        <f>IF(GLOBAL_DER_FEV_2023!W1911=0,0,IF(GLOBAL_DER_FEV_2023!W1911&gt;0,"c","b"))</f>
        <v>0</v>
      </c>
    </row>
    <row r="1912" spans="1:25" ht="15" hidden="1" customHeight="1" x14ac:dyDescent="0.2">
      <c r="A1912" s="317">
        <v>620200</v>
      </c>
      <c r="B1912" s="895" t="s">
        <v>1822</v>
      </c>
      <c r="C1912" s="896" t="s">
        <v>184</v>
      </c>
      <c r="D1912" s="906" t="s">
        <v>357</v>
      </c>
      <c r="E1912" s="907">
        <f>GLOBAL_DER_FEV_2023!E1912</f>
        <v>0</v>
      </c>
      <c r="F1912" s="908">
        <f>GLOBAL_DER_FEV_2023!F1912</f>
        <v>0</v>
      </c>
      <c r="G1912" s="912">
        <f>GLOBAL_DER_FEV_2023!G1912</f>
        <v>460.436328</v>
      </c>
      <c r="H1912" s="901">
        <f>GLOBAL_DER_FEV_2023!H1912</f>
        <v>1321.46</v>
      </c>
      <c r="I1912" s="901">
        <f>GLOBAL_DER_FEV_2023!I1912</f>
        <v>1781.896328</v>
      </c>
      <c r="J1912" s="902">
        <f>GLOBAL_DER_FEV_2023!J1912</f>
        <v>2139.52</v>
      </c>
      <c r="K1912" s="903" t="s">
        <v>15</v>
      </c>
      <c r="L1912" s="1137"/>
      <c r="M1912" s="1138">
        <f t="shared" si="142"/>
        <v>0</v>
      </c>
      <c r="N1912" s="1176">
        <f t="shared" si="146"/>
        <v>0</v>
      </c>
      <c r="O1912" s="905"/>
      <c r="Q1912" s="317" t="str">
        <f t="shared" si="143"/>
        <v/>
      </c>
      <c r="R1912" s="317" t="str">
        <f t="shared" si="144"/>
        <v/>
      </c>
      <c r="S1912" s="317" t="str">
        <f t="shared" si="145"/>
        <v/>
      </c>
      <c r="T1912" s="317" t="str">
        <f>GLOBAL_DER_FEV_2023!S1912</f>
        <v/>
      </c>
      <c r="W1912" s="582">
        <v>0</v>
      </c>
      <c r="X1912" s="580"/>
      <c r="Y1912" s="583">
        <f>IF(GLOBAL_DER_FEV_2023!W1912=0,0,IF(GLOBAL_DER_FEV_2023!W1912&gt;0,"c","b"))</f>
        <v>0</v>
      </c>
    </row>
    <row r="1913" spans="1:25" ht="15" hidden="1" customHeight="1" x14ac:dyDescent="0.2">
      <c r="A1913" s="317" t="s">
        <v>147</v>
      </c>
      <c r="B1913" s="895" t="s">
        <v>147</v>
      </c>
      <c r="C1913" s="896"/>
      <c r="D1913" s="906" t="s">
        <v>190</v>
      </c>
      <c r="E1913" s="907">
        <f>GLOBAL_DER_FEV_2023!E1913</f>
        <v>308</v>
      </c>
      <c r="F1913" s="908">
        <f>GLOBAL_DER_FEV_2023!F1913</f>
        <v>0.54359999999999997</v>
      </c>
      <c r="G1913" s="909">
        <f>GLOBAL_DER_FEV_2023!G1913</f>
        <v>134.845416</v>
      </c>
      <c r="H1913" s="901">
        <f>GLOBAL_DER_FEV_2023!H1913</f>
        <v>0</v>
      </c>
      <c r="I1913" s="901">
        <f>GLOBAL_DER_FEV_2023!I1913</f>
        <v>0</v>
      </c>
      <c r="J1913" s="902">
        <f>GLOBAL_DER_FEV_2023!J1913</f>
        <v>0</v>
      </c>
      <c r="K1913" s="903"/>
      <c r="L1913" s="1177"/>
      <c r="M1913" s="1138">
        <f t="shared" si="142"/>
        <v>0</v>
      </c>
      <c r="N1913" s="1176">
        <f t="shared" si="146"/>
        <v>0</v>
      </c>
      <c r="O1913" s="905"/>
      <c r="P1913" s="36" t="str">
        <f>IF(N1912&gt;0,"xx",IF(N1912&gt;0,"xy",""))</f>
        <v/>
      </c>
      <c r="Q1913" s="317" t="str">
        <f t="shared" si="143"/>
        <v/>
      </c>
      <c r="R1913" s="317" t="str">
        <f t="shared" si="144"/>
        <v/>
      </c>
      <c r="S1913" s="317" t="str">
        <f t="shared" si="145"/>
        <v/>
      </c>
      <c r="T1913" s="317" t="str">
        <f>GLOBAL_DER_FEV_2023!S1913</f>
        <v/>
      </c>
      <c r="W1913" s="582">
        <v>0</v>
      </c>
      <c r="X1913" s="580"/>
      <c r="Y1913" s="583">
        <f>IF(GLOBAL_DER_FEV_2023!W1913=0,0,IF(GLOBAL_DER_FEV_2023!W1913&gt;0,"c","b"))</f>
        <v>0</v>
      </c>
    </row>
    <row r="1914" spans="1:25" ht="15" hidden="1" customHeight="1" x14ac:dyDescent="0.2">
      <c r="A1914" s="317" t="s">
        <v>147</v>
      </c>
      <c r="B1914" s="895" t="s">
        <v>147</v>
      </c>
      <c r="C1914" s="896"/>
      <c r="D1914" s="906" t="s">
        <v>229</v>
      </c>
      <c r="E1914" s="907">
        <f>GLOBAL_DER_FEV_2023!E1914</f>
        <v>150</v>
      </c>
      <c r="F1914" s="908">
        <f>GLOBAL_DER_FEV_2023!F1914</f>
        <v>1.9327000000000001</v>
      </c>
      <c r="G1914" s="949">
        <f>GLOBAL_DER_FEV_2023!G1914</f>
        <v>315.37798600000002</v>
      </c>
      <c r="H1914" s="901">
        <f>GLOBAL_DER_FEV_2023!H1914</f>
        <v>0</v>
      </c>
      <c r="I1914" s="901">
        <f>GLOBAL_DER_FEV_2023!I1914</f>
        <v>0</v>
      </c>
      <c r="J1914" s="902">
        <f>GLOBAL_DER_FEV_2023!J1914</f>
        <v>0</v>
      </c>
      <c r="K1914" s="903"/>
      <c r="L1914" s="1177"/>
      <c r="M1914" s="1138">
        <f t="shared" si="142"/>
        <v>0</v>
      </c>
      <c r="N1914" s="1176">
        <f t="shared" si="146"/>
        <v>0</v>
      </c>
      <c r="O1914" s="905"/>
      <c r="P1914" s="36" t="str">
        <f>IF(N1912&gt;0,"xx",IF(N1912&gt;0,"xy",""))</f>
        <v/>
      </c>
      <c r="Q1914" s="317" t="str">
        <f t="shared" si="143"/>
        <v/>
      </c>
      <c r="R1914" s="317" t="str">
        <f t="shared" si="144"/>
        <v/>
      </c>
      <c r="S1914" s="317" t="str">
        <f t="shared" si="145"/>
        <v/>
      </c>
      <c r="T1914" s="317" t="str">
        <f>GLOBAL_DER_FEV_2023!S1914</f>
        <v/>
      </c>
      <c r="W1914" s="582">
        <v>0</v>
      </c>
      <c r="X1914" s="580"/>
      <c r="Y1914" s="583">
        <f>IF(GLOBAL_DER_FEV_2023!W1914=0,0,IF(GLOBAL_DER_FEV_2023!W1914&gt;0,"c","b"))</f>
        <v>0</v>
      </c>
    </row>
    <row r="1915" spans="1:25" ht="15" hidden="1" customHeight="1" x14ac:dyDescent="0.2">
      <c r="A1915" s="317" t="s">
        <v>147</v>
      </c>
      <c r="B1915" s="895" t="s">
        <v>147</v>
      </c>
      <c r="C1915" s="896"/>
      <c r="D1915" s="906" t="s">
        <v>233</v>
      </c>
      <c r="E1915" s="907">
        <f>GLOBAL_DER_FEV_2023!E1915</f>
        <v>0.2</v>
      </c>
      <c r="F1915" s="908">
        <f>GLOBAL_DER_FEV_2023!F1915</f>
        <v>3.5289999999999999</v>
      </c>
      <c r="G1915" s="949">
        <f>GLOBAL_DER_FEV_2023!G1915</f>
        <v>10.212926</v>
      </c>
      <c r="H1915" s="901">
        <f>GLOBAL_DER_FEV_2023!H1915</f>
        <v>0</v>
      </c>
      <c r="I1915" s="901">
        <f>GLOBAL_DER_FEV_2023!I1915</f>
        <v>0</v>
      </c>
      <c r="J1915" s="902">
        <f>GLOBAL_DER_FEV_2023!J1915</f>
        <v>0</v>
      </c>
      <c r="K1915" s="903"/>
      <c r="L1915" s="1177"/>
      <c r="M1915" s="1138">
        <f t="shared" si="142"/>
        <v>0</v>
      </c>
      <c r="N1915" s="1176">
        <f t="shared" si="146"/>
        <v>0</v>
      </c>
      <c r="O1915" s="905"/>
      <c r="P1915" s="36" t="str">
        <f>IF(N1912&gt;0,"xx",IF(N1912&gt;0,"xy",""))</f>
        <v/>
      </c>
      <c r="Q1915" s="317" t="str">
        <f t="shared" si="143"/>
        <v/>
      </c>
      <c r="R1915" s="317" t="str">
        <f t="shared" si="144"/>
        <v/>
      </c>
      <c r="S1915" s="317" t="str">
        <f t="shared" si="145"/>
        <v/>
      </c>
      <c r="T1915" s="317" t="str">
        <f>GLOBAL_DER_FEV_2023!S1915</f>
        <v/>
      </c>
      <c r="W1915" s="582">
        <v>0</v>
      </c>
      <c r="X1915" s="580"/>
      <c r="Y1915" s="583">
        <f>IF(GLOBAL_DER_FEV_2023!W1915=0,0,IF(GLOBAL_DER_FEV_2023!W1915&gt;0,"c","b"))</f>
        <v>0</v>
      </c>
    </row>
    <row r="1916" spans="1:25" ht="15" hidden="1" customHeight="1" x14ac:dyDescent="0.2">
      <c r="A1916" s="317">
        <v>621100</v>
      </c>
      <c r="B1916" s="895">
        <v>621100</v>
      </c>
      <c r="C1916" s="896" t="s">
        <v>184</v>
      </c>
      <c r="D1916" s="906" t="s">
        <v>358</v>
      </c>
      <c r="E1916" s="907">
        <f>GLOBAL_DER_FEV_2023!E1916</f>
        <v>0</v>
      </c>
      <c r="F1916" s="908">
        <f>GLOBAL_DER_FEV_2023!F1916</f>
        <v>0</v>
      </c>
      <c r="G1916" s="912">
        <f>GLOBAL_DER_FEV_2023!G1916</f>
        <v>690.93925180000008</v>
      </c>
      <c r="H1916" s="901">
        <f>GLOBAL_DER_FEV_2023!H1916</f>
        <v>3322.38</v>
      </c>
      <c r="I1916" s="901">
        <f>GLOBAL_DER_FEV_2023!I1916</f>
        <v>4013.3192518000001</v>
      </c>
      <c r="J1916" s="902">
        <f>GLOBAL_DER_FEV_2023!J1916</f>
        <v>4818.79</v>
      </c>
      <c r="K1916" s="903" t="s">
        <v>15</v>
      </c>
      <c r="L1916" s="1137"/>
      <c r="M1916" s="1138">
        <f t="shared" si="142"/>
        <v>0</v>
      </c>
      <c r="N1916" s="1176">
        <f t="shared" si="146"/>
        <v>0</v>
      </c>
      <c r="O1916" s="905"/>
      <c r="Q1916" s="317" t="str">
        <f t="shared" si="143"/>
        <v/>
      </c>
      <c r="R1916" s="317" t="str">
        <f t="shared" si="144"/>
        <v/>
      </c>
      <c r="S1916" s="317" t="str">
        <f t="shared" si="145"/>
        <v/>
      </c>
      <c r="T1916" s="317" t="str">
        <f>GLOBAL_DER_FEV_2023!S1916</f>
        <v/>
      </c>
      <c r="W1916" s="582">
        <v>0</v>
      </c>
      <c r="X1916" s="580"/>
      <c r="Y1916" s="583">
        <f>IF(GLOBAL_DER_FEV_2023!W1916=0,0,IF(GLOBAL_DER_FEV_2023!W1916&gt;0,"c","b"))</f>
        <v>0</v>
      </c>
    </row>
    <row r="1917" spans="1:25" ht="15" hidden="1" customHeight="1" x14ac:dyDescent="0.2">
      <c r="A1917" s="317" t="s">
        <v>147</v>
      </c>
      <c r="B1917" s="895" t="s">
        <v>147</v>
      </c>
      <c r="C1917" s="896"/>
      <c r="D1917" s="906" t="s">
        <v>190</v>
      </c>
      <c r="E1917" s="907">
        <f>GLOBAL_DER_FEV_2023!E1917</f>
        <v>308</v>
      </c>
      <c r="F1917" s="908">
        <f>GLOBAL_DER_FEV_2023!F1917</f>
        <v>0.81569999999999998</v>
      </c>
      <c r="G1917" s="909">
        <f>GLOBAL_DER_FEV_2023!G1917</f>
        <v>202.34254200000001</v>
      </c>
      <c r="H1917" s="901">
        <f>GLOBAL_DER_FEV_2023!H1917</f>
        <v>0</v>
      </c>
      <c r="I1917" s="901">
        <f>GLOBAL_DER_FEV_2023!I1917</f>
        <v>0</v>
      </c>
      <c r="J1917" s="902">
        <f>GLOBAL_DER_FEV_2023!J1917</f>
        <v>0</v>
      </c>
      <c r="K1917" s="903"/>
      <c r="L1917" s="1177"/>
      <c r="M1917" s="1138">
        <f t="shared" si="142"/>
        <v>0</v>
      </c>
      <c r="N1917" s="1176">
        <f t="shared" si="146"/>
        <v>0</v>
      </c>
      <c r="O1917" s="905"/>
      <c r="P1917" s="36" t="str">
        <f>IF(N1916&gt;0,"xx",IF(N1916&gt;0,"xy",""))</f>
        <v/>
      </c>
      <c r="Q1917" s="317" t="str">
        <f t="shared" si="143"/>
        <v/>
      </c>
      <c r="R1917" s="317" t="str">
        <f t="shared" si="144"/>
        <v/>
      </c>
      <c r="S1917" s="317" t="str">
        <f t="shared" si="145"/>
        <v/>
      </c>
      <c r="T1917" s="317" t="str">
        <f>GLOBAL_DER_FEV_2023!S1917</f>
        <v/>
      </c>
      <c r="W1917" s="582">
        <v>0</v>
      </c>
      <c r="X1917" s="580"/>
      <c r="Y1917" s="583">
        <f>IF(GLOBAL_DER_FEV_2023!W1917=0,0,IF(GLOBAL_DER_FEV_2023!W1917&gt;0,"c","b"))</f>
        <v>0</v>
      </c>
    </row>
    <row r="1918" spans="1:25" ht="15" hidden="1" customHeight="1" x14ac:dyDescent="0.2">
      <c r="A1918" s="317" t="s">
        <v>147</v>
      </c>
      <c r="B1918" s="895" t="s">
        <v>147</v>
      </c>
      <c r="C1918" s="896"/>
      <c r="D1918" s="906" t="s">
        <v>229</v>
      </c>
      <c r="E1918" s="907">
        <f>GLOBAL_DER_FEV_2023!E1918</f>
        <v>150</v>
      </c>
      <c r="F1918" s="908">
        <f>GLOBAL_DER_FEV_2023!F1918</f>
        <v>2.9003000000000001</v>
      </c>
      <c r="G1918" s="949">
        <f>GLOBAL_DER_FEV_2023!G1918</f>
        <v>473.27095400000002</v>
      </c>
      <c r="H1918" s="901">
        <f>GLOBAL_DER_FEV_2023!H1918</f>
        <v>0</v>
      </c>
      <c r="I1918" s="901">
        <f>GLOBAL_DER_FEV_2023!I1918</f>
        <v>0</v>
      </c>
      <c r="J1918" s="902">
        <f>GLOBAL_DER_FEV_2023!J1918</f>
        <v>0</v>
      </c>
      <c r="K1918" s="903"/>
      <c r="L1918" s="1177"/>
      <c r="M1918" s="1138">
        <f t="shared" si="142"/>
        <v>0</v>
      </c>
      <c r="N1918" s="1176">
        <f t="shared" si="146"/>
        <v>0</v>
      </c>
      <c r="O1918" s="905"/>
      <c r="P1918" s="36" t="str">
        <f>IF(N1916&gt;0,"xx",IF(N1916&gt;0,"xy",""))</f>
        <v/>
      </c>
      <c r="Q1918" s="317" t="str">
        <f t="shared" si="143"/>
        <v/>
      </c>
      <c r="R1918" s="317" t="str">
        <f t="shared" si="144"/>
        <v/>
      </c>
      <c r="S1918" s="317" t="str">
        <f t="shared" si="145"/>
        <v/>
      </c>
      <c r="T1918" s="317" t="str">
        <f>GLOBAL_DER_FEV_2023!S1918</f>
        <v/>
      </c>
      <c r="W1918" s="582">
        <v>0</v>
      </c>
      <c r="X1918" s="580"/>
      <c r="Y1918" s="583">
        <f>IF(GLOBAL_DER_FEV_2023!W1918=0,0,IF(GLOBAL_DER_FEV_2023!W1918&gt;0,"c","b"))</f>
        <v>0</v>
      </c>
    </row>
    <row r="1919" spans="1:25" ht="15" hidden="1" customHeight="1" x14ac:dyDescent="0.2">
      <c r="A1919" s="317" t="s">
        <v>147</v>
      </c>
      <c r="B1919" s="895" t="s">
        <v>147</v>
      </c>
      <c r="C1919" s="896"/>
      <c r="D1919" s="906" t="s">
        <v>233</v>
      </c>
      <c r="E1919" s="907">
        <f>GLOBAL_DER_FEV_2023!E1919</f>
        <v>0.2</v>
      </c>
      <c r="F1919" s="908">
        <f>GLOBAL_DER_FEV_2023!F1919</f>
        <v>5.2957000000000001</v>
      </c>
      <c r="G1919" s="949">
        <f>GLOBAL_DER_FEV_2023!G1919</f>
        <v>15.325755800000001</v>
      </c>
      <c r="H1919" s="901">
        <f>GLOBAL_DER_FEV_2023!H1919</f>
        <v>0</v>
      </c>
      <c r="I1919" s="901">
        <f>GLOBAL_DER_FEV_2023!I1919</f>
        <v>0</v>
      </c>
      <c r="J1919" s="902">
        <f>GLOBAL_DER_FEV_2023!J1919</f>
        <v>0</v>
      </c>
      <c r="K1919" s="903"/>
      <c r="L1919" s="1177"/>
      <c r="M1919" s="1138">
        <f t="shared" si="142"/>
        <v>0</v>
      </c>
      <c r="N1919" s="1176">
        <f t="shared" si="146"/>
        <v>0</v>
      </c>
      <c r="O1919" s="905"/>
      <c r="P1919" s="36" t="str">
        <f>IF(N1916&gt;0,"xx",IF(N1916&gt;0,"xy",""))</f>
        <v/>
      </c>
      <c r="Q1919" s="317" t="str">
        <f t="shared" si="143"/>
        <v/>
      </c>
      <c r="R1919" s="317" t="str">
        <f t="shared" si="144"/>
        <v/>
      </c>
      <c r="S1919" s="317" t="str">
        <f t="shared" si="145"/>
        <v/>
      </c>
      <c r="T1919" s="317" t="str">
        <f>GLOBAL_DER_FEV_2023!S1919</f>
        <v/>
      </c>
      <c r="W1919" s="582">
        <v>0</v>
      </c>
      <c r="X1919" s="580"/>
      <c r="Y1919" s="583">
        <f>IF(GLOBAL_DER_FEV_2023!W1919=0,0,IF(GLOBAL_DER_FEV_2023!W1919&gt;0,"c","b"))</f>
        <v>0</v>
      </c>
    </row>
    <row r="1920" spans="1:25" ht="15" hidden="1" customHeight="1" x14ac:dyDescent="0.2">
      <c r="A1920" s="317">
        <v>621200</v>
      </c>
      <c r="B1920" s="895">
        <v>621200</v>
      </c>
      <c r="C1920" s="896" t="s">
        <v>184</v>
      </c>
      <c r="D1920" s="906" t="s">
        <v>359</v>
      </c>
      <c r="E1920" s="907">
        <f>GLOBAL_DER_FEV_2023!E1920</f>
        <v>0</v>
      </c>
      <c r="F1920" s="908">
        <f>GLOBAL_DER_FEV_2023!F1920</f>
        <v>0</v>
      </c>
      <c r="G1920" s="912">
        <f>GLOBAL_DER_FEV_2023!G1920</f>
        <v>895.69011799999998</v>
      </c>
      <c r="H1920" s="901">
        <f>GLOBAL_DER_FEV_2023!H1920</f>
        <v>4208.43</v>
      </c>
      <c r="I1920" s="901">
        <f>GLOBAL_DER_FEV_2023!I1920</f>
        <v>5104.1201180000007</v>
      </c>
      <c r="J1920" s="902">
        <f>GLOBAL_DER_FEV_2023!J1920</f>
        <v>6128.52</v>
      </c>
      <c r="K1920" s="903" t="s">
        <v>15</v>
      </c>
      <c r="L1920" s="1137"/>
      <c r="M1920" s="1138">
        <f t="shared" si="142"/>
        <v>0</v>
      </c>
      <c r="N1920" s="1176">
        <f t="shared" si="146"/>
        <v>0</v>
      </c>
      <c r="O1920" s="905"/>
      <c r="Q1920" s="317" t="str">
        <f t="shared" si="143"/>
        <v/>
      </c>
      <c r="R1920" s="317" t="str">
        <f t="shared" si="144"/>
        <v/>
      </c>
      <c r="S1920" s="317" t="str">
        <f t="shared" si="145"/>
        <v/>
      </c>
      <c r="T1920" s="317" t="str">
        <f>GLOBAL_DER_FEV_2023!S1920</f>
        <v/>
      </c>
      <c r="W1920" s="582">
        <v>0</v>
      </c>
      <c r="X1920" s="580"/>
      <c r="Y1920" s="583">
        <f>IF(GLOBAL_DER_FEV_2023!W1920=0,0,IF(GLOBAL_DER_FEV_2023!W1920&gt;0,"c","b"))</f>
        <v>0</v>
      </c>
    </row>
    <row r="1921" spans="1:25" ht="15" hidden="1" customHeight="1" x14ac:dyDescent="0.2">
      <c r="A1921" s="317" t="s">
        <v>147</v>
      </c>
      <c r="B1921" s="895" t="s">
        <v>147</v>
      </c>
      <c r="C1921" s="896"/>
      <c r="D1921" s="906" t="s">
        <v>190</v>
      </c>
      <c r="E1921" s="907">
        <f>GLOBAL_DER_FEV_2023!E1921</f>
        <v>308</v>
      </c>
      <c r="F1921" s="908">
        <f>GLOBAL_DER_FEV_2023!F1921</f>
        <v>1.0573999999999999</v>
      </c>
      <c r="G1921" s="909">
        <f>GLOBAL_DER_FEV_2023!G1921</f>
        <v>262.29864399999997</v>
      </c>
      <c r="H1921" s="901">
        <f>GLOBAL_DER_FEV_2023!H1921</f>
        <v>0</v>
      </c>
      <c r="I1921" s="901">
        <f>GLOBAL_DER_FEV_2023!I1921</f>
        <v>0</v>
      </c>
      <c r="J1921" s="902">
        <f>GLOBAL_DER_FEV_2023!J1921</f>
        <v>0</v>
      </c>
      <c r="K1921" s="903"/>
      <c r="L1921" s="1177"/>
      <c r="M1921" s="1138">
        <f t="shared" si="142"/>
        <v>0</v>
      </c>
      <c r="N1921" s="1176">
        <f t="shared" si="146"/>
        <v>0</v>
      </c>
      <c r="O1921" s="905"/>
      <c r="P1921" s="36" t="str">
        <f>IF(N1920&gt;0,"xx",IF(N1920&gt;0,"xy",""))</f>
        <v/>
      </c>
      <c r="Q1921" s="317" t="str">
        <f t="shared" si="143"/>
        <v/>
      </c>
      <c r="R1921" s="317" t="str">
        <f t="shared" si="144"/>
        <v/>
      </c>
      <c r="S1921" s="317" t="str">
        <f t="shared" si="145"/>
        <v/>
      </c>
      <c r="T1921" s="317" t="str">
        <f>GLOBAL_DER_FEV_2023!S1921</f>
        <v/>
      </c>
      <c r="W1921" s="582">
        <v>0</v>
      </c>
      <c r="X1921" s="580"/>
      <c r="Y1921" s="583">
        <f>IF(GLOBAL_DER_FEV_2023!W1921=0,0,IF(GLOBAL_DER_FEV_2023!W1921&gt;0,"c","b"))</f>
        <v>0</v>
      </c>
    </row>
    <row r="1922" spans="1:25" ht="15" hidden="1" customHeight="1" x14ac:dyDescent="0.2">
      <c r="A1922" s="317" t="s">
        <v>147</v>
      </c>
      <c r="B1922" s="895" t="s">
        <v>147</v>
      </c>
      <c r="C1922" s="896"/>
      <c r="D1922" s="906" t="s">
        <v>229</v>
      </c>
      <c r="E1922" s="907">
        <f>GLOBAL_DER_FEV_2023!E1922</f>
        <v>150</v>
      </c>
      <c r="F1922" s="908">
        <f>GLOBAL_DER_FEV_2023!F1922</f>
        <v>3.7597999999999998</v>
      </c>
      <c r="G1922" s="949">
        <f>GLOBAL_DER_FEV_2023!G1922</f>
        <v>613.52416400000004</v>
      </c>
      <c r="H1922" s="901">
        <f>GLOBAL_DER_FEV_2023!H1922</f>
        <v>0</v>
      </c>
      <c r="I1922" s="901">
        <f>GLOBAL_DER_FEV_2023!I1922</f>
        <v>0</v>
      </c>
      <c r="J1922" s="902">
        <f>GLOBAL_DER_FEV_2023!J1922</f>
        <v>0</v>
      </c>
      <c r="K1922" s="903"/>
      <c r="L1922" s="1177"/>
      <c r="M1922" s="1138">
        <f t="shared" si="142"/>
        <v>0</v>
      </c>
      <c r="N1922" s="1176">
        <f t="shared" si="146"/>
        <v>0</v>
      </c>
      <c r="O1922" s="905"/>
      <c r="P1922" s="36" t="str">
        <f>IF(N1920&gt;0,"xx",IF(N1920&gt;0,"xy",""))</f>
        <v/>
      </c>
      <c r="Q1922" s="317" t="str">
        <f t="shared" si="143"/>
        <v/>
      </c>
      <c r="R1922" s="317" t="str">
        <f t="shared" si="144"/>
        <v/>
      </c>
      <c r="S1922" s="317" t="str">
        <f t="shared" si="145"/>
        <v/>
      </c>
      <c r="T1922" s="317" t="str">
        <f>GLOBAL_DER_FEV_2023!S1922</f>
        <v/>
      </c>
      <c r="W1922" s="582">
        <v>0</v>
      </c>
      <c r="X1922" s="580"/>
      <c r="Y1922" s="583">
        <f>IF(GLOBAL_DER_FEV_2023!W1922=0,0,IF(GLOBAL_DER_FEV_2023!W1922&gt;0,"c","b"))</f>
        <v>0</v>
      </c>
    </row>
    <row r="1923" spans="1:25" ht="15" hidden="1" customHeight="1" x14ac:dyDescent="0.2">
      <c r="A1923" s="317" t="s">
        <v>147</v>
      </c>
      <c r="B1923" s="895" t="s">
        <v>147</v>
      </c>
      <c r="C1923" s="896"/>
      <c r="D1923" s="906" t="s">
        <v>233</v>
      </c>
      <c r="E1923" s="907">
        <f>GLOBAL_DER_FEV_2023!E1923</f>
        <v>0.2</v>
      </c>
      <c r="F1923" s="908">
        <f>GLOBAL_DER_FEV_2023!F1923</f>
        <v>6.8650000000000002</v>
      </c>
      <c r="G1923" s="949">
        <f>GLOBAL_DER_FEV_2023!G1923</f>
        <v>19.86731</v>
      </c>
      <c r="H1923" s="901">
        <f>GLOBAL_DER_FEV_2023!H1923</f>
        <v>0</v>
      </c>
      <c r="I1923" s="901">
        <f>GLOBAL_DER_FEV_2023!I1923</f>
        <v>0</v>
      </c>
      <c r="J1923" s="902">
        <f>GLOBAL_DER_FEV_2023!J1923</f>
        <v>0</v>
      </c>
      <c r="K1923" s="903"/>
      <c r="L1923" s="1177"/>
      <c r="M1923" s="1138">
        <f t="shared" si="142"/>
        <v>0</v>
      </c>
      <c r="N1923" s="1176">
        <f t="shared" si="146"/>
        <v>0</v>
      </c>
      <c r="O1923" s="905"/>
      <c r="P1923" s="36" t="str">
        <f>IF(N1920&gt;0,"xx",IF(N1920&gt;0,"xy",""))</f>
        <v/>
      </c>
      <c r="Q1923" s="317" t="str">
        <f t="shared" si="143"/>
        <v/>
      </c>
      <c r="R1923" s="317" t="str">
        <f t="shared" si="144"/>
        <v/>
      </c>
      <c r="S1923" s="317" t="str">
        <f t="shared" si="145"/>
        <v/>
      </c>
      <c r="T1923" s="317" t="str">
        <f>GLOBAL_DER_FEV_2023!S1923</f>
        <v/>
      </c>
      <c r="W1923" s="582">
        <v>0</v>
      </c>
      <c r="X1923" s="580"/>
      <c r="Y1923" s="583">
        <f>IF(GLOBAL_DER_FEV_2023!W1923=0,0,IF(GLOBAL_DER_FEV_2023!W1923&gt;0,"c","b"))</f>
        <v>0</v>
      </c>
    </row>
    <row r="1924" spans="1:25" ht="15" hidden="1" customHeight="1" x14ac:dyDescent="0.2">
      <c r="A1924" s="317">
        <v>621300</v>
      </c>
      <c r="B1924" s="895">
        <v>621300</v>
      </c>
      <c r="C1924" s="896" t="s">
        <v>184</v>
      </c>
      <c r="D1924" s="906" t="s">
        <v>360</v>
      </c>
      <c r="E1924" s="907">
        <f>GLOBAL_DER_FEV_2023!E1924</f>
        <v>0</v>
      </c>
      <c r="F1924" s="908">
        <f>GLOBAL_DER_FEV_2023!F1924</f>
        <v>0</v>
      </c>
      <c r="G1924" s="912">
        <f>GLOBAL_DER_FEV_2023!G1924</f>
        <v>1740.3448384000001</v>
      </c>
      <c r="H1924" s="901">
        <f>GLOBAL_DER_FEV_2023!H1924</f>
        <v>7311.47</v>
      </c>
      <c r="I1924" s="901">
        <f>GLOBAL_DER_FEV_2023!I1924</f>
        <v>9051.8148383999996</v>
      </c>
      <c r="J1924" s="902">
        <f>GLOBAL_DER_FEV_2023!J1924</f>
        <v>10868.51</v>
      </c>
      <c r="K1924" s="903" t="s">
        <v>15</v>
      </c>
      <c r="L1924" s="1137"/>
      <c r="M1924" s="1138">
        <f t="shared" si="142"/>
        <v>0</v>
      </c>
      <c r="N1924" s="1176">
        <f t="shared" si="146"/>
        <v>0</v>
      </c>
      <c r="O1924" s="905"/>
      <c r="Q1924" s="317" t="str">
        <f t="shared" si="143"/>
        <v/>
      </c>
      <c r="R1924" s="317" t="str">
        <f t="shared" si="144"/>
        <v/>
      </c>
      <c r="S1924" s="317" t="str">
        <f t="shared" si="145"/>
        <v/>
      </c>
      <c r="T1924" s="317" t="str">
        <f>GLOBAL_DER_FEV_2023!S1924</f>
        <v/>
      </c>
      <c r="W1924" s="582">
        <v>0</v>
      </c>
      <c r="X1924" s="580"/>
      <c r="Y1924" s="583">
        <f>IF(GLOBAL_DER_FEV_2023!W1924=0,0,IF(GLOBAL_DER_FEV_2023!W1924&gt;0,"c","b"))</f>
        <v>0</v>
      </c>
    </row>
    <row r="1925" spans="1:25" ht="15" hidden="1" customHeight="1" x14ac:dyDescent="0.2">
      <c r="A1925" s="317" t="s">
        <v>147</v>
      </c>
      <c r="B1925" s="895" t="s">
        <v>147</v>
      </c>
      <c r="C1925" s="896"/>
      <c r="D1925" s="906" t="s">
        <v>190</v>
      </c>
      <c r="E1925" s="907">
        <f>GLOBAL_DER_FEV_2023!E1925</f>
        <v>308</v>
      </c>
      <c r="F1925" s="908">
        <f>GLOBAL_DER_FEV_2023!F1925</f>
        <v>2.0546000000000002</v>
      </c>
      <c r="G1925" s="909">
        <f>GLOBAL_DER_FEV_2023!G1925</f>
        <v>509.66407600000008</v>
      </c>
      <c r="H1925" s="901">
        <f>GLOBAL_DER_FEV_2023!H1925</f>
        <v>0</v>
      </c>
      <c r="I1925" s="901">
        <f>GLOBAL_DER_FEV_2023!I1925</f>
        <v>0</v>
      </c>
      <c r="J1925" s="902">
        <f>GLOBAL_DER_FEV_2023!J1925</f>
        <v>0</v>
      </c>
      <c r="K1925" s="903"/>
      <c r="L1925" s="1177"/>
      <c r="M1925" s="1138">
        <f t="shared" si="142"/>
        <v>0</v>
      </c>
      <c r="N1925" s="1176">
        <f t="shared" si="146"/>
        <v>0</v>
      </c>
      <c r="O1925" s="905"/>
      <c r="P1925" s="36" t="str">
        <f>IF(N1924&gt;0,"xx",IF(N1924&gt;0,"xy",""))</f>
        <v/>
      </c>
      <c r="Q1925" s="317" t="str">
        <f t="shared" si="143"/>
        <v/>
      </c>
      <c r="R1925" s="317" t="str">
        <f t="shared" si="144"/>
        <v/>
      </c>
      <c r="S1925" s="317" t="str">
        <f t="shared" si="145"/>
        <v/>
      </c>
      <c r="T1925" s="317" t="str">
        <f>GLOBAL_DER_FEV_2023!S1925</f>
        <v/>
      </c>
      <c r="W1925" s="582">
        <v>0</v>
      </c>
      <c r="X1925" s="580"/>
      <c r="Y1925" s="583">
        <f>IF(GLOBAL_DER_FEV_2023!W1925=0,0,IF(GLOBAL_DER_FEV_2023!W1925&gt;0,"c","b"))</f>
        <v>0</v>
      </c>
    </row>
    <row r="1926" spans="1:25" ht="15" hidden="1" customHeight="1" x14ac:dyDescent="0.2">
      <c r="A1926" s="317" t="s">
        <v>147</v>
      </c>
      <c r="B1926" s="895" t="s">
        <v>147</v>
      </c>
      <c r="C1926" s="896"/>
      <c r="D1926" s="906" t="s">
        <v>229</v>
      </c>
      <c r="E1926" s="907">
        <f>GLOBAL_DER_FEV_2023!E1926</f>
        <v>150</v>
      </c>
      <c r="F1926" s="908">
        <f>GLOBAL_DER_FEV_2023!F1926</f>
        <v>7.3052999999999999</v>
      </c>
      <c r="G1926" s="949">
        <f>GLOBAL_DER_FEV_2023!G1926</f>
        <v>1192.0788540000001</v>
      </c>
      <c r="H1926" s="901">
        <f>GLOBAL_DER_FEV_2023!H1926</f>
        <v>0</v>
      </c>
      <c r="I1926" s="901">
        <f>GLOBAL_DER_FEV_2023!I1926</f>
        <v>0</v>
      </c>
      <c r="J1926" s="902">
        <f>GLOBAL_DER_FEV_2023!J1926</f>
        <v>0</v>
      </c>
      <c r="K1926" s="903"/>
      <c r="L1926" s="1177"/>
      <c r="M1926" s="1138">
        <f t="shared" si="142"/>
        <v>0</v>
      </c>
      <c r="N1926" s="1176">
        <f t="shared" si="146"/>
        <v>0</v>
      </c>
      <c r="O1926" s="905"/>
      <c r="P1926" s="36" t="str">
        <f>IF(N1924&gt;0,"xx",IF(N1924&gt;0,"xy",""))</f>
        <v/>
      </c>
      <c r="Q1926" s="317" t="str">
        <f t="shared" si="143"/>
        <v/>
      </c>
      <c r="R1926" s="317" t="str">
        <f t="shared" si="144"/>
        <v/>
      </c>
      <c r="S1926" s="317" t="str">
        <f t="shared" si="145"/>
        <v/>
      </c>
      <c r="T1926" s="317" t="str">
        <f>GLOBAL_DER_FEV_2023!S1926</f>
        <v/>
      </c>
      <c r="W1926" s="582">
        <v>0</v>
      </c>
      <c r="X1926" s="580"/>
      <c r="Y1926" s="583">
        <f>IF(GLOBAL_DER_FEV_2023!W1926=0,0,IF(GLOBAL_DER_FEV_2023!W1926&gt;0,"c","b"))</f>
        <v>0</v>
      </c>
    </row>
    <row r="1927" spans="1:25" ht="15" hidden="1" customHeight="1" x14ac:dyDescent="0.2">
      <c r="A1927" s="317" t="s">
        <v>147</v>
      </c>
      <c r="B1927" s="895" t="s">
        <v>147</v>
      </c>
      <c r="C1927" s="896"/>
      <c r="D1927" s="906" t="s">
        <v>233</v>
      </c>
      <c r="E1927" s="907">
        <f>GLOBAL_DER_FEV_2023!E1927</f>
        <v>0.2</v>
      </c>
      <c r="F1927" s="908">
        <f>GLOBAL_DER_FEV_2023!F1927</f>
        <v>13.3386</v>
      </c>
      <c r="G1927" s="949">
        <f>GLOBAL_DER_FEV_2023!G1927</f>
        <v>38.601908399999999</v>
      </c>
      <c r="H1927" s="901">
        <f>GLOBAL_DER_FEV_2023!H1927</f>
        <v>0</v>
      </c>
      <c r="I1927" s="901">
        <f>GLOBAL_DER_FEV_2023!I1927</f>
        <v>0</v>
      </c>
      <c r="J1927" s="902">
        <f>GLOBAL_DER_FEV_2023!J1927</f>
        <v>0</v>
      </c>
      <c r="K1927" s="903"/>
      <c r="L1927" s="1177"/>
      <c r="M1927" s="1138">
        <f t="shared" si="142"/>
        <v>0</v>
      </c>
      <c r="N1927" s="1176">
        <f t="shared" si="146"/>
        <v>0</v>
      </c>
      <c r="O1927" s="905"/>
      <c r="P1927" s="36" t="str">
        <f>IF(N1924&gt;0,"xx",IF(N1924&gt;0,"xy",""))</f>
        <v/>
      </c>
      <c r="Q1927" s="317" t="str">
        <f t="shared" si="143"/>
        <v/>
      </c>
      <c r="R1927" s="317" t="str">
        <f t="shared" si="144"/>
        <v/>
      </c>
      <c r="S1927" s="317" t="str">
        <f t="shared" si="145"/>
        <v/>
      </c>
      <c r="T1927" s="317" t="str">
        <f>GLOBAL_DER_FEV_2023!S1927</f>
        <v/>
      </c>
      <c r="W1927" s="582">
        <v>0</v>
      </c>
      <c r="X1927" s="580"/>
      <c r="Y1927" s="583">
        <f>IF(GLOBAL_DER_FEV_2023!W1927=0,0,IF(GLOBAL_DER_FEV_2023!W1927&gt;0,"c","b"))</f>
        <v>0</v>
      </c>
    </row>
    <row r="1928" spans="1:25" ht="15" hidden="1" customHeight="1" x14ac:dyDescent="0.2">
      <c r="A1928" s="317">
        <v>621400</v>
      </c>
      <c r="B1928" s="895">
        <v>621400</v>
      </c>
      <c r="C1928" s="896" t="s">
        <v>184</v>
      </c>
      <c r="D1928" s="906" t="s">
        <v>361</v>
      </c>
      <c r="E1928" s="907">
        <f>GLOBAL_DER_FEV_2023!E1928</f>
        <v>0</v>
      </c>
      <c r="F1928" s="908">
        <f>GLOBAL_DER_FEV_2023!F1928</f>
        <v>0</v>
      </c>
      <c r="G1928" s="912">
        <f>GLOBAL_DER_FEV_2023!G1928</f>
        <v>3318.6641798000001</v>
      </c>
      <c r="H1928" s="901">
        <f>GLOBAL_DER_FEV_2023!H1928</f>
        <v>12918.12</v>
      </c>
      <c r="I1928" s="901">
        <f>GLOBAL_DER_FEV_2023!I1928</f>
        <v>16236.784179800001</v>
      </c>
      <c r="J1928" s="902">
        <f>GLOBAL_DER_FEV_2023!J1928</f>
        <v>19495.509999999998</v>
      </c>
      <c r="K1928" s="903" t="s">
        <v>15</v>
      </c>
      <c r="L1928" s="1137"/>
      <c r="M1928" s="1138">
        <f t="shared" si="142"/>
        <v>0</v>
      </c>
      <c r="N1928" s="1176">
        <f t="shared" si="146"/>
        <v>0</v>
      </c>
      <c r="O1928" s="905"/>
      <c r="Q1928" s="317" t="str">
        <f t="shared" si="143"/>
        <v/>
      </c>
      <c r="R1928" s="317" t="str">
        <f t="shared" si="144"/>
        <v/>
      </c>
      <c r="S1928" s="317" t="str">
        <f t="shared" si="145"/>
        <v/>
      </c>
      <c r="T1928" s="317" t="str">
        <f>GLOBAL_DER_FEV_2023!S1928</f>
        <v/>
      </c>
      <c r="W1928" s="582">
        <v>0</v>
      </c>
      <c r="X1928" s="580"/>
      <c r="Y1928" s="583">
        <f>IF(GLOBAL_DER_FEV_2023!W1928=0,0,IF(GLOBAL_DER_FEV_2023!W1928&gt;0,"c","b"))</f>
        <v>0</v>
      </c>
    </row>
    <row r="1929" spans="1:25" ht="15" hidden="1" customHeight="1" x14ac:dyDescent="0.2">
      <c r="A1929" s="317" t="s">
        <v>147</v>
      </c>
      <c r="B1929" s="895" t="s">
        <v>147</v>
      </c>
      <c r="C1929" s="896"/>
      <c r="D1929" s="906" t="s">
        <v>190</v>
      </c>
      <c r="E1929" s="907">
        <f>GLOBAL_DER_FEV_2023!E1929</f>
        <v>308</v>
      </c>
      <c r="F1929" s="908">
        <f>GLOBAL_DER_FEV_2023!F1929</f>
        <v>3.9178999999999999</v>
      </c>
      <c r="G1929" s="909">
        <f>GLOBAL_DER_FEV_2023!G1929</f>
        <v>971.87427400000001</v>
      </c>
      <c r="H1929" s="901">
        <f>GLOBAL_DER_FEV_2023!H1929</f>
        <v>0</v>
      </c>
      <c r="I1929" s="901">
        <f>GLOBAL_DER_FEV_2023!I1929</f>
        <v>0</v>
      </c>
      <c r="J1929" s="902">
        <f>GLOBAL_DER_FEV_2023!J1929</f>
        <v>0</v>
      </c>
      <c r="K1929" s="903"/>
      <c r="L1929" s="1177"/>
      <c r="M1929" s="1138">
        <f t="shared" si="142"/>
        <v>0</v>
      </c>
      <c r="N1929" s="1176">
        <f t="shared" si="146"/>
        <v>0</v>
      </c>
      <c r="O1929" s="905"/>
      <c r="P1929" s="36" t="str">
        <f>IF(N1928&gt;0,"xx",IF(N1928&gt;0,"xy",""))</f>
        <v/>
      </c>
      <c r="Q1929" s="317" t="str">
        <f t="shared" si="143"/>
        <v/>
      </c>
      <c r="R1929" s="317" t="str">
        <f t="shared" si="144"/>
        <v/>
      </c>
      <c r="S1929" s="317" t="str">
        <f t="shared" si="145"/>
        <v/>
      </c>
      <c r="T1929" s="317" t="str">
        <f>GLOBAL_DER_FEV_2023!S1929</f>
        <v/>
      </c>
      <c r="W1929" s="582">
        <v>0</v>
      </c>
      <c r="X1929" s="580"/>
      <c r="Y1929" s="583">
        <f>IF(GLOBAL_DER_FEV_2023!W1929=0,0,IF(GLOBAL_DER_FEV_2023!W1929&gt;0,"c","b"))</f>
        <v>0</v>
      </c>
    </row>
    <row r="1930" spans="1:25" ht="15" hidden="1" customHeight="1" x14ac:dyDescent="0.2">
      <c r="A1930" s="317" t="s">
        <v>147</v>
      </c>
      <c r="B1930" s="895" t="s">
        <v>147</v>
      </c>
      <c r="C1930" s="896"/>
      <c r="D1930" s="906" t="s">
        <v>229</v>
      </c>
      <c r="E1930" s="907">
        <f>GLOBAL_DER_FEV_2023!E1930</f>
        <v>150</v>
      </c>
      <c r="F1930" s="908">
        <f>GLOBAL_DER_FEV_2023!F1930</f>
        <v>13.9305</v>
      </c>
      <c r="G1930" s="949">
        <f>GLOBAL_DER_FEV_2023!G1930</f>
        <v>2273.1789900000003</v>
      </c>
      <c r="H1930" s="901">
        <f>GLOBAL_DER_FEV_2023!H1930</f>
        <v>0</v>
      </c>
      <c r="I1930" s="901">
        <f>GLOBAL_DER_FEV_2023!I1930</f>
        <v>0</v>
      </c>
      <c r="J1930" s="902">
        <f>GLOBAL_DER_FEV_2023!J1930</f>
        <v>0</v>
      </c>
      <c r="K1930" s="903"/>
      <c r="L1930" s="1177"/>
      <c r="M1930" s="1138">
        <f t="shared" si="142"/>
        <v>0</v>
      </c>
      <c r="N1930" s="1176">
        <f t="shared" si="146"/>
        <v>0</v>
      </c>
      <c r="O1930" s="905"/>
      <c r="P1930" s="36" t="str">
        <f>IF(N1928&gt;0,"xx",IF(N1928&gt;0,"xy",""))</f>
        <v/>
      </c>
      <c r="Q1930" s="317" t="str">
        <f t="shared" si="143"/>
        <v/>
      </c>
      <c r="R1930" s="317" t="str">
        <f t="shared" si="144"/>
        <v/>
      </c>
      <c r="S1930" s="317" t="str">
        <f t="shared" si="145"/>
        <v/>
      </c>
      <c r="T1930" s="317" t="str">
        <f>GLOBAL_DER_FEV_2023!S1930</f>
        <v/>
      </c>
      <c r="W1930" s="582">
        <v>0</v>
      </c>
      <c r="X1930" s="580"/>
      <c r="Y1930" s="583">
        <f>IF(GLOBAL_DER_FEV_2023!W1930=0,0,IF(GLOBAL_DER_FEV_2023!W1930&gt;0,"c","b"))</f>
        <v>0</v>
      </c>
    </row>
    <row r="1931" spans="1:25" ht="15" hidden="1" customHeight="1" x14ac:dyDescent="0.2">
      <c r="A1931" s="317" t="s">
        <v>147</v>
      </c>
      <c r="B1931" s="895" t="s">
        <v>147</v>
      </c>
      <c r="C1931" s="896"/>
      <c r="D1931" s="906" t="s">
        <v>233</v>
      </c>
      <c r="E1931" s="907">
        <f>GLOBAL_DER_FEV_2023!E1931</f>
        <v>0.2</v>
      </c>
      <c r="F1931" s="908">
        <f>GLOBAL_DER_FEV_2023!F1931</f>
        <v>25.435699999999997</v>
      </c>
      <c r="G1931" s="949">
        <f>GLOBAL_DER_FEV_2023!G1931</f>
        <v>73.610915800000001</v>
      </c>
      <c r="H1931" s="901">
        <f>GLOBAL_DER_FEV_2023!H1931</f>
        <v>0</v>
      </c>
      <c r="I1931" s="901">
        <f>GLOBAL_DER_FEV_2023!I1931</f>
        <v>0</v>
      </c>
      <c r="J1931" s="902">
        <f>GLOBAL_DER_FEV_2023!J1931</f>
        <v>0</v>
      </c>
      <c r="K1931" s="903"/>
      <c r="L1931" s="1177"/>
      <c r="M1931" s="1138">
        <f t="shared" si="142"/>
        <v>0</v>
      </c>
      <c r="N1931" s="1176">
        <f t="shared" si="146"/>
        <v>0</v>
      </c>
      <c r="O1931" s="905"/>
      <c r="P1931" s="36" t="str">
        <f>IF(N1928&gt;0,"xx",IF(N1928&gt;0,"xy",""))</f>
        <v/>
      </c>
      <c r="Q1931" s="317" t="str">
        <f t="shared" si="143"/>
        <v/>
      </c>
      <c r="R1931" s="317" t="str">
        <f t="shared" si="144"/>
        <v/>
      </c>
      <c r="S1931" s="317" t="str">
        <f t="shared" si="145"/>
        <v/>
      </c>
      <c r="T1931" s="317" t="str">
        <f>GLOBAL_DER_FEV_2023!S1931</f>
        <v/>
      </c>
      <c r="W1931" s="582">
        <v>0</v>
      </c>
      <c r="X1931" s="580"/>
      <c r="Y1931" s="583">
        <f>IF(GLOBAL_DER_FEV_2023!W1931=0,0,IF(GLOBAL_DER_FEV_2023!W1931&gt;0,"c","b"))</f>
        <v>0</v>
      </c>
    </row>
    <row r="1932" spans="1:25" ht="15" hidden="1" customHeight="1" x14ac:dyDescent="0.2">
      <c r="A1932" s="317">
        <v>607500</v>
      </c>
      <c r="B1932" s="895">
        <v>607500</v>
      </c>
      <c r="C1932" s="896" t="s">
        <v>184</v>
      </c>
      <c r="D1932" s="906" t="s">
        <v>470</v>
      </c>
      <c r="E1932" s="907">
        <f>GLOBAL_DER_FEV_2023!E1932</f>
        <v>0</v>
      </c>
      <c r="F1932" s="908">
        <f>GLOBAL_DER_FEV_2023!F1932</f>
        <v>0</v>
      </c>
      <c r="G1932" s="912">
        <f>GLOBAL_DER_FEV_2023!G1932</f>
        <v>3.015352</v>
      </c>
      <c r="H1932" s="901">
        <f>GLOBAL_DER_FEV_2023!H1932</f>
        <v>48.74</v>
      </c>
      <c r="I1932" s="901">
        <f>GLOBAL_DER_FEV_2023!I1932</f>
        <v>51.755352000000002</v>
      </c>
      <c r="J1932" s="902">
        <f>GLOBAL_DER_FEV_2023!J1932</f>
        <v>62.14</v>
      </c>
      <c r="K1932" s="903" t="s">
        <v>13</v>
      </c>
      <c r="L1932" s="1137"/>
      <c r="M1932" s="1138">
        <f t="shared" si="142"/>
        <v>0</v>
      </c>
      <c r="N1932" s="1176">
        <f t="shared" si="146"/>
        <v>0</v>
      </c>
      <c r="O1932" s="905"/>
      <c r="Q1932" s="317" t="str">
        <f t="shared" si="143"/>
        <v/>
      </c>
      <c r="R1932" s="317" t="str">
        <f t="shared" si="144"/>
        <v/>
      </c>
      <c r="S1932" s="317" t="str">
        <f t="shared" si="145"/>
        <v/>
      </c>
      <c r="T1932" s="317" t="str">
        <f>GLOBAL_DER_FEV_2023!S1932</f>
        <v/>
      </c>
      <c r="W1932" s="582">
        <v>0</v>
      </c>
      <c r="X1932" s="580"/>
      <c r="Y1932" s="583">
        <f>IF(GLOBAL_DER_FEV_2023!W1932=0,0,IF(GLOBAL_DER_FEV_2023!W1932&gt;0,"c","b"))</f>
        <v>0</v>
      </c>
    </row>
    <row r="1933" spans="1:25" ht="15" hidden="1" customHeight="1" x14ac:dyDescent="0.2">
      <c r="A1933" s="317" t="s">
        <v>147</v>
      </c>
      <c r="B1933" s="895" t="s">
        <v>147</v>
      </c>
      <c r="C1933" s="896"/>
      <c r="D1933" s="906" t="s">
        <v>190</v>
      </c>
      <c r="E1933" s="907">
        <f>GLOBAL_DER_FEV_2023!E1933</f>
        <v>308</v>
      </c>
      <c r="F1933" s="908">
        <f>GLOBAL_DER_FEV_2023!F1933</f>
        <v>2.9999999999999997E-4</v>
      </c>
      <c r="G1933" s="909">
        <f>GLOBAL_DER_FEV_2023!G1933</f>
        <v>7.4417999999999998E-2</v>
      </c>
      <c r="H1933" s="901">
        <f>GLOBAL_DER_FEV_2023!H1933</f>
        <v>0</v>
      </c>
      <c r="I1933" s="901">
        <f>GLOBAL_DER_FEV_2023!I1933</f>
        <v>0</v>
      </c>
      <c r="J1933" s="902">
        <f>GLOBAL_DER_FEV_2023!J1933</f>
        <v>0</v>
      </c>
      <c r="K1933" s="903"/>
      <c r="L1933" s="1177"/>
      <c r="M1933" s="1138">
        <f t="shared" si="142"/>
        <v>0</v>
      </c>
      <c r="N1933" s="1176">
        <f t="shared" si="146"/>
        <v>0</v>
      </c>
      <c r="O1933" s="905"/>
      <c r="P1933" s="36" t="str">
        <f>IF(N1932&gt;0,"xx",IF(N1932&gt;0,"xy",""))</f>
        <v/>
      </c>
      <c r="Q1933" s="317" t="str">
        <f t="shared" si="143"/>
        <v/>
      </c>
      <c r="R1933" s="317" t="str">
        <f t="shared" si="144"/>
        <v/>
      </c>
      <c r="S1933" s="317" t="str">
        <f t="shared" si="145"/>
        <v/>
      </c>
      <c r="T1933" s="317" t="str">
        <f>GLOBAL_DER_FEV_2023!S1933</f>
        <v/>
      </c>
      <c r="W1933" s="582">
        <v>0</v>
      </c>
      <c r="X1933" s="580"/>
      <c r="Y1933" s="583">
        <f>IF(GLOBAL_DER_FEV_2023!W1933=0,0,IF(GLOBAL_DER_FEV_2023!W1933&gt;0,"c","b"))</f>
        <v>0</v>
      </c>
    </row>
    <row r="1934" spans="1:25" ht="15" hidden="1" customHeight="1" x14ac:dyDescent="0.2">
      <c r="A1934" s="317" t="s">
        <v>147</v>
      </c>
      <c r="B1934" s="895" t="s">
        <v>147</v>
      </c>
      <c r="C1934" s="896"/>
      <c r="D1934" s="906" t="s">
        <v>229</v>
      </c>
      <c r="E1934" s="907">
        <f>GLOBAL_DER_FEV_2023!E1934</f>
        <v>150</v>
      </c>
      <c r="F1934" s="908">
        <f>GLOBAL_DER_FEV_2023!F1934</f>
        <v>1.2999999999999999E-3</v>
      </c>
      <c r="G1934" s="949">
        <f>GLOBAL_DER_FEV_2023!G1934</f>
        <v>0.21213399999999999</v>
      </c>
      <c r="H1934" s="901">
        <f>GLOBAL_DER_FEV_2023!H1934</f>
        <v>0</v>
      </c>
      <c r="I1934" s="901">
        <f>GLOBAL_DER_FEV_2023!I1934</f>
        <v>0</v>
      </c>
      <c r="J1934" s="902">
        <f>GLOBAL_DER_FEV_2023!J1934</f>
        <v>0</v>
      </c>
      <c r="K1934" s="903"/>
      <c r="L1934" s="1177"/>
      <c r="M1934" s="1138">
        <f t="shared" si="142"/>
        <v>0</v>
      </c>
      <c r="N1934" s="1176">
        <f t="shared" si="146"/>
        <v>0</v>
      </c>
      <c r="O1934" s="905"/>
      <c r="P1934" s="36" t="str">
        <f>IF(N1932&gt;0,"xx",IF(N1932&gt;0,"xy",""))</f>
        <v/>
      </c>
      <c r="Q1934" s="317" t="str">
        <f t="shared" si="143"/>
        <v/>
      </c>
      <c r="R1934" s="317" t="str">
        <f t="shared" si="144"/>
        <v/>
      </c>
      <c r="S1934" s="317" t="str">
        <f t="shared" si="145"/>
        <v/>
      </c>
      <c r="T1934" s="317" t="str">
        <f>GLOBAL_DER_FEV_2023!S1934</f>
        <v/>
      </c>
      <c r="W1934" s="582">
        <v>0</v>
      </c>
      <c r="X1934" s="580"/>
      <c r="Y1934" s="583">
        <f>IF(GLOBAL_DER_FEV_2023!W1934=0,0,IF(GLOBAL_DER_FEV_2023!W1934&gt;0,"c","b"))</f>
        <v>0</v>
      </c>
    </row>
    <row r="1935" spans="1:25" ht="15" hidden="1" customHeight="1" x14ac:dyDescent="0.2">
      <c r="A1935" s="317" t="s">
        <v>147</v>
      </c>
      <c r="B1935" s="895" t="s">
        <v>147</v>
      </c>
      <c r="C1935" s="896"/>
      <c r="D1935" s="906" t="s">
        <v>336</v>
      </c>
      <c r="E1935" s="907">
        <f>GLOBAL_DER_FEV_2023!E1935</f>
        <v>40</v>
      </c>
      <c r="F1935" s="908">
        <f>GLOBAL_DER_FEV_2023!F1935</f>
        <v>0.06</v>
      </c>
      <c r="G1935" s="949">
        <f>GLOBAL_DER_FEV_2023!G1935</f>
        <v>2.7288000000000001</v>
      </c>
      <c r="H1935" s="901">
        <f>GLOBAL_DER_FEV_2023!H1935</f>
        <v>0</v>
      </c>
      <c r="I1935" s="901">
        <f>GLOBAL_DER_FEV_2023!I1935</f>
        <v>0</v>
      </c>
      <c r="J1935" s="902">
        <f>GLOBAL_DER_FEV_2023!J1935</f>
        <v>0</v>
      </c>
      <c r="K1935" s="903"/>
      <c r="L1935" s="1177"/>
      <c r="M1935" s="1138">
        <f t="shared" si="142"/>
        <v>0</v>
      </c>
      <c r="N1935" s="1176">
        <f t="shared" si="146"/>
        <v>0</v>
      </c>
      <c r="O1935" s="905"/>
      <c r="P1935" s="36" t="str">
        <f>IF(N1932&gt;0,"xx",IF(N1932&gt;0,"xy",""))</f>
        <v/>
      </c>
      <c r="Q1935" s="317" t="str">
        <f t="shared" si="143"/>
        <v/>
      </c>
      <c r="R1935" s="317" t="str">
        <f t="shared" si="144"/>
        <v/>
      </c>
      <c r="S1935" s="317" t="str">
        <f t="shared" si="145"/>
        <v/>
      </c>
      <c r="T1935" s="317" t="str">
        <f>GLOBAL_DER_FEV_2023!S1935</f>
        <v/>
      </c>
      <c r="W1935" s="582">
        <v>0</v>
      </c>
      <c r="X1935" s="580"/>
      <c r="Y1935" s="583">
        <f>IF(GLOBAL_DER_FEV_2023!W1935=0,0,IF(GLOBAL_DER_FEV_2023!W1935&gt;0,"c","b"))</f>
        <v>0</v>
      </c>
    </row>
    <row r="1936" spans="1:25" ht="15" hidden="1" customHeight="1" x14ac:dyDescent="0.2">
      <c r="A1936" s="317">
        <v>607600</v>
      </c>
      <c r="B1936" s="895">
        <v>607600</v>
      </c>
      <c r="C1936" s="896" t="s">
        <v>184</v>
      </c>
      <c r="D1936" s="906" t="s">
        <v>471</v>
      </c>
      <c r="E1936" s="907">
        <f>GLOBAL_DER_FEV_2023!E1936</f>
        <v>0</v>
      </c>
      <c r="F1936" s="908">
        <f>GLOBAL_DER_FEV_2023!F1936</f>
        <v>0</v>
      </c>
      <c r="G1936" s="912">
        <f>GLOBAL_DER_FEV_2023!G1936</f>
        <v>4.8371440000000003</v>
      </c>
      <c r="H1936" s="901">
        <f>GLOBAL_DER_FEV_2023!H1936</f>
        <v>65.040000000000006</v>
      </c>
      <c r="I1936" s="901">
        <f>GLOBAL_DER_FEV_2023!I1936</f>
        <v>69.877144000000001</v>
      </c>
      <c r="J1936" s="902">
        <f>GLOBAL_DER_FEV_2023!J1936</f>
        <v>83.9</v>
      </c>
      <c r="K1936" s="903" t="s">
        <v>13</v>
      </c>
      <c r="L1936" s="1137"/>
      <c r="M1936" s="1138">
        <f t="shared" si="142"/>
        <v>0</v>
      </c>
      <c r="N1936" s="1176">
        <f t="shared" si="146"/>
        <v>0</v>
      </c>
      <c r="O1936" s="905"/>
      <c r="Q1936" s="317" t="str">
        <f t="shared" si="143"/>
        <v/>
      </c>
      <c r="R1936" s="317" t="str">
        <f t="shared" si="144"/>
        <v/>
      </c>
      <c r="S1936" s="317" t="str">
        <f t="shared" si="145"/>
        <v/>
      </c>
      <c r="T1936" s="317" t="str">
        <f>GLOBAL_DER_FEV_2023!S1936</f>
        <v/>
      </c>
      <c r="W1936" s="582">
        <v>0</v>
      </c>
      <c r="X1936" s="580"/>
      <c r="Y1936" s="583">
        <f>IF(GLOBAL_DER_FEV_2023!W1936=0,0,IF(GLOBAL_DER_FEV_2023!W1936&gt;0,"c","b"))</f>
        <v>0</v>
      </c>
    </row>
    <row r="1937" spans="1:25" ht="15" hidden="1" customHeight="1" x14ac:dyDescent="0.2">
      <c r="A1937" s="317" t="s">
        <v>147</v>
      </c>
      <c r="B1937" s="895" t="s">
        <v>147</v>
      </c>
      <c r="C1937" s="896"/>
      <c r="D1937" s="906" t="s">
        <v>190</v>
      </c>
      <c r="E1937" s="907">
        <f>GLOBAL_DER_FEV_2023!E1937</f>
        <v>308</v>
      </c>
      <c r="F1937" s="908">
        <f>GLOBAL_DER_FEV_2023!F1937</f>
        <v>4.0000000000000002E-4</v>
      </c>
      <c r="G1937" s="909">
        <f>GLOBAL_DER_FEV_2023!G1937</f>
        <v>9.9224000000000007E-2</v>
      </c>
      <c r="H1937" s="901">
        <f>GLOBAL_DER_FEV_2023!H1937</f>
        <v>0</v>
      </c>
      <c r="I1937" s="901">
        <f>GLOBAL_DER_FEV_2023!I1937</f>
        <v>0</v>
      </c>
      <c r="J1937" s="902">
        <f>GLOBAL_DER_FEV_2023!J1937</f>
        <v>0</v>
      </c>
      <c r="K1937" s="903"/>
      <c r="L1937" s="1177"/>
      <c r="M1937" s="1138">
        <f t="shared" si="142"/>
        <v>0</v>
      </c>
      <c r="N1937" s="1176">
        <f t="shared" si="146"/>
        <v>0</v>
      </c>
      <c r="O1937" s="905"/>
      <c r="P1937" s="36" t="str">
        <f>IF(N1936&gt;0,"xx",IF(N1936&gt;0,"xy",""))</f>
        <v/>
      </c>
      <c r="Q1937" s="317" t="str">
        <f t="shared" si="143"/>
        <v/>
      </c>
      <c r="R1937" s="317" t="str">
        <f t="shared" si="144"/>
        <v/>
      </c>
      <c r="S1937" s="317" t="str">
        <f t="shared" si="145"/>
        <v/>
      </c>
      <c r="T1937" s="317" t="str">
        <f>GLOBAL_DER_FEV_2023!S1937</f>
        <v/>
      </c>
      <c r="W1937" s="582">
        <v>0</v>
      </c>
      <c r="X1937" s="580"/>
      <c r="Y1937" s="583">
        <f>IF(GLOBAL_DER_FEV_2023!W1937=0,0,IF(GLOBAL_DER_FEV_2023!W1937&gt;0,"c","b"))</f>
        <v>0</v>
      </c>
    </row>
    <row r="1938" spans="1:25" ht="15" hidden="1" customHeight="1" x14ac:dyDescent="0.2">
      <c r="A1938" s="317" t="s">
        <v>147</v>
      </c>
      <c r="B1938" s="895" t="s">
        <v>147</v>
      </c>
      <c r="C1938" s="896"/>
      <c r="D1938" s="906" t="s">
        <v>229</v>
      </c>
      <c r="E1938" s="907">
        <f>GLOBAL_DER_FEV_2023!E1938</f>
        <v>150</v>
      </c>
      <c r="F1938" s="908">
        <f>GLOBAL_DER_FEV_2023!F1938</f>
        <v>2E-3</v>
      </c>
      <c r="G1938" s="949">
        <f>GLOBAL_DER_FEV_2023!G1938</f>
        <v>0.32636000000000004</v>
      </c>
      <c r="H1938" s="901">
        <f>GLOBAL_DER_FEV_2023!H1938</f>
        <v>0</v>
      </c>
      <c r="I1938" s="901">
        <f>GLOBAL_DER_FEV_2023!I1938</f>
        <v>0</v>
      </c>
      <c r="J1938" s="902">
        <f>GLOBAL_DER_FEV_2023!J1938</f>
        <v>0</v>
      </c>
      <c r="K1938" s="903"/>
      <c r="L1938" s="1177"/>
      <c r="M1938" s="1138">
        <f t="shared" ref="M1938:M2001" si="147">IF(L1938=0,0,ROUND(J1938,2))</f>
        <v>0</v>
      </c>
      <c r="N1938" s="1176">
        <f t="shared" si="146"/>
        <v>0</v>
      </c>
      <c r="O1938" s="905"/>
      <c r="P1938" s="36" t="str">
        <f>IF(N1936&gt;0,"xx",IF(N1936&gt;0,"xy",""))</f>
        <v/>
      </c>
      <c r="Q1938" s="317" t="str">
        <f t="shared" si="143"/>
        <v/>
      </c>
      <c r="R1938" s="317" t="str">
        <f t="shared" si="144"/>
        <v/>
      </c>
      <c r="S1938" s="317" t="str">
        <f t="shared" si="145"/>
        <v/>
      </c>
      <c r="T1938" s="317" t="str">
        <f>GLOBAL_DER_FEV_2023!S1938</f>
        <v/>
      </c>
      <c r="W1938" s="582">
        <v>0</v>
      </c>
      <c r="X1938" s="580"/>
      <c r="Y1938" s="583">
        <f>IF(GLOBAL_DER_FEV_2023!W1938=0,0,IF(GLOBAL_DER_FEV_2023!W1938&gt;0,"c","b"))</f>
        <v>0</v>
      </c>
    </row>
    <row r="1939" spans="1:25" ht="15" hidden="1" customHeight="1" x14ac:dyDescent="0.2">
      <c r="A1939" s="317" t="s">
        <v>147</v>
      </c>
      <c r="B1939" s="895" t="s">
        <v>147</v>
      </c>
      <c r="C1939" s="896"/>
      <c r="D1939" s="906" t="s">
        <v>336</v>
      </c>
      <c r="E1939" s="907">
        <f>GLOBAL_DER_FEV_2023!E1939</f>
        <v>40</v>
      </c>
      <c r="F1939" s="908">
        <f>GLOBAL_DER_FEV_2023!F1939</f>
        <v>9.7000000000000003E-2</v>
      </c>
      <c r="G1939" s="949">
        <f>GLOBAL_DER_FEV_2023!G1939</f>
        <v>4.4115600000000006</v>
      </c>
      <c r="H1939" s="901">
        <f>GLOBAL_DER_FEV_2023!H1939</f>
        <v>0</v>
      </c>
      <c r="I1939" s="901">
        <f>GLOBAL_DER_FEV_2023!I1939</f>
        <v>0</v>
      </c>
      <c r="J1939" s="902">
        <f>GLOBAL_DER_FEV_2023!J1939</f>
        <v>0</v>
      </c>
      <c r="K1939" s="903"/>
      <c r="L1939" s="1177"/>
      <c r="M1939" s="1138">
        <f t="shared" si="147"/>
        <v>0</v>
      </c>
      <c r="N1939" s="1176">
        <f t="shared" si="146"/>
        <v>0</v>
      </c>
      <c r="O1939" s="905"/>
      <c r="P1939" s="36" t="str">
        <f>IF(N1936&gt;0,"xx",IF(N1936&gt;0,"xy",""))</f>
        <v/>
      </c>
      <c r="Q1939" s="317" t="str">
        <f t="shared" si="143"/>
        <v/>
      </c>
      <c r="R1939" s="317" t="str">
        <f t="shared" si="144"/>
        <v/>
      </c>
      <c r="S1939" s="317" t="str">
        <f t="shared" si="145"/>
        <v/>
      </c>
      <c r="T1939" s="317" t="str">
        <f>GLOBAL_DER_FEV_2023!S1939</f>
        <v/>
      </c>
      <c r="W1939" s="582">
        <v>0</v>
      </c>
      <c r="X1939" s="580"/>
      <c r="Y1939" s="583">
        <f>IF(GLOBAL_DER_FEV_2023!W1939=0,0,IF(GLOBAL_DER_FEV_2023!W1939&gt;0,"c","b"))</f>
        <v>0</v>
      </c>
    </row>
    <row r="1940" spans="1:25" ht="15" hidden="1" customHeight="1" x14ac:dyDescent="0.2">
      <c r="A1940" s="317">
        <v>610400</v>
      </c>
      <c r="B1940" s="895" t="s">
        <v>1823</v>
      </c>
      <c r="C1940" s="896" t="s">
        <v>184</v>
      </c>
      <c r="D1940" s="906" t="s">
        <v>362</v>
      </c>
      <c r="E1940" s="907">
        <f>GLOBAL_DER_FEV_2023!E1940</f>
        <v>0</v>
      </c>
      <c r="F1940" s="908">
        <f>GLOBAL_DER_FEV_2023!F1940</f>
        <v>0</v>
      </c>
      <c r="G1940" s="912">
        <f>GLOBAL_DER_FEV_2023!G1940</f>
        <v>7.1059140000000003</v>
      </c>
      <c r="H1940" s="901">
        <f>GLOBAL_DER_FEV_2023!H1940</f>
        <v>137.47</v>
      </c>
      <c r="I1940" s="901">
        <f>GLOBAL_DER_FEV_2023!I1940</f>
        <v>144.57591400000001</v>
      </c>
      <c r="J1940" s="902">
        <f>GLOBAL_DER_FEV_2023!J1940</f>
        <v>173.59</v>
      </c>
      <c r="K1940" s="903" t="s">
        <v>13</v>
      </c>
      <c r="L1940" s="1137"/>
      <c r="M1940" s="1138">
        <f t="shared" si="147"/>
        <v>0</v>
      </c>
      <c r="N1940" s="1176">
        <f t="shared" si="146"/>
        <v>0</v>
      </c>
      <c r="O1940" s="905"/>
      <c r="Q1940" s="317" t="str">
        <f t="shared" si="143"/>
        <v/>
      </c>
      <c r="R1940" s="317" t="str">
        <f t="shared" si="144"/>
        <v/>
      </c>
      <c r="S1940" s="317" t="str">
        <f t="shared" si="145"/>
        <v/>
      </c>
      <c r="T1940" s="317" t="str">
        <f>GLOBAL_DER_FEV_2023!S1940</f>
        <v/>
      </c>
      <c r="W1940" s="582">
        <v>0</v>
      </c>
      <c r="X1940" s="580"/>
      <c r="Y1940" s="583">
        <f>IF(GLOBAL_DER_FEV_2023!W1940=0,0,IF(GLOBAL_DER_FEV_2023!W1940&gt;0,"c","b"))</f>
        <v>0</v>
      </c>
    </row>
    <row r="1941" spans="1:25" ht="15" hidden="1" customHeight="1" x14ac:dyDescent="0.2">
      <c r="A1941" s="317" t="s">
        <v>147</v>
      </c>
      <c r="B1941" s="895" t="s">
        <v>147</v>
      </c>
      <c r="C1941" s="896"/>
      <c r="D1941" s="906" t="s">
        <v>190</v>
      </c>
      <c r="E1941" s="907">
        <f>GLOBAL_DER_FEV_2023!E1941</f>
        <v>308</v>
      </c>
      <c r="F1941" s="908">
        <f>GLOBAL_DER_FEV_2023!F1941</f>
        <v>1.9E-3</v>
      </c>
      <c r="G1941" s="909">
        <f>GLOBAL_DER_FEV_2023!G1941</f>
        <v>0.47131400000000001</v>
      </c>
      <c r="H1941" s="901">
        <f>GLOBAL_DER_FEV_2023!H1941</f>
        <v>0</v>
      </c>
      <c r="I1941" s="901">
        <f>GLOBAL_DER_FEV_2023!I1941</f>
        <v>0</v>
      </c>
      <c r="J1941" s="902">
        <f>GLOBAL_DER_FEV_2023!J1941</f>
        <v>0</v>
      </c>
      <c r="K1941" s="903"/>
      <c r="L1941" s="1177"/>
      <c r="M1941" s="1138">
        <f t="shared" si="147"/>
        <v>0</v>
      </c>
      <c r="N1941" s="1176">
        <f t="shared" si="146"/>
        <v>0</v>
      </c>
      <c r="O1941" s="905"/>
      <c r="P1941" s="36" t="str">
        <f>IF(N1940&gt;0,"xx",IF(N1940&gt;0,"xy",""))</f>
        <v/>
      </c>
      <c r="Q1941" s="317" t="str">
        <f t="shared" si="143"/>
        <v/>
      </c>
      <c r="R1941" s="317" t="str">
        <f t="shared" si="144"/>
        <v/>
      </c>
      <c r="S1941" s="317" t="str">
        <f t="shared" si="145"/>
        <v/>
      </c>
      <c r="T1941" s="317" t="str">
        <f>GLOBAL_DER_FEV_2023!S1941</f>
        <v/>
      </c>
      <c r="W1941" s="582">
        <v>0</v>
      </c>
      <c r="X1941" s="580"/>
      <c r="Y1941" s="583">
        <f>IF(GLOBAL_DER_FEV_2023!W1941=0,0,IF(GLOBAL_DER_FEV_2023!W1941&gt;0,"c","b"))</f>
        <v>0</v>
      </c>
    </row>
    <row r="1942" spans="1:25" ht="15" hidden="1" customHeight="1" x14ac:dyDescent="0.2">
      <c r="A1942" s="317" t="s">
        <v>147</v>
      </c>
      <c r="B1942" s="895" t="s">
        <v>147</v>
      </c>
      <c r="C1942" s="896"/>
      <c r="D1942" s="906" t="s">
        <v>229</v>
      </c>
      <c r="E1942" s="907">
        <f>GLOBAL_DER_FEV_2023!E1942</f>
        <v>150</v>
      </c>
      <c r="F1942" s="908">
        <f>GLOBAL_DER_FEV_2023!F1942</f>
        <v>0.01</v>
      </c>
      <c r="G1942" s="949">
        <f>GLOBAL_DER_FEV_2023!G1942</f>
        <v>1.6318000000000001</v>
      </c>
      <c r="H1942" s="901">
        <f>GLOBAL_DER_FEV_2023!H1942</f>
        <v>0</v>
      </c>
      <c r="I1942" s="901">
        <f>GLOBAL_DER_FEV_2023!I1942</f>
        <v>0</v>
      </c>
      <c r="J1942" s="902">
        <f>GLOBAL_DER_FEV_2023!J1942</f>
        <v>0</v>
      </c>
      <c r="K1942" s="903"/>
      <c r="L1942" s="1177"/>
      <c r="M1942" s="1138">
        <f t="shared" si="147"/>
        <v>0</v>
      </c>
      <c r="N1942" s="1176">
        <f t="shared" si="146"/>
        <v>0</v>
      </c>
      <c r="O1942" s="905"/>
      <c r="P1942" s="36" t="str">
        <f>IF(N1940&gt;0,"xx",IF(N1940&gt;0,"xy",""))</f>
        <v/>
      </c>
      <c r="Q1942" s="317" t="str">
        <f t="shared" si="143"/>
        <v/>
      </c>
      <c r="R1942" s="317" t="str">
        <f t="shared" si="144"/>
        <v/>
      </c>
      <c r="S1942" s="317" t="str">
        <f t="shared" si="145"/>
        <v/>
      </c>
      <c r="T1942" s="317" t="str">
        <f>GLOBAL_DER_FEV_2023!S1942</f>
        <v/>
      </c>
      <c r="W1942" s="582">
        <v>0</v>
      </c>
      <c r="X1942" s="580"/>
      <c r="Y1942" s="583">
        <f>IF(GLOBAL_DER_FEV_2023!W1942=0,0,IF(GLOBAL_DER_FEV_2023!W1942&gt;0,"c","b"))</f>
        <v>0</v>
      </c>
    </row>
    <row r="1943" spans="1:25" ht="15" hidden="1" customHeight="1" x14ac:dyDescent="0.2">
      <c r="A1943" s="317" t="s">
        <v>147</v>
      </c>
      <c r="B1943" s="895" t="s">
        <v>147</v>
      </c>
      <c r="C1943" s="896"/>
      <c r="D1943" s="906" t="s">
        <v>336</v>
      </c>
      <c r="E1943" s="907">
        <f>GLOBAL_DER_FEV_2023!E1943</f>
        <v>40</v>
      </c>
      <c r="F1943" s="908">
        <f>GLOBAL_DER_FEV_2023!F1943</f>
        <v>0.11</v>
      </c>
      <c r="G1943" s="949">
        <f>GLOBAL_DER_FEV_2023!G1943</f>
        <v>5.0028000000000006</v>
      </c>
      <c r="H1943" s="901">
        <f>GLOBAL_DER_FEV_2023!H1943</f>
        <v>0</v>
      </c>
      <c r="I1943" s="901">
        <f>GLOBAL_DER_FEV_2023!I1943</f>
        <v>0</v>
      </c>
      <c r="J1943" s="902">
        <f>GLOBAL_DER_FEV_2023!J1943</f>
        <v>0</v>
      </c>
      <c r="K1943" s="903"/>
      <c r="L1943" s="1177"/>
      <c r="M1943" s="1138">
        <f t="shared" si="147"/>
        <v>0</v>
      </c>
      <c r="N1943" s="1176">
        <f t="shared" si="146"/>
        <v>0</v>
      </c>
      <c r="O1943" s="905"/>
      <c r="P1943" s="36" t="str">
        <f>IF(N1940&gt;0,"xx",IF(N1940&gt;0,"xy",""))</f>
        <v/>
      </c>
      <c r="Q1943" s="317" t="str">
        <f t="shared" si="143"/>
        <v/>
      </c>
      <c r="R1943" s="317" t="str">
        <f t="shared" si="144"/>
        <v/>
      </c>
      <c r="S1943" s="317" t="str">
        <f t="shared" si="145"/>
        <v/>
      </c>
      <c r="T1943" s="317" t="str">
        <f>GLOBAL_DER_FEV_2023!S1943</f>
        <v/>
      </c>
      <c r="W1943" s="582">
        <v>0</v>
      </c>
      <c r="X1943" s="580"/>
      <c r="Y1943" s="583">
        <f>IF(GLOBAL_DER_FEV_2023!W1943=0,0,IF(GLOBAL_DER_FEV_2023!W1943&gt;0,"c","b"))</f>
        <v>0</v>
      </c>
    </row>
    <row r="1944" spans="1:25" ht="15" hidden="1" customHeight="1" x14ac:dyDescent="0.2">
      <c r="A1944" s="317">
        <v>610400</v>
      </c>
      <c r="B1944" s="895" t="s">
        <v>1824</v>
      </c>
      <c r="C1944" s="896" t="s">
        <v>184</v>
      </c>
      <c r="D1944" s="906" t="s">
        <v>472</v>
      </c>
      <c r="E1944" s="907">
        <f>GLOBAL_DER_FEV_2023!E1944</f>
        <v>0</v>
      </c>
      <c r="F1944" s="908">
        <f>GLOBAL_DER_FEV_2023!F1944</f>
        <v>0</v>
      </c>
      <c r="G1944" s="912">
        <f>GLOBAL_DER_FEV_2023!G1944</f>
        <v>13.849744000000001</v>
      </c>
      <c r="H1944" s="901">
        <f>GLOBAL_DER_FEV_2023!H1944</f>
        <v>137.47</v>
      </c>
      <c r="I1944" s="901">
        <f>GLOBAL_DER_FEV_2023!I1944</f>
        <v>151.31974400000001</v>
      </c>
      <c r="J1944" s="902">
        <f>GLOBAL_DER_FEV_2023!J1944</f>
        <v>181.69</v>
      </c>
      <c r="K1944" s="903" t="s">
        <v>13</v>
      </c>
      <c r="L1944" s="1137"/>
      <c r="M1944" s="1138">
        <f t="shared" si="147"/>
        <v>0</v>
      </c>
      <c r="N1944" s="1176">
        <f t="shared" si="146"/>
        <v>0</v>
      </c>
      <c r="O1944" s="905"/>
      <c r="Q1944" s="317" t="str">
        <f t="shared" si="143"/>
        <v/>
      </c>
      <c r="R1944" s="317" t="str">
        <f t="shared" si="144"/>
        <v/>
      </c>
      <c r="S1944" s="317" t="str">
        <f t="shared" si="145"/>
        <v/>
      </c>
      <c r="T1944" s="317" t="str">
        <f>GLOBAL_DER_FEV_2023!S1944</f>
        <v/>
      </c>
      <c r="W1944" s="582">
        <v>0</v>
      </c>
      <c r="X1944" s="580"/>
      <c r="Y1944" s="583">
        <f>IF(GLOBAL_DER_FEV_2023!W1944=0,0,IF(GLOBAL_DER_FEV_2023!W1944&gt;0,"c","b"))</f>
        <v>0</v>
      </c>
    </row>
    <row r="1945" spans="1:25" ht="15" hidden="1" customHeight="1" x14ac:dyDescent="0.2">
      <c r="A1945" s="317" t="s">
        <v>147</v>
      </c>
      <c r="B1945" s="895" t="s">
        <v>147</v>
      </c>
      <c r="C1945" s="896"/>
      <c r="D1945" s="906" t="s">
        <v>190</v>
      </c>
      <c r="E1945" s="907">
        <f>GLOBAL_DER_FEV_2023!E1945</f>
        <v>308</v>
      </c>
      <c r="F1945" s="908">
        <f>GLOBAL_DER_FEV_2023!F1945</f>
        <v>2.3E-3</v>
      </c>
      <c r="G1945" s="909">
        <f>GLOBAL_DER_FEV_2023!G1945</f>
        <v>0.57053799999999999</v>
      </c>
      <c r="H1945" s="901">
        <f>GLOBAL_DER_FEV_2023!H1945</f>
        <v>0</v>
      </c>
      <c r="I1945" s="901">
        <f>GLOBAL_DER_FEV_2023!I1945</f>
        <v>0</v>
      </c>
      <c r="J1945" s="902">
        <f>GLOBAL_DER_FEV_2023!J1945</f>
        <v>0</v>
      </c>
      <c r="K1945" s="903"/>
      <c r="L1945" s="1177"/>
      <c r="M1945" s="1138">
        <f t="shared" si="147"/>
        <v>0</v>
      </c>
      <c r="N1945" s="1176">
        <f t="shared" si="146"/>
        <v>0</v>
      </c>
      <c r="O1945" s="905"/>
      <c r="P1945" s="36" t="str">
        <f>IF(N1944&gt;0,"xx",IF(N1944&gt;0,"xy",""))</f>
        <v/>
      </c>
      <c r="Q1945" s="317" t="str">
        <f t="shared" si="143"/>
        <v/>
      </c>
      <c r="R1945" s="317" t="str">
        <f t="shared" si="144"/>
        <v/>
      </c>
      <c r="S1945" s="317" t="str">
        <f t="shared" si="145"/>
        <v/>
      </c>
      <c r="T1945" s="317" t="str">
        <f>GLOBAL_DER_FEV_2023!S1945</f>
        <v/>
      </c>
      <c r="W1945" s="582">
        <v>0</v>
      </c>
      <c r="X1945" s="580"/>
      <c r="Y1945" s="583">
        <f>IF(GLOBAL_DER_FEV_2023!W1945=0,0,IF(GLOBAL_DER_FEV_2023!W1945&gt;0,"c","b"))</f>
        <v>0</v>
      </c>
    </row>
    <row r="1946" spans="1:25" ht="15" hidden="1" customHeight="1" x14ac:dyDescent="0.2">
      <c r="A1946" s="317" t="s">
        <v>147</v>
      </c>
      <c r="B1946" s="895" t="s">
        <v>147</v>
      </c>
      <c r="C1946" s="896"/>
      <c r="D1946" s="906" t="s">
        <v>229</v>
      </c>
      <c r="E1946" s="907">
        <f>GLOBAL_DER_FEV_2023!E1946</f>
        <v>150</v>
      </c>
      <c r="F1946" s="908">
        <f>GLOBAL_DER_FEV_2023!F1946</f>
        <v>1.17E-2</v>
      </c>
      <c r="G1946" s="949">
        <f>GLOBAL_DER_FEV_2023!G1946</f>
        <v>1.9092060000000002</v>
      </c>
      <c r="H1946" s="901">
        <f>GLOBAL_DER_FEV_2023!H1946</f>
        <v>0</v>
      </c>
      <c r="I1946" s="901">
        <f>GLOBAL_DER_FEV_2023!I1946</f>
        <v>0</v>
      </c>
      <c r="J1946" s="902">
        <f>GLOBAL_DER_FEV_2023!J1946</f>
        <v>0</v>
      </c>
      <c r="K1946" s="903"/>
      <c r="L1946" s="1177"/>
      <c r="M1946" s="1138">
        <f t="shared" si="147"/>
        <v>0</v>
      </c>
      <c r="N1946" s="1176">
        <f t="shared" si="146"/>
        <v>0</v>
      </c>
      <c r="O1946" s="905"/>
      <c r="P1946" s="36" t="str">
        <f>IF(N1944&gt;0,"xx",IF(N1944&gt;0,"xy",""))</f>
        <v/>
      </c>
      <c r="Q1946" s="317" t="str">
        <f t="shared" si="143"/>
        <v/>
      </c>
      <c r="R1946" s="317" t="str">
        <f t="shared" si="144"/>
        <v/>
      </c>
      <c r="S1946" s="317" t="str">
        <f t="shared" si="145"/>
        <v/>
      </c>
      <c r="T1946" s="317" t="str">
        <f>GLOBAL_DER_FEV_2023!S1946</f>
        <v/>
      </c>
      <c r="W1946" s="582">
        <v>0</v>
      </c>
      <c r="X1946" s="580"/>
      <c r="Y1946" s="583">
        <f>IF(GLOBAL_DER_FEV_2023!W1946=0,0,IF(GLOBAL_DER_FEV_2023!W1946&gt;0,"c","b"))</f>
        <v>0</v>
      </c>
    </row>
    <row r="1947" spans="1:25" ht="15" hidden="1" customHeight="1" x14ac:dyDescent="0.2">
      <c r="A1947" s="317" t="s">
        <v>147</v>
      </c>
      <c r="B1947" s="895" t="s">
        <v>147</v>
      </c>
      <c r="C1947" s="896"/>
      <c r="D1947" s="906" t="s">
        <v>336</v>
      </c>
      <c r="E1947" s="907">
        <f>GLOBAL_DER_FEV_2023!E1947</f>
        <v>40</v>
      </c>
      <c r="F1947" s="908">
        <f>GLOBAL_DER_FEV_2023!F1947</f>
        <v>0.25</v>
      </c>
      <c r="G1947" s="949">
        <f>GLOBAL_DER_FEV_2023!G1947</f>
        <v>11.370000000000001</v>
      </c>
      <c r="H1947" s="901">
        <f>GLOBAL_DER_FEV_2023!H1947</f>
        <v>0</v>
      </c>
      <c r="I1947" s="901">
        <f>GLOBAL_DER_FEV_2023!I1947</f>
        <v>0</v>
      </c>
      <c r="J1947" s="902">
        <f>GLOBAL_DER_FEV_2023!J1947</f>
        <v>0</v>
      </c>
      <c r="K1947" s="903"/>
      <c r="L1947" s="1177"/>
      <c r="M1947" s="1138">
        <f t="shared" si="147"/>
        <v>0</v>
      </c>
      <c r="N1947" s="1176">
        <f t="shared" si="146"/>
        <v>0</v>
      </c>
      <c r="O1947" s="905"/>
      <c r="P1947" s="36" t="str">
        <f>IF(N1944&gt;0,"xx",IF(N1944&gt;0,"xy",""))</f>
        <v/>
      </c>
      <c r="Q1947" s="317" t="str">
        <f t="shared" ref="Q1947:Q2010" si="148">IF(P1947="X","x",IF(P1947="xx","x",IF(P1947="xy","x",IF(P1947="y","x",IF(OR(N1947&gt;0,N1947&gt;0),"x","")))))</f>
        <v/>
      </c>
      <c r="R1947" s="317" t="str">
        <f t="shared" si="144"/>
        <v/>
      </c>
      <c r="S1947" s="317" t="str">
        <f t="shared" si="145"/>
        <v/>
      </c>
      <c r="T1947" s="317" t="str">
        <f>GLOBAL_DER_FEV_2023!S1947</f>
        <v/>
      </c>
      <c r="W1947" s="582">
        <v>0</v>
      </c>
      <c r="X1947" s="580"/>
      <c r="Y1947" s="583">
        <f>IF(GLOBAL_DER_FEV_2023!W1947=0,0,IF(GLOBAL_DER_FEV_2023!W1947&gt;0,"c","b"))</f>
        <v>0</v>
      </c>
    </row>
    <row r="1948" spans="1:25" ht="15" hidden="1" customHeight="1" x14ac:dyDescent="0.2">
      <c r="A1948" s="317">
        <v>610600</v>
      </c>
      <c r="B1948" s="895" t="s">
        <v>1827</v>
      </c>
      <c r="C1948" s="896" t="s">
        <v>184</v>
      </c>
      <c r="D1948" s="906" t="s">
        <v>363</v>
      </c>
      <c r="E1948" s="907">
        <f>GLOBAL_DER_FEV_2023!E1948</f>
        <v>0</v>
      </c>
      <c r="F1948" s="908">
        <f>GLOBAL_DER_FEV_2023!F1948</f>
        <v>0</v>
      </c>
      <c r="G1948" s="912">
        <f>GLOBAL_DER_FEV_2023!G1948</f>
        <v>20.568768000000002</v>
      </c>
      <c r="H1948" s="901">
        <f>GLOBAL_DER_FEV_2023!H1948</f>
        <v>313.26</v>
      </c>
      <c r="I1948" s="901">
        <f>GLOBAL_DER_FEV_2023!I1948</f>
        <v>333.82876799999997</v>
      </c>
      <c r="J1948" s="902">
        <f>GLOBAL_DER_FEV_2023!J1948</f>
        <v>400.83</v>
      </c>
      <c r="K1948" s="903" t="s">
        <v>13</v>
      </c>
      <c r="L1948" s="1137"/>
      <c r="M1948" s="1138">
        <f t="shared" si="147"/>
        <v>0</v>
      </c>
      <c r="N1948" s="1176">
        <f t="shared" si="146"/>
        <v>0</v>
      </c>
      <c r="O1948" s="905"/>
      <c r="Q1948" s="317" t="str">
        <f t="shared" si="148"/>
        <v/>
      </c>
      <c r="R1948" s="317" t="str">
        <f t="shared" si="144"/>
        <v/>
      </c>
      <c r="S1948" s="317" t="str">
        <f t="shared" si="145"/>
        <v/>
      </c>
      <c r="T1948" s="317" t="str">
        <f>GLOBAL_DER_FEV_2023!S1948</f>
        <v/>
      </c>
      <c r="W1948" s="582">
        <v>0</v>
      </c>
      <c r="X1948" s="580"/>
      <c r="Y1948" s="583">
        <f>IF(GLOBAL_DER_FEV_2023!W1948=0,0,IF(GLOBAL_DER_FEV_2023!W1948&gt;0,"c","b"))</f>
        <v>0</v>
      </c>
    </row>
    <row r="1949" spans="1:25" ht="15" hidden="1" customHeight="1" x14ac:dyDescent="0.2">
      <c r="A1949" s="317" t="s">
        <v>147</v>
      </c>
      <c r="B1949" s="895" t="s">
        <v>147</v>
      </c>
      <c r="C1949" s="896"/>
      <c r="D1949" s="906" t="s">
        <v>190</v>
      </c>
      <c r="E1949" s="907">
        <f>GLOBAL_DER_FEV_2023!E1949</f>
        <v>308</v>
      </c>
      <c r="F1949" s="908">
        <f>GLOBAL_DER_FEV_2023!F1949</f>
        <v>2.5999999999999999E-3</v>
      </c>
      <c r="G1949" s="909">
        <f>GLOBAL_DER_FEV_2023!G1949</f>
        <v>0.64495599999999997</v>
      </c>
      <c r="H1949" s="901">
        <f>GLOBAL_DER_FEV_2023!H1949</f>
        <v>0</v>
      </c>
      <c r="I1949" s="901">
        <f>GLOBAL_DER_FEV_2023!I1949</f>
        <v>0</v>
      </c>
      <c r="J1949" s="902">
        <f>GLOBAL_DER_FEV_2023!J1949</f>
        <v>0</v>
      </c>
      <c r="K1949" s="903"/>
      <c r="L1949" s="1177"/>
      <c r="M1949" s="1138">
        <f t="shared" si="147"/>
        <v>0</v>
      </c>
      <c r="N1949" s="1176">
        <f t="shared" si="146"/>
        <v>0</v>
      </c>
      <c r="O1949" s="905"/>
      <c r="P1949" s="36" t="str">
        <f>IF(N1948&gt;0,"xx",IF(N1948&gt;0,"xy",""))</f>
        <v/>
      </c>
      <c r="Q1949" s="317" t="str">
        <f t="shared" si="148"/>
        <v/>
      </c>
      <c r="R1949" s="317" t="str">
        <f t="shared" ref="R1949:R2012" si="149">IF(P1949="X","x",IF(P1949="y","x",IF(P1949="xx","x",IF(N1949&gt;0,"x",""))))</f>
        <v/>
      </c>
      <c r="S1949" s="317" t="str">
        <f t="shared" ref="S1949:S2012" si="150">IF(P1949="X","x",IF(N1949&gt;0,"x",""))</f>
        <v/>
      </c>
      <c r="T1949" s="317" t="str">
        <f>GLOBAL_DER_FEV_2023!S1949</f>
        <v/>
      </c>
      <c r="W1949" s="582">
        <v>0</v>
      </c>
      <c r="X1949" s="580"/>
      <c r="Y1949" s="583">
        <f>IF(GLOBAL_DER_FEV_2023!W1949=0,0,IF(GLOBAL_DER_FEV_2023!W1949&gt;0,"c","b"))</f>
        <v>0</v>
      </c>
    </row>
    <row r="1950" spans="1:25" ht="15" hidden="1" customHeight="1" x14ac:dyDescent="0.2">
      <c r="A1950" s="317" t="s">
        <v>147</v>
      </c>
      <c r="B1950" s="895" t="s">
        <v>147</v>
      </c>
      <c r="C1950" s="896"/>
      <c r="D1950" s="906" t="s">
        <v>229</v>
      </c>
      <c r="E1950" s="907">
        <f>GLOBAL_DER_FEV_2023!E1950</f>
        <v>150</v>
      </c>
      <c r="F1950" s="908">
        <f>GLOBAL_DER_FEV_2023!F1950</f>
        <v>1.34E-2</v>
      </c>
      <c r="G1950" s="949">
        <f>GLOBAL_DER_FEV_2023!G1950</f>
        <v>2.1866120000000002</v>
      </c>
      <c r="H1950" s="901">
        <f>GLOBAL_DER_FEV_2023!H1950</f>
        <v>0</v>
      </c>
      <c r="I1950" s="901">
        <f>GLOBAL_DER_FEV_2023!I1950</f>
        <v>0</v>
      </c>
      <c r="J1950" s="902">
        <f>GLOBAL_DER_FEV_2023!J1950</f>
        <v>0</v>
      </c>
      <c r="K1950" s="903"/>
      <c r="L1950" s="1177"/>
      <c r="M1950" s="1138">
        <f t="shared" si="147"/>
        <v>0</v>
      </c>
      <c r="N1950" s="1176">
        <f t="shared" si="146"/>
        <v>0</v>
      </c>
      <c r="O1950" s="905"/>
      <c r="P1950" s="36" t="str">
        <f>IF(N1948&gt;0,"xx",IF(N1948&gt;0,"xy",""))</f>
        <v/>
      </c>
      <c r="Q1950" s="317" t="str">
        <f t="shared" si="148"/>
        <v/>
      </c>
      <c r="R1950" s="317" t="str">
        <f t="shared" si="149"/>
        <v/>
      </c>
      <c r="S1950" s="317" t="str">
        <f t="shared" si="150"/>
        <v/>
      </c>
      <c r="T1950" s="317" t="str">
        <f>GLOBAL_DER_FEV_2023!S1950</f>
        <v/>
      </c>
      <c r="W1950" s="582">
        <v>0</v>
      </c>
      <c r="X1950" s="580"/>
      <c r="Y1950" s="583">
        <f>IF(GLOBAL_DER_FEV_2023!W1950=0,0,IF(GLOBAL_DER_FEV_2023!W1950&gt;0,"c","b"))</f>
        <v>0</v>
      </c>
    </row>
    <row r="1951" spans="1:25" ht="15" hidden="1" customHeight="1" x14ac:dyDescent="0.2">
      <c r="A1951" s="317" t="s">
        <v>147</v>
      </c>
      <c r="B1951" s="895" t="s">
        <v>147</v>
      </c>
      <c r="C1951" s="896"/>
      <c r="D1951" s="906" t="s">
        <v>336</v>
      </c>
      <c r="E1951" s="907">
        <f>GLOBAL_DER_FEV_2023!E1951</f>
        <v>40</v>
      </c>
      <c r="F1951" s="908">
        <f>GLOBAL_DER_FEV_2023!F1951</f>
        <v>0.39</v>
      </c>
      <c r="G1951" s="949">
        <f>GLOBAL_DER_FEV_2023!G1951</f>
        <v>17.737200000000001</v>
      </c>
      <c r="H1951" s="901">
        <f>GLOBAL_DER_FEV_2023!H1951</f>
        <v>0</v>
      </c>
      <c r="I1951" s="901">
        <f>GLOBAL_DER_FEV_2023!I1951</f>
        <v>0</v>
      </c>
      <c r="J1951" s="902">
        <f>GLOBAL_DER_FEV_2023!J1951</f>
        <v>0</v>
      </c>
      <c r="K1951" s="903"/>
      <c r="L1951" s="1177"/>
      <c r="M1951" s="1138">
        <f t="shared" si="147"/>
        <v>0</v>
      </c>
      <c r="N1951" s="1176">
        <f t="shared" si="146"/>
        <v>0</v>
      </c>
      <c r="O1951" s="905"/>
      <c r="P1951" s="36" t="str">
        <f>IF(N1948&gt;0,"xx",IF(N1948&gt;0,"xy",""))</f>
        <v/>
      </c>
      <c r="Q1951" s="317" t="str">
        <f t="shared" si="148"/>
        <v/>
      </c>
      <c r="R1951" s="317" t="str">
        <f t="shared" si="149"/>
        <v/>
      </c>
      <c r="S1951" s="317" t="str">
        <f t="shared" si="150"/>
        <v/>
      </c>
      <c r="T1951" s="317" t="str">
        <f>GLOBAL_DER_FEV_2023!S1951</f>
        <v/>
      </c>
      <c r="W1951" s="582">
        <v>0</v>
      </c>
      <c r="X1951" s="580"/>
      <c r="Y1951" s="583">
        <f>IF(GLOBAL_DER_FEV_2023!W1951=0,0,IF(GLOBAL_DER_FEV_2023!W1951&gt;0,"c","b"))</f>
        <v>0</v>
      </c>
    </row>
    <row r="1952" spans="1:25" ht="15" hidden="1" customHeight="1" x14ac:dyDescent="0.2">
      <c r="A1952" s="317">
        <v>610600</v>
      </c>
      <c r="B1952" s="895" t="s">
        <v>1828</v>
      </c>
      <c r="C1952" s="896" t="s">
        <v>184</v>
      </c>
      <c r="D1952" s="906" t="s">
        <v>473</v>
      </c>
      <c r="E1952" s="907">
        <f>GLOBAL_DER_FEV_2023!E1952</f>
        <v>0</v>
      </c>
      <c r="F1952" s="908">
        <f>GLOBAL_DER_FEV_2023!F1952</f>
        <v>0</v>
      </c>
      <c r="G1952" s="912">
        <f>GLOBAL_DER_FEV_2023!G1952</f>
        <v>27.287792000000003</v>
      </c>
      <c r="H1952" s="901">
        <f>GLOBAL_DER_FEV_2023!H1952</f>
        <v>313.26</v>
      </c>
      <c r="I1952" s="901">
        <f>GLOBAL_DER_FEV_2023!I1952</f>
        <v>340.54779200000002</v>
      </c>
      <c r="J1952" s="902">
        <f>GLOBAL_DER_FEV_2023!J1952</f>
        <v>408.9</v>
      </c>
      <c r="K1952" s="903" t="s">
        <v>13</v>
      </c>
      <c r="L1952" s="1137"/>
      <c r="M1952" s="1138">
        <f t="shared" si="147"/>
        <v>0</v>
      </c>
      <c r="N1952" s="1176">
        <f t="shared" si="146"/>
        <v>0</v>
      </c>
      <c r="O1952" s="905"/>
      <c r="Q1952" s="317" t="str">
        <f t="shared" si="148"/>
        <v/>
      </c>
      <c r="R1952" s="317" t="str">
        <f t="shared" si="149"/>
        <v/>
      </c>
      <c r="S1952" s="317" t="str">
        <f t="shared" si="150"/>
        <v/>
      </c>
      <c r="T1952" s="317" t="str">
        <f>GLOBAL_DER_FEV_2023!S1952</f>
        <v/>
      </c>
      <c r="W1952" s="582">
        <v>0</v>
      </c>
      <c r="X1952" s="580"/>
      <c r="Y1952" s="583">
        <f>IF(GLOBAL_DER_FEV_2023!W1952=0,0,IF(GLOBAL_DER_FEV_2023!W1952&gt;0,"c","b"))</f>
        <v>0</v>
      </c>
    </row>
    <row r="1953" spans="1:25" ht="15" hidden="1" customHeight="1" x14ac:dyDescent="0.2">
      <c r="A1953" s="317" t="s">
        <v>147</v>
      </c>
      <c r="B1953" s="895" t="s">
        <v>147</v>
      </c>
      <c r="C1953" s="896"/>
      <c r="D1953" s="906" t="s">
        <v>190</v>
      </c>
      <c r="E1953" s="907">
        <f>GLOBAL_DER_FEV_2023!E1953</f>
        <v>308</v>
      </c>
      <c r="F1953" s="908">
        <f>GLOBAL_DER_FEV_2023!F1953</f>
        <v>2.8999999999999998E-3</v>
      </c>
      <c r="G1953" s="909">
        <f>GLOBAL_DER_FEV_2023!G1953</f>
        <v>0.71937399999999996</v>
      </c>
      <c r="H1953" s="901">
        <f>GLOBAL_DER_FEV_2023!H1953</f>
        <v>0</v>
      </c>
      <c r="I1953" s="901">
        <f>GLOBAL_DER_FEV_2023!I1953</f>
        <v>0</v>
      </c>
      <c r="J1953" s="902">
        <f>GLOBAL_DER_FEV_2023!J1953</f>
        <v>0</v>
      </c>
      <c r="K1953" s="903"/>
      <c r="L1953" s="1177"/>
      <c r="M1953" s="1138">
        <f t="shared" si="147"/>
        <v>0</v>
      </c>
      <c r="N1953" s="1176">
        <f t="shared" ref="N1953:N2016" si="151">IF(ISBLANK(L1953),0,IF(W1953=0,ROUND(L1953*M1953,2),IF(W1953="b",ROUNDDOWN(L1953*M1953,2),ROUNDUP(L1953*M1953,2))))</f>
        <v>0</v>
      </c>
      <c r="O1953" s="905"/>
      <c r="P1953" s="36" t="str">
        <f>IF(N1952&gt;0,"xx",IF(N1952&gt;0,"xy",""))</f>
        <v/>
      </c>
      <c r="Q1953" s="317" t="str">
        <f t="shared" si="148"/>
        <v/>
      </c>
      <c r="R1953" s="317" t="str">
        <f t="shared" si="149"/>
        <v/>
      </c>
      <c r="S1953" s="317" t="str">
        <f t="shared" si="150"/>
        <v/>
      </c>
      <c r="T1953" s="317" t="str">
        <f>GLOBAL_DER_FEV_2023!S1953</f>
        <v/>
      </c>
      <c r="W1953" s="582">
        <v>0</v>
      </c>
      <c r="X1953" s="580"/>
      <c r="Y1953" s="583">
        <f>IF(GLOBAL_DER_FEV_2023!W1953=0,0,IF(GLOBAL_DER_FEV_2023!W1953&gt;0,"c","b"))</f>
        <v>0</v>
      </c>
    </row>
    <row r="1954" spans="1:25" ht="15" hidden="1" customHeight="1" x14ac:dyDescent="0.2">
      <c r="A1954" s="317" t="s">
        <v>147</v>
      </c>
      <c r="B1954" s="895" t="s">
        <v>147</v>
      </c>
      <c r="C1954" s="896"/>
      <c r="D1954" s="906" t="s">
        <v>229</v>
      </c>
      <c r="E1954" s="907">
        <f>GLOBAL_DER_FEV_2023!E1954</f>
        <v>150</v>
      </c>
      <c r="F1954" s="908">
        <f>GLOBAL_DER_FEV_2023!F1954</f>
        <v>1.5100000000000001E-2</v>
      </c>
      <c r="G1954" s="949">
        <f>GLOBAL_DER_FEV_2023!G1954</f>
        <v>2.4640180000000003</v>
      </c>
      <c r="H1954" s="901">
        <f>GLOBAL_DER_FEV_2023!H1954</f>
        <v>0</v>
      </c>
      <c r="I1954" s="901">
        <f>GLOBAL_DER_FEV_2023!I1954</f>
        <v>0</v>
      </c>
      <c r="J1954" s="902">
        <f>GLOBAL_DER_FEV_2023!J1954</f>
        <v>0</v>
      </c>
      <c r="K1954" s="903"/>
      <c r="L1954" s="1177"/>
      <c r="M1954" s="1138">
        <f t="shared" si="147"/>
        <v>0</v>
      </c>
      <c r="N1954" s="1176">
        <f t="shared" si="151"/>
        <v>0</v>
      </c>
      <c r="O1954" s="905"/>
      <c r="P1954" s="36" t="str">
        <f>IF(N1952&gt;0,"xx",IF(N1952&gt;0,"xy",""))</f>
        <v/>
      </c>
      <c r="Q1954" s="317" t="str">
        <f t="shared" si="148"/>
        <v/>
      </c>
      <c r="R1954" s="317" t="str">
        <f t="shared" si="149"/>
        <v/>
      </c>
      <c r="S1954" s="317" t="str">
        <f t="shared" si="150"/>
        <v/>
      </c>
      <c r="T1954" s="317" t="str">
        <f>GLOBAL_DER_FEV_2023!S1954</f>
        <v/>
      </c>
      <c r="W1954" s="582">
        <v>0</v>
      </c>
      <c r="X1954" s="580"/>
      <c r="Y1954" s="583">
        <f>IF(GLOBAL_DER_FEV_2023!W1954=0,0,IF(GLOBAL_DER_FEV_2023!W1954&gt;0,"c","b"))</f>
        <v>0</v>
      </c>
    </row>
    <row r="1955" spans="1:25" ht="15" hidden="1" customHeight="1" x14ac:dyDescent="0.2">
      <c r="A1955" s="317" t="s">
        <v>147</v>
      </c>
      <c r="B1955" s="895" t="s">
        <v>147</v>
      </c>
      <c r="C1955" s="896"/>
      <c r="D1955" s="906" t="s">
        <v>336</v>
      </c>
      <c r="E1955" s="907">
        <f>GLOBAL_DER_FEV_2023!E1955</f>
        <v>40</v>
      </c>
      <c r="F1955" s="908">
        <f>GLOBAL_DER_FEV_2023!F1955</f>
        <v>0.53</v>
      </c>
      <c r="G1955" s="949">
        <f>GLOBAL_DER_FEV_2023!G1955</f>
        <v>24.104400000000002</v>
      </c>
      <c r="H1955" s="901">
        <f>GLOBAL_DER_FEV_2023!H1955</f>
        <v>0</v>
      </c>
      <c r="I1955" s="901">
        <f>GLOBAL_DER_FEV_2023!I1955</f>
        <v>0</v>
      </c>
      <c r="J1955" s="902">
        <f>GLOBAL_DER_FEV_2023!J1955</f>
        <v>0</v>
      </c>
      <c r="K1955" s="903"/>
      <c r="L1955" s="1177"/>
      <c r="M1955" s="1138">
        <f t="shared" si="147"/>
        <v>0</v>
      </c>
      <c r="N1955" s="1176">
        <f t="shared" si="151"/>
        <v>0</v>
      </c>
      <c r="O1955" s="905"/>
      <c r="P1955" s="36" t="str">
        <f>IF(N1952&gt;0,"xx",IF(N1952&gt;0,"xy",""))</f>
        <v/>
      </c>
      <c r="Q1955" s="317" t="str">
        <f t="shared" si="148"/>
        <v/>
      </c>
      <c r="R1955" s="317" t="str">
        <f t="shared" si="149"/>
        <v/>
      </c>
      <c r="S1955" s="317" t="str">
        <f t="shared" si="150"/>
        <v/>
      </c>
      <c r="T1955" s="317" t="str">
        <f>GLOBAL_DER_FEV_2023!S1955</f>
        <v/>
      </c>
      <c r="W1955" s="582">
        <v>0</v>
      </c>
      <c r="X1955" s="580"/>
      <c r="Y1955" s="583">
        <f>IF(GLOBAL_DER_FEV_2023!W1955=0,0,IF(GLOBAL_DER_FEV_2023!W1955&gt;0,"c","b"))</f>
        <v>0</v>
      </c>
    </row>
    <row r="1956" spans="1:25" ht="15" hidden="1" customHeight="1" x14ac:dyDescent="0.2">
      <c r="A1956" s="317">
        <v>610800</v>
      </c>
      <c r="B1956" s="895" t="s">
        <v>1833</v>
      </c>
      <c r="C1956" s="896" t="s">
        <v>184</v>
      </c>
      <c r="D1956" s="906" t="s">
        <v>364</v>
      </c>
      <c r="E1956" s="907">
        <f>GLOBAL_DER_FEV_2023!E1956</f>
        <v>0</v>
      </c>
      <c r="F1956" s="908">
        <f>GLOBAL_DER_FEV_2023!F1956</f>
        <v>0</v>
      </c>
      <c r="G1956" s="912">
        <f>GLOBAL_DER_FEV_2023!G1956</f>
        <v>34.006816000000008</v>
      </c>
      <c r="H1956" s="901">
        <f>GLOBAL_DER_FEV_2023!H1956</f>
        <v>514.41999999999996</v>
      </c>
      <c r="I1956" s="901">
        <f>GLOBAL_DER_FEV_2023!I1956</f>
        <v>548.42681599999992</v>
      </c>
      <c r="J1956" s="902">
        <f>GLOBAL_DER_FEV_2023!J1956</f>
        <v>658.5</v>
      </c>
      <c r="K1956" s="903" t="s">
        <v>13</v>
      </c>
      <c r="L1956" s="1137"/>
      <c r="M1956" s="1138">
        <f t="shared" si="147"/>
        <v>0</v>
      </c>
      <c r="N1956" s="1176">
        <f t="shared" si="151"/>
        <v>0</v>
      </c>
      <c r="O1956" s="905"/>
      <c r="Q1956" s="317" t="str">
        <f t="shared" si="148"/>
        <v/>
      </c>
      <c r="R1956" s="317" t="str">
        <f t="shared" si="149"/>
        <v/>
      </c>
      <c r="S1956" s="317" t="str">
        <f t="shared" si="150"/>
        <v/>
      </c>
      <c r="T1956" s="317" t="str">
        <f>GLOBAL_DER_FEV_2023!S1956</f>
        <v/>
      </c>
      <c r="W1956" s="582">
        <v>0</v>
      </c>
      <c r="X1956" s="580"/>
      <c r="Y1956" s="583">
        <f>IF(GLOBAL_DER_FEV_2023!W1956=0,0,IF(GLOBAL_DER_FEV_2023!W1956&gt;0,"c","b"))</f>
        <v>0</v>
      </c>
    </row>
    <row r="1957" spans="1:25" ht="15" hidden="1" customHeight="1" x14ac:dyDescent="0.2">
      <c r="A1957" s="317" t="s">
        <v>147</v>
      </c>
      <c r="B1957" s="895" t="s">
        <v>147</v>
      </c>
      <c r="C1957" s="896"/>
      <c r="D1957" s="906" t="s">
        <v>190</v>
      </c>
      <c r="E1957" s="907">
        <f>GLOBAL_DER_FEV_2023!E1957</f>
        <v>308</v>
      </c>
      <c r="F1957" s="908">
        <f>GLOBAL_DER_FEV_2023!F1957</f>
        <v>3.2000000000000002E-3</v>
      </c>
      <c r="G1957" s="909">
        <f>GLOBAL_DER_FEV_2023!G1957</f>
        <v>0.79379200000000005</v>
      </c>
      <c r="H1957" s="901">
        <f>GLOBAL_DER_FEV_2023!H1957</f>
        <v>0</v>
      </c>
      <c r="I1957" s="901">
        <f>GLOBAL_DER_FEV_2023!I1957</f>
        <v>0</v>
      </c>
      <c r="J1957" s="902">
        <f>GLOBAL_DER_FEV_2023!J1957</f>
        <v>0</v>
      </c>
      <c r="K1957" s="903"/>
      <c r="L1957" s="1177"/>
      <c r="M1957" s="1138">
        <f t="shared" si="147"/>
        <v>0</v>
      </c>
      <c r="N1957" s="1176">
        <f t="shared" si="151"/>
        <v>0</v>
      </c>
      <c r="O1957" s="905"/>
      <c r="P1957" s="36" t="str">
        <f>IF(N1956&gt;0,"xx",IF(N1956&gt;0,"xy",""))</f>
        <v/>
      </c>
      <c r="Q1957" s="317" t="str">
        <f t="shared" si="148"/>
        <v/>
      </c>
      <c r="R1957" s="317" t="str">
        <f t="shared" si="149"/>
        <v/>
      </c>
      <c r="S1957" s="317" t="str">
        <f t="shared" si="150"/>
        <v/>
      </c>
      <c r="T1957" s="317" t="str">
        <f>GLOBAL_DER_FEV_2023!S1957</f>
        <v/>
      </c>
      <c r="W1957" s="582">
        <v>0</v>
      </c>
      <c r="X1957" s="580"/>
      <c r="Y1957" s="583">
        <f>IF(GLOBAL_DER_FEV_2023!W1957=0,0,IF(GLOBAL_DER_FEV_2023!W1957&gt;0,"c","b"))</f>
        <v>0</v>
      </c>
    </row>
    <row r="1958" spans="1:25" ht="15" hidden="1" customHeight="1" x14ac:dyDescent="0.2">
      <c r="A1958" s="317" t="s">
        <v>147</v>
      </c>
      <c r="B1958" s="895" t="s">
        <v>147</v>
      </c>
      <c r="C1958" s="896"/>
      <c r="D1958" s="906" t="s">
        <v>229</v>
      </c>
      <c r="E1958" s="907">
        <f>GLOBAL_DER_FEV_2023!E1958</f>
        <v>150</v>
      </c>
      <c r="F1958" s="908">
        <f>GLOBAL_DER_FEV_2023!F1958</f>
        <v>1.6799999999999999E-2</v>
      </c>
      <c r="G1958" s="949">
        <f>GLOBAL_DER_FEV_2023!G1958</f>
        <v>2.7414239999999999</v>
      </c>
      <c r="H1958" s="901">
        <f>GLOBAL_DER_FEV_2023!H1958</f>
        <v>0</v>
      </c>
      <c r="I1958" s="901">
        <f>GLOBAL_DER_FEV_2023!I1958</f>
        <v>0</v>
      </c>
      <c r="J1958" s="902">
        <f>GLOBAL_DER_FEV_2023!J1958</f>
        <v>0</v>
      </c>
      <c r="K1958" s="903"/>
      <c r="L1958" s="1177"/>
      <c r="M1958" s="1138">
        <f t="shared" si="147"/>
        <v>0</v>
      </c>
      <c r="N1958" s="1176">
        <f t="shared" si="151"/>
        <v>0</v>
      </c>
      <c r="O1958" s="905"/>
      <c r="P1958" s="36" t="str">
        <f>IF(N1956&gt;0,"xx",IF(N1956&gt;0,"xy",""))</f>
        <v/>
      </c>
      <c r="Q1958" s="317" t="str">
        <f t="shared" si="148"/>
        <v/>
      </c>
      <c r="R1958" s="317" t="str">
        <f t="shared" si="149"/>
        <v/>
      </c>
      <c r="S1958" s="317" t="str">
        <f t="shared" si="150"/>
        <v/>
      </c>
      <c r="T1958" s="317" t="str">
        <f>GLOBAL_DER_FEV_2023!S1958</f>
        <v/>
      </c>
      <c r="W1958" s="582">
        <v>0</v>
      </c>
      <c r="X1958" s="580"/>
      <c r="Y1958" s="583">
        <f>IF(GLOBAL_DER_FEV_2023!W1958=0,0,IF(GLOBAL_DER_FEV_2023!W1958&gt;0,"c","b"))</f>
        <v>0</v>
      </c>
    </row>
    <row r="1959" spans="1:25" ht="15" hidden="1" customHeight="1" x14ac:dyDescent="0.2">
      <c r="A1959" s="317" t="s">
        <v>147</v>
      </c>
      <c r="B1959" s="895" t="s">
        <v>147</v>
      </c>
      <c r="C1959" s="896"/>
      <c r="D1959" s="906" t="s">
        <v>336</v>
      </c>
      <c r="E1959" s="907">
        <f>GLOBAL_DER_FEV_2023!E1959</f>
        <v>40</v>
      </c>
      <c r="F1959" s="908">
        <f>GLOBAL_DER_FEV_2023!F1959</f>
        <v>0.67</v>
      </c>
      <c r="G1959" s="949">
        <f>GLOBAL_DER_FEV_2023!G1959</f>
        <v>30.471600000000006</v>
      </c>
      <c r="H1959" s="901">
        <f>GLOBAL_DER_FEV_2023!H1959</f>
        <v>0</v>
      </c>
      <c r="I1959" s="901">
        <f>GLOBAL_DER_FEV_2023!I1959</f>
        <v>0</v>
      </c>
      <c r="J1959" s="902">
        <f>GLOBAL_DER_FEV_2023!J1959</f>
        <v>0</v>
      </c>
      <c r="K1959" s="903"/>
      <c r="L1959" s="1177"/>
      <c r="M1959" s="1138">
        <f t="shared" si="147"/>
        <v>0</v>
      </c>
      <c r="N1959" s="1176">
        <f t="shared" si="151"/>
        <v>0</v>
      </c>
      <c r="O1959" s="905"/>
      <c r="P1959" s="36" t="str">
        <f>IF(N1956&gt;0,"xx",IF(N1956&gt;0,"xy",""))</f>
        <v/>
      </c>
      <c r="Q1959" s="317" t="str">
        <f t="shared" si="148"/>
        <v/>
      </c>
      <c r="R1959" s="317" t="str">
        <f t="shared" si="149"/>
        <v/>
      </c>
      <c r="S1959" s="317" t="str">
        <f t="shared" si="150"/>
        <v/>
      </c>
      <c r="T1959" s="317" t="str">
        <f>GLOBAL_DER_FEV_2023!S1959</f>
        <v/>
      </c>
      <c r="W1959" s="582">
        <v>0</v>
      </c>
      <c r="X1959" s="580"/>
      <c r="Y1959" s="583">
        <f>IF(GLOBAL_DER_FEV_2023!W1959=0,0,IF(GLOBAL_DER_FEV_2023!W1959&gt;0,"c","b"))</f>
        <v>0</v>
      </c>
    </row>
    <row r="1960" spans="1:25" ht="15" hidden="1" customHeight="1" x14ac:dyDescent="0.2">
      <c r="A1960" s="317">
        <v>610400</v>
      </c>
      <c r="B1960" s="895" t="s">
        <v>1825</v>
      </c>
      <c r="C1960" s="896" t="s">
        <v>184</v>
      </c>
      <c r="D1960" s="906" t="s">
        <v>2014</v>
      </c>
      <c r="E1960" s="907">
        <f>GLOBAL_DER_FEV_2023!E1960</f>
        <v>0</v>
      </c>
      <c r="F1960" s="908">
        <f>GLOBAL_DER_FEV_2023!F1960</f>
        <v>0</v>
      </c>
      <c r="G1960" s="912">
        <f>GLOBAL_DER_FEV_2023!G1960</f>
        <v>7.1059140000000003</v>
      </c>
      <c r="H1960" s="901">
        <f>GLOBAL_DER_FEV_2023!H1960</f>
        <v>137.47</v>
      </c>
      <c r="I1960" s="901">
        <f>GLOBAL_DER_FEV_2023!I1960</f>
        <v>144.57591400000001</v>
      </c>
      <c r="J1960" s="902">
        <f>GLOBAL_DER_FEV_2023!J1960</f>
        <v>173.59</v>
      </c>
      <c r="K1960" s="903" t="s">
        <v>13</v>
      </c>
      <c r="L1960" s="1137"/>
      <c r="M1960" s="1138">
        <f t="shared" si="147"/>
        <v>0</v>
      </c>
      <c r="N1960" s="1176">
        <f t="shared" si="151"/>
        <v>0</v>
      </c>
      <c r="O1960" s="905"/>
      <c r="Q1960" s="317" t="str">
        <f t="shared" si="148"/>
        <v/>
      </c>
      <c r="R1960" s="317" t="str">
        <f t="shared" si="149"/>
        <v/>
      </c>
      <c r="S1960" s="317" t="str">
        <f t="shared" si="150"/>
        <v/>
      </c>
      <c r="T1960" s="317" t="str">
        <f>GLOBAL_DER_FEV_2023!S1960</f>
        <v/>
      </c>
      <c r="W1960" s="582">
        <v>0</v>
      </c>
      <c r="X1960" s="580"/>
      <c r="Y1960" s="583">
        <f>IF(GLOBAL_DER_FEV_2023!W1960=0,0,IF(GLOBAL_DER_FEV_2023!W1960&gt;0,"c","b"))</f>
        <v>0</v>
      </c>
    </row>
    <row r="1961" spans="1:25" ht="15" hidden="1" customHeight="1" x14ac:dyDescent="0.2">
      <c r="A1961" s="317" t="s">
        <v>147</v>
      </c>
      <c r="B1961" s="895" t="s">
        <v>147</v>
      </c>
      <c r="C1961" s="896"/>
      <c r="D1961" s="906" t="s">
        <v>190</v>
      </c>
      <c r="E1961" s="907">
        <f>GLOBAL_DER_FEV_2023!E1961</f>
        <v>308</v>
      </c>
      <c r="F1961" s="908">
        <f>GLOBAL_DER_FEV_2023!F1961</f>
        <v>1.9E-3</v>
      </c>
      <c r="G1961" s="909">
        <f>GLOBAL_DER_FEV_2023!G1961</f>
        <v>0.47131400000000001</v>
      </c>
      <c r="H1961" s="901">
        <f>GLOBAL_DER_FEV_2023!H1961</f>
        <v>0</v>
      </c>
      <c r="I1961" s="901">
        <f>GLOBAL_DER_FEV_2023!I1961</f>
        <v>0</v>
      </c>
      <c r="J1961" s="902">
        <f>GLOBAL_DER_FEV_2023!J1961</f>
        <v>0</v>
      </c>
      <c r="K1961" s="903"/>
      <c r="L1961" s="1177"/>
      <c r="M1961" s="1138">
        <f t="shared" si="147"/>
        <v>0</v>
      </c>
      <c r="N1961" s="1176">
        <f t="shared" si="151"/>
        <v>0</v>
      </c>
      <c r="O1961" s="905"/>
      <c r="P1961" s="36" t="str">
        <f>IF(N1960&gt;0,"xx",IF(N1960&gt;0,"xy",""))</f>
        <v/>
      </c>
      <c r="Q1961" s="317" t="str">
        <f t="shared" si="148"/>
        <v/>
      </c>
      <c r="R1961" s="317" t="str">
        <f t="shared" si="149"/>
        <v/>
      </c>
      <c r="S1961" s="317" t="str">
        <f t="shared" si="150"/>
        <v/>
      </c>
      <c r="T1961" s="317" t="str">
        <f>GLOBAL_DER_FEV_2023!S1961</f>
        <v/>
      </c>
      <c r="W1961" s="582">
        <v>0</v>
      </c>
      <c r="X1961" s="580"/>
      <c r="Y1961" s="583">
        <f>IF(GLOBAL_DER_FEV_2023!W1961=0,0,IF(GLOBAL_DER_FEV_2023!W1961&gt;0,"c","b"))</f>
        <v>0</v>
      </c>
    </row>
    <row r="1962" spans="1:25" ht="15" hidden="1" customHeight="1" x14ac:dyDescent="0.2">
      <c r="A1962" s="317" t="s">
        <v>147</v>
      </c>
      <c r="B1962" s="895" t="s">
        <v>147</v>
      </c>
      <c r="C1962" s="896"/>
      <c r="D1962" s="906" t="s">
        <v>229</v>
      </c>
      <c r="E1962" s="907">
        <f>GLOBAL_DER_FEV_2023!E1962</f>
        <v>150</v>
      </c>
      <c r="F1962" s="908">
        <f>GLOBAL_DER_FEV_2023!F1962</f>
        <v>0.01</v>
      </c>
      <c r="G1962" s="949">
        <f>GLOBAL_DER_FEV_2023!G1962</f>
        <v>1.6318000000000001</v>
      </c>
      <c r="H1962" s="901">
        <f>GLOBAL_DER_FEV_2023!H1962</f>
        <v>0</v>
      </c>
      <c r="I1962" s="901">
        <f>GLOBAL_DER_FEV_2023!I1962</f>
        <v>0</v>
      </c>
      <c r="J1962" s="902">
        <f>GLOBAL_DER_FEV_2023!J1962</f>
        <v>0</v>
      </c>
      <c r="K1962" s="903"/>
      <c r="L1962" s="1177"/>
      <c r="M1962" s="1138">
        <f t="shared" si="147"/>
        <v>0</v>
      </c>
      <c r="N1962" s="1176">
        <f t="shared" si="151"/>
        <v>0</v>
      </c>
      <c r="O1962" s="905"/>
      <c r="P1962" s="36" t="str">
        <f>IF(N1960&gt;0,"xx",IF(N1960&gt;0,"xy",""))</f>
        <v/>
      </c>
      <c r="Q1962" s="317" t="str">
        <f t="shared" si="148"/>
        <v/>
      </c>
      <c r="R1962" s="317" t="str">
        <f t="shared" si="149"/>
        <v/>
      </c>
      <c r="S1962" s="317" t="str">
        <f t="shared" si="150"/>
        <v/>
      </c>
      <c r="T1962" s="317" t="str">
        <f>GLOBAL_DER_FEV_2023!S1962</f>
        <v/>
      </c>
      <c r="W1962" s="582">
        <v>0</v>
      </c>
      <c r="X1962" s="580"/>
      <c r="Y1962" s="583">
        <f>IF(GLOBAL_DER_FEV_2023!W1962=0,0,IF(GLOBAL_DER_FEV_2023!W1962&gt;0,"c","b"))</f>
        <v>0</v>
      </c>
    </row>
    <row r="1963" spans="1:25" ht="15" hidden="1" customHeight="1" x14ac:dyDescent="0.2">
      <c r="A1963" s="317" t="s">
        <v>147</v>
      </c>
      <c r="B1963" s="895" t="s">
        <v>147</v>
      </c>
      <c r="C1963" s="896"/>
      <c r="D1963" s="906" t="s">
        <v>336</v>
      </c>
      <c r="E1963" s="907">
        <f>GLOBAL_DER_FEV_2023!E1963</f>
        <v>40</v>
      </c>
      <c r="F1963" s="908">
        <f>GLOBAL_DER_FEV_2023!F1963</f>
        <v>0.11</v>
      </c>
      <c r="G1963" s="949">
        <f>GLOBAL_DER_FEV_2023!G1963</f>
        <v>5.0028000000000006</v>
      </c>
      <c r="H1963" s="901">
        <f>GLOBAL_DER_FEV_2023!H1963</f>
        <v>0</v>
      </c>
      <c r="I1963" s="901">
        <f>GLOBAL_DER_FEV_2023!I1963</f>
        <v>0</v>
      </c>
      <c r="J1963" s="902">
        <f>GLOBAL_DER_FEV_2023!J1963</f>
        <v>0</v>
      </c>
      <c r="K1963" s="903"/>
      <c r="L1963" s="1177"/>
      <c r="M1963" s="1138">
        <f t="shared" si="147"/>
        <v>0</v>
      </c>
      <c r="N1963" s="1176">
        <f t="shared" si="151"/>
        <v>0</v>
      </c>
      <c r="O1963" s="905"/>
      <c r="P1963" s="36" t="str">
        <f>IF(N1960&gt;0,"xx",IF(N1960&gt;0,"xy",""))</f>
        <v/>
      </c>
      <c r="Q1963" s="317" t="str">
        <f t="shared" si="148"/>
        <v/>
      </c>
      <c r="R1963" s="317" t="str">
        <f t="shared" si="149"/>
        <v/>
      </c>
      <c r="S1963" s="317" t="str">
        <f t="shared" si="150"/>
        <v/>
      </c>
      <c r="T1963" s="317" t="str">
        <f>GLOBAL_DER_FEV_2023!S1963</f>
        <v/>
      </c>
      <c r="W1963" s="582">
        <v>0</v>
      </c>
      <c r="X1963" s="580"/>
      <c r="Y1963" s="583">
        <f>IF(GLOBAL_DER_FEV_2023!W1963=0,0,IF(GLOBAL_DER_FEV_2023!W1963&gt;0,"c","b"))</f>
        <v>0</v>
      </c>
    </row>
    <row r="1964" spans="1:25" ht="15" hidden="1" customHeight="1" x14ac:dyDescent="0.2">
      <c r="A1964" s="317">
        <v>610600</v>
      </c>
      <c r="B1964" s="895" t="s">
        <v>1829</v>
      </c>
      <c r="C1964" s="896" t="s">
        <v>184</v>
      </c>
      <c r="D1964" s="906" t="s">
        <v>2015</v>
      </c>
      <c r="E1964" s="907">
        <f>GLOBAL_DER_FEV_2023!E1964</f>
        <v>0</v>
      </c>
      <c r="F1964" s="908">
        <f>GLOBAL_DER_FEV_2023!F1964</f>
        <v>0</v>
      </c>
      <c r="G1964" s="912">
        <f>GLOBAL_DER_FEV_2023!G1964</f>
        <v>13.849744000000001</v>
      </c>
      <c r="H1964" s="901">
        <f>GLOBAL_DER_FEV_2023!H1964</f>
        <v>313.26</v>
      </c>
      <c r="I1964" s="901">
        <f>GLOBAL_DER_FEV_2023!I1964</f>
        <v>327.10974399999998</v>
      </c>
      <c r="J1964" s="902">
        <f>GLOBAL_DER_FEV_2023!J1964</f>
        <v>392.76</v>
      </c>
      <c r="K1964" s="903" t="s">
        <v>13</v>
      </c>
      <c r="L1964" s="1137"/>
      <c r="M1964" s="1138">
        <f t="shared" si="147"/>
        <v>0</v>
      </c>
      <c r="N1964" s="1176">
        <f t="shared" si="151"/>
        <v>0</v>
      </c>
      <c r="O1964" s="905"/>
      <c r="Q1964" s="317" t="str">
        <f t="shared" si="148"/>
        <v/>
      </c>
      <c r="R1964" s="317" t="str">
        <f t="shared" si="149"/>
        <v/>
      </c>
      <c r="S1964" s="317" t="str">
        <f t="shared" si="150"/>
        <v/>
      </c>
      <c r="T1964" s="317" t="str">
        <f>GLOBAL_DER_FEV_2023!S1964</f>
        <v/>
      </c>
      <c r="W1964" s="582">
        <v>0</v>
      </c>
      <c r="X1964" s="580"/>
      <c r="Y1964" s="583">
        <f>IF(GLOBAL_DER_FEV_2023!W1964=0,0,IF(GLOBAL_DER_FEV_2023!W1964&gt;0,"c","b"))</f>
        <v>0</v>
      </c>
    </row>
    <row r="1965" spans="1:25" ht="15" hidden="1" customHeight="1" x14ac:dyDescent="0.2">
      <c r="A1965" s="317" t="s">
        <v>147</v>
      </c>
      <c r="B1965" s="895" t="s">
        <v>147</v>
      </c>
      <c r="C1965" s="896"/>
      <c r="D1965" s="906" t="s">
        <v>190</v>
      </c>
      <c r="E1965" s="907">
        <f>GLOBAL_DER_FEV_2023!E1965</f>
        <v>308</v>
      </c>
      <c r="F1965" s="908">
        <f>GLOBAL_DER_FEV_2023!F1965</f>
        <v>2.3E-3</v>
      </c>
      <c r="G1965" s="909">
        <f>GLOBAL_DER_FEV_2023!G1965</f>
        <v>0.57053799999999999</v>
      </c>
      <c r="H1965" s="901">
        <f>GLOBAL_DER_FEV_2023!H1965</f>
        <v>0</v>
      </c>
      <c r="I1965" s="901">
        <f>GLOBAL_DER_FEV_2023!I1965</f>
        <v>0</v>
      </c>
      <c r="J1965" s="902">
        <f>GLOBAL_DER_FEV_2023!J1965</f>
        <v>0</v>
      </c>
      <c r="K1965" s="903"/>
      <c r="L1965" s="1177"/>
      <c r="M1965" s="1138">
        <f t="shared" si="147"/>
        <v>0</v>
      </c>
      <c r="N1965" s="1176">
        <f t="shared" si="151"/>
        <v>0</v>
      </c>
      <c r="O1965" s="905"/>
      <c r="P1965" s="36" t="str">
        <f>IF(N1964&gt;0,"xx",IF(N1964&gt;0,"xy",""))</f>
        <v/>
      </c>
      <c r="Q1965" s="317" t="str">
        <f t="shared" si="148"/>
        <v/>
      </c>
      <c r="R1965" s="317" t="str">
        <f t="shared" si="149"/>
        <v/>
      </c>
      <c r="S1965" s="317" t="str">
        <f t="shared" si="150"/>
        <v/>
      </c>
      <c r="T1965" s="317" t="str">
        <f>GLOBAL_DER_FEV_2023!S1965</f>
        <v/>
      </c>
      <c r="W1965" s="582">
        <v>0</v>
      </c>
      <c r="X1965" s="580"/>
      <c r="Y1965" s="583">
        <f>IF(GLOBAL_DER_FEV_2023!W1965=0,0,IF(GLOBAL_DER_FEV_2023!W1965&gt;0,"c","b"))</f>
        <v>0</v>
      </c>
    </row>
    <row r="1966" spans="1:25" ht="15" hidden="1" customHeight="1" x14ac:dyDescent="0.2">
      <c r="A1966" s="317" t="s">
        <v>147</v>
      </c>
      <c r="B1966" s="895" t="s">
        <v>147</v>
      </c>
      <c r="C1966" s="896"/>
      <c r="D1966" s="906" t="s">
        <v>229</v>
      </c>
      <c r="E1966" s="907">
        <f>GLOBAL_DER_FEV_2023!E1966</f>
        <v>150</v>
      </c>
      <c r="F1966" s="908">
        <f>GLOBAL_DER_FEV_2023!F1966</f>
        <v>1.17E-2</v>
      </c>
      <c r="G1966" s="949">
        <f>GLOBAL_DER_FEV_2023!G1966</f>
        <v>1.9092060000000002</v>
      </c>
      <c r="H1966" s="901">
        <f>GLOBAL_DER_FEV_2023!H1966</f>
        <v>0</v>
      </c>
      <c r="I1966" s="901">
        <f>GLOBAL_DER_FEV_2023!I1966</f>
        <v>0</v>
      </c>
      <c r="J1966" s="902">
        <f>GLOBAL_DER_FEV_2023!J1966</f>
        <v>0</v>
      </c>
      <c r="K1966" s="903"/>
      <c r="L1966" s="1177"/>
      <c r="M1966" s="1138">
        <f t="shared" si="147"/>
        <v>0</v>
      </c>
      <c r="N1966" s="1176">
        <f t="shared" si="151"/>
        <v>0</v>
      </c>
      <c r="O1966" s="905"/>
      <c r="P1966" s="36" t="str">
        <f>IF(N1964&gt;0,"xx",IF(N1964&gt;0,"xy",""))</f>
        <v/>
      </c>
      <c r="Q1966" s="317" t="str">
        <f t="shared" si="148"/>
        <v/>
      </c>
      <c r="R1966" s="317" t="str">
        <f t="shared" si="149"/>
        <v/>
      </c>
      <c r="S1966" s="317" t="str">
        <f t="shared" si="150"/>
        <v/>
      </c>
      <c r="T1966" s="317" t="str">
        <f>GLOBAL_DER_FEV_2023!S1966</f>
        <v/>
      </c>
      <c r="W1966" s="582">
        <v>0</v>
      </c>
      <c r="X1966" s="580"/>
      <c r="Y1966" s="583">
        <f>IF(GLOBAL_DER_FEV_2023!W1966=0,0,IF(GLOBAL_DER_FEV_2023!W1966&gt;0,"c","b"))</f>
        <v>0</v>
      </c>
    </row>
    <row r="1967" spans="1:25" ht="15" hidden="1" customHeight="1" x14ac:dyDescent="0.2">
      <c r="A1967" s="317" t="s">
        <v>147</v>
      </c>
      <c r="B1967" s="895" t="s">
        <v>147</v>
      </c>
      <c r="C1967" s="896"/>
      <c r="D1967" s="906" t="s">
        <v>336</v>
      </c>
      <c r="E1967" s="907">
        <f>GLOBAL_DER_FEV_2023!E1967</f>
        <v>40</v>
      </c>
      <c r="F1967" s="908">
        <f>GLOBAL_DER_FEV_2023!F1967</f>
        <v>0.25</v>
      </c>
      <c r="G1967" s="949">
        <f>GLOBAL_DER_FEV_2023!G1967</f>
        <v>11.370000000000001</v>
      </c>
      <c r="H1967" s="901">
        <f>GLOBAL_DER_FEV_2023!H1967</f>
        <v>0</v>
      </c>
      <c r="I1967" s="901">
        <f>GLOBAL_DER_FEV_2023!I1967</f>
        <v>0</v>
      </c>
      <c r="J1967" s="902">
        <f>GLOBAL_DER_FEV_2023!J1967</f>
        <v>0</v>
      </c>
      <c r="K1967" s="903"/>
      <c r="L1967" s="1177"/>
      <c r="M1967" s="1138">
        <f t="shared" si="147"/>
        <v>0</v>
      </c>
      <c r="N1967" s="1176">
        <f t="shared" si="151"/>
        <v>0</v>
      </c>
      <c r="O1967" s="905"/>
      <c r="P1967" s="36" t="str">
        <f>IF(N1964&gt;0,"xx",IF(N1964&gt;0,"xy",""))</f>
        <v/>
      </c>
      <c r="Q1967" s="317" t="str">
        <f t="shared" si="148"/>
        <v/>
      </c>
      <c r="R1967" s="317" t="str">
        <f t="shared" si="149"/>
        <v/>
      </c>
      <c r="S1967" s="317" t="str">
        <f t="shared" si="150"/>
        <v/>
      </c>
      <c r="T1967" s="317" t="str">
        <f>GLOBAL_DER_FEV_2023!S1967</f>
        <v/>
      </c>
      <c r="W1967" s="582">
        <v>0</v>
      </c>
      <c r="X1967" s="580"/>
      <c r="Y1967" s="583">
        <f>IF(GLOBAL_DER_FEV_2023!W1967=0,0,IF(GLOBAL_DER_FEV_2023!W1967&gt;0,"c","b"))</f>
        <v>0</v>
      </c>
    </row>
    <row r="1968" spans="1:25" ht="15" hidden="1" customHeight="1" x14ac:dyDescent="0.2">
      <c r="A1968" s="317">
        <v>610600</v>
      </c>
      <c r="B1968" s="895" t="s">
        <v>1830</v>
      </c>
      <c r="C1968" s="896" t="s">
        <v>184</v>
      </c>
      <c r="D1968" s="906" t="s">
        <v>2016</v>
      </c>
      <c r="E1968" s="907">
        <f>GLOBAL_DER_FEV_2023!E1968</f>
        <v>0</v>
      </c>
      <c r="F1968" s="908">
        <f>GLOBAL_DER_FEV_2023!F1968</f>
        <v>0</v>
      </c>
      <c r="G1968" s="912">
        <f>GLOBAL_DER_FEV_2023!G1968</f>
        <v>20.568768000000002</v>
      </c>
      <c r="H1968" s="901">
        <f>GLOBAL_DER_FEV_2023!H1968</f>
        <v>313.26</v>
      </c>
      <c r="I1968" s="901">
        <f>GLOBAL_DER_FEV_2023!I1968</f>
        <v>333.82876799999997</v>
      </c>
      <c r="J1968" s="902">
        <f>GLOBAL_DER_FEV_2023!J1968</f>
        <v>400.83</v>
      </c>
      <c r="K1968" s="903" t="s">
        <v>13</v>
      </c>
      <c r="L1968" s="1137"/>
      <c r="M1968" s="1138">
        <f t="shared" si="147"/>
        <v>0</v>
      </c>
      <c r="N1968" s="1176">
        <f t="shared" si="151"/>
        <v>0</v>
      </c>
      <c r="O1968" s="905"/>
      <c r="Q1968" s="317" t="str">
        <f t="shared" si="148"/>
        <v/>
      </c>
      <c r="R1968" s="317" t="str">
        <f t="shared" si="149"/>
        <v/>
      </c>
      <c r="S1968" s="317" t="str">
        <f t="shared" si="150"/>
        <v/>
      </c>
      <c r="T1968" s="317" t="str">
        <f>GLOBAL_DER_FEV_2023!S1968</f>
        <v/>
      </c>
      <c r="W1968" s="582">
        <v>0</v>
      </c>
      <c r="X1968" s="580"/>
      <c r="Y1968" s="583">
        <f>IF(GLOBAL_DER_FEV_2023!W1968=0,0,IF(GLOBAL_DER_FEV_2023!W1968&gt;0,"c","b"))</f>
        <v>0</v>
      </c>
    </row>
    <row r="1969" spans="1:25" ht="15" hidden="1" customHeight="1" x14ac:dyDescent="0.2">
      <c r="A1969" s="317" t="s">
        <v>147</v>
      </c>
      <c r="B1969" s="895" t="s">
        <v>147</v>
      </c>
      <c r="C1969" s="896"/>
      <c r="D1969" s="906" t="s">
        <v>190</v>
      </c>
      <c r="E1969" s="907">
        <f>GLOBAL_DER_FEV_2023!E1969</f>
        <v>308</v>
      </c>
      <c r="F1969" s="908">
        <f>GLOBAL_DER_FEV_2023!F1969</f>
        <v>2.5999999999999999E-3</v>
      </c>
      <c r="G1969" s="909">
        <f>GLOBAL_DER_FEV_2023!G1969</f>
        <v>0.64495599999999997</v>
      </c>
      <c r="H1969" s="901">
        <f>GLOBAL_DER_FEV_2023!H1969</f>
        <v>0</v>
      </c>
      <c r="I1969" s="901">
        <f>GLOBAL_DER_FEV_2023!I1969</f>
        <v>0</v>
      </c>
      <c r="J1969" s="902">
        <f>GLOBAL_DER_FEV_2023!J1969</f>
        <v>0</v>
      </c>
      <c r="K1969" s="903"/>
      <c r="L1969" s="1177"/>
      <c r="M1969" s="1138">
        <f t="shared" si="147"/>
        <v>0</v>
      </c>
      <c r="N1969" s="1176">
        <f t="shared" si="151"/>
        <v>0</v>
      </c>
      <c r="O1969" s="905"/>
      <c r="P1969" s="36" t="str">
        <f>IF(N1968&gt;0,"xx",IF(N1968&gt;0,"xy",""))</f>
        <v/>
      </c>
      <c r="Q1969" s="317" t="str">
        <f t="shared" si="148"/>
        <v/>
      </c>
      <c r="R1969" s="317" t="str">
        <f t="shared" si="149"/>
        <v/>
      </c>
      <c r="S1969" s="317" t="str">
        <f t="shared" si="150"/>
        <v/>
      </c>
      <c r="T1969" s="317" t="str">
        <f>GLOBAL_DER_FEV_2023!S1969</f>
        <v/>
      </c>
      <c r="W1969" s="582">
        <v>0</v>
      </c>
      <c r="X1969" s="580"/>
      <c r="Y1969" s="583">
        <f>IF(GLOBAL_DER_FEV_2023!W1969=0,0,IF(GLOBAL_DER_FEV_2023!W1969&gt;0,"c","b"))</f>
        <v>0</v>
      </c>
    </row>
    <row r="1970" spans="1:25" ht="15" hidden="1" customHeight="1" x14ac:dyDescent="0.2">
      <c r="A1970" s="317" t="s">
        <v>147</v>
      </c>
      <c r="B1970" s="895" t="s">
        <v>147</v>
      </c>
      <c r="C1970" s="896"/>
      <c r="D1970" s="906" t="s">
        <v>229</v>
      </c>
      <c r="E1970" s="907">
        <f>GLOBAL_DER_FEV_2023!E1970</f>
        <v>150</v>
      </c>
      <c r="F1970" s="908">
        <f>GLOBAL_DER_FEV_2023!F1970</f>
        <v>1.34E-2</v>
      </c>
      <c r="G1970" s="949">
        <f>GLOBAL_DER_FEV_2023!G1970</f>
        <v>2.1866120000000002</v>
      </c>
      <c r="H1970" s="901">
        <f>GLOBAL_DER_FEV_2023!H1970</f>
        <v>0</v>
      </c>
      <c r="I1970" s="901">
        <f>GLOBAL_DER_FEV_2023!I1970</f>
        <v>0</v>
      </c>
      <c r="J1970" s="902">
        <f>GLOBAL_DER_FEV_2023!J1970</f>
        <v>0</v>
      </c>
      <c r="K1970" s="903"/>
      <c r="L1970" s="1177"/>
      <c r="M1970" s="1138">
        <f t="shared" si="147"/>
        <v>0</v>
      </c>
      <c r="N1970" s="1176">
        <f t="shared" si="151"/>
        <v>0</v>
      </c>
      <c r="O1970" s="905"/>
      <c r="P1970" s="36" t="str">
        <f>IF(N1968&gt;0,"xx",IF(N1968&gt;0,"xy",""))</f>
        <v/>
      </c>
      <c r="Q1970" s="317" t="str">
        <f t="shared" si="148"/>
        <v/>
      </c>
      <c r="R1970" s="317" t="str">
        <f t="shared" si="149"/>
        <v/>
      </c>
      <c r="S1970" s="317" t="str">
        <f t="shared" si="150"/>
        <v/>
      </c>
      <c r="T1970" s="317" t="str">
        <f>GLOBAL_DER_FEV_2023!S1970</f>
        <v/>
      </c>
      <c r="W1970" s="582">
        <v>0</v>
      </c>
      <c r="X1970" s="580"/>
      <c r="Y1970" s="583">
        <f>IF(GLOBAL_DER_FEV_2023!W1970=0,0,IF(GLOBAL_DER_FEV_2023!W1970&gt;0,"c","b"))</f>
        <v>0</v>
      </c>
    </row>
    <row r="1971" spans="1:25" ht="15" hidden="1" customHeight="1" x14ac:dyDescent="0.2">
      <c r="A1971" s="317" t="s">
        <v>147</v>
      </c>
      <c r="B1971" s="895" t="s">
        <v>147</v>
      </c>
      <c r="C1971" s="896"/>
      <c r="D1971" s="906" t="s">
        <v>336</v>
      </c>
      <c r="E1971" s="907">
        <f>GLOBAL_DER_FEV_2023!E1971</f>
        <v>40</v>
      </c>
      <c r="F1971" s="908">
        <f>GLOBAL_DER_FEV_2023!F1971</f>
        <v>0.39</v>
      </c>
      <c r="G1971" s="949">
        <f>GLOBAL_DER_FEV_2023!G1971</f>
        <v>17.737200000000001</v>
      </c>
      <c r="H1971" s="901">
        <f>GLOBAL_DER_FEV_2023!H1971</f>
        <v>0</v>
      </c>
      <c r="I1971" s="901">
        <f>GLOBAL_DER_FEV_2023!I1971</f>
        <v>0</v>
      </c>
      <c r="J1971" s="902">
        <f>GLOBAL_DER_FEV_2023!J1971</f>
        <v>0</v>
      </c>
      <c r="K1971" s="903"/>
      <c r="L1971" s="1177"/>
      <c r="M1971" s="1138">
        <f t="shared" si="147"/>
        <v>0</v>
      </c>
      <c r="N1971" s="1176">
        <f t="shared" si="151"/>
        <v>0</v>
      </c>
      <c r="O1971" s="905"/>
      <c r="P1971" s="36" t="str">
        <f>IF(N1968&gt;0,"xx",IF(N1968&gt;0,"xy",""))</f>
        <v/>
      </c>
      <c r="Q1971" s="317" t="str">
        <f t="shared" si="148"/>
        <v/>
      </c>
      <c r="R1971" s="317" t="str">
        <f t="shared" si="149"/>
        <v/>
      </c>
      <c r="S1971" s="317" t="str">
        <f t="shared" si="150"/>
        <v/>
      </c>
      <c r="T1971" s="317" t="str">
        <f>GLOBAL_DER_FEV_2023!S1971</f>
        <v/>
      </c>
      <c r="W1971" s="582">
        <v>0</v>
      </c>
      <c r="X1971" s="580"/>
      <c r="Y1971" s="583">
        <f>IF(GLOBAL_DER_FEV_2023!W1971=0,0,IF(GLOBAL_DER_FEV_2023!W1971&gt;0,"c","b"))</f>
        <v>0</v>
      </c>
    </row>
    <row r="1972" spans="1:25" ht="15" hidden="1" customHeight="1" x14ac:dyDescent="0.2">
      <c r="A1972" s="317">
        <v>610800</v>
      </c>
      <c r="B1972" s="895" t="s">
        <v>1834</v>
      </c>
      <c r="C1972" s="896" t="s">
        <v>184</v>
      </c>
      <c r="D1972" s="906" t="s">
        <v>2017</v>
      </c>
      <c r="E1972" s="907">
        <f>GLOBAL_DER_FEV_2023!E1972</f>
        <v>0</v>
      </c>
      <c r="F1972" s="908">
        <f>GLOBAL_DER_FEV_2023!F1972</f>
        <v>0</v>
      </c>
      <c r="G1972" s="912">
        <f>GLOBAL_DER_FEV_2023!G1972</f>
        <v>27.287792000000003</v>
      </c>
      <c r="H1972" s="901">
        <f>GLOBAL_DER_FEV_2023!H1972</f>
        <v>514.41999999999996</v>
      </c>
      <c r="I1972" s="901">
        <f>GLOBAL_DER_FEV_2023!I1972</f>
        <v>541.70779199999993</v>
      </c>
      <c r="J1972" s="902">
        <f>GLOBAL_DER_FEV_2023!J1972</f>
        <v>650.42999999999995</v>
      </c>
      <c r="K1972" s="903" t="s">
        <v>13</v>
      </c>
      <c r="L1972" s="1137"/>
      <c r="M1972" s="1138">
        <f t="shared" si="147"/>
        <v>0</v>
      </c>
      <c r="N1972" s="1176">
        <f t="shared" si="151"/>
        <v>0</v>
      </c>
      <c r="O1972" s="905"/>
      <c r="Q1972" s="317" t="str">
        <f t="shared" si="148"/>
        <v/>
      </c>
      <c r="R1972" s="317" t="str">
        <f t="shared" si="149"/>
        <v/>
      </c>
      <c r="S1972" s="317" t="str">
        <f t="shared" si="150"/>
        <v/>
      </c>
      <c r="T1972" s="317" t="str">
        <f>GLOBAL_DER_FEV_2023!S1972</f>
        <v/>
      </c>
      <c r="W1972" s="582">
        <v>0</v>
      </c>
      <c r="X1972" s="580"/>
      <c r="Y1972" s="583">
        <f>IF(GLOBAL_DER_FEV_2023!W1972=0,0,IF(GLOBAL_DER_FEV_2023!W1972&gt;0,"c","b"))</f>
        <v>0</v>
      </c>
    </row>
    <row r="1973" spans="1:25" ht="15" hidden="1" customHeight="1" x14ac:dyDescent="0.2">
      <c r="A1973" s="317" t="s">
        <v>147</v>
      </c>
      <c r="B1973" s="895" t="s">
        <v>147</v>
      </c>
      <c r="C1973" s="896"/>
      <c r="D1973" s="906" t="s">
        <v>190</v>
      </c>
      <c r="E1973" s="907">
        <f>GLOBAL_DER_FEV_2023!E1973</f>
        <v>308</v>
      </c>
      <c r="F1973" s="908">
        <f>GLOBAL_DER_FEV_2023!F1973</f>
        <v>2.8999999999999998E-3</v>
      </c>
      <c r="G1973" s="909">
        <f>GLOBAL_DER_FEV_2023!G1973</f>
        <v>0.71937399999999996</v>
      </c>
      <c r="H1973" s="901">
        <f>GLOBAL_DER_FEV_2023!H1973</f>
        <v>0</v>
      </c>
      <c r="I1973" s="901">
        <f>GLOBAL_DER_FEV_2023!I1973</f>
        <v>0</v>
      </c>
      <c r="J1973" s="902">
        <f>GLOBAL_DER_FEV_2023!J1973</f>
        <v>0</v>
      </c>
      <c r="K1973" s="903"/>
      <c r="L1973" s="1177"/>
      <c r="M1973" s="1138">
        <f t="shared" si="147"/>
        <v>0</v>
      </c>
      <c r="N1973" s="1176">
        <f t="shared" si="151"/>
        <v>0</v>
      </c>
      <c r="O1973" s="905"/>
      <c r="P1973" s="36" t="str">
        <f>IF(N1972&gt;0,"xx",IF(N1972&gt;0,"xy",""))</f>
        <v/>
      </c>
      <c r="Q1973" s="317" t="str">
        <f t="shared" si="148"/>
        <v/>
      </c>
      <c r="R1973" s="317" t="str">
        <f t="shared" si="149"/>
        <v/>
      </c>
      <c r="S1973" s="317" t="str">
        <f t="shared" si="150"/>
        <v/>
      </c>
      <c r="T1973" s="317" t="str">
        <f>GLOBAL_DER_FEV_2023!S1973</f>
        <v/>
      </c>
      <c r="W1973" s="582">
        <v>0</v>
      </c>
      <c r="X1973" s="580"/>
      <c r="Y1973" s="583">
        <f>IF(GLOBAL_DER_FEV_2023!W1973=0,0,IF(GLOBAL_DER_FEV_2023!W1973&gt;0,"c","b"))</f>
        <v>0</v>
      </c>
    </row>
    <row r="1974" spans="1:25" ht="15" hidden="1" customHeight="1" x14ac:dyDescent="0.2">
      <c r="A1974" s="317" t="s">
        <v>147</v>
      </c>
      <c r="B1974" s="895" t="s">
        <v>147</v>
      </c>
      <c r="C1974" s="896"/>
      <c r="D1974" s="906" t="s">
        <v>229</v>
      </c>
      <c r="E1974" s="907">
        <f>GLOBAL_DER_FEV_2023!E1974</f>
        <v>150</v>
      </c>
      <c r="F1974" s="908">
        <f>GLOBAL_DER_FEV_2023!F1974</f>
        <v>1.5100000000000001E-2</v>
      </c>
      <c r="G1974" s="949">
        <f>GLOBAL_DER_FEV_2023!G1974</f>
        <v>2.4640180000000003</v>
      </c>
      <c r="H1974" s="901">
        <f>GLOBAL_DER_FEV_2023!H1974</f>
        <v>0</v>
      </c>
      <c r="I1974" s="901">
        <f>GLOBAL_DER_FEV_2023!I1974</f>
        <v>0</v>
      </c>
      <c r="J1974" s="902">
        <f>GLOBAL_DER_FEV_2023!J1974</f>
        <v>0</v>
      </c>
      <c r="K1974" s="903"/>
      <c r="L1974" s="1177"/>
      <c r="M1974" s="1138">
        <f t="shared" si="147"/>
        <v>0</v>
      </c>
      <c r="N1974" s="1176">
        <f t="shared" si="151"/>
        <v>0</v>
      </c>
      <c r="O1974" s="905"/>
      <c r="P1974" s="36" t="str">
        <f>IF(N1972&gt;0,"xx",IF(N1972&gt;0,"xy",""))</f>
        <v/>
      </c>
      <c r="Q1974" s="317" t="str">
        <f t="shared" si="148"/>
        <v/>
      </c>
      <c r="R1974" s="317" t="str">
        <f t="shared" si="149"/>
        <v/>
      </c>
      <c r="S1974" s="317" t="str">
        <f t="shared" si="150"/>
        <v/>
      </c>
      <c r="T1974" s="317" t="str">
        <f>GLOBAL_DER_FEV_2023!S1974</f>
        <v/>
      </c>
      <c r="W1974" s="582">
        <v>0</v>
      </c>
      <c r="X1974" s="580"/>
      <c r="Y1974" s="583">
        <f>IF(GLOBAL_DER_FEV_2023!W1974=0,0,IF(GLOBAL_DER_FEV_2023!W1974&gt;0,"c","b"))</f>
        <v>0</v>
      </c>
    </row>
    <row r="1975" spans="1:25" ht="15" hidden="1" customHeight="1" x14ac:dyDescent="0.2">
      <c r="A1975" s="317" t="s">
        <v>147</v>
      </c>
      <c r="B1975" s="895" t="s">
        <v>147</v>
      </c>
      <c r="C1975" s="896"/>
      <c r="D1975" s="906" t="s">
        <v>336</v>
      </c>
      <c r="E1975" s="907">
        <f>GLOBAL_DER_FEV_2023!E1975</f>
        <v>40</v>
      </c>
      <c r="F1975" s="908">
        <f>GLOBAL_DER_FEV_2023!F1975</f>
        <v>0.53</v>
      </c>
      <c r="G1975" s="949">
        <f>GLOBAL_DER_FEV_2023!G1975</f>
        <v>24.104400000000002</v>
      </c>
      <c r="H1975" s="901">
        <f>GLOBAL_DER_FEV_2023!H1975</f>
        <v>0</v>
      </c>
      <c r="I1975" s="901">
        <f>GLOBAL_DER_FEV_2023!I1975</f>
        <v>0</v>
      </c>
      <c r="J1975" s="902">
        <f>GLOBAL_DER_FEV_2023!J1975</f>
        <v>0</v>
      </c>
      <c r="K1975" s="903"/>
      <c r="L1975" s="1177"/>
      <c r="M1975" s="1138">
        <f t="shared" si="147"/>
        <v>0</v>
      </c>
      <c r="N1975" s="1176">
        <f t="shared" si="151"/>
        <v>0</v>
      </c>
      <c r="O1975" s="905"/>
      <c r="P1975" s="36" t="str">
        <f>IF(N1972&gt;0,"xx",IF(N1972&gt;0,"xy",""))</f>
        <v/>
      </c>
      <c r="Q1975" s="317" t="str">
        <f t="shared" si="148"/>
        <v/>
      </c>
      <c r="R1975" s="317" t="str">
        <f t="shared" si="149"/>
        <v/>
      </c>
      <c r="S1975" s="317" t="str">
        <f t="shared" si="150"/>
        <v/>
      </c>
      <c r="T1975" s="317" t="str">
        <f>GLOBAL_DER_FEV_2023!S1975</f>
        <v/>
      </c>
      <c r="W1975" s="582">
        <v>0</v>
      </c>
      <c r="X1975" s="580"/>
      <c r="Y1975" s="583">
        <f>IF(GLOBAL_DER_FEV_2023!W1975=0,0,IF(GLOBAL_DER_FEV_2023!W1975&gt;0,"c","b"))</f>
        <v>0</v>
      </c>
    </row>
    <row r="1976" spans="1:25" ht="15" hidden="1" customHeight="1" x14ac:dyDescent="0.2">
      <c r="A1976" s="317">
        <v>610800</v>
      </c>
      <c r="B1976" s="895" t="s">
        <v>1835</v>
      </c>
      <c r="C1976" s="896" t="s">
        <v>184</v>
      </c>
      <c r="D1976" s="906" t="s">
        <v>2018</v>
      </c>
      <c r="E1976" s="907">
        <f>GLOBAL_DER_FEV_2023!E1976</f>
        <v>0</v>
      </c>
      <c r="F1976" s="908">
        <f>GLOBAL_DER_FEV_2023!F1976</f>
        <v>0</v>
      </c>
      <c r="G1976" s="912">
        <f>GLOBAL_DER_FEV_2023!G1976</f>
        <v>34.006816000000008</v>
      </c>
      <c r="H1976" s="901">
        <f>GLOBAL_DER_FEV_2023!H1976</f>
        <v>514.41999999999996</v>
      </c>
      <c r="I1976" s="901">
        <f>GLOBAL_DER_FEV_2023!I1976</f>
        <v>548.42681599999992</v>
      </c>
      <c r="J1976" s="902">
        <f>GLOBAL_DER_FEV_2023!J1976</f>
        <v>658.5</v>
      </c>
      <c r="K1976" s="903" t="s">
        <v>13</v>
      </c>
      <c r="L1976" s="1137"/>
      <c r="M1976" s="1138">
        <f t="shared" si="147"/>
        <v>0</v>
      </c>
      <c r="N1976" s="1176">
        <f t="shared" si="151"/>
        <v>0</v>
      </c>
      <c r="O1976" s="905"/>
      <c r="Q1976" s="317" t="str">
        <f t="shared" si="148"/>
        <v/>
      </c>
      <c r="R1976" s="317" t="str">
        <f t="shared" si="149"/>
        <v/>
      </c>
      <c r="S1976" s="317" t="str">
        <f t="shared" si="150"/>
        <v/>
      </c>
      <c r="T1976" s="317" t="str">
        <f>GLOBAL_DER_FEV_2023!S1976</f>
        <v/>
      </c>
      <c r="W1976" s="582">
        <v>0</v>
      </c>
      <c r="X1976" s="580"/>
      <c r="Y1976" s="583">
        <f>IF(GLOBAL_DER_FEV_2023!W1976=0,0,IF(GLOBAL_DER_FEV_2023!W1976&gt;0,"c","b"))</f>
        <v>0</v>
      </c>
    </row>
    <row r="1977" spans="1:25" ht="15" hidden="1" customHeight="1" x14ac:dyDescent="0.2">
      <c r="A1977" s="317" t="s">
        <v>147</v>
      </c>
      <c r="B1977" s="895" t="s">
        <v>147</v>
      </c>
      <c r="C1977" s="896"/>
      <c r="D1977" s="906" t="s">
        <v>190</v>
      </c>
      <c r="E1977" s="907">
        <f>GLOBAL_DER_FEV_2023!E1977</f>
        <v>308</v>
      </c>
      <c r="F1977" s="908">
        <f>GLOBAL_DER_FEV_2023!F1977</f>
        <v>3.2000000000000002E-3</v>
      </c>
      <c r="G1977" s="909">
        <f>GLOBAL_DER_FEV_2023!G1977</f>
        <v>0.79379200000000005</v>
      </c>
      <c r="H1977" s="901">
        <f>GLOBAL_DER_FEV_2023!H1977</f>
        <v>0</v>
      </c>
      <c r="I1977" s="901">
        <f>GLOBAL_DER_FEV_2023!I1977</f>
        <v>0</v>
      </c>
      <c r="J1977" s="902">
        <f>GLOBAL_DER_FEV_2023!J1977</f>
        <v>0</v>
      </c>
      <c r="K1977" s="903"/>
      <c r="L1977" s="1177"/>
      <c r="M1977" s="1138">
        <f t="shared" si="147"/>
        <v>0</v>
      </c>
      <c r="N1977" s="1176">
        <f t="shared" si="151"/>
        <v>0</v>
      </c>
      <c r="O1977" s="905"/>
      <c r="P1977" s="36" t="str">
        <f>IF(N1976&gt;0,"xx",IF(N1976&gt;0,"xy",""))</f>
        <v/>
      </c>
      <c r="Q1977" s="317" t="str">
        <f t="shared" si="148"/>
        <v/>
      </c>
      <c r="R1977" s="317" t="str">
        <f t="shared" si="149"/>
        <v/>
      </c>
      <c r="S1977" s="317" t="str">
        <f t="shared" si="150"/>
        <v/>
      </c>
      <c r="T1977" s="317" t="str">
        <f>GLOBAL_DER_FEV_2023!S1977</f>
        <v/>
      </c>
      <c r="W1977" s="582">
        <v>0</v>
      </c>
      <c r="X1977" s="580"/>
      <c r="Y1977" s="583">
        <f>IF(GLOBAL_DER_FEV_2023!W1977=0,0,IF(GLOBAL_DER_FEV_2023!W1977&gt;0,"c","b"))</f>
        <v>0</v>
      </c>
    </row>
    <row r="1978" spans="1:25" ht="15" hidden="1" customHeight="1" x14ac:dyDescent="0.2">
      <c r="A1978" s="317" t="s">
        <v>147</v>
      </c>
      <c r="B1978" s="895" t="s">
        <v>147</v>
      </c>
      <c r="C1978" s="896"/>
      <c r="D1978" s="906" t="s">
        <v>229</v>
      </c>
      <c r="E1978" s="907">
        <f>GLOBAL_DER_FEV_2023!E1978</f>
        <v>150</v>
      </c>
      <c r="F1978" s="908">
        <f>GLOBAL_DER_FEV_2023!F1978</f>
        <v>1.6799999999999999E-2</v>
      </c>
      <c r="G1978" s="949">
        <f>GLOBAL_DER_FEV_2023!G1978</f>
        <v>2.7414239999999999</v>
      </c>
      <c r="H1978" s="901">
        <f>GLOBAL_DER_FEV_2023!H1978</f>
        <v>0</v>
      </c>
      <c r="I1978" s="901">
        <f>GLOBAL_DER_FEV_2023!I1978</f>
        <v>0</v>
      </c>
      <c r="J1978" s="902">
        <f>GLOBAL_DER_FEV_2023!J1978</f>
        <v>0</v>
      </c>
      <c r="K1978" s="903"/>
      <c r="L1978" s="1177"/>
      <c r="M1978" s="1138">
        <f t="shared" si="147"/>
        <v>0</v>
      </c>
      <c r="N1978" s="1176">
        <f t="shared" si="151"/>
        <v>0</v>
      </c>
      <c r="O1978" s="905"/>
      <c r="P1978" s="36" t="str">
        <f>IF(N1976&gt;0,"xx",IF(N1976&gt;0,"xy",""))</f>
        <v/>
      </c>
      <c r="Q1978" s="317" t="str">
        <f t="shared" si="148"/>
        <v/>
      </c>
      <c r="R1978" s="317" t="str">
        <f t="shared" si="149"/>
        <v/>
      </c>
      <c r="S1978" s="317" t="str">
        <f t="shared" si="150"/>
        <v/>
      </c>
      <c r="T1978" s="317" t="str">
        <f>GLOBAL_DER_FEV_2023!S1978</f>
        <v/>
      </c>
      <c r="W1978" s="582">
        <v>0</v>
      </c>
      <c r="X1978" s="580"/>
      <c r="Y1978" s="583">
        <f>IF(GLOBAL_DER_FEV_2023!W1978=0,0,IF(GLOBAL_DER_FEV_2023!W1978&gt;0,"c","b"))</f>
        <v>0</v>
      </c>
    </row>
    <row r="1979" spans="1:25" ht="15" hidden="1" customHeight="1" x14ac:dyDescent="0.2">
      <c r="A1979" s="317" t="s">
        <v>147</v>
      </c>
      <c r="B1979" s="895" t="s">
        <v>147</v>
      </c>
      <c r="C1979" s="896"/>
      <c r="D1979" s="906" t="s">
        <v>336</v>
      </c>
      <c r="E1979" s="907">
        <f>GLOBAL_DER_FEV_2023!E1979</f>
        <v>40</v>
      </c>
      <c r="F1979" s="908">
        <f>GLOBAL_DER_FEV_2023!F1979</f>
        <v>0.67</v>
      </c>
      <c r="G1979" s="949">
        <f>GLOBAL_DER_FEV_2023!G1979</f>
        <v>30.471600000000006</v>
      </c>
      <c r="H1979" s="901">
        <f>GLOBAL_DER_FEV_2023!H1979</f>
        <v>0</v>
      </c>
      <c r="I1979" s="901">
        <f>GLOBAL_DER_FEV_2023!I1979</f>
        <v>0</v>
      </c>
      <c r="J1979" s="902">
        <f>GLOBAL_DER_FEV_2023!J1979</f>
        <v>0</v>
      </c>
      <c r="K1979" s="903"/>
      <c r="L1979" s="1177"/>
      <c r="M1979" s="1138">
        <f t="shared" si="147"/>
        <v>0</v>
      </c>
      <c r="N1979" s="1176">
        <f t="shared" si="151"/>
        <v>0</v>
      </c>
      <c r="O1979" s="905"/>
      <c r="P1979" s="36" t="str">
        <f>IF(N1976&gt;0,"xx",IF(N1976&gt;0,"xy",""))</f>
        <v/>
      </c>
      <c r="Q1979" s="317" t="str">
        <f t="shared" si="148"/>
        <v/>
      </c>
      <c r="R1979" s="317" t="str">
        <f t="shared" si="149"/>
        <v/>
      </c>
      <c r="S1979" s="317" t="str">
        <f t="shared" si="150"/>
        <v/>
      </c>
      <c r="T1979" s="317" t="str">
        <f>GLOBAL_DER_FEV_2023!S1979</f>
        <v/>
      </c>
      <c r="W1979" s="582">
        <v>0</v>
      </c>
      <c r="X1979" s="580"/>
      <c r="Y1979" s="583">
        <f>IF(GLOBAL_DER_FEV_2023!W1979=0,0,IF(GLOBAL_DER_FEV_2023!W1979&gt;0,"c","b"))</f>
        <v>0</v>
      </c>
    </row>
    <row r="1980" spans="1:25" ht="15" hidden="1" customHeight="1" x14ac:dyDescent="0.2">
      <c r="A1980" s="317">
        <v>611000</v>
      </c>
      <c r="B1980" s="895" t="s">
        <v>1842</v>
      </c>
      <c r="C1980" s="896" t="s">
        <v>184</v>
      </c>
      <c r="D1980" s="906" t="s">
        <v>2019</v>
      </c>
      <c r="E1980" s="907">
        <f>GLOBAL_DER_FEV_2023!E1980</f>
        <v>0</v>
      </c>
      <c r="F1980" s="908">
        <f>GLOBAL_DER_FEV_2023!F1980</f>
        <v>0</v>
      </c>
      <c r="G1980" s="912">
        <f>GLOBAL_DER_FEV_2023!G1980</f>
        <v>42.394820000000003</v>
      </c>
      <c r="H1980" s="901">
        <f>GLOBAL_DER_FEV_2023!H1980</f>
        <v>803.98</v>
      </c>
      <c r="I1980" s="901">
        <f>GLOBAL_DER_FEV_2023!I1980</f>
        <v>846.37482</v>
      </c>
      <c r="J1980" s="902">
        <f>GLOBAL_DER_FEV_2023!J1980</f>
        <v>1016.24</v>
      </c>
      <c r="K1980" s="903" t="s">
        <v>13</v>
      </c>
      <c r="L1980" s="1137"/>
      <c r="M1980" s="1138">
        <f t="shared" si="147"/>
        <v>0</v>
      </c>
      <c r="N1980" s="1176">
        <f t="shared" si="151"/>
        <v>0</v>
      </c>
      <c r="O1980" s="905"/>
      <c r="Q1980" s="317" t="str">
        <f t="shared" si="148"/>
        <v/>
      </c>
      <c r="R1980" s="317" t="str">
        <f t="shared" si="149"/>
        <v/>
      </c>
      <c r="S1980" s="317" t="str">
        <f t="shared" si="150"/>
        <v/>
      </c>
      <c r="T1980" s="317" t="str">
        <f>GLOBAL_DER_FEV_2023!S1980</f>
        <v/>
      </c>
      <c r="W1980" s="582">
        <v>0</v>
      </c>
      <c r="X1980" s="580"/>
      <c r="Y1980" s="583">
        <f>IF(GLOBAL_DER_FEV_2023!W1980=0,0,IF(GLOBAL_DER_FEV_2023!W1980&gt;0,"c","b"))</f>
        <v>0</v>
      </c>
    </row>
    <row r="1981" spans="1:25" ht="15" hidden="1" customHeight="1" x14ac:dyDescent="0.2">
      <c r="A1981" s="317" t="s">
        <v>147</v>
      </c>
      <c r="B1981" s="895" t="s">
        <v>147</v>
      </c>
      <c r="C1981" s="896"/>
      <c r="D1981" s="906" t="s">
        <v>190</v>
      </c>
      <c r="E1981" s="907">
        <f>GLOBAL_DER_FEV_2023!E1981</f>
        <v>308</v>
      </c>
      <c r="F1981" s="908">
        <f>GLOBAL_DER_FEV_2023!F1981</f>
        <v>4.0000000000000001E-3</v>
      </c>
      <c r="G1981" s="909">
        <f>GLOBAL_DER_FEV_2023!G1981</f>
        <v>0.99224000000000001</v>
      </c>
      <c r="H1981" s="901">
        <f>GLOBAL_DER_FEV_2023!H1981</f>
        <v>0</v>
      </c>
      <c r="I1981" s="901">
        <f>GLOBAL_DER_FEV_2023!I1981</f>
        <v>0</v>
      </c>
      <c r="J1981" s="902">
        <f>GLOBAL_DER_FEV_2023!J1981</f>
        <v>0</v>
      </c>
      <c r="K1981" s="903"/>
      <c r="L1981" s="1177"/>
      <c r="M1981" s="1138">
        <f t="shared" si="147"/>
        <v>0</v>
      </c>
      <c r="N1981" s="1176">
        <f t="shared" si="151"/>
        <v>0</v>
      </c>
      <c r="O1981" s="905"/>
      <c r="P1981" s="36" t="str">
        <f>IF(N1980&gt;0,"xx",IF(N1980&gt;0,"xy",""))</f>
        <v/>
      </c>
      <c r="Q1981" s="317" t="str">
        <f t="shared" si="148"/>
        <v/>
      </c>
      <c r="R1981" s="317" t="str">
        <f t="shared" si="149"/>
        <v/>
      </c>
      <c r="S1981" s="317" t="str">
        <f t="shared" si="150"/>
        <v/>
      </c>
      <c r="T1981" s="317" t="str">
        <f>GLOBAL_DER_FEV_2023!S1981</f>
        <v/>
      </c>
      <c r="W1981" s="582">
        <v>0</v>
      </c>
      <c r="X1981" s="580"/>
      <c r="Y1981" s="583">
        <f>IF(GLOBAL_DER_FEV_2023!W1981=0,0,IF(GLOBAL_DER_FEV_2023!W1981&gt;0,"c","b"))</f>
        <v>0</v>
      </c>
    </row>
    <row r="1982" spans="1:25" ht="15" hidden="1" customHeight="1" x14ac:dyDescent="0.2">
      <c r="A1982" s="317" t="s">
        <v>147</v>
      </c>
      <c r="B1982" s="895" t="s">
        <v>147</v>
      </c>
      <c r="C1982" s="896"/>
      <c r="D1982" s="906" t="s">
        <v>229</v>
      </c>
      <c r="E1982" s="907">
        <f>GLOBAL_DER_FEV_2023!E1982</f>
        <v>150</v>
      </c>
      <c r="F1982" s="908">
        <f>GLOBAL_DER_FEV_2023!F1982</f>
        <v>2.1000000000000001E-2</v>
      </c>
      <c r="G1982" s="949">
        <f>GLOBAL_DER_FEV_2023!G1982</f>
        <v>3.4267800000000004</v>
      </c>
      <c r="H1982" s="901">
        <f>GLOBAL_DER_FEV_2023!H1982</f>
        <v>0</v>
      </c>
      <c r="I1982" s="901">
        <f>GLOBAL_DER_FEV_2023!I1982</f>
        <v>0</v>
      </c>
      <c r="J1982" s="902">
        <f>GLOBAL_DER_FEV_2023!J1982</f>
        <v>0</v>
      </c>
      <c r="K1982" s="903"/>
      <c r="L1982" s="1177"/>
      <c r="M1982" s="1138">
        <f t="shared" si="147"/>
        <v>0</v>
      </c>
      <c r="N1982" s="1176">
        <f t="shared" si="151"/>
        <v>0</v>
      </c>
      <c r="O1982" s="905"/>
      <c r="P1982" s="36" t="str">
        <f>IF(N1980&gt;0,"xx",IF(N1980&gt;0,"xy",""))</f>
        <v/>
      </c>
      <c r="Q1982" s="317" t="str">
        <f t="shared" si="148"/>
        <v/>
      </c>
      <c r="R1982" s="317" t="str">
        <f t="shared" si="149"/>
        <v/>
      </c>
      <c r="S1982" s="317" t="str">
        <f t="shared" si="150"/>
        <v/>
      </c>
      <c r="T1982" s="317" t="str">
        <f>GLOBAL_DER_FEV_2023!S1982</f>
        <v/>
      </c>
      <c r="W1982" s="582">
        <v>0</v>
      </c>
      <c r="X1982" s="580"/>
      <c r="Y1982" s="583">
        <f>IF(GLOBAL_DER_FEV_2023!W1982=0,0,IF(GLOBAL_DER_FEV_2023!W1982&gt;0,"c","b"))</f>
        <v>0</v>
      </c>
    </row>
    <row r="1983" spans="1:25" ht="15" hidden="1" customHeight="1" x14ac:dyDescent="0.2">
      <c r="A1983" s="317" t="s">
        <v>147</v>
      </c>
      <c r="B1983" s="895" t="s">
        <v>147</v>
      </c>
      <c r="C1983" s="896"/>
      <c r="D1983" s="906" t="s">
        <v>336</v>
      </c>
      <c r="E1983" s="907">
        <f>GLOBAL_DER_FEV_2023!E1983</f>
        <v>40</v>
      </c>
      <c r="F1983" s="908">
        <f>GLOBAL_DER_FEV_2023!F1983</f>
        <v>0.83499999999999996</v>
      </c>
      <c r="G1983" s="949">
        <f>GLOBAL_DER_FEV_2023!G1983</f>
        <v>37.9758</v>
      </c>
      <c r="H1983" s="901">
        <f>GLOBAL_DER_FEV_2023!H1983</f>
        <v>0</v>
      </c>
      <c r="I1983" s="901">
        <f>GLOBAL_DER_FEV_2023!I1983</f>
        <v>0</v>
      </c>
      <c r="J1983" s="902">
        <f>GLOBAL_DER_FEV_2023!J1983</f>
        <v>0</v>
      </c>
      <c r="K1983" s="903"/>
      <c r="L1983" s="1177"/>
      <c r="M1983" s="1138">
        <f t="shared" si="147"/>
        <v>0</v>
      </c>
      <c r="N1983" s="1176">
        <f t="shared" si="151"/>
        <v>0</v>
      </c>
      <c r="O1983" s="905"/>
      <c r="P1983" s="36" t="str">
        <f>IF(N1980&gt;0,"xx",IF(N1980&gt;0,"xy",""))</f>
        <v/>
      </c>
      <c r="Q1983" s="317" t="str">
        <f t="shared" si="148"/>
        <v/>
      </c>
      <c r="R1983" s="317" t="str">
        <f t="shared" si="149"/>
        <v/>
      </c>
      <c r="S1983" s="317" t="str">
        <f t="shared" si="150"/>
        <v/>
      </c>
      <c r="T1983" s="317" t="str">
        <f>GLOBAL_DER_FEV_2023!S1983</f>
        <v/>
      </c>
      <c r="W1983" s="582">
        <v>0</v>
      </c>
      <c r="X1983" s="580"/>
      <c r="Y1983" s="583">
        <f>IF(GLOBAL_DER_FEV_2023!W1983=0,0,IF(GLOBAL_DER_FEV_2023!W1983&gt;0,"c","b"))</f>
        <v>0</v>
      </c>
    </row>
    <row r="1984" spans="1:25" ht="15" hidden="1" customHeight="1" x14ac:dyDescent="0.2">
      <c r="A1984" s="317">
        <v>611000</v>
      </c>
      <c r="B1984" s="895" t="s">
        <v>1843</v>
      </c>
      <c r="C1984" s="896" t="s">
        <v>184</v>
      </c>
      <c r="D1984" s="906" t="s">
        <v>2020</v>
      </c>
      <c r="E1984" s="907">
        <f>GLOBAL_DER_FEV_2023!E1984</f>
        <v>0</v>
      </c>
      <c r="F1984" s="908">
        <f>GLOBAL_DER_FEV_2023!F1984</f>
        <v>0</v>
      </c>
      <c r="G1984" s="912">
        <f>GLOBAL_DER_FEV_2023!G1984</f>
        <v>50.782824000000005</v>
      </c>
      <c r="H1984" s="901">
        <f>GLOBAL_DER_FEV_2023!H1984</f>
        <v>803.98</v>
      </c>
      <c r="I1984" s="901">
        <f>GLOBAL_DER_FEV_2023!I1984</f>
        <v>854.76282400000002</v>
      </c>
      <c r="J1984" s="902">
        <f>GLOBAL_DER_FEV_2023!J1984</f>
        <v>1026.31</v>
      </c>
      <c r="K1984" s="903" t="s">
        <v>13</v>
      </c>
      <c r="L1984" s="1137"/>
      <c r="M1984" s="1138">
        <f t="shared" si="147"/>
        <v>0</v>
      </c>
      <c r="N1984" s="1176">
        <f t="shared" si="151"/>
        <v>0</v>
      </c>
      <c r="O1984" s="905"/>
      <c r="Q1984" s="317" t="str">
        <f t="shared" si="148"/>
        <v/>
      </c>
      <c r="R1984" s="317" t="str">
        <f t="shared" si="149"/>
        <v/>
      </c>
      <c r="S1984" s="317" t="str">
        <f t="shared" si="150"/>
        <v/>
      </c>
      <c r="T1984" s="317" t="str">
        <f>GLOBAL_DER_FEV_2023!S1984</f>
        <v/>
      </c>
      <c r="W1984" s="582">
        <v>0</v>
      </c>
      <c r="X1984" s="580"/>
      <c r="Y1984" s="583">
        <f>IF(GLOBAL_DER_FEV_2023!W1984=0,0,IF(GLOBAL_DER_FEV_2023!W1984&gt;0,"c","b"))</f>
        <v>0</v>
      </c>
    </row>
    <row r="1985" spans="1:25" ht="15" hidden="1" customHeight="1" x14ac:dyDescent="0.2">
      <c r="A1985" s="317" t="s">
        <v>147</v>
      </c>
      <c r="B1985" s="895" t="s">
        <v>147</v>
      </c>
      <c r="C1985" s="896"/>
      <c r="D1985" s="906" t="s">
        <v>190</v>
      </c>
      <c r="E1985" s="907">
        <f>GLOBAL_DER_FEV_2023!E1985</f>
        <v>308</v>
      </c>
      <c r="F1985" s="908">
        <f>GLOBAL_DER_FEV_2023!F1985</f>
        <v>4.7999999999999996E-3</v>
      </c>
      <c r="G1985" s="909">
        <f>GLOBAL_DER_FEV_2023!G1985</f>
        <v>1.190688</v>
      </c>
      <c r="H1985" s="901">
        <f>GLOBAL_DER_FEV_2023!H1985</f>
        <v>0</v>
      </c>
      <c r="I1985" s="901">
        <f>GLOBAL_DER_FEV_2023!I1985</f>
        <v>0</v>
      </c>
      <c r="J1985" s="902">
        <f>GLOBAL_DER_FEV_2023!J1985</f>
        <v>0</v>
      </c>
      <c r="K1985" s="903"/>
      <c r="L1985" s="1177"/>
      <c r="M1985" s="1138">
        <f t="shared" si="147"/>
        <v>0</v>
      </c>
      <c r="N1985" s="1176">
        <f t="shared" si="151"/>
        <v>0</v>
      </c>
      <c r="O1985" s="905"/>
      <c r="P1985" s="36" t="str">
        <f>IF(N1984&gt;0,"xx",IF(N1984&gt;0,"xy",""))</f>
        <v/>
      </c>
      <c r="Q1985" s="317" t="str">
        <f t="shared" si="148"/>
        <v/>
      </c>
      <c r="R1985" s="317" t="str">
        <f t="shared" si="149"/>
        <v/>
      </c>
      <c r="S1985" s="317" t="str">
        <f t="shared" si="150"/>
        <v/>
      </c>
      <c r="T1985" s="317" t="str">
        <f>GLOBAL_DER_FEV_2023!S1985</f>
        <v/>
      </c>
      <c r="W1985" s="582">
        <v>0</v>
      </c>
      <c r="X1985" s="580"/>
      <c r="Y1985" s="583">
        <f>IF(GLOBAL_DER_FEV_2023!W1985=0,0,IF(GLOBAL_DER_FEV_2023!W1985&gt;0,"c","b"))</f>
        <v>0</v>
      </c>
    </row>
    <row r="1986" spans="1:25" ht="15" hidden="1" customHeight="1" x14ac:dyDescent="0.2">
      <c r="A1986" s="317" t="s">
        <v>147</v>
      </c>
      <c r="B1986" s="895" t="s">
        <v>147</v>
      </c>
      <c r="C1986" s="896"/>
      <c r="D1986" s="906" t="s">
        <v>229</v>
      </c>
      <c r="E1986" s="907">
        <f>GLOBAL_DER_FEV_2023!E1986</f>
        <v>150</v>
      </c>
      <c r="F1986" s="908">
        <f>GLOBAL_DER_FEV_2023!F1986</f>
        <v>2.52E-2</v>
      </c>
      <c r="G1986" s="949">
        <f>GLOBAL_DER_FEV_2023!G1986</f>
        <v>4.1121360000000005</v>
      </c>
      <c r="H1986" s="901">
        <f>GLOBAL_DER_FEV_2023!H1986</f>
        <v>0</v>
      </c>
      <c r="I1986" s="901">
        <f>GLOBAL_DER_FEV_2023!I1986</f>
        <v>0</v>
      </c>
      <c r="J1986" s="902">
        <f>GLOBAL_DER_FEV_2023!J1986</f>
        <v>0</v>
      </c>
      <c r="K1986" s="903"/>
      <c r="L1986" s="1177"/>
      <c r="M1986" s="1138">
        <f t="shared" si="147"/>
        <v>0</v>
      </c>
      <c r="N1986" s="1176">
        <f t="shared" si="151"/>
        <v>0</v>
      </c>
      <c r="O1986" s="905"/>
      <c r="P1986" s="36" t="str">
        <f>IF(N1984&gt;0,"xx",IF(N1984&gt;0,"xy",""))</f>
        <v/>
      </c>
      <c r="Q1986" s="317" t="str">
        <f t="shared" si="148"/>
        <v/>
      </c>
      <c r="R1986" s="317" t="str">
        <f t="shared" si="149"/>
        <v/>
      </c>
      <c r="S1986" s="317" t="str">
        <f t="shared" si="150"/>
        <v/>
      </c>
      <c r="T1986" s="317" t="str">
        <f>GLOBAL_DER_FEV_2023!S1986</f>
        <v/>
      </c>
      <c r="W1986" s="582">
        <v>0</v>
      </c>
      <c r="X1986" s="580"/>
      <c r="Y1986" s="583">
        <f>IF(GLOBAL_DER_FEV_2023!W1986=0,0,IF(GLOBAL_DER_FEV_2023!W1986&gt;0,"c","b"))</f>
        <v>0</v>
      </c>
    </row>
    <row r="1987" spans="1:25" ht="15" hidden="1" customHeight="1" x14ac:dyDescent="0.2">
      <c r="A1987" s="317" t="s">
        <v>147</v>
      </c>
      <c r="B1987" s="895" t="s">
        <v>147</v>
      </c>
      <c r="C1987" s="896"/>
      <c r="D1987" s="906" t="s">
        <v>336</v>
      </c>
      <c r="E1987" s="907">
        <f>GLOBAL_DER_FEV_2023!E1987</f>
        <v>40</v>
      </c>
      <c r="F1987" s="908">
        <f>GLOBAL_DER_FEV_2023!F1987</f>
        <v>1</v>
      </c>
      <c r="G1987" s="949">
        <f>GLOBAL_DER_FEV_2023!G1987</f>
        <v>45.480000000000004</v>
      </c>
      <c r="H1987" s="901">
        <f>GLOBAL_DER_FEV_2023!H1987</f>
        <v>0</v>
      </c>
      <c r="I1987" s="901">
        <f>GLOBAL_DER_FEV_2023!I1987</f>
        <v>0</v>
      </c>
      <c r="J1987" s="902">
        <f>GLOBAL_DER_FEV_2023!J1987</f>
        <v>0</v>
      </c>
      <c r="K1987" s="903"/>
      <c r="L1987" s="1177"/>
      <c r="M1987" s="1138">
        <f t="shared" si="147"/>
        <v>0</v>
      </c>
      <c r="N1987" s="1176">
        <f t="shared" si="151"/>
        <v>0</v>
      </c>
      <c r="O1987" s="905"/>
      <c r="P1987" s="36" t="str">
        <f>IF(N1984&gt;0,"xx",IF(N1984&gt;0,"xy",""))</f>
        <v/>
      </c>
      <c r="Q1987" s="317" t="str">
        <f t="shared" si="148"/>
        <v/>
      </c>
      <c r="R1987" s="317" t="str">
        <f t="shared" si="149"/>
        <v/>
      </c>
      <c r="S1987" s="317" t="str">
        <f t="shared" si="150"/>
        <v/>
      </c>
      <c r="T1987" s="317" t="str">
        <f>GLOBAL_DER_FEV_2023!S1987</f>
        <v/>
      </c>
      <c r="W1987" s="582">
        <v>0</v>
      </c>
      <c r="X1987" s="580"/>
      <c r="Y1987" s="583">
        <f>IF(GLOBAL_DER_FEV_2023!W1987=0,0,IF(GLOBAL_DER_FEV_2023!W1987&gt;0,"c","b"))</f>
        <v>0</v>
      </c>
    </row>
    <row r="1988" spans="1:25" ht="15" hidden="1" customHeight="1" x14ac:dyDescent="0.2">
      <c r="A1988" s="317">
        <v>611200</v>
      </c>
      <c r="B1988" s="895" t="s">
        <v>1846</v>
      </c>
      <c r="C1988" s="896" t="s">
        <v>184</v>
      </c>
      <c r="D1988" s="906" t="s">
        <v>2021</v>
      </c>
      <c r="E1988" s="907">
        <f>GLOBAL_DER_FEV_2023!E1988</f>
        <v>0</v>
      </c>
      <c r="F1988" s="908">
        <f>GLOBAL_DER_FEV_2023!F1988</f>
        <v>0</v>
      </c>
      <c r="G1988" s="912">
        <f>GLOBAL_DER_FEV_2023!G1988</f>
        <v>72.586438000000001</v>
      </c>
      <c r="H1988" s="901">
        <f>GLOBAL_DER_FEV_2023!H1988</f>
        <v>1026.27</v>
      </c>
      <c r="I1988" s="901">
        <f>GLOBAL_DER_FEV_2023!I1988</f>
        <v>1098.856438</v>
      </c>
      <c r="J1988" s="902">
        <f>GLOBAL_DER_FEV_2023!J1988</f>
        <v>1319.4</v>
      </c>
      <c r="K1988" s="903" t="s">
        <v>13</v>
      </c>
      <c r="L1988" s="1137"/>
      <c r="M1988" s="1138">
        <f t="shared" si="147"/>
        <v>0</v>
      </c>
      <c r="N1988" s="1176">
        <f t="shared" si="151"/>
        <v>0</v>
      </c>
      <c r="O1988" s="905"/>
      <c r="Q1988" s="317" t="str">
        <f t="shared" si="148"/>
        <v/>
      </c>
      <c r="R1988" s="317" t="str">
        <f t="shared" si="149"/>
        <v/>
      </c>
      <c r="S1988" s="317" t="str">
        <f t="shared" si="150"/>
        <v/>
      </c>
      <c r="T1988" s="317" t="str">
        <f>GLOBAL_DER_FEV_2023!S1988</f>
        <v/>
      </c>
      <c r="W1988" s="582">
        <v>0</v>
      </c>
      <c r="X1988" s="580"/>
      <c r="Y1988" s="583">
        <f>IF(GLOBAL_DER_FEV_2023!W1988=0,0,IF(GLOBAL_DER_FEV_2023!W1988&gt;0,"c","b"))</f>
        <v>0</v>
      </c>
    </row>
    <row r="1989" spans="1:25" ht="15" hidden="1" customHeight="1" x14ac:dyDescent="0.2">
      <c r="A1989" s="317" t="s">
        <v>147</v>
      </c>
      <c r="B1989" s="895" t="s">
        <v>147</v>
      </c>
      <c r="C1989" s="896"/>
      <c r="D1989" s="906" t="s">
        <v>190</v>
      </c>
      <c r="E1989" s="907">
        <f>GLOBAL_DER_FEV_2023!E1989</f>
        <v>308</v>
      </c>
      <c r="F1989" s="908">
        <f>GLOBAL_DER_FEV_2023!F1989</f>
        <v>6.4999999999999997E-3</v>
      </c>
      <c r="G1989" s="909">
        <f>GLOBAL_DER_FEV_2023!G1989</f>
        <v>1.61239</v>
      </c>
      <c r="H1989" s="901">
        <f>GLOBAL_DER_FEV_2023!H1989</f>
        <v>0</v>
      </c>
      <c r="I1989" s="901">
        <f>GLOBAL_DER_FEV_2023!I1989</f>
        <v>0</v>
      </c>
      <c r="J1989" s="902">
        <f>GLOBAL_DER_FEV_2023!J1989</f>
        <v>0</v>
      </c>
      <c r="K1989" s="903"/>
      <c r="L1989" s="1177"/>
      <c r="M1989" s="1138">
        <f t="shared" si="147"/>
        <v>0</v>
      </c>
      <c r="N1989" s="1176">
        <f t="shared" si="151"/>
        <v>0</v>
      </c>
      <c r="O1989" s="905"/>
      <c r="P1989" s="36" t="str">
        <f>IF(N1988&gt;0,"xx",IF(N1988&gt;0,"xy",""))</f>
        <v/>
      </c>
      <c r="Q1989" s="317" t="str">
        <f t="shared" si="148"/>
        <v/>
      </c>
      <c r="R1989" s="317" t="str">
        <f t="shared" si="149"/>
        <v/>
      </c>
      <c r="S1989" s="317" t="str">
        <f t="shared" si="150"/>
        <v/>
      </c>
      <c r="T1989" s="317" t="str">
        <f>GLOBAL_DER_FEV_2023!S1989</f>
        <v/>
      </c>
      <c r="W1989" s="582">
        <v>0</v>
      </c>
      <c r="X1989" s="580"/>
      <c r="Y1989" s="583">
        <f>IF(GLOBAL_DER_FEV_2023!W1989=0,0,IF(GLOBAL_DER_FEV_2023!W1989&gt;0,"c","b"))</f>
        <v>0</v>
      </c>
    </row>
    <row r="1990" spans="1:25" ht="15" hidden="1" customHeight="1" x14ac:dyDescent="0.2">
      <c r="A1990" s="317" t="s">
        <v>147</v>
      </c>
      <c r="B1990" s="895" t="s">
        <v>147</v>
      </c>
      <c r="C1990" s="896"/>
      <c r="D1990" s="906" t="s">
        <v>229</v>
      </c>
      <c r="E1990" s="907">
        <f>GLOBAL_DER_FEV_2023!E1990</f>
        <v>150</v>
      </c>
      <c r="F1990" s="908">
        <f>GLOBAL_DER_FEV_2023!F1990</f>
        <v>3.3599999999999998E-2</v>
      </c>
      <c r="G1990" s="949">
        <f>GLOBAL_DER_FEV_2023!G1990</f>
        <v>5.4828479999999997</v>
      </c>
      <c r="H1990" s="901">
        <f>GLOBAL_DER_FEV_2023!H1990</f>
        <v>0</v>
      </c>
      <c r="I1990" s="901">
        <f>GLOBAL_DER_FEV_2023!I1990</f>
        <v>0</v>
      </c>
      <c r="J1990" s="902">
        <f>GLOBAL_DER_FEV_2023!J1990</f>
        <v>0</v>
      </c>
      <c r="K1990" s="903"/>
      <c r="L1990" s="1177"/>
      <c r="M1990" s="1138">
        <f t="shared" si="147"/>
        <v>0</v>
      </c>
      <c r="N1990" s="1176">
        <f t="shared" si="151"/>
        <v>0</v>
      </c>
      <c r="O1990" s="905"/>
      <c r="P1990" s="36" t="str">
        <f>IF(N1988&gt;0,"xx",IF(N1988&gt;0,"xy",""))</f>
        <v/>
      </c>
      <c r="Q1990" s="317" t="str">
        <f t="shared" si="148"/>
        <v/>
      </c>
      <c r="R1990" s="317" t="str">
        <f t="shared" si="149"/>
        <v/>
      </c>
      <c r="S1990" s="317" t="str">
        <f t="shared" si="150"/>
        <v/>
      </c>
      <c r="T1990" s="317" t="str">
        <f>GLOBAL_DER_FEV_2023!S1990</f>
        <v/>
      </c>
      <c r="W1990" s="582">
        <v>0</v>
      </c>
      <c r="X1990" s="580"/>
      <c r="Y1990" s="583">
        <f>IF(GLOBAL_DER_FEV_2023!W1990=0,0,IF(GLOBAL_DER_FEV_2023!W1990&gt;0,"c","b"))</f>
        <v>0</v>
      </c>
    </row>
    <row r="1991" spans="1:25" ht="15" hidden="1" customHeight="1" x14ac:dyDescent="0.2">
      <c r="A1991" s="317" t="s">
        <v>147</v>
      </c>
      <c r="B1991" s="895" t="s">
        <v>147</v>
      </c>
      <c r="C1991" s="896"/>
      <c r="D1991" s="906" t="s">
        <v>336</v>
      </c>
      <c r="E1991" s="907">
        <f>GLOBAL_DER_FEV_2023!E1991</f>
        <v>40</v>
      </c>
      <c r="F1991" s="908">
        <f>GLOBAL_DER_FEV_2023!F1991</f>
        <v>1.44</v>
      </c>
      <c r="G1991" s="949">
        <f>GLOBAL_DER_FEV_2023!G1991</f>
        <v>65.491200000000006</v>
      </c>
      <c r="H1991" s="901">
        <f>GLOBAL_DER_FEV_2023!H1991</f>
        <v>0</v>
      </c>
      <c r="I1991" s="901">
        <f>GLOBAL_DER_FEV_2023!I1991</f>
        <v>0</v>
      </c>
      <c r="J1991" s="902">
        <f>GLOBAL_DER_FEV_2023!J1991</f>
        <v>0</v>
      </c>
      <c r="K1991" s="903"/>
      <c r="L1991" s="1177"/>
      <c r="M1991" s="1138">
        <f t="shared" si="147"/>
        <v>0</v>
      </c>
      <c r="N1991" s="1176">
        <f t="shared" si="151"/>
        <v>0</v>
      </c>
      <c r="O1991" s="905"/>
      <c r="P1991" s="36" t="str">
        <f>IF(N1988&gt;0,"xx",IF(N1988&gt;0,"xy",""))</f>
        <v/>
      </c>
      <c r="Q1991" s="317" t="str">
        <f t="shared" si="148"/>
        <v/>
      </c>
      <c r="R1991" s="317" t="str">
        <f t="shared" si="149"/>
        <v/>
      </c>
      <c r="S1991" s="317" t="str">
        <f t="shared" si="150"/>
        <v/>
      </c>
      <c r="T1991" s="317" t="str">
        <f>GLOBAL_DER_FEV_2023!S1991</f>
        <v/>
      </c>
      <c r="W1991" s="582">
        <v>0</v>
      </c>
      <c r="X1991" s="580"/>
      <c r="Y1991" s="583">
        <f>IF(GLOBAL_DER_FEV_2023!W1991=0,0,IF(GLOBAL_DER_FEV_2023!W1991&gt;0,"c","b"))</f>
        <v>0</v>
      </c>
    </row>
    <row r="1992" spans="1:25" ht="15" hidden="1" customHeight="1" x14ac:dyDescent="0.2">
      <c r="A1992" s="317">
        <v>611400</v>
      </c>
      <c r="B1992" s="895" t="s">
        <v>1848</v>
      </c>
      <c r="C1992" s="896" t="s">
        <v>184</v>
      </c>
      <c r="D1992" s="906" t="s">
        <v>2022</v>
      </c>
      <c r="E1992" s="907">
        <f>GLOBAL_DER_FEV_2023!E1992</f>
        <v>0</v>
      </c>
      <c r="F1992" s="908">
        <f>GLOBAL_DER_FEV_2023!F1992</f>
        <v>0</v>
      </c>
      <c r="G1992" s="912">
        <f>GLOBAL_DER_FEV_2023!G1992</f>
        <v>83.904846000000006</v>
      </c>
      <c r="H1992" s="901">
        <f>GLOBAL_DER_FEV_2023!H1992</f>
        <v>1267.57</v>
      </c>
      <c r="I1992" s="901">
        <f>GLOBAL_DER_FEV_2023!I1992</f>
        <v>1351.4748459999998</v>
      </c>
      <c r="J1992" s="902">
        <f>GLOBAL_DER_FEV_2023!J1992</f>
        <v>1622.72</v>
      </c>
      <c r="K1992" s="903" t="s">
        <v>13</v>
      </c>
      <c r="L1992" s="1137"/>
      <c r="M1992" s="1138">
        <f t="shared" si="147"/>
        <v>0</v>
      </c>
      <c r="N1992" s="1176">
        <f t="shared" si="151"/>
        <v>0</v>
      </c>
      <c r="O1992" s="905"/>
      <c r="Q1992" s="317" t="str">
        <f t="shared" si="148"/>
        <v/>
      </c>
      <c r="R1992" s="317" t="str">
        <f t="shared" si="149"/>
        <v/>
      </c>
      <c r="S1992" s="317" t="str">
        <f t="shared" si="150"/>
        <v/>
      </c>
      <c r="T1992" s="317" t="str">
        <f>GLOBAL_DER_FEV_2023!S1992</f>
        <v/>
      </c>
      <c r="W1992" s="582">
        <v>0</v>
      </c>
      <c r="X1992" s="580"/>
      <c r="Y1992" s="583">
        <f>IF(GLOBAL_DER_FEV_2023!W1992=0,0,IF(GLOBAL_DER_FEV_2023!W1992&gt;0,"c","b"))</f>
        <v>0</v>
      </c>
    </row>
    <row r="1993" spans="1:25" ht="15" hidden="1" customHeight="1" x14ac:dyDescent="0.2">
      <c r="A1993" s="317" t="s">
        <v>147</v>
      </c>
      <c r="B1993" s="895" t="s">
        <v>147</v>
      </c>
      <c r="C1993" s="896"/>
      <c r="D1993" s="906" t="s">
        <v>190</v>
      </c>
      <c r="E1993" s="907">
        <f>GLOBAL_DER_FEV_2023!E1993</f>
        <v>308</v>
      </c>
      <c r="F1993" s="908">
        <f>GLOBAL_DER_FEV_2023!F1993</f>
        <v>8.0999999999999996E-3</v>
      </c>
      <c r="G1993" s="909">
        <f>GLOBAL_DER_FEV_2023!G1993</f>
        <v>2.0092859999999999</v>
      </c>
      <c r="H1993" s="901">
        <f>GLOBAL_DER_FEV_2023!H1993</f>
        <v>0</v>
      </c>
      <c r="I1993" s="901">
        <f>GLOBAL_DER_FEV_2023!I1993</f>
        <v>0</v>
      </c>
      <c r="J1993" s="902">
        <f>GLOBAL_DER_FEV_2023!J1993</f>
        <v>0</v>
      </c>
      <c r="K1993" s="903"/>
      <c r="L1993" s="1177"/>
      <c r="M1993" s="1138">
        <f t="shared" si="147"/>
        <v>0</v>
      </c>
      <c r="N1993" s="1176">
        <f t="shared" si="151"/>
        <v>0</v>
      </c>
      <c r="O1993" s="905"/>
      <c r="P1993" s="36" t="str">
        <f>IF(N1992&gt;0,"xx",IF(N1992&gt;0,"xy",""))</f>
        <v/>
      </c>
      <c r="Q1993" s="317" t="str">
        <f t="shared" si="148"/>
        <v/>
      </c>
      <c r="R1993" s="317" t="str">
        <f t="shared" si="149"/>
        <v/>
      </c>
      <c r="S1993" s="317" t="str">
        <f t="shared" si="150"/>
        <v/>
      </c>
      <c r="T1993" s="317" t="str">
        <f>GLOBAL_DER_FEV_2023!S1993</f>
        <v/>
      </c>
      <c r="W1993" s="582">
        <v>0</v>
      </c>
      <c r="X1993" s="580"/>
      <c r="Y1993" s="583">
        <f>IF(GLOBAL_DER_FEV_2023!W1993=0,0,IF(GLOBAL_DER_FEV_2023!W1993&gt;0,"c","b"))</f>
        <v>0</v>
      </c>
    </row>
    <row r="1994" spans="1:25" ht="15" hidden="1" customHeight="1" x14ac:dyDescent="0.2">
      <c r="A1994" s="317" t="s">
        <v>147</v>
      </c>
      <c r="B1994" s="895" t="s">
        <v>147</v>
      </c>
      <c r="C1994" s="896"/>
      <c r="D1994" s="906" t="s">
        <v>229</v>
      </c>
      <c r="E1994" s="907">
        <f>GLOBAL_DER_FEV_2023!E1994</f>
        <v>150</v>
      </c>
      <c r="F1994" s="908">
        <f>GLOBAL_DER_FEV_2023!F1994</f>
        <v>4.2000000000000003E-2</v>
      </c>
      <c r="G1994" s="949">
        <f>GLOBAL_DER_FEV_2023!G1994</f>
        <v>6.8535600000000008</v>
      </c>
      <c r="H1994" s="901">
        <f>GLOBAL_DER_FEV_2023!H1994</f>
        <v>0</v>
      </c>
      <c r="I1994" s="901">
        <f>GLOBAL_DER_FEV_2023!I1994</f>
        <v>0</v>
      </c>
      <c r="J1994" s="902">
        <f>GLOBAL_DER_FEV_2023!J1994</f>
        <v>0</v>
      </c>
      <c r="K1994" s="903"/>
      <c r="L1994" s="1177"/>
      <c r="M1994" s="1138">
        <f t="shared" si="147"/>
        <v>0</v>
      </c>
      <c r="N1994" s="1176">
        <f t="shared" si="151"/>
        <v>0</v>
      </c>
      <c r="O1994" s="905"/>
      <c r="P1994" s="36" t="str">
        <f>IF(N1992&gt;0,"xx",IF(N1992&gt;0,"xy",""))</f>
        <v/>
      </c>
      <c r="Q1994" s="317" t="str">
        <f t="shared" si="148"/>
        <v/>
      </c>
      <c r="R1994" s="317" t="str">
        <f t="shared" si="149"/>
        <v/>
      </c>
      <c r="S1994" s="317" t="str">
        <f t="shared" si="150"/>
        <v/>
      </c>
      <c r="T1994" s="317" t="str">
        <f>GLOBAL_DER_FEV_2023!S1994</f>
        <v/>
      </c>
      <c r="W1994" s="582">
        <v>0</v>
      </c>
      <c r="X1994" s="580"/>
      <c r="Y1994" s="583">
        <f>IF(GLOBAL_DER_FEV_2023!W1994=0,0,IF(GLOBAL_DER_FEV_2023!W1994&gt;0,"c","b"))</f>
        <v>0</v>
      </c>
    </row>
    <row r="1995" spans="1:25" ht="15" hidden="1" customHeight="1" x14ac:dyDescent="0.2">
      <c r="A1995" s="317" t="s">
        <v>147</v>
      </c>
      <c r="B1995" s="895" t="s">
        <v>147</v>
      </c>
      <c r="C1995" s="896"/>
      <c r="D1995" s="906" t="s">
        <v>336</v>
      </c>
      <c r="E1995" s="907">
        <f>GLOBAL_DER_FEV_2023!E1995</f>
        <v>40</v>
      </c>
      <c r="F1995" s="908">
        <f>GLOBAL_DER_FEV_2023!F1995</f>
        <v>1.65</v>
      </c>
      <c r="G1995" s="949">
        <f>GLOBAL_DER_FEV_2023!G1995</f>
        <v>75.042000000000002</v>
      </c>
      <c r="H1995" s="901">
        <f>GLOBAL_DER_FEV_2023!H1995</f>
        <v>0</v>
      </c>
      <c r="I1995" s="901">
        <f>GLOBAL_DER_FEV_2023!I1995</f>
        <v>0</v>
      </c>
      <c r="J1995" s="902">
        <f>GLOBAL_DER_FEV_2023!J1995</f>
        <v>0</v>
      </c>
      <c r="K1995" s="903"/>
      <c r="L1995" s="1177"/>
      <c r="M1995" s="1138">
        <f t="shared" si="147"/>
        <v>0</v>
      </c>
      <c r="N1995" s="1176">
        <f t="shared" si="151"/>
        <v>0</v>
      </c>
      <c r="O1995" s="905"/>
      <c r="P1995" s="36" t="str">
        <f>IF(N1992&gt;0,"xx",IF(N1992&gt;0,"xy",""))</f>
        <v/>
      </c>
      <c r="Q1995" s="317" t="str">
        <f t="shared" si="148"/>
        <v/>
      </c>
      <c r="R1995" s="317" t="str">
        <f t="shared" si="149"/>
        <v/>
      </c>
      <c r="S1995" s="317" t="str">
        <f t="shared" si="150"/>
        <v/>
      </c>
      <c r="T1995" s="317" t="str">
        <f>GLOBAL_DER_FEV_2023!S1995</f>
        <v/>
      </c>
      <c r="W1995" s="582">
        <v>0</v>
      </c>
      <c r="X1995" s="580"/>
      <c r="Y1995" s="583">
        <f>IF(GLOBAL_DER_FEV_2023!W1995=0,0,IF(GLOBAL_DER_FEV_2023!W1995&gt;0,"c","b"))</f>
        <v>0</v>
      </c>
    </row>
    <row r="1996" spans="1:25" ht="15" hidden="1" customHeight="1" x14ac:dyDescent="0.2">
      <c r="A1996" s="317">
        <v>611400</v>
      </c>
      <c r="B1996" s="895" t="s">
        <v>1849</v>
      </c>
      <c r="C1996" s="896" t="s">
        <v>184</v>
      </c>
      <c r="D1996" s="906" t="s">
        <v>2023</v>
      </c>
      <c r="E1996" s="907">
        <f>GLOBAL_DER_FEV_2023!E1996</f>
        <v>0</v>
      </c>
      <c r="F1996" s="908">
        <f>GLOBAL_DER_FEV_2023!F1996</f>
        <v>0</v>
      </c>
      <c r="G1996" s="912">
        <f>GLOBAL_DER_FEV_2023!G1996</f>
        <v>101.90895</v>
      </c>
      <c r="H1996" s="901">
        <f>GLOBAL_DER_FEV_2023!H1996</f>
        <v>1267.57</v>
      </c>
      <c r="I1996" s="901">
        <f>GLOBAL_DER_FEV_2023!I1996</f>
        <v>1369.4789499999999</v>
      </c>
      <c r="J1996" s="902">
        <f>GLOBAL_DER_FEV_2023!J1996</f>
        <v>1644.33</v>
      </c>
      <c r="K1996" s="903" t="s">
        <v>13</v>
      </c>
      <c r="L1996" s="1137"/>
      <c r="M1996" s="1138">
        <f t="shared" si="147"/>
        <v>0</v>
      </c>
      <c r="N1996" s="1176">
        <f t="shared" si="151"/>
        <v>0</v>
      </c>
      <c r="O1996" s="905"/>
      <c r="Q1996" s="317" t="str">
        <f t="shared" si="148"/>
        <v/>
      </c>
      <c r="R1996" s="317" t="str">
        <f t="shared" si="149"/>
        <v/>
      </c>
      <c r="S1996" s="317" t="str">
        <f t="shared" si="150"/>
        <v/>
      </c>
      <c r="T1996" s="317" t="str">
        <f>GLOBAL_DER_FEV_2023!S1996</f>
        <v/>
      </c>
      <c r="W1996" s="582">
        <v>0</v>
      </c>
      <c r="X1996" s="580"/>
      <c r="Y1996" s="583">
        <f>IF(GLOBAL_DER_FEV_2023!W1996=0,0,IF(GLOBAL_DER_FEV_2023!W1996&gt;0,"c","b"))</f>
        <v>0</v>
      </c>
    </row>
    <row r="1997" spans="1:25" ht="15" hidden="1" customHeight="1" x14ac:dyDescent="0.2">
      <c r="A1997" s="317" t="s">
        <v>147</v>
      </c>
      <c r="B1997" s="895" t="s">
        <v>147</v>
      </c>
      <c r="C1997" s="896"/>
      <c r="D1997" s="906" t="s">
        <v>190</v>
      </c>
      <c r="E1997" s="907">
        <f>GLOBAL_DER_FEV_2023!E1997</f>
        <v>308</v>
      </c>
      <c r="F1997" s="908">
        <f>GLOBAL_DER_FEV_2023!F1997</f>
        <v>9.1999999999999998E-3</v>
      </c>
      <c r="G1997" s="909">
        <f>GLOBAL_DER_FEV_2023!G1997</f>
        <v>2.282152</v>
      </c>
      <c r="H1997" s="901">
        <f>GLOBAL_DER_FEV_2023!H1997</f>
        <v>0</v>
      </c>
      <c r="I1997" s="901">
        <f>GLOBAL_DER_FEV_2023!I1997</f>
        <v>0</v>
      </c>
      <c r="J1997" s="902">
        <f>GLOBAL_DER_FEV_2023!J1997</f>
        <v>0</v>
      </c>
      <c r="K1997" s="903"/>
      <c r="L1997" s="1177"/>
      <c r="M1997" s="1138">
        <f t="shared" si="147"/>
        <v>0</v>
      </c>
      <c r="N1997" s="1176">
        <f t="shared" si="151"/>
        <v>0</v>
      </c>
      <c r="O1997" s="905"/>
      <c r="P1997" s="36" t="str">
        <f>IF(N1996&gt;0,"xx",IF(N1996&gt;0,"xy",""))</f>
        <v/>
      </c>
      <c r="Q1997" s="317" t="str">
        <f t="shared" si="148"/>
        <v/>
      </c>
      <c r="R1997" s="317" t="str">
        <f t="shared" si="149"/>
        <v/>
      </c>
      <c r="S1997" s="317" t="str">
        <f t="shared" si="150"/>
        <v/>
      </c>
      <c r="T1997" s="317" t="str">
        <f>GLOBAL_DER_FEV_2023!S1997</f>
        <v/>
      </c>
      <c r="W1997" s="582">
        <v>0</v>
      </c>
      <c r="X1997" s="580"/>
      <c r="Y1997" s="583">
        <f>IF(GLOBAL_DER_FEV_2023!W1997=0,0,IF(GLOBAL_DER_FEV_2023!W1997&gt;0,"c","b"))</f>
        <v>0</v>
      </c>
    </row>
    <row r="1998" spans="1:25" ht="15" hidden="1" customHeight="1" x14ac:dyDescent="0.2">
      <c r="A1998" s="317" t="s">
        <v>147</v>
      </c>
      <c r="B1998" s="895" t="s">
        <v>147</v>
      </c>
      <c r="C1998" s="896"/>
      <c r="D1998" s="906" t="s">
        <v>229</v>
      </c>
      <c r="E1998" s="907">
        <f>GLOBAL_DER_FEV_2023!E1998</f>
        <v>150</v>
      </c>
      <c r="F1998" s="908">
        <f>GLOBAL_DER_FEV_2023!F1998</f>
        <v>4.7899999999999998E-2</v>
      </c>
      <c r="G1998" s="949">
        <f>GLOBAL_DER_FEV_2023!G1998</f>
        <v>7.8163220000000004</v>
      </c>
      <c r="H1998" s="901">
        <f>GLOBAL_DER_FEV_2023!H1998</f>
        <v>0</v>
      </c>
      <c r="I1998" s="901">
        <f>GLOBAL_DER_FEV_2023!I1998</f>
        <v>0</v>
      </c>
      <c r="J1998" s="902">
        <f>GLOBAL_DER_FEV_2023!J1998</f>
        <v>0</v>
      </c>
      <c r="K1998" s="903"/>
      <c r="L1998" s="1177"/>
      <c r="M1998" s="1138">
        <f t="shared" si="147"/>
        <v>0</v>
      </c>
      <c r="N1998" s="1176">
        <f t="shared" si="151"/>
        <v>0</v>
      </c>
      <c r="O1998" s="905"/>
      <c r="P1998" s="36" t="str">
        <f>IF(N1996&gt;0,"xx",IF(N1996&gt;0,"xy",""))</f>
        <v/>
      </c>
      <c r="Q1998" s="317" t="str">
        <f t="shared" si="148"/>
        <v/>
      </c>
      <c r="R1998" s="317" t="str">
        <f t="shared" si="149"/>
        <v/>
      </c>
      <c r="S1998" s="317" t="str">
        <f t="shared" si="150"/>
        <v/>
      </c>
      <c r="T1998" s="317" t="str">
        <f>GLOBAL_DER_FEV_2023!S1998</f>
        <v/>
      </c>
      <c r="W1998" s="582">
        <v>0</v>
      </c>
      <c r="X1998" s="580"/>
      <c r="Y1998" s="583">
        <f>IF(GLOBAL_DER_FEV_2023!W1998=0,0,IF(GLOBAL_DER_FEV_2023!W1998&gt;0,"c","b"))</f>
        <v>0</v>
      </c>
    </row>
    <row r="1999" spans="1:25" ht="15" hidden="1" customHeight="1" x14ac:dyDescent="0.2">
      <c r="A1999" s="317" t="s">
        <v>147</v>
      </c>
      <c r="B1999" s="895" t="s">
        <v>147</v>
      </c>
      <c r="C1999" s="896"/>
      <c r="D1999" s="906" t="s">
        <v>336</v>
      </c>
      <c r="E1999" s="907">
        <f>GLOBAL_DER_FEV_2023!E1999</f>
        <v>40</v>
      </c>
      <c r="F1999" s="908">
        <f>GLOBAL_DER_FEV_2023!F1999</f>
        <v>2.0186999999999999</v>
      </c>
      <c r="G1999" s="949">
        <f>GLOBAL_DER_FEV_2023!G1999</f>
        <v>91.810476000000008</v>
      </c>
      <c r="H1999" s="901">
        <f>GLOBAL_DER_FEV_2023!H1999</f>
        <v>0</v>
      </c>
      <c r="I1999" s="901">
        <f>GLOBAL_DER_FEV_2023!I1999</f>
        <v>0</v>
      </c>
      <c r="J1999" s="902">
        <f>GLOBAL_DER_FEV_2023!J1999</f>
        <v>0</v>
      </c>
      <c r="K1999" s="903"/>
      <c r="L1999" s="1177"/>
      <c r="M1999" s="1138">
        <f t="shared" si="147"/>
        <v>0</v>
      </c>
      <c r="N1999" s="1176">
        <f t="shared" si="151"/>
        <v>0</v>
      </c>
      <c r="O1999" s="905"/>
      <c r="P1999" s="36" t="str">
        <f>IF(N1996&gt;0,"xx",IF(N1996&gt;0,"xy",""))</f>
        <v/>
      </c>
      <c r="Q1999" s="317" t="str">
        <f t="shared" si="148"/>
        <v/>
      </c>
      <c r="R1999" s="317" t="str">
        <f t="shared" si="149"/>
        <v/>
      </c>
      <c r="S1999" s="317" t="str">
        <f t="shared" si="150"/>
        <v/>
      </c>
      <c r="T1999" s="317" t="str">
        <f>GLOBAL_DER_FEV_2023!S1999</f>
        <v/>
      </c>
      <c r="W1999" s="582">
        <v>0</v>
      </c>
      <c r="X1999" s="580"/>
      <c r="Y1999" s="583">
        <f>IF(GLOBAL_DER_FEV_2023!W1999=0,0,IF(GLOBAL_DER_FEV_2023!W1999&gt;0,"c","b"))</f>
        <v>0</v>
      </c>
    </row>
    <row r="2000" spans="1:25" ht="15" hidden="1" customHeight="1" x14ac:dyDescent="0.2">
      <c r="A2000" s="317">
        <v>611600</v>
      </c>
      <c r="B2000" s="895" t="s">
        <v>1852</v>
      </c>
      <c r="C2000" s="896" t="s">
        <v>184</v>
      </c>
      <c r="D2000" s="906" t="s">
        <v>2024</v>
      </c>
      <c r="E2000" s="907">
        <f>GLOBAL_DER_FEV_2023!E2000</f>
        <v>0</v>
      </c>
      <c r="F2000" s="908">
        <f>GLOBAL_DER_FEV_2023!F2000</f>
        <v>0</v>
      </c>
      <c r="G2000" s="912">
        <f>GLOBAL_DER_FEV_2023!G2000</f>
        <v>108.41245400000001</v>
      </c>
      <c r="H2000" s="901">
        <f>GLOBAL_DER_FEV_2023!H2000</f>
        <v>3058.31</v>
      </c>
      <c r="I2000" s="901">
        <f>GLOBAL_DER_FEV_2023!I2000</f>
        <v>3166.7224539999997</v>
      </c>
      <c r="J2000" s="902">
        <f>GLOBAL_DER_FEV_2023!J2000</f>
        <v>3802.28</v>
      </c>
      <c r="K2000" s="903" t="s">
        <v>13</v>
      </c>
      <c r="L2000" s="1137"/>
      <c r="M2000" s="1138">
        <f t="shared" si="147"/>
        <v>0</v>
      </c>
      <c r="N2000" s="1176">
        <f t="shared" si="151"/>
        <v>0</v>
      </c>
      <c r="O2000" s="905"/>
      <c r="Q2000" s="317" t="str">
        <f t="shared" si="148"/>
        <v/>
      </c>
      <c r="R2000" s="317" t="str">
        <f t="shared" si="149"/>
        <v/>
      </c>
      <c r="S2000" s="317" t="str">
        <f t="shared" si="150"/>
        <v/>
      </c>
      <c r="T2000" s="317" t="str">
        <f>GLOBAL_DER_FEV_2023!S2000</f>
        <v/>
      </c>
      <c r="W2000" s="582">
        <v>0</v>
      </c>
      <c r="X2000" s="580"/>
      <c r="Y2000" s="583">
        <f>IF(GLOBAL_DER_FEV_2023!W2000=0,0,IF(GLOBAL_DER_FEV_2023!W2000&gt;0,"c","b"))</f>
        <v>0</v>
      </c>
    </row>
    <row r="2001" spans="1:25" ht="15" hidden="1" customHeight="1" x14ac:dyDescent="0.2">
      <c r="A2001" s="317" t="s">
        <v>147</v>
      </c>
      <c r="B2001" s="895" t="s">
        <v>147</v>
      </c>
      <c r="C2001" s="896"/>
      <c r="D2001" s="906" t="s">
        <v>190</v>
      </c>
      <c r="E2001" s="907">
        <f>GLOBAL_DER_FEV_2023!E2001</f>
        <v>308</v>
      </c>
      <c r="F2001" s="908">
        <f>GLOBAL_DER_FEV_2023!F2001</f>
        <v>9.7000000000000003E-3</v>
      </c>
      <c r="G2001" s="909">
        <f>GLOBAL_DER_FEV_2023!G2001</f>
        <v>2.4061820000000003</v>
      </c>
      <c r="H2001" s="901">
        <f>GLOBAL_DER_FEV_2023!H2001</f>
        <v>0</v>
      </c>
      <c r="I2001" s="901">
        <f>GLOBAL_DER_FEV_2023!I2001</f>
        <v>0</v>
      </c>
      <c r="J2001" s="902">
        <f>GLOBAL_DER_FEV_2023!J2001</f>
        <v>0</v>
      </c>
      <c r="K2001" s="903"/>
      <c r="L2001" s="1177"/>
      <c r="M2001" s="1138">
        <f t="shared" si="147"/>
        <v>0</v>
      </c>
      <c r="N2001" s="1176">
        <f t="shared" si="151"/>
        <v>0</v>
      </c>
      <c r="O2001" s="905"/>
      <c r="P2001" s="36" t="str">
        <f>IF(N2000&gt;0,"xx",IF(N2000&gt;0,"xy",""))</f>
        <v/>
      </c>
      <c r="Q2001" s="317" t="str">
        <f t="shared" si="148"/>
        <v/>
      </c>
      <c r="R2001" s="317" t="str">
        <f t="shared" si="149"/>
        <v/>
      </c>
      <c r="S2001" s="317" t="str">
        <f t="shared" si="150"/>
        <v/>
      </c>
      <c r="T2001" s="317" t="str">
        <f>GLOBAL_DER_FEV_2023!S2001</f>
        <v/>
      </c>
      <c r="W2001" s="582">
        <v>0</v>
      </c>
      <c r="X2001" s="580"/>
      <c r="Y2001" s="583">
        <f>IF(GLOBAL_DER_FEV_2023!W2001=0,0,IF(GLOBAL_DER_FEV_2023!W2001&gt;0,"c","b"))</f>
        <v>0</v>
      </c>
    </row>
    <row r="2002" spans="1:25" ht="15" hidden="1" customHeight="1" x14ac:dyDescent="0.2">
      <c r="A2002" s="317" t="s">
        <v>147</v>
      </c>
      <c r="B2002" s="895" t="s">
        <v>147</v>
      </c>
      <c r="C2002" s="896"/>
      <c r="D2002" s="906" t="s">
        <v>229</v>
      </c>
      <c r="E2002" s="907">
        <f>GLOBAL_DER_FEV_2023!E2002</f>
        <v>150</v>
      </c>
      <c r="F2002" s="908">
        <f>GLOBAL_DER_FEV_2023!F2002</f>
        <v>5.04E-2</v>
      </c>
      <c r="G2002" s="949">
        <f>GLOBAL_DER_FEV_2023!G2002</f>
        <v>8.2242720000000009</v>
      </c>
      <c r="H2002" s="901">
        <f>GLOBAL_DER_FEV_2023!H2002</f>
        <v>0</v>
      </c>
      <c r="I2002" s="901">
        <f>GLOBAL_DER_FEV_2023!I2002</f>
        <v>0</v>
      </c>
      <c r="J2002" s="902">
        <f>GLOBAL_DER_FEV_2023!J2002</f>
        <v>0</v>
      </c>
      <c r="K2002" s="903"/>
      <c r="L2002" s="1177"/>
      <c r="M2002" s="1138">
        <f t="shared" ref="M2002:M2065" si="152">IF(L2002=0,0,ROUND(J2002,2))</f>
        <v>0</v>
      </c>
      <c r="N2002" s="1176">
        <f t="shared" si="151"/>
        <v>0</v>
      </c>
      <c r="O2002" s="905"/>
      <c r="P2002" s="36" t="str">
        <f>IF(N2000&gt;0,"xx",IF(N2000&gt;0,"xy",""))</f>
        <v/>
      </c>
      <c r="Q2002" s="317" t="str">
        <f t="shared" si="148"/>
        <v/>
      </c>
      <c r="R2002" s="317" t="str">
        <f t="shared" si="149"/>
        <v/>
      </c>
      <c r="S2002" s="317" t="str">
        <f t="shared" si="150"/>
        <v/>
      </c>
      <c r="T2002" s="317" t="str">
        <f>GLOBAL_DER_FEV_2023!S2002</f>
        <v/>
      </c>
      <c r="W2002" s="582">
        <v>0</v>
      </c>
      <c r="X2002" s="580"/>
      <c r="Y2002" s="583">
        <f>IF(GLOBAL_DER_FEV_2023!W2002=0,0,IF(GLOBAL_DER_FEV_2023!W2002&gt;0,"c","b"))</f>
        <v>0</v>
      </c>
    </row>
    <row r="2003" spans="1:25" ht="15" hidden="1" customHeight="1" x14ac:dyDescent="0.2">
      <c r="A2003" s="317" t="s">
        <v>147</v>
      </c>
      <c r="B2003" s="895" t="s">
        <v>147</v>
      </c>
      <c r="C2003" s="896"/>
      <c r="D2003" s="906" t="s">
        <v>336</v>
      </c>
      <c r="E2003" s="907">
        <f>GLOBAL_DER_FEV_2023!E2003</f>
        <v>40</v>
      </c>
      <c r="F2003" s="908">
        <f>GLOBAL_DER_FEV_2023!F2003</f>
        <v>2.15</v>
      </c>
      <c r="G2003" s="949">
        <f>GLOBAL_DER_FEV_2023!G2003</f>
        <v>97.782000000000011</v>
      </c>
      <c r="H2003" s="901">
        <f>GLOBAL_DER_FEV_2023!H2003</f>
        <v>0</v>
      </c>
      <c r="I2003" s="901">
        <f>GLOBAL_DER_FEV_2023!I2003</f>
        <v>0</v>
      </c>
      <c r="J2003" s="902">
        <f>GLOBAL_DER_FEV_2023!J2003</f>
        <v>0</v>
      </c>
      <c r="K2003" s="903"/>
      <c r="L2003" s="1177"/>
      <c r="M2003" s="1138">
        <f t="shared" si="152"/>
        <v>0</v>
      </c>
      <c r="N2003" s="1176">
        <f t="shared" si="151"/>
        <v>0</v>
      </c>
      <c r="O2003" s="905"/>
      <c r="P2003" s="36" t="str">
        <f>IF(N2000&gt;0,"xx",IF(N2000&gt;0,"xy",""))</f>
        <v/>
      </c>
      <c r="Q2003" s="317" t="str">
        <f t="shared" si="148"/>
        <v/>
      </c>
      <c r="R2003" s="317" t="str">
        <f t="shared" si="149"/>
        <v/>
      </c>
      <c r="S2003" s="317" t="str">
        <f t="shared" si="150"/>
        <v/>
      </c>
      <c r="T2003" s="317" t="str">
        <f>GLOBAL_DER_FEV_2023!S2003</f>
        <v/>
      </c>
      <c r="W2003" s="582">
        <v>0</v>
      </c>
      <c r="X2003" s="580"/>
      <c r="Y2003" s="583">
        <f>IF(GLOBAL_DER_FEV_2023!W2003=0,0,IF(GLOBAL_DER_FEV_2023!W2003&gt;0,"c","b"))</f>
        <v>0</v>
      </c>
    </row>
    <row r="2004" spans="1:25" ht="15" hidden="1" customHeight="1" x14ac:dyDescent="0.2">
      <c r="A2004" s="317">
        <v>610400</v>
      </c>
      <c r="B2004" s="895" t="s">
        <v>1826</v>
      </c>
      <c r="C2004" s="896" t="s">
        <v>184</v>
      </c>
      <c r="D2004" s="906" t="s">
        <v>2025</v>
      </c>
      <c r="E2004" s="907">
        <f>GLOBAL_DER_FEV_2023!E2004</f>
        <v>0</v>
      </c>
      <c r="F2004" s="908">
        <f>GLOBAL_DER_FEV_2023!F2004</f>
        <v>0</v>
      </c>
      <c r="G2004" s="912">
        <f>GLOBAL_DER_FEV_2023!G2004</f>
        <v>9.2434740000000009</v>
      </c>
      <c r="H2004" s="901">
        <f>GLOBAL_DER_FEV_2023!H2004</f>
        <v>137.47</v>
      </c>
      <c r="I2004" s="901">
        <f>GLOBAL_DER_FEV_2023!I2004</f>
        <v>146.71347399999999</v>
      </c>
      <c r="J2004" s="902">
        <f>GLOBAL_DER_FEV_2023!J2004</f>
        <v>176.16</v>
      </c>
      <c r="K2004" s="903" t="s">
        <v>13</v>
      </c>
      <c r="L2004" s="1137"/>
      <c r="M2004" s="1138">
        <f t="shared" si="152"/>
        <v>0</v>
      </c>
      <c r="N2004" s="1176">
        <f t="shared" si="151"/>
        <v>0</v>
      </c>
      <c r="O2004" s="905"/>
      <c r="Q2004" s="317" t="str">
        <f t="shared" si="148"/>
        <v/>
      </c>
      <c r="R2004" s="317" t="str">
        <f t="shared" si="149"/>
        <v/>
      </c>
      <c r="S2004" s="317" t="str">
        <f t="shared" si="150"/>
        <v/>
      </c>
      <c r="T2004" s="317" t="str">
        <f>GLOBAL_DER_FEV_2023!S2004</f>
        <v/>
      </c>
      <c r="W2004" s="582">
        <v>0</v>
      </c>
      <c r="X2004" s="580"/>
      <c r="Y2004" s="583">
        <f>IF(GLOBAL_DER_FEV_2023!W2004=0,0,IF(GLOBAL_DER_FEV_2023!W2004&gt;0,"c","b"))</f>
        <v>0</v>
      </c>
    </row>
    <row r="2005" spans="1:25" ht="15" hidden="1" customHeight="1" x14ac:dyDescent="0.2">
      <c r="A2005" s="317" t="s">
        <v>147</v>
      </c>
      <c r="B2005" s="895" t="s">
        <v>147</v>
      </c>
      <c r="C2005" s="896"/>
      <c r="D2005" s="906" t="s">
        <v>190</v>
      </c>
      <c r="E2005" s="907">
        <f>GLOBAL_DER_FEV_2023!E2005</f>
        <v>308</v>
      </c>
      <c r="F2005" s="908">
        <f>GLOBAL_DER_FEV_2023!F2005</f>
        <v>1.9E-3</v>
      </c>
      <c r="G2005" s="909">
        <f>GLOBAL_DER_FEV_2023!G2005</f>
        <v>0.47131400000000001</v>
      </c>
      <c r="H2005" s="901">
        <f>GLOBAL_DER_FEV_2023!H2005</f>
        <v>0</v>
      </c>
      <c r="I2005" s="901">
        <f>GLOBAL_DER_FEV_2023!I2005</f>
        <v>0</v>
      </c>
      <c r="J2005" s="902">
        <f>GLOBAL_DER_FEV_2023!J2005</f>
        <v>0</v>
      </c>
      <c r="K2005" s="903"/>
      <c r="L2005" s="1177"/>
      <c r="M2005" s="1138">
        <f t="shared" si="152"/>
        <v>0</v>
      </c>
      <c r="N2005" s="1176">
        <f t="shared" si="151"/>
        <v>0</v>
      </c>
      <c r="O2005" s="905"/>
      <c r="P2005" s="36" t="str">
        <f>IF(N2004&gt;0,"xx",IF(N2004&gt;0,"xy",""))</f>
        <v/>
      </c>
      <c r="Q2005" s="317" t="str">
        <f t="shared" si="148"/>
        <v/>
      </c>
      <c r="R2005" s="317" t="str">
        <f t="shared" si="149"/>
        <v/>
      </c>
      <c r="S2005" s="317" t="str">
        <f t="shared" si="150"/>
        <v/>
      </c>
      <c r="T2005" s="317" t="str">
        <f>GLOBAL_DER_FEV_2023!S2005</f>
        <v/>
      </c>
      <c r="W2005" s="582">
        <v>0</v>
      </c>
      <c r="X2005" s="580"/>
      <c r="Y2005" s="583">
        <f>IF(GLOBAL_DER_FEV_2023!W2005=0,0,IF(GLOBAL_DER_FEV_2023!W2005&gt;0,"c","b"))</f>
        <v>0</v>
      </c>
    </row>
    <row r="2006" spans="1:25" ht="15" hidden="1" customHeight="1" x14ac:dyDescent="0.2">
      <c r="A2006" s="317" t="s">
        <v>147</v>
      </c>
      <c r="B2006" s="895" t="s">
        <v>147</v>
      </c>
      <c r="C2006" s="896"/>
      <c r="D2006" s="906" t="s">
        <v>229</v>
      </c>
      <c r="E2006" s="907">
        <f>GLOBAL_DER_FEV_2023!E2006</f>
        <v>150</v>
      </c>
      <c r="F2006" s="908">
        <f>GLOBAL_DER_FEV_2023!F2006</f>
        <v>0.01</v>
      </c>
      <c r="G2006" s="949">
        <f>GLOBAL_DER_FEV_2023!G2006</f>
        <v>1.6318000000000001</v>
      </c>
      <c r="H2006" s="901">
        <f>GLOBAL_DER_FEV_2023!H2006</f>
        <v>0</v>
      </c>
      <c r="I2006" s="901">
        <f>GLOBAL_DER_FEV_2023!I2006</f>
        <v>0</v>
      </c>
      <c r="J2006" s="902">
        <f>GLOBAL_DER_FEV_2023!J2006</f>
        <v>0</v>
      </c>
      <c r="K2006" s="903"/>
      <c r="L2006" s="1177"/>
      <c r="M2006" s="1138">
        <f t="shared" si="152"/>
        <v>0</v>
      </c>
      <c r="N2006" s="1176">
        <f t="shared" si="151"/>
        <v>0</v>
      </c>
      <c r="O2006" s="905"/>
      <c r="P2006" s="36" t="str">
        <f>IF(N2004&gt;0,"xx",IF(N2004&gt;0,"xy",""))</f>
        <v/>
      </c>
      <c r="Q2006" s="317" t="str">
        <f t="shared" si="148"/>
        <v/>
      </c>
      <c r="R2006" s="317" t="str">
        <f t="shared" si="149"/>
        <v/>
      </c>
      <c r="S2006" s="317" t="str">
        <f t="shared" si="150"/>
        <v/>
      </c>
      <c r="T2006" s="317" t="str">
        <f>GLOBAL_DER_FEV_2023!S2006</f>
        <v/>
      </c>
      <c r="W2006" s="582">
        <v>0</v>
      </c>
      <c r="X2006" s="580"/>
      <c r="Y2006" s="583">
        <f>IF(GLOBAL_DER_FEV_2023!W2006=0,0,IF(GLOBAL_DER_FEV_2023!W2006&gt;0,"c","b"))</f>
        <v>0</v>
      </c>
    </row>
    <row r="2007" spans="1:25" ht="15" hidden="1" customHeight="1" x14ac:dyDescent="0.2">
      <c r="A2007" s="317" t="s">
        <v>147</v>
      </c>
      <c r="B2007" s="895" t="s">
        <v>147</v>
      </c>
      <c r="C2007" s="896"/>
      <c r="D2007" s="906" t="s">
        <v>336</v>
      </c>
      <c r="E2007" s="907">
        <f>GLOBAL_DER_FEV_2023!E2007</f>
        <v>40</v>
      </c>
      <c r="F2007" s="908">
        <f>GLOBAL_DER_FEV_2023!F2007</f>
        <v>0.157</v>
      </c>
      <c r="G2007" s="949">
        <f>GLOBAL_DER_FEV_2023!G2007</f>
        <v>7.1403600000000003</v>
      </c>
      <c r="H2007" s="901">
        <f>GLOBAL_DER_FEV_2023!H2007</f>
        <v>0</v>
      </c>
      <c r="I2007" s="901">
        <f>GLOBAL_DER_FEV_2023!I2007</f>
        <v>0</v>
      </c>
      <c r="J2007" s="902">
        <f>GLOBAL_DER_FEV_2023!J2007</f>
        <v>0</v>
      </c>
      <c r="K2007" s="903"/>
      <c r="L2007" s="1177"/>
      <c r="M2007" s="1138">
        <f t="shared" si="152"/>
        <v>0</v>
      </c>
      <c r="N2007" s="1176">
        <f t="shared" si="151"/>
        <v>0</v>
      </c>
      <c r="O2007" s="905"/>
      <c r="P2007" s="36" t="str">
        <f>IF(N2004&gt;0,"xx",IF(N2004&gt;0,"xy",""))</f>
        <v/>
      </c>
      <c r="Q2007" s="317" t="str">
        <f t="shared" si="148"/>
        <v/>
      </c>
      <c r="R2007" s="317" t="str">
        <f t="shared" si="149"/>
        <v/>
      </c>
      <c r="S2007" s="317" t="str">
        <f t="shared" si="150"/>
        <v/>
      </c>
      <c r="T2007" s="317" t="str">
        <f>GLOBAL_DER_FEV_2023!S2007</f>
        <v/>
      </c>
      <c r="W2007" s="582">
        <v>0</v>
      </c>
      <c r="X2007" s="580"/>
      <c r="Y2007" s="583">
        <f>IF(GLOBAL_DER_FEV_2023!W2007=0,0,IF(GLOBAL_DER_FEV_2023!W2007&gt;0,"c","b"))</f>
        <v>0</v>
      </c>
    </row>
    <row r="2008" spans="1:25" ht="15" hidden="1" customHeight="1" x14ac:dyDescent="0.2">
      <c r="A2008" s="317">
        <v>610600</v>
      </c>
      <c r="B2008" s="895" t="s">
        <v>1831</v>
      </c>
      <c r="C2008" s="896" t="s">
        <v>184</v>
      </c>
      <c r="D2008" s="906" t="s">
        <v>2026</v>
      </c>
      <c r="E2008" s="907">
        <f>GLOBAL_DER_FEV_2023!E2008</f>
        <v>0</v>
      </c>
      <c r="F2008" s="908">
        <f>GLOBAL_DER_FEV_2023!F2008</f>
        <v>0</v>
      </c>
      <c r="G2008" s="912">
        <f>GLOBAL_DER_FEV_2023!G2008</f>
        <v>13.849744000000001</v>
      </c>
      <c r="H2008" s="901">
        <f>GLOBAL_DER_FEV_2023!H2008</f>
        <v>313.26</v>
      </c>
      <c r="I2008" s="901">
        <f>GLOBAL_DER_FEV_2023!I2008</f>
        <v>327.10974399999998</v>
      </c>
      <c r="J2008" s="902">
        <f>GLOBAL_DER_FEV_2023!J2008</f>
        <v>392.76</v>
      </c>
      <c r="K2008" s="903" t="s">
        <v>13</v>
      </c>
      <c r="L2008" s="1137"/>
      <c r="M2008" s="1138">
        <f t="shared" si="152"/>
        <v>0</v>
      </c>
      <c r="N2008" s="1176">
        <f t="shared" si="151"/>
        <v>0</v>
      </c>
      <c r="O2008" s="905"/>
      <c r="Q2008" s="317" t="str">
        <f t="shared" si="148"/>
        <v/>
      </c>
      <c r="R2008" s="317" t="str">
        <f t="shared" si="149"/>
        <v/>
      </c>
      <c r="S2008" s="317" t="str">
        <f t="shared" si="150"/>
        <v/>
      </c>
      <c r="T2008" s="317" t="str">
        <f>GLOBAL_DER_FEV_2023!S2008</f>
        <v/>
      </c>
      <c r="W2008" s="582">
        <v>0</v>
      </c>
      <c r="X2008" s="580"/>
      <c r="Y2008" s="583">
        <f>IF(GLOBAL_DER_FEV_2023!W2008=0,0,IF(GLOBAL_DER_FEV_2023!W2008&gt;0,"c","b"))</f>
        <v>0</v>
      </c>
    </row>
    <row r="2009" spans="1:25" ht="15" hidden="1" customHeight="1" x14ac:dyDescent="0.2">
      <c r="A2009" s="317" t="s">
        <v>147</v>
      </c>
      <c r="B2009" s="895" t="s">
        <v>147</v>
      </c>
      <c r="C2009" s="896"/>
      <c r="D2009" s="906" t="s">
        <v>190</v>
      </c>
      <c r="E2009" s="907">
        <f>GLOBAL_DER_FEV_2023!E2009</f>
        <v>308</v>
      </c>
      <c r="F2009" s="908">
        <f>GLOBAL_DER_FEV_2023!F2009</f>
        <v>2.3E-3</v>
      </c>
      <c r="G2009" s="909">
        <f>GLOBAL_DER_FEV_2023!G2009</f>
        <v>0.57053799999999999</v>
      </c>
      <c r="H2009" s="901">
        <f>GLOBAL_DER_FEV_2023!H2009</f>
        <v>0</v>
      </c>
      <c r="I2009" s="901">
        <f>GLOBAL_DER_FEV_2023!I2009</f>
        <v>0</v>
      </c>
      <c r="J2009" s="902">
        <f>GLOBAL_DER_FEV_2023!J2009</f>
        <v>0</v>
      </c>
      <c r="K2009" s="903"/>
      <c r="L2009" s="1177"/>
      <c r="M2009" s="1138">
        <f t="shared" si="152"/>
        <v>0</v>
      </c>
      <c r="N2009" s="1176">
        <f t="shared" si="151"/>
        <v>0</v>
      </c>
      <c r="O2009" s="905"/>
      <c r="P2009" s="36" t="str">
        <f>IF(N2008&gt;0,"xx",IF(N2008&gt;0,"xy",""))</f>
        <v/>
      </c>
      <c r="Q2009" s="317" t="str">
        <f t="shared" si="148"/>
        <v/>
      </c>
      <c r="R2009" s="317" t="str">
        <f t="shared" si="149"/>
        <v/>
      </c>
      <c r="S2009" s="317" t="str">
        <f t="shared" si="150"/>
        <v/>
      </c>
      <c r="T2009" s="317" t="str">
        <f>GLOBAL_DER_FEV_2023!S2009</f>
        <v/>
      </c>
      <c r="W2009" s="582">
        <v>0</v>
      </c>
      <c r="X2009" s="580"/>
      <c r="Y2009" s="583">
        <f>IF(GLOBAL_DER_FEV_2023!W2009=0,0,IF(GLOBAL_DER_FEV_2023!W2009&gt;0,"c","b"))</f>
        <v>0</v>
      </c>
    </row>
    <row r="2010" spans="1:25" ht="15" hidden="1" customHeight="1" x14ac:dyDescent="0.2">
      <c r="A2010" s="317" t="s">
        <v>147</v>
      </c>
      <c r="B2010" s="895" t="s">
        <v>147</v>
      </c>
      <c r="C2010" s="896"/>
      <c r="D2010" s="906" t="s">
        <v>229</v>
      </c>
      <c r="E2010" s="907">
        <f>GLOBAL_DER_FEV_2023!E2010</f>
        <v>150</v>
      </c>
      <c r="F2010" s="908">
        <f>GLOBAL_DER_FEV_2023!F2010</f>
        <v>1.17E-2</v>
      </c>
      <c r="G2010" s="949">
        <f>GLOBAL_DER_FEV_2023!G2010</f>
        <v>1.9092060000000002</v>
      </c>
      <c r="H2010" s="901">
        <f>GLOBAL_DER_FEV_2023!H2010</f>
        <v>0</v>
      </c>
      <c r="I2010" s="901">
        <f>GLOBAL_DER_FEV_2023!I2010</f>
        <v>0</v>
      </c>
      <c r="J2010" s="902">
        <f>GLOBAL_DER_FEV_2023!J2010</f>
        <v>0</v>
      </c>
      <c r="K2010" s="903"/>
      <c r="L2010" s="1177"/>
      <c r="M2010" s="1138">
        <f t="shared" si="152"/>
        <v>0</v>
      </c>
      <c r="N2010" s="1176">
        <f t="shared" si="151"/>
        <v>0</v>
      </c>
      <c r="O2010" s="905"/>
      <c r="P2010" s="36" t="str">
        <f>IF(N2008&gt;0,"xx",IF(N2008&gt;0,"xy",""))</f>
        <v/>
      </c>
      <c r="Q2010" s="317" t="str">
        <f t="shared" si="148"/>
        <v/>
      </c>
      <c r="R2010" s="317" t="str">
        <f t="shared" si="149"/>
        <v/>
      </c>
      <c r="S2010" s="317" t="str">
        <f t="shared" si="150"/>
        <v/>
      </c>
      <c r="T2010" s="317" t="str">
        <f>GLOBAL_DER_FEV_2023!S2010</f>
        <v/>
      </c>
      <c r="W2010" s="582">
        <v>0</v>
      </c>
      <c r="X2010" s="580"/>
      <c r="Y2010" s="583">
        <f>IF(GLOBAL_DER_FEV_2023!W2010=0,0,IF(GLOBAL_DER_FEV_2023!W2010&gt;0,"c","b"))</f>
        <v>0</v>
      </c>
    </row>
    <row r="2011" spans="1:25" ht="15" hidden="1" customHeight="1" x14ac:dyDescent="0.2">
      <c r="A2011" s="317" t="s">
        <v>147</v>
      </c>
      <c r="B2011" s="895" t="s">
        <v>147</v>
      </c>
      <c r="C2011" s="896"/>
      <c r="D2011" s="906" t="s">
        <v>336</v>
      </c>
      <c r="E2011" s="907">
        <f>GLOBAL_DER_FEV_2023!E2011</f>
        <v>40</v>
      </c>
      <c r="F2011" s="908">
        <f>GLOBAL_DER_FEV_2023!F2011</f>
        <v>0.25</v>
      </c>
      <c r="G2011" s="949">
        <f>GLOBAL_DER_FEV_2023!G2011</f>
        <v>11.370000000000001</v>
      </c>
      <c r="H2011" s="901">
        <f>GLOBAL_DER_FEV_2023!H2011</f>
        <v>0</v>
      </c>
      <c r="I2011" s="901">
        <f>GLOBAL_DER_FEV_2023!I2011</f>
        <v>0</v>
      </c>
      <c r="J2011" s="902">
        <f>GLOBAL_DER_FEV_2023!J2011</f>
        <v>0</v>
      </c>
      <c r="K2011" s="903"/>
      <c r="L2011" s="1177"/>
      <c r="M2011" s="1138">
        <f t="shared" si="152"/>
        <v>0</v>
      </c>
      <c r="N2011" s="1176">
        <f t="shared" si="151"/>
        <v>0</v>
      </c>
      <c r="O2011" s="905"/>
      <c r="P2011" s="36" t="str">
        <f>IF(N2008&gt;0,"xx",IF(N2008&gt;0,"xy",""))</f>
        <v/>
      </c>
      <c r="Q2011" s="317" t="str">
        <f t="shared" ref="Q2011:Q2074" si="153">IF(P2011="X","x",IF(P2011="xx","x",IF(P2011="xy","x",IF(P2011="y","x",IF(OR(N2011&gt;0,N2011&gt;0),"x","")))))</f>
        <v/>
      </c>
      <c r="R2011" s="317" t="str">
        <f t="shared" si="149"/>
        <v/>
      </c>
      <c r="S2011" s="317" t="str">
        <f t="shared" si="150"/>
        <v/>
      </c>
      <c r="T2011" s="317" t="str">
        <f>GLOBAL_DER_FEV_2023!S2011</f>
        <v/>
      </c>
      <c r="W2011" s="582">
        <v>0</v>
      </c>
      <c r="X2011" s="580"/>
      <c r="Y2011" s="583">
        <f>IF(GLOBAL_DER_FEV_2023!W2011=0,0,IF(GLOBAL_DER_FEV_2023!W2011&gt;0,"c","b"))</f>
        <v>0</v>
      </c>
    </row>
    <row r="2012" spans="1:25" ht="15" hidden="1" customHeight="1" x14ac:dyDescent="0.2">
      <c r="A2012" s="317">
        <v>610600</v>
      </c>
      <c r="B2012" s="895" t="s">
        <v>1832</v>
      </c>
      <c r="C2012" s="896" t="s">
        <v>184</v>
      </c>
      <c r="D2012" s="906" t="s">
        <v>2027</v>
      </c>
      <c r="E2012" s="907">
        <f>GLOBAL_DER_FEV_2023!E2012</f>
        <v>0</v>
      </c>
      <c r="F2012" s="908">
        <f>GLOBAL_DER_FEV_2023!F2012</f>
        <v>0</v>
      </c>
      <c r="G2012" s="912">
        <f>GLOBAL_DER_FEV_2023!G2012</f>
        <v>20.568768000000002</v>
      </c>
      <c r="H2012" s="901">
        <f>GLOBAL_DER_FEV_2023!H2012</f>
        <v>313.26</v>
      </c>
      <c r="I2012" s="901">
        <f>GLOBAL_DER_FEV_2023!I2012</f>
        <v>333.82876799999997</v>
      </c>
      <c r="J2012" s="902">
        <f>GLOBAL_DER_FEV_2023!J2012</f>
        <v>400.83</v>
      </c>
      <c r="K2012" s="903" t="s">
        <v>13</v>
      </c>
      <c r="L2012" s="1137"/>
      <c r="M2012" s="1138">
        <f t="shared" si="152"/>
        <v>0</v>
      </c>
      <c r="N2012" s="1176">
        <f t="shared" si="151"/>
        <v>0</v>
      </c>
      <c r="O2012" s="905"/>
      <c r="Q2012" s="317" t="str">
        <f t="shared" si="153"/>
        <v/>
      </c>
      <c r="R2012" s="317" t="str">
        <f t="shared" si="149"/>
        <v/>
      </c>
      <c r="S2012" s="317" t="str">
        <f t="shared" si="150"/>
        <v/>
      </c>
      <c r="T2012" s="317" t="str">
        <f>GLOBAL_DER_FEV_2023!S2012</f>
        <v/>
      </c>
      <c r="W2012" s="582">
        <v>0</v>
      </c>
      <c r="X2012" s="580"/>
      <c r="Y2012" s="583">
        <f>IF(GLOBAL_DER_FEV_2023!W2012=0,0,IF(GLOBAL_DER_FEV_2023!W2012&gt;0,"c","b"))</f>
        <v>0</v>
      </c>
    </row>
    <row r="2013" spans="1:25" ht="15" hidden="1" customHeight="1" x14ac:dyDescent="0.2">
      <c r="A2013" s="317" t="s">
        <v>147</v>
      </c>
      <c r="B2013" s="895" t="s">
        <v>147</v>
      </c>
      <c r="C2013" s="896"/>
      <c r="D2013" s="906" t="s">
        <v>190</v>
      </c>
      <c r="E2013" s="907">
        <f>GLOBAL_DER_FEV_2023!E2013</f>
        <v>308</v>
      </c>
      <c r="F2013" s="908">
        <f>GLOBAL_DER_FEV_2023!F2013</f>
        <v>2.5999999999999999E-3</v>
      </c>
      <c r="G2013" s="909">
        <f>GLOBAL_DER_FEV_2023!G2013</f>
        <v>0.64495599999999997</v>
      </c>
      <c r="H2013" s="901">
        <f>GLOBAL_DER_FEV_2023!H2013</f>
        <v>0</v>
      </c>
      <c r="I2013" s="901">
        <f>GLOBAL_DER_FEV_2023!I2013</f>
        <v>0</v>
      </c>
      <c r="J2013" s="902">
        <f>GLOBAL_DER_FEV_2023!J2013</f>
        <v>0</v>
      </c>
      <c r="K2013" s="903"/>
      <c r="L2013" s="1177"/>
      <c r="M2013" s="1138">
        <f t="shared" si="152"/>
        <v>0</v>
      </c>
      <c r="N2013" s="1176">
        <f t="shared" si="151"/>
        <v>0</v>
      </c>
      <c r="O2013" s="905"/>
      <c r="P2013" s="36" t="str">
        <f>IF(N2012&gt;0,"xx",IF(N2012&gt;0,"xy",""))</f>
        <v/>
      </c>
      <c r="Q2013" s="317" t="str">
        <f t="shared" si="153"/>
        <v/>
      </c>
      <c r="R2013" s="317" t="str">
        <f t="shared" ref="R2013:R2076" si="154">IF(P2013="X","x",IF(P2013="y","x",IF(P2013="xx","x",IF(N2013&gt;0,"x",""))))</f>
        <v/>
      </c>
      <c r="S2013" s="317" t="str">
        <f t="shared" ref="S2013:S2076" si="155">IF(P2013="X","x",IF(N2013&gt;0,"x",""))</f>
        <v/>
      </c>
      <c r="T2013" s="317" t="str">
        <f>GLOBAL_DER_FEV_2023!S2013</f>
        <v/>
      </c>
      <c r="W2013" s="582">
        <v>0</v>
      </c>
      <c r="X2013" s="580"/>
      <c r="Y2013" s="583">
        <f>IF(GLOBAL_DER_FEV_2023!W2013=0,0,IF(GLOBAL_DER_FEV_2023!W2013&gt;0,"c","b"))</f>
        <v>0</v>
      </c>
    </row>
    <row r="2014" spans="1:25" ht="15" hidden="1" customHeight="1" x14ac:dyDescent="0.2">
      <c r="A2014" s="317" t="s">
        <v>147</v>
      </c>
      <c r="B2014" s="895" t="s">
        <v>147</v>
      </c>
      <c r="C2014" s="896"/>
      <c r="D2014" s="906" t="s">
        <v>229</v>
      </c>
      <c r="E2014" s="907">
        <f>GLOBAL_DER_FEV_2023!E2014</f>
        <v>150</v>
      </c>
      <c r="F2014" s="908">
        <f>GLOBAL_DER_FEV_2023!F2014</f>
        <v>1.34E-2</v>
      </c>
      <c r="G2014" s="949">
        <f>GLOBAL_DER_FEV_2023!G2014</f>
        <v>2.1866120000000002</v>
      </c>
      <c r="H2014" s="901">
        <f>GLOBAL_DER_FEV_2023!H2014</f>
        <v>0</v>
      </c>
      <c r="I2014" s="901">
        <f>GLOBAL_DER_FEV_2023!I2014</f>
        <v>0</v>
      </c>
      <c r="J2014" s="902">
        <f>GLOBAL_DER_FEV_2023!J2014</f>
        <v>0</v>
      </c>
      <c r="K2014" s="903"/>
      <c r="L2014" s="1177"/>
      <c r="M2014" s="1138">
        <f t="shared" si="152"/>
        <v>0</v>
      </c>
      <c r="N2014" s="1176">
        <f t="shared" si="151"/>
        <v>0</v>
      </c>
      <c r="O2014" s="905"/>
      <c r="P2014" s="36" t="str">
        <f>IF(N2012&gt;0,"xx",IF(N2012&gt;0,"xy",""))</f>
        <v/>
      </c>
      <c r="Q2014" s="317" t="str">
        <f t="shared" si="153"/>
        <v/>
      </c>
      <c r="R2014" s="317" t="str">
        <f t="shared" si="154"/>
        <v/>
      </c>
      <c r="S2014" s="317" t="str">
        <f t="shared" si="155"/>
        <v/>
      </c>
      <c r="T2014" s="317" t="str">
        <f>GLOBAL_DER_FEV_2023!S2014</f>
        <v/>
      </c>
      <c r="W2014" s="582">
        <v>0</v>
      </c>
      <c r="X2014" s="580"/>
      <c r="Y2014" s="583">
        <f>IF(GLOBAL_DER_FEV_2023!W2014=0,0,IF(GLOBAL_DER_FEV_2023!W2014&gt;0,"c","b"))</f>
        <v>0</v>
      </c>
    </row>
    <row r="2015" spans="1:25" ht="15" hidden="1" customHeight="1" x14ac:dyDescent="0.2">
      <c r="A2015" s="317" t="s">
        <v>147</v>
      </c>
      <c r="B2015" s="895" t="s">
        <v>147</v>
      </c>
      <c r="C2015" s="896"/>
      <c r="D2015" s="906" t="s">
        <v>336</v>
      </c>
      <c r="E2015" s="907">
        <f>GLOBAL_DER_FEV_2023!E2015</f>
        <v>40</v>
      </c>
      <c r="F2015" s="908">
        <f>GLOBAL_DER_FEV_2023!F2015</f>
        <v>0.39</v>
      </c>
      <c r="G2015" s="949">
        <f>GLOBAL_DER_FEV_2023!G2015</f>
        <v>17.737200000000001</v>
      </c>
      <c r="H2015" s="901">
        <f>GLOBAL_DER_FEV_2023!H2015</f>
        <v>0</v>
      </c>
      <c r="I2015" s="901">
        <f>GLOBAL_DER_FEV_2023!I2015</f>
        <v>0</v>
      </c>
      <c r="J2015" s="902">
        <f>GLOBAL_DER_FEV_2023!J2015</f>
        <v>0</v>
      </c>
      <c r="K2015" s="903"/>
      <c r="L2015" s="1177"/>
      <c r="M2015" s="1138">
        <f t="shared" si="152"/>
        <v>0</v>
      </c>
      <c r="N2015" s="1176">
        <f t="shared" si="151"/>
        <v>0</v>
      </c>
      <c r="O2015" s="905"/>
      <c r="P2015" s="36" t="str">
        <f>IF(N2012&gt;0,"xx",IF(N2012&gt;0,"xy",""))</f>
        <v/>
      </c>
      <c r="Q2015" s="317" t="str">
        <f t="shared" si="153"/>
        <v/>
      </c>
      <c r="R2015" s="317" t="str">
        <f t="shared" si="154"/>
        <v/>
      </c>
      <c r="S2015" s="317" t="str">
        <f t="shared" si="155"/>
        <v/>
      </c>
      <c r="T2015" s="317" t="str">
        <f>GLOBAL_DER_FEV_2023!S2015</f>
        <v/>
      </c>
      <c r="W2015" s="582">
        <v>0</v>
      </c>
      <c r="X2015" s="580"/>
      <c r="Y2015" s="583">
        <f>IF(GLOBAL_DER_FEV_2023!W2015=0,0,IF(GLOBAL_DER_FEV_2023!W2015&gt;0,"c","b"))</f>
        <v>0</v>
      </c>
    </row>
    <row r="2016" spans="1:25" ht="15" hidden="1" customHeight="1" x14ac:dyDescent="0.2">
      <c r="A2016" s="317">
        <v>610800</v>
      </c>
      <c r="B2016" s="895" t="s">
        <v>1836</v>
      </c>
      <c r="C2016" s="896" t="s">
        <v>184</v>
      </c>
      <c r="D2016" s="906" t="s">
        <v>2028</v>
      </c>
      <c r="E2016" s="907">
        <f>GLOBAL_DER_FEV_2023!E2016</f>
        <v>0</v>
      </c>
      <c r="F2016" s="908">
        <f>GLOBAL_DER_FEV_2023!F2016</f>
        <v>0</v>
      </c>
      <c r="G2016" s="912">
        <f>GLOBAL_DER_FEV_2023!G2016</f>
        <v>27.287792000000003</v>
      </c>
      <c r="H2016" s="901">
        <f>GLOBAL_DER_FEV_2023!H2016</f>
        <v>514.41999999999996</v>
      </c>
      <c r="I2016" s="901">
        <f>GLOBAL_DER_FEV_2023!I2016</f>
        <v>541.70779199999993</v>
      </c>
      <c r="J2016" s="902">
        <f>GLOBAL_DER_FEV_2023!J2016</f>
        <v>650.42999999999995</v>
      </c>
      <c r="K2016" s="903" t="s">
        <v>13</v>
      </c>
      <c r="L2016" s="1137"/>
      <c r="M2016" s="1138">
        <f t="shared" si="152"/>
        <v>0</v>
      </c>
      <c r="N2016" s="1176">
        <f t="shared" si="151"/>
        <v>0</v>
      </c>
      <c r="O2016" s="905"/>
      <c r="Q2016" s="317" t="str">
        <f t="shared" si="153"/>
        <v/>
      </c>
      <c r="R2016" s="317" t="str">
        <f t="shared" si="154"/>
        <v/>
      </c>
      <c r="S2016" s="317" t="str">
        <f t="shared" si="155"/>
        <v/>
      </c>
      <c r="T2016" s="317" t="str">
        <f>GLOBAL_DER_FEV_2023!S2016</f>
        <v/>
      </c>
      <c r="W2016" s="582">
        <v>0</v>
      </c>
      <c r="X2016" s="580"/>
      <c r="Y2016" s="583">
        <f>IF(GLOBAL_DER_FEV_2023!W2016=0,0,IF(GLOBAL_DER_FEV_2023!W2016&gt;0,"c","b"))</f>
        <v>0</v>
      </c>
    </row>
    <row r="2017" spans="1:25" ht="15" hidden="1" customHeight="1" x14ac:dyDescent="0.2">
      <c r="A2017" s="317" t="s">
        <v>147</v>
      </c>
      <c r="B2017" s="895" t="s">
        <v>147</v>
      </c>
      <c r="C2017" s="896"/>
      <c r="D2017" s="906" t="s">
        <v>190</v>
      </c>
      <c r="E2017" s="907">
        <f>GLOBAL_DER_FEV_2023!E2017</f>
        <v>308</v>
      </c>
      <c r="F2017" s="908">
        <f>GLOBAL_DER_FEV_2023!F2017</f>
        <v>2.8999999999999998E-3</v>
      </c>
      <c r="G2017" s="909">
        <f>GLOBAL_DER_FEV_2023!G2017</f>
        <v>0.71937399999999996</v>
      </c>
      <c r="H2017" s="901">
        <f>GLOBAL_DER_FEV_2023!H2017</f>
        <v>0</v>
      </c>
      <c r="I2017" s="901">
        <f>GLOBAL_DER_FEV_2023!I2017</f>
        <v>0</v>
      </c>
      <c r="J2017" s="902">
        <f>GLOBAL_DER_FEV_2023!J2017</f>
        <v>0</v>
      </c>
      <c r="K2017" s="903"/>
      <c r="L2017" s="1177"/>
      <c r="M2017" s="1138">
        <f t="shared" si="152"/>
        <v>0</v>
      </c>
      <c r="N2017" s="1176">
        <f t="shared" ref="N2017:N2080" si="156">IF(ISBLANK(L2017),0,IF(W2017=0,ROUND(L2017*M2017,2),IF(W2017="b",ROUNDDOWN(L2017*M2017,2),ROUNDUP(L2017*M2017,2))))</f>
        <v>0</v>
      </c>
      <c r="O2017" s="905"/>
      <c r="P2017" s="36" t="str">
        <f>IF(N2016&gt;0,"xx",IF(N2016&gt;0,"xy",""))</f>
        <v/>
      </c>
      <c r="Q2017" s="317" t="str">
        <f t="shared" si="153"/>
        <v/>
      </c>
      <c r="R2017" s="317" t="str">
        <f t="shared" si="154"/>
        <v/>
      </c>
      <c r="S2017" s="317" t="str">
        <f t="shared" si="155"/>
        <v/>
      </c>
      <c r="T2017" s="317" t="str">
        <f>GLOBAL_DER_FEV_2023!S2017</f>
        <v/>
      </c>
      <c r="W2017" s="582">
        <v>0</v>
      </c>
      <c r="X2017" s="580"/>
      <c r="Y2017" s="583">
        <f>IF(GLOBAL_DER_FEV_2023!W2017=0,0,IF(GLOBAL_DER_FEV_2023!W2017&gt;0,"c","b"))</f>
        <v>0</v>
      </c>
    </row>
    <row r="2018" spans="1:25" ht="15" hidden="1" customHeight="1" x14ac:dyDescent="0.2">
      <c r="A2018" s="317" t="s">
        <v>147</v>
      </c>
      <c r="B2018" s="895" t="s">
        <v>147</v>
      </c>
      <c r="C2018" s="896"/>
      <c r="D2018" s="906" t="s">
        <v>229</v>
      </c>
      <c r="E2018" s="907">
        <f>GLOBAL_DER_FEV_2023!E2018</f>
        <v>150</v>
      </c>
      <c r="F2018" s="908">
        <f>GLOBAL_DER_FEV_2023!F2018</f>
        <v>1.5100000000000001E-2</v>
      </c>
      <c r="G2018" s="949">
        <f>GLOBAL_DER_FEV_2023!G2018</f>
        <v>2.4640180000000003</v>
      </c>
      <c r="H2018" s="901">
        <f>GLOBAL_DER_FEV_2023!H2018</f>
        <v>0</v>
      </c>
      <c r="I2018" s="901">
        <f>GLOBAL_DER_FEV_2023!I2018</f>
        <v>0</v>
      </c>
      <c r="J2018" s="902">
        <f>GLOBAL_DER_FEV_2023!J2018</f>
        <v>0</v>
      </c>
      <c r="K2018" s="903"/>
      <c r="L2018" s="1177"/>
      <c r="M2018" s="1138">
        <f t="shared" si="152"/>
        <v>0</v>
      </c>
      <c r="N2018" s="1176">
        <f t="shared" si="156"/>
        <v>0</v>
      </c>
      <c r="O2018" s="905"/>
      <c r="P2018" s="36" t="str">
        <f>IF(N2016&gt;0,"xx",IF(N2016&gt;0,"xy",""))</f>
        <v/>
      </c>
      <c r="Q2018" s="317" t="str">
        <f t="shared" si="153"/>
        <v/>
      </c>
      <c r="R2018" s="317" t="str">
        <f t="shared" si="154"/>
        <v/>
      </c>
      <c r="S2018" s="317" t="str">
        <f t="shared" si="155"/>
        <v/>
      </c>
      <c r="T2018" s="317" t="str">
        <f>GLOBAL_DER_FEV_2023!S2018</f>
        <v/>
      </c>
      <c r="W2018" s="582">
        <v>0</v>
      </c>
      <c r="X2018" s="580"/>
      <c r="Y2018" s="583">
        <f>IF(GLOBAL_DER_FEV_2023!W2018=0,0,IF(GLOBAL_DER_FEV_2023!W2018&gt;0,"c","b"))</f>
        <v>0</v>
      </c>
    </row>
    <row r="2019" spans="1:25" ht="15" hidden="1" customHeight="1" x14ac:dyDescent="0.2">
      <c r="A2019" s="317" t="s">
        <v>147</v>
      </c>
      <c r="B2019" s="895" t="s">
        <v>147</v>
      </c>
      <c r="C2019" s="896"/>
      <c r="D2019" s="906" t="s">
        <v>336</v>
      </c>
      <c r="E2019" s="907">
        <f>GLOBAL_DER_FEV_2023!E2019</f>
        <v>40</v>
      </c>
      <c r="F2019" s="908">
        <f>GLOBAL_DER_FEV_2023!F2019</f>
        <v>0.53</v>
      </c>
      <c r="G2019" s="949">
        <f>GLOBAL_DER_FEV_2023!G2019</f>
        <v>24.104400000000002</v>
      </c>
      <c r="H2019" s="901">
        <f>GLOBAL_DER_FEV_2023!H2019</f>
        <v>0</v>
      </c>
      <c r="I2019" s="901">
        <f>GLOBAL_DER_FEV_2023!I2019</f>
        <v>0</v>
      </c>
      <c r="J2019" s="902">
        <f>GLOBAL_DER_FEV_2023!J2019</f>
        <v>0</v>
      </c>
      <c r="K2019" s="903"/>
      <c r="L2019" s="1177"/>
      <c r="M2019" s="1138">
        <f t="shared" si="152"/>
        <v>0</v>
      </c>
      <c r="N2019" s="1176">
        <f t="shared" si="156"/>
        <v>0</v>
      </c>
      <c r="O2019" s="905"/>
      <c r="P2019" s="36" t="str">
        <f>IF(N2016&gt;0,"xx",IF(N2016&gt;0,"xy",""))</f>
        <v/>
      </c>
      <c r="Q2019" s="317" t="str">
        <f t="shared" si="153"/>
        <v/>
      </c>
      <c r="R2019" s="317" t="str">
        <f t="shared" si="154"/>
        <v/>
      </c>
      <c r="S2019" s="317" t="str">
        <f t="shared" si="155"/>
        <v/>
      </c>
      <c r="T2019" s="317" t="str">
        <f>GLOBAL_DER_FEV_2023!S2019</f>
        <v/>
      </c>
      <c r="W2019" s="582">
        <v>0</v>
      </c>
      <c r="X2019" s="580"/>
      <c r="Y2019" s="583">
        <f>IF(GLOBAL_DER_FEV_2023!W2019=0,0,IF(GLOBAL_DER_FEV_2023!W2019&gt;0,"c","b"))</f>
        <v>0</v>
      </c>
    </row>
    <row r="2020" spans="1:25" ht="15" hidden="1" customHeight="1" x14ac:dyDescent="0.2">
      <c r="A2020" s="317">
        <v>610800</v>
      </c>
      <c r="B2020" s="895" t="s">
        <v>1837</v>
      </c>
      <c r="C2020" s="896" t="s">
        <v>184</v>
      </c>
      <c r="D2020" s="906" t="s">
        <v>2029</v>
      </c>
      <c r="E2020" s="907">
        <f>GLOBAL_DER_FEV_2023!E2020</f>
        <v>0</v>
      </c>
      <c r="F2020" s="908">
        <f>GLOBAL_DER_FEV_2023!F2020</f>
        <v>0</v>
      </c>
      <c r="G2020" s="912">
        <f>GLOBAL_DER_FEV_2023!G2020</f>
        <v>34.006816000000008</v>
      </c>
      <c r="H2020" s="901">
        <f>GLOBAL_DER_FEV_2023!H2020</f>
        <v>514.41999999999996</v>
      </c>
      <c r="I2020" s="901">
        <f>GLOBAL_DER_FEV_2023!I2020</f>
        <v>548.42681599999992</v>
      </c>
      <c r="J2020" s="902">
        <f>GLOBAL_DER_FEV_2023!J2020</f>
        <v>658.5</v>
      </c>
      <c r="K2020" s="903" t="s">
        <v>13</v>
      </c>
      <c r="L2020" s="1137"/>
      <c r="M2020" s="1138">
        <f t="shared" si="152"/>
        <v>0</v>
      </c>
      <c r="N2020" s="1176">
        <f t="shared" si="156"/>
        <v>0</v>
      </c>
      <c r="O2020" s="905"/>
      <c r="Q2020" s="317" t="str">
        <f t="shared" si="153"/>
        <v/>
      </c>
      <c r="R2020" s="317" t="str">
        <f t="shared" si="154"/>
        <v/>
      </c>
      <c r="S2020" s="317" t="str">
        <f t="shared" si="155"/>
        <v/>
      </c>
      <c r="T2020" s="317" t="str">
        <f>GLOBAL_DER_FEV_2023!S2020</f>
        <v/>
      </c>
      <c r="W2020" s="582">
        <v>0</v>
      </c>
      <c r="X2020" s="580"/>
      <c r="Y2020" s="583">
        <f>IF(GLOBAL_DER_FEV_2023!W2020=0,0,IF(GLOBAL_DER_FEV_2023!W2020&gt;0,"c","b"))</f>
        <v>0</v>
      </c>
    </row>
    <row r="2021" spans="1:25" ht="15" hidden="1" customHeight="1" x14ac:dyDescent="0.2">
      <c r="A2021" s="317" t="s">
        <v>147</v>
      </c>
      <c r="B2021" s="895" t="s">
        <v>147</v>
      </c>
      <c r="C2021" s="896"/>
      <c r="D2021" s="906" t="s">
        <v>190</v>
      </c>
      <c r="E2021" s="907">
        <f>GLOBAL_DER_FEV_2023!E2021</f>
        <v>308</v>
      </c>
      <c r="F2021" s="908">
        <f>GLOBAL_DER_FEV_2023!F2021</f>
        <v>3.2000000000000002E-3</v>
      </c>
      <c r="G2021" s="909">
        <f>GLOBAL_DER_FEV_2023!G2021</f>
        <v>0.79379200000000005</v>
      </c>
      <c r="H2021" s="901">
        <f>GLOBAL_DER_FEV_2023!H2021</f>
        <v>0</v>
      </c>
      <c r="I2021" s="901">
        <f>GLOBAL_DER_FEV_2023!I2021</f>
        <v>0</v>
      </c>
      <c r="J2021" s="902">
        <f>GLOBAL_DER_FEV_2023!J2021</f>
        <v>0</v>
      </c>
      <c r="K2021" s="903"/>
      <c r="L2021" s="1177"/>
      <c r="M2021" s="1138">
        <f t="shared" si="152"/>
        <v>0</v>
      </c>
      <c r="N2021" s="1176">
        <f t="shared" si="156"/>
        <v>0</v>
      </c>
      <c r="O2021" s="905"/>
      <c r="P2021" s="36" t="str">
        <f>IF(N2020&gt;0,"xx",IF(N2020&gt;0,"xy",""))</f>
        <v/>
      </c>
      <c r="Q2021" s="317" t="str">
        <f t="shared" si="153"/>
        <v/>
      </c>
      <c r="R2021" s="317" t="str">
        <f t="shared" si="154"/>
        <v/>
      </c>
      <c r="S2021" s="317" t="str">
        <f t="shared" si="155"/>
        <v/>
      </c>
      <c r="T2021" s="317" t="str">
        <f>GLOBAL_DER_FEV_2023!S2021</f>
        <v/>
      </c>
      <c r="W2021" s="582">
        <v>0</v>
      </c>
      <c r="X2021" s="580"/>
      <c r="Y2021" s="583">
        <f>IF(GLOBAL_DER_FEV_2023!W2021=0,0,IF(GLOBAL_DER_FEV_2023!W2021&gt;0,"c","b"))</f>
        <v>0</v>
      </c>
    </row>
    <row r="2022" spans="1:25" ht="15" hidden="1" customHeight="1" x14ac:dyDescent="0.2">
      <c r="A2022" s="317" t="s">
        <v>147</v>
      </c>
      <c r="B2022" s="895" t="s">
        <v>147</v>
      </c>
      <c r="C2022" s="896"/>
      <c r="D2022" s="906" t="s">
        <v>229</v>
      </c>
      <c r="E2022" s="907">
        <f>GLOBAL_DER_FEV_2023!E2022</f>
        <v>150</v>
      </c>
      <c r="F2022" s="908">
        <f>GLOBAL_DER_FEV_2023!F2022</f>
        <v>1.6799999999999999E-2</v>
      </c>
      <c r="G2022" s="949">
        <f>GLOBAL_DER_FEV_2023!G2022</f>
        <v>2.7414239999999999</v>
      </c>
      <c r="H2022" s="901">
        <f>GLOBAL_DER_FEV_2023!H2022</f>
        <v>0</v>
      </c>
      <c r="I2022" s="901">
        <f>GLOBAL_DER_FEV_2023!I2022</f>
        <v>0</v>
      </c>
      <c r="J2022" s="902">
        <f>GLOBAL_DER_FEV_2023!J2022</f>
        <v>0</v>
      </c>
      <c r="K2022" s="903"/>
      <c r="L2022" s="1177"/>
      <c r="M2022" s="1138">
        <f t="shared" si="152"/>
        <v>0</v>
      </c>
      <c r="N2022" s="1176">
        <f t="shared" si="156"/>
        <v>0</v>
      </c>
      <c r="O2022" s="905"/>
      <c r="P2022" s="36" t="str">
        <f>IF(N2020&gt;0,"xx",IF(N2020&gt;0,"xy",""))</f>
        <v/>
      </c>
      <c r="Q2022" s="317" t="str">
        <f t="shared" si="153"/>
        <v/>
      </c>
      <c r="R2022" s="317" t="str">
        <f t="shared" si="154"/>
        <v/>
      </c>
      <c r="S2022" s="317" t="str">
        <f t="shared" si="155"/>
        <v/>
      </c>
      <c r="T2022" s="317" t="str">
        <f>GLOBAL_DER_FEV_2023!S2022</f>
        <v/>
      </c>
      <c r="W2022" s="582">
        <v>0</v>
      </c>
      <c r="X2022" s="580"/>
      <c r="Y2022" s="583">
        <f>IF(GLOBAL_DER_FEV_2023!W2022=0,0,IF(GLOBAL_DER_FEV_2023!W2022&gt;0,"c","b"))</f>
        <v>0</v>
      </c>
    </row>
    <row r="2023" spans="1:25" ht="15" hidden="1" customHeight="1" x14ac:dyDescent="0.2">
      <c r="A2023" s="317" t="s">
        <v>147</v>
      </c>
      <c r="B2023" s="895" t="s">
        <v>147</v>
      </c>
      <c r="C2023" s="896"/>
      <c r="D2023" s="906" t="s">
        <v>336</v>
      </c>
      <c r="E2023" s="907">
        <f>GLOBAL_DER_FEV_2023!E2023</f>
        <v>40</v>
      </c>
      <c r="F2023" s="908">
        <f>GLOBAL_DER_FEV_2023!F2023</f>
        <v>0.67</v>
      </c>
      <c r="G2023" s="949">
        <f>GLOBAL_DER_FEV_2023!G2023</f>
        <v>30.471600000000006</v>
      </c>
      <c r="H2023" s="901">
        <f>GLOBAL_DER_FEV_2023!H2023</f>
        <v>0</v>
      </c>
      <c r="I2023" s="901">
        <f>GLOBAL_DER_FEV_2023!I2023</f>
        <v>0</v>
      </c>
      <c r="J2023" s="902">
        <f>GLOBAL_DER_FEV_2023!J2023</f>
        <v>0</v>
      </c>
      <c r="K2023" s="903"/>
      <c r="L2023" s="1177"/>
      <c r="M2023" s="1138">
        <f t="shared" si="152"/>
        <v>0</v>
      </c>
      <c r="N2023" s="1176">
        <f t="shared" si="156"/>
        <v>0</v>
      </c>
      <c r="O2023" s="905"/>
      <c r="P2023" s="36" t="str">
        <f>IF(N2020&gt;0,"xx",IF(N2020&gt;0,"xy",""))</f>
        <v/>
      </c>
      <c r="Q2023" s="317" t="str">
        <f t="shared" si="153"/>
        <v/>
      </c>
      <c r="R2023" s="317" t="str">
        <f t="shared" si="154"/>
        <v/>
      </c>
      <c r="S2023" s="317" t="str">
        <f t="shared" si="155"/>
        <v/>
      </c>
      <c r="T2023" s="317" t="str">
        <f>GLOBAL_DER_FEV_2023!S2023</f>
        <v/>
      </c>
      <c r="W2023" s="582">
        <v>0</v>
      </c>
      <c r="X2023" s="580"/>
      <c r="Y2023" s="583">
        <f>IF(GLOBAL_DER_FEV_2023!W2023=0,0,IF(GLOBAL_DER_FEV_2023!W2023&gt;0,"c","b"))</f>
        <v>0</v>
      </c>
    </row>
    <row r="2024" spans="1:25" ht="15" hidden="1" customHeight="1" x14ac:dyDescent="0.2">
      <c r="A2024" s="317">
        <v>611000</v>
      </c>
      <c r="B2024" s="895" t="s">
        <v>1844</v>
      </c>
      <c r="C2024" s="896" t="s">
        <v>184</v>
      </c>
      <c r="D2024" s="906" t="s">
        <v>2030</v>
      </c>
      <c r="E2024" s="907">
        <f>GLOBAL_DER_FEV_2023!E2024</f>
        <v>0</v>
      </c>
      <c r="F2024" s="908">
        <f>GLOBAL_DER_FEV_2023!F2024</f>
        <v>0</v>
      </c>
      <c r="G2024" s="912">
        <f>GLOBAL_DER_FEV_2023!G2024</f>
        <v>42.394820000000003</v>
      </c>
      <c r="H2024" s="901">
        <f>GLOBAL_DER_FEV_2023!H2024</f>
        <v>803.98</v>
      </c>
      <c r="I2024" s="901">
        <f>GLOBAL_DER_FEV_2023!I2024</f>
        <v>846.37482</v>
      </c>
      <c r="J2024" s="902">
        <f>GLOBAL_DER_FEV_2023!J2024</f>
        <v>1016.24</v>
      </c>
      <c r="K2024" s="903" t="s">
        <v>13</v>
      </c>
      <c r="L2024" s="1137"/>
      <c r="M2024" s="1138">
        <f t="shared" si="152"/>
        <v>0</v>
      </c>
      <c r="N2024" s="1176">
        <f t="shared" si="156"/>
        <v>0</v>
      </c>
      <c r="O2024" s="905"/>
      <c r="Q2024" s="317" t="str">
        <f t="shared" si="153"/>
        <v/>
      </c>
      <c r="R2024" s="317" t="str">
        <f t="shared" si="154"/>
        <v/>
      </c>
      <c r="S2024" s="317" t="str">
        <f t="shared" si="155"/>
        <v/>
      </c>
      <c r="T2024" s="317" t="str">
        <f>GLOBAL_DER_FEV_2023!S2024</f>
        <v/>
      </c>
      <c r="W2024" s="582">
        <v>0</v>
      </c>
      <c r="X2024" s="580"/>
      <c r="Y2024" s="583">
        <f>IF(GLOBAL_DER_FEV_2023!W2024=0,0,IF(GLOBAL_DER_FEV_2023!W2024&gt;0,"c","b"))</f>
        <v>0</v>
      </c>
    </row>
    <row r="2025" spans="1:25" ht="15" hidden="1" customHeight="1" x14ac:dyDescent="0.2">
      <c r="A2025" s="317" t="s">
        <v>147</v>
      </c>
      <c r="B2025" s="895" t="s">
        <v>147</v>
      </c>
      <c r="C2025" s="896"/>
      <c r="D2025" s="906" t="s">
        <v>190</v>
      </c>
      <c r="E2025" s="907">
        <f>GLOBAL_DER_FEV_2023!E2025</f>
        <v>308</v>
      </c>
      <c r="F2025" s="908">
        <f>GLOBAL_DER_FEV_2023!F2025</f>
        <v>4.0000000000000001E-3</v>
      </c>
      <c r="G2025" s="909">
        <f>GLOBAL_DER_FEV_2023!G2025</f>
        <v>0.99224000000000001</v>
      </c>
      <c r="H2025" s="901">
        <f>GLOBAL_DER_FEV_2023!H2025</f>
        <v>0</v>
      </c>
      <c r="I2025" s="901">
        <f>GLOBAL_DER_FEV_2023!I2025</f>
        <v>0</v>
      </c>
      <c r="J2025" s="902">
        <f>GLOBAL_DER_FEV_2023!J2025</f>
        <v>0</v>
      </c>
      <c r="K2025" s="903"/>
      <c r="L2025" s="1177"/>
      <c r="M2025" s="1138">
        <f t="shared" si="152"/>
        <v>0</v>
      </c>
      <c r="N2025" s="1176">
        <f t="shared" si="156"/>
        <v>0</v>
      </c>
      <c r="O2025" s="905"/>
      <c r="P2025" s="36" t="str">
        <f>IF(N2024&gt;0,"xx",IF(N2024&gt;0,"xy",""))</f>
        <v/>
      </c>
      <c r="Q2025" s="317" t="str">
        <f t="shared" si="153"/>
        <v/>
      </c>
      <c r="R2025" s="317" t="str">
        <f t="shared" si="154"/>
        <v/>
      </c>
      <c r="S2025" s="317" t="str">
        <f t="shared" si="155"/>
        <v/>
      </c>
      <c r="T2025" s="317" t="str">
        <f>GLOBAL_DER_FEV_2023!S2025</f>
        <v/>
      </c>
      <c r="W2025" s="582">
        <v>0</v>
      </c>
      <c r="X2025" s="580"/>
      <c r="Y2025" s="583">
        <f>IF(GLOBAL_DER_FEV_2023!W2025=0,0,IF(GLOBAL_DER_FEV_2023!W2025&gt;0,"c","b"))</f>
        <v>0</v>
      </c>
    </row>
    <row r="2026" spans="1:25" ht="15" hidden="1" customHeight="1" x14ac:dyDescent="0.2">
      <c r="A2026" s="317" t="s">
        <v>147</v>
      </c>
      <c r="B2026" s="895" t="s">
        <v>147</v>
      </c>
      <c r="C2026" s="896"/>
      <c r="D2026" s="906" t="s">
        <v>229</v>
      </c>
      <c r="E2026" s="907">
        <f>GLOBAL_DER_FEV_2023!E2026</f>
        <v>150</v>
      </c>
      <c r="F2026" s="908">
        <f>GLOBAL_DER_FEV_2023!F2026</f>
        <v>2.1000000000000001E-2</v>
      </c>
      <c r="G2026" s="949">
        <f>GLOBAL_DER_FEV_2023!G2026</f>
        <v>3.4267800000000004</v>
      </c>
      <c r="H2026" s="901">
        <f>GLOBAL_DER_FEV_2023!H2026</f>
        <v>0</v>
      </c>
      <c r="I2026" s="901">
        <f>GLOBAL_DER_FEV_2023!I2026</f>
        <v>0</v>
      </c>
      <c r="J2026" s="902">
        <f>GLOBAL_DER_FEV_2023!J2026</f>
        <v>0</v>
      </c>
      <c r="K2026" s="903"/>
      <c r="L2026" s="1177"/>
      <c r="M2026" s="1138">
        <f t="shared" si="152"/>
        <v>0</v>
      </c>
      <c r="N2026" s="1176">
        <f t="shared" si="156"/>
        <v>0</v>
      </c>
      <c r="O2026" s="905"/>
      <c r="P2026" s="36" t="str">
        <f>IF(N2024&gt;0,"xx",IF(N2024&gt;0,"xy",""))</f>
        <v/>
      </c>
      <c r="Q2026" s="317" t="str">
        <f t="shared" si="153"/>
        <v/>
      </c>
      <c r="R2026" s="317" t="str">
        <f t="shared" si="154"/>
        <v/>
      </c>
      <c r="S2026" s="317" t="str">
        <f t="shared" si="155"/>
        <v/>
      </c>
      <c r="T2026" s="317" t="str">
        <f>GLOBAL_DER_FEV_2023!S2026</f>
        <v/>
      </c>
      <c r="W2026" s="582">
        <v>0</v>
      </c>
      <c r="X2026" s="580"/>
      <c r="Y2026" s="583">
        <f>IF(GLOBAL_DER_FEV_2023!W2026=0,0,IF(GLOBAL_DER_FEV_2023!W2026&gt;0,"c","b"))</f>
        <v>0</v>
      </c>
    </row>
    <row r="2027" spans="1:25" ht="15" hidden="1" customHeight="1" x14ac:dyDescent="0.2">
      <c r="A2027" s="317" t="s">
        <v>147</v>
      </c>
      <c r="B2027" s="895" t="s">
        <v>147</v>
      </c>
      <c r="C2027" s="896"/>
      <c r="D2027" s="906" t="s">
        <v>336</v>
      </c>
      <c r="E2027" s="907">
        <f>GLOBAL_DER_FEV_2023!E2027</f>
        <v>40</v>
      </c>
      <c r="F2027" s="908">
        <f>GLOBAL_DER_FEV_2023!F2027</f>
        <v>0.83499999999999996</v>
      </c>
      <c r="G2027" s="949">
        <f>GLOBAL_DER_FEV_2023!G2027</f>
        <v>37.9758</v>
      </c>
      <c r="H2027" s="901">
        <f>GLOBAL_DER_FEV_2023!H2027</f>
        <v>0</v>
      </c>
      <c r="I2027" s="901">
        <f>GLOBAL_DER_FEV_2023!I2027</f>
        <v>0</v>
      </c>
      <c r="J2027" s="902">
        <f>GLOBAL_DER_FEV_2023!J2027</f>
        <v>0</v>
      </c>
      <c r="K2027" s="903"/>
      <c r="L2027" s="1177"/>
      <c r="M2027" s="1138">
        <f t="shared" si="152"/>
        <v>0</v>
      </c>
      <c r="N2027" s="1176">
        <f t="shared" si="156"/>
        <v>0</v>
      </c>
      <c r="O2027" s="905"/>
      <c r="P2027" s="36" t="str">
        <f>IF(N2024&gt;0,"xx",IF(N2024&gt;0,"xy",""))</f>
        <v/>
      </c>
      <c r="Q2027" s="317" t="str">
        <f t="shared" si="153"/>
        <v/>
      </c>
      <c r="R2027" s="317" t="str">
        <f t="shared" si="154"/>
        <v/>
      </c>
      <c r="S2027" s="317" t="str">
        <f t="shared" si="155"/>
        <v/>
      </c>
      <c r="T2027" s="317" t="str">
        <f>GLOBAL_DER_FEV_2023!S2027</f>
        <v/>
      </c>
      <c r="W2027" s="582">
        <v>0</v>
      </c>
      <c r="X2027" s="580"/>
      <c r="Y2027" s="583">
        <f>IF(GLOBAL_DER_FEV_2023!W2027=0,0,IF(GLOBAL_DER_FEV_2023!W2027&gt;0,"c","b"))</f>
        <v>0</v>
      </c>
    </row>
    <row r="2028" spans="1:25" ht="15" hidden="1" customHeight="1" x14ac:dyDescent="0.2">
      <c r="A2028" s="317">
        <v>611000</v>
      </c>
      <c r="B2028" s="895" t="s">
        <v>1845</v>
      </c>
      <c r="C2028" s="896" t="s">
        <v>184</v>
      </c>
      <c r="D2028" s="906" t="s">
        <v>2031</v>
      </c>
      <c r="E2028" s="907">
        <f>GLOBAL_DER_FEV_2023!E2028</f>
        <v>0</v>
      </c>
      <c r="F2028" s="908">
        <f>GLOBAL_DER_FEV_2023!F2028</f>
        <v>0</v>
      </c>
      <c r="G2028" s="912">
        <f>GLOBAL_DER_FEV_2023!G2028</f>
        <v>50.782824000000005</v>
      </c>
      <c r="H2028" s="901">
        <f>GLOBAL_DER_FEV_2023!H2028</f>
        <v>803.98</v>
      </c>
      <c r="I2028" s="901">
        <f>GLOBAL_DER_FEV_2023!I2028</f>
        <v>854.76282400000002</v>
      </c>
      <c r="J2028" s="902">
        <f>GLOBAL_DER_FEV_2023!J2028</f>
        <v>1026.31</v>
      </c>
      <c r="K2028" s="903" t="s">
        <v>13</v>
      </c>
      <c r="L2028" s="1137"/>
      <c r="M2028" s="1138">
        <f t="shared" si="152"/>
        <v>0</v>
      </c>
      <c r="N2028" s="1176">
        <f t="shared" si="156"/>
        <v>0</v>
      </c>
      <c r="O2028" s="905"/>
      <c r="Q2028" s="317" t="str">
        <f t="shared" si="153"/>
        <v/>
      </c>
      <c r="R2028" s="317" t="str">
        <f t="shared" si="154"/>
        <v/>
      </c>
      <c r="S2028" s="317" t="str">
        <f t="shared" si="155"/>
        <v/>
      </c>
      <c r="T2028" s="317" t="str">
        <f>GLOBAL_DER_FEV_2023!S2028</f>
        <v/>
      </c>
      <c r="W2028" s="582">
        <v>0</v>
      </c>
      <c r="X2028" s="580"/>
      <c r="Y2028" s="583">
        <f>IF(GLOBAL_DER_FEV_2023!W2028=0,0,IF(GLOBAL_DER_FEV_2023!W2028&gt;0,"c","b"))</f>
        <v>0</v>
      </c>
    </row>
    <row r="2029" spans="1:25" ht="15" hidden="1" customHeight="1" x14ac:dyDescent="0.2">
      <c r="A2029" s="317" t="s">
        <v>147</v>
      </c>
      <c r="B2029" s="895" t="s">
        <v>147</v>
      </c>
      <c r="C2029" s="896"/>
      <c r="D2029" s="906" t="s">
        <v>190</v>
      </c>
      <c r="E2029" s="907">
        <f>GLOBAL_DER_FEV_2023!E2029</f>
        <v>308</v>
      </c>
      <c r="F2029" s="908">
        <f>GLOBAL_DER_FEV_2023!F2029</f>
        <v>4.7999999999999996E-3</v>
      </c>
      <c r="G2029" s="909">
        <f>GLOBAL_DER_FEV_2023!G2029</f>
        <v>1.190688</v>
      </c>
      <c r="H2029" s="901">
        <f>GLOBAL_DER_FEV_2023!H2029</f>
        <v>0</v>
      </c>
      <c r="I2029" s="901">
        <f>GLOBAL_DER_FEV_2023!I2029</f>
        <v>0</v>
      </c>
      <c r="J2029" s="902">
        <f>GLOBAL_DER_FEV_2023!J2029</f>
        <v>0</v>
      </c>
      <c r="K2029" s="903"/>
      <c r="L2029" s="1177"/>
      <c r="M2029" s="1138">
        <f t="shared" si="152"/>
        <v>0</v>
      </c>
      <c r="N2029" s="1176">
        <f t="shared" si="156"/>
        <v>0</v>
      </c>
      <c r="O2029" s="905"/>
      <c r="P2029" s="36" t="str">
        <f>IF(N2028&gt;0,"xx",IF(N2028&gt;0,"xy",""))</f>
        <v/>
      </c>
      <c r="Q2029" s="317" t="str">
        <f t="shared" si="153"/>
        <v/>
      </c>
      <c r="R2029" s="317" t="str">
        <f t="shared" si="154"/>
        <v/>
      </c>
      <c r="S2029" s="317" t="str">
        <f t="shared" si="155"/>
        <v/>
      </c>
      <c r="T2029" s="317" t="str">
        <f>GLOBAL_DER_FEV_2023!S2029</f>
        <v/>
      </c>
      <c r="W2029" s="582">
        <v>0</v>
      </c>
      <c r="X2029" s="580"/>
      <c r="Y2029" s="583">
        <f>IF(GLOBAL_DER_FEV_2023!W2029=0,0,IF(GLOBAL_DER_FEV_2023!W2029&gt;0,"c","b"))</f>
        <v>0</v>
      </c>
    </row>
    <row r="2030" spans="1:25" ht="15" hidden="1" customHeight="1" x14ac:dyDescent="0.2">
      <c r="A2030" s="317" t="s">
        <v>147</v>
      </c>
      <c r="B2030" s="895" t="s">
        <v>147</v>
      </c>
      <c r="C2030" s="896"/>
      <c r="D2030" s="906" t="s">
        <v>229</v>
      </c>
      <c r="E2030" s="907">
        <f>GLOBAL_DER_FEV_2023!E2030</f>
        <v>150</v>
      </c>
      <c r="F2030" s="908">
        <f>GLOBAL_DER_FEV_2023!F2030</f>
        <v>2.52E-2</v>
      </c>
      <c r="G2030" s="949">
        <f>GLOBAL_DER_FEV_2023!G2030</f>
        <v>4.1121360000000005</v>
      </c>
      <c r="H2030" s="901">
        <f>GLOBAL_DER_FEV_2023!H2030</f>
        <v>0</v>
      </c>
      <c r="I2030" s="901">
        <f>GLOBAL_DER_FEV_2023!I2030</f>
        <v>0</v>
      </c>
      <c r="J2030" s="902">
        <f>GLOBAL_DER_FEV_2023!J2030</f>
        <v>0</v>
      </c>
      <c r="K2030" s="903"/>
      <c r="L2030" s="1177"/>
      <c r="M2030" s="1138">
        <f t="shared" si="152"/>
        <v>0</v>
      </c>
      <c r="N2030" s="1176">
        <f t="shared" si="156"/>
        <v>0</v>
      </c>
      <c r="O2030" s="905"/>
      <c r="P2030" s="36" t="str">
        <f>IF(N2028&gt;0,"xx",IF(N2028&gt;0,"xy",""))</f>
        <v/>
      </c>
      <c r="Q2030" s="317" t="str">
        <f t="shared" si="153"/>
        <v/>
      </c>
      <c r="R2030" s="317" t="str">
        <f t="shared" si="154"/>
        <v/>
      </c>
      <c r="S2030" s="317" t="str">
        <f t="shared" si="155"/>
        <v/>
      </c>
      <c r="T2030" s="317" t="str">
        <f>GLOBAL_DER_FEV_2023!S2030</f>
        <v/>
      </c>
      <c r="W2030" s="582">
        <v>0</v>
      </c>
      <c r="X2030" s="580"/>
      <c r="Y2030" s="583">
        <f>IF(GLOBAL_DER_FEV_2023!W2030=0,0,IF(GLOBAL_DER_FEV_2023!W2030&gt;0,"c","b"))</f>
        <v>0</v>
      </c>
    </row>
    <row r="2031" spans="1:25" ht="15" hidden="1" customHeight="1" x14ac:dyDescent="0.2">
      <c r="A2031" s="317" t="s">
        <v>147</v>
      </c>
      <c r="B2031" s="895" t="s">
        <v>147</v>
      </c>
      <c r="C2031" s="896"/>
      <c r="D2031" s="906" t="s">
        <v>336</v>
      </c>
      <c r="E2031" s="907">
        <f>GLOBAL_DER_FEV_2023!E2031</f>
        <v>40</v>
      </c>
      <c r="F2031" s="908">
        <f>GLOBAL_DER_FEV_2023!F2031</f>
        <v>1</v>
      </c>
      <c r="G2031" s="949">
        <f>GLOBAL_DER_FEV_2023!G2031</f>
        <v>45.480000000000004</v>
      </c>
      <c r="H2031" s="901">
        <f>GLOBAL_DER_FEV_2023!H2031</f>
        <v>0</v>
      </c>
      <c r="I2031" s="901">
        <f>GLOBAL_DER_FEV_2023!I2031</f>
        <v>0</v>
      </c>
      <c r="J2031" s="902">
        <f>GLOBAL_DER_FEV_2023!J2031</f>
        <v>0</v>
      </c>
      <c r="K2031" s="903"/>
      <c r="L2031" s="1177"/>
      <c r="M2031" s="1138">
        <f t="shared" si="152"/>
        <v>0</v>
      </c>
      <c r="N2031" s="1176">
        <f t="shared" si="156"/>
        <v>0</v>
      </c>
      <c r="O2031" s="905"/>
      <c r="P2031" s="36" t="str">
        <f>IF(N2028&gt;0,"xx",IF(N2028&gt;0,"xy",""))</f>
        <v/>
      </c>
      <c r="Q2031" s="317" t="str">
        <f t="shared" si="153"/>
        <v/>
      </c>
      <c r="R2031" s="317" t="str">
        <f t="shared" si="154"/>
        <v/>
      </c>
      <c r="S2031" s="317" t="str">
        <f t="shared" si="155"/>
        <v/>
      </c>
      <c r="T2031" s="317" t="str">
        <f>GLOBAL_DER_FEV_2023!S2031</f>
        <v/>
      </c>
      <c r="W2031" s="582">
        <v>0</v>
      </c>
      <c r="X2031" s="580"/>
      <c r="Y2031" s="583">
        <f>IF(GLOBAL_DER_FEV_2023!W2031=0,0,IF(GLOBAL_DER_FEV_2023!W2031&gt;0,"c","b"))</f>
        <v>0</v>
      </c>
    </row>
    <row r="2032" spans="1:25" ht="15" hidden="1" customHeight="1" x14ac:dyDescent="0.2">
      <c r="A2032" s="317">
        <v>611200</v>
      </c>
      <c r="B2032" s="895" t="s">
        <v>1847</v>
      </c>
      <c r="C2032" s="896" t="s">
        <v>184</v>
      </c>
      <c r="D2032" s="906" t="s">
        <v>2032</v>
      </c>
      <c r="E2032" s="907">
        <f>GLOBAL_DER_FEV_2023!E2032</f>
        <v>0</v>
      </c>
      <c r="F2032" s="908">
        <f>GLOBAL_DER_FEV_2023!F2032</f>
        <v>0</v>
      </c>
      <c r="G2032" s="912">
        <f>GLOBAL_DER_FEV_2023!G2032</f>
        <v>72.586438000000001</v>
      </c>
      <c r="H2032" s="901">
        <f>GLOBAL_DER_FEV_2023!H2032</f>
        <v>1026.27</v>
      </c>
      <c r="I2032" s="901">
        <f>GLOBAL_DER_FEV_2023!I2032</f>
        <v>1098.856438</v>
      </c>
      <c r="J2032" s="902">
        <f>GLOBAL_DER_FEV_2023!J2032</f>
        <v>1319.4</v>
      </c>
      <c r="K2032" s="903" t="s">
        <v>13</v>
      </c>
      <c r="L2032" s="1137"/>
      <c r="M2032" s="1138">
        <f t="shared" si="152"/>
        <v>0</v>
      </c>
      <c r="N2032" s="1176">
        <f t="shared" si="156"/>
        <v>0</v>
      </c>
      <c r="O2032" s="905"/>
      <c r="Q2032" s="317" t="str">
        <f t="shared" si="153"/>
        <v/>
      </c>
      <c r="R2032" s="317" t="str">
        <f t="shared" si="154"/>
        <v/>
      </c>
      <c r="S2032" s="317" t="str">
        <f t="shared" si="155"/>
        <v/>
      </c>
      <c r="T2032" s="317" t="str">
        <f>GLOBAL_DER_FEV_2023!S2032</f>
        <v/>
      </c>
      <c r="W2032" s="582">
        <v>0</v>
      </c>
      <c r="X2032" s="580"/>
      <c r="Y2032" s="583">
        <f>IF(GLOBAL_DER_FEV_2023!W2032=0,0,IF(GLOBAL_DER_FEV_2023!W2032&gt;0,"c","b"))</f>
        <v>0</v>
      </c>
    </row>
    <row r="2033" spans="1:25" ht="15" hidden="1" customHeight="1" x14ac:dyDescent="0.2">
      <c r="A2033" s="317" t="s">
        <v>147</v>
      </c>
      <c r="B2033" s="895" t="s">
        <v>147</v>
      </c>
      <c r="C2033" s="896"/>
      <c r="D2033" s="906" t="s">
        <v>190</v>
      </c>
      <c r="E2033" s="907">
        <f>GLOBAL_DER_FEV_2023!E2033</f>
        <v>308</v>
      </c>
      <c r="F2033" s="908">
        <f>GLOBAL_DER_FEV_2023!F2033</f>
        <v>6.4999999999999997E-3</v>
      </c>
      <c r="G2033" s="909">
        <f>GLOBAL_DER_FEV_2023!G2033</f>
        <v>1.61239</v>
      </c>
      <c r="H2033" s="901">
        <f>GLOBAL_DER_FEV_2023!H2033</f>
        <v>0</v>
      </c>
      <c r="I2033" s="901">
        <f>GLOBAL_DER_FEV_2023!I2033</f>
        <v>0</v>
      </c>
      <c r="J2033" s="902">
        <f>GLOBAL_DER_FEV_2023!J2033</f>
        <v>0</v>
      </c>
      <c r="K2033" s="903"/>
      <c r="L2033" s="1177"/>
      <c r="M2033" s="1138">
        <f t="shared" si="152"/>
        <v>0</v>
      </c>
      <c r="N2033" s="1176">
        <f t="shared" si="156"/>
        <v>0</v>
      </c>
      <c r="O2033" s="905"/>
      <c r="P2033" s="36" t="str">
        <f>IF(N2032&gt;0,"xx",IF(N2032&gt;0,"xy",""))</f>
        <v/>
      </c>
      <c r="Q2033" s="317" t="str">
        <f t="shared" si="153"/>
        <v/>
      </c>
      <c r="R2033" s="317" t="str">
        <f t="shared" si="154"/>
        <v/>
      </c>
      <c r="S2033" s="317" t="str">
        <f t="shared" si="155"/>
        <v/>
      </c>
      <c r="T2033" s="317" t="str">
        <f>GLOBAL_DER_FEV_2023!S2033</f>
        <v/>
      </c>
      <c r="W2033" s="582">
        <v>0</v>
      </c>
      <c r="X2033" s="580"/>
      <c r="Y2033" s="583">
        <f>IF(GLOBAL_DER_FEV_2023!W2033=0,0,IF(GLOBAL_DER_FEV_2023!W2033&gt;0,"c","b"))</f>
        <v>0</v>
      </c>
    </row>
    <row r="2034" spans="1:25" ht="15" hidden="1" customHeight="1" x14ac:dyDescent="0.2">
      <c r="A2034" s="317" t="s">
        <v>147</v>
      </c>
      <c r="B2034" s="895" t="s">
        <v>147</v>
      </c>
      <c r="C2034" s="896"/>
      <c r="D2034" s="906" t="s">
        <v>229</v>
      </c>
      <c r="E2034" s="907">
        <f>GLOBAL_DER_FEV_2023!E2034</f>
        <v>150</v>
      </c>
      <c r="F2034" s="908">
        <f>GLOBAL_DER_FEV_2023!F2034</f>
        <v>3.3599999999999998E-2</v>
      </c>
      <c r="G2034" s="949">
        <f>GLOBAL_DER_FEV_2023!G2034</f>
        <v>5.4828479999999997</v>
      </c>
      <c r="H2034" s="901">
        <f>GLOBAL_DER_FEV_2023!H2034</f>
        <v>0</v>
      </c>
      <c r="I2034" s="901">
        <f>GLOBAL_DER_FEV_2023!I2034</f>
        <v>0</v>
      </c>
      <c r="J2034" s="902">
        <f>GLOBAL_DER_FEV_2023!J2034</f>
        <v>0</v>
      </c>
      <c r="K2034" s="903"/>
      <c r="L2034" s="1177"/>
      <c r="M2034" s="1138">
        <f t="shared" si="152"/>
        <v>0</v>
      </c>
      <c r="N2034" s="1176">
        <f t="shared" si="156"/>
        <v>0</v>
      </c>
      <c r="O2034" s="905"/>
      <c r="P2034" s="36" t="str">
        <f>IF(N2032&gt;0,"xx",IF(N2032&gt;0,"xy",""))</f>
        <v/>
      </c>
      <c r="Q2034" s="317" t="str">
        <f t="shared" si="153"/>
        <v/>
      </c>
      <c r="R2034" s="317" t="str">
        <f t="shared" si="154"/>
        <v/>
      </c>
      <c r="S2034" s="317" t="str">
        <f t="shared" si="155"/>
        <v/>
      </c>
      <c r="T2034" s="317" t="str">
        <f>GLOBAL_DER_FEV_2023!S2034</f>
        <v/>
      </c>
      <c r="W2034" s="582">
        <v>0</v>
      </c>
      <c r="X2034" s="580"/>
      <c r="Y2034" s="583">
        <f>IF(GLOBAL_DER_FEV_2023!W2034=0,0,IF(GLOBAL_DER_FEV_2023!W2034&gt;0,"c","b"))</f>
        <v>0</v>
      </c>
    </row>
    <row r="2035" spans="1:25" ht="15" hidden="1" customHeight="1" x14ac:dyDescent="0.2">
      <c r="A2035" s="317" t="s">
        <v>147</v>
      </c>
      <c r="B2035" s="895" t="s">
        <v>147</v>
      </c>
      <c r="C2035" s="896"/>
      <c r="D2035" s="906" t="s">
        <v>336</v>
      </c>
      <c r="E2035" s="907">
        <f>GLOBAL_DER_FEV_2023!E2035</f>
        <v>40</v>
      </c>
      <c r="F2035" s="908">
        <f>GLOBAL_DER_FEV_2023!F2035</f>
        <v>1.44</v>
      </c>
      <c r="G2035" s="949">
        <f>GLOBAL_DER_FEV_2023!G2035</f>
        <v>65.491200000000006</v>
      </c>
      <c r="H2035" s="901">
        <f>GLOBAL_DER_FEV_2023!H2035</f>
        <v>0</v>
      </c>
      <c r="I2035" s="901">
        <f>GLOBAL_DER_FEV_2023!I2035</f>
        <v>0</v>
      </c>
      <c r="J2035" s="902">
        <f>GLOBAL_DER_FEV_2023!J2035</f>
        <v>0</v>
      </c>
      <c r="K2035" s="903"/>
      <c r="L2035" s="1177"/>
      <c r="M2035" s="1138">
        <f t="shared" si="152"/>
        <v>0</v>
      </c>
      <c r="N2035" s="1176">
        <f t="shared" si="156"/>
        <v>0</v>
      </c>
      <c r="O2035" s="905"/>
      <c r="P2035" s="36" t="str">
        <f>IF(N2032&gt;0,"xx",IF(N2032&gt;0,"xy",""))</f>
        <v/>
      </c>
      <c r="Q2035" s="317" t="str">
        <f t="shared" si="153"/>
        <v/>
      </c>
      <c r="R2035" s="317" t="str">
        <f t="shared" si="154"/>
        <v/>
      </c>
      <c r="S2035" s="317" t="str">
        <f t="shared" si="155"/>
        <v/>
      </c>
      <c r="T2035" s="317" t="str">
        <f>GLOBAL_DER_FEV_2023!S2035</f>
        <v/>
      </c>
      <c r="W2035" s="582">
        <v>0</v>
      </c>
      <c r="X2035" s="580"/>
      <c r="Y2035" s="583">
        <f>IF(GLOBAL_DER_FEV_2023!W2035=0,0,IF(GLOBAL_DER_FEV_2023!W2035&gt;0,"c","b"))</f>
        <v>0</v>
      </c>
    </row>
    <row r="2036" spans="1:25" ht="15" hidden="1" customHeight="1" x14ac:dyDescent="0.2">
      <c r="A2036" s="317">
        <v>611400</v>
      </c>
      <c r="B2036" s="895" t="s">
        <v>1850</v>
      </c>
      <c r="C2036" s="896" t="s">
        <v>184</v>
      </c>
      <c r="D2036" s="906" t="s">
        <v>2033</v>
      </c>
      <c r="E2036" s="907">
        <f>GLOBAL_DER_FEV_2023!E2036</f>
        <v>0</v>
      </c>
      <c r="F2036" s="908">
        <f>GLOBAL_DER_FEV_2023!F2036</f>
        <v>0</v>
      </c>
      <c r="G2036" s="912">
        <f>GLOBAL_DER_FEV_2023!G2036</f>
        <v>83.904846000000006</v>
      </c>
      <c r="H2036" s="901">
        <f>GLOBAL_DER_FEV_2023!H2036</f>
        <v>1267.57</v>
      </c>
      <c r="I2036" s="901">
        <f>GLOBAL_DER_FEV_2023!I2036</f>
        <v>1351.4748459999998</v>
      </c>
      <c r="J2036" s="902">
        <f>GLOBAL_DER_FEV_2023!J2036</f>
        <v>1622.72</v>
      </c>
      <c r="K2036" s="903" t="s">
        <v>13</v>
      </c>
      <c r="L2036" s="1137"/>
      <c r="M2036" s="1138">
        <f t="shared" si="152"/>
        <v>0</v>
      </c>
      <c r="N2036" s="1176">
        <f t="shared" si="156"/>
        <v>0</v>
      </c>
      <c r="O2036" s="905"/>
      <c r="Q2036" s="317" t="str">
        <f t="shared" si="153"/>
        <v/>
      </c>
      <c r="R2036" s="317" t="str">
        <f t="shared" si="154"/>
        <v/>
      </c>
      <c r="S2036" s="317" t="str">
        <f t="shared" si="155"/>
        <v/>
      </c>
      <c r="T2036" s="317" t="str">
        <f>GLOBAL_DER_FEV_2023!S2036</f>
        <v/>
      </c>
      <c r="W2036" s="582">
        <v>0</v>
      </c>
      <c r="X2036" s="580"/>
      <c r="Y2036" s="583">
        <f>IF(GLOBAL_DER_FEV_2023!W2036=0,0,IF(GLOBAL_DER_FEV_2023!W2036&gt;0,"c","b"))</f>
        <v>0</v>
      </c>
    </row>
    <row r="2037" spans="1:25" ht="15" hidden="1" customHeight="1" x14ac:dyDescent="0.2">
      <c r="A2037" s="317" t="s">
        <v>147</v>
      </c>
      <c r="B2037" s="895" t="s">
        <v>147</v>
      </c>
      <c r="C2037" s="896"/>
      <c r="D2037" s="906" t="s">
        <v>190</v>
      </c>
      <c r="E2037" s="907">
        <f>GLOBAL_DER_FEV_2023!E2037</f>
        <v>308</v>
      </c>
      <c r="F2037" s="908">
        <f>GLOBAL_DER_FEV_2023!F2037</f>
        <v>8.0999999999999996E-3</v>
      </c>
      <c r="G2037" s="909">
        <f>GLOBAL_DER_FEV_2023!G2037</f>
        <v>2.0092859999999999</v>
      </c>
      <c r="H2037" s="901">
        <f>GLOBAL_DER_FEV_2023!H2037</f>
        <v>0</v>
      </c>
      <c r="I2037" s="901" t="str">
        <f>GLOBAL_DER_FEV_2023!I2037</f>
        <v/>
      </c>
      <c r="J2037" s="902">
        <f>GLOBAL_DER_FEV_2023!J2037</f>
        <v>0</v>
      </c>
      <c r="K2037" s="903"/>
      <c r="L2037" s="1177"/>
      <c r="M2037" s="1138">
        <f t="shared" si="152"/>
        <v>0</v>
      </c>
      <c r="N2037" s="1176">
        <f t="shared" si="156"/>
        <v>0</v>
      </c>
      <c r="O2037" s="905"/>
      <c r="P2037" s="36" t="str">
        <f>IF(N2036&gt;0,"xx",IF(N2036&gt;0,"xy",""))</f>
        <v/>
      </c>
      <c r="Q2037" s="317" t="str">
        <f t="shared" si="153"/>
        <v/>
      </c>
      <c r="R2037" s="317" t="str">
        <f t="shared" si="154"/>
        <v/>
      </c>
      <c r="S2037" s="317" t="str">
        <f t="shared" si="155"/>
        <v/>
      </c>
      <c r="T2037" s="317" t="str">
        <f>GLOBAL_DER_FEV_2023!S2037</f>
        <v/>
      </c>
      <c r="W2037" s="582">
        <v>0</v>
      </c>
      <c r="X2037" s="580"/>
      <c r="Y2037" s="583">
        <f>IF(GLOBAL_DER_FEV_2023!W2037=0,0,IF(GLOBAL_DER_FEV_2023!W2037&gt;0,"c","b"))</f>
        <v>0</v>
      </c>
    </row>
    <row r="2038" spans="1:25" ht="15" hidden="1" customHeight="1" x14ac:dyDescent="0.2">
      <c r="A2038" s="317" t="s">
        <v>147</v>
      </c>
      <c r="B2038" s="895" t="s">
        <v>147</v>
      </c>
      <c r="C2038" s="896"/>
      <c r="D2038" s="906" t="s">
        <v>229</v>
      </c>
      <c r="E2038" s="907">
        <f>GLOBAL_DER_FEV_2023!E2038</f>
        <v>150</v>
      </c>
      <c r="F2038" s="908">
        <f>GLOBAL_DER_FEV_2023!F2038</f>
        <v>4.2000000000000003E-2</v>
      </c>
      <c r="G2038" s="949">
        <f>GLOBAL_DER_FEV_2023!G2038</f>
        <v>6.8535600000000008</v>
      </c>
      <c r="H2038" s="901">
        <f>GLOBAL_DER_FEV_2023!H2038</f>
        <v>0</v>
      </c>
      <c r="I2038" s="901" t="str">
        <f>GLOBAL_DER_FEV_2023!I2038</f>
        <v/>
      </c>
      <c r="J2038" s="902">
        <f>GLOBAL_DER_FEV_2023!J2038</f>
        <v>0</v>
      </c>
      <c r="K2038" s="903"/>
      <c r="L2038" s="1177"/>
      <c r="M2038" s="1138">
        <f t="shared" si="152"/>
        <v>0</v>
      </c>
      <c r="N2038" s="1176">
        <f t="shared" si="156"/>
        <v>0</v>
      </c>
      <c r="O2038" s="905"/>
      <c r="P2038" s="36" t="str">
        <f>IF(N2036&gt;0,"xx",IF(N2036&gt;0,"xy",""))</f>
        <v/>
      </c>
      <c r="Q2038" s="317" t="str">
        <f t="shared" si="153"/>
        <v/>
      </c>
      <c r="R2038" s="317" t="str">
        <f t="shared" si="154"/>
        <v/>
      </c>
      <c r="S2038" s="317" t="str">
        <f t="shared" si="155"/>
        <v/>
      </c>
      <c r="T2038" s="317" t="str">
        <f>GLOBAL_DER_FEV_2023!S2038</f>
        <v/>
      </c>
      <c r="W2038" s="582">
        <v>0</v>
      </c>
      <c r="X2038" s="580"/>
      <c r="Y2038" s="583">
        <f>IF(GLOBAL_DER_FEV_2023!W2038=0,0,IF(GLOBAL_DER_FEV_2023!W2038&gt;0,"c","b"))</f>
        <v>0</v>
      </c>
    </row>
    <row r="2039" spans="1:25" ht="15" hidden="1" customHeight="1" x14ac:dyDescent="0.2">
      <c r="A2039" s="317" t="s">
        <v>147</v>
      </c>
      <c r="B2039" s="895" t="s">
        <v>147</v>
      </c>
      <c r="C2039" s="896"/>
      <c r="D2039" s="906" t="s">
        <v>336</v>
      </c>
      <c r="E2039" s="907">
        <f>GLOBAL_DER_FEV_2023!E2039</f>
        <v>40</v>
      </c>
      <c r="F2039" s="908">
        <f>GLOBAL_DER_FEV_2023!F2039</f>
        <v>1.65</v>
      </c>
      <c r="G2039" s="949">
        <f>GLOBAL_DER_FEV_2023!G2039</f>
        <v>75.042000000000002</v>
      </c>
      <c r="H2039" s="901">
        <f>GLOBAL_DER_FEV_2023!H2039</f>
        <v>0</v>
      </c>
      <c r="I2039" s="901" t="str">
        <f>GLOBAL_DER_FEV_2023!I2039</f>
        <v/>
      </c>
      <c r="J2039" s="902">
        <f>GLOBAL_DER_FEV_2023!J2039</f>
        <v>0</v>
      </c>
      <c r="K2039" s="903"/>
      <c r="L2039" s="1177"/>
      <c r="M2039" s="1138">
        <f t="shared" si="152"/>
        <v>0</v>
      </c>
      <c r="N2039" s="1176">
        <f t="shared" si="156"/>
        <v>0</v>
      </c>
      <c r="O2039" s="905"/>
      <c r="P2039" s="36" t="str">
        <f>IF(N2036&gt;0,"xx",IF(N2036&gt;0,"xy",""))</f>
        <v/>
      </c>
      <c r="Q2039" s="317" t="str">
        <f t="shared" si="153"/>
        <v/>
      </c>
      <c r="R2039" s="317" t="str">
        <f t="shared" si="154"/>
        <v/>
      </c>
      <c r="S2039" s="317" t="str">
        <f t="shared" si="155"/>
        <v/>
      </c>
      <c r="T2039" s="317" t="str">
        <f>GLOBAL_DER_FEV_2023!S2039</f>
        <v/>
      </c>
      <c r="W2039" s="582">
        <v>0</v>
      </c>
      <c r="X2039" s="580"/>
      <c r="Y2039" s="583">
        <f>IF(GLOBAL_DER_FEV_2023!W2039=0,0,IF(GLOBAL_DER_FEV_2023!W2039&gt;0,"c","b"))</f>
        <v>0</v>
      </c>
    </row>
    <row r="2040" spans="1:25" ht="15" hidden="1" customHeight="1" x14ac:dyDescent="0.2">
      <c r="A2040" s="317">
        <v>611400</v>
      </c>
      <c r="B2040" s="895" t="s">
        <v>1851</v>
      </c>
      <c r="C2040" s="896" t="s">
        <v>184</v>
      </c>
      <c r="D2040" s="906" t="s">
        <v>2034</v>
      </c>
      <c r="E2040" s="907">
        <f>GLOBAL_DER_FEV_2023!E2040</f>
        <v>0</v>
      </c>
      <c r="F2040" s="908">
        <f>GLOBAL_DER_FEV_2023!F2040</f>
        <v>0</v>
      </c>
      <c r="G2040" s="912">
        <f>GLOBAL_DER_FEV_2023!G2040</f>
        <v>101.90895</v>
      </c>
      <c r="H2040" s="901">
        <f>GLOBAL_DER_FEV_2023!H2040</f>
        <v>1267.57</v>
      </c>
      <c r="I2040" s="901">
        <f>GLOBAL_DER_FEV_2023!I2040</f>
        <v>1369.4789499999999</v>
      </c>
      <c r="J2040" s="902">
        <f>GLOBAL_DER_FEV_2023!J2040</f>
        <v>1644.33</v>
      </c>
      <c r="K2040" s="903" t="s">
        <v>13</v>
      </c>
      <c r="L2040" s="1137"/>
      <c r="M2040" s="1138">
        <f t="shared" si="152"/>
        <v>0</v>
      </c>
      <c r="N2040" s="1176">
        <f t="shared" si="156"/>
        <v>0</v>
      </c>
      <c r="O2040" s="905"/>
      <c r="Q2040" s="317" t="str">
        <f t="shared" si="153"/>
        <v/>
      </c>
      <c r="R2040" s="317" t="str">
        <f t="shared" si="154"/>
        <v/>
      </c>
      <c r="S2040" s="317" t="str">
        <f t="shared" si="155"/>
        <v/>
      </c>
      <c r="T2040" s="317" t="str">
        <f>GLOBAL_DER_FEV_2023!S2040</f>
        <v/>
      </c>
      <c r="W2040" s="582">
        <v>0</v>
      </c>
      <c r="X2040" s="580"/>
      <c r="Y2040" s="583">
        <f>IF(GLOBAL_DER_FEV_2023!W2040=0,0,IF(GLOBAL_DER_FEV_2023!W2040&gt;0,"c","b"))</f>
        <v>0</v>
      </c>
    </row>
    <row r="2041" spans="1:25" ht="15" hidden="1" customHeight="1" x14ac:dyDescent="0.2">
      <c r="A2041" s="317" t="s">
        <v>147</v>
      </c>
      <c r="B2041" s="895" t="s">
        <v>147</v>
      </c>
      <c r="C2041" s="896"/>
      <c r="D2041" s="906" t="s">
        <v>190</v>
      </c>
      <c r="E2041" s="907">
        <f>GLOBAL_DER_FEV_2023!E2041</f>
        <v>308</v>
      </c>
      <c r="F2041" s="908">
        <f>GLOBAL_DER_FEV_2023!F2041</f>
        <v>9.1999999999999998E-3</v>
      </c>
      <c r="G2041" s="909">
        <f>GLOBAL_DER_FEV_2023!G2041</f>
        <v>2.282152</v>
      </c>
      <c r="H2041" s="901">
        <f>GLOBAL_DER_FEV_2023!H2041</f>
        <v>0</v>
      </c>
      <c r="I2041" s="901">
        <f>GLOBAL_DER_FEV_2023!I2041</f>
        <v>0</v>
      </c>
      <c r="J2041" s="902">
        <f>GLOBAL_DER_FEV_2023!J2041</f>
        <v>0</v>
      </c>
      <c r="K2041" s="903"/>
      <c r="L2041" s="1177"/>
      <c r="M2041" s="1138">
        <f t="shared" si="152"/>
        <v>0</v>
      </c>
      <c r="N2041" s="1176">
        <f t="shared" si="156"/>
        <v>0</v>
      </c>
      <c r="O2041" s="905"/>
      <c r="P2041" s="36" t="str">
        <f>IF(N2040&gt;0,"xx",IF(N2040&gt;0,"xy",""))</f>
        <v/>
      </c>
      <c r="Q2041" s="317" t="str">
        <f t="shared" si="153"/>
        <v/>
      </c>
      <c r="R2041" s="317" t="str">
        <f t="shared" si="154"/>
        <v/>
      </c>
      <c r="S2041" s="317" t="str">
        <f t="shared" si="155"/>
        <v/>
      </c>
      <c r="T2041" s="317" t="str">
        <f>GLOBAL_DER_FEV_2023!S2041</f>
        <v/>
      </c>
      <c r="W2041" s="582">
        <v>0</v>
      </c>
      <c r="X2041" s="580"/>
      <c r="Y2041" s="583">
        <f>IF(GLOBAL_DER_FEV_2023!W2041=0,0,IF(GLOBAL_DER_FEV_2023!W2041&gt;0,"c","b"))</f>
        <v>0</v>
      </c>
    </row>
    <row r="2042" spans="1:25" ht="15" hidden="1" customHeight="1" x14ac:dyDescent="0.2">
      <c r="A2042" s="317" t="s">
        <v>147</v>
      </c>
      <c r="B2042" s="895" t="s">
        <v>147</v>
      </c>
      <c r="C2042" s="896"/>
      <c r="D2042" s="906" t="s">
        <v>229</v>
      </c>
      <c r="E2042" s="907">
        <f>GLOBAL_DER_FEV_2023!E2042</f>
        <v>150</v>
      </c>
      <c r="F2042" s="908">
        <f>GLOBAL_DER_FEV_2023!F2042</f>
        <v>4.7899999999999998E-2</v>
      </c>
      <c r="G2042" s="949">
        <f>GLOBAL_DER_FEV_2023!G2042</f>
        <v>7.8163220000000004</v>
      </c>
      <c r="H2042" s="901">
        <f>GLOBAL_DER_FEV_2023!H2042</f>
        <v>0</v>
      </c>
      <c r="I2042" s="901">
        <f>GLOBAL_DER_FEV_2023!I2042</f>
        <v>0</v>
      </c>
      <c r="J2042" s="902">
        <f>GLOBAL_DER_FEV_2023!J2042</f>
        <v>0</v>
      </c>
      <c r="K2042" s="903"/>
      <c r="L2042" s="1177"/>
      <c r="M2042" s="1138">
        <f t="shared" si="152"/>
        <v>0</v>
      </c>
      <c r="N2042" s="1176">
        <f t="shared" si="156"/>
        <v>0</v>
      </c>
      <c r="O2042" s="905"/>
      <c r="P2042" s="36" t="str">
        <f>IF(N2040&gt;0,"xx",IF(N2040&gt;0,"xy",""))</f>
        <v/>
      </c>
      <c r="Q2042" s="317" t="str">
        <f t="shared" si="153"/>
        <v/>
      </c>
      <c r="R2042" s="317" t="str">
        <f t="shared" si="154"/>
        <v/>
      </c>
      <c r="S2042" s="317" t="str">
        <f t="shared" si="155"/>
        <v/>
      </c>
      <c r="T2042" s="317" t="str">
        <f>GLOBAL_DER_FEV_2023!S2042</f>
        <v/>
      </c>
      <c r="W2042" s="582">
        <v>0</v>
      </c>
      <c r="X2042" s="580"/>
      <c r="Y2042" s="583">
        <f>IF(GLOBAL_DER_FEV_2023!W2042=0,0,IF(GLOBAL_DER_FEV_2023!W2042&gt;0,"c","b"))</f>
        <v>0</v>
      </c>
    </row>
    <row r="2043" spans="1:25" ht="15" hidden="1" customHeight="1" x14ac:dyDescent="0.2">
      <c r="A2043" s="317" t="s">
        <v>147</v>
      </c>
      <c r="B2043" s="895" t="s">
        <v>147</v>
      </c>
      <c r="C2043" s="896"/>
      <c r="D2043" s="906" t="s">
        <v>336</v>
      </c>
      <c r="E2043" s="907">
        <f>GLOBAL_DER_FEV_2023!E2043</f>
        <v>40</v>
      </c>
      <c r="F2043" s="908">
        <f>GLOBAL_DER_FEV_2023!F2043</f>
        <v>2.0186999999999999</v>
      </c>
      <c r="G2043" s="949">
        <f>GLOBAL_DER_FEV_2023!G2043</f>
        <v>91.810476000000008</v>
      </c>
      <c r="H2043" s="901">
        <f>GLOBAL_DER_FEV_2023!H2043</f>
        <v>0</v>
      </c>
      <c r="I2043" s="901">
        <f>GLOBAL_DER_FEV_2023!I2043</f>
        <v>0</v>
      </c>
      <c r="J2043" s="902">
        <f>GLOBAL_DER_FEV_2023!J2043</f>
        <v>0</v>
      </c>
      <c r="K2043" s="903"/>
      <c r="L2043" s="1177"/>
      <c r="M2043" s="1138">
        <f t="shared" si="152"/>
        <v>0</v>
      </c>
      <c r="N2043" s="1176">
        <f t="shared" si="156"/>
        <v>0</v>
      </c>
      <c r="O2043" s="905"/>
      <c r="P2043" s="36" t="str">
        <f>IF(N2040&gt;0,"xx",IF(N2040&gt;0,"xy",""))</f>
        <v/>
      </c>
      <c r="Q2043" s="317" t="str">
        <f t="shared" si="153"/>
        <v/>
      </c>
      <c r="R2043" s="317" t="str">
        <f t="shared" si="154"/>
        <v/>
      </c>
      <c r="S2043" s="317" t="str">
        <f t="shared" si="155"/>
        <v/>
      </c>
      <c r="T2043" s="317" t="str">
        <f>GLOBAL_DER_FEV_2023!S2043</f>
        <v/>
      </c>
      <c r="W2043" s="582">
        <v>0</v>
      </c>
      <c r="X2043" s="580"/>
      <c r="Y2043" s="583">
        <f>IF(GLOBAL_DER_FEV_2023!W2043=0,0,IF(GLOBAL_DER_FEV_2023!W2043&gt;0,"c","b"))</f>
        <v>0</v>
      </c>
    </row>
    <row r="2044" spans="1:25" ht="15" hidden="1" customHeight="1" x14ac:dyDescent="0.2">
      <c r="A2044" s="317">
        <v>611600</v>
      </c>
      <c r="B2044" s="895" t="s">
        <v>1853</v>
      </c>
      <c r="C2044" s="896" t="s">
        <v>184</v>
      </c>
      <c r="D2044" s="906" t="s">
        <v>2035</v>
      </c>
      <c r="E2044" s="907">
        <f>GLOBAL_DER_FEV_2023!E2044</f>
        <v>0</v>
      </c>
      <c r="F2044" s="908">
        <f>GLOBAL_DER_FEV_2023!F2044</f>
        <v>0</v>
      </c>
      <c r="G2044" s="912">
        <f>GLOBAL_DER_FEV_2023!G2044</f>
        <v>108.41245400000001</v>
      </c>
      <c r="H2044" s="901">
        <f>GLOBAL_DER_FEV_2023!H2044</f>
        <v>3058.31</v>
      </c>
      <c r="I2044" s="901">
        <f>GLOBAL_DER_FEV_2023!I2044</f>
        <v>3166.7224539999997</v>
      </c>
      <c r="J2044" s="902">
        <f>GLOBAL_DER_FEV_2023!J2044</f>
        <v>3802.28</v>
      </c>
      <c r="K2044" s="903" t="s">
        <v>13</v>
      </c>
      <c r="L2044" s="1137"/>
      <c r="M2044" s="1138">
        <f t="shared" si="152"/>
        <v>0</v>
      </c>
      <c r="N2044" s="1176">
        <f t="shared" si="156"/>
        <v>0</v>
      </c>
      <c r="O2044" s="905"/>
      <c r="Q2044" s="317" t="str">
        <f t="shared" si="153"/>
        <v/>
      </c>
      <c r="R2044" s="317" t="str">
        <f t="shared" si="154"/>
        <v/>
      </c>
      <c r="S2044" s="317" t="str">
        <f t="shared" si="155"/>
        <v/>
      </c>
      <c r="T2044" s="317" t="str">
        <f>GLOBAL_DER_FEV_2023!S2044</f>
        <v/>
      </c>
      <c r="W2044" s="582">
        <v>0</v>
      </c>
      <c r="X2044" s="580"/>
      <c r="Y2044" s="583">
        <f>IF(GLOBAL_DER_FEV_2023!W2044=0,0,IF(GLOBAL_DER_FEV_2023!W2044&gt;0,"c","b"))</f>
        <v>0</v>
      </c>
    </row>
    <row r="2045" spans="1:25" ht="15" hidden="1" customHeight="1" x14ac:dyDescent="0.2">
      <c r="A2045" s="317" t="s">
        <v>147</v>
      </c>
      <c r="B2045" s="895" t="s">
        <v>147</v>
      </c>
      <c r="C2045" s="896"/>
      <c r="D2045" s="906" t="s">
        <v>190</v>
      </c>
      <c r="E2045" s="907">
        <f>GLOBAL_DER_FEV_2023!E2045</f>
        <v>308</v>
      </c>
      <c r="F2045" s="908">
        <f>GLOBAL_DER_FEV_2023!F2045</f>
        <v>9.7000000000000003E-3</v>
      </c>
      <c r="G2045" s="909">
        <f>GLOBAL_DER_FEV_2023!G2045</f>
        <v>2.4061820000000003</v>
      </c>
      <c r="H2045" s="901">
        <f>GLOBAL_DER_FEV_2023!H2045</f>
        <v>0</v>
      </c>
      <c r="I2045" s="901">
        <f>GLOBAL_DER_FEV_2023!I2045</f>
        <v>0</v>
      </c>
      <c r="J2045" s="902">
        <f>GLOBAL_DER_FEV_2023!J2045</f>
        <v>0</v>
      </c>
      <c r="K2045" s="903"/>
      <c r="L2045" s="1177"/>
      <c r="M2045" s="1138">
        <f t="shared" si="152"/>
        <v>0</v>
      </c>
      <c r="N2045" s="1176">
        <f t="shared" si="156"/>
        <v>0</v>
      </c>
      <c r="O2045" s="905"/>
      <c r="P2045" s="36" t="str">
        <f>IF(N2044&gt;0,"xx",IF(N2044&gt;0,"xy",""))</f>
        <v/>
      </c>
      <c r="Q2045" s="317" t="str">
        <f t="shared" si="153"/>
        <v/>
      </c>
      <c r="R2045" s="317" t="str">
        <f t="shared" si="154"/>
        <v/>
      </c>
      <c r="S2045" s="317" t="str">
        <f t="shared" si="155"/>
        <v/>
      </c>
      <c r="T2045" s="317" t="str">
        <f>GLOBAL_DER_FEV_2023!S2045</f>
        <v/>
      </c>
      <c r="W2045" s="582">
        <v>0</v>
      </c>
      <c r="X2045" s="580"/>
      <c r="Y2045" s="583">
        <f>IF(GLOBAL_DER_FEV_2023!W2045=0,0,IF(GLOBAL_DER_FEV_2023!W2045&gt;0,"c","b"))</f>
        <v>0</v>
      </c>
    </row>
    <row r="2046" spans="1:25" ht="15" hidden="1" customHeight="1" x14ac:dyDescent="0.2">
      <c r="A2046" s="317" t="s">
        <v>147</v>
      </c>
      <c r="B2046" s="895" t="s">
        <v>147</v>
      </c>
      <c r="C2046" s="896"/>
      <c r="D2046" s="906" t="s">
        <v>229</v>
      </c>
      <c r="E2046" s="907">
        <f>GLOBAL_DER_FEV_2023!E2046</f>
        <v>150</v>
      </c>
      <c r="F2046" s="908">
        <f>GLOBAL_DER_FEV_2023!F2046</f>
        <v>5.04E-2</v>
      </c>
      <c r="G2046" s="949">
        <f>GLOBAL_DER_FEV_2023!G2046</f>
        <v>8.2242720000000009</v>
      </c>
      <c r="H2046" s="901">
        <f>GLOBAL_DER_FEV_2023!H2046</f>
        <v>0</v>
      </c>
      <c r="I2046" s="901">
        <f>GLOBAL_DER_FEV_2023!I2046</f>
        <v>0</v>
      </c>
      <c r="J2046" s="902">
        <f>GLOBAL_DER_FEV_2023!J2046</f>
        <v>0</v>
      </c>
      <c r="K2046" s="903"/>
      <c r="L2046" s="1177"/>
      <c r="M2046" s="1138">
        <f t="shared" si="152"/>
        <v>0</v>
      </c>
      <c r="N2046" s="1176">
        <f t="shared" si="156"/>
        <v>0</v>
      </c>
      <c r="O2046" s="905"/>
      <c r="P2046" s="36" t="str">
        <f>IF(N2044&gt;0,"xx",IF(N2044&gt;0,"xy",""))</f>
        <v/>
      </c>
      <c r="Q2046" s="317" t="str">
        <f t="shared" si="153"/>
        <v/>
      </c>
      <c r="R2046" s="317" t="str">
        <f t="shared" si="154"/>
        <v/>
      </c>
      <c r="S2046" s="317" t="str">
        <f t="shared" si="155"/>
        <v/>
      </c>
      <c r="T2046" s="317" t="str">
        <f>GLOBAL_DER_FEV_2023!S2046</f>
        <v/>
      </c>
      <c r="W2046" s="582">
        <v>0</v>
      </c>
      <c r="X2046" s="580"/>
      <c r="Y2046" s="583">
        <f>IF(GLOBAL_DER_FEV_2023!W2046=0,0,IF(GLOBAL_DER_FEV_2023!W2046&gt;0,"c","b"))</f>
        <v>0</v>
      </c>
    </row>
    <row r="2047" spans="1:25" ht="15" hidden="1" customHeight="1" x14ac:dyDescent="0.2">
      <c r="A2047" s="317" t="s">
        <v>147</v>
      </c>
      <c r="B2047" s="895" t="s">
        <v>147</v>
      </c>
      <c r="C2047" s="896"/>
      <c r="D2047" s="906" t="s">
        <v>336</v>
      </c>
      <c r="E2047" s="907">
        <f>GLOBAL_DER_FEV_2023!E2047</f>
        <v>40</v>
      </c>
      <c r="F2047" s="908">
        <f>GLOBAL_DER_FEV_2023!F2047</f>
        <v>2.15</v>
      </c>
      <c r="G2047" s="949">
        <f>GLOBAL_DER_FEV_2023!G2047</f>
        <v>97.782000000000011</v>
      </c>
      <c r="H2047" s="901">
        <f>GLOBAL_DER_FEV_2023!H2047</f>
        <v>0</v>
      </c>
      <c r="I2047" s="901">
        <f>GLOBAL_DER_FEV_2023!I2047</f>
        <v>0</v>
      </c>
      <c r="J2047" s="902">
        <f>GLOBAL_DER_FEV_2023!J2047</f>
        <v>0</v>
      </c>
      <c r="K2047" s="903"/>
      <c r="L2047" s="1177"/>
      <c r="M2047" s="1138">
        <f t="shared" si="152"/>
        <v>0</v>
      </c>
      <c r="N2047" s="1176">
        <f t="shared" si="156"/>
        <v>0</v>
      </c>
      <c r="O2047" s="905"/>
      <c r="P2047" s="36" t="str">
        <f>IF(N2044&gt;0,"xx",IF(N2044&gt;0,"xy",""))</f>
        <v/>
      </c>
      <c r="Q2047" s="317" t="str">
        <f t="shared" si="153"/>
        <v/>
      </c>
      <c r="R2047" s="317" t="str">
        <f t="shared" si="154"/>
        <v/>
      </c>
      <c r="S2047" s="317" t="str">
        <f t="shared" si="155"/>
        <v/>
      </c>
      <c r="T2047" s="317" t="str">
        <f>GLOBAL_DER_FEV_2023!S2047</f>
        <v/>
      </c>
      <c r="W2047" s="582">
        <v>0</v>
      </c>
      <c r="X2047" s="580"/>
      <c r="Y2047" s="583">
        <f>IF(GLOBAL_DER_FEV_2023!W2047=0,0,IF(GLOBAL_DER_FEV_2023!W2047&gt;0,"c","b"))</f>
        <v>0</v>
      </c>
    </row>
    <row r="2048" spans="1:25" ht="15" hidden="1" customHeight="1" x14ac:dyDescent="0.2">
      <c r="A2048" s="317">
        <v>610500</v>
      </c>
      <c r="B2048" s="895">
        <v>610500</v>
      </c>
      <c r="C2048" s="896" t="s">
        <v>184</v>
      </c>
      <c r="D2048" s="906" t="s">
        <v>2036</v>
      </c>
      <c r="E2048" s="907">
        <f>GLOBAL_DER_FEV_2023!E2048</f>
        <v>0</v>
      </c>
      <c r="F2048" s="908">
        <f>GLOBAL_DER_FEV_2023!F2048</f>
        <v>0</v>
      </c>
      <c r="G2048" s="912">
        <f>GLOBAL_DER_FEV_2023!G2048</f>
        <v>26.827718600000001</v>
      </c>
      <c r="H2048" s="901">
        <f>GLOBAL_DER_FEV_2023!H2048</f>
        <v>206.29</v>
      </c>
      <c r="I2048" s="901">
        <f>GLOBAL_DER_FEV_2023!I2048</f>
        <v>233.11771859999999</v>
      </c>
      <c r="J2048" s="902">
        <f>GLOBAL_DER_FEV_2023!J2048</f>
        <v>279.89999999999998</v>
      </c>
      <c r="K2048" s="903" t="s">
        <v>13</v>
      </c>
      <c r="L2048" s="1137"/>
      <c r="M2048" s="1138">
        <f t="shared" si="152"/>
        <v>0</v>
      </c>
      <c r="N2048" s="1176">
        <f t="shared" si="156"/>
        <v>0</v>
      </c>
      <c r="O2048" s="905"/>
      <c r="Q2048" s="317" t="str">
        <f t="shared" si="153"/>
        <v/>
      </c>
      <c r="R2048" s="317" t="str">
        <f t="shared" si="154"/>
        <v/>
      </c>
      <c r="S2048" s="317" t="str">
        <f t="shared" si="155"/>
        <v/>
      </c>
      <c r="T2048" s="317" t="str">
        <f>GLOBAL_DER_FEV_2023!S2048</f>
        <v/>
      </c>
      <c r="W2048" s="582">
        <v>0</v>
      </c>
      <c r="X2048" s="580"/>
      <c r="Y2048" s="583">
        <f>IF(GLOBAL_DER_FEV_2023!W2048=0,0,IF(GLOBAL_DER_FEV_2023!W2048&gt;0,"c","b"))</f>
        <v>0</v>
      </c>
    </row>
    <row r="2049" spans="1:25" ht="15" hidden="1" customHeight="1" x14ac:dyDescent="0.2">
      <c r="A2049" s="317" t="s">
        <v>147</v>
      </c>
      <c r="B2049" s="895" t="s">
        <v>147</v>
      </c>
      <c r="C2049" s="896"/>
      <c r="D2049" s="906" t="s">
        <v>190</v>
      </c>
      <c r="E2049" s="907">
        <f>GLOBAL_DER_FEV_2023!E2049</f>
        <v>308</v>
      </c>
      <c r="F2049" s="908">
        <f>GLOBAL_DER_FEV_2023!F2049</f>
        <v>2.2599999999999999E-2</v>
      </c>
      <c r="G2049" s="909">
        <f>GLOBAL_DER_FEV_2023!G2049</f>
        <v>5.6061559999999995</v>
      </c>
      <c r="H2049" s="901">
        <f>GLOBAL_DER_FEV_2023!H2049</f>
        <v>0</v>
      </c>
      <c r="I2049" s="901">
        <f>GLOBAL_DER_FEV_2023!I2049</f>
        <v>0</v>
      </c>
      <c r="J2049" s="902">
        <f>GLOBAL_DER_FEV_2023!J2049</f>
        <v>0</v>
      </c>
      <c r="K2049" s="903"/>
      <c r="L2049" s="1177"/>
      <c r="M2049" s="1138">
        <f t="shared" si="152"/>
        <v>0</v>
      </c>
      <c r="N2049" s="1176">
        <f t="shared" si="156"/>
        <v>0</v>
      </c>
      <c r="O2049" s="905"/>
      <c r="P2049" s="36" t="str">
        <f>IF(N2048&gt;0,"xx",IF(N2048&gt;0,"xy",""))</f>
        <v/>
      </c>
      <c r="Q2049" s="317" t="str">
        <f t="shared" si="153"/>
        <v/>
      </c>
      <c r="R2049" s="317" t="str">
        <f t="shared" si="154"/>
        <v/>
      </c>
      <c r="S2049" s="317" t="str">
        <f t="shared" si="155"/>
        <v/>
      </c>
      <c r="T2049" s="317" t="str">
        <f>GLOBAL_DER_FEV_2023!S2049</f>
        <v/>
      </c>
      <c r="W2049" s="582">
        <v>0</v>
      </c>
      <c r="X2049" s="580"/>
      <c r="Y2049" s="583">
        <f>IF(GLOBAL_DER_FEV_2023!W2049=0,0,IF(GLOBAL_DER_FEV_2023!W2049&gt;0,"c","b"))</f>
        <v>0</v>
      </c>
    </row>
    <row r="2050" spans="1:25" ht="15" hidden="1" customHeight="1" x14ac:dyDescent="0.2">
      <c r="A2050" s="317" t="s">
        <v>147</v>
      </c>
      <c r="B2050" s="895" t="s">
        <v>147</v>
      </c>
      <c r="C2050" s="896"/>
      <c r="D2050" s="906" t="s">
        <v>229</v>
      </c>
      <c r="E2050" s="907">
        <f>GLOBAL_DER_FEV_2023!E2050</f>
        <v>150</v>
      </c>
      <c r="F2050" s="908">
        <f>GLOBAL_DER_FEV_2023!F2050</f>
        <v>8.3900000000000002E-2</v>
      </c>
      <c r="G2050" s="949">
        <f>GLOBAL_DER_FEV_2023!G2050</f>
        <v>13.690802000000001</v>
      </c>
      <c r="H2050" s="901">
        <f>GLOBAL_DER_FEV_2023!H2050</f>
        <v>0</v>
      </c>
      <c r="I2050" s="901">
        <f>GLOBAL_DER_FEV_2023!I2050</f>
        <v>0</v>
      </c>
      <c r="J2050" s="902">
        <f>GLOBAL_DER_FEV_2023!J2050</f>
        <v>0</v>
      </c>
      <c r="K2050" s="903"/>
      <c r="L2050" s="1177"/>
      <c r="M2050" s="1138">
        <f t="shared" si="152"/>
        <v>0</v>
      </c>
      <c r="N2050" s="1176">
        <f t="shared" si="156"/>
        <v>0</v>
      </c>
      <c r="O2050" s="905"/>
      <c r="P2050" s="36" t="str">
        <f>IF(N2048&gt;0,"xx",IF(N2048&gt;0,"xy",""))</f>
        <v/>
      </c>
      <c r="Q2050" s="317" t="str">
        <f t="shared" si="153"/>
        <v/>
      </c>
      <c r="R2050" s="317" t="str">
        <f t="shared" si="154"/>
        <v/>
      </c>
      <c r="S2050" s="317" t="str">
        <f t="shared" si="155"/>
        <v/>
      </c>
      <c r="T2050" s="317" t="str">
        <f>GLOBAL_DER_FEV_2023!S2050</f>
        <v/>
      </c>
      <c r="W2050" s="582">
        <v>0</v>
      </c>
      <c r="X2050" s="580"/>
      <c r="Y2050" s="583">
        <f>IF(GLOBAL_DER_FEV_2023!W2050=0,0,IF(GLOBAL_DER_FEV_2023!W2050&gt;0,"c","b"))</f>
        <v>0</v>
      </c>
    </row>
    <row r="2051" spans="1:25" ht="15" hidden="1" customHeight="1" x14ac:dyDescent="0.2">
      <c r="A2051" s="317" t="s">
        <v>147</v>
      </c>
      <c r="B2051" s="895" t="s">
        <v>147</v>
      </c>
      <c r="C2051" s="896"/>
      <c r="D2051" s="906" t="s">
        <v>233</v>
      </c>
      <c r="E2051" s="907">
        <f>GLOBAL_DER_FEV_2023!E2051</f>
        <v>0.2</v>
      </c>
      <c r="F2051" s="908">
        <f>GLOBAL_DER_FEV_2023!F2051</f>
        <v>0.13490000000000002</v>
      </c>
      <c r="G2051" s="949">
        <f>GLOBAL_DER_FEV_2023!G2051</f>
        <v>0.3904006000000001</v>
      </c>
      <c r="H2051" s="901">
        <f>GLOBAL_DER_FEV_2023!H2051</f>
        <v>0</v>
      </c>
      <c r="I2051" s="901">
        <f>GLOBAL_DER_FEV_2023!I2051</f>
        <v>0</v>
      </c>
      <c r="J2051" s="902">
        <f>GLOBAL_DER_FEV_2023!J2051</f>
        <v>0</v>
      </c>
      <c r="K2051" s="903"/>
      <c r="L2051" s="1177"/>
      <c r="M2051" s="1138">
        <f t="shared" si="152"/>
        <v>0</v>
      </c>
      <c r="N2051" s="1176">
        <f t="shared" si="156"/>
        <v>0</v>
      </c>
      <c r="O2051" s="905"/>
      <c r="P2051" s="36" t="str">
        <f>IF(N2048&gt;0,"xx",IF(N2048&gt;0,"xy",""))</f>
        <v/>
      </c>
      <c r="Q2051" s="317" t="str">
        <f t="shared" si="153"/>
        <v/>
      </c>
      <c r="R2051" s="317" t="str">
        <f t="shared" si="154"/>
        <v/>
      </c>
      <c r="S2051" s="317" t="str">
        <f t="shared" si="155"/>
        <v/>
      </c>
      <c r="T2051" s="317" t="str">
        <f>GLOBAL_DER_FEV_2023!S2051</f>
        <v/>
      </c>
      <c r="W2051" s="582">
        <v>0</v>
      </c>
      <c r="X2051" s="580"/>
      <c r="Y2051" s="583">
        <f>IF(GLOBAL_DER_FEV_2023!W2051=0,0,IF(GLOBAL_DER_FEV_2023!W2051&gt;0,"c","b"))</f>
        <v>0</v>
      </c>
    </row>
    <row r="2052" spans="1:25" ht="15" hidden="1" customHeight="1" x14ac:dyDescent="0.2">
      <c r="A2052" s="317" t="s">
        <v>147</v>
      </c>
      <c r="B2052" s="895" t="s">
        <v>147</v>
      </c>
      <c r="C2052" s="896"/>
      <c r="D2052" s="906" t="s">
        <v>336</v>
      </c>
      <c r="E2052" s="907">
        <f>GLOBAL_DER_FEV_2023!E2052</f>
        <v>40</v>
      </c>
      <c r="F2052" s="908">
        <f>GLOBAL_DER_FEV_2023!F2052</f>
        <v>0.157</v>
      </c>
      <c r="G2052" s="949">
        <f>GLOBAL_DER_FEV_2023!G2052</f>
        <v>7.1403600000000003</v>
      </c>
      <c r="H2052" s="901">
        <f>GLOBAL_DER_FEV_2023!H2052</f>
        <v>0</v>
      </c>
      <c r="I2052" s="901">
        <f>GLOBAL_DER_FEV_2023!I2052</f>
        <v>0</v>
      </c>
      <c r="J2052" s="902">
        <f>GLOBAL_DER_FEV_2023!J2052</f>
        <v>0</v>
      </c>
      <c r="K2052" s="903"/>
      <c r="L2052" s="1177"/>
      <c r="M2052" s="1138">
        <f t="shared" si="152"/>
        <v>0</v>
      </c>
      <c r="N2052" s="1176">
        <f t="shared" si="156"/>
        <v>0</v>
      </c>
      <c r="O2052" s="905"/>
      <c r="P2052" s="36" t="str">
        <f>IF(N2048&gt;0,"xx",IF(N2048&gt;0,"xy",""))</f>
        <v/>
      </c>
      <c r="Q2052" s="317" t="str">
        <f t="shared" si="153"/>
        <v/>
      </c>
      <c r="R2052" s="317" t="str">
        <f t="shared" si="154"/>
        <v/>
      </c>
      <c r="S2052" s="317" t="str">
        <f t="shared" si="155"/>
        <v/>
      </c>
      <c r="T2052" s="317" t="str">
        <f>GLOBAL_DER_FEV_2023!S2052</f>
        <v/>
      </c>
      <c r="W2052" s="582">
        <v>0</v>
      </c>
      <c r="X2052" s="580"/>
      <c r="Y2052" s="583">
        <f>IF(GLOBAL_DER_FEV_2023!W2052=0,0,IF(GLOBAL_DER_FEV_2023!W2052&gt;0,"c","b"))</f>
        <v>0</v>
      </c>
    </row>
    <row r="2053" spans="1:25" ht="15" hidden="1" customHeight="1" x14ac:dyDescent="0.2">
      <c r="A2053" s="317">
        <v>610700</v>
      </c>
      <c r="B2053" s="895" t="s">
        <v>1838</v>
      </c>
      <c r="C2053" s="896" t="s">
        <v>184</v>
      </c>
      <c r="D2053" s="906" t="s">
        <v>2037</v>
      </c>
      <c r="E2053" s="907">
        <f>GLOBAL_DER_FEV_2023!E2053</f>
        <v>0</v>
      </c>
      <c r="F2053" s="908">
        <f>GLOBAL_DER_FEV_2023!F2053</f>
        <v>0</v>
      </c>
      <c r="G2053" s="912">
        <f>GLOBAL_DER_FEV_2023!G2053</f>
        <v>36.158851400000003</v>
      </c>
      <c r="H2053" s="901">
        <f>GLOBAL_DER_FEV_2023!H2053</f>
        <v>412.12</v>
      </c>
      <c r="I2053" s="901">
        <f>GLOBAL_DER_FEV_2023!I2053</f>
        <v>448.27885140000001</v>
      </c>
      <c r="J2053" s="902">
        <f>GLOBAL_DER_FEV_2023!J2053</f>
        <v>538.25</v>
      </c>
      <c r="K2053" s="903" t="s">
        <v>13</v>
      </c>
      <c r="L2053" s="1137"/>
      <c r="M2053" s="1138">
        <f t="shared" si="152"/>
        <v>0</v>
      </c>
      <c r="N2053" s="1176">
        <f t="shared" si="156"/>
        <v>0</v>
      </c>
      <c r="O2053" s="905"/>
      <c r="Q2053" s="317" t="str">
        <f t="shared" si="153"/>
        <v/>
      </c>
      <c r="R2053" s="317" t="str">
        <f t="shared" si="154"/>
        <v/>
      </c>
      <c r="S2053" s="317" t="str">
        <f t="shared" si="155"/>
        <v/>
      </c>
      <c r="T2053" s="317" t="str">
        <f>GLOBAL_DER_FEV_2023!S2053</f>
        <v/>
      </c>
      <c r="W2053" s="582">
        <v>0</v>
      </c>
      <c r="X2053" s="580"/>
      <c r="Y2053" s="583">
        <f>IF(GLOBAL_DER_FEV_2023!W2053=0,0,IF(GLOBAL_DER_FEV_2023!W2053&gt;0,"c","b"))</f>
        <v>0</v>
      </c>
    </row>
    <row r="2054" spans="1:25" ht="15" hidden="1" customHeight="1" x14ac:dyDescent="0.2">
      <c r="A2054" s="317" t="s">
        <v>147</v>
      </c>
      <c r="B2054" s="895" t="s">
        <v>147</v>
      </c>
      <c r="C2054" s="896"/>
      <c r="D2054" s="906" t="s">
        <v>190</v>
      </c>
      <c r="E2054" s="907">
        <f>GLOBAL_DER_FEV_2023!E2054</f>
        <v>308</v>
      </c>
      <c r="F2054" s="908">
        <f>GLOBAL_DER_FEV_2023!F2054</f>
        <v>2.86E-2</v>
      </c>
      <c r="G2054" s="909">
        <f>GLOBAL_DER_FEV_2023!G2054</f>
        <v>7.0945160000000005</v>
      </c>
      <c r="H2054" s="901">
        <f>GLOBAL_DER_FEV_2023!H2054</f>
        <v>0</v>
      </c>
      <c r="I2054" s="901">
        <f>GLOBAL_DER_FEV_2023!I2054</f>
        <v>0</v>
      </c>
      <c r="J2054" s="902">
        <f>GLOBAL_DER_FEV_2023!J2054</f>
        <v>0</v>
      </c>
      <c r="K2054" s="903"/>
      <c r="L2054" s="1177"/>
      <c r="M2054" s="1138">
        <f t="shared" si="152"/>
        <v>0</v>
      </c>
      <c r="N2054" s="1176">
        <f t="shared" si="156"/>
        <v>0</v>
      </c>
      <c r="O2054" s="905"/>
      <c r="P2054" s="36" t="str">
        <f>IF(N2053&gt;0,"xx",IF(N2053&gt;0,"xy",""))</f>
        <v/>
      </c>
      <c r="Q2054" s="317" t="str">
        <f t="shared" si="153"/>
        <v/>
      </c>
      <c r="R2054" s="317" t="str">
        <f t="shared" si="154"/>
        <v/>
      </c>
      <c r="S2054" s="317" t="str">
        <f t="shared" si="155"/>
        <v/>
      </c>
      <c r="T2054" s="317" t="str">
        <f>GLOBAL_DER_FEV_2023!S2054</f>
        <v/>
      </c>
      <c r="W2054" s="582">
        <v>0</v>
      </c>
      <c r="X2054" s="580"/>
      <c r="Y2054" s="583">
        <f>IF(GLOBAL_DER_FEV_2023!W2054=0,0,IF(GLOBAL_DER_FEV_2023!W2054&gt;0,"c","b"))</f>
        <v>0</v>
      </c>
    </row>
    <row r="2055" spans="1:25" ht="15" hidden="1" customHeight="1" x14ac:dyDescent="0.2">
      <c r="A2055" s="317" t="s">
        <v>147</v>
      </c>
      <c r="B2055" s="895" t="s">
        <v>147</v>
      </c>
      <c r="C2055" s="896"/>
      <c r="D2055" s="906" t="s">
        <v>229</v>
      </c>
      <c r="E2055" s="907">
        <f>GLOBAL_DER_FEV_2023!E2055</f>
        <v>150</v>
      </c>
      <c r="F2055" s="908">
        <f>GLOBAL_DER_FEV_2023!F2055</f>
        <v>0.10539999999999999</v>
      </c>
      <c r="G2055" s="949">
        <f>GLOBAL_DER_FEV_2023!G2055</f>
        <v>17.199172000000001</v>
      </c>
      <c r="H2055" s="901">
        <f>GLOBAL_DER_FEV_2023!H2055</f>
        <v>0</v>
      </c>
      <c r="I2055" s="901">
        <f>GLOBAL_DER_FEV_2023!I2055</f>
        <v>0</v>
      </c>
      <c r="J2055" s="902">
        <f>GLOBAL_DER_FEV_2023!J2055</f>
        <v>0</v>
      </c>
      <c r="K2055" s="903"/>
      <c r="L2055" s="1177"/>
      <c r="M2055" s="1138">
        <f t="shared" si="152"/>
        <v>0</v>
      </c>
      <c r="N2055" s="1176">
        <f t="shared" si="156"/>
        <v>0</v>
      </c>
      <c r="O2055" s="905"/>
      <c r="P2055" s="36" t="str">
        <f>IF(N2053&gt;0,"xx",IF(N2053&gt;0,"xy",""))</f>
        <v/>
      </c>
      <c r="Q2055" s="317" t="str">
        <f t="shared" si="153"/>
        <v/>
      </c>
      <c r="R2055" s="317" t="str">
        <f t="shared" si="154"/>
        <v/>
      </c>
      <c r="S2055" s="317" t="str">
        <f t="shared" si="155"/>
        <v/>
      </c>
      <c r="T2055" s="317" t="str">
        <f>GLOBAL_DER_FEV_2023!S2055</f>
        <v/>
      </c>
      <c r="W2055" s="582">
        <v>0</v>
      </c>
      <c r="X2055" s="580"/>
      <c r="Y2055" s="583">
        <f>IF(GLOBAL_DER_FEV_2023!W2055=0,0,IF(GLOBAL_DER_FEV_2023!W2055&gt;0,"c","b"))</f>
        <v>0</v>
      </c>
    </row>
    <row r="2056" spans="1:25" ht="15" hidden="1" customHeight="1" x14ac:dyDescent="0.2">
      <c r="A2056" s="317" t="s">
        <v>147</v>
      </c>
      <c r="B2056" s="895" t="s">
        <v>147</v>
      </c>
      <c r="C2056" s="896"/>
      <c r="D2056" s="906" t="s">
        <v>233</v>
      </c>
      <c r="E2056" s="907">
        <f>GLOBAL_DER_FEV_2023!E2056</f>
        <v>0.2</v>
      </c>
      <c r="F2056" s="908">
        <f>GLOBAL_DER_FEV_2023!F2056</f>
        <v>0.1711</v>
      </c>
      <c r="G2056" s="949">
        <f>GLOBAL_DER_FEV_2023!G2056</f>
        <v>0.49516340000000003</v>
      </c>
      <c r="H2056" s="901">
        <f>GLOBAL_DER_FEV_2023!H2056</f>
        <v>0</v>
      </c>
      <c r="I2056" s="901">
        <f>GLOBAL_DER_FEV_2023!I2056</f>
        <v>0</v>
      </c>
      <c r="J2056" s="902">
        <f>GLOBAL_DER_FEV_2023!J2056</f>
        <v>0</v>
      </c>
      <c r="K2056" s="903"/>
      <c r="L2056" s="1177"/>
      <c r="M2056" s="1138">
        <f t="shared" si="152"/>
        <v>0</v>
      </c>
      <c r="N2056" s="1176">
        <f t="shared" si="156"/>
        <v>0</v>
      </c>
      <c r="O2056" s="905"/>
      <c r="P2056" s="36" t="str">
        <f>IF(N2053&gt;0,"xx",IF(N2053&gt;0,"xy",""))</f>
        <v/>
      </c>
      <c r="Q2056" s="317" t="str">
        <f t="shared" si="153"/>
        <v/>
      </c>
      <c r="R2056" s="317" t="str">
        <f t="shared" si="154"/>
        <v/>
      </c>
      <c r="S2056" s="317" t="str">
        <f t="shared" si="155"/>
        <v/>
      </c>
      <c r="T2056" s="317" t="str">
        <f>GLOBAL_DER_FEV_2023!S2056</f>
        <v/>
      </c>
      <c r="W2056" s="582">
        <v>0</v>
      </c>
      <c r="X2056" s="580"/>
      <c r="Y2056" s="583">
        <f>IF(GLOBAL_DER_FEV_2023!W2056=0,0,IF(GLOBAL_DER_FEV_2023!W2056&gt;0,"c","b"))</f>
        <v>0</v>
      </c>
    </row>
    <row r="2057" spans="1:25" ht="15" hidden="1" customHeight="1" x14ac:dyDescent="0.2">
      <c r="A2057" s="317" t="s">
        <v>147</v>
      </c>
      <c r="B2057" s="895" t="s">
        <v>147</v>
      </c>
      <c r="C2057" s="896"/>
      <c r="D2057" s="906" t="s">
        <v>336</v>
      </c>
      <c r="E2057" s="907">
        <f>GLOBAL_DER_FEV_2023!E2057</f>
        <v>40</v>
      </c>
      <c r="F2057" s="908">
        <f>GLOBAL_DER_FEV_2023!F2057</f>
        <v>0.25</v>
      </c>
      <c r="G2057" s="949">
        <f>GLOBAL_DER_FEV_2023!G2057</f>
        <v>11.370000000000001</v>
      </c>
      <c r="H2057" s="901">
        <f>GLOBAL_DER_FEV_2023!H2057</f>
        <v>0</v>
      </c>
      <c r="I2057" s="901">
        <f>GLOBAL_DER_FEV_2023!I2057</f>
        <v>0</v>
      </c>
      <c r="J2057" s="902">
        <f>GLOBAL_DER_FEV_2023!J2057</f>
        <v>0</v>
      </c>
      <c r="K2057" s="903"/>
      <c r="L2057" s="1177"/>
      <c r="M2057" s="1138">
        <f t="shared" si="152"/>
        <v>0</v>
      </c>
      <c r="N2057" s="1176">
        <f t="shared" si="156"/>
        <v>0</v>
      </c>
      <c r="O2057" s="905"/>
      <c r="P2057" s="36" t="str">
        <f>IF(N2053&gt;0,"xx",IF(N2053&gt;0,"xy",""))</f>
        <v/>
      </c>
      <c r="Q2057" s="317" t="str">
        <f t="shared" si="153"/>
        <v/>
      </c>
      <c r="R2057" s="317" t="str">
        <f t="shared" si="154"/>
        <v/>
      </c>
      <c r="S2057" s="317" t="str">
        <f t="shared" si="155"/>
        <v/>
      </c>
      <c r="T2057" s="317" t="str">
        <f>GLOBAL_DER_FEV_2023!S2057</f>
        <v/>
      </c>
      <c r="W2057" s="582">
        <v>0</v>
      </c>
      <c r="X2057" s="580"/>
      <c r="Y2057" s="583">
        <f>IF(GLOBAL_DER_FEV_2023!W2057=0,0,IF(GLOBAL_DER_FEV_2023!W2057&gt;0,"c","b"))</f>
        <v>0</v>
      </c>
    </row>
    <row r="2058" spans="1:25" ht="15" hidden="1" customHeight="1" x14ac:dyDescent="0.2">
      <c r="A2058" s="317">
        <v>610700</v>
      </c>
      <c r="B2058" s="895" t="s">
        <v>1839</v>
      </c>
      <c r="C2058" s="896" t="s">
        <v>184</v>
      </c>
      <c r="D2058" s="906" t="s">
        <v>2038</v>
      </c>
      <c r="E2058" s="907">
        <f>GLOBAL_DER_FEV_2023!E2058</f>
        <v>0</v>
      </c>
      <c r="F2058" s="908">
        <f>GLOBAL_DER_FEV_2023!F2058</f>
        <v>0</v>
      </c>
      <c r="G2058" s="912">
        <f>GLOBAL_DER_FEV_2023!G2058</f>
        <v>42.690898200000007</v>
      </c>
      <c r="H2058" s="901">
        <f>GLOBAL_DER_FEV_2023!H2058</f>
        <v>412.12</v>
      </c>
      <c r="I2058" s="901">
        <f>GLOBAL_DER_FEV_2023!I2058</f>
        <v>454.8108982</v>
      </c>
      <c r="J2058" s="902">
        <f>GLOBAL_DER_FEV_2023!J2058</f>
        <v>546.09</v>
      </c>
      <c r="K2058" s="903" t="s">
        <v>13</v>
      </c>
      <c r="L2058" s="1137"/>
      <c r="M2058" s="1138">
        <f t="shared" si="152"/>
        <v>0</v>
      </c>
      <c r="N2058" s="1176">
        <f t="shared" si="156"/>
        <v>0</v>
      </c>
      <c r="O2058" s="905"/>
      <c r="Q2058" s="317" t="str">
        <f t="shared" si="153"/>
        <v/>
      </c>
      <c r="R2058" s="317" t="str">
        <f t="shared" si="154"/>
        <v/>
      </c>
      <c r="S2058" s="317" t="str">
        <f t="shared" si="155"/>
        <v/>
      </c>
      <c r="T2058" s="317" t="str">
        <f>GLOBAL_DER_FEV_2023!S2058</f>
        <v/>
      </c>
      <c r="W2058" s="582">
        <v>0</v>
      </c>
      <c r="X2058" s="580"/>
      <c r="Y2058" s="583">
        <f>IF(GLOBAL_DER_FEV_2023!W2058=0,0,IF(GLOBAL_DER_FEV_2023!W2058&gt;0,"c","b"))</f>
        <v>0</v>
      </c>
    </row>
    <row r="2059" spans="1:25" ht="15" hidden="1" customHeight="1" x14ac:dyDescent="0.2">
      <c r="A2059" s="317" t="s">
        <v>147</v>
      </c>
      <c r="B2059" s="895" t="s">
        <v>147</v>
      </c>
      <c r="C2059" s="896"/>
      <c r="D2059" s="906" t="s">
        <v>190</v>
      </c>
      <c r="E2059" s="907">
        <f>GLOBAL_DER_FEV_2023!E2059</f>
        <v>308</v>
      </c>
      <c r="F2059" s="908">
        <f>GLOBAL_DER_FEV_2023!F2059</f>
        <v>3.4500000000000003E-2</v>
      </c>
      <c r="G2059" s="909">
        <f>GLOBAL_DER_FEV_2023!G2059</f>
        <v>8.5580700000000007</v>
      </c>
      <c r="H2059" s="901">
        <f>GLOBAL_DER_FEV_2023!H2059</f>
        <v>0</v>
      </c>
      <c r="I2059" s="901">
        <f>GLOBAL_DER_FEV_2023!I2059</f>
        <v>0</v>
      </c>
      <c r="J2059" s="902">
        <f>GLOBAL_DER_FEV_2023!J2059</f>
        <v>0</v>
      </c>
      <c r="K2059" s="903"/>
      <c r="L2059" s="1177"/>
      <c r="M2059" s="1138">
        <f t="shared" si="152"/>
        <v>0</v>
      </c>
      <c r="N2059" s="1176">
        <f t="shared" si="156"/>
        <v>0</v>
      </c>
      <c r="O2059" s="905"/>
      <c r="P2059" s="36" t="str">
        <f>IF(N2058&gt;0,"xx",IF(N2058&gt;0,"xy",""))</f>
        <v/>
      </c>
      <c r="Q2059" s="317" t="str">
        <f t="shared" si="153"/>
        <v/>
      </c>
      <c r="R2059" s="317" t="str">
        <f t="shared" si="154"/>
        <v/>
      </c>
      <c r="S2059" s="317" t="str">
        <f t="shared" si="155"/>
        <v/>
      </c>
      <c r="T2059" s="317" t="str">
        <f>GLOBAL_DER_FEV_2023!S2059</f>
        <v/>
      </c>
      <c r="W2059" s="582">
        <v>0</v>
      </c>
      <c r="X2059" s="580"/>
      <c r="Y2059" s="583">
        <f>IF(GLOBAL_DER_FEV_2023!W2059=0,0,IF(GLOBAL_DER_FEV_2023!W2059&gt;0,"c","b"))</f>
        <v>0</v>
      </c>
    </row>
    <row r="2060" spans="1:25" ht="15" hidden="1" customHeight="1" x14ac:dyDescent="0.2">
      <c r="A2060" s="317" t="s">
        <v>147</v>
      </c>
      <c r="B2060" s="895" t="s">
        <v>147</v>
      </c>
      <c r="C2060" s="896"/>
      <c r="D2060" s="906" t="s">
        <v>229</v>
      </c>
      <c r="E2060" s="907">
        <f>GLOBAL_DER_FEV_2023!E2060</f>
        <v>150</v>
      </c>
      <c r="F2060" s="908">
        <f>GLOBAL_DER_FEV_2023!F2060</f>
        <v>0.12690000000000001</v>
      </c>
      <c r="G2060" s="949">
        <f>GLOBAL_DER_FEV_2023!G2060</f>
        <v>20.707542000000004</v>
      </c>
      <c r="H2060" s="901">
        <f>GLOBAL_DER_FEV_2023!H2060</f>
        <v>0</v>
      </c>
      <c r="I2060" s="901">
        <f>GLOBAL_DER_FEV_2023!I2060</f>
        <v>0</v>
      </c>
      <c r="J2060" s="902">
        <f>GLOBAL_DER_FEV_2023!J2060</f>
        <v>0</v>
      </c>
      <c r="K2060" s="903"/>
      <c r="L2060" s="1177"/>
      <c r="M2060" s="1138">
        <f t="shared" si="152"/>
        <v>0</v>
      </c>
      <c r="N2060" s="1176">
        <f t="shared" si="156"/>
        <v>0</v>
      </c>
      <c r="O2060" s="905"/>
      <c r="P2060" s="36" t="str">
        <f>IF(N2058&gt;0,"xx",IF(N2058&gt;0,"xy",""))</f>
        <v/>
      </c>
      <c r="Q2060" s="317" t="str">
        <f t="shared" si="153"/>
        <v/>
      </c>
      <c r="R2060" s="317" t="str">
        <f t="shared" si="154"/>
        <v/>
      </c>
      <c r="S2060" s="317" t="str">
        <f t="shared" si="155"/>
        <v/>
      </c>
      <c r="T2060" s="317" t="str">
        <f>GLOBAL_DER_FEV_2023!S2060</f>
        <v/>
      </c>
      <c r="W2060" s="582">
        <v>0</v>
      </c>
      <c r="X2060" s="580"/>
      <c r="Y2060" s="583">
        <f>IF(GLOBAL_DER_FEV_2023!W2060=0,0,IF(GLOBAL_DER_FEV_2023!W2060&gt;0,"c","b"))</f>
        <v>0</v>
      </c>
    </row>
    <row r="2061" spans="1:25" ht="15" hidden="1" customHeight="1" x14ac:dyDescent="0.2">
      <c r="A2061" s="317" t="s">
        <v>147</v>
      </c>
      <c r="B2061" s="895" t="s">
        <v>147</v>
      </c>
      <c r="C2061" s="896"/>
      <c r="D2061" s="906" t="s">
        <v>233</v>
      </c>
      <c r="E2061" s="907">
        <f>GLOBAL_DER_FEV_2023!E2061</f>
        <v>0.2</v>
      </c>
      <c r="F2061" s="908">
        <f>GLOBAL_DER_FEV_2023!F2061</f>
        <v>0.20729999999999998</v>
      </c>
      <c r="G2061" s="949">
        <f>GLOBAL_DER_FEV_2023!G2061</f>
        <v>0.59992619999999997</v>
      </c>
      <c r="H2061" s="901">
        <f>GLOBAL_DER_FEV_2023!H2061</f>
        <v>0</v>
      </c>
      <c r="I2061" s="901">
        <f>GLOBAL_DER_FEV_2023!I2061</f>
        <v>0</v>
      </c>
      <c r="J2061" s="902">
        <f>GLOBAL_DER_FEV_2023!J2061</f>
        <v>0</v>
      </c>
      <c r="K2061" s="903"/>
      <c r="L2061" s="1177"/>
      <c r="M2061" s="1138">
        <f t="shared" si="152"/>
        <v>0</v>
      </c>
      <c r="N2061" s="1176">
        <f t="shared" si="156"/>
        <v>0</v>
      </c>
      <c r="O2061" s="905"/>
      <c r="P2061" s="36" t="str">
        <f>IF(N2058&gt;0,"xx",IF(N2058&gt;0,"xy",""))</f>
        <v/>
      </c>
      <c r="Q2061" s="317" t="str">
        <f t="shared" si="153"/>
        <v/>
      </c>
      <c r="R2061" s="317" t="str">
        <f t="shared" si="154"/>
        <v/>
      </c>
      <c r="S2061" s="317" t="str">
        <f t="shared" si="155"/>
        <v/>
      </c>
      <c r="T2061" s="317" t="str">
        <f>GLOBAL_DER_FEV_2023!S2061</f>
        <v/>
      </c>
      <c r="W2061" s="582">
        <v>0</v>
      </c>
      <c r="X2061" s="580"/>
      <c r="Y2061" s="583">
        <f>IF(GLOBAL_DER_FEV_2023!W2061=0,0,IF(GLOBAL_DER_FEV_2023!W2061&gt;0,"c","b"))</f>
        <v>0</v>
      </c>
    </row>
    <row r="2062" spans="1:25" ht="15" hidden="1" customHeight="1" x14ac:dyDescent="0.2">
      <c r="A2062" s="317" t="s">
        <v>147</v>
      </c>
      <c r="B2062" s="895" t="s">
        <v>147</v>
      </c>
      <c r="C2062" s="896"/>
      <c r="D2062" s="906" t="s">
        <v>336</v>
      </c>
      <c r="E2062" s="907">
        <f>GLOBAL_DER_FEV_2023!E2062</f>
        <v>40</v>
      </c>
      <c r="F2062" s="908">
        <f>GLOBAL_DER_FEV_2023!F2062</f>
        <v>0.28199999999999997</v>
      </c>
      <c r="G2062" s="949">
        <f>GLOBAL_DER_FEV_2023!G2062</f>
        <v>12.82536</v>
      </c>
      <c r="H2062" s="901">
        <f>GLOBAL_DER_FEV_2023!H2062</f>
        <v>0</v>
      </c>
      <c r="I2062" s="901">
        <f>GLOBAL_DER_FEV_2023!I2062</f>
        <v>0</v>
      </c>
      <c r="J2062" s="902">
        <f>GLOBAL_DER_FEV_2023!J2062</f>
        <v>0</v>
      </c>
      <c r="K2062" s="903"/>
      <c r="L2062" s="1177"/>
      <c r="M2062" s="1138">
        <f t="shared" si="152"/>
        <v>0</v>
      </c>
      <c r="N2062" s="1176">
        <f t="shared" si="156"/>
        <v>0</v>
      </c>
      <c r="O2062" s="905"/>
      <c r="P2062" s="36" t="str">
        <f>IF(N2058&gt;0,"xx",IF(N2058&gt;0,"xy",""))</f>
        <v/>
      </c>
      <c r="Q2062" s="317" t="str">
        <f t="shared" si="153"/>
        <v/>
      </c>
      <c r="R2062" s="317" t="str">
        <f t="shared" si="154"/>
        <v/>
      </c>
      <c r="S2062" s="317" t="str">
        <f t="shared" si="155"/>
        <v/>
      </c>
      <c r="T2062" s="317" t="str">
        <f>GLOBAL_DER_FEV_2023!S2062</f>
        <v/>
      </c>
      <c r="W2062" s="582">
        <v>0</v>
      </c>
      <c r="X2062" s="580"/>
      <c r="Y2062" s="583">
        <f>IF(GLOBAL_DER_FEV_2023!W2062=0,0,IF(GLOBAL_DER_FEV_2023!W2062&gt;0,"c","b"))</f>
        <v>0</v>
      </c>
    </row>
    <row r="2063" spans="1:25" ht="15" hidden="1" customHeight="1" x14ac:dyDescent="0.2">
      <c r="A2063" s="317">
        <v>610900</v>
      </c>
      <c r="B2063" s="895" t="s">
        <v>1840</v>
      </c>
      <c r="C2063" s="896" t="s">
        <v>184</v>
      </c>
      <c r="D2063" s="906" t="s">
        <v>2039</v>
      </c>
      <c r="E2063" s="907">
        <f>GLOBAL_DER_FEV_2023!E2063</f>
        <v>0</v>
      </c>
      <c r="F2063" s="908">
        <f>GLOBAL_DER_FEV_2023!F2063</f>
        <v>0</v>
      </c>
      <c r="G2063" s="912">
        <f>GLOBAL_DER_FEV_2023!G2063</f>
        <v>64.826621799999998</v>
      </c>
      <c r="H2063" s="901">
        <f>GLOBAL_DER_FEV_2023!H2063</f>
        <v>677.21</v>
      </c>
      <c r="I2063" s="901">
        <f>GLOBAL_DER_FEV_2023!I2063</f>
        <v>742.03662180000003</v>
      </c>
      <c r="J2063" s="902">
        <f>GLOBAL_DER_FEV_2023!J2063</f>
        <v>890.96</v>
      </c>
      <c r="K2063" s="903" t="s">
        <v>13</v>
      </c>
      <c r="L2063" s="1137"/>
      <c r="M2063" s="1138">
        <f t="shared" si="152"/>
        <v>0</v>
      </c>
      <c r="N2063" s="1176">
        <f t="shared" si="156"/>
        <v>0</v>
      </c>
      <c r="O2063" s="905"/>
      <c r="Q2063" s="317" t="str">
        <f t="shared" si="153"/>
        <v/>
      </c>
      <c r="R2063" s="317" t="str">
        <f t="shared" si="154"/>
        <v/>
      </c>
      <c r="S2063" s="317" t="str">
        <f t="shared" si="155"/>
        <v/>
      </c>
      <c r="T2063" s="317" t="str">
        <f>GLOBAL_DER_FEV_2023!S2063</f>
        <v/>
      </c>
      <c r="W2063" s="582">
        <v>0</v>
      </c>
      <c r="X2063" s="580"/>
      <c r="Y2063" s="583">
        <f>IF(GLOBAL_DER_FEV_2023!W2063=0,0,IF(GLOBAL_DER_FEV_2023!W2063&gt;0,"c","b"))</f>
        <v>0</v>
      </c>
    </row>
    <row r="2064" spans="1:25" ht="15" hidden="1" customHeight="1" x14ac:dyDescent="0.2">
      <c r="A2064" s="317" t="s">
        <v>147</v>
      </c>
      <c r="B2064" s="895" t="s">
        <v>147</v>
      </c>
      <c r="C2064" s="896"/>
      <c r="D2064" s="906" t="s">
        <v>190</v>
      </c>
      <c r="E2064" s="907">
        <f>GLOBAL_DER_FEV_2023!E2064</f>
        <v>308</v>
      </c>
      <c r="F2064" s="908">
        <f>GLOBAL_DER_FEV_2023!F2064</f>
        <v>4.7199999999999999E-2</v>
      </c>
      <c r="G2064" s="909">
        <f>GLOBAL_DER_FEV_2023!G2064</f>
        <v>11.708432</v>
      </c>
      <c r="H2064" s="901">
        <f>GLOBAL_DER_FEV_2023!H2064</f>
        <v>0</v>
      </c>
      <c r="I2064" s="901">
        <f>GLOBAL_DER_FEV_2023!I2064</f>
        <v>0</v>
      </c>
      <c r="J2064" s="902">
        <f>GLOBAL_DER_FEV_2023!J2064</f>
        <v>0</v>
      </c>
      <c r="K2064" s="903"/>
      <c r="L2064" s="1177"/>
      <c r="M2064" s="1138">
        <f t="shared" si="152"/>
        <v>0</v>
      </c>
      <c r="N2064" s="1176">
        <f t="shared" si="156"/>
        <v>0</v>
      </c>
      <c r="O2064" s="905"/>
      <c r="P2064" s="36" t="str">
        <f>IF(N2063&gt;0,"xx",IF(N2063&gt;0,"xy",""))</f>
        <v/>
      </c>
      <c r="Q2064" s="317" t="str">
        <f t="shared" si="153"/>
        <v/>
      </c>
      <c r="R2064" s="317" t="str">
        <f t="shared" si="154"/>
        <v/>
      </c>
      <c r="S2064" s="317" t="str">
        <f t="shared" si="155"/>
        <v/>
      </c>
      <c r="T2064" s="317" t="str">
        <f>GLOBAL_DER_FEV_2023!S2064</f>
        <v/>
      </c>
      <c r="W2064" s="582">
        <v>0</v>
      </c>
      <c r="X2064" s="580"/>
      <c r="Y2064" s="583">
        <f>IF(GLOBAL_DER_FEV_2023!W2064=0,0,IF(GLOBAL_DER_FEV_2023!W2064&gt;0,"c","b"))</f>
        <v>0</v>
      </c>
    </row>
    <row r="2065" spans="1:25" ht="15" hidden="1" customHeight="1" x14ac:dyDescent="0.2">
      <c r="A2065" s="317" t="s">
        <v>147</v>
      </c>
      <c r="B2065" s="895" t="s">
        <v>147</v>
      </c>
      <c r="C2065" s="896"/>
      <c r="D2065" s="906" t="s">
        <v>229</v>
      </c>
      <c r="E2065" s="907">
        <f>GLOBAL_DER_FEV_2023!E2065</f>
        <v>150</v>
      </c>
      <c r="F2065" s="908">
        <f>GLOBAL_DER_FEV_2023!F2065</f>
        <v>0.17269999999999999</v>
      </c>
      <c r="G2065" s="949">
        <f>GLOBAL_DER_FEV_2023!G2065</f>
        <v>28.181186</v>
      </c>
      <c r="H2065" s="901">
        <f>GLOBAL_DER_FEV_2023!H2065</f>
        <v>0</v>
      </c>
      <c r="I2065" s="901">
        <f>GLOBAL_DER_FEV_2023!I2065</f>
        <v>0</v>
      </c>
      <c r="J2065" s="902">
        <f>GLOBAL_DER_FEV_2023!J2065</f>
        <v>0</v>
      </c>
      <c r="K2065" s="903"/>
      <c r="L2065" s="1177"/>
      <c r="M2065" s="1138">
        <f t="shared" si="152"/>
        <v>0</v>
      </c>
      <c r="N2065" s="1176">
        <f t="shared" si="156"/>
        <v>0</v>
      </c>
      <c r="O2065" s="905"/>
      <c r="P2065" s="36" t="str">
        <f>IF(N2063&gt;0,"xx",IF(N2063&gt;0,"xy",""))</f>
        <v/>
      </c>
      <c r="Q2065" s="317" t="str">
        <f t="shared" si="153"/>
        <v/>
      </c>
      <c r="R2065" s="317" t="str">
        <f t="shared" si="154"/>
        <v/>
      </c>
      <c r="S2065" s="317" t="str">
        <f t="shared" si="155"/>
        <v/>
      </c>
      <c r="T2065" s="317" t="str">
        <f>GLOBAL_DER_FEV_2023!S2065</f>
        <v/>
      </c>
      <c r="W2065" s="582">
        <v>0</v>
      </c>
      <c r="X2065" s="580"/>
      <c r="Y2065" s="583">
        <f>IF(GLOBAL_DER_FEV_2023!W2065=0,0,IF(GLOBAL_DER_FEV_2023!W2065&gt;0,"c","b"))</f>
        <v>0</v>
      </c>
    </row>
    <row r="2066" spans="1:25" ht="15" hidden="1" customHeight="1" x14ac:dyDescent="0.2">
      <c r="A2066" s="317" t="s">
        <v>147</v>
      </c>
      <c r="B2066" s="895" t="s">
        <v>147</v>
      </c>
      <c r="C2066" s="896"/>
      <c r="D2066" s="906" t="s">
        <v>233</v>
      </c>
      <c r="E2066" s="907">
        <f>GLOBAL_DER_FEV_2023!E2066</f>
        <v>0.2</v>
      </c>
      <c r="F2066" s="908">
        <f>GLOBAL_DER_FEV_2023!F2066</f>
        <v>0.28770000000000001</v>
      </c>
      <c r="G2066" s="949">
        <f>GLOBAL_DER_FEV_2023!G2066</f>
        <v>0.83260380000000012</v>
      </c>
      <c r="H2066" s="901">
        <f>GLOBAL_DER_FEV_2023!H2066</f>
        <v>0</v>
      </c>
      <c r="I2066" s="901">
        <f>GLOBAL_DER_FEV_2023!I2066</f>
        <v>0</v>
      </c>
      <c r="J2066" s="902">
        <f>GLOBAL_DER_FEV_2023!J2066</f>
        <v>0</v>
      </c>
      <c r="K2066" s="903"/>
      <c r="L2066" s="1177"/>
      <c r="M2066" s="1138">
        <f t="shared" ref="M2066:M2129" si="157">IF(L2066=0,0,ROUND(J2066,2))</f>
        <v>0</v>
      </c>
      <c r="N2066" s="1176">
        <f t="shared" si="156"/>
        <v>0</v>
      </c>
      <c r="O2066" s="905"/>
      <c r="P2066" s="36" t="str">
        <f>IF(N2063&gt;0,"xx",IF(N2063&gt;0,"xy",""))</f>
        <v/>
      </c>
      <c r="Q2066" s="317" t="str">
        <f t="shared" si="153"/>
        <v/>
      </c>
      <c r="R2066" s="317" t="str">
        <f t="shared" si="154"/>
        <v/>
      </c>
      <c r="S2066" s="317" t="str">
        <f t="shared" si="155"/>
        <v/>
      </c>
      <c r="T2066" s="317" t="str">
        <f>GLOBAL_DER_FEV_2023!S2066</f>
        <v/>
      </c>
      <c r="W2066" s="582">
        <v>0</v>
      </c>
      <c r="X2066" s="580"/>
      <c r="Y2066" s="583">
        <f>IF(GLOBAL_DER_FEV_2023!W2066=0,0,IF(GLOBAL_DER_FEV_2023!W2066&gt;0,"c","b"))</f>
        <v>0</v>
      </c>
    </row>
    <row r="2067" spans="1:25" ht="15" hidden="1" customHeight="1" x14ac:dyDescent="0.2">
      <c r="A2067" s="317" t="s">
        <v>147</v>
      </c>
      <c r="B2067" s="895" t="s">
        <v>147</v>
      </c>
      <c r="C2067" s="896"/>
      <c r="D2067" s="906" t="s">
        <v>336</v>
      </c>
      <c r="E2067" s="907">
        <f>GLOBAL_DER_FEV_2023!E2067</f>
        <v>40</v>
      </c>
      <c r="F2067" s="908">
        <f>GLOBAL_DER_FEV_2023!F2067</f>
        <v>0.53</v>
      </c>
      <c r="G2067" s="949">
        <f>GLOBAL_DER_FEV_2023!G2067</f>
        <v>24.104400000000002</v>
      </c>
      <c r="H2067" s="901">
        <f>GLOBAL_DER_FEV_2023!H2067</f>
        <v>0</v>
      </c>
      <c r="I2067" s="901">
        <f>GLOBAL_DER_FEV_2023!I2067</f>
        <v>0</v>
      </c>
      <c r="J2067" s="902">
        <f>GLOBAL_DER_FEV_2023!J2067</f>
        <v>0</v>
      </c>
      <c r="K2067" s="903"/>
      <c r="L2067" s="1177"/>
      <c r="M2067" s="1138">
        <f t="shared" si="157"/>
        <v>0</v>
      </c>
      <c r="N2067" s="1176">
        <f t="shared" si="156"/>
        <v>0</v>
      </c>
      <c r="O2067" s="905"/>
      <c r="P2067" s="36" t="str">
        <f>IF(N2063&gt;0,"xx",IF(N2063&gt;0,"xy",""))</f>
        <v/>
      </c>
      <c r="Q2067" s="317" t="str">
        <f t="shared" si="153"/>
        <v/>
      </c>
      <c r="R2067" s="317" t="str">
        <f t="shared" si="154"/>
        <v/>
      </c>
      <c r="S2067" s="317" t="str">
        <f t="shared" si="155"/>
        <v/>
      </c>
      <c r="T2067" s="317" t="str">
        <f>GLOBAL_DER_FEV_2023!S2067</f>
        <v/>
      </c>
      <c r="W2067" s="582">
        <v>0</v>
      </c>
      <c r="X2067" s="580"/>
      <c r="Y2067" s="583">
        <f>IF(GLOBAL_DER_FEV_2023!W2067=0,0,IF(GLOBAL_DER_FEV_2023!W2067&gt;0,"c","b"))</f>
        <v>0</v>
      </c>
    </row>
    <row r="2068" spans="1:25" ht="15" hidden="1" customHeight="1" x14ac:dyDescent="0.2">
      <c r="A2068" s="317">
        <v>610900</v>
      </c>
      <c r="B2068" s="895" t="s">
        <v>1841</v>
      </c>
      <c r="C2068" s="896" t="s">
        <v>184</v>
      </c>
      <c r="D2068" s="906" t="s">
        <v>2040</v>
      </c>
      <c r="E2068" s="907">
        <f>GLOBAL_DER_FEV_2023!E2068</f>
        <v>0</v>
      </c>
      <c r="F2068" s="908">
        <f>GLOBAL_DER_FEV_2023!F2068</f>
        <v>0</v>
      </c>
      <c r="G2068" s="912">
        <f>GLOBAL_DER_FEV_2023!G2068</f>
        <v>82.943787400000019</v>
      </c>
      <c r="H2068" s="901">
        <f>GLOBAL_DER_FEV_2023!H2068</f>
        <v>677.21</v>
      </c>
      <c r="I2068" s="901">
        <f>GLOBAL_DER_FEV_2023!I2068</f>
        <v>760.15378740000006</v>
      </c>
      <c r="J2068" s="902">
        <f>GLOBAL_DER_FEV_2023!J2068</f>
        <v>912.72</v>
      </c>
      <c r="K2068" s="903" t="s">
        <v>13</v>
      </c>
      <c r="L2068" s="1137"/>
      <c r="M2068" s="1138">
        <f t="shared" si="157"/>
        <v>0</v>
      </c>
      <c r="N2068" s="1176">
        <f t="shared" si="156"/>
        <v>0</v>
      </c>
      <c r="O2068" s="905"/>
      <c r="Q2068" s="317" t="str">
        <f t="shared" si="153"/>
        <v/>
      </c>
      <c r="R2068" s="317" t="str">
        <f t="shared" si="154"/>
        <v/>
      </c>
      <c r="S2068" s="317" t="str">
        <f t="shared" si="155"/>
        <v/>
      </c>
      <c r="T2068" s="317" t="str">
        <f>GLOBAL_DER_FEV_2023!S2068</f>
        <v/>
      </c>
      <c r="W2068" s="582">
        <v>0</v>
      </c>
      <c r="X2068" s="580"/>
      <c r="Y2068" s="583">
        <f>IF(GLOBAL_DER_FEV_2023!W2068=0,0,IF(GLOBAL_DER_FEV_2023!W2068&gt;0,"c","b"))</f>
        <v>0</v>
      </c>
    </row>
    <row r="2069" spans="1:25" ht="15" hidden="1" customHeight="1" x14ac:dyDescent="0.2">
      <c r="A2069" s="317" t="s">
        <v>147</v>
      </c>
      <c r="B2069" s="895" t="s">
        <v>147</v>
      </c>
      <c r="C2069" s="896"/>
      <c r="D2069" s="906" t="s">
        <v>190</v>
      </c>
      <c r="E2069" s="907">
        <f>GLOBAL_DER_FEV_2023!E2069</f>
        <v>308</v>
      </c>
      <c r="F2069" s="908">
        <f>GLOBAL_DER_FEV_2023!F2069</f>
        <v>5.9900000000000002E-2</v>
      </c>
      <c r="G2069" s="909">
        <f>GLOBAL_DER_FEV_2023!G2069</f>
        <v>14.858794000000001</v>
      </c>
      <c r="H2069" s="901">
        <f>GLOBAL_DER_FEV_2023!H2069</f>
        <v>0</v>
      </c>
      <c r="I2069" s="901">
        <f>GLOBAL_DER_FEV_2023!I2069</f>
        <v>0</v>
      </c>
      <c r="J2069" s="902">
        <f>GLOBAL_DER_FEV_2023!J2069</f>
        <v>0</v>
      </c>
      <c r="K2069" s="903"/>
      <c r="L2069" s="1177"/>
      <c r="M2069" s="1138">
        <f t="shared" si="157"/>
        <v>0</v>
      </c>
      <c r="N2069" s="1176">
        <f t="shared" si="156"/>
        <v>0</v>
      </c>
      <c r="O2069" s="905"/>
      <c r="P2069" s="36" t="str">
        <f>IF(N2068&gt;0,"xx",IF(N2068&gt;0,"xy",""))</f>
        <v/>
      </c>
      <c r="Q2069" s="317" t="str">
        <f t="shared" si="153"/>
        <v/>
      </c>
      <c r="R2069" s="317" t="str">
        <f t="shared" si="154"/>
        <v/>
      </c>
      <c r="S2069" s="317" t="str">
        <f t="shared" si="155"/>
        <v/>
      </c>
      <c r="T2069" s="317" t="str">
        <f>GLOBAL_DER_FEV_2023!S2069</f>
        <v/>
      </c>
      <c r="W2069" s="582">
        <v>0</v>
      </c>
      <c r="X2069" s="580"/>
      <c r="Y2069" s="583">
        <f>IF(GLOBAL_DER_FEV_2023!W2069=0,0,IF(GLOBAL_DER_FEV_2023!W2069&gt;0,"c","b"))</f>
        <v>0</v>
      </c>
    </row>
    <row r="2070" spans="1:25" ht="15" hidden="1" customHeight="1" x14ac:dyDescent="0.2">
      <c r="A2070" s="317" t="s">
        <v>147</v>
      </c>
      <c r="B2070" s="895" t="s">
        <v>147</v>
      </c>
      <c r="C2070" s="896"/>
      <c r="D2070" s="906" t="s">
        <v>229</v>
      </c>
      <c r="E2070" s="907">
        <f>GLOBAL_DER_FEV_2023!E2070</f>
        <v>150</v>
      </c>
      <c r="F2070" s="908">
        <f>GLOBAL_DER_FEV_2023!F2070</f>
        <v>0.21840000000000001</v>
      </c>
      <c r="G2070" s="949">
        <f>GLOBAL_DER_FEV_2023!G2070</f>
        <v>35.638512000000006</v>
      </c>
      <c r="H2070" s="901">
        <f>GLOBAL_DER_FEV_2023!H2070</f>
        <v>0</v>
      </c>
      <c r="I2070" s="901">
        <f>GLOBAL_DER_FEV_2023!I2070</f>
        <v>0</v>
      </c>
      <c r="J2070" s="902">
        <f>GLOBAL_DER_FEV_2023!J2070</f>
        <v>0</v>
      </c>
      <c r="K2070" s="903"/>
      <c r="L2070" s="1177"/>
      <c r="M2070" s="1138">
        <f t="shared" si="157"/>
        <v>0</v>
      </c>
      <c r="N2070" s="1176">
        <f t="shared" si="156"/>
        <v>0</v>
      </c>
      <c r="O2070" s="905"/>
      <c r="P2070" s="36" t="str">
        <f>IF(N2068&gt;0,"xx",IF(N2068&gt;0,"xy",""))</f>
        <v/>
      </c>
      <c r="Q2070" s="317" t="str">
        <f t="shared" si="153"/>
        <v/>
      </c>
      <c r="R2070" s="317" t="str">
        <f t="shared" si="154"/>
        <v/>
      </c>
      <c r="S2070" s="317" t="str">
        <f t="shared" si="155"/>
        <v/>
      </c>
      <c r="T2070" s="317" t="str">
        <f>GLOBAL_DER_FEV_2023!S2070</f>
        <v/>
      </c>
      <c r="W2070" s="582">
        <v>0</v>
      </c>
      <c r="X2070" s="580"/>
      <c r="Y2070" s="583">
        <f>IF(GLOBAL_DER_FEV_2023!W2070=0,0,IF(GLOBAL_DER_FEV_2023!W2070&gt;0,"c","b"))</f>
        <v>0</v>
      </c>
    </row>
    <row r="2071" spans="1:25" ht="15" hidden="1" customHeight="1" x14ac:dyDescent="0.2">
      <c r="A2071" s="317" t="s">
        <v>147</v>
      </c>
      <c r="B2071" s="895" t="s">
        <v>147</v>
      </c>
      <c r="C2071" s="896"/>
      <c r="D2071" s="906" t="s">
        <v>233</v>
      </c>
      <c r="E2071" s="907">
        <f>GLOBAL_DER_FEV_2023!E2071</f>
        <v>0.2</v>
      </c>
      <c r="F2071" s="908">
        <f>GLOBAL_DER_FEV_2023!F2071</f>
        <v>0.36809999999999998</v>
      </c>
      <c r="G2071" s="949">
        <f>GLOBAL_DER_FEV_2023!G2071</f>
        <v>1.0652813999999999</v>
      </c>
      <c r="H2071" s="901">
        <f>GLOBAL_DER_FEV_2023!H2071</f>
        <v>0</v>
      </c>
      <c r="I2071" s="901">
        <f>GLOBAL_DER_FEV_2023!I2071</f>
        <v>0</v>
      </c>
      <c r="J2071" s="902">
        <f>GLOBAL_DER_FEV_2023!J2071</f>
        <v>0</v>
      </c>
      <c r="K2071" s="903"/>
      <c r="L2071" s="1177"/>
      <c r="M2071" s="1138">
        <f t="shared" si="157"/>
        <v>0</v>
      </c>
      <c r="N2071" s="1176">
        <f t="shared" si="156"/>
        <v>0</v>
      </c>
      <c r="O2071" s="905"/>
      <c r="P2071" s="36" t="str">
        <f>IF(N2068&gt;0,"xx",IF(N2068&gt;0,"xy",""))</f>
        <v/>
      </c>
      <c r="Q2071" s="317" t="str">
        <f t="shared" si="153"/>
        <v/>
      </c>
      <c r="R2071" s="317" t="str">
        <f t="shared" si="154"/>
        <v/>
      </c>
      <c r="S2071" s="317" t="str">
        <f t="shared" si="155"/>
        <v/>
      </c>
      <c r="T2071" s="317" t="str">
        <f>GLOBAL_DER_FEV_2023!S2071</f>
        <v/>
      </c>
      <c r="W2071" s="582">
        <v>0</v>
      </c>
      <c r="X2071" s="580"/>
      <c r="Y2071" s="583">
        <f>IF(GLOBAL_DER_FEV_2023!W2071=0,0,IF(GLOBAL_DER_FEV_2023!W2071&gt;0,"c","b"))</f>
        <v>0</v>
      </c>
    </row>
    <row r="2072" spans="1:25" ht="15" hidden="1" customHeight="1" x14ac:dyDescent="0.2">
      <c r="A2072" s="317" t="s">
        <v>147</v>
      </c>
      <c r="B2072" s="895" t="s">
        <v>147</v>
      </c>
      <c r="C2072" s="896"/>
      <c r="D2072" s="906" t="s">
        <v>336</v>
      </c>
      <c r="E2072" s="907">
        <f>GLOBAL_DER_FEV_2023!E2072</f>
        <v>40</v>
      </c>
      <c r="F2072" s="908">
        <f>GLOBAL_DER_FEV_2023!F2072</f>
        <v>0.69</v>
      </c>
      <c r="G2072" s="949">
        <f>GLOBAL_DER_FEV_2023!G2072</f>
        <v>31.3812</v>
      </c>
      <c r="H2072" s="901">
        <f>GLOBAL_DER_FEV_2023!H2072</f>
        <v>0</v>
      </c>
      <c r="I2072" s="901">
        <f>GLOBAL_DER_FEV_2023!I2072</f>
        <v>0</v>
      </c>
      <c r="J2072" s="902">
        <f>GLOBAL_DER_FEV_2023!J2072</f>
        <v>0</v>
      </c>
      <c r="K2072" s="903"/>
      <c r="L2072" s="1177"/>
      <c r="M2072" s="1138">
        <f t="shared" si="157"/>
        <v>0</v>
      </c>
      <c r="N2072" s="1176">
        <f t="shared" si="156"/>
        <v>0</v>
      </c>
      <c r="O2072" s="905"/>
      <c r="P2072" s="36" t="str">
        <f>IF(N2068&gt;0,"xx",IF(N2068&gt;0,"xy",""))</f>
        <v/>
      </c>
      <c r="Q2072" s="317" t="str">
        <f t="shared" si="153"/>
        <v/>
      </c>
      <c r="R2072" s="317" t="str">
        <f t="shared" si="154"/>
        <v/>
      </c>
      <c r="S2072" s="317" t="str">
        <f t="shared" si="155"/>
        <v/>
      </c>
      <c r="T2072" s="317" t="str">
        <f>GLOBAL_DER_FEV_2023!S2072</f>
        <v/>
      </c>
      <c r="W2072" s="582">
        <v>0</v>
      </c>
      <c r="X2072" s="580"/>
      <c r="Y2072" s="583">
        <f>IF(GLOBAL_DER_FEV_2023!W2072=0,0,IF(GLOBAL_DER_FEV_2023!W2072&gt;0,"c","b"))</f>
        <v>0</v>
      </c>
    </row>
    <row r="2073" spans="1:25" ht="15" hidden="1" customHeight="1" x14ac:dyDescent="0.2">
      <c r="A2073" s="317">
        <v>611100</v>
      </c>
      <c r="B2073" s="895" t="s">
        <v>1854</v>
      </c>
      <c r="C2073" s="896" t="s">
        <v>184</v>
      </c>
      <c r="D2073" s="906" t="s">
        <v>2041</v>
      </c>
      <c r="E2073" s="907">
        <f>GLOBAL_DER_FEV_2023!E2073</f>
        <v>0</v>
      </c>
      <c r="F2073" s="908">
        <f>GLOBAL_DER_FEV_2023!F2073</f>
        <v>0</v>
      </c>
      <c r="G2073" s="912">
        <f>GLOBAL_DER_FEV_2023!G2073</f>
        <v>103.2311722</v>
      </c>
      <c r="H2073" s="901">
        <f>GLOBAL_DER_FEV_2023!H2073</f>
        <v>1053.49</v>
      </c>
      <c r="I2073" s="901">
        <f>GLOBAL_DER_FEV_2023!I2073</f>
        <v>1156.7211722</v>
      </c>
      <c r="J2073" s="902">
        <f>GLOBAL_DER_FEV_2023!J2073</f>
        <v>1388.88</v>
      </c>
      <c r="K2073" s="903" t="s">
        <v>13</v>
      </c>
      <c r="L2073" s="1137"/>
      <c r="M2073" s="1138">
        <f t="shared" si="157"/>
        <v>0</v>
      </c>
      <c r="N2073" s="1176">
        <f t="shared" si="156"/>
        <v>0</v>
      </c>
      <c r="O2073" s="905"/>
      <c r="Q2073" s="317" t="str">
        <f t="shared" si="153"/>
        <v/>
      </c>
      <c r="R2073" s="317" t="str">
        <f t="shared" si="154"/>
        <v/>
      </c>
      <c r="S2073" s="317" t="str">
        <f t="shared" si="155"/>
        <v/>
      </c>
      <c r="T2073" s="317" t="str">
        <f>GLOBAL_DER_FEV_2023!S2073</f>
        <v/>
      </c>
      <c r="W2073" s="582">
        <v>0</v>
      </c>
      <c r="X2073" s="580"/>
      <c r="Y2073" s="583">
        <f>IF(GLOBAL_DER_FEV_2023!W2073=0,0,IF(GLOBAL_DER_FEV_2023!W2073&gt;0,"c","b"))</f>
        <v>0</v>
      </c>
    </row>
    <row r="2074" spans="1:25" ht="15" hidden="1" customHeight="1" x14ac:dyDescent="0.2">
      <c r="A2074" s="317" t="s">
        <v>147</v>
      </c>
      <c r="B2074" s="895" t="s">
        <v>147</v>
      </c>
      <c r="C2074" s="896"/>
      <c r="D2074" s="906" t="s">
        <v>190</v>
      </c>
      <c r="E2074" s="907">
        <f>GLOBAL_DER_FEV_2023!E2074</f>
        <v>308</v>
      </c>
      <c r="F2074" s="908">
        <f>GLOBAL_DER_FEV_2023!F2074</f>
        <v>7.5800000000000006E-2</v>
      </c>
      <c r="G2074" s="909">
        <f>GLOBAL_DER_FEV_2023!G2074</f>
        <v>18.802948000000001</v>
      </c>
      <c r="H2074" s="901">
        <f>GLOBAL_DER_FEV_2023!H2074</f>
        <v>0</v>
      </c>
      <c r="I2074" s="901">
        <f>GLOBAL_DER_FEV_2023!I2074</f>
        <v>0</v>
      </c>
      <c r="J2074" s="902">
        <f>GLOBAL_DER_FEV_2023!J2074</f>
        <v>0</v>
      </c>
      <c r="K2074" s="903"/>
      <c r="L2074" s="1177"/>
      <c r="M2074" s="1138">
        <f t="shared" si="157"/>
        <v>0</v>
      </c>
      <c r="N2074" s="1176">
        <f t="shared" si="156"/>
        <v>0</v>
      </c>
      <c r="O2074" s="905"/>
      <c r="P2074" s="36" t="str">
        <f>IF(N2073&gt;0,"xx",IF(N2073&gt;0,"xy",""))</f>
        <v/>
      </c>
      <c r="Q2074" s="317" t="str">
        <f t="shared" si="153"/>
        <v/>
      </c>
      <c r="R2074" s="317" t="str">
        <f t="shared" si="154"/>
        <v/>
      </c>
      <c r="S2074" s="317" t="str">
        <f t="shared" si="155"/>
        <v/>
      </c>
      <c r="T2074" s="317" t="str">
        <f>GLOBAL_DER_FEV_2023!S2074</f>
        <v/>
      </c>
      <c r="W2074" s="582">
        <v>0</v>
      </c>
      <c r="X2074" s="580"/>
      <c r="Y2074" s="583">
        <f>IF(GLOBAL_DER_FEV_2023!W2074=0,0,IF(GLOBAL_DER_FEV_2023!W2074&gt;0,"c","b"))</f>
        <v>0</v>
      </c>
    </row>
    <row r="2075" spans="1:25" ht="15" hidden="1" customHeight="1" x14ac:dyDescent="0.2">
      <c r="A2075" s="317" t="s">
        <v>147</v>
      </c>
      <c r="B2075" s="895" t="s">
        <v>147</v>
      </c>
      <c r="C2075" s="896"/>
      <c r="D2075" s="906" t="s">
        <v>229</v>
      </c>
      <c r="E2075" s="907">
        <f>GLOBAL_DER_FEV_2023!E2075</f>
        <v>150</v>
      </c>
      <c r="F2075" s="908">
        <f>GLOBAL_DER_FEV_2023!F2075</f>
        <v>0.27639999999999998</v>
      </c>
      <c r="G2075" s="949">
        <f>GLOBAL_DER_FEV_2023!G2075</f>
        <v>45.102952000000002</v>
      </c>
      <c r="H2075" s="901">
        <f>GLOBAL_DER_FEV_2023!H2075</f>
        <v>0</v>
      </c>
      <c r="I2075" s="901">
        <f>GLOBAL_DER_FEV_2023!I2075</f>
        <v>0</v>
      </c>
      <c r="J2075" s="902">
        <f>GLOBAL_DER_FEV_2023!J2075</f>
        <v>0</v>
      </c>
      <c r="K2075" s="903"/>
      <c r="L2075" s="1177"/>
      <c r="M2075" s="1138">
        <f t="shared" si="157"/>
        <v>0</v>
      </c>
      <c r="N2075" s="1176">
        <f t="shared" si="156"/>
        <v>0</v>
      </c>
      <c r="O2075" s="905"/>
      <c r="P2075" s="36" t="str">
        <f>IF(N2073&gt;0,"xx",IF(N2073&gt;0,"xy",""))</f>
        <v/>
      </c>
      <c r="Q2075" s="317" t="str">
        <f t="shared" ref="Q2075:Q2138" si="158">IF(P2075="X","x",IF(P2075="xx","x",IF(P2075="xy","x",IF(P2075="y","x",IF(OR(N2075&gt;0,N2075&gt;0),"x","")))))</f>
        <v/>
      </c>
      <c r="R2075" s="317" t="str">
        <f t="shared" si="154"/>
        <v/>
      </c>
      <c r="S2075" s="317" t="str">
        <f t="shared" si="155"/>
        <v/>
      </c>
      <c r="T2075" s="317" t="str">
        <f>GLOBAL_DER_FEV_2023!S2075</f>
        <v/>
      </c>
      <c r="W2075" s="582">
        <v>0</v>
      </c>
      <c r="X2075" s="580"/>
      <c r="Y2075" s="583">
        <f>IF(GLOBAL_DER_FEV_2023!W2075=0,0,IF(GLOBAL_DER_FEV_2023!W2075&gt;0,"c","b"))</f>
        <v>0</v>
      </c>
    </row>
    <row r="2076" spans="1:25" ht="15" hidden="1" customHeight="1" x14ac:dyDescent="0.2">
      <c r="A2076" s="317" t="s">
        <v>147</v>
      </c>
      <c r="B2076" s="895" t="s">
        <v>147</v>
      </c>
      <c r="C2076" s="896"/>
      <c r="D2076" s="906" t="s">
        <v>233</v>
      </c>
      <c r="E2076" s="907">
        <f>GLOBAL_DER_FEV_2023!E2076</f>
        <v>0.2</v>
      </c>
      <c r="F2076" s="908">
        <f>GLOBAL_DER_FEV_2023!F2076</f>
        <v>0.46629999999999999</v>
      </c>
      <c r="G2076" s="949">
        <f>GLOBAL_DER_FEV_2023!G2076</f>
        <v>1.3494722000000001</v>
      </c>
      <c r="H2076" s="901">
        <f>GLOBAL_DER_FEV_2023!H2076</f>
        <v>0</v>
      </c>
      <c r="I2076" s="901">
        <f>GLOBAL_DER_FEV_2023!I2076</f>
        <v>0</v>
      </c>
      <c r="J2076" s="902">
        <f>GLOBAL_DER_FEV_2023!J2076</f>
        <v>0</v>
      </c>
      <c r="K2076" s="903"/>
      <c r="L2076" s="1177"/>
      <c r="M2076" s="1138">
        <f t="shared" si="157"/>
        <v>0</v>
      </c>
      <c r="N2076" s="1176">
        <f t="shared" si="156"/>
        <v>0</v>
      </c>
      <c r="O2076" s="905"/>
      <c r="P2076" s="36" t="str">
        <f>IF(N2073&gt;0,"xx",IF(N2073&gt;0,"xy",""))</f>
        <v/>
      </c>
      <c r="Q2076" s="317" t="str">
        <f t="shared" si="158"/>
        <v/>
      </c>
      <c r="R2076" s="317" t="str">
        <f t="shared" si="154"/>
        <v/>
      </c>
      <c r="S2076" s="317" t="str">
        <f t="shared" si="155"/>
        <v/>
      </c>
      <c r="T2076" s="317" t="str">
        <f>GLOBAL_DER_FEV_2023!S2076</f>
        <v/>
      </c>
      <c r="W2076" s="582">
        <v>0</v>
      </c>
      <c r="X2076" s="580"/>
      <c r="Y2076" s="583">
        <f>IF(GLOBAL_DER_FEV_2023!W2076=0,0,IF(GLOBAL_DER_FEV_2023!W2076&gt;0,"c","b"))</f>
        <v>0</v>
      </c>
    </row>
    <row r="2077" spans="1:25" ht="15" hidden="1" customHeight="1" x14ac:dyDescent="0.2">
      <c r="A2077" s="317" t="s">
        <v>147</v>
      </c>
      <c r="B2077" s="895" t="s">
        <v>147</v>
      </c>
      <c r="C2077" s="896"/>
      <c r="D2077" s="906" t="s">
        <v>336</v>
      </c>
      <c r="E2077" s="907">
        <f>GLOBAL_DER_FEV_2023!E2077</f>
        <v>40</v>
      </c>
      <c r="F2077" s="908">
        <f>GLOBAL_DER_FEV_2023!F2077</f>
        <v>0.83499999999999996</v>
      </c>
      <c r="G2077" s="949">
        <f>GLOBAL_DER_FEV_2023!G2077</f>
        <v>37.9758</v>
      </c>
      <c r="H2077" s="901">
        <f>GLOBAL_DER_FEV_2023!H2077</f>
        <v>0</v>
      </c>
      <c r="I2077" s="901">
        <f>GLOBAL_DER_FEV_2023!I2077</f>
        <v>0</v>
      </c>
      <c r="J2077" s="902">
        <f>GLOBAL_DER_FEV_2023!J2077</f>
        <v>0</v>
      </c>
      <c r="K2077" s="903"/>
      <c r="L2077" s="1177"/>
      <c r="M2077" s="1138">
        <f t="shared" si="157"/>
        <v>0</v>
      </c>
      <c r="N2077" s="1176">
        <f t="shared" si="156"/>
        <v>0</v>
      </c>
      <c r="O2077" s="905"/>
      <c r="P2077" s="36" t="str">
        <f>IF(N2073&gt;0,"xx",IF(N2073&gt;0,"xy",""))</f>
        <v/>
      </c>
      <c r="Q2077" s="317" t="str">
        <f t="shared" si="158"/>
        <v/>
      </c>
      <c r="R2077" s="317" t="str">
        <f t="shared" ref="R2077:R2140" si="159">IF(P2077="X","x",IF(P2077="y","x",IF(P2077="xx","x",IF(N2077&gt;0,"x",""))))</f>
        <v/>
      </c>
      <c r="S2077" s="317" t="str">
        <f t="shared" ref="S2077:S2140" si="160">IF(P2077="X","x",IF(N2077&gt;0,"x",""))</f>
        <v/>
      </c>
      <c r="T2077" s="317" t="str">
        <f>GLOBAL_DER_FEV_2023!S2077</f>
        <v/>
      </c>
      <c r="W2077" s="582">
        <v>0</v>
      </c>
      <c r="X2077" s="580"/>
      <c r="Y2077" s="583">
        <f>IF(GLOBAL_DER_FEV_2023!W2077=0,0,IF(GLOBAL_DER_FEV_2023!W2077&gt;0,"c","b"))</f>
        <v>0</v>
      </c>
    </row>
    <row r="2078" spans="1:25" ht="15" hidden="1" customHeight="1" x14ac:dyDescent="0.2">
      <c r="A2078" s="317">
        <v>611100</v>
      </c>
      <c r="B2078" s="895" t="s">
        <v>1855</v>
      </c>
      <c r="C2078" s="896" t="s">
        <v>184</v>
      </c>
      <c r="D2078" s="906" t="s">
        <v>2042</v>
      </c>
      <c r="E2078" s="907">
        <f>GLOBAL_DER_FEV_2023!E2078</f>
        <v>0</v>
      </c>
      <c r="F2078" s="908">
        <f>GLOBAL_DER_FEV_2023!F2078</f>
        <v>0</v>
      </c>
      <c r="G2078" s="912">
        <f>GLOBAL_DER_FEV_2023!G2078</f>
        <v>124.4115496</v>
      </c>
      <c r="H2078" s="901">
        <f>GLOBAL_DER_FEV_2023!H2078</f>
        <v>1053.49</v>
      </c>
      <c r="I2078" s="901">
        <f>GLOBAL_DER_FEV_2023!I2078</f>
        <v>1177.9015496</v>
      </c>
      <c r="J2078" s="902">
        <f>GLOBAL_DER_FEV_2023!J2078</f>
        <v>1414.31</v>
      </c>
      <c r="K2078" s="903" t="s">
        <v>13</v>
      </c>
      <c r="L2078" s="1137"/>
      <c r="M2078" s="1138">
        <f t="shared" si="157"/>
        <v>0</v>
      </c>
      <c r="N2078" s="1176">
        <f t="shared" si="156"/>
        <v>0</v>
      </c>
      <c r="O2078" s="905"/>
      <c r="Q2078" s="317" t="str">
        <f t="shared" si="158"/>
        <v/>
      </c>
      <c r="R2078" s="317" t="str">
        <f t="shared" si="159"/>
        <v/>
      </c>
      <c r="S2078" s="317" t="str">
        <f t="shared" si="160"/>
        <v/>
      </c>
      <c r="T2078" s="317" t="str">
        <f>GLOBAL_DER_FEV_2023!S2078</f>
        <v/>
      </c>
      <c r="W2078" s="582">
        <v>0</v>
      </c>
      <c r="X2078" s="580"/>
      <c r="Y2078" s="583">
        <f>IF(GLOBAL_DER_FEV_2023!W2078=0,0,IF(GLOBAL_DER_FEV_2023!W2078&gt;0,"c","b"))</f>
        <v>0</v>
      </c>
    </row>
    <row r="2079" spans="1:25" ht="15" hidden="1" customHeight="1" x14ac:dyDescent="0.2">
      <c r="A2079" s="317" t="s">
        <v>147</v>
      </c>
      <c r="B2079" s="895" t="s">
        <v>147</v>
      </c>
      <c r="C2079" s="896"/>
      <c r="D2079" s="906" t="s">
        <v>190</v>
      </c>
      <c r="E2079" s="907">
        <f>GLOBAL_DER_FEV_2023!E2079</f>
        <v>308</v>
      </c>
      <c r="F2079" s="908">
        <f>GLOBAL_DER_FEV_2023!F2079</f>
        <v>9.1700000000000004E-2</v>
      </c>
      <c r="G2079" s="909">
        <f>GLOBAL_DER_FEV_2023!G2079</f>
        <v>22.747102000000002</v>
      </c>
      <c r="H2079" s="901">
        <f>GLOBAL_DER_FEV_2023!H2079</f>
        <v>0</v>
      </c>
      <c r="I2079" s="901">
        <f>GLOBAL_DER_FEV_2023!I2079</f>
        <v>0</v>
      </c>
      <c r="J2079" s="902">
        <f>GLOBAL_DER_FEV_2023!J2079</f>
        <v>0</v>
      </c>
      <c r="K2079" s="903"/>
      <c r="L2079" s="1177"/>
      <c r="M2079" s="1138">
        <f t="shared" si="157"/>
        <v>0</v>
      </c>
      <c r="N2079" s="1176">
        <f t="shared" si="156"/>
        <v>0</v>
      </c>
      <c r="O2079" s="905"/>
      <c r="P2079" s="36" t="str">
        <f>IF(N2078&gt;0,"xx",IF(N2078&gt;0,"xy",""))</f>
        <v/>
      </c>
      <c r="Q2079" s="317" t="str">
        <f t="shared" si="158"/>
        <v/>
      </c>
      <c r="R2079" s="317" t="str">
        <f t="shared" si="159"/>
        <v/>
      </c>
      <c r="S2079" s="317" t="str">
        <f t="shared" si="160"/>
        <v/>
      </c>
      <c r="T2079" s="317" t="str">
        <f>GLOBAL_DER_FEV_2023!S2079</f>
        <v/>
      </c>
      <c r="W2079" s="582">
        <v>0</v>
      </c>
      <c r="X2079" s="580"/>
      <c r="Y2079" s="583">
        <f>IF(GLOBAL_DER_FEV_2023!W2079=0,0,IF(GLOBAL_DER_FEV_2023!W2079&gt;0,"c","b"))</f>
        <v>0</v>
      </c>
    </row>
    <row r="2080" spans="1:25" ht="15" hidden="1" customHeight="1" x14ac:dyDescent="0.2">
      <c r="A2080" s="317" t="s">
        <v>147</v>
      </c>
      <c r="B2080" s="895" t="s">
        <v>147</v>
      </c>
      <c r="C2080" s="896"/>
      <c r="D2080" s="906" t="s">
        <v>229</v>
      </c>
      <c r="E2080" s="907">
        <f>GLOBAL_DER_FEV_2023!E2080</f>
        <v>150</v>
      </c>
      <c r="F2080" s="908">
        <f>GLOBAL_DER_FEV_2023!F2080</f>
        <v>0.33429999999999999</v>
      </c>
      <c r="G2080" s="949">
        <f>GLOBAL_DER_FEV_2023!G2080</f>
        <v>54.551074</v>
      </c>
      <c r="H2080" s="901">
        <f>GLOBAL_DER_FEV_2023!H2080</f>
        <v>0</v>
      </c>
      <c r="I2080" s="901">
        <f>GLOBAL_DER_FEV_2023!I2080</f>
        <v>0</v>
      </c>
      <c r="J2080" s="902">
        <f>GLOBAL_DER_FEV_2023!J2080</f>
        <v>0</v>
      </c>
      <c r="K2080" s="903"/>
      <c r="L2080" s="1177"/>
      <c r="M2080" s="1138">
        <f t="shared" si="157"/>
        <v>0</v>
      </c>
      <c r="N2080" s="1176">
        <f t="shared" si="156"/>
        <v>0</v>
      </c>
      <c r="O2080" s="905"/>
      <c r="P2080" s="36" t="str">
        <f>IF(N2078&gt;0,"xx",IF(N2078&gt;0,"xy",""))</f>
        <v/>
      </c>
      <c r="Q2080" s="317" t="str">
        <f t="shared" si="158"/>
        <v/>
      </c>
      <c r="R2080" s="317" t="str">
        <f t="shared" si="159"/>
        <v/>
      </c>
      <c r="S2080" s="317" t="str">
        <f t="shared" si="160"/>
        <v/>
      </c>
      <c r="T2080" s="317" t="str">
        <f>GLOBAL_DER_FEV_2023!S2080</f>
        <v/>
      </c>
      <c r="W2080" s="582">
        <v>0</v>
      </c>
      <c r="X2080" s="580"/>
      <c r="Y2080" s="583">
        <f>IF(GLOBAL_DER_FEV_2023!W2080=0,0,IF(GLOBAL_DER_FEV_2023!W2080&gt;0,"c","b"))</f>
        <v>0</v>
      </c>
    </row>
    <row r="2081" spans="1:25" ht="15" hidden="1" customHeight="1" x14ac:dyDescent="0.2">
      <c r="A2081" s="317" t="s">
        <v>147</v>
      </c>
      <c r="B2081" s="895" t="s">
        <v>147</v>
      </c>
      <c r="C2081" s="896"/>
      <c r="D2081" s="906" t="s">
        <v>233</v>
      </c>
      <c r="E2081" s="907">
        <f>GLOBAL_DER_FEV_2023!E2081</f>
        <v>0.2</v>
      </c>
      <c r="F2081" s="908">
        <f>GLOBAL_DER_FEV_2023!F2081</f>
        <v>0.56440000000000001</v>
      </c>
      <c r="G2081" s="949">
        <f>GLOBAL_DER_FEV_2023!G2081</f>
        <v>1.6333736000000001</v>
      </c>
      <c r="H2081" s="901">
        <f>GLOBAL_DER_FEV_2023!H2081</f>
        <v>0</v>
      </c>
      <c r="I2081" s="901">
        <f>GLOBAL_DER_FEV_2023!I2081</f>
        <v>0</v>
      </c>
      <c r="J2081" s="902">
        <f>GLOBAL_DER_FEV_2023!J2081</f>
        <v>0</v>
      </c>
      <c r="K2081" s="903"/>
      <c r="L2081" s="1177"/>
      <c r="M2081" s="1138">
        <f t="shared" si="157"/>
        <v>0</v>
      </c>
      <c r="N2081" s="1176">
        <f t="shared" ref="N2081:N2144" si="161">IF(ISBLANK(L2081),0,IF(W2081=0,ROUND(L2081*M2081,2),IF(W2081="b",ROUNDDOWN(L2081*M2081,2),ROUNDUP(L2081*M2081,2))))</f>
        <v>0</v>
      </c>
      <c r="O2081" s="905"/>
      <c r="P2081" s="36" t="str">
        <f>IF(N2078&gt;0,"xx",IF(N2078&gt;0,"xy",""))</f>
        <v/>
      </c>
      <c r="Q2081" s="317" t="str">
        <f t="shared" si="158"/>
        <v/>
      </c>
      <c r="R2081" s="317" t="str">
        <f t="shared" si="159"/>
        <v/>
      </c>
      <c r="S2081" s="317" t="str">
        <f t="shared" si="160"/>
        <v/>
      </c>
      <c r="T2081" s="317" t="str">
        <f>GLOBAL_DER_FEV_2023!S2081</f>
        <v/>
      </c>
      <c r="W2081" s="582">
        <v>0</v>
      </c>
      <c r="X2081" s="580"/>
      <c r="Y2081" s="583">
        <f>IF(GLOBAL_DER_FEV_2023!W2081=0,0,IF(GLOBAL_DER_FEV_2023!W2081&gt;0,"c","b"))</f>
        <v>0</v>
      </c>
    </row>
    <row r="2082" spans="1:25" ht="15" hidden="1" customHeight="1" x14ac:dyDescent="0.2">
      <c r="A2082" s="317" t="s">
        <v>147</v>
      </c>
      <c r="B2082" s="895" t="s">
        <v>147</v>
      </c>
      <c r="C2082" s="896"/>
      <c r="D2082" s="906" t="s">
        <v>336</v>
      </c>
      <c r="E2082" s="907">
        <f>GLOBAL_DER_FEV_2023!E2082</f>
        <v>40</v>
      </c>
      <c r="F2082" s="908">
        <f>GLOBAL_DER_FEV_2023!F2082</f>
        <v>1</v>
      </c>
      <c r="G2082" s="949">
        <f>GLOBAL_DER_FEV_2023!G2082</f>
        <v>45.480000000000004</v>
      </c>
      <c r="H2082" s="901">
        <f>GLOBAL_DER_FEV_2023!H2082</f>
        <v>0</v>
      </c>
      <c r="I2082" s="901">
        <f>GLOBAL_DER_FEV_2023!I2082</f>
        <v>0</v>
      </c>
      <c r="J2082" s="902">
        <f>GLOBAL_DER_FEV_2023!J2082</f>
        <v>0</v>
      </c>
      <c r="K2082" s="903"/>
      <c r="L2082" s="1177"/>
      <c r="M2082" s="1138">
        <f t="shared" si="157"/>
        <v>0</v>
      </c>
      <c r="N2082" s="1176">
        <f t="shared" si="161"/>
        <v>0</v>
      </c>
      <c r="O2082" s="905"/>
      <c r="P2082" s="36" t="str">
        <f>IF(N2078&gt;0,"xx",IF(N2078&gt;0,"xy",""))</f>
        <v/>
      </c>
      <c r="Q2082" s="317" t="str">
        <f t="shared" si="158"/>
        <v/>
      </c>
      <c r="R2082" s="317" t="str">
        <f t="shared" si="159"/>
        <v/>
      </c>
      <c r="S2082" s="317" t="str">
        <f t="shared" si="160"/>
        <v/>
      </c>
      <c r="T2082" s="317" t="str">
        <f>GLOBAL_DER_FEV_2023!S2082</f>
        <v/>
      </c>
      <c r="W2082" s="582">
        <v>0</v>
      </c>
      <c r="X2082" s="580"/>
      <c r="Y2082" s="583">
        <f>IF(GLOBAL_DER_FEV_2023!W2082=0,0,IF(GLOBAL_DER_FEV_2023!W2082&gt;0,"c","b"))</f>
        <v>0</v>
      </c>
    </row>
    <row r="2083" spans="1:25" ht="15" hidden="1" customHeight="1" x14ac:dyDescent="0.2">
      <c r="A2083" s="317">
        <v>611300</v>
      </c>
      <c r="B2083" s="895">
        <v>611300</v>
      </c>
      <c r="C2083" s="896" t="s">
        <v>184</v>
      </c>
      <c r="D2083" s="906" t="s">
        <v>2043</v>
      </c>
      <c r="E2083" s="907">
        <f>GLOBAL_DER_FEV_2023!E2083</f>
        <v>0</v>
      </c>
      <c r="F2083" s="908">
        <f>GLOBAL_DER_FEV_2023!F2083</f>
        <v>0</v>
      </c>
      <c r="G2083" s="912">
        <f>GLOBAL_DER_FEV_2023!G2083</f>
        <v>174.865668</v>
      </c>
      <c r="H2083" s="901">
        <f>GLOBAL_DER_FEV_2023!H2083</f>
        <v>1362.43</v>
      </c>
      <c r="I2083" s="901">
        <f>GLOBAL_DER_FEV_2023!I2083</f>
        <v>1537.295668</v>
      </c>
      <c r="J2083" s="902">
        <f>GLOBAL_DER_FEV_2023!J2083</f>
        <v>1845.83</v>
      </c>
      <c r="K2083" s="903" t="s">
        <v>13</v>
      </c>
      <c r="L2083" s="1137"/>
      <c r="M2083" s="1138">
        <f t="shared" si="157"/>
        <v>0</v>
      </c>
      <c r="N2083" s="1176">
        <f t="shared" si="161"/>
        <v>0</v>
      </c>
      <c r="O2083" s="905"/>
      <c r="Q2083" s="317" t="str">
        <f t="shared" si="158"/>
        <v/>
      </c>
      <c r="R2083" s="317" t="str">
        <f t="shared" si="159"/>
        <v/>
      </c>
      <c r="S2083" s="317" t="str">
        <f t="shared" si="160"/>
        <v/>
      </c>
      <c r="T2083" s="317" t="str">
        <f>GLOBAL_DER_FEV_2023!S2083</f>
        <v/>
      </c>
      <c r="W2083" s="582">
        <v>0</v>
      </c>
      <c r="X2083" s="580"/>
      <c r="Y2083" s="583">
        <f>IF(GLOBAL_DER_FEV_2023!W2083=0,0,IF(GLOBAL_DER_FEV_2023!W2083&gt;0,"c","b"))</f>
        <v>0</v>
      </c>
    </row>
    <row r="2084" spans="1:25" ht="15" hidden="1" customHeight="1" x14ac:dyDescent="0.2">
      <c r="A2084" s="317" t="s">
        <v>147</v>
      </c>
      <c r="B2084" s="895" t="s">
        <v>147</v>
      </c>
      <c r="C2084" s="896"/>
      <c r="D2084" s="906" t="s">
        <v>190</v>
      </c>
      <c r="E2084" s="907">
        <f>GLOBAL_DER_FEV_2023!E2084</f>
        <v>308</v>
      </c>
      <c r="F2084" s="908">
        <f>GLOBAL_DER_FEV_2023!F2084</f>
        <v>0.12720000000000001</v>
      </c>
      <c r="G2084" s="909">
        <f>GLOBAL_DER_FEV_2023!G2084</f>
        <v>31.553232000000001</v>
      </c>
      <c r="H2084" s="901">
        <f>GLOBAL_DER_FEV_2023!H2084</f>
        <v>0</v>
      </c>
      <c r="I2084" s="901">
        <f>GLOBAL_DER_FEV_2023!I2084</f>
        <v>0</v>
      </c>
      <c r="J2084" s="902">
        <f>GLOBAL_DER_FEV_2023!J2084</f>
        <v>0</v>
      </c>
      <c r="K2084" s="903"/>
      <c r="L2084" s="1177"/>
      <c r="M2084" s="1138">
        <f t="shared" si="157"/>
        <v>0</v>
      </c>
      <c r="N2084" s="1176">
        <f t="shared" si="161"/>
        <v>0</v>
      </c>
      <c r="O2084" s="905"/>
      <c r="P2084" s="36" t="str">
        <f>IF(N2083&gt;0,"xx",IF(N2083&gt;0,"xy",""))</f>
        <v/>
      </c>
      <c r="Q2084" s="317" t="str">
        <f t="shared" si="158"/>
        <v/>
      </c>
      <c r="R2084" s="317" t="str">
        <f t="shared" si="159"/>
        <v/>
      </c>
      <c r="S2084" s="317" t="str">
        <f t="shared" si="160"/>
        <v/>
      </c>
      <c r="T2084" s="317" t="str">
        <f>GLOBAL_DER_FEV_2023!S2084</f>
        <v/>
      </c>
      <c r="W2084" s="582">
        <v>0</v>
      </c>
      <c r="X2084" s="580"/>
      <c r="Y2084" s="583">
        <f>IF(GLOBAL_DER_FEV_2023!W2084=0,0,IF(GLOBAL_DER_FEV_2023!W2084&gt;0,"c","b"))</f>
        <v>0</v>
      </c>
    </row>
    <row r="2085" spans="1:25" ht="15" hidden="1" customHeight="1" x14ac:dyDescent="0.2">
      <c r="A2085" s="317" t="s">
        <v>147</v>
      </c>
      <c r="B2085" s="895" t="s">
        <v>147</v>
      </c>
      <c r="C2085" s="896"/>
      <c r="D2085" s="906" t="s">
        <v>229</v>
      </c>
      <c r="E2085" s="907">
        <f>GLOBAL_DER_FEV_2023!E2085</f>
        <v>150</v>
      </c>
      <c r="F2085" s="908">
        <f>GLOBAL_DER_FEV_2023!F2085</f>
        <v>0.46300000000000002</v>
      </c>
      <c r="G2085" s="949">
        <f>GLOBAL_DER_FEV_2023!G2085</f>
        <v>75.552340000000001</v>
      </c>
      <c r="H2085" s="901">
        <f>GLOBAL_DER_FEV_2023!H2085</f>
        <v>0</v>
      </c>
      <c r="I2085" s="901">
        <f>GLOBAL_DER_FEV_2023!I2085</f>
        <v>0</v>
      </c>
      <c r="J2085" s="902">
        <f>GLOBAL_DER_FEV_2023!J2085</f>
        <v>0</v>
      </c>
      <c r="K2085" s="903"/>
      <c r="L2085" s="1177"/>
      <c r="M2085" s="1138">
        <f t="shared" si="157"/>
        <v>0</v>
      </c>
      <c r="N2085" s="1176">
        <f t="shared" si="161"/>
        <v>0</v>
      </c>
      <c r="O2085" s="905"/>
      <c r="P2085" s="36" t="str">
        <f>IF(N2083&gt;0,"xx",IF(N2083&gt;0,"xy",""))</f>
        <v/>
      </c>
      <c r="Q2085" s="317" t="str">
        <f t="shared" si="158"/>
        <v/>
      </c>
      <c r="R2085" s="317" t="str">
        <f t="shared" si="159"/>
        <v/>
      </c>
      <c r="S2085" s="317" t="str">
        <f t="shared" si="160"/>
        <v/>
      </c>
      <c r="T2085" s="317" t="str">
        <f>GLOBAL_DER_FEV_2023!S2085</f>
        <v/>
      </c>
      <c r="W2085" s="582">
        <v>0</v>
      </c>
      <c r="X2085" s="580"/>
      <c r="Y2085" s="583">
        <f>IF(GLOBAL_DER_FEV_2023!W2085=0,0,IF(GLOBAL_DER_FEV_2023!W2085&gt;0,"c","b"))</f>
        <v>0</v>
      </c>
    </row>
    <row r="2086" spans="1:25" ht="15" hidden="1" customHeight="1" x14ac:dyDescent="0.2">
      <c r="A2086" s="317" t="s">
        <v>147</v>
      </c>
      <c r="B2086" s="895" t="s">
        <v>147</v>
      </c>
      <c r="C2086" s="896"/>
      <c r="D2086" s="906" t="s">
        <v>233</v>
      </c>
      <c r="E2086" s="907">
        <f>GLOBAL_DER_FEV_2023!E2086</f>
        <v>0.2</v>
      </c>
      <c r="F2086" s="908">
        <f>GLOBAL_DER_FEV_2023!F2086</f>
        <v>0.78400000000000003</v>
      </c>
      <c r="G2086" s="949">
        <f>GLOBAL_DER_FEV_2023!G2086</f>
        <v>2.2688960000000002</v>
      </c>
      <c r="H2086" s="901">
        <f>GLOBAL_DER_FEV_2023!H2086</f>
        <v>0</v>
      </c>
      <c r="I2086" s="901">
        <f>GLOBAL_DER_FEV_2023!I2086</f>
        <v>0</v>
      </c>
      <c r="J2086" s="902">
        <f>GLOBAL_DER_FEV_2023!J2086</f>
        <v>0</v>
      </c>
      <c r="K2086" s="903"/>
      <c r="L2086" s="1177"/>
      <c r="M2086" s="1138">
        <f t="shared" si="157"/>
        <v>0</v>
      </c>
      <c r="N2086" s="1176">
        <f t="shared" si="161"/>
        <v>0</v>
      </c>
      <c r="O2086" s="905"/>
      <c r="P2086" s="36" t="str">
        <f>IF(N2083&gt;0,"xx",IF(N2083&gt;0,"xy",""))</f>
        <v/>
      </c>
      <c r="Q2086" s="317" t="str">
        <f t="shared" si="158"/>
        <v/>
      </c>
      <c r="R2086" s="317" t="str">
        <f t="shared" si="159"/>
        <v/>
      </c>
      <c r="S2086" s="317" t="str">
        <f t="shared" si="160"/>
        <v/>
      </c>
      <c r="T2086" s="317" t="str">
        <f>GLOBAL_DER_FEV_2023!S2086</f>
        <v/>
      </c>
      <c r="W2086" s="582">
        <v>0</v>
      </c>
      <c r="X2086" s="580"/>
      <c r="Y2086" s="583">
        <f>IF(GLOBAL_DER_FEV_2023!W2086=0,0,IF(GLOBAL_DER_FEV_2023!W2086&gt;0,"c","b"))</f>
        <v>0</v>
      </c>
    </row>
    <row r="2087" spans="1:25" ht="15" hidden="1" customHeight="1" x14ac:dyDescent="0.2">
      <c r="A2087" s="317" t="s">
        <v>147</v>
      </c>
      <c r="B2087" s="895" t="s">
        <v>147</v>
      </c>
      <c r="C2087" s="896"/>
      <c r="D2087" s="906" t="s">
        <v>336</v>
      </c>
      <c r="E2087" s="907">
        <f>GLOBAL_DER_FEV_2023!E2087</f>
        <v>40</v>
      </c>
      <c r="F2087" s="908">
        <f>GLOBAL_DER_FEV_2023!F2087</f>
        <v>1.44</v>
      </c>
      <c r="G2087" s="949">
        <f>GLOBAL_DER_FEV_2023!G2087</f>
        <v>65.491200000000006</v>
      </c>
      <c r="H2087" s="901">
        <f>GLOBAL_DER_FEV_2023!H2087</f>
        <v>0</v>
      </c>
      <c r="I2087" s="901">
        <f>GLOBAL_DER_FEV_2023!I2087</f>
        <v>0</v>
      </c>
      <c r="J2087" s="902">
        <f>GLOBAL_DER_FEV_2023!J2087</f>
        <v>0</v>
      </c>
      <c r="K2087" s="903"/>
      <c r="L2087" s="1177"/>
      <c r="M2087" s="1138">
        <f t="shared" si="157"/>
        <v>0</v>
      </c>
      <c r="N2087" s="1176">
        <f t="shared" si="161"/>
        <v>0</v>
      </c>
      <c r="O2087" s="905"/>
      <c r="P2087" s="36" t="str">
        <f>IF(N2083&gt;0,"xx",IF(N2083&gt;0,"xy",""))</f>
        <v/>
      </c>
      <c r="Q2087" s="317" t="str">
        <f t="shared" si="158"/>
        <v/>
      </c>
      <c r="R2087" s="317" t="str">
        <f t="shared" si="159"/>
        <v/>
      </c>
      <c r="S2087" s="317" t="str">
        <f t="shared" si="160"/>
        <v/>
      </c>
      <c r="T2087" s="317" t="str">
        <f>GLOBAL_DER_FEV_2023!S2087</f>
        <v/>
      </c>
      <c r="W2087" s="582">
        <v>0</v>
      </c>
      <c r="X2087" s="580"/>
      <c r="Y2087" s="583">
        <f>IF(GLOBAL_DER_FEV_2023!W2087=0,0,IF(GLOBAL_DER_FEV_2023!W2087&gt;0,"c","b"))</f>
        <v>0</v>
      </c>
    </row>
    <row r="2088" spans="1:25" ht="15" hidden="1" customHeight="1" x14ac:dyDescent="0.2">
      <c r="A2088" s="317">
        <v>611500</v>
      </c>
      <c r="B2088" s="895" t="s">
        <v>1856</v>
      </c>
      <c r="C2088" s="896" t="s">
        <v>184</v>
      </c>
      <c r="D2088" s="906" t="s">
        <v>2044</v>
      </c>
      <c r="E2088" s="907">
        <f>GLOBAL_DER_FEV_2023!E2088</f>
        <v>0</v>
      </c>
      <c r="F2088" s="908">
        <f>GLOBAL_DER_FEV_2023!F2088</f>
        <v>0</v>
      </c>
      <c r="G2088" s="912">
        <f>GLOBAL_DER_FEV_2023!G2088</f>
        <v>235.4767526</v>
      </c>
      <c r="H2088" s="901">
        <f>GLOBAL_DER_FEV_2023!H2088</f>
        <v>1749.33</v>
      </c>
      <c r="I2088" s="901">
        <f>GLOBAL_DER_FEV_2023!I2088</f>
        <v>1984.8067526</v>
      </c>
      <c r="J2088" s="902">
        <f>GLOBAL_DER_FEV_2023!J2088</f>
        <v>2383.16</v>
      </c>
      <c r="K2088" s="903" t="s">
        <v>13</v>
      </c>
      <c r="L2088" s="1137"/>
      <c r="M2088" s="1138">
        <f t="shared" si="157"/>
        <v>0</v>
      </c>
      <c r="N2088" s="1176">
        <f t="shared" si="161"/>
        <v>0</v>
      </c>
      <c r="O2088" s="905"/>
      <c r="Q2088" s="317" t="str">
        <f t="shared" si="158"/>
        <v/>
      </c>
      <c r="R2088" s="317" t="str">
        <f t="shared" si="159"/>
        <v/>
      </c>
      <c r="S2088" s="317" t="str">
        <f t="shared" si="160"/>
        <v/>
      </c>
      <c r="T2088" s="317" t="str">
        <f>GLOBAL_DER_FEV_2023!S2088</f>
        <v/>
      </c>
      <c r="W2088" s="582">
        <v>0</v>
      </c>
      <c r="X2088" s="580"/>
      <c r="Y2088" s="583">
        <f>IF(GLOBAL_DER_FEV_2023!W2088=0,0,IF(GLOBAL_DER_FEV_2023!W2088&gt;0,"c","b"))</f>
        <v>0</v>
      </c>
    </row>
    <row r="2089" spans="1:25" ht="15" hidden="1" customHeight="1" x14ac:dyDescent="0.2">
      <c r="A2089" s="317" t="s">
        <v>147</v>
      </c>
      <c r="B2089" s="895" t="s">
        <v>147</v>
      </c>
      <c r="C2089" s="896"/>
      <c r="D2089" s="906" t="s">
        <v>190</v>
      </c>
      <c r="E2089" s="907">
        <f>GLOBAL_DER_FEV_2023!E2089</f>
        <v>308</v>
      </c>
      <c r="F2089" s="908">
        <f>GLOBAL_DER_FEV_2023!F2089</f>
        <v>0.187</v>
      </c>
      <c r="G2089" s="909">
        <f>GLOBAL_DER_FEV_2023!G2089</f>
        <v>46.387219999999999</v>
      </c>
      <c r="H2089" s="901">
        <f>GLOBAL_DER_FEV_2023!H2089</f>
        <v>0</v>
      </c>
      <c r="I2089" s="901">
        <f>GLOBAL_DER_FEV_2023!I2089</f>
        <v>0</v>
      </c>
      <c r="J2089" s="902">
        <f>GLOBAL_DER_FEV_2023!J2089</f>
        <v>0</v>
      </c>
      <c r="K2089" s="903"/>
      <c r="L2089" s="1177"/>
      <c r="M2089" s="1138">
        <f t="shared" si="157"/>
        <v>0</v>
      </c>
      <c r="N2089" s="1176">
        <f t="shared" si="161"/>
        <v>0</v>
      </c>
      <c r="O2089" s="905"/>
      <c r="P2089" s="36" t="str">
        <f>IF(N2088&gt;0,"xx",IF(N2088&gt;0,"xy",""))</f>
        <v/>
      </c>
      <c r="Q2089" s="317" t="str">
        <f t="shared" si="158"/>
        <v/>
      </c>
      <c r="R2089" s="317" t="str">
        <f t="shared" si="159"/>
        <v/>
      </c>
      <c r="S2089" s="317" t="str">
        <f t="shared" si="160"/>
        <v/>
      </c>
      <c r="T2089" s="317" t="str">
        <f>GLOBAL_DER_FEV_2023!S2089</f>
        <v/>
      </c>
      <c r="W2089" s="582">
        <v>0</v>
      </c>
      <c r="X2089" s="580"/>
      <c r="Y2089" s="583">
        <f>IF(GLOBAL_DER_FEV_2023!W2089=0,0,IF(GLOBAL_DER_FEV_2023!W2089&gt;0,"c","b"))</f>
        <v>0</v>
      </c>
    </row>
    <row r="2090" spans="1:25" ht="15" hidden="1" customHeight="1" x14ac:dyDescent="0.2">
      <c r="A2090" s="317" t="s">
        <v>147</v>
      </c>
      <c r="B2090" s="895" t="s">
        <v>147</v>
      </c>
      <c r="C2090" s="896"/>
      <c r="D2090" s="906" t="s">
        <v>229</v>
      </c>
      <c r="E2090" s="907">
        <f>GLOBAL_DER_FEV_2023!E2090</f>
        <v>150</v>
      </c>
      <c r="F2090" s="908">
        <f>GLOBAL_DER_FEV_2023!F2090</f>
        <v>0.67830000000000001</v>
      </c>
      <c r="G2090" s="949">
        <f>GLOBAL_DER_FEV_2023!G2090</f>
        <v>110.684994</v>
      </c>
      <c r="H2090" s="901">
        <f>GLOBAL_DER_FEV_2023!H2090</f>
        <v>0</v>
      </c>
      <c r="I2090" s="901">
        <f>GLOBAL_DER_FEV_2023!I2090</f>
        <v>0</v>
      </c>
      <c r="J2090" s="902">
        <f>GLOBAL_DER_FEV_2023!J2090</f>
        <v>0</v>
      </c>
      <c r="K2090" s="903"/>
      <c r="L2090" s="1177"/>
      <c r="M2090" s="1138">
        <f t="shared" si="157"/>
        <v>0</v>
      </c>
      <c r="N2090" s="1176">
        <f t="shared" si="161"/>
        <v>0</v>
      </c>
      <c r="O2090" s="905"/>
      <c r="P2090" s="36" t="str">
        <f>IF(N2088&gt;0,"xx",IF(N2088&gt;0,"xy",""))</f>
        <v/>
      </c>
      <c r="Q2090" s="317" t="str">
        <f t="shared" si="158"/>
        <v/>
      </c>
      <c r="R2090" s="317" t="str">
        <f t="shared" si="159"/>
        <v/>
      </c>
      <c r="S2090" s="317" t="str">
        <f t="shared" si="160"/>
        <v/>
      </c>
      <c r="T2090" s="317" t="str">
        <f>GLOBAL_DER_FEV_2023!S2090</f>
        <v/>
      </c>
      <c r="W2090" s="582">
        <v>0</v>
      </c>
      <c r="X2090" s="580"/>
      <c r="Y2090" s="583">
        <f>IF(GLOBAL_DER_FEV_2023!W2090=0,0,IF(GLOBAL_DER_FEV_2023!W2090&gt;0,"c","b"))</f>
        <v>0</v>
      </c>
    </row>
    <row r="2091" spans="1:25" ht="15" hidden="1" customHeight="1" x14ac:dyDescent="0.2">
      <c r="A2091" s="317" t="s">
        <v>147</v>
      </c>
      <c r="B2091" s="895" t="s">
        <v>147</v>
      </c>
      <c r="C2091" s="896"/>
      <c r="D2091" s="906" t="s">
        <v>233</v>
      </c>
      <c r="E2091" s="907">
        <f>GLOBAL_DER_FEV_2023!E2091</f>
        <v>0.2</v>
      </c>
      <c r="F2091" s="908">
        <f>GLOBAL_DER_FEV_2023!F2091</f>
        <v>1.1618999999999999</v>
      </c>
      <c r="G2091" s="949">
        <f>GLOBAL_DER_FEV_2023!G2091</f>
        <v>3.3625386000000002</v>
      </c>
      <c r="H2091" s="901">
        <f>GLOBAL_DER_FEV_2023!H2091</f>
        <v>0</v>
      </c>
      <c r="I2091" s="901">
        <f>GLOBAL_DER_FEV_2023!I2091</f>
        <v>0</v>
      </c>
      <c r="J2091" s="902">
        <f>GLOBAL_DER_FEV_2023!J2091</f>
        <v>0</v>
      </c>
      <c r="K2091" s="903"/>
      <c r="L2091" s="1177"/>
      <c r="M2091" s="1138">
        <f t="shared" si="157"/>
        <v>0</v>
      </c>
      <c r="N2091" s="1176">
        <f t="shared" si="161"/>
        <v>0</v>
      </c>
      <c r="O2091" s="905"/>
      <c r="P2091" s="36" t="str">
        <f>IF(N2088&gt;0,"xx",IF(N2088&gt;0,"xy",""))</f>
        <v/>
      </c>
      <c r="Q2091" s="317" t="str">
        <f t="shared" si="158"/>
        <v/>
      </c>
      <c r="R2091" s="317" t="str">
        <f t="shared" si="159"/>
        <v/>
      </c>
      <c r="S2091" s="317" t="str">
        <f t="shared" si="160"/>
        <v/>
      </c>
      <c r="T2091" s="317" t="str">
        <f>GLOBAL_DER_FEV_2023!S2091</f>
        <v/>
      </c>
      <c r="W2091" s="582">
        <v>0</v>
      </c>
      <c r="X2091" s="580"/>
      <c r="Y2091" s="583">
        <f>IF(GLOBAL_DER_FEV_2023!W2091=0,0,IF(GLOBAL_DER_FEV_2023!W2091&gt;0,"c","b"))</f>
        <v>0</v>
      </c>
    </row>
    <row r="2092" spans="1:25" ht="15" hidden="1" customHeight="1" x14ac:dyDescent="0.2">
      <c r="A2092" s="317" t="s">
        <v>147</v>
      </c>
      <c r="B2092" s="895" t="s">
        <v>147</v>
      </c>
      <c r="C2092" s="896"/>
      <c r="D2092" s="906" t="s">
        <v>336</v>
      </c>
      <c r="E2092" s="907">
        <f>GLOBAL_DER_FEV_2023!E2092</f>
        <v>40</v>
      </c>
      <c r="F2092" s="908">
        <f>GLOBAL_DER_FEV_2023!F2092</f>
        <v>1.65</v>
      </c>
      <c r="G2092" s="949">
        <f>GLOBAL_DER_FEV_2023!G2092</f>
        <v>75.042000000000002</v>
      </c>
      <c r="H2092" s="901">
        <f>GLOBAL_DER_FEV_2023!H2092</f>
        <v>0</v>
      </c>
      <c r="I2092" s="901">
        <f>GLOBAL_DER_FEV_2023!I2092</f>
        <v>0</v>
      </c>
      <c r="J2092" s="902">
        <f>GLOBAL_DER_FEV_2023!J2092</f>
        <v>0</v>
      </c>
      <c r="K2092" s="903"/>
      <c r="L2092" s="1177"/>
      <c r="M2092" s="1138">
        <f t="shared" si="157"/>
        <v>0</v>
      </c>
      <c r="N2092" s="1176">
        <f t="shared" si="161"/>
        <v>0</v>
      </c>
      <c r="O2092" s="905"/>
      <c r="P2092" s="36" t="str">
        <f>IF(N2088&gt;0,"xx",IF(N2088&gt;0,"xy",""))</f>
        <v/>
      </c>
      <c r="Q2092" s="317" t="str">
        <f t="shared" si="158"/>
        <v/>
      </c>
      <c r="R2092" s="317" t="str">
        <f t="shared" si="159"/>
        <v/>
      </c>
      <c r="S2092" s="317" t="str">
        <f t="shared" si="160"/>
        <v/>
      </c>
      <c r="T2092" s="317" t="str">
        <f>GLOBAL_DER_FEV_2023!S2092</f>
        <v/>
      </c>
      <c r="W2092" s="582">
        <v>0</v>
      </c>
      <c r="X2092" s="580"/>
      <c r="Y2092" s="583">
        <f>IF(GLOBAL_DER_FEV_2023!W2092=0,0,IF(GLOBAL_DER_FEV_2023!W2092&gt;0,"c","b"))</f>
        <v>0</v>
      </c>
    </row>
    <row r="2093" spans="1:25" ht="15" hidden="1" customHeight="1" x14ac:dyDescent="0.2">
      <c r="A2093" s="317">
        <v>611500</v>
      </c>
      <c r="B2093" s="895" t="s">
        <v>1857</v>
      </c>
      <c r="C2093" s="896" t="s">
        <v>184</v>
      </c>
      <c r="D2093" s="906" t="s">
        <v>2045</v>
      </c>
      <c r="E2093" s="907">
        <f>GLOBAL_DER_FEV_2023!E2093</f>
        <v>0</v>
      </c>
      <c r="F2093" s="908">
        <f>GLOBAL_DER_FEV_2023!F2093</f>
        <v>0</v>
      </c>
      <c r="G2093" s="912">
        <f>GLOBAL_DER_FEV_2023!G2093</f>
        <v>279.06360720000004</v>
      </c>
      <c r="H2093" s="901">
        <f>GLOBAL_DER_FEV_2023!H2093</f>
        <v>1749.33</v>
      </c>
      <c r="I2093" s="901">
        <f>GLOBAL_DER_FEV_2023!I2093</f>
        <v>2028.3936071999999</v>
      </c>
      <c r="J2093" s="902">
        <f>GLOBAL_DER_FEV_2023!J2093</f>
        <v>2435.4899999999998</v>
      </c>
      <c r="K2093" s="903" t="s">
        <v>13</v>
      </c>
      <c r="L2093" s="1137"/>
      <c r="M2093" s="1138">
        <f t="shared" si="157"/>
        <v>0</v>
      </c>
      <c r="N2093" s="1176">
        <f t="shared" si="161"/>
        <v>0</v>
      </c>
      <c r="O2093" s="905"/>
      <c r="Q2093" s="317" t="str">
        <f t="shared" si="158"/>
        <v/>
      </c>
      <c r="R2093" s="317" t="str">
        <f t="shared" si="159"/>
        <v/>
      </c>
      <c r="S2093" s="317" t="str">
        <f t="shared" si="160"/>
        <v/>
      </c>
      <c r="T2093" s="317" t="str">
        <f>GLOBAL_DER_FEV_2023!S2093</f>
        <v/>
      </c>
      <c r="W2093" s="582">
        <v>0</v>
      </c>
      <c r="X2093" s="580"/>
      <c r="Y2093" s="583">
        <f>IF(GLOBAL_DER_FEV_2023!W2093=0,0,IF(GLOBAL_DER_FEV_2023!W2093&gt;0,"c","b"))</f>
        <v>0</v>
      </c>
    </row>
    <row r="2094" spans="1:25" ht="15" hidden="1" customHeight="1" x14ac:dyDescent="0.2">
      <c r="A2094" s="317" t="s">
        <v>147</v>
      </c>
      <c r="B2094" s="895" t="s">
        <v>147</v>
      </c>
      <c r="C2094" s="896"/>
      <c r="D2094" s="906" t="s">
        <v>190</v>
      </c>
      <c r="E2094" s="907">
        <f>GLOBAL_DER_FEV_2023!E2094</f>
        <v>308</v>
      </c>
      <c r="F2094" s="908">
        <f>GLOBAL_DER_FEV_2023!F2094</f>
        <v>0.27410000000000001</v>
      </c>
      <c r="G2094" s="909">
        <f>GLOBAL_DER_FEV_2023!G2094</f>
        <v>67.993245999999999</v>
      </c>
      <c r="H2094" s="901">
        <f>GLOBAL_DER_FEV_2023!H2094</f>
        <v>0</v>
      </c>
      <c r="I2094" s="901">
        <f>GLOBAL_DER_FEV_2023!I2094</f>
        <v>0</v>
      </c>
      <c r="J2094" s="902">
        <f>GLOBAL_DER_FEV_2023!J2094</f>
        <v>0</v>
      </c>
      <c r="K2094" s="903"/>
      <c r="L2094" s="1177"/>
      <c r="M2094" s="1138">
        <f t="shared" si="157"/>
        <v>0</v>
      </c>
      <c r="N2094" s="1176">
        <f t="shared" si="161"/>
        <v>0</v>
      </c>
      <c r="O2094" s="905"/>
      <c r="P2094" s="36" t="str">
        <f>IF(N2093&gt;0,"xx",IF(N2093&gt;0,"xy",""))</f>
        <v/>
      </c>
      <c r="Q2094" s="317" t="str">
        <f t="shared" si="158"/>
        <v/>
      </c>
      <c r="R2094" s="317" t="str">
        <f t="shared" si="159"/>
        <v/>
      </c>
      <c r="S2094" s="317" t="str">
        <f t="shared" si="160"/>
        <v/>
      </c>
      <c r="T2094" s="317" t="str">
        <f>GLOBAL_DER_FEV_2023!S2094</f>
        <v/>
      </c>
      <c r="W2094" s="582">
        <v>0</v>
      </c>
      <c r="X2094" s="580"/>
      <c r="Y2094" s="583">
        <f>IF(GLOBAL_DER_FEV_2023!W2094=0,0,IF(GLOBAL_DER_FEV_2023!W2094&gt;0,"c","b"))</f>
        <v>0</v>
      </c>
    </row>
    <row r="2095" spans="1:25" ht="15" hidden="1" customHeight="1" x14ac:dyDescent="0.2">
      <c r="A2095" s="317" t="s">
        <v>147</v>
      </c>
      <c r="B2095" s="895" t="s">
        <v>147</v>
      </c>
      <c r="C2095" s="896"/>
      <c r="D2095" s="906" t="s">
        <v>229</v>
      </c>
      <c r="E2095" s="907">
        <f>GLOBAL_DER_FEV_2023!E2095</f>
        <v>150</v>
      </c>
      <c r="F2095" s="908">
        <f>GLOBAL_DER_FEV_2023!F2095</f>
        <v>0.9748</v>
      </c>
      <c r="G2095" s="949">
        <f>GLOBAL_DER_FEV_2023!G2095</f>
        <v>159.06786400000001</v>
      </c>
      <c r="H2095" s="901">
        <f>GLOBAL_DER_FEV_2023!H2095</f>
        <v>0</v>
      </c>
      <c r="I2095" s="901">
        <f>GLOBAL_DER_FEV_2023!I2095</f>
        <v>0</v>
      </c>
      <c r="J2095" s="902">
        <f>GLOBAL_DER_FEV_2023!J2095</f>
        <v>0</v>
      </c>
      <c r="K2095" s="903"/>
      <c r="L2095" s="1177"/>
      <c r="M2095" s="1138">
        <f t="shared" si="157"/>
        <v>0</v>
      </c>
      <c r="N2095" s="1176">
        <f t="shared" si="161"/>
        <v>0</v>
      </c>
      <c r="O2095" s="905"/>
      <c r="P2095" s="36" t="str">
        <f>IF(N2093&gt;0,"xx",IF(N2093&gt;0,"xy",""))</f>
        <v/>
      </c>
      <c r="Q2095" s="317" t="str">
        <f t="shared" si="158"/>
        <v/>
      </c>
      <c r="R2095" s="317" t="str">
        <f t="shared" si="159"/>
        <v/>
      </c>
      <c r="S2095" s="317" t="str">
        <f t="shared" si="160"/>
        <v/>
      </c>
      <c r="T2095" s="317" t="str">
        <f>GLOBAL_DER_FEV_2023!S2095</f>
        <v/>
      </c>
      <c r="W2095" s="582">
        <v>0</v>
      </c>
      <c r="X2095" s="580"/>
      <c r="Y2095" s="583">
        <f>IF(GLOBAL_DER_FEV_2023!W2095=0,0,IF(GLOBAL_DER_FEV_2023!W2095&gt;0,"c","b"))</f>
        <v>0</v>
      </c>
    </row>
    <row r="2096" spans="1:25" ht="15" hidden="1" customHeight="1" x14ac:dyDescent="0.2">
      <c r="A2096" s="317" t="s">
        <v>147</v>
      </c>
      <c r="B2096" s="895" t="s">
        <v>147</v>
      </c>
      <c r="C2096" s="896"/>
      <c r="D2096" s="906" t="s">
        <v>233</v>
      </c>
      <c r="E2096" s="907">
        <f>GLOBAL_DER_FEV_2023!E2096</f>
        <v>0.2</v>
      </c>
      <c r="F2096" s="908">
        <f>GLOBAL_DER_FEV_2023!F2096</f>
        <v>2.2538</v>
      </c>
      <c r="G2096" s="949">
        <f>GLOBAL_DER_FEV_2023!G2096</f>
        <v>6.5224972000000001</v>
      </c>
      <c r="H2096" s="901">
        <f>GLOBAL_DER_FEV_2023!H2096</f>
        <v>0</v>
      </c>
      <c r="I2096" s="901">
        <f>GLOBAL_DER_FEV_2023!I2096</f>
        <v>0</v>
      </c>
      <c r="J2096" s="902">
        <f>GLOBAL_DER_FEV_2023!J2096</f>
        <v>0</v>
      </c>
      <c r="K2096" s="903"/>
      <c r="L2096" s="1177"/>
      <c r="M2096" s="1138">
        <f t="shared" si="157"/>
        <v>0</v>
      </c>
      <c r="N2096" s="1176">
        <f t="shared" si="161"/>
        <v>0</v>
      </c>
      <c r="O2096" s="905"/>
      <c r="P2096" s="36" t="str">
        <f>IF(N2093&gt;0,"xx",IF(N2093&gt;0,"xy",""))</f>
        <v/>
      </c>
      <c r="Q2096" s="317" t="str">
        <f t="shared" si="158"/>
        <v/>
      </c>
      <c r="R2096" s="317" t="str">
        <f t="shared" si="159"/>
        <v/>
      </c>
      <c r="S2096" s="317" t="str">
        <f t="shared" si="160"/>
        <v/>
      </c>
      <c r="T2096" s="317" t="str">
        <f>GLOBAL_DER_FEV_2023!S2096</f>
        <v/>
      </c>
      <c r="W2096" s="582">
        <v>0</v>
      </c>
      <c r="X2096" s="580"/>
      <c r="Y2096" s="583">
        <f>IF(GLOBAL_DER_FEV_2023!W2096=0,0,IF(GLOBAL_DER_FEV_2023!W2096&gt;0,"c","b"))</f>
        <v>0</v>
      </c>
    </row>
    <row r="2097" spans="1:25" ht="15" hidden="1" customHeight="1" x14ac:dyDescent="0.2">
      <c r="A2097" s="317" t="s">
        <v>147</v>
      </c>
      <c r="B2097" s="895" t="s">
        <v>147</v>
      </c>
      <c r="C2097" s="896"/>
      <c r="D2097" s="906" t="s">
        <v>336</v>
      </c>
      <c r="E2097" s="907">
        <f>GLOBAL_DER_FEV_2023!E2097</f>
        <v>40</v>
      </c>
      <c r="F2097" s="908">
        <f>GLOBAL_DER_FEV_2023!F2097</f>
        <v>1</v>
      </c>
      <c r="G2097" s="949">
        <f>GLOBAL_DER_FEV_2023!G2097</f>
        <v>45.480000000000004</v>
      </c>
      <c r="H2097" s="901">
        <f>GLOBAL_DER_FEV_2023!H2097</f>
        <v>0</v>
      </c>
      <c r="I2097" s="901">
        <f>GLOBAL_DER_FEV_2023!I2097</f>
        <v>0</v>
      </c>
      <c r="J2097" s="902">
        <f>GLOBAL_DER_FEV_2023!J2097</f>
        <v>0</v>
      </c>
      <c r="K2097" s="903"/>
      <c r="L2097" s="1177"/>
      <c r="M2097" s="1138">
        <f t="shared" si="157"/>
        <v>0</v>
      </c>
      <c r="N2097" s="1176">
        <f t="shared" si="161"/>
        <v>0</v>
      </c>
      <c r="O2097" s="905"/>
      <c r="P2097" s="36" t="str">
        <f>IF(N2093&gt;0,"xx",IF(N2093&gt;0,"xy",""))</f>
        <v/>
      </c>
      <c r="Q2097" s="317" t="str">
        <f t="shared" si="158"/>
        <v/>
      </c>
      <c r="R2097" s="317" t="str">
        <f t="shared" si="159"/>
        <v/>
      </c>
      <c r="S2097" s="317" t="str">
        <f t="shared" si="160"/>
        <v/>
      </c>
      <c r="T2097" s="317" t="str">
        <f>GLOBAL_DER_FEV_2023!S2097</f>
        <v/>
      </c>
      <c r="W2097" s="582">
        <v>0</v>
      </c>
      <c r="X2097" s="580"/>
      <c r="Y2097" s="583">
        <f>IF(GLOBAL_DER_FEV_2023!W2097=0,0,IF(GLOBAL_DER_FEV_2023!W2097&gt;0,"c","b"))</f>
        <v>0</v>
      </c>
    </row>
    <row r="2098" spans="1:25" ht="15" hidden="1" customHeight="1" x14ac:dyDescent="0.2">
      <c r="A2098" s="317">
        <v>611700</v>
      </c>
      <c r="B2098" s="895">
        <v>611700</v>
      </c>
      <c r="C2098" s="896" t="s">
        <v>184</v>
      </c>
      <c r="D2098" s="906" t="s">
        <v>2046</v>
      </c>
      <c r="E2098" s="907">
        <f>GLOBAL_DER_FEV_2023!E2098</f>
        <v>0</v>
      </c>
      <c r="F2098" s="908">
        <f>GLOBAL_DER_FEV_2023!F2098</f>
        <v>0</v>
      </c>
      <c r="G2098" s="912">
        <f>GLOBAL_DER_FEV_2023!G2098</f>
        <v>359.57415739999999</v>
      </c>
      <c r="H2098" s="901">
        <f>GLOBAL_DER_FEV_2023!H2098</f>
        <v>3874.21</v>
      </c>
      <c r="I2098" s="901">
        <f>GLOBAL_DER_FEV_2023!I2098</f>
        <v>4233.7841574000004</v>
      </c>
      <c r="J2098" s="902">
        <f>GLOBAL_DER_FEV_2023!J2098</f>
        <v>5083.5</v>
      </c>
      <c r="K2098" s="903" t="s">
        <v>13</v>
      </c>
      <c r="L2098" s="1137"/>
      <c r="M2098" s="1138">
        <f t="shared" si="157"/>
        <v>0</v>
      </c>
      <c r="N2098" s="1176">
        <f t="shared" si="161"/>
        <v>0</v>
      </c>
      <c r="O2098" s="905"/>
      <c r="Q2098" s="317" t="str">
        <f t="shared" si="158"/>
        <v/>
      </c>
      <c r="R2098" s="317" t="str">
        <f t="shared" si="159"/>
        <v/>
      </c>
      <c r="S2098" s="317" t="str">
        <f t="shared" si="160"/>
        <v/>
      </c>
      <c r="T2098" s="317" t="str">
        <f>GLOBAL_DER_FEV_2023!S2098</f>
        <v/>
      </c>
      <c r="W2098" s="582">
        <v>0</v>
      </c>
      <c r="X2098" s="580"/>
      <c r="Y2098" s="583">
        <f>IF(GLOBAL_DER_FEV_2023!W2098=0,0,IF(GLOBAL_DER_FEV_2023!W2098&gt;0,"c","b"))</f>
        <v>0</v>
      </c>
    </row>
    <row r="2099" spans="1:25" ht="15" hidden="1" customHeight="1" x14ac:dyDescent="0.2">
      <c r="A2099" s="317" t="s">
        <v>147</v>
      </c>
      <c r="B2099" s="895" t="s">
        <v>147</v>
      </c>
      <c r="C2099" s="896"/>
      <c r="D2099" s="906" t="s">
        <v>190</v>
      </c>
      <c r="E2099" s="907">
        <f>GLOBAL_DER_FEV_2023!E2099</f>
        <v>308</v>
      </c>
      <c r="F2099" s="908">
        <f>GLOBAL_DER_FEV_2023!F2099</f>
        <v>0.30620000000000003</v>
      </c>
      <c r="G2099" s="909">
        <f>GLOBAL_DER_FEV_2023!G2099</f>
        <v>75.955972000000003</v>
      </c>
      <c r="H2099" s="901">
        <f>GLOBAL_DER_FEV_2023!H2099</f>
        <v>0</v>
      </c>
      <c r="I2099" s="901">
        <f>GLOBAL_DER_FEV_2023!I2099</f>
        <v>0</v>
      </c>
      <c r="J2099" s="902">
        <f>GLOBAL_DER_FEV_2023!J2099</f>
        <v>0</v>
      </c>
      <c r="K2099" s="903"/>
      <c r="L2099" s="1177"/>
      <c r="M2099" s="1138">
        <f t="shared" si="157"/>
        <v>0</v>
      </c>
      <c r="N2099" s="1176">
        <f t="shared" si="161"/>
        <v>0</v>
      </c>
      <c r="O2099" s="905"/>
      <c r="P2099" s="36" t="str">
        <f>IF(N2098&gt;0,"xx",IF(N2098&gt;0,"xy",""))</f>
        <v/>
      </c>
      <c r="Q2099" s="317" t="str">
        <f t="shared" si="158"/>
        <v/>
      </c>
      <c r="R2099" s="317" t="str">
        <f t="shared" si="159"/>
        <v/>
      </c>
      <c r="S2099" s="317" t="str">
        <f t="shared" si="160"/>
        <v/>
      </c>
      <c r="T2099" s="317" t="str">
        <f>GLOBAL_DER_FEV_2023!S2099</f>
        <v/>
      </c>
      <c r="W2099" s="582">
        <v>0</v>
      </c>
      <c r="X2099" s="580"/>
      <c r="Y2099" s="583">
        <f>IF(GLOBAL_DER_FEV_2023!W2099=0,0,IF(GLOBAL_DER_FEV_2023!W2099&gt;0,"c","b"))</f>
        <v>0</v>
      </c>
    </row>
    <row r="2100" spans="1:25" ht="15" hidden="1" customHeight="1" x14ac:dyDescent="0.2">
      <c r="A2100" s="317" t="s">
        <v>147</v>
      </c>
      <c r="B2100" s="895" t="s">
        <v>147</v>
      </c>
      <c r="C2100" s="896"/>
      <c r="D2100" s="906" t="s">
        <v>229</v>
      </c>
      <c r="E2100" s="907">
        <f>GLOBAL_DER_FEV_2023!E2100</f>
        <v>150</v>
      </c>
      <c r="F2100" s="908">
        <f>GLOBAL_DER_FEV_2023!F2100</f>
        <v>1.1047</v>
      </c>
      <c r="G2100" s="949">
        <f>GLOBAL_DER_FEV_2023!G2100</f>
        <v>180.26494600000001</v>
      </c>
      <c r="H2100" s="901">
        <f>GLOBAL_DER_FEV_2023!H2100</f>
        <v>0</v>
      </c>
      <c r="I2100" s="901">
        <f>GLOBAL_DER_FEV_2023!I2100</f>
        <v>0</v>
      </c>
      <c r="J2100" s="902">
        <f>GLOBAL_DER_FEV_2023!J2100</f>
        <v>0</v>
      </c>
      <c r="K2100" s="903"/>
      <c r="L2100" s="1177"/>
      <c r="M2100" s="1138">
        <f t="shared" si="157"/>
        <v>0</v>
      </c>
      <c r="N2100" s="1176">
        <f t="shared" si="161"/>
        <v>0</v>
      </c>
      <c r="O2100" s="905"/>
      <c r="P2100" s="36" t="str">
        <f>IF(N2098&gt;0,"xx",IF(N2098&gt;0,"xy",""))</f>
        <v/>
      </c>
      <c r="Q2100" s="317" t="str">
        <f t="shared" si="158"/>
        <v/>
      </c>
      <c r="R2100" s="317" t="str">
        <f t="shared" si="159"/>
        <v/>
      </c>
      <c r="S2100" s="317" t="str">
        <f t="shared" si="160"/>
        <v/>
      </c>
      <c r="T2100" s="317" t="str">
        <f>GLOBAL_DER_FEV_2023!S2100</f>
        <v/>
      </c>
      <c r="W2100" s="582">
        <v>0</v>
      </c>
      <c r="X2100" s="580"/>
      <c r="Y2100" s="583">
        <f>IF(GLOBAL_DER_FEV_2023!W2100=0,0,IF(GLOBAL_DER_FEV_2023!W2100&gt;0,"c","b"))</f>
        <v>0</v>
      </c>
    </row>
    <row r="2101" spans="1:25" ht="15" hidden="1" customHeight="1" x14ac:dyDescent="0.2">
      <c r="A2101" s="317" t="s">
        <v>147</v>
      </c>
      <c r="B2101" s="895" t="s">
        <v>147</v>
      </c>
      <c r="C2101" s="896"/>
      <c r="D2101" s="906" t="s">
        <v>233</v>
      </c>
      <c r="E2101" s="907">
        <f>GLOBAL_DER_FEV_2023!E2101</f>
        <v>0.2</v>
      </c>
      <c r="F2101" s="908">
        <f>GLOBAL_DER_FEV_2023!F2101</f>
        <v>1.9251</v>
      </c>
      <c r="G2101" s="949">
        <f>GLOBAL_DER_FEV_2023!G2101</f>
        <v>5.5712394000000005</v>
      </c>
      <c r="H2101" s="901">
        <f>GLOBAL_DER_FEV_2023!H2101</f>
        <v>0</v>
      </c>
      <c r="I2101" s="901">
        <f>GLOBAL_DER_FEV_2023!I2101</f>
        <v>0</v>
      </c>
      <c r="J2101" s="902">
        <f>GLOBAL_DER_FEV_2023!J2101</f>
        <v>0</v>
      </c>
      <c r="K2101" s="903"/>
      <c r="L2101" s="1177"/>
      <c r="M2101" s="1138">
        <f t="shared" si="157"/>
        <v>0</v>
      </c>
      <c r="N2101" s="1176">
        <f t="shared" si="161"/>
        <v>0</v>
      </c>
      <c r="O2101" s="905"/>
      <c r="P2101" s="36" t="str">
        <f>IF(N2098&gt;0,"xx",IF(N2098&gt;0,"xy",""))</f>
        <v/>
      </c>
      <c r="Q2101" s="317" t="str">
        <f t="shared" si="158"/>
        <v/>
      </c>
      <c r="R2101" s="317" t="str">
        <f t="shared" si="159"/>
        <v/>
      </c>
      <c r="S2101" s="317" t="str">
        <f t="shared" si="160"/>
        <v/>
      </c>
      <c r="T2101" s="317" t="str">
        <f>GLOBAL_DER_FEV_2023!S2101</f>
        <v/>
      </c>
      <c r="W2101" s="582">
        <v>0</v>
      </c>
      <c r="X2101" s="580"/>
      <c r="Y2101" s="583">
        <f>IF(GLOBAL_DER_FEV_2023!W2101=0,0,IF(GLOBAL_DER_FEV_2023!W2101&gt;0,"c","b"))</f>
        <v>0</v>
      </c>
    </row>
    <row r="2102" spans="1:25" ht="15" hidden="1" customHeight="1" x14ac:dyDescent="0.2">
      <c r="A2102" s="317" t="s">
        <v>147</v>
      </c>
      <c r="B2102" s="895" t="s">
        <v>147</v>
      </c>
      <c r="C2102" s="896"/>
      <c r="D2102" s="906" t="s">
        <v>336</v>
      </c>
      <c r="E2102" s="907">
        <f>GLOBAL_DER_FEV_2023!E2102</f>
        <v>40</v>
      </c>
      <c r="F2102" s="908">
        <f>GLOBAL_DER_FEV_2023!F2102</f>
        <v>2.15</v>
      </c>
      <c r="G2102" s="949">
        <f>GLOBAL_DER_FEV_2023!G2102</f>
        <v>97.782000000000011</v>
      </c>
      <c r="H2102" s="901">
        <f>GLOBAL_DER_FEV_2023!H2102</f>
        <v>0</v>
      </c>
      <c r="I2102" s="901">
        <f>GLOBAL_DER_FEV_2023!I2102</f>
        <v>0</v>
      </c>
      <c r="J2102" s="902">
        <f>GLOBAL_DER_FEV_2023!J2102</f>
        <v>0</v>
      </c>
      <c r="K2102" s="903"/>
      <c r="L2102" s="1177"/>
      <c r="M2102" s="1138">
        <f t="shared" si="157"/>
        <v>0</v>
      </c>
      <c r="N2102" s="1176">
        <f t="shared" si="161"/>
        <v>0</v>
      </c>
      <c r="O2102" s="905"/>
      <c r="P2102" s="36" t="str">
        <f>IF(N2098&gt;0,"xx",IF(N2098&gt;0,"xy",""))</f>
        <v/>
      </c>
      <c r="Q2102" s="317" t="str">
        <f t="shared" si="158"/>
        <v/>
      </c>
      <c r="R2102" s="317" t="str">
        <f t="shared" si="159"/>
        <v/>
      </c>
      <c r="S2102" s="317" t="str">
        <f t="shared" si="160"/>
        <v/>
      </c>
      <c r="T2102" s="317" t="str">
        <f>GLOBAL_DER_FEV_2023!S2102</f>
        <v/>
      </c>
      <c r="W2102" s="582">
        <v>0</v>
      </c>
      <c r="X2102" s="580"/>
      <c r="Y2102" s="583">
        <f>IF(GLOBAL_DER_FEV_2023!W2102=0,0,IF(GLOBAL_DER_FEV_2023!W2102&gt;0,"c","b"))</f>
        <v>0</v>
      </c>
    </row>
    <row r="2103" spans="1:25" ht="15" hidden="1" customHeight="1" x14ac:dyDescent="0.2">
      <c r="A2103" s="317" t="s">
        <v>17</v>
      </c>
      <c r="B2103" s="895" t="s">
        <v>17</v>
      </c>
      <c r="C2103" s="896" t="s">
        <v>184</v>
      </c>
      <c r="D2103" s="906" t="s">
        <v>54</v>
      </c>
      <c r="E2103" s="907">
        <f>GLOBAL_DER_FEV_2023!E2103</f>
        <v>0</v>
      </c>
      <c r="F2103" s="908">
        <f>GLOBAL_DER_FEV_2023!F2103</f>
        <v>0</v>
      </c>
      <c r="G2103" s="912">
        <f>GLOBAL_DER_FEV_2023!G2103</f>
        <v>150.80919626400001</v>
      </c>
      <c r="H2103" s="901">
        <f>GLOBAL_DER_FEV_2023!H2103</f>
        <v>1441.24</v>
      </c>
      <c r="I2103" s="901">
        <f>GLOBAL_DER_FEV_2023!I2103</f>
        <v>1592.0491962640001</v>
      </c>
      <c r="J2103" s="902">
        <f>GLOBAL_DER_FEV_2023!J2103</f>
        <v>1911.57</v>
      </c>
      <c r="K2103" s="903" t="s">
        <v>15</v>
      </c>
      <c r="L2103" s="1137"/>
      <c r="M2103" s="1138">
        <f t="shared" si="157"/>
        <v>0</v>
      </c>
      <c r="N2103" s="1176">
        <f t="shared" si="161"/>
        <v>0</v>
      </c>
      <c r="O2103" s="905"/>
      <c r="Q2103" s="317" t="str">
        <f t="shared" si="158"/>
        <v/>
      </c>
      <c r="R2103" s="317" t="str">
        <f t="shared" si="159"/>
        <v/>
      </c>
      <c r="S2103" s="317" t="str">
        <f t="shared" si="160"/>
        <v/>
      </c>
      <c r="T2103" s="317" t="str">
        <f>GLOBAL_DER_FEV_2023!S2103</f>
        <v/>
      </c>
      <c r="W2103" s="582">
        <v>0</v>
      </c>
      <c r="X2103" s="580"/>
      <c r="Y2103" s="583">
        <f>IF(GLOBAL_DER_FEV_2023!W2103=0,0,IF(GLOBAL_DER_FEV_2023!W2103&gt;0,"c","b"))</f>
        <v>0</v>
      </c>
    </row>
    <row r="2104" spans="1:25" ht="15" hidden="1" customHeight="1" x14ac:dyDescent="0.2">
      <c r="A2104" s="317" t="s">
        <v>147</v>
      </c>
      <c r="B2104" s="895" t="s">
        <v>147</v>
      </c>
      <c r="C2104" s="896"/>
      <c r="D2104" s="906" t="s">
        <v>190</v>
      </c>
      <c r="E2104" s="907">
        <f>GLOBAL_DER_FEV_2023!E2104</f>
        <v>308</v>
      </c>
      <c r="F2104" s="908">
        <f>GLOBAL_DER_FEV_2023!F2104</f>
        <v>0.11541040000000001</v>
      </c>
      <c r="G2104" s="909">
        <f>GLOBAL_DER_FEV_2023!G2104</f>
        <v>28.628703824000002</v>
      </c>
      <c r="H2104" s="901">
        <f>GLOBAL_DER_FEV_2023!H2104</f>
        <v>0</v>
      </c>
      <c r="I2104" s="901">
        <f>GLOBAL_DER_FEV_2023!I2104</f>
        <v>0</v>
      </c>
      <c r="J2104" s="902">
        <f>GLOBAL_DER_FEV_2023!J2104</f>
        <v>0</v>
      </c>
      <c r="K2104" s="903"/>
      <c r="L2104" s="1177"/>
      <c r="M2104" s="1138">
        <f t="shared" si="157"/>
        <v>0</v>
      </c>
      <c r="N2104" s="1176">
        <f t="shared" si="161"/>
        <v>0</v>
      </c>
      <c r="O2104" s="905"/>
      <c r="P2104" s="36" t="str">
        <f>IF(N2103&gt;0,"xx",IF(N2103&gt;0,"xy",""))</f>
        <v/>
      </c>
      <c r="Q2104" s="317" t="str">
        <f t="shared" si="158"/>
        <v/>
      </c>
      <c r="R2104" s="317" t="str">
        <f t="shared" si="159"/>
        <v/>
      </c>
      <c r="S2104" s="317" t="str">
        <f t="shared" si="160"/>
        <v/>
      </c>
      <c r="T2104" s="317" t="str">
        <f>GLOBAL_DER_FEV_2023!S2104</f>
        <v/>
      </c>
      <c r="W2104" s="582">
        <v>0</v>
      </c>
      <c r="X2104" s="580"/>
      <c r="Y2104" s="583">
        <f>IF(GLOBAL_DER_FEV_2023!W2104=0,0,IF(GLOBAL_DER_FEV_2023!W2104&gt;0,"c","b"))</f>
        <v>0</v>
      </c>
    </row>
    <row r="2105" spans="1:25" ht="15" hidden="1" customHeight="1" x14ac:dyDescent="0.2">
      <c r="A2105" s="317" t="s">
        <v>147</v>
      </c>
      <c r="B2105" s="895" t="s">
        <v>147</v>
      </c>
      <c r="C2105" s="896"/>
      <c r="D2105" s="906" t="s">
        <v>229</v>
      </c>
      <c r="E2105" s="907">
        <f>GLOBAL_DER_FEV_2023!E2105</f>
        <v>150</v>
      </c>
      <c r="F2105" s="908">
        <f>GLOBAL_DER_FEV_2023!F2105</f>
        <v>0.62209000000000003</v>
      </c>
      <c r="G2105" s="949">
        <f>GLOBAL_DER_FEV_2023!G2105</f>
        <v>101.51264620000001</v>
      </c>
      <c r="H2105" s="901">
        <f>GLOBAL_DER_FEV_2023!H2105</f>
        <v>0</v>
      </c>
      <c r="I2105" s="901">
        <f>GLOBAL_DER_FEV_2023!I2105</f>
        <v>0</v>
      </c>
      <c r="J2105" s="902">
        <f>GLOBAL_DER_FEV_2023!J2105</f>
        <v>0</v>
      </c>
      <c r="K2105" s="903"/>
      <c r="L2105" s="1177"/>
      <c r="M2105" s="1138">
        <f t="shared" si="157"/>
        <v>0</v>
      </c>
      <c r="N2105" s="1176">
        <f t="shared" si="161"/>
        <v>0</v>
      </c>
      <c r="O2105" s="905"/>
      <c r="P2105" s="36" t="str">
        <f>IF(N2103&gt;0,"xx",IF(N2103&gt;0,"xy",""))</f>
        <v/>
      </c>
      <c r="Q2105" s="317" t="str">
        <f t="shared" si="158"/>
        <v/>
      </c>
      <c r="R2105" s="317" t="str">
        <f t="shared" si="159"/>
        <v/>
      </c>
      <c r="S2105" s="317" t="str">
        <f t="shared" si="160"/>
        <v/>
      </c>
      <c r="T2105" s="317" t="str">
        <f>GLOBAL_DER_FEV_2023!S2105</f>
        <v/>
      </c>
      <c r="W2105" s="582">
        <v>0</v>
      </c>
      <c r="X2105" s="580"/>
      <c r="Y2105" s="583">
        <f>IF(GLOBAL_DER_FEV_2023!W2105=0,0,IF(GLOBAL_DER_FEV_2023!W2105&gt;0,"c","b"))</f>
        <v>0</v>
      </c>
    </row>
    <row r="2106" spans="1:25" ht="15" hidden="1" customHeight="1" x14ac:dyDescent="0.2">
      <c r="A2106" s="317" t="s">
        <v>147</v>
      </c>
      <c r="B2106" s="895" t="s">
        <v>147</v>
      </c>
      <c r="C2106" s="896"/>
      <c r="D2106" s="906" t="s">
        <v>233</v>
      </c>
      <c r="E2106" s="907">
        <f>GLOBAL_DER_FEV_2023!E2106</f>
        <v>0.2</v>
      </c>
      <c r="F2106" s="908">
        <f>GLOBAL_DER_FEV_2023!F2106</f>
        <v>0.20424000000000003</v>
      </c>
      <c r="G2106" s="949">
        <f>GLOBAL_DER_FEV_2023!G2106</f>
        <v>0.59107056000000013</v>
      </c>
      <c r="H2106" s="901">
        <f>GLOBAL_DER_FEV_2023!H2106</f>
        <v>0</v>
      </c>
      <c r="I2106" s="901">
        <f>GLOBAL_DER_FEV_2023!I2106</f>
        <v>0</v>
      </c>
      <c r="J2106" s="902">
        <f>GLOBAL_DER_FEV_2023!J2106</f>
        <v>0</v>
      </c>
      <c r="K2106" s="903"/>
      <c r="L2106" s="1177"/>
      <c r="M2106" s="1138">
        <f t="shared" si="157"/>
        <v>0</v>
      </c>
      <c r="N2106" s="1176">
        <f t="shared" si="161"/>
        <v>0</v>
      </c>
      <c r="O2106" s="905"/>
      <c r="P2106" s="36" t="str">
        <f>IF(N2103&gt;0,"xx",IF(N2103&gt;0,"xy",""))</f>
        <v/>
      </c>
      <c r="Q2106" s="317" t="str">
        <f t="shared" si="158"/>
        <v/>
      </c>
      <c r="R2106" s="317" t="str">
        <f t="shared" si="159"/>
        <v/>
      </c>
      <c r="S2106" s="317" t="str">
        <f t="shared" si="160"/>
        <v/>
      </c>
      <c r="T2106" s="317" t="str">
        <f>GLOBAL_DER_FEV_2023!S2106</f>
        <v/>
      </c>
      <c r="W2106" s="582">
        <v>0</v>
      </c>
      <c r="X2106" s="580"/>
      <c r="Y2106" s="583">
        <f>IF(GLOBAL_DER_FEV_2023!W2106=0,0,IF(GLOBAL_DER_FEV_2023!W2106&gt;0,"c","b"))</f>
        <v>0</v>
      </c>
    </row>
    <row r="2107" spans="1:25" ht="15" hidden="1" customHeight="1" x14ac:dyDescent="0.2">
      <c r="A2107" s="317" t="s">
        <v>147</v>
      </c>
      <c r="B2107" s="895" t="s">
        <v>147</v>
      </c>
      <c r="C2107" s="896"/>
      <c r="D2107" s="906" t="s">
        <v>365</v>
      </c>
      <c r="E2107" s="907">
        <f>GLOBAL_DER_FEV_2023!E2107</f>
        <v>10</v>
      </c>
      <c r="F2107" s="908">
        <f>GLOBAL_DER_FEV_2023!F2107</f>
        <v>0.87983999999999996</v>
      </c>
      <c r="G2107" s="949">
        <f>GLOBAL_DER_FEV_2023!G2107</f>
        <v>11.772259200000001</v>
      </c>
      <c r="H2107" s="901">
        <f>GLOBAL_DER_FEV_2023!H2107</f>
        <v>0</v>
      </c>
      <c r="I2107" s="901">
        <f>GLOBAL_DER_FEV_2023!I2107</f>
        <v>0</v>
      </c>
      <c r="J2107" s="902">
        <f>GLOBAL_DER_FEV_2023!J2107</f>
        <v>0</v>
      </c>
      <c r="K2107" s="903"/>
      <c r="L2107" s="1177"/>
      <c r="M2107" s="1138">
        <f t="shared" si="157"/>
        <v>0</v>
      </c>
      <c r="N2107" s="1176">
        <f t="shared" si="161"/>
        <v>0</v>
      </c>
      <c r="O2107" s="905"/>
      <c r="P2107" s="36" t="str">
        <f>IF(N2103&gt;0,"xx",IF(N2103&gt;0,"xy",""))</f>
        <v/>
      </c>
      <c r="Q2107" s="317" t="str">
        <f t="shared" si="158"/>
        <v/>
      </c>
      <c r="R2107" s="317" t="str">
        <f t="shared" si="159"/>
        <v/>
      </c>
      <c r="S2107" s="317" t="str">
        <f t="shared" si="160"/>
        <v/>
      </c>
      <c r="T2107" s="317" t="str">
        <f>GLOBAL_DER_FEV_2023!S2107</f>
        <v/>
      </c>
      <c r="W2107" s="582">
        <v>0</v>
      </c>
      <c r="X2107" s="580"/>
      <c r="Y2107" s="583">
        <f>IF(GLOBAL_DER_FEV_2023!W2107=0,0,IF(GLOBAL_DER_FEV_2023!W2107&gt;0,"c","b"))</f>
        <v>0</v>
      </c>
    </row>
    <row r="2108" spans="1:25" ht="15" hidden="1" customHeight="1" x14ac:dyDescent="0.2">
      <c r="A2108" s="317" t="s">
        <v>147</v>
      </c>
      <c r="B2108" s="895" t="s">
        <v>147</v>
      </c>
      <c r="C2108" s="896"/>
      <c r="D2108" s="906" t="s">
        <v>366</v>
      </c>
      <c r="E2108" s="907">
        <f>GLOBAL_DER_FEV_2023!E2108</f>
        <v>353</v>
      </c>
      <c r="F2108" s="908">
        <f>GLOBAL_DER_FEV_2023!F2108</f>
        <v>2.9328E-2</v>
      </c>
      <c r="G2108" s="909">
        <f>GLOBAL_DER_FEV_2023!G2108</f>
        <v>8.3045164800000002</v>
      </c>
      <c r="H2108" s="901">
        <f>GLOBAL_DER_FEV_2023!H2108</f>
        <v>0</v>
      </c>
      <c r="I2108" s="901">
        <f>GLOBAL_DER_FEV_2023!I2108</f>
        <v>0</v>
      </c>
      <c r="J2108" s="902">
        <f>GLOBAL_DER_FEV_2023!J2108</f>
        <v>0</v>
      </c>
      <c r="K2108" s="903"/>
      <c r="L2108" s="1177"/>
      <c r="M2108" s="1138">
        <f t="shared" si="157"/>
        <v>0</v>
      </c>
      <c r="N2108" s="1176">
        <f t="shared" si="161"/>
        <v>0</v>
      </c>
      <c r="O2108" s="905"/>
      <c r="P2108" s="36" t="str">
        <f>IF(N2103&gt;0,"xx",IF(N2103&gt;0,"xy",""))</f>
        <v/>
      </c>
      <c r="Q2108" s="317" t="str">
        <f t="shared" si="158"/>
        <v/>
      </c>
      <c r="R2108" s="317" t="str">
        <f t="shared" si="159"/>
        <v/>
      </c>
      <c r="S2108" s="317" t="str">
        <f t="shared" si="160"/>
        <v/>
      </c>
      <c r="T2108" s="317" t="str">
        <f>GLOBAL_DER_FEV_2023!S2108</f>
        <v/>
      </c>
      <c r="W2108" s="582">
        <v>0</v>
      </c>
      <c r="X2108" s="580"/>
      <c r="Y2108" s="583">
        <f>IF(GLOBAL_DER_FEV_2023!W2108=0,0,IF(GLOBAL_DER_FEV_2023!W2108&gt;0,"c","b"))</f>
        <v>0</v>
      </c>
    </row>
    <row r="2109" spans="1:25" ht="15" hidden="1" customHeight="1" x14ac:dyDescent="0.2">
      <c r="A2109" s="317" t="s">
        <v>18</v>
      </c>
      <c r="B2109" s="895" t="s">
        <v>18</v>
      </c>
      <c r="C2109" s="896" t="s">
        <v>184</v>
      </c>
      <c r="D2109" s="906" t="s">
        <v>55</v>
      </c>
      <c r="E2109" s="907">
        <f>GLOBAL_DER_FEV_2023!E2109</f>
        <v>0</v>
      </c>
      <c r="F2109" s="908">
        <f>GLOBAL_DER_FEV_2023!F2109</f>
        <v>0</v>
      </c>
      <c r="G2109" s="912">
        <f>GLOBAL_DER_FEV_2023!G2109</f>
        <v>178.02627704000002</v>
      </c>
      <c r="H2109" s="901">
        <f>GLOBAL_DER_FEV_2023!H2109</f>
        <v>1595.65</v>
      </c>
      <c r="I2109" s="901">
        <f>GLOBAL_DER_FEV_2023!I2109</f>
        <v>1773.6762770400001</v>
      </c>
      <c r="J2109" s="902">
        <f>GLOBAL_DER_FEV_2023!J2109</f>
        <v>2129.65</v>
      </c>
      <c r="K2109" s="903" t="s">
        <v>15</v>
      </c>
      <c r="L2109" s="1137"/>
      <c r="M2109" s="1138">
        <f t="shared" si="157"/>
        <v>0</v>
      </c>
      <c r="N2109" s="1176">
        <f t="shared" si="161"/>
        <v>0</v>
      </c>
      <c r="O2109" s="905"/>
      <c r="Q2109" s="317" t="str">
        <f t="shared" si="158"/>
        <v/>
      </c>
      <c r="R2109" s="317" t="str">
        <f t="shared" si="159"/>
        <v/>
      </c>
      <c r="S2109" s="317" t="str">
        <f t="shared" si="160"/>
        <v/>
      </c>
      <c r="T2109" s="317" t="str">
        <f>GLOBAL_DER_FEV_2023!S2109</f>
        <v/>
      </c>
      <c r="W2109" s="582">
        <v>0</v>
      </c>
      <c r="X2109" s="580"/>
      <c r="Y2109" s="583">
        <f>IF(GLOBAL_DER_FEV_2023!W2109=0,0,IF(GLOBAL_DER_FEV_2023!W2109&gt;0,"c","b"))</f>
        <v>0</v>
      </c>
    </row>
    <row r="2110" spans="1:25" ht="15" hidden="1" customHeight="1" x14ac:dyDescent="0.2">
      <c r="A2110" s="317" t="s">
        <v>147</v>
      </c>
      <c r="B2110" s="895" t="s">
        <v>147</v>
      </c>
      <c r="C2110" s="896"/>
      <c r="D2110" s="906" t="s">
        <v>190</v>
      </c>
      <c r="E2110" s="907">
        <f>GLOBAL_DER_FEV_2023!E2110</f>
        <v>308</v>
      </c>
      <c r="F2110" s="908">
        <f>GLOBAL_DER_FEV_2023!F2110</f>
        <v>0.132608</v>
      </c>
      <c r="G2110" s="909">
        <f>GLOBAL_DER_FEV_2023!G2110</f>
        <v>32.894740480000003</v>
      </c>
      <c r="H2110" s="901">
        <f>GLOBAL_DER_FEV_2023!H2110</f>
        <v>0</v>
      </c>
      <c r="I2110" s="901">
        <f>GLOBAL_DER_FEV_2023!I2110</f>
        <v>0</v>
      </c>
      <c r="J2110" s="902">
        <f>GLOBAL_DER_FEV_2023!J2110</f>
        <v>0</v>
      </c>
      <c r="K2110" s="903"/>
      <c r="L2110" s="1177"/>
      <c r="M2110" s="1138">
        <f t="shared" si="157"/>
        <v>0</v>
      </c>
      <c r="N2110" s="1176">
        <f t="shared" si="161"/>
        <v>0</v>
      </c>
      <c r="O2110" s="905"/>
      <c r="P2110" s="36" t="str">
        <f>IF(N2109&gt;0,"xx",IF(N2109&gt;0,"xy",""))</f>
        <v/>
      </c>
      <c r="Q2110" s="317" t="str">
        <f t="shared" si="158"/>
        <v/>
      </c>
      <c r="R2110" s="317" t="str">
        <f t="shared" si="159"/>
        <v/>
      </c>
      <c r="S2110" s="317" t="str">
        <f t="shared" si="160"/>
        <v/>
      </c>
      <c r="T2110" s="317" t="str">
        <f>GLOBAL_DER_FEV_2023!S2110</f>
        <v/>
      </c>
      <c r="W2110" s="582">
        <v>0</v>
      </c>
      <c r="X2110" s="580"/>
      <c r="Y2110" s="583">
        <f>IF(GLOBAL_DER_FEV_2023!W2110=0,0,IF(GLOBAL_DER_FEV_2023!W2110&gt;0,"c","b"))</f>
        <v>0</v>
      </c>
    </row>
    <row r="2111" spans="1:25" ht="15" hidden="1" customHeight="1" x14ac:dyDescent="0.2">
      <c r="A2111" s="317" t="s">
        <v>147</v>
      </c>
      <c r="B2111" s="895" t="s">
        <v>147</v>
      </c>
      <c r="C2111" s="896"/>
      <c r="D2111" s="906" t="s">
        <v>229</v>
      </c>
      <c r="E2111" s="907">
        <f>GLOBAL_DER_FEV_2023!E2111</f>
        <v>150</v>
      </c>
      <c r="F2111" s="908">
        <f>GLOBAL_DER_FEV_2023!F2111</f>
        <v>0.73198000000000008</v>
      </c>
      <c r="G2111" s="949">
        <f>GLOBAL_DER_FEV_2023!G2111</f>
        <v>119.44449640000002</v>
      </c>
      <c r="H2111" s="901">
        <f>GLOBAL_DER_FEV_2023!H2111</f>
        <v>0</v>
      </c>
      <c r="I2111" s="901">
        <f>GLOBAL_DER_FEV_2023!I2111</f>
        <v>0</v>
      </c>
      <c r="J2111" s="902">
        <f>GLOBAL_DER_FEV_2023!J2111</f>
        <v>0</v>
      </c>
      <c r="K2111" s="903"/>
      <c r="L2111" s="1177"/>
      <c r="M2111" s="1138">
        <f t="shared" si="157"/>
        <v>0</v>
      </c>
      <c r="N2111" s="1176">
        <f t="shared" si="161"/>
        <v>0</v>
      </c>
      <c r="O2111" s="905"/>
      <c r="P2111" s="36" t="str">
        <f>IF(N2109&gt;0,"xx",IF(N2109&gt;0,"xy",""))</f>
        <v/>
      </c>
      <c r="Q2111" s="317" t="str">
        <f t="shared" si="158"/>
        <v/>
      </c>
      <c r="R2111" s="317" t="str">
        <f t="shared" si="159"/>
        <v/>
      </c>
      <c r="S2111" s="317" t="str">
        <f t="shared" si="160"/>
        <v/>
      </c>
      <c r="T2111" s="317" t="str">
        <f>GLOBAL_DER_FEV_2023!S2111</f>
        <v/>
      </c>
      <c r="W2111" s="582">
        <v>0</v>
      </c>
      <c r="X2111" s="580"/>
      <c r="Y2111" s="583">
        <f>IF(GLOBAL_DER_FEV_2023!W2111=0,0,IF(GLOBAL_DER_FEV_2023!W2111&gt;0,"c","b"))</f>
        <v>0</v>
      </c>
    </row>
    <row r="2112" spans="1:25" ht="15" hidden="1" customHeight="1" x14ac:dyDescent="0.2">
      <c r="A2112" s="317" t="s">
        <v>147</v>
      </c>
      <c r="B2112" s="895" t="s">
        <v>147</v>
      </c>
      <c r="C2112" s="896"/>
      <c r="D2112" s="906" t="s">
        <v>233</v>
      </c>
      <c r="E2112" s="907">
        <f>GLOBAL_DER_FEV_2023!E2112</f>
        <v>0.2</v>
      </c>
      <c r="F2112" s="908">
        <f>GLOBAL_DER_FEV_2023!F2112</f>
        <v>0.20424000000000003</v>
      </c>
      <c r="G2112" s="949">
        <f>GLOBAL_DER_FEV_2023!G2112</f>
        <v>0.59107056000000013</v>
      </c>
      <c r="H2112" s="901">
        <f>GLOBAL_DER_FEV_2023!H2112</f>
        <v>0</v>
      </c>
      <c r="I2112" s="901">
        <f>GLOBAL_DER_FEV_2023!I2112</f>
        <v>0</v>
      </c>
      <c r="J2112" s="902">
        <f>GLOBAL_DER_FEV_2023!J2112</f>
        <v>0</v>
      </c>
      <c r="K2112" s="903"/>
      <c r="L2112" s="1177"/>
      <c r="M2112" s="1138">
        <f t="shared" si="157"/>
        <v>0</v>
      </c>
      <c r="N2112" s="1176">
        <f t="shared" si="161"/>
        <v>0</v>
      </c>
      <c r="O2112" s="905"/>
      <c r="P2112" s="36" t="str">
        <f>IF(N2109&gt;0,"xx",IF(N2109&gt;0,"xy",""))</f>
        <v/>
      </c>
      <c r="Q2112" s="317" t="str">
        <f t="shared" si="158"/>
        <v/>
      </c>
      <c r="R2112" s="317" t="str">
        <f t="shared" si="159"/>
        <v/>
      </c>
      <c r="S2112" s="317" t="str">
        <f t="shared" si="160"/>
        <v/>
      </c>
      <c r="T2112" s="317" t="str">
        <f>GLOBAL_DER_FEV_2023!S2112</f>
        <v/>
      </c>
      <c r="W2112" s="582">
        <v>0</v>
      </c>
      <c r="X2112" s="580"/>
      <c r="Y2112" s="583">
        <f>IF(GLOBAL_DER_FEV_2023!W2112=0,0,IF(GLOBAL_DER_FEV_2023!W2112&gt;0,"c","b"))</f>
        <v>0</v>
      </c>
    </row>
    <row r="2113" spans="1:25" ht="15" hidden="1" customHeight="1" x14ac:dyDescent="0.2">
      <c r="A2113" s="317" t="s">
        <v>147</v>
      </c>
      <c r="B2113" s="895" t="s">
        <v>147</v>
      </c>
      <c r="C2113" s="896"/>
      <c r="D2113" s="906" t="s">
        <v>365</v>
      </c>
      <c r="E2113" s="907">
        <f>GLOBAL_DER_FEV_2023!E2113</f>
        <v>10</v>
      </c>
      <c r="F2113" s="908">
        <f>GLOBAL_DER_FEV_2023!F2113</f>
        <v>1.0998000000000001</v>
      </c>
      <c r="G2113" s="949">
        <f>GLOBAL_DER_FEV_2023!G2113</f>
        <v>14.715324000000003</v>
      </c>
      <c r="H2113" s="901">
        <f>GLOBAL_DER_FEV_2023!H2113</f>
        <v>0</v>
      </c>
      <c r="I2113" s="901">
        <f>GLOBAL_DER_FEV_2023!I2113</f>
        <v>0</v>
      </c>
      <c r="J2113" s="902">
        <f>GLOBAL_DER_FEV_2023!J2113</f>
        <v>0</v>
      </c>
      <c r="K2113" s="903"/>
      <c r="L2113" s="1177"/>
      <c r="M2113" s="1138">
        <f t="shared" si="157"/>
        <v>0</v>
      </c>
      <c r="N2113" s="1176">
        <f t="shared" si="161"/>
        <v>0</v>
      </c>
      <c r="O2113" s="905"/>
      <c r="P2113" s="36" t="str">
        <f>IF(N2109&gt;0,"xx",IF(N2109&gt;0,"xy",""))</f>
        <v/>
      </c>
      <c r="Q2113" s="317" t="str">
        <f t="shared" si="158"/>
        <v/>
      </c>
      <c r="R2113" s="317" t="str">
        <f t="shared" si="159"/>
        <v/>
      </c>
      <c r="S2113" s="317" t="str">
        <f t="shared" si="160"/>
        <v/>
      </c>
      <c r="T2113" s="317" t="str">
        <f>GLOBAL_DER_FEV_2023!S2113</f>
        <v/>
      </c>
      <c r="W2113" s="582">
        <v>0</v>
      </c>
      <c r="X2113" s="580"/>
      <c r="Y2113" s="583">
        <f>IF(GLOBAL_DER_FEV_2023!W2113=0,0,IF(GLOBAL_DER_FEV_2023!W2113&gt;0,"c","b"))</f>
        <v>0</v>
      </c>
    </row>
    <row r="2114" spans="1:25" ht="15" hidden="1" customHeight="1" x14ac:dyDescent="0.2">
      <c r="A2114" s="317" t="s">
        <v>147</v>
      </c>
      <c r="B2114" s="895" t="s">
        <v>147</v>
      </c>
      <c r="C2114" s="896"/>
      <c r="D2114" s="906" t="s">
        <v>366</v>
      </c>
      <c r="E2114" s="907">
        <f>GLOBAL_DER_FEV_2023!E2114</f>
        <v>353</v>
      </c>
      <c r="F2114" s="908">
        <f>GLOBAL_DER_FEV_2023!F2114</f>
        <v>3.6659999999999998E-2</v>
      </c>
      <c r="G2114" s="909">
        <f>GLOBAL_DER_FEV_2023!G2114</f>
        <v>10.380645600000001</v>
      </c>
      <c r="H2114" s="901">
        <f>GLOBAL_DER_FEV_2023!H2114</f>
        <v>0</v>
      </c>
      <c r="I2114" s="901">
        <f>GLOBAL_DER_FEV_2023!I2114</f>
        <v>0</v>
      </c>
      <c r="J2114" s="902">
        <f>GLOBAL_DER_FEV_2023!J2114</f>
        <v>0</v>
      </c>
      <c r="K2114" s="903"/>
      <c r="L2114" s="1177"/>
      <c r="M2114" s="1138">
        <f t="shared" si="157"/>
        <v>0</v>
      </c>
      <c r="N2114" s="1176">
        <f t="shared" si="161"/>
        <v>0</v>
      </c>
      <c r="O2114" s="905"/>
      <c r="P2114" s="36" t="str">
        <f>IF(N2109&gt;0,"xx",IF(N2109&gt;0,"xy",""))</f>
        <v/>
      </c>
      <c r="Q2114" s="317" t="str">
        <f t="shared" si="158"/>
        <v/>
      </c>
      <c r="R2114" s="317" t="str">
        <f t="shared" si="159"/>
        <v/>
      </c>
      <c r="S2114" s="317" t="str">
        <f t="shared" si="160"/>
        <v/>
      </c>
      <c r="T2114" s="317" t="str">
        <f>GLOBAL_DER_FEV_2023!S2114</f>
        <v/>
      </c>
      <c r="W2114" s="582">
        <v>0</v>
      </c>
      <c r="X2114" s="580"/>
      <c r="Y2114" s="583">
        <f>IF(GLOBAL_DER_FEV_2023!W2114=0,0,IF(GLOBAL_DER_FEV_2023!W2114&gt;0,"c","b"))</f>
        <v>0</v>
      </c>
    </row>
    <row r="2115" spans="1:25" ht="15" hidden="1" customHeight="1" x14ac:dyDescent="0.2">
      <c r="A2115" s="317" t="s">
        <v>19</v>
      </c>
      <c r="B2115" s="895" t="s">
        <v>19</v>
      </c>
      <c r="C2115" s="896" t="s">
        <v>184</v>
      </c>
      <c r="D2115" s="906" t="s">
        <v>56</v>
      </c>
      <c r="E2115" s="907">
        <f>GLOBAL_DER_FEV_2023!E2115</f>
        <v>0</v>
      </c>
      <c r="F2115" s="908">
        <f>GLOBAL_DER_FEV_2023!F2115</f>
        <v>0</v>
      </c>
      <c r="G2115" s="912">
        <f>GLOBAL_DER_FEV_2023!G2115</f>
        <v>223.06579010900001</v>
      </c>
      <c r="H2115" s="901">
        <f>GLOBAL_DER_FEV_2023!H2115</f>
        <v>1851.05</v>
      </c>
      <c r="I2115" s="901">
        <f>GLOBAL_DER_FEV_2023!I2115</f>
        <v>2074.115790109</v>
      </c>
      <c r="J2115" s="902">
        <f>GLOBAL_DER_FEV_2023!J2115</f>
        <v>2490.39</v>
      </c>
      <c r="K2115" s="903" t="s">
        <v>15</v>
      </c>
      <c r="L2115" s="1137"/>
      <c r="M2115" s="1138">
        <f t="shared" si="157"/>
        <v>0</v>
      </c>
      <c r="N2115" s="1176">
        <f t="shared" si="161"/>
        <v>0</v>
      </c>
      <c r="O2115" s="905"/>
      <c r="Q2115" s="317" t="str">
        <f t="shared" si="158"/>
        <v/>
      </c>
      <c r="R2115" s="317" t="str">
        <f t="shared" si="159"/>
        <v/>
      </c>
      <c r="S2115" s="317" t="str">
        <f t="shared" si="160"/>
        <v/>
      </c>
      <c r="T2115" s="317" t="str">
        <f>GLOBAL_DER_FEV_2023!S2115</f>
        <v/>
      </c>
      <c r="W2115" s="582">
        <v>0</v>
      </c>
      <c r="X2115" s="580"/>
      <c r="Y2115" s="583">
        <f>IF(GLOBAL_DER_FEV_2023!W2115=0,0,IF(GLOBAL_DER_FEV_2023!W2115&gt;0,"c","b"))</f>
        <v>0</v>
      </c>
    </row>
    <row r="2116" spans="1:25" ht="15" hidden="1" customHeight="1" x14ac:dyDescent="0.2">
      <c r="A2116" s="317" t="s">
        <v>147</v>
      </c>
      <c r="B2116" s="895" t="s">
        <v>147</v>
      </c>
      <c r="C2116" s="896"/>
      <c r="D2116" s="906" t="s">
        <v>190</v>
      </c>
      <c r="E2116" s="907">
        <f>GLOBAL_DER_FEV_2023!E2116</f>
        <v>308</v>
      </c>
      <c r="F2116" s="908">
        <f>GLOBAL_DER_FEV_2023!F2116</f>
        <v>0.1610819</v>
      </c>
      <c r="G2116" s="909">
        <f>GLOBAL_DER_FEV_2023!G2116</f>
        <v>39.957976113999997</v>
      </c>
      <c r="H2116" s="901">
        <f>GLOBAL_DER_FEV_2023!H2116</f>
        <v>0</v>
      </c>
      <c r="I2116" s="901">
        <f>GLOBAL_DER_FEV_2023!I2116</f>
        <v>0</v>
      </c>
      <c r="J2116" s="902">
        <f>GLOBAL_DER_FEV_2023!J2116</f>
        <v>0</v>
      </c>
      <c r="K2116" s="903"/>
      <c r="L2116" s="1177"/>
      <c r="M2116" s="1138">
        <f t="shared" si="157"/>
        <v>0</v>
      </c>
      <c r="N2116" s="1176">
        <f t="shared" si="161"/>
        <v>0</v>
      </c>
      <c r="O2116" s="905"/>
      <c r="P2116" s="36" t="str">
        <f>IF(N2115&gt;0,"xx",IF(N2115&gt;0,"xy",""))</f>
        <v/>
      </c>
      <c r="Q2116" s="317" t="str">
        <f t="shared" si="158"/>
        <v/>
      </c>
      <c r="R2116" s="317" t="str">
        <f t="shared" si="159"/>
        <v/>
      </c>
      <c r="S2116" s="317" t="str">
        <f t="shared" si="160"/>
        <v/>
      </c>
      <c r="T2116" s="317" t="str">
        <f>GLOBAL_DER_FEV_2023!S2116</f>
        <v/>
      </c>
      <c r="W2116" s="582">
        <v>0</v>
      </c>
      <c r="X2116" s="580"/>
      <c r="Y2116" s="583">
        <f>IF(GLOBAL_DER_FEV_2023!W2116=0,0,IF(GLOBAL_DER_FEV_2023!W2116&gt;0,"c","b"))</f>
        <v>0</v>
      </c>
    </row>
    <row r="2117" spans="1:25" ht="15" hidden="1" customHeight="1" x14ac:dyDescent="0.2">
      <c r="A2117" s="317" t="s">
        <v>147</v>
      </c>
      <c r="B2117" s="895" t="s">
        <v>147</v>
      </c>
      <c r="C2117" s="896"/>
      <c r="D2117" s="906" t="s">
        <v>229</v>
      </c>
      <c r="E2117" s="907">
        <f>GLOBAL_DER_FEV_2023!E2117</f>
        <v>150</v>
      </c>
      <c r="F2117" s="908">
        <f>GLOBAL_DER_FEV_2023!F2117</f>
        <v>0.91383625000000013</v>
      </c>
      <c r="G2117" s="949">
        <f>GLOBAL_DER_FEV_2023!G2117</f>
        <v>149.11979927500002</v>
      </c>
      <c r="H2117" s="901">
        <f>GLOBAL_DER_FEV_2023!H2117</f>
        <v>0</v>
      </c>
      <c r="I2117" s="901">
        <f>GLOBAL_DER_FEV_2023!I2117</f>
        <v>0</v>
      </c>
      <c r="J2117" s="902">
        <f>GLOBAL_DER_FEV_2023!J2117</f>
        <v>0</v>
      </c>
      <c r="K2117" s="903"/>
      <c r="L2117" s="1177"/>
      <c r="M2117" s="1138">
        <f t="shared" si="157"/>
        <v>0</v>
      </c>
      <c r="N2117" s="1176">
        <f t="shared" si="161"/>
        <v>0</v>
      </c>
      <c r="O2117" s="905"/>
      <c r="P2117" s="36" t="str">
        <f>IF(N2115&gt;0,"xx",IF(N2115&gt;0,"xy",""))</f>
        <v/>
      </c>
      <c r="Q2117" s="317" t="str">
        <f t="shared" si="158"/>
        <v/>
      </c>
      <c r="R2117" s="317" t="str">
        <f t="shared" si="159"/>
        <v/>
      </c>
      <c r="S2117" s="317" t="str">
        <f t="shared" si="160"/>
        <v/>
      </c>
      <c r="T2117" s="317" t="str">
        <f>GLOBAL_DER_FEV_2023!S2117</f>
        <v/>
      </c>
      <c r="W2117" s="582">
        <v>0</v>
      </c>
      <c r="X2117" s="580"/>
      <c r="Y2117" s="583">
        <f>IF(GLOBAL_DER_FEV_2023!W2117=0,0,IF(GLOBAL_DER_FEV_2023!W2117&gt;0,"c","b"))</f>
        <v>0</v>
      </c>
    </row>
    <row r="2118" spans="1:25" ht="15" hidden="1" customHeight="1" x14ac:dyDescent="0.2">
      <c r="A2118" s="317" t="s">
        <v>147</v>
      </c>
      <c r="B2118" s="895" t="s">
        <v>147</v>
      </c>
      <c r="C2118" s="896"/>
      <c r="D2118" s="906" t="s">
        <v>233</v>
      </c>
      <c r="E2118" s="907">
        <f>GLOBAL_DER_FEV_2023!E2118</f>
        <v>0.2</v>
      </c>
      <c r="F2118" s="908">
        <f>GLOBAL_DER_FEV_2023!F2118</f>
        <v>0.20424000000000003</v>
      </c>
      <c r="G2118" s="949">
        <f>GLOBAL_DER_FEV_2023!G2118</f>
        <v>0.59107056000000013</v>
      </c>
      <c r="H2118" s="901">
        <f>GLOBAL_DER_FEV_2023!H2118</f>
        <v>0</v>
      </c>
      <c r="I2118" s="901">
        <f>GLOBAL_DER_FEV_2023!I2118</f>
        <v>0</v>
      </c>
      <c r="J2118" s="902">
        <f>GLOBAL_DER_FEV_2023!J2118</f>
        <v>0</v>
      </c>
      <c r="K2118" s="903"/>
      <c r="L2118" s="1177"/>
      <c r="M2118" s="1138">
        <f t="shared" si="157"/>
        <v>0</v>
      </c>
      <c r="N2118" s="1176">
        <f t="shared" si="161"/>
        <v>0</v>
      </c>
      <c r="O2118" s="905"/>
      <c r="P2118" s="36" t="str">
        <f>IF(N2115&gt;0,"xx",IF(N2115&gt;0,"xy",""))</f>
        <v/>
      </c>
      <c r="Q2118" s="317" t="str">
        <f t="shared" si="158"/>
        <v/>
      </c>
      <c r="R2118" s="317" t="str">
        <f t="shared" si="159"/>
        <v/>
      </c>
      <c r="S2118" s="317" t="str">
        <f t="shared" si="160"/>
        <v/>
      </c>
      <c r="T2118" s="317" t="str">
        <f>GLOBAL_DER_FEV_2023!S2118</f>
        <v/>
      </c>
      <c r="W2118" s="582">
        <v>0</v>
      </c>
      <c r="X2118" s="580"/>
      <c r="Y2118" s="583">
        <f>IF(GLOBAL_DER_FEV_2023!W2118=0,0,IF(GLOBAL_DER_FEV_2023!W2118&gt;0,"c","b"))</f>
        <v>0</v>
      </c>
    </row>
    <row r="2119" spans="1:25" ht="15" hidden="1" customHeight="1" x14ac:dyDescent="0.2">
      <c r="A2119" s="317" t="s">
        <v>147</v>
      </c>
      <c r="B2119" s="895" t="s">
        <v>147</v>
      </c>
      <c r="C2119" s="896"/>
      <c r="D2119" s="906" t="s">
        <v>365</v>
      </c>
      <c r="E2119" s="907">
        <f>GLOBAL_DER_FEV_2023!E2119</f>
        <v>10</v>
      </c>
      <c r="F2119" s="908">
        <f>GLOBAL_DER_FEV_2023!F2119</f>
        <v>1.4635799999999999</v>
      </c>
      <c r="G2119" s="949">
        <f>GLOBAL_DER_FEV_2023!G2119</f>
        <v>19.5827004</v>
      </c>
      <c r="H2119" s="901">
        <f>GLOBAL_DER_FEV_2023!H2119</f>
        <v>0</v>
      </c>
      <c r="I2119" s="901">
        <f>GLOBAL_DER_FEV_2023!I2119</f>
        <v>0</v>
      </c>
      <c r="J2119" s="902">
        <f>GLOBAL_DER_FEV_2023!J2119</f>
        <v>0</v>
      </c>
      <c r="K2119" s="903"/>
      <c r="L2119" s="1177"/>
      <c r="M2119" s="1138">
        <f t="shared" si="157"/>
        <v>0</v>
      </c>
      <c r="N2119" s="1176">
        <f t="shared" si="161"/>
        <v>0</v>
      </c>
      <c r="O2119" s="905"/>
      <c r="P2119" s="36" t="str">
        <f>IF(N2115&gt;0,"xx",IF(N2115&gt;0,"xy",""))</f>
        <v/>
      </c>
      <c r="Q2119" s="317" t="str">
        <f t="shared" si="158"/>
        <v/>
      </c>
      <c r="R2119" s="317" t="str">
        <f t="shared" si="159"/>
        <v/>
      </c>
      <c r="S2119" s="317" t="str">
        <f t="shared" si="160"/>
        <v/>
      </c>
      <c r="T2119" s="317" t="str">
        <f>GLOBAL_DER_FEV_2023!S2119</f>
        <v/>
      </c>
      <c r="W2119" s="582">
        <v>0</v>
      </c>
      <c r="X2119" s="580"/>
      <c r="Y2119" s="583">
        <f>IF(GLOBAL_DER_FEV_2023!W2119=0,0,IF(GLOBAL_DER_FEV_2023!W2119&gt;0,"c","b"))</f>
        <v>0</v>
      </c>
    </row>
    <row r="2120" spans="1:25" ht="15" hidden="1" customHeight="1" x14ac:dyDescent="0.2">
      <c r="A2120" s="317" t="s">
        <v>147</v>
      </c>
      <c r="B2120" s="895" t="s">
        <v>147</v>
      </c>
      <c r="C2120" s="896"/>
      <c r="D2120" s="906" t="s">
        <v>366</v>
      </c>
      <c r="E2120" s="907">
        <f>GLOBAL_DER_FEV_2023!E2120</f>
        <v>353</v>
      </c>
      <c r="F2120" s="908">
        <f>GLOBAL_DER_FEV_2023!F2120</f>
        <v>4.8785999999999996E-2</v>
      </c>
      <c r="G2120" s="909">
        <f>GLOBAL_DER_FEV_2023!G2120</f>
        <v>13.81424376</v>
      </c>
      <c r="H2120" s="901">
        <f>GLOBAL_DER_FEV_2023!H2120</f>
        <v>0</v>
      </c>
      <c r="I2120" s="901">
        <f>GLOBAL_DER_FEV_2023!I2120</f>
        <v>0</v>
      </c>
      <c r="J2120" s="902">
        <f>GLOBAL_DER_FEV_2023!J2120</f>
        <v>0</v>
      </c>
      <c r="K2120" s="903"/>
      <c r="L2120" s="1177"/>
      <c r="M2120" s="1138">
        <f t="shared" si="157"/>
        <v>0</v>
      </c>
      <c r="N2120" s="1176">
        <f t="shared" si="161"/>
        <v>0</v>
      </c>
      <c r="O2120" s="905"/>
      <c r="P2120" s="36" t="str">
        <f>IF(N2115&gt;0,"xx",IF(N2115&gt;0,"xy",""))</f>
        <v/>
      </c>
      <c r="Q2120" s="317" t="str">
        <f t="shared" si="158"/>
        <v/>
      </c>
      <c r="R2120" s="317" t="str">
        <f t="shared" si="159"/>
        <v/>
      </c>
      <c r="S2120" s="317" t="str">
        <f t="shared" si="160"/>
        <v/>
      </c>
      <c r="T2120" s="317" t="str">
        <f>GLOBAL_DER_FEV_2023!S2120</f>
        <v/>
      </c>
      <c r="W2120" s="582">
        <v>0</v>
      </c>
      <c r="X2120" s="580"/>
      <c r="Y2120" s="583">
        <f>IF(GLOBAL_DER_FEV_2023!W2120=0,0,IF(GLOBAL_DER_FEV_2023!W2120&gt;0,"c","b"))</f>
        <v>0</v>
      </c>
    </row>
    <row r="2121" spans="1:25" ht="15" hidden="1" customHeight="1" x14ac:dyDescent="0.2">
      <c r="A2121" s="317" t="s">
        <v>20</v>
      </c>
      <c r="B2121" s="895" t="s">
        <v>20</v>
      </c>
      <c r="C2121" s="896" t="s">
        <v>184</v>
      </c>
      <c r="D2121" s="906" t="s">
        <v>57</v>
      </c>
      <c r="E2121" s="907">
        <f>GLOBAL_DER_FEV_2023!E2121</f>
        <v>0</v>
      </c>
      <c r="F2121" s="908">
        <f>GLOBAL_DER_FEV_2023!F2121</f>
        <v>0</v>
      </c>
      <c r="G2121" s="912">
        <f>GLOBAL_DER_FEV_2023!G2121</f>
        <v>269.07216785100002</v>
      </c>
      <c r="H2121" s="901">
        <f>GLOBAL_DER_FEV_2023!H2121</f>
        <v>2112.3000000000002</v>
      </c>
      <c r="I2121" s="901">
        <f>GLOBAL_DER_FEV_2023!I2121</f>
        <v>2381.3721678510001</v>
      </c>
      <c r="J2121" s="902">
        <f>GLOBAL_DER_FEV_2023!J2121</f>
        <v>2859.31</v>
      </c>
      <c r="K2121" s="903" t="s">
        <v>15</v>
      </c>
      <c r="L2121" s="1137"/>
      <c r="M2121" s="1138">
        <f t="shared" si="157"/>
        <v>0</v>
      </c>
      <c r="N2121" s="1176">
        <f t="shared" si="161"/>
        <v>0</v>
      </c>
      <c r="O2121" s="905"/>
      <c r="Q2121" s="317" t="str">
        <f t="shared" si="158"/>
        <v/>
      </c>
      <c r="R2121" s="317" t="str">
        <f t="shared" si="159"/>
        <v/>
      </c>
      <c r="S2121" s="317" t="str">
        <f t="shared" si="160"/>
        <v/>
      </c>
      <c r="T2121" s="317" t="str">
        <f>GLOBAL_DER_FEV_2023!S2121</f>
        <v/>
      </c>
      <c r="W2121" s="582">
        <v>0</v>
      </c>
      <c r="X2121" s="580"/>
      <c r="Y2121" s="583">
        <f>IF(GLOBAL_DER_FEV_2023!W2121=0,0,IF(GLOBAL_DER_FEV_2023!W2121&gt;0,"c","b"))</f>
        <v>0</v>
      </c>
    </row>
    <row r="2122" spans="1:25" ht="15" hidden="1" customHeight="1" x14ac:dyDescent="0.2">
      <c r="A2122" s="317" t="s">
        <v>147</v>
      </c>
      <c r="B2122" s="895" t="s">
        <v>147</v>
      </c>
      <c r="C2122" s="896"/>
      <c r="D2122" s="906" t="s">
        <v>190</v>
      </c>
      <c r="E2122" s="907">
        <f>GLOBAL_DER_FEV_2023!E2122</f>
        <v>308</v>
      </c>
      <c r="F2122" s="908">
        <f>GLOBAL_DER_FEV_2023!F2122</f>
        <v>0.19012209999999999</v>
      </c>
      <c r="G2122" s="909">
        <f>GLOBAL_DER_FEV_2023!G2122</f>
        <v>47.161688125999994</v>
      </c>
      <c r="H2122" s="901">
        <f>GLOBAL_DER_FEV_2023!H2122</f>
        <v>0</v>
      </c>
      <c r="I2122" s="901">
        <f>GLOBAL_DER_FEV_2023!I2122</f>
        <v>0</v>
      </c>
      <c r="J2122" s="902">
        <f>GLOBAL_DER_FEV_2023!J2122</f>
        <v>0</v>
      </c>
      <c r="K2122" s="903"/>
      <c r="L2122" s="1177"/>
      <c r="M2122" s="1138">
        <f t="shared" si="157"/>
        <v>0</v>
      </c>
      <c r="N2122" s="1176">
        <f t="shared" si="161"/>
        <v>0</v>
      </c>
      <c r="O2122" s="905"/>
      <c r="P2122" s="36" t="str">
        <f>IF(N2121&gt;0,"xx",IF(N2121&gt;0,"xy",""))</f>
        <v/>
      </c>
      <c r="Q2122" s="317" t="str">
        <f t="shared" si="158"/>
        <v/>
      </c>
      <c r="R2122" s="317" t="str">
        <f t="shared" si="159"/>
        <v/>
      </c>
      <c r="S2122" s="317" t="str">
        <f t="shared" si="160"/>
        <v/>
      </c>
      <c r="T2122" s="317" t="str">
        <f>GLOBAL_DER_FEV_2023!S2122</f>
        <v/>
      </c>
      <c r="W2122" s="582">
        <v>0</v>
      </c>
      <c r="X2122" s="580"/>
      <c r="Y2122" s="583">
        <f>IF(GLOBAL_DER_FEV_2023!W2122=0,0,IF(GLOBAL_DER_FEV_2023!W2122&gt;0,"c","b"))</f>
        <v>0</v>
      </c>
    </row>
    <row r="2123" spans="1:25" ht="15" hidden="1" customHeight="1" x14ac:dyDescent="0.2">
      <c r="A2123" s="317" t="s">
        <v>147</v>
      </c>
      <c r="B2123" s="895" t="s">
        <v>147</v>
      </c>
      <c r="C2123" s="896"/>
      <c r="D2123" s="906" t="s">
        <v>229</v>
      </c>
      <c r="E2123" s="907">
        <f>GLOBAL_DER_FEV_2023!E2123</f>
        <v>150</v>
      </c>
      <c r="F2123" s="908">
        <f>GLOBAL_DER_FEV_2023!F2123</f>
        <v>1.09957375</v>
      </c>
      <c r="G2123" s="949">
        <f>GLOBAL_DER_FEV_2023!G2123</f>
        <v>179.428444525</v>
      </c>
      <c r="H2123" s="901">
        <f>GLOBAL_DER_FEV_2023!H2123</f>
        <v>0</v>
      </c>
      <c r="I2123" s="901">
        <f>GLOBAL_DER_FEV_2023!I2123</f>
        <v>0</v>
      </c>
      <c r="J2123" s="902">
        <f>GLOBAL_DER_FEV_2023!J2123</f>
        <v>0</v>
      </c>
      <c r="K2123" s="903"/>
      <c r="L2123" s="1177"/>
      <c r="M2123" s="1138">
        <f t="shared" si="157"/>
        <v>0</v>
      </c>
      <c r="N2123" s="1176">
        <f t="shared" si="161"/>
        <v>0</v>
      </c>
      <c r="O2123" s="905"/>
      <c r="P2123" s="36" t="str">
        <f>IF(N2121&gt;0,"xx",IF(N2121&gt;0,"xy",""))</f>
        <v/>
      </c>
      <c r="Q2123" s="317" t="str">
        <f t="shared" si="158"/>
        <v/>
      </c>
      <c r="R2123" s="317" t="str">
        <f t="shared" si="159"/>
        <v/>
      </c>
      <c r="S2123" s="317" t="str">
        <f t="shared" si="160"/>
        <v/>
      </c>
      <c r="T2123" s="317" t="str">
        <f>GLOBAL_DER_FEV_2023!S2123</f>
        <v/>
      </c>
      <c r="W2123" s="582">
        <v>0</v>
      </c>
      <c r="X2123" s="580"/>
      <c r="Y2123" s="583">
        <f>IF(GLOBAL_DER_FEV_2023!W2123=0,0,IF(GLOBAL_DER_FEV_2023!W2123&gt;0,"c","b"))</f>
        <v>0</v>
      </c>
    </row>
    <row r="2124" spans="1:25" ht="15" hidden="1" customHeight="1" x14ac:dyDescent="0.2">
      <c r="A2124" s="317" t="s">
        <v>147</v>
      </c>
      <c r="B2124" s="895" t="s">
        <v>147</v>
      </c>
      <c r="C2124" s="896"/>
      <c r="D2124" s="906" t="s">
        <v>233</v>
      </c>
      <c r="E2124" s="907">
        <f>GLOBAL_DER_FEV_2023!E2124</f>
        <v>0.2</v>
      </c>
      <c r="F2124" s="908">
        <f>GLOBAL_DER_FEV_2023!F2124</f>
        <v>0.20424000000000003</v>
      </c>
      <c r="G2124" s="949">
        <f>GLOBAL_DER_FEV_2023!G2124</f>
        <v>0.59107056000000013</v>
      </c>
      <c r="H2124" s="901">
        <f>GLOBAL_DER_FEV_2023!H2124</f>
        <v>0</v>
      </c>
      <c r="I2124" s="901">
        <f>GLOBAL_DER_FEV_2023!I2124</f>
        <v>0</v>
      </c>
      <c r="J2124" s="902">
        <f>GLOBAL_DER_FEV_2023!J2124</f>
        <v>0</v>
      </c>
      <c r="K2124" s="903"/>
      <c r="L2124" s="1177"/>
      <c r="M2124" s="1138">
        <f t="shared" si="157"/>
        <v>0</v>
      </c>
      <c r="N2124" s="1176">
        <f t="shared" si="161"/>
        <v>0</v>
      </c>
      <c r="O2124" s="905"/>
      <c r="P2124" s="36" t="str">
        <f>IF(N2121&gt;0,"xx",IF(N2121&gt;0,"xy",""))</f>
        <v/>
      </c>
      <c r="Q2124" s="317" t="str">
        <f t="shared" si="158"/>
        <v/>
      </c>
      <c r="R2124" s="317" t="str">
        <f t="shared" si="159"/>
        <v/>
      </c>
      <c r="S2124" s="317" t="str">
        <f t="shared" si="160"/>
        <v/>
      </c>
      <c r="T2124" s="317" t="str">
        <f>GLOBAL_DER_FEV_2023!S2124</f>
        <v/>
      </c>
      <c r="W2124" s="582">
        <v>0</v>
      </c>
      <c r="X2124" s="580"/>
      <c r="Y2124" s="583">
        <f>IF(GLOBAL_DER_FEV_2023!W2124=0,0,IF(GLOBAL_DER_FEV_2023!W2124&gt;0,"c","b"))</f>
        <v>0</v>
      </c>
    </row>
    <row r="2125" spans="1:25" ht="15" hidden="1" customHeight="1" x14ac:dyDescent="0.2">
      <c r="A2125" s="317" t="s">
        <v>147</v>
      </c>
      <c r="B2125" s="895" t="s">
        <v>147</v>
      </c>
      <c r="C2125" s="896"/>
      <c r="D2125" s="906" t="s">
        <v>365</v>
      </c>
      <c r="E2125" s="907">
        <f>GLOBAL_DER_FEV_2023!E2125</f>
        <v>10</v>
      </c>
      <c r="F2125" s="908">
        <f>GLOBAL_DER_FEV_2023!F2125</f>
        <v>1.8358199999999998</v>
      </c>
      <c r="G2125" s="949">
        <f>GLOBAL_DER_FEV_2023!G2125</f>
        <v>24.5632716</v>
      </c>
      <c r="H2125" s="901">
        <f>GLOBAL_DER_FEV_2023!H2125</f>
        <v>0</v>
      </c>
      <c r="I2125" s="901">
        <f>GLOBAL_DER_FEV_2023!I2125</f>
        <v>0</v>
      </c>
      <c r="J2125" s="902">
        <f>GLOBAL_DER_FEV_2023!J2125</f>
        <v>0</v>
      </c>
      <c r="K2125" s="903"/>
      <c r="L2125" s="1177"/>
      <c r="M2125" s="1138">
        <f t="shared" si="157"/>
        <v>0</v>
      </c>
      <c r="N2125" s="1176">
        <f t="shared" si="161"/>
        <v>0</v>
      </c>
      <c r="O2125" s="905"/>
      <c r="P2125" s="36" t="str">
        <f>IF(N2121&gt;0,"xx",IF(N2121&gt;0,"xy",""))</f>
        <v/>
      </c>
      <c r="Q2125" s="317" t="str">
        <f t="shared" si="158"/>
        <v/>
      </c>
      <c r="R2125" s="317" t="str">
        <f t="shared" si="159"/>
        <v/>
      </c>
      <c r="S2125" s="317" t="str">
        <f t="shared" si="160"/>
        <v/>
      </c>
      <c r="T2125" s="317" t="str">
        <f>GLOBAL_DER_FEV_2023!S2125</f>
        <v/>
      </c>
      <c r="W2125" s="582">
        <v>0</v>
      </c>
      <c r="X2125" s="580"/>
      <c r="Y2125" s="583">
        <f>IF(GLOBAL_DER_FEV_2023!W2125=0,0,IF(GLOBAL_DER_FEV_2023!W2125&gt;0,"c","b"))</f>
        <v>0</v>
      </c>
    </row>
    <row r="2126" spans="1:25" ht="15" hidden="1" customHeight="1" x14ac:dyDescent="0.2">
      <c r="A2126" s="317" t="s">
        <v>147</v>
      </c>
      <c r="B2126" s="895" t="s">
        <v>147</v>
      </c>
      <c r="C2126" s="896"/>
      <c r="D2126" s="906" t="s">
        <v>366</v>
      </c>
      <c r="E2126" s="907">
        <f>GLOBAL_DER_FEV_2023!E2126</f>
        <v>353</v>
      </c>
      <c r="F2126" s="908">
        <f>GLOBAL_DER_FEV_2023!F2126</f>
        <v>6.1193999999999998E-2</v>
      </c>
      <c r="G2126" s="909">
        <f>GLOBAL_DER_FEV_2023!G2126</f>
        <v>17.32769304</v>
      </c>
      <c r="H2126" s="901">
        <f>GLOBAL_DER_FEV_2023!H2126</f>
        <v>0</v>
      </c>
      <c r="I2126" s="901">
        <f>GLOBAL_DER_FEV_2023!I2126</f>
        <v>0</v>
      </c>
      <c r="J2126" s="902">
        <f>GLOBAL_DER_FEV_2023!J2126</f>
        <v>0</v>
      </c>
      <c r="K2126" s="903"/>
      <c r="L2126" s="1177"/>
      <c r="M2126" s="1138">
        <f t="shared" si="157"/>
        <v>0</v>
      </c>
      <c r="N2126" s="1176">
        <f t="shared" si="161"/>
        <v>0</v>
      </c>
      <c r="O2126" s="905"/>
      <c r="P2126" s="36" t="str">
        <f>IF(N2121&gt;0,"xx",IF(N2121&gt;0,"xy",""))</f>
        <v/>
      </c>
      <c r="Q2126" s="317" t="str">
        <f t="shared" si="158"/>
        <v/>
      </c>
      <c r="R2126" s="317" t="str">
        <f t="shared" si="159"/>
        <v/>
      </c>
      <c r="S2126" s="317" t="str">
        <f t="shared" si="160"/>
        <v/>
      </c>
      <c r="T2126" s="317" t="str">
        <f>GLOBAL_DER_FEV_2023!S2126</f>
        <v/>
      </c>
      <c r="W2126" s="582">
        <v>0</v>
      </c>
      <c r="X2126" s="580"/>
      <c r="Y2126" s="583">
        <f>IF(GLOBAL_DER_FEV_2023!W2126=0,0,IF(GLOBAL_DER_FEV_2023!W2126&gt;0,"c","b"))</f>
        <v>0</v>
      </c>
    </row>
    <row r="2127" spans="1:25" ht="15" hidden="1" customHeight="1" x14ac:dyDescent="0.2">
      <c r="A2127" s="317" t="s">
        <v>95</v>
      </c>
      <c r="B2127" s="895" t="s">
        <v>95</v>
      </c>
      <c r="C2127" s="896" t="s">
        <v>184</v>
      </c>
      <c r="D2127" s="906" t="s">
        <v>367</v>
      </c>
      <c r="E2127" s="907">
        <f>GLOBAL_DER_FEV_2023!E2127</f>
        <v>0</v>
      </c>
      <c r="F2127" s="908">
        <f>GLOBAL_DER_FEV_2023!F2127</f>
        <v>0</v>
      </c>
      <c r="G2127" s="912">
        <f>GLOBAL_DER_FEV_2023!G2127</f>
        <v>318.93455128000005</v>
      </c>
      <c r="H2127" s="901">
        <f>GLOBAL_DER_FEV_2023!H2127</f>
        <v>1144.18</v>
      </c>
      <c r="I2127" s="901">
        <f>GLOBAL_DER_FEV_2023!I2127</f>
        <v>1463.1145512800001</v>
      </c>
      <c r="J2127" s="902">
        <f>GLOBAL_DER_FEV_2023!J2127</f>
        <v>1756.76</v>
      </c>
      <c r="K2127" s="903" t="s">
        <v>15</v>
      </c>
      <c r="L2127" s="1137"/>
      <c r="M2127" s="1138">
        <f t="shared" si="157"/>
        <v>0</v>
      </c>
      <c r="N2127" s="1176">
        <f t="shared" si="161"/>
        <v>0</v>
      </c>
      <c r="O2127" s="905"/>
      <c r="Q2127" s="317" t="str">
        <f t="shared" si="158"/>
        <v/>
      </c>
      <c r="R2127" s="317" t="str">
        <f t="shared" si="159"/>
        <v/>
      </c>
      <c r="S2127" s="317" t="str">
        <f t="shared" si="160"/>
        <v/>
      </c>
      <c r="T2127" s="317" t="str">
        <f>GLOBAL_DER_FEV_2023!S2127</f>
        <v/>
      </c>
      <c r="W2127" s="582">
        <v>0</v>
      </c>
      <c r="X2127" s="580"/>
      <c r="Y2127" s="583">
        <f>IF(GLOBAL_DER_FEV_2023!W2127=0,0,IF(GLOBAL_DER_FEV_2023!W2127&gt;0,"c","b"))</f>
        <v>0</v>
      </c>
    </row>
    <row r="2128" spans="1:25" ht="15" hidden="1" customHeight="1" x14ac:dyDescent="0.2">
      <c r="A2128" s="317" t="s">
        <v>147</v>
      </c>
      <c r="B2128" s="895" t="s">
        <v>147</v>
      </c>
      <c r="C2128" s="896"/>
      <c r="D2128" s="906" t="s">
        <v>190</v>
      </c>
      <c r="E2128" s="907">
        <f>GLOBAL_DER_FEV_2023!E2128</f>
        <v>308</v>
      </c>
      <c r="F2128" s="908">
        <f>GLOBAL_DER_FEV_2023!F2128</f>
        <v>0.43266000000000004</v>
      </c>
      <c r="G2128" s="909">
        <f>GLOBAL_DER_FEV_2023!G2128</f>
        <v>107.32563960000002</v>
      </c>
      <c r="H2128" s="901">
        <f>GLOBAL_DER_FEV_2023!H2128</f>
        <v>0</v>
      </c>
      <c r="I2128" s="901">
        <f>GLOBAL_DER_FEV_2023!I2128</f>
        <v>0</v>
      </c>
      <c r="J2128" s="902">
        <f>GLOBAL_DER_FEV_2023!J2128</f>
        <v>0</v>
      </c>
      <c r="K2128" s="903"/>
      <c r="L2128" s="1177"/>
      <c r="M2128" s="1138">
        <f t="shared" si="157"/>
        <v>0</v>
      </c>
      <c r="N2128" s="1176">
        <f t="shared" si="161"/>
        <v>0</v>
      </c>
      <c r="O2128" s="905"/>
      <c r="P2128" s="36" t="str">
        <f>IF(N2127&gt;0,"xx",IF(N2127&gt;0,"xy",""))</f>
        <v/>
      </c>
      <c r="Q2128" s="317" t="str">
        <f t="shared" si="158"/>
        <v/>
      </c>
      <c r="R2128" s="317" t="str">
        <f t="shared" si="159"/>
        <v/>
      </c>
      <c r="S2128" s="317" t="str">
        <f t="shared" si="160"/>
        <v/>
      </c>
      <c r="T2128" s="317" t="str">
        <f>GLOBAL_DER_FEV_2023!S2128</f>
        <v/>
      </c>
      <c r="W2128" s="582">
        <v>0</v>
      </c>
      <c r="X2128" s="580"/>
      <c r="Y2128" s="583">
        <f>IF(GLOBAL_DER_FEV_2023!W2128=0,0,IF(GLOBAL_DER_FEV_2023!W2128&gt;0,"c","b"))</f>
        <v>0</v>
      </c>
    </row>
    <row r="2129" spans="1:25" ht="15" hidden="1" customHeight="1" x14ac:dyDescent="0.2">
      <c r="A2129" s="317" t="s">
        <v>147</v>
      </c>
      <c r="B2129" s="895" t="s">
        <v>147</v>
      </c>
      <c r="C2129" s="896"/>
      <c r="D2129" s="906" t="s">
        <v>229</v>
      </c>
      <c r="E2129" s="907">
        <f>GLOBAL_DER_FEV_2023!E2129</f>
        <v>150</v>
      </c>
      <c r="F2129" s="908">
        <f>GLOBAL_DER_FEV_2023!F2129</f>
        <v>1.26997</v>
      </c>
      <c r="G2129" s="949">
        <f>GLOBAL_DER_FEV_2023!G2129</f>
        <v>207.23370460000001</v>
      </c>
      <c r="H2129" s="901">
        <f>GLOBAL_DER_FEV_2023!H2129</f>
        <v>0</v>
      </c>
      <c r="I2129" s="901">
        <f>GLOBAL_DER_FEV_2023!I2129</f>
        <v>0</v>
      </c>
      <c r="J2129" s="902">
        <f>GLOBAL_DER_FEV_2023!J2129</f>
        <v>0</v>
      </c>
      <c r="K2129" s="903"/>
      <c r="L2129" s="1177"/>
      <c r="M2129" s="1138">
        <f t="shared" si="157"/>
        <v>0</v>
      </c>
      <c r="N2129" s="1176">
        <f t="shared" si="161"/>
        <v>0</v>
      </c>
      <c r="O2129" s="905"/>
      <c r="P2129" s="36" t="str">
        <f>IF(N2127&gt;0,"xx",IF(N2127&gt;0,"xy",""))</f>
        <v/>
      </c>
      <c r="Q2129" s="317" t="str">
        <f t="shared" si="158"/>
        <v/>
      </c>
      <c r="R2129" s="317" t="str">
        <f t="shared" si="159"/>
        <v/>
      </c>
      <c r="S2129" s="317" t="str">
        <f t="shared" si="160"/>
        <v/>
      </c>
      <c r="T2129" s="317" t="str">
        <f>GLOBAL_DER_FEV_2023!S2129</f>
        <v/>
      </c>
      <c r="W2129" s="582">
        <v>0</v>
      </c>
      <c r="X2129" s="580"/>
      <c r="Y2129" s="583">
        <f>IF(GLOBAL_DER_FEV_2023!W2129=0,0,IF(GLOBAL_DER_FEV_2023!W2129&gt;0,"c","b"))</f>
        <v>0</v>
      </c>
    </row>
    <row r="2130" spans="1:25" ht="15" hidden="1" customHeight="1" x14ac:dyDescent="0.2">
      <c r="A2130" s="317" t="s">
        <v>147</v>
      </c>
      <c r="B2130" s="895" t="s">
        <v>147</v>
      </c>
      <c r="C2130" s="896"/>
      <c r="D2130" s="906" t="s">
        <v>233</v>
      </c>
      <c r="E2130" s="907">
        <f>GLOBAL_DER_FEV_2023!E2130</f>
        <v>0.2</v>
      </c>
      <c r="F2130" s="908">
        <f>GLOBAL_DER_FEV_2023!F2130</f>
        <v>1.5118200000000002</v>
      </c>
      <c r="G2130" s="949">
        <f>GLOBAL_DER_FEV_2023!G2130</f>
        <v>4.3752070800000009</v>
      </c>
      <c r="H2130" s="901">
        <f>GLOBAL_DER_FEV_2023!H2130</f>
        <v>0</v>
      </c>
      <c r="I2130" s="901">
        <f>GLOBAL_DER_FEV_2023!I2130</f>
        <v>0</v>
      </c>
      <c r="J2130" s="902">
        <f>GLOBAL_DER_FEV_2023!J2130</f>
        <v>0</v>
      </c>
      <c r="K2130" s="903"/>
      <c r="L2130" s="1177"/>
      <c r="M2130" s="1138">
        <f t="shared" ref="M2130:M2193" si="162">IF(L2130=0,0,ROUND(J2130,2))</f>
        <v>0</v>
      </c>
      <c r="N2130" s="1176">
        <f t="shared" si="161"/>
        <v>0</v>
      </c>
      <c r="O2130" s="905"/>
      <c r="P2130" s="36" t="str">
        <f>IF(N2127&gt;0,"xx",IF(N2127&gt;0,"xy",""))</f>
        <v/>
      </c>
      <c r="Q2130" s="317" t="str">
        <f t="shared" si="158"/>
        <v/>
      </c>
      <c r="R2130" s="317" t="str">
        <f t="shared" si="159"/>
        <v/>
      </c>
      <c r="S2130" s="317" t="str">
        <f t="shared" si="160"/>
        <v/>
      </c>
      <c r="T2130" s="317" t="str">
        <f>GLOBAL_DER_FEV_2023!S2130</f>
        <v/>
      </c>
      <c r="W2130" s="582">
        <v>0</v>
      </c>
      <c r="X2130" s="580"/>
      <c r="Y2130" s="583">
        <f>IF(GLOBAL_DER_FEV_2023!W2130=0,0,IF(GLOBAL_DER_FEV_2023!W2130&gt;0,"c","b"))</f>
        <v>0</v>
      </c>
    </row>
    <row r="2131" spans="1:25" ht="15" hidden="1" customHeight="1" x14ac:dyDescent="0.2">
      <c r="A2131" s="317" t="s">
        <v>96</v>
      </c>
      <c r="B2131" s="895" t="s">
        <v>96</v>
      </c>
      <c r="C2131" s="896" t="s">
        <v>184</v>
      </c>
      <c r="D2131" s="906" t="s">
        <v>368</v>
      </c>
      <c r="E2131" s="907">
        <f>GLOBAL_DER_FEV_2023!E2131</f>
        <v>0</v>
      </c>
      <c r="F2131" s="908">
        <f>GLOBAL_DER_FEV_2023!F2131</f>
        <v>0</v>
      </c>
      <c r="G2131" s="912">
        <f>GLOBAL_DER_FEV_2023!G2131</f>
        <v>396.60365487999997</v>
      </c>
      <c r="H2131" s="901">
        <f>GLOBAL_DER_FEV_2023!H2131</f>
        <v>1331.51</v>
      </c>
      <c r="I2131" s="901">
        <f>GLOBAL_DER_FEV_2023!I2131</f>
        <v>1728.11365488</v>
      </c>
      <c r="J2131" s="902">
        <f>GLOBAL_DER_FEV_2023!J2131</f>
        <v>2074.9499999999998</v>
      </c>
      <c r="K2131" s="903" t="s">
        <v>15</v>
      </c>
      <c r="L2131" s="1137"/>
      <c r="M2131" s="1138">
        <f t="shared" si="162"/>
        <v>0</v>
      </c>
      <c r="N2131" s="1176">
        <f t="shared" si="161"/>
        <v>0</v>
      </c>
      <c r="O2131" s="905"/>
      <c r="Q2131" s="317" t="str">
        <f t="shared" si="158"/>
        <v/>
      </c>
      <c r="R2131" s="317" t="str">
        <f t="shared" si="159"/>
        <v/>
      </c>
      <c r="S2131" s="317" t="str">
        <f t="shared" si="160"/>
        <v/>
      </c>
      <c r="T2131" s="317" t="str">
        <f>GLOBAL_DER_FEV_2023!S2131</f>
        <v/>
      </c>
      <c r="W2131" s="582">
        <v>0</v>
      </c>
      <c r="X2131" s="580"/>
      <c r="Y2131" s="583">
        <f>IF(GLOBAL_DER_FEV_2023!W2131=0,0,IF(GLOBAL_DER_FEV_2023!W2131&gt;0,"c","b"))</f>
        <v>0</v>
      </c>
    </row>
    <row r="2132" spans="1:25" ht="15" hidden="1" customHeight="1" x14ac:dyDescent="0.2">
      <c r="A2132" s="317" t="s">
        <v>147</v>
      </c>
      <c r="B2132" s="895" t="s">
        <v>147</v>
      </c>
      <c r="C2132" s="896"/>
      <c r="D2132" s="906" t="s">
        <v>190</v>
      </c>
      <c r="E2132" s="907">
        <f>GLOBAL_DER_FEV_2023!E2132</f>
        <v>308</v>
      </c>
      <c r="F2132" s="908">
        <f>GLOBAL_DER_FEV_2023!F2132</f>
        <v>0.54156000000000004</v>
      </c>
      <c r="G2132" s="909">
        <f>GLOBAL_DER_FEV_2023!G2132</f>
        <v>134.33937360000002</v>
      </c>
      <c r="H2132" s="901">
        <f>GLOBAL_DER_FEV_2023!H2132</f>
        <v>0</v>
      </c>
      <c r="I2132" s="901">
        <f>GLOBAL_DER_FEV_2023!I2132</f>
        <v>0</v>
      </c>
      <c r="J2132" s="902">
        <f>GLOBAL_DER_FEV_2023!J2132</f>
        <v>0</v>
      </c>
      <c r="K2132" s="903"/>
      <c r="L2132" s="1177"/>
      <c r="M2132" s="1138">
        <f t="shared" si="162"/>
        <v>0</v>
      </c>
      <c r="N2132" s="1176">
        <f t="shared" si="161"/>
        <v>0</v>
      </c>
      <c r="O2132" s="905"/>
      <c r="P2132" s="36" t="str">
        <f>IF(N2131&gt;0,"xx",IF(N2131&gt;0,"xy",""))</f>
        <v/>
      </c>
      <c r="Q2132" s="317" t="str">
        <f t="shared" si="158"/>
        <v/>
      </c>
      <c r="R2132" s="317" t="str">
        <f t="shared" si="159"/>
        <v/>
      </c>
      <c r="S2132" s="317" t="str">
        <f t="shared" si="160"/>
        <v/>
      </c>
      <c r="T2132" s="317" t="str">
        <f>GLOBAL_DER_FEV_2023!S2132</f>
        <v/>
      </c>
      <c r="W2132" s="582">
        <v>0</v>
      </c>
      <c r="X2132" s="580"/>
      <c r="Y2132" s="583">
        <f>IF(GLOBAL_DER_FEV_2023!W2132=0,0,IF(GLOBAL_DER_FEV_2023!W2132&gt;0,"c","b"))</f>
        <v>0</v>
      </c>
    </row>
    <row r="2133" spans="1:25" ht="15" hidden="1" customHeight="1" x14ac:dyDescent="0.2">
      <c r="A2133" s="317" t="s">
        <v>147</v>
      </c>
      <c r="B2133" s="895" t="s">
        <v>147</v>
      </c>
      <c r="C2133" s="896"/>
      <c r="D2133" s="906" t="s">
        <v>229</v>
      </c>
      <c r="E2133" s="907">
        <f>GLOBAL_DER_FEV_2023!E2133</f>
        <v>150</v>
      </c>
      <c r="F2133" s="908">
        <f>GLOBAL_DER_FEV_2023!F2133</f>
        <v>1.5739000000000001</v>
      </c>
      <c r="G2133" s="949">
        <f>GLOBAL_DER_FEV_2023!G2133</f>
        <v>256.829002</v>
      </c>
      <c r="H2133" s="901">
        <f>GLOBAL_DER_FEV_2023!H2133</f>
        <v>0</v>
      </c>
      <c r="I2133" s="901">
        <f>GLOBAL_DER_FEV_2023!I2133</f>
        <v>0</v>
      </c>
      <c r="J2133" s="902">
        <f>GLOBAL_DER_FEV_2023!J2133</f>
        <v>0</v>
      </c>
      <c r="K2133" s="903"/>
      <c r="L2133" s="1177"/>
      <c r="M2133" s="1138">
        <f t="shared" si="162"/>
        <v>0</v>
      </c>
      <c r="N2133" s="1176">
        <f t="shared" si="161"/>
        <v>0</v>
      </c>
      <c r="O2133" s="905"/>
      <c r="P2133" s="36" t="str">
        <f>IF(N2131&gt;0,"xx",IF(N2131&gt;0,"xy",""))</f>
        <v/>
      </c>
      <c r="Q2133" s="317" t="str">
        <f t="shared" si="158"/>
        <v/>
      </c>
      <c r="R2133" s="317" t="str">
        <f t="shared" si="159"/>
        <v/>
      </c>
      <c r="S2133" s="317" t="str">
        <f t="shared" si="160"/>
        <v/>
      </c>
      <c r="T2133" s="317" t="str">
        <f>GLOBAL_DER_FEV_2023!S2133</f>
        <v/>
      </c>
      <c r="W2133" s="582">
        <v>0</v>
      </c>
      <c r="X2133" s="580"/>
      <c r="Y2133" s="583">
        <f>IF(GLOBAL_DER_FEV_2023!W2133=0,0,IF(GLOBAL_DER_FEV_2023!W2133&gt;0,"c","b"))</f>
        <v>0</v>
      </c>
    </row>
    <row r="2134" spans="1:25" ht="15" hidden="1" customHeight="1" x14ac:dyDescent="0.2">
      <c r="A2134" s="317" t="s">
        <v>147</v>
      </c>
      <c r="B2134" s="895" t="s">
        <v>147</v>
      </c>
      <c r="C2134" s="896"/>
      <c r="D2134" s="906" t="s">
        <v>233</v>
      </c>
      <c r="E2134" s="907">
        <f>GLOBAL_DER_FEV_2023!E2134</f>
        <v>0.2</v>
      </c>
      <c r="F2134" s="908">
        <f>GLOBAL_DER_FEV_2023!F2134</f>
        <v>1.8781200000000002</v>
      </c>
      <c r="G2134" s="949">
        <f>GLOBAL_DER_FEV_2023!G2134</f>
        <v>5.4352792800000005</v>
      </c>
      <c r="H2134" s="901">
        <f>GLOBAL_DER_FEV_2023!H2134</f>
        <v>0</v>
      </c>
      <c r="I2134" s="901">
        <f>GLOBAL_DER_FEV_2023!I2134</f>
        <v>0</v>
      </c>
      <c r="J2134" s="902">
        <f>GLOBAL_DER_FEV_2023!J2134</f>
        <v>0</v>
      </c>
      <c r="K2134" s="903"/>
      <c r="L2134" s="1177"/>
      <c r="M2134" s="1138">
        <f t="shared" si="162"/>
        <v>0</v>
      </c>
      <c r="N2134" s="1176">
        <f t="shared" si="161"/>
        <v>0</v>
      </c>
      <c r="O2134" s="905"/>
      <c r="P2134" s="36" t="str">
        <f>IF(N2131&gt;0,"xx",IF(N2131&gt;0,"xy",""))</f>
        <v/>
      </c>
      <c r="Q2134" s="317" t="str">
        <f t="shared" si="158"/>
        <v/>
      </c>
      <c r="R2134" s="317" t="str">
        <f t="shared" si="159"/>
        <v/>
      </c>
      <c r="S2134" s="317" t="str">
        <f t="shared" si="160"/>
        <v/>
      </c>
      <c r="T2134" s="317" t="str">
        <f>GLOBAL_DER_FEV_2023!S2134</f>
        <v/>
      </c>
      <c r="W2134" s="582">
        <v>0</v>
      </c>
      <c r="X2134" s="580"/>
      <c r="Y2134" s="583">
        <f>IF(GLOBAL_DER_FEV_2023!W2134=0,0,IF(GLOBAL_DER_FEV_2023!W2134&gt;0,"c","b"))</f>
        <v>0</v>
      </c>
    </row>
    <row r="2135" spans="1:25" ht="15" hidden="1" customHeight="1" x14ac:dyDescent="0.2">
      <c r="A2135" s="317" t="s">
        <v>97</v>
      </c>
      <c r="B2135" s="895" t="s">
        <v>97</v>
      </c>
      <c r="C2135" s="896" t="s">
        <v>184</v>
      </c>
      <c r="D2135" s="906" t="s">
        <v>369</v>
      </c>
      <c r="E2135" s="907">
        <f>GLOBAL_DER_FEV_2023!E2135</f>
        <v>0</v>
      </c>
      <c r="F2135" s="908">
        <f>GLOBAL_DER_FEV_2023!F2135</f>
        <v>0</v>
      </c>
      <c r="G2135" s="912">
        <f>GLOBAL_DER_FEV_2023!G2135</f>
        <v>523.69855168000015</v>
      </c>
      <c r="H2135" s="901">
        <f>GLOBAL_DER_FEV_2023!H2135</f>
        <v>1638.59</v>
      </c>
      <c r="I2135" s="901">
        <f>GLOBAL_DER_FEV_2023!I2135</f>
        <v>2162.2885516800002</v>
      </c>
      <c r="J2135" s="902">
        <f>GLOBAL_DER_FEV_2023!J2135</f>
        <v>2596.2600000000002</v>
      </c>
      <c r="K2135" s="903" t="s">
        <v>15</v>
      </c>
      <c r="L2135" s="1137"/>
      <c r="M2135" s="1138">
        <f t="shared" si="162"/>
        <v>0</v>
      </c>
      <c r="N2135" s="1176">
        <f t="shared" si="161"/>
        <v>0</v>
      </c>
      <c r="O2135" s="905"/>
      <c r="Q2135" s="317" t="str">
        <f t="shared" si="158"/>
        <v/>
      </c>
      <c r="R2135" s="317" t="str">
        <f t="shared" si="159"/>
        <v/>
      </c>
      <c r="S2135" s="317" t="str">
        <f t="shared" si="160"/>
        <v/>
      </c>
      <c r="T2135" s="317" t="str">
        <f>GLOBAL_DER_FEV_2023!S2135</f>
        <v/>
      </c>
      <c r="W2135" s="582">
        <v>0</v>
      </c>
      <c r="X2135" s="580"/>
      <c r="Y2135" s="583">
        <f>IF(GLOBAL_DER_FEV_2023!W2135=0,0,IF(GLOBAL_DER_FEV_2023!W2135&gt;0,"c","b"))</f>
        <v>0</v>
      </c>
    </row>
    <row r="2136" spans="1:25" ht="15" hidden="1" customHeight="1" x14ac:dyDescent="0.2">
      <c r="A2136" s="317" t="s">
        <v>147</v>
      </c>
      <c r="B2136" s="895" t="s">
        <v>147</v>
      </c>
      <c r="C2136" s="896"/>
      <c r="D2136" s="906" t="s">
        <v>190</v>
      </c>
      <c r="E2136" s="907">
        <f>GLOBAL_DER_FEV_2023!E2136</f>
        <v>308</v>
      </c>
      <c r="F2136" s="908">
        <f>GLOBAL_DER_FEV_2023!F2136</f>
        <v>0.71976000000000007</v>
      </c>
      <c r="G2136" s="909">
        <f>GLOBAL_DER_FEV_2023!G2136</f>
        <v>178.54366560000003</v>
      </c>
      <c r="H2136" s="901">
        <f>GLOBAL_DER_FEV_2023!H2136</f>
        <v>0</v>
      </c>
      <c r="I2136" s="901">
        <f>GLOBAL_DER_FEV_2023!I2136</f>
        <v>0</v>
      </c>
      <c r="J2136" s="902">
        <f>GLOBAL_DER_FEV_2023!J2136</f>
        <v>0</v>
      </c>
      <c r="K2136" s="903"/>
      <c r="L2136" s="1177"/>
      <c r="M2136" s="1138">
        <f t="shared" si="162"/>
        <v>0</v>
      </c>
      <c r="N2136" s="1176">
        <f t="shared" si="161"/>
        <v>0</v>
      </c>
      <c r="O2136" s="905"/>
      <c r="P2136" s="36" t="str">
        <f>IF(N2135&gt;0,"xx",IF(N2135&gt;0,"xy",""))</f>
        <v/>
      </c>
      <c r="Q2136" s="317" t="str">
        <f t="shared" si="158"/>
        <v/>
      </c>
      <c r="R2136" s="317" t="str">
        <f t="shared" si="159"/>
        <v/>
      </c>
      <c r="S2136" s="317" t="str">
        <f t="shared" si="160"/>
        <v/>
      </c>
      <c r="T2136" s="317" t="str">
        <f>GLOBAL_DER_FEV_2023!S2136</f>
        <v/>
      </c>
      <c r="W2136" s="582">
        <v>0</v>
      </c>
      <c r="X2136" s="580"/>
      <c r="Y2136" s="583">
        <f>IF(GLOBAL_DER_FEV_2023!W2136=0,0,IF(GLOBAL_DER_FEV_2023!W2136&gt;0,"c","b"))</f>
        <v>0</v>
      </c>
    </row>
    <row r="2137" spans="1:25" ht="15" hidden="1" customHeight="1" x14ac:dyDescent="0.2">
      <c r="A2137" s="317" t="s">
        <v>147</v>
      </c>
      <c r="B2137" s="895" t="s">
        <v>147</v>
      </c>
      <c r="C2137" s="896"/>
      <c r="D2137" s="906" t="s">
        <v>229</v>
      </c>
      <c r="E2137" s="907">
        <f>GLOBAL_DER_FEV_2023!E2137</f>
        <v>150</v>
      </c>
      <c r="F2137" s="908">
        <f>GLOBAL_DER_FEV_2023!F2137</f>
        <v>2.0712400000000004</v>
      </c>
      <c r="G2137" s="949">
        <f>GLOBAL_DER_FEV_2023!G2137</f>
        <v>337.98494320000009</v>
      </c>
      <c r="H2137" s="901">
        <f>GLOBAL_DER_FEV_2023!H2137</f>
        <v>0</v>
      </c>
      <c r="I2137" s="901">
        <f>GLOBAL_DER_FEV_2023!I2137</f>
        <v>0</v>
      </c>
      <c r="J2137" s="902">
        <f>GLOBAL_DER_FEV_2023!J2137</f>
        <v>0</v>
      </c>
      <c r="K2137" s="903"/>
      <c r="L2137" s="1177"/>
      <c r="M2137" s="1138">
        <f t="shared" si="162"/>
        <v>0</v>
      </c>
      <c r="N2137" s="1176">
        <f t="shared" si="161"/>
        <v>0</v>
      </c>
      <c r="O2137" s="905"/>
      <c r="P2137" s="36" t="str">
        <f>IF(N2135&gt;0,"xx",IF(N2135&gt;0,"xy",""))</f>
        <v/>
      </c>
      <c r="Q2137" s="317" t="str">
        <f t="shared" si="158"/>
        <v/>
      </c>
      <c r="R2137" s="317" t="str">
        <f t="shared" si="159"/>
        <v/>
      </c>
      <c r="S2137" s="317" t="str">
        <f t="shared" si="160"/>
        <v/>
      </c>
      <c r="T2137" s="317" t="str">
        <f>GLOBAL_DER_FEV_2023!S2137</f>
        <v/>
      </c>
      <c r="W2137" s="582">
        <v>0</v>
      </c>
      <c r="X2137" s="580"/>
      <c r="Y2137" s="583">
        <f>IF(GLOBAL_DER_FEV_2023!W2137=0,0,IF(GLOBAL_DER_FEV_2023!W2137&gt;0,"c","b"))</f>
        <v>0</v>
      </c>
    </row>
    <row r="2138" spans="1:25" ht="15" hidden="1" customHeight="1" x14ac:dyDescent="0.2">
      <c r="A2138" s="317" t="s">
        <v>147</v>
      </c>
      <c r="B2138" s="895" t="s">
        <v>147</v>
      </c>
      <c r="C2138" s="896"/>
      <c r="D2138" s="906" t="s">
        <v>233</v>
      </c>
      <c r="E2138" s="907">
        <f>GLOBAL_DER_FEV_2023!E2138</f>
        <v>0.2</v>
      </c>
      <c r="F2138" s="908">
        <f>GLOBAL_DER_FEV_2023!F2138</f>
        <v>2.4775200000000002</v>
      </c>
      <c r="G2138" s="949">
        <f>GLOBAL_DER_FEV_2023!G2138</f>
        <v>7.1699428800000007</v>
      </c>
      <c r="H2138" s="901">
        <f>GLOBAL_DER_FEV_2023!H2138</f>
        <v>0</v>
      </c>
      <c r="I2138" s="901">
        <f>GLOBAL_DER_FEV_2023!I2138</f>
        <v>0</v>
      </c>
      <c r="J2138" s="902">
        <f>GLOBAL_DER_FEV_2023!J2138</f>
        <v>0</v>
      </c>
      <c r="K2138" s="903"/>
      <c r="L2138" s="1177"/>
      <c r="M2138" s="1138">
        <f t="shared" si="162"/>
        <v>0</v>
      </c>
      <c r="N2138" s="1176">
        <f t="shared" si="161"/>
        <v>0</v>
      </c>
      <c r="O2138" s="905"/>
      <c r="P2138" s="36" t="str">
        <f>IF(N2135&gt;0,"xx",IF(N2135&gt;0,"xy",""))</f>
        <v/>
      </c>
      <c r="Q2138" s="317" t="str">
        <f t="shared" si="158"/>
        <v/>
      </c>
      <c r="R2138" s="317" t="str">
        <f t="shared" si="159"/>
        <v/>
      </c>
      <c r="S2138" s="317" t="str">
        <f t="shared" si="160"/>
        <v/>
      </c>
      <c r="T2138" s="317" t="str">
        <f>GLOBAL_DER_FEV_2023!S2138</f>
        <v/>
      </c>
      <c r="W2138" s="582">
        <v>0</v>
      </c>
      <c r="X2138" s="580"/>
      <c r="Y2138" s="583">
        <f>IF(GLOBAL_DER_FEV_2023!W2138=0,0,IF(GLOBAL_DER_FEV_2023!W2138&gt;0,"c","b"))</f>
        <v>0</v>
      </c>
    </row>
    <row r="2139" spans="1:25" ht="15" hidden="1" customHeight="1" x14ac:dyDescent="0.2">
      <c r="A2139" s="317" t="s">
        <v>98</v>
      </c>
      <c r="B2139" s="895" t="s">
        <v>98</v>
      </c>
      <c r="C2139" s="896" t="s">
        <v>184</v>
      </c>
      <c r="D2139" s="906" t="s">
        <v>370</v>
      </c>
      <c r="E2139" s="907">
        <f>GLOBAL_DER_FEV_2023!E2139</f>
        <v>0</v>
      </c>
      <c r="F2139" s="908">
        <f>GLOBAL_DER_FEV_2023!F2139</f>
        <v>0</v>
      </c>
      <c r="G2139" s="912">
        <f>GLOBAL_DER_FEV_2023!G2139</f>
        <v>0</v>
      </c>
      <c r="H2139" s="901">
        <f>GLOBAL_DER_FEV_2023!H2139</f>
        <v>1950.71</v>
      </c>
      <c r="I2139" s="901">
        <f>GLOBAL_DER_FEV_2023!I2139</f>
        <v>1950.71</v>
      </c>
      <c r="J2139" s="902">
        <f>GLOBAL_DER_FEV_2023!J2139</f>
        <v>2342.2199999999998</v>
      </c>
      <c r="K2139" s="903" t="s">
        <v>15</v>
      </c>
      <c r="L2139" s="1137"/>
      <c r="M2139" s="1138">
        <f t="shared" si="162"/>
        <v>0</v>
      </c>
      <c r="N2139" s="1176">
        <f t="shared" si="161"/>
        <v>0</v>
      </c>
      <c r="O2139" s="905"/>
      <c r="Q2139" s="317" t="str">
        <f t="shared" ref="Q2139:Q2202" si="163">IF(P2139="X","x",IF(P2139="xx","x",IF(P2139="xy","x",IF(P2139="y","x",IF(OR(N2139&gt;0,N2139&gt;0),"x","")))))</f>
        <v/>
      </c>
      <c r="R2139" s="317" t="str">
        <f t="shared" si="159"/>
        <v/>
      </c>
      <c r="S2139" s="317" t="str">
        <f t="shared" si="160"/>
        <v/>
      </c>
      <c r="T2139" s="317" t="str">
        <f>GLOBAL_DER_FEV_2023!S2139</f>
        <v/>
      </c>
      <c r="W2139" s="582">
        <v>0</v>
      </c>
      <c r="X2139" s="580"/>
      <c r="Y2139" s="583">
        <f>IF(GLOBAL_DER_FEV_2023!W2139=0,0,IF(GLOBAL_DER_FEV_2023!W2139&gt;0,"c","b"))</f>
        <v>0</v>
      </c>
    </row>
    <row r="2140" spans="1:25" ht="15" hidden="1" customHeight="1" x14ac:dyDescent="0.2">
      <c r="A2140" s="317" t="s">
        <v>147</v>
      </c>
      <c r="B2140" s="895" t="s">
        <v>147</v>
      </c>
      <c r="C2140" s="896"/>
      <c r="D2140" s="906" t="s">
        <v>190</v>
      </c>
      <c r="E2140" s="907">
        <f>GLOBAL_DER_FEV_2023!E2140</f>
        <v>308</v>
      </c>
      <c r="F2140" s="908">
        <f>GLOBAL_DER_FEV_2023!F2140</f>
        <v>0.90125999999999995</v>
      </c>
      <c r="G2140" s="909">
        <f>GLOBAL_DER_FEV_2023!G2140</f>
        <v>223.56655559999999</v>
      </c>
      <c r="H2140" s="901">
        <f>GLOBAL_DER_FEV_2023!H2140</f>
        <v>0</v>
      </c>
      <c r="I2140" s="901">
        <f>GLOBAL_DER_FEV_2023!I2140</f>
        <v>0</v>
      </c>
      <c r="J2140" s="902">
        <f>GLOBAL_DER_FEV_2023!J2140</f>
        <v>0</v>
      </c>
      <c r="K2140" s="903"/>
      <c r="L2140" s="1177"/>
      <c r="M2140" s="1138">
        <f t="shared" si="162"/>
        <v>0</v>
      </c>
      <c r="N2140" s="1176">
        <f t="shared" si="161"/>
        <v>0</v>
      </c>
      <c r="O2140" s="905"/>
      <c r="P2140" s="36" t="str">
        <f>IF(N2139&gt;0,"xx",IF(N2139&gt;0,"xy",""))</f>
        <v/>
      </c>
      <c r="Q2140" s="317" t="str">
        <f t="shared" si="163"/>
        <v/>
      </c>
      <c r="R2140" s="317" t="str">
        <f t="shared" si="159"/>
        <v/>
      </c>
      <c r="S2140" s="317" t="str">
        <f t="shared" si="160"/>
        <v/>
      </c>
      <c r="T2140" s="317" t="str">
        <f>GLOBAL_DER_FEV_2023!S2140</f>
        <v/>
      </c>
      <c r="W2140" s="582">
        <v>0</v>
      </c>
      <c r="X2140" s="580"/>
      <c r="Y2140" s="583">
        <f>IF(GLOBAL_DER_FEV_2023!W2140=0,0,IF(GLOBAL_DER_FEV_2023!W2140&gt;0,"c","b"))</f>
        <v>0</v>
      </c>
    </row>
    <row r="2141" spans="1:25" ht="15" hidden="1" customHeight="1" x14ac:dyDescent="0.2">
      <c r="A2141" s="317" t="s">
        <v>147</v>
      </c>
      <c r="B2141" s="895" t="s">
        <v>147</v>
      </c>
      <c r="C2141" s="896"/>
      <c r="D2141" s="906" t="s">
        <v>229</v>
      </c>
      <c r="E2141" s="907">
        <f>GLOBAL_DER_FEV_2023!E2141</f>
        <v>150</v>
      </c>
      <c r="F2141" s="908">
        <f>GLOBAL_DER_FEV_2023!F2141</f>
        <v>2.5777900000000002</v>
      </c>
      <c r="G2141" s="949">
        <f>GLOBAL_DER_FEV_2023!G2141</f>
        <v>420.64377220000006</v>
      </c>
      <c r="H2141" s="901">
        <f>GLOBAL_DER_FEV_2023!H2141</f>
        <v>0</v>
      </c>
      <c r="I2141" s="901">
        <f>GLOBAL_DER_FEV_2023!I2141</f>
        <v>0</v>
      </c>
      <c r="J2141" s="902">
        <f>GLOBAL_DER_FEV_2023!J2141</f>
        <v>0</v>
      </c>
      <c r="K2141" s="903"/>
      <c r="L2141" s="1177"/>
      <c r="M2141" s="1138">
        <f t="shared" si="162"/>
        <v>0</v>
      </c>
      <c r="N2141" s="1176">
        <f t="shared" si="161"/>
        <v>0</v>
      </c>
      <c r="O2141" s="905"/>
      <c r="P2141" s="36" t="str">
        <f>IF(N2139&gt;0,"xx",IF(N2139&gt;0,"xy",""))</f>
        <v/>
      </c>
      <c r="Q2141" s="317" t="str">
        <f t="shared" si="163"/>
        <v/>
      </c>
      <c r="R2141" s="317" t="str">
        <f t="shared" ref="R2141:R2204" si="164">IF(P2141="X","x",IF(P2141="y","x",IF(P2141="xx","x",IF(N2141&gt;0,"x",""))))</f>
        <v/>
      </c>
      <c r="S2141" s="317" t="str">
        <f t="shared" ref="S2141:S2204" si="165">IF(P2141="X","x",IF(N2141&gt;0,"x",""))</f>
        <v/>
      </c>
      <c r="T2141" s="317" t="str">
        <f>GLOBAL_DER_FEV_2023!S2141</f>
        <v/>
      </c>
      <c r="W2141" s="582">
        <v>0</v>
      </c>
      <c r="X2141" s="580"/>
      <c r="Y2141" s="583">
        <f>IF(GLOBAL_DER_FEV_2023!W2141=0,0,IF(GLOBAL_DER_FEV_2023!W2141&gt;0,"c","b"))</f>
        <v>0</v>
      </c>
    </row>
    <row r="2142" spans="1:25" ht="15" hidden="1" customHeight="1" x14ac:dyDescent="0.2">
      <c r="A2142" s="317" t="s">
        <v>147</v>
      </c>
      <c r="B2142" s="895" t="s">
        <v>147</v>
      </c>
      <c r="C2142" s="896"/>
      <c r="D2142" s="906" t="s">
        <v>233</v>
      </c>
      <c r="E2142" s="907">
        <f>GLOBAL_DER_FEV_2023!E2142</f>
        <v>0.2</v>
      </c>
      <c r="F2142" s="908">
        <f>GLOBAL_DER_FEV_2023!F2142</f>
        <v>3.0880200000000002</v>
      </c>
      <c r="G2142" s="949">
        <f>GLOBAL_DER_FEV_2023!G2142</f>
        <v>8.9367298800000015</v>
      </c>
      <c r="H2142" s="901">
        <f>GLOBAL_DER_FEV_2023!H2142</f>
        <v>0</v>
      </c>
      <c r="I2142" s="901">
        <f>GLOBAL_DER_FEV_2023!I2142</f>
        <v>0</v>
      </c>
      <c r="J2142" s="902">
        <f>GLOBAL_DER_FEV_2023!J2142</f>
        <v>0</v>
      </c>
      <c r="K2142" s="903"/>
      <c r="L2142" s="1177"/>
      <c r="M2142" s="1138">
        <f t="shared" si="162"/>
        <v>0</v>
      </c>
      <c r="N2142" s="1176">
        <f t="shared" si="161"/>
        <v>0</v>
      </c>
      <c r="O2142" s="905"/>
      <c r="P2142" s="36" t="str">
        <f>IF(N2139&gt;0,"xx",IF(N2139&gt;0,"xy",""))</f>
        <v/>
      </c>
      <c r="Q2142" s="317" t="str">
        <f t="shared" si="163"/>
        <v/>
      </c>
      <c r="R2142" s="317" t="str">
        <f t="shared" si="164"/>
        <v/>
      </c>
      <c r="S2142" s="317" t="str">
        <f t="shared" si="165"/>
        <v/>
      </c>
      <c r="T2142" s="317" t="str">
        <f>GLOBAL_DER_FEV_2023!S2142</f>
        <v/>
      </c>
      <c r="W2142" s="582">
        <v>0</v>
      </c>
      <c r="X2142" s="580"/>
      <c r="Y2142" s="583">
        <f>IF(GLOBAL_DER_FEV_2023!W2142=0,0,IF(GLOBAL_DER_FEV_2023!W2142&gt;0,"c","b"))</f>
        <v>0</v>
      </c>
    </row>
    <row r="2143" spans="1:25" ht="15" hidden="1" customHeight="1" x14ac:dyDescent="0.2">
      <c r="A2143" s="317" t="s">
        <v>21</v>
      </c>
      <c r="B2143" s="895" t="s">
        <v>21</v>
      </c>
      <c r="C2143" s="896" t="s">
        <v>184</v>
      </c>
      <c r="D2143" s="906" t="s">
        <v>90</v>
      </c>
      <c r="E2143" s="907">
        <f>GLOBAL_DER_FEV_2023!E2143</f>
        <v>0</v>
      </c>
      <c r="F2143" s="908">
        <f>GLOBAL_DER_FEV_2023!F2143</f>
        <v>0</v>
      </c>
      <c r="G2143" s="912">
        <f>GLOBAL_DER_FEV_2023!G2143</f>
        <v>151.22964344000002</v>
      </c>
      <c r="H2143" s="901">
        <f>GLOBAL_DER_FEV_2023!H2143</f>
        <v>1946.06</v>
      </c>
      <c r="I2143" s="901">
        <f>GLOBAL_DER_FEV_2023!I2143</f>
        <v>2097.28964344</v>
      </c>
      <c r="J2143" s="902">
        <f>GLOBAL_DER_FEV_2023!J2143</f>
        <v>2518.2199999999998</v>
      </c>
      <c r="K2143" s="903" t="s">
        <v>15</v>
      </c>
      <c r="L2143" s="1137"/>
      <c r="M2143" s="1138">
        <f t="shared" si="162"/>
        <v>0</v>
      </c>
      <c r="N2143" s="1176">
        <f t="shared" si="161"/>
        <v>0</v>
      </c>
      <c r="O2143" s="905"/>
      <c r="Q2143" s="317" t="str">
        <f t="shared" si="163"/>
        <v/>
      </c>
      <c r="R2143" s="317" t="str">
        <f t="shared" si="164"/>
        <v/>
      </c>
      <c r="S2143" s="317" t="str">
        <f t="shared" si="165"/>
        <v/>
      </c>
      <c r="T2143" s="317" t="str">
        <f>GLOBAL_DER_FEV_2023!S2143</f>
        <v/>
      </c>
      <c r="W2143" s="582">
        <v>0</v>
      </c>
      <c r="X2143" s="580"/>
      <c r="Y2143" s="583">
        <f>IF(GLOBAL_DER_FEV_2023!W2143=0,0,IF(GLOBAL_DER_FEV_2023!W2143&gt;0,"c","b"))</f>
        <v>0</v>
      </c>
    </row>
    <row r="2144" spans="1:25" ht="15" hidden="1" customHeight="1" x14ac:dyDescent="0.2">
      <c r="A2144" s="317" t="s">
        <v>147</v>
      </c>
      <c r="B2144" s="895" t="s">
        <v>147</v>
      </c>
      <c r="C2144" s="896"/>
      <c r="D2144" s="906" t="s">
        <v>190</v>
      </c>
      <c r="E2144" s="907">
        <f>GLOBAL_DER_FEV_2023!E2144</f>
        <v>308</v>
      </c>
      <c r="F2144" s="908">
        <f>GLOBAL_DER_FEV_2023!F2144</f>
        <v>0.20478000000000002</v>
      </c>
      <c r="G2144" s="909">
        <f>GLOBAL_DER_FEV_2023!G2144</f>
        <v>50.797726800000007</v>
      </c>
      <c r="H2144" s="901">
        <f>GLOBAL_DER_FEV_2023!H2144</f>
        <v>0</v>
      </c>
      <c r="I2144" s="901">
        <f>GLOBAL_DER_FEV_2023!I2144</f>
        <v>0</v>
      </c>
      <c r="J2144" s="902">
        <f>GLOBAL_DER_FEV_2023!J2144</f>
        <v>0</v>
      </c>
      <c r="K2144" s="903"/>
      <c r="L2144" s="1177"/>
      <c r="M2144" s="1138">
        <f t="shared" si="162"/>
        <v>0</v>
      </c>
      <c r="N2144" s="1176">
        <f t="shared" si="161"/>
        <v>0</v>
      </c>
      <c r="O2144" s="905"/>
      <c r="P2144" s="36" t="str">
        <f>IF(N2143&gt;0,"xx",IF(N2143&gt;0,"xy",""))</f>
        <v/>
      </c>
      <c r="Q2144" s="317" t="str">
        <f t="shared" si="163"/>
        <v/>
      </c>
      <c r="R2144" s="317" t="str">
        <f t="shared" si="164"/>
        <v/>
      </c>
      <c r="S2144" s="317" t="str">
        <f t="shared" si="165"/>
        <v/>
      </c>
      <c r="T2144" s="317" t="str">
        <f>GLOBAL_DER_FEV_2023!S2144</f>
        <v/>
      </c>
      <c r="W2144" s="582">
        <v>0</v>
      </c>
      <c r="X2144" s="580"/>
      <c r="Y2144" s="583">
        <f>IF(GLOBAL_DER_FEV_2023!W2144=0,0,IF(GLOBAL_DER_FEV_2023!W2144&gt;0,"c","b"))</f>
        <v>0</v>
      </c>
    </row>
    <row r="2145" spans="1:25" ht="15" hidden="1" customHeight="1" x14ac:dyDescent="0.2">
      <c r="A2145" s="317" t="s">
        <v>147</v>
      </c>
      <c r="B2145" s="895" t="s">
        <v>147</v>
      </c>
      <c r="C2145" s="896"/>
      <c r="D2145" s="906" t="s">
        <v>229</v>
      </c>
      <c r="E2145" s="907">
        <f>GLOBAL_DER_FEV_2023!E2145</f>
        <v>150</v>
      </c>
      <c r="F2145" s="908">
        <f>GLOBAL_DER_FEV_2023!F2145</f>
        <v>0.60275000000000001</v>
      </c>
      <c r="G2145" s="949">
        <f>GLOBAL_DER_FEV_2023!G2145</f>
        <v>98.356745000000004</v>
      </c>
      <c r="H2145" s="901">
        <f>GLOBAL_DER_FEV_2023!H2145</f>
        <v>0</v>
      </c>
      <c r="I2145" s="901">
        <f>GLOBAL_DER_FEV_2023!I2145</f>
        <v>0</v>
      </c>
      <c r="J2145" s="902">
        <f>GLOBAL_DER_FEV_2023!J2145</f>
        <v>0</v>
      </c>
      <c r="K2145" s="903"/>
      <c r="L2145" s="1177"/>
      <c r="M2145" s="1138">
        <f t="shared" si="162"/>
        <v>0</v>
      </c>
      <c r="N2145" s="1176">
        <f t="shared" ref="N2145:N2208" si="166">IF(ISBLANK(L2145),0,IF(W2145=0,ROUND(L2145*M2145,2),IF(W2145="b",ROUNDDOWN(L2145*M2145,2),ROUNDUP(L2145*M2145,2))))</f>
        <v>0</v>
      </c>
      <c r="O2145" s="905"/>
      <c r="P2145" s="36" t="str">
        <f>IF(N2143&gt;0,"xx",IF(N2143&gt;0,"xy",""))</f>
        <v/>
      </c>
      <c r="Q2145" s="317" t="str">
        <f t="shared" si="163"/>
        <v/>
      </c>
      <c r="R2145" s="317" t="str">
        <f t="shared" si="164"/>
        <v/>
      </c>
      <c r="S2145" s="317" t="str">
        <f t="shared" si="165"/>
        <v/>
      </c>
      <c r="T2145" s="317" t="str">
        <f>GLOBAL_DER_FEV_2023!S2145</f>
        <v/>
      </c>
      <c r="W2145" s="582">
        <v>0</v>
      </c>
      <c r="X2145" s="580"/>
      <c r="Y2145" s="583">
        <f>IF(GLOBAL_DER_FEV_2023!W2145=0,0,IF(GLOBAL_DER_FEV_2023!W2145&gt;0,"c","b"))</f>
        <v>0</v>
      </c>
    </row>
    <row r="2146" spans="1:25" ht="15" hidden="1" customHeight="1" x14ac:dyDescent="0.2">
      <c r="A2146" s="317" t="s">
        <v>147</v>
      </c>
      <c r="B2146" s="895" t="s">
        <v>147</v>
      </c>
      <c r="C2146" s="896"/>
      <c r="D2146" s="906" t="s">
        <v>233</v>
      </c>
      <c r="E2146" s="907">
        <f>GLOBAL_DER_FEV_2023!E2146</f>
        <v>0.2</v>
      </c>
      <c r="F2146" s="908">
        <f>GLOBAL_DER_FEV_2023!F2146</f>
        <v>0.71706000000000003</v>
      </c>
      <c r="G2146" s="949">
        <f>GLOBAL_DER_FEV_2023!G2146</f>
        <v>2.0751716400000002</v>
      </c>
      <c r="H2146" s="901">
        <f>GLOBAL_DER_FEV_2023!H2146</f>
        <v>0</v>
      </c>
      <c r="I2146" s="901">
        <f>GLOBAL_DER_FEV_2023!I2146</f>
        <v>0</v>
      </c>
      <c r="J2146" s="902">
        <f>GLOBAL_DER_FEV_2023!J2146</f>
        <v>0</v>
      </c>
      <c r="K2146" s="903"/>
      <c r="L2146" s="1177"/>
      <c r="M2146" s="1138">
        <f t="shared" si="162"/>
        <v>0</v>
      </c>
      <c r="N2146" s="1176">
        <f t="shared" si="166"/>
        <v>0</v>
      </c>
      <c r="O2146" s="905"/>
      <c r="P2146" s="36" t="str">
        <f>IF(N2143&gt;0,"xx",IF(N2143&gt;0,"xy",""))</f>
        <v/>
      </c>
      <c r="Q2146" s="317" t="str">
        <f t="shared" si="163"/>
        <v/>
      </c>
      <c r="R2146" s="317" t="str">
        <f t="shared" si="164"/>
        <v/>
      </c>
      <c r="S2146" s="317" t="str">
        <f t="shared" si="165"/>
        <v/>
      </c>
      <c r="T2146" s="317" t="str">
        <f>GLOBAL_DER_FEV_2023!S2146</f>
        <v/>
      </c>
      <c r="W2146" s="582">
        <v>0</v>
      </c>
      <c r="X2146" s="580"/>
      <c r="Y2146" s="583">
        <f>IF(GLOBAL_DER_FEV_2023!W2146=0,0,IF(GLOBAL_DER_FEV_2023!W2146&gt;0,"c","b"))</f>
        <v>0</v>
      </c>
    </row>
    <row r="2147" spans="1:25" ht="15" hidden="1" customHeight="1" x14ac:dyDescent="0.2">
      <c r="A2147" s="317" t="s">
        <v>22</v>
      </c>
      <c r="B2147" s="895" t="s">
        <v>22</v>
      </c>
      <c r="C2147" s="896" t="s">
        <v>184</v>
      </c>
      <c r="D2147" s="906" t="s">
        <v>87</v>
      </c>
      <c r="E2147" s="907">
        <f>GLOBAL_DER_FEV_2023!E2147</f>
        <v>0</v>
      </c>
      <c r="F2147" s="908">
        <f>GLOBAL_DER_FEV_2023!F2147</f>
        <v>0</v>
      </c>
      <c r="G2147" s="912">
        <f>GLOBAL_DER_FEV_2023!G2147</f>
        <v>188.88739064000001</v>
      </c>
      <c r="H2147" s="901">
        <f>GLOBAL_DER_FEV_2023!H2147</f>
        <v>2350.13</v>
      </c>
      <c r="I2147" s="901">
        <f>GLOBAL_DER_FEV_2023!I2147</f>
        <v>2539.01739064</v>
      </c>
      <c r="J2147" s="902">
        <f>GLOBAL_DER_FEV_2023!J2147</f>
        <v>3048.6</v>
      </c>
      <c r="K2147" s="903" t="s">
        <v>15</v>
      </c>
      <c r="L2147" s="1137"/>
      <c r="M2147" s="1138">
        <f t="shared" si="162"/>
        <v>0</v>
      </c>
      <c r="N2147" s="1176">
        <f t="shared" si="166"/>
        <v>0</v>
      </c>
      <c r="O2147" s="905"/>
      <c r="Q2147" s="317" t="str">
        <f t="shared" si="163"/>
        <v/>
      </c>
      <c r="R2147" s="317" t="str">
        <f t="shared" si="164"/>
        <v/>
      </c>
      <c r="S2147" s="317" t="str">
        <f t="shared" si="165"/>
        <v/>
      </c>
      <c r="T2147" s="317" t="str">
        <f>GLOBAL_DER_FEV_2023!S2147</f>
        <v/>
      </c>
      <c r="W2147" s="582">
        <v>0</v>
      </c>
      <c r="X2147" s="580"/>
      <c r="Y2147" s="583">
        <f>IF(GLOBAL_DER_FEV_2023!W2147=0,0,IF(GLOBAL_DER_FEV_2023!W2147&gt;0,"c","b"))</f>
        <v>0</v>
      </c>
    </row>
    <row r="2148" spans="1:25" ht="15" hidden="1" customHeight="1" x14ac:dyDescent="0.2">
      <c r="A2148" s="317" t="s">
        <v>147</v>
      </c>
      <c r="B2148" s="895" t="s">
        <v>147</v>
      </c>
      <c r="C2148" s="896"/>
      <c r="D2148" s="906" t="s">
        <v>190</v>
      </c>
      <c r="E2148" s="907">
        <f>GLOBAL_DER_FEV_2023!E2148</f>
        <v>308</v>
      </c>
      <c r="F2148" s="908">
        <f>GLOBAL_DER_FEV_2023!F2148</f>
        <v>0.25757999999999998</v>
      </c>
      <c r="G2148" s="909">
        <f>GLOBAL_DER_FEV_2023!G2148</f>
        <v>63.895294799999995</v>
      </c>
      <c r="H2148" s="901">
        <f>GLOBAL_DER_FEV_2023!H2148</f>
        <v>0</v>
      </c>
      <c r="I2148" s="901">
        <f>GLOBAL_DER_FEV_2023!I2148</f>
        <v>0</v>
      </c>
      <c r="J2148" s="902">
        <f>GLOBAL_DER_FEV_2023!J2148</f>
        <v>0</v>
      </c>
      <c r="K2148" s="903"/>
      <c r="L2148" s="1177"/>
      <c r="M2148" s="1138">
        <f t="shared" si="162"/>
        <v>0</v>
      </c>
      <c r="N2148" s="1176">
        <f t="shared" si="166"/>
        <v>0</v>
      </c>
      <c r="O2148" s="905"/>
      <c r="P2148" s="36" t="str">
        <f>IF(N2147&gt;0,"xx",IF(N2147&gt;0,"xy",""))</f>
        <v/>
      </c>
      <c r="Q2148" s="317" t="str">
        <f t="shared" si="163"/>
        <v/>
      </c>
      <c r="R2148" s="317" t="str">
        <f t="shared" si="164"/>
        <v/>
      </c>
      <c r="S2148" s="317" t="str">
        <f t="shared" si="165"/>
        <v/>
      </c>
      <c r="T2148" s="317" t="str">
        <f>GLOBAL_DER_FEV_2023!S2148</f>
        <v/>
      </c>
      <c r="W2148" s="582">
        <v>0</v>
      </c>
      <c r="X2148" s="580"/>
      <c r="Y2148" s="583">
        <f>IF(GLOBAL_DER_FEV_2023!W2148=0,0,IF(GLOBAL_DER_FEV_2023!W2148&gt;0,"c","b"))</f>
        <v>0</v>
      </c>
    </row>
    <row r="2149" spans="1:25" ht="15" hidden="1" customHeight="1" x14ac:dyDescent="0.2">
      <c r="A2149" s="317" t="s">
        <v>147</v>
      </c>
      <c r="B2149" s="895" t="s">
        <v>147</v>
      </c>
      <c r="C2149" s="896"/>
      <c r="D2149" s="906" t="s">
        <v>229</v>
      </c>
      <c r="E2149" s="907">
        <f>GLOBAL_DER_FEV_2023!E2149</f>
        <v>150</v>
      </c>
      <c r="F2149" s="908">
        <f>GLOBAL_DER_FEV_2023!F2149</f>
        <v>0.75010999999999994</v>
      </c>
      <c r="G2149" s="949">
        <f>GLOBAL_DER_FEV_2023!G2149</f>
        <v>122.4029498</v>
      </c>
      <c r="H2149" s="901">
        <f>GLOBAL_DER_FEV_2023!H2149</f>
        <v>0</v>
      </c>
      <c r="I2149" s="901">
        <f>GLOBAL_DER_FEV_2023!I2149</f>
        <v>0</v>
      </c>
      <c r="J2149" s="902">
        <f>GLOBAL_DER_FEV_2023!J2149</f>
        <v>0</v>
      </c>
      <c r="K2149" s="903"/>
      <c r="L2149" s="1177"/>
      <c r="M2149" s="1138">
        <f t="shared" si="162"/>
        <v>0</v>
      </c>
      <c r="N2149" s="1176">
        <f t="shared" si="166"/>
        <v>0</v>
      </c>
      <c r="O2149" s="905"/>
      <c r="P2149" s="36" t="str">
        <f>IF(N2147&gt;0,"xx",IF(N2147&gt;0,"xy",""))</f>
        <v/>
      </c>
      <c r="Q2149" s="317" t="str">
        <f t="shared" si="163"/>
        <v/>
      </c>
      <c r="R2149" s="317" t="str">
        <f t="shared" si="164"/>
        <v/>
      </c>
      <c r="S2149" s="317" t="str">
        <f t="shared" si="165"/>
        <v/>
      </c>
      <c r="T2149" s="317" t="str">
        <f>GLOBAL_DER_FEV_2023!S2149</f>
        <v/>
      </c>
      <c r="W2149" s="582">
        <v>0</v>
      </c>
      <c r="X2149" s="580"/>
      <c r="Y2149" s="583">
        <f>IF(GLOBAL_DER_FEV_2023!W2149=0,0,IF(GLOBAL_DER_FEV_2023!W2149&gt;0,"c","b"))</f>
        <v>0</v>
      </c>
    </row>
    <row r="2150" spans="1:25" ht="15" hidden="1" customHeight="1" x14ac:dyDescent="0.2">
      <c r="A2150" s="317" t="s">
        <v>147</v>
      </c>
      <c r="B2150" s="895" t="s">
        <v>147</v>
      </c>
      <c r="C2150" s="896"/>
      <c r="D2150" s="906" t="s">
        <v>233</v>
      </c>
      <c r="E2150" s="907">
        <f>GLOBAL_DER_FEV_2023!E2150</f>
        <v>0.2</v>
      </c>
      <c r="F2150" s="908">
        <f>GLOBAL_DER_FEV_2023!F2150</f>
        <v>0.89466000000000001</v>
      </c>
      <c r="G2150" s="949">
        <f>GLOBAL_DER_FEV_2023!G2150</f>
        <v>2.5891460400000001</v>
      </c>
      <c r="H2150" s="901">
        <f>GLOBAL_DER_FEV_2023!H2150</f>
        <v>0</v>
      </c>
      <c r="I2150" s="901">
        <f>GLOBAL_DER_FEV_2023!I2150</f>
        <v>0</v>
      </c>
      <c r="J2150" s="902">
        <f>GLOBAL_DER_FEV_2023!J2150</f>
        <v>0</v>
      </c>
      <c r="K2150" s="903"/>
      <c r="L2150" s="1177"/>
      <c r="M2150" s="1138">
        <f t="shared" si="162"/>
        <v>0</v>
      </c>
      <c r="N2150" s="1176">
        <f t="shared" si="166"/>
        <v>0</v>
      </c>
      <c r="O2150" s="905"/>
      <c r="P2150" s="36" t="str">
        <f>IF(N2147&gt;0,"xx",IF(N2147&gt;0,"xy",""))</f>
        <v/>
      </c>
      <c r="Q2150" s="317" t="str">
        <f t="shared" si="163"/>
        <v/>
      </c>
      <c r="R2150" s="317" t="str">
        <f t="shared" si="164"/>
        <v/>
      </c>
      <c r="S2150" s="317" t="str">
        <f t="shared" si="165"/>
        <v/>
      </c>
      <c r="T2150" s="317" t="str">
        <f>GLOBAL_DER_FEV_2023!S2150</f>
        <v/>
      </c>
      <c r="W2150" s="582">
        <v>0</v>
      </c>
      <c r="X2150" s="580"/>
      <c r="Y2150" s="583">
        <f>IF(GLOBAL_DER_FEV_2023!W2150=0,0,IF(GLOBAL_DER_FEV_2023!W2150&gt;0,"c","b"))</f>
        <v>0</v>
      </c>
    </row>
    <row r="2151" spans="1:25" ht="15" hidden="1" customHeight="1" x14ac:dyDescent="0.2">
      <c r="A2151" s="317" t="s">
        <v>23</v>
      </c>
      <c r="B2151" s="895" t="s">
        <v>23</v>
      </c>
      <c r="C2151" s="896" t="s">
        <v>184</v>
      </c>
      <c r="D2151" s="906" t="s">
        <v>88</v>
      </c>
      <c r="E2151" s="907">
        <f>GLOBAL_DER_FEV_2023!E2151</f>
        <v>0</v>
      </c>
      <c r="F2151" s="908">
        <f>GLOBAL_DER_FEV_2023!F2151</f>
        <v>0</v>
      </c>
      <c r="G2151" s="912">
        <f>GLOBAL_DER_FEV_2023!G2151</f>
        <v>250.08122984000002</v>
      </c>
      <c r="H2151" s="901">
        <f>GLOBAL_DER_FEV_2023!H2151</f>
        <v>2551.63</v>
      </c>
      <c r="I2151" s="901">
        <f>GLOBAL_DER_FEV_2023!I2151</f>
        <v>2801.7112298400002</v>
      </c>
      <c r="J2151" s="902">
        <f>GLOBAL_DER_FEV_2023!J2151</f>
        <v>3364.01</v>
      </c>
      <c r="K2151" s="903" t="s">
        <v>15</v>
      </c>
      <c r="L2151" s="1137"/>
      <c r="M2151" s="1138">
        <f t="shared" si="162"/>
        <v>0</v>
      </c>
      <c r="N2151" s="1176">
        <f t="shared" si="166"/>
        <v>0</v>
      </c>
      <c r="O2151" s="905"/>
      <c r="Q2151" s="317" t="str">
        <f t="shared" si="163"/>
        <v/>
      </c>
      <c r="R2151" s="317" t="str">
        <f t="shared" si="164"/>
        <v/>
      </c>
      <c r="S2151" s="317" t="str">
        <f t="shared" si="165"/>
        <v/>
      </c>
      <c r="T2151" s="317" t="str">
        <f>GLOBAL_DER_FEV_2023!S2151</f>
        <v/>
      </c>
      <c r="W2151" s="582">
        <v>0</v>
      </c>
      <c r="X2151" s="580"/>
      <c r="Y2151" s="583">
        <f>IF(GLOBAL_DER_FEV_2023!W2151=0,0,IF(GLOBAL_DER_FEV_2023!W2151&gt;0,"c","b"))</f>
        <v>0</v>
      </c>
    </row>
    <row r="2152" spans="1:25" ht="15" hidden="1" customHeight="1" x14ac:dyDescent="0.2">
      <c r="A2152" s="317" t="s">
        <v>147</v>
      </c>
      <c r="B2152" s="895" t="s">
        <v>147</v>
      </c>
      <c r="C2152" s="896"/>
      <c r="D2152" s="906" t="s">
        <v>190</v>
      </c>
      <c r="E2152" s="907">
        <f>GLOBAL_DER_FEV_2023!E2152</f>
        <v>308</v>
      </c>
      <c r="F2152" s="908">
        <f>GLOBAL_DER_FEV_2023!F2152</f>
        <v>0.34338000000000002</v>
      </c>
      <c r="G2152" s="909">
        <f>GLOBAL_DER_FEV_2023!G2152</f>
        <v>85.178842800000012</v>
      </c>
      <c r="H2152" s="901">
        <f>GLOBAL_DER_FEV_2023!H2152</f>
        <v>0</v>
      </c>
      <c r="I2152" s="901">
        <f>GLOBAL_DER_FEV_2023!I2152</f>
        <v>0</v>
      </c>
      <c r="J2152" s="902">
        <f>GLOBAL_DER_FEV_2023!J2152</f>
        <v>0</v>
      </c>
      <c r="K2152" s="903"/>
      <c r="L2152" s="1177"/>
      <c r="M2152" s="1138">
        <f t="shared" si="162"/>
        <v>0</v>
      </c>
      <c r="N2152" s="1176">
        <f t="shared" si="166"/>
        <v>0</v>
      </c>
      <c r="O2152" s="905"/>
      <c r="P2152" s="36" t="str">
        <f>IF(N2151&gt;0,"xx",IF(N2151&gt;0,"xy",""))</f>
        <v/>
      </c>
      <c r="Q2152" s="317" t="str">
        <f t="shared" si="163"/>
        <v/>
      </c>
      <c r="R2152" s="317" t="str">
        <f t="shared" si="164"/>
        <v/>
      </c>
      <c r="S2152" s="317" t="str">
        <f t="shared" si="165"/>
        <v/>
      </c>
      <c r="T2152" s="317" t="str">
        <f>GLOBAL_DER_FEV_2023!S2152</f>
        <v/>
      </c>
      <c r="W2152" s="582">
        <v>0</v>
      </c>
      <c r="X2152" s="580"/>
      <c r="Y2152" s="583">
        <f>IF(GLOBAL_DER_FEV_2023!W2152=0,0,IF(GLOBAL_DER_FEV_2023!W2152&gt;0,"c","b"))</f>
        <v>0</v>
      </c>
    </row>
    <row r="2153" spans="1:25" ht="15" hidden="1" customHeight="1" x14ac:dyDescent="0.2">
      <c r="A2153" s="317" t="s">
        <v>147</v>
      </c>
      <c r="B2153" s="895" t="s">
        <v>147</v>
      </c>
      <c r="C2153" s="896"/>
      <c r="D2153" s="906" t="s">
        <v>229</v>
      </c>
      <c r="E2153" s="907">
        <f>GLOBAL_DER_FEV_2023!E2153</f>
        <v>150</v>
      </c>
      <c r="F2153" s="908">
        <f>GLOBAL_DER_FEV_2023!F2153</f>
        <v>0.98957000000000006</v>
      </c>
      <c r="G2153" s="949">
        <f>GLOBAL_DER_FEV_2023!G2153</f>
        <v>161.47803260000001</v>
      </c>
      <c r="H2153" s="901">
        <f>GLOBAL_DER_FEV_2023!H2153</f>
        <v>0</v>
      </c>
      <c r="I2153" s="901">
        <f>GLOBAL_DER_FEV_2023!I2153</f>
        <v>0</v>
      </c>
      <c r="J2153" s="902">
        <f>GLOBAL_DER_FEV_2023!J2153</f>
        <v>0</v>
      </c>
      <c r="K2153" s="903"/>
      <c r="L2153" s="1177"/>
      <c r="M2153" s="1138">
        <f t="shared" si="162"/>
        <v>0</v>
      </c>
      <c r="N2153" s="1176">
        <f t="shared" si="166"/>
        <v>0</v>
      </c>
      <c r="O2153" s="905"/>
      <c r="P2153" s="36" t="str">
        <f>IF(N2151&gt;0,"xx",IF(N2151&gt;0,"xy",""))</f>
        <v/>
      </c>
      <c r="Q2153" s="317" t="str">
        <f t="shared" si="163"/>
        <v/>
      </c>
      <c r="R2153" s="317" t="str">
        <f t="shared" si="164"/>
        <v/>
      </c>
      <c r="S2153" s="317" t="str">
        <f t="shared" si="165"/>
        <v/>
      </c>
      <c r="T2153" s="317" t="str">
        <f>GLOBAL_DER_FEV_2023!S2153</f>
        <v/>
      </c>
      <c r="W2153" s="582">
        <v>0</v>
      </c>
      <c r="X2153" s="580"/>
      <c r="Y2153" s="583">
        <f>IF(GLOBAL_DER_FEV_2023!W2153=0,0,IF(GLOBAL_DER_FEV_2023!W2153&gt;0,"c","b"))</f>
        <v>0</v>
      </c>
    </row>
    <row r="2154" spans="1:25" ht="15" hidden="1" customHeight="1" x14ac:dyDescent="0.2">
      <c r="A2154" s="317" t="s">
        <v>147</v>
      </c>
      <c r="B2154" s="895" t="s">
        <v>147</v>
      </c>
      <c r="C2154" s="896"/>
      <c r="D2154" s="906" t="s">
        <v>233</v>
      </c>
      <c r="E2154" s="907">
        <f>GLOBAL_DER_FEV_2023!E2154</f>
        <v>0.2</v>
      </c>
      <c r="F2154" s="908">
        <f>GLOBAL_DER_FEV_2023!F2154</f>
        <v>1.1832600000000002</v>
      </c>
      <c r="G2154" s="949">
        <f>GLOBAL_DER_FEV_2023!G2154</f>
        <v>3.4243544400000006</v>
      </c>
      <c r="H2154" s="901">
        <f>GLOBAL_DER_FEV_2023!H2154</f>
        <v>0</v>
      </c>
      <c r="I2154" s="901">
        <f>GLOBAL_DER_FEV_2023!I2154</f>
        <v>0</v>
      </c>
      <c r="J2154" s="902">
        <f>GLOBAL_DER_FEV_2023!J2154</f>
        <v>0</v>
      </c>
      <c r="K2154" s="903"/>
      <c r="L2154" s="1177"/>
      <c r="M2154" s="1138">
        <f t="shared" si="162"/>
        <v>0</v>
      </c>
      <c r="N2154" s="1176">
        <f t="shared" si="166"/>
        <v>0</v>
      </c>
      <c r="O2154" s="905"/>
      <c r="P2154" s="36" t="str">
        <f>IF(N2151&gt;0,"xx",IF(N2151&gt;0,"xy",""))</f>
        <v/>
      </c>
      <c r="Q2154" s="317" t="str">
        <f t="shared" si="163"/>
        <v/>
      </c>
      <c r="R2154" s="317" t="str">
        <f t="shared" si="164"/>
        <v/>
      </c>
      <c r="S2154" s="317" t="str">
        <f t="shared" si="165"/>
        <v/>
      </c>
      <c r="T2154" s="317" t="str">
        <f>GLOBAL_DER_FEV_2023!S2154</f>
        <v/>
      </c>
      <c r="W2154" s="582">
        <v>0</v>
      </c>
      <c r="X2154" s="580"/>
      <c r="Y2154" s="583">
        <f>IF(GLOBAL_DER_FEV_2023!W2154=0,0,IF(GLOBAL_DER_FEV_2023!W2154&gt;0,"c","b"))</f>
        <v>0</v>
      </c>
    </row>
    <row r="2155" spans="1:25" ht="15" hidden="1" customHeight="1" x14ac:dyDescent="0.2">
      <c r="A2155" s="317" t="s">
        <v>24</v>
      </c>
      <c r="B2155" s="895" t="s">
        <v>24</v>
      </c>
      <c r="C2155" s="896" t="s">
        <v>184</v>
      </c>
      <c r="D2155" s="906" t="s">
        <v>89</v>
      </c>
      <c r="E2155" s="907">
        <f>GLOBAL_DER_FEV_2023!E2155</f>
        <v>0</v>
      </c>
      <c r="F2155" s="908">
        <f>GLOBAL_DER_FEV_2023!F2155</f>
        <v>0</v>
      </c>
      <c r="G2155" s="912">
        <f>GLOBAL_DER_FEV_2023!G2155</f>
        <v>311.27506904000001</v>
      </c>
      <c r="H2155" s="901">
        <f>GLOBAL_DER_FEV_2023!H2155</f>
        <v>3101.29</v>
      </c>
      <c r="I2155" s="901">
        <f>GLOBAL_DER_FEV_2023!I2155</f>
        <v>3412.5650690399998</v>
      </c>
      <c r="J2155" s="902">
        <f>GLOBAL_DER_FEV_2023!J2155</f>
        <v>4097.47</v>
      </c>
      <c r="K2155" s="903" t="s">
        <v>15</v>
      </c>
      <c r="L2155" s="1137"/>
      <c r="M2155" s="1138">
        <f t="shared" si="162"/>
        <v>0</v>
      </c>
      <c r="N2155" s="1176">
        <f t="shared" si="166"/>
        <v>0</v>
      </c>
      <c r="O2155" s="905"/>
      <c r="Q2155" s="317" t="str">
        <f t="shared" si="163"/>
        <v/>
      </c>
      <c r="R2155" s="317" t="str">
        <f t="shared" si="164"/>
        <v/>
      </c>
      <c r="S2155" s="317" t="str">
        <f t="shared" si="165"/>
        <v/>
      </c>
      <c r="T2155" s="317" t="str">
        <f>GLOBAL_DER_FEV_2023!S2155</f>
        <v/>
      </c>
      <c r="W2155" s="582">
        <v>0</v>
      </c>
      <c r="X2155" s="580"/>
      <c r="Y2155" s="583">
        <f>IF(GLOBAL_DER_FEV_2023!W2155=0,0,IF(GLOBAL_DER_FEV_2023!W2155&gt;0,"c","b"))</f>
        <v>0</v>
      </c>
    </row>
    <row r="2156" spans="1:25" ht="15" hidden="1" customHeight="1" x14ac:dyDescent="0.2">
      <c r="A2156" s="317" t="s">
        <v>147</v>
      </c>
      <c r="B2156" s="895" t="s">
        <v>147</v>
      </c>
      <c r="C2156" s="896"/>
      <c r="D2156" s="906" t="s">
        <v>190</v>
      </c>
      <c r="E2156" s="907">
        <f>GLOBAL_DER_FEV_2023!E2156</f>
        <v>308</v>
      </c>
      <c r="F2156" s="908">
        <f>GLOBAL_DER_FEV_2023!F2156</f>
        <v>0.42918000000000001</v>
      </c>
      <c r="G2156" s="909">
        <f>GLOBAL_DER_FEV_2023!G2156</f>
        <v>106.46239080000001</v>
      </c>
      <c r="H2156" s="901">
        <f>GLOBAL_DER_FEV_2023!H2156</f>
        <v>0</v>
      </c>
      <c r="I2156" s="901">
        <f>GLOBAL_DER_FEV_2023!I2156</f>
        <v>0</v>
      </c>
      <c r="J2156" s="902">
        <f>GLOBAL_DER_FEV_2023!J2156</f>
        <v>0</v>
      </c>
      <c r="K2156" s="903"/>
      <c r="L2156" s="1177"/>
      <c r="M2156" s="1138">
        <f t="shared" si="162"/>
        <v>0</v>
      </c>
      <c r="N2156" s="1176">
        <f t="shared" si="166"/>
        <v>0</v>
      </c>
      <c r="O2156" s="905"/>
      <c r="P2156" s="36" t="str">
        <f>IF(N2155&gt;0,"xx",IF(N2155&gt;0,"xy",""))</f>
        <v/>
      </c>
      <c r="Q2156" s="317" t="str">
        <f t="shared" si="163"/>
        <v/>
      </c>
      <c r="R2156" s="317" t="str">
        <f t="shared" si="164"/>
        <v/>
      </c>
      <c r="S2156" s="317" t="str">
        <f t="shared" si="165"/>
        <v/>
      </c>
      <c r="T2156" s="317" t="str">
        <f>GLOBAL_DER_FEV_2023!S2156</f>
        <v/>
      </c>
      <c r="W2156" s="582">
        <v>0</v>
      </c>
      <c r="X2156" s="580"/>
      <c r="Y2156" s="583">
        <f>IF(GLOBAL_DER_FEV_2023!W2156=0,0,IF(GLOBAL_DER_FEV_2023!W2156&gt;0,"c","b"))</f>
        <v>0</v>
      </c>
    </row>
    <row r="2157" spans="1:25" ht="15" hidden="1" customHeight="1" x14ac:dyDescent="0.2">
      <c r="A2157" s="317" t="s">
        <v>147</v>
      </c>
      <c r="B2157" s="895" t="s">
        <v>147</v>
      </c>
      <c r="C2157" s="896"/>
      <c r="D2157" s="906" t="s">
        <v>229</v>
      </c>
      <c r="E2157" s="907">
        <f>GLOBAL_DER_FEV_2023!E2157</f>
        <v>150</v>
      </c>
      <c r="F2157" s="908">
        <f>GLOBAL_DER_FEV_2023!F2157</f>
        <v>1.2290300000000001</v>
      </c>
      <c r="G2157" s="949">
        <f>GLOBAL_DER_FEV_2023!G2157</f>
        <v>200.55311540000002</v>
      </c>
      <c r="H2157" s="901">
        <f>GLOBAL_DER_FEV_2023!H2157</f>
        <v>0</v>
      </c>
      <c r="I2157" s="901">
        <f>GLOBAL_DER_FEV_2023!I2157</f>
        <v>0</v>
      </c>
      <c r="J2157" s="902">
        <f>GLOBAL_DER_FEV_2023!J2157</f>
        <v>0</v>
      </c>
      <c r="K2157" s="903"/>
      <c r="L2157" s="1177"/>
      <c r="M2157" s="1138">
        <f t="shared" si="162"/>
        <v>0</v>
      </c>
      <c r="N2157" s="1176">
        <f t="shared" si="166"/>
        <v>0</v>
      </c>
      <c r="O2157" s="905"/>
      <c r="P2157" s="36" t="str">
        <f>IF(N2155&gt;0,"xx",IF(N2155&gt;0,"xy",""))</f>
        <v/>
      </c>
      <c r="Q2157" s="317" t="str">
        <f t="shared" si="163"/>
        <v/>
      </c>
      <c r="R2157" s="317" t="str">
        <f t="shared" si="164"/>
        <v/>
      </c>
      <c r="S2157" s="317" t="str">
        <f t="shared" si="165"/>
        <v/>
      </c>
      <c r="T2157" s="317" t="str">
        <f>GLOBAL_DER_FEV_2023!S2157</f>
        <v/>
      </c>
      <c r="W2157" s="582">
        <v>0</v>
      </c>
      <c r="X2157" s="580"/>
      <c r="Y2157" s="583">
        <f>IF(GLOBAL_DER_FEV_2023!W2157=0,0,IF(GLOBAL_DER_FEV_2023!W2157&gt;0,"c","b"))</f>
        <v>0</v>
      </c>
    </row>
    <row r="2158" spans="1:25" ht="15" hidden="1" customHeight="1" x14ac:dyDescent="0.2">
      <c r="A2158" s="317" t="s">
        <v>147</v>
      </c>
      <c r="B2158" s="895" t="s">
        <v>147</v>
      </c>
      <c r="C2158" s="896"/>
      <c r="D2158" s="906" t="s">
        <v>233</v>
      </c>
      <c r="E2158" s="907">
        <f>GLOBAL_DER_FEV_2023!E2158</f>
        <v>0.2</v>
      </c>
      <c r="F2158" s="908">
        <f>GLOBAL_DER_FEV_2023!F2158</f>
        <v>1.4718600000000002</v>
      </c>
      <c r="G2158" s="949">
        <f>GLOBAL_DER_FEV_2023!G2158</f>
        <v>4.259562840000001</v>
      </c>
      <c r="H2158" s="901">
        <f>GLOBAL_DER_FEV_2023!H2158</f>
        <v>0</v>
      </c>
      <c r="I2158" s="901">
        <f>GLOBAL_DER_FEV_2023!I2158</f>
        <v>0</v>
      </c>
      <c r="J2158" s="902">
        <f>GLOBAL_DER_FEV_2023!J2158</f>
        <v>0</v>
      </c>
      <c r="K2158" s="903"/>
      <c r="L2158" s="1177"/>
      <c r="M2158" s="1138">
        <f t="shared" si="162"/>
        <v>0</v>
      </c>
      <c r="N2158" s="1176">
        <f t="shared" si="166"/>
        <v>0</v>
      </c>
      <c r="O2158" s="905"/>
      <c r="P2158" s="36" t="str">
        <f>IF(N2155&gt;0,"xx",IF(N2155&gt;0,"xy",""))</f>
        <v/>
      </c>
      <c r="Q2158" s="317" t="str">
        <f t="shared" si="163"/>
        <v/>
      </c>
      <c r="R2158" s="317" t="str">
        <f t="shared" si="164"/>
        <v/>
      </c>
      <c r="S2158" s="317" t="str">
        <f t="shared" si="165"/>
        <v/>
      </c>
      <c r="T2158" s="317" t="str">
        <f>GLOBAL_DER_FEV_2023!S2158</f>
        <v/>
      </c>
      <c r="W2158" s="582">
        <v>0</v>
      </c>
      <c r="X2158" s="580"/>
      <c r="Y2158" s="583">
        <f>IF(GLOBAL_DER_FEV_2023!W2158=0,0,IF(GLOBAL_DER_FEV_2023!W2158&gt;0,"c","b"))</f>
        <v>0</v>
      </c>
    </row>
    <row r="2159" spans="1:25" ht="15" hidden="1" customHeight="1" x14ac:dyDescent="0.2">
      <c r="A2159" s="317" t="s">
        <v>25</v>
      </c>
      <c r="B2159" s="895" t="s">
        <v>25</v>
      </c>
      <c r="C2159" s="896" t="s">
        <v>184</v>
      </c>
      <c r="D2159" s="906" t="s">
        <v>83</v>
      </c>
      <c r="E2159" s="907">
        <f>GLOBAL_DER_FEV_2023!E2159</f>
        <v>0</v>
      </c>
      <c r="F2159" s="908">
        <f>GLOBAL_DER_FEV_2023!F2159</f>
        <v>0</v>
      </c>
      <c r="G2159" s="912">
        <f>GLOBAL_DER_FEV_2023!G2159</f>
        <v>274.34302380400004</v>
      </c>
      <c r="H2159" s="901">
        <f>GLOBAL_DER_FEV_2023!H2159</f>
        <v>2761.42</v>
      </c>
      <c r="I2159" s="901">
        <f>GLOBAL_DER_FEV_2023!I2159</f>
        <v>3035.7630238040001</v>
      </c>
      <c r="J2159" s="902">
        <f>GLOBAL_DER_FEV_2023!J2159</f>
        <v>3645.04</v>
      </c>
      <c r="K2159" s="903" t="s">
        <v>15</v>
      </c>
      <c r="L2159" s="1137"/>
      <c r="M2159" s="1138">
        <f t="shared" si="162"/>
        <v>0</v>
      </c>
      <c r="N2159" s="1176">
        <f t="shared" si="166"/>
        <v>0</v>
      </c>
      <c r="O2159" s="905"/>
      <c r="Q2159" s="317" t="str">
        <f t="shared" si="163"/>
        <v/>
      </c>
      <c r="R2159" s="317" t="str">
        <f t="shared" si="164"/>
        <v/>
      </c>
      <c r="S2159" s="317" t="str">
        <f t="shared" si="165"/>
        <v/>
      </c>
      <c r="T2159" s="317" t="str">
        <f>GLOBAL_DER_FEV_2023!S2159</f>
        <v/>
      </c>
      <c r="W2159" s="582">
        <v>0</v>
      </c>
      <c r="X2159" s="580"/>
      <c r="Y2159" s="583">
        <f>IF(GLOBAL_DER_FEV_2023!W2159=0,0,IF(GLOBAL_DER_FEV_2023!W2159&gt;0,"c","b"))</f>
        <v>0</v>
      </c>
    </row>
    <row r="2160" spans="1:25" ht="15" hidden="1" customHeight="1" x14ac:dyDescent="0.2">
      <c r="A2160" s="317" t="s">
        <v>147</v>
      </c>
      <c r="B2160" s="895" t="s">
        <v>147</v>
      </c>
      <c r="C2160" s="896"/>
      <c r="D2160" s="906" t="s">
        <v>190</v>
      </c>
      <c r="E2160" s="907">
        <f>GLOBAL_DER_FEV_2023!E2160</f>
        <v>308</v>
      </c>
      <c r="F2160" s="908">
        <f>GLOBAL_DER_FEV_2023!F2160</f>
        <v>0.2047668</v>
      </c>
      <c r="G2160" s="909">
        <f>GLOBAL_DER_FEV_2023!G2160</f>
        <v>50.794452407999998</v>
      </c>
      <c r="H2160" s="901">
        <f>GLOBAL_DER_FEV_2023!H2160</f>
        <v>0</v>
      </c>
      <c r="I2160" s="901">
        <f>GLOBAL_DER_FEV_2023!I2160</f>
        <v>0</v>
      </c>
      <c r="J2160" s="902">
        <f>GLOBAL_DER_FEV_2023!J2160</f>
        <v>0</v>
      </c>
      <c r="K2160" s="903"/>
      <c r="L2160" s="1177"/>
      <c r="M2160" s="1138">
        <f t="shared" si="162"/>
        <v>0</v>
      </c>
      <c r="N2160" s="1176">
        <f t="shared" si="166"/>
        <v>0</v>
      </c>
      <c r="O2160" s="905"/>
      <c r="P2160" s="36" t="str">
        <f>IF(N2159&gt;0,"xx",IF(N2159&gt;0,"xy",""))</f>
        <v/>
      </c>
      <c r="Q2160" s="317" t="str">
        <f t="shared" si="163"/>
        <v/>
      </c>
      <c r="R2160" s="317" t="str">
        <f t="shared" si="164"/>
        <v/>
      </c>
      <c r="S2160" s="317" t="str">
        <f t="shared" si="165"/>
        <v/>
      </c>
      <c r="T2160" s="317" t="str">
        <f>GLOBAL_DER_FEV_2023!S2160</f>
        <v/>
      </c>
      <c r="W2160" s="582">
        <v>0</v>
      </c>
      <c r="X2160" s="580"/>
      <c r="Y2160" s="583">
        <f>IF(GLOBAL_DER_FEV_2023!W2160=0,0,IF(GLOBAL_DER_FEV_2023!W2160&gt;0,"c","b"))</f>
        <v>0</v>
      </c>
    </row>
    <row r="2161" spans="1:25" ht="15" hidden="1" customHeight="1" x14ac:dyDescent="0.2">
      <c r="A2161" s="317" t="s">
        <v>147</v>
      </c>
      <c r="B2161" s="895" t="s">
        <v>147</v>
      </c>
      <c r="C2161" s="896"/>
      <c r="D2161" s="906" t="s">
        <v>229</v>
      </c>
      <c r="E2161" s="907">
        <f>GLOBAL_DER_FEV_2023!E2161</f>
        <v>150</v>
      </c>
      <c r="F2161" s="908">
        <f>GLOBAL_DER_FEV_2023!F2161</f>
        <v>1.1293030000000002</v>
      </c>
      <c r="G2161" s="949">
        <f>GLOBAL_DER_FEV_2023!G2161</f>
        <v>184.27966354000003</v>
      </c>
      <c r="H2161" s="901">
        <f>GLOBAL_DER_FEV_2023!H2161</f>
        <v>0</v>
      </c>
      <c r="I2161" s="901">
        <f>GLOBAL_DER_FEV_2023!I2161</f>
        <v>0</v>
      </c>
      <c r="J2161" s="902">
        <f>GLOBAL_DER_FEV_2023!J2161</f>
        <v>0</v>
      </c>
      <c r="K2161" s="903"/>
      <c r="L2161" s="1177"/>
      <c r="M2161" s="1138">
        <f t="shared" si="162"/>
        <v>0</v>
      </c>
      <c r="N2161" s="1176">
        <f t="shared" si="166"/>
        <v>0</v>
      </c>
      <c r="O2161" s="905"/>
      <c r="P2161" s="36" t="str">
        <f>IF(N2159&gt;0,"xx",IF(N2159&gt;0,"xy",""))</f>
        <v/>
      </c>
      <c r="Q2161" s="317" t="str">
        <f t="shared" si="163"/>
        <v/>
      </c>
      <c r="R2161" s="317" t="str">
        <f t="shared" si="164"/>
        <v/>
      </c>
      <c r="S2161" s="317" t="str">
        <f t="shared" si="165"/>
        <v/>
      </c>
      <c r="T2161" s="317" t="str">
        <f>GLOBAL_DER_FEV_2023!S2161</f>
        <v/>
      </c>
      <c r="W2161" s="582">
        <v>0</v>
      </c>
      <c r="X2161" s="580"/>
      <c r="Y2161" s="583">
        <f>IF(GLOBAL_DER_FEV_2023!W2161=0,0,IF(GLOBAL_DER_FEV_2023!W2161&gt;0,"c","b"))</f>
        <v>0</v>
      </c>
    </row>
    <row r="2162" spans="1:25" ht="15" hidden="1" customHeight="1" x14ac:dyDescent="0.2">
      <c r="A2162" s="317" t="s">
        <v>147</v>
      </c>
      <c r="B2162" s="895" t="s">
        <v>147</v>
      </c>
      <c r="C2162" s="896"/>
      <c r="D2162" s="906" t="s">
        <v>233</v>
      </c>
      <c r="E2162" s="907">
        <f>GLOBAL_DER_FEV_2023!E2162</f>
        <v>0.2</v>
      </c>
      <c r="F2162" s="908">
        <f>GLOBAL_DER_FEV_2023!F2162</f>
        <v>0.38805600000000001</v>
      </c>
      <c r="G2162" s="949">
        <f>GLOBAL_DER_FEV_2023!G2162</f>
        <v>1.1230340640000001</v>
      </c>
      <c r="H2162" s="901">
        <f>GLOBAL_DER_FEV_2023!H2162</f>
        <v>0</v>
      </c>
      <c r="I2162" s="901">
        <f>GLOBAL_DER_FEV_2023!I2162</f>
        <v>0</v>
      </c>
      <c r="J2162" s="902">
        <f>GLOBAL_DER_FEV_2023!J2162</f>
        <v>0</v>
      </c>
      <c r="K2162" s="903"/>
      <c r="L2162" s="1177"/>
      <c r="M2162" s="1138">
        <f t="shared" si="162"/>
        <v>0</v>
      </c>
      <c r="N2162" s="1176">
        <f t="shared" si="166"/>
        <v>0</v>
      </c>
      <c r="O2162" s="905"/>
      <c r="P2162" s="36" t="str">
        <f>IF(N2159&gt;0,"xx",IF(N2159&gt;0,"xy",""))</f>
        <v/>
      </c>
      <c r="Q2162" s="317" t="str">
        <f t="shared" si="163"/>
        <v/>
      </c>
      <c r="R2162" s="317" t="str">
        <f t="shared" si="164"/>
        <v/>
      </c>
      <c r="S2162" s="317" t="str">
        <f t="shared" si="165"/>
        <v/>
      </c>
      <c r="T2162" s="317" t="str">
        <f>GLOBAL_DER_FEV_2023!S2162</f>
        <v/>
      </c>
      <c r="W2162" s="582">
        <v>0</v>
      </c>
      <c r="X2162" s="580"/>
      <c r="Y2162" s="583">
        <f>IF(GLOBAL_DER_FEV_2023!W2162=0,0,IF(GLOBAL_DER_FEV_2023!W2162&gt;0,"c","b"))</f>
        <v>0</v>
      </c>
    </row>
    <row r="2163" spans="1:25" ht="15" hidden="1" customHeight="1" x14ac:dyDescent="0.2">
      <c r="A2163" s="317" t="s">
        <v>147</v>
      </c>
      <c r="B2163" s="895" t="s">
        <v>147</v>
      </c>
      <c r="C2163" s="896"/>
      <c r="D2163" s="906" t="s">
        <v>365</v>
      </c>
      <c r="E2163" s="907">
        <f>GLOBAL_DER_FEV_2023!E2163</f>
        <v>10</v>
      </c>
      <c r="F2163" s="908">
        <f>GLOBAL_DER_FEV_2023!F2163</f>
        <v>1.6716959999999998</v>
      </c>
      <c r="G2163" s="949">
        <f>GLOBAL_DER_FEV_2023!G2163</f>
        <v>22.36729248</v>
      </c>
      <c r="H2163" s="901">
        <f>GLOBAL_DER_FEV_2023!H2163</f>
        <v>0</v>
      </c>
      <c r="I2163" s="901">
        <f>GLOBAL_DER_FEV_2023!I2163</f>
        <v>0</v>
      </c>
      <c r="J2163" s="902">
        <f>GLOBAL_DER_FEV_2023!J2163</f>
        <v>0</v>
      </c>
      <c r="K2163" s="903"/>
      <c r="L2163" s="1177"/>
      <c r="M2163" s="1138">
        <f t="shared" si="162"/>
        <v>0</v>
      </c>
      <c r="N2163" s="1176">
        <f t="shared" si="166"/>
        <v>0</v>
      </c>
      <c r="O2163" s="905"/>
      <c r="P2163" s="36" t="str">
        <f>IF(N2159&gt;0,"xx",IF(N2159&gt;0,"xy",""))</f>
        <v/>
      </c>
      <c r="Q2163" s="317" t="str">
        <f t="shared" si="163"/>
        <v/>
      </c>
      <c r="R2163" s="317" t="str">
        <f t="shared" si="164"/>
        <v/>
      </c>
      <c r="S2163" s="317" t="str">
        <f t="shared" si="165"/>
        <v/>
      </c>
      <c r="T2163" s="317" t="str">
        <f>GLOBAL_DER_FEV_2023!S2163</f>
        <v/>
      </c>
      <c r="W2163" s="582">
        <v>0</v>
      </c>
      <c r="X2163" s="580"/>
      <c r="Y2163" s="583">
        <f>IF(GLOBAL_DER_FEV_2023!W2163=0,0,IF(GLOBAL_DER_FEV_2023!W2163&gt;0,"c","b"))</f>
        <v>0</v>
      </c>
    </row>
    <row r="2164" spans="1:25" ht="15" hidden="1" customHeight="1" x14ac:dyDescent="0.2">
      <c r="A2164" s="317" t="s">
        <v>147</v>
      </c>
      <c r="B2164" s="895" t="s">
        <v>147</v>
      </c>
      <c r="C2164" s="896"/>
      <c r="D2164" s="906" t="s">
        <v>366</v>
      </c>
      <c r="E2164" s="907">
        <f>GLOBAL_DER_FEV_2023!E2164</f>
        <v>353</v>
      </c>
      <c r="F2164" s="908">
        <f>GLOBAL_DER_FEV_2023!F2164</f>
        <v>5.5723200000000001E-2</v>
      </c>
      <c r="G2164" s="909">
        <f>GLOBAL_DER_FEV_2023!G2164</f>
        <v>15.778581312000002</v>
      </c>
      <c r="H2164" s="901">
        <f>GLOBAL_DER_FEV_2023!H2164</f>
        <v>0</v>
      </c>
      <c r="I2164" s="901">
        <f>GLOBAL_DER_FEV_2023!I2164</f>
        <v>0</v>
      </c>
      <c r="J2164" s="902">
        <f>GLOBAL_DER_FEV_2023!J2164</f>
        <v>0</v>
      </c>
      <c r="K2164" s="903"/>
      <c r="L2164" s="1177"/>
      <c r="M2164" s="1138">
        <f t="shared" si="162"/>
        <v>0</v>
      </c>
      <c r="N2164" s="1176">
        <f t="shared" si="166"/>
        <v>0</v>
      </c>
      <c r="O2164" s="905"/>
      <c r="P2164" s="36" t="str">
        <f>IF(N2159&gt;0,"xx",IF(N2159&gt;0,"xy",""))</f>
        <v/>
      </c>
      <c r="Q2164" s="317" t="str">
        <f t="shared" si="163"/>
        <v/>
      </c>
      <c r="R2164" s="317" t="str">
        <f t="shared" si="164"/>
        <v/>
      </c>
      <c r="S2164" s="317" t="str">
        <f t="shared" si="165"/>
        <v/>
      </c>
      <c r="T2164" s="317" t="str">
        <f>GLOBAL_DER_FEV_2023!S2164</f>
        <v/>
      </c>
      <c r="W2164" s="582">
        <v>0</v>
      </c>
      <c r="X2164" s="580"/>
      <c r="Y2164" s="583">
        <f>IF(GLOBAL_DER_FEV_2023!W2164=0,0,IF(GLOBAL_DER_FEV_2023!W2164&gt;0,"c","b"))</f>
        <v>0</v>
      </c>
    </row>
    <row r="2165" spans="1:25" ht="15" hidden="1" customHeight="1" x14ac:dyDescent="0.2">
      <c r="A2165" s="317" t="s">
        <v>26</v>
      </c>
      <c r="B2165" s="895" t="s">
        <v>26</v>
      </c>
      <c r="C2165" s="896" t="s">
        <v>184</v>
      </c>
      <c r="D2165" s="906" t="s">
        <v>84</v>
      </c>
      <c r="E2165" s="907">
        <f>GLOBAL_DER_FEV_2023!E2165</f>
        <v>0</v>
      </c>
      <c r="F2165" s="908">
        <f>GLOBAL_DER_FEV_2023!F2165</f>
        <v>0</v>
      </c>
      <c r="G2165" s="912">
        <f>GLOBAL_DER_FEV_2023!G2165</f>
        <v>323.00686500400002</v>
      </c>
      <c r="H2165" s="901">
        <f>GLOBAL_DER_FEV_2023!H2165</f>
        <v>3050.91</v>
      </c>
      <c r="I2165" s="901">
        <f>GLOBAL_DER_FEV_2023!I2165</f>
        <v>3373.9168650040001</v>
      </c>
      <c r="J2165" s="902">
        <f>GLOBAL_DER_FEV_2023!J2165</f>
        <v>4051.06</v>
      </c>
      <c r="K2165" s="903" t="s">
        <v>15</v>
      </c>
      <c r="L2165" s="1137"/>
      <c r="M2165" s="1138">
        <f t="shared" si="162"/>
        <v>0</v>
      </c>
      <c r="N2165" s="1176">
        <f t="shared" si="166"/>
        <v>0</v>
      </c>
      <c r="O2165" s="905"/>
      <c r="Q2165" s="317" t="str">
        <f t="shared" si="163"/>
        <v/>
      </c>
      <c r="R2165" s="317" t="str">
        <f t="shared" si="164"/>
        <v/>
      </c>
      <c r="S2165" s="317" t="str">
        <f t="shared" si="165"/>
        <v/>
      </c>
      <c r="T2165" s="317" t="str">
        <f>GLOBAL_DER_FEV_2023!S2165</f>
        <v/>
      </c>
      <c r="W2165" s="582">
        <v>0</v>
      </c>
      <c r="X2165" s="580"/>
      <c r="Y2165" s="583">
        <f>IF(GLOBAL_DER_FEV_2023!W2165=0,0,IF(GLOBAL_DER_FEV_2023!W2165&gt;0,"c","b"))</f>
        <v>0</v>
      </c>
    </row>
    <row r="2166" spans="1:25" ht="15" hidden="1" customHeight="1" x14ac:dyDescent="0.2">
      <c r="A2166" s="317" t="s">
        <v>147</v>
      </c>
      <c r="B2166" s="895" t="s">
        <v>147</v>
      </c>
      <c r="C2166" s="896"/>
      <c r="D2166" s="906" t="s">
        <v>190</v>
      </c>
      <c r="E2166" s="907">
        <f>GLOBAL_DER_FEV_2023!E2166</f>
        <v>308</v>
      </c>
      <c r="F2166" s="908">
        <f>GLOBAL_DER_FEV_2023!F2166</f>
        <v>0.23381399999999999</v>
      </c>
      <c r="G2166" s="909">
        <f>GLOBAL_DER_FEV_2023!G2166</f>
        <v>57.999900840000002</v>
      </c>
      <c r="H2166" s="901">
        <f>GLOBAL_DER_FEV_2023!H2166</f>
        <v>0</v>
      </c>
      <c r="I2166" s="901">
        <f>GLOBAL_DER_FEV_2023!I2166</f>
        <v>0</v>
      </c>
      <c r="J2166" s="902">
        <f>GLOBAL_DER_FEV_2023!J2166</f>
        <v>0</v>
      </c>
      <c r="K2166" s="903"/>
      <c r="L2166" s="1177"/>
      <c r="M2166" s="1138">
        <f t="shared" si="162"/>
        <v>0</v>
      </c>
      <c r="N2166" s="1176">
        <f t="shared" si="166"/>
        <v>0</v>
      </c>
      <c r="O2166" s="905"/>
      <c r="P2166" s="36" t="str">
        <f>IF(N2165&gt;0,"xx",IF(N2165&gt;0,"xy",""))</f>
        <v/>
      </c>
      <c r="Q2166" s="317" t="str">
        <f t="shared" si="163"/>
        <v/>
      </c>
      <c r="R2166" s="317" t="str">
        <f t="shared" si="164"/>
        <v/>
      </c>
      <c r="S2166" s="317" t="str">
        <f t="shared" si="165"/>
        <v/>
      </c>
      <c r="T2166" s="317" t="str">
        <f>GLOBAL_DER_FEV_2023!S2166</f>
        <v/>
      </c>
      <c r="W2166" s="582">
        <v>0</v>
      </c>
      <c r="X2166" s="580"/>
      <c r="Y2166" s="583">
        <f>IF(GLOBAL_DER_FEV_2023!W2166=0,0,IF(GLOBAL_DER_FEV_2023!W2166&gt;0,"c","b"))</f>
        <v>0</v>
      </c>
    </row>
    <row r="2167" spans="1:25" ht="15" hidden="1" customHeight="1" x14ac:dyDescent="0.2">
      <c r="A2167" s="317" t="s">
        <v>147</v>
      </c>
      <c r="B2167" s="895" t="s">
        <v>147</v>
      </c>
      <c r="C2167" s="896"/>
      <c r="D2167" s="906" t="s">
        <v>229</v>
      </c>
      <c r="E2167" s="907">
        <f>GLOBAL_DER_FEV_2023!E2167</f>
        <v>150</v>
      </c>
      <c r="F2167" s="908">
        <f>GLOBAL_DER_FEV_2023!F2167</f>
        <v>1.324927</v>
      </c>
      <c r="G2167" s="949">
        <f>GLOBAL_DER_FEV_2023!G2167</f>
        <v>216.20158785999999</v>
      </c>
      <c r="H2167" s="901">
        <f>GLOBAL_DER_FEV_2023!H2167</f>
        <v>0</v>
      </c>
      <c r="I2167" s="901">
        <f>GLOBAL_DER_FEV_2023!I2167</f>
        <v>0</v>
      </c>
      <c r="J2167" s="902">
        <f>GLOBAL_DER_FEV_2023!J2167</f>
        <v>0</v>
      </c>
      <c r="K2167" s="903"/>
      <c r="L2167" s="1177"/>
      <c r="M2167" s="1138">
        <f t="shared" si="162"/>
        <v>0</v>
      </c>
      <c r="N2167" s="1176">
        <f t="shared" si="166"/>
        <v>0</v>
      </c>
      <c r="O2167" s="905"/>
      <c r="P2167" s="36" t="str">
        <f>IF(N2165&gt;0,"xx",IF(N2165&gt;0,"xy",""))</f>
        <v/>
      </c>
      <c r="Q2167" s="317" t="str">
        <f t="shared" si="163"/>
        <v/>
      </c>
      <c r="R2167" s="317" t="str">
        <f t="shared" si="164"/>
        <v/>
      </c>
      <c r="S2167" s="317" t="str">
        <f t="shared" si="165"/>
        <v/>
      </c>
      <c r="T2167" s="317" t="str">
        <f>GLOBAL_DER_FEV_2023!S2167</f>
        <v/>
      </c>
      <c r="W2167" s="582">
        <v>0</v>
      </c>
      <c r="X2167" s="580"/>
      <c r="Y2167" s="583">
        <f>IF(GLOBAL_DER_FEV_2023!W2167=0,0,IF(GLOBAL_DER_FEV_2023!W2167&gt;0,"c","b"))</f>
        <v>0</v>
      </c>
    </row>
    <row r="2168" spans="1:25" ht="15" hidden="1" customHeight="1" x14ac:dyDescent="0.2">
      <c r="A2168" s="317" t="s">
        <v>147</v>
      </c>
      <c r="B2168" s="895" t="s">
        <v>147</v>
      </c>
      <c r="C2168" s="896"/>
      <c r="D2168" s="906" t="s">
        <v>233</v>
      </c>
      <c r="E2168" s="907">
        <f>GLOBAL_DER_FEV_2023!E2168</f>
        <v>0.2</v>
      </c>
      <c r="F2168" s="908">
        <f>GLOBAL_DER_FEV_2023!F2168</f>
        <v>0.38805600000000001</v>
      </c>
      <c r="G2168" s="949">
        <f>GLOBAL_DER_FEV_2023!G2168</f>
        <v>1.1230340640000001</v>
      </c>
      <c r="H2168" s="901">
        <f>GLOBAL_DER_FEV_2023!H2168</f>
        <v>0</v>
      </c>
      <c r="I2168" s="901">
        <f>GLOBAL_DER_FEV_2023!I2168</f>
        <v>0</v>
      </c>
      <c r="J2168" s="902">
        <f>GLOBAL_DER_FEV_2023!J2168</f>
        <v>0</v>
      </c>
      <c r="K2168" s="903"/>
      <c r="L2168" s="1177"/>
      <c r="M2168" s="1138">
        <f t="shared" si="162"/>
        <v>0</v>
      </c>
      <c r="N2168" s="1176">
        <f t="shared" si="166"/>
        <v>0</v>
      </c>
      <c r="O2168" s="905"/>
      <c r="P2168" s="36" t="str">
        <f>IF(N2165&gt;0,"xx",IF(N2165&gt;0,"xy",""))</f>
        <v/>
      </c>
      <c r="Q2168" s="317" t="str">
        <f t="shared" si="163"/>
        <v/>
      </c>
      <c r="R2168" s="317" t="str">
        <f t="shared" si="164"/>
        <v/>
      </c>
      <c r="S2168" s="317" t="str">
        <f t="shared" si="165"/>
        <v/>
      </c>
      <c r="T2168" s="317" t="str">
        <f>GLOBAL_DER_FEV_2023!S2168</f>
        <v/>
      </c>
      <c r="W2168" s="582">
        <v>0</v>
      </c>
      <c r="X2168" s="580"/>
      <c r="Y2168" s="583">
        <f>IF(GLOBAL_DER_FEV_2023!W2168=0,0,IF(GLOBAL_DER_FEV_2023!W2168&gt;0,"c","b"))</f>
        <v>0</v>
      </c>
    </row>
    <row r="2169" spans="1:25" ht="15" hidden="1" customHeight="1" x14ac:dyDescent="0.2">
      <c r="A2169" s="317" t="s">
        <v>147</v>
      </c>
      <c r="B2169" s="895" t="s">
        <v>147</v>
      </c>
      <c r="C2169" s="896"/>
      <c r="D2169" s="906" t="s">
        <v>365</v>
      </c>
      <c r="E2169" s="907">
        <f>GLOBAL_DER_FEV_2023!E2169</f>
        <v>10</v>
      </c>
      <c r="F2169" s="908">
        <f>GLOBAL_DER_FEV_2023!F2169</f>
        <v>2.0896199999999996</v>
      </c>
      <c r="G2169" s="949">
        <f>GLOBAL_DER_FEV_2023!G2169</f>
        <v>27.959115599999997</v>
      </c>
      <c r="H2169" s="901">
        <f>GLOBAL_DER_FEV_2023!H2169</f>
        <v>0</v>
      </c>
      <c r="I2169" s="901">
        <f>GLOBAL_DER_FEV_2023!I2169</f>
        <v>0</v>
      </c>
      <c r="J2169" s="902">
        <f>GLOBAL_DER_FEV_2023!J2169</f>
        <v>0</v>
      </c>
      <c r="K2169" s="903"/>
      <c r="L2169" s="1177"/>
      <c r="M2169" s="1138">
        <f t="shared" si="162"/>
        <v>0</v>
      </c>
      <c r="N2169" s="1176">
        <f t="shared" si="166"/>
        <v>0</v>
      </c>
      <c r="O2169" s="905"/>
      <c r="P2169" s="36" t="str">
        <f>IF(N2165&gt;0,"xx",IF(N2165&gt;0,"xy",""))</f>
        <v/>
      </c>
      <c r="Q2169" s="317" t="str">
        <f t="shared" si="163"/>
        <v/>
      </c>
      <c r="R2169" s="317" t="str">
        <f t="shared" si="164"/>
        <v/>
      </c>
      <c r="S2169" s="317" t="str">
        <f t="shared" si="165"/>
        <v/>
      </c>
      <c r="T2169" s="317" t="str">
        <f>GLOBAL_DER_FEV_2023!S2169</f>
        <v/>
      </c>
      <c r="W2169" s="582">
        <v>0</v>
      </c>
      <c r="X2169" s="580"/>
      <c r="Y2169" s="583">
        <f>IF(GLOBAL_DER_FEV_2023!W2169=0,0,IF(GLOBAL_DER_FEV_2023!W2169&gt;0,"c","b"))</f>
        <v>0</v>
      </c>
    </row>
    <row r="2170" spans="1:25" ht="15" hidden="1" customHeight="1" x14ac:dyDescent="0.2">
      <c r="A2170" s="317" t="s">
        <v>147</v>
      </c>
      <c r="B2170" s="895" t="s">
        <v>147</v>
      </c>
      <c r="C2170" s="896"/>
      <c r="D2170" s="906" t="s">
        <v>366</v>
      </c>
      <c r="E2170" s="907">
        <f>GLOBAL_DER_FEV_2023!E2170</f>
        <v>353</v>
      </c>
      <c r="F2170" s="908">
        <f>GLOBAL_DER_FEV_2023!F2170</f>
        <v>6.9653999999999994E-2</v>
      </c>
      <c r="G2170" s="909">
        <f>GLOBAL_DER_FEV_2023!G2170</f>
        <v>19.72322664</v>
      </c>
      <c r="H2170" s="901">
        <f>GLOBAL_DER_FEV_2023!H2170</f>
        <v>0</v>
      </c>
      <c r="I2170" s="901">
        <f>GLOBAL_DER_FEV_2023!I2170</f>
        <v>0</v>
      </c>
      <c r="J2170" s="902">
        <f>GLOBAL_DER_FEV_2023!J2170</f>
        <v>0</v>
      </c>
      <c r="K2170" s="903"/>
      <c r="L2170" s="1177"/>
      <c r="M2170" s="1138">
        <f t="shared" si="162"/>
        <v>0</v>
      </c>
      <c r="N2170" s="1176">
        <f t="shared" si="166"/>
        <v>0</v>
      </c>
      <c r="O2170" s="905"/>
      <c r="P2170" s="36" t="str">
        <f>IF(N2165&gt;0,"xx",IF(N2165&gt;0,"xy",""))</f>
        <v/>
      </c>
      <c r="Q2170" s="317" t="str">
        <f t="shared" si="163"/>
        <v/>
      </c>
      <c r="R2170" s="317" t="str">
        <f t="shared" si="164"/>
        <v/>
      </c>
      <c r="S2170" s="317" t="str">
        <f t="shared" si="165"/>
        <v/>
      </c>
      <c r="T2170" s="317" t="str">
        <f>GLOBAL_DER_FEV_2023!S2170</f>
        <v/>
      </c>
      <c r="W2170" s="582">
        <v>0</v>
      </c>
      <c r="X2170" s="580"/>
      <c r="Y2170" s="583">
        <f>IF(GLOBAL_DER_FEV_2023!W2170=0,0,IF(GLOBAL_DER_FEV_2023!W2170&gt;0,"c","b"))</f>
        <v>0</v>
      </c>
    </row>
    <row r="2171" spans="1:25" ht="15" hidden="1" customHeight="1" x14ac:dyDescent="0.2">
      <c r="A2171" s="317" t="s">
        <v>99</v>
      </c>
      <c r="B2171" s="895" t="s">
        <v>99</v>
      </c>
      <c r="C2171" s="896" t="s">
        <v>184</v>
      </c>
      <c r="D2171" s="906" t="s">
        <v>85</v>
      </c>
      <c r="E2171" s="907">
        <f>GLOBAL_DER_FEV_2023!E2171</f>
        <v>0</v>
      </c>
      <c r="F2171" s="908">
        <f>GLOBAL_DER_FEV_2023!F2171</f>
        <v>0</v>
      </c>
      <c r="G2171" s="912">
        <f>GLOBAL_DER_FEV_2023!G2171</f>
        <v>403.48937160400004</v>
      </c>
      <c r="H2171" s="901">
        <f>GLOBAL_DER_FEV_2023!H2171</f>
        <v>3529.67</v>
      </c>
      <c r="I2171" s="901">
        <f>GLOBAL_DER_FEV_2023!I2171</f>
        <v>3933.1593716040002</v>
      </c>
      <c r="J2171" s="902">
        <f>GLOBAL_DER_FEV_2023!J2171</f>
        <v>4722.54</v>
      </c>
      <c r="K2171" s="903" t="s">
        <v>15</v>
      </c>
      <c r="L2171" s="1137"/>
      <c r="M2171" s="1138">
        <f t="shared" si="162"/>
        <v>0</v>
      </c>
      <c r="N2171" s="1176">
        <f t="shared" si="166"/>
        <v>0</v>
      </c>
      <c r="O2171" s="905"/>
      <c r="Q2171" s="317" t="str">
        <f t="shared" si="163"/>
        <v/>
      </c>
      <c r="R2171" s="317" t="str">
        <f t="shared" si="164"/>
        <v/>
      </c>
      <c r="S2171" s="317" t="str">
        <f t="shared" si="165"/>
        <v/>
      </c>
      <c r="T2171" s="317" t="str">
        <f>GLOBAL_DER_FEV_2023!S2171</f>
        <v/>
      </c>
      <c r="W2171" s="582">
        <v>0</v>
      </c>
      <c r="X2171" s="580"/>
      <c r="Y2171" s="583">
        <f>IF(GLOBAL_DER_FEV_2023!W2171=0,0,IF(GLOBAL_DER_FEV_2023!W2171&gt;0,"c","b"))</f>
        <v>0</v>
      </c>
    </row>
    <row r="2172" spans="1:25" ht="15" hidden="1" customHeight="1" x14ac:dyDescent="0.2">
      <c r="A2172" s="317" t="s">
        <v>147</v>
      </c>
      <c r="B2172" s="895" t="s">
        <v>147</v>
      </c>
      <c r="C2172" s="896"/>
      <c r="D2172" s="906" t="s">
        <v>190</v>
      </c>
      <c r="E2172" s="907">
        <f>GLOBAL_DER_FEV_2023!E2172</f>
        <v>308</v>
      </c>
      <c r="F2172" s="908">
        <f>GLOBAL_DER_FEV_2023!F2172</f>
        <v>0.28185359999999998</v>
      </c>
      <c r="G2172" s="909">
        <f>GLOBAL_DER_FEV_2023!G2172</f>
        <v>69.916604015999994</v>
      </c>
      <c r="H2172" s="901">
        <f>GLOBAL_DER_FEV_2023!H2172</f>
        <v>0</v>
      </c>
      <c r="I2172" s="901">
        <f>GLOBAL_DER_FEV_2023!I2172</f>
        <v>0</v>
      </c>
      <c r="J2172" s="902">
        <f>GLOBAL_DER_FEV_2023!J2172</f>
        <v>0</v>
      </c>
      <c r="K2172" s="903"/>
      <c r="L2172" s="1177"/>
      <c r="M2172" s="1138">
        <f t="shared" si="162"/>
        <v>0</v>
      </c>
      <c r="N2172" s="1176">
        <f t="shared" si="166"/>
        <v>0</v>
      </c>
      <c r="O2172" s="905"/>
      <c r="P2172" s="36" t="str">
        <f>IF(N2171&gt;0,"xx",IF(N2171&gt;0,"xy",""))</f>
        <v/>
      </c>
      <c r="Q2172" s="317" t="str">
        <f t="shared" si="163"/>
        <v/>
      </c>
      <c r="R2172" s="317" t="str">
        <f t="shared" si="164"/>
        <v/>
      </c>
      <c r="S2172" s="317" t="str">
        <f t="shared" si="165"/>
        <v/>
      </c>
      <c r="T2172" s="317" t="str">
        <f>GLOBAL_DER_FEV_2023!S2172</f>
        <v/>
      </c>
      <c r="W2172" s="582">
        <v>0</v>
      </c>
      <c r="X2172" s="580"/>
      <c r="Y2172" s="583">
        <f>IF(GLOBAL_DER_FEV_2023!W2172=0,0,IF(GLOBAL_DER_FEV_2023!W2172&gt;0,"c","b"))</f>
        <v>0</v>
      </c>
    </row>
    <row r="2173" spans="1:25" ht="15" hidden="1" customHeight="1" x14ac:dyDescent="0.2">
      <c r="A2173" s="317" t="s">
        <v>147</v>
      </c>
      <c r="B2173" s="895" t="s">
        <v>147</v>
      </c>
      <c r="C2173" s="896"/>
      <c r="D2173" s="906" t="s">
        <v>229</v>
      </c>
      <c r="E2173" s="907">
        <f>GLOBAL_DER_FEV_2023!E2173</f>
        <v>150</v>
      </c>
      <c r="F2173" s="908">
        <f>GLOBAL_DER_FEV_2023!F2173</f>
        <v>1.6484590000000001</v>
      </c>
      <c r="G2173" s="949">
        <f>GLOBAL_DER_FEV_2023!G2173</f>
        <v>268.99553962000005</v>
      </c>
      <c r="H2173" s="901">
        <f>GLOBAL_DER_FEV_2023!H2173</f>
        <v>0</v>
      </c>
      <c r="I2173" s="901">
        <f>GLOBAL_DER_FEV_2023!I2173</f>
        <v>0</v>
      </c>
      <c r="J2173" s="902">
        <f>GLOBAL_DER_FEV_2023!J2173</f>
        <v>0</v>
      </c>
      <c r="K2173" s="903"/>
      <c r="L2173" s="1177"/>
      <c r="M2173" s="1138">
        <f t="shared" si="162"/>
        <v>0</v>
      </c>
      <c r="N2173" s="1176">
        <f t="shared" si="166"/>
        <v>0</v>
      </c>
      <c r="O2173" s="905"/>
      <c r="P2173" s="36" t="str">
        <f>IF(N2171&gt;0,"xx",IF(N2171&gt;0,"xy",""))</f>
        <v/>
      </c>
      <c r="Q2173" s="317" t="str">
        <f t="shared" si="163"/>
        <v/>
      </c>
      <c r="R2173" s="317" t="str">
        <f t="shared" si="164"/>
        <v/>
      </c>
      <c r="S2173" s="317" t="str">
        <f t="shared" si="165"/>
        <v/>
      </c>
      <c r="T2173" s="317" t="str">
        <f>GLOBAL_DER_FEV_2023!S2173</f>
        <v/>
      </c>
      <c r="W2173" s="582">
        <v>0</v>
      </c>
      <c r="X2173" s="580"/>
      <c r="Y2173" s="583">
        <f>IF(GLOBAL_DER_FEV_2023!W2173=0,0,IF(GLOBAL_DER_FEV_2023!W2173&gt;0,"c","b"))</f>
        <v>0</v>
      </c>
    </row>
    <row r="2174" spans="1:25" ht="15" hidden="1" customHeight="1" x14ac:dyDescent="0.2">
      <c r="A2174" s="317" t="s">
        <v>147</v>
      </c>
      <c r="B2174" s="895" t="s">
        <v>147</v>
      </c>
      <c r="C2174" s="896"/>
      <c r="D2174" s="906" t="s">
        <v>233</v>
      </c>
      <c r="E2174" s="907">
        <f>GLOBAL_DER_FEV_2023!E2174</f>
        <v>0.2</v>
      </c>
      <c r="F2174" s="908">
        <f>GLOBAL_DER_FEV_2023!F2174</f>
        <v>0.38805600000000001</v>
      </c>
      <c r="G2174" s="949">
        <f>GLOBAL_DER_FEV_2023!G2174</f>
        <v>1.1230340640000001</v>
      </c>
      <c r="H2174" s="901">
        <f>GLOBAL_DER_FEV_2023!H2174</f>
        <v>0</v>
      </c>
      <c r="I2174" s="901">
        <f>GLOBAL_DER_FEV_2023!I2174</f>
        <v>0</v>
      </c>
      <c r="J2174" s="902">
        <f>GLOBAL_DER_FEV_2023!J2174</f>
        <v>0</v>
      </c>
      <c r="K2174" s="903"/>
      <c r="L2174" s="1177"/>
      <c r="M2174" s="1138">
        <f t="shared" si="162"/>
        <v>0</v>
      </c>
      <c r="N2174" s="1176">
        <f t="shared" si="166"/>
        <v>0</v>
      </c>
      <c r="O2174" s="905"/>
      <c r="P2174" s="36" t="str">
        <f>IF(N2171&gt;0,"xx",IF(N2171&gt;0,"xy",""))</f>
        <v/>
      </c>
      <c r="Q2174" s="317" t="str">
        <f t="shared" si="163"/>
        <v/>
      </c>
      <c r="R2174" s="317" t="str">
        <f t="shared" si="164"/>
        <v/>
      </c>
      <c r="S2174" s="317" t="str">
        <f t="shared" si="165"/>
        <v/>
      </c>
      <c r="T2174" s="317" t="str">
        <f>GLOBAL_DER_FEV_2023!S2174</f>
        <v/>
      </c>
      <c r="W2174" s="582">
        <v>0</v>
      </c>
      <c r="X2174" s="580"/>
      <c r="Y2174" s="583">
        <f>IF(GLOBAL_DER_FEV_2023!W2174=0,0,IF(GLOBAL_DER_FEV_2023!W2174&gt;0,"c","b"))</f>
        <v>0</v>
      </c>
    </row>
    <row r="2175" spans="1:25" ht="15" hidden="1" customHeight="1" x14ac:dyDescent="0.2">
      <c r="A2175" s="317" t="s">
        <v>147</v>
      </c>
      <c r="B2175" s="895" t="s">
        <v>147</v>
      </c>
      <c r="C2175" s="896"/>
      <c r="D2175" s="906" t="s">
        <v>365</v>
      </c>
      <c r="E2175" s="907">
        <f>GLOBAL_DER_FEV_2023!E2175</f>
        <v>10</v>
      </c>
      <c r="F2175" s="908">
        <f>GLOBAL_DER_FEV_2023!F2175</f>
        <v>2.780802</v>
      </c>
      <c r="G2175" s="949">
        <f>GLOBAL_DER_FEV_2023!G2175</f>
        <v>37.207130760000005</v>
      </c>
      <c r="H2175" s="901">
        <f>GLOBAL_DER_FEV_2023!H2175</f>
        <v>0</v>
      </c>
      <c r="I2175" s="901">
        <f>GLOBAL_DER_FEV_2023!I2175</f>
        <v>0</v>
      </c>
      <c r="J2175" s="902">
        <f>GLOBAL_DER_FEV_2023!J2175</f>
        <v>0</v>
      </c>
      <c r="K2175" s="903"/>
      <c r="L2175" s="1177"/>
      <c r="M2175" s="1138">
        <f t="shared" si="162"/>
        <v>0</v>
      </c>
      <c r="N2175" s="1176">
        <f t="shared" si="166"/>
        <v>0</v>
      </c>
      <c r="O2175" s="905"/>
      <c r="P2175" s="36" t="str">
        <f>IF(N2171&gt;0,"xx",IF(N2171&gt;0,"xy",""))</f>
        <v/>
      </c>
      <c r="Q2175" s="317" t="str">
        <f t="shared" si="163"/>
        <v/>
      </c>
      <c r="R2175" s="317" t="str">
        <f t="shared" si="164"/>
        <v/>
      </c>
      <c r="S2175" s="317" t="str">
        <f t="shared" si="165"/>
        <v/>
      </c>
      <c r="T2175" s="317" t="str">
        <f>GLOBAL_DER_FEV_2023!S2175</f>
        <v/>
      </c>
      <c r="W2175" s="582">
        <v>0</v>
      </c>
      <c r="X2175" s="580"/>
      <c r="Y2175" s="583">
        <f>IF(GLOBAL_DER_FEV_2023!W2175=0,0,IF(GLOBAL_DER_FEV_2023!W2175&gt;0,"c","b"))</f>
        <v>0</v>
      </c>
    </row>
    <row r="2176" spans="1:25" ht="15" hidden="1" customHeight="1" x14ac:dyDescent="0.2">
      <c r="A2176" s="317" t="s">
        <v>147</v>
      </c>
      <c r="B2176" s="895" t="s">
        <v>147</v>
      </c>
      <c r="C2176" s="896"/>
      <c r="D2176" s="906" t="s">
        <v>366</v>
      </c>
      <c r="E2176" s="907">
        <f>GLOBAL_DER_FEV_2023!E2176</f>
        <v>353</v>
      </c>
      <c r="F2176" s="908">
        <f>GLOBAL_DER_FEV_2023!F2176</f>
        <v>9.2693399999999995E-2</v>
      </c>
      <c r="G2176" s="909">
        <f>GLOBAL_DER_FEV_2023!G2176</f>
        <v>26.247063144000002</v>
      </c>
      <c r="H2176" s="901">
        <f>GLOBAL_DER_FEV_2023!H2176</f>
        <v>0</v>
      </c>
      <c r="I2176" s="901">
        <f>GLOBAL_DER_FEV_2023!I2176</f>
        <v>0</v>
      </c>
      <c r="J2176" s="902">
        <f>GLOBAL_DER_FEV_2023!J2176</f>
        <v>0</v>
      </c>
      <c r="K2176" s="903"/>
      <c r="L2176" s="1177"/>
      <c r="M2176" s="1138">
        <f t="shared" si="162"/>
        <v>0</v>
      </c>
      <c r="N2176" s="1176">
        <f t="shared" si="166"/>
        <v>0</v>
      </c>
      <c r="O2176" s="905"/>
      <c r="P2176" s="36" t="str">
        <f>IF(N2171&gt;0,"xx",IF(N2171&gt;0,"xy",""))</f>
        <v/>
      </c>
      <c r="Q2176" s="317" t="str">
        <f t="shared" si="163"/>
        <v/>
      </c>
      <c r="R2176" s="317" t="str">
        <f t="shared" si="164"/>
        <v/>
      </c>
      <c r="S2176" s="317" t="str">
        <f t="shared" si="165"/>
        <v/>
      </c>
      <c r="T2176" s="317" t="str">
        <f>GLOBAL_DER_FEV_2023!S2176</f>
        <v/>
      </c>
      <c r="W2176" s="582">
        <v>0</v>
      </c>
      <c r="X2176" s="580"/>
      <c r="Y2176" s="583">
        <f>IF(GLOBAL_DER_FEV_2023!W2176=0,0,IF(GLOBAL_DER_FEV_2023!W2176&gt;0,"c","b"))</f>
        <v>0</v>
      </c>
    </row>
    <row r="2177" spans="1:25" ht="15" hidden="1" customHeight="1" x14ac:dyDescent="0.2">
      <c r="A2177" s="317" t="s">
        <v>100</v>
      </c>
      <c r="B2177" s="895" t="s">
        <v>100</v>
      </c>
      <c r="C2177" s="896" t="s">
        <v>184</v>
      </c>
      <c r="D2177" s="906" t="s">
        <v>86</v>
      </c>
      <c r="E2177" s="907">
        <f>GLOBAL_DER_FEV_2023!E2177</f>
        <v>0</v>
      </c>
      <c r="F2177" s="908">
        <f>GLOBAL_DER_FEV_2023!F2177</f>
        <v>0</v>
      </c>
      <c r="G2177" s="912">
        <f>GLOBAL_DER_FEV_2023!G2177</f>
        <v>485.84356440400001</v>
      </c>
      <c r="H2177" s="901">
        <f>GLOBAL_DER_FEV_2023!H2177</f>
        <v>4019.56</v>
      </c>
      <c r="I2177" s="901">
        <f>GLOBAL_DER_FEV_2023!I2177</f>
        <v>4505.4035644039996</v>
      </c>
      <c r="J2177" s="902">
        <f>GLOBAL_DER_FEV_2023!J2177</f>
        <v>5409.64</v>
      </c>
      <c r="K2177" s="903" t="s">
        <v>15</v>
      </c>
      <c r="L2177" s="1137"/>
      <c r="M2177" s="1138">
        <f t="shared" si="162"/>
        <v>0</v>
      </c>
      <c r="N2177" s="1176">
        <f t="shared" si="166"/>
        <v>0</v>
      </c>
      <c r="O2177" s="905"/>
      <c r="Q2177" s="317" t="str">
        <f t="shared" si="163"/>
        <v/>
      </c>
      <c r="R2177" s="317" t="str">
        <f t="shared" si="164"/>
        <v/>
      </c>
      <c r="S2177" s="317" t="str">
        <f t="shared" si="165"/>
        <v/>
      </c>
      <c r="T2177" s="317" t="str">
        <f>GLOBAL_DER_FEV_2023!S2177</f>
        <v/>
      </c>
      <c r="W2177" s="582">
        <v>0</v>
      </c>
      <c r="X2177" s="580"/>
      <c r="Y2177" s="583">
        <f>IF(GLOBAL_DER_FEV_2023!W2177=0,0,IF(GLOBAL_DER_FEV_2023!W2177&gt;0,"c","b"))</f>
        <v>0</v>
      </c>
    </row>
    <row r="2178" spans="1:25" ht="15" hidden="1" customHeight="1" x14ac:dyDescent="0.2">
      <c r="A2178" s="317" t="s">
        <v>147</v>
      </c>
      <c r="B2178" s="895" t="s">
        <v>147</v>
      </c>
      <c r="C2178" s="896"/>
      <c r="D2178" s="906" t="s">
        <v>190</v>
      </c>
      <c r="E2178" s="907">
        <f>GLOBAL_DER_FEV_2023!E2178</f>
        <v>308</v>
      </c>
      <c r="F2178" s="908">
        <f>GLOBAL_DER_FEV_2023!F2178</f>
        <v>0.33101039999999993</v>
      </c>
      <c r="G2178" s="909">
        <f>GLOBAL_DER_FEV_2023!G2178</f>
        <v>82.110439823999982</v>
      </c>
      <c r="H2178" s="901">
        <f>GLOBAL_DER_FEV_2023!H2178</f>
        <v>0</v>
      </c>
      <c r="I2178" s="901">
        <f>GLOBAL_DER_FEV_2023!I2178</f>
        <v>0</v>
      </c>
      <c r="J2178" s="902">
        <f>GLOBAL_DER_FEV_2023!J2178</f>
        <v>0</v>
      </c>
      <c r="K2178" s="903"/>
      <c r="L2178" s="1177"/>
      <c r="M2178" s="1138">
        <f t="shared" si="162"/>
        <v>0</v>
      </c>
      <c r="N2178" s="1176">
        <f t="shared" si="166"/>
        <v>0</v>
      </c>
      <c r="O2178" s="905"/>
      <c r="P2178" s="36" t="str">
        <f>IF(N2177&gt;0,"xx",IF(N2177&gt;0,"xy",""))</f>
        <v/>
      </c>
      <c r="Q2178" s="317" t="str">
        <f t="shared" si="163"/>
        <v/>
      </c>
      <c r="R2178" s="317" t="str">
        <f t="shared" si="164"/>
        <v/>
      </c>
      <c r="S2178" s="317" t="str">
        <f t="shared" si="165"/>
        <v/>
      </c>
      <c r="T2178" s="317" t="str">
        <f>GLOBAL_DER_FEV_2023!S2178</f>
        <v/>
      </c>
      <c r="W2178" s="582">
        <v>0</v>
      </c>
      <c r="X2178" s="580"/>
      <c r="Y2178" s="583">
        <f>IF(GLOBAL_DER_FEV_2023!W2178=0,0,IF(GLOBAL_DER_FEV_2023!W2178&gt;0,"c","b"))</f>
        <v>0</v>
      </c>
    </row>
    <row r="2179" spans="1:25" ht="15" hidden="1" customHeight="1" x14ac:dyDescent="0.2">
      <c r="A2179" s="317" t="s">
        <v>147</v>
      </c>
      <c r="B2179" s="895" t="s">
        <v>147</v>
      </c>
      <c r="C2179" s="896"/>
      <c r="D2179" s="906" t="s">
        <v>229</v>
      </c>
      <c r="E2179" s="907">
        <f>GLOBAL_DER_FEV_2023!E2179</f>
        <v>150</v>
      </c>
      <c r="F2179" s="908">
        <f>GLOBAL_DER_FEV_2023!F2179</f>
        <v>1.9795149999999999</v>
      </c>
      <c r="G2179" s="949">
        <f>GLOBAL_DER_FEV_2023!G2179</f>
        <v>323.01725770000002</v>
      </c>
      <c r="H2179" s="901">
        <f>GLOBAL_DER_FEV_2023!H2179</f>
        <v>0</v>
      </c>
      <c r="I2179" s="901">
        <f>GLOBAL_DER_FEV_2023!I2179</f>
        <v>0</v>
      </c>
      <c r="J2179" s="902">
        <f>GLOBAL_DER_FEV_2023!J2179</f>
        <v>0</v>
      </c>
      <c r="K2179" s="903"/>
      <c r="L2179" s="1177"/>
      <c r="M2179" s="1138">
        <f t="shared" si="162"/>
        <v>0</v>
      </c>
      <c r="N2179" s="1176">
        <f t="shared" si="166"/>
        <v>0</v>
      </c>
      <c r="O2179" s="905"/>
      <c r="P2179" s="36" t="str">
        <f>IF(N2177&gt;0,"xx",IF(N2177&gt;0,"xy",""))</f>
        <v/>
      </c>
      <c r="Q2179" s="317" t="str">
        <f t="shared" si="163"/>
        <v/>
      </c>
      <c r="R2179" s="317" t="str">
        <f t="shared" si="164"/>
        <v/>
      </c>
      <c r="S2179" s="317" t="str">
        <f t="shared" si="165"/>
        <v/>
      </c>
      <c r="T2179" s="317" t="str">
        <f>GLOBAL_DER_FEV_2023!S2179</f>
        <v/>
      </c>
      <c r="W2179" s="582">
        <v>0</v>
      </c>
      <c r="X2179" s="580"/>
      <c r="Y2179" s="583">
        <f>IF(GLOBAL_DER_FEV_2023!W2179=0,0,IF(GLOBAL_DER_FEV_2023!W2179&gt;0,"c","b"))</f>
        <v>0</v>
      </c>
    </row>
    <row r="2180" spans="1:25" ht="15" hidden="1" customHeight="1" x14ac:dyDescent="0.2">
      <c r="A2180" s="317" t="s">
        <v>147</v>
      </c>
      <c r="B2180" s="895" t="s">
        <v>147</v>
      </c>
      <c r="C2180" s="896"/>
      <c r="D2180" s="906" t="s">
        <v>233</v>
      </c>
      <c r="E2180" s="907">
        <f>GLOBAL_DER_FEV_2023!E2180</f>
        <v>0.2</v>
      </c>
      <c r="F2180" s="908">
        <f>GLOBAL_DER_FEV_2023!F2180</f>
        <v>0.38805600000000001</v>
      </c>
      <c r="G2180" s="949">
        <f>GLOBAL_DER_FEV_2023!G2180</f>
        <v>1.1230340640000001</v>
      </c>
      <c r="H2180" s="901">
        <f>GLOBAL_DER_FEV_2023!H2180</f>
        <v>0</v>
      </c>
      <c r="I2180" s="901">
        <f>GLOBAL_DER_FEV_2023!I2180</f>
        <v>0</v>
      </c>
      <c r="J2180" s="902">
        <f>GLOBAL_DER_FEV_2023!J2180</f>
        <v>0</v>
      </c>
      <c r="K2180" s="903"/>
      <c r="L2180" s="1177"/>
      <c r="M2180" s="1138">
        <f t="shared" si="162"/>
        <v>0</v>
      </c>
      <c r="N2180" s="1176">
        <f t="shared" si="166"/>
        <v>0</v>
      </c>
      <c r="O2180" s="905"/>
      <c r="P2180" s="36" t="str">
        <f>IF(N2177&gt;0,"xx",IF(N2177&gt;0,"xy",""))</f>
        <v/>
      </c>
      <c r="Q2180" s="317" t="str">
        <f t="shared" si="163"/>
        <v/>
      </c>
      <c r="R2180" s="317" t="str">
        <f t="shared" si="164"/>
        <v/>
      </c>
      <c r="S2180" s="317" t="str">
        <f t="shared" si="165"/>
        <v/>
      </c>
      <c r="T2180" s="317" t="str">
        <f>GLOBAL_DER_FEV_2023!S2180</f>
        <v/>
      </c>
      <c r="W2180" s="582">
        <v>0</v>
      </c>
      <c r="X2180" s="580"/>
      <c r="Y2180" s="583">
        <f>IF(GLOBAL_DER_FEV_2023!W2180=0,0,IF(GLOBAL_DER_FEV_2023!W2180&gt;0,"c","b"))</f>
        <v>0</v>
      </c>
    </row>
    <row r="2181" spans="1:25" ht="15" hidden="1" customHeight="1" x14ac:dyDescent="0.2">
      <c r="A2181" s="317" t="s">
        <v>147</v>
      </c>
      <c r="B2181" s="895" t="s">
        <v>147</v>
      </c>
      <c r="C2181" s="896"/>
      <c r="D2181" s="906" t="s">
        <v>365</v>
      </c>
      <c r="E2181" s="907">
        <f>GLOBAL_DER_FEV_2023!E2181</f>
        <v>10</v>
      </c>
      <c r="F2181" s="908">
        <f>GLOBAL_DER_FEV_2023!F2181</f>
        <v>3.4880579999999992</v>
      </c>
      <c r="G2181" s="949">
        <f>GLOBAL_DER_FEV_2023!G2181</f>
        <v>46.670216039999993</v>
      </c>
      <c r="H2181" s="901">
        <f>GLOBAL_DER_FEV_2023!H2181</f>
        <v>0</v>
      </c>
      <c r="I2181" s="901">
        <f>GLOBAL_DER_FEV_2023!I2181</f>
        <v>0</v>
      </c>
      <c r="J2181" s="902">
        <f>GLOBAL_DER_FEV_2023!J2181</f>
        <v>0</v>
      </c>
      <c r="K2181" s="903"/>
      <c r="L2181" s="1177"/>
      <c r="M2181" s="1138">
        <f t="shared" si="162"/>
        <v>0</v>
      </c>
      <c r="N2181" s="1176">
        <f t="shared" si="166"/>
        <v>0</v>
      </c>
      <c r="O2181" s="905"/>
      <c r="P2181" s="36" t="str">
        <f>IF(N2177&gt;0,"xx",IF(N2177&gt;0,"xy",""))</f>
        <v/>
      </c>
      <c r="Q2181" s="317" t="str">
        <f t="shared" si="163"/>
        <v/>
      </c>
      <c r="R2181" s="317" t="str">
        <f t="shared" si="164"/>
        <v/>
      </c>
      <c r="S2181" s="317" t="str">
        <f t="shared" si="165"/>
        <v/>
      </c>
      <c r="T2181" s="317" t="str">
        <f>GLOBAL_DER_FEV_2023!S2181</f>
        <v/>
      </c>
      <c r="W2181" s="582">
        <v>0</v>
      </c>
      <c r="X2181" s="580"/>
      <c r="Y2181" s="583">
        <f>IF(GLOBAL_DER_FEV_2023!W2181=0,0,IF(GLOBAL_DER_FEV_2023!W2181&gt;0,"c","b"))</f>
        <v>0</v>
      </c>
    </row>
    <row r="2182" spans="1:25" ht="15" hidden="1" customHeight="1" x14ac:dyDescent="0.2">
      <c r="A2182" s="317" t="s">
        <v>147</v>
      </c>
      <c r="B2182" s="895" t="s">
        <v>147</v>
      </c>
      <c r="C2182" s="896"/>
      <c r="D2182" s="906" t="s">
        <v>366</v>
      </c>
      <c r="E2182" s="907">
        <f>GLOBAL_DER_FEV_2023!E2182</f>
        <v>353</v>
      </c>
      <c r="F2182" s="908">
        <f>GLOBAL_DER_FEV_2023!F2182</f>
        <v>0.11626859999999997</v>
      </c>
      <c r="G2182" s="909">
        <f>GLOBAL_DER_FEV_2023!G2182</f>
        <v>32.922616775999998</v>
      </c>
      <c r="H2182" s="901">
        <f>GLOBAL_DER_FEV_2023!H2182</f>
        <v>0</v>
      </c>
      <c r="I2182" s="901">
        <f>GLOBAL_DER_FEV_2023!I2182</f>
        <v>0</v>
      </c>
      <c r="J2182" s="902">
        <f>GLOBAL_DER_FEV_2023!J2182</f>
        <v>0</v>
      </c>
      <c r="K2182" s="903"/>
      <c r="L2182" s="1177"/>
      <c r="M2182" s="1138">
        <f t="shared" si="162"/>
        <v>0</v>
      </c>
      <c r="N2182" s="1176">
        <f t="shared" si="166"/>
        <v>0</v>
      </c>
      <c r="O2182" s="905"/>
      <c r="P2182" s="36" t="str">
        <f>IF(N2177&gt;0,"xx",IF(N2177&gt;0,"xy",""))</f>
        <v/>
      </c>
      <c r="Q2182" s="317" t="str">
        <f t="shared" si="163"/>
        <v/>
      </c>
      <c r="R2182" s="317" t="str">
        <f t="shared" si="164"/>
        <v/>
      </c>
      <c r="S2182" s="317" t="str">
        <f t="shared" si="165"/>
        <v/>
      </c>
      <c r="T2182" s="317" t="str">
        <f>GLOBAL_DER_FEV_2023!S2182</f>
        <v/>
      </c>
      <c r="W2182" s="582">
        <v>0</v>
      </c>
      <c r="X2182" s="580"/>
      <c r="Y2182" s="583">
        <f>IF(GLOBAL_DER_FEV_2023!W2182=0,0,IF(GLOBAL_DER_FEV_2023!W2182&gt;0,"c","b"))</f>
        <v>0</v>
      </c>
    </row>
    <row r="2183" spans="1:25" ht="15" hidden="1" customHeight="1" x14ac:dyDescent="0.2">
      <c r="A2183" s="317" t="s">
        <v>101</v>
      </c>
      <c r="B2183" s="895" t="s">
        <v>101</v>
      </c>
      <c r="C2183" s="896" t="s">
        <v>184</v>
      </c>
      <c r="D2183" s="906" t="s">
        <v>371</v>
      </c>
      <c r="E2183" s="907">
        <f>GLOBAL_DER_FEV_2023!E2183</f>
        <v>0</v>
      </c>
      <c r="F2183" s="908">
        <f>GLOBAL_DER_FEV_2023!F2183</f>
        <v>0</v>
      </c>
      <c r="G2183" s="912">
        <f>GLOBAL_DER_FEV_2023!G2183</f>
        <v>605.97564743200007</v>
      </c>
      <c r="H2183" s="901">
        <f>GLOBAL_DER_FEV_2023!H2183</f>
        <v>2212.59</v>
      </c>
      <c r="I2183" s="901">
        <f>GLOBAL_DER_FEV_2023!I2183</f>
        <v>2818.5656474320003</v>
      </c>
      <c r="J2183" s="902">
        <f>GLOBAL_DER_FEV_2023!J2183</f>
        <v>3384.25</v>
      </c>
      <c r="K2183" s="903" t="s">
        <v>15</v>
      </c>
      <c r="L2183" s="1137"/>
      <c r="M2183" s="1138">
        <f t="shared" si="162"/>
        <v>0</v>
      </c>
      <c r="N2183" s="1176">
        <f t="shared" si="166"/>
        <v>0</v>
      </c>
      <c r="O2183" s="905"/>
      <c r="Q2183" s="317" t="str">
        <f t="shared" si="163"/>
        <v/>
      </c>
      <c r="R2183" s="317" t="str">
        <f t="shared" si="164"/>
        <v/>
      </c>
      <c r="S2183" s="317" t="str">
        <f t="shared" si="165"/>
        <v/>
      </c>
      <c r="T2183" s="317" t="str">
        <f>GLOBAL_DER_FEV_2023!S2183</f>
        <v/>
      </c>
      <c r="W2183" s="582">
        <v>0</v>
      </c>
      <c r="X2183" s="580"/>
      <c r="Y2183" s="583">
        <f>IF(GLOBAL_DER_FEV_2023!W2183=0,0,IF(GLOBAL_DER_FEV_2023!W2183&gt;0,"c","b"))</f>
        <v>0</v>
      </c>
    </row>
    <row r="2184" spans="1:25" ht="15" hidden="1" customHeight="1" x14ac:dyDescent="0.2">
      <c r="A2184" s="317" t="s">
        <v>147</v>
      </c>
      <c r="B2184" s="895" t="s">
        <v>147</v>
      </c>
      <c r="C2184" s="896"/>
      <c r="D2184" s="906" t="s">
        <v>190</v>
      </c>
      <c r="E2184" s="907">
        <f>GLOBAL_DER_FEV_2023!E2184</f>
        <v>308</v>
      </c>
      <c r="F2184" s="908">
        <f>GLOBAL_DER_FEV_2023!F2184</f>
        <v>0.82205400000000006</v>
      </c>
      <c r="G2184" s="909">
        <f>GLOBAL_DER_FEV_2023!G2184</f>
        <v>203.91871524000001</v>
      </c>
      <c r="H2184" s="901">
        <f>GLOBAL_DER_FEV_2023!H2184</f>
        <v>0</v>
      </c>
      <c r="I2184" s="901">
        <f>GLOBAL_DER_FEV_2023!I2184</f>
        <v>0</v>
      </c>
      <c r="J2184" s="902">
        <f>GLOBAL_DER_FEV_2023!J2184</f>
        <v>0</v>
      </c>
      <c r="K2184" s="903"/>
      <c r="L2184" s="1177"/>
      <c r="M2184" s="1138">
        <f t="shared" si="162"/>
        <v>0</v>
      </c>
      <c r="N2184" s="1176">
        <f t="shared" si="166"/>
        <v>0</v>
      </c>
      <c r="O2184" s="905"/>
      <c r="P2184" s="36" t="str">
        <f>IF(N2183&gt;0,"xx",IF(N2183&gt;0,"xy",""))</f>
        <v/>
      </c>
      <c r="Q2184" s="317" t="str">
        <f t="shared" si="163"/>
        <v/>
      </c>
      <c r="R2184" s="317" t="str">
        <f t="shared" si="164"/>
        <v/>
      </c>
      <c r="S2184" s="317" t="str">
        <f t="shared" si="165"/>
        <v/>
      </c>
      <c r="T2184" s="317" t="str">
        <f>GLOBAL_DER_FEV_2023!S2184</f>
        <v/>
      </c>
      <c r="W2184" s="582">
        <v>0</v>
      </c>
      <c r="X2184" s="580"/>
      <c r="Y2184" s="583">
        <f>IF(GLOBAL_DER_FEV_2023!W2184=0,0,IF(GLOBAL_DER_FEV_2023!W2184&gt;0,"c","b"))</f>
        <v>0</v>
      </c>
    </row>
    <row r="2185" spans="1:25" ht="15" hidden="1" customHeight="1" x14ac:dyDescent="0.2">
      <c r="A2185" s="317" t="s">
        <v>147</v>
      </c>
      <c r="B2185" s="895" t="s">
        <v>147</v>
      </c>
      <c r="C2185" s="896"/>
      <c r="D2185" s="906" t="s">
        <v>229</v>
      </c>
      <c r="E2185" s="907">
        <f>GLOBAL_DER_FEV_2023!E2185</f>
        <v>150</v>
      </c>
      <c r="F2185" s="908">
        <f>GLOBAL_DER_FEV_2023!F2185</f>
        <v>2.4129430000000003</v>
      </c>
      <c r="G2185" s="949">
        <f>GLOBAL_DER_FEV_2023!G2185</f>
        <v>393.74403874000006</v>
      </c>
      <c r="H2185" s="901">
        <f>GLOBAL_DER_FEV_2023!H2185</f>
        <v>0</v>
      </c>
      <c r="I2185" s="901">
        <f>GLOBAL_DER_FEV_2023!I2185</f>
        <v>0</v>
      </c>
      <c r="J2185" s="902">
        <f>GLOBAL_DER_FEV_2023!J2185</f>
        <v>0</v>
      </c>
      <c r="K2185" s="903"/>
      <c r="L2185" s="1177"/>
      <c r="M2185" s="1138">
        <f t="shared" si="162"/>
        <v>0</v>
      </c>
      <c r="N2185" s="1176">
        <f t="shared" si="166"/>
        <v>0</v>
      </c>
      <c r="O2185" s="905"/>
      <c r="P2185" s="36" t="str">
        <f>IF(N2183&gt;0,"xx",IF(N2183&gt;0,"xy",""))</f>
        <v/>
      </c>
      <c r="Q2185" s="317" t="str">
        <f t="shared" si="163"/>
        <v/>
      </c>
      <c r="R2185" s="317" t="str">
        <f t="shared" si="164"/>
        <v/>
      </c>
      <c r="S2185" s="317" t="str">
        <f t="shared" si="165"/>
        <v/>
      </c>
      <c r="T2185" s="317" t="str">
        <f>GLOBAL_DER_FEV_2023!S2185</f>
        <v/>
      </c>
      <c r="W2185" s="582">
        <v>0</v>
      </c>
      <c r="X2185" s="580"/>
      <c r="Y2185" s="583">
        <f>IF(GLOBAL_DER_FEV_2023!W2185=0,0,IF(GLOBAL_DER_FEV_2023!W2185&gt;0,"c","b"))</f>
        <v>0</v>
      </c>
    </row>
    <row r="2186" spans="1:25" ht="15" hidden="1" customHeight="1" x14ac:dyDescent="0.2">
      <c r="A2186" s="317" t="s">
        <v>147</v>
      </c>
      <c r="B2186" s="895" t="s">
        <v>147</v>
      </c>
      <c r="C2186" s="896"/>
      <c r="D2186" s="906" t="s">
        <v>233</v>
      </c>
      <c r="E2186" s="907">
        <f>GLOBAL_DER_FEV_2023!E2186</f>
        <v>0.2</v>
      </c>
      <c r="F2186" s="908">
        <f>GLOBAL_DER_FEV_2023!F2186</f>
        <v>2.8724580000000004</v>
      </c>
      <c r="G2186" s="949">
        <f>GLOBAL_DER_FEV_2023!G2186</f>
        <v>8.3128934520000008</v>
      </c>
      <c r="H2186" s="901">
        <f>GLOBAL_DER_FEV_2023!H2186</f>
        <v>0</v>
      </c>
      <c r="I2186" s="901">
        <f>GLOBAL_DER_FEV_2023!I2186</f>
        <v>0</v>
      </c>
      <c r="J2186" s="902">
        <f>GLOBAL_DER_FEV_2023!J2186</f>
        <v>0</v>
      </c>
      <c r="K2186" s="903"/>
      <c r="L2186" s="1177"/>
      <c r="M2186" s="1138">
        <f t="shared" si="162"/>
        <v>0</v>
      </c>
      <c r="N2186" s="1176">
        <f t="shared" si="166"/>
        <v>0</v>
      </c>
      <c r="O2186" s="905"/>
      <c r="P2186" s="36" t="str">
        <f>IF(N2183&gt;0,"xx",IF(N2183&gt;0,"xy",""))</f>
        <v/>
      </c>
      <c r="Q2186" s="317" t="str">
        <f t="shared" si="163"/>
        <v/>
      </c>
      <c r="R2186" s="317" t="str">
        <f t="shared" si="164"/>
        <v/>
      </c>
      <c r="S2186" s="317" t="str">
        <f t="shared" si="165"/>
        <v/>
      </c>
      <c r="T2186" s="317" t="str">
        <f>GLOBAL_DER_FEV_2023!S2186</f>
        <v/>
      </c>
      <c r="W2186" s="582">
        <v>0</v>
      </c>
      <c r="X2186" s="580"/>
      <c r="Y2186" s="583">
        <f>IF(GLOBAL_DER_FEV_2023!W2186=0,0,IF(GLOBAL_DER_FEV_2023!W2186&gt;0,"c","b"))</f>
        <v>0</v>
      </c>
    </row>
    <row r="2187" spans="1:25" ht="15" hidden="1" customHeight="1" x14ac:dyDescent="0.2">
      <c r="A2187" s="317" t="s">
        <v>102</v>
      </c>
      <c r="B2187" s="895" t="s">
        <v>102</v>
      </c>
      <c r="C2187" s="896" t="s">
        <v>184</v>
      </c>
      <c r="D2187" s="906" t="s">
        <v>372</v>
      </c>
      <c r="E2187" s="907">
        <f>GLOBAL_DER_FEV_2023!E2187</f>
        <v>0</v>
      </c>
      <c r="F2187" s="908">
        <f>GLOBAL_DER_FEV_2023!F2187</f>
        <v>0</v>
      </c>
      <c r="G2187" s="912">
        <f>GLOBAL_DER_FEV_2023!G2187</f>
        <v>753.54694427199991</v>
      </c>
      <c r="H2187" s="901">
        <f>GLOBAL_DER_FEV_2023!H2187</f>
        <v>2568.52</v>
      </c>
      <c r="I2187" s="901">
        <f>GLOBAL_DER_FEV_2023!I2187</f>
        <v>3322.066944272</v>
      </c>
      <c r="J2187" s="902">
        <f>GLOBAL_DER_FEV_2023!J2187</f>
        <v>3988.81</v>
      </c>
      <c r="K2187" s="903" t="s">
        <v>15</v>
      </c>
      <c r="L2187" s="1137"/>
      <c r="M2187" s="1138">
        <f t="shared" si="162"/>
        <v>0</v>
      </c>
      <c r="N2187" s="1176">
        <f t="shared" si="166"/>
        <v>0</v>
      </c>
      <c r="O2187" s="905"/>
      <c r="Q2187" s="317" t="str">
        <f t="shared" si="163"/>
        <v/>
      </c>
      <c r="R2187" s="317" t="str">
        <f t="shared" si="164"/>
        <v/>
      </c>
      <c r="S2187" s="317" t="str">
        <f t="shared" si="165"/>
        <v/>
      </c>
      <c r="T2187" s="317" t="str">
        <f>GLOBAL_DER_FEV_2023!S2187</f>
        <v/>
      </c>
      <c r="W2187" s="582">
        <v>0</v>
      </c>
      <c r="X2187" s="580"/>
      <c r="Y2187" s="583">
        <f>IF(GLOBAL_DER_FEV_2023!W2187=0,0,IF(GLOBAL_DER_FEV_2023!W2187&gt;0,"c","b"))</f>
        <v>0</v>
      </c>
    </row>
    <row r="2188" spans="1:25" ht="15" hidden="1" customHeight="1" x14ac:dyDescent="0.2">
      <c r="A2188" s="317" t="s">
        <v>147</v>
      </c>
      <c r="B2188" s="895" t="s">
        <v>147</v>
      </c>
      <c r="C2188" s="896"/>
      <c r="D2188" s="906" t="s">
        <v>190</v>
      </c>
      <c r="E2188" s="907">
        <f>GLOBAL_DER_FEV_2023!E2188</f>
        <v>308</v>
      </c>
      <c r="F2188" s="908">
        <f>GLOBAL_DER_FEV_2023!F2188</f>
        <v>1.028964</v>
      </c>
      <c r="G2188" s="909">
        <f>GLOBAL_DER_FEV_2023!G2188</f>
        <v>255.24480983999999</v>
      </c>
      <c r="H2188" s="901">
        <f>GLOBAL_DER_FEV_2023!H2188</f>
        <v>0</v>
      </c>
      <c r="I2188" s="901">
        <f>GLOBAL_DER_FEV_2023!I2188</f>
        <v>0</v>
      </c>
      <c r="J2188" s="902">
        <f>GLOBAL_DER_FEV_2023!J2188</f>
        <v>0</v>
      </c>
      <c r="K2188" s="903"/>
      <c r="L2188" s="1177"/>
      <c r="M2188" s="1138">
        <f t="shared" si="162"/>
        <v>0</v>
      </c>
      <c r="N2188" s="1176">
        <f t="shared" si="166"/>
        <v>0</v>
      </c>
      <c r="O2188" s="905"/>
      <c r="P2188" s="36" t="str">
        <f>IF(N2187&gt;0,"xx",IF(N2187&gt;0,"xy",""))</f>
        <v/>
      </c>
      <c r="Q2188" s="317" t="str">
        <f t="shared" si="163"/>
        <v/>
      </c>
      <c r="R2188" s="317" t="str">
        <f t="shared" si="164"/>
        <v/>
      </c>
      <c r="S2188" s="317" t="str">
        <f t="shared" si="165"/>
        <v/>
      </c>
      <c r="T2188" s="317" t="str">
        <f>GLOBAL_DER_FEV_2023!S2188</f>
        <v/>
      </c>
      <c r="W2188" s="582">
        <v>0</v>
      </c>
      <c r="X2188" s="580"/>
      <c r="Y2188" s="583">
        <f>IF(GLOBAL_DER_FEV_2023!W2188=0,0,IF(GLOBAL_DER_FEV_2023!W2188&gt;0,"c","b"))</f>
        <v>0</v>
      </c>
    </row>
    <row r="2189" spans="1:25" ht="15" hidden="1" customHeight="1" x14ac:dyDescent="0.2">
      <c r="A2189" s="317" t="s">
        <v>147</v>
      </c>
      <c r="B2189" s="895" t="s">
        <v>147</v>
      </c>
      <c r="C2189" s="896"/>
      <c r="D2189" s="906" t="s">
        <v>229</v>
      </c>
      <c r="E2189" s="907">
        <f>GLOBAL_DER_FEV_2023!E2189</f>
        <v>150</v>
      </c>
      <c r="F2189" s="908">
        <f>GLOBAL_DER_FEV_2023!F2189</f>
        <v>2.9904099999999998</v>
      </c>
      <c r="G2189" s="949">
        <f>GLOBAL_DER_FEV_2023!G2189</f>
        <v>487.9751038</v>
      </c>
      <c r="H2189" s="901">
        <f>GLOBAL_DER_FEV_2023!H2189</f>
        <v>0</v>
      </c>
      <c r="I2189" s="901">
        <f>GLOBAL_DER_FEV_2023!I2189</f>
        <v>0</v>
      </c>
      <c r="J2189" s="902">
        <f>GLOBAL_DER_FEV_2023!J2189</f>
        <v>0</v>
      </c>
      <c r="K2189" s="903"/>
      <c r="L2189" s="1177"/>
      <c r="M2189" s="1138">
        <f t="shared" si="162"/>
        <v>0</v>
      </c>
      <c r="N2189" s="1176">
        <f t="shared" si="166"/>
        <v>0</v>
      </c>
      <c r="O2189" s="905"/>
      <c r="P2189" s="36" t="str">
        <f>IF(N2187&gt;0,"xx",IF(N2187&gt;0,"xy",""))</f>
        <v/>
      </c>
      <c r="Q2189" s="317" t="str">
        <f t="shared" si="163"/>
        <v/>
      </c>
      <c r="R2189" s="317" t="str">
        <f t="shared" si="164"/>
        <v/>
      </c>
      <c r="S2189" s="317" t="str">
        <f t="shared" si="165"/>
        <v/>
      </c>
      <c r="T2189" s="317" t="str">
        <f>GLOBAL_DER_FEV_2023!S2189</f>
        <v/>
      </c>
      <c r="W2189" s="582">
        <v>0</v>
      </c>
      <c r="X2189" s="580"/>
      <c r="Y2189" s="583">
        <f>IF(GLOBAL_DER_FEV_2023!W2189=0,0,IF(GLOBAL_DER_FEV_2023!W2189&gt;0,"c","b"))</f>
        <v>0</v>
      </c>
    </row>
    <row r="2190" spans="1:25" ht="15" hidden="1" customHeight="1" x14ac:dyDescent="0.2">
      <c r="A2190" s="317" t="s">
        <v>147</v>
      </c>
      <c r="B2190" s="895" t="s">
        <v>147</v>
      </c>
      <c r="C2190" s="896"/>
      <c r="D2190" s="906" t="s">
        <v>233</v>
      </c>
      <c r="E2190" s="907">
        <f>GLOBAL_DER_FEV_2023!E2190</f>
        <v>0.2</v>
      </c>
      <c r="F2190" s="908">
        <f>GLOBAL_DER_FEV_2023!F2190</f>
        <v>3.5684279999999999</v>
      </c>
      <c r="G2190" s="949">
        <f>GLOBAL_DER_FEV_2023!G2190</f>
        <v>10.327030632</v>
      </c>
      <c r="H2190" s="901">
        <f>GLOBAL_DER_FEV_2023!H2190</f>
        <v>0</v>
      </c>
      <c r="I2190" s="901">
        <f>GLOBAL_DER_FEV_2023!I2190</f>
        <v>0</v>
      </c>
      <c r="J2190" s="902">
        <f>GLOBAL_DER_FEV_2023!J2190</f>
        <v>0</v>
      </c>
      <c r="K2190" s="903"/>
      <c r="L2190" s="1177"/>
      <c r="M2190" s="1138">
        <f t="shared" si="162"/>
        <v>0</v>
      </c>
      <c r="N2190" s="1176">
        <f t="shared" si="166"/>
        <v>0</v>
      </c>
      <c r="O2190" s="905"/>
      <c r="P2190" s="36" t="str">
        <f>IF(N2187&gt;0,"xx",IF(N2187&gt;0,"xy",""))</f>
        <v/>
      </c>
      <c r="Q2190" s="317" t="str">
        <f t="shared" si="163"/>
        <v/>
      </c>
      <c r="R2190" s="317" t="str">
        <f t="shared" si="164"/>
        <v/>
      </c>
      <c r="S2190" s="317" t="str">
        <f t="shared" si="165"/>
        <v/>
      </c>
      <c r="T2190" s="317" t="str">
        <f>GLOBAL_DER_FEV_2023!S2190</f>
        <v/>
      </c>
      <c r="W2190" s="582">
        <v>0</v>
      </c>
      <c r="X2190" s="580"/>
      <c r="Y2190" s="583">
        <f>IF(GLOBAL_DER_FEV_2023!W2190=0,0,IF(GLOBAL_DER_FEV_2023!W2190&gt;0,"c","b"))</f>
        <v>0</v>
      </c>
    </row>
    <row r="2191" spans="1:25" ht="15" hidden="1" customHeight="1" x14ac:dyDescent="0.2">
      <c r="A2191" s="317" t="s">
        <v>103</v>
      </c>
      <c r="B2191" s="895" t="s">
        <v>103</v>
      </c>
      <c r="C2191" s="896" t="s">
        <v>184</v>
      </c>
      <c r="D2191" s="906" t="s">
        <v>373</v>
      </c>
      <c r="E2191" s="907">
        <f>GLOBAL_DER_FEV_2023!E2191</f>
        <v>0</v>
      </c>
      <c r="F2191" s="908">
        <f>GLOBAL_DER_FEV_2023!F2191</f>
        <v>0</v>
      </c>
      <c r="G2191" s="912">
        <f>GLOBAL_DER_FEV_2023!G2191</f>
        <v>995.02724819199989</v>
      </c>
      <c r="H2191" s="901">
        <f>GLOBAL_DER_FEV_2023!H2191</f>
        <v>3151.98</v>
      </c>
      <c r="I2191" s="901">
        <f>GLOBAL_DER_FEV_2023!I2191</f>
        <v>4147.0072481919997</v>
      </c>
      <c r="J2191" s="902">
        <f>GLOBAL_DER_FEV_2023!J2191</f>
        <v>4979.3100000000004</v>
      </c>
      <c r="K2191" s="903" t="s">
        <v>15</v>
      </c>
      <c r="L2191" s="1137"/>
      <c r="M2191" s="1138">
        <f t="shared" si="162"/>
        <v>0</v>
      </c>
      <c r="N2191" s="1176">
        <f t="shared" si="166"/>
        <v>0</v>
      </c>
      <c r="O2191" s="905"/>
      <c r="Q2191" s="317" t="str">
        <f t="shared" si="163"/>
        <v/>
      </c>
      <c r="R2191" s="317" t="str">
        <f t="shared" si="164"/>
        <v/>
      </c>
      <c r="S2191" s="317" t="str">
        <f t="shared" si="165"/>
        <v/>
      </c>
      <c r="T2191" s="317" t="str">
        <f>GLOBAL_DER_FEV_2023!S2191</f>
        <v/>
      </c>
      <c r="W2191" s="582">
        <v>0</v>
      </c>
      <c r="X2191" s="580"/>
      <c r="Y2191" s="583">
        <f>IF(GLOBAL_DER_FEV_2023!W2191=0,0,IF(GLOBAL_DER_FEV_2023!W2191&gt;0,"c","b"))</f>
        <v>0</v>
      </c>
    </row>
    <row r="2192" spans="1:25" ht="15" hidden="1" customHeight="1" x14ac:dyDescent="0.2">
      <c r="A2192" s="317" t="s">
        <v>147</v>
      </c>
      <c r="B2192" s="895" t="s">
        <v>147</v>
      </c>
      <c r="C2192" s="896"/>
      <c r="D2192" s="906" t="s">
        <v>190</v>
      </c>
      <c r="E2192" s="907">
        <f>GLOBAL_DER_FEV_2023!E2192</f>
        <v>308</v>
      </c>
      <c r="F2192" s="908">
        <f>GLOBAL_DER_FEV_2023!F2192</f>
        <v>1.3675439999999999</v>
      </c>
      <c r="G2192" s="909">
        <f>GLOBAL_DER_FEV_2023!G2192</f>
        <v>339.23296463999998</v>
      </c>
      <c r="H2192" s="901">
        <f>GLOBAL_DER_FEV_2023!H2192</f>
        <v>0</v>
      </c>
      <c r="I2192" s="901">
        <f>GLOBAL_DER_FEV_2023!I2192</f>
        <v>0</v>
      </c>
      <c r="J2192" s="902">
        <f>GLOBAL_DER_FEV_2023!J2192</f>
        <v>0</v>
      </c>
      <c r="K2192" s="903"/>
      <c r="L2192" s="1177"/>
      <c r="M2192" s="1138">
        <f t="shared" si="162"/>
        <v>0</v>
      </c>
      <c r="N2192" s="1176">
        <f t="shared" si="166"/>
        <v>0</v>
      </c>
      <c r="O2192" s="905"/>
      <c r="P2192" s="36" t="str">
        <f>IF(N2191&gt;0,"xx",IF(N2191&gt;0,"xy",""))</f>
        <v/>
      </c>
      <c r="Q2192" s="317" t="str">
        <f t="shared" si="163"/>
        <v/>
      </c>
      <c r="R2192" s="317" t="str">
        <f t="shared" si="164"/>
        <v/>
      </c>
      <c r="S2192" s="317" t="str">
        <f t="shared" si="165"/>
        <v/>
      </c>
      <c r="T2192" s="317" t="str">
        <f>GLOBAL_DER_FEV_2023!S2192</f>
        <v/>
      </c>
      <c r="W2192" s="582">
        <v>0</v>
      </c>
      <c r="X2192" s="580"/>
      <c r="Y2192" s="583">
        <f>IF(GLOBAL_DER_FEV_2023!W2192=0,0,IF(GLOBAL_DER_FEV_2023!W2192&gt;0,"c","b"))</f>
        <v>0</v>
      </c>
    </row>
    <row r="2193" spans="1:25" ht="15" hidden="1" customHeight="1" x14ac:dyDescent="0.2">
      <c r="A2193" s="317" t="s">
        <v>147</v>
      </c>
      <c r="B2193" s="895" t="s">
        <v>147</v>
      </c>
      <c r="C2193" s="896"/>
      <c r="D2193" s="906" t="s">
        <v>229</v>
      </c>
      <c r="E2193" s="907">
        <f>GLOBAL_DER_FEV_2023!E2193</f>
        <v>150</v>
      </c>
      <c r="F2193" s="908">
        <f>GLOBAL_DER_FEV_2023!F2193</f>
        <v>3.9353559999999996</v>
      </c>
      <c r="G2193" s="949">
        <f>GLOBAL_DER_FEV_2023!G2193</f>
        <v>642.17139207999992</v>
      </c>
      <c r="H2193" s="901">
        <f>GLOBAL_DER_FEV_2023!H2193</f>
        <v>0</v>
      </c>
      <c r="I2193" s="901">
        <f>GLOBAL_DER_FEV_2023!I2193</f>
        <v>0</v>
      </c>
      <c r="J2193" s="902">
        <f>GLOBAL_DER_FEV_2023!J2193</f>
        <v>0</v>
      </c>
      <c r="K2193" s="903"/>
      <c r="L2193" s="1177"/>
      <c r="M2193" s="1138">
        <f t="shared" si="162"/>
        <v>0</v>
      </c>
      <c r="N2193" s="1176">
        <f t="shared" si="166"/>
        <v>0</v>
      </c>
      <c r="O2193" s="905"/>
      <c r="P2193" s="36" t="str">
        <f>IF(N2191&gt;0,"xx",IF(N2191&gt;0,"xy",""))</f>
        <v/>
      </c>
      <c r="Q2193" s="317" t="str">
        <f t="shared" si="163"/>
        <v/>
      </c>
      <c r="R2193" s="317" t="str">
        <f t="shared" si="164"/>
        <v/>
      </c>
      <c r="S2193" s="317" t="str">
        <f t="shared" si="165"/>
        <v/>
      </c>
      <c r="T2193" s="317" t="str">
        <f>GLOBAL_DER_FEV_2023!S2193</f>
        <v/>
      </c>
      <c r="W2193" s="582">
        <v>0</v>
      </c>
      <c r="X2193" s="580"/>
      <c r="Y2193" s="583">
        <f>IF(GLOBAL_DER_FEV_2023!W2193=0,0,IF(GLOBAL_DER_FEV_2023!W2193&gt;0,"c","b"))</f>
        <v>0</v>
      </c>
    </row>
    <row r="2194" spans="1:25" ht="15" hidden="1" customHeight="1" x14ac:dyDescent="0.2">
      <c r="A2194" s="317" t="s">
        <v>147</v>
      </c>
      <c r="B2194" s="895" t="s">
        <v>147</v>
      </c>
      <c r="C2194" s="896"/>
      <c r="D2194" s="906" t="s">
        <v>233</v>
      </c>
      <c r="E2194" s="907">
        <f>GLOBAL_DER_FEV_2023!E2194</f>
        <v>0.2</v>
      </c>
      <c r="F2194" s="908">
        <f>GLOBAL_DER_FEV_2023!F2194</f>
        <v>4.7072880000000001</v>
      </c>
      <c r="G2194" s="949">
        <f>GLOBAL_DER_FEV_2023!G2194</f>
        <v>13.622891472000001</v>
      </c>
      <c r="H2194" s="901">
        <f>GLOBAL_DER_FEV_2023!H2194</f>
        <v>0</v>
      </c>
      <c r="I2194" s="901">
        <f>GLOBAL_DER_FEV_2023!I2194</f>
        <v>0</v>
      </c>
      <c r="J2194" s="902">
        <f>GLOBAL_DER_FEV_2023!J2194</f>
        <v>0</v>
      </c>
      <c r="K2194" s="903"/>
      <c r="L2194" s="1177"/>
      <c r="M2194" s="1138">
        <f t="shared" ref="M2194:M2257" si="167">IF(L2194=0,0,ROUND(J2194,2))</f>
        <v>0</v>
      </c>
      <c r="N2194" s="1176">
        <f t="shared" si="166"/>
        <v>0</v>
      </c>
      <c r="O2194" s="905"/>
      <c r="P2194" s="36" t="str">
        <f>IF(N2191&gt;0,"xx",IF(N2191&gt;0,"xy",""))</f>
        <v/>
      </c>
      <c r="Q2194" s="317" t="str">
        <f t="shared" si="163"/>
        <v/>
      </c>
      <c r="R2194" s="317" t="str">
        <f t="shared" si="164"/>
        <v/>
      </c>
      <c r="S2194" s="317" t="str">
        <f t="shared" si="165"/>
        <v/>
      </c>
      <c r="T2194" s="317" t="str">
        <f>GLOBAL_DER_FEV_2023!S2194</f>
        <v/>
      </c>
      <c r="W2194" s="582">
        <v>0</v>
      </c>
      <c r="X2194" s="580"/>
      <c r="Y2194" s="583">
        <f>IF(GLOBAL_DER_FEV_2023!W2194=0,0,IF(GLOBAL_DER_FEV_2023!W2194&gt;0,"c","b"))</f>
        <v>0</v>
      </c>
    </row>
    <row r="2195" spans="1:25" ht="15" hidden="1" customHeight="1" x14ac:dyDescent="0.2">
      <c r="A2195" s="317" t="s">
        <v>104</v>
      </c>
      <c r="B2195" s="895" t="s">
        <v>104</v>
      </c>
      <c r="C2195" s="896" t="s">
        <v>184</v>
      </c>
      <c r="D2195" s="906" t="s">
        <v>374</v>
      </c>
      <c r="E2195" s="907">
        <f>GLOBAL_DER_FEV_2023!E2195</f>
        <v>0</v>
      </c>
      <c r="F2195" s="908">
        <f>GLOBAL_DER_FEV_2023!F2195</f>
        <v>0</v>
      </c>
      <c r="G2195" s="912">
        <f>GLOBAL_DER_FEV_2023!G2195</f>
        <v>1240.9794095919997</v>
      </c>
      <c r="H2195" s="901">
        <f>GLOBAL_DER_FEV_2023!H2195</f>
        <v>3745</v>
      </c>
      <c r="I2195" s="901">
        <f>GLOBAL_DER_FEV_2023!I2195</f>
        <v>4985.9794095919997</v>
      </c>
      <c r="J2195" s="902">
        <f>GLOBAL_DER_FEV_2023!J2195</f>
        <v>5986.67</v>
      </c>
      <c r="K2195" s="903" t="s">
        <v>15</v>
      </c>
      <c r="L2195" s="1137"/>
      <c r="M2195" s="1138">
        <f t="shared" si="167"/>
        <v>0</v>
      </c>
      <c r="N2195" s="1176">
        <f t="shared" si="166"/>
        <v>0</v>
      </c>
      <c r="O2195" s="905"/>
      <c r="Q2195" s="317" t="str">
        <f t="shared" si="163"/>
        <v/>
      </c>
      <c r="R2195" s="317" t="str">
        <f t="shared" si="164"/>
        <v/>
      </c>
      <c r="S2195" s="317" t="str">
        <f t="shared" si="165"/>
        <v/>
      </c>
      <c r="T2195" s="317" t="str">
        <f>GLOBAL_DER_FEV_2023!S2195</f>
        <v/>
      </c>
      <c r="W2195" s="582">
        <v>0</v>
      </c>
      <c r="X2195" s="580"/>
      <c r="Y2195" s="583">
        <f>IF(GLOBAL_DER_FEV_2023!W2195=0,0,IF(GLOBAL_DER_FEV_2023!W2195&gt;0,"c","b"))</f>
        <v>0</v>
      </c>
    </row>
    <row r="2196" spans="1:25" ht="15" hidden="1" customHeight="1" x14ac:dyDescent="0.2">
      <c r="A2196" s="317" t="s">
        <v>147</v>
      </c>
      <c r="B2196" s="895" t="s">
        <v>147</v>
      </c>
      <c r="C2196" s="896"/>
      <c r="D2196" s="906" t="s">
        <v>190</v>
      </c>
      <c r="E2196" s="907">
        <f>GLOBAL_DER_FEV_2023!E2196</f>
        <v>308</v>
      </c>
      <c r="F2196" s="908">
        <f>GLOBAL_DER_FEV_2023!F2196</f>
        <v>1.7123939999999997</v>
      </c>
      <c r="G2196" s="909">
        <f>GLOBAL_DER_FEV_2023!G2196</f>
        <v>424.77645563999994</v>
      </c>
      <c r="H2196" s="901">
        <f>GLOBAL_DER_FEV_2023!H2196</f>
        <v>0</v>
      </c>
      <c r="I2196" s="901">
        <f>GLOBAL_DER_FEV_2023!I2196</f>
        <v>0</v>
      </c>
      <c r="J2196" s="902">
        <f>GLOBAL_DER_FEV_2023!J2196</f>
        <v>0</v>
      </c>
      <c r="K2196" s="903"/>
      <c r="L2196" s="1177"/>
      <c r="M2196" s="1138">
        <f t="shared" si="167"/>
        <v>0</v>
      </c>
      <c r="N2196" s="1176">
        <f t="shared" si="166"/>
        <v>0</v>
      </c>
      <c r="O2196" s="905"/>
      <c r="P2196" s="36" t="str">
        <f>IF(N2195&gt;0,"xx",IF(N2195&gt;0,"xy",""))</f>
        <v/>
      </c>
      <c r="Q2196" s="317" t="str">
        <f t="shared" si="163"/>
        <v/>
      </c>
      <c r="R2196" s="317" t="str">
        <f t="shared" si="164"/>
        <v/>
      </c>
      <c r="S2196" s="317" t="str">
        <f t="shared" si="165"/>
        <v/>
      </c>
      <c r="T2196" s="317" t="str">
        <f>GLOBAL_DER_FEV_2023!S2196</f>
        <v/>
      </c>
      <c r="W2196" s="582">
        <v>0</v>
      </c>
      <c r="X2196" s="580"/>
      <c r="Y2196" s="583">
        <f>IF(GLOBAL_DER_FEV_2023!W2196=0,0,IF(GLOBAL_DER_FEV_2023!W2196&gt;0,"c","b"))</f>
        <v>0</v>
      </c>
    </row>
    <row r="2197" spans="1:25" ht="15" hidden="1" customHeight="1" x14ac:dyDescent="0.2">
      <c r="A2197" s="317" t="s">
        <v>147</v>
      </c>
      <c r="B2197" s="895" t="s">
        <v>147</v>
      </c>
      <c r="C2197" s="896"/>
      <c r="D2197" s="906" t="s">
        <v>229</v>
      </c>
      <c r="E2197" s="907">
        <f>GLOBAL_DER_FEV_2023!E2197</f>
        <v>150</v>
      </c>
      <c r="F2197" s="908">
        <f>GLOBAL_DER_FEV_2023!F2197</f>
        <v>4.8978009999999994</v>
      </c>
      <c r="G2197" s="949">
        <f>GLOBAL_DER_FEV_2023!G2197</f>
        <v>799.2231671799999</v>
      </c>
      <c r="H2197" s="901">
        <f>GLOBAL_DER_FEV_2023!H2197</f>
        <v>0</v>
      </c>
      <c r="I2197" s="901">
        <f>GLOBAL_DER_FEV_2023!I2197</f>
        <v>0</v>
      </c>
      <c r="J2197" s="902">
        <f>GLOBAL_DER_FEV_2023!J2197</f>
        <v>0</v>
      </c>
      <c r="K2197" s="903"/>
      <c r="L2197" s="1177"/>
      <c r="M2197" s="1138">
        <f t="shared" si="167"/>
        <v>0</v>
      </c>
      <c r="N2197" s="1176">
        <f t="shared" si="166"/>
        <v>0</v>
      </c>
      <c r="O2197" s="905"/>
      <c r="P2197" s="36" t="str">
        <f>IF(N2195&gt;0,"xx",IF(N2195&gt;0,"xy",""))</f>
        <v/>
      </c>
      <c r="Q2197" s="317" t="str">
        <f t="shared" si="163"/>
        <v/>
      </c>
      <c r="R2197" s="317" t="str">
        <f t="shared" si="164"/>
        <v/>
      </c>
      <c r="S2197" s="317" t="str">
        <f t="shared" si="165"/>
        <v/>
      </c>
      <c r="T2197" s="317" t="str">
        <f>GLOBAL_DER_FEV_2023!S2197</f>
        <v/>
      </c>
      <c r="W2197" s="582">
        <v>0</v>
      </c>
      <c r="X2197" s="580"/>
      <c r="Y2197" s="583">
        <f>IF(GLOBAL_DER_FEV_2023!W2197=0,0,IF(GLOBAL_DER_FEV_2023!W2197&gt;0,"c","b"))</f>
        <v>0</v>
      </c>
    </row>
    <row r="2198" spans="1:25" ht="15" hidden="1" customHeight="1" x14ac:dyDescent="0.2">
      <c r="A2198" s="317" t="s">
        <v>147</v>
      </c>
      <c r="B2198" s="895" t="s">
        <v>147</v>
      </c>
      <c r="C2198" s="896"/>
      <c r="D2198" s="906" t="s">
        <v>233</v>
      </c>
      <c r="E2198" s="907">
        <f>GLOBAL_DER_FEV_2023!E2198</f>
        <v>0.2</v>
      </c>
      <c r="F2198" s="908">
        <f>GLOBAL_DER_FEV_2023!F2198</f>
        <v>5.8672380000000004</v>
      </c>
      <c r="G2198" s="949">
        <f>GLOBAL_DER_FEV_2023!G2198</f>
        <v>16.979786772000001</v>
      </c>
      <c r="H2198" s="901">
        <f>GLOBAL_DER_FEV_2023!H2198</f>
        <v>0</v>
      </c>
      <c r="I2198" s="901">
        <f>GLOBAL_DER_FEV_2023!I2198</f>
        <v>0</v>
      </c>
      <c r="J2198" s="902">
        <f>GLOBAL_DER_FEV_2023!J2198</f>
        <v>0</v>
      </c>
      <c r="K2198" s="903"/>
      <c r="L2198" s="1177"/>
      <c r="M2198" s="1138">
        <f t="shared" si="167"/>
        <v>0</v>
      </c>
      <c r="N2198" s="1176">
        <f t="shared" si="166"/>
        <v>0</v>
      </c>
      <c r="O2198" s="905"/>
      <c r="P2198" s="36" t="str">
        <f>IF(N2195&gt;0,"xx",IF(N2195&gt;0,"xy",""))</f>
        <v/>
      </c>
      <c r="Q2198" s="317" t="str">
        <f t="shared" si="163"/>
        <v/>
      </c>
      <c r="R2198" s="317" t="str">
        <f t="shared" si="164"/>
        <v/>
      </c>
      <c r="S2198" s="317" t="str">
        <f t="shared" si="165"/>
        <v/>
      </c>
      <c r="T2198" s="317" t="str">
        <f>GLOBAL_DER_FEV_2023!S2198</f>
        <v/>
      </c>
      <c r="W2198" s="582">
        <v>0</v>
      </c>
      <c r="X2198" s="580"/>
      <c r="Y2198" s="583">
        <f>IF(GLOBAL_DER_FEV_2023!W2198=0,0,IF(GLOBAL_DER_FEV_2023!W2198&gt;0,"c","b"))</f>
        <v>0</v>
      </c>
    </row>
    <row r="2199" spans="1:25" ht="15" hidden="1" customHeight="1" x14ac:dyDescent="0.2">
      <c r="A2199" s="317" t="s">
        <v>27</v>
      </c>
      <c r="B2199" s="895" t="s">
        <v>27</v>
      </c>
      <c r="C2199" s="896" t="s">
        <v>184</v>
      </c>
      <c r="D2199" s="906" t="s">
        <v>94</v>
      </c>
      <c r="E2199" s="907">
        <f>GLOBAL_DER_FEV_2023!E2199</f>
        <v>0</v>
      </c>
      <c r="F2199" s="908">
        <f>GLOBAL_DER_FEV_2023!F2199</f>
        <v>0</v>
      </c>
      <c r="G2199" s="912">
        <f>GLOBAL_DER_FEV_2023!G2199</f>
        <v>287.33632253600001</v>
      </c>
      <c r="H2199" s="901">
        <f>GLOBAL_DER_FEV_2023!H2199</f>
        <v>3736.16</v>
      </c>
      <c r="I2199" s="901">
        <f>GLOBAL_DER_FEV_2023!I2199</f>
        <v>4023.4963225359998</v>
      </c>
      <c r="J2199" s="902">
        <f>GLOBAL_DER_FEV_2023!J2199</f>
        <v>4831.01</v>
      </c>
      <c r="K2199" s="903" t="s">
        <v>15</v>
      </c>
      <c r="L2199" s="1137"/>
      <c r="M2199" s="1138">
        <f t="shared" si="167"/>
        <v>0</v>
      </c>
      <c r="N2199" s="1176">
        <f t="shared" si="166"/>
        <v>0</v>
      </c>
      <c r="O2199" s="905"/>
      <c r="Q2199" s="317" t="str">
        <f t="shared" si="163"/>
        <v/>
      </c>
      <c r="R2199" s="317" t="str">
        <f t="shared" si="164"/>
        <v/>
      </c>
      <c r="S2199" s="317" t="str">
        <f t="shared" si="165"/>
        <v/>
      </c>
      <c r="T2199" s="317" t="str">
        <f>GLOBAL_DER_FEV_2023!S2199</f>
        <v/>
      </c>
      <c r="W2199" s="582">
        <v>0</v>
      </c>
      <c r="X2199" s="580"/>
      <c r="Y2199" s="583">
        <f>IF(GLOBAL_DER_FEV_2023!W2199=0,0,IF(GLOBAL_DER_FEV_2023!W2199&gt;0,"c","b"))</f>
        <v>0</v>
      </c>
    </row>
    <row r="2200" spans="1:25" ht="15" hidden="1" customHeight="1" x14ac:dyDescent="0.2">
      <c r="A2200" s="317" t="s">
        <v>147</v>
      </c>
      <c r="B2200" s="895" t="s">
        <v>147</v>
      </c>
      <c r="C2200" s="896"/>
      <c r="D2200" s="906" t="s">
        <v>190</v>
      </c>
      <c r="E2200" s="907">
        <f>GLOBAL_DER_FEV_2023!E2200</f>
        <v>308</v>
      </c>
      <c r="F2200" s="908">
        <f>GLOBAL_DER_FEV_2023!F2200</f>
        <v>0.38908200000000004</v>
      </c>
      <c r="G2200" s="909">
        <f>GLOBAL_DER_FEV_2023!G2200</f>
        <v>96.515680920000008</v>
      </c>
      <c r="H2200" s="901">
        <f>GLOBAL_DER_FEV_2023!H2200</f>
        <v>0</v>
      </c>
      <c r="I2200" s="901">
        <f>GLOBAL_DER_FEV_2023!I2200</f>
        <v>0</v>
      </c>
      <c r="J2200" s="902">
        <f>GLOBAL_DER_FEV_2023!J2200</f>
        <v>0</v>
      </c>
      <c r="K2200" s="903"/>
      <c r="L2200" s="1177"/>
      <c r="M2200" s="1138">
        <f t="shared" si="167"/>
        <v>0</v>
      </c>
      <c r="N2200" s="1176">
        <f t="shared" si="166"/>
        <v>0</v>
      </c>
      <c r="O2200" s="905"/>
      <c r="P2200" s="36" t="str">
        <f>IF(N2199&gt;0,"xx",IF(N2199&gt;0,"xy",""))</f>
        <v/>
      </c>
      <c r="Q2200" s="317" t="str">
        <f t="shared" si="163"/>
        <v/>
      </c>
      <c r="R2200" s="317" t="str">
        <f t="shared" si="164"/>
        <v/>
      </c>
      <c r="S2200" s="317" t="str">
        <f t="shared" si="165"/>
        <v/>
      </c>
      <c r="T2200" s="317" t="str">
        <f>GLOBAL_DER_FEV_2023!S2200</f>
        <v/>
      </c>
      <c r="W2200" s="582">
        <v>0</v>
      </c>
      <c r="X2200" s="580"/>
      <c r="Y2200" s="583">
        <f>IF(GLOBAL_DER_FEV_2023!W2200=0,0,IF(GLOBAL_DER_FEV_2023!W2200&gt;0,"c","b"))</f>
        <v>0</v>
      </c>
    </row>
    <row r="2201" spans="1:25" ht="15" hidden="1" customHeight="1" x14ac:dyDescent="0.2">
      <c r="A2201" s="317" t="s">
        <v>147</v>
      </c>
      <c r="B2201" s="895" t="s">
        <v>147</v>
      </c>
      <c r="C2201" s="896"/>
      <c r="D2201" s="906" t="s">
        <v>229</v>
      </c>
      <c r="E2201" s="907">
        <f>GLOBAL_DER_FEV_2023!E2201</f>
        <v>150</v>
      </c>
      <c r="F2201" s="908">
        <f>GLOBAL_DER_FEV_2023!F2201</f>
        <v>1.1452249999999999</v>
      </c>
      <c r="G2201" s="949">
        <f>GLOBAL_DER_FEV_2023!G2201</f>
        <v>186.8778155</v>
      </c>
      <c r="H2201" s="901">
        <f>GLOBAL_DER_FEV_2023!H2201</f>
        <v>0</v>
      </c>
      <c r="I2201" s="901">
        <f>GLOBAL_DER_FEV_2023!I2201</f>
        <v>0</v>
      </c>
      <c r="J2201" s="902">
        <f>GLOBAL_DER_FEV_2023!J2201</f>
        <v>0</v>
      </c>
      <c r="K2201" s="903"/>
      <c r="L2201" s="1177"/>
      <c r="M2201" s="1138">
        <f t="shared" si="167"/>
        <v>0</v>
      </c>
      <c r="N2201" s="1176">
        <f t="shared" si="166"/>
        <v>0</v>
      </c>
      <c r="O2201" s="905"/>
      <c r="P2201" s="36" t="str">
        <f>IF(N2199&gt;0,"xx",IF(N2199&gt;0,"xy",""))</f>
        <v/>
      </c>
      <c r="Q2201" s="317" t="str">
        <f t="shared" si="163"/>
        <v/>
      </c>
      <c r="R2201" s="317" t="str">
        <f t="shared" si="164"/>
        <v/>
      </c>
      <c r="S2201" s="317" t="str">
        <f t="shared" si="165"/>
        <v/>
      </c>
      <c r="T2201" s="317" t="str">
        <f>GLOBAL_DER_FEV_2023!S2201</f>
        <v/>
      </c>
      <c r="W2201" s="582">
        <v>0</v>
      </c>
      <c r="X2201" s="580"/>
      <c r="Y2201" s="583">
        <f>IF(GLOBAL_DER_FEV_2023!W2201=0,0,IF(GLOBAL_DER_FEV_2023!W2201&gt;0,"c","b"))</f>
        <v>0</v>
      </c>
    </row>
    <row r="2202" spans="1:25" ht="15" hidden="1" customHeight="1" x14ac:dyDescent="0.2">
      <c r="A2202" s="317" t="s">
        <v>147</v>
      </c>
      <c r="B2202" s="895" t="s">
        <v>147</v>
      </c>
      <c r="C2202" s="896"/>
      <c r="D2202" s="906" t="s">
        <v>233</v>
      </c>
      <c r="E2202" s="907">
        <f>GLOBAL_DER_FEV_2023!E2202</f>
        <v>0.2</v>
      </c>
      <c r="F2202" s="908">
        <f>GLOBAL_DER_FEV_2023!F2202</f>
        <v>1.362414</v>
      </c>
      <c r="G2202" s="949">
        <f>GLOBAL_DER_FEV_2023!G2202</f>
        <v>3.9428261160000004</v>
      </c>
      <c r="H2202" s="901">
        <f>GLOBAL_DER_FEV_2023!H2202</f>
        <v>0</v>
      </c>
      <c r="I2202" s="901">
        <f>GLOBAL_DER_FEV_2023!I2202</f>
        <v>0</v>
      </c>
      <c r="J2202" s="902">
        <f>GLOBAL_DER_FEV_2023!J2202</f>
        <v>0</v>
      </c>
      <c r="K2202" s="903"/>
      <c r="L2202" s="1177"/>
      <c r="M2202" s="1138">
        <f t="shared" si="167"/>
        <v>0</v>
      </c>
      <c r="N2202" s="1176">
        <f t="shared" si="166"/>
        <v>0</v>
      </c>
      <c r="O2202" s="905"/>
      <c r="P2202" s="36" t="str">
        <f>IF(N2199&gt;0,"xx",IF(N2199&gt;0,"xy",""))</f>
        <v/>
      </c>
      <c r="Q2202" s="317" t="str">
        <f t="shared" si="163"/>
        <v/>
      </c>
      <c r="R2202" s="317" t="str">
        <f t="shared" si="164"/>
        <v/>
      </c>
      <c r="S2202" s="317" t="str">
        <f t="shared" si="165"/>
        <v/>
      </c>
      <c r="T2202" s="317" t="str">
        <f>GLOBAL_DER_FEV_2023!S2202</f>
        <v/>
      </c>
      <c r="W2202" s="582">
        <v>0</v>
      </c>
      <c r="X2202" s="580"/>
      <c r="Y2202" s="583">
        <f>IF(GLOBAL_DER_FEV_2023!W2202=0,0,IF(GLOBAL_DER_FEV_2023!W2202&gt;0,"c","b"))</f>
        <v>0</v>
      </c>
    </row>
    <row r="2203" spans="1:25" ht="15" hidden="1" customHeight="1" x14ac:dyDescent="0.2">
      <c r="A2203" s="317" t="s">
        <v>28</v>
      </c>
      <c r="B2203" s="895" t="s">
        <v>28</v>
      </c>
      <c r="C2203" s="896" t="s">
        <v>184</v>
      </c>
      <c r="D2203" s="906" t="s">
        <v>91</v>
      </c>
      <c r="E2203" s="907">
        <f>GLOBAL_DER_FEV_2023!E2203</f>
        <v>0</v>
      </c>
      <c r="F2203" s="908">
        <f>GLOBAL_DER_FEV_2023!F2203</f>
        <v>0</v>
      </c>
      <c r="G2203" s="912">
        <f>GLOBAL_DER_FEV_2023!G2203</f>
        <v>358.88604221599996</v>
      </c>
      <c r="H2203" s="901">
        <f>GLOBAL_DER_FEV_2023!H2203</f>
        <v>4503.8999999999996</v>
      </c>
      <c r="I2203" s="901">
        <f>GLOBAL_DER_FEV_2023!I2203</f>
        <v>4862.7860422159993</v>
      </c>
      <c r="J2203" s="902">
        <f>GLOBAL_DER_FEV_2023!J2203</f>
        <v>5838.75</v>
      </c>
      <c r="K2203" s="903" t="s">
        <v>15</v>
      </c>
      <c r="L2203" s="1137"/>
      <c r="M2203" s="1138">
        <f t="shared" si="167"/>
        <v>0</v>
      </c>
      <c r="N2203" s="1176">
        <f t="shared" si="166"/>
        <v>0</v>
      </c>
      <c r="O2203" s="905"/>
      <c r="Q2203" s="317" t="str">
        <f t="shared" ref="Q2203:Q2266" si="168">IF(P2203="X","x",IF(P2203="xx","x",IF(P2203="xy","x",IF(P2203="y","x",IF(OR(N2203&gt;0,N2203&gt;0),"x","")))))</f>
        <v/>
      </c>
      <c r="R2203" s="317" t="str">
        <f t="shared" si="164"/>
        <v/>
      </c>
      <c r="S2203" s="317" t="str">
        <f t="shared" si="165"/>
        <v/>
      </c>
      <c r="T2203" s="317" t="str">
        <f>GLOBAL_DER_FEV_2023!S2203</f>
        <v/>
      </c>
      <c r="W2203" s="582">
        <v>0</v>
      </c>
      <c r="X2203" s="580"/>
      <c r="Y2203" s="583">
        <f>IF(GLOBAL_DER_FEV_2023!W2203=0,0,IF(GLOBAL_DER_FEV_2023!W2203&gt;0,"c","b"))</f>
        <v>0</v>
      </c>
    </row>
    <row r="2204" spans="1:25" ht="15" hidden="1" customHeight="1" x14ac:dyDescent="0.2">
      <c r="A2204" s="317" t="s">
        <v>147</v>
      </c>
      <c r="B2204" s="895" t="s">
        <v>147</v>
      </c>
      <c r="C2204" s="896"/>
      <c r="D2204" s="906" t="s">
        <v>190</v>
      </c>
      <c r="E2204" s="907">
        <f>GLOBAL_DER_FEV_2023!E2204</f>
        <v>308</v>
      </c>
      <c r="F2204" s="908">
        <f>GLOBAL_DER_FEV_2023!F2204</f>
        <v>0.48940199999999995</v>
      </c>
      <c r="G2204" s="909">
        <f>GLOBAL_DER_FEV_2023!G2204</f>
        <v>121.40106011999998</v>
      </c>
      <c r="H2204" s="901">
        <f>GLOBAL_DER_FEV_2023!H2204</f>
        <v>0</v>
      </c>
      <c r="I2204" s="901">
        <f>GLOBAL_DER_FEV_2023!I2204</f>
        <v>0</v>
      </c>
      <c r="J2204" s="902">
        <f>GLOBAL_DER_FEV_2023!J2204</f>
        <v>0</v>
      </c>
      <c r="K2204" s="903"/>
      <c r="L2204" s="1177"/>
      <c r="M2204" s="1138">
        <f t="shared" si="167"/>
        <v>0</v>
      </c>
      <c r="N2204" s="1176">
        <f t="shared" si="166"/>
        <v>0</v>
      </c>
      <c r="O2204" s="905"/>
      <c r="P2204" s="36" t="str">
        <f>IF(N2203&gt;0,"xx",IF(N2203&gt;0,"xy",""))</f>
        <v/>
      </c>
      <c r="Q2204" s="317" t="str">
        <f t="shared" si="168"/>
        <v/>
      </c>
      <c r="R2204" s="317" t="str">
        <f t="shared" si="164"/>
        <v/>
      </c>
      <c r="S2204" s="317" t="str">
        <f t="shared" si="165"/>
        <v/>
      </c>
      <c r="T2204" s="317" t="str">
        <f>GLOBAL_DER_FEV_2023!S2204</f>
        <v/>
      </c>
      <c r="W2204" s="582">
        <v>0</v>
      </c>
      <c r="X2204" s="580"/>
      <c r="Y2204" s="583">
        <f>IF(GLOBAL_DER_FEV_2023!W2204=0,0,IF(GLOBAL_DER_FEV_2023!W2204&gt;0,"c","b"))</f>
        <v>0</v>
      </c>
    </row>
    <row r="2205" spans="1:25" ht="15" hidden="1" customHeight="1" x14ac:dyDescent="0.2">
      <c r="A2205" s="317" t="s">
        <v>147</v>
      </c>
      <c r="B2205" s="895" t="s">
        <v>147</v>
      </c>
      <c r="C2205" s="896"/>
      <c r="D2205" s="906" t="s">
        <v>229</v>
      </c>
      <c r="E2205" s="907">
        <f>GLOBAL_DER_FEV_2023!E2205</f>
        <v>150</v>
      </c>
      <c r="F2205" s="908">
        <f>GLOBAL_DER_FEV_2023!F2205</f>
        <v>1.4252089999999999</v>
      </c>
      <c r="G2205" s="949">
        <f>GLOBAL_DER_FEV_2023!G2205</f>
        <v>232.56560461999999</v>
      </c>
      <c r="H2205" s="901">
        <f>GLOBAL_DER_FEV_2023!H2205</f>
        <v>0</v>
      </c>
      <c r="I2205" s="901">
        <f>GLOBAL_DER_FEV_2023!I2205</f>
        <v>0</v>
      </c>
      <c r="J2205" s="902">
        <f>GLOBAL_DER_FEV_2023!J2205</f>
        <v>0</v>
      </c>
      <c r="K2205" s="903"/>
      <c r="L2205" s="1177"/>
      <c r="M2205" s="1138">
        <f t="shared" si="167"/>
        <v>0</v>
      </c>
      <c r="N2205" s="1176">
        <f t="shared" si="166"/>
        <v>0</v>
      </c>
      <c r="O2205" s="905"/>
      <c r="P2205" s="36" t="str">
        <f>IF(N2203&gt;0,"xx",IF(N2203&gt;0,"xy",""))</f>
        <v/>
      </c>
      <c r="Q2205" s="317" t="str">
        <f t="shared" si="168"/>
        <v/>
      </c>
      <c r="R2205" s="317" t="str">
        <f t="shared" ref="R2205:R2268" si="169">IF(P2205="X","x",IF(P2205="y","x",IF(P2205="xx","x",IF(N2205&gt;0,"x",""))))</f>
        <v/>
      </c>
      <c r="S2205" s="317" t="str">
        <f t="shared" ref="S2205:S2268" si="170">IF(P2205="X","x",IF(N2205&gt;0,"x",""))</f>
        <v/>
      </c>
      <c r="T2205" s="317" t="str">
        <f>GLOBAL_DER_FEV_2023!S2205</f>
        <v/>
      </c>
      <c r="W2205" s="582">
        <v>0</v>
      </c>
      <c r="X2205" s="580"/>
      <c r="Y2205" s="583">
        <f>IF(GLOBAL_DER_FEV_2023!W2205=0,0,IF(GLOBAL_DER_FEV_2023!W2205&gt;0,"c","b"))</f>
        <v>0</v>
      </c>
    </row>
    <row r="2206" spans="1:25" ht="15" hidden="1" customHeight="1" x14ac:dyDescent="0.2">
      <c r="A2206" s="317" t="s">
        <v>147</v>
      </c>
      <c r="B2206" s="895" t="s">
        <v>147</v>
      </c>
      <c r="C2206" s="896"/>
      <c r="D2206" s="906" t="s">
        <v>233</v>
      </c>
      <c r="E2206" s="907">
        <f>GLOBAL_DER_FEV_2023!E2206</f>
        <v>0.2</v>
      </c>
      <c r="F2206" s="908">
        <f>GLOBAL_DER_FEV_2023!F2206</f>
        <v>1.699854</v>
      </c>
      <c r="G2206" s="949">
        <f>GLOBAL_DER_FEV_2023!G2206</f>
        <v>4.9193774760000002</v>
      </c>
      <c r="H2206" s="901">
        <f>GLOBAL_DER_FEV_2023!H2206</f>
        <v>0</v>
      </c>
      <c r="I2206" s="901">
        <f>GLOBAL_DER_FEV_2023!I2206</f>
        <v>0</v>
      </c>
      <c r="J2206" s="902">
        <f>GLOBAL_DER_FEV_2023!J2206</f>
        <v>0</v>
      </c>
      <c r="K2206" s="903"/>
      <c r="L2206" s="1177"/>
      <c r="M2206" s="1138">
        <f t="shared" si="167"/>
        <v>0</v>
      </c>
      <c r="N2206" s="1176">
        <f t="shared" si="166"/>
        <v>0</v>
      </c>
      <c r="O2206" s="905"/>
      <c r="P2206" s="36" t="str">
        <f>IF(N2203&gt;0,"xx",IF(N2203&gt;0,"xy",""))</f>
        <v/>
      </c>
      <c r="Q2206" s="317" t="str">
        <f t="shared" si="168"/>
        <v/>
      </c>
      <c r="R2206" s="317" t="str">
        <f t="shared" si="169"/>
        <v/>
      </c>
      <c r="S2206" s="317" t="str">
        <f t="shared" si="170"/>
        <v/>
      </c>
      <c r="T2206" s="317" t="str">
        <f>GLOBAL_DER_FEV_2023!S2206</f>
        <v/>
      </c>
      <c r="W2206" s="582">
        <v>0</v>
      </c>
      <c r="X2206" s="580"/>
      <c r="Y2206" s="583">
        <f>IF(GLOBAL_DER_FEV_2023!W2206=0,0,IF(GLOBAL_DER_FEV_2023!W2206&gt;0,"c","b"))</f>
        <v>0</v>
      </c>
    </row>
    <row r="2207" spans="1:25" ht="15" hidden="1" customHeight="1" x14ac:dyDescent="0.2">
      <c r="A2207" s="317" t="s">
        <v>105</v>
      </c>
      <c r="B2207" s="895" t="s">
        <v>105</v>
      </c>
      <c r="C2207" s="896" t="s">
        <v>184</v>
      </c>
      <c r="D2207" s="906" t="s">
        <v>92</v>
      </c>
      <c r="E2207" s="907">
        <f>GLOBAL_DER_FEV_2023!E2207</f>
        <v>0</v>
      </c>
      <c r="F2207" s="908">
        <f>GLOBAL_DER_FEV_2023!F2207</f>
        <v>0</v>
      </c>
      <c r="G2207" s="912">
        <f>GLOBAL_DER_FEV_2023!G2207</f>
        <v>475.15433669600003</v>
      </c>
      <c r="H2207" s="901">
        <f>GLOBAL_DER_FEV_2023!H2207</f>
        <v>4886.76</v>
      </c>
      <c r="I2207" s="901">
        <f>GLOBAL_DER_FEV_2023!I2207</f>
        <v>5361.9143366960006</v>
      </c>
      <c r="J2207" s="902">
        <f>GLOBAL_DER_FEV_2023!J2207</f>
        <v>6438.05</v>
      </c>
      <c r="K2207" s="903" t="s">
        <v>15</v>
      </c>
      <c r="L2207" s="1137"/>
      <c r="M2207" s="1138">
        <f t="shared" si="167"/>
        <v>0</v>
      </c>
      <c r="N2207" s="1176">
        <f t="shared" si="166"/>
        <v>0</v>
      </c>
      <c r="O2207" s="905"/>
      <c r="Q2207" s="317" t="str">
        <f t="shared" si="168"/>
        <v/>
      </c>
      <c r="R2207" s="317" t="str">
        <f t="shared" si="169"/>
        <v/>
      </c>
      <c r="S2207" s="317" t="str">
        <f t="shared" si="170"/>
        <v/>
      </c>
      <c r="T2207" s="317" t="str">
        <f>GLOBAL_DER_FEV_2023!S2207</f>
        <v/>
      </c>
      <c r="W2207" s="582">
        <v>0</v>
      </c>
      <c r="X2207" s="580"/>
      <c r="Y2207" s="583">
        <f>IF(GLOBAL_DER_FEV_2023!W2207=0,0,IF(GLOBAL_DER_FEV_2023!W2207&gt;0,"c","b"))</f>
        <v>0</v>
      </c>
    </row>
    <row r="2208" spans="1:25" ht="15" hidden="1" customHeight="1" x14ac:dyDescent="0.2">
      <c r="A2208" s="317" t="s">
        <v>147</v>
      </c>
      <c r="B2208" s="895" t="s">
        <v>147</v>
      </c>
      <c r="C2208" s="896"/>
      <c r="D2208" s="906" t="s">
        <v>190</v>
      </c>
      <c r="E2208" s="907">
        <f>GLOBAL_DER_FEV_2023!E2208</f>
        <v>308</v>
      </c>
      <c r="F2208" s="908">
        <f>GLOBAL_DER_FEV_2023!F2208</f>
        <v>0.65242199999999995</v>
      </c>
      <c r="G2208" s="909">
        <f>GLOBAL_DER_FEV_2023!G2208</f>
        <v>161.83980131999999</v>
      </c>
      <c r="H2208" s="901">
        <f>GLOBAL_DER_FEV_2023!H2208</f>
        <v>0</v>
      </c>
      <c r="I2208" s="901">
        <f>GLOBAL_DER_FEV_2023!I2208</f>
        <v>0</v>
      </c>
      <c r="J2208" s="902">
        <f>GLOBAL_DER_FEV_2023!J2208</f>
        <v>0</v>
      </c>
      <c r="K2208" s="903"/>
      <c r="L2208" s="1177"/>
      <c r="M2208" s="1138">
        <f t="shared" si="167"/>
        <v>0</v>
      </c>
      <c r="N2208" s="1176">
        <f t="shared" si="166"/>
        <v>0</v>
      </c>
      <c r="O2208" s="905"/>
      <c r="P2208" s="36" t="str">
        <f>IF(N2207&gt;0,"xx",IF(N2207&gt;0,"xy",""))</f>
        <v/>
      </c>
      <c r="Q2208" s="317" t="str">
        <f t="shared" si="168"/>
        <v/>
      </c>
      <c r="R2208" s="317" t="str">
        <f t="shared" si="169"/>
        <v/>
      </c>
      <c r="S2208" s="317" t="str">
        <f t="shared" si="170"/>
        <v/>
      </c>
      <c r="T2208" s="317" t="str">
        <f>GLOBAL_DER_FEV_2023!S2208</f>
        <v/>
      </c>
      <c r="W2208" s="582">
        <v>0</v>
      </c>
      <c r="X2208" s="580"/>
      <c r="Y2208" s="583">
        <f>IF(GLOBAL_DER_FEV_2023!W2208=0,0,IF(GLOBAL_DER_FEV_2023!W2208&gt;0,"c","b"))</f>
        <v>0</v>
      </c>
    </row>
    <row r="2209" spans="1:25" ht="15" hidden="1" customHeight="1" x14ac:dyDescent="0.2">
      <c r="A2209" s="317" t="s">
        <v>147</v>
      </c>
      <c r="B2209" s="895" t="s">
        <v>147</v>
      </c>
      <c r="C2209" s="896"/>
      <c r="D2209" s="906" t="s">
        <v>229</v>
      </c>
      <c r="E2209" s="907">
        <f>GLOBAL_DER_FEV_2023!E2209</f>
        <v>150</v>
      </c>
      <c r="F2209" s="908">
        <f>GLOBAL_DER_FEV_2023!F2209</f>
        <v>1.8801829999999999</v>
      </c>
      <c r="G2209" s="949">
        <f>GLOBAL_DER_FEV_2023!G2209</f>
        <v>306.80826194000002</v>
      </c>
      <c r="H2209" s="901">
        <f>GLOBAL_DER_FEV_2023!H2209</f>
        <v>0</v>
      </c>
      <c r="I2209" s="901">
        <f>GLOBAL_DER_FEV_2023!I2209</f>
        <v>0</v>
      </c>
      <c r="J2209" s="902">
        <f>GLOBAL_DER_FEV_2023!J2209</f>
        <v>0</v>
      </c>
      <c r="K2209" s="903"/>
      <c r="L2209" s="1177"/>
      <c r="M2209" s="1138">
        <f t="shared" si="167"/>
        <v>0</v>
      </c>
      <c r="N2209" s="1176">
        <f t="shared" ref="N2209:N2272" si="171">IF(ISBLANK(L2209),0,IF(W2209=0,ROUND(L2209*M2209,2),IF(W2209="b",ROUNDDOWN(L2209*M2209,2),ROUNDUP(L2209*M2209,2))))</f>
        <v>0</v>
      </c>
      <c r="O2209" s="905"/>
      <c r="P2209" s="36" t="str">
        <f>IF(N2207&gt;0,"xx",IF(N2207&gt;0,"xy",""))</f>
        <v/>
      </c>
      <c r="Q2209" s="317" t="str">
        <f t="shared" si="168"/>
        <v/>
      </c>
      <c r="R2209" s="317" t="str">
        <f t="shared" si="169"/>
        <v/>
      </c>
      <c r="S2209" s="317" t="str">
        <f t="shared" si="170"/>
        <v/>
      </c>
      <c r="T2209" s="317" t="str">
        <f>GLOBAL_DER_FEV_2023!S2209</f>
        <v/>
      </c>
      <c r="W2209" s="582">
        <v>0</v>
      </c>
      <c r="X2209" s="580"/>
      <c r="Y2209" s="583">
        <f>IF(GLOBAL_DER_FEV_2023!W2209=0,0,IF(GLOBAL_DER_FEV_2023!W2209&gt;0,"c","b"))</f>
        <v>0</v>
      </c>
    </row>
    <row r="2210" spans="1:25" ht="15" hidden="1" customHeight="1" x14ac:dyDescent="0.2">
      <c r="A2210" s="317" t="s">
        <v>147</v>
      </c>
      <c r="B2210" s="895" t="s">
        <v>147</v>
      </c>
      <c r="C2210" s="896"/>
      <c r="D2210" s="906" t="s">
        <v>233</v>
      </c>
      <c r="E2210" s="907">
        <f>GLOBAL_DER_FEV_2023!E2210</f>
        <v>0.2</v>
      </c>
      <c r="F2210" s="908">
        <f>GLOBAL_DER_FEV_2023!F2210</f>
        <v>2.2481940000000002</v>
      </c>
      <c r="G2210" s="949">
        <f>GLOBAL_DER_FEV_2023!G2210</f>
        <v>6.5062734360000007</v>
      </c>
      <c r="H2210" s="901">
        <f>GLOBAL_DER_FEV_2023!H2210</f>
        <v>0</v>
      </c>
      <c r="I2210" s="901">
        <f>GLOBAL_DER_FEV_2023!I2210</f>
        <v>0</v>
      </c>
      <c r="J2210" s="902">
        <f>GLOBAL_DER_FEV_2023!J2210</f>
        <v>0</v>
      </c>
      <c r="K2210" s="903"/>
      <c r="L2210" s="1177"/>
      <c r="M2210" s="1138">
        <f t="shared" si="167"/>
        <v>0</v>
      </c>
      <c r="N2210" s="1176">
        <f t="shared" si="171"/>
        <v>0</v>
      </c>
      <c r="O2210" s="905"/>
      <c r="P2210" s="36" t="str">
        <f>IF(N2207&gt;0,"xx",IF(N2207&gt;0,"xy",""))</f>
        <v/>
      </c>
      <c r="Q2210" s="317" t="str">
        <f t="shared" si="168"/>
        <v/>
      </c>
      <c r="R2210" s="317" t="str">
        <f t="shared" si="169"/>
        <v/>
      </c>
      <c r="S2210" s="317" t="str">
        <f t="shared" si="170"/>
        <v/>
      </c>
      <c r="T2210" s="317" t="str">
        <f>GLOBAL_DER_FEV_2023!S2210</f>
        <v/>
      </c>
      <c r="W2210" s="582">
        <v>0</v>
      </c>
      <c r="X2210" s="580"/>
      <c r="Y2210" s="583">
        <f>IF(GLOBAL_DER_FEV_2023!W2210=0,0,IF(GLOBAL_DER_FEV_2023!W2210&gt;0,"c","b"))</f>
        <v>0</v>
      </c>
    </row>
    <row r="2211" spans="1:25" ht="15" hidden="1" customHeight="1" x14ac:dyDescent="0.2">
      <c r="A2211" s="317" t="s">
        <v>106</v>
      </c>
      <c r="B2211" s="895" t="s">
        <v>106</v>
      </c>
      <c r="C2211" s="896" t="s">
        <v>184</v>
      </c>
      <c r="D2211" s="906" t="s">
        <v>93</v>
      </c>
      <c r="E2211" s="907">
        <f>GLOBAL_DER_FEV_2023!E2211</f>
        <v>0</v>
      </c>
      <c r="F2211" s="908">
        <f>GLOBAL_DER_FEV_2023!F2211</f>
        <v>0</v>
      </c>
      <c r="G2211" s="912">
        <f>GLOBAL_DER_FEV_2023!G2211</f>
        <v>591.42263117599998</v>
      </c>
      <c r="H2211" s="901">
        <f>GLOBAL_DER_FEV_2023!H2211</f>
        <v>5931.1</v>
      </c>
      <c r="I2211" s="901">
        <f>GLOBAL_DER_FEV_2023!I2211</f>
        <v>6522.5226311760007</v>
      </c>
      <c r="J2211" s="902">
        <f>GLOBAL_DER_FEV_2023!J2211</f>
        <v>7831.59</v>
      </c>
      <c r="K2211" s="903" t="s">
        <v>15</v>
      </c>
      <c r="L2211" s="1137"/>
      <c r="M2211" s="1138">
        <f t="shared" si="167"/>
        <v>0</v>
      </c>
      <c r="N2211" s="1176">
        <f t="shared" si="171"/>
        <v>0</v>
      </c>
      <c r="O2211" s="905"/>
      <c r="Q2211" s="317" t="str">
        <f t="shared" si="168"/>
        <v/>
      </c>
      <c r="R2211" s="317" t="str">
        <f t="shared" si="169"/>
        <v/>
      </c>
      <c r="S2211" s="317" t="str">
        <f t="shared" si="170"/>
        <v/>
      </c>
      <c r="T2211" s="317" t="str">
        <f>GLOBAL_DER_FEV_2023!S2211</f>
        <v/>
      </c>
      <c r="W2211" s="582">
        <v>0</v>
      </c>
      <c r="X2211" s="580"/>
      <c r="Y2211" s="583">
        <f>IF(GLOBAL_DER_FEV_2023!W2211=0,0,IF(GLOBAL_DER_FEV_2023!W2211&gt;0,"c","b"))</f>
        <v>0</v>
      </c>
    </row>
    <row r="2212" spans="1:25" ht="15" hidden="1" customHeight="1" x14ac:dyDescent="0.2">
      <c r="A2212" s="317" t="s">
        <v>147</v>
      </c>
      <c r="B2212" s="895" t="s">
        <v>147</v>
      </c>
      <c r="C2212" s="896"/>
      <c r="D2212" s="906" t="s">
        <v>190</v>
      </c>
      <c r="E2212" s="907">
        <f>GLOBAL_DER_FEV_2023!E2212</f>
        <v>308</v>
      </c>
      <c r="F2212" s="908">
        <f>GLOBAL_DER_FEV_2023!F2212</f>
        <v>0.81544199999999989</v>
      </c>
      <c r="G2212" s="909">
        <f>GLOBAL_DER_FEV_2023!G2212</f>
        <v>202.27854251999997</v>
      </c>
      <c r="H2212" s="901">
        <f>GLOBAL_DER_FEV_2023!H2212</f>
        <v>0</v>
      </c>
      <c r="I2212" s="901">
        <f>GLOBAL_DER_FEV_2023!I2212</f>
        <v>0</v>
      </c>
      <c r="J2212" s="902">
        <f>GLOBAL_DER_FEV_2023!J2212</f>
        <v>0</v>
      </c>
      <c r="K2212" s="903"/>
      <c r="L2212" s="1177"/>
      <c r="M2212" s="1138">
        <f t="shared" si="167"/>
        <v>0</v>
      </c>
      <c r="N2212" s="1176">
        <f t="shared" si="171"/>
        <v>0</v>
      </c>
      <c r="O2212" s="905"/>
      <c r="P2212" s="36" t="str">
        <f>IF(N2211&gt;0,"xx",IF(N2211&gt;0,"xy",""))</f>
        <v/>
      </c>
      <c r="Q2212" s="317" t="str">
        <f t="shared" si="168"/>
        <v/>
      </c>
      <c r="R2212" s="317" t="str">
        <f t="shared" si="169"/>
        <v/>
      </c>
      <c r="S2212" s="317" t="str">
        <f t="shared" si="170"/>
        <v/>
      </c>
      <c r="T2212" s="317" t="str">
        <f>GLOBAL_DER_FEV_2023!S2212</f>
        <v/>
      </c>
      <c r="W2212" s="582">
        <v>0</v>
      </c>
      <c r="X2212" s="580"/>
      <c r="Y2212" s="583">
        <f>IF(GLOBAL_DER_FEV_2023!W2212=0,0,IF(GLOBAL_DER_FEV_2023!W2212&gt;0,"c","b"))</f>
        <v>0</v>
      </c>
    </row>
    <row r="2213" spans="1:25" ht="15" hidden="1" customHeight="1" x14ac:dyDescent="0.2">
      <c r="A2213" s="317" t="s">
        <v>147</v>
      </c>
      <c r="B2213" s="895" t="s">
        <v>147</v>
      </c>
      <c r="C2213" s="896"/>
      <c r="D2213" s="906" t="s">
        <v>229</v>
      </c>
      <c r="E2213" s="907">
        <f>GLOBAL_DER_FEV_2023!E2213</f>
        <v>150</v>
      </c>
      <c r="F2213" s="908">
        <f>GLOBAL_DER_FEV_2023!F2213</f>
        <v>2.3351569999999997</v>
      </c>
      <c r="G2213" s="949">
        <f>GLOBAL_DER_FEV_2023!G2213</f>
        <v>381.05091925999994</v>
      </c>
      <c r="H2213" s="901">
        <f>GLOBAL_DER_FEV_2023!H2213</f>
        <v>0</v>
      </c>
      <c r="I2213" s="901">
        <f>GLOBAL_DER_FEV_2023!I2213</f>
        <v>0</v>
      </c>
      <c r="J2213" s="902">
        <f>GLOBAL_DER_FEV_2023!J2213</f>
        <v>0</v>
      </c>
      <c r="K2213" s="903"/>
      <c r="L2213" s="1177"/>
      <c r="M2213" s="1138">
        <f t="shared" si="167"/>
        <v>0</v>
      </c>
      <c r="N2213" s="1176">
        <f t="shared" si="171"/>
        <v>0</v>
      </c>
      <c r="O2213" s="905"/>
      <c r="P2213" s="36" t="str">
        <f>IF(N2211&gt;0,"xx",IF(N2211&gt;0,"xy",""))</f>
        <v/>
      </c>
      <c r="Q2213" s="317" t="str">
        <f t="shared" si="168"/>
        <v/>
      </c>
      <c r="R2213" s="317" t="str">
        <f t="shared" si="169"/>
        <v/>
      </c>
      <c r="S2213" s="317" t="str">
        <f t="shared" si="170"/>
        <v/>
      </c>
      <c r="T2213" s="317" t="str">
        <f>GLOBAL_DER_FEV_2023!S2213</f>
        <v/>
      </c>
      <c r="W2213" s="582">
        <v>0</v>
      </c>
      <c r="X2213" s="580"/>
      <c r="Y2213" s="583">
        <f>IF(GLOBAL_DER_FEV_2023!W2213=0,0,IF(GLOBAL_DER_FEV_2023!W2213&gt;0,"c","b"))</f>
        <v>0</v>
      </c>
    </row>
    <row r="2214" spans="1:25" ht="15" hidden="1" customHeight="1" x14ac:dyDescent="0.2">
      <c r="A2214" s="317" t="s">
        <v>147</v>
      </c>
      <c r="B2214" s="895" t="s">
        <v>147</v>
      </c>
      <c r="C2214" s="896"/>
      <c r="D2214" s="906" t="s">
        <v>233</v>
      </c>
      <c r="E2214" s="907">
        <f>GLOBAL_DER_FEV_2023!E2214</f>
        <v>0.2</v>
      </c>
      <c r="F2214" s="908">
        <f>GLOBAL_DER_FEV_2023!F2214</f>
        <v>2.7965340000000003</v>
      </c>
      <c r="G2214" s="949">
        <f>GLOBAL_DER_FEV_2023!G2214</f>
        <v>8.0931693960000004</v>
      </c>
      <c r="H2214" s="901">
        <f>GLOBAL_DER_FEV_2023!H2214</f>
        <v>0</v>
      </c>
      <c r="I2214" s="901">
        <f>GLOBAL_DER_FEV_2023!I2214</f>
        <v>0</v>
      </c>
      <c r="J2214" s="902">
        <f>GLOBAL_DER_FEV_2023!J2214</f>
        <v>0</v>
      </c>
      <c r="K2214" s="903"/>
      <c r="L2214" s="1177"/>
      <c r="M2214" s="1138">
        <f t="shared" si="167"/>
        <v>0</v>
      </c>
      <c r="N2214" s="1176">
        <f t="shared" si="171"/>
        <v>0</v>
      </c>
      <c r="O2214" s="905"/>
      <c r="P2214" s="36" t="str">
        <f>IF(N2211&gt;0,"xx",IF(N2211&gt;0,"xy",""))</f>
        <v/>
      </c>
      <c r="Q2214" s="317" t="str">
        <f t="shared" si="168"/>
        <v/>
      </c>
      <c r="R2214" s="317" t="str">
        <f t="shared" si="169"/>
        <v/>
      </c>
      <c r="S2214" s="317" t="str">
        <f t="shared" si="170"/>
        <v/>
      </c>
      <c r="T2214" s="317" t="str">
        <f>GLOBAL_DER_FEV_2023!S2214</f>
        <v/>
      </c>
      <c r="W2214" s="582">
        <v>0</v>
      </c>
      <c r="X2214" s="580"/>
      <c r="Y2214" s="583">
        <f>IF(GLOBAL_DER_FEV_2023!W2214=0,0,IF(GLOBAL_DER_FEV_2023!W2214&gt;0,"c","b"))</f>
        <v>0</v>
      </c>
    </row>
    <row r="2215" spans="1:25" ht="15" hidden="1" customHeight="1" x14ac:dyDescent="0.2">
      <c r="A2215" s="317" t="s">
        <v>107</v>
      </c>
      <c r="B2215" s="895" t="s">
        <v>107</v>
      </c>
      <c r="C2215" s="896" t="s">
        <v>184</v>
      </c>
      <c r="D2215" s="906" t="s">
        <v>81</v>
      </c>
      <c r="E2215" s="907">
        <f>GLOBAL_DER_FEV_2023!E2215</f>
        <v>0</v>
      </c>
      <c r="F2215" s="908">
        <f>GLOBAL_DER_FEV_2023!F2215</f>
        <v>0</v>
      </c>
      <c r="G2215" s="912">
        <f>GLOBAL_DER_FEV_2023!G2215</f>
        <v>88.501804733055991</v>
      </c>
      <c r="H2215" s="901">
        <f>GLOBAL_DER_FEV_2023!H2215</f>
        <v>460.93</v>
      </c>
      <c r="I2215" s="901">
        <f>GLOBAL_DER_FEV_2023!I2215</f>
        <v>549.43180473305597</v>
      </c>
      <c r="J2215" s="902">
        <f>GLOBAL_DER_FEV_2023!J2215</f>
        <v>659.7</v>
      </c>
      <c r="K2215" s="903" t="s">
        <v>15</v>
      </c>
      <c r="L2215" s="1137"/>
      <c r="M2215" s="1138">
        <f t="shared" si="167"/>
        <v>0</v>
      </c>
      <c r="N2215" s="1176">
        <f t="shared" si="171"/>
        <v>0</v>
      </c>
      <c r="O2215" s="905"/>
      <c r="Q2215" s="317" t="str">
        <f t="shared" si="168"/>
        <v/>
      </c>
      <c r="R2215" s="317" t="str">
        <f t="shared" si="169"/>
        <v/>
      </c>
      <c r="S2215" s="317" t="str">
        <f t="shared" si="170"/>
        <v/>
      </c>
      <c r="T2215" s="317" t="str">
        <f>GLOBAL_DER_FEV_2023!S2215</f>
        <v/>
      </c>
      <c r="W2215" s="582">
        <v>0</v>
      </c>
      <c r="X2215" s="580"/>
      <c r="Y2215" s="583">
        <f>IF(GLOBAL_DER_FEV_2023!W2215=0,0,IF(GLOBAL_DER_FEV_2023!W2215&gt;0,"c","b"))</f>
        <v>0</v>
      </c>
    </row>
    <row r="2216" spans="1:25" ht="15" hidden="1" customHeight="1" x14ac:dyDescent="0.2">
      <c r="A2216" s="317" t="s">
        <v>147</v>
      </c>
      <c r="B2216" s="895" t="s">
        <v>147</v>
      </c>
      <c r="C2216" s="896"/>
      <c r="D2216" s="906" t="s">
        <v>190</v>
      </c>
      <c r="E2216" s="907">
        <f>GLOBAL_DER_FEV_2023!E2216</f>
        <v>308</v>
      </c>
      <c r="F2216" s="908">
        <f>GLOBAL_DER_FEV_2023!F2216</f>
        <v>9.9453823999999996E-2</v>
      </c>
      <c r="G2216" s="909">
        <f>GLOBAL_DER_FEV_2023!G2216</f>
        <v>24.67051558144</v>
      </c>
      <c r="H2216" s="901">
        <f>GLOBAL_DER_FEV_2023!H2216</f>
        <v>0</v>
      </c>
      <c r="I2216" s="901">
        <f>GLOBAL_DER_FEV_2023!I2216</f>
        <v>0</v>
      </c>
      <c r="J2216" s="902">
        <f>GLOBAL_DER_FEV_2023!J2216</f>
        <v>0</v>
      </c>
      <c r="K2216" s="903"/>
      <c r="L2216" s="1177"/>
      <c r="M2216" s="1138">
        <f t="shared" si="167"/>
        <v>0</v>
      </c>
      <c r="N2216" s="1176">
        <f t="shared" si="171"/>
        <v>0</v>
      </c>
      <c r="O2216" s="905"/>
      <c r="P2216" s="36" t="str">
        <f>IF(N2215&gt;0,"xx",IF(N2215&gt;0,"xy",""))</f>
        <v/>
      </c>
      <c r="Q2216" s="317" t="str">
        <f t="shared" si="168"/>
        <v/>
      </c>
      <c r="R2216" s="317" t="str">
        <f t="shared" si="169"/>
        <v/>
      </c>
      <c r="S2216" s="317" t="str">
        <f t="shared" si="170"/>
        <v/>
      </c>
      <c r="T2216" s="317" t="str">
        <f>GLOBAL_DER_FEV_2023!S2216</f>
        <v/>
      </c>
      <c r="W2216" s="582">
        <v>0</v>
      </c>
      <c r="X2216" s="580"/>
      <c r="Y2216" s="583">
        <f>IF(GLOBAL_DER_FEV_2023!W2216=0,0,IF(GLOBAL_DER_FEV_2023!W2216&gt;0,"c","b"))</f>
        <v>0</v>
      </c>
    </row>
    <row r="2217" spans="1:25" ht="15" hidden="1" customHeight="1" x14ac:dyDescent="0.2">
      <c r="A2217" s="317" t="s">
        <v>147</v>
      </c>
      <c r="B2217" s="895" t="s">
        <v>147</v>
      </c>
      <c r="C2217" s="896"/>
      <c r="D2217" s="906" t="s">
        <v>229</v>
      </c>
      <c r="E2217" s="907">
        <f>GLOBAL_DER_FEV_2023!E2217</f>
        <v>150</v>
      </c>
      <c r="F2217" s="908">
        <f>GLOBAL_DER_FEV_2023!F2217</f>
        <v>0.3618486528</v>
      </c>
      <c r="G2217" s="949">
        <f>GLOBAL_DER_FEV_2023!G2217</f>
        <v>59.046463163904001</v>
      </c>
      <c r="H2217" s="901">
        <f>GLOBAL_DER_FEV_2023!H2217</f>
        <v>0</v>
      </c>
      <c r="I2217" s="901">
        <f>GLOBAL_DER_FEV_2023!I2217</f>
        <v>0</v>
      </c>
      <c r="J2217" s="902">
        <f>GLOBAL_DER_FEV_2023!J2217</f>
        <v>0</v>
      </c>
      <c r="K2217" s="903"/>
      <c r="L2217" s="1177"/>
      <c r="M2217" s="1138">
        <f t="shared" si="167"/>
        <v>0</v>
      </c>
      <c r="N2217" s="1176">
        <f t="shared" si="171"/>
        <v>0</v>
      </c>
      <c r="O2217" s="905"/>
      <c r="P2217" s="36" t="str">
        <f>IF(N2215&gt;0,"xx",IF(N2215&gt;0,"xy",""))</f>
        <v/>
      </c>
      <c r="Q2217" s="317" t="str">
        <f t="shared" si="168"/>
        <v/>
      </c>
      <c r="R2217" s="317" t="str">
        <f t="shared" si="169"/>
        <v/>
      </c>
      <c r="S2217" s="317" t="str">
        <f t="shared" si="170"/>
        <v/>
      </c>
      <c r="T2217" s="317" t="str">
        <f>GLOBAL_DER_FEV_2023!S2217</f>
        <v/>
      </c>
      <c r="W2217" s="582">
        <v>0</v>
      </c>
      <c r="X2217" s="580"/>
      <c r="Y2217" s="583">
        <f>IF(GLOBAL_DER_FEV_2023!W2217=0,0,IF(GLOBAL_DER_FEV_2023!W2217&gt;0,"c","b"))</f>
        <v>0</v>
      </c>
    </row>
    <row r="2218" spans="1:25" ht="15" hidden="1" customHeight="1" x14ac:dyDescent="0.2">
      <c r="A2218" s="317" t="s">
        <v>147</v>
      </c>
      <c r="B2218" s="895" t="s">
        <v>147</v>
      </c>
      <c r="C2218" s="896"/>
      <c r="D2218" s="906" t="s">
        <v>233</v>
      </c>
      <c r="E2218" s="907">
        <f>GLOBAL_DER_FEV_2023!E2218</f>
        <v>0.2</v>
      </c>
      <c r="F2218" s="908">
        <f>GLOBAL_DER_FEV_2023!F2218</f>
        <v>0.308576448</v>
      </c>
      <c r="G2218" s="949">
        <f>GLOBAL_DER_FEV_2023!G2218</f>
        <v>0.89302024051200002</v>
      </c>
      <c r="H2218" s="901">
        <f>GLOBAL_DER_FEV_2023!H2218</f>
        <v>0</v>
      </c>
      <c r="I2218" s="901">
        <f>GLOBAL_DER_FEV_2023!I2218</f>
        <v>0</v>
      </c>
      <c r="J2218" s="902">
        <f>GLOBAL_DER_FEV_2023!J2218</f>
        <v>0</v>
      </c>
      <c r="K2218" s="903"/>
      <c r="L2218" s="1177"/>
      <c r="M2218" s="1138">
        <f t="shared" si="167"/>
        <v>0</v>
      </c>
      <c r="N2218" s="1176">
        <f t="shared" si="171"/>
        <v>0</v>
      </c>
      <c r="O2218" s="905"/>
      <c r="P2218" s="36" t="str">
        <f>IF(N2215&gt;0,"xx",IF(N2215&gt;0,"xy",""))</f>
        <v/>
      </c>
      <c r="Q2218" s="317" t="str">
        <f t="shared" si="168"/>
        <v/>
      </c>
      <c r="R2218" s="317" t="str">
        <f t="shared" si="169"/>
        <v/>
      </c>
      <c r="S2218" s="317" t="str">
        <f t="shared" si="170"/>
        <v/>
      </c>
      <c r="T2218" s="317" t="str">
        <f>GLOBAL_DER_FEV_2023!S2218</f>
        <v/>
      </c>
      <c r="W2218" s="582">
        <v>0</v>
      </c>
      <c r="X2218" s="580"/>
      <c r="Y2218" s="583">
        <f>IF(GLOBAL_DER_FEV_2023!W2218=0,0,IF(GLOBAL_DER_FEV_2023!W2218&gt;0,"c","b"))</f>
        <v>0</v>
      </c>
    </row>
    <row r="2219" spans="1:25" ht="15" hidden="1" customHeight="1" x14ac:dyDescent="0.2">
      <c r="A2219" s="317" t="s">
        <v>147</v>
      </c>
      <c r="B2219" s="895" t="s">
        <v>147</v>
      </c>
      <c r="C2219" s="896"/>
      <c r="D2219" s="906" t="s">
        <v>365</v>
      </c>
      <c r="E2219" s="907">
        <f>GLOBAL_DER_FEV_2023!E2219</f>
        <v>10</v>
      </c>
      <c r="F2219" s="908">
        <f>GLOBAL_DER_FEV_2023!F2219</f>
        <v>0.17055359999999997</v>
      </c>
      <c r="G2219" s="949">
        <f>GLOBAL_DER_FEV_2023!G2219</f>
        <v>2.2820071679999998</v>
      </c>
      <c r="H2219" s="901">
        <f>GLOBAL_DER_FEV_2023!H2219</f>
        <v>0</v>
      </c>
      <c r="I2219" s="901">
        <f>GLOBAL_DER_FEV_2023!I2219</f>
        <v>0</v>
      </c>
      <c r="J2219" s="902">
        <f>GLOBAL_DER_FEV_2023!J2219</f>
        <v>0</v>
      </c>
      <c r="K2219" s="903"/>
      <c r="L2219" s="1177"/>
      <c r="M2219" s="1138">
        <f t="shared" si="167"/>
        <v>0</v>
      </c>
      <c r="N2219" s="1176">
        <f t="shared" si="171"/>
        <v>0</v>
      </c>
      <c r="O2219" s="905"/>
      <c r="P2219" s="36" t="str">
        <f>IF(N2215&gt;0,"xx",IF(N2215&gt;0,"xy",""))</f>
        <v/>
      </c>
      <c r="Q2219" s="317" t="str">
        <f t="shared" si="168"/>
        <v/>
      </c>
      <c r="R2219" s="317" t="str">
        <f t="shared" si="169"/>
        <v/>
      </c>
      <c r="S2219" s="317" t="str">
        <f t="shared" si="170"/>
        <v/>
      </c>
      <c r="T2219" s="317" t="str">
        <f>GLOBAL_DER_FEV_2023!S2219</f>
        <v/>
      </c>
      <c r="W2219" s="582">
        <v>0</v>
      </c>
      <c r="X2219" s="580"/>
      <c r="Y2219" s="583">
        <f>IF(GLOBAL_DER_FEV_2023!W2219=0,0,IF(GLOBAL_DER_FEV_2023!W2219&gt;0,"c","b"))</f>
        <v>0</v>
      </c>
    </row>
    <row r="2220" spans="1:25" ht="15" hidden="1" customHeight="1" x14ac:dyDescent="0.2">
      <c r="A2220" s="317" t="s">
        <v>147</v>
      </c>
      <c r="B2220" s="895" t="s">
        <v>147</v>
      </c>
      <c r="C2220" s="896"/>
      <c r="D2220" s="906" t="s">
        <v>366</v>
      </c>
      <c r="E2220" s="907">
        <f>GLOBAL_DER_FEV_2023!E2220</f>
        <v>353</v>
      </c>
      <c r="F2220" s="908">
        <f>GLOBAL_DER_FEV_2023!F2220</f>
        <v>5.6851199999999992E-3</v>
      </c>
      <c r="G2220" s="909">
        <f>GLOBAL_DER_FEV_2023!G2220</f>
        <v>1.6097985792</v>
      </c>
      <c r="H2220" s="901">
        <f>GLOBAL_DER_FEV_2023!H2220</f>
        <v>0</v>
      </c>
      <c r="I2220" s="901">
        <f>GLOBAL_DER_FEV_2023!I2220</f>
        <v>0</v>
      </c>
      <c r="J2220" s="902">
        <f>GLOBAL_DER_FEV_2023!J2220</f>
        <v>0</v>
      </c>
      <c r="K2220" s="903"/>
      <c r="L2220" s="1177"/>
      <c r="M2220" s="1138">
        <f t="shared" si="167"/>
        <v>0</v>
      </c>
      <c r="N2220" s="1176">
        <f t="shared" si="171"/>
        <v>0</v>
      </c>
      <c r="O2220" s="905"/>
      <c r="P2220" s="36" t="str">
        <f>IF(N2215&gt;0,"xx",IF(N2215&gt;0,"xy",""))</f>
        <v/>
      </c>
      <c r="Q2220" s="317" t="str">
        <f t="shared" si="168"/>
        <v/>
      </c>
      <c r="R2220" s="317" t="str">
        <f t="shared" si="169"/>
        <v/>
      </c>
      <c r="S2220" s="317" t="str">
        <f t="shared" si="170"/>
        <v/>
      </c>
      <c r="T2220" s="317" t="str">
        <f>GLOBAL_DER_FEV_2023!S2220</f>
        <v/>
      </c>
      <c r="W2220" s="582">
        <v>0</v>
      </c>
      <c r="X2220" s="580"/>
      <c r="Y2220" s="583">
        <f>IF(GLOBAL_DER_FEV_2023!W2220=0,0,IF(GLOBAL_DER_FEV_2023!W2220&gt;0,"c","b"))</f>
        <v>0</v>
      </c>
    </row>
    <row r="2221" spans="1:25" ht="15" hidden="1" customHeight="1" x14ac:dyDescent="0.2">
      <c r="A2221" s="317" t="s">
        <v>29</v>
      </c>
      <c r="B2221" s="895" t="s">
        <v>29</v>
      </c>
      <c r="C2221" s="896" t="s">
        <v>184</v>
      </c>
      <c r="D2221" s="906" t="s">
        <v>82</v>
      </c>
      <c r="E2221" s="907">
        <f>GLOBAL_DER_FEV_2023!E2221</f>
        <v>0</v>
      </c>
      <c r="F2221" s="908">
        <f>GLOBAL_DER_FEV_2023!F2221</f>
        <v>0</v>
      </c>
      <c r="G2221" s="912">
        <f>GLOBAL_DER_FEV_2023!G2221</f>
        <v>130.39101798592</v>
      </c>
      <c r="H2221" s="901">
        <f>GLOBAL_DER_FEV_2023!H2221</f>
        <v>702.1</v>
      </c>
      <c r="I2221" s="901">
        <f>GLOBAL_DER_FEV_2023!I2221</f>
        <v>832.49101798592005</v>
      </c>
      <c r="J2221" s="902">
        <f>GLOBAL_DER_FEV_2023!J2221</f>
        <v>999.57</v>
      </c>
      <c r="K2221" s="903" t="s">
        <v>15</v>
      </c>
      <c r="L2221" s="1137"/>
      <c r="M2221" s="1138">
        <f t="shared" si="167"/>
        <v>0</v>
      </c>
      <c r="N2221" s="1176">
        <f t="shared" si="171"/>
        <v>0</v>
      </c>
      <c r="O2221" s="905"/>
      <c r="Q2221" s="317" t="str">
        <f t="shared" si="168"/>
        <v/>
      </c>
      <c r="R2221" s="317" t="str">
        <f t="shared" si="169"/>
        <v/>
      </c>
      <c r="S2221" s="317" t="str">
        <f t="shared" si="170"/>
        <v/>
      </c>
      <c r="T2221" s="317" t="str">
        <f>GLOBAL_DER_FEV_2023!S2221</f>
        <v/>
      </c>
      <c r="W2221" s="582">
        <v>0</v>
      </c>
      <c r="X2221" s="580"/>
      <c r="Y2221" s="583">
        <f>IF(GLOBAL_DER_FEV_2023!W2221=0,0,IF(GLOBAL_DER_FEV_2023!W2221&gt;0,"c","b"))</f>
        <v>0</v>
      </c>
    </row>
    <row r="2222" spans="1:25" ht="15" hidden="1" customHeight="1" x14ac:dyDescent="0.2">
      <c r="A2222" s="317" t="s">
        <v>147</v>
      </c>
      <c r="B2222" s="895" t="s">
        <v>147</v>
      </c>
      <c r="C2222" s="896"/>
      <c r="D2222" s="906" t="s">
        <v>190</v>
      </c>
      <c r="E2222" s="907">
        <f>GLOBAL_DER_FEV_2023!E2222</f>
        <v>308</v>
      </c>
      <c r="F2222" s="908">
        <f>GLOBAL_DER_FEV_2023!F2222</f>
        <v>0.14735024000000002</v>
      </c>
      <c r="G2222" s="909">
        <f>GLOBAL_DER_FEV_2023!G2222</f>
        <v>36.551700534400005</v>
      </c>
      <c r="H2222" s="901">
        <f>GLOBAL_DER_FEV_2023!H2222</f>
        <v>0</v>
      </c>
      <c r="I2222" s="901">
        <f>GLOBAL_DER_FEV_2023!I2222</f>
        <v>0</v>
      </c>
      <c r="J2222" s="902">
        <f>GLOBAL_DER_FEV_2023!J2222</f>
        <v>0</v>
      </c>
      <c r="K2222" s="903"/>
      <c r="L2222" s="1177"/>
      <c r="M2222" s="1138">
        <f t="shared" si="167"/>
        <v>0</v>
      </c>
      <c r="N2222" s="1176">
        <f t="shared" si="171"/>
        <v>0</v>
      </c>
      <c r="O2222" s="905"/>
      <c r="P2222" s="36" t="str">
        <f>IF(N2221&gt;0,"xx",IF(N2221&gt;0,"xy",""))</f>
        <v/>
      </c>
      <c r="Q2222" s="317" t="str">
        <f t="shared" si="168"/>
        <v/>
      </c>
      <c r="R2222" s="317" t="str">
        <f t="shared" si="169"/>
        <v/>
      </c>
      <c r="S2222" s="317" t="str">
        <f t="shared" si="170"/>
        <v/>
      </c>
      <c r="T2222" s="317" t="str">
        <f>GLOBAL_DER_FEV_2023!S2222</f>
        <v/>
      </c>
      <c r="W2222" s="582">
        <v>0</v>
      </c>
      <c r="X2222" s="580"/>
      <c r="Y2222" s="583">
        <f>IF(GLOBAL_DER_FEV_2023!W2222=0,0,IF(GLOBAL_DER_FEV_2023!W2222&gt;0,"c","b"))</f>
        <v>0</v>
      </c>
    </row>
    <row r="2223" spans="1:25" ht="15" hidden="1" customHeight="1" x14ac:dyDescent="0.2">
      <c r="A2223" s="317" t="s">
        <v>147</v>
      </c>
      <c r="B2223" s="895" t="s">
        <v>147</v>
      </c>
      <c r="C2223" s="896"/>
      <c r="D2223" s="906" t="s">
        <v>229</v>
      </c>
      <c r="E2223" s="907">
        <f>GLOBAL_DER_FEV_2023!E2223</f>
        <v>150</v>
      </c>
      <c r="F2223" s="908">
        <f>GLOBAL_DER_FEV_2023!F2223</f>
        <v>0.52819569600000005</v>
      </c>
      <c r="G2223" s="949">
        <f>GLOBAL_DER_FEV_2023!G2223</f>
        <v>86.190973673280013</v>
      </c>
      <c r="H2223" s="901">
        <f>GLOBAL_DER_FEV_2023!H2223</f>
        <v>0</v>
      </c>
      <c r="I2223" s="901">
        <f>GLOBAL_DER_FEV_2023!I2223</f>
        <v>0</v>
      </c>
      <c r="J2223" s="902">
        <f>GLOBAL_DER_FEV_2023!J2223</f>
        <v>0</v>
      </c>
      <c r="K2223" s="903"/>
      <c r="L2223" s="1177"/>
      <c r="M2223" s="1138">
        <f t="shared" si="167"/>
        <v>0</v>
      </c>
      <c r="N2223" s="1176">
        <f t="shared" si="171"/>
        <v>0</v>
      </c>
      <c r="O2223" s="905"/>
      <c r="P2223" s="36" t="str">
        <f>IF(N2221&gt;0,"xx",IF(N2221&gt;0,"xy",""))</f>
        <v/>
      </c>
      <c r="Q2223" s="317" t="str">
        <f t="shared" si="168"/>
        <v/>
      </c>
      <c r="R2223" s="317" t="str">
        <f t="shared" si="169"/>
        <v/>
      </c>
      <c r="S2223" s="317" t="str">
        <f t="shared" si="170"/>
        <v/>
      </c>
      <c r="T2223" s="317" t="str">
        <f>GLOBAL_DER_FEV_2023!S2223</f>
        <v/>
      </c>
      <c r="W2223" s="582">
        <v>0</v>
      </c>
      <c r="X2223" s="580"/>
      <c r="Y2223" s="583">
        <f>IF(GLOBAL_DER_FEV_2023!W2223=0,0,IF(GLOBAL_DER_FEV_2023!W2223&gt;0,"c","b"))</f>
        <v>0</v>
      </c>
    </row>
    <row r="2224" spans="1:25" ht="15" hidden="1" customHeight="1" x14ac:dyDescent="0.2">
      <c r="A2224" s="317" t="s">
        <v>147</v>
      </c>
      <c r="B2224" s="895" t="s">
        <v>147</v>
      </c>
      <c r="C2224" s="896"/>
      <c r="D2224" s="906" t="s">
        <v>233</v>
      </c>
      <c r="E2224" s="907">
        <f>GLOBAL_DER_FEV_2023!E2224</f>
        <v>0.2</v>
      </c>
      <c r="F2224" s="908">
        <f>GLOBAL_DER_FEV_2023!F2224</f>
        <v>0.43353936000000004</v>
      </c>
      <c r="G2224" s="949">
        <f>GLOBAL_DER_FEV_2023!G2224</f>
        <v>1.2546629078400002</v>
      </c>
      <c r="H2224" s="901">
        <f>GLOBAL_DER_FEV_2023!H2224</f>
        <v>0</v>
      </c>
      <c r="I2224" s="901">
        <f>GLOBAL_DER_FEV_2023!I2224</f>
        <v>0</v>
      </c>
      <c r="J2224" s="902">
        <f>GLOBAL_DER_FEV_2023!J2224</f>
        <v>0</v>
      </c>
      <c r="K2224" s="903"/>
      <c r="L2224" s="1177"/>
      <c r="M2224" s="1138">
        <f t="shared" si="167"/>
        <v>0</v>
      </c>
      <c r="N2224" s="1176">
        <f t="shared" si="171"/>
        <v>0</v>
      </c>
      <c r="O2224" s="905"/>
      <c r="P2224" s="36" t="str">
        <f>IF(N2221&gt;0,"xx",IF(N2221&gt;0,"xy",""))</f>
        <v/>
      </c>
      <c r="Q2224" s="317" t="str">
        <f t="shared" si="168"/>
        <v/>
      </c>
      <c r="R2224" s="317" t="str">
        <f t="shared" si="169"/>
        <v/>
      </c>
      <c r="S2224" s="317" t="str">
        <f t="shared" si="170"/>
        <v/>
      </c>
      <c r="T2224" s="317" t="str">
        <f>GLOBAL_DER_FEV_2023!S2224</f>
        <v/>
      </c>
      <c r="W2224" s="582">
        <v>0</v>
      </c>
      <c r="X2224" s="580"/>
      <c r="Y2224" s="583">
        <f>IF(GLOBAL_DER_FEV_2023!W2224=0,0,IF(GLOBAL_DER_FEV_2023!W2224&gt;0,"c","b"))</f>
        <v>0</v>
      </c>
    </row>
    <row r="2225" spans="1:25" ht="15" hidden="1" customHeight="1" x14ac:dyDescent="0.2">
      <c r="A2225" s="317" t="s">
        <v>147</v>
      </c>
      <c r="B2225" s="895" t="s">
        <v>147</v>
      </c>
      <c r="C2225" s="896"/>
      <c r="D2225" s="906" t="s">
        <v>365</v>
      </c>
      <c r="E2225" s="907">
        <f>GLOBAL_DER_FEV_2023!E2225</f>
        <v>10</v>
      </c>
      <c r="F2225" s="908">
        <f>GLOBAL_DER_FEV_2023!F2225</f>
        <v>0.28019519999999998</v>
      </c>
      <c r="G2225" s="949">
        <f>GLOBAL_DER_FEV_2023!G2225</f>
        <v>3.7490117760000001</v>
      </c>
      <c r="H2225" s="901">
        <f>GLOBAL_DER_FEV_2023!H2225</f>
        <v>0</v>
      </c>
      <c r="I2225" s="901">
        <f>GLOBAL_DER_FEV_2023!I2225</f>
        <v>0</v>
      </c>
      <c r="J2225" s="902">
        <f>GLOBAL_DER_FEV_2023!J2225</f>
        <v>0</v>
      </c>
      <c r="K2225" s="903"/>
      <c r="L2225" s="1177"/>
      <c r="M2225" s="1138">
        <f t="shared" si="167"/>
        <v>0</v>
      </c>
      <c r="N2225" s="1176">
        <f t="shared" si="171"/>
        <v>0</v>
      </c>
      <c r="O2225" s="905"/>
      <c r="P2225" s="36" t="str">
        <f>IF(N2221&gt;0,"xx",IF(N2221&gt;0,"xy",""))</f>
        <v/>
      </c>
      <c r="Q2225" s="317" t="str">
        <f t="shared" si="168"/>
        <v/>
      </c>
      <c r="R2225" s="317" t="str">
        <f t="shared" si="169"/>
        <v/>
      </c>
      <c r="S2225" s="317" t="str">
        <f t="shared" si="170"/>
        <v/>
      </c>
      <c r="T2225" s="317" t="str">
        <f>GLOBAL_DER_FEV_2023!S2225</f>
        <v/>
      </c>
      <c r="W2225" s="582">
        <v>0</v>
      </c>
      <c r="X2225" s="580"/>
      <c r="Y2225" s="583">
        <f>IF(GLOBAL_DER_FEV_2023!W2225=0,0,IF(GLOBAL_DER_FEV_2023!W2225&gt;0,"c","b"))</f>
        <v>0</v>
      </c>
    </row>
    <row r="2226" spans="1:25" ht="15" hidden="1" customHeight="1" x14ac:dyDescent="0.2">
      <c r="A2226" s="317" t="s">
        <v>147</v>
      </c>
      <c r="B2226" s="895" t="s">
        <v>147</v>
      </c>
      <c r="C2226" s="896"/>
      <c r="D2226" s="906" t="s">
        <v>366</v>
      </c>
      <c r="E2226" s="907">
        <f>GLOBAL_DER_FEV_2023!E2226</f>
        <v>353</v>
      </c>
      <c r="F2226" s="908">
        <f>GLOBAL_DER_FEV_2023!F2226</f>
        <v>9.3398400000000003E-3</v>
      </c>
      <c r="G2226" s="909">
        <f>GLOBAL_DER_FEV_2023!G2226</f>
        <v>2.6446690944000002</v>
      </c>
      <c r="H2226" s="901">
        <f>GLOBAL_DER_FEV_2023!H2226</f>
        <v>0</v>
      </c>
      <c r="I2226" s="901">
        <f>GLOBAL_DER_FEV_2023!I2226</f>
        <v>0</v>
      </c>
      <c r="J2226" s="902">
        <f>GLOBAL_DER_FEV_2023!J2226</f>
        <v>0</v>
      </c>
      <c r="K2226" s="903"/>
      <c r="L2226" s="1177"/>
      <c r="M2226" s="1138">
        <f t="shared" si="167"/>
        <v>0</v>
      </c>
      <c r="N2226" s="1176">
        <f t="shared" si="171"/>
        <v>0</v>
      </c>
      <c r="O2226" s="905"/>
      <c r="P2226" s="36" t="str">
        <f>IF(N2221&gt;0,"xx",IF(N2221&gt;0,"xy",""))</f>
        <v/>
      </c>
      <c r="Q2226" s="317" t="str">
        <f t="shared" si="168"/>
        <v/>
      </c>
      <c r="R2226" s="317" t="str">
        <f t="shared" si="169"/>
        <v/>
      </c>
      <c r="S2226" s="317" t="str">
        <f t="shared" si="170"/>
        <v/>
      </c>
      <c r="T2226" s="317" t="str">
        <f>GLOBAL_DER_FEV_2023!S2226</f>
        <v/>
      </c>
      <c r="W2226" s="582">
        <v>0</v>
      </c>
      <c r="X2226" s="580"/>
      <c r="Y2226" s="583">
        <f>IF(GLOBAL_DER_FEV_2023!W2226=0,0,IF(GLOBAL_DER_FEV_2023!W2226&gt;0,"c","b"))</f>
        <v>0</v>
      </c>
    </row>
    <row r="2227" spans="1:25" ht="15" hidden="1" customHeight="1" x14ac:dyDescent="0.2">
      <c r="A2227" s="317" t="s">
        <v>30</v>
      </c>
      <c r="B2227" s="895" t="s">
        <v>30</v>
      </c>
      <c r="C2227" s="896" t="s">
        <v>184</v>
      </c>
      <c r="D2227" s="906" t="s">
        <v>58</v>
      </c>
      <c r="E2227" s="907">
        <f>GLOBAL_DER_FEV_2023!E2227</f>
        <v>0</v>
      </c>
      <c r="F2227" s="908">
        <f>GLOBAL_DER_FEV_2023!F2227</f>
        <v>0</v>
      </c>
      <c r="G2227" s="912">
        <f>GLOBAL_DER_FEV_2023!G2227</f>
        <v>237.28563252992004</v>
      </c>
      <c r="H2227" s="901">
        <f>GLOBAL_DER_FEV_2023!H2227</f>
        <v>1305.72</v>
      </c>
      <c r="I2227" s="901">
        <f>GLOBAL_DER_FEV_2023!I2227</f>
        <v>1543.0056325299201</v>
      </c>
      <c r="J2227" s="902">
        <f>GLOBAL_DER_FEV_2023!J2227</f>
        <v>1852.69</v>
      </c>
      <c r="K2227" s="903" t="s">
        <v>15</v>
      </c>
      <c r="L2227" s="1137"/>
      <c r="M2227" s="1138">
        <f t="shared" si="167"/>
        <v>0</v>
      </c>
      <c r="N2227" s="1176">
        <f t="shared" si="171"/>
        <v>0</v>
      </c>
      <c r="O2227" s="905"/>
      <c r="Q2227" s="317" t="str">
        <f t="shared" si="168"/>
        <v/>
      </c>
      <c r="R2227" s="317" t="str">
        <f t="shared" si="169"/>
        <v/>
      </c>
      <c r="S2227" s="317" t="str">
        <f t="shared" si="170"/>
        <v/>
      </c>
      <c r="T2227" s="317" t="str">
        <f>GLOBAL_DER_FEV_2023!S2227</f>
        <v/>
      </c>
      <c r="W2227" s="582">
        <v>0</v>
      </c>
      <c r="X2227" s="580"/>
      <c r="Y2227" s="583">
        <f>IF(GLOBAL_DER_FEV_2023!W2227=0,0,IF(GLOBAL_DER_FEV_2023!W2227&gt;0,"c","b"))</f>
        <v>0</v>
      </c>
    </row>
    <row r="2228" spans="1:25" ht="15" hidden="1" customHeight="1" x14ac:dyDescent="0.2">
      <c r="A2228" s="317" t="s">
        <v>147</v>
      </c>
      <c r="B2228" s="895" t="s">
        <v>147</v>
      </c>
      <c r="C2228" s="896"/>
      <c r="D2228" s="906" t="s">
        <v>190</v>
      </c>
      <c r="E2228" s="907">
        <f>GLOBAL_DER_FEV_2023!E2228</f>
        <v>308</v>
      </c>
      <c r="F2228" s="908">
        <f>GLOBAL_DER_FEV_2023!F2228</f>
        <v>0.25613760000000002</v>
      </c>
      <c r="G2228" s="909">
        <f>GLOBAL_DER_FEV_2023!G2228</f>
        <v>63.537493056000002</v>
      </c>
      <c r="H2228" s="901">
        <f>GLOBAL_DER_FEV_2023!H2228</f>
        <v>0</v>
      </c>
      <c r="I2228" s="901">
        <f>GLOBAL_DER_FEV_2023!I2228</f>
        <v>0</v>
      </c>
      <c r="J2228" s="902">
        <f>GLOBAL_DER_FEV_2023!J2228</f>
        <v>0</v>
      </c>
      <c r="K2228" s="903"/>
      <c r="L2228" s="1177"/>
      <c r="M2228" s="1138">
        <f t="shared" si="167"/>
        <v>0</v>
      </c>
      <c r="N2228" s="1176">
        <f t="shared" si="171"/>
        <v>0</v>
      </c>
      <c r="O2228" s="905"/>
      <c r="P2228" s="36" t="str">
        <f>IF(N2227&gt;0,"xx",IF(N2227&gt;0,"xy",""))</f>
        <v/>
      </c>
      <c r="Q2228" s="317" t="str">
        <f t="shared" si="168"/>
        <v/>
      </c>
      <c r="R2228" s="317" t="str">
        <f t="shared" si="169"/>
        <v/>
      </c>
      <c r="S2228" s="317" t="str">
        <f t="shared" si="170"/>
        <v/>
      </c>
      <c r="T2228" s="317" t="str">
        <f>GLOBAL_DER_FEV_2023!S2228</f>
        <v/>
      </c>
      <c r="W2228" s="582">
        <v>0</v>
      </c>
      <c r="X2228" s="580"/>
      <c r="Y2228" s="583">
        <f>IF(GLOBAL_DER_FEV_2023!W2228=0,0,IF(GLOBAL_DER_FEV_2023!W2228&gt;0,"c","b"))</f>
        <v>0</v>
      </c>
    </row>
    <row r="2229" spans="1:25" ht="15" hidden="1" customHeight="1" x14ac:dyDescent="0.2">
      <c r="A2229" s="317" t="s">
        <v>147</v>
      </c>
      <c r="B2229" s="895" t="s">
        <v>147</v>
      </c>
      <c r="C2229" s="896"/>
      <c r="D2229" s="906" t="s">
        <v>229</v>
      </c>
      <c r="E2229" s="907">
        <f>GLOBAL_DER_FEV_2023!E2229</f>
        <v>150</v>
      </c>
      <c r="F2229" s="908">
        <f>GLOBAL_DER_FEV_2023!F2229</f>
        <v>0.95694329600000005</v>
      </c>
      <c r="G2229" s="949">
        <f>GLOBAL_DER_FEV_2023!G2229</f>
        <v>156.15400704128001</v>
      </c>
      <c r="H2229" s="901">
        <f>GLOBAL_DER_FEV_2023!H2229</f>
        <v>0</v>
      </c>
      <c r="I2229" s="901">
        <f>GLOBAL_DER_FEV_2023!I2229</f>
        <v>0</v>
      </c>
      <c r="J2229" s="902">
        <f>GLOBAL_DER_FEV_2023!J2229</f>
        <v>0</v>
      </c>
      <c r="K2229" s="903"/>
      <c r="L2229" s="1177"/>
      <c r="M2229" s="1138">
        <f t="shared" si="167"/>
        <v>0</v>
      </c>
      <c r="N2229" s="1176">
        <f t="shared" si="171"/>
        <v>0</v>
      </c>
      <c r="O2229" s="905"/>
      <c r="P2229" s="36" t="str">
        <f>IF(N2227&gt;0,"xx",IF(N2227&gt;0,"xy",""))</f>
        <v/>
      </c>
      <c r="Q2229" s="317" t="str">
        <f t="shared" si="168"/>
        <v/>
      </c>
      <c r="R2229" s="317" t="str">
        <f t="shared" si="169"/>
        <v/>
      </c>
      <c r="S2229" s="317" t="str">
        <f t="shared" si="170"/>
        <v/>
      </c>
      <c r="T2229" s="317" t="str">
        <f>GLOBAL_DER_FEV_2023!S2229</f>
        <v/>
      </c>
      <c r="W2229" s="582">
        <v>0</v>
      </c>
      <c r="X2229" s="580"/>
      <c r="Y2229" s="583">
        <f>IF(GLOBAL_DER_FEV_2023!W2229=0,0,IF(GLOBAL_DER_FEV_2023!W2229&gt;0,"c","b"))</f>
        <v>0</v>
      </c>
    </row>
    <row r="2230" spans="1:25" ht="15" hidden="1" customHeight="1" x14ac:dyDescent="0.2">
      <c r="A2230" s="317" t="s">
        <v>147</v>
      </c>
      <c r="B2230" s="895" t="s">
        <v>147</v>
      </c>
      <c r="C2230" s="896"/>
      <c r="D2230" s="906" t="s">
        <v>233</v>
      </c>
      <c r="E2230" s="907">
        <f>GLOBAL_DER_FEV_2023!E2230</f>
        <v>0.2</v>
      </c>
      <c r="F2230" s="908">
        <f>GLOBAL_DER_FEV_2023!F2230</f>
        <v>0.70038336000000012</v>
      </c>
      <c r="G2230" s="949">
        <f>GLOBAL_DER_FEV_2023!G2230</f>
        <v>2.0269094438400006</v>
      </c>
      <c r="H2230" s="901">
        <f>GLOBAL_DER_FEV_2023!H2230</f>
        <v>0</v>
      </c>
      <c r="I2230" s="901">
        <f>GLOBAL_DER_FEV_2023!I2230</f>
        <v>0</v>
      </c>
      <c r="J2230" s="902">
        <f>GLOBAL_DER_FEV_2023!J2230</f>
        <v>0</v>
      </c>
      <c r="K2230" s="903"/>
      <c r="L2230" s="1177"/>
      <c r="M2230" s="1138">
        <f t="shared" si="167"/>
        <v>0</v>
      </c>
      <c r="N2230" s="1176">
        <f t="shared" si="171"/>
        <v>0</v>
      </c>
      <c r="O2230" s="905"/>
      <c r="P2230" s="36" t="str">
        <f>IF(N2227&gt;0,"xx",IF(N2227&gt;0,"xy",""))</f>
        <v/>
      </c>
      <c r="Q2230" s="317" t="str">
        <f t="shared" si="168"/>
        <v/>
      </c>
      <c r="R2230" s="317" t="str">
        <f t="shared" si="169"/>
        <v/>
      </c>
      <c r="S2230" s="317" t="str">
        <f t="shared" si="170"/>
        <v/>
      </c>
      <c r="T2230" s="317" t="str">
        <f>GLOBAL_DER_FEV_2023!S2230</f>
        <v/>
      </c>
      <c r="W2230" s="582">
        <v>0</v>
      </c>
      <c r="X2230" s="580"/>
      <c r="Y2230" s="583">
        <f>IF(GLOBAL_DER_FEV_2023!W2230=0,0,IF(GLOBAL_DER_FEV_2023!W2230&gt;0,"c","b"))</f>
        <v>0</v>
      </c>
    </row>
    <row r="2231" spans="1:25" ht="15" hidden="1" customHeight="1" x14ac:dyDescent="0.2">
      <c r="A2231" s="317" t="s">
        <v>147</v>
      </c>
      <c r="B2231" s="895" t="s">
        <v>147</v>
      </c>
      <c r="C2231" s="896"/>
      <c r="D2231" s="906" t="s">
        <v>365</v>
      </c>
      <c r="E2231" s="907">
        <f>GLOBAL_DER_FEV_2023!E2231</f>
        <v>10</v>
      </c>
      <c r="F2231" s="908">
        <f>GLOBAL_DER_FEV_2023!F2231</f>
        <v>0.6822144</v>
      </c>
      <c r="G2231" s="949">
        <f>GLOBAL_DER_FEV_2023!G2231</f>
        <v>9.128028672000001</v>
      </c>
      <c r="H2231" s="901">
        <f>GLOBAL_DER_FEV_2023!H2231</f>
        <v>0</v>
      </c>
      <c r="I2231" s="901">
        <f>GLOBAL_DER_FEV_2023!I2231</f>
        <v>0</v>
      </c>
      <c r="J2231" s="902">
        <f>GLOBAL_DER_FEV_2023!J2231</f>
        <v>0</v>
      </c>
      <c r="K2231" s="903"/>
      <c r="L2231" s="1177"/>
      <c r="M2231" s="1138">
        <f t="shared" si="167"/>
        <v>0</v>
      </c>
      <c r="N2231" s="1176">
        <f t="shared" si="171"/>
        <v>0</v>
      </c>
      <c r="O2231" s="905"/>
      <c r="P2231" s="36" t="str">
        <f>IF(N2227&gt;0,"xx",IF(N2227&gt;0,"xy",""))</f>
        <v/>
      </c>
      <c r="Q2231" s="317" t="str">
        <f t="shared" si="168"/>
        <v/>
      </c>
      <c r="R2231" s="317" t="str">
        <f t="shared" si="169"/>
        <v/>
      </c>
      <c r="S2231" s="317" t="str">
        <f t="shared" si="170"/>
        <v/>
      </c>
      <c r="T2231" s="317" t="str">
        <f>GLOBAL_DER_FEV_2023!S2231</f>
        <v/>
      </c>
      <c r="W2231" s="582">
        <v>0</v>
      </c>
      <c r="X2231" s="580"/>
      <c r="Y2231" s="583">
        <f>IF(GLOBAL_DER_FEV_2023!W2231=0,0,IF(GLOBAL_DER_FEV_2023!W2231&gt;0,"c","b"))</f>
        <v>0</v>
      </c>
    </row>
    <row r="2232" spans="1:25" ht="15" hidden="1" customHeight="1" x14ac:dyDescent="0.2">
      <c r="A2232" s="317" t="s">
        <v>147</v>
      </c>
      <c r="B2232" s="895" t="s">
        <v>147</v>
      </c>
      <c r="C2232" s="896"/>
      <c r="D2232" s="906" t="s">
        <v>366</v>
      </c>
      <c r="E2232" s="907">
        <f>GLOBAL_DER_FEV_2023!E2232</f>
        <v>353</v>
      </c>
      <c r="F2232" s="908">
        <f>GLOBAL_DER_FEV_2023!F2232</f>
        <v>2.274048E-2</v>
      </c>
      <c r="G2232" s="909">
        <f>GLOBAL_DER_FEV_2023!G2232</f>
        <v>6.439194316800001</v>
      </c>
      <c r="H2232" s="901">
        <f>GLOBAL_DER_FEV_2023!H2232</f>
        <v>0</v>
      </c>
      <c r="I2232" s="901">
        <f>GLOBAL_DER_FEV_2023!I2232</f>
        <v>0</v>
      </c>
      <c r="J2232" s="902">
        <f>GLOBAL_DER_FEV_2023!J2232</f>
        <v>0</v>
      </c>
      <c r="K2232" s="903"/>
      <c r="L2232" s="1177"/>
      <c r="M2232" s="1138">
        <f t="shared" si="167"/>
        <v>0</v>
      </c>
      <c r="N2232" s="1176">
        <f t="shared" si="171"/>
        <v>0</v>
      </c>
      <c r="O2232" s="905"/>
      <c r="P2232" s="36" t="str">
        <f>IF(N2227&gt;0,"xx",IF(N2227&gt;0,"xy",""))</f>
        <v/>
      </c>
      <c r="Q2232" s="317" t="str">
        <f t="shared" si="168"/>
        <v/>
      </c>
      <c r="R2232" s="317" t="str">
        <f t="shared" si="169"/>
        <v/>
      </c>
      <c r="S2232" s="317" t="str">
        <f t="shared" si="170"/>
        <v/>
      </c>
      <c r="T2232" s="317" t="str">
        <f>GLOBAL_DER_FEV_2023!S2232</f>
        <v/>
      </c>
      <c r="W2232" s="582">
        <v>0</v>
      </c>
      <c r="X2232" s="580"/>
      <c r="Y2232" s="583">
        <f>IF(GLOBAL_DER_FEV_2023!W2232=0,0,IF(GLOBAL_DER_FEV_2023!W2232&gt;0,"c","b"))</f>
        <v>0</v>
      </c>
    </row>
    <row r="2233" spans="1:25" ht="15" hidden="1" customHeight="1" x14ac:dyDescent="0.2">
      <c r="A2233" s="317" t="s">
        <v>31</v>
      </c>
      <c r="B2233" s="895" t="s">
        <v>31</v>
      </c>
      <c r="C2233" s="896" t="s">
        <v>184</v>
      </c>
      <c r="D2233" s="906" t="s">
        <v>59</v>
      </c>
      <c r="E2233" s="907">
        <f>GLOBAL_DER_FEV_2023!E2233</f>
        <v>0</v>
      </c>
      <c r="F2233" s="908">
        <f>GLOBAL_DER_FEV_2023!F2233</f>
        <v>0</v>
      </c>
      <c r="G2233" s="912">
        <f>GLOBAL_DER_FEV_2023!G2233</f>
        <v>310.56740786463996</v>
      </c>
      <c r="H2233" s="901">
        <f>GLOBAL_DER_FEV_2023!H2233</f>
        <v>1702.01</v>
      </c>
      <c r="I2233" s="901">
        <f>GLOBAL_DER_FEV_2023!I2233</f>
        <v>2012.57740786464</v>
      </c>
      <c r="J2233" s="902">
        <f>GLOBAL_DER_FEV_2023!J2233</f>
        <v>2416.5</v>
      </c>
      <c r="K2233" s="903" t="s">
        <v>15</v>
      </c>
      <c r="L2233" s="1137"/>
      <c r="M2233" s="1138">
        <f t="shared" si="167"/>
        <v>0</v>
      </c>
      <c r="N2233" s="1176">
        <f t="shared" si="171"/>
        <v>0</v>
      </c>
      <c r="O2233" s="905"/>
      <c r="Q2233" s="317" t="str">
        <f t="shared" si="168"/>
        <v/>
      </c>
      <c r="R2233" s="317" t="str">
        <f t="shared" si="169"/>
        <v/>
      </c>
      <c r="S2233" s="317" t="str">
        <f t="shared" si="170"/>
        <v/>
      </c>
      <c r="T2233" s="317" t="str">
        <f>GLOBAL_DER_FEV_2023!S2233</f>
        <v/>
      </c>
      <c r="W2233" s="582">
        <v>0</v>
      </c>
      <c r="X2233" s="580"/>
      <c r="Y2233" s="583">
        <f>IF(GLOBAL_DER_FEV_2023!W2233=0,0,IF(GLOBAL_DER_FEV_2023!W2233&gt;0,"c","b"))</f>
        <v>0</v>
      </c>
    </row>
    <row r="2234" spans="1:25" ht="15" hidden="1" customHeight="1" x14ac:dyDescent="0.2">
      <c r="A2234" s="317" t="s">
        <v>147</v>
      </c>
      <c r="B2234" s="895" t="s">
        <v>147</v>
      </c>
      <c r="C2234" s="896"/>
      <c r="D2234" s="906" t="s">
        <v>190</v>
      </c>
      <c r="E2234" s="907">
        <f>GLOBAL_DER_FEV_2023!E2234</f>
        <v>308</v>
      </c>
      <c r="F2234" s="908">
        <f>GLOBAL_DER_FEV_2023!F2234</f>
        <v>0.33109503999999995</v>
      </c>
      <c r="G2234" s="909">
        <f>GLOBAL_DER_FEV_2023!G2234</f>
        <v>82.131435622399991</v>
      </c>
      <c r="H2234" s="901">
        <f>GLOBAL_DER_FEV_2023!H2234</f>
        <v>0</v>
      </c>
      <c r="I2234" s="901">
        <f>GLOBAL_DER_FEV_2023!I2234</f>
        <v>0</v>
      </c>
      <c r="J2234" s="902">
        <f>GLOBAL_DER_FEV_2023!J2234</f>
        <v>0</v>
      </c>
      <c r="K2234" s="903"/>
      <c r="L2234" s="1177"/>
      <c r="M2234" s="1138">
        <f t="shared" si="167"/>
        <v>0</v>
      </c>
      <c r="N2234" s="1176">
        <f t="shared" si="171"/>
        <v>0</v>
      </c>
      <c r="O2234" s="905"/>
      <c r="P2234" s="36" t="str">
        <f>IF(N2233&gt;0,"xx",IF(N2233&gt;0,"xy",""))</f>
        <v/>
      </c>
      <c r="Q2234" s="317" t="str">
        <f t="shared" si="168"/>
        <v/>
      </c>
      <c r="R2234" s="317" t="str">
        <f t="shared" si="169"/>
        <v/>
      </c>
      <c r="S2234" s="317" t="str">
        <f t="shared" si="170"/>
        <v/>
      </c>
      <c r="T2234" s="317" t="str">
        <f>GLOBAL_DER_FEV_2023!S2234</f>
        <v/>
      </c>
      <c r="W2234" s="582">
        <v>0</v>
      </c>
      <c r="X2234" s="580"/>
      <c r="Y2234" s="583">
        <f>IF(GLOBAL_DER_FEV_2023!W2234=0,0,IF(GLOBAL_DER_FEV_2023!W2234&gt;0,"c","b"))</f>
        <v>0</v>
      </c>
    </row>
    <row r="2235" spans="1:25" ht="15" hidden="1" customHeight="1" x14ac:dyDescent="0.2">
      <c r="A2235" s="317" t="s">
        <v>147</v>
      </c>
      <c r="B2235" s="895" t="s">
        <v>147</v>
      </c>
      <c r="C2235" s="896"/>
      <c r="D2235" s="906" t="s">
        <v>229</v>
      </c>
      <c r="E2235" s="907">
        <f>GLOBAL_DER_FEV_2023!E2235</f>
        <v>150</v>
      </c>
      <c r="F2235" s="908">
        <f>GLOBAL_DER_FEV_2023!F2235</f>
        <v>1.2541824319999999</v>
      </c>
      <c r="G2235" s="949">
        <f>GLOBAL_DER_FEV_2023!G2235</f>
        <v>204.65748925375999</v>
      </c>
      <c r="H2235" s="901">
        <f>GLOBAL_DER_FEV_2023!H2235</f>
        <v>0</v>
      </c>
      <c r="I2235" s="901">
        <f>GLOBAL_DER_FEV_2023!I2235</f>
        <v>0</v>
      </c>
      <c r="J2235" s="902">
        <f>GLOBAL_DER_FEV_2023!J2235</f>
        <v>0</v>
      </c>
      <c r="K2235" s="903"/>
      <c r="L2235" s="1177"/>
      <c r="M2235" s="1138">
        <f t="shared" si="167"/>
        <v>0</v>
      </c>
      <c r="N2235" s="1176">
        <f t="shared" si="171"/>
        <v>0</v>
      </c>
      <c r="O2235" s="905"/>
      <c r="P2235" s="36" t="str">
        <f>IF(N2233&gt;0,"xx",IF(N2233&gt;0,"xy",""))</f>
        <v/>
      </c>
      <c r="Q2235" s="317" t="str">
        <f t="shared" si="168"/>
        <v/>
      </c>
      <c r="R2235" s="317" t="str">
        <f t="shared" si="169"/>
        <v/>
      </c>
      <c r="S2235" s="317" t="str">
        <f t="shared" si="170"/>
        <v/>
      </c>
      <c r="T2235" s="317" t="str">
        <f>GLOBAL_DER_FEV_2023!S2235</f>
        <v/>
      </c>
      <c r="W2235" s="582">
        <v>0</v>
      </c>
      <c r="X2235" s="580"/>
      <c r="Y2235" s="583">
        <f>IF(GLOBAL_DER_FEV_2023!W2235=0,0,IF(GLOBAL_DER_FEV_2023!W2235&gt;0,"c","b"))</f>
        <v>0</v>
      </c>
    </row>
    <row r="2236" spans="1:25" ht="15" hidden="1" customHeight="1" x14ac:dyDescent="0.2">
      <c r="A2236" s="317" t="s">
        <v>147</v>
      </c>
      <c r="B2236" s="895" t="s">
        <v>147</v>
      </c>
      <c r="C2236" s="896"/>
      <c r="D2236" s="906" t="s">
        <v>233</v>
      </c>
      <c r="E2236" s="907">
        <f>GLOBAL_DER_FEV_2023!E2236</f>
        <v>0.2</v>
      </c>
      <c r="F2236" s="908">
        <f>GLOBAL_DER_FEV_2023!F2236</f>
        <v>0.89487311999999997</v>
      </c>
      <c r="G2236" s="949">
        <f>GLOBAL_DER_FEV_2023!G2236</f>
        <v>2.5897628092799998</v>
      </c>
      <c r="H2236" s="901">
        <f>GLOBAL_DER_FEV_2023!H2236</f>
        <v>0</v>
      </c>
      <c r="I2236" s="901">
        <f>GLOBAL_DER_FEV_2023!I2236</f>
        <v>0</v>
      </c>
      <c r="J2236" s="902">
        <f>GLOBAL_DER_FEV_2023!J2236</f>
        <v>0</v>
      </c>
      <c r="K2236" s="903"/>
      <c r="L2236" s="1177"/>
      <c r="M2236" s="1138">
        <f t="shared" si="167"/>
        <v>0</v>
      </c>
      <c r="N2236" s="1176">
        <f t="shared" si="171"/>
        <v>0</v>
      </c>
      <c r="O2236" s="905"/>
      <c r="P2236" s="36" t="str">
        <f>IF(N2233&gt;0,"xx",IF(N2233&gt;0,"xy",""))</f>
        <v/>
      </c>
      <c r="Q2236" s="317" t="str">
        <f t="shared" si="168"/>
        <v/>
      </c>
      <c r="R2236" s="317" t="str">
        <f t="shared" si="169"/>
        <v/>
      </c>
      <c r="S2236" s="317" t="str">
        <f t="shared" si="170"/>
        <v/>
      </c>
      <c r="T2236" s="317" t="str">
        <f>GLOBAL_DER_FEV_2023!S2236</f>
        <v/>
      </c>
      <c r="W2236" s="582">
        <v>0</v>
      </c>
      <c r="X2236" s="580"/>
      <c r="Y2236" s="583">
        <f>IF(GLOBAL_DER_FEV_2023!W2236=0,0,IF(GLOBAL_DER_FEV_2023!W2236&gt;0,"c","b"))</f>
        <v>0</v>
      </c>
    </row>
    <row r="2237" spans="1:25" ht="15" hidden="1" customHeight="1" x14ac:dyDescent="0.2">
      <c r="A2237" s="317" t="s">
        <v>147</v>
      </c>
      <c r="B2237" s="895" t="s">
        <v>147</v>
      </c>
      <c r="C2237" s="896"/>
      <c r="D2237" s="906" t="s">
        <v>365</v>
      </c>
      <c r="E2237" s="907">
        <f>GLOBAL_DER_FEV_2023!E2237</f>
        <v>10</v>
      </c>
      <c r="F2237" s="908">
        <f>GLOBAL_DER_FEV_2023!F2237</f>
        <v>0.92856959999999988</v>
      </c>
      <c r="G2237" s="949">
        <f>GLOBAL_DER_FEV_2023!G2237</f>
        <v>12.424261247999999</v>
      </c>
      <c r="H2237" s="901">
        <f>GLOBAL_DER_FEV_2023!H2237</f>
        <v>0</v>
      </c>
      <c r="I2237" s="901">
        <f>GLOBAL_DER_FEV_2023!I2237</f>
        <v>0</v>
      </c>
      <c r="J2237" s="902">
        <f>GLOBAL_DER_FEV_2023!J2237</f>
        <v>0</v>
      </c>
      <c r="K2237" s="903"/>
      <c r="L2237" s="1177"/>
      <c r="M2237" s="1138">
        <f t="shared" si="167"/>
        <v>0</v>
      </c>
      <c r="N2237" s="1176">
        <f t="shared" si="171"/>
        <v>0</v>
      </c>
      <c r="O2237" s="905"/>
      <c r="P2237" s="36" t="str">
        <f>IF(N2233&gt;0,"xx",IF(N2233&gt;0,"xy",""))</f>
        <v/>
      </c>
      <c r="Q2237" s="317" t="str">
        <f t="shared" si="168"/>
        <v/>
      </c>
      <c r="R2237" s="317" t="str">
        <f t="shared" si="169"/>
        <v/>
      </c>
      <c r="S2237" s="317" t="str">
        <f t="shared" si="170"/>
        <v/>
      </c>
      <c r="T2237" s="317" t="str">
        <f>GLOBAL_DER_FEV_2023!S2237</f>
        <v/>
      </c>
      <c r="W2237" s="582">
        <v>0</v>
      </c>
      <c r="X2237" s="580"/>
      <c r="Y2237" s="583">
        <f>IF(GLOBAL_DER_FEV_2023!W2237=0,0,IF(GLOBAL_DER_FEV_2023!W2237&gt;0,"c","b"))</f>
        <v>0</v>
      </c>
    </row>
    <row r="2238" spans="1:25" ht="15" hidden="1" customHeight="1" x14ac:dyDescent="0.2">
      <c r="A2238" s="317" t="s">
        <v>147</v>
      </c>
      <c r="B2238" s="895" t="s">
        <v>147</v>
      </c>
      <c r="C2238" s="896"/>
      <c r="D2238" s="906" t="s">
        <v>366</v>
      </c>
      <c r="E2238" s="907">
        <f>GLOBAL_DER_FEV_2023!E2238</f>
        <v>353</v>
      </c>
      <c r="F2238" s="908">
        <f>GLOBAL_DER_FEV_2023!F2238</f>
        <v>3.0952319999999998E-2</v>
      </c>
      <c r="G2238" s="909">
        <f>GLOBAL_DER_FEV_2023!G2238</f>
        <v>8.7644589312000001</v>
      </c>
      <c r="H2238" s="901">
        <f>GLOBAL_DER_FEV_2023!H2238</f>
        <v>0</v>
      </c>
      <c r="I2238" s="901">
        <f>GLOBAL_DER_FEV_2023!I2238</f>
        <v>0</v>
      </c>
      <c r="J2238" s="902">
        <f>GLOBAL_DER_FEV_2023!J2238</f>
        <v>0</v>
      </c>
      <c r="K2238" s="903"/>
      <c r="L2238" s="1177"/>
      <c r="M2238" s="1138">
        <f t="shared" si="167"/>
        <v>0</v>
      </c>
      <c r="N2238" s="1176">
        <f t="shared" si="171"/>
        <v>0</v>
      </c>
      <c r="O2238" s="905"/>
      <c r="P2238" s="36" t="str">
        <f>IF(N2233&gt;0,"xx",IF(N2233&gt;0,"xy",""))</f>
        <v/>
      </c>
      <c r="Q2238" s="317" t="str">
        <f t="shared" si="168"/>
        <v/>
      </c>
      <c r="R2238" s="317" t="str">
        <f t="shared" si="169"/>
        <v/>
      </c>
      <c r="S2238" s="317" t="str">
        <f t="shared" si="170"/>
        <v/>
      </c>
      <c r="T2238" s="317" t="str">
        <f>GLOBAL_DER_FEV_2023!S2238</f>
        <v/>
      </c>
      <c r="W2238" s="582">
        <v>0</v>
      </c>
      <c r="X2238" s="580"/>
      <c r="Y2238" s="583">
        <f>IF(GLOBAL_DER_FEV_2023!W2238=0,0,IF(GLOBAL_DER_FEV_2023!W2238&gt;0,"c","b"))</f>
        <v>0</v>
      </c>
    </row>
    <row r="2239" spans="1:25" ht="15" hidden="1" customHeight="1" x14ac:dyDescent="0.2">
      <c r="A2239" s="317" t="s">
        <v>32</v>
      </c>
      <c r="B2239" s="895" t="s">
        <v>32</v>
      </c>
      <c r="C2239" s="896" t="s">
        <v>184</v>
      </c>
      <c r="D2239" s="906" t="s">
        <v>60</v>
      </c>
      <c r="E2239" s="907">
        <f>GLOBAL_DER_FEV_2023!E2239</f>
        <v>0</v>
      </c>
      <c r="F2239" s="908">
        <f>GLOBAL_DER_FEV_2023!F2239</f>
        <v>0</v>
      </c>
      <c r="G2239" s="912">
        <f>GLOBAL_DER_FEV_2023!G2239</f>
        <v>428.72220748736009</v>
      </c>
      <c r="H2239" s="901">
        <f>GLOBAL_DER_FEV_2023!H2239</f>
        <v>2343.36</v>
      </c>
      <c r="I2239" s="901">
        <f>GLOBAL_DER_FEV_2023!I2239</f>
        <v>2772.0822074873604</v>
      </c>
      <c r="J2239" s="902">
        <f>GLOBAL_DER_FEV_2023!J2239</f>
        <v>3328.44</v>
      </c>
      <c r="K2239" s="903" t="s">
        <v>15</v>
      </c>
      <c r="L2239" s="1137"/>
      <c r="M2239" s="1138">
        <f t="shared" si="167"/>
        <v>0</v>
      </c>
      <c r="N2239" s="1176">
        <f t="shared" si="171"/>
        <v>0</v>
      </c>
      <c r="O2239" s="905"/>
      <c r="Q2239" s="317" t="str">
        <f t="shared" si="168"/>
        <v/>
      </c>
      <c r="R2239" s="317" t="str">
        <f t="shared" si="169"/>
        <v/>
      </c>
      <c r="S2239" s="317" t="str">
        <f t="shared" si="170"/>
        <v/>
      </c>
      <c r="T2239" s="317" t="str">
        <f>GLOBAL_DER_FEV_2023!S2239</f>
        <v/>
      </c>
      <c r="W2239" s="582">
        <v>0</v>
      </c>
      <c r="X2239" s="580"/>
      <c r="Y2239" s="583">
        <f>IF(GLOBAL_DER_FEV_2023!W2239=0,0,IF(GLOBAL_DER_FEV_2023!W2239&gt;0,"c","b"))</f>
        <v>0</v>
      </c>
    </row>
    <row r="2240" spans="1:25" ht="15" hidden="1" customHeight="1" x14ac:dyDescent="0.2">
      <c r="A2240" s="317" t="s">
        <v>147</v>
      </c>
      <c r="B2240" s="895" t="s">
        <v>147</v>
      </c>
      <c r="C2240" s="896"/>
      <c r="D2240" s="906" t="s">
        <v>190</v>
      </c>
      <c r="E2240" s="907">
        <f>GLOBAL_DER_FEV_2023!E2240</f>
        <v>308</v>
      </c>
      <c r="F2240" s="908">
        <f>GLOBAL_DER_FEV_2023!F2240</f>
        <v>0.45250179200000007</v>
      </c>
      <c r="G2240" s="909">
        <f>GLOBAL_DER_FEV_2023!G2240</f>
        <v>112.24759452352002</v>
      </c>
      <c r="H2240" s="901">
        <f>GLOBAL_DER_FEV_2023!H2240</f>
        <v>0</v>
      </c>
      <c r="I2240" s="901">
        <f>GLOBAL_DER_FEV_2023!I2240</f>
        <v>0</v>
      </c>
      <c r="J2240" s="902">
        <f>GLOBAL_DER_FEV_2023!J2240</f>
        <v>0</v>
      </c>
      <c r="K2240" s="903"/>
      <c r="L2240" s="1177"/>
      <c r="M2240" s="1138">
        <f t="shared" si="167"/>
        <v>0</v>
      </c>
      <c r="N2240" s="1176">
        <f t="shared" si="171"/>
        <v>0</v>
      </c>
      <c r="O2240" s="905"/>
      <c r="P2240" s="36" t="str">
        <f>IF(N2239&gt;0,"xx",IF(N2239&gt;0,"xy",""))</f>
        <v/>
      </c>
      <c r="Q2240" s="317" t="str">
        <f t="shared" si="168"/>
        <v/>
      </c>
      <c r="R2240" s="317" t="str">
        <f t="shared" si="169"/>
        <v/>
      </c>
      <c r="S2240" s="317" t="str">
        <f t="shared" si="170"/>
        <v/>
      </c>
      <c r="T2240" s="317" t="str">
        <f>GLOBAL_DER_FEV_2023!S2240</f>
        <v/>
      </c>
      <c r="W2240" s="582">
        <v>0</v>
      </c>
      <c r="X2240" s="580"/>
      <c r="Y2240" s="583">
        <f>IF(GLOBAL_DER_FEV_2023!W2240=0,0,IF(GLOBAL_DER_FEV_2023!W2240&gt;0,"c","b"))</f>
        <v>0</v>
      </c>
    </row>
    <row r="2241" spans="1:25" ht="15" hidden="1" customHeight="1" x14ac:dyDescent="0.2">
      <c r="A2241" s="317" t="s">
        <v>147</v>
      </c>
      <c r="B2241" s="895" t="s">
        <v>147</v>
      </c>
      <c r="C2241" s="896"/>
      <c r="D2241" s="906" t="s">
        <v>229</v>
      </c>
      <c r="E2241" s="907">
        <f>GLOBAL_DER_FEV_2023!E2241</f>
        <v>150</v>
      </c>
      <c r="F2241" s="908">
        <f>GLOBAL_DER_FEV_2023!F2241</f>
        <v>1.7334338080000002</v>
      </c>
      <c r="G2241" s="949">
        <f>GLOBAL_DER_FEV_2023!G2241</f>
        <v>282.86172878944006</v>
      </c>
      <c r="H2241" s="901">
        <f>GLOBAL_DER_FEV_2023!H2241</f>
        <v>0</v>
      </c>
      <c r="I2241" s="901">
        <f>GLOBAL_DER_FEV_2023!I2241</f>
        <v>0</v>
      </c>
      <c r="J2241" s="902">
        <f>GLOBAL_DER_FEV_2023!J2241</f>
        <v>0</v>
      </c>
      <c r="K2241" s="903"/>
      <c r="L2241" s="1177"/>
      <c r="M2241" s="1138">
        <f t="shared" si="167"/>
        <v>0</v>
      </c>
      <c r="N2241" s="1176">
        <f t="shared" si="171"/>
        <v>0</v>
      </c>
      <c r="O2241" s="905"/>
      <c r="P2241" s="36" t="str">
        <f>IF(N2239&gt;0,"xx",IF(N2239&gt;0,"xy",""))</f>
        <v/>
      </c>
      <c r="Q2241" s="317" t="str">
        <f t="shared" si="168"/>
        <v/>
      </c>
      <c r="R2241" s="317" t="str">
        <f t="shared" si="169"/>
        <v/>
      </c>
      <c r="S2241" s="317" t="str">
        <f t="shared" si="170"/>
        <v/>
      </c>
      <c r="T2241" s="317" t="str">
        <f>GLOBAL_DER_FEV_2023!S2241</f>
        <v/>
      </c>
      <c r="W2241" s="582">
        <v>0</v>
      </c>
      <c r="X2241" s="580"/>
      <c r="Y2241" s="583">
        <f>IF(GLOBAL_DER_FEV_2023!W2241=0,0,IF(GLOBAL_DER_FEV_2023!W2241&gt;0,"c","b"))</f>
        <v>0</v>
      </c>
    </row>
    <row r="2242" spans="1:25" ht="15" hidden="1" customHeight="1" x14ac:dyDescent="0.2">
      <c r="A2242" s="317" t="s">
        <v>147</v>
      </c>
      <c r="B2242" s="895" t="s">
        <v>147</v>
      </c>
      <c r="C2242" s="896"/>
      <c r="D2242" s="906" t="s">
        <v>233</v>
      </c>
      <c r="E2242" s="907">
        <f>GLOBAL_DER_FEV_2023!E2242</f>
        <v>0.2</v>
      </c>
      <c r="F2242" s="908">
        <f>GLOBAL_DER_FEV_2023!F2242</f>
        <v>1.2150148800000002</v>
      </c>
      <c r="G2242" s="949">
        <f>GLOBAL_DER_FEV_2023!G2242</f>
        <v>3.516253062720001</v>
      </c>
      <c r="H2242" s="901">
        <f>GLOBAL_DER_FEV_2023!H2242</f>
        <v>0</v>
      </c>
      <c r="I2242" s="901">
        <f>GLOBAL_DER_FEV_2023!I2242</f>
        <v>0</v>
      </c>
      <c r="J2242" s="902">
        <f>GLOBAL_DER_FEV_2023!J2242</f>
        <v>0</v>
      </c>
      <c r="K2242" s="903"/>
      <c r="L2242" s="1177"/>
      <c r="M2242" s="1138">
        <f t="shared" si="167"/>
        <v>0</v>
      </c>
      <c r="N2242" s="1176">
        <f t="shared" si="171"/>
        <v>0</v>
      </c>
      <c r="O2242" s="905"/>
      <c r="P2242" s="36" t="str">
        <f>IF(N2239&gt;0,"xx",IF(N2239&gt;0,"xy",""))</f>
        <v/>
      </c>
      <c r="Q2242" s="317" t="str">
        <f t="shared" si="168"/>
        <v/>
      </c>
      <c r="R2242" s="317" t="str">
        <f t="shared" si="169"/>
        <v/>
      </c>
      <c r="S2242" s="317" t="str">
        <f t="shared" si="170"/>
        <v/>
      </c>
      <c r="T2242" s="317" t="str">
        <f>GLOBAL_DER_FEV_2023!S2242</f>
        <v/>
      </c>
      <c r="W2242" s="582">
        <v>0</v>
      </c>
      <c r="X2242" s="580"/>
      <c r="Y2242" s="583">
        <f>IF(GLOBAL_DER_FEV_2023!W2242=0,0,IF(GLOBAL_DER_FEV_2023!W2242&gt;0,"c","b"))</f>
        <v>0</v>
      </c>
    </row>
    <row r="2243" spans="1:25" ht="15" hidden="1" customHeight="1" x14ac:dyDescent="0.2">
      <c r="A2243" s="317" t="s">
        <v>147</v>
      </c>
      <c r="B2243" s="895" t="s">
        <v>147</v>
      </c>
      <c r="C2243" s="896"/>
      <c r="D2243" s="906" t="s">
        <v>365</v>
      </c>
      <c r="E2243" s="907">
        <f>GLOBAL_DER_FEV_2023!E2243</f>
        <v>10</v>
      </c>
      <c r="F2243" s="908">
        <f>GLOBAL_DER_FEV_2023!F2243</f>
        <v>1.3189478400000001</v>
      </c>
      <c r="G2243" s="949">
        <f>GLOBAL_DER_FEV_2023!G2243</f>
        <v>17.647522099200003</v>
      </c>
      <c r="H2243" s="901">
        <f>GLOBAL_DER_FEV_2023!H2243</f>
        <v>0</v>
      </c>
      <c r="I2243" s="901">
        <f>GLOBAL_DER_FEV_2023!I2243</f>
        <v>0</v>
      </c>
      <c r="J2243" s="902">
        <f>GLOBAL_DER_FEV_2023!J2243</f>
        <v>0</v>
      </c>
      <c r="K2243" s="903"/>
      <c r="L2243" s="1177"/>
      <c r="M2243" s="1138">
        <f t="shared" si="167"/>
        <v>0</v>
      </c>
      <c r="N2243" s="1176">
        <f t="shared" si="171"/>
        <v>0</v>
      </c>
      <c r="O2243" s="905"/>
      <c r="P2243" s="36" t="str">
        <f>IF(N2239&gt;0,"xx",IF(N2239&gt;0,"xy",""))</f>
        <v/>
      </c>
      <c r="Q2243" s="317" t="str">
        <f t="shared" si="168"/>
        <v/>
      </c>
      <c r="R2243" s="317" t="str">
        <f t="shared" si="169"/>
        <v/>
      </c>
      <c r="S2243" s="317" t="str">
        <f t="shared" si="170"/>
        <v/>
      </c>
      <c r="T2243" s="317" t="str">
        <f>GLOBAL_DER_FEV_2023!S2243</f>
        <v/>
      </c>
      <c r="W2243" s="582">
        <v>0</v>
      </c>
      <c r="X2243" s="580"/>
      <c r="Y2243" s="583">
        <f>IF(GLOBAL_DER_FEV_2023!W2243=0,0,IF(GLOBAL_DER_FEV_2023!W2243&gt;0,"c","b"))</f>
        <v>0</v>
      </c>
    </row>
    <row r="2244" spans="1:25" ht="15" hidden="1" customHeight="1" x14ac:dyDescent="0.2">
      <c r="A2244" s="317" t="s">
        <v>147</v>
      </c>
      <c r="B2244" s="895" t="s">
        <v>147</v>
      </c>
      <c r="C2244" s="896"/>
      <c r="D2244" s="906" t="s">
        <v>366</v>
      </c>
      <c r="E2244" s="907">
        <f>GLOBAL_DER_FEV_2023!E2244</f>
        <v>353</v>
      </c>
      <c r="F2244" s="908">
        <f>GLOBAL_DER_FEV_2023!F2244</f>
        <v>4.3964928000000007E-2</v>
      </c>
      <c r="G2244" s="909">
        <f>GLOBAL_DER_FEV_2023!G2244</f>
        <v>12.449109012480003</v>
      </c>
      <c r="H2244" s="901">
        <f>GLOBAL_DER_FEV_2023!H2244</f>
        <v>0</v>
      </c>
      <c r="I2244" s="901">
        <f>GLOBAL_DER_FEV_2023!I2244</f>
        <v>0</v>
      </c>
      <c r="J2244" s="902">
        <f>GLOBAL_DER_FEV_2023!J2244</f>
        <v>0</v>
      </c>
      <c r="K2244" s="903"/>
      <c r="L2244" s="1177"/>
      <c r="M2244" s="1138">
        <f t="shared" si="167"/>
        <v>0</v>
      </c>
      <c r="N2244" s="1176">
        <f t="shared" si="171"/>
        <v>0</v>
      </c>
      <c r="O2244" s="905"/>
      <c r="P2244" s="36" t="str">
        <f>IF(N2239&gt;0,"xx",IF(N2239&gt;0,"xy",""))</f>
        <v/>
      </c>
      <c r="Q2244" s="317" t="str">
        <f t="shared" si="168"/>
        <v/>
      </c>
      <c r="R2244" s="317" t="str">
        <f t="shared" si="169"/>
        <v/>
      </c>
      <c r="S2244" s="317" t="str">
        <f t="shared" si="170"/>
        <v/>
      </c>
      <c r="T2244" s="317" t="str">
        <f>GLOBAL_DER_FEV_2023!S2244</f>
        <v/>
      </c>
      <c r="W2244" s="582">
        <v>0</v>
      </c>
      <c r="X2244" s="580"/>
      <c r="Y2244" s="583">
        <f>IF(GLOBAL_DER_FEV_2023!W2244=0,0,IF(GLOBAL_DER_FEV_2023!W2244&gt;0,"c","b"))</f>
        <v>0</v>
      </c>
    </row>
    <row r="2245" spans="1:25" ht="15" hidden="1" customHeight="1" x14ac:dyDescent="0.2">
      <c r="A2245" s="317" t="s">
        <v>108</v>
      </c>
      <c r="B2245" s="895" t="s">
        <v>108</v>
      </c>
      <c r="C2245" s="896" t="s">
        <v>184</v>
      </c>
      <c r="D2245" s="906" t="s">
        <v>375</v>
      </c>
      <c r="E2245" s="907">
        <f>GLOBAL_DER_FEV_2023!E2245</f>
        <v>0</v>
      </c>
      <c r="F2245" s="908">
        <f>GLOBAL_DER_FEV_2023!F2245</f>
        <v>0</v>
      </c>
      <c r="G2245" s="912">
        <f>GLOBAL_DER_FEV_2023!G2245</f>
        <v>99.712223971200018</v>
      </c>
      <c r="H2245" s="901">
        <f>GLOBAL_DER_FEV_2023!H2245</f>
        <v>452.08</v>
      </c>
      <c r="I2245" s="901">
        <f>GLOBAL_DER_FEV_2023!I2245</f>
        <v>551.79222397119997</v>
      </c>
      <c r="J2245" s="902">
        <f>GLOBAL_DER_FEV_2023!J2245</f>
        <v>662.54</v>
      </c>
      <c r="K2245" s="903" t="s">
        <v>15</v>
      </c>
      <c r="L2245" s="1137"/>
      <c r="M2245" s="1138">
        <f t="shared" si="167"/>
        <v>0</v>
      </c>
      <c r="N2245" s="1176">
        <f t="shared" si="171"/>
        <v>0</v>
      </c>
      <c r="O2245" s="905"/>
      <c r="Q2245" s="317" t="str">
        <f t="shared" si="168"/>
        <v/>
      </c>
      <c r="R2245" s="317" t="str">
        <f t="shared" si="169"/>
        <v/>
      </c>
      <c r="S2245" s="317" t="str">
        <f t="shared" si="170"/>
        <v/>
      </c>
      <c r="T2245" s="317" t="str">
        <f>GLOBAL_DER_FEV_2023!S2245</f>
        <v/>
      </c>
      <c r="W2245" s="582">
        <v>0</v>
      </c>
      <c r="X2245" s="580"/>
      <c r="Y2245" s="583">
        <f>IF(GLOBAL_DER_FEV_2023!W2245=0,0,IF(GLOBAL_DER_FEV_2023!W2245&gt;0,"c","b"))</f>
        <v>0</v>
      </c>
    </row>
    <row r="2246" spans="1:25" ht="15" hidden="1" customHeight="1" x14ac:dyDescent="0.2">
      <c r="A2246" s="317" t="s">
        <v>147</v>
      </c>
      <c r="B2246" s="895" t="s">
        <v>147</v>
      </c>
      <c r="C2246" s="896"/>
      <c r="D2246" s="906" t="s">
        <v>190</v>
      </c>
      <c r="E2246" s="907">
        <f>GLOBAL_DER_FEV_2023!E2246</f>
        <v>308</v>
      </c>
      <c r="F2246" s="908">
        <f>GLOBAL_DER_FEV_2023!F2246</f>
        <v>0.1320288</v>
      </c>
      <c r="G2246" s="909">
        <f>GLOBAL_DER_FEV_2023!G2246</f>
        <v>32.751064128000003</v>
      </c>
      <c r="H2246" s="901">
        <f>GLOBAL_DER_FEV_2023!H2246</f>
        <v>0</v>
      </c>
      <c r="I2246" s="901">
        <f>GLOBAL_DER_FEV_2023!I2246</f>
        <v>0</v>
      </c>
      <c r="J2246" s="902">
        <f>GLOBAL_DER_FEV_2023!J2246</f>
        <v>0</v>
      </c>
      <c r="K2246" s="903"/>
      <c r="L2246" s="1177"/>
      <c r="M2246" s="1138">
        <f t="shared" si="167"/>
        <v>0</v>
      </c>
      <c r="N2246" s="1176">
        <f t="shared" si="171"/>
        <v>0</v>
      </c>
      <c r="O2246" s="905"/>
      <c r="P2246" s="36" t="str">
        <f>IF(N2245&gt;0,"xx",IF(N2245&gt;0,"xy",""))</f>
        <v/>
      </c>
      <c r="Q2246" s="317" t="str">
        <f t="shared" si="168"/>
        <v/>
      </c>
      <c r="R2246" s="317" t="str">
        <f t="shared" si="169"/>
        <v/>
      </c>
      <c r="S2246" s="317" t="str">
        <f t="shared" si="170"/>
        <v/>
      </c>
      <c r="T2246" s="317" t="str">
        <f>GLOBAL_DER_FEV_2023!S2246</f>
        <v/>
      </c>
      <c r="W2246" s="582">
        <v>0</v>
      </c>
      <c r="X2246" s="580"/>
      <c r="Y2246" s="583">
        <f>IF(GLOBAL_DER_FEV_2023!W2246=0,0,IF(GLOBAL_DER_FEV_2023!W2246&gt;0,"c","b"))</f>
        <v>0</v>
      </c>
    </row>
    <row r="2247" spans="1:25" ht="15" hidden="1" customHeight="1" x14ac:dyDescent="0.2">
      <c r="A2247" s="317" t="s">
        <v>147</v>
      </c>
      <c r="B2247" s="895" t="s">
        <v>147</v>
      </c>
      <c r="C2247" s="896"/>
      <c r="D2247" s="906" t="s">
        <v>229</v>
      </c>
      <c r="E2247" s="907">
        <f>GLOBAL_DER_FEV_2023!E2247</f>
        <v>150</v>
      </c>
      <c r="F2247" s="908">
        <f>GLOBAL_DER_FEV_2023!F2247</f>
        <v>0.40193856</v>
      </c>
      <c r="G2247" s="949">
        <f>GLOBAL_DER_FEV_2023!G2247</f>
        <v>65.588334220800007</v>
      </c>
      <c r="H2247" s="901">
        <f>GLOBAL_DER_FEV_2023!H2247</f>
        <v>0</v>
      </c>
      <c r="I2247" s="901">
        <f>GLOBAL_DER_FEV_2023!I2247</f>
        <v>0</v>
      </c>
      <c r="J2247" s="902">
        <f>GLOBAL_DER_FEV_2023!J2247</f>
        <v>0</v>
      </c>
      <c r="K2247" s="903"/>
      <c r="L2247" s="1177"/>
      <c r="M2247" s="1138">
        <f t="shared" si="167"/>
        <v>0</v>
      </c>
      <c r="N2247" s="1176">
        <f t="shared" si="171"/>
        <v>0</v>
      </c>
      <c r="O2247" s="905"/>
      <c r="P2247" s="36" t="str">
        <f>IF(N2245&gt;0,"xx",IF(N2245&gt;0,"xy",""))</f>
        <v/>
      </c>
      <c r="Q2247" s="317" t="str">
        <f t="shared" si="168"/>
        <v/>
      </c>
      <c r="R2247" s="317" t="str">
        <f t="shared" si="169"/>
        <v/>
      </c>
      <c r="S2247" s="317" t="str">
        <f t="shared" si="170"/>
        <v/>
      </c>
      <c r="T2247" s="317" t="str">
        <f>GLOBAL_DER_FEV_2023!S2247</f>
        <v/>
      </c>
      <c r="W2247" s="582">
        <v>0</v>
      </c>
      <c r="X2247" s="580"/>
      <c r="Y2247" s="583">
        <f>IF(GLOBAL_DER_FEV_2023!W2247=0,0,IF(GLOBAL_DER_FEV_2023!W2247&gt;0,"c","b"))</f>
        <v>0</v>
      </c>
    </row>
    <row r="2248" spans="1:25" ht="15" hidden="1" customHeight="1" x14ac:dyDescent="0.2">
      <c r="A2248" s="317" t="s">
        <v>147</v>
      </c>
      <c r="B2248" s="895" t="s">
        <v>147</v>
      </c>
      <c r="C2248" s="896"/>
      <c r="D2248" s="906" t="s">
        <v>233</v>
      </c>
      <c r="E2248" s="907">
        <f>GLOBAL_DER_FEV_2023!E2248</f>
        <v>0.2</v>
      </c>
      <c r="F2248" s="908">
        <f>GLOBAL_DER_FEV_2023!F2248</f>
        <v>0.47436960000000006</v>
      </c>
      <c r="G2248" s="949">
        <f>GLOBAL_DER_FEV_2023!G2248</f>
        <v>1.3728256224000002</v>
      </c>
      <c r="H2248" s="901">
        <f>GLOBAL_DER_FEV_2023!H2248</f>
        <v>0</v>
      </c>
      <c r="I2248" s="901">
        <f>GLOBAL_DER_FEV_2023!I2248</f>
        <v>0</v>
      </c>
      <c r="J2248" s="902">
        <f>GLOBAL_DER_FEV_2023!J2248</f>
        <v>0</v>
      </c>
      <c r="K2248" s="903"/>
      <c r="L2248" s="1177"/>
      <c r="M2248" s="1138">
        <f t="shared" si="167"/>
        <v>0</v>
      </c>
      <c r="N2248" s="1176">
        <f t="shared" si="171"/>
        <v>0</v>
      </c>
      <c r="O2248" s="905"/>
      <c r="P2248" s="36" t="str">
        <f>IF(N2245&gt;0,"xx",IF(N2245&gt;0,"xy",""))</f>
        <v/>
      </c>
      <c r="Q2248" s="317" t="str">
        <f t="shared" si="168"/>
        <v/>
      </c>
      <c r="R2248" s="317" t="str">
        <f t="shared" si="169"/>
        <v/>
      </c>
      <c r="S2248" s="317" t="str">
        <f t="shared" si="170"/>
        <v/>
      </c>
      <c r="T2248" s="317" t="str">
        <f>GLOBAL_DER_FEV_2023!S2248</f>
        <v/>
      </c>
      <c r="W2248" s="582">
        <v>0</v>
      </c>
      <c r="X2248" s="580"/>
      <c r="Y2248" s="583">
        <f>IF(GLOBAL_DER_FEV_2023!W2248=0,0,IF(GLOBAL_DER_FEV_2023!W2248&gt;0,"c","b"))</f>
        <v>0</v>
      </c>
    </row>
    <row r="2249" spans="1:25" ht="15" hidden="1" customHeight="1" x14ac:dyDescent="0.2">
      <c r="A2249" s="317" t="s">
        <v>109</v>
      </c>
      <c r="B2249" s="895" t="s">
        <v>109</v>
      </c>
      <c r="C2249" s="896" t="s">
        <v>184</v>
      </c>
      <c r="D2249" s="906" t="s">
        <v>376</v>
      </c>
      <c r="E2249" s="907">
        <f>GLOBAL_DER_FEV_2023!E2249</f>
        <v>0</v>
      </c>
      <c r="F2249" s="908">
        <f>GLOBAL_DER_FEV_2023!F2249</f>
        <v>0</v>
      </c>
      <c r="G2249" s="912">
        <f>GLOBAL_DER_FEV_2023!G2249</f>
        <v>151.36217786520004</v>
      </c>
      <c r="H2249" s="901">
        <f>GLOBAL_DER_FEV_2023!H2249</f>
        <v>692.16</v>
      </c>
      <c r="I2249" s="901">
        <f>GLOBAL_DER_FEV_2023!I2249</f>
        <v>843.52217786519998</v>
      </c>
      <c r="J2249" s="902">
        <f>GLOBAL_DER_FEV_2023!J2249</f>
        <v>1012.82</v>
      </c>
      <c r="K2249" s="903" t="s">
        <v>15</v>
      </c>
      <c r="L2249" s="1137"/>
      <c r="M2249" s="1138">
        <f t="shared" si="167"/>
        <v>0</v>
      </c>
      <c r="N2249" s="1176">
        <f t="shared" si="171"/>
        <v>0</v>
      </c>
      <c r="O2249" s="905"/>
      <c r="Q2249" s="317" t="str">
        <f t="shared" si="168"/>
        <v/>
      </c>
      <c r="R2249" s="317" t="str">
        <f t="shared" si="169"/>
        <v/>
      </c>
      <c r="S2249" s="317" t="str">
        <f t="shared" si="170"/>
        <v/>
      </c>
      <c r="T2249" s="317" t="str">
        <f>GLOBAL_DER_FEV_2023!S2249</f>
        <v/>
      </c>
      <c r="W2249" s="582">
        <v>0</v>
      </c>
      <c r="X2249" s="580"/>
      <c r="Y2249" s="583">
        <f>IF(GLOBAL_DER_FEV_2023!W2249=0,0,IF(GLOBAL_DER_FEV_2023!W2249&gt;0,"c","b"))</f>
        <v>0</v>
      </c>
    </row>
    <row r="2250" spans="1:25" ht="15" hidden="1" customHeight="1" x14ac:dyDescent="0.2">
      <c r="A2250" s="317" t="s">
        <v>147</v>
      </c>
      <c r="B2250" s="895" t="s">
        <v>147</v>
      </c>
      <c r="C2250" s="896"/>
      <c r="D2250" s="906" t="s">
        <v>190</v>
      </c>
      <c r="E2250" s="907">
        <f>GLOBAL_DER_FEV_2023!E2250</f>
        <v>308</v>
      </c>
      <c r="F2250" s="908">
        <f>GLOBAL_DER_FEV_2023!F2250</f>
        <v>0.20444730000000003</v>
      </c>
      <c r="G2250" s="909">
        <f>GLOBAL_DER_FEV_2023!G2250</f>
        <v>50.715197238000009</v>
      </c>
      <c r="H2250" s="901">
        <f>GLOBAL_DER_FEV_2023!H2250</f>
        <v>0</v>
      </c>
      <c r="I2250" s="901">
        <f>GLOBAL_DER_FEV_2023!I2250</f>
        <v>0</v>
      </c>
      <c r="J2250" s="902">
        <f>GLOBAL_DER_FEV_2023!J2250</f>
        <v>0</v>
      </c>
      <c r="K2250" s="903"/>
      <c r="L2250" s="1177"/>
      <c r="M2250" s="1138">
        <f t="shared" si="167"/>
        <v>0</v>
      </c>
      <c r="N2250" s="1176">
        <f t="shared" si="171"/>
        <v>0</v>
      </c>
      <c r="O2250" s="905"/>
      <c r="P2250" s="36" t="str">
        <f>IF(N2249&gt;0,"xx",IF(N2249&gt;0,"xy",""))</f>
        <v/>
      </c>
      <c r="Q2250" s="317" t="str">
        <f t="shared" si="168"/>
        <v/>
      </c>
      <c r="R2250" s="317" t="str">
        <f t="shared" si="169"/>
        <v/>
      </c>
      <c r="S2250" s="317" t="str">
        <f t="shared" si="170"/>
        <v/>
      </c>
      <c r="T2250" s="317" t="str">
        <f>GLOBAL_DER_FEV_2023!S2250</f>
        <v/>
      </c>
      <c r="W2250" s="582">
        <v>0</v>
      </c>
      <c r="X2250" s="580"/>
      <c r="Y2250" s="583">
        <f>IF(GLOBAL_DER_FEV_2023!W2250=0,0,IF(GLOBAL_DER_FEV_2023!W2250&gt;0,"c","b"))</f>
        <v>0</v>
      </c>
    </row>
    <row r="2251" spans="1:25" ht="15" hidden="1" customHeight="1" x14ac:dyDescent="0.2">
      <c r="A2251" s="317" t="s">
        <v>147</v>
      </c>
      <c r="B2251" s="895" t="s">
        <v>147</v>
      </c>
      <c r="C2251" s="896"/>
      <c r="D2251" s="906" t="s">
        <v>229</v>
      </c>
      <c r="E2251" s="907">
        <f>GLOBAL_DER_FEV_2023!E2251</f>
        <v>150</v>
      </c>
      <c r="F2251" s="908">
        <f>GLOBAL_DER_FEV_2023!F2251</f>
        <v>0.60405201000000008</v>
      </c>
      <c r="G2251" s="949">
        <f>GLOBAL_DER_FEV_2023!G2251</f>
        <v>98.569206991800016</v>
      </c>
      <c r="H2251" s="901">
        <f>GLOBAL_DER_FEV_2023!H2251</f>
        <v>0</v>
      </c>
      <c r="I2251" s="901">
        <f>GLOBAL_DER_FEV_2023!I2251</f>
        <v>0</v>
      </c>
      <c r="J2251" s="902">
        <f>GLOBAL_DER_FEV_2023!J2251</f>
        <v>0</v>
      </c>
      <c r="K2251" s="903"/>
      <c r="L2251" s="1177"/>
      <c r="M2251" s="1138">
        <f t="shared" si="167"/>
        <v>0</v>
      </c>
      <c r="N2251" s="1176">
        <f t="shared" si="171"/>
        <v>0</v>
      </c>
      <c r="O2251" s="905"/>
      <c r="P2251" s="36" t="str">
        <f>IF(N2249&gt;0,"xx",IF(N2249&gt;0,"xy",""))</f>
        <v/>
      </c>
      <c r="Q2251" s="317" t="str">
        <f t="shared" si="168"/>
        <v/>
      </c>
      <c r="R2251" s="317" t="str">
        <f t="shared" si="169"/>
        <v/>
      </c>
      <c r="S2251" s="317" t="str">
        <f t="shared" si="170"/>
        <v/>
      </c>
      <c r="T2251" s="317" t="str">
        <f>GLOBAL_DER_FEV_2023!S2251</f>
        <v/>
      </c>
      <c r="W2251" s="582">
        <v>0</v>
      </c>
      <c r="X2251" s="580"/>
      <c r="Y2251" s="583">
        <f>IF(GLOBAL_DER_FEV_2023!W2251=0,0,IF(GLOBAL_DER_FEV_2023!W2251&gt;0,"c","b"))</f>
        <v>0</v>
      </c>
    </row>
    <row r="2252" spans="1:25" ht="15" hidden="1" customHeight="1" x14ac:dyDescent="0.2">
      <c r="A2252" s="317" t="s">
        <v>147</v>
      </c>
      <c r="B2252" s="895" t="s">
        <v>147</v>
      </c>
      <c r="C2252" s="896"/>
      <c r="D2252" s="906" t="s">
        <v>233</v>
      </c>
      <c r="E2252" s="907">
        <f>GLOBAL_DER_FEV_2023!E2252</f>
        <v>0.2</v>
      </c>
      <c r="F2252" s="908">
        <f>GLOBAL_DER_FEV_2023!F2252</f>
        <v>0.71795910000000007</v>
      </c>
      <c r="G2252" s="949">
        <f>GLOBAL_DER_FEV_2023!G2252</f>
        <v>2.0777736354000003</v>
      </c>
      <c r="H2252" s="901">
        <f>GLOBAL_DER_FEV_2023!H2252</f>
        <v>0</v>
      </c>
      <c r="I2252" s="901">
        <f>GLOBAL_DER_FEV_2023!I2252</f>
        <v>0</v>
      </c>
      <c r="J2252" s="902">
        <f>GLOBAL_DER_FEV_2023!J2252</f>
        <v>0</v>
      </c>
      <c r="K2252" s="903"/>
      <c r="L2252" s="1177"/>
      <c r="M2252" s="1138">
        <f t="shared" si="167"/>
        <v>0</v>
      </c>
      <c r="N2252" s="1176">
        <f t="shared" si="171"/>
        <v>0</v>
      </c>
      <c r="O2252" s="905"/>
      <c r="P2252" s="36" t="str">
        <f>IF(N2249&gt;0,"xx",IF(N2249&gt;0,"xy",""))</f>
        <v/>
      </c>
      <c r="Q2252" s="317" t="str">
        <f t="shared" si="168"/>
        <v/>
      </c>
      <c r="R2252" s="317" t="str">
        <f t="shared" si="169"/>
        <v/>
      </c>
      <c r="S2252" s="317" t="str">
        <f t="shared" si="170"/>
        <v/>
      </c>
      <c r="T2252" s="317" t="str">
        <f>GLOBAL_DER_FEV_2023!S2252</f>
        <v/>
      </c>
      <c r="W2252" s="582">
        <v>0</v>
      </c>
      <c r="X2252" s="580"/>
      <c r="Y2252" s="583">
        <f>IF(GLOBAL_DER_FEV_2023!W2252=0,0,IF(GLOBAL_DER_FEV_2023!W2252&gt;0,"c","b"))</f>
        <v>0</v>
      </c>
    </row>
    <row r="2253" spans="1:25" ht="15" hidden="1" customHeight="1" x14ac:dyDescent="0.2">
      <c r="A2253" s="317" t="s">
        <v>110</v>
      </c>
      <c r="B2253" s="895" t="s">
        <v>110</v>
      </c>
      <c r="C2253" s="896" t="s">
        <v>184</v>
      </c>
      <c r="D2253" s="906" t="s">
        <v>377</v>
      </c>
      <c r="E2253" s="907">
        <f>GLOBAL_DER_FEV_2023!E2253</f>
        <v>0</v>
      </c>
      <c r="F2253" s="908">
        <f>GLOBAL_DER_FEV_2023!F2253</f>
        <v>0</v>
      </c>
      <c r="G2253" s="912">
        <f>GLOBAL_DER_FEV_2023!G2253</f>
        <v>280.75668198979992</v>
      </c>
      <c r="H2253" s="901">
        <f>GLOBAL_DER_FEV_2023!H2253</f>
        <v>1210.17</v>
      </c>
      <c r="I2253" s="901">
        <f>GLOBAL_DER_FEV_2023!I2253</f>
        <v>1490.9266819898</v>
      </c>
      <c r="J2253" s="902">
        <f>GLOBAL_DER_FEV_2023!J2253</f>
        <v>1790.16</v>
      </c>
      <c r="K2253" s="903" t="s">
        <v>15</v>
      </c>
      <c r="L2253" s="1137"/>
      <c r="M2253" s="1138">
        <f t="shared" si="167"/>
        <v>0</v>
      </c>
      <c r="N2253" s="1176">
        <f t="shared" si="171"/>
        <v>0</v>
      </c>
      <c r="O2253" s="905"/>
      <c r="Q2253" s="317" t="str">
        <f t="shared" si="168"/>
        <v/>
      </c>
      <c r="R2253" s="317" t="str">
        <f t="shared" si="169"/>
        <v/>
      </c>
      <c r="S2253" s="317" t="str">
        <f t="shared" si="170"/>
        <v/>
      </c>
      <c r="T2253" s="317" t="str">
        <f>GLOBAL_DER_FEV_2023!S2253</f>
        <v/>
      </c>
      <c r="W2253" s="582">
        <v>0</v>
      </c>
      <c r="X2253" s="580"/>
      <c r="Y2253" s="583">
        <f>IF(GLOBAL_DER_FEV_2023!W2253=0,0,IF(GLOBAL_DER_FEV_2023!W2253&gt;0,"c","b"))</f>
        <v>0</v>
      </c>
    </row>
    <row r="2254" spans="1:25" ht="15" hidden="1" customHeight="1" x14ac:dyDescent="0.2">
      <c r="A2254" s="317" t="s">
        <v>147</v>
      </c>
      <c r="B2254" s="895" t="s">
        <v>147</v>
      </c>
      <c r="C2254" s="896"/>
      <c r="D2254" s="906" t="s">
        <v>190</v>
      </c>
      <c r="E2254" s="907">
        <f>GLOBAL_DER_FEV_2023!E2254</f>
        <v>308</v>
      </c>
      <c r="F2254" s="908">
        <f>GLOBAL_DER_FEV_2023!F2254</f>
        <v>0.38327894999999995</v>
      </c>
      <c r="G2254" s="909">
        <f>GLOBAL_DER_FEV_2023!G2254</f>
        <v>95.076176336999993</v>
      </c>
      <c r="H2254" s="901">
        <f>GLOBAL_DER_FEV_2023!H2254</f>
        <v>0</v>
      </c>
      <c r="I2254" s="901">
        <f>GLOBAL_DER_FEV_2023!I2254</f>
        <v>0</v>
      </c>
      <c r="J2254" s="902">
        <f>GLOBAL_DER_FEV_2023!J2254</f>
        <v>0</v>
      </c>
      <c r="K2254" s="903"/>
      <c r="L2254" s="1177"/>
      <c r="M2254" s="1138">
        <f t="shared" si="167"/>
        <v>0</v>
      </c>
      <c r="N2254" s="1176">
        <f t="shared" si="171"/>
        <v>0</v>
      </c>
      <c r="O2254" s="905"/>
      <c r="P2254" s="36" t="str">
        <f>IF(N2253&gt;0,"xx",IF(N2253&gt;0,"xy",""))</f>
        <v/>
      </c>
      <c r="Q2254" s="317" t="str">
        <f t="shared" si="168"/>
        <v/>
      </c>
      <c r="R2254" s="317" t="str">
        <f t="shared" si="169"/>
        <v/>
      </c>
      <c r="S2254" s="317" t="str">
        <f t="shared" si="170"/>
        <v/>
      </c>
      <c r="T2254" s="317" t="str">
        <f>GLOBAL_DER_FEV_2023!S2254</f>
        <v/>
      </c>
      <c r="W2254" s="582">
        <v>0</v>
      </c>
      <c r="X2254" s="580"/>
      <c r="Y2254" s="583">
        <f>IF(GLOBAL_DER_FEV_2023!W2254=0,0,IF(GLOBAL_DER_FEV_2023!W2254&gt;0,"c","b"))</f>
        <v>0</v>
      </c>
    </row>
    <row r="2255" spans="1:25" ht="15" hidden="1" customHeight="1" x14ac:dyDescent="0.2">
      <c r="A2255" s="317" t="s">
        <v>147</v>
      </c>
      <c r="B2255" s="895" t="s">
        <v>147</v>
      </c>
      <c r="C2255" s="896"/>
      <c r="D2255" s="906" t="s">
        <v>229</v>
      </c>
      <c r="E2255" s="907">
        <f>GLOBAL_DER_FEV_2023!E2255</f>
        <v>150</v>
      </c>
      <c r="F2255" s="908">
        <f>GLOBAL_DER_FEV_2023!F2255</f>
        <v>1.1143076149999998</v>
      </c>
      <c r="G2255" s="949">
        <f>GLOBAL_DER_FEV_2023!G2255</f>
        <v>181.83271661569998</v>
      </c>
      <c r="H2255" s="901">
        <f>GLOBAL_DER_FEV_2023!H2255</f>
        <v>0</v>
      </c>
      <c r="I2255" s="901">
        <f>GLOBAL_DER_FEV_2023!I2255</f>
        <v>0</v>
      </c>
      <c r="J2255" s="902">
        <f>GLOBAL_DER_FEV_2023!J2255</f>
        <v>0</v>
      </c>
      <c r="K2255" s="903"/>
      <c r="L2255" s="1177"/>
      <c r="M2255" s="1138">
        <f t="shared" si="167"/>
        <v>0</v>
      </c>
      <c r="N2255" s="1176">
        <f t="shared" si="171"/>
        <v>0</v>
      </c>
      <c r="O2255" s="905"/>
      <c r="P2255" s="36" t="str">
        <f>IF(N2253&gt;0,"xx",IF(N2253&gt;0,"xy",""))</f>
        <v/>
      </c>
      <c r="Q2255" s="317" t="str">
        <f t="shared" si="168"/>
        <v/>
      </c>
      <c r="R2255" s="317" t="str">
        <f t="shared" si="169"/>
        <v/>
      </c>
      <c r="S2255" s="317" t="str">
        <f t="shared" si="170"/>
        <v/>
      </c>
      <c r="T2255" s="317" t="str">
        <f>GLOBAL_DER_FEV_2023!S2255</f>
        <v/>
      </c>
      <c r="W2255" s="582">
        <v>0</v>
      </c>
      <c r="X2255" s="580"/>
      <c r="Y2255" s="583">
        <f>IF(GLOBAL_DER_FEV_2023!W2255=0,0,IF(GLOBAL_DER_FEV_2023!W2255&gt;0,"c","b"))</f>
        <v>0</v>
      </c>
    </row>
    <row r="2256" spans="1:25" ht="15" hidden="1" customHeight="1" x14ac:dyDescent="0.2">
      <c r="A2256" s="317" t="s">
        <v>147</v>
      </c>
      <c r="B2256" s="895" t="s">
        <v>147</v>
      </c>
      <c r="C2256" s="896"/>
      <c r="D2256" s="906" t="s">
        <v>233</v>
      </c>
      <c r="E2256" s="907">
        <f>GLOBAL_DER_FEV_2023!E2256</f>
        <v>0.2</v>
      </c>
      <c r="F2256" s="908">
        <f>GLOBAL_DER_FEV_2023!F2256</f>
        <v>1.3295746499999999</v>
      </c>
      <c r="G2256" s="949">
        <f>GLOBAL_DER_FEV_2023!G2256</f>
        <v>3.8477890370999996</v>
      </c>
      <c r="H2256" s="901">
        <f>GLOBAL_DER_FEV_2023!H2256</f>
        <v>0</v>
      </c>
      <c r="I2256" s="901">
        <f>GLOBAL_DER_FEV_2023!I2256</f>
        <v>0</v>
      </c>
      <c r="J2256" s="902">
        <f>GLOBAL_DER_FEV_2023!J2256</f>
        <v>0</v>
      </c>
      <c r="K2256" s="903"/>
      <c r="L2256" s="1177"/>
      <c r="M2256" s="1138">
        <f t="shared" si="167"/>
        <v>0</v>
      </c>
      <c r="N2256" s="1176">
        <f t="shared" si="171"/>
        <v>0</v>
      </c>
      <c r="O2256" s="905"/>
      <c r="P2256" s="36" t="str">
        <f>IF(N2253&gt;0,"xx",IF(N2253&gt;0,"xy",""))</f>
        <v/>
      </c>
      <c r="Q2256" s="317" t="str">
        <f t="shared" si="168"/>
        <v/>
      </c>
      <c r="R2256" s="317" t="str">
        <f t="shared" si="169"/>
        <v/>
      </c>
      <c r="S2256" s="317" t="str">
        <f t="shared" si="170"/>
        <v/>
      </c>
      <c r="T2256" s="317" t="str">
        <f>GLOBAL_DER_FEV_2023!S2256</f>
        <v/>
      </c>
      <c r="W2256" s="582">
        <v>0</v>
      </c>
      <c r="X2256" s="580"/>
      <c r="Y2256" s="583">
        <f>IF(GLOBAL_DER_FEV_2023!W2256=0,0,IF(GLOBAL_DER_FEV_2023!W2256&gt;0,"c","b"))</f>
        <v>0</v>
      </c>
    </row>
    <row r="2257" spans="1:25" ht="15" hidden="1" customHeight="1" x14ac:dyDescent="0.2">
      <c r="A2257" s="317" t="s">
        <v>111</v>
      </c>
      <c r="B2257" s="895" t="s">
        <v>111</v>
      </c>
      <c r="C2257" s="896" t="s">
        <v>184</v>
      </c>
      <c r="D2257" s="906" t="s">
        <v>378</v>
      </c>
      <c r="E2257" s="907">
        <f>GLOBAL_DER_FEV_2023!E2257</f>
        <v>0</v>
      </c>
      <c r="F2257" s="908">
        <f>GLOBAL_DER_FEV_2023!F2257</f>
        <v>0</v>
      </c>
      <c r="G2257" s="912">
        <f>GLOBAL_DER_FEV_2023!G2257</f>
        <v>412.48191319280005</v>
      </c>
      <c r="H2257" s="901">
        <f>GLOBAL_DER_FEV_2023!H2257</f>
        <v>1663.57</v>
      </c>
      <c r="I2257" s="901">
        <f>GLOBAL_DER_FEV_2023!I2257</f>
        <v>2076.0519131927999</v>
      </c>
      <c r="J2257" s="902">
        <f>GLOBAL_DER_FEV_2023!J2257</f>
        <v>2492.7199999999998</v>
      </c>
      <c r="K2257" s="903" t="s">
        <v>15</v>
      </c>
      <c r="L2257" s="1137"/>
      <c r="M2257" s="1138">
        <f t="shared" si="167"/>
        <v>0</v>
      </c>
      <c r="N2257" s="1176">
        <f t="shared" si="171"/>
        <v>0</v>
      </c>
      <c r="O2257" s="905"/>
      <c r="Q2257" s="317" t="str">
        <f t="shared" si="168"/>
        <v/>
      </c>
      <c r="R2257" s="317" t="str">
        <f t="shared" si="169"/>
        <v/>
      </c>
      <c r="S2257" s="317" t="str">
        <f t="shared" si="170"/>
        <v/>
      </c>
      <c r="T2257" s="317" t="str">
        <f>GLOBAL_DER_FEV_2023!S2257</f>
        <v/>
      </c>
      <c r="W2257" s="582">
        <v>0</v>
      </c>
      <c r="X2257" s="580"/>
      <c r="Y2257" s="583">
        <f>IF(GLOBAL_DER_FEV_2023!W2257=0,0,IF(GLOBAL_DER_FEV_2023!W2257&gt;0,"c","b"))</f>
        <v>0</v>
      </c>
    </row>
    <row r="2258" spans="1:25" ht="15" hidden="1" customHeight="1" x14ac:dyDescent="0.2">
      <c r="A2258" s="317" t="s">
        <v>147</v>
      </c>
      <c r="B2258" s="895" t="s">
        <v>147</v>
      </c>
      <c r="C2258" s="896"/>
      <c r="D2258" s="906" t="s">
        <v>190</v>
      </c>
      <c r="E2258" s="907">
        <f>GLOBAL_DER_FEV_2023!E2258</f>
        <v>308</v>
      </c>
      <c r="F2258" s="908">
        <f>GLOBAL_DER_FEV_2023!F2258</f>
        <v>0.56408220000000009</v>
      </c>
      <c r="G2258" s="909">
        <f>GLOBAL_DER_FEV_2023!G2258</f>
        <v>139.92623053200003</v>
      </c>
      <c r="H2258" s="901">
        <f>GLOBAL_DER_FEV_2023!H2258</f>
        <v>0</v>
      </c>
      <c r="I2258" s="901">
        <f>GLOBAL_DER_FEV_2023!I2258</f>
        <v>0</v>
      </c>
      <c r="J2258" s="902">
        <f>GLOBAL_DER_FEV_2023!J2258</f>
        <v>0</v>
      </c>
      <c r="K2258" s="903"/>
      <c r="L2258" s="1177"/>
      <c r="M2258" s="1138">
        <f t="shared" ref="M2258:M2321" si="172">IF(L2258=0,0,ROUND(J2258,2))</f>
        <v>0</v>
      </c>
      <c r="N2258" s="1176">
        <f t="shared" si="171"/>
        <v>0</v>
      </c>
      <c r="O2258" s="905"/>
      <c r="P2258" s="36" t="str">
        <f>IF(N2257&gt;0,"xx",IF(N2257&gt;0,"xy",""))</f>
        <v/>
      </c>
      <c r="Q2258" s="317" t="str">
        <f t="shared" si="168"/>
        <v/>
      </c>
      <c r="R2258" s="317" t="str">
        <f t="shared" si="169"/>
        <v/>
      </c>
      <c r="S2258" s="317" t="str">
        <f t="shared" si="170"/>
        <v/>
      </c>
      <c r="T2258" s="317" t="str">
        <f>GLOBAL_DER_FEV_2023!S2258</f>
        <v/>
      </c>
      <c r="W2258" s="582">
        <v>0</v>
      </c>
      <c r="X2258" s="580"/>
      <c r="Y2258" s="583">
        <f>IF(GLOBAL_DER_FEV_2023!W2258=0,0,IF(GLOBAL_DER_FEV_2023!W2258&gt;0,"c","b"))</f>
        <v>0</v>
      </c>
    </row>
    <row r="2259" spans="1:25" ht="15" hidden="1" customHeight="1" x14ac:dyDescent="0.2">
      <c r="A2259" s="317" t="s">
        <v>147</v>
      </c>
      <c r="B2259" s="895" t="s">
        <v>147</v>
      </c>
      <c r="C2259" s="896"/>
      <c r="D2259" s="906" t="s">
        <v>229</v>
      </c>
      <c r="E2259" s="907">
        <f>GLOBAL_DER_FEV_2023!E2259</f>
        <v>150</v>
      </c>
      <c r="F2259" s="908">
        <f>GLOBAL_DER_FEV_2023!F2259</f>
        <v>1.6356421400000001</v>
      </c>
      <c r="G2259" s="949">
        <f>GLOBAL_DER_FEV_2023!G2259</f>
        <v>266.90408440520002</v>
      </c>
      <c r="H2259" s="901">
        <f>GLOBAL_DER_FEV_2023!H2259</f>
        <v>0</v>
      </c>
      <c r="I2259" s="901">
        <f>GLOBAL_DER_FEV_2023!I2259</f>
        <v>0</v>
      </c>
      <c r="J2259" s="902">
        <f>GLOBAL_DER_FEV_2023!J2259</f>
        <v>0</v>
      </c>
      <c r="K2259" s="903"/>
      <c r="L2259" s="1177"/>
      <c r="M2259" s="1138">
        <f t="shared" si="172"/>
        <v>0</v>
      </c>
      <c r="N2259" s="1176">
        <f t="shared" si="171"/>
        <v>0</v>
      </c>
      <c r="O2259" s="905"/>
      <c r="P2259" s="36" t="str">
        <f>IF(N2257&gt;0,"xx",IF(N2257&gt;0,"xy",""))</f>
        <v/>
      </c>
      <c r="Q2259" s="317" t="str">
        <f t="shared" si="168"/>
        <v/>
      </c>
      <c r="R2259" s="317" t="str">
        <f t="shared" si="169"/>
        <v/>
      </c>
      <c r="S2259" s="317" t="str">
        <f t="shared" si="170"/>
        <v/>
      </c>
      <c r="T2259" s="317" t="str">
        <f>GLOBAL_DER_FEV_2023!S2259</f>
        <v/>
      </c>
      <c r="W2259" s="582">
        <v>0</v>
      </c>
      <c r="X2259" s="580"/>
      <c r="Y2259" s="583">
        <f>IF(GLOBAL_DER_FEV_2023!W2259=0,0,IF(GLOBAL_DER_FEV_2023!W2259&gt;0,"c","b"))</f>
        <v>0</v>
      </c>
    </row>
    <row r="2260" spans="1:25" ht="15" hidden="1" customHeight="1" x14ac:dyDescent="0.2">
      <c r="A2260" s="317" t="s">
        <v>147</v>
      </c>
      <c r="B2260" s="895" t="s">
        <v>147</v>
      </c>
      <c r="C2260" s="896"/>
      <c r="D2260" s="906" t="s">
        <v>233</v>
      </c>
      <c r="E2260" s="907">
        <f>GLOBAL_DER_FEV_2023!E2260</f>
        <v>0.2</v>
      </c>
      <c r="F2260" s="908">
        <f>GLOBAL_DER_FEV_2023!F2260</f>
        <v>1.9528674000000004</v>
      </c>
      <c r="G2260" s="949">
        <f>GLOBAL_DER_FEV_2023!G2260</f>
        <v>5.6515982556000015</v>
      </c>
      <c r="H2260" s="901">
        <f>GLOBAL_DER_FEV_2023!H2260</f>
        <v>0</v>
      </c>
      <c r="I2260" s="901">
        <f>GLOBAL_DER_FEV_2023!I2260</f>
        <v>0</v>
      </c>
      <c r="J2260" s="902">
        <f>GLOBAL_DER_FEV_2023!J2260</f>
        <v>0</v>
      </c>
      <c r="K2260" s="903"/>
      <c r="L2260" s="1177"/>
      <c r="M2260" s="1138">
        <f t="shared" si="172"/>
        <v>0</v>
      </c>
      <c r="N2260" s="1176">
        <f t="shared" si="171"/>
        <v>0</v>
      </c>
      <c r="O2260" s="905"/>
      <c r="P2260" s="36" t="str">
        <f>IF(N2257&gt;0,"xx",IF(N2257&gt;0,"xy",""))</f>
        <v/>
      </c>
      <c r="Q2260" s="317" t="str">
        <f t="shared" si="168"/>
        <v/>
      </c>
      <c r="R2260" s="317" t="str">
        <f t="shared" si="169"/>
        <v/>
      </c>
      <c r="S2260" s="317" t="str">
        <f t="shared" si="170"/>
        <v/>
      </c>
      <c r="T2260" s="317" t="str">
        <f>GLOBAL_DER_FEV_2023!S2260</f>
        <v/>
      </c>
      <c r="W2260" s="582">
        <v>0</v>
      </c>
      <c r="X2260" s="580"/>
      <c r="Y2260" s="583">
        <f>IF(GLOBAL_DER_FEV_2023!W2260=0,0,IF(GLOBAL_DER_FEV_2023!W2260&gt;0,"c","b"))</f>
        <v>0</v>
      </c>
    </row>
    <row r="2261" spans="1:25" ht="15" hidden="1" customHeight="1" x14ac:dyDescent="0.2">
      <c r="A2261" s="317" t="s">
        <v>112</v>
      </c>
      <c r="B2261" s="895" t="s">
        <v>112</v>
      </c>
      <c r="C2261" s="896" t="s">
        <v>184</v>
      </c>
      <c r="D2261" s="906" t="s">
        <v>379</v>
      </c>
      <c r="E2261" s="907">
        <f>GLOBAL_DER_FEV_2023!E2261</f>
        <v>0</v>
      </c>
      <c r="F2261" s="908">
        <f>GLOBAL_DER_FEV_2023!F2261</f>
        <v>0</v>
      </c>
      <c r="G2261" s="912">
        <f>GLOBAL_DER_FEV_2023!G2261</f>
        <v>570.60064910079996</v>
      </c>
      <c r="H2261" s="901">
        <f>GLOBAL_DER_FEV_2023!H2261</f>
        <v>2274.9899999999998</v>
      </c>
      <c r="I2261" s="901">
        <f>GLOBAL_DER_FEV_2023!I2261</f>
        <v>2845.5906491008</v>
      </c>
      <c r="J2261" s="902">
        <f>GLOBAL_DER_FEV_2023!J2261</f>
        <v>3416.7</v>
      </c>
      <c r="K2261" s="903" t="s">
        <v>15</v>
      </c>
      <c r="L2261" s="1137"/>
      <c r="M2261" s="1138">
        <f t="shared" si="172"/>
        <v>0</v>
      </c>
      <c r="N2261" s="1176">
        <f t="shared" si="171"/>
        <v>0</v>
      </c>
      <c r="O2261" s="905"/>
      <c r="Q2261" s="317" t="str">
        <f t="shared" si="168"/>
        <v/>
      </c>
      <c r="R2261" s="317" t="str">
        <f t="shared" si="169"/>
        <v/>
      </c>
      <c r="S2261" s="317" t="str">
        <f t="shared" si="170"/>
        <v/>
      </c>
      <c r="T2261" s="317" t="str">
        <f>GLOBAL_DER_FEV_2023!S2261</f>
        <v/>
      </c>
      <c r="W2261" s="582">
        <v>0</v>
      </c>
      <c r="X2261" s="580"/>
      <c r="Y2261" s="583">
        <f>IF(GLOBAL_DER_FEV_2023!W2261=0,0,IF(GLOBAL_DER_FEV_2023!W2261&gt;0,"c","b"))</f>
        <v>0</v>
      </c>
    </row>
    <row r="2262" spans="1:25" ht="15" hidden="1" customHeight="1" x14ac:dyDescent="0.2">
      <c r="A2262" s="317" t="s">
        <v>147</v>
      </c>
      <c r="B2262" s="895" t="s">
        <v>147</v>
      </c>
      <c r="C2262" s="896"/>
      <c r="D2262" s="906" t="s">
        <v>190</v>
      </c>
      <c r="E2262" s="907">
        <f>GLOBAL_DER_FEV_2023!E2262</f>
        <v>308</v>
      </c>
      <c r="F2262" s="908">
        <f>GLOBAL_DER_FEV_2023!F2262</f>
        <v>0.77929919999999997</v>
      </c>
      <c r="G2262" s="909">
        <f>GLOBAL_DER_FEV_2023!G2262</f>
        <v>193.312959552</v>
      </c>
      <c r="H2262" s="901">
        <f>GLOBAL_DER_FEV_2023!H2262</f>
        <v>0</v>
      </c>
      <c r="I2262" s="901">
        <f>GLOBAL_DER_FEV_2023!I2262</f>
        <v>0</v>
      </c>
      <c r="J2262" s="902">
        <f>GLOBAL_DER_FEV_2023!J2262</f>
        <v>0</v>
      </c>
      <c r="K2262" s="903"/>
      <c r="L2262" s="1177"/>
      <c r="M2262" s="1138">
        <f t="shared" si="172"/>
        <v>0</v>
      </c>
      <c r="N2262" s="1176">
        <f t="shared" si="171"/>
        <v>0</v>
      </c>
      <c r="O2262" s="905"/>
      <c r="P2262" s="36" t="str">
        <f>IF(N2261&gt;0,"xx",IF(N2261&gt;0,"xy",""))</f>
        <v/>
      </c>
      <c r="Q2262" s="317" t="str">
        <f t="shared" si="168"/>
        <v/>
      </c>
      <c r="R2262" s="317" t="str">
        <f t="shared" si="169"/>
        <v/>
      </c>
      <c r="S2262" s="317" t="str">
        <f t="shared" si="170"/>
        <v/>
      </c>
      <c r="T2262" s="317" t="str">
        <f>GLOBAL_DER_FEV_2023!S2262</f>
        <v/>
      </c>
      <c r="W2262" s="582">
        <v>0</v>
      </c>
      <c r="X2262" s="580"/>
      <c r="Y2262" s="583">
        <f>IF(GLOBAL_DER_FEV_2023!W2262=0,0,IF(GLOBAL_DER_FEV_2023!W2262&gt;0,"c","b"))</f>
        <v>0</v>
      </c>
    </row>
    <row r="2263" spans="1:25" ht="15" hidden="1" customHeight="1" x14ac:dyDescent="0.2">
      <c r="A2263" s="317" t="s">
        <v>147</v>
      </c>
      <c r="B2263" s="895" t="s">
        <v>147</v>
      </c>
      <c r="C2263" s="896"/>
      <c r="D2263" s="906" t="s">
        <v>229</v>
      </c>
      <c r="E2263" s="907">
        <f>GLOBAL_DER_FEV_2023!E2263</f>
        <v>150</v>
      </c>
      <c r="F2263" s="908">
        <f>GLOBAL_DER_FEV_2023!F2263</f>
        <v>2.26417504</v>
      </c>
      <c r="G2263" s="949">
        <f>GLOBAL_DER_FEV_2023!G2263</f>
        <v>369.46808302720001</v>
      </c>
      <c r="H2263" s="901">
        <f>GLOBAL_DER_FEV_2023!H2263</f>
        <v>0</v>
      </c>
      <c r="I2263" s="901">
        <f>GLOBAL_DER_FEV_2023!I2263</f>
        <v>0</v>
      </c>
      <c r="J2263" s="902">
        <f>GLOBAL_DER_FEV_2023!J2263</f>
        <v>0</v>
      </c>
      <c r="K2263" s="903"/>
      <c r="L2263" s="1177"/>
      <c r="M2263" s="1138">
        <f t="shared" si="172"/>
        <v>0</v>
      </c>
      <c r="N2263" s="1176">
        <f t="shared" si="171"/>
        <v>0</v>
      </c>
      <c r="O2263" s="905"/>
      <c r="P2263" s="36" t="str">
        <f>IF(N2261&gt;0,"xx",IF(N2261&gt;0,"xy",""))</f>
        <v/>
      </c>
      <c r="Q2263" s="317" t="str">
        <f t="shared" si="168"/>
        <v/>
      </c>
      <c r="R2263" s="317" t="str">
        <f t="shared" si="169"/>
        <v/>
      </c>
      <c r="S2263" s="317" t="str">
        <f t="shared" si="170"/>
        <v/>
      </c>
      <c r="T2263" s="317" t="str">
        <f>GLOBAL_DER_FEV_2023!S2263</f>
        <v/>
      </c>
      <c r="W2263" s="582">
        <v>0</v>
      </c>
      <c r="X2263" s="580"/>
      <c r="Y2263" s="583">
        <f>IF(GLOBAL_DER_FEV_2023!W2263=0,0,IF(GLOBAL_DER_FEV_2023!W2263&gt;0,"c","b"))</f>
        <v>0</v>
      </c>
    </row>
    <row r="2264" spans="1:25" ht="15" hidden="1" customHeight="1" x14ac:dyDescent="0.2">
      <c r="A2264" s="317" t="s">
        <v>147</v>
      </c>
      <c r="B2264" s="895" t="s">
        <v>147</v>
      </c>
      <c r="C2264" s="896"/>
      <c r="D2264" s="906" t="s">
        <v>233</v>
      </c>
      <c r="E2264" s="907">
        <f>GLOBAL_DER_FEV_2023!E2264</f>
        <v>0.2</v>
      </c>
      <c r="F2264" s="908">
        <f>GLOBAL_DER_FEV_2023!F2264</f>
        <v>2.7020064000000001</v>
      </c>
      <c r="G2264" s="949">
        <f>GLOBAL_DER_FEV_2023!G2264</f>
        <v>7.8196065216000008</v>
      </c>
      <c r="H2264" s="901">
        <f>GLOBAL_DER_FEV_2023!H2264</f>
        <v>0</v>
      </c>
      <c r="I2264" s="901">
        <f>GLOBAL_DER_FEV_2023!I2264</f>
        <v>0</v>
      </c>
      <c r="J2264" s="902">
        <f>GLOBAL_DER_FEV_2023!J2264</f>
        <v>0</v>
      </c>
      <c r="K2264" s="903"/>
      <c r="L2264" s="1177"/>
      <c r="M2264" s="1138">
        <f t="shared" si="172"/>
        <v>0</v>
      </c>
      <c r="N2264" s="1176">
        <f t="shared" si="171"/>
        <v>0</v>
      </c>
      <c r="O2264" s="905"/>
      <c r="P2264" s="36" t="str">
        <f>IF(N2261&gt;0,"xx",IF(N2261&gt;0,"xy",""))</f>
        <v/>
      </c>
      <c r="Q2264" s="317" t="str">
        <f t="shared" si="168"/>
        <v/>
      </c>
      <c r="R2264" s="317" t="str">
        <f t="shared" si="169"/>
        <v/>
      </c>
      <c r="S2264" s="317" t="str">
        <f t="shared" si="170"/>
        <v/>
      </c>
      <c r="T2264" s="317" t="str">
        <f>GLOBAL_DER_FEV_2023!S2264</f>
        <v/>
      </c>
      <c r="W2264" s="582">
        <v>0</v>
      </c>
      <c r="X2264" s="580"/>
      <c r="Y2264" s="583">
        <f>IF(GLOBAL_DER_FEV_2023!W2264=0,0,IF(GLOBAL_DER_FEV_2023!W2264&gt;0,"c","b"))</f>
        <v>0</v>
      </c>
    </row>
    <row r="2265" spans="1:25" ht="15" hidden="1" customHeight="1" x14ac:dyDescent="0.2">
      <c r="A2265" s="317" t="s">
        <v>113</v>
      </c>
      <c r="B2265" s="895" t="s">
        <v>113</v>
      </c>
      <c r="C2265" s="896" t="s">
        <v>184</v>
      </c>
      <c r="D2265" s="906" t="s">
        <v>380</v>
      </c>
      <c r="E2265" s="907">
        <f>GLOBAL_DER_FEV_2023!E2265</f>
        <v>0</v>
      </c>
      <c r="F2265" s="908">
        <f>GLOBAL_DER_FEV_2023!F2265</f>
        <v>0</v>
      </c>
      <c r="G2265" s="912">
        <f>GLOBAL_DER_FEV_2023!G2265</f>
        <v>102.72484374720001</v>
      </c>
      <c r="H2265" s="901">
        <f>GLOBAL_DER_FEV_2023!H2265</f>
        <v>931.7</v>
      </c>
      <c r="I2265" s="901">
        <f>GLOBAL_DER_FEV_2023!I2265</f>
        <v>1034.4248437472002</v>
      </c>
      <c r="J2265" s="902">
        <f>GLOBAL_DER_FEV_2023!J2265</f>
        <v>1242.03</v>
      </c>
      <c r="K2265" s="903" t="s">
        <v>15</v>
      </c>
      <c r="L2265" s="1137"/>
      <c r="M2265" s="1138">
        <f t="shared" si="172"/>
        <v>0</v>
      </c>
      <c r="N2265" s="1176">
        <f t="shared" si="171"/>
        <v>0</v>
      </c>
      <c r="O2265" s="905"/>
      <c r="Q2265" s="317" t="str">
        <f t="shared" si="168"/>
        <v/>
      </c>
      <c r="R2265" s="317" t="str">
        <f t="shared" si="169"/>
        <v/>
      </c>
      <c r="S2265" s="317" t="str">
        <f t="shared" si="170"/>
        <v/>
      </c>
      <c r="T2265" s="317" t="str">
        <f>GLOBAL_DER_FEV_2023!S2265</f>
        <v/>
      </c>
      <c r="W2265" s="582">
        <v>0</v>
      </c>
      <c r="X2265" s="580"/>
      <c r="Y2265" s="583">
        <f>IF(GLOBAL_DER_FEV_2023!W2265=0,0,IF(GLOBAL_DER_FEV_2023!W2265&gt;0,"c","b"))</f>
        <v>0</v>
      </c>
    </row>
    <row r="2266" spans="1:25" ht="15" hidden="1" customHeight="1" x14ac:dyDescent="0.2">
      <c r="A2266" s="317" t="s">
        <v>147</v>
      </c>
      <c r="B2266" s="895" t="s">
        <v>147</v>
      </c>
      <c r="C2266" s="896"/>
      <c r="D2266" s="906" t="s">
        <v>190</v>
      </c>
      <c r="E2266" s="907">
        <f>GLOBAL_DER_FEV_2023!E2266</f>
        <v>308</v>
      </c>
      <c r="F2266" s="908">
        <f>GLOBAL_DER_FEV_2023!F2266</f>
        <v>0.13625280000000003</v>
      </c>
      <c r="G2266" s="909">
        <f>GLOBAL_DER_FEV_2023!G2266</f>
        <v>33.798869568000008</v>
      </c>
      <c r="H2266" s="901">
        <f>GLOBAL_DER_FEV_2023!H2266</f>
        <v>0</v>
      </c>
      <c r="I2266" s="901">
        <f>GLOBAL_DER_FEV_2023!I2266</f>
        <v>0</v>
      </c>
      <c r="J2266" s="902">
        <f>GLOBAL_DER_FEV_2023!J2266</f>
        <v>0</v>
      </c>
      <c r="K2266" s="903"/>
      <c r="L2266" s="1177"/>
      <c r="M2266" s="1138">
        <f t="shared" si="172"/>
        <v>0</v>
      </c>
      <c r="N2266" s="1176">
        <f t="shared" si="171"/>
        <v>0</v>
      </c>
      <c r="O2266" s="905"/>
      <c r="P2266" s="36" t="str">
        <f>IF(N2265&gt;0,"xx",IF(N2265&gt;0,"xy",""))</f>
        <v/>
      </c>
      <c r="Q2266" s="317" t="str">
        <f t="shared" si="168"/>
        <v/>
      </c>
      <c r="R2266" s="317" t="str">
        <f t="shared" si="169"/>
        <v/>
      </c>
      <c r="S2266" s="317" t="str">
        <f t="shared" si="170"/>
        <v/>
      </c>
      <c r="T2266" s="317" t="str">
        <f>GLOBAL_DER_FEV_2023!S2266</f>
        <v/>
      </c>
      <c r="W2266" s="582">
        <v>0</v>
      </c>
      <c r="X2266" s="580"/>
      <c r="Y2266" s="583">
        <f>IF(GLOBAL_DER_FEV_2023!W2266=0,0,IF(GLOBAL_DER_FEV_2023!W2266&gt;0,"c","b"))</f>
        <v>0</v>
      </c>
    </row>
    <row r="2267" spans="1:25" ht="15" hidden="1" customHeight="1" x14ac:dyDescent="0.2">
      <c r="A2267" s="317" t="s">
        <v>147</v>
      </c>
      <c r="B2267" s="895" t="s">
        <v>147</v>
      </c>
      <c r="C2267" s="896"/>
      <c r="D2267" s="906" t="s">
        <v>229</v>
      </c>
      <c r="E2267" s="907">
        <f>GLOBAL_DER_FEV_2023!E2267</f>
        <v>150</v>
      </c>
      <c r="F2267" s="908">
        <f>GLOBAL_DER_FEV_2023!F2267</f>
        <v>0.41372736000000004</v>
      </c>
      <c r="G2267" s="949">
        <f>GLOBAL_DER_FEV_2023!G2267</f>
        <v>67.512030604800003</v>
      </c>
      <c r="H2267" s="901">
        <f>GLOBAL_DER_FEV_2023!H2267</f>
        <v>0</v>
      </c>
      <c r="I2267" s="901">
        <f>GLOBAL_DER_FEV_2023!I2267</f>
        <v>0</v>
      </c>
      <c r="J2267" s="902">
        <f>GLOBAL_DER_FEV_2023!J2267</f>
        <v>0</v>
      </c>
      <c r="K2267" s="903"/>
      <c r="L2267" s="1177"/>
      <c r="M2267" s="1138">
        <f t="shared" si="172"/>
        <v>0</v>
      </c>
      <c r="N2267" s="1176">
        <f t="shared" si="171"/>
        <v>0</v>
      </c>
      <c r="O2267" s="905"/>
      <c r="P2267" s="36" t="str">
        <f>IF(N2265&gt;0,"xx",IF(N2265&gt;0,"xy",""))</f>
        <v/>
      </c>
      <c r="Q2267" s="317" t="str">
        <f t="shared" ref="Q2267:Q2330" si="173">IF(P2267="X","x",IF(P2267="xx","x",IF(P2267="xy","x",IF(P2267="y","x",IF(OR(N2267&gt;0,N2267&gt;0),"x","")))))</f>
        <v/>
      </c>
      <c r="R2267" s="317" t="str">
        <f t="shared" si="169"/>
        <v/>
      </c>
      <c r="S2267" s="317" t="str">
        <f t="shared" si="170"/>
        <v/>
      </c>
      <c r="T2267" s="317" t="str">
        <f>GLOBAL_DER_FEV_2023!S2267</f>
        <v/>
      </c>
      <c r="W2267" s="582">
        <v>0</v>
      </c>
      <c r="X2267" s="580"/>
      <c r="Y2267" s="583">
        <f>IF(GLOBAL_DER_FEV_2023!W2267=0,0,IF(GLOBAL_DER_FEV_2023!W2267&gt;0,"c","b"))</f>
        <v>0</v>
      </c>
    </row>
    <row r="2268" spans="1:25" ht="15" hidden="1" customHeight="1" x14ac:dyDescent="0.2">
      <c r="A2268" s="317" t="s">
        <v>147</v>
      </c>
      <c r="B2268" s="895" t="s">
        <v>147</v>
      </c>
      <c r="C2268" s="896"/>
      <c r="D2268" s="906" t="s">
        <v>233</v>
      </c>
      <c r="E2268" s="907">
        <f>GLOBAL_DER_FEV_2023!E2268</f>
        <v>0.2</v>
      </c>
      <c r="F2268" s="908">
        <f>GLOBAL_DER_FEV_2023!F2268</f>
        <v>0.48857760000000011</v>
      </c>
      <c r="G2268" s="949">
        <f>GLOBAL_DER_FEV_2023!G2268</f>
        <v>1.4139435744000004</v>
      </c>
      <c r="H2268" s="901">
        <f>GLOBAL_DER_FEV_2023!H2268</f>
        <v>0</v>
      </c>
      <c r="I2268" s="901">
        <f>GLOBAL_DER_FEV_2023!I2268</f>
        <v>0</v>
      </c>
      <c r="J2268" s="902">
        <f>GLOBAL_DER_FEV_2023!J2268</f>
        <v>0</v>
      </c>
      <c r="K2268" s="903"/>
      <c r="L2268" s="1177"/>
      <c r="M2268" s="1138">
        <f t="shared" si="172"/>
        <v>0</v>
      </c>
      <c r="N2268" s="1176">
        <f t="shared" si="171"/>
        <v>0</v>
      </c>
      <c r="O2268" s="905"/>
      <c r="P2268" s="36" t="str">
        <f>IF(N2265&gt;0,"xx",IF(N2265&gt;0,"xy",""))</f>
        <v/>
      </c>
      <c r="Q2268" s="317" t="str">
        <f t="shared" si="173"/>
        <v/>
      </c>
      <c r="R2268" s="317" t="str">
        <f t="shared" si="169"/>
        <v/>
      </c>
      <c r="S2268" s="317" t="str">
        <f t="shared" si="170"/>
        <v/>
      </c>
      <c r="T2268" s="317" t="str">
        <f>GLOBAL_DER_FEV_2023!S2268</f>
        <v/>
      </c>
      <c r="W2268" s="582">
        <v>0</v>
      </c>
      <c r="X2268" s="580"/>
      <c r="Y2268" s="583">
        <f>IF(GLOBAL_DER_FEV_2023!W2268=0,0,IF(GLOBAL_DER_FEV_2023!W2268&gt;0,"c","b"))</f>
        <v>0</v>
      </c>
    </row>
    <row r="2269" spans="1:25" ht="15" hidden="1" customHeight="1" x14ac:dyDescent="0.2">
      <c r="A2269" s="317" t="s">
        <v>33</v>
      </c>
      <c r="B2269" s="895" t="s">
        <v>33</v>
      </c>
      <c r="C2269" s="896" t="s">
        <v>184</v>
      </c>
      <c r="D2269" s="906" t="s">
        <v>381</v>
      </c>
      <c r="E2269" s="907">
        <f>GLOBAL_DER_FEV_2023!E2269</f>
        <v>0</v>
      </c>
      <c r="F2269" s="908">
        <f>GLOBAL_DER_FEV_2023!F2269</f>
        <v>0</v>
      </c>
      <c r="G2269" s="912">
        <f>GLOBAL_DER_FEV_2023!G2269</f>
        <v>156.16401135504003</v>
      </c>
      <c r="H2269" s="901">
        <f>GLOBAL_DER_FEV_2023!H2269</f>
        <v>1473.01</v>
      </c>
      <c r="I2269" s="901">
        <f>GLOBAL_DER_FEV_2023!I2269</f>
        <v>1629.17401135504</v>
      </c>
      <c r="J2269" s="902">
        <f>GLOBAL_DER_FEV_2023!J2269</f>
        <v>1956.15</v>
      </c>
      <c r="K2269" s="903" t="s">
        <v>15</v>
      </c>
      <c r="L2269" s="1137"/>
      <c r="M2269" s="1138">
        <f t="shared" si="172"/>
        <v>0</v>
      </c>
      <c r="N2269" s="1176">
        <f t="shared" si="171"/>
        <v>0</v>
      </c>
      <c r="O2269" s="905"/>
      <c r="Q2269" s="317" t="str">
        <f t="shared" si="173"/>
        <v/>
      </c>
      <c r="R2269" s="317" t="str">
        <f t="shared" ref="R2269:R2332" si="174">IF(P2269="X","x",IF(P2269="y","x",IF(P2269="xx","x",IF(N2269&gt;0,"x",""))))</f>
        <v/>
      </c>
      <c r="S2269" s="317" t="str">
        <f t="shared" ref="S2269:S2332" si="175">IF(P2269="X","x",IF(N2269&gt;0,"x",""))</f>
        <v/>
      </c>
      <c r="T2269" s="317" t="str">
        <f>GLOBAL_DER_FEV_2023!S2269</f>
        <v/>
      </c>
      <c r="W2269" s="582">
        <v>0</v>
      </c>
      <c r="X2269" s="580"/>
      <c r="Y2269" s="583">
        <f>IF(GLOBAL_DER_FEV_2023!W2269=0,0,IF(GLOBAL_DER_FEV_2023!W2269&gt;0,"c","b"))</f>
        <v>0</v>
      </c>
    </row>
    <row r="2270" spans="1:25" ht="15" hidden="1" customHeight="1" x14ac:dyDescent="0.2">
      <c r="A2270" s="317" t="s">
        <v>147</v>
      </c>
      <c r="B2270" s="895" t="s">
        <v>147</v>
      </c>
      <c r="C2270" s="896"/>
      <c r="D2270" s="906" t="s">
        <v>190</v>
      </c>
      <c r="E2270" s="907">
        <f>GLOBAL_DER_FEV_2023!E2270</f>
        <v>308</v>
      </c>
      <c r="F2270" s="908">
        <f>GLOBAL_DER_FEV_2023!F2270</f>
        <v>0.21117996</v>
      </c>
      <c r="G2270" s="909">
        <f>GLOBAL_DER_FEV_2023!G2270</f>
        <v>52.385300877600002</v>
      </c>
      <c r="H2270" s="901">
        <f>GLOBAL_DER_FEV_2023!H2270</f>
        <v>0</v>
      </c>
      <c r="I2270" s="901">
        <f>GLOBAL_DER_FEV_2023!I2270</f>
        <v>0</v>
      </c>
      <c r="J2270" s="902">
        <f>GLOBAL_DER_FEV_2023!J2270</f>
        <v>0</v>
      </c>
      <c r="K2270" s="903"/>
      <c r="L2270" s="1177"/>
      <c r="M2270" s="1138">
        <f t="shared" si="172"/>
        <v>0</v>
      </c>
      <c r="N2270" s="1176">
        <f t="shared" si="171"/>
        <v>0</v>
      </c>
      <c r="O2270" s="905"/>
      <c r="P2270" s="36" t="str">
        <f>IF(N2269&gt;0,"xx",IF(N2269&gt;0,"xy",""))</f>
        <v/>
      </c>
      <c r="Q2270" s="317" t="str">
        <f t="shared" si="173"/>
        <v/>
      </c>
      <c r="R2270" s="317" t="str">
        <f t="shared" si="174"/>
        <v/>
      </c>
      <c r="S2270" s="317" t="str">
        <f t="shared" si="175"/>
        <v/>
      </c>
      <c r="T2270" s="317" t="str">
        <f>GLOBAL_DER_FEV_2023!S2270</f>
        <v/>
      </c>
      <c r="W2270" s="582">
        <v>0</v>
      </c>
      <c r="X2270" s="580"/>
      <c r="Y2270" s="583">
        <f>IF(GLOBAL_DER_FEV_2023!W2270=0,0,IF(GLOBAL_DER_FEV_2023!W2270&gt;0,"c","b"))</f>
        <v>0</v>
      </c>
    </row>
    <row r="2271" spans="1:25" ht="15" hidden="1" customHeight="1" x14ac:dyDescent="0.2">
      <c r="A2271" s="317" t="s">
        <v>147</v>
      </c>
      <c r="B2271" s="895" t="s">
        <v>147</v>
      </c>
      <c r="C2271" s="896"/>
      <c r="D2271" s="906" t="s">
        <v>229</v>
      </c>
      <c r="E2271" s="907">
        <f>GLOBAL_DER_FEV_2023!E2271</f>
        <v>150</v>
      </c>
      <c r="F2271" s="908">
        <f>GLOBAL_DER_FEV_2023!F2271</f>
        <v>0.62284225199999999</v>
      </c>
      <c r="G2271" s="949">
        <f>GLOBAL_DER_FEV_2023!G2271</f>
        <v>101.63539868136</v>
      </c>
      <c r="H2271" s="901">
        <f>GLOBAL_DER_FEV_2023!H2271</f>
        <v>0</v>
      </c>
      <c r="I2271" s="901">
        <f>GLOBAL_DER_FEV_2023!I2271</f>
        <v>0</v>
      </c>
      <c r="J2271" s="902">
        <f>GLOBAL_DER_FEV_2023!J2271</f>
        <v>0</v>
      </c>
      <c r="K2271" s="903"/>
      <c r="L2271" s="1177"/>
      <c r="M2271" s="1138">
        <f t="shared" si="172"/>
        <v>0</v>
      </c>
      <c r="N2271" s="1176">
        <f t="shared" si="171"/>
        <v>0</v>
      </c>
      <c r="O2271" s="905"/>
      <c r="P2271" s="36" t="str">
        <f>IF(N2269&gt;0,"xx",IF(N2269&gt;0,"xy",""))</f>
        <v/>
      </c>
      <c r="Q2271" s="317" t="str">
        <f t="shared" si="173"/>
        <v/>
      </c>
      <c r="R2271" s="317" t="str">
        <f t="shared" si="174"/>
        <v/>
      </c>
      <c r="S2271" s="317" t="str">
        <f t="shared" si="175"/>
        <v/>
      </c>
      <c r="T2271" s="317" t="str">
        <f>GLOBAL_DER_FEV_2023!S2271</f>
        <v/>
      </c>
      <c r="W2271" s="582">
        <v>0</v>
      </c>
      <c r="X2271" s="580"/>
      <c r="Y2271" s="583">
        <f>IF(GLOBAL_DER_FEV_2023!W2271=0,0,IF(GLOBAL_DER_FEV_2023!W2271&gt;0,"c","b"))</f>
        <v>0</v>
      </c>
    </row>
    <row r="2272" spans="1:25" ht="15" hidden="1" customHeight="1" x14ac:dyDescent="0.2">
      <c r="A2272" s="317" t="s">
        <v>147</v>
      </c>
      <c r="B2272" s="895" t="s">
        <v>147</v>
      </c>
      <c r="C2272" s="896"/>
      <c r="D2272" s="906" t="s">
        <v>233</v>
      </c>
      <c r="E2272" s="907">
        <f>GLOBAL_DER_FEV_2023!E2272</f>
        <v>0.2</v>
      </c>
      <c r="F2272" s="908">
        <f>GLOBAL_DER_FEV_2023!F2272</f>
        <v>0.74060532000000001</v>
      </c>
      <c r="G2272" s="949">
        <f>GLOBAL_DER_FEV_2023!G2272</f>
        <v>2.1433117960800003</v>
      </c>
      <c r="H2272" s="901">
        <f>GLOBAL_DER_FEV_2023!H2272</f>
        <v>0</v>
      </c>
      <c r="I2272" s="901">
        <f>GLOBAL_DER_FEV_2023!I2272</f>
        <v>0</v>
      </c>
      <c r="J2272" s="902">
        <f>GLOBAL_DER_FEV_2023!J2272</f>
        <v>0</v>
      </c>
      <c r="K2272" s="903"/>
      <c r="L2272" s="1177"/>
      <c r="M2272" s="1138">
        <f t="shared" si="172"/>
        <v>0</v>
      </c>
      <c r="N2272" s="1176">
        <f t="shared" si="171"/>
        <v>0</v>
      </c>
      <c r="O2272" s="905"/>
      <c r="P2272" s="36" t="str">
        <f>IF(N2269&gt;0,"xx",IF(N2269&gt;0,"xy",""))</f>
        <v/>
      </c>
      <c r="Q2272" s="317" t="str">
        <f t="shared" si="173"/>
        <v/>
      </c>
      <c r="R2272" s="317" t="str">
        <f t="shared" si="174"/>
        <v/>
      </c>
      <c r="S2272" s="317" t="str">
        <f t="shared" si="175"/>
        <v/>
      </c>
      <c r="T2272" s="317" t="str">
        <f>GLOBAL_DER_FEV_2023!S2272</f>
        <v/>
      </c>
      <c r="W2272" s="582">
        <v>0</v>
      </c>
      <c r="X2272" s="580"/>
      <c r="Y2272" s="583">
        <f>IF(GLOBAL_DER_FEV_2023!W2272=0,0,IF(GLOBAL_DER_FEV_2023!W2272&gt;0,"c","b"))</f>
        <v>0</v>
      </c>
    </row>
    <row r="2273" spans="1:25" ht="15" hidden="1" customHeight="1" x14ac:dyDescent="0.2">
      <c r="A2273" s="317" t="s">
        <v>34</v>
      </c>
      <c r="B2273" s="895" t="s">
        <v>34</v>
      </c>
      <c r="C2273" s="896" t="s">
        <v>184</v>
      </c>
      <c r="D2273" s="906" t="s">
        <v>382</v>
      </c>
      <c r="E2273" s="907">
        <f>GLOBAL_DER_FEV_2023!E2273</f>
        <v>0</v>
      </c>
      <c r="F2273" s="908">
        <f>GLOBAL_DER_FEV_2023!F2273</f>
        <v>0</v>
      </c>
      <c r="G2273" s="912">
        <f>GLOBAL_DER_FEV_2023!G2273</f>
        <v>280.75668198979992</v>
      </c>
      <c r="H2273" s="901">
        <f>GLOBAL_DER_FEV_2023!H2273</f>
        <v>2538.3200000000002</v>
      </c>
      <c r="I2273" s="901">
        <f>GLOBAL_DER_FEV_2023!I2273</f>
        <v>2819.0766819897999</v>
      </c>
      <c r="J2273" s="902">
        <f>GLOBAL_DER_FEV_2023!J2273</f>
        <v>3384.87</v>
      </c>
      <c r="K2273" s="903" t="s">
        <v>15</v>
      </c>
      <c r="L2273" s="1137"/>
      <c r="M2273" s="1138">
        <f t="shared" si="172"/>
        <v>0</v>
      </c>
      <c r="N2273" s="1176">
        <f t="shared" ref="N2273:N2336" si="176">IF(ISBLANK(L2273),0,IF(W2273=0,ROUND(L2273*M2273,2),IF(W2273="b",ROUNDDOWN(L2273*M2273,2),ROUNDUP(L2273*M2273,2))))</f>
        <v>0</v>
      </c>
      <c r="O2273" s="905"/>
      <c r="Q2273" s="317" t="str">
        <f t="shared" si="173"/>
        <v/>
      </c>
      <c r="R2273" s="317" t="str">
        <f t="shared" si="174"/>
        <v/>
      </c>
      <c r="S2273" s="317" t="str">
        <f t="shared" si="175"/>
        <v/>
      </c>
      <c r="T2273" s="317" t="str">
        <f>GLOBAL_DER_FEV_2023!S2273</f>
        <v/>
      </c>
      <c r="W2273" s="582">
        <v>0</v>
      </c>
      <c r="X2273" s="580"/>
      <c r="Y2273" s="583">
        <f>IF(GLOBAL_DER_FEV_2023!W2273=0,0,IF(GLOBAL_DER_FEV_2023!W2273&gt;0,"c","b"))</f>
        <v>0</v>
      </c>
    </row>
    <row r="2274" spans="1:25" ht="15" hidden="1" customHeight="1" x14ac:dyDescent="0.2">
      <c r="A2274" s="317" t="s">
        <v>147</v>
      </c>
      <c r="B2274" s="895" t="s">
        <v>147</v>
      </c>
      <c r="C2274" s="896"/>
      <c r="D2274" s="906" t="s">
        <v>190</v>
      </c>
      <c r="E2274" s="907">
        <f>GLOBAL_DER_FEV_2023!E2274</f>
        <v>308</v>
      </c>
      <c r="F2274" s="908">
        <f>GLOBAL_DER_FEV_2023!F2274</f>
        <v>0.38327894999999995</v>
      </c>
      <c r="G2274" s="909">
        <f>GLOBAL_DER_FEV_2023!G2274</f>
        <v>95.076176336999993</v>
      </c>
      <c r="H2274" s="901">
        <f>GLOBAL_DER_FEV_2023!H2274</f>
        <v>0</v>
      </c>
      <c r="I2274" s="901">
        <f>GLOBAL_DER_FEV_2023!I2274</f>
        <v>0</v>
      </c>
      <c r="J2274" s="902">
        <f>GLOBAL_DER_FEV_2023!J2274</f>
        <v>0</v>
      </c>
      <c r="K2274" s="903"/>
      <c r="L2274" s="1177"/>
      <c r="M2274" s="1138">
        <f t="shared" si="172"/>
        <v>0</v>
      </c>
      <c r="N2274" s="1176">
        <f t="shared" si="176"/>
        <v>0</v>
      </c>
      <c r="O2274" s="905"/>
      <c r="P2274" s="36" t="str">
        <f>IF(N2273&gt;0,"xx",IF(N2273&gt;0,"xy",""))</f>
        <v/>
      </c>
      <c r="Q2274" s="317" t="str">
        <f t="shared" si="173"/>
        <v/>
      </c>
      <c r="R2274" s="317" t="str">
        <f t="shared" si="174"/>
        <v/>
      </c>
      <c r="S2274" s="317" t="str">
        <f t="shared" si="175"/>
        <v/>
      </c>
      <c r="T2274" s="317" t="str">
        <f>GLOBAL_DER_FEV_2023!S2274</f>
        <v/>
      </c>
      <c r="W2274" s="582">
        <v>0</v>
      </c>
      <c r="X2274" s="580"/>
      <c r="Y2274" s="583">
        <f>IF(GLOBAL_DER_FEV_2023!W2274=0,0,IF(GLOBAL_DER_FEV_2023!W2274&gt;0,"c","b"))</f>
        <v>0</v>
      </c>
    </row>
    <row r="2275" spans="1:25" ht="15" hidden="1" customHeight="1" x14ac:dyDescent="0.2">
      <c r="A2275" s="317" t="s">
        <v>147</v>
      </c>
      <c r="B2275" s="895" t="s">
        <v>147</v>
      </c>
      <c r="C2275" s="896"/>
      <c r="D2275" s="906" t="s">
        <v>229</v>
      </c>
      <c r="E2275" s="907">
        <f>GLOBAL_DER_FEV_2023!E2275</f>
        <v>150</v>
      </c>
      <c r="F2275" s="908">
        <f>GLOBAL_DER_FEV_2023!F2275</f>
        <v>1.1143076149999998</v>
      </c>
      <c r="G2275" s="949">
        <f>GLOBAL_DER_FEV_2023!G2275</f>
        <v>181.83271661569998</v>
      </c>
      <c r="H2275" s="901">
        <f>GLOBAL_DER_FEV_2023!H2275</f>
        <v>0</v>
      </c>
      <c r="I2275" s="901">
        <f>GLOBAL_DER_FEV_2023!I2275</f>
        <v>0</v>
      </c>
      <c r="J2275" s="902">
        <f>GLOBAL_DER_FEV_2023!J2275</f>
        <v>0</v>
      </c>
      <c r="K2275" s="903"/>
      <c r="L2275" s="1177"/>
      <c r="M2275" s="1138">
        <f t="shared" si="172"/>
        <v>0</v>
      </c>
      <c r="N2275" s="1176">
        <f t="shared" si="176"/>
        <v>0</v>
      </c>
      <c r="O2275" s="905"/>
      <c r="P2275" s="36" t="str">
        <f>IF(N2273&gt;0,"xx",IF(N2273&gt;0,"xy",""))</f>
        <v/>
      </c>
      <c r="Q2275" s="317" t="str">
        <f t="shared" si="173"/>
        <v/>
      </c>
      <c r="R2275" s="317" t="str">
        <f t="shared" si="174"/>
        <v/>
      </c>
      <c r="S2275" s="317" t="str">
        <f t="shared" si="175"/>
        <v/>
      </c>
      <c r="T2275" s="317" t="str">
        <f>GLOBAL_DER_FEV_2023!S2275</f>
        <v/>
      </c>
      <c r="W2275" s="582">
        <v>0</v>
      </c>
      <c r="X2275" s="580"/>
      <c r="Y2275" s="583">
        <f>IF(GLOBAL_DER_FEV_2023!W2275=0,0,IF(GLOBAL_DER_FEV_2023!W2275&gt;0,"c","b"))</f>
        <v>0</v>
      </c>
    </row>
    <row r="2276" spans="1:25" ht="15" hidden="1" customHeight="1" x14ac:dyDescent="0.2">
      <c r="A2276" s="317" t="s">
        <v>147</v>
      </c>
      <c r="B2276" s="895" t="s">
        <v>147</v>
      </c>
      <c r="C2276" s="896"/>
      <c r="D2276" s="906" t="s">
        <v>233</v>
      </c>
      <c r="E2276" s="907">
        <f>GLOBAL_DER_FEV_2023!E2276</f>
        <v>0.2</v>
      </c>
      <c r="F2276" s="908">
        <f>GLOBAL_DER_FEV_2023!F2276</f>
        <v>1.3295746499999999</v>
      </c>
      <c r="G2276" s="949">
        <f>GLOBAL_DER_FEV_2023!G2276</f>
        <v>3.8477890370999996</v>
      </c>
      <c r="H2276" s="901">
        <f>GLOBAL_DER_FEV_2023!H2276</f>
        <v>0</v>
      </c>
      <c r="I2276" s="901">
        <f>GLOBAL_DER_FEV_2023!I2276</f>
        <v>0</v>
      </c>
      <c r="J2276" s="902">
        <f>GLOBAL_DER_FEV_2023!J2276</f>
        <v>0</v>
      </c>
      <c r="K2276" s="903"/>
      <c r="L2276" s="1177"/>
      <c r="M2276" s="1138">
        <f t="shared" si="172"/>
        <v>0</v>
      </c>
      <c r="N2276" s="1176">
        <f t="shared" si="176"/>
        <v>0</v>
      </c>
      <c r="O2276" s="905"/>
      <c r="P2276" s="36" t="str">
        <f>IF(N2273&gt;0,"xx",IF(N2273&gt;0,"xy",""))</f>
        <v/>
      </c>
      <c r="Q2276" s="317" t="str">
        <f t="shared" si="173"/>
        <v/>
      </c>
      <c r="R2276" s="317" t="str">
        <f t="shared" si="174"/>
        <v/>
      </c>
      <c r="S2276" s="317" t="str">
        <f t="shared" si="175"/>
        <v/>
      </c>
      <c r="T2276" s="317" t="str">
        <f>GLOBAL_DER_FEV_2023!S2276</f>
        <v/>
      </c>
      <c r="W2276" s="582">
        <v>0</v>
      </c>
      <c r="X2276" s="580"/>
      <c r="Y2276" s="583">
        <f>IF(GLOBAL_DER_FEV_2023!W2276=0,0,IF(GLOBAL_DER_FEV_2023!W2276&gt;0,"c","b"))</f>
        <v>0</v>
      </c>
    </row>
    <row r="2277" spans="1:25" ht="15" hidden="1" customHeight="1" x14ac:dyDescent="0.2">
      <c r="A2277" s="317" t="s">
        <v>35</v>
      </c>
      <c r="B2277" s="895" t="s">
        <v>35</v>
      </c>
      <c r="C2277" s="896" t="s">
        <v>184</v>
      </c>
      <c r="D2277" s="906" t="s">
        <v>383</v>
      </c>
      <c r="E2277" s="907">
        <f>GLOBAL_DER_FEV_2023!E2277</f>
        <v>0</v>
      </c>
      <c r="F2277" s="908">
        <f>GLOBAL_DER_FEV_2023!F2277</f>
        <v>0</v>
      </c>
      <c r="G2277" s="912">
        <f>GLOBAL_DER_FEV_2023!G2277</f>
        <v>412.48191319280005</v>
      </c>
      <c r="H2277" s="901">
        <f>GLOBAL_DER_FEV_2023!H2277</f>
        <v>3699.81</v>
      </c>
      <c r="I2277" s="901">
        <f>GLOBAL_DER_FEV_2023!I2277</f>
        <v>4112.2919131928002</v>
      </c>
      <c r="J2277" s="902">
        <f>GLOBAL_DER_FEV_2023!J2277</f>
        <v>4937.63</v>
      </c>
      <c r="K2277" s="903" t="s">
        <v>15</v>
      </c>
      <c r="L2277" s="1137"/>
      <c r="M2277" s="1138">
        <f t="shared" si="172"/>
        <v>0</v>
      </c>
      <c r="N2277" s="1176">
        <f t="shared" si="176"/>
        <v>0</v>
      </c>
      <c r="O2277" s="905"/>
      <c r="Q2277" s="317" t="str">
        <f t="shared" si="173"/>
        <v/>
      </c>
      <c r="R2277" s="317" t="str">
        <f t="shared" si="174"/>
        <v/>
      </c>
      <c r="S2277" s="317" t="str">
        <f t="shared" si="175"/>
        <v/>
      </c>
      <c r="T2277" s="317" t="str">
        <f>GLOBAL_DER_FEV_2023!S2277</f>
        <v/>
      </c>
      <c r="W2277" s="582">
        <v>0</v>
      </c>
      <c r="X2277" s="580"/>
      <c r="Y2277" s="583">
        <f>IF(GLOBAL_DER_FEV_2023!W2277=0,0,IF(GLOBAL_DER_FEV_2023!W2277&gt;0,"c","b"))</f>
        <v>0</v>
      </c>
    </row>
    <row r="2278" spans="1:25" ht="15" hidden="1" customHeight="1" x14ac:dyDescent="0.2">
      <c r="A2278" s="317" t="s">
        <v>147</v>
      </c>
      <c r="B2278" s="895" t="s">
        <v>147</v>
      </c>
      <c r="C2278" s="896"/>
      <c r="D2278" s="906" t="s">
        <v>190</v>
      </c>
      <c r="E2278" s="907">
        <f>GLOBAL_DER_FEV_2023!E2278</f>
        <v>308</v>
      </c>
      <c r="F2278" s="908">
        <f>GLOBAL_DER_FEV_2023!F2278</f>
        <v>0.56408220000000009</v>
      </c>
      <c r="G2278" s="909">
        <f>GLOBAL_DER_FEV_2023!G2278</f>
        <v>139.92623053200003</v>
      </c>
      <c r="H2278" s="901">
        <f>GLOBAL_DER_FEV_2023!H2278</f>
        <v>0</v>
      </c>
      <c r="I2278" s="901">
        <f>GLOBAL_DER_FEV_2023!I2278</f>
        <v>0</v>
      </c>
      <c r="J2278" s="902">
        <f>GLOBAL_DER_FEV_2023!J2278</f>
        <v>0</v>
      </c>
      <c r="K2278" s="903"/>
      <c r="L2278" s="1177"/>
      <c r="M2278" s="1138">
        <f t="shared" si="172"/>
        <v>0</v>
      </c>
      <c r="N2278" s="1176">
        <f t="shared" si="176"/>
        <v>0</v>
      </c>
      <c r="O2278" s="905"/>
      <c r="P2278" s="36" t="str">
        <f>IF(N2277&gt;0,"xx",IF(N2277&gt;0,"xy",""))</f>
        <v/>
      </c>
      <c r="Q2278" s="317" t="str">
        <f t="shared" si="173"/>
        <v/>
      </c>
      <c r="R2278" s="317" t="str">
        <f t="shared" si="174"/>
        <v/>
      </c>
      <c r="S2278" s="317" t="str">
        <f t="shared" si="175"/>
        <v/>
      </c>
      <c r="T2278" s="317" t="str">
        <f>GLOBAL_DER_FEV_2023!S2278</f>
        <v/>
      </c>
      <c r="W2278" s="582">
        <v>0</v>
      </c>
      <c r="X2278" s="580"/>
      <c r="Y2278" s="583">
        <f>IF(GLOBAL_DER_FEV_2023!W2278=0,0,IF(GLOBAL_DER_FEV_2023!W2278&gt;0,"c","b"))</f>
        <v>0</v>
      </c>
    </row>
    <row r="2279" spans="1:25" ht="15" hidden="1" customHeight="1" x14ac:dyDescent="0.2">
      <c r="A2279" s="317" t="s">
        <v>147</v>
      </c>
      <c r="B2279" s="895" t="s">
        <v>147</v>
      </c>
      <c r="C2279" s="896"/>
      <c r="D2279" s="906" t="s">
        <v>229</v>
      </c>
      <c r="E2279" s="907">
        <f>GLOBAL_DER_FEV_2023!E2279</f>
        <v>150</v>
      </c>
      <c r="F2279" s="908">
        <f>GLOBAL_DER_FEV_2023!F2279</f>
        <v>1.6356421400000001</v>
      </c>
      <c r="G2279" s="949">
        <f>GLOBAL_DER_FEV_2023!G2279</f>
        <v>266.90408440520002</v>
      </c>
      <c r="H2279" s="901">
        <f>GLOBAL_DER_FEV_2023!H2279</f>
        <v>0</v>
      </c>
      <c r="I2279" s="901">
        <f>GLOBAL_DER_FEV_2023!I2279</f>
        <v>0</v>
      </c>
      <c r="J2279" s="902">
        <f>GLOBAL_DER_FEV_2023!J2279</f>
        <v>0</v>
      </c>
      <c r="K2279" s="903"/>
      <c r="L2279" s="1177"/>
      <c r="M2279" s="1138">
        <f t="shared" si="172"/>
        <v>0</v>
      </c>
      <c r="N2279" s="1176">
        <f t="shared" si="176"/>
        <v>0</v>
      </c>
      <c r="O2279" s="905"/>
      <c r="P2279" s="36" t="str">
        <f>IF(N2277&gt;0,"xx",IF(N2277&gt;0,"xy",""))</f>
        <v/>
      </c>
      <c r="Q2279" s="317" t="str">
        <f t="shared" si="173"/>
        <v/>
      </c>
      <c r="R2279" s="317" t="str">
        <f t="shared" si="174"/>
        <v/>
      </c>
      <c r="S2279" s="317" t="str">
        <f t="shared" si="175"/>
        <v/>
      </c>
      <c r="T2279" s="317" t="str">
        <f>GLOBAL_DER_FEV_2023!S2279</f>
        <v/>
      </c>
      <c r="W2279" s="582">
        <v>0</v>
      </c>
      <c r="X2279" s="580"/>
      <c r="Y2279" s="583">
        <f>IF(GLOBAL_DER_FEV_2023!W2279=0,0,IF(GLOBAL_DER_FEV_2023!W2279&gt;0,"c","b"))</f>
        <v>0</v>
      </c>
    </row>
    <row r="2280" spans="1:25" ht="15" hidden="1" customHeight="1" x14ac:dyDescent="0.2">
      <c r="A2280" s="317" t="s">
        <v>147</v>
      </c>
      <c r="B2280" s="895" t="s">
        <v>147</v>
      </c>
      <c r="C2280" s="896"/>
      <c r="D2280" s="906" t="s">
        <v>233</v>
      </c>
      <c r="E2280" s="907">
        <f>GLOBAL_DER_FEV_2023!E2280</f>
        <v>0.2</v>
      </c>
      <c r="F2280" s="908">
        <f>GLOBAL_DER_FEV_2023!F2280</f>
        <v>1.9528674000000004</v>
      </c>
      <c r="G2280" s="949">
        <f>GLOBAL_DER_FEV_2023!G2280</f>
        <v>5.6515982556000015</v>
      </c>
      <c r="H2280" s="901">
        <f>GLOBAL_DER_FEV_2023!H2280</f>
        <v>0</v>
      </c>
      <c r="I2280" s="901">
        <f>GLOBAL_DER_FEV_2023!I2280</f>
        <v>0</v>
      </c>
      <c r="J2280" s="902">
        <f>GLOBAL_DER_FEV_2023!J2280</f>
        <v>0</v>
      </c>
      <c r="K2280" s="903"/>
      <c r="L2280" s="1177"/>
      <c r="M2280" s="1138">
        <f t="shared" si="172"/>
        <v>0</v>
      </c>
      <c r="N2280" s="1176">
        <f t="shared" si="176"/>
        <v>0</v>
      </c>
      <c r="O2280" s="905"/>
      <c r="P2280" s="36" t="str">
        <f>IF(N2277&gt;0,"xx",IF(N2277&gt;0,"xy",""))</f>
        <v/>
      </c>
      <c r="Q2280" s="317" t="str">
        <f t="shared" si="173"/>
        <v/>
      </c>
      <c r="R2280" s="317" t="str">
        <f t="shared" si="174"/>
        <v/>
      </c>
      <c r="S2280" s="317" t="str">
        <f t="shared" si="175"/>
        <v/>
      </c>
      <c r="T2280" s="317" t="str">
        <f>GLOBAL_DER_FEV_2023!S2280</f>
        <v/>
      </c>
      <c r="W2280" s="582">
        <v>0</v>
      </c>
      <c r="X2280" s="580"/>
      <c r="Y2280" s="583">
        <f>IF(GLOBAL_DER_FEV_2023!W2280=0,0,IF(GLOBAL_DER_FEV_2023!W2280&gt;0,"c","b"))</f>
        <v>0</v>
      </c>
    </row>
    <row r="2281" spans="1:25" ht="15" hidden="1" customHeight="1" x14ac:dyDescent="0.2">
      <c r="A2281" s="317" t="s">
        <v>36</v>
      </c>
      <c r="B2281" s="895" t="s">
        <v>36</v>
      </c>
      <c r="C2281" s="896" t="s">
        <v>184</v>
      </c>
      <c r="D2281" s="906" t="s">
        <v>384</v>
      </c>
      <c r="E2281" s="907">
        <f>GLOBAL_DER_FEV_2023!E2281</f>
        <v>0</v>
      </c>
      <c r="F2281" s="908">
        <f>GLOBAL_DER_FEV_2023!F2281</f>
        <v>0</v>
      </c>
      <c r="G2281" s="912">
        <f>GLOBAL_DER_FEV_2023!G2281</f>
        <v>570.60064910079996</v>
      </c>
      <c r="H2281" s="901">
        <f>GLOBAL_DER_FEV_2023!H2281</f>
        <v>5102.8900000000003</v>
      </c>
      <c r="I2281" s="901">
        <f>GLOBAL_DER_FEV_2023!I2281</f>
        <v>5673.4906491008005</v>
      </c>
      <c r="J2281" s="902">
        <f>GLOBAL_DER_FEV_2023!J2281</f>
        <v>6812.16</v>
      </c>
      <c r="K2281" s="903" t="s">
        <v>15</v>
      </c>
      <c r="L2281" s="1137"/>
      <c r="M2281" s="1138">
        <f t="shared" si="172"/>
        <v>0</v>
      </c>
      <c r="N2281" s="1176">
        <f t="shared" si="176"/>
        <v>0</v>
      </c>
      <c r="O2281" s="905"/>
      <c r="Q2281" s="317" t="str">
        <f t="shared" si="173"/>
        <v/>
      </c>
      <c r="R2281" s="317" t="str">
        <f t="shared" si="174"/>
        <v/>
      </c>
      <c r="S2281" s="317" t="str">
        <f t="shared" si="175"/>
        <v/>
      </c>
      <c r="T2281" s="317" t="str">
        <f>GLOBAL_DER_FEV_2023!S2281</f>
        <v/>
      </c>
      <c r="W2281" s="582">
        <v>0</v>
      </c>
      <c r="X2281" s="580"/>
      <c r="Y2281" s="583">
        <f>IF(GLOBAL_DER_FEV_2023!W2281=0,0,IF(GLOBAL_DER_FEV_2023!W2281&gt;0,"c","b"))</f>
        <v>0</v>
      </c>
    </row>
    <row r="2282" spans="1:25" ht="15" hidden="1" customHeight="1" x14ac:dyDescent="0.2">
      <c r="A2282" s="317" t="s">
        <v>147</v>
      </c>
      <c r="B2282" s="895" t="s">
        <v>147</v>
      </c>
      <c r="C2282" s="896"/>
      <c r="D2282" s="906" t="s">
        <v>190</v>
      </c>
      <c r="E2282" s="907">
        <f>GLOBAL_DER_FEV_2023!E2282</f>
        <v>308</v>
      </c>
      <c r="F2282" s="908">
        <f>GLOBAL_DER_FEV_2023!F2282</f>
        <v>0.77929919999999997</v>
      </c>
      <c r="G2282" s="909">
        <f>GLOBAL_DER_FEV_2023!G2282</f>
        <v>193.312959552</v>
      </c>
      <c r="H2282" s="901">
        <f>GLOBAL_DER_FEV_2023!H2282</f>
        <v>0</v>
      </c>
      <c r="I2282" s="901">
        <f>GLOBAL_DER_FEV_2023!I2282</f>
        <v>0</v>
      </c>
      <c r="J2282" s="902">
        <f>GLOBAL_DER_FEV_2023!J2282</f>
        <v>0</v>
      </c>
      <c r="K2282" s="903"/>
      <c r="L2282" s="1177"/>
      <c r="M2282" s="1138">
        <f t="shared" si="172"/>
        <v>0</v>
      </c>
      <c r="N2282" s="1176">
        <f t="shared" si="176"/>
        <v>0</v>
      </c>
      <c r="O2282" s="905"/>
      <c r="P2282" s="36" t="str">
        <f>IF(N2281&gt;0,"xx",IF(N2281&gt;0,"xy",""))</f>
        <v/>
      </c>
      <c r="Q2282" s="317" t="str">
        <f t="shared" si="173"/>
        <v/>
      </c>
      <c r="R2282" s="317" t="str">
        <f t="shared" si="174"/>
        <v/>
      </c>
      <c r="S2282" s="317" t="str">
        <f t="shared" si="175"/>
        <v/>
      </c>
      <c r="T2282" s="317" t="str">
        <f>GLOBAL_DER_FEV_2023!S2282</f>
        <v/>
      </c>
      <c r="W2282" s="582">
        <v>0</v>
      </c>
      <c r="X2282" s="580"/>
      <c r="Y2282" s="583">
        <f>IF(GLOBAL_DER_FEV_2023!W2282=0,0,IF(GLOBAL_DER_FEV_2023!W2282&gt;0,"c","b"))</f>
        <v>0</v>
      </c>
    </row>
    <row r="2283" spans="1:25" ht="15" hidden="1" customHeight="1" x14ac:dyDescent="0.2">
      <c r="A2283" s="317" t="s">
        <v>147</v>
      </c>
      <c r="B2283" s="895" t="s">
        <v>147</v>
      </c>
      <c r="C2283" s="896"/>
      <c r="D2283" s="906" t="s">
        <v>229</v>
      </c>
      <c r="E2283" s="907">
        <f>GLOBAL_DER_FEV_2023!E2283</f>
        <v>150</v>
      </c>
      <c r="F2283" s="908">
        <f>GLOBAL_DER_FEV_2023!F2283</f>
        <v>2.26417504</v>
      </c>
      <c r="G2283" s="949">
        <f>GLOBAL_DER_FEV_2023!G2283</f>
        <v>369.46808302720001</v>
      </c>
      <c r="H2283" s="901">
        <f>GLOBAL_DER_FEV_2023!H2283</f>
        <v>0</v>
      </c>
      <c r="I2283" s="901">
        <f>GLOBAL_DER_FEV_2023!I2283</f>
        <v>0</v>
      </c>
      <c r="J2283" s="902">
        <f>GLOBAL_DER_FEV_2023!J2283</f>
        <v>0</v>
      </c>
      <c r="K2283" s="903"/>
      <c r="L2283" s="1177"/>
      <c r="M2283" s="1138">
        <f t="shared" si="172"/>
        <v>0</v>
      </c>
      <c r="N2283" s="1176">
        <f t="shared" si="176"/>
        <v>0</v>
      </c>
      <c r="O2283" s="905"/>
      <c r="P2283" s="36" t="str">
        <f>IF(N2281&gt;0,"xx",IF(N2281&gt;0,"xy",""))</f>
        <v/>
      </c>
      <c r="Q2283" s="317" t="str">
        <f t="shared" si="173"/>
        <v/>
      </c>
      <c r="R2283" s="317" t="str">
        <f t="shared" si="174"/>
        <v/>
      </c>
      <c r="S2283" s="317" t="str">
        <f t="shared" si="175"/>
        <v/>
      </c>
      <c r="T2283" s="317" t="str">
        <f>GLOBAL_DER_FEV_2023!S2283</f>
        <v/>
      </c>
      <c r="W2283" s="582">
        <v>0</v>
      </c>
      <c r="X2283" s="580"/>
      <c r="Y2283" s="583">
        <f>IF(GLOBAL_DER_FEV_2023!W2283=0,0,IF(GLOBAL_DER_FEV_2023!W2283&gt;0,"c","b"))</f>
        <v>0</v>
      </c>
    </row>
    <row r="2284" spans="1:25" ht="15" hidden="1" customHeight="1" x14ac:dyDescent="0.2">
      <c r="A2284" s="317" t="s">
        <v>147</v>
      </c>
      <c r="B2284" s="895" t="s">
        <v>147</v>
      </c>
      <c r="C2284" s="896"/>
      <c r="D2284" s="906" t="s">
        <v>233</v>
      </c>
      <c r="E2284" s="907">
        <f>GLOBAL_DER_FEV_2023!E2284</f>
        <v>0.2</v>
      </c>
      <c r="F2284" s="908">
        <f>GLOBAL_DER_FEV_2023!F2284</f>
        <v>2.7020064000000001</v>
      </c>
      <c r="G2284" s="949">
        <f>GLOBAL_DER_FEV_2023!G2284</f>
        <v>7.8196065216000008</v>
      </c>
      <c r="H2284" s="901">
        <f>GLOBAL_DER_FEV_2023!H2284</f>
        <v>0</v>
      </c>
      <c r="I2284" s="901">
        <f>GLOBAL_DER_FEV_2023!I2284</f>
        <v>0</v>
      </c>
      <c r="J2284" s="902">
        <f>GLOBAL_DER_FEV_2023!J2284</f>
        <v>0</v>
      </c>
      <c r="K2284" s="903"/>
      <c r="L2284" s="1177"/>
      <c r="M2284" s="1138">
        <f t="shared" si="172"/>
        <v>0</v>
      </c>
      <c r="N2284" s="1176">
        <f t="shared" si="176"/>
        <v>0</v>
      </c>
      <c r="O2284" s="905"/>
      <c r="P2284" s="36" t="str">
        <f>IF(N2281&gt;0,"xx",IF(N2281&gt;0,"xy",""))</f>
        <v/>
      </c>
      <c r="Q2284" s="317" t="str">
        <f t="shared" si="173"/>
        <v/>
      </c>
      <c r="R2284" s="317" t="str">
        <f t="shared" si="174"/>
        <v/>
      </c>
      <c r="S2284" s="317" t="str">
        <f t="shared" si="175"/>
        <v/>
      </c>
      <c r="T2284" s="317" t="str">
        <f>GLOBAL_DER_FEV_2023!S2284</f>
        <v/>
      </c>
      <c r="W2284" s="582">
        <v>0</v>
      </c>
      <c r="X2284" s="580"/>
      <c r="Y2284" s="583">
        <f>IF(GLOBAL_DER_FEV_2023!W2284=0,0,IF(GLOBAL_DER_FEV_2023!W2284&gt;0,"c","b"))</f>
        <v>0</v>
      </c>
    </row>
    <row r="2285" spans="1:25" ht="15" hidden="1" customHeight="1" x14ac:dyDescent="0.2">
      <c r="A2285" s="317" t="s">
        <v>37</v>
      </c>
      <c r="B2285" s="895" t="s">
        <v>37</v>
      </c>
      <c r="C2285" s="896" t="s">
        <v>184</v>
      </c>
      <c r="D2285" s="906" t="s">
        <v>385</v>
      </c>
      <c r="E2285" s="907">
        <f>GLOBAL_DER_FEV_2023!E2285</f>
        <v>0</v>
      </c>
      <c r="F2285" s="908">
        <f>GLOBAL_DER_FEV_2023!F2285</f>
        <v>0</v>
      </c>
      <c r="G2285" s="912">
        <f>GLOBAL_DER_FEV_2023!G2285</f>
        <v>884.91038384579997</v>
      </c>
      <c r="H2285" s="901">
        <f>GLOBAL_DER_FEV_2023!H2285</f>
        <v>7709.16</v>
      </c>
      <c r="I2285" s="901">
        <f>GLOBAL_DER_FEV_2023!I2285</f>
        <v>8594.0703838457994</v>
      </c>
      <c r="J2285" s="902">
        <f>GLOBAL_DER_FEV_2023!J2285</f>
        <v>10318.9</v>
      </c>
      <c r="K2285" s="903" t="s">
        <v>15</v>
      </c>
      <c r="L2285" s="1137"/>
      <c r="M2285" s="1138">
        <f t="shared" si="172"/>
        <v>0</v>
      </c>
      <c r="N2285" s="1176">
        <f t="shared" si="176"/>
        <v>0</v>
      </c>
      <c r="O2285" s="905"/>
      <c r="Q2285" s="317" t="str">
        <f t="shared" si="173"/>
        <v/>
      </c>
      <c r="R2285" s="317" t="str">
        <f t="shared" si="174"/>
        <v/>
      </c>
      <c r="S2285" s="317" t="str">
        <f t="shared" si="175"/>
        <v/>
      </c>
      <c r="T2285" s="317" t="str">
        <f>GLOBAL_DER_FEV_2023!S2285</f>
        <v/>
      </c>
      <c r="W2285" s="582">
        <v>0</v>
      </c>
      <c r="X2285" s="580"/>
      <c r="Y2285" s="583">
        <f>IF(GLOBAL_DER_FEV_2023!W2285=0,0,IF(GLOBAL_DER_FEV_2023!W2285&gt;0,"c","b"))</f>
        <v>0</v>
      </c>
    </row>
    <row r="2286" spans="1:25" ht="15" hidden="1" customHeight="1" x14ac:dyDescent="0.2">
      <c r="A2286" s="317" t="s">
        <v>147</v>
      </c>
      <c r="B2286" s="895" t="s">
        <v>147</v>
      </c>
      <c r="C2286" s="896"/>
      <c r="D2286" s="906" t="s">
        <v>190</v>
      </c>
      <c r="E2286" s="907">
        <f>GLOBAL_DER_FEV_2023!E2286</f>
        <v>308</v>
      </c>
      <c r="F2286" s="908">
        <f>GLOBAL_DER_FEV_2023!F2286</f>
        <v>1.2096229499999998</v>
      </c>
      <c r="G2286" s="909">
        <f>GLOBAL_DER_FEV_2023!G2286</f>
        <v>300.05906897699992</v>
      </c>
      <c r="H2286" s="901">
        <f>GLOBAL_DER_FEV_2023!H2286</f>
        <v>0</v>
      </c>
      <c r="I2286" s="901">
        <f>GLOBAL_DER_FEV_2023!I2286</f>
        <v>0</v>
      </c>
      <c r="J2286" s="902">
        <f>GLOBAL_DER_FEV_2023!J2286</f>
        <v>0</v>
      </c>
      <c r="K2286" s="903"/>
      <c r="L2286" s="1177"/>
      <c r="M2286" s="1138">
        <f t="shared" si="172"/>
        <v>0</v>
      </c>
      <c r="N2286" s="1176">
        <f t="shared" si="176"/>
        <v>0</v>
      </c>
      <c r="O2286" s="905"/>
      <c r="P2286" s="36" t="str">
        <f>IF(N2285&gt;0,"xx",IF(N2285&gt;0,"xy",""))</f>
        <v/>
      </c>
      <c r="Q2286" s="317" t="str">
        <f t="shared" si="173"/>
        <v/>
      </c>
      <c r="R2286" s="317" t="str">
        <f t="shared" si="174"/>
        <v/>
      </c>
      <c r="S2286" s="317" t="str">
        <f t="shared" si="175"/>
        <v/>
      </c>
      <c r="T2286" s="317" t="str">
        <f>GLOBAL_DER_FEV_2023!S2286</f>
        <v/>
      </c>
      <c r="W2286" s="582">
        <v>0</v>
      </c>
      <c r="X2286" s="580"/>
      <c r="Y2286" s="583">
        <f>IF(GLOBAL_DER_FEV_2023!W2286=0,0,IF(GLOBAL_DER_FEV_2023!W2286&gt;0,"c","b"))</f>
        <v>0</v>
      </c>
    </row>
    <row r="2287" spans="1:25" ht="15" hidden="1" customHeight="1" x14ac:dyDescent="0.2">
      <c r="A2287" s="317" t="s">
        <v>147</v>
      </c>
      <c r="B2287" s="895" t="s">
        <v>147</v>
      </c>
      <c r="C2287" s="896"/>
      <c r="D2287" s="906" t="s">
        <v>229</v>
      </c>
      <c r="E2287" s="907">
        <f>GLOBAL_DER_FEV_2023!E2287</f>
        <v>150</v>
      </c>
      <c r="F2287" s="908">
        <f>GLOBAL_DER_FEV_2023!F2287</f>
        <v>3.5097804149999998</v>
      </c>
      <c r="G2287" s="949">
        <f>GLOBAL_DER_FEV_2023!G2287</f>
        <v>572.72596811970004</v>
      </c>
      <c r="H2287" s="901">
        <f>GLOBAL_DER_FEV_2023!H2287</f>
        <v>0</v>
      </c>
      <c r="I2287" s="901">
        <f>GLOBAL_DER_FEV_2023!I2287</f>
        <v>0</v>
      </c>
      <c r="J2287" s="902">
        <f>GLOBAL_DER_FEV_2023!J2287</f>
        <v>0</v>
      </c>
      <c r="K2287" s="903"/>
      <c r="L2287" s="1177"/>
      <c r="M2287" s="1138">
        <f t="shared" si="172"/>
        <v>0</v>
      </c>
      <c r="N2287" s="1176">
        <f t="shared" si="176"/>
        <v>0</v>
      </c>
      <c r="O2287" s="905"/>
      <c r="P2287" s="36" t="str">
        <f>IF(N2285&gt;0,"xx",IF(N2285&gt;0,"xy",""))</f>
        <v/>
      </c>
      <c r="Q2287" s="317" t="str">
        <f t="shared" si="173"/>
        <v/>
      </c>
      <c r="R2287" s="317" t="str">
        <f t="shared" si="174"/>
        <v/>
      </c>
      <c r="S2287" s="317" t="str">
        <f t="shared" si="175"/>
        <v/>
      </c>
      <c r="T2287" s="317" t="str">
        <f>GLOBAL_DER_FEV_2023!S2287</f>
        <v/>
      </c>
      <c r="W2287" s="582">
        <v>0</v>
      </c>
      <c r="X2287" s="580"/>
      <c r="Y2287" s="583">
        <f>IF(GLOBAL_DER_FEV_2023!W2287=0,0,IF(GLOBAL_DER_FEV_2023!W2287&gt;0,"c","b"))</f>
        <v>0</v>
      </c>
    </row>
    <row r="2288" spans="1:25" ht="15" hidden="1" customHeight="1" x14ac:dyDescent="0.2">
      <c r="A2288" s="317" t="s">
        <v>147</v>
      </c>
      <c r="B2288" s="895" t="s">
        <v>147</v>
      </c>
      <c r="C2288" s="896"/>
      <c r="D2288" s="906" t="s">
        <v>233</v>
      </c>
      <c r="E2288" s="907">
        <f>GLOBAL_DER_FEV_2023!E2288</f>
        <v>0.2</v>
      </c>
      <c r="F2288" s="908">
        <f>GLOBAL_DER_FEV_2023!F2288</f>
        <v>4.18982265</v>
      </c>
      <c r="G2288" s="949">
        <f>GLOBAL_DER_FEV_2023!G2288</f>
        <v>12.1253467491</v>
      </c>
      <c r="H2288" s="901">
        <f>GLOBAL_DER_FEV_2023!H2288</f>
        <v>0</v>
      </c>
      <c r="I2288" s="901">
        <f>GLOBAL_DER_FEV_2023!I2288</f>
        <v>0</v>
      </c>
      <c r="J2288" s="902">
        <f>GLOBAL_DER_FEV_2023!J2288</f>
        <v>0</v>
      </c>
      <c r="K2288" s="903"/>
      <c r="L2288" s="1177"/>
      <c r="M2288" s="1138">
        <f t="shared" si="172"/>
        <v>0</v>
      </c>
      <c r="N2288" s="1176">
        <f t="shared" si="176"/>
        <v>0</v>
      </c>
      <c r="O2288" s="905"/>
      <c r="P2288" s="36" t="str">
        <f>IF(N2285&gt;0,"xx",IF(N2285&gt;0,"xy",""))</f>
        <v/>
      </c>
      <c r="Q2288" s="317" t="str">
        <f t="shared" si="173"/>
        <v/>
      </c>
      <c r="R2288" s="317" t="str">
        <f t="shared" si="174"/>
        <v/>
      </c>
      <c r="S2288" s="317" t="str">
        <f t="shared" si="175"/>
        <v/>
      </c>
      <c r="T2288" s="317" t="str">
        <f>GLOBAL_DER_FEV_2023!S2288</f>
        <v/>
      </c>
      <c r="W2288" s="582">
        <v>0</v>
      </c>
      <c r="X2288" s="580"/>
      <c r="Y2288" s="583">
        <f>IF(GLOBAL_DER_FEV_2023!W2288=0,0,IF(GLOBAL_DER_FEV_2023!W2288&gt;0,"c","b"))</f>
        <v>0</v>
      </c>
    </row>
    <row r="2289" spans="1:25" ht="15" hidden="1" customHeight="1" x14ac:dyDescent="0.2">
      <c r="A2289" s="317" t="s">
        <v>38</v>
      </c>
      <c r="B2289" s="895" t="s">
        <v>38</v>
      </c>
      <c r="C2289" s="896" t="s">
        <v>184</v>
      </c>
      <c r="D2289" s="906" t="s">
        <v>386</v>
      </c>
      <c r="E2289" s="907">
        <f>GLOBAL_DER_FEV_2023!E2289</f>
        <v>0</v>
      </c>
      <c r="F2289" s="908">
        <f>GLOBAL_DER_FEV_2023!F2289</f>
        <v>0</v>
      </c>
      <c r="G2289" s="912">
        <f>GLOBAL_DER_FEV_2023!G2289</f>
        <v>1394.6534975898001</v>
      </c>
      <c r="H2289" s="901">
        <f>GLOBAL_DER_FEV_2023!H2289</f>
        <v>12178.23</v>
      </c>
      <c r="I2289" s="901">
        <f>GLOBAL_DER_FEV_2023!I2289</f>
        <v>13572.883497589799</v>
      </c>
      <c r="J2289" s="902">
        <f>GLOBAL_DER_FEV_2023!J2289</f>
        <v>16296.96</v>
      </c>
      <c r="K2289" s="903" t="s">
        <v>15</v>
      </c>
      <c r="L2289" s="1137"/>
      <c r="M2289" s="1138">
        <f t="shared" si="172"/>
        <v>0</v>
      </c>
      <c r="N2289" s="1176">
        <f t="shared" si="176"/>
        <v>0</v>
      </c>
      <c r="O2289" s="905"/>
      <c r="Q2289" s="317" t="str">
        <f t="shared" si="173"/>
        <v/>
      </c>
      <c r="R2289" s="317" t="str">
        <f t="shared" si="174"/>
        <v/>
      </c>
      <c r="S2289" s="317" t="str">
        <f t="shared" si="175"/>
        <v/>
      </c>
      <c r="T2289" s="317" t="str">
        <f>GLOBAL_DER_FEV_2023!S2289</f>
        <v/>
      </c>
      <c r="W2289" s="582">
        <v>0</v>
      </c>
      <c r="X2289" s="580"/>
      <c r="Y2289" s="583">
        <f>IF(GLOBAL_DER_FEV_2023!W2289=0,0,IF(GLOBAL_DER_FEV_2023!W2289&gt;0,"c","b"))</f>
        <v>0</v>
      </c>
    </row>
    <row r="2290" spans="1:25" ht="15" hidden="1" customHeight="1" x14ac:dyDescent="0.2">
      <c r="A2290" s="317" t="s">
        <v>147</v>
      </c>
      <c r="B2290" s="895" t="s">
        <v>147</v>
      </c>
      <c r="C2290" s="896"/>
      <c r="D2290" s="906" t="s">
        <v>190</v>
      </c>
      <c r="E2290" s="907">
        <f>GLOBAL_DER_FEV_2023!E2290</f>
        <v>308</v>
      </c>
      <c r="F2290" s="908">
        <f>GLOBAL_DER_FEV_2023!F2290</f>
        <v>1.9087789500000001</v>
      </c>
      <c r="G2290" s="909">
        <f>GLOBAL_DER_FEV_2023!G2290</f>
        <v>473.49170633700004</v>
      </c>
      <c r="H2290" s="901">
        <f>GLOBAL_DER_FEV_2023!H2290</f>
        <v>0</v>
      </c>
      <c r="I2290" s="901">
        <f>GLOBAL_DER_FEV_2023!I2290</f>
        <v>0</v>
      </c>
      <c r="J2290" s="902">
        <f>GLOBAL_DER_FEV_2023!J2290</f>
        <v>0</v>
      </c>
      <c r="K2290" s="903"/>
      <c r="L2290" s="1177"/>
      <c r="M2290" s="1138">
        <f t="shared" si="172"/>
        <v>0</v>
      </c>
      <c r="N2290" s="1176">
        <f t="shared" si="176"/>
        <v>0</v>
      </c>
      <c r="O2290" s="905"/>
      <c r="P2290" s="36" t="str">
        <f>IF(N2289&gt;0,"xx",IF(N2289&gt;0,"xy",""))</f>
        <v/>
      </c>
      <c r="Q2290" s="317" t="str">
        <f t="shared" si="173"/>
        <v/>
      </c>
      <c r="R2290" s="317" t="str">
        <f t="shared" si="174"/>
        <v/>
      </c>
      <c r="S2290" s="317" t="str">
        <f t="shared" si="175"/>
        <v/>
      </c>
      <c r="T2290" s="317" t="str">
        <f>GLOBAL_DER_FEV_2023!S2290</f>
        <v/>
      </c>
      <c r="W2290" s="582">
        <v>0</v>
      </c>
      <c r="X2290" s="580"/>
      <c r="Y2290" s="583">
        <f>IF(GLOBAL_DER_FEV_2023!W2290=0,0,IF(GLOBAL_DER_FEV_2023!W2290&gt;0,"c","b"))</f>
        <v>0</v>
      </c>
    </row>
    <row r="2291" spans="1:25" ht="15" hidden="1" customHeight="1" x14ac:dyDescent="0.2">
      <c r="A2291" s="317" t="s">
        <v>147</v>
      </c>
      <c r="B2291" s="895" t="s">
        <v>147</v>
      </c>
      <c r="C2291" s="896"/>
      <c r="D2291" s="906" t="s">
        <v>229</v>
      </c>
      <c r="E2291" s="907">
        <f>GLOBAL_DER_FEV_2023!E2291</f>
        <v>150</v>
      </c>
      <c r="F2291" s="908">
        <f>GLOBAL_DER_FEV_2023!F2291</f>
        <v>5.5279776150000002</v>
      </c>
      <c r="G2291" s="949">
        <f>GLOBAL_DER_FEV_2023!G2291</f>
        <v>902.05538721570008</v>
      </c>
      <c r="H2291" s="901">
        <f>GLOBAL_DER_FEV_2023!H2291</f>
        <v>0</v>
      </c>
      <c r="I2291" s="901">
        <f>GLOBAL_DER_FEV_2023!I2291</f>
        <v>0</v>
      </c>
      <c r="J2291" s="902">
        <f>GLOBAL_DER_FEV_2023!J2291</f>
        <v>0</v>
      </c>
      <c r="K2291" s="903"/>
      <c r="L2291" s="1177"/>
      <c r="M2291" s="1138">
        <f t="shared" si="172"/>
        <v>0</v>
      </c>
      <c r="N2291" s="1176">
        <f t="shared" si="176"/>
        <v>0</v>
      </c>
      <c r="O2291" s="905"/>
      <c r="P2291" s="36" t="str">
        <f>IF(N2289&gt;0,"xx",IF(N2289&gt;0,"xy",""))</f>
        <v/>
      </c>
      <c r="Q2291" s="317" t="str">
        <f t="shared" si="173"/>
        <v/>
      </c>
      <c r="R2291" s="317" t="str">
        <f t="shared" si="174"/>
        <v/>
      </c>
      <c r="S2291" s="317" t="str">
        <f t="shared" si="175"/>
        <v/>
      </c>
      <c r="T2291" s="317" t="str">
        <f>GLOBAL_DER_FEV_2023!S2291</f>
        <v/>
      </c>
      <c r="W2291" s="582">
        <v>0</v>
      </c>
      <c r="X2291" s="580"/>
      <c r="Y2291" s="583">
        <f>IF(GLOBAL_DER_FEV_2023!W2291=0,0,IF(GLOBAL_DER_FEV_2023!W2291&gt;0,"c","b"))</f>
        <v>0</v>
      </c>
    </row>
    <row r="2292" spans="1:25" ht="15" hidden="1" customHeight="1" x14ac:dyDescent="0.2">
      <c r="A2292" s="317" t="s">
        <v>147</v>
      </c>
      <c r="B2292" s="895" t="s">
        <v>147</v>
      </c>
      <c r="C2292" s="896"/>
      <c r="D2292" s="906" t="s">
        <v>233</v>
      </c>
      <c r="E2292" s="907">
        <f>GLOBAL_DER_FEV_2023!E2292</f>
        <v>0.2</v>
      </c>
      <c r="F2292" s="908">
        <f>GLOBAL_DER_FEV_2023!F2292</f>
        <v>6.6020746500000005</v>
      </c>
      <c r="G2292" s="949">
        <f>GLOBAL_DER_FEV_2023!G2292</f>
        <v>19.106404037100003</v>
      </c>
      <c r="H2292" s="901">
        <f>GLOBAL_DER_FEV_2023!H2292</f>
        <v>0</v>
      </c>
      <c r="I2292" s="901">
        <f>GLOBAL_DER_FEV_2023!I2292</f>
        <v>0</v>
      </c>
      <c r="J2292" s="902">
        <f>GLOBAL_DER_FEV_2023!J2292</f>
        <v>0</v>
      </c>
      <c r="K2292" s="903"/>
      <c r="L2292" s="1177"/>
      <c r="M2292" s="1138">
        <f t="shared" si="172"/>
        <v>0</v>
      </c>
      <c r="N2292" s="1176">
        <f t="shared" si="176"/>
        <v>0</v>
      </c>
      <c r="O2292" s="905"/>
      <c r="P2292" s="36" t="str">
        <f>IF(N2289&gt;0,"xx",IF(N2289&gt;0,"xy",""))</f>
        <v/>
      </c>
      <c r="Q2292" s="317" t="str">
        <f t="shared" si="173"/>
        <v/>
      </c>
      <c r="R2292" s="317" t="str">
        <f t="shared" si="174"/>
        <v/>
      </c>
      <c r="S2292" s="317" t="str">
        <f t="shared" si="175"/>
        <v/>
      </c>
      <c r="T2292" s="317" t="str">
        <f>GLOBAL_DER_FEV_2023!S2292</f>
        <v/>
      </c>
      <c r="W2292" s="582">
        <v>0</v>
      </c>
      <c r="X2292" s="580"/>
      <c r="Y2292" s="583">
        <f>IF(GLOBAL_DER_FEV_2023!W2292=0,0,IF(GLOBAL_DER_FEV_2023!W2292&gt;0,"c","b"))</f>
        <v>0</v>
      </c>
    </row>
    <row r="2293" spans="1:25" ht="15" hidden="1" customHeight="1" x14ac:dyDescent="0.2">
      <c r="A2293" s="317" t="s">
        <v>115</v>
      </c>
      <c r="B2293" s="895" t="s">
        <v>115</v>
      </c>
      <c r="C2293" s="896" t="s">
        <v>184</v>
      </c>
      <c r="D2293" s="906" t="s">
        <v>127</v>
      </c>
      <c r="E2293" s="907">
        <f>GLOBAL_DER_FEV_2023!E2293</f>
        <v>0</v>
      </c>
      <c r="F2293" s="908">
        <f>GLOBAL_DER_FEV_2023!F2293</f>
        <v>0</v>
      </c>
      <c r="G2293" s="912">
        <f>GLOBAL_DER_FEV_2023!G2293</f>
        <v>297.06389396200001</v>
      </c>
      <c r="H2293" s="901">
        <f>GLOBAL_DER_FEV_2023!H2293</f>
        <v>2203.7800000000002</v>
      </c>
      <c r="I2293" s="901">
        <f>GLOBAL_DER_FEV_2023!I2293</f>
        <v>2500.843893962</v>
      </c>
      <c r="J2293" s="902">
        <f>GLOBAL_DER_FEV_2023!J2293</f>
        <v>3002.76</v>
      </c>
      <c r="K2293" s="903" t="s">
        <v>15</v>
      </c>
      <c r="L2293" s="1137"/>
      <c r="M2293" s="1138">
        <f t="shared" si="172"/>
        <v>0</v>
      </c>
      <c r="N2293" s="1176">
        <f t="shared" si="176"/>
        <v>0</v>
      </c>
      <c r="O2293" s="905"/>
      <c r="Q2293" s="317" t="str">
        <f t="shared" si="173"/>
        <v/>
      </c>
      <c r="R2293" s="317" t="str">
        <f t="shared" si="174"/>
        <v/>
      </c>
      <c r="S2293" s="317" t="str">
        <f t="shared" si="175"/>
        <v/>
      </c>
      <c r="T2293" s="317" t="str">
        <f>GLOBAL_DER_FEV_2023!S2293</f>
        <v/>
      </c>
      <c r="W2293" s="582">
        <v>0</v>
      </c>
      <c r="X2293" s="580"/>
      <c r="Y2293" s="583">
        <f>IF(GLOBAL_DER_FEV_2023!W2293=0,0,IF(GLOBAL_DER_FEV_2023!W2293&gt;0,"c","b"))</f>
        <v>0</v>
      </c>
    </row>
    <row r="2294" spans="1:25" ht="15" hidden="1" customHeight="1" x14ac:dyDescent="0.2">
      <c r="A2294" s="317" t="s">
        <v>147</v>
      </c>
      <c r="B2294" s="895" t="s">
        <v>147</v>
      </c>
      <c r="C2294" s="896"/>
      <c r="D2294" s="906" t="s">
        <v>190</v>
      </c>
      <c r="E2294" s="907">
        <f>GLOBAL_DER_FEV_2023!E2294</f>
        <v>308</v>
      </c>
      <c r="F2294" s="908">
        <f>GLOBAL_DER_FEV_2023!F2294</f>
        <v>0.35276220000000008</v>
      </c>
      <c r="G2294" s="909">
        <f>GLOBAL_DER_FEV_2023!G2294</f>
        <v>87.506191332000014</v>
      </c>
      <c r="H2294" s="901">
        <f>GLOBAL_DER_FEV_2023!H2294</f>
        <v>0</v>
      </c>
      <c r="I2294" s="901">
        <f>GLOBAL_DER_FEV_2023!I2294</f>
        <v>0</v>
      </c>
      <c r="J2294" s="902">
        <f>GLOBAL_DER_FEV_2023!J2294</f>
        <v>0</v>
      </c>
      <c r="K2294" s="903"/>
      <c r="L2294" s="1177"/>
      <c r="M2294" s="1138">
        <f t="shared" si="172"/>
        <v>0</v>
      </c>
      <c r="N2294" s="1176">
        <f t="shared" si="176"/>
        <v>0</v>
      </c>
      <c r="O2294" s="905"/>
      <c r="P2294" s="36" t="str">
        <f>IF(N2293&gt;0,"xx",IF(N2293&gt;0,"xy",""))</f>
        <v/>
      </c>
      <c r="Q2294" s="317" t="str">
        <f t="shared" si="173"/>
        <v/>
      </c>
      <c r="R2294" s="317" t="str">
        <f t="shared" si="174"/>
        <v/>
      </c>
      <c r="S2294" s="317" t="str">
        <f t="shared" si="175"/>
        <v/>
      </c>
      <c r="T2294" s="317" t="str">
        <f>GLOBAL_DER_FEV_2023!S2294</f>
        <v/>
      </c>
      <c r="W2294" s="582">
        <v>0</v>
      </c>
      <c r="X2294" s="580"/>
      <c r="Y2294" s="583">
        <f>IF(GLOBAL_DER_FEV_2023!W2294=0,0,IF(GLOBAL_DER_FEV_2023!W2294&gt;0,"c","b"))</f>
        <v>0</v>
      </c>
    </row>
    <row r="2295" spans="1:25" ht="15" hidden="1" customHeight="1" x14ac:dyDescent="0.2">
      <c r="A2295" s="317" t="s">
        <v>147</v>
      </c>
      <c r="B2295" s="895" t="s">
        <v>147</v>
      </c>
      <c r="C2295" s="896"/>
      <c r="D2295" s="906" t="s">
        <v>229</v>
      </c>
      <c r="E2295" s="907">
        <f>GLOBAL_DER_FEV_2023!E2295</f>
        <v>150</v>
      </c>
      <c r="F2295" s="908">
        <f>GLOBAL_DER_FEV_2023!F2295</f>
        <v>1.1888125000000003</v>
      </c>
      <c r="G2295" s="949">
        <f>GLOBAL_DER_FEV_2023!G2295</f>
        <v>193.99042375000005</v>
      </c>
      <c r="H2295" s="901">
        <f>GLOBAL_DER_FEV_2023!H2295</f>
        <v>0</v>
      </c>
      <c r="I2295" s="901">
        <f>GLOBAL_DER_FEV_2023!I2295</f>
        <v>0</v>
      </c>
      <c r="J2295" s="902">
        <f>GLOBAL_DER_FEV_2023!J2295</f>
        <v>0</v>
      </c>
      <c r="K2295" s="903"/>
      <c r="L2295" s="1177"/>
      <c r="M2295" s="1138">
        <f t="shared" si="172"/>
        <v>0</v>
      </c>
      <c r="N2295" s="1176">
        <f t="shared" si="176"/>
        <v>0</v>
      </c>
      <c r="O2295" s="905"/>
      <c r="P2295" s="36" t="str">
        <f>IF(N2293&gt;0,"xx",IF(N2293&gt;0,"xy",""))</f>
        <v/>
      </c>
      <c r="Q2295" s="317" t="str">
        <f t="shared" si="173"/>
        <v/>
      </c>
      <c r="R2295" s="317" t="str">
        <f t="shared" si="174"/>
        <v/>
      </c>
      <c r="S2295" s="317" t="str">
        <f t="shared" si="175"/>
        <v/>
      </c>
      <c r="T2295" s="317" t="str">
        <f>GLOBAL_DER_FEV_2023!S2295</f>
        <v/>
      </c>
      <c r="W2295" s="582">
        <v>0</v>
      </c>
      <c r="X2295" s="580"/>
      <c r="Y2295" s="583">
        <f>IF(GLOBAL_DER_FEV_2023!W2295=0,0,IF(GLOBAL_DER_FEV_2023!W2295&gt;0,"c","b"))</f>
        <v>0</v>
      </c>
    </row>
    <row r="2296" spans="1:25" ht="15" hidden="1" customHeight="1" x14ac:dyDescent="0.2">
      <c r="A2296" s="317" t="s">
        <v>147</v>
      </c>
      <c r="B2296" s="895" t="s">
        <v>147</v>
      </c>
      <c r="C2296" s="896"/>
      <c r="D2296" s="906" t="s">
        <v>233</v>
      </c>
      <c r="E2296" s="907">
        <f>GLOBAL_DER_FEV_2023!E2296</f>
        <v>0.2</v>
      </c>
      <c r="F2296" s="908">
        <f>GLOBAL_DER_FEV_2023!F2296</f>
        <v>1.1100000000000001</v>
      </c>
      <c r="G2296" s="949">
        <f>GLOBAL_DER_FEV_2023!G2296</f>
        <v>3.2123400000000006</v>
      </c>
      <c r="H2296" s="901">
        <f>GLOBAL_DER_FEV_2023!H2296</f>
        <v>0</v>
      </c>
      <c r="I2296" s="901">
        <f>GLOBAL_DER_FEV_2023!I2296</f>
        <v>0</v>
      </c>
      <c r="J2296" s="902">
        <f>GLOBAL_DER_FEV_2023!J2296</f>
        <v>0</v>
      </c>
      <c r="K2296" s="903"/>
      <c r="L2296" s="1177"/>
      <c r="M2296" s="1138">
        <f t="shared" si="172"/>
        <v>0</v>
      </c>
      <c r="N2296" s="1176">
        <f t="shared" si="176"/>
        <v>0</v>
      </c>
      <c r="O2296" s="905"/>
      <c r="P2296" s="36" t="str">
        <f>IF(N2293&gt;0,"xx",IF(N2293&gt;0,"xy",""))</f>
        <v/>
      </c>
      <c r="Q2296" s="317" t="str">
        <f t="shared" si="173"/>
        <v/>
      </c>
      <c r="R2296" s="317" t="str">
        <f t="shared" si="174"/>
        <v/>
      </c>
      <c r="S2296" s="317" t="str">
        <f t="shared" si="175"/>
        <v/>
      </c>
      <c r="T2296" s="317" t="str">
        <f>GLOBAL_DER_FEV_2023!S2296</f>
        <v/>
      </c>
      <c r="W2296" s="582">
        <v>0</v>
      </c>
      <c r="X2296" s="580"/>
      <c r="Y2296" s="583">
        <f>IF(GLOBAL_DER_FEV_2023!W2296=0,0,IF(GLOBAL_DER_FEV_2023!W2296&gt;0,"c","b"))</f>
        <v>0</v>
      </c>
    </row>
    <row r="2297" spans="1:25" ht="15" hidden="1" customHeight="1" x14ac:dyDescent="0.2">
      <c r="A2297" s="317" t="s">
        <v>147</v>
      </c>
      <c r="B2297" s="895" t="s">
        <v>147</v>
      </c>
      <c r="C2297" s="896"/>
      <c r="D2297" s="906" t="s">
        <v>365</v>
      </c>
      <c r="E2297" s="907">
        <f>GLOBAL_DER_FEV_2023!E2297</f>
        <v>10</v>
      </c>
      <c r="F2297" s="908">
        <f>GLOBAL_DER_FEV_2023!F2297</f>
        <v>0.54144000000000003</v>
      </c>
      <c r="G2297" s="949">
        <f>GLOBAL_DER_FEV_2023!G2297</f>
        <v>7.2444672000000008</v>
      </c>
      <c r="H2297" s="901">
        <f>GLOBAL_DER_FEV_2023!H2297</f>
        <v>0</v>
      </c>
      <c r="I2297" s="901">
        <f>GLOBAL_DER_FEV_2023!I2297</f>
        <v>0</v>
      </c>
      <c r="J2297" s="902">
        <f>GLOBAL_DER_FEV_2023!J2297</f>
        <v>0</v>
      </c>
      <c r="K2297" s="903"/>
      <c r="L2297" s="1177"/>
      <c r="M2297" s="1138">
        <f t="shared" si="172"/>
        <v>0</v>
      </c>
      <c r="N2297" s="1176">
        <f t="shared" si="176"/>
        <v>0</v>
      </c>
      <c r="O2297" s="905"/>
      <c r="P2297" s="36" t="str">
        <f>IF(N2293&gt;0,"xx",IF(N2293&gt;0,"xy",""))</f>
        <v/>
      </c>
      <c r="Q2297" s="317" t="str">
        <f t="shared" si="173"/>
        <v/>
      </c>
      <c r="R2297" s="317" t="str">
        <f t="shared" si="174"/>
        <v/>
      </c>
      <c r="S2297" s="317" t="str">
        <f t="shared" si="175"/>
        <v/>
      </c>
      <c r="T2297" s="317" t="str">
        <f>GLOBAL_DER_FEV_2023!S2297</f>
        <v/>
      </c>
      <c r="W2297" s="582">
        <v>0</v>
      </c>
      <c r="X2297" s="580"/>
      <c r="Y2297" s="583">
        <f>IF(GLOBAL_DER_FEV_2023!W2297=0,0,IF(GLOBAL_DER_FEV_2023!W2297&gt;0,"c","b"))</f>
        <v>0</v>
      </c>
    </row>
    <row r="2298" spans="1:25" ht="15" hidden="1" customHeight="1" x14ac:dyDescent="0.2">
      <c r="A2298" s="317" t="s">
        <v>147</v>
      </c>
      <c r="B2298" s="895" t="s">
        <v>147</v>
      </c>
      <c r="C2298" s="896"/>
      <c r="D2298" s="906" t="s">
        <v>366</v>
      </c>
      <c r="E2298" s="907">
        <f>GLOBAL_DER_FEV_2023!E2298</f>
        <v>353</v>
      </c>
      <c r="F2298" s="908">
        <f>GLOBAL_DER_FEV_2023!F2298</f>
        <v>1.8048000000000002E-2</v>
      </c>
      <c r="G2298" s="909">
        <f>GLOBAL_DER_FEV_2023!G2298</f>
        <v>5.1104716800000007</v>
      </c>
      <c r="H2298" s="901">
        <f>GLOBAL_DER_FEV_2023!H2298</f>
        <v>0</v>
      </c>
      <c r="I2298" s="901">
        <f>GLOBAL_DER_FEV_2023!I2298</f>
        <v>0</v>
      </c>
      <c r="J2298" s="902">
        <f>GLOBAL_DER_FEV_2023!J2298</f>
        <v>0</v>
      </c>
      <c r="K2298" s="903"/>
      <c r="L2298" s="1177"/>
      <c r="M2298" s="1138">
        <f t="shared" si="172"/>
        <v>0</v>
      </c>
      <c r="N2298" s="1176">
        <f t="shared" si="176"/>
        <v>0</v>
      </c>
      <c r="O2298" s="905"/>
      <c r="P2298" s="36" t="str">
        <f>IF(N2293&gt;0,"xx",IF(N2293&gt;0,"xy",""))</f>
        <v/>
      </c>
      <c r="Q2298" s="317" t="str">
        <f t="shared" si="173"/>
        <v/>
      </c>
      <c r="R2298" s="317" t="str">
        <f t="shared" si="174"/>
        <v/>
      </c>
      <c r="S2298" s="317" t="str">
        <f t="shared" si="175"/>
        <v/>
      </c>
      <c r="T2298" s="317" t="str">
        <f>GLOBAL_DER_FEV_2023!S2298</f>
        <v/>
      </c>
      <c r="W2298" s="582">
        <v>0</v>
      </c>
      <c r="X2298" s="580"/>
      <c r="Y2298" s="583">
        <f>IF(GLOBAL_DER_FEV_2023!W2298=0,0,IF(GLOBAL_DER_FEV_2023!W2298&gt;0,"c","b"))</f>
        <v>0</v>
      </c>
    </row>
    <row r="2299" spans="1:25" ht="15" hidden="1" customHeight="1" x14ac:dyDescent="0.2">
      <c r="A2299" s="317" t="s">
        <v>116</v>
      </c>
      <c r="B2299" s="895" t="s">
        <v>116</v>
      </c>
      <c r="C2299" s="896" t="s">
        <v>184</v>
      </c>
      <c r="D2299" s="906" t="s">
        <v>128</v>
      </c>
      <c r="E2299" s="907">
        <f>GLOBAL_DER_FEV_2023!E2299</f>
        <v>0</v>
      </c>
      <c r="F2299" s="908">
        <f>GLOBAL_DER_FEV_2023!F2299</f>
        <v>0</v>
      </c>
      <c r="G2299" s="912">
        <f>GLOBAL_DER_FEV_2023!G2299</f>
        <v>336.54402421599991</v>
      </c>
      <c r="H2299" s="901">
        <f>GLOBAL_DER_FEV_2023!H2299</f>
        <v>2425.58</v>
      </c>
      <c r="I2299" s="901">
        <f>GLOBAL_DER_FEV_2023!I2299</f>
        <v>2762.1240242159997</v>
      </c>
      <c r="J2299" s="902">
        <f>GLOBAL_DER_FEV_2023!J2299</f>
        <v>3316.48</v>
      </c>
      <c r="K2299" s="903" t="s">
        <v>15</v>
      </c>
      <c r="L2299" s="1137"/>
      <c r="M2299" s="1138">
        <f t="shared" si="172"/>
        <v>0</v>
      </c>
      <c r="N2299" s="1176">
        <f t="shared" si="176"/>
        <v>0</v>
      </c>
      <c r="O2299" s="905"/>
      <c r="Q2299" s="317" t="str">
        <f t="shared" si="173"/>
        <v/>
      </c>
      <c r="R2299" s="317" t="str">
        <f t="shared" si="174"/>
        <v/>
      </c>
      <c r="S2299" s="317" t="str">
        <f t="shared" si="175"/>
        <v/>
      </c>
      <c r="T2299" s="317" t="str">
        <f>GLOBAL_DER_FEV_2023!S2299</f>
        <v/>
      </c>
      <c r="W2299" s="582">
        <v>0</v>
      </c>
      <c r="X2299" s="580"/>
      <c r="Y2299" s="583">
        <f>IF(GLOBAL_DER_FEV_2023!W2299=0,0,IF(GLOBAL_DER_FEV_2023!W2299&gt;0,"c","b"))</f>
        <v>0</v>
      </c>
    </row>
    <row r="2300" spans="1:25" ht="15" hidden="1" customHeight="1" x14ac:dyDescent="0.2">
      <c r="A2300" s="317" t="s">
        <v>147</v>
      </c>
      <c r="B2300" s="895" t="s">
        <v>147</v>
      </c>
      <c r="C2300" s="896"/>
      <c r="D2300" s="906" t="s">
        <v>190</v>
      </c>
      <c r="E2300" s="907">
        <f>GLOBAL_DER_FEV_2023!E2300</f>
        <v>308</v>
      </c>
      <c r="F2300" s="908">
        <f>GLOBAL_DER_FEV_2023!F2300</f>
        <v>0.38489359999999995</v>
      </c>
      <c r="G2300" s="909">
        <f>GLOBAL_DER_FEV_2023!G2300</f>
        <v>95.476706415999985</v>
      </c>
      <c r="H2300" s="901">
        <f>GLOBAL_DER_FEV_2023!H2300</f>
        <v>0</v>
      </c>
      <c r="I2300" s="901">
        <f>GLOBAL_DER_FEV_2023!I2300</f>
        <v>0</v>
      </c>
      <c r="J2300" s="902">
        <f>GLOBAL_DER_FEV_2023!J2300</f>
        <v>0</v>
      </c>
      <c r="K2300" s="903"/>
      <c r="L2300" s="1177"/>
      <c r="M2300" s="1138">
        <f t="shared" si="172"/>
        <v>0</v>
      </c>
      <c r="N2300" s="1176">
        <f t="shared" si="176"/>
        <v>0</v>
      </c>
      <c r="O2300" s="905"/>
      <c r="P2300" s="36" t="str">
        <f>IF(N2299&gt;0,"xx",IF(N2299&gt;0,"xy",""))</f>
        <v/>
      </c>
      <c r="Q2300" s="317" t="str">
        <f t="shared" si="173"/>
        <v/>
      </c>
      <c r="R2300" s="317" t="str">
        <f t="shared" si="174"/>
        <v/>
      </c>
      <c r="S2300" s="317" t="str">
        <f t="shared" si="175"/>
        <v/>
      </c>
      <c r="T2300" s="317" t="str">
        <f>GLOBAL_DER_FEV_2023!S2300</f>
        <v/>
      </c>
      <c r="W2300" s="582">
        <v>0</v>
      </c>
      <c r="X2300" s="580"/>
      <c r="Y2300" s="583">
        <f>IF(GLOBAL_DER_FEV_2023!W2300=0,0,IF(GLOBAL_DER_FEV_2023!W2300&gt;0,"c","b"))</f>
        <v>0</v>
      </c>
    </row>
    <row r="2301" spans="1:25" ht="15" hidden="1" customHeight="1" x14ac:dyDescent="0.2">
      <c r="A2301" s="317" t="s">
        <v>147</v>
      </c>
      <c r="B2301" s="895" t="s">
        <v>147</v>
      </c>
      <c r="C2301" s="896"/>
      <c r="D2301" s="906" t="s">
        <v>229</v>
      </c>
      <c r="E2301" s="907">
        <f>GLOBAL_DER_FEV_2023!E2301</f>
        <v>150</v>
      </c>
      <c r="F2301" s="908">
        <f>GLOBAL_DER_FEV_2023!F2301</f>
        <v>1.3499699999999999</v>
      </c>
      <c r="G2301" s="949">
        <f>GLOBAL_DER_FEV_2023!G2301</f>
        <v>220.2881046</v>
      </c>
      <c r="H2301" s="901">
        <f>GLOBAL_DER_FEV_2023!H2301</f>
        <v>0</v>
      </c>
      <c r="I2301" s="901">
        <f>GLOBAL_DER_FEV_2023!I2301</f>
        <v>0</v>
      </c>
      <c r="J2301" s="902">
        <f>GLOBAL_DER_FEV_2023!J2301</f>
        <v>0</v>
      </c>
      <c r="K2301" s="903"/>
      <c r="L2301" s="1177"/>
      <c r="M2301" s="1138">
        <f t="shared" si="172"/>
        <v>0</v>
      </c>
      <c r="N2301" s="1176">
        <f t="shared" si="176"/>
        <v>0</v>
      </c>
      <c r="O2301" s="905"/>
      <c r="P2301" s="36" t="str">
        <f>IF(N2299&gt;0,"xx",IF(N2299&gt;0,"xy",""))</f>
        <v/>
      </c>
      <c r="Q2301" s="317" t="str">
        <f t="shared" si="173"/>
        <v/>
      </c>
      <c r="R2301" s="317" t="str">
        <f t="shared" si="174"/>
        <v/>
      </c>
      <c r="S2301" s="317" t="str">
        <f t="shared" si="175"/>
        <v/>
      </c>
      <c r="T2301" s="317" t="str">
        <f>GLOBAL_DER_FEV_2023!S2301</f>
        <v/>
      </c>
      <c r="W2301" s="582">
        <v>0</v>
      </c>
      <c r="X2301" s="580"/>
      <c r="Y2301" s="583">
        <f>IF(GLOBAL_DER_FEV_2023!W2301=0,0,IF(GLOBAL_DER_FEV_2023!W2301&gt;0,"c","b"))</f>
        <v>0</v>
      </c>
    </row>
    <row r="2302" spans="1:25" ht="15" hidden="1" customHeight="1" x14ac:dyDescent="0.2">
      <c r="A2302" s="317" t="s">
        <v>147</v>
      </c>
      <c r="B2302" s="895" t="s">
        <v>147</v>
      </c>
      <c r="C2302" s="896"/>
      <c r="D2302" s="906" t="s">
        <v>233</v>
      </c>
      <c r="E2302" s="907">
        <f>GLOBAL_DER_FEV_2023!E2302</f>
        <v>0.2</v>
      </c>
      <c r="F2302" s="908">
        <f>GLOBAL_DER_FEV_2023!F2302</f>
        <v>1.1766000000000001</v>
      </c>
      <c r="G2302" s="949">
        <f>GLOBAL_DER_FEV_2023!G2302</f>
        <v>3.4050804000000006</v>
      </c>
      <c r="H2302" s="901">
        <f>GLOBAL_DER_FEV_2023!H2302</f>
        <v>0</v>
      </c>
      <c r="I2302" s="901">
        <f>GLOBAL_DER_FEV_2023!I2302</f>
        <v>0</v>
      </c>
      <c r="J2302" s="902">
        <f>GLOBAL_DER_FEV_2023!J2302</f>
        <v>0</v>
      </c>
      <c r="K2302" s="903"/>
      <c r="L2302" s="1177"/>
      <c r="M2302" s="1138">
        <f t="shared" si="172"/>
        <v>0</v>
      </c>
      <c r="N2302" s="1176">
        <f t="shared" si="176"/>
        <v>0</v>
      </c>
      <c r="O2302" s="905"/>
      <c r="P2302" s="36" t="str">
        <f>IF(N2299&gt;0,"xx",IF(N2299&gt;0,"xy",""))</f>
        <v/>
      </c>
      <c r="Q2302" s="317" t="str">
        <f t="shared" si="173"/>
        <v/>
      </c>
      <c r="R2302" s="317" t="str">
        <f t="shared" si="174"/>
        <v/>
      </c>
      <c r="S2302" s="317" t="str">
        <f t="shared" si="175"/>
        <v/>
      </c>
      <c r="T2302" s="317" t="str">
        <f>GLOBAL_DER_FEV_2023!S2302</f>
        <v/>
      </c>
      <c r="W2302" s="582">
        <v>0</v>
      </c>
      <c r="X2302" s="580"/>
      <c r="Y2302" s="583">
        <f>IF(GLOBAL_DER_FEV_2023!W2302=0,0,IF(GLOBAL_DER_FEV_2023!W2302&gt;0,"c","b"))</f>
        <v>0</v>
      </c>
    </row>
    <row r="2303" spans="1:25" ht="15" hidden="1" customHeight="1" x14ac:dyDescent="0.2">
      <c r="A2303" s="317" t="s">
        <v>147</v>
      </c>
      <c r="B2303" s="895" t="s">
        <v>147</v>
      </c>
      <c r="C2303" s="896"/>
      <c r="D2303" s="906" t="s">
        <v>365</v>
      </c>
      <c r="E2303" s="907">
        <f>GLOBAL_DER_FEV_2023!E2303</f>
        <v>10</v>
      </c>
      <c r="F2303" s="908">
        <f>GLOBAL_DER_FEV_2023!F2303</f>
        <v>0.76139999999999997</v>
      </c>
      <c r="G2303" s="949">
        <f>GLOBAL_DER_FEV_2023!G2303</f>
        <v>10.187532000000001</v>
      </c>
      <c r="H2303" s="901">
        <f>GLOBAL_DER_FEV_2023!H2303</f>
        <v>0</v>
      </c>
      <c r="I2303" s="901">
        <f>GLOBAL_DER_FEV_2023!I2303</f>
        <v>0</v>
      </c>
      <c r="J2303" s="902">
        <f>GLOBAL_DER_FEV_2023!J2303</f>
        <v>0</v>
      </c>
      <c r="K2303" s="903"/>
      <c r="L2303" s="1177"/>
      <c r="M2303" s="1138">
        <f t="shared" si="172"/>
        <v>0</v>
      </c>
      <c r="N2303" s="1176">
        <f t="shared" si="176"/>
        <v>0</v>
      </c>
      <c r="O2303" s="905"/>
      <c r="P2303" s="36" t="str">
        <f>IF(N2299&gt;0,"xx",IF(N2299&gt;0,"xy",""))</f>
        <v/>
      </c>
      <c r="Q2303" s="317" t="str">
        <f t="shared" si="173"/>
        <v/>
      </c>
      <c r="R2303" s="317" t="str">
        <f t="shared" si="174"/>
        <v/>
      </c>
      <c r="S2303" s="317" t="str">
        <f t="shared" si="175"/>
        <v/>
      </c>
      <c r="T2303" s="317" t="str">
        <f>GLOBAL_DER_FEV_2023!S2303</f>
        <v/>
      </c>
      <c r="W2303" s="582">
        <v>0</v>
      </c>
      <c r="X2303" s="580"/>
      <c r="Y2303" s="583">
        <f>IF(GLOBAL_DER_FEV_2023!W2303=0,0,IF(GLOBAL_DER_FEV_2023!W2303&gt;0,"c","b"))</f>
        <v>0</v>
      </c>
    </row>
    <row r="2304" spans="1:25" ht="15" hidden="1" customHeight="1" x14ac:dyDescent="0.2">
      <c r="A2304" s="317" t="s">
        <v>147</v>
      </c>
      <c r="B2304" s="895" t="s">
        <v>147</v>
      </c>
      <c r="C2304" s="896"/>
      <c r="D2304" s="906" t="s">
        <v>366</v>
      </c>
      <c r="E2304" s="907">
        <f>GLOBAL_DER_FEV_2023!E2304</f>
        <v>353</v>
      </c>
      <c r="F2304" s="908">
        <f>GLOBAL_DER_FEV_2023!F2304</f>
        <v>2.538E-2</v>
      </c>
      <c r="G2304" s="909">
        <f>GLOBAL_DER_FEV_2023!G2304</f>
        <v>7.1866008000000008</v>
      </c>
      <c r="H2304" s="901">
        <f>GLOBAL_DER_FEV_2023!H2304</f>
        <v>0</v>
      </c>
      <c r="I2304" s="901">
        <f>GLOBAL_DER_FEV_2023!I2304</f>
        <v>0</v>
      </c>
      <c r="J2304" s="902">
        <f>GLOBAL_DER_FEV_2023!J2304</f>
        <v>0</v>
      </c>
      <c r="K2304" s="903"/>
      <c r="L2304" s="1177"/>
      <c r="M2304" s="1138">
        <f t="shared" si="172"/>
        <v>0</v>
      </c>
      <c r="N2304" s="1176">
        <f t="shared" si="176"/>
        <v>0</v>
      </c>
      <c r="O2304" s="905"/>
      <c r="P2304" s="36" t="str">
        <f>IF(N2299&gt;0,"xx",IF(N2299&gt;0,"xy",""))</f>
        <v/>
      </c>
      <c r="Q2304" s="317" t="str">
        <f t="shared" si="173"/>
        <v/>
      </c>
      <c r="R2304" s="317" t="str">
        <f t="shared" si="174"/>
        <v/>
      </c>
      <c r="S2304" s="317" t="str">
        <f t="shared" si="175"/>
        <v/>
      </c>
      <c r="T2304" s="317" t="str">
        <f>GLOBAL_DER_FEV_2023!S2304</f>
        <v/>
      </c>
      <c r="W2304" s="582">
        <v>0</v>
      </c>
      <c r="X2304" s="580"/>
      <c r="Y2304" s="583">
        <f>IF(GLOBAL_DER_FEV_2023!W2304=0,0,IF(GLOBAL_DER_FEV_2023!W2304&gt;0,"c","b"))</f>
        <v>0</v>
      </c>
    </row>
    <row r="2305" spans="1:25" ht="15" hidden="1" customHeight="1" x14ac:dyDescent="0.2">
      <c r="A2305" s="317" t="s">
        <v>117</v>
      </c>
      <c r="B2305" s="895" t="s">
        <v>117</v>
      </c>
      <c r="C2305" s="896" t="s">
        <v>184</v>
      </c>
      <c r="D2305" s="906" t="s">
        <v>129</v>
      </c>
      <c r="E2305" s="907">
        <f>GLOBAL_DER_FEV_2023!E2305</f>
        <v>0</v>
      </c>
      <c r="F2305" s="908">
        <f>GLOBAL_DER_FEV_2023!F2305</f>
        <v>0</v>
      </c>
      <c r="G2305" s="912">
        <f>GLOBAL_DER_FEV_2023!G2305</f>
        <v>393.71938332399998</v>
      </c>
      <c r="H2305" s="901">
        <f>GLOBAL_DER_FEV_2023!H2305</f>
        <v>2754.73</v>
      </c>
      <c r="I2305" s="901">
        <f>GLOBAL_DER_FEV_2023!I2305</f>
        <v>3148.4493833239999</v>
      </c>
      <c r="J2305" s="902">
        <f>GLOBAL_DER_FEV_2023!J2305</f>
        <v>3780.34</v>
      </c>
      <c r="K2305" s="903" t="s">
        <v>15</v>
      </c>
      <c r="L2305" s="1137"/>
      <c r="M2305" s="1138">
        <f t="shared" si="172"/>
        <v>0</v>
      </c>
      <c r="N2305" s="1176">
        <f t="shared" si="176"/>
        <v>0</v>
      </c>
      <c r="O2305" s="905"/>
      <c r="Q2305" s="317" t="str">
        <f t="shared" si="173"/>
        <v/>
      </c>
      <c r="R2305" s="317" t="str">
        <f t="shared" si="174"/>
        <v/>
      </c>
      <c r="S2305" s="317" t="str">
        <f t="shared" si="175"/>
        <v/>
      </c>
      <c r="T2305" s="317" t="str">
        <f>GLOBAL_DER_FEV_2023!S2305</f>
        <v/>
      </c>
      <c r="W2305" s="582">
        <v>0</v>
      </c>
      <c r="X2305" s="580"/>
      <c r="Y2305" s="583">
        <f>IF(GLOBAL_DER_FEV_2023!W2305=0,0,IF(GLOBAL_DER_FEV_2023!W2305&gt;0,"c","b"))</f>
        <v>0</v>
      </c>
    </row>
    <row r="2306" spans="1:25" ht="15" hidden="1" customHeight="1" x14ac:dyDescent="0.2">
      <c r="A2306" s="317" t="s">
        <v>147</v>
      </c>
      <c r="B2306" s="895" t="s">
        <v>147</v>
      </c>
      <c r="C2306" s="896"/>
      <c r="D2306" s="906" t="s">
        <v>190</v>
      </c>
      <c r="E2306" s="907">
        <f>GLOBAL_DER_FEV_2023!E2306</f>
        <v>308</v>
      </c>
      <c r="F2306" s="908">
        <f>GLOBAL_DER_FEV_2023!F2306</f>
        <v>0.43281240000000004</v>
      </c>
      <c r="G2306" s="909">
        <f>GLOBAL_DER_FEV_2023!G2306</f>
        <v>107.36344394400001</v>
      </c>
      <c r="H2306" s="901">
        <f>GLOBAL_DER_FEV_2023!H2306</f>
        <v>0</v>
      </c>
      <c r="I2306" s="901">
        <f>GLOBAL_DER_FEV_2023!I2306</f>
        <v>0</v>
      </c>
      <c r="J2306" s="902">
        <f>GLOBAL_DER_FEV_2023!J2306</f>
        <v>0</v>
      </c>
      <c r="K2306" s="903"/>
      <c r="L2306" s="1177"/>
      <c r="M2306" s="1138">
        <f t="shared" si="172"/>
        <v>0</v>
      </c>
      <c r="N2306" s="1176">
        <f t="shared" si="176"/>
        <v>0</v>
      </c>
      <c r="O2306" s="905"/>
      <c r="P2306" s="36" t="str">
        <f>IF(N2305&gt;0,"xx",IF(N2305&gt;0,"xy",""))</f>
        <v/>
      </c>
      <c r="Q2306" s="317" t="str">
        <f t="shared" si="173"/>
        <v/>
      </c>
      <c r="R2306" s="317" t="str">
        <f t="shared" si="174"/>
        <v/>
      </c>
      <c r="S2306" s="317" t="str">
        <f t="shared" si="175"/>
        <v/>
      </c>
      <c r="T2306" s="317" t="str">
        <f>GLOBAL_DER_FEV_2023!S2306</f>
        <v/>
      </c>
      <c r="W2306" s="582">
        <v>0</v>
      </c>
      <c r="X2306" s="580"/>
      <c r="Y2306" s="583">
        <f>IF(GLOBAL_DER_FEV_2023!W2306=0,0,IF(GLOBAL_DER_FEV_2023!W2306&gt;0,"c","b"))</f>
        <v>0</v>
      </c>
    </row>
    <row r="2307" spans="1:25" ht="15" hidden="1" customHeight="1" x14ac:dyDescent="0.2">
      <c r="A2307" s="317" t="s">
        <v>147</v>
      </c>
      <c r="B2307" s="895" t="s">
        <v>147</v>
      </c>
      <c r="C2307" s="896"/>
      <c r="D2307" s="906" t="s">
        <v>229</v>
      </c>
      <c r="E2307" s="907">
        <f>GLOBAL_DER_FEV_2023!E2307</f>
        <v>150</v>
      </c>
      <c r="F2307" s="908">
        <f>GLOBAL_DER_FEV_2023!F2307</f>
        <v>1.5797950000000001</v>
      </c>
      <c r="G2307" s="949">
        <f>GLOBAL_DER_FEV_2023!G2307</f>
        <v>257.79094810000004</v>
      </c>
      <c r="H2307" s="901">
        <f>GLOBAL_DER_FEV_2023!H2307</f>
        <v>0</v>
      </c>
      <c r="I2307" s="901">
        <f>GLOBAL_DER_FEV_2023!I2307</f>
        <v>0</v>
      </c>
      <c r="J2307" s="902">
        <f>GLOBAL_DER_FEV_2023!J2307</f>
        <v>0</v>
      </c>
      <c r="K2307" s="903"/>
      <c r="L2307" s="1177"/>
      <c r="M2307" s="1138">
        <f t="shared" si="172"/>
        <v>0</v>
      </c>
      <c r="N2307" s="1176">
        <f t="shared" si="176"/>
        <v>0</v>
      </c>
      <c r="O2307" s="905"/>
      <c r="P2307" s="36" t="str">
        <f>IF(N2305&gt;0,"xx",IF(N2305&gt;0,"xy",""))</f>
        <v/>
      </c>
      <c r="Q2307" s="317" t="str">
        <f t="shared" si="173"/>
        <v/>
      </c>
      <c r="R2307" s="317" t="str">
        <f t="shared" si="174"/>
        <v/>
      </c>
      <c r="S2307" s="317" t="str">
        <f t="shared" si="175"/>
        <v/>
      </c>
      <c r="T2307" s="317" t="str">
        <f>GLOBAL_DER_FEV_2023!S2307</f>
        <v/>
      </c>
      <c r="W2307" s="582">
        <v>0</v>
      </c>
      <c r="X2307" s="580"/>
      <c r="Y2307" s="583">
        <f>IF(GLOBAL_DER_FEV_2023!W2307=0,0,IF(GLOBAL_DER_FEV_2023!W2307&gt;0,"c","b"))</f>
        <v>0</v>
      </c>
    </row>
    <row r="2308" spans="1:25" ht="15" hidden="1" customHeight="1" x14ac:dyDescent="0.2">
      <c r="A2308" s="317" t="s">
        <v>147</v>
      </c>
      <c r="B2308" s="895" t="s">
        <v>147</v>
      </c>
      <c r="C2308" s="896"/>
      <c r="D2308" s="906" t="s">
        <v>233</v>
      </c>
      <c r="E2308" s="907">
        <f>GLOBAL_DER_FEV_2023!E2308</f>
        <v>0.2</v>
      </c>
      <c r="F2308" s="908">
        <f>GLOBAL_DER_FEV_2023!F2308</f>
        <v>1.2654000000000003</v>
      </c>
      <c r="G2308" s="949">
        <f>GLOBAL_DER_FEV_2023!G2308</f>
        <v>3.6620676000000012</v>
      </c>
      <c r="H2308" s="901">
        <f>GLOBAL_DER_FEV_2023!H2308</f>
        <v>0</v>
      </c>
      <c r="I2308" s="901">
        <f>GLOBAL_DER_FEV_2023!I2308</f>
        <v>0</v>
      </c>
      <c r="J2308" s="902">
        <f>GLOBAL_DER_FEV_2023!J2308</f>
        <v>0</v>
      </c>
      <c r="K2308" s="903"/>
      <c r="L2308" s="1177"/>
      <c r="M2308" s="1138">
        <f t="shared" si="172"/>
        <v>0</v>
      </c>
      <c r="N2308" s="1176">
        <f t="shared" si="176"/>
        <v>0</v>
      </c>
      <c r="O2308" s="905"/>
      <c r="P2308" s="36" t="str">
        <f>IF(N2305&gt;0,"xx",IF(N2305&gt;0,"xy",""))</f>
        <v/>
      </c>
      <c r="Q2308" s="317" t="str">
        <f t="shared" si="173"/>
        <v/>
      </c>
      <c r="R2308" s="317" t="str">
        <f t="shared" si="174"/>
        <v/>
      </c>
      <c r="S2308" s="317" t="str">
        <f t="shared" si="175"/>
        <v/>
      </c>
      <c r="T2308" s="317" t="str">
        <f>GLOBAL_DER_FEV_2023!S2308</f>
        <v/>
      </c>
      <c r="W2308" s="582">
        <v>0</v>
      </c>
      <c r="X2308" s="580"/>
      <c r="Y2308" s="583">
        <f>IF(GLOBAL_DER_FEV_2023!W2308=0,0,IF(GLOBAL_DER_FEV_2023!W2308&gt;0,"c","b"))</f>
        <v>0</v>
      </c>
    </row>
    <row r="2309" spans="1:25" ht="15" hidden="1" customHeight="1" x14ac:dyDescent="0.2">
      <c r="A2309" s="317" t="s">
        <v>147</v>
      </c>
      <c r="B2309" s="895" t="s">
        <v>147</v>
      </c>
      <c r="C2309" s="896"/>
      <c r="D2309" s="906" t="s">
        <v>365</v>
      </c>
      <c r="E2309" s="907">
        <f>GLOBAL_DER_FEV_2023!E2309</f>
        <v>10</v>
      </c>
      <c r="F2309" s="908">
        <f>GLOBAL_DER_FEV_2023!F2309</f>
        <v>1.09134</v>
      </c>
      <c r="G2309" s="949">
        <f>GLOBAL_DER_FEV_2023!G2309</f>
        <v>14.6021292</v>
      </c>
      <c r="H2309" s="901">
        <f>GLOBAL_DER_FEV_2023!H2309</f>
        <v>0</v>
      </c>
      <c r="I2309" s="901">
        <f>GLOBAL_DER_FEV_2023!I2309</f>
        <v>0</v>
      </c>
      <c r="J2309" s="902">
        <f>GLOBAL_DER_FEV_2023!J2309</f>
        <v>0</v>
      </c>
      <c r="K2309" s="903"/>
      <c r="L2309" s="1177"/>
      <c r="M2309" s="1138">
        <f t="shared" si="172"/>
        <v>0</v>
      </c>
      <c r="N2309" s="1176">
        <f t="shared" si="176"/>
        <v>0</v>
      </c>
      <c r="O2309" s="905"/>
      <c r="P2309" s="36" t="str">
        <f>IF(N2305&gt;0,"xx",IF(N2305&gt;0,"xy",""))</f>
        <v/>
      </c>
      <c r="Q2309" s="317" t="str">
        <f t="shared" si="173"/>
        <v/>
      </c>
      <c r="R2309" s="317" t="str">
        <f t="shared" si="174"/>
        <v/>
      </c>
      <c r="S2309" s="317" t="str">
        <f t="shared" si="175"/>
        <v/>
      </c>
      <c r="T2309" s="317" t="str">
        <f>GLOBAL_DER_FEV_2023!S2309</f>
        <v/>
      </c>
      <c r="W2309" s="582">
        <v>0</v>
      </c>
      <c r="X2309" s="580"/>
      <c r="Y2309" s="583">
        <f>IF(GLOBAL_DER_FEV_2023!W2309=0,0,IF(GLOBAL_DER_FEV_2023!W2309&gt;0,"c","b"))</f>
        <v>0</v>
      </c>
    </row>
    <row r="2310" spans="1:25" ht="15" hidden="1" customHeight="1" x14ac:dyDescent="0.2">
      <c r="A2310" s="317" t="s">
        <v>147</v>
      </c>
      <c r="B2310" s="895" t="s">
        <v>147</v>
      </c>
      <c r="C2310" s="896"/>
      <c r="D2310" s="906" t="s">
        <v>366</v>
      </c>
      <c r="E2310" s="907">
        <f>GLOBAL_DER_FEV_2023!E2310</f>
        <v>353</v>
      </c>
      <c r="F2310" s="908">
        <f>GLOBAL_DER_FEV_2023!F2310</f>
        <v>3.6378000000000001E-2</v>
      </c>
      <c r="G2310" s="909">
        <f>GLOBAL_DER_FEV_2023!G2310</f>
        <v>10.30079448</v>
      </c>
      <c r="H2310" s="901">
        <f>GLOBAL_DER_FEV_2023!H2310</f>
        <v>0</v>
      </c>
      <c r="I2310" s="901">
        <f>GLOBAL_DER_FEV_2023!I2310</f>
        <v>0</v>
      </c>
      <c r="J2310" s="902">
        <f>GLOBAL_DER_FEV_2023!J2310</f>
        <v>0</v>
      </c>
      <c r="K2310" s="903"/>
      <c r="L2310" s="1177"/>
      <c r="M2310" s="1138">
        <f t="shared" si="172"/>
        <v>0</v>
      </c>
      <c r="N2310" s="1176">
        <f t="shared" si="176"/>
        <v>0</v>
      </c>
      <c r="O2310" s="905"/>
      <c r="P2310" s="36" t="str">
        <f>IF(N2305&gt;0,"xx",IF(N2305&gt;0,"xy",""))</f>
        <v/>
      </c>
      <c r="Q2310" s="317" t="str">
        <f t="shared" si="173"/>
        <v/>
      </c>
      <c r="R2310" s="317" t="str">
        <f t="shared" si="174"/>
        <v/>
      </c>
      <c r="S2310" s="317" t="str">
        <f t="shared" si="175"/>
        <v/>
      </c>
      <c r="T2310" s="317" t="str">
        <f>GLOBAL_DER_FEV_2023!S2310</f>
        <v/>
      </c>
      <c r="W2310" s="582">
        <v>0</v>
      </c>
      <c r="X2310" s="580"/>
      <c r="Y2310" s="583">
        <f>IF(GLOBAL_DER_FEV_2023!W2310=0,0,IF(GLOBAL_DER_FEV_2023!W2310&gt;0,"c","b"))</f>
        <v>0</v>
      </c>
    </row>
    <row r="2311" spans="1:25" ht="15" hidden="1" customHeight="1" x14ac:dyDescent="0.2">
      <c r="A2311" s="317" t="s">
        <v>39</v>
      </c>
      <c r="B2311" s="895" t="s">
        <v>39</v>
      </c>
      <c r="C2311" s="896" t="s">
        <v>184</v>
      </c>
      <c r="D2311" s="906" t="s">
        <v>130</v>
      </c>
      <c r="E2311" s="907">
        <f>GLOBAL_DER_FEV_2023!E2311</f>
        <v>0</v>
      </c>
      <c r="F2311" s="908">
        <f>GLOBAL_DER_FEV_2023!F2311</f>
        <v>0</v>
      </c>
      <c r="G2311" s="912">
        <f>GLOBAL_DER_FEV_2023!G2311</f>
        <v>430.00607617800006</v>
      </c>
      <c r="H2311" s="901">
        <f>GLOBAL_DER_FEV_2023!H2311</f>
        <v>2966.42</v>
      </c>
      <c r="I2311" s="901">
        <f>GLOBAL_DER_FEV_2023!I2311</f>
        <v>3396.4260761780001</v>
      </c>
      <c r="J2311" s="902">
        <f>GLOBAL_DER_FEV_2023!J2311</f>
        <v>4078.09</v>
      </c>
      <c r="K2311" s="903" t="s">
        <v>15</v>
      </c>
      <c r="L2311" s="1137"/>
      <c r="M2311" s="1138">
        <f t="shared" si="172"/>
        <v>0</v>
      </c>
      <c r="N2311" s="1176">
        <f t="shared" si="176"/>
        <v>0</v>
      </c>
      <c r="O2311" s="905"/>
      <c r="Q2311" s="317" t="str">
        <f t="shared" si="173"/>
        <v/>
      </c>
      <c r="R2311" s="317" t="str">
        <f t="shared" si="174"/>
        <v/>
      </c>
      <c r="S2311" s="317" t="str">
        <f t="shared" si="175"/>
        <v/>
      </c>
      <c r="T2311" s="317" t="str">
        <f>GLOBAL_DER_FEV_2023!S2311</f>
        <v/>
      </c>
      <c r="W2311" s="582">
        <v>0</v>
      </c>
      <c r="X2311" s="580"/>
      <c r="Y2311" s="583">
        <f>IF(GLOBAL_DER_FEV_2023!W2311=0,0,IF(GLOBAL_DER_FEV_2023!W2311&gt;0,"c","b"))</f>
        <v>0</v>
      </c>
    </row>
    <row r="2312" spans="1:25" ht="15" hidden="1" customHeight="1" x14ac:dyDescent="0.2">
      <c r="A2312" s="317" t="s">
        <v>147</v>
      </c>
      <c r="B2312" s="895" t="s">
        <v>147</v>
      </c>
      <c r="C2312" s="896"/>
      <c r="D2312" s="906" t="s">
        <v>190</v>
      </c>
      <c r="E2312" s="907">
        <f>GLOBAL_DER_FEV_2023!E2312</f>
        <v>308</v>
      </c>
      <c r="F2312" s="908">
        <f>GLOBAL_DER_FEV_2023!F2312</f>
        <v>0.46255580000000002</v>
      </c>
      <c r="G2312" s="909">
        <f>GLOBAL_DER_FEV_2023!G2312</f>
        <v>114.741591748</v>
      </c>
      <c r="H2312" s="901">
        <f>GLOBAL_DER_FEV_2023!H2312</f>
        <v>0</v>
      </c>
      <c r="I2312" s="901">
        <f>GLOBAL_DER_FEV_2023!I2312</f>
        <v>0</v>
      </c>
      <c r="J2312" s="902">
        <f>GLOBAL_DER_FEV_2023!J2312</f>
        <v>0</v>
      </c>
      <c r="K2312" s="903"/>
      <c r="L2312" s="1177"/>
      <c r="M2312" s="1138">
        <f t="shared" si="172"/>
        <v>0</v>
      </c>
      <c r="N2312" s="1176">
        <f t="shared" si="176"/>
        <v>0</v>
      </c>
      <c r="O2312" s="905"/>
      <c r="P2312" s="36" t="str">
        <f>IF(N2311&gt;0,"xx",IF(N2311&gt;0,"xy",""))</f>
        <v/>
      </c>
      <c r="Q2312" s="317" t="str">
        <f t="shared" si="173"/>
        <v/>
      </c>
      <c r="R2312" s="317" t="str">
        <f t="shared" si="174"/>
        <v/>
      </c>
      <c r="S2312" s="317" t="str">
        <f t="shared" si="175"/>
        <v/>
      </c>
      <c r="T2312" s="317" t="str">
        <f>GLOBAL_DER_FEV_2023!S2312</f>
        <v/>
      </c>
      <c r="W2312" s="582">
        <v>0</v>
      </c>
      <c r="X2312" s="580"/>
      <c r="Y2312" s="583">
        <f>IF(GLOBAL_DER_FEV_2023!W2312=0,0,IF(GLOBAL_DER_FEV_2023!W2312&gt;0,"c","b"))</f>
        <v>0</v>
      </c>
    </row>
    <row r="2313" spans="1:25" ht="15" hidden="1" customHeight="1" x14ac:dyDescent="0.2">
      <c r="A2313" s="317" t="s">
        <v>147</v>
      </c>
      <c r="B2313" s="895" t="s">
        <v>147</v>
      </c>
      <c r="C2313" s="896"/>
      <c r="D2313" s="906" t="s">
        <v>229</v>
      </c>
      <c r="E2313" s="907">
        <f>GLOBAL_DER_FEV_2023!E2313</f>
        <v>150</v>
      </c>
      <c r="F2313" s="908">
        <f>GLOBAL_DER_FEV_2023!F2313</f>
        <v>1.7263925000000002</v>
      </c>
      <c r="G2313" s="949">
        <f>GLOBAL_DER_FEV_2023!G2313</f>
        <v>281.71272815000003</v>
      </c>
      <c r="H2313" s="901">
        <f>GLOBAL_DER_FEV_2023!H2313</f>
        <v>0</v>
      </c>
      <c r="I2313" s="901">
        <f>GLOBAL_DER_FEV_2023!I2313</f>
        <v>0</v>
      </c>
      <c r="J2313" s="902">
        <f>GLOBAL_DER_FEV_2023!J2313</f>
        <v>0</v>
      </c>
      <c r="K2313" s="903"/>
      <c r="L2313" s="1177"/>
      <c r="M2313" s="1138">
        <f t="shared" si="172"/>
        <v>0</v>
      </c>
      <c r="N2313" s="1176">
        <f t="shared" si="176"/>
        <v>0</v>
      </c>
      <c r="O2313" s="905"/>
      <c r="P2313" s="36" t="str">
        <f>IF(N2311&gt;0,"xx",IF(N2311&gt;0,"xy",""))</f>
        <v/>
      </c>
      <c r="Q2313" s="317" t="str">
        <f t="shared" si="173"/>
        <v/>
      </c>
      <c r="R2313" s="317" t="str">
        <f t="shared" si="174"/>
        <v/>
      </c>
      <c r="S2313" s="317" t="str">
        <f t="shared" si="175"/>
        <v/>
      </c>
      <c r="T2313" s="317" t="str">
        <f>GLOBAL_DER_FEV_2023!S2313</f>
        <v/>
      </c>
      <c r="W2313" s="582">
        <v>0</v>
      </c>
      <c r="X2313" s="580"/>
      <c r="Y2313" s="583">
        <f>IF(GLOBAL_DER_FEV_2023!W2313=0,0,IF(GLOBAL_DER_FEV_2023!W2313&gt;0,"c","b"))</f>
        <v>0</v>
      </c>
    </row>
    <row r="2314" spans="1:25" ht="15" hidden="1" customHeight="1" x14ac:dyDescent="0.2">
      <c r="A2314" s="317" t="s">
        <v>147</v>
      </c>
      <c r="B2314" s="895" t="s">
        <v>147</v>
      </c>
      <c r="C2314" s="896"/>
      <c r="D2314" s="906" t="s">
        <v>233</v>
      </c>
      <c r="E2314" s="907">
        <f>GLOBAL_DER_FEV_2023!E2314</f>
        <v>0.2</v>
      </c>
      <c r="F2314" s="908">
        <f>GLOBAL_DER_FEV_2023!F2314</f>
        <v>1.3209000000000002</v>
      </c>
      <c r="G2314" s="949">
        <f>GLOBAL_DER_FEV_2023!G2314</f>
        <v>3.8226846000000005</v>
      </c>
      <c r="H2314" s="901">
        <f>GLOBAL_DER_FEV_2023!H2314</f>
        <v>0</v>
      </c>
      <c r="I2314" s="901">
        <f>GLOBAL_DER_FEV_2023!I2314</f>
        <v>0</v>
      </c>
      <c r="J2314" s="902">
        <f>GLOBAL_DER_FEV_2023!J2314</f>
        <v>0</v>
      </c>
      <c r="K2314" s="903"/>
      <c r="L2314" s="1177"/>
      <c r="M2314" s="1138">
        <f t="shared" si="172"/>
        <v>0</v>
      </c>
      <c r="N2314" s="1176">
        <f t="shared" si="176"/>
        <v>0</v>
      </c>
      <c r="O2314" s="905"/>
      <c r="P2314" s="36" t="str">
        <f>IF(N2311&gt;0,"xx",IF(N2311&gt;0,"xy",""))</f>
        <v/>
      </c>
      <c r="Q2314" s="317" t="str">
        <f t="shared" si="173"/>
        <v/>
      </c>
      <c r="R2314" s="317" t="str">
        <f t="shared" si="174"/>
        <v/>
      </c>
      <c r="S2314" s="317" t="str">
        <f t="shared" si="175"/>
        <v/>
      </c>
      <c r="T2314" s="317" t="str">
        <f>GLOBAL_DER_FEV_2023!S2314</f>
        <v/>
      </c>
      <c r="W2314" s="582">
        <v>0</v>
      </c>
      <c r="X2314" s="580"/>
      <c r="Y2314" s="583">
        <f>IF(GLOBAL_DER_FEV_2023!W2314=0,0,IF(GLOBAL_DER_FEV_2023!W2314&gt;0,"c","b"))</f>
        <v>0</v>
      </c>
    </row>
    <row r="2315" spans="1:25" ht="15" hidden="1" customHeight="1" x14ac:dyDescent="0.2">
      <c r="A2315" s="317" t="s">
        <v>147</v>
      </c>
      <c r="B2315" s="895" t="s">
        <v>147</v>
      </c>
      <c r="C2315" s="896"/>
      <c r="D2315" s="906" t="s">
        <v>365</v>
      </c>
      <c r="E2315" s="907">
        <f>GLOBAL_DER_FEV_2023!E2315</f>
        <v>10</v>
      </c>
      <c r="F2315" s="908">
        <f>GLOBAL_DER_FEV_2023!F2315</f>
        <v>1.30284</v>
      </c>
      <c r="G2315" s="949">
        <f>GLOBAL_DER_FEV_2023!G2315</f>
        <v>17.4319992</v>
      </c>
      <c r="H2315" s="901">
        <f>GLOBAL_DER_FEV_2023!H2315</f>
        <v>0</v>
      </c>
      <c r="I2315" s="901">
        <f>GLOBAL_DER_FEV_2023!I2315</f>
        <v>0</v>
      </c>
      <c r="J2315" s="902">
        <f>GLOBAL_DER_FEV_2023!J2315</f>
        <v>0</v>
      </c>
      <c r="K2315" s="903"/>
      <c r="L2315" s="1177"/>
      <c r="M2315" s="1138">
        <f t="shared" si="172"/>
        <v>0</v>
      </c>
      <c r="N2315" s="1176">
        <f t="shared" si="176"/>
        <v>0</v>
      </c>
      <c r="O2315" s="905"/>
      <c r="P2315" s="36" t="str">
        <f>IF(N2311&gt;0,"xx",IF(N2311&gt;0,"xy",""))</f>
        <v/>
      </c>
      <c r="Q2315" s="317" t="str">
        <f t="shared" si="173"/>
        <v/>
      </c>
      <c r="R2315" s="317" t="str">
        <f t="shared" si="174"/>
        <v/>
      </c>
      <c r="S2315" s="317" t="str">
        <f t="shared" si="175"/>
        <v/>
      </c>
      <c r="T2315" s="317" t="str">
        <f>GLOBAL_DER_FEV_2023!S2315</f>
        <v/>
      </c>
      <c r="W2315" s="582">
        <v>0</v>
      </c>
      <c r="X2315" s="580"/>
      <c r="Y2315" s="583">
        <f>IF(GLOBAL_DER_FEV_2023!W2315=0,0,IF(GLOBAL_DER_FEV_2023!W2315&gt;0,"c","b"))</f>
        <v>0</v>
      </c>
    </row>
    <row r="2316" spans="1:25" ht="15" hidden="1" customHeight="1" x14ac:dyDescent="0.2">
      <c r="A2316" s="317" t="s">
        <v>147</v>
      </c>
      <c r="B2316" s="895" t="s">
        <v>147</v>
      </c>
      <c r="C2316" s="896"/>
      <c r="D2316" s="906" t="s">
        <v>366</v>
      </c>
      <c r="E2316" s="907">
        <f>GLOBAL_DER_FEV_2023!E2316</f>
        <v>353</v>
      </c>
      <c r="F2316" s="908">
        <f>GLOBAL_DER_FEV_2023!F2316</f>
        <v>4.3428000000000001E-2</v>
      </c>
      <c r="G2316" s="909">
        <f>GLOBAL_DER_FEV_2023!G2316</f>
        <v>12.297072480000001</v>
      </c>
      <c r="H2316" s="901">
        <f>GLOBAL_DER_FEV_2023!H2316</f>
        <v>0</v>
      </c>
      <c r="I2316" s="901">
        <f>GLOBAL_DER_FEV_2023!I2316</f>
        <v>0</v>
      </c>
      <c r="J2316" s="902">
        <f>GLOBAL_DER_FEV_2023!J2316</f>
        <v>0</v>
      </c>
      <c r="K2316" s="903"/>
      <c r="L2316" s="1177"/>
      <c r="M2316" s="1138">
        <f t="shared" si="172"/>
        <v>0</v>
      </c>
      <c r="N2316" s="1176">
        <f t="shared" si="176"/>
        <v>0</v>
      </c>
      <c r="O2316" s="905"/>
      <c r="P2316" s="36" t="str">
        <f>IF(N2311&gt;0,"xx",IF(N2311&gt;0,"xy",""))</f>
        <v/>
      </c>
      <c r="Q2316" s="317" t="str">
        <f t="shared" si="173"/>
        <v/>
      </c>
      <c r="R2316" s="317" t="str">
        <f t="shared" si="174"/>
        <v/>
      </c>
      <c r="S2316" s="317" t="str">
        <f t="shared" si="175"/>
        <v/>
      </c>
      <c r="T2316" s="317" t="str">
        <f>GLOBAL_DER_FEV_2023!S2316</f>
        <v/>
      </c>
      <c r="W2316" s="582">
        <v>0</v>
      </c>
      <c r="X2316" s="580"/>
      <c r="Y2316" s="583">
        <f>IF(GLOBAL_DER_FEV_2023!W2316=0,0,IF(GLOBAL_DER_FEV_2023!W2316&gt;0,"c","b"))</f>
        <v>0</v>
      </c>
    </row>
    <row r="2317" spans="1:25" ht="15" hidden="1" customHeight="1" x14ac:dyDescent="0.2">
      <c r="A2317" s="317" t="s">
        <v>114</v>
      </c>
      <c r="B2317" s="895" t="s">
        <v>114</v>
      </c>
      <c r="C2317" s="896" t="s">
        <v>184</v>
      </c>
      <c r="D2317" s="906" t="s">
        <v>131</v>
      </c>
      <c r="E2317" s="907">
        <f>GLOBAL_DER_FEV_2023!E2317</f>
        <v>0</v>
      </c>
      <c r="F2317" s="908">
        <f>GLOBAL_DER_FEV_2023!F2317</f>
        <v>0</v>
      </c>
      <c r="G2317" s="912">
        <f>GLOBAL_DER_FEV_2023!G2317</f>
        <v>482.61948668600007</v>
      </c>
      <c r="H2317" s="901">
        <f>GLOBAL_DER_FEV_2023!H2317</f>
        <v>3286.28</v>
      </c>
      <c r="I2317" s="901">
        <f>GLOBAL_DER_FEV_2023!I2317</f>
        <v>3768.8994866860003</v>
      </c>
      <c r="J2317" s="902">
        <f>GLOBAL_DER_FEV_2023!J2317</f>
        <v>4525.32</v>
      </c>
      <c r="K2317" s="903" t="s">
        <v>15</v>
      </c>
      <c r="L2317" s="1137"/>
      <c r="M2317" s="1138">
        <f t="shared" si="172"/>
        <v>0</v>
      </c>
      <c r="N2317" s="1176">
        <f t="shared" si="176"/>
        <v>0</v>
      </c>
      <c r="O2317" s="905"/>
      <c r="Q2317" s="317" t="str">
        <f t="shared" si="173"/>
        <v/>
      </c>
      <c r="R2317" s="317" t="str">
        <f t="shared" si="174"/>
        <v/>
      </c>
      <c r="S2317" s="317" t="str">
        <f t="shared" si="175"/>
        <v/>
      </c>
      <c r="T2317" s="317" t="str">
        <f>GLOBAL_DER_FEV_2023!S2317</f>
        <v/>
      </c>
      <c r="W2317" s="582">
        <v>0</v>
      </c>
      <c r="X2317" s="580"/>
      <c r="Y2317" s="583">
        <f>IF(GLOBAL_DER_FEV_2023!W2317=0,0,IF(GLOBAL_DER_FEV_2023!W2317&gt;0,"c","b"))</f>
        <v>0</v>
      </c>
    </row>
    <row r="2318" spans="1:25" ht="15" hidden="1" customHeight="1" x14ac:dyDescent="0.2">
      <c r="A2318" s="317" t="s">
        <v>147</v>
      </c>
      <c r="B2318" s="895" t="s">
        <v>147</v>
      </c>
      <c r="C2318" s="896"/>
      <c r="D2318" s="906" t="s">
        <v>190</v>
      </c>
      <c r="E2318" s="907">
        <f>GLOBAL_DER_FEV_2023!E2318</f>
        <v>308</v>
      </c>
      <c r="F2318" s="908">
        <f>GLOBAL_DER_FEV_2023!F2318</f>
        <v>0.50537460000000012</v>
      </c>
      <c r="G2318" s="909">
        <f>GLOBAL_DER_FEV_2023!G2318</f>
        <v>125.36322327600003</v>
      </c>
      <c r="H2318" s="901">
        <f>GLOBAL_DER_FEV_2023!H2318</f>
        <v>0</v>
      </c>
      <c r="I2318" s="901">
        <f>GLOBAL_DER_FEV_2023!I2318</f>
        <v>0</v>
      </c>
      <c r="J2318" s="902">
        <f>GLOBAL_DER_FEV_2023!J2318</f>
        <v>0</v>
      </c>
      <c r="K2318" s="903"/>
      <c r="L2318" s="1177"/>
      <c r="M2318" s="1138">
        <f t="shared" si="172"/>
        <v>0</v>
      </c>
      <c r="N2318" s="1176">
        <f t="shared" si="176"/>
        <v>0</v>
      </c>
      <c r="O2318" s="905"/>
      <c r="P2318" s="36" t="str">
        <f>IF(N2317&gt;0,"xx",IF(N2317&gt;0,"xy",""))</f>
        <v/>
      </c>
      <c r="Q2318" s="317" t="str">
        <f t="shared" si="173"/>
        <v/>
      </c>
      <c r="R2318" s="317" t="str">
        <f t="shared" si="174"/>
        <v/>
      </c>
      <c r="S2318" s="317" t="str">
        <f t="shared" si="175"/>
        <v/>
      </c>
      <c r="T2318" s="317" t="str">
        <f>GLOBAL_DER_FEV_2023!S2318</f>
        <v/>
      </c>
      <c r="W2318" s="582">
        <v>0</v>
      </c>
      <c r="X2318" s="580"/>
      <c r="Y2318" s="583">
        <f>IF(GLOBAL_DER_FEV_2023!W2318=0,0,IF(GLOBAL_DER_FEV_2023!W2318&gt;0,"c","b"))</f>
        <v>0</v>
      </c>
    </row>
    <row r="2319" spans="1:25" ht="15" hidden="1" customHeight="1" x14ac:dyDescent="0.2">
      <c r="A2319" s="317" t="s">
        <v>147</v>
      </c>
      <c r="B2319" s="895" t="s">
        <v>147</v>
      </c>
      <c r="C2319" s="896"/>
      <c r="D2319" s="906" t="s">
        <v>229</v>
      </c>
      <c r="E2319" s="907">
        <f>GLOBAL_DER_FEV_2023!E2319</f>
        <v>150</v>
      </c>
      <c r="F2319" s="908">
        <f>GLOBAL_DER_FEV_2023!F2319</f>
        <v>1.9364075000000001</v>
      </c>
      <c r="G2319" s="949">
        <f>GLOBAL_DER_FEV_2023!G2319</f>
        <v>315.98297585</v>
      </c>
      <c r="H2319" s="901">
        <f>GLOBAL_DER_FEV_2023!H2319</f>
        <v>0</v>
      </c>
      <c r="I2319" s="901">
        <f>GLOBAL_DER_FEV_2023!I2319</f>
        <v>0</v>
      </c>
      <c r="J2319" s="902">
        <f>GLOBAL_DER_FEV_2023!J2319</f>
        <v>0</v>
      </c>
      <c r="K2319" s="903"/>
      <c r="L2319" s="1177"/>
      <c r="M2319" s="1138">
        <f t="shared" si="172"/>
        <v>0</v>
      </c>
      <c r="N2319" s="1176">
        <f t="shared" si="176"/>
        <v>0</v>
      </c>
      <c r="O2319" s="905"/>
      <c r="P2319" s="36" t="str">
        <f>IF(N2317&gt;0,"xx",IF(N2317&gt;0,"xy",""))</f>
        <v/>
      </c>
      <c r="Q2319" s="317" t="str">
        <f t="shared" si="173"/>
        <v/>
      </c>
      <c r="R2319" s="317" t="str">
        <f t="shared" si="174"/>
        <v/>
      </c>
      <c r="S2319" s="317" t="str">
        <f t="shared" si="175"/>
        <v/>
      </c>
      <c r="T2319" s="317" t="str">
        <f>GLOBAL_DER_FEV_2023!S2319</f>
        <v/>
      </c>
      <c r="W2319" s="582">
        <v>0</v>
      </c>
      <c r="X2319" s="580"/>
      <c r="Y2319" s="583">
        <f>IF(GLOBAL_DER_FEV_2023!W2319=0,0,IF(GLOBAL_DER_FEV_2023!W2319&gt;0,"c","b"))</f>
        <v>0</v>
      </c>
    </row>
    <row r="2320" spans="1:25" ht="15" hidden="1" customHeight="1" x14ac:dyDescent="0.2">
      <c r="A2320" s="317" t="s">
        <v>147</v>
      </c>
      <c r="B2320" s="895" t="s">
        <v>147</v>
      </c>
      <c r="C2320" s="896"/>
      <c r="D2320" s="906" t="s">
        <v>233</v>
      </c>
      <c r="E2320" s="907">
        <f>GLOBAL_DER_FEV_2023!E2320</f>
        <v>0.2</v>
      </c>
      <c r="F2320" s="908">
        <f>GLOBAL_DER_FEV_2023!F2320</f>
        <v>1.3875000000000002</v>
      </c>
      <c r="G2320" s="949">
        <f>GLOBAL_DER_FEV_2023!G2320</f>
        <v>4.0154250000000005</v>
      </c>
      <c r="H2320" s="901">
        <f>GLOBAL_DER_FEV_2023!H2320</f>
        <v>0</v>
      </c>
      <c r="I2320" s="901">
        <f>GLOBAL_DER_FEV_2023!I2320</f>
        <v>0</v>
      </c>
      <c r="J2320" s="902">
        <f>GLOBAL_DER_FEV_2023!J2320</f>
        <v>0</v>
      </c>
      <c r="K2320" s="903"/>
      <c r="L2320" s="1177"/>
      <c r="M2320" s="1138">
        <f t="shared" si="172"/>
        <v>0</v>
      </c>
      <c r="N2320" s="1176">
        <f t="shared" si="176"/>
        <v>0</v>
      </c>
      <c r="O2320" s="905"/>
      <c r="P2320" s="36" t="str">
        <f>IF(N2317&gt;0,"xx",IF(N2317&gt;0,"xy",""))</f>
        <v/>
      </c>
      <c r="Q2320" s="317" t="str">
        <f t="shared" si="173"/>
        <v/>
      </c>
      <c r="R2320" s="317" t="str">
        <f t="shared" si="174"/>
        <v/>
      </c>
      <c r="S2320" s="317" t="str">
        <f t="shared" si="175"/>
        <v/>
      </c>
      <c r="T2320" s="317" t="str">
        <f>GLOBAL_DER_FEV_2023!S2320</f>
        <v/>
      </c>
      <c r="W2320" s="582">
        <v>0</v>
      </c>
      <c r="X2320" s="580"/>
      <c r="Y2320" s="583">
        <f>IF(GLOBAL_DER_FEV_2023!W2320=0,0,IF(GLOBAL_DER_FEV_2023!W2320&gt;0,"c","b"))</f>
        <v>0</v>
      </c>
    </row>
    <row r="2321" spans="1:25" ht="15" hidden="1" customHeight="1" x14ac:dyDescent="0.2">
      <c r="A2321" s="317" t="s">
        <v>147</v>
      </c>
      <c r="B2321" s="895" t="s">
        <v>147</v>
      </c>
      <c r="C2321" s="896"/>
      <c r="D2321" s="906" t="s">
        <v>365</v>
      </c>
      <c r="E2321" s="907">
        <f>GLOBAL_DER_FEV_2023!E2321</f>
        <v>10</v>
      </c>
      <c r="F2321" s="908">
        <f>GLOBAL_DER_FEV_2023!F2321</f>
        <v>1.6327799999999999</v>
      </c>
      <c r="G2321" s="949">
        <f>GLOBAL_DER_FEV_2023!G2321</f>
        <v>21.846596399999999</v>
      </c>
      <c r="H2321" s="901">
        <f>GLOBAL_DER_FEV_2023!H2321</f>
        <v>0</v>
      </c>
      <c r="I2321" s="901">
        <f>GLOBAL_DER_FEV_2023!I2321</f>
        <v>0</v>
      </c>
      <c r="J2321" s="902">
        <f>GLOBAL_DER_FEV_2023!J2321</f>
        <v>0</v>
      </c>
      <c r="K2321" s="903"/>
      <c r="L2321" s="1177"/>
      <c r="M2321" s="1138">
        <f t="shared" si="172"/>
        <v>0</v>
      </c>
      <c r="N2321" s="1176">
        <f t="shared" si="176"/>
        <v>0</v>
      </c>
      <c r="O2321" s="905"/>
      <c r="P2321" s="36" t="str">
        <f>IF(N2317&gt;0,"xx",IF(N2317&gt;0,"xy",""))</f>
        <v/>
      </c>
      <c r="Q2321" s="317" t="str">
        <f t="shared" si="173"/>
        <v/>
      </c>
      <c r="R2321" s="317" t="str">
        <f t="shared" si="174"/>
        <v/>
      </c>
      <c r="S2321" s="317" t="str">
        <f t="shared" si="175"/>
        <v/>
      </c>
      <c r="T2321" s="317" t="str">
        <f>GLOBAL_DER_FEV_2023!S2321</f>
        <v/>
      </c>
      <c r="W2321" s="582">
        <v>0</v>
      </c>
      <c r="X2321" s="580"/>
      <c r="Y2321" s="583">
        <f>IF(GLOBAL_DER_FEV_2023!W2321=0,0,IF(GLOBAL_DER_FEV_2023!W2321&gt;0,"c","b"))</f>
        <v>0</v>
      </c>
    </row>
    <row r="2322" spans="1:25" ht="15" hidden="1" customHeight="1" x14ac:dyDescent="0.2">
      <c r="A2322" s="317" t="s">
        <v>147</v>
      </c>
      <c r="B2322" s="895" t="s">
        <v>147</v>
      </c>
      <c r="C2322" s="896"/>
      <c r="D2322" s="906" t="s">
        <v>366</v>
      </c>
      <c r="E2322" s="907">
        <f>GLOBAL_DER_FEV_2023!E2322</f>
        <v>353</v>
      </c>
      <c r="F2322" s="908">
        <f>GLOBAL_DER_FEV_2023!F2322</f>
        <v>5.4425999999999995E-2</v>
      </c>
      <c r="G2322" s="909">
        <f>GLOBAL_DER_FEV_2023!G2322</f>
        <v>15.41126616</v>
      </c>
      <c r="H2322" s="901">
        <f>GLOBAL_DER_FEV_2023!H2322</f>
        <v>0</v>
      </c>
      <c r="I2322" s="901">
        <f>GLOBAL_DER_FEV_2023!I2322</f>
        <v>0</v>
      </c>
      <c r="J2322" s="902">
        <f>GLOBAL_DER_FEV_2023!J2322</f>
        <v>0</v>
      </c>
      <c r="K2322" s="903"/>
      <c r="L2322" s="1177"/>
      <c r="M2322" s="1138">
        <f t="shared" ref="M2322:M2385" si="177">IF(L2322=0,0,ROUND(J2322,2))</f>
        <v>0</v>
      </c>
      <c r="N2322" s="1176">
        <f t="shared" si="176"/>
        <v>0</v>
      </c>
      <c r="O2322" s="905"/>
      <c r="P2322" s="36" t="str">
        <f>IF(N2317&gt;0,"xx",IF(N2317&gt;0,"xy",""))</f>
        <v/>
      </c>
      <c r="Q2322" s="317" t="str">
        <f t="shared" si="173"/>
        <v/>
      </c>
      <c r="R2322" s="317" t="str">
        <f t="shared" si="174"/>
        <v/>
      </c>
      <c r="S2322" s="317" t="str">
        <f t="shared" si="175"/>
        <v/>
      </c>
      <c r="T2322" s="317" t="str">
        <f>GLOBAL_DER_FEV_2023!S2322</f>
        <v/>
      </c>
      <c r="W2322" s="582">
        <v>0</v>
      </c>
      <c r="X2322" s="580"/>
      <c r="Y2322" s="583">
        <f>IF(GLOBAL_DER_FEV_2023!W2322=0,0,IF(GLOBAL_DER_FEV_2023!W2322&gt;0,"c","b"))</f>
        <v>0</v>
      </c>
    </row>
    <row r="2323" spans="1:25" ht="15" hidden="1" customHeight="1" x14ac:dyDescent="0.2">
      <c r="A2323" s="317" t="s">
        <v>118</v>
      </c>
      <c r="B2323" s="895" t="s">
        <v>118</v>
      </c>
      <c r="C2323" s="896" t="s">
        <v>184</v>
      </c>
      <c r="D2323" s="906" t="s">
        <v>132</v>
      </c>
      <c r="E2323" s="907">
        <f>GLOBAL_DER_FEV_2023!E2323</f>
        <v>0</v>
      </c>
      <c r="F2323" s="908">
        <f>GLOBAL_DER_FEV_2023!F2323</f>
        <v>0</v>
      </c>
      <c r="G2323" s="912">
        <f>GLOBAL_DER_FEV_2023!G2323</f>
        <v>286.21071490000003</v>
      </c>
      <c r="H2323" s="901">
        <f>GLOBAL_DER_FEV_2023!H2323</f>
        <v>1401.9</v>
      </c>
      <c r="I2323" s="901">
        <f>GLOBAL_DER_FEV_2023!I2323</f>
        <v>1688.1107149000002</v>
      </c>
      <c r="J2323" s="902">
        <f>GLOBAL_DER_FEV_2023!J2323</f>
        <v>2026.91</v>
      </c>
      <c r="K2323" s="903" t="s">
        <v>15</v>
      </c>
      <c r="L2323" s="1137"/>
      <c r="M2323" s="1138">
        <f t="shared" si="177"/>
        <v>0</v>
      </c>
      <c r="N2323" s="1176">
        <f t="shared" si="176"/>
        <v>0</v>
      </c>
      <c r="O2323" s="905"/>
      <c r="Q2323" s="317" t="str">
        <f t="shared" si="173"/>
        <v/>
      </c>
      <c r="R2323" s="317" t="str">
        <f t="shared" si="174"/>
        <v/>
      </c>
      <c r="S2323" s="317" t="str">
        <f t="shared" si="175"/>
        <v/>
      </c>
      <c r="T2323" s="317" t="str">
        <f>GLOBAL_DER_FEV_2023!S2323</f>
        <v/>
      </c>
      <c r="W2323" s="582">
        <v>0</v>
      </c>
      <c r="X2323" s="580"/>
      <c r="Y2323" s="583">
        <f>IF(GLOBAL_DER_FEV_2023!W2323=0,0,IF(GLOBAL_DER_FEV_2023!W2323&gt;0,"c","b"))</f>
        <v>0</v>
      </c>
    </row>
    <row r="2324" spans="1:25" ht="15" hidden="1" customHeight="1" x14ac:dyDescent="0.2">
      <c r="A2324" s="317" t="s">
        <v>147</v>
      </c>
      <c r="B2324" s="895" t="s">
        <v>147</v>
      </c>
      <c r="C2324" s="896"/>
      <c r="D2324" s="906" t="s">
        <v>190</v>
      </c>
      <c r="E2324" s="907">
        <f>GLOBAL_DER_FEV_2023!E2324</f>
        <v>308</v>
      </c>
      <c r="F2324" s="908">
        <f>GLOBAL_DER_FEV_2023!F2324</f>
        <v>0.38250000000000006</v>
      </c>
      <c r="G2324" s="909">
        <f>GLOBAL_DER_FEV_2023!G2324</f>
        <v>94.882950000000022</v>
      </c>
      <c r="H2324" s="901">
        <f>GLOBAL_DER_FEV_2023!H2324</f>
        <v>0</v>
      </c>
      <c r="I2324" s="901">
        <f>GLOBAL_DER_FEV_2023!I2324</f>
        <v>0</v>
      </c>
      <c r="J2324" s="902">
        <f>GLOBAL_DER_FEV_2023!J2324</f>
        <v>0</v>
      </c>
      <c r="K2324" s="903"/>
      <c r="L2324" s="1177"/>
      <c r="M2324" s="1138">
        <f t="shared" si="177"/>
        <v>0</v>
      </c>
      <c r="N2324" s="1176">
        <f t="shared" si="176"/>
        <v>0</v>
      </c>
      <c r="O2324" s="905"/>
      <c r="P2324" s="36" t="str">
        <f>IF(N2323&gt;0,"xx",IF(N2323&gt;0,"xy",""))</f>
        <v/>
      </c>
      <c r="Q2324" s="317" t="str">
        <f t="shared" si="173"/>
        <v/>
      </c>
      <c r="R2324" s="317" t="str">
        <f t="shared" si="174"/>
        <v/>
      </c>
      <c r="S2324" s="317" t="str">
        <f t="shared" si="175"/>
        <v/>
      </c>
      <c r="T2324" s="317" t="str">
        <f>GLOBAL_DER_FEV_2023!S2324</f>
        <v/>
      </c>
      <c r="W2324" s="582">
        <v>0</v>
      </c>
      <c r="X2324" s="580"/>
      <c r="Y2324" s="583">
        <f>IF(GLOBAL_DER_FEV_2023!W2324=0,0,IF(GLOBAL_DER_FEV_2023!W2324&gt;0,"c","b"))</f>
        <v>0</v>
      </c>
    </row>
    <row r="2325" spans="1:25" ht="15" hidden="1" customHeight="1" x14ac:dyDescent="0.2">
      <c r="A2325" s="317" t="s">
        <v>147</v>
      </c>
      <c r="B2325" s="895" t="s">
        <v>147</v>
      </c>
      <c r="C2325" s="896"/>
      <c r="D2325" s="906" t="s">
        <v>229</v>
      </c>
      <c r="E2325" s="907">
        <f>GLOBAL_DER_FEV_2023!E2325</f>
        <v>150</v>
      </c>
      <c r="F2325" s="908">
        <f>GLOBAL_DER_FEV_2023!F2325</f>
        <v>1.1483800000000002</v>
      </c>
      <c r="G2325" s="949">
        <f>GLOBAL_DER_FEV_2023!G2325</f>
        <v>187.39264840000004</v>
      </c>
      <c r="H2325" s="901">
        <f>GLOBAL_DER_FEV_2023!H2325</f>
        <v>0</v>
      </c>
      <c r="I2325" s="901">
        <f>GLOBAL_DER_FEV_2023!I2325</f>
        <v>0</v>
      </c>
      <c r="J2325" s="902">
        <f>GLOBAL_DER_FEV_2023!J2325</f>
        <v>0</v>
      </c>
      <c r="K2325" s="903"/>
      <c r="L2325" s="1177"/>
      <c r="M2325" s="1138">
        <f t="shared" si="177"/>
        <v>0</v>
      </c>
      <c r="N2325" s="1176">
        <f t="shared" si="176"/>
        <v>0</v>
      </c>
      <c r="O2325" s="905"/>
      <c r="P2325" s="36" t="str">
        <f>IF(N2323&gt;0,"xx",IF(N2323&gt;0,"xy",""))</f>
        <v/>
      </c>
      <c r="Q2325" s="317" t="str">
        <f t="shared" si="173"/>
        <v/>
      </c>
      <c r="R2325" s="317" t="str">
        <f t="shared" si="174"/>
        <v/>
      </c>
      <c r="S2325" s="317" t="str">
        <f t="shared" si="175"/>
        <v/>
      </c>
      <c r="T2325" s="317" t="str">
        <f>GLOBAL_DER_FEV_2023!S2325</f>
        <v/>
      </c>
      <c r="W2325" s="582">
        <v>0</v>
      </c>
      <c r="X2325" s="580"/>
      <c r="Y2325" s="583">
        <f>IF(GLOBAL_DER_FEV_2023!W2325=0,0,IF(GLOBAL_DER_FEV_2023!W2325&gt;0,"c","b"))</f>
        <v>0</v>
      </c>
    </row>
    <row r="2326" spans="1:25" ht="15" hidden="1" customHeight="1" x14ac:dyDescent="0.2">
      <c r="A2326" s="317" t="s">
        <v>147</v>
      </c>
      <c r="B2326" s="895" t="s">
        <v>147</v>
      </c>
      <c r="C2326" s="896"/>
      <c r="D2326" s="906" t="s">
        <v>233</v>
      </c>
      <c r="E2326" s="907">
        <f>GLOBAL_DER_FEV_2023!E2326</f>
        <v>0.2</v>
      </c>
      <c r="F2326" s="908">
        <f>GLOBAL_DER_FEV_2023!F2326</f>
        <v>1.35975</v>
      </c>
      <c r="G2326" s="949">
        <f>GLOBAL_DER_FEV_2023!G2326</f>
        <v>3.9351165000000004</v>
      </c>
      <c r="H2326" s="901">
        <f>GLOBAL_DER_FEV_2023!H2326</f>
        <v>0</v>
      </c>
      <c r="I2326" s="901">
        <f>GLOBAL_DER_FEV_2023!I2326</f>
        <v>0</v>
      </c>
      <c r="J2326" s="902">
        <f>GLOBAL_DER_FEV_2023!J2326</f>
        <v>0</v>
      </c>
      <c r="K2326" s="903"/>
      <c r="L2326" s="1177"/>
      <c r="M2326" s="1138">
        <f t="shared" si="177"/>
        <v>0</v>
      </c>
      <c r="N2326" s="1176">
        <f t="shared" si="176"/>
        <v>0</v>
      </c>
      <c r="O2326" s="905"/>
      <c r="P2326" s="36" t="str">
        <f>IF(N2323&gt;0,"xx",IF(N2323&gt;0,"xy",""))</f>
        <v/>
      </c>
      <c r="Q2326" s="317" t="str">
        <f t="shared" si="173"/>
        <v/>
      </c>
      <c r="R2326" s="317" t="str">
        <f t="shared" si="174"/>
        <v/>
      </c>
      <c r="S2326" s="317" t="str">
        <f t="shared" si="175"/>
        <v/>
      </c>
      <c r="T2326" s="317" t="str">
        <f>GLOBAL_DER_FEV_2023!S2326</f>
        <v/>
      </c>
      <c r="W2326" s="582">
        <v>0</v>
      </c>
      <c r="X2326" s="580"/>
      <c r="Y2326" s="583">
        <f>IF(GLOBAL_DER_FEV_2023!W2326=0,0,IF(GLOBAL_DER_FEV_2023!W2326&gt;0,"c","b"))</f>
        <v>0</v>
      </c>
    </row>
    <row r="2327" spans="1:25" ht="15" hidden="1" customHeight="1" x14ac:dyDescent="0.2">
      <c r="A2327" s="317" t="s">
        <v>119</v>
      </c>
      <c r="B2327" s="895" t="s">
        <v>119</v>
      </c>
      <c r="C2327" s="896" t="s">
        <v>184</v>
      </c>
      <c r="D2327" s="906" t="s">
        <v>133</v>
      </c>
      <c r="E2327" s="907">
        <f>GLOBAL_DER_FEV_2023!E2327</f>
        <v>0</v>
      </c>
      <c r="F2327" s="908">
        <f>GLOBAL_DER_FEV_2023!F2327</f>
        <v>0</v>
      </c>
      <c r="G2327" s="912">
        <f>GLOBAL_DER_FEV_2023!G2327</f>
        <v>321.51485289999999</v>
      </c>
      <c r="H2327" s="901">
        <f>GLOBAL_DER_FEV_2023!H2327</f>
        <v>1493.02</v>
      </c>
      <c r="I2327" s="901">
        <f>GLOBAL_DER_FEV_2023!I2327</f>
        <v>1814.5348529</v>
      </c>
      <c r="J2327" s="902">
        <f>GLOBAL_DER_FEV_2023!J2327</f>
        <v>2178.71</v>
      </c>
      <c r="K2327" s="903" t="s">
        <v>15</v>
      </c>
      <c r="L2327" s="1137"/>
      <c r="M2327" s="1138">
        <f t="shared" si="177"/>
        <v>0</v>
      </c>
      <c r="N2327" s="1176">
        <f t="shared" si="176"/>
        <v>0</v>
      </c>
      <c r="O2327" s="905"/>
      <c r="Q2327" s="317" t="str">
        <f t="shared" si="173"/>
        <v/>
      </c>
      <c r="R2327" s="317" t="str">
        <f t="shared" si="174"/>
        <v/>
      </c>
      <c r="S2327" s="317" t="str">
        <f t="shared" si="175"/>
        <v/>
      </c>
      <c r="T2327" s="317" t="str">
        <f>GLOBAL_DER_FEV_2023!S2327</f>
        <v/>
      </c>
      <c r="W2327" s="582">
        <v>0</v>
      </c>
      <c r="X2327" s="580"/>
      <c r="Y2327" s="583">
        <f>IF(GLOBAL_DER_FEV_2023!W2327=0,0,IF(GLOBAL_DER_FEV_2023!W2327&gt;0,"c","b"))</f>
        <v>0</v>
      </c>
    </row>
    <row r="2328" spans="1:25" ht="15" hidden="1" customHeight="1" x14ac:dyDescent="0.2">
      <c r="A2328" s="317" t="s">
        <v>147</v>
      </c>
      <c r="B2328" s="895" t="s">
        <v>147</v>
      </c>
      <c r="C2328" s="896"/>
      <c r="D2328" s="906" t="s">
        <v>190</v>
      </c>
      <c r="E2328" s="907">
        <f>GLOBAL_DER_FEV_2023!E2328</f>
        <v>308</v>
      </c>
      <c r="F2328" s="908">
        <f>GLOBAL_DER_FEV_2023!F2328</f>
        <v>0.43200000000000005</v>
      </c>
      <c r="G2328" s="909">
        <f>GLOBAL_DER_FEV_2023!G2328</f>
        <v>107.16192000000001</v>
      </c>
      <c r="H2328" s="901">
        <f>GLOBAL_DER_FEV_2023!H2328</f>
        <v>0</v>
      </c>
      <c r="I2328" s="901">
        <f>GLOBAL_DER_FEV_2023!I2328</f>
        <v>0</v>
      </c>
      <c r="J2328" s="902">
        <f>GLOBAL_DER_FEV_2023!J2328</f>
        <v>0</v>
      </c>
      <c r="K2328" s="903"/>
      <c r="L2328" s="1177"/>
      <c r="M2328" s="1138">
        <f t="shared" si="177"/>
        <v>0</v>
      </c>
      <c r="N2328" s="1176">
        <f t="shared" si="176"/>
        <v>0</v>
      </c>
      <c r="O2328" s="905"/>
      <c r="P2328" s="36" t="str">
        <f>IF(N2327&gt;0,"xx",IF(N2327&gt;0,"xy",""))</f>
        <v/>
      </c>
      <c r="Q2328" s="317" t="str">
        <f t="shared" si="173"/>
        <v/>
      </c>
      <c r="R2328" s="317" t="str">
        <f t="shared" si="174"/>
        <v/>
      </c>
      <c r="S2328" s="317" t="str">
        <f t="shared" si="175"/>
        <v/>
      </c>
      <c r="T2328" s="317" t="str">
        <f>GLOBAL_DER_FEV_2023!S2328</f>
        <v/>
      </c>
      <c r="W2328" s="582">
        <v>0</v>
      </c>
      <c r="X2328" s="580"/>
      <c r="Y2328" s="583">
        <f>IF(GLOBAL_DER_FEV_2023!W2328=0,0,IF(GLOBAL_DER_FEV_2023!W2328&gt;0,"c","b"))</f>
        <v>0</v>
      </c>
    </row>
    <row r="2329" spans="1:25" ht="15" hidden="1" customHeight="1" x14ac:dyDescent="0.2">
      <c r="A2329" s="317" t="s">
        <v>147</v>
      </c>
      <c r="B2329" s="895" t="s">
        <v>147</v>
      </c>
      <c r="C2329" s="896"/>
      <c r="D2329" s="906" t="s">
        <v>229</v>
      </c>
      <c r="E2329" s="907">
        <f>GLOBAL_DER_FEV_2023!E2329</f>
        <v>150</v>
      </c>
      <c r="F2329" s="908">
        <f>GLOBAL_DER_FEV_2023!F2329</f>
        <v>1.28653</v>
      </c>
      <c r="G2329" s="949">
        <f>GLOBAL_DER_FEV_2023!G2329</f>
        <v>209.93596540000001</v>
      </c>
      <c r="H2329" s="901">
        <f>GLOBAL_DER_FEV_2023!H2329</f>
        <v>0</v>
      </c>
      <c r="I2329" s="901">
        <f>GLOBAL_DER_FEV_2023!I2329</f>
        <v>0</v>
      </c>
      <c r="J2329" s="902">
        <f>GLOBAL_DER_FEV_2023!J2329</f>
        <v>0</v>
      </c>
      <c r="K2329" s="903"/>
      <c r="L2329" s="1177"/>
      <c r="M2329" s="1138">
        <f t="shared" si="177"/>
        <v>0</v>
      </c>
      <c r="N2329" s="1176">
        <f t="shared" si="176"/>
        <v>0</v>
      </c>
      <c r="O2329" s="905"/>
      <c r="P2329" s="36" t="str">
        <f>IF(N2327&gt;0,"xx",IF(N2327&gt;0,"xy",""))</f>
        <v/>
      </c>
      <c r="Q2329" s="317" t="str">
        <f t="shared" si="173"/>
        <v/>
      </c>
      <c r="R2329" s="317" t="str">
        <f t="shared" si="174"/>
        <v/>
      </c>
      <c r="S2329" s="317" t="str">
        <f t="shared" si="175"/>
        <v/>
      </c>
      <c r="T2329" s="317" t="str">
        <f>GLOBAL_DER_FEV_2023!S2329</f>
        <v/>
      </c>
      <c r="W2329" s="582">
        <v>0</v>
      </c>
      <c r="X2329" s="580"/>
      <c r="Y2329" s="583">
        <f>IF(GLOBAL_DER_FEV_2023!W2329=0,0,IF(GLOBAL_DER_FEV_2023!W2329&gt;0,"c","b"))</f>
        <v>0</v>
      </c>
    </row>
    <row r="2330" spans="1:25" ht="15" hidden="1" customHeight="1" x14ac:dyDescent="0.2">
      <c r="A2330" s="317" t="s">
        <v>147</v>
      </c>
      <c r="B2330" s="895" t="s">
        <v>147</v>
      </c>
      <c r="C2330" s="896"/>
      <c r="D2330" s="906" t="s">
        <v>233</v>
      </c>
      <c r="E2330" s="907">
        <f>GLOBAL_DER_FEV_2023!E2330</f>
        <v>0.2</v>
      </c>
      <c r="F2330" s="908">
        <f>GLOBAL_DER_FEV_2023!F2330</f>
        <v>1.5262500000000001</v>
      </c>
      <c r="G2330" s="949">
        <f>GLOBAL_DER_FEV_2023!G2330</f>
        <v>4.4169675000000002</v>
      </c>
      <c r="H2330" s="901">
        <f>GLOBAL_DER_FEV_2023!H2330</f>
        <v>0</v>
      </c>
      <c r="I2330" s="901">
        <f>GLOBAL_DER_FEV_2023!I2330</f>
        <v>0</v>
      </c>
      <c r="J2330" s="902">
        <f>GLOBAL_DER_FEV_2023!J2330</f>
        <v>0</v>
      </c>
      <c r="K2330" s="903"/>
      <c r="L2330" s="1177"/>
      <c r="M2330" s="1138">
        <f t="shared" si="177"/>
        <v>0</v>
      </c>
      <c r="N2330" s="1176">
        <f t="shared" si="176"/>
        <v>0</v>
      </c>
      <c r="O2330" s="905"/>
      <c r="P2330" s="36" t="str">
        <f>IF(N2327&gt;0,"xx",IF(N2327&gt;0,"xy",""))</f>
        <v/>
      </c>
      <c r="Q2330" s="317" t="str">
        <f t="shared" si="173"/>
        <v/>
      </c>
      <c r="R2330" s="317" t="str">
        <f t="shared" si="174"/>
        <v/>
      </c>
      <c r="S2330" s="317" t="str">
        <f t="shared" si="175"/>
        <v/>
      </c>
      <c r="T2330" s="317" t="str">
        <f>GLOBAL_DER_FEV_2023!S2330</f>
        <v/>
      </c>
      <c r="W2330" s="582">
        <v>0</v>
      </c>
      <c r="X2330" s="580"/>
      <c r="Y2330" s="583">
        <f>IF(GLOBAL_DER_FEV_2023!W2330=0,0,IF(GLOBAL_DER_FEV_2023!W2330&gt;0,"c","b"))</f>
        <v>0</v>
      </c>
    </row>
    <row r="2331" spans="1:25" ht="15" hidden="1" customHeight="1" x14ac:dyDescent="0.2">
      <c r="A2331" s="317" t="s">
        <v>120</v>
      </c>
      <c r="B2331" s="895" t="s">
        <v>120</v>
      </c>
      <c r="C2331" s="896" t="s">
        <v>184</v>
      </c>
      <c r="D2331" s="906" t="s">
        <v>134</v>
      </c>
      <c r="E2331" s="907">
        <f>GLOBAL_DER_FEV_2023!E2331</f>
        <v>0</v>
      </c>
      <c r="F2331" s="908">
        <f>GLOBAL_DER_FEV_2023!F2331</f>
        <v>0</v>
      </c>
      <c r="G2331" s="912">
        <f>GLOBAL_DER_FEV_2023!G2331</f>
        <v>373.29425529999997</v>
      </c>
      <c r="H2331" s="901">
        <f>GLOBAL_DER_FEV_2023!H2331</f>
        <v>1627.18</v>
      </c>
      <c r="I2331" s="901">
        <f>GLOBAL_DER_FEV_2023!I2331</f>
        <v>2000.4742553000001</v>
      </c>
      <c r="J2331" s="902">
        <f>GLOBAL_DER_FEV_2023!J2331</f>
        <v>2401.9699999999998</v>
      </c>
      <c r="K2331" s="903" t="s">
        <v>15</v>
      </c>
      <c r="L2331" s="1137"/>
      <c r="M2331" s="1138">
        <f t="shared" si="177"/>
        <v>0</v>
      </c>
      <c r="N2331" s="1176">
        <f t="shared" si="176"/>
        <v>0</v>
      </c>
      <c r="O2331" s="905"/>
      <c r="Q2331" s="317" t="str">
        <f t="shared" ref="Q2331:Q2394" si="178">IF(P2331="X","x",IF(P2331="xx","x",IF(P2331="xy","x",IF(P2331="y","x",IF(OR(N2331&gt;0,N2331&gt;0),"x","")))))</f>
        <v/>
      </c>
      <c r="R2331" s="317" t="str">
        <f t="shared" si="174"/>
        <v/>
      </c>
      <c r="S2331" s="317" t="str">
        <f t="shared" si="175"/>
        <v/>
      </c>
      <c r="T2331" s="317" t="str">
        <f>GLOBAL_DER_FEV_2023!S2331</f>
        <v/>
      </c>
      <c r="W2331" s="582">
        <v>0</v>
      </c>
      <c r="X2331" s="580"/>
      <c r="Y2331" s="583">
        <f>IF(GLOBAL_DER_FEV_2023!W2331=0,0,IF(GLOBAL_DER_FEV_2023!W2331&gt;0,"c","b"))</f>
        <v>0</v>
      </c>
    </row>
    <row r="2332" spans="1:25" ht="15" hidden="1" customHeight="1" x14ac:dyDescent="0.2">
      <c r="A2332" s="317" t="s">
        <v>147</v>
      </c>
      <c r="B2332" s="895" t="s">
        <v>147</v>
      </c>
      <c r="C2332" s="896"/>
      <c r="D2332" s="906" t="s">
        <v>190</v>
      </c>
      <c r="E2332" s="907">
        <f>GLOBAL_DER_FEV_2023!E2332</f>
        <v>308</v>
      </c>
      <c r="F2332" s="908">
        <f>GLOBAL_DER_FEV_2023!F2332</f>
        <v>0.50459999999999994</v>
      </c>
      <c r="G2332" s="909">
        <f>GLOBAL_DER_FEV_2023!G2332</f>
        <v>125.17107599999999</v>
      </c>
      <c r="H2332" s="901">
        <f>GLOBAL_DER_FEV_2023!H2332</f>
        <v>0</v>
      </c>
      <c r="I2332" s="901">
        <f>GLOBAL_DER_FEV_2023!I2332</f>
        <v>0</v>
      </c>
      <c r="J2332" s="902">
        <f>GLOBAL_DER_FEV_2023!J2332</f>
        <v>0</v>
      </c>
      <c r="K2332" s="903"/>
      <c r="L2332" s="1177"/>
      <c r="M2332" s="1138">
        <f t="shared" si="177"/>
        <v>0</v>
      </c>
      <c r="N2332" s="1176">
        <f t="shared" si="176"/>
        <v>0</v>
      </c>
      <c r="O2332" s="905"/>
      <c r="P2332" s="36" t="str">
        <f>IF(N2331&gt;0,"xx",IF(N2331&gt;0,"xy",""))</f>
        <v/>
      </c>
      <c r="Q2332" s="317" t="str">
        <f t="shared" si="178"/>
        <v/>
      </c>
      <c r="R2332" s="317" t="str">
        <f t="shared" si="174"/>
        <v/>
      </c>
      <c r="S2332" s="317" t="str">
        <f t="shared" si="175"/>
        <v/>
      </c>
      <c r="T2332" s="317" t="str">
        <f>GLOBAL_DER_FEV_2023!S2332</f>
        <v/>
      </c>
      <c r="W2332" s="582">
        <v>0</v>
      </c>
      <c r="X2332" s="580"/>
      <c r="Y2332" s="583">
        <f>IF(GLOBAL_DER_FEV_2023!W2332=0,0,IF(GLOBAL_DER_FEV_2023!W2332&gt;0,"c","b"))</f>
        <v>0</v>
      </c>
    </row>
    <row r="2333" spans="1:25" ht="15" hidden="1" customHeight="1" x14ac:dyDescent="0.2">
      <c r="A2333" s="317" t="s">
        <v>147</v>
      </c>
      <c r="B2333" s="895" t="s">
        <v>147</v>
      </c>
      <c r="C2333" s="896"/>
      <c r="D2333" s="906" t="s">
        <v>229</v>
      </c>
      <c r="E2333" s="907">
        <f>GLOBAL_DER_FEV_2023!E2333</f>
        <v>150</v>
      </c>
      <c r="F2333" s="908">
        <f>GLOBAL_DER_FEV_2023!F2333</f>
        <v>1.48915</v>
      </c>
      <c r="G2333" s="949">
        <f>GLOBAL_DER_FEV_2023!G2333</f>
        <v>242.99949700000002</v>
      </c>
      <c r="H2333" s="901">
        <f>GLOBAL_DER_FEV_2023!H2333</f>
        <v>0</v>
      </c>
      <c r="I2333" s="901">
        <f>GLOBAL_DER_FEV_2023!I2333</f>
        <v>0</v>
      </c>
      <c r="J2333" s="902">
        <f>GLOBAL_DER_FEV_2023!J2333</f>
        <v>0</v>
      </c>
      <c r="K2333" s="903"/>
      <c r="L2333" s="1177"/>
      <c r="M2333" s="1138">
        <f t="shared" si="177"/>
        <v>0</v>
      </c>
      <c r="N2333" s="1176">
        <f t="shared" si="176"/>
        <v>0</v>
      </c>
      <c r="O2333" s="905"/>
      <c r="P2333" s="36" t="str">
        <f>IF(N2331&gt;0,"xx",IF(N2331&gt;0,"xy",""))</f>
        <v/>
      </c>
      <c r="Q2333" s="317" t="str">
        <f t="shared" si="178"/>
        <v/>
      </c>
      <c r="R2333" s="317" t="str">
        <f t="shared" ref="R2333:R2396" si="179">IF(P2333="X","x",IF(P2333="y","x",IF(P2333="xx","x",IF(N2333&gt;0,"x",""))))</f>
        <v/>
      </c>
      <c r="S2333" s="317" t="str">
        <f t="shared" ref="S2333:S2396" si="180">IF(P2333="X","x",IF(N2333&gt;0,"x",""))</f>
        <v/>
      </c>
      <c r="T2333" s="317" t="str">
        <f>GLOBAL_DER_FEV_2023!S2333</f>
        <v/>
      </c>
      <c r="W2333" s="582">
        <v>0</v>
      </c>
      <c r="X2333" s="580"/>
      <c r="Y2333" s="583">
        <f>IF(GLOBAL_DER_FEV_2023!W2333=0,0,IF(GLOBAL_DER_FEV_2023!W2333&gt;0,"c","b"))</f>
        <v>0</v>
      </c>
    </row>
    <row r="2334" spans="1:25" ht="15" hidden="1" customHeight="1" x14ac:dyDescent="0.2">
      <c r="A2334" s="317" t="s">
        <v>147</v>
      </c>
      <c r="B2334" s="895" t="s">
        <v>147</v>
      </c>
      <c r="C2334" s="896"/>
      <c r="D2334" s="906" t="s">
        <v>233</v>
      </c>
      <c r="E2334" s="907">
        <f>GLOBAL_DER_FEV_2023!E2334</f>
        <v>0.2</v>
      </c>
      <c r="F2334" s="908">
        <f>GLOBAL_DER_FEV_2023!F2334</f>
        <v>1.7704500000000001</v>
      </c>
      <c r="G2334" s="949">
        <f>GLOBAL_DER_FEV_2023!G2334</f>
        <v>5.1236823000000005</v>
      </c>
      <c r="H2334" s="901">
        <f>GLOBAL_DER_FEV_2023!H2334</f>
        <v>0</v>
      </c>
      <c r="I2334" s="901">
        <f>GLOBAL_DER_FEV_2023!I2334</f>
        <v>0</v>
      </c>
      <c r="J2334" s="902">
        <f>GLOBAL_DER_FEV_2023!J2334</f>
        <v>0</v>
      </c>
      <c r="K2334" s="903"/>
      <c r="L2334" s="1177"/>
      <c r="M2334" s="1138">
        <f t="shared" si="177"/>
        <v>0</v>
      </c>
      <c r="N2334" s="1176">
        <f t="shared" si="176"/>
        <v>0</v>
      </c>
      <c r="O2334" s="905"/>
      <c r="P2334" s="36" t="str">
        <f>IF(N2331&gt;0,"xx",IF(N2331&gt;0,"xy",""))</f>
        <v/>
      </c>
      <c r="Q2334" s="317" t="str">
        <f t="shared" si="178"/>
        <v/>
      </c>
      <c r="R2334" s="317" t="str">
        <f t="shared" si="179"/>
        <v/>
      </c>
      <c r="S2334" s="317" t="str">
        <f t="shared" si="180"/>
        <v/>
      </c>
      <c r="T2334" s="317" t="str">
        <f>GLOBAL_DER_FEV_2023!S2334</f>
        <v/>
      </c>
      <c r="W2334" s="582">
        <v>0</v>
      </c>
      <c r="X2334" s="580"/>
      <c r="Y2334" s="583">
        <f>IF(GLOBAL_DER_FEV_2023!W2334=0,0,IF(GLOBAL_DER_FEV_2023!W2334&gt;0,"c","b"))</f>
        <v>0</v>
      </c>
    </row>
    <row r="2335" spans="1:25" ht="15" hidden="1" customHeight="1" x14ac:dyDescent="0.2">
      <c r="A2335" s="317" t="s">
        <v>121</v>
      </c>
      <c r="B2335" s="895" t="s">
        <v>121</v>
      </c>
      <c r="C2335" s="896" t="s">
        <v>184</v>
      </c>
      <c r="D2335" s="906" t="s">
        <v>135</v>
      </c>
      <c r="E2335" s="907">
        <f>GLOBAL_DER_FEV_2023!E2335</f>
        <v>0</v>
      </c>
      <c r="F2335" s="908">
        <f>GLOBAL_DER_FEV_2023!F2335</f>
        <v>0</v>
      </c>
      <c r="G2335" s="912">
        <f>GLOBAL_DER_FEV_2023!G2335</f>
        <v>472.95947180000007</v>
      </c>
      <c r="H2335" s="901">
        <f>GLOBAL_DER_FEV_2023!H2335</f>
        <v>1851.62</v>
      </c>
      <c r="I2335" s="901">
        <f>GLOBAL_DER_FEV_2023!I2335</f>
        <v>2324.5794717999997</v>
      </c>
      <c r="J2335" s="902">
        <f>GLOBAL_DER_FEV_2023!J2335</f>
        <v>2791.12</v>
      </c>
      <c r="K2335" s="903" t="s">
        <v>15</v>
      </c>
      <c r="L2335" s="1137"/>
      <c r="M2335" s="1138">
        <f t="shared" si="177"/>
        <v>0</v>
      </c>
      <c r="N2335" s="1176">
        <f t="shared" si="176"/>
        <v>0</v>
      </c>
      <c r="O2335" s="905"/>
      <c r="Q2335" s="317" t="str">
        <f t="shared" si="178"/>
        <v/>
      </c>
      <c r="R2335" s="317" t="str">
        <f t="shared" si="179"/>
        <v/>
      </c>
      <c r="S2335" s="317" t="str">
        <f t="shared" si="180"/>
        <v/>
      </c>
      <c r="T2335" s="317" t="str">
        <f>GLOBAL_DER_FEV_2023!S2335</f>
        <v/>
      </c>
      <c r="W2335" s="582">
        <v>0</v>
      </c>
      <c r="X2335" s="580"/>
      <c r="Y2335" s="583">
        <f>IF(GLOBAL_DER_FEV_2023!W2335=0,0,IF(GLOBAL_DER_FEV_2023!W2335&gt;0,"c","b"))</f>
        <v>0</v>
      </c>
    </row>
    <row r="2336" spans="1:25" ht="15" hidden="1" customHeight="1" x14ac:dyDescent="0.2">
      <c r="A2336" s="317" t="s">
        <v>147</v>
      </c>
      <c r="B2336" s="895" t="s">
        <v>147</v>
      </c>
      <c r="C2336" s="896"/>
      <c r="D2336" s="906" t="s">
        <v>190</v>
      </c>
      <c r="E2336" s="907">
        <f>GLOBAL_DER_FEV_2023!E2336</f>
        <v>308</v>
      </c>
      <c r="F2336" s="908">
        <f>GLOBAL_DER_FEV_2023!F2336</f>
        <v>0.6411</v>
      </c>
      <c r="G2336" s="909">
        <f>GLOBAL_DER_FEV_2023!G2336</f>
        <v>159.03126600000002</v>
      </c>
      <c r="H2336" s="901">
        <f>GLOBAL_DER_FEV_2023!H2336</f>
        <v>0</v>
      </c>
      <c r="I2336" s="901">
        <f>GLOBAL_DER_FEV_2023!I2336</f>
        <v>0</v>
      </c>
      <c r="J2336" s="902">
        <f>GLOBAL_DER_FEV_2023!J2336</f>
        <v>0</v>
      </c>
      <c r="K2336" s="903"/>
      <c r="L2336" s="1177"/>
      <c r="M2336" s="1138">
        <f t="shared" si="177"/>
        <v>0</v>
      </c>
      <c r="N2336" s="1176">
        <f t="shared" si="176"/>
        <v>0</v>
      </c>
      <c r="O2336" s="905"/>
      <c r="P2336" s="36" t="str">
        <f>IF(N2335&gt;0,"xx",IF(N2335&gt;0,"xy",""))</f>
        <v/>
      </c>
      <c r="Q2336" s="317" t="str">
        <f t="shared" si="178"/>
        <v/>
      </c>
      <c r="R2336" s="317" t="str">
        <f t="shared" si="179"/>
        <v/>
      </c>
      <c r="S2336" s="317" t="str">
        <f t="shared" si="180"/>
        <v/>
      </c>
      <c r="T2336" s="317" t="str">
        <f>GLOBAL_DER_FEV_2023!S2336</f>
        <v/>
      </c>
      <c r="W2336" s="582">
        <v>0</v>
      </c>
      <c r="X2336" s="580"/>
      <c r="Y2336" s="583">
        <f>IF(GLOBAL_DER_FEV_2023!W2336=0,0,IF(GLOBAL_DER_FEV_2023!W2336&gt;0,"c","b"))</f>
        <v>0</v>
      </c>
    </row>
    <row r="2337" spans="1:25" ht="15" hidden="1" customHeight="1" x14ac:dyDescent="0.2">
      <c r="A2337" s="317" t="s">
        <v>147</v>
      </c>
      <c r="B2337" s="895" t="s">
        <v>147</v>
      </c>
      <c r="C2337" s="896"/>
      <c r="D2337" s="906" t="s">
        <v>229</v>
      </c>
      <c r="E2337" s="907">
        <f>GLOBAL_DER_FEV_2023!E2337</f>
        <v>150</v>
      </c>
      <c r="F2337" s="908">
        <f>GLOBAL_DER_FEV_2023!F2337</f>
        <v>1.8840500000000002</v>
      </c>
      <c r="G2337" s="949">
        <f>GLOBAL_DER_FEV_2023!G2337</f>
        <v>307.43927900000006</v>
      </c>
      <c r="H2337" s="901">
        <f>GLOBAL_DER_FEV_2023!H2337</f>
        <v>0</v>
      </c>
      <c r="I2337" s="901">
        <f>GLOBAL_DER_FEV_2023!I2337</f>
        <v>0</v>
      </c>
      <c r="J2337" s="902">
        <f>GLOBAL_DER_FEV_2023!J2337</f>
        <v>0</v>
      </c>
      <c r="K2337" s="903"/>
      <c r="L2337" s="1177"/>
      <c r="M2337" s="1138">
        <f t="shared" si="177"/>
        <v>0</v>
      </c>
      <c r="N2337" s="1176">
        <f t="shared" ref="N2337:N2400" si="181">IF(ISBLANK(L2337),0,IF(W2337=0,ROUND(L2337*M2337,2),IF(W2337="b",ROUNDDOWN(L2337*M2337,2),ROUNDUP(L2337*M2337,2))))</f>
        <v>0</v>
      </c>
      <c r="O2337" s="905"/>
      <c r="P2337" s="36" t="str">
        <f>IF(N2335&gt;0,"xx",IF(N2335&gt;0,"xy",""))</f>
        <v/>
      </c>
      <c r="Q2337" s="317" t="str">
        <f t="shared" si="178"/>
        <v/>
      </c>
      <c r="R2337" s="317" t="str">
        <f t="shared" si="179"/>
        <v/>
      </c>
      <c r="S2337" s="317" t="str">
        <f t="shared" si="180"/>
        <v/>
      </c>
      <c r="T2337" s="317" t="str">
        <f>GLOBAL_DER_FEV_2023!S2337</f>
        <v/>
      </c>
      <c r="W2337" s="582">
        <v>0</v>
      </c>
      <c r="X2337" s="580"/>
      <c r="Y2337" s="583">
        <f>IF(GLOBAL_DER_FEV_2023!W2337=0,0,IF(GLOBAL_DER_FEV_2023!W2337&gt;0,"c","b"))</f>
        <v>0</v>
      </c>
    </row>
    <row r="2338" spans="1:25" ht="15" hidden="1" customHeight="1" x14ac:dyDescent="0.2">
      <c r="A2338" s="317" t="s">
        <v>147</v>
      </c>
      <c r="B2338" s="895" t="s">
        <v>147</v>
      </c>
      <c r="C2338" s="896"/>
      <c r="D2338" s="906" t="s">
        <v>233</v>
      </c>
      <c r="E2338" s="907">
        <f>GLOBAL_DER_FEV_2023!E2338</f>
        <v>0.2</v>
      </c>
      <c r="F2338" s="908">
        <f>GLOBAL_DER_FEV_2023!F2338</f>
        <v>2.2422</v>
      </c>
      <c r="G2338" s="949">
        <f>GLOBAL_DER_FEV_2023!G2338</f>
        <v>6.4889267999999998</v>
      </c>
      <c r="H2338" s="901">
        <f>GLOBAL_DER_FEV_2023!H2338</f>
        <v>0</v>
      </c>
      <c r="I2338" s="901">
        <f>GLOBAL_DER_FEV_2023!I2338</f>
        <v>0</v>
      </c>
      <c r="J2338" s="902">
        <f>GLOBAL_DER_FEV_2023!J2338</f>
        <v>0</v>
      </c>
      <c r="K2338" s="903"/>
      <c r="L2338" s="1177"/>
      <c r="M2338" s="1138">
        <f t="shared" si="177"/>
        <v>0</v>
      </c>
      <c r="N2338" s="1176">
        <f t="shared" si="181"/>
        <v>0</v>
      </c>
      <c r="O2338" s="905"/>
      <c r="P2338" s="36" t="str">
        <f>IF(N2335&gt;0,"xx",IF(N2335&gt;0,"xy",""))</f>
        <v/>
      </c>
      <c r="Q2338" s="317" t="str">
        <f t="shared" si="178"/>
        <v/>
      </c>
      <c r="R2338" s="317" t="str">
        <f t="shared" si="179"/>
        <v/>
      </c>
      <c r="S2338" s="317" t="str">
        <f t="shared" si="180"/>
        <v/>
      </c>
      <c r="T2338" s="317" t="str">
        <f>GLOBAL_DER_FEV_2023!S2338</f>
        <v/>
      </c>
      <c r="W2338" s="582">
        <v>0</v>
      </c>
      <c r="X2338" s="580"/>
      <c r="Y2338" s="583">
        <f>IF(GLOBAL_DER_FEV_2023!W2338=0,0,IF(GLOBAL_DER_FEV_2023!W2338&gt;0,"c","b"))</f>
        <v>0</v>
      </c>
    </row>
    <row r="2339" spans="1:25" ht="15" hidden="1" customHeight="1" x14ac:dyDescent="0.2">
      <c r="A2339" s="317" t="s">
        <v>122</v>
      </c>
      <c r="B2339" s="895" t="s">
        <v>122</v>
      </c>
      <c r="C2339" s="896" t="s">
        <v>184</v>
      </c>
      <c r="D2339" s="906" t="s">
        <v>136</v>
      </c>
      <c r="E2339" s="907">
        <f>GLOBAL_DER_FEV_2023!E2339</f>
        <v>0</v>
      </c>
      <c r="F2339" s="908">
        <f>GLOBAL_DER_FEV_2023!F2339</f>
        <v>0</v>
      </c>
      <c r="G2339" s="912">
        <f>GLOBAL_DER_FEV_2023!G2339</f>
        <v>592.92383533999998</v>
      </c>
      <c r="H2339" s="901">
        <f>GLOBAL_DER_FEV_2023!H2339</f>
        <v>2119.0300000000002</v>
      </c>
      <c r="I2339" s="901">
        <f>GLOBAL_DER_FEV_2023!I2339</f>
        <v>2711.9538353400003</v>
      </c>
      <c r="J2339" s="902">
        <f>GLOBAL_DER_FEV_2023!J2339</f>
        <v>3256.24</v>
      </c>
      <c r="K2339" s="903" t="s">
        <v>15</v>
      </c>
      <c r="L2339" s="1137"/>
      <c r="M2339" s="1138">
        <f t="shared" si="177"/>
        <v>0</v>
      </c>
      <c r="N2339" s="1176">
        <f t="shared" si="181"/>
        <v>0</v>
      </c>
      <c r="O2339" s="905"/>
      <c r="Q2339" s="317" t="str">
        <f t="shared" si="178"/>
        <v/>
      </c>
      <c r="R2339" s="317" t="str">
        <f t="shared" si="179"/>
        <v/>
      </c>
      <c r="S2339" s="317" t="str">
        <f t="shared" si="180"/>
        <v/>
      </c>
      <c r="T2339" s="317" t="str">
        <f>GLOBAL_DER_FEV_2023!S2339</f>
        <v/>
      </c>
      <c r="W2339" s="582">
        <v>0</v>
      </c>
      <c r="X2339" s="580"/>
      <c r="Y2339" s="583">
        <f>IF(GLOBAL_DER_FEV_2023!W2339=0,0,IF(GLOBAL_DER_FEV_2023!W2339&gt;0,"c","b"))</f>
        <v>0</v>
      </c>
    </row>
    <row r="2340" spans="1:25" ht="15" hidden="1" customHeight="1" x14ac:dyDescent="0.2">
      <c r="A2340" s="317" t="s">
        <v>147</v>
      </c>
      <c r="B2340" s="895" t="s">
        <v>147</v>
      </c>
      <c r="C2340" s="896"/>
      <c r="D2340" s="906" t="s">
        <v>190</v>
      </c>
      <c r="E2340" s="907">
        <f>GLOBAL_DER_FEV_2023!E2340</f>
        <v>308</v>
      </c>
      <c r="F2340" s="908">
        <f>GLOBAL_DER_FEV_2023!F2340</f>
        <v>0.80657999999999996</v>
      </c>
      <c r="G2340" s="909">
        <f>GLOBAL_DER_FEV_2023!G2340</f>
        <v>200.0802348</v>
      </c>
      <c r="H2340" s="901">
        <f>GLOBAL_DER_FEV_2023!H2340</f>
        <v>0</v>
      </c>
      <c r="I2340" s="901">
        <f>GLOBAL_DER_FEV_2023!I2340</f>
        <v>0</v>
      </c>
      <c r="J2340" s="902">
        <f>GLOBAL_DER_FEV_2023!J2340</f>
        <v>0</v>
      </c>
      <c r="K2340" s="903"/>
      <c r="L2340" s="1177"/>
      <c r="M2340" s="1138">
        <f t="shared" si="177"/>
        <v>0</v>
      </c>
      <c r="N2340" s="1176">
        <f t="shared" si="181"/>
        <v>0</v>
      </c>
      <c r="O2340" s="905"/>
      <c r="P2340" s="36" t="str">
        <f>IF(N2339&gt;0,"xx",IF(N2339&gt;0,"xy",""))</f>
        <v/>
      </c>
      <c r="Q2340" s="317" t="str">
        <f t="shared" si="178"/>
        <v/>
      </c>
      <c r="R2340" s="317" t="str">
        <f t="shared" si="179"/>
        <v/>
      </c>
      <c r="S2340" s="317" t="str">
        <f t="shared" si="180"/>
        <v/>
      </c>
      <c r="T2340" s="317" t="str">
        <f>GLOBAL_DER_FEV_2023!S2340</f>
        <v/>
      </c>
      <c r="W2340" s="582">
        <v>0</v>
      </c>
      <c r="X2340" s="580"/>
      <c r="Y2340" s="583">
        <f>IF(GLOBAL_DER_FEV_2023!W2340=0,0,IF(GLOBAL_DER_FEV_2023!W2340&gt;0,"c","b"))</f>
        <v>0</v>
      </c>
    </row>
    <row r="2341" spans="1:25" ht="15" hidden="1" customHeight="1" x14ac:dyDescent="0.2">
      <c r="A2341" s="317" t="s">
        <v>147</v>
      </c>
      <c r="B2341" s="895" t="s">
        <v>147</v>
      </c>
      <c r="C2341" s="896"/>
      <c r="D2341" s="906" t="s">
        <v>229</v>
      </c>
      <c r="E2341" s="907">
        <f>GLOBAL_DER_FEV_2023!E2341</f>
        <v>150</v>
      </c>
      <c r="F2341" s="908">
        <f>GLOBAL_DER_FEV_2023!F2341</f>
        <v>2.3575999999999997</v>
      </c>
      <c r="G2341" s="949">
        <f>GLOBAL_DER_FEV_2023!G2341</f>
        <v>384.71316799999994</v>
      </c>
      <c r="H2341" s="901">
        <f>GLOBAL_DER_FEV_2023!H2341</f>
        <v>0</v>
      </c>
      <c r="I2341" s="901">
        <f>GLOBAL_DER_FEV_2023!I2341</f>
        <v>0</v>
      </c>
      <c r="J2341" s="902">
        <f>GLOBAL_DER_FEV_2023!J2341</f>
        <v>0</v>
      </c>
      <c r="K2341" s="903"/>
      <c r="L2341" s="1177"/>
      <c r="M2341" s="1138">
        <f t="shared" si="177"/>
        <v>0</v>
      </c>
      <c r="N2341" s="1176">
        <f t="shared" si="181"/>
        <v>0</v>
      </c>
      <c r="O2341" s="905"/>
      <c r="P2341" s="36" t="str">
        <f>IF(N2339&gt;0,"xx",IF(N2339&gt;0,"xy",""))</f>
        <v/>
      </c>
      <c r="Q2341" s="317" t="str">
        <f t="shared" si="178"/>
        <v/>
      </c>
      <c r="R2341" s="317" t="str">
        <f t="shared" si="179"/>
        <v/>
      </c>
      <c r="S2341" s="317" t="str">
        <f t="shared" si="180"/>
        <v/>
      </c>
      <c r="T2341" s="317" t="str">
        <f>GLOBAL_DER_FEV_2023!S2341</f>
        <v/>
      </c>
      <c r="W2341" s="582">
        <v>0</v>
      </c>
      <c r="X2341" s="580"/>
      <c r="Y2341" s="583">
        <f>IF(GLOBAL_DER_FEV_2023!W2341=0,0,IF(GLOBAL_DER_FEV_2023!W2341&gt;0,"c","b"))</f>
        <v>0</v>
      </c>
    </row>
    <row r="2342" spans="1:25" ht="15" hidden="1" customHeight="1" x14ac:dyDescent="0.2">
      <c r="A2342" s="317" t="s">
        <v>147</v>
      </c>
      <c r="B2342" s="895" t="s">
        <v>147</v>
      </c>
      <c r="C2342" s="896"/>
      <c r="D2342" s="906" t="s">
        <v>233</v>
      </c>
      <c r="E2342" s="907">
        <f>GLOBAL_DER_FEV_2023!E2342</f>
        <v>0.2</v>
      </c>
      <c r="F2342" s="908">
        <f>GLOBAL_DER_FEV_2023!F2342</f>
        <v>2.8094099999999997</v>
      </c>
      <c r="G2342" s="949">
        <f>GLOBAL_DER_FEV_2023!G2342</f>
        <v>8.1304325399999993</v>
      </c>
      <c r="H2342" s="901">
        <f>GLOBAL_DER_FEV_2023!H2342</f>
        <v>0</v>
      </c>
      <c r="I2342" s="901">
        <f>GLOBAL_DER_FEV_2023!I2342</f>
        <v>0</v>
      </c>
      <c r="J2342" s="902">
        <f>GLOBAL_DER_FEV_2023!J2342</f>
        <v>0</v>
      </c>
      <c r="K2342" s="903"/>
      <c r="L2342" s="1177"/>
      <c r="M2342" s="1138">
        <f t="shared" si="177"/>
        <v>0</v>
      </c>
      <c r="N2342" s="1176">
        <f t="shared" si="181"/>
        <v>0</v>
      </c>
      <c r="O2342" s="905"/>
      <c r="P2342" s="36" t="str">
        <f>IF(N2339&gt;0,"xx",IF(N2339&gt;0,"xy",""))</f>
        <v/>
      </c>
      <c r="Q2342" s="317" t="str">
        <f t="shared" si="178"/>
        <v/>
      </c>
      <c r="R2342" s="317" t="str">
        <f t="shared" si="179"/>
        <v/>
      </c>
      <c r="S2342" s="317" t="str">
        <f t="shared" si="180"/>
        <v/>
      </c>
      <c r="T2342" s="317" t="str">
        <f>GLOBAL_DER_FEV_2023!S2342</f>
        <v/>
      </c>
      <c r="W2342" s="582">
        <v>0</v>
      </c>
      <c r="X2342" s="580"/>
      <c r="Y2342" s="583">
        <f>IF(GLOBAL_DER_FEV_2023!W2342=0,0,IF(GLOBAL_DER_FEV_2023!W2342&gt;0,"c","b"))</f>
        <v>0</v>
      </c>
    </row>
    <row r="2343" spans="1:25" ht="15" hidden="1" customHeight="1" x14ac:dyDescent="0.2">
      <c r="A2343" s="317" t="s">
        <v>123</v>
      </c>
      <c r="B2343" s="895" t="s">
        <v>123</v>
      </c>
      <c r="C2343" s="896" t="s">
        <v>184</v>
      </c>
      <c r="D2343" s="906" t="s">
        <v>137</v>
      </c>
      <c r="E2343" s="907">
        <f>GLOBAL_DER_FEV_2023!E2343</f>
        <v>0</v>
      </c>
      <c r="F2343" s="908">
        <f>GLOBAL_DER_FEV_2023!F2343</f>
        <v>0</v>
      </c>
      <c r="G2343" s="912">
        <f>GLOBAL_DER_FEV_2023!G2343</f>
        <v>286.21071490000003</v>
      </c>
      <c r="H2343" s="901">
        <f>GLOBAL_DER_FEV_2023!H2343</f>
        <v>3215.9</v>
      </c>
      <c r="I2343" s="901">
        <f>GLOBAL_DER_FEV_2023!I2343</f>
        <v>3502.1107148999999</v>
      </c>
      <c r="J2343" s="902">
        <f>GLOBAL_DER_FEV_2023!J2343</f>
        <v>4204.9799999999996</v>
      </c>
      <c r="K2343" s="903" t="s">
        <v>15</v>
      </c>
      <c r="L2343" s="1137"/>
      <c r="M2343" s="1138">
        <f t="shared" si="177"/>
        <v>0</v>
      </c>
      <c r="N2343" s="1176">
        <f t="shared" si="181"/>
        <v>0</v>
      </c>
      <c r="O2343" s="905"/>
      <c r="Q2343" s="317" t="str">
        <f t="shared" si="178"/>
        <v/>
      </c>
      <c r="R2343" s="317" t="str">
        <f t="shared" si="179"/>
        <v/>
      </c>
      <c r="S2343" s="317" t="str">
        <f t="shared" si="180"/>
        <v/>
      </c>
      <c r="T2343" s="317" t="str">
        <f>GLOBAL_DER_FEV_2023!S2343</f>
        <v/>
      </c>
      <c r="W2343" s="582">
        <v>0</v>
      </c>
      <c r="X2343" s="580"/>
      <c r="Y2343" s="583">
        <f>IF(GLOBAL_DER_FEV_2023!W2343=0,0,IF(GLOBAL_DER_FEV_2023!W2343&gt;0,"c","b"))</f>
        <v>0</v>
      </c>
    </row>
    <row r="2344" spans="1:25" ht="15" hidden="1" customHeight="1" x14ac:dyDescent="0.2">
      <c r="A2344" s="317" t="s">
        <v>147</v>
      </c>
      <c r="B2344" s="895" t="s">
        <v>147</v>
      </c>
      <c r="C2344" s="896"/>
      <c r="D2344" s="906" t="s">
        <v>190</v>
      </c>
      <c r="E2344" s="907">
        <f>GLOBAL_DER_FEV_2023!E2344</f>
        <v>308</v>
      </c>
      <c r="F2344" s="908">
        <f>GLOBAL_DER_FEV_2023!F2344</f>
        <v>0.38250000000000006</v>
      </c>
      <c r="G2344" s="909">
        <f>GLOBAL_DER_FEV_2023!G2344</f>
        <v>94.882950000000022</v>
      </c>
      <c r="H2344" s="901">
        <f>GLOBAL_DER_FEV_2023!H2344</f>
        <v>0</v>
      </c>
      <c r="I2344" s="901">
        <f>GLOBAL_DER_FEV_2023!I2344</f>
        <v>0</v>
      </c>
      <c r="J2344" s="902">
        <f>GLOBAL_DER_FEV_2023!J2344</f>
        <v>0</v>
      </c>
      <c r="K2344" s="903"/>
      <c r="L2344" s="1177"/>
      <c r="M2344" s="1138">
        <f t="shared" si="177"/>
        <v>0</v>
      </c>
      <c r="N2344" s="1176">
        <f t="shared" si="181"/>
        <v>0</v>
      </c>
      <c r="O2344" s="905"/>
      <c r="P2344" s="36" t="str">
        <f>IF(N2343&gt;0,"xx",IF(N2343&gt;0,"xy",""))</f>
        <v/>
      </c>
      <c r="Q2344" s="317" t="str">
        <f t="shared" si="178"/>
        <v/>
      </c>
      <c r="R2344" s="317" t="str">
        <f t="shared" si="179"/>
        <v/>
      </c>
      <c r="S2344" s="317" t="str">
        <f t="shared" si="180"/>
        <v/>
      </c>
      <c r="T2344" s="317" t="str">
        <f>GLOBAL_DER_FEV_2023!S2344</f>
        <v/>
      </c>
      <c r="W2344" s="582">
        <v>0</v>
      </c>
      <c r="X2344" s="580"/>
      <c r="Y2344" s="583">
        <f>IF(GLOBAL_DER_FEV_2023!W2344=0,0,IF(GLOBAL_DER_FEV_2023!W2344&gt;0,"c","b"))</f>
        <v>0</v>
      </c>
    </row>
    <row r="2345" spans="1:25" ht="15" hidden="1" customHeight="1" x14ac:dyDescent="0.2">
      <c r="A2345" s="317" t="s">
        <v>147</v>
      </c>
      <c r="B2345" s="895" t="s">
        <v>147</v>
      </c>
      <c r="C2345" s="896"/>
      <c r="D2345" s="906" t="s">
        <v>229</v>
      </c>
      <c r="E2345" s="907">
        <f>GLOBAL_DER_FEV_2023!E2345</f>
        <v>150</v>
      </c>
      <c r="F2345" s="908">
        <f>GLOBAL_DER_FEV_2023!F2345</f>
        <v>1.1483800000000002</v>
      </c>
      <c r="G2345" s="949">
        <f>GLOBAL_DER_FEV_2023!G2345</f>
        <v>187.39264840000004</v>
      </c>
      <c r="H2345" s="901">
        <f>GLOBAL_DER_FEV_2023!H2345</f>
        <v>0</v>
      </c>
      <c r="I2345" s="901">
        <f>GLOBAL_DER_FEV_2023!I2345</f>
        <v>0</v>
      </c>
      <c r="J2345" s="902">
        <f>GLOBAL_DER_FEV_2023!J2345</f>
        <v>0</v>
      </c>
      <c r="K2345" s="903"/>
      <c r="L2345" s="1177"/>
      <c r="M2345" s="1138">
        <f t="shared" si="177"/>
        <v>0</v>
      </c>
      <c r="N2345" s="1176">
        <f t="shared" si="181"/>
        <v>0</v>
      </c>
      <c r="O2345" s="905"/>
      <c r="P2345" s="36" t="str">
        <f>IF(N2343&gt;0,"xx",IF(N2343&gt;0,"xy",""))</f>
        <v/>
      </c>
      <c r="Q2345" s="317" t="str">
        <f t="shared" si="178"/>
        <v/>
      </c>
      <c r="R2345" s="317" t="str">
        <f t="shared" si="179"/>
        <v/>
      </c>
      <c r="S2345" s="317" t="str">
        <f t="shared" si="180"/>
        <v/>
      </c>
      <c r="T2345" s="317" t="str">
        <f>GLOBAL_DER_FEV_2023!S2345</f>
        <v/>
      </c>
      <c r="W2345" s="582">
        <v>0</v>
      </c>
      <c r="X2345" s="580"/>
      <c r="Y2345" s="583">
        <f>IF(GLOBAL_DER_FEV_2023!W2345=0,0,IF(GLOBAL_DER_FEV_2023!W2345&gt;0,"c","b"))</f>
        <v>0</v>
      </c>
    </row>
    <row r="2346" spans="1:25" ht="15" hidden="1" customHeight="1" x14ac:dyDescent="0.2">
      <c r="A2346" s="317" t="s">
        <v>147</v>
      </c>
      <c r="B2346" s="895" t="s">
        <v>147</v>
      </c>
      <c r="C2346" s="896"/>
      <c r="D2346" s="906" t="s">
        <v>233</v>
      </c>
      <c r="E2346" s="907">
        <f>GLOBAL_DER_FEV_2023!E2346</f>
        <v>0.2</v>
      </c>
      <c r="F2346" s="908">
        <f>GLOBAL_DER_FEV_2023!F2346</f>
        <v>1.35975</v>
      </c>
      <c r="G2346" s="949">
        <f>GLOBAL_DER_FEV_2023!G2346</f>
        <v>3.9351165000000004</v>
      </c>
      <c r="H2346" s="901">
        <f>GLOBAL_DER_FEV_2023!H2346</f>
        <v>0</v>
      </c>
      <c r="I2346" s="901">
        <f>GLOBAL_DER_FEV_2023!I2346</f>
        <v>0</v>
      </c>
      <c r="J2346" s="902">
        <f>GLOBAL_DER_FEV_2023!J2346</f>
        <v>0</v>
      </c>
      <c r="K2346" s="903"/>
      <c r="L2346" s="1177"/>
      <c r="M2346" s="1138">
        <f t="shared" si="177"/>
        <v>0</v>
      </c>
      <c r="N2346" s="1176">
        <f t="shared" si="181"/>
        <v>0</v>
      </c>
      <c r="O2346" s="905"/>
      <c r="P2346" s="36" t="str">
        <f>IF(N2343&gt;0,"xx",IF(N2343&gt;0,"xy",""))</f>
        <v/>
      </c>
      <c r="Q2346" s="317" t="str">
        <f t="shared" si="178"/>
        <v/>
      </c>
      <c r="R2346" s="317" t="str">
        <f t="shared" si="179"/>
        <v/>
      </c>
      <c r="S2346" s="317" t="str">
        <f t="shared" si="180"/>
        <v/>
      </c>
      <c r="T2346" s="317" t="str">
        <f>GLOBAL_DER_FEV_2023!S2346</f>
        <v/>
      </c>
      <c r="W2346" s="582">
        <v>0</v>
      </c>
      <c r="X2346" s="580"/>
      <c r="Y2346" s="583">
        <f>IF(GLOBAL_DER_FEV_2023!W2346=0,0,IF(GLOBAL_DER_FEV_2023!W2346&gt;0,"c","b"))</f>
        <v>0</v>
      </c>
    </row>
    <row r="2347" spans="1:25" ht="15" hidden="1" customHeight="1" x14ac:dyDescent="0.2">
      <c r="A2347" s="317" t="s">
        <v>124</v>
      </c>
      <c r="B2347" s="895" t="s">
        <v>124</v>
      </c>
      <c r="C2347" s="896" t="s">
        <v>184</v>
      </c>
      <c r="D2347" s="906" t="s">
        <v>138</v>
      </c>
      <c r="E2347" s="907">
        <f>GLOBAL_DER_FEV_2023!E2347</f>
        <v>0</v>
      </c>
      <c r="F2347" s="908">
        <f>GLOBAL_DER_FEV_2023!F2347</f>
        <v>0</v>
      </c>
      <c r="G2347" s="912">
        <f>GLOBAL_DER_FEV_2023!G2347</f>
        <v>321.51485289999999</v>
      </c>
      <c r="H2347" s="901">
        <f>GLOBAL_DER_FEV_2023!H2347</f>
        <v>3565.26</v>
      </c>
      <c r="I2347" s="901">
        <f>GLOBAL_DER_FEV_2023!I2347</f>
        <v>3886.7748529</v>
      </c>
      <c r="J2347" s="902">
        <f>GLOBAL_DER_FEV_2023!J2347</f>
        <v>4666.8500000000004</v>
      </c>
      <c r="K2347" s="903" t="s">
        <v>15</v>
      </c>
      <c r="L2347" s="1137"/>
      <c r="M2347" s="1138">
        <f t="shared" si="177"/>
        <v>0</v>
      </c>
      <c r="N2347" s="1176">
        <f t="shared" si="181"/>
        <v>0</v>
      </c>
      <c r="O2347" s="905"/>
      <c r="Q2347" s="317" t="str">
        <f t="shared" si="178"/>
        <v/>
      </c>
      <c r="R2347" s="317" t="str">
        <f t="shared" si="179"/>
        <v/>
      </c>
      <c r="S2347" s="317" t="str">
        <f t="shared" si="180"/>
        <v/>
      </c>
      <c r="T2347" s="317" t="str">
        <f>GLOBAL_DER_FEV_2023!S2347</f>
        <v/>
      </c>
      <c r="W2347" s="582">
        <v>0</v>
      </c>
      <c r="X2347" s="580"/>
      <c r="Y2347" s="583">
        <f>IF(GLOBAL_DER_FEV_2023!W2347=0,0,IF(GLOBAL_DER_FEV_2023!W2347&gt;0,"c","b"))</f>
        <v>0</v>
      </c>
    </row>
    <row r="2348" spans="1:25" ht="15" hidden="1" customHeight="1" x14ac:dyDescent="0.2">
      <c r="A2348" s="317" t="s">
        <v>147</v>
      </c>
      <c r="B2348" s="895" t="s">
        <v>147</v>
      </c>
      <c r="C2348" s="896"/>
      <c r="D2348" s="906" t="s">
        <v>190</v>
      </c>
      <c r="E2348" s="907">
        <f>GLOBAL_DER_FEV_2023!E2348</f>
        <v>308</v>
      </c>
      <c r="F2348" s="908">
        <f>GLOBAL_DER_FEV_2023!F2348</f>
        <v>0.43200000000000005</v>
      </c>
      <c r="G2348" s="909">
        <f>GLOBAL_DER_FEV_2023!G2348</f>
        <v>107.16192000000001</v>
      </c>
      <c r="H2348" s="901">
        <f>GLOBAL_DER_FEV_2023!H2348</f>
        <v>0</v>
      </c>
      <c r="I2348" s="901">
        <f>GLOBAL_DER_FEV_2023!I2348</f>
        <v>0</v>
      </c>
      <c r="J2348" s="902">
        <f>GLOBAL_DER_FEV_2023!J2348</f>
        <v>0</v>
      </c>
      <c r="K2348" s="903"/>
      <c r="L2348" s="1177"/>
      <c r="M2348" s="1138">
        <f t="shared" si="177"/>
        <v>0</v>
      </c>
      <c r="N2348" s="1176">
        <f t="shared" si="181"/>
        <v>0</v>
      </c>
      <c r="O2348" s="905"/>
      <c r="P2348" s="36" t="str">
        <f>IF(N2347&gt;0,"xx",IF(N2347&gt;0,"xy",""))</f>
        <v/>
      </c>
      <c r="Q2348" s="317" t="str">
        <f t="shared" si="178"/>
        <v/>
      </c>
      <c r="R2348" s="317" t="str">
        <f t="shared" si="179"/>
        <v/>
      </c>
      <c r="S2348" s="317" t="str">
        <f t="shared" si="180"/>
        <v/>
      </c>
      <c r="T2348" s="317" t="str">
        <f>GLOBAL_DER_FEV_2023!S2348</f>
        <v/>
      </c>
      <c r="W2348" s="582">
        <v>0</v>
      </c>
      <c r="X2348" s="580"/>
      <c r="Y2348" s="583">
        <f>IF(GLOBAL_DER_FEV_2023!W2348=0,0,IF(GLOBAL_DER_FEV_2023!W2348&gt;0,"c","b"))</f>
        <v>0</v>
      </c>
    </row>
    <row r="2349" spans="1:25" ht="15" hidden="1" customHeight="1" x14ac:dyDescent="0.2">
      <c r="A2349" s="317" t="s">
        <v>147</v>
      </c>
      <c r="B2349" s="895" t="s">
        <v>147</v>
      </c>
      <c r="C2349" s="896"/>
      <c r="D2349" s="906" t="s">
        <v>229</v>
      </c>
      <c r="E2349" s="907">
        <f>GLOBAL_DER_FEV_2023!E2349</f>
        <v>150</v>
      </c>
      <c r="F2349" s="908">
        <f>GLOBAL_DER_FEV_2023!F2349</f>
        <v>1.28653</v>
      </c>
      <c r="G2349" s="949">
        <f>GLOBAL_DER_FEV_2023!G2349</f>
        <v>209.93596540000001</v>
      </c>
      <c r="H2349" s="901">
        <f>GLOBAL_DER_FEV_2023!H2349</f>
        <v>0</v>
      </c>
      <c r="I2349" s="901">
        <f>GLOBAL_DER_FEV_2023!I2349</f>
        <v>0</v>
      </c>
      <c r="J2349" s="902">
        <f>GLOBAL_DER_FEV_2023!J2349</f>
        <v>0</v>
      </c>
      <c r="K2349" s="903"/>
      <c r="L2349" s="1177"/>
      <c r="M2349" s="1138">
        <f t="shared" si="177"/>
        <v>0</v>
      </c>
      <c r="N2349" s="1176">
        <f t="shared" si="181"/>
        <v>0</v>
      </c>
      <c r="O2349" s="905"/>
      <c r="P2349" s="36" t="str">
        <f>IF(N2347&gt;0,"xx",IF(N2347&gt;0,"xy",""))</f>
        <v/>
      </c>
      <c r="Q2349" s="317" t="str">
        <f t="shared" si="178"/>
        <v/>
      </c>
      <c r="R2349" s="317" t="str">
        <f t="shared" si="179"/>
        <v/>
      </c>
      <c r="S2349" s="317" t="str">
        <f t="shared" si="180"/>
        <v/>
      </c>
      <c r="T2349" s="317" t="str">
        <f>GLOBAL_DER_FEV_2023!S2349</f>
        <v/>
      </c>
      <c r="W2349" s="582">
        <v>0</v>
      </c>
      <c r="X2349" s="580"/>
      <c r="Y2349" s="583">
        <f>IF(GLOBAL_DER_FEV_2023!W2349=0,0,IF(GLOBAL_DER_FEV_2023!W2349&gt;0,"c","b"))</f>
        <v>0</v>
      </c>
    </row>
    <row r="2350" spans="1:25" ht="15" hidden="1" customHeight="1" x14ac:dyDescent="0.2">
      <c r="A2350" s="317" t="s">
        <v>147</v>
      </c>
      <c r="B2350" s="895" t="s">
        <v>147</v>
      </c>
      <c r="C2350" s="896"/>
      <c r="D2350" s="906" t="s">
        <v>233</v>
      </c>
      <c r="E2350" s="907">
        <f>GLOBAL_DER_FEV_2023!E2350</f>
        <v>0.2</v>
      </c>
      <c r="F2350" s="908">
        <f>GLOBAL_DER_FEV_2023!F2350</f>
        <v>1.5262500000000001</v>
      </c>
      <c r="G2350" s="949">
        <f>GLOBAL_DER_FEV_2023!G2350</f>
        <v>4.4169675000000002</v>
      </c>
      <c r="H2350" s="901">
        <f>GLOBAL_DER_FEV_2023!H2350</f>
        <v>0</v>
      </c>
      <c r="I2350" s="901">
        <f>GLOBAL_DER_FEV_2023!I2350</f>
        <v>0</v>
      </c>
      <c r="J2350" s="902">
        <f>GLOBAL_DER_FEV_2023!J2350</f>
        <v>0</v>
      </c>
      <c r="K2350" s="903"/>
      <c r="L2350" s="1177"/>
      <c r="M2350" s="1138">
        <f t="shared" si="177"/>
        <v>0</v>
      </c>
      <c r="N2350" s="1176">
        <f t="shared" si="181"/>
        <v>0</v>
      </c>
      <c r="O2350" s="905"/>
      <c r="P2350" s="36" t="str">
        <f>IF(N2347&gt;0,"xx",IF(N2347&gt;0,"xy",""))</f>
        <v/>
      </c>
      <c r="Q2350" s="317" t="str">
        <f t="shared" si="178"/>
        <v/>
      </c>
      <c r="R2350" s="317" t="str">
        <f t="shared" si="179"/>
        <v/>
      </c>
      <c r="S2350" s="317" t="str">
        <f t="shared" si="180"/>
        <v/>
      </c>
      <c r="T2350" s="317" t="str">
        <f>GLOBAL_DER_FEV_2023!S2350</f>
        <v/>
      </c>
      <c r="W2350" s="582">
        <v>0</v>
      </c>
      <c r="X2350" s="580"/>
      <c r="Y2350" s="583">
        <f>IF(GLOBAL_DER_FEV_2023!W2350=0,0,IF(GLOBAL_DER_FEV_2023!W2350&gt;0,"c","b"))</f>
        <v>0</v>
      </c>
    </row>
    <row r="2351" spans="1:25" ht="15" hidden="1" customHeight="1" x14ac:dyDescent="0.2">
      <c r="A2351" s="317" t="s">
        <v>125</v>
      </c>
      <c r="B2351" s="895" t="s">
        <v>125</v>
      </c>
      <c r="C2351" s="896" t="s">
        <v>184</v>
      </c>
      <c r="D2351" s="906" t="s">
        <v>139</v>
      </c>
      <c r="E2351" s="907">
        <f>GLOBAL_DER_FEV_2023!E2351</f>
        <v>0</v>
      </c>
      <c r="F2351" s="908">
        <f>GLOBAL_DER_FEV_2023!F2351</f>
        <v>0</v>
      </c>
      <c r="G2351" s="912">
        <f>GLOBAL_DER_FEV_2023!G2351</f>
        <v>373.29425529999997</v>
      </c>
      <c r="H2351" s="901">
        <f>GLOBAL_DER_FEV_2023!H2351</f>
        <v>4078.7</v>
      </c>
      <c r="I2351" s="901">
        <f>GLOBAL_DER_FEV_2023!I2351</f>
        <v>4451.9942553000001</v>
      </c>
      <c r="J2351" s="902">
        <f>GLOBAL_DER_FEV_2023!J2351</f>
        <v>5345.51</v>
      </c>
      <c r="K2351" s="903" t="s">
        <v>15</v>
      </c>
      <c r="L2351" s="1137"/>
      <c r="M2351" s="1138">
        <f t="shared" si="177"/>
        <v>0</v>
      </c>
      <c r="N2351" s="1176">
        <f t="shared" si="181"/>
        <v>0</v>
      </c>
      <c r="O2351" s="905"/>
      <c r="Q2351" s="317" t="str">
        <f t="shared" si="178"/>
        <v/>
      </c>
      <c r="R2351" s="317" t="str">
        <f t="shared" si="179"/>
        <v/>
      </c>
      <c r="S2351" s="317" t="str">
        <f t="shared" si="180"/>
        <v/>
      </c>
      <c r="T2351" s="317" t="str">
        <f>GLOBAL_DER_FEV_2023!S2351</f>
        <v/>
      </c>
      <c r="W2351" s="582">
        <v>0</v>
      </c>
      <c r="X2351" s="580"/>
      <c r="Y2351" s="583">
        <f>IF(GLOBAL_DER_FEV_2023!W2351=0,0,IF(GLOBAL_DER_FEV_2023!W2351&gt;0,"c","b"))</f>
        <v>0</v>
      </c>
    </row>
    <row r="2352" spans="1:25" ht="15" hidden="1" customHeight="1" x14ac:dyDescent="0.2">
      <c r="A2352" s="317" t="s">
        <v>147</v>
      </c>
      <c r="B2352" s="895" t="s">
        <v>147</v>
      </c>
      <c r="C2352" s="896"/>
      <c r="D2352" s="906" t="s">
        <v>190</v>
      </c>
      <c r="E2352" s="907">
        <f>GLOBAL_DER_FEV_2023!E2352</f>
        <v>308</v>
      </c>
      <c r="F2352" s="908">
        <f>GLOBAL_DER_FEV_2023!F2352</f>
        <v>0.50459999999999994</v>
      </c>
      <c r="G2352" s="909">
        <f>GLOBAL_DER_FEV_2023!G2352</f>
        <v>125.17107599999999</v>
      </c>
      <c r="H2352" s="901">
        <f>GLOBAL_DER_FEV_2023!H2352</f>
        <v>0</v>
      </c>
      <c r="I2352" s="901">
        <f>GLOBAL_DER_FEV_2023!I2352</f>
        <v>0</v>
      </c>
      <c r="J2352" s="902">
        <f>GLOBAL_DER_FEV_2023!J2352</f>
        <v>0</v>
      </c>
      <c r="K2352" s="903"/>
      <c r="L2352" s="1177"/>
      <c r="M2352" s="1138">
        <f t="shared" si="177"/>
        <v>0</v>
      </c>
      <c r="N2352" s="1176">
        <f t="shared" si="181"/>
        <v>0</v>
      </c>
      <c r="O2352" s="905"/>
      <c r="P2352" s="36" t="str">
        <f>IF(N2351&gt;0,"xx",IF(N2351&gt;0,"xy",""))</f>
        <v/>
      </c>
      <c r="Q2352" s="317" t="str">
        <f t="shared" si="178"/>
        <v/>
      </c>
      <c r="R2352" s="317" t="str">
        <f t="shared" si="179"/>
        <v/>
      </c>
      <c r="S2352" s="317" t="str">
        <f t="shared" si="180"/>
        <v/>
      </c>
      <c r="T2352" s="317" t="str">
        <f>GLOBAL_DER_FEV_2023!S2352</f>
        <v/>
      </c>
      <c r="W2352" s="582">
        <v>0</v>
      </c>
      <c r="X2352" s="580"/>
      <c r="Y2352" s="583">
        <f>IF(GLOBAL_DER_FEV_2023!W2352=0,0,IF(GLOBAL_DER_FEV_2023!W2352&gt;0,"c","b"))</f>
        <v>0</v>
      </c>
    </row>
    <row r="2353" spans="1:25" ht="15" hidden="1" customHeight="1" x14ac:dyDescent="0.2">
      <c r="A2353" s="317" t="s">
        <v>147</v>
      </c>
      <c r="B2353" s="895" t="s">
        <v>147</v>
      </c>
      <c r="C2353" s="896"/>
      <c r="D2353" s="906" t="s">
        <v>229</v>
      </c>
      <c r="E2353" s="907">
        <f>GLOBAL_DER_FEV_2023!E2353</f>
        <v>150</v>
      </c>
      <c r="F2353" s="908">
        <f>GLOBAL_DER_FEV_2023!F2353</f>
        <v>1.48915</v>
      </c>
      <c r="G2353" s="949">
        <f>GLOBAL_DER_FEV_2023!G2353</f>
        <v>242.99949700000002</v>
      </c>
      <c r="H2353" s="901">
        <f>GLOBAL_DER_FEV_2023!H2353</f>
        <v>0</v>
      </c>
      <c r="I2353" s="901">
        <f>GLOBAL_DER_FEV_2023!I2353</f>
        <v>0</v>
      </c>
      <c r="J2353" s="902">
        <f>GLOBAL_DER_FEV_2023!J2353</f>
        <v>0</v>
      </c>
      <c r="K2353" s="903"/>
      <c r="L2353" s="1177"/>
      <c r="M2353" s="1138">
        <f t="shared" si="177"/>
        <v>0</v>
      </c>
      <c r="N2353" s="1176">
        <f t="shared" si="181"/>
        <v>0</v>
      </c>
      <c r="O2353" s="905"/>
      <c r="P2353" s="36" t="str">
        <f>IF(N2351&gt;0,"xx",IF(N2351&gt;0,"xy",""))</f>
        <v/>
      </c>
      <c r="Q2353" s="317" t="str">
        <f t="shared" si="178"/>
        <v/>
      </c>
      <c r="R2353" s="317" t="str">
        <f t="shared" si="179"/>
        <v/>
      </c>
      <c r="S2353" s="317" t="str">
        <f t="shared" si="180"/>
        <v/>
      </c>
      <c r="T2353" s="317" t="str">
        <f>GLOBAL_DER_FEV_2023!S2353</f>
        <v/>
      </c>
      <c r="W2353" s="582">
        <v>0</v>
      </c>
      <c r="X2353" s="580"/>
      <c r="Y2353" s="583">
        <f>IF(GLOBAL_DER_FEV_2023!W2353=0,0,IF(GLOBAL_DER_FEV_2023!W2353&gt;0,"c","b"))</f>
        <v>0</v>
      </c>
    </row>
    <row r="2354" spans="1:25" ht="15" hidden="1" customHeight="1" x14ac:dyDescent="0.2">
      <c r="A2354" s="317" t="s">
        <v>147</v>
      </c>
      <c r="B2354" s="895" t="s">
        <v>147</v>
      </c>
      <c r="C2354" s="896"/>
      <c r="D2354" s="906" t="s">
        <v>233</v>
      </c>
      <c r="E2354" s="907">
        <f>GLOBAL_DER_FEV_2023!E2354</f>
        <v>0.2</v>
      </c>
      <c r="F2354" s="908">
        <f>GLOBAL_DER_FEV_2023!F2354</f>
        <v>1.7704500000000001</v>
      </c>
      <c r="G2354" s="949">
        <f>GLOBAL_DER_FEV_2023!G2354</f>
        <v>5.1236823000000005</v>
      </c>
      <c r="H2354" s="901">
        <f>GLOBAL_DER_FEV_2023!H2354</f>
        <v>0</v>
      </c>
      <c r="I2354" s="901">
        <f>GLOBAL_DER_FEV_2023!I2354</f>
        <v>0</v>
      </c>
      <c r="J2354" s="902">
        <f>GLOBAL_DER_FEV_2023!J2354</f>
        <v>0</v>
      </c>
      <c r="K2354" s="903"/>
      <c r="L2354" s="1177"/>
      <c r="M2354" s="1138">
        <f t="shared" si="177"/>
        <v>0</v>
      </c>
      <c r="N2354" s="1176">
        <f t="shared" si="181"/>
        <v>0</v>
      </c>
      <c r="O2354" s="905"/>
      <c r="P2354" s="36" t="str">
        <f>IF(N2351&gt;0,"xx",IF(N2351&gt;0,"xy",""))</f>
        <v/>
      </c>
      <c r="Q2354" s="317" t="str">
        <f t="shared" si="178"/>
        <v/>
      </c>
      <c r="R2354" s="317" t="str">
        <f t="shared" si="179"/>
        <v/>
      </c>
      <c r="S2354" s="317" t="str">
        <f t="shared" si="180"/>
        <v/>
      </c>
      <c r="T2354" s="317" t="str">
        <f>GLOBAL_DER_FEV_2023!S2354</f>
        <v/>
      </c>
      <c r="W2354" s="582">
        <v>0</v>
      </c>
      <c r="X2354" s="580"/>
      <c r="Y2354" s="583">
        <f>IF(GLOBAL_DER_FEV_2023!W2354=0,0,IF(GLOBAL_DER_FEV_2023!W2354&gt;0,"c","b"))</f>
        <v>0</v>
      </c>
    </row>
    <row r="2355" spans="1:25" ht="15" hidden="1" customHeight="1" x14ac:dyDescent="0.2">
      <c r="A2355" s="317" t="s">
        <v>40</v>
      </c>
      <c r="B2355" s="895" t="s">
        <v>40</v>
      </c>
      <c r="C2355" s="896" t="s">
        <v>184</v>
      </c>
      <c r="D2355" s="906" t="s">
        <v>140</v>
      </c>
      <c r="E2355" s="907">
        <f>GLOBAL_DER_FEV_2023!E2355</f>
        <v>0</v>
      </c>
      <c r="F2355" s="908">
        <f>GLOBAL_DER_FEV_2023!F2355</f>
        <v>0</v>
      </c>
      <c r="G2355" s="912">
        <f>GLOBAL_DER_FEV_2023!G2355</f>
        <v>472.95947180000007</v>
      </c>
      <c r="H2355" s="901">
        <f>GLOBAL_DER_FEV_2023!H2355</f>
        <v>4962.6000000000004</v>
      </c>
      <c r="I2355" s="901">
        <f>GLOBAL_DER_FEV_2023!I2355</f>
        <v>5435.5594718000002</v>
      </c>
      <c r="J2355" s="902">
        <f>GLOBAL_DER_FEV_2023!J2355</f>
        <v>6526.48</v>
      </c>
      <c r="K2355" s="903" t="s">
        <v>15</v>
      </c>
      <c r="L2355" s="1137"/>
      <c r="M2355" s="1138">
        <f t="shared" si="177"/>
        <v>0</v>
      </c>
      <c r="N2355" s="1176">
        <f t="shared" si="181"/>
        <v>0</v>
      </c>
      <c r="O2355" s="905"/>
      <c r="Q2355" s="317" t="str">
        <f t="shared" si="178"/>
        <v/>
      </c>
      <c r="R2355" s="317" t="str">
        <f t="shared" si="179"/>
        <v/>
      </c>
      <c r="S2355" s="317" t="str">
        <f t="shared" si="180"/>
        <v/>
      </c>
      <c r="T2355" s="317" t="str">
        <f>GLOBAL_DER_FEV_2023!S2355</f>
        <v/>
      </c>
      <c r="W2355" s="582">
        <v>0</v>
      </c>
      <c r="X2355" s="580"/>
      <c r="Y2355" s="583">
        <f>IF(GLOBAL_DER_FEV_2023!W2355=0,0,IF(GLOBAL_DER_FEV_2023!W2355&gt;0,"c","b"))</f>
        <v>0</v>
      </c>
    </row>
    <row r="2356" spans="1:25" ht="15" hidden="1" customHeight="1" x14ac:dyDescent="0.2">
      <c r="A2356" s="317" t="s">
        <v>147</v>
      </c>
      <c r="B2356" s="895" t="s">
        <v>147</v>
      </c>
      <c r="C2356" s="896"/>
      <c r="D2356" s="906" t="s">
        <v>190</v>
      </c>
      <c r="E2356" s="907">
        <f>GLOBAL_DER_FEV_2023!E2356</f>
        <v>308</v>
      </c>
      <c r="F2356" s="908">
        <f>GLOBAL_DER_FEV_2023!F2356</f>
        <v>0.6411</v>
      </c>
      <c r="G2356" s="909">
        <f>GLOBAL_DER_FEV_2023!G2356</f>
        <v>159.03126600000002</v>
      </c>
      <c r="H2356" s="901">
        <f>GLOBAL_DER_FEV_2023!H2356</f>
        <v>0</v>
      </c>
      <c r="I2356" s="901">
        <f>GLOBAL_DER_FEV_2023!I2356</f>
        <v>0</v>
      </c>
      <c r="J2356" s="902">
        <f>GLOBAL_DER_FEV_2023!J2356</f>
        <v>0</v>
      </c>
      <c r="K2356" s="903"/>
      <c r="L2356" s="1177"/>
      <c r="M2356" s="1138">
        <f t="shared" si="177"/>
        <v>0</v>
      </c>
      <c r="N2356" s="1176">
        <f t="shared" si="181"/>
        <v>0</v>
      </c>
      <c r="O2356" s="905"/>
      <c r="P2356" s="36" t="str">
        <f>IF(N2355&gt;0,"xx",IF(N2355&gt;0,"xy",""))</f>
        <v/>
      </c>
      <c r="Q2356" s="317" t="str">
        <f t="shared" si="178"/>
        <v/>
      </c>
      <c r="R2356" s="317" t="str">
        <f t="shared" si="179"/>
        <v/>
      </c>
      <c r="S2356" s="317" t="str">
        <f t="shared" si="180"/>
        <v/>
      </c>
      <c r="T2356" s="317" t="str">
        <f>GLOBAL_DER_FEV_2023!S2356</f>
        <v/>
      </c>
      <c r="W2356" s="582">
        <v>0</v>
      </c>
      <c r="X2356" s="580"/>
      <c r="Y2356" s="583">
        <f>IF(GLOBAL_DER_FEV_2023!W2356=0,0,IF(GLOBAL_DER_FEV_2023!W2356&gt;0,"c","b"))</f>
        <v>0</v>
      </c>
    </row>
    <row r="2357" spans="1:25" ht="15" hidden="1" customHeight="1" x14ac:dyDescent="0.2">
      <c r="A2357" s="317" t="s">
        <v>147</v>
      </c>
      <c r="B2357" s="895" t="s">
        <v>147</v>
      </c>
      <c r="C2357" s="896"/>
      <c r="D2357" s="906" t="s">
        <v>229</v>
      </c>
      <c r="E2357" s="907">
        <f>GLOBAL_DER_FEV_2023!E2357</f>
        <v>150</v>
      </c>
      <c r="F2357" s="908">
        <f>GLOBAL_DER_FEV_2023!F2357</f>
        <v>1.8840500000000002</v>
      </c>
      <c r="G2357" s="949">
        <f>GLOBAL_DER_FEV_2023!G2357</f>
        <v>307.43927900000006</v>
      </c>
      <c r="H2357" s="901">
        <f>GLOBAL_DER_FEV_2023!H2357</f>
        <v>0</v>
      </c>
      <c r="I2357" s="901">
        <f>GLOBAL_DER_FEV_2023!I2357</f>
        <v>0</v>
      </c>
      <c r="J2357" s="902">
        <f>GLOBAL_DER_FEV_2023!J2357</f>
        <v>0</v>
      </c>
      <c r="K2357" s="903"/>
      <c r="L2357" s="1177"/>
      <c r="M2357" s="1138">
        <f t="shared" si="177"/>
        <v>0</v>
      </c>
      <c r="N2357" s="1176">
        <f t="shared" si="181"/>
        <v>0</v>
      </c>
      <c r="O2357" s="905"/>
      <c r="P2357" s="36" t="str">
        <f>IF(N2355&gt;0,"xx",IF(N2355&gt;0,"xy",""))</f>
        <v/>
      </c>
      <c r="Q2357" s="317" t="str">
        <f t="shared" si="178"/>
        <v/>
      </c>
      <c r="R2357" s="317" t="str">
        <f t="shared" si="179"/>
        <v/>
      </c>
      <c r="S2357" s="317" t="str">
        <f t="shared" si="180"/>
        <v/>
      </c>
      <c r="T2357" s="317" t="str">
        <f>GLOBAL_DER_FEV_2023!S2357</f>
        <v/>
      </c>
      <c r="W2357" s="582">
        <v>0</v>
      </c>
      <c r="X2357" s="580"/>
      <c r="Y2357" s="583">
        <f>IF(GLOBAL_DER_FEV_2023!W2357=0,0,IF(GLOBAL_DER_FEV_2023!W2357&gt;0,"c","b"))</f>
        <v>0</v>
      </c>
    </row>
    <row r="2358" spans="1:25" ht="15" hidden="1" customHeight="1" x14ac:dyDescent="0.2">
      <c r="A2358" s="317" t="s">
        <v>147</v>
      </c>
      <c r="B2358" s="895" t="s">
        <v>147</v>
      </c>
      <c r="C2358" s="896"/>
      <c r="D2358" s="906" t="s">
        <v>233</v>
      </c>
      <c r="E2358" s="907">
        <f>GLOBAL_DER_FEV_2023!E2358</f>
        <v>0.2</v>
      </c>
      <c r="F2358" s="908">
        <f>GLOBAL_DER_FEV_2023!F2358</f>
        <v>2.2422</v>
      </c>
      <c r="G2358" s="949">
        <f>GLOBAL_DER_FEV_2023!G2358</f>
        <v>6.4889267999999998</v>
      </c>
      <c r="H2358" s="901">
        <f>GLOBAL_DER_FEV_2023!H2358</f>
        <v>0</v>
      </c>
      <c r="I2358" s="901">
        <f>GLOBAL_DER_FEV_2023!I2358</f>
        <v>0</v>
      </c>
      <c r="J2358" s="902">
        <f>GLOBAL_DER_FEV_2023!J2358</f>
        <v>0</v>
      </c>
      <c r="K2358" s="903"/>
      <c r="L2358" s="1177"/>
      <c r="M2358" s="1138">
        <f t="shared" si="177"/>
        <v>0</v>
      </c>
      <c r="N2358" s="1176">
        <f t="shared" si="181"/>
        <v>0</v>
      </c>
      <c r="O2358" s="905"/>
      <c r="P2358" s="36" t="str">
        <f>IF(N2355&gt;0,"xx",IF(N2355&gt;0,"xy",""))</f>
        <v/>
      </c>
      <c r="Q2358" s="317" t="str">
        <f t="shared" si="178"/>
        <v/>
      </c>
      <c r="R2358" s="317" t="str">
        <f t="shared" si="179"/>
        <v/>
      </c>
      <c r="S2358" s="317" t="str">
        <f t="shared" si="180"/>
        <v/>
      </c>
      <c r="T2358" s="317" t="str">
        <f>GLOBAL_DER_FEV_2023!S2358</f>
        <v/>
      </c>
      <c r="W2358" s="582">
        <v>0</v>
      </c>
      <c r="X2358" s="580"/>
      <c r="Y2358" s="583">
        <f>IF(GLOBAL_DER_FEV_2023!W2358=0,0,IF(GLOBAL_DER_FEV_2023!W2358&gt;0,"c","b"))</f>
        <v>0</v>
      </c>
    </row>
    <row r="2359" spans="1:25" ht="15" hidden="1" customHeight="1" x14ac:dyDescent="0.2">
      <c r="A2359" s="317" t="s">
        <v>126</v>
      </c>
      <c r="B2359" s="895" t="s">
        <v>126</v>
      </c>
      <c r="C2359" s="896" t="s">
        <v>184</v>
      </c>
      <c r="D2359" s="906" t="s">
        <v>141</v>
      </c>
      <c r="E2359" s="907">
        <f>GLOBAL_DER_FEV_2023!E2359</f>
        <v>0</v>
      </c>
      <c r="F2359" s="908">
        <f>GLOBAL_DER_FEV_2023!F2359</f>
        <v>0</v>
      </c>
      <c r="G2359" s="912">
        <f>GLOBAL_DER_FEV_2023!G2359</f>
        <v>592.92383533999998</v>
      </c>
      <c r="H2359" s="901">
        <f>GLOBAL_DER_FEV_2023!H2359</f>
        <v>6034.4</v>
      </c>
      <c r="I2359" s="901">
        <f>GLOBAL_DER_FEV_2023!I2359</f>
        <v>6627.3238353399993</v>
      </c>
      <c r="J2359" s="902">
        <f>GLOBAL_DER_FEV_2023!J2359</f>
        <v>7957.43</v>
      </c>
      <c r="K2359" s="903" t="s">
        <v>15</v>
      </c>
      <c r="L2359" s="1137"/>
      <c r="M2359" s="1138">
        <f t="shared" si="177"/>
        <v>0</v>
      </c>
      <c r="N2359" s="1176">
        <f t="shared" si="181"/>
        <v>0</v>
      </c>
      <c r="O2359" s="905"/>
      <c r="Q2359" s="317" t="str">
        <f t="shared" si="178"/>
        <v/>
      </c>
      <c r="R2359" s="317" t="str">
        <f t="shared" si="179"/>
        <v/>
      </c>
      <c r="S2359" s="317" t="str">
        <f t="shared" si="180"/>
        <v/>
      </c>
      <c r="T2359" s="317" t="str">
        <f>GLOBAL_DER_FEV_2023!S2359</f>
        <v/>
      </c>
      <c r="W2359" s="582">
        <v>0</v>
      </c>
      <c r="X2359" s="580"/>
      <c r="Y2359" s="583">
        <f>IF(GLOBAL_DER_FEV_2023!W2359=0,0,IF(GLOBAL_DER_FEV_2023!W2359&gt;0,"c","b"))</f>
        <v>0</v>
      </c>
    </row>
    <row r="2360" spans="1:25" ht="15" hidden="1" customHeight="1" x14ac:dyDescent="0.2">
      <c r="A2360" s="317" t="s">
        <v>147</v>
      </c>
      <c r="B2360" s="895" t="s">
        <v>147</v>
      </c>
      <c r="C2360" s="896"/>
      <c r="D2360" s="906" t="s">
        <v>190</v>
      </c>
      <c r="E2360" s="907">
        <f>GLOBAL_DER_FEV_2023!E2360</f>
        <v>308</v>
      </c>
      <c r="F2360" s="908">
        <f>GLOBAL_DER_FEV_2023!F2360</f>
        <v>0.80657999999999996</v>
      </c>
      <c r="G2360" s="909">
        <f>GLOBAL_DER_FEV_2023!G2360</f>
        <v>200.0802348</v>
      </c>
      <c r="H2360" s="901">
        <f>GLOBAL_DER_FEV_2023!H2360</f>
        <v>0</v>
      </c>
      <c r="I2360" s="901">
        <f>GLOBAL_DER_FEV_2023!I2360</f>
        <v>0</v>
      </c>
      <c r="J2360" s="902">
        <f>GLOBAL_DER_FEV_2023!J2360</f>
        <v>0</v>
      </c>
      <c r="K2360" s="903"/>
      <c r="L2360" s="1177"/>
      <c r="M2360" s="1138">
        <f t="shared" si="177"/>
        <v>0</v>
      </c>
      <c r="N2360" s="1176">
        <f t="shared" si="181"/>
        <v>0</v>
      </c>
      <c r="O2360" s="905"/>
      <c r="P2360" s="36" t="str">
        <f>IF(N2359&gt;0,"xx",IF(N2359&gt;0,"xy",""))</f>
        <v/>
      </c>
      <c r="Q2360" s="317" t="str">
        <f t="shared" si="178"/>
        <v/>
      </c>
      <c r="R2360" s="317" t="str">
        <f t="shared" si="179"/>
        <v/>
      </c>
      <c r="S2360" s="317" t="str">
        <f t="shared" si="180"/>
        <v/>
      </c>
      <c r="T2360" s="317" t="str">
        <f>GLOBAL_DER_FEV_2023!S2360</f>
        <v/>
      </c>
      <c r="W2360" s="582">
        <v>0</v>
      </c>
      <c r="X2360" s="580"/>
      <c r="Y2360" s="583">
        <f>IF(GLOBAL_DER_FEV_2023!W2360=0,0,IF(GLOBAL_DER_FEV_2023!W2360&gt;0,"c","b"))</f>
        <v>0</v>
      </c>
    </row>
    <row r="2361" spans="1:25" ht="15" hidden="1" customHeight="1" x14ac:dyDescent="0.2">
      <c r="A2361" s="317" t="s">
        <v>147</v>
      </c>
      <c r="B2361" s="895" t="s">
        <v>147</v>
      </c>
      <c r="C2361" s="896"/>
      <c r="D2361" s="906" t="s">
        <v>229</v>
      </c>
      <c r="E2361" s="907">
        <f>GLOBAL_DER_FEV_2023!E2361</f>
        <v>150</v>
      </c>
      <c r="F2361" s="908">
        <f>GLOBAL_DER_FEV_2023!F2361</f>
        <v>2.3575999999999997</v>
      </c>
      <c r="G2361" s="949">
        <f>GLOBAL_DER_FEV_2023!G2361</f>
        <v>384.71316799999994</v>
      </c>
      <c r="H2361" s="901">
        <f>GLOBAL_DER_FEV_2023!H2361</f>
        <v>0</v>
      </c>
      <c r="I2361" s="901">
        <f>GLOBAL_DER_FEV_2023!I2361</f>
        <v>0</v>
      </c>
      <c r="J2361" s="902">
        <f>GLOBAL_DER_FEV_2023!J2361</f>
        <v>0</v>
      </c>
      <c r="K2361" s="903"/>
      <c r="L2361" s="1177"/>
      <c r="M2361" s="1138">
        <f t="shared" si="177"/>
        <v>0</v>
      </c>
      <c r="N2361" s="1176">
        <f t="shared" si="181"/>
        <v>0</v>
      </c>
      <c r="O2361" s="905"/>
      <c r="P2361" s="36" t="str">
        <f>IF(N2359&gt;0,"xx",IF(N2359&gt;0,"xy",""))</f>
        <v/>
      </c>
      <c r="Q2361" s="317" t="str">
        <f t="shared" si="178"/>
        <v/>
      </c>
      <c r="R2361" s="317" t="str">
        <f t="shared" si="179"/>
        <v/>
      </c>
      <c r="S2361" s="317" t="str">
        <f t="shared" si="180"/>
        <v/>
      </c>
      <c r="T2361" s="317" t="str">
        <f>GLOBAL_DER_FEV_2023!S2361</f>
        <v/>
      </c>
      <c r="W2361" s="582">
        <v>0</v>
      </c>
      <c r="X2361" s="580"/>
      <c r="Y2361" s="583">
        <f>IF(GLOBAL_DER_FEV_2023!W2361=0,0,IF(GLOBAL_DER_FEV_2023!W2361&gt;0,"c","b"))</f>
        <v>0</v>
      </c>
    </row>
    <row r="2362" spans="1:25" ht="15" hidden="1" customHeight="1" x14ac:dyDescent="0.2">
      <c r="A2362" s="317" t="s">
        <v>147</v>
      </c>
      <c r="B2362" s="895" t="s">
        <v>147</v>
      </c>
      <c r="C2362" s="896"/>
      <c r="D2362" s="906" t="s">
        <v>233</v>
      </c>
      <c r="E2362" s="907">
        <f>GLOBAL_DER_FEV_2023!E2362</f>
        <v>0.2</v>
      </c>
      <c r="F2362" s="908">
        <f>GLOBAL_DER_FEV_2023!F2362</f>
        <v>2.8094099999999997</v>
      </c>
      <c r="G2362" s="949">
        <f>GLOBAL_DER_FEV_2023!G2362</f>
        <v>8.1304325399999993</v>
      </c>
      <c r="H2362" s="901">
        <f>GLOBAL_DER_FEV_2023!H2362</f>
        <v>0</v>
      </c>
      <c r="I2362" s="901">
        <f>GLOBAL_DER_FEV_2023!I2362</f>
        <v>0</v>
      </c>
      <c r="J2362" s="902">
        <f>GLOBAL_DER_FEV_2023!J2362</f>
        <v>0</v>
      </c>
      <c r="K2362" s="903"/>
      <c r="L2362" s="1177"/>
      <c r="M2362" s="1138">
        <f t="shared" si="177"/>
        <v>0</v>
      </c>
      <c r="N2362" s="1176">
        <f t="shared" si="181"/>
        <v>0</v>
      </c>
      <c r="O2362" s="905"/>
      <c r="P2362" s="36" t="str">
        <f>IF(N2359&gt;0,"xx",IF(N2359&gt;0,"xy",""))</f>
        <v/>
      </c>
      <c r="Q2362" s="317" t="str">
        <f t="shared" si="178"/>
        <v/>
      </c>
      <c r="R2362" s="317" t="str">
        <f t="shared" si="179"/>
        <v/>
      </c>
      <c r="S2362" s="317" t="str">
        <f t="shared" si="180"/>
        <v/>
      </c>
      <c r="T2362" s="317" t="str">
        <f>GLOBAL_DER_FEV_2023!S2362</f>
        <v/>
      </c>
      <c r="W2362" s="582">
        <v>0</v>
      </c>
      <c r="X2362" s="580"/>
      <c r="Y2362" s="583">
        <f>IF(GLOBAL_DER_FEV_2023!W2362=0,0,IF(GLOBAL_DER_FEV_2023!W2362&gt;0,"c","b"))</f>
        <v>0</v>
      </c>
    </row>
    <row r="2363" spans="1:25" ht="15" hidden="1" customHeight="1" x14ac:dyDescent="0.2">
      <c r="A2363" s="317" t="s">
        <v>41</v>
      </c>
      <c r="B2363" s="895" t="s">
        <v>41</v>
      </c>
      <c r="C2363" s="896" t="s">
        <v>184</v>
      </c>
      <c r="D2363" s="906" t="s">
        <v>142</v>
      </c>
      <c r="E2363" s="907">
        <f>GLOBAL_DER_FEV_2023!E2363</f>
        <v>0</v>
      </c>
      <c r="F2363" s="908">
        <f>GLOBAL_DER_FEV_2023!F2363</f>
        <v>0</v>
      </c>
      <c r="G2363" s="912">
        <f>GLOBAL_DER_FEV_2023!G2363</f>
        <v>660.44456692100005</v>
      </c>
      <c r="H2363" s="901">
        <f>GLOBAL_DER_FEV_2023!H2363</f>
        <v>6626.99</v>
      </c>
      <c r="I2363" s="901">
        <f>GLOBAL_DER_FEV_2023!I2363</f>
        <v>7287.4345669209997</v>
      </c>
      <c r="J2363" s="902">
        <f>GLOBAL_DER_FEV_2023!J2363</f>
        <v>8750.02</v>
      </c>
      <c r="K2363" s="903" t="s">
        <v>15</v>
      </c>
      <c r="L2363" s="1137"/>
      <c r="M2363" s="1138">
        <f t="shared" si="177"/>
        <v>0</v>
      </c>
      <c r="N2363" s="1176">
        <f t="shared" si="181"/>
        <v>0</v>
      </c>
      <c r="O2363" s="905"/>
      <c r="Q2363" s="317" t="str">
        <f t="shared" si="178"/>
        <v/>
      </c>
      <c r="R2363" s="317" t="str">
        <f t="shared" si="179"/>
        <v/>
      </c>
      <c r="S2363" s="317" t="str">
        <f t="shared" si="180"/>
        <v/>
      </c>
      <c r="T2363" s="317" t="str">
        <f>GLOBAL_DER_FEV_2023!S2363</f>
        <v/>
      </c>
      <c r="W2363" s="582">
        <v>0</v>
      </c>
      <c r="X2363" s="580"/>
      <c r="Y2363" s="583">
        <f>IF(GLOBAL_DER_FEV_2023!W2363=0,0,IF(GLOBAL_DER_FEV_2023!W2363&gt;0,"c","b"))</f>
        <v>0</v>
      </c>
    </row>
    <row r="2364" spans="1:25" ht="15" hidden="1" customHeight="1" x14ac:dyDescent="0.2">
      <c r="A2364" s="317" t="s">
        <v>147</v>
      </c>
      <c r="B2364" s="895" t="s">
        <v>147</v>
      </c>
      <c r="C2364" s="896"/>
      <c r="D2364" s="906" t="s">
        <v>190</v>
      </c>
      <c r="E2364" s="907">
        <f>GLOBAL_DER_FEV_2023!E2364</f>
        <v>308</v>
      </c>
      <c r="F2364" s="908">
        <f>GLOBAL_DER_FEV_2023!F2364</f>
        <v>0.89753699999999992</v>
      </c>
      <c r="G2364" s="909">
        <f>GLOBAL_DER_FEV_2023!G2364</f>
        <v>222.64302821999999</v>
      </c>
      <c r="H2364" s="901">
        <f>GLOBAL_DER_FEV_2023!H2364</f>
        <v>0</v>
      </c>
      <c r="I2364" s="901">
        <f>GLOBAL_DER_FEV_2023!I2364</f>
        <v>0</v>
      </c>
      <c r="J2364" s="902">
        <f>GLOBAL_DER_FEV_2023!J2364</f>
        <v>0</v>
      </c>
      <c r="K2364" s="903"/>
      <c r="L2364" s="1177"/>
      <c r="M2364" s="1138">
        <f t="shared" si="177"/>
        <v>0</v>
      </c>
      <c r="N2364" s="1176">
        <f t="shared" si="181"/>
        <v>0</v>
      </c>
      <c r="O2364" s="905"/>
      <c r="P2364" s="36" t="str">
        <f>IF(N2363&gt;0,"xx",IF(N2363&gt;0,"xy",""))</f>
        <v/>
      </c>
      <c r="Q2364" s="317" t="str">
        <f t="shared" si="178"/>
        <v/>
      </c>
      <c r="R2364" s="317" t="str">
        <f t="shared" si="179"/>
        <v/>
      </c>
      <c r="S2364" s="317" t="str">
        <f t="shared" si="180"/>
        <v/>
      </c>
      <c r="T2364" s="317" t="str">
        <f>GLOBAL_DER_FEV_2023!S2364</f>
        <v/>
      </c>
      <c r="W2364" s="582">
        <v>0</v>
      </c>
      <c r="X2364" s="580"/>
      <c r="Y2364" s="583">
        <f>IF(GLOBAL_DER_FEV_2023!W2364=0,0,IF(GLOBAL_DER_FEV_2023!W2364&gt;0,"c","b"))</f>
        <v>0</v>
      </c>
    </row>
    <row r="2365" spans="1:25" ht="15" hidden="1" customHeight="1" x14ac:dyDescent="0.2">
      <c r="A2365" s="317" t="s">
        <v>147</v>
      </c>
      <c r="B2365" s="895" t="s">
        <v>147</v>
      </c>
      <c r="C2365" s="896"/>
      <c r="D2365" s="906" t="s">
        <v>229</v>
      </c>
      <c r="E2365" s="907">
        <f>GLOBAL_DER_FEV_2023!E2365</f>
        <v>150</v>
      </c>
      <c r="F2365" s="908">
        <f>GLOBAL_DER_FEV_2023!F2365</f>
        <v>2.6274289999999998</v>
      </c>
      <c r="G2365" s="949">
        <f>GLOBAL_DER_FEV_2023!G2365</f>
        <v>428.74386421999998</v>
      </c>
      <c r="H2365" s="901">
        <f>GLOBAL_DER_FEV_2023!H2365</f>
        <v>0</v>
      </c>
      <c r="I2365" s="901">
        <f>GLOBAL_DER_FEV_2023!I2365</f>
        <v>0</v>
      </c>
      <c r="J2365" s="902">
        <f>GLOBAL_DER_FEV_2023!J2365</f>
        <v>0</v>
      </c>
      <c r="K2365" s="903"/>
      <c r="L2365" s="1177"/>
      <c r="M2365" s="1138">
        <f t="shared" si="177"/>
        <v>0</v>
      </c>
      <c r="N2365" s="1176">
        <f t="shared" si="181"/>
        <v>0</v>
      </c>
      <c r="O2365" s="905"/>
      <c r="P2365" s="36" t="str">
        <f>IF(N2363&gt;0,"xx",IF(N2363&gt;0,"xy",""))</f>
        <v/>
      </c>
      <c r="Q2365" s="317" t="str">
        <f t="shared" si="178"/>
        <v/>
      </c>
      <c r="R2365" s="317" t="str">
        <f t="shared" si="179"/>
        <v/>
      </c>
      <c r="S2365" s="317" t="str">
        <f t="shared" si="180"/>
        <v/>
      </c>
      <c r="T2365" s="317" t="str">
        <f>GLOBAL_DER_FEV_2023!S2365</f>
        <v/>
      </c>
      <c r="W2365" s="582">
        <v>0</v>
      </c>
      <c r="X2365" s="580"/>
      <c r="Y2365" s="583">
        <f>IF(GLOBAL_DER_FEV_2023!W2365=0,0,IF(GLOBAL_DER_FEV_2023!W2365&gt;0,"c","b"))</f>
        <v>0</v>
      </c>
    </row>
    <row r="2366" spans="1:25" ht="15" hidden="1" customHeight="1" x14ac:dyDescent="0.2">
      <c r="A2366" s="317" t="s">
        <v>147</v>
      </c>
      <c r="B2366" s="895" t="s">
        <v>147</v>
      </c>
      <c r="C2366" s="896"/>
      <c r="D2366" s="906" t="s">
        <v>233</v>
      </c>
      <c r="E2366" s="907">
        <f>GLOBAL_DER_FEV_2023!E2366</f>
        <v>0.2</v>
      </c>
      <c r="F2366" s="908">
        <f>GLOBAL_DER_FEV_2023!F2366</f>
        <v>3.1298114999999997</v>
      </c>
      <c r="G2366" s="949">
        <f>GLOBAL_DER_FEV_2023!G2366</f>
        <v>9.0576744809999994</v>
      </c>
      <c r="H2366" s="901">
        <f>GLOBAL_DER_FEV_2023!H2366</f>
        <v>0</v>
      </c>
      <c r="I2366" s="901">
        <f>GLOBAL_DER_FEV_2023!I2366</f>
        <v>0</v>
      </c>
      <c r="J2366" s="902">
        <f>GLOBAL_DER_FEV_2023!J2366</f>
        <v>0</v>
      </c>
      <c r="K2366" s="903"/>
      <c r="L2366" s="1177"/>
      <c r="M2366" s="1138">
        <f t="shared" si="177"/>
        <v>0</v>
      </c>
      <c r="N2366" s="1176">
        <f t="shared" si="181"/>
        <v>0</v>
      </c>
      <c r="O2366" s="905"/>
      <c r="P2366" s="36" t="str">
        <f>IF(N2363&gt;0,"xx",IF(N2363&gt;0,"xy",""))</f>
        <v/>
      </c>
      <c r="Q2366" s="317" t="str">
        <f t="shared" si="178"/>
        <v/>
      </c>
      <c r="R2366" s="317" t="str">
        <f t="shared" si="179"/>
        <v/>
      </c>
      <c r="S2366" s="317" t="str">
        <f t="shared" si="180"/>
        <v/>
      </c>
      <c r="T2366" s="317" t="str">
        <f>GLOBAL_DER_FEV_2023!S2366</f>
        <v/>
      </c>
      <c r="W2366" s="582">
        <v>0</v>
      </c>
      <c r="X2366" s="580"/>
      <c r="Y2366" s="583">
        <f>IF(GLOBAL_DER_FEV_2023!W2366=0,0,IF(GLOBAL_DER_FEV_2023!W2366&gt;0,"c","b"))</f>
        <v>0</v>
      </c>
    </row>
    <row r="2367" spans="1:25" ht="15" hidden="1" customHeight="1" x14ac:dyDescent="0.2">
      <c r="A2367" s="317" t="s">
        <v>42</v>
      </c>
      <c r="B2367" s="895" t="s">
        <v>42</v>
      </c>
      <c r="C2367" s="896" t="s">
        <v>184</v>
      </c>
      <c r="D2367" s="906" t="s">
        <v>143</v>
      </c>
      <c r="E2367" s="907">
        <f>GLOBAL_DER_FEV_2023!E2367</f>
        <v>0</v>
      </c>
      <c r="F2367" s="908">
        <f>GLOBAL_DER_FEV_2023!F2367</f>
        <v>0</v>
      </c>
      <c r="G2367" s="912">
        <f>GLOBAL_DER_FEV_2023!G2367</f>
        <v>820.7050911591499</v>
      </c>
      <c r="H2367" s="901">
        <f>GLOBAL_DER_FEV_2023!H2367</f>
        <v>8092.02</v>
      </c>
      <c r="I2367" s="901">
        <f>GLOBAL_DER_FEV_2023!I2367</f>
        <v>8912.7250911591509</v>
      </c>
      <c r="J2367" s="902">
        <f>GLOBAL_DER_FEV_2023!J2367</f>
        <v>10701.51</v>
      </c>
      <c r="K2367" s="903" t="s">
        <v>15</v>
      </c>
      <c r="L2367" s="1137"/>
      <c r="M2367" s="1138">
        <f t="shared" si="177"/>
        <v>0</v>
      </c>
      <c r="N2367" s="1176">
        <f t="shared" si="181"/>
        <v>0</v>
      </c>
      <c r="O2367" s="905"/>
      <c r="Q2367" s="317" t="str">
        <f t="shared" si="178"/>
        <v/>
      </c>
      <c r="R2367" s="317" t="str">
        <f t="shared" si="179"/>
        <v/>
      </c>
      <c r="S2367" s="317" t="str">
        <f t="shared" si="180"/>
        <v/>
      </c>
      <c r="T2367" s="317" t="str">
        <f>GLOBAL_DER_FEV_2023!S2367</f>
        <v/>
      </c>
      <c r="W2367" s="582">
        <v>0</v>
      </c>
      <c r="X2367" s="580"/>
      <c r="Y2367" s="583">
        <f>IF(GLOBAL_DER_FEV_2023!W2367=0,0,IF(GLOBAL_DER_FEV_2023!W2367&gt;0,"c","b"))</f>
        <v>0</v>
      </c>
    </row>
    <row r="2368" spans="1:25" ht="15" hidden="1" customHeight="1" x14ac:dyDescent="0.2">
      <c r="A2368" s="317" t="s">
        <v>147</v>
      </c>
      <c r="B2368" s="895" t="s">
        <v>147</v>
      </c>
      <c r="C2368" s="896"/>
      <c r="D2368" s="906" t="s">
        <v>190</v>
      </c>
      <c r="E2368" s="907">
        <f>GLOBAL_DER_FEV_2023!E2368</f>
        <v>308</v>
      </c>
      <c r="F2368" s="908">
        <f>GLOBAL_DER_FEV_2023!F2368</f>
        <v>1.1179675499999999</v>
      </c>
      <c r="G2368" s="909">
        <f>GLOBAL_DER_FEV_2023!G2368</f>
        <v>277.323030453</v>
      </c>
      <c r="H2368" s="901">
        <f>GLOBAL_DER_FEV_2023!H2368</f>
        <v>0</v>
      </c>
      <c r="I2368" s="901">
        <f>GLOBAL_DER_FEV_2023!I2368</f>
        <v>0</v>
      </c>
      <c r="J2368" s="902">
        <f>GLOBAL_DER_FEV_2023!J2368</f>
        <v>0</v>
      </c>
      <c r="K2368" s="903"/>
      <c r="L2368" s="1177"/>
      <c r="M2368" s="1138">
        <f t="shared" si="177"/>
        <v>0</v>
      </c>
      <c r="N2368" s="1176">
        <f t="shared" si="181"/>
        <v>0</v>
      </c>
      <c r="O2368" s="905"/>
      <c r="P2368" s="36" t="str">
        <f>IF(N2367&gt;0,"xx",IF(N2367&gt;0,"xy",""))</f>
        <v/>
      </c>
      <c r="Q2368" s="317" t="str">
        <f t="shared" si="178"/>
        <v/>
      </c>
      <c r="R2368" s="317" t="str">
        <f t="shared" si="179"/>
        <v/>
      </c>
      <c r="S2368" s="317" t="str">
        <f t="shared" si="180"/>
        <v/>
      </c>
      <c r="T2368" s="317" t="str">
        <f>GLOBAL_DER_FEV_2023!S2368</f>
        <v/>
      </c>
      <c r="W2368" s="582">
        <v>0</v>
      </c>
      <c r="X2368" s="580"/>
      <c r="Y2368" s="583">
        <f>IF(GLOBAL_DER_FEV_2023!W2368=0,0,IF(GLOBAL_DER_FEV_2023!W2368&gt;0,"c","b"))</f>
        <v>0</v>
      </c>
    </row>
    <row r="2369" spans="1:25" ht="15" hidden="1" customHeight="1" x14ac:dyDescent="0.2">
      <c r="A2369" s="317" t="s">
        <v>147</v>
      </c>
      <c r="B2369" s="895" t="s">
        <v>147</v>
      </c>
      <c r="C2369" s="896"/>
      <c r="D2369" s="906" t="s">
        <v>229</v>
      </c>
      <c r="E2369" s="907">
        <f>GLOBAL_DER_FEV_2023!E2369</f>
        <v>150</v>
      </c>
      <c r="F2369" s="908">
        <f>GLOBAL_DER_FEV_2023!F2369</f>
        <v>3.2610033499999997</v>
      </c>
      <c r="G2369" s="949">
        <f>GLOBAL_DER_FEV_2023!G2369</f>
        <v>532.13052665299995</v>
      </c>
      <c r="H2369" s="901">
        <f>GLOBAL_DER_FEV_2023!H2369</f>
        <v>0</v>
      </c>
      <c r="I2369" s="901">
        <f>GLOBAL_DER_FEV_2023!I2369</f>
        <v>0</v>
      </c>
      <c r="J2369" s="902">
        <f>GLOBAL_DER_FEV_2023!J2369</f>
        <v>0</v>
      </c>
      <c r="K2369" s="903"/>
      <c r="L2369" s="1177"/>
      <c r="M2369" s="1138">
        <f t="shared" si="177"/>
        <v>0</v>
      </c>
      <c r="N2369" s="1176">
        <f t="shared" si="181"/>
        <v>0</v>
      </c>
      <c r="O2369" s="905"/>
      <c r="P2369" s="36" t="str">
        <f>IF(N2367&gt;0,"xx",IF(N2367&gt;0,"xy",""))</f>
        <v/>
      </c>
      <c r="Q2369" s="317" t="str">
        <f t="shared" si="178"/>
        <v/>
      </c>
      <c r="R2369" s="317" t="str">
        <f t="shared" si="179"/>
        <v/>
      </c>
      <c r="S2369" s="317" t="str">
        <f t="shared" si="180"/>
        <v/>
      </c>
      <c r="T2369" s="317" t="str">
        <f>GLOBAL_DER_FEV_2023!S2369</f>
        <v/>
      </c>
      <c r="W2369" s="582">
        <v>0</v>
      </c>
      <c r="X2369" s="580"/>
      <c r="Y2369" s="583">
        <f>IF(GLOBAL_DER_FEV_2023!W2369=0,0,IF(GLOBAL_DER_FEV_2023!W2369&gt;0,"c","b"))</f>
        <v>0</v>
      </c>
    </row>
    <row r="2370" spans="1:25" ht="15" hidden="1" customHeight="1" x14ac:dyDescent="0.2">
      <c r="A2370" s="317" t="s">
        <v>147</v>
      </c>
      <c r="B2370" s="895" t="s">
        <v>147</v>
      </c>
      <c r="C2370" s="896"/>
      <c r="D2370" s="906" t="s">
        <v>233</v>
      </c>
      <c r="E2370" s="907">
        <f>GLOBAL_DER_FEV_2023!E2370</f>
        <v>0.2</v>
      </c>
      <c r="F2370" s="908">
        <f>GLOBAL_DER_FEV_2023!F2370</f>
        <v>3.8878832249999999</v>
      </c>
      <c r="G2370" s="949">
        <f>GLOBAL_DER_FEV_2023!G2370</f>
        <v>11.251534053150001</v>
      </c>
      <c r="H2370" s="901">
        <f>GLOBAL_DER_FEV_2023!H2370</f>
        <v>0</v>
      </c>
      <c r="I2370" s="901">
        <f>GLOBAL_DER_FEV_2023!I2370</f>
        <v>0</v>
      </c>
      <c r="J2370" s="902">
        <f>GLOBAL_DER_FEV_2023!J2370</f>
        <v>0</v>
      </c>
      <c r="K2370" s="903"/>
      <c r="L2370" s="1177"/>
      <c r="M2370" s="1138">
        <f t="shared" si="177"/>
        <v>0</v>
      </c>
      <c r="N2370" s="1176">
        <f t="shared" si="181"/>
        <v>0</v>
      </c>
      <c r="O2370" s="905"/>
      <c r="P2370" s="36" t="str">
        <f>IF(N2367&gt;0,"xx",IF(N2367&gt;0,"xy",""))</f>
        <v/>
      </c>
      <c r="Q2370" s="317" t="str">
        <f t="shared" si="178"/>
        <v/>
      </c>
      <c r="R2370" s="317" t="str">
        <f t="shared" si="179"/>
        <v/>
      </c>
      <c r="S2370" s="317" t="str">
        <f t="shared" si="180"/>
        <v/>
      </c>
      <c r="T2370" s="317" t="str">
        <f>GLOBAL_DER_FEV_2023!S2370</f>
        <v/>
      </c>
      <c r="W2370" s="582">
        <v>0</v>
      </c>
      <c r="X2370" s="580"/>
      <c r="Y2370" s="583">
        <f>IF(GLOBAL_DER_FEV_2023!W2370=0,0,IF(GLOBAL_DER_FEV_2023!W2370&gt;0,"c","b"))</f>
        <v>0</v>
      </c>
    </row>
    <row r="2371" spans="1:25" ht="15" hidden="1" customHeight="1" x14ac:dyDescent="0.2">
      <c r="A2371" s="317" t="s">
        <v>43</v>
      </c>
      <c r="B2371" s="895" t="s">
        <v>43</v>
      </c>
      <c r="C2371" s="896" t="s">
        <v>184</v>
      </c>
      <c r="D2371" s="906" t="s">
        <v>387</v>
      </c>
      <c r="E2371" s="907">
        <f>GLOBAL_DER_FEV_2023!E2371</f>
        <v>0</v>
      </c>
      <c r="F2371" s="908">
        <f>GLOBAL_DER_FEV_2023!F2371</f>
        <v>0</v>
      </c>
      <c r="G2371" s="912">
        <f>GLOBAL_DER_FEV_2023!G2371</f>
        <v>80.258073720000013</v>
      </c>
      <c r="H2371" s="901">
        <f>GLOBAL_DER_FEV_2023!H2371</f>
        <v>749.96</v>
      </c>
      <c r="I2371" s="901">
        <f>GLOBAL_DER_FEV_2023!I2371</f>
        <v>830.21807372000001</v>
      </c>
      <c r="J2371" s="902">
        <f>GLOBAL_DER_FEV_2023!J2371</f>
        <v>996.84</v>
      </c>
      <c r="K2371" s="903" t="s">
        <v>15</v>
      </c>
      <c r="L2371" s="1137"/>
      <c r="M2371" s="1138">
        <f t="shared" si="177"/>
        <v>0</v>
      </c>
      <c r="N2371" s="1176">
        <f t="shared" si="181"/>
        <v>0</v>
      </c>
      <c r="O2371" s="905"/>
      <c r="Q2371" s="317" t="str">
        <f t="shared" si="178"/>
        <v/>
      </c>
      <c r="R2371" s="317" t="str">
        <f t="shared" si="179"/>
        <v/>
      </c>
      <c r="S2371" s="317" t="str">
        <f t="shared" si="180"/>
        <v/>
      </c>
      <c r="T2371" s="317" t="str">
        <f>GLOBAL_DER_FEV_2023!S2371</f>
        <v/>
      </c>
      <c r="W2371" s="582">
        <v>0</v>
      </c>
      <c r="X2371" s="580"/>
      <c r="Y2371" s="583">
        <f>IF(GLOBAL_DER_FEV_2023!W2371=0,0,IF(GLOBAL_DER_FEV_2023!W2371&gt;0,"c","b"))</f>
        <v>0</v>
      </c>
    </row>
    <row r="2372" spans="1:25" ht="15" hidden="1" customHeight="1" x14ac:dyDescent="0.2">
      <c r="A2372" s="317" t="s">
        <v>147</v>
      </c>
      <c r="B2372" s="895" t="s">
        <v>147</v>
      </c>
      <c r="C2372" s="896"/>
      <c r="D2372" s="906" t="s">
        <v>190</v>
      </c>
      <c r="E2372" s="907">
        <f>GLOBAL_DER_FEV_2023!E2372</f>
        <v>308</v>
      </c>
      <c r="F2372" s="908">
        <f>GLOBAL_DER_FEV_2023!F2372</f>
        <v>0.11253000000000002</v>
      </c>
      <c r="G2372" s="909">
        <f>GLOBAL_DER_FEV_2023!G2372</f>
        <v>27.914191800000005</v>
      </c>
      <c r="H2372" s="901">
        <f>GLOBAL_DER_FEV_2023!H2372</f>
        <v>0</v>
      </c>
      <c r="I2372" s="901">
        <f>GLOBAL_DER_FEV_2023!I2372</f>
        <v>0</v>
      </c>
      <c r="J2372" s="902">
        <f>GLOBAL_DER_FEV_2023!J2372</f>
        <v>0</v>
      </c>
      <c r="K2372" s="903"/>
      <c r="L2372" s="1177"/>
      <c r="M2372" s="1138">
        <f t="shared" si="177"/>
        <v>0</v>
      </c>
      <c r="N2372" s="1176">
        <f t="shared" si="181"/>
        <v>0</v>
      </c>
      <c r="O2372" s="905"/>
      <c r="P2372" s="36" t="str">
        <f>IF(N2371&gt;0,"xx",IF(N2371&gt;0,"xy",""))</f>
        <v/>
      </c>
      <c r="Q2372" s="317" t="str">
        <f t="shared" si="178"/>
        <v/>
      </c>
      <c r="R2372" s="317" t="str">
        <f t="shared" si="179"/>
        <v/>
      </c>
      <c r="S2372" s="317" t="str">
        <f t="shared" si="180"/>
        <v/>
      </c>
      <c r="T2372" s="317" t="str">
        <f>GLOBAL_DER_FEV_2023!S2372</f>
        <v/>
      </c>
      <c r="W2372" s="582">
        <v>0</v>
      </c>
      <c r="X2372" s="580"/>
      <c r="Y2372" s="583">
        <f>IF(GLOBAL_DER_FEV_2023!W2372=0,0,IF(GLOBAL_DER_FEV_2023!W2372&gt;0,"c","b"))</f>
        <v>0</v>
      </c>
    </row>
    <row r="2373" spans="1:25" ht="15" hidden="1" customHeight="1" x14ac:dyDescent="0.2">
      <c r="A2373" s="317" t="s">
        <v>147</v>
      </c>
      <c r="B2373" s="895" t="s">
        <v>147</v>
      </c>
      <c r="C2373" s="896"/>
      <c r="D2373" s="906" t="s">
        <v>229</v>
      </c>
      <c r="E2373" s="907">
        <f>GLOBAL_DER_FEV_2023!E2373</f>
        <v>150</v>
      </c>
      <c r="F2373" s="908">
        <f>GLOBAL_DER_FEV_2023!F2373</f>
        <v>0.31406100000000003</v>
      </c>
      <c r="G2373" s="949">
        <f>GLOBAL_DER_FEV_2023!G2373</f>
        <v>51.248473980000007</v>
      </c>
      <c r="H2373" s="901">
        <f>GLOBAL_DER_FEV_2023!H2373</f>
        <v>0</v>
      </c>
      <c r="I2373" s="901">
        <f>GLOBAL_DER_FEV_2023!I2373</f>
        <v>0</v>
      </c>
      <c r="J2373" s="902">
        <f>GLOBAL_DER_FEV_2023!J2373</f>
        <v>0</v>
      </c>
      <c r="K2373" s="903"/>
      <c r="L2373" s="1177"/>
      <c r="M2373" s="1138">
        <f t="shared" si="177"/>
        <v>0</v>
      </c>
      <c r="N2373" s="1176">
        <f t="shared" si="181"/>
        <v>0</v>
      </c>
      <c r="O2373" s="905"/>
      <c r="P2373" s="36" t="str">
        <f>IF(N2371&gt;0,"xx",IF(N2371&gt;0,"xy",""))</f>
        <v/>
      </c>
      <c r="Q2373" s="317" t="str">
        <f t="shared" si="178"/>
        <v/>
      </c>
      <c r="R2373" s="317" t="str">
        <f t="shared" si="179"/>
        <v/>
      </c>
      <c r="S2373" s="317" t="str">
        <f t="shared" si="180"/>
        <v/>
      </c>
      <c r="T2373" s="317" t="str">
        <f>GLOBAL_DER_FEV_2023!S2373</f>
        <v/>
      </c>
      <c r="W2373" s="582">
        <v>0</v>
      </c>
      <c r="X2373" s="580"/>
      <c r="Y2373" s="583">
        <f>IF(GLOBAL_DER_FEV_2023!W2373=0,0,IF(GLOBAL_DER_FEV_2023!W2373&gt;0,"c","b"))</f>
        <v>0</v>
      </c>
    </row>
    <row r="2374" spans="1:25" ht="15" hidden="1" customHeight="1" x14ac:dyDescent="0.2">
      <c r="A2374" s="317" t="s">
        <v>147</v>
      </c>
      <c r="B2374" s="895" t="s">
        <v>147</v>
      </c>
      <c r="C2374" s="896"/>
      <c r="D2374" s="906" t="s">
        <v>233</v>
      </c>
      <c r="E2374" s="907">
        <f>GLOBAL_DER_FEV_2023!E2374</f>
        <v>0.2</v>
      </c>
      <c r="F2374" s="908">
        <f>GLOBAL_DER_FEV_2023!F2374</f>
        <v>0.37851000000000007</v>
      </c>
      <c r="G2374" s="949">
        <f>GLOBAL_DER_FEV_2023!G2374</f>
        <v>1.0954079400000003</v>
      </c>
      <c r="H2374" s="901">
        <f>GLOBAL_DER_FEV_2023!H2374</f>
        <v>0</v>
      </c>
      <c r="I2374" s="901">
        <f>GLOBAL_DER_FEV_2023!I2374</f>
        <v>0</v>
      </c>
      <c r="J2374" s="902">
        <f>GLOBAL_DER_FEV_2023!J2374</f>
        <v>0</v>
      </c>
      <c r="K2374" s="903"/>
      <c r="L2374" s="1177"/>
      <c r="M2374" s="1138">
        <f t="shared" si="177"/>
        <v>0</v>
      </c>
      <c r="N2374" s="1176">
        <f t="shared" si="181"/>
        <v>0</v>
      </c>
      <c r="O2374" s="905"/>
      <c r="P2374" s="36" t="str">
        <f>IF(N2371&gt;0,"xx",IF(N2371&gt;0,"xy",""))</f>
        <v/>
      </c>
      <c r="Q2374" s="317" t="str">
        <f t="shared" si="178"/>
        <v/>
      </c>
      <c r="R2374" s="317" t="str">
        <f t="shared" si="179"/>
        <v/>
      </c>
      <c r="S2374" s="317" t="str">
        <f t="shared" si="180"/>
        <v/>
      </c>
      <c r="T2374" s="317" t="str">
        <f>GLOBAL_DER_FEV_2023!S2374</f>
        <v/>
      </c>
      <c r="W2374" s="582">
        <v>0</v>
      </c>
      <c r="X2374" s="580"/>
      <c r="Y2374" s="583">
        <f>IF(GLOBAL_DER_FEV_2023!W2374=0,0,IF(GLOBAL_DER_FEV_2023!W2374&gt;0,"c","b"))</f>
        <v>0</v>
      </c>
    </row>
    <row r="2375" spans="1:25" ht="15" hidden="1" customHeight="1" x14ac:dyDescent="0.2">
      <c r="A2375" s="317" t="s">
        <v>44</v>
      </c>
      <c r="B2375" s="895" t="s">
        <v>44</v>
      </c>
      <c r="C2375" s="896" t="s">
        <v>184</v>
      </c>
      <c r="D2375" s="906" t="s">
        <v>388</v>
      </c>
      <c r="E2375" s="907">
        <f>GLOBAL_DER_FEV_2023!E2375</f>
        <v>0</v>
      </c>
      <c r="F2375" s="908">
        <f>GLOBAL_DER_FEV_2023!F2375</f>
        <v>0</v>
      </c>
      <c r="G2375" s="912">
        <f>GLOBAL_DER_FEV_2023!G2375</f>
        <v>87.318901320000023</v>
      </c>
      <c r="H2375" s="901">
        <f>GLOBAL_DER_FEV_2023!H2375</f>
        <v>850.96</v>
      </c>
      <c r="I2375" s="901">
        <f>GLOBAL_DER_FEV_2023!I2375</f>
        <v>938.27890132000005</v>
      </c>
      <c r="J2375" s="902">
        <f>GLOBAL_DER_FEV_2023!J2375</f>
        <v>1126.5899999999999</v>
      </c>
      <c r="K2375" s="903" t="s">
        <v>15</v>
      </c>
      <c r="L2375" s="1137"/>
      <c r="M2375" s="1138">
        <f t="shared" si="177"/>
        <v>0</v>
      </c>
      <c r="N2375" s="1176">
        <f t="shared" si="181"/>
        <v>0</v>
      </c>
      <c r="O2375" s="905"/>
      <c r="Q2375" s="317" t="str">
        <f t="shared" si="178"/>
        <v/>
      </c>
      <c r="R2375" s="317" t="str">
        <f t="shared" si="179"/>
        <v/>
      </c>
      <c r="S2375" s="317" t="str">
        <f t="shared" si="180"/>
        <v/>
      </c>
      <c r="T2375" s="317" t="str">
        <f>GLOBAL_DER_FEV_2023!S2375</f>
        <v/>
      </c>
      <c r="W2375" s="582">
        <v>0</v>
      </c>
      <c r="X2375" s="580"/>
      <c r="Y2375" s="583">
        <f>IF(GLOBAL_DER_FEV_2023!W2375=0,0,IF(GLOBAL_DER_FEV_2023!W2375&gt;0,"c","b"))</f>
        <v>0</v>
      </c>
    </row>
    <row r="2376" spans="1:25" ht="15" hidden="1" customHeight="1" x14ac:dyDescent="0.2">
      <c r="A2376" s="317" t="s">
        <v>147</v>
      </c>
      <c r="B2376" s="895" t="s">
        <v>147</v>
      </c>
      <c r="C2376" s="896"/>
      <c r="D2376" s="906" t="s">
        <v>190</v>
      </c>
      <c r="E2376" s="907">
        <f>GLOBAL_DER_FEV_2023!E2376</f>
        <v>308</v>
      </c>
      <c r="F2376" s="908">
        <f>GLOBAL_DER_FEV_2023!F2376</f>
        <v>0.12243000000000002</v>
      </c>
      <c r="G2376" s="909">
        <f>GLOBAL_DER_FEV_2023!G2376</f>
        <v>30.369985800000006</v>
      </c>
      <c r="H2376" s="901">
        <f>GLOBAL_DER_FEV_2023!H2376</f>
        <v>0</v>
      </c>
      <c r="I2376" s="901">
        <f>GLOBAL_DER_FEV_2023!I2376</f>
        <v>0</v>
      </c>
      <c r="J2376" s="902">
        <f>GLOBAL_DER_FEV_2023!J2376</f>
        <v>0</v>
      </c>
      <c r="K2376" s="903"/>
      <c r="L2376" s="1177"/>
      <c r="M2376" s="1138">
        <f t="shared" si="177"/>
        <v>0</v>
      </c>
      <c r="N2376" s="1176">
        <f t="shared" si="181"/>
        <v>0</v>
      </c>
      <c r="O2376" s="905"/>
      <c r="P2376" s="36" t="str">
        <f>IF(N2375&gt;0,"xx",IF(N2375&gt;0,"xy",""))</f>
        <v/>
      </c>
      <c r="Q2376" s="317" t="str">
        <f t="shared" si="178"/>
        <v/>
      </c>
      <c r="R2376" s="317" t="str">
        <f t="shared" si="179"/>
        <v/>
      </c>
      <c r="S2376" s="317" t="str">
        <f t="shared" si="180"/>
        <v/>
      </c>
      <c r="T2376" s="317" t="str">
        <f>GLOBAL_DER_FEV_2023!S2376</f>
        <v/>
      </c>
      <c r="W2376" s="582">
        <v>0</v>
      </c>
      <c r="X2376" s="580"/>
      <c r="Y2376" s="583">
        <f>IF(GLOBAL_DER_FEV_2023!W2376=0,0,IF(GLOBAL_DER_FEV_2023!W2376&gt;0,"c","b"))</f>
        <v>0</v>
      </c>
    </row>
    <row r="2377" spans="1:25" ht="15" hidden="1" customHeight="1" x14ac:dyDescent="0.2">
      <c r="A2377" s="317" t="s">
        <v>147</v>
      </c>
      <c r="B2377" s="895" t="s">
        <v>147</v>
      </c>
      <c r="C2377" s="896"/>
      <c r="D2377" s="906" t="s">
        <v>229</v>
      </c>
      <c r="E2377" s="907">
        <f>GLOBAL_DER_FEV_2023!E2377</f>
        <v>150</v>
      </c>
      <c r="F2377" s="908">
        <f>GLOBAL_DER_FEV_2023!F2377</f>
        <v>0.34169100000000008</v>
      </c>
      <c r="G2377" s="949">
        <f>GLOBAL_DER_FEV_2023!G2377</f>
        <v>55.757137380000017</v>
      </c>
      <c r="H2377" s="901">
        <f>GLOBAL_DER_FEV_2023!H2377</f>
        <v>0</v>
      </c>
      <c r="I2377" s="901">
        <f>GLOBAL_DER_FEV_2023!I2377</f>
        <v>0</v>
      </c>
      <c r="J2377" s="902">
        <f>GLOBAL_DER_FEV_2023!J2377</f>
        <v>0</v>
      </c>
      <c r="K2377" s="903"/>
      <c r="L2377" s="1177"/>
      <c r="M2377" s="1138">
        <f t="shared" si="177"/>
        <v>0</v>
      </c>
      <c r="N2377" s="1176">
        <f t="shared" si="181"/>
        <v>0</v>
      </c>
      <c r="O2377" s="905"/>
      <c r="P2377" s="36" t="str">
        <f>IF(N2375&gt;0,"xx",IF(N2375&gt;0,"xy",""))</f>
        <v/>
      </c>
      <c r="Q2377" s="317" t="str">
        <f t="shared" si="178"/>
        <v/>
      </c>
      <c r="R2377" s="317" t="str">
        <f t="shared" si="179"/>
        <v/>
      </c>
      <c r="S2377" s="317" t="str">
        <f t="shared" si="180"/>
        <v/>
      </c>
      <c r="T2377" s="317" t="str">
        <f>GLOBAL_DER_FEV_2023!S2377</f>
        <v/>
      </c>
      <c r="W2377" s="582">
        <v>0</v>
      </c>
      <c r="X2377" s="580"/>
      <c r="Y2377" s="583">
        <f>IF(GLOBAL_DER_FEV_2023!W2377=0,0,IF(GLOBAL_DER_FEV_2023!W2377&gt;0,"c","b"))</f>
        <v>0</v>
      </c>
    </row>
    <row r="2378" spans="1:25" ht="15" hidden="1" customHeight="1" x14ac:dyDescent="0.2">
      <c r="A2378" s="317" t="s">
        <v>147</v>
      </c>
      <c r="B2378" s="895" t="s">
        <v>147</v>
      </c>
      <c r="C2378" s="896"/>
      <c r="D2378" s="906" t="s">
        <v>233</v>
      </c>
      <c r="E2378" s="907">
        <f>GLOBAL_DER_FEV_2023!E2378</f>
        <v>0.2</v>
      </c>
      <c r="F2378" s="908">
        <f>GLOBAL_DER_FEV_2023!F2378</f>
        <v>0.41181000000000012</v>
      </c>
      <c r="G2378" s="949">
        <f>GLOBAL_DER_FEV_2023!G2378</f>
        <v>1.1917781400000005</v>
      </c>
      <c r="H2378" s="901">
        <f>GLOBAL_DER_FEV_2023!H2378</f>
        <v>0</v>
      </c>
      <c r="I2378" s="901">
        <f>GLOBAL_DER_FEV_2023!I2378</f>
        <v>0</v>
      </c>
      <c r="J2378" s="902">
        <f>GLOBAL_DER_FEV_2023!J2378</f>
        <v>0</v>
      </c>
      <c r="K2378" s="903"/>
      <c r="L2378" s="1177"/>
      <c r="M2378" s="1138">
        <f t="shared" si="177"/>
        <v>0</v>
      </c>
      <c r="N2378" s="1176">
        <f t="shared" si="181"/>
        <v>0</v>
      </c>
      <c r="O2378" s="905"/>
      <c r="P2378" s="36" t="str">
        <f>IF(N2375&gt;0,"xx",IF(N2375&gt;0,"xy",""))</f>
        <v/>
      </c>
      <c r="Q2378" s="317" t="str">
        <f t="shared" si="178"/>
        <v/>
      </c>
      <c r="R2378" s="317" t="str">
        <f t="shared" si="179"/>
        <v/>
      </c>
      <c r="S2378" s="317" t="str">
        <f t="shared" si="180"/>
        <v/>
      </c>
      <c r="T2378" s="317" t="str">
        <f>GLOBAL_DER_FEV_2023!S2378</f>
        <v/>
      </c>
      <c r="W2378" s="582">
        <v>0</v>
      </c>
      <c r="X2378" s="580"/>
      <c r="Y2378" s="583">
        <f>IF(GLOBAL_DER_FEV_2023!W2378=0,0,IF(GLOBAL_DER_FEV_2023!W2378&gt;0,"c","b"))</f>
        <v>0</v>
      </c>
    </row>
    <row r="2379" spans="1:25" ht="15" hidden="1" customHeight="1" x14ac:dyDescent="0.2">
      <c r="A2379" s="317" t="s">
        <v>45</v>
      </c>
      <c r="B2379" s="895" t="s">
        <v>45</v>
      </c>
      <c r="C2379" s="896" t="s">
        <v>184</v>
      </c>
      <c r="D2379" s="906" t="s">
        <v>389</v>
      </c>
      <c r="E2379" s="907">
        <f>GLOBAL_DER_FEV_2023!E2379</f>
        <v>0</v>
      </c>
      <c r="F2379" s="908">
        <f>GLOBAL_DER_FEV_2023!F2379</f>
        <v>0</v>
      </c>
      <c r="G2379" s="912">
        <f>GLOBAL_DER_FEV_2023!G2379</f>
        <v>94.379728920000005</v>
      </c>
      <c r="H2379" s="901">
        <f>GLOBAL_DER_FEV_2023!H2379</f>
        <v>971.4</v>
      </c>
      <c r="I2379" s="901">
        <f>GLOBAL_DER_FEV_2023!I2379</f>
        <v>1065.77972892</v>
      </c>
      <c r="J2379" s="902">
        <f>GLOBAL_DER_FEV_2023!J2379</f>
        <v>1279.68</v>
      </c>
      <c r="K2379" s="903" t="s">
        <v>15</v>
      </c>
      <c r="L2379" s="1137"/>
      <c r="M2379" s="1138">
        <f t="shared" si="177"/>
        <v>0</v>
      </c>
      <c r="N2379" s="1176">
        <f t="shared" si="181"/>
        <v>0</v>
      </c>
      <c r="O2379" s="905"/>
      <c r="Q2379" s="317" t="str">
        <f t="shared" si="178"/>
        <v/>
      </c>
      <c r="R2379" s="317" t="str">
        <f t="shared" si="179"/>
        <v/>
      </c>
      <c r="S2379" s="317" t="str">
        <f t="shared" si="180"/>
        <v/>
      </c>
      <c r="T2379" s="317" t="str">
        <f>GLOBAL_DER_FEV_2023!S2379</f>
        <v/>
      </c>
      <c r="W2379" s="582">
        <v>0</v>
      </c>
      <c r="X2379" s="580"/>
      <c r="Y2379" s="583">
        <f>IF(GLOBAL_DER_FEV_2023!W2379=0,0,IF(GLOBAL_DER_FEV_2023!W2379&gt;0,"c","b"))</f>
        <v>0</v>
      </c>
    </row>
    <row r="2380" spans="1:25" ht="15" hidden="1" customHeight="1" x14ac:dyDescent="0.2">
      <c r="A2380" s="317" t="s">
        <v>147</v>
      </c>
      <c r="B2380" s="895" t="s">
        <v>147</v>
      </c>
      <c r="C2380" s="896"/>
      <c r="D2380" s="906" t="s">
        <v>190</v>
      </c>
      <c r="E2380" s="907">
        <f>GLOBAL_DER_FEV_2023!E2380</f>
        <v>308</v>
      </c>
      <c r="F2380" s="908">
        <f>GLOBAL_DER_FEV_2023!F2380</f>
        <v>0.13233</v>
      </c>
      <c r="G2380" s="909">
        <f>GLOBAL_DER_FEV_2023!G2380</f>
        <v>32.825779799999999</v>
      </c>
      <c r="H2380" s="901">
        <f>GLOBAL_DER_FEV_2023!H2380</f>
        <v>0</v>
      </c>
      <c r="I2380" s="901">
        <f>GLOBAL_DER_FEV_2023!I2380</f>
        <v>0</v>
      </c>
      <c r="J2380" s="902">
        <f>GLOBAL_DER_FEV_2023!J2380</f>
        <v>0</v>
      </c>
      <c r="K2380" s="903"/>
      <c r="L2380" s="1177"/>
      <c r="M2380" s="1138">
        <f t="shared" si="177"/>
        <v>0</v>
      </c>
      <c r="N2380" s="1176">
        <f t="shared" si="181"/>
        <v>0</v>
      </c>
      <c r="O2380" s="905"/>
      <c r="P2380" s="36" t="str">
        <f>IF(N2379&gt;0,"xx",IF(N2379&gt;0,"xy",""))</f>
        <v/>
      </c>
      <c r="Q2380" s="317" t="str">
        <f t="shared" si="178"/>
        <v/>
      </c>
      <c r="R2380" s="317" t="str">
        <f t="shared" si="179"/>
        <v/>
      </c>
      <c r="S2380" s="317" t="str">
        <f t="shared" si="180"/>
        <v/>
      </c>
      <c r="T2380" s="317" t="str">
        <f>GLOBAL_DER_FEV_2023!S2380</f>
        <v/>
      </c>
      <c r="W2380" s="582">
        <v>0</v>
      </c>
      <c r="X2380" s="580"/>
      <c r="Y2380" s="583">
        <f>IF(GLOBAL_DER_FEV_2023!W2380=0,0,IF(GLOBAL_DER_FEV_2023!W2380&gt;0,"c","b"))</f>
        <v>0</v>
      </c>
    </row>
    <row r="2381" spans="1:25" ht="15" hidden="1" customHeight="1" x14ac:dyDescent="0.2">
      <c r="A2381" s="317" t="s">
        <v>147</v>
      </c>
      <c r="B2381" s="895" t="s">
        <v>147</v>
      </c>
      <c r="C2381" s="896"/>
      <c r="D2381" s="906" t="s">
        <v>229</v>
      </c>
      <c r="E2381" s="907">
        <f>GLOBAL_DER_FEV_2023!E2381</f>
        <v>150</v>
      </c>
      <c r="F2381" s="908">
        <f>GLOBAL_DER_FEV_2023!F2381</f>
        <v>0.36932100000000001</v>
      </c>
      <c r="G2381" s="949">
        <f>GLOBAL_DER_FEV_2023!G2381</f>
        <v>60.265800780000006</v>
      </c>
      <c r="H2381" s="901">
        <f>GLOBAL_DER_FEV_2023!H2381</f>
        <v>0</v>
      </c>
      <c r="I2381" s="901">
        <f>GLOBAL_DER_FEV_2023!I2381</f>
        <v>0</v>
      </c>
      <c r="J2381" s="902">
        <f>GLOBAL_DER_FEV_2023!J2381</f>
        <v>0</v>
      </c>
      <c r="K2381" s="903"/>
      <c r="L2381" s="1177"/>
      <c r="M2381" s="1138">
        <f t="shared" si="177"/>
        <v>0</v>
      </c>
      <c r="N2381" s="1176">
        <f t="shared" si="181"/>
        <v>0</v>
      </c>
      <c r="O2381" s="905"/>
      <c r="P2381" s="36" t="str">
        <f>IF(N2379&gt;0,"xx",IF(N2379&gt;0,"xy",""))</f>
        <v/>
      </c>
      <c r="Q2381" s="317" t="str">
        <f t="shared" si="178"/>
        <v/>
      </c>
      <c r="R2381" s="317" t="str">
        <f t="shared" si="179"/>
        <v/>
      </c>
      <c r="S2381" s="317" t="str">
        <f t="shared" si="180"/>
        <v/>
      </c>
      <c r="T2381" s="317" t="str">
        <f>GLOBAL_DER_FEV_2023!S2381</f>
        <v/>
      </c>
      <c r="W2381" s="582">
        <v>0</v>
      </c>
      <c r="X2381" s="580"/>
      <c r="Y2381" s="583">
        <f>IF(GLOBAL_DER_FEV_2023!W2381=0,0,IF(GLOBAL_DER_FEV_2023!W2381&gt;0,"c","b"))</f>
        <v>0</v>
      </c>
    </row>
    <row r="2382" spans="1:25" ht="15" hidden="1" customHeight="1" x14ac:dyDescent="0.2">
      <c r="A2382" s="317" t="s">
        <v>147</v>
      </c>
      <c r="B2382" s="895" t="s">
        <v>147</v>
      </c>
      <c r="C2382" s="896"/>
      <c r="D2382" s="906" t="s">
        <v>233</v>
      </c>
      <c r="E2382" s="907">
        <f>GLOBAL_DER_FEV_2023!E2382</f>
        <v>0.2</v>
      </c>
      <c r="F2382" s="908">
        <f>GLOBAL_DER_FEV_2023!F2382</f>
        <v>0.44511000000000006</v>
      </c>
      <c r="G2382" s="949">
        <f>GLOBAL_DER_FEV_2023!G2382</f>
        <v>1.2881483400000002</v>
      </c>
      <c r="H2382" s="901">
        <f>GLOBAL_DER_FEV_2023!H2382</f>
        <v>0</v>
      </c>
      <c r="I2382" s="901">
        <f>GLOBAL_DER_FEV_2023!I2382</f>
        <v>0</v>
      </c>
      <c r="J2382" s="902">
        <f>GLOBAL_DER_FEV_2023!J2382</f>
        <v>0</v>
      </c>
      <c r="K2382" s="903"/>
      <c r="L2382" s="1177"/>
      <c r="M2382" s="1138">
        <f t="shared" si="177"/>
        <v>0</v>
      </c>
      <c r="N2382" s="1176">
        <f t="shared" si="181"/>
        <v>0</v>
      </c>
      <c r="O2382" s="905"/>
      <c r="P2382" s="36" t="str">
        <f>IF(N2379&gt;0,"xx",IF(N2379&gt;0,"xy",""))</f>
        <v/>
      </c>
      <c r="Q2382" s="317" t="str">
        <f t="shared" si="178"/>
        <v/>
      </c>
      <c r="R2382" s="317" t="str">
        <f t="shared" si="179"/>
        <v/>
      </c>
      <c r="S2382" s="317" t="str">
        <f t="shared" si="180"/>
        <v/>
      </c>
      <c r="T2382" s="317" t="str">
        <f>GLOBAL_DER_FEV_2023!S2382</f>
        <v/>
      </c>
      <c r="W2382" s="582">
        <v>0</v>
      </c>
      <c r="X2382" s="580"/>
      <c r="Y2382" s="583">
        <f>IF(GLOBAL_DER_FEV_2023!W2382=0,0,IF(GLOBAL_DER_FEV_2023!W2382&gt;0,"c","b"))</f>
        <v>0</v>
      </c>
    </row>
    <row r="2383" spans="1:25" ht="15" hidden="1" customHeight="1" x14ac:dyDescent="0.2">
      <c r="A2383" s="317" t="s">
        <v>46</v>
      </c>
      <c r="B2383" s="895" t="s">
        <v>46</v>
      </c>
      <c r="C2383" s="896" t="s">
        <v>184</v>
      </c>
      <c r="D2383" s="906" t="s">
        <v>390</v>
      </c>
      <c r="E2383" s="907">
        <f>GLOBAL_DER_FEV_2023!E2383</f>
        <v>0</v>
      </c>
      <c r="F2383" s="908">
        <f>GLOBAL_DER_FEV_2023!F2383</f>
        <v>0</v>
      </c>
      <c r="G2383" s="912">
        <f>GLOBAL_DER_FEV_2023!G2383</f>
        <v>357.35287714000003</v>
      </c>
      <c r="H2383" s="901">
        <f>GLOBAL_DER_FEV_2023!H2383</f>
        <v>968.15</v>
      </c>
      <c r="I2383" s="901">
        <f>GLOBAL_DER_FEV_2023!I2383</f>
        <v>1325.50287714</v>
      </c>
      <c r="J2383" s="902">
        <f>GLOBAL_DER_FEV_2023!J2383</f>
        <v>1591.53</v>
      </c>
      <c r="K2383" s="903" t="s">
        <v>15</v>
      </c>
      <c r="L2383" s="1137"/>
      <c r="M2383" s="1138">
        <f t="shared" si="177"/>
        <v>0</v>
      </c>
      <c r="N2383" s="1176">
        <f t="shared" si="181"/>
        <v>0</v>
      </c>
      <c r="O2383" s="905"/>
      <c r="Q2383" s="317" t="str">
        <f t="shared" si="178"/>
        <v/>
      </c>
      <c r="R2383" s="317" t="str">
        <f t="shared" si="179"/>
        <v/>
      </c>
      <c r="S2383" s="317" t="str">
        <f t="shared" si="180"/>
        <v/>
      </c>
      <c r="T2383" s="317" t="str">
        <f>GLOBAL_DER_FEV_2023!S2383</f>
        <v/>
      </c>
      <c r="W2383" s="582">
        <v>0</v>
      </c>
      <c r="X2383" s="580"/>
      <c r="Y2383" s="583">
        <f>IF(GLOBAL_DER_FEV_2023!W2383=0,0,IF(GLOBAL_DER_FEV_2023!W2383&gt;0,"c","b"))</f>
        <v>0</v>
      </c>
    </row>
    <row r="2384" spans="1:25" ht="15" hidden="1" customHeight="1" x14ac:dyDescent="0.2">
      <c r="A2384" s="317" t="s">
        <v>147</v>
      </c>
      <c r="B2384" s="895" t="s">
        <v>147</v>
      </c>
      <c r="C2384" s="896"/>
      <c r="D2384" s="906" t="s">
        <v>190</v>
      </c>
      <c r="E2384" s="907">
        <f>GLOBAL_DER_FEV_2023!E2384</f>
        <v>308</v>
      </c>
      <c r="F2384" s="908">
        <f>GLOBAL_DER_FEV_2023!F2384</f>
        <v>0.38417000000000001</v>
      </c>
      <c r="G2384" s="909">
        <f>GLOBAL_DER_FEV_2023!G2384</f>
        <v>95.297210200000009</v>
      </c>
      <c r="H2384" s="901">
        <f>GLOBAL_DER_FEV_2023!H2384</f>
        <v>0</v>
      </c>
      <c r="I2384" s="901">
        <f>GLOBAL_DER_FEV_2023!I2384</f>
        <v>0</v>
      </c>
      <c r="J2384" s="902">
        <f>GLOBAL_DER_FEV_2023!J2384</f>
        <v>0</v>
      </c>
      <c r="K2384" s="903"/>
      <c r="L2384" s="1177"/>
      <c r="M2384" s="1138">
        <f t="shared" si="177"/>
        <v>0</v>
      </c>
      <c r="N2384" s="1176">
        <f t="shared" si="181"/>
        <v>0</v>
      </c>
      <c r="O2384" s="905"/>
      <c r="P2384" s="36" t="str">
        <f>IF(N2383&gt;0,"xx",IF(N2383&gt;0,"xy",""))</f>
        <v/>
      </c>
      <c r="Q2384" s="317" t="str">
        <f t="shared" si="178"/>
        <v/>
      </c>
      <c r="R2384" s="317" t="str">
        <f t="shared" si="179"/>
        <v/>
      </c>
      <c r="S2384" s="317" t="str">
        <f t="shared" si="180"/>
        <v/>
      </c>
      <c r="T2384" s="317" t="str">
        <f>GLOBAL_DER_FEV_2023!S2384</f>
        <v/>
      </c>
      <c r="W2384" s="582">
        <v>0</v>
      </c>
      <c r="X2384" s="580"/>
      <c r="Y2384" s="583">
        <f>IF(GLOBAL_DER_FEV_2023!W2384=0,0,IF(GLOBAL_DER_FEV_2023!W2384&gt;0,"c","b"))</f>
        <v>0</v>
      </c>
    </row>
    <row r="2385" spans="1:25" ht="15" hidden="1" customHeight="1" x14ac:dyDescent="0.2">
      <c r="A2385" s="317" t="s">
        <v>147</v>
      </c>
      <c r="B2385" s="895" t="s">
        <v>147</v>
      </c>
      <c r="C2385" s="896"/>
      <c r="D2385" s="906" t="s">
        <v>229</v>
      </c>
      <c r="E2385" s="907">
        <f>GLOBAL_DER_FEV_2023!E2385</f>
        <v>150</v>
      </c>
      <c r="F2385" s="908">
        <f>GLOBAL_DER_FEV_2023!F2385</f>
        <v>1.55436</v>
      </c>
      <c r="G2385" s="949">
        <f>GLOBAL_DER_FEV_2023!G2385</f>
        <v>253.64046480000002</v>
      </c>
      <c r="H2385" s="901">
        <f>GLOBAL_DER_FEV_2023!H2385</f>
        <v>0</v>
      </c>
      <c r="I2385" s="901">
        <f>GLOBAL_DER_FEV_2023!I2385</f>
        <v>0</v>
      </c>
      <c r="J2385" s="902">
        <f>GLOBAL_DER_FEV_2023!J2385</f>
        <v>0</v>
      </c>
      <c r="K2385" s="903"/>
      <c r="L2385" s="1177"/>
      <c r="M2385" s="1138">
        <f t="shared" si="177"/>
        <v>0</v>
      </c>
      <c r="N2385" s="1176">
        <f t="shared" si="181"/>
        <v>0</v>
      </c>
      <c r="O2385" s="905"/>
      <c r="P2385" s="36" t="str">
        <f>IF(N2383&gt;0,"xx",IF(N2383&gt;0,"xy",""))</f>
        <v/>
      </c>
      <c r="Q2385" s="317" t="str">
        <f t="shared" si="178"/>
        <v/>
      </c>
      <c r="R2385" s="317" t="str">
        <f t="shared" si="179"/>
        <v/>
      </c>
      <c r="S2385" s="317" t="str">
        <f t="shared" si="180"/>
        <v/>
      </c>
      <c r="T2385" s="317" t="str">
        <f>GLOBAL_DER_FEV_2023!S2385</f>
        <v/>
      </c>
      <c r="W2385" s="582">
        <v>0</v>
      </c>
      <c r="X2385" s="580"/>
      <c r="Y2385" s="583">
        <f>IF(GLOBAL_DER_FEV_2023!W2385=0,0,IF(GLOBAL_DER_FEV_2023!W2385&gt;0,"c","b"))</f>
        <v>0</v>
      </c>
    </row>
    <row r="2386" spans="1:25" ht="15" hidden="1" customHeight="1" x14ac:dyDescent="0.2">
      <c r="A2386" s="317" t="s">
        <v>147</v>
      </c>
      <c r="B2386" s="895" t="s">
        <v>147</v>
      </c>
      <c r="C2386" s="896"/>
      <c r="D2386" s="906" t="s">
        <v>233</v>
      </c>
      <c r="E2386" s="907">
        <f>GLOBAL_DER_FEV_2023!E2386</f>
        <v>0.2</v>
      </c>
      <c r="F2386" s="908">
        <f>GLOBAL_DER_FEV_2023!F2386</f>
        <v>2.9078100000000004</v>
      </c>
      <c r="G2386" s="949">
        <f>GLOBAL_DER_FEV_2023!G2386</f>
        <v>8.4152021400000017</v>
      </c>
      <c r="H2386" s="901">
        <f>GLOBAL_DER_FEV_2023!H2386</f>
        <v>0</v>
      </c>
      <c r="I2386" s="901">
        <f>GLOBAL_DER_FEV_2023!I2386</f>
        <v>0</v>
      </c>
      <c r="J2386" s="902">
        <f>GLOBAL_DER_FEV_2023!J2386</f>
        <v>0</v>
      </c>
      <c r="K2386" s="903"/>
      <c r="L2386" s="1177"/>
      <c r="M2386" s="1138">
        <f t="shared" ref="M2386:M2449" si="182">IF(L2386=0,0,ROUND(J2386,2))</f>
        <v>0</v>
      </c>
      <c r="N2386" s="1176">
        <f t="shared" si="181"/>
        <v>0</v>
      </c>
      <c r="O2386" s="905"/>
      <c r="P2386" s="36" t="str">
        <f>IF(N2383&gt;0,"xx",IF(N2383&gt;0,"xy",""))</f>
        <v/>
      </c>
      <c r="Q2386" s="317" t="str">
        <f t="shared" si="178"/>
        <v/>
      </c>
      <c r="R2386" s="317" t="str">
        <f t="shared" si="179"/>
        <v/>
      </c>
      <c r="S2386" s="317" t="str">
        <f t="shared" si="180"/>
        <v/>
      </c>
      <c r="T2386" s="317" t="str">
        <f>GLOBAL_DER_FEV_2023!S2386</f>
        <v/>
      </c>
      <c r="W2386" s="582">
        <v>0</v>
      </c>
      <c r="X2386" s="580"/>
      <c r="Y2386" s="583">
        <f>IF(GLOBAL_DER_FEV_2023!W2386=0,0,IF(GLOBAL_DER_FEV_2023!W2386&gt;0,"c","b"))</f>
        <v>0</v>
      </c>
    </row>
    <row r="2387" spans="1:25" ht="15" hidden="1" customHeight="1" x14ac:dyDescent="0.2">
      <c r="A2387" s="317" t="s">
        <v>46</v>
      </c>
      <c r="B2387" s="895" t="s">
        <v>46</v>
      </c>
      <c r="C2387" s="896" t="s">
        <v>184</v>
      </c>
      <c r="D2387" s="906" t="s">
        <v>391</v>
      </c>
      <c r="E2387" s="907">
        <f>GLOBAL_DER_FEV_2023!E2387</f>
        <v>0</v>
      </c>
      <c r="F2387" s="908">
        <f>GLOBAL_DER_FEV_2023!F2387</f>
        <v>0</v>
      </c>
      <c r="G2387" s="912">
        <f>GLOBAL_DER_FEV_2023!G2387</f>
        <v>440.73125189999996</v>
      </c>
      <c r="H2387" s="901">
        <f>GLOBAL_DER_FEV_2023!H2387</f>
        <v>1174.8399999999999</v>
      </c>
      <c r="I2387" s="901">
        <f>GLOBAL_DER_FEV_2023!I2387</f>
        <v>1615.5712518999999</v>
      </c>
      <c r="J2387" s="902">
        <f>GLOBAL_DER_FEV_2023!J2387</f>
        <v>1939.82</v>
      </c>
      <c r="K2387" s="903" t="s">
        <v>15</v>
      </c>
      <c r="L2387" s="1137"/>
      <c r="M2387" s="1138">
        <f t="shared" si="182"/>
        <v>0</v>
      </c>
      <c r="N2387" s="1176">
        <f t="shared" si="181"/>
        <v>0</v>
      </c>
      <c r="O2387" s="905"/>
      <c r="Q2387" s="317" t="str">
        <f t="shared" si="178"/>
        <v/>
      </c>
      <c r="R2387" s="317" t="str">
        <f t="shared" si="179"/>
        <v/>
      </c>
      <c r="S2387" s="317" t="str">
        <f t="shared" si="180"/>
        <v/>
      </c>
      <c r="T2387" s="317" t="str">
        <f>GLOBAL_DER_FEV_2023!S2387</f>
        <v/>
      </c>
      <c r="W2387" s="582">
        <v>0</v>
      </c>
      <c r="X2387" s="580"/>
      <c r="Y2387" s="583">
        <f>IF(GLOBAL_DER_FEV_2023!W2387=0,0,IF(GLOBAL_DER_FEV_2023!W2387&gt;0,"c","b"))</f>
        <v>0</v>
      </c>
    </row>
    <row r="2388" spans="1:25" ht="15" hidden="1" customHeight="1" x14ac:dyDescent="0.2">
      <c r="A2388" s="317" t="s">
        <v>147</v>
      </c>
      <c r="B2388" s="895" t="s">
        <v>147</v>
      </c>
      <c r="C2388" s="896"/>
      <c r="D2388" s="906" t="s">
        <v>190</v>
      </c>
      <c r="E2388" s="907">
        <f>GLOBAL_DER_FEV_2023!E2388</f>
        <v>308</v>
      </c>
      <c r="F2388" s="908">
        <f>GLOBAL_DER_FEV_2023!F2388</f>
        <v>0.47295000000000004</v>
      </c>
      <c r="G2388" s="909">
        <f>GLOBAL_DER_FEV_2023!G2388</f>
        <v>117.31997700000001</v>
      </c>
      <c r="H2388" s="901">
        <f>GLOBAL_DER_FEV_2023!H2388</f>
        <v>0</v>
      </c>
      <c r="I2388" s="901">
        <f>GLOBAL_DER_FEV_2023!I2388</f>
        <v>0</v>
      </c>
      <c r="J2388" s="902">
        <f>GLOBAL_DER_FEV_2023!J2388</f>
        <v>0</v>
      </c>
      <c r="K2388" s="903"/>
      <c r="L2388" s="1177"/>
      <c r="M2388" s="1138">
        <f t="shared" si="182"/>
        <v>0</v>
      </c>
      <c r="N2388" s="1176">
        <f t="shared" si="181"/>
        <v>0</v>
      </c>
      <c r="O2388" s="905"/>
      <c r="P2388" s="36" t="str">
        <f>IF(N2387&gt;0,"xx",IF(N2387&gt;0,"xy",""))</f>
        <v/>
      </c>
      <c r="Q2388" s="317" t="str">
        <f t="shared" si="178"/>
        <v/>
      </c>
      <c r="R2388" s="317" t="str">
        <f t="shared" si="179"/>
        <v/>
      </c>
      <c r="S2388" s="317" t="str">
        <f t="shared" si="180"/>
        <v/>
      </c>
      <c r="T2388" s="317" t="str">
        <f>GLOBAL_DER_FEV_2023!S2388</f>
        <v/>
      </c>
      <c r="W2388" s="582">
        <v>0</v>
      </c>
      <c r="X2388" s="580"/>
      <c r="Y2388" s="583">
        <f>IF(GLOBAL_DER_FEV_2023!W2388=0,0,IF(GLOBAL_DER_FEV_2023!W2388&gt;0,"c","b"))</f>
        <v>0</v>
      </c>
    </row>
    <row r="2389" spans="1:25" ht="15" hidden="1" customHeight="1" x14ac:dyDescent="0.2">
      <c r="A2389" s="317" t="s">
        <v>147</v>
      </c>
      <c r="B2389" s="895" t="s">
        <v>147</v>
      </c>
      <c r="C2389" s="896"/>
      <c r="D2389" s="906" t="s">
        <v>229</v>
      </c>
      <c r="E2389" s="907">
        <f>GLOBAL_DER_FEV_2023!E2389</f>
        <v>150</v>
      </c>
      <c r="F2389" s="908">
        <f>GLOBAL_DER_FEV_2023!F2389</f>
        <v>1.9178999999999999</v>
      </c>
      <c r="G2389" s="949">
        <f>GLOBAL_DER_FEV_2023!G2389</f>
        <v>312.96292199999999</v>
      </c>
      <c r="H2389" s="901">
        <f>GLOBAL_DER_FEV_2023!H2389</f>
        <v>0</v>
      </c>
      <c r="I2389" s="901">
        <f>GLOBAL_DER_FEV_2023!I2389</f>
        <v>0</v>
      </c>
      <c r="J2389" s="902">
        <f>GLOBAL_DER_FEV_2023!J2389</f>
        <v>0</v>
      </c>
      <c r="K2389" s="903"/>
      <c r="L2389" s="1177"/>
      <c r="M2389" s="1138">
        <f t="shared" si="182"/>
        <v>0</v>
      </c>
      <c r="N2389" s="1176">
        <f t="shared" si="181"/>
        <v>0</v>
      </c>
      <c r="O2389" s="905"/>
      <c r="P2389" s="36" t="str">
        <f>IF(N2387&gt;0,"xx",IF(N2387&gt;0,"xy",""))</f>
        <v/>
      </c>
      <c r="Q2389" s="317" t="str">
        <f t="shared" si="178"/>
        <v/>
      </c>
      <c r="R2389" s="317" t="str">
        <f t="shared" si="179"/>
        <v/>
      </c>
      <c r="S2389" s="317" t="str">
        <f t="shared" si="180"/>
        <v/>
      </c>
      <c r="T2389" s="317" t="str">
        <f>GLOBAL_DER_FEV_2023!S2389</f>
        <v/>
      </c>
      <c r="W2389" s="582">
        <v>0</v>
      </c>
      <c r="X2389" s="580"/>
      <c r="Y2389" s="583">
        <f>IF(GLOBAL_DER_FEV_2023!W2389=0,0,IF(GLOBAL_DER_FEV_2023!W2389&gt;0,"c","b"))</f>
        <v>0</v>
      </c>
    </row>
    <row r="2390" spans="1:25" ht="15" hidden="1" customHeight="1" x14ac:dyDescent="0.2">
      <c r="A2390" s="317" t="s">
        <v>147</v>
      </c>
      <c r="B2390" s="895" t="s">
        <v>147</v>
      </c>
      <c r="C2390" s="896"/>
      <c r="D2390" s="906" t="s">
        <v>233</v>
      </c>
      <c r="E2390" s="907">
        <f>GLOBAL_DER_FEV_2023!E2390</f>
        <v>0.2</v>
      </c>
      <c r="F2390" s="908">
        <f>GLOBAL_DER_FEV_2023!F2390</f>
        <v>3.6103500000000004</v>
      </c>
      <c r="G2390" s="949">
        <f>GLOBAL_DER_FEV_2023!G2390</f>
        <v>10.448352900000001</v>
      </c>
      <c r="H2390" s="901">
        <f>GLOBAL_DER_FEV_2023!H2390</f>
        <v>0</v>
      </c>
      <c r="I2390" s="901">
        <f>GLOBAL_DER_FEV_2023!I2390</f>
        <v>0</v>
      </c>
      <c r="J2390" s="902">
        <f>GLOBAL_DER_FEV_2023!J2390</f>
        <v>0</v>
      </c>
      <c r="K2390" s="903"/>
      <c r="L2390" s="1177"/>
      <c r="M2390" s="1138">
        <f t="shared" si="182"/>
        <v>0</v>
      </c>
      <c r="N2390" s="1176">
        <f t="shared" si="181"/>
        <v>0</v>
      </c>
      <c r="O2390" s="905"/>
      <c r="P2390" s="36" t="str">
        <f>IF(N2387&gt;0,"xx",IF(N2387&gt;0,"xy",""))</f>
        <v/>
      </c>
      <c r="Q2390" s="317" t="str">
        <f t="shared" si="178"/>
        <v/>
      </c>
      <c r="R2390" s="317" t="str">
        <f t="shared" si="179"/>
        <v/>
      </c>
      <c r="S2390" s="317" t="str">
        <f t="shared" si="180"/>
        <v/>
      </c>
      <c r="T2390" s="317" t="str">
        <f>GLOBAL_DER_FEV_2023!S2390</f>
        <v/>
      </c>
      <c r="W2390" s="582">
        <v>0</v>
      </c>
      <c r="X2390" s="580"/>
      <c r="Y2390" s="583">
        <f>IF(GLOBAL_DER_FEV_2023!W2390=0,0,IF(GLOBAL_DER_FEV_2023!W2390&gt;0,"c","b"))</f>
        <v>0</v>
      </c>
    </row>
    <row r="2391" spans="1:25" ht="15" hidden="1" customHeight="1" x14ac:dyDescent="0.2">
      <c r="A2391" s="317" t="s">
        <v>46</v>
      </c>
      <c r="B2391" s="895" t="s">
        <v>46</v>
      </c>
      <c r="C2391" s="896" t="s">
        <v>184</v>
      </c>
      <c r="D2391" s="906" t="s">
        <v>392</v>
      </c>
      <c r="E2391" s="907">
        <f>GLOBAL_DER_FEV_2023!E2391</f>
        <v>0</v>
      </c>
      <c r="F2391" s="908">
        <f>GLOBAL_DER_FEV_2023!F2391</f>
        <v>0</v>
      </c>
      <c r="G2391" s="912">
        <f>GLOBAL_DER_FEV_2023!G2391</f>
        <v>703.49586032000002</v>
      </c>
      <c r="H2391" s="901">
        <f>GLOBAL_DER_FEV_2023!H2391</f>
        <v>1839.37</v>
      </c>
      <c r="I2391" s="901">
        <f>GLOBAL_DER_FEV_2023!I2391</f>
        <v>2542.8658603200001</v>
      </c>
      <c r="J2391" s="902">
        <f>GLOBAL_DER_FEV_2023!J2391</f>
        <v>3053.22</v>
      </c>
      <c r="K2391" s="903" t="s">
        <v>15</v>
      </c>
      <c r="L2391" s="1137"/>
      <c r="M2391" s="1138">
        <f t="shared" si="182"/>
        <v>0</v>
      </c>
      <c r="N2391" s="1176">
        <f t="shared" si="181"/>
        <v>0</v>
      </c>
      <c r="O2391" s="905"/>
      <c r="Q2391" s="317" t="str">
        <f t="shared" si="178"/>
        <v/>
      </c>
      <c r="R2391" s="317" t="str">
        <f t="shared" si="179"/>
        <v/>
      </c>
      <c r="S2391" s="317" t="str">
        <f t="shared" si="180"/>
        <v/>
      </c>
      <c r="T2391" s="317" t="str">
        <f>GLOBAL_DER_FEV_2023!S2391</f>
        <v/>
      </c>
      <c r="W2391" s="582">
        <v>0</v>
      </c>
      <c r="X2391" s="580"/>
      <c r="Y2391" s="583">
        <f>IF(GLOBAL_DER_FEV_2023!W2391=0,0,IF(GLOBAL_DER_FEV_2023!W2391&gt;0,"c","b"))</f>
        <v>0</v>
      </c>
    </row>
    <row r="2392" spans="1:25" ht="15" hidden="1" customHeight="1" x14ac:dyDescent="0.2">
      <c r="A2392" s="317" t="s">
        <v>147</v>
      </c>
      <c r="B2392" s="895" t="s">
        <v>147</v>
      </c>
      <c r="C2392" s="896"/>
      <c r="D2392" s="906" t="s">
        <v>190</v>
      </c>
      <c r="E2392" s="907">
        <f>GLOBAL_DER_FEV_2023!E2392</f>
        <v>308</v>
      </c>
      <c r="F2392" s="908">
        <f>GLOBAL_DER_FEV_2023!F2392</f>
        <v>0.75196000000000007</v>
      </c>
      <c r="G2392" s="909">
        <f>GLOBAL_DER_FEV_2023!G2392</f>
        <v>186.53119760000001</v>
      </c>
      <c r="H2392" s="901">
        <f>GLOBAL_DER_FEV_2023!H2392</f>
        <v>0</v>
      </c>
      <c r="I2392" s="901">
        <f>GLOBAL_DER_FEV_2023!I2392</f>
        <v>0</v>
      </c>
      <c r="J2392" s="902">
        <f>GLOBAL_DER_FEV_2023!J2392</f>
        <v>0</v>
      </c>
      <c r="K2392" s="903"/>
      <c r="L2392" s="1177"/>
      <c r="M2392" s="1138">
        <f t="shared" si="182"/>
        <v>0</v>
      </c>
      <c r="N2392" s="1176">
        <f t="shared" si="181"/>
        <v>0</v>
      </c>
      <c r="O2392" s="905"/>
      <c r="P2392" s="36" t="str">
        <f>IF(N2391&gt;0,"xx",IF(N2391&gt;0,"xy",""))</f>
        <v/>
      </c>
      <c r="Q2392" s="317" t="str">
        <f t="shared" si="178"/>
        <v/>
      </c>
      <c r="R2392" s="317" t="str">
        <f t="shared" si="179"/>
        <v/>
      </c>
      <c r="S2392" s="317" t="str">
        <f t="shared" si="180"/>
        <v/>
      </c>
      <c r="T2392" s="317" t="str">
        <f>GLOBAL_DER_FEV_2023!S2392</f>
        <v/>
      </c>
      <c r="W2392" s="582">
        <v>0</v>
      </c>
      <c r="X2392" s="580"/>
      <c r="Y2392" s="583">
        <f>IF(GLOBAL_DER_FEV_2023!W2392=0,0,IF(GLOBAL_DER_FEV_2023!W2392&gt;0,"c","b"))</f>
        <v>0</v>
      </c>
    </row>
    <row r="2393" spans="1:25" ht="15" hidden="1" customHeight="1" x14ac:dyDescent="0.2">
      <c r="A2393" s="317" t="s">
        <v>147</v>
      </c>
      <c r="B2393" s="895" t="s">
        <v>147</v>
      </c>
      <c r="C2393" s="896"/>
      <c r="D2393" s="906" t="s">
        <v>229</v>
      </c>
      <c r="E2393" s="907">
        <f>GLOBAL_DER_FEV_2023!E2393</f>
        <v>150</v>
      </c>
      <c r="F2393" s="908">
        <f>GLOBAL_DER_FEV_2023!F2393</f>
        <v>3.0643799999999999</v>
      </c>
      <c r="G2393" s="949">
        <f>GLOBAL_DER_FEV_2023!G2393</f>
        <v>500.04552840000002</v>
      </c>
      <c r="H2393" s="901">
        <f>GLOBAL_DER_FEV_2023!H2393</f>
        <v>0</v>
      </c>
      <c r="I2393" s="901">
        <f>GLOBAL_DER_FEV_2023!I2393</f>
        <v>0</v>
      </c>
      <c r="J2393" s="902">
        <f>GLOBAL_DER_FEV_2023!J2393</f>
        <v>0</v>
      </c>
      <c r="K2393" s="903"/>
      <c r="L2393" s="1177"/>
      <c r="M2393" s="1138">
        <f t="shared" si="182"/>
        <v>0</v>
      </c>
      <c r="N2393" s="1176">
        <f t="shared" si="181"/>
        <v>0</v>
      </c>
      <c r="O2393" s="905"/>
      <c r="P2393" s="36" t="str">
        <f>IF(N2391&gt;0,"xx",IF(N2391&gt;0,"xy",""))</f>
        <v/>
      </c>
      <c r="Q2393" s="317" t="str">
        <f t="shared" si="178"/>
        <v/>
      </c>
      <c r="R2393" s="317" t="str">
        <f t="shared" si="179"/>
        <v/>
      </c>
      <c r="S2393" s="317" t="str">
        <f t="shared" si="180"/>
        <v/>
      </c>
      <c r="T2393" s="317" t="str">
        <f>GLOBAL_DER_FEV_2023!S2393</f>
        <v/>
      </c>
      <c r="W2393" s="582">
        <v>0</v>
      </c>
      <c r="X2393" s="580"/>
      <c r="Y2393" s="583">
        <f>IF(GLOBAL_DER_FEV_2023!W2393=0,0,IF(GLOBAL_DER_FEV_2023!W2393&gt;0,"c","b"))</f>
        <v>0</v>
      </c>
    </row>
    <row r="2394" spans="1:25" ht="15" hidden="1" customHeight="1" x14ac:dyDescent="0.2">
      <c r="A2394" s="317" t="s">
        <v>147</v>
      </c>
      <c r="B2394" s="895" t="s">
        <v>147</v>
      </c>
      <c r="C2394" s="896"/>
      <c r="D2394" s="906" t="s">
        <v>233</v>
      </c>
      <c r="E2394" s="907">
        <f>GLOBAL_DER_FEV_2023!E2394</f>
        <v>0.2</v>
      </c>
      <c r="F2394" s="908">
        <f>GLOBAL_DER_FEV_2023!F2394</f>
        <v>5.8462800000000001</v>
      </c>
      <c r="G2394" s="949">
        <f>GLOBAL_DER_FEV_2023!G2394</f>
        <v>16.919134320000001</v>
      </c>
      <c r="H2394" s="901">
        <f>GLOBAL_DER_FEV_2023!H2394</f>
        <v>0</v>
      </c>
      <c r="I2394" s="901">
        <f>GLOBAL_DER_FEV_2023!I2394</f>
        <v>0</v>
      </c>
      <c r="J2394" s="902">
        <f>GLOBAL_DER_FEV_2023!J2394</f>
        <v>0</v>
      </c>
      <c r="K2394" s="903"/>
      <c r="L2394" s="1177"/>
      <c r="M2394" s="1138">
        <f t="shared" si="182"/>
        <v>0</v>
      </c>
      <c r="N2394" s="1176">
        <f t="shared" si="181"/>
        <v>0</v>
      </c>
      <c r="O2394" s="905"/>
      <c r="P2394" s="36" t="str">
        <f>IF(N2391&gt;0,"xx",IF(N2391&gt;0,"xy",""))</f>
        <v/>
      </c>
      <c r="Q2394" s="317" t="str">
        <f t="shared" si="178"/>
        <v/>
      </c>
      <c r="R2394" s="317" t="str">
        <f t="shared" si="179"/>
        <v/>
      </c>
      <c r="S2394" s="317" t="str">
        <f t="shared" si="180"/>
        <v/>
      </c>
      <c r="T2394" s="317" t="str">
        <f>GLOBAL_DER_FEV_2023!S2394</f>
        <v/>
      </c>
      <c r="W2394" s="582">
        <v>0</v>
      </c>
      <c r="X2394" s="580"/>
      <c r="Y2394" s="583">
        <f>IF(GLOBAL_DER_FEV_2023!W2394=0,0,IF(GLOBAL_DER_FEV_2023!W2394&gt;0,"c","b"))</f>
        <v>0</v>
      </c>
    </row>
    <row r="2395" spans="1:25" ht="15" hidden="1" customHeight="1" x14ac:dyDescent="0.2">
      <c r="A2395" s="317" t="s">
        <v>46</v>
      </c>
      <c r="B2395" s="895" t="s">
        <v>46</v>
      </c>
      <c r="C2395" s="896" t="s">
        <v>184</v>
      </c>
      <c r="D2395" s="906" t="s">
        <v>144</v>
      </c>
      <c r="E2395" s="907">
        <f>GLOBAL_DER_FEV_2023!E2395</f>
        <v>0</v>
      </c>
      <c r="F2395" s="908">
        <f>GLOBAL_DER_FEV_2023!F2395</f>
        <v>0</v>
      </c>
      <c r="G2395" s="912">
        <f>GLOBAL_DER_FEV_2023!G2395</f>
        <v>1019.8430484200001</v>
      </c>
      <c r="H2395" s="901">
        <f>GLOBAL_DER_FEV_2023!H2395</f>
        <v>2627.65</v>
      </c>
      <c r="I2395" s="901">
        <f>GLOBAL_DER_FEV_2023!I2395</f>
        <v>3647.4930484200004</v>
      </c>
      <c r="J2395" s="902">
        <f>GLOBAL_DER_FEV_2023!J2395</f>
        <v>4379.54</v>
      </c>
      <c r="K2395" s="903" t="s">
        <v>15</v>
      </c>
      <c r="L2395" s="1137"/>
      <c r="M2395" s="1138">
        <f t="shared" si="182"/>
        <v>0</v>
      </c>
      <c r="N2395" s="1176">
        <f t="shared" si="181"/>
        <v>0</v>
      </c>
      <c r="O2395" s="905"/>
      <c r="Q2395" s="317" t="str">
        <f t="shared" ref="Q2395:Q2458" si="183">IF(P2395="X","x",IF(P2395="xx","x",IF(P2395="xy","x",IF(P2395="y","x",IF(OR(N2395&gt;0,N2395&gt;0),"x","")))))</f>
        <v/>
      </c>
      <c r="R2395" s="317" t="str">
        <f t="shared" si="179"/>
        <v/>
      </c>
      <c r="S2395" s="317" t="str">
        <f t="shared" si="180"/>
        <v/>
      </c>
      <c r="T2395" s="317" t="str">
        <f>GLOBAL_DER_FEV_2023!S2395</f>
        <v/>
      </c>
      <c r="W2395" s="582">
        <v>0</v>
      </c>
      <c r="X2395" s="580"/>
      <c r="Y2395" s="583">
        <f>IF(GLOBAL_DER_FEV_2023!W2395=0,0,IF(GLOBAL_DER_FEV_2023!W2395&gt;0,"c","b"))</f>
        <v>0</v>
      </c>
    </row>
    <row r="2396" spans="1:25" ht="15" hidden="1" customHeight="1" x14ac:dyDescent="0.2">
      <c r="A2396" s="317" t="s">
        <v>147</v>
      </c>
      <c r="B2396" s="895" t="s">
        <v>147</v>
      </c>
      <c r="C2396" s="896"/>
      <c r="D2396" s="906" t="s">
        <v>190</v>
      </c>
      <c r="E2396" s="907">
        <f>GLOBAL_DER_FEV_2023!E2396</f>
        <v>308</v>
      </c>
      <c r="F2396" s="908">
        <f>GLOBAL_DER_FEV_2023!F2396</f>
        <v>1.08901</v>
      </c>
      <c r="G2396" s="909">
        <f>GLOBAL_DER_FEV_2023!G2396</f>
        <v>270.13982060000001</v>
      </c>
      <c r="H2396" s="901">
        <f>GLOBAL_DER_FEV_2023!H2396</f>
        <v>0</v>
      </c>
      <c r="I2396" s="901">
        <f>GLOBAL_DER_FEV_2023!I2396</f>
        <v>0</v>
      </c>
      <c r="J2396" s="902">
        <f>GLOBAL_DER_FEV_2023!J2396</f>
        <v>0</v>
      </c>
      <c r="K2396" s="903"/>
      <c r="L2396" s="1177"/>
      <c r="M2396" s="1138">
        <f t="shared" si="182"/>
        <v>0</v>
      </c>
      <c r="N2396" s="1176">
        <f t="shared" si="181"/>
        <v>0</v>
      </c>
      <c r="O2396" s="905"/>
      <c r="P2396" s="36" t="str">
        <f>IF(N2395&gt;0,"xx",IF(N2395&gt;0,"xy",""))</f>
        <v/>
      </c>
      <c r="Q2396" s="317" t="str">
        <f t="shared" si="183"/>
        <v/>
      </c>
      <c r="R2396" s="317" t="str">
        <f t="shared" si="179"/>
        <v/>
      </c>
      <c r="S2396" s="317" t="str">
        <f t="shared" si="180"/>
        <v/>
      </c>
      <c r="T2396" s="317" t="str">
        <f>GLOBAL_DER_FEV_2023!S2396</f>
        <v/>
      </c>
      <c r="W2396" s="582">
        <v>0</v>
      </c>
      <c r="X2396" s="580"/>
      <c r="Y2396" s="583">
        <f>IF(GLOBAL_DER_FEV_2023!W2396=0,0,IF(GLOBAL_DER_FEV_2023!W2396&gt;0,"c","b"))</f>
        <v>0</v>
      </c>
    </row>
    <row r="2397" spans="1:25" ht="15" hidden="1" customHeight="1" x14ac:dyDescent="0.2">
      <c r="A2397" s="317" t="s">
        <v>147</v>
      </c>
      <c r="B2397" s="895" t="s">
        <v>147</v>
      </c>
      <c r="C2397" s="896"/>
      <c r="D2397" s="906" t="s">
        <v>229</v>
      </c>
      <c r="E2397" s="907">
        <f>GLOBAL_DER_FEV_2023!E2397</f>
        <v>150</v>
      </c>
      <c r="F2397" s="908">
        <f>GLOBAL_DER_FEV_2023!F2397</f>
        <v>4.4434800000000001</v>
      </c>
      <c r="G2397" s="949">
        <f>GLOBAL_DER_FEV_2023!G2397</f>
        <v>725.08706640000003</v>
      </c>
      <c r="H2397" s="901">
        <f>GLOBAL_DER_FEV_2023!H2397</f>
        <v>0</v>
      </c>
      <c r="I2397" s="901">
        <f>GLOBAL_DER_FEV_2023!I2397</f>
        <v>0</v>
      </c>
      <c r="J2397" s="902">
        <f>GLOBAL_DER_FEV_2023!J2397</f>
        <v>0</v>
      </c>
      <c r="K2397" s="903"/>
      <c r="L2397" s="1177"/>
      <c r="M2397" s="1138">
        <f t="shared" si="182"/>
        <v>0</v>
      </c>
      <c r="N2397" s="1176">
        <f t="shared" si="181"/>
        <v>0</v>
      </c>
      <c r="O2397" s="905"/>
      <c r="P2397" s="36" t="str">
        <f>IF(N2395&gt;0,"xx",IF(N2395&gt;0,"xy",""))</f>
        <v/>
      </c>
      <c r="Q2397" s="317" t="str">
        <f t="shared" si="183"/>
        <v/>
      </c>
      <c r="R2397" s="317" t="str">
        <f t="shared" ref="R2397:R2460" si="184">IF(P2397="X","x",IF(P2397="y","x",IF(P2397="xx","x",IF(N2397&gt;0,"x",""))))</f>
        <v/>
      </c>
      <c r="S2397" s="317" t="str">
        <f t="shared" ref="S2397:S2460" si="185">IF(P2397="X","x",IF(N2397&gt;0,"x",""))</f>
        <v/>
      </c>
      <c r="T2397" s="317" t="str">
        <f>GLOBAL_DER_FEV_2023!S2397</f>
        <v/>
      </c>
      <c r="W2397" s="582">
        <v>0</v>
      </c>
      <c r="X2397" s="580"/>
      <c r="Y2397" s="583">
        <f>IF(GLOBAL_DER_FEV_2023!W2397=0,0,IF(GLOBAL_DER_FEV_2023!W2397&gt;0,"c","b"))</f>
        <v>0</v>
      </c>
    </row>
    <row r="2398" spans="1:25" ht="15" hidden="1" customHeight="1" x14ac:dyDescent="0.2">
      <c r="A2398" s="317" t="s">
        <v>147</v>
      </c>
      <c r="B2398" s="895" t="s">
        <v>147</v>
      </c>
      <c r="C2398" s="896"/>
      <c r="D2398" s="906" t="s">
        <v>233</v>
      </c>
      <c r="E2398" s="907">
        <f>GLOBAL_DER_FEV_2023!E2398</f>
        <v>0.2</v>
      </c>
      <c r="F2398" s="908">
        <f>GLOBAL_DER_FEV_2023!F2398</f>
        <v>8.5059300000000011</v>
      </c>
      <c r="G2398" s="949">
        <f>GLOBAL_DER_FEV_2023!G2398</f>
        <v>24.616161420000005</v>
      </c>
      <c r="H2398" s="901">
        <f>GLOBAL_DER_FEV_2023!H2398</f>
        <v>0</v>
      </c>
      <c r="I2398" s="901">
        <f>GLOBAL_DER_FEV_2023!I2398</f>
        <v>0</v>
      </c>
      <c r="J2398" s="902">
        <f>GLOBAL_DER_FEV_2023!J2398</f>
        <v>0</v>
      </c>
      <c r="K2398" s="903"/>
      <c r="L2398" s="1177"/>
      <c r="M2398" s="1138">
        <f t="shared" si="182"/>
        <v>0</v>
      </c>
      <c r="N2398" s="1176">
        <f t="shared" si="181"/>
        <v>0</v>
      </c>
      <c r="O2398" s="905"/>
      <c r="P2398" s="36" t="str">
        <f>IF(N2395&gt;0,"xx",IF(N2395&gt;0,"xy",""))</f>
        <v/>
      </c>
      <c r="Q2398" s="317" t="str">
        <f t="shared" si="183"/>
        <v/>
      </c>
      <c r="R2398" s="317" t="str">
        <f t="shared" si="184"/>
        <v/>
      </c>
      <c r="S2398" s="317" t="str">
        <f t="shared" si="185"/>
        <v/>
      </c>
      <c r="T2398" s="317" t="str">
        <f>GLOBAL_DER_FEV_2023!S2398</f>
        <v/>
      </c>
      <c r="W2398" s="582">
        <v>0</v>
      </c>
      <c r="X2398" s="580"/>
      <c r="Y2398" s="583">
        <f>IF(GLOBAL_DER_FEV_2023!W2398=0,0,IF(GLOBAL_DER_FEV_2023!W2398&gt;0,"c","b"))</f>
        <v>0</v>
      </c>
    </row>
    <row r="2399" spans="1:25" ht="15" hidden="1" customHeight="1" x14ac:dyDescent="0.2">
      <c r="A2399" s="317" t="s">
        <v>46</v>
      </c>
      <c r="B2399" s="895" t="s">
        <v>46</v>
      </c>
      <c r="C2399" s="896" t="s">
        <v>184</v>
      </c>
      <c r="D2399" s="906" t="s">
        <v>145</v>
      </c>
      <c r="E2399" s="907">
        <f>GLOBAL_DER_FEV_2023!E2399</f>
        <v>0</v>
      </c>
      <c r="F2399" s="908">
        <f>GLOBAL_DER_FEV_2023!F2399</f>
        <v>0</v>
      </c>
      <c r="G2399" s="912">
        <f>GLOBAL_DER_FEV_2023!G2399</f>
        <v>1383.5639504200001</v>
      </c>
      <c r="H2399" s="901">
        <f>GLOBAL_DER_FEV_2023!H2399</f>
        <v>3538.55</v>
      </c>
      <c r="I2399" s="901">
        <f>GLOBAL_DER_FEV_2023!I2399</f>
        <v>4922.11395042</v>
      </c>
      <c r="J2399" s="902">
        <f>GLOBAL_DER_FEV_2023!J2399</f>
        <v>5909.98</v>
      </c>
      <c r="K2399" s="903" t="s">
        <v>15</v>
      </c>
      <c r="L2399" s="1137"/>
      <c r="M2399" s="1138">
        <f t="shared" si="182"/>
        <v>0</v>
      </c>
      <c r="N2399" s="1176">
        <f t="shared" si="181"/>
        <v>0</v>
      </c>
      <c r="O2399" s="905"/>
      <c r="Q2399" s="317" t="str">
        <f t="shared" si="183"/>
        <v/>
      </c>
      <c r="R2399" s="317" t="str">
        <f t="shared" si="184"/>
        <v/>
      </c>
      <c r="S2399" s="317" t="str">
        <f t="shared" si="185"/>
        <v/>
      </c>
      <c r="T2399" s="317" t="str">
        <f>GLOBAL_DER_FEV_2023!S2399</f>
        <v/>
      </c>
      <c r="W2399" s="582">
        <v>0</v>
      </c>
      <c r="X2399" s="580"/>
      <c r="Y2399" s="583">
        <f>IF(GLOBAL_DER_FEV_2023!W2399=0,0,IF(GLOBAL_DER_FEV_2023!W2399&gt;0,"c","b"))</f>
        <v>0</v>
      </c>
    </row>
    <row r="2400" spans="1:25" ht="15" hidden="1" customHeight="1" x14ac:dyDescent="0.2">
      <c r="A2400" s="317" t="s">
        <v>147</v>
      </c>
      <c r="B2400" s="895" t="s">
        <v>147</v>
      </c>
      <c r="C2400" s="896"/>
      <c r="D2400" s="906" t="s">
        <v>190</v>
      </c>
      <c r="E2400" s="907">
        <f>GLOBAL_DER_FEV_2023!E2400</f>
        <v>308</v>
      </c>
      <c r="F2400" s="908">
        <f>GLOBAL_DER_FEV_2023!F2400</f>
        <v>1.4740100000000003</v>
      </c>
      <c r="G2400" s="909">
        <f>GLOBAL_DER_FEV_2023!G2400</f>
        <v>365.64292060000008</v>
      </c>
      <c r="H2400" s="901">
        <f>GLOBAL_DER_FEV_2023!H2400</f>
        <v>0</v>
      </c>
      <c r="I2400" s="901">
        <f>GLOBAL_DER_FEV_2023!I2400</f>
        <v>0</v>
      </c>
      <c r="J2400" s="902">
        <f>GLOBAL_DER_FEV_2023!J2400</f>
        <v>0</v>
      </c>
      <c r="K2400" s="903"/>
      <c r="L2400" s="1177"/>
      <c r="M2400" s="1138">
        <f t="shared" si="182"/>
        <v>0</v>
      </c>
      <c r="N2400" s="1176">
        <f t="shared" si="181"/>
        <v>0</v>
      </c>
      <c r="O2400" s="905"/>
      <c r="P2400" s="36" t="str">
        <f>IF(N2399&gt;0,"xx",IF(N2399&gt;0,"xy",""))</f>
        <v/>
      </c>
      <c r="Q2400" s="317" t="str">
        <f t="shared" si="183"/>
        <v/>
      </c>
      <c r="R2400" s="317" t="str">
        <f t="shared" si="184"/>
        <v/>
      </c>
      <c r="S2400" s="317" t="str">
        <f t="shared" si="185"/>
        <v/>
      </c>
      <c r="T2400" s="317" t="str">
        <f>GLOBAL_DER_FEV_2023!S2400</f>
        <v/>
      </c>
      <c r="W2400" s="582">
        <v>0</v>
      </c>
      <c r="X2400" s="580"/>
      <c r="Y2400" s="583">
        <f>IF(GLOBAL_DER_FEV_2023!W2400=0,0,IF(GLOBAL_DER_FEV_2023!W2400&gt;0,"c","b"))</f>
        <v>0</v>
      </c>
    </row>
    <row r="2401" spans="1:25" ht="15" hidden="1" customHeight="1" x14ac:dyDescent="0.2">
      <c r="A2401" s="317" t="s">
        <v>147</v>
      </c>
      <c r="B2401" s="895" t="s">
        <v>147</v>
      </c>
      <c r="C2401" s="896"/>
      <c r="D2401" s="906" t="s">
        <v>229</v>
      </c>
      <c r="E2401" s="907">
        <f>GLOBAL_DER_FEV_2023!E2401</f>
        <v>150</v>
      </c>
      <c r="F2401" s="908">
        <f>GLOBAL_DER_FEV_2023!F2401</f>
        <v>6.0316799999999997</v>
      </c>
      <c r="G2401" s="949">
        <f>GLOBAL_DER_FEV_2023!G2401</f>
        <v>984.2495424</v>
      </c>
      <c r="H2401" s="901">
        <f>GLOBAL_DER_FEV_2023!H2401</f>
        <v>0</v>
      </c>
      <c r="I2401" s="901">
        <f>GLOBAL_DER_FEV_2023!I2401</f>
        <v>0</v>
      </c>
      <c r="J2401" s="902">
        <f>GLOBAL_DER_FEV_2023!J2401</f>
        <v>0</v>
      </c>
      <c r="K2401" s="903"/>
      <c r="L2401" s="1177"/>
      <c r="M2401" s="1138">
        <f t="shared" si="182"/>
        <v>0</v>
      </c>
      <c r="N2401" s="1176">
        <f t="shared" ref="N2401:N2464" si="186">IF(ISBLANK(L2401),0,IF(W2401=0,ROUND(L2401*M2401,2),IF(W2401="b",ROUNDDOWN(L2401*M2401,2),ROUNDUP(L2401*M2401,2))))</f>
        <v>0</v>
      </c>
      <c r="O2401" s="905"/>
      <c r="P2401" s="36" t="str">
        <f>IF(N2399&gt;0,"xx",IF(N2399&gt;0,"xy",""))</f>
        <v/>
      </c>
      <c r="Q2401" s="317" t="str">
        <f t="shared" si="183"/>
        <v/>
      </c>
      <c r="R2401" s="317" t="str">
        <f t="shared" si="184"/>
        <v/>
      </c>
      <c r="S2401" s="317" t="str">
        <f t="shared" si="185"/>
        <v/>
      </c>
      <c r="T2401" s="317" t="str">
        <f>GLOBAL_DER_FEV_2023!S2401</f>
        <v/>
      </c>
      <c r="W2401" s="582">
        <v>0</v>
      </c>
      <c r="X2401" s="580"/>
      <c r="Y2401" s="583">
        <f>IF(GLOBAL_DER_FEV_2023!W2401=0,0,IF(GLOBAL_DER_FEV_2023!W2401&gt;0,"c","b"))</f>
        <v>0</v>
      </c>
    </row>
    <row r="2402" spans="1:25" ht="15" hidden="1" customHeight="1" x14ac:dyDescent="0.2">
      <c r="A2402" s="317" t="s">
        <v>147</v>
      </c>
      <c r="B2402" s="895" t="s">
        <v>147</v>
      </c>
      <c r="C2402" s="896"/>
      <c r="D2402" s="906" t="s">
        <v>233</v>
      </c>
      <c r="E2402" s="907">
        <f>GLOBAL_DER_FEV_2023!E2402</f>
        <v>0.2</v>
      </c>
      <c r="F2402" s="908">
        <f>GLOBAL_DER_FEV_2023!F2402</f>
        <v>11.634930000000001</v>
      </c>
      <c r="G2402" s="949">
        <f>GLOBAL_DER_FEV_2023!G2402</f>
        <v>33.671487420000005</v>
      </c>
      <c r="H2402" s="901">
        <f>GLOBAL_DER_FEV_2023!H2402</f>
        <v>0</v>
      </c>
      <c r="I2402" s="901">
        <f>GLOBAL_DER_FEV_2023!I2402</f>
        <v>0</v>
      </c>
      <c r="J2402" s="902">
        <f>GLOBAL_DER_FEV_2023!J2402</f>
        <v>0</v>
      </c>
      <c r="K2402" s="903"/>
      <c r="L2402" s="1177"/>
      <c r="M2402" s="1138">
        <f t="shared" si="182"/>
        <v>0</v>
      </c>
      <c r="N2402" s="1176">
        <f t="shared" si="186"/>
        <v>0</v>
      </c>
      <c r="O2402" s="905"/>
      <c r="P2402" s="36" t="str">
        <f>IF(N2399&gt;0,"xx",IF(N2399&gt;0,"xy",""))</f>
        <v/>
      </c>
      <c r="Q2402" s="317" t="str">
        <f t="shared" si="183"/>
        <v/>
      </c>
      <c r="R2402" s="317" t="str">
        <f t="shared" si="184"/>
        <v/>
      </c>
      <c r="S2402" s="317" t="str">
        <f t="shared" si="185"/>
        <v/>
      </c>
      <c r="T2402" s="317" t="str">
        <f>GLOBAL_DER_FEV_2023!S2402</f>
        <v/>
      </c>
      <c r="W2402" s="582">
        <v>0</v>
      </c>
      <c r="X2402" s="580"/>
      <c r="Y2402" s="583">
        <f>IF(GLOBAL_DER_FEV_2023!W2402=0,0,IF(GLOBAL_DER_FEV_2023!W2402&gt;0,"c","b"))</f>
        <v>0</v>
      </c>
    </row>
    <row r="2403" spans="1:25" ht="15" hidden="1" customHeight="1" x14ac:dyDescent="0.2">
      <c r="A2403" s="317" t="s">
        <v>46</v>
      </c>
      <c r="B2403" s="895" t="s">
        <v>46</v>
      </c>
      <c r="C2403" s="896" t="s">
        <v>184</v>
      </c>
      <c r="D2403" s="906" t="s">
        <v>146</v>
      </c>
      <c r="E2403" s="907">
        <f>GLOBAL_DER_FEV_2023!E2403</f>
        <v>0</v>
      </c>
      <c r="F2403" s="908">
        <f>GLOBAL_DER_FEV_2023!F2403</f>
        <v>0</v>
      </c>
      <c r="G2403" s="912">
        <f>GLOBAL_DER_FEV_2023!G2403</f>
        <v>2280.9863061400001</v>
      </c>
      <c r="H2403" s="901">
        <f>GLOBAL_DER_FEV_2023!H2403</f>
        <v>5739.62</v>
      </c>
      <c r="I2403" s="901">
        <f>GLOBAL_DER_FEV_2023!I2403</f>
        <v>8020.60630614</v>
      </c>
      <c r="J2403" s="902">
        <f>GLOBAL_DER_FEV_2023!J2403</f>
        <v>9630.34</v>
      </c>
      <c r="K2403" s="903" t="s">
        <v>15</v>
      </c>
      <c r="L2403" s="1137"/>
      <c r="M2403" s="1138">
        <f t="shared" si="182"/>
        <v>0</v>
      </c>
      <c r="N2403" s="1176">
        <f t="shared" si="186"/>
        <v>0</v>
      </c>
      <c r="O2403" s="905"/>
      <c r="Q2403" s="317" t="str">
        <f t="shared" si="183"/>
        <v/>
      </c>
      <c r="R2403" s="317" t="str">
        <f t="shared" si="184"/>
        <v/>
      </c>
      <c r="S2403" s="317" t="str">
        <f t="shared" si="185"/>
        <v/>
      </c>
      <c r="T2403" s="317" t="str">
        <f>GLOBAL_DER_FEV_2023!S2403</f>
        <v/>
      </c>
      <c r="W2403" s="582">
        <v>0</v>
      </c>
      <c r="X2403" s="580"/>
      <c r="Y2403" s="583">
        <f>IF(GLOBAL_DER_FEV_2023!W2403=0,0,IF(GLOBAL_DER_FEV_2023!W2403&gt;0,"c","b"))</f>
        <v>0</v>
      </c>
    </row>
    <row r="2404" spans="1:25" ht="15" hidden="1" customHeight="1" x14ac:dyDescent="0.2">
      <c r="A2404" s="317" t="s">
        <v>147</v>
      </c>
      <c r="B2404" s="895" t="s">
        <v>147</v>
      </c>
      <c r="C2404" s="896"/>
      <c r="D2404" s="906" t="s">
        <v>190</v>
      </c>
      <c r="E2404" s="907">
        <f>GLOBAL_DER_FEV_2023!E2404</f>
        <v>308</v>
      </c>
      <c r="F2404" s="908">
        <f>GLOBAL_DER_FEV_2023!F2404</f>
        <v>2.41967</v>
      </c>
      <c r="G2404" s="909">
        <f>GLOBAL_DER_FEV_2023!G2404</f>
        <v>600.22334020000005</v>
      </c>
      <c r="H2404" s="901">
        <f>GLOBAL_DER_FEV_2023!H2404</f>
        <v>0</v>
      </c>
      <c r="I2404" s="901">
        <f>GLOBAL_DER_FEV_2023!I2404</f>
        <v>0</v>
      </c>
      <c r="J2404" s="902">
        <f>GLOBAL_DER_FEV_2023!J2404</f>
        <v>0</v>
      </c>
      <c r="K2404" s="903"/>
      <c r="L2404" s="1177"/>
      <c r="M2404" s="1138">
        <f t="shared" si="182"/>
        <v>0</v>
      </c>
      <c r="N2404" s="1176">
        <f t="shared" si="186"/>
        <v>0</v>
      </c>
      <c r="O2404" s="905"/>
      <c r="P2404" s="36" t="str">
        <f>IF(N2403&gt;0,"xx",IF(N2403&gt;0,"xy",""))</f>
        <v/>
      </c>
      <c r="Q2404" s="317" t="str">
        <f t="shared" si="183"/>
        <v/>
      </c>
      <c r="R2404" s="317" t="str">
        <f t="shared" si="184"/>
        <v/>
      </c>
      <c r="S2404" s="317" t="str">
        <f t="shared" si="185"/>
        <v/>
      </c>
      <c r="T2404" s="317" t="str">
        <f>GLOBAL_DER_FEV_2023!S2404</f>
        <v/>
      </c>
      <c r="W2404" s="582">
        <v>0</v>
      </c>
      <c r="X2404" s="580"/>
      <c r="Y2404" s="583">
        <f>IF(GLOBAL_DER_FEV_2023!W2404=0,0,IF(GLOBAL_DER_FEV_2023!W2404&gt;0,"c","b"))</f>
        <v>0</v>
      </c>
    </row>
    <row r="2405" spans="1:25" ht="15" hidden="1" customHeight="1" x14ac:dyDescent="0.2">
      <c r="A2405" s="317" t="s">
        <v>147</v>
      </c>
      <c r="B2405" s="895" t="s">
        <v>147</v>
      </c>
      <c r="C2405" s="896"/>
      <c r="D2405" s="906" t="s">
        <v>229</v>
      </c>
      <c r="E2405" s="907">
        <f>GLOBAL_DER_FEV_2023!E2405</f>
        <v>150</v>
      </c>
      <c r="F2405" s="908">
        <f>GLOBAL_DER_FEV_2023!F2405</f>
        <v>9.9546600000000005</v>
      </c>
      <c r="G2405" s="949">
        <f>GLOBAL_DER_FEV_2023!G2405</f>
        <v>1624.4014188000001</v>
      </c>
      <c r="H2405" s="901">
        <f>GLOBAL_DER_FEV_2023!H2405</f>
        <v>0</v>
      </c>
      <c r="I2405" s="901">
        <f>GLOBAL_DER_FEV_2023!I2405</f>
        <v>0</v>
      </c>
      <c r="J2405" s="902">
        <f>GLOBAL_DER_FEV_2023!J2405</f>
        <v>0</v>
      </c>
      <c r="K2405" s="903"/>
      <c r="L2405" s="1177"/>
      <c r="M2405" s="1138">
        <f t="shared" si="182"/>
        <v>0</v>
      </c>
      <c r="N2405" s="1176">
        <f t="shared" si="186"/>
        <v>0</v>
      </c>
      <c r="O2405" s="905"/>
      <c r="P2405" s="36" t="str">
        <f>IF(N2403&gt;0,"xx",IF(N2403&gt;0,"xy",""))</f>
        <v/>
      </c>
      <c r="Q2405" s="317" t="str">
        <f t="shared" si="183"/>
        <v/>
      </c>
      <c r="R2405" s="317" t="str">
        <f t="shared" si="184"/>
        <v/>
      </c>
      <c r="S2405" s="317" t="str">
        <f t="shared" si="185"/>
        <v/>
      </c>
      <c r="T2405" s="317" t="str">
        <f>GLOBAL_DER_FEV_2023!S2405</f>
        <v/>
      </c>
      <c r="W2405" s="582">
        <v>0</v>
      </c>
      <c r="X2405" s="580"/>
      <c r="Y2405" s="583">
        <f>IF(GLOBAL_DER_FEV_2023!W2405=0,0,IF(GLOBAL_DER_FEV_2023!W2405&gt;0,"c","b"))</f>
        <v>0</v>
      </c>
    </row>
    <row r="2406" spans="1:25" ht="15" hidden="1" customHeight="1" x14ac:dyDescent="0.2">
      <c r="A2406" s="317" t="s">
        <v>147</v>
      </c>
      <c r="B2406" s="895" t="s">
        <v>147</v>
      </c>
      <c r="C2406" s="896"/>
      <c r="D2406" s="906" t="s">
        <v>233</v>
      </c>
      <c r="E2406" s="907">
        <f>GLOBAL_DER_FEV_2023!E2406</f>
        <v>0.2</v>
      </c>
      <c r="F2406" s="908">
        <f>GLOBAL_DER_FEV_2023!F2406</f>
        <v>19.47531</v>
      </c>
      <c r="G2406" s="949">
        <f>GLOBAL_DER_FEV_2023!G2406</f>
        <v>56.361547140000006</v>
      </c>
      <c r="H2406" s="901">
        <f>GLOBAL_DER_FEV_2023!H2406</f>
        <v>0</v>
      </c>
      <c r="I2406" s="901">
        <f>GLOBAL_DER_FEV_2023!I2406</f>
        <v>0</v>
      </c>
      <c r="J2406" s="902">
        <f>GLOBAL_DER_FEV_2023!J2406</f>
        <v>0</v>
      </c>
      <c r="K2406" s="903"/>
      <c r="L2406" s="1177"/>
      <c r="M2406" s="1138">
        <f t="shared" si="182"/>
        <v>0</v>
      </c>
      <c r="N2406" s="1176">
        <f t="shared" si="186"/>
        <v>0</v>
      </c>
      <c r="O2406" s="905"/>
      <c r="P2406" s="36" t="str">
        <f>IF(N2403&gt;0,"xx",IF(N2403&gt;0,"xy",""))</f>
        <v/>
      </c>
      <c r="Q2406" s="317" t="str">
        <f t="shared" si="183"/>
        <v/>
      </c>
      <c r="R2406" s="317" t="str">
        <f t="shared" si="184"/>
        <v/>
      </c>
      <c r="S2406" s="317" t="str">
        <f t="shared" si="185"/>
        <v/>
      </c>
      <c r="T2406" s="317" t="str">
        <f>GLOBAL_DER_FEV_2023!S2406</f>
        <v/>
      </c>
      <c r="W2406" s="582">
        <v>0</v>
      </c>
      <c r="X2406" s="580"/>
      <c r="Y2406" s="583">
        <f>IF(GLOBAL_DER_FEV_2023!W2406=0,0,IF(GLOBAL_DER_FEV_2023!W2406&gt;0,"c","b"))</f>
        <v>0</v>
      </c>
    </row>
    <row r="2407" spans="1:25" ht="15" hidden="1" customHeight="1" x14ac:dyDescent="0.2">
      <c r="A2407" s="317" t="s">
        <v>393</v>
      </c>
      <c r="B2407" s="895" t="s">
        <v>393</v>
      </c>
      <c r="C2407" s="896" t="s">
        <v>184</v>
      </c>
      <c r="D2407" s="906" t="str">
        <f>'ENSAIOS DE ORÇAMENTO'!C72</f>
        <v>ENSAIO DE ORÇAMENTO 1</v>
      </c>
      <c r="E2407" s="907">
        <f>GLOBAL_DER_FEV_2023!E2407</f>
        <v>0</v>
      </c>
      <c r="F2407" s="908">
        <f>GLOBAL_DER_FEV_2023!F2407</f>
        <v>0</v>
      </c>
      <c r="G2407" s="912">
        <f>GLOBAL_DER_FEV_2023!G2407</f>
        <v>0</v>
      </c>
      <c r="H2407" s="901">
        <f>GLOBAL_DER_FEV_2023!H2407</f>
        <v>0</v>
      </c>
      <c r="I2407" s="901">
        <f>GLOBAL_DER_FEV_2023!I2407</f>
        <v>0</v>
      </c>
      <c r="J2407" s="902">
        <f>GLOBAL_DER_FEV_2023!J2407</f>
        <v>0</v>
      </c>
      <c r="K2407" s="903" t="s">
        <v>15</v>
      </c>
      <c r="L2407" s="1137"/>
      <c r="M2407" s="1138">
        <f t="shared" si="182"/>
        <v>0</v>
      </c>
      <c r="N2407" s="1176">
        <f t="shared" si="186"/>
        <v>0</v>
      </c>
      <c r="O2407" s="905"/>
      <c r="Q2407" s="317" t="str">
        <f t="shared" si="183"/>
        <v/>
      </c>
      <c r="R2407" s="317" t="str">
        <f t="shared" si="184"/>
        <v/>
      </c>
      <c r="S2407" s="317" t="str">
        <f t="shared" si="185"/>
        <v/>
      </c>
      <c r="T2407" s="317" t="str">
        <f>GLOBAL_DER_FEV_2023!S2407</f>
        <v/>
      </c>
      <c r="W2407" s="582">
        <v>0</v>
      </c>
      <c r="X2407" s="580"/>
      <c r="Y2407" s="583">
        <f>IF(GLOBAL_DER_FEV_2023!W2407=0,0,IF(GLOBAL_DER_FEV_2023!W2407&gt;0,"c","b"))</f>
        <v>0</v>
      </c>
    </row>
    <row r="2408" spans="1:25" ht="15" hidden="1" customHeight="1" x14ac:dyDescent="0.2">
      <c r="A2408" s="317" t="s">
        <v>147</v>
      </c>
      <c r="B2408" s="895" t="s">
        <v>147</v>
      </c>
      <c r="C2408" s="896"/>
      <c r="D2408" s="957" t="s">
        <v>190</v>
      </c>
      <c r="E2408" s="907">
        <f>GLOBAL_DER_FEV_2023!E2408</f>
        <v>308</v>
      </c>
      <c r="F2408" s="908">
        <f>GLOBAL_DER_FEV_2023!F2408</f>
        <v>0</v>
      </c>
      <c r="G2408" s="909">
        <f>GLOBAL_DER_FEV_2023!G2408</f>
        <v>0</v>
      </c>
      <c r="H2408" s="901">
        <f>GLOBAL_DER_FEV_2023!H2408</f>
        <v>0</v>
      </c>
      <c r="I2408" s="901" t="str">
        <f>GLOBAL_DER_FEV_2023!I2408</f>
        <v/>
      </c>
      <c r="J2408" s="902">
        <f>GLOBAL_DER_FEV_2023!J2408</f>
        <v>0</v>
      </c>
      <c r="K2408" s="958" t="s">
        <v>507</v>
      </c>
      <c r="L2408" s="959"/>
      <c r="M2408" s="1157">
        <f t="shared" si="182"/>
        <v>0</v>
      </c>
      <c r="N2408" s="1176">
        <f t="shared" si="186"/>
        <v>0</v>
      </c>
      <c r="O2408" s="905"/>
      <c r="P2408" s="58" t="str">
        <f>IF(N2407&gt;0,"xx",IF(N2407&gt;0,"xy",""))</f>
        <v/>
      </c>
      <c r="Q2408" s="317" t="str">
        <f t="shared" si="183"/>
        <v/>
      </c>
      <c r="R2408" s="317" t="str">
        <f t="shared" si="184"/>
        <v/>
      </c>
      <c r="S2408" s="317" t="str">
        <f t="shared" si="185"/>
        <v/>
      </c>
      <c r="T2408" s="317" t="str">
        <f>GLOBAL_DER_FEV_2023!S2408</f>
        <v/>
      </c>
      <c r="W2408" s="582">
        <v>0</v>
      </c>
      <c r="X2408" s="580"/>
      <c r="Y2408" s="583">
        <f>IF(GLOBAL_DER_FEV_2023!W2408=0,0,IF(GLOBAL_DER_FEV_2023!W2408&gt;0,"c","b"))</f>
        <v>0</v>
      </c>
    </row>
    <row r="2409" spans="1:25" ht="15" hidden="1" customHeight="1" x14ac:dyDescent="0.2">
      <c r="A2409" s="317" t="s">
        <v>147</v>
      </c>
      <c r="B2409" s="895" t="s">
        <v>147</v>
      </c>
      <c r="C2409" s="896"/>
      <c r="D2409" s="957" t="s">
        <v>229</v>
      </c>
      <c r="E2409" s="907">
        <f>GLOBAL_DER_FEV_2023!E2409</f>
        <v>150</v>
      </c>
      <c r="F2409" s="908">
        <f>GLOBAL_DER_FEV_2023!F2409</f>
        <v>0</v>
      </c>
      <c r="G2409" s="949">
        <f>GLOBAL_DER_FEV_2023!G2409</f>
        <v>0</v>
      </c>
      <c r="H2409" s="901">
        <f>GLOBAL_DER_FEV_2023!H2409</f>
        <v>0</v>
      </c>
      <c r="I2409" s="901" t="str">
        <f>GLOBAL_DER_FEV_2023!I2409</f>
        <v/>
      </c>
      <c r="J2409" s="902">
        <f>GLOBAL_DER_FEV_2023!J2409</f>
        <v>0</v>
      </c>
      <c r="K2409" s="958" t="s">
        <v>507</v>
      </c>
      <c r="L2409" s="959"/>
      <c r="M2409" s="1157">
        <f t="shared" si="182"/>
        <v>0</v>
      </c>
      <c r="N2409" s="1176">
        <f t="shared" si="186"/>
        <v>0</v>
      </c>
      <c r="O2409" s="905"/>
      <c r="P2409" s="58" t="str">
        <f>IF(N2407&gt;0,"xx",IF(N2407&gt;0,"xy",""))</f>
        <v/>
      </c>
      <c r="Q2409" s="317" t="str">
        <f t="shared" si="183"/>
        <v/>
      </c>
      <c r="R2409" s="317" t="str">
        <f t="shared" si="184"/>
        <v/>
      </c>
      <c r="S2409" s="317" t="str">
        <f t="shared" si="185"/>
        <v/>
      </c>
      <c r="T2409" s="317" t="str">
        <f>GLOBAL_DER_FEV_2023!S2409</f>
        <v/>
      </c>
      <c r="W2409" s="582">
        <v>0</v>
      </c>
      <c r="X2409" s="580"/>
      <c r="Y2409" s="583">
        <f>IF(GLOBAL_DER_FEV_2023!W2409=0,0,IF(GLOBAL_DER_FEV_2023!W2409&gt;0,"c","b"))</f>
        <v>0</v>
      </c>
    </row>
    <row r="2410" spans="1:25" ht="15" hidden="1" customHeight="1" x14ac:dyDescent="0.2">
      <c r="A2410" s="317" t="s">
        <v>147</v>
      </c>
      <c r="B2410" s="895" t="s">
        <v>147</v>
      </c>
      <c r="C2410" s="896"/>
      <c r="D2410" s="957" t="s">
        <v>233</v>
      </c>
      <c r="E2410" s="907">
        <f>GLOBAL_DER_FEV_2023!E2410</f>
        <v>0.2</v>
      </c>
      <c r="F2410" s="908">
        <f>GLOBAL_DER_FEV_2023!F2410</f>
        <v>0</v>
      </c>
      <c r="G2410" s="949">
        <f>GLOBAL_DER_FEV_2023!G2410</f>
        <v>0</v>
      </c>
      <c r="H2410" s="901">
        <f>GLOBAL_DER_FEV_2023!H2410</f>
        <v>0</v>
      </c>
      <c r="I2410" s="901" t="str">
        <f>GLOBAL_DER_FEV_2023!I2410</f>
        <v/>
      </c>
      <c r="J2410" s="902">
        <f>GLOBAL_DER_FEV_2023!J2410</f>
        <v>0</v>
      </c>
      <c r="K2410" s="958" t="s">
        <v>507</v>
      </c>
      <c r="L2410" s="959"/>
      <c r="M2410" s="1157">
        <f t="shared" si="182"/>
        <v>0</v>
      </c>
      <c r="N2410" s="1176">
        <f t="shared" si="186"/>
        <v>0</v>
      </c>
      <c r="O2410" s="905"/>
      <c r="P2410" s="58" t="str">
        <f>IF(N2407&gt;0,"xx",IF(N2407&gt;0,"xy",""))</f>
        <v/>
      </c>
      <c r="Q2410" s="317" t="str">
        <f t="shared" si="183"/>
        <v/>
      </c>
      <c r="R2410" s="317" t="str">
        <f t="shared" si="184"/>
        <v/>
      </c>
      <c r="S2410" s="317" t="str">
        <f t="shared" si="185"/>
        <v/>
      </c>
      <c r="T2410" s="317" t="str">
        <f>GLOBAL_DER_FEV_2023!S2410</f>
        <v/>
      </c>
      <c r="W2410" s="582">
        <v>0</v>
      </c>
      <c r="X2410" s="580"/>
      <c r="Y2410" s="583">
        <f>IF(GLOBAL_DER_FEV_2023!W2410=0,0,IF(GLOBAL_DER_FEV_2023!W2410&gt;0,"c","b"))</f>
        <v>0</v>
      </c>
    </row>
    <row r="2411" spans="1:25" ht="15" hidden="1" customHeight="1" x14ac:dyDescent="0.2">
      <c r="A2411" s="317" t="s">
        <v>147</v>
      </c>
      <c r="B2411" s="895" t="s">
        <v>147</v>
      </c>
      <c r="C2411" s="896"/>
      <c r="D2411" s="957" t="s">
        <v>365</v>
      </c>
      <c r="E2411" s="907">
        <f>GLOBAL_DER_FEV_2023!E2411</f>
        <v>10</v>
      </c>
      <c r="F2411" s="908">
        <f>GLOBAL_DER_FEV_2023!F2411</f>
        <v>0</v>
      </c>
      <c r="G2411" s="949">
        <f>GLOBAL_DER_FEV_2023!G2411</f>
        <v>0</v>
      </c>
      <c r="H2411" s="901">
        <f>GLOBAL_DER_FEV_2023!H2411</f>
        <v>0</v>
      </c>
      <c r="I2411" s="901" t="str">
        <f>GLOBAL_DER_FEV_2023!I2411</f>
        <v/>
      </c>
      <c r="J2411" s="902">
        <f>GLOBAL_DER_FEV_2023!J2411</f>
        <v>0</v>
      </c>
      <c r="K2411" s="958" t="s">
        <v>507</v>
      </c>
      <c r="L2411" s="959"/>
      <c r="M2411" s="1157">
        <f t="shared" si="182"/>
        <v>0</v>
      </c>
      <c r="N2411" s="1176">
        <f t="shared" si="186"/>
        <v>0</v>
      </c>
      <c r="O2411" s="905"/>
      <c r="P2411" s="58" t="str">
        <f>IF(N2407&gt;0,"xx",IF(N2407&gt;0,"xy",""))</f>
        <v/>
      </c>
      <c r="Q2411" s="317" t="str">
        <f t="shared" si="183"/>
        <v/>
      </c>
      <c r="R2411" s="317" t="str">
        <f t="shared" si="184"/>
        <v/>
      </c>
      <c r="S2411" s="317" t="str">
        <f t="shared" si="185"/>
        <v/>
      </c>
      <c r="T2411" s="317" t="str">
        <f>GLOBAL_DER_FEV_2023!S2411</f>
        <v/>
      </c>
      <c r="W2411" s="582">
        <v>0</v>
      </c>
      <c r="X2411" s="580"/>
      <c r="Y2411" s="583">
        <f>IF(GLOBAL_DER_FEV_2023!W2411=0,0,IF(GLOBAL_DER_FEV_2023!W2411&gt;0,"c","b"))</f>
        <v>0</v>
      </c>
    </row>
    <row r="2412" spans="1:25" ht="15" hidden="1" customHeight="1" x14ac:dyDescent="0.2">
      <c r="A2412" s="317" t="s">
        <v>147</v>
      </c>
      <c r="B2412" s="895" t="s">
        <v>147</v>
      </c>
      <c r="C2412" s="896"/>
      <c r="D2412" s="957" t="s">
        <v>366</v>
      </c>
      <c r="E2412" s="907">
        <f>GLOBAL_DER_FEV_2023!E2412</f>
        <v>353</v>
      </c>
      <c r="F2412" s="908">
        <f>GLOBAL_DER_FEV_2023!F2412</f>
        <v>0</v>
      </c>
      <c r="G2412" s="909">
        <f>GLOBAL_DER_FEV_2023!G2412</f>
        <v>0</v>
      </c>
      <c r="H2412" s="901">
        <f>GLOBAL_DER_FEV_2023!H2412</f>
        <v>0</v>
      </c>
      <c r="I2412" s="901" t="str">
        <f>GLOBAL_DER_FEV_2023!I2412</f>
        <v/>
      </c>
      <c r="J2412" s="902">
        <f>GLOBAL_DER_FEV_2023!J2412</f>
        <v>0</v>
      </c>
      <c r="K2412" s="958" t="s">
        <v>507</v>
      </c>
      <c r="L2412" s="959"/>
      <c r="M2412" s="1157">
        <f t="shared" si="182"/>
        <v>0</v>
      </c>
      <c r="N2412" s="1176">
        <f t="shared" si="186"/>
        <v>0</v>
      </c>
      <c r="O2412" s="905"/>
      <c r="P2412" s="58" t="str">
        <f>IF(N2407&gt;0,"xx",IF(N2407&gt;0,"xy",""))</f>
        <v/>
      </c>
      <c r="Q2412" s="317" t="str">
        <f t="shared" si="183"/>
        <v/>
      </c>
      <c r="R2412" s="317" t="str">
        <f t="shared" si="184"/>
        <v/>
      </c>
      <c r="S2412" s="317" t="str">
        <f t="shared" si="185"/>
        <v/>
      </c>
      <c r="T2412" s="317" t="str">
        <f>GLOBAL_DER_FEV_2023!S2412</f>
        <v/>
      </c>
      <c r="W2412" s="582">
        <v>0</v>
      </c>
      <c r="X2412" s="580"/>
      <c r="Y2412" s="583">
        <f>IF(GLOBAL_DER_FEV_2023!W2412=0,0,IF(GLOBAL_DER_FEV_2023!W2412&gt;0,"c","b"))</f>
        <v>0</v>
      </c>
    </row>
    <row r="2413" spans="1:25" ht="15" hidden="1" customHeight="1" x14ac:dyDescent="0.2">
      <c r="A2413" s="317" t="s">
        <v>394</v>
      </c>
      <c r="B2413" s="895" t="s">
        <v>394</v>
      </c>
      <c r="C2413" s="896" t="s">
        <v>184</v>
      </c>
      <c r="D2413" s="906" t="str">
        <f>'ENSAIOS DE ORÇAMENTO'!C73</f>
        <v>ENSAIO DE ORÇAMENTO 2</v>
      </c>
      <c r="E2413" s="907">
        <f>GLOBAL_DER_FEV_2023!E2413</f>
        <v>0</v>
      </c>
      <c r="F2413" s="908">
        <f>GLOBAL_DER_FEV_2023!F2413</f>
        <v>0</v>
      </c>
      <c r="G2413" s="912">
        <f>GLOBAL_DER_FEV_2023!G2413</f>
        <v>0</v>
      </c>
      <c r="H2413" s="901">
        <f>GLOBAL_DER_FEV_2023!H2413</f>
        <v>0</v>
      </c>
      <c r="I2413" s="901">
        <f>GLOBAL_DER_FEV_2023!I2413</f>
        <v>0</v>
      </c>
      <c r="J2413" s="902">
        <f>GLOBAL_DER_FEV_2023!J2413</f>
        <v>0</v>
      </c>
      <c r="K2413" s="903" t="s">
        <v>15</v>
      </c>
      <c r="L2413" s="1137"/>
      <c r="M2413" s="1138">
        <f t="shared" si="182"/>
        <v>0</v>
      </c>
      <c r="N2413" s="1176">
        <f t="shared" si="186"/>
        <v>0</v>
      </c>
      <c r="O2413" s="905"/>
      <c r="Q2413" s="317" t="str">
        <f t="shared" si="183"/>
        <v/>
      </c>
      <c r="R2413" s="317" t="str">
        <f t="shared" si="184"/>
        <v/>
      </c>
      <c r="S2413" s="317" t="str">
        <f t="shared" si="185"/>
        <v/>
      </c>
      <c r="T2413" s="317" t="str">
        <f>GLOBAL_DER_FEV_2023!S2413</f>
        <v/>
      </c>
      <c r="W2413" s="582">
        <v>0</v>
      </c>
      <c r="X2413" s="580"/>
      <c r="Y2413" s="583">
        <f>IF(GLOBAL_DER_FEV_2023!W2413=0,0,IF(GLOBAL_DER_FEV_2023!W2413&gt;0,"c","b"))</f>
        <v>0</v>
      </c>
    </row>
    <row r="2414" spans="1:25" ht="15" hidden="1" customHeight="1" x14ac:dyDescent="0.2">
      <c r="A2414" s="317" t="s">
        <v>147</v>
      </c>
      <c r="B2414" s="895" t="s">
        <v>147</v>
      </c>
      <c r="C2414" s="896"/>
      <c r="D2414" s="957" t="s">
        <v>190</v>
      </c>
      <c r="E2414" s="907">
        <f>GLOBAL_DER_FEV_2023!E2414</f>
        <v>308</v>
      </c>
      <c r="F2414" s="908">
        <f>GLOBAL_DER_FEV_2023!F2414</f>
        <v>0</v>
      </c>
      <c r="G2414" s="909">
        <f>GLOBAL_DER_FEV_2023!G2414</f>
        <v>0</v>
      </c>
      <c r="H2414" s="901">
        <f>GLOBAL_DER_FEV_2023!H2414</f>
        <v>0</v>
      </c>
      <c r="I2414" s="901" t="str">
        <f>GLOBAL_DER_FEV_2023!I2414</f>
        <v/>
      </c>
      <c r="J2414" s="902">
        <f>GLOBAL_DER_FEV_2023!J2414</f>
        <v>0</v>
      </c>
      <c r="K2414" s="958" t="s">
        <v>507</v>
      </c>
      <c r="L2414" s="959"/>
      <c r="M2414" s="1157">
        <f t="shared" si="182"/>
        <v>0</v>
      </c>
      <c r="N2414" s="1176">
        <f t="shared" si="186"/>
        <v>0</v>
      </c>
      <c r="O2414" s="905"/>
      <c r="P2414" s="58" t="str">
        <f>IF(N2413&gt;0,"xx",IF(N2413&gt;0,"xy",""))</f>
        <v/>
      </c>
      <c r="Q2414" s="317" t="str">
        <f t="shared" si="183"/>
        <v/>
      </c>
      <c r="R2414" s="317" t="str">
        <f t="shared" si="184"/>
        <v/>
      </c>
      <c r="S2414" s="317" t="str">
        <f t="shared" si="185"/>
        <v/>
      </c>
      <c r="T2414" s="317" t="str">
        <f>GLOBAL_DER_FEV_2023!S2414</f>
        <v/>
      </c>
      <c r="W2414" s="582">
        <v>0</v>
      </c>
      <c r="X2414" s="580"/>
      <c r="Y2414" s="583">
        <f>IF(GLOBAL_DER_FEV_2023!W2414=0,0,IF(GLOBAL_DER_FEV_2023!W2414&gt;0,"c","b"))</f>
        <v>0</v>
      </c>
    </row>
    <row r="2415" spans="1:25" ht="15" hidden="1" customHeight="1" x14ac:dyDescent="0.2">
      <c r="A2415" s="317" t="s">
        <v>147</v>
      </c>
      <c r="B2415" s="895" t="s">
        <v>147</v>
      </c>
      <c r="C2415" s="896"/>
      <c r="D2415" s="957" t="s">
        <v>229</v>
      </c>
      <c r="E2415" s="907">
        <f>GLOBAL_DER_FEV_2023!E2415</f>
        <v>150</v>
      </c>
      <c r="F2415" s="908">
        <f>GLOBAL_DER_FEV_2023!F2415</f>
        <v>0</v>
      </c>
      <c r="G2415" s="949">
        <f>GLOBAL_DER_FEV_2023!G2415</f>
        <v>0</v>
      </c>
      <c r="H2415" s="901">
        <f>GLOBAL_DER_FEV_2023!H2415</f>
        <v>0</v>
      </c>
      <c r="I2415" s="901" t="str">
        <f>GLOBAL_DER_FEV_2023!I2415</f>
        <v/>
      </c>
      <c r="J2415" s="902">
        <f>GLOBAL_DER_FEV_2023!J2415</f>
        <v>0</v>
      </c>
      <c r="K2415" s="958" t="s">
        <v>507</v>
      </c>
      <c r="L2415" s="959"/>
      <c r="M2415" s="1157">
        <f t="shared" si="182"/>
        <v>0</v>
      </c>
      <c r="N2415" s="1176">
        <f t="shared" si="186"/>
        <v>0</v>
      </c>
      <c r="O2415" s="905"/>
      <c r="P2415" s="58" t="str">
        <f>IF(N2413&gt;0,"xx",IF(N2413&gt;0,"xy",""))</f>
        <v/>
      </c>
      <c r="Q2415" s="317" t="str">
        <f t="shared" si="183"/>
        <v/>
      </c>
      <c r="R2415" s="317" t="str">
        <f t="shared" si="184"/>
        <v/>
      </c>
      <c r="S2415" s="317" t="str">
        <f t="shared" si="185"/>
        <v/>
      </c>
      <c r="T2415" s="317" t="str">
        <f>GLOBAL_DER_FEV_2023!S2415</f>
        <v/>
      </c>
      <c r="W2415" s="582">
        <v>0</v>
      </c>
      <c r="X2415" s="580"/>
      <c r="Y2415" s="583">
        <f>IF(GLOBAL_DER_FEV_2023!W2415=0,0,IF(GLOBAL_DER_FEV_2023!W2415&gt;0,"c","b"))</f>
        <v>0</v>
      </c>
    </row>
    <row r="2416" spans="1:25" ht="15" hidden="1" customHeight="1" x14ac:dyDescent="0.2">
      <c r="A2416" s="317" t="s">
        <v>147</v>
      </c>
      <c r="B2416" s="895" t="s">
        <v>147</v>
      </c>
      <c r="C2416" s="896"/>
      <c r="D2416" s="957" t="s">
        <v>233</v>
      </c>
      <c r="E2416" s="907">
        <f>GLOBAL_DER_FEV_2023!E2416</f>
        <v>0.2</v>
      </c>
      <c r="F2416" s="908">
        <f>GLOBAL_DER_FEV_2023!F2416</f>
        <v>0</v>
      </c>
      <c r="G2416" s="949">
        <f>GLOBAL_DER_FEV_2023!G2416</f>
        <v>0</v>
      </c>
      <c r="H2416" s="901">
        <f>GLOBAL_DER_FEV_2023!H2416</f>
        <v>0</v>
      </c>
      <c r="I2416" s="901" t="str">
        <f>GLOBAL_DER_FEV_2023!I2416</f>
        <v/>
      </c>
      <c r="J2416" s="902">
        <f>GLOBAL_DER_FEV_2023!J2416</f>
        <v>0</v>
      </c>
      <c r="K2416" s="958" t="s">
        <v>507</v>
      </c>
      <c r="L2416" s="959"/>
      <c r="M2416" s="1157">
        <f t="shared" si="182"/>
        <v>0</v>
      </c>
      <c r="N2416" s="1176">
        <f t="shared" si="186"/>
        <v>0</v>
      </c>
      <c r="O2416" s="905"/>
      <c r="P2416" s="58" t="str">
        <f>IF(N2413&gt;0,"xx",IF(N2413&gt;0,"xy",""))</f>
        <v/>
      </c>
      <c r="Q2416" s="317" t="str">
        <f t="shared" si="183"/>
        <v/>
      </c>
      <c r="R2416" s="317" t="str">
        <f t="shared" si="184"/>
        <v/>
      </c>
      <c r="S2416" s="317" t="str">
        <f t="shared" si="185"/>
        <v/>
      </c>
      <c r="T2416" s="317" t="str">
        <f>GLOBAL_DER_FEV_2023!S2416</f>
        <v/>
      </c>
      <c r="W2416" s="582">
        <v>0</v>
      </c>
      <c r="X2416" s="580"/>
      <c r="Y2416" s="583">
        <f>IF(GLOBAL_DER_FEV_2023!W2416=0,0,IF(GLOBAL_DER_FEV_2023!W2416&gt;0,"c","b"))</f>
        <v>0</v>
      </c>
    </row>
    <row r="2417" spans="1:25" ht="15" hidden="1" customHeight="1" x14ac:dyDescent="0.2">
      <c r="A2417" s="317" t="s">
        <v>147</v>
      </c>
      <c r="B2417" s="895" t="s">
        <v>147</v>
      </c>
      <c r="C2417" s="896"/>
      <c r="D2417" s="957" t="s">
        <v>365</v>
      </c>
      <c r="E2417" s="907">
        <f>GLOBAL_DER_FEV_2023!E2417</f>
        <v>10</v>
      </c>
      <c r="F2417" s="908">
        <f>GLOBAL_DER_FEV_2023!F2417</f>
        <v>0</v>
      </c>
      <c r="G2417" s="949">
        <f>GLOBAL_DER_FEV_2023!G2417</f>
        <v>0</v>
      </c>
      <c r="H2417" s="901">
        <f>GLOBAL_DER_FEV_2023!H2417</f>
        <v>0</v>
      </c>
      <c r="I2417" s="901" t="str">
        <f>GLOBAL_DER_FEV_2023!I2417</f>
        <v/>
      </c>
      <c r="J2417" s="902">
        <f>GLOBAL_DER_FEV_2023!J2417</f>
        <v>0</v>
      </c>
      <c r="K2417" s="958" t="s">
        <v>507</v>
      </c>
      <c r="L2417" s="959"/>
      <c r="M2417" s="1157">
        <f t="shared" si="182"/>
        <v>0</v>
      </c>
      <c r="N2417" s="1176">
        <f t="shared" si="186"/>
        <v>0</v>
      </c>
      <c r="O2417" s="905"/>
      <c r="P2417" s="58" t="str">
        <f>IF(N2413&gt;0,"xx",IF(N2413&gt;0,"xy",""))</f>
        <v/>
      </c>
      <c r="Q2417" s="317" t="str">
        <f t="shared" si="183"/>
        <v/>
      </c>
      <c r="R2417" s="317" t="str">
        <f t="shared" si="184"/>
        <v/>
      </c>
      <c r="S2417" s="317" t="str">
        <f t="shared" si="185"/>
        <v/>
      </c>
      <c r="T2417" s="317" t="str">
        <f>GLOBAL_DER_FEV_2023!S2417</f>
        <v/>
      </c>
      <c r="W2417" s="582">
        <v>0</v>
      </c>
      <c r="X2417" s="580"/>
      <c r="Y2417" s="583">
        <f>IF(GLOBAL_DER_FEV_2023!W2417=0,0,IF(GLOBAL_DER_FEV_2023!W2417&gt;0,"c","b"))</f>
        <v>0</v>
      </c>
    </row>
    <row r="2418" spans="1:25" ht="15" hidden="1" customHeight="1" x14ac:dyDescent="0.2">
      <c r="A2418" s="317" t="s">
        <v>147</v>
      </c>
      <c r="B2418" s="895" t="s">
        <v>147</v>
      </c>
      <c r="C2418" s="896"/>
      <c r="D2418" s="957" t="s">
        <v>366</v>
      </c>
      <c r="E2418" s="907">
        <f>GLOBAL_DER_FEV_2023!E2418</f>
        <v>353</v>
      </c>
      <c r="F2418" s="908">
        <f>GLOBAL_DER_FEV_2023!F2418</f>
        <v>0</v>
      </c>
      <c r="G2418" s="909">
        <f>GLOBAL_DER_FEV_2023!G2418</f>
        <v>0</v>
      </c>
      <c r="H2418" s="901">
        <f>GLOBAL_DER_FEV_2023!H2418</f>
        <v>0</v>
      </c>
      <c r="I2418" s="901" t="str">
        <f>GLOBAL_DER_FEV_2023!I2418</f>
        <v/>
      </c>
      <c r="J2418" s="902">
        <f>GLOBAL_DER_FEV_2023!J2418</f>
        <v>0</v>
      </c>
      <c r="K2418" s="958" t="s">
        <v>507</v>
      </c>
      <c r="L2418" s="959"/>
      <c r="M2418" s="1157">
        <f t="shared" si="182"/>
        <v>0</v>
      </c>
      <c r="N2418" s="1176">
        <f t="shared" si="186"/>
        <v>0</v>
      </c>
      <c r="O2418" s="905"/>
      <c r="P2418" s="58" t="str">
        <f>IF(N2413&gt;0,"xx",IF(N2413&gt;0,"xy",""))</f>
        <v/>
      </c>
      <c r="Q2418" s="317" t="str">
        <f t="shared" si="183"/>
        <v/>
      </c>
      <c r="R2418" s="317" t="str">
        <f t="shared" si="184"/>
        <v/>
      </c>
      <c r="S2418" s="317" t="str">
        <f t="shared" si="185"/>
        <v/>
      </c>
      <c r="T2418" s="317" t="str">
        <f>GLOBAL_DER_FEV_2023!S2418</f>
        <v/>
      </c>
      <c r="W2418" s="582">
        <v>0</v>
      </c>
      <c r="X2418" s="580"/>
      <c r="Y2418" s="583">
        <f>IF(GLOBAL_DER_FEV_2023!W2418=0,0,IF(GLOBAL_DER_FEV_2023!W2418&gt;0,"c","b"))</f>
        <v>0</v>
      </c>
    </row>
    <row r="2419" spans="1:25" ht="15" hidden="1" customHeight="1" x14ac:dyDescent="0.2">
      <c r="A2419" s="317" t="s">
        <v>395</v>
      </c>
      <c r="B2419" s="895" t="s">
        <v>395</v>
      </c>
      <c r="C2419" s="896" t="s">
        <v>184</v>
      </c>
      <c r="D2419" s="906" t="str">
        <f>'ENSAIOS DE ORÇAMENTO'!C74</f>
        <v>ENSAIO DE ORÇAMENTO 3</v>
      </c>
      <c r="E2419" s="907">
        <f>GLOBAL_DER_FEV_2023!E2419</f>
        <v>0</v>
      </c>
      <c r="F2419" s="908">
        <f>GLOBAL_DER_FEV_2023!F2419</f>
        <v>0</v>
      </c>
      <c r="G2419" s="912">
        <f>GLOBAL_DER_FEV_2023!G2419</f>
        <v>0</v>
      </c>
      <c r="H2419" s="901">
        <f>GLOBAL_DER_FEV_2023!H2419</f>
        <v>0</v>
      </c>
      <c r="I2419" s="901">
        <f>GLOBAL_DER_FEV_2023!I2419</f>
        <v>0</v>
      </c>
      <c r="J2419" s="902">
        <f>GLOBAL_DER_FEV_2023!J2419</f>
        <v>0</v>
      </c>
      <c r="K2419" s="903" t="s">
        <v>15</v>
      </c>
      <c r="L2419" s="1137"/>
      <c r="M2419" s="1138">
        <f t="shared" si="182"/>
        <v>0</v>
      </c>
      <c r="N2419" s="1176">
        <f t="shared" si="186"/>
        <v>0</v>
      </c>
      <c r="O2419" s="905"/>
      <c r="Q2419" s="317" t="str">
        <f t="shared" si="183"/>
        <v/>
      </c>
      <c r="R2419" s="317" t="str">
        <f t="shared" si="184"/>
        <v/>
      </c>
      <c r="S2419" s="317" t="str">
        <f t="shared" si="185"/>
        <v/>
      </c>
      <c r="T2419" s="317" t="str">
        <f>GLOBAL_DER_FEV_2023!S2419</f>
        <v/>
      </c>
      <c r="W2419" s="582">
        <v>0</v>
      </c>
      <c r="X2419" s="580"/>
      <c r="Y2419" s="583">
        <f>IF(GLOBAL_DER_FEV_2023!W2419=0,0,IF(GLOBAL_DER_FEV_2023!W2419&gt;0,"c","b"))</f>
        <v>0</v>
      </c>
    </row>
    <row r="2420" spans="1:25" ht="15" hidden="1" customHeight="1" x14ac:dyDescent="0.2">
      <c r="A2420" s="317" t="s">
        <v>147</v>
      </c>
      <c r="B2420" s="895" t="s">
        <v>147</v>
      </c>
      <c r="C2420" s="896"/>
      <c r="D2420" s="957" t="s">
        <v>190</v>
      </c>
      <c r="E2420" s="907">
        <f>GLOBAL_DER_FEV_2023!E2420</f>
        <v>308</v>
      </c>
      <c r="F2420" s="908">
        <f>GLOBAL_DER_FEV_2023!F2420</f>
        <v>0</v>
      </c>
      <c r="G2420" s="909">
        <f>GLOBAL_DER_FEV_2023!G2420</f>
        <v>0</v>
      </c>
      <c r="H2420" s="901">
        <f>GLOBAL_DER_FEV_2023!H2420</f>
        <v>0</v>
      </c>
      <c r="I2420" s="901" t="str">
        <f>GLOBAL_DER_FEV_2023!I2420</f>
        <v/>
      </c>
      <c r="J2420" s="902">
        <f>GLOBAL_DER_FEV_2023!J2420</f>
        <v>0</v>
      </c>
      <c r="K2420" s="958" t="s">
        <v>507</v>
      </c>
      <c r="L2420" s="959"/>
      <c r="M2420" s="1157">
        <f t="shared" si="182"/>
        <v>0</v>
      </c>
      <c r="N2420" s="1176">
        <f t="shared" si="186"/>
        <v>0</v>
      </c>
      <c r="O2420" s="905"/>
      <c r="P2420" s="58" t="str">
        <f>IF(N2419&gt;0,"xx",IF(N2419&gt;0,"xy",""))</f>
        <v/>
      </c>
      <c r="Q2420" s="317" t="str">
        <f t="shared" si="183"/>
        <v/>
      </c>
      <c r="R2420" s="317" t="str">
        <f t="shared" si="184"/>
        <v/>
      </c>
      <c r="S2420" s="317" t="str">
        <f t="shared" si="185"/>
        <v/>
      </c>
      <c r="T2420" s="317" t="str">
        <f>GLOBAL_DER_FEV_2023!S2420</f>
        <v/>
      </c>
      <c r="W2420" s="582">
        <v>0</v>
      </c>
      <c r="X2420" s="580"/>
      <c r="Y2420" s="583">
        <f>IF(GLOBAL_DER_FEV_2023!W2420=0,0,IF(GLOBAL_DER_FEV_2023!W2420&gt;0,"c","b"))</f>
        <v>0</v>
      </c>
    </row>
    <row r="2421" spans="1:25" ht="15" hidden="1" customHeight="1" x14ac:dyDescent="0.2">
      <c r="A2421" s="317" t="s">
        <v>147</v>
      </c>
      <c r="B2421" s="895" t="s">
        <v>147</v>
      </c>
      <c r="C2421" s="896"/>
      <c r="D2421" s="957" t="s">
        <v>229</v>
      </c>
      <c r="E2421" s="907">
        <f>GLOBAL_DER_FEV_2023!E2421</f>
        <v>150</v>
      </c>
      <c r="F2421" s="908">
        <f>GLOBAL_DER_FEV_2023!F2421</f>
        <v>0</v>
      </c>
      <c r="G2421" s="949">
        <f>GLOBAL_DER_FEV_2023!G2421</f>
        <v>0</v>
      </c>
      <c r="H2421" s="901">
        <f>GLOBAL_DER_FEV_2023!H2421</f>
        <v>0</v>
      </c>
      <c r="I2421" s="901" t="str">
        <f>GLOBAL_DER_FEV_2023!I2421</f>
        <v/>
      </c>
      <c r="J2421" s="902">
        <f>GLOBAL_DER_FEV_2023!J2421</f>
        <v>0</v>
      </c>
      <c r="K2421" s="958" t="s">
        <v>507</v>
      </c>
      <c r="L2421" s="959"/>
      <c r="M2421" s="1157">
        <f t="shared" si="182"/>
        <v>0</v>
      </c>
      <c r="N2421" s="1176">
        <f t="shared" si="186"/>
        <v>0</v>
      </c>
      <c r="O2421" s="905"/>
      <c r="P2421" s="58" t="str">
        <f>IF(N2419&gt;0,"xx",IF(N2419&gt;0,"xy",""))</f>
        <v/>
      </c>
      <c r="Q2421" s="317" t="str">
        <f t="shared" si="183"/>
        <v/>
      </c>
      <c r="R2421" s="317" t="str">
        <f t="shared" si="184"/>
        <v/>
      </c>
      <c r="S2421" s="317" t="str">
        <f t="shared" si="185"/>
        <v/>
      </c>
      <c r="T2421" s="317" t="str">
        <f>GLOBAL_DER_FEV_2023!S2421</f>
        <v/>
      </c>
      <c r="W2421" s="582">
        <v>0</v>
      </c>
      <c r="X2421" s="580"/>
      <c r="Y2421" s="583">
        <f>IF(GLOBAL_DER_FEV_2023!W2421=0,0,IF(GLOBAL_DER_FEV_2023!W2421&gt;0,"c","b"))</f>
        <v>0</v>
      </c>
    </row>
    <row r="2422" spans="1:25" ht="15" hidden="1" customHeight="1" x14ac:dyDescent="0.2">
      <c r="A2422" s="317" t="s">
        <v>147</v>
      </c>
      <c r="B2422" s="895" t="s">
        <v>147</v>
      </c>
      <c r="C2422" s="896"/>
      <c r="D2422" s="957" t="s">
        <v>233</v>
      </c>
      <c r="E2422" s="907">
        <f>GLOBAL_DER_FEV_2023!E2422</f>
        <v>0.2</v>
      </c>
      <c r="F2422" s="908">
        <f>GLOBAL_DER_FEV_2023!F2422</f>
        <v>0</v>
      </c>
      <c r="G2422" s="949">
        <f>GLOBAL_DER_FEV_2023!G2422</f>
        <v>0</v>
      </c>
      <c r="H2422" s="901">
        <f>GLOBAL_DER_FEV_2023!H2422</f>
        <v>0</v>
      </c>
      <c r="I2422" s="901" t="str">
        <f>GLOBAL_DER_FEV_2023!I2422</f>
        <v/>
      </c>
      <c r="J2422" s="902">
        <f>GLOBAL_DER_FEV_2023!J2422</f>
        <v>0</v>
      </c>
      <c r="K2422" s="958" t="s">
        <v>507</v>
      </c>
      <c r="L2422" s="959"/>
      <c r="M2422" s="1157">
        <f t="shared" si="182"/>
        <v>0</v>
      </c>
      <c r="N2422" s="1176">
        <f t="shared" si="186"/>
        <v>0</v>
      </c>
      <c r="O2422" s="905"/>
      <c r="P2422" s="58" t="str">
        <f>IF(N2419&gt;0,"xx",IF(N2419&gt;0,"xy",""))</f>
        <v/>
      </c>
      <c r="Q2422" s="317" t="str">
        <f t="shared" si="183"/>
        <v/>
      </c>
      <c r="R2422" s="317" t="str">
        <f t="shared" si="184"/>
        <v/>
      </c>
      <c r="S2422" s="317" t="str">
        <f t="shared" si="185"/>
        <v/>
      </c>
      <c r="T2422" s="317" t="str">
        <f>GLOBAL_DER_FEV_2023!S2422</f>
        <v/>
      </c>
      <c r="W2422" s="582">
        <v>0</v>
      </c>
      <c r="X2422" s="580"/>
      <c r="Y2422" s="583">
        <f>IF(GLOBAL_DER_FEV_2023!W2422=0,0,IF(GLOBAL_DER_FEV_2023!W2422&gt;0,"c","b"))</f>
        <v>0</v>
      </c>
    </row>
    <row r="2423" spans="1:25" ht="15" hidden="1" customHeight="1" x14ac:dyDescent="0.2">
      <c r="A2423" s="317" t="s">
        <v>147</v>
      </c>
      <c r="B2423" s="895" t="s">
        <v>147</v>
      </c>
      <c r="C2423" s="896"/>
      <c r="D2423" s="957" t="s">
        <v>365</v>
      </c>
      <c r="E2423" s="907">
        <f>GLOBAL_DER_FEV_2023!E2423</f>
        <v>10</v>
      </c>
      <c r="F2423" s="908">
        <f>GLOBAL_DER_FEV_2023!F2423</f>
        <v>0</v>
      </c>
      <c r="G2423" s="949">
        <f>GLOBAL_DER_FEV_2023!G2423</f>
        <v>0</v>
      </c>
      <c r="H2423" s="901">
        <f>GLOBAL_DER_FEV_2023!H2423</f>
        <v>0</v>
      </c>
      <c r="I2423" s="901" t="str">
        <f>GLOBAL_DER_FEV_2023!I2423</f>
        <v/>
      </c>
      <c r="J2423" s="902">
        <f>GLOBAL_DER_FEV_2023!J2423</f>
        <v>0</v>
      </c>
      <c r="K2423" s="958" t="s">
        <v>507</v>
      </c>
      <c r="L2423" s="959"/>
      <c r="M2423" s="1157">
        <f t="shared" si="182"/>
        <v>0</v>
      </c>
      <c r="N2423" s="1176">
        <f t="shared" si="186"/>
        <v>0</v>
      </c>
      <c r="O2423" s="905"/>
      <c r="P2423" s="58" t="str">
        <f>IF(N2419&gt;0,"xx",IF(N2419&gt;0,"xy",""))</f>
        <v/>
      </c>
      <c r="Q2423" s="317" t="str">
        <f t="shared" si="183"/>
        <v/>
      </c>
      <c r="R2423" s="317" t="str">
        <f t="shared" si="184"/>
        <v/>
      </c>
      <c r="S2423" s="317" t="str">
        <f t="shared" si="185"/>
        <v/>
      </c>
      <c r="T2423" s="317" t="str">
        <f>GLOBAL_DER_FEV_2023!S2423</f>
        <v/>
      </c>
      <c r="W2423" s="582">
        <v>0</v>
      </c>
      <c r="X2423" s="580"/>
      <c r="Y2423" s="583">
        <f>IF(GLOBAL_DER_FEV_2023!W2423=0,0,IF(GLOBAL_DER_FEV_2023!W2423&gt;0,"c","b"))</f>
        <v>0</v>
      </c>
    </row>
    <row r="2424" spans="1:25" ht="15" hidden="1" customHeight="1" x14ac:dyDescent="0.2">
      <c r="A2424" s="317" t="s">
        <v>147</v>
      </c>
      <c r="B2424" s="895" t="s">
        <v>147</v>
      </c>
      <c r="C2424" s="896"/>
      <c r="D2424" s="957" t="s">
        <v>366</v>
      </c>
      <c r="E2424" s="907">
        <f>GLOBAL_DER_FEV_2023!E2424</f>
        <v>353</v>
      </c>
      <c r="F2424" s="908">
        <f>GLOBAL_DER_FEV_2023!F2424</f>
        <v>0</v>
      </c>
      <c r="G2424" s="909">
        <f>GLOBAL_DER_FEV_2023!G2424</f>
        <v>0</v>
      </c>
      <c r="H2424" s="901">
        <f>GLOBAL_DER_FEV_2023!H2424</f>
        <v>0</v>
      </c>
      <c r="I2424" s="901" t="str">
        <f>GLOBAL_DER_FEV_2023!I2424</f>
        <v/>
      </c>
      <c r="J2424" s="902">
        <f>GLOBAL_DER_FEV_2023!J2424</f>
        <v>0</v>
      </c>
      <c r="K2424" s="958" t="s">
        <v>507</v>
      </c>
      <c r="L2424" s="959"/>
      <c r="M2424" s="1157">
        <f t="shared" si="182"/>
        <v>0</v>
      </c>
      <c r="N2424" s="1176">
        <f t="shared" si="186"/>
        <v>0</v>
      </c>
      <c r="O2424" s="905"/>
      <c r="P2424" s="58" t="str">
        <f>IF(N2419&gt;0,"xx",IF(N2419&gt;0,"xy",""))</f>
        <v/>
      </c>
      <c r="Q2424" s="317" t="str">
        <f t="shared" si="183"/>
        <v/>
      </c>
      <c r="R2424" s="317" t="str">
        <f t="shared" si="184"/>
        <v/>
      </c>
      <c r="S2424" s="317" t="str">
        <f t="shared" si="185"/>
        <v/>
      </c>
      <c r="T2424" s="317" t="str">
        <f>GLOBAL_DER_FEV_2023!S2424</f>
        <v/>
      </c>
      <c r="W2424" s="582">
        <v>0</v>
      </c>
      <c r="X2424" s="580"/>
      <c r="Y2424" s="583">
        <f>IF(GLOBAL_DER_FEV_2023!W2424=0,0,IF(GLOBAL_DER_FEV_2023!W2424&gt;0,"c","b"))</f>
        <v>0</v>
      </c>
    </row>
    <row r="2425" spans="1:25" ht="15" hidden="1" customHeight="1" x14ac:dyDescent="0.2">
      <c r="A2425" s="317" t="s">
        <v>396</v>
      </c>
      <c r="B2425" s="895" t="s">
        <v>396</v>
      </c>
      <c r="C2425" s="896" t="s">
        <v>184</v>
      </c>
      <c r="D2425" s="906" t="str">
        <f>'ENSAIOS DE ORÇAMENTO'!C75</f>
        <v>ENSAIO DE ORÇAMENTO 4</v>
      </c>
      <c r="E2425" s="907">
        <f>GLOBAL_DER_FEV_2023!E2425</f>
        <v>0</v>
      </c>
      <c r="F2425" s="908">
        <f>GLOBAL_DER_FEV_2023!F2425</f>
        <v>0</v>
      </c>
      <c r="G2425" s="912">
        <f>GLOBAL_DER_FEV_2023!G2425</f>
        <v>0</v>
      </c>
      <c r="H2425" s="901">
        <f>GLOBAL_DER_FEV_2023!H2425</f>
        <v>0</v>
      </c>
      <c r="I2425" s="901">
        <f>GLOBAL_DER_FEV_2023!I2425</f>
        <v>0</v>
      </c>
      <c r="J2425" s="902">
        <f>GLOBAL_DER_FEV_2023!J2425</f>
        <v>0</v>
      </c>
      <c r="K2425" s="903" t="s">
        <v>15</v>
      </c>
      <c r="L2425" s="1137"/>
      <c r="M2425" s="1138">
        <f t="shared" si="182"/>
        <v>0</v>
      </c>
      <c r="N2425" s="1176">
        <f t="shared" si="186"/>
        <v>0</v>
      </c>
      <c r="O2425" s="905"/>
      <c r="Q2425" s="317" t="str">
        <f t="shared" si="183"/>
        <v/>
      </c>
      <c r="R2425" s="317" t="str">
        <f t="shared" si="184"/>
        <v/>
      </c>
      <c r="S2425" s="317" t="str">
        <f t="shared" si="185"/>
        <v/>
      </c>
      <c r="T2425" s="317" t="str">
        <f>GLOBAL_DER_FEV_2023!S2425</f>
        <v/>
      </c>
      <c r="W2425" s="582">
        <v>0</v>
      </c>
      <c r="X2425" s="580"/>
      <c r="Y2425" s="583">
        <f>IF(GLOBAL_DER_FEV_2023!W2425=0,0,IF(GLOBAL_DER_FEV_2023!W2425&gt;0,"c","b"))</f>
        <v>0</v>
      </c>
    </row>
    <row r="2426" spans="1:25" ht="15" hidden="1" customHeight="1" x14ac:dyDescent="0.2">
      <c r="A2426" s="317" t="s">
        <v>147</v>
      </c>
      <c r="B2426" s="895" t="s">
        <v>147</v>
      </c>
      <c r="C2426" s="896"/>
      <c r="D2426" s="957" t="s">
        <v>190</v>
      </c>
      <c r="E2426" s="907">
        <f>GLOBAL_DER_FEV_2023!E2426</f>
        <v>308</v>
      </c>
      <c r="F2426" s="908">
        <f>GLOBAL_DER_FEV_2023!F2426</f>
        <v>0</v>
      </c>
      <c r="G2426" s="909">
        <f>GLOBAL_DER_FEV_2023!G2426</f>
        <v>0</v>
      </c>
      <c r="H2426" s="901">
        <f>GLOBAL_DER_FEV_2023!H2426</f>
        <v>0</v>
      </c>
      <c r="I2426" s="901" t="str">
        <f>GLOBAL_DER_FEV_2023!I2426</f>
        <v/>
      </c>
      <c r="J2426" s="902">
        <f>GLOBAL_DER_FEV_2023!J2426</f>
        <v>0</v>
      </c>
      <c r="K2426" s="958" t="s">
        <v>507</v>
      </c>
      <c r="L2426" s="959"/>
      <c r="M2426" s="1157">
        <f t="shared" si="182"/>
        <v>0</v>
      </c>
      <c r="N2426" s="1176">
        <f t="shared" si="186"/>
        <v>0</v>
      </c>
      <c r="O2426" s="905"/>
      <c r="P2426" s="58" t="str">
        <f>IF(N2425&gt;0,"xx",IF(N2425&gt;0,"xy",""))</f>
        <v/>
      </c>
      <c r="Q2426" s="317" t="str">
        <f t="shared" si="183"/>
        <v/>
      </c>
      <c r="R2426" s="317" t="str">
        <f t="shared" si="184"/>
        <v/>
      </c>
      <c r="S2426" s="317" t="str">
        <f t="shared" si="185"/>
        <v/>
      </c>
      <c r="T2426" s="317" t="str">
        <f>GLOBAL_DER_FEV_2023!S2426</f>
        <v/>
      </c>
      <c r="W2426" s="582">
        <v>0</v>
      </c>
      <c r="X2426" s="580"/>
      <c r="Y2426" s="583">
        <f>IF(GLOBAL_DER_FEV_2023!W2426=0,0,IF(GLOBAL_DER_FEV_2023!W2426&gt;0,"c","b"))</f>
        <v>0</v>
      </c>
    </row>
    <row r="2427" spans="1:25" ht="15" hidden="1" customHeight="1" x14ac:dyDescent="0.2">
      <c r="A2427" s="317" t="s">
        <v>147</v>
      </c>
      <c r="B2427" s="895" t="s">
        <v>147</v>
      </c>
      <c r="C2427" s="896"/>
      <c r="D2427" s="957" t="s">
        <v>229</v>
      </c>
      <c r="E2427" s="907">
        <f>GLOBAL_DER_FEV_2023!E2427</f>
        <v>150</v>
      </c>
      <c r="F2427" s="908">
        <f>GLOBAL_DER_FEV_2023!F2427</f>
        <v>0</v>
      </c>
      <c r="G2427" s="949">
        <f>GLOBAL_DER_FEV_2023!G2427</f>
        <v>0</v>
      </c>
      <c r="H2427" s="901">
        <f>GLOBAL_DER_FEV_2023!H2427</f>
        <v>0</v>
      </c>
      <c r="I2427" s="901" t="str">
        <f>GLOBAL_DER_FEV_2023!I2427</f>
        <v/>
      </c>
      <c r="J2427" s="902">
        <f>GLOBAL_DER_FEV_2023!J2427</f>
        <v>0</v>
      </c>
      <c r="K2427" s="958" t="s">
        <v>507</v>
      </c>
      <c r="L2427" s="959"/>
      <c r="M2427" s="1157">
        <f t="shared" si="182"/>
        <v>0</v>
      </c>
      <c r="N2427" s="1176">
        <f t="shared" si="186"/>
        <v>0</v>
      </c>
      <c r="O2427" s="905"/>
      <c r="P2427" s="58" t="str">
        <f>IF(N2425&gt;0,"xx",IF(N2425&gt;0,"xy",""))</f>
        <v/>
      </c>
      <c r="Q2427" s="317" t="str">
        <f t="shared" si="183"/>
        <v/>
      </c>
      <c r="R2427" s="317" t="str">
        <f t="shared" si="184"/>
        <v/>
      </c>
      <c r="S2427" s="317" t="str">
        <f t="shared" si="185"/>
        <v/>
      </c>
      <c r="T2427" s="317" t="str">
        <f>GLOBAL_DER_FEV_2023!S2427</f>
        <v/>
      </c>
      <c r="W2427" s="582">
        <v>0</v>
      </c>
      <c r="X2427" s="580"/>
      <c r="Y2427" s="583">
        <f>IF(GLOBAL_DER_FEV_2023!W2427=0,0,IF(GLOBAL_DER_FEV_2023!W2427&gt;0,"c","b"))</f>
        <v>0</v>
      </c>
    </row>
    <row r="2428" spans="1:25" ht="15" hidden="1" customHeight="1" x14ac:dyDescent="0.2">
      <c r="A2428" s="317" t="s">
        <v>147</v>
      </c>
      <c r="B2428" s="895" t="s">
        <v>147</v>
      </c>
      <c r="C2428" s="896"/>
      <c r="D2428" s="957" t="s">
        <v>233</v>
      </c>
      <c r="E2428" s="907">
        <f>GLOBAL_DER_FEV_2023!E2428</f>
        <v>0.2</v>
      </c>
      <c r="F2428" s="908">
        <f>GLOBAL_DER_FEV_2023!F2428</f>
        <v>0</v>
      </c>
      <c r="G2428" s="949">
        <f>GLOBAL_DER_FEV_2023!G2428</f>
        <v>0</v>
      </c>
      <c r="H2428" s="901">
        <f>GLOBAL_DER_FEV_2023!H2428</f>
        <v>0</v>
      </c>
      <c r="I2428" s="901" t="str">
        <f>GLOBAL_DER_FEV_2023!I2428</f>
        <v/>
      </c>
      <c r="J2428" s="902">
        <f>GLOBAL_DER_FEV_2023!J2428</f>
        <v>0</v>
      </c>
      <c r="K2428" s="958" t="s">
        <v>507</v>
      </c>
      <c r="L2428" s="959"/>
      <c r="M2428" s="1157">
        <f t="shared" si="182"/>
        <v>0</v>
      </c>
      <c r="N2428" s="1176">
        <f t="shared" si="186"/>
        <v>0</v>
      </c>
      <c r="O2428" s="905"/>
      <c r="P2428" s="58" t="str">
        <f>IF(N2425&gt;0,"xx",IF(N2425&gt;0,"xy",""))</f>
        <v/>
      </c>
      <c r="Q2428" s="317" t="str">
        <f t="shared" si="183"/>
        <v/>
      </c>
      <c r="R2428" s="317" t="str">
        <f t="shared" si="184"/>
        <v/>
      </c>
      <c r="S2428" s="317" t="str">
        <f t="shared" si="185"/>
        <v/>
      </c>
      <c r="T2428" s="317" t="str">
        <f>GLOBAL_DER_FEV_2023!S2428</f>
        <v/>
      </c>
      <c r="W2428" s="582">
        <v>0</v>
      </c>
      <c r="X2428" s="580"/>
      <c r="Y2428" s="583">
        <f>IF(GLOBAL_DER_FEV_2023!W2428=0,0,IF(GLOBAL_DER_FEV_2023!W2428&gt;0,"c","b"))</f>
        <v>0</v>
      </c>
    </row>
    <row r="2429" spans="1:25" ht="15" hidden="1" customHeight="1" x14ac:dyDescent="0.2">
      <c r="A2429" s="317" t="s">
        <v>147</v>
      </c>
      <c r="B2429" s="895" t="s">
        <v>147</v>
      </c>
      <c r="C2429" s="896"/>
      <c r="D2429" s="957" t="s">
        <v>365</v>
      </c>
      <c r="E2429" s="907">
        <f>GLOBAL_DER_FEV_2023!E2429</f>
        <v>10</v>
      </c>
      <c r="F2429" s="908">
        <f>GLOBAL_DER_FEV_2023!F2429</f>
        <v>0</v>
      </c>
      <c r="G2429" s="949">
        <f>GLOBAL_DER_FEV_2023!G2429</f>
        <v>0</v>
      </c>
      <c r="H2429" s="901">
        <f>GLOBAL_DER_FEV_2023!H2429</f>
        <v>0</v>
      </c>
      <c r="I2429" s="901" t="str">
        <f>GLOBAL_DER_FEV_2023!I2429</f>
        <v/>
      </c>
      <c r="J2429" s="902">
        <f>GLOBAL_DER_FEV_2023!J2429</f>
        <v>0</v>
      </c>
      <c r="K2429" s="958" t="s">
        <v>507</v>
      </c>
      <c r="L2429" s="959"/>
      <c r="M2429" s="1157">
        <f t="shared" si="182"/>
        <v>0</v>
      </c>
      <c r="N2429" s="1176">
        <f t="shared" si="186"/>
        <v>0</v>
      </c>
      <c r="O2429" s="905"/>
      <c r="P2429" s="58" t="str">
        <f>IF(N2425&gt;0,"xx",IF(N2425&gt;0,"xy",""))</f>
        <v/>
      </c>
      <c r="Q2429" s="317" t="str">
        <f t="shared" si="183"/>
        <v/>
      </c>
      <c r="R2429" s="317" t="str">
        <f t="shared" si="184"/>
        <v/>
      </c>
      <c r="S2429" s="317" t="str">
        <f t="shared" si="185"/>
        <v/>
      </c>
      <c r="T2429" s="317" t="str">
        <f>GLOBAL_DER_FEV_2023!S2429</f>
        <v/>
      </c>
      <c r="W2429" s="582">
        <v>0</v>
      </c>
      <c r="X2429" s="580"/>
      <c r="Y2429" s="583">
        <f>IF(GLOBAL_DER_FEV_2023!W2429=0,0,IF(GLOBAL_DER_FEV_2023!W2429&gt;0,"c","b"))</f>
        <v>0</v>
      </c>
    </row>
    <row r="2430" spans="1:25" ht="15" hidden="1" customHeight="1" x14ac:dyDescent="0.2">
      <c r="A2430" s="317" t="s">
        <v>147</v>
      </c>
      <c r="B2430" s="895" t="s">
        <v>147</v>
      </c>
      <c r="C2430" s="896"/>
      <c r="D2430" s="957" t="s">
        <v>366</v>
      </c>
      <c r="E2430" s="907">
        <f>GLOBAL_DER_FEV_2023!E2430</f>
        <v>353</v>
      </c>
      <c r="F2430" s="908">
        <f>GLOBAL_DER_FEV_2023!F2430</f>
        <v>0</v>
      </c>
      <c r="G2430" s="909">
        <f>GLOBAL_DER_FEV_2023!G2430</f>
        <v>0</v>
      </c>
      <c r="H2430" s="901">
        <f>GLOBAL_DER_FEV_2023!H2430</f>
        <v>0</v>
      </c>
      <c r="I2430" s="901" t="str">
        <f>GLOBAL_DER_FEV_2023!I2430</f>
        <v/>
      </c>
      <c r="J2430" s="902">
        <f>GLOBAL_DER_FEV_2023!J2430</f>
        <v>0</v>
      </c>
      <c r="K2430" s="958" t="s">
        <v>507</v>
      </c>
      <c r="L2430" s="959"/>
      <c r="M2430" s="1157">
        <f t="shared" si="182"/>
        <v>0</v>
      </c>
      <c r="N2430" s="1176">
        <f t="shared" si="186"/>
        <v>0</v>
      </c>
      <c r="O2430" s="905"/>
      <c r="P2430" s="58" t="str">
        <f>IF(N2425&gt;0,"xx",IF(N2425&gt;0,"xy",""))</f>
        <v/>
      </c>
      <c r="Q2430" s="317" t="str">
        <f t="shared" si="183"/>
        <v/>
      </c>
      <c r="R2430" s="317" t="str">
        <f t="shared" si="184"/>
        <v/>
      </c>
      <c r="S2430" s="317" t="str">
        <f t="shared" si="185"/>
        <v/>
      </c>
      <c r="T2430" s="317" t="str">
        <f>GLOBAL_DER_FEV_2023!S2430</f>
        <v/>
      </c>
      <c r="W2430" s="582">
        <v>0</v>
      </c>
      <c r="X2430" s="580"/>
      <c r="Y2430" s="583">
        <f>IF(GLOBAL_DER_FEV_2023!W2430=0,0,IF(GLOBAL_DER_FEV_2023!W2430&gt;0,"c","b"))</f>
        <v>0</v>
      </c>
    </row>
    <row r="2431" spans="1:25" ht="15" hidden="1" customHeight="1" x14ac:dyDescent="0.2">
      <c r="A2431" s="317" t="s">
        <v>397</v>
      </c>
      <c r="B2431" s="895" t="s">
        <v>397</v>
      </c>
      <c r="C2431" s="896" t="s">
        <v>184</v>
      </c>
      <c r="D2431" s="906" t="str">
        <f>'ENSAIOS DE ORÇAMENTO'!C76</f>
        <v>ENSAIO DE ORÇAMENTO 5</v>
      </c>
      <c r="E2431" s="907">
        <f>GLOBAL_DER_FEV_2023!E2431</f>
        <v>0</v>
      </c>
      <c r="F2431" s="908">
        <f>GLOBAL_DER_FEV_2023!F2431</f>
        <v>0</v>
      </c>
      <c r="G2431" s="912">
        <f>GLOBAL_DER_FEV_2023!G2431</f>
        <v>0</v>
      </c>
      <c r="H2431" s="901">
        <f>GLOBAL_DER_FEV_2023!H2431</f>
        <v>0</v>
      </c>
      <c r="I2431" s="901">
        <f>GLOBAL_DER_FEV_2023!I2431</f>
        <v>0</v>
      </c>
      <c r="J2431" s="902">
        <f>GLOBAL_DER_FEV_2023!J2431</f>
        <v>0</v>
      </c>
      <c r="K2431" s="903" t="s">
        <v>15</v>
      </c>
      <c r="L2431" s="1137"/>
      <c r="M2431" s="1138">
        <f t="shared" si="182"/>
        <v>0</v>
      </c>
      <c r="N2431" s="1176">
        <f t="shared" si="186"/>
        <v>0</v>
      </c>
      <c r="O2431" s="905"/>
      <c r="Q2431" s="317" t="str">
        <f t="shared" si="183"/>
        <v/>
      </c>
      <c r="R2431" s="317" t="str">
        <f t="shared" si="184"/>
        <v/>
      </c>
      <c r="S2431" s="317" t="str">
        <f t="shared" si="185"/>
        <v/>
      </c>
      <c r="T2431" s="317" t="str">
        <f>GLOBAL_DER_FEV_2023!S2431</f>
        <v/>
      </c>
      <c r="W2431" s="582">
        <v>0</v>
      </c>
      <c r="X2431" s="580"/>
      <c r="Y2431" s="583">
        <f>IF(GLOBAL_DER_FEV_2023!W2431=0,0,IF(GLOBAL_DER_FEV_2023!W2431&gt;0,"c","b"))</f>
        <v>0</v>
      </c>
    </row>
    <row r="2432" spans="1:25" ht="15" hidden="1" customHeight="1" x14ac:dyDescent="0.2">
      <c r="A2432" s="317" t="s">
        <v>147</v>
      </c>
      <c r="B2432" s="895" t="s">
        <v>147</v>
      </c>
      <c r="C2432" s="896"/>
      <c r="D2432" s="957" t="s">
        <v>190</v>
      </c>
      <c r="E2432" s="907">
        <f>GLOBAL_DER_FEV_2023!E2432</f>
        <v>308</v>
      </c>
      <c r="F2432" s="908">
        <f>GLOBAL_DER_FEV_2023!F2432</f>
        <v>0</v>
      </c>
      <c r="G2432" s="909">
        <f>GLOBAL_DER_FEV_2023!G2432</f>
        <v>0</v>
      </c>
      <c r="H2432" s="901">
        <f>GLOBAL_DER_FEV_2023!H2432</f>
        <v>0</v>
      </c>
      <c r="I2432" s="901" t="str">
        <f>GLOBAL_DER_FEV_2023!I2432</f>
        <v/>
      </c>
      <c r="J2432" s="902">
        <f>GLOBAL_DER_FEV_2023!J2432</f>
        <v>0</v>
      </c>
      <c r="K2432" s="958" t="s">
        <v>507</v>
      </c>
      <c r="L2432" s="959"/>
      <c r="M2432" s="1157">
        <f t="shared" si="182"/>
        <v>0</v>
      </c>
      <c r="N2432" s="1176">
        <f t="shared" si="186"/>
        <v>0</v>
      </c>
      <c r="O2432" s="905"/>
      <c r="P2432" s="58" t="str">
        <f>IF(N2431&gt;0,"xx",IF(N2431&gt;0,"xy",""))</f>
        <v/>
      </c>
      <c r="Q2432" s="317" t="str">
        <f t="shared" si="183"/>
        <v/>
      </c>
      <c r="R2432" s="317" t="str">
        <f t="shared" si="184"/>
        <v/>
      </c>
      <c r="S2432" s="317" t="str">
        <f t="shared" si="185"/>
        <v/>
      </c>
      <c r="T2432" s="317" t="str">
        <f>GLOBAL_DER_FEV_2023!S2432</f>
        <v/>
      </c>
      <c r="W2432" s="582">
        <v>0</v>
      </c>
      <c r="X2432" s="580"/>
      <c r="Y2432" s="583">
        <f>IF(GLOBAL_DER_FEV_2023!W2432=0,0,IF(GLOBAL_DER_FEV_2023!W2432&gt;0,"c","b"))</f>
        <v>0</v>
      </c>
    </row>
    <row r="2433" spans="1:25" ht="15" hidden="1" customHeight="1" x14ac:dyDescent="0.2">
      <c r="A2433" s="317" t="s">
        <v>147</v>
      </c>
      <c r="B2433" s="895" t="s">
        <v>147</v>
      </c>
      <c r="C2433" s="896"/>
      <c r="D2433" s="957" t="s">
        <v>229</v>
      </c>
      <c r="E2433" s="907">
        <f>GLOBAL_DER_FEV_2023!E2433</f>
        <v>150</v>
      </c>
      <c r="F2433" s="908">
        <f>GLOBAL_DER_FEV_2023!F2433</f>
        <v>0</v>
      </c>
      <c r="G2433" s="949">
        <f>GLOBAL_DER_FEV_2023!G2433</f>
        <v>0</v>
      </c>
      <c r="H2433" s="901">
        <f>GLOBAL_DER_FEV_2023!H2433</f>
        <v>0</v>
      </c>
      <c r="I2433" s="901" t="str">
        <f>GLOBAL_DER_FEV_2023!I2433</f>
        <v/>
      </c>
      <c r="J2433" s="902">
        <f>GLOBAL_DER_FEV_2023!J2433</f>
        <v>0</v>
      </c>
      <c r="K2433" s="958" t="s">
        <v>507</v>
      </c>
      <c r="L2433" s="959"/>
      <c r="M2433" s="1157">
        <f t="shared" si="182"/>
        <v>0</v>
      </c>
      <c r="N2433" s="1176">
        <f t="shared" si="186"/>
        <v>0</v>
      </c>
      <c r="O2433" s="905"/>
      <c r="P2433" s="58" t="str">
        <f>IF(N2431&gt;0,"xx",IF(N2431&gt;0,"xy",""))</f>
        <v/>
      </c>
      <c r="Q2433" s="317" t="str">
        <f t="shared" si="183"/>
        <v/>
      </c>
      <c r="R2433" s="317" t="str">
        <f t="shared" si="184"/>
        <v/>
      </c>
      <c r="S2433" s="317" t="str">
        <f t="shared" si="185"/>
        <v/>
      </c>
      <c r="T2433" s="317" t="str">
        <f>GLOBAL_DER_FEV_2023!S2433</f>
        <v/>
      </c>
      <c r="W2433" s="582">
        <v>0</v>
      </c>
      <c r="X2433" s="580"/>
      <c r="Y2433" s="583">
        <f>IF(GLOBAL_DER_FEV_2023!W2433=0,0,IF(GLOBAL_DER_FEV_2023!W2433&gt;0,"c","b"))</f>
        <v>0</v>
      </c>
    </row>
    <row r="2434" spans="1:25" ht="15" hidden="1" customHeight="1" x14ac:dyDescent="0.2">
      <c r="A2434" s="317" t="s">
        <v>147</v>
      </c>
      <c r="B2434" s="895" t="s">
        <v>147</v>
      </c>
      <c r="C2434" s="896"/>
      <c r="D2434" s="957" t="s">
        <v>233</v>
      </c>
      <c r="E2434" s="907">
        <f>GLOBAL_DER_FEV_2023!E2434</f>
        <v>0.2</v>
      </c>
      <c r="F2434" s="908">
        <f>GLOBAL_DER_FEV_2023!F2434</f>
        <v>0</v>
      </c>
      <c r="G2434" s="949">
        <f>GLOBAL_DER_FEV_2023!G2434</f>
        <v>0</v>
      </c>
      <c r="H2434" s="901">
        <f>GLOBAL_DER_FEV_2023!H2434</f>
        <v>0</v>
      </c>
      <c r="I2434" s="901" t="str">
        <f>GLOBAL_DER_FEV_2023!I2434</f>
        <v/>
      </c>
      <c r="J2434" s="902">
        <f>GLOBAL_DER_FEV_2023!J2434</f>
        <v>0</v>
      </c>
      <c r="K2434" s="958" t="s">
        <v>507</v>
      </c>
      <c r="L2434" s="959"/>
      <c r="M2434" s="1157">
        <f t="shared" si="182"/>
        <v>0</v>
      </c>
      <c r="N2434" s="1176">
        <f t="shared" si="186"/>
        <v>0</v>
      </c>
      <c r="O2434" s="905"/>
      <c r="P2434" s="58" t="str">
        <f>IF(N2431&gt;0,"xx",IF(N2431&gt;0,"xy",""))</f>
        <v/>
      </c>
      <c r="Q2434" s="317" t="str">
        <f t="shared" si="183"/>
        <v/>
      </c>
      <c r="R2434" s="317" t="str">
        <f t="shared" si="184"/>
        <v/>
      </c>
      <c r="S2434" s="317" t="str">
        <f t="shared" si="185"/>
        <v/>
      </c>
      <c r="T2434" s="317" t="str">
        <f>GLOBAL_DER_FEV_2023!S2434</f>
        <v/>
      </c>
      <c r="W2434" s="582">
        <v>0</v>
      </c>
      <c r="X2434" s="580"/>
      <c r="Y2434" s="583">
        <f>IF(GLOBAL_DER_FEV_2023!W2434=0,0,IF(GLOBAL_DER_FEV_2023!W2434&gt;0,"c","b"))</f>
        <v>0</v>
      </c>
    </row>
    <row r="2435" spans="1:25" ht="15" hidden="1" customHeight="1" x14ac:dyDescent="0.2">
      <c r="A2435" s="317" t="s">
        <v>147</v>
      </c>
      <c r="B2435" s="895" t="s">
        <v>147</v>
      </c>
      <c r="C2435" s="896"/>
      <c r="D2435" s="957" t="s">
        <v>365</v>
      </c>
      <c r="E2435" s="907">
        <f>GLOBAL_DER_FEV_2023!E2435</f>
        <v>10</v>
      </c>
      <c r="F2435" s="908">
        <f>GLOBAL_DER_FEV_2023!F2435</f>
        <v>0</v>
      </c>
      <c r="G2435" s="949">
        <f>GLOBAL_DER_FEV_2023!G2435</f>
        <v>0</v>
      </c>
      <c r="H2435" s="901">
        <f>GLOBAL_DER_FEV_2023!H2435</f>
        <v>0</v>
      </c>
      <c r="I2435" s="901" t="str">
        <f>GLOBAL_DER_FEV_2023!I2435</f>
        <v/>
      </c>
      <c r="J2435" s="902">
        <f>GLOBAL_DER_FEV_2023!J2435</f>
        <v>0</v>
      </c>
      <c r="K2435" s="903" t="s">
        <v>507</v>
      </c>
      <c r="L2435" s="959"/>
      <c r="M2435" s="1157">
        <f t="shared" si="182"/>
        <v>0</v>
      </c>
      <c r="N2435" s="1176">
        <f t="shared" si="186"/>
        <v>0</v>
      </c>
      <c r="O2435" s="905"/>
      <c r="P2435" s="36" t="str">
        <f>IF(N2431&gt;0,"xx",IF(N2431&gt;0,"xy",""))</f>
        <v/>
      </c>
      <c r="Q2435" s="317" t="str">
        <f t="shared" si="183"/>
        <v/>
      </c>
      <c r="R2435" s="317" t="str">
        <f t="shared" si="184"/>
        <v/>
      </c>
      <c r="S2435" s="317" t="str">
        <f t="shared" si="185"/>
        <v/>
      </c>
      <c r="T2435" s="317" t="str">
        <f>GLOBAL_DER_FEV_2023!S2435</f>
        <v/>
      </c>
      <c r="W2435" s="582">
        <v>0</v>
      </c>
      <c r="X2435" s="580"/>
      <c r="Y2435" s="583">
        <f>IF(GLOBAL_DER_FEV_2023!W2435=0,0,IF(GLOBAL_DER_FEV_2023!W2435&gt;0,"c","b"))</f>
        <v>0</v>
      </c>
    </row>
    <row r="2436" spans="1:25" ht="15" hidden="1" customHeight="1" x14ac:dyDescent="0.2">
      <c r="A2436" s="317" t="s">
        <v>147</v>
      </c>
      <c r="B2436" s="895" t="s">
        <v>147</v>
      </c>
      <c r="C2436" s="896"/>
      <c r="D2436" s="957" t="s">
        <v>366</v>
      </c>
      <c r="E2436" s="907">
        <f>GLOBAL_DER_FEV_2023!E2436</f>
        <v>353</v>
      </c>
      <c r="F2436" s="908">
        <f>GLOBAL_DER_FEV_2023!F2436</f>
        <v>0</v>
      </c>
      <c r="G2436" s="909">
        <f>GLOBAL_DER_FEV_2023!G2436</f>
        <v>0</v>
      </c>
      <c r="H2436" s="901">
        <f>GLOBAL_DER_FEV_2023!H2436</f>
        <v>0</v>
      </c>
      <c r="I2436" s="901" t="str">
        <f>GLOBAL_DER_FEV_2023!I2436</f>
        <v/>
      </c>
      <c r="J2436" s="902">
        <f>GLOBAL_DER_FEV_2023!J2436</f>
        <v>0</v>
      </c>
      <c r="K2436" s="958" t="s">
        <v>507</v>
      </c>
      <c r="L2436" s="959"/>
      <c r="M2436" s="1157">
        <f t="shared" si="182"/>
        <v>0</v>
      </c>
      <c r="N2436" s="1176">
        <f t="shared" si="186"/>
        <v>0</v>
      </c>
      <c r="O2436" s="905"/>
      <c r="P2436" s="58" t="str">
        <f>IF(N2431&gt;0,"xx",IF(N2431&gt;0,"xy",""))</f>
        <v/>
      </c>
      <c r="Q2436" s="317" t="str">
        <f t="shared" si="183"/>
        <v/>
      </c>
      <c r="R2436" s="317" t="str">
        <f t="shared" si="184"/>
        <v/>
      </c>
      <c r="S2436" s="317" t="str">
        <f t="shared" si="185"/>
        <v/>
      </c>
      <c r="T2436" s="317" t="str">
        <f>GLOBAL_DER_FEV_2023!S2436</f>
        <v/>
      </c>
      <c r="W2436" s="582">
        <v>0</v>
      </c>
      <c r="X2436" s="580"/>
      <c r="Y2436" s="583">
        <f>IF(GLOBAL_DER_FEV_2023!W2436=0,0,IF(GLOBAL_DER_FEV_2023!W2436&gt;0,"c","b"))</f>
        <v>0</v>
      </c>
    </row>
    <row r="2437" spans="1:25" ht="15" hidden="1" customHeight="1" x14ac:dyDescent="0.2">
      <c r="A2437" s="317" t="s">
        <v>398</v>
      </c>
      <c r="B2437" s="895" t="s">
        <v>398</v>
      </c>
      <c r="C2437" s="896" t="s">
        <v>184</v>
      </c>
      <c r="D2437" s="906" t="str">
        <f>'ENSAIOS DE ORÇAMENTO'!C77</f>
        <v>ENSAIO DE ORÇAMENTO 6</v>
      </c>
      <c r="E2437" s="907">
        <f>GLOBAL_DER_FEV_2023!E2437</f>
        <v>0</v>
      </c>
      <c r="F2437" s="908">
        <f>GLOBAL_DER_FEV_2023!F2437</f>
        <v>0</v>
      </c>
      <c r="G2437" s="912">
        <f>GLOBAL_DER_FEV_2023!G2437</f>
        <v>0</v>
      </c>
      <c r="H2437" s="901">
        <f>GLOBAL_DER_FEV_2023!H2437</f>
        <v>0</v>
      </c>
      <c r="I2437" s="901">
        <f>GLOBAL_DER_FEV_2023!I2437</f>
        <v>0</v>
      </c>
      <c r="J2437" s="902">
        <f>GLOBAL_DER_FEV_2023!J2437</f>
        <v>0</v>
      </c>
      <c r="K2437" s="903" t="s">
        <v>15</v>
      </c>
      <c r="L2437" s="1137"/>
      <c r="M2437" s="1138">
        <f t="shared" si="182"/>
        <v>0</v>
      </c>
      <c r="N2437" s="1176">
        <f t="shared" si="186"/>
        <v>0</v>
      </c>
      <c r="O2437" s="905"/>
      <c r="Q2437" s="317" t="str">
        <f t="shared" si="183"/>
        <v/>
      </c>
      <c r="R2437" s="317" t="str">
        <f t="shared" si="184"/>
        <v/>
      </c>
      <c r="S2437" s="317" t="str">
        <f t="shared" si="185"/>
        <v/>
      </c>
      <c r="T2437" s="317" t="str">
        <f>GLOBAL_DER_FEV_2023!S2437</f>
        <v/>
      </c>
      <c r="W2437" s="582">
        <v>0</v>
      </c>
      <c r="X2437" s="580"/>
      <c r="Y2437" s="583">
        <f>IF(GLOBAL_DER_FEV_2023!W2437=0,0,IF(GLOBAL_DER_FEV_2023!W2437&gt;0,"c","b"))</f>
        <v>0</v>
      </c>
    </row>
    <row r="2438" spans="1:25" ht="15" hidden="1" customHeight="1" x14ac:dyDescent="0.2">
      <c r="A2438" s="317" t="s">
        <v>147</v>
      </c>
      <c r="B2438" s="895" t="s">
        <v>147</v>
      </c>
      <c r="C2438" s="896"/>
      <c r="D2438" s="957" t="s">
        <v>190</v>
      </c>
      <c r="E2438" s="907">
        <f>GLOBAL_DER_FEV_2023!E2438</f>
        <v>308</v>
      </c>
      <c r="F2438" s="908">
        <f>GLOBAL_DER_FEV_2023!F2438</f>
        <v>0</v>
      </c>
      <c r="G2438" s="909">
        <f>GLOBAL_DER_FEV_2023!G2438</f>
        <v>0</v>
      </c>
      <c r="H2438" s="901">
        <f>GLOBAL_DER_FEV_2023!H2438</f>
        <v>0</v>
      </c>
      <c r="I2438" s="901" t="str">
        <f>GLOBAL_DER_FEV_2023!I2438</f>
        <v/>
      </c>
      <c r="J2438" s="902">
        <f>GLOBAL_DER_FEV_2023!J2438</f>
        <v>0</v>
      </c>
      <c r="K2438" s="958" t="s">
        <v>507</v>
      </c>
      <c r="L2438" s="959"/>
      <c r="M2438" s="1157">
        <f t="shared" si="182"/>
        <v>0</v>
      </c>
      <c r="N2438" s="1176">
        <f t="shared" si="186"/>
        <v>0</v>
      </c>
      <c r="O2438" s="905"/>
      <c r="P2438" s="58" t="str">
        <f>IF(N2437&gt;0,"xx",IF(N2437&gt;0,"xy",""))</f>
        <v/>
      </c>
      <c r="Q2438" s="317" t="str">
        <f t="shared" si="183"/>
        <v/>
      </c>
      <c r="R2438" s="317" t="str">
        <f t="shared" si="184"/>
        <v/>
      </c>
      <c r="S2438" s="317" t="str">
        <f t="shared" si="185"/>
        <v/>
      </c>
      <c r="T2438" s="317" t="str">
        <f>GLOBAL_DER_FEV_2023!S2438</f>
        <v/>
      </c>
      <c r="W2438" s="582">
        <v>0</v>
      </c>
      <c r="X2438" s="580"/>
      <c r="Y2438" s="583">
        <f>IF(GLOBAL_DER_FEV_2023!W2438=0,0,IF(GLOBAL_DER_FEV_2023!W2438&gt;0,"c","b"))</f>
        <v>0</v>
      </c>
    </row>
    <row r="2439" spans="1:25" ht="15" hidden="1" customHeight="1" x14ac:dyDescent="0.2">
      <c r="A2439" s="317" t="s">
        <v>147</v>
      </c>
      <c r="B2439" s="895" t="s">
        <v>147</v>
      </c>
      <c r="C2439" s="896"/>
      <c r="D2439" s="957" t="s">
        <v>229</v>
      </c>
      <c r="E2439" s="907">
        <f>GLOBAL_DER_FEV_2023!E2439</f>
        <v>150</v>
      </c>
      <c r="F2439" s="908">
        <f>GLOBAL_DER_FEV_2023!F2439</f>
        <v>0</v>
      </c>
      <c r="G2439" s="949">
        <f>GLOBAL_DER_FEV_2023!G2439</f>
        <v>0</v>
      </c>
      <c r="H2439" s="901">
        <f>GLOBAL_DER_FEV_2023!H2439</f>
        <v>0</v>
      </c>
      <c r="I2439" s="901" t="str">
        <f>GLOBAL_DER_FEV_2023!I2439</f>
        <v/>
      </c>
      <c r="J2439" s="902">
        <f>GLOBAL_DER_FEV_2023!J2439</f>
        <v>0</v>
      </c>
      <c r="K2439" s="958" t="s">
        <v>507</v>
      </c>
      <c r="L2439" s="959"/>
      <c r="M2439" s="1157">
        <f t="shared" si="182"/>
        <v>0</v>
      </c>
      <c r="N2439" s="1176">
        <f t="shared" si="186"/>
        <v>0</v>
      </c>
      <c r="O2439" s="905"/>
      <c r="P2439" s="58" t="str">
        <f>IF(N2437&gt;0,"xx",IF(N2437&gt;0,"xy",""))</f>
        <v/>
      </c>
      <c r="Q2439" s="317" t="str">
        <f t="shared" si="183"/>
        <v/>
      </c>
      <c r="R2439" s="317" t="str">
        <f t="shared" si="184"/>
        <v/>
      </c>
      <c r="S2439" s="317" t="str">
        <f t="shared" si="185"/>
        <v/>
      </c>
      <c r="T2439" s="317" t="str">
        <f>GLOBAL_DER_FEV_2023!S2439</f>
        <v/>
      </c>
      <c r="W2439" s="582">
        <v>0</v>
      </c>
      <c r="X2439" s="580"/>
      <c r="Y2439" s="583">
        <f>IF(GLOBAL_DER_FEV_2023!W2439=0,0,IF(GLOBAL_DER_FEV_2023!W2439&gt;0,"c","b"))</f>
        <v>0</v>
      </c>
    </row>
    <row r="2440" spans="1:25" ht="15" hidden="1" customHeight="1" x14ac:dyDescent="0.2">
      <c r="A2440" s="317" t="s">
        <v>147</v>
      </c>
      <c r="B2440" s="895" t="s">
        <v>147</v>
      </c>
      <c r="C2440" s="896"/>
      <c r="D2440" s="957" t="s">
        <v>233</v>
      </c>
      <c r="E2440" s="907">
        <f>GLOBAL_DER_FEV_2023!E2440</f>
        <v>0.2</v>
      </c>
      <c r="F2440" s="908">
        <f>GLOBAL_DER_FEV_2023!F2440</f>
        <v>0</v>
      </c>
      <c r="G2440" s="949">
        <f>GLOBAL_DER_FEV_2023!G2440</f>
        <v>0</v>
      </c>
      <c r="H2440" s="901">
        <f>GLOBAL_DER_FEV_2023!H2440</f>
        <v>0</v>
      </c>
      <c r="I2440" s="901" t="str">
        <f>GLOBAL_DER_FEV_2023!I2440</f>
        <v/>
      </c>
      <c r="J2440" s="902">
        <f>GLOBAL_DER_FEV_2023!J2440</f>
        <v>0</v>
      </c>
      <c r="K2440" s="958" t="s">
        <v>507</v>
      </c>
      <c r="L2440" s="959"/>
      <c r="M2440" s="1157">
        <f t="shared" si="182"/>
        <v>0</v>
      </c>
      <c r="N2440" s="1176">
        <f t="shared" si="186"/>
        <v>0</v>
      </c>
      <c r="O2440" s="905"/>
      <c r="P2440" s="58" t="str">
        <f>IF(N2437&gt;0,"xx",IF(N2437&gt;0,"xy",""))</f>
        <v/>
      </c>
      <c r="Q2440" s="317" t="str">
        <f t="shared" si="183"/>
        <v/>
      </c>
      <c r="R2440" s="317" t="str">
        <f t="shared" si="184"/>
        <v/>
      </c>
      <c r="S2440" s="317" t="str">
        <f t="shared" si="185"/>
        <v/>
      </c>
      <c r="T2440" s="317" t="str">
        <f>GLOBAL_DER_FEV_2023!S2440</f>
        <v/>
      </c>
      <c r="W2440" s="582">
        <v>0</v>
      </c>
      <c r="X2440" s="580"/>
      <c r="Y2440" s="583">
        <f>IF(GLOBAL_DER_FEV_2023!W2440=0,0,IF(GLOBAL_DER_FEV_2023!W2440&gt;0,"c","b"))</f>
        <v>0</v>
      </c>
    </row>
    <row r="2441" spans="1:25" ht="15" hidden="1" customHeight="1" x14ac:dyDescent="0.2">
      <c r="A2441" s="317" t="s">
        <v>147</v>
      </c>
      <c r="B2441" s="895" t="s">
        <v>147</v>
      </c>
      <c r="C2441" s="896"/>
      <c r="D2441" s="957" t="s">
        <v>365</v>
      </c>
      <c r="E2441" s="907">
        <f>GLOBAL_DER_FEV_2023!E2441</f>
        <v>10</v>
      </c>
      <c r="F2441" s="908">
        <f>GLOBAL_DER_FEV_2023!F2441</f>
        <v>0</v>
      </c>
      <c r="G2441" s="949">
        <f>GLOBAL_DER_FEV_2023!G2441</f>
        <v>0</v>
      </c>
      <c r="H2441" s="901">
        <f>GLOBAL_DER_FEV_2023!H2441</f>
        <v>0</v>
      </c>
      <c r="I2441" s="901" t="str">
        <f>GLOBAL_DER_FEV_2023!I2441</f>
        <v/>
      </c>
      <c r="J2441" s="902">
        <f>GLOBAL_DER_FEV_2023!J2441</f>
        <v>0</v>
      </c>
      <c r="K2441" s="958" t="s">
        <v>507</v>
      </c>
      <c r="L2441" s="959"/>
      <c r="M2441" s="1157">
        <f t="shared" si="182"/>
        <v>0</v>
      </c>
      <c r="N2441" s="1176">
        <f t="shared" si="186"/>
        <v>0</v>
      </c>
      <c r="O2441" s="905"/>
      <c r="P2441" s="58" t="str">
        <f>IF(N2437&gt;0,"xx",IF(N2437&gt;0,"xy",""))</f>
        <v/>
      </c>
      <c r="Q2441" s="317" t="str">
        <f t="shared" si="183"/>
        <v/>
      </c>
      <c r="R2441" s="317" t="str">
        <f t="shared" si="184"/>
        <v/>
      </c>
      <c r="S2441" s="317" t="str">
        <f t="shared" si="185"/>
        <v/>
      </c>
      <c r="T2441" s="317" t="str">
        <f>GLOBAL_DER_FEV_2023!S2441</f>
        <v/>
      </c>
      <c r="W2441" s="582">
        <v>0</v>
      </c>
      <c r="X2441" s="580"/>
      <c r="Y2441" s="583">
        <f>IF(GLOBAL_DER_FEV_2023!W2441=0,0,IF(GLOBAL_DER_FEV_2023!W2441&gt;0,"c","b"))</f>
        <v>0</v>
      </c>
    </row>
    <row r="2442" spans="1:25" ht="15" hidden="1" customHeight="1" x14ac:dyDescent="0.2">
      <c r="A2442" s="317" t="s">
        <v>147</v>
      </c>
      <c r="B2442" s="895" t="s">
        <v>147</v>
      </c>
      <c r="C2442" s="896"/>
      <c r="D2442" s="957" t="s">
        <v>366</v>
      </c>
      <c r="E2442" s="907">
        <f>GLOBAL_DER_FEV_2023!E2442</f>
        <v>353</v>
      </c>
      <c r="F2442" s="908">
        <f>GLOBAL_DER_FEV_2023!F2442</f>
        <v>0</v>
      </c>
      <c r="G2442" s="909">
        <f>GLOBAL_DER_FEV_2023!G2442</f>
        <v>0</v>
      </c>
      <c r="H2442" s="901">
        <f>GLOBAL_DER_FEV_2023!H2442</f>
        <v>0</v>
      </c>
      <c r="I2442" s="901" t="str">
        <f>GLOBAL_DER_FEV_2023!I2442</f>
        <v/>
      </c>
      <c r="J2442" s="902">
        <f>GLOBAL_DER_FEV_2023!J2442</f>
        <v>0</v>
      </c>
      <c r="K2442" s="958" t="s">
        <v>507</v>
      </c>
      <c r="L2442" s="959"/>
      <c r="M2442" s="1157">
        <f t="shared" si="182"/>
        <v>0</v>
      </c>
      <c r="N2442" s="1176">
        <f t="shared" si="186"/>
        <v>0</v>
      </c>
      <c r="O2442" s="905"/>
      <c r="P2442" s="58" t="str">
        <f>IF(N2437&gt;0,"xx",IF(N2437&gt;0,"xy",""))</f>
        <v/>
      </c>
      <c r="Q2442" s="317" t="str">
        <f t="shared" si="183"/>
        <v/>
      </c>
      <c r="R2442" s="317" t="str">
        <f t="shared" si="184"/>
        <v/>
      </c>
      <c r="S2442" s="317" t="str">
        <f t="shared" si="185"/>
        <v/>
      </c>
      <c r="T2442" s="317" t="str">
        <f>GLOBAL_DER_FEV_2023!S2442</f>
        <v/>
      </c>
      <c r="W2442" s="582">
        <v>0</v>
      </c>
      <c r="X2442" s="580"/>
      <c r="Y2442" s="583">
        <f>IF(GLOBAL_DER_FEV_2023!W2442=0,0,IF(GLOBAL_DER_FEV_2023!W2442&gt;0,"c","b"))</f>
        <v>0</v>
      </c>
    </row>
    <row r="2443" spans="1:25" ht="15" hidden="1" customHeight="1" x14ac:dyDescent="0.2">
      <c r="A2443" s="317" t="s">
        <v>399</v>
      </c>
      <c r="B2443" s="895" t="s">
        <v>399</v>
      </c>
      <c r="C2443" s="896" t="s">
        <v>184</v>
      </c>
      <c r="D2443" s="906" t="str">
        <f>'ENSAIOS DE ORÇAMENTO'!C78</f>
        <v>ENSAIO DE ORÇAMENTO 7</v>
      </c>
      <c r="E2443" s="907">
        <f>GLOBAL_DER_FEV_2023!E2443</f>
        <v>0</v>
      </c>
      <c r="F2443" s="908">
        <f>GLOBAL_DER_FEV_2023!F2443</f>
        <v>0</v>
      </c>
      <c r="G2443" s="912">
        <f>GLOBAL_DER_FEV_2023!G2443</f>
        <v>0</v>
      </c>
      <c r="H2443" s="901">
        <f>GLOBAL_DER_FEV_2023!H2443</f>
        <v>0</v>
      </c>
      <c r="I2443" s="901">
        <f>GLOBAL_DER_FEV_2023!I2443</f>
        <v>0</v>
      </c>
      <c r="J2443" s="902">
        <f>GLOBAL_DER_FEV_2023!J2443</f>
        <v>0</v>
      </c>
      <c r="K2443" s="903" t="s">
        <v>15</v>
      </c>
      <c r="L2443" s="1137"/>
      <c r="M2443" s="1138">
        <f t="shared" si="182"/>
        <v>0</v>
      </c>
      <c r="N2443" s="1176">
        <f t="shared" si="186"/>
        <v>0</v>
      </c>
      <c r="O2443" s="905"/>
      <c r="Q2443" s="317" t="str">
        <f t="shared" si="183"/>
        <v/>
      </c>
      <c r="R2443" s="317" t="str">
        <f t="shared" si="184"/>
        <v/>
      </c>
      <c r="S2443" s="317" t="str">
        <f t="shared" si="185"/>
        <v/>
      </c>
      <c r="T2443" s="317" t="str">
        <f>GLOBAL_DER_FEV_2023!S2443</f>
        <v/>
      </c>
      <c r="W2443" s="582">
        <v>0</v>
      </c>
      <c r="X2443" s="580"/>
      <c r="Y2443" s="583">
        <f>IF(GLOBAL_DER_FEV_2023!W2443=0,0,IF(GLOBAL_DER_FEV_2023!W2443&gt;0,"c","b"))</f>
        <v>0</v>
      </c>
    </row>
    <row r="2444" spans="1:25" ht="15" hidden="1" customHeight="1" x14ac:dyDescent="0.2">
      <c r="A2444" s="317" t="s">
        <v>147</v>
      </c>
      <c r="B2444" s="895" t="s">
        <v>147</v>
      </c>
      <c r="C2444" s="896"/>
      <c r="D2444" s="957" t="s">
        <v>190</v>
      </c>
      <c r="E2444" s="907">
        <f>GLOBAL_DER_FEV_2023!E2444</f>
        <v>308</v>
      </c>
      <c r="F2444" s="908">
        <f>GLOBAL_DER_FEV_2023!F2444</f>
        <v>0</v>
      </c>
      <c r="G2444" s="909">
        <f>GLOBAL_DER_FEV_2023!G2444</f>
        <v>0</v>
      </c>
      <c r="H2444" s="901">
        <f>GLOBAL_DER_FEV_2023!H2444</f>
        <v>0</v>
      </c>
      <c r="I2444" s="901" t="str">
        <f>GLOBAL_DER_FEV_2023!I2444</f>
        <v/>
      </c>
      <c r="J2444" s="902">
        <f>GLOBAL_DER_FEV_2023!J2444</f>
        <v>0</v>
      </c>
      <c r="K2444" s="958" t="s">
        <v>507</v>
      </c>
      <c r="L2444" s="959"/>
      <c r="M2444" s="1157">
        <f t="shared" si="182"/>
        <v>0</v>
      </c>
      <c r="N2444" s="1176">
        <f t="shared" si="186"/>
        <v>0</v>
      </c>
      <c r="O2444" s="905"/>
      <c r="P2444" s="58" t="str">
        <f>IF(N2443&gt;0,"xx",IF(N2443&gt;0,"xy",""))</f>
        <v/>
      </c>
      <c r="Q2444" s="317" t="str">
        <f t="shared" si="183"/>
        <v/>
      </c>
      <c r="R2444" s="317" t="str">
        <f t="shared" si="184"/>
        <v/>
      </c>
      <c r="S2444" s="317" t="str">
        <f t="shared" si="185"/>
        <v/>
      </c>
      <c r="T2444" s="317" t="str">
        <f>GLOBAL_DER_FEV_2023!S2444</f>
        <v/>
      </c>
      <c r="W2444" s="582">
        <v>0</v>
      </c>
      <c r="X2444" s="580"/>
      <c r="Y2444" s="583">
        <f>IF(GLOBAL_DER_FEV_2023!W2444=0,0,IF(GLOBAL_DER_FEV_2023!W2444&gt;0,"c","b"))</f>
        <v>0</v>
      </c>
    </row>
    <row r="2445" spans="1:25" ht="15" hidden="1" customHeight="1" x14ac:dyDescent="0.2">
      <c r="A2445" s="317" t="s">
        <v>147</v>
      </c>
      <c r="B2445" s="895" t="s">
        <v>147</v>
      </c>
      <c r="C2445" s="896"/>
      <c r="D2445" s="957" t="s">
        <v>229</v>
      </c>
      <c r="E2445" s="907">
        <f>GLOBAL_DER_FEV_2023!E2445</f>
        <v>150</v>
      </c>
      <c r="F2445" s="908">
        <f>GLOBAL_DER_FEV_2023!F2445</f>
        <v>0</v>
      </c>
      <c r="G2445" s="949">
        <f>GLOBAL_DER_FEV_2023!G2445</f>
        <v>0</v>
      </c>
      <c r="H2445" s="901">
        <f>GLOBAL_DER_FEV_2023!H2445</f>
        <v>0</v>
      </c>
      <c r="I2445" s="901" t="str">
        <f>GLOBAL_DER_FEV_2023!I2445</f>
        <v/>
      </c>
      <c r="J2445" s="902">
        <f>GLOBAL_DER_FEV_2023!J2445</f>
        <v>0</v>
      </c>
      <c r="K2445" s="958" t="s">
        <v>507</v>
      </c>
      <c r="L2445" s="959"/>
      <c r="M2445" s="1157">
        <f t="shared" si="182"/>
        <v>0</v>
      </c>
      <c r="N2445" s="1176">
        <f t="shared" si="186"/>
        <v>0</v>
      </c>
      <c r="O2445" s="905"/>
      <c r="P2445" s="58" t="str">
        <f>IF(N2443&gt;0,"xx",IF(N2443&gt;0,"xy",""))</f>
        <v/>
      </c>
      <c r="Q2445" s="317" t="str">
        <f t="shared" si="183"/>
        <v/>
      </c>
      <c r="R2445" s="317" t="str">
        <f t="shared" si="184"/>
        <v/>
      </c>
      <c r="S2445" s="317" t="str">
        <f t="shared" si="185"/>
        <v/>
      </c>
      <c r="T2445" s="317" t="str">
        <f>GLOBAL_DER_FEV_2023!S2445</f>
        <v/>
      </c>
      <c r="W2445" s="582">
        <v>0</v>
      </c>
      <c r="X2445" s="580"/>
      <c r="Y2445" s="583">
        <f>IF(GLOBAL_DER_FEV_2023!W2445=0,0,IF(GLOBAL_DER_FEV_2023!W2445&gt;0,"c","b"))</f>
        <v>0</v>
      </c>
    </row>
    <row r="2446" spans="1:25" ht="15" hidden="1" customHeight="1" x14ac:dyDescent="0.2">
      <c r="A2446" s="317" t="s">
        <v>147</v>
      </c>
      <c r="B2446" s="895" t="s">
        <v>147</v>
      </c>
      <c r="C2446" s="896"/>
      <c r="D2446" s="957" t="s">
        <v>233</v>
      </c>
      <c r="E2446" s="907">
        <f>GLOBAL_DER_FEV_2023!E2446</f>
        <v>0.2</v>
      </c>
      <c r="F2446" s="908">
        <f>GLOBAL_DER_FEV_2023!F2446</f>
        <v>0</v>
      </c>
      <c r="G2446" s="949">
        <f>GLOBAL_DER_FEV_2023!G2446</f>
        <v>0</v>
      </c>
      <c r="H2446" s="901">
        <f>GLOBAL_DER_FEV_2023!H2446</f>
        <v>0</v>
      </c>
      <c r="I2446" s="901" t="str">
        <f>GLOBAL_DER_FEV_2023!I2446</f>
        <v/>
      </c>
      <c r="J2446" s="902">
        <f>GLOBAL_DER_FEV_2023!J2446</f>
        <v>0</v>
      </c>
      <c r="K2446" s="958" t="s">
        <v>507</v>
      </c>
      <c r="L2446" s="959"/>
      <c r="M2446" s="1157">
        <f t="shared" si="182"/>
        <v>0</v>
      </c>
      <c r="N2446" s="1176">
        <f t="shared" si="186"/>
        <v>0</v>
      </c>
      <c r="O2446" s="905"/>
      <c r="P2446" s="58" t="str">
        <f>IF(N2443&gt;0,"xx",IF(N2443&gt;0,"xy",""))</f>
        <v/>
      </c>
      <c r="Q2446" s="317" t="str">
        <f t="shared" si="183"/>
        <v/>
      </c>
      <c r="R2446" s="317" t="str">
        <f t="shared" si="184"/>
        <v/>
      </c>
      <c r="S2446" s="317" t="str">
        <f t="shared" si="185"/>
        <v/>
      </c>
      <c r="T2446" s="317" t="str">
        <f>GLOBAL_DER_FEV_2023!S2446</f>
        <v/>
      </c>
      <c r="W2446" s="582">
        <v>0</v>
      </c>
      <c r="X2446" s="580"/>
      <c r="Y2446" s="583">
        <f>IF(GLOBAL_DER_FEV_2023!W2446=0,0,IF(GLOBAL_DER_FEV_2023!W2446&gt;0,"c","b"))</f>
        <v>0</v>
      </c>
    </row>
    <row r="2447" spans="1:25" ht="15" hidden="1" customHeight="1" x14ac:dyDescent="0.2">
      <c r="A2447" s="317" t="s">
        <v>147</v>
      </c>
      <c r="B2447" s="895" t="s">
        <v>147</v>
      </c>
      <c r="C2447" s="896"/>
      <c r="D2447" s="957" t="s">
        <v>365</v>
      </c>
      <c r="E2447" s="907">
        <f>GLOBAL_DER_FEV_2023!E2447</f>
        <v>10</v>
      </c>
      <c r="F2447" s="908">
        <f>GLOBAL_DER_FEV_2023!F2447</f>
        <v>0</v>
      </c>
      <c r="G2447" s="949">
        <f>GLOBAL_DER_FEV_2023!G2447</f>
        <v>0</v>
      </c>
      <c r="H2447" s="901">
        <f>GLOBAL_DER_FEV_2023!H2447</f>
        <v>0</v>
      </c>
      <c r="I2447" s="901" t="str">
        <f>GLOBAL_DER_FEV_2023!I2447</f>
        <v/>
      </c>
      <c r="J2447" s="902">
        <f>GLOBAL_DER_FEV_2023!J2447</f>
        <v>0</v>
      </c>
      <c r="K2447" s="958" t="s">
        <v>507</v>
      </c>
      <c r="L2447" s="959"/>
      <c r="M2447" s="1157">
        <f t="shared" si="182"/>
        <v>0</v>
      </c>
      <c r="N2447" s="1176">
        <f t="shared" si="186"/>
        <v>0</v>
      </c>
      <c r="O2447" s="905"/>
      <c r="P2447" s="58" t="str">
        <f>IF(N2443&gt;0,"xx",IF(N2443&gt;0,"xy",""))</f>
        <v/>
      </c>
      <c r="Q2447" s="317" t="str">
        <f t="shared" si="183"/>
        <v/>
      </c>
      <c r="R2447" s="317" t="str">
        <f t="shared" si="184"/>
        <v/>
      </c>
      <c r="S2447" s="317" t="str">
        <f t="shared" si="185"/>
        <v/>
      </c>
      <c r="T2447" s="317" t="str">
        <f>GLOBAL_DER_FEV_2023!S2447</f>
        <v/>
      </c>
      <c r="W2447" s="582">
        <v>0</v>
      </c>
      <c r="X2447" s="580"/>
      <c r="Y2447" s="583">
        <f>IF(GLOBAL_DER_FEV_2023!W2447=0,0,IF(GLOBAL_DER_FEV_2023!W2447&gt;0,"c","b"))</f>
        <v>0</v>
      </c>
    </row>
    <row r="2448" spans="1:25" ht="15" hidden="1" customHeight="1" x14ac:dyDescent="0.2">
      <c r="A2448" s="317" t="s">
        <v>147</v>
      </c>
      <c r="B2448" s="895" t="s">
        <v>147</v>
      </c>
      <c r="C2448" s="896"/>
      <c r="D2448" s="957" t="s">
        <v>366</v>
      </c>
      <c r="E2448" s="907">
        <f>GLOBAL_DER_FEV_2023!E2448</f>
        <v>353</v>
      </c>
      <c r="F2448" s="908">
        <f>GLOBAL_DER_FEV_2023!F2448</f>
        <v>0</v>
      </c>
      <c r="G2448" s="909">
        <f>GLOBAL_DER_FEV_2023!G2448</f>
        <v>0</v>
      </c>
      <c r="H2448" s="901">
        <f>GLOBAL_DER_FEV_2023!H2448</f>
        <v>0</v>
      </c>
      <c r="I2448" s="901" t="str">
        <f>GLOBAL_DER_FEV_2023!I2448</f>
        <v/>
      </c>
      <c r="J2448" s="902">
        <f>GLOBAL_DER_FEV_2023!J2448</f>
        <v>0</v>
      </c>
      <c r="K2448" s="958" t="s">
        <v>507</v>
      </c>
      <c r="L2448" s="959"/>
      <c r="M2448" s="1157">
        <f t="shared" si="182"/>
        <v>0</v>
      </c>
      <c r="N2448" s="1176">
        <f t="shared" si="186"/>
        <v>0</v>
      </c>
      <c r="O2448" s="905"/>
      <c r="P2448" s="58" t="str">
        <f>IF(N2443&gt;0,"xx",IF(N2443&gt;0,"xy",""))</f>
        <v/>
      </c>
      <c r="Q2448" s="317" t="str">
        <f t="shared" si="183"/>
        <v/>
      </c>
      <c r="R2448" s="317" t="str">
        <f t="shared" si="184"/>
        <v/>
      </c>
      <c r="S2448" s="317" t="str">
        <f t="shared" si="185"/>
        <v/>
      </c>
      <c r="T2448" s="317" t="str">
        <f>GLOBAL_DER_FEV_2023!S2448</f>
        <v/>
      </c>
      <c r="W2448" s="582">
        <v>0</v>
      </c>
      <c r="X2448" s="580"/>
      <c r="Y2448" s="583">
        <f>IF(GLOBAL_DER_FEV_2023!W2448=0,0,IF(GLOBAL_DER_FEV_2023!W2448&gt;0,"c","b"))</f>
        <v>0</v>
      </c>
    </row>
    <row r="2449" spans="1:25" ht="15" hidden="1" customHeight="1" x14ac:dyDescent="0.2">
      <c r="A2449" s="317" t="s">
        <v>400</v>
      </c>
      <c r="B2449" s="895" t="s">
        <v>400</v>
      </c>
      <c r="C2449" s="896" t="s">
        <v>184</v>
      </c>
      <c r="D2449" s="906" t="str">
        <f>'ENSAIOS DE ORÇAMENTO'!C79</f>
        <v>ENSAIO DE ORÇAMENTO 8</v>
      </c>
      <c r="E2449" s="907">
        <f>GLOBAL_DER_FEV_2023!E2449</f>
        <v>0</v>
      </c>
      <c r="F2449" s="908">
        <f>GLOBAL_DER_FEV_2023!F2449</f>
        <v>0</v>
      </c>
      <c r="G2449" s="912">
        <f>GLOBAL_DER_FEV_2023!G2449</f>
        <v>0</v>
      </c>
      <c r="H2449" s="901">
        <f>GLOBAL_DER_FEV_2023!H2449</f>
        <v>0</v>
      </c>
      <c r="I2449" s="901">
        <f>GLOBAL_DER_FEV_2023!I2449</f>
        <v>0</v>
      </c>
      <c r="J2449" s="902">
        <f>GLOBAL_DER_FEV_2023!J2449</f>
        <v>0</v>
      </c>
      <c r="K2449" s="903" t="s">
        <v>15</v>
      </c>
      <c r="L2449" s="1137"/>
      <c r="M2449" s="1138">
        <f t="shared" si="182"/>
        <v>0</v>
      </c>
      <c r="N2449" s="1176">
        <f t="shared" si="186"/>
        <v>0</v>
      </c>
      <c r="O2449" s="905"/>
      <c r="Q2449" s="317" t="str">
        <f t="shared" si="183"/>
        <v/>
      </c>
      <c r="R2449" s="317" t="str">
        <f t="shared" si="184"/>
        <v/>
      </c>
      <c r="S2449" s="317" t="str">
        <f t="shared" si="185"/>
        <v/>
      </c>
      <c r="T2449" s="317" t="str">
        <f>GLOBAL_DER_FEV_2023!S2449</f>
        <v/>
      </c>
      <c r="W2449" s="582">
        <v>0</v>
      </c>
      <c r="X2449" s="580"/>
      <c r="Y2449" s="583">
        <f>IF(GLOBAL_DER_FEV_2023!W2449=0,0,IF(GLOBAL_DER_FEV_2023!W2449&gt;0,"c","b"))</f>
        <v>0</v>
      </c>
    </row>
    <row r="2450" spans="1:25" ht="15" hidden="1" customHeight="1" x14ac:dyDescent="0.2">
      <c r="A2450" s="317" t="s">
        <v>147</v>
      </c>
      <c r="B2450" s="895" t="s">
        <v>147</v>
      </c>
      <c r="C2450" s="896"/>
      <c r="D2450" s="957" t="s">
        <v>190</v>
      </c>
      <c r="E2450" s="907">
        <f>GLOBAL_DER_FEV_2023!E2450</f>
        <v>308</v>
      </c>
      <c r="F2450" s="908">
        <f>GLOBAL_DER_FEV_2023!F2450</f>
        <v>0</v>
      </c>
      <c r="G2450" s="909">
        <f>GLOBAL_DER_FEV_2023!G2450</f>
        <v>0</v>
      </c>
      <c r="H2450" s="901">
        <f>GLOBAL_DER_FEV_2023!H2450</f>
        <v>0</v>
      </c>
      <c r="I2450" s="901" t="str">
        <f>GLOBAL_DER_FEV_2023!I2450</f>
        <v/>
      </c>
      <c r="J2450" s="902">
        <f>GLOBAL_DER_FEV_2023!J2450</f>
        <v>0</v>
      </c>
      <c r="K2450" s="958" t="s">
        <v>507</v>
      </c>
      <c r="L2450" s="959"/>
      <c r="M2450" s="1157">
        <f t="shared" ref="M2450:M2513" si="187">IF(L2450=0,0,ROUND(J2450,2))</f>
        <v>0</v>
      </c>
      <c r="N2450" s="1176">
        <f t="shared" si="186"/>
        <v>0</v>
      </c>
      <c r="O2450" s="905"/>
      <c r="P2450" s="58" t="str">
        <f>IF(N2449&gt;0,"xx",IF(N2449&gt;0,"xy",""))</f>
        <v/>
      </c>
      <c r="Q2450" s="317" t="str">
        <f t="shared" si="183"/>
        <v/>
      </c>
      <c r="R2450" s="317" t="str">
        <f t="shared" si="184"/>
        <v/>
      </c>
      <c r="S2450" s="317" t="str">
        <f t="shared" si="185"/>
        <v/>
      </c>
      <c r="T2450" s="317" t="str">
        <f>GLOBAL_DER_FEV_2023!S2450</f>
        <v/>
      </c>
      <c r="W2450" s="582">
        <v>0</v>
      </c>
      <c r="X2450" s="580"/>
      <c r="Y2450" s="583">
        <f>IF(GLOBAL_DER_FEV_2023!W2450=0,0,IF(GLOBAL_DER_FEV_2023!W2450&gt;0,"c","b"))</f>
        <v>0</v>
      </c>
    </row>
    <row r="2451" spans="1:25" ht="15" hidden="1" customHeight="1" x14ac:dyDescent="0.2">
      <c r="A2451" s="317" t="s">
        <v>147</v>
      </c>
      <c r="B2451" s="895" t="s">
        <v>147</v>
      </c>
      <c r="C2451" s="896"/>
      <c r="D2451" s="957" t="s">
        <v>229</v>
      </c>
      <c r="E2451" s="907">
        <f>GLOBAL_DER_FEV_2023!E2451</f>
        <v>150</v>
      </c>
      <c r="F2451" s="908">
        <f>GLOBAL_DER_FEV_2023!F2451</f>
        <v>0</v>
      </c>
      <c r="G2451" s="949">
        <f>GLOBAL_DER_FEV_2023!G2451</f>
        <v>0</v>
      </c>
      <c r="H2451" s="901">
        <f>GLOBAL_DER_FEV_2023!H2451</f>
        <v>0</v>
      </c>
      <c r="I2451" s="901" t="str">
        <f>GLOBAL_DER_FEV_2023!I2451</f>
        <v/>
      </c>
      <c r="J2451" s="902">
        <f>GLOBAL_DER_FEV_2023!J2451</f>
        <v>0</v>
      </c>
      <c r="K2451" s="958" t="s">
        <v>507</v>
      </c>
      <c r="L2451" s="959"/>
      <c r="M2451" s="1157">
        <f t="shared" si="187"/>
        <v>0</v>
      </c>
      <c r="N2451" s="1176">
        <f t="shared" si="186"/>
        <v>0</v>
      </c>
      <c r="O2451" s="905"/>
      <c r="P2451" s="58" t="str">
        <f>IF(N2449&gt;0,"xx",IF(N2449&gt;0,"xy",""))</f>
        <v/>
      </c>
      <c r="Q2451" s="317" t="str">
        <f t="shared" si="183"/>
        <v/>
      </c>
      <c r="R2451" s="317" t="str">
        <f t="shared" si="184"/>
        <v/>
      </c>
      <c r="S2451" s="317" t="str">
        <f t="shared" si="185"/>
        <v/>
      </c>
      <c r="T2451" s="317" t="str">
        <f>GLOBAL_DER_FEV_2023!S2451</f>
        <v/>
      </c>
      <c r="W2451" s="582">
        <v>0</v>
      </c>
      <c r="X2451" s="580"/>
      <c r="Y2451" s="583">
        <f>IF(GLOBAL_DER_FEV_2023!W2451=0,0,IF(GLOBAL_DER_FEV_2023!W2451&gt;0,"c","b"))</f>
        <v>0</v>
      </c>
    </row>
    <row r="2452" spans="1:25" ht="15" hidden="1" customHeight="1" x14ac:dyDescent="0.2">
      <c r="A2452" s="317" t="s">
        <v>147</v>
      </c>
      <c r="B2452" s="895" t="s">
        <v>147</v>
      </c>
      <c r="C2452" s="896"/>
      <c r="D2452" s="957" t="s">
        <v>233</v>
      </c>
      <c r="E2452" s="907">
        <f>GLOBAL_DER_FEV_2023!E2452</f>
        <v>0.2</v>
      </c>
      <c r="F2452" s="908">
        <f>GLOBAL_DER_FEV_2023!F2452</f>
        <v>0</v>
      </c>
      <c r="G2452" s="949">
        <f>GLOBAL_DER_FEV_2023!G2452</f>
        <v>0</v>
      </c>
      <c r="H2452" s="901">
        <f>GLOBAL_DER_FEV_2023!H2452</f>
        <v>0</v>
      </c>
      <c r="I2452" s="901" t="str">
        <f>GLOBAL_DER_FEV_2023!I2452</f>
        <v/>
      </c>
      <c r="J2452" s="902">
        <f>GLOBAL_DER_FEV_2023!J2452</f>
        <v>0</v>
      </c>
      <c r="K2452" s="958" t="s">
        <v>507</v>
      </c>
      <c r="L2452" s="959"/>
      <c r="M2452" s="1157">
        <f t="shared" si="187"/>
        <v>0</v>
      </c>
      <c r="N2452" s="1176">
        <f t="shared" si="186"/>
        <v>0</v>
      </c>
      <c r="O2452" s="905"/>
      <c r="P2452" s="58" t="str">
        <f>IF(N2449&gt;0,"xx",IF(N2449&gt;0,"xy",""))</f>
        <v/>
      </c>
      <c r="Q2452" s="317" t="str">
        <f t="shared" si="183"/>
        <v/>
      </c>
      <c r="R2452" s="317" t="str">
        <f t="shared" si="184"/>
        <v/>
      </c>
      <c r="S2452" s="317" t="str">
        <f t="shared" si="185"/>
        <v/>
      </c>
      <c r="T2452" s="317" t="str">
        <f>GLOBAL_DER_FEV_2023!S2452</f>
        <v/>
      </c>
      <c r="W2452" s="582">
        <v>0</v>
      </c>
      <c r="X2452" s="580"/>
      <c r="Y2452" s="583">
        <f>IF(GLOBAL_DER_FEV_2023!W2452=0,0,IF(GLOBAL_DER_FEV_2023!W2452&gt;0,"c","b"))</f>
        <v>0</v>
      </c>
    </row>
    <row r="2453" spans="1:25" ht="15" hidden="1" customHeight="1" x14ac:dyDescent="0.2">
      <c r="A2453" s="317" t="s">
        <v>147</v>
      </c>
      <c r="B2453" s="895" t="s">
        <v>147</v>
      </c>
      <c r="C2453" s="896"/>
      <c r="D2453" s="957" t="s">
        <v>365</v>
      </c>
      <c r="E2453" s="907">
        <f>GLOBAL_DER_FEV_2023!E2453</f>
        <v>10</v>
      </c>
      <c r="F2453" s="908">
        <f>GLOBAL_DER_FEV_2023!F2453</f>
        <v>0</v>
      </c>
      <c r="G2453" s="949">
        <f>GLOBAL_DER_FEV_2023!G2453</f>
        <v>0</v>
      </c>
      <c r="H2453" s="901">
        <f>GLOBAL_DER_FEV_2023!H2453</f>
        <v>0</v>
      </c>
      <c r="I2453" s="901" t="str">
        <f>GLOBAL_DER_FEV_2023!I2453</f>
        <v/>
      </c>
      <c r="J2453" s="902">
        <f>GLOBAL_DER_FEV_2023!J2453</f>
        <v>0</v>
      </c>
      <c r="K2453" s="958" t="s">
        <v>507</v>
      </c>
      <c r="L2453" s="959"/>
      <c r="M2453" s="1157">
        <f t="shared" si="187"/>
        <v>0</v>
      </c>
      <c r="N2453" s="1176">
        <f t="shared" si="186"/>
        <v>0</v>
      </c>
      <c r="O2453" s="905"/>
      <c r="P2453" s="58" t="str">
        <f>IF(N2449&gt;0,"xx",IF(N2449&gt;0,"xy",""))</f>
        <v/>
      </c>
      <c r="Q2453" s="317" t="str">
        <f t="shared" si="183"/>
        <v/>
      </c>
      <c r="R2453" s="317" t="str">
        <f t="shared" si="184"/>
        <v/>
      </c>
      <c r="S2453" s="317" t="str">
        <f t="shared" si="185"/>
        <v/>
      </c>
      <c r="T2453" s="317" t="str">
        <f>GLOBAL_DER_FEV_2023!S2453</f>
        <v/>
      </c>
      <c r="W2453" s="582">
        <v>0</v>
      </c>
      <c r="X2453" s="580"/>
      <c r="Y2453" s="583">
        <f>IF(GLOBAL_DER_FEV_2023!W2453=0,0,IF(GLOBAL_DER_FEV_2023!W2453&gt;0,"c","b"))</f>
        <v>0</v>
      </c>
    </row>
    <row r="2454" spans="1:25" ht="15" hidden="1" customHeight="1" x14ac:dyDescent="0.2">
      <c r="A2454" s="317" t="s">
        <v>147</v>
      </c>
      <c r="B2454" s="895" t="s">
        <v>147</v>
      </c>
      <c r="C2454" s="896"/>
      <c r="D2454" s="957" t="s">
        <v>366</v>
      </c>
      <c r="E2454" s="907">
        <f>GLOBAL_DER_FEV_2023!E2454</f>
        <v>353</v>
      </c>
      <c r="F2454" s="908">
        <f>GLOBAL_DER_FEV_2023!F2454</f>
        <v>0</v>
      </c>
      <c r="G2454" s="909">
        <f>GLOBAL_DER_FEV_2023!G2454</f>
        <v>0</v>
      </c>
      <c r="H2454" s="901">
        <f>GLOBAL_DER_FEV_2023!H2454</f>
        <v>0</v>
      </c>
      <c r="I2454" s="901" t="str">
        <f>GLOBAL_DER_FEV_2023!I2454</f>
        <v/>
      </c>
      <c r="J2454" s="902">
        <f>GLOBAL_DER_FEV_2023!J2454</f>
        <v>0</v>
      </c>
      <c r="K2454" s="958" t="s">
        <v>507</v>
      </c>
      <c r="L2454" s="959"/>
      <c r="M2454" s="1157">
        <f t="shared" si="187"/>
        <v>0</v>
      </c>
      <c r="N2454" s="1176">
        <f t="shared" si="186"/>
        <v>0</v>
      </c>
      <c r="O2454" s="905"/>
      <c r="P2454" s="58" t="str">
        <f>IF(N2449&gt;0,"xx",IF(N2449&gt;0,"xy",""))</f>
        <v/>
      </c>
      <c r="Q2454" s="317" t="str">
        <f t="shared" si="183"/>
        <v/>
      </c>
      <c r="R2454" s="317" t="str">
        <f t="shared" si="184"/>
        <v/>
      </c>
      <c r="S2454" s="317" t="str">
        <f t="shared" si="185"/>
        <v/>
      </c>
      <c r="T2454" s="317" t="str">
        <f>GLOBAL_DER_FEV_2023!S2454</f>
        <v/>
      </c>
      <c r="W2454" s="582">
        <v>0</v>
      </c>
      <c r="X2454" s="580"/>
      <c r="Y2454" s="583">
        <f>IF(GLOBAL_DER_FEV_2023!W2454=0,0,IF(GLOBAL_DER_FEV_2023!W2454&gt;0,"c","b"))</f>
        <v>0</v>
      </c>
    </row>
    <row r="2455" spans="1:25" ht="15" hidden="1" customHeight="1" x14ac:dyDescent="0.2">
      <c r="A2455" s="317" t="s">
        <v>401</v>
      </c>
      <c r="B2455" s="895" t="s">
        <v>401</v>
      </c>
      <c r="C2455" s="896" t="s">
        <v>184</v>
      </c>
      <c r="D2455" s="906" t="str">
        <f>'ENSAIOS DE ORÇAMENTO'!C80</f>
        <v>ENSAIO DE ORÇAMENTO 9</v>
      </c>
      <c r="E2455" s="907">
        <f>GLOBAL_DER_FEV_2023!E2455</f>
        <v>0</v>
      </c>
      <c r="F2455" s="908">
        <f>GLOBAL_DER_FEV_2023!F2455</f>
        <v>0</v>
      </c>
      <c r="G2455" s="912">
        <f>GLOBAL_DER_FEV_2023!G2455</f>
        <v>0</v>
      </c>
      <c r="H2455" s="901">
        <f>GLOBAL_DER_FEV_2023!H2455</f>
        <v>0</v>
      </c>
      <c r="I2455" s="901">
        <f>GLOBAL_DER_FEV_2023!I2455</f>
        <v>0</v>
      </c>
      <c r="J2455" s="902">
        <f>GLOBAL_DER_FEV_2023!J2455</f>
        <v>0</v>
      </c>
      <c r="K2455" s="903" t="s">
        <v>15</v>
      </c>
      <c r="L2455" s="1137"/>
      <c r="M2455" s="1138">
        <f t="shared" si="187"/>
        <v>0</v>
      </c>
      <c r="N2455" s="1176">
        <f t="shared" si="186"/>
        <v>0</v>
      </c>
      <c r="O2455" s="905"/>
      <c r="Q2455" s="317" t="str">
        <f t="shared" si="183"/>
        <v/>
      </c>
      <c r="R2455" s="317" t="str">
        <f t="shared" si="184"/>
        <v/>
      </c>
      <c r="S2455" s="317" t="str">
        <f t="shared" si="185"/>
        <v/>
      </c>
      <c r="T2455" s="317" t="str">
        <f>GLOBAL_DER_FEV_2023!S2455</f>
        <v/>
      </c>
      <c r="W2455" s="582">
        <v>0</v>
      </c>
      <c r="X2455" s="580"/>
      <c r="Y2455" s="583">
        <f>IF(GLOBAL_DER_FEV_2023!W2455=0,0,IF(GLOBAL_DER_FEV_2023!W2455&gt;0,"c","b"))</f>
        <v>0</v>
      </c>
    </row>
    <row r="2456" spans="1:25" ht="15" hidden="1" customHeight="1" x14ac:dyDescent="0.2">
      <c r="A2456" s="317" t="s">
        <v>147</v>
      </c>
      <c r="B2456" s="895" t="s">
        <v>147</v>
      </c>
      <c r="C2456" s="896"/>
      <c r="D2456" s="957" t="s">
        <v>190</v>
      </c>
      <c r="E2456" s="907">
        <f>GLOBAL_DER_FEV_2023!E2456</f>
        <v>308</v>
      </c>
      <c r="F2456" s="908">
        <f>GLOBAL_DER_FEV_2023!F2456</f>
        <v>0</v>
      </c>
      <c r="G2456" s="909">
        <f>GLOBAL_DER_FEV_2023!G2456</f>
        <v>0</v>
      </c>
      <c r="H2456" s="901">
        <f>GLOBAL_DER_FEV_2023!H2456</f>
        <v>0</v>
      </c>
      <c r="I2456" s="901" t="str">
        <f>GLOBAL_DER_FEV_2023!I2456</f>
        <v/>
      </c>
      <c r="J2456" s="902">
        <f>GLOBAL_DER_FEV_2023!J2456</f>
        <v>0</v>
      </c>
      <c r="K2456" s="958" t="s">
        <v>507</v>
      </c>
      <c r="L2456" s="959"/>
      <c r="M2456" s="1157">
        <f t="shared" si="187"/>
        <v>0</v>
      </c>
      <c r="N2456" s="1176">
        <f t="shared" si="186"/>
        <v>0</v>
      </c>
      <c r="O2456" s="905"/>
      <c r="P2456" s="58" t="str">
        <f>IF(N2455&gt;0,"xx",IF(N2455&gt;0,"xy",""))</f>
        <v/>
      </c>
      <c r="Q2456" s="317" t="str">
        <f t="shared" si="183"/>
        <v/>
      </c>
      <c r="R2456" s="317" t="str">
        <f t="shared" si="184"/>
        <v/>
      </c>
      <c r="S2456" s="317" t="str">
        <f t="shared" si="185"/>
        <v/>
      </c>
      <c r="T2456" s="317" t="str">
        <f>GLOBAL_DER_FEV_2023!S2456</f>
        <v/>
      </c>
      <c r="W2456" s="582">
        <v>0</v>
      </c>
      <c r="X2456" s="580"/>
      <c r="Y2456" s="583">
        <f>IF(GLOBAL_DER_FEV_2023!W2456=0,0,IF(GLOBAL_DER_FEV_2023!W2456&gt;0,"c","b"))</f>
        <v>0</v>
      </c>
    </row>
    <row r="2457" spans="1:25" ht="15" hidden="1" customHeight="1" x14ac:dyDescent="0.2">
      <c r="A2457" s="317" t="s">
        <v>147</v>
      </c>
      <c r="B2457" s="895" t="s">
        <v>147</v>
      </c>
      <c r="C2457" s="896"/>
      <c r="D2457" s="957" t="s">
        <v>229</v>
      </c>
      <c r="E2457" s="907">
        <f>GLOBAL_DER_FEV_2023!E2457</f>
        <v>150</v>
      </c>
      <c r="F2457" s="908">
        <f>GLOBAL_DER_FEV_2023!F2457</f>
        <v>0</v>
      </c>
      <c r="G2457" s="949">
        <f>GLOBAL_DER_FEV_2023!G2457</f>
        <v>0</v>
      </c>
      <c r="H2457" s="901">
        <f>GLOBAL_DER_FEV_2023!H2457</f>
        <v>0</v>
      </c>
      <c r="I2457" s="901" t="str">
        <f>GLOBAL_DER_FEV_2023!I2457</f>
        <v/>
      </c>
      <c r="J2457" s="902">
        <f>GLOBAL_DER_FEV_2023!J2457</f>
        <v>0</v>
      </c>
      <c r="K2457" s="958" t="s">
        <v>507</v>
      </c>
      <c r="L2457" s="959"/>
      <c r="M2457" s="1157">
        <f t="shared" si="187"/>
        <v>0</v>
      </c>
      <c r="N2457" s="1176">
        <f t="shared" si="186"/>
        <v>0</v>
      </c>
      <c r="O2457" s="905"/>
      <c r="P2457" s="58" t="str">
        <f>IF(N2455&gt;0,"xx",IF(N2455&gt;0,"xy",""))</f>
        <v/>
      </c>
      <c r="Q2457" s="317" t="str">
        <f t="shared" si="183"/>
        <v/>
      </c>
      <c r="R2457" s="317" t="str">
        <f t="shared" si="184"/>
        <v/>
      </c>
      <c r="S2457" s="317" t="str">
        <f t="shared" si="185"/>
        <v/>
      </c>
      <c r="T2457" s="317" t="str">
        <f>GLOBAL_DER_FEV_2023!S2457</f>
        <v/>
      </c>
      <c r="W2457" s="582">
        <v>0</v>
      </c>
      <c r="X2457" s="580"/>
      <c r="Y2457" s="583">
        <f>IF(GLOBAL_DER_FEV_2023!W2457=0,0,IF(GLOBAL_DER_FEV_2023!W2457&gt;0,"c","b"))</f>
        <v>0</v>
      </c>
    </row>
    <row r="2458" spans="1:25" ht="15" hidden="1" customHeight="1" x14ac:dyDescent="0.2">
      <c r="A2458" s="317" t="s">
        <v>147</v>
      </c>
      <c r="B2458" s="895" t="s">
        <v>147</v>
      </c>
      <c r="C2458" s="896"/>
      <c r="D2458" s="957" t="s">
        <v>233</v>
      </c>
      <c r="E2458" s="907">
        <f>GLOBAL_DER_FEV_2023!E2458</f>
        <v>0.2</v>
      </c>
      <c r="F2458" s="908">
        <f>GLOBAL_DER_FEV_2023!F2458</f>
        <v>0</v>
      </c>
      <c r="G2458" s="949">
        <f>GLOBAL_DER_FEV_2023!G2458</f>
        <v>0</v>
      </c>
      <c r="H2458" s="901">
        <f>GLOBAL_DER_FEV_2023!H2458</f>
        <v>0</v>
      </c>
      <c r="I2458" s="901" t="str">
        <f>GLOBAL_DER_FEV_2023!I2458</f>
        <v/>
      </c>
      <c r="J2458" s="902">
        <f>GLOBAL_DER_FEV_2023!J2458</f>
        <v>0</v>
      </c>
      <c r="K2458" s="958" t="s">
        <v>507</v>
      </c>
      <c r="L2458" s="959"/>
      <c r="M2458" s="1157">
        <f t="shared" si="187"/>
        <v>0</v>
      </c>
      <c r="N2458" s="1176">
        <f t="shared" si="186"/>
        <v>0</v>
      </c>
      <c r="O2458" s="905"/>
      <c r="P2458" s="58" t="str">
        <f>IF(N2455&gt;0,"xx",IF(N2455&gt;0,"xy",""))</f>
        <v/>
      </c>
      <c r="Q2458" s="317" t="str">
        <f t="shared" si="183"/>
        <v/>
      </c>
      <c r="R2458" s="317" t="str">
        <f t="shared" si="184"/>
        <v/>
      </c>
      <c r="S2458" s="317" t="str">
        <f t="shared" si="185"/>
        <v/>
      </c>
      <c r="T2458" s="317" t="str">
        <f>GLOBAL_DER_FEV_2023!S2458</f>
        <v/>
      </c>
      <c r="W2458" s="582">
        <v>0</v>
      </c>
      <c r="X2458" s="580"/>
      <c r="Y2458" s="583">
        <f>IF(GLOBAL_DER_FEV_2023!W2458=0,0,IF(GLOBAL_DER_FEV_2023!W2458&gt;0,"c","b"))</f>
        <v>0</v>
      </c>
    </row>
    <row r="2459" spans="1:25" ht="15" hidden="1" customHeight="1" x14ac:dyDescent="0.2">
      <c r="A2459" s="317" t="s">
        <v>147</v>
      </c>
      <c r="B2459" s="895" t="s">
        <v>147</v>
      </c>
      <c r="C2459" s="896"/>
      <c r="D2459" s="957" t="s">
        <v>365</v>
      </c>
      <c r="E2459" s="907">
        <f>GLOBAL_DER_FEV_2023!E2459</f>
        <v>10</v>
      </c>
      <c r="F2459" s="908">
        <f>GLOBAL_DER_FEV_2023!F2459</f>
        <v>0</v>
      </c>
      <c r="G2459" s="949">
        <f>GLOBAL_DER_FEV_2023!G2459</f>
        <v>0</v>
      </c>
      <c r="H2459" s="901">
        <f>GLOBAL_DER_FEV_2023!H2459</f>
        <v>0</v>
      </c>
      <c r="I2459" s="901" t="str">
        <f>GLOBAL_DER_FEV_2023!I2459</f>
        <v/>
      </c>
      <c r="J2459" s="902">
        <f>GLOBAL_DER_FEV_2023!J2459</f>
        <v>0</v>
      </c>
      <c r="K2459" s="958" t="s">
        <v>507</v>
      </c>
      <c r="L2459" s="959"/>
      <c r="M2459" s="1157">
        <f t="shared" si="187"/>
        <v>0</v>
      </c>
      <c r="N2459" s="1176">
        <f t="shared" si="186"/>
        <v>0</v>
      </c>
      <c r="O2459" s="905"/>
      <c r="P2459" s="58" t="str">
        <f>IF(N2455&gt;0,"xx",IF(N2455&gt;0,"xy",""))</f>
        <v/>
      </c>
      <c r="Q2459" s="317" t="str">
        <f t="shared" ref="Q2459:Q2522" si="188">IF(P2459="X","x",IF(P2459="xx","x",IF(P2459="xy","x",IF(P2459="y","x",IF(OR(N2459&gt;0,N2459&gt;0),"x","")))))</f>
        <v/>
      </c>
      <c r="R2459" s="317" t="str">
        <f t="shared" si="184"/>
        <v/>
      </c>
      <c r="S2459" s="317" t="str">
        <f t="shared" si="185"/>
        <v/>
      </c>
      <c r="T2459" s="317" t="str">
        <f>GLOBAL_DER_FEV_2023!S2459</f>
        <v/>
      </c>
      <c r="W2459" s="582">
        <v>0</v>
      </c>
      <c r="X2459" s="580"/>
      <c r="Y2459" s="583">
        <f>IF(GLOBAL_DER_FEV_2023!W2459=0,0,IF(GLOBAL_DER_FEV_2023!W2459&gt;0,"c","b"))</f>
        <v>0</v>
      </c>
    </row>
    <row r="2460" spans="1:25" ht="15" hidden="1" customHeight="1" x14ac:dyDescent="0.2">
      <c r="A2460" s="317" t="s">
        <v>147</v>
      </c>
      <c r="B2460" s="895" t="s">
        <v>147</v>
      </c>
      <c r="C2460" s="896"/>
      <c r="D2460" s="957" t="s">
        <v>366</v>
      </c>
      <c r="E2460" s="907">
        <f>GLOBAL_DER_FEV_2023!E2460</f>
        <v>353</v>
      </c>
      <c r="F2460" s="908">
        <f>GLOBAL_DER_FEV_2023!F2460</f>
        <v>0</v>
      </c>
      <c r="G2460" s="909">
        <f>GLOBAL_DER_FEV_2023!G2460</f>
        <v>0</v>
      </c>
      <c r="H2460" s="901">
        <f>GLOBAL_DER_FEV_2023!H2460</f>
        <v>0</v>
      </c>
      <c r="I2460" s="901" t="str">
        <f>GLOBAL_DER_FEV_2023!I2460</f>
        <v/>
      </c>
      <c r="J2460" s="902">
        <f>GLOBAL_DER_FEV_2023!J2460</f>
        <v>0</v>
      </c>
      <c r="K2460" s="958" t="s">
        <v>507</v>
      </c>
      <c r="L2460" s="959"/>
      <c r="M2460" s="1157">
        <f t="shared" si="187"/>
        <v>0</v>
      </c>
      <c r="N2460" s="1176">
        <f t="shared" si="186"/>
        <v>0</v>
      </c>
      <c r="O2460" s="905"/>
      <c r="P2460" s="58" t="str">
        <f>IF(N2455&gt;0,"xx",IF(N2455&gt;0,"xy",""))</f>
        <v/>
      </c>
      <c r="Q2460" s="317" t="str">
        <f t="shared" si="188"/>
        <v/>
      </c>
      <c r="R2460" s="317" t="str">
        <f t="shared" si="184"/>
        <v/>
      </c>
      <c r="S2460" s="317" t="str">
        <f t="shared" si="185"/>
        <v/>
      </c>
      <c r="T2460" s="317" t="str">
        <f>GLOBAL_DER_FEV_2023!S2460</f>
        <v/>
      </c>
      <c r="W2460" s="582">
        <v>0</v>
      </c>
      <c r="X2460" s="580"/>
      <c r="Y2460" s="583">
        <f>IF(GLOBAL_DER_FEV_2023!W2460=0,0,IF(GLOBAL_DER_FEV_2023!W2460&gt;0,"c","b"))</f>
        <v>0</v>
      </c>
    </row>
    <row r="2461" spans="1:25" ht="15" hidden="1" customHeight="1" x14ac:dyDescent="0.2">
      <c r="A2461" s="317" t="s">
        <v>402</v>
      </c>
      <c r="B2461" s="895" t="s">
        <v>402</v>
      </c>
      <c r="C2461" s="896" t="s">
        <v>184</v>
      </c>
      <c r="D2461" s="906" t="str">
        <f>'ENSAIOS DE ORÇAMENTO'!C81</f>
        <v>ENSAIO DE ORÇAMENTO 10</v>
      </c>
      <c r="E2461" s="907">
        <f>GLOBAL_DER_FEV_2023!E2461</f>
        <v>0</v>
      </c>
      <c r="F2461" s="908">
        <f>GLOBAL_DER_FEV_2023!F2461</f>
        <v>0</v>
      </c>
      <c r="G2461" s="912">
        <f>GLOBAL_DER_FEV_2023!G2461</f>
        <v>0</v>
      </c>
      <c r="H2461" s="901">
        <f>GLOBAL_DER_FEV_2023!H2461</f>
        <v>0</v>
      </c>
      <c r="I2461" s="901">
        <f>GLOBAL_DER_FEV_2023!I2461</f>
        <v>0</v>
      </c>
      <c r="J2461" s="902">
        <f>GLOBAL_DER_FEV_2023!J2461</f>
        <v>0</v>
      </c>
      <c r="K2461" s="903" t="s">
        <v>15</v>
      </c>
      <c r="L2461" s="1137"/>
      <c r="M2461" s="1138">
        <f t="shared" si="187"/>
        <v>0</v>
      </c>
      <c r="N2461" s="1176">
        <f t="shared" si="186"/>
        <v>0</v>
      </c>
      <c r="O2461" s="905"/>
      <c r="Q2461" s="317" t="str">
        <f t="shared" si="188"/>
        <v/>
      </c>
      <c r="R2461" s="317" t="str">
        <f t="shared" ref="R2461:R2524" si="189">IF(P2461="X","x",IF(P2461="y","x",IF(P2461="xx","x",IF(N2461&gt;0,"x",""))))</f>
        <v/>
      </c>
      <c r="S2461" s="317" t="str">
        <f t="shared" ref="S2461:S2524" si="190">IF(P2461="X","x",IF(N2461&gt;0,"x",""))</f>
        <v/>
      </c>
      <c r="T2461" s="317" t="str">
        <f>GLOBAL_DER_FEV_2023!S2461</f>
        <v/>
      </c>
      <c r="W2461" s="582">
        <v>0</v>
      </c>
      <c r="X2461" s="580"/>
      <c r="Y2461" s="583">
        <f>IF(GLOBAL_DER_FEV_2023!W2461=0,0,IF(GLOBAL_DER_FEV_2023!W2461&gt;0,"c","b"))</f>
        <v>0</v>
      </c>
    </row>
    <row r="2462" spans="1:25" ht="15" hidden="1" customHeight="1" x14ac:dyDescent="0.2">
      <c r="A2462" s="317" t="s">
        <v>147</v>
      </c>
      <c r="B2462" s="895" t="s">
        <v>147</v>
      </c>
      <c r="C2462" s="896"/>
      <c r="D2462" s="957" t="s">
        <v>190</v>
      </c>
      <c r="E2462" s="907">
        <f>GLOBAL_DER_FEV_2023!E2462</f>
        <v>308</v>
      </c>
      <c r="F2462" s="908">
        <f>GLOBAL_DER_FEV_2023!F2462</f>
        <v>0</v>
      </c>
      <c r="G2462" s="909">
        <f>GLOBAL_DER_FEV_2023!G2462</f>
        <v>0</v>
      </c>
      <c r="H2462" s="901">
        <f>GLOBAL_DER_FEV_2023!H2462</f>
        <v>0</v>
      </c>
      <c r="I2462" s="901" t="str">
        <f>GLOBAL_DER_FEV_2023!I2462</f>
        <v/>
      </c>
      <c r="J2462" s="902">
        <f>GLOBAL_DER_FEV_2023!J2462</f>
        <v>0</v>
      </c>
      <c r="K2462" s="958" t="s">
        <v>507</v>
      </c>
      <c r="L2462" s="959"/>
      <c r="M2462" s="1157">
        <f t="shared" si="187"/>
        <v>0</v>
      </c>
      <c r="N2462" s="1176">
        <f t="shared" si="186"/>
        <v>0</v>
      </c>
      <c r="O2462" s="905"/>
      <c r="P2462" s="58" t="str">
        <f>IF(N2461&gt;0,"xx",IF(N2461&gt;0,"xy",""))</f>
        <v/>
      </c>
      <c r="Q2462" s="317" t="str">
        <f t="shared" si="188"/>
        <v/>
      </c>
      <c r="R2462" s="317" t="str">
        <f t="shared" si="189"/>
        <v/>
      </c>
      <c r="S2462" s="317" t="str">
        <f t="shared" si="190"/>
        <v/>
      </c>
      <c r="T2462" s="317" t="str">
        <f>GLOBAL_DER_FEV_2023!S2462</f>
        <v/>
      </c>
      <c r="W2462" s="582">
        <v>0</v>
      </c>
      <c r="X2462" s="580"/>
      <c r="Y2462" s="583">
        <f>IF(GLOBAL_DER_FEV_2023!W2462=0,0,IF(GLOBAL_DER_FEV_2023!W2462&gt;0,"c","b"))</f>
        <v>0</v>
      </c>
    </row>
    <row r="2463" spans="1:25" ht="15" hidden="1" customHeight="1" x14ac:dyDescent="0.2">
      <c r="A2463" s="317" t="s">
        <v>147</v>
      </c>
      <c r="B2463" s="895" t="s">
        <v>147</v>
      </c>
      <c r="C2463" s="896"/>
      <c r="D2463" s="957" t="s">
        <v>229</v>
      </c>
      <c r="E2463" s="907">
        <f>GLOBAL_DER_FEV_2023!E2463</f>
        <v>150</v>
      </c>
      <c r="F2463" s="908">
        <f>GLOBAL_DER_FEV_2023!F2463</f>
        <v>0</v>
      </c>
      <c r="G2463" s="949">
        <f>GLOBAL_DER_FEV_2023!G2463</f>
        <v>0</v>
      </c>
      <c r="H2463" s="901">
        <f>GLOBAL_DER_FEV_2023!H2463</f>
        <v>0</v>
      </c>
      <c r="I2463" s="901" t="str">
        <f>GLOBAL_DER_FEV_2023!I2463</f>
        <v/>
      </c>
      <c r="J2463" s="902">
        <f>GLOBAL_DER_FEV_2023!J2463</f>
        <v>0</v>
      </c>
      <c r="K2463" s="958" t="s">
        <v>507</v>
      </c>
      <c r="L2463" s="959"/>
      <c r="M2463" s="1157">
        <f t="shared" si="187"/>
        <v>0</v>
      </c>
      <c r="N2463" s="1176">
        <f t="shared" si="186"/>
        <v>0</v>
      </c>
      <c r="O2463" s="905"/>
      <c r="P2463" s="58" t="str">
        <f>IF(N2461&gt;0,"xx",IF(N2461&gt;0,"xy",""))</f>
        <v/>
      </c>
      <c r="Q2463" s="317" t="str">
        <f t="shared" si="188"/>
        <v/>
      </c>
      <c r="R2463" s="317" t="str">
        <f t="shared" si="189"/>
        <v/>
      </c>
      <c r="S2463" s="317" t="str">
        <f t="shared" si="190"/>
        <v/>
      </c>
      <c r="T2463" s="317" t="str">
        <f>GLOBAL_DER_FEV_2023!S2463</f>
        <v/>
      </c>
      <c r="W2463" s="582">
        <v>0</v>
      </c>
      <c r="X2463" s="580"/>
      <c r="Y2463" s="583">
        <f>IF(GLOBAL_DER_FEV_2023!W2463=0,0,IF(GLOBAL_DER_FEV_2023!W2463&gt;0,"c","b"))</f>
        <v>0</v>
      </c>
    </row>
    <row r="2464" spans="1:25" ht="15" hidden="1" customHeight="1" x14ac:dyDescent="0.2">
      <c r="A2464" s="317" t="s">
        <v>147</v>
      </c>
      <c r="B2464" s="895" t="s">
        <v>147</v>
      </c>
      <c r="C2464" s="896"/>
      <c r="D2464" s="957" t="s">
        <v>233</v>
      </c>
      <c r="E2464" s="907">
        <f>GLOBAL_DER_FEV_2023!E2464</f>
        <v>0.2</v>
      </c>
      <c r="F2464" s="908">
        <f>GLOBAL_DER_FEV_2023!F2464</f>
        <v>0</v>
      </c>
      <c r="G2464" s="949">
        <f>GLOBAL_DER_FEV_2023!G2464</f>
        <v>0</v>
      </c>
      <c r="H2464" s="901">
        <f>GLOBAL_DER_FEV_2023!H2464</f>
        <v>0</v>
      </c>
      <c r="I2464" s="901" t="str">
        <f>GLOBAL_DER_FEV_2023!I2464</f>
        <v/>
      </c>
      <c r="J2464" s="902">
        <f>GLOBAL_DER_FEV_2023!J2464</f>
        <v>0</v>
      </c>
      <c r="K2464" s="958" t="s">
        <v>507</v>
      </c>
      <c r="L2464" s="959"/>
      <c r="M2464" s="1157">
        <f t="shared" si="187"/>
        <v>0</v>
      </c>
      <c r="N2464" s="1176">
        <f t="shared" si="186"/>
        <v>0</v>
      </c>
      <c r="O2464" s="905"/>
      <c r="P2464" s="58" t="str">
        <f>IF(N2461&gt;0,"xx",IF(N2461&gt;0,"xy",""))</f>
        <v/>
      </c>
      <c r="Q2464" s="317" t="str">
        <f t="shared" si="188"/>
        <v/>
      </c>
      <c r="R2464" s="317" t="str">
        <f t="shared" si="189"/>
        <v/>
      </c>
      <c r="S2464" s="317" t="str">
        <f t="shared" si="190"/>
        <v/>
      </c>
      <c r="T2464" s="317" t="str">
        <f>GLOBAL_DER_FEV_2023!S2464</f>
        <v/>
      </c>
      <c r="W2464" s="582">
        <v>0</v>
      </c>
      <c r="X2464" s="580"/>
      <c r="Y2464" s="583">
        <f>IF(GLOBAL_DER_FEV_2023!W2464=0,0,IF(GLOBAL_DER_FEV_2023!W2464&gt;0,"c","b"))</f>
        <v>0</v>
      </c>
    </row>
    <row r="2465" spans="1:25" ht="15" hidden="1" customHeight="1" x14ac:dyDescent="0.2">
      <c r="A2465" s="317" t="s">
        <v>147</v>
      </c>
      <c r="B2465" s="895" t="s">
        <v>147</v>
      </c>
      <c r="C2465" s="896"/>
      <c r="D2465" s="957" t="s">
        <v>365</v>
      </c>
      <c r="E2465" s="907">
        <f>GLOBAL_DER_FEV_2023!E2465</f>
        <v>10</v>
      </c>
      <c r="F2465" s="908">
        <f>GLOBAL_DER_FEV_2023!F2465</f>
        <v>0</v>
      </c>
      <c r="G2465" s="949">
        <f>GLOBAL_DER_FEV_2023!G2465</f>
        <v>0</v>
      </c>
      <c r="H2465" s="901">
        <f>GLOBAL_DER_FEV_2023!H2465</f>
        <v>0</v>
      </c>
      <c r="I2465" s="901" t="str">
        <f>GLOBAL_DER_FEV_2023!I2465</f>
        <v/>
      </c>
      <c r="J2465" s="902">
        <f>GLOBAL_DER_FEV_2023!J2465</f>
        <v>0</v>
      </c>
      <c r="K2465" s="958" t="s">
        <v>507</v>
      </c>
      <c r="L2465" s="959"/>
      <c r="M2465" s="1157">
        <f t="shared" si="187"/>
        <v>0</v>
      </c>
      <c r="N2465" s="1176">
        <f t="shared" ref="N2465:N2528" si="191">IF(ISBLANK(L2465),0,IF(W2465=0,ROUND(L2465*M2465,2),IF(W2465="b",ROUNDDOWN(L2465*M2465,2),ROUNDUP(L2465*M2465,2))))</f>
        <v>0</v>
      </c>
      <c r="O2465" s="905"/>
      <c r="P2465" s="58" t="str">
        <f>IF(N2461&gt;0,"xx",IF(N2461&gt;0,"xy",""))</f>
        <v/>
      </c>
      <c r="Q2465" s="317" t="str">
        <f t="shared" si="188"/>
        <v/>
      </c>
      <c r="R2465" s="317" t="str">
        <f t="shared" si="189"/>
        <v/>
      </c>
      <c r="S2465" s="317" t="str">
        <f t="shared" si="190"/>
        <v/>
      </c>
      <c r="T2465" s="317" t="str">
        <f>GLOBAL_DER_FEV_2023!S2465</f>
        <v/>
      </c>
      <c r="W2465" s="582">
        <v>0</v>
      </c>
      <c r="X2465" s="580"/>
      <c r="Y2465" s="583">
        <f>IF(GLOBAL_DER_FEV_2023!W2465=0,0,IF(GLOBAL_DER_FEV_2023!W2465&gt;0,"c","b"))</f>
        <v>0</v>
      </c>
    </row>
    <row r="2466" spans="1:25" ht="15" hidden="1" customHeight="1" x14ac:dyDescent="0.2">
      <c r="A2466" s="317" t="s">
        <v>147</v>
      </c>
      <c r="B2466" s="895" t="s">
        <v>147</v>
      </c>
      <c r="C2466" s="896"/>
      <c r="D2466" s="957" t="s">
        <v>366</v>
      </c>
      <c r="E2466" s="907">
        <f>GLOBAL_DER_FEV_2023!E2466</f>
        <v>353</v>
      </c>
      <c r="F2466" s="908">
        <f>GLOBAL_DER_FEV_2023!F2466</f>
        <v>0</v>
      </c>
      <c r="G2466" s="909">
        <f>GLOBAL_DER_FEV_2023!G2466</f>
        <v>0</v>
      </c>
      <c r="H2466" s="901">
        <f>GLOBAL_DER_FEV_2023!H2466</f>
        <v>0</v>
      </c>
      <c r="I2466" s="901" t="str">
        <f>GLOBAL_DER_FEV_2023!I2466</f>
        <v/>
      </c>
      <c r="J2466" s="902">
        <f>GLOBAL_DER_FEV_2023!J2466</f>
        <v>0</v>
      </c>
      <c r="K2466" s="958" t="s">
        <v>507</v>
      </c>
      <c r="L2466" s="959"/>
      <c r="M2466" s="1157">
        <f t="shared" si="187"/>
        <v>0</v>
      </c>
      <c r="N2466" s="1176">
        <f t="shared" si="191"/>
        <v>0</v>
      </c>
      <c r="O2466" s="905"/>
      <c r="P2466" s="58" t="str">
        <f>IF(N2461&gt;0,"xx",IF(N2461&gt;0,"xy",""))</f>
        <v/>
      </c>
      <c r="Q2466" s="317" t="str">
        <f t="shared" si="188"/>
        <v/>
      </c>
      <c r="R2466" s="317" t="str">
        <f t="shared" si="189"/>
        <v/>
      </c>
      <c r="S2466" s="317" t="str">
        <f t="shared" si="190"/>
        <v/>
      </c>
      <c r="T2466" s="317" t="str">
        <f>GLOBAL_DER_FEV_2023!S2466</f>
        <v/>
      </c>
      <c r="W2466" s="582">
        <v>0</v>
      </c>
      <c r="X2466" s="580"/>
      <c r="Y2466" s="583">
        <f>IF(GLOBAL_DER_FEV_2023!W2466=0,0,IF(GLOBAL_DER_FEV_2023!W2466&gt;0,"c","b"))</f>
        <v>0</v>
      </c>
    </row>
    <row r="2467" spans="1:25" ht="15" hidden="1" customHeight="1" x14ac:dyDescent="0.2">
      <c r="A2467" s="640" t="s">
        <v>165</v>
      </c>
      <c r="B2467" s="913" t="s">
        <v>165</v>
      </c>
      <c r="C2467" s="914"/>
      <c r="D2467" s="915" t="s">
        <v>413</v>
      </c>
      <c r="E2467" s="916">
        <f>GLOBAL_DER_FEV_2023!E2467</f>
        <v>0</v>
      </c>
      <c r="F2467" s="917">
        <f>GLOBAL_DER_FEV_2023!F2467</f>
        <v>0</v>
      </c>
      <c r="G2467" s="918">
        <f>GLOBAL_DER_FEV_2023!G2467</f>
        <v>0</v>
      </c>
      <c r="H2467" s="919">
        <f>GLOBAL_DER_FEV_2023!H2467</f>
        <v>0</v>
      </c>
      <c r="I2467" s="919">
        <f>GLOBAL_DER_FEV_2023!I2467</f>
        <v>0</v>
      </c>
      <c r="J2467" s="919">
        <f>GLOBAL_DER_FEV_2023!J2467</f>
        <v>0</v>
      </c>
      <c r="K2467" s="920" t="s">
        <v>507</v>
      </c>
      <c r="L2467" s="921"/>
      <c r="M2467" s="1175">
        <f t="shared" si="187"/>
        <v>0</v>
      </c>
      <c r="N2467" s="1178">
        <f t="shared" si="191"/>
        <v>0</v>
      </c>
      <c r="O2467" s="905"/>
      <c r="P2467" s="58" t="str">
        <f>IF(OR(SUM(N2468:N2498)&gt;0,SUM(N2468:N2498)&gt;0),"y","")</f>
        <v/>
      </c>
      <c r="Q2467" s="317" t="str">
        <f t="shared" si="188"/>
        <v/>
      </c>
      <c r="R2467" s="317" t="str">
        <f t="shared" si="189"/>
        <v/>
      </c>
      <c r="S2467" s="317" t="str">
        <f t="shared" si="190"/>
        <v/>
      </c>
      <c r="T2467" s="317" t="str">
        <f>GLOBAL_DER_FEV_2023!S2467</f>
        <v/>
      </c>
      <c r="W2467" s="582">
        <v>0</v>
      </c>
      <c r="X2467" s="580"/>
      <c r="Y2467" s="583">
        <f>IF(GLOBAL_DER_FEV_2023!W2467=0,0,IF(GLOBAL_DER_FEV_2023!W2467&gt;0,"c","b"))</f>
        <v>0</v>
      </c>
    </row>
    <row r="2468" spans="1:25" ht="28.9" hidden="1" customHeight="1" x14ac:dyDescent="0.2">
      <c r="A2468" s="640" t="s">
        <v>165</v>
      </c>
      <c r="B2468" s="1036" t="str">
        <f>GLOBAL_DER_FEV_2023!B2468</f>
        <v>102308</v>
      </c>
      <c r="C2468" s="1072" t="str">
        <f>GLOBAL_DER_FEV_2023!C2468</f>
        <v>SINAPI</v>
      </c>
      <c r="D2468" s="1141" t="str">
        <f>GLOBAL_DER_FEV_2023!D2468</f>
        <v xml:space="preserve">ESCAVAÇÃO MECANIZADA DE VALA COM PROF MAIOR QUE 1,5 M ATÉ 3,0 M </v>
      </c>
      <c r="E2468" s="907">
        <f>GLOBAL_DER_FEV_2023!E2468</f>
        <v>0</v>
      </c>
      <c r="F2468" s="908">
        <f>GLOBAL_DER_FEV_2023!F2468</f>
        <v>0</v>
      </c>
      <c r="G2468" s="912">
        <f>GLOBAL_DER_FEV_2023!G2468</f>
        <v>0</v>
      </c>
      <c r="H2468" s="901">
        <f>GLOBAL_DER_FEV_2023!H2468</f>
        <v>13.05</v>
      </c>
      <c r="I2468" s="901">
        <f>GLOBAL_DER_FEV_2023!I2468</f>
        <v>13.05</v>
      </c>
      <c r="J2468" s="890">
        <f>GLOBAL_DER_FEV_2023!J2468</f>
        <v>15.67</v>
      </c>
      <c r="K2468" s="903" t="str">
        <f>GLOBAL_DER_FEV_2023!K2468</f>
        <v>M3</v>
      </c>
      <c r="L2468" s="1137"/>
      <c r="M2468" s="1175">
        <f t="shared" si="187"/>
        <v>0</v>
      </c>
      <c r="N2468" s="1167">
        <f t="shared" si="191"/>
        <v>0</v>
      </c>
      <c r="O2468" s="1165"/>
      <c r="Q2468" s="317" t="str">
        <f t="shared" si="188"/>
        <v/>
      </c>
      <c r="R2468" s="317" t="str">
        <f t="shared" si="189"/>
        <v/>
      </c>
      <c r="S2468" s="317" t="str">
        <f t="shared" si="190"/>
        <v/>
      </c>
      <c r="T2468" s="317" t="str">
        <f>GLOBAL_DER_FEV_2023!S2468</f>
        <v/>
      </c>
      <c r="W2468" s="582">
        <v>0</v>
      </c>
      <c r="X2468" s="580"/>
      <c r="Y2468" s="583">
        <f>IF(GLOBAL_DER_FEV_2023!W2468=0,0,IF(GLOBAL_DER_FEV_2023!W2468&gt;0,"c","b"))</f>
        <v>0</v>
      </c>
    </row>
    <row r="2469" spans="1:25" ht="15" hidden="1" customHeight="1" x14ac:dyDescent="0.2">
      <c r="A2469" s="640" t="s">
        <v>165</v>
      </c>
      <c r="B2469" s="1036" t="str">
        <f>GLOBAL_DER_FEV_2023!B2469</f>
        <v>102298</v>
      </c>
      <c r="C2469" s="1072" t="str">
        <f>GLOBAL_DER_FEV_2023!C2469</f>
        <v>SINAPI</v>
      </c>
      <c r="D2469" s="1141" t="str">
        <f>GLOBAL_DER_FEV_2023!D2469</f>
        <v xml:space="preserve">ESCAVAÇÃO MECANIZADA DE VALA COM PROF. ATÉ 1,5 M </v>
      </c>
      <c r="E2469" s="907">
        <f>GLOBAL_DER_FEV_2023!E2469</f>
        <v>0</v>
      </c>
      <c r="F2469" s="908">
        <f>GLOBAL_DER_FEV_2023!F2469</f>
        <v>0</v>
      </c>
      <c r="G2469" s="912">
        <f>GLOBAL_DER_FEV_2023!G2469</f>
        <v>0</v>
      </c>
      <c r="H2469" s="901">
        <f>GLOBAL_DER_FEV_2023!H2469</f>
        <v>16.329999999999998</v>
      </c>
      <c r="I2469" s="901">
        <f>GLOBAL_DER_FEV_2023!I2469</f>
        <v>16.329999999999998</v>
      </c>
      <c r="J2469" s="890">
        <f>GLOBAL_DER_FEV_2023!J2469</f>
        <v>19.61</v>
      </c>
      <c r="K2469" s="903" t="str">
        <f>GLOBAL_DER_FEV_2023!K2469</f>
        <v>M3</v>
      </c>
      <c r="L2469" s="1137"/>
      <c r="M2469" s="1175">
        <f t="shared" si="187"/>
        <v>0</v>
      </c>
      <c r="N2469" s="1167">
        <f t="shared" si="191"/>
        <v>0</v>
      </c>
      <c r="O2469" s="1165"/>
      <c r="Q2469" s="317" t="str">
        <f t="shared" si="188"/>
        <v/>
      </c>
      <c r="R2469" s="317" t="str">
        <f t="shared" si="189"/>
        <v/>
      </c>
      <c r="S2469" s="317" t="str">
        <f t="shared" si="190"/>
        <v/>
      </c>
      <c r="T2469" s="317" t="str">
        <f>GLOBAL_DER_FEV_2023!S2469</f>
        <v/>
      </c>
      <c r="W2469" s="582">
        <v>0</v>
      </c>
      <c r="X2469" s="580"/>
      <c r="Y2469" s="583">
        <f>IF(GLOBAL_DER_FEV_2023!W2469=0,0,IF(GLOBAL_DER_FEV_2023!W2469&gt;0,"c","b"))</f>
        <v>0</v>
      </c>
    </row>
    <row r="2470" spans="1:25" ht="15" hidden="1" customHeight="1" x14ac:dyDescent="0.2">
      <c r="A2470" s="640" t="s">
        <v>165</v>
      </c>
      <c r="B2470" s="1036" t="str">
        <f>GLOBAL_DER_FEV_2023!B2470</f>
        <v/>
      </c>
      <c r="C2470" s="1072" t="str">
        <f>GLOBAL_DER_FEV_2023!C2470</f>
        <v/>
      </c>
      <c r="D2470" s="1141">
        <f>GLOBAL_DER_FEV_2023!D2470</f>
        <v>0</v>
      </c>
      <c r="E2470" s="907">
        <f>GLOBAL_DER_FEV_2023!E2470</f>
        <v>0</v>
      </c>
      <c r="F2470" s="908">
        <f>GLOBAL_DER_FEV_2023!F2470</f>
        <v>0</v>
      </c>
      <c r="G2470" s="912">
        <f>GLOBAL_DER_FEV_2023!G2470</f>
        <v>0</v>
      </c>
      <c r="H2470" s="901">
        <f>GLOBAL_DER_FEV_2023!H2470</f>
        <v>0</v>
      </c>
      <c r="I2470" s="901" t="str">
        <f>GLOBAL_DER_FEV_2023!I2470</f>
        <v/>
      </c>
      <c r="J2470" s="890">
        <f>GLOBAL_DER_FEV_2023!J2470</f>
        <v>0</v>
      </c>
      <c r="K2470" s="903" t="str">
        <f>GLOBAL_DER_FEV_2023!K2470</f>
        <v xml:space="preserve">     </v>
      </c>
      <c r="L2470" s="1137"/>
      <c r="M2470" s="1175">
        <f t="shared" si="187"/>
        <v>0</v>
      </c>
      <c r="N2470" s="1167">
        <f t="shared" si="191"/>
        <v>0</v>
      </c>
      <c r="O2470" s="1165"/>
      <c r="Q2470" s="317" t="str">
        <f t="shared" si="188"/>
        <v/>
      </c>
      <c r="R2470" s="317" t="str">
        <f t="shared" si="189"/>
        <v/>
      </c>
      <c r="S2470" s="317" t="str">
        <f t="shared" si="190"/>
        <v/>
      </c>
      <c r="T2470" s="317" t="str">
        <f>GLOBAL_DER_FEV_2023!S2470</f>
        <v/>
      </c>
      <c r="W2470" s="582">
        <v>0</v>
      </c>
      <c r="X2470" s="580"/>
      <c r="Y2470" s="583">
        <f>IF(GLOBAL_DER_FEV_2023!W2470=0,0,IF(GLOBAL_DER_FEV_2023!W2470&gt;0,"c","b"))</f>
        <v>0</v>
      </c>
    </row>
    <row r="2471" spans="1:25" ht="15" hidden="1" customHeight="1" x14ac:dyDescent="0.2">
      <c r="A2471" s="640" t="s">
        <v>165</v>
      </c>
      <c r="B2471" s="1036" t="str">
        <f>GLOBAL_DER_FEV_2023!B2471</f>
        <v/>
      </c>
      <c r="C2471" s="1072" t="str">
        <f>GLOBAL_DER_FEV_2023!C2471</f>
        <v/>
      </c>
      <c r="D2471" s="1141">
        <f>GLOBAL_DER_FEV_2023!D2471</f>
        <v>0</v>
      </c>
      <c r="E2471" s="907">
        <f>GLOBAL_DER_FEV_2023!E2471</f>
        <v>0</v>
      </c>
      <c r="F2471" s="908">
        <f>GLOBAL_DER_FEV_2023!F2471</f>
        <v>0</v>
      </c>
      <c r="G2471" s="912">
        <f>GLOBAL_DER_FEV_2023!G2471</f>
        <v>0</v>
      </c>
      <c r="H2471" s="901">
        <f>GLOBAL_DER_FEV_2023!H2471</f>
        <v>0</v>
      </c>
      <c r="I2471" s="901" t="str">
        <f>GLOBAL_DER_FEV_2023!I2471</f>
        <v/>
      </c>
      <c r="J2471" s="890">
        <f>GLOBAL_DER_FEV_2023!J2471</f>
        <v>0</v>
      </c>
      <c r="K2471" s="903" t="str">
        <f>GLOBAL_DER_FEV_2023!K2471</f>
        <v xml:space="preserve">     </v>
      </c>
      <c r="L2471" s="1137"/>
      <c r="M2471" s="1175">
        <f t="shared" si="187"/>
        <v>0</v>
      </c>
      <c r="N2471" s="1167">
        <f t="shared" si="191"/>
        <v>0</v>
      </c>
      <c r="O2471" s="1165"/>
      <c r="Q2471" s="317" t="str">
        <f t="shared" si="188"/>
        <v/>
      </c>
      <c r="R2471" s="317" t="str">
        <f t="shared" si="189"/>
        <v/>
      </c>
      <c r="S2471" s="317" t="str">
        <f t="shared" si="190"/>
        <v/>
      </c>
      <c r="T2471" s="317" t="str">
        <f>GLOBAL_DER_FEV_2023!S2471</f>
        <v/>
      </c>
      <c r="W2471" s="582">
        <v>0</v>
      </c>
      <c r="X2471" s="580"/>
      <c r="Y2471" s="583">
        <f>IF(GLOBAL_DER_FEV_2023!W2471=0,0,IF(GLOBAL_DER_FEV_2023!W2471&gt;0,"c","b"))</f>
        <v>0</v>
      </c>
    </row>
    <row r="2472" spans="1:25" ht="15" hidden="1" customHeight="1" x14ac:dyDescent="0.2">
      <c r="A2472" s="640" t="s">
        <v>165</v>
      </c>
      <c r="B2472" s="1036" t="str">
        <f>GLOBAL_DER_FEV_2023!B2472</f>
        <v/>
      </c>
      <c r="C2472" s="1072" t="str">
        <f>GLOBAL_DER_FEV_2023!C2472</f>
        <v/>
      </c>
      <c r="D2472" s="1141">
        <f>GLOBAL_DER_FEV_2023!D2472</f>
        <v>0</v>
      </c>
      <c r="E2472" s="907">
        <f>GLOBAL_DER_FEV_2023!E2472</f>
        <v>0</v>
      </c>
      <c r="F2472" s="908">
        <f>GLOBAL_DER_FEV_2023!F2472</f>
        <v>0</v>
      </c>
      <c r="G2472" s="912">
        <f>GLOBAL_DER_FEV_2023!G2472</f>
        <v>0</v>
      </c>
      <c r="H2472" s="901">
        <f>GLOBAL_DER_FEV_2023!H2472</f>
        <v>0</v>
      </c>
      <c r="I2472" s="901" t="str">
        <f>GLOBAL_DER_FEV_2023!I2472</f>
        <v/>
      </c>
      <c r="J2472" s="890">
        <f>GLOBAL_DER_FEV_2023!J2472</f>
        <v>0</v>
      </c>
      <c r="K2472" s="903" t="str">
        <f>GLOBAL_DER_FEV_2023!K2472</f>
        <v xml:space="preserve">     </v>
      </c>
      <c r="L2472" s="1137"/>
      <c r="M2472" s="1175">
        <f t="shared" si="187"/>
        <v>0</v>
      </c>
      <c r="N2472" s="1167">
        <f t="shared" si="191"/>
        <v>0</v>
      </c>
      <c r="O2472" s="1165"/>
      <c r="Q2472" s="317" t="str">
        <f t="shared" si="188"/>
        <v/>
      </c>
      <c r="R2472" s="317" t="str">
        <f t="shared" si="189"/>
        <v/>
      </c>
      <c r="S2472" s="317" t="str">
        <f t="shared" si="190"/>
        <v/>
      </c>
      <c r="T2472" s="317" t="str">
        <f>GLOBAL_DER_FEV_2023!S2472</f>
        <v/>
      </c>
      <c r="W2472" s="582">
        <v>0</v>
      </c>
      <c r="X2472" s="580"/>
      <c r="Y2472" s="583">
        <f>IF(GLOBAL_DER_FEV_2023!W2472=0,0,IF(GLOBAL_DER_FEV_2023!W2472&gt;0,"c","b"))</f>
        <v>0</v>
      </c>
    </row>
    <row r="2473" spans="1:25" ht="15" hidden="1" customHeight="1" x14ac:dyDescent="0.2">
      <c r="A2473" s="640" t="s">
        <v>165</v>
      </c>
      <c r="B2473" s="1036" t="str">
        <f>GLOBAL_DER_FEV_2023!B2473</f>
        <v/>
      </c>
      <c r="C2473" s="1072" t="str">
        <f>GLOBAL_DER_FEV_2023!C2473</f>
        <v/>
      </c>
      <c r="D2473" s="1141">
        <f>GLOBAL_DER_FEV_2023!D2473</f>
        <v>0</v>
      </c>
      <c r="E2473" s="907">
        <f>GLOBAL_DER_FEV_2023!E2473</f>
        <v>0</v>
      </c>
      <c r="F2473" s="908">
        <f>GLOBAL_DER_FEV_2023!F2473</f>
        <v>0</v>
      </c>
      <c r="G2473" s="912">
        <f>GLOBAL_DER_FEV_2023!G2473</f>
        <v>0</v>
      </c>
      <c r="H2473" s="901">
        <f>GLOBAL_DER_FEV_2023!H2473</f>
        <v>0</v>
      </c>
      <c r="I2473" s="901" t="str">
        <f>GLOBAL_DER_FEV_2023!I2473</f>
        <v/>
      </c>
      <c r="J2473" s="890">
        <f>GLOBAL_DER_FEV_2023!J2473</f>
        <v>0</v>
      </c>
      <c r="K2473" s="903" t="str">
        <f>GLOBAL_DER_FEV_2023!K2473</f>
        <v xml:space="preserve">     </v>
      </c>
      <c r="L2473" s="1137"/>
      <c r="M2473" s="1175">
        <f t="shared" si="187"/>
        <v>0</v>
      </c>
      <c r="N2473" s="1167">
        <f t="shared" si="191"/>
        <v>0</v>
      </c>
      <c r="O2473" s="1165"/>
      <c r="Q2473" s="317" t="str">
        <f t="shared" si="188"/>
        <v/>
      </c>
      <c r="R2473" s="317" t="str">
        <f t="shared" si="189"/>
        <v/>
      </c>
      <c r="S2473" s="317" t="str">
        <f t="shared" si="190"/>
        <v/>
      </c>
      <c r="T2473" s="317" t="str">
        <f>GLOBAL_DER_FEV_2023!S2473</f>
        <v/>
      </c>
      <c r="W2473" s="582">
        <v>0</v>
      </c>
      <c r="X2473" s="580"/>
      <c r="Y2473" s="583">
        <f>IF(GLOBAL_DER_FEV_2023!W2473=0,0,IF(GLOBAL_DER_FEV_2023!W2473&gt;0,"c","b"))</f>
        <v>0</v>
      </c>
    </row>
    <row r="2474" spans="1:25" ht="15" hidden="1" customHeight="1" x14ac:dyDescent="0.2">
      <c r="A2474" s="640" t="s">
        <v>165</v>
      </c>
      <c r="B2474" s="1036" t="str">
        <f>GLOBAL_DER_FEV_2023!B2474</f>
        <v/>
      </c>
      <c r="C2474" s="1072" t="str">
        <f>GLOBAL_DER_FEV_2023!C2474</f>
        <v/>
      </c>
      <c r="D2474" s="1141">
        <f>GLOBAL_DER_FEV_2023!D2474</f>
        <v>0</v>
      </c>
      <c r="E2474" s="907">
        <f>GLOBAL_DER_FEV_2023!E2474</f>
        <v>0</v>
      </c>
      <c r="F2474" s="908">
        <f>GLOBAL_DER_FEV_2023!F2474</f>
        <v>0</v>
      </c>
      <c r="G2474" s="912">
        <f>GLOBAL_DER_FEV_2023!G2474</f>
        <v>0</v>
      </c>
      <c r="H2474" s="901">
        <f>GLOBAL_DER_FEV_2023!H2474</f>
        <v>0</v>
      </c>
      <c r="I2474" s="901" t="str">
        <f>GLOBAL_DER_FEV_2023!I2474</f>
        <v/>
      </c>
      <c r="J2474" s="890">
        <f>GLOBAL_DER_FEV_2023!J2474</f>
        <v>0</v>
      </c>
      <c r="K2474" s="903" t="str">
        <f>GLOBAL_DER_FEV_2023!K2474</f>
        <v xml:space="preserve">     </v>
      </c>
      <c r="L2474" s="1137"/>
      <c r="M2474" s="1175">
        <f t="shared" si="187"/>
        <v>0</v>
      </c>
      <c r="N2474" s="1167">
        <f t="shared" si="191"/>
        <v>0</v>
      </c>
      <c r="O2474" s="1165"/>
      <c r="Q2474" s="317" t="str">
        <f t="shared" si="188"/>
        <v/>
      </c>
      <c r="R2474" s="317" t="str">
        <f t="shared" si="189"/>
        <v/>
      </c>
      <c r="S2474" s="317" t="str">
        <f t="shared" si="190"/>
        <v/>
      </c>
      <c r="T2474" s="317" t="str">
        <f>GLOBAL_DER_FEV_2023!S2474</f>
        <v/>
      </c>
      <c r="W2474" s="582">
        <v>0</v>
      </c>
      <c r="X2474" s="580"/>
      <c r="Y2474" s="583">
        <f>IF(GLOBAL_DER_FEV_2023!W2474=0,0,IF(GLOBAL_DER_FEV_2023!W2474&gt;0,"c","b"))</f>
        <v>0</v>
      </c>
    </row>
    <row r="2475" spans="1:25" ht="15" hidden="1" customHeight="1" x14ac:dyDescent="0.2">
      <c r="A2475" s="640" t="s">
        <v>165</v>
      </c>
      <c r="B2475" s="1036" t="str">
        <f>GLOBAL_DER_FEV_2023!B2475</f>
        <v/>
      </c>
      <c r="C2475" s="1072" t="str">
        <f>GLOBAL_DER_FEV_2023!C2475</f>
        <v/>
      </c>
      <c r="D2475" s="1141">
        <f>GLOBAL_DER_FEV_2023!D2475</f>
        <v>0</v>
      </c>
      <c r="E2475" s="907">
        <f>GLOBAL_DER_FEV_2023!E2475</f>
        <v>0</v>
      </c>
      <c r="F2475" s="908">
        <f>GLOBAL_DER_FEV_2023!F2475</f>
        <v>0</v>
      </c>
      <c r="G2475" s="912">
        <f>GLOBAL_DER_FEV_2023!G2475</f>
        <v>0</v>
      </c>
      <c r="H2475" s="901">
        <f>GLOBAL_DER_FEV_2023!H2475</f>
        <v>0</v>
      </c>
      <c r="I2475" s="901" t="str">
        <f>GLOBAL_DER_FEV_2023!I2475</f>
        <v/>
      </c>
      <c r="J2475" s="890">
        <f>GLOBAL_DER_FEV_2023!J2475</f>
        <v>0</v>
      </c>
      <c r="K2475" s="903" t="str">
        <f>GLOBAL_DER_FEV_2023!K2475</f>
        <v xml:space="preserve">     </v>
      </c>
      <c r="L2475" s="1137"/>
      <c r="M2475" s="1175">
        <f t="shared" si="187"/>
        <v>0</v>
      </c>
      <c r="N2475" s="1167">
        <f t="shared" si="191"/>
        <v>0</v>
      </c>
      <c r="O2475" s="1165"/>
      <c r="Q2475" s="317" t="str">
        <f t="shared" si="188"/>
        <v/>
      </c>
      <c r="R2475" s="317" t="str">
        <f t="shared" si="189"/>
        <v/>
      </c>
      <c r="S2475" s="317" t="str">
        <f t="shared" si="190"/>
        <v/>
      </c>
      <c r="T2475" s="317" t="str">
        <f>GLOBAL_DER_FEV_2023!S2475</f>
        <v/>
      </c>
      <c r="W2475" s="582">
        <v>0</v>
      </c>
      <c r="X2475" s="580"/>
      <c r="Y2475" s="583">
        <f>IF(GLOBAL_DER_FEV_2023!W2475=0,0,IF(GLOBAL_DER_FEV_2023!W2475&gt;0,"c","b"))</f>
        <v>0</v>
      </c>
    </row>
    <row r="2476" spans="1:25" ht="15" hidden="1" customHeight="1" x14ac:dyDescent="0.2">
      <c r="A2476" s="640" t="s">
        <v>165</v>
      </c>
      <c r="B2476" s="1036" t="str">
        <f>GLOBAL_DER_FEV_2023!B2476</f>
        <v/>
      </c>
      <c r="C2476" s="1072" t="str">
        <f>GLOBAL_DER_FEV_2023!C2476</f>
        <v/>
      </c>
      <c r="D2476" s="1141">
        <f>GLOBAL_DER_FEV_2023!D2476</f>
        <v>0</v>
      </c>
      <c r="E2476" s="907">
        <f>GLOBAL_DER_FEV_2023!E2476</f>
        <v>0</v>
      </c>
      <c r="F2476" s="908">
        <f>GLOBAL_DER_FEV_2023!F2476</f>
        <v>0</v>
      </c>
      <c r="G2476" s="912">
        <f>GLOBAL_DER_FEV_2023!G2476</f>
        <v>0</v>
      </c>
      <c r="H2476" s="901">
        <f>GLOBAL_DER_FEV_2023!H2476</f>
        <v>0</v>
      </c>
      <c r="I2476" s="901" t="str">
        <f>GLOBAL_DER_FEV_2023!I2476</f>
        <v/>
      </c>
      <c r="J2476" s="890">
        <f>GLOBAL_DER_FEV_2023!J2476</f>
        <v>0</v>
      </c>
      <c r="K2476" s="903" t="str">
        <f>GLOBAL_DER_FEV_2023!K2476</f>
        <v xml:space="preserve">     </v>
      </c>
      <c r="L2476" s="1137"/>
      <c r="M2476" s="1175">
        <f t="shared" si="187"/>
        <v>0</v>
      </c>
      <c r="N2476" s="1167">
        <f t="shared" si="191"/>
        <v>0</v>
      </c>
      <c r="O2476" s="1165"/>
      <c r="Q2476" s="317" t="str">
        <f t="shared" si="188"/>
        <v/>
      </c>
      <c r="R2476" s="317" t="str">
        <f t="shared" si="189"/>
        <v/>
      </c>
      <c r="S2476" s="317" t="str">
        <f t="shared" si="190"/>
        <v/>
      </c>
      <c r="T2476" s="317" t="str">
        <f>GLOBAL_DER_FEV_2023!S2476</f>
        <v/>
      </c>
      <c r="W2476" s="582">
        <v>0</v>
      </c>
      <c r="X2476" s="580"/>
      <c r="Y2476" s="583">
        <f>IF(GLOBAL_DER_FEV_2023!W2476=0,0,IF(GLOBAL_DER_FEV_2023!W2476&gt;0,"c","b"))</f>
        <v>0</v>
      </c>
    </row>
    <row r="2477" spans="1:25" ht="15" hidden="1" customHeight="1" x14ac:dyDescent="0.2">
      <c r="A2477" s="640" t="s">
        <v>165</v>
      </c>
      <c r="B2477" s="1036" t="str">
        <f>GLOBAL_DER_FEV_2023!B2477</f>
        <v/>
      </c>
      <c r="C2477" s="1072" t="str">
        <f>GLOBAL_DER_FEV_2023!C2477</f>
        <v/>
      </c>
      <c r="D2477" s="1141">
        <f>GLOBAL_DER_FEV_2023!D2477</f>
        <v>0</v>
      </c>
      <c r="E2477" s="907">
        <f>GLOBAL_DER_FEV_2023!E2477</f>
        <v>0</v>
      </c>
      <c r="F2477" s="908">
        <f>GLOBAL_DER_FEV_2023!F2477</f>
        <v>0</v>
      </c>
      <c r="G2477" s="912">
        <f>GLOBAL_DER_FEV_2023!G2477</f>
        <v>0</v>
      </c>
      <c r="H2477" s="901">
        <f>GLOBAL_DER_FEV_2023!H2477</f>
        <v>0</v>
      </c>
      <c r="I2477" s="901" t="str">
        <f>GLOBAL_DER_FEV_2023!I2477</f>
        <v/>
      </c>
      <c r="J2477" s="890">
        <f>GLOBAL_DER_FEV_2023!J2477</f>
        <v>0</v>
      </c>
      <c r="K2477" s="903" t="str">
        <f>GLOBAL_DER_FEV_2023!K2477</f>
        <v xml:space="preserve">     </v>
      </c>
      <c r="L2477" s="1137"/>
      <c r="M2477" s="1175">
        <f t="shared" si="187"/>
        <v>0</v>
      </c>
      <c r="N2477" s="1167">
        <f t="shared" si="191"/>
        <v>0</v>
      </c>
      <c r="O2477" s="1165"/>
      <c r="Q2477" s="317" t="str">
        <f t="shared" si="188"/>
        <v/>
      </c>
      <c r="R2477" s="317" t="str">
        <f t="shared" si="189"/>
        <v/>
      </c>
      <c r="S2477" s="317" t="str">
        <f t="shared" si="190"/>
        <v/>
      </c>
      <c r="T2477" s="317" t="str">
        <f>GLOBAL_DER_FEV_2023!S2477</f>
        <v/>
      </c>
      <c r="W2477" s="582">
        <v>0</v>
      </c>
      <c r="X2477" s="580"/>
      <c r="Y2477" s="583">
        <f>IF(GLOBAL_DER_FEV_2023!W2477=0,0,IF(GLOBAL_DER_FEV_2023!W2477&gt;0,"c","b"))</f>
        <v>0</v>
      </c>
    </row>
    <row r="2478" spans="1:25" ht="15" hidden="1" customHeight="1" x14ac:dyDescent="0.2">
      <c r="A2478" s="640" t="s">
        <v>165</v>
      </c>
      <c r="B2478" s="1036" t="str">
        <f>GLOBAL_DER_FEV_2023!B2478</f>
        <v/>
      </c>
      <c r="C2478" s="1072" t="str">
        <f>GLOBAL_DER_FEV_2023!C2478</f>
        <v/>
      </c>
      <c r="D2478" s="1141">
        <f>GLOBAL_DER_FEV_2023!D2478</f>
        <v>0</v>
      </c>
      <c r="E2478" s="907">
        <f>GLOBAL_DER_FEV_2023!E2478</f>
        <v>0</v>
      </c>
      <c r="F2478" s="908">
        <f>GLOBAL_DER_FEV_2023!F2478</f>
        <v>0</v>
      </c>
      <c r="G2478" s="912">
        <f>GLOBAL_DER_FEV_2023!G2478</f>
        <v>0</v>
      </c>
      <c r="H2478" s="901">
        <f>GLOBAL_DER_FEV_2023!H2478</f>
        <v>0</v>
      </c>
      <c r="I2478" s="901" t="str">
        <f>GLOBAL_DER_FEV_2023!I2478</f>
        <v/>
      </c>
      <c r="J2478" s="890">
        <f>GLOBAL_DER_FEV_2023!J2478</f>
        <v>0</v>
      </c>
      <c r="K2478" s="903" t="str">
        <f>GLOBAL_DER_FEV_2023!K2478</f>
        <v xml:space="preserve">     </v>
      </c>
      <c r="L2478" s="1137"/>
      <c r="M2478" s="1175">
        <f t="shared" si="187"/>
        <v>0</v>
      </c>
      <c r="N2478" s="1167">
        <f t="shared" si="191"/>
        <v>0</v>
      </c>
      <c r="O2478" s="1165"/>
      <c r="Q2478" s="317" t="str">
        <f t="shared" si="188"/>
        <v/>
      </c>
      <c r="R2478" s="317" t="str">
        <f t="shared" si="189"/>
        <v/>
      </c>
      <c r="S2478" s="317" t="str">
        <f t="shared" si="190"/>
        <v/>
      </c>
      <c r="T2478" s="317" t="str">
        <f>GLOBAL_DER_FEV_2023!S2478</f>
        <v/>
      </c>
      <c r="W2478" s="582">
        <v>0</v>
      </c>
      <c r="X2478" s="580"/>
      <c r="Y2478" s="583">
        <f>IF(GLOBAL_DER_FEV_2023!W2478=0,0,IF(GLOBAL_DER_FEV_2023!W2478&gt;0,"c","b"))</f>
        <v>0</v>
      </c>
    </row>
    <row r="2479" spans="1:25" ht="15" hidden="1" customHeight="1" x14ac:dyDescent="0.2">
      <c r="A2479" s="640" t="s">
        <v>165</v>
      </c>
      <c r="B2479" s="1036" t="str">
        <f>GLOBAL_DER_FEV_2023!B2479</f>
        <v/>
      </c>
      <c r="C2479" s="1072" t="str">
        <f>GLOBAL_DER_FEV_2023!C2479</f>
        <v/>
      </c>
      <c r="D2479" s="1141">
        <f>GLOBAL_DER_FEV_2023!D2479</f>
        <v>0</v>
      </c>
      <c r="E2479" s="907">
        <f>GLOBAL_DER_FEV_2023!E2479</f>
        <v>0</v>
      </c>
      <c r="F2479" s="908">
        <f>GLOBAL_DER_FEV_2023!F2479</f>
        <v>0</v>
      </c>
      <c r="G2479" s="912">
        <f>GLOBAL_DER_FEV_2023!G2479</f>
        <v>0</v>
      </c>
      <c r="H2479" s="901">
        <f>GLOBAL_DER_FEV_2023!H2479</f>
        <v>0</v>
      </c>
      <c r="I2479" s="901" t="str">
        <f>GLOBAL_DER_FEV_2023!I2479</f>
        <v/>
      </c>
      <c r="J2479" s="890">
        <f>GLOBAL_DER_FEV_2023!J2479</f>
        <v>0</v>
      </c>
      <c r="K2479" s="903" t="str">
        <f>GLOBAL_DER_FEV_2023!K2479</f>
        <v xml:space="preserve">     </v>
      </c>
      <c r="L2479" s="1137"/>
      <c r="M2479" s="1175">
        <f t="shared" si="187"/>
        <v>0</v>
      </c>
      <c r="N2479" s="1167">
        <f t="shared" si="191"/>
        <v>0</v>
      </c>
      <c r="O2479" s="1165"/>
      <c r="Q2479" s="317" t="str">
        <f t="shared" si="188"/>
        <v/>
      </c>
      <c r="R2479" s="317" t="str">
        <f t="shared" si="189"/>
        <v/>
      </c>
      <c r="S2479" s="317" t="str">
        <f t="shared" si="190"/>
        <v/>
      </c>
      <c r="T2479" s="317" t="str">
        <f>GLOBAL_DER_FEV_2023!S2479</f>
        <v/>
      </c>
      <c r="W2479" s="582">
        <v>0</v>
      </c>
      <c r="X2479" s="580"/>
      <c r="Y2479" s="583">
        <f>IF(GLOBAL_DER_FEV_2023!W2479=0,0,IF(GLOBAL_DER_FEV_2023!W2479&gt;0,"c","b"))</f>
        <v>0</v>
      </c>
    </row>
    <row r="2480" spans="1:25" ht="15" hidden="1" customHeight="1" x14ac:dyDescent="0.2">
      <c r="A2480" s="640" t="s">
        <v>165</v>
      </c>
      <c r="B2480" s="1036" t="str">
        <f>GLOBAL_DER_FEV_2023!B2480</f>
        <v/>
      </c>
      <c r="C2480" s="1072" t="str">
        <f>GLOBAL_DER_FEV_2023!C2480</f>
        <v/>
      </c>
      <c r="D2480" s="1141">
        <f>GLOBAL_DER_FEV_2023!D2480</f>
        <v>0</v>
      </c>
      <c r="E2480" s="907">
        <f>GLOBAL_DER_FEV_2023!E2480</f>
        <v>0</v>
      </c>
      <c r="F2480" s="908">
        <f>GLOBAL_DER_FEV_2023!F2480</f>
        <v>0</v>
      </c>
      <c r="G2480" s="912">
        <f>GLOBAL_DER_FEV_2023!G2480</f>
        <v>0</v>
      </c>
      <c r="H2480" s="901">
        <f>GLOBAL_DER_FEV_2023!H2480</f>
        <v>0</v>
      </c>
      <c r="I2480" s="901" t="str">
        <f>GLOBAL_DER_FEV_2023!I2480</f>
        <v/>
      </c>
      <c r="J2480" s="890">
        <f>GLOBAL_DER_FEV_2023!J2480</f>
        <v>0</v>
      </c>
      <c r="K2480" s="903" t="str">
        <f>GLOBAL_DER_FEV_2023!K2480</f>
        <v xml:space="preserve">     </v>
      </c>
      <c r="L2480" s="1137"/>
      <c r="M2480" s="1175">
        <f t="shared" si="187"/>
        <v>0</v>
      </c>
      <c r="N2480" s="1167">
        <f t="shared" si="191"/>
        <v>0</v>
      </c>
      <c r="O2480" s="1165"/>
      <c r="Q2480" s="317" t="str">
        <f t="shared" si="188"/>
        <v/>
      </c>
      <c r="R2480" s="317" t="str">
        <f t="shared" si="189"/>
        <v/>
      </c>
      <c r="S2480" s="317" t="str">
        <f t="shared" si="190"/>
        <v/>
      </c>
      <c r="T2480" s="317" t="str">
        <f>GLOBAL_DER_FEV_2023!S2480</f>
        <v/>
      </c>
      <c r="W2480" s="582">
        <v>0</v>
      </c>
      <c r="X2480" s="580"/>
      <c r="Y2480" s="583">
        <f>IF(GLOBAL_DER_FEV_2023!W2480=0,0,IF(GLOBAL_DER_FEV_2023!W2480&gt;0,"c","b"))</f>
        <v>0</v>
      </c>
    </row>
    <row r="2481" spans="1:25" ht="15" hidden="1" customHeight="1" x14ac:dyDescent="0.2">
      <c r="A2481" s="640" t="s">
        <v>165</v>
      </c>
      <c r="B2481" s="1036" t="str">
        <f>GLOBAL_DER_FEV_2023!B2481</f>
        <v/>
      </c>
      <c r="C2481" s="1072" t="str">
        <f>GLOBAL_DER_FEV_2023!C2481</f>
        <v/>
      </c>
      <c r="D2481" s="1141">
        <f>GLOBAL_DER_FEV_2023!D2481</f>
        <v>0</v>
      </c>
      <c r="E2481" s="907">
        <f>GLOBAL_DER_FEV_2023!E2481</f>
        <v>0</v>
      </c>
      <c r="F2481" s="908">
        <f>GLOBAL_DER_FEV_2023!F2481</f>
        <v>0</v>
      </c>
      <c r="G2481" s="912">
        <f>GLOBAL_DER_FEV_2023!G2481</f>
        <v>0</v>
      </c>
      <c r="H2481" s="901">
        <f>GLOBAL_DER_FEV_2023!H2481</f>
        <v>0</v>
      </c>
      <c r="I2481" s="901" t="str">
        <f>GLOBAL_DER_FEV_2023!I2481</f>
        <v/>
      </c>
      <c r="J2481" s="890">
        <f>GLOBAL_DER_FEV_2023!J2481</f>
        <v>0</v>
      </c>
      <c r="K2481" s="903" t="str">
        <f>GLOBAL_DER_FEV_2023!K2481</f>
        <v xml:space="preserve">     </v>
      </c>
      <c r="L2481" s="1137"/>
      <c r="M2481" s="1175">
        <f t="shared" si="187"/>
        <v>0</v>
      </c>
      <c r="N2481" s="1167">
        <f t="shared" si="191"/>
        <v>0</v>
      </c>
      <c r="O2481" s="1165"/>
      <c r="Q2481" s="317" t="str">
        <f t="shared" si="188"/>
        <v/>
      </c>
      <c r="R2481" s="317" t="str">
        <f t="shared" si="189"/>
        <v/>
      </c>
      <c r="S2481" s="317" t="str">
        <f t="shared" si="190"/>
        <v/>
      </c>
      <c r="T2481" s="317" t="str">
        <f>GLOBAL_DER_FEV_2023!S2481</f>
        <v/>
      </c>
      <c r="W2481" s="582">
        <v>0</v>
      </c>
      <c r="X2481" s="580"/>
      <c r="Y2481" s="583">
        <f>IF(GLOBAL_DER_FEV_2023!W2481=0,0,IF(GLOBAL_DER_FEV_2023!W2481&gt;0,"c","b"))</f>
        <v>0</v>
      </c>
    </row>
    <row r="2482" spans="1:25" ht="15" hidden="1" customHeight="1" x14ac:dyDescent="0.2">
      <c r="A2482" s="640" t="s">
        <v>165</v>
      </c>
      <c r="B2482" s="1036" t="str">
        <f>GLOBAL_DER_FEV_2023!B2482</f>
        <v/>
      </c>
      <c r="C2482" s="1072" t="str">
        <f>GLOBAL_DER_FEV_2023!C2482</f>
        <v/>
      </c>
      <c r="D2482" s="1141">
        <f>GLOBAL_DER_FEV_2023!D2482</f>
        <v>0</v>
      </c>
      <c r="E2482" s="907">
        <f>GLOBAL_DER_FEV_2023!E2482</f>
        <v>0</v>
      </c>
      <c r="F2482" s="908">
        <f>GLOBAL_DER_FEV_2023!F2482</f>
        <v>0</v>
      </c>
      <c r="G2482" s="912">
        <f>GLOBAL_DER_FEV_2023!G2482</f>
        <v>0</v>
      </c>
      <c r="H2482" s="901">
        <f>GLOBAL_DER_FEV_2023!H2482</f>
        <v>0</v>
      </c>
      <c r="I2482" s="901" t="str">
        <f>GLOBAL_DER_FEV_2023!I2482</f>
        <v/>
      </c>
      <c r="J2482" s="890">
        <f>GLOBAL_DER_FEV_2023!J2482</f>
        <v>0</v>
      </c>
      <c r="K2482" s="903" t="str">
        <f>GLOBAL_DER_FEV_2023!K2482</f>
        <v xml:space="preserve">     </v>
      </c>
      <c r="L2482" s="1137"/>
      <c r="M2482" s="1175">
        <f t="shared" si="187"/>
        <v>0</v>
      </c>
      <c r="N2482" s="1167">
        <f t="shared" si="191"/>
        <v>0</v>
      </c>
      <c r="O2482" s="1165"/>
      <c r="Q2482" s="317" t="str">
        <f t="shared" si="188"/>
        <v/>
      </c>
      <c r="R2482" s="317" t="str">
        <f t="shared" si="189"/>
        <v/>
      </c>
      <c r="S2482" s="317" t="str">
        <f t="shared" si="190"/>
        <v/>
      </c>
      <c r="T2482" s="317" t="str">
        <f>GLOBAL_DER_FEV_2023!S2482</f>
        <v/>
      </c>
      <c r="W2482" s="582">
        <v>0</v>
      </c>
      <c r="X2482" s="580"/>
      <c r="Y2482" s="583">
        <f>IF(GLOBAL_DER_FEV_2023!W2482=0,0,IF(GLOBAL_DER_FEV_2023!W2482&gt;0,"c","b"))</f>
        <v>0</v>
      </c>
    </row>
    <row r="2483" spans="1:25" ht="15" hidden="1" customHeight="1" x14ac:dyDescent="0.2">
      <c r="A2483" s="640" t="s">
        <v>165</v>
      </c>
      <c r="B2483" s="1036" t="str">
        <f>GLOBAL_DER_FEV_2023!B2483</f>
        <v/>
      </c>
      <c r="C2483" s="1072" t="str">
        <f>GLOBAL_DER_FEV_2023!C2483</f>
        <v/>
      </c>
      <c r="D2483" s="1141">
        <f>GLOBAL_DER_FEV_2023!D2483</f>
        <v>0</v>
      </c>
      <c r="E2483" s="907">
        <f>GLOBAL_DER_FEV_2023!E2483</f>
        <v>0</v>
      </c>
      <c r="F2483" s="908">
        <f>GLOBAL_DER_FEV_2023!F2483</f>
        <v>0</v>
      </c>
      <c r="G2483" s="912">
        <f>GLOBAL_DER_FEV_2023!G2483</f>
        <v>0</v>
      </c>
      <c r="H2483" s="901">
        <f>GLOBAL_DER_FEV_2023!H2483</f>
        <v>0</v>
      </c>
      <c r="I2483" s="901" t="str">
        <f>GLOBAL_DER_FEV_2023!I2483</f>
        <v/>
      </c>
      <c r="J2483" s="890">
        <f>GLOBAL_DER_FEV_2023!J2483</f>
        <v>0</v>
      </c>
      <c r="K2483" s="903" t="str">
        <f>GLOBAL_DER_FEV_2023!K2483</f>
        <v xml:space="preserve">     </v>
      </c>
      <c r="L2483" s="1137"/>
      <c r="M2483" s="1175">
        <f t="shared" si="187"/>
        <v>0</v>
      </c>
      <c r="N2483" s="1167">
        <f t="shared" si="191"/>
        <v>0</v>
      </c>
      <c r="O2483" s="1165"/>
      <c r="Q2483" s="317" t="str">
        <f t="shared" si="188"/>
        <v/>
      </c>
      <c r="R2483" s="317" t="str">
        <f t="shared" si="189"/>
        <v/>
      </c>
      <c r="S2483" s="317" t="str">
        <f t="shared" si="190"/>
        <v/>
      </c>
      <c r="T2483" s="317" t="str">
        <f>GLOBAL_DER_FEV_2023!S2483</f>
        <v/>
      </c>
      <c r="W2483" s="582">
        <v>0</v>
      </c>
      <c r="X2483" s="580"/>
      <c r="Y2483" s="583">
        <f>IF(GLOBAL_DER_FEV_2023!W2483=0,0,IF(GLOBAL_DER_FEV_2023!W2483&gt;0,"c","b"))</f>
        <v>0</v>
      </c>
    </row>
    <row r="2484" spans="1:25" ht="15" hidden="1" customHeight="1" x14ac:dyDescent="0.2">
      <c r="A2484" s="640" t="s">
        <v>165</v>
      </c>
      <c r="B2484" s="1036" t="str">
        <f>GLOBAL_DER_FEV_2023!B2484</f>
        <v/>
      </c>
      <c r="C2484" s="1072" t="str">
        <f>GLOBAL_DER_FEV_2023!C2484</f>
        <v/>
      </c>
      <c r="D2484" s="1141">
        <f>GLOBAL_DER_FEV_2023!D2484</f>
        <v>0</v>
      </c>
      <c r="E2484" s="907">
        <f>GLOBAL_DER_FEV_2023!E2484</f>
        <v>0</v>
      </c>
      <c r="F2484" s="908">
        <f>GLOBAL_DER_FEV_2023!F2484</f>
        <v>0</v>
      </c>
      <c r="G2484" s="912">
        <f>GLOBAL_DER_FEV_2023!G2484</f>
        <v>0</v>
      </c>
      <c r="H2484" s="901">
        <f>GLOBAL_DER_FEV_2023!H2484</f>
        <v>0</v>
      </c>
      <c r="I2484" s="901" t="str">
        <f>GLOBAL_DER_FEV_2023!I2484</f>
        <v/>
      </c>
      <c r="J2484" s="890">
        <f>GLOBAL_DER_FEV_2023!J2484</f>
        <v>0</v>
      </c>
      <c r="K2484" s="903" t="str">
        <f>GLOBAL_DER_FEV_2023!K2484</f>
        <v xml:space="preserve">     </v>
      </c>
      <c r="L2484" s="1137"/>
      <c r="M2484" s="1175">
        <f t="shared" si="187"/>
        <v>0</v>
      </c>
      <c r="N2484" s="1167">
        <f t="shared" si="191"/>
        <v>0</v>
      </c>
      <c r="O2484" s="1165"/>
      <c r="Q2484" s="317" t="str">
        <f t="shared" si="188"/>
        <v/>
      </c>
      <c r="R2484" s="317" t="str">
        <f t="shared" si="189"/>
        <v/>
      </c>
      <c r="S2484" s="317" t="str">
        <f t="shared" si="190"/>
        <v/>
      </c>
      <c r="T2484" s="317" t="str">
        <f>GLOBAL_DER_FEV_2023!S2484</f>
        <v/>
      </c>
      <c r="W2484" s="582">
        <v>0</v>
      </c>
      <c r="X2484" s="580"/>
      <c r="Y2484" s="583">
        <f>IF(GLOBAL_DER_FEV_2023!W2484=0,0,IF(GLOBAL_DER_FEV_2023!W2484&gt;0,"c","b"))</f>
        <v>0</v>
      </c>
    </row>
    <row r="2485" spans="1:25" ht="15" hidden="1" customHeight="1" x14ac:dyDescent="0.2">
      <c r="A2485" s="640" t="s">
        <v>165</v>
      </c>
      <c r="B2485" s="1036" t="str">
        <f>GLOBAL_DER_FEV_2023!B2485</f>
        <v/>
      </c>
      <c r="C2485" s="1072" t="str">
        <f>GLOBAL_DER_FEV_2023!C2485</f>
        <v/>
      </c>
      <c r="D2485" s="1141">
        <f>GLOBAL_DER_FEV_2023!D2485</f>
        <v>0</v>
      </c>
      <c r="E2485" s="907">
        <f>GLOBAL_DER_FEV_2023!E2485</f>
        <v>0</v>
      </c>
      <c r="F2485" s="908">
        <f>GLOBAL_DER_FEV_2023!F2485</f>
        <v>0</v>
      </c>
      <c r="G2485" s="912">
        <f>GLOBAL_DER_FEV_2023!G2485</f>
        <v>0</v>
      </c>
      <c r="H2485" s="901">
        <f>GLOBAL_DER_FEV_2023!H2485</f>
        <v>0</v>
      </c>
      <c r="I2485" s="901" t="str">
        <f>GLOBAL_DER_FEV_2023!I2485</f>
        <v/>
      </c>
      <c r="J2485" s="890">
        <f>GLOBAL_DER_FEV_2023!J2485</f>
        <v>0</v>
      </c>
      <c r="K2485" s="903" t="str">
        <f>GLOBAL_DER_FEV_2023!K2485</f>
        <v xml:space="preserve">     </v>
      </c>
      <c r="L2485" s="1137"/>
      <c r="M2485" s="1175">
        <f t="shared" si="187"/>
        <v>0</v>
      </c>
      <c r="N2485" s="1167">
        <f t="shared" si="191"/>
        <v>0</v>
      </c>
      <c r="O2485" s="1165"/>
      <c r="Q2485" s="317" t="str">
        <f t="shared" si="188"/>
        <v/>
      </c>
      <c r="R2485" s="317" t="str">
        <f t="shared" si="189"/>
        <v/>
      </c>
      <c r="S2485" s="317" t="str">
        <f t="shared" si="190"/>
        <v/>
      </c>
      <c r="T2485" s="317" t="str">
        <f>GLOBAL_DER_FEV_2023!S2485</f>
        <v/>
      </c>
      <c r="W2485" s="582">
        <v>0</v>
      </c>
      <c r="X2485" s="580"/>
      <c r="Y2485" s="583">
        <f>IF(GLOBAL_DER_FEV_2023!W2485=0,0,IF(GLOBAL_DER_FEV_2023!W2485&gt;0,"c","b"))</f>
        <v>0</v>
      </c>
    </row>
    <row r="2486" spans="1:25" ht="15" hidden="1" customHeight="1" x14ac:dyDescent="0.2">
      <c r="A2486" s="640" t="s">
        <v>165</v>
      </c>
      <c r="B2486" s="1036" t="str">
        <f>GLOBAL_DER_FEV_2023!B2486</f>
        <v/>
      </c>
      <c r="C2486" s="1072" t="str">
        <f>GLOBAL_DER_FEV_2023!C2486</f>
        <v/>
      </c>
      <c r="D2486" s="1141">
        <f>GLOBAL_DER_FEV_2023!D2486</f>
        <v>0</v>
      </c>
      <c r="E2486" s="907">
        <f>GLOBAL_DER_FEV_2023!E2486</f>
        <v>0</v>
      </c>
      <c r="F2486" s="908">
        <f>GLOBAL_DER_FEV_2023!F2486</f>
        <v>0</v>
      </c>
      <c r="G2486" s="912">
        <f>GLOBAL_DER_FEV_2023!G2486</f>
        <v>0</v>
      </c>
      <c r="H2486" s="901">
        <f>GLOBAL_DER_FEV_2023!H2486</f>
        <v>0</v>
      </c>
      <c r="I2486" s="901" t="str">
        <f>GLOBAL_DER_FEV_2023!I2486</f>
        <v/>
      </c>
      <c r="J2486" s="890">
        <f>GLOBAL_DER_FEV_2023!J2486</f>
        <v>0</v>
      </c>
      <c r="K2486" s="903" t="str">
        <f>GLOBAL_DER_FEV_2023!K2486</f>
        <v xml:space="preserve">     </v>
      </c>
      <c r="L2486" s="1137"/>
      <c r="M2486" s="1175">
        <f t="shared" si="187"/>
        <v>0</v>
      </c>
      <c r="N2486" s="1167">
        <f t="shared" si="191"/>
        <v>0</v>
      </c>
      <c r="O2486" s="1165"/>
      <c r="Q2486" s="317" t="str">
        <f t="shared" si="188"/>
        <v/>
      </c>
      <c r="R2486" s="317" t="str">
        <f t="shared" si="189"/>
        <v/>
      </c>
      <c r="S2486" s="317" t="str">
        <f t="shared" si="190"/>
        <v/>
      </c>
      <c r="T2486" s="317" t="str">
        <f>GLOBAL_DER_FEV_2023!S2486</f>
        <v/>
      </c>
      <c r="W2486" s="582">
        <v>0</v>
      </c>
      <c r="X2486" s="580"/>
      <c r="Y2486" s="583">
        <f>IF(GLOBAL_DER_FEV_2023!W2486=0,0,IF(GLOBAL_DER_FEV_2023!W2486&gt;0,"c","b"))</f>
        <v>0</v>
      </c>
    </row>
    <row r="2487" spans="1:25" ht="15" hidden="1" customHeight="1" x14ac:dyDescent="0.2">
      <c r="A2487" s="640" t="s">
        <v>165</v>
      </c>
      <c r="B2487" s="1036" t="str">
        <f>GLOBAL_DER_FEV_2023!B2487</f>
        <v/>
      </c>
      <c r="C2487" s="1072" t="str">
        <f>GLOBAL_DER_FEV_2023!C2487</f>
        <v/>
      </c>
      <c r="D2487" s="1141">
        <f>GLOBAL_DER_FEV_2023!D2487</f>
        <v>0</v>
      </c>
      <c r="E2487" s="907">
        <f>GLOBAL_DER_FEV_2023!E2487</f>
        <v>0</v>
      </c>
      <c r="F2487" s="908">
        <f>GLOBAL_DER_FEV_2023!F2487</f>
        <v>0</v>
      </c>
      <c r="G2487" s="912">
        <f>GLOBAL_DER_FEV_2023!G2487</f>
        <v>0</v>
      </c>
      <c r="H2487" s="901">
        <f>GLOBAL_DER_FEV_2023!H2487</f>
        <v>0</v>
      </c>
      <c r="I2487" s="901" t="str">
        <f>GLOBAL_DER_FEV_2023!I2487</f>
        <v/>
      </c>
      <c r="J2487" s="890">
        <f>GLOBAL_DER_FEV_2023!J2487</f>
        <v>0</v>
      </c>
      <c r="K2487" s="903" t="str">
        <f>GLOBAL_DER_FEV_2023!K2487</f>
        <v xml:space="preserve">     </v>
      </c>
      <c r="L2487" s="1137"/>
      <c r="M2487" s="1175">
        <f t="shared" si="187"/>
        <v>0</v>
      </c>
      <c r="N2487" s="1167">
        <f t="shared" si="191"/>
        <v>0</v>
      </c>
      <c r="O2487" s="1165"/>
      <c r="Q2487" s="317" t="str">
        <f t="shared" si="188"/>
        <v/>
      </c>
      <c r="R2487" s="317" t="str">
        <f t="shared" si="189"/>
        <v/>
      </c>
      <c r="S2487" s="317" t="str">
        <f t="shared" si="190"/>
        <v/>
      </c>
      <c r="T2487" s="317" t="str">
        <f>GLOBAL_DER_FEV_2023!S2487</f>
        <v/>
      </c>
      <c r="W2487" s="582">
        <v>0</v>
      </c>
      <c r="X2487" s="580"/>
      <c r="Y2487" s="583">
        <f>IF(GLOBAL_DER_FEV_2023!W2487=0,0,IF(GLOBAL_DER_FEV_2023!W2487&gt;0,"c","b"))</f>
        <v>0</v>
      </c>
    </row>
    <row r="2488" spans="1:25" ht="15" hidden="1" customHeight="1" x14ac:dyDescent="0.2">
      <c r="A2488" s="640" t="s">
        <v>165</v>
      </c>
      <c r="B2488" s="1036" t="str">
        <f>GLOBAL_DER_FEV_2023!B2488</f>
        <v/>
      </c>
      <c r="C2488" s="1072" t="str">
        <f>GLOBAL_DER_FEV_2023!C2488</f>
        <v/>
      </c>
      <c r="D2488" s="1141">
        <f>GLOBAL_DER_FEV_2023!D2488</f>
        <v>0</v>
      </c>
      <c r="E2488" s="907">
        <f>GLOBAL_DER_FEV_2023!E2488</f>
        <v>0</v>
      </c>
      <c r="F2488" s="908">
        <f>GLOBAL_DER_FEV_2023!F2488</f>
        <v>0</v>
      </c>
      <c r="G2488" s="912">
        <f>GLOBAL_DER_FEV_2023!G2488</f>
        <v>0</v>
      </c>
      <c r="H2488" s="901">
        <f>GLOBAL_DER_FEV_2023!H2488</f>
        <v>0</v>
      </c>
      <c r="I2488" s="901" t="str">
        <f>GLOBAL_DER_FEV_2023!I2488</f>
        <v/>
      </c>
      <c r="J2488" s="890">
        <f>GLOBAL_DER_FEV_2023!J2488</f>
        <v>0</v>
      </c>
      <c r="K2488" s="903" t="str">
        <f>GLOBAL_DER_FEV_2023!K2488</f>
        <v xml:space="preserve">     </v>
      </c>
      <c r="L2488" s="1137"/>
      <c r="M2488" s="1175">
        <f t="shared" si="187"/>
        <v>0</v>
      </c>
      <c r="N2488" s="1167">
        <f t="shared" si="191"/>
        <v>0</v>
      </c>
      <c r="O2488" s="1165"/>
      <c r="Q2488" s="317" t="str">
        <f t="shared" si="188"/>
        <v/>
      </c>
      <c r="R2488" s="317" t="str">
        <f t="shared" si="189"/>
        <v/>
      </c>
      <c r="S2488" s="317" t="str">
        <f t="shared" si="190"/>
        <v/>
      </c>
      <c r="T2488" s="317" t="str">
        <f>GLOBAL_DER_FEV_2023!S2488</f>
        <v/>
      </c>
      <c r="W2488" s="582">
        <v>0</v>
      </c>
      <c r="X2488" s="580"/>
      <c r="Y2488" s="583">
        <f>IF(GLOBAL_DER_FEV_2023!W2488=0,0,IF(GLOBAL_DER_FEV_2023!W2488&gt;0,"c","b"))</f>
        <v>0</v>
      </c>
    </row>
    <row r="2489" spans="1:25" ht="15" hidden="1" customHeight="1" x14ac:dyDescent="0.2">
      <c r="A2489" s="640" t="s">
        <v>165</v>
      </c>
      <c r="B2489" s="1036" t="str">
        <f>GLOBAL_DER_FEV_2023!B2489</f>
        <v/>
      </c>
      <c r="C2489" s="1072" t="str">
        <f>GLOBAL_DER_FEV_2023!C2489</f>
        <v/>
      </c>
      <c r="D2489" s="1141">
        <f>GLOBAL_DER_FEV_2023!D2489</f>
        <v>0</v>
      </c>
      <c r="E2489" s="907">
        <f>GLOBAL_DER_FEV_2023!E2489</f>
        <v>0</v>
      </c>
      <c r="F2489" s="908">
        <f>GLOBAL_DER_FEV_2023!F2489</f>
        <v>0</v>
      </c>
      <c r="G2489" s="912">
        <f>GLOBAL_DER_FEV_2023!G2489</f>
        <v>0</v>
      </c>
      <c r="H2489" s="901">
        <f>GLOBAL_DER_FEV_2023!H2489</f>
        <v>0</v>
      </c>
      <c r="I2489" s="901" t="str">
        <f>GLOBAL_DER_FEV_2023!I2489</f>
        <v/>
      </c>
      <c r="J2489" s="890">
        <f>GLOBAL_DER_FEV_2023!J2489</f>
        <v>0</v>
      </c>
      <c r="K2489" s="903" t="str">
        <f>GLOBAL_DER_FEV_2023!K2489</f>
        <v xml:space="preserve">     </v>
      </c>
      <c r="L2489" s="1137"/>
      <c r="M2489" s="1175">
        <f t="shared" si="187"/>
        <v>0</v>
      </c>
      <c r="N2489" s="1167">
        <f t="shared" si="191"/>
        <v>0</v>
      </c>
      <c r="O2489" s="1165"/>
      <c r="Q2489" s="317" t="str">
        <f t="shared" si="188"/>
        <v/>
      </c>
      <c r="R2489" s="317" t="str">
        <f t="shared" si="189"/>
        <v/>
      </c>
      <c r="S2489" s="317" t="str">
        <f t="shared" si="190"/>
        <v/>
      </c>
      <c r="T2489" s="317" t="str">
        <f>GLOBAL_DER_FEV_2023!S2489</f>
        <v/>
      </c>
      <c r="W2489" s="582">
        <v>0</v>
      </c>
      <c r="X2489" s="580"/>
      <c r="Y2489" s="583">
        <f>IF(GLOBAL_DER_FEV_2023!W2489=0,0,IF(GLOBAL_DER_FEV_2023!W2489&gt;0,"c","b"))</f>
        <v>0</v>
      </c>
    </row>
    <row r="2490" spans="1:25" ht="15" hidden="1" customHeight="1" x14ac:dyDescent="0.2">
      <c r="A2490" s="640" t="s">
        <v>165</v>
      </c>
      <c r="B2490" s="1036" t="str">
        <f>GLOBAL_DER_FEV_2023!B2490</f>
        <v/>
      </c>
      <c r="C2490" s="1072" t="str">
        <f>GLOBAL_DER_FEV_2023!C2490</f>
        <v/>
      </c>
      <c r="D2490" s="1141">
        <f>GLOBAL_DER_FEV_2023!D2490</f>
        <v>0</v>
      </c>
      <c r="E2490" s="907">
        <f>GLOBAL_DER_FEV_2023!E2490</f>
        <v>0</v>
      </c>
      <c r="F2490" s="908">
        <f>GLOBAL_DER_FEV_2023!F2490</f>
        <v>0</v>
      </c>
      <c r="G2490" s="912">
        <f>GLOBAL_DER_FEV_2023!G2490</f>
        <v>0</v>
      </c>
      <c r="H2490" s="901">
        <f>GLOBAL_DER_FEV_2023!H2490</f>
        <v>0</v>
      </c>
      <c r="I2490" s="901" t="str">
        <f>GLOBAL_DER_FEV_2023!I2490</f>
        <v/>
      </c>
      <c r="J2490" s="890">
        <f>GLOBAL_DER_FEV_2023!J2490</f>
        <v>0</v>
      </c>
      <c r="K2490" s="903" t="str">
        <f>GLOBAL_DER_FEV_2023!K2490</f>
        <v xml:space="preserve">     </v>
      </c>
      <c r="L2490" s="1137"/>
      <c r="M2490" s="1175">
        <f t="shared" si="187"/>
        <v>0</v>
      </c>
      <c r="N2490" s="1167">
        <f t="shared" si="191"/>
        <v>0</v>
      </c>
      <c r="O2490" s="1165"/>
      <c r="Q2490" s="317" t="str">
        <f t="shared" si="188"/>
        <v/>
      </c>
      <c r="R2490" s="317" t="str">
        <f t="shared" si="189"/>
        <v/>
      </c>
      <c r="S2490" s="317" t="str">
        <f t="shared" si="190"/>
        <v/>
      </c>
      <c r="T2490" s="317" t="str">
        <f>GLOBAL_DER_FEV_2023!S2490</f>
        <v/>
      </c>
      <c r="W2490" s="582">
        <v>0</v>
      </c>
      <c r="X2490" s="580"/>
      <c r="Y2490" s="583">
        <f>IF(GLOBAL_DER_FEV_2023!W2490=0,0,IF(GLOBAL_DER_FEV_2023!W2490&gt;0,"c","b"))</f>
        <v>0</v>
      </c>
    </row>
    <row r="2491" spans="1:25" ht="15" hidden="1" customHeight="1" x14ac:dyDescent="0.2">
      <c r="A2491" s="640" t="s">
        <v>165</v>
      </c>
      <c r="B2491" s="1036" t="str">
        <f>GLOBAL_DER_FEV_2023!B2491</f>
        <v/>
      </c>
      <c r="C2491" s="1072" t="str">
        <f>GLOBAL_DER_FEV_2023!C2491</f>
        <v/>
      </c>
      <c r="D2491" s="1141">
        <f>GLOBAL_DER_FEV_2023!D2491</f>
        <v>0</v>
      </c>
      <c r="E2491" s="907">
        <f>GLOBAL_DER_FEV_2023!E2491</f>
        <v>0</v>
      </c>
      <c r="F2491" s="908">
        <f>GLOBAL_DER_FEV_2023!F2491</f>
        <v>0</v>
      </c>
      <c r="G2491" s="912">
        <f>GLOBAL_DER_FEV_2023!G2491</f>
        <v>0</v>
      </c>
      <c r="H2491" s="901">
        <f>GLOBAL_DER_FEV_2023!H2491</f>
        <v>0</v>
      </c>
      <c r="I2491" s="901" t="str">
        <f>GLOBAL_DER_FEV_2023!I2491</f>
        <v/>
      </c>
      <c r="J2491" s="890">
        <f>GLOBAL_DER_FEV_2023!J2491</f>
        <v>0</v>
      </c>
      <c r="K2491" s="903" t="str">
        <f>GLOBAL_DER_FEV_2023!K2491</f>
        <v xml:space="preserve">     </v>
      </c>
      <c r="L2491" s="1137"/>
      <c r="M2491" s="1175">
        <f t="shared" si="187"/>
        <v>0</v>
      </c>
      <c r="N2491" s="1167">
        <f t="shared" si="191"/>
        <v>0</v>
      </c>
      <c r="O2491" s="1165"/>
      <c r="Q2491" s="317" t="str">
        <f t="shared" si="188"/>
        <v/>
      </c>
      <c r="R2491" s="317" t="str">
        <f t="shared" si="189"/>
        <v/>
      </c>
      <c r="S2491" s="317" t="str">
        <f t="shared" si="190"/>
        <v/>
      </c>
      <c r="T2491" s="317" t="str">
        <f>GLOBAL_DER_FEV_2023!S2491</f>
        <v/>
      </c>
      <c r="W2491" s="582">
        <v>0</v>
      </c>
      <c r="X2491" s="580"/>
      <c r="Y2491" s="583">
        <f>IF(GLOBAL_DER_FEV_2023!W2491=0,0,IF(GLOBAL_DER_FEV_2023!W2491&gt;0,"c","b"))</f>
        <v>0</v>
      </c>
    </row>
    <row r="2492" spans="1:25" ht="15" hidden="1" customHeight="1" x14ac:dyDescent="0.2">
      <c r="A2492" s="640" t="s">
        <v>165</v>
      </c>
      <c r="B2492" s="1036" t="str">
        <f>GLOBAL_DER_FEV_2023!B2492</f>
        <v/>
      </c>
      <c r="C2492" s="1072" t="str">
        <f>GLOBAL_DER_FEV_2023!C2492</f>
        <v/>
      </c>
      <c r="D2492" s="1141">
        <f>GLOBAL_DER_FEV_2023!D2492</f>
        <v>0</v>
      </c>
      <c r="E2492" s="907">
        <f>GLOBAL_DER_FEV_2023!E2492</f>
        <v>0</v>
      </c>
      <c r="F2492" s="908">
        <f>GLOBAL_DER_FEV_2023!F2492</f>
        <v>0</v>
      </c>
      <c r="G2492" s="912">
        <f>GLOBAL_DER_FEV_2023!G2492</f>
        <v>0</v>
      </c>
      <c r="H2492" s="901">
        <f>GLOBAL_DER_FEV_2023!H2492</f>
        <v>0</v>
      </c>
      <c r="I2492" s="901" t="str">
        <f>GLOBAL_DER_FEV_2023!I2492</f>
        <v/>
      </c>
      <c r="J2492" s="890">
        <f>GLOBAL_DER_FEV_2023!J2492</f>
        <v>0</v>
      </c>
      <c r="K2492" s="903" t="str">
        <f>GLOBAL_DER_FEV_2023!K2492</f>
        <v xml:space="preserve">     </v>
      </c>
      <c r="L2492" s="1137"/>
      <c r="M2492" s="1175">
        <f t="shared" si="187"/>
        <v>0</v>
      </c>
      <c r="N2492" s="1167">
        <f t="shared" si="191"/>
        <v>0</v>
      </c>
      <c r="O2492" s="1165"/>
      <c r="Q2492" s="317" t="str">
        <f t="shared" si="188"/>
        <v/>
      </c>
      <c r="R2492" s="317" t="str">
        <f t="shared" si="189"/>
        <v/>
      </c>
      <c r="S2492" s="317" t="str">
        <f t="shared" si="190"/>
        <v/>
      </c>
      <c r="T2492" s="317" t="str">
        <f>GLOBAL_DER_FEV_2023!S2492</f>
        <v/>
      </c>
      <c r="W2492" s="582">
        <v>0</v>
      </c>
      <c r="X2492" s="580"/>
      <c r="Y2492" s="583">
        <f>IF(GLOBAL_DER_FEV_2023!W2492=0,0,IF(GLOBAL_DER_FEV_2023!W2492&gt;0,"c","b"))</f>
        <v>0</v>
      </c>
    </row>
    <row r="2493" spans="1:25" ht="15" hidden="1" customHeight="1" x14ac:dyDescent="0.2">
      <c r="A2493" s="640" t="s">
        <v>165</v>
      </c>
      <c r="B2493" s="1036" t="str">
        <f>GLOBAL_DER_FEV_2023!B2493</f>
        <v/>
      </c>
      <c r="C2493" s="1072" t="str">
        <f>GLOBAL_DER_FEV_2023!C2493</f>
        <v/>
      </c>
      <c r="D2493" s="1141">
        <f>GLOBAL_DER_FEV_2023!D2493</f>
        <v>0</v>
      </c>
      <c r="E2493" s="907">
        <f>GLOBAL_DER_FEV_2023!E2493</f>
        <v>0</v>
      </c>
      <c r="F2493" s="908">
        <f>GLOBAL_DER_FEV_2023!F2493</f>
        <v>0</v>
      </c>
      <c r="G2493" s="912">
        <f>GLOBAL_DER_FEV_2023!G2493</f>
        <v>0</v>
      </c>
      <c r="H2493" s="901">
        <f>GLOBAL_DER_FEV_2023!H2493</f>
        <v>0</v>
      </c>
      <c r="I2493" s="901" t="str">
        <f>GLOBAL_DER_FEV_2023!I2493</f>
        <v/>
      </c>
      <c r="J2493" s="890">
        <f>GLOBAL_DER_FEV_2023!J2493</f>
        <v>0</v>
      </c>
      <c r="K2493" s="903" t="str">
        <f>GLOBAL_DER_FEV_2023!K2493</f>
        <v xml:space="preserve">     </v>
      </c>
      <c r="L2493" s="1137"/>
      <c r="M2493" s="1175">
        <f t="shared" si="187"/>
        <v>0</v>
      </c>
      <c r="N2493" s="1167">
        <f t="shared" si="191"/>
        <v>0</v>
      </c>
      <c r="O2493" s="1165"/>
      <c r="Q2493" s="317" t="str">
        <f t="shared" si="188"/>
        <v/>
      </c>
      <c r="R2493" s="317" t="str">
        <f t="shared" si="189"/>
        <v/>
      </c>
      <c r="S2493" s="317" t="str">
        <f t="shared" si="190"/>
        <v/>
      </c>
      <c r="T2493" s="317" t="str">
        <f>GLOBAL_DER_FEV_2023!S2493</f>
        <v/>
      </c>
      <c r="W2493" s="582">
        <v>0</v>
      </c>
      <c r="X2493" s="580"/>
      <c r="Y2493" s="583">
        <f>IF(GLOBAL_DER_FEV_2023!W2493=0,0,IF(GLOBAL_DER_FEV_2023!W2493&gt;0,"c","b"))</f>
        <v>0</v>
      </c>
    </row>
    <row r="2494" spans="1:25" ht="15" hidden="1" customHeight="1" x14ac:dyDescent="0.2">
      <c r="A2494" s="640" t="s">
        <v>165</v>
      </c>
      <c r="B2494" s="1036" t="str">
        <f>GLOBAL_DER_FEV_2023!B2494</f>
        <v/>
      </c>
      <c r="C2494" s="1072" t="str">
        <f>GLOBAL_DER_FEV_2023!C2494</f>
        <v/>
      </c>
      <c r="D2494" s="1141">
        <f>GLOBAL_DER_FEV_2023!D2494</f>
        <v>0</v>
      </c>
      <c r="E2494" s="907">
        <f>GLOBAL_DER_FEV_2023!E2494</f>
        <v>0</v>
      </c>
      <c r="F2494" s="908">
        <f>GLOBAL_DER_FEV_2023!F2494</f>
        <v>0</v>
      </c>
      <c r="G2494" s="912">
        <f>GLOBAL_DER_FEV_2023!G2494</f>
        <v>0</v>
      </c>
      <c r="H2494" s="901">
        <f>GLOBAL_DER_FEV_2023!H2494</f>
        <v>0</v>
      </c>
      <c r="I2494" s="901" t="str">
        <f>GLOBAL_DER_FEV_2023!I2494</f>
        <v/>
      </c>
      <c r="J2494" s="890">
        <f>GLOBAL_DER_FEV_2023!J2494</f>
        <v>0</v>
      </c>
      <c r="K2494" s="903" t="str">
        <f>GLOBAL_DER_FEV_2023!K2494</f>
        <v xml:space="preserve">     </v>
      </c>
      <c r="L2494" s="1137"/>
      <c r="M2494" s="1175">
        <f t="shared" si="187"/>
        <v>0</v>
      </c>
      <c r="N2494" s="1167">
        <f t="shared" si="191"/>
        <v>0</v>
      </c>
      <c r="O2494" s="1165"/>
      <c r="Q2494" s="317" t="str">
        <f t="shared" si="188"/>
        <v/>
      </c>
      <c r="R2494" s="317" t="str">
        <f t="shared" si="189"/>
        <v/>
      </c>
      <c r="S2494" s="317" t="str">
        <f t="shared" si="190"/>
        <v/>
      </c>
      <c r="T2494" s="317" t="str">
        <f>GLOBAL_DER_FEV_2023!S2494</f>
        <v/>
      </c>
      <c r="W2494" s="582">
        <v>0</v>
      </c>
      <c r="X2494" s="580"/>
      <c r="Y2494" s="583">
        <f>IF(GLOBAL_DER_FEV_2023!W2494=0,0,IF(GLOBAL_DER_FEV_2023!W2494&gt;0,"c","b"))</f>
        <v>0</v>
      </c>
    </row>
    <row r="2495" spans="1:25" ht="15" hidden="1" customHeight="1" x14ac:dyDescent="0.2">
      <c r="A2495" s="640" t="s">
        <v>165</v>
      </c>
      <c r="B2495" s="1036" t="str">
        <f>GLOBAL_DER_FEV_2023!B2495</f>
        <v/>
      </c>
      <c r="C2495" s="1072" t="str">
        <f>GLOBAL_DER_FEV_2023!C2495</f>
        <v/>
      </c>
      <c r="D2495" s="1141">
        <f>GLOBAL_DER_FEV_2023!D2495</f>
        <v>0</v>
      </c>
      <c r="E2495" s="907">
        <f>GLOBAL_DER_FEV_2023!E2495</f>
        <v>0</v>
      </c>
      <c r="F2495" s="908">
        <f>GLOBAL_DER_FEV_2023!F2495</f>
        <v>0</v>
      </c>
      <c r="G2495" s="912">
        <f>GLOBAL_DER_FEV_2023!G2495</f>
        <v>0</v>
      </c>
      <c r="H2495" s="901">
        <f>GLOBAL_DER_FEV_2023!H2495</f>
        <v>0</v>
      </c>
      <c r="I2495" s="901" t="str">
        <f>GLOBAL_DER_FEV_2023!I2495</f>
        <v/>
      </c>
      <c r="J2495" s="890">
        <f>GLOBAL_DER_FEV_2023!J2495</f>
        <v>0</v>
      </c>
      <c r="K2495" s="903" t="str">
        <f>GLOBAL_DER_FEV_2023!K2495</f>
        <v xml:space="preserve">     </v>
      </c>
      <c r="L2495" s="1137"/>
      <c r="M2495" s="1175">
        <f t="shared" si="187"/>
        <v>0</v>
      </c>
      <c r="N2495" s="1167">
        <f t="shared" si="191"/>
        <v>0</v>
      </c>
      <c r="O2495" s="1165"/>
      <c r="Q2495" s="317" t="str">
        <f t="shared" si="188"/>
        <v/>
      </c>
      <c r="R2495" s="317" t="str">
        <f t="shared" si="189"/>
        <v/>
      </c>
      <c r="S2495" s="317" t="str">
        <f t="shared" si="190"/>
        <v/>
      </c>
      <c r="T2495" s="317" t="str">
        <f>GLOBAL_DER_FEV_2023!S2495</f>
        <v/>
      </c>
      <c r="W2495" s="582">
        <v>0</v>
      </c>
      <c r="X2495" s="580"/>
      <c r="Y2495" s="583">
        <f>IF(GLOBAL_DER_FEV_2023!W2495=0,0,IF(GLOBAL_DER_FEV_2023!W2495&gt;0,"c","b"))</f>
        <v>0</v>
      </c>
    </row>
    <row r="2496" spans="1:25" ht="15" hidden="1" customHeight="1" x14ac:dyDescent="0.2">
      <c r="A2496" s="640" t="s">
        <v>165</v>
      </c>
      <c r="B2496" s="1036" t="str">
        <f>GLOBAL_DER_FEV_2023!B2496</f>
        <v/>
      </c>
      <c r="C2496" s="1072" t="str">
        <f>GLOBAL_DER_FEV_2023!C2496</f>
        <v/>
      </c>
      <c r="D2496" s="1141">
        <f>GLOBAL_DER_FEV_2023!D2496</f>
        <v>0</v>
      </c>
      <c r="E2496" s="907">
        <f>GLOBAL_DER_FEV_2023!E2496</f>
        <v>0</v>
      </c>
      <c r="F2496" s="908">
        <f>GLOBAL_DER_FEV_2023!F2496</f>
        <v>0</v>
      </c>
      <c r="G2496" s="912">
        <f>GLOBAL_DER_FEV_2023!G2496</f>
        <v>0</v>
      </c>
      <c r="H2496" s="901">
        <f>GLOBAL_DER_FEV_2023!H2496</f>
        <v>0</v>
      </c>
      <c r="I2496" s="901" t="str">
        <f>GLOBAL_DER_FEV_2023!I2496</f>
        <v/>
      </c>
      <c r="J2496" s="890">
        <f>GLOBAL_DER_FEV_2023!J2496</f>
        <v>0</v>
      </c>
      <c r="K2496" s="903" t="str">
        <f>GLOBAL_DER_FEV_2023!K2496</f>
        <v xml:space="preserve">     </v>
      </c>
      <c r="L2496" s="1137"/>
      <c r="M2496" s="1175">
        <f t="shared" si="187"/>
        <v>0</v>
      </c>
      <c r="N2496" s="1167">
        <f t="shared" si="191"/>
        <v>0</v>
      </c>
      <c r="O2496" s="1165"/>
      <c r="Q2496" s="317" t="str">
        <f t="shared" si="188"/>
        <v/>
      </c>
      <c r="R2496" s="317" t="str">
        <f t="shared" si="189"/>
        <v/>
      </c>
      <c r="S2496" s="317" t="str">
        <f t="shared" si="190"/>
        <v/>
      </c>
      <c r="T2496" s="317" t="str">
        <f>GLOBAL_DER_FEV_2023!S2496</f>
        <v/>
      </c>
      <c r="W2496" s="582">
        <v>0</v>
      </c>
      <c r="X2496" s="580"/>
      <c r="Y2496" s="583">
        <f>IF(GLOBAL_DER_FEV_2023!W2496=0,0,IF(GLOBAL_DER_FEV_2023!W2496&gt;0,"c","b"))</f>
        <v>0</v>
      </c>
    </row>
    <row r="2497" spans="1:25" ht="15" hidden="1" customHeight="1" x14ac:dyDescent="0.2">
      <c r="A2497" s="640" t="s">
        <v>165</v>
      </c>
      <c r="B2497" s="1036" t="str">
        <f>GLOBAL_DER_FEV_2023!B2497</f>
        <v/>
      </c>
      <c r="C2497" s="1072" t="str">
        <f>GLOBAL_DER_FEV_2023!C2497</f>
        <v/>
      </c>
      <c r="D2497" s="1141">
        <f>GLOBAL_DER_FEV_2023!D2497</f>
        <v>0</v>
      </c>
      <c r="E2497" s="907">
        <f>GLOBAL_DER_FEV_2023!E2497</f>
        <v>0</v>
      </c>
      <c r="F2497" s="908">
        <f>GLOBAL_DER_FEV_2023!F2497</f>
        <v>0</v>
      </c>
      <c r="G2497" s="912">
        <f>GLOBAL_DER_FEV_2023!G2497</f>
        <v>0</v>
      </c>
      <c r="H2497" s="901">
        <f>GLOBAL_DER_FEV_2023!H2497</f>
        <v>0</v>
      </c>
      <c r="I2497" s="901" t="str">
        <f>GLOBAL_DER_FEV_2023!I2497</f>
        <v/>
      </c>
      <c r="J2497" s="890">
        <f>GLOBAL_DER_FEV_2023!J2497</f>
        <v>0</v>
      </c>
      <c r="K2497" s="903" t="str">
        <f>GLOBAL_DER_FEV_2023!K2497</f>
        <v xml:space="preserve">     </v>
      </c>
      <c r="L2497" s="1137"/>
      <c r="M2497" s="1175">
        <f t="shared" si="187"/>
        <v>0</v>
      </c>
      <c r="N2497" s="1167">
        <f t="shared" si="191"/>
        <v>0</v>
      </c>
      <c r="O2497" s="1165"/>
      <c r="Q2497" s="317" t="str">
        <f t="shared" si="188"/>
        <v/>
      </c>
      <c r="R2497" s="317" t="str">
        <f t="shared" si="189"/>
        <v/>
      </c>
      <c r="S2497" s="317" t="str">
        <f t="shared" si="190"/>
        <v/>
      </c>
      <c r="T2497" s="317" t="str">
        <f>GLOBAL_DER_FEV_2023!S2497</f>
        <v/>
      </c>
      <c r="W2497" s="582">
        <v>0</v>
      </c>
      <c r="X2497" s="580"/>
      <c r="Y2497" s="583">
        <f>IF(GLOBAL_DER_FEV_2023!W2497=0,0,IF(GLOBAL_DER_FEV_2023!W2497&gt;0,"c","b"))</f>
        <v>0</v>
      </c>
    </row>
    <row r="2498" spans="1:25" ht="15" hidden="1" customHeight="1" thickBot="1" x14ac:dyDescent="0.25">
      <c r="A2498" s="640" t="s">
        <v>165</v>
      </c>
      <c r="B2498" s="1036" t="str">
        <f>GLOBAL_DER_FEV_2023!B2498</f>
        <v/>
      </c>
      <c r="C2498" s="1072" t="str">
        <f>GLOBAL_DER_FEV_2023!C2498</f>
        <v/>
      </c>
      <c r="D2498" s="1141">
        <f>GLOBAL_DER_FEV_2023!D2498</f>
        <v>0</v>
      </c>
      <c r="E2498" s="907">
        <f>GLOBAL_DER_FEV_2023!E2498</f>
        <v>0</v>
      </c>
      <c r="F2498" s="908">
        <f>GLOBAL_DER_FEV_2023!F2498</f>
        <v>0</v>
      </c>
      <c r="G2498" s="912">
        <f>GLOBAL_DER_FEV_2023!G2498</f>
        <v>0</v>
      </c>
      <c r="H2498" s="901">
        <f>GLOBAL_DER_FEV_2023!H2498</f>
        <v>0</v>
      </c>
      <c r="I2498" s="901" t="str">
        <f>GLOBAL_DER_FEV_2023!I2498</f>
        <v/>
      </c>
      <c r="J2498" s="890">
        <f>GLOBAL_DER_FEV_2023!J2498</f>
        <v>0</v>
      </c>
      <c r="K2498" s="903" t="str">
        <f>GLOBAL_DER_FEV_2023!K2498</f>
        <v xml:space="preserve">     </v>
      </c>
      <c r="L2498" s="1137"/>
      <c r="M2498" s="1175">
        <f t="shared" si="187"/>
        <v>0</v>
      </c>
      <c r="N2498" s="1167">
        <f t="shared" si="191"/>
        <v>0</v>
      </c>
      <c r="O2498" s="1165"/>
      <c r="Q2498" s="317" t="str">
        <f t="shared" si="188"/>
        <v/>
      </c>
      <c r="R2498" s="317" t="str">
        <f t="shared" si="189"/>
        <v/>
      </c>
      <c r="S2498" s="317" t="str">
        <f t="shared" si="190"/>
        <v/>
      </c>
      <c r="T2498" s="317" t="str">
        <f>GLOBAL_DER_FEV_2023!S2498</f>
        <v/>
      </c>
      <c r="W2498" s="582">
        <v>0</v>
      </c>
      <c r="X2498" s="580"/>
      <c r="Y2498" s="583">
        <f>IF(GLOBAL_DER_FEV_2023!W2498=0,0,IF(GLOBAL_DER_FEV_2023!W2498&gt;0,"c","b"))</f>
        <v>0</v>
      </c>
    </row>
    <row r="2499" spans="1:25" ht="15" hidden="1" customHeight="1" x14ac:dyDescent="0.2">
      <c r="A2499" s="640" t="s">
        <v>165</v>
      </c>
      <c r="B2499" s="1047" t="s">
        <v>487</v>
      </c>
      <c r="C2499" s="1048"/>
      <c r="D2499" s="1049" t="s">
        <v>525</v>
      </c>
      <c r="E2499" s="1050">
        <f>GLOBAL_DER_FEV_2023!E2499</f>
        <v>0</v>
      </c>
      <c r="F2499" s="1051"/>
      <c r="G2499" s="1052"/>
      <c r="H2499" s="1053">
        <f>GLOBAL_DER_FEV_2023!H2499</f>
        <v>0</v>
      </c>
      <c r="I2499" s="1053">
        <f>GLOBAL_DER_FEV_2023!I2499</f>
        <v>0</v>
      </c>
      <c r="J2499" s="1053">
        <f>GLOBAL_DER_FEV_2023!J2499</f>
        <v>0</v>
      </c>
      <c r="K2499" s="1054" t="s">
        <v>507</v>
      </c>
      <c r="L2499" s="1179"/>
      <c r="M2499" s="1180">
        <f t="shared" si="187"/>
        <v>0</v>
      </c>
      <c r="N2499" s="1057">
        <f t="shared" si="191"/>
        <v>0</v>
      </c>
      <c r="O2499" s="1058">
        <f>SUM(N2501:N2546)</f>
        <v>0</v>
      </c>
      <c r="P2499" s="58" t="str">
        <f>IF(OR(O2499&gt;0,O2499&gt;0),"X","")</f>
        <v/>
      </c>
      <c r="Q2499" s="317" t="str">
        <f t="shared" si="188"/>
        <v/>
      </c>
      <c r="R2499" s="317" t="str">
        <f t="shared" si="189"/>
        <v/>
      </c>
      <c r="S2499" s="317" t="str">
        <f t="shared" si="190"/>
        <v/>
      </c>
      <c r="T2499" s="317" t="str">
        <f>GLOBAL_DER_FEV_2023!S2499</f>
        <v/>
      </c>
      <c r="W2499" s="582">
        <v>0</v>
      </c>
      <c r="X2499" s="580"/>
      <c r="Y2499" s="583">
        <f>IF(GLOBAL_DER_FEV_2023!W2499=0,0,IF(GLOBAL_DER_FEV_2023!W2499&gt;0,"c","b"))</f>
        <v>0</v>
      </c>
    </row>
    <row r="2500" spans="1:25" ht="54" hidden="1" customHeight="1" thickBot="1" x14ac:dyDescent="0.25">
      <c r="A2500" s="640"/>
      <c r="B2500" s="1059"/>
      <c r="C2500" s="1060"/>
      <c r="D2500" s="1061" t="s">
        <v>2013</v>
      </c>
      <c r="E2500" s="1062">
        <f>GLOBAL_DER_FEV_2023!E2500</f>
        <v>0</v>
      </c>
      <c r="F2500" s="1063"/>
      <c r="G2500" s="1064"/>
      <c r="H2500" s="1065">
        <f>GLOBAL_DER_FEV_2023!H2500</f>
        <v>0</v>
      </c>
      <c r="I2500" s="1065">
        <f>GLOBAL_DER_FEV_2023!I2500</f>
        <v>0</v>
      </c>
      <c r="J2500" s="1065">
        <f>GLOBAL_DER_FEV_2023!J2500</f>
        <v>0</v>
      </c>
      <c r="K2500" s="1066"/>
      <c r="L2500" s="1112"/>
      <c r="M2500" s="1112">
        <f t="shared" si="187"/>
        <v>0</v>
      </c>
      <c r="N2500" s="1068">
        <f t="shared" si="191"/>
        <v>0</v>
      </c>
      <c r="O2500" s="1069"/>
      <c r="P2500" s="577" t="str">
        <f>P2499</f>
        <v/>
      </c>
      <c r="Q2500" s="317" t="str">
        <f t="shared" si="188"/>
        <v/>
      </c>
      <c r="R2500" s="317" t="str">
        <f t="shared" si="189"/>
        <v/>
      </c>
      <c r="S2500" s="317" t="str">
        <f t="shared" si="190"/>
        <v/>
      </c>
      <c r="T2500" s="317" t="str">
        <f>GLOBAL_DER_FEV_2023!S2500</f>
        <v/>
      </c>
      <c r="W2500" s="582">
        <v>0</v>
      </c>
      <c r="X2500" s="580"/>
      <c r="Y2500" s="583">
        <f>IF(GLOBAL_DER_FEV_2023!W2500=0,0,IF(GLOBAL_DER_FEV_2023!W2500&gt;0,"c","b"))</f>
        <v>0</v>
      </c>
    </row>
    <row r="2501" spans="1:25" s="77" customFormat="1" ht="23.25" hidden="1" thickBot="1" x14ac:dyDescent="0.25">
      <c r="A2501" s="640" t="s">
        <v>165</v>
      </c>
      <c r="B2501" s="883" t="s">
        <v>535</v>
      </c>
      <c r="C2501" s="884" t="s">
        <v>503</v>
      </c>
      <c r="D2501" s="946" t="s">
        <v>488</v>
      </c>
      <c r="E2501" s="1031">
        <f>GLOBAL_DER_FEV_2023!E2501</f>
        <v>0</v>
      </c>
      <c r="F2501" s="947">
        <f>GLOBAL_DER_FEV_2023!F2501</f>
        <v>0</v>
      </c>
      <c r="G2501" s="949">
        <f>GLOBAL_DER_FEV_2023!G2501</f>
        <v>0</v>
      </c>
      <c r="H2501" s="889">
        <f>GLOBAL_DER_FEV_2023!H2501</f>
        <v>163.62</v>
      </c>
      <c r="I2501" s="889">
        <f>GLOBAL_DER_FEV_2023!I2501</f>
        <v>163.62</v>
      </c>
      <c r="J2501" s="890">
        <f>GLOBAL_DER_FEV_2023!J2501</f>
        <v>196.46</v>
      </c>
      <c r="K2501" s="891" t="s">
        <v>15</v>
      </c>
      <c r="L2501" s="1137"/>
      <c r="M2501" s="1138">
        <f t="shared" si="187"/>
        <v>0</v>
      </c>
      <c r="N2501" s="932">
        <f t="shared" si="191"/>
        <v>0</v>
      </c>
      <c r="O2501" s="905"/>
      <c r="P2501" s="76"/>
      <c r="Q2501" s="317" t="str">
        <f t="shared" si="188"/>
        <v/>
      </c>
      <c r="R2501" s="317" t="str">
        <f t="shared" si="189"/>
        <v/>
      </c>
      <c r="S2501" s="317" t="str">
        <f t="shared" si="190"/>
        <v/>
      </c>
      <c r="T2501" s="317" t="str">
        <f>GLOBAL_DER_FEV_2023!S2501</f>
        <v/>
      </c>
      <c r="V2501" s="37"/>
      <c r="W2501" s="582">
        <v>0</v>
      </c>
      <c r="X2501" s="580"/>
      <c r="Y2501" s="583">
        <f>IF(GLOBAL_DER_FEV_2023!W2501=0,0,IF(GLOBAL_DER_FEV_2023!W2501&gt;0,"c","b"))</f>
        <v>0</v>
      </c>
    </row>
    <row r="2502" spans="1:25" s="77" customFormat="1" ht="23.25" hidden="1" thickBot="1" x14ac:dyDescent="0.25">
      <c r="A2502" s="640" t="s">
        <v>165</v>
      </c>
      <c r="B2502" s="895" t="s">
        <v>535</v>
      </c>
      <c r="C2502" s="896" t="s">
        <v>503</v>
      </c>
      <c r="D2502" s="906" t="s">
        <v>489</v>
      </c>
      <c r="E2502" s="907">
        <f>GLOBAL_DER_FEV_2023!E2502</f>
        <v>0</v>
      </c>
      <c r="F2502" s="908">
        <f>GLOBAL_DER_FEV_2023!F2502</f>
        <v>0</v>
      </c>
      <c r="G2502" s="912">
        <f>GLOBAL_DER_FEV_2023!G2502</f>
        <v>0</v>
      </c>
      <c r="H2502" s="901">
        <f>GLOBAL_DER_FEV_2023!H2502</f>
        <v>163.62</v>
      </c>
      <c r="I2502" s="901">
        <f>GLOBAL_DER_FEV_2023!I2502</f>
        <v>163.62</v>
      </c>
      <c r="J2502" s="902">
        <f>GLOBAL_DER_FEV_2023!J2502</f>
        <v>196.46</v>
      </c>
      <c r="K2502" s="903" t="s">
        <v>15</v>
      </c>
      <c r="L2502" s="1137"/>
      <c r="M2502" s="1138">
        <f t="shared" si="187"/>
        <v>0</v>
      </c>
      <c r="N2502" s="893">
        <f t="shared" si="191"/>
        <v>0</v>
      </c>
      <c r="O2502" s="905"/>
      <c r="P2502" s="76"/>
      <c r="Q2502" s="317" t="str">
        <f t="shared" si="188"/>
        <v/>
      </c>
      <c r="R2502" s="317" t="str">
        <f t="shared" si="189"/>
        <v/>
      </c>
      <c r="S2502" s="317" t="str">
        <f t="shared" si="190"/>
        <v/>
      </c>
      <c r="T2502" s="317" t="str">
        <f>GLOBAL_DER_FEV_2023!S2502</f>
        <v/>
      </c>
      <c r="V2502" s="37"/>
      <c r="W2502" s="582">
        <v>0</v>
      </c>
      <c r="X2502" s="580"/>
      <c r="Y2502" s="583">
        <f>IF(GLOBAL_DER_FEV_2023!W2502=0,0,IF(GLOBAL_DER_FEV_2023!W2502&gt;0,"c","b"))</f>
        <v>0</v>
      </c>
    </row>
    <row r="2503" spans="1:25" s="77" customFormat="1" ht="23.25" hidden="1" thickBot="1" x14ac:dyDescent="0.25">
      <c r="A2503" s="640" t="s">
        <v>165</v>
      </c>
      <c r="B2503" s="895" t="s">
        <v>535</v>
      </c>
      <c r="C2503" s="896" t="s">
        <v>503</v>
      </c>
      <c r="D2503" s="906" t="s">
        <v>490</v>
      </c>
      <c r="E2503" s="907">
        <f>GLOBAL_DER_FEV_2023!E2503</f>
        <v>0</v>
      </c>
      <c r="F2503" s="908">
        <f>GLOBAL_DER_FEV_2023!F2503</f>
        <v>0</v>
      </c>
      <c r="G2503" s="912">
        <f>GLOBAL_DER_FEV_2023!G2503</f>
        <v>0</v>
      </c>
      <c r="H2503" s="901">
        <f>GLOBAL_DER_FEV_2023!H2503</f>
        <v>163.62</v>
      </c>
      <c r="I2503" s="901">
        <f>GLOBAL_DER_FEV_2023!I2503</f>
        <v>163.62</v>
      </c>
      <c r="J2503" s="902">
        <f>GLOBAL_DER_FEV_2023!J2503</f>
        <v>196.46</v>
      </c>
      <c r="K2503" s="903" t="s">
        <v>15</v>
      </c>
      <c r="L2503" s="1137"/>
      <c r="M2503" s="1138">
        <f t="shared" si="187"/>
        <v>0</v>
      </c>
      <c r="N2503" s="893">
        <f t="shared" si="191"/>
        <v>0</v>
      </c>
      <c r="O2503" s="905"/>
      <c r="P2503" s="76"/>
      <c r="Q2503" s="317" t="str">
        <f t="shared" si="188"/>
        <v/>
      </c>
      <c r="R2503" s="317" t="str">
        <f t="shared" si="189"/>
        <v/>
      </c>
      <c r="S2503" s="317" t="str">
        <f t="shared" si="190"/>
        <v/>
      </c>
      <c r="T2503" s="317" t="str">
        <f>GLOBAL_DER_FEV_2023!S2503</f>
        <v/>
      </c>
      <c r="V2503" s="37"/>
      <c r="W2503" s="582">
        <v>0</v>
      </c>
      <c r="X2503" s="580"/>
      <c r="Y2503" s="583">
        <f>IF(GLOBAL_DER_FEV_2023!W2503=0,0,IF(GLOBAL_DER_FEV_2023!W2503&gt;0,"c","b"))</f>
        <v>0</v>
      </c>
    </row>
    <row r="2504" spans="1:25" s="77" customFormat="1" ht="23.25" hidden="1" thickBot="1" x14ac:dyDescent="0.25">
      <c r="A2504" s="640" t="s">
        <v>165</v>
      </c>
      <c r="B2504" s="895" t="s">
        <v>535</v>
      </c>
      <c r="C2504" s="896" t="s">
        <v>503</v>
      </c>
      <c r="D2504" s="906" t="s">
        <v>1999</v>
      </c>
      <c r="E2504" s="907">
        <f>GLOBAL_DER_FEV_2023!E2504</f>
        <v>0</v>
      </c>
      <c r="F2504" s="908">
        <f>GLOBAL_DER_FEV_2023!F2504</f>
        <v>0</v>
      </c>
      <c r="G2504" s="912">
        <f>GLOBAL_DER_FEV_2023!G2504</f>
        <v>0</v>
      </c>
      <c r="H2504" s="901">
        <f>GLOBAL_DER_FEV_2023!H2504</f>
        <v>163.62</v>
      </c>
      <c r="I2504" s="901">
        <f>GLOBAL_DER_FEV_2023!I2504</f>
        <v>163.62</v>
      </c>
      <c r="J2504" s="902">
        <f>GLOBAL_DER_FEV_2023!J2504</f>
        <v>196.46</v>
      </c>
      <c r="K2504" s="903" t="s">
        <v>15</v>
      </c>
      <c r="L2504" s="1137"/>
      <c r="M2504" s="1138">
        <f t="shared" si="187"/>
        <v>0</v>
      </c>
      <c r="N2504" s="893">
        <f t="shared" si="191"/>
        <v>0</v>
      </c>
      <c r="O2504" s="905"/>
      <c r="P2504" s="76"/>
      <c r="Q2504" s="317" t="str">
        <f t="shared" si="188"/>
        <v/>
      </c>
      <c r="R2504" s="317" t="str">
        <f t="shared" si="189"/>
        <v/>
      </c>
      <c r="S2504" s="317" t="str">
        <f t="shared" si="190"/>
        <v/>
      </c>
      <c r="T2504" s="317" t="str">
        <f>GLOBAL_DER_FEV_2023!S2504</f>
        <v/>
      </c>
      <c r="V2504" s="37"/>
      <c r="W2504" s="582">
        <v>0</v>
      </c>
      <c r="X2504" s="580"/>
      <c r="Y2504" s="583">
        <f>IF(GLOBAL_DER_FEV_2023!W2504=0,0,IF(GLOBAL_DER_FEV_2023!W2504&gt;0,"c","b"))</f>
        <v>0</v>
      </c>
    </row>
    <row r="2505" spans="1:25" s="77" customFormat="1" ht="23.25" hidden="1" thickBot="1" x14ac:dyDescent="0.25">
      <c r="A2505" s="640" t="s">
        <v>165</v>
      </c>
      <c r="B2505" s="895" t="s">
        <v>535</v>
      </c>
      <c r="C2505" s="896" t="s">
        <v>503</v>
      </c>
      <c r="D2505" s="906" t="s">
        <v>2000</v>
      </c>
      <c r="E2505" s="907">
        <f>GLOBAL_DER_FEV_2023!E2505</f>
        <v>0</v>
      </c>
      <c r="F2505" s="908">
        <f>GLOBAL_DER_FEV_2023!F2505</f>
        <v>0</v>
      </c>
      <c r="G2505" s="912">
        <f>GLOBAL_DER_FEV_2023!G2505</f>
        <v>0</v>
      </c>
      <c r="H2505" s="901">
        <f>GLOBAL_DER_FEV_2023!H2505</f>
        <v>163.62</v>
      </c>
      <c r="I2505" s="901">
        <f>GLOBAL_DER_FEV_2023!I2505</f>
        <v>163.62</v>
      </c>
      <c r="J2505" s="902">
        <f>GLOBAL_DER_FEV_2023!J2505</f>
        <v>196.46</v>
      </c>
      <c r="K2505" s="903" t="s">
        <v>15</v>
      </c>
      <c r="L2505" s="1137"/>
      <c r="M2505" s="1138">
        <f t="shared" si="187"/>
        <v>0</v>
      </c>
      <c r="N2505" s="893">
        <f t="shared" si="191"/>
        <v>0</v>
      </c>
      <c r="O2505" s="905"/>
      <c r="P2505" s="76"/>
      <c r="Q2505" s="317" t="str">
        <f t="shared" si="188"/>
        <v/>
      </c>
      <c r="R2505" s="317" t="str">
        <f t="shared" si="189"/>
        <v/>
      </c>
      <c r="S2505" s="317" t="str">
        <f t="shared" si="190"/>
        <v/>
      </c>
      <c r="T2505" s="317" t="str">
        <f>GLOBAL_DER_FEV_2023!S2505</f>
        <v/>
      </c>
      <c r="V2505" s="37"/>
      <c r="W2505" s="582">
        <v>0</v>
      </c>
      <c r="X2505" s="580"/>
      <c r="Y2505" s="583">
        <f>IF(GLOBAL_DER_FEV_2023!W2505=0,0,IF(GLOBAL_DER_FEV_2023!W2505&gt;0,"c","b"))</f>
        <v>0</v>
      </c>
    </row>
    <row r="2506" spans="1:25" s="77" customFormat="1" ht="13.5" hidden="1" thickBot="1" x14ac:dyDescent="0.25">
      <c r="A2506" s="640" t="s">
        <v>165</v>
      </c>
      <c r="B2506" s="895" t="s">
        <v>536</v>
      </c>
      <c r="C2506" s="896" t="s">
        <v>503</v>
      </c>
      <c r="D2506" s="906" t="s">
        <v>491</v>
      </c>
      <c r="E2506" s="907">
        <f>GLOBAL_DER_FEV_2023!E2506</f>
        <v>0</v>
      </c>
      <c r="F2506" s="908">
        <f>GLOBAL_DER_FEV_2023!F2506</f>
        <v>0</v>
      </c>
      <c r="G2506" s="912">
        <f>GLOBAL_DER_FEV_2023!G2506</f>
        <v>0</v>
      </c>
      <c r="H2506" s="901">
        <f>GLOBAL_DER_FEV_2023!H2506</f>
        <v>148.02000000000001</v>
      </c>
      <c r="I2506" s="901">
        <f>GLOBAL_DER_FEV_2023!I2506</f>
        <v>148.02000000000001</v>
      </c>
      <c r="J2506" s="902">
        <f>GLOBAL_DER_FEV_2023!J2506</f>
        <v>177.73</v>
      </c>
      <c r="K2506" s="903" t="s">
        <v>15</v>
      </c>
      <c r="L2506" s="1137"/>
      <c r="M2506" s="1138">
        <f t="shared" si="187"/>
        <v>0</v>
      </c>
      <c r="N2506" s="893">
        <f t="shared" si="191"/>
        <v>0</v>
      </c>
      <c r="O2506" s="905"/>
      <c r="P2506" s="76"/>
      <c r="Q2506" s="317" t="str">
        <f t="shared" si="188"/>
        <v/>
      </c>
      <c r="R2506" s="317" t="str">
        <f t="shared" si="189"/>
        <v/>
      </c>
      <c r="S2506" s="317" t="str">
        <f t="shared" si="190"/>
        <v/>
      </c>
      <c r="T2506" s="317" t="str">
        <f>GLOBAL_DER_FEV_2023!S2506</f>
        <v/>
      </c>
      <c r="V2506" s="37"/>
      <c r="W2506" s="582">
        <v>0</v>
      </c>
      <c r="X2506" s="580"/>
      <c r="Y2506" s="583">
        <f>IF(GLOBAL_DER_FEV_2023!W2506=0,0,IF(GLOBAL_DER_FEV_2023!W2506&gt;0,"c","b"))</f>
        <v>0</v>
      </c>
    </row>
    <row r="2507" spans="1:25" s="77" customFormat="1" ht="13.5" hidden="1" thickBot="1" x14ac:dyDescent="0.25">
      <c r="A2507" s="640" t="s">
        <v>165</v>
      </c>
      <c r="B2507" s="895" t="s">
        <v>492</v>
      </c>
      <c r="C2507" s="896" t="s">
        <v>537</v>
      </c>
      <c r="D2507" s="957" t="s">
        <v>493</v>
      </c>
      <c r="E2507" s="907">
        <f>GLOBAL_DER_FEV_2023!E2507</f>
        <v>0</v>
      </c>
      <c r="F2507" s="908">
        <f>GLOBAL_DER_FEV_2023!F2507</f>
        <v>0</v>
      </c>
      <c r="G2507" s="912">
        <f>GLOBAL_DER_FEV_2023!G2507</f>
        <v>0</v>
      </c>
      <c r="H2507" s="901">
        <f>GLOBAL_DER_FEV_2023!H2507</f>
        <v>79.56</v>
      </c>
      <c r="I2507" s="901">
        <f>GLOBAL_DER_FEV_2023!I2507</f>
        <v>79.56</v>
      </c>
      <c r="J2507" s="902">
        <f>GLOBAL_DER_FEV_2023!J2507</f>
        <v>95.53</v>
      </c>
      <c r="K2507" s="903" t="s">
        <v>15</v>
      </c>
      <c r="L2507" s="1137"/>
      <c r="M2507" s="1138">
        <f t="shared" si="187"/>
        <v>0</v>
      </c>
      <c r="N2507" s="893">
        <f t="shared" si="191"/>
        <v>0</v>
      </c>
      <c r="O2507" s="905"/>
      <c r="P2507" s="76"/>
      <c r="Q2507" s="317" t="str">
        <f t="shared" si="188"/>
        <v/>
      </c>
      <c r="R2507" s="317" t="str">
        <f t="shared" si="189"/>
        <v/>
      </c>
      <c r="S2507" s="317" t="str">
        <f t="shared" si="190"/>
        <v/>
      </c>
      <c r="T2507" s="317" t="str">
        <f>GLOBAL_DER_FEV_2023!S2507</f>
        <v/>
      </c>
      <c r="V2507" s="37"/>
      <c r="W2507" s="582">
        <v>0</v>
      </c>
      <c r="X2507" s="580"/>
      <c r="Y2507" s="583">
        <f>IF(GLOBAL_DER_FEV_2023!W2507=0,0,IF(GLOBAL_DER_FEV_2023!W2507&gt;0,"c","b"))</f>
        <v>0</v>
      </c>
    </row>
    <row r="2508" spans="1:25" s="77" customFormat="1" ht="13.5" hidden="1" thickBot="1" x14ac:dyDescent="0.25">
      <c r="A2508" s="640" t="s">
        <v>165</v>
      </c>
      <c r="B2508" s="895" t="s">
        <v>494</v>
      </c>
      <c r="C2508" s="896" t="s">
        <v>537</v>
      </c>
      <c r="D2508" s="957" t="s">
        <v>495</v>
      </c>
      <c r="E2508" s="907">
        <f>GLOBAL_DER_FEV_2023!E2508</f>
        <v>0</v>
      </c>
      <c r="F2508" s="908">
        <f>GLOBAL_DER_FEV_2023!F2508</f>
        <v>0</v>
      </c>
      <c r="G2508" s="912">
        <f>GLOBAL_DER_FEV_2023!G2508</f>
        <v>0</v>
      </c>
      <c r="H2508" s="901">
        <f>GLOBAL_DER_FEV_2023!H2508</f>
        <v>46.59</v>
      </c>
      <c r="I2508" s="901">
        <f>GLOBAL_DER_FEV_2023!I2508</f>
        <v>46.59</v>
      </c>
      <c r="J2508" s="902">
        <f>GLOBAL_DER_FEV_2023!J2508</f>
        <v>55.94</v>
      </c>
      <c r="K2508" s="903" t="s">
        <v>15</v>
      </c>
      <c r="L2508" s="1137"/>
      <c r="M2508" s="1138">
        <f t="shared" si="187"/>
        <v>0</v>
      </c>
      <c r="N2508" s="893">
        <f t="shared" si="191"/>
        <v>0</v>
      </c>
      <c r="O2508" s="905"/>
      <c r="P2508" s="76"/>
      <c r="Q2508" s="317" t="str">
        <f t="shared" si="188"/>
        <v/>
      </c>
      <c r="R2508" s="317" t="str">
        <f t="shared" si="189"/>
        <v/>
      </c>
      <c r="S2508" s="317" t="str">
        <f t="shared" si="190"/>
        <v/>
      </c>
      <c r="T2508" s="317" t="str">
        <f>GLOBAL_DER_FEV_2023!S2508</f>
        <v/>
      </c>
      <c r="V2508" s="37"/>
      <c r="W2508" s="582">
        <v>0</v>
      </c>
      <c r="X2508" s="580"/>
      <c r="Y2508" s="583">
        <f>IF(GLOBAL_DER_FEV_2023!W2508=0,0,IF(GLOBAL_DER_FEV_2023!W2508&gt;0,"c","b"))</f>
        <v>0</v>
      </c>
    </row>
    <row r="2509" spans="1:25" s="77" customFormat="1" ht="13.5" hidden="1" thickBot="1" x14ac:dyDescent="0.25">
      <c r="A2509" s="640" t="s">
        <v>165</v>
      </c>
      <c r="B2509" s="895" t="s">
        <v>601</v>
      </c>
      <c r="C2509" s="896" t="s">
        <v>503</v>
      </c>
      <c r="D2509" s="957" t="s">
        <v>496</v>
      </c>
      <c r="E2509" s="907">
        <f>GLOBAL_DER_FEV_2023!E2509</f>
        <v>0</v>
      </c>
      <c r="F2509" s="908">
        <f>GLOBAL_DER_FEV_2023!F2509</f>
        <v>0</v>
      </c>
      <c r="G2509" s="912">
        <f>GLOBAL_DER_FEV_2023!G2509</f>
        <v>0</v>
      </c>
      <c r="H2509" s="901">
        <f>GLOBAL_DER_FEV_2023!H2509</f>
        <v>175.82</v>
      </c>
      <c r="I2509" s="901">
        <f>GLOBAL_DER_FEV_2023!I2509</f>
        <v>175.82</v>
      </c>
      <c r="J2509" s="902">
        <f>GLOBAL_DER_FEV_2023!J2509</f>
        <v>211.11</v>
      </c>
      <c r="K2509" s="903" t="s">
        <v>15</v>
      </c>
      <c r="L2509" s="1137"/>
      <c r="M2509" s="1138">
        <f t="shared" si="187"/>
        <v>0</v>
      </c>
      <c r="N2509" s="893">
        <f t="shared" si="191"/>
        <v>0</v>
      </c>
      <c r="O2509" s="905"/>
      <c r="P2509" s="76"/>
      <c r="Q2509" s="317" t="str">
        <f t="shared" si="188"/>
        <v/>
      </c>
      <c r="R2509" s="317" t="str">
        <f t="shared" si="189"/>
        <v/>
      </c>
      <c r="S2509" s="317" t="str">
        <f t="shared" si="190"/>
        <v/>
      </c>
      <c r="T2509" s="317" t="str">
        <f>GLOBAL_DER_FEV_2023!S2509</f>
        <v/>
      </c>
      <c r="V2509" s="37"/>
      <c r="W2509" s="582">
        <v>0</v>
      </c>
      <c r="X2509" s="580"/>
      <c r="Y2509" s="583">
        <f>IF(GLOBAL_DER_FEV_2023!W2509=0,0,IF(GLOBAL_DER_FEV_2023!W2509&gt;0,"c","b"))</f>
        <v>0</v>
      </c>
    </row>
    <row r="2510" spans="1:25" s="77" customFormat="1" ht="13.5" hidden="1" thickBot="1" x14ac:dyDescent="0.25">
      <c r="A2510" s="640" t="s">
        <v>165</v>
      </c>
      <c r="B2510" s="895" t="s">
        <v>497</v>
      </c>
      <c r="C2510" s="896" t="s">
        <v>537</v>
      </c>
      <c r="D2510" s="906" t="s">
        <v>498</v>
      </c>
      <c r="E2510" s="907">
        <f>GLOBAL_DER_FEV_2023!E2510</f>
        <v>0</v>
      </c>
      <c r="F2510" s="908">
        <f>GLOBAL_DER_FEV_2023!F2510</f>
        <v>0</v>
      </c>
      <c r="G2510" s="912">
        <f>GLOBAL_DER_FEV_2023!G2510</f>
        <v>0</v>
      </c>
      <c r="H2510" s="901">
        <f>GLOBAL_DER_FEV_2023!H2510</f>
        <v>83.84</v>
      </c>
      <c r="I2510" s="901">
        <f>GLOBAL_DER_FEV_2023!I2510</f>
        <v>83.84</v>
      </c>
      <c r="J2510" s="902">
        <f>GLOBAL_DER_FEV_2023!J2510</f>
        <v>100.67</v>
      </c>
      <c r="K2510" s="903" t="s">
        <v>15</v>
      </c>
      <c r="L2510" s="1137"/>
      <c r="M2510" s="1138">
        <f t="shared" si="187"/>
        <v>0</v>
      </c>
      <c r="N2510" s="893">
        <f t="shared" si="191"/>
        <v>0</v>
      </c>
      <c r="O2510" s="905"/>
      <c r="P2510" s="76"/>
      <c r="Q2510" s="317" t="str">
        <f t="shared" si="188"/>
        <v/>
      </c>
      <c r="R2510" s="317" t="str">
        <f t="shared" si="189"/>
        <v/>
      </c>
      <c r="S2510" s="317" t="str">
        <f t="shared" si="190"/>
        <v/>
      </c>
      <c r="T2510" s="317" t="str">
        <f>GLOBAL_DER_FEV_2023!S2510</f>
        <v/>
      </c>
      <c r="V2510" s="37"/>
      <c r="W2510" s="582">
        <v>0</v>
      </c>
      <c r="X2510" s="580"/>
      <c r="Y2510" s="583">
        <f>IF(GLOBAL_DER_FEV_2023!W2510=0,0,IF(GLOBAL_DER_FEV_2023!W2510&gt;0,"c","b"))</f>
        <v>0</v>
      </c>
    </row>
    <row r="2511" spans="1:25" s="77" customFormat="1" ht="13.5" hidden="1" thickBot="1" x14ac:dyDescent="0.25">
      <c r="A2511" s="640" t="s">
        <v>165</v>
      </c>
      <c r="B2511" s="895" t="s">
        <v>499</v>
      </c>
      <c r="C2511" s="896" t="s">
        <v>537</v>
      </c>
      <c r="D2511" s="906" t="s">
        <v>500</v>
      </c>
      <c r="E2511" s="907">
        <f>GLOBAL_DER_FEV_2023!E2511</f>
        <v>0</v>
      </c>
      <c r="F2511" s="908">
        <f>GLOBAL_DER_FEV_2023!F2511</f>
        <v>0</v>
      </c>
      <c r="G2511" s="912">
        <f>GLOBAL_DER_FEV_2023!G2511</f>
        <v>0</v>
      </c>
      <c r="H2511" s="901">
        <f>GLOBAL_DER_FEV_2023!H2511</f>
        <v>48.16</v>
      </c>
      <c r="I2511" s="901">
        <f>GLOBAL_DER_FEV_2023!I2511</f>
        <v>48.16</v>
      </c>
      <c r="J2511" s="902">
        <f>GLOBAL_DER_FEV_2023!J2511</f>
        <v>57.83</v>
      </c>
      <c r="K2511" s="903" t="s">
        <v>15</v>
      </c>
      <c r="L2511" s="1137"/>
      <c r="M2511" s="1138">
        <f t="shared" si="187"/>
        <v>0</v>
      </c>
      <c r="N2511" s="893">
        <f t="shared" si="191"/>
        <v>0</v>
      </c>
      <c r="O2511" s="905"/>
      <c r="P2511" s="76"/>
      <c r="Q2511" s="317" t="str">
        <f t="shared" si="188"/>
        <v/>
      </c>
      <c r="R2511" s="317" t="str">
        <f t="shared" si="189"/>
        <v/>
      </c>
      <c r="S2511" s="317" t="str">
        <f t="shared" si="190"/>
        <v/>
      </c>
      <c r="T2511" s="317" t="str">
        <f>GLOBAL_DER_FEV_2023!S2511</f>
        <v/>
      </c>
      <c r="V2511" s="37"/>
      <c r="W2511" s="582">
        <v>0</v>
      </c>
      <c r="X2511" s="580"/>
      <c r="Y2511" s="583">
        <f>IF(GLOBAL_DER_FEV_2023!W2511=0,0,IF(GLOBAL_DER_FEV_2023!W2511&gt;0,"c","b"))</f>
        <v>0</v>
      </c>
    </row>
    <row r="2512" spans="1:25" s="77" customFormat="1" ht="13.5" hidden="1" thickBot="1" x14ac:dyDescent="0.25">
      <c r="A2512" s="640" t="s">
        <v>165</v>
      </c>
      <c r="B2512" s="895" t="s">
        <v>801</v>
      </c>
      <c r="C2512" s="896" t="s">
        <v>537</v>
      </c>
      <c r="D2512" s="906" t="s">
        <v>802</v>
      </c>
      <c r="E2512" s="907">
        <f>GLOBAL_DER_FEV_2023!E2512</f>
        <v>0</v>
      </c>
      <c r="F2512" s="908">
        <f>GLOBAL_DER_FEV_2023!F2512</f>
        <v>0</v>
      </c>
      <c r="G2512" s="912">
        <f>GLOBAL_DER_FEV_2023!G2512</f>
        <v>0</v>
      </c>
      <c r="H2512" s="901">
        <f>GLOBAL_DER_FEV_2023!H2512</f>
        <v>99.15</v>
      </c>
      <c r="I2512" s="901">
        <f>GLOBAL_DER_FEV_2023!I2512</f>
        <v>99.15</v>
      </c>
      <c r="J2512" s="902">
        <f>GLOBAL_DER_FEV_2023!J2512</f>
        <v>119.05</v>
      </c>
      <c r="K2512" s="903" t="s">
        <v>15</v>
      </c>
      <c r="L2512" s="1137"/>
      <c r="M2512" s="1138">
        <f t="shared" si="187"/>
        <v>0</v>
      </c>
      <c r="N2512" s="893">
        <f t="shared" si="191"/>
        <v>0</v>
      </c>
      <c r="O2512" s="905"/>
      <c r="P2512" s="76"/>
      <c r="Q2512" s="317" t="str">
        <f t="shared" si="188"/>
        <v/>
      </c>
      <c r="R2512" s="317" t="str">
        <f t="shared" si="189"/>
        <v/>
      </c>
      <c r="S2512" s="317" t="str">
        <f t="shared" si="190"/>
        <v/>
      </c>
      <c r="T2512" s="317" t="str">
        <f>GLOBAL_DER_FEV_2023!S2512</f>
        <v/>
      </c>
      <c r="V2512" s="37"/>
      <c r="W2512" s="582">
        <v>0</v>
      </c>
      <c r="X2512" s="580"/>
      <c r="Y2512" s="583">
        <f>IF(GLOBAL_DER_FEV_2023!W2512=0,0,IF(GLOBAL_DER_FEV_2023!W2512&gt;0,"c","b"))</f>
        <v>0</v>
      </c>
    </row>
    <row r="2513" spans="1:25" s="77" customFormat="1" ht="13.5" hidden="1" thickBot="1" x14ac:dyDescent="0.25">
      <c r="A2513" s="640" t="s">
        <v>165</v>
      </c>
      <c r="B2513" s="1070" t="s">
        <v>539</v>
      </c>
      <c r="C2513" s="896" t="s">
        <v>503</v>
      </c>
      <c r="D2513" s="906" t="s">
        <v>505</v>
      </c>
      <c r="E2513" s="907">
        <f>GLOBAL_DER_FEV_2023!E2513</f>
        <v>0</v>
      </c>
      <c r="F2513" s="908">
        <f>GLOBAL_DER_FEV_2023!F2513</f>
        <v>0</v>
      </c>
      <c r="G2513" s="912">
        <f>GLOBAL_DER_FEV_2023!G2513</f>
        <v>0</v>
      </c>
      <c r="H2513" s="901">
        <f>GLOBAL_DER_FEV_2023!H2513</f>
        <v>97.91</v>
      </c>
      <c r="I2513" s="901">
        <f>GLOBAL_DER_FEV_2023!I2513</f>
        <v>97.91</v>
      </c>
      <c r="J2513" s="902">
        <f>GLOBAL_DER_FEV_2023!J2513</f>
        <v>117.56</v>
      </c>
      <c r="K2513" s="903" t="s">
        <v>15</v>
      </c>
      <c r="L2513" s="1137"/>
      <c r="M2513" s="1138">
        <f t="shared" si="187"/>
        <v>0</v>
      </c>
      <c r="N2513" s="893">
        <f t="shared" si="191"/>
        <v>0</v>
      </c>
      <c r="O2513" s="905"/>
      <c r="P2513" s="76"/>
      <c r="Q2513" s="317" t="str">
        <f t="shared" si="188"/>
        <v/>
      </c>
      <c r="R2513" s="317" t="str">
        <f t="shared" si="189"/>
        <v/>
      </c>
      <c r="S2513" s="317" t="str">
        <f t="shared" si="190"/>
        <v/>
      </c>
      <c r="T2513" s="317" t="str">
        <f>GLOBAL_DER_FEV_2023!S2513</f>
        <v/>
      </c>
      <c r="V2513" s="37"/>
      <c r="W2513" s="582">
        <v>0</v>
      </c>
      <c r="X2513" s="580"/>
      <c r="Y2513" s="583">
        <f>IF(GLOBAL_DER_FEV_2023!W2513=0,0,IF(GLOBAL_DER_FEV_2023!W2513&gt;0,"c","b"))</f>
        <v>0</v>
      </c>
    </row>
    <row r="2514" spans="1:25" s="77" customFormat="1" ht="23.25" hidden="1" thickBot="1" x14ac:dyDescent="0.25">
      <c r="A2514" s="640" t="s">
        <v>165</v>
      </c>
      <c r="B2514" s="895" t="s">
        <v>538</v>
      </c>
      <c r="C2514" s="896" t="s">
        <v>503</v>
      </c>
      <c r="D2514" s="906" t="s">
        <v>506</v>
      </c>
      <c r="E2514" s="907">
        <f>GLOBAL_DER_FEV_2023!E2514</f>
        <v>0</v>
      </c>
      <c r="F2514" s="908">
        <f>GLOBAL_DER_FEV_2023!F2514</f>
        <v>0</v>
      </c>
      <c r="G2514" s="949">
        <f>GLOBAL_DER_FEV_2023!G2514</f>
        <v>0</v>
      </c>
      <c r="H2514" s="901">
        <f>GLOBAL_DER_FEV_2023!H2514</f>
        <v>4850.2</v>
      </c>
      <c r="I2514" s="901">
        <f>GLOBAL_DER_FEV_2023!I2514</f>
        <v>4850.2</v>
      </c>
      <c r="J2514" s="902">
        <f>GLOBAL_DER_FEV_2023!J2514</f>
        <v>5823.64</v>
      </c>
      <c r="K2514" s="903" t="s">
        <v>502</v>
      </c>
      <c r="L2514" s="1137"/>
      <c r="M2514" s="1138">
        <f t="shared" ref="M2514:M2546" si="192">IF(L2514=0,0,ROUND(J2514,2))</f>
        <v>0</v>
      </c>
      <c r="N2514" s="893">
        <f t="shared" si="191"/>
        <v>0</v>
      </c>
      <c r="O2514" s="905"/>
      <c r="P2514" s="76"/>
      <c r="Q2514" s="317" t="str">
        <f t="shared" si="188"/>
        <v/>
      </c>
      <c r="R2514" s="317" t="str">
        <f t="shared" si="189"/>
        <v/>
      </c>
      <c r="S2514" s="317" t="str">
        <f t="shared" si="190"/>
        <v/>
      </c>
      <c r="T2514" s="317" t="str">
        <f>GLOBAL_DER_FEV_2023!S2514</f>
        <v/>
      </c>
      <c r="V2514" s="37"/>
      <c r="W2514" s="582">
        <v>0</v>
      </c>
      <c r="X2514" s="580"/>
      <c r="Y2514" s="583">
        <f>IF(GLOBAL_DER_FEV_2023!W2514=0,0,IF(GLOBAL_DER_FEV_2023!W2514&gt;0,"c","b"))</f>
        <v>0</v>
      </c>
    </row>
    <row r="2515" spans="1:25" ht="13.5" hidden="1" thickBot="1" x14ac:dyDescent="0.25">
      <c r="A2515" s="640" t="s">
        <v>165</v>
      </c>
      <c r="B2515" s="913" t="s">
        <v>165</v>
      </c>
      <c r="C2515" s="914"/>
      <c r="D2515" s="915" t="s">
        <v>501</v>
      </c>
      <c r="E2515" s="916">
        <f>GLOBAL_DER_FEV_2023!E2515</f>
        <v>0</v>
      </c>
      <c r="F2515" s="917">
        <f>GLOBAL_DER_FEV_2023!F2515</f>
        <v>0</v>
      </c>
      <c r="G2515" s="1071">
        <f>GLOBAL_DER_FEV_2023!G2515</f>
        <v>0</v>
      </c>
      <c r="H2515" s="920">
        <f>GLOBAL_DER_FEV_2023!H2515</f>
        <v>0</v>
      </c>
      <c r="I2515" s="920">
        <f>GLOBAL_DER_FEV_2023!I2515</f>
        <v>0</v>
      </c>
      <c r="J2515" s="920">
        <f>GLOBAL_DER_FEV_2023!J2515</f>
        <v>0</v>
      </c>
      <c r="K2515" s="920" t="s">
        <v>507</v>
      </c>
      <c r="L2515" s="921"/>
      <c r="M2515" s="922">
        <f t="shared" si="192"/>
        <v>0</v>
      </c>
      <c r="N2515" s="923">
        <f t="shared" si="191"/>
        <v>0</v>
      </c>
      <c r="O2515" s="905"/>
      <c r="P2515" s="58" t="str">
        <f>IF(OR(SUM(N2516:N2546)&gt;0,SUM(N2516:N2546)&gt;0),"y","")</f>
        <v/>
      </c>
      <c r="Q2515" s="317" t="str">
        <f t="shared" si="188"/>
        <v/>
      </c>
      <c r="R2515" s="317" t="str">
        <f t="shared" si="189"/>
        <v/>
      </c>
      <c r="S2515" s="317" t="str">
        <f t="shared" si="190"/>
        <v/>
      </c>
      <c r="T2515" s="317" t="str">
        <f>GLOBAL_DER_FEV_2023!S2515</f>
        <v/>
      </c>
      <c r="W2515" s="582">
        <v>0</v>
      </c>
      <c r="X2515" s="580"/>
      <c r="Y2515" s="583">
        <f>IF(GLOBAL_DER_FEV_2023!W2515=0,0,IF(GLOBAL_DER_FEV_2023!W2515&gt;0,"c","b"))</f>
        <v>0</v>
      </c>
    </row>
    <row r="2516" spans="1:25" ht="13.5" hidden="1" thickBot="1" x14ac:dyDescent="0.25">
      <c r="A2516" s="640" t="s">
        <v>165</v>
      </c>
      <c r="B2516" s="1181" t="str">
        <f>GLOBAL_DER_FEV_2023!B2516</f>
        <v>09.03.02</v>
      </c>
      <c r="C2516" s="1182" t="str">
        <f>GLOBAL_DER_FEV_2023!C2516</f>
        <v>DAER/RS</v>
      </c>
      <c r="D2516" s="1141" t="str">
        <f>GLOBAL_DER_FEV_2023!D2516</f>
        <v>Ensaio de Abrasão Los Angeles - Macadame seco com brita graduada</v>
      </c>
      <c r="E2516" s="907">
        <f>GLOBAL_DER_FEV_2023!E2516</f>
        <v>0</v>
      </c>
      <c r="F2516" s="908">
        <f>GLOBAL_DER_FEV_2023!F2516</f>
        <v>0</v>
      </c>
      <c r="G2516" s="912">
        <f>GLOBAL_DER_FEV_2023!G2516</f>
        <v>0</v>
      </c>
      <c r="H2516" s="901">
        <f>GLOBAL_DER_FEV_2023!H2516</f>
        <v>310.23</v>
      </c>
      <c r="I2516" s="901">
        <f>GLOBAL_DER_FEV_2023!I2516</f>
        <v>310.23</v>
      </c>
      <c r="J2516" s="902">
        <f>GLOBAL_DER_FEV_2023!J2516</f>
        <v>372.49</v>
      </c>
      <c r="K2516" s="903" t="str">
        <f>GLOBAL_DER_FEV_2023!K2516</f>
        <v>un</v>
      </c>
      <c r="L2516" s="1137"/>
      <c r="M2516" s="1175">
        <f t="shared" si="192"/>
        <v>0</v>
      </c>
      <c r="N2516" s="1167">
        <f t="shared" si="191"/>
        <v>0</v>
      </c>
      <c r="O2516" s="1165"/>
      <c r="Q2516" s="317" t="str">
        <f t="shared" si="188"/>
        <v/>
      </c>
      <c r="R2516" s="317" t="str">
        <f t="shared" si="189"/>
        <v/>
      </c>
      <c r="S2516" s="317" t="str">
        <f t="shared" si="190"/>
        <v/>
      </c>
      <c r="T2516" s="317" t="str">
        <f>GLOBAL_DER_FEV_2023!S2516</f>
        <v/>
      </c>
      <c r="W2516" s="582">
        <v>0</v>
      </c>
      <c r="X2516" s="580"/>
      <c r="Y2516" s="583">
        <f>IF(GLOBAL_DER_FEV_2023!W2516=0,0,IF(GLOBAL_DER_FEV_2023!W2516&gt;0,"c","b"))</f>
        <v>0</v>
      </c>
    </row>
    <row r="2517" spans="1:25" ht="13.5" hidden="1" thickBot="1" x14ac:dyDescent="0.25">
      <c r="A2517" s="640" t="s">
        <v>165</v>
      </c>
      <c r="B2517" s="1181" t="str">
        <f>GLOBAL_DER_FEV_2023!B2517</f>
        <v>09.03.02a</v>
      </c>
      <c r="C2517" s="1182" t="str">
        <f>GLOBAL_DER_FEV_2023!C2517</f>
        <v>DAER/RS</v>
      </c>
      <c r="D2517" s="1141" t="str">
        <f>GLOBAL_DER_FEV_2023!D2517</f>
        <v>Ensaio de Abrasão Los Angeles - rachão sem britagem</v>
      </c>
      <c r="E2517" s="907">
        <f>GLOBAL_DER_FEV_2023!E2517</f>
        <v>0</v>
      </c>
      <c r="F2517" s="908">
        <f>GLOBAL_DER_FEV_2023!F2517</f>
        <v>0</v>
      </c>
      <c r="G2517" s="912">
        <f>GLOBAL_DER_FEV_2023!G2517</f>
        <v>0</v>
      </c>
      <c r="H2517" s="901">
        <f>GLOBAL_DER_FEV_2023!H2517</f>
        <v>310.23</v>
      </c>
      <c r="I2517" s="901">
        <f>GLOBAL_DER_FEV_2023!I2517</f>
        <v>310.23</v>
      </c>
      <c r="J2517" s="902">
        <f>GLOBAL_DER_FEV_2023!J2517</f>
        <v>372.49</v>
      </c>
      <c r="K2517" s="903" t="str">
        <f>GLOBAL_DER_FEV_2023!K2517</f>
        <v>un</v>
      </c>
      <c r="L2517" s="1137"/>
      <c r="M2517" s="1175">
        <f t="shared" si="192"/>
        <v>0</v>
      </c>
      <c r="N2517" s="1167">
        <f t="shared" si="191"/>
        <v>0</v>
      </c>
      <c r="O2517" s="1165"/>
      <c r="Q2517" s="317" t="str">
        <f t="shared" si="188"/>
        <v/>
      </c>
      <c r="R2517" s="317" t="str">
        <f t="shared" si="189"/>
        <v/>
      </c>
      <c r="S2517" s="317" t="str">
        <f t="shared" si="190"/>
        <v/>
      </c>
      <c r="T2517" s="317" t="str">
        <f>GLOBAL_DER_FEV_2023!S2517</f>
        <v/>
      </c>
      <c r="W2517" s="582">
        <v>0</v>
      </c>
      <c r="X2517" s="580"/>
      <c r="Y2517" s="583">
        <f>IF(GLOBAL_DER_FEV_2023!W2517=0,0,IF(GLOBAL_DER_FEV_2023!W2517&gt;0,"c","b"))</f>
        <v>0</v>
      </c>
    </row>
    <row r="2518" spans="1:25" ht="13.5" hidden="1" thickBot="1" x14ac:dyDescent="0.25">
      <c r="A2518" s="640" t="s">
        <v>165</v>
      </c>
      <c r="B2518" s="1181" t="str">
        <f>GLOBAL_DER_FEV_2023!B2518</f>
        <v>09.07.01</v>
      </c>
      <c r="C2518" s="1182" t="str">
        <f>GLOBAL_DER_FEV_2023!C2518</f>
        <v>DAER/RS</v>
      </c>
      <c r="D2518" s="1141" t="str">
        <f>GLOBAL_DER_FEV_2023!D2518</f>
        <v>Viga Benkelman (levantamento por pista de 20m em 20m alternando a faixa) - (km.pista)</v>
      </c>
      <c r="E2518" s="907">
        <f>GLOBAL_DER_FEV_2023!E2518</f>
        <v>0</v>
      </c>
      <c r="F2518" s="908">
        <f>GLOBAL_DER_FEV_2023!F2518</f>
        <v>0</v>
      </c>
      <c r="G2518" s="912">
        <f>GLOBAL_DER_FEV_2023!G2518</f>
        <v>0</v>
      </c>
      <c r="H2518" s="901">
        <f>GLOBAL_DER_FEV_2023!H2518</f>
        <v>82.89</v>
      </c>
      <c r="I2518" s="901">
        <f>GLOBAL_DER_FEV_2023!I2518</f>
        <v>82.89</v>
      </c>
      <c r="J2518" s="902">
        <f>GLOBAL_DER_FEV_2023!J2518</f>
        <v>99.53</v>
      </c>
      <c r="K2518" s="903" t="str">
        <f>GLOBAL_DER_FEV_2023!K2518</f>
        <v>km</v>
      </c>
      <c r="L2518" s="1137"/>
      <c r="M2518" s="1175">
        <f t="shared" si="192"/>
        <v>0</v>
      </c>
      <c r="N2518" s="1167">
        <f t="shared" si="191"/>
        <v>0</v>
      </c>
      <c r="O2518" s="1165"/>
      <c r="Q2518" s="317" t="str">
        <f t="shared" si="188"/>
        <v/>
      </c>
      <c r="R2518" s="317" t="str">
        <f t="shared" si="189"/>
        <v/>
      </c>
      <c r="S2518" s="317" t="str">
        <f t="shared" si="190"/>
        <v/>
      </c>
      <c r="T2518" s="317" t="str">
        <f>GLOBAL_DER_FEV_2023!S2518</f>
        <v/>
      </c>
      <c r="W2518" s="582">
        <v>0</v>
      </c>
      <c r="X2518" s="580"/>
      <c r="Y2518" s="583">
        <f>IF(GLOBAL_DER_FEV_2023!W2518=0,0,IF(GLOBAL_DER_FEV_2023!W2518&gt;0,"c","b"))</f>
        <v>0</v>
      </c>
    </row>
    <row r="2519" spans="1:25" ht="23.25" hidden="1" thickBot="1" x14ac:dyDescent="0.25">
      <c r="A2519" s="640" t="s">
        <v>165</v>
      </c>
      <c r="B2519" s="1181" t="str">
        <f>GLOBAL_DER_FEV_2023!B2519</f>
        <v>Fazer Cotação</v>
      </c>
      <c r="C2519" s="1182" t="str">
        <f>GLOBAL_DER_FEV_2023!C2519</f>
        <v>fonte da cotação</v>
      </c>
      <c r="D2519" s="1141" t="str">
        <f>GLOBAL_DER_FEV_2023!D2519</f>
        <v>Determinação do Abatimento (Slump Test) - aproximadamente 1 teste por caminhão betoneira. Considerando caminhão de 8m3</v>
      </c>
      <c r="E2519" s="907">
        <f>GLOBAL_DER_FEV_2023!E2519</f>
        <v>0</v>
      </c>
      <c r="F2519" s="908">
        <f>GLOBAL_DER_FEV_2023!F2519</f>
        <v>0</v>
      </c>
      <c r="G2519" s="912">
        <f>GLOBAL_DER_FEV_2023!G2519</f>
        <v>0</v>
      </c>
      <c r="H2519" s="901">
        <f>GLOBAL_DER_FEV_2023!H2519</f>
        <v>0</v>
      </c>
      <c r="I2519" s="901" t="str">
        <f>GLOBAL_DER_FEV_2023!I2519</f>
        <v/>
      </c>
      <c r="J2519" s="902">
        <f>GLOBAL_DER_FEV_2023!J2519</f>
        <v>0</v>
      </c>
      <c r="K2519" s="903" t="str">
        <f>GLOBAL_DER_FEV_2023!K2519</f>
        <v>un</v>
      </c>
      <c r="L2519" s="1137"/>
      <c r="M2519" s="1175">
        <f t="shared" si="192"/>
        <v>0</v>
      </c>
      <c r="N2519" s="1167">
        <f t="shared" si="191"/>
        <v>0</v>
      </c>
      <c r="O2519" s="1165"/>
      <c r="Q2519" s="317" t="str">
        <f t="shared" si="188"/>
        <v/>
      </c>
      <c r="R2519" s="317" t="str">
        <f t="shared" si="189"/>
        <v/>
      </c>
      <c r="S2519" s="317" t="str">
        <f t="shared" si="190"/>
        <v/>
      </c>
      <c r="T2519" s="317" t="str">
        <f>GLOBAL_DER_FEV_2023!S2519</f>
        <v/>
      </c>
      <c r="W2519" s="582">
        <v>0</v>
      </c>
      <c r="X2519" s="580"/>
      <c r="Y2519" s="583">
        <f>IF(GLOBAL_DER_FEV_2023!W2519=0,0,IF(GLOBAL_DER_FEV_2023!W2519&gt;0,"c","b"))</f>
        <v>0</v>
      </c>
    </row>
    <row r="2520" spans="1:25" ht="23.25" hidden="1" thickBot="1" x14ac:dyDescent="0.25">
      <c r="A2520" s="640" t="s">
        <v>165</v>
      </c>
      <c r="B2520" s="1181" t="str">
        <f>GLOBAL_DER_FEV_2023!B2520</f>
        <v>Fazer Cotação</v>
      </c>
      <c r="C2520" s="1182" t="str">
        <f>GLOBAL_DER_FEV_2023!C2520</f>
        <v>fonte da cotação</v>
      </c>
      <c r="D2520" s="1141" t="str">
        <f>GLOBAL_DER_FEV_2023!D2520</f>
        <v>Determinação de Resistência a Compressão por Moldagem, Cura e Ruptura de Corpos de Provas Cilíndricos. Moldagem de 4 corpos de prova por caminhão.</v>
      </c>
      <c r="E2520" s="907">
        <f>GLOBAL_DER_FEV_2023!E2520</f>
        <v>0</v>
      </c>
      <c r="F2520" s="908">
        <f>GLOBAL_DER_FEV_2023!F2520</f>
        <v>0</v>
      </c>
      <c r="G2520" s="912">
        <f>GLOBAL_DER_FEV_2023!G2520</f>
        <v>0</v>
      </c>
      <c r="H2520" s="901">
        <f>GLOBAL_DER_FEV_2023!H2520</f>
        <v>0</v>
      </c>
      <c r="I2520" s="901" t="str">
        <f>GLOBAL_DER_FEV_2023!I2520</f>
        <v/>
      </c>
      <c r="J2520" s="902">
        <f>GLOBAL_DER_FEV_2023!J2520</f>
        <v>0</v>
      </c>
      <c r="K2520" s="903" t="str">
        <f>GLOBAL_DER_FEV_2023!K2520</f>
        <v>un</v>
      </c>
      <c r="L2520" s="1137"/>
      <c r="M2520" s="1175">
        <f t="shared" si="192"/>
        <v>0</v>
      </c>
      <c r="N2520" s="1167">
        <f t="shared" si="191"/>
        <v>0</v>
      </c>
      <c r="O2520" s="1165"/>
      <c r="Q2520" s="317" t="str">
        <f t="shared" si="188"/>
        <v/>
      </c>
      <c r="R2520" s="317" t="str">
        <f t="shared" si="189"/>
        <v/>
      </c>
      <c r="S2520" s="317" t="str">
        <f t="shared" si="190"/>
        <v/>
      </c>
      <c r="T2520" s="317" t="str">
        <f>GLOBAL_DER_FEV_2023!S2520</f>
        <v/>
      </c>
      <c r="W2520" s="582">
        <v>0</v>
      </c>
      <c r="X2520" s="580"/>
      <c r="Y2520" s="583">
        <f>IF(GLOBAL_DER_FEV_2023!W2520=0,0,IF(GLOBAL_DER_FEV_2023!W2520&gt;0,"c","b"))</f>
        <v>0</v>
      </c>
    </row>
    <row r="2521" spans="1:25" ht="23.25" hidden="1" thickBot="1" x14ac:dyDescent="0.25">
      <c r="A2521" s="640" t="s">
        <v>165</v>
      </c>
      <c r="B2521" s="1181" t="str">
        <f>GLOBAL_DER_FEV_2023!B2521</f>
        <v>Fazer Cotação</v>
      </c>
      <c r="C2521" s="1182" t="str">
        <f>GLOBAL_DER_FEV_2023!C2521</f>
        <v>fonte da cotação</v>
      </c>
      <c r="D2521" s="1141" t="str">
        <f>GLOBAL_DER_FEV_2023!D2521</f>
        <v>Determinação de Resistência a Tração na Flexão por Moldagem, Cura e Ruptura de Corpos de Provas Prismáticos (estimativa 2 corpos de prova a cada 50m3)</v>
      </c>
      <c r="E2521" s="907">
        <f>GLOBAL_DER_FEV_2023!E2521</f>
        <v>0</v>
      </c>
      <c r="F2521" s="908">
        <f>GLOBAL_DER_FEV_2023!F2521</f>
        <v>0</v>
      </c>
      <c r="G2521" s="912">
        <f>GLOBAL_DER_FEV_2023!G2521</f>
        <v>0</v>
      </c>
      <c r="H2521" s="901">
        <f>GLOBAL_DER_FEV_2023!H2521</f>
        <v>0</v>
      </c>
      <c r="I2521" s="901" t="str">
        <f>GLOBAL_DER_FEV_2023!I2521</f>
        <v/>
      </c>
      <c r="J2521" s="902">
        <f>GLOBAL_DER_FEV_2023!J2521</f>
        <v>0</v>
      </c>
      <c r="K2521" s="903" t="str">
        <f>GLOBAL_DER_FEV_2023!K2521</f>
        <v>un</v>
      </c>
      <c r="L2521" s="1137"/>
      <c r="M2521" s="1175">
        <f t="shared" si="192"/>
        <v>0</v>
      </c>
      <c r="N2521" s="1167">
        <f t="shared" si="191"/>
        <v>0</v>
      </c>
      <c r="O2521" s="1165"/>
      <c r="Q2521" s="317" t="str">
        <f t="shared" si="188"/>
        <v/>
      </c>
      <c r="R2521" s="317" t="str">
        <f t="shared" si="189"/>
        <v/>
      </c>
      <c r="S2521" s="317" t="str">
        <f t="shared" si="190"/>
        <v/>
      </c>
      <c r="T2521" s="317" t="str">
        <f>GLOBAL_DER_FEV_2023!S2521</f>
        <v/>
      </c>
      <c r="W2521" s="582">
        <v>0</v>
      </c>
      <c r="X2521" s="580"/>
      <c r="Y2521" s="583">
        <f>IF(GLOBAL_DER_FEV_2023!W2521=0,0,IF(GLOBAL_DER_FEV_2023!W2521&gt;0,"c","b"))</f>
        <v>0</v>
      </c>
    </row>
    <row r="2522" spans="1:25" ht="34.5" hidden="1" thickBot="1" x14ac:dyDescent="0.25">
      <c r="A2522" s="640" t="s">
        <v>165</v>
      </c>
      <c r="B2522" s="1181" t="str">
        <f>GLOBAL_DER_FEV_2023!B2522</f>
        <v>Fazer Cotação</v>
      </c>
      <c r="C2522" s="1182" t="str">
        <f>GLOBAL_DER_FEV_2023!C2522</f>
        <v>fonte da cotação</v>
      </c>
      <c r="D2522" s="1141" t="str">
        <f>GLOBAL_DER_FEV_2023!D2522</f>
        <v>Mobilização e Desmobilização de Equipamento e Equipe para as concretagens, rompimento dos corpos de prova moldados na obra e coletas de corpos de prova. (sendo considerado 4 diárias)</v>
      </c>
      <c r="E2522" s="907">
        <f>GLOBAL_DER_FEV_2023!E2522</f>
        <v>0</v>
      </c>
      <c r="F2522" s="908">
        <f>GLOBAL_DER_FEV_2023!F2522</f>
        <v>0</v>
      </c>
      <c r="G2522" s="912">
        <f>GLOBAL_DER_FEV_2023!G2522</f>
        <v>0</v>
      </c>
      <c r="H2522" s="901">
        <f>GLOBAL_DER_FEV_2023!H2522</f>
        <v>0</v>
      </c>
      <c r="I2522" s="901" t="str">
        <f>GLOBAL_DER_FEV_2023!I2522</f>
        <v/>
      </c>
      <c r="J2522" s="902">
        <f>GLOBAL_DER_FEV_2023!J2522</f>
        <v>0</v>
      </c>
      <c r="K2522" s="903" t="str">
        <f>GLOBAL_DER_FEV_2023!K2522</f>
        <v>gb</v>
      </c>
      <c r="L2522" s="1137"/>
      <c r="M2522" s="1175">
        <f t="shared" si="192"/>
        <v>0</v>
      </c>
      <c r="N2522" s="1167">
        <f t="shared" si="191"/>
        <v>0</v>
      </c>
      <c r="O2522" s="1165"/>
      <c r="Q2522" s="317" t="str">
        <f t="shared" si="188"/>
        <v/>
      </c>
      <c r="R2522" s="317" t="str">
        <f t="shared" si="189"/>
        <v/>
      </c>
      <c r="S2522" s="317" t="str">
        <f t="shared" si="190"/>
        <v/>
      </c>
      <c r="T2522" s="317" t="str">
        <f>GLOBAL_DER_FEV_2023!S2522</f>
        <v/>
      </c>
      <c r="W2522" s="582">
        <v>0</v>
      </c>
      <c r="X2522" s="580"/>
      <c r="Y2522" s="583">
        <f>IF(GLOBAL_DER_FEV_2023!W2522=0,0,IF(GLOBAL_DER_FEV_2023!W2522&gt;0,"c","b"))</f>
        <v>0</v>
      </c>
    </row>
    <row r="2523" spans="1:25" ht="13.5" hidden="1" thickBot="1" x14ac:dyDescent="0.25">
      <c r="A2523" s="640" t="s">
        <v>165</v>
      </c>
      <c r="B2523" s="1183">
        <f>GLOBAL_DER_FEV_2023!B2523</f>
        <v>0</v>
      </c>
      <c r="C2523" s="1184">
        <f>GLOBAL_DER_FEV_2023!C2523</f>
        <v>0</v>
      </c>
      <c r="D2523" s="1141">
        <f>GLOBAL_DER_FEV_2023!D2523</f>
        <v>0</v>
      </c>
      <c r="E2523" s="907">
        <f>GLOBAL_DER_FEV_2023!E2523</f>
        <v>0</v>
      </c>
      <c r="F2523" s="908">
        <f>GLOBAL_DER_FEV_2023!F2523</f>
        <v>0</v>
      </c>
      <c r="G2523" s="912">
        <f>GLOBAL_DER_FEV_2023!G2523</f>
        <v>0</v>
      </c>
      <c r="H2523" s="901">
        <f>GLOBAL_DER_FEV_2023!H2523</f>
        <v>0</v>
      </c>
      <c r="I2523" s="901" t="str">
        <f>GLOBAL_DER_FEV_2023!I2523</f>
        <v/>
      </c>
      <c r="J2523" s="902">
        <f>GLOBAL_DER_FEV_2023!J2523</f>
        <v>0</v>
      </c>
      <c r="K2523" s="903">
        <f>GLOBAL_DER_FEV_2023!K2523</f>
        <v>0</v>
      </c>
      <c r="L2523" s="1137"/>
      <c r="M2523" s="1175">
        <f t="shared" si="192"/>
        <v>0</v>
      </c>
      <c r="N2523" s="1167">
        <f t="shared" si="191"/>
        <v>0</v>
      </c>
      <c r="O2523" s="1165"/>
      <c r="Q2523" s="317" t="str">
        <f t="shared" ref="Q2523:Q2547" si="193">IF(P2523="X","x",IF(P2523="xx","x",IF(P2523="xy","x",IF(P2523="y","x",IF(OR(N2523&gt;0,N2523&gt;0),"x","")))))</f>
        <v/>
      </c>
      <c r="R2523" s="317" t="str">
        <f t="shared" si="189"/>
        <v/>
      </c>
      <c r="S2523" s="317" t="str">
        <f t="shared" si="190"/>
        <v/>
      </c>
      <c r="T2523" s="317" t="str">
        <f>GLOBAL_DER_FEV_2023!S2523</f>
        <v/>
      </c>
      <c r="W2523" s="582">
        <v>0</v>
      </c>
      <c r="X2523" s="580"/>
      <c r="Y2523" s="583">
        <f>IF(GLOBAL_DER_FEV_2023!W2523=0,0,IF(GLOBAL_DER_FEV_2023!W2523&gt;0,"c","b"))</f>
        <v>0</v>
      </c>
    </row>
    <row r="2524" spans="1:25" ht="13.5" hidden="1" thickBot="1" x14ac:dyDescent="0.25">
      <c r="A2524" s="640" t="s">
        <v>165</v>
      </c>
      <c r="B2524" s="1183">
        <f>GLOBAL_DER_FEV_2023!B2524</f>
        <v>0</v>
      </c>
      <c r="C2524" s="1184">
        <f>GLOBAL_DER_FEV_2023!C2524</f>
        <v>0</v>
      </c>
      <c r="D2524" s="1141">
        <f>GLOBAL_DER_FEV_2023!D2524</f>
        <v>0</v>
      </c>
      <c r="E2524" s="907">
        <f>GLOBAL_DER_FEV_2023!E2524</f>
        <v>0</v>
      </c>
      <c r="F2524" s="908">
        <f>GLOBAL_DER_FEV_2023!F2524</f>
        <v>0</v>
      </c>
      <c r="G2524" s="912">
        <f>GLOBAL_DER_FEV_2023!G2524</f>
        <v>0</v>
      </c>
      <c r="H2524" s="901">
        <f>GLOBAL_DER_FEV_2023!H2524</f>
        <v>0</v>
      </c>
      <c r="I2524" s="901" t="str">
        <f>GLOBAL_DER_FEV_2023!I2524</f>
        <v/>
      </c>
      <c r="J2524" s="902">
        <f>GLOBAL_DER_FEV_2023!J2524</f>
        <v>0</v>
      </c>
      <c r="K2524" s="903">
        <f>GLOBAL_DER_FEV_2023!K2524</f>
        <v>0</v>
      </c>
      <c r="L2524" s="1137"/>
      <c r="M2524" s="1175">
        <f t="shared" si="192"/>
        <v>0</v>
      </c>
      <c r="N2524" s="1167">
        <f t="shared" si="191"/>
        <v>0</v>
      </c>
      <c r="O2524" s="1165"/>
      <c r="Q2524" s="317" t="str">
        <f t="shared" si="193"/>
        <v/>
      </c>
      <c r="R2524" s="317" t="str">
        <f t="shared" si="189"/>
        <v/>
      </c>
      <c r="S2524" s="317" t="str">
        <f t="shared" si="190"/>
        <v/>
      </c>
      <c r="T2524" s="317" t="str">
        <f>GLOBAL_DER_FEV_2023!S2524</f>
        <v/>
      </c>
      <c r="W2524" s="582">
        <v>0</v>
      </c>
      <c r="X2524" s="580"/>
      <c r="Y2524" s="583">
        <f>IF(GLOBAL_DER_FEV_2023!W2524=0,0,IF(GLOBAL_DER_FEV_2023!W2524&gt;0,"c","b"))</f>
        <v>0</v>
      </c>
    </row>
    <row r="2525" spans="1:25" ht="13.5" hidden="1" thickBot="1" x14ac:dyDescent="0.25">
      <c r="A2525" s="640" t="s">
        <v>165</v>
      </c>
      <c r="B2525" s="1183" t="str">
        <f>GLOBAL_DER_FEV_2023!B2525</f>
        <v/>
      </c>
      <c r="C2525" s="1184" t="str">
        <f>GLOBAL_DER_FEV_2023!C2525</f>
        <v/>
      </c>
      <c r="D2525" s="1141">
        <f>GLOBAL_DER_FEV_2023!D2525</f>
        <v>0</v>
      </c>
      <c r="E2525" s="907">
        <f>GLOBAL_DER_FEV_2023!E2525</f>
        <v>0</v>
      </c>
      <c r="F2525" s="908">
        <f>GLOBAL_DER_FEV_2023!F2525</f>
        <v>0</v>
      </c>
      <c r="G2525" s="912">
        <f>GLOBAL_DER_FEV_2023!G2525</f>
        <v>0</v>
      </c>
      <c r="H2525" s="901">
        <f>GLOBAL_DER_FEV_2023!H2525</f>
        <v>0</v>
      </c>
      <c r="I2525" s="901" t="str">
        <f>GLOBAL_DER_FEV_2023!I2525</f>
        <v/>
      </c>
      <c r="J2525" s="902">
        <f>GLOBAL_DER_FEV_2023!J2525</f>
        <v>0</v>
      </c>
      <c r="K2525" s="903" t="str">
        <f>GLOBAL_DER_FEV_2023!K2525</f>
        <v xml:space="preserve">     </v>
      </c>
      <c r="L2525" s="1137"/>
      <c r="M2525" s="1175">
        <f t="shared" si="192"/>
        <v>0</v>
      </c>
      <c r="N2525" s="1167">
        <f t="shared" si="191"/>
        <v>0</v>
      </c>
      <c r="O2525" s="1165"/>
      <c r="Q2525" s="317" t="str">
        <f t="shared" si="193"/>
        <v/>
      </c>
      <c r="R2525" s="317" t="str">
        <f t="shared" ref="R2525:R2547" si="194">IF(P2525="X","x",IF(P2525="y","x",IF(P2525="xx","x",IF(N2525&gt;0,"x",""))))</f>
        <v/>
      </c>
      <c r="S2525" s="317" t="str">
        <f t="shared" ref="S2525:S2547" si="195">IF(P2525="X","x",IF(N2525&gt;0,"x",""))</f>
        <v/>
      </c>
      <c r="T2525" s="317" t="str">
        <f>GLOBAL_DER_FEV_2023!S2525</f>
        <v/>
      </c>
      <c r="W2525" s="582">
        <v>0</v>
      </c>
      <c r="X2525" s="580"/>
      <c r="Y2525" s="583">
        <f>IF(GLOBAL_DER_FEV_2023!W2525=0,0,IF(GLOBAL_DER_FEV_2023!W2525&gt;0,"c","b"))</f>
        <v>0</v>
      </c>
    </row>
    <row r="2526" spans="1:25" ht="13.5" hidden="1" thickBot="1" x14ac:dyDescent="0.25">
      <c r="A2526" s="640" t="s">
        <v>165</v>
      </c>
      <c r="B2526" s="1183" t="str">
        <f>GLOBAL_DER_FEV_2023!B2526</f>
        <v/>
      </c>
      <c r="C2526" s="1184" t="str">
        <f>GLOBAL_DER_FEV_2023!C2526</f>
        <v/>
      </c>
      <c r="D2526" s="1141">
        <f>GLOBAL_DER_FEV_2023!D2526</f>
        <v>0</v>
      </c>
      <c r="E2526" s="907">
        <f>GLOBAL_DER_FEV_2023!E2526</f>
        <v>0</v>
      </c>
      <c r="F2526" s="908">
        <f>GLOBAL_DER_FEV_2023!F2526</f>
        <v>0</v>
      </c>
      <c r="G2526" s="912">
        <f>GLOBAL_DER_FEV_2023!G2526</f>
        <v>0</v>
      </c>
      <c r="H2526" s="901">
        <f>GLOBAL_DER_FEV_2023!H2526</f>
        <v>0</v>
      </c>
      <c r="I2526" s="901" t="str">
        <f>GLOBAL_DER_FEV_2023!I2526</f>
        <v/>
      </c>
      <c r="J2526" s="902">
        <f>GLOBAL_DER_FEV_2023!J2526</f>
        <v>0</v>
      </c>
      <c r="K2526" s="903" t="str">
        <f>GLOBAL_DER_FEV_2023!K2526</f>
        <v xml:space="preserve">     </v>
      </c>
      <c r="L2526" s="1137"/>
      <c r="M2526" s="1175">
        <f t="shared" si="192"/>
        <v>0</v>
      </c>
      <c r="N2526" s="1167">
        <f t="shared" si="191"/>
        <v>0</v>
      </c>
      <c r="O2526" s="1165"/>
      <c r="Q2526" s="317" t="str">
        <f t="shared" si="193"/>
        <v/>
      </c>
      <c r="R2526" s="317" t="str">
        <f t="shared" si="194"/>
        <v/>
      </c>
      <c r="S2526" s="317" t="str">
        <f t="shared" si="195"/>
        <v/>
      </c>
      <c r="T2526" s="317" t="str">
        <f>GLOBAL_DER_FEV_2023!S2526</f>
        <v/>
      </c>
      <c r="W2526" s="582">
        <v>0</v>
      </c>
      <c r="X2526" s="580"/>
      <c r="Y2526" s="583">
        <f>IF(GLOBAL_DER_FEV_2023!W2526=0,0,IF(GLOBAL_DER_FEV_2023!W2526&gt;0,"c","b"))</f>
        <v>0</v>
      </c>
    </row>
    <row r="2527" spans="1:25" ht="13.5" hidden="1" thickBot="1" x14ac:dyDescent="0.25">
      <c r="A2527" s="327" t="s">
        <v>152</v>
      </c>
      <c r="B2527" s="1183" t="str">
        <f>GLOBAL_DER_FEV_2023!B2527</f>
        <v/>
      </c>
      <c r="C2527" s="1184" t="str">
        <f>GLOBAL_DER_FEV_2023!C2527</f>
        <v/>
      </c>
      <c r="D2527" s="1141">
        <f>GLOBAL_DER_FEV_2023!D2527</f>
        <v>0</v>
      </c>
      <c r="E2527" s="907">
        <f>GLOBAL_DER_FEV_2023!E2527</f>
        <v>0</v>
      </c>
      <c r="F2527" s="908">
        <f>GLOBAL_DER_FEV_2023!F2527</f>
        <v>0</v>
      </c>
      <c r="G2527" s="912">
        <f>GLOBAL_DER_FEV_2023!G2527</f>
        <v>0</v>
      </c>
      <c r="H2527" s="901">
        <f>GLOBAL_DER_FEV_2023!H2527</f>
        <v>0</v>
      </c>
      <c r="I2527" s="901" t="str">
        <f>GLOBAL_DER_FEV_2023!I2527</f>
        <v/>
      </c>
      <c r="J2527" s="902">
        <f>GLOBAL_DER_FEV_2023!J2527</f>
        <v>0</v>
      </c>
      <c r="K2527" s="903" t="str">
        <f>GLOBAL_DER_FEV_2023!K2527</f>
        <v xml:space="preserve">     </v>
      </c>
      <c r="L2527" s="1137"/>
      <c r="M2527" s="1175">
        <f t="shared" si="192"/>
        <v>0</v>
      </c>
      <c r="N2527" s="1167">
        <f t="shared" si="191"/>
        <v>0</v>
      </c>
      <c r="O2527" s="1165"/>
      <c r="Q2527" s="317" t="str">
        <f t="shared" si="193"/>
        <v/>
      </c>
      <c r="R2527" s="317" t="str">
        <f t="shared" si="194"/>
        <v/>
      </c>
      <c r="S2527" s="317" t="str">
        <f t="shared" si="195"/>
        <v/>
      </c>
      <c r="T2527" s="317" t="str">
        <f>GLOBAL_DER_FEV_2023!S2527</f>
        <v/>
      </c>
      <c r="W2527" s="582">
        <v>0</v>
      </c>
      <c r="X2527" s="580"/>
      <c r="Y2527" s="583">
        <f>IF(GLOBAL_DER_FEV_2023!W2527=0,0,IF(GLOBAL_DER_FEV_2023!W2527&gt;0,"c","b"))</f>
        <v>0</v>
      </c>
    </row>
    <row r="2528" spans="1:25" ht="13.5" hidden="1" thickBot="1" x14ac:dyDescent="0.25">
      <c r="A2528" s="327" t="s">
        <v>152</v>
      </c>
      <c r="B2528" s="1183" t="str">
        <f>GLOBAL_DER_FEV_2023!B2528</f>
        <v/>
      </c>
      <c r="C2528" s="1184" t="str">
        <f>GLOBAL_DER_FEV_2023!C2528</f>
        <v/>
      </c>
      <c r="D2528" s="1141">
        <f>GLOBAL_DER_FEV_2023!D2528</f>
        <v>0</v>
      </c>
      <c r="E2528" s="907">
        <f>GLOBAL_DER_FEV_2023!E2528</f>
        <v>0</v>
      </c>
      <c r="F2528" s="908">
        <f>GLOBAL_DER_FEV_2023!F2528</f>
        <v>0</v>
      </c>
      <c r="G2528" s="912">
        <f>GLOBAL_DER_FEV_2023!G2528</f>
        <v>0</v>
      </c>
      <c r="H2528" s="901">
        <f>GLOBAL_DER_FEV_2023!H2528</f>
        <v>0</v>
      </c>
      <c r="I2528" s="901" t="str">
        <f>GLOBAL_DER_FEV_2023!I2528</f>
        <v/>
      </c>
      <c r="J2528" s="902">
        <f>GLOBAL_DER_FEV_2023!J2528</f>
        <v>0</v>
      </c>
      <c r="K2528" s="903" t="str">
        <f>GLOBAL_DER_FEV_2023!K2528</f>
        <v xml:space="preserve">     </v>
      </c>
      <c r="L2528" s="1137"/>
      <c r="M2528" s="1175">
        <f t="shared" si="192"/>
        <v>0</v>
      </c>
      <c r="N2528" s="1167">
        <f t="shared" si="191"/>
        <v>0</v>
      </c>
      <c r="O2528" s="1165"/>
      <c r="Q2528" s="317" t="str">
        <f t="shared" si="193"/>
        <v/>
      </c>
      <c r="R2528" s="317" t="str">
        <f t="shared" si="194"/>
        <v/>
      </c>
      <c r="S2528" s="317" t="str">
        <f t="shared" si="195"/>
        <v/>
      </c>
      <c r="T2528" s="317" t="str">
        <f>GLOBAL_DER_FEV_2023!S2528</f>
        <v/>
      </c>
      <c r="W2528" s="582">
        <v>0</v>
      </c>
      <c r="X2528" s="580"/>
      <c r="Y2528" s="583">
        <f>IF(GLOBAL_DER_FEV_2023!W2528=0,0,IF(GLOBAL_DER_FEV_2023!W2528&gt;0,"c","b"))</f>
        <v>0</v>
      </c>
    </row>
    <row r="2529" spans="1:25" ht="13.5" hidden="1" thickBot="1" x14ac:dyDescent="0.25">
      <c r="A2529" s="327" t="s">
        <v>152</v>
      </c>
      <c r="B2529" s="1183" t="str">
        <f>GLOBAL_DER_FEV_2023!B2529</f>
        <v/>
      </c>
      <c r="C2529" s="1184" t="str">
        <f>GLOBAL_DER_FEV_2023!C2529</f>
        <v/>
      </c>
      <c r="D2529" s="1141">
        <f>GLOBAL_DER_FEV_2023!D2529</f>
        <v>0</v>
      </c>
      <c r="E2529" s="907">
        <f>GLOBAL_DER_FEV_2023!E2529</f>
        <v>0</v>
      </c>
      <c r="F2529" s="908">
        <f>GLOBAL_DER_FEV_2023!F2529</f>
        <v>0</v>
      </c>
      <c r="G2529" s="912">
        <f>GLOBAL_DER_FEV_2023!G2529</f>
        <v>0</v>
      </c>
      <c r="H2529" s="901">
        <f>GLOBAL_DER_FEV_2023!H2529</f>
        <v>0</v>
      </c>
      <c r="I2529" s="901" t="str">
        <f>GLOBAL_DER_FEV_2023!I2529</f>
        <v/>
      </c>
      <c r="J2529" s="902">
        <f>GLOBAL_DER_FEV_2023!J2529</f>
        <v>0</v>
      </c>
      <c r="K2529" s="903" t="str">
        <f>GLOBAL_DER_FEV_2023!K2529</f>
        <v xml:space="preserve">     </v>
      </c>
      <c r="L2529" s="1137"/>
      <c r="M2529" s="1175">
        <f t="shared" si="192"/>
        <v>0</v>
      </c>
      <c r="N2529" s="1167">
        <f t="shared" ref="N2529:N2546" si="196">IF(ISBLANK(L2529),0,IF(W2529=0,ROUND(L2529*M2529,2),IF(W2529="b",ROUNDDOWN(L2529*M2529,2),ROUNDUP(L2529*M2529,2))))</f>
        <v>0</v>
      </c>
      <c r="O2529" s="1165"/>
      <c r="Q2529" s="317" t="str">
        <f t="shared" si="193"/>
        <v/>
      </c>
      <c r="R2529" s="317" t="str">
        <f t="shared" si="194"/>
        <v/>
      </c>
      <c r="S2529" s="317" t="str">
        <f t="shared" si="195"/>
        <v/>
      </c>
      <c r="T2529" s="317" t="str">
        <f>GLOBAL_DER_FEV_2023!S2529</f>
        <v/>
      </c>
      <c r="W2529" s="582">
        <v>0</v>
      </c>
      <c r="X2529" s="580"/>
      <c r="Y2529" s="583">
        <f>IF(GLOBAL_DER_FEV_2023!W2529=0,0,IF(GLOBAL_DER_FEV_2023!W2529&gt;0,"c","b"))</f>
        <v>0</v>
      </c>
    </row>
    <row r="2530" spans="1:25" ht="13.5" hidden="1" thickBot="1" x14ac:dyDescent="0.25">
      <c r="A2530" s="327" t="s">
        <v>152</v>
      </c>
      <c r="B2530" s="1183" t="str">
        <f>GLOBAL_DER_FEV_2023!B2530</f>
        <v/>
      </c>
      <c r="C2530" s="1184" t="str">
        <f>GLOBAL_DER_FEV_2023!C2530</f>
        <v/>
      </c>
      <c r="D2530" s="1141">
        <f>GLOBAL_DER_FEV_2023!D2530</f>
        <v>0</v>
      </c>
      <c r="E2530" s="907">
        <f>GLOBAL_DER_FEV_2023!E2530</f>
        <v>0</v>
      </c>
      <c r="F2530" s="908">
        <f>GLOBAL_DER_FEV_2023!F2530</f>
        <v>0</v>
      </c>
      <c r="G2530" s="912">
        <f>GLOBAL_DER_FEV_2023!G2530</f>
        <v>0</v>
      </c>
      <c r="H2530" s="901">
        <f>GLOBAL_DER_FEV_2023!H2530</f>
        <v>0</v>
      </c>
      <c r="I2530" s="901" t="str">
        <f>GLOBAL_DER_FEV_2023!I2530</f>
        <v/>
      </c>
      <c r="J2530" s="902">
        <f>GLOBAL_DER_FEV_2023!J2530</f>
        <v>0</v>
      </c>
      <c r="K2530" s="903" t="str">
        <f>GLOBAL_DER_FEV_2023!K2530</f>
        <v xml:space="preserve">     </v>
      </c>
      <c r="L2530" s="1137"/>
      <c r="M2530" s="1175">
        <f t="shared" si="192"/>
        <v>0</v>
      </c>
      <c r="N2530" s="1167">
        <f t="shared" si="196"/>
        <v>0</v>
      </c>
      <c r="O2530" s="1165"/>
      <c r="Q2530" s="317" t="str">
        <f t="shared" si="193"/>
        <v/>
      </c>
      <c r="R2530" s="317" t="str">
        <f t="shared" si="194"/>
        <v/>
      </c>
      <c r="S2530" s="317" t="str">
        <f t="shared" si="195"/>
        <v/>
      </c>
      <c r="T2530" s="317" t="str">
        <f>GLOBAL_DER_FEV_2023!S2530</f>
        <v/>
      </c>
      <c r="W2530" s="582">
        <v>0</v>
      </c>
      <c r="X2530" s="580"/>
      <c r="Y2530" s="583">
        <f>IF(GLOBAL_DER_FEV_2023!W2530=0,0,IF(GLOBAL_DER_FEV_2023!W2530&gt;0,"c","b"))</f>
        <v>0</v>
      </c>
    </row>
    <row r="2531" spans="1:25" ht="13.5" hidden="1" thickBot="1" x14ac:dyDescent="0.25">
      <c r="A2531" s="327" t="s">
        <v>152</v>
      </c>
      <c r="B2531" s="1183" t="str">
        <f>GLOBAL_DER_FEV_2023!B2531</f>
        <v/>
      </c>
      <c r="C2531" s="1184" t="str">
        <f>GLOBAL_DER_FEV_2023!C2531</f>
        <v/>
      </c>
      <c r="D2531" s="1141">
        <f>GLOBAL_DER_FEV_2023!D2531</f>
        <v>0</v>
      </c>
      <c r="E2531" s="907">
        <f>GLOBAL_DER_FEV_2023!E2531</f>
        <v>0</v>
      </c>
      <c r="F2531" s="908">
        <f>GLOBAL_DER_FEV_2023!F2531</f>
        <v>0</v>
      </c>
      <c r="G2531" s="912">
        <f>GLOBAL_DER_FEV_2023!G2531</f>
        <v>0</v>
      </c>
      <c r="H2531" s="901">
        <f>GLOBAL_DER_FEV_2023!H2531</f>
        <v>0</v>
      </c>
      <c r="I2531" s="901" t="str">
        <f>GLOBAL_DER_FEV_2023!I2531</f>
        <v/>
      </c>
      <c r="J2531" s="902">
        <f>GLOBAL_DER_FEV_2023!J2531</f>
        <v>0</v>
      </c>
      <c r="K2531" s="903" t="str">
        <f>GLOBAL_DER_FEV_2023!K2531</f>
        <v xml:space="preserve">     </v>
      </c>
      <c r="L2531" s="1137"/>
      <c r="M2531" s="1175">
        <f t="shared" si="192"/>
        <v>0</v>
      </c>
      <c r="N2531" s="1167">
        <f t="shared" si="196"/>
        <v>0</v>
      </c>
      <c r="O2531" s="1165"/>
      <c r="Q2531" s="317" t="str">
        <f t="shared" si="193"/>
        <v/>
      </c>
      <c r="R2531" s="317" t="str">
        <f t="shared" si="194"/>
        <v/>
      </c>
      <c r="S2531" s="317" t="str">
        <f t="shared" si="195"/>
        <v/>
      </c>
      <c r="T2531" s="317" t="str">
        <f>GLOBAL_DER_FEV_2023!S2531</f>
        <v/>
      </c>
      <c r="W2531" s="582">
        <v>0</v>
      </c>
      <c r="X2531" s="580"/>
      <c r="Y2531" s="583">
        <f>IF(GLOBAL_DER_FEV_2023!W2531=0,0,IF(GLOBAL_DER_FEV_2023!W2531&gt;0,"c","b"))</f>
        <v>0</v>
      </c>
    </row>
    <row r="2532" spans="1:25" ht="13.5" hidden="1" thickBot="1" x14ac:dyDescent="0.25">
      <c r="A2532" s="327" t="s">
        <v>152</v>
      </c>
      <c r="B2532" s="1183" t="str">
        <f>GLOBAL_DER_FEV_2023!B2532</f>
        <v/>
      </c>
      <c r="C2532" s="1184" t="str">
        <f>GLOBAL_DER_FEV_2023!C2532</f>
        <v/>
      </c>
      <c r="D2532" s="1141">
        <f>GLOBAL_DER_FEV_2023!D2532</f>
        <v>0</v>
      </c>
      <c r="E2532" s="907">
        <f>GLOBAL_DER_FEV_2023!E2532</f>
        <v>0</v>
      </c>
      <c r="F2532" s="908">
        <f>GLOBAL_DER_FEV_2023!F2532</f>
        <v>0</v>
      </c>
      <c r="G2532" s="912">
        <f>GLOBAL_DER_FEV_2023!G2532</f>
        <v>0</v>
      </c>
      <c r="H2532" s="901">
        <f>GLOBAL_DER_FEV_2023!H2532</f>
        <v>0</v>
      </c>
      <c r="I2532" s="901" t="str">
        <f>GLOBAL_DER_FEV_2023!I2532</f>
        <v/>
      </c>
      <c r="J2532" s="902">
        <f>GLOBAL_DER_FEV_2023!J2532</f>
        <v>0</v>
      </c>
      <c r="K2532" s="903" t="str">
        <f>GLOBAL_DER_FEV_2023!K2532</f>
        <v xml:space="preserve">     </v>
      </c>
      <c r="L2532" s="1137"/>
      <c r="M2532" s="1175">
        <f t="shared" si="192"/>
        <v>0</v>
      </c>
      <c r="N2532" s="1167">
        <f t="shared" si="196"/>
        <v>0</v>
      </c>
      <c r="O2532" s="1165"/>
      <c r="Q2532" s="317" t="str">
        <f t="shared" si="193"/>
        <v/>
      </c>
      <c r="R2532" s="317" t="str">
        <f t="shared" si="194"/>
        <v/>
      </c>
      <c r="S2532" s="317" t="str">
        <f t="shared" si="195"/>
        <v/>
      </c>
      <c r="T2532" s="317" t="str">
        <f>GLOBAL_DER_FEV_2023!S2532</f>
        <v/>
      </c>
      <c r="W2532" s="582">
        <v>0</v>
      </c>
      <c r="X2532" s="580"/>
      <c r="Y2532" s="583">
        <f>IF(GLOBAL_DER_FEV_2023!W2532=0,0,IF(GLOBAL_DER_FEV_2023!W2532&gt;0,"c","b"))</f>
        <v>0</v>
      </c>
    </row>
    <row r="2533" spans="1:25" ht="13.5" hidden="1" thickBot="1" x14ac:dyDescent="0.25">
      <c r="A2533" s="327" t="s">
        <v>152</v>
      </c>
      <c r="B2533" s="1183" t="str">
        <f>GLOBAL_DER_FEV_2023!B2533</f>
        <v/>
      </c>
      <c r="C2533" s="1184" t="str">
        <f>GLOBAL_DER_FEV_2023!C2533</f>
        <v/>
      </c>
      <c r="D2533" s="1141">
        <f>GLOBAL_DER_FEV_2023!D2533</f>
        <v>0</v>
      </c>
      <c r="E2533" s="907">
        <f>GLOBAL_DER_FEV_2023!E2533</f>
        <v>0</v>
      </c>
      <c r="F2533" s="908">
        <f>GLOBAL_DER_FEV_2023!F2533</f>
        <v>0</v>
      </c>
      <c r="G2533" s="912">
        <f>GLOBAL_DER_FEV_2023!G2533</f>
        <v>0</v>
      </c>
      <c r="H2533" s="901">
        <f>GLOBAL_DER_FEV_2023!H2533</f>
        <v>0</v>
      </c>
      <c r="I2533" s="901" t="str">
        <f>GLOBAL_DER_FEV_2023!I2533</f>
        <v/>
      </c>
      <c r="J2533" s="902">
        <f>GLOBAL_DER_FEV_2023!J2533</f>
        <v>0</v>
      </c>
      <c r="K2533" s="903" t="str">
        <f>GLOBAL_DER_FEV_2023!K2533</f>
        <v xml:space="preserve">     </v>
      </c>
      <c r="L2533" s="1137"/>
      <c r="M2533" s="1175">
        <f t="shared" si="192"/>
        <v>0</v>
      </c>
      <c r="N2533" s="1167">
        <f t="shared" si="196"/>
        <v>0</v>
      </c>
      <c r="O2533" s="1165"/>
      <c r="Q2533" s="317" t="str">
        <f t="shared" si="193"/>
        <v/>
      </c>
      <c r="R2533" s="317" t="str">
        <f t="shared" si="194"/>
        <v/>
      </c>
      <c r="S2533" s="317" t="str">
        <f t="shared" si="195"/>
        <v/>
      </c>
      <c r="T2533" s="317" t="str">
        <f>GLOBAL_DER_FEV_2023!S2533</f>
        <v/>
      </c>
      <c r="W2533" s="582">
        <v>0</v>
      </c>
      <c r="X2533" s="580"/>
      <c r="Y2533" s="583">
        <f>IF(GLOBAL_DER_FEV_2023!W2533=0,0,IF(GLOBAL_DER_FEV_2023!W2533&gt;0,"c","b"))</f>
        <v>0</v>
      </c>
    </row>
    <row r="2534" spans="1:25" ht="13.5" hidden="1" thickBot="1" x14ac:dyDescent="0.25">
      <c r="A2534" s="327" t="s">
        <v>152</v>
      </c>
      <c r="B2534" s="1183" t="str">
        <f>GLOBAL_DER_FEV_2023!B2534</f>
        <v/>
      </c>
      <c r="C2534" s="1184" t="str">
        <f>GLOBAL_DER_FEV_2023!C2534</f>
        <v/>
      </c>
      <c r="D2534" s="1141">
        <f>GLOBAL_DER_FEV_2023!D2534</f>
        <v>0</v>
      </c>
      <c r="E2534" s="907">
        <f>GLOBAL_DER_FEV_2023!E2534</f>
        <v>0</v>
      </c>
      <c r="F2534" s="908">
        <f>GLOBAL_DER_FEV_2023!F2534</f>
        <v>0</v>
      </c>
      <c r="G2534" s="912">
        <f>GLOBAL_DER_FEV_2023!G2534</f>
        <v>0</v>
      </c>
      <c r="H2534" s="901">
        <f>GLOBAL_DER_FEV_2023!H2534</f>
        <v>0</v>
      </c>
      <c r="I2534" s="901" t="str">
        <f>GLOBAL_DER_FEV_2023!I2534</f>
        <v/>
      </c>
      <c r="J2534" s="902">
        <f>GLOBAL_DER_FEV_2023!J2534</f>
        <v>0</v>
      </c>
      <c r="K2534" s="903" t="str">
        <f>GLOBAL_DER_FEV_2023!K2534</f>
        <v xml:space="preserve">     </v>
      </c>
      <c r="L2534" s="1137"/>
      <c r="M2534" s="1175">
        <f t="shared" si="192"/>
        <v>0</v>
      </c>
      <c r="N2534" s="1167">
        <f t="shared" si="196"/>
        <v>0</v>
      </c>
      <c r="O2534" s="1165"/>
      <c r="Q2534" s="317" t="str">
        <f t="shared" si="193"/>
        <v/>
      </c>
      <c r="R2534" s="317" t="str">
        <f t="shared" si="194"/>
        <v/>
      </c>
      <c r="S2534" s="317" t="str">
        <f t="shared" si="195"/>
        <v/>
      </c>
      <c r="T2534" s="317" t="str">
        <f>GLOBAL_DER_FEV_2023!S2534</f>
        <v/>
      </c>
      <c r="W2534" s="582">
        <v>0</v>
      </c>
      <c r="X2534" s="580"/>
      <c r="Y2534" s="583">
        <f>IF(GLOBAL_DER_FEV_2023!W2534=0,0,IF(GLOBAL_DER_FEV_2023!W2534&gt;0,"c","b"))</f>
        <v>0</v>
      </c>
    </row>
    <row r="2535" spans="1:25" ht="13.5" hidden="1" thickBot="1" x14ac:dyDescent="0.25">
      <c r="A2535" s="327" t="s">
        <v>152</v>
      </c>
      <c r="B2535" s="1183" t="str">
        <f>GLOBAL_DER_FEV_2023!B2535</f>
        <v/>
      </c>
      <c r="C2535" s="1184" t="str">
        <f>GLOBAL_DER_FEV_2023!C2535</f>
        <v/>
      </c>
      <c r="D2535" s="1141">
        <f>GLOBAL_DER_FEV_2023!D2535</f>
        <v>0</v>
      </c>
      <c r="E2535" s="907">
        <f>GLOBAL_DER_FEV_2023!E2535</f>
        <v>0</v>
      </c>
      <c r="F2535" s="908">
        <f>GLOBAL_DER_FEV_2023!F2535</f>
        <v>0</v>
      </c>
      <c r="G2535" s="912">
        <f>GLOBAL_DER_FEV_2023!G2535</f>
        <v>0</v>
      </c>
      <c r="H2535" s="901">
        <f>GLOBAL_DER_FEV_2023!H2535</f>
        <v>0</v>
      </c>
      <c r="I2535" s="901" t="str">
        <f>GLOBAL_DER_FEV_2023!I2535</f>
        <v/>
      </c>
      <c r="J2535" s="902">
        <f>GLOBAL_DER_FEV_2023!J2535</f>
        <v>0</v>
      </c>
      <c r="K2535" s="903" t="str">
        <f>GLOBAL_DER_FEV_2023!K2535</f>
        <v xml:space="preserve">     </v>
      </c>
      <c r="L2535" s="1137"/>
      <c r="M2535" s="1175">
        <f t="shared" si="192"/>
        <v>0</v>
      </c>
      <c r="N2535" s="1167">
        <f t="shared" si="196"/>
        <v>0</v>
      </c>
      <c r="O2535" s="1165"/>
      <c r="Q2535" s="317" t="str">
        <f t="shared" si="193"/>
        <v/>
      </c>
      <c r="R2535" s="317" t="str">
        <f t="shared" si="194"/>
        <v/>
      </c>
      <c r="S2535" s="317" t="str">
        <f t="shared" si="195"/>
        <v/>
      </c>
      <c r="T2535" s="317" t="str">
        <f>GLOBAL_DER_FEV_2023!S2535</f>
        <v/>
      </c>
      <c r="W2535" s="582">
        <v>0</v>
      </c>
      <c r="X2535" s="580"/>
      <c r="Y2535" s="583">
        <f>IF(GLOBAL_DER_FEV_2023!W2535=0,0,IF(GLOBAL_DER_FEV_2023!W2535&gt;0,"c","b"))</f>
        <v>0</v>
      </c>
    </row>
    <row r="2536" spans="1:25" ht="13.5" hidden="1" thickBot="1" x14ac:dyDescent="0.25">
      <c r="A2536" s="327" t="s">
        <v>152</v>
      </c>
      <c r="B2536" s="1183" t="str">
        <f>GLOBAL_DER_FEV_2023!B2536</f>
        <v/>
      </c>
      <c r="C2536" s="1184" t="str">
        <f>GLOBAL_DER_FEV_2023!C2536</f>
        <v/>
      </c>
      <c r="D2536" s="1141">
        <f>GLOBAL_DER_FEV_2023!D2536</f>
        <v>0</v>
      </c>
      <c r="E2536" s="907">
        <f>GLOBAL_DER_FEV_2023!E2536</f>
        <v>0</v>
      </c>
      <c r="F2536" s="908">
        <f>GLOBAL_DER_FEV_2023!F2536</f>
        <v>0</v>
      </c>
      <c r="G2536" s="912">
        <f>GLOBAL_DER_FEV_2023!G2536</f>
        <v>0</v>
      </c>
      <c r="H2536" s="901">
        <f>GLOBAL_DER_FEV_2023!H2536</f>
        <v>0</v>
      </c>
      <c r="I2536" s="901" t="str">
        <f>GLOBAL_DER_FEV_2023!I2536</f>
        <v/>
      </c>
      <c r="J2536" s="902">
        <f>GLOBAL_DER_FEV_2023!J2536</f>
        <v>0</v>
      </c>
      <c r="K2536" s="903" t="str">
        <f>GLOBAL_DER_FEV_2023!K2536</f>
        <v xml:space="preserve">     </v>
      </c>
      <c r="L2536" s="1137"/>
      <c r="M2536" s="1175">
        <f t="shared" si="192"/>
        <v>0</v>
      </c>
      <c r="N2536" s="1167">
        <f t="shared" si="196"/>
        <v>0</v>
      </c>
      <c r="O2536" s="1165"/>
      <c r="Q2536" s="317" t="str">
        <f t="shared" si="193"/>
        <v/>
      </c>
      <c r="R2536" s="317" t="str">
        <f t="shared" si="194"/>
        <v/>
      </c>
      <c r="S2536" s="317" t="str">
        <f t="shared" si="195"/>
        <v/>
      </c>
      <c r="T2536" s="317" t="str">
        <f>GLOBAL_DER_FEV_2023!S2536</f>
        <v/>
      </c>
      <c r="W2536" s="582">
        <v>0</v>
      </c>
      <c r="X2536" s="580"/>
      <c r="Y2536" s="583">
        <f>IF(GLOBAL_DER_FEV_2023!W2536=0,0,IF(GLOBAL_DER_FEV_2023!W2536&gt;0,"c","b"))</f>
        <v>0</v>
      </c>
    </row>
    <row r="2537" spans="1:25" ht="13.5" hidden="1" thickBot="1" x14ac:dyDescent="0.25">
      <c r="A2537" s="327" t="s">
        <v>152</v>
      </c>
      <c r="B2537" s="1183" t="str">
        <f>GLOBAL_DER_FEV_2023!B2537</f>
        <v/>
      </c>
      <c r="C2537" s="1184" t="str">
        <f>GLOBAL_DER_FEV_2023!C2537</f>
        <v/>
      </c>
      <c r="D2537" s="1141">
        <f>GLOBAL_DER_FEV_2023!D2537</f>
        <v>0</v>
      </c>
      <c r="E2537" s="907">
        <f>GLOBAL_DER_FEV_2023!E2537</f>
        <v>0</v>
      </c>
      <c r="F2537" s="908">
        <f>GLOBAL_DER_FEV_2023!F2537</f>
        <v>0</v>
      </c>
      <c r="G2537" s="912">
        <f>GLOBAL_DER_FEV_2023!G2537</f>
        <v>0</v>
      </c>
      <c r="H2537" s="901">
        <f>GLOBAL_DER_FEV_2023!H2537</f>
        <v>0</v>
      </c>
      <c r="I2537" s="901" t="str">
        <f>GLOBAL_DER_FEV_2023!I2537</f>
        <v/>
      </c>
      <c r="J2537" s="902">
        <f>GLOBAL_DER_FEV_2023!J2537</f>
        <v>0</v>
      </c>
      <c r="K2537" s="903" t="str">
        <f>GLOBAL_DER_FEV_2023!K2537</f>
        <v xml:space="preserve">     </v>
      </c>
      <c r="L2537" s="1137"/>
      <c r="M2537" s="1175">
        <f t="shared" si="192"/>
        <v>0</v>
      </c>
      <c r="N2537" s="1167">
        <f t="shared" si="196"/>
        <v>0</v>
      </c>
      <c r="O2537" s="1165"/>
      <c r="Q2537" s="317" t="str">
        <f t="shared" si="193"/>
        <v/>
      </c>
      <c r="R2537" s="317" t="str">
        <f t="shared" si="194"/>
        <v/>
      </c>
      <c r="S2537" s="317" t="str">
        <f t="shared" si="195"/>
        <v/>
      </c>
      <c r="T2537" s="317" t="str">
        <f>GLOBAL_DER_FEV_2023!S2537</f>
        <v/>
      </c>
      <c r="W2537" s="582">
        <v>0</v>
      </c>
      <c r="X2537" s="580"/>
      <c r="Y2537" s="583">
        <f>IF(GLOBAL_DER_FEV_2023!W2537=0,0,IF(GLOBAL_DER_FEV_2023!W2537&gt;0,"c","b"))</f>
        <v>0</v>
      </c>
    </row>
    <row r="2538" spans="1:25" ht="13.5" hidden="1" thickBot="1" x14ac:dyDescent="0.25">
      <c r="A2538" s="640" t="s">
        <v>165</v>
      </c>
      <c r="B2538" s="1183" t="str">
        <f>GLOBAL_DER_FEV_2023!B2538</f>
        <v/>
      </c>
      <c r="C2538" s="1184" t="str">
        <f>GLOBAL_DER_FEV_2023!C2538</f>
        <v/>
      </c>
      <c r="D2538" s="1141">
        <f>GLOBAL_DER_FEV_2023!D2538</f>
        <v>0</v>
      </c>
      <c r="E2538" s="907">
        <f>GLOBAL_DER_FEV_2023!E2538</f>
        <v>0</v>
      </c>
      <c r="F2538" s="908">
        <f>GLOBAL_DER_FEV_2023!F2538</f>
        <v>0</v>
      </c>
      <c r="G2538" s="912">
        <f>GLOBAL_DER_FEV_2023!G2538</f>
        <v>0</v>
      </c>
      <c r="H2538" s="901">
        <f>GLOBAL_DER_FEV_2023!H2538</f>
        <v>0</v>
      </c>
      <c r="I2538" s="901" t="str">
        <f>GLOBAL_DER_FEV_2023!I2538</f>
        <v/>
      </c>
      <c r="J2538" s="902">
        <f>GLOBAL_DER_FEV_2023!J2538</f>
        <v>0</v>
      </c>
      <c r="K2538" s="903" t="str">
        <f>GLOBAL_DER_FEV_2023!K2538</f>
        <v xml:space="preserve">     </v>
      </c>
      <c r="L2538" s="1137"/>
      <c r="M2538" s="1175">
        <f t="shared" si="192"/>
        <v>0</v>
      </c>
      <c r="N2538" s="1167">
        <f t="shared" si="196"/>
        <v>0</v>
      </c>
      <c r="O2538" s="1165"/>
      <c r="Q2538" s="317" t="str">
        <f t="shared" si="193"/>
        <v/>
      </c>
      <c r="R2538" s="317" t="str">
        <f t="shared" si="194"/>
        <v/>
      </c>
      <c r="S2538" s="317" t="str">
        <f t="shared" si="195"/>
        <v/>
      </c>
      <c r="T2538" s="317" t="str">
        <f>GLOBAL_DER_FEV_2023!S2538</f>
        <v/>
      </c>
      <c r="W2538" s="582">
        <v>0</v>
      </c>
      <c r="X2538" s="580"/>
      <c r="Y2538" s="583">
        <f>IF(GLOBAL_DER_FEV_2023!W2538=0,0,IF(GLOBAL_DER_FEV_2023!W2538&gt;0,"c","b"))</f>
        <v>0</v>
      </c>
    </row>
    <row r="2539" spans="1:25" ht="13.5" hidden="1" thickBot="1" x14ac:dyDescent="0.25">
      <c r="A2539" s="640" t="s">
        <v>165</v>
      </c>
      <c r="B2539" s="1183" t="str">
        <f>GLOBAL_DER_FEV_2023!B2539</f>
        <v/>
      </c>
      <c r="C2539" s="1184" t="str">
        <f>GLOBAL_DER_FEV_2023!C2539</f>
        <v/>
      </c>
      <c r="D2539" s="1141">
        <f>GLOBAL_DER_FEV_2023!D2539</f>
        <v>0</v>
      </c>
      <c r="E2539" s="907">
        <f>GLOBAL_DER_FEV_2023!E2539</f>
        <v>0</v>
      </c>
      <c r="F2539" s="908">
        <f>GLOBAL_DER_FEV_2023!F2539</f>
        <v>0</v>
      </c>
      <c r="G2539" s="912">
        <f>GLOBAL_DER_FEV_2023!G2539</f>
        <v>0</v>
      </c>
      <c r="H2539" s="901">
        <f>GLOBAL_DER_FEV_2023!H2539</f>
        <v>0</v>
      </c>
      <c r="I2539" s="901" t="str">
        <f>GLOBAL_DER_FEV_2023!I2539</f>
        <v/>
      </c>
      <c r="J2539" s="902">
        <f>GLOBAL_DER_FEV_2023!J2539</f>
        <v>0</v>
      </c>
      <c r="K2539" s="903" t="str">
        <f>GLOBAL_DER_FEV_2023!K2539</f>
        <v xml:space="preserve">     </v>
      </c>
      <c r="L2539" s="1137"/>
      <c r="M2539" s="1175">
        <f t="shared" si="192"/>
        <v>0</v>
      </c>
      <c r="N2539" s="1167">
        <f t="shared" si="196"/>
        <v>0</v>
      </c>
      <c r="O2539" s="1165"/>
      <c r="Q2539" s="317" t="str">
        <f t="shared" si="193"/>
        <v/>
      </c>
      <c r="R2539" s="317" t="str">
        <f t="shared" si="194"/>
        <v/>
      </c>
      <c r="S2539" s="317" t="str">
        <f t="shared" si="195"/>
        <v/>
      </c>
      <c r="T2539" s="317" t="str">
        <f>GLOBAL_DER_FEV_2023!S2539</f>
        <v/>
      </c>
      <c r="W2539" s="582">
        <v>0</v>
      </c>
      <c r="X2539" s="580"/>
      <c r="Y2539" s="583">
        <f>IF(GLOBAL_DER_FEV_2023!W2539=0,0,IF(GLOBAL_DER_FEV_2023!W2539&gt;0,"c","b"))</f>
        <v>0</v>
      </c>
    </row>
    <row r="2540" spans="1:25" ht="13.5" hidden="1" thickBot="1" x14ac:dyDescent="0.25">
      <c r="A2540" s="640" t="s">
        <v>165</v>
      </c>
      <c r="B2540" s="1183" t="str">
        <f>GLOBAL_DER_FEV_2023!B2540</f>
        <v/>
      </c>
      <c r="C2540" s="1184" t="str">
        <f>GLOBAL_DER_FEV_2023!C2540</f>
        <v/>
      </c>
      <c r="D2540" s="1141">
        <f>GLOBAL_DER_FEV_2023!D2540</f>
        <v>0</v>
      </c>
      <c r="E2540" s="907">
        <f>GLOBAL_DER_FEV_2023!E2540</f>
        <v>0</v>
      </c>
      <c r="F2540" s="908">
        <f>GLOBAL_DER_FEV_2023!F2540</f>
        <v>0</v>
      </c>
      <c r="G2540" s="912">
        <f>GLOBAL_DER_FEV_2023!G2540</f>
        <v>0</v>
      </c>
      <c r="H2540" s="901">
        <f>GLOBAL_DER_FEV_2023!H2540</f>
        <v>0</v>
      </c>
      <c r="I2540" s="901" t="str">
        <f>GLOBAL_DER_FEV_2023!I2540</f>
        <v/>
      </c>
      <c r="J2540" s="902">
        <f>GLOBAL_DER_FEV_2023!J2540</f>
        <v>0</v>
      </c>
      <c r="K2540" s="903" t="str">
        <f>GLOBAL_DER_FEV_2023!K2540</f>
        <v xml:space="preserve">     </v>
      </c>
      <c r="L2540" s="1137"/>
      <c r="M2540" s="1175">
        <f t="shared" si="192"/>
        <v>0</v>
      </c>
      <c r="N2540" s="1167">
        <f t="shared" si="196"/>
        <v>0</v>
      </c>
      <c r="O2540" s="1165"/>
      <c r="Q2540" s="317" t="str">
        <f t="shared" si="193"/>
        <v/>
      </c>
      <c r="R2540" s="317" t="str">
        <f t="shared" si="194"/>
        <v/>
      </c>
      <c r="S2540" s="317" t="str">
        <f t="shared" si="195"/>
        <v/>
      </c>
      <c r="T2540" s="317" t="str">
        <f>GLOBAL_DER_FEV_2023!S2540</f>
        <v/>
      </c>
      <c r="W2540" s="582">
        <v>0</v>
      </c>
      <c r="X2540" s="580"/>
      <c r="Y2540" s="583">
        <f>IF(GLOBAL_DER_FEV_2023!W2540=0,0,IF(GLOBAL_DER_FEV_2023!W2540&gt;0,"c","b"))</f>
        <v>0</v>
      </c>
    </row>
    <row r="2541" spans="1:25" ht="13.5" hidden="1" thickBot="1" x14ac:dyDescent="0.25">
      <c r="A2541" s="640" t="s">
        <v>165</v>
      </c>
      <c r="B2541" s="1183" t="str">
        <f>GLOBAL_DER_FEV_2023!B2541</f>
        <v/>
      </c>
      <c r="C2541" s="1184" t="str">
        <f>GLOBAL_DER_FEV_2023!C2541</f>
        <v/>
      </c>
      <c r="D2541" s="1141">
        <f>GLOBAL_DER_FEV_2023!D2541</f>
        <v>0</v>
      </c>
      <c r="E2541" s="907">
        <f>GLOBAL_DER_FEV_2023!E2541</f>
        <v>0</v>
      </c>
      <c r="F2541" s="908">
        <f>GLOBAL_DER_FEV_2023!F2541</f>
        <v>0</v>
      </c>
      <c r="G2541" s="912">
        <f>GLOBAL_DER_FEV_2023!G2541</f>
        <v>0</v>
      </c>
      <c r="H2541" s="901">
        <f>GLOBAL_DER_FEV_2023!H2541</f>
        <v>0</v>
      </c>
      <c r="I2541" s="901" t="str">
        <f>GLOBAL_DER_FEV_2023!I2541</f>
        <v/>
      </c>
      <c r="J2541" s="902">
        <f>GLOBAL_DER_FEV_2023!J2541</f>
        <v>0</v>
      </c>
      <c r="K2541" s="903" t="str">
        <f>GLOBAL_DER_FEV_2023!K2541</f>
        <v xml:space="preserve">     </v>
      </c>
      <c r="L2541" s="1137"/>
      <c r="M2541" s="1175">
        <f t="shared" si="192"/>
        <v>0</v>
      </c>
      <c r="N2541" s="1167">
        <f t="shared" si="196"/>
        <v>0</v>
      </c>
      <c r="O2541" s="1165"/>
      <c r="Q2541" s="317" t="str">
        <f t="shared" si="193"/>
        <v/>
      </c>
      <c r="R2541" s="317" t="str">
        <f t="shared" si="194"/>
        <v/>
      </c>
      <c r="S2541" s="317" t="str">
        <f t="shared" si="195"/>
        <v/>
      </c>
      <c r="T2541" s="317" t="str">
        <f>GLOBAL_DER_FEV_2023!S2541</f>
        <v/>
      </c>
      <c r="W2541" s="582">
        <v>0</v>
      </c>
      <c r="X2541" s="580"/>
      <c r="Y2541" s="583">
        <f>IF(GLOBAL_DER_FEV_2023!W2541=0,0,IF(GLOBAL_DER_FEV_2023!W2541&gt;0,"c","b"))</f>
        <v>0</v>
      </c>
    </row>
    <row r="2542" spans="1:25" ht="13.5" hidden="1" thickBot="1" x14ac:dyDescent="0.25">
      <c r="A2542" s="640" t="s">
        <v>165</v>
      </c>
      <c r="B2542" s="1183" t="str">
        <f>GLOBAL_DER_FEV_2023!B2542</f>
        <v/>
      </c>
      <c r="C2542" s="1184" t="str">
        <f>GLOBAL_DER_FEV_2023!C2542</f>
        <v/>
      </c>
      <c r="D2542" s="1141">
        <f>GLOBAL_DER_FEV_2023!D2542</f>
        <v>0</v>
      </c>
      <c r="E2542" s="907">
        <f>GLOBAL_DER_FEV_2023!E2542</f>
        <v>0</v>
      </c>
      <c r="F2542" s="908">
        <f>GLOBAL_DER_FEV_2023!F2542</f>
        <v>0</v>
      </c>
      <c r="G2542" s="912">
        <f>GLOBAL_DER_FEV_2023!G2542</f>
        <v>0</v>
      </c>
      <c r="H2542" s="901">
        <f>GLOBAL_DER_FEV_2023!H2542</f>
        <v>0</v>
      </c>
      <c r="I2542" s="901" t="str">
        <f>GLOBAL_DER_FEV_2023!I2542</f>
        <v/>
      </c>
      <c r="J2542" s="902">
        <f>GLOBAL_DER_FEV_2023!J2542</f>
        <v>0</v>
      </c>
      <c r="K2542" s="903" t="str">
        <f>GLOBAL_DER_FEV_2023!K2542</f>
        <v xml:space="preserve">     </v>
      </c>
      <c r="L2542" s="1137"/>
      <c r="M2542" s="1175">
        <f t="shared" si="192"/>
        <v>0</v>
      </c>
      <c r="N2542" s="1167">
        <f t="shared" si="196"/>
        <v>0</v>
      </c>
      <c r="O2542" s="1165"/>
      <c r="Q2542" s="317" t="str">
        <f t="shared" si="193"/>
        <v/>
      </c>
      <c r="R2542" s="317" t="str">
        <f t="shared" si="194"/>
        <v/>
      </c>
      <c r="S2542" s="317" t="str">
        <f t="shared" si="195"/>
        <v/>
      </c>
      <c r="T2542" s="317" t="str">
        <f>GLOBAL_DER_FEV_2023!S2542</f>
        <v/>
      </c>
      <c r="W2542" s="582">
        <v>0</v>
      </c>
      <c r="X2542" s="580"/>
      <c r="Y2542" s="583">
        <f>IF(GLOBAL_DER_FEV_2023!W2542=0,0,IF(GLOBAL_DER_FEV_2023!W2542&gt;0,"c","b"))</f>
        <v>0</v>
      </c>
    </row>
    <row r="2543" spans="1:25" ht="13.5" hidden="1" thickBot="1" x14ac:dyDescent="0.25">
      <c r="A2543" s="640" t="s">
        <v>165</v>
      </c>
      <c r="B2543" s="1183" t="str">
        <f>GLOBAL_DER_FEV_2023!B2543</f>
        <v/>
      </c>
      <c r="C2543" s="1184" t="str">
        <f>GLOBAL_DER_FEV_2023!C2543</f>
        <v/>
      </c>
      <c r="D2543" s="1141">
        <f>GLOBAL_DER_FEV_2023!D2543</f>
        <v>0</v>
      </c>
      <c r="E2543" s="907">
        <f>GLOBAL_DER_FEV_2023!E2543</f>
        <v>0</v>
      </c>
      <c r="F2543" s="908">
        <f>GLOBAL_DER_FEV_2023!F2543</f>
        <v>0</v>
      </c>
      <c r="G2543" s="912">
        <f>GLOBAL_DER_FEV_2023!G2543</f>
        <v>0</v>
      </c>
      <c r="H2543" s="901">
        <f>GLOBAL_DER_FEV_2023!H2543</f>
        <v>0</v>
      </c>
      <c r="I2543" s="901" t="str">
        <f>GLOBAL_DER_FEV_2023!I2543</f>
        <v/>
      </c>
      <c r="J2543" s="902">
        <f>GLOBAL_DER_FEV_2023!J2543</f>
        <v>0</v>
      </c>
      <c r="K2543" s="903" t="str">
        <f>GLOBAL_DER_FEV_2023!K2543</f>
        <v xml:space="preserve">     </v>
      </c>
      <c r="L2543" s="1137"/>
      <c r="M2543" s="1175">
        <f t="shared" si="192"/>
        <v>0</v>
      </c>
      <c r="N2543" s="1167">
        <f t="shared" si="196"/>
        <v>0</v>
      </c>
      <c r="O2543" s="1165"/>
      <c r="Q2543" s="317" t="str">
        <f t="shared" si="193"/>
        <v/>
      </c>
      <c r="R2543" s="317" t="str">
        <f t="shared" si="194"/>
        <v/>
      </c>
      <c r="S2543" s="317" t="str">
        <f t="shared" si="195"/>
        <v/>
      </c>
      <c r="T2543" s="317" t="str">
        <f>GLOBAL_DER_FEV_2023!S2543</f>
        <v/>
      </c>
      <c r="W2543" s="582">
        <v>0</v>
      </c>
      <c r="X2543" s="580"/>
      <c r="Y2543" s="583">
        <f>IF(GLOBAL_DER_FEV_2023!W2543=0,0,IF(GLOBAL_DER_FEV_2023!W2543&gt;0,"c","b"))</f>
        <v>0</v>
      </c>
    </row>
    <row r="2544" spans="1:25" ht="13.5" hidden="1" thickBot="1" x14ac:dyDescent="0.25">
      <c r="A2544" s="640" t="s">
        <v>165</v>
      </c>
      <c r="B2544" s="1183" t="str">
        <f>GLOBAL_DER_FEV_2023!B2544</f>
        <v/>
      </c>
      <c r="C2544" s="1184" t="str">
        <f>GLOBAL_DER_FEV_2023!C2544</f>
        <v/>
      </c>
      <c r="D2544" s="1141">
        <f>GLOBAL_DER_FEV_2023!D2544</f>
        <v>0</v>
      </c>
      <c r="E2544" s="907">
        <f>GLOBAL_DER_FEV_2023!E2544</f>
        <v>0</v>
      </c>
      <c r="F2544" s="908">
        <f>GLOBAL_DER_FEV_2023!F2544</f>
        <v>0</v>
      </c>
      <c r="G2544" s="912">
        <f>GLOBAL_DER_FEV_2023!G2544</f>
        <v>0</v>
      </c>
      <c r="H2544" s="901">
        <f>GLOBAL_DER_FEV_2023!H2544</f>
        <v>0</v>
      </c>
      <c r="I2544" s="901" t="str">
        <f>GLOBAL_DER_FEV_2023!I2544</f>
        <v/>
      </c>
      <c r="J2544" s="902">
        <f>GLOBAL_DER_FEV_2023!J2544</f>
        <v>0</v>
      </c>
      <c r="K2544" s="903" t="str">
        <f>GLOBAL_DER_FEV_2023!K2544</f>
        <v xml:space="preserve">     </v>
      </c>
      <c r="L2544" s="1137"/>
      <c r="M2544" s="1175">
        <f t="shared" si="192"/>
        <v>0</v>
      </c>
      <c r="N2544" s="1167">
        <f t="shared" si="196"/>
        <v>0</v>
      </c>
      <c r="O2544" s="1165"/>
      <c r="Q2544" s="317" t="str">
        <f t="shared" si="193"/>
        <v/>
      </c>
      <c r="R2544" s="317" t="str">
        <f t="shared" si="194"/>
        <v/>
      </c>
      <c r="S2544" s="317" t="str">
        <f t="shared" si="195"/>
        <v/>
      </c>
      <c r="T2544" s="317" t="str">
        <f>GLOBAL_DER_FEV_2023!S2544</f>
        <v/>
      </c>
      <c r="W2544" s="582">
        <v>0</v>
      </c>
      <c r="X2544" s="580"/>
      <c r="Y2544" s="583">
        <f>IF(GLOBAL_DER_FEV_2023!W2544=0,0,IF(GLOBAL_DER_FEV_2023!W2544&gt;0,"c","b"))</f>
        <v>0</v>
      </c>
    </row>
    <row r="2545" spans="1:25" ht="13.5" hidden="1" thickBot="1" x14ac:dyDescent="0.25">
      <c r="A2545" s="640" t="s">
        <v>165</v>
      </c>
      <c r="B2545" s="1183" t="str">
        <f>GLOBAL_DER_FEV_2023!B2545</f>
        <v/>
      </c>
      <c r="C2545" s="1184" t="str">
        <f>GLOBAL_DER_FEV_2023!C2545</f>
        <v/>
      </c>
      <c r="D2545" s="1141">
        <f>GLOBAL_DER_FEV_2023!D2545</f>
        <v>0</v>
      </c>
      <c r="E2545" s="907">
        <f>GLOBAL_DER_FEV_2023!E2545</f>
        <v>0</v>
      </c>
      <c r="F2545" s="908">
        <f>GLOBAL_DER_FEV_2023!F2545</f>
        <v>0</v>
      </c>
      <c r="G2545" s="912">
        <f>GLOBAL_DER_FEV_2023!G2545</f>
        <v>0</v>
      </c>
      <c r="H2545" s="901">
        <f>GLOBAL_DER_FEV_2023!H2545</f>
        <v>0</v>
      </c>
      <c r="I2545" s="901" t="str">
        <f>GLOBAL_DER_FEV_2023!I2545</f>
        <v/>
      </c>
      <c r="J2545" s="902">
        <f>GLOBAL_DER_FEV_2023!J2545</f>
        <v>0</v>
      </c>
      <c r="K2545" s="903" t="str">
        <f>GLOBAL_DER_FEV_2023!K2545</f>
        <v xml:space="preserve">     </v>
      </c>
      <c r="L2545" s="1137"/>
      <c r="M2545" s="1175">
        <f t="shared" si="192"/>
        <v>0</v>
      </c>
      <c r="N2545" s="1167">
        <f t="shared" si="196"/>
        <v>0</v>
      </c>
      <c r="O2545" s="1165"/>
      <c r="Q2545" s="317" t="str">
        <f t="shared" si="193"/>
        <v/>
      </c>
      <c r="R2545" s="317" t="str">
        <f t="shared" si="194"/>
        <v/>
      </c>
      <c r="S2545" s="317" t="str">
        <f t="shared" si="195"/>
        <v/>
      </c>
      <c r="T2545" s="317" t="str">
        <f>GLOBAL_DER_FEV_2023!S2545</f>
        <v/>
      </c>
      <c r="W2545" s="582">
        <v>0</v>
      </c>
      <c r="X2545" s="580"/>
      <c r="Y2545" s="583">
        <f>IF(GLOBAL_DER_FEV_2023!W2545=0,0,IF(GLOBAL_DER_FEV_2023!W2545&gt;0,"c","b"))</f>
        <v>0</v>
      </c>
    </row>
    <row r="2546" spans="1:25" ht="13.5" hidden="1" thickBot="1" x14ac:dyDescent="0.25">
      <c r="A2546" s="640" t="s">
        <v>165</v>
      </c>
      <c r="B2546" s="1183" t="str">
        <f>GLOBAL_DER_FEV_2023!B2546</f>
        <v/>
      </c>
      <c r="C2546" s="1184" t="str">
        <f>GLOBAL_DER_FEV_2023!C2546</f>
        <v/>
      </c>
      <c r="D2546" s="1141">
        <f>GLOBAL_DER_FEV_2023!D2546</f>
        <v>0</v>
      </c>
      <c r="E2546" s="907">
        <f>GLOBAL_DER_FEV_2023!E2546</f>
        <v>0</v>
      </c>
      <c r="F2546" s="908">
        <f>GLOBAL_DER_FEV_2023!F2546</f>
        <v>0</v>
      </c>
      <c r="G2546" s="912">
        <f>GLOBAL_DER_FEV_2023!G2546</f>
        <v>0</v>
      </c>
      <c r="H2546" s="901">
        <f>GLOBAL_DER_FEV_2023!H2546</f>
        <v>0</v>
      </c>
      <c r="I2546" s="901" t="str">
        <f>GLOBAL_DER_FEV_2023!I2546</f>
        <v/>
      </c>
      <c r="J2546" s="902">
        <f>GLOBAL_DER_FEV_2023!J2546</f>
        <v>0</v>
      </c>
      <c r="K2546" s="903" t="str">
        <f>GLOBAL_DER_FEV_2023!K2546</f>
        <v xml:space="preserve">     </v>
      </c>
      <c r="L2546" s="1137"/>
      <c r="M2546" s="1175">
        <f t="shared" si="192"/>
        <v>0</v>
      </c>
      <c r="N2546" s="1167">
        <f t="shared" si="196"/>
        <v>0</v>
      </c>
      <c r="O2546" s="1165"/>
      <c r="Q2546" s="317" t="str">
        <f t="shared" si="193"/>
        <v/>
      </c>
      <c r="R2546" s="317" t="str">
        <f t="shared" si="194"/>
        <v/>
      </c>
      <c r="S2546" s="317" t="str">
        <f t="shared" si="195"/>
        <v/>
      </c>
      <c r="T2546" s="317" t="str">
        <f>GLOBAL_DER_FEV_2023!S2546</f>
        <v/>
      </c>
      <c r="W2546" s="582">
        <v>0</v>
      </c>
      <c r="X2546" s="580"/>
      <c r="Y2546" s="583">
        <f>IF(GLOBAL_DER_FEV_2023!W2546=0,0,IF(GLOBAL_DER_FEV_2023!W2546&gt;0,"c","b"))</f>
        <v>0</v>
      </c>
    </row>
    <row r="2547" spans="1:25" ht="9.75" customHeight="1" thickBot="1" x14ac:dyDescent="0.25">
      <c r="A2547" s="640" t="s">
        <v>165</v>
      </c>
      <c r="B2547" s="1078" t="s">
        <v>152</v>
      </c>
      <c r="C2547" s="1185"/>
      <c r="D2547" s="1080"/>
      <c r="E2547" s="1081"/>
      <c r="F2547" s="1082"/>
      <c r="G2547" s="1083"/>
      <c r="H2547" s="1083"/>
      <c r="I2547" s="1083"/>
      <c r="J2547" s="1084"/>
      <c r="K2547" s="1081"/>
      <c r="L2547" s="1085"/>
      <c r="M2547" s="1085"/>
      <c r="N2547" s="1086"/>
      <c r="O2547" s="1087"/>
      <c r="P2547" s="60" t="s">
        <v>152</v>
      </c>
      <c r="Q2547" s="317" t="str">
        <f t="shared" si="193"/>
        <v>x</v>
      </c>
      <c r="R2547" s="317" t="str">
        <f t="shared" si="194"/>
        <v>x</v>
      </c>
      <c r="S2547" s="317" t="str">
        <f t="shared" si="195"/>
        <v>x</v>
      </c>
      <c r="T2547" s="317" t="str">
        <f>GLOBAL_DER_FEV_2023!S2547</f>
        <v>x</v>
      </c>
    </row>
    <row r="2548" spans="1:25" ht="21" customHeight="1" thickBot="1" x14ac:dyDescent="0.25">
      <c r="A2548" s="640" t="s">
        <v>165</v>
      </c>
      <c r="B2548" s="1088" t="str">
        <f>GLOBAL_DER_FEV_2023!B2548</f>
        <v>Data Base da aprovação do Orçamento (Decreto 10.086/22 do Paraná, que regulamenta a Lei 14.133/21):  14/4/2023</v>
      </c>
      <c r="C2548" s="1186"/>
      <c r="D2548" s="1090"/>
      <c r="E2548" s="1091"/>
      <c r="F2548" s="1092"/>
      <c r="G2548" s="1093"/>
      <c r="H2548" s="1093"/>
      <c r="I2548" s="1093"/>
      <c r="J2548" s="1093"/>
      <c r="K2548" s="1091"/>
      <c r="L2548" s="880"/>
      <c r="M2548" s="880"/>
      <c r="N2548" s="1094" t="s">
        <v>2145</v>
      </c>
      <c r="O2548" s="882">
        <f>SUBTOTAL(9,O19:O2546)</f>
        <v>528183.67000000004</v>
      </c>
      <c r="P2548" s="60" t="s">
        <v>152</v>
      </c>
      <c r="Q2548" s="317" t="s">
        <v>152</v>
      </c>
      <c r="R2548" s="317" t="s">
        <v>152</v>
      </c>
      <c r="S2548" s="317" t="s">
        <v>152</v>
      </c>
      <c r="T2548" s="317" t="s">
        <v>152</v>
      </c>
    </row>
    <row r="2549" spans="1:25" ht="15" customHeight="1" thickBot="1" x14ac:dyDescent="0.25">
      <c r="A2549" s="640" t="s">
        <v>165</v>
      </c>
      <c r="B2549" s="570" t="s">
        <v>152</v>
      </c>
      <c r="C2549" s="575"/>
      <c r="D2549" s="542"/>
      <c r="E2549" s="543"/>
      <c r="F2549" s="544"/>
      <c r="G2549" s="545"/>
      <c r="H2549" s="545"/>
      <c r="I2549" s="545"/>
      <c r="J2549" s="546"/>
      <c r="K2549" s="543"/>
      <c r="L2549" s="547"/>
      <c r="M2549" s="547"/>
      <c r="N2549" s="548"/>
      <c r="O2549" s="548"/>
      <c r="P2549" s="60" t="s">
        <v>152</v>
      </c>
      <c r="Q2549" s="327" t="s">
        <v>152</v>
      </c>
      <c r="R2549" s="317" t="s">
        <v>152</v>
      </c>
      <c r="S2549" s="317" t="s">
        <v>152</v>
      </c>
      <c r="T2549" s="317" t="s">
        <v>152</v>
      </c>
    </row>
    <row r="2550" spans="1:25" ht="15" hidden="1" customHeight="1" thickBot="1" x14ac:dyDescent="0.25">
      <c r="A2550" s="640"/>
      <c r="B2550" s="571"/>
      <c r="C2550" s="576"/>
      <c r="D2550" s="549"/>
      <c r="E2550" s="550"/>
      <c r="F2550" s="551"/>
      <c r="G2550" s="552"/>
      <c r="H2550" s="552"/>
      <c r="I2550" s="552"/>
      <c r="J2550" s="553"/>
      <c r="K2550" s="550"/>
      <c r="L2550" s="540"/>
      <c r="M2550" s="540"/>
      <c r="N2550" s="536">
        <f>SUBTOTAL(9,N19:N2546)</f>
        <v>528183.67000000004</v>
      </c>
      <c r="O2550" s="541"/>
      <c r="P2550" s="60"/>
      <c r="Q2550" s="327"/>
      <c r="R2550" s="317"/>
      <c r="S2550" s="317"/>
      <c r="T2550" s="317"/>
    </row>
    <row r="2551" spans="1:25" ht="18" customHeight="1" thickBot="1" x14ac:dyDescent="0.25">
      <c r="A2551" s="640" t="s">
        <v>165</v>
      </c>
      <c r="B2551" s="569" t="s">
        <v>152</v>
      </c>
      <c r="C2551" s="506"/>
      <c r="D2551" s="75" t="s">
        <v>477</v>
      </c>
      <c r="E2551" s="62"/>
      <c r="F2551" s="70"/>
      <c r="G2551" s="321"/>
      <c r="H2551" s="321"/>
      <c r="I2551" s="321" t="str">
        <f t="shared" ref="I2551:I2556" si="197">IF(ISBLANK(H2551),"",SUM(G2551:H2551))</f>
        <v/>
      </c>
      <c r="J2551" s="321"/>
      <c r="K2551" s="62"/>
      <c r="L2551" s="533"/>
      <c r="M2551" s="536"/>
      <c r="N2551" s="537">
        <f>SUM(N19:N643)</f>
        <v>519070.11000000004</v>
      </c>
      <c r="O2551" s="537">
        <f>SUM(O19:O643)</f>
        <v>519070.11000000004</v>
      </c>
      <c r="P2551" s="60"/>
      <c r="Q2551" s="317" t="s">
        <v>152</v>
      </c>
      <c r="R2551" s="317" t="s">
        <v>152</v>
      </c>
      <c r="S2551" s="317" t="s">
        <v>152</v>
      </c>
      <c r="T2551" s="317" t="s">
        <v>152</v>
      </c>
    </row>
    <row r="2552" spans="1:25" ht="18" customHeight="1" thickBot="1" x14ac:dyDescent="0.25">
      <c r="A2552" s="640" t="s">
        <v>165</v>
      </c>
      <c r="B2552" s="569" t="s">
        <v>152</v>
      </c>
      <c r="C2552" s="506"/>
      <c r="D2552" s="75" t="s">
        <v>481</v>
      </c>
      <c r="E2552" s="62"/>
      <c r="F2552" s="70"/>
      <c r="G2552" s="321"/>
      <c r="H2552" s="321"/>
      <c r="I2552" s="321" t="str">
        <f t="shared" si="197"/>
        <v/>
      </c>
      <c r="J2552" s="321"/>
      <c r="K2552" s="62"/>
      <c r="L2552" s="533"/>
      <c r="M2552" s="534"/>
      <c r="N2552" s="535">
        <f>SUM(N644:N912)</f>
        <v>9113.56</v>
      </c>
      <c r="O2552" s="535">
        <f>SUM(O644:O912)</f>
        <v>9113.56</v>
      </c>
      <c r="P2552" s="60" t="s">
        <v>152</v>
      </c>
      <c r="Q2552" s="317" t="s">
        <v>152</v>
      </c>
      <c r="R2552" s="317" t="s">
        <v>152</v>
      </c>
      <c r="S2552" s="317" t="s">
        <v>152</v>
      </c>
      <c r="T2552" s="317" t="s">
        <v>152</v>
      </c>
    </row>
    <row r="2553" spans="1:25" ht="18" customHeight="1" thickBot="1" x14ac:dyDescent="0.25">
      <c r="A2553" s="640" t="s">
        <v>165</v>
      </c>
      <c r="B2553" s="569" t="s">
        <v>152</v>
      </c>
      <c r="C2553" s="506"/>
      <c r="D2553" s="75" t="s">
        <v>478</v>
      </c>
      <c r="E2553" s="62"/>
      <c r="F2553" s="70"/>
      <c r="G2553" s="321"/>
      <c r="H2553" s="321"/>
      <c r="I2553" s="321" t="str">
        <f t="shared" si="197"/>
        <v/>
      </c>
      <c r="J2553" s="321"/>
      <c r="K2553" s="62"/>
      <c r="L2553" s="533"/>
      <c r="M2553" s="534"/>
      <c r="N2553" s="535">
        <f>SUM(N913:N1624)</f>
        <v>0</v>
      </c>
      <c r="O2553" s="535">
        <f>SUM(O913:O1624)</f>
        <v>0</v>
      </c>
      <c r="P2553" s="60" t="s">
        <v>152</v>
      </c>
      <c r="Q2553" s="317" t="s">
        <v>152</v>
      </c>
      <c r="R2553" s="317" t="s">
        <v>152</v>
      </c>
      <c r="S2553" s="317" t="s">
        <v>152</v>
      </c>
      <c r="T2553" s="317" t="s">
        <v>152</v>
      </c>
    </row>
    <row r="2554" spans="1:25" ht="18" customHeight="1" thickBot="1" x14ac:dyDescent="0.25">
      <c r="A2554" s="640" t="s">
        <v>165</v>
      </c>
      <c r="B2554" s="569" t="s">
        <v>152</v>
      </c>
      <c r="C2554" s="506"/>
      <c r="D2554" s="75" t="s">
        <v>479</v>
      </c>
      <c r="E2554" s="62"/>
      <c r="F2554" s="70"/>
      <c r="G2554" s="321"/>
      <c r="H2554" s="321"/>
      <c r="I2554" s="321" t="str">
        <f t="shared" si="197"/>
        <v/>
      </c>
      <c r="J2554" s="321"/>
      <c r="K2554" s="62"/>
      <c r="L2554" s="533"/>
      <c r="M2554" s="534"/>
      <c r="N2554" s="535">
        <f>SUM(N1625:N1719)</f>
        <v>0</v>
      </c>
      <c r="O2554" s="535">
        <f>SUM(O1625:O1719)</f>
        <v>0</v>
      </c>
      <c r="P2554" s="60" t="s">
        <v>152</v>
      </c>
      <c r="Q2554" s="317" t="s">
        <v>152</v>
      </c>
      <c r="R2554" s="317" t="s">
        <v>152</v>
      </c>
      <c r="S2554" s="317" t="s">
        <v>152</v>
      </c>
      <c r="T2554" s="317" t="s">
        <v>152</v>
      </c>
    </row>
    <row r="2555" spans="1:25" ht="18" customHeight="1" thickBot="1" x14ac:dyDescent="0.25">
      <c r="A2555" s="640" t="s">
        <v>165</v>
      </c>
      <c r="B2555" s="569" t="s">
        <v>152</v>
      </c>
      <c r="C2555" s="506"/>
      <c r="D2555" s="75" t="s">
        <v>480</v>
      </c>
      <c r="E2555" s="62"/>
      <c r="F2555" s="70"/>
      <c r="G2555" s="321"/>
      <c r="H2555" s="321"/>
      <c r="I2555" s="321" t="str">
        <f t="shared" si="197"/>
        <v/>
      </c>
      <c r="J2555" s="321"/>
      <c r="K2555" s="62"/>
      <c r="L2555" s="533"/>
      <c r="M2555" s="534"/>
      <c r="N2555" s="535">
        <f>SUM(N1720:N2498)</f>
        <v>0</v>
      </c>
      <c r="O2555" s="535">
        <f>SUM(O1720:O2498)</f>
        <v>0</v>
      </c>
      <c r="P2555" s="60" t="s">
        <v>152</v>
      </c>
      <c r="Q2555" s="317" t="s">
        <v>152</v>
      </c>
      <c r="R2555" s="317" t="s">
        <v>152</v>
      </c>
      <c r="S2555" s="317" t="s">
        <v>152</v>
      </c>
      <c r="T2555" s="317" t="s">
        <v>152</v>
      </c>
    </row>
    <row r="2556" spans="1:25" ht="18" customHeight="1" thickBot="1" x14ac:dyDescent="0.25">
      <c r="A2556" s="640" t="s">
        <v>165</v>
      </c>
      <c r="B2556" s="569" t="s">
        <v>152</v>
      </c>
      <c r="C2556" s="506"/>
      <c r="D2556" s="75" t="s">
        <v>504</v>
      </c>
      <c r="E2556" s="62"/>
      <c r="F2556" s="70"/>
      <c r="G2556" s="321"/>
      <c r="H2556" s="321"/>
      <c r="I2556" s="321" t="str">
        <f t="shared" si="197"/>
        <v/>
      </c>
      <c r="J2556" s="321"/>
      <c r="K2556" s="62"/>
      <c r="L2556" s="533"/>
      <c r="M2556" s="534"/>
      <c r="N2556" s="535">
        <f>SUM(N2499:N2546)</f>
        <v>0</v>
      </c>
      <c r="O2556" s="535">
        <f>SUM(O2499:O2546)</f>
        <v>0</v>
      </c>
      <c r="P2556" s="60" t="s">
        <v>152</v>
      </c>
      <c r="Q2556" s="317" t="s">
        <v>152</v>
      </c>
      <c r="R2556" s="317" t="s">
        <v>152</v>
      </c>
      <c r="S2556" s="317" t="s">
        <v>152</v>
      </c>
      <c r="T2556" s="317" t="s">
        <v>152</v>
      </c>
    </row>
    <row r="2557" spans="1:25" ht="18" customHeight="1" thickBot="1" x14ac:dyDescent="0.25">
      <c r="A2557" s="640" t="s">
        <v>165</v>
      </c>
      <c r="B2557" s="327" t="s">
        <v>152</v>
      </c>
      <c r="E2557" s="64"/>
      <c r="G2557" s="322"/>
      <c r="H2557" s="322"/>
      <c r="I2557" s="322"/>
      <c r="J2557" s="322"/>
      <c r="L2557" s="1352" t="s">
        <v>2100</v>
      </c>
      <c r="M2557" s="1353"/>
      <c r="N2557" s="66">
        <v>6888.05</v>
      </c>
      <c r="O2557" s="68">
        <f>IF(N2557=0,0,O2548/N2557)</f>
        <v>76.681160851039124</v>
      </c>
      <c r="P2557" s="60" t="s">
        <v>152</v>
      </c>
      <c r="Q2557" s="317" t="s">
        <v>152</v>
      </c>
      <c r="R2557" s="317" t="s">
        <v>152</v>
      </c>
      <c r="S2557" s="317" t="s">
        <v>152</v>
      </c>
      <c r="T2557" s="317" t="s">
        <v>152</v>
      </c>
    </row>
    <row r="2558" spans="1:25" x14ac:dyDescent="0.2">
      <c r="A2558" s="640" t="s">
        <v>165</v>
      </c>
      <c r="B2558" s="327" t="s">
        <v>152</v>
      </c>
      <c r="G2558" s="322"/>
      <c r="H2558" s="322"/>
      <c r="K2558" s="67"/>
      <c r="L2558" s="67"/>
      <c r="M2558" s="67"/>
      <c r="N2558" s="67"/>
      <c r="O2558" s="67"/>
      <c r="P2558" s="319" t="s">
        <v>152</v>
      </c>
      <c r="Q2558" s="317" t="s">
        <v>152</v>
      </c>
      <c r="R2558" s="317" t="s">
        <v>152</v>
      </c>
      <c r="S2558" s="317" t="s">
        <v>152</v>
      </c>
      <c r="T2558" s="317" t="s">
        <v>152</v>
      </c>
    </row>
    <row r="2559" spans="1:25" ht="13.5" thickBot="1" x14ac:dyDescent="0.25">
      <c r="A2559" s="640" t="s">
        <v>165</v>
      </c>
      <c r="B2559" s="327" t="s">
        <v>152</v>
      </c>
      <c r="G2559" s="322"/>
      <c r="H2559" s="322"/>
      <c r="K2559" s="67"/>
      <c r="L2559" s="539">
        <f>SUM(L20:L2546)</f>
        <v>21785.246000000003</v>
      </c>
      <c r="M2559" s="67"/>
      <c r="N2559" s="67"/>
      <c r="O2559" s="67"/>
      <c r="P2559" s="319" t="s">
        <v>152</v>
      </c>
      <c r="Q2559" s="317" t="s">
        <v>152</v>
      </c>
      <c r="R2559" s="317" t="s">
        <v>152</v>
      </c>
      <c r="S2559" s="317" t="s">
        <v>152</v>
      </c>
      <c r="T2559" s="317" t="s">
        <v>152</v>
      </c>
    </row>
    <row r="2560" spans="1:25" ht="18" customHeight="1" thickBot="1" x14ac:dyDescent="0.25">
      <c r="A2560" s="640" t="s">
        <v>165</v>
      </c>
      <c r="B2560" s="327" t="s">
        <v>152</v>
      </c>
      <c r="K2560" s="67"/>
      <c r="L2560" s="1352"/>
      <c r="M2560" s="1354"/>
      <c r="N2560" s="61">
        <f>SUM(N19:N2546)</f>
        <v>528183.67000000004</v>
      </c>
      <c r="O2560" s="61">
        <f>SUM(O19:O2546)</f>
        <v>528183.67000000004</v>
      </c>
      <c r="P2560" s="319" t="s">
        <v>152</v>
      </c>
      <c r="Q2560" s="317" t="s">
        <v>152</v>
      </c>
      <c r="R2560" s="317" t="s">
        <v>152</v>
      </c>
      <c r="S2560" s="317" t="s">
        <v>152</v>
      </c>
      <c r="T2560" s="317" t="s">
        <v>152</v>
      </c>
    </row>
    <row r="2561" spans="1:10" hidden="1" x14ac:dyDescent="0.2">
      <c r="A2561" s="640" t="s">
        <v>165</v>
      </c>
    </row>
    <row r="2563" spans="1:10" x14ac:dyDescent="0.2">
      <c r="H2563" s="81"/>
      <c r="I2563" s="249"/>
      <c r="J2563" s="249"/>
    </row>
    <row r="2566" spans="1:10" x14ac:dyDescent="0.2">
      <c r="D2566" s="258"/>
      <c r="J2566" s="65"/>
    </row>
    <row r="2567" spans="1:10" x14ac:dyDescent="0.2">
      <c r="D2567" s="258" t="s">
        <v>165</v>
      </c>
      <c r="J2567" s="65"/>
    </row>
    <row r="2568" spans="1:10" x14ac:dyDescent="0.2">
      <c r="D2568" s="258"/>
      <c r="J2568" s="65"/>
    </row>
    <row r="2569" spans="1:10" x14ac:dyDescent="0.2">
      <c r="J2569" s="65"/>
    </row>
    <row r="2570" spans="1:10" x14ac:dyDescent="0.2">
      <c r="J2570" s="65"/>
    </row>
    <row r="2571" spans="1:10" x14ac:dyDescent="0.2">
      <c r="J2571" s="65"/>
    </row>
    <row r="2572" spans="1:10" x14ac:dyDescent="0.2">
      <c r="J2572" s="65"/>
    </row>
    <row r="2573" spans="1:10" x14ac:dyDescent="0.2">
      <c r="J2573" s="65"/>
    </row>
    <row r="2574" spans="1:10" x14ac:dyDescent="0.2">
      <c r="D2574" s="80" t="s">
        <v>165</v>
      </c>
      <c r="J2574" s="65"/>
    </row>
    <row r="2575" spans="1:10" ht="9" customHeight="1" x14ac:dyDescent="0.2"/>
    <row r="2576" spans="1:10" x14ac:dyDescent="0.2">
      <c r="D2576" s="80" t="s">
        <v>1605</v>
      </c>
    </row>
    <row r="2578" spans="6:6" x14ac:dyDescent="0.2">
      <c r="F2578" s="37" t="s">
        <v>1717</v>
      </c>
    </row>
  </sheetData>
  <sheetProtection algorithmName="SHA-512" hashValue="wwixbGSw877FTOR5/bOqgwHjlyoVhjmIML+5HFXEH24HclyD45YfZzFucXmmbO1fG03mK+TgNrtUXalEnzPsPg==" saltValue="CBmOJptencrV3GvrwrnVSg==" spinCount="100000" sheet="1" objects="1" scenarios="1" formatColumns="0" formatRows="0" autoFilter="0"/>
  <autoFilter ref="A18:AY2561" xr:uid="{00000000-0009-0000-0000-000008000000}">
    <filterColumn colId="16">
      <customFilters>
        <customFilter operator="notEqual" val=" "/>
      </customFilters>
    </filterColumn>
    <filterColumn colId="22" showButton="0"/>
  </autoFilter>
  <mergeCells count="3">
    <mergeCell ref="W18:X18"/>
    <mergeCell ref="L2557:M2557"/>
    <mergeCell ref="L2560:M2560"/>
  </mergeCells>
  <printOptions horizontalCentered="1" verticalCentered="1"/>
  <pageMargins left="0.39370078740157483" right="0.39370078740157483" top="0.98425196850393704" bottom="0.39370078740157483" header="0.31496062992125984" footer="0.51181102362204722"/>
  <pageSetup paperSize="9" scale="56" orientation="landscape" r:id="rId1"/>
  <headerFooter alignWithMargins="0">
    <oddHeader>&amp;C&amp;"Arial,Negrito"&amp;12&amp;F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18</vt:i4>
      </vt:variant>
    </vt:vector>
  </HeadingPairs>
  <TitlesOfParts>
    <vt:vector size="33" baseType="lpstr">
      <vt:lpstr>LIGANTES</vt:lpstr>
      <vt:lpstr>Prazos e Áreas</vt:lpstr>
      <vt:lpstr>Cronograma SFM</vt:lpstr>
      <vt:lpstr>Cronograma PAM</vt:lpstr>
      <vt:lpstr>Grandes_Itens</vt:lpstr>
      <vt:lpstr>BDI</vt:lpstr>
      <vt:lpstr>DMT</vt:lpstr>
      <vt:lpstr>GLOBAL_DER_FEV_2023</vt:lpstr>
      <vt:lpstr>RES. CENTRAL PARK</vt:lpstr>
      <vt:lpstr>CONS. JD STA EDW. E RES. P. </vt:lpstr>
      <vt:lpstr>RUA_FINAL</vt:lpstr>
      <vt:lpstr>Novos_Traços_CBUQ</vt:lpstr>
      <vt:lpstr>viab-pav</vt:lpstr>
      <vt:lpstr>viab-praça</vt:lpstr>
      <vt:lpstr>ENSAIOS DE ORÇAMENTO</vt:lpstr>
      <vt:lpstr>BDI!Area_de_impressao</vt:lpstr>
      <vt:lpstr>'CONS. JD STA EDW. E RES. P. '!Area_de_impressao</vt:lpstr>
      <vt:lpstr>'Cronograma PAM'!Area_de_impressao</vt:lpstr>
      <vt:lpstr>'Cronograma SFM'!Area_de_impressao</vt:lpstr>
      <vt:lpstr>DMT!Area_de_impressao</vt:lpstr>
      <vt:lpstr>GLOBAL_DER_FEV_2023!Area_de_impressao</vt:lpstr>
      <vt:lpstr>Grandes_Itens!Area_de_impressao</vt:lpstr>
      <vt:lpstr>'RES. CENTRAL PARK'!Area_de_impressao</vt:lpstr>
      <vt:lpstr>RUA_FINAL!Area_de_impressao</vt:lpstr>
      <vt:lpstr>'CONS. JD STA EDW. E RES. P. '!j</vt:lpstr>
      <vt:lpstr>'RES. CENTRAL PARK'!j</vt:lpstr>
      <vt:lpstr>RUA_FINAL!j</vt:lpstr>
      <vt:lpstr>j</vt:lpstr>
      <vt:lpstr>'CONS. JD STA EDW. E RES. P. '!Titulos_de_impressao</vt:lpstr>
      <vt:lpstr>GLOBAL_DER_FEV_2023!Titulos_de_impressao</vt:lpstr>
      <vt:lpstr>Grandes_Itens!Titulos_de_impressao</vt:lpstr>
      <vt:lpstr>'RES. CENTRAL PARK'!Titulos_de_impressao</vt:lpstr>
      <vt:lpstr>RUA_FINAL!Titulos_de_impressao</vt:lpstr>
    </vt:vector>
  </TitlesOfParts>
  <Manager>COP</Manager>
  <Company>PARANACIDADE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OrçaPAV - fev/2023</dc:title>
  <dc:subject>Orçamento de Pavimentação e Recape</dc:subject>
  <dc:creator>Roberto Chun Yan Pan</dc:creator>
  <cp:keywords>Paranacidade</cp:keywords>
  <cp:lastModifiedBy>User</cp:lastModifiedBy>
  <cp:lastPrinted>2023-11-20T16:53:10Z</cp:lastPrinted>
  <dcterms:created xsi:type="dcterms:W3CDTF">2008-09-16T14:08:54Z</dcterms:created>
  <dcterms:modified xsi:type="dcterms:W3CDTF">2023-11-20T16:54:29Z</dcterms:modified>
</cp:coreProperties>
</file>